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omments6.xml" ContentType="application/vnd.openxmlformats-officedocument.spreadsheetml.comments+xml"/>
  <Override PartName="/xl/charts/chart9.xml" ContentType="application/vnd.openxmlformats-officedocument.drawingml.chart+xml"/>
  <Override PartName="/xl/drawings/drawing6.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4.xml" ContentType="application/vnd.ms-office.chartstyle+xml"/>
  <Override PartName="/xl/charts/colors4.xml" ContentType="application/vnd.ms-office.chartcolorstyle+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charts/chart52.xml" ContentType="application/vnd.openxmlformats-officedocument.drawingml.chart+xml"/>
  <Override PartName="/xl/charts/style6.xml" ContentType="application/vnd.ms-office.chartstyle+xml"/>
  <Override PartName="/xl/charts/colors6.xml" ContentType="application/vnd.ms-office.chartcolorstyle+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charts/chart56.xml" ContentType="application/vnd.openxmlformats-officedocument.drawingml.chart+xml"/>
  <Override PartName="/xl/charts/style10.xml" ContentType="application/vnd.ms-office.chartstyle+xml"/>
  <Override PartName="/xl/charts/colors10.xml" ContentType="application/vnd.ms-office.chartcolorstyle+xml"/>
  <Override PartName="/xl/charts/chart57.xml" ContentType="application/vnd.openxmlformats-officedocument.drawingml.chart+xml"/>
  <Override PartName="/xl/charts/style11.xml" ContentType="application/vnd.ms-office.chartstyle+xml"/>
  <Override PartName="/xl/charts/colors11.xml" ContentType="application/vnd.ms-office.chartcolorstyle+xml"/>
  <Override PartName="/xl/charts/chart58.xml" ContentType="application/vnd.openxmlformats-officedocument.drawingml.chart+xml"/>
  <Override PartName="/xl/charts/style12.xml" ContentType="application/vnd.ms-office.chartstyle+xml"/>
  <Override PartName="/xl/charts/colors12.xml" ContentType="application/vnd.ms-office.chartcolorstyle+xml"/>
  <Override PartName="/xl/charts/chart59.xml" ContentType="application/vnd.openxmlformats-officedocument.drawingml.chart+xml"/>
  <Override PartName="/xl/charts/style13.xml" ContentType="application/vnd.ms-office.chartstyle+xml"/>
  <Override PartName="/xl/charts/colors13.xml" ContentType="application/vnd.ms-office.chartcolorstyle+xml"/>
  <Override PartName="/xl/charts/chart60.xml" ContentType="application/vnd.openxmlformats-officedocument.drawingml.chart+xml"/>
  <Override PartName="/xl/charts/style14.xml" ContentType="application/vnd.ms-office.chartstyle+xml"/>
  <Override PartName="/xl/charts/colors14.xml" ContentType="application/vnd.ms-office.chartcolorstyle+xml"/>
  <Override PartName="/xl/charts/chart61.xml" ContentType="application/vnd.openxmlformats-officedocument.drawingml.chart+xml"/>
  <Override PartName="/xl/charts/style15.xml" ContentType="application/vnd.ms-office.chartstyle+xml"/>
  <Override PartName="/xl/charts/colors15.xml" ContentType="application/vnd.ms-office.chartcolorstyle+xml"/>
  <Override PartName="/xl/charts/chart62.xml" ContentType="application/vnd.openxmlformats-officedocument.drawingml.chart+xml"/>
  <Override PartName="/xl/charts/style16.xml" ContentType="application/vnd.ms-office.chartstyle+xml"/>
  <Override PartName="/xl/charts/colors16.xml" ContentType="application/vnd.ms-office.chartcolorstyle+xml"/>
  <Override PartName="/xl/charts/chart63.xml" ContentType="application/vnd.openxmlformats-officedocument.drawingml.chart+xml"/>
  <Override PartName="/xl/charts/style17.xml" ContentType="application/vnd.ms-office.chartstyle+xml"/>
  <Override PartName="/xl/charts/colors17.xml" ContentType="application/vnd.ms-office.chartcolorstyle+xml"/>
  <Override PartName="/xl/charts/chart64.xml" ContentType="application/vnd.openxmlformats-officedocument.drawingml.chart+xml"/>
  <Override PartName="/xl/charts/style18.xml" ContentType="application/vnd.ms-office.chartstyle+xml"/>
  <Override PartName="/xl/charts/colors18.xml" ContentType="application/vnd.ms-office.chartcolorstyle+xml"/>
  <Override PartName="/xl/charts/chart65.xml" ContentType="application/vnd.openxmlformats-officedocument.drawingml.chart+xml"/>
  <Override PartName="/xl/charts/style19.xml" ContentType="application/vnd.ms-office.chartstyle+xml"/>
  <Override PartName="/xl/charts/colors19.xml" ContentType="application/vnd.ms-office.chartcolorstyle+xml"/>
  <Override PartName="/xl/charts/chart66.xml" ContentType="application/vnd.openxmlformats-officedocument.drawingml.chart+xml"/>
  <Override PartName="/xl/charts/style20.xml" ContentType="application/vnd.ms-office.chartstyle+xml"/>
  <Override PartName="/xl/charts/colors20.xml" ContentType="application/vnd.ms-office.chartcolorstyle+xml"/>
  <Override PartName="/xl/charts/chart67.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4.xml" ContentType="application/vnd.openxmlformats-officedocument.themeOverride+xml"/>
  <Override PartName="/xl/charts/chart68.xml" ContentType="application/vnd.openxmlformats-officedocument.drawingml.chart+xml"/>
  <Override PartName="/xl/charts/style22.xml" ContentType="application/vnd.ms-office.chartstyle+xml"/>
  <Override PartName="/xl/charts/colors22.xml" ContentType="application/vnd.ms-office.chartcolorstyle+xml"/>
  <Override PartName="/xl/charts/chart69.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5.xml" ContentType="application/vnd.openxmlformats-officedocument.themeOverride+xml"/>
  <Override PartName="/xl/charts/chart70.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6.xml" ContentType="application/vnd.openxmlformats-officedocument.themeOverride+xml"/>
  <Override PartName="/xl/charts/chart71.xml" ContentType="application/vnd.openxmlformats-officedocument.drawingml.chart+xml"/>
  <Override PartName="/xl/charts/style25.xml" ContentType="application/vnd.ms-office.chartstyle+xml"/>
  <Override PartName="/xl/charts/colors25.xml" ContentType="application/vnd.ms-office.chartcolorstyle+xml"/>
  <Override PartName="/xl/charts/chart72.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7.xml" ContentType="application/vnd.openxmlformats-officedocument.themeOverride+xml"/>
  <Override PartName="/xl/charts/chart73.xml" ContentType="application/vnd.openxmlformats-officedocument.drawingml.chart+xml"/>
  <Override PartName="/xl/charts/style27.xml" ContentType="application/vnd.ms-office.chartstyle+xml"/>
  <Override PartName="/xl/charts/colors27.xml" ContentType="application/vnd.ms-office.chartcolorstyle+xml"/>
  <Override PartName="/xl/charts/chart74.xml" ContentType="application/vnd.openxmlformats-officedocument.drawingml.chart+xml"/>
  <Override PartName="/xl/charts/style28.xml" ContentType="application/vnd.ms-office.chartstyle+xml"/>
  <Override PartName="/xl/charts/colors28.xml" ContentType="application/vnd.ms-office.chartcolorstyle+xml"/>
  <Override PartName="/xl/charts/chart75.xml" ContentType="application/vnd.openxmlformats-officedocument.drawingml.chart+xml"/>
  <Override PartName="/xl/charts/style29.xml" ContentType="application/vnd.ms-office.chartstyle+xml"/>
  <Override PartName="/xl/charts/colors29.xml" ContentType="application/vnd.ms-office.chartcolorstyle+xml"/>
  <Override PartName="/xl/charts/chart76.xml" ContentType="application/vnd.openxmlformats-officedocument.drawingml.chart+xml"/>
  <Override PartName="/xl/charts/style30.xml" ContentType="application/vnd.ms-office.chartstyle+xml"/>
  <Override PartName="/xl/charts/colors30.xml" ContentType="application/vnd.ms-office.chartcolorstyle+xml"/>
  <Override PartName="/xl/charts/chart77.xml" ContentType="application/vnd.openxmlformats-officedocument.drawingml.chart+xml"/>
  <Override PartName="/xl/charts/style31.xml" ContentType="application/vnd.ms-office.chartstyle+xml"/>
  <Override PartName="/xl/charts/colors31.xml" ContentType="application/vnd.ms-office.chartcolorstyle+xml"/>
  <Override PartName="/xl/charts/chart78.xml" ContentType="application/vnd.openxmlformats-officedocument.drawingml.chart+xml"/>
  <Override PartName="/xl/charts/style32.xml" ContentType="application/vnd.ms-office.chartstyle+xml"/>
  <Override PartName="/xl/charts/colors32.xml" ContentType="application/vnd.ms-office.chartcolorstyle+xml"/>
  <Override PartName="/xl/charts/chart79.xml" ContentType="application/vnd.openxmlformats-officedocument.drawingml.chart+xml"/>
  <Override PartName="/xl/charts/style33.xml" ContentType="application/vnd.ms-office.chartstyle+xml"/>
  <Override PartName="/xl/charts/colors33.xml" ContentType="application/vnd.ms-office.chartcolorstyle+xml"/>
  <Override PartName="/xl/charts/chart80.xml" ContentType="application/vnd.openxmlformats-officedocument.drawingml.chart+xml"/>
  <Override PartName="/xl/charts/style34.xml" ContentType="application/vnd.ms-office.chartstyle+xml"/>
  <Override PartName="/xl/charts/colors34.xml" ContentType="application/vnd.ms-office.chartcolorstyle+xml"/>
  <Override PartName="/xl/charts/chart81.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8.xml" ContentType="application/vnd.openxmlformats-officedocument.themeOverride+xml"/>
  <Override PartName="/xl/drawings/drawing7.xml" ContentType="application/vnd.openxmlformats-officedocument.drawing+xml"/>
  <Override PartName="/xl/comments7.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90.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11.xml" ContentType="application/vnd.openxmlformats-officedocument.drawing+xml"/>
  <Override PartName="/xl/charts/chart94.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9.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omments11.xml" ContentType="application/vnd.openxmlformats-officedocument.spreadsheetml.comments+xml"/>
  <Override PartName="/xl/charts/chart95.xml" ContentType="application/vnd.openxmlformats-officedocument.drawingml.chart+xml"/>
  <Override PartName="/xl/charts/chart96.xml" ContentType="application/vnd.openxmlformats-officedocument.drawingml.chart+xml"/>
  <Override PartName="/xl/drawings/drawing14.xml" ContentType="application/vnd.openxmlformats-officedocument.drawingml.chartshapes+xml"/>
  <Override PartName="/xl/charts/chart97.xml" ContentType="application/vnd.openxmlformats-officedocument.drawingml.chart+xml"/>
  <Override PartName="/xl/charts/chart98.xml" ContentType="application/vnd.openxmlformats-officedocument.drawingml.chart+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18.xml" ContentType="application/vnd.openxmlformats-officedocument.drawing+xml"/>
  <Override PartName="/xl/comments16.xml" ContentType="application/vnd.openxmlformats-officedocument.spreadsheetml.comments+xml"/>
  <Override PartName="/xl/charts/chart105.xml" ContentType="application/vnd.openxmlformats-officedocument.drawingml.chart+xml"/>
  <Override PartName="/xl/charts/chart106.xml" ContentType="application/vnd.openxmlformats-officedocument.drawingml.chart+xml"/>
  <Override PartName="/xl/drawings/drawing19.xml" ContentType="application/vnd.openxmlformats-officedocument.drawing+xml"/>
  <Override PartName="/xl/comments17.xml" ContentType="application/vnd.openxmlformats-officedocument.spreadsheetml.comments+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20.xml" ContentType="application/vnd.openxmlformats-officedocument.drawing+xml"/>
  <Override PartName="/xl/comments18.xml" ContentType="application/vnd.openxmlformats-officedocument.spreadsheetml.comments+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21.xml" ContentType="application/vnd.openxmlformats-officedocument.drawing+xml"/>
  <Override PartName="/xl/charts/chart122.xml" ContentType="application/vnd.openxmlformats-officedocument.drawingml.chart+xml"/>
  <Override PartName="/xl/drawings/drawing2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2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https://newstreet1385.sharepoint.com/sites/Corp/Shared/TELECOMS/STOCKS/EMEA/Latam/Millicom/Current Model/"/>
    </mc:Choice>
  </mc:AlternateContent>
  <xr:revisionPtr revIDLastSave="32" documentId="8_{86021F36-111A-4D9F-A3E0-7991A66761E0}" xr6:coauthVersionLast="47" xr6:coauthVersionMax="47" xr10:uidLastSave="{020EC990-8D27-4BA5-8BFB-848614AECF36}"/>
  <bookViews>
    <workbookView xWindow="20280" yWindow="9690" windowWidth="34380" windowHeight="18975" tabRatio="830" xr2:uid="{00000000-000D-0000-FFFF-FFFF00000000}"/>
  </bookViews>
  <sheets>
    <sheet name="Cover" sheetId="44" r:id="rId1"/>
    <sheet name="SOP" sheetId="14" r:id="rId2"/>
    <sheet name="Summary" sheetId="47" r:id="rId3"/>
    <sheet name="Valuation" sheetId="13" r:id="rId4"/>
    <sheet name="Master" sheetId="1" r:id="rId5"/>
    <sheet name="New split" sheetId="37" r:id="rId6"/>
    <sheet name="New (new) quarts" sheetId="38" r:id="rId7"/>
    <sheet name="Cons" sheetId="40" r:id="rId8"/>
    <sheet name="Earning snaps" sheetId="45" r:id="rId9"/>
    <sheet name="Analysis" sheetId="22" r:id="rId10"/>
    <sheet name="Anna" sheetId="15" r:id="rId11"/>
    <sheet name="Cable" sheetId="25" r:id="rId12"/>
    <sheet name="Quarts" sheetId="2" state="hidden" r:id="rId13"/>
    <sheet name="Country quarts" sheetId="36" state="hidden" r:id="rId14"/>
    <sheet name="Snap charts" sheetId="42" state="hidden" r:id="rId15"/>
    <sheet name="Newquarts" sheetId="33" state="hidden" r:id="rId16"/>
    <sheet name="HY" sheetId="46" r:id="rId17"/>
    <sheet name="Notes1" sheetId="34" r:id="rId18"/>
    <sheet name="Colombia" sheetId="19" r:id="rId19"/>
    <sheet name="Full div" sheetId="27" r:id="rId20"/>
    <sheet name="Div" sheetId="4" r:id="rId21"/>
    <sheet name="New CA" sheetId="43" r:id="rId22"/>
    <sheet name="Onda" sheetId="41" r:id="rId23"/>
    <sheet name="CA" sheetId="10" r:id="rId24"/>
    <sheet name="SA" sheetId="11" r:id="rId25"/>
    <sheet name="Africa" sheetId="12" r:id="rId26"/>
    <sheet name="Voice_data" sheetId="31" state="hidden" r:id="rId27"/>
    <sheet name="LatAm quarts" sheetId="35" state="hidden" r:id="rId28"/>
    <sheet name="Notes" sheetId="3" r:id="rId29"/>
    <sheet name="Asia" sheetId="5" state="hidden" r:id="rId30"/>
  </sheets>
  <definedNames>
    <definedName name="___">#REF!</definedName>
    <definedName name="__FDS_HYPERLINK_TOGGLE_STATE__" hidden="1">"ON"</definedName>
    <definedName name="_1_0Market">#REF!</definedName>
    <definedName name="_1993A">#REF!</definedName>
    <definedName name="_1994A">#REF!</definedName>
    <definedName name="_1995">#REF!</definedName>
    <definedName name="_1995A">#REF!</definedName>
    <definedName name="_1996">#REF!</definedName>
    <definedName name="_1996A">#REF!</definedName>
    <definedName name="_1997">#REF!</definedName>
    <definedName name="_1997A">#REF!</definedName>
    <definedName name="_1998">#REF!</definedName>
    <definedName name="_1998E">#REF!</definedName>
    <definedName name="_1999">#REF!</definedName>
    <definedName name="_1999E">#REF!</definedName>
    <definedName name="_2000">#REF!</definedName>
    <definedName name="_2000E">#REF!</definedName>
    <definedName name="_2001">#REF!</definedName>
    <definedName name="_2001E">#REF!</definedName>
    <definedName name="_2002">#REF!</definedName>
    <definedName name="_2002E">#REF!</definedName>
    <definedName name="_2003E">#REF!</definedName>
    <definedName name="_2004E">#REF!</definedName>
    <definedName name="_2005E">#REF!</definedName>
    <definedName name="_2B_0Working_pr">#REF!</definedName>
    <definedName name="_3D_0Working_l">#REF!</definedName>
    <definedName name="_Key1" hidden="1">#REF!</definedName>
    <definedName name="_Order1" hidden="1">255</definedName>
    <definedName name="_Sort" hidden="1">#REF!</definedName>
    <definedName name="_UP">#REF!</definedName>
    <definedName name="_yr1996">#REF!</definedName>
    <definedName name="a_sted">#REF!</definedName>
    <definedName name="a_sted_akk">#REF!</definedName>
    <definedName name="af">#REF!</definedName>
    <definedName name="Africa_Base">Africa!$AD$88:$AL$88</definedName>
    <definedName name="algeria">#REF!</definedName>
    <definedName name="anscount" hidden="1">1</definedName>
    <definedName name="Användare">#REF!</definedName>
    <definedName name="aRG">#REF!</definedName>
    <definedName name="assoc">#REF!</definedName>
    <definedName name="Austria_telenor_mobile_export">#REF!</definedName>
    <definedName name="Belgium_Belgacom_fixed_export">#REF!</definedName>
    <definedName name="Belgium_Belgacom_mobile_export">#REF!</definedName>
    <definedName name="bondcos">#REF!</definedName>
    <definedName name="bondcost">#REF!</definedName>
    <definedName name="bsminority">#REF!</definedName>
    <definedName name="BT_Att">#REF!</definedName>
    <definedName name="BT_BSMins">#REF!</definedName>
    <definedName name="BT_CFPS">#REF!</definedName>
    <definedName name="BT_CFPS_fd">#REF!</definedName>
    <definedName name="BT_DPS">#REF!</definedName>
    <definedName name="BT_DtoE">#REF!</definedName>
    <definedName name="BT_EBITDA">#REF!</definedName>
    <definedName name="BT_EPS_fd">#REF!</definedName>
    <definedName name="BT_FA">#REF!</definedName>
    <definedName name="BT_Min">#REF!</definedName>
    <definedName name="BT_Minorities">#REF!</definedName>
    <definedName name="BT_Mins">#REF!</definedName>
    <definedName name="BT_NAV">#REF!</definedName>
    <definedName name="BT_NDebt">#REF!</definedName>
    <definedName name="BT_netdebt">#REF!</definedName>
    <definedName name="BT_Provs">#REF!</definedName>
    <definedName name="BT_R">#REF!</definedName>
    <definedName name="BT_Rec">#REF!</definedName>
    <definedName name="BT_ROCE">#REF!</definedName>
    <definedName name="BT_ROE">#REF!</definedName>
    <definedName name="BT_Sales">#REF!</definedName>
    <definedName name="BT_Shf">#REF!</definedName>
    <definedName name="BT_Shissued">#REF!</definedName>
    <definedName name="BT_UK_export">#REF!</definedName>
    <definedName name="BT_UP">#REF!</definedName>
    <definedName name="Capital_Employed">#REF!</definedName>
    <definedName name="cash">#REF!</definedName>
    <definedName name="casheps">#REF!</definedName>
    <definedName name="changend">#REF!</definedName>
    <definedName name="Chile">#REF!</definedName>
    <definedName name="Company_Code">#REF!</definedName>
    <definedName name="Company_Name">#REF!</definedName>
    <definedName name="Core_old__BT_cap_ex">#REF!</definedName>
    <definedName name="corecapex">#REF!</definedName>
    <definedName name="CPE">#REF!</definedName>
    <definedName name="creditors">#REF!</definedName>
    <definedName name="cueps">#REF!</definedName>
    <definedName name="Currency">#REF!</definedName>
    <definedName name="Datatabell">#REF!</definedName>
    <definedName name="Date">#REF!</definedName>
    <definedName name="DB">"WIREUK"</definedName>
    <definedName name="DCF_Valuation">#REF!</definedName>
    <definedName name="debtors">#REF!</definedName>
    <definedName name="depre">#REF!</definedName>
    <definedName name="depreciation">#REF!</definedName>
    <definedName name="disposals">#REF!</definedName>
    <definedName name="divpaid">#REF!</definedName>
    <definedName name="dps">#REF!</definedName>
    <definedName name="EgenRappPath">#REF!</definedName>
    <definedName name="eps">#REF!</definedName>
    <definedName name="F.1981.03">#REF!</definedName>
    <definedName name="F.1982.03">#REF!</definedName>
    <definedName name="F.1983.03">#REF!</definedName>
    <definedName name="F.1984.03">#REF!</definedName>
    <definedName name="F.1985.03">#REF!</definedName>
    <definedName name="F.1986.03">#REF!</definedName>
    <definedName name="F.1987.03">#REF!</definedName>
    <definedName name="F.1988.03">#REF!</definedName>
    <definedName name="F.1989.03">#REF!</definedName>
    <definedName name="F.1990.03">#REF!</definedName>
    <definedName name="F.1991.03">#REF!</definedName>
    <definedName name="F.1992.03">#REF!</definedName>
    <definedName name="F.1993.03">#REF!</definedName>
    <definedName name="F.1994.03">#REF!</definedName>
    <definedName name="F.1995.03">#REF!</definedName>
    <definedName name="F.1998.03">#REF!</definedName>
    <definedName name="fcf">#REF!</definedName>
    <definedName name="France_Telecom">#REF!</definedName>
    <definedName name="France_Telecom_Belgium_mobile_interconnect_receipts">#REF!</definedName>
    <definedName name="France_Telecom_Belgium_mobile_interconnect_receipts_from_fixed_operators">#REF!</definedName>
    <definedName name="France_Telecom_Belgium_mobile_interconnect_receipts_from_mobile_operators">#REF!</definedName>
    <definedName name="France_Telecom_Belgium_mobile_other_revenue">#REF!</definedName>
    <definedName name="France_Telecom_Belgium_mobile_retail_and_wholesale_services_revenue">#REF!</definedName>
    <definedName name="France_Telecom_Belgium_mobile_retail_revenue">#REF!</definedName>
    <definedName name="France_Telecom_Belgium_mobile_retail_subscribers">#REF!</definedName>
    <definedName name="France_Telecom_Belgium_mobile_revenue">#REF!</definedName>
    <definedName name="France_Telecom_Belgium_mobile_wholesale_revenue">#REF!</definedName>
    <definedName name="France_Telecom_Belgium_mobile_wholesale_subscribers">#REF!</definedName>
    <definedName name="France_Telecom_Denmark_mobile_interconnect_receipts">#REF!</definedName>
    <definedName name="France_Telecom_Denmark_mobile_interconnect_receipts_from_fixed_operators">#REF!</definedName>
    <definedName name="France_Telecom_Denmark_mobile_interconnect_receipts_from_mobile_operators">#REF!</definedName>
    <definedName name="France_Telecom_Denmark_mobile_other_revenue">#REF!</definedName>
    <definedName name="France_Telecom_Denmark_mobile_retail_and_wholesale_services_revenue">#REF!</definedName>
    <definedName name="France_Telecom_Denmark_mobile_retail_revenue">#REF!</definedName>
    <definedName name="France_Telecom_Denmark_mobile_retail_subscribers">#REF!</definedName>
    <definedName name="France_Telecom_Denmark_mobile_revenue">#REF!</definedName>
    <definedName name="France_Telecom_Denmark_mobile_wholesale_revenue">#REF!</definedName>
    <definedName name="France_Telecom_Denmark_mobile_wholesale_subscribers">#REF!</definedName>
    <definedName name="France_Telecom_Egypt_mobile_interconnect_receipts">#REF!</definedName>
    <definedName name="France_Telecom_Egypt_mobile_interconnect_receipts_from_fixed_operators">#REF!</definedName>
    <definedName name="France_Telecom_Egypt_mobile_interconnect_receipts_from_mobile_operators">#REF!</definedName>
    <definedName name="France_Telecom_Egypt_mobile_other_revenue">#REF!</definedName>
    <definedName name="France_Telecom_Egypt_mobile_retail_and_wholesale_services_revenue">#REF!</definedName>
    <definedName name="France_Telecom_Egypt_mobile_retail_revenue">#REF!</definedName>
    <definedName name="France_Telecom_Egypt_mobile_retail_subscribers">#REF!</definedName>
    <definedName name="France_Telecom_Egypt_mobile_revenue">#REF!</definedName>
    <definedName name="France_Telecom_Egypt_mobile_wholesale_revenue">#REF!</definedName>
    <definedName name="France_Telecom_Egypt_mobile_wholesale_subscribers">#REF!</definedName>
    <definedName name="France_Telecom_France_fixed_broadband_revenue__business">#REF!</definedName>
    <definedName name="France_Telecom_France_fixed_broadband_revenue__residential">#REF!</definedName>
    <definedName name="France_Telecom_France_fixed_broadband_revenue__residential___business">#REF!</definedName>
    <definedName name="France_Telecom_France_fixed_interconnect_receipts">#REF!</definedName>
    <definedName name="France_Telecom_France_fixed_interconnect_receipts_from_fixed_operators">#REF!</definedName>
    <definedName name="France_Telecom_France_fixed_interconnect_receipts_from_mobile_operators">#REF!</definedName>
    <definedName name="France_Telecom_France_fixed_other_revenue">#REF!</definedName>
    <definedName name="France_Telecom_France_fixed_retail_and_wholesale_services_revenue">#REF!</definedName>
    <definedName name="France_Telecom_France_fixed_retail_broadband_business_sites">#REF!</definedName>
    <definedName name="France_Telecom_France_fixed_retail_broadband_homes">#REF!</definedName>
    <definedName name="France_Telecom_France_fixed_retail_broadband_sites__homes_and_businesses">#REF!</definedName>
    <definedName name="France_Telecom_France_fixed_retail_business_sites">#REF!</definedName>
    <definedName name="France_Telecom_France_fixed_retail_homes">#REF!</definedName>
    <definedName name="France_Telecom_France_fixed_retail_lines__business">#REF!</definedName>
    <definedName name="France_Telecom_France_fixed_retail_lines__ISDN">#REF!</definedName>
    <definedName name="France_Telecom_France_fixed_retail_lines__PSTN">#REF!</definedName>
    <definedName name="France_Telecom_France_fixed_retail_lines__PSTN___ISDN">#REF!</definedName>
    <definedName name="France_Telecom_France_fixed_retail_lines__residential">#REF!</definedName>
    <definedName name="France_Telecom_France_fixed_retail_lines__residential___business">#REF!</definedName>
    <definedName name="France_Telecom_France_fixed_retail_revenue__business">#REF!</definedName>
    <definedName name="France_Telecom_France_fixed_retail_revenue__residential">#REF!</definedName>
    <definedName name="France_Telecom_France_fixed_retail_revenue__residential___business">#REF!</definedName>
    <definedName name="France_Telecom_France_fixed_revenue">#REF!</definedName>
    <definedName name="France_Telecom_France_fixed_wholesale_and_interconnect_services_revenue">#REF!</definedName>
    <definedName name="France_Telecom_France_fixed_wholesale_broadband_business_sites">#REF!</definedName>
    <definedName name="France_Telecom_France_fixed_wholesale_broadband_homes">#REF!</definedName>
    <definedName name="France_Telecom_France_fixed_wholesale_broadband_sites__homes_and_businesses">#REF!</definedName>
    <definedName name="France_Telecom_France_fixed_wholesale_business_sites">#REF!</definedName>
    <definedName name="France_Telecom_France_fixed_wholesale_homes">#REF!</definedName>
    <definedName name="France_Telecom_France_fixed_wholesale_lines__business">#REF!</definedName>
    <definedName name="France_Telecom_France_fixed_wholesale_lines__ISDN">#REF!</definedName>
    <definedName name="France_Telecom_France_fixed_wholesale_lines__PSTN">#REF!</definedName>
    <definedName name="France_Telecom_France_fixed_wholesale_lines__PSTN___ISDN">#REF!</definedName>
    <definedName name="France_Telecom_France_fixed_wholesale_lines__residential">#REF!</definedName>
    <definedName name="France_Telecom_France_fixed_wholesale_lines__residential___business">#REF!</definedName>
    <definedName name="France_Telecom_France_fixed_wholesale_revenue">#REF!</definedName>
    <definedName name="France_Telecom_France_mobile_interconnect_receipts">#REF!</definedName>
    <definedName name="France_Telecom_France_mobile_interconnect_receipts_from_fixed_operators">#REF!</definedName>
    <definedName name="France_Telecom_France_mobile_interconnect_receipts_from_mobile_operators">#REF!</definedName>
    <definedName name="France_Telecom_France_mobile_other_revenue">#REF!</definedName>
    <definedName name="France_Telecom_France_mobile_retail_and_wholesale_services_revenue">#REF!</definedName>
    <definedName name="France_Telecom_France_mobile_retail_revenue">#REF!</definedName>
    <definedName name="France_Telecom_France_mobile_retail_subscribers">#REF!</definedName>
    <definedName name="France_Telecom_France_mobile_revenue">#REF!</definedName>
    <definedName name="France_Telecom_France_mobile_wholesale_revenue">#REF!</definedName>
    <definedName name="France_Telecom_France_mobile_wholesale_subscribers">#REF!</definedName>
    <definedName name="France_Telecom_Netherlands_mobile_interconnect_receipts">#REF!</definedName>
    <definedName name="France_Telecom_Netherlands_mobile_interconnect_receipts_from_fixed_operators">#REF!</definedName>
    <definedName name="France_Telecom_Netherlands_mobile_interconnect_receipts_from_mobile_operators">#REF!</definedName>
    <definedName name="France_Telecom_Netherlands_mobile_other_revenue">#REF!</definedName>
    <definedName name="France_Telecom_Netherlands_mobile_retail_and_wholesale_services_revenue">#REF!</definedName>
    <definedName name="France_Telecom_Netherlands_mobile_retail_revenue">#REF!</definedName>
    <definedName name="France_Telecom_Netherlands_mobile_retail_subscribers">#REF!</definedName>
    <definedName name="France_Telecom_Netherlands_mobile_revenue">#REF!</definedName>
    <definedName name="France_Telecom_Netherlands_mobile_wholesale_revenue">#REF!</definedName>
    <definedName name="France_Telecom_Netherlands_mobile_wholesale_subscribers">#REF!</definedName>
    <definedName name="France_Telecom_Poland_fixed_broadband_revenue__business">#REF!</definedName>
    <definedName name="France_Telecom_Poland_fixed_broadband_revenue__residential">#REF!</definedName>
    <definedName name="France_Telecom_Poland_fixed_broadband_revenue__residential___business">#REF!</definedName>
    <definedName name="France_Telecom_Poland_fixed_interconnect_receipts">#REF!</definedName>
    <definedName name="France_Telecom_Poland_fixed_interconnect_receipts_from_fixed_operators">#REF!</definedName>
    <definedName name="France_Telecom_Poland_fixed_interconnect_receipts_from_mobile_operators">#REF!</definedName>
    <definedName name="France_Telecom_Poland_fixed_other_revenue">#REF!</definedName>
    <definedName name="France_Telecom_Poland_fixed_retail_and_wholesale_services_revenue">#REF!</definedName>
    <definedName name="France_Telecom_Poland_fixed_retail_broadband_business_sites">#REF!</definedName>
    <definedName name="France_Telecom_Poland_fixed_retail_broadband_homes">#REF!</definedName>
    <definedName name="France_Telecom_Poland_fixed_retail_broadband_sites__homes_and_businesses">#REF!</definedName>
    <definedName name="France_Telecom_Poland_fixed_retail_business_sites">#REF!</definedName>
    <definedName name="France_Telecom_Poland_fixed_retail_homes">#REF!</definedName>
    <definedName name="France_Telecom_Poland_fixed_retail_lines__business">#REF!</definedName>
    <definedName name="France_Telecom_Poland_fixed_retail_lines__ISDN">#REF!</definedName>
    <definedName name="France_Telecom_Poland_fixed_retail_lines__PSTN">#REF!</definedName>
    <definedName name="France_Telecom_Poland_fixed_retail_lines__PSTN___ISDN">#REF!</definedName>
    <definedName name="France_Telecom_Poland_fixed_retail_lines__residential">#REF!</definedName>
    <definedName name="France_Telecom_Poland_fixed_retail_lines__residential___business">#REF!</definedName>
    <definedName name="France_Telecom_Poland_fixed_retail_revenue__business">#REF!</definedName>
    <definedName name="France_Telecom_Poland_fixed_retail_revenue__residential">#REF!</definedName>
    <definedName name="France_Telecom_Poland_fixed_retail_revenue__residential___business">#REF!</definedName>
    <definedName name="France_Telecom_Poland_fixed_revenue">#REF!</definedName>
    <definedName name="France_Telecom_Poland_fixed_wholesale_and_interconnect_services_revenue">#REF!</definedName>
    <definedName name="France_Telecom_Poland_fixed_wholesale_broadband_business_sites">#REF!</definedName>
    <definedName name="France_Telecom_Poland_fixed_wholesale_broadband_homes">#REF!</definedName>
    <definedName name="France_Telecom_Poland_fixed_wholesale_broadband_sites__homes_and_businesses">#REF!</definedName>
    <definedName name="France_Telecom_Poland_fixed_wholesale_business_sites">#REF!</definedName>
    <definedName name="France_Telecom_Poland_fixed_wholesale_homes">#REF!</definedName>
    <definedName name="France_Telecom_Poland_fixed_wholesale_lines__business">#REF!</definedName>
    <definedName name="France_Telecom_Poland_fixed_wholesale_lines__ISDN">#REF!</definedName>
    <definedName name="France_Telecom_Poland_fixed_wholesale_lines__PSTN">#REF!</definedName>
    <definedName name="France_Telecom_Poland_fixed_wholesale_lines__PSTN___ISDN">#REF!</definedName>
    <definedName name="France_Telecom_Poland_fixed_wholesale_lines__residential">#REF!</definedName>
    <definedName name="France_Telecom_Poland_fixed_wholesale_lines__residential___business">#REF!</definedName>
    <definedName name="France_Telecom_Poland_fixed_wholesale_revenue">#REF!</definedName>
    <definedName name="France_Telecom_Poland_mobile_interconnect_receipts">#REF!</definedName>
    <definedName name="France_Telecom_Poland_mobile_interconnect_receipts_from_fixed_operators">#REF!</definedName>
    <definedName name="France_Telecom_Poland_mobile_interconnect_receipts_from_mobile_operators">#REF!</definedName>
    <definedName name="France_Telecom_Poland_mobile_other_revenue">#REF!</definedName>
    <definedName name="France_Telecom_Poland_mobile_retail_and_wholesale_services_revenue">#REF!</definedName>
    <definedName name="France_Telecom_Poland_mobile_retail_revenue">#REF!</definedName>
    <definedName name="France_Telecom_Poland_mobile_retail_subscribers">#REF!</definedName>
    <definedName name="France_Telecom_Poland_mobile_revenue">#REF!</definedName>
    <definedName name="France_Telecom_Poland_mobile_wholesale_revenue">#REF!</definedName>
    <definedName name="France_Telecom_Poland_mobile_wholesale_subscribers">#REF!</definedName>
    <definedName name="France_Telecom_Romania_mobile_interconnect_receipts">#REF!</definedName>
    <definedName name="France_Telecom_Romania_mobile_interconnect_receipts_from_fixed_operators">#REF!</definedName>
    <definedName name="France_Telecom_Romania_mobile_interconnect_receipts_from_mobile_operators">#REF!</definedName>
    <definedName name="France_Telecom_Romania_mobile_other_revenue">#REF!</definedName>
    <definedName name="France_Telecom_Romania_mobile_retail_and_wholesale_services_revenue">#REF!</definedName>
    <definedName name="France_Telecom_Romania_mobile_retail_revenue">#REF!</definedName>
    <definedName name="France_Telecom_Romania_mobile_retail_subscribers">#REF!</definedName>
    <definedName name="France_Telecom_Romania_mobile_revenue">#REF!</definedName>
    <definedName name="France_Telecom_Romania_mobile_wholesale_revenue">#REF!</definedName>
    <definedName name="France_Telecom_Romania_mobile_wholesale_subscribers">#REF!</definedName>
    <definedName name="France_Telecom_Slovakia_mobile_interconnect_receipts">#REF!</definedName>
    <definedName name="France_Telecom_Slovakia_mobile_interconnect_receipts_from_fixed_operators">#REF!</definedName>
    <definedName name="France_Telecom_Slovakia_mobile_interconnect_receipts_from_mobile_operators">#REF!</definedName>
    <definedName name="France_Telecom_Slovakia_mobile_other_revenue">#REF!</definedName>
    <definedName name="France_Telecom_Slovakia_mobile_retail_and_wholesale_services_revenue">#REF!</definedName>
    <definedName name="France_Telecom_Slovakia_mobile_retail_revenue">#REF!</definedName>
    <definedName name="France_Telecom_Slovakia_mobile_retail_subscribers">#REF!</definedName>
    <definedName name="France_Telecom_Slovakia_mobile_revenue">#REF!</definedName>
    <definedName name="France_Telecom_Slovakia_mobile_wholesale_revenue">#REF!</definedName>
    <definedName name="France_Telecom_Slovakia_mobile_wholesale_subscribers">#REF!</definedName>
    <definedName name="France_Telecom_Switzerland_mobile_interconnect_receipts">#REF!</definedName>
    <definedName name="France_Telecom_Switzerland_mobile_interconnect_receipts_from_fixed_operators">#REF!</definedName>
    <definedName name="France_Telecom_Switzerland_mobile_interconnect_receipts_from_mobile_operators">#REF!</definedName>
    <definedName name="France_Telecom_Switzerland_mobile_other_revenue">#REF!</definedName>
    <definedName name="France_Telecom_Switzerland_mobile_retail_and_wholesale_services_revenue">#REF!</definedName>
    <definedName name="France_Telecom_Switzerland_mobile_retail_revenue">#REF!</definedName>
    <definedName name="France_Telecom_Switzerland_mobile_retail_subscribers">#REF!</definedName>
    <definedName name="France_Telecom_Switzerland_mobile_revenue">#REF!</definedName>
    <definedName name="France_Telecom_Switzerland_mobile_wholesale_revenue">#REF!</definedName>
    <definedName name="France_Telecom_Switzerland_mobile_wholesale_subscribers">#REF!</definedName>
    <definedName name="France_Telecom2">#REF!</definedName>
    <definedName name="France_TelecomFrancefixedretail_revenue__residential">#REF!</definedName>
    <definedName name="FT">#REF!</definedName>
    <definedName name="gdps">#REF!</definedName>
    <definedName name="I1.1989.09">#REF!</definedName>
    <definedName name="I1.1996.09">#REF!</definedName>
    <definedName name="inccred">#REF!</definedName>
    <definedName name="incpenprov">#REF!</definedName>
    <definedName name="increc">#REF!</definedName>
    <definedName name="incstock">#REF!</definedName>
    <definedName name="Intangible_Fixed_Assets">#REF!</definedName>
    <definedName name="InTC">#REF!</definedName>
    <definedName name="investments">#REF!</definedName>
    <definedName name="issmin">#REF!</definedName>
    <definedName name="issord">#REF!</definedName>
    <definedName name="ITC">#REF!</definedName>
    <definedName name="k_kost">#REF!</definedName>
    <definedName name="k_kost_akk">#REF!</definedName>
    <definedName name="kjhkjh">#REF!</definedName>
    <definedName name="Kopieringsområde">#REF!</definedName>
    <definedName name="Leased">#REF!</definedName>
    <definedName name="limcount" hidden="1">1</definedName>
    <definedName name="Linerent">#REF!</definedName>
    <definedName name="Lines_per_100_pop">#REF!</definedName>
    <definedName name="lkjh">#REF!</definedName>
    <definedName name="Lösenord">#REF!</definedName>
    <definedName name="ltd">#REF!</definedName>
    <definedName name="måned">#REF!</definedName>
    <definedName name="MILLICOM_AFRICA">#REF!</definedName>
    <definedName name="minority">#REF!</definedName>
    <definedName name="Mobile">#REF!</definedName>
    <definedName name="Net_Assets">#REF!</definedName>
    <definedName name="Net_Profit_SGW_Adjusted_">#REF!</definedName>
    <definedName name="netint">#REF!</definedName>
    <definedName name="netprofit">#REF!</definedName>
    <definedName name="ni_divs">#REF!</definedName>
    <definedName name="nidivs">#REF!</definedName>
    <definedName name="oldcueps">#REF!</definedName>
    <definedName name="oppro">#REF!</definedName>
    <definedName name="opprofit">#REF!</definedName>
    <definedName name="Oss">#REF!</definedName>
    <definedName name="Other_Long_Term_Liabilities">#REF!</definedName>
    <definedName name="Otherinc">#REF!</definedName>
    <definedName name="Otherop">#REF!</definedName>
    <definedName name="Otheropcf">#REF!</definedName>
    <definedName name="ownwork">#REF!</definedName>
    <definedName name="pakistan">#REF!</definedName>
    <definedName name="pbt">#REF!</definedName>
    <definedName name="Period">#REF!</definedName>
    <definedName name="Peru">#REF!</definedName>
    <definedName name="_xlnm.Print_Area" localSheetId="11">Cable!$A$1:$AF$243</definedName>
    <definedName name="_xlnm.Print_Area" localSheetId="13">'Country quarts'!$A$1:$Z$72</definedName>
    <definedName name="_xlnm.Print_Area">#N/A</definedName>
    <definedName name="_xlnm.Print_Titles">#N/A</definedName>
    <definedName name="proforma">#REF!</definedName>
    <definedName name="ProjectName">{"Client Name or Project Name"}</definedName>
    <definedName name="PT_Portugal_fixed_export">#REF!</definedName>
    <definedName name="PT_Portugal_mobile_export">#REF!</definedName>
    <definedName name="Purchase_of_tangible_fixed_assets">#REF!</definedName>
    <definedName name="purfai">#REF!</definedName>
    <definedName name="pursub">#REF!</definedName>
    <definedName name="purtfa">#REF!</definedName>
    <definedName name="Q1.1996.06">#REF!</definedName>
    <definedName name="Q2.1996.09">#REF!</definedName>
    <definedName name="Q3.1996.12">#REF!</definedName>
    <definedName name="RapportTyp">#REF!</definedName>
    <definedName name="Redundancy">#REF!</definedName>
    <definedName name="res_2002">#REF!</definedName>
    <definedName name="res_2002_a">#REF!</definedName>
    <definedName name="Revenue">#REF!</definedName>
    <definedName name="RevFixed_05">#REF!</definedName>
    <definedName name="salefa">#REF!</definedName>
    <definedName name="SecretArchiveNumber" hidden="1">1</definedName>
    <definedName name="sencount" hidden="1">1</definedName>
    <definedName name="sharecap">#REF!</definedName>
    <definedName name="Staff">#REF!</definedName>
    <definedName name="staffcosts">#REF!</definedName>
    <definedName name="std">#REF!</definedName>
    <definedName name="stocks">#REF!</definedName>
    <definedName name="sweden_telenor_mobile_export">#REF!</definedName>
    <definedName name="Tangible_Fixed_Assets">#REF!</definedName>
    <definedName name="tax">#REF!</definedName>
    <definedName name="taxpaid">#REF!</definedName>
    <definedName name="telcopay">#REF!</definedName>
    <definedName name="Telesp">#REF!</definedName>
    <definedName name="Template.WIRE">"DBACCESS"</definedName>
    <definedName name="tfa">#REF!</definedName>
    <definedName name="Total_lines">#REF!</definedName>
    <definedName name="Trace">FALSE</definedName>
    <definedName name="Transaction_Type">#REF!</definedName>
    <definedName name="UK_population__ms">#REF!</definedName>
    <definedName name="unadjusted">#REF!</definedName>
    <definedName name="UpgradeVersion">"v2.35"</definedName>
    <definedName name="Version.WIRE">1</definedName>
    <definedName name="vis_måned">#REF!</definedName>
    <definedName name="Workbook.Author">#REF!</definedName>
    <definedName name="Workbook.Authors_Email_Address">#REF!</definedName>
    <definedName name="Workbook.Objective">#REF!</definedName>
    <definedName name="Workbook.Status">#REF!</definedName>
    <definedName name="Workbook.Title">#REF!</definedName>
    <definedName name="Workbook.Version">#REF!</definedName>
    <definedName name="wrn.PandL." hidden="1">{"P&amp;L",#N/A,FALSE,"annual"}</definedName>
    <definedName name="wrn.Vodafone._.printout." hidden="1">{"Groupannual",#N/A,FALSE,"Groupannual";"VodMann",#N/A,FALSE,"VodMann";"Data",#N/A,FALSE,"Data";"Group International",#N/A,FALSE,"Group International";"BellAir",#N/A,FALSE,"BellAir";"DCF sum of parts",#N/A,FALSE,"DCF sum of parts";"licences",#N/A,FALSE,"licences"}</definedName>
    <definedName name="Year_ending_March">#REF!</definedName>
    <definedName name="years">#REF!</definedName>
    <definedName name="Yellow">#REF!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09" i="15" l="1"/>
  <c r="Y209" i="15"/>
  <c r="X209" i="15"/>
  <c r="W209" i="15"/>
  <c r="V209" i="15"/>
  <c r="U209" i="15"/>
  <c r="T209" i="15"/>
  <c r="Z208" i="15"/>
  <c r="Y208" i="15"/>
  <c r="X208" i="15"/>
  <c r="W208" i="15"/>
  <c r="V208" i="15"/>
  <c r="U208" i="15"/>
  <c r="T208" i="15"/>
  <c r="Z205" i="15"/>
  <c r="Y205" i="15"/>
  <c r="X205" i="15"/>
  <c r="W205" i="15"/>
  <c r="V205" i="15"/>
  <c r="U205" i="15"/>
  <c r="T205" i="15"/>
  <c r="Z202" i="15"/>
  <c r="Y202" i="15"/>
  <c r="X202" i="15"/>
  <c r="W202" i="15"/>
  <c r="V202" i="15"/>
  <c r="U202" i="15"/>
  <c r="T202" i="15"/>
  <c r="Z201" i="15"/>
  <c r="Y201" i="15"/>
  <c r="X201" i="15"/>
  <c r="W201" i="15"/>
  <c r="V201" i="15"/>
  <c r="U201" i="15"/>
  <c r="T201" i="15"/>
  <c r="W197" i="15"/>
  <c r="V197" i="15"/>
  <c r="U197" i="15"/>
  <c r="T197" i="15"/>
  <c r="Z196" i="15"/>
  <c r="Y196" i="15"/>
  <c r="X196" i="15"/>
  <c r="W196" i="15"/>
  <c r="V196" i="15"/>
  <c r="U196" i="15"/>
  <c r="T196" i="15"/>
  <c r="W195" i="15"/>
  <c r="V195" i="15"/>
  <c r="Z194" i="15"/>
  <c r="Y194" i="15"/>
  <c r="X194" i="15"/>
  <c r="W194" i="15"/>
  <c r="V194" i="15"/>
  <c r="U194" i="15"/>
  <c r="T194" i="15"/>
  <c r="Z193" i="15"/>
  <c r="Z198" i="15" s="1"/>
  <c r="Y193" i="15"/>
  <c r="Y198" i="15" s="1"/>
  <c r="X193" i="15"/>
  <c r="X198" i="15" s="1"/>
  <c r="W193" i="15"/>
  <c r="W198" i="15" s="1"/>
  <c r="V193" i="15"/>
  <c r="V198" i="15" s="1"/>
  <c r="U193" i="15"/>
  <c r="U198" i="15" s="1"/>
  <c r="T193" i="15"/>
  <c r="T198" i="15" s="1"/>
  <c r="Z192" i="15"/>
  <c r="Y192" i="15"/>
  <c r="X192" i="15"/>
  <c r="W192" i="15"/>
  <c r="V192" i="15"/>
  <c r="V199" i="15" s="1"/>
  <c r="V203" i="15" s="1"/>
  <c r="V206" i="15" s="1"/>
  <c r="U192" i="15"/>
  <c r="T192" i="15"/>
  <c r="AA98" i="1"/>
  <c r="W199" i="15" l="1"/>
  <c r="W203" i="15" s="1"/>
  <c r="W206" i="15" s="1"/>
  <c r="AC93" i="15"/>
  <c r="AB93" i="15"/>
  <c r="AA93" i="15"/>
  <c r="AC92" i="15"/>
  <c r="AB92" i="15"/>
  <c r="AA92" i="15"/>
  <c r="AB90" i="15"/>
  <c r="AA90" i="15"/>
  <c r="AC90" i="15"/>
  <c r="AC378" i="1"/>
  <c r="AB378" i="1"/>
  <c r="AA194" i="15"/>
  <c r="AB194" i="15"/>
  <c r="AA195" i="15"/>
  <c r="AB195" i="15"/>
  <c r="AA196" i="15"/>
  <c r="AB196" i="15"/>
  <c r="AA197" i="15"/>
  <c r="AB197" i="15"/>
  <c r="AB205" i="15"/>
  <c r="AI193" i="15"/>
  <c r="AC202" i="15"/>
  <c r="AC205" i="15"/>
  <c r="AC197" i="15"/>
  <c r="AC196" i="15"/>
  <c r="AC195" i="15"/>
  <c r="AC194" i="15"/>
  <c r="Y82" i="40"/>
  <c r="Y83" i="40" s="1"/>
  <c r="X82" i="40"/>
  <c r="X83" i="40" s="1"/>
  <c r="W82" i="40"/>
  <c r="X103" i="40"/>
  <c r="X131" i="40" s="1"/>
  <c r="Y103" i="40"/>
  <c r="Y131" i="40" s="1"/>
  <c r="W103" i="40"/>
  <c r="W131" i="40" s="1"/>
  <c r="Y102" i="40"/>
  <c r="Y130" i="40" s="1"/>
  <c r="X102" i="40"/>
  <c r="X130" i="40" s="1"/>
  <c r="W102" i="40"/>
  <c r="W130" i="40" s="1"/>
  <c r="AA102" i="40"/>
  <c r="AA130" i="40" s="1"/>
  <c r="BN69" i="38"/>
  <c r="BM69" i="38" s="1"/>
  <c r="Z102" i="40" s="1"/>
  <c r="Z130" i="40" s="1"/>
  <c r="AC102" i="40"/>
  <c r="AC130" i="40" s="1"/>
  <c r="AB102" i="40"/>
  <c r="AB130" i="40" s="1"/>
  <c r="X94" i="40"/>
  <c r="X95" i="40" s="1"/>
  <c r="Y94" i="40"/>
  <c r="Y125" i="40" s="1"/>
  <c r="W94" i="40"/>
  <c r="W95" i="40" s="1"/>
  <c r="Y88" i="40"/>
  <c r="Y122" i="40" s="1"/>
  <c r="X88" i="40"/>
  <c r="X122" i="40" s="1"/>
  <c r="W88" i="40"/>
  <c r="W122" i="40" s="1"/>
  <c r="BL119" i="38"/>
  <c r="BK119" i="38"/>
  <c r="BJ119" i="38"/>
  <c r="BJ137" i="38" s="1"/>
  <c r="BJ140" i="38" s="1"/>
  <c r="BL113" i="38"/>
  <c r="BK113" i="38"/>
  <c r="BJ113" i="38"/>
  <c r="Y76" i="40"/>
  <c r="Y119" i="40" s="1"/>
  <c r="X76" i="40"/>
  <c r="X119" i="40" s="1"/>
  <c r="W76" i="40"/>
  <c r="W119" i="40" s="1"/>
  <c r="Y64" i="40"/>
  <c r="Y116" i="40" s="1"/>
  <c r="X64" i="40"/>
  <c r="X116" i="40" s="1"/>
  <c r="W64" i="40"/>
  <c r="W116" i="40" s="1"/>
  <c r="Y46" i="40"/>
  <c r="X46" i="40"/>
  <c r="W46" i="40"/>
  <c r="V46" i="40"/>
  <c r="V47" i="40"/>
  <c r="Y50" i="40"/>
  <c r="X50" i="40"/>
  <c r="W50" i="40"/>
  <c r="BI491" i="38"/>
  <c r="BI490" i="38"/>
  <c r="BI489" i="38"/>
  <c r="BI488" i="38"/>
  <c r="BI486" i="38"/>
  <c r="BI485" i="38"/>
  <c r="BI484" i="38"/>
  <c r="BI483" i="38"/>
  <c r="Y45" i="40"/>
  <c r="X45" i="40"/>
  <c r="W45" i="40"/>
  <c r="BL484" i="38"/>
  <c r="Y42" i="40" s="1"/>
  <c r="BK484" i="38"/>
  <c r="X42" i="40" s="1"/>
  <c r="BJ484" i="38"/>
  <c r="W42" i="40" s="1"/>
  <c r="X36" i="40"/>
  <c r="Y36" i="40"/>
  <c r="Y38" i="40"/>
  <c r="X38" i="40"/>
  <c r="W38" i="40"/>
  <c r="Y39" i="40"/>
  <c r="X39" i="40"/>
  <c r="W39" i="40"/>
  <c r="T39" i="40"/>
  <c r="S39" i="40"/>
  <c r="R39" i="40"/>
  <c r="U39" i="40"/>
  <c r="Z33" i="40"/>
  <c r="Y33" i="40"/>
  <c r="X33" i="40"/>
  <c r="W33" i="40"/>
  <c r="T33" i="40"/>
  <c r="S33" i="40"/>
  <c r="R33" i="40"/>
  <c r="U33" i="40"/>
  <c r="Z100" i="40"/>
  <c r="Y100" i="40"/>
  <c r="X100" i="40"/>
  <c r="W100" i="40"/>
  <c r="W83" i="40"/>
  <c r="Y58" i="40"/>
  <c r="Y113" i="40" s="1"/>
  <c r="X58" i="40"/>
  <c r="X113" i="40" s="1"/>
  <c r="W58" i="40"/>
  <c r="W113" i="40" s="1"/>
  <c r="Y57" i="40"/>
  <c r="X57" i="40"/>
  <c r="W57" i="40"/>
  <c r="W125" i="40" l="1"/>
  <c r="BL137" i="38"/>
  <c r="BL140" i="38" s="1"/>
  <c r="Y95" i="40"/>
  <c r="BK137" i="38"/>
  <c r="BK140" i="38" s="1"/>
  <c r="X125" i="40"/>
  <c r="Y37" i="40"/>
  <c r="X37" i="40"/>
  <c r="W37" i="40"/>
  <c r="W36" i="40"/>
  <c r="Y494" i="1"/>
  <c r="X494" i="1"/>
  <c r="AO486" i="38"/>
  <c r="AT486" i="38"/>
  <c r="P406" i="37"/>
  <c r="AC98" i="1" s="1"/>
  <c r="Q406" i="37"/>
  <c r="AD98" i="1" s="1"/>
  <c r="R406" i="37"/>
  <c r="AE98" i="1" s="1"/>
  <c r="S406" i="37"/>
  <c r="AF98" i="1" s="1"/>
  <c r="T406" i="37"/>
  <c r="AG98" i="1" s="1"/>
  <c r="O406" i="37"/>
  <c r="AB98" i="1" s="1"/>
  <c r="BJ482" i="38"/>
  <c r="BJ497" i="38" s="1"/>
  <c r="AB33" i="40"/>
  <c r="AC33" i="40"/>
  <c r="AA33" i="40"/>
  <c r="AC93" i="40"/>
  <c r="AC75" i="40"/>
  <c r="AC69" i="40"/>
  <c r="AC63" i="40"/>
  <c r="AC57" i="40"/>
  <c r="AC53" i="40"/>
  <c r="AC31" i="40"/>
  <c r="AC22" i="40"/>
  <c r="BJ538" i="38"/>
  <c r="BK538" i="38" s="1"/>
  <c r="BL538" i="38" s="1"/>
  <c r="X26" i="40"/>
  <c r="Y26" i="40"/>
  <c r="W26" i="40"/>
  <c r="Y22" i="40"/>
  <c r="X22" i="40"/>
  <c r="Y21" i="40"/>
  <c r="X21" i="40"/>
  <c r="W22" i="40"/>
  <c r="W21" i="40"/>
  <c r="Y20" i="1"/>
  <c r="Z20" i="1"/>
  <c r="AA20" i="1"/>
  <c r="BI442" i="38"/>
  <c r="BD442" i="38"/>
  <c r="AY442" i="38"/>
  <c r="BI458" i="38"/>
  <c r="BD458" i="38"/>
  <c r="AY458" i="38"/>
  <c r="BL457" i="38"/>
  <c r="BK457" i="38"/>
  <c r="BJ457" i="38"/>
  <c r="Y20" i="40"/>
  <c r="X20" i="40"/>
  <c r="W20" i="40"/>
  <c r="X16" i="40"/>
  <c r="Y16" i="40"/>
  <c r="W16" i="40"/>
  <c r="X17" i="40"/>
  <c r="Y17" i="40"/>
  <c r="W17" i="40"/>
  <c r="Y15" i="40"/>
  <c r="X15" i="40"/>
  <c r="W15" i="40"/>
  <c r="Y11" i="40"/>
  <c r="X11" i="40"/>
  <c r="W11" i="40"/>
  <c r="U11" i="40"/>
  <c r="T11" i="40"/>
  <c r="BF446" i="38"/>
  <c r="S11" i="40" s="1"/>
  <c r="BE446" i="38"/>
  <c r="R11" i="40" s="1"/>
  <c r="BC446" i="38"/>
  <c r="P11" i="40" s="1"/>
  <c r="BB446" i="38"/>
  <c r="O11" i="40" s="1"/>
  <c r="BA446" i="38"/>
  <c r="N11" i="40" s="1"/>
  <c r="AZ446" i="38"/>
  <c r="M11" i="40" s="1"/>
  <c r="BL441" i="38"/>
  <c r="BK441" i="38"/>
  <c r="BJ441" i="38"/>
  <c r="Y12" i="40"/>
  <c r="X12" i="40"/>
  <c r="W12" i="40"/>
  <c r="V26" i="40"/>
  <c r="Y10" i="40"/>
  <c r="X10" i="40"/>
  <c r="W10" i="40"/>
  <c r="Y9" i="40"/>
  <c r="X9" i="40"/>
  <c r="W9" i="40"/>
  <c r="M407" i="37"/>
  <c r="L407" i="37"/>
  <c r="N407" i="37"/>
  <c r="AA97" i="1" s="1"/>
  <c r="N403" i="37"/>
  <c r="AC91" i="15" s="1"/>
  <c r="M403" i="37"/>
  <c r="AB91" i="15" s="1"/>
  <c r="L403" i="37"/>
  <c r="AA91" i="15" s="1"/>
  <c r="BI417" i="38"/>
  <c r="BL482" i="38" l="1"/>
  <c r="Y32" i="40" s="1"/>
  <c r="Y34" i="40" s="1"/>
  <c r="Y40" i="40" s="1"/>
  <c r="Y43" i="40" s="1"/>
  <c r="Y48" i="40" s="1"/>
  <c r="Y51" i="40" s="1"/>
  <c r="O402" i="37"/>
  <c r="AD93" i="15"/>
  <c r="T402" i="37"/>
  <c r="AI93" i="15"/>
  <c r="S402" i="37"/>
  <c r="AH93" i="15"/>
  <c r="P402" i="37"/>
  <c r="AE93" i="15"/>
  <c r="R402" i="37"/>
  <c r="AG93" i="15"/>
  <c r="Q402" i="37"/>
  <c r="AF93" i="15"/>
  <c r="BK482" i="38"/>
  <c r="X32" i="40" s="1"/>
  <c r="X34" i="40" s="1"/>
  <c r="X40" i="40" s="1"/>
  <c r="X43" i="40" s="1"/>
  <c r="X48" i="40" s="1"/>
  <c r="X51" i="40" s="1"/>
  <c r="W32" i="40"/>
  <c r="W34" i="40" s="1"/>
  <c r="W40" i="40" s="1"/>
  <c r="W43" i="40" s="1"/>
  <c r="W48" i="40" s="1"/>
  <c r="W51" i="40" s="1"/>
  <c r="D6399" i="22"/>
  <c r="E6399" i="22" s="1"/>
  <c r="F6399" i="22" s="1"/>
  <c r="G6399" i="22" s="1"/>
  <c r="H6399" i="22" s="1"/>
  <c r="E6400" i="22"/>
  <c r="F6400" i="22" s="1"/>
  <c r="G6400" i="22" s="1"/>
  <c r="H6400" i="22" s="1"/>
  <c r="D6422" i="22"/>
  <c r="C6429" i="22"/>
  <c r="D6429" i="22" s="1"/>
  <c r="AC172" i="1"/>
  <c r="AD172" i="1" s="1"/>
  <c r="AE172" i="1" s="1"/>
  <c r="AF172" i="1" s="1"/>
  <c r="AG172" i="1" s="1"/>
  <c r="AA174" i="1"/>
  <c r="AB174" i="1" s="1"/>
  <c r="AC174" i="1" s="1"/>
  <c r="AD174" i="1" s="1"/>
  <c r="AE174" i="1" s="1"/>
  <c r="AF174" i="1" s="1"/>
  <c r="AG174" i="1" s="1"/>
  <c r="AB389" i="1"/>
  <c r="AA392" i="1"/>
  <c r="AR488" i="1"/>
  <c r="AR489" i="1" s="1"/>
  <c r="Z233" i="1"/>
  <c r="AB188" i="1"/>
  <c r="AN512" i="1"/>
  <c r="AM512" i="1"/>
  <c r="AN500" i="1"/>
  <c r="AN503" i="1" s="1"/>
  <c r="AM500" i="1"/>
  <c r="AM503" i="1" s="1"/>
  <c r="AN494" i="1"/>
  <c r="AM494" i="1"/>
  <c r="Q412" i="37"/>
  <c r="R412" i="37" s="1"/>
  <c r="S412" i="37" s="1"/>
  <c r="T412" i="37" s="1"/>
  <c r="P349" i="37"/>
  <c r="Q349" i="37" s="1"/>
  <c r="R349" i="37" s="1"/>
  <c r="BM250" i="38"/>
  <c r="BL250" i="38"/>
  <c r="BK250" i="38"/>
  <c r="BJ250" i="38"/>
  <c r="BM206" i="38"/>
  <c r="BL206" i="38"/>
  <c r="BK206" i="38"/>
  <c r="BJ206" i="38"/>
  <c r="BM188" i="38"/>
  <c r="BL188" i="38"/>
  <c r="BK188" i="38"/>
  <c r="BJ188" i="38"/>
  <c r="BM186" i="38"/>
  <c r="BL186" i="38"/>
  <c r="BK186" i="38"/>
  <c r="BJ186" i="38"/>
  <c r="BM185" i="38"/>
  <c r="BL185" i="38"/>
  <c r="BK185" i="38"/>
  <c r="BJ185" i="38"/>
  <c r="BM38" i="38"/>
  <c r="BM102" i="38" s="1"/>
  <c r="BM178" i="38" s="1"/>
  <c r="BM349" i="38" s="1"/>
  <c r="BM382" i="38" s="1"/>
  <c r="BL38" i="38"/>
  <c r="BL102" i="38" s="1"/>
  <c r="BL178" i="38" s="1"/>
  <c r="BL349" i="38" s="1"/>
  <c r="BL382" i="38" s="1"/>
  <c r="BK38" i="38"/>
  <c r="BK102" i="38" s="1"/>
  <c r="BK178" i="38" s="1"/>
  <c r="BK349" i="38" s="1"/>
  <c r="BK382" i="38" s="1"/>
  <c r="BJ38" i="38"/>
  <c r="BJ102" i="38" s="1"/>
  <c r="BJ178" i="38" s="1"/>
  <c r="BJ349" i="38" s="1"/>
  <c r="BJ382" i="38" s="1"/>
  <c r="Q310" i="37" a="1"/>
  <c r="BL408" i="38" l="1"/>
  <c r="BL436" i="38"/>
  <c r="BL481" i="38" s="1"/>
  <c r="BM408" i="38"/>
  <c r="BM436" i="38"/>
  <c r="BM481" i="38" s="1"/>
  <c r="BK408" i="38"/>
  <c r="BK436" i="38"/>
  <c r="BK481" i="38" s="1"/>
  <c r="BJ408" i="38"/>
  <c r="BJ436" i="38"/>
  <c r="BJ481" i="38" s="1"/>
  <c r="Q310" i="37"/>
  <c r="BN32" i="38"/>
  <c r="BM32" i="38" s="1"/>
  <c r="BJ85" i="38"/>
  <c r="BJ84" i="38"/>
  <c r="BK84" i="38" s="1"/>
  <c r="BL84" i="38" s="1"/>
  <c r="BM84" i="38" s="1"/>
  <c r="BN48" i="38"/>
  <c r="BN46" i="38"/>
  <c r="BN45" i="38"/>
  <c r="P131" i="37"/>
  <c r="Q131" i="37" s="1"/>
  <c r="R131" i="37" s="1"/>
  <c r="S131" i="37" s="1"/>
  <c r="T131" i="37" s="1"/>
  <c r="P125" i="37"/>
  <c r="Q125" i="37" s="1"/>
  <c r="R125" i="37" s="1"/>
  <c r="S125" i="37" s="1"/>
  <c r="T125" i="37" s="1"/>
  <c r="P124" i="37"/>
  <c r="Q124" i="37" s="1"/>
  <c r="R124" i="37" s="1"/>
  <c r="S124" i="37" s="1"/>
  <c r="T124" i="37" s="1"/>
  <c r="P129" i="37"/>
  <c r="Q129" i="37" s="1"/>
  <c r="R129" i="37" s="1"/>
  <c r="S129" i="37" s="1"/>
  <c r="T129" i="37" s="1"/>
  <c r="Y140" i="37"/>
  <c r="Z140" i="37"/>
  <c r="N125" i="13"/>
  <c r="M125" i="13"/>
  <c r="L125" i="13"/>
  <c r="N30" i="13"/>
  <c r="N23" i="13"/>
  <c r="AC201" i="15" s="1"/>
  <c r="V123" i="45"/>
  <c r="BM275" i="38"/>
  <c r="BM300" i="38" s="1"/>
  <c r="BL275" i="38"/>
  <c r="BL300" i="38" s="1"/>
  <c r="BK275" i="38"/>
  <c r="BK300" i="38" s="1"/>
  <c r="BJ275" i="38"/>
  <c r="BJ300" i="38" s="1"/>
  <c r="BN256" i="38"/>
  <c r="BM256" i="38" s="1"/>
  <c r="BL256" i="38" s="1"/>
  <c r="BK256" i="38" s="1"/>
  <c r="BJ256" i="38" s="1"/>
  <c r="BM259" i="38"/>
  <c r="BL259" i="38" s="1"/>
  <c r="BK259" i="38" s="1"/>
  <c r="BJ259" i="38" s="1"/>
  <c r="BM258" i="38"/>
  <c r="BL258" i="38" s="1"/>
  <c r="BK258" i="38" s="1"/>
  <c r="BJ258" i="38" s="1"/>
  <c r="BM257" i="38"/>
  <c r="BL257" i="38" s="1"/>
  <c r="BK257" i="38" s="1"/>
  <c r="BJ257" i="38" s="1"/>
  <c r="BM360" i="38"/>
  <c r="BM359" i="38"/>
  <c r="BL311" i="38"/>
  <c r="BL310" i="38"/>
  <c r="BL285" i="38" s="1"/>
  <c r="BK310" i="38"/>
  <c r="BK285" i="38" s="1"/>
  <c r="BJ310" i="38"/>
  <c r="BJ285" i="38" s="1"/>
  <c r="BL309" i="38"/>
  <c r="BL284" i="38" s="1"/>
  <c r="BL307" i="38"/>
  <c r="BK307" i="38"/>
  <c r="BJ307" i="38"/>
  <c r="BI260" i="38"/>
  <c r="BI252" i="38"/>
  <c r="AY262" i="38"/>
  <c r="AY261" i="38"/>
  <c r="AY260" i="38"/>
  <c r="AY259" i="38"/>
  <c r="AY258" i="38"/>
  <c r="AY257" i="38"/>
  <c r="AY256" i="38"/>
  <c r="AY255" i="38"/>
  <c r="AY254" i="38"/>
  <c r="AY253" i="38"/>
  <c r="AY252" i="38"/>
  <c r="AY251" i="38"/>
  <c r="BI262" i="38"/>
  <c r="BI261" i="38"/>
  <c r="BI259" i="38"/>
  <c r="BI258" i="38"/>
  <c r="BI257" i="38"/>
  <c r="BI256" i="38"/>
  <c r="BI255" i="38"/>
  <c r="BI254" i="38"/>
  <c r="BI253" i="38"/>
  <c r="BI251" i="38"/>
  <c r="BD262" i="38"/>
  <c r="BD261" i="38"/>
  <c r="BD260" i="38"/>
  <c r="BD259" i="38"/>
  <c r="BD258" i="38"/>
  <c r="BD257" i="38"/>
  <c r="BD256" i="38"/>
  <c r="BD255" i="38"/>
  <c r="BD254" i="38"/>
  <c r="BD253" i="38"/>
  <c r="BD252" i="38"/>
  <c r="BD251" i="38"/>
  <c r="N176" i="37"/>
  <c r="N175" i="37"/>
  <c r="N174" i="37"/>
  <c r="BI285" i="38"/>
  <c r="BI284" i="38"/>
  <c r="BI283" i="38"/>
  <c r="BI282" i="38"/>
  <c r="N172" i="37" s="1"/>
  <c r="M721" i="1"/>
  <c r="M719" i="1"/>
  <c r="M718" i="1"/>
  <c r="M717" i="1"/>
  <c r="M716" i="1"/>
  <c r="M715" i="1"/>
  <c r="M714" i="1"/>
  <c r="M713" i="1"/>
  <c r="M712" i="1"/>
  <c r="M711" i="1"/>
  <c r="M710" i="1"/>
  <c r="M709" i="1"/>
  <c r="A706" i="1"/>
  <c r="A723" i="1" s="1"/>
  <c r="A705" i="1"/>
  <c r="A722" i="1" s="1"/>
  <c r="A704" i="1"/>
  <c r="A721" i="1" s="1"/>
  <c r="O703" i="1"/>
  <c r="M703" i="1"/>
  <c r="A703" i="1"/>
  <c r="A720" i="1" s="1"/>
  <c r="A702" i="1"/>
  <c r="A719" i="1" s="1"/>
  <c r="A701" i="1"/>
  <c r="A718" i="1" s="1"/>
  <c r="A700" i="1"/>
  <c r="A717" i="1" s="1"/>
  <c r="A699" i="1"/>
  <c r="A716" i="1" s="1"/>
  <c r="A698" i="1"/>
  <c r="A715" i="1" s="1"/>
  <c r="A697" i="1"/>
  <c r="A714" i="1" s="1"/>
  <c r="A696" i="1"/>
  <c r="A713" i="1" s="1"/>
  <c r="A695" i="1"/>
  <c r="A712" i="1" s="1"/>
  <c r="A694" i="1"/>
  <c r="A711" i="1" s="1"/>
  <c r="A693" i="1"/>
  <c r="A710" i="1" s="1"/>
  <c r="A692" i="1"/>
  <c r="A709" i="1" s="1"/>
  <c r="Y669" i="1"/>
  <c r="X668" i="1"/>
  <c r="AA663" i="1"/>
  <c r="U661" i="1"/>
  <c r="U660" i="1"/>
  <c r="U658" i="1"/>
  <c r="T658" i="1"/>
  <c r="S658" i="1"/>
  <c r="R658" i="1"/>
  <c r="U657" i="1"/>
  <c r="Q657" i="1"/>
  <c r="U656" i="1"/>
  <c r="Q656" i="1"/>
  <c r="S655" i="1"/>
  <c r="R655" i="1"/>
  <c r="Q655" i="1"/>
  <c r="P655" i="1"/>
  <c r="S654" i="1"/>
  <c r="R654" i="1"/>
  <c r="Q654" i="1"/>
  <c r="U653" i="1"/>
  <c r="T653" i="1"/>
  <c r="S653" i="1"/>
  <c r="R653" i="1"/>
  <c r="Q653" i="1"/>
  <c r="P653" i="1"/>
  <c r="U652" i="1"/>
  <c r="Q652" i="1"/>
  <c r="P652" i="1"/>
  <c r="S651" i="1"/>
  <c r="R651" i="1"/>
  <c r="Q651" i="1"/>
  <c r="S650" i="1"/>
  <c r="R650" i="1"/>
  <c r="Q650" i="1"/>
  <c r="Q649" i="1"/>
  <c r="P649" i="1"/>
  <c r="Q648" i="1"/>
  <c r="AG645" i="1"/>
  <c r="AF645" i="1"/>
  <c r="AE645" i="1"/>
  <c r="AD645" i="1"/>
  <c r="AC645" i="1"/>
  <c r="AB645" i="1"/>
  <c r="AA645" i="1"/>
  <c r="Z645" i="1"/>
  <c r="Y645" i="1"/>
  <c r="X645" i="1"/>
  <c r="W645" i="1"/>
  <c r="V645" i="1"/>
  <c r="U645" i="1"/>
  <c r="T645" i="1"/>
  <c r="S645" i="1"/>
  <c r="R645" i="1"/>
  <c r="Q645" i="1"/>
  <c r="P645" i="1"/>
  <c r="H645" i="1"/>
  <c r="G645" i="1"/>
  <c r="R641" i="1"/>
  <c r="Q641" i="1"/>
  <c r="P641" i="1"/>
  <c r="O641" i="1"/>
  <c r="N641" i="1"/>
  <c r="L641" i="1"/>
  <c r="K641" i="1"/>
  <c r="J641" i="1"/>
  <c r="H641" i="1"/>
  <c r="G641" i="1"/>
  <c r="T627" i="1"/>
  <c r="T571" i="1" s="1"/>
  <c r="T626" i="1"/>
  <c r="M619" i="1"/>
  <c r="M641" i="1" s="1"/>
  <c r="I619" i="1"/>
  <c r="AG613" i="1"/>
  <c r="AF613" i="1"/>
  <c r="AE613" i="1"/>
  <c r="AD613" i="1"/>
  <c r="AC613" i="1"/>
  <c r="AB613" i="1"/>
  <c r="AA613" i="1"/>
  <c r="Z613" i="1"/>
  <c r="Y613" i="1"/>
  <c r="X613" i="1"/>
  <c r="W613" i="1"/>
  <c r="T613" i="1"/>
  <c r="S613" i="1"/>
  <c r="Q613" i="1"/>
  <c r="P613" i="1"/>
  <c r="N613" i="1"/>
  <c r="M613" i="1"/>
  <c r="G613" i="1"/>
  <c r="V609" i="1"/>
  <c r="V613" i="1" s="1"/>
  <c r="A607" i="1"/>
  <c r="A635" i="1" s="1"/>
  <c r="A663" i="1" s="1"/>
  <c r="O595" i="1"/>
  <c r="O594" i="1"/>
  <c r="U593" i="1"/>
  <c r="U613" i="1" s="1"/>
  <c r="R591" i="1"/>
  <c r="R613" i="1" s="1"/>
  <c r="K591" i="1"/>
  <c r="AO585" i="1"/>
  <c r="AN585" i="1"/>
  <c r="Y585" i="1"/>
  <c r="X585" i="1"/>
  <c r="X422" i="1" s="1"/>
  <c r="U585" i="1"/>
  <c r="T585" i="1"/>
  <c r="S585" i="1"/>
  <c r="S422" i="1" s="1"/>
  <c r="R585" i="1"/>
  <c r="R422" i="1" s="1"/>
  <c r="Q585" i="1"/>
  <c r="Q689" i="1" s="1"/>
  <c r="P585" i="1"/>
  <c r="P422" i="1" s="1"/>
  <c r="Y584" i="1"/>
  <c r="Y556" i="1" s="1"/>
  <c r="V584" i="1"/>
  <c r="V556" i="1" s="1"/>
  <c r="V583" i="1"/>
  <c r="V555" i="1" s="1"/>
  <c r="V582" i="1"/>
  <c r="V580" i="1"/>
  <c r="V552" i="1" s="1"/>
  <c r="W579" i="1"/>
  <c r="X579" i="1" s="1"/>
  <c r="X551" i="1" s="1"/>
  <c r="V578" i="1"/>
  <c r="V550" i="1" s="1"/>
  <c r="V577" i="1"/>
  <c r="S577" i="1"/>
  <c r="S549" i="1" s="1"/>
  <c r="V576" i="1"/>
  <c r="V660" i="1" s="1"/>
  <c r="S576" i="1"/>
  <c r="S548" i="1" s="1"/>
  <c r="R575" i="1"/>
  <c r="V574" i="1"/>
  <c r="W574" i="1" s="1"/>
  <c r="V573" i="1"/>
  <c r="V545" i="1" s="1"/>
  <c r="R573" i="1"/>
  <c r="S573" i="1" s="1"/>
  <c r="T657" i="1" s="1"/>
  <c r="P573" i="1"/>
  <c r="P657" i="1" s="1"/>
  <c r="S572" i="1"/>
  <c r="S544" i="1" s="1"/>
  <c r="R572" i="1"/>
  <c r="R544" i="1" s="1"/>
  <c r="T570" i="1"/>
  <c r="I570" i="1"/>
  <c r="J570" i="1" s="1"/>
  <c r="K570" i="1" s="1"/>
  <c r="L570" i="1" s="1"/>
  <c r="M570" i="1" s="1"/>
  <c r="N570" i="1" s="1"/>
  <c r="O570" i="1" s="1"/>
  <c r="V569" i="1"/>
  <c r="V541" i="1" s="1"/>
  <c r="I569" i="1"/>
  <c r="J569" i="1" s="1"/>
  <c r="V568" i="1"/>
  <c r="W568" i="1" s="1"/>
  <c r="W540" i="1" s="1"/>
  <c r="S568" i="1"/>
  <c r="T652" i="1" s="1"/>
  <c r="R568" i="1"/>
  <c r="T567" i="1"/>
  <c r="T539" i="1" s="1"/>
  <c r="I567" i="1"/>
  <c r="J567" i="1" s="1"/>
  <c r="J539" i="1" s="1"/>
  <c r="T566" i="1"/>
  <c r="I566" i="1"/>
  <c r="I538" i="1" s="1"/>
  <c r="T565" i="1"/>
  <c r="T537" i="1" s="1"/>
  <c r="R564" i="1"/>
  <c r="S564" i="1" s="1"/>
  <c r="I564" i="1"/>
  <c r="L563" i="1"/>
  <c r="K563" i="1"/>
  <c r="J563" i="1"/>
  <c r="I563" i="1"/>
  <c r="H563" i="1"/>
  <c r="G563" i="1"/>
  <c r="I562" i="1"/>
  <c r="H562" i="1"/>
  <c r="I618" i="1" s="1"/>
  <c r="G562" i="1"/>
  <c r="L561" i="1"/>
  <c r="K561" i="1"/>
  <c r="J561" i="1"/>
  <c r="H561" i="1"/>
  <c r="N560" i="1"/>
  <c r="M560" i="1"/>
  <c r="L560" i="1"/>
  <c r="K560" i="1"/>
  <c r="J560" i="1"/>
  <c r="H560" i="1"/>
  <c r="G560" i="1"/>
  <c r="G644" i="1" s="1"/>
  <c r="A557" i="1"/>
  <c r="X556" i="1"/>
  <c r="U556" i="1"/>
  <c r="T556" i="1"/>
  <c r="S556" i="1"/>
  <c r="R556" i="1"/>
  <c r="A556" i="1"/>
  <c r="A584" i="1" s="1"/>
  <c r="A612" i="1" s="1"/>
  <c r="A640" i="1" s="1"/>
  <c r="A668" i="1" s="1"/>
  <c r="U555" i="1"/>
  <c r="T555" i="1"/>
  <c r="S555" i="1"/>
  <c r="R555" i="1"/>
  <c r="A555" i="1"/>
  <c r="A583" i="1" s="1"/>
  <c r="A611" i="1" s="1"/>
  <c r="A639" i="1" s="1"/>
  <c r="A667" i="1" s="1"/>
  <c r="U554" i="1"/>
  <c r="T554" i="1"/>
  <c r="S554" i="1"/>
  <c r="R554" i="1"/>
  <c r="A554" i="1"/>
  <c r="A582" i="1" s="1"/>
  <c r="A610" i="1" s="1"/>
  <c r="A638" i="1" s="1"/>
  <c r="A666" i="1" s="1"/>
  <c r="U553" i="1"/>
  <c r="T553" i="1"/>
  <c r="S553" i="1"/>
  <c r="R553" i="1"/>
  <c r="A553" i="1"/>
  <c r="A581" i="1" s="1"/>
  <c r="A609" i="1" s="1"/>
  <c r="A637" i="1" s="1"/>
  <c r="A665" i="1" s="1"/>
  <c r="U552" i="1"/>
  <c r="T552" i="1"/>
  <c r="S552" i="1"/>
  <c r="R552" i="1"/>
  <c r="A552" i="1"/>
  <c r="A580" i="1" s="1"/>
  <c r="A608" i="1" s="1"/>
  <c r="A636" i="1" s="1"/>
  <c r="A664" i="1" s="1"/>
  <c r="V551" i="1"/>
  <c r="A551" i="1"/>
  <c r="U550" i="1"/>
  <c r="T550" i="1"/>
  <c r="S550" i="1"/>
  <c r="R550" i="1"/>
  <c r="A550" i="1"/>
  <c r="A578" i="1" s="1"/>
  <c r="A606" i="1" s="1"/>
  <c r="A634" i="1" s="1"/>
  <c r="A662" i="1" s="1"/>
  <c r="U549" i="1"/>
  <c r="T549" i="1"/>
  <c r="R549" i="1"/>
  <c r="A549" i="1"/>
  <c r="A577" i="1" s="1"/>
  <c r="A605" i="1" s="1"/>
  <c r="A633" i="1" s="1"/>
  <c r="A661" i="1" s="1"/>
  <c r="U548" i="1"/>
  <c r="T548" i="1"/>
  <c r="R548" i="1"/>
  <c r="A548" i="1"/>
  <c r="A576" i="1" s="1"/>
  <c r="A604" i="1" s="1"/>
  <c r="A632" i="1" s="1"/>
  <c r="A660" i="1" s="1"/>
  <c r="A547" i="1"/>
  <c r="A575" i="1" s="1"/>
  <c r="A603" i="1" s="1"/>
  <c r="A631" i="1" s="1"/>
  <c r="A659" i="1" s="1"/>
  <c r="U546" i="1"/>
  <c r="T546" i="1"/>
  <c r="S546" i="1"/>
  <c r="R546" i="1"/>
  <c r="A546" i="1"/>
  <c r="A574" i="1" s="1"/>
  <c r="A602" i="1" s="1"/>
  <c r="A630" i="1" s="1"/>
  <c r="A658" i="1" s="1"/>
  <c r="Q545" i="1"/>
  <c r="R545" i="1" s="1"/>
  <c r="S545" i="1" s="1"/>
  <c r="T545" i="1" s="1"/>
  <c r="U545" i="1" s="1"/>
  <c r="A545" i="1"/>
  <c r="A573" i="1" s="1"/>
  <c r="A601" i="1" s="1"/>
  <c r="A629" i="1" s="1"/>
  <c r="A657" i="1" s="1"/>
  <c r="U544" i="1"/>
  <c r="T544" i="1"/>
  <c r="Q544" i="1"/>
  <c r="A544" i="1"/>
  <c r="A572" i="1" s="1"/>
  <c r="A600" i="1" s="1"/>
  <c r="A628" i="1" s="1"/>
  <c r="A656" i="1" s="1"/>
  <c r="Q543" i="1"/>
  <c r="R543" i="1" s="1"/>
  <c r="S543" i="1" s="1"/>
  <c r="T543" i="1" s="1"/>
  <c r="U543" i="1" s="1"/>
  <c r="P543" i="1"/>
  <c r="A543" i="1"/>
  <c r="A571" i="1" s="1"/>
  <c r="A599" i="1" s="1"/>
  <c r="A627" i="1" s="1"/>
  <c r="A655" i="1" s="1"/>
  <c r="T542" i="1"/>
  <c r="S542" i="1"/>
  <c r="R542" i="1"/>
  <c r="Q542" i="1"/>
  <c r="P542" i="1"/>
  <c r="A542" i="1"/>
  <c r="A570" i="1" s="1"/>
  <c r="A598" i="1" s="1"/>
  <c r="A626" i="1" s="1"/>
  <c r="A654" i="1" s="1"/>
  <c r="U541" i="1"/>
  <c r="T541" i="1"/>
  <c r="S541" i="1"/>
  <c r="R541" i="1"/>
  <c r="Q541" i="1"/>
  <c r="P541" i="1"/>
  <c r="O541" i="1"/>
  <c r="A541" i="1"/>
  <c r="A569" i="1" s="1"/>
  <c r="A597" i="1" s="1"/>
  <c r="A625" i="1" s="1"/>
  <c r="A653" i="1" s="1"/>
  <c r="U540" i="1"/>
  <c r="T540" i="1"/>
  <c r="Q540" i="1"/>
  <c r="P540" i="1"/>
  <c r="O540" i="1"/>
  <c r="A540" i="1"/>
  <c r="A568" i="1" s="1"/>
  <c r="A596" i="1" s="1"/>
  <c r="A624" i="1" s="1"/>
  <c r="A652" i="1" s="1"/>
  <c r="S539" i="1"/>
  <c r="R539" i="1"/>
  <c r="Q539" i="1"/>
  <c r="P539" i="1"/>
  <c r="A539" i="1"/>
  <c r="A567" i="1" s="1"/>
  <c r="A595" i="1" s="1"/>
  <c r="A623" i="1" s="1"/>
  <c r="A651" i="1" s="1"/>
  <c r="T538" i="1"/>
  <c r="S538" i="1"/>
  <c r="R538" i="1"/>
  <c r="Q538" i="1"/>
  <c r="P538" i="1"/>
  <c r="A538" i="1"/>
  <c r="A566" i="1" s="1"/>
  <c r="A594" i="1" s="1"/>
  <c r="A622" i="1" s="1"/>
  <c r="A650" i="1" s="1"/>
  <c r="S537" i="1"/>
  <c r="R537" i="1"/>
  <c r="Q537" i="1"/>
  <c r="P537" i="1"/>
  <c r="O537" i="1"/>
  <c r="N537" i="1"/>
  <c r="M537" i="1"/>
  <c r="L537" i="1"/>
  <c r="K537" i="1"/>
  <c r="J537" i="1"/>
  <c r="I537" i="1"/>
  <c r="A537" i="1"/>
  <c r="A565" i="1" s="1"/>
  <c r="A593" i="1" s="1"/>
  <c r="A621" i="1" s="1"/>
  <c r="A649" i="1" s="1"/>
  <c r="A536" i="1"/>
  <c r="A564" i="1" s="1"/>
  <c r="A592" i="1" s="1"/>
  <c r="A620" i="1" s="1"/>
  <c r="A648" i="1" s="1"/>
  <c r="O533" i="1"/>
  <c r="O529" i="1"/>
  <c r="O420" i="1" s="1"/>
  <c r="O144" i="1" s="1"/>
  <c r="N529" i="1"/>
  <c r="N420" i="1" s="1"/>
  <c r="N144" i="1" s="1"/>
  <c r="M529" i="1"/>
  <c r="M420" i="1" s="1"/>
  <c r="M144" i="1" s="1"/>
  <c r="L529" i="1"/>
  <c r="L420" i="1" s="1"/>
  <c r="L144" i="1" s="1"/>
  <c r="K529" i="1"/>
  <c r="K420" i="1" s="1"/>
  <c r="K144" i="1" s="1"/>
  <c r="J529" i="1"/>
  <c r="J420" i="1" s="1"/>
  <c r="J144" i="1" s="1"/>
  <c r="H529" i="1"/>
  <c r="H420" i="1" s="1"/>
  <c r="G529" i="1"/>
  <c r="G420" i="1" s="1"/>
  <c r="G144" i="1" s="1"/>
  <c r="P508" i="1"/>
  <c r="P536" i="1" s="1"/>
  <c r="Z507" i="1"/>
  <c r="AA507" i="1" s="1"/>
  <c r="AB507" i="1" s="1"/>
  <c r="AC507" i="1" s="1"/>
  <c r="AD507" i="1" s="1"/>
  <c r="AE507" i="1" s="1"/>
  <c r="AF507" i="1" s="1"/>
  <c r="AG507" i="1" s="1"/>
  <c r="P506" i="1"/>
  <c r="Q506" i="1" s="1"/>
  <c r="R506" i="1" s="1"/>
  <c r="S506" i="1" s="1"/>
  <c r="T506" i="1" s="1"/>
  <c r="U506" i="1" s="1"/>
  <c r="V506" i="1" s="1"/>
  <c r="W506" i="1" s="1"/>
  <c r="X506" i="1" s="1"/>
  <c r="Y506" i="1" s="1"/>
  <c r="Z506" i="1" s="1"/>
  <c r="AA506" i="1" s="1"/>
  <c r="AB506" i="1" s="1"/>
  <c r="AC506" i="1" s="1"/>
  <c r="AD506" i="1" s="1"/>
  <c r="AE506" i="1" s="1"/>
  <c r="AF506" i="1" s="1"/>
  <c r="AG506" i="1" s="1"/>
  <c r="P505" i="1"/>
  <c r="P533" i="1" s="1"/>
  <c r="I505" i="1"/>
  <c r="I561" i="1" s="1"/>
  <c r="P504" i="1"/>
  <c r="I504" i="1"/>
  <c r="H502" i="1"/>
  <c r="I502" i="1" s="1"/>
  <c r="J502" i="1" s="1"/>
  <c r="K502" i="1" s="1"/>
  <c r="L502" i="1" s="1"/>
  <c r="M502" i="1" s="1"/>
  <c r="N502" i="1" s="1"/>
  <c r="O502" i="1" s="1"/>
  <c r="P502" i="1" s="1"/>
  <c r="Q502" i="1" s="1"/>
  <c r="R502" i="1" s="1"/>
  <c r="S502" i="1" s="1"/>
  <c r="T502" i="1" s="1"/>
  <c r="U502" i="1" s="1"/>
  <c r="V502" i="1" s="1"/>
  <c r="W502" i="1" s="1"/>
  <c r="X502" i="1" s="1"/>
  <c r="Y502" i="1" s="1"/>
  <c r="Z502" i="1" s="1"/>
  <c r="AA502" i="1" s="1"/>
  <c r="AB502" i="1" s="1"/>
  <c r="AC502" i="1" s="1"/>
  <c r="AD502" i="1" s="1"/>
  <c r="AE502" i="1" s="1"/>
  <c r="AF502" i="1" s="1"/>
  <c r="AG502" i="1" s="1"/>
  <c r="AA496" i="1"/>
  <c r="AB496" i="1" s="1"/>
  <c r="AC496" i="1" s="1"/>
  <c r="AD496" i="1" s="1"/>
  <c r="AE496" i="1" s="1"/>
  <c r="AF496" i="1" s="1"/>
  <c r="AG496" i="1" s="1"/>
  <c r="Z496" i="1"/>
  <c r="Y496" i="1"/>
  <c r="X496" i="1"/>
  <c r="W496" i="1"/>
  <c r="A495" i="1"/>
  <c r="A490" i="1"/>
  <c r="A488" i="1"/>
  <c r="Z487" i="1"/>
  <c r="Y487" i="1"/>
  <c r="A487" i="1"/>
  <c r="Z486" i="1"/>
  <c r="Y486" i="1"/>
  <c r="A486" i="1"/>
  <c r="A485" i="1"/>
  <c r="A484" i="1"/>
  <c r="A483" i="1"/>
  <c r="A482" i="1"/>
  <c r="A480" i="1"/>
  <c r="A479" i="1"/>
  <c r="A478" i="1"/>
  <c r="A477" i="1"/>
  <c r="A476" i="1"/>
  <c r="A475" i="1"/>
  <c r="A474" i="1"/>
  <c r="AA466" i="1"/>
  <c r="D466" i="1" s="1"/>
  <c r="Z466" i="1"/>
  <c r="Y466" i="1"/>
  <c r="X466" i="1"/>
  <c r="W466" i="1"/>
  <c r="V466" i="1"/>
  <c r="Y464" i="1"/>
  <c r="AB463" i="1"/>
  <c r="AC463" i="1" s="1"/>
  <c r="AD463" i="1" s="1"/>
  <c r="AE463" i="1" s="1"/>
  <c r="AF463" i="1" s="1"/>
  <c r="AG463" i="1" s="1"/>
  <c r="AA461" i="1"/>
  <c r="Z461" i="1"/>
  <c r="Z458" i="1"/>
  <c r="Z490" i="1" s="1"/>
  <c r="Y458" i="1"/>
  <c r="Y490" i="1" s="1"/>
  <c r="AA455" i="1"/>
  <c r="AA487" i="1" s="1"/>
  <c r="AA454" i="1"/>
  <c r="AA486" i="1" s="1"/>
  <c r="Z453" i="1"/>
  <c r="Z485" i="1" s="1"/>
  <c r="Y453" i="1"/>
  <c r="Y485" i="1" s="1"/>
  <c r="Z452" i="1"/>
  <c r="AA452" i="1" s="1"/>
  <c r="AB452" i="1" s="1"/>
  <c r="AC452" i="1" s="1"/>
  <c r="AD452" i="1" s="1"/>
  <c r="AE452" i="1" s="1"/>
  <c r="AF452" i="1" s="1"/>
  <c r="AG452" i="1" s="1"/>
  <c r="Y452" i="1"/>
  <c r="D452" i="1"/>
  <c r="Z451" i="1"/>
  <c r="Z483" i="1" s="1"/>
  <c r="Y451" i="1"/>
  <c r="Y483" i="1" s="1"/>
  <c r="AA450" i="1"/>
  <c r="AB450" i="1" s="1"/>
  <c r="D450" i="1"/>
  <c r="Z482" i="1" s="1"/>
  <c r="Z449" i="1"/>
  <c r="Y449" i="1"/>
  <c r="AB448" i="1"/>
  <c r="AC448" i="1" s="1"/>
  <c r="AD448" i="1" s="1"/>
  <c r="AE448" i="1" s="1"/>
  <c r="AF448" i="1" s="1"/>
  <c r="AG448" i="1" s="1"/>
  <c r="D448" i="1"/>
  <c r="AA447" i="1"/>
  <c r="AB447" i="1" s="1"/>
  <c r="AC447" i="1" s="1"/>
  <c r="AD447" i="1" s="1"/>
  <c r="AE447" i="1" s="1"/>
  <c r="AF447" i="1" s="1"/>
  <c r="AG447" i="1" s="1"/>
  <c r="D447" i="1"/>
  <c r="AA446" i="1"/>
  <c r="D446" i="1"/>
  <c r="Z478" i="1" s="1"/>
  <c r="AA445" i="1"/>
  <c r="AB445" i="1" s="1"/>
  <c r="AC445" i="1" s="1"/>
  <c r="AD445" i="1" s="1"/>
  <c r="AE445" i="1" s="1"/>
  <c r="AF445" i="1" s="1"/>
  <c r="AG445" i="1" s="1"/>
  <c r="D445" i="1"/>
  <c r="AA444" i="1"/>
  <c r="AB444" i="1" s="1"/>
  <c r="AC444" i="1" s="1"/>
  <c r="AD444" i="1" s="1"/>
  <c r="AE444" i="1" s="1"/>
  <c r="AF444" i="1" s="1"/>
  <c r="AG444" i="1" s="1"/>
  <c r="D444" i="1"/>
  <c r="AR443" i="1"/>
  <c r="AA443" i="1"/>
  <c r="D443" i="1"/>
  <c r="AR442" i="1"/>
  <c r="AA442" i="1"/>
  <c r="D442" i="1"/>
  <c r="Z474" i="1" s="1"/>
  <c r="X439" i="1"/>
  <c r="V439" i="1"/>
  <c r="AA439" i="1"/>
  <c r="Z438" i="1"/>
  <c r="AR437" i="1"/>
  <c r="X437" i="1"/>
  <c r="X663" i="1" s="1"/>
  <c r="V437" i="1"/>
  <c r="V663" i="1" s="1"/>
  <c r="AR436" i="1"/>
  <c r="AA436" i="1"/>
  <c r="Z436" i="1"/>
  <c r="Y436" i="1"/>
  <c r="X436" i="1"/>
  <c r="V436" i="1"/>
  <c r="W436" i="1" s="1"/>
  <c r="W435" i="1" s="1"/>
  <c r="W439" i="1" s="1"/>
  <c r="AU435" i="1"/>
  <c r="AB434" i="1"/>
  <c r="K428" i="1"/>
  <c r="J428" i="1"/>
  <c r="G428" i="1"/>
  <c r="F428" i="1"/>
  <c r="K425" i="1"/>
  <c r="G425" i="1"/>
  <c r="F425" i="1"/>
  <c r="I424" i="1"/>
  <c r="I428" i="1" s="1"/>
  <c r="H424" i="1"/>
  <c r="H150" i="1" s="1"/>
  <c r="W422" i="1"/>
  <c r="W424" i="1" s="1"/>
  <c r="W150" i="1" s="1"/>
  <c r="V422" i="1"/>
  <c r="V424" i="1" s="1"/>
  <c r="V150" i="1" s="1"/>
  <c r="U422" i="1"/>
  <c r="T422" i="1"/>
  <c r="K422" i="1"/>
  <c r="J422" i="1"/>
  <c r="F420" i="1"/>
  <c r="F144" i="1" s="1"/>
  <c r="F315" i="1" s="1"/>
  <c r="F145" i="1" s="1"/>
  <c r="U418" i="1"/>
  <c r="V407" i="1" s="1"/>
  <c r="T418" i="1"/>
  <c r="T127" i="1" s="1"/>
  <c r="S418" i="1"/>
  <c r="S127" i="1" s="1"/>
  <c r="R418" i="1"/>
  <c r="R127" i="1" s="1"/>
  <c r="Q418" i="1"/>
  <c r="Q127" i="1" s="1"/>
  <c r="P418" i="1"/>
  <c r="P419" i="1" s="1"/>
  <c r="O418" i="1"/>
  <c r="O127" i="1" s="1"/>
  <c r="N418" i="1"/>
  <c r="M418" i="1"/>
  <c r="M127" i="1" s="1"/>
  <c r="L418" i="1"/>
  <c r="L127" i="1" s="1"/>
  <c r="H418" i="1"/>
  <c r="I407" i="1" s="1"/>
  <c r="I406" i="1" s="1"/>
  <c r="G418" i="1"/>
  <c r="G127" i="1" s="1"/>
  <c r="F418" i="1"/>
  <c r="V412" i="1"/>
  <c r="R412" i="1"/>
  <c r="R411" i="1" s="1"/>
  <c r="M412" i="1"/>
  <c r="M411" i="1" s="1"/>
  <c r="M63" i="1" s="1"/>
  <c r="H412" i="1"/>
  <c r="I412" i="1" s="1"/>
  <c r="I411" i="1" s="1"/>
  <c r="I669" i="1" s="1"/>
  <c r="Q411" i="1"/>
  <c r="Q669" i="1" s="1"/>
  <c r="K411" i="1"/>
  <c r="K669" i="1" s="1"/>
  <c r="J411" i="1"/>
  <c r="J669" i="1" s="1"/>
  <c r="L410" i="1"/>
  <c r="L411" i="1" s="1"/>
  <c r="L669" i="1" s="1"/>
  <c r="G410" i="1"/>
  <c r="G411" i="1" s="1"/>
  <c r="F410" i="1"/>
  <c r="F411" i="1" s="1"/>
  <c r="AA407" i="1"/>
  <c r="AA406" i="1" s="1"/>
  <c r="Z407" i="1"/>
  <c r="Z406" i="1" s="1"/>
  <c r="Y407" i="1"/>
  <c r="X407" i="1"/>
  <c r="W407" i="1"/>
  <c r="K407" i="1"/>
  <c r="K406" i="1" s="1"/>
  <c r="J407" i="1"/>
  <c r="J406" i="1" s="1"/>
  <c r="K403" i="1"/>
  <c r="L403" i="1" s="1"/>
  <c r="S402" i="1"/>
  <c r="AA401" i="1"/>
  <c r="AA410" i="1" s="1"/>
  <c r="AA411" i="1" s="1"/>
  <c r="AA63" i="1" s="1"/>
  <c r="Z401" i="1"/>
  <c r="J401" i="1"/>
  <c r="J399" i="1" s="1"/>
  <c r="J40" i="1" s="1"/>
  <c r="I401" i="1"/>
  <c r="I399" i="1" s="1"/>
  <c r="I40" i="1" s="1"/>
  <c r="H401" i="1"/>
  <c r="H399" i="1" s="1"/>
  <c r="H40" i="1" s="1"/>
  <c r="G401" i="1"/>
  <c r="G399" i="1" s="1"/>
  <c r="F401" i="1"/>
  <c r="F399" i="1" s="1"/>
  <c r="F40" i="1" s="1"/>
  <c r="AA400" i="1"/>
  <c r="U391" i="1"/>
  <c r="T391" i="1"/>
  <c r="S391" i="1"/>
  <c r="R391" i="1"/>
  <c r="Q391" i="1"/>
  <c r="P391" i="1"/>
  <c r="O391" i="1"/>
  <c r="N391" i="1"/>
  <c r="M391" i="1"/>
  <c r="AB386" i="1"/>
  <c r="AA386" i="1"/>
  <c r="Z386" i="1"/>
  <c r="Z70" i="1" s="1"/>
  <c r="Y386" i="1"/>
  <c r="X386" i="1"/>
  <c r="X396" i="1" s="1"/>
  <c r="W386" i="1"/>
  <c r="V386" i="1"/>
  <c r="V396" i="1" s="1"/>
  <c r="U386" i="1"/>
  <c r="U396" i="1" s="1"/>
  <c r="T386" i="1"/>
  <c r="T70" i="1" s="1"/>
  <c r="S386" i="1"/>
  <c r="S396" i="1" s="1"/>
  <c r="R386" i="1"/>
  <c r="Q386" i="1"/>
  <c r="Q70" i="1" s="1"/>
  <c r="P386" i="1"/>
  <c r="P396" i="1" s="1"/>
  <c r="O386" i="1"/>
  <c r="N386" i="1"/>
  <c r="N396" i="1" s="1"/>
  <c r="M386" i="1"/>
  <c r="M70" i="1" s="1"/>
  <c r="L386" i="1"/>
  <c r="L70" i="1" s="1"/>
  <c r="G386" i="1"/>
  <c r="G70" i="1" s="1"/>
  <c r="F386" i="1"/>
  <c r="F70" i="1" s="1"/>
  <c r="Y383" i="1"/>
  <c r="AG380" i="1"/>
  <c r="AF380" i="1"/>
  <c r="AE380" i="1"/>
  <c r="AD380" i="1"/>
  <c r="AC380" i="1"/>
  <c r="AB380" i="1"/>
  <c r="AB368" i="1" s="1"/>
  <c r="AA380" i="1"/>
  <c r="Z380" i="1"/>
  <c r="Y380" i="1"/>
  <c r="X380" i="1"/>
  <c r="W380" i="1"/>
  <c r="V380" i="1"/>
  <c r="AG378" i="1"/>
  <c r="AF378" i="1"/>
  <c r="AE378" i="1"/>
  <c r="AD378" i="1"/>
  <c r="AA378" i="1"/>
  <c r="Z378" i="1"/>
  <c r="Y378" i="1"/>
  <c r="X378" i="1"/>
  <c r="X103" i="1" s="1"/>
  <c r="W378" i="1"/>
  <c r="W103" i="1" s="1"/>
  <c r="M378" i="1"/>
  <c r="M103" i="1" s="1"/>
  <c r="AA375" i="1"/>
  <c r="L375" i="1"/>
  <c r="F375" i="1"/>
  <c r="E375" i="1"/>
  <c r="M374" i="1"/>
  <c r="J374" i="1"/>
  <c r="K375" i="1" s="1"/>
  <c r="I374" i="1"/>
  <c r="H374" i="1"/>
  <c r="G374" i="1"/>
  <c r="G375" i="1" s="1"/>
  <c r="AA373" i="1"/>
  <c r="AA53" i="1" s="1"/>
  <c r="N371" i="1"/>
  <c r="AA369" i="1"/>
  <c r="M369" i="1"/>
  <c r="L369" i="1"/>
  <c r="K369" i="1"/>
  <c r="J369" i="1"/>
  <c r="I369" i="1"/>
  <c r="H369" i="1"/>
  <c r="G369" i="1"/>
  <c r="F369" i="1"/>
  <c r="E369" i="1"/>
  <c r="N368" i="1"/>
  <c r="N369" i="1" s="1"/>
  <c r="AA367" i="1"/>
  <c r="AA50" i="1" s="1"/>
  <c r="M367" i="1"/>
  <c r="M50" i="1" s="1"/>
  <c r="L367" i="1"/>
  <c r="L50" i="1" s="1"/>
  <c r="K367" i="1"/>
  <c r="K50" i="1" s="1"/>
  <c r="J367" i="1"/>
  <c r="J50" i="1" s="1"/>
  <c r="I367" i="1"/>
  <c r="I50" i="1" s="1"/>
  <c r="H367" i="1"/>
  <c r="H50" i="1" s="1"/>
  <c r="K364" i="1"/>
  <c r="L109" i="1" s="1"/>
  <c r="AG363" i="1"/>
  <c r="AF363" i="1"/>
  <c r="AE363" i="1"/>
  <c r="AD363" i="1"/>
  <c r="AC363" i="1"/>
  <c r="AB363" i="1"/>
  <c r="AA363" i="1"/>
  <c r="Z363" i="1"/>
  <c r="Y363" i="1"/>
  <c r="K363" i="1"/>
  <c r="H360" i="1"/>
  <c r="H134" i="1" s="1"/>
  <c r="AA357" i="1"/>
  <c r="Z357" i="1"/>
  <c r="Y357" i="1"/>
  <c r="X357" i="1"/>
  <c r="W357" i="1"/>
  <c r="V357" i="1"/>
  <c r="U357" i="1"/>
  <c r="T357" i="1"/>
  <c r="S357" i="1"/>
  <c r="R357" i="1"/>
  <c r="Q357" i="1"/>
  <c r="P357" i="1"/>
  <c r="O357" i="1"/>
  <c r="N357" i="1"/>
  <c r="M357" i="1"/>
  <c r="L357" i="1"/>
  <c r="K357" i="1"/>
  <c r="J357" i="1"/>
  <c r="I357" i="1"/>
  <c r="H357" i="1"/>
  <c r="G357" i="1"/>
  <c r="F357" i="1"/>
  <c r="AA355" i="1"/>
  <c r="Z355" i="1"/>
  <c r="Y355" i="1"/>
  <c r="X355" i="1"/>
  <c r="W355" i="1"/>
  <c r="V355" i="1"/>
  <c r="U355" i="1"/>
  <c r="T355" i="1"/>
  <c r="S355" i="1"/>
  <c r="R355" i="1"/>
  <c r="Q355" i="1"/>
  <c r="P355" i="1"/>
  <c r="O355" i="1"/>
  <c r="N355" i="1"/>
  <c r="M355" i="1"/>
  <c r="L355" i="1"/>
  <c r="K355" i="1"/>
  <c r="J355" i="1"/>
  <c r="I355" i="1"/>
  <c r="H355" i="1"/>
  <c r="G355" i="1"/>
  <c r="F355" i="1"/>
  <c r="AA353" i="1"/>
  <c r="Z353" i="1"/>
  <c r="Y353" i="1"/>
  <c r="X353" i="1"/>
  <c r="R353" i="1"/>
  <c r="Q353" i="1"/>
  <c r="I336" i="1"/>
  <c r="I334" i="1"/>
  <c r="H334" i="1"/>
  <c r="G334" i="1"/>
  <c r="J333" i="1"/>
  <c r="J334" i="1" s="1"/>
  <c r="H327" i="1"/>
  <c r="I327" i="1" s="1"/>
  <c r="J327" i="1" s="1"/>
  <c r="AC325" i="1"/>
  <c r="AD325" i="1" s="1"/>
  <c r="AE325" i="1" s="1"/>
  <c r="AF325" i="1" s="1"/>
  <c r="AG325" i="1" s="1"/>
  <c r="X325" i="1"/>
  <c r="Y325" i="1" s="1"/>
  <c r="Z325" i="1" s="1"/>
  <c r="AC324" i="1"/>
  <c r="AD324" i="1" s="1"/>
  <c r="AE324" i="1" s="1"/>
  <c r="AF324" i="1" s="1"/>
  <c r="M324" i="1"/>
  <c r="M128" i="1" s="1"/>
  <c r="Y314" i="1"/>
  <c r="J311" i="1"/>
  <c r="I311" i="1"/>
  <c r="H311" i="1"/>
  <c r="H126" i="1" s="1"/>
  <c r="G311" i="1"/>
  <c r="G126" i="1" s="1"/>
  <c r="F311" i="1"/>
  <c r="F312" i="1" s="1"/>
  <c r="P309" i="1"/>
  <c r="AA308" i="1"/>
  <c r="Z308" i="1"/>
  <c r="U308" i="1"/>
  <c r="T308" i="1"/>
  <c r="S308" i="1"/>
  <c r="R308" i="1"/>
  <c r="Q308" i="1"/>
  <c r="I308" i="1"/>
  <c r="H308" i="1"/>
  <c r="G308" i="1"/>
  <c r="F308" i="1"/>
  <c r="O307" i="1"/>
  <c r="O309" i="1" s="1"/>
  <c r="N307" i="1"/>
  <c r="M307" i="1"/>
  <c r="L307" i="1"/>
  <c r="K307" i="1"/>
  <c r="J307" i="1"/>
  <c r="J308" i="1" s="1"/>
  <c r="P305" i="1"/>
  <c r="O305" i="1"/>
  <c r="N305" i="1"/>
  <c r="AA304" i="1"/>
  <c r="Z304" i="1"/>
  <c r="Y304" i="1"/>
  <c r="X304" i="1"/>
  <c r="W304" i="1"/>
  <c r="V304" i="1"/>
  <c r="U304" i="1"/>
  <c r="T304" i="1"/>
  <c r="S304" i="1"/>
  <c r="R304" i="1"/>
  <c r="Q304" i="1"/>
  <c r="P304" i="1"/>
  <c r="O304" i="1"/>
  <c r="N304" i="1"/>
  <c r="M304" i="1"/>
  <c r="L304" i="1"/>
  <c r="K304" i="1"/>
  <c r="J304" i="1"/>
  <c r="I304" i="1"/>
  <c r="H304" i="1"/>
  <c r="G304" i="1"/>
  <c r="F304" i="1"/>
  <c r="P301" i="1"/>
  <c r="O301" i="1"/>
  <c r="N301" i="1"/>
  <c r="AA300" i="1"/>
  <c r="Z300" i="1"/>
  <c r="Y300" i="1"/>
  <c r="X300" i="1"/>
  <c r="W300" i="1"/>
  <c r="V300" i="1"/>
  <c r="U300" i="1"/>
  <c r="T300" i="1"/>
  <c r="S300" i="1"/>
  <c r="R300" i="1"/>
  <c r="Q300" i="1"/>
  <c r="P300" i="1"/>
  <c r="O300" i="1"/>
  <c r="N300" i="1"/>
  <c r="M300" i="1"/>
  <c r="L300" i="1"/>
  <c r="K300" i="1"/>
  <c r="J300" i="1"/>
  <c r="I300" i="1"/>
  <c r="H300" i="1"/>
  <c r="G300" i="1"/>
  <c r="F300" i="1"/>
  <c r="R296" i="1"/>
  <c r="R37" i="1" s="1"/>
  <c r="R85" i="1" s="1"/>
  <c r="P296" i="1"/>
  <c r="P37" i="1" s="1"/>
  <c r="P85" i="1" s="1"/>
  <c r="O296" i="1"/>
  <c r="O37" i="1" s="1"/>
  <c r="O85" i="1" s="1"/>
  <c r="I296" i="1"/>
  <c r="I37" i="1" s="1"/>
  <c r="I85" i="1" s="1"/>
  <c r="I294" i="1"/>
  <c r="I36" i="1" s="1"/>
  <c r="I84" i="1" s="1"/>
  <c r="H294" i="1"/>
  <c r="H36" i="1" s="1"/>
  <c r="H84" i="1" s="1"/>
  <c r="G294" i="1"/>
  <c r="G36" i="1" s="1"/>
  <c r="G84" i="1" s="1"/>
  <c r="H290" i="1"/>
  <c r="H29" i="1" s="1"/>
  <c r="AC288" i="1"/>
  <c r="AD288" i="1" s="1"/>
  <c r="AE288" i="1" s="1"/>
  <c r="AF288" i="1" s="1"/>
  <c r="AG288" i="1" s="1"/>
  <c r="H288" i="1"/>
  <c r="H11" i="1" s="1"/>
  <c r="H14" i="1" s="1"/>
  <c r="H60" i="1" s="1"/>
  <c r="H66" i="1" s="1"/>
  <c r="Q286" i="1"/>
  <c r="Q28" i="1" s="1"/>
  <c r="O286" i="1"/>
  <c r="O28" i="1" s="1"/>
  <c r="N286" i="1"/>
  <c r="N28" i="1" s="1"/>
  <c r="M286" i="1"/>
  <c r="M28" i="1" s="1"/>
  <c r="M87" i="1" s="1"/>
  <c r="L286" i="1"/>
  <c r="L28" i="1" s="1"/>
  <c r="L87" i="1" s="1"/>
  <c r="K286" i="1"/>
  <c r="K28" i="1" s="1"/>
  <c r="J286" i="1"/>
  <c r="J28" i="1" s="1"/>
  <c r="J87" i="1" s="1"/>
  <c r="I286" i="1"/>
  <c r="I28" i="1" s="1"/>
  <c r="I87" i="1" s="1"/>
  <c r="H286" i="1"/>
  <c r="H28" i="1" s="1"/>
  <c r="H87" i="1" s="1"/>
  <c r="G286" i="1"/>
  <c r="G28" i="1" s="1"/>
  <c r="G87" i="1" s="1"/>
  <c r="F286" i="1"/>
  <c r="F28" i="1" s="1"/>
  <c r="V284" i="1"/>
  <c r="U284" i="1"/>
  <c r="T284" i="1"/>
  <c r="S284" i="1"/>
  <c r="R284" i="1"/>
  <c r="P284" i="1"/>
  <c r="P286" i="1" s="1"/>
  <c r="P28" i="1" s="1"/>
  <c r="P87" i="1" s="1"/>
  <c r="X280" i="1"/>
  <c r="W280" i="1"/>
  <c r="V280" i="1"/>
  <c r="U280" i="1"/>
  <c r="U281" i="1" s="1"/>
  <c r="S280" i="1"/>
  <c r="R280" i="1"/>
  <c r="Q280" i="1"/>
  <c r="P280" i="1"/>
  <c r="O280" i="1"/>
  <c r="N280" i="1"/>
  <c r="M280" i="1"/>
  <c r="L280" i="1"/>
  <c r="K280" i="1"/>
  <c r="J280" i="1"/>
  <c r="I280" i="1"/>
  <c r="I267" i="1" s="1"/>
  <c r="I121" i="1" s="1"/>
  <c r="H280" i="1"/>
  <c r="H267" i="1" s="1"/>
  <c r="H121" i="1" s="1"/>
  <c r="G280" i="1"/>
  <c r="F280" i="1"/>
  <c r="F267" i="1" s="1"/>
  <c r="F121" i="1" s="1"/>
  <c r="H276" i="1"/>
  <c r="H35" i="1" s="1"/>
  <c r="H83" i="1" s="1"/>
  <c r="G276" i="1"/>
  <c r="G35" i="1" s="1"/>
  <c r="G83" i="1" s="1"/>
  <c r="E275" i="1"/>
  <c r="I273" i="1"/>
  <c r="J273" i="1" s="1"/>
  <c r="K273" i="1" s="1"/>
  <c r="L273" i="1" s="1"/>
  <c r="M273" i="1" s="1"/>
  <c r="N273" i="1" s="1"/>
  <c r="O273" i="1" s="1"/>
  <c r="P273" i="1" s="1"/>
  <c r="Q273" i="1" s="1"/>
  <c r="R273" i="1" s="1"/>
  <c r="S273" i="1" s="1"/>
  <c r="T273" i="1" s="1"/>
  <c r="U273" i="1" s="1"/>
  <c r="V273" i="1" s="1"/>
  <c r="W273" i="1" s="1"/>
  <c r="X273" i="1" s="1"/>
  <c r="Y273" i="1" s="1"/>
  <c r="Z273" i="1" s="1"/>
  <c r="AA273" i="1" s="1"/>
  <c r="AB273" i="1" s="1"/>
  <c r="AC273" i="1" s="1"/>
  <c r="AD273" i="1" s="1"/>
  <c r="AE273" i="1" s="1"/>
  <c r="AF273" i="1" s="1"/>
  <c r="AG273" i="1" s="1"/>
  <c r="J272" i="1"/>
  <c r="K272" i="1" s="1"/>
  <c r="G272" i="1"/>
  <c r="H272" i="1" s="1"/>
  <c r="H274" i="1" s="1"/>
  <c r="I274" i="1" s="1"/>
  <c r="J274" i="1" s="1"/>
  <c r="F272" i="1"/>
  <c r="F274" i="1" s="1"/>
  <c r="E272" i="1"/>
  <c r="X270" i="1"/>
  <c r="Y270" i="1" s="1"/>
  <c r="Z270" i="1" s="1"/>
  <c r="Q263" i="1"/>
  <c r="P263" i="1"/>
  <c r="Q248" i="1" s="1"/>
  <c r="R248" i="1" s="1"/>
  <c r="J263" i="1"/>
  <c r="J264" i="1" s="1"/>
  <c r="J119" i="1" s="1"/>
  <c r="I263" i="1"/>
  <c r="H263" i="1"/>
  <c r="H264" i="1" s="1"/>
  <c r="H119" i="1" s="1"/>
  <c r="G263" i="1"/>
  <c r="G264" i="1" s="1"/>
  <c r="G119" i="1" s="1"/>
  <c r="F263" i="1"/>
  <c r="F264" i="1" s="1"/>
  <c r="F119" i="1" s="1"/>
  <c r="J258" i="1"/>
  <c r="K258" i="1" s="1"/>
  <c r="I258" i="1"/>
  <c r="H258" i="1"/>
  <c r="G258" i="1"/>
  <c r="F258" i="1"/>
  <c r="H256" i="1"/>
  <c r="H98" i="1" s="1"/>
  <c r="G256" i="1"/>
  <c r="G98" i="1" s="1"/>
  <c r="G255" i="1"/>
  <c r="J252" i="1"/>
  <c r="J253" i="1" s="1"/>
  <c r="I252" i="1"/>
  <c r="I253" i="1" s="1"/>
  <c r="H252" i="1"/>
  <c r="G252" i="1"/>
  <c r="F252" i="1"/>
  <c r="Q251" i="1"/>
  <c r="R251" i="1" s="1"/>
  <c r="S251" i="1" s="1"/>
  <c r="P251" i="1"/>
  <c r="P252" i="1" s="1"/>
  <c r="K248" i="1"/>
  <c r="L248" i="1" s="1"/>
  <c r="M248" i="1" s="1"/>
  <c r="I247" i="1"/>
  <c r="J247" i="1" s="1"/>
  <c r="K247" i="1" s="1"/>
  <c r="L247" i="1" s="1"/>
  <c r="M247" i="1" s="1"/>
  <c r="N247" i="1" s="1"/>
  <c r="O247" i="1" s="1"/>
  <c r="P247" i="1" s="1"/>
  <c r="Q247" i="1" s="1"/>
  <c r="R247" i="1" s="1"/>
  <c r="S247" i="1" s="1"/>
  <c r="T247" i="1" s="1"/>
  <c r="U247" i="1" s="1"/>
  <c r="V247" i="1" s="1"/>
  <c r="W247" i="1" s="1"/>
  <c r="X247" i="1" s="1"/>
  <c r="Y247" i="1" s="1"/>
  <c r="Z247" i="1" s="1"/>
  <c r="AA247" i="1" s="1"/>
  <c r="AB247" i="1" s="1"/>
  <c r="AC247" i="1" s="1"/>
  <c r="AD247" i="1" s="1"/>
  <c r="AE247" i="1" s="1"/>
  <c r="AF247" i="1" s="1"/>
  <c r="AG247" i="1" s="1"/>
  <c r="H247" i="1"/>
  <c r="G247"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AA241" i="1"/>
  <c r="AA26" i="1" s="1"/>
  <c r="Z241" i="1"/>
  <c r="Z26" i="1" s="1"/>
  <c r="Y241" i="1"/>
  <c r="Y26" i="1" s="1"/>
  <c r="X241" i="1"/>
  <c r="X26" i="1" s="1"/>
  <c r="W241" i="1"/>
  <c r="W26" i="1" s="1"/>
  <c r="V241" i="1"/>
  <c r="V188" i="1" s="1"/>
  <c r="V196" i="1" s="1"/>
  <c r="U241" i="1"/>
  <c r="T241" i="1"/>
  <c r="T188" i="1" s="1"/>
  <c r="S241" i="1"/>
  <c r="Q241" i="1"/>
  <c r="Q26" i="1" s="1"/>
  <c r="P241" i="1"/>
  <c r="P26" i="1" s="1"/>
  <c r="I240" i="1"/>
  <c r="I241" i="1" s="1"/>
  <c r="I188" i="1" s="1"/>
  <c r="I196" i="1" s="1"/>
  <c r="H240" i="1"/>
  <c r="G240" i="1"/>
  <c r="F240" i="1"/>
  <c r="F241" i="1" s="1"/>
  <c r="F26" i="1" s="1"/>
  <c r="J234" i="1"/>
  <c r="J120" i="1" s="1"/>
  <c r="I234" i="1"/>
  <c r="I120" i="1" s="1"/>
  <c r="H234" i="1"/>
  <c r="H120" i="1" s="1"/>
  <c r="G234" i="1"/>
  <c r="F234" i="1"/>
  <c r="F120" i="1" s="1"/>
  <c r="Q233" i="1"/>
  <c r="P233" i="1"/>
  <c r="G231" i="1"/>
  <c r="F231" i="1"/>
  <c r="AG229" i="1"/>
  <c r="AG100" i="1" s="1"/>
  <c r="AF229" i="1"/>
  <c r="AF100" i="1" s="1"/>
  <c r="AE229" i="1"/>
  <c r="AE100" i="1" s="1"/>
  <c r="AD229" i="1"/>
  <c r="AD100" i="1" s="1"/>
  <c r="AC229" i="1"/>
  <c r="AC100" i="1" s="1"/>
  <c r="AB229" i="1"/>
  <c r="AB100" i="1" s="1"/>
  <c r="S229" i="1"/>
  <c r="S100" i="1" s="1"/>
  <c r="R229" i="1"/>
  <c r="R100" i="1" s="1"/>
  <c r="O229" i="1"/>
  <c r="O100" i="1" s="1"/>
  <c r="N229" i="1"/>
  <c r="N100" i="1" s="1"/>
  <c r="K229" i="1"/>
  <c r="K100" i="1" s="1"/>
  <c r="I229" i="1"/>
  <c r="H229" i="1"/>
  <c r="G229" i="1"/>
  <c r="F229" i="1"/>
  <c r="V221" i="1"/>
  <c r="V219" i="1"/>
  <c r="U217" i="1"/>
  <c r="AA211" i="1"/>
  <c r="AA229" i="1" s="1"/>
  <c r="AA100" i="1" s="1"/>
  <c r="Z211" i="1"/>
  <c r="Z229" i="1" s="1"/>
  <c r="Z100" i="1" s="1"/>
  <c r="X211" i="1"/>
  <c r="X229" i="1" s="1"/>
  <c r="X100" i="1" s="1"/>
  <c r="W211" i="1"/>
  <c r="Q210" i="1"/>
  <c r="Q229" i="1" s="1"/>
  <c r="Q100" i="1" s="1"/>
  <c r="U209" i="1"/>
  <c r="T209" i="1"/>
  <c r="T229" i="1" s="1"/>
  <c r="T100" i="1" s="1"/>
  <c r="M205" i="1"/>
  <c r="M229" i="1" s="1"/>
  <c r="M100" i="1" s="1"/>
  <c r="L205" i="1"/>
  <c r="L229" i="1" s="1"/>
  <c r="L100" i="1" s="1"/>
  <c r="J205" i="1"/>
  <c r="J229" i="1" s="1"/>
  <c r="J100" i="1" s="1"/>
  <c r="AA202" i="1"/>
  <c r="Z202" i="1"/>
  <c r="Z97" i="1" s="1"/>
  <c r="Y202" i="1"/>
  <c r="Y97" i="1" s="1"/>
  <c r="M202" i="1"/>
  <c r="M97" i="1" s="1"/>
  <c r="L202" i="1"/>
  <c r="L97" i="1" s="1"/>
  <c r="K202" i="1"/>
  <c r="K97" i="1" s="1"/>
  <c r="J202" i="1"/>
  <c r="J97" i="1" s="1"/>
  <c r="F202" i="1"/>
  <c r="F97" i="1" s="1"/>
  <c r="G198" i="1"/>
  <c r="F198" i="1"/>
  <c r="S197" i="1"/>
  <c r="S27" i="1" s="1"/>
  <c r="I197" i="1"/>
  <c r="I27" i="1" s="1"/>
  <c r="I82" i="1" s="1"/>
  <c r="AA196" i="1"/>
  <c r="Z196" i="1"/>
  <c r="Y196" i="1"/>
  <c r="X196" i="1"/>
  <c r="W196" i="1"/>
  <c r="Q196" i="1"/>
  <c r="H196" i="1"/>
  <c r="G196" i="1"/>
  <c r="F196" i="1"/>
  <c r="Q191" i="1"/>
  <c r="Q192" i="1" s="1"/>
  <c r="H191" i="1"/>
  <c r="H192" i="1" s="1"/>
  <c r="G191" i="1"/>
  <c r="G192" i="1" s="1"/>
  <c r="AA190" i="1"/>
  <c r="Z190" i="1"/>
  <c r="Y190" i="1"/>
  <c r="X190" i="1"/>
  <c r="W190" i="1"/>
  <c r="Q190" i="1"/>
  <c r="S185" i="1"/>
  <c r="AA181" i="1"/>
  <c r="Z181" i="1"/>
  <c r="Z176" i="1" s="1"/>
  <c r="Z64" i="1" s="1"/>
  <c r="Y181" i="1"/>
  <c r="Y176" i="1" s="1"/>
  <c r="Y64" i="1" s="1"/>
  <c r="X181" i="1"/>
  <c r="X176" i="1" s="1"/>
  <c r="X64" i="1" s="1"/>
  <c r="W181" i="1"/>
  <c r="W176" i="1" s="1"/>
  <c r="W64" i="1" s="1"/>
  <c r="V181" i="1"/>
  <c r="V176" i="1" s="1"/>
  <c r="V64" i="1" s="1"/>
  <c r="U181" i="1"/>
  <c r="U176" i="1" s="1"/>
  <c r="U64" i="1" s="1"/>
  <c r="T181" i="1"/>
  <c r="T176" i="1" s="1"/>
  <c r="T64" i="1" s="1"/>
  <c r="S181" i="1"/>
  <c r="S176" i="1" s="1"/>
  <c r="S64" i="1" s="1"/>
  <c r="R181" i="1"/>
  <c r="R176" i="1" s="1"/>
  <c r="R64" i="1" s="1"/>
  <c r="Q181" i="1"/>
  <c r="Q176" i="1" s="1"/>
  <c r="Q64" i="1" s="1"/>
  <c r="P181" i="1"/>
  <c r="P176" i="1" s="1"/>
  <c r="O181" i="1"/>
  <c r="O64" i="1" s="1"/>
  <c r="N181" i="1"/>
  <c r="N64" i="1" s="1"/>
  <c r="M181" i="1"/>
  <c r="M64" i="1" s="1"/>
  <c r="L181" i="1"/>
  <c r="L64" i="1" s="1"/>
  <c r="K181" i="1"/>
  <c r="K64" i="1" s="1"/>
  <c r="J181" i="1"/>
  <c r="J64" i="1" s="1"/>
  <c r="I181" i="1"/>
  <c r="I64" i="1" s="1"/>
  <c r="H181" i="1"/>
  <c r="H64" i="1" s="1"/>
  <c r="G181" i="1"/>
  <c r="G64" i="1" s="1"/>
  <c r="F181" i="1"/>
  <c r="F64" i="1" s="1"/>
  <c r="Q175" i="1"/>
  <c r="K150" i="1"/>
  <c r="J150" i="1"/>
  <c r="G150" i="1"/>
  <c r="F150" i="1"/>
  <c r="F111" i="1" s="1"/>
  <c r="F426" i="1" s="1"/>
  <c r="AA138" i="1"/>
  <c r="Z138" i="1"/>
  <c r="Y138" i="1"/>
  <c r="X138" i="1"/>
  <c r="W138" i="1"/>
  <c r="V138" i="1"/>
  <c r="U138" i="1"/>
  <c r="T138" i="1"/>
  <c r="S138" i="1"/>
  <c r="R138" i="1"/>
  <c r="Q138" i="1"/>
  <c r="P138" i="1"/>
  <c r="O138" i="1"/>
  <c r="G138" i="1"/>
  <c r="F138" i="1"/>
  <c r="F94" i="1" s="1"/>
  <c r="AA135" i="1"/>
  <c r="Z135" i="1"/>
  <c r="Y135" i="1"/>
  <c r="X135" i="1"/>
  <c r="W135" i="1"/>
  <c r="V135" i="1"/>
  <c r="U135" i="1"/>
  <c r="T135" i="1"/>
  <c r="S135" i="1"/>
  <c r="R135" i="1"/>
  <c r="Q135" i="1"/>
  <c r="P135" i="1"/>
  <c r="O135" i="1"/>
  <c r="N135" i="1"/>
  <c r="M135" i="1"/>
  <c r="L135" i="1"/>
  <c r="K135" i="1"/>
  <c r="J135" i="1"/>
  <c r="I135" i="1"/>
  <c r="H135" i="1"/>
  <c r="G135" i="1"/>
  <c r="F135" i="1"/>
  <c r="AA134" i="1"/>
  <c r="Z134" i="1"/>
  <c r="Y134" i="1"/>
  <c r="X134" i="1"/>
  <c r="W134" i="1"/>
  <c r="V134" i="1"/>
  <c r="U134" i="1"/>
  <c r="T134" i="1"/>
  <c r="S134" i="1"/>
  <c r="R134" i="1"/>
  <c r="Q134" i="1"/>
  <c r="P134" i="1"/>
  <c r="O134" i="1"/>
  <c r="N134" i="1"/>
  <c r="M134" i="1"/>
  <c r="L134" i="1"/>
  <c r="K134" i="1"/>
  <c r="J134" i="1"/>
  <c r="I134" i="1"/>
  <c r="G134" i="1"/>
  <c r="F134" i="1"/>
  <c r="AB128" i="1"/>
  <c r="AA128" i="1"/>
  <c r="Z128" i="1"/>
  <c r="Y128" i="1"/>
  <c r="X128" i="1"/>
  <c r="W128" i="1"/>
  <c r="V128" i="1"/>
  <c r="U128" i="1"/>
  <c r="T128" i="1"/>
  <c r="S128" i="1"/>
  <c r="R128" i="1"/>
  <c r="Q128" i="1"/>
  <c r="P128" i="1"/>
  <c r="O128" i="1"/>
  <c r="N128" i="1"/>
  <c r="L128" i="1"/>
  <c r="K128" i="1"/>
  <c r="J128" i="1"/>
  <c r="I128" i="1"/>
  <c r="H128" i="1"/>
  <c r="G128" i="1"/>
  <c r="F128" i="1"/>
  <c r="AA127" i="1"/>
  <c r="Z127" i="1"/>
  <c r="Y127" i="1"/>
  <c r="X127" i="1"/>
  <c r="W127" i="1"/>
  <c r="V127" i="1"/>
  <c r="P127" i="1"/>
  <c r="K127" i="1"/>
  <c r="J127" i="1"/>
  <c r="I127" i="1"/>
  <c r="AA125" i="1"/>
  <c r="Z125" i="1"/>
  <c r="Y125" i="1"/>
  <c r="X125" i="1"/>
  <c r="W125" i="1"/>
  <c r="V125" i="1"/>
  <c r="U125" i="1"/>
  <c r="T125" i="1"/>
  <c r="S125" i="1"/>
  <c r="R125" i="1"/>
  <c r="Q125" i="1"/>
  <c r="P125" i="1"/>
  <c r="O125" i="1"/>
  <c r="N125" i="1"/>
  <c r="M125" i="1"/>
  <c r="L125" i="1"/>
  <c r="K125" i="1"/>
  <c r="J125" i="1"/>
  <c r="I125" i="1"/>
  <c r="H125" i="1"/>
  <c r="G125" i="1"/>
  <c r="F125" i="1"/>
  <c r="AA124" i="1"/>
  <c r="Z124" i="1"/>
  <c r="Y124" i="1"/>
  <c r="X124" i="1"/>
  <c r="W124" i="1"/>
  <c r="V124" i="1"/>
  <c r="U124" i="1"/>
  <c r="T124" i="1"/>
  <c r="S124" i="1"/>
  <c r="R124" i="1"/>
  <c r="Q124" i="1"/>
  <c r="P124" i="1"/>
  <c r="O124" i="1"/>
  <c r="N124" i="1"/>
  <c r="M124" i="1"/>
  <c r="L124" i="1"/>
  <c r="K124" i="1"/>
  <c r="J124" i="1"/>
  <c r="I124" i="1"/>
  <c r="H124" i="1"/>
  <c r="G124" i="1"/>
  <c r="F124" i="1"/>
  <c r="AA120" i="1"/>
  <c r="Z120" i="1"/>
  <c r="Y120" i="1"/>
  <c r="X120" i="1"/>
  <c r="W120" i="1"/>
  <c r="V120" i="1"/>
  <c r="U120" i="1"/>
  <c r="T120" i="1"/>
  <c r="S120" i="1"/>
  <c r="R120" i="1"/>
  <c r="Q120" i="1"/>
  <c r="P120" i="1"/>
  <c r="A120" i="1"/>
  <c r="AA119" i="1"/>
  <c r="Z119" i="1"/>
  <c r="Y119" i="1"/>
  <c r="X119" i="1"/>
  <c r="W119" i="1"/>
  <c r="V119" i="1"/>
  <c r="U119" i="1"/>
  <c r="T119" i="1"/>
  <c r="S119" i="1"/>
  <c r="R119" i="1"/>
  <c r="Q119" i="1"/>
  <c r="P119" i="1"/>
  <c r="O119" i="1"/>
  <c r="N119" i="1"/>
  <c r="M119" i="1"/>
  <c r="L119" i="1"/>
  <c r="A119" i="1"/>
  <c r="F117" i="1"/>
  <c r="F160" i="1" s="1"/>
  <c r="K109" i="1"/>
  <c r="H109" i="1"/>
  <c r="G109" i="1"/>
  <c r="F109" i="1"/>
  <c r="AG106" i="1"/>
  <c r="AF106" i="1"/>
  <c r="AE106" i="1"/>
  <c r="AD106" i="1"/>
  <c r="AC106" i="1"/>
  <c r="AB106" i="1"/>
  <c r="AA106" i="1"/>
  <c r="Z106" i="1"/>
  <c r="Y106" i="1"/>
  <c r="I100" i="1"/>
  <c r="H100" i="1"/>
  <c r="G100" i="1"/>
  <c r="F100" i="1"/>
  <c r="Z98" i="1"/>
  <c r="Y98" i="1"/>
  <c r="X98" i="1"/>
  <c r="W98" i="1"/>
  <c r="V98" i="1"/>
  <c r="U98" i="1"/>
  <c r="T98" i="1"/>
  <c r="S98" i="1"/>
  <c r="R98" i="1"/>
  <c r="Q98" i="1"/>
  <c r="P98" i="1"/>
  <c r="O98" i="1"/>
  <c r="N98" i="1"/>
  <c r="M98" i="1"/>
  <c r="L98" i="1"/>
  <c r="K98" i="1"/>
  <c r="J98" i="1"/>
  <c r="I98" i="1"/>
  <c r="F98"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0" i="1"/>
  <c r="J86" i="1"/>
  <c r="I86" i="1"/>
  <c r="H86" i="1"/>
  <c r="G86" i="1"/>
  <c r="F86" i="1"/>
  <c r="A85" i="1"/>
  <c r="A84" i="1"/>
  <c r="A83" i="1"/>
  <c r="P82" i="1"/>
  <c r="O82" i="1"/>
  <c r="N82" i="1"/>
  <c r="K70" i="1"/>
  <c r="J70" i="1"/>
  <c r="G63" i="1"/>
  <c r="P60" i="1"/>
  <c r="O60" i="1"/>
  <c r="N60" i="1"/>
  <c r="AA54" i="1"/>
  <c r="C6398" i="22" s="1"/>
  <c r="Z54" i="1"/>
  <c r="M54" i="1"/>
  <c r="L54" i="1"/>
  <c r="K54" i="1"/>
  <c r="J54" i="1"/>
  <c r="I54" i="1"/>
  <c r="H54" i="1"/>
  <c r="F54" i="1"/>
  <c r="L53" i="1"/>
  <c r="K53" i="1"/>
  <c r="G53" i="1"/>
  <c r="F53" i="1"/>
  <c r="AA51" i="1"/>
  <c r="Z51" i="1"/>
  <c r="M51" i="1"/>
  <c r="L51" i="1"/>
  <c r="K51" i="1"/>
  <c r="J51" i="1"/>
  <c r="I51" i="1"/>
  <c r="H51" i="1"/>
  <c r="G51" i="1"/>
  <c r="F51" i="1"/>
  <c r="G50" i="1"/>
  <c r="F50" i="1"/>
  <c r="AA46" i="1"/>
  <c r="AA80" i="1" s="1"/>
  <c r="Z46" i="1"/>
  <c r="Z65" i="1" s="1"/>
  <c r="Y46" i="1"/>
  <c r="Y65" i="1" s="1"/>
  <c r="X46" i="1"/>
  <c r="W46" i="1"/>
  <c r="W80" i="1" s="1"/>
  <c r="V46" i="1"/>
  <c r="V65" i="1" s="1"/>
  <c r="U46" i="1"/>
  <c r="U65" i="1" s="1"/>
  <c r="T46" i="1"/>
  <c r="T65" i="1" s="1"/>
  <c r="S46" i="1"/>
  <c r="S80" i="1" s="1"/>
  <c r="R46" i="1"/>
  <c r="Q46" i="1"/>
  <c r="Q65" i="1" s="1"/>
  <c r="P46" i="1"/>
  <c r="O46" i="1"/>
  <c r="O80" i="1" s="1"/>
  <c r="N46" i="1"/>
  <c r="N65" i="1" s="1"/>
  <c r="M46" i="1"/>
  <c r="M65" i="1" s="1"/>
  <c r="L46" i="1"/>
  <c r="L80" i="1" s="1"/>
  <c r="K46" i="1"/>
  <c r="K80" i="1" s="1"/>
  <c r="J46" i="1"/>
  <c r="I46" i="1"/>
  <c r="I65" i="1" s="1"/>
  <c r="H46" i="1"/>
  <c r="G46" i="1"/>
  <c r="G80" i="1" s="1"/>
  <c r="F46" i="1"/>
  <c r="F65" i="1" s="1"/>
  <c r="AA44" i="1"/>
  <c r="Z44" i="1"/>
  <c r="Y44" i="1"/>
  <c r="X44" i="1"/>
  <c r="W44" i="1"/>
  <c r="V44" i="1"/>
  <c r="U44" i="1"/>
  <c r="T44" i="1"/>
  <c r="S44" i="1"/>
  <c r="R44" i="1"/>
  <c r="Q44" i="1"/>
  <c r="P44" i="1"/>
  <c r="O44" i="1"/>
  <c r="N44" i="1"/>
  <c r="M44" i="1"/>
  <c r="L44" i="1"/>
  <c r="K44" i="1"/>
  <c r="J44" i="1"/>
  <c r="I44" i="1"/>
  <c r="H44" i="1"/>
  <c r="G44" i="1"/>
  <c r="F44" i="1"/>
  <c r="AA40" i="1"/>
  <c r="Z40" i="1"/>
  <c r="Y40" i="1"/>
  <c r="Y438" i="1" s="1"/>
  <c r="AA202" i="15" s="1"/>
  <c r="X40" i="1"/>
  <c r="W40" i="1"/>
  <c r="V40" i="1"/>
  <c r="U40" i="1"/>
  <c r="T40" i="1"/>
  <c r="S40" i="1"/>
  <c r="G40" i="1"/>
  <c r="AG37" i="1"/>
  <c r="AG85" i="1" s="1"/>
  <c r="AF37" i="1"/>
  <c r="AF85" i="1" s="1"/>
  <c r="AE37" i="1"/>
  <c r="AE85" i="1" s="1"/>
  <c r="AD37" i="1"/>
  <c r="AD85" i="1" s="1"/>
  <c r="AC37" i="1"/>
  <c r="AC85" i="1" s="1"/>
  <c r="AB37" i="1"/>
  <c r="AB85" i="1" s="1"/>
  <c r="AA37" i="1"/>
  <c r="AA85" i="1" s="1"/>
  <c r="Z37" i="1"/>
  <c r="Z85" i="1" s="1"/>
  <c r="Y37" i="1"/>
  <c r="Y85" i="1" s="1"/>
  <c r="X37" i="1"/>
  <c r="X85" i="1" s="1"/>
  <c r="W37" i="1"/>
  <c r="W85" i="1" s="1"/>
  <c r="V37" i="1"/>
  <c r="V85" i="1" s="1"/>
  <c r="U37" i="1"/>
  <c r="U85" i="1" s="1"/>
  <c r="T37" i="1"/>
  <c r="T85" i="1" s="1"/>
  <c r="S37" i="1"/>
  <c r="S85" i="1" s="1"/>
  <c r="Q37" i="1"/>
  <c r="Q85" i="1" s="1"/>
  <c r="N37" i="1"/>
  <c r="N85" i="1" s="1"/>
  <c r="M37" i="1"/>
  <c r="M85" i="1" s="1"/>
  <c r="L37" i="1"/>
  <c r="L85" i="1" s="1"/>
  <c r="K37" i="1"/>
  <c r="K85" i="1" s="1"/>
  <c r="J37" i="1"/>
  <c r="J85" i="1" s="1"/>
  <c r="H37" i="1"/>
  <c r="H85" i="1" s="1"/>
  <c r="G37" i="1"/>
  <c r="G85" i="1" s="1"/>
  <c r="F37" i="1"/>
  <c r="F85" i="1" s="1"/>
  <c r="Q36" i="1"/>
  <c r="Q84" i="1" s="1"/>
  <c r="P36" i="1"/>
  <c r="P84" i="1" s="1"/>
  <c r="O36" i="1"/>
  <c r="O84" i="1" s="1"/>
  <c r="N36" i="1"/>
  <c r="N84" i="1" s="1"/>
  <c r="M36" i="1"/>
  <c r="M84" i="1" s="1"/>
  <c r="L36" i="1"/>
  <c r="L84" i="1" s="1"/>
  <c r="K36" i="1"/>
  <c r="K84" i="1" s="1"/>
  <c r="J36" i="1"/>
  <c r="J84" i="1" s="1"/>
  <c r="F36" i="1"/>
  <c r="F84" i="1" s="1"/>
  <c r="I35" i="1"/>
  <c r="I83" i="1" s="1"/>
  <c r="F35" i="1"/>
  <c r="F83" i="1" s="1"/>
  <c r="AG33" i="1"/>
  <c r="AF33" i="1"/>
  <c r="AE33" i="1"/>
  <c r="AD33" i="1"/>
  <c r="AC17" i="40" s="1"/>
  <c r="AC33" i="1"/>
  <c r="AB17" i="40" s="1"/>
  <c r="AB33" i="1"/>
  <c r="AA33" i="1"/>
  <c r="Z33" i="1"/>
  <c r="Y33" i="1"/>
  <c r="X33" i="1"/>
  <c r="W33" i="1"/>
  <c r="V33" i="1"/>
  <c r="U33" i="1"/>
  <c r="T33" i="1"/>
  <c r="S33" i="1"/>
  <c r="R33" i="1"/>
  <c r="Q33" i="1"/>
  <c r="P33" i="1"/>
  <c r="O33" i="1"/>
  <c r="N33" i="1"/>
  <c r="M33" i="1"/>
  <c r="L33" i="1"/>
  <c r="K33" i="1"/>
  <c r="J33" i="1"/>
  <c r="I33" i="1"/>
  <c r="H33" i="1"/>
  <c r="G33" i="1"/>
  <c r="F33" i="1"/>
  <c r="AG29" i="1"/>
  <c r="AG86" i="1" s="1"/>
  <c r="AF29" i="1"/>
  <c r="AF86" i="1" s="1"/>
  <c r="AE29" i="1"/>
  <c r="AE86" i="1" s="1"/>
  <c r="AD29" i="1"/>
  <c r="AD86" i="1" s="1"/>
  <c r="AC29" i="1"/>
  <c r="AC86" i="1" s="1"/>
  <c r="AB29" i="1"/>
  <c r="AB86" i="1" s="1"/>
  <c r="AA29" i="1"/>
  <c r="AA86" i="1" s="1"/>
  <c r="Z29" i="1"/>
  <c r="Z86" i="1" s="1"/>
  <c r="Y29" i="1"/>
  <c r="X29" i="1"/>
  <c r="W29" i="1"/>
  <c r="V29" i="1"/>
  <c r="U29" i="1"/>
  <c r="T29" i="1"/>
  <c r="S29" i="1"/>
  <c r="R29" i="1"/>
  <c r="Q29" i="1"/>
  <c r="M29" i="1"/>
  <c r="L29" i="1"/>
  <c r="K29" i="1"/>
  <c r="J29" i="1"/>
  <c r="I29" i="1"/>
  <c r="G29" i="1"/>
  <c r="F29" i="1"/>
  <c r="AA28" i="1"/>
  <c r="Z28" i="1"/>
  <c r="BD446" i="38" s="1"/>
  <c r="Y28" i="1"/>
  <c r="AY446" i="38" s="1"/>
  <c r="X28" i="1"/>
  <c r="X87" i="1" s="1"/>
  <c r="W28" i="1"/>
  <c r="V28" i="1"/>
  <c r="U28" i="1"/>
  <c r="U62" i="1" s="1"/>
  <c r="T28" i="1"/>
  <c r="T62" i="1" s="1"/>
  <c r="S28" i="1"/>
  <c r="S62" i="1" s="1"/>
  <c r="R28" i="1"/>
  <c r="AG27" i="1"/>
  <c r="AF27" i="1"/>
  <c r="AE27" i="1"/>
  <c r="AD27" i="1"/>
  <c r="AC12" i="40" s="1"/>
  <c r="AC27" i="1"/>
  <c r="AB27" i="1"/>
  <c r="AA27" i="1"/>
  <c r="Z27" i="1"/>
  <c r="Y27" i="1"/>
  <c r="X27" i="1"/>
  <c r="W27" i="1"/>
  <c r="V27" i="1"/>
  <c r="U27" i="1"/>
  <c r="T27" i="1"/>
  <c r="R27" i="1"/>
  <c r="Q27" i="1"/>
  <c r="M27" i="1"/>
  <c r="M82" i="1" s="1"/>
  <c r="L27" i="1"/>
  <c r="L82" i="1" s="1"/>
  <c r="K27" i="1"/>
  <c r="K82" i="1" s="1"/>
  <c r="J27" i="1"/>
  <c r="J82" i="1" s="1"/>
  <c r="H27" i="1"/>
  <c r="H82" i="1" s="1"/>
  <c r="G27" i="1"/>
  <c r="G82" i="1" s="1"/>
  <c r="F27" i="1"/>
  <c r="F82" i="1" s="1"/>
  <c r="AA25" i="1"/>
  <c r="Z25" i="1"/>
  <c r="Y25" i="1"/>
  <c r="X25" i="1"/>
  <c r="W25" i="1"/>
  <c r="Q25" i="1"/>
  <c r="H25" i="1"/>
  <c r="G25" i="1"/>
  <c r="F25" i="1"/>
  <c r="AG13" i="1"/>
  <c r="AG329" i="1" s="1"/>
  <c r="AF13" i="1"/>
  <c r="AF329" i="1" s="1"/>
  <c r="AE13" i="1"/>
  <c r="AE329" i="1" s="1"/>
  <c r="AD13" i="1"/>
  <c r="AD329" i="1" s="1"/>
  <c r="AC13" i="1"/>
  <c r="AC329" i="1" s="1"/>
  <c r="AB13" i="1"/>
  <c r="AB329" i="1" s="1"/>
  <c r="AB327" i="1" s="1"/>
  <c r="M11" i="1"/>
  <c r="M14" i="1" s="1"/>
  <c r="L11" i="1"/>
  <c r="L14" i="1" s="1"/>
  <c r="K11" i="1"/>
  <c r="J11" i="1"/>
  <c r="J14" i="1" s="1"/>
  <c r="I11" i="1"/>
  <c r="I14" i="1" s="1"/>
  <c r="G11" i="1"/>
  <c r="G14" i="1" s="1"/>
  <c r="F11" i="1"/>
  <c r="F14" i="1" s="1"/>
  <c r="J6" i="1"/>
  <c r="G2" i="1"/>
  <c r="H2" i="1" s="1"/>
  <c r="P64" i="1" l="1"/>
  <c r="AF103" i="1"/>
  <c r="AH209" i="15"/>
  <c r="Y103" i="1"/>
  <c r="AA209" i="15"/>
  <c r="AG103" i="1"/>
  <c r="AI209" i="15"/>
  <c r="AE103" i="1"/>
  <c r="AG209" i="15"/>
  <c r="Z103" i="1"/>
  <c r="AB209" i="15"/>
  <c r="AA103" i="1"/>
  <c r="AC209" i="15"/>
  <c r="AD103" i="1"/>
  <c r="AF209" i="15"/>
  <c r="AB103" i="1"/>
  <c r="AD209" i="15"/>
  <c r="Z439" i="1"/>
  <c r="AB202" i="15"/>
  <c r="AC103" i="1"/>
  <c r="AE209" i="15"/>
  <c r="Z464" i="1"/>
  <c r="Z467" i="1" s="1"/>
  <c r="Z422" i="1" s="1"/>
  <c r="Z424" i="1" s="1"/>
  <c r="Z494" i="1"/>
  <c r="AA494" i="1"/>
  <c r="AA464" i="1"/>
  <c r="AA467" i="1" s="1"/>
  <c r="AA422" i="1" s="1"/>
  <c r="AA424" i="1" s="1"/>
  <c r="AB461" i="1"/>
  <c r="AC461" i="1" s="1"/>
  <c r="AD461" i="1" s="1"/>
  <c r="AE461" i="1" s="1"/>
  <c r="AF461" i="1" s="1"/>
  <c r="AG461" i="1" s="1"/>
  <c r="AB466" i="1"/>
  <c r="AB495" i="1" s="1"/>
  <c r="BN535" i="38"/>
  <c r="BM535" i="38" s="1"/>
  <c r="V17" i="40"/>
  <c r="BI453" i="38"/>
  <c r="AA62" i="1"/>
  <c r="BI446" i="38"/>
  <c r="AA17" i="40"/>
  <c r="BN453" i="38"/>
  <c r="BM453" i="38" s="1"/>
  <c r="Z17" i="40" s="1"/>
  <c r="L63" i="1"/>
  <c r="I150" i="1"/>
  <c r="AA396" i="1"/>
  <c r="AA364" i="1"/>
  <c r="AC208" i="15" s="1"/>
  <c r="AB367" i="1"/>
  <c r="AB50" i="1" s="1"/>
  <c r="AB364" i="1"/>
  <c r="AC128" i="1"/>
  <c r="Y469" i="1"/>
  <c r="V26" i="1"/>
  <c r="J63" i="1"/>
  <c r="W469" i="1"/>
  <c r="H138" i="1"/>
  <c r="Q422" i="1"/>
  <c r="Q415" i="1" s="1"/>
  <c r="Q414" i="1" s="1"/>
  <c r="X469" i="1"/>
  <c r="T415" i="1"/>
  <c r="I641" i="1"/>
  <c r="Z469" i="1"/>
  <c r="AA469" i="1"/>
  <c r="S540" i="1"/>
  <c r="U70" i="1"/>
  <c r="T26" i="1"/>
  <c r="K86" i="1"/>
  <c r="F126" i="1"/>
  <c r="L86" i="1"/>
  <c r="H315" i="1"/>
  <c r="H145" i="1" s="1"/>
  <c r="H144" i="1"/>
  <c r="Z437" i="1"/>
  <c r="Z663" i="1" s="1"/>
  <c r="I26" i="1"/>
  <c r="AB51" i="1"/>
  <c r="AA70" i="1"/>
  <c r="G190" i="1"/>
  <c r="N54" i="1"/>
  <c r="N51" i="1"/>
  <c r="AB54" i="1"/>
  <c r="C6410" i="22" s="1"/>
  <c r="C6424" i="22" s="1"/>
  <c r="S70" i="1"/>
  <c r="H127" i="1"/>
  <c r="H129" i="1" s="1"/>
  <c r="G111" i="1"/>
  <c r="G426" i="1" s="1"/>
  <c r="U415" i="1"/>
  <c r="U565" i="1"/>
  <c r="V565" i="1" s="1"/>
  <c r="V649" i="1" s="1"/>
  <c r="J281" i="1"/>
  <c r="R281" i="1"/>
  <c r="R240" i="1"/>
  <c r="R241" i="1" s="1"/>
  <c r="R188" i="1" s="1"/>
  <c r="R190" i="1" s="1"/>
  <c r="I539" i="1"/>
  <c r="L136" i="1"/>
  <c r="T136" i="1"/>
  <c r="G248" i="1"/>
  <c r="G407" i="1"/>
  <c r="G406" i="1" s="1"/>
  <c r="V546" i="1"/>
  <c r="G241" i="1"/>
  <c r="G26" i="1" s="1"/>
  <c r="G30" i="1" s="1"/>
  <c r="W551" i="1"/>
  <c r="BK85" i="38"/>
  <c r="BL85" i="38" s="1"/>
  <c r="I422" i="1"/>
  <c r="J415" i="1" s="1"/>
  <c r="J414" i="1" s="1"/>
  <c r="AB480" i="1"/>
  <c r="N367" i="1"/>
  <c r="N50" i="1" s="1"/>
  <c r="AR444" i="1"/>
  <c r="AR446" i="1" s="1"/>
  <c r="Y467" i="1"/>
  <c r="Y422" i="1" s="1"/>
  <c r="Y424" i="1" s="1"/>
  <c r="Y150" i="1" s="1"/>
  <c r="P188" i="1"/>
  <c r="K281" i="1"/>
  <c r="I63" i="1"/>
  <c r="X70" i="1"/>
  <c r="V311" i="1"/>
  <c r="U127" i="1"/>
  <c r="U311" i="1" s="1"/>
  <c r="G136" i="1"/>
  <c r="O136" i="1"/>
  <c r="W136" i="1"/>
  <c r="N364" i="1"/>
  <c r="O109" i="1" s="1"/>
  <c r="I25" i="1"/>
  <c r="V70" i="1"/>
  <c r="G54" i="1"/>
  <c r="H136" i="1"/>
  <c r="P136" i="1"/>
  <c r="X136" i="1"/>
  <c r="AA451" i="1"/>
  <c r="AA483" i="1" s="1"/>
  <c r="S281" i="1"/>
  <c r="Z141" i="37"/>
  <c r="Y61" i="1"/>
  <c r="N70" i="1"/>
  <c r="K240" i="1"/>
  <c r="K241" i="1" s="1"/>
  <c r="K188" i="1" s="1"/>
  <c r="K196" i="1" s="1"/>
  <c r="K233" i="1" s="1"/>
  <c r="K200" i="1" s="1"/>
  <c r="K234" i="1" s="1"/>
  <c r="K120" i="1" s="1"/>
  <c r="F259" i="1"/>
  <c r="P70" i="1"/>
  <c r="M311" i="1"/>
  <c r="L281" i="1"/>
  <c r="N308" i="1"/>
  <c r="H373" i="1"/>
  <c r="H53" i="1" s="1"/>
  <c r="H69" i="1" s="1"/>
  <c r="AA478" i="1"/>
  <c r="AA176" i="1"/>
  <c r="AA64" i="1" s="1"/>
  <c r="L104" i="1"/>
  <c r="N281" i="1"/>
  <c r="W281" i="1"/>
  <c r="I312" i="1"/>
  <c r="P407" i="1"/>
  <c r="P406" i="1" s="1"/>
  <c r="AB454" i="1"/>
  <c r="AC454" i="1" s="1"/>
  <c r="AC486" i="1" s="1"/>
  <c r="Q61" i="1"/>
  <c r="H259" i="1"/>
  <c r="P424" i="1"/>
  <c r="P150" i="1" s="1"/>
  <c r="P151" i="1" s="1"/>
  <c r="Q167" i="1"/>
  <c r="L65" i="1"/>
  <c r="Z311" i="1"/>
  <c r="K136" i="1"/>
  <c r="S136" i="1"/>
  <c r="AA136" i="1"/>
  <c r="G421" i="1"/>
  <c r="G422" i="1" s="1"/>
  <c r="K421" i="1"/>
  <c r="K140" i="1" s="1"/>
  <c r="AA477" i="1"/>
  <c r="K252" i="1"/>
  <c r="L252" i="1" s="1"/>
  <c r="M252" i="1" s="1"/>
  <c r="N252" i="1" s="1"/>
  <c r="BM307" i="38"/>
  <c r="BM310" i="38"/>
  <c r="BM285" i="38" s="1"/>
  <c r="BN285" i="38" s="1"/>
  <c r="AG324" i="1"/>
  <c r="AG128" i="1" s="1"/>
  <c r="AF128" i="1"/>
  <c r="Z61" i="1"/>
  <c r="O65" i="1"/>
  <c r="I80" i="1"/>
  <c r="V229" i="1"/>
  <c r="V100" i="1" s="1"/>
  <c r="M281" i="1"/>
  <c r="V281" i="1"/>
  <c r="AC389" i="1"/>
  <c r="AC386" i="1" s="1"/>
  <c r="Q424" i="1"/>
  <c r="Q150" i="1" s="1"/>
  <c r="AR438" i="1"/>
  <c r="J566" i="1"/>
  <c r="K566" i="1" s="1"/>
  <c r="R167" i="1"/>
  <c r="W65" i="1"/>
  <c r="T80" i="1"/>
  <c r="M136" i="1"/>
  <c r="U136" i="1"/>
  <c r="G312" i="1"/>
  <c r="Q407" i="1"/>
  <c r="Q406" i="1" s="1"/>
  <c r="S407" i="1"/>
  <c r="S406" i="1" s="1"/>
  <c r="Y482" i="1"/>
  <c r="Q505" i="1"/>
  <c r="R505" i="1" s="1"/>
  <c r="R533" i="1" s="1"/>
  <c r="F30" i="1"/>
  <c r="R311" i="1"/>
  <c r="R407" i="1"/>
  <c r="R406" i="1" s="1"/>
  <c r="N412" i="1"/>
  <c r="O412" i="1" s="1"/>
  <c r="AD484" i="1"/>
  <c r="V540" i="1"/>
  <c r="V548" i="1"/>
  <c r="I248" i="1"/>
  <c r="L308" i="1"/>
  <c r="R424" i="1"/>
  <c r="R150" i="1" s="1"/>
  <c r="AF82" i="1"/>
  <c r="I126" i="1"/>
  <c r="I129" i="1" s="1"/>
  <c r="Z477" i="1"/>
  <c r="S424" i="1"/>
  <c r="S150" i="1" s="1"/>
  <c r="AG82" i="1"/>
  <c r="F127" i="1"/>
  <c r="T281" i="1"/>
  <c r="K333" i="1"/>
  <c r="L333" i="1" s="1"/>
  <c r="L315" i="1" s="1"/>
  <c r="P259" i="1"/>
  <c r="F407" i="1"/>
  <c r="F406" i="1" s="1"/>
  <c r="O613" i="1"/>
  <c r="T25" i="1"/>
  <c r="T196" i="1"/>
  <c r="H248" i="1"/>
  <c r="H241" i="1"/>
  <c r="H26" i="1" s="1"/>
  <c r="H30" i="1" s="1"/>
  <c r="AB396" i="1"/>
  <c r="AB70" i="1"/>
  <c r="X424" i="1"/>
  <c r="X150" i="1" s="1"/>
  <c r="X415" i="1"/>
  <c r="J104" i="1"/>
  <c r="AB196" i="1"/>
  <c r="AB25" i="1"/>
  <c r="BN443" i="38" s="1"/>
  <c r="BM443" i="38" s="1"/>
  <c r="P654" i="1"/>
  <c r="O542" i="1"/>
  <c r="V25" i="1"/>
  <c r="G129" i="1"/>
  <c r="O311" i="1"/>
  <c r="O313" i="1" s="1"/>
  <c r="W311" i="1"/>
  <c r="AA104" i="1"/>
  <c r="K87" i="1"/>
  <c r="K62" i="1"/>
  <c r="P308" i="1"/>
  <c r="O308" i="1"/>
  <c r="I375" i="1"/>
  <c r="J373" i="1"/>
  <c r="J53" i="1" s="1"/>
  <c r="Y396" i="1"/>
  <c r="Y70" i="1"/>
  <c r="R669" i="1"/>
  <c r="R670" i="1" s="1"/>
  <c r="R63" i="1"/>
  <c r="AA474" i="1"/>
  <c r="AB442" i="1"/>
  <c r="AC442" i="1" s="1"/>
  <c r="U188" i="1"/>
  <c r="U25" i="1" s="1"/>
  <c r="U26" i="1"/>
  <c r="J65" i="1"/>
  <c r="J80" i="1"/>
  <c r="Z80" i="1"/>
  <c r="I536" i="1"/>
  <c r="J564" i="1"/>
  <c r="H190" i="1"/>
  <c r="G120" i="1"/>
  <c r="K327" i="1"/>
  <c r="J138" i="1"/>
  <c r="O387" i="1"/>
  <c r="O396" i="1"/>
  <c r="O70" i="1"/>
  <c r="P387" i="1"/>
  <c r="W168" i="1"/>
  <c r="W87" i="1"/>
  <c r="N127" i="1"/>
  <c r="N311" i="1" s="1"/>
  <c r="N407" i="1"/>
  <c r="N406" i="1" s="1"/>
  <c r="N419" i="1"/>
  <c r="W582" i="1"/>
  <c r="W666" i="1" s="1"/>
  <c r="V554" i="1"/>
  <c r="V666" i="1"/>
  <c r="R65" i="1"/>
  <c r="R80" i="1"/>
  <c r="W396" i="1"/>
  <c r="W70" i="1"/>
  <c r="M104" i="1"/>
  <c r="L258" i="1"/>
  <c r="M258" i="1" s="1"/>
  <c r="X61" i="1"/>
  <c r="X81" i="1"/>
  <c r="I138" i="1"/>
  <c r="S188" i="1"/>
  <c r="S25" i="1" s="1"/>
  <c r="S26" i="1"/>
  <c r="M375" i="1"/>
  <c r="M373" i="1"/>
  <c r="M53" i="1" s="1"/>
  <c r="S167" i="1"/>
  <c r="AB476" i="1"/>
  <c r="W81" i="1"/>
  <c r="K63" i="1"/>
  <c r="Y80" i="1"/>
  <c r="F136" i="1"/>
  <c r="N136" i="1"/>
  <c r="V136" i="1"/>
  <c r="H253" i="1"/>
  <c r="X281" i="1"/>
  <c r="Z396" i="1"/>
  <c r="J425" i="1"/>
  <c r="T564" i="1"/>
  <c r="U564" i="1" s="1"/>
  <c r="V564" i="1" s="1"/>
  <c r="W564" i="1" s="1"/>
  <c r="W648" i="1" s="1"/>
  <c r="W569" i="1"/>
  <c r="X574" i="1"/>
  <c r="X546" i="1" s="1"/>
  <c r="I281" i="1"/>
  <c r="P529" i="1"/>
  <c r="P420" i="1" s="1"/>
  <c r="P144" i="1" s="1"/>
  <c r="AC82" i="1"/>
  <c r="F63" i="1"/>
  <c r="Q63" i="1"/>
  <c r="K104" i="1"/>
  <c r="I136" i="1"/>
  <c r="Q136" i="1"/>
  <c r="Y136" i="1"/>
  <c r="H312" i="1"/>
  <c r="Z364" i="1"/>
  <c r="H407" i="1"/>
  <c r="H406" i="1" s="1"/>
  <c r="Q504" i="1"/>
  <c r="R504" i="1" s="1"/>
  <c r="AD82" i="1"/>
  <c r="Z104" i="1"/>
  <c r="AD128" i="1"/>
  <c r="J136" i="1"/>
  <c r="R136" i="1"/>
  <c r="Z136" i="1"/>
  <c r="I259" i="1"/>
  <c r="F421" i="1"/>
  <c r="Y474" i="1"/>
  <c r="T656" i="1"/>
  <c r="R387" i="1"/>
  <c r="O407" i="1"/>
  <c r="O406" i="1" s="1"/>
  <c r="F61" i="1"/>
  <c r="AE82" i="1"/>
  <c r="G65" i="1"/>
  <c r="Q80" i="1"/>
  <c r="AE128" i="1"/>
  <c r="J259" i="1"/>
  <c r="H375" i="1"/>
  <c r="R396" i="1"/>
  <c r="H411" i="1"/>
  <c r="T424" i="1"/>
  <c r="T150" i="1" s="1"/>
  <c r="AA449" i="1"/>
  <c r="P545" i="1"/>
  <c r="W576" i="1"/>
  <c r="W660" i="1" s="1"/>
  <c r="V581" i="1"/>
  <c r="Q281" i="1"/>
  <c r="H15" i="1"/>
  <c r="G38" i="1"/>
  <c r="R70" i="1"/>
  <c r="F104" i="1"/>
  <c r="H122" i="1"/>
  <c r="F122" i="1"/>
  <c r="N309" i="1"/>
  <c r="T407" i="1"/>
  <c r="W546" i="1"/>
  <c r="H117" i="1"/>
  <c r="H160" i="1" s="1"/>
  <c r="I2" i="1"/>
  <c r="F87" i="1"/>
  <c r="F62" i="1"/>
  <c r="N87" i="1"/>
  <c r="N62" i="1"/>
  <c r="V168" i="1"/>
  <c r="V87" i="1"/>
  <c r="V62" i="1"/>
  <c r="W61" i="1"/>
  <c r="H38" i="1"/>
  <c r="H80" i="1"/>
  <c r="H65" i="1"/>
  <c r="P80" i="1"/>
  <c r="P65" i="1"/>
  <c r="X80" i="1"/>
  <c r="X65" i="1"/>
  <c r="I60" i="1"/>
  <c r="I66" i="1" s="1"/>
  <c r="I15" i="1"/>
  <c r="AA61" i="1"/>
  <c r="G15" i="1"/>
  <c r="G60" i="1"/>
  <c r="G66" i="1" s="1"/>
  <c r="H67" i="1" s="1"/>
  <c r="J60" i="1"/>
  <c r="J66" i="1" s="1"/>
  <c r="J15" i="1"/>
  <c r="K14" i="1"/>
  <c r="L15" i="1" s="1"/>
  <c r="AB82" i="1"/>
  <c r="Z280" i="1"/>
  <c r="AC327" i="1"/>
  <c r="AB138" i="1"/>
  <c r="G151" i="1"/>
  <c r="I38" i="1"/>
  <c r="L60" i="1"/>
  <c r="L66" i="1" s="1"/>
  <c r="L62" i="1"/>
  <c r="M80" i="1"/>
  <c r="U80" i="1"/>
  <c r="Q81" i="1"/>
  <c r="Y81" i="1"/>
  <c r="H151" i="1"/>
  <c r="X168" i="1"/>
  <c r="M60" i="1"/>
  <c r="M66" i="1" s="1"/>
  <c r="M62" i="1"/>
  <c r="F80" i="1"/>
  <c r="N80" i="1"/>
  <c r="V80" i="1"/>
  <c r="Z81" i="1"/>
  <c r="P311" i="1"/>
  <c r="X311" i="1"/>
  <c r="I151" i="1"/>
  <c r="Q87" i="1"/>
  <c r="Q168" i="1"/>
  <c r="Y87" i="1"/>
  <c r="Y168" i="1"/>
  <c r="F60" i="1"/>
  <c r="F66" i="1" s="1"/>
  <c r="F69" i="1" s="1"/>
  <c r="F71" i="1" s="1"/>
  <c r="AA81" i="1"/>
  <c r="Q311" i="1"/>
  <c r="Y311" i="1"/>
  <c r="J151" i="1"/>
  <c r="R87" i="1"/>
  <c r="R168" i="1"/>
  <c r="Z87" i="1"/>
  <c r="Z168" i="1"/>
  <c r="G62" i="1"/>
  <c r="O62" i="1"/>
  <c r="W62" i="1"/>
  <c r="K65" i="1"/>
  <c r="S65" i="1"/>
  <c r="AA65" i="1"/>
  <c r="M15" i="1"/>
  <c r="S87" i="1"/>
  <c r="S168" i="1"/>
  <c r="AA87" i="1"/>
  <c r="AA168" i="1"/>
  <c r="Y437" i="1"/>
  <c r="Y663" i="1" s="1"/>
  <c r="Y439" i="1"/>
  <c r="H62" i="1"/>
  <c r="P62" i="1"/>
  <c r="X62" i="1"/>
  <c r="G117" i="1"/>
  <c r="G160" i="1" s="1"/>
  <c r="F38" i="1"/>
  <c r="I62" i="1"/>
  <c r="Q62" i="1"/>
  <c r="Y62" i="1"/>
  <c r="F81" i="1"/>
  <c r="O87" i="1"/>
  <c r="T87" i="1"/>
  <c r="T168" i="1"/>
  <c r="U87" i="1"/>
  <c r="U168" i="1"/>
  <c r="J62" i="1"/>
  <c r="R62" i="1"/>
  <c r="Z62" i="1"/>
  <c r="Y280" i="1"/>
  <c r="Y281" i="1" s="1"/>
  <c r="F151" i="1"/>
  <c r="AA270" i="1"/>
  <c r="AA280" i="1"/>
  <c r="I190" i="1"/>
  <c r="I191" i="1"/>
  <c r="I192" i="1" s="1"/>
  <c r="K311" i="1"/>
  <c r="S311" i="1"/>
  <c r="AA311" i="1"/>
  <c r="J240" i="1"/>
  <c r="J241" i="1" s="1"/>
  <c r="I264" i="1"/>
  <c r="I119" i="1" s="1"/>
  <c r="I122" i="1" s="1"/>
  <c r="G315" i="1"/>
  <c r="L311" i="1"/>
  <c r="T311" i="1"/>
  <c r="T251" i="1"/>
  <c r="G267" i="1"/>
  <c r="G121" i="1" s="1"/>
  <c r="H281" i="1"/>
  <c r="G281" i="1"/>
  <c r="P281" i="1"/>
  <c r="O281" i="1"/>
  <c r="T190" i="1"/>
  <c r="N248" i="1"/>
  <c r="J275" i="1"/>
  <c r="K274" i="1"/>
  <c r="L274" i="1" s="1"/>
  <c r="M274" i="1" s="1"/>
  <c r="N274" i="1" s="1"/>
  <c r="O274" i="1" s="1"/>
  <c r="P274" i="1" s="1"/>
  <c r="Q274" i="1" s="1"/>
  <c r="R274" i="1" s="1"/>
  <c r="S274" i="1" s="1"/>
  <c r="T274" i="1" s="1"/>
  <c r="U274" i="1" s="1"/>
  <c r="V274" i="1" s="1"/>
  <c r="W274" i="1" s="1"/>
  <c r="X274" i="1" s="1"/>
  <c r="Y274" i="1" s="1"/>
  <c r="Z274" i="1" s="1"/>
  <c r="AA274" i="1" s="1"/>
  <c r="AB274" i="1" s="1"/>
  <c r="AC274" i="1" s="1"/>
  <c r="AD274" i="1" s="1"/>
  <c r="AE274" i="1" s="1"/>
  <c r="AF274" i="1" s="1"/>
  <c r="AG274" i="1" s="1"/>
  <c r="F316" i="1"/>
  <c r="F146" i="1"/>
  <c r="T185" i="1"/>
  <c r="V190" i="1"/>
  <c r="G259" i="1"/>
  <c r="G253" i="1"/>
  <c r="L272" i="1"/>
  <c r="M308" i="1"/>
  <c r="G274" i="1"/>
  <c r="K308" i="1"/>
  <c r="U387" i="1"/>
  <c r="L401" i="1"/>
  <c r="L399" i="1" s="1"/>
  <c r="L40" i="1" s="1"/>
  <c r="M403" i="1"/>
  <c r="Q252" i="1"/>
  <c r="F253" i="1"/>
  <c r="O380" i="1"/>
  <c r="O371" i="1" s="1"/>
  <c r="AB369" i="1"/>
  <c r="AC368" i="1"/>
  <c r="AC367" i="1" s="1"/>
  <c r="AC50" i="1" s="1"/>
  <c r="J315" i="1"/>
  <c r="AE313" i="1"/>
  <c r="W467" i="1"/>
  <c r="W464" i="1" s="1"/>
  <c r="W425" i="1"/>
  <c r="J312" i="1"/>
  <c r="M396" i="1"/>
  <c r="M364" i="1"/>
  <c r="N109" i="1" s="1"/>
  <c r="N387" i="1"/>
  <c r="M387" i="1"/>
  <c r="J336" i="1"/>
  <c r="G669" i="1"/>
  <c r="M669" i="1"/>
  <c r="AC477" i="1"/>
  <c r="AC450" i="1"/>
  <c r="AC482" i="1" s="1"/>
  <c r="AE480" i="1"/>
  <c r="S415" i="1"/>
  <c r="I373" i="1"/>
  <c r="Q396" i="1"/>
  <c r="Q387" i="1"/>
  <c r="H422" i="1"/>
  <c r="H428" i="1"/>
  <c r="I425" i="1"/>
  <c r="H425" i="1"/>
  <c r="AC484" i="1"/>
  <c r="AC439" i="1"/>
  <c r="N374" i="1"/>
  <c r="J375" i="1"/>
  <c r="L387" i="1"/>
  <c r="L364" i="1"/>
  <c r="M109" i="1" s="1"/>
  <c r="T387" i="1"/>
  <c r="T396" i="1"/>
  <c r="S387" i="1"/>
  <c r="M407" i="1"/>
  <c r="M406" i="1" s="1"/>
  <c r="L407" i="1"/>
  <c r="L406" i="1" s="1"/>
  <c r="U407" i="1"/>
  <c r="K415" i="1"/>
  <c r="K414" i="1" s="1"/>
  <c r="J421" i="1"/>
  <c r="J140" i="1" s="1"/>
  <c r="V467" i="1"/>
  <c r="V464" i="1" s="1"/>
  <c r="W437" i="1"/>
  <c r="W663" i="1" s="1"/>
  <c r="AE479" i="1"/>
  <c r="V415" i="1"/>
  <c r="O419" i="1"/>
  <c r="AB477" i="1"/>
  <c r="AC480" i="1"/>
  <c r="AB482" i="1"/>
  <c r="L589" i="1"/>
  <c r="L613" i="1" s="1"/>
  <c r="K401" i="1"/>
  <c r="K399" i="1" s="1"/>
  <c r="K40" i="1" s="1"/>
  <c r="T402" i="1"/>
  <c r="W415" i="1"/>
  <c r="AA475" i="1"/>
  <c r="Z475" i="1"/>
  <c r="AE484" i="1"/>
  <c r="AB484" i="1"/>
  <c r="AA484" i="1"/>
  <c r="Z484" i="1"/>
  <c r="Z488" i="1" s="1"/>
  <c r="AG484" i="1"/>
  <c r="Y484" i="1"/>
  <c r="Y479" i="1"/>
  <c r="AF484" i="1"/>
  <c r="U424" i="1"/>
  <c r="AA476" i="1"/>
  <c r="Z476" i="1"/>
  <c r="AG476" i="1"/>
  <c r="Y476" i="1"/>
  <c r="AF476" i="1"/>
  <c r="Y456" i="1"/>
  <c r="Y459" i="1" s="1"/>
  <c r="AC476" i="1"/>
  <c r="AD479" i="1"/>
  <c r="Q670" i="1"/>
  <c r="AB443" i="1"/>
  <c r="AC443" i="1" s="1"/>
  <c r="AD443" i="1" s="1"/>
  <c r="AG477" i="1"/>
  <c r="Y477" i="1"/>
  <c r="AF477" i="1"/>
  <c r="AE477" i="1"/>
  <c r="AD477" i="1"/>
  <c r="AA482" i="1"/>
  <c r="AA453" i="1"/>
  <c r="Z456" i="1"/>
  <c r="Z459" i="1" s="1"/>
  <c r="AA459" i="1" s="1"/>
  <c r="AB459" i="1" s="1"/>
  <c r="AC459" i="1" s="1"/>
  <c r="AD459" i="1" s="1"/>
  <c r="AE459" i="1" s="1"/>
  <c r="AF459" i="1" s="1"/>
  <c r="AG459" i="1" s="1"/>
  <c r="AA458" i="1"/>
  <c r="AA490" i="1" s="1"/>
  <c r="Y475" i="1"/>
  <c r="AD476" i="1"/>
  <c r="Y478" i="1"/>
  <c r="AC479" i="1"/>
  <c r="AB479" i="1"/>
  <c r="AA479" i="1"/>
  <c r="Z479" i="1"/>
  <c r="AD480" i="1"/>
  <c r="AA480" i="1"/>
  <c r="Z480" i="1"/>
  <c r="AG480" i="1"/>
  <c r="Y480" i="1"/>
  <c r="AF480" i="1"/>
  <c r="AE476" i="1"/>
  <c r="AF479" i="1"/>
  <c r="I560" i="1"/>
  <c r="I644" i="1" s="1"/>
  <c r="I529" i="1"/>
  <c r="I420" i="1" s="1"/>
  <c r="AC434" i="1"/>
  <c r="AB446" i="1"/>
  <c r="AC446" i="1" s="1"/>
  <c r="AD446" i="1" s="1"/>
  <c r="AE446" i="1" s="1"/>
  <c r="AF446" i="1" s="1"/>
  <c r="AG479" i="1"/>
  <c r="I589" i="1"/>
  <c r="I613" i="1" s="1"/>
  <c r="J645" i="1"/>
  <c r="AB455" i="1"/>
  <c r="T650" i="1"/>
  <c r="U566" i="1"/>
  <c r="U650" i="1" s="1"/>
  <c r="R659" i="1"/>
  <c r="R547" i="1"/>
  <c r="S575" i="1"/>
  <c r="S659" i="1" s="1"/>
  <c r="M720" i="1"/>
  <c r="M706" i="1"/>
  <c r="L644" i="1"/>
  <c r="M644" i="1"/>
  <c r="K569" i="1"/>
  <c r="V661" i="1"/>
  <c r="W577" i="1"/>
  <c r="W661" i="1" s="1"/>
  <c r="V549" i="1"/>
  <c r="S652" i="1"/>
  <c r="R652" i="1"/>
  <c r="R540" i="1"/>
  <c r="N644" i="1"/>
  <c r="O560" i="1"/>
  <c r="O644" i="1" s="1"/>
  <c r="J589" i="1"/>
  <c r="J613" i="1" s="1"/>
  <c r="K567" i="1"/>
  <c r="Q508" i="1"/>
  <c r="L645" i="1"/>
  <c r="X568" i="1"/>
  <c r="X652" i="1" s="1"/>
  <c r="G585" i="1"/>
  <c r="H644" i="1"/>
  <c r="S648" i="1"/>
  <c r="R648" i="1"/>
  <c r="T660" i="1"/>
  <c r="S660" i="1"/>
  <c r="H588" i="1"/>
  <c r="H585" i="1"/>
  <c r="I648" i="1"/>
  <c r="T649" i="1"/>
  <c r="V653" i="1"/>
  <c r="V668" i="1"/>
  <c r="W584" i="1"/>
  <c r="W556" i="1" s="1"/>
  <c r="H646" i="1"/>
  <c r="G646" i="1"/>
  <c r="W658" i="1"/>
  <c r="V658" i="1"/>
  <c r="K644" i="1"/>
  <c r="H589" i="1"/>
  <c r="I645" i="1"/>
  <c r="J653" i="1"/>
  <c r="S656" i="1"/>
  <c r="R656" i="1"/>
  <c r="S657" i="1"/>
  <c r="R657" i="1"/>
  <c r="I650" i="1"/>
  <c r="Y670" i="1"/>
  <c r="T655" i="1"/>
  <c r="V662" i="1"/>
  <c r="V664" i="1"/>
  <c r="T651" i="1"/>
  <c r="T654" i="1"/>
  <c r="U571" i="1"/>
  <c r="V657" i="1"/>
  <c r="W578" i="1"/>
  <c r="W580" i="1"/>
  <c r="W664" i="1" s="1"/>
  <c r="I646" i="1"/>
  <c r="K645" i="1"/>
  <c r="K589" i="1"/>
  <c r="K613" i="1" s="1"/>
  <c r="H591" i="1"/>
  <c r="J651" i="1"/>
  <c r="U567" i="1"/>
  <c r="U651" i="1" s="1"/>
  <c r="W652" i="1"/>
  <c r="V652" i="1"/>
  <c r="U570" i="1"/>
  <c r="U654" i="1" s="1"/>
  <c r="W573" i="1"/>
  <c r="T661" i="1"/>
  <c r="S661" i="1"/>
  <c r="Q723" i="1"/>
  <c r="Q688" i="1"/>
  <c r="Z584" i="1"/>
  <c r="Z668" i="1" s="1"/>
  <c r="W583" i="1"/>
  <c r="V667" i="1"/>
  <c r="Y668" i="1"/>
  <c r="AC109" i="1" l="1"/>
  <c r="AD208" i="15"/>
  <c r="AA109" i="1"/>
  <c r="AB208" i="15"/>
  <c r="AB109" i="1"/>
  <c r="AB474" i="1"/>
  <c r="BN458" i="38"/>
  <c r="AB20" i="1"/>
  <c r="Z9" i="40"/>
  <c r="V81" i="1"/>
  <c r="AA456" i="1"/>
  <c r="AB451" i="1"/>
  <c r="AB483" i="1" s="1"/>
  <c r="D6398" i="22"/>
  <c r="E6398" i="22" s="1"/>
  <c r="F6398" i="22" s="1"/>
  <c r="G6398" i="22" s="1"/>
  <c r="H6398" i="22" s="1"/>
  <c r="V61" i="1"/>
  <c r="M312" i="1"/>
  <c r="H316" i="1"/>
  <c r="H319" i="1" s="1"/>
  <c r="H90" i="1" s="1"/>
  <c r="K190" i="1"/>
  <c r="AD389" i="1"/>
  <c r="AE389" i="1" s="1"/>
  <c r="AE386" i="1" s="1"/>
  <c r="U649" i="1"/>
  <c r="R415" i="1"/>
  <c r="R414" i="1" s="1"/>
  <c r="N411" i="1"/>
  <c r="N669" i="1" s="1"/>
  <c r="T61" i="1"/>
  <c r="X425" i="1"/>
  <c r="X467" i="1"/>
  <c r="X464" i="1" s="1"/>
  <c r="U537" i="1"/>
  <c r="F129" i="1"/>
  <c r="F131" i="1" s="1"/>
  <c r="Q425" i="1"/>
  <c r="R425" i="1"/>
  <c r="Z400" i="1"/>
  <c r="H146" i="1"/>
  <c r="AB486" i="1"/>
  <c r="I415" i="1"/>
  <c r="I414" i="1" s="1"/>
  <c r="J650" i="1"/>
  <c r="Y415" i="1"/>
  <c r="P428" i="1"/>
  <c r="G81" i="1"/>
  <c r="R26" i="1"/>
  <c r="Z410" i="1"/>
  <c r="Z411" i="1" s="1"/>
  <c r="Z63" i="1" s="1"/>
  <c r="I61" i="1"/>
  <c r="T425" i="1"/>
  <c r="I81" i="1"/>
  <c r="V312" i="1"/>
  <c r="Y574" i="1"/>
  <c r="Y658" i="1" s="1"/>
  <c r="K275" i="1"/>
  <c r="K126" i="1" s="1"/>
  <c r="K129" i="1" s="1"/>
  <c r="T81" i="1"/>
  <c r="S81" i="1"/>
  <c r="I30" i="1"/>
  <c r="I42" i="1" s="1"/>
  <c r="I162" i="1" s="1"/>
  <c r="I178" i="1" s="1"/>
  <c r="S425" i="1"/>
  <c r="G61" i="1"/>
  <c r="R312" i="1"/>
  <c r="S61" i="1"/>
  <c r="AD454" i="1"/>
  <c r="AE454" i="1" s="1"/>
  <c r="AE486" i="1" s="1"/>
  <c r="K315" i="1"/>
  <c r="K145" i="1" s="1"/>
  <c r="K146" i="1" s="1"/>
  <c r="BM85" i="38"/>
  <c r="K191" i="1"/>
  <c r="K192" i="1" s="1"/>
  <c r="K259" i="1"/>
  <c r="K253" i="1" s="1"/>
  <c r="K264" i="1" s="1"/>
  <c r="K119" i="1" s="1"/>
  <c r="K26" i="1"/>
  <c r="P421" i="1"/>
  <c r="P140" i="1" s="1"/>
  <c r="K25" i="1"/>
  <c r="U61" i="1"/>
  <c r="F42" i="1"/>
  <c r="F162" i="1" s="1"/>
  <c r="F178" i="1" s="1"/>
  <c r="P196" i="1"/>
  <c r="P25" i="1"/>
  <c r="G42" i="1"/>
  <c r="G162" i="1" s="1"/>
  <c r="G178" i="1" s="1"/>
  <c r="AA415" i="1"/>
  <c r="AA414" i="1" s="1"/>
  <c r="J538" i="1"/>
  <c r="G140" i="1"/>
  <c r="G338" i="1"/>
  <c r="H61" i="1"/>
  <c r="X658" i="1"/>
  <c r="H81" i="1"/>
  <c r="H42" i="1"/>
  <c r="H47" i="1" s="1"/>
  <c r="Y488" i="1"/>
  <c r="Q529" i="1"/>
  <c r="Q420" i="1" s="1"/>
  <c r="Q144" i="1" s="1"/>
  <c r="W668" i="1"/>
  <c r="R428" i="1"/>
  <c r="Y425" i="1"/>
  <c r="K334" i="1"/>
  <c r="G122" i="1"/>
  <c r="G131" i="1" s="1"/>
  <c r="Q533" i="1"/>
  <c r="S505" i="1"/>
  <c r="S533" i="1" s="1"/>
  <c r="Q428" i="1"/>
  <c r="AA481" i="1"/>
  <c r="AA167" i="1" s="1"/>
  <c r="S190" i="1"/>
  <c r="N313" i="1"/>
  <c r="O312" i="1"/>
  <c r="N312" i="1"/>
  <c r="H131" i="1"/>
  <c r="W581" i="1"/>
  <c r="V553" i="1"/>
  <c r="F338" i="1"/>
  <c r="F140" i="1"/>
  <c r="W541" i="1"/>
  <c r="X569" i="1"/>
  <c r="T167" i="1"/>
  <c r="AC396" i="1"/>
  <c r="AC70" i="1"/>
  <c r="S196" i="1"/>
  <c r="K538" i="1"/>
  <c r="L566" i="1"/>
  <c r="W653" i="1"/>
  <c r="U190" i="1"/>
  <c r="F422" i="1"/>
  <c r="F415" i="1" s="1"/>
  <c r="F414" i="1" s="1"/>
  <c r="T648" i="1"/>
  <c r="W554" i="1"/>
  <c r="X582" i="1"/>
  <c r="K564" i="1"/>
  <c r="J536" i="1"/>
  <c r="O368" i="1"/>
  <c r="O367" i="1" s="1"/>
  <c r="O50" i="1" s="1"/>
  <c r="X576" i="1"/>
  <c r="W548" i="1"/>
  <c r="U648" i="1"/>
  <c r="R196" i="1"/>
  <c r="R25" i="1"/>
  <c r="K650" i="1"/>
  <c r="I647" i="1"/>
  <c r="U196" i="1"/>
  <c r="L327" i="1"/>
  <c r="K138" i="1"/>
  <c r="J648" i="1"/>
  <c r="Z415" i="1"/>
  <c r="W312" i="1"/>
  <c r="U81" i="1"/>
  <c r="H669" i="1"/>
  <c r="H670" i="1" s="1"/>
  <c r="H63" i="1"/>
  <c r="W565" i="1"/>
  <c r="V537" i="1"/>
  <c r="Y481" i="1"/>
  <c r="Y167" i="1" s="1"/>
  <c r="X167" i="1" s="1"/>
  <c r="V665" i="1"/>
  <c r="V648" i="1"/>
  <c r="Z481" i="1"/>
  <c r="Z167" i="1" s="1"/>
  <c r="R191" i="1"/>
  <c r="R192" i="1" s="1"/>
  <c r="L145" i="1"/>
  <c r="L146" i="1" s="1"/>
  <c r="AC478" i="1"/>
  <c r="X312" i="1"/>
  <c r="U539" i="1"/>
  <c r="V567" i="1"/>
  <c r="Q536" i="1"/>
  <c r="R508" i="1"/>
  <c r="AC466" i="1"/>
  <c r="AC495" i="1" s="1"/>
  <c r="AC20" i="1" s="1"/>
  <c r="AD434" i="1"/>
  <c r="AD478" i="1"/>
  <c r="AD442" i="1"/>
  <c r="AC449" i="1"/>
  <c r="AC474" i="1"/>
  <c r="AB449" i="1"/>
  <c r="M401" i="1"/>
  <c r="M399" i="1" s="1"/>
  <c r="M40" i="1" s="1"/>
  <c r="N403" i="1"/>
  <c r="M86" i="1"/>
  <c r="O248" i="1"/>
  <c r="K312" i="1"/>
  <c r="Z281" i="1"/>
  <c r="G67" i="1"/>
  <c r="G69" i="1"/>
  <c r="G71" i="1" s="1"/>
  <c r="AD450" i="1"/>
  <c r="S312" i="1"/>
  <c r="X580" i="1"/>
  <c r="X664" i="1" s="1"/>
  <c r="W552" i="1"/>
  <c r="L567" i="1"/>
  <c r="L651" i="1" s="1"/>
  <c r="K539" i="1"/>
  <c r="L569" i="1"/>
  <c r="L653" i="1" s="1"/>
  <c r="AE478" i="1"/>
  <c r="T406" i="1"/>
  <c r="U402" i="1"/>
  <c r="AA425" i="1"/>
  <c r="AA150" i="1"/>
  <c r="AD439" i="1"/>
  <c r="G647" i="1"/>
  <c r="L275" i="1"/>
  <c r="L126" i="1" s="1"/>
  <c r="L129" i="1" s="1"/>
  <c r="M272" i="1"/>
  <c r="AA281" i="1"/>
  <c r="P312" i="1"/>
  <c r="P313" i="1"/>
  <c r="K151" i="1"/>
  <c r="K15" i="1"/>
  <c r="K60" i="1"/>
  <c r="K66" i="1" s="1"/>
  <c r="L67" i="1" s="1"/>
  <c r="I67" i="1"/>
  <c r="AE443" i="1"/>
  <c r="AD475" i="1"/>
  <c r="Q259" i="1"/>
  <c r="R252" i="1"/>
  <c r="X578" i="1"/>
  <c r="W550" i="1"/>
  <c r="V571" i="1"/>
  <c r="V655" i="1" s="1"/>
  <c r="U655" i="1"/>
  <c r="U167" i="1" s="1"/>
  <c r="H613" i="1"/>
  <c r="Y568" i="1"/>
  <c r="X540" i="1"/>
  <c r="K651" i="1"/>
  <c r="K653" i="1"/>
  <c r="T575" i="1"/>
  <c r="T659" i="1" s="1"/>
  <c r="S547" i="1"/>
  <c r="S504" i="1"/>
  <c r="AF313" i="1"/>
  <c r="U312" i="1"/>
  <c r="T312" i="1"/>
  <c r="I117" i="1"/>
  <c r="I160" i="1" s="1"/>
  <c r="J2" i="1"/>
  <c r="L334" i="1"/>
  <c r="M333" i="1"/>
  <c r="X573" i="1"/>
  <c r="X657" i="1" s="1"/>
  <c r="W545" i="1"/>
  <c r="I421" i="1"/>
  <c r="I315" i="1"/>
  <c r="J316" i="1" s="1"/>
  <c r="J319" i="1" s="1"/>
  <c r="J90" i="1" s="1"/>
  <c r="I144" i="1"/>
  <c r="U425" i="1"/>
  <c r="V425" i="1"/>
  <c r="U150" i="1"/>
  <c r="AB475" i="1"/>
  <c r="Z425" i="1"/>
  <c r="Z150" i="1"/>
  <c r="P380" i="1"/>
  <c r="P371" i="1" s="1"/>
  <c r="O252" i="1"/>
  <c r="L312" i="1"/>
  <c r="M67" i="1"/>
  <c r="M69" i="1"/>
  <c r="J69" i="1"/>
  <c r="J71" i="1" s="1"/>
  <c r="J67" i="1"/>
  <c r="I585" i="1"/>
  <c r="I670" i="1" s="1"/>
  <c r="J644" i="1"/>
  <c r="AC475" i="1"/>
  <c r="I53" i="1"/>
  <c r="I69" i="1" s="1"/>
  <c r="K336" i="1"/>
  <c r="J338" i="1"/>
  <c r="P412" i="1"/>
  <c r="P411" i="1" s="1"/>
  <c r="O411" i="1"/>
  <c r="U185" i="1"/>
  <c r="J276" i="1"/>
  <c r="J35" i="1" s="1"/>
  <c r="J267" i="1"/>
  <c r="J121" i="1" s="1"/>
  <c r="J122" i="1" s="1"/>
  <c r="J126" i="1"/>
  <c r="J129" i="1" s="1"/>
  <c r="U251" i="1"/>
  <c r="G316" i="1"/>
  <c r="G319" i="1" s="1"/>
  <c r="G90" i="1" s="1"/>
  <c r="G145" i="1"/>
  <c r="G146" i="1" s="1"/>
  <c r="AB270" i="1"/>
  <c r="Y312" i="1"/>
  <c r="L69" i="1"/>
  <c r="AC364" i="1"/>
  <c r="AD368" i="1"/>
  <c r="AD367" i="1" s="1"/>
  <c r="AD50" i="1" s="1"/>
  <c r="AC369" i="1"/>
  <c r="AC54" i="1"/>
  <c r="D6410" i="22" s="1"/>
  <c r="D6424" i="22" s="1"/>
  <c r="AC51" i="1"/>
  <c r="X564" i="1"/>
  <c r="J145" i="1"/>
  <c r="J146" i="1" s="1"/>
  <c r="I131" i="1"/>
  <c r="AD327" i="1"/>
  <c r="AC138" i="1"/>
  <c r="AF478" i="1"/>
  <c r="AG446" i="1"/>
  <c r="AG478" i="1" s="1"/>
  <c r="AB453" i="1"/>
  <c r="AA485" i="1"/>
  <c r="AA488" i="1" s="1"/>
  <c r="X583" i="1"/>
  <c r="X667" i="1" s="1"/>
  <c r="W555" i="1"/>
  <c r="U542" i="1"/>
  <c r="V570" i="1"/>
  <c r="W667" i="1"/>
  <c r="AB458" i="1"/>
  <c r="AA584" i="1"/>
  <c r="Z556" i="1"/>
  <c r="W657" i="1"/>
  <c r="W662" i="1"/>
  <c r="P560" i="1"/>
  <c r="P644" i="1" s="1"/>
  <c r="X577" i="1"/>
  <c r="W549" i="1"/>
  <c r="V566" i="1"/>
  <c r="U538" i="1"/>
  <c r="AB487" i="1"/>
  <c r="AC455" i="1"/>
  <c r="AC451" i="1"/>
  <c r="AB478" i="1"/>
  <c r="N375" i="1"/>
  <c r="O374" i="1"/>
  <c r="O373" i="1" s="1"/>
  <c r="O53" i="1" s="1"/>
  <c r="N373" i="1"/>
  <c r="N53" i="1" s="1"/>
  <c r="H415" i="1"/>
  <c r="H414" i="1" s="1"/>
  <c r="H421" i="1"/>
  <c r="N258" i="1"/>
  <c r="J188" i="1"/>
  <c r="J26" i="1"/>
  <c r="AA312" i="1"/>
  <c r="Z312" i="1"/>
  <c r="Q312" i="1"/>
  <c r="BH536" i="38"/>
  <c r="AD109" i="1" l="1"/>
  <c r="AE208" i="15"/>
  <c r="AB481" i="1"/>
  <c r="AB167" i="1" s="1"/>
  <c r="BH534" i="38"/>
  <c r="BH539" i="38" s="1"/>
  <c r="BJ536" i="38"/>
  <c r="AB456" i="1"/>
  <c r="AD386" i="1"/>
  <c r="AD70" i="1" s="1"/>
  <c r="AF389" i="1"/>
  <c r="AF386" i="1" s="1"/>
  <c r="N63" i="1"/>
  <c r="AD486" i="1"/>
  <c r="AF454" i="1"/>
  <c r="AG454" i="1" s="1"/>
  <c r="AG486" i="1" s="1"/>
  <c r="S428" i="1"/>
  <c r="Z574" i="1"/>
  <c r="AA574" i="1" s="1"/>
  <c r="AA658" i="1" s="1"/>
  <c r="G47" i="1"/>
  <c r="G79" i="1" s="1"/>
  <c r="G88" i="1" s="1"/>
  <c r="G92" i="1" s="1"/>
  <c r="Z414" i="1"/>
  <c r="AA491" i="1"/>
  <c r="H162" i="1"/>
  <c r="H178" i="1" s="1"/>
  <c r="F47" i="1"/>
  <c r="F361" i="1" s="1"/>
  <c r="T505" i="1"/>
  <c r="U505" i="1" s="1"/>
  <c r="K276" i="1"/>
  <c r="K35" i="1" s="1"/>
  <c r="K83" i="1" s="1"/>
  <c r="Y546" i="1"/>
  <c r="K267" i="1"/>
  <c r="K121" i="1" s="1"/>
  <c r="K122" i="1" s="1"/>
  <c r="K131" i="1" s="1"/>
  <c r="L316" i="1"/>
  <c r="L319" i="1" s="1"/>
  <c r="L90" i="1" s="1"/>
  <c r="Q421" i="1"/>
  <c r="Q140" i="1" s="1"/>
  <c r="K316" i="1"/>
  <c r="K319" i="1" s="1"/>
  <c r="K90" i="1" s="1"/>
  <c r="K251" i="1"/>
  <c r="K61" i="1"/>
  <c r="K263" i="1"/>
  <c r="L240" i="1" s="1"/>
  <c r="L241" i="1" s="1"/>
  <c r="I47" i="1"/>
  <c r="I361" i="1" s="1"/>
  <c r="O364" i="1"/>
  <c r="P109" i="1" s="1"/>
  <c r="O51" i="1"/>
  <c r="K30" i="1"/>
  <c r="P61" i="1"/>
  <c r="P81" i="1"/>
  <c r="O54" i="1"/>
  <c r="O369" i="1"/>
  <c r="K81" i="1"/>
  <c r="G141" i="1"/>
  <c r="G142" i="1" s="1"/>
  <c r="G148" i="1" s="1"/>
  <c r="G153" i="1" s="1"/>
  <c r="H647" i="1"/>
  <c r="G415" i="1"/>
  <c r="G414" i="1" s="1"/>
  <c r="AC481" i="1"/>
  <c r="AC167" i="1" s="1"/>
  <c r="P368" i="1"/>
  <c r="P364" i="1" s="1"/>
  <c r="Q109" i="1" s="1"/>
  <c r="Z491" i="1"/>
  <c r="D459" i="1" s="1"/>
  <c r="Y569" i="1"/>
  <c r="Y653" i="1" s="1"/>
  <c r="X541" i="1"/>
  <c r="X653" i="1"/>
  <c r="X565" i="1"/>
  <c r="W537" i="1"/>
  <c r="W649" i="1"/>
  <c r="L538" i="1"/>
  <c r="M566" i="1"/>
  <c r="M650" i="1" s="1"/>
  <c r="L650" i="1"/>
  <c r="Y491" i="1"/>
  <c r="L564" i="1"/>
  <c r="K536" i="1"/>
  <c r="X548" i="1"/>
  <c r="Y576" i="1"/>
  <c r="Y660" i="1" s="1"/>
  <c r="F141" i="1"/>
  <c r="F142" i="1" s="1"/>
  <c r="F148" i="1" s="1"/>
  <c r="F153" i="1" s="1"/>
  <c r="F339" i="1"/>
  <c r="F95" i="1" s="1"/>
  <c r="G339" i="1"/>
  <c r="G95" i="1" s="1"/>
  <c r="M327" i="1"/>
  <c r="L138" i="1"/>
  <c r="R61" i="1"/>
  <c r="R81" i="1"/>
  <c r="X554" i="1"/>
  <c r="X666" i="1"/>
  <c r="Y582" i="1"/>
  <c r="X660" i="1"/>
  <c r="W553" i="1"/>
  <c r="X581" i="1"/>
  <c r="X665" i="1" s="1"/>
  <c r="W665" i="1"/>
  <c r="K648" i="1"/>
  <c r="Q380" i="1"/>
  <c r="Q371" i="1" s="1"/>
  <c r="AE327" i="1"/>
  <c r="AD138" i="1"/>
  <c r="AE450" i="1"/>
  <c r="AD482" i="1"/>
  <c r="AC270" i="1"/>
  <c r="S252" i="1"/>
  <c r="R253" i="1"/>
  <c r="Y564" i="1"/>
  <c r="Y648" i="1" s="1"/>
  <c r="L336" i="1"/>
  <c r="K338" i="1"/>
  <c r="K141" i="1" s="1"/>
  <c r="K142" i="1" s="1"/>
  <c r="K148" i="1" s="1"/>
  <c r="X552" i="1"/>
  <c r="Y580" i="1"/>
  <c r="Y664" i="1" s="1"/>
  <c r="W567" i="1"/>
  <c r="W651" i="1" s="1"/>
  <c r="V539" i="1"/>
  <c r="W566" i="1"/>
  <c r="W650" i="1" s="1"/>
  <c r="V538" i="1"/>
  <c r="X648" i="1"/>
  <c r="J83" i="1"/>
  <c r="J38" i="1"/>
  <c r="J117" i="1"/>
  <c r="J160" i="1" s="1"/>
  <c r="K2" i="1"/>
  <c r="M569" i="1"/>
  <c r="AB490" i="1"/>
  <c r="AC458" i="1"/>
  <c r="M334" i="1"/>
  <c r="N333" i="1"/>
  <c r="M315" i="1"/>
  <c r="U575" i="1"/>
  <c r="T547" i="1"/>
  <c r="V650" i="1"/>
  <c r="L390" i="1"/>
  <c r="L71" i="1"/>
  <c r="V185" i="1"/>
  <c r="M390" i="1"/>
  <c r="M71" i="1"/>
  <c r="AB464" i="1"/>
  <c r="V651" i="1"/>
  <c r="AE396" i="1"/>
  <c r="AE70" i="1"/>
  <c r="J131" i="1"/>
  <c r="L267" i="1"/>
  <c r="L121" i="1" s="1"/>
  <c r="L276" i="1"/>
  <c r="L35" i="1" s="1"/>
  <c r="H338" i="1"/>
  <c r="H140" i="1"/>
  <c r="J196" i="1"/>
  <c r="J191" i="1"/>
  <c r="J192" i="1" s="1"/>
  <c r="J190" i="1"/>
  <c r="J25" i="1"/>
  <c r="Y583" i="1"/>
  <c r="Y667" i="1" s="1"/>
  <c r="X555" i="1"/>
  <c r="I316" i="1"/>
  <c r="I319" i="1" s="1"/>
  <c r="I90" i="1" s="1"/>
  <c r="I145" i="1"/>
  <c r="I146" i="1" s="1"/>
  <c r="X545" i="1"/>
  <c r="Y573" i="1"/>
  <c r="Y657" i="1" s="1"/>
  <c r="AG313" i="1"/>
  <c r="V543" i="1"/>
  <c r="W571" i="1"/>
  <c r="W655" i="1" s="1"/>
  <c r="AE475" i="1"/>
  <c r="AF443" i="1"/>
  <c r="K69" i="1"/>
  <c r="K71" i="1" s="1"/>
  <c r="K67" i="1"/>
  <c r="M567" i="1"/>
  <c r="M651" i="1" s="1"/>
  <c r="L539" i="1"/>
  <c r="AC483" i="1"/>
  <c r="AD451" i="1"/>
  <c r="AB584" i="1"/>
  <c r="AB668" i="1" s="1"/>
  <c r="AA556" i="1"/>
  <c r="V251" i="1"/>
  <c r="O669" i="1"/>
  <c r="O63" i="1"/>
  <c r="I140" i="1"/>
  <c r="I338" i="1"/>
  <c r="J339" i="1" s="1"/>
  <c r="J95" i="1" s="1"/>
  <c r="AE439" i="1"/>
  <c r="U406" i="1"/>
  <c r="V402" i="1"/>
  <c r="R536" i="1"/>
  <c r="S508" i="1"/>
  <c r="O258" i="1"/>
  <c r="Y577" i="1"/>
  <c r="X549" i="1"/>
  <c r="X661" i="1"/>
  <c r="P669" i="1"/>
  <c r="P63" i="1"/>
  <c r="H361" i="1"/>
  <c r="H56" i="1"/>
  <c r="H79" i="1"/>
  <c r="H88" i="1" s="1"/>
  <c r="H92" i="1" s="1"/>
  <c r="T504" i="1"/>
  <c r="Z568" i="1"/>
  <c r="Z652" i="1" s="1"/>
  <c r="Y540" i="1"/>
  <c r="X550" i="1"/>
  <c r="Y578" i="1"/>
  <c r="N401" i="1"/>
  <c r="N399" i="1" s="1"/>
  <c r="N40" i="1" s="1"/>
  <c r="O403" i="1"/>
  <c r="N86" i="1"/>
  <c r="AD466" i="1"/>
  <c r="AD495" i="1" s="1"/>
  <c r="AD20" i="1" s="1"/>
  <c r="AE434" i="1"/>
  <c r="W167" i="1"/>
  <c r="N272" i="1"/>
  <c r="M275" i="1"/>
  <c r="W570" i="1"/>
  <c r="V542" i="1"/>
  <c r="O375" i="1"/>
  <c r="P374" i="1"/>
  <c r="AA668" i="1"/>
  <c r="AC487" i="1"/>
  <c r="AD455" i="1"/>
  <c r="Q560" i="1"/>
  <c r="Q644" i="1" s="1"/>
  <c r="P532" i="1"/>
  <c r="V654" i="1"/>
  <c r="AB485" i="1"/>
  <c r="AB488" i="1" s="1"/>
  <c r="AC453" i="1"/>
  <c r="AD369" i="1"/>
  <c r="AE368" i="1"/>
  <c r="AE367" i="1" s="1"/>
  <c r="AE50" i="1" s="1"/>
  <c r="AD54" i="1"/>
  <c r="E6410" i="22" s="1"/>
  <c r="E6424" i="22" s="1"/>
  <c r="AD51" i="1"/>
  <c r="J141" i="1"/>
  <c r="J142" i="1" s="1"/>
  <c r="J148" i="1" s="1"/>
  <c r="R529" i="1"/>
  <c r="Y652" i="1"/>
  <c r="X662" i="1"/>
  <c r="AE442" i="1"/>
  <c r="AD449" i="1"/>
  <c r="AD474" i="1"/>
  <c r="AD481" i="1" s="1"/>
  <c r="AD387" i="37"/>
  <c r="BK536" i="38" l="1"/>
  <c r="BJ534" i="38"/>
  <c r="BJ539" i="38" s="1"/>
  <c r="AB467" i="1"/>
  <c r="AB422" i="1" s="1"/>
  <c r="AB415" i="1" s="1"/>
  <c r="BN536" i="38"/>
  <c r="BM536" i="38" s="1"/>
  <c r="BM534" i="38" s="1"/>
  <c r="AD364" i="1"/>
  <c r="AG389" i="1"/>
  <c r="AG386" i="1" s="1"/>
  <c r="AD396" i="1"/>
  <c r="Z546" i="1"/>
  <c r="AF486" i="1"/>
  <c r="G361" i="1"/>
  <c r="Z658" i="1"/>
  <c r="P66" i="1"/>
  <c r="F79" i="1"/>
  <c r="F88" i="1" s="1"/>
  <c r="F92" i="1" s="1"/>
  <c r="F56" i="1"/>
  <c r="G56" i="1"/>
  <c r="T533" i="1"/>
  <c r="K38" i="1"/>
  <c r="K42" i="1" s="1"/>
  <c r="K162" i="1" s="1"/>
  <c r="K178" i="1" s="1"/>
  <c r="T428" i="1"/>
  <c r="K262" i="1"/>
  <c r="I79" i="1"/>
  <c r="I88" i="1" s="1"/>
  <c r="I92" i="1" s="1"/>
  <c r="I56" i="1"/>
  <c r="K153" i="1"/>
  <c r="P367" i="1"/>
  <c r="P50" i="1" s="1"/>
  <c r="L259" i="1"/>
  <c r="L253" i="1" s="1"/>
  <c r="L251" i="1" s="1"/>
  <c r="P369" i="1"/>
  <c r="P51" i="1"/>
  <c r="J153" i="1"/>
  <c r="P54" i="1"/>
  <c r="G154" i="1"/>
  <c r="Y565" i="1"/>
  <c r="X537" i="1"/>
  <c r="Z582" i="1"/>
  <c r="Z666" i="1" s="1"/>
  <c r="Y554" i="1"/>
  <c r="X553" i="1"/>
  <c r="Y581" i="1"/>
  <c r="X649" i="1"/>
  <c r="Q368" i="1"/>
  <c r="Q367" i="1" s="1"/>
  <c r="Q50" i="1" s="1"/>
  <c r="M538" i="1"/>
  <c r="N566" i="1"/>
  <c r="N650" i="1" s="1"/>
  <c r="AB493" i="1"/>
  <c r="Y548" i="1"/>
  <c r="Z576" i="1"/>
  <c r="M564" i="1"/>
  <c r="M648" i="1" s="1"/>
  <c r="L536" i="1"/>
  <c r="Y541" i="1"/>
  <c r="Z569" i="1"/>
  <c r="N327" i="1"/>
  <c r="N138" i="1" s="1"/>
  <c r="M138" i="1"/>
  <c r="L648" i="1"/>
  <c r="Y666" i="1"/>
  <c r="R380" i="1"/>
  <c r="R371" i="1" s="1"/>
  <c r="O272" i="1"/>
  <c r="N275" i="1"/>
  <c r="Z583" i="1"/>
  <c r="Z667" i="1" s="1"/>
  <c r="Y555" i="1"/>
  <c r="W185" i="1"/>
  <c r="AE364" i="1"/>
  <c r="AF368" i="1"/>
  <c r="AF367" i="1" s="1"/>
  <c r="AF50" i="1" s="1"/>
  <c r="AE369" i="1"/>
  <c r="AE54" i="1"/>
  <c r="F6410" i="22" s="1"/>
  <c r="F6424" i="22" s="1"/>
  <c r="AE51" i="1"/>
  <c r="Q374" i="1"/>
  <c r="Q373" i="1" s="1"/>
  <c r="Q53" i="1" s="1"/>
  <c r="P375" i="1"/>
  <c r="AA568" i="1"/>
  <c r="AA652" i="1" s="1"/>
  <c r="Z540" i="1"/>
  <c r="P258" i="1"/>
  <c r="Q258" i="1" s="1"/>
  <c r="R258" i="1" s="1"/>
  <c r="AF439" i="1"/>
  <c r="AC584" i="1"/>
  <c r="AC668" i="1" s="1"/>
  <c r="AB556" i="1"/>
  <c r="AC490" i="1"/>
  <c r="AD458" i="1"/>
  <c r="X567" i="1"/>
  <c r="X651" i="1" s="1"/>
  <c r="W539" i="1"/>
  <c r="AD270" i="1"/>
  <c r="AF327" i="1"/>
  <c r="AE138" i="1"/>
  <c r="X570" i="1"/>
  <c r="W542" i="1"/>
  <c r="M267" i="1"/>
  <c r="M121" i="1" s="1"/>
  <c r="M276" i="1"/>
  <c r="M35" i="1" s="1"/>
  <c r="M126" i="1"/>
  <c r="M129" i="1" s="1"/>
  <c r="U533" i="1"/>
  <c r="V505" i="1"/>
  <c r="U428" i="1"/>
  <c r="Z577" i="1"/>
  <c r="Z661" i="1" s="1"/>
  <c r="Y549" i="1"/>
  <c r="R557" i="1"/>
  <c r="R420" i="1"/>
  <c r="Y661" i="1"/>
  <c r="N567" i="1"/>
  <c r="N651" i="1" s="1"/>
  <c r="M539" i="1"/>
  <c r="AD167" i="1"/>
  <c r="AD483" i="1"/>
  <c r="AE451" i="1"/>
  <c r="J61" i="1"/>
  <c r="J81" i="1"/>
  <c r="J30" i="1"/>
  <c r="J42" i="1" s="1"/>
  <c r="AC485" i="1"/>
  <c r="AC488" i="1" s="1"/>
  <c r="AD453" i="1"/>
  <c r="AD456" i="1" s="1"/>
  <c r="P373" i="1"/>
  <c r="P53" i="1" s="1"/>
  <c r="U504" i="1"/>
  <c r="S536" i="1"/>
  <c r="T508" i="1"/>
  <c r="T529" i="1" s="1"/>
  <c r="AB630" i="1"/>
  <c r="AB574" i="1" s="1"/>
  <c r="AA546" i="1"/>
  <c r="Y552" i="1"/>
  <c r="Z580" i="1"/>
  <c r="AD487" i="1"/>
  <c r="AE455" i="1"/>
  <c r="AE466" i="1"/>
  <c r="AE495" i="1" s="1"/>
  <c r="AE20" i="1" s="1"/>
  <c r="AF434" i="1"/>
  <c r="AF442" i="1"/>
  <c r="AE449" i="1"/>
  <c r="AE474" i="1"/>
  <c r="AE481" i="1" s="1"/>
  <c r="S529" i="1"/>
  <c r="AF475" i="1"/>
  <c r="AG443" i="1"/>
  <c r="AG475" i="1" s="1"/>
  <c r="Z573" i="1"/>
  <c r="Y545" i="1"/>
  <c r="L188" i="1"/>
  <c r="L26" i="1"/>
  <c r="K339" i="1"/>
  <c r="K95" i="1" s="1"/>
  <c r="AF396" i="1"/>
  <c r="AF70" i="1"/>
  <c r="Z578" i="1"/>
  <c r="Z662" i="1" s="1"/>
  <c r="Y550" i="1"/>
  <c r="I339" i="1"/>
  <c r="I95" i="1" s="1"/>
  <c r="I141" i="1"/>
  <c r="I142" i="1" s="1"/>
  <c r="I148" i="1" s="1"/>
  <c r="I153" i="1" s="1"/>
  <c r="L83" i="1"/>
  <c r="L38" i="1"/>
  <c r="N569" i="1"/>
  <c r="O653" i="1" s="1"/>
  <c r="M336" i="1"/>
  <c r="AC456" i="1"/>
  <c r="AC464" i="1" s="1"/>
  <c r="AC467" i="1" s="1"/>
  <c r="AC422" i="1" s="1"/>
  <c r="W654" i="1"/>
  <c r="O401" i="1"/>
  <c r="O399" i="1" s="1"/>
  <c r="O40" i="1" s="1"/>
  <c r="P403" i="1"/>
  <c r="O86" i="1"/>
  <c r="V406" i="1"/>
  <c r="W402" i="1"/>
  <c r="W251" i="1"/>
  <c r="X571" i="1"/>
  <c r="W543" i="1"/>
  <c r="V575" i="1"/>
  <c r="V659" i="1" s="1"/>
  <c r="U547" i="1"/>
  <c r="M316" i="1"/>
  <c r="M319" i="1" s="1"/>
  <c r="M90" i="1" s="1"/>
  <c r="M145" i="1"/>
  <c r="M146" i="1" s="1"/>
  <c r="M653" i="1"/>
  <c r="X566" i="1"/>
  <c r="X650" i="1" s="1"/>
  <c r="W538" i="1"/>
  <c r="Z564" i="1"/>
  <c r="AF450" i="1"/>
  <c r="AE482" i="1"/>
  <c r="R560" i="1"/>
  <c r="Q532" i="1"/>
  <c r="Y662" i="1"/>
  <c r="H339" i="1"/>
  <c r="H95" i="1" s="1"/>
  <c r="H141" i="1"/>
  <c r="H142" i="1" s="1"/>
  <c r="H148" i="1" s="1"/>
  <c r="H153" i="1" s="1"/>
  <c r="H154" i="1" s="1"/>
  <c r="V167" i="1"/>
  <c r="U659" i="1"/>
  <c r="N334" i="1"/>
  <c r="O333" i="1"/>
  <c r="N315" i="1"/>
  <c r="K117" i="1"/>
  <c r="K160" i="1" s="1"/>
  <c r="L2" i="1"/>
  <c r="T252" i="1"/>
  <c r="S253" i="1"/>
  <c r="BN486" i="38"/>
  <c r="BM486" i="38" s="1"/>
  <c r="Z37" i="40" s="1"/>
  <c r="BN471" i="38"/>
  <c r="BN466" i="38"/>
  <c r="BM466" i="38" s="1"/>
  <c r="Z22" i="40" s="1"/>
  <c r="BN456" i="38"/>
  <c r="BN436" i="38"/>
  <c r="BN481" i="38" s="1"/>
  <c r="BN363" i="38"/>
  <c r="BN362" i="38"/>
  <c r="BN361" i="38"/>
  <c r="BN357" i="38"/>
  <c r="BN354" i="38"/>
  <c r="BN352" i="38"/>
  <c r="BN351" i="38"/>
  <c r="BN350" i="38"/>
  <c r="BN316" i="38"/>
  <c r="BN275" i="38"/>
  <c r="BN300" i="38" s="1"/>
  <c r="BN264" i="38"/>
  <c r="BN262" i="38"/>
  <c r="BM262" i="38" s="1"/>
  <c r="BL262" i="38" s="1"/>
  <c r="BK262" i="38" s="1"/>
  <c r="BJ262" i="38" s="1"/>
  <c r="BN261" i="38"/>
  <c r="BM261" i="38" s="1"/>
  <c r="BL261" i="38" s="1"/>
  <c r="BK261" i="38" s="1"/>
  <c r="BJ261" i="38" s="1"/>
  <c r="BN260" i="38"/>
  <c r="BM260" i="38" s="1"/>
  <c r="BL260" i="38" s="1"/>
  <c r="BK260" i="38" s="1"/>
  <c r="BJ260" i="38" s="1"/>
  <c r="BN255" i="38"/>
  <c r="BM255" i="38" s="1"/>
  <c r="BL255" i="38" s="1"/>
  <c r="BK255" i="38" s="1"/>
  <c r="BJ255" i="38" s="1"/>
  <c r="BN254" i="38"/>
  <c r="BM254" i="38" s="1"/>
  <c r="BL254" i="38" s="1"/>
  <c r="BK254" i="38" s="1"/>
  <c r="BJ254" i="38" s="1"/>
  <c r="BN253" i="38"/>
  <c r="BM253" i="38" s="1"/>
  <c r="BL253" i="38" s="1"/>
  <c r="BK253" i="38" s="1"/>
  <c r="BJ253" i="38" s="1"/>
  <c r="BN252" i="38"/>
  <c r="BM252" i="38" s="1"/>
  <c r="BL252" i="38" s="1"/>
  <c r="BK252" i="38" s="1"/>
  <c r="BJ252" i="38" s="1"/>
  <c r="BN251" i="38"/>
  <c r="BM251" i="38" s="1"/>
  <c r="BL251" i="38" s="1"/>
  <c r="BK251" i="38" s="1"/>
  <c r="BJ251" i="38" s="1"/>
  <c r="BN250" i="38"/>
  <c r="BN90" i="38"/>
  <c r="BN83" i="38"/>
  <c r="BN38" i="38"/>
  <c r="BN102" i="38" s="1"/>
  <c r="BN178" i="38" s="1"/>
  <c r="Q80" i="37" a="1"/>
  <c r="Q38" i="37" a="1"/>
  <c r="AE109" i="1" l="1"/>
  <c r="AF208" i="15"/>
  <c r="AF109" i="1"/>
  <c r="AG208" i="15"/>
  <c r="W29" i="40"/>
  <c r="BJ541" i="38"/>
  <c r="W28" i="40" s="1"/>
  <c r="BK534" i="38"/>
  <c r="BK539" i="38" s="1"/>
  <c r="BL536" i="38"/>
  <c r="BL534" i="38" s="1"/>
  <c r="BL539" i="38" s="1"/>
  <c r="AB497" i="1"/>
  <c r="AB494" i="1"/>
  <c r="P69" i="1"/>
  <c r="P390" i="1" s="1"/>
  <c r="K47" i="1"/>
  <c r="K361" i="1" s="1"/>
  <c r="L263" i="1"/>
  <c r="L262" i="1" s="1"/>
  <c r="K154" i="1"/>
  <c r="BJ83" i="38"/>
  <c r="BK83" i="38" s="1"/>
  <c r="BL83" i="38" s="1"/>
  <c r="R368" i="1"/>
  <c r="R367" i="1" s="1"/>
  <c r="R50" i="1" s="1"/>
  <c r="Q51" i="1"/>
  <c r="Q54" i="1"/>
  <c r="Q369" i="1"/>
  <c r="Q364" i="1"/>
  <c r="R109" i="1" s="1"/>
  <c r="AD464" i="1"/>
  <c r="AD467" i="1" s="1"/>
  <c r="AD422" i="1" s="1"/>
  <c r="AD415" i="1" s="1"/>
  <c r="AC493" i="1"/>
  <c r="Y553" i="1"/>
  <c r="Z581" i="1"/>
  <c r="Z665" i="1" s="1"/>
  <c r="Z653" i="1"/>
  <c r="AA569" i="1"/>
  <c r="AA653" i="1" s="1"/>
  <c r="Z541" i="1"/>
  <c r="O566" i="1"/>
  <c r="O650" i="1" s="1"/>
  <c r="N538" i="1"/>
  <c r="M536" i="1"/>
  <c r="M535" i="1" s="1"/>
  <c r="M563" i="1" s="1"/>
  <c r="N564" i="1"/>
  <c r="N648" i="1" s="1"/>
  <c r="AA576" i="1"/>
  <c r="AA660" i="1" s="1"/>
  <c r="Z548" i="1"/>
  <c r="Y579" i="1"/>
  <c r="Y537" i="1"/>
  <c r="Z565" i="1"/>
  <c r="Z649" i="1" s="1"/>
  <c r="AA582" i="1"/>
  <c r="Z554" i="1"/>
  <c r="Z660" i="1"/>
  <c r="Y665" i="1"/>
  <c r="Y649" i="1"/>
  <c r="T557" i="1"/>
  <c r="T420" i="1"/>
  <c r="I154" i="1"/>
  <c r="J154" i="1"/>
  <c r="AC630" i="1"/>
  <c r="AC574" i="1" s="1"/>
  <c r="AB546" i="1"/>
  <c r="AB658" i="1"/>
  <c r="Y571" i="1"/>
  <c r="Y655" i="1" s="1"/>
  <c r="X543" i="1"/>
  <c r="AA629" i="1"/>
  <c r="AA573" i="1" s="1"/>
  <c r="Z545" i="1"/>
  <c r="V504" i="1"/>
  <c r="V533" i="1"/>
  <c r="W505" i="1"/>
  <c r="V428" i="1"/>
  <c r="V431" i="1" s="1"/>
  <c r="X185" i="1"/>
  <c r="AG450" i="1"/>
  <c r="AF482" i="1"/>
  <c r="X655" i="1"/>
  <c r="N336" i="1"/>
  <c r="Z657" i="1"/>
  <c r="N539" i="1"/>
  <c r="O567" i="1"/>
  <c r="O651" i="1" s="1"/>
  <c r="Y567" i="1"/>
  <c r="X539" i="1"/>
  <c r="AG439" i="1"/>
  <c r="Z552" i="1"/>
  <c r="AA580" i="1"/>
  <c r="AA664" i="1" s="1"/>
  <c r="AE483" i="1"/>
  <c r="AF451" i="1"/>
  <c r="X542" i="1"/>
  <c r="Y570" i="1"/>
  <c r="N267" i="1"/>
  <c r="N121" i="1" s="1"/>
  <c r="N276" i="1"/>
  <c r="N35" i="1" s="1"/>
  <c r="N126" i="1"/>
  <c r="N129" i="1" s="1"/>
  <c r="L117" i="1"/>
  <c r="L160" i="1" s="1"/>
  <c r="M2" i="1"/>
  <c r="AE167" i="1"/>
  <c r="AA564" i="1"/>
  <c r="AF449" i="1"/>
  <c r="AG442" i="1"/>
  <c r="AF474" i="1"/>
  <c r="AF481" i="1" s="1"/>
  <c r="P333" i="1"/>
  <c r="O334" i="1"/>
  <c r="O315" i="1"/>
  <c r="Z648" i="1"/>
  <c r="P401" i="1"/>
  <c r="P399" i="1" s="1"/>
  <c r="P40" i="1" s="1"/>
  <c r="Q403" i="1"/>
  <c r="P86" i="1"/>
  <c r="AD485" i="1"/>
  <c r="AD488" i="1" s="1"/>
  <c r="AE453" i="1"/>
  <c r="X654" i="1"/>
  <c r="AE458" i="1"/>
  <c r="AD490" i="1"/>
  <c r="S258" i="1"/>
  <c r="R262" i="1"/>
  <c r="R263" i="1" s="1"/>
  <c r="AG368" i="1"/>
  <c r="AG367" i="1" s="1"/>
  <c r="AG50" i="1" s="1"/>
  <c r="AF369" i="1"/>
  <c r="AF364" i="1"/>
  <c r="AF54" i="1"/>
  <c r="G6410" i="22" s="1"/>
  <c r="G6424" i="22" s="1"/>
  <c r="AF51" i="1"/>
  <c r="P272" i="1"/>
  <c r="O275" i="1"/>
  <c r="N316" i="1"/>
  <c r="N319" i="1" s="1"/>
  <c r="N90" i="1" s="1"/>
  <c r="N317" i="1"/>
  <c r="N145" i="1"/>
  <c r="N146" i="1" s="1"/>
  <c r="V547" i="1"/>
  <c r="W575" i="1"/>
  <c r="X251" i="1"/>
  <c r="N653" i="1"/>
  <c r="AF466" i="1"/>
  <c r="AF495" i="1" s="1"/>
  <c r="AF20" i="1" s="1"/>
  <c r="AG434" i="1"/>
  <c r="Z664" i="1"/>
  <c r="R144" i="1"/>
  <c r="R421" i="1"/>
  <c r="R140" i="1" s="1"/>
  <c r="AG396" i="1"/>
  <c r="AG70" i="1"/>
  <c r="W406" i="1"/>
  <c r="X402" i="1"/>
  <c r="U252" i="1"/>
  <c r="T253" i="1"/>
  <c r="X538" i="1"/>
  <c r="Y566" i="1"/>
  <c r="Y650" i="1" s="1"/>
  <c r="AG327" i="1"/>
  <c r="AG138" i="1" s="1"/>
  <c r="AF138" i="1"/>
  <c r="S380" i="1"/>
  <c r="S560" i="1"/>
  <c r="R532" i="1"/>
  <c r="AC415" i="1"/>
  <c r="L196" i="1"/>
  <c r="L233" i="1" s="1"/>
  <c r="L191" i="1"/>
  <c r="L192" i="1" s="1"/>
  <c r="L190" i="1"/>
  <c r="L25" i="1"/>
  <c r="S557" i="1"/>
  <c r="S420" i="1"/>
  <c r="AF455" i="1"/>
  <c r="AE487" i="1"/>
  <c r="T536" i="1"/>
  <c r="U508" i="1"/>
  <c r="U529" i="1" s="1"/>
  <c r="J162" i="1"/>
  <c r="J178" i="1" s="1"/>
  <c r="J47" i="1"/>
  <c r="AA540" i="1"/>
  <c r="AB568" i="1"/>
  <c r="AB652" i="1" s="1"/>
  <c r="Q375" i="1"/>
  <c r="R374" i="1"/>
  <c r="R373" i="1" s="1"/>
  <c r="R53" i="1" s="1"/>
  <c r="R644" i="1"/>
  <c r="AA578" i="1"/>
  <c r="AA662" i="1" s="1"/>
  <c r="Z550" i="1"/>
  <c r="AA577" i="1"/>
  <c r="Z549" i="1"/>
  <c r="M83" i="1"/>
  <c r="M38" i="1"/>
  <c r="AE270" i="1"/>
  <c r="AD584" i="1"/>
  <c r="AD668" i="1" s="1"/>
  <c r="AC556" i="1"/>
  <c r="Z555" i="1"/>
  <c r="AA583" i="1"/>
  <c r="Q80" i="37"/>
  <c r="Q38" i="37"/>
  <c r="BN349" i="38"/>
  <c r="BN382" i="38" s="1"/>
  <c r="BN408" i="38" s="1"/>
  <c r="N279" i="37"/>
  <c r="N280" i="37"/>
  <c r="N281" i="37"/>
  <c r="N283" i="37"/>
  <c r="N52" i="37"/>
  <c r="N53" i="37"/>
  <c r="N54" i="37"/>
  <c r="N62" i="37"/>
  <c r="N75" i="37"/>
  <c r="N22" i="37"/>
  <c r="N11" i="37"/>
  <c r="N12" i="37"/>
  <c r="BI137" i="38"/>
  <c r="BI133" i="38"/>
  <c r="BI131" i="38"/>
  <c r="BI118" i="38"/>
  <c r="BN118" i="38" s="1"/>
  <c r="BI117" i="38"/>
  <c r="BI116" i="38"/>
  <c r="BI115" i="38"/>
  <c r="BI108" i="38"/>
  <c r="BI107" i="38"/>
  <c r="BI106" i="38"/>
  <c r="BI105" i="38"/>
  <c r="BI104" i="38"/>
  <c r="BI103" i="38"/>
  <c r="BI71" i="38"/>
  <c r="BI53" i="38"/>
  <c r="BI314" i="38" s="1"/>
  <c r="BI52" i="38"/>
  <c r="BI313" i="38" s="1"/>
  <c r="BI51" i="38"/>
  <c r="BI312" i="38" s="1"/>
  <c r="BI44" i="38"/>
  <c r="BI306" i="38" s="1"/>
  <c r="BI43" i="38"/>
  <c r="BI305" i="38" s="1"/>
  <c r="BI42" i="38"/>
  <c r="BI304" i="38" s="1"/>
  <c r="BI41" i="38"/>
  <c r="BI303" i="38" s="1"/>
  <c r="BI40" i="38"/>
  <c r="BI302" i="38" s="1"/>
  <c r="BI39" i="38"/>
  <c r="BI301" i="38" s="1"/>
  <c r="BI34" i="38"/>
  <c r="BI17" i="38"/>
  <c r="BI16" i="38"/>
  <c r="BI15" i="38"/>
  <c r="BI8" i="38"/>
  <c r="BI7" i="38"/>
  <c r="BI6" i="38"/>
  <c r="BI5" i="38"/>
  <c r="BI4" i="38"/>
  <c r="BI3" i="38"/>
  <c r="AG109" i="1" l="1"/>
  <c r="AH208" i="15"/>
  <c r="BL541" i="38"/>
  <c r="Y28" i="40" s="1"/>
  <c r="Y29" i="40"/>
  <c r="BL566" i="38"/>
  <c r="X29" i="40"/>
  <c r="BK541" i="38"/>
  <c r="X28" i="40" s="1"/>
  <c r="AC497" i="1"/>
  <c r="AC494" i="1"/>
  <c r="S368" i="1"/>
  <c r="S54" i="1" s="1"/>
  <c r="R51" i="1"/>
  <c r="P71" i="1"/>
  <c r="R54" i="1"/>
  <c r="R369" i="1"/>
  <c r="R364" i="1"/>
  <c r="S109" i="1" s="1"/>
  <c r="M240" i="1"/>
  <c r="M241" i="1" s="1"/>
  <c r="K79" i="1"/>
  <c r="K88" i="1" s="1"/>
  <c r="K92" i="1" s="1"/>
  <c r="K111" i="1" s="1"/>
  <c r="K426" i="1" s="1"/>
  <c r="K56" i="1"/>
  <c r="BM83" i="38"/>
  <c r="S371" i="1"/>
  <c r="S374" i="1" s="1"/>
  <c r="S373" i="1" s="1"/>
  <c r="S53" i="1" s="1"/>
  <c r="AB582" i="1"/>
  <c r="AA554" i="1"/>
  <c r="AA666" i="1"/>
  <c r="N536" i="1"/>
  <c r="N535" i="1" s="1"/>
  <c r="N563" i="1" s="1"/>
  <c r="O564" i="1"/>
  <c r="AB569" i="1"/>
  <c r="AB653" i="1" s="1"/>
  <c r="AA541" i="1"/>
  <c r="AB576" i="1"/>
  <c r="AB660" i="1" s="1"/>
  <c r="AA548" i="1"/>
  <c r="Z537" i="1"/>
  <c r="AA565" i="1"/>
  <c r="AA649" i="1" s="1"/>
  <c r="Z553" i="1"/>
  <c r="AA637" i="1"/>
  <c r="AA581" i="1" s="1"/>
  <c r="Z579" i="1"/>
  <c r="Y551" i="1"/>
  <c r="P650" i="1"/>
  <c r="O538" i="1"/>
  <c r="AD630" i="1"/>
  <c r="AD574" i="1" s="1"/>
  <c r="AC546" i="1"/>
  <c r="AC658" i="1"/>
  <c r="AF270" i="1"/>
  <c r="S421" i="1"/>
  <c r="S140" i="1" s="1"/>
  <c r="S144" i="1"/>
  <c r="V252" i="1"/>
  <c r="U253" i="1"/>
  <c r="X575" i="1"/>
  <c r="W547" i="1"/>
  <c r="Z570" i="1"/>
  <c r="Z654" i="1" s="1"/>
  <c r="Y542" i="1"/>
  <c r="AB573" i="1"/>
  <c r="AB657" i="1" s="1"/>
  <c r="AA545" i="1"/>
  <c r="R375" i="1"/>
  <c r="U536" i="1"/>
  <c r="V508" i="1"/>
  <c r="V529" i="1" s="1"/>
  <c r="AG466" i="1"/>
  <c r="AG495" i="1" s="1"/>
  <c r="AG20" i="1" s="1"/>
  <c r="W659" i="1"/>
  <c r="AE490" i="1"/>
  <c r="AF458" i="1"/>
  <c r="P315" i="1"/>
  <c r="Q333" i="1"/>
  <c r="P334" i="1"/>
  <c r="O336" i="1"/>
  <c r="L61" i="1"/>
  <c r="L81" i="1"/>
  <c r="L30" i="1"/>
  <c r="L42" i="1" s="1"/>
  <c r="AF167" i="1"/>
  <c r="Y654" i="1"/>
  <c r="AA657" i="1"/>
  <c r="AB577" i="1"/>
  <c r="AB661" i="1" s="1"/>
  <c r="AA549" i="1"/>
  <c r="AB580" i="1"/>
  <c r="AB664" i="1" s="1"/>
  <c r="AA552" i="1"/>
  <c r="AB583" i="1"/>
  <c r="AA555" i="1"/>
  <c r="T560" i="1"/>
  <c r="T644" i="1" s="1"/>
  <c r="S532" i="1"/>
  <c r="AA550" i="1"/>
  <c r="AB578" i="1"/>
  <c r="AB662" i="1" s="1"/>
  <c r="Z566" i="1"/>
  <c r="Z650" i="1" s="1"/>
  <c r="Y538" i="1"/>
  <c r="AE485" i="1"/>
  <c r="AE488" i="1" s="1"/>
  <c r="AF453" i="1"/>
  <c r="AF456" i="1" s="1"/>
  <c r="AE456" i="1"/>
  <c r="AE464" i="1" s="1"/>
  <c r="AE467" i="1" s="1"/>
  <c r="AE422" i="1" s="1"/>
  <c r="AG449" i="1"/>
  <c r="AG474" i="1"/>
  <c r="AG481" i="1" s="1"/>
  <c r="M117" i="1"/>
  <c r="M160" i="1" s="1"/>
  <c r="N2" i="1"/>
  <c r="AG451" i="1"/>
  <c r="AG483" i="1" s="1"/>
  <c r="AF483" i="1"/>
  <c r="Z567" i="1"/>
  <c r="Z651" i="1" s="1"/>
  <c r="Y539" i="1"/>
  <c r="W533" i="1"/>
  <c r="X505" i="1"/>
  <c r="W428" i="1"/>
  <c r="W431" i="1" s="1"/>
  <c r="P651" i="1"/>
  <c r="O539" i="1"/>
  <c r="AA667" i="1"/>
  <c r="AC568" i="1"/>
  <c r="AC652" i="1" s="1"/>
  <c r="AB540" i="1"/>
  <c r="S644" i="1"/>
  <c r="AD493" i="1"/>
  <c r="R403" i="1"/>
  <c r="Q401" i="1"/>
  <c r="Q399" i="1" s="1"/>
  <c r="Q40" i="1" s="1"/>
  <c r="Q86" i="1"/>
  <c r="Y651" i="1"/>
  <c r="Z571" i="1"/>
  <c r="Z655" i="1" s="1"/>
  <c r="Y543" i="1"/>
  <c r="AG369" i="1"/>
  <c r="AG364" i="1"/>
  <c r="AI208" i="15" s="1"/>
  <c r="AG54" i="1"/>
  <c r="H6410" i="22" s="1"/>
  <c r="H6424" i="22" s="1"/>
  <c r="AG51" i="1"/>
  <c r="AG482" i="1"/>
  <c r="W504" i="1"/>
  <c r="O267" i="1"/>
  <c r="O121" i="1" s="1"/>
  <c r="O276" i="1"/>
  <c r="O35" i="1" s="1"/>
  <c r="O126" i="1"/>
  <c r="O129" i="1" s="1"/>
  <c r="S248" i="1"/>
  <c r="R259" i="1"/>
  <c r="AB564" i="1"/>
  <c r="AB648" i="1" s="1"/>
  <c r="N83" i="1"/>
  <c r="N38" i="1"/>
  <c r="N42" i="1" s="1"/>
  <c r="U557" i="1"/>
  <c r="U420" i="1"/>
  <c r="T421" i="1"/>
  <c r="T140" i="1" s="1"/>
  <c r="T144" i="1"/>
  <c r="L200" i="1"/>
  <c r="L234" i="1" s="1"/>
  <c r="L120" i="1" s="1"/>
  <c r="L122" i="1" s="1"/>
  <c r="L131" i="1" s="1"/>
  <c r="X406" i="1"/>
  <c r="Y402" i="1"/>
  <c r="AA661" i="1"/>
  <c r="AE584" i="1"/>
  <c r="AD556" i="1"/>
  <c r="J361" i="1"/>
  <c r="J56" i="1"/>
  <c r="J79" i="1"/>
  <c r="J88" i="1" s="1"/>
  <c r="J92" i="1" s="1"/>
  <c r="AG455" i="1"/>
  <c r="AG487" i="1" s="1"/>
  <c r="AF487" i="1"/>
  <c r="Y251" i="1"/>
  <c r="Q272" i="1"/>
  <c r="P275" i="1"/>
  <c r="T258" i="1"/>
  <c r="S262" i="1"/>
  <c r="S263" i="1" s="1"/>
  <c r="O316" i="1"/>
  <c r="O319" i="1" s="1"/>
  <c r="O90" i="1" s="1"/>
  <c r="O317" i="1"/>
  <c r="O145" i="1"/>
  <c r="O146" i="1" s="1"/>
  <c r="AA648" i="1"/>
  <c r="Y185" i="1"/>
  <c r="N9" i="37"/>
  <c r="N48" i="37"/>
  <c r="N289" i="37"/>
  <c r="N49" i="37"/>
  <c r="N275" i="37"/>
  <c r="N20" i="37"/>
  <c r="N421" i="37" s="1"/>
  <c r="N51" i="37"/>
  <c r="N276" i="37"/>
  <c r="N288" i="37"/>
  <c r="N21" i="37"/>
  <c r="N422" i="37" s="1"/>
  <c r="BI55" i="38"/>
  <c r="N277" i="37"/>
  <c r="N305" i="37"/>
  <c r="N8" i="37"/>
  <c r="N414" i="37" s="1"/>
  <c r="N10" i="37"/>
  <c r="N274" i="37"/>
  <c r="N50" i="37"/>
  <c r="N60" i="37"/>
  <c r="N278" i="37"/>
  <c r="N47" i="37"/>
  <c r="N303" i="37"/>
  <c r="N6" i="37"/>
  <c r="N412" i="37" s="1"/>
  <c r="N7" i="37"/>
  <c r="N413" i="37" s="1"/>
  <c r="N46" i="37"/>
  <c r="N61" i="37"/>
  <c r="N287" i="37"/>
  <c r="N355" i="37"/>
  <c r="BI119" i="38"/>
  <c r="N291" i="37" s="1"/>
  <c r="N356" i="37"/>
  <c r="N59" i="37"/>
  <c r="BI19" i="38"/>
  <c r="BI113" i="38"/>
  <c r="N19" i="37"/>
  <c r="N420" i="37" s="1"/>
  <c r="BI13" i="38"/>
  <c r="N5" i="37"/>
  <c r="N273" i="37"/>
  <c r="N290" i="37"/>
  <c r="BI49" i="38"/>
  <c r="N35" i="37"/>
  <c r="BH95" i="38"/>
  <c r="BH96" i="38"/>
  <c r="BH97" i="38"/>
  <c r="BH86" i="38"/>
  <c r="BH87" i="38"/>
  <c r="BH88" i="38"/>
  <c r="BH76" i="38"/>
  <c r="BH77" i="38"/>
  <c r="BH78" i="38"/>
  <c r="BH79" i="38"/>
  <c r="BH80" i="38"/>
  <c r="BH81" i="38"/>
  <c r="AA150" i="45"/>
  <c r="AA153" i="45"/>
  <c r="S54" i="45"/>
  <c r="T54" i="45"/>
  <c r="U54" i="45"/>
  <c r="V54" i="45"/>
  <c r="V31" i="45"/>
  <c r="V58" i="45"/>
  <c r="V59" i="45"/>
  <c r="V60" i="45"/>
  <c r="V61" i="45"/>
  <c r="V62" i="45"/>
  <c r="V63" i="45"/>
  <c r="V64" i="45"/>
  <c r="V65" i="45"/>
  <c r="V53" i="45"/>
  <c r="V50" i="45"/>
  <c r="V51" i="45" s="1"/>
  <c r="V37" i="45"/>
  <c r="V34" i="45"/>
  <c r="AK139" i="45"/>
  <c r="AF139" i="45"/>
  <c r="AJ139" i="45" s="1"/>
  <c r="AK138" i="45"/>
  <c r="AF138" i="45"/>
  <c r="AJ138" i="45" s="1"/>
  <c r="AK134" i="45"/>
  <c r="AF134" i="45"/>
  <c r="AJ134" i="45" s="1"/>
  <c r="V111" i="45"/>
  <c r="V110" i="45"/>
  <c r="V109" i="45"/>
  <c r="V114" i="45"/>
  <c r="V115" i="45"/>
  <c r="V116" i="45"/>
  <c r="V118" i="45"/>
  <c r="V119" i="45"/>
  <c r="V120" i="45"/>
  <c r="V121" i="45"/>
  <c r="V15" i="45"/>
  <c r="V13" i="45"/>
  <c r="V9" i="45"/>
  <c r="BH507" i="38"/>
  <c r="BH441" i="38"/>
  <c r="BH140" i="38"/>
  <c r="C94" i="45" s="1"/>
  <c r="H101" i="45"/>
  <c r="H96" i="45"/>
  <c r="H93" i="45"/>
  <c r="H92" i="45"/>
  <c r="D92" i="45"/>
  <c r="D93" i="45"/>
  <c r="D94" i="45"/>
  <c r="D96" i="45"/>
  <c r="D98" i="45"/>
  <c r="D99" i="45"/>
  <c r="D100" i="45"/>
  <c r="D101" i="45"/>
  <c r="D104" i="45"/>
  <c r="C101" i="45"/>
  <c r="C96" i="45"/>
  <c r="C93" i="45"/>
  <c r="C92" i="45"/>
  <c r="AL34" i="13"/>
  <c r="AM26" i="13"/>
  <c r="AM27" i="13"/>
  <c r="AK27" i="13"/>
  <c r="AI27" i="13"/>
  <c r="U154" i="15"/>
  <c r="V154" i="15"/>
  <c r="W154" i="15"/>
  <c r="X154" i="15"/>
  <c r="Y154" i="15"/>
  <c r="Z154" i="15"/>
  <c r="AA154" i="15"/>
  <c r="AB154" i="15"/>
  <c r="T154" i="15"/>
  <c r="AA5" i="1" l="1"/>
  <c r="AA419" i="1" s="1"/>
  <c r="N426" i="37"/>
  <c r="AD497" i="1"/>
  <c r="AD494" i="1"/>
  <c r="S364" i="1"/>
  <c r="T109" i="1" s="1"/>
  <c r="S369" i="1"/>
  <c r="S367" i="1"/>
  <c r="S50" i="1" s="1"/>
  <c r="S51" i="1"/>
  <c r="M259" i="1"/>
  <c r="M253" i="1" s="1"/>
  <c r="M251" i="1" s="1"/>
  <c r="T380" i="1"/>
  <c r="T368" i="1" s="1"/>
  <c r="T369" i="1" s="1"/>
  <c r="N354" i="37"/>
  <c r="P354" i="37" s="1"/>
  <c r="Q354" i="37" s="1"/>
  <c r="R354" i="37" s="1"/>
  <c r="AB581" i="1"/>
  <c r="AB665" i="1" s="1"/>
  <c r="AA553" i="1"/>
  <c r="AB541" i="1"/>
  <c r="AC569" i="1"/>
  <c r="AA537" i="1"/>
  <c r="AB565" i="1"/>
  <c r="O648" i="1"/>
  <c r="P648" i="1"/>
  <c r="O536" i="1"/>
  <c r="O535" i="1" s="1"/>
  <c r="O563" i="1" s="1"/>
  <c r="Z551" i="1"/>
  <c r="AA579" i="1"/>
  <c r="AA665" i="1"/>
  <c r="AF464" i="1"/>
  <c r="AF467" i="1" s="1"/>
  <c r="AF422" i="1" s="1"/>
  <c r="AF415" i="1" s="1"/>
  <c r="AB548" i="1"/>
  <c r="AC576" i="1"/>
  <c r="AB666" i="1"/>
  <c r="AB554" i="1"/>
  <c r="AC582" i="1"/>
  <c r="AE630" i="1"/>
  <c r="AE574" i="1" s="1"/>
  <c r="AD546" i="1"/>
  <c r="AD658" i="1"/>
  <c r="AF584" i="1"/>
  <c r="AF668" i="1" s="1"/>
  <c r="AE556" i="1"/>
  <c r="Y406" i="1"/>
  <c r="N162" i="1"/>
  <c r="N178" i="1" s="1"/>
  <c r="N47" i="1"/>
  <c r="O83" i="1"/>
  <c r="O38" i="1"/>
  <c r="O42" i="1" s="1"/>
  <c r="AE493" i="1"/>
  <c r="AC578" i="1"/>
  <c r="AC662" i="1" s="1"/>
  <c r="AB550" i="1"/>
  <c r="AC583" i="1"/>
  <c r="AB555" i="1"/>
  <c r="P336" i="1"/>
  <c r="S375" i="1"/>
  <c r="Z251" i="1"/>
  <c r="AE668" i="1"/>
  <c r="AB667" i="1"/>
  <c r="Q334" i="1"/>
  <c r="R333" i="1"/>
  <c r="Q315" i="1"/>
  <c r="AG270" i="1"/>
  <c r="Y505" i="1"/>
  <c r="X533" i="1"/>
  <c r="X428" i="1"/>
  <c r="X431" i="1" s="1"/>
  <c r="O2" i="1"/>
  <c r="N117" i="1"/>
  <c r="N160" i="1" s="1"/>
  <c r="P317" i="1"/>
  <c r="P316" i="1"/>
  <c r="P319" i="1" s="1"/>
  <c r="P90" i="1" s="1"/>
  <c r="P145" i="1"/>
  <c r="P146" i="1" s="1"/>
  <c r="Y575" i="1"/>
  <c r="Y659" i="1" s="1"/>
  <c r="X547" i="1"/>
  <c r="Z185" i="1"/>
  <c r="T248" i="1"/>
  <c r="S259" i="1"/>
  <c r="X504" i="1"/>
  <c r="AA566" i="1"/>
  <c r="Z538" i="1"/>
  <c r="AC580" i="1"/>
  <c r="AC664" i="1" s="1"/>
  <c r="AB552" i="1"/>
  <c r="AC577" i="1"/>
  <c r="AC661" i="1" s="1"/>
  <c r="AB549" i="1"/>
  <c r="AC573" i="1"/>
  <c r="AB545" i="1"/>
  <c r="X659" i="1"/>
  <c r="AF485" i="1"/>
  <c r="AF488" i="1" s="1"/>
  <c r="AG453" i="1"/>
  <c r="AA570" i="1"/>
  <c r="Z542" i="1"/>
  <c r="U258" i="1"/>
  <c r="T262" i="1"/>
  <c r="T263" i="1" s="1"/>
  <c r="AC564" i="1"/>
  <c r="AC648" i="1" s="1"/>
  <c r="V557" i="1"/>
  <c r="V420" i="1"/>
  <c r="AG167" i="1"/>
  <c r="U560" i="1"/>
  <c r="U644" i="1" s="1"/>
  <c r="T532" i="1"/>
  <c r="L162" i="1"/>
  <c r="L178" i="1" s="1"/>
  <c r="L47" i="1"/>
  <c r="M188" i="1"/>
  <c r="M26" i="1"/>
  <c r="P267" i="1"/>
  <c r="P121" i="1" s="1"/>
  <c r="P122" i="1" s="1"/>
  <c r="P276" i="1"/>
  <c r="P35" i="1" s="1"/>
  <c r="P126" i="1"/>
  <c r="P129" i="1" s="1"/>
  <c r="S403" i="1"/>
  <c r="R401" i="1"/>
  <c r="R399" i="1" s="1"/>
  <c r="R40" i="1" s="1"/>
  <c r="R86" i="1"/>
  <c r="AD568" i="1"/>
  <c r="AC540" i="1"/>
  <c r="V536" i="1"/>
  <c r="W508" i="1"/>
  <c r="R272" i="1"/>
  <c r="Q275" i="1"/>
  <c r="U144" i="1"/>
  <c r="U421" i="1"/>
  <c r="U140" i="1" s="1"/>
  <c r="AA571" i="1"/>
  <c r="Z543" i="1"/>
  <c r="AA567" i="1"/>
  <c r="AA651" i="1" s="1"/>
  <c r="Z539" i="1"/>
  <c r="AE415" i="1"/>
  <c r="AF490" i="1"/>
  <c r="AG458" i="1"/>
  <c r="AG490" i="1" s="1"/>
  <c r="W252" i="1"/>
  <c r="V253" i="1"/>
  <c r="N383" i="37"/>
  <c r="N411" i="37" s="1"/>
  <c r="N417" i="37"/>
  <c r="N388" i="37"/>
  <c r="N416" i="37" s="1"/>
  <c r="N387" i="37"/>
  <c r="N415" i="37" s="1"/>
  <c r="AH138" i="45"/>
  <c r="N362" i="37"/>
  <c r="N352" i="37"/>
  <c r="P352" i="37" s="1"/>
  <c r="Q352" i="37" s="1"/>
  <c r="N351" i="37"/>
  <c r="O351" i="37" s="1"/>
  <c r="P351" i="37" s="1"/>
  <c r="Q351" i="37" s="1"/>
  <c r="N353" i="37"/>
  <c r="N57" i="37"/>
  <c r="N375" i="37"/>
  <c r="N363" i="37"/>
  <c r="O363" i="37" s="1"/>
  <c r="P363" i="37" s="1"/>
  <c r="Q363" i="37" s="1"/>
  <c r="R363" i="37" s="1"/>
  <c r="N350" i="37"/>
  <c r="P350" i="37" s="1"/>
  <c r="Q350" i="37" s="1"/>
  <c r="R350" i="37" s="1"/>
  <c r="S350" i="37" s="1"/>
  <c r="T350" i="37" s="1"/>
  <c r="N63" i="37"/>
  <c r="N284" i="37"/>
  <c r="N16" i="37"/>
  <c r="N23" i="37"/>
  <c r="BI57" i="38"/>
  <c r="D97" i="45"/>
  <c r="N361" i="37"/>
  <c r="AH139" i="45"/>
  <c r="AL139" i="45"/>
  <c r="N349" i="37"/>
  <c r="BI21" i="38"/>
  <c r="F94" i="45"/>
  <c r="V40" i="45"/>
  <c r="V39" i="45" s="1"/>
  <c r="D95" i="45"/>
  <c r="AH134" i="45"/>
  <c r="AL138" i="45"/>
  <c r="BH98" i="38"/>
  <c r="D103" i="45"/>
  <c r="D102" i="45"/>
  <c r="AL134" i="45"/>
  <c r="N22" i="47"/>
  <c r="O22" i="47"/>
  <c r="C20" i="47"/>
  <c r="D21" i="47"/>
  <c r="C15" i="47"/>
  <c r="C17" i="47"/>
  <c r="C18" i="47"/>
  <c r="C19" i="47"/>
  <c r="C22" i="47"/>
  <c r="AA313" i="1" l="1"/>
  <c r="M263" i="1"/>
  <c r="M262" i="1" s="1"/>
  <c r="AA301" i="1"/>
  <c r="AB301" i="1" s="1"/>
  <c r="AC301" i="1" s="1"/>
  <c r="AD301" i="1" s="1"/>
  <c r="AE301" i="1" s="1"/>
  <c r="AF301" i="1" s="1"/>
  <c r="AG301" i="1" s="1"/>
  <c r="AA23" i="1"/>
  <c r="AA305" i="1"/>
  <c r="AB305" i="1" s="1"/>
  <c r="AC305" i="1" s="1"/>
  <c r="AD305" i="1" s="1"/>
  <c r="AE305" i="1" s="1"/>
  <c r="AF305" i="1" s="1"/>
  <c r="AG305" i="1" s="1"/>
  <c r="AA309" i="1"/>
  <c r="AB309" i="1" s="1"/>
  <c r="AC309" i="1" s="1"/>
  <c r="AD309" i="1" s="1"/>
  <c r="AE309" i="1" s="1"/>
  <c r="AF309" i="1" s="1"/>
  <c r="AG309" i="1" s="1"/>
  <c r="AA7" i="1"/>
  <c r="AE497" i="1"/>
  <c r="AE494" i="1"/>
  <c r="T371" i="1"/>
  <c r="U380" i="1" s="1"/>
  <c r="U368" i="1" s="1"/>
  <c r="T54" i="1"/>
  <c r="T367" i="1"/>
  <c r="T50" i="1" s="1"/>
  <c r="T51" i="1"/>
  <c r="T364" i="1"/>
  <c r="U109" i="1" s="1"/>
  <c r="AC554" i="1"/>
  <c r="AD582" i="1"/>
  <c r="AD666" i="1" s="1"/>
  <c r="AC666" i="1"/>
  <c r="AA551" i="1"/>
  <c r="AB579" i="1"/>
  <c r="AC653" i="1"/>
  <c r="AC541" i="1"/>
  <c r="AD569" i="1"/>
  <c r="AC565" i="1"/>
  <c r="AC649" i="1" s="1"/>
  <c r="AB537" i="1"/>
  <c r="AC548" i="1"/>
  <c r="AD576" i="1"/>
  <c r="AC660" i="1"/>
  <c r="AB649" i="1"/>
  <c r="AC581" i="1"/>
  <c r="AC665" i="1" s="1"/>
  <c r="AB553" i="1"/>
  <c r="AF630" i="1"/>
  <c r="AF574" i="1" s="1"/>
  <c r="AE546" i="1"/>
  <c r="AE658" i="1"/>
  <c r="AD540" i="1"/>
  <c r="AE568" i="1"/>
  <c r="AD573" i="1"/>
  <c r="AD657" i="1" s="1"/>
  <c r="AC545" i="1"/>
  <c r="AB567" i="1"/>
  <c r="AA539" i="1"/>
  <c r="X508" i="1"/>
  <c r="X529" i="1" s="1"/>
  <c r="W536" i="1"/>
  <c r="AD652" i="1"/>
  <c r="P131" i="1"/>
  <c r="AC657" i="1"/>
  <c r="AC552" i="1"/>
  <c r="AD580" i="1"/>
  <c r="AD664" i="1" s="1"/>
  <c r="O117" i="1"/>
  <c r="O160" i="1" s="1"/>
  <c r="P2" i="1"/>
  <c r="R315" i="1"/>
  <c r="S333" i="1"/>
  <c r="R334" i="1"/>
  <c r="U532" i="1"/>
  <c r="V560" i="1"/>
  <c r="V644" i="1" s="1"/>
  <c r="Q316" i="1"/>
  <c r="Q319" i="1" s="1"/>
  <c r="Q90" i="1" s="1"/>
  <c r="Q145" i="1"/>
  <c r="Q146" i="1" s="1"/>
  <c r="AB570" i="1"/>
  <c r="AB654" i="1" s="1"/>
  <c r="AA542" i="1"/>
  <c r="O162" i="1"/>
  <c r="O178" i="1" s="1"/>
  <c r="O47" i="1"/>
  <c r="AA654" i="1"/>
  <c r="Y504" i="1"/>
  <c r="AD578" i="1"/>
  <c r="AD662" i="1" s="1"/>
  <c r="AC550" i="1"/>
  <c r="AD564" i="1"/>
  <c r="AG584" i="1"/>
  <c r="AG556" i="1" s="1"/>
  <c r="AF556" i="1"/>
  <c r="Q276" i="1"/>
  <c r="Q35" i="1" s="1"/>
  <c r="Q267" i="1"/>
  <c r="Q121" i="1" s="1"/>
  <c r="Q122" i="1" s="1"/>
  <c r="Q126" i="1"/>
  <c r="Q129" i="1" s="1"/>
  <c r="L361" i="1"/>
  <c r="L56" i="1"/>
  <c r="L79" i="1"/>
  <c r="L88" i="1" s="1"/>
  <c r="L92" i="1" s="1"/>
  <c r="AG485" i="1"/>
  <c r="AG488" i="1" s="1"/>
  <c r="AG493" i="1" s="1"/>
  <c r="AG456" i="1"/>
  <c r="AG464" i="1" s="1"/>
  <c r="AG467" i="1" s="1"/>
  <c r="AG422" i="1" s="1"/>
  <c r="AA538" i="1"/>
  <c r="AB566" i="1"/>
  <c r="AB650" i="1" s="1"/>
  <c r="Z505" i="1"/>
  <c r="Y533" i="1"/>
  <c r="Y428" i="1"/>
  <c r="Y431" i="1" s="1"/>
  <c r="Y432" i="1" s="1"/>
  <c r="AD583" i="1"/>
  <c r="AD667" i="1" s="1"/>
  <c r="AC555" i="1"/>
  <c r="N361" i="1"/>
  <c r="N56" i="1"/>
  <c r="N79" i="1"/>
  <c r="U248" i="1"/>
  <c r="T259" i="1"/>
  <c r="V258" i="1"/>
  <c r="U262" i="1"/>
  <c r="U263" i="1" s="1"/>
  <c r="Y547" i="1"/>
  <c r="Z575" i="1"/>
  <c r="M196" i="1"/>
  <c r="M233" i="1" s="1"/>
  <c r="M191" i="1"/>
  <c r="M192" i="1" s="1"/>
  <c r="M190" i="1"/>
  <c r="M25" i="1"/>
  <c r="T403" i="1"/>
  <c r="S401" i="1"/>
  <c r="S410" i="1" s="1"/>
  <c r="S411" i="1" s="1"/>
  <c r="S86" i="1"/>
  <c r="AB571" i="1"/>
  <c r="AB655" i="1" s="1"/>
  <c r="AA543" i="1"/>
  <c r="R275" i="1"/>
  <c r="S272" i="1"/>
  <c r="V421" i="1"/>
  <c r="V140" i="1" s="1"/>
  <c r="V144" i="1"/>
  <c r="AF493" i="1"/>
  <c r="AA650" i="1"/>
  <c r="AA185" i="1"/>
  <c r="AC667" i="1"/>
  <c r="X252" i="1"/>
  <c r="W253" i="1"/>
  <c r="P38" i="1"/>
  <c r="P42" i="1" s="1"/>
  <c r="P83" i="1"/>
  <c r="AA251" i="1"/>
  <c r="P338" i="1"/>
  <c r="P141" i="1" s="1"/>
  <c r="P142" i="1" s="1"/>
  <c r="P148" i="1" s="1"/>
  <c r="Q336" i="1"/>
  <c r="AA655" i="1"/>
  <c r="AD577" i="1"/>
  <c r="AD661" i="1" s="1"/>
  <c r="AC549" i="1"/>
  <c r="W529" i="1"/>
  <c r="N65" i="37"/>
  <c r="N359" i="37"/>
  <c r="N285" i="37"/>
  <c r="Y288" i="10"/>
  <c r="Q175" i="14"/>
  <c r="P175" i="14" s="1"/>
  <c r="O175" i="14" s="1"/>
  <c r="N175" i="14" s="1"/>
  <c r="M175" i="14" s="1"/>
  <c r="L175" i="14" s="1"/>
  <c r="K175" i="14" s="1"/>
  <c r="J175" i="14" s="1"/>
  <c r="I175" i="14" s="1"/>
  <c r="H175" i="14" s="1"/>
  <c r="G175" i="14" s="1"/>
  <c r="B2" i="13"/>
  <c r="U309" i="19"/>
  <c r="U310" i="19" s="1"/>
  <c r="N240" i="1" l="1"/>
  <c r="N241" i="1" s="1"/>
  <c r="AG497" i="1"/>
  <c r="AG494" i="1"/>
  <c r="AF497" i="1"/>
  <c r="AF494" i="1"/>
  <c r="T374" i="1"/>
  <c r="T375" i="1" s="1"/>
  <c r="U371" i="1"/>
  <c r="V371" i="1" s="1"/>
  <c r="W371" i="1" s="1"/>
  <c r="X371" i="1" s="1"/>
  <c r="Y371" i="1" s="1"/>
  <c r="Z371" i="1" s="1"/>
  <c r="AA371" i="1" s="1"/>
  <c r="AB371" i="1" s="1"/>
  <c r="AB374" i="1" s="1"/>
  <c r="P153" i="1"/>
  <c r="P154" i="1" s="1"/>
  <c r="AE576" i="1"/>
  <c r="AD548" i="1"/>
  <c r="Q131" i="1"/>
  <c r="AC579" i="1"/>
  <c r="AB551" i="1"/>
  <c r="AD660" i="1"/>
  <c r="AD554" i="1"/>
  <c r="AE582" i="1"/>
  <c r="AD581" i="1"/>
  <c r="AD665" i="1" s="1"/>
  <c r="AC553" i="1"/>
  <c r="AD565" i="1"/>
  <c r="AD649" i="1" s="1"/>
  <c r="AC537" i="1"/>
  <c r="AD653" i="1"/>
  <c r="AE569" i="1"/>
  <c r="AD541" i="1"/>
  <c r="AG630" i="1"/>
  <c r="AG574" i="1" s="1"/>
  <c r="AF546" i="1"/>
  <c r="AF658" i="1"/>
  <c r="W557" i="1"/>
  <c r="W420" i="1"/>
  <c r="W258" i="1"/>
  <c r="V262" i="1"/>
  <c r="V263" i="1" s="1"/>
  <c r="AE564" i="1"/>
  <c r="AC567" i="1"/>
  <c r="AC651" i="1" s="1"/>
  <c r="AB539" i="1"/>
  <c r="Q338" i="1"/>
  <c r="R336" i="1"/>
  <c r="AF568" i="1"/>
  <c r="AE540" i="1"/>
  <c r="AE577" i="1"/>
  <c r="AE661" i="1" s="1"/>
  <c r="AD549" i="1"/>
  <c r="P340" i="1"/>
  <c r="AC571" i="1"/>
  <c r="AB543" i="1"/>
  <c r="M200" i="1"/>
  <c r="M234" i="1" s="1"/>
  <c r="M120" i="1" s="1"/>
  <c r="M122" i="1" s="1"/>
  <c r="M131" i="1" s="1"/>
  <c r="AE583" i="1"/>
  <c r="AE667" i="1" s="1"/>
  <c r="AD555" i="1"/>
  <c r="AG415" i="1"/>
  <c r="AD648" i="1"/>
  <c r="AC570" i="1"/>
  <c r="AC654" i="1" s="1"/>
  <c r="AB542" i="1"/>
  <c r="P117" i="1"/>
  <c r="P160" i="1" s="1"/>
  <c r="Q2" i="1"/>
  <c r="Y252" i="1"/>
  <c r="Z252" i="1" s="1"/>
  <c r="X253" i="1"/>
  <c r="Q83" i="1"/>
  <c r="Q38" i="1"/>
  <c r="T333" i="1"/>
  <c r="S315" i="1"/>
  <c r="S334" i="1"/>
  <c r="R316" i="1"/>
  <c r="R319" i="1" s="1"/>
  <c r="R90" i="1" s="1"/>
  <c r="R145" i="1"/>
  <c r="R146" i="1" s="1"/>
  <c r="V338" i="1"/>
  <c r="Z547" i="1"/>
  <c r="AA575" i="1"/>
  <c r="AA659" i="1" s="1"/>
  <c r="Z659" i="1"/>
  <c r="R276" i="1"/>
  <c r="R35" i="1" s="1"/>
  <c r="R267" i="1"/>
  <c r="R121" i="1" s="1"/>
  <c r="R122" i="1" s="1"/>
  <c r="R126" i="1"/>
  <c r="R129" i="1" s="1"/>
  <c r="AB251" i="1"/>
  <c r="AE652" i="1"/>
  <c r="AB185" i="1"/>
  <c r="U364" i="1"/>
  <c r="V109" i="1" s="1"/>
  <c r="V368" i="1"/>
  <c r="U369" i="1"/>
  <c r="U54" i="1"/>
  <c r="U51" i="1"/>
  <c r="U367" i="1"/>
  <c r="U50" i="1" s="1"/>
  <c r="U403" i="1"/>
  <c r="T86" i="1"/>
  <c r="T401" i="1"/>
  <c r="T410" i="1" s="1"/>
  <c r="T411" i="1" s="1"/>
  <c r="AA505" i="1"/>
  <c r="Z533" i="1"/>
  <c r="Z428" i="1"/>
  <c r="Z431" i="1" s="1"/>
  <c r="Z432" i="1" s="1"/>
  <c r="Y508" i="1"/>
  <c r="X536" i="1"/>
  <c r="X557" i="1"/>
  <c r="X420" i="1"/>
  <c r="AB651" i="1"/>
  <c r="S669" i="1"/>
  <c r="S414" i="1"/>
  <c r="S63" i="1"/>
  <c r="AE578" i="1"/>
  <c r="AE662" i="1" s="1"/>
  <c r="AD550" i="1"/>
  <c r="P162" i="1"/>
  <c r="P163" i="1" s="1"/>
  <c r="P178" i="1" s="1"/>
  <c r="P47" i="1"/>
  <c r="S275" i="1"/>
  <c r="T272" i="1"/>
  <c r="M61" i="1"/>
  <c r="M81" i="1"/>
  <c r="M30" i="1"/>
  <c r="M42" i="1" s="1"/>
  <c r="V248" i="1"/>
  <c r="U259" i="1"/>
  <c r="AC566" i="1"/>
  <c r="AC650" i="1" s="1"/>
  <c r="AB538" i="1"/>
  <c r="AG668" i="1"/>
  <c r="Z504" i="1"/>
  <c r="O361" i="1"/>
  <c r="O79" i="1"/>
  <c r="O56" i="1"/>
  <c r="W560" i="1"/>
  <c r="V532" i="1"/>
  <c r="AE580" i="1"/>
  <c r="AD552" i="1"/>
  <c r="AE573" i="1"/>
  <c r="AD545" i="1"/>
  <c r="N259" i="1" l="1"/>
  <c r="N253" i="1" s="1"/>
  <c r="N251" i="1" s="1"/>
  <c r="T373" i="1"/>
  <c r="T53" i="1" s="1"/>
  <c r="U374" i="1"/>
  <c r="U373" i="1" s="1"/>
  <c r="U53" i="1" s="1"/>
  <c r="AC371" i="1"/>
  <c r="AD371" i="1" s="1"/>
  <c r="AE371" i="1" s="1"/>
  <c r="AF371" i="1" s="1"/>
  <c r="AG371" i="1" s="1"/>
  <c r="AD537" i="1"/>
  <c r="AE565" i="1"/>
  <c r="AF582" i="1"/>
  <c r="AE554" i="1"/>
  <c r="AD579" i="1"/>
  <c r="AC551" i="1"/>
  <c r="AD553" i="1"/>
  <c r="AE581" i="1"/>
  <c r="AE665" i="1" s="1"/>
  <c r="AE653" i="1"/>
  <c r="AF569" i="1"/>
  <c r="AF653" i="1" s="1"/>
  <c r="AE541" i="1"/>
  <c r="AE666" i="1"/>
  <c r="AE660" i="1"/>
  <c r="AE548" i="1"/>
  <c r="AF576" i="1"/>
  <c r="AF660" i="1" s="1"/>
  <c r="AG546" i="1"/>
  <c r="AG658" i="1"/>
  <c r="Z508" i="1"/>
  <c r="Y536" i="1"/>
  <c r="S336" i="1"/>
  <c r="R338" i="1"/>
  <c r="R141" i="1" s="1"/>
  <c r="R142" i="1" s="1"/>
  <c r="R148" i="1" s="1"/>
  <c r="R294" i="1"/>
  <c r="R36" i="1" s="1"/>
  <c r="R84" i="1" s="1"/>
  <c r="X258" i="1"/>
  <c r="W262" i="1"/>
  <c r="W263" i="1" s="1"/>
  <c r="Y529" i="1"/>
  <c r="M162" i="1"/>
  <c r="M178" i="1" s="1"/>
  <c r="M47" i="1"/>
  <c r="S670" i="1"/>
  <c r="AC251" i="1"/>
  <c r="S145" i="1"/>
  <c r="S146" i="1" s="1"/>
  <c r="S316" i="1"/>
  <c r="S319" i="1" s="1"/>
  <c r="S90" i="1" s="1"/>
  <c r="AF577" i="1"/>
  <c r="AE549" i="1"/>
  <c r="W144" i="1"/>
  <c r="W421" i="1"/>
  <c r="W140" i="1" s="1"/>
  <c r="AF580" i="1"/>
  <c r="AF664" i="1" s="1"/>
  <c r="AE552" i="1"/>
  <c r="V403" i="1"/>
  <c r="U86" i="1"/>
  <c r="U401" i="1"/>
  <c r="U410" i="1" s="1"/>
  <c r="U411" i="1" s="1"/>
  <c r="AD571" i="1"/>
  <c r="AD655" i="1" s="1"/>
  <c r="AC543" i="1"/>
  <c r="X560" i="1"/>
  <c r="X644" i="1" s="1"/>
  <c r="W532" i="1"/>
  <c r="T275" i="1"/>
  <c r="U272" i="1"/>
  <c r="AB505" i="1"/>
  <c r="AA533" i="1"/>
  <c r="AA428" i="1"/>
  <c r="AA431" i="1" s="1"/>
  <c r="AA432" i="1" s="1"/>
  <c r="AC185" i="1"/>
  <c r="Q117" i="1"/>
  <c r="Q160" i="1" s="1"/>
  <c r="R2" i="1"/>
  <c r="AC655" i="1"/>
  <c r="AF540" i="1"/>
  <c r="AG568" i="1"/>
  <c r="AG540" i="1" s="1"/>
  <c r="AF564" i="1"/>
  <c r="AF648" i="1" s="1"/>
  <c r="V369" i="1"/>
  <c r="W368" i="1"/>
  <c r="W367" i="1" s="1"/>
  <c r="W50" i="1" s="1"/>
  <c r="V364" i="1"/>
  <c r="W109" i="1" s="1"/>
  <c r="V54" i="1"/>
  <c r="V51" i="1"/>
  <c r="AD570" i="1"/>
  <c r="AD654" i="1" s="1"/>
  <c r="AC542" i="1"/>
  <c r="AE664" i="1"/>
  <c r="Y253" i="1"/>
  <c r="AC539" i="1"/>
  <c r="AD567" i="1"/>
  <c r="AD651" i="1" s="1"/>
  <c r="AE545" i="1"/>
  <c r="AF573" i="1"/>
  <c r="AE657" i="1"/>
  <c r="AD566" i="1"/>
  <c r="AD650" i="1" s="1"/>
  <c r="AC538" i="1"/>
  <c r="S267" i="1"/>
  <c r="S121" i="1" s="1"/>
  <c r="S122" i="1" s="1"/>
  <c r="S276" i="1"/>
  <c r="S35" i="1" s="1"/>
  <c r="S126" i="1"/>
  <c r="S129" i="1" s="1"/>
  <c r="AF578" i="1"/>
  <c r="AF662" i="1" s="1"/>
  <c r="AE550" i="1"/>
  <c r="V367" i="1"/>
  <c r="V50" i="1" s="1"/>
  <c r="R131" i="1"/>
  <c r="N188" i="1"/>
  <c r="N26" i="1"/>
  <c r="AF652" i="1"/>
  <c r="AB375" i="1"/>
  <c r="AB373" i="1"/>
  <c r="AB53" i="1" s="1"/>
  <c r="W248" i="1"/>
  <c r="V259" i="1"/>
  <c r="AA504" i="1"/>
  <c r="AA547" i="1"/>
  <c r="AB575" i="1"/>
  <c r="AB659" i="1" s="1"/>
  <c r="Q339" i="1"/>
  <c r="Q95" i="1" s="1"/>
  <c r="T315" i="1"/>
  <c r="T334" i="1"/>
  <c r="U333" i="1"/>
  <c r="W644" i="1"/>
  <c r="X144" i="1"/>
  <c r="X421" i="1"/>
  <c r="X140" i="1" s="1"/>
  <c r="P361" i="1"/>
  <c r="P56" i="1"/>
  <c r="P79" i="1"/>
  <c r="P88" i="1" s="1"/>
  <c r="P92" i="1" s="1"/>
  <c r="T669" i="1"/>
  <c r="T414" i="1"/>
  <c r="T63" i="1"/>
  <c r="R83" i="1"/>
  <c r="AF583" i="1"/>
  <c r="AF667" i="1" s="1"/>
  <c r="AE555" i="1"/>
  <c r="Q141" i="1"/>
  <c r="Q142" i="1" s="1"/>
  <c r="Q148" i="1" s="1"/>
  <c r="Q153" i="1" s="1"/>
  <c r="Q154" i="1" s="1"/>
  <c r="AE648" i="1"/>
  <c r="T30" i="13"/>
  <c r="S30" i="13"/>
  <c r="R30" i="13"/>
  <c r="Q30" i="13"/>
  <c r="P30" i="13"/>
  <c r="O30" i="13"/>
  <c r="AA39" i="40" s="1"/>
  <c r="O303" i="37"/>
  <c r="BN131" i="38" s="1"/>
  <c r="BM131" i="38" s="1"/>
  <c r="N263" i="1" l="1"/>
  <c r="N262" i="1" s="1"/>
  <c r="F21" i="47"/>
  <c r="AB39" i="40"/>
  <c r="G21" i="47"/>
  <c r="H21" i="47" s="1"/>
  <c r="AC39" i="40"/>
  <c r="U375" i="1"/>
  <c r="V374" i="1"/>
  <c r="V373" i="1" s="1"/>
  <c r="V53" i="1" s="1"/>
  <c r="AC374" i="1"/>
  <c r="AC373" i="1" s="1"/>
  <c r="AC53" i="1" s="1"/>
  <c r="R38" i="1"/>
  <c r="AG652" i="1"/>
  <c r="AD551" i="1"/>
  <c r="AE579" i="1"/>
  <c r="AG569" i="1"/>
  <c r="AG541" i="1" s="1"/>
  <c r="AF541" i="1"/>
  <c r="AG582" i="1"/>
  <c r="AF554" i="1"/>
  <c r="AG576" i="1"/>
  <c r="AG548" i="1" s="1"/>
  <c r="AF548" i="1"/>
  <c r="AF666" i="1"/>
  <c r="AE649" i="1"/>
  <c r="AF565" i="1"/>
  <c r="AE537" i="1"/>
  <c r="AF581" i="1"/>
  <c r="AE553" i="1"/>
  <c r="W364" i="1"/>
  <c r="X109" i="1" s="1"/>
  <c r="W369" i="1"/>
  <c r="X368" i="1"/>
  <c r="X367" i="1" s="1"/>
  <c r="X50" i="1" s="1"/>
  <c r="W54" i="1"/>
  <c r="W51" i="1"/>
  <c r="AD185" i="1"/>
  <c r="AF552" i="1"/>
  <c r="AG580" i="1"/>
  <c r="AG552" i="1" s="1"/>
  <c r="Y557" i="1"/>
  <c r="Y420" i="1"/>
  <c r="AA508" i="1"/>
  <c r="AA529" i="1" s="1"/>
  <c r="AA420" i="1" s="1"/>
  <c r="Z536" i="1"/>
  <c r="X338" i="1"/>
  <c r="AC575" i="1"/>
  <c r="AB547" i="1"/>
  <c r="R117" i="1"/>
  <c r="R160" i="1" s="1"/>
  <c r="S2" i="1"/>
  <c r="Y560" i="1"/>
  <c r="X532" i="1"/>
  <c r="AE571" i="1"/>
  <c r="AE655" i="1" s="1"/>
  <c r="AD543" i="1"/>
  <c r="W338" i="1"/>
  <c r="AD251" i="1"/>
  <c r="X248" i="1"/>
  <c r="W259" i="1"/>
  <c r="AF550" i="1"/>
  <c r="AG578" i="1"/>
  <c r="AG550" i="1" s="1"/>
  <c r="AE570" i="1"/>
  <c r="AE654" i="1" s="1"/>
  <c r="AD542" i="1"/>
  <c r="Y258" i="1"/>
  <c r="X262" i="1"/>
  <c r="X263" i="1" s="1"/>
  <c r="AE567" i="1"/>
  <c r="AD539" i="1"/>
  <c r="AC505" i="1"/>
  <c r="AB533" i="1"/>
  <c r="AG577" i="1"/>
  <c r="AG549" i="1" s="1"/>
  <c r="AF549" i="1"/>
  <c r="AE566" i="1"/>
  <c r="AE650" i="1" s="1"/>
  <c r="AD538" i="1"/>
  <c r="AA252" i="1"/>
  <c r="Z253" i="1"/>
  <c r="AG564" i="1"/>
  <c r="U669" i="1"/>
  <c r="U414" i="1"/>
  <c r="U63" i="1"/>
  <c r="T670" i="1"/>
  <c r="AB504" i="1"/>
  <c r="AF545" i="1"/>
  <c r="AG573" i="1"/>
  <c r="AG545" i="1" s="1"/>
  <c r="Z529" i="1"/>
  <c r="S83" i="1"/>
  <c r="V272" i="1"/>
  <c r="U275" i="1"/>
  <c r="W403" i="1"/>
  <c r="V86" i="1"/>
  <c r="V401" i="1"/>
  <c r="V410" i="1" s="1"/>
  <c r="V411" i="1" s="1"/>
  <c r="AF661" i="1"/>
  <c r="R339" i="1"/>
  <c r="R95" i="1" s="1"/>
  <c r="R153" i="1"/>
  <c r="R154" i="1" s="1"/>
  <c r="AG583" i="1"/>
  <c r="AG555" i="1" s="1"/>
  <c r="AF555" i="1"/>
  <c r="U315" i="1"/>
  <c r="U334" i="1"/>
  <c r="V333" i="1"/>
  <c r="T316" i="1"/>
  <c r="T319" i="1" s="1"/>
  <c r="T90" i="1" s="1"/>
  <c r="T145" i="1"/>
  <c r="T146" i="1" s="1"/>
  <c r="N196" i="1"/>
  <c r="N233" i="1" s="1"/>
  <c r="N191" i="1"/>
  <c r="N192" i="1" s="1"/>
  <c r="N190" i="1"/>
  <c r="N25" i="1"/>
  <c r="S131" i="1"/>
  <c r="AF657" i="1"/>
  <c r="T267" i="1"/>
  <c r="T121" i="1" s="1"/>
  <c r="T122" i="1" s="1"/>
  <c r="T276" i="1"/>
  <c r="T35" i="1" s="1"/>
  <c r="T126" i="1"/>
  <c r="T129" i="1" s="1"/>
  <c r="M361" i="1"/>
  <c r="M56" i="1"/>
  <c r="M79" i="1"/>
  <c r="M88" i="1" s="1"/>
  <c r="M92" i="1" s="1"/>
  <c r="T336" i="1"/>
  <c r="S338" i="1"/>
  <c r="S141" i="1" s="1"/>
  <c r="S142" i="1" s="1"/>
  <c r="S148" i="1" s="1"/>
  <c r="S294" i="1"/>
  <c r="S36" i="1" s="1"/>
  <c r="S84" i="1" s="1"/>
  <c r="E21" i="47"/>
  <c r="BN502" i="38"/>
  <c r="BM502" i="38" s="1"/>
  <c r="Z39" i="40" s="1"/>
  <c r="AC33" i="15"/>
  <c r="AD33" i="15"/>
  <c r="AE33" i="15"/>
  <c r="AF33" i="15"/>
  <c r="AG33" i="15"/>
  <c r="AH33" i="15"/>
  <c r="AI33" i="15"/>
  <c r="X33" i="15"/>
  <c r="X32" i="15"/>
  <c r="AA32" i="15"/>
  <c r="AB32" i="15"/>
  <c r="Z32" i="15"/>
  <c r="AF53" i="15"/>
  <c r="AG53" i="15"/>
  <c r="AH53" i="15"/>
  <c r="AI53" i="15"/>
  <c r="AD86" i="15"/>
  <c r="AE86" i="15"/>
  <c r="AF86" i="15"/>
  <c r="AG86" i="15"/>
  <c r="AH86" i="15"/>
  <c r="AI86" i="15"/>
  <c r="AD137" i="15"/>
  <c r="AE137" i="15"/>
  <c r="AF137" i="15"/>
  <c r="AG137" i="15"/>
  <c r="AH137" i="15"/>
  <c r="AI137" i="15"/>
  <c r="AD144" i="15"/>
  <c r="AE144" i="15"/>
  <c r="AF144" i="15"/>
  <c r="AG144" i="15"/>
  <c r="AH144" i="15"/>
  <c r="AI144" i="15"/>
  <c r="AD145" i="15"/>
  <c r="AE145" i="15"/>
  <c r="AF145" i="15"/>
  <c r="AG145" i="15"/>
  <c r="AH145" i="15"/>
  <c r="AI145" i="15"/>
  <c r="AD152" i="15"/>
  <c r="AE152" i="15"/>
  <c r="AF152" i="15"/>
  <c r="AG152" i="15"/>
  <c r="AH152" i="15"/>
  <c r="AI152" i="15"/>
  <c r="S12" i="13"/>
  <c r="AH12" i="15" s="1"/>
  <c r="T12" i="13"/>
  <c r="AI12" i="15" s="1"/>
  <c r="S28" i="13"/>
  <c r="T28" i="13"/>
  <c r="S83" i="13"/>
  <c r="T83" i="13"/>
  <c r="S110" i="13"/>
  <c r="T110" i="13"/>
  <c r="S111" i="13"/>
  <c r="S115" i="13" s="1"/>
  <c r="T111" i="13"/>
  <c r="T115" i="13" s="1"/>
  <c r="S119" i="13"/>
  <c r="T119" i="13"/>
  <c r="S120" i="13"/>
  <c r="T120" i="13"/>
  <c r="S121" i="13"/>
  <c r="T121" i="13"/>
  <c r="O240" i="1" l="1"/>
  <c r="O241" i="1" s="1"/>
  <c r="T41" i="13"/>
  <c r="AI205" i="15"/>
  <c r="S41" i="13"/>
  <c r="AH205" i="15"/>
  <c r="V375" i="1"/>
  <c r="AD374" i="1"/>
  <c r="AD373" i="1" s="1"/>
  <c r="AD53" i="1" s="1"/>
  <c r="AC375" i="1"/>
  <c r="W374" i="1"/>
  <c r="W373" i="1" s="1"/>
  <c r="W53" i="1" s="1"/>
  <c r="AG667" i="1"/>
  <c r="AG653" i="1"/>
  <c r="S153" i="1"/>
  <c r="S154" i="1" s="1"/>
  <c r="AG581" i="1"/>
  <c r="AG553" i="1" s="1"/>
  <c r="AF553" i="1"/>
  <c r="AF665" i="1"/>
  <c r="AG554" i="1"/>
  <c r="AG666" i="1"/>
  <c r="AF649" i="1"/>
  <c r="AG565" i="1"/>
  <c r="AG537" i="1" s="1"/>
  <c r="AF537" i="1"/>
  <c r="AG662" i="1"/>
  <c r="AG657" i="1"/>
  <c r="AG661" i="1"/>
  <c r="AG660" i="1"/>
  <c r="AF579" i="1"/>
  <c r="AE551" i="1"/>
  <c r="Z258" i="1"/>
  <c r="Y262" i="1"/>
  <c r="Y263" i="1" s="1"/>
  <c r="N200" i="1"/>
  <c r="N234" i="1" s="1"/>
  <c r="N120" i="1" s="1"/>
  <c r="N122" i="1" s="1"/>
  <c r="N131" i="1" s="1"/>
  <c r="V334" i="1"/>
  <c r="W333" i="1"/>
  <c r="AB252" i="1"/>
  <c r="AA253" i="1"/>
  <c r="AC533" i="1"/>
  <c r="AD505" i="1"/>
  <c r="AD575" i="1"/>
  <c r="AD659" i="1" s="1"/>
  <c r="AC547" i="1"/>
  <c r="S339" i="1"/>
  <c r="S95" i="1" s="1"/>
  <c r="T83" i="1"/>
  <c r="AC659" i="1"/>
  <c r="Z557" i="1"/>
  <c r="Z420" i="1"/>
  <c r="AF571" i="1"/>
  <c r="AE543" i="1"/>
  <c r="Y368" i="1"/>
  <c r="Y367" i="1" s="1"/>
  <c r="Y50" i="1" s="1"/>
  <c r="X364" i="1"/>
  <c r="Y109" i="1" s="1"/>
  <c r="X369" i="1"/>
  <c r="X54" i="1"/>
  <c r="X51" i="1"/>
  <c r="V669" i="1"/>
  <c r="V414" i="1"/>
  <c r="V63" i="1"/>
  <c r="T338" i="1"/>
  <c r="U336" i="1"/>
  <c r="T294" i="1"/>
  <c r="T36" i="1" s="1"/>
  <c r="T84" i="1" s="1"/>
  <c r="T131" i="1"/>
  <c r="U316" i="1"/>
  <c r="U319" i="1" s="1"/>
  <c r="U90" i="1" s="1"/>
  <c r="U145" i="1"/>
  <c r="U146" i="1" s="1"/>
  <c r="X403" i="1"/>
  <c r="W86" i="1"/>
  <c r="W401" i="1"/>
  <c r="W410" i="1" s="1"/>
  <c r="W411" i="1" s="1"/>
  <c r="U670" i="1"/>
  <c r="AF566" i="1"/>
  <c r="AF650" i="1" s="1"/>
  <c r="AE538" i="1"/>
  <c r="AF570" i="1"/>
  <c r="AF654" i="1" s="1"/>
  <c r="AE542" i="1"/>
  <c r="Z560" i="1"/>
  <c r="Y532" i="1"/>
  <c r="AG664" i="1"/>
  <c r="AE251" i="1"/>
  <c r="AE185" i="1"/>
  <c r="W272" i="1"/>
  <c r="V275" i="1"/>
  <c r="AC504" i="1"/>
  <c r="AF567" i="1"/>
  <c r="AE539" i="1"/>
  <c r="Y644" i="1"/>
  <c r="U267" i="1"/>
  <c r="U121" i="1" s="1"/>
  <c r="U122" i="1" s="1"/>
  <c r="U276" i="1"/>
  <c r="U35" i="1" s="1"/>
  <c r="U126" i="1"/>
  <c r="U129" i="1" s="1"/>
  <c r="X339" i="1"/>
  <c r="X95" i="1" s="1"/>
  <c r="N61" i="1"/>
  <c r="N66" i="1" s="1"/>
  <c r="N81" i="1"/>
  <c r="N88" i="1" s="1"/>
  <c r="N92" i="1" s="1"/>
  <c r="S38" i="1"/>
  <c r="AA144" i="1"/>
  <c r="AA421" i="1"/>
  <c r="AA140" i="1" s="1"/>
  <c r="AG648" i="1"/>
  <c r="AE651" i="1"/>
  <c r="W339" i="1"/>
  <c r="W95" i="1" s="1"/>
  <c r="S117" i="1"/>
  <c r="S160" i="1" s="1"/>
  <c r="T2" i="1"/>
  <c r="AB508" i="1"/>
  <c r="AB529" i="1" s="1"/>
  <c r="AB420" i="1" s="1"/>
  <c r="AA536" i="1"/>
  <c r="Y248" i="1"/>
  <c r="X259" i="1"/>
  <c r="Y421" i="1"/>
  <c r="Y140" i="1" s="1"/>
  <c r="Y144" i="1"/>
  <c r="T118" i="13"/>
  <c r="T123" i="13" s="1"/>
  <c r="T26" i="13" s="1"/>
  <c r="S118" i="13"/>
  <c r="S123" i="13" s="1"/>
  <c r="S26" i="13" s="1"/>
  <c r="D6360" i="22"/>
  <c r="E6360" i="22"/>
  <c r="F6360" i="22"/>
  <c r="G6360" i="22"/>
  <c r="H6360" i="22"/>
  <c r="I6360" i="22"/>
  <c r="C6360" i="22"/>
  <c r="M238" i="37"/>
  <c r="L238" i="37"/>
  <c r="M237" i="37"/>
  <c r="L237" i="37"/>
  <c r="BG288" i="38"/>
  <c r="BF288" i="38"/>
  <c r="BE288" i="38"/>
  <c r="BG287" i="38"/>
  <c r="BF287" i="38"/>
  <c r="BE287" i="38"/>
  <c r="BC288" i="38"/>
  <c r="BB288" i="38"/>
  <c r="BA288" i="38"/>
  <c r="AZ288" i="38"/>
  <c r="BC287" i="38"/>
  <c r="BB287" i="38"/>
  <c r="BA287" i="38"/>
  <c r="AZ287" i="38"/>
  <c r="AX288" i="38"/>
  <c r="AW288" i="38"/>
  <c r="AV288" i="38"/>
  <c r="AU288" i="38"/>
  <c r="AX287" i="38"/>
  <c r="AW287" i="38"/>
  <c r="AV287" i="38"/>
  <c r="AU287" i="38"/>
  <c r="BD285" i="38"/>
  <c r="BD284" i="38"/>
  <c r="BD283" i="38"/>
  <c r="BD282" i="38"/>
  <c r="M172" i="37" s="1"/>
  <c r="AY285" i="38"/>
  <c r="AY284" i="38"/>
  <c r="AY283" i="38"/>
  <c r="AY282" i="38"/>
  <c r="BG286" i="38"/>
  <c r="BF286" i="38"/>
  <c r="BE286" i="38"/>
  <c r="BC286" i="38"/>
  <c r="BB286" i="38"/>
  <c r="BA286" i="38"/>
  <c r="AZ286" i="38"/>
  <c r="AX286" i="38"/>
  <c r="AW286" i="38"/>
  <c r="AV286" i="38"/>
  <c r="AU286" i="38"/>
  <c r="B184" i="38"/>
  <c r="B183" i="38"/>
  <c r="BG184" i="38"/>
  <c r="BF184" i="38"/>
  <c r="BE184" i="38"/>
  <c r="BB184" i="38"/>
  <c r="BA184" i="38"/>
  <c r="AZ184" i="38"/>
  <c r="AX184" i="38"/>
  <c r="AW184" i="38"/>
  <c r="AV184" i="38"/>
  <c r="AU184" i="38"/>
  <c r="BG183" i="38"/>
  <c r="BF183" i="38"/>
  <c r="BE183" i="38"/>
  <c r="BB183" i="38"/>
  <c r="BA183" i="38"/>
  <c r="AZ183" i="38"/>
  <c r="AX183" i="38"/>
  <c r="AW183" i="38"/>
  <c r="AV183" i="38"/>
  <c r="AU183" i="38"/>
  <c r="O259" i="1" l="1"/>
  <c r="S42" i="13"/>
  <c r="AH197" i="15"/>
  <c r="T42" i="13"/>
  <c r="AI197" i="15"/>
  <c r="X374" i="1"/>
  <c r="Y374" i="1" s="1"/>
  <c r="Y373" i="1" s="1"/>
  <c r="Y53" i="1" s="1"/>
  <c r="AD375" i="1"/>
  <c r="AE374" i="1"/>
  <c r="AE373" i="1" s="1"/>
  <c r="AE53" i="1" s="1"/>
  <c r="W375" i="1"/>
  <c r="AG649" i="1"/>
  <c r="AG579" i="1"/>
  <c r="AG551" i="1" s="1"/>
  <c r="AF551" i="1"/>
  <c r="T38" i="1"/>
  <c r="AG665" i="1"/>
  <c r="AF251" i="1"/>
  <c r="AB144" i="1"/>
  <c r="AB421" i="1"/>
  <c r="AB140" i="1" s="1"/>
  <c r="Y403" i="1"/>
  <c r="X86" i="1"/>
  <c r="X401" i="1"/>
  <c r="X410" i="1" s="1"/>
  <c r="X411" i="1" s="1"/>
  <c r="T339" i="1"/>
  <c r="T95" i="1" s="1"/>
  <c r="V267" i="1"/>
  <c r="V121" i="1" s="1"/>
  <c r="V122" i="1" s="1"/>
  <c r="V276" i="1"/>
  <c r="V35" i="1" s="1"/>
  <c r="V126" i="1"/>
  <c r="V129" i="1" s="1"/>
  <c r="AF542" i="1"/>
  <c r="AG570" i="1"/>
  <c r="AG542" i="1" s="1"/>
  <c r="X333" i="1"/>
  <c r="W334" i="1"/>
  <c r="Z144" i="1"/>
  <c r="Z421" i="1"/>
  <c r="Z140" i="1" s="1"/>
  <c r="AC252" i="1"/>
  <c r="AB253" i="1"/>
  <c r="Z367" i="1"/>
  <c r="Z50" i="1" s="1"/>
  <c r="Z369" i="1"/>
  <c r="Y364" i="1"/>
  <c r="Y369" i="1"/>
  <c r="Y54" i="1"/>
  <c r="Y51" i="1"/>
  <c r="Z248" i="1"/>
  <c r="Y259" i="1"/>
  <c r="N67" i="1"/>
  <c r="N69" i="1"/>
  <c r="AF538" i="1"/>
  <c r="AG566" i="1"/>
  <c r="AG538" i="1" s="1"/>
  <c r="AF185" i="1"/>
  <c r="Y338" i="1"/>
  <c r="T117" i="1"/>
  <c r="T160" i="1" s="1"/>
  <c r="U2" i="1"/>
  <c r="Z532" i="1"/>
  <c r="AA560" i="1"/>
  <c r="AD547" i="1"/>
  <c r="AE575" i="1"/>
  <c r="AE659" i="1" s="1"/>
  <c r="AA258" i="1"/>
  <c r="Z262" i="1"/>
  <c r="Z263" i="1" s="1"/>
  <c r="V336" i="1"/>
  <c r="U294" i="1"/>
  <c r="U36" i="1" s="1"/>
  <c r="U84" i="1" s="1"/>
  <c r="U338" i="1"/>
  <c r="U141" i="1" s="1"/>
  <c r="U142" i="1" s="1"/>
  <c r="U148" i="1" s="1"/>
  <c r="U83" i="1"/>
  <c r="AG567" i="1"/>
  <c r="AG539" i="1" s="1"/>
  <c r="AF539" i="1"/>
  <c r="Z644" i="1"/>
  <c r="T141" i="1"/>
  <c r="T142" i="1" s="1"/>
  <c r="T148" i="1" s="1"/>
  <c r="T153" i="1" s="1"/>
  <c r="T154" i="1" s="1"/>
  <c r="V670" i="1"/>
  <c r="AG571" i="1"/>
  <c r="AG543" i="1" s="1"/>
  <c r="AF543" i="1"/>
  <c r="O263" i="1"/>
  <c r="O253" i="1"/>
  <c r="O251" i="1" s="1"/>
  <c r="AD504" i="1"/>
  <c r="U131" i="1"/>
  <c r="X272" i="1"/>
  <c r="W275" i="1"/>
  <c r="AC508" i="1"/>
  <c r="AB536" i="1"/>
  <c r="AA338" i="1"/>
  <c r="AF651" i="1"/>
  <c r="W669" i="1"/>
  <c r="W414" i="1"/>
  <c r="W63" i="1"/>
  <c r="AF655" i="1"/>
  <c r="O188" i="1"/>
  <c r="O26" i="1"/>
  <c r="AD533" i="1"/>
  <c r="AE505" i="1"/>
  <c r="AY288" i="38"/>
  <c r="BD288" i="38"/>
  <c r="AY286" i="38"/>
  <c r="BD286" i="38"/>
  <c r="AY287" i="38"/>
  <c r="BD287" i="38"/>
  <c r="G173" i="14"/>
  <c r="H173" i="14" s="1"/>
  <c r="I173" i="14" s="1"/>
  <c r="J173" i="14" s="1"/>
  <c r="K173" i="14" s="1"/>
  <c r="L173" i="14" s="1"/>
  <c r="M173" i="14" s="1"/>
  <c r="N173" i="14" s="1"/>
  <c r="O173" i="14" s="1"/>
  <c r="P173" i="14" s="1"/>
  <c r="Q173" i="14" s="1"/>
  <c r="R173" i="14" s="1"/>
  <c r="S173" i="14" s="1"/>
  <c r="T173" i="14" s="1"/>
  <c r="U173" i="14" s="1"/>
  <c r="V173" i="14" s="1"/>
  <c r="W173" i="14" s="1"/>
  <c r="Q161" i="14"/>
  <c r="S160" i="14"/>
  <c r="G158" i="14"/>
  <c r="H158" i="14" s="1"/>
  <c r="I158" i="14" s="1"/>
  <c r="J158" i="14" s="1"/>
  <c r="K158" i="14" s="1"/>
  <c r="L158" i="14" s="1"/>
  <c r="M158" i="14" s="1"/>
  <c r="N158" i="14" s="1"/>
  <c r="O158" i="14" s="1"/>
  <c r="P158" i="14" s="1"/>
  <c r="Q158" i="14" s="1"/>
  <c r="Q131" i="14"/>
  <c r="S130" i="14"/>
  <c r="G128" i="14"/>
  <c r="H128" i="14" s="1"/>
  <c r="I128" i="14" s="1"/>
  <c r="J128" i="14" s="1"/>
  <c r="K128" i="14" s="1"/>
  <c r="L128" i="14" s="1"/>
  <c r="M128" i="14" s="1"/>
  <c r="N128" i="14" s="1"/>
  <c r="O128" i="14" s="1"/>
  <c r="P128" i="14" s="1"/>
  <c r="Q128" i="14" s="1"/>
  <c r="Q116" i="14"/>
  <c r="S115" i="14"/>
  <c r="G113" i="14"/>
  <c r="H113" i="14" s="1"/>
  <c r="I113" i="14" s="1"/>
  <c r="J113" i="14" s="1"/>
  <c r="K113" i="14" s="1"/>
  <c r="L113" i="14" s="1"/>
  <c r="M113" i="14" s="1"/>
  <c r="N113" i="14" s="1"/>
  <c r="O113" i="14" s="1"/>
  <c r="P113" i="14" s="1"/>
  <c r="Q113" i="14" s="1"/>
  <c r="R113" i="14" s="1"/>
  <c r="Q101" i="14"/>
  <c r="S100" i="14"/>
  <c r="G98" i="14"/>
  <c r="H98" i="14" s="1"/>
  <c r="I98" i="14" s="1"/>
  <c r="J98" i="14" s="1"/>
  <c r="K98" i="14" s="1"/>
  <c r="L98" i="14" s="1"/>
  <c r="M98" i="14" s="1"/>
  <c r="N98" i="14" s="1"/>
  <c r="O98" i="14" s="1"/>
  <c r="P98" i="14" s="1"/>
  <c r="Q98" i="14" s="1"/>
  <c r="R98" i="14" s="1"/>
  <c r="Q86" i="14"/>
  <c r="S85" i="14"/>
  <c r="G83" i="14"/>
  <c r="H83" i="14" s="1"/>
  <c r="I83" i="14" s="1"/>
  <c r="J83" i="14" s="1"/>
  <c r="K83" i="14" s="1"/>
  <c r="L83" i="14" s="1"/>
  <c r="M83" i="14" s="1"/>
  <c r="N83" i="14" s="1"/>
  <c r="O83" i="14" s="1"/>
  <c r="P83" i="14" s="1"/>
  <c r="Q83" i="14" s="1"/>
  <c r="R83" i="14" s="1"/>
  <c r="Q71" i="14"/>
  <c r="S70" i="14"/>
  <c r="G68" i="14"/>
  <c r="H68" i="14" s="1"/>
  <c r="I68" i="14" s="1"/>
  <c r="J68" i="14" s="1"/>
  <c r="K68" i="14" s="1"/>
  <c r="L68" i="14" s="1"/>
  <c r="M68" i="14" s="1"/>
  <c r="N68" i="14" s="1"/>
  <c r="O68" i="14" s="1"/>
  <c r="P68" i="14" s="1"/>
  <c r="Q68" i="14" s="1"/>
  <c r="R68" i="14" s="1"/>
  <c r="Q56" i="14"/>
  <c r="R56" i="14"/>
  <c r="G53" i="14"/>
  <c r="H53" i="14" s="1"/>
  <c r="I53" i="14" s="1"/>
  <c r="J53" i="14" s="1"/>
  <c r="K53" i="14" s="1"/>
  <c r="L53" i="14" s="1"/>
  <c r="M53" i="14" s="1"/>
  <c r="N53" i="14" s="1"/>
  <c r="BI502" i="38"/>
  <c r="BD502" i="38"/>
  <c r="BD501" i="38"/>
  <c r="O416" i="37"/>
  <c r="O415" i="37"/>
  <c r="P411" i="37"/>
  <c r="BG439" i="38"/>
  <c r="BF439" i="38"/>
  <c r="BE439" i="38"/>
  <c r="BC439" i="38"/>
  <c r="BB439" i="38"/>
  <c r="BA439" i="38"/>
  <c r="AZ439" i="38"/>
  <c r="AX439" i="38"/>
  <c r="AW439" i="38"/>
  <c r="AV439" i="38"/>
  <c r="AU439" i="38"/>
  <c r="B439" i="38"/>
  <c r="AQ437" i="38"/>
  <c r="AR437" i="38"/>
  <c r="AS437" i="38"/>
  <c r="AU437" i="38"/>
  <c r="AV437" i="38"/>
  <c r="AW437" i="38"/>
  <c r="AX437" i="38"/>
  <c r="AZ437" i="38"/>
  <c r="BA437" i="38"/>
  <c r="BB437" i="38"/>
  <c r="BC437" i="38"/>
  <c r="BE437" i="38"/>
  <c r="BF437" i="38"/>
  <c r="BG437" i="38"/>
  <c r="AP437" i="38"/>
  <c r="B437" i="38"/>
  <c r="BE276" i="38"/>
  <c r="AZ106" i="38"/>
  <c r="AZ117" i="38"/>
  <c r="AZ135" i="38"/>
  <c r="Z109" i="1" l="1"/>
  <c r="AA208" i="15"/>
  <c r="X375" i="1"/>
  <c r="X373" i="1"/>
  <c r="X53" i="1" s="1"/>
  <c r="AF374" i="1"/>
  <c r="AF373" i="1" s="1"/>
  <c r="AF53" i="1" s="1"/>
  <c r="AE375" i="1"/>
  <c r="AG655" i="1"/>
  <c r="U153" i="1"/>
  <c r="U154" i="1" s="1"/>
  <c r="AG651" i="1"/>
  <c r="U38" i="1"/>
  <c r="AG650" i="1"/>
  <c r="AG654" i="1"/>
  <c r="W267" i="1"/>
  <c r="W121" i="1" s="1"/>
  <c r="W122" i="1" s="1"/>
  <c r="W276" i="1"/>
  <c r="W35" i="1" s="1"/>
  <c r="W126" i="1"/>
  <c r="W129" i="1" s="1"/>
  <c r="W336" i="1"/>
  <c r="V294" i="1"/>
  <c r="V36" i="1" s="1"/>
  <c r="V84" i="1" s="1"/>
  <c r="V141" i="1"/>
  <c r="V142" i="1" s="1"/>
  <c r="X669" i="1"/>
  <c r="X414" i="1"/>
  <c r="X63" i="1"/>
  <c r="Y272" i="1"/>
  <c r="X275" i="1"/>
  <c r="AD252" i="1"/>
  <c r="AC253" i="1"/>
  <c r="Y86" i="1"/>
  <c r="Y401" i="1"/>
  <c r="Y410" i="1" s="1"/>
  <c r="Y411" i="1" s="1"/>
  <c r="AA532" i="1"/>
  <c r="AB560" i="1"/>
  <c r="AB644" i="1" s="1"/>
  <c r="AA248" i="1"/>
  <c r="Z259" i="1"/>
  <c r="AA644" i="1"/>
  <c r="Z338" i="1"/>
  <c r="AA339" i="1" s="1"/>
  <c r="AA95" i="1" s="1"/>
  <c r="AD508" i="1"/>
  <c r="AD529" i="1" s="1"/>
  <c r="AD420" i="1" s="1"/>
  <c r="AC536" i="1"/>
  <c r="AE504" i="1"/>
  <c r="U117" i="1"/>
  <c r="U160" i="1" s="1"/>
  <c r="V2" i="1"/>
  <c r="AB258" i="1"/>
  <c r="AA262" i="1"/>
  <c r="AA263" i="1" s="1"/>
  <c r="AA259" i="1" s="1"/>
  <c r="AC529" i="1"/>
  <c r="AC420" i="1" s="1"/>
  <c r="AF575" i="1"/>
  <c r="AF659" i="1" s="1"/>
  <c r="AE547" i="1"/>
  <c r="N390" i="1"/>
  <c r="N71" i="1"/>
  <c r="Z373" i="1"/>
  <c r="Z53" i="1" s="1"/>
  <c r="Z375" i="1"/>
  <c r="Y375" i="1"/>
  <c r="W670" i="1"/>
  <c r="U339" i="1"/>
  <c r="U95" i="1" s="1"/>
  <c r="V339" i="1"/>
  <c r="V95" i="1" s="1"/>
  <c r="V83" i="1"/>
  <c r="P248" i="1"/>
  <c r="O262" i="1"/>
  <c r="AG185" i="1"/>
  <c r="AE533" i="1"/>
  <c r="AF505" i="1"/>
  <c r="AA340" i="1"/>
  <c r="O196" i="1"/>
  <c r="O233" i="1" s="1"/>
  <c r="O200" i="1" s="1"/>
  <c r="O191" i="1"/>
  <c r="O192" i="1" s="1"/>
  <c r="O190" i="1"/>
  <c r="O25" i="1"/>
  <c r="Y339" i="1"/>
  <c r="Y95" i="1" s="1"/>
  <c r="Y333" i="1"/>
  <c r="X334" i="1"/>
  <c r="V131" i="1"/>
  <c r="AG251" i="1"/>
  <c r="T160" i="14"/>
  <c r="S161" i="14"/>
  <c r="R158" i="14"/>
  <c r="R161" i="14"/>
  <c r="R131" i="14"/>
  <c r="R128" i="14"/>
  <c r="S128" i="14" s="1"/>
  <c r="T128" i="14" s="1"/>
  <c r="T130" i="14"/>
  <c r="S131" i="14"/>
  <c r="T115" i="14"/>
  <c r="S116" i="14"/>
  <c r="S113" i="14"/>
  <c r="T113" i="14" s="1"/>
  <c r="U113" i="14" s="1"/>
  <c r="V113" i="14" s="1"/>
  <c r="W113" i="14" s="1"/>
  <c r="R116" i="14"/>
  <c r="T100" i="14"/>
  <c r="S101" i="14"/>
  <c r="S98" i="14"/>
  <c r="T98" i="14" s="1"/>
  <c r="U98" i="14" s="1"/>
  <c r="V98" i="14" s="1"/>
  <c r="W98" i="14" s="1"/>
  <c r="R101" i="14"/>
  <c r="R71" i="14"/>
  <c r="S83" i="14"/>
  <c r="T83" i="14" s="1"/>
  <c r="U83" i="14" s="1"/>
  <c r="V83" i="14" s="1"/>
  <c r="W83" i="14" s="1"/>
  <c r="T85" i="14"/>
  <c r="S86" i="14"/>
  <c r="R86" i="14"/>
  <c r="T70" i="14"/>
  <c r="S71" i="14"/>
  <c r="S68" i="14"/>
  <c r="T68" i="14" s="1"/>
  <c r="S55" i="14"/>
  <c r="O53" i="14"/>
  <c r="BG281" i="38"/>
  <c r="BF281" i="38"/>
  <c r="BE281" i="38"/>
  <c r="BG280" i="38"/>
  <c r="BF280" i="38"/>
  <c r="BE280" i="38"/>
  <c r="BG279" i="38"/>
  <c r="BF279" i="38"/>
  <c r="BE279" i="38"/>
  <c r="BG278" i="38"/>
  <c r="BF278" i="38"/>
  <c r="BE278" i="38"/>
  <c r="BG277" i="38"/>
  <c r="BF277" i="38"/>
  <c r="BE277" i="38"/>
  <c r="BG276" i="38"/>
  <c r="BF276" i="38"/>
  <c r="BC281" i="38"/>
  <c r="BB281" i="38"/>
  <c r="BA281" i="38"/>
  <c r="AZ281" i="38"/>
  <c r="BC280" i="38"/>
  <c r="BB280" i="38"/>
  <c r="BA280" i="38"/>
  <c r="AZ280" i="38"/>
  <c r="BC279" i="38"/>
  <c r="BB279" i="38"/>
  <c r="BA279" i="38"/>
  <c r="AZ279" i="38"/>
  <c r="BC278" i="38"/>
  <c r="BB278" i="38"/>
  <c r="BA278" i="38"/>
  <c r="AZ278" i="38"/>
  <c r="BC277" i="38"/>
  <c r="BB277" i="38"/>
  <c r="BA277" i="38"/>
  <c r="AZ277" i="38"/>
  <c r="BC276" i="38"/>
  <c r="BB276" i="38"/>
  <c r="BA276" i="38"/>
  <c r="AZ276" i="38"/>
  <c r="AX281" i="38"/>
  <c r="AW281" i="38"/>
  <c r="AV281" i="38"/>
  <c r="AX280" i="38"/>
  <c r="AW280" i="38"/>
  <c r="AV280" i="38"/>
  <c r="AX279" i="38"/>
  <c r="AW279" i="38"/>
  <c r="AV279" i="38"/>
  <c r="AX278" i="38"/>
  <c r="AW278" i="38"/>
  <c r="AV278" i="38"/>
  <c r="AX277" i="38"/>
  <c r="AW277" i="38"/>
  <c r="AV277" i="38"/>
  <c r="AX276" i="38"/>
  <c r="AW276" i="38"/>
  <c r="AV276" i="38"/>
  <c r="AU281" i="38"/>
  <c r="AU280" i="38"/>
  <c r="AU279" i="38"/>
  <c r="AU278" i="38"/>
  <c r="AU277" i="38"/>
  <c r="AU276" i="38"/>
  <c r="AS278" i="38"/>
  <c r="AS277" i="38"/>
  <c r="AS276" i="38"/>
  <c r="AR278" i="38"/>
  <c r="AR277" i="38"/>
  <c r="AR276" i="38"/>
  <c r="AQ278" i="38"/>
  <c r="AQ277" i="38"/>
  <c r="AQ276" i="38"/>
  <c r="AP278" i="38"/>
  <c r="AP277" i="38"/>
  <c r="AP276" i="38"/>
  <c r="AN278" i="38"/>
  <c r="AN277" i="38"/>
  <c r="AN276" i="38"/>
  <c r="AM278" i="38"/>
  <c r="AM277" i="38"/>
  <c r="AM276" i="38"/>
  <c r="AL278" i="38"/>
  <c r="AL277" i="38"/>
  <c r="AL276" i="38"/>
  <c r="C417" i="37"/>
  <c r="L395" i="37"/>
  <c r="AA151" i="15" s="1"/>
  <c r="M395" i="37"/>
  <c r="AB151" i="15" s="1"/>
  <c r="O304" i="37"/>
  <c r="AX132" i="38"/>
  <c r="AW132" i="38"/>
  <c r="AV132" i="38"/>
  <c r="AU132" i="38"/>
  <c r="BC132" i="38"/>
  <c r="BB132" i="38"/>
  <c r="BA132" i="38"/>
  <c r="AZ132" i="38"/>
  <c r="BE132" i="38"/>
  <c r="BF132" i="38"/>
  <c r="BG132" i="38"/>
  <c r="BD137" i="38"/>
  <c r="AY137" i="38"/>
  <c r="BC108" i="38"/>
  <c r="BC184" i="38" s="1"/>
  <c r="BC107" i="38"/>
  <c r="BC183" i="38" s="1"/>
  <c r="BA140" i="38"/>
  <c r="BA139" i="38" s="1"/>
  <c r="BG140" i="38"/>
  <c r="BF140" i="38"/>
  <c r="BE140" i="38"/>
  <c r="BC140" i="38"/>
  <c r="BB140" i="38"/>
  <c r="BB139" i="38" s="1"/>
  <c r="AZ140" i="38"/>
  <c r="AZ139" i="38" s="1"/>
  <c r="BC105" i="38"/>
  <c r="BC103" i="38"/>
  <c r="BC106" i="38"/>
  <c r="BB135" i="38"/>
  <c r="BA135" i="38"/>
  <c r="BC135" i="38"/>
  <c r="BG135" i="38"/>
  <c r="BF135" i="38"/>
  <c r="BE135" i="38"/>
  <c r="P310" i="37" a="1"/>
  <c r="O310" i="37" a="1"/>
  <c r="AB11" i="1" l="1"/>
  <c r="AB165" i="1" s="1"/>
  <c r="BN132" i="38"/>
  <c r="BM132" i="38" s="1"/>
  <c r="Z103" i="40" s="1"/>
  <c r="Z131" i="40" s="1"/>
  <c r="AF375" i="1"/>
  <c r="AG374" i="1"/>
  <c r="AG375" i="1" s="1"/>
  <c r="V38" i="1"/>
  <c r="Y414" i="1"/>
  <c r="Y63" i="1"/>
  <c r="AG575" i="1"/>
  <c r="AG547" i="1" s="1"/>
  <c r="AF547" i="1"/>
  <c r="Z272" i="1"/>
  <c r="Y275" i="1"/>
  <c r="W83" i="1"/>
  <c r="Z339" i="1"/>
  <c r="Z95" i="1" s="1"/>
  <c r="X267" i="1"/>
  <c r="X121" i="1" s="1"/>
  <c r="X122" i="1" s="1"/>
  <c r="X276" i="1"/>
  <c r="X35" i="1" s="1"/>
  <c r="X126" i="1"/>
  <c r="X129" i="1" s="1"/>
  <c r="Y334" i="1"/>
  <c r="Z333" i="1"/>
  <c r="Y315" i="1"/>
  <c r="O81" i="1"/>
  <c r="O88" i="1" s="1"/>
  <c r="O92" i="1" s="1"/>
  <c r="O61" i="1"/>
  <c r="O66" i="1" s="1"/>
  <c r="AF504" i="1"/>
  <c r="W131" i="1"/>
  <c r="AE252" i="1"/>
  <c r="AD253" i="1"/>
  <c r="AC560" i="1"/>
  <c r="AB532" i="1"/>
  <c r="X670" i="1"/>
  <c r="X336" i="1"/>
  <c r="W294" i="1"/>
  <c r="W36" i="1" s="1"/>
  <c r="W84" i="1" s="1"/>
  <c r="W141" i="1"/>
  <c r="W142" i="1" s="1"/>
  <c r="AC144" i="1"/>
  <c r="AC421" i="1"/>
  <c r="AC140" i="1" s="1"/>
  <c r="AB240" i="1"/>
  <c r="AB241" i="1" s="1"/>
  <c r="AB26" i="1" s="1"/>
  <c r="BN444" i="38" s="1"/>
  <c r="BM444" i="38" s="1"/>
  <c r="O234" i="1"/>
  <c r="P191" i="1"/>
  <c r="P192" i="1" s="1"/>
  <c r="AC258" i="1"/>
  <c r="AB262" i="1"/>
  <c r="AE508" i="1"/>
  <c r="AD536" i="1"/>
  <c r="AG505" i="1"/>
  <c r="AG533" i="1" s="1"/>
  <c r="AF533" i="1"/>
  <c r="AD144" i="1"/>
  <c r="AD421" i="1"/>
  <c r="AD140" i="1" s="1"/>
  <c r="W2" i="1"/>
  <c r="V117" i="1"/>
  <c r="V160" i="1" s="1"/>
  <c r="BI140" i="38"/>
  <c r="N308" i="37" s="1"/>
  <c r="N377" i="37" s="1"/>
  <c r="AB140" i="45"/>
  <c r="BC139" i="38"/>
  <c r="BD139" i="38" s="1"/>
  <c r="H94" i="45"/>
  <c r="AD140" i="45"/>
  <c r="AD146" i="15"/>
  <c r="AY281" i="38"/>
  <c r="L167" i="37" s="1"/>
  <c r="L254" i="37" s="1"/>
  <c r="AY277" i="38"/>
  <c r="AY280" i="38"/>
  <c r="L253" i="37" s="1"/>
  <c r="BD277" i="38"/>
  <c r="BD279" i="38"/>
  <c r="BD281" i="38"/>
  <c r="M167" i="37" s="1"/>
  <c r="M254" i="37" s="1"/>
  <c r="BD276" i="38"/>
  <c r="BD278" i="38"/>
  <c r="BD280" i="38"/>
  <c r="AY279" i="38"/>
  <c r="AY278" i="38"/>
  <c r="S158" i="14"/>
  <c r="U160" i="14"/>
  <c r="T161" i="14"/>
  <c r="U130" i="14"/>
  <c r="T131" i="14"/>
  <c r="U128" i="14"/>
  <c r="U115" i="14"/>
  <c r="T116" i="14"/>
  <c r="U100" i="14"/>
  <c r="T101" i="14"/>
  <c r="U85" i="14"/>
  <c r="T86" i="14"/>
  <c r="U68" i="14"/>
  <c r="U70" i="14"/>
  <c r="T71" i="14"/>
  <c r="T55" i="14"/>
  <c r="S56" i="14"/>
  <c r="P53" i="14"/>
  <c r="M305" i="37"/>
  <c r="M468" i="37" s="1"/>
  <c r="BD439" i="38"/>
  <c r="L305" i="37"/>
  <c r="L468" i="37" s="1"/>
  <c r="AY439" i="38"/>
  <c r="AT276" i="38"/>
  <c r="AY276" i="38"/>
  <c r="AT277" i="38"/>
  <c r="AT278" i="38"/>
  <c r="P310" i="37"/>
  <c r="O310" i="37"/>
  <c r="BD140" i="38"/>
  <c r="M308" i="37" s="1"/>
  <c r="BE113" i="38"/>
  <c r="BB113" i="38"/>
  <c r="BA113" i="38"/>
  <c r="AZ113" i="38"/>
  <c r="AX113" i="38"/>
  <c r="AW113" i="38"/>
  <c r="AV113" i="38"/>
  <c r="AU113" i="38"/>
  <c r="BD108" i="38"/>
  <c r="BD107" i="38"/>
  <c r="AY108" i="38"/>
  <c r="AY107" i="38"/>
  <c r="AU142" i="38"/>
  <c r="B108" i="38"/>
  <c r="B107" i="38"/>
  <c r="B106" i="38"/>
  <c r="AV509" i="38"/>
  <c r="BG507" i="38"/>
  <c r="BF507" i="38"/>
  <c r="BG536" i="38"/>
  <c r="BG534" i="38" s="1"/>
  <c r="BG539" i="38" s="1"/>
  <c r="BG457" i="38"/>
  <c r="BF457" i="38"/>
  <c r="BG193" i="38"/>
  <c r="BG181" i="38"/>
  <c r="BG179" i="38"/>
  <c r="BG192" i="38"/>
  <c r="BG191" i="38"/>
  <c r="BG180" i="38"/>
  <c r="BG88" i="38"/>
  <c r="BG87" i="38"/>
  <c r="BG86" i="38"/>
  <c r="H144" i="37"/>
  <c r="G144" i="37"/>
  <c r="F144" i="37"/>
  <c r="E144" i="37"/>
  <c r="T144" i="37"/>
  <c r="S144" i="37"/>
  <c r="R144" i="37"/>
  <c r="Q144" i="37"/>
  <c r="P144" i="37"/>
  <c r="O144" i="37"/>
  <c r="N144" i="37"/>
  <c r="M144" i="37"/>
  <c r="L144" i="37"/>
  <c r="K144" i="37"/>
  <c r="J144" i="37"/>
  <c r="I144" i="37"/>
  <c r="C144" i="37"/>
  <c r="BC81" i="38"/>
  <c r="BB81" i="38"/>
  <c r="BA81" i="38"/>
  <c r="AZ81" i="38"/>
  <c r="BC80" i="38"/>
  <c r="BB80" i="38"/>
  <c r="BA80" i="38"/>
  <c r="AZ80" i="38"/>
  <c r="AX81" i="38"/>
  <c r="AW81" i="38"/>
  <c r="AV81" i="38"/>
  <c r="AX80" i="38"/>
  <c r="AW80" i="38"/>
  <c r="AV80" i="38"/>
  <c r="AU81" i="38"/>
  <c r="AU80" i="38"/>
  <c r="B281" i="38"/>
  <c r="B280" i="38"/>
  <c r="B279" i="38"/>
  <c r="B278" i="38"/>
  <c r="B277" i="38"/>
  <c r="BD44" i="38"/>
  <c r="M51" i="37" s="1"/>
  <c r="BD43" i="38"/>
  <c r="M50" i="37" s="1"/>
  <c r="AY44" i="38"/>
  <c r="L51" i="37" s="1"/>
  <c r="AY43" i="38"/>
  <c r="L50" i="37" s="1"/>
  <c r="C10" i="37"/>
  <c r="J20" i="47" s="1"/>
  <c r="C9" i="37"/>
  <c r="C8" i="37"/>
  <c r="C7" i="37"/>
  <c r="J23" i="47" s="1"/>
  <c r="C6" i="37"/>
  <c r="J14" i="47" s="1"/>
  <c r="J26" i="47" s="1"/>
  <c r="J33" i="47" s="1"/>
  <c r="BG81" i="38"/>
  <c r="BG80" i="38"/>
  <c r="BG79" i="38"/>
  <c r="BG78" i="38"/>
  <c r="BG77" i="38"/>
  <c r="BG76" i="38"/>
  <c r="BF81" i="38"/>
  <c r="BF80" i="38"/>
  <c r="BE81" i="38"/>
  <c r="BE80" i="38"/>
  <c r="C167" i="37"/>
  <c r="BD8" i="38"/>
  <c r="M10" i="37" s="1"/>
  <c r="K20" i="47" s="1"/>
  <c r="BD7" i="38"/>
  <c r="M9" i="37" s="1"/>
  <c r="K21" i="47" s="1"/>
  <c r="AY8" i="38"/>
  <c r="L10" i="37" s="1"/>
  <c r="AY7" i="38"/>
  <c r="L9" i="37" s="1"/>
  <c r="BG13" i="38"/>
  <c r="BF13" i="38"/>
  <c r="BE13" i="38"/>
  <c r="BC13" i="38"/>
  <c r="BB13" i="38"/>
  <c r="BA13" i="38"/>
  <c r="AZ13" i="38"/>
  <c r="AX13" i="38"/>
  <c r="AW13" i="38"/>
  <c r="AV13" i="38"/>
  <c r="AU13" i="38"/>
  <c r="B81" i="38"/>
  <c r="B80" i="38"/>
  <c r="B255" i="38" s="1"/>
  <c r="AX49" i="38"/>
  <c r="AW49" i="38"/>
  <c r="AV49" i="38"/>
  <c r="AU49" i="38"/>
  <c r="BG49" i="38"/>
  <c r="BF49" i="38"/>
  <c r="BE49" i="38"/>
  <c r="C213" i="37"/>
  <c r="AX306" i="38"/>
  <c r="AW306" i="38"/>
  <c r="AV306" i="38"/>
  <c r="AU306" i="38"/>
  <c r="BC306" i="38"/>
  <c r="BB306" i="38"/>
  <c r="BA306" i="38"/>
  <c r="AZ306" i="38"/>
  <c r="BG306" i="38"/>
  <c r="BL306" i="38" s="1"/>
  <c r="BF306" i="38"/>
  <c r="BK306" i="38" s="1"/>
  <c r="BE306" i="38"/>
  <c r="BJ306" i="38" s="1"/>
  <c r="M213" i="37"/>
  <c r="P128" i="37"/>
  <c r="Q128" i="37" s="1"/>
  <c r="R128" i="37" s="1"/>
  <c r="S128" i="37" s="1"/>
  <c r="T128" i="37" s="1"/>
  <c r="O146" i="37"/>
  <c r="N146" i="37"/>
  <c r="L146" i="37"/>
  <c r="K146" i="37"/>
  <c r="M146" i="37"/>
  <c r="C146" i="37"/>
  <c r="P38" i="37" a="1"/>
  <c r="O38" i="37" a="1"/>
  <c r="P80" i="37" a="1"/>
  <c r="O80" i="37" a="1"/>
  <c r="Z10" i="40" l="1"/>
  <c r="BM441" i="38"/>
  <c r="BE331" i="38"/>
  <c r="BG331" i="38"/>
  <c r="BF331" i="38"/>
  <c r="AG373" i="1"/>
  <c r="AG53" i="1" s="1"/>
  <c r="BK44" i="38"/>
  <c r="BL44" i="38"/>
  <c r="BJ44" i="38"/>
  <c r="AB259" i="1"/>
  <c r="AB263" i="1" s="1"/>
  <c r="AB264" i="1" s="1"/>
  <c r="AB119" i="1" s="1"/>
  <c r="X131" i="1"/>
  <c r="AG504" i="1"/>
  <c r="O120" i="1"/>
  <c r="O122" i="1" s="1"/>
  <c r="O131" i="1" s="1"/>
  <c r="P190" i="1"/>
  <c r="Y336" i="1"/>
  <c r="X294" i="1"/>
  <c r="X36" i="1" s="1"/>
  <c r="X84" i="1" s="1"/>
  <c r="X141" i="1"/>
  <c r="X142" i="1" s="1"/>
  <c r="O67" i="1"/>
  <c r="O69" i="1"/>
  <c r="P67" i="1"/>
  <c r="X2" i="1"/>
  <c r="W117" i="1"/>
  <c r="W160" i="1" s="1"/>
  <c r="AD258" i="1"/>
  <c r="AC262" i="1"/>
  <c r="AB61" i="1"/>
  <c r="Y145" i="1"/>
  <c r="Y146" i="1" s="1"/>
  <c r="X83" i="1"/>
  <c r="AF252" i="1"/>
  <c r="AE253" i="1"/>
  <c r="AD560" i="1"/>
  <c r="AD644" i="1" s="1"/>
  <c r="AC532" i="1"/>
  <c r="Z315" i="1"/>
  <c r="Z334" i="1"/>
  <c r="AA333" i="1"/>
  <c r="W38" i="1"/>
  <c r="AF508" i="1"/>
  <c r="AE536" i="1"/>
  <c r="Y276" i="1"/>
  <c r="Y35" i="1" s="1"/>
  <c r="Y267" i="1"/>
  <c r="Y121" i="1" s="1"/>
  <c r="Y122" i="1" s="1"/>
  <c r="Y126" i="1"/>
  <c r="Y129" i="1" s="1"/>
  <c r="AG659" i="1"/>
  <c r="AC644" i="1"/>
  <c r="AE529" i="1"/>
  <c r="AE420" i="1" s="1"/>
  <c r="Z275" i="1"/>
  <c r="AA272" i="1"/>
  <c r="C457" i="37"/>
  <c r="J16" i="47"/>
  <c r="J28" i="47" s="1"/>
  <c r="J35" i="47" s="1"/>
  <c r="C458" i="37"/>
  <c r="J21" i="47"/>
  <c r="L278" i="37"/>
  <c r="L331" i="37" s="1"/>
  <c r="AY184" i="38"/>
  <c r="M277" i="37"/>
  <c r="M330" i="37" s="1"/>
  <c r="BD183" i="38"/>
  <c r="M278" i="37"/>
  <c r="M331" i="37" s="1"/>
  <c r="BD184" i="38"/>
  <c r="L277" i="37"/>
  <c r="L353" i="37" s="1"/>
  <c r="AY183" i="38"/>
  <c r="U161" i="14"/>
  <c r="V160" i="14"/>
  <c r="T158" i="14"/>
  <c r="U131" i="14"/>
  <c r="V130" i="14"/>
  <c r="V128" i="14"/>
  <c r="V115" i="14"/>
  <c r="U116" i="14"/>
  <c r="V100" i="14"/>
  <c r="U101" i="14"/>
  <c r="V85" i="14"/>
  <c r="U86" i="14"/>
  <c r="V70" i="14"/>
  <c r="U71" i="14"/>
  <c r="V68" i="14"/>
  <c r="T56" i="14"/>
  <c r="U55" i="14"/>
  <c r="Q53" i="14"/>
  <c r="C385" i="37"/>
  <c r="C413" i="37" s="1"/>
  <c r="C456" i="37"/>
  <c r="C388" i="37"/>
  <c r="C416" i="37" s="1"/>
  <c r="C459" i="37"/>
  <c r="C384" i="37"/>
  <c r="C412" i="37" s="1"/>
  <c r="C455" i="37"/>
  <c r="C276" i="37"/>
  <c r="C352" i="37" s="1"/>
  <c r="C386" i="37"/>
  <c r="C414" i="37" s="1"/>
  <c r="C277" i="37"/>
  <c r="C353" i="37" s="1"/>
  <c r="C387" i="37"/>
  <c r="C415" i="37" s="1"/>
  <c r="C51" i="37"/>
  <c r="C91" i="37" s="1"/>
  <c r="C278" i="37"/>
  <c r="BG113" i="38"/>
  <c r="BG541" i="38"/>
  <c r="M90" i="37"/>
  <c r="BD80" i="38" s="1"/>
  <c r="L90" i="37"/>
  <c r="AY80" i="38" s="1"/>
  <c r="M91" i="37"/>
  <c r="BD81" i="38" s="1"/>
  <c r="L91" i="37"/>
  <c r="AY81" i="38" s="1"/>
  <c r="P80" i="37"/>
  <c r="O80" i="37"/>
  <c r="P38" i="37"/>
  <c r="O38" i="37"/>
  <c r="Q146" i="37"/>
  <c r="P146" i="37"/>
  <c r="BH306" i="38"/>
  <c r="AX305" i="38"/>
  <c r="AW305" i="38"/>
  <c r="AV305" i="38"/>
  <c r="AU305" i="38"/>
  <c r="AB357" i="38"/>
  <c r="AD357" i="38"/>
  <c r="AF357" i="38"/>
  <c r="AH357" i="38"/>
  <c r="BI357" i="38"/>
  <c r="BH357" i="38" s="1"/>
  <c r="V117" i="45" s="1"/>
  <c r="AY305" i="38"/>
  <c r="BD305" i="38"/>
  <c r="BC305" i="38"/>
  <c r="BB305" i="38"/>
  <c r="BA305" i="38"/>
  <c r="AZ305" i="38"/>
  <c r="C50" i="37"/>
  <c r="C90" i="37" s="1"/>
  <c r="BG305" i="38"/>
  <c r="BF305" i="38"/>
  <c r="BE305" i="38"/>
  <c r="BE304" i="38"/>
  <c r="C212" i="37"/>
  <c r="M212" i="37"/>
  <c r="BC42" i="38"/>
  <c r="BB42" i="38"/>
  <c r="BB49" i="38" s="1"/>
  <c r="BA42" i="38"/>
  <c r="BA49" i="38" s="1"/>
  <c r="AZ42" i="38"/>
  <c r="AZ49" i="38" s="1"/>
  <c r="BG304" i="38"/>
  <c r="C211" i="37"/>
  <c r="C49" i="37"/>
  <c r="C89" i="37" s="1"/>
  <c r="BF48" i="38"/>
  <c r="BG48" i="38" s="1"/>
  <c r="BF45" i="38"/>
  <c r="BG45" i="38" s="1"/>
  <c r="BF46" i="38"/>
  <c r="BG46" i="38" s="1"/>
  <c r="M211" i="37"/>
  <c r="C254" i="37"/>
  <c r="C253" i="37"/>
  <c r="C252" i="37"/>
  <c r="BJ304" i="38" l="1"/>
  <c r="BJ42" i="38" s="1"/>
  <c r="W86" i="40" s="1"/>
  <c r="W121" i="40" s="1"/>
  <c r="BE329" i="38"/>
  <c r="BL304" i="38"/>
  <c r="BG329" i="38"/>
  <c r="BJ305" i="38"/>
  <c r="BJ43" i="38" s="1"/>
  <c r="BE330" i="38"/>
  <c r="BK305" i="38"/>
  <c r="BK43" i="38" s="1"/>
  <c r="BF330" i="38"/>
  <c r="BL305" i="38"/>
  <c r="BL43" i="38" s="1"/>
  <c r="BG330" i="38"/>
  <c r="BL42" i="38"/>
  <c r="Y86" i="40" s="1"/>
  <c r="Y121" i="40" s="1"/>
  <c r="Y131" i="1"/>
  <c r="X38" i="1"/>
  <c r="Z276" i="1"/>
  <c r="Z35" i="1" s="1"/>
  <c r="Z267" i="1"/>
  <c r="Z121" i="1" s="1"/>
  <c r="Z122" i="1" s="1"/>
  <c r="Z126" i="1"/>
  <c r="Z129" i="1" s="1"/>
  <c r="AG508" i="1"/>
  <c r="AG536" i="1" s="1"/>
  <c r="AF536" i="1"/>
  <c r="X117" i="1"/>
  <c r="X160" i="1" s="1"/>
  <c r="Y2" i="1"/>
  <c r="AA275" i="1"/>
  <c r="AB272" i="1"/>
  <c r="AE144" i="1"/>
  <c r="AE421" i="1"/>
  <c r="AE140" i="1" s="1"/>
  <c r="AB333" i="1"/>
  <c r="AA315" i="1"/>
  <c r="AA334" i="1"/>
  <c r="O390" i="1"/>
  <c r="O71" i="1"/>
  <c r="AG252" i="1"/>
  <c r="AF253" i="1"/>
  <c r="AC240" i="1"/>
  <c r="Y83" i="1"/>
  <c r="Z316" i="1"/>
  <c r="Z319" i="1" s="1"/>
  <c r="Z145" i="1"/>
  <c r="Z146" i="1" s="1"/>
  <c r="AE258" i="1"/>
  <c r="AD262" i="1"/>
  <c r="AE560" i="1"/>
  <c r="AE644" i="1" s="1"/>
  <c r="AD532" i="1"/>
  <c r="Z336" i="1"/>
  <c r="Y294" i="1"/>
  <c r="Y36" i="1" s="1"/>
  <c r="Y84" i="1" s="1"/>
  <c r="Y141" i="1"/>
  <c r="Y142" i="1" s="1"/>
  <c r="Y148" i="1" s="1"/>
  <c r="AF529" i="1"/>
  <c r="AF420" i="1" s="1"/>
  <c r="M354" i="37"/>
  <c r="M353" i="37"/>
  <c r="L354" i="37"/>
  <c r="L330" i="37"/>
  <c r="U158" i="14"/>
  <c r="V161" i="14"/>
  <c r="W160" i="14"/>
  <c r="W161" i="14" s="1"/>
  <c r="W130" i="14"/>
  <c r="W131" i="14" s="1"/>
  <c r="V131" i="14"/>
  <c r="W128" i="14"/>
  <c r="V116" i="14"/>
  <c r="W115" i="14"/>
  <c r="W116" i="14" s="1"/>
  <c r="V101" i="14"/>
  <c r="W100" i="14"/>
  <c r="W101" i="14" s="1"/>
  <c r="V86" i="14"/>
  <c r="W85" i="14"/>
  <c r="W86" i="14" s="1"/>
  <c r="W68" i="14"/>
  <c r="V71" i="14"/>
  <c r="W70" i="14"/>
  <c r="W71" i="14" s="1"/>
  <c r="U56" i="14"/>
  <c r="V55" i="14"/>
  <c r="R53" i="14"/>
  <c r="C329" i="37"/>
  <c r="C330" i="37"/>
  <c r="C354" i="37"/>
  <c r="C331" i="37"/>
  <c r="R146" i="37"/>
  <c r="T146" i="37"/>
  <c r="S146" i="37"/>
  <c r="Z90" i="1" l="1"/>
  <c r="AB193" i="15"/>
  <c r="Y153" i="1"/>
  <c r="Y154" i="1" s="1"/>
  <c r="Y38" i="1"/>
  <c r="AF258" i="1"/>
  <c r="AE262" i="1"/>
  <c r="AF560" i="1"/>
  <c r="AE532" i="1"/>
  <c r="AF144" i="1"/>
  <c r="AF421" i="1"/>
  <c r="AF140" i="1" s="1"/>
  <c r="AC241" i="1"/>
  <c r="AC26" i="1" s="1"/>
  <c r="AC259" i="1"/>
  <c r="AB275" i="1"/>
  <c r="AC272" i="1"/>
  <c r="Z131" i="1"/>
  <c r="AA336" i="1"/>
  <c r="Z294" i="1"/>
  <c r="Z36" i="1" s="1"/>
  <c r="Z84" i="1" s="1"/>
  <c r="Z141" i="1"/>
  <c r="Z142" i="1" s="1"/>
  <c r="Z148" i="1" s="1"/>
  <c r="AA317" i="1"/>
  <c r="AA316" i="1"/>
  <c r="AA319" i="1" s="1"/>
  <c r="AA145" i="1"/>
  <c r="AA146" i="1" s="1"/>
  <c r="AA276" i="1"/>
  <c r="AA35" i="1" s="1"/>
  <c r="AA126" i="1"/>
  <c r="AA129" i="1" s="1"/>
  <c r="AA267" i="1"/>
  <c r="AA121" i="1" s="1"/>
  <c r="AA122" i="1" s="1"/>
  <c r="Z83" i="1"/>
  <c r="AG529" i="1"/>
  <c r="AG420" i="1" s="1"/>
  <c r="AG253" i="1"/>
  <c r="AB334" i="1"/>
  <c r="AC333" i="1"/>
  <c r="Y117" i="1"/>
  <c r="Y160" i="1" s="1"/>
  <c r="Z2" i="1"/>
  <c r="N91" i="37"/>
  <c r="BI81" i="38" s="1"/>
  <c r="L20" i="47"/>
  <c r="BH281" i="38"/>
  <c r="D8" i="14"/>
  <c r="V158" i="14"/>
  <c r="V56" i="14"/>
  <c r="W55" i="14"/>
  <c r="W56" i="14" s="1"/>
  <c r="S53" i="14"/>
  <c r="N89" i="37"/>
  <c r="BI79" i="38" s="1"/>
  <c r="AA90" i="1" l="1"/>
  <c r="AC193" i="15"/>
  <c r="AC198" i="15" s="1"/>
  <c r="BI281" i="38"/>
  <c r="N167" i="37" s="1"/>
  <c r="BH331" i="38"/>
  <c r="AA131" i="1"/>
  <c r="Z117" i="1"/>
  <c r="Z160" i="1" s="1"/>
  <c r="AA2" i="1"/>
  <c r="AG258" i="1"/>
  <c r="AG262" i="1" s="1"/>
  <c r="AF262" i="1"/>
  <c r="AA83" i="1"/>
  <c r="AD272" i="1"/>
  <c r="AC275" i="1"/>
  <c r="AG560" i="1"/>
  <c r="AF532" i="1"/>
  <c r="AG144" i="1"/>
  <c r="AG421" i="1"/>
  <c r="AG140" i="1" s="1"/>
  <c r="AF644" i="1"/>
  <c r="AB336" i="1"/>
  <c r="AA294" i="1"/>
  <c r="AA36" i="1" s="1"/>
  <c r="AA84" i="1" s="1"/>
  <c r="AA141" i="1"/>
  <c r="AA142" i="1" s="1"/>
  <c r="AA148" i="1" s="1"/>
  <c r="AB276" i="1"/>
  <c r="AB35" i="1" s="1"/>
  <c r="AC263" i="1"/>
  <c r="AC334" i="1"/>
  <c r="AD333" i="1"/>
  <c r="Z38" i="1"/>
  <c r="Z153" i="1"/>
  <c r="Z154" i="1" s="1"/>
  <c r="BH280" i="38"/>
  <c r="L21" i="47"/>
  <c r="D6" i="14"/>
  <c r="L28" i="47"/>
  <c r="BH184" i="38"/>
  <c r="D7" i="14"/>
  <c r="N90" i="37"/>
  <c r="BI80" i="38" s="1"/>
  <c r="N331" i="37"/>
  <c r="W158" i="14"/>
  <c r="T53" i="14"/>
  <c r="N329" i="37"/>
  <c r="BH305" i="38"/>
  <c r="Z31" i="13"/>
  <c r="Y31" i="13"/>
  <c r="X31" i="13"/>
  <c r="Z153" i="45"/>
  <c r="S53" i="45"/>
  <c r="T53" i="45"/>
  <c r="U53" i="45"/>
  <c r="S37" i="45"/>
  <c r="T37" i="45"/>
  <c r="U37" i="45"/>
  <c r="U15" i="45"/>
  <c r="U13" i="45"/>
  <c r="U9" i="45"/>
  <c r="U58" i="45"/>
  <c r="U59" i="45"/>
  <c r="U60" i="45"/>
  <c r="U61" i="45"/>
  <c r="U62" i="45"/>
  <c r="U63" i="45"/>
  <c r="U64" i="45"/>
  <c r="U65" i="45"/>
  <c r="U50" i="45"/>
  <c r="U40" i="45" s="1"/>
  <c r="U34" i="45"/>
  <c r="V35" i="45" s="1"/>
  <c r="U31" i="45"/>
  <c r="V32" i="45" s="1"/>
  <c r="AO138" i="45"/>
  <c r="AQ138" i="45" s="1"/>
  <c r="AO137" i="45"/>
  <c r="AS137" i="45" s="1"/>
  <c r="AT137" i="45"/>
  <c r="AT138" i="45"/>
  <c r="AT134" i="45"/>
  <c r="AO134" i="45"/>
  <c r="AS134" i="45" s="1"/>
  <c r="U114" i="45"/>
  <c r="U115" i="45"/>
  <c r="U116" i="45"/>
  <c r="U117" i="45"/>
  <c r="U118" i="45"/>
  <c r="U119" i="45"/>
  <c r="U120" i="45"/>
  <c r="U121" i="45"/>
  <c r="BG441" i="38"/>
  <c r="BG449" i="38" s="1"/>
  <c r="C5099" i="22"/>
  <c r="C5107" i="22"/>
  <c r="C5077" i="22" s="1"/>
  <c r="C5076" i="22" s="1"/>
  <c r="C5105" i="22"/>
  <c r="C5098" i="22"/>
  <c r="C5074" i="22"/>
  <c r="D6376" i="22"/>
  <c r="E6376" i="22"/>
  <c r="D6378" i="22"/>
  <c r="E6378" i="22"/>
  <c r="C6378" i="22"/>
  <c r="C6376" i="22"/>
  <c r="D6375" i="22"/>
  <c r="E6375" i="22"/>
  <c r="C6375" i="22"/>
  <c r="B6359" i="22"/>
  <c r="B6369" i="22" s="1"/>
  <c r="B6360" i="22"/>
  <c r="B6370" i="22" s="1"/>
  <c r="B6351" i="22"/>
  <c r="B6361" i="22" s="1"/>
  <c r="B6371" i="22" s="1"/>
  <c r="B6348" i="22"/>
  <c r="B6358" i="22" s="1"/>
  <c r="B6368" i="22" s="1"/>
  <c r="B6347" i="22"/>
  <c r="B6357" i="22" s="1"/>
  <c r="B6367" i="22" s="1"/>
  <c r="B6346" i="22"/>
  <c r="B6356" i="22" s="1"/>
  <c r="B6366" i="22" s="1"/>
  <c r="B6345" i="22"/>
  <c r="B6355" i="22" s="1"/>
  <c r="B6365" i="22" s="1"/>
  <c r="AA153" i="1" l="1"/>
  <c r="AA154" i="1" s="1"/>
  <c r="BI280" i="38"/>
  <c r="BH330" i="38"/>
  <c r="AB83" i="1"/>
  <c r="AA38" i="1"/>
  <c r="AE272" i="1"/>
  <c r="AD275" i="1"/>
  <c r="AD334" i="1"/>
  <c r="AE333" i="1"/>
  <c r="AG532" i="1"/>
  <c r="AC336" i="1"/>
  <c r="AB294" i="1"/>
  <c r="AB36" i="1" s="1"/>
  <c r="AB84" i="1" s="1"/>
  <c r="AC264" i="1"/>
  <c r="AC119" i="1" s="1"/>
  <c r="AD240" i="1"/>
  <c r="AG644" i="1"/>
  <c r="AA117" i="1"/>
  <c r="AA160" i="1" s="1"/>
  <c r="AB2" i="1"/>
  <c r="AC276" i="1"/>
  <c r="AC35" i="1" s="1"/>
  <c r="U39" i="45"/>
  <c r="V56" i="45"/>
  <c r="V66" i="45" s="1"/>
  <c r="BI184" i="38"/>
  <c r="N330" i="37"/>
  <c r="BH183" i="38"/>
  <c r="U53" i="14"/>
  <c r="AU134" i="45"/>
  <c r="U51" i="45"/>
  <c r="AQ137" i="45"/>
  <c r="AQ134" i="45"/>
  <c r="AS138" i="45"/>
  <c r="AU138" i="45" s="1"/>
  <c r="AU137" i="45"/>
  <c r="BG139" i="38"/>
  <c r="C5108" i="22"/>
  <c r="C5110" i="22"/>
  <c r="C5111" i="22" s="1"/>
  <c r="H145" i="46"/>
  <c r="I145" i="46"/>
  <c r="K145" i="46"/>
  <c r="J145" i="46"/>
  <c r="S143" i="46"/>
  <c r="R143" i="46"/>
  <c r="S142" i="46"/>
  <c r="R142" i="46"/>
  <c r="R141" i="46"/>
  <c r="S141" i="46"/>
  <c r="S154" i="46"/>
  <c r="R154" i="46"/>
  <c r="R153" i="46"/>
  <c r="R139" i="46" s="1"/>
  <c r="S153" i="46"/>
  <c r="S139" i="46" s="1"/>
  <c r="S149" i="46"/>
  <c r="S148" i="46"/>
  <c r="S137" i="46"/>
  <c r="B6304" i="22"/>
  <c r="B6312" i="22"/>
  <c r="B6311" i="22"/>
  <c r="B6310" i="22"/>
  <c r="B6309" i="22"/>
  <c r="B6308" i="22"/>
  <c r="F6306" i="22"/>
  <c r="E6306" i="22"/>
  <c r="D6306" i="22"/>
  <c r="C6306" i="22"/>
  <c r="B6307" i="22"/>
  <c r="AK6279" i="22"/>
  <c r="AK6271" i="22"/>
  <c r="AK6270" i="22"/>
  <c r="AJ6279" i="22"/>
  <c r="AJ6271" i="22"/>
  <c r="AJ6270" i="22"/>
  <c r="AI6279" i="22"/>
  <c r="AI6271" i="22"/>
  <c r="AI6270" i="22"/>
  <c r="AH6279" i="22"/>
  <c r="AH6271" i="22"/>
  <c r="AH6270" i="22"/>
  <c r="AF6268" i="22"/>
  <c r="AF6267" i="22"/>
  <c r="AE6268" i="22"/>
  <c r="AE6267" i="22"/>
  <c r="AD6268" i="22"/>
  <c r="AD6267" i="22"/>
  <c r="AC6268" i="22"/>
  <c r="AC6267" i="22"/>
  <c r="AA6277" i="22"/>
  <c r="AA6276" i="22"/>
  <c r="AA6275" i="22"/>
  <c r="AA6274" i="22"/>
  <c r="AA6273" i="22"/>
  <c r="AA6272" i="22"/>
  <c r="AA6271" i="22"/>
  <c r="AA6266" i="22"/>
  <c r="Z6277" i="22"/>
  <c r="Z6276" i="22"/>
  <c r="Z6275" i="22"/>
  <c r="Z6274" i="22"/>
  <c r="Z6273" i="22"/>
  <c r="Z6272" i="22"/>
  <c r="Z6271" i="22"/>
  <c r="Z6266" i="22"/>
  <c r="Y6277" i="22"/>
  <c r="Y6276" i="22"/>
  <c r="Y6275" i="22"/>
  <c r="Y6274" i="22"/>
  <c r="Y6273" i="22"/>
  <c r="Y6272" i="22"/>
  <c r="Y6271" i="22"/>
  <c r="Y6266" i="22"/>
  <c r="X6277" i="22"/>
  <c r="X6276" i="22"/>
  <c r="X6275" i="22"/>
  <c r="X6274" i="22"/>
  <c r="X6273" i="22"/>
  <c r="X6272" i="22"/>
  <c r="X6271" i="22"/>
  <c r="X6266" i="22"/>
  <c r="V6264" i="22"/>
  <c r="U6264" i="22"/>
  <c r="T6264" i="22"/>
  <c r="S6264" i="22"/>
  <c r="Q6264" i="22"/>
  <c r="P6264" i="22"/>
  <c r="O6264" i="22"/>
  <c r="N6264" i="22"/>
  <c r="L6277" i="22"/>
  <c r="L6276" i="22"/>
  <c r="L6275" i="22"/>
  <c r="L6274" i="22"/>
  <c r="L6272" i="22"/>
  <c r="L6270" i="22"/>
  <c r="L6269" i="22"/>
  <c r="L6268" i="22"/>
  <c r="L6267" i="22"/>
  <c r="L6266" i="22"/>
  <c r="L6265" i="22"/>
  <c r="L6264" i="22"/>
  <c r="K6277" i="22"/>
  <c r="K6276" i="22"/>
  <c r="K6275" i="22"/>
  <c r="K6274" i="22"/>
  <c r="K6272" i="22"/>
  <c r="K6270" i="22"/>
  <c r="K6269" i="22"/>
  <c r="K6268" i="22"/>
  <c r="K6267" i="22"/>
  <c r="K6266" i="22"/>
  <c r="K6265" i="22"/>
  <c r="K6264" i="22"/>
  <c r="J6277" i="22"/>
  <c r="J6276" i="22"/>
  <c r="J6275" i="22"/>
  <c r="J6274" i="22"/>
  <c r="J6272" i="22"/>
  <c r="J6270" i="22"/>
  <c r="J6269" i="22"/>
  <c r="J6268" i="22"/>
  <c r="J6267" i="22"/>
  <c r="J6266" i="22"/>
  <c r="J6265" i="22"/>
  <c r="J6264" i="22"/>
  <c r="AK6263" i="22"/>
  <c r="L6263" i="22"/>
  <c r="Q6263" i="22" s="1"/>
  <c r="V6263" i="22" s="1"/>
  <c r="AA6263" i="22" s="1"/>
  <c r="AF6263" i="22" s="1"/>
  <c r="AJ6263" i="22" s="1"/>
  <c r="K6263" i="22"/>
  <c r="P6263" i="22" s="1"/>
  <c r="U6263" i="22" s="1"/>
  <c r="Z6263" i="22" s="1"/>
  <c r="AE6263" i="22" s="1"/>
  <c r="AI6263" i="22" s="1"/>
  <c r="J6263" i="22"/>
  <c r="O6263" i="22" s="1"/>
  <c r="T6263" i="22" s="1"/>
  <c r="Y6263" i="22" s="1"/>
  <c r="AD6263" i="22" s="1"/>
  <c r="AH6263" i="22" s="1"/>
  <c r="I6263" i="22"/>
  <c r="N6263" i="22" s="1"/>
  <c r="S6263" i="22" s="1"/>
  <c r="X6263" i="22" s="1"/>
  <c r="AC6263" i="22" s="1"/>
  <c r="I6277" i="22"/>
  <c r="I6276" i="22"/>
  <c r="I6275" i="22"/>
  <c r="I6274" i="22"/>
  <c r="I6272" i="22"/>
  <c r="I6270" i="22"/>
  <c r="I6269" i="22"/>
  <c r="I6268" i="22"/>
  <c r="I6267" i="22"/>
  <c r="I6266" i="22"/>
  <c r="I6265" i="22"/>
  <c r="I6264" i="22"/>
  <c r="A6278" i="22"/>
  <c r="A6286" i="22" s="1"/>
  <c r="A6285" i="22"/>
  <c r="A6284" i="22"/>
  <c r="A6283" i="22"/>
  <c r="A6282" i="22"/>
  <c r="A6281" i="22"/>
  <c r="S17" i="40"/>
  <c r="T17" i="40"/>
  <c r="U17" i="40"/>
  <c r="R17" i="40"/>
  <c r="S16" i="40"/>
  <c r="T16" i="40"/>
  <c r="R16" i="40"/>
  <c r="BI451" i="38" l="1"/>
  <c r="V16" i="40"/>
  <c r="AF272" i="1"/>
  <c r="AE275" i="1"/>
  <c r="AD241" i="1"/>
  <c r="AD26" i="1" s="1"/>
  <c r="AC10" i="40" s="1"/>
  <c r="AD259" i="1"/>
  <c r="AD336" i="1"/>
  <c r="AC294" i="1"/>
  <c r="AC36" i="1" s="1"/>
  <c r="AC84" i="1" s="1"/>
  <c r="AF333" i="1"/>
  <c r="AE334" i="1"/>
  <c r="AC83" i="1"/>
  <c r="AB117" i="1"/>
  <c r="AB160" i="1" s="1"/>
  <c r="AC2" i="1"/>
  <c r="AD276" i="1"/>
  <c r="AD35" i="1" s="1"/>
  <c r="AB38" i="1"/>
  <c r="V55" i="45"/>
  <c r="BI183" i="38"/>
  <c r="V53" i="14"/>
  <c r="BG460" i="38"/>
  <c r="V6283" i="22"/>
  <c r="F6309" i="22" s="1"/>
  <c r="S138" i="46"/>
  <c r="S140" i="46" s="1"/>
  <c r="S144" i="46" s="1"/>
  <c r="AD6285" i="22"/>
  <c r="D6311" i="22" s="1"/>
  <c r="U6283" i="22"/>
  <c r="E6309" i="22" s="1"/>
  <c r="AA6284" i="22"/>
  <c r="F6310" i="22" s="1"/>
  <c r="I6281" i="22"/>
  <c r="C6307" i="22" s="1"/>
  <c r="K6281" i="22"/>
  <c r="E6307" i="22" s="1"/>
  <c r="O6282" i="22"/>
  <c r="D6308" i="22" s="1"/>
  <c r="Q6282" i="22"/>
  <c r="F6308" i="22" s="1"/>
  <c r="AH6278" i="22"/>
  <c r="AH6286" i="22" s="1"/>
  <c r="C6312" i="22" s="1"/>
  <c r="P6282" i="22"/>
  <c r="E6308" i="22" s="1"/>
  <c r="T6283" i="22"/>
  <c r="D6309" i="22" s="1"/>
  <c r="L6281" i="22"/>
  <c r="F6307" i="22" s="1"/>
  <c r="AE6285" i="22"/>
  <c r="E6311" i="22" s="1"/>
  <c r="J6281" i="22"/>
  <c r="D6307" i="22" s="1"/>
  <c r="AF6285" i="22"/>
  <c r="F6311" i="22" s="1"/>
  <c r="AI6278" i="22"/>
  <c r="AI6286" i="22" s="1"/>
  <c r="D6312" i="22" s="1"/>
  <c r="Y6284" i="22"/>
  <c r="D6310" i="22" s="1"/>
  <c r="Z6284" i="22"/>
  <c r="E6310" i="22" s="1"/>
  <c r="AK6278" i="22"/>
  <c r="AK6286" i="22" s="1"/>
  <c r="F6312" i="22" s="1"/>
  <c r="AJ6278" i="22"/>
  <c r="AJ6286" i="22" s="1"/>
  <c r="E6312" i="22" s="1"/>
  <c r="N6282" i="22"/>
  <c r="C6308" i="22" s="1"/>
  <c r="S6283" i="22"/>
  <c r="C6309" i="22" s="1"/>
  <c r="AC6285" i="22"/>
  <c r="C6311" i="22" s="1"/>
  <c r="X6284" i="22"/>
  <c r="C6310" i="22" s="1"/>
  <c r="G6253" i="22"/>
  <c r="D6253" i="22" s="1"/>
  <c r="E6253" i="22" s="1"/>
  <c r="G6252" i="22"/>
  <c r="D6252" i="22" s="1"/>
  <c r="E6252" i="22" s="1"/>
  <c r="G6251" i="22"/>
  <c r="D6251" i="22" s="1"/>
  <c r="E6251" i="22" s="1"/>
  <c r="G6250" i="22"/>
  <c r="D6250" i="22" s="1"/>
  <c r="G6248" i="22"/>
  <c r="D6248" i="22" s="1"/>
  <c r="G6254" i="22"/>
  <c r="D6254" i="22" s="1"/>
  <c r="E6254" i="22" s="1"/>
  <c r="G6246" i="22"/>
  <c r="D6246" i="22" s="1"/>
  <c r="E6246" i="22" s="1"/>
  <c r="G6247" i="22"/>
  <c r="D6247" i="22" s="1"/>
  <c r="E6247" i="22" s="1"/>
  <c r="L436" i="37"/>
  <c r="BX367" i="38"/>
  <c r="BW367" i="38"/>
  <c r="BV367" i="38"/>
  <c r="BU367" i="38"/>
  <c r="BF112" i="38"/>
  <c r="BG112" i="38" s="1"/>
  <c r="BG188" i="38" s="1"/>
  <c r="BF110" i="38"/>
  <c r="BG110" i="38" s="1"/>
  <c r="BF109" i="38"/>
  <c r="BG109" i="38" s="1"/>
  <c r="BF113" i="38"/>
  <c r="AZ10" i="38"/>
  <c r="BA10" i="38" s="1"/>
  <c r="AZ12" i="38"/>
  <c r="BA12" i="38" s="1"/>
  <c r="BB12" i="38" s="1"/>
  <c r="BC12" i="38" s="1"/>
  <c r="BE12" i="38" s="1"/>
  <c r="N15" i="37" s="1"/>
  <c r="N56" i="37" s="1"/>
  <c r="BF9" i="38"/>
  <c r="BG9" i="38" s="1"/>
  <c r="BG82" i="38" s="1"/>
  <c r="BE275" i="38"/>
  <c r="BE300" i="38" s="1"/>
  <c r="BE302" i="38"/>
  <c r="BE303" i="38"/>
  <c r="BE308" i="38"/>
  <c r="BJ308" i="38" s="1"/>
  <c r="BE309" i="38"/>
  <c r="BJ309" i="38" s="1"/>
  <c r="BJ284" i="38" s="1"/>
  <c r="BE311" i="38"/>
  <c r="BJ311" i="38" s="1"/>
  <c r="BE312" i="38"/>
  <c r="BE313" i="38"/>
  <c r="BE314" i="38"/>
  <c r="D6215" i="22"/>
  <c r="E6215" i="22" s="1"/>
  <c r="F6215" i="22" s="1"/>
  <c r="D6239" i="22"/>
  <c r="C6235" i="22"/>
  <c r="D6235" i="22" s="1"/>
  <c r="I6249" i="22" s="1"/>
  <c r="G6249" i="22" s="1"/>
  <c r="D6249" i="22" s="1"/>
  <c r="D6238" i="22"/>
  <c r="D6237" i="22"/>
  <c r="D6236" i="22"/>
  <c r="D6234" i="22"/>
  <c r="D6229" i="22"/>
  <c r="D6228" i="22"/>
  <c r="D6227" i="22"/>
  <c r="D6226" i="22"/>
  <c r="K6158" i="22"/>
  <c r="J6158" i="22"/>
  <c r="I6158" i="22"/>
  <c r="H6158" i="22"/>
  <c r="G6158" i="22"/>
  <c r="B6144" i="22"/>
  <c r="B6143" i="22"/>
  <c r="B6142" i="22"/>
  <c r="C6083" i="22"/>
  <c r="C6045" i="22"/>
  <c r="AW138" i="45"/>
  <c r="BA138" i="45" s="1"/>
  <c r="BB137" i="45"/>
  <c r="AW134" i="45"/>
  <c r="BA134" i="45" s="1"/>
  <c r="AW137" i="45"/>
  <c r="BA137" i="45" s="1"/>
  <c r="BB138" i="45"/>
  <c r="BB134" i="45"/>
  <c r="T31" i="45"/>
  <c r="U32" i="45" s="1"/>
  <c r="BF535" i="38"/>
  <c r="BF536" i="38"/>
  <c r="BN451" i="38" l="1"/>
  <c r="AA16" i="40"/>
  <c r="BJ314" i="38"/>
  <c r="BJ53" i="38" s="1"/>
  <c r="W92" i="40" s="1"/>
  <c r="W124" i="40" s="1"/>
  <c r="BE339" i="38"/>
  <c r="BJ312" i="38"/>
  <c r="BJ51" i="38" s="1"/>
  <c r="W56" i="40" s="1"/>
  <c r="W112" i="40" s="1"/>
  <c r="BE337" i="38"/>
  <c r="BJ302" i="38"/>
  <c r="BJ40" i="38" s="1"/>
  <c r="W74" i="40" s="1"/>
  <c r="W118" i="40" s="1"/>
  <c r="BE327" i="38"/>
  <c r="BJ313" i="38"/>
  <c r="BJ52" i="38" s="1"/>
  <c r="W62" i="40" s="1"/>
  <c r="W115" i="40" s="1"/>
  <c r="BE338" i="38"/>
  <c r="BJ303" i="38"/>
  <c r="BJ41" i="38" s="1"/>
  <c r="W80" i="40" s="1"/>
  <c r="BE328" i="38"/>
  <c r="AE336" i="1"/>
  <c r="AD294" i="1"/>
  <c r="AD36" i="1" s="1"/>
  <c r="AD84" i="1" s="1"/>
  <c r="AG333" i="1"/>
  <c r="AG334" i="1" s="1"/>
  <c r="AF334" i="1"/>
  <c r="AC117" i="1"/>
  <c r="AC160" i="1" s="1"/>
  <c r="AD2" i="1"/>
  <c r="AC38" i="1"/>
  <c r="AB16" i="40" s="1"/>
  <c r="AD83" i="1"/>
  <c r="AE276" i="1"/>
  <c r="AE35" i="1" s="1"/>
  <c r="AD263" i="1"/>
  <c r="AG272" i="1"/>
  <c r="AG275" i="1" s="1"/>
  <c r="AF275" i="1"/>
  <c r="E6250" i="22"/>
  <c r="R6250" i="22"/>
  <c r="E6249" i="22"/>
  <c r="R6249" i="22"/>
  <c r="E6248" i="22"/>
  <c r="R6248" i="22"/>
  <c r="W53" i="14"/>
  <c r="BG473" i="38"/>
  <c r="BG476" i="38" s="1"/>
  <c r="BG185" i="38"/>
  <c r="BG182" i="38"/>
  <c r="E6227" i="22"/>
  <c r="BC134" i="45"/>
  <c r="BC137" i="45"/>
  <c r="BC138" i="45"/>
  <c r="AY138" i="45"/>
  <c r="AY137" i="45"/>
  <c r="AY134" i="45"/>
  <c r="BF534" i="38"/>
  <c r="BF539" i="38" s="1"/>
  <c r="BF441" i="38"/>
  <c r="BF449" i="38" s="1"/>
  <c r="CV363" i="38"/>
  <c r="CV362" i="38"/>
  <c r="CV361" i="38"/>
  <c r="CV360" i="38"/>
  <c r="CV358" i="38"/>
  <c r="CV351" i="38"/>
  <c r="CU363" i="38"/>
  <c r="CU362" i="38"/>
  <c r="CU361" i="38"/>
  <c r="CU360" i="38"/>
  <c r="CU358" i="38"/>
  <c r="CU351" i="38"/>
  <c r="CU349" i="38"/>
  <c r="BF314" i="38"/>
  <c r="BF313" i="38"/>
  <c r="BF312" i="38"/>
  <c r="BF311" i="38"/>
  <c r="BK311" i="38" s="1"/>
  <c r="BF309" i="38"/>
  <c r="BK309" i="38" s="1"/>
  <c r="BK284" i="38" s="1"/>
  <c r="BF308" i="38"/>
  <c r="BK308" i="38" s="1"/>
  <c r="BF303" i="38"/>
  <c r="BF302" i="38"/>
  <c r="BF210" i="38"/>
  <c r="BF206" i="38"/>
  <c r="BF193" i="38"/>
  <c r="BF188" i="38"/>
  <c r="BF185" i="38"/>
  <c r="BF181" i="38"/>
  <c r="BF180" i="38"/>
  <c r="BF192" i="38"/>
  <c r="BF97" i="38"/>
  <c r="BF96" i="38"/>
  <c r="BF95" i="38"/>
  <c r="BF88" i="38"/>
  <c r="BF87" i="38"/>
  <c r="BF86" i="38"/>
  <c r="BF82" i="38"/>
  <c r="BF78" i="38"/>
  <c r="BF77" i="38"/>
  <c r="BF304" i="38"/>
  <c r="BF211" i="38"/>
  <c r="T121" i="45"/>
  <c r="T120" i="45"/>
  <c r="T119" i="45"/>
  <c r="T118" i="45"/>
  <c r="T117" i="45"/>
  <c r="T116" i="45"/>
  <c r="T115" i="45"/>
  <c r="T114" i="45"/>
  <c r="T65" i="45"/>
  <c r="T64" i="45"/>
  <c r="T63" i="45"/>
  <c r="T62" i="45"/>
  <c r="T61" i="45"/>
  <c r="T60" i="45"/>
  <c r="T59" i="45"/>
  <c r="T58" i="45"/>
  <c r="T50" i="45"/>
  <c r="T51" i="45" s="1"/>
  <c r="T34" i="45"/>
  <c r="U35" i="45" s="1"/>
  <c r="T15" i="45"/>
  <c r="T13" i="45"/>
  <c r="T9" i="45"/>
  <c r="F91" i="45"/>
  <c r="J6188" i="22"/>
  <c r="I6188" i="22"/>
  <c r="H6188" i="22"/>
  <c r="G6188" i="22"/>
  <c r="F6188" i="22"/>
  <c r="B6164" i="22"/>
  <c r="B6163" i="22"/>
  <c r="F6153" i="22"/>
  <c r="M6045" i="22"/>
  <c r="O6045" i="22" s="1"/>
  <c r="C6043" i="22" s="1"/>
  <c r="J6062" i="22"/>
  <c r="J6138" i="22" s="1"/>
  <c r="I6062" i="22"/>
  <c r="I6138" i="22" s="1"/>
  <c r="H6062" i="22"/>
  <c r="H6138" i="22" s="1"/>
  <c r="G6062" i="22"/>
  <c r="G6138" i="22" s="1"/>
  <c r="F6062" i="22"/>
  <c r="F6138" i="22" s="1"/>
  <c r="E6062" i="22"/>
  <c r="D6062" i="22"/>
  <c r="C6052" i="22"/>
  <c r="T6063" i="22"/>
  <c r="T6064" i="22" s="1"/>
  <c r="S6063" i="22"/>
  <c r="S6064" i="22" s="1"/>
  <c r="R6063" i="22"/>
  <c r="R6064" i="22" s="1"/>
  <c r="Q6063" i="22"/>
  <c r="Q6064" i="22" s="1"/>
  <c r="P6063" i="22"/>
  <c r="P6064" i="22" s="1"/>
  <c r="O6063" i="22"/>
  <c r="O6064" i="22" s="1"/>
  <c r="N6063" i="22"/>
  <c r="N6064" i="22" s="1"/>
  <c r="M6063" i="22"/>
  <c r="M6064" i="22" s="1"/>
  <c r="T6069" i="22"/>
  <c r="J6069" i="22" s="1"/>
  <c r="J6072" i="22" s="1"/>
  <c r="S6069" i="22"/>
  <c r="I6069" i="22" s="1"/>
  <c r="I6072" i="22" s="1"/>
  <c r="R6069" i="22"/>
  <c r="H6069" i="22" s="1"/>
  <c r="H6072" i="22" s="1"/>
  <c r="Q6069" i="22"/>
  <c r="G6069" i="22" s="1"/>
  <c r="G6072" i="22" s="1"/>
  <c r="P6069" i="22"/>
  <c r="F6069" i="22" s="1"/>
  <c r="F6072" i="22" s="1"/>
  <c r="F6113" i="22" s="1"/>
  <c r="O6069" i="22"/>
  <c r="E6069" i="22" s="1"/>
  <c r="E6072" i="22" s="1"/>
  <c r="N6069" i="22"/>
  <c r="D6069" i="22" s="1"/>
  <c r="D6072" i="22" s="1"/>
  <c r="M6069" i="22"/>
  <c r="M6072" i="22" s="1"/>
  <c r="C6077" i="22"/>
  <c r="J6067" i="22"/>
  <c r="J6154" i="22" s="1"/>
  <c r="I6067" i="22"/>
  <c r="I6154" i="22" s="1"/>
  <c r="H6067" i="22"/>
  <c r="H6154" i="22" s="1"/>
  <c r="G6067" i="22"/>
  <c r="G6154" i="22" s="1"/>
  <c r="F6067" i="22"/>
  <c r="F6154" i="22" s="1"/>
  <c r="E6067" i="22"/>
  <c r="D6067" i="22"/>
  <c r="J6060" i="22"/>
  <c r="J6132" i="22" s="1"/>
  <c r="I6060" i="22"/>
  <c r="I6132" i="22" s="1"/>
  <c r="H6060" i="22"/>
  <c r="H6132" i="22" s="1"/>
  <c r="G6060" i="22"/>
  <c r="G6132" i="22" s="1"/>
  <c r="F6060" i="22"/>
  <c r="F6132" i="22" s="1"/>
  <c r="E6060" i="22"/>
  <c r="D6060" i="22"/>
  <c r="J6058" i="22"/>
  <c r="J6127" i="22" s="1"/>
  <c r="I6058" i="22"/>
  <c r="I6127" i="22" s="1"/>
  <c r="H6058" i="22"/>
  <c r="H6127" i="22" s="1"/>
  <c r="G6058" i="22"/>
  <c r="G6127" i="22" s="1"/>
  <c r="F6058" i="22"/>
  <c r="F6127" i="22" s="1"/>
  <c r="E6058" i="22"/>
  <c r="D6058" i="22"/>
  <c r="T6068" i="22"/>
  <c r="S6068" i="22"/>
  <c r="R6068" i="22"/>
  <c r="Q6068" i="22"/>
  <c r="P6068" i="22"/>
  <c r="O6068" i="22"/>
  <c r="N6068" i="22"/>
  <c r="M6068" i="22"/>
  <c r="T6061" i="22"/>
  <c r="S6061" i="22"/>
  <c r="R6061" i="22"/>
  <c r="Q6061" i="22"/>
  <c r="P6061" i="22"/>
  <c r="O6061" i="22"/>
  <c r="N6061" i="22"/>
  <c r="M6061" i="22"/>
  <c r="T6059" i="22"/>
  <c r="S6059" i="22"/>
  <c r="R6059" i="22"/>
  <c r="Q6059" i="22"/>
  <c r="P6059" i="22"/>
  <c r="O6059" i="22"/>
  <c r="N6059" i="22"/>
  <c r="C6042" i="22"/>
  <c r="C6201" i="22" s="1"/>
  <c r="C6202" i="22" s="1"/>
  <c r="BK312" i="38" l="1"/>
  <c r="BK51" i="38" s="1"/>
  <c r="X56" i="40" s="1"/>
  <c r="X112" i="40" s="1"/>
  <c r="BF337" i="38"/>
  <c r="BK304" i="38"/>
  <c r="BK42" i="38" s="1"/>
  <c r="X86" i="40" s="1"/>
  <c r="X121" i="40" s="1"/>
  <c r="BF329" i="38"/>
  <c r="BK313" i="38"/>
  <c r="BK52" i="38" s="1"/>
  <c r="X62" i="40" s="1"/>
  <c r="X115" i="40" s="1"/>
  <c r="BF338" i="38"/>
  <c r="BK314" i="38"/>
  <c r="BK53" i="38" s="1"/>
  <c r="X92" i="40" s="1"/>
  <c r="X124" i="40" s="1"/>
  <c r="BF339" i="38"/>
  <c r="BK302" i="38"/>
  <c r="BK40" i="38" s="1"/>
  <c r="X74" i="40" s="1"/>
  <c r="X118" i="40" s="1"/>
  <c r="BF327" i="38"/>
  <c r="BK303" i="38"/>
  <c r="BK41" i="38" s="1"/>
  <c r="X80" i="40" s="1"/>
  <c r="BF328" i="38"/>
  <c r="BJ55" i="38"/>
  <c r="AD38" i="1"/>
  <c r="AC16" i="40" s="1"/>
  <c r="AG276" i="1"/>
  <c r="AG35" i="1" s="1"/>
  <c r="AE2" i="1"/>
  <c r="AD117" i="1"/>
  <c r="AD160" i="1" s="1"/>
  <c r="AD264" i="1"/>
  <c r="AD119" i="1" s="1"/>
  <c r="AE240" i="1"/>
  <c r="AF276" i="1"/>
  <c r="AF35" i="1" s="1"/>
  <c r="AE83" i="1"/>
  <c r="AF336" i="1"/>
  <c r="AE294" i="1"/>
  <c r="AE36" i="1" s="1"/>
  <c r="AE84" i="1" s="1"/>
  <c r="S145" i="46"/>
  <c r="G6143" i="22"/>
  <c r="I6143" i="22"/>
  <c r="H6143" i="22"/>
  <c r="BF191" i="38"/>
  <c r="S58" i="40"/>
  <c r="CV350" i="38"/>
  <c r="BF301" i="38"/>
  <c r="C6204" i="22"/>
  <c r="C6206" i="22" s="1"/>
  <c r="C6208" i="22" s="1"/>
  <c r="C6218" i="22"/>
  <c r="K6154" i="22"/>
  <c r="K6127" i="22"/>
  <c r="K6138" i="22"/>
  <c r="J6143" i="22"/>
  <c r="K6132" i="22"/>
  <c r="F6143" i="22"/>
  <c r="BF179" i="38"/>
  <c r="CV353" i="38"/>
  <c r="BF139" i="38"/>
  <c r="T40" i="45"/>
  <c r="BF541" i="38"/>
  <c r="S28" i="40" s="1"/>
  <c r="BF76" i="38"/>
  <c r="F6155" i="22"/>
  <c r="D6063" i="22"/>
  <c r="D6064" i="22" s="1"/>
  <c r="E6063" i="22"/>
  <c r="E6064" i="22" s="1"/>
  <c r="F6063" i="22"/>
  <c r="C6044" i="22"/>
  <c r="C6046" i="22" s="1"/>
  <c r="G6059" i="22"/>
  <c r="G6063" i="22"/>
  <c r="H6063" i="22"/>
  <c r="I6063" i="22"/>
  <c r="F6061" i="22"/>
  <c r="J6063" i="22"/>
  <c r="R6072" i="22"/>
  <c r="C6050" i="22"/>
  <c r="J6068" i="22"/>
  <c r="S6072" i="22"/>
  <c r="J6059" i="22"/>
  <c r="T6072" i="22"/>
  <c r="E6061" i="22"/>
  <c r="F6059" i="22"/>
  <c r="J6061" i="22"/>
  <c r="D6061" i="22"/>
  <c r="E6068" i="22"/>
  <c r="F6068" i="22"/>
  <c r="H6061" i="22"/>
  <c r="E6059" i="22"/>
  <c r="G6068" i="22"/>
  <c r="G6061" i="22"/>
  <c r="H6068" i="22"/>
  <c r="I6068" i="22"/>
  <c r="H6059" i="22"/>
  <c r="I6061" i="22"/>
  <c r="I6059" i="22"/>
  <c r="D6068" i="22"/>
  <c r="N6070" i="22"/>
  <c r="N6072" i="22"/>
  <c r="O6070" i="22"/>
  <c r="O6072" i="22"/>
  <c r="P6070" i="22"/>
  <c r="P6072" i="22"/>
  <c r="Q6070" i="22"/>
  <c r="Q6072" i="22"/>
  <c r="C6075" i="22" s="1"/>
  <c r="R6070" i="22"/>
  <c r="S6070" i="22"/>
  <c r="T6070" i="22"/>
  <c r="M6070" i="22"/>
  <c r="C6078" i="22"/>
  <c r="C6079" i="22" s="1"/>
  <c r="BK301" i="38" l="1"/>
  <c r="BK39" i="38" s="1"/>
  <c r="BF326" i="38"/>
  <c r="BK55" i="38"/>
  <c r="AF83" i="1"/>
  <c r="AF294" i="1"/>
  <c r="AF36" i="1" s="1"/>
  <c r="AF84" i="1" s="1"/>
  <c r="AG336" i="1"/>
  <c r="AF2" i="1"/>
  <c r="AE117" i="1"/>
  <c r="AE160" i="1" s="1"/>
  <c r="AE241" i="1"/>
  <c r="AE26" i="1" s="1"/>
  <c r="AE259" i="1"/>
  <c r="AE38" i="1"/>
  <c r="AG83" i="1"/>
  <c r="U56" i="45"/>
  <c r="U66" i="45" s="1"/>
  <c r="T39" i="45"/>
  <c r="C6047" i="22"/>
  <c r="BF348" i="38"/>
  <c r="CV364" i="38"/>
  <c r="D6218" i="22"/>
  <c r="E6218" i="22" s="1"/>
  <c r="F6218" i="22" s="1"/>
  <c r="C6219" i="22"/>
  <c r="G6085" i="22"/>
  <c r="F6183" i="22"/>
  <c r="K6143" i="22"/>
  <c r="F6149" i="22"/>
  <c r="J6064" i="22"/>
  <c r="I6064" i="22"/>
  <c r="H6149" i="22"/>
  <c r="G6064" i="22"/>
  <c r="G6149" i="22"/>
  <c r="J6149" i="22"/>
  <c r="I6149" i="22"/>
  <c r="F6064" i="22"/>
  <c r="H6064" i="22"/>
  <c r="C6051" i="22"/>
  <c r="C6053" i="22" s="1"/>
  <c r="C6080" i="22"/>
  <c r="BK49" i="38" l="1"/>
  <c r="BK57" i="38" s="1"/>
  <c r="BK71" i="38" s="1"/>
  <c r="X5" i="40" s="1"/>
  <c r="X105" i="40" s="1"/>
  <c r="X127" i="40" s="1"/>
  <c r="AF117" i="1"/>
  <c r="AF160" i="1" s="1"/>
  <c r="AG2" i="1"/>
  <c r="AG117" i="1" s="1"/>
  <c r="AG160" i="1" s="1"/>
  <c r="AF38" i="1"/>
  <c r="AG294" i="1"/>
  <c r="AG36" i="1" s="1"/>
  <c r="AE263" i="1"/>
  <c r="U55" i="45"/>
  <c r="D6219" i="22"/>
  <c r="E6219" i="22" s="1"/>
  <c r="F6219" i="22" s="1"/>
  <c r="G6086" i="22"/>
  <c r="H6085" i="22"/>
  <c r="K6149" i="22"/>
  <c r="AE264" i="1" l="1"/>
  <c r="AE119" i="1" s="1"/>
  <c r="AF240" i="1"/>
  <c r="AG84" i="1"/>
  <c r="AG38" i="1"/>
  <c r="I6085" i="22"/>
  <c r="H6086" i="22"/>
  <c r="C6025" i="22"/>
  <c r="C6024" i="22" s="1"/>
  <c r="AF241" i="1" l="1"/>
  <c r="AF26" i="1" s="1"/>
  <c r="AF259" i="1"/>
  <c r="I6086" i="22"/>
  <c r="J6085" i="22"/>
  <c r="C6027" i="22"/>
  <c r="C6031" i="22"/>
  <c r="C6032" i="22" s="1"/>
  <c r="C6034" i="22" s="1"/>
  <c r="AF263" i="1" l="1"/>
  <c r="J6086" i="22"/>
  <c r="R6" i="40"/>
  <c r="AF264" i="1" l="1"/>
  <c r="AF119" i="1" s="1"/>
  <c r="AG240" i="1"/>
  <c r="S45" i="40"/>
  <c r="T45" i="40"/>
  <c r="R45" i="40"/>
  <c r="N45" i="40"/>
  <c r="O45" i="40"/>
  <c r="P45" i="40"/>
  <c r="M45" i="40"/>
  <c r="AG241" i="1" l="1"/>
  <c r="AG26" i="1" s="1"/>
  <c r="AG259" i="1"/>
  <c r="AG263" i="1" s="1"/>
  <c r="AG264" i="1" s="1"/>
  <c r="AG119" i="1" s="1"/>
  <c r="R149" i="46"/>
  <c r="R148" i="46"/>
  <c r="R137" i="46"/>
  <c r="R99" i="40"/>
  <c r="R98" i="40"/>
  <c r="R97" i="40"/>
  <c r="R94" i="40"/>
  <c r="R93" i="40"/>
  <c r="R92" i="40"/>
  <c r="R91" i="40"/>
  <c r="R87" i="40"/>
  <c r="R82" i="40"/>
  <c r="R81" i="40"/>
  <c r="R80" i="40"/>
  <c r="R79" i="40"/>
  <c r="R76" i="40"/>
  <c r="R75" i="40"/>
  <c r="R74" i="40"/>
  <c r="R73" i="40"/>
  <c r="R70" i="40"/>
  <c r="R69" i="40"/>
  <c r="R63" i="40"/>
  <c r="R62" i="40"/>
  <c r="R61" i="40"/>
  <c r="R58" i="40"/>
  <c r="R57" i="40"/>
  <c r="R56" i="40"/>
  <c r="R55" i="40"/>
  <c r="R50" i="40"/>
  <c r="R49" i="40"/>
  <c r="R42" i="40"/>
  <c r="R38" i="40"/>
  <c r="R37" i="40"/>
  <c r="R36" i="40"/>
  <c r="R32" i="40"/>
  <c r="R34" i="40" s="1"/>
  <c r="R26" i="40"/>
  <c r="R27" i="40" s="1"/>
  <c r="R21" i="40"/>
  <c r="R20" i="40"/>
  <c r="R15" i="40"/>
  <c r="R12" i="40"/>
  <c r="R5" i="40"/>
  <c r="R4" i="40"/>
  <c r="BE142" i="38"/>
  <c r="F6018" i="22"/>
  <c r="F6017" i="22"/>
  <c r="C6003" i="22"/>
  <c r="H5075" i="22"/>
  <c r="R83" i="40" l="1"/>
  <c r="R138" i="46"/>
  <c r="R140" i="46" s="1"/>
  <c r="R144" i="46" s="1"/>
  <c r="R95" i="40"/>
  <c r="R77" i="40"/>
  <c r="R100" i="40"/>
  <c r="R40" i="40"/>
  <c r="R43" i="40" s="1"/>
  <c r="R59" i="40"/>
  <c r="R7" i="40"/>
  <c r="B3" i="13"/>
  <c r="V378" i="1" s="1"/>
  <c r="V103" i="1" s="1"/>
  <c r="BQ491" i="38"/>
  <c r="G6153" i="22" l="1"/>
  <c r="G6155" i="22" s="1"/>
  <c r="BE507" i="38"/>
  <c r="R46" i="40" s="1"/>
  <c r="R48" i="40" s="1"/>
  <c r="R51" i="40" s="1"/>
  <c r="BQ545" i="38"/>
  <c r="BR545" i="38" s="1"/>
  <c r="BS545" i="38" s="1"/>
  <c r="BT545" i="38" s="1"/>
  <c r="BQ543" i="38"/>
  <c r="BR543" i="38" s="1"/>
  <c r="BE536" i="38"/>
  <c r="BE534" i="38" s="1"/>
  <c r="P304" i="37" l="1"/>
  <c r="AC11" i="1" s="1"/>
  <c r="AC165" i="1" s="1"/>
  <c r="G6164" i="22"/>
  <c r="H6153" i="22"/>
  <c r="H6155" i="22" s="1"/>
  <c r="BE539" i="38"/>
  <c r="BG511" i="38" s="1"/>
  <c r="BQ546" i="38"/>
  <c r="BR541" i="38"/>
  <c r="BS543" i="38"/>
  <c r="X153" i="45"/>
  <c r="J40" i="45"/>
  <c r="I40" i="45"/>
  <c r="H40" i="45"/>
  <c r="S65" i="45"/>
  <c r="S64" i="45"/>
  <c r="S63" i="45"/>
  <c r="S62" i="45"/>
  <c r="S61" i="45"/>
  <c r="S60" i="45"/>
  <c r="S59" i="45"/>
  <c r="S58" i="45"/>
  <c r="S50" i="45"/>
  <c r="S51" i="45" s="1"/>
  <c r="S34" i="45"/>
  <c r="T35" i="45" s="1"/>
  <c r="S31" i="45"/>
  <c r="T32" i="45" s="1"/>
  <c r="S15" i="45"/>
  <c r="S13" i="45"/>
  <c r="S9" i="45"/>
  <c r="S121" i="45"/>
  <c r="S120" i="45"/>
  <c r="S119" i="45"/>
  <c r="S118" i="45"/>
  <c r="S117" i="45"/>
  <c r="S116" i="45"/>
  <c r="S115" i="45"/>
  <c r="S114" i="45"/>
  <c r="BE482" i="38"/>
  <c r="BE428" i="38"/>
  <c r="BE420" i="38"/>
  <c r="BE457" i="38"/>
  <c r="BE441" i="38"/>
  <c r="BE449" i="38" s="1"/>
  <c r="BE250" i="38"/>
  <c r="BE97" i="38"/>
  <c r="BE96" i="38"/>
  <c r="BE95" i="38"/>
  <c r="BE88" i="38"/>
  <c r="BE87" i="38"/>
  <c r="BE86" i="38"/>
  <c r="BE82" i="38"/>
  <c r="BE78" i="38"/>
  <c r="BE77" i="38"/>
  <c r="BE301" i="38"/>
  <c r="BE55" i="38"/>
  <c r="R67" i="40"/>
  <c r="R71" i="40" s="1"/>
  <c r="BE210" i="38"/>
  <c r="BE206" i="38"/>
  <c r="BE193" i="38"/>
  <c r="BE191" i="38"/>
  <c r="BE188" i="38"/>
  <c r="BE185" i="38"/>
  <c r="BE181" i="38"/>
  <c r="BE180" i="38"/>
  <c r="BE38" i="38"/>
  <c r="BE102" i="38" s="1"/>
  <c r="BE178" i="38" s="1"/>
  <c r="R88" i="40"/>
  <c r="BE19" i="38"/>
  <c r="Q149" i="46"/>
  <c r="Q139" i="46"/>
  <c r="Q137" i="46"/>
  <c r="BJ301" i="38" l="1"/>
  <c r="BJ39" i="38" s="1"/>
  <c r="BE326" i="38"/>
  <c r="AE146" i="15"/>
  <c r="BE497" i="38"/>
  <c r="BE510" i="38" s="1"/>
  <c r="Q304" i="37"/>
  <c r="AD11" i="1" s="1"/>
  <c r="AD165" i="1" s="1"/>
  <c r="R145" i="46"/>
  <c r="S146" i="46" s="1"/>
  <c r="BE349" i="38"/>
  <c r="CU353" i="38"/>
  <c r="H6164" i="22"/>
  <c r="R68" i="40"/>
  <c r="CU350" i="38"/>
  <c r="I6153" i="22"/>
  <c r="I6155" i="22" s="1"/>
  <c r="BE541" i="38"/>
  <c r="R28" i="40" s="1"/>
  <c r="R29" i="40"/>
  <c r="R86" i="40"/>
  <c r="BP441" i="38"/>
  <c r="R9" i="40"/>
  <c r="BQ442" i="38"/>
  <c r="BE192" i="38"/>
  <c r="R64" i="40"/>
  <c r="R65" i="40" s="1"/>
  <c r="BE76" i="38"/>
  <c r="BR546" i="38"/>
  <c r="BS541" i="38"/>
  <c r="BS546" i="38" s="1"/>
  <c r="BT543" i="38"/>
  <c r="BT541" i="38" s="1"/>
  <c r="BT546" i="38" s="1"/>
  <c r="BE119" i="38"/>
  <c r="N364" i="37" s="1"/>
  <c r="BF144" i="38"/>
  <c r="BG144" i="38" s="1"/>
  <c r="BE57" i="38"/>
  <c r="S40" i="45"/>
  <c r="I56" i="45"/>
  <c r="J56" i="45"/>
  <c r="H102" i="45"/>
  <c r="I101" i="45"/>
  <c r="BE211" i="38"/>
  <c r="BE139" i="38"/>
  <c r="BE179" i="38"/>
  <c r="AB93" i="40"/>
  <c r="AB75" i="40"/>
  <c r="AB69" i="40"/>
  <c r="AB63" i="40"/>
  <c r="AB57" i="40"/>
  <c r="AB53" i="40"/>
  <c r="AB31" i="40"/>
  <c r="AB22" i="40"/>
  <c r="R121" i="13"/>
  <c r="R120" i="13"/>
  <c r="R119" i="13"/>
  <c r="R111" i="13"/>
  <c r="R115" i="13" s="1"/>
  <c r="R110" i="13"/>
  <c r="R83" i="13"/>
  <c r="R28" i="13"/>
  <c r="R12" i="13"/>
  <c r="AG12" i="15" s="1"/>
  <c r="Q121" i="13"/>
  <c r="Q120" i="13"/>
  <c r="Q119" i="13"/>
  <c r="Q111" i="13"/>
  <c r="Q118" i="13" s="1"/>
  <c r="Q110" i="13"/>
  <c r="Q83" i="13"/>
  <c r="Q28" i="13"/>
  <c r="Q12" i="13"/>
  <c r="AF12" i="15" s="1"/>
  <c r="L23" i="13"/>
  <c r="AA201" i="15" s="1"/>
  <c r="M23" i="13"/>
  <c r="M509" i="37"/>
  <c r="C511" i="37"/>
  <c r="C510" i="37"/>
  <c r="C509" i="37"/>
  <c r="C508" i="37"/>
  <c r="C507" i="37"/>
  <c r="M502" i="37"/>
  <c r="M501" i="37" s="1"/>
  <c r="C16" i="47" l="1"/>
  <c r="AB201" i="15"/>
  <c r="AC37" i="40"/>
  <c r="AF205" i="15"/>
  <c r="R41" i="13"/>
  <c r="AG205" i="15"/>
  <c r="BJ49" i="38"/>
  <c r="BJ57" i="38" s="1"/>
  <c r="BJ71" i="38" s="1"/>
  <c r="W5" i="40" s="1"/>
  <c r="W105" i="40" s="1"/>
  <c r="W127" i="40" s="1"/>
  <c r="BE69" i="38"/>
  <c r="BH144" i="38"/>
  <c r="BI144" i="38" s="1"/>
  <c r="BN144" i="38" s="1"/>
  <c r="BE143" i="38"/>
  <c r="T56" i="45"/>
  <c r="T66" i="45" s="1"/>
  <c r="S39" i="45"/>
  <c r="Q41" i="13"/>
  <c r="G20" i="47"/>
  <c r="AF146" i="15"/>
  <c r="R304" i="37"/>
  <c r="AE11" i="1" s="1"/>
  <c r="AE165" i="1" s="1"/>
  <c r="BE195" i="38"/>
  <c r="R103" i="40"/>
  <c r="BE382" i="38"/>
  <c r="BE436" i="38" s="1"/>
  <c r="BE481" i="38" s="1"/>
  <c r="CG367" i="38"/>
  <c r="CU364" i="38"/>
  <c r="BE348" i="38"/>
  <c r="CG368" i="38" s="1"/>
  <c r="I6164" i="22"/>
  <c r="J6153" i="22"/>
  <c r="Q123" i="13"/>
  <c r="Q26" i="13" s="1"/>
  <c r="BU541" i="38"/>
  <c r="R13" i="40"/>
  <c r="BP442" i="38"/>
  <c r="BS441" i="38"/>
  <c r="BS442" i="38" s="1"/>
  <c r="BR441" i="38"/>
  <c r="BR442" i="38" s="1"/>
  <c r="R118" i="13"/>
  <c r="R123" i="13" s="1"/>
  <c r="R26" i="13" s="1"/>
  <c r="BE460" i="38"/>
  <c r="BU546" i="38"/>
  <c r="BU548" i="38" s="1"/>
  <c r="Q115" i="13"/>
  <c r="M43" i="13"/>
  <c r="L43" i="13"/>
  <c r="M42" i="13"/>
  <c r="L42" i="13"/>
  <c r="M39" i="13"/>
  <c r="L39" i="13"/>
  <c r="M41" i="13"/>
  <c r="L44" i="13"/>
  <c r="L38" i="13"/>
  <c r="M44" i="13"/>
  <c r="M38" i="13"/>
  <c r="C29" i="47" s="1"/>
  <c r="P50" i="40"/>
  <c r="P49" i="40"/>
  <c r="P42" i="40"/>
  <c r="P38" i="40"/>
  <c r="P37" i="40"/>
  <c r="P36" i="40"/>
  <c r="P26" i="40"/>
  <c r="P21" i="40"/>
  <c r="P20" i="40"/>
  <c r="P15" i="40"/>
  <c r="P12" i="40"/>
  <c r="P5" i="40"/>
  <c r="P4" i="40"/>
  <c r="Z150" i="45"/>
  <c r="F4410" i="34"/>
  <c r="Q189" i="14"/>
  <c r="R189" i="14" s="1"/>
  <c r="S189" i="14" s="1"/>
  <c r="T189" i="14" s="1"/>
  <c r="U189" i="14" s="1"/>
  <c r="V189" i="14" s="1"/>
  <c r="W189" i="14" s="1"/>
  <c r="X189" i="14" s="1"/>
  <c r="P189" i="14"/>
  <c r="O189" i="14"/>
  <c r="N189" i="14"/>
  <c r="M189" i="14"/>
  <c r="L189" i="14"/>
  <c r="K189" i="14"/>
  <c r="R42" i="13" l="1"/>
  <c r="AG197" i="15"/>
  <c r="AC49" i="40"/>
  <c r="AF197" i="15"/>
  <c r="T55" i="45"/>
  <c r="Q42" i="13"/>
  <c r="G19" i="47"/>
  <c r="C192" i="14"/>
  <c r="I29" i="14" s="1"/>
  <c r="AG146" i="15"/>
  <c r="T304" i="37"/>
  <c r="AG11" i="1" s="1"/>
  <c r="AG165" i="1" s="1"/>
  <c r="S304" i="37"/>
  <c r="AF11" i="1" s="1"/>
  <c r="AF165" i="1" s="1"/>
  <c r="R18" i="40"/>
  <c r="R23" i="40" s="1"/>
  <c r="BE408" i="38"/>
  <c r="J6155" i="22"/>
  <c r="K6155" i="22" s="1"/>
  <c r="K6153" i="22"/>
  <c r="BE473" i="38"/>
  <c r="BE476" i="38" s="1"/>
  <c r="AI146" i="15" l="1"/>
  <c r="AH146" i="15"/>
  <c r="J6164" i="22"/>
  <c r="L5973" i="22"/>
  <c r="M5973" i="22" s="1"/>
  <c r="H5973" i="22"/>
  <c r="I5973" i="22" s="1"/>
  <c r="E5988" i="22"/>
  <c r="D5988" i="22"/>
  <c r="C5988" i="22"/>
  <c r="B5990" i="22"/>
  <c r="B5989" i="22"/>
  <c r="B5988" i="22"/>
  <c r="B5987" i="22"/>
  <c r="B5986" i="22"/>
  <c r="B5985" i="22"/>
  <c r="B5984" i="22"/>
  <c r="B5983" i="22"/>
  <c r="B5982" i="22"/>
  <c r="B5981" i="22"/>
  <c r="D5973" i="22"/>
  <c r="E5973" i="22" s="1"/>
  <c r="AB33" i="15"/>
  <c r="M30" i="13"/>
  <c r="L30" i="13"/>
  <c r="C21" i="47" l="1"/>
  <c r="AB198" i="15"/>
  <c r="M202" i="37"/>
  <c r="M201" i="37"/>
  <c r="M75" i="37"/>
  <c r="M62" i="37"/>
  <c r="BD491" i="38"/>
  <c r="BD490" i="38"/>
  <c r="BD489" i="38"/>
  <c r="BD488" i="38"/>
  <c r="BD486" i="38"/>
  <c r="BD485" i="38"/>
  <c r="BD484" i="38"/>
  <c r="BD483" i="38"/>
  <c r="BD426" i="38"/>
  <c r="BD417" i="38"/>
  <c r="BD294" i="38"/>
  <c r="M177" i="37" s="1"/>
  <c r="BD293" i="38"/>
  <c r="BD292" i="38"/>
  <c r="BD291" i="38"/>
  <c r="BD133" i="38"/>
  <c r="BD131" i="38"/>
  <c r="M303" i="37" s="1"/>
  <c r="BD129" i="38"/>
  <c r="BD118" i="38"/>
  <c r="M290" i="37" s="1"/>
  <c r="BD105" i="38"/>
  <c r="BD71" i="38"/>
  <c r="BD53" i="38"/>
  <c r="M61" i="37" s="1"/>
  <c r="BD52" i="38"/>
  <c r="BD51" i="38"/>
  <c r="BD48" i="38"/>
  <c r="BD40" i="38"/>
  <c r="M47" i="37" s="1"/>
  <c r="BD39" i="38"/>
  <c r="M46" i="37" s="1"/>
  <c r="M22" i="37"/>
  <c r="BD17" i="38"/>
  <c r="M21" i="37" s="1"/>
  <c r="BD16" i="38"/>
  <c r="M20" i="37" s="1"/>
  <c r="BD15" i="38"/>
  <c r="BD12" i="38"/>
  <c r="M15" i="37" s="1"/>
  <c r="BD5" i="38"/>
  <c r="M7" i="37" s="1"/>
  <c r="BD4" i="38"/>
  <c r="BD3" i="38"/>
  <c r="M5" i="37" s="1"/>
  <c r="D5949" i="22"/>
  <c r="D5946" i="22"/>
  <c r="G5921" i="22"/>
  <c r="G5919" i="22"/>
  <c r="E5925" i="22"/>
  <c r="E5929" i="22" s="1"/>
  <c r="D5897" i="22"/>
  <c r="D5899" i="22" s="1"/>
  <c r="C5897" i="22"/>
  <c r="C5899" i="22" s="1"/>
  <c r="C5891" i="22"/>
  <c r="E5881" i="22"/>
  <c r="D5881" i="22"/>
  <c r="C5881" i="22"/>
  <c r="E5877" i="22"/>
  <c r="D5877" i="22"/>
  <c r="C5877" i="22"/>
  <c r="BD34" i="38"/>
  <c r="F97" i="45"/>
  <c r="P6" i="40"/>
  <c r="BC536" i="38"/>
  <c r="BC507" i="38"/>
  <c r="P46" i="40" s="1"/>
  <c r="BC457" i="38"/>
  <c r="BC441" i="38"/>
  <c r="BC449" i="38" s="1"/>
  <c r="BC358" i="38"/>
  <c r="BC314" i="38"/>
  <c r="BC313" i="38"/>
  <c r="BC312" i="38"/>
  <c r="BC311" i="38"/>
  <c r="BC302" i="38"/>
  <c r="BC301" i="38"/>
  <c r="BC104" i="38"/>
  <c r="BD103" i="38"/>
  <c r="BC117" i="38"/>
  <c r="BC115" i="38"/>
  <c r="BC116" i="38"/>
  <c r="BC97" i="38"/>
  <c r="BC96" i="38"/>
  <c r="BC95" i="38"/>
  <c r="BC88" i="38"/>
  <c r="BC87" i="38"/>
  <c r="BC86" i="38"/>
  <c r="BC77" i="38"/>
  <c r="BC76" i="38"/>
  <c r="BC45" i="38"/>
  <c r="BC308" i="38" s="1"/>
  <c r="BC9" i="38"/>
  <c r="BB10" i="38"/>
  <c r="BC10" i="38" s="1"/>
  <c r="BE10" i="38" s="1"/>
  <c r="N13" i="37" s="1"/>
  <c r="W153" i="45"/>
  <c r="R65" i="45"/>
  <c r="R64" i="45"/>
  <c r="R63" i="45"/>
  <c r="R62" i="45"/>
  <c r="R61" i="45"/>
  <c r="R60" i="45"/>
  <c r="R59" i="45"/>
  <c r="R58" i="45"/>
  <c r="R54" i="45"/>
  <c r="R53" i="45"/>
  <c r="R50" i="45"/>
  <c r="R51" i="45" s="1"/>
  <c r="R34" i="45"/>
  <c r="S35" i="45" s="1"/>
  <c r="R31" i="45"/>
  <c r="S32" i="45" s="1"/>
  <c r="R15" i="45"/>
  <c r="R13" i="45"/>
  <c r="R9" i="45"/>
  <c r="R121" i="45"/>
  <c r="U53" i="40"/>
  <c r="U31" i="40"/>
  <c r="T53" i="40"/>
  <c r="T50" i="40"/>
  <c r="T49" i="40"/>
  <c r="T46" i="40"/>
  <c r="T42" i="40"/>
  <c r="T38" i="40"/>
  <c r="T37" i="40"/>
  <c r="T36" i="40"/>
  <c r="T31" i="40"/>
  <c r="T26" i="40"/>
  <c r="T21" i="40"/>
  <c r="T20" i="40"/>
  <c r="T15" i="40"/>
  <c r="T12" i="40"/>
  <c r="T9" i="40"/>
  <c r="S53" i="40"/>
  <c r="S50" i="40"/>
  <c r="S49" i="40"/>
  <c r="S46" i="40"/>
  <c r="S42" i="40"/>
  <c r="S38" i="40"/>
  <c r="S37" i="40"/>
  <c r="S36" i="40"/>
  <c r="S31" i="40"/>
  <c r="S26" i="40"/>
  <c r="S21" i="40"/>
  <c r="S20" i="40"/>
  <c r="S15" i="40"/>
  <c r="S12" i="40"/>
  <c r="S9" i="40"/>
  <c r="R53" i="40"/>
  <c r="Q53" i="40"/>
  <c r="R31" i="40"/>
  <c r="M176" i="37" l="1"/>
  <c r="M264" i="37" s="1"/>
  <c r="M174" i="37"/>
  <c r="M262" i="37" s="1"/>
  <c r="M175" i="37"/>
  <c r="M263" i="37" s="1"/>
  <c r="M413" i="37"/>
  <c r="K23" i="47"/>
  <c r="M421" i="37"/>
  <c r="K15" i="47"/>
  <c r="M422" i="37"/>
  <c r="K18" i="47"/>
  <c r="M417" i="37"/>
  <c r="K19" i="47"/>
  <c r="BD181" i="38"/>
  <c r="P9" i="40"/>
  <c r="H98" i="45"/>
  <c r="M35" i="37"/>
  <c r="BD437" i="38"/>
  <c r="M383" i="37"/>
  <c r="M411" i="37" s="1"/>
  <c r="M387" i="37"/>
  <c r="M388" i="37"/>
  <c r="M513" i="37"/>
  <c r="M275" i="37"/>
  <c r="X245" i="10" s="1"/>
  <c r="M273" i="37"/>
  <c r="BD104" i="38"/>
  <c r="M274" i="37" s="1"/>
  <c r="K26" i="47" s="1"/>
  <c r="BC113" i="38"/>
  <c r="BF10" i="38"/>
  <c r="BG10" i="38" s="1"/>
  <c r="BE83" i="38"/>
  <c r="BE186" i="38"/>
  <c r="BC552" i="38"/>
  <c r="BC553" i="38" s="1"/>
  <c r="M6" i="37"/>
  <c r="K14" i="47" s="1"/>
  <c r="M60" i="37"/>
  <c r="M59" i="37"/>
  <c r="BD10" i="38"/>
  <c r="M13" i="37" s="1"/>
  <c r="BD55" i="38"/>
  <c r="BC82" i="38"/>
  <c r="BD19" i="38"/>
  <c r="M19" i="37"/>
  <c r="K17" i="47" s="1"/>
  <c r="R39" i="45"/>
  <c r="S55" i="45" s="1"/>
  <c r="Z5" i="1" l="1"/>
  <c r="Z340" i="1" s="1"/>
  <c r="M426" i="37"/>
  <c r="K33" i="47"/>
  <c r="M447" i="37"/>
  <c r="M377" i="37"/>
  <c r="M375" i="37"/>
  <c r="M454" i="37"/>
  <c r="M416" i="37"/>
  <c r="M459" i="37"/>
  <c r="M506" i="37"/>
  <c r="M455" i="37"/>
  <c r="M415" i="37"/>
  <c r="M458" i="37"/>
  <c r="M351" i="37"/>
  <c r="M456" i="37"/>
  <c r="M23" i="37"/>
  <c r="M423" i="37" s="1"/>
  <c r="M420" i="37"/>
  <c r="F4407" i="34"/>
  <c r="F4409" i="34" s="1"/>
  <c r="M412" i="37"/>
  <c r="M390" i="37"/>
  <c r="AB150" i="15" s="1"/>
  <c r="M349" i="37"/>
  <c r="BG83" i="38"/>
  <c r="BG186" i="38"/>
  <c r="M63" i="37"/>
  <c r="R85" i="40"/>
  <c r="R89" i="40" s="1"/>
  <c r="BE79" i="38"/>
  <c r="BE98" i="38" s="1"/>
  <c r="BE196" i="38"/>
  <c r="BE182" i="38"/>
  <c r="BF83" i="38"/>
  <c r="BF186" i="38"/>
  <c r="R40" i="45"/>
  <c r="M350" i="37"/>
  <c r="P7" i="40"/>
  <c r="P27" i="40"/>
  <c r="P13" i="40"/>
  <c r="P18" i="40" s="1"/>
  <c r="P23" i="40" s="1"/>
  <c r="P24" i="40" s="1"/>
  <c r="H5842" i="22"/>
  <c r="H5841" i="22"/>
  <c r="C5831" i="22"/>
  <c r="F5831" i="22" s="1"/>
  <c r="G5831" i="22" s="1"/>
  <c r="C5830" i="22"/>
  <c r="F5830" i="22" s="1"/>
  <c r="G5830" i="22" s="1"/>
  <c r="C5829" i="22"/>
  <c r="F5829" i="22" s="1"/>
  <c r="G5829" i="22" s="1"/>
  <c r="C5828" i="22"/>
  <c r="F5828" i="22" s="1"/>
  <c r="G5828" i="22" s="1"/>
  <c r="I5810" i="22"/>
  <c r="N5809" i="22"/>
  <c r="J5809" i="22"/>
  <c r="N5807" i="22"/>
  <c r="J5807" i="22"/>
  <c r="N5806" i="22"/>
  <c r="H5806" i="22"/>
  <c r="H5810" i="22" s="1"/>
  <c r="G5806" i="22"/>
  <c r="G5810" i="22" s="1"/>
  <c r="F5806" i="22"/>
  <c r="F5810" i="22" s="1"/>
  <c r="E5806" i="22"/>
  <c r="E5810" i="22" s="1"/>
  <c r="D5806" i="22"/>
  <c r="D5810" i="22" s="1"/>
  <c r="C5806" i="22"/>
  <c r="C5810" i="22" s="1"/>
  <c r="N5805" i="22"/>
  <c r="N5804" i="22"/>
  <c r="N5803" i="22"/>
  <c r="J5803" i="22"/>
  <c r="AI55" i="40"/>
  <c r="AI59" i="40" s="1"/>
  <c r="Z313" i="1" l="1"/>
  <c r="Z7" i="1"/>
  <c r="Z23" i="1"/>
  <c r="Z301" i="1"/>
  <c r="Z305" i="1"/>
  <c r="Z317" i="1"/>
  <c r="Z309" i="1"/>
  <c r="Z419" i="1"/>
  <c r="N459" i="37"/>
  <c r="Q117" i="14" s="1"/>
  <c r="Q118" i="14" s="1"/>
  <c r="Q120" i="14" s="1"/>
  <c r="N458" i="37"/>
  <c r="Q102" i="14" s="1"/>
  <c r="Q103" i="14" s="1"/>
  <c r="Q105" i="14" s="1"/>
  <c r="M397" i="37"/>
  <c r="AB153" i="15" s="1"/>
  <c r="BF79" i="38"/>
  <c r="BF98" i="38" s="1"/>
  <c r="BF196" i="38"/>
  <c r="BF182" i="38"/>
  <c r="BE189" i="38"/>
  <c r="BE208" i="38"/>
  <c r="BE21" i="38"/>
  <c r="BE32" i="38" s="1"/>
  <c r="S56" i="45"/>
  <c r="S66" i="45" s="1"/>
  <c r="G5832" i="22"/>
  <c r="C5823" i="22" s="1"/>
  <c r="H5843" i="22"/>
  <c r="C5842" i="22" s="1"/>
  <c r="J5806" i="22"/>
  <c r="F4372" i="34"/>
  <c r="G4372" i="34" s="1"/>
  <c r="F4371" i="34"/>
  <c r="G4371" i="34" s="1"/>
  <c r="F4370" i="34"/>
  <c r="G4370" i="34" s="1"/>
  <c r="F4369" i="34"/>
  <c r="E4373" i="34"/>
  <c r="E4382" i="34"/>
  <c r="I4366" i="34"/>
  <c r="H4364" i="34"/>
  <c r="I4364" i="34" s="1"/>
  <c r="I4363" i="34"/>
  <c r="F4362" i="34"/>
  <c r="G4362" i="34" s="1"/>
  <c r="E4361" i="34"/>
  <c r="F4361" i="34" s="1"/>
  <c r="G4361" i="34" s="1"/>
  <c r="G4360" i="34"/>
  <c r="F4359" i="34"/>
  <c r="G4359" i="34" s="1"/>
  <c r="M398" i="37" l="1"/>
  <c r="J5810" i="22"/>
  <c r="G4369" i="34"/>
  <c r="F4373" i="34"/>
  <c r="G4373" i="34" s="1"/>
  <c r="I4373" i="34" s="1"/>
  <c r="H4365" i="34"/>
  <c r="I4365" i="34" s="1"/>
  <c r="F4363" i="34"/>
  <c r="G4363" i="34" s="1"/>
  <c r="Q125" i="45"/>
  <c r="P125" i="45"/>
  <c r="BC534" i="38"/>
  <c r="BH250" i="38"/>
  <c r="BG250" i="38"/>
  <c r="BF250" i="38"/>
  <c r="CW358" i="38"/>
  <c r="BG97" i="38"/>
  <c r="BG98" i="38" s="1"/>
  <c r="BG96" i="38"/>
  <c r="BG95" i="38"/>
  <c r="X288" i="10"/>
  <c r="W288" i="10" s="1"/>
  <c r="V288" i="10" s="1"/>
  <c r="U288" i="10" s="1"/>
  <c r="T288" i="10" s="1"/>
  <c r="S288" i="10" s="1"/>
  <c r="BG428" i="38"/>
  <c r="BF428" i="38"/>
  <c r="BH275" i="38"/>
  <c r="BH300" i="38" s="1"/>
  <c r="BG275" i="38"/>
  <c r="BG300" i="38" s="1"/>
  <c r="BF275" i="38"/>
  <c r="BF300" i="38" s="1"/>
  <c r="BH38" i="38"/>
  <c r="BH102" i="38" s="1"/>
  <c r="BH178" i="38" s="1"/>
  <c r="BH349" i="38" s="1"/>
  <c r="BH382" i="38" s="1"/>
  <c r="BG38" i="38"/>
  <c r="BG102" i="38" s="1"/>
  <c r="BG178" i="38" s="1"/>
  <c r="BG349" i="38" s="1"/>
  <c r="BG382" i="38" s="1"/>
  <c r="BF38" i="38"/>
  <c r="BF102" i="38" s="1"/>
  <c r="BF178" i="38" s="1"/>
  <c r="BF349" i="38" s="1"/>
  <c r="BF382" i="38" s="1"/>
  <c r="BI466" i="38"/>
  <c r="BI456" i="38"/>
  <c r="BI436" i="38"/>
  <c r="BI481" i="38" s="1"/>
  <c r="BI316" i="38"/>
  <c r="BI275" i="38"/>
  <c r="BI349" i="38" s="1"/>
  <c r="BI382" i="38" s="1"/>
  <c r="BI408" i="38" s="1"/>
  <c r="BI250" i="38"/>
  <c r="BI90" i="38"/>
  <c r="BI38" i="38"/>
  <c r="BI102" i="38" s="1"/>
  <c r="BI178" i="38" s="1"/>
  <c r="P149" i="46"/>
  <c r="P139" i="46"/>
  <c r="P137" i="46"/>
  <c r="AB22" i="15" l="1"/>
  <c r="AB155" i="15"/>
  <c r="M425" i="37"/>
  <c r="M40" i="13"/>
  <c r="BC539" i="38"/>
  <c r="Q145" i="46" s="1"/>
  <c r="S69" i="40"/>
  <c r="S75" i="40"/>
  <c r="S63" i="40"/>
  <c r="S93" i="40"/>
  <c r="K5807" i="22"/>
  <c r="K5809" i="22"/>
  <c r="K5803" i="22"/>
  <c r="K5806" i="22"/>
  <c r="T69" i="40"/>
  <c r="BG436" i="38"/>
  <c r="BG481" i="38" s="1"/>
  <c r="BG408" i="38"/>
  <c r="BH436" i="38"/>
  <c r="BH481" i="38" s="1"/>
  <c r="BH408" i="38"/>
  <c r="BF408" i="38"/>
  <c r="BF436" i="38"/>
  <c r="BF481" i="38" s="1"/>
  <c r="BI300" i="38"/>
  <c r="BU418" i="38"/>
  <c r="BT418" i="38"/>
  <c r="O93" i="40"/>
  <c r="O92" i="40"/>
  <c r="O91" i="40"/>
  <c r="O87" i="40"/>
  <c r="O82" i="40"/>
  <c r="O81" i="40"/>
  <c r="O80" i="40"/>
  <c r="O79" i="40"/>
  <c r="O76" i="40"/>
  <c r="O75" i="40"/>
  <c r="O74" i="40"/>
  <c r="O73" i="40"/>
  <c r="O70" i="40"/>
  <c r="O69" i="40"/>
  <c r="O68" i="40"/>
  <c r="O67" i="40"/>
  <c r="O63" i="40"/>
  <c r="O62" i="40"/>
  <c r="O61" i="40"/>
  <c r="O58" i="40"/>
  <c r="O57" i="40"/>
  <c r="O56" i="40"/>
  <c r="O55" i="40"/>
  <c r="O50" i="40"/>
  <c r="O49" i="40"/>
  <c r="O42" i="40"/>
  <c r="O38" i="40"/>
  <c r="O37" i="40"/>
  <c r="O36" i="40"/>
  <c r="O26" i="40"/>
  <c r="O21" i="40"/>
  <c r="O20" i="40"/>
  <c r="O15" i="40"/>
  <c r="O12" i="40"/>
  <c r="O5" i="40"/>
  <c r="O4" i="40"/>
  <c r="V153" i="45"/>
  <c r="Q9" i="45"/>
  <c r="P9" i="45"/>
  <c r="O9" i="45"/>
  <c r="Q15" i="45"/>
  <c r="Q13" i="45"/>
  <c r="Q65" i="45"/>
  <c r="Q64" i="45"/>
  <c r="Q63" i="45"/>
  <c r="Q62" i="45"/>
  <c r="Q61" i="45"/>
  <c r="Q60" i="45"/>
  <c r="Q59" i="45"/>
  <c r="Q58" i="45"/>
  <c r="Q54" i="45"/>
  <c r="Q53" i="45"/>
  <c r="Q50" i="45"/>
  <c r="Q39" i="45" s="1"/>
  <c r="Q40" i="45" s="1"/>
  <c r="Q34" i="45"/>
  <c r="Q31" i="45"/>
  <c r="Q121" i="45"/>
  <c r="Q120" i="45"/>
  <c r="Q119" i="45"/>
  <c r="Q118" i="45"/>
  <c r="Q116" i="45"/>
  <c r="Q115" i="45"/>
  <c r="Q114" i="45"/>
  <c r="Q109" i="45"/>
  <c r="BA117" i="38"/>
  <c r="BA116" i="38"/>
  <c r="BA115" i="38"/>
  <c r="BD115" i="38" s="1"/>
  <c r="AZ116" i="38"/>
  <c r="M45" i="13" l="1"/>
  <c r="C30" i="47"/>
  <c r="R146" i="46"/>
  <c r="P29" i="40"/>
  <c r="BE511" i="38"/>
  <c r="U37" i="40"/>
  <c r="R56" i="45"/>
  <c r="R66" i="45" s="1"/>
  <c r="R35" i="45"/>
  <c r="R55" i="45"/>
  <c r="R32" i="45"/>
  <c r="S57" i="40"/>
  <c r="M287" i="37"/>
  <c r="T81" i="40"/>
  <c r="S81" i="40"/>
  <c r="Q51" i="45"/>
  <c r="BB117" i="38"/>
  <c r="BD117" i="38" s="1"/>
  <c r="M289" i="37" s="1"/>
  <c r="K30" i="47" s="1"/>
  <c r="K37" i="47" s="1"/>
  <c r="BB116" i="38"/>
  <c r="BD116" i="38" s="1"/>
  <c r="BB507" i="38"/>
  <c r="O46" i="40" s="1"/>
  <c r="BB536" i="38"/>
  <c r="BB534" i="38" s="1"/>
  <c r="BB539" i="38" s="1"/>
  <c r="BB568" i="38"/>
  <c r="BB457" i="38"/>
  <c r="BB428" i="38"/>
  <c r="BA428" i="38"/>
  <c r="BB358" i="38"/>
  <c r="BB314" i="38"/>
  <c r="BG314" i="38" s="1"/>
  <c r="BB313" i="38"/>
  <c r="BG313" i="38" s="1"/>
  <c r="BB312" i="38"/>
  <c r="BB311" i="38"/>
  <c r="BB303" i="38"/>
  <c r="BG303" i="38" s="1"/>
  <c r="BB302" i="38"/>
  <c r="BG302" i="38" s="1"/>
  <c r="BB301" i="38"/>
  <c r="BG301" i="38" s="1"/>
  <c r="BB275" i="38"/>
  <c r="BB300" i="38" s="1"/>
  <c r="BB191" i="38"/>
  <c r="BB181" i="38"/>
  <c r="BB180" i="38"/>
  <c r="BB179" i="38"/>
  <c r="BB112" i="38"/>
  <c r="BB110" i="38"/>
  <c r="BB97" i="38"/>
  <c r="BB96" i="38"/>
  <c r="BB95" i="38"/>
  <c r="BB88" i="38"/>
  <c r="BB87" i="38"/>
  <c r="BB86" i="38"/>
  <c r="BB78" i="38"/>
  <c r="BB77" i="38"/>
  <c r="BB76" i="38"/>
  <c r="BB55" i="38"/>
  <c r="O85" i="40"/>
  <c r="BB46" i="38"/>
  <c r="BB45" i="38"/>
  <c r="BB19" i="38"/>
  <c r="BB9" i="38"/>
  <c r="O97" i="40" s="1"/>
  <c r="BB38" i="38"/>
  <c r="BB102" i="38" s="1"/>
  <c r="BB178" i="38" s="1"/>
  <c r="BB349" i="38" s="1"/>
  <c r="BB441" i="38"/>
  <c r="BB449" i="38" s="1"/>
  <c r="AF102" i="40"/>
  <c r="AE102" i="40"/>
  <c r="AX100" i="40"/>
  <c r="AQ100" i="40"/>
  <c r="AS98" i="40"/>
  <c r="AX95" i="40"/>
  <c r="AQ95" i="40"/>
  <c r="N94" i="40"/>
  <c r="M94" i="40"/>
  <c r="K94" i="40"/>
  <c r="J94" i="40"/>
  <c r="I94" i="40"/>
  <c r="H94" i="40"/>
  <c r="C94" i="40"/>
  <c r="AA93" i="40"/>
  <c r="N93" i="40"/>
  <c r="M93" i="40"/>
  <c r="K93" i="40"/>
  <c r="J93" i="40"/>
  <c r="I93" i="40"/>
  <c r="H93" i="40"/>
  <c r="C93" i="40"/>
  <c r="N92" i="40"/>
  <c r="M92" i="40"/>
  <c r="K92" i="40"/>
  <c r="J92" i="40"/>
  <c r="I92" i="40"/>
  <c r="H92" i="40"/>
  <c r="C92" i="40"/>
  <c r="N91" i="40"/>
  <c r="M91" i="40"/>
  <c r="K91" i="40"/>
  <c r="J91" i="40"/>
  <c r="I91" i="40"/>
  <c r="H91" i="40"/>
  <c r="C91" i="40"/>
  <c r="AX89" i="40"/>
  <c r="AQ89" i="40"/>
  <c r="N87" i="40"/>
  <c r="M87" i="40"/>
  <c r="K87" i="40"/>
  <c r="J87" i="40"/>
  <c r="I87" i="40"/>
  <c r="H87" i="40"/>
  <c r="C87" i="40"/>
  <c r="AX83" i="40"/>
  <c r="AQ83" i="40"/>
  <c r="AF82" i="40"/>
  <c r="N82" i="40"/>
  <c r="M82" i="40"/>
  <c r="K82" i="40"/>
  <c r="J82" i="40"/>
  <c r="I82" i="40"/>
  <c r="H82" i="40"/>
  <c r="C82" i="40"/>
  <c r="N81" i="40"/>
  <c r="M81" i="40"/>
  <c r="K81" i="40"/>
  <c r="J81" i="40"/>
  <c r="I81" i="40"/>
  <c r="H81" i="40"/>
  <c r="C81" i="40"/>
  <c r="AF80" i="40"/>
  <c r="N80" i="40"/>
  <c r="M80" i="40"/>
  <c r="K80" i="40"/>
  <c r="J80" i="40"/>
  <c r="I80" i="40"/>
  <c r="H80" i="40"/>
  <c r="C80" i="40"/>
  <c r="AF79" i="40"/>
  <c r="N79" i="40"/>
  <c r="M79" i="40"/>
  <c r="K79" i="40"/>
  <c r="J79" i="40"/>
  <c r="I79" i="40"/>
  <c r="H79" i="40"/>
  <c r="C79" i="40"/>
  <c r="AX77" i="40"/>
  <c r="AQ77" i="40"/>
  <c r="N76" i="40"/>
  <c r="M76" i="40"/>
  <c r="K76" i="40"/>
  <c r="J76" i="40"/>
  <c r="I76" i="40"/>
  <c r="H76" i="40"/>
  <c r="C76" i="40"/>
  <c r="AA75" i="40"/>
  <c r="N75" i="40"/>
  <c r="M75" i="40"/>
  <c r="K75" i="40"/>
  <c r="J75" i="40"/>
  <c r="I75" i="40"/>
  <c r="H75" i="40"/>
  <c r="C75" i="40"/>
  <c r="N74" i="40"/>
  <c r="M74" i="40"/>
  <c r="K74" i="40"/>
  <c r="J74" i="40"/>
  <c r="I74" i="40"/>
  <c r="H74" i="40"/>
  <c r="C74" i="40"/>
  <c r="N73" i="40"/>
  <c r="M73" i="40"/>
  <c r="K73" i="40"/>
  <c r="J73" i="40"/>
  <c r="I73" i="40"/>
  <c r="H73" i="40"/>
  <c r="C73" i="40"/>
  <c r="AX71" i="40"/>
  <c r="AQ71" i="40"/>
  <c r="N70" i="40"/>
  <c r="M70" i="40"/>
  <c r="K70" i="40"/>
  <c r="J70" i="40"/>
  <c r="I70" i="40"/>
  <c r="H70" i="40"/>
  <c r="C70" i="40"/>
  <c r="AA69" i="40"/>
  <c r="N69" i="40"/>
  <c r="M69" i="40"/>
  <c r="K69" i="40"/>
  <c r="J69" i="40"/>
  <c r="I69" i="40"/>
  <c r="H69" i="40"/>
  <c r="C69" i="40"/>
  <c r="N68" i="40"/>
  <c r="M68" i="40"/>
  <c r="K68" i="40"/>
  <c r="J68" i="40"/>
  <c r="I68" i="40"/>
  <c r="H68" i="40"/>
  <c r="C68" i="40"/>
  <c r="N67" i="40"/>
  <c r="M67" i="40"/>
  <c r="K67" i="40"/>
  <c r="J67" i="40"/>
  <c r="I67" i="40"/>
  <c r="H67" i="40"/>
  <c r="C67" i="40"/>
  <c r="AX65" i="40"/>
  <c r="AQ65" i="40"/>
  <c r="N64" i="40"/>
  <c r="M64" i="40"/>
  <c r="K64" i="40"/>
  <c r="J64" i="40"/>
  <c r="I64" i="40"/>
  <c r="H64" i="40"/>
  <c r="C64" i="40"/>
  <c r="AA63" i="40"/>
  <c r="N63" i="40"/>
  <c r="M63" i="40"/>
  <c r="K63" i="40"/>
  <c r="J63" i="40"/>
  <c r="I63" i="40"/>
  <c r="H63" i="40"/>
  <c r="C63" i="40"/>
  <c r="N62" i="40"/>
  <c r="M62" i="40"/>
  <c r="K62" i="40"/>
  <c r="J62" i="40"/>
  <c r="I62" i="40"/>
  <c r="H62" i="40"/>
  <c r="C62" i="40"/>
  <c r="N61" i="40"/>
  <c r="M61" i="40"/>
  <c r="K61" i="40"/>
  <c r="J61" i="40"/>
  <c r="I61" i="40"/>
  <c r="H61" i="40"/>
  <c r="C61" i="40"/>
  <c r="AX59" i="40"/>
  <c r="AQ59" i="40"/>
  <c r="N58" i="40"/>
  <c r="M58" i="40"/>
  <c r="K58" i="40"/>
  <c r="J58" i="40"/>
  <c r="I58" i="40"/>
  <c r="H58" i="40"/>
  <c r="C58" i="40"/>
  <c r="AA57" i="40"/>
  <c r="N57" i="40"/>
  <c r="M57" i="40"/>
  <c r="K57" i="40"/>
  <c r="J57" i="40"/>
  <c r="I57" i="40"/>
  <c r="H57" i="40"/>
  <c r="C57" i="40"/>
  <c r="N56" i="40"/>
  <c r="M56" i="40"/>
  <c r="K56" i="40"/>
  <c r="J56" i="40"/>
  <c r="I56" i="40"/>
  <c r="H56" i="40"/>
  <c r="C56" i="40"/>
  <c r="N55" i="40"/>
  <c r="M55" i="40"/>
  <c r="K55" i="40"/>
  <c r="J55" i="40"/>
  <c r="I55" i="40"/>
  <c r="H55" i="40"/>
  <c r="C55" i="40"/>
  <c r="AA53" i="40"/>
  <c r="V53" i="40"/>
  <c r="P53" i="40"/>
  <c r="O53" i="40"/>
  <c r="N53" i="40"/>
  <c r="M53" i="40"/>
  <c r="L53" i="40"/>
  <c r="K53" i="40"/>
  <c r="J53" i="40"/>
  <c r="I53" i="40"/>
  <c r="H53" i="40"/>
  <c r="G53" i="40"/>
  <c r="F53" i="40"/>
  <c r="E53" i="40"/>
  <c r="D53" i="40"/>
  <c r="C53" i="40"/>
  <c r="N50" i="40"/>
  <c r="M50" i="40"/>
  <c r="K50" i="40"/>
  <c r="J50" i="40"/>
  <c r="I50" i="40"/>
  <c r="H50" i="40"/>
  <c r="G50" i="40"/>
  <c r="F50" i="40" s="1"/>
  <c r="N49" i="40"/>
  <c r="M49" i="40"/>
  <c r="L49" i="40"/>
  <c r="K49" i="40"/>
  <c r="J49" i="40"/>
  <c r="I49" i="40"/>
  <c r="H49" i="40"/>
  <c r="F47" i="40"/>
  <c r="N46" i="40"/>
  <c r="J46" i="40"/>
  <c r="K45" i="40"/>
  <c r="J45" i="40"/>
  <c r="I45" i="40"/>
  <c r="H45" i="40"/>
  <c r="N42" i="40"/>
  <c r="M42" i="40"/>
  <c r="L42" i="40"/>
  <c r="K42" i="40"/>
  <c r="J42" i="40"/>
  <c r="I42" i="40"/>
  <c r="H42" i="40"/>
  <c r="F39" i="40"/>
  <c r="N38" i="40"/>
  <c r="M38" i="40"/>
  <c r="F38" i="40"/>
  <c r="N37" i="40"/>
  <c r="M37" i="40"/>
  <c r="K37" i="40"/>
  <c r="J37" i="40"/>
  <c r="I37" i="40"/>
  <c r="H37" i="40"/>
  <c r="G37" i="40"/>
  <c r="F37" i="40" s="1"/>
  <c r="N36" i="40"/>
  <c r="M36" i="40"/>
  <c r="L36" i="40"/>
  <c r="K36" i="40"/>
  <c r="J36" i="40"/>
  <c r="I36" i="40"/>
  <c r="H36" i="40"/>
  <c r="Q33" i="40"/>
  <c r="K32" i="40"/>
  <c r="K34" i="40" s="1"/>
  <c r="J32" i="40"/>
  <c r="J34" i="40" s="1"/>
  <c r="I32" i="40"/>
  <c r="I34" i="40" s="1"/>
  <c r="H32" i="40"/>
  <c r="H34" i="40" s="1"/>
  <c r="AA31" i="40"/>
  <c r="V31" i="40"/>
  <c r="Q31" i="40"/>
  <c r="P31" i="40"/>
  <c r="O31" i="40"/>
  <c r="N31" i="40"/>
  <c r="M31" i="40"/>
  <c r="L31" i="40"/>
  <c r="I29" i="40"/>
  <c r="H29" i="40"/>
  <c r="F29" i="40"/>
  <c r="N26" i="40"/>
  <c r="M26" i="40"/>
  <c r="K26" i="40"/>
  <c r="J26" i="40"/>
  <c r="I26" i="40"/>
  <c r="H26" i="40"/>
  <c r="F26" i="40"/>
  <c r="C26" i="40"/>
  <c r="AE22" i="40"/>
  <c r="AA22" i="40"/>
  <c r="V22" i="40"/>
  <c r="Q22" i="40"/>
  <c r="AF22" i="40" s="1"/>
  <c r="L22" i="40"/>
  <c r="G22" i="40"/>
  <c r="N21" i="40"/>
  <c r="M21" i="40"/>
  <c r="I21" i="40"/>
  <c r="H21" i="40"/>
  <c r="F21" i="40"/>
  <c r="C21" i="40"/>
  <c r="N20" i="40"/>
  <c r="M20" i="40"/>
  <c r="K20" i="40"/>
  <c r="J20" i="40"/>
  <c r="I20" i="40"/>
  <c r="H20" i="40"/>
  <c r="F20" i="40"/>
  <c r="C20" i="40"/>
  <c r="F15" i="40"/>
  <c r="C15" i="40"/>
  <c r="N12" i="40"/>
  <c r="M12" i="40"/>
  <c r="K12" i="40"/>
  <c r="J12" i="40"/>
  <c r="I12" i="40"/>
  <c r="H12" i="40"/>
  <c r="F12" i="40"/>
  <c r="C12" i="40"/>
  <c r="K11" i="40"/>
  <c r="J11" i="40"/>
  <c r="I11" i="40"/>
  <c r="H11" i="40"/>
  <c r="F11" i="40"/>
  <c r="C11" i="40"/>
  <c r="AE10" i="40"/>
  <c r="Q10" i="40"/>
  <c r="AF10" i="40" s="1"/>
  <c r="L10" i="40"/>
  <c r="AX7" i="40"/>
  <c r="N5" i="40"/>
  <c r="M5" i="40"/>
  <c r="K5" i="40"/>
  <c r="AY5" i="40" s="1"/>
  <c r="J5" i="40"/>
  <c r="I5" i="40"/>
  <c r="H5" i="40"/>
  <c r="F5" i="40"/>
  <c r="C5" i="40"/>
  <c r="N4" i="40"/>
  <c r="M4" i="40"/>
  <c r="K4" i="40"/>
  <c r="AY4" i="40" s="1"/>
  <c r="J4" i="40"/>
  <c r="I4" i="40"/>
  <c r="H4" i="40"/>
  <c r="F4" i="40"/>
  <c r="C4" i="40"/>
  <c r="C139" i="46"/>
  <c r="D139" i="46"/>
  <c r="E139" i="46"/>
  <c r="F139" i="46"/>
  <c r="G139" i="46"/>
  <c r="H139" i="46"/>
  <c r="I139" i="46"/>
  <c r="J139" i="46"/>
  <c r="K139" i="46"/>
  <c r="L139" i="46"/>
  <c r="M139" i="46"/>
  <c r="N139" i="46"/>
  <c r="O139" i="46"/>
  <c r="B139" i="46"/>
  <c r="I149" i="46"/>
  <c r="I138" i="46" s="1"/>
  <c r="H149" i="46"/>
  <c r="H138" i="46" s="1"/>
  <c r="G149" i="46"/>
  <c r="G138" i="46" s="1"/>
  <c r="F149" i="46"/>
  <c r="F138" i="46" s="1"/>
  <c r="E149" i="46"/>
  <c r="E138" i="46" s="1"/>
  <c r="D149" i="46"/>
  <c r="D138" i="46" s="1"/>
  <c r="C149" i="46"/>
  <c r="C138" i="46" s="1"/>
  <c r="B149" i="46"/>
  <c r="B138" i="46" s="1"/>
  <c r="K146" i="46"/>
  <c r="J146" i="46"/>
  <c r="I146" i="46"/>
  <c r="E146" i="46"/>
  <c r="D146" i="46"/>
  <c r="C146" i="46"/>
  <c r="L149" i="46"/>
  <c r="K149" i="46"/>
  <c r="J149" i="46"/>
  <c r="M149" i="46"/>
  <c r="N149" i="46"/>
  <c r="O149" i="46"/>
  <c r="M148" i="46"/>
  <c r="L148" i="46"/>
  <c r="K148" i="46"/>
  <c r="J148" i="46"/>
  <c r="BL303" i="38" l="1"/>
  <c r="BL41" i="38" s="1"/>
  <c r="Y80" i="40" s="1"/>
  <c r="BG328" i="38"/>
  <c r="BL302" i="38"/>
  <c r="BL40" i="38" s="1"/>
  <c r="Y74" i="40" s="1"/>
  <c r="Y118" i="40" s="1"/>
  <c r="BG327" i="38"/>
  <c r="BL313" i="38"/>
  <c r="BL52" i="38" s="1"/>
  <c r="Y62" i="40" s="1"/>
  <c r="Y115" i="40" s="1"/>
  <c r="BG338" i="38"/>
  <c r="BL314" i="38"/>
  <c r="BL53" i="38" s="1"/>
  <c r="Y92" i="40" s="1"/>
  <c r="Y124" i="40" s="1"/>
  <c r="BG339" i="38"/>
  <c r="BL301" i="38"/>
  <c r="BL39" i="38" s="1"/>
  <c r="BG326" i="38"/>
  <c r="M462" i="37"/>
  <c r="K29" i="47"/>
  <c r="K36" i="47" s="1"/>
  <c r="O9" i="40"/>
  <c r="M363" i="37"/>
  <c r="M464" i="37"/>
  <c r="O29" i="40"/>
  <c r="P145" i="46"/>
  <c r="BB382" i="38"/>
  <c r="BB436" i="38" s="1"/>
  <c r="BB481" i="38" s="1"/>
  <c r="CE367" i="38"/>
  <c r="P148" i="46"/>
  <c r="P138" i="46" s="1"/>
  <c r="P140" i="46" s="1"/>
  <c r="P144" i="46" s="1"/>
  <c r="O6" i="40"/>
  <c r="M361" i="37"/>
  <c r="M510" i="37"/>
  <c r="M288" i="37"/>
  <c r="K27" i="47" s="1"/>
  <c r="K34" i="47" s="1"/>
  <c r="BD119" i="38"/>
  <c r="M291" i="37" s="1"/>
  <c r="M364" i="37" s="1"/>
  <c r="T74" i="40"/>
  <c r="CW351" i="38"/>
  <c r="T62" i="40"/>
  <c r="CW362" i="38"/>
  <c r="T92" i="40"/>
  <c r="CW363" i="38"/>
  <c r="BC110" i="38"/>
  <c r="T57" i="40"/>
  <c r="BG312" i="38"/>
  <c r="BB109" i="38"/>
  <c r="O99" i="40" s="1"/>
  <c r="BC112" i="38"/>
  <c r="BC109" i="38" s="1"/>
  <c r="BB79" i="38"/>
  <c r="BB98" i="38" s="1"/>
  <c r="BC46" i="38"/>
  <c r="BD46" i="38" s="1"/>
  <c r="M54" i="37" s="1"/>
  <c r="T93" i="40"/>
  <c r="O64" i="40"/>
  <c r="C5841" i="22"/>
  <c r="T75" i="40"/>
  <c r="T63" i="40"/>
  <c r="AG102" i="40"/>
  <c r="BB211" i="38"/>
  <c r="M83" i="40"/>
  <c r="N83" i="40"/>
  <c r="BB186" i="38"/>
  <c r="BB83" i="38"/>
  <c r="H83" i="40"/>
  <c r="BB308" i="38"/>
  <c r="O98" i="40"/>
  <c r="BB119" i="38"/>
  <c r="O94" i="40"/>
  <c r="BB552" i="38"/>
  <c r="BB553" i="38" s="1"/>
  <c r="J138" i="46"/>
  <c r="J140" i="46" s="1"/>
  <c r="BB192" i="38"/>
  <c r="BB188" i="38"/>
  <c r="BB309" i="38"/>
  <c r="E101" i="45"/>
  <c r="BB82" i="38"/>
  <c r="L138" i="46"/>
  <c r="L140" i="46" s="1"/>
  <c r="J77" i="40"/>
  <c r="C83" i="40"/>
  <c r="BB193" i="38"/>
  <c r="G101" i="45"/>
  <c r="M77" i="40"/>
  <c r="K95" i="40"/>
  <c r="H71" i="40"/>
  <c r="N59" i="40"/>
  <c r="K65" i="40"/>
  <c r="I71" i="40"/>
  <c r="M65" i="40"/>
  <c r="I77" i="40"/>
  <c r="C59" i="40"/>
  <c r="K59" i="40"/>
  <c r="C65" i="40"/>
  <c r="N65" i="40"/>
  <c r="K77" i="40"/>
  <c r="M59" i="40"/>
  <c r="H65" i="40"/>
  <c r="J71" i="40"/>
  <c r="I83" i="40"/>
  <c r="M95" i="40"/>
  <c r="I65" i="40"/>
  <c r="K71" i="40"/>
  <c r="C77" i="40"/>
  <c r="N77" i="40"/>
  <c r="J83" i="40"/>
  <c r="C95" i="40"/>
  <c r="N95" i="40"/>
  <c r="AG10" i="40"/>
  <c r="J59" i="40"/>
  <c r="J65" i="40"/>
  <c r="K83" i="40"/>
  <c r="J95" i="40"/>
  <c r="AE49" i="40"/>
  <c r="H59" i="40"/>
  <c r="M71" i="40"/>
  <c r="H77" i="40"/>
  <c r="H95" i="40"/>
  <c r="I59" i="40"/>
  <c r="C71" i="40"/>
  <c r="N71" i="40"/>
  <c r="I95" i="40"/>
  <c r="AG22" i="40"/>
  <c r="M138" i="46"/>
  <c r="K138" i="46"/>
  <c r="G140" i="46"/>
  <c r="F140" i="46"/>
  <c r="E140" i="46"/>
  <c r="E144" i="46" s="1"/>
  <c r="O137" i="46"/>
  <c r="N137" i="46"/>
  <c r="M137" i="46"/>
  <c r="L137" i="46"/>
  <c r="K137" i="46"/>
  <c r="J137" i="46"/>
  <c r="I140" i="46"/>
  <c r="I144" i="46" s="1"/>
  <c r="H140" i="46"/>
  <c r="D140" i="46"/>
  <c r="C140" i="46"/>
  <c r="C144" i="46" s="1"/>
  <c r="BL312" i="38" l="1"/>
  <c r="BL51" i="38" s="1"/>
  <c r="Y56" i="40" s="1"/>
  <c r="Y112" i="40" s="1"/>
  <c r="BG337" i="38"/>
  <c r="BL49" i="38"/>
  <c r="M362" i="37"/>
  <c r="M463" i="37"/>
  <c r="M465" i="37" s="1"/>
  <c r="BB195" i="38"/>
  <c r="BG308" i="38"/>
  <c r="BL308" i="38" s="1"/>
  <c r="T99" i="40"/>
  <c r="Q146" i="46"/>
  <c r="BB408" i="38"/>
  <c r="BB210" i="38"/>
  <c r="BB142" i="38"/>
  <c r="BB482" i="38"/>
  <c r="O32" i="40"/>
  <c r="BB185" i="38"/>
  <c r="BB206" i="38"/>
  <c r="BD110" i="38"/>
  <c r="M281" i="37" s="1"/>
  <c r="O86" i="40"/>
  <c r="BB57" i="38"/>
  <c r="BB69" i="38" s="1"/>
  <c r="BB304" i="38"/>
  <c r="BD112" i="38"/>
  <c r="M283" i="37" s="1"/>
  <c r="T61" i="40"/>
  <c r="T76" i="40"/>
  <c r="T73" i="40"/>
  <c r="T56" i="40"/>
  <c r="CW361" i="38"/>
  <c r="BC309" i="38"/>
  <c r="BC83" i="38"/>
  <c r="BB21" i="38"/>
  <c r="BB32" i="38" s="1"/>
  <c r="BB420" i="38"/>
  <c r="O88" i="40"/>
  <c r="BB460" i="38"/>
  <c r="BB196" i="38"/>
  <c r="BB182" i="38"/>
  <c r="K140" i="46"/>
  <c r="K144" i="46" s="1"/>
  <c r="G144" i="46"/>
  <c r="H144" i="46"/>
  <c r="F144" i="46"/>
  <c r="L144" i="46"/>
  <c r="J144" i="46"/>
  <c r="D144" i="46"/>
  <c r="M140" i="46"/>
  <c r="M144" i="46" s="1"/>
  <c r="B140" i="46"/>
  <c r="B144" i="46" s="1"/>
  <c r="BL55" i="38" l="1"/>
  <c r="BL57" i="38" s="1"/>
  <c r="BL71" i="38" s="1"/>
  <c r="Y5" i="40" s="1"/>
  <c r="Y105" i="40" s="1"/>
  <c r="Y127" i="40" s="1"/>
  <c r="BB497" i="38"/>
  <c r="BB510" i="38" s="1"/>
  <c r="CW353" i="38"/>
  <c r="T86" i="40"/>
  <c r="T77" i="40"/>
  <c r="T55" i="40"/>
  <c r="BC304" i="38"/>
  <c r="BC79" i="38"/>
  <c r="O103" i="40"/>
  <c r="AJ103" i="40" s="1"/>
  <c r="BB189" i="38"/>
  <c r="BB208" i="38"/>
  <c r="BB473" i="38"/>
  <c r="BB476" i="38" s="1"/>
  <c r="H17" i="14"/>
  <c r="E5789" i="22"/>
  <c r="D5789" i="22"/>
  <c r="C5785" i="22"/>
  <c r="C5784" i="22"/>
  <c r="C5782" i="22"/>
  <c r="C5780" i="22"/>
  <c r="B5791" i="22"/>
  <c r="B5790" i="22"/>
  <c r="B5789" i="22"/>
  <c r="B5788" i="22"/>
  <c r="B5787" i="22"/>
  <c r="B5786" i="22"/>
  <c r="B5785" i="22"/>
  <c r="B5784" i="22"/>
  <c r="B5783" i="22"/>
  <c r="B5782" i="22"/>
  <c r="B5781" i="22"/>
  <c r="B5780" i="22"/>
  <c r="B5779" i="22"/>
  <c r="E5778" i="22"/>
  <c r="D5778" i="22"/>
  <c r="C5778" i="22"/>
  <c r="C372" i="14" l="1"/>
  <c r="F372" i="14" s="1"/>
  <c r="C370" i="14"/>
  <c r="F370" i="14" s="1"/>
  <c r="F333" i="14"/>
  <c r="F332" i="14"/>
  <c r="F331" i="14"/>
  <c r="F330" i="14"/>
  <c r="F329" i="14"/>
  <c r="F328" i="14"/>
  <c r="F327" i="14"/>
  <c r="F326" i="14"/>
  <c r="F325" i="14"/>
  <c r="F324" i="14"/>
  <c r="F323" i="14"/>
  <c r="F322" i="14"/>
  <c r="F321" i="14"/>
  <c r="F320" i="14"/>
  <c r="F319" i="14"/>
  <c r="F318" i="14"/>
  <c r="C367" i="14"/>
  <c r="C368" i="14" s="1"/>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P15" i="45"/>
  <c r="O15" i="45"/>
  <c r="P13" i="45"/>
  <c r="O13" i="45"/>
  <c r="P87" i="45"/>
  <c r="P86" i="45"/>
  <c r="P85" i="45"/>
  <c r="P84" i="45"/>
  <c r="P83" i="45"/>
  <c r="P82" i="45"/>
  <c r="P81" i="45"/>
  <c r="P80" i="45"/>
  <c r="P77" i="45"/>
  <c r="P65" i="45"/>
  <c r="P64" i="45"/>
  <c r="P63" i="45"/>
  <c r="P62" i="45"/>
  <c r="P61" i="45"/>
  <c r="P60" i="45"/>
  <c r="P59" i="45"/>
  <c r="P58" i="45"/>
  <c r="P54" i="45"/>
  <c r="P50" i="45"/>
  <c r="P51" i="45" s="1"/>
  <c r="P68" i="45"/>
  <c r="P79" i="45" s="1"/>
  <c r="P34" i="45"/>
  <c r="Q35" i="45" s="1"/>
  <c r="P31" i="45"/>
  <c r="Q32" i="45" s="1"/>
  <c r="O87" i="45"/>
  <c r="O86" i="45"/>
  <c r="O85" i="45"/>
  <c r="O84" i="45"/>
  <c r="O83" i="45"/>
  <c r="O82" i="45"/>
  <c r="O81" i="45"/>
  <c r="O80" i="45"/>
  <c r="O77" i="45"/>
  <c r="O65" i="45"/>
  <c r="O64" i="45"/>
  <c r="O63" i="45"/>
  <c r="O62" i="45"/>
  <c r="O61" i="45"/>
  <c r="O60" i="45"/>
  <c r="O59" i="45"/>
  <c r="O58" i="45"/>
  <c r="O54" i="45"/>
  <c r="O50" i="45"/>
  <c r="O39" i="45" s="1"/>
  <c r="O40" i="45" s="1"/>
  <c r="O68" i="45"/>
  <c r="O79" i="45" s="1"/>
  <c r="O34" i="45"/>
  <c r="O31" i="45"/>
  <c r="P88" i="45" l="1"/>
  <c r="C374" i="14"/>
  <c r="C375" i="14" s="1"/>
  <c r="P32" i="45"/>
  <c r="P39" i="45"/>
  <c r="P40" i="45" s="1"/>
  <c r="F367" i="14"/>
  <c r="F374" i="14" s="1"/>
  <c r="P35" i="45"/>
  <c r="P53" i="45"/>
  <c r="O51" i="45"/>
  <c r="O53" i="45"/>
  <c r="P56" i="45" l="1"/>
  <c r="P66" i="45" s="1"/>
  <c r="Q56" i="45"/>
  <c r="Q66" i="45" s="1"/>
  <c r="P55" i="45"/>
  <c r="Q55" i="45"/>
  <c r="D367" i="14"/>
  <c r="D374" i="14"/>
  <c r="D5787" i="22" l="1"/>
  <c r="Q37" i="40"/>
  <c r="AF37" i="40" s="1"/>
  <c r="CZ134" i="38"/>
  <c r="BA311" i="38"/>
  <c r="AZ311" i="38"/>
  <c r="CQ363" i="38"/>
  <c r="CQ362" i="38"/>
  <c r="CQ361" i="38"/>
  <c r="CQ360" i="38"/>
  <c r="CQ358" i="38"/>
  <c r="CQ351" i="38"/>
  <c r="CQ350" i="38"/>
  <c r="AE37" i="40"/>
  <c r="F4199" i="22"/>
  <c r="E4199" i="22"/>
  <c r="D4199" i="22"/>
  <c r="C4199" i="22"/>
  <c r="AV142" i="38"/>
  <c r="AW142" i="38"/>
  <c r="AX142" i="38"/>
  <c r="U153" i="45"/>
  <c r="T153" i="45"/>
  <c r="BA455" i="38"/>
  <c r="N15" i="40" s="1"/>
  <c r="AZ455" i="38"/>
  <c r="P121" i="45"/>
  <c r="P120" i="45"/>
  <c r="P119" i="45"/>
  <c r="P118" i="45"/>
  <c r="P116" i="45"/>
  <c r="P115" i="45"/>
  <c r="P114" i="45"/>
  <c r="P109" i="45"/>
  <c r="BA441" i="38"/>
  <c r="BA449" i="38" s="1"/>
  <c r="BA568" i="38"/>
  <c r="BA536" i="38"/>
  <c r="BA534" i="38" s="1"/>
  <c r="BA539" i="38" s="1"/>
  <c r="O145" i="46" s="1"/>
  <c r="N9" i="40" l="1"/>
  <c r="P146" i="46"/>
  <c r="BF146" i="38"/>
  <c r="Z140" i="45"/>
  <c r="N6" i="40"/>
  <c r="N7" i="40" s="1"/>
  <c r="N29" i="40"/>
  <c r="BB511" i="38"/>
  <c r="AG37" i="40"/>
  <c r="AZ457" i="38"/>
  <c r="M15" i="40"/>
  <c r="F5602" i="22"/>
  <c r="BA457" i="38"/>
  <c r="BA552" i="38"/>
  <c r="BA358" i="38"/>
  <c r="BA314" i="38"/>
  <c r="BA313" i="38"/>
  <c r="BA312" i="38"/>
  <c r="BA309" i="38"/>
  <c r="BA303" i="38"/>
  <c r="BA302" i="38"/>
  <c r="BA301" i="38"/>
  <c r="BA275" i="38"/>
  <c r="BA300" i="38" s="1"/>
  <c r="BA193" i="38"/>
  <c r="BA192" i="38"/>
  <c r="BA191" i="38"/>
  <c r="BA188" i="38"/>
  <c r="BA186" i="38"/>
  <c r="BA181" i="38"/>
  <c r="BA180" i="38"/>
  <c r="BA179" i="38"/>
  <c r="BF145" i="38"/>
  <c r="BA119" i="38"/>
  <c r="BA109" i="38"/>
  <c r="N99" i="40" s="1"/>
  <c r="BA97" i="38"/>
  <c r="BA96" i="38"/>
  <c r="BA95" i="38"/>
  <c r="BA88" i="38"/>
  <c r="BA87" i="38"/>
  <c r="BA86" i="38"/>
  <c r="BA83" i="38"/>
  <c r="BA78" i="38"/>
  <c r="BA77" i="38"/>
  <c r="BA76" i="38"/>
  <c r="N86" i="40"/>
  <c r="BA55" i="38"/>
  <c r="BA45" i="38"/>
  <c r="N98" i="40" s="1"/>
  <c r="BA38" i="38"/>
  <c r="BA102" i="38" s="1"/>
  <c r="BA178" i="38" s="1"/>
  <c r="BA349" i="38" s="1"/>
  <c r="BA19" i="38"/>
  <c r="BA9" i="38"/>
  <c r="N97" i="40" s="1"/>
  <c r="N85" i="40"/>
  <c r="BA382" i="38" l="1"/>
  <c r="BA436" i="38" s="1"/>
  <c r="BA481" i="38" s="1"/>
  <c r="CD367" i="38"/>
  <c r="N32" i="40"/>
  <c r="N34" i="40" s="1"/>
  <c r="N40" i="40" s="1"/>
  <c r="N43" i="40" s="1"/>
  <c r="N48" i="40" s="1"/>
  <c r="N51" i="40" s="1"/>
  <c r="BF55" i="38"/>
  <c r="S74" i="40"/>
  <c r="S56" i="40"/>
  <c r="S62" i="40"/>
  <c r="S92" i="40"/>
  <c r="N88" i="40"/>
  <c r="N89" i="40" s="1"/>
  <c r="BD106" i="38"/>
  <c r="N13" i="40"/>
  <c r="N18" i="40" s="1"/>
  <c r="N23" i="40" s="1"/>
  <c r="N24" i="40" s="1"/>
  <c r="N27" i="40"/>
  <c r="N103" i="40"/>
  <c r="N100" i="40"/>
  <c r="BA308" i="38"/>
  <c r="O148" i="46"/>
  <c r="O138" i="46" s="1"/>
  <c r="O140" i="46" s="1"/>
  <c r="O144" i="46" s="1"/>
  <c r="BA142" i="38"/>
  <c r="CQ353" i="38"/>
  <c r="CQ364" i="38" s="1"/>
  <c r="BA79" i="38"/>
  <c r="BA98" i="38" s="1"/>
  <c r="BA182" i="38"/>
  <c r="BA195" i="38"/>
  <c r="BA82" i="38"/>
  <c r="BA185" i="38"/>
  <c r="BA196" i="38"/>
  <c r="BA482" i="38"/>
  <c r="BA497" i="38" s="1"/>
  <c r="BA420" i="38"/>
  <c r="BA553" i="38"/>
  <c r="BA210" i="38"/>
  <c r="BA304" i="38"/>
  <c r="BA206" i="38"/>
  <c r="BA211" i="38"/>
  <c r="F4091" i="22"/>
  <c r="E5759" i="22"/>
  <c r="D5759" i="22"/>
  <c r="C5759" i="22"/>
  <c r="D5756" i="22"/>
  <c r="E5756" i="22" s="1"/>
  <c r="D5732" i="22"/>
  <c r="E5732" i="22" s="1"/>
  <c r="BD113" i="38" l="1"/>
  <c r="M276" i="37"/>
  <c r="K28" i="47" s="1"/>
  <c r="BA408" i="38"/>
  <c r="S99" i="40"/>
  <c r="S61" i="40"/>
  <c r="BA57" i="38"/>
  <c r="BA69" i="38" s="1"/>
  <c r="M279" i="37"/>
  <c r="S73" i="40"/>
  <c r="BA460" i="38"/>
  <c r="BA21" i="38"/>
  <c r="BA32" i="38" s="1"/>
  <c r="BA208" i="38"/>
  <c r="BA189" i="38"/>
  <c r="Z105" i="4"/>
  <c r="AA125" i="11"/>
  <c r="AA52" i="11"/>
  <c r="AA25" i="11"/>
  <c r="X107" i="25"/>
  <c r="X106" i="25"/>
  <c r="X105" i="25"/>
  <c r="X102" i="25"/>
  <c r="X101" i="25"/>
  <c r="X100" i="25"/>
  <c r="X44" i="25"/>
  <c r="AA176" i="12"/>
  <c r="W89" i="19"/>
  <c r="P121" i="13"/>
  <c r="P120" i="13"/>
  <c r="P119" i="13"/>
  <c r="P110" i="13"/>
  <c r="P83" i="13"/>
  <c r="P28" i="13"/>
  <c r="AE205" i="15" s="1"/>
  <c r="P12" i="13"/>
  <c r="AE12" i="15" s="1"/>
  <c r="AB37" i="40" l="1"/>
  <c r="F20" i="47"/>
  <c r="M329" i="37"/>
  <c r="M457" i="37"/>
  <c r="M460" i="37" s="1"/>
  <c r="M467" i="37" s="1"/>
  <c r="M284" i="37"/>
  <c r="AB142" i="15" s="1"/>
  <c r="BA510" i="38"/>
  <c r="S76" i="40"/>
  <c r="S77" i="40" s="1"/>
  <c r="S86" i="40"/>
  <c r="E5986" i="22"/>
  <c r="M5986" i="22" s="1"/>
  <c r="P41" i="13"/>
  <c r="BA473" i="38"/>
  <c r="BA476" i="38" s="1"/>
  <c r="Z11" i="46"/>
  <c r="Z10" i="46"/>
  <c r="Y10" i="46"/>
  <c r="Z8" i="46"/>
  <c r="Z7" i="46"/>
  <c r="Y7" i="46"/>
  <c r="Z6" i="46"/>
  <c r="Y6" i="46"/>
  <c r="X7" i="46"/>
  <c r="X8" i="46"/>
  <c r="X9" i="46"/>
  <c r="X10" i="46"/>
  <c r="X11" i="46"/>
  <c r="X6" i="46"/>
  <c r="S88" i="40" l="1"/>
  <c r="D41" i="46"/>
  <c r="E123" i="46"/>
  <c r="E41" i="46" s="1"/>
  <c r="F123" i="46" l="1"/>
  <c r="G123" i="46" l="1"/>
  <c r="F41" i="46"/>
  <c r="H123" i="46" l="1"/>
  <c r="G41" i="46"/>
  <c r="I123" i="46" l="1"/>
  <c r="H41" i="46"/>
  <c r="J123" i="46" l="1"/>
  <c r="I41" i="46"/>
  <c r="K123" i="46" l="1"/>
  <c r="J41" i="46"/>
  <c r="L123" i="46" l="1"/>
  <c r="L41" i="46" s="1"/>
  <c r="K41" i="46"/>
  <c r="O117" i="46" l="1"/>
  <c r="N117" i="46"/>
  <c r="M117" i="46"/>
  <c r="L117" i="46"/>
  <c r="K117" i="46"/>
  <c r="J117" i="46"/>
  <c r="H117" i="46"/>
  <c r="G117" i="46"/>
  <c r="E117" i="46"/>
  <c r="I116" i="46"/>
  <c r="I117" i="46" s="1"/>
  <c r="P115" i="46" l="1"/>
  <c r="P114" i="46"/>
  <c r="P113" i="46"/>
  <c r="D105" i="46"/>
  <c r="D104" i="46"/>
  <c r="D103" i="46"/>
  <c r="D102" i="46"/>
  <c r="Q115" i="46" l="1"/>
  <c r="D108" i="46"/>
  <c r="P116" i="46"/>
  <c r="F117" i="46"/>
  <c r="P117" i="46"/>
  <c r="D97" i="46"/>
  <c r="D96" i="46"/>
  <c r="L95" i="46"/>
  <c r="K95" i="46"/>
  <c r="J95" i="46"/>
  <c r="I95" i="46"/>
  <c r="H95" i="46"/>
  <c r="G95" i="46"/>
  <c r="F95" i="46"/>
  <c r="E95" i="46"/>
  <c r="D95" i="46"/>
  <c r="C95" i="46"/>
  <c r="B95" i="46"/>
  <c r="L121" i="46"/>
  <c r="K121" i="46"/>
  <c r="J121" i="46"/>
  <c r="I121" i="46"/>
  <c r="H121" i="46"/>
  <c r="G121" i="46"/>
  <c r="F121" i="46"/>
  <c r="E121" i="46"/>
  <c r="D121" i="46"/>
  <c r="C121" i="46"/>
  <c r="B121" i="46"/>
  <c r="C5" i="46"/>
  <c r="D5" i="46"/>
  <c r="E5" i="46"/>
  <c r="F5" i="46"/>
  <c r="G5" i="46"/>
  <c r="H5" i="46"/>
  <c r="I5" i="46"/>
  <c r="J5" i="46"/>
  <c r="K5" i="46"/>
  <c r="L5" i="46"/>
  <c r="B5" i="46"/>
  <c r="D99" i="46" l="1"/>
  <c r="C56" i="46"/>
  <c r="D56" i="46"/>
  <c r="E56" i="46"/>
  <c r="F56" i="46"/>
  <c r="G56" i="46"/>
  <c r="H56" i="46"/>
  <c r="I56" i="46"/>
  <c r="J56" i="46"/>
  <c r="K56" i="46"/>
  <c r="L56" i="46"/>
  <c r="B56" i="46"/>
  <c r="D13" i="46" l="1"/>
  <c r="D58" i="46" s="1"/>
  <c r="D29" i="46" s="1"/>
  <c r="C13" i="46"/>
  <c r="C58" i="46" s="1"/>
  <c r="C29" i="46" s="1"/>
  <c r="C84" i="46" l="1"/>
  <c r="D84" i="46"/>
  <c r="E84" i="46"/>
  <c r="F84" i="46"/>
  <c r="B84" i="46"/>
  <c r="C80" i="46"/>
  <c r="D80" i="46"/>
  <c r="E80" i="46"/>
  <c r="F80" i="46"/>
  <c r="G80" i="46"/>
  <c r="H80" i="46"/>
  <c r="I80" i="46"/>
  <c r="J80" i="46"/>
  <c r="K80" i="46"/>
  <c r="L80" i="46"/>
  <c r="B80" i="46"/>
  <c r="L112" i="46"/>
  <c r="K112" i="46"/>
  <c r="J112" i="46"/>
  <c r="I112" i="46"/>
  <c r="H112" i="46"/>
  <c r="G112" i="46"/>
  <c r="F112" i="46"/>
  <c r="E112" i="46"/>
  <c r="D112" i="46"/>
  <c r="C112" i="46"/>
  <c r="B112" i="46" l="1"/>
  <c r="T199" i="14" l="1"/>
  <c r="P127" i="37" l="1"/>
  <c r="K5652" i="22"/>
  <c r="K5662" i="22" s="1"/>
  <c r="K5651" i="22"/>
  <c r="K5661" i="22" s="1"/>
  <c r="K5650" i="22"/>
  <c r="K5660" i="22" s="1"/>
  <c r="K5649" i="22"/>
  <c r="K5659" i="22" s="1"/>
  <c r="I5662" i="22"/>
  <c r="H5662" i="22"/>
  <c r="G5662" i="22"/>
  <c r="J5652" i="22"/>
  <c r="G5653" i="22"/>
  <c r="H5653" i="22"/>
  <c r="I5653" i="22"/>
  <c r="J5642" i="22"/>
  <c r="N5642" i="22" s="1"/>
  <c r="G5643" i="22"/>
  <c r="H5643" i="22"/>
  <c r="I5643" i="22"/>
  <c r="C5728" i="22"/>
  <c r="C5727" i="22"/>
  <c r="F5722" i="22"/>
  <c r="F5723" i="22"/>
  <c r="J5647" i="22"/>
  <c r="J5657" i="22" s="1"/>
  <c r="I5647" i="22"/>
  <c r="I5657" i="22" s="1"/>
  <c r="H5647" i="22"/>
  <c r="H5657" i="22" s="1"/>
  <c r="G5647" i="22"/>
  <c r="G5657" i="22" s="1"/>
  <c r="Q127" i="37" l="1"/>
  <c r="J5662" i="22"/>
  <c r="L5662" i="22" s="1"/>
  <c r="M5662" i="22" s="1"/>
  <c r="I5661" i="22"/>
  <c r="H5661" i="22"/>
  <c r="G5661" i="22"/>
  <c r="I5660" i="22"/>
  <c r="H5660" i="22"/>
  <c r="G5660" i="22"/>
  <c r="I5659" i="22"/>
  <c r="H5659" i="22"/>
  <c r="G5659" i="22"/>
  <c r="I5654" i="22"/>
  <c r="H5654" i="22"/>
  <c r="G5654" i="22"/>
  <c r="J5651" i="22"/>
  <c r="J5650" i="22"/>
  <c r="J5649" i="22"/>
  <c r="J5641" i="22"/>
  <c r="N5641" i="22" s="1"/>
  <c r="J5640" i="22"/>
  <c r="N5640" i="22" s="1"/>
  <c r="N5644" i="22"/>
  <c r="H5644" i="22"/>
  <c r="G5644" i="22"/>
  <c r="I5644" i="22"/>
  <c r="J5639" i="22"/>
  <c r="D5669" i="22"/>
  <c r="C5658" i="22"/>
  <c r="C5664" i="22" s="1"/>
  <c r="C5657" i="22"/>
  <c r="C5663" i="22" s="1"/>
  <c r="R127" i="37" l="1"/>
  <c r="M5640" i="22"/>
  <c r="M5642" i="22"/>
  <c r="G5663" i="22"/>
  <c r="H5663" i="22"/>
  <c r="I5663" i="22"/>
  <c r="G5664" i="22"/>
  <c r="H5664" i="22"/>
  <c r="I5664" i="22"/>
  <c r="M5641" i="22"/>
  <c r="J5643" i="22"/>
  <c r="J5659" i="22"/>
  <c r="J5661" i="22"/>
  <c r="L5661" i="22" s="1"/>
  <c r="M5661" i="22" s="1"/>
  <c r="D5640" i="22" s="1"/>
  <c r="D5723" i="22" s="1"/>
  <c r="J5653" i="22"/>
  <c r="J5660" i="22"/>
  <c r="S127" i="37" l="1"/>
  <c r="L5659" i="22"/>
  <c r="J5663" i="22"/>
  <c r="L5663" i="22" s="1"/>
  <c r="D5716" i="22"/>
  <c r="L5660" i="22"/>
  <c r="M5660" i="22" s="1"/>
  <c r="T127" i="37" l="1"/>
  <c r="M5659" i="22"/>
  <c r="N5659" i="22"/>
  <c r="N5661" i="22"/>
  <c r="N5660" i="22"/>
  <c r="N5662" i="22"/>
  <c r="D5639" i="22"/>
  <c r="D5722" i="22" s="1"/>
  <c r="D5724" i="22" s="1"/>
  <c r="M5663" i="22"/>
  <c r="F5604" i="22"/>
  <c r="C2726" i="34"/>
  <c r="H5598" i="22"/>
  <c r="G5598" i="22"/>
  <c r="F5598" i="22"/>
  <c r="E5598" i="22"/>
  <c r="D5598" i="22"/>
  <c r="AZ536" i="38"/>
  <c r="AZ534" i="38" s="1"/>
  <c r="AZ539" i="38" s="1"/>
  <c r="C5547" i="22"/>
  <c r="C5554" i="22" s="1"/>
  <c r="D5573" i="22" s="1"/>
  <c r="B5549" i="22"/>
  <c r="B5548" i="22"/>
  <c r="M29" i="40" l="1"/>
  <c r="N145" i="46"/>
  <c r="D5641" i="22"/>
  <c r="E5640" i="22" s="1"/>
  <c r="BA511" i="38"/>
  <c r="E5603" i="22"/>
  <c r="D5676" i="22"/>
  <c r="D5679" i="22" s="1"/>
  <c r="D5524" i="22"/>
  <c r="CP350" i="38"/>
  <c r="CP351" i="38"/>
  <c r="CP358" i="38"/>
  <c r="CP360" i="38"/>
  <c r="CP361" i="38"/>
  <c r="CP362" i="38"/>
  <c r="CP363" i="38"/>
  <c r="F5519" i="22"/>
  <c r="F5520" i="22" s="1"/>
  <c r="C5520" i="22" s="1"/>
  <c r="O146" i="46" l="1"/>
  <c r="E5639" i="22"/>
  <c r="D5644" i="22"/>
  <c r="D5647" i="22" s="1"/>
  <c r="D5717" i="22" s="1"/>
  <c r="D5729" i="22"/>
  <c r="D5681" i="22"/>
  <c r="D5683" i="22" s="1"/>
  <c r="D5691" i="22" s="1"/>
  <c r="D5715" i="22"/>
  <c r="C5521" i="22"/>
  <c r="F5605" i="22"/>
  <c r="E5524" i="22"/>
  <c r="D5547" i="22"/>
  <c r="D5554" i="22" s="1"/>
  <c r="E5573" i="22" s="1"/>
  <c r="D5653" i="22" l="1"/>
  <c r="D5650" i="22"/>
  <c r="D5671" i="22" s="1"/>
  <c r="D5718" i="22"/>
  <c r="D5719" i="22" s="1"/>
  <c r="F5524" i="22"/>
  <c r="E5547" i="22"/>
  <c r="E5554" i="22" s="1"/>
  <c r="D5654" i="22" l="1"/>
  <c r="D5657" i="22" s="1"/>
  <c r="D5658" i="22" s="1"/>
  <c r="G5524" i="22"/>
  <c r="F5547" i="22"/>
  <c r="F5554" i="22" s="1"/>
  <c r="D5686" i="22" l="1"/>
  <c r="D5688" i="22" s="1"/>
  <c r="D5689" i="22" s="1"/>
  <c r="D5660" i="22"/>
  <c r="D5664" i="22" s="1"/>
  <c r="H5524" i="22"/>
  <c r="H5547" i="22" s="1"/>
  <c r="H5554" i="22" s="1"/>
  <c r="G5547" i="22"/>
  <c r="G5554" i="22" s="1"/>
  <c r="D5672" i="22" l="1"/>
  <c r="D5692" i="22" s="1"/>
  <c r="D5693" i="22" s="1"/>
  <c r="D5663" i="22"/>
  <c r="P140" i="45"/>
  <c r="I4054" i="34"/>
  <c r="O128" i="45"/>
  <c r="AZ568" i="38"/>
  <c r="O125" i="45"/>
  <c r="O121" i="45"/>
  <c r="O120" i="45"/>
  <c r="O119" i="45"/>
  <c r="O118" i="45"/>
  <c r="O116" i="45"/>
  <c r="O115" i="45"/>
  <c r="O114" i="45"/>
  <c r="O109" i="45"/>
  <c r="AZ507" i="38"/>
  <c r="AZ428" i="38"/>
  <c r="AZ275" i="38"/>
  <c r="AZ300" i="38" s="1"/>
  <c r="AZ193" i="38"/>
  <c r="AZ192" i="38"/>
  <c r="AZ191" i="38"/>
  <c r="AZ188" i="38"/>
  <c r="AZ186" i="38"/>
  <c r="AZ181" i="38"/>
  <c r="AZ180" i="38"/>
  <c r="AZ179" i="38"/>
  <c r="AZ314" i="38"/>
  <c r="AZ313" i="38"/>
  <c r="AZ312" i="38"/>
  <c r="AZ309" i="38"/>
  <c r="AZ303" i="38"/>
  <c r="AZ302" i="38"/>
  <c r="AZ301" i="38"/>
  <c r="AZ358" i="38"/>
  <c r="AX358" i="38"/>
  <c r="AW358" i="38"/>
  <c r="AV358" i="38"/>
  <c r="AU358" i="38"/>
  <c r="AZ119" i="38"/>
  <c r="M88" i="40"/>
  <c r="AZ109" i="38"/>
  <c r="AZ97" i="38"/>
  <c r="BD97" i="38" s="1"/>
  <c r="AZ96" i="38"/>
  <c r="BD96" i="38" s="1"/>
  <c r="AZ95" i="38"/>
  <c r="BD95" i="38" s="1"/>
  <c r="AZ88" i="38"/>
  <c r="AZ87" i="38"/>
  <c r="AZ86" i="38"/>
  <c r="AZ83" i="38"/>
  <c r="AZ78" i="38"/>
  <c r="AZ77" i="38"/>
  <c r="AZ76" i="38"/>
  <c r="AZ55" i="38"/>
  <c r="AZ45" i="38"/>
  <c r="AZ9" i="38"/>
  <c r="M99" i="40" l="1"/>
  <c r="BD109" i="38"/>
  <c r="M46" i="40"/>
  <c r="BD507" i="38"/>
  <c r="M97" i="40"/>
  <c r="BD9" i="38"/>
  <c r="M85" i="40"/>
  <c r="M89" i="40" s="1"/>
  <c r="BD6" i="38"/>
  <c r="M86" i="40"/>
  <c r="BD42" i="38"/>
  <c r="M49" i="37" s="1"/>
  <c r="M98" i="40"/>
  <c r="BD45" i="38"/>
  <c r="AZ308" i="38"/>
  <c r="AZ79" i="38"/>
  <c r="AZ98" i="38" s="1"/>
  <c r="AZ82" i="38"/>
  <c r="D5673" i="22"/>
  <c r="D5702" i="22" s="1"/>
  <c r="AZ304" i="38"/>
  <c r="CP353" i="38"/>
  <c r="CP364" i="38" s="1"/>
  <c r="AZ206" i="38"/>
  <c r="AZ196" i="38"/>
  <c r="AZ182" i="38"/>
  <c r="AZ185" i="38"/>
  <c r="AZ57" i="38"/>
  <c r="AZ69" i="38" s="1"/>
  <c r="AZ38" i="38"/>
  <c r="AZ102" i="38" s="1"/>
  <c r="AZ178" i="38" s="1"/>
  <c r="AZ349" i="38" s="1"/>
  <c r="AZ441" i="38"/>
  <c r="AZ449" i="38" s="1"/>
  <c r="M6" i="40"/>
  <c r="AZ19" i="38"/>
  <c r="AZ195" i="38" s="1"/>
  <c r="M9" i="40" l="1"/>
  <c r="M13" i="40" s="1"/>
  <c r="M11" i="37"/>
  <c r="M355" i="37" s="1"/>
  <c r="M8" i="37"/>
  <c r="K16" i="47" s="1"/>
  <c r="K35" i="47" s="1"/>
  <c r="BD13" i="38"/>
  <c r="BD21" i="38" s="1"/>
  <c r="AZ382" i="38"/>
  <c r="AZ436" i="38" s="1"/>
  <c r="AZ481" i="38" s="1"/>
  <c r="H5597" i="22" s="1"/>
  <c r="CC367" i="38"/>
  <c r="M100" i="40"/>
  <c r="BC561" i="38"/>
  <c r="BE146" i="38"/>
  <c r="X140" i="45"/>
  <c r="M52" i="37"/>
  <c r="M53" i="37"/>
  <c r="M280" i="37"/>
  <c r="M12" i="37"/>
  <c r="AZ21" i="38"/>
  <c r="AZ32" i="38" s="1"/>
  <c r="AZ552" i="38"/>
  <c r="AZ553" i="38" s="1"/>
  <c r="AZ211" i="38"/>
  <c r="AZ208" i="38"/>
  <c r="AZ189" i="38"/>
  <c r="M352" i="37" l="1"/>
  <c r="M414" i="37"/>
  <c r="M16" i="37"/>
  <c r="M89" i="37"/>
  <c r="BD79" i="38" s="1"/>
  <c r="AZ408" i="38"/>
  <c r="M32" i="40"/>
  <c r="M34" i="40" s="1"/>
  <c r="BE145" i="38"/>
  <c r="H103" i="45"/>
  <c r="H95" i="45"/>
  <c r="M356" i="37"/>
  <c r="M194" i="37"/>
  <c r="M7" i="40"/>
  <c r="M27" i="40"/>
  <c r="M18" i="40"/>
  <c r="M23" i="40" s="1"/>
  <c r="M24" i="40" s="1"/>
  <c r="AZ420" i="38"/>
  <c r="N148" i="46"/>
  <c r="N138" i="46" s="1"/>
  <c r="N140" i="46" s="1"/>
  <c r="N144" i="46" s="1"/>
  <c r="AZ482" i="38"/>
  <c r="AZ497" i="38" s="1"/>
  <c r="AZ142" i="38"/>
  <c r="AZ210" i="38"/>
  <c r="AC2725" i="34"/>
  <c r="AB2725" i="34"/>
  <c r="AA2725" i="34"/>
  <c r="Z2725" i="34"/>
  <c r="Y2725" i="34"/>
  <c r="X2725" i="34"/>
  <c r="W2725" i="34"/>
  <c r="V2725" i="34"/>
  <c r="U2725" i="34"/>
  <c r="T2725" i="34"/>
  <c r="S2725" i="34"/>
  <c r="R2725" i="34"/>
  <c r="L2722" i="34"/>
  <c r="M2722" i="34" s="1"/>
  <c r="N2722" i="34" s="1"/>
  <c r="O2722" i="34" s="1"/>
  <c r="P2722" i="34" s="1"/>
  <c r="Q2722" i="34" s="1"/>
  <c r="R2722" i="34" s="1"/>
  <c r="S2722" i="34" s="1"/>
  <c r="T2722" i="34" s="1"/>
  <c r="U2722" i="34" s="1"/>
  <c r="V2722" i="34" s="1"/>
  <c r="W2722" i="34" s="1"/>
  <c r="X2722" i="34" s="1"/>
  <c r="Y2722" i="34" s="1"/>
  <c r="Z2722" i="34" s="1"/>
  <c r="AA2722" i="34" s="1"/>
  <c r="AB2722" i="34" s="1"/>
  <c r="AC2722" i="34" s="1"/>
  <c r="L2725" i="34"/>
  <c r="K2724" i="34"/>
  <c r="N457" i="37" l="1"/>
  <c r="Q87" i="14" s="1"/>
  <c r="Q88" i="14" s="1"/>
  <c r="Q90" i="14" s="1"/>
  <c r="M17" i="37"/>
  <c r="M442" i="37" s="1"/>
  <c r="M418" i="37"/>
  <c r="AZ510" i="38"/>
  <c r="H97" i="45"/>
  <c r="AZ460" i="38"/>
  <c r="M285" i="37"/>
  <c r="M359" i="37"/>
  <c r="BB566" i="38"/>
  <c r="M103" i="40"/>
  <c r="M40" i="40"/>
  <c r="M43" i="40" s="1"/>
  <c r="M48" i="40" s="1"/>
  <c r="M51" i="40" s="1"/>
  <c r="BA566" i="38"/>
  <c r="AZ566" i="38"/>
  <c r="AZ473" i="38" l="1"/>
  <c r="AZ476" i="38" s="1"/>
  <c r="E4115" i="22"/>
  <c r="B5488" i="22"/>
  <c r="E5498" i="22" l="1"/>
  <c r="D5498" i="22"/>
  <c r="C5494" i="22"/>
  <c r="C5493" i="22"/>
  <c r="C5491" i="22"/>
  <c r="C5489" i="22"/>
  <c r="E5487" i="22"/>
  <c r="D5487" i="22"/>
  <c r="C5487" i="22"/>
  <c r="B5500" i="22"/>
  <c r="B5499" i="22"/>
  <c r="B5498" i="22"/>
  <c r="B5497" i="22"/>
  <c r="B5496" i="22"/>
  <c r="B5495" i="22"/>
  <c r="B5494" i="22"/>
  <c r="B5493" i="22"/>
  <c r="B5492" i="22"/>
  <c r="B5491" i="22"/>
  <c r="B5490" i="22"/>
  <c r="B5489" i="22"/>
  <c r="B5487" i="22"/>
  <c r="CR360" i="38"/>
  <c r="CR358" i="38"/>
  <c r="CN363" i="38"/>
  <c r="CN362" i="38"/>
  <c r="CN361" i="38"/>
  <c r="CN360" i="38"/>
  <c r="CN358" i="38"/>
  <c r="CN351" i="38"/>
  <c r="CN350" i="38"/>
  <c r="AW301" i="38"/>
  <c r="CZ301" i="38" s="1"/>
  <c r="CZ39" i="38" s="1"/>
  <c r="D60" i="46"/>
  <c r="D31" i="46" s="1"/>
  <c r="C60" i="46"/>
  <c r="C31" i="46" s="1"/>
  <c r="AY426" i="38"/>
  <c r="AY417" i="38"/>
  <c r="BT419" i="38" s="1"/>
  <c r="BU419" i="38" s="1"/>
  <c r="AY133" i="38"/>
  <c r="AY131" i="38"/>
  <c r="L303" i="37" s="1"/>
  <c r="AY129" i="38"/>
  <c r="AY118" i="38"/>
  <c r="L290" i="37" s="1"/>
  <c r="AY117" i="38"/>
  <c r="L289" i="37" s="1"/>
  <c r="AY116" i="38"/>
  <c r="L288" i="37" s="1"/>
  <c r="L463" i="37" s="1"/>
  <c r="AY115" i="38"/>
  <c r="AY112" i="38"/>
  <c r="L283" i="37" s="1"/>
  <c r="AY110" i="38"/>
  <c r="AY105" i="38"/>
  <c r="AY104" i="38"/>
  <c r="L274" i="37" s="1"/>
  <c r="AY103" i="38"/>
  <c r="L202" i="37"/>
  <c r="L201" i="37"/>
  <c r="AY294" i="38"/>
  <c r="L177" i="37" s="1"/>
  <c r="L265" i="37" s="1"/>
  <c r="AY293" i="38"/>
  <c r="L176" i="37" s="1"/>
  <c r="L264" i="37" s="1"/>
  <c r="AY292" i="38"/>
  <c r="L175" i="37" s="1"/>
  <c r="L263" i="37" s="1"/>
  <c r="AY291" i="38"/>
  <c r="L174" i="37" s="1"/>
  <c r="L262" i="37" s="1"/>
  <c r="L75" i="37"/>
  <c r="L62" i="37"/>
  <c r="AY71" i="38"/>
  <c r="AY53" i="38"/>
  <c r="AY52" i="38"/>
  <c r="AY51" i="38"/>
  <c r="AY48" i="38"/>
  <c r="AY46" i="38"/>
  <c r="L54" i="37" s="1"/>
  <c r="AY41" i="38"/>
  <c r="L48" i="37" s="1"/>
  <c r="L80" i="40" s="1"/>
  <c r="AY40" i="38"/>
  <c r="L47" i="37" s="1"/>
  <c r="L74" i="40" s="1"/>
  <c r="AY39" i="38"/>
  <c r="AY34" i="38"/>
  <c r="AY437" i="38" s="1"/>
  <c r="L22" i="37"/>
  <c r="AY17" i="38"/>
  <c r="L21" i="37" s="1"/>
  <c r="AY16" i="38"/>
  <c r="AY15" i="38"/>
  <c r="L19" i="37" s="1"/>
  <c r="AY12" i="38"/>
  <c r="L15" i="37" s="1"/>
  <c r="L56" i="37" s="1"/>
  <c r="AY10" i="38"/>
  <c r="L13" i="37" s="1"/>
  <c r="AY5" i="38"/>
  <c r="L7" i="37" s="1"/>
  <c r="L413" i="37" s="1"/>
  <c r="AY4" i="38"/>
  <c r="AY3" i="38"/>
  <c r="L5" i="37" s="1"/>
  <c r="L417" i="37" s="1"/>
  <c r="AX119" i="38"/>
  <c r="AX109" i="38"/>
  <c r="K99" i="40" s="1"/>
  <c r="K88" i="40"/>
  <c r="AX97" i="38"/>
  <c r="AX96" i="38"/>
  <c r="AX95" i="38"/>
  <c r="AX88" i="38"/>
  <c r="AX87" i="38"/>
  <c r="AX86" i="38"/>
  <c r="AX83" i="38"/>
  <c r="AX78" i="38"/>
  <c r="AX77" i="38"/>
  <c r="AX76" i="38"/>
  <c r="AX55" i="38"/>
  <c r="AX45" i="38"/>
  <c r="K98" i="40" s="1"/>
  <c r="K86" i="40"/>
  <c r="AX19" i="38"/>
  <c r="AX9" i="38"/>
  <c r="K97" i="40" s="1"/>
  <c r="K85" i="40"/>
  <c r="AY491" i="38"/>
  <c r="AY490" i="38"/>
  <c r="L33" i="40" s="1"/>
  <c r="AY489" i="38"/>
  <c r="AY488" i="38"/>
  <c r="AY487" i="38"/>
  <c r="AY486" i="38"/>
  <c r="AY485" i="38"/>
  <c r="AY484" i="38"/>
  <c r="AY483" i="38"/>
  <c r="AX568" i="38"/>
  <c r="AX420" i="38"/>
  <c r="AX404" i="38"/>
  <c r="AX314" i="38"/>
  <c r="AX313" i="38"/>
  <c r="AX312" i="38"/>
  <c r="AX311" i="38"/>
  <c r="AX309" i="38"/>
  <c r="AX303" i="38"/>
  <c r="AX302" i="38"/>
  <c r="AX301" i="38"/>
  <c r="AX275" i="38"/>
  <c r="AX210" i="38"/>
  <c r="AX193" i="38"/>
  <c r="AX192" i="38"/>
  <c r="AX191" i="38"/>
  <c r="AX188" i="38"/>
  <c r="AX186" i="38"/>
  <c r="AX181" i="38"/>
  <c r="AX180" i="38"/>
  <c r="AX179" i="38"/>
  <c r="AX614" i="38"/>
  <c r="N87" i="45"/>
  <c r="N86" i="45"/>
  <c r="N85" i="45"/>
  <c r="N84" i="45"/>
  <c r="N83" i="45"/>
  <c r="N82" i="45"/>
  <c r="N81" i="45"/>
  <c r="N80" i="45"/>
  <c r="N77" i="45"/>
  <c r="O88" i="45" s="1"/>
  <c r="N15" i="45"/>
  <c r="N13" i="45"/>
  <c r="N9" i="45"/>
  <c r="L275" i="37" l="1"/>
  <c r="L456" i="37" s="1"/>
  <c r="AY181" i="38"/>
  <c r="L94" i="40"/>
  <c r="L464" i="37"/>
  <c r="L76" i="40"/>
  <c r="L455" i="37"/>
  <c r="L55" i="40"/>
  <c r="L420" i="37"/>
  <c r="L91" i="40"/>
  <c r="L422" i="37"/>
  <c r="L383" i="37"/>
  <c r="L411" i="37" s="1"/>
  <c r="L387" i="37"/>
  <c r="L388" i="37"/>
  <c r="L273" i="37"/>
  <c r="L79" i="40"/>
  <c r="L88" i="37"/>
  <c r="AY78" i="38" s="1"/>
  <c r="L67" i="40"/>
  <c r="L6" i="37"/>
  <c r="K100" i="40"/>
  <c r="K89" i="40"/>
  <c r="L64" i="40"/>
  <c r="C5499" i="22"/>
  <c r="C5790" i="22"/>
  <c r="C5498" i="22"/>
  <c r="C5789" i="22"/>
  <c r="AY119" i="38"/>
  <c r="L291" i="37" s="1"/>
  <c r="AY55" i="38"/>
  <c r="CN353" i="38"/>
  <c r="CN364" i="38" s="1"/>
  <c r="L363" i="37"/>
  <c r="L20" i="37"/>
  <c r="L421" i="37" s="1"/>
  <c r="L60" i="37"/>
  <c r="L62" i="40" s="1"/>
  <c r="AX206" i="38"/>
  <c r="AX304" i="38"/>
  <c r="L61" i="37"/>
  <c r="L92" i="40" s="1"/>
  <c r="L287" i="37"/>
  <c r="L462" i="37" s="1"/>
  <c r="L59" i="37"/>
  <c r="AX79" i="38"/>
  <c r="AX98" i="38" s="1"/>
  <c r="K103" i="40"/>
  <c r="AY19" i="38"/>
  <c r="L46" i="37"/>
  <c r="L281" i="37"/>
  <c r="CR350" i="38"/>
  <c r="CZ3" i="38"/>
  <c r="AX82" i="38"/>
  <c r="AX195" i="38"/>
  <c r="AX196" i="38"/>
  <c r="AX185" i="38"/>
  <c r="AX182" i="38"/>
  <c r="S153" i="45"/>
  <c r="N65" i="45"/>
  <c r="N64" i="45"/>
  <c r="N63" i="45"/>
  <c r="N62" i="45"/>
  <c r="N61" i="45"/>
  <c r="N60" i="45"/>
  <c r="N59" i="45"/>
  <c r="N58" i="45"/>
  <c r="N54" i="45"/>
  <c r="N50" i="45"/>
  <c r="N37" i="45"/>
  <c r="N34" i="45"/>
  <c r="O35" i="45" s="1"/>
  <c r="N31" i="45"/>
  <c r="O32" i="45" s="1"/>
  <c r="AX536" i="38"/>
  <c r="AX534" i="38" s="1"/>
  <c r="AX539" i="38" s="1"/>
  <c r="AX308" i="38"/>
  <c r="N128" i="45"/>
  <c r="N125" i="45"/>
  <c r="N124" i="45"/>
  <c r="N123" i="45"/>
  <c r="N121" i="45"/>
  <c r="N120" i="45"/>
  <c r="N119" i="45"/>
  <c r="N118" i="45"/>
  <c r="N116" i="45"/>
  <c r="N115" i="45"/>
  <c r="N114" i="45"/>
  <c r="N109" i="45"/>
  <c r="AX428" i="38"/>
  <c r="AX507" i="38"/>
  <c r="K46" i="40" s="1"/>
  <c r="AX501" i="38"/>
  <c r="K38" i="40" s="1"/>
  <c r="K40" i="40" s="1"/>
  <c r="K43" i="40" s="1"/>
  <c r="AX38" i="38"/>
  <c r="AX102" i="38" s="1"/>
  <c r="AX178" i="38" s="1"/>
  <c r="AX349" i="38" s="1"/>
  <c r="AX300" i="38"/>
  <c r="AX482" i="38"/>
  <c r="AX467" i="38"/>
  <c r="K21" i="40" s="1"/>
  <c r="AX455" i="38"/>
  <c r="K15" i="40" s="1"/>
  <c r="AX441" i="38"/>
  <c r="AX449" i="38" s="1"/>
  <c r="AX140" i="38"/>
  <c r="AX139" i="38" s="1"/>
  <c r="K102" i="45"/>
  <c r="K95" i="45"/>
  <c r="L82" i="40" l="1"/>
  <c r="L351" i="37"/>
  <c r="L465" i="37"/>
  <c r="W245" i="10"/>
  <c r="K9" i="40"/>
  <c r="AX460" i="38"/>
  <c r="L95" i="40"/>
  <c r="L70" i="40"/>
  <c r="L71" i="40" s="1"/>
  <c r="L454" i="37"/>
  <c r="L416" i="37"/>
  <c r="L459" i="37"/>
  <c r="L415" i="37"/>
  <c r="L458" i="37"/>
  <c r="L73" i="40"/>
  <c r="L77" i="40" s="1"/>
  <c r="L412" i="37"/>
  <c r="L390" i="37"/>
  <c r="AA150" i="15" s="1"/>
  <c r="L349" i="37"/>
  <c r="L56" i="40"/>
  <c r="L63" i="37"/>
  <c r="L68" i="40"/>
  <c r="L350" i="37"/>
  <c r="BC357" i="38"/>
  <c r="K29" i="40"/>
  <c r="M145" i="46"/>
  <c r="AX382" i="38"/>
  <c r="AX408" i="38" s="1"/>
  <c r="CB367" i="38"/>
  <c r="K48" i="40"/>
  <c r="K51" i="40" s="1"/>
  <c r="K6" i="40"/>
  <c r="CZ103" i="38"/>
  <c r="L361" i="37"/>
  <c r="L58" i="40"/>
  <c r="L59" i="40" s="1"/>
  <c r="L444" i="37"/>
  <c r="L61" i="40"/>
  <c r="L65" i="40" s="1"/>
  <c r="N51" i="45"/>
  <c r="N39" i="45"/>
  <c r="AX566" i="38"/>
  <c r="AX57" i="38"/>
  <c r="AX69" i="38" s="1"/>
  <c r="N53" i="45"/>
  <c r="N68" i="45"/>
  <c r="N79" i="45" s="1"/>
  <c r="L23" i="37"/>
  <c r="L362" i="37"/>
  <c r="AX497" i="38"/>
  <c r="AX21" i="38"/>
  <c r="AX32" i="38" s="1"/>
  <c r="AX151" i="38"/>
  <c r="AX211" i="38"/>
  <c r="AX552" i="38"/>
  <c r="AX553" i="38" s="1"/>
  <c r="AX208" i="38"/>
  <c r="AX189" i="38"/>
  <c r="F5456" i="22"/>
  <c r="E5456" i="22"/>
  <c r="D5456" i="22"/>
  <c r="C5456" i="22"/>
  <c r="K13" i="40" l="1"/>
  <c r="K18" i="40" s="1"/>
  <c r="K23" i="40" s="1"/>
  <c r="K24" i="40" s="1"/>
  <c r="L397" i="37"/>
  <c r="AA153" i="15" s="1"/>
  <c r="L364" i="37"/>
  <c r="L423" i="37"/>
  <c r="AX436" i="38"/>
  <c r="AX481" i="38" s="1"/>
  <c r="G5597" i="22" s="1"/>
  <c r="N146" i="46"/>
  <c r="O55" i="45"/>
  <c r="N40" i="45"/>
  <c r="K27" i="40"/>
  <c r="AY6" i="40"/>
  <c r="K7" i="40"/>
  <c r="O71" i="40"/>
  <c r="AX510" i="38"/>
  <c r="AX473" i="38"/>
  <c r="AX476" i="38" s="1"/>
  <c r="AX153" i="38"/>
  <c r="AX150" i="38"/>
  <c r="AX152" i="38"/>
  <c r="C5452" i="22"/>
  <c r="C5464" i="22" s="1"/>
  <c r="D5438" i="22"/>
  <c r="E5438" i="22" s="1"/>
  <c r="F5438" i="22" s="1"/>
  <c r="F5452" i="22" s="1"/>
  <c r="F5464" i="22" s="1"/>
  <c r="C5425" i="22"/>
  <c r="D5425" i="22"/>
  <c r="L398" i="37" l="1"/>
  <c r="O56" i="45"/>
  <c r="O66" i="45" s="1"/>
  <c r="D5452" i="22"/>
  <c r="D5464" i="22" s="1"/>
  <c r="E5452" i="22"/>
  <c r="E5464" i="22" s="1"/>
  <c r="E5425" i="22"/>
  <c r="L40" i="13" l="1"/>
  <c r="AA22" i="15"/>
  <c r="AA155" i="15"/>
  <c r="F5425" i="22"/>
  <c r="C5467" i="22" l="1"/>
  <c r="C5470" i="22" s="1"/>
  <c r="C5471" i="22" l="1"/>
  <c r="E5471" i="22"/>
  <c r="D5471" i="22"/>
  <c r="F5471" i="22"/>
  <c r="D5405" i="22" l="1"/>
  <c r="E5405" i="22" s="1"/>
  <c r="F5405" i="22" s="1"/>
  <c r="F5423" i="22"/>
  <c r="E5423" i="22"/>
  <c r="D5423" i="22"/>
  <c r="C5423" i="22"/>
  <c r="C5445" i="22"/>
  <c r="D5445" i="22" s="1"/>
  <c r="E5445" i="22" s="1"/>
  <c r="F5445" i="22" s="1"/>
  <c r="C5447" i="22"/>
  <c r="F5420" i="22"/>
  <c r="E5420" i="22"/>
  <c r="D5420" i="22"/>
  <c r="C5420" i="22"/>
  <c r="F5413" i="22"/>
  <c r="E5413" i="22"/>
  <c r="D5413" i="22"/>
  <c r="C5413" i="22"/>
  <c r="D5410" i="22"/>
  <c r="E5410" i="22" s="1"/>
  <c r="F5410" i="22" s="1"/>
  <c r="D5399" i="22"/>
  <c r="E5399" i="22" s="1"/>
  <c r="F5399" i="22" s="1"/>
  <c r="D5397" i="22" l="1"/>
  <c r="E5397" i="22" s="1"/>
  <c r="F5397" i="22" s="1"/>
  <c r="CZ484" i="38" l="1"/>
  <c r="L5353" i="22" l="1"/>
  <c r="I5353" i="22"/>
  <c r="H5353" i="22"/>
  <c r="G5353" i="22"/>
  <c r="E5353" i="22"/>
  <c r="D5353" i="22"/>
  <c r="C5353" i="22"/>
  <c r="B5391" i="22"/>
  <c r="B5390" i="22"/>
  <c r="E5389" i="22"/>
  <c r="D5389" i="22"/>
  <c r="E5376" i="22"/>
  <c r="D5376" i="22"/>
  <c r="C5376" i="22"/>
  <c r="B5389" i="22"/>
  <c r="B5386" i="22"/>
  <c r="B5383" i="22"/>
  <c r="B5382" i="22"/>
  <c r="B5381" i="22"/>
  <c r="B5380" i="22"/>
  <c r="B5379" i="22"/>
  <c r="B5378" i="22"/>
  <c r="B5377" i="22"/>
  <c r="J5349" i="22"/>
  <c r="I5349" i="22"/>
  <c r="H5349" i="22"/>
  <c r="G5349" i="22"/>
  <c r="F5349" i="22"/>
  <c r="E5349" i="22"/>
  <c r="D5349" i="22"/>
  <c r="C5349" i="22"/>
  <c r="I5227" i="22"/>
  <c r="K5235" i="22"/>
  <c r="J5235" i="22"/>
  <c r="I5235" i="22"/>
  <c r="H5235" i="22"/>
  <c r="AW568" i="38" l="1"/>
  <c r="AV568" i="38"/>
  <c r="AU568" i="38"/>
  <c r="C5389" i="22"/>
  <c r="CZ455" i="38"/>
  <c r="L110" i="37"/>
  <c r="CZ98" i="38"/>
  <c r="CZ12" i="38"/>
  <c r="CZ188" i="38" s="1"/>
  <c r="CZ10" i="38"/>
  <c r="CZ110" i="38" s="1"/>
  <c r="BC250" i="38"/>
  <c r="CZ250" i="38"/>
  <c r="BC275" i="38"/>
  <c r="BC300" i="38" s="1"/>
  <c r="CZ275" i="38"/>
  <c r="CZ300" i="38" s="1"/>
  <c r="BC38" i="38"/>
  <c r="BC102" i="38" s="1"/>
  <c r="BC178" i="38" s="1"/>
  <c r="BC349" i="38" s="1"/>
  <c r="CZ38" i="38"/>
  <c r="CZ102" i="38" s="1"/>
  <c r="CZ178" i="38" s="1"/>
  <c r="CZ349" i="38" s="1"/>
  <c r="CZ382" i="38" s="1"/>
  <c r="BD471" i="38"/>
  <c r="BD466" i="38"/>
  <c r="BD456" i="38"/>
  <c r="BD436" i="38"/>
  <c r="BD481" i="38" s="1"/>
  <c r="BD316" i="38"/>
  <c r="BD275" i="38"/>
  <c r="BD300" i="38" s="1"/>
  <c r="BD250" i="38"/>
  <c r="BD90" i="38"/>
  <c r="BD38" i="38"/>
  <c r="BD102" i="38" s="1"/>
  <c r="BD178" i="38" s="1"/>
  <c r="AW314" i="38"/>
  <c r="CZ314" i="38" s="1"/>
  <c r="CM363" i="38"/>
  <c r="CM362" i="38"/>
  <c r="CM361" i="38"/>
  <c r="CM360" i="38"/>
  <c r="CM358" i="38"/>
  <c r="CM351" i="38"/>
  <c r="CM350" i="38"/>
  <c r="AV301" i="38"/>
  <c r="C125" i="45"/>
  <c r="C124" i="45"/>
  <c r="C123" i="45"/>
  <c r="D125" i="45"/>
  <c r="D124" i="45"/>
  <c r="D123" i="45"/>
  <c r="E125" i="45"/>
  <c r="E124" i="45"/>
  <c r="E123" i="45"/>
  <c r="I125" i="45"/>
  <c r="H125" i="45"/>
  <c r="G125" i="45"/>
  <c r="F125" i="45"/>
  <c r="I124" i="45"/>
  <c r="H124" i="45"/>
  <c r="G124" i="45"/>
  <c r="F124" i="45"/>
  <c r="I123" i="45"/>
  <c r="H123" i="45"/>
  <c r="G123" i="45"/>
  <c r="F123" i="45"/>
  <c r="L125" i="45"/>
  <c r="K125" i="45"/>
  <c r="J125" i="45"/>
  <c r="L124" i="45"/>
  <c r="K124" i="45"/>
  <c r="J124" i="45"/>
  <c r="L123" i="45"/>
  <c r="K123" i="45"/>
  <c r="J123" i="45"/>
  <c r="M125" i="45"/>
  <c r="M124" i="45"/>
  <c r="M123" i="45"/>
  <c r="AU614" i="38"/>
  <c r="AV614" i="38"/>
  <c r="AW614" i="38"/>
  <c r="AW534" i="38"/>
  <c r="AW539" i="38" s="1"/>
  <c r="AW501" i="38"/>
  <c r="J38" i="40" s="1"/>
  <c r="J40" i="40" s="1"/>
  <c r="J43" i="40" s="1"/>
  <c r="J48" i="40" s="1"/>
  <c r="J51" i="40" s="1"/>
  <c r="AW467" i="38"/>
  <c r="J21" i="40" s="1"/>
  <c r="AW441" i="38"/>
  <c r="AW449" i="38" s="1"/>
  <c r="AW428" i="38"/>
  <c r="AW109" i="38"/>
  <c r="J99" i="40" s="1"/>
  <c r="J88" i="40"/>
  <c r="AW45" i="38"/>
  <c r="J98" i="40" s="1"/>
  <c r="J86" i="40"/>
  <c r="AW9" i="38"/>
  <c r="J97" i="40" s="1"/>
  <c r="J85" i="40"/>
  <c r="J9" i="40" l="1"/>
  <c r="BD304" i="38"/>
  <c r="M165" i="37"/>
  <c r="M252" i="37" s="1"/>
  <c r="J29" i="40"/>
  <c r="L145" i="46"/>
  <c r="BC382" i="38"/>
  <c r="BC436" i="38" s="1"/>
  <c r="BC481" i="38" s="1"/>
  <c r="K5597" i="22" s="1"/>
  <c r="CF367" i="38"/>
  <c r="M169" i="37"/>
  <c r="BD313" i="38"/>
  <c r="M170" i="37"/>
  <c r="BD314" i="38"/>
  <c r="J100" i="40"/>
  <c r="J89" i="40"/>
  <c r="BD349" i="38"/>
  <c r="BD382" i="38" s="1"/>
  <c r="BD408" i="38" s="1"/>
  <c r="CM353" i="38"/>
  <c r="CM364" i="38" s="1"/>
  <c r="AX540" i="38"/>
  <c r="AX511" i="38"/>
  <c r="L28" i="13"/>
  <c r="AA205" i="15" s="1"/>
  <c r="CZ408" i="38"/>
  <c r="CZ436" i="38"/>
  <c r="CZ481" i="38" s="1"/>
  <c r="J5597" i="22" s="1"/>
  <c r="I5597" i="22"/>
  <c r="CZ53" i="38"/>
  <c r="Y211" i="1" l="1"/>
  <c r="Y229" i="1" s="1"/>
  <c r="Y100" i="1" s="1"/>
  <c r="Y104" i="1" s="1"/>
  <c r="BC408" i="38"/>
  <c r="L146" i="46"/>
  <c r="M146" i="46"/>
  <c r="L41" i="13"/>
  <c r="M257" i="37"/>
  <c r="M256" i="37"/>
  <c r="C5787" i="22"/>
  <c r="L37" i="40"/>
  <c r="CR363" i="38"/>
  <c r="C5734" i="22"/>
  <c r="C5386" i="22"/>
  <c r="C5496" i="22"/>
  <c r="CZ17" i="38"/>
  <c r="R153" i="45"/>
  <c r="M128" i="45"/>
  <c r="M121" i="45"/>
  <c r="M120" i="45"/>
  <c r="M119" i="45"/>
  <c r="M118" i="45"/>
  <c r="M116" i="45"/>
  <c r="M115" i="45"/>
  <c r="M114" i="45"/>
  <c r="M109" i="45"/>
  <c r="AA33" i="15" l="1"/>
  <c r="AW540" i="38"/>
  <c r="AW511" i="38"/>
  <c r="AW497" i="38"/>
  <c r="AW510" i="38" s="1"/>
  <c r="AW482" i="38"/>
  <c r="AW455" i="38"/>
  <c r="J15" i="40" s="1"/>
  <c r="AW420" i="38"/>
  <c r="AW404" i="38"/>
  <c r="AW313" i="38"/>
  <c r="CZ313" i="38" s="1"/>
  <c r="AW312" i="38"/>
  <c r="CZ312" i="38" s="1"/>
  <c r="CZ51" i="38" s="1"/>
  <c r="AW311" i="38"/>
  <c r="AW309" i="38"/>
  <c r="CZ309" i="38" s="1"/>
  <c r="AW303" i="38"/>
  <c r="CZ303" i="38" s="1"/>
  <c r="CZ41" i="38" s="1"/>
  <c r="AW302" i="38"/>
  <c r="CZ302" i="38" s="1"/>
  <c r="CZ40" i="38" s="1"/>
  <c r="AW275" i="38"/>
  <c r="AW300" i="38" s="1"/>
  <c r="AW210" i="38"/>
  <c r="AW206" i="38"/>
  <c r="AW196" i="38"/>
  <c r="AW193" i="38"/>
  <c r="AW192" i="38"/>
  <c r="AW191" i="38"/>
  <c r="AW188" i="38"/>
  <c r="AW186" i="38"/>
  <c r="AW185" i="38"/>
  <c r="AW182" i="38"/>
  <c r="AW181" i="38"/>
  <c r="AW180" i="38"/>
  <c r="AW179" i="38"/>
  <c r="AW140" i="38"/>
  <c r="AW139" i="38" s="1"/>
  <c r="AW119" i="38"/>
  <c r="AW97" i="38"/>
  <c r="AW96" i="38"/>
  <c r="AW95" i="38"/>
  <c r="AW88" i="38"/>
  <c r="AW87" i="38"/>
  <c r="AW86" i="38"/>
  <c r="AW83" i="38"/>
  <c r="AW78" i="38"/>
  <c r="AW77" i="38"/>
  <c r="AW76" i="38"/>
  <c r="AW55" i="38"/>
  <c r="AW82" i="38"/>
  <c r="AW38" i="38"/>
  <c r="AW102" i="38" s="1"/>
  <c r="AW178" i="38" s="1"/>
  <c r="AW349" i="38" s="1"/>
  <c r="AW19" i="38"/>
  <c r="M87" i="45"/>
  <c r="M86" i="45"/>
  <c r="M85" i="45"/>
  <c r="M84" i="45"/>
  <c r="M83" i="45"/>
  <c r="M82" i="45"/>
  <c r="M81" i="45"/>
  <c r="M80" i="45"/>
  <c r="M77" i="45"/>
  <c r="N88" i="45" s="1"/>
  <c r="M65" i="45"/>
  <c r="M64" i="45"/>
  <c r="M63" i="45"/>
  <c r="M62" i="45"/>
  <c r="M61" i="45"/>
  <c r="M60" i="45"/>
  <c r="M59" i="45"/>
  <c r="M58" i="45"/>
  <c r="M54" i="45"/>
  <c r="M50" i="45"/>
  <c r="M37" i="45"/>
  <c r="M68" i="45" s="1"/>
  <c r="M79" i="45" s="1"/>
  <c r="M34" i="45"/>
  <c r="N35" i="45" s="1"/>
  <c r="M31" i="45"/>
  <c r="N32" i="45" s="1"/>
  <c r="M15" i="45"/>
  <c r="M13" i="45"/>
  <c r="M9" i="45"/>
  <c r="E404" i="38"/>
  <c r="F404" i="38"/>
  <c r="G404" i="38"/>
  <c r="H404" i="38"/>
  <c r="I404" i="38"/>
  <c r="J404" i="38"/>
  <c r="K404" i="38"/>
  <c r="L404" i="38"/>
  <c r="M404" i="38"/>
  <c r="N404" i="38"/>
  <c r="O404" i="38"/>
  <c r="R404" i="38"/>
  <c r="S404" i="38"/>
  <c r="T404" i="38"/>
  <c r="U404" i="38"/>
  <c r="W404" i="38"/>
  <c r="X404" i="38"/>
  <c r="Y404" i="38"/>
  <c r="Z404" i="38"/>
  <c r="AB404" i="38"/>
  <c r="AF404" i="38"/>
  <c r="AH404" i="38"/>
  <c r="AI404" i="38"/>
  <c r="AK404" i="38"/>
  <c r="AL404" i="38"/>
  <c r="AM404" i="38"/>
  <c r="AN404" i="38"/>
  <c r="AP404" i="38"/>
  <c r="AQ404" i="38"/>
  <c r="AR404" i="38"/>
  <c r="AS404" i="38"/>
  <c r="D404" i="38"/>
  <c r="C404" i="38"/>
  <c r="AU404" i="38"/>
  <c r="AV404" i="38"/>
  <c r="L18" i="47" l="1"/>
  <c r="J103" i="40"/>
  <c r="AW382" i="38"/>
  <c r="AW408" i="38" s="1"/>
  <c r="CA367" i="38"/>
  <c r="BA561" i="38"/>
  <c r="J6" i="40"/>
  <c r="CR361" i="38"/>
  <c r="CZ52" i="38"/>
  <c r="CZ55" i="38" s="1"/>
  <c r="M39" i="45"/>
  <c r="BA560" i="38"/>
  <c r="CR351" i="38"/>
  <c r="CZ4" i="38"/>
  <c r="AW552" i="38"/>
  <c r="AW553" i="38" s="1"/>
  <c r="CZ5" i="38"/>
  <c r="CZ15" i="38"/>
  <c r="M51" i="45"/>
  <c r="AW21" i="38"/>
  <c r="AW32" i="38" s="1"/>
  <c r="AW151" i="38"/>
  <c r="AW150" i="38" s="1"/>
  <c r="AW195" i="38"/>
  <c r="AW189" i="38"/>
  <c r="AW211" i="38"/>
  <c r="AW57" i="38"/>
  <c r="AW69" i="38" s="1"/>
  <c r="AW208" i="38"/>
  <c r="AW308" i="38"/>
  <c r="AW79" i="38"/>
  <c r="AW98" i="38" s="1"/>
  <c r="M53" i="45"/>
  <c r="BB357" i="38" l="1"/>
  <c r="Q117" i="45" s="1"/>
  <c r="AW436" i="38"/>
  <c r="AW481" i="38" s="1"/>
  <c r="F5597" i="22" s="1"/>
  <c r="N55" i="45"/>
  <c r="M40" i="45"/>
  <c r="CZ16" i="38"/>
  <c r="CZ308" i="38"/>
  <c r="CZ45" i="38" s="1"/>
  <c r="CR362" i="38"/>
  <c r="J13" i="40"/>
  <c r="J18" i="40" s="1"/>
  <c r="J23" i="40" s="1"/>
  <c r="J24" i="40" s="1"/>
  <c r="J27" i="40"/>
  <c r="J7" i="40"/>
  <c r="CZ105" i="38"/>
  <c r="CZ104" i="38"/>
  <c r="AW153" i="38"/>
  <c r="AW152" i="38"/>
  <c r="AW460" i="38"/>
  <c r="C5291" i="22"/>
  <c r="C5285" i="22"/>
  <c r="C5258" i="22"/>
  <c r="C5242" i="22"/>
  <c r="N56" i="45" l="1"/>
  <c r="N66" i="45" s="1"/>
  <c r="CZ19" i="38"/>
  <c r="O77" i="40"/>
  <c r="O83" i="40"/>
  <c r="CZ9" i="38"/>
  <c r="C5249" i="22"/>
  <c r="C5246" i="22" s="1"/>
  <c r="C5247" i="22" s="1"/>
  <c r="AW473" i="38"/>
  <c r="AW476" i="38" s="1"/>
  <c r="C5284" i="22"/>
  <c r="C5286" i="22" s="1"/>
  <c r="CZ109" i="38" l="1"/>
  <c r="C5279" i="22"/>
  <c r="C5254" i="22"/>
  <c r="C5256" i="22" s="1"/>
  <c r="CZ206" i="38" l="1"/>
  <c r="O100" i="40"/>
  <c r="C5263" i="22"/>
  <c r="C5264" i="22" s="1"/>
  <c r="C5260" i="22"/>
  <c r="AV420" i="38"/>
  <c r="AU420" i="38"/>
  <c r="AV508" i="38"/>
  <c r="AV540" i="38"/>
  <c r="AV534" i="38"/>
  <c r="AV536" i="38" s="1"/>
  <c r="AU534" i="38"/>
  <c r="AU536" i="38" s="1"/>
  <c r="AU508" i="38"/>
  <c r="C5267" i="22" l="1"/>
  <c r="C5268" i="22" s="1"/>
  <c r="C5271" i="22" s="1"/>
  <c r="C5261" i="22"/>
  <c r="AV186" i="38" l="1"/>
  <c r="AV181" i="38"/>
  <c r="N5229" i="22" l="1"/>
  <c r="O5229" i="22" s="1"/>
  <c r="P5229" i="22" s="1"/>
  <c r="I5229" i="22"/>
  <c r="J5229" i="22" s="1"/>
  <c r="K5229" i="22" s="1"/>
  <c r="D5229" i="22"/>
  <c r="E5229" i="22" s="1"/>
  <c r="F5229" i="22" s="1"/>
  <c r="CL363" i="38"/>
  <c r="CL362" i="38"/>
  <c r="CL361" i="38"/>
  <c r="CL360" i="38"/>
  <c r="CL358" i="38"/>
  <c r="CL351" i="38"/>
  <c r="CL350" i="38"/>
  <c r="O151" i="45"/>
  <c r="Q153" i="45"/>
  <c r="AV507" i="38"/>
  <c r="I46" i="40" s="1"/>
  <c r="AV501" i="38"/>
  <c r="I38" i="40" s="1"/>
  <c r="I40" i="40" s="1"/>
  <c r="I43" i="40" s="1"/>
  <c r="AV456" i="38"/>
  <c r="AV455" i="38" s="1"/>
  <c r="I15" i="40" s="1"/>
  <c r="AV441" i="38"/>
  <c r="AV449" i="38" s="1"/>
  <c r="AV109" i="38"/>
  <c r="I99" i="40" s="1"/>
  <c r="I88" i="40"/>
  <c r="AV45" i="38"/>
  <c r="I98" i="40" s="1"/>
  <c r="I86" i="40"/>
  <c r="AV9" i="38"/>
  <c r="I97" i="40" s="1"/>
  <c r="I85" i="40"/>
  <c r="C34" i="45"/>
  <c r="D34" i="45"/>
  <c r="E34" i="45"/>
  <c r="F34" i="45"/>
  <c r="G34" i="45"/>
  <c r="H34" i="45"/>
  <c r="I34" i="45"/>
  <c r="J34" i="45"/>
  <c r="AU501" i="38"/>
  <c r="AV482" i="38"/>
  <c r="AV511" i="38"/>
  <c r="AU482" i="38"/>
  <c r="O28" i="13"/>
  <c r="D20" i="47"/>
  <c r="H20" i="47" s="1"/>
  <c r="AU507" i="38"/>
  <c r="AV314" i="38"/>
  <c r="AV313" i="38"/>
  <c r="AV312" i="38"/>
  <c r="AV311" i="38"/>
  <c r="AV309" i="38"/>
  <c r="AV303" i="38"/>
  <c r="AV302" i="38"/>
  <c r="AV275" i="38"/>
  <c r="AV300" i="38" s="1"/>
  <c r="AV210" i="38"/>
  <c r="AV193" i="38"/>
  <c r="AV192" i="38"/>
  <c r="AV191" i="38"/>
  <c r="AV188" i="38"/>
  <c r="AV180" i="38"/>
  <c r="AV179" i="38"/>
  <c r="AV140" i="38"/>
  <c r="AV119" i="38"/>
  <c r="AV97" i="38"/>
  <c r="AV96" i="38"/>
  <c r="AV95" i="38"/>
  <c r="AV88" i="38"/>
  <c r="AV87" i="38"/>
  <c r="AV86" i="38"/>
  <c r="AV83" i="38"/>
  <c r="AV78" i="38"/>
  <c r="AV77" i="38"/>
  <c r="AV76" i="38"/>
  <c r="AV55" i="38"/>
  <c r="AV38" i="38"/>
  <c r="AV102" i="38" s="1"/>
  <c r="AV178" i="38" s="1"/>
  <c r="AV349" i="38" s="1"/>
  <c r="AV19" i="38"/>
  <c r="C5343" i="22"/>
  <c r="C5345" i="22" s="1"/>
  <c r="B136" i="45"/>
  <c r="BN426" i="38" l="1"/>
  <c r="BM426" i="38" s="1"/>
  <c r="AD205" i="15"/>
  <c r="O41" i="13"/>
  <c r="E20" i="47"/>
  <c r="I9" i="40"/>
  <c r="I6" i="40"/>
  <c r="I7" i="40" s="1"/>
  <c r="AV139" i="38"/>
  <c r="AV382" i="38"/>
  <c r="AV408" i="38" s="1"/>
  <c r="BZ367" i="38"/>
  <c r="N41" i="13"/>
  <c r="BQ489" i="38"/>
  <c r="H38" i="40"/>
  <c r="H40" i="40" s="1"/>
  <c r="H43" i="40" s="1"/>
  <c r="AY501" i="38"/>
  <c r="L38" i="40" s="1"/>
  <c r="C5986" i="22"/>
  <c r="K5986" i="22" s="1"/>
  <c r="D5947" i="22"/>
  <c r="D5956" i="22"/>
  <c r="AA37" i="40"/>
  <c r="D5986" i="22"/>
  <c r="L5986" i="22" s="1"/>
  <c r="V37" i="40"/>
  <c r="BI426" i="38"/>
  <c r="I48" i="40"/>
  <c r="I51" i="40" s="1"/>
  <c r="AY507" i="38"/>
  <c r="H46" i="40"/>
  <c r="I89" i="40"/>
  <c r="I100" i="40"/>
  <c r="E5734" i="22"/>
  <c r="E5787" i="22"/>
  <c r="AZ560" i="38"/>
  <c r="AZ561" i="38"/>
  <c r="D5496" i="22"/>
  <c r="D5734" i="22"/>
  <c r="E5496" i="22"/>
  <c r="D5386" i="22"/>
  <c r="AY482" i="38"/>
  <c r="E5386" i="22"/>
  <c r="H35" i="45"/>
  <c r="CL353" i="38"/>
  <c r="AV211" i="38"/>
  <c r="AV308" i="38"/>
  <c r="AV552" i="38"/>
  <c r="AV553" i="38" s="1"/>
  <c r="AV497" i="38"/>
  <c r="I103" i="40"/>
  <c r="AV196" i="38"/>
  <c r="AV82" i="38"/>
  <c r="AV79" i="38"/>
  <c r="AV98" i="38" s="1"/>
  <c r="AU497" i="38"/>
  <c r="AV195" i="38"/>
  <c r="AV182" i="38"/>
  <c r="AV151" i="38"/>
  <c r="AV185" i="38"/>
  <c r="AV206" i="38"/>
  <c r="I13" i="40" l="1"/>
  <c r="I18" i="40" s="1"/>
  <c r="I23" i="40" s="1"/>
  <c r="I24" i="40" s="1"/>
  <c r="I27" i="40"/>
  <c r="BA357" i="38"/>
  <c r="P117" i="45" s="1"/>
  <c r="AV436" i="38"/>
  <c r="AV481" i="38" s="1"/>
  <c r="E5597" i="22" s="1"/>
  <c r="H48" i="40"/>
  <c r="H51" i="40" s="1"/>
  <c r="E5947" i="22"/>
  <c r="C5948" i="22"/>
  <c r="BB560" i="38"/>
  <c r="AU510" i="38"/>
  <c r="AV510" i="38"/>
  <c r="AV21" i="38"/>
  <c r="AV57" i="38"/>
  <c r="AV69" i="38" s="1"/>
  <c r="AV460" i="38"/>
  <c r="AV150" i="38"/>
  <c r="AV208" i="38"/>
  <c r="AV189" i="38"/>
  <c r="K128" i="45"/>
  <c r="J128" i="45"/>
  <c r="I128" i="45"/>
  <c r="H128" i="45"/>
  <c r="G128" i="45"/>
  <c r="F128" i="45"/>
  <c r="E128" i="45"/>
  <c r="D128" i="45"/>
  <c r="C128" i="45"/>
  <c r="L128" i="45"/>
  <c r="L121" i="45"/>
  <c r="L120" i="45"/>
  <c r="L119" i="45"/>
  <c r="L118" i="45"/>
  <c r="L116" i="45"/>
  <c r="L115" i="45"/>
  <c r="L114" i="45"/>
  <c r="L109" i="45"/>
  <c r="L37" i="45"/>
  <c r="L53" i="45" s="1"/>
  <c r="O153" i="45"/>
  <c r="N153" i="45"/>
  <c r="M153" i="45"/>
  <c r="L153" i="45"/>
  <c r="K153" i="45"/>
  <c r="J153" i="45"/>
  <c r="I153" i="45"/>
  <c r="H153" i="45"/>
  <c r="J151" i="45"/>
  <c r="I151" i="45"/>
  <c r="H151" i="45"/>
  <c r="G151" i="45"/>
  <c r="F151" i="45"/>
  <c r="E151" i="45"/>
  <c r="D151" i="45"/>
  <c r="C151" i="45"/>
  <c r="N150" i="45"/>
  <c r="K30" i="45"/>
  <c r="L9" i="45"/>
  <c r="L13" i="45"/>
  <c r="L15" i="45"/>
  <c r="L31" i="45"/>
  <c r="M32" i="45" s="1"/>
  <c r="L34" i="45"/>
  <c r="M35" i="45" s="1"/>
  <c r="L50" i="45"/>
  <c r="L54" i="45"/>
  <c r="L58" i="45"/>
  <c r="L59" i="45"/>
  <c r="L60" i="45"/>
  <c r="L61" i="45"/>
  <c r="L62" i="45"/>
  <c r="L63" i="45"/>
  <c r="L64" i="45"/>
  <c r="L65" i="45"/>
  <c r="L77" i="45"/>
  <c r="L80" i="45"/>
  <c r="L81" i="45"/>
  <c r="L82" i="45"/>
  <c r="L83" i="45"/>
  <c r="L84" i="45"/>
  <c r="L85" i="45"/>
  <c r="L86" i="45"/>
  <c r="K121" i="45"/>
  <c r="J121" i="45"/>
  <c r="I121" i="45"/>
  <c r="H121" i="45"/>
  <c r="G121" i="45"/>
  <c r="F121" i="45"/>
  <c r="E121" i="45"/>
  <c r="D121" i="45"/>
  <c r="C121" i="45"/>
  <c r="K120" i="45"/>
  <c r="J120" i="45"/>
  <c r="I120" i="45"/>
  <c r="H120" i="45"/>
  <c r="G120" i="45"/>
  <c r="F120" i="45"/>
  <c r="E120" i="45"/>
  <c r="D120" i="45"/>
  <c r="C120" i="45"/>
  <c r="K119" i="45"/>
  <c r="J119" i="45"/>
  <c r="I119" i="45"/>
  <c r="H119" i="45"/>
  <c r="G119" i="45"/>
  <c r="F119" i="45"/>
  <c r="E119" i="45"/>
  <c r="D119" i="45"/>
  <c r="C119" i="45"/>
  <c r="K118" i="45"/>
  <c r="J118" i="45"/>
  <c r="I118" i="45"/>
  <c r="H118" i="45"/>
  <c r="G118" i="45"/>
  <c r="F118" i="45"/>
  <c r="E118" i="45"/>
  <c r="D118" i="45"/>
  <c r="C118" i="45"/>
  <c r="K117" i="45"/>
  <c r="J117" i="45"/>
  <c r="I117" i="45"/>
  <c r="H117" i="45"/>
  <c r="G117" i="45"/>
  <c r="K116" i="45"/>
  <c r="J116" i="45"/>
  <c r="I116" i="45"/>
  <c r="H116" i="45"/>
  <c r="G116" i="45"/>
  <c r="F116" i="45"/>
  <c r="E116" i="45"/>
  <c r="D116" i="45"/>
  <c r="C116" i="45"/>
  <c r="K115" i="45"/>
  <c r="J115" i="45"/>
  <c r="I115" i="45"/>
  <c r="H115" i="45"/>
  <c r="G115" i="45"/>
  <c r="F115" i="45"/>
  <c r="E115" i="45"/>
  <c r="D115" i="45"/>
  <c r="C115" i="45"/>
  <c r="K114" i="45"/>
  <c r="J114" i="45"/>
  <c r="I114" i="45"/>
  <c r="H114" i="45"/>
  <c r="G114" i="45"/>
  <c r="F114" i="45"/>
  <c r="E114" i="45"/>
  <c r="D114" i="45"/>
  <c r="C114" i="45"/>
  <c r="K109" i="45"/>
  <c r="J109" i="45"/>
  <c r="I109" i="45"/>
  <c r="H109" i="45"/>
  <c r="G109" i="45"/>
  <c r="F109" i="45"/>
  <c r="E109" i="45"/>
  <c r="D109" i="45"/>
  <c r="C109" i="45"/>
  <c r="F102" i="45"/>
  <c r="B88" i="45"/>
  <c r="J87" i="45"/>
  <c r="I87" i="45"/>
  <c r="H87" i="45"/>
  <c r="G87" i="45"/>
  <c r="F87" i="45"/>
  <c r="E87" i="45"/>
  <c r="D87" i="45"/>
  <c r="C87" i="45"/>
  <c r="B87" i="45"/>
  <c r="K86" i="45"/>
  <c r="J86" i="45"/>
  <c r="I86" i="45"/>
  <c r="H86" i="45"/>
  <c r="G86" i="45"/>
  <c r="F86" i="45"/>
  <c r="E86" i="45"/>
  <c r="D86" i="45"/>
  <c r="C86" i="45"/>
  <c r="B86" i="45"/>
  <c r="K85" i="45"/>
  <c r="J85" i="45"/>
  <c r="I85" i="45"/>
  <c r="H85" i="45"/>
  <c r="G85" i="45"/>
  <c r="F85" i="45"/>
  <c r="E85" i="45"/>
  <c r="D85" i="45"/>
  <c r="C85" i="45"/>
  <c r="B85" i="45"/>
  <c r="K84" i="45"/>
  <c r="J84" i="45"/>
  <c r="I84" i="45"/>
  <c r="H84" i="45"/>
  <c r="G84" i="45"/>
  <c r="F84" i="45"/>
  <c r="E84" i="45"/>
  <c r="D84" i="45"/>
  <c r="C84" i="45"/>
  <c r="B84" i="45"/>
  <c r="K83" i="45"/>
  <c r="J83" i="45"/>
  <c r="I83" i="45"/>
  <c r="H83" i="45"/>
  <c r="G83" i="45"/>
  <c r="F83" i="45"/>
  <c r="E83" i="45"/>
  <c r="D83" i="45"/>
  <c r="C83" i="45"/>
  <c r="B83" i="45"/>
  <c r="K82" i="45"/>
  <c r="J82" i="45"/>
  <c r="I82" i="45"/>
  <c r="H82" i="45"/>
  <c r="G82" i="45"/>
  <c r="F82" i="45"/>
  <c r="E82" i="45"/>
  <c r="D82" i="45"/>
  <c r="C82" i="45"/>
  <c r="B82" i="45"/>
  <c r="K81" i="45"/>
  <c r="J81" i="45"/>
  <c r="I81" i="45"/>
  <c r="H81" i="45"/>
  <c r="G81" i="45"/>
  <c r="F81" i="45"/>
  <c r="E81" i="45"/>
  <c r="D81" i="45"/>
  <c r="C81" i="45"/>
  <c r="B81" i="45"/>
  <c r="K80" i="45"/>
  <c r="J80" i="45"/>
  <c r="I80" i="45"/>
  <c r="H80" i="45"/>
  <c r="G80" i="45"/>
  <c r="F80" i="45"/>
  <c r="E80" i="45"/>
  <c r="D80" i="45"/>
  <c r="C80" i="45"/>
  <c r="B80" i="45"/>
  <c r="J77" i="45"/>
  <c r="I77" i="45"/>
  <c r="H77" i="45"/>
  <c r="G77" i="45"/>
  <c r="F77" i="45"/>
  <c r="E77" i="45"/>
  <c r="D77" i="45"/>
  <c r="C77" i="45"/>
  <c r="K76" i="45"/>
  <c r="K87" i="45" s="1"/>
  <c r="K68" i="45"/>
  <c r="K79" i="45" s="1"/>
  <c r="J68" i="45"/>
  <c r="J79" i="45" s="1"/>
  <c r="F68" i="45"/>
  <c r="F79" i="45" s="1"/>
  <c r="E68" i="45"/>
  <c r="E79" i="45" s="1"/>
  <c r="D68" i="45"/>
  <c r="D79" i="45" s="1"/>
  <c r="C68" i="45"/>
  <c r="C79" i="45" s="1"/>
  <c r="F66" i="45"/>
  <c r="B66" i="45"/>
  <c r="B55" i="45"/>
  <c r="K65" i="45"/>
  <c r="J65" i="45"/>
  <c r="I65" i="45"/>
  <c r="H65" i="45"/>
  <c r="G65" i="45"/>
  <c r="F65" i="45"/>
  <c r="E65" i="45"/>
  <c r="D65" i="45"/>
  <c r="C65" i="45"/>
  <c r="B65" i="45"/>
  <c r="K64" i="45"/>
  <c r="J64" i="45"/>
  <c r="I64" i="45"/>
  <c r="H64" i="45"/>
  <c r="G64" i="45"/>
  <c r="F64" i="45"/>
  <c r="E64" i="45"/>
  <c r="D64" i="45"/>
  <c r="C64" i="45"/>
  <c r="B64" i="45"/>
  <c r="K63" i="45"/>
  <c r="J63" i="45"/>
  <c r="I63" i="45"/>
  <c r="H63" i="45"/>
  <c r="G63" i="45"/>
  <c r="F63" i="45"/>
  <c r="E63" i="45"/>
  <c r="B63" i="45"/>
  <c r="K62" i="45"/>
  <c r="J62" i="45"/>
  <c r="I62" i="45"/>
  <c r="H62" i="45"/>
  <c r="G62" i="45"/>
  <c r="F62" i="45"/>
  <c r="E62" i="45"/>
  <c r="B62" i="45"/>
  <c r="K61" i="45"/>
  <c r="J61" i="45"/>
  <c r="I61" i="45"/>
  <c r="H61" i="45"/>
  <c r="G61" i="45"/>
  <c r="F61" i="45"/>
  <c r="E61" i="45"/>
  <c r="D61" i="45"/>
  <c r="C61" i="45"/>
  <c r="B61" i="45"/>
  <c r="K60" i="45"/>
  <c r="J60" i="45"/>
  <c r="I60" i="45"/>
  <c r="H60" i="45"/>
  <c r="G60" i="45"/>
  <c r="F60" i="45"/>
  <c r="E60" i="45"/>
  <c r="D60" i="45"/>
  <c r="C60" i="45"/>
  <c r="B60" i="45"/>
  <c r="K59" i="45"/>
  <c r="J59" i="45"/>
  <c r="I59" i="45"/>
  <c r="H59" i="45"/>
  <c r="G59" i="45"/>
  <c r="F59" i="45"/>
  <c r="E59" i="45"/>
  <c r="D59" i="45"/>
  <c r="C59" i="45"/>
  <c r="B59" i="45"/>
  <c r="K58" i="45"/>
  <c r="J58" i="45"/>
  <c r="I58" i="45"/>
  <c r="H58" i="45"/>
  <c r="G58" i="45"/>
  <c r="F58" i="45"/>
  <c r="E58" i="45"/>
  <c r="D58" i="45"/>
  <c r="C58" i="45"/>
  <c r="B58" i="45"/>
  <c r="K54" i="45"/>
  <c r="J54" i="45"/>
  <c r="I54" i="45"/>
  <c r="H54" i="45"/>
  <c r="G54" i="45"/>
  <c r="F54" i="45"/>
  <c r="E54" i="45"/>
  <c r="D54" i="45"/>
  <c r="C54" i="45"/>
  <c r="B54" i="45"/>
  <c r="K53" i="45"/>
  <c r="J53" i="45"/>
  <c r="F53" i="45"/>
  <c r="E53" i="45"/>
  <c r="D53" i="45"/>
  <c r="C53" i="45"/>
  <c r="F51" i="45"/>
  <c r="E51" i="45"/>
  <c r="K50" i="45"/>
  <c r="K39" i="45" s="1"/>
  <c r="K40" i="45" s="1"/>
  <c r="K56" i="45" s="1"/>
  <c r="J50" i="45"/>
  <c r="I50" i="45"/>
  <c r="H50" i="45"/>
  <c r="D50" i="45"/>
  <c r="C50" i="45"/>
  <c r="I37" i="45"/>
  <c r="I68" i="45" s="1"/>
  <c r="I79" i="45" s="1"/>
  <c r="H37" i="45"/>
  <c r="K34" i="45"/>
  <c r="K31" i="45"/>
  <c r="J31" i="45"/>
  <c r="I31" i="45"/>
  <c r="H31" i="45"/>
  <c r="G31" i="45"/>
  <c r="F31" i="45"/>
  <c r="E31" i="45"/>
  <c r="D31" i="45"/>
  <c r="C31" i="45"/>
  <c r="J30" i="45"/>
  <c r="F30" i="45"/>
  <c r="E30" i="45"/>
  <c r="D30" i="45"/>
  <c r="C30" i="45"/>
  <c r="K15" i="45"/>
  <c r="J15" i="45"/>
  <c r="I15" i="45"/>
  <c r="H15" i="45"/>
  <c r="G15" i="45"/>
  <c r="F15" i="45"/>
  <c r="E15" i="45"/>
  <c r="D15" i="45"/>
  <c r="C15" i="45"/>
  <c r="K13" i="45"/>
  <c r="J13" i="45"/>
  <c r="I13" i="45"/>
  <c r="H13" i="45"/>
  <c r="G13" i="45"/>
  <c r="F13" i="45"/>
  <c r="E13" i="45"/>
  <c r="D13" i="45"/>
  <c r="C13" i="45"/>
  <c r="K9" i="45"/>
  <c r="J9" i="45"/>
  <c r="I9" i="45"/>
  <c r="H9" i="45"/>
  <c r="F8" i="45"/>
  <c r="F9" i="45" s="1"/>
  <c r="E8" i="45"/>
  <c r="E9" i="45" s="1"/>
  <c r="D5331" i="22"/>
  <c r="E5331" i="22" s="1"/>
  <c r="C5326" i="22"/>
  <c r="D5326" i="22"/>
  <c r="C5321" i="22"/>
  <c r="C5320" i="22"/>
  <c r="D5321" i="22"/>
  <c r="C5311" i="22"/>
  <c r="D5320" i="22"/>
  <c r="AV152" i="38" l="1"/>
  <c r="AV32" i="38"/>
  <c r="I66" i="45"/>
  <c r="J66" i="45"/>
  <c r="K66" i="45"/>
  <c r="L39" i="45"/>
  <c r="C51" i="45"/>
  <c r="AV153" i="38"/>
  <c r="L68" i="45"/>
  <c r="L79" i="45" s="1"/>
  <c r="K32" i="45"/>
  <c r="G88" i="45"/>
  <c r="M88" i="45"/>
  <c r="D5322" i="22"/>
  <c r="D5323" i="22" s="1"/>
  <c r="I32" i="45"/>
  <c r="H32" i="45"/>
  <c r="L35" i="45"/>
  <c r="D32" i="45"/>
  <c r="L32" i="45"/>
  <c r="C8" i="45"/>
  <c r="C9" i="45" s="1"/>
  <c r="AV473" i="38"/>
  <c r="AV476" i="38" s="1"/>
  <c r="C5322" i="22"/>
  <c r="C5323" i="22" s="1"/>
  <c r="I88" i="45"/>
  <c r="D35" i="45"/>
  <c r="C35" i="45"/>
  <c r="L51" i="45"/>
  <c r="F35" i="45"/>
  <c r="G32" i="45"/>
  <c r="J35" i="45"/>
  <c r="C32" i="45"/>
  <c r="J32" i="45"/>
  <c r="C88" i="45"/>
  <c r="K77" i="45"/>
  <c r="K88" i="45" s="1"/>
  <c r="I35" i="45"/>
  <c r="I51" i="45"/>
  <c r="F88" i="45"/>
  <c r="J88" i="45"/>
  <c r="E35" i="45"/>
  <c r="K51" i="45"/>
  <c r="I53" i="45"/>
  <c r="H88" i="45"/>
  <c r="L87" i="45"/>
  <c r="C66" i="45"/>
  <c r="F32" i="45"/>
  <c r="D88" i="45"/>
  <c r="E32" i="45"/>
  <c r="J51" i="45"/>
  <c r="D51" i="45"/>
  <c r="D8" i="45"/>
  <c r="D9" i="45" s="1"/>
  <c r="E66" i="45"/>
  <c r="D66" i="45"/>
  <c r="G35" i="45"/>
  <c r="H51" i="45"/>
  <c r="H68" i="45"/>
  <c r="H79" i="45" s="1"/>
  <c r="H53" i="45"/>
  <c r="E88" i="45"/>
  <c r="C5314" i="22"/>
  <c r="C5312" i="22"/>
  <c r="C5309" i="22"/>
  <c r="D5308" i="22"/>
  <c r="D5302" i="22"/>
  <c r="D5301" i="22"/>
  <c r="C5303" i="22"/>
  <c r="M55" i="45" l="1"/>
  <c r="L40" i="45"/>
  <c r="L55" i="45"/>
  <c r="L88" i="45"/>
  <c r="C5315" i="22"/>
  <c r="C5316" i="22" s="1"/>
  <c r="C5324" i="22" s="1"/>
  <c r="C5327" i="22" s="1"/>
  <c r="D5303" i="22"/>
  <c r="D5305" i="22" s="1"/>
  <c r="D5306" i="22" s="1"/>
  <c r="D5309" i="22"/>
  <c r="D5311" i="22"/>
  <c r="D5314" i="22"/>
  <c r="C5305" i="22"/>
  <c r="C5306" i="22" s="1"/>
  <c r="L56" i="45" l="1"/>
  <c r="L66" i="45" s="1"/>
  <c r="M56" i="45"/>
  <c r="M66" i="45" s="1"/>
  <c r="C5317" i="22"/>
  <c r="D5312" i="22"/>
  <c r="D5315" i="22" s="1"/>
  <c r="D5316" i="22" s="1"/>
  <c r="D5324" i="22" s="1"/>
  <c r="D5327" i="22" s="1"/>
  <c r="F5320" i="22"/>
  <c r="D5317" i="22" l="1"/>
  <c r="K5220" i="22"/>
  <c r="J5220" i="22"/>
  <c r="I5220" i="22"/>
  <c r="H5220" i="22"/>
  <c r="K5219" i="22"/>
  <c r="J5219" i="22"/>
  <c r="I5219" i="22"/>
  <c r="H5219" i="22"/>
  <c r="K5217" i="22"/>
  <c r="J5217" i="22"/>
  <c r="I5217" i="22"/>
  <c r="H5217" i="22"/>
  <c r="N5214" i="22"/>
  <c r="O5214" i="22" s="1"/>
  <c r="P5214" i="22" s="1"/>
  <c r="I5214" i="22"/>
  <c r="J5214" i="22" s="1"/>
  <c r="K5214" i="22" s="1"/>
  <c r="D5214" i="22"/>
  <c r="E5214" i="22" s="1"/>
  <c r="F5214" i="22" s="1"/>
  <c r="AU311" i="38"/>
  <c r="L5183" i="22" l="1"/>
  <c r="K5183" i="22"/>
  <c r="J5183" i="22"/>
  <c r="I5183" i="22"/>
  <c r="H5183" i="22"/>
  <c r="G5183" i="22"/>
  <c r="F5183" i="22"/>
  <c r="E5183" i="22"/>
  <c r="D5183" i="22"/>
  <c r="C3591" i="34" l="1"/>
  <c r="C3594" i="34" s="1"/>
  <c r="D3561" i="34"/>
  <c r="D3563" i="34" s="1"/>
  <c r="AU456" i="38"/>
  <c r="AU455" i="38" s="1"/>
  <c r="H15" i="40" s="1"/>
  <c r="AU441" i="38"/>
  <c r="AU449" i="38" s="1"/>
  <c r="AU109" i="38"/>
  <c r="H99" i="40" s="1"/>
  <c r="H88" i="40"/>
  <c r="AU45" i="38"/>
  <c r="H86" i="40"/>
  <c r="AU9" i="38"/>
  <c r="H97" i="40" s="1"/>
  <c r="H85" i="40"/>
  <c r="AU97" i="38"/>
  <c r="AY97" i="38" s="1"/>
  <c r="AU96" i="38"/>
  <c r="AY96" i="38" s="1"/>
  <c r="AU95" i="38"/>
  <c r="AY95" i="38" s="1"/>
  <c r="AU88" i="38"/>
  <c r="AU87" i="38"/>
  <c r="AU86" i="38"/>
  <c r="AU83" i="38"/>
  <c r="AU78" i="38"/>
  <c r="AU77" i="38"/>
  <c r="AU76" i="38"/>
  <c r="AU55" i="38"/>
  <c r="AU38" i="38"/>
  <c r="CK363" i="38"/>
  <c r="CK362" i="38"/>
  <c r="CK361" i="38"/>
  <c r="CK360" i="38"/>
  <c r="CK358" i="38"/>
  <c r="CK351" i="38"/>
  <c r="CK350" i="38"/>
  <c r="AU314" i="38"/>
  <c r="AU313" i="38"/>
  <c r="AU312" i="38"/>
  <c r="AU309" i="38"/>
  <c r="AU303" i="38"/>
  <c r="AU302" i="38"/>
  <c r="AU275" i="38"/>
  <c r="AU300" i="38" s="1"/>
  <c r="H9" i="40" l="1"/>
  <c r="L9" i="40" s="1"/>
  <c r="H89" i="40"/>
  <c r="H100" i="40"/>
  <c r="AY45" i="38"/>
  <c r="H98" i="40"/>
  <c r="AY106" i="38"/>
  <c r="AY109" i="38"/>
  <c r="L280" i="37" s="1"/>
  <c r="L99" i="40" s="1"/>
  <c r="AY42" i="38"/>
  <c r="AY6" i="38"/>
  <c r="AY9" i="38"/>
  <c r="AU82" i="38"/>
  <c r="AU308" i="38"/>
  <c r="AZ357" i="38" s="1"/>
  <c r="CK353" i="38"/>
  <c r="AU348" i="38" s="1"/>
  <c r="AU79" i="38"/>
  <c r="AU98" i="38" s="1"/>
  <c r="AY113" i="38" l="1"/>
  <c r="L276" i="37"/>
  <c r="L49" i="37"/>
  <c r="L57" i="37" s="1"/>
  <c r="AY49" i="38"/>
  <c r="L11" i="37"/>
  <c r="L85" i="40" s="1"/>
  <c r="L8" i="37"/>
  <c r="L414" i="37" s="1"/>
  <c r="AY13" i="38"/>
  <c r="AY21" i="38" s="1"/>
  <c r="L53" i="37"/>
  <c r="L98" i="40" s="1"/>
  <c r="C5350" i="22"/>
  <c r="BY368" i="38"/>
  <c r="O117" i="45"/>
  <c r="L52" i="37"/>
  <c r="L86" i="40" s="1"/>
  <c r="L12" i="37"/>
  <c r="L279" i="37"/>
  <c r="CK364" i="38"/>
  <c r="AU57" i="38"/>
  <c r="AU69" i="38" s="1"/>
  <c r="AY69" i="38" s="1"/>
  <c r="L76" i="37" s="1"/>
  <c r="AU206" i="38"/>
  <c r="AU196" i="38"/>
  <c r="AU193" i="38"/>
  <c r="AU192" i="38"/>
  <c r="AU191" i="38"/>
  <c r="AU188" i="38"/>
  <c r="AU186" i="38"/>
  <c r="AU185" i="38"/>
  <c r="AU182" i="38"/>
  <c r="AU181" i="38"/>
  <c r="AU180" i="38"/>
  <c r="AU179" i="38"/>
  <c r="AU140" i="38"/>
  <c r="AU119" i="38"/>
  <c r="AU102" i="38"/>
  <c r="AU178" i="38" s="1"/>
  <c r="AU349" i="38" s="1"/>
  <c r="AU19" i="38"/>
  <c r="L329" i="37" l="1"/>
  <c r="L457" i="37"/>
  <c r="L460" i="37" s="1"/>
  <c r="L467" i="37" s="1"/>
  <c r="L352" i="37"/>
  <c r="L284" i="37"/>
  <c r="AA142" i="15" s="1"/>
  <c r="H6" i="40"/>
  <c r="H27" i="40" s="1"/>
  <c r="AU139" i="38"/>
  <c r="L16" i="37"/>
  <c r="L418" i="37" s="1"/>
  <c r="L89" i="37"/>
  <c r="AY79" i="38" s="1"/>
  <c r="AU382" i="38"/>
  <c r="AU408" i="38" s="1"/>
  <c r="BY367" i="38"/>
  <c r="L355" i="37"/>
  <c r="L88" i="40"/>
  <c r="L89" i="40" s="1"/>
  <c r="L356" i="37"/>
  <c r="L97" i="40"/>
  <c r="L100" i="40" s="1"/>
  <c r="AU552" i="38"/>
  <c r="AU553" i="38" s="1"/>
  <c r="AY140" i="38"/>
  <c r="L194" i="37"/>
  <c r="M218" i="37" s="1"/>
  <c r="AU151" i="38"/>
  <c r="AU195" i="38"/>
  <c r="AU21" i="38"/>
  <c r="AU32" i="38" s="1"/>
  <c r="AY32" i="38" s="1"/>
  <c r="AU208" i="38"/>
  <c r="AU189" i="38"/>
  <c r="BB561" i="38" l="1"/>
  <c r="L308" i="37"/>
  <c r="L285" i="37"/>
  <c r="H7" i="40"/>
  <c r="H13" i="40"/>
  <c r="H18" i="40" s="1"/>
  <c r="H23" i="40" s="1"/>
  <c r="H24" i="40" s="1"/>
  <c r="L307" i="37"/>
  <c r="Y13" i="1" s="1"/>
  <c r="AY139" i="38"/>
  <c r="AU436" i="38"/>
  <c r="AU481" i="38" s="1"/>
  <c r="D5597" i="22" s="1"/>
  <c r="L65" i="37"/>
  <c r="L17" i="37"/>
  <c r="L442" i="37" s="1"/>
  <c r="AY132" i="38"/>
  <c r="H103" i="40"/>
  <c r="L359" i="37"/>
  <c r="AU150" i="38"/>
  <c r="L5184" i="22" s="1"/>
  <c r="L5185" i="22" s="1"/>
  <c r="AY134" i="38"/>
  <c r="AU153" i="38"/>
  <c r="AU460" i="38"/>
  <c r="AU152" i="38"/>
  <c r="G5178" i="22"/>
  <c r="F5178" i="22"/>
  <c r="E5178" i="22"/>
  <c r="G5175" i="22"/>
  <c r="F5175" i="22"/>
  <c r="E5175" i="22"/>
  <c r="G5173" i="22"/>
  <c r="F5173" i="22"/>
  <c r="E5173" i="22"/>
  <c r="E5167" i="22"/>
  <c r="F5167" i="22" s="1"/>
  <c r="G5167" i="22" s="1"/>
  <c r="F5161" i="22"/>
  <c r="E5161" i="22"/>
  <c r="D5161" i="22"/>
  <c r="D5143" i="22"/>
  <c r="D5150" i="22" s="1"/>
  <c r="Y329" i="1" l="1"/>
  <c r="Y82" i="1"/>
  <c r="L304" i="37"/>
  <c r="AU473" i="38"/>
  <c r="AU476" i="38" s="1"/>
  <c r="D5147" i="22"/>
  <c r="E5143" i="22"/>
  <c r="Y11" i="1" l="1"/>
  <c r="Y165" i="1" s="1"/>
  <c r="Y169" i="1" s="1"/>
  <c r="Y288" i="1"/>
  <c r="Y10" i="1"/>
  <c r="E5150" i="22"/>
  <c r="F5143" i="22"/>
  <c r="E5147" i="22"/>
  <c r="Y12" i="1" l="1"/>
  <c r="Y14" i="1" s="1"/>
  <c r="AA192" i="15" s="1"/>
  <c r="F5150" i="22"/>
  <c r="F5147" i="22"/>
  <c r="Y151" i="1" l="1"/>
  <c r="Y19" i="1"/>
  <c r="Y60" i="1"/>
  <c r="Y66" i="1" s="1"/>
  <c r="Y30" i="1"/>
  <c r="Y42" i="1" s="1"/>
  <c r="CI363" i="38"/>
  <c r="CI362" i="38"/>
  <c r="CI361" i="38"/>
  <c r="CI352" i="38"/>
  <c r="CI351" i="38"/>
  <c r="CI350" i="38"/>
  <c r="Y440" i="1" l="1"/>
  <c r="Y21" i="1"/>
  <c r="Y162" i="1"/>
  <c r="Y47" i="1"/>
  <c r="Y69" i="1"/>
  <c r="T70" i="10"/>
  <c r="U70" i="10" s="1"/>
  <c r="T71" i="10"/>
  <c r="U71" i="10" s="1"/>
  <c r="L482" i="37"/>
  <c r="AT514" i="38"/>
  <c r="AT507" i="38"/>
  <c r="AT506" i="38"/>
  <c r="AT504" i="38"/>
  <c r="AT484" i="38"/>
  <c r="AT417" i="38"/>
  <c r="AT416" i="38"/>
  <c r="AT413" i="38"/>
  <c r="K436" i="37" s="1"/>
  <c r="AT411" i="38"/>
  <c r="K433" i="37" s="1"/>
  <c r="K62" i="37"/>
  <c r="AT294" i="38"/>
  <c r="K177" i="37" s="1"/>
  <c r="K265" i="37" s="1"/>
  <c r="AT293" i="38"/>
  <c r="K176" i="37" s="1"/>
  <c r="K264" i="37" s="1"/>
  <c r="AT292" i="38"/>
  <c r="K175" i="37" s="1"/>
  <c r="K263" i="37" s="1"/>
  <c r="AT291" i="38"/>
  <c r="K174" i="37" s="1"/>
  <c r="K262" i="37" s="1"/>
  <c r="AT133" i="38"/>
  <c r="AT131" i="38"/>
  <c r="K303" i="37" s="1"/>
  <c r="AT118" i="38"/>
  <c r="AT117" i="38"/>
  <c r="AT116" i="38"/>
  <c r="AT115" i="38"/>
  <c r="K287" i="37" s="1"/>
  <c r="G58" i="40" s="1"/>
  <c r="AT110" i="38"/>
  <c r="K281" i="37" s="1"/>
  <c r="AT105" i="38"/>
  <c r="AT104" i="38"/>
  <c r="AT103" i="38"/>
  <c r="AT71" i="38"/>
  <c r="K77" i="37" s="1"/>
  <c r="G5" i="40" s="1"/>
  <c r="AT68" i="38"/>
  <c r="K75" i="37" s="1"/>
  <c r="AT65" i="38"/>
  <c r="AT53" i="38"/>
  <c r="K61" i="37" s="1"/>
  <c r="G92" i="40" s="1"/>
  <c r="AT52" i="38"/>
  <c r="K60" i="37" s="1"/>
  <c r="G62" i="40" s="1"/>
  <c r="AT51" i="38"/>
  <c r="AT34" i="38"/>
  <c r="AT31" i="38"/>
  <c r="K33" i="37" s="1"/>
  <c r="AT30" i="38"/>
  <c r="K32" i="37" s="1"/>
  <c r="AT28" i="38"/>
  <c r="AT18" i="38"/>
  <c r="K22" i="37" s="1"/>
  <c r="AT17" i="38"/>
  <c r="K21" i="37" s="1"/>
  <c r="G91" i="40" s="1"/>
  <c r="AT16" i="38"/>
  <c r="K20" i="37" s="1"/>
  <c r="G61" i="40" s="1"/>
  <c r="AT15" i="38"/>
  <c r="K19" i="37" s="1"/>
  <c r="G55" i="40" s="1"/>
  <c r="AT5" i="38"/>
  <c r="K7" i="37" s="1"/>
  <c r="G79" i="40" s="1"/>
  <c r="AT4" i="38"/>
  <c r="K6" i="37" s="1"/>
  <c r="G73" i="40" s="1"/>
  <c r="AT3" i="38"/>
  <c r="K5" i="37" s="1"/>
  <c r="G67" i="40" s="1"/>
  <c r="AT41" i="38"/>
  <c r="AT40" i="38"/>
  <c r="K47" i="37" s="1"/>
  <c r="G74" i="40" s="1"/>
  <c r="AT39" i="38"/>
  <c r="K46" i="37" s="1"/>
  <c r="G68" i="40" s="1"/>
  <c r="D5126" i="22"/>
  <c r="E5126" i="22" s="1"/>
  <c r="F5126" i="22" s="1"/>
  <c r="G5126" i="22" s="1"/>
  <c r="Y390" i="1" l="1"/>
  <c r="Y71" i="1"/>
  <c r="Y48" i="1"/>
  <c r="Y79" i="1"/>
  <c r="Y88" i="1" s="1"/>
  <c r="Y56" i="1"/>
  <c r="Y361" i="1"/>
  <c r="Y163" i="1"/>
  <c r="Y178" i="1" s="1"/>
  <c r="Y171" i="1"/>
  <c r="Y173" i="1" s="1"/>
  <c r="Y186" i="1"/>
  <c r="K35" i="37"/>
  <c r="X5" i="1" s="1"/>
  <c r="AT437" i="38"/>
  <c r="G59" i="40"/>
  <c r="K48" i="37"/>
  <c r="G80" i="40" s="1"/>
  <c r="AT19" i="38"/>
  <c r="AT55" i="38"/>
  <c r="K63" i="37" s="1"/>
  <c r="K445" i="37"/>
  <c r="K23" i="37"/>
  <c r="AT119" i="38"/>
  <c r="K291" i="37" s="1"/>
  <c r="R282" i="19"/>
  <c r="K30" i="37"/>
  <c r="K72" i="37"/>
  <c r="K273" i="37"/>
  <c r="G70" i="40" s="1"/>
  <c r="G71" i="40" s="1"/>
  <c r="K288" i="37"/>
  <c r="G64" i="40" s="1"/>
  <c r="G65" i="40" s="1"/>
  <c r="K274" i="37"/>
  <c r="G76" i="40" s="1"/>
  <c r="G77" i="40" s="1"/>
  <c r="K289" i="37"/>
  <c r="G94" i="40" s="1"/>
  <c r="G95" i="40" s="1"/>
  <c r="K59" i="37"/>
  <c r="G56" i="40" s="1"/>
  <c r="K275" i="37"/>
  <c r="G82" i="40" s="1"/>
  <c r="G83" i="40" s="1"/>
  <c r="K290" i="37"/>
  <c r="AT485" i="38"/>
  <c r="AD962" i="38"/>
  <c r="AC962" i="38"/>
  <c r="AA962" i="38"/>
  <c r="Y962" i="38"/>
  <c r="X962" i="38"/>
  <c r="R309" i="19"/>
  <c r="AS451" i="38"/>
  <c r="AS441" i="38"/>
  <c r="F9" i="40" s="1"/>
  <c r="AD927" i="38"/>
  <c r="AD926" i="38"/>
  <c r="AD924" i="38"/>
  <c r="AS568" i="38"/>
  <c r="AS556" i="38"/>
  <c r="AS540" i="38"/>
  <c r="AS536" i="38"/>
  <c r="AS457" i="38"/>
  <c r="AS436" i="38"/>
  <c r="AS481" i="38" s="1"/>
  <c r="AS358" i="38"/>
  <c r="AS314" i="38"/>
  <c r="AS313" i="38"/>
  <c r="AS312" i="38"/>
  <c r="AS303" i="38"/>
  <c r="AS302" i="38"/>
  <c r="AS275" i="38"/>
  <c r="AS300" i="38" s="1"/>
  <c r="AS250" i="38"/>
  <c r="AS193" i="38"/>
  <c r="AD956" i="38" s="1"/>
  <c r="AS192" i="38"/>
  <c r="AD955" i="38" s="1"/>
  <c r="AS191" i="38"/>
  <c r="AD954" i="38" s="1"/>
  <c r="AS181" i="38"/>
  <c r="AD950" i="38" s="1"/>
  <c r="AS180" i="38"/>
  <c r="AD949" i="38" s="1"/>
  <c r="AS179" i="38"/>
  <c r="AD948" i="38" s="1"/>
  <c r="AS129" i="38"/>
  <c r="AS205" i="38" s="1"/>
  <c r="AS119" i="38"/>
  <c r="AS106" i="38"/>
  <c r="AS550" i="38" s="1"/>
  <c r="AS97" i="38"/>
  <c r="AS95" i="38"/>
  <c r="AS88" i="38"/>
  <c r="AS87" i="38"/>
  <c r="AS86" i="38"/>
  <c r="AS78" i="38"/>
  <c r="AS77" i="38"/>
  <c r="AS76" i="38"/>
  <c r="AS66" i="38"/>
  <c r="AS55" i="38"/>
  <c r="AS38" i="38"/>
  <c r="AS102" i="38" s="1"/>
  <c r="AS178" i="38" s="1"/>
  <c r="AS19" i="38"/>
  <c r="X7" i="1" l="1"/>
  <c r="X301" i="1"/>
  <c r="X419" i="1"/>
  <c r="X305" i="1"/>
  <c r="X313" i="1"/>
  <c r="X340" i="1"/>
  <c r="G4" i="40"/>
  <c r="K41" i="37"/>
  <c r="AS322" i="38"/>
  <c r="AT66" i="38"/>
  <c r="AS195" i="38"/>
  <c r="AD923" i="38"/>
  <c r="AD947" i="38" s="1"/>
  <c r="AD928" i="38"/>
  <c r="U189" i="10"/>
  <c r="Q308" i="19"/>
  <c r="V4642" i="22" l="1"/>
  <c r="K73" i="37"/>
  <c r="L4893" i="22" l="1"/>
  <c r="L4892" i="22"/>
  <c r="L4890" i="22"/>
  <c r="L4891" i="22" s="1"/>
  <c r="C5120" i="22"/>
  <c r="C5118" i="22"/>
  <c r="T189" i="10"/>
  <c r="L4894" i="22" l="1"/>
  <c r="C5121" i="22"/>
  <c r="U274" i="10"/>
  <c r="T274" i="10"/>
  <c r="AY471" i="38" l="1"/>
  <c r="AO470" i="38"/>
  <c r="AO472" i="38"/>
  <c r="AO469" i="38"/>
  <c r="AJ468" i="38"/>
  <c r="AO468" i="38"/>
  <c r="T209" i="10"/>
  <c r="U209" i="10"/>
  <c r="AE154" i="10"/>
  <c r="AE129" i="10" s="1"/>
  <c r="AD154" i="10"/>
  <c r="AD129" i="10" s="1"/>
  <c r="AC154" i="10"/>
  <c r="AC129" i="10" s="1"/>
  <c r="AB154" i="10"/>
  <c r="AB129" i="10" s="1"/>
  <c r="AE152" i="10"/>
  <c r="AD152" i="10"/>
  <c r="AC152" i="10"/>
  <c r="AB152" i="10"/>
  <c r="AA152" i="10"/>
  <c r="AE99" i="10"/>
  <c r="AD99" i="10"/>
  <c r="AC99" i="10"/>
  <c r="AB99" i="10"/>
  <c r="AA99" i="10"/>
  <c r="D5077" i="22" l="1"/>
  <c r="B5091" i="22" l="1"/>
  <c r="B5090" i="22"/>
  <c r="B5089" i="22"/>
  <c r="N4912" i="22" l="1"/>
  <c r="O4912" i="22"/>
  <c r="P4912" i="22"/>
  <c r="Q4912" i="22"/>
  <c r="M4912" i="22"/>
  <c r="C4899" i="22"/>
  <c r="D4898" i="22"/>
  <c r="D4899" i="22" s="1"/>
  <c r="E4898" i="22" l="1"/>
  <c r="E4899" i="22" l="1"/>
  <c r="F4898" i="22"/>
  <c r="F4899" i="22" l="1"/>
  <c r="G4898" i="22"/>
  <c r="G4899" i="22" s="1"/>
  <c r="C5013" i="22" l="1"/>
  <c r="D5013" i="22"/>
  <c r="D5012" i="22"/>
  <c r="E5012" i="22" s="1"/>
  <c r="F5012" i="22" s="1"/>
  <c r="G5012" i="22" s="1"/>
  <c r="H5012" i="22" s="1"/>
  <c r="I5012" i="22" s="1"/>
  <c r="J5012" i="22" s="1"/>
  <c r="K5012" i="22" s="1"/>
  <c r="L5012" i="22" s="1"/>
  <c r="M5012" i="22" s="1"/>
  <c r="N5012" i="22" s="1"/>
  <c r="O5012" i="22" s="1"/>
  <c r="P5012" i="22" s="1"/>
  <c r="B4925" i="22"/>
  <c r="C4908" i="22"/>
  <c r="AR95" i="38" l="1"/>
  <c r="AR106" i="38"/>
  <c r="AR302" i="38"/>
  <c r="AR303" i="38"/>
  <c r="AR312" i="38"/>
  <c r="AR313" i="38"/>
  <c r="AR314" i="38"/>
  <c r="AR322" i="38"/>
  <c r="D5010" i="22"/>
  <c r="B5006" i="22"/>
  <c r="D5000" i="22"/>
  <c r="D5004" i="22" s="1"/>
  <c r="E4957" i="22"/>
  <c r="F4957" i="22" s="1"/>
  <c r="G4957" i="22" s="1"/>
  <c r="H4957" i="22" s="1"/>
  <c r="I4957" i="22" s="1"/>
  <c r="J4957" i="22" s="1"/>
  <c r="K4957" i="22" s="1"/>
  <c r="D4956" i="22"/>
  <c r="C4977" i="22"/>
  <c r="C4980" i="22" s="1"/>
  <c r="M226" i="14"/>
  <c r="I226" i="14"/>
  <c r="J226" i="14" s="1"/>
  <c r="E4961" i="22"/>
  <c r="D4947" i="22"/>
  <c r="D4940" i="22"/>
  <c r="E4940" i="22" s="1"/>
  <c r="F4940" i="22" s="1"/>
  <c r="G4940" i="22" s="1"/>
  <c r="H4940" i="22" s="1"/>
  <c r="I4940" i="22" s="1"/>
  <c r="J4940" i="22" s="1"/>
  <c r="K4940" i="22" s="1"/>
  <c r="O226" i="14" l="1"/>
  <c r="E4956" i="22"/>
  <c r="D4953" i="22"/>
  <c r="F4961" i="22"/>
  <c r="G4961" i="22" s="1"/>
  <c r="H4961" i="22" l="1"/>
  <c r="I4961" i="22" l="1"/>
  <c r="J4961" i="22" l="1"/>
  <c r="C4909" i="22" l="1"/>
  <c r="C4888" i="22"/>
  <c r="C4890" i="22" s="1"/>
  <c r="AR556" i="38"/>
  <c r="C4902" i="22"/>
  <c r="C4903" i="22" s="1"/>
  <c r="B4926" i="22"/>
  <c r="B4927" i="22"/>
  <c r="C4905" i="22" l="1"/>
  <c r="C4904" i="22"/>
  <c r="C4891" i="22"/>
  <c r="D4902" i="22"/>
  <c r="E4902" i="22" s="1"/>
  <c r="F4902" i="22" s="1"/>
  <c r="G4902" i="22" s="1"/>
  <c r="D4922" i="22" l="1"/>
  <c r="E4922" i="22" s="1"/>
  <c r="F4922" i="22" s="1"/>
  <c r="G4922" i="22" s="1"/>
  <c r="K440" i="37"/>
  <c r="C3471" i="34"/>
  <c r="J91" i="13"/>
  <c r="AR568" i="38"/>
  <c r="AR536" i="38"/>
  <c r="AR457" i="38"/>
  <c r="AR451" i="38"/>
  <c r="AR441" i="38"/>
  <c r="AR410" i="38"/>
  <c r="AQ410" i="38"/>
  <c r="AP410" i="38"/>
  <c r="AR275" i="38"/>
  <c r="AR300" i="38" s="1"/>
  <c r="CH363" i="38"/>
  <c r="CH362" i="38"/>
  <c r="CH361" i="38"/>
  <c r="CH352" i="38"/>
  <c r="CH351" i="38"/>
  <c r="CH350" i="38"/>
  <c r="AR358" i="38"/>
  <c r="AR614" i="38"/>
  <c r="AR211" i="38"/>
  <c r="AR382" i="38"/>
  <c r="AR436" i="38" s="1"/>
  <c r="AR481" i="38" s="1"/>
  <c r="AR193" i="38"/>
  <c r="AC956" i="38" s="1"/>
  <c r="AR192" i="38"/>
  <c r="AC955" i="38" s="1"/>
  <c r="AR191" i="38"/>
  <c r="AC954" i="38" s="1"/>
  <c r="AR181" i="38"/>
  <c r="AC950" i="38" s="1"/>
  <c r="AR180" i="38"/>
  <c r="AC949" i="38" s="1"/>
  <c r="AR179" i="38"/>
  <c r="AC948" i="38" s="1"/>
  <c r="AR129" i="38"/>
  <c r="AR205" i="38" s="1"/>
  <c r="AR119" i="38"/>
  <c r="AR550" i="38"/>
  <c r="AR552" i="38" s="1"/>
  <c r="AR553" i="38" s="1"/>
  <c r="AR97" i="38"/>
  <c r="AR88" i="38"/>
  <c r="AR87" i="38"/>
  <c r="AR86" i="38"/>
  <c r="AR78" i="38"/>
  <c r="AR77" i="38"/>
  <c r="AR76" i="38"/>
  <c r="AR55" i="38"/>
  <c r="AR38" i="38"/>
  <c r="AR102" i="38" s="1"/>
  <c r="AR178" i="38" s="1"/>
  <c r="AR19" i="38"/>
  <c r="T4642" i="22"/>
  <c r="AC928" i="38"/>
  <c r="AC927" i="38"/>
  <c r="AC926" i="38"/>
  <c r="AC924" i="38"/>
  <c r="AC930" i="38"/>
  <c r="AC923" i="38"/>
  <c r="AC947" i="38" s="1"/>
  <c r="AT410" i="38" l="1"/>
  <c r="AT412" i="38" s="1"/>
  <c r="AT414" i="38" s="1"/>
  <c r="AR195" i="38"/>
  <c r="U4642" i="22"/>
  <c r="B4859" i="22"/>
  <c r="C4859" i="22"/>
  <c r="C4852" i="22"/>
  <c r="D4852" i="22" s="1"/>
  <c r="C4842" i="22"/>
  <c r="C4838" i="22"/>
  <c r="B16" i="44"/>
  <c r="AY436" i="38"/>
  <c r="AY481" i="38" s="1"/>
  <c r="AT436" i="38"/>
  <c r="AT481" i="38" s="1"/>
  <c r="G143" i="14"/>
  <c r="H143" i="14" s="1"/>
  <c r="I143" i="14" s="1"/>
  <c r="J143" i="14" s="1"/>
  <c r="K143" i="14" s="1"/>
  <c r="L143" i="14" s="1"/>
  <c r="M143" i="14" s="1"/>
  <c r="N143" i="14" s="1"/>
  <c r="O143" i="14" s="1"/>
  <c r="P143" i="14" s="1"/>
  <c r="Q143" i="14" s="1"/>
  <c r="R143" i="14" s="1"/>
  <c r="S143" i="14" s="1"/>
  <c r="T143" i="14" s="1"/>
  <c r="U143" i="14" s="1"/>
  <c r="V143" i="14" s="1"/>
  <c r="W143" i="14" s="1"/>
  <c r="AI120" i="15"/>
  <c r="AH120" i="15"/>
  <c r="AG120" i="15"/>
  <c r="AF120" i="15"/>
  <c r="AE120" i="15"/>
  <c r="AB12" i="40"/>
  <c r="M148" i="37"/>
  <c r="T177" i="37"/>
  <c r="T141" i="37"/>
  <c r="T114" i="37"/>
  <c r="T112" i="37"/>
  <c r="T102" i="37"/>
  <c r="T95" i="37"/>
  <c r="S177" i="37"/>
  <c r="S141" i="37"/>
  <c r="S114" i="37"/>
  <c r="S112" i="37"/>
  <c r="S102" i="37"/>
  <c r="S95" i="37"/>
  <c r="R177" i="37"/>
  <c r="R141" i="37"/>
  <c r="R114" i="37"/>
  <c r="R112" i="37"/>
  <c r="R102" i="37"/>
  <c r="R95" i="37"/>
  <c r="Q177" i="37"/>
  <c r="Q141" i="37"/>
  <c r="Q114" i="37"/>
  <c r="Q112" i="37"/>
  <c r="Q102" i="37"/>
  <c r="Q95" i="37"/>
  <c r="P177" i="37"/>
  <c r="P141" i="37"/>
  <c r="P114" i="37"/>
  <c r="P112" i="37"/>
  <c r="P102" i="37"/>
  <c r="P95" i="37"/>
  <c r="AY466" i="38"/>
  <c r="AY456" i="38"/>
  <c r="AY275" i="38"/>
  <c r="AY300" i="38" s="1"/>
  <c r="AY250" i="38"/>
  <c r="AY90" i="38"/>
  <c r="AY38" i="38"/>
  <c r="AY102" i="38" s="1"/>
  <c r="AY178" i="38" s="1"/>
  <c r="CG363" i="38"/>
  <c r="CG362" i="38"/>
  <c r="CG361" i="38"/>
  <c r="CG352" i="38"/>
  <c r="CG351" i="38"/>
  <c r="CG350" i="38"/>
  <c r="AQ112" i="38"/>
  <c r="AQ48" i="38"/>
  <c r="AQ45" i="38" s="1"/>
  <c r="AQ308" i="38" s="1"/>
  <c r="AV357" i="38" s="1"/>
  <c r="AQ46" i="38"/>
  <c r="AQ10" i="38"/>
  <c r="AQ186" i="38" s="1"/>
  <c r="AQ614" i="38"/>
  <c r="AB928" i="38"/>
  <c r="AB927" i="38"/>
  <c r="AB926" i="38"/>
  <c r="AB924" i="38"/>
  <c r="AB923" i="38"/>
  <c r="AB947" i="38" s="1"/>
  <c r="AB930" i="38"/>
  <c r="AQ457" i="38"/>
  <c r="AQ451" i="38"/>
  <c r="AQ447" i="38"/>
  <c r="AQ441" i="38"/>
  <c r="AQ568" i="38"/>
  <c r="AQ539" i="38"/>
  <c r="AQ536" i="38"/>
  <c r="AQ382" i="38"/>
  <c r="AQ408" i="38" s="1"/>
  <c r="AQ358" i="38"/>
  <c r="AQ322" i="38"/>
  <c r="AQ314" i="38"/>
  <c r="AQ313" i="38"/>
  <c r="AQ302" i="38"/>
  <c r="AQ275" i="38"/>
  <c r="AQ300" i="38" s="1"/>
  <c r="AQ250" i="38"/>
  <c r="AQ151" i="38"/>
  <c r="AB962" i="38" s="1"/>
  <c r="AQ140" i="38"/>
  <c r="AQ119" i="38"/>
  <c r="AQ192" i="38"/>
  <c r="AB955" i="38" s="1"/>
  <c r="AQ191" i="38"/>
  <c r="AB954" i="38" s="1"/>
  <c r="AQ181" i="38"/>
  <c r="AB950" i="38" s="1"/>
  <c r="AQ180" i="38"/>
  <c r="AB949" i="38" s="1"/>
  <c r="AQ179" i="38"/>
  <c r="AB948" i="38" s="1"/>
  <c r="AQ129" i="38"/>
  <c r="AQ205" i="38" s="1"/>
  <c r="AQ97" i="38"/>
  <c r="AQ95" i="38"/>
  <c r="AQ88" i="38"/>
  <c r="AQ87" i="38"/>
  <c r="AQ86" i="38"/>
  <c r="AQ78" i="38"/>
  <c r="AQ77" i="38"/>
  <c r="AQ76" i="38"/>
  <c r="AQ55" i="38"/>
  <c r="AQ38" i="38"/>
  <c r="AQ102" i="38" s="1"/>
  <c r="AQ178" i="38" s="1"/>
  <c r="AQ19" i="38"/>
  <c r="F4830" i="22"/>
  <c r="F4829" i="22" s="1"/>
  <c r="E4829" i="22"/>
  <c r="C4829" i="22"/>
  <c r="C4788" i="22"/>
  <c r="B4788" i="22"/>
  <c r="B4825" i="22"/>
  <c r="B4824" i="22"/>
  <c r="B4822" i="22"/>
  <c r="B4821" i="22"/>
  <c r="B4820" i="22"/>
  <c r="B4803" i="22"/>
  <c r="B4819" i="22"/>
  <c r="B4818" i="22"/>
  <c r="B4817" i="22"/>
  <c r="B4816" i="22"/>
  <c r="B4815" i="22"/>
  <c r="B4813" i="22"/>
  <c r="B4812" i="22"/>
  <c r="B4810" i="22"/>
  <c r="B4809" i="22"/>
  <c r="B4808" i="22"/>
  <c r="B4807" i="22"/>
  <c r="B4806" i="22"/>
  <c r="B4805" i="22"/>
  <c r="B4804" i="22"/>
  <c r="B4801" i="22"/>
  <c r="C4800" i="22"/>
  <c r="B4800" i="22"/>
  <c r="B4799" i="22"/>
  <c r="B4798" i="22"/>
  <c r="B4797" i="22"/>
  <c r="B4796" i="22"/>
  <c r="B4795" i="22"/>
  <c r="B4794" i="22"/>
  <c r="B4793" i="22"/>
  <c r="B4792" i="22"/>
  <c r="G4787" i="22"/>
  <c r="F4787" i="22"/>
  <c r="E4787" i="22"/>
  <c r="D4787" i="22"/>
  <c r="C4787" i="22"/>
  <c r="B4790" i="22"/>
  <c r="D4775" i="22"/>
  <c r="C4775" i="22"/>
  <c r="D4772" i="22"/>
  <c r="C4772" i="22"/>
  <c r="AD120" i="15"/>
  <c r="AO417" i="38"/>
  <c r="AO485" i="38" s="1"/>
  <c r="CF363" i="38"/>
  <c r="CF362" i="38"/>
  <c r="CF361" i="38"/>
  <c r="CF360" i="38"/>
  <c r="CF358" i="38"/>
  <c r="CF352" i="38"/>
  <c r="CF351" i="38"/>
  <c r="CF350" i="38"/>
  <c r="AP568" i="38"/>
  <c r="AP539" i="38"/>
  <c r="F145" i="46" s="1"/>
  <c r="F146" i="46" s="1"/>
  <c r="AP536" i="38"/>
  <c r="H4642" i="22"/>
  <c r="H4643" i="22" s="1"/>
  <c r="Q4642" i="22"/>
  <c r="N4642" i="22"/>
  <c r="M4642" i="22"/>
  <c r="J4642" i="22"/>
  <c r="I4642" i="22"/>
  <c r="AP614" i="38"/>
  <c r="AA928" i="38"/>
  <c r="AA927" i="38"/>
  <c r="AA926" i="38"/>
  <c r="AA924" i="38"/>
  <c r="AA923" i="38"/>
  <c r="AA947" i="38" s="1"/>
  <c r="AA930" i="38"/>
  <c r="AP457" i="38"/>
  <c r="AP451" i="38"/>
  <c r="AP140" i="38"/>
  <c r="C6" i="40" s="1"/>
  <c r="AP129" i="38"/>
  <c r="AP205" i="38" s="1"/>
  <c r="AP441" i="38"/>
  <c r="C9" i="40" s="1"/>
  <c r="AP382" i="38"/>
  <c r="AP436" i="38" s="1"/>
  <c r="AP481" i="38" s="1"/>
  <c r="AP358" i="38"/>
  <c r="AP275" i="38"/>
  <c r="AP300" i="38" s="1"/>
  <c r="AP193" i="38"/>
  <c r="AA956" i="38" s="1"/>
  <c r="AP192" i="38"/>
  <c r="AA955" i="38" s="1"/>
  <c r="AP191" i="38"/>
  <c r="AA954" i="38" s="1"/>
  <c r="AP188" i="38"/>
  <c r="AP186" i="38"/>
  <c r="AP181" i="38"/>
  <c r="AA950" i="38" s="1"/>
  <c r="AP180" i="38"/>
  <c r="AA949" i="38" s="1"/>
  <c r="AP179" i="38"/>
  <c r="AA948" i="38" s="1"/>
  <c r="AP119" i="38"/>
  <c r="AP109" i="38"/>
  <c r="C99" i="40" s="1"/>
  <c r="AP106" i="38"/>
  <c r="C88" i="40" s="1"/>
  <c r="AP97" i="38"/>
  <c r="AP88" i="38"/>
  <c r="AP87" i="38"/>
  <c r="AP86" i="38"/>
  <c r="AP83" i="38"/>
  <c r="AP78" i="38"/>
  <c r="AP77" i="38"/>
  <c r="AP76" i="38"/>
  <c r="AP45" i="38"/>
  <c r="C98" i="40" s="1"/>
  <c r="AP42" i="38"/>
  <c r="C86" i="40" s="1"/>
  <c r="AP55" i="38"/>
  <c r="AP38" i="38"/>
  <c r="AP102" i="38" s="1"/>
  <c r="AP178" i="38" s="1"/>
  <c r="AP9" i="38"/>
  <c r="C97" i="40" s="1"/>
  <c r="AP6" i="38"/>
  <c r="AP19" i="38"/>
  <c r="B530" i="38"/>
  <c r="B529" i="38"/>
  <c r="B528" i="38"/>
  <c r="AO530" i="38"/>
  <c r="AO523" i="38"/>
  <c r="AC534" i="38"/>
  <c r="AB536" i="38"/>
  <c r="AD536" i="38"/>
  <c r="W538" i="38"/>
  <c r="X538" i="38"/>
  <c r="Y538" i="38"/>
  <c r="AB538" i="38"/>
  <c r="AC538" i="38" s="1"/>
  <c r="AD539" i="38"/>
  <c r="AD540" i="38" s="1"/>
  <c r="X540" i="38"/>
  <c r="Y540" i="38"/>
  <c r="Z540" i="38"/>
  <c r="B60" i="46"/>
  <c r="B31" i="46" s="1"/>
  <c r="AO484" i="38"/>
  <c r="G284" i="25"/>
  <c r="H284" i="25" s="1"/>
  <c r="I284" i="25" s="1"/>
  <c r="J284" i="25" s="1"/>
  <c r="K284" i="25" s="1"/>
  <c r="G265" i="25"/>
  <c r="G247" i="25"/>
  <c r="J83" i="13"/>
  <c r="B4776" i="22"/>
  <c r="B4784" i="22" s="1"/>
  <c r="B4775" i="22"/>
  <c r="B4783" i="22" s="1"/>
  <c r="B4774" i="22"/>
  <c r="B4773" i="22"/>
  <c r="B4782" i="22" s="1"/>
  <c r="B4772" i="22"/>
  <c r="B4771" i="22"/>
  <c r="B4781" i="22" s="1"/>
  <c r="B4770" i="22"/>
  <c r="B4780" i="22" s="1"/>
  <c r="B4769" i="22"/>
  <c r="B4779" i="22" s="1"/>
  <c r="D4758" i="22"/>
  <c r="E4758" i="22" s="1"/>
  <c r="F4758" i="22" s="1"/>
  <c r="AT456" i="38"/>
  <c r="X26" i="15"/>
  <c r="AO31" i="38"/>
  <c r="J33" i="37" s="1"/>
  <c r="AO30" i="38"/>
  <c r="J32" i="37" s="1"/>
  <c r="AO426" i="38"/>
  <c r="AO416" i="38"/>
  <c r="AO411" i="38"/>
  <c r="J433" i="37" s="1"/>
  <c r="Y152" i="15" s="1"/>
  <c r="AO409" i="38"/>
  <c r="AT466" i="38"/>
  <c r="AO466" i="38"/>
  <c r="AO316" i="38"/>
  <c r="CD363" i="38"/>
  <c r="CD362" i="38"/>
  <c r="CD361" i="38"/>
  <c r="CD360" i="38"/>
  <c r="CD358" i="38"/>
  <c r="CD352" i="38"/>
  <c r="CD351" i="38"/>
  <c r="CD349" i="38"/>
  <c r="CI349" i="38" s="1"/>
  <c r="CN349" i="38" s="1"/>
  <c r="CS349" i="38" s="1"/>
  <c r="CX349" i="38" s="1"/>
  <c r="AN322" i="38"/>
  <c r="AM322" i="38"/>
  <c r="AO294" i="38"/>
  <c r="J177" i="37" s="1"/>
  <c r="J265" i="37" s="1"/>
  <c r="AO293" i="38"/>
  <c r="J176" i="37" s="1"/>
  <c r="J264" i="37" s="1"/>
  <c r="AO292" i="38"/>
  <c r="J175" i="37" s="1"/>
  <c r="J263" i="37" s="1"/>
  <c r="J62" i="37"/>
  <c r="J74" i="37"/>
  <c r="AO67" i="38" s="1"/>
  <c r="AN180" i="38"/>
  <c r="Z949" i="38" s="1"/>
  <c r="AO133" i="38"/>
  <c r="J316" i="37" s="1"/>
  <c r="K316" i="37" s="1"/>
  <c r="AO131" i="38"/>
  <c r="J303" i="37" s="1"/>
  <c r="Y145" i="15" s="1"/>
  <c r="AO118" i="38"/>
  <c r="AO117" i="38"/>
  <c r="J289" i="37" s="1"/>
  <c r="AO116" i="38"/>
  <c r="AO105" i="38"/>
  <c r="J275" i="37" s="1"/>
  <c r="AO104" i="38"/>
  <c r="J274" i="37" s="1"/>
  <c r="U195" i="10" s="1"/>
  <c r="AO68" i="38"/>
  <c r="J75" i="37" s="1"/>
  <c r="AO66" i="38"/>
  <c r="J73" i="37" s="1"/>
  <c r="AJ65" i="38"/>
  <c r="I72" i="37" s="1"/>
  <c r="AO53" i="38"/>
  <c r="J61" i="37" s="1"/>
  <c r="AO52" i="38"/>
  <c r="J60" i="37" s="1"/>
  <c r="AO51" i="38"/>
  <c r="AO41" i="38"/>
  <c r="J48" i="37" s="1"/>
  <c r="AO40" i="38"/>
  <c r="J47" i="37" s="1"/>
  <c r="AO18" i="38"/>
  <c r="J22" i="37" s="1"/>
  <c r="AO17" i="38"/>
  <c r="J21" i="37" s="1"/>
  <c r="AO16" i="38"/>
  <c r="J20" i="37" s="1"/>
  <c r="AO15" i="38"/>
  <c r="J19" i="37" s="1"/>
  <c r="AO5" i="38"/>
  <c r="J7" i="37" s="1"/>
  <c r="AO4" i="38"/>
  <c r="AO3" i="38"/>
  <c r="J5" i="37" s="1"/>
  <c r="AK5" i="37" s="1"/>
  <c r="D4751" i="22"/>
  <c r="D4750" i="22"/>
  <c r="D4749" i="22"/>
  <c r="C4749" i="22"/>
  <c r="B4751" i="22"/>
  <c r="B4750" i="22"/>
  <c r="B4749" i="22"/>
  <c r="C4746" i="22"/>
  <c r="C4747" i="22" s="1"/>
  <c r="C4751" i="22" s="1"/>
  <c r="Z951" i="38"/>
  <c r="AN614" i="38"/>
  <c r="Z928" i="38"/>
  <c r="Z927" i="38"/>
  <c r="Z926" i="38"/>
  <c r="Z924" i="38"/>
  <c r="Z923" i="38"/>
  <c r="Z930" i="38"/>
  <c r="AN568" i="38"/>
  <c r="AN539" i="38"/>
  <c r="AN556" i="38" s="1"/>
  <c r="AN536" i="38"/>
  <c r="AN451" i="38"/>
  <c r="AN457" i="38"/>
  <c r="AN447" i="38"/>
  <c r="AN441" i="38"/>
  <c r="AN410" i="38"/>
  <c r="AN412" i="38" s="1"/>
  <c r="AM410" i="38"/>
  <c r="AM412" i="38" s="1"/>
  <c r="AL410" i="38"/>
  <c r="AL412" i="38" s="1"/>
  <c r="AK410" i="38"/>
  <c r="AN414" i="38"/>
  <c r="AN428" i="38" s="1"/>
  <c r="AM414" i="38"/>
  <c r="AM428" i="38" s="1"/>
  <c r="AL414" i="38"/>
  <c r="AL428" i="38" s="1"/>
  <c r="AK414" i="38"/>
  <c r="AK428" i="38" s="1"/>
  <c r="AG418" i="38"/>
  <c r="AC418" i="38"/>
  <c r="AB418" i="38"/>
  <c r="AN418" i="38"/>
  <c r="AM418" i="38"/>
  <c r="AL418" i="38"/>
  <c r="AK418" i="38"/>
  <c r="BW118" i="38"/>
  <c r="BW117" i="38"/>
  <c r="BW116" i="38"/>
  <c r="BW112" i="38"/>
  <c r="BW111" i="38"/>
  <c r="BW110" i="38"/>
  <c r="BW105" i="38"/>
  <c r="BW104" i="38"/>
  <c r="BW102" i="38"/>
  <c r="AN151" i="38"/>
  <c r="Z962" i="38" s="1"/>
  <c r="AN115" i="38"/>
  <c r="AN39" i="38"/>
  <c r="AN103" i="38"/>
  <c r="AN179" i="38" s="1"/>
  <c r="Z948" i="38" s="1"/>
  <c r="AN129" i="38"/>
  <c r="AN109" i="38"/>
  <c r="AN106" i="38"/>
  <c r="AN65" i="38"/>
  <c r="AN45" i="38"/>
  <c r="AN308" i="38" s="1"/>
  <c r="AN42" i="38"/>
  <c r="AN9" i="38"/>
  <c r="AN6" i="38"/>
  <c r="AN279" i="38" s="1"/>
  <c r="AN436" i="38"/>
  <c r="AN481" i="38" s="1"/>
  <c r="AN358" i="38"/>
  <c r="AN314" i="38"/>
  <c r="AN313" i="38"/>
  <c r="AN312" i="38"/>
  <c r="AN303" i="38"/>
  <c r="AN302" i="38"/>
  <c r="AN294" i="38"/>
  <c r="AN293" i="38"/>
  <c r="AN292" i="38"/>
  <c r="AN290" i="38"/>
  <c r="AN288" i="38"/>
  <c r="AN287" i="38"/>
  <c r="AN286" i="38"/>
  <c r="AN275" i="38"/>
  <c r="AN300" i="38" s="1"/>
  <c r="AN258" i="38"/>
  <c r="AN250" i="38"/>
  <c r="AN193" i="38"/>
  <c r="Z956" i="38" s="1"/>
  <c r="AN192" i="38"/>
  <c r="Z955" i="38" s="1"/>
  <c r="AN188" i="38"/>
  <c r="AN186" i="38"/>
  <c r="AN181" i="38"/>
  <c r="Z950" i="38" s="1"/>
  <c r="AN178" i="38"/>
  <c r="AN97" i="38"/>
  <c r="AN88" i="38"/>
  <c r="AN87" i="38"/>
  <c r="AN86" i="38"/>
  <c r="AN85" i="38"/>
  <c r="AN84" i="38"/>
  <c r="AN83" i="38"/>
  <c r="AN78" i="38"/>
  <c r="AN77" i="38"/>
  <c r="AN19" i="38"/>
  <c r="AN55" i="38"/>
  <c r="AN38" i="38"/>
  <c r="R228" i="19"/>
  <c r="S228" i="19" s="1"/>
  <c r="T228" i="19" s="1"/>
  <c r="U228" i="19" s="1"/>
  <c r="V228" i="19" s="1"/>
  <c r="W228" i="19" s="1"/>
  <c r="Q229" i="19"/>
  <c r="BV118" i="38"/>
  <c r="BV117" i="38"/>
  <c r="BV116" i="38"/>
  <c r="BV115" i="38"/>
  <c r="BV111" i="38"/>
  <c r="BV105" i="38"/>
  <c r="BV104" i="38"/>
  <c r="BV103" i="38"/>
  <c r="BV102" i="38"/>
  <c r="Y33" i="15"/>
  <c r="AL508" i="38"/>
  <c r="AM112" i="38"/>
  <c r="AM110" i="38"/>
  <c r="AO110" i="38" s="1"/>
  <c r="J281" i="37" s="1"/>
  <c r="C4268" i="22" s="1"/>
  <c r="CC363" i="38"/>
  <c r="CC362" i="38"/>
  <c r="CC361" i="38"/>
  <c r="CC352" i="38"/>
  <c r="CC351" i="38"/>
  <c r="CC350" i="38"/>
  <c r="AM46" i="38"/>
  <c r="AM12" i="38"/>
  <c r="AO12" i="38" s="1"/>
  <c r="J15" i="37" s="1"/>
  <c r="AM10" i="38"/>
  <c r="AO10" i="38" s="1"/>
  <c r="J13" i="37" s="1"/>
  <c r="AK13" i="37" s="1"/>
  <c r="K4071" i="22"/>
  <c r="AM568" i="38"/>
  <c r="AM536" i="38"/>
  <c r="AM539" i="38"/>
  <c r="AM556" i="38" s="1"/>
  <c r="BU118" i="38"/>
  <c r="BU117" i="38"/>
  <c r="BU116" i="38"/>
  <c r="BU115" i="38"/>
  <c r="AM457" i="38"/>
  <c r="O705" i="34"/>
  <c r="O706" i="34" s="1"/>
  <c r="S704" i="34"/>
  <c r="S703" i="34"/>
  <c r="S702" i="34"/>
  <c r="S700" i="34"/>
  <c r="S699" i="34"/>
  <c r="S698" i="34"/>
  <c r="S692" i="34"/>
  <c r="S691" i="34"/>
  <c r="S690" i="34"/>
  <c r="Q707" i="34"/>
  <c r="Q704" i="34"/>
  <c r="Q703" i="34"/>
  <c r="Q702" i="34"/>
  <c r="Q700" i="34"/>
  <c r="Q699" i="34"/>
  <c r="Q698" i="34"/>
  <c r="AM122" i="34"/>
  <c r="AM140" i="38"/>
  <c r="AM449" i="38" s="1"/>
  <c r="AM460" i="38" s="1"/>
  <c r="AM473" i="38" s="1"/>
  <c r="AM476" i="38" s="1"/>
  <c r="Q693" i="34"/>
  <c r="Q692" i="34"/>
  <c r="Q691" i="34"/>
  <c r="Q690" i="34"/>
  <c r="Y928" i="38"/>
  <c r="Y927" i="38"/>
  <c r="Y926" i="38"/>
  <c r="Y924" i="38"/>
  <c r="Y923" i="38"/>
  <c r="Y930" i="38"/>
  <c r="AK670" i="34"/>
  <c r="AK669" i="34"/>
  <c r="AK668" i="34"/>
  <c r="AK667" i="34"/>
  <c r="AK666" i="34"/>
  <c r="AK665" i="34"/>
  <c r="AK664" i="34"/>
  <c r="AK663" i="34"/>
  <c r="AK662" i="34"/>
  <c r="AK661" i="34"/>
  <c r="AK660" i="34"/>
  <c r="AM470" i="34"/>
  <c r="AM614" i="38"/>
  <c r="AL470" i="34"/>
  <c r="AL614" i="38"/>
  <c r="AK470" i="34"/>
  <c r="AK614" i="38"/>
  <c r="AM314" i="38"/>
  <c r="AM313" i="38"/>
  <c r="AM312" i="38"/>
  <c r="AM303" i="38"/>
  <c r="AM302" i="38"/>
  <c r="AM301" i="38"/>
  <c r="AM294" i="38"/>
  <c r="AM293" i="38"/>
  <c r="AM292" i="38"/>
  <c r="AM290" i="38"/>
  <c r="AM288" i="38"/>
  <c r="I4676" i="22" s="1"/>
  <c r="AM287" i="38"/>
  <c r="I4675" i="22" s="1"/>
  <c r="AM286" i="38"/>
  <c r="I4674" i="22" s="1"/>
  <c r="I4668" i="22"/>
  <c r="I4667" i="22"/>
  <c r="I4666" i="22"/>
  <c r="AM258" i="38"/>
  <c r="AM436" i="38"/>
  <c r="AM481" i="38" s="1"/>
  <c r="AM358" i="38"/>
  <c r="AM193" i="38"/>
  <c r="Y956" i="38" s="1"/>
  <c r="AM192" i="38"/>
  <c r="Y955" i="38" s="1"/>
  <c r="AM191" i="38"/>
  <c r="Y954" i="38" s="1"/>
  <c r="AM181" i="38"/>
  <c r="Y950" i="38" s="1"/>
  <c r="AM180" i="38"/>
  <c r="Y949" i="38" s="1"/>
  <c r="AM179" i="38"/>
  <c r="Y948" i="38" s="1"/>
  <c r="AM178" i="38"/>
  <c r="AM275" i="38"/>
  <c r="AM349" i="38" s="1"/>
  <c r="AM111" i="34"/>
  <c r="AM129" i="38"/>
  <c r="AM205" i="38" s="1"/>
  <c r="AM114" i="34"/>
  <c r="AM19" i="38"/>
  <c r="AM38" i="38"/>
  <c r="AM55" i="38"/>
  <c r="AM65" i="38"/>
  <c r="AM97" i="38"/>
  <c r="AM88" i="38"/>
  <c r="AM87" i="38"/>
  <c r="AM86" i="38"/>
  <c r="AM84" i="38"/>
  <c r="AM78" i="38"/>
  <c r="AM77" i="38"/>
  <c r="AM76" i="38"/>
  <c r="AM119" i="38"/>
  <c r="AL303" i="38"/>
  <c r="AL302" i="38"/>
  <c r="AL301" i="38"/>
  <c r="AL314" i="38"/>
  <c r="AL313" i="38"/>
  <c r="AL312" i="38"/>
  <c r="AK314" i="38"/>
  <c r="AK313" i="38"/>
  <c r="AK312" i="38"/>
  <c r="AK303" i="38"/>
  <c r="AK302" i="38"/>
  <c r="AK301" i="38"/>
  <c r="AK311" i="38"/>
  <c r="E4712" i="22"/>
  <c r="D4712" i="22"/>
  <c r="R4688" i="22"/>
  <c r="Q4688" i="22"/>
  <c r="P4688" i="22"/>
  <c r="O4688" i="22"/>
  <c r="N4688" i="22"/>
  <c r="M4688" i="22"/>
  <c r="L4688" i="22"/>
  <c r="K4688" i="22"/>
  <c r="R4686" i="22"/>
  <c r="Q4686" i="22"/>
  <c r="P4686" i="22"/>
  <c r="O4686" i="22"/>
  <c r="N4686" i="22"/>
  <c r="M4686" i="22"/>
  <c r="L4686" i="22"/>
  <c r="K4686" i="22"/>
  <c r="Q4684" i="22"/>
  <c r="P4684" i="22"/>
  <c r="O4684" i="22"/>
  <c r="N4684" i="22"/>
  <c r="M4684" i="22"/>
  <c r="L4684" i="22"/>
  <c r="K4684" i="22"/>
  <c r="R4684" i="22"/>
  <c r="J130" i="37"/>
  <c r="K148" i="37" s="1"/>
  <c r="AT275" i="38"/>
  <c r="AT300" i="38" s="1"/>
  <c r="AT262" i="38"/>
  <c r="AT255" i="38"/>
  <c r="AT254" i="38"/>
  <c r="AT250" i="38"/>
  <c r="AT139" i="38"/>
  <c r="K307" i="37" s="1"/>
  <c r="X13" i="1" s="1"/>
  <c r="AT90" i="38"/>
  <c r="AT38" i="38"/>
  <c r="AT102" i="38" s="1"/>
  <c r="AT178" i="38" s="1"/>
  <c r="AL568" i="38"/>
  <c r="AB550" i="38"/>
  <c r="BU112" i="38"/>
  <c r="BU111" i="38"/>
  <c r="BU110" i="38"/>
  <c r="BU105" i="38"/>
  <c r="BU104" i="38"/>
  <c r="BU103" i="38"/>
  <c r="BU102" i="38"/>
  <c r="M3982" i="22"/>
  <c r="S307" i="10"/>
  <c r="S306" i="10"/>
  <c r="S310" i="10" s="1"/>
  <c r="AK556" i="38"/>
  <c r="AL456" i="38"/>
  <c r="AO456" i="38" s="1"/>
  <c r="C2846" i="34"/>
  <c r="C2843" i="34"/>
  <c r="O4665" i="22"/>
  <c r="N4665" i="22"/>
  <c r="M4665" i="22"/>
  <c r="L4665" i="22"/>
  <c r="AH285" i="38"/>
  <c r="F4673" i="22" s="1"/>
  <c r="AG285" i="38"/>
  <c r="AE285" i="38"/>
  <c r="AC285" i="38"/>
  <c r="AB285" i="38"/>
  <c r="AK285" i="38"/>
  <c r="G4673" i="22" s="1"/>
  <c r="AG283" i="38"/>
  <c r="AE283" i="38"/>
  <c r="AD283" i="38"/>
  <c r="AC283" i="38"/>
  <c r="AB283" i="38"/>
  <c r="AL294" i="38"/>
  <c r="AL293" i="38"/>
  <c r="AL292" i="38"/>
  <c r="AL290" i="38"/>
  <c r="AL288" i="38"/>
  <c r="H4676" i="22" s="1"/>
  <c r="AL287" i="38"/>
  <c r="H4675" i="22" s="1"/>
  <c r="AL286" i="38"/>
  <c r="H4674" i="22" s="1"/>
  <c r="H4668" i="22"/>
  <c r="H4667" i="22"/>
  <c r="H4666" i="22"/>
  <c r="AK294" i="38"/>
  <c r="AK293" i="38"/>
  <c r="AK292" i="38"/>
  <c r="AK290" i="38"/>
  <c r="AK288" i="38"/>
  <c r="G4676" i="22" s="1"/>
  <c r="AK287" i="38"/>
  <c r="G4675" i="22" s="1"/>
  <c r="AK286" i="38"/>
  <c r="G4674" i="22" s="1"/>
  <c r="AK278" i="38"/>
  <c r="AK277" i="38"/>
  <c r="AK276" i="38"/>
  <c r="AH507" i="38"/>
  <c r="L190" i="14"/>
  <c r="K190" i="14"/>
  <c r="J190" i="14"/>
  <c r="I190" i="14"/>
  <c r="H190" i="14"/>
  <c r="CB363" i="38"/>
  <c r="CB362" i="38"/>
  <c r="CB361" i="38"/>
  <c r="CB358" i="38"/>
  <c r="CB352" i="38"/>
  <c r="CB351" i="38"/>
  <c r="CB350" i="38"/>
  <c r="AL48" i="38"/>
  <c r="AL85" i="38" s="1"/>
  <c r="AK514" i="38"/>
  <c r="AL514" i="38" s="1"/>
  <c r="AM514" i="38" s="1"/>
  <c r="AK513" i="38"/>
  <c r="AL513" i="38" s="1"/>
  <c r="AM513" i="38" s="1"/>
  <c r="AN513" i="38" s="1"/>
  <c r="AH515" i="38"/>
  <c r="AL539" i="38"/>
  <c r="AL556" i="38" s="1"/>
  <c r="AL536" i="38"/>
  <c r="AL270" i="38"/>
  <c r="AL322" i="38" s="1"/>
  <c r="AL97" i="38"/>
  <c r="AL88" i="38"/>
  <c r="AL87" i="38"/>
  <c r="AL86" i="38"/>
  <c r="AL84" i="38"/>
  <c r="AL83" i="38"/>
  <c r="AL78" i="38"/>
  <c r="AL77" i="38"/>
  <c r="AL76" i="38"/>
  <c r="G4643" i="22"/>
  <c r="F4643" i="22"/>
  <c r="E4643" i="22"/>
  <c r="D4643" i="22"/>
  <c r="E4614" i="22"/>
  <c r="G4614" i="22" s="1"/>
  <c r="H4614" i="22" s="1"/>
  <c r="E4613" i="22"/>
  <c r="G4613" i="22" s="1"/>
  <c r="H4613" i="22" s="1"/>
  <c r="D4615" i="22"/>
  <c r="E4615" i="22" s="1"/>
  <c r="X930" i="38"/>
  <c r="X928" i="38"/>
  <c r="X927" i="38"/>
  <c r="X926" i="38"/>
  <c r="X924" i="38"/>
  <c r="X923" i="38"/>
  <c r="AL358" i="38"/>
  <c r="AL275" i="38"/>
  <c r="AL300" i="38" s="1"/>
  <c r="AL436" i="38"/>
  <c r="AL481" i="38" s="1"/>
  <c r="AL140" i="38"/>
  <c r="AL449" i="38" s="1"/>
  <c r="AL460" i="38" s="1"/>
  <c r="AL473" i="38" s="1"/>
  <c r="AL476" i="38" s="1"/>
  <c r="AL129" i="38"/>
  <c r="AL205" i="38" s="1"/>
  <c r="AL193" i="38"/>
  <c r="X956" i="38" s="1"/>
  <c r="AL192" i="38"/>
  <c r="X955" i="38" s="1"/>
  <c r="AL191" i="38"/>
  <c r="X954" i="38" s="1"/>
  <c r="AL188" i="38"/>
  <c r="AL186" i="38"/>
  <c r="AL181" i="38"/>
  <c r="X950" i="38" s="1"/>
  <c r="AL180" i="38"/>
  <c r="X949" i="38" s="1"/>
  <c r="AL179" i="38"/>
  <c r="X948" i="38" s="1"/>
  <c r="AL178" i="38"/>
  <c r="AL109" i="38"/>
  <c r="AL106" i="38"/>
  <c r="AL119" i="38"/>
  <c r="AL55" i="38"/>
  <c r="AL42" i="38"/>
  <c r="AL304" i="38" s="1"/>
  <c r="AL38" i="38"/>
  <c r="AL9" i="38"/>
  <c r="AL19" i="38"/>
  <c r="AL6" i="38"/>
  <c r="AL279" i="38" s="1"/>
  <c r="AK538" i="38"/>
  <c r="AK536" i="38"/>
  <c r="D26" i="13"/>
  <c r="E26" i="13"/>
  <c r="F26" i="13"/>
  <c r="G26" i="13"/>
  <c r="H26" i="13"/>
  <c r="D4606" i="22"/>
  <c r="E4606" i="22" s="1"/>
  <c r="F4606" i="22" s="1"/>
  <c r="G4606" i="22" s="1"/>
  <c r="V4443" i="22"/>
  <c r="U4443" i="22"/>
  <c r="T4443" i="22"/>
  <c r="S4443" i="22"/>
  <c r="R4443" i="22"/>
  <c r="P4444" i="22"/>
  <c r="V4444" i="22" s="1"/>
  <c r="O4444" i="22"/>
  <c r="U4444" i="22" s="1"/>
  <c r="N4444" i="22"/>
  <c r="T4444" i="22" s="1"/>
  <c r="M4444" i="22"/>
  <c r="S4444" i="22" s="1"/>
  <c r="L4444" i="22"/>
  <c r="R4444" i="22" s="1"/>
  <c r="M4418" i="22"/>
  <c r="M4421" i="22"/>
  <c r="M4419" i="22"/>
  <c r="F4396" i="22"/>
  <c r="F4419" i="22" s="1"/>
  <c r="F4450" i="22" s="1"/>
  <c r="M4420" i="22"/>
  <c r="M4417" i="22"/>
  <c r="V4442" i="22"/>
  <c r="U4442" i="22"/>
  <c r="T4442" i="22"/>
  <c r="S4442" i="22"/>
  <c r="R4442" i="22"/>
  <c r="V4438" i="22"/>
  <c r="U4438" i="22"/>
  <c r="T4438" i="22"/>
  <c r="S4438" i="22"/>
  <c r="F4438" i="22"/>
  <c r="R4438" i="22" s="1"/>
  <c r="C4597" i="22"/>
  <c r="B4593" i="22"/>
  <c r="C4588" i="22"/>
  <c r="AK192" i="38"/>
  <c r="W955" i="38" s="1"/>
  <c r="BT102" i="38"/>
  <c r="BT118" i="38"/>
  <c r="BT117" i="38"/>
  <c r="BT116" i="38"/>
  <c r="BT115" i="38"/>
  <c r="BT112" i="38"/>
  <c r="BT111" i="38"/>
  <c r="BT110" i="38"/>
  <c r="BT105" i="38"/>
  <c r="BT104" i="38"/>
  <c r="BT103" i="38"/>
  <c r="G93" i="43"/>
  <c r="G106" i="43" s="1"/>
  <c r="G103" i="43"/>
  <c r="J4069" i="22"/>
  <c r="AK358" i="38"/>
  <c r="CA363" i="38"/>
  <c r="CA362" i="38"/>
  <c r="CA361" i="38"/>
  <c r="CA360" i="38"/>
  <c r="CA358" i="38"/>
  <c r="CA352" i="38"/>
  <c r="CA351" i="38"/>
  <c r="CA350" i="38"/>
  <c r="AK129" i="38"/>
  <c r="AK205" i="38" s="1"/>
  <c r="AK88" i="38"/>
  <c r="AK87" i="38"/>
  <c r="AK86" i="38"/>
  <c r="AK85" i="38"/>
  <c r="AK84" i="38"/>
  <c r="AK83" i="38"/>
  <c r="AH69" i="38"/>
  <c r="AF69" i="38"/>
  <c r="AK270" i="38"/>
  <c r="AK322" i="38" s="1"/>
  <c r="AK258" i="38"/>
  <c r="AK309" i="38"/>
  <c r="M4524" i="22"/>
  <c r="L4520" i="22"/>
  <c r="L4521" i="22"/>
  <c r="L4524" i="22" s="1"/>
  <c r="M4522" i="22"/>
  <c r="C4572" i="22"/>
  <c r="AK457" i="38"/>
  <c r="AK447" i="38"/>
  <c r="C2459" i="34"/>
  <c r="C2462" i="34"/>
  <c r="C2466" i="34"/>
  <c r="AK151" i="38"/>
  <c r="AK109" i="38"/>
  <c r="AK275" i="38"/>
  <c r="AK300" i="38" s="1"/>
  <c r="AK193" i="38"/>
  <c r="W956" i="38" s="1"/>
  <c r="AK191" i="38"/>
  <c r="W954" i="38" s="1"/>
  <c r="AK186" i="38"/>
  <c r="AK181" i="38"/>
  <c r="W950" i="38" s="1"/>
  <c r="AK180" i="38"/>
  <c r="W949" i="38" s="1"/>
  <c r="AK179" i="38"/>
  <c r="W948" i="38" s="1"/>
  <c r="AK178" i="38"/>
  <c r="AK106" i="38"/>
  <c r="AK119" i="38"/>
  <c r="AK97" i="38"/>
  <c r="AK78" i="38"/>
  <c r="AK77" i="38"/>
  <c r="AK76" i="38"/>
  <c r="AK55" i="38"/>
  <c r="AK45" i="38"/>
  <c r="AK42" i="38"/>
  <c r="CA353" i="38" s="1"/>
  <c r="AK38" i="38"/>
  <c r="AK19" i="38"/>
  <c r="AK6" i="38"/>
  <c r="AK9" i="38"/>
  <c r="AH612" i="38"/>
  <c r="AH611" i="38"/>
  <c r="AH610" i="38"/>
  <c r="AF612" i="38"/>
  <c r="AF611" i="38"/>
  <c r="AF610" i="38"/>
  <c r="AD612" i="38"/>
  <c r="AD611" i="38"/>
  <c r="AD610" i="38"/>
  <c r="AB612" i="38"/>
  <c r="AB611" i="38"/>
  <c r="AB610" i="38"/>
  <c r="AB608" i="38"/>
  <c r="AD608" i="38"/>
  <c r="AF608" i="38"/>
  <c r="AH608" i="38"/>
  <c r="W928" i="38"/>
  <c r="W927" i="38"/>
  <c r="W926" i="38"/>
  <c r="W924" i="38"/>
  <c r="W923" i="38"/>
  <c r="W930" i="38"/>
  <c r="AK436" i="38"/>
  <c r="AK481" i="38" s="1"/>
  <c r="D4400" i="22"/>
  <c r="E4400" i="22"/>
  <c r="C4406" i="22"/>
  <c r="D4406" i="22"/>
  <c r="C4403" i="22"/>
  <c r="D4403" i="22"/>
  <c r="C4394" i="22"/>
  <c r="D4394" i="22"/>
  <c r="D4390" i="22" s="1"/>
  <c r="J2994" i="22"/>
  <c r="F4549" i="22"/>
  <c r="F4547" i="22"/>
  <c r="E4547" i="22"/>
  <c r="D4547" i="22"/>
  <c r="C4547" i="22"/>
  <c r="C4537" i="22"/>
  <c r="C4538" i="22" s="1"/>
  <c r="E4535" i="22"/>
  <c r="G4535" i="22" s="1"/>
  <c r="E4534" i="22"/>
  <c r="G4534" i="22" s="1"/>
  <c r="E4533" i="22"/>
  <c r="G4533" i="22" s="1"/>
  <c r="E4532" i="22"/>
  <c r="G4532" i="22" s="1"/>
  <c r="E4531" i="22"/>
  <c r="G4531" i="22" s="1"/>
  <c r="E4530" i="22"/>
  <c r="G4530" i="22" s="1"/>
  <c r="E4529" i="22"/>
  <c r="G4529" i="22" s="1"/>
  <c r="E4528" i="22"/>
  <c r="G4528" i="22" s="1"/>
  <c r="E4527" i="22"/>
  <c r="G4527" i="22" s="1"/>
  <c r="E4526" i="22"/>
  <c r="G4526" i="22" s="1"/>
  <c r="E4525" i="22"/>
  <c r="G4525" i="22" s="1"/>
  <c r="E4524" i="22"/>
  <c r="G4524" i="22" s="1"/>
  <c r="E4523" i="22"/>
  <c r="G4523" i="22" s="1"/>
  <c r="E4522" i="22"/>
  <c r="G4522" i="22" s="1"/>
  <c r="E4521" i="22"/>
  <c r="G4521" i="22" s="1"/>
  <c r="E4520" i="22"/>
  <c r="G4520" i="22" s="1"/>
  <c r="E4519" i="22"/>
  <c r="G4519" i="22" s="1"/>
  <c r="E4518" i="22"/>
  <c r="G4518" i="22" s="1"/>
  <c r="E4517" i="22"/>
  <c r="G4517" i="22" s="1"/>
  <c r="E4516" i="22"/>
  <c r="B4461" i="22"/>
  <c r="B4460" i="22"/>
  <c r="B4459" i="22"/>
  <c r="B4458" i="22"/>
  <c r="B4419" i="22"/>
  <c r="B4434" i="22" s="1"/>
  <c r="B4450" i="22" s="1"/>
  <c r="B4423" i="22"/>
  <c r="B4438" i="22" s="1"/>
  <c r="B4454" i="22" s="1"/>
  <c r="B4425" i="22"/>
  <c r="B4440" i="22" s="1"/>
  <c r="B4456" i="22" s="1"/>
  <c r="B4424" i="22"/>
  <c r="B4439" i="22" s="1"/>
  <c r="B4455" i="22" s="1"/>
  <c r="B4422" i="22"/>
  <c r="B4437" i="22" s="1"/>
  <c r="B4453" i="22" s="1"/>
  <c r="B4421" i="22"/>
  <c r="B4436" i="22" s="1"/>
  <c r="B4452" i="22" s="1"/>
  <c r="B4420" i="22"/>
  <c r="B4435" i="22" s="1"/>
  <c r="B4451" i="22" s="1"/>
  <c r="B4418" i="22"/>
  <c r="B4433" i="22" s="1"/>
  <c r="B4449" i="22" s="1"/>
  <c r="B4417" i="22"/>
  <c r="B4432" i="22" s="1"/>
  <c r="B4448" i="22" s="1"/>
  <c r="D2304" i="34"/>
  <c r="B4499" i="22"/>
  <c r="B4500" i="22" s="1"/>
  <c r="B4501" i="22" s="1"/>
  <c r="B4502" i="22" s="1"/>
  <c r="B4503" i="22" s="1"/>
  <c r="B4504" i="22" s="1"/>
  <c r="B4505" i="22" s="1"/>
  <c r="B4506" i="22" s="1"/>
  <c r="B4507" i="22" s="1"/>
  <c r="C4489" i="22"/>
  <c r="D4497" i="22" s="1"/>
  <c r="J4469" i="22"/>
  <c r="I4469" i="22"/>
  <c r="H4469" i="22"/>
  <c r="G4469" i="22"/>
  <c r="F4469" i="22"/>
  <c r="E4464" i="22"/>
  <c r="F4410" i="22"/>
  <c r="G4410" i="22" s="1"/>
  <c r="G4422" i="22" s="1"/>
  <c r="G4453" i="22" s="1"/>
  <c r="E4403" i="22"/>
  <c r="E4406" i="22"/>
  <c r="E4468" i="22" s="1"/>
  <c r="F4389" i="22"/>
  <c r="X4453" i="22" s="1"/>
  <c r="E4394" i="22"/>
  <c r="E4390" i="22" s="1"/>
  <c r="E4472" i="22" s="1"/>
  <c r="F339" i="25"/>
  <c r="F290" i="25"/>
  <c r="G290" i="25" s="1"/>
  <c r="H290" i="25" s="1"/>
  <c r="I290" i="25" s="1"/>
  <c r="J290" i="25" s="1"/>
  <c r="K290" i="25" s="1"/>
  <c r="F265" i="25"/>
  <c r="F247" i="25"/>
  <c r="I91" i="13"/>
  <c r="AH538" i="38"/>
  <c r="AH535" i="38"/>
  <c r="AH534" i="38"/>
  <c r="AI314" i="38"/>
  <c r="AI313" i="38"/>
  <c r="AI312" i="38"/>
  <c r="AI303" i="38"/>
  <c r="AI302" i="38"/>
  <c r="AI301" i="38"/>
  <c r="AI29" i="38"/>
  <c r="AI296" i="38" s="1"/>
  <c r="AI28" i="38"/>
  <c r="AI295" i="38" s="1"/>
  <c r="AI294" i="38"/>
  <c r="AI293" i="38"/>
  <c r="AI292" i="38"/>
  <c r="AI290" i="38"/>
  <c r="AI288" i="38"/>
  <c r="AI287" i="38"/>
  <c r="AI286" i="38"/>
  <c r="AI279" i="38"/>
  <c r="AI278" i="38"/>
  <c r="AI277" i="38"/>
  <c r="AI276" i="38"/>
  <c r="AI250" i="38"/>
  <c r="BY362" i="38"/>
  <c r="BY361" i="38"/>
  <c r="BY351" i="38"/>
  <c r="BY350" i="38"/>
  <c r="AJ456" i="38"/>
  <c r="AJ441" i="38"/>
  <c r="AJ425" i="38"/>
  <c r="AJ424" i="38"/>
  <c r="AJ423" i="38"/>
  <c r="AJ416" i="38"/>
  <c r="AH426" i="38"/>
  <c r="AH428" i="38" s="1"/>
  <c r="AH417" i="38"/>
  <c r="AH418" i="38" s="1"/>
  <c r="AF417" i="38"/>
  <c r="AF418" i="38" s="1"/>
  <c r="AJ411" i="38"/>
  <c r="I433" i="37" s="1"/>
  <c r="X152" i="15" s="1"/>
  <c r="AJ409" i="38"/>
  <c r="AH410" i="38"/>
  <c r="AH412" i="38" s="1"/>
  <c r="AH413" i="38" s="1"/>
  <c r="AF410" i="38"/>
  <c r="AF412" i="38" s="1"/>
  <c r="AF413" i="38" s="1"/>
  <c r="AJ139" i="38"/>
  <c r="I307" i="37" s="1"/>
  <c r="V13" i="1" s="1"/>
  <c r="AA139" i="38"/>
  <c r="H307" i="37" s="1"/>
  <c r="U13" i="1" s="1"/>
  <c r="U82" i="1" s="1"/>
  <c r="AJ133" i="38"/>
  <c r="I316" i="37" s="1"/>
  <c r="AJ118" i="38"/>
  <c r="I290" i="37" s="1"/>
  <c r="AJ115" i="38"/>
  <c r="I287" i="37" s="1"/>
  <c r="D3838" i="22" s="1"/>
  <c r="E3838" i="22" s="1"/>
  <c r="F3838" i="22" s="1"/>
  <c r="AJ112" i="38"/>
  <c r="I283" i="37" s="1"/>
  <c r="AJ283" i="37" s="1"/>
  <c r="AJ111" i="38"/>
  <c r="AJ105" i="38"/>
  <c r="I275" i="37" s="1"/>
  <c r="AJ104" i="38"/>
  <c r="I274" i="37" s="1"/>
  <c r="AJ103" i="38"/>
  <c r="I273" i="37" s="1"/>
  <c r="D3832" i="22" s="1"/>
  <c r="E3832" i="22" s="1"/>
  <c r="F3832" i="22" s="1"/>
  <c r="AH375" i="38"/>
  <c r="C4712" i="22" s="1"/>
  <c r="AJ316" i="38"/>
  <c r="AH322" i="38"/>
  <c r="AH294" i="38"/>
  <c r="AH293" i="38"/>
  <c r="AH292" i="38"/>
  <c r="AH290" i="38"/>
  <c r="I74" i="37"/>
  <c r="AJ69" i="38"/>
  <c r="I76" i="37" s="1"/>
  <c r="AJ66" i="38"/>
  <c r="I73" i="37" s="1"/>
  <c r="AJ30" i="38"/>
  <c r="I32" i="37" s="1"/>
  <c r="C4562" i="22"/>
  <c r="X120" i="15"/>
  <c r="C4385" i="22"/>
  <c r="F4380" i="22"/>
  <c r="E4380" i="22"/>
  <c r="D4380" i="22"/>
  <c r="G4379" i="22"/>
  <c r="G4378" i="22"/>
  <c r="G4367" i="22"/>
  <c r="B4376" i="22"/>
  <c r="E4362" i="22"/>
  <c r="F4362" i="22" s="1"/>
  <c r="N957" i="38"/>
  <c r="M957" i="38"/>
  <c r="L957" i="38"/>
  <c r="K957" i="38"/>
  <c r="J957" i="38"/>
  <c r="I957" i="38"/>
  <c r="H957" i="38"/>
  <c r="G957" i="38"/>
  <c r="F957" i="38"/>
  <c r="E957" i="38"/>
  <c r="D957" i="38"/>
  <c r="C957" i="38"/>
  <c r="B957" i="38"/>
  <c r="V947" i="38"/>
  <c r="U947" i="38"/>
  <c r="T947" i="38"/>
  <c r="S947" i="38"/>
  <c r="R947" i="38"/>
  <c r="Q947" i="38"/>
  <c r="P947" i="38"/>
  <c r="S942" i="38"/>
  <c r="T942" i="38"/>
  <c r="U942" i="38"/>
  <c r="V942" i="38"/>
  <c r="B942" i="38"/>
  <c r="B938" i="38"/>
  <c r="J934" i="38"/>
  <c r="I934" i="38"/>
  <c r="H934" i="38"/>
  <c r="G934" i="38"/>
  <c r="F934" i="38"/>
  <c r="E934" i="38"/>
  <c r="D934" i="38"/>
  <c r="C934" i="38"/>
  <c r="D4359" i="22"/>
  <c r="E4359" i="22" s="1"/>
  <c r="AH155" i="38"/>
  <c r="AH457" i="38"/>
  <c r="AH363" i="38"/>
  <c r="AH362" i="38"/>
  <c r="AH361" i="38"/>
  <c r="AH353" i="38"/>
  <c r="AH352" i="38"/>
  <c r="AH351" i="38"/>
  <c r="AH350" i="38"/>
  <c r="AH250" i="38"/>
  <c r="AH29" i="38"/>
  <c r="AH296" i="38" s="1"/>
  <c r="AH28" i="38"/>
  <c r="AH295" i="38" s="1"/>
  <c r="AH137" i="38"/>
  <c r="AH449" i="38" s="1"/>
  <c r="AH460" i="38" s="1"/>
  <c r="AH473" i="38" s="1"/>
  <c r="AH476" i="38" s="1"/>
  <c r="AH129" i="38"/>
  <c r="AH205" i="38" s="1"/>
  <c r="AH119" i="38"/>
  <c r="AI48" i="38"/>
  <c r="AH48" i="38"/>
  <c r="V953" i="38" s="1"/>
  <c r="AI55" i="38"/>
  <c r="AI49" i="38" s="1"/>
  <c r="AI71" i="38" s="1"/>
  <c r="AE614" i="38"/>
  <c r="AD614" i="38" s="1"/>
  <c r="AI614" i="38"/>
  <c r="AH614" i="38" s="1"/>
  <c r="AH57" i="38"/>
  <c r="C4710" i="22" s="1"/>
  <c r="C4711" i="22" s="1"/>
  <c r="Q927" i="38"/>
  <c r="P927" i="38"/>
  <c r="O927" i="38"/>
  <c r="Q926" i="38"/>
  <c r="P926" i="38"/>
  <c r="O926" i="38"/>
  <c r="Q924" i="38"/>
  <c r="P924" i="38"/>
  <c r="O924" i="38"/>
  <c r="R923" i="38"/>
  <c r="Q923" i="38"/>
  <c r="P923" i="38"/>
  <c r="O923" i="38"/>
  <c r="R927" i="38"/>
  <c r="R926" i="38"/>
  <c r="R924" i="38"/>
  <c r="V928" i="38"/>
  <c r="V927" i="38"/>
  <c r="V926" i="38"/>
  <c r="V924" i="38"/>
  <c r="S928" i="38"/>
  <c r="S927" i="38"/>
  <c r="S926" i="38"/>
  <c r="S924" i="38"/>
  <c r="T928" i="38"/>
  <c r="T927" i="38"/>
  <c r="T926" i="38"/>
  <c r="T924" i="38"/>
  <c r="U928" i="38"/>
  <c r="U927" i="38"/>
  <c r="U926" i="38"/>
  <c r="U924" i="38"/>
  <c r="S923" i="38"/>
  <c r="T923" i="38"/>
  <c r="U923" i="38"/>
  <c r="V923" i="38"/>
  <c r="V930" i="38"/>
  <c r="AI436" i="38"/>
  <c r="AH436" i="38"/>
  <c r="AH481" i="38" s="1"/>
  <c r="AH517" i="38" s="1"/>
  <c r="AI431" i="38"/>
  <c r="AH431" i="38"/>
  <c r="AH480" i="38" s="1"/>
  <c r="AI275" i="38"/>
  <c r="AI300" i="38" s="1"/>
  <c r="AH275" i="38"/>
  <c r="AH349" i="38" s="1"/>
  <c r="AH382" i="38" s="1"/>
  <c r="AH408" i="38" s="1"/>
  <c r="AI97" i="38"/>
  <c r="AI88" i="38"/>
  <c r="AI87" i="38"/>
  <c r="AI86" i="38"/>
  <c r="AI78" i="38"/>
  <c r="AI77" i="38"/>
  <c r="AI76" i="38"/>
  <c r="AH97" i="38"/>
  <c r="AH53" i="38"/>
  <c r="AH52" i="38"/>
  <c r="AH51" i="38"/>
  <c r="AH312" i="38" s="1"/>
  <c r="AH41" i="38"/>
  <c r="AH303" i="38" s="1"/>
  <c r="AH40" i="38"/>
  <c r="AH302" i="38" s="1"/>
  <c r="AH39" i="38"/>
  <c r="AH301" i="38" s="1"/>
  <c r="AI38" i="38"/>
  <c r="AI102" i="38" s="1"/>
  <c r="AI178" i="38" s="1"/>
  <c r="AH38" i="38"/>
  <c r="AH102" i="38" s="1"/>
  <c r="AH178" i="38" s="1"/>
  <c r="AH21" i="38"/>
  <c r="AH153" i="38" s="1"/>
  <c r="AI19" i="38"/>
  <c r="AI13" i="38" s="1"/>
  <c r="AH17" i="38"/>
  <c r="AH16" i="38"/>
  <c r="AH192" i="38" s="1"/>
  <c r="V955" i="38" s="1"/>
  <c r="AH15" i="38"/>
  <c r="AH191" i="38" s="1"/>
  <c r="V954" i="38" s="1"/>
  <c r="AH188" i="38"/>
  <c r="AH5" i="38"/>
  <c r="AH278" i="38" s="1"/>
  <c r="F4668" i="22" s="1"/>
  <c r="AH4" i="38"/>
  <c r="AH3" i="38"/>
  <c r="AH276" i="38" s="1"/>
  <c r="F4666" i="22" s="1"/>
  <c r="D4337" i="22"/>
  <c r="D4341" i="22" s="1"/>
  <c r="D4334" i="22"/>
  <c r="C4334" i="22"/>
  <c r="D4331" i="22"/>
  <c r="C4331" i="22"/>
  <c r="D4328" i="22"/>
  <c r="C4328" i="22"/>
  <c r="D2171" i="34"/>
  <c r="C4305" i="22"/>
  <c r="E4288" i="22"/>
  <c r="E4287" i="22"/>
  <c r="E4279" i="22"/>
  <c r="E4283" i="22"/>
  <c r="E4281" i="22"/>
  <c r="E4285" i="22"/>
  <c r="E4284" i="22"/>
  <c r="E4280" i="22"/>
  <c r="E4286" i="22"/>
  <c r="E4282" i="22"/>
  <c r="D4285" i="22"/>
  <c r="D4284" i="22"/>
  <c r="D4280" i="22"/>
  <c r="D4286" i="22"/>
  <c r="E4278" i="22"/>
  <c r="E4277" i="22"/>
  <c r="C4244" i="22"/>
  <c r="C4248" i="22"/>
  <c r="C4243" i="22"/>
  <c r="C4237" i="22"/>
  <c r="C4239" i="22"/>
  <c r="F4180" i="22"/>
  <c r="F4181" i="22" s="1"/>
  <c r="D4180" i="22"/>
  <c r="D4181" i="22" s="1"/>
  <c r="C4180" i="22"/>
  <c r="C4181" i="22" s="1"/>
  <c r="F4170" i="22"/>
  <c r="C4170" i="22"/>
  <c r="C4203" i="22"/>
  <c r="C4197" i="22"/>
  <c r="D4197" i="22"/>
  <c r="E4197" i="22"/>
  <c r="F4197" i="22"/>
  <c r="G4197" i="22"/>
  <c r="H4197" i="22"/>
  <c r="X4195" i="22"/>
  <c r="X4194" i="22"/>
  <c r="I4194" i="22" s="1"/>
  <c r="X4193" i="22"/>
  <c r="I4193" i="22" s="1"/>
  <c r="X4192" i="22"/>
  <c r="I4192" i="22" s="1"/>
  <c r="D4168" i="22"/>
  <c r="D4170" i="22" s="1"/>
  <c r="G4166" i="22"/>
  <c r="G4183" i="22"/>
  <c r="C4186" i="22"/>
  <c r="C4185" i="22"/>
  <c r="C4184" i="22"/>
  <c r="D4186" i="22"/>
  <c r="D4185" i="22"/>
  <c r="D4184" i="22"/>
  <c r="E4185" i="22"/>
  <c r="W208" i="1" s="1"/>
  <c r="W229" i="1" s="1"/>
  <c r="W100" i="1" s="1"/>
  <c r="I4168" i="22"/>
  <c r="G4173" i="22"/>
  <c r="E4183" i="22" s="1"/>
  <c r="D4183" i="22"/>
  <c r="B4175" i="22"/>
  <c r="B4176" i="22" s="1"/>
  <c r="B4177" i="22" s="1"/>
  <c r="B4178" i="22" s="1"/>
  <c r="B4179" i="22" s="1"/>
  <c r="B4163" i="22"/>
  <c r="E4175" i="22" s="1"/>
  <c r="D4157" i="22"/>
  <c r="E4157" i="22" s="1"/>
  <c r="F4157" i="22" s="1"/>
  <c r="G4157" i="22" s="1"/>
  <c r="C384" i="25"/>
  <c r="C339" i="25"/>
  <c r="D339" i="25"/>
  <c r="E339" i="25"/>
  <c r="E308" i="25"/>
  <c r="E317" i="25"/>
  <c r="E329" i="25" s="1"/>
  <c r="E326" i="25"/>
  <c r="D324" i="25"/>
  <c r="E324" i="25"/>
  <c r="D306" i="25"/>
  <c r="F326" i="25"/>
  <c r="C337" i="25"/>
  <c r="C336" i="25"/>
  <c r="D337" i="25"/>
  <c r="D336" i="25"/>
  <c r="C335" i="25"/>
  <c r="D335" i="25"/>
  <c r="E337" i="25"/>
  <c r="E336" i="25"/>
  <c r="E335" i="25"/>
  <c r="C356" i="25"/>
  <c r="G327" i="25"/>
  <c r="G326" i="25" s="1"/>
  <c r="E306" i="25"/>
  <c r="E300" i="25"/>
  <c r="E296" i="25"/>
  <c r="F294" i="25"/>
  <c r="G294" i="25" s="1"/>
  <c r="H294" i="25" s="1"/>
  <c r="I294" i="25" s="1"/>
  <c r="J294" i="25" s="1"/>
  <c r="K294" i="25" s="1"/>
  <c r="F292" i="25"/>
  <c r="G292" i="25" s="1"/>
  <c r="H292" i="25" s="1"/>
  <c r="F288" i="25"/>
  <c r="G288" i="25" s="1"/>
  <c r="H288" i="25" s="1"/>
  <c r="I288" i="25" s="1"/>
  <c r="J288" i="25" s="1"/>
  <c r="K288" i="25" s="1"/>
  <c r="E285" i="25"/>
  <c r="D285" i="25"/>
  <c r="E284" i="25"/>
  <c r="D284" i="25"/>
  <c r="E279" i="25"/>
  <c r="E277" i="25"/>
  <c r="F277" i="25"/>
  <c r="F274" i="25"/>
  <c r="G274" i="25" s="1"/>
  <c r="H274" i="25" s="1"/>
  <c r="I274" i="25" s="1"/>
  <c r="F273" i="25"/>
  <c r="G273" i="25" s="1"/>
  <c r="F272" i="25"/>
  <c r="G272" i="25" s="1"/>
  <c r="H272" i="25" s="1"/>
  <c r="F268" i="25"/>
  <c r="G268" i="25" s="1"/>
  <c r="F267" i="25"/>
  <c r="G267" i="25" s="1"/>
  <c r="G254" i="25" s="1"/>
  <c r="E265" i="25"/>
  <c r="D265" i="25"/>
  <c r="F260" i="25"/>
  <c r="F259" i="25"/>
  <c r="E259" i="25"/>
  <c r="R256" i="25"/>
  <c r="R254" i="25"/>
  <c r="E251" i="25"/>
  <c r="S250" i="25"/>
  <c r="E247" i="25"/>
  <c r="D247" i="25"/>
  <c r="F245" i="25"/>
  <c r="F335" i="25" s="1"/>
  <c r="C4149" i="22"/>
  <c r="F4149" i="22"/>
  <c r="G4149" i="22"/>
  <c r="E4149" i="22"/>
  <c r="F4146" i="22"/>
  <c r="G4146" i="22" s="1"/>
  <c r="G4105" i="22"/>
  <c r="D4093" i="22"/>
  <c r="R4112" i="22"/>
  <c r="P4114" i="22"/>
  <c r="F4086" i="22"/>
  <c r="E4086" i="22"/>
  <c r="F4081" i="22"/>
  <c r="G4081" i="22" s="1"/>
  <c r="H4081" i="22" s="1"/>
  <c r="I4081" i="22" s="1"/>
  <c r="J4081" i="22" s="1"/>
  <c r="E4077" i="22"/>
  <c r="F4077" i="22" s="1"/>
  <c r="G4077" i="22" s="1"/>
  <c r="H4077" i="22" s="1"/>
  <c r="I4077" i="22" s="1"/>
  <c r="J4077" i="22" s="1"/>
  <c r="J4074" i="22"/>
  <c r="I4074" i="22"/>
  <c r="H4074" i="22"/>
  <c r="J4073" i="22"/>
  <c r="I4073" i="22"/>
  <c r="H4073" i="22"/>
  <c r="J4072" i="22"/>
  <c r="I4072" i="22"/>
  <c r="H4072" i="22"/>
  <c r="J4071" i="22"/>
  <c r="I4071" i="22"/>
  <c r="H4071" i="22"/>
  <c r="H4070" i="22"/>
  <c r="H4069" i="22"/>
  <c r="J4068" i="22"/>
  <c r="I4068" i="22"/>
  <c r="H4068" i="22"/>
  <c r="J4067" i="22"/>
  <c r="I4067" i="22"/>
  <c r="H4067" i="22"/>
  <c r="J4066" i="22"/>
  <c r="I4066" i="22"/>
  <c r="H4066" i="22"/>
  <c r="J4065" i="22"/>
  <c r="I4065" i="22"/>
  <c r="H4065" i="22"/>
  <c r="J4064" i="22"/>
  <c r="I4064" i="22"/>
  <c r="H4064" i="22"/>
  <c r="P67" i="22"/>
  <c r="O67" i="22"/>
  <c r="N67" i="22"/>
  <c r="M67" i="22"/>
  <c r="L67" i="22"/>
  <c r="E102" i="41"/>
  <c r="E105" i="41" s="1"/>
  <c r="F105" i="41" s="1"/>
  <c r="G105" i="41" s="1"/>
  <c r="H105" i="41" s="1"/>
  <c r="I105" i="41" s="1"/>
  <c r="J105" i="41" s="1"/>
  <c r="K105" i="41" s="1"/>
  <c r="L105" i="41" s="1"/>
  <c r="M105" i="41" s="1"/>
  <c r="N105" i="41" s="1"/>
  <c r="O105" i="41" s="1"/>
  <c r="P105" i="41" s="1"/>
  <c r="F97" i="41"/>
  <c r="G97" i="41" s="1"/>
  <c r="H97" i="41" s="1"/>
  <c r="I97" i="41" s="1"/>
  <c r="J97" i="41" s="1"/>
  <c r="K97" i="41" s="1"/>
  <c r="L97" i="41" s="1"/>
  <c r="M97" i="41" s="1"/>
  <c r="N97" i="41" s="1"/>
  <c r="O97" i="41" s="1"/>
  <c r="P97" i="41" s="1"/>
  <c r="D4055" i="22"/>
  <c r="G4051" i="22"/>
  <c r="F4051" i="22"/>
  <c r="E4051" i="22"/>
  <c r="D4051" i="22"/>
  <c r="E4045" i="22"/>
  <c r="F4045" i="22" s="1"/>
  <c r="G4045" i="22" s="1"/>
  <c r="E4032" i="22"/>
  <c r="F4032" i="22" s="1"/>
  <c r="G4032" i="22" s="1"/>
  <c r="AF535" i="38"/>
  <c r="AD508" i="38"/>
  <c r="AF508" i="38" s="1"/>
  <c r="AJ506" i="38"/>
  <c r="AD506" i="38"/>
  <c r="AB506" i="38"/>
  <c r="G4068" i="22"/>
  <c r="AB375" i="38"/>
  <c r="D4075" i="22" s="1"/>
  <c r="AD375" i="38"/>
  <c r="E4075" i="22" s="1"/>
  <c r="AF375" i="38"/>
  <c r="F4075" i="22" s="1"/>
  <c r="BX363" i="38"/>
  <c r="BX362" i="38"/>
  <c r="BX361" i="38"/>
  <c r="BX353" i="38"/>
  <c r="BX352" i="38"/>
  <c r="BX351" i="38"/>
  <c r="BX350" i="38"/>
  <c r="Z137" i="38"/>
  <c r="Z140" i="38" s="1"/>
  <c r="Y137" i="38"/>
  <c r="E10" i="42" s="1"/>
  <c r="X137" i="38"/>
  <c r="X497" i="38" s="1"/>
  <c r="X510" i="38" s="1"/>
  <c r="W137" i="38"/>
  <c r="U137" i="38"/>
  <c r="U210" i="38" s="1"/>
  <c r="F57" i="42" s="1"/>
  <c r="R137" i="38"/>
  <c r="R449" i="38" s="1"/>
  <c r="R460" i="38" s="1"/>
  <c r="R473" i="38" s="1"/>
  <c r="R476" i="38" s="1"/>
  <c r="T134" i="38"/>
  <c r="P134" i="38"/>
  <c r="U134" i="38" s="1"/>
  <c r="AA133" i="38"/>
  <c r="AG129" i="38"/>
  <c r="AG205" i="38" s="1"/>
  <c r="AF129" i="38"/>
  <c r="AE129" i="38"/>
  <c r="AE164" i="38" s="1"/>
  <c r="AD129" i="38"/>
  <c r="AC129" i="38"/>
  <c r="AC205" i="38" s="1"/>
  <c r="K56" i="42" s="1"/>
  <c r="AB129" i="38"/>
  <c r="Z129" i="38"/>
  <c r="Y129" i="38"/>
  <c r="Y205" i="38" s="1"/>
  <c r="I56" i="42" s="1"/>
  <c r="X129" i="38"/>
  <c r="W129" i="38"/>
  <c r="W205" i="38" s="1"/>
  <c r="G56" i="42" s="1"/>
  <c r="V129" i="38"/>
  <c r="G301" i="37" s="1"/>
  <c r="V144" i="15" s="1"/>
  <c r="Q129" i="38"/>
  <c r="F301" i="37" s="1"/>
  <c r="AB119" i="38"/>
  <c r="Z119" i="38"/>
  <c r="Y119" i="38"/>
  <c r="X119" i="38"/>
  <c r="U119" i="38"/>
  <c r="U113" i="38" s="1"/>
  <c r="T119" i="38"/>
  <c r="T113" i="38" s="1"/>
  <c r="S119" i="38"/>
  <c r="S113" i="38" s="1"/>
  <c r="Q119" i="38"/>
  <c r="F291" i="37" s="1"/>
  <c r="U143" i="15" s="1"/>
  <c r="AA118" i="38"/>
  <c r="H290" i="37" s="1"/>
  <c r="V118" i="38"/>
  <c r="G290" i="37" s="1"/>
  <c r="AF117" i="38"/>
  <c r="AF119" i="38" s="1"/>
  <c r="AE117" i="38"/>
  <c r="AD117" i="38"/>
  <c r="AC117" i="38"/>
  <c r="AC163" i="38" s="1"/>
  <c r="AA117" i="38"/>
  <c r="R117" i="38"/>
  <c r="R193" i="38" s="1"/>
  <c r="C53" i="42" s="1"/>
  <c r="Q117" i="38"/>
  <c r="F289" i="37" s="1"/>
  <c r="AG116" i="38"/>
  <c r="AG404" i="38" s="1"/>
  <c r="AE116" i="38"/>
  <c r="AE404" i="38" s="1"/>
  <c r="AD116" i="38"/>
  <c r="AD404" i="38" s="1"/>
  <c r="AC116" i="38"/>
  <c r="AC404" i="38" s="1"/>
  <c r="AA116" i="38"/>
  <c r="V116" i="38"/>
  <c r="P116" i="38"/>
  <c r="AG115" i="38"/>
  <c r="AE115" i="38"/>
  <c r="AE161" i="38" s="1"/>
  <c r="AC115" i="38"/>
  <c r="AC161" i="38" s="1"/>
  <c r="W115" i="38"/>
  <c r="W191" i="38" s="1"/>
  <c r="V115" i="38"/>
  <c r="Q115" i="38"/>
  <c r="F287" i="37" s="1"/>
  <c r="AG287" i="37" s="1"/>
  <c r="Q113" i="38"/>
  <c r="F284" i="37" s="1"/>
  <c r="AG112" i="38"/>
  <c r="AG188" i="38" s="1"/>
  <c r="AE112" i="38"/>
  <c r="AE188" i="38" s="1"/>
  <c r="AF109" i="38"/>
  <c r="AD109" i="38"/>
  <c r="AD113" i="38" s="1"/>
  <c r="AB109" i="38"/>
  <c r="AB113" i="38" s="1"/>
  <c r="P109" i="38"/>
  <c r="AF106" i="38"/>
  <c r="AF550" i="38" s="1"/>
  <c r="AE106" i="38"/>
  <c r="AC106" i="38"/>
  <c r="Z106" i="38"/>
  <c r="Z182" i="38" s="1"/>
  <c r="AG105" i="38"/>
  <c r="AE105" i="38"/>
  <c r="AE158" i="38" s="1"/>
  <c r="AC105" i="38"/>
  <c r="Z105" i="38"/>
  <c r="Z158" i="38" s="1"/>
  <c r="Y105" i="38"/>
  <c r="Y181" i="38" s="1"/>
  <c r="I48" i="42" s="1"/>
  <c r="V105" i="38"/>
  <c r="G275" i="37" s="1"/>
  <c r="Q105" i="38"/>
  <c r="AG104" i="38"/>
  <c r="AE104" i="38"/>
  <c r="AC104" i="38"/>
  <c r="AC157" i="38" s="1"/>
  <c r="AA104" i="38"/>
  <c r="H274" i="37" s="1"/>
  <c r="S195" i="10" s="1"/>
  <c r="V104" i="38"/>
  <c r="G274" i="37" s="1"/>
  <c r="Q104" i="38"/>
  <c r="F274" i="37" s="1"/>
  <c r="AG103" i="38"/>
  <c r="AE103" i="38"/>
  <c r="AC103" i="38"/>
  <c r="AC156" i="38" s="1"/>
  <c r="Y103" i="38"/>
  <c r="X103" i="38"/>
  <c r="X179" i="38" s="1"/>
  <c r="U103" i="38"/>
  <c r="Q103" i="38"/>
  <c r="F273" i="37" s="1"/>
  <c r="AG273" i="37" s="1"/>
  <c r="G113" i="38"/>
  <c r="D284" i="37" s="1"/>
  <c r="O109" i="38"/>
  <c r="H3088" i="22" s="1"/>
  <c r="N109" i="38"/>
  <c r="M109" i="38"/>
  <c r="F3088" i="22" s="1"/>
  <c r="L109" i="38"/>
  <c r="E280" i="37" s="1"/>
  <c r="AF280" i="37" s="1"/>
  <c r="K109" i="38"/>
  <c r="J109" i="38"/>
  <c r="I109" i="38"/>
  <c r="H109" i="38"/>
  <c r="F109" i="38"/>
  <c r="E109" i="38"/>
  <c r="D109" i="38"/>
  <c r="C109" i="38"/>
  <c r="B128" i="38"/>
  <c r="C300" i="37" s="1"/>
  <c r="B127" i="38"/>
  <c r="C299" i="37" s="1"/>
  <c r="C372" i="37" s="1"/>
  <c r="B126" i="38"/>
  <c r="C298" i="37" s="1"/>
  <c r="C371" i="37" s="1"/>
  <c r="B125" i="38"/>
  <c r="C297" i="37" s="1"/>
  <c r="C370" i="37" s="1"/>
  <c r="B124" i="38"/>
  <c r="C296" i="37" s="1"/>
  <c r="C369" i="37" s="1"/>
  <c r="B123" i="38"/>
  <c r="C295" i="37" s="1"/>
  <c r="C368" i="37" s="1"/>
  <c r="B122" i="38"/>
  <c r="C294" i="37" s="1"/>
  <c r="C367" i="37" s="1"/>
  <c r="B121" i="38"/>
  <c r="C293" i="37" s="1"/>
  <c r="C366" i="37" s="1"/>
  <c r="B119" i="38"/>
  <c r="C291" i="37" s="1"/>
  <c r="C364" i="37" s="1"/>
  <c r="B118" i="38"/>
  <c r="C290" i="37" s="1"/>
  <c r="B117" i="38"/>
  <c r="C289" i="37" s="1"/>
  <c r="B5048" i="22" s="1"/>
  <c r="B116" i="38"/>
  <c r="C288" i="37" s="1"/>
  <c r="B115" i="38"/>
  <c r="C287" i="37" s="1"/>
  <c r="B5047" i="22" s="1"/>
  <c r="B113" i="38"/>
  <c r="C284" i="37" s="1"/>
  <c r="C359" i="37" s="1"/>
  <c r="B112" i="38"/>
  <c r="B111" i="38"/>
  <c r="B110" i="38"/>
  <c r="B109" i="38"/>
  <c r="B160" i="38" s="1"/>
  <c r="B105" i="38"/>
  <c r="B158" i="38" s="1"/>
  <c r="B104" i="38"/>
  <c r="B157" i="38" s="1"/>
  <c r="B103" i="38"/>
  <c r="B156" i="38" s="1"/>
  <c r="D2701" i="22"/>
  <c r="S20" i="15"/>
  <c r="V447" i="38"/>
  <c r="AA447" i="38"/>
  <c r="AJ447" i="38"/>
  <c r="AO447" i="38"/>
  <c r="AT447" i="38"/>
  <c r="AY447" i="38"/>
  <c r="G16" i="40"/>
  <c r="L16" i="40"/>
  <c r="Q16" i="40"/>
  <c r="BT38" i="2"/>
  <c r="V451" i="38"/>
  <c r="AA451" i="38"/>
  <c r="AO451" i="38"/>
  <c r="AT451" i="38"/>
  <c r="AY451" i="38"/>
  <c r="BT46" i="2"/>
  <c r="BT48" i="2" s="1"/>
  <c r="V455" i="38"/>
  <c r="V483" i="38" s="1"/>
  <c r="W28" i="15"/>
  <c r="H114" i="15"/>
  <c r="I114" i="15"/>
  <c r="J114" i="15"/>
  <c r="K114" i="15"/>
  <c r="L114" i="15"/>
  <c r="M114" i="15"/>
  <c r="N114" i="15"/>
  <c r="O114" i="15"/>
  <c r="P114" i="15"/>
  <c r="Q114" i="15"/>
  <c r="R114" i="15"/>
  <c r="S114" i="15"/>
  <c r="T114" i="15"/>
  <c r="BT52" i="2"/>
  <c r="V462" i="38"/>
  <c r="V484" i="38" s="1"/>
  <c r="W114" i="15"/>
  <c r="V467" i="38"/>
  <c r="H4" i="15"/>
  <c r="I4" i="15"/>
  <c r="M4" i="15"/>
  <c r="N4" i="15"/>
  <c r="H3" i="15"/>
  <c r="J3" i="15"/>
  <c r="K3" i="15"/>
  <c r="L3" i="15"/>
  <c r="M3" i="15"/>
  <c r="N3" i="15"/>
  <c r="O3" i="15"/>
  <c r="L13" i="15"/>
  <c r="M13" i="15"/>
  <c r="H115" i="15"/>
  <c r="H118" i="15"/>
  <c r="I118" i="15"/>
  <c r="J118" i="15"/>
  <c r="K118" i="15"/>
  <c r="H119" i="15"/>
  <c r="I119" i="15"/>
  <c r="J119" i="15"/>
  <c r="M119" i="15"/>
  <c r="H26" i="15"/>
  <c r="I26" i="15"/>
  <c r="J26" i="15"/>
  <c r="K26" i="15"/>
  <c r="L26" i="15"/>
  <c r="M26" i="15"/>
  <c r="N26" i="15"/>
  <c r="O26" i="15"/>
  <c r="Q26" i="15"/>
  <c r="R26" i="15"/>
  <c r="S26" i="15"/>
  <c r="T26" i="15"/>
  <c r="U26" i="15"/>
  <c r="V26" i="15"/>
  <c r="I122" i="15"/>
  <c r="L122" i="15"/>
  <c r="M122" i="15"/>
  <c r="D2995" i="22"/>
  <c r="H25" i="13"/>
  <c r="G3015" i="22" s="1"/>
  <c r="L118" i="15"/>
  <c r="N118" i="15"/>
  <c r="O118" i="15"/>
  <c r="M118" i="15"/>
  <c r="P118" i="15"/>
  <c r="Q118" i="15"/>
  <c r="T118" i="15"/>
  <c r="U118" i="15"/>
  <c r="S21" i="15"/>
  <c r="W20" i="15"/>
  <c r="AJ451" i="38"/>
  <c r="J27" i="15"/>
  <c r="N119" i="15"/>
  <c r="I3" i="15"/>
  <c r="D2133" i="22"/>
  <c r="O120" i="15"/>
  <c r="I13" i="15"/>
  <c r="N13" i="15"/>
  <c r="Q13" i="15"/>
  <c r="R13" i="15"/>
  <c r="I83" i="15"/>
  <c r="J113" i="15"/>
  <c r="L82" i="15"/>
  <c r="M82" i="15"/>
  <c r="S82" i="15"/>
  <c r="O82" i="15"/>
  <c r="O78" i="15"/>
  <c r="R78" i="15"/>
  <c r="D3060" i="22"/>
  <c r="U78" i="15"/>
  <c r="G3060" i="22"/>
  <c r="J122" i="15"/>
  <c r="AJ513" i="38"/>
  <c r="B3041" i="22"/>
  <c r="B3042" i="22"/>
  <c r="B3044" i="22"/>
  <c r="B3047" i="22"/>
  <c r="B3048" i="22"/>
  <c r="B3056" i="22"/>
  <c r="B3052" i="22"/>
  <c r="I75" i="15"/>
  <c r="L75" i="15"/>
  <c r="M75" i="15"/>
  <c r="N75" i="15"/>
  <c r="O75" i="15"/>
  <c r="I74" i="15"/>
  <c r="I3048" i="22"/>
  <c r="F3052" i="22"/>
  <c r="I3052" i="22"/>
  <c r="M3036" i="22"/>
  <c r="O86" i="15"/>
  <c r="L86" i="15"/>
  <c r="M86" i="15"/>
  <c r="N86" i="15"/>
  <c r="P86" i="15"/>
  <c r="Q86" i="15"/>
  <c r="R86" i="15"/>
  <c r="S86" i="15"/>
  <c r="T86" i="15"/>
  <c r="D1843" i="22"/>
  <c r="Q3" i="38"/>
  <c r="V3" i="38"/>
  <c r="G5" i="37" s="1"/>
  <c r="AH5" i="37" s="1"/>
  <c r="AA3" i="38"/>
  <c r="H5" i="37" s="1"/>
  <c r="AI5" i="37" s="1"/>
  <c r="AB3" i="38"/>
  <c r="AB179" i="38" s="1"/>
  <c r="S948" i="38" s="1"/>
  <c r="AD3" i="38"/>
  <c r="AD276" i="38" s="1"/>
  <c r="D4666" i="22" s="1"/>
  <c r="AF3" i="38"/>
  <c r="AF179" i="38" s="1"/>
  <c r="U948" i="38" s="1"/>
  <c r="Q4" i="38"/>
  <c r="F6" i="37" s="1"/>
  <c r="Q193" i="10" s="1"/>
  <c r="V4" i="38"/>
  <c r="AA4" i="38"/>
  <c r="H6" i="37" s="1"/>
  <c r="AB4" i="38"/>
  <c r="AB180" i="38" s="1"/>
  <c r="S949" i="38" s="1"/>
  <c r="AD4" i="38"/>
  <c r="AD180" i="38" s="1"/>
  <c r="T949" i="38" s="1"/>
  <c r="AF4" i="38"/>
  <c r="AF277" i="38" s="1"/>
  <c r="E4667" i="22" s="1"/>
  <c r="Q5" i="38"/>
  <c r="F7" i="37" s="1"/>
  <c r="V5" i="38"/>
  <c r="G7" i="37" s="1"/>
  <c r="AA5" i="38"/>
  <c r="H7" i="37" s="1"/>
  <c r="AI7" i="37" s="1"/>
  <c r="AB5" i="38"/>
  <c r="AB181" i="38" s="1"/>
  <c r="S950" i="38" s="1"/>
  <c r="AD5" i="38"/>
  <c r="AF5" i="38"/>
  <c r="AF278" i="38" s="1"/>
  <c r="E4668" i="22" s="1"/>
  <c r="AA6" i="38"/>
  <c r="H11" i="37" s="1"/>
  <c r="AI11" i="37" s="1"/>
  <c r="AB6" i="38"/>
  <c r="AB279" i="38" s="1"/>
  <c r="C4669" i="22" s="1"/>
  <c r="AD6" i="38"/>
  <c r="AD279" i="38" s="1"/>
  <c r="D4669" i="22" s="1"/>
  <c r="AG6" i="38"/>
  <c r="AG279" i="38" s="1"/>
  <c r="C9" i="38"/>
  <c r="C282" i="38" s="1"/>
  <c r="D9" i="38"/>
  <c r="E9" i="38"/>
  <c r="F9" i="38"/>
  <c r="F282" i="38" s="1"/>
  <c r="G9" i="38"/>
  <c r="G282" i="38" s="1"/>
  <c r="D172" i="37" s="1"/>
  <c r="H9" i="38"/>
  <c r="H282" i="38" s="1"/>
  <c r="I9" i="38"/>
  <c r="I282" i="38" s="1"/>
  <c r="J9" i="38"/>
  <c r="J282" i="38" s="1"/>
  <c r="K9" i="38"/>
  <c r="K282" i="38" s="1"/>
  <c r="L9" i="38"/>
  <c r="L282" i="38" s="1"/>
  <c r="E172" i="37" s="1"/>
  <c r="M9" i="38"/>
  <c r="N9" i="38"/>
  <c r="N282" i="38" s="1"/>
  <c r="O9" i="38"/>
  <c r="O282" i="38" s="1"/>
  <c r="P9" i="38"/>
  <c r="P282" i="38" s="1"/>
  <c r="R9" i="38"/>
  <c r="R282" i="38" s="1"/>
  <c r="AD12" i="38"/>
  <c r="AF12" i="38"/>
  <c r="AF285" i="38" s="1"/>
  <c r="E4673" i="22" s="1"/>
  <c r="Q15" i="38"/>
  <c r="V15" i="38"/>
  <c r="AA15" i="38"/>
  <c r="H19" i="37" s="1"/>
  <c r="AB15" i="38"/>
  <c r="AB191" i="38" s="1"/>
  <c r="S954" i="38" s="1"/>
  <c r="AD15" i="38"/>
  <c r="AF15" i="38"/>
  <c r="AF286" i="38" s="1"/>
  <c r="E4674" i="22" s="1"/>
  <c r="Q16" i="38"/>
  <c r="V16" i="38"/>
  <c r="G20" i="37" s="1"/>
  <c r="AH20" i="37" s="1"/>
  <c r="AA16" i="38"/>
  <c r="AB16" i="38"/>
  <c r="AD16" i="38"/>
  <c r="AD287" i="38" s="1"/>
  <c r="AF16" i="38"/>
  <c r="AF192" i="38" s="1"/>
  <c r="U955" i="38" s="1"/>
  <c r="Q17" i="38"/>
  <c r="V17" i="38"/>
  <c r="AA17" i="38"/>
  <c r="H21" i="37" s="1"/>
  <c r="AB17" i="38"/>
  <c r="AB193" i="38" s="1"/>
  <c r="S956" i="38" s="1"/>
  <c r="AD17" i="38"/>
  <c r="AG17" i="38"/>
  <c r="C18" i="38"/>
  <c r="D18" i="38"/>
  <c r="E18" i="38"/>
  <c r="F18" i="38"/>
  <c r="G18" i="38"/>
  <c r="D22" i="37" s="1"/>
  <c r="H18" i="38"/>
  <c r="I18" i="38"/>
  <c r="J18" i="38"/>
  <c r="K18" i="38"/>
  <c r="L18" i="38"/>
  <c r="E22" i="37" s="1"/>
  <c r="M18" i="38"/>
  <c r="N18" i="38"/>
  <c r="O18" i="38"/>
  <c r="P18" i="38"/>
  <c r="R18" i="38"/>
  <c r="V18" i="38" s="1"/>
  <c r="G22" i="37" s="1"/>
  <c r="AA18" i="38"/>
  <c r="H22" i="37" s="1"/>
  <c r="AC18" i="38"/>
  <c r="AC19" i="38" s="1"/>
  <c r="AE18" i="38"/>
  <c r="AE19" i="38" s="1"/>
  <c r="S19" i="38"/>
  <c r="T19" i="38"/>
  <c r="T13" i="38" s="1"/>
  <c r="T9" i="38" s="1"/>
  <c r="T282" i="38" s="1"/>
  <c r="U19" i="38"/>
  <c r="U13" i="38" s="1"/>
  <c r="U9" i="38" s="1"/>
  <c r="U282" i="38" s="1"/>
  <c r="W19" i="38"/>
  <c r="W13" i="38" s="1"/>
  <c r="D3648" i="22" s="1"/>
  <c r="X19" i="38"/>
  <c r="X13" i="38" s="1"/>
  <c r="E3648" i="22" s="1"/>
  <c r="Y19" i="38"/>
  <c r="Y13" i="38" s="1"/>
  <c r="Y9" i="38" s="1"/>
  <c r="Z19" i="38"/>
  <c r="Z13" i="38" s="1"/>
  <c r="O23" i="38"/>
  <c r="O290" i="38" s="1"/>
  <c r="AJ24" i="38"/>
  <c r="AJ291" i="38" s="1"/>
  <c r="I174" i="37" s="1"/>
  <c r="I262" i="37" s="1"/>
  <c r="AO291" i="38"/>
  <c r="J174" i="37" s="1"/>
  <c r="J262" i="37" s="1"/>
  <c r="O25" i="38"/>
  <c r="O292" i="38" s="1"/>
  <c r="AJ25" i="38"/>
  <c r="AJ292" i="38" s="1"/>
  <c r="I175" i="37" s="1"/>
  <c r="I263" i="37" s="1"/>
  <c r="AJ26" i="38"/>
  <c r="AJ293" i="38" s="1"/>
  <c r="I176" i="37" s="1"/>
  <c r="I264" i="37" s="1"/>
  <c r="O27" i="38"/>
  <c r="V27" i="38"/>
  <c r="V294" i="38" s="1"/>
  <c r="G177" i="37" s="1"/>
  <c r="AJ27" i="38"/>
  <c r="AJ294" i="38" s="1"/>
  <c r="I177" i="37" s="1"/>
  <c r="I265" i="37" s="1"/>
  <c r="O28" i="38"/>
  <c r="P28" i="38" s="1"/>
  <c r="P295" i="38" s="1"/>
  <c r="AB28" i="38"/>
  <c r="AB295" i="38" s="1"/>
  <c r="AC28" i="38"/>
  <c r="AC295" i="38" s="1"/>
  <c r="AD28" i="38"/>
  <c r="AE28" i="38"/>
  <c r="AE295" i="38" s="1"/>
  <c r="AF28" i="38"/>
  <c r="AF295" i="38" s="1"/>
  <c r="AG28" i="38"/>
  <c r="AG295" i="38" s="1"/>
  <c r="C29" i="38"/>
  <c r="D29" i="38"/>
  <c r="E29" i="38"/>
  <c r="F29" i="38"/>
  <c r="H29" i="38"/>
  <c r="I29" i="38"/>
  <c r="J29" i="38"/>
  <c r="K29" i="38"/>
  <c r="M29" i="38"/>
  <c r="N29" i="38"/>
  <c r="N296" i="38" s="1"/>
  <c r="O29" i="38"/>
  <c r="P29" i="38" s="1"/>
  <c r="AB29" i="38"/>
  <c r="AB296" i="38" s="1"/>
  <c r="AC29" i="38"/>
  <c r="AC296" i="38" s="1"/>
  <c r="AD29" i="38"/>
  <c r="AE29" i="38"/>
  <c r="AE296" i="38" s="1"/>
  <c r="AF29" i="38"/>
  <c r="AF296" i="38" s="1"/>
  <c r="AG29" i="38"/>
  <c r="AG296" i="38" s="1"/>
  <c r="V30" i="38"/>
  <c r="G32" i="37" s="1"/>
  <c r="AA30" i="38"/>
  <c r="H32" i="37" s="1"/>
  <c r="Q31" i="38"/>
  <c r="F33" i="37" s="1"/>
  <c r="U136" i="15" s="1"/>
  <c r="V31" i="38"/>
  <c r="G33" i="37" s="1"/>
  <c r="AA31" i="38"/>
  <c r="H33" i="37" s="1"/>
  <c r="AB31" i="38"/>
  <c r="AD31" i="38"/>
  <c r="AF31" i="38"/>
  <c r="C32" i="38"/>
  <c r="D32" i="38"/>
  <c r="E32" i="38"/>
  <c r="F32" i="38"/>
  <c r="G32" i="38"/>
  <c r="D34" i="37" s="1"/>
  <c r="H32" i="38"/>
  <c r="I32" i="38"/>
  <c r="J32" i="38"/>
  <c r="K32" i="38"/>
  <c r="L32" i="38"/>
  <c r="E34" i="37" s="1"/>
  <c r="T137" i="15" s="1"/>
  <c r="M32" i="38"/>
  <c r="N32" i="38"/>
  <c r="O32" i="38"/>
  <c r="P32" i="38"/>
  <c r="R32" i="38"/>
  <c r="V32" i="38" s="1"/>
  <c r="G34" i="37" s="1"/>
  <c r="V137" i="15" s="1"/>
  <c r="AA32" i="38"/>
  <c r="H34" i="37" s="1"/>
  <c r="W137" i="15" s="1"/>
  <c r="Q34" i="38"/>
  <c r="F35" i="37" s="1"/>
  <c r="S5" i="1" s="1"/>
  <c r="V34" i="38"/>
  <c r="G35" i="37" s="1"/>
  <c r="T5" i="1" s="1"/>
  <c r="C38" i="38"/>
  <c r="D38" i="38"/>
  <c r="E38" i="38"/>
  <c r="F38" i="38"/>
  <c r="G38" i="38"/>
  <c r="H38" i="38"/>
  <c r="I38" i="38"/>
  <c r="J38" i="38"/>
  <c r="K38" i="38"/>
  <c r="L38" i="38"/>
  <c r="M38" i="38"/>
  <c r="N38" i="38"/>
  <c r="O38" i="38"/>
  <c r="P38" i="38"/>
  <c r="Q38" i="38"/>
  <c r="R38" i="38"/>
  <c r="R102" i="38" s="1"/>
  <c r="R178" i="38" s="1"/>
  <c r="S38" i="38"/>
  <c r="S102" i="38" s="1"/>
  <c r="S178" i="38" s="1"/>
  <c r="T38" i="38"/>
  <c r="T102" i="38" s="1"/>
  <c r="T178" i="38" s="1"/>
  <c r="U38" i="38"/>
  <c r="U102" i="38" s="1"/>
  <c r="U178" i="38" s="1"/>
  <c r="V38" i="38"/>
  <c r="W38" i="38"/>
  <c r="W102" i="38" s="1"/>
  <c r="W178" i="38" s="1"/>
  <c r="X38" i="38"/>
  <c r="X102" i="38" s="1"/>
  <c r="X178" i="38" s="1"/>
  <c r="Y38" i="38"/>
  <c r="Y102" i="38" s="1"/>
  <c r="Y178" i="38" s="1"/>
  <c r="Z38" i="38"/>
  <c r="Z102" i="38" s="1"/>
  <c r="Z178" i="38" s="1"/>
  <c r="AA38" i="38"/>
  <c r="AA102" i="38" s="1"/>
  <c r="AA178" i="38" s="1"/>
  <c r="AB38" i="38"/>
  <c r="AB102" i="38" s="1"/>
  <c r="AB178" i="38" s="1"/>
  <c r="AC38" i="38"/>
  <c r="AC102" i="38" s="1"/>
  <c r="AC178" i="38" s="1"/>
  <c r="AD38" i="38"/>
  <c r="AD102" i="38" s="1"/>
  <c r="AD178" i="38" s="1"/>
  <c r="AE38" i="38"/>
  <c r="AE102" i="38" s="1"/>
  <c r="AE178" i="38" s="1"/>
  <c r="AF38" i="38"/>
  <c r="AF102" i="38" s="1"/>
  <c r="AF178" i="38" s="1"/>
  <c r="AG38" i="38"/>
  <c r="AG102" i="38" s="1"/>
  <c r="AG178" i="38" s="1"/>
  <c r="AJ102" i="38"/>
  <c r="AJ178" i="38" s="1"/>
  <c r="AO38" i="38"/>
  <c r="AO102" i="38" s="1"/>
  <c r="AO178" i="38" s="1"/>
  <c r="B39" i="38"/>
  <c r="B301" i="38" s="1"/>
  <c r="Q39" i="38"/>
  <c r="F46" i="37" s="1"/>
  <c r="V39" i="38"/>
  <c r="G46" i="37" s="1"/>
  <c r="AA39" i="38"/>
  <c r="H46" i="37" s="1"/>
  <c r="AB39" i="38"/>
  <c r="AB301" i="38" s="1"/>
  <c r="AD39" i="38"/>
  <c r="AD301" i="38" s="1"/>
  <c r="AF39" i="38"/>
  <c r="AF301" i="38" s="1"/>
  <c r="B40" i="38"/>
  <c r="Q40" i="38"/>
  <c r="F47" i="37" s="1"/>
  <c r="V40" i="38"/>
  <c r="G47" i="37" s="1"/>
  <c r="AA40" i="38"/>
  <c r="AB40" i="38"/>
  <c r="AB302" i="38" s="1"/>
  <c r="AD40" i="38"/>
  <c r="BW351" i="38" s="1"/>
  <c r="AF40" i="38"/>
  <c r="B41" i="38"/>
  <c r="Q41" i="38"/>
  <c r="F48" i="37" s="1"/>
  <c r="V41" i="38"/>
  <c r="G48" i="37" s="1"/>
  <c r="AA41" i="38"/>
  <c r="H48" i="37" s="1"/>
  <c r="AB41" i="38"/>
  <c r="AB303" i="38" s="1"/>
  <c r="AD41" i="38"/>
  <c r="AG41" i="38"/>
  <c r="BY352" i="38" s="1"/>
  <c r="B42" i="38"/>
  <c r="R42" i="38"/>
  <c r="S42" i="38"/>
  <c r="T42" i="38"/>
  <c r="U42" i="38"/>
  <c r="W42" i="38"/>
  <c r="X42" i="38"/>
  <c r="Y42" i="38"/>
  <c r="AA42" i="38"/>
  <c r="AB42" i="38"/>
  <c r="AB304" i="38" s="1"/>
  <c r="AD42" i="38"/>
  <c r="BW353" i="38" s="1"/>
  <c r="B45" i="38"/>
  <c r="B308" i="38" s="1"/>
  <c r="C45" i="38"/>
  <c r="D45" i="38"/>
  <c r="D308" i="38" s="1"/>
  <c r="E45" i="38"/>
  <c r="E308" i="38" s="1"/>
  <c r="F45" i="38"/>
  <c r="F308" i="38" s="1"/>
  <c r="G45" i="38"/>
  <c r="D53" i="37" s="1"/>
  <c r="H45" i="38"/>
  <c r="H308" i="38" s="1"/>
  <c r="I45" i="38"/>
  <c r="I308" i="38" s="1"/>
  <c r="J45" i="38"/>
  <c r="J308" i="38" s="1"/>
  <c r="K45" i="38"/>
  <c r="K308" i="38" s="1"/>
  <c r="L45" i="38"/>
  <c r="M45" i="38"/>
  <c r="N45" i="38"/>
  <c r="N308" i="38" s="1"/>
  <c r="O45" i="38"/>
  <c r="O308" i="38" s="1"/>
  <c r="P45" i="38"/>
  <c r="P308" i="38" s="1"/>
  <c r="P387" i="38" s="1"/>
  <c r="R45" i="38"/>
  <c r="B46" i="38"/>
  <c r="B186" i="38" s="1"/>
  <c r="B4671" i="22" s="1"/>
  <c r="AG46" i="38"/>
  <c r="AG42" i="38" s="1"/>
  <c r="AF42" i="38" s="1"/>
  <c r="B47" i="38"/>
  <c r="B84" i="38" s="1"/>
  <c r="B258" i="38" s="1"/>
  <c r="B48" i="38"/>
  <c r="AE48" i="38"/>
  <c r="AD48" i="38" s="1"/>
  <c r="AG48" i="38"/>
  <c r="AF48" i="38" s="1"/>
  <c r="U953" i="38" s="1"/>
  <c r="B51" i="38"/>
  <c r="B86" i="38" s="1"/>
  <c r="B337" i="38" s="1"/>
  <c r="Q51" i="38"/>
  <c r="F59" i="37" s="1"/>
  <c r="V51" i="38"/>
  <c r="G59" i="37" s="1"/>
  <c r="AA51" i="38"/>
  <c r="H59" i="37" s="1"/>
  <c r="AB51" i="38"/>
  <c r="AD51" i="38"/>
  <c r="AD312" i="38" s="1"/>
  <c r="AF51" i="38"/>
  <c r="B52" i="38"/>
  <c r="B313" i="38" s="1"/>
  <c r="Q52" i="38"/>
  <c r="F60" i="37" s="1"/>
  <c r="V52" i="38"/>
  <c r="G60" i="37" s="1"/>
  <c r="D3507" i="22" s="1"/>
  <c r="D3519" i="22" s="1"/>
  <c r="AA52" i="38"/>
  <c r="H60" i="37" s="1"/>
  <c r="AB52" i="38"/>
  <c r="AB313" i="38" s="1"/>
  <c r="AD52" i="38"/>
  <c r="AF52" i="38"/>
  <c r="B53" i="38"/>
  <c r="B314" i="38" s="1"/>
  <c r="Q53" i="38"/>
  <c r="F61" i="37" s="1"/>
  <c r="V53" i="38"/>
  <c r="G61" i="37" s="1"/>
  <c r="AA53" i="38"/>
  <c r="AB53" i="38"/>
  <c r="AB314" i="38" s="1"/>
  <c r="AD53" i="38"/>
  <c r="AD314" i="38" s="1"/>
  <c r="AG53" i="38"/>
  <c r="BY363" i="38" s="1"/>
  <c r="C54" i="38"/>
  <c r="D54" i="38"/>
  <c r="E54" i="38"/>
  <c r="F54" i="38"/>
  <c r="G54" i="38"/>
  <c r="D62" i="37" s="1"/>
  <c r="H54" i="38"/>
  <c r="I54" i="38"/>
  <c r="J54" i="38"/>
  <c r="K54" i="38"/>
  <c r="L54" i="38"/>
  <c r="E62" i="37" s="1"/>
  <c r="M54" i="38"/>
  <c r="N54" i="38"/>
  <c r="O54" i="38"/>
  <c r="P54" i="38"/>
  <c r="R54" i="38"/>
  <c r="V54" i="38" s="1"/>
  <c r="G62" i="37" s="1"/>
  <c r="AA54" i="38"/>
  <c r="H62" i="37" s="1"/>
  <c r="AB54" i="38"/>
  <c r="AD54" i="38"/>
  <c r="AF54" i="38"/>
  <c r="S55" i="38"/>
  <c r="S49" i="38" s="1"/>
  <c r="T55" i="38"/>
  <c r="T49" i="38" s="1"/>
  <c r="U55" i="38"/>
  <c r="U49" i="38" s="1"/>
  <c r="U45" i="38" s="1"/>
  <c r="W55" i="38"/>
  <c r="X55" i="38"/>
  <c r="Y55" i="38"/>
  <c r="Y49" i="38" s="1"/>
  <c r="Y45" i="38" s="1"/>
  <c r="Z55" i="38"/>
  <c r="Z49" i="38" s="1"/>
  <c r="Z45" i="38" s="1"/>
  <c r="BT357" i="38" s="1"/>
  <c r="AC55" i="38"/>
  <c r="AC49" i="38" s="1"/>
  <c r="AC71" i="38" s="1"/>
  <c r="AB71" i="38" s="1"/>
  <c r="AE55" i="38"/>
  <c r="AE49" i="38" s="1"/>
  <c r="AD49" i="38" s="1"/>
  <c r="B60" i="38"/>
  <c r="B316" i="38" s="1"/>
  <c r="B392" i="38" s="1"/>
  <c r="AC60" i="38"/>
  <c r="AC23" i="38" s="1"/>
  <c r="AC290" i="38" s="1"/>
  <c r="B61" i="38"/>
  <c r="B198" i="38" s="1"/>
  <c r="B62" i="38"/>
  <c r="B63" i="38"/>
  <c r="B200" i="38" s="1"/>
  <c r="B64" i="38"/>
  <c r="B201" i="38" s="1"/>
  <c r="V64" i="38"/>
  <c r="B65" i="38"/>
  <c r="B202" i="38" s="1"/>
  <c r="B66" i="38"/>
  <c r="B203" i="38" s="1"/>
  <c r="V67" i="38"/>
  <c r="K74" i="37" s="1"/>
  <c r="AT67" i="38" s="1"/>
  <c r="AB68" i="38"/>
  <c r="AE68" i="38"/>
  <c r="AE97" i="38" s="1"/>
  <c r="AF68" i="38"/>
  <c r="C69" i="38"/>
  <c r="D69" i="38"/>
  <c r="E69" i="38"/>
  <c r="F69" i="38"/>
  <c r="G69" i="38"/>
  <c r="D76" i="37" s="1"/>
  <c r="H69" i="38"/>
  <c r="H400" i="38" s="1"/>
  <c r="I69" i="38"/>
  <c r="I400" i="38" s="1"/>
  <c r="J69" i="38"/>
  <c r="J400" i="38" s="1"/>
  <c r="K69" i="38"/>
  <c r="K400" i="38" s="1"/>
  <c r="L69" i="38"/>
  <c r="E76" i="37" s="1"/>
  <c r="M69" i="38"/>
  <c r="M400" i="38" s="1"/>
  <c r="N69" i="38"/>
  <c r="N400" i="38" s="1"/>
  <c r="O69" i="38"/>
  <c r="O400" i="38" s="1"/>
  <c r="P69" i="38"/>
  <c r="P400" i="38" s="1"/>
  <c r="R69" i="38"/>
  <c r="R400" i="38" s="1"/>
  <c r="AB69" i="38"/>
  <c r="AD69" i="38"/>
  <c r="Q71" i="38"/>
  <c r="F77" i="37" s="1"/>
  <c r="V71" i="38"/>
  <c r="G77" i="37" s="1"/>
  <c r="C76" i="38"/>
  <c r="C326" i="38" s="1"/>
  <c r="D76" i="38"/>
  <c r="D326" i="38" s="1"/>
  <c r="E76" i="38"/>
  <c r="E326" i="38" s="1"/>
  <c r="F76" i="38"/>
  <c r="G76" i="38"/>
  <c r="G326" i="38" s="1"/>
  <c r="H76" i="38"/>
  <c r="H326" i="38" s="1"/>
  <c r="I76" i="38"/>
  <c r="I326" i="38" s="1"/>
  <c r="J76" i="38"/>
  <c r="J326" i="38" s="1"/>
  <c r="K76" i="38"/>
  <c r="K326" i="38" s="1"/>
  <c r="L76" i="38"/>
  <c r="L326" i="38" s="1"/>
  <c r="M76" i="38"/>
  <c r="M326" i="38" s="1"/>
  <c r="N76" i="38"/>
  <c r="N326" i="38" s="1"/>
  <c r="O76" i="38"/>
  <c r="O326" i="38" s="1"/>
  <c r="P76" i="38"/>
  <c r="P326" i="38" s="1"/>
  <c r="R76" i="38"/>
  <c r="R326" i="38" s="1"/>
  <c r="S76" i="38"/>
  <c r="T76" i="38"/>
  <c r="U76" i="38"/>
  <c r="W76" i="38"/>
  <c r="X76" i="38"/>
  <c r="Y76" i="38"/>
  <c r="Z76" i="38"/>
  <c r="Z326" i="38" s="1"/>
  <c r="AC76" i="38"/>
  <c r="AE76" i="38"/>
  <c r="AG76" i="38"/>
  <c r="C77" i="38"/>
  <c r="C327" i="38" s="1"/>
  <c r="D77" i="38"/>
  <c r="D327" i="38" s="1"/>
  <c r="E77" i="38"/>
  <c r="E327" i="38" s="1"/>
  <c r="F77" i="38"/>
  <c r="F327" i="38" s="1"/>
  <c r="G77" i="38"/>
  <c r="G327" i="38" s="1"/>
  <c r="H77" i="38"/>
  <c r="H327" i="38" s="1"/>
  <c r="I77" i="38"/>
  <c r="I327" i="38" s="1"/>
  <c r="J77" i="38"/>
  <c r="J327" i="38" s="1"/>
  <c r="K77" i="38"/>
  <c r="K327" i="38" s="1"/>
  <c r="L77" i="38"/>
  <c r="L327" i="38" s="1"/>
  <c r="M77" i="38"/>
  <c r="M327" i="38" s="1"/>
  <c r="N77" i="38"/>
  <c r="N327" i="38" s="1"/>
  <c r="O77" i="38"/>
  <c r="O327" i="38" s="1"/>
  <c r="P77" i="38"/>
  <c r="P327" i="38" s="1"/>
  <c r="R77" i="38"/>
  <c r="R327" i="38" s="1"/>
  <c r="S77" i="38"/>
  <c r="S327" i="38" s="1"/>
  <c r="T77" i="38"/>
  <c r="T327" i="38" s="1"/>
  <c r="U77" i="38"/>
  <c r="U327" i="38" s="1"/>
  <c r="W77" i="38"/>
  <c r="W327" i="38" s="1"/>
  <c r="X77" i="38"/>
  <c r="X327" i="38" s="1"/>
  <c r="Y77" i="38"/>
  <c r="Y327" i="38" s="1"/>
  <c r="Z77" i="38"/>
  <c r="Z327" i="38" s="1"/>
  <c r="AC77" i="38"/>
  <c r="AE77" i="38"/>
  <c r="AG77" i="38"/>
  <c r="C78" i="38"/>
  <c r="C328" i="38" s="1"/>
  <c r="D78" i="38"/>
  <c r="D328" i="38" s="1"/>
  <c r="E78" i="38"/>
  <c r="E328" i="38" s="1"/>
  <c r="F78" i="38"/>
  <c r="F328" i="38" s="1"/>
  <c r="G78" i="38"/>
  <c r="G328" i="38" s="1"/>
  <c r="H78" i="38"/>
  <c r="H328" i="38" s="1"/>
  <c r="I78" i="38"/>
  <c r="I328" i="38" s="1"/>
  <c r="J78" i="38"/>
  <c r="J328" i="38" s="1"/>
  <c r="K78" i="38"/>
  <c r="K328" i="38" s="1"/>
  <c r="L78" i="38"/>
  <c r="L328" i="38" s="1"/>
  <c r="M78" i="38"/>
  <c r="M328" i="38" s="1"/>
  <c r="N78" i="38"/>
  <c r="N328" i="38" s="1"/>
  <c r="O78" i="38"/>
  <c r="O328" i="38" s="1"/>
  <c r="P78" i="38"/>
  <c r="P328" i="38" s="1"/>
  <c r="R78" i="38"/>
  <c r="R328" i="38" s="1"/>
  <c r="S78" i="38"/>
  <c r="S328" i="38" s="1"/>
  <c r="T78" i="38"/>
  <c r="T328" i="38" s="1"/>
  <c r="U78" i="38"/>
  <c r="U328" i="38" s="1"/>
  <c r="W78" i="38"/>
  <c r="W328" i="38" s="1"/>
  <c r="X78" i="38"/>
  <c r="Y78" i="38"/>
  <c r="Z78" i="38"/>
  <c r="Z328" i="38" s="1"/>
  <c r="AC78" i="38"/>
  <c r="AE78" i="38"/>
  <c r="AC79" i="38"/>
  <c r="AE79" i="38"/>
  <c r="C86" i="38"/>
  <c r="C337" i="38" s="1"/>
  <c r="D86" i="38"/>
  <c r="D337" i="38" s="1"/>
  <c r="E86" i="38"/>
  <c r="E337" i="38" s="1"/>
  <c r="F86" i="38"/>
  <c r="F337" i="38" s="1"/>
  <c r="G86" i="38"/>
  <c r="G337" i="38" s="1"/>
  <c r="H86" i="38"/>
  <c r="H337" i="38" s="1"/>
  <c r="I86" i="38"/>
  <c r="I337" i="38" s="1"/>
  <c r="J86" i="38"/>
  <c r="J337" i="38" s="1"/>
  <c r="K86" i="38"/>
  <c r="K337" i="38" s="1"/>
  <c r="L86" i="38"/>
  <c r="L337" i="38" s="1"/>
  <c r="M86" i="38"/>
  <c r="M337" i="38" s="1"/>
  <c r="N86" i="38"/>
  <c r="N337" i="38" s="1"/>
  <c r="O86" i="38"/>
  <c r="O337" i="38" s="1"/>
  <c r="P86" i="38"/>
  <c r="P337" i="38" s="1"/>
  <c r="R86" i="38"/>
  <c r="R337" i="38" s="1"/>
  <c r="S86" i="38"/>
  <c r="S337" i="38" s="1"/>
  <c r="T86" i="38"/>
  <c r="U86" i="38"/>
  <c r="W86" i="38"/>
  <c r="W337" i="38" s="1"/>
  <c r="X86" i="38"/>
  <c r="X337" i="38" s="1"/>
  <c r="Y86" i="38"/>
  <c r="Y337" i="38" s="1"/>
  <c r="Z86" i="38"/>
  <c r="Z337" i="38" s="1"/>
  <c r="AC86" i="38"/>
  <c r="AE86" i="38"/>
  <c r="AG86" i="38"/>
  <c r="C87" i="38"/>
  <c r="C338" i="38" s="1"/>
  <c r="D87" i="38"/>
  <c r="D338" i="38" s="1"/>
  <c r="E87" i="38"/>
  <c r="E338" i="38" s="1"/>
  <c r="F87" i="38"/>
  <c r="F338" i="38" s="1"/>
  <c r="G87" i="38"/>
  <c r="G338" i="38" s="1"/>
  <c r="H87" i="38"/>
  <c r="H338" i="38" s="1"/>
  <c r="I87" i="38"/>
  <c r="I338" i="38" s="1"/>
  <c r="J87" i="38"/>
  <c r="J338" i="38" s="1"/>
  <c r="K87" i="38"/>
  <c r="K338" i="38" s="1"/>
  <c r="L87" i="38"/>
  <c r="L338" i="38" s="1"/>
  <c r="M87" i="38"/>
  <c r="M338" i="38" s="1"/>
  <c r="N87" i="38"/>
  <c r="N338" i="38" s="1"/>
  <c r="O87" i="38"/>
  <c r="O338" i="38" s="1"/>
  <c r="P87" i="38"/>
  <c r="R87" i="38"/>
  <c r="R338" i="38" s="1"/>
  <c r="S87" i="38"/>
  <c r="S338" i="38" s="1"/>
  <c r="T87" i="38"/>
  <c r="T338" i="38" s="1"/>
  <c r="U87" i="38"/>
  <c r="U338" i="38" s="1"/>
  <c r="W87" i="38"/>
  <c r="W338" i="38" s="1"/>
  <c r="X87" i="38"/>
  <c r="Y87" i="38"/>
  <c r="Y338" i="38" s="1"/>
  <c r="Z87" i="38"/>
  <c r="Z338" i="38" s="1"/>
  <c r="AC87" i="38"/>
  <c r="AE87" i="38"/>
  <c r="AG87" i="38"/>
  <c r="C88" i="38"/>
  <c r="C339" i="38" s="1"/>
  <c r="D88" i="38"/>
  <c r="D339" i="38" s="1"/>
  <c r="E88" i="38"/>
  <c r="E339" i="38" s="1"/>
  <c r="F88" i="38"/>
  <c r="F339" i="38" s="1"/>
  <c r="G88" i="38"/>
  <c r="G339" i="38" s="1"/>
  <c r="H88" i="38"/>
  <c r="H339" i="38" s="1"/>
  <c r="I88" i="38"/>
  <c r="I339" i="38" s="1"/>
  <c r="J88" i="38"/>
  <c r="J339" i="38" s="1"/>
  <c r="K88" i="38"/>
  <c r="K339" i="38" s="1"/>
  <c r="L88" i="38"/>
  <c r="L339" i="38" s="1"/>
  <c r="M88" i="38"/>
  <c r="M339" i="38" s="1"/>
  <c r="N88" i="38"/>
  <c r="N339" i="38" s="1"/>
  <c r="O88" i="38"/>
  <c r="O339" i="38" s="1"/>
  <c r="P88" i="38"/>
  <c r="P339" i="38" s="1"/>
  <c r="R88" i="38"/>
  <c r="R339" i="38" s="1"/>
  <c r="S88" i="38"/>
  <c r="S339" i="38" s="1"/>
  <c r="T88" i="38"/>
  <c r="T339" i="38" s="1"/>
  <c r="U88" i="38"/>
  <c r="U339" i="38" s="1"/>
  <c r="W88" i="38"/>
  <c r="W339" i="38" s="1"/>
  <c r="X88" i="38"/>
  <c r="X339" i="38" s="1"/>
  <c r="Y88" i="38"/>
  <c r="Y339" i="38" s="1"/>
  <c r="Z88" i="38"/>
  <c r="Z339" i="38" s="1"/>
  <c r="AC88" i="38"/>
  <c r="AE88" i="38"/>
  <c r="AJ90" i="38"/>
  <c r="AO90" i="38"/>
  <c r="C97" i="38"/>
  <c r="D97" i="38"/>
  <c r="E97" i="38"/>
  <c r="F97" i="38"/>
  <c r="G97" i="38"/>
  <c r="H97" i="38"/>
  <c r="I97" i="38"/>
  <c r="J97" i="38"/>
  <c r="K97" i="38"/>
  <c r="L97" i="38"/>
  <c r="M97" i="38"/>
  <c r="N97" i="38"/>
  <c r="O97" i="38"/>
  <c r="P97" i="38"/>
  <c r="R97" i="38"/>
  <c r="S97" i="38"/>
  <c r="T97" i="38"/>
  <c r="U97" i="38"/>
  <c r="W97" i="38"/>
  <c r="X97" i="38"/>
  <c r="Y97" i="38"/>
  <c r="Z97" i="38"/>
  <c r="AC97" i="38"/>
  <c r="AG97" i="38"/>
  <c r="C118" i="38"/>
  <c r="D118" i="38"/>
  <c r="E118" i="38"/>
  <c r="F118" i="38"/>
  <c r="G118" i="38"/>
  <c r="D290" i="37" s="1"/>
  <c r="H118" i="38"/>
  <c r="I118" i="38"/>
  <c r="J118" i="38"/>
  <c r="K118" i="38"/>
  <c r="L118" i="38"/>
  <c r="E290" i="37" s="1"/>
  <c r="M118" i="38"/>
  <c r="N118" i="38"/>
  <c r="O118" i="38"/>
  <c r="C131" i="38"/>
  <c r="D131" i="38"/>
  <c r="E131" i="38"/>
  <c r="F131" i="38"/>
  <c r="H131" i="38"/>
  <c r="I131" i="38"/>
  <c r="J131" i="38"/>
  <c r="K131" i="38"/>
  <c r="M131" i="38"/>
  <c r="N131" i="38"/>
  <c r="O131" i="38"/>
  <c r="G134" i="38"/>
  <c r="D304" i="37" s="1"/>
  <c r="L134" i="38"/>
  <c r="Z138" i="38"/>
  <c r="C139" i="38"/>
  <c r="D139" i="38"/>
  <c r="E139" i="38"/>
  <c r="F139" i="38"/>
  <c r="G139" i="38"/>
  <c r="D307" i="37" s="1"/>
  <c r="Q13" i="1" s="1"/>
  <c r="Q82" i="1" s="1"/>
  <c r="H139" i="38"/>
  <c r="I139" i="38"/>
  <c r="J139" i="38"/>
  <c r="K139" i="38"/>
  <c r="L139" i="38"/>
  <c r="E307" i="37" s="1"/>
  <c r="R13" i="1" s="1"/>
  <c r="R82" i="1" s="1"/>
  <c r="M139" i="38"/>
  <c r="N139" i="38"/>
  <c r="O139" i="38"/>
  <c r="T139" i="38"/>
  <c r="T167" i="38" s="1"/>
  <c r="P140" i="38"/>
  <c r="P211" i="38" s="1"/>
  <c r="S140" i="38"/>
  <c r="S211" i="38" s="1"/>
  <c r="AB140" i="38"/>
  <c r="AC140" i="38" s="1"/>
  <c r="AC144" i="38" s="1"/>
  <c r="AD140" i="38"/>
  <c r="AE140" i="38" s="1"/>
  <c r="AE137" i="38" s="1"/>
  <c r="AF140" i="38"/>
  <c r="AG140" i="38" s="1"/>
  <c r="AG137" i="38" s="1"/>
  <c r="R156" i="38"/>
  <c r="W156" i="38"/>
  <c r="R157" i="38"/>
  <c r="S157" i="38"/>
  <c r="T157" i="38"/>
  <c r="U157" i="38"/>
  <c r="W157" i="38"/>
  <c r="X157" i="38"/>
  <c r="Y157" i="38"/>
  <c r="Z157" i="38"/>
  <c r="R158" i="38"/>
  <c r="S158" i="38"/>
  <c r="T158" i="38"/>
  <c r="U158" i="38"/>
  <c r="W158" i="38"/>
  <c r="X158" i="38"/>
  <c r="Z160" i="38"/>
  <c r="AC160" i="38"/>
  <c r="AE160" i="38"/>
  <c r="R161" i="38"/>
  <c r="S161" i="38"/>
  <c r="X161" i="38"/>
  <c r="R162" i="38"/>
  <c r="S162" i="38"/>
  <c r="T162" i="38"/>
  <c r="U162" i="38"/>
  <c r="W162" i="38"/>
  <c r="X162" i="38"/>
  <c r="Y162" i="38"/>
  <c r="Z162" i="38"/>
  <c r="S163" i="38"/>
  <c r="T163" i="38"/>
  <c r="U163" i="38"/>
  <c r="W163" i="38"/>
  <c r="X163" i="38"/>
  <c r="Y163" i="38"/>
  <c r="Z163" i="38"/>
  <c r="B165" i="38"/>
  <c r="B166" i="38"/>
  <c r="R166" i="38"/>
  <c r="S166" i="38"/>
  <c r="B167" i="38"/>
  <c r="R167" i="38"/>
  <c r="S167" i="38"/>
  <c r="U167" i="38"/>
  <c r="W167" i="38"/>
  <c r="X167" i="38"/>
  <c r="Y167" i="38"/>
  <c r="Z167" i="38"/>
  <c r="AC167" i="38"/>
  <c r="AE167" i="38"/>
  <c r="X172" i="38"/>
  <c r="Y172" i="38"/>
  <c r="Z172" i="38"/>
  <c r="AA173" i="38"/>
  <c r="V178" i="38"/>
  <c r="C179" i="38"/>
  <c r="D179" i="38"/>
  <c r="E179" i="38"/>
  <c r="F179" i="38"/>
  <c r="G179" i="38"/>
  <c r="H179" i="38"/>
  <c r="C948" i="38" s="1"/>
  <c r="I179" i="38"/>
  <c r="D948" i="38" s="1"/>
  <c r="J179" i="38"/>
  <c r="E948" i="38" s="1"/>
  <c r="K179" i="38"/>
  <c r="F948" i="38" s="1"/>
  <c r="L179" i="38"/>
  <c r="M179" i="38"/>
  <c r="G948" i="38" s="1"/>
  <c r="N179" i="38"/>
  <c r="H948" i="38" s="1"/>
  <c r="O179" i="38"/>
  <c r="I948" i="38" s="1"/>
  <c r="P179" i="38"/>
  <c r="J948" i="38" s="1"/>
  <c r="R179" i="38"/>
  <c r="C46" i="42" s="1"/>
  <c r="S179" i="38"/>
  <c r="D46" i="42" s="1"/>
  <c r="T179" i="38"/>
  <c r="W179" i="38"/>
  <c r="G46" i="42" s="1"/>
  <c r="Z179" i="38"/>
  <c r="J46" i="42" s="1"/>
  <c r="C180" i="38"/>
  <c r="D180" i="38"/>
  <c r="E180" i="38"/>
  <c r="F180" i="38"/>
  <c r="G180" i="38"/>
  <c r="H180" i="38"/>
  <c r="C949" i="38" s="1"/>
  <c r="I180" i="38"/>
  <c r="D949" i="38" s="1"/>
  <c r="J180" i="38"/>
  <c r="E949" i="38" s="1"/>
  <c r="K180" i="38"/>
  <c r="F949" i="38" s="1"/>
  <c r="L180" i="38"/>
  <c r="M180" i="38"/>
  <c r="G949" i="38" s="1"/>
  <c r="N180" i="38"/>
  <c r="H949" i="38" s="1"/>
  <c r="O180" i="38"/>
  <c r="I949" i="38" s="1"/>
  <c r="P180" i="38"/>
  <c r="J949" i="38" s="1"/>
  <c r="R180" i="38"/>
  <c r="C47" i="42" s="1"/>
  <c r="S180" i="38"/>
  <c r="L949" i="38" s="1"/>
  <c r="T180" i="38"/>
  <c r="U180" i="38"/>
  <c r="W180" i="38"/>
  <c r="G47" i="42" s="1"/>
  <c r="X180" i="38"/>
  <c r="H47" i="42" s="1"/>
  <c r="Y180" i="38"/>
  <c r="I47" i="42" s="1"/>
  <c r="Z180" i="38"/>
  <c r="R949" i="38" s="1"/>
  <c r="C181" i="38"/>
  <c r="D181" i="38"/>
  <c r="E181" i="38"/>
  <c r="F181" i="38"/>
  <c r="G181" i="38"/>
  <c r="H181" i="38"/>
  <c r="C950" i="38" s="1"/>
  <c r="I181" i="38"/>
  <c r="D950" i="38" s="1"/>
  <c r="J181" i="38"/>
  <c r="E950" i="38" s="1"/>
  <c r="K181" i="38"/>
  <c r="F950" i="38" s="1"/>
  <c r="L181" i="38"/>
  <c r="M181" i="38"/>
  <c r="G950" i="38" s="1"/>
  <c r="N181" i="38"/>
  <c r="H950" i="38" s="1"/>
  <c r="O181" i="38"/>
  <c r="I950" i="38" s="1"/>
  <c r="P181" i="38"/>
  <c r="J950" i="38" s="1"/>
  <c r="R181" i="38"/>
  <c r="C48" i="42" s="1"/>
  <c r="S181" i="38"/>
  <c r="D48" i="42" s="1"/>
  <c r="T181" i="38"/>
  <c r="E48" i="42" s="1"/>
  <c r="U181" i="38"/>
  <c r="N950" i="38" s="1"/>
  <c r="W181" i="38"/>
  <c r="X181" i="38"/>
  <c r="P950" i="38" s="1"/>
  <c r="AG186" i="38"/>
  <c r="B189" i="38"/>
  <c r="C189" i="38"/>
  <c r="D189" i="38"/>
  <c r="E189" i="38"/>
  <c r="F189" i="38"/>
  <c r="H189" i="38"/>
  <c r="I189" i="38"/>
  <c r="J189" i="38"/>
  <c r="K189" i="38"/>
  <c r="L189" i="38"/>
  <c r="M189" i="38"/>
  <c r="N189" i="38"/>
  <c r="O189" i="38"/>
  <c r="P189" i="38"/>
  <c r="C191" i="38"/>
  <c r="D191" i="38"/>
  <c r="E191" i="38"/>
  <c r="F191" i="38"/>
  <c r="G191" i="38"/>
  <c r="H191" i="38"/>
  <c r="C954" i="38" s="1"/>
  <c r="I191" i="38"/>
  <c r="D954" i="38" s="1"/>
  <c r="J191" i="38"/>
  <c r="E954" i="38" s="1"/>
  <c r="K191" i="38"/>
  <c r="F954" i="38" s="1"/>
  <c r="L191" i="38"/>
  <c r="M191" i="38"/>
  <c r="G954" i="38" s="1"/>
  <c r="N191" i="38"/>
  <c r="H954" i="38" s="1"/>
  <c r="O191" i="38"/>
  <c r="I954" i="38" s="1"/>
  <c r="P191" i="38"/>
  <c r="J954" i="38" s="1"/>
  <c r="R191" i="38"/>
  <c r="S191" i="38"/>
  <c r="D51" i="42" s="1"/>
  <c r="T191" i="38"/>
  <c r="E51" i="42" s="1"/>
  <c r="U191" i="38"/>
  <c r="N954" i="38" s="1"/>
  <c r="X191" i="38"/>
  <c r="H51" i="42" s="1"/>
  <c r="Y191" i="38"/>
  <c r="I51" i="42" s="1"/>
  <c r="Z191" i="38"/>
  <c r="J51" i="42" s="1"/>
  <c r="C192" i="38"/>
  <c r="D192" i="38"/>
  <c r="E192" i="38"/>
  <c r="F192" i="38"/>
  <c r="G192" i="38"/>
  <c r="H192" i="38"/>
  <c r="C955" i="38" s="1"/>
  <c r="I192" i="38"/>
  <c r="D955" i="38" s="1"/>
  <c r="J192" i="38"/>
  <c r="E955" i="38" s="1"/>
  <c r="K192" i="38"/>
  <c r="F955" i="38" s="1"/>
  <c r="L192" i="38"/>
  <c r="M192" i="38"/>
  <c r="G955" i="38" s="1"/>
  <c r="N192" i="38"/>
  <c r="H955" i="38" s="1"/>
  <c r="O192" i="38"/>
  <c r="I955" i="38" s="1"/>
  <c r="R192" i="38"/>
  <c r="K955" i="38" s="1"/>
  <c r="S192" i="38"/>
  <c r="L955" i="38" s="1"/>
  <c r="T192" i="38"/>
  <c r="M955" i="38" s="1"/>
  <c r="U192" i="38"/>
  <c r="N955" i="38" s="1"/>
  <c r="W192" i="38"/>
  <c r="G52" i="42" s="1"/>
  <c r="X192" i="38"/>
  <c r="H52" i="42" s="1"/>
  <c r="Y192" i="38"/>
  <c r="Z192" i="38"/>
  <c r="J52" i="42" s="1"/>
  <c r="C193" i="38"/>
  <c r="D193" i="38"/>
  <c r="E193" i="38"/>
  <c r="F193" i="38"/>
  <c r="G193" i="38"/>
  <c r="H193" i="38"/>
  <c r="C956" i="38" s="1"/>
  <c r="I193" i="38"/>
  <c r="D956" i="38" s="1"/>
  <c r="J193" i="38"/>
  <c r="E956" i="38" s="1"/>
  <c r="K193" i="38"/>
  <c r="F956" i="38" s="1"/>
  <c r="L193" i="38"/>
  <c r="M193" i="38"/>
  <c r="G956" i="38" s="1"/>
  <c r="N193" i="38"/>
  <c r="H956" i="38" s="1"/>
  <c r="O193" i="38"/>
  <c r="I956" i="38" s="1"/>
  <c r="P193" i="38"/>
  <c r="J956" i="38" s="1"/>
  <c r="S193" i="38"/>
  <c r="T193" i="38"/>
  <c r="U193" i="38"/>
  <c r="F53" i="42" s="1"/>
  <c r="W193" i="38"/>
  <c r="O956" i="38" s="1"/>
  <c r="X193" i="38"/>
  <c r="Y193" i="38"/>
  <c r="I53" i="42" s="1"/>
  <c r="Z193" i="38"/>
  <c r="R956" i="38" s="1"/>
  <c r="B194" i="38"/>
  <c r="B195" i="38"/>
  <c r="C195" i="38"/>
  <c r="D195" i="38"/>
  <c r="E195" i="38"/>
  <c r="F195" i="38"/>
  <c r="G195" i="38"/>
  <c r="H195" i="38"/>
  <c r="I195" i="38"/>
  <c r="J195" i="38"/>
  <c r="K195" i="38"/>
  <c r="L195" i="38"/>
  <c r="M195" i="38"/>
  <c r="N195" i="38"/>
  <c r="O195" i="38"/>
  <c r="P195" i="38"/>
  <c r="B204" i="38"/>
  <c r="C205" i="38"/>
  <c r="D205" i="38"/>
  <c r="E205" i="38"/>
  <c r="F205" i="38"/>
  <c r="G205" i="38"/>
  <c r="H205" i="38"/>
  <c r="I205" i="38"/>
  <c r="J205" i="38"/>
  <c r="K205" i="38"/>
  <c r="L205" i="38"/>
  <c r="M205" i="38"/>
  <c r="N205" i="38"/>
  <c r="O205" i="38"/>
  <c r="P205" i="38"/>
  <c r="R205" i="38"/>
  <c r="C56" i="42" s="1"/>
  <c r="S205" i="38"/>
  <c r="D56" i="42" s="1"/>
  <c r="T205" i="38"/>
  <c r="E56" i="42" s="1"/>
  <c r="U205" i="38"/>
  <c r="F56" i="42" s="1"/>
  <c r="AG206" i="38"/>
  <c r="C210" i="38"/>
  <c r="D210" i="38"/>
  <c r="E210" i="38"/>
  <c r="F210" i="38"/>
  <c r="G210" i="38"/>
  <c r="H210" i="38"/>
  <c r="I210" i="38"/>
  <c r="J210" i="38"/>
  <c r="K210" i="38"/>
  <c r="L210" i="38"/>
  <c r="M210" i="38"/>
  <c r="N210" i="38"/>
  <c r="O210" i="38"/>
  <c r="P210" i="38"/>
  <c r="S210" i="38"/>
  <c r="D57" i="42" s="1"/>
  <c r="T210" i="38"/>
  <c r="E57" i="42" s="1"/>
  <c r="C211" i="38"/>
  <c r="D211" i="38"/>
  <c r="E211" i="38"/>
  <c r="F211" i="38"/>
  <c r="G211" i="38"/>
  <c r="H211" i="38"/>
  <c r="I211" i="38"/>
  <c r="J211" i="38"/>
  <c r="K211" i="38"/>
  <c r="L211" i="38"/>
  <c r="M211" i="38"/>
  <c r="N211" i="38"/>
  <c r="O211" i="38"/>
  <c r="C250" i="38"/>
  <c r="D250" i="38"/>
  <c r="E250" i="38"/>
  <c r="F250" i="38"/>
  <c r="G250" i="38"/>
  <c r="H250" i="38"/>
  <c r="I250" i="38"/>
  <c r="J250" i="38"/>
  <c r="K250" i="38"/>
  <c r="L250" i="38"/>
  <c r="M250" i="38"/>
  <c r="N250" i="38"/>
  <c r="O250" i="38"/>
  <c r="P250" i="38"/>
  <c r="Q250" i="38"/>
  <c r="R250" i="38"/>
  <c r="S250" i="38"/>
  <c r="T250" i="38"/>
  <c r="U250" i="38"/>
  <c r="V250" i="38"/>
  <c r="W250" i="38"/>
  <c r="X250" i="38"/>
  <c r="Y250" i="38"/>
  <c r="Z250" i="38"/>
  <c r="AA250" i="38"/>
  <c r="AB250" i="38"/>
  <c r="AC250" i="38"/>
  <c r="AD250" i="38"/>
  <c r="AE250" i="38"/>
  <c r="AF250" i="38"/>
  <c r="AG250" i="38"/>
  <c r="AJ250" i="38"/>
  <c r="AO250" i="38"/>
  <c r="S251" i="38"/>
  <c r="U251" i="38" s="1"/>
  <c r="V251" i="38"/>
  <c r="X251" i="38"/>
  <c r="X301" i="38" s="1"/>
  <c r="V252" i="38"/>
  <c r="AA252" i="38"/>
  <c r="AJ252" i="38"/>
  <c r="AO252" i="38"/>
  <c r="V253" i="38"/>
  <c r="AA253" i="38"/>
  <c r="AJ253" i="38"/>
  <c r="AO253" i="38"/>
  <c r="AQ303" i="38" s="1"/>
  <c r="AJ254" i="38"/>
  <c r="AO254" i="38"/>
  <c r="V255" i="38"/>
  <c r="AA255" i="38"/>
  <c r="AJ255" i="38"/>
  <c r="AO255" i="38"/>
  <c r="T260" i="38"/>
  <c r="T286" i="38" s="1"/>
  <c r="U260" i="38"/>
  <c r="Z161" i="38" s="1"/>
  <c r="V260" i="38"/>
  <c r="AA260" i="38"/>
  <c r="AJ260" i="38"/>
  <c r="AO260" i="38"/>
  <c r="V261" i="38"/>
  <c r="AJ261" i="38"/>
  <c r="V262" i="38"/>
  <c r="AA262" i="38"/>
  <c r="AJ262" i="38"/>
  <c r="AO262" i="38"/>
  <c r="V264" i="38"/>
  <c r="AA264" i="38"/>
  <c r="AJ264" i="38"/>
  <c r="AJ290" i="38" s="1"/>
  <c r="I173" i="37" s="1"/>
  <c r="I261" i="37" s="1"/>
  <c r="AO264" i="38"/>
  <c r="AO290" i="38" s="1"/>
  <c r="J173" i="37" s="1"/>
  <c r="J261" i="37" s="1"/>
  <c r="C265" i="38"/>
  <c r="D265" i="38"/>
  <c r="E265" i="38"/>
  <c r="F265" i="38"/>
  <c r="H265" i="38"/>
  <c r="M393" i="38" s="1"/>
  <c r="I265" i="38"/>
  <c r="J265" i="38"/>
  <c r="O393" i="38" s="1"/>
  <c r="K265" i="38"/>
  <c r="P393" i="38" s="1"/>
  <c r="V266" i="38"/>
  <c r="V267" i="38"/>
  <c r="C268" i="38"/>
  <c r="D268" i="38"/>
  <c r="E268" i="38"/>
  <c r="F268" i="38"/>
  <c r="G268" i="38"/>
  <c r="D136" i="37" s="1"/>
  <c r="H268" i="38"/>
  <c r="I268" i="38"/>
  <c r="J268" i="38"/>
  <c r="K268" i="38"/>
  <c r="L268" i="38"/>
  <c r="E136" i="37" s="1"/>
  <c r="M268" i="38"/>
  <c r="O268" i="38"/>
  <c r="Q268" i="38"/>
  <c r="F136" i="37" s="1"/>
  <c r="V269" i="38"/>
  <c r="AA269" i="38"/>
  <c r="AA270" i="38" s="1"/>
  <c r="AJ269" i="38"/>
  <c r="AJ270" i="38" s="1"/>
  <c r="AO269" i="38"/>
  <c r="AO270" i="38" s="1"/>
  <c r="C270" i="38"/>
  <c r="H398" i="38" s="1"/>
  <c r="D270" i="38"/>
  <c r="I398" i="38" s="1"/>
  <c r="E270" i="38"/>
  <c r="J398" i="38" s="1"/>
  <c r="F270" i="38"/>
  <c r="G270" i="38"/>
  <c r="H270" i="38"/>
  <c r="I270" i="38"/>
  <c r="J270" i="38"/>
  <c r="K270" i="38"/>
  <c r="L270" i="38"/>
  <c r="M270" i="38"/>
  <c r="O270" i="38"/>
  <c r="Q270" i="38"/>
  <c r="T270" i="38"/>
  <c r="U270" i="38"/>
  <c r="W270" i="38"/>
  <c r="X270" i="38"/>
  <c r="R271" i="38"/>
  <c r="R164" i="38" s="1"/>
  <c r="S271" i="38"/>
  <c r="S164" i="38" s="1"/>
  <c r="T271" i="38"/>
  <c r="T164" i="38" s="1"/>
  <c r="U271" i="38"/>
  <c r="U164" i="38" s="1"/>
  <c r="W271" i="38"/>
  <c r="X271" i="38"/>
  <c r="Y271" i="38"/>
  <c r="Z271" i="38"/>
  <c r="AC271" i="38"/>
  <c r="C275" i="38"/>
  <c r="C349" i="38" s="1"/>
  <c r="C382" i="38" s="1"/>
  <c r="C575" i="38" s="1"/>
  <c r="C408" i="38" s="1"/>
  <c r="D275" i="38"/>
  <c r="D300" i="38" s="1"/>
  <c r="E275" i="38"/>
  <c r="E349" i="38" s="1"/>
  <c r="E382" i="38" s="1"/>
  <c r="E575" i="38" s="1"/>
  <c r="E408" i="38" s="1"/>
  <c r="F275" i="38"/>
  <c r="F300" i="38" s="1"/>
  <c r="G275" i="38"/>
  <c r="H275" i="38"/>
  <c r="H300" i="38" s="1"/>
  <c r="I275" i="38"/>
  <c r="I300" i="38" s="1"/>
  <c r="J275" i="38"/>
  <c r="J300" i="38" s="1"/>
  <c r="K275" i="38"/>
  <c r="K300" i="38" s="1"/>
  <c r="L275" i="38"/>
  <c r="L300" i="38" s="1"/>
  <c r="M275" i="38"/>
  <c r="N275" i="38"/>
  <c r="O275" i="38"/>
  <c r="P275" i="38"/>
  <c r="P300" i="38" s="1"/>
  <c r="Q275" i="38"/>
  <c r="Q300" i="38" s="1"/>
  <c r="R275" i="38"/>
  <c r="R349" i="38" s="1"/>
  <c r="R382" i="38" s="1"/>
  <c r="S275" i="38"/>
  <c r="S349" i="38" s="1"/>
  <c r="S382" i="38" s="1"/>
  <c r="T275" i="38"/>
  <c r="U275" i="38"/>
  <c r="V275" i="38"/>
  <c r="V349" i="38" s="1"/>
  <c r="V382" i="38" s="1"/>
  <c r="V408" i="38" s="1"/>
  <c r="W275" i="38"/>
  <c r="W300" i="38" s="1"/>
  <c r="X275" i="38"/>
  <c r="X349" i="38" s="1"/>
  <c r="Y275" i="38"/>
  <c r="Y349" i="38" s="1"/>
  <c r="BS328" i="38" s="1"/>
  <c r="Z275" i="38"/>
  <c r="Z349" i="38" s="1"/>
  <c r="BT328" i="38" s="1"/>
  <c r="AA275" i="38"/>
  <c r="AA300" i="38" s="1"/>
  <c r="AB275" i="38"/>
  <c r="AC275" i="38"/>
  <c r="AC349" i="38" s="1"/>
  <c r="AD275" i="38"/>
  <c r="AE275" i="38"/>
  <c r="AE300" i="38" s="1"/>
  <c r="AF275" i="38"/>
  <c r="AF349" i="38" s="1"/>
  <c r="AF382" i="38" s="1"/>
  <c r="AF575" i="38" s="1"/>
  <c r="AG275" i="38"/>
  <c r="AG300" i="38" s="1"/>
  <c r="AJ275" i="38"/>
  <c r="AJ349" i="38" s="1"/>
  <c r="AJ382" i="38" s="1"/>
  <c r="AJ408" i="38" s="1"/>
  <c r="AO275" i="38"/>
  <c r="AO300" i="38" s="1"/>
  <c r="B276" i="38"/>
  <c r="B350" i="38" s="1"/>
  <c r="B109" i="45" s="1"/>
  <c r="B129" i="45" s="1"/>
  <c r="C276" i="38"/>
  <c r="D276" i="38"/>
  <c r="E276" i="38"/>
  <c r="F276" i="38"/>
  <c r="G276" i="38"/>
  <c r="D162" i="37" s="1"/>
  <c r="H276" i="38"/>
  <c r="I276" i="38"/>
  <c r="J276" i="38"/>
  <c r="K276" i="38"/>
  <c r="L276" i="38"/>
  <c r="E162" i="37" s="1"/>
  <c r="M276" i="38"/>
  <c r="N276" i="38"/>
  <c r="O276" i="38"/>
  <c r="P276" i="38"/>
  <c r="R276" i="38"/>
  <c r="W276" i="38"/>
  <c r="Z276" i="38"/>
  <c r="AC276" i="38"/>
  <c r="AE276" i="38"/>
  <c r="AG276" i="38"/>
  <c r="B351" i="38"/>
  <c r="C277" i="38"/>
  <c r="D277" i="38"/>
  <c r="E277" i="38"/>
  <c r="F277" i="38"/>
  <c r="G277" i="38"/>
  <c r="D163" i="37" s="1"/>
  <c r="H277" i="38"/>
  <c r="I277" i="38"/>
  <c r="J277" i="38"/>
  <c r="K277" i="38"/>
  <c r="L277" i="38"/>
  <c r="E163" i="37" s="1"/>
  <c r="M277" i="38"/>
  <c r="N277" i="38"/>
  <c r="O277" i="38"/>
  <c r="P277" i="38"/>
  <c r="R277" i="38"/>
  <c r="S277" i="38"/>
  <c r="T277" i="38"/>
  <c r="U277" i="38"/>
  <c r="W277" i="38"/>
  <c r="X277" i="38"/>
  <c r="Y277" i="38"/>
  <c r="Z277" i="38"/>
  <c r="AC277" i="38"/>
  <c r="AE277" i="38"/>
  <c r="AG277" i="38"/>
  <c r="B352" i="38"/>
  <c r="C278" i="38"/>
  <c r="D278" i="38"/>
  <c r="E278" i="38"/>
  <c r="F278" i="38"/>
  <c r="G278" i="38"/>
  <c r="D164" i="37" s="1"/>
  <c r="H278" i="38"/>
  <c r="I278" i="38"/>
  <c r="J278" i="38"/>
  <c r="K278" i="38"/>
  <c r="L278" i="38"/>
  <c r="E164" i="37" s="1"/>
  <c r="M278" i="38"/>
  <c r="N278" i="38"/>
  <c r="O278" i="38"/>
  <c r="P278" i="38"/>
  <c r="R278" i="38"/>
  <c r="S278" i="38"/>
  <c r="T278" i="38"/>
  <c r="U278" i="38"/>
  <c r="W278" i="38"/>
  <c r="X278" i="38"/>
  <c r="Y278" i="38"/>
  <c r="Z278" i="38"/>
  <c r="AC278" i="38"/>
  <c r="AE278" i="38"/>
  <c r="AG278" i="38"/>
  <c r="AC279" i="38"/>
  <c r="AE279" i="38"/>
  <c r="B282" i="38"/>
  <c r="B357" i="38" s="1"/>
  <c r="B283" i="38"/>
  <c r="B358" i="38" s="1"/>
  <c r="B4069" i="22" s="1"/>
  <c r="B284" i="38"/>
  <c r="B359" i="38" s="1"/>
  <c r="B4070" i="22" s="1"/>
  <c r="B285" i="38"/>
  <c r="B360" i="38" s="1"/>
  <c r="B4071" i="22" s="1"/>
  <c r="B286" i="38"/>
  <c r="B361" i="38" s="1"/>
  <c r="C286" i="38"/>
  <c r="D286" i="38"/>
  <c r="E286" i="38"/>
  <c r="F286" i="38"/>
  <c r="G286" i="38"/>
  <c r="D168" i="37" s="1"/>
  <c r="H286" i="38"/>
  <c r="I286" i="38"/>
  <c r="J286" i="38"/>
  <c r="K286" i="38"/>
  <c r="L286" i="38"/>
  <c r="E168" i="37" s="1"/>
  <c r="M286" i="38"/>
  <c r="N286" i="38"/>
  <c r="O286" i="38"/>
  <c r="P286" i="38"/>
  <c r="R286" i="38"/>
  <c r="S286" i="38"/>
  <c r="W286" i="38"/>
  <c r="X286" i="38"/>
  <c r="Y286" i="38"/>
  <c r="Z286" i="38"/>
  <c r="AC286" i="38"/>
  <c r="AE286" i="38"/>
  <c r="AG286" i="38"/>
  <c r="B287" i="38"/>
  <c r="B362" i="38" s="1"/>
  <c r="C287" i="38"/>
  <c r="D287" i="38"/>
  <c r="E287" i="38"/>
  <c r="F287" i="38"/>
  <c r="G287" i="38"/>
  <c r="D169" i="37" s="1"/>
  <c r="H287" i="38"/>
  <c r="I287" i="38"/>
  <c r="J287" i="38"/>
  <c r="K287" i="38"/>
  <c r="L287" i="38"/>
  <c r="E169" i="37" s="1"/>
  <c r="M287" i="38"/>
  <c r="N287" i="38"/>
  <c r="O287" i="38"/>
  <c r="P287" i="38"/>
  <c r="R287" i="38"/>
  <c r="S287" i="38"/>
  <c r="T287" i="38"/>
  <c r="U287" i="38"/>
  <c r="W287" i="38"/>
  <c r="X287" i="38"/>
  <c r="Y287" i="38"/>
  <c r="Z287" i="38"/>
  <c r="AC287" i="38"/>
  <c r="AE287" i="38"/>
  <c r="AG287" i="38"/>
  <c r="B288" i="38"/>
  <c r="B363" i="38" s="1"/>
  <c r="B120" i="45" s="1"/>
  <c r="B139" i="45" s="1"/>
  <c r="C288" i="38"/>
  <c r="D288" i="38"/>
  <c r="E288" i="38"/>
  <c r="F288" i="38"/>
  <c r="G288" i="38"/>
  <c r="D170" i="37" s="1"/>
  <c r="H288" i="38"/>
  <c r="I288" i="38"/>
  <c r="J288" i="38"/>
  <c r="K288" i="38"/>
  <c r="L288" i="38"/>
  <c r="E170" i="37" s="1"/>
  <c r="M288" i="38"/>
  <c r="N288" i="38"/>
  <c r="O288" i="38"/>
  <c r="P288" i="38"/>
  <c r="R288" i="38"/>
  <c r="S288" i="38"/>
  <c r="T288" i="38"/>
  <c r="U288" i="38"/>
  <c r="W288" i="38"/>
  <c r="X288" i="38"/>
  <c r="Y288" i="38"/>
  <c r="Z288" i="38"/>
  <c r="AC288" i="38"/>
  <c r="AE288" i="38"/>
  <c r="B290" i="38"/>
  <c r="B365" i="38" s="1"/>
  <c r="AB290" i="38"/>
  <c r="AD290" i="38"/>
  <c r="AE290" i="38"/>
  <c r="AF290" i="38"/>
  <c r="AG290" i="38"/>
  <c r="B291" i="38"/>
  <c r="B366" i="38" s="1"/>
  <c r="Q291" i="38"/>
  <c r="F174" i="37" s="1"/>
  <c r="V291" i="38"/>
  <c r="G174" i="37" s="1"/>
  <c r="AA291" i="38"/>
  <c r="H174" i="37" s="1"/>
  <c r="H262" i="37" s="1"/>
  <c r="B292" i="38"/>
  <c r="B367" i="38" s="1"/>
  <c r="T292" i="38"/>
  <c r="U292" i="38"/>
  <c r="W292" i="38"/>
  <c r="X292" i="38"/>
  <c r="Y292" i="38"/>
  <c r="Z292" i="38"/>
  <c r="AA292" i="38"/>
  <c r="H175" i="37" s="1"/>
  <c r="H263" i="37" s="1"/>
  <c r="AB292" i="38"/>
  <c r="AC292" i="38"/>
  <c r="AD292" i="38"/>
  <c r="AE292" i="38"/>
  <c r="AF292" i="38"/>
  <c r="AG292" i="38"/>
  <c r="B293" i="38"/>
  <c r="B368" i="38" s="1"/>
  <c r="W293" i="38"/>
  <c r="X293" i="38"/>
  <c r="Y293" i="38"/>
  <c r="Z293" i="38"/>
  <c r="AA293" i="38"/>
  <c r="H176" i="37" s="1"/>
  <c r="H264" i="37" s="1"/>
  <c r="AB293" i="38"/>
  <c r="AC293" i="38"/>
  <c r="AD293" i="38"/>
  <c r="AE293" i="38"/>
  <c r="AF293" i="38"/>
  <c r="AG293" i="38"/>
  <c r="B294" i="38"/>
  <c r="B369" i="38" s="1"/>
  <c r="R294" i="38"/>
  <c r="S294" i="38"/>
  <c r="T294" i="38"/>
  <c r="U294" i="38"/>
  <c r="W294" i="38"/>
  <c r="X294" i="38"/>
  <c r="Y294" i="38"/>
  <c r="Z294" i="38"/>
  <c r="AA294" i="38"/>
  <c r="H177" i="37" s="1"/>
  <c r="H265" i="37" s="1"/>
  <c r="AB294" i="38"/>
  <c r="AC294" i="38"/>
  <c r="AD294" i="38"/>
  <c r="AE294" i="38"/>
  <c r="AF294" i="38"/>
  <c r="AG294" i="38"/>
  <c r="B295" i="38"/>
  <c r="B370" i="38" s="1"/>
  <c r="B296" i="38"/>
  <c r="B371" i="38" s="1"/>
  <c r="C301" i="38"/>
  <c r="D301" i="38"/>
  <c r="E301" i="38"/>
  <c r="F301" i="38"/>
  <c r="G301" i="38"/>
  <c r="D184" i="37" s="1"/>
  <c r="H301" i="38"/>
  <c r="H383" i="38" s="1"/>
  <c r="I301" i="38"/>
  <c r="I383" i="38" s="1"/>
  <c r="J301" i="38"/>
  <c r="K301" i="38"/>
  <c r="K383" i="38" s="1"/>
  <c r="L301" i="38"/>
  <c r="M301" i="38"/>
  <c r="N301" i="38"/>
  <c r="N383" i="38" s="1"/>
  <c r="O301" i="38"/>
  <c r="O383" i="38" s="1"/>
  <c r="P301" i="38"/>
  <c r="P383" i="38" s="1"/>
  <c r="R301" i="38"/>
  <c r="R383" i="38" s="1"/>
  <c r="W301" i="38"/>
  <c r="W383" i="38" s="1"/>
  <c r="Z301" i="38"/>
  <c r="AC301" i="38"/>
  <c r="AC383" i="38" s="1"/>
  <c r="AE301" i="38"/>
  <c r="AG301" i="38"/>
  <c r="AG383" i="38" s="1"/>
  <c r="C302" i="38"/>
  <c r="D302" i="38"/>
  <c r="E302" i="38"/>
  <c r="F302" i="38"/>
  <c r="G302" i="38"/>
  <c r="D185" i="37" s="1"/>
  <c r="H302" i="38"/>
  <c r="I302" i="38"/>
  <c r="I384" i="38" s="1"/>
  <c r="J302" i="38"/>
  <c r="J384" i="38" s="1"/>
  <c r="K302" i="38"/>
  <c r="K384" i="38" s="1"/>
  <c r="L302" i="38"/>
  <c r="L384" i="38" s="1"/>
  <c r="M302" i="38"/>
  <c r="M384" i="38" s="1"/>
  <c r="N302" i="38"/>
  <c r="O302" i="38"/>
  <c r="P302" i="38"/>
  <c r="R302" i="38"/>
  <c r="R384" i="38" s="1"/>
  <c r="S302" i="38"/>
  <c r="S384" i="38" s="1"/>
  <c r="T302" i="38"/>
  <c r="T384" i="38" s="1"/>
  <c r="U302" i="38"/>
  <c r="U384" i="38" s="1"/>
  <c r="W302" i="38"/>
  <c r="W384" i="38" s="1"/>
  <c r="X302" i="38"/>
  <c r="X384" i="38" s="1"/>
  <c r="Y302" i="38"/>
  <c r="Y384" i="38" s="1"/>
  <c r="Z302" i="38"/>
  <c r="Z384" i="38" s="1"/>
  <c r="AC302" i="38"/>
  <c r="AC384" i="38" s="1"/>
  <c r="AE302" i="38"/>
  <c r="AE384" i="38" s="1"/>
  <c r="AG302" i="38"/>
  <c r="AG384" i="38" s="1"/>
  <c r="C303" i="38"/>
  <c r="D303" i="38"/>
  <c r="E303" i="38"/>
  <c r="F303" i="38"/>
  <c r="G303" i="38"/>
  <c r="D186" i="37" s="1"/>
  <c r="H303" i="38"/>
  <c r="H385" i="38" s="1"/>
  <c r="I303" i="38"/>
  <c r="I385" i="38" s="1"/>
  <c r="J303" i="38"/>
  <c r="J385" i="38" s="1"/>
  <c r="K303" i="38"/>
  <c r="L303" i="38"/>
  <c r="M303" i="38"/>
  <c r="M385" i="38" s="1"/>
  <c r="N303" i="38"/>
  <c r="N385" i="38" s="1"/>
  <c r="O303" i="38"/>
  <c r="P303" i="38"/>
  <c r="P385" i="38" s="1"/>
  <c r="R303" i="38"/>
  <c r="R385" i="38" s="1"/>
  <c r="S303" i="38"/>
  <c r="T303" i="38"/>
  <c r="T385" i="38" s="1"/>
  <c r="U303" i="38"/>
  <c r="U385" i="38" s="1"/>
  <c r="W303" i="38"/>
  <c r="W385" i="38" s="1"/>
  <c r="X303" i="38"/>
  <c r="X385" i="38" s="1"/>
  <c r="Y303" i="38"/>
  <c r="Y385" i="38" s="1"/>
  <c r="Z303" i="38"/>
  <c r="Z385" i="38" s="1"/>
  <c r="AC303" i="38"/>
  <c r="AC385" i="38" s="1"/>
  <c r="AE303" i="38"/>
  <c r="AE385" i="38" s="1"/>
  <c r="AC304" i="38"/>
  <c r="AE304" i="38"/>
  <c r="C312" i="38"/>
  <c r="D312" i="38"/>
  <c r="E312" i="38"/>
  <c r="F312" i="38"/>
  <c r="G312" i="38"/>
  <c r="D190" i="37" s="1"/>
  <c r="H312" i="38"/>
  <c r="H388" i="38" s="1"/>
  <c r="I312" i="38"/>
  <c r="I388" i="38" s="1"/>
  <c r="J312" i="38"/>
  <c r="J388" i="38" s="1"/>
  <c r="K312" i="38"/>
  <c r="L312" i="38"/>
  <c r="L388" i="38" s="1"/>
  <c r="M312" i="38"/>
  <c r="M388" i="38" s="1"/>
  <c r="N312" i="38"/>
  <c r="O312" i="38"/>
  <c r="P312" i="38"/>
  <c r="P388" i="38" s="1"/>
  <c r="R312" i="38"/>
  <c r="R388" i="38" s="1"/>
  <c r="S312" i="38"/>
  <c r="S388" i="38" s="1"/>
  <c r="W312" i="38"/>
  <c r="W388" i="38" s="1"/>
  <c r="X312" i="38"/>
  <c r="X388" i="38" s="1"/>
  <c r="Y312" i="38"/>
  <c r="Z312" i="38"/>
  <c r="AC312" i="38"/>
  <c r="AC388" i="38" s="1"/>
  <c r="AE312" i="38"/>
  <c r="AE388" i="38" s="1"/>
  <c r="AG312" i="38"/>
  <c r="AG388" i="38" s="1"/>
  <c r="C313" i="38"/>
  <c r="D313" i="38"/>
  <c r="E313" i="38"/>
  <c r="F313" i="38"/>
  <c r="G313" i="38"/>
  <c r="D191" i="37" s="1"/>
  <c r="H313" i="38"/>
  <c r="I313" i="38"/>
  <c r="I389" i="38" s="1"/>
  <c r="J313" i="38"/>
  <c r="J389" i="38" s="1"/>
  <c r="K313" i="38"/>
  <c r="K389" i="38" s="1"/>
  <c r="L313" i="38"/>
  <c r="E191" i="37" s="1"/>
  <c r="M313" i="38"/>
  <c r="N313" i="38"/>
  <c r="N389" i="38" s="1"/>
  <c r="O313" i="38"/>
  <c r="O389" i="38" s="1"/>
  <c r="P313" i="38"/>
  <c r="P389" i="38" s="1"/>
  <c r="R313" i="38"/>
  <c r="R389" i="38" s="1"/>
  <c r="S313" i="38"/>
  <c r="S389" i="38" s="1"/>
  <c r="T313" i="38"/>
  <c r="T389" i="38" s="1"/>
  <c r="U313" i="38"/>
  <c r="W313" i="38"/>
  <c r="W389" i="38" s="1"/>
  <c r="X313" i="38"/>
  <c r="X389" i="38" s="1"/>
  <c r="Y313" i="38"/>
  <c r="Y389" i="38" s="1"/>
  <c r="Z313" i="38"/>
  <c r="Z389" i="38" s="1"/>
  <c r="AC313" i="38"/>
  <c r="AC389" i="38" s="1"/>
  <c r="AE313" i="38"/>
  <c r="AE389" i="38" s="1"/>
  <c r="AG313" i="38"/>
  <c r="AG389" i="38" s="1"/>
  <c r="C314" i="38"/>
  <c r="D314" i="38"/>
  <c r="E314" i="38"/>
  <c r="F314" i="38"/>
  <c r="G314" i="38"/>
  <c r="D192" i="37" s="1"/>
  <c r="H314" i="38"/>
  <c r="H390" i="38" s="1"/>
  <c r="I314" i="38"/>
  <c r="I390" i="38" s="1"/>
  <c r="J314" i="38"/>
  <c r="J390" i="38" s="1"/>
  <c r="K314" i="38"/>
  <c r="L314" i="38"/>
  <c r="M314" i="38"/>
  <c r="M390" i="38" s="1"/>
  <c r="N314" i="38"/>
  <c r="N390" i="38" s="1"/>
  <c r="O314" i="38"/>
  <c r="O390" i="38" s="1"/>
  <c r="P314" i="38"/>
  <c r="R314" i="38"/>
  <c r="R390" i="38" s="1"/>
  <c r="S314" i="38"/>
  <c r="S390" i="38" s="1"/>
  <c r="T314" i="38"/>
  <c r="T390" i="38" s="1"/>
  <c r="U314" i="38"/>
  <c r="W314" i="38"/>
  <c r="W390" i="38" s="1"/>
  <c r="X314" i="38"/>
  <c r="X390" i="38" s="1"/>
  <c r="Y314" i="38"/>
  <c r="Y390" i="38" s="1"/>
  <c r="Z314" i="38"/>
  <c r="Z390" i="38" s="1"/>
  <c r="AC314" i="38"/>
  <c r="AC390" i="38" s="1"/>
  <c r="AE314" i="38"/>
  <c r="AE390" i="38" s="1"/>
  <c r="V320" i="38"/>
  <c r="G200" i="37" s="1"/>
  <c r="AB322" i="38"/>
  <c r="AC322" i="38"/>
  <c r="AD322" i="38"/>
  <c r="AE322" i="38"/>
  <c r="AE398" i="38" s="1"/>
  <c r="AF322" i="38"/>
  <c r="AG322" i="38"/>
  <c r="BQ329" i="38"/>
  <c r="BR329" i="38"/>
  <c r="BS329" i="38"/>
  <c r="BT329" i="38"/>
  <c r="BU329" i="38"/>
  <c r="BV329" i="38"/>
  <c r="BQ333" i="38"/>
  <c r="BR333" i="38"/>
  <c r="BS333" i="38"/>
  <c r="BT333" i="38"/>
  <c r="BU333" i="38"/>
  <c r="BV333" i="38"/>
  <c r="BW333" i="38"/>
  <c r="BX333" i="38"/>
  <c r="BV328" i="38"/>
  <c r="BW328" i="38"/>
  <c r="CA349" i="38"/>
  <c r="CF349" i="38" s="1"/>
  <c r="CB349" i="38"/>
  <c r="CG349" i="38" s="1"/>
  <c r="CL349" i="38" s="1"/>
  <c r="CQ349" i="38" s="1"/>
  <c r="CV349" i="38" s="1"/>
  <c r="CC349" i="38"/>
  <c r="CH349" i="38" s="1"/>
  <c r="CM349" i="38" s="1"/>
  <c r="CR349" i="38" s="1"/>
  <c r="CW349" i="38" s="1"/>
  <c r="AB350" i="38"/>
  <c r="D4064" i="22" s="1"/>
  <c r="AD350" i="38"/>
  <c r="AF350" i="38"/>
  <c r="F4064" i="22" s="1"/>
  <c r="BQ350" i="38"/>
  <c r="BR350" i="38"/>
  <c r="BS350" i="38"/>
  <c r="BT350" i="38"/>
  <c r="BV350" i="38"/>
  <c r="AB351" i="38"/>
  <c r="D4065" i="22" s="1"/>
  <c r="AD351" i="38"/>
  <c r="E4065" i="22" s="1"/>
  <c r="AF351" i="38"/>
  <c r="F4065" i="22" s="1"/>
  <c r="BQ351" i="38"/>
  <c r="BR351" i="38"/>
  <c r="BS351" i="38"/>
  <c r="BT351" i="38"/>
  <c r="BV351" i="38"/>
  <c r="AB352" i="38"/>
  <c r="D4066" i="22" s="1"/>
  <c r="AD352" i="38"/>
  <c r="E4066" i="22" s="1"/>
  <c r="AF352" i="38"/>
  <c r="F4066" i="22" s="1"/>
  <c r="BQ352" i="38"/>
  <c r="BR352" i="38"/>
  <c r="BS352" i="38"/>
  <c r="BT352" i="38"/>
  <c r="BV352" i="38"/>
  <c r="AB353" i="38"/>
  <c r="D4067" i="22" s="1"/>
  <c r="AD353" i="38"/>
  <c r="E4067" i="22" s="1"/>
  <c r="AF353" i="38"/>
  <c r="F4067" i="22" s="1"/>
  <c r="BV353" i="38"/>
  <c r="D4068" i="22"/>
  <c r="E4068" i="22"/>
  <c r="F4068" i="22"/>
  <c r="I4069" i="22"/>
  <c r="AB361" i="38"/>
  <c r="D4072" i="22" s="1"/>
  <c r="AD361" i="38"/>
  <c r="E4072" i="22" s="1"/>
  <c r="AF361" i="38"/>
  <c r="F4072" i="22" s="1"/>
  <c r="BQ361" i="38"/>
  <c r="BR361" i="38"/>
  <c r="BS361" i="38"/>
  <c r="BT361" i="38"/>
  <c r="BV361" i="38"/>
  <c r="AB362" i="38"/>
  <c r="D4073" i="22" s="1"/>
  <c r="AD362" i="38"/>
  <c r="AF362" i="38"/>
  <c r="F4073" i="22" s="1"/>
  <c r="BQ362" i="38"/>
  <c r="BR362" i="38"/>
  <c r="BS362" i="38"/>
  <c r="BT362" i="38"/>
  <c r="BV362" i="38"/>
  <c r="AB363" i="38"/>
  <c r="D4074" i="22" s="1"/>
  <c r="AD363" i="38"/>
  <c r="AF363" i="38"/>
  <c r="F4074" i="22" s="1"/>
  <c r="BQ363" i="38"/>
  <c r="BR363" i="38"/>
  <c r="BS363" i="38"/>
  <c r="BT363" i="38"/>
  <c r="BV363" i="38"/>
  <c r="AA375" i="38"/>
  <c r="AC377" i="38"/>
  <c r="AE377" i="38"/>
  <c r="AG377" i="38"/>
  <c r="AE392" i="38"/>
  <c r="AG392" i="38"/>
  <c r="Z400" i="38"/>
  <c r="AC400" i="38"/>
  <c r="AE400" i="38"/>
  <c r="AG400" i="38"/>
  <c r="Q409" i="38"/>
  <c r="F430" i="37" s="1"/>
  <c r="U150" i="15" s="1"/>
  <c r="V409" i="38"/>
  <c r="G430" i="37" s="1"/>
  <c r="V150" i="15" s="1"/>
  <c r="AA409" i="38"/>
  <c r="H430" i="37" s="1"/>
  <c r="W150" i="15" s="1"/>
  <c r="Q410" i="38"/>
  <c r="S410" i="38"/>
  <c r="T410" i="38"/>
  <c r="T412" i="38" s="1"/>
  <c r="T413" i="38" s="1"/>
  <c r="W410" i="38"/>
  <c r="W412" i="38" s="1"/>
  <c r="W413" i="38" s="1"/>
  <c r="X410" i="38"/>
  <c r="X412" i="38" s="1"/>
  <c r="X413" i="38" s="1"/>
  <c r="Y410" i="38"/>
  <c r="Y412" i="38" s="1"/>
  <c r="Y413" i="38" s="1"/>
  <c r="Z410" i="38"/>
  <c r="AB410" i="38"/>
  <c r="AB412" i="38" s="1"/>
  <c r="AC410" i="38"/>
  <c r="AC412" i="38" s="1"/>
  <c r="AD410" i="38"/>
  <c r="AD412" i="38" s="1"/>
  <c r="AD414" i="38" s="1"/>
  <c r="AD417" i="38" s="1"/>
  <c r="AE410" i="38"/>
  <c r="AE412" i="38" s="1"/>
  <c r="AE414" i="38" s="1"/>
  <c r="AE417" i="38" s="1"/>
  <c r="AE418" i="38" s="1"/>
  <c r="Q411" i="38"/>
  <c r="F433" i="37" s="1"/>
  <c r="U152" i="15" s="1"/>
  <c r="U411" i="38"/>
  <c r="V411" i="38" s="1"/>
  <c r="G433" i="37" s="1"/>
  <c r="AA411" i="38"/>
  <c r="H433" i="37" s="1"/>
  <c r="W152" i="15" s="1"/>
  <c r="C412" i="38"/>
  <c r="C413" i="38" s="1"/>
  <c r="D412" i="38"/>
  <c r="D413" i="38" s="1"/>
  <c r="E412" i="38"/>
  <c r="E413" i="38" s="1"/>
  <c r="F412" i="38"/>
  <c r="F413" i="38" s="1"/>
  <c r="G412" i="38"/>
  <c r="G413" i="38" s="1"/>
  <c r="D436" i="37" s="1"/>
  <c r="H412" i="38"/>
  <c r="H413" i="38" s="1"/>
  <c r="I412" i="38"/>
  <c r="I413" i="38" s="1"/>
  <c r="J412" i="38"/>
  <c r="J413" i="38" s="1"/>
  <c r="K412" i="38"/>
  <c r="K413" i="38" s="1"/>
  <c r="L412" i="38"/>
  <c r="L413" i="38" s="1"/>
  <c r="E436" i="37" s="1"/>
  <c r="T153" i="15" s="1"/>
  <c r="M412" i="38"/>
  <c r="M413" i="38" s="1"/>
  <c r="N412" i="38"/>
  <c r="N413" i="38" s="1"/>
  <c r="O412" i="38"/>
  <c r="O413" i="38" s="1"/>
  <c r="P412" i="38"/>
  <c r="P413" i="38" s="1"/>
  <c r="R412" i="38"/>
  <c r="R413" i="38" s="1"/>
  <c r="AA416" i="38"/>
  <c r="W417" i="38"/>
  <c r="X417" i="38"/>
  <c r="D18" i="42" s="1"/>
  <c r="Y417" i="38"/>
  <c r="E18" i="42" s="1"/>
  <c r="Z417" i="38"/>
  <c r="F18" i="42" s="1"/>
  <c r="AA423" i="38"/>
  <c r="S424" i="38"/>
  <c r="S426" i="38" s="1"/>
  <c r="T424" i="38"/>
  <c r="T426" i="38" s="1"/>
  <c r="W424" i="38"/>
  <c r="W426" i="38" s="1"/>
  <c r="W428" i="38" s="1"/>
  <c r="X424" i="38"/>
  <c r="Y424" i="38"/>
  <c r="Y426" i="38" s="1"/>
  <c r="Y428" i="38" s="1"/>
  <c r="Z424" i="38"/>
  <c r="AA425" i="38"/>
  <c r="C426" i="38"/>
  <c r="D426" i="38"/>
  <c r="E426" i="38"/>
  <c r="F426" i="38"/>
  <c r="G426" i="38"/>
  <c r="H426" i="38"/>
  <c r="I426" i="38"/>
  <c r="J426" i="38"/>
  <c r="K426" i="38"/>
  <c r="L426" i="38"/>
  <c r="M426" i="38"/>
  <c r="N426" i="38"/>
  <c r="O426" i="38"/>
  <c r="P426" i="38"/>
  <c r="R426" i="38"/>
  <c r="AB426" i="38"/>
  <c r="AB428" i="38" s="1"/>
  <c r="AC426" i="38"/>
  <c r="AC428" i="38" s="1"/>
  <c r="AD426" i="38"/>
  <c r="AE426" i="38"/>
  <c r="AF426" i="38"/>
  <c r="AF428" i="38" s="1"/>
  <c r="AG426" i="38"/>
  <c r="AG428" i="38" s="1"/>
  <c r="Z428" i="38"/>
  <c r="AB431" i="38"/>
  <c r="AB480" i="38" s="1"/>
  <c r="AC431" i="38"/>
  <c r="AC480" i="38" s="1"/>
  <c r="AD431" i="38"/>
  <c r="AD480" i="38" s="1"/>
  <c r="AE431" i="38"/>
  <c r="AE480" i="38" s="1"/>
  <c r="AF431" i="38"/>
  <c r="AF480" i="38" s="1"/>
  <c r="AG431" i="38"/>
  <c r="AG480" i="38" s="1"/>
  <c r="AB436" i="38"/>
  <c r="AB481" i="38" s="1"/>
  <c r="AB517" i="38" s="1"/>
  <c r="AC436" i="38"/>
  <c r="AC481" i="38" s="1"/>
  <c r="AD436" i="38"/>
  <c r="AD481" i="38" s="1"/>
  <c r="AD517" i="38" s="1"/>
  <c r="AE436" i="38"/>
  <c r="AE481" i="38" s="1"/>
  <c r="AF436" i="38"/>
  <c r="AF481" i="38" s="1"/>
  <c r="AF517" i="38" s="1"/>
  <c r="AG436" i="38"/>
  <c r="AG481" i="38" s="1"/>
  <c r="F441" i="38"/>
  <c r="F449" i="38" s="1"/>
  <c r="F460" i="38" s="1"/>
  <c r="F473" i="38" s="1"/>
  <c r="F476" i="38" s="1"/>
  <c r="I441" i="38"/>
  <c r="I449" i="38" s="1"/>
  <c r="T441" i="38"/>
  <c r="T449" i="38" s="1"/>
  <c r="X441" i="38"/>
  <c r="Y441" i="38"/>
  <c r="X447" i="38"/>
  <c r="Y447" i="38" s="1"/>
  <c r="C449" i="38"/>
  <c r="D449" i="38"/>
  <c r="D460" i="38" s="1"/>
  <c r="D473" i="38" s="1"/>
  <c r="D476" i="38" s="1"/>
  <c r="E449" i="38"/>
  <c r="E460" i="38" s="1"/>
  <c r="E473" i="38" s="1"/>
  <c r="E476" i="38" s="1"/>
  <c r="H449" i="38"/>
  <c r="H460" i="38" s="1"/>
  <c r="H473" i="38" s="1"/>
  <c r="J449" i="38"/>
  <c r="J460" i="38" s="1"/>
  <c r="J473" i="38" s="1"/>
  <c r="K449" i="38"/>
  <c r="K460" i="38" s="1"/>
  <c r="K473" i="38" s="1"/>
  <c r="M449" i="38"/>
  <c r="M460" i="38" s="1"/>
  <c r="M473" i="38" s="1"/>
  <c r="M476" i="38" s="1"/>
  <c r="N449" i="38"/>
  <c r="N460" i="38" s="1"/>
  <c r="N473" i="38" s="1"/>
  <c r="N476" i="38" s="1"/>
  <c r="O449" i="38"/>
  <c r="O460" i="38" s="1"/>
  <c r="O473" i="38" s="1"/>
  <c r="O476" i="38" s="1"/>
  <c r="P449" i="38"/>
  <c r="S449" i="38"/>
  <c r="S460" i="38" s="1"/>
  <c r="S473" i="38" s="1"/>
  <c r="S476" i="38" s="1"/>
  <c r="C451" i="38"/>
  <c r="P451" i="38"/>
  <c r="T451" i="38"/>
  <c r="AD451" i="38"/>
  <c r="C455" i="38"/>
  <c r="I455" i="38"/>
  <c r="I457" i="38" s="1"/>
  <c r="T456" i="38"/>
  <c r="T457" i="38" s="1"/>
  <c r="AA456" i="38"/>
  <c r="D457" i="38"/>
  <c r="E457" i="38"/>
  <c r="F457" i="38"/>
  <c r="H457" i="38"/>
  <c r="J457" i="38"/>
  <c r="K457" i="38"/>
  <c r="M457" i="38"/>
  <c r="N457" i="38"/>
  <c r="O457" i="38"/>
  <c r="P457" i="38"/>
  <c r="R457" i="38"/>
  <c r="S457" i="38"/>
  <c r="U457" i="38"/>
  <c r="W457" i="38"/>
  <c r="X457" i="38"/>
  <c r="Y457" i="38"/>
  <c r="Z457" i="38"/>
  <c r="AB457" i="38"/>
  <c r="AD457" i="38"/>
  <c r="AF457" i="38"/>
  <c r="C463" i="38"/>
  <c r="D464" i="38"/>
  <c r="E464" i="38"/>
  <c r="F464" i="38"/>
  <c r="AA466" i="38"/>
  <c r="AJ466" i="38"/>
  <c r="AO481" i="38"/>
  <c r="AB484" i="38"/>
  <c r="AJ484" i="38" s="1"/>
  <c r="AF485" i="38"/>
  <c r="D497" i="38"/>
  <c r="D510" i="38" s="1"/>
  <c r="E497" i="38"/>
  <c r="E510" i="38" s="1"/>
  <c r="F497" i="38"/>
  <c r="F510" i="38" s="1"/>
  <c r="H497" i="38"/>
  <c r="H510" i="38" s="1"/>
  <c r="J497" i="38"/>
  <c r="J510" i="38" s="1"/>
  <c r="K497" i="38"/>
  <c r="K510" i="38" s="1"/>
  <c r="M497" i="38"/>
  <c r="M510" i="38" s="1"/>
  <c r="N497" i="38"/>
  <c r="N510" i="38" s="1"/>
  <c r="O497" i="38"/>
  <c r="O510" i="38" s="1"/>
  <c r="P497" i="38"/>
  <c r="P510" i="38" s="1"/>
  <c r="S497" i="38"/>
  <c r="S510" i="38" s="1"/>
  <c r="T497" i="38"/>
  <c r="T510" i="38" s="1"/>
  <c r="AA501" i="38"/>
  <c r="V504" i="38"/>
  <c r="AA504" i="38"/>
  <c r="AO506" i="38"/>
  <c r="AB507" i="38"/>
  <c r="AD507" i="38"/>
  <c r="AF507" i="38"/>
  <c r="AJ507" i="38"/>
  <c r="AC510" i="38"/>
  <c r="AE510" i="38"/>
  <c r="AJ514" i="38"/>
  <c r="AB515" i="38"/>
  <c r="AD515" i="38"/>
  <c r="AF515" i="38"/>
  <c r="AE534" i="38"/>
  <c r="F538" i="38"/>
  <c r="H538" i="38"/>
  <c r="I538" i="38"/>
  <c r="M538" i="38"/>
  <c r="N538" i="38"/>
  <c r="O538" i="38"/>
  <c r="P538" i="38"/>
  <c r="R538" i="38"/>
  <c r="S538" i="38"/>
  <c r="T538" i="38"/>
  <c r="AF538" i="38"/>
  <c r="C539" i="38"/>
  <c r="D539" i="38"/>
  <c r="U539" i="38"/>
  <c r="U540" i="38" s="1"/>
  <c r="H540" i="38"/>
  <c r="I540" i="38"/>
  <c r="J540" i="38"/>
  <c r="K540" i="38"/>
  <c r="M540" i="38"/>
  <c r="N540" i="38"/>
  <c r="O540" i="38"/>
  <c r="P540" i="38"/>
  <c r="R540" i="38"/>
  <c r="S540" i="38"/>
  <c r="T540" i="38"/>
  <c r="H545" i="38"/>
  <c r="I545" i="38"/>
  <c r="J545" i="38"/>
  <c r="K545" i="38"/>
  <c r="M545" i="38"/>
  <c r="N545" i="38"/>
  <c r="O545" i="38"/>
  <c r="C579" i="38"/>
  <c r="C580" i="38" s="1"/>
  <c r="D579" i="38"/>
  <c r="D580" i="38" s="1"/>
  <c r="E579" i="38"/>
  <c r="E580" i="38" s="1"/>
  <c r="F579" i="38"/>
  <c r="F580" i="38" s="1"/>
  <c r="G579" i="38"/>
  <c r="G580" i="38" s="1"/>
  <c r="H579" i="38"/>
  <c r="H580" i="38" s="1"/>
  <c r="I579" i="38"/>
  <c r="I580" i="38" s="1"/>
  <c r="J579" i="38"/>
  <c r="J580" i="38" s="1"/>
  <c r="K579" i="38"/>
  <c r="K580" i="38" s="1"/>
  <c r="L579" i="38"/>
  <c r="L580" i="38" s="1"/>
  <c r="M579" i="38"/>
  <c r="M580" i="38" s="1"/>
  <c r="N579" i="38"/>
  <c r="N580" i="38" s="1"/>
  <c r="O579" i="38"/>
  <c r="O580" i="38" s="1"/>
  <c r="P579" i="38"/>
  <c r="P580" i="38" s="1"/>
  <c r="R579" i="38"/>
  <c r="R580" i="38" s="1"/>
  <c r="C582" i="38"/>
  <c r="C583" i="38" s="1"/>
  <c r="D582" i="38"/>
  <c r="D583" i="38" s="1"/>
  <c r="E582" i="38"/>
  <c r="E583" i="38" s="1"/>
  <c r="F582" i="38"/>
  <c r="F583" i="38" s="1"/>
  <c r="G582" i="38"/>
  <c r="G583" i="38" s="1"/>
  <c r="H582" i="38"/>
  <c r="H583" i="38" s="1"/>
  <c r="I582" i="38"/>
  <c r="I583" i="38" s="1"/>
  <c r="J582" i="38"/>
  <c r="J583" i="38" s="1"/>
  <c r="K582" i="38"/>
  <c r="K583" i="38" s="1"/>
  <c r="L582" i="38"/>
  <c r="L583" i="38" s="1"/>
  <c r="M582" i="38"/>
  <c r="M583" i="38" s="1"/>
  <c r="N582" i="38"/>
  <c r="N583" i="38" s="1"/>
  <c r="O582" i="38"/>
  <c r="O583" i="38" s="1"/>
  <c r="P582" i="38"/>
  <c r="P583" i="38" s="1"/>
  <c r="R582" i="38"/>
  <c r="R583" i="38" s="1"/>
  <c r="H593" i="38"/>
  <c r="I593" i="38"/>
  <c r="J593" i="38"/>
  <c r="K593" i="38"/>
  <c r="M593" i="38"/>
  <c r="N593" i="38"/>
  <c r="O593" i="38"/>
  <c r="P593" i="38"/>
  <c r="R593" i="38"/>
  <c r="S593" i="38"/>
  <c r="T593" i="38"/>
  <c r="U593" i="38"/>
  <c r="W593" i="38"/>
  <c r="X593" i="38"/>
  <c r="Y593" i="38"/>
  <c r="Z593" i="38"/>
  <c r="H595" i="38"/>
  <c r="I595" i="38"/>
  <c r="J595" i="38"/>
  <c r="K595" i="38"/>
  <c r="M595" i="38"/>
  <c r="N595" i="38"/>
  <c r="O595" i="38"/>
  <c r="P595" i="38"/>
  <c r="R595" i="38"/>
  <c r="S595" i="38"/>
  <c r="T595" i="38"/>
  <c r="U595" i="38"/>
  <c r="W595" i="38"/>
  <c r="D3649" i="22" s="1"/>
  <c r="X595" i="38"/>
  <c r="E3649" i="22" s="1"/>
  <c r="Y595" i="38"/>
  <c r="F3649" i="22" s="1"/>
  <c r="Z595" i="38"/>
  <c r="M598" i="38"/>
  <c r="N598" i="38"/>
  <c r="O598" i="38"/>
  <c r="P598" i="38"/>
  <c r="R598" i="38"/>
  <c r="S598" i="38"/>
  <c r="T598" i="38"/>
  <c r="U598" i="38"/>
  <c r="W598" i="38"/>
  <c r="X598" i="38"/>
  <c r="Y598" i="38"/>
  <c r="Z598" i="38"/>
  <c r="M599" i="38"/>
  <c r="N599" i="38"/>
  <c r="O599" i="38"/>
  <c r="P599" i="38"/>
  <c r="R599" i="38"/>
  <c r="S599" i="38"/>
  <c r="T599" i="38"/>
  <c r="U599" i="38"/>
  <c r="W599" i="38"/>
  <c r="X599" i="38"/>
  <c r="Y599" i="38"/>
  <c r="Z599" i="38"/>
  <c r="B600" i="38"/>
  <c r="B610" i="38" s="1"/>
  <c r="M600" i="38"/>
  <c r="N600" i="38"/>
  <c r="O600" i="38"/>
  <c r="P600" i="38"/>
  <c r="R600" i="38"/>
  <c r="S600" i="38"/>
  <c r="T600" i="38"/>
  <c r="U600" i="38"/>
  <c r="W600" i="38"/>
  <c r="X600" i="38"/>
  <c r="Y600" i="38"/>
  <c r="Z600" i="38"/>
  <c r="B601" i="38"/>
  <c r="B611" i="38" s="1"/>
  <c r="M601" i="38"/>
  <c r="N601" i="38"/>
  <c r="O601" i="38"/>
  <c r="P601" i="38"/>
  <c r="R601" i="38"/>
  <c r="S601" i="38"/>
  <c r="T601" i="38"/>
  <c r="U601" i="38"/>
  <c r="W601" i="38"/>
  <c r="X601" i="38"/>
  <c r="Y601" i="38"/>
  <c r="Z601" i="38"/>
  <c r="B602" i="38"/>
  <c r="M602" i="38"/>
  <c r="N602" i="38"/>
  <c r="O602" i="38"/>
  <c r="P602" i="38"/>
  <c r="R602" i="38"/>
  <c r="S602" i="38"/>
  <c r="T602" i="38"/>
  <c r="U602" i="38"/>
  <c r="W602" i="38"/>
  <c r="X602" i="38"/>
  <c r="Y602" i="38"/>
  <c r="Z602" i="38"/>
  <c r="B603" i="38"/>
  <c r="B605" i="38"/>
  <c r="R614" i="38"/>
  <c r="S614" i="38"/>
  <c r="T614" i="38"/>
  <c r="U614" i="38"/>
  <c r="W614" i="38"/>
  <c r="X614" i="38"/>
  <c r="Y614" i="38"/>
  <c r="Z614" i="38"/>
  <c r="AC614" i="38"/>
  <c r="AB614" i="38" s="1"/>
  <c r="AG614" i="38"/>
  <c r="AF614" i="38" s="1"/>
  <c r="B621" i="38"/>
  <c r="H621" i="38"/>
  <c r="I621" i="38"/>
  <c r="J621" i="38"/>
  <c r="K621" i="38"/>
  <c r="M621" i="38"/>
  <c r="N621" i="38"/>
  <c r="O621" i="38"/>
  <c r="P621" i="38"/>
  <c r="R621" i="38"/>
  <c r="B622" i="38"/>
  <c r="H622" i="38"/>
  <c r="I622" i="38"/>
  <c r="J622" i="38"/>
  <c r="K622" i="38"/>
  <c r="M622" i="38"/>
  <c r="N622" i="38"/>
  <c r="O622" i="38"/>
  <c r="P622" i="38"/>
  <c r="R622" i="38"/>
  <c r="B623" i="38"/>
  <c r="H623" i="38"/>
  <c r="I623" i="38"/>
  <c r="J623" i="38"/>
  <c r="K623" i="38"/>
  <c r="M623" i="38"/>
  <c r="N623" i="38"/>
  <c r="O623" i="38"/>
  <c r="P623" i="38"/>
  <c r="R623" i="38"/>
  <c r="Q626" i="38"/>
  <c r="R645" i="38" s="1"/>
  <c r="Q627" i="38"/>
  <c r="R646" i="38" s="1"/>
  <c r="Q628" i="38"/>
  <c r="R647" i="38" s="1"/>
  <c r="Q632" i="38"/>
  <c r="R651" i="38" s="1"/>
  <c r="Q633" i="38"/>
  <c r="R652" i="38" s="1"/>
  <c r="Q634" i="38"/>
  <c r="R653" i="38" s="1"/>
  <c r="C635" i="38"/>
  <c r="D635" i="38"/>
  <c r="E635" i="38"/>
  <c r="F635" i="38"/>
  <c r="G635" i="38"/>
  <c r="H635" i="38"/>
  <c r="I635" i="38"/>
  <c r="J635" i="38"/>
  <c r="K635" i="38"/>
  <c r="L635" i="38"/>
  <c r="M635" i="38"/>
  <c r="N635" i="38"/>
  <c r="O635" i="38"/>
  <c r="B639" i="38"/>
  <c r="B656" i="38" s="1"/>
  <c r="C639" i="38"/>
  <c r="D639" i="38"/>
  <c r="E639" i="38"/>
  <c r="F639" i="38"/>
  <c r="G639" i="38"/>
  <c r="H639" i="38"/>
  <c r="I639" i="38"/>
  <c r="J639" i="38"/>
  <c r="K639" i="38"/>
  <c r="L639" i="38"/>
  <c r="M639" i="38"/>
  <c r="N639" i="38"/>
  <c r="O639" i="38"/>
  <c r="P639" i="38"/>
  <c r="Q639" i="38" s="1"/>
  <c r="R639" i="38"/>
  <c r="B640" i="38"/>
  <c r="B657" i="38" s="1"/>
  <c r="C640" i="38"/>
  <c r="D640" i="38"/>
  <c r="E640" i="38"/>
  <c r="F640" i="38"/>
  <c r="G640" i="38"/>
  <c r="H640" i="38"/>
  <c r="I640" i="38"/>
  <c r="J640" i="38"/>
  <c r="K640" i="38"/>
  <c r="L640" i="38"/>
  <c r="M640" i="38"/>
  <c r="N640" i="38"/>
  <c r="O640" i="38"/>
  <c r="P640" i="38"/>
  <c r="Q640" i="38" s="1"/>
  <c r="R640" i="38"/>
  <c r="B641" i="38"/>
  <c r="B658" i="38" s="1"/>
  <c r="C641" i="38"/>
  <c r="D641" i="38"/>
  <c r="E641" i="38"/>
  <c r="F641" i="38"/>
  <c r="G641" i="38"/>
  <c r="H641" i="38"/>
  <c r="I641" i="38"/>
  <c r="J641" i="38"/>
  <c r="K641" i="38"/>
  <c r="L641" i="38"/>
  <c r="M641" i="38"/>
  <c r="N641" i="38"/>
  <c r="O641" i="38"/>
  <c r="P641" i="38"/>
  <c r="Q641" i="38" s="1"/>
  <c r="R641" i="38"/>
  <c r="B644" i="38"/>
  <c r="B645" i="38"/>
  <c r="D645" i="38"/>
  <c r="E645" i="38"/>
  <c r="F645" i="38"/>
  <c r="H645" i="38"/>
  <c r="I645" i="38"/>
  <c r="J645" i="38"/>
  <c r="K645" i="38"/>
  <c r="M645" i="38"/>
  <c r="N645" i="38"/>
  <c r="O645" i="38"/>
  <c r="P645" i="38"/>
  <c r="B646" i="38"/>
  <c r="D646" i="38"/>
  <c r="E646" i="38"/>
  <c r="F646" i="38"/>
  <c r="H646" i="38"/>
  <c r="I646" i="38"/>
  <c r="J646" i="38"/>
  <c r="K646" i="38"/>
  <c r="M646" i="38"/>
  <c r="N646" i="38"/>
  <c r="O646" i="38"/>
  <c r="P646" i="38"/>
  <c r="B647" i="38"/>
  <c r="D647" i="38"/>
  <c r="E647" i="38"/>
  <c r="F647" i="38"/>
  <c r="H647" i="38"/>
  <c r="I647" i="38"/>
  <c r="J647" i="38"/>
  <c r="K647" i="38"/>
  <c r="M647" i="38"/>
  <c r="N647" i="38"/>
  <c r="O647" i="38"/>
  <c r="P647" i="38"/>
  <c r="B648" i="38"/>
  <c r="B650" i="38"/>
  <c r="B651" i="38"/>
  <c r="D651" i="38"/>
  <c r="E651" i="38"/>
  <c r="F651" i="38"/>
  <c r="H651" i="38"/>
  <c r="I651" i="38"/>
  <c r="J651" i="38"/>
  <c r="K651" i="38"/>
  <c r="M651" i="38"/>
  <c r="N651" i="38"/>
  <c r="O651" i="38"/>
  <c r="P651" i="38"/>
  <c r="B652" i="38"/>
  <c r="D652" i="38"/>
  <c r="E652" i="38"/>
  <c r="F652" i="38"/>
  <c r="H652" i="38"/>
  <c r="I652" i="38"/>
  <c r="J652" i="38"/>
  <c r="K652" i="38"/>
  <c r="M652" i="38"/>
  <c r="N652" i="38"/>
  <c r="O652" i="38"/>
  <c r="P652" i="38"/>
  <c r="B653" i="38"/>
  <c r="D653" i="38"/>
  <c r="E653" i="38"/>
  <c r="F653" i="38"/>
  <c r="H653" i="38"/>
  <c r="I653" i="38"/>
  <c r="J653" i="38"/>
  <c r="K653" i="38"/>
  <c r="M653" i="38"/>
  <c r="N653" i="38"/>
  <c r="O653" i="38"/>
  <c r="P653" i="38"/>
  <c r="B655" i="38"/>
  <c r="B665" i="38"/>
  <c r="J665" i="38"/>
  <c r="K665" i="38"/>
  <c r="M665" i="38"/>
  <c r="N665" i="38"/>
  <c r="O665" i="38"/>
  <c r="P665" i="38"/>
  <c r="R665" i="38"/>
  <c r="B666" i="38"/>
  <c r="J666" i="38"/>
  <c r="K666" i="38"/>
  <c r="M666" i="38"/>
  <c r="N666" i="38"/>
  <c r="O666" i="38"/>
  <c r="P666" i="38"/>
  <c r="R666" i="38"/>
  <c r="B667" i="38"/>
  <c r="J667" i="38"/>
  <c r="K667" i="38"/>
  <c r="M667" i="38"/>
  <c r="N667" i="38"/>
  <c r="O667" i="38"/>
  <c r="P667" i="38"/>
  <c r="R667" i="38"/>
  <c r="Q670" i="38"/>
  <c r="R689" i="38" s="1"/>
  <c r="Q671" i="38"/>
  <c r="R690" i="38" s="1"/>
  <c r="Q672" i="38"/>
  <c r="R691" i="38" s="1"/>
  <c r="Q676" i="38"/>
  <c r="R695" i="38" s="1"/>
  <c r="Q677" i="38"/>
  <c r="R696" i="38" s="1"/>
  <c r="Q678" i="38"/>
  <c r="R697" i="38" s="1"/>
  <c r="B683" i="38"/>
  <c r="B700" i="38" s="1"/>
  <c r="C683" i="38"/>
  <c r="D683" i="38"/>
  <c r="E683" i="38"/>
  <c r="F683" i="38"/>
  <c r="G683" i="38"/>
  <c r="H683" i="38"/>
  <c r="I683" i="38"/>
  <c r="J683" i="38"/>
  <c r="K683" i="38"/>
  <c r="L683" i="38"/>
  <c r="M683" i="38"/>
  <c r="N683" i="38"/>
  <c r="O683" i="38"/>
  <c r="P683" i="38"/>
  <c r="R683" i="38"/>
  <c r="B684" i="38"/>
  <c r="B701" i="38" s="1"/>
  <c r="C684" i="38"/>
  <c r="D684" i="38"/>
  <c r="E684" i="38"/>
  <c r="F684" i="38"/>
  <c r="G684" i="38"/>
  <c r="H684" i="38"/>
  <c r="I684" i="38"/>
  <c r="J684" i="38"/>
  <c r="K684" i="38"/>
  <c r="L684" i="38"/>
  <c r="M684" i="38"/>
  <c r="N684" i="38"/>
  <c r="O684" i="38"/>
  <c r="P684" i="38"/>
  <c r="R684" i="38"/>
  <c r="B685" i="38"/>
  <c r="B702" i="38" s="1"/>
  <c r="C685" i="38"/>
  <c r="D685" i="38"/>
  <c r="E685" i="38"/>
  <c r="F685" i="38"/>
  <c r="G685" i="38"/>
  <c r="H685" i="38"/>
  <c r="I685" i="38"/>
  <c r="J685" i="38"/>
  <c r="K685" i="38"/>
  <c r="L685" i="38"/>
  <c r="M685" i="38"/>
  <c r="N685" i="38"/>
  <c r="O685" i="38"/>
  <c r="P685" i="38"/>
  <c r="R685" i="38"/>
  <c r="B688" i="38"/>
  <c r="B689" i="38"/>
  <c r="D689" i="38"/>
  <c r="E689" i="38"/>
  <c r="F689" i="38"/>
  <c r="H689" i="38"/>
  <c r="I689" i="38"/>
  <c r="J689" i="38"/>
  <c r="K689" i="38"/>
  <c r="M689" i="38"/>
  <c r="N689" i="38"/>
  <c r="O689" i="38"/>
  <c r="P689" i="38"/>
  <c r="B690" i="38"/>
  <c r="D690" i="38"/>
  <c r="E690" i="38"/>
  <c r="F690" i="38"/>
  <c r="H690" i="38"/>
  <c r="I690" i="38"/>
  <c r="J690" i="38"/>
  <c r="K690" i="38"/>
  <c r="M690" i="38"/>
  <c r="N690" i="38"/>
  <c r="O690" i="38"/>
  <c r="P690" i="38"/>
  <c r="B691" i="38"/>
  <c r="D691" i="38"/>
  <c r="E691" i="38"/>
  <c r="F691" i="38"/>
  <c r="H691" i="38"/>
  <c r="I691" i="38"/>
  <c r="J691" i="38"/>
  <c r="K691" i="38"/>
  <c r="M691" i="38"/>
  <c r="N691" i="38"/>
  <c r="O691" i="38"/>
  <c r="P691" i="38"/>
  <c r="B694" i="38"/>
  <c r="B695" i="38"/>
  <c r="D695" i="38"/>
  <c r="E695" i="38"/>
  <c r="F695" i="38"/>
  <c r="H695" i="38"/>
  <c r="I695" i="38"/>
  <c r="J695" i="38"/>
  <c r="K695" i="38"/>
  <c r="M695" i="38"/>
  <c r="N695" i="38"/>
  <c r="O695" i="38"/>
  <c r="P695" i="38"/>
  <c r="B696" i="38"/>
  <c r="D696" i="38"/>
  <c r="E696" i="38"/>
  <c r="F696" i="38"/>
  <c r="H696" i="38"/>
  <c r="I696" i="38"/>
  <c r="J696" i="38"/>
  <c r="K696" i="38"/>
  <c r="M696" i="38"/>
  <c r="N696" i="38"/>
  <c r="O696" i="38"/>
  <c r="P696" i="38"/>
  <c r="B697" i="38"/>
  <c r="D697" i="38"/>
  <c r="E697" i="38"/>
  <c r="F697" i="38"/>
  <c r="H697" i="38"/>
  <c r="I697" i="38"/>
  <c r="J697" i="38"/>
  <c r="K697" i="38"/>
  <c r="M697" i="38"/>
  <c r="N697" i="38"/>
  <c r="O697" i="38"/>
  <c r="P697" i="38"/>
  <c r="B699" i="38"/>
  <c r="B706" i="38"/>
  <c r="K706" i="38"/>
  <c r="C712" i="38"/>
  <c r="D712" i="38"/>
  <c r="E712" i="38"/>
  <c r="F712" i="38"/>
  <c r="G712" i="38"/>
  <c r="H712" i="38"/>
  <c r="I712" i="38"/>
  <c r="J712" i="38"/>
  <c r="K712" i="38"/>
  <c r="L712" i="38"/>
  <c r="M712" i="38"/>
  <c r="N712" i="38"/>
  <c r="O712" i="38"/>
  <c r="P712" i="38"/>
  <c r="Q712" i="38"/>
  <c r="R712" i="38"/>
  <c r="S712" i="38"/>
  <c r="T712" i="38"/>
  <c r="U712" i="38"/>
  <c r="Z712" i="38"/>
  <c r="C713" i="38"/>
  <c r="D713" i="38"/>
  <c r="E713" i="38"/>
  <c r="J717" i="38" s="1"/>
  <c r="F713" i="38"/>
  <c r="K717" i="38" s="1"/>
  <c r="G713" i="38"/>
  <c r="L713" i="38"/>
  <c r="Q713" i="38"/>
  <c r="V713" i="38"/>
  <c r="W713" i="38"/>
  <c r="AC717" i="38" s="1"/>
  <c r="X713" i="38"/>
  <c r="X717" i="38" s="1"/>
  <c r="Y713" i="38"/>
  <c r="Y717" i="38" s="1"/>
  <c r="C714" i="38"/>
  <c r="D714" i="38"/>
  <c r="E714" i="38"/>
  <c r="J718" i="38" s="1"/>
  <c r="F714" i="38"/>
  <c r="K718" i="38" s="1"/>
  <c r="G714" i="38"/>
  <c r="L714" i="38"/>
  <c r="Q714" i="38"/>
  <c r="V714" i="38"/>
  <c r="W714" i="38"/>
  <c r="AC718" i="38" s="1"/>
  <c r="X714" i="38"/>
  <c r="X718" i="38" s="1"/>
  <c r="Y714" i="38"/>
  <c r="B716" i="38"/>
  <c r="B717" i="38"/>
  <c r="M717" i="38"/>
  <c r="N717" i="38"/>
  <c r="O717" i="38"/>
  <c r="P717" i="38"/>
  <c r="R717" i="38"/>
  <c r="S717" i="38"/>
  <c r="T717" i="38"/>
  <c r="U717" i="38"/>
  <c r="Z717" i="38"/>
  <c r="B718" i="38"/>
  <c r="M718" i="38"/>
  <c r="N718" i="38"/>
  <c r="O718" i="38"/>
  <c r="P718" i="38"/>
  <c r="R718" i="38"/>
  <c r="S718" i="38"/>
  <c r="T718" i="38"/>
  <c r="U718" i="38"/>
  <c r="Z718" i="38"/>
  <c r="AC720" i="38"/>
  <c r="C721" i="38"/>
  <c r="D721" i="38"/>
  <c r="E721" i="38"/>
  <c r="F721" i="38"/>
  <c r="G721" i="38"/>
  <c r="H721" i="38"/>
  <c r="I721" i="38"/>
  <c r="J721" i="38"/>
  <c r="K721" i="38"/>
  <c r="L721" i="38"/>
  <c r="M721" i="38"/>
  <c r="N721" i="38"/>
  <c r="O721" i="38"/>
  <c r="P721" i="38"/>
  <c r="Q721" i="38"/>
  <c r="R721" i="38"/>
  <c r="V721" i="38"/>
  <c r="W743" i="38" s="1"/>
  <c r="C722" i="38"/>
  <c r="D722" i="38"/>
  <c r="E722" i="38"/>
  <c r="F722" i="38"/>
  <c r="G722" i="38"/>
  <c r="H722" i="38"/>
  <c r="I722" i="38"/>
  <c r="J722" i="38"/>
  <c r="K722" i="38"/>
  <c r="L722" i="38"/>
  <c r="M722" i="38"/>
  <c r="N722" i="38"/>
  <c r="O722" i="38"/>
  <c r="P722" i="38"/>
  <c r="Q722" i="38"/>
  <c r="R722" i="38"/>
  <c r="V722" i="38"/>
  <c r="W744" i="38" s="1"/>
  <c r="C723" i="38"/>
  <c r="D723" i="38"/>
  <c r="E723" i="38"/>
  <c r="F723" i="38"/>
  <c r="G723" i="38"/>
  <c r="H723" i="38"/>
  <c r="I723" i="38"/>
  <c r="J723" i="38"/>
  <c r="K723" i="38"/>
  <c r="L723" i="38"/>
  <c r="M723" i="38"/>
  <c r="N723" i="38"/>
  <c r="O723" i="38"/>
  <c r="P723" i="38"/>
  <c r="Q723" i="38"/>
  <c r="R723" i="38"/>
  <c r="S747" i="38" s="1"/>
  <c r="V724" i="38"/>
  <c r="O67" i="25" s="1"/>
  <c r="O68" i="25" s="1"/>
  <c r="M177" i="25" s="1"/>
  <c r="AA724" i="38"/>
  <c r="AC724" i="38"/>
  <c r="AC726" i="38"/>
  <c r="C727" i="38"/>
  <c r="D727" i="38"/>
  <c r="E727" i="38"/>
  <c r="F727" i="38"/>
  <c r="G727" i="38"/>
  <c r="H727" i="38"/>
  <c r="I727" i="38"/>
  <c r="J727" i="38"/>
  <c r="K727" i="38"/>
  <c r="L727" i="38"/>
  <c r="M727" i="38"/>
  <c r="N727" i="38"/>
  <c r="O727" i="38"/>
  <c r="P727" i="38"/>
  <c r="Q727" i="38"/>
  <c r="R727" i="38"/>
  <c r="V727" i="38"/>
  <c r="W751" i="38" s="1"/>
  <c r="C728" i="38"/>
  <c r="D728" i="38"/>
  <c r="E728" i="38"/>
  <c r="F728" i="38"/>
  <c r="G728" i="38"/>
  <c r="H728" i="38"/>
  <c r="I728" i="38"/>
  <c r="J728" i="38"/>
  <c r="K728" i="38"/>
  <c r="L728" i="38"/>
  <c r="M728" i="38"/>
  <c r="N728" i="38"/>
  <c r="O728" i="38"/>
  <c r="P728" i="38"/>
  <c r="Q728" i="38"/>
  <c r="R728" i="38"/>
  <c r="V728" i="38"/>
  <c r="W752" i="38" s="1"/>
  <c r="S729" i="38"/>
  <c r="T729" i="38"/>
  <c r="U729" i="38"/>
  <c r="W729" i="38"/>
  <c r="X729" i="38"/>
  <c r="Y729" i="38"/>
  <c r="Z729" i="38"/>
  <c r="AC729" i="38"/>
  <c r="C730" i="38"/>
  <c r="D730" i="38"/>
  <c r="E730" i="38"/>
  <c r="F730" i="38"/>
  <c r="G730" i="38"/>
  <c r="H730" i="38"/>
  <c r="I730" i="38"/>
  <c r="J730" i="38"/>
  <c r="K730" i="38"/>
  <c r="L730" i="38"/>
  <c r="M730" i="38"/>
  <c r="N730" i="38"/>
  <c r="O730" i="38"/>
  <c r="P730" i="38"/>
  <c r="R730" i="38"/>
  <c r="V730" i="38"/>
  <c r="W753" i="38" s="1"/>
  <c r="S731" i="38"/>
  <c r="T731" i="38"/>
  <c r="B737" i="38"/>
  <c r="B756" i="38" s="1"/>
  <c r="S737" i="38"/>
  <c r="T737" i="38"/>
  <c r="U737" i="38"/>
  <c r="W737" i="38"/>
  <c r="X737" i="38"/>
  <c r="Y737" i="38"/>
  <c r="Z737" i="38"/>
  <c r="AC737" i="38"/>
  <c r="B738" i="38"/>
  <c r="B757" i="38" s="1"/>
  <c r="S738" i="38"/>
  <c r="T738" i="38"/>
  <c r="U738" i="38"/>
  <c r="W738" i="38"/>
  <c r="X738" i="38"/>
  <c r="Y738" i="38"/>
  <c r="Z738" i="38"/>
  <c r="AC738" i="38"/>
  <c r="B739" i="38"/>
  <c r="B758" i="38" s="1"/>
  <c r="S739" i="38"/>
  <c r="T739" i="38"/>
  <c r="U739" i="38"/>
  <c r="W739" i="38"/>
  <c r="X739" i="38"/>
  <c r="Y739" i="38"/>
  <c r="Z739" i="38"/>
  <c r="AC739" i="38"/>
  <c r="B742" i="38"/>
  <c r="B743" i="38"/>
  <c r="T743" i="38"/>
  <c r="U743" i="38"/>
  <c r="X743" i="38"/>
  <c r="Y743" i="38"/>
  <c r="Z743" i="38"/>
  <c r="AC743" i="38"/>
  <c r="B744" i="38"/>
  <c r="T744" i="38"/>
  <c r="U744" i="38"/>
  <c r="X744" i="38"/>
  <c r="Y744" i="38"/>
  <c r="Z744" i="38"/>
  <c r="AC744" i="38"/>
  <c r="N745" i="38"/>
  <c r="S745" i="38"/>
  <c r="B747" i="38"/>
  <c r="B748" i="38"/>
  <c r="B750" i="38"/>
  <c r="B751" i="38"/>
  <c r="T751" i="38"/>
  <c r="U751" i="38"/>
  <c r="X751" i="38"/>
  <c r="Y751" i="38"/>
  <c r="Z751" i="38"/>
  <c r="F26" i="42" s="1"/>
  <c r="AC751" i="38"/>
  <c r="B752" i="38"/>
  <c r="T752" i="38"/>
  <c r="U752" i="38"/>
  <c r="X752" i="38"/>
  <c r="Y752" i="38"/>
  <c r="Z752" i="38"/>
  <c r="AC752" i="38"/>
  <c r="B753" i="38"/>
  <c r="T753" i="38"/>
  <c r="U753" i="38"/>
  <c r="X753" i="38"/>
  <c r="Y753" i="38"/>
  <c r="Z753" i="38"/>
  <c r="AC753" i="38"/>
  <c r="N754" i="38"/>
  <c r="S754" i="38"/>
  <c r="B755" i="38"/>
  <c r="C26" i="42"/>
  <c r="O930" i="38"/>
  <c r="P930" i="38"/>
  <c r="Q930" i="38"/>
  <c r="R930" i="38"/>
  <c r="S930" i="38"/>
  <c r="T930" i="38"/>
  <c r="U930" i="38"/>
  <c r="C920" i="38"/>
  <c r="D920" i="38"/>
  <c r="E920" i="38"/>
  <c r="F920" i="38"/>
  <c r="G920" i="38"/>
  <c r="H920" i="38"/>
  <c r="I920" i="38"/>
  <c r="J920" i="38"/>
  <c r="K920" i="38"/>
  <c r="L920" i="38"/>
  <c r="M920" i="38"/>
  <c r="N920" i="38"/>
  <c r="O920" i="38"/>
  <c r="C921" i="38"/>
  <c r="D921" i="38"/>
  <c r="E921" i="38"/>
  <c r="F921" i="38"/>
  <c r="G921" i="38"/>
  <c r="H921" i="38"/>
  <c r="I921" i="38"/>
  <c r="J921" i="38"/>
  <c r="K921" i="38"/>
  <c r="L921" i="38"/>
  <c r="M921" i="38"/>
  <c r="N921" i="38"/>
  <c r="O921" i="38"/>
  <c r="K947" i="38"/>
  <c r="L947" i="38"/>
  <c r="M947" i="38"/>
  <c r="N947" i="38"/>
  <c r="O947" i="38"/>
  <c r="D4" i="37"/>
  <c r="AE4" i="37" s="1"/>
  <c r="AQ4" i="37" s="1"/>
  <c r="F4" i="37"/>
  <c r="AF4" i="37"/>
  <c r="AR4" i="37" s="1"/>
  <c r="C5" i="37"/>
  <c r="D5" i="37"/>
  <c r="AE5" i="37" s="1"/>
  <c r="E5" i="37"/>
  <c r="AF5" i="37" s="1"/>
  <c r="AM6" i="37"/>
  <c r="D6" i="37"/>
  <c r="AE6" i="37" s="1"/>
  <c r="E6" i="37"/>
  <c r="AF6" i="37" s="1"/>
  <c r="AM7" i="37"/>
  <c r="D7" i="37"/>
  <c r="E7" i="37"/>
  <c r="AF7" i="37" s="1"/>
  <c r="AE11" i="37"/>
  <c r="AF11" i="37"/>
  <c r="AG11" i="37"/>
  <c r="AH11" i="37"/>
  <c r="AM11" i="37"/>
  <c r="C12" i="37"/>
  <c r="AB12" i="37"/>
  <c r="AC12" i="37"/>
  <c r="AD12" i="37"/>
  <c r="AM13" i="37"/>
  <c r="AM14" i="37"/>
  <c r="AM15" i="37"/>
  <c r="C16" i="37"/>
  <c r="C460" i="37" s="1"/>
  <c r="D16" i="37"/>
  <c r="E16" i="37"/>
  <c r="C19" i="37"/>
  <c r="D19" i="37"/>
  <c r="E19" i="37"/>
  <c r="C20" i="37"/>
  <c r="D20" i="37"/>
  <c r="D444" i="37" s="1"/>
  <c r="E20" i="37"/>
  <c r="AF20" i="37" s="1"/>
  <c r="C21" i="37"/>
  <c r="D21" i="37"/>
  <c r="E21" i="37"/>
  <c r="AF21" i="37" s="1"/>
  <c r="C22" i="37"/>
  <c r="C23" i="37"/>
  <c r="C465" i="37" s="1"/>
  <c r="C25" i="37"/>
  <c r="C26" i="37"/>
  <c r="C27" i="37"/>
  <c r="C28" i="37"/>
  <c r="C29" i="37"/>
  <c r="C30" i="37"/>
  <c r="C31" i="37"/>
  <c r="C32" i="37"/>
  <c r="C74" i="37" s="1"/>
  <c r="C112" i="37" s="1"/>
  <c r="D33" i="37"/>
  <c r="E33" i="37"/>
  <c r="T136" i="15" s="1"/>
  <c r="C35" i="37"/>
  <c r="D35" i="37"/>
  <c r="Q5" i="1" s="1"/>
  <c r="E35" i="37"/>
  <c r="R5" i="1" s="1"/>
  <c r="E45" i="37"/>
  <c r="E85" i="37" s="1"/>
  <c r="E122" i="37" s="1"/>
  <c r="D46" i="37"/>
  <c r="E46" i="37"/>
  <c r="D47" i="37"/>
  <c r="E47" i="37"/>
  <c r="D48" i="37"/>
  <c r="E48" i="37"/>
  <c r="C52" i="37"/>
  <c r="C92" i="37" s="1"/>
  <c r="C54" i="37"/>
  <c r="C94" i="37" s="1"/>
  <c r="C55" i="37"/>
  <c r="C95" i="37" s="1"/>
  <c r="C56" i="37"/>
  <c r="C96" i="37" s="1"/>
  <c r="D57" i="37"/>
  <c r="E57" i="37"/>
  <c r="D59" i="37"/>
  <c r="E59" i="37"/>
  <c r="D60" i="37"/>
  <c r="E60" i="37"/>
  <c r="D61" i="37"/>
  <c r="E61" i="37"/>
  <c r="D63" i="37"/>
  <c r="E63" i="37"/>
  <c r="G74" i="37"/>
  <c r="H74" i="37"/>
  <c r="C75" i="37"/>
  <c r="C113" i="37" s="1"/>
  <c r="D75" i="37"/>
  <c r="E75" i="37"/>
  <c r="D77" i="37"/>
  <c r="E77" i="37"/>
  <c r="I92" i="37"/>
  <c r="AJ79" i="38" s="1"/>
  <c r="I95" i="37"/>
  <c r="K102" i="37"/>
  <c r="L102" i="37"/>
  <c r="M102" i="37"/>
  <c r="N102" i="37"/>
  <c r="O102" i="37"/>
  <c r="H107" i="37"/>
  <c r="H108" i="37"/>
  <c r="L112" i="37"/>
  <c r="M112" i="37"/>
  <c r="N112" i="37"/>
  <c r="O112" i="37"/>
  <c r="C114" i="37"/>
  <c r="H141" i="37"/>
  <c r="D124" i="37"/>
  <c r="E124" i="37"/>
  <c r="F124" i="37"/>
  <c r="G142" i="37" s="1"/>
  <c r="D125" i="37"/>
  <c r="E125" i="37"/>
  <c r="F125" i="37"/>
  <c r="G143" i="37" s="1"/>
  <c r="D127" i="37"/>
  <c r="E127" i="37"/>
  <c r="F127" i="37"/>
  <c r="G145" i="37" s="1"/>
  <c r="D129" i="37"/>
  <c r="E129" i="37"/>
  <c r="F129" i="37"/>
  <c r="G147" i="37" s="1"/>
  <c r="D130" i="37"/>
  <c r="E130" i="37"/>
  <c r="F130" i="37"/>
  <c r="G148" i="37" s="1"/>
  <c r="H130" i="37"/>
  <c r="H148" i="37" s="1"/>
  <c r="D131" i="37"/>
  <c r="E131" i="37"/>
  <c r="F131" i="37"/>
  <c r="G149" i="37" s="1"/>
  <c r="D132" i="37"/>
  <c r="E132" i="37"/>
  <c r="F132" i="37"/>
  <c r="G150" i="37" s="1"/>
  <c r="AT264" i="38"/>
  <c r="AT290" i="38" s="1"/>
  <c r="K173" i="37" s="1"/>
  <c r="K261" i="37" s="1"/>
  <c r="F133" i="37"/>
  <c r="D134" i="37"/>
  <c r="E134" i="37"/>
  <c r="F134" i="37"/>
  <c r="D135" i="37"/>
  <c r="E135" i="37"/>
  <c r="F135" i="37"/>
  <c r="G153" i="37" s="1"/>
  <c r="D137" i="37"/>
  <c r="D138" i="37" s="1"/>
  <c r="E137" i="37"/>
  <c r="E138" i="37" s="1"/>
  <c r="F137" i="37"/>
  <c r="G155" i="37" s="1"/>
  <c r="AT269" i="38"/>
  <c r="G138" i="37"/>
  <c r="H138" i="37"/>
  <c r="I138" i="37"/>
  <c r="J138" i="37"/>
  <c r="H142" i="37"/>
  <c r="I142" i="37"/>
  <c r="J142" i="37"/>
  <c r="H143" i="37"/>
  <c r="I143" i="37"/>
  <c r="J143" i="37"/>
  <c r="H145" i="37"/>
  <c r="I145" i="37"/>
  <c r="J145" i="37"/>
  <c r="H147" i="37"/>
  <c r="I147" i="37"/>
  <c r="J147" i="37"/>
  <c r="H149" i="37"/>
  <c r="I149" i="37"/>
  <c r="J149" i="37"/>
  <c r="H150" i="37"/>
  <c r="I150" i="37"/>
  <c r="J150" i="37"/>
  <c r="H155" i="37"/>
  <c r="I155" i="37"/>
  <c r="J155" i="37"/>
  <c r="E161" i="37"/>
  <c r="E183" i="37" s="1"/>
  <c r="E248" i="37" s="1"/>
  <c r="C165" i="37"/>
  <c r="O177" i="37"/>
  <c r="BN294" i="38" s="1"/>
  <c r="D179" i="37"/>
  <c r="F197" i="37"/>
  <c r="G197" i="37"/>
  <c r="D202" i="37"/>
  <c r="C259" i="37"/>
  <c r="E272" i="37"/>
  <c r="E348" i="37" s="1"/>
  <c r="E382" i="37" s="1"/>
  <c r="E452" i="37" s="1"/>
  <c r="D273" i="37"/>
  <c r="E273" i="37"/>
  <c r="D274" i="37"/>
  <c r="O195" i="10" s="1"/>
  <c r="E274" i="37"/>
  <c r="D275" i="37"/>
  <c r="AE275" i="37" s="1"/>
  <c r="E275" i="37"/>
  <c r="C279" i="37"/>
  <c r="C281" i="37"/>
  <c r="C334" i="37" s="1"/>
  <c r="C282" i="37"/>
  <c r="C357" i="37" s="1"/>
  <c r="C283" i="37"/>
  <c r="C336" i="37" s="1"/>
  <c r="E284" i="37"/>
  <c r="D287" i="37"/>
  <c r="AE287" i="37" s="1"/>
  <c r="E287" i="37"/>
  <c r="AF287" i="37" s="1"/>
  <c r="D288" i="37"/>
  <c r="AE288" i="37" s="1"/>
  <c r="E288" i="37"/>
  <c r="AF288" i="37" s="1"/>
  <c r="D289" i="37"/>
  <c r="E289" i="37"/>
  <c r="AF289" i="37" s="1"/>
  <c r="D291" i="37"/>
  <c r="E291" i="37"/>
  <c r="T143" i="15" s="1"/>
  <c r="C301" i="37"/>
  <c r="D301" i="37"/>
  <c r="E301" i="37"/>
  <c r="C303" i="37"/>
  <c r="C304" i="37"/>
  <c r="B4272" i="22" s="1"/>
  <c r="C305" i="37"/>
  <c r="C375" i="37" s="1"/>
  <c r="D305" i="37"/>
  <c r="E305" i="37"/>
  <c r="T147" i="15" s="1"/>
  <c r="C307" i="37"/>
  <c r="C308" i="37"/>
  <c r="D308" i="37"/>
  <c r="E308" i="37"/>
  <c r="H316" i="37"/>
  <c r="AV318" i="37"/>
  <c r="AW318" i="37"/>
  <c r="AX318" i="37"/>
  <c r="AY318" i="37"/>
  <c r="AZ318" i="37"/>
  <c r="D430" i="37"/>
  <c r="E430" i="37"/>
  <c r="T150" i="15" s="1"/>
  <c r="D431" i="37"/>
  <c r="D433" i="37"/>
  <c r="E433" i="37"/>
  <c r="T152" i="15" s="1"/>
  <c r="C442" i="37"/>
  <c r="C443" i="37"/>
  <c r="C444" i="37"/>
  <c r="C445" i="37"/>
  <c r="C446" i="37"/>
  <c r="C479" i="37"/>
  <c r="C480" i="37"/>
  <c r="C481" i="37"/>
  <c r="C482" i="37"/>
  <c r="C483" i="37"/>
  <c r="C484" i="37"/>
  <c r="C485" i="37"/>
  <c r="AN748" i="37"/>
  <c r="E2" i="25"/>
  <c r="F2" i="25" s="1"/>
  <c r="G2" i="25" s="1"/>
  <c r="H2" i="25" s="1"/>
  <c r="I2" i="25" s="1"/>
  <c r="J2" i="25" s="1"/>
  <c r="K2" i="25" s="1"/>
  <c r="L2" i="25" s="1"/>
  <c r="M2" i="25" s="1"/>
  <c r="N2" i="25" s="1"/>
  <c r="O2" i="25" s="1"/>
  <c r="P2" i="25" s="1"/>
  <c r="Q2" i="25" s="1"/>
  <c r="R2" i="25" s="1"/>
  <c r="S2" i="25" s="1"/>
  <c r="T2" i="25" s="1"/>
  <c r="U2" i="25" s="1"/>
  <c r="V2" i="25" s="1"/>
  <c r="W2" i="25" s="1"/>
  <c r="X2" i="25" s="1"/>
  <c r="J5" i="25"/>
  <c r="K5" i="25"/>
  <c r="L5" i="25"/>
  <c r="M5" i="25"/>
  <c r="N6" i="25"/>
  <c r="O6" i="25" s="1"/>
  <c r="P6" i="25" s="1"/>
  <c r="Q6" i="25" s="1"/>
  <c r="R6" i="25" s="1"/>
  <c r="S6" i="25" s="1"/>
  <c r="T6" i="25" s="1"/>
  <c r="U6" i="25" s="1"/>
  <c r="V6" i="25" s="1"/>
  <c r="W6" i="25" s="1"/>
  <c r="X6" i="25" s="1"/>
  <c r="J7" i="25"/>
  <c r="K7" i="25"/>
  <c r="L7" i="25"/>
  <c r="M7" i="25"/>
  <c r="N8" i="25"/>
  <c r="O8" i="25" s="1"/>
  <c r="P8" i="25" s="1"/>
  <c r="Q8" i="25" s="1"/>
  <c r="R8" i="25" s="1"/>
  <c r="S8" i="25" s="1"/>
  <c r="T8" i="25" s="1"/>
  <c r="U8" i="25" s="1"/>
  <c r="V8" i="25" s="1"/>
  <c r="W8" i="25" s="1"/>
  <c r="X8" i="25" s="1"/>
  <c r="J9" i="25"/>
  <c r="K9" i="25"/>
  <c r="L9" i="25"/>
  <c r="M9" i="25"/>
  <c r="N10" i="25"/>
  <c r="J11" i="25"/>
  <c r="K11" i="25"/>
  <c r="L11" i="25"/>
  <c r="M11" i="25"/>
  <c r="H12" i="25"/>
  <c r="J34" i="4" s="1"/>
  <c r="G166" i="27" s="1"/>
  <c r="I12" i="25"/>
  <c r="L99" i="10" s="1"/>
  <c r="J12" i="25"/>
  <c r="M99" i="10" s="1"/>
  <c r="K12" i="25"/>
  <c r="L12" i="25"/>
  <c r="L84" i="25" s="1"/>
  <c r="J187" i="25" s="1"/>
  <c r="M12" i="25"/>
  <c r="D13" i="25"/>
  <c r="E13" i="25"/>
  <c r="E15" i="25"/>
  <c r="F15" i="25" s="1"/>
  <c r="G15" i="25" s="1"/>
  <c r="H15" i="25" s="1"/>
  <c r="I15" i="25" s="1"/>
  <c r="E17" i="25"/>
  <c r="K18" i="25"/>
  <c r="L18" i="25"/>
  <c r="E19" i="25"/>
  <c r="J20" i="25"/>
  <c r="K20" i="25"/>
  <c r="L20" i="25"/>
  <c r="E21" i="25"/>
  <c r="F21" i="25" s="1"/>
  <c r="G21" i="25" s="1"/>
  <c r="H21" i="25" s="1"/>
  <c r="L21" i="25"/>
  <c r="E23" i="25"/>
  <c r="F23" i="25" s="1"/>
  <c r="J24" i="25"/>
  <c r="K24" i="25"/>
  <c r="I25" i="25"/>
  <c r="L82" i="11" s="1"/>
  <c r="J25" i="25"/>
  <c r="K25" i="25"/>
  <c r="L25" i="25"/>
  <c r="L85" i="25" s="1"/>
  <c r="J188" i="25" s="1"/>
  <c r="D26" i="25"/>
  <c r="E26" i="25"/>
  <c r="N28" i="25"/>
  <c r="Q155" i="12" s="1"/>
  <c r="F35" i="25"/>
  <c r="F58" i="25" s="1"/>
  <c r="F100" i="25" s="1"/>
  <c r="Q35" i="25"/>
  <c r="E36" i="25"/>
  <c r="J36" i="25"/>
  <c r="K36" i="25"/>
  <c r="L36" i="25"/>
  <c r="M36" i="25"/>
  <c r="N36" i="25"/>
  <c r="O36" i="25"/>
  <c r="P36" i="25"/>
  <c r="C1545" i="34" s="1"/>
  <c r="J39" i="25"/>
  <c r="K39" i="25"/>
  <c r="L39" i="25"/>
  <c r="M39" i="25"/>
  <c r="M125" i="25" s="1"/>
  <c r="N39" i="25"/>
  <c r="O39" i="25"/>
  <c r="P39" i="25"/>
  <c r="P125" i="25" s="1"/>
  <c r="I40" i="25"/>
  <c r="J40" i="25"/>
  <c r="K40" i="25"/>
  <c r="L40" i="25"/>
  <c r="M40" i="25"/>
  <c r="N40" i="25"/>
  <c r="O40" i="25"/>
  <c r="P40" i="25"/>
  <c r="Q40" i="25" s="1"/>
  <c r="R40" i="25" s="1"/>
  <c r="S40" i="25" s="1"/>
  <c r="T40" i="25" s="1"/>
  <c r="Q43" i="25"/>
  <c r="Q47" i="25" s="1"/>
  <c r="E44" i="25"/>
  <c r="L44" i="25"/>
  <c r="M44" i="25"/>
  <c r="N44" i="25"/>
  <c r="O44" i="25"/>
  <c r="P44" i="25"/>
  <c r="R44" i="25"/>
  <c r="S44" i="25"/>
  <c r="T44" i="25"/>
  <c r="U44" i="25"/>
  <c r="V44" i="25"/>
  <c r="W44" i="25"/>
  <c r="L45" i="25"/>
  <c r="M45" i="25"/>
  <c r="N45" i="25"/>
  <c r="O45" i="25"/>
  <c r="P45" i="25"/>
  <c r="L48" i="25"/>
  <c r="M48" i="25"/>
  <c r="N48" i="25"/>
  <c r="O48" i="25"/>
  <c r="P48" i="25"/>
  <c r="L51" i="25"/>
  <c r="M51" i="25"/>
  <c r="N51" i="25"/>
  <c r="O51" i="25"/>
  <c r="V737" i="38" s="1"/>
  <c r="P51" i="25"/>
  <c r="L54" i="25"/>
  <c r="M54" i="25"/>
  <c r="N54" i="25"/>
  <c r="Q738" i="38" s="1"/>
  <c r="O54" i="25"/>
  <c r="V738" i="38" s="1"/>
  <c r="P54" i="25"/>
  <c r="D61" i="25"/>
  <c r="I61" i="25"/>
  <c r="I62" i="25" s="1"/>
  <c r="J61" i="25"/>
  <c r="J62" i="25" s="1"/>
  <c r="K61" i="25"/>
  <c r="L62" i="25"/>
  <c r="M62" i="25"/>
  <c r="N62" i="25"/>
  <c r="O62" i="25"/>
  <c r="P62" i="25"/>
  <c r="Q62" i="25" s="1"/>
  <c r="R62" i="25" s="1"/>
  <c r="S62" i="25" s="1"/>
  <c r="T62" i="25" s="1"/>
  <c r="L65" i="25"/>
  <c r="M65" i="25"/>
  <c r="N65" i="25"/>
  <c r="O65" i="25"/>
  <c r="P65" i="25"/>
  <c r="Q67" i="25"/>
  <c r="M68" i="25"/>
  <c r="K177" i="25" s="1"/>
  <c r="N68" i="25"/>
  <c r="L177" i="25" s="1"/>
  <c r="M70" i="25"/>
  <c r="M71" i="25" s="1"/>
  <c r="N70" i="25"/>
  <c r="N71" i="25" s="1"/>
  <c r="P70" i="25"/>
  <c r="P71" i="25" s="1"/>
  <c r="N73" i="25"/>
  <c r="O73" i="25"/>
  <c r="P73" i="25"/>
  <c r="Q75" i="25"/>
  <c r="O180" i="25" s="1"/>
  <c r="N76" i="25"/>
  <c r="O76" i="25"/>
  <c r="P76" i="25"/>
  <c r="L77" i="25"/>
  <c r="J181" i="25" s="1"/>
  <c r="M77" i="25"/>
  <c r="K181" i="25" s="1"/>
  <c r="N77" i="25"/>
  <c r="L181" i="25" s="1"/>
  <c r="O77" i="25"/>
  <c r="M181" i="25" s="1"/>
  <c r="P77" i="25"/>
  <c r="N181" i="25" s="1"/>
  <c r="L79" i="25"/>
  <c r="J182" i="25" s="1"/>
  <c r="M79" i="25"/>
  <c r="K182" i="25" s="1"/>
  <c r="N79" i="25"/>
  <c r="L182" i="25" s="1"/>
  <c r="O79" i="25"/>
  <c r="M182" i="25" s="1"/>
  <c r="P79" i="25"/>
  <c r="N182" i="25" s="1"/>
  <c r="N81" i="25"/>
  <c r="O81" i="25"/>
  <c r="P81" i="25"/>
  <c r="N84" i="25"/>
  <c r="L187" i="25" s="1"/>
  <c r="N87" i="25"/>
  <c r="N122" i="25" s="1"/>
  <c r="L193" i="25" s="1"/>
  <c r="O87" i="25"/>
  <c r="P87" i="25"/>
  <c r="M92" i="25"/>
  <c r="I216" i="25" s="1"/>
  <c r="L93" i="25"/>
  <c r="L94" i="25"/>
  <c r="L96" i="25"/>
  <c r="B100" i="25"/>
  <c r="E100" i="25"/>
  <c r="J100" i="25"/>
  <c r="K100" i="25"/>
  <c r="L100" i="25"/>
  <c r="M100" i="25"/>
  <c r="N100" i="25"/>
  <c r="O100" i="25"/>
  <c r="P100" i="25"/>
  <c r="Q100" i="25"/>
  <c r="R100" i="25"/>
  <c r="S100" i="25"/>
  <c r="T100" i="25"/>
  <c r="U100" i="25"/>
  <c r="V100" i="25"/>
  <c r="W100" i="25"/>
  <c r="B101" i="25"/>
  <c r="J101" i="25"/>
  <c r="K101" i="25"/>
  <c r="L101" i="25"/>
  <c r="M101" i="25"/>
  <c r="N101" i="25"/>
  <c r="O101" i="25"/>
  <c r="P101" i="25"/>
  <c r="Q101" i="25"/>
  <c r="R101" i="25"/>
  <c r="S101" i="25"/>
  <c r="T101" i="25"/>
  <c r="U101" i="25"/>
  <c r="V101" i="25"/>
  <c r="W101" i="25"/>
  <c r="B102" i="25"/>
  <c r="J102" i="25"/>
  <c r="K102" i="25"/>
  <c r="L102" i="25"/>
  <c r="M102" i="25"/>
  <c r="N102" i="25"/>
  <c r="O102" i="25"/>
  <c r="P102" i="25"/>
  <c r="Q102" i="25"/>
  <c r="R102" i="25"/>
  <c r="S102" i="25"/>
  <c r="T102" i="25"/>
  <c r="U102" i="25"/>
  <c r="V102" i="25"/>
  <c r="W102" i="25"/>
  <c r="M103" i="25"/>
  <c r="N103" i="25"/>
  <c r="O103" i="25"/>
  <c r="P103" i="25"/>
  <c r="J105" i="25"/>
  <c r="K105" i="25"/>
  <c r="L105" i="25"/>
  <c r="M105" i="25"/>
  <c r="N105" i="25"/>
  <c r="O105" i="25"/>
  <c r="P105" i="25"/>
  <c r="Q105" i="25"/>
  <c r="R105" i="25"/>
  <c r="S105" i="25"/>
  <c r="T105" i="25"/>
  <c r="U105" i="25"/>
  <c r="V105" i="25"/>
  <c r="W105" i="25"/>
  <c r="J106" i="25"/>
  <c r="K106" i="25"/>
  <c r="L106" i="25"/>
  <c r="M106" i="25"/>
  <c r="N106" i="25"/>
  <c r="O106" i="25"/>
  <c r="P106" i="25"/>
  <c r="Q106" i="25"/>
  <c r="R106" i="25"/>
  <c r="S106" i="25"/>
  <c r="T106" i="25"/>
  <c r="U106" i="25"/>
  <c r="V106" i="25"/>
  <c r="W106" i="25"/>
  <c r="J107" i="25"/>
  <c r="K107" i="25"/>
  <c r="L107" i="25"/>
  <c r="M107" i="25"/>
  <c r="N107" i="25"/>
  <c r="O107" i="25"/>
  <c r="P107" i="25"/>
  <c r="Q107" i="25"/>
  <c r="R107" i="25"/>
  <c r="S107" i="25"/>
  <c r="T107" i="25"/>
  <c r="U107" i="25"/>
  <c r="V107" i="25"/>
  <c r="W107" i="25"/>
  <c r="I108" i="25"/>
  <c r="J108" i="25"/>
  <c r="K108" i="25"/>
  <c r="L108" i="25"/>
  <c r="M108" i="25"/>
  <c r="N108" i="25"/>
  <c r="O108" i="25"/>
  <c r="P108" i="25"/>
  <c r="D110" i="25"/>
  <c r="E110" i="25"/>
  <c r="G110" i="25"/>
  <c r="H110" i="25" s="1"/>
  <c r="I110" i="25"/>
  <c r="J110" i="25"/>
  <c r="K110" i="25"/>
  <c r="L110" i="25" s="1"/>
  <c r="M110" i="25" s="1"/>
  <c r="N110" i="25" s="1"/>
  <c r="O110" i="25" s="1"/>
  <c r="P110" i="25" s="1"/>
  <c r="Q110" i="25" s="1"/>
  <c r="R110" i="25" s="1"/>
  <c r="S110" i="25" s="1"/>
  <c r="T110" i="25" s="1"/>
  <c r="U110" i="25" s="1"/>
  <c r="V110" i="25" s="1"/>
  <c r="W110" i="25" s="1"/>
  <c r="X110" i="25" s="1"/>
  <c r="D112" i="25"/>
  <c r="I112" i="25"/>
  <c r="J112" i="25"/>
  <c r="K112" i="25"/>
  <c r="L112" i="25" s="1"/>
  <c r="M112" i="25" s="1"/>
  <c r="N112" i="25" s="1"/>
  <c r="O112" i="25" s="1"/>
  <c r="P112" i="25" s="1"/>
  <c r="Q112" i="25" s="1"/>
  <c r="R112" i="25" s="1"/>
  <c r="S112" i="25" s="1"/>
  <c r="T112" i="25" s="1"/>
  <c r="U112" i="25" s="1"/>
  <c r="V112" i="25" s="1"/>
  <c r="W112" i="25" s="1"/>
  <c r="X112" i="25" s="1"/>
  <c r="D114" i="25"/>
  <c r="G114" i="25"/>
  <c r="H114" i="25" s="1"/>
  <c r="H19" i="25" s="1"/>
  <c r="I114" i="25"/>
  <c r="J114" i="25"/>
  <c r="K114" i="25"/>
  <c r="L114" i="25" s="1"/>
  <c r="M114" i="25" s="1"/>
  <c r="N114" i="25" s="1"/>
  <c r="O114" i="25" s="1"/>
  <c r="P114" i="25" s="1"/>
  <c r="Q114" i="25" s="1"/>
  <c r="R114" i="25" s="1"/>
  <c r="S114" i="25" s="1"/>
  <c r="T114" i="25" s="1"/>
  <c r="U114" i="25" s="1"/>
  <c r="V114" i="25" s="1"/>
  <c r="W114" i="25" s="1"/>
  <c r="X114" i="25" s="1"/>
  <c r="I136" i="25"/>
  <c r="P137" i="25"/>
  <c r="N138" i="25"/>
  <c r="O138" i="25"/>
  <c r="B171" i="25"/>
  <c r="J171" i="25"/>
  <c r="K171" i="25"/>
  <c r="L171" i="25"/>
  <c r="M171" i="25"/>
  <c r="N171" i="25"/>
  <c r="B172" i="25"/>
  <c r="J172" i="25"/>
  <c r="K172" i="25"/>
  <c r="L172" i="25"/>
  <c r="M172" i="25"/>
  <c r="N172" i="25"/>
  <c r="J176" i="25"/>
  <c r="K176" i="25"/>
  <c r="L176" i="25"/>
  <c r="N176" i="25"/>
  <c r="B177" i="25"/>
  <c r="O177" i="25"/>
  <c r="P177" i="25"/>
  <c r="J179" i="25"/>
  <c r="K179" i="25"/>
  <c r="L179" i="25"/>
  <c r="M179" i="25"/>
  <c r="N179" i="25"/>
  <c r="B180" i="25"/>
  <c r="J180" i="25"/>
  <c r="K180" i="25"/>
  <c r="L180" i="25"/>
  <c r="M180" i="25"/>
  <c r="N180" i="25"/>
  <c r="B181" i="25"/>
  <c r="B182" i="25"/>
  <c r="B183" i="25"/>
  <c r="J183" i="25"/>
  <c r="K183" i="25"/>
  <c r="L183" i="25"/>
  <c r="M183" i="25"/>
  <c r="N183" i="25"/>
  <c r="J191" i="25"/>
  <c r="K191" i="25"/>
  <c r="L191" i="25"/>
  <c r="M191" i="25"/>
  <c r="N191" i="25"/>
  <c r="O191" i="25"/>
  <c r="P191" i="25"/>
  <c r="J195" i="25"/>
  <c r="K195" i="25"/>
  <c r="L195" i="25"/>
  <c r="M195" i="25"/>
  <c r="N195" i="25"/>
  <c r="O195" i="25"/>
  <c r="P195" i="25"/>
  <c r="I204" i="25"/>
  <c r="J225" i="25"/>
  <c r="K225" i="25"/>
  <c r="J228" i="25"/>
  <c r="K228" i="25"/>
  <c r="I230" i="25"/>
  <c r="J232" i="25"/>
  <c r="I234" i="25"/>
  <c r="J235" i="25"/>
  <c r="K235" i="25"/>
  <c r="I239" i="25"/>
  <c r="J239" i="25"/>
  <c r="K239" i="25"/>
  <c r="D13" i="22"/>
  <c r="E21" i="22"/>
  <c r="K13" i="22"/>
  <c r="E28" i="22" s="1"/>
  <c r="AA13" i="22"/>
  <c r="BA13" i="22" s="1"/>
  <c r="AK13" i="22"/>
  <c r="AN13" i="22"/>
  <c r="L21" i="22" s="1"/>
  <c r="AW13" i="22"/>
  <c r="AX13" i="22"/>
  <c r="AY13" i="22"/>
  <c r="AZ13" i="22"/>
  <c r="BD13" i="22"/>
  <c r="D14" i="22"/>
  <c r="D194" i="22" s="1"/>
  <c r="K14" i="22"/>
  <c r="E29" i="22" s="1"/>
  <c r="AA14" i="22"/>
  <c r="BA14" i="22" s="1"/>
  <c r="I22" i="22"/>
  <c r="AN14" i="22"/>
  <c r="L22" i="22" s="1"/>
  <c r="AW14" i="22"/>
  <c r="AX14" i="22"/>
  <c r="AY14" i="22"/>
  <c r="AZ14" i="22"/>
  <c r="BD14" i="22"/>
  <c r="D15" i="22"/>
  <c r="D23" i="22" s="1"/>
  <c r="D30" i="22" s="1"/>
  <c r="K15" i="22"/>
  <c r="E30" i="22" s="1"/>
  <c r="AA15" i="22"/>
  <c r="BA15" i="22" s="1"/>
  <c r="AN15" i="22"/>
  <c r="L23" i="22" s="1"/>
  <c r="AW15" i="22"/>
  <c r="AX15" i="22"/>
  <c r="AY15" i="22"/>
  <c r="AZ15" i="22"/>
  <c r="BE15" i="22"/>
  <c r="BK15" i="22" s="1"/>
  <c r="BG15" i="22"/>
  <c r="D16" i="22"/>
  <c r="K16" i="22"/>
  <c r="P16" i="22" s="1"/>
  <c r="AG16" i="22" s="1"/>
  <c r="AK16" i="22"/>
  <c r="AP16" i="22" s="1"/>
  <c r="AN16" i="22"/>
  <c r="L24" i="22" s="1"/>
  <c r="AW16" i="22"/>
  <c r="AX16" i="22"/>
  <c r="AY16" i="22"/>
  <c r="AZ16" i="22"/>
  <c r="BA16" i="22"/>
  <c r="BD16" i="22"/>
  <c r="BQ16" i="22"/>
  <c r="D17" i="22"/>
  <c r="D197" i="22" s="1"/>
  <c r="F21" i="22"/>
  <c r="J21" i="22"/>
  <c r="F22" i="22"/>
  <c r="J22" i="22"/>
  <c r="F23" i="22"/>
  <c r="J23" i="22"/>
  <c r="E24" i="22"/>
  <c r="F24" i="22"/>
  <c r="I24" i="22"/>
  <c r="J24" i="22"/>
  <c r="F28" i="22"/>
  <c r="F29" i="22"/>
  <c r="F30" i="22"/>
  <c r="F31" i="22"/>
  <c r="H31" i="22"/>
  <c r="I31" i="22"/>
  <c r="T35" i="22"/>
  <c r="U35" i="22"/>
  <c r="V35" i="22"/>
  <c r="V57" i="22" s="1"/>
  <c r="W35" i="22"/>
  <c r="W73" i="22" s="1"/>
  <c r="X35" i="22"/>
  <c r="X57" i="22" s="1"/>
  <c r="Y35" i="22"/>
  <c r="Y73" i="22" s="1"/>
  <c r="T36" i="22"/>
  <c r="U36" i="22"/>
  <c r="V36" i="22"/>
  <c r="W36" i="22"/>
  <c r="X36" i="22"/>
  <c r="Y36" i="22"/>
  <c r="T37" i="22"/>
  <c r="U37" i="22"/>
  <c r="V37" i="22"/>
  <c r="W37" i="22"/>
  <c r="X37" i="22"/>
  <c r="Y37" i="22"/>
  <c r="O40" i="22"/>
  <c r="O75" i="22" s="1"/>
  <c r="O41" i="22"/>
  <c r="O76" i="22" s="1"/>
  <c r="N44" i="22"/>
  <c r="N49" i="22" s="1"/>
  <c r="N86" i="22" s="1"/>
  <c r="O44" i="22"/>
  <c r="O49" i="22" s="1"/>
  <c r="O86" i="22" s="1"/>
  <c r="Q44" i="22"/>
  <c r="Q45" i="22"/>
  <c r="E47" i="22"/>
  <c r="F47" i="22"/>
  <c r="H47" i="22"/>
  <c r="I47" i="22"/>
  <c r="J47" i="22"/>
  <c r="K47" i="22"/>
  <c r="L47" i="22"/>
  <c r="M47" i="22"/>
  <c r="N47" i="22"/>
  <c r="O47" i="22"/>
  <c r="P47" i="22"/>
  <c r="D49" i="22"/>
  <c r="D50" i="22"/>
  <c r="H55" i="22"/>
  <c r="I55" i="22"/>
  <c r="I98" i="22" s="1"/>
  <c r="J55" i="22"/>
  <c r="J98" i="22" s="1"/>
  <c r="K55" i="22"/>
  <c r="K98" i="22" s="1"/>
  <c r="L55" i="22"/>
  <c r="L98" i="22" s="1"/>
  <c r="M55" i="22"/>
  <c r="M98" i="22" s="1"/>
  <c r="N55" i="22"/>
  <c r="N98" i="22" s="1"/>
  <c r="O55" i="22"/>
  <c r="O98" i="22" s="1"/>
  <c r="P55" i="22"/>
  <c r="P98" i="22" s="1"/>
  <c r="E57" i="22"/>
  <c r="F57" i="22"/>
  <c r="H57" i="22"/>
  <c r="I57" i="22"/>
  <c r="J57" i="22"/>
  <c r="K57" i="22"/>
  <c r="L57" i="22"/>
  <c r="M57" i="22"/>
  <c r="N57" i="22"/>
  <c r="O57" i="22"/>
  <c r="P57" i="22"/>
  <c r="F59" i="22"/>
  <c r="H59" i="22"/>
  <c r="I59" i="22"/>
  <c r="J59" i="22"/>
  <c r="K59" i="22"/>
  <c r="L59" i="22"/>
  <c r="M59" i="22"/>
  <c r="N59" i="22"/>
  <c r="O59" i="22"/>
  <c r="E60" i="22"/>
  <c r="J60" i="22"/>
  <c r="X60" i="22" s="1"/>
  <c r="U60" i="22"/>
  <c r="V60" i="22"/>
  <c r="W60" i="22"/>
  <c r="Y60" i="22"/>
  <c r="E61" i="22"/>
  <c r="J61" i="22"/>
  <c r="X61" i="22" s="1"/>
  <c r="U61" i="22"/>
  <c r="V61" i="22"/>
  <c r="W61" i="22"/>
  <c r="Y61" i="22"/>
  <c r="F62" i="22"/>
  <c r="H62" i="22"/>
  <c r="I62" i="22"/>
  <c r="K62" i="22"/>
  <c r="L62" i="22"/>
  <c r="M62" i="22"/>
  <c r="N62" i="22"/>
  <c r="O62" i="22"/>
  <c r="P62" i="22"/>
  <c r="T64" i="22"/>
  <c r="U64" i="22"/>
  <c r="V64" i="22"/>
  <c r="W64" i="22"/>
  <c r="X64" i="22"/>
  <c r="Y64" i="22"/>
  <c r="T65" i="22"/>
  <c r="U65" i="22"/>
  <c r="V65" i="22"/>
  <c r="W65" i="22"/>
  <c r="X65" i="22"/>
  <c r="Y65" i="22"/>
  <c r="E67" i="22"/>
  <c r="F67" i="22"/>
  <c r="H67" i="22"/>
  <c r="I67" i="22"/>
  <c r="T70" i="22"/>
  <c r="U70" i="22"/>
  <c r="V70" i="22"/>
  <c r="W70" i="22"/>
  <c r="X70" i="22"/>
  <c r="Y70" i="22"/>
  <c r="F71" i="22"/>
  <c r="H71" i="22"/>
  <c r="I71" i="22"/>
  <c r="J71" i="22"/>
  <c r="K71" i="22"/>
  <c r="L71" i="22"/>
  <c r="M71" i="22"/>
  <c r="N71" i="22"/>
  <c r="O71" i="22"/>
  <c r="P71" i="22"/>
  <c r="E73" i="22"/>
  <c r="E83" i="22" s="1"/>
  <c r="E95" i="22" s="1"/>
  <c r="F73" i="22"/>
  <c r="F83" i="22" s="1"/>
  <c r="F95" i="22" s="1"/>
  <c r="H73" i="22"/>
  <c r="H83" i="22" s="1"/>
  <c r="H95" i="22" s="1"/>
  <c r="I73" i="22"/>
  <c r="I83" i="22" s="1"/>
  <c r="E411" i="22" s="1"/>
  <c r="E416" i="22" s="1"/>
  <c r="J73" i="22"/>
  <c r="J83" i="22" s="1"/>
  <c r="J95" i="22" s="1"/>
  <c r="K73" i="22"/>
  <c r="K83" i="22" s="1"/>
  <c r="L73" i="22"/>
  <c r="L83" i="22" s="1"/>
  <c r="H411" i="22" s="1"/>
  <c r="H416" i="22" s="1"/>
  <c r="M73" i="22"/>
  <c r="M83" i="22" s="1"/>
  <c r="I411" i="22" s="1"/>
  <c r="I416" i="22" s="1"/>
  <c r="N73" i="22"/>
  <c r="N83" i="22" s="1"/>
  <c r="O73" i="22"/>
  <c r="O83" i="22" s="1"/>
  <c r="K411" i="22" s="1"/>
  <c r="K416" i="22" s="1"/>
  <c r="H430" i="22" s="1"/>
  <c r="P73" i="22"/>
  <c r="P83" i="22" s="1"/>
  <c r="P95" i="22" s="1"/>
  <c r="P123" i="22" s="1"/>
  <c r="Q73" i="22"/>
  <c r="Q83" i="22" s="1"/>
  <c r="Q95" i="22" s="1"/>
  <c r="Q123" i="22" s="1"/>
  <c r="E75" i="22"/>
  <c r="F75" i="22"/>
  <c r="F80" i="22" s="1"/>
  <c r="H75" i="22"/>
  <c r="H80" i="22" s="1"/>
  <c r="H81" i="22" s="1"/>
  <c r="I75" i="22"/>
  <c r="I85" i="22" s="1"/>
  <c r="J75" i="22"/>
  <c r="J80" i="22" s="1"/>
  <c r="K75" i="22"/>
  <c r="L75" i="22"/>
  <c r="L85" i="22" s="1"/>
  <c r="M75" i="22"/>
  <c r="M85" i="22" s="1"/>
  <c r="N75" i="22"/>
  <c r="N80" i="22" s="1"/>
  <c r="N81" i="22" s="1"/>
  <c r="P75" i="22"/>
  <c r="E76" i="22"/>
  <c r="F76" i="22"/>
  <c r="H76" i="22"/>
  <c r="I76" i="22"/>
  <c r="J76" i="22"/>
  <c r="K76" i="22"/>
  <c r="L76" i="22"/>
  <c r="M76" i="22"/>
  <c r="N76" i="22"/>
  <c r="P76" i="22"/>
  <c r="L79" i="22"/>
  <c r="F84" i="22"/>
  <c r="H84" i="22"/>
  <c r="I84" i="22"/>
  <c r="K84" i="22"/>
  <c r="L84" i="22"/>
  <c r="M84" i="22"/>
  <c r="N84" i="22"/>
  <c r="O84" i="22"/>
  <c r="P84" i="22"/>
  <c r="D90" i="22"/>
  <c r="D91" i="22"/>
  <c r="D92" i="22"/>
  <c r="D96" i="22"/>
  <c r="D103" i="22" s="1"/>
  <c r="D116" i="22" s="1"/>
  <c r="E96" i="22"/>
  <c r="F96" i="22"/>
  <c r="H96" i="22"/>
  <c r="I96" i="22"/>
  <c r="J96" i="22"/>
  <c r="K96" i="22"/>
  <c r="L96" i="22"/>
  <c r="M96" i="22"/>
  <c r="N96" i="22"/>
  <c r="O96" i="22"/>
  <c r="P96" i="22"/>
  <c r="D97" i="22"/>
  <c r="D104" i="22" s="1"/>
  <c r="D117" i="22" s="1"/>
  <c r="E97" i="22"/>
  <c r="F97" i="22"/>
  <c r="H97" i="22"/>
  <c r="I97" i="22"/>
  <c r="J97" i="22"/>
  <c r="K97" i="22"/>
  <c r="M97" i="22"/>
  <c r="N97" i="22"/>
  <c r="O97" i="22"/>
  <c r="P97" i="22"/>
  <c r="D98" i="22"/>
  <c r="D105" i="22" s="1"/>
  <c r="D118" i="22" s="1"/>
  <c r="K113" i="22"/>
  <c r="K118" i="22" s="1"/>
  <c r="L113" i="22"/>
  <c r="L118" i="22" s="1"/>
  <c r="M113" i="22"/>
  <c r="O121" i="22" s="1"/>
  <c r="Q113" i="22"/>
  <c r="Q120" i="22" s="1"/>
  <c r="Q125" i="22" s="1"/>
  <c r="P114" i="22"/>
  <c r="D115" i="22"/>
  <c r="O116" i="22"/>
  <c r="P116" i="22"/>
  <c r="O117" i="22"/>
  <c r="P117" i="22"/>
  <c r="O118" i="22"/>
  <c r="P118" i="22"/>
  <c r="P119" i="22"/>
  <c r="P120" i="22"/>
  <c r="P121" i="22"/>
  <c r="AA156" i="22"/>
  <c r="AB156" i="22"/>
  <c r="AC156" i="22"/>
  <c r="AD156" i="22"/>
  <c r="AE156" i="22"/>
  <c r="AJ156" i="22" s="1"/>
  <c r="AF156" i="22"/>
  <c r="AK156" i="22" s="1"/>
  <c r="AG156" i="22"/>
  <c r="AL156" i="22" s="1"/>
  <c r="AH156" i="22"/>
  <c r="AM156" i="22" s="1"/>
  <c r="AJ158" i="22"/>
  <c r="AK158" i="22"/>
  <c r="AL158" i="22"/>
  <c r="AM158" i="22"/>
  <c r="AJ159" i="22"/>
  <c r="AK159" i="22"/>
  <c r="AL159" i="22"/>
  <c r="AM159" i="22"/>
  <c r="K160" i="22"/>
  <c r="L160" i="22"/>
  <c r="M160" i="22"/>
  <c r="P160" i="22"/>
  <c r="Q160" i="22"/>
  <c r="R160" i="22"/>
  <c r="S160" i="22"/>
  <c r="T160" i="22"/>
  <c r="W160" i="22"/>
  <c r="X160" i="22"/>
  <c r="Y160" i="22"/>
  <c r="AA160" i="22"/>
  <c r="AB160" i="22"/>
  <c r="AC160" i="22"/>
  <c r="AD160" i="22"/>
  <c r="AE160" i="22"/>
  <c r="AF160" i="22"/>
  <c r="AG160" i="22"/>
  <c r="AH160" i="22"/>
  <c r="AJ162" i="22"/>
  <c r="AK162" i="22"/>
  <c r="AL162" i="22"/>
  <c r="AM162" i="22"/>
  <c r="AJ164" i="22"/>
  <c r="AK164" i="22"/>
  <c r="AL164" i="22"/>
  <c r="AM164" i="22"/>
  <c r="AA166" i="22"/>
  <c r="AB166" i="22"/>
  <c r="AC166" i="22"/>
  <c r="AD166" i="22"/>
  <c r="AE166" i="22"/>
  <c r="AF166" i="22"/>
  <c r="AG166" i="22"/>
  <c r="AH166" i="22"/>
  <c r="P168" i="22"/>
  <c r="Q168" i="22"/>
  <c r="R168" i="22"/>
  <c r="S168" i="22"/>
  <c r="T168" i="22"/>
  <c r="W168" i="22"/>
  <c r="X168" i="22"/>
  <c r="Y168" i="22"/>
  <c r="AA168" i="22"/>
  <c r="AB168" i="22"/>
  <c r="AC168" i="22"/>
  <c r="AD168" i="22"/>
  <c r="AE168" i="22"/>
  <c r="AF168" i="22"/>
  <c r="AG168" i="22"/>
  <c r="AH168" i="22"/>
  <c r="D174" i="22"/>
  <c r="D175" i="22"/>
  <c r="D176" i="22"/>
  <c r="D177" i="22"/>
  <c r="D178" i="22"/>
  <c r="D179" i="22"/>
  <c r="D180" i="22"/>
  <c r="E180" i="22"/>
  <c r="D181" i="22"/>
  <c r="D182" i="22"/>
  <c r="D183" i="22"/>
  <c r="D184" i="22"/>
  <c r="D185" i="22"/>
  <c r="D186" i="22"/>
  <c r="D187" i="22"/>
  <c r="D188" i="22"/>
  <c r="D189" i="22"/>
  <c r="E203" i="22"/>
  <c r="X203" i="22" s="1"/>
  <c r="H203" i="22"/>
  <c r="X222" i="22" s="1"/>
  <c r="K203" i="22"/>
  <c r="N203" i="22"/>
  <c r="U203" i="22"/>
  <c r="V203" i="22"/>
  <c r="E204" i="22"/>
  <c r="H204" i="22"/>
  <c r="X223" i="22" s="1"/>
  <c r="K204" i="22"/>
  <c r="N204" i="22"/>
  <c r="U204" i="22"/>
  <c r="V204" i="22"/>
  <c r="F205" i="22"/>
  <c r="K205" i="22"/>
  <c r="N205" i="22"/>
  <c r="U205" i="22"/>
  <c r="V205" i="22"/>
  <c r="E206" i="22"/>
  <c r="L206" i="22" s="1"/>
  <c r="F206" i="22"/>
  <c r="H206" i="22" s="1"/>
  <c r="X225" i="22" s="1"/>
  <c r="K206" i="22"/>
  <c r="N206" i="22"/>
  <c r="U206" i="22"/>
  <c r="V206" i="22"/>
  <c r="E207" i="22"/>
  <c r="L207" i="22" s="1"/>
  <c r="F207" i="22"/>
  <c r="H207" i="22" s="1"/>
  <c r="K207" i="22"/>
  <c r="N207" i="22"/>
  <c r="U207" i="22"/>
  <c r="V207" i="22"/>
  <c r="E208" i="22"/>
  <c r="F208" i="22"/>
  <c r="H208" i="22" s="1"/>
  <c r="X227" i="22" s="1"/>
  <c r="K208" i="22"/>
  <c r="N208" i="22"/>
  <c r="U208" i="22"/>
  <c r="V208" i="22"/>
  <c r="H209" i="22"/>
  <c r="X228" i="22" s="1"/>
  <c r="K209" i="22"/>
  <c r="N209" i="22"/>
  <c r="E210" i="22"/>
  <c r="L210" i="22" s="1"/>
  <c r="F210" i="22"/>
  <c r="H210" i="22" s="1"/>
  <c r="X229" i="22" s="1"/>
  <c r="K210" i="22"/>
  <c r="N210" i="22"/>
  <c r="U210" i="22"/>
  <c r="V210" i="22"/>
  <c r="E211" i="22"/>
  <c r="X211" i="22" s="1"/>
  <c r="F211" i="22"/>
  <c r="H211" i="22" s="1"/>
  <c r="X230" i="22" s="1"/>
  <c r="K211" i="22"/>
  <c r="N211" i="22"/>
  <c r="U211" i="22"/>
  <c r="V211" i="22"/>
  <c r="E212" i="22"/>
  <c r="L212" i="22" s="1"/>
  <c r="F212" i="22"/>
  <c r="H212" i="22" s="1"/>
  <c r="X231" i="22" s="1"/>
  <c r="K212" i="22"/>
  <c r="N212" i="22"/>
  <c r="U212" i="22"/>
  <c r="V212" i="22"/>
  <c r="E213" i="22"/>
  <c r="X213" i="22" s="1"/>
  <c r="F213" i="22"/>
  <c r="H213" i="22" s="1"/>
  <c r="K213" i="22"/>
  <c r="N213" i="22"/>
  <c r="U213" i="22"/>
  <c r="V213" i="22"/>
  <c r="E214" i="22"/>
  <c r="X214" i="22" s="1"/>
  <c r="H214" i="22"/>
  <c r="X232" i="22" s="1"/>
  <c r="K214" i="22"/>
  <c r="N214" i="22"/>
  <c r="U214" i="22"/>
  <c r="V214" i="22"/>
  <c r="E215" i="22"/>
  <c r="F215" i="22"/>
  <c r="H215" i="22" s="1"/>
  <c r="X233" i="22" s="1"/>
  <c r="K215" i="22"/>
  <c r="N215" i="22"/>
  <c r="R215" i="22"/>
  <c r="S215" i="22"/>
  <c r="T215" i="22"/>
  <c r="U215" i="22"/>
  <c r="V215" i="22"/>
  <c r="W215" i="22"/>
  <c r="E216" i="22"/>
  <c r="O216" i="22" s="1"/>
  <c r="Y234" i="22" s="1"/>
  <c r="F216" i="22"/>
  <c r="K216" i="22"/>
  <c r="N216" i="22"/>
  <c r="U216" i="22"/>
  <c r="V216" i="22"/>
  <c r="E217" i="22"/>
  <c r="L217" i="22" s="1"/>
  <c r="F217" i="22"/>
  <c r="H217" i="22" s="1"/>
  <c r="X235" i="22" s="1"/>
  <c r="K217" i="22"/>
  <c r="N217" i="22"/>
  <c r="U217" i="22"/>
  <c r="V217" i="22"/>
  <c r="E218" i="22"/>
  <c r="O218" i="22" s="1"/>
  <c r="Y236" i="22" s="1"/>
  <c r="F218" i="22"/>
  <c r="H218" i="22" s="1"/>
  <c r="X236" i="22" s="1"/>
  <c r="K218" i="22"/>
  <c r="N218" i="22"/>
  <c r="U218" i="22"/>
  <c r="V218" i="22"/>
  <c r="F219" i="22"/>
  <c r="H219" i="22" s="1"/>
  <c r="X237" i="22" s="1"/>
  <c r="K219" i="22"/>
  <c r="L219" i="22"/>
  <c r="N219" i="22"/>
  <c r="O219" i="22"/>
  <c r="Y237" i="22" s="1"/>
  <c r="X219" i="22"/>
  <c r="G220" i="22"/>
  <c r="J220" i="22"/>
  <c r="M220" i="22"/>
  <c r="G221" i="22"/>
  <c r="J221" i="22"/>
  <c r="M221" i="22"/>
  <c r="W222" i="22"/>
  <c r="W223" i="22"/>
  <c r="W224" i="22"/>
  <c r="W225" i="22"/>
  <c r="W226" i="22"/>
  <c r="W227" i="22"/>
  <c r="W228" i="22"/>
  <c r="W229" i="22"/>
  <c r="W230" i="22"/>
  <c r="W231" i="22"/>
  <c r="W232" i="22"/>
  <c r="W233" i="22"/>
  <c r="W234" i="22"/>
  <c r="W235" i="22"/>
  <c r="W237" i="22"/>
  <c r="O247" i="22"/>
  <c r="E248" i="22"/>
  <c r="F248" i="22"/>
  <c r="G248" i="22"/>
  <c r="H248" i="22"/>
  <c r="I248" i="22"/>
  <c r="J248" i="22"/>
  <c r="K248" i="22"/>
  <c r="L248" i="22"/>
  <c r="M248" i="22"/>
  <c r="N248" i="22"/>
  <c r="O248" i="22"/>
  <c r="O249" i="22"/>
  <c r="O250" i="22"/>
  <c r="O251" i="22"/>
  <c r="Q254" i="22"/>
  <c r="E280" i="22" s="1"/>
  <c r="R254" i="22"/>
  <c r="F280" i="22" s="1"/>
  <c r="S254" i="22"/>
  <c r="G280" i="22" s="1"/>
  <c r="T254" i="22"/>
  <c r="H280" i="22" s="1"/>
  <c r="U254" i="22"/>
  <c r="I280" i="22" s="1"/>
  <c r="H255" i="22"/>
  <c r="I255" i="22"/>
  <c r="J255" i="22"/>
  <c r="K255" i="22"/>
  <c r="L255" i="22"/>
  <c r="M255" i="22"/>
  <c r="N255" i="22"/>
  <c r="O255" i="22"/>
  <c r="P255" i="22"/>
  <c r="Q256" i="22"/>
  <c r="R256" i="22"/>
  <c r="S256" i="22"/>
  <c r="T256" i="22"/>
  <c r="U256" i="22"/>
  <c r="Q257" i="22"/>
  <c r="R257" i="22"/>
  <c r="S257" i="22"/>
  <c r="T257" i="22"/>
  <c r="U257" i="22"/>
  <c r="Q258" i="22"/>
  <c r="R258" i="22"/>
  <c r="S258" i="22"/>
  <c r="T258" i="22"/>
  <c r="U258" i="22"/>
  <c r="Q264" i="22"/>
  <c r="R264" i="22"/>
  <c r="S264" i="22"/>
  <c r="T264" i="22"/>
  <c r="U264" i="22"/>
  <c r="Q265" i="22"/>
  <c r="R265" i="22"/>
  <c r="S265" i="22"/>
  <c r="T265" i="22"/>
  <c r="U265" i="22"/>
  <c r="Q266" i="22"/>
  <c r="R266" i="22"/>
  <c r="S266" i="22"/>
  <c r="T266" i="22"/>
  <c r="U266" i="22"/>
  <c r="Q267" i="22"/>
  <c r="R267" i="22"/>
  <c r="S267" i="22"/>
  <c r="T267" i="22"/>
  <c r="U267" i="22"/>
  <c r="Q268" i="22"/>
  <c r="R268" i="22"/>
  <c r="S268" i="22"/>
  <c r="T268" i="22"/>
  <c r="U268" i="22"/>
  <c r="Q269" i="22"/>
  <c r="H277" i="22" s="1"/>
  <c r="R269" i="22"/>
  <c r="I277" i="22" s="1"/>
  <c r="S269" i="22"/>
  <c r="J277" i="22" s="1"/>
  <c r="T269" i="22"/>
  <c r="K277" i="22" s="1"/>
  <c r="U269" i="22"/>
  <c r="L277" i="22" s="1"/>
  <c r="Q270" i="22"/>
  <c r="R270" i="22"/>
  <c r="S270" i="22"/>
  <c r="T270" i="22"/>
  <c r="U270" i="22"/>
  <c r="E271" i="22"/>
  <c r="F271" i="22"/>
  <c r="G271" i="22"/>
  <c r="H271" i="22"/>
  <c r="I271" i="22"/>
  <c r="J271" i="22"/>
  <c r="K271" i="22"/>
  <c r="L271" i="22"/>
  <c r="M271" i="22"/>
  <c r="N271" i="22"/>
  <c r="O271" i="22"/>
  <c r="P271" i="22"/>
  <c r="I273" i="22"/>
  <c r="J273" i="22"/>
  <c r="K273" i="22"/>
  <c r="L273" i="22"/>
  <c r="M273" i="22"/>
  <c r="N273" i="22"/>
  <c r="O273" i="22"/>
  <c r="P273" i="22"/>
  <c r="E276" i="22"/>
  <c r="F276" i="22"/>
  <c r="G276" i="22"/>
  <c r="H276" i="22"/>
  <c r="I276" i="22"/>
  <c r="J276" i="22"/>
  <c r="K276" i="22"/>
  <c r="L276" i="22"/>
  <c r="B287" i="22"/>
  <c r="J287" i="22" s="1"/>
  <c r="E287" i="22"/>
  <c r="G287" i="22"/>
  <c r="H287" i="22"/>
  <c r="B288" i="22"/>
  <c r="J288" i="22" s="1"/>
  <c r="E288" i="22"/>
  <c r="G288" i="22"/>
  <c r="H288" i="22"/>
  <c r="T288" i="22"/>
  <c r="B289" i="22"/>
  <c r="E289" i="22"/>
  <c r="O289" i="22"/>
  <c r="H289" i="22" s="1"/>
  <c r="M290" i="22"/>
  <c r="M293" i="22"/>
  <c r="Q293" i="22"/>
  <c r="R293" i="22"/>
  <c r="S293" i="22"/>
  <c r="T293" i="22"/>
  <c r="U293" i="22"/>
  <c r="V293" i="22"/>
  <c r="W293" i="22"/>
  <c r="X293" i="22"/>
  <c r="Y293" i="22"/>
  <c r="Z293" i="22"/>
  <c r="AA293" i="22"/>
  <c r="AB293" i="22"/>
  <c r="AC293" i="22"/>
  <c r="AD293" i="22"/>
  <c r="AE293" i="22"/>
  <c r="AF293" i="22"/>
  <c r="AG293" i="22"/>
  <c r="AH293" i="22"/>
  <c r="AI293" i="22"/>
  <c r="AJ293" i="22"/>
  <c r="AK293" i="22"/>
  <c r="AL293" i="22"/>
  <c r="AM293" i="22"/>
  <c r="AN293" i="22"/>
  <c r="AO293" i="22"/>
  <c r="AP293" i="22"/>
  <c r="AQ293" i="22"/>
  <c r="AR293" i="22"/>
  <c r="AS293" i="22"/>
  <c r="AT293" i="22"/>
  <c r="AU293" i="22"/>
  <c r="AV293" i="22"/>
  <c r="AW293" i="22"/>
  <c r="AX293" i="22"/>
  <c r="AY293" i="22"/>
  <c r="AZ293" i="22"/>
  <c r="BA293" i="22"/>
  <c r="BB293" i="22"/>
  <c r="BC293" i="22"/>
  <c r="BD293" i="22"/>
  <c r="BE293" i="22"/>
  <c r="BF293" i="22"/>
  <c r="BG293" i="22"/>
  <c r="BH293" i="22"/>
  <c r="AB294" i="22"/>
  <c r="AC294" i="22"/>
  <c r="AD294" i="22"/>
  <c r="AE294" i="22"/>
  <c r="AF294" i="22"/>
  <c r="AF306" i="22" s="1"/>
  <c r="AG294" i="22"/>
  <c r="AG306" i="22" s="1"/>
  <c r="AH294" i="22"/>
  <c r="AH306" i="22" s="1"/>
  <c r="AI294" i="22"/>
  <c r="AI306" i="22" s="1"/>
  <c r="AJ294" i="22"/>
  <c r="AJ306" i="22" s="1"/>
  <c r="AK294" i="22"/>
  <c r="AK306" i="22" s="1"/>
  <c r="AL294" i="22"/>
  <c r="AL306" i="22" s="1"/>
  <c r="AM294" i="22"/>
  <c r="AM306" i="22" s="1"/>
  <c r="AN294" i="22"/>
  <c r="AN306" i="22" s="1"/>
  <c r="AO294" i="22"/>
  <c r="AO306" i="22" s="1"/>
  <c r="AP294" i="22"/>
  <c r="AP306" i="22" s="1"/>
  <c r="AQ294" i="22"/>
  <c r="AQ306" i="22" s="1"/>
  <c r="AR294" i="22"/>
  <c r="AR306" i="22" s="1"/>
  <c r="AS294" i="22"/>
  <c r="AS306" i="22" s="1"/>
  <c r="AT294" i="22"/>
  <c r="AT306" i="22" s="1"/>
  <c r="AU294" i="22"/>
  <c r="AU306" i="22" s="1"/>
  <c r="AV294" i="22"/>
  <c r="AV306" i="22" s="1"/>
  <c r="AW294" i="22"/>
  <c r="AW306" i="22" s="1"/>
  <c r="AX294" i="22"/>
  <c r="AX306" i="22" s="1"/>
  <c r="AY294" i="22"/>
  <c r="AY306" i="22" s="1"/>
  <c r="AZ294" i="22"/>
  <c r="AZ306" i="22" s="1"/>
  <c r="BA294" i="22"/>
  <c r="BA306" i="22" s="1"/>
  <c r="BB294" i="22"/>
  <c r="BB306" i="22" s="1"/>
  <c r="BC294" i="22"/>
  <c r="BC306" i="22" s="1"/>
  <c r="BD294" i="22"/>
  <c r="BD306" i="22" s="1"/>
  <c r="BE294" i="22"/>
  <c r="BE306" i="22" s="1"/>
  <c r="BF294" i="22"/>
  <c r="BF306" i="22" s="1"/>
  <c r="BG294" i="22"/>
  <c r="BG306" i="22" s="1"/>
  <c r="BH294" i="22"/>
  <c r="BH306" i="22" s="1"/>
  <c r="Q295" i="22"/>
  <c r="R295" i="22"/>
  <c r="S295" i="22"/>
  <c r="T295" i="22"/>
  <c r="U295" i="22"/>
  <c r="V295" i="22"/>
  <c r="W295" i="22"/>
  <c r="X295" i="22"/>
  <c r="Y295" i="22"/>
  <c r="Z295" i="22"/>
  <c r="AA295" i="22"/>
  <c r="AB295" i="22"/>
  <c r="Q297" i="22"/>
  <c r="R297" i="22"/>
  <c r="S297" i="22"/>
  <c r="T297" i="22"/>
  <c r="U297" i="22"/>
  <c r="V297" i="22"/>
  <c r="W297" i="22"/>
  <c r="X297" i="22"/>
  <c r="Y297" i="22"/>
  <c r="Z297" i="22"/>
  <c r="AA297" i="22"/>
  <c r="AB297" i="22"/>
  <c r="AC297" i="22"/>
  <c r="AD297" i="22"/>
  <c r="AE297" i="22"/>
  <c r="AF297" i="22"/>
  <c r="AG297" i="22"/>
  <c r="AH297" i="22"/>
  <c r="AI297" i="22"/>
  <c r="AJ297" i="22"/>
  <c r="AK297" i="22"/>
  <c r="AL297" i="22"/>
  <c r="AM297" i="22"/>
  <c r="AN297" i="22"/>
  <c r="AO297" i="22"/>
  <c r="AP297" i="22"/>
  <c r="AQ297" i="22"/>
  <c r="AR297" i="22"/>
  <c r="AS297" i="22"/>
  <c r="AT297" i="22"/>
  <c r="AU297" i="22"/>
  <c r="AV297" i="22"/>
  <c r="AW297" i="22"/>
  <c r="AX297" i="22"/>
  <c r="AY297" i="22"/>
  <c r="AZ297" i="22"/>
  <c r="BA297" i="22"/>
  <c r="BB297" i="22"/>
  <c r="BC297" i="22"/>
  <c r="BD297" i="22"/>
  <c r="BE297" i="22"/>
  <c r="BF297" i="22"/>
  <c r="BG297" i="22"/>
  <c r="BH297" i="22"/>
  <c r="I299" i="22"/>
  <c r="J299" i="22"/>
  <c r="K299" i="22"/>
  <c r="L299" i="22"/>
  <c r="M299" i="22"/>
  <c r="N299" i="22"/>
  <c r="O299" i="22"/>
  <c r="P299" i="22"/>
  <c r="Q299" i="22"/>
  <c r="R299" i="22"/>
  <c r="S299" i="22"/>
  <c r="T299" i="22"/>
  <c r="U299" i="22"/>
  <c r="V299" i="22"/>
  <c r="W299" i="22"/>
  <c r="X299" i="22"/>
  <c r="Y299" i="22"/>
  <c r="Z299" i="22"/>
  <c r="AA299" i="22"/>
  <c r="AB299" i="22"/>
  <c r="AC299" i="22"/>
  <c r="AD299" i="22"/>
  <c r="AE299" i="22"/>
  <c r="AF299" i="22"/>
  <c r="AG299" i="22"/>
  <c r="AH299" i="22"/>
  <c r="AI299" i="22"/>
  <c r="AJ299" i="22"/>
  <c r="AK299" i="22"/>
  <c r="AL299" i="22"/>
  <c r="AM299" i="22"/>
  <c r="AN299" i="22"/>
  <c r="AO299" i="22"/>
  <c r="AP299" i="22"/>
  <c r="AQ299" i="22"/>
  <c r="AR299" i="22"/>
  <c r="AS299" i="22"/>
  <c r="AT299" i="22"/>
  <c r="AU299" i="22"/>
  <c r="AV299" i="22"/>
  <c r="AW299" i="22"/>
  <c r="AX299" i="22"/>
  <c r="AY299" i="22"/>
  <c r="AZ299" i="22"/>
  <c r="BA299" i="22"/>
  <c r="BB299" i="22"/>
  <c r="BC299" i="22"/>
  <c r="BD299" i="22"/>
  <c r="BE299" i="22"/>
  <c r="BF299" i="22"/>
  <c r="BG299" i="22"/>
  <c r="BH299" i="22"/>
  <c r="AX302" i="22"/>
  <c r="AW302" i="22" s="1"/>
  <c r="AV302" i="22" s="1"/>
  <c r="AU302" i="22" s="1"/>
  <c r="AT302" i="22" s="1"/>
  <c r="AS302" i="22" s="1"/>
  <c r="AR302" i="22" s="1"/>
  <c r="AQ302" i="22" s="1"/>
  <c r="AP302" i="22" s="1"/>
  <c r="AO302" i="22" s="1"/>
  <c r="AN302" i="22" s="1"/>
  <c r="AM302" i="22" s="1"/>
  <c r="AL302" i="22" s="1"/>
  <c r="AK302" i="22" s="1"/>
  <c r="AJ302" i="22" s="1"/>
  <c r="AI302" i="22" s="1"/>
  <c r="AH302" i="22" s="1"/>
  <c r="AG302" i="22" s="1"/>
  <c r="AF302" i="22" s="1"/>
  <c r="AE302" i="22" s="1"/>
  <c r="AD302" i="22" s="1"/>
  <c r="AC302" i="22" s="1"/>
  <c r="AB302" i="22" s="1"/>
  <c r="AA302" i="22" s="1"/>
  <c r="Z302" i="22" s="1"/>
  <c r="Y302" i="22" s="1"/>
  <c r="X302" i="22" s="1"/>
  <c r="W302" i="22" s="1"/>
  <c r="V302" i="22" s="1"/>
  <c r="U302" i="22" s="1"/>
  <c r="T302" i="22" s="1"/>
  <c r="S302" i="22" s="1"/>
  <c r="R302" i="22" s="1"/>
  <c r="Q302" i="22" s="1"/>
  <c r="AY302" i="22"/>
  <c r="AZ302" i="22"/>
  <c r="BA302" i="22"/>
  <c r="BB302" i="22"/>
  <c r="BC302" i="22"/>
  <c r="BD302" i="22"/>
  <c r="BE302" i="22"/>
  <c r="BF302" i="22"/>
  <c r="BG302" i="22"/>
  <c r="BH302" i="22"/>
  <c r="AF305" i="22"/>
  <c r="AG305" i="22"/>
  <c r="AH305" i="22"/>
  <c r="AI305" i="22"/>
  <c r="AJ305" i="22"/>
  <c r="AK305" i="22"/>
  <c r="AL305" i="22"/>
  <c r="AM305" i="22"/>
  <c r="AN305" i="22"/>
  <c r="AO305" i="22"/>
  <c r="AP305" i="22"/>
  <c r="AQ305" i="22"/>
  <c r="AR305" i="22"/>
  <c r="AS305" i="22"/>
  <c r="AT305" i="22"/>
  <c r="AU305" i="22"/>
  <c r="AV305" i="22"/>
  <c r="AW305" i="22"/>
  <c r="AX305" i="22"/>
  <c r="AY305" i="22"/>
  <c r="AZ305" i="22"/>
  <c r="BA305" i="22"/>
  <c r="BB305" i="22"/>
  <c r="BC305" i="22"/>
  <c r="BD305" i="22"/>
  <c r="BE305" i="22"/>
  <c r="BF305" i="22"/>
  <c r="BG305" i="22"/>
  <c r="BH305" i="22"/>
  <c r="E307" i="22"/>
  <c r="F307" i="22"/>
  <c r="G307" i="22"/>
  <c r="H307" i="22"/>
  <c r="I307" i="22"/>
  <c r="J307" i="22"/>
  <c r="K307" i="22"/>
  <c r="L307" i="22"/>
  <c r="M307" i="22"/>
  <c r="N307" i="22"/>
  <c r="O307" i="22"/>
  <c r="P307" i="22"/>
  <c r="Q307" i="22"/>
  <c r="R307" i="22"/>
  <c r="E308" i="22"/>
  <c r="F308" i="22"/>
  <c r="G308" i="22"/>
  <c r="H308" i="22"/>
  <c r="I308" i="22"/>
  <c r="J308" i="22"/>
  <c r="K308" i="22"/>
  <c r="L308" i="22"/>
  <c r="M308" i="22"/>
  <c r="N308" i="22"/>
  <c r="O308" i="22"/>
  <c r="P308" i="22"/>
  <c r="Q308" i="22"/>
  <c r="R308" i="22"/>
  <c r="I310" i="22"/>
  <c r="J310" i="22"/>
  <c r="K310" i="22"/>
  <c r="L310" i="22"/>
  <c r="M310" i="22"/>
  <c r="N310" i="22"/>
  <c r="O310" i="22"/>
  <c r="P310" i="22"/>
  <c r="Q310" i="22"/>
  <c r="R310" i="22"/>
  <c r="L312" i="22"/>
  <c r="M312" i="22"/>
  <c r="N312" i="22"/>
  <c r="O312" i="22"/>
  <c r="P312" i="22"/>
  <c r="Q312" i="22"/>
  <c r="R312" i="22"/>
  <c r="E315" i="22"/>
  <c r="F315" i="22"/>
  <c r="G315" i="22"/>
  <c r="H315" i="22"/>
  <c r="I315" i="22"/>
  <c r="J315" i="22"/>
  <c r="K315" i="22"/>
  <c r="L315" i="22"/>
  <c r="M315" i="22"/>
  <c r="N315" i="22"/>
  <c r="O315" i="22"/>
  <c r="P315" i="22"/>
  <c r="E316" i="22"/>
  <c r="E318" i="22" s="1"/>
  <c r="F316" i="22"/>
  <c r="F318" i="22" s="1"/>
  <c r="G316" i="22"/>
  <c r="G318" i="22" s="1"/>
  <c r="H316" i="22"/>
  <c r="H318" i="22" s="1"/>
  <c r="I316" i="22"/>
  <c r="I318" i="22" s="1"/>
  <c r="J316" i="22"/>
  <c r="J318" i="22" s="1"/>
  <c r="K316" i="22"/>
  <c r="K318" i="22" s="1"/>
  <c r="L316" i="22"/>
  <c r="L318" i="22" s="1"/>
  <c r="M316" i="22"/>
  <c r="M318" i="22" s="1"/>
  <c r="N316" i="22"/>
  <c r="N318" i="22" s="1"/>
  <c r="O316" i="22"/>
  <c r="O318" i="22" s="1"/>
  <c r="P316" i="22"/>
  <c r="P318" i="22" s="1"/>
  <c r="K319" i="22"/>
  <c r="K312" i="22" s="1"/>
  <c r="L319" i="22"/>
  <c r="M319" i="22"/>
  <c r="N319" i="22"/>
  <c r="O319" i="22"/>
  <c r="P319" i="22"/>
  <c r="R322" i="22"/>
  <c r="S322" i="22"/>
  <c r="T322" i="22"/>
  <c r="U322" i="22"/>
  <c r="E323" i="22"/>
  <c r="F323" i="22"/>
  <c r="F343" i="22" s="1"/>
  <c r="G323" i="22"/>
  <c r="P323" i="22"/>
  <c r="P326" i="22" s="1"/>
  <c r="E325" i="22"/>
  <c r="E345" i="22" s="1"/>
  <c r="F325" i="22"/>
  <c r="F345" i="22" s="1"/>
  <c r="G325" i="22"/>
  <c r="G345" i="22" s="1"/>
  <c r="M325" i="22"/>
  <c r="N325" i="22"/>
  <c r="N345" i="22" s="1"/>
  <c r="N331" i="22" s="1"/>
  <c r="P325" i="22"/>
  <c r="E337" i="22"/>
  <c r="F337" i="22"/>
  <c r="G337" i="22"/>
  <c r="H337" i="22"/>
  <c r="I337" i="22"/>
  <c r="J337" i="22"/>
  <c r="K337" i="22"/>
  <c r="L337" i="22"/>
  <c r="M337" i="22"/>
  <c r="N337" i="22"/>
  <c r="O337" i="22"/>
  <c r="P337" i="22"/>
  <c r="D338" i="22"/>
  <c r="D343" i="22" s="1"/>
  <c r="D329" i="22" s="1"/>
  <c r="R338" i="22"/>
  <c r="S338" i="22"/>
  <c r="T338" i="22"/>
  <c r="U338" i="22"/>
  <c r="D339" i="22"/>
  <c r="D344" i="22" s="1"/>
  <c r="D330" i="22" s="1"/>
  <c r="R339" i="22"/>
  <c r="S339" i="22"/>
  <c r="T339" i="22"/>
  <c r="U339" i="22"/>
  <c r="D340" i="22"/>
  <c r="D345" i="22" s="1"/>
  <c r="D331" i="22" s="1"/>
  <c r="R340" i="22"/>
  <c r="S340" i="22"/>
  <c r="T340" i="22"/>
  <c r="U340" i="22"/>
  <c r="E347" i="22"/>
  <c r="F347" i="22"/>
  <c r="G347" i="22"/>
  <c r="H347" i="22"/>
  <c r="I347" i="22"/>
  <c r="J347" i="22"/>
  <c r="K347" i="22"/>
  <c r="L347" i="22"/>
  <c r="I353" i="22"/>
  <c r="J353" i="22"/>
  <c r="K353" i="22"/>
  <c r="E354" i="22"/>
  <c r="F354" i="22"/>
  <c r="F356" i="22" s="1"/>
  <c r="G354" i="22"/>
  <c r="H354" i="22"/>
  <c r="H356" i="22" s="1"/>
  <c r="I355" i="22"/>
  <c r="J355" i="22"/>
  <c r="K355" i="22"/>
  <c r="E357" i="22"/>
  <c r="F357" i="22"/>
  <c r="G357" i="22"/>
  <c r="H357" i="22"/>
  <c r="H362" i="22"/>
  <c r="H363" i="22" s="1"/>
  <c r="M362" i="22"/>
  <c r="M363" i="22" s="1"/>
  <c r="O362" i="22"/>
  <c r="O363" i="22" s="1"/>
  <c r="P362" i="22"/>
  <c r="P363" i="22" s="1"/>
  <c r="Q362" i="22"/>
  <c r="Q363" i="22" s="1"/>
  <c r="R362" i="22"/>
  <c r="R363" i="22" s="1"/>
  <c r="F392" i="22"/>
  <c r="G392" i="22" s="1"/>
  <c r="D393" i="22"/>
  <c r="E393" i="22"/>
  <c r="F393" i="22"/>
  <c r="D394" i="22"/>
  <c r="E394" i="22"/>
  <c r="F394" i="22"/>
  <c r="G394" i="22"/>
  <c r="D395" i="22"/>
  <c r="E395" i="22"/>
  <c r="F395" i="22"/>
  <c r="D396" i="22"/>
  <c r="E396" i="22"/>
  <c r="F396" i="22"/>
  <c r="G396" i="22"/>
  <c r="D397" i="22"/>
  <c r="E397" i="22"/>
  <c r="F397" i="22"/>
  <c r="D398" i="22"/>
  <c r="E398" i="22"/>
  <c r="F398" i="22"/>
  <c r="G398" i="22"/>
  <c r="F422" i="22"/>
  <c r="H422" i="22"/>
  <c r="J422" i="22"/>
  <c r="E425" i="22"/>
  <c r="I425" i="22" s="1"/>
  <c r="F425" i="22"/>
  <c r="J425" i="22" s="1"/>
  <c r="G426" i="22"/>
  <c r="H426" i="22"/>
  <c r="E427" i="22"/>
  <c r="F427" i="22"/>
  <c r="J427" i="22" s="1"/>
  <c r="E431" i="22"/>
  <c r="F431" i="22"/>
  <c r="E432" i="22"/>
  <c r="F432" i="22"/>
  <c r="E433" i="22"/>
  <c r="F433" i="22"/>
  <c r="D445" i="22"/>
  <c r="E445" i="22"/>
  <c r="F445" i="22"/>
  <c r="E446" i="22"/>
  <c r="G448" i="22"/>
  <c r="E449" i="22"/>
  <c r="F449" i="22"/>
  <c r="D450" i="22"/>
  <c r="F469" i="22"/>
  <c r="E476" i="22" s="1"/>
  <c r="E517" i="22"/>
  <c r="E519" i="22"/>
  <c r="F519" i="22" s="1"/>
  <c r="H522" i="22"/>
  <c r="I522" i="22"/>
  <c r="J522" i="22"/>
  <c r="B526" i="22"/>
  <c r="B527" i="22"/>
  <c r="E530" i="22"/>
  <c r="D535" i="22"/>
  <c r="E535" i="22" s="1"/>
  <c r="B537" i="22"/>
  <c r="B538" i="22"/>
  <c r="D543" i="22"/>
  <c r="E545" i="22"/>
  <c r="F545" i="22" s="1"/>
  <c r="G545" i="22" s="1"/>
  <c r="H545" i="22" s="1"/>
  <c r="E550" i="22"/>
  <c r="E556" i="22" s="1"/>
  <c r="F550" i="22"/>
  <c r="F556" i="22" s="1"/>
  <c r="G550" i="22"/>
  <c r="G556" i="22" s="1"/>
  <c r="H550" i="22"/>
  <c r="H556" i="22" s="1"/>
  <c r="J550" i="22"/>
  <c r="K550" i="22"/>
  <c r="K556" i="22" s="1"/>
  <c r="L550" i="22"/>
  <c r="M550" i="22"/>
  <c r="AB550" i="22" s="1"/>
  <c r="V550" i="22"/>
  <c r="AK550" i="22" s="1"/>
  <c r="X550" i="22"/>
  <c r="E551" i="22"/>
  <c r="F551" i="22"/>
  <c r="G551" i="22"/>
  <c r="H551" i="22"/>
  <c r="J551" i="22"/>
  <c r="K551" i="22"/>
  <c r="L551" i="22"/>
  <c r="M551" i="22"/>
  <c r="O551" i="22"/>
  <c r="P551" i="22"/>
  <c r="Q551" i="22"/>
  <c r="R551" i="22"/>
  <c r="T551" i="22"/>
  <c r="U551" i="22"/>
  <c r="V551" i="22"/>
  <c r="X551" i="22"/>
  <c r="E552" i="22"/>
  <c r="F552" i="22"/>
  <c r="G552" i="22"/>
  <c r="H552" i="22"/>
  <c r="J552" i="22"/>
  <c r="K552" i="22"/>
  <c r="L552" i="22"/>
  <c r="M552" i="22"/>
  <c r="O552" i="22"/>
  <c r="P552" i="22"/>
  <c r="Q552" i="22"/>
  <c r="R552" i="22"/>
  <c r="T552" i="22"/>
  <c r="U552" i="22"/>
  <c r="V552" i="22"/>
  <c r="X552" i="22"/>
  <c r="X554" i="22"/>
  <c r="X555" i="22"/>
  <c r="X556" i="22"/>
  <c r="J557" i="22"/>
  <c r="K557" i="22"/>
  <c r="L557" i="22"/>
  <c r="T557" i="22"/>
  <c r="U557" i="22"/>
  <c r="J558" i="22"/>
  <c r="K558" i="22"/>
  <c r="L558" i="22"/>
  <c r="X558" i="22"/>
  <c r="D561" i="22"/>
  <c r="X559" i="22" s="1"/>
  <c r="E561" i="22"/>
  <c r="F561" i="22"/>
  <c r="G561" i="22"/>
  <c r="H561" i="22"/>
  <c r="J561" i="22"/>
  <c r="K561" i="22"/>
  <c r="L561" i="22"/>
  <c r="D562" i="22"/>
  <c r="X560" i="22" s="1"/>
  <c r="E562" i="22"/>
  <c r="F562" i="22"/>
  <c r="G562" i="22"/>
  <c r="H562" i="22"/>
  <c r="J562" i="22"/>
  <c r="K562" i="22"/>
  <c r="L562" i="22"/>
  <c r="G567" i="22"/>
  <c r="H567" i="22"/>
  <c r="E568" i="22"/>
  <c r="G568" i="22" s="1"/>
  <c r="O571" i="22" s="1"/>
  <c r="F568" i="22"/>
  <c r="H568" i="22" s="1"/>
  <c r="Q571" i="22" s="1"/>
  <c r="E569" i="22"/>
  <c r="G569" i="22" s="1"/>
  <c r="F569" i="22"/>
  <c r="H569" i="22" s="1"/>
  <c r="R571" i="22" s="1"/>
  <c r="G572" i="22"/>
  <c r="H572" i="22"/>
  <c r="G575" i="22"/>
  <c r="O572" i="22" s="1"/>
  <c r="H575" i="22"/>
  <c r="Q572" i="22" s="1"/>
  <c r="G576" i="22"/>
  <c r="P572" i="22" s="1"/>
  <c r="H576" i="22"/>
  <c r="R572" i="22" s="1"/>
  <c r="G579" i="22"/>
  <c r="H579" i="22"/>
  <c r="G580" i="22"/>
  <c r="H580" i="22"/>
  <c r="G583" i="22"/>
  <c r="O573" i="22" s="1"/>
  <c r="H583" i="22"/>
  <c r="Q573" i="22" s="1"/>
  <c r="G584" i="22"/>
  <c r="P573" i="22" s="1"/>
  <c r="H584" i="22"/>
  <c r="R573" i="22" s="1"/>
  <c r="E588" i="22"/>
  <c r="F588" i="22"/>
  <c r="G588" i="22"/>
  <c r="G589" i="22"/>
  <c r="O574" i="22" s="1"/>
  <c r="H589" i="22"/>
  <c r="Q574" i="22" s="1"/>
  <c r="G590" i="22"/>
  <c r="P574" i="22" s="1"/>
  <c r="H590" i="22"/>
  <c r="R574" i="22" s="1"/>
  <c r="F595" i="22"/>
  <c r="E595" i="22" s="1"/>
  <c r="I595" i="22"/>
  <c r="H595" i="22" s="1"/>
  <c r="F596" i="22"/>
  <c r="I596" i="22"/>
  <c r="F597" i="22"/>
  <c r="I597" i="22"/>
  <c r="P603" i="22"/>
  <c r="Q603" i="22" s="1"/>
  <c r="R603" i="22" s="1"/>
  <c r="N604" i="22"/>
  <c r="F605" i="22"/>
  <c r="H605" i="22" s="1"/>
  <c r="Q611" i="22" s="1"/>
  <c r="G605" i="22"/>
  <c r="O611" i="22" s="1"/>
  <c r="N605" i="22"/>
  <c r="G606" i="22"/>
  <c r="P611" i="22" s="1"/>
  <c r="H606" i="22"/>
  <c r="R611" i="22" s="1"/>
  <c r="N606" i="22"/>
  <c r="O606" i="22"/>
  <c r="P606" i="22"/>
  <c r="Q606" i="22"/>
  <c r="R606" i="22"/>
  <c r="N607" i="22"/>
  <c r="G608" i="22"/>
  <c r="H608" i="22"/>
  <c r="E610" i="22"/>
  <c r="E614" i="22" s="1"/>
  <c r="E618" i="22" s="1"/>
  <c r="F610" i="22"/>
  <c r="F614" i="22" s="1"/>
  <c r="F618" i="22" s="1"/>
  <c r="G610" i="22"/>
  <c r="G614" i="22" s="1"/>
  <c r="G618" i="22" s="1"/>
  <c r="D611" i="22"/>
  <c r="F611" i="22"/>
  <c r="H611" i="22" s="1"/>
  <c r="Q612" i="22" s="1"/>
  <c r="G611" i="22"/>
  <c r="O612" i="22" s="1"/>
  <c r="D612" i="22"/>
  <c r="G612" i="22"/>
  <c r="P612" i="22" s="1"/>
  <c r="H612" i="22"/>
  <c r="R612" i="22" s="1"/>
  <c r="G615" i="22"/>
  <c r="O613" i="22" s="1"/>
  <c r="H615" i="22"/>
  <c r="Q613" i="22" s="1"/>
  <c r="G616" i="22"/>
  <c r="P613" i="22" s="1"/>
  <c r="G1385" i="22" s="1"/>
  <c r="G1392" i="22" s="1"/>
  <c r="F1401" i="22" s="1"/>
  <c r="H616" i="22"/>
  <c r="R613" i="22" s="1"/>
  <c r="O616" i="22"/>
  <c r="P616" i="22"/>
  <c r="Q616" i="22"/>
  <c r="R616" i="22"/>
  <c r="G619" i="22"/>
  <c r="O614" i="22" s="1"/>
  <c r="H619" i="22"/>
  <c r="Q614" i="22" s="1"/>
  <c r="G620" i="22"/>
  <c r="P614" i="22" s="1"/>
  <c r="H620" i="22"/>
  <c r="R614" i="22" s="1"/>
  <c r="G626" i="22"/>
  <c r="O638" i="22" s="1"/>
  <c r="H626" i="22"/>
  <c r="Q638" i="22" s="1"/>
  <c r="G627" i="22"/>
  <c r="P638" i="22" s="1"/>
  <c r="H627" i="22"/>
  <c r="R638" i="22" s="1"/>
  <c r="G631" i="22"/>
  <c r="O639" i="22" s="1"/>
  <c r="H631" i="22"/>
  <c r="Q639" i="22" s="1"/>
  <c r="G632" i="22"/>
  <c r="P639" i="22" s="1"/>
  <c r="H632" i="22"/>
  <c r="R639" i="22" s="1"/>
  <c r="D637" i="22"/>
  <c r="D638" i="22"/>
  <c r="E638" i="22"/>
  <c r="E649" i="22" s="1"/>
  <c r="F638" i="22"/>
  <c r="F649" i="22" s="1"/>
  <c r="G638" i="22"/>
  <c r="D639" i="22"/>
  <c r="G639" i="22"/>
  <c r="H639" i="22"/>
  <c r="D640" i="22"/>
  <c r="G640" i="22"/>
  <c r="E1362" i="22" s="1"/>
  <c r="F1381" i="22" s="1"/>
  <c r="G1381" i="22" s="1"/>
  <c r="G1391" i="22" s="1"/>
  <c r="F1400" i="22" s="1"/>
  <c r="H640" i="22"/>
  <c r="D643" i="22"/>
  <c r="E643" i="22"/>
  <c r="F643" i="22"/>
  <c r="G643" i="22"/>
  <c r="D644" i="22"/>
  <c r="G644" i="22"/>
  <c r="H644" i="22"/>
  <c r="D645" i="22"/>
  <c r="G645" i="22"/>
  <c r="H645" i="22"/>
  <c r="G650" i="22"/>
  <c r="H650" i="22"/>
  <c r="G651" i="22"/>
  <c r="E1364" i="22" s="1"/>
  <c r="F1383" i="22" s="1"/>
  <c r="G1383" i="22" s="1"/>
  <c r="G1390" i="22" s="1"/>
  <c r="F1399" i="22" s="1"/>
  <c r="H651" i="22"/>
  <c r="O652" i="22"/>
  <c r="P652" i="22"/>
  <c r="Q652" i="22"/>
  <c r="R652" i="22"/>
  <c r="F682" i="22"/>
  <c r="E695" i="22"/>
  <c r="F695" i="22"/>
  <c r="G695" i="22"/>
  <c r="H696" i="22"/>
  <c r="I696" i="22" s="1"/>
  <c r="H697" i="22"/>
  <c r="I697" i="22"/>
  <c r="J697" i="22"/>
  <c r="E698" i="22"/>
  <c r="F698" i="22"/>
  <c r="G698" i="22"/>
  <c r="F704" i="22"/>
  <c r="F708" i="22"/>
  <c r="H720" i="22"/>
  <c r="I720" i="22"/>
  <c r="J720" i="22"/>
  <c r="F728" i="22"/>
  <c r="G728" i="22"/>
  <c r="R728" i="22"/>
  <c r="S728" i="22"/>
  <c r="T728" i="22"/>
  <c r="U728" i="22"/>
  <c r="V728" i="22"/>
  <c r="X728" i="22"/>
  <c r="Z728" i="22" s="1"/>
  <c r="AD728" i="22" s="1"/>
  <c r="AB728" i="22"/>
  <c r="AC728" i="22" s="1"/>
  <c r="AS728" i="22"/>
  <c r="F729" i="22"/>
  <c r="G729" i="22"/>
  <c r="R729" i="22"/>
  <c r="S729" i="22"/>
  <c r="T729" i="22"/>
  <c r="U729" i="22"/>
  <c r="V729" i="22"/>
  <c r="X729" i="22"/>
  <c r="Z729" i="22" s="1"/>
  <c r="AG729" i="22" s="1"/>
  <c r="AB729" i="22"/>
  <c r="AC729" i="22" s="1"/>
  <c r="AS729" i="22"/>
  <c r="F730" i="22"/>
  <c r="G730" i="22"/>
  <c r="R730" i="22"/>
  <c r="S730" i="22"/>
  <c r="T730" i="22"/>
  <c r="U730" i="22"/>
  <c r="V730" i="22"/>
  <c r="X730" i="22"/>
  <c r="Z730" i="22" s="1"/>
  <c r="AG730" i="22" s="1"/>
  <c r="AB730" i="22"/>
  <c r="AC730" i="22" s="1"/>
  <c r="AS730" i="22"/>
  <c r="G732" i="22"/>
  <c r="H732" i="22" s="1"/>
  <c r="I732" i="22" s="1"/>
  <c r="J732" i="22" s="1"/>
  <c r="K732" i="22" s="1"/>
  <c r="L732" i="22" s="1"/>
  <c r="M732" i="22" s="1"/>
  <c r="B733" i="22"/>
  <c r="B738" i="22" s="1"/>
  <c r="B734" i="22"/>
  <c r="B739" i="22" s="1"/>
  <c r="B735" i="22"/>
  <c r="B740" i="22" s="1"/>
  <c r="E737" i="22"/>
  <c r="G737" i="22"/>
  <c r="H737" i="22" s="1"/>
  <c r="I737" i="22" s="1"/>
  <c r="J737" i="22" s="1"/>
  <c r="K737" i="22" s="1"/>
  <c r="L737" i="22" s="1"/>
  <c r="M737" i="22" s="1"/>
  <c r="F744" i="22"/>
  <c r="H744" i="22"/>
  <c r="E745" i="22"/>
  <c r="E746" i="22" s="1"/>
  <c r="E748" i="22" s="1"/>
  <c r="H745" i="22"/>
  <c r="H746" i="22" s="1"/>
  <c r="F746" i="22"/>
  <c r="G746" i="22"/>
  <c r="G748" i="22" s="1"/>
  <c r="F747" i="22"/>
  <c r="H747" i="22"/>
  <c r="E752" i="22"/>
  <c r="F752" i="22" s="1"/>
  <c r="G752" i="22" s="1"/>
  <c r="H752" i="22" s="1"/>
  <c r="I752" i="22" s="1"/>
  <c r="J752" i="22" s="1"/>
  <c r="F753" i="22"/>
  <c r="G753" i="22"/>
  <c r="H753" i="22"/>
  <c r="F754" i="22"/>
  <c r="G754" i="22"/>
  <c r="H754" i="22"/>
  <c r="E757" i="22"/>
  <c r="F757" i="22" s="1"/>
  <c r="G757" i="22" s="1"/>
  <c r="H757" i="22" s="1"/>
  <c r="I757" i="22" s="1"/>
  <c r="J757" i="22" s="1"/>
  <c r="K757" i="22"/>
  <c r="K779" i="22" s="1"/>
  <c r="K758" i="22"/>
  <c r="K759" i="22"/>
  <c r="K760" i="22"/>
  <c r="K761" i="22"/>
  <c r="K762" i="22"/>
  <c r="K763" i="22"/>
  <c r="K764" i="22"/>
  <c r="K765" i="22"/>
  <c r="K766" i="22"/>
  <c r="K767" i="22"/>
  <c r="K768" i="22"/>
  <c r="K769" i="22"/>
  <c r="K770" i="22"/>
  <c r="K771" i="22"/>
  <c r="K772" i="22"/>
  <c r="D773" i="22"/>
  <c r="D774" i="22" s="1"/>
  <c r="E773" i="22"/>
  <c r="E774" i="22" s="1"/>
  <c r="F773" i="22"/>
  <c r="G773" i="22"/>
  <c r="H773" i="22"/>
  <c r="H774" i="22" s="1"/>
  <c r="I773" i="22"/>
  <c r="J773" i="22"/>
  <c r="J777" i="22" s="1"/>
  <c r="O773" i="22"/>
  <c r="N774" i="22"/>
  <c r="D854" i="22" s="1"/>
  <c r="O774" i="22"/>
  <c r="F848" i="22" s="1"/>
  <c r="D775" i="22"/>
  <c r="P771" i="22" s="1"/>
  <c r="E775" i="22"/>
  <c r="F775" i="22"/>
  <c r="G775" i="22"/>
  <c r="H775" i="22"/>
  <c r="I775" i="22"/>
  <c r="J775" i="22"/>
  <c r="E779" i="22"/>
  <c r="F779" i="22" s="1"/>
  <c r="B780" i="22"/>
  <c r="K780" i="22"/>
  <c r="B781" i="22"/>
  <c r="B822" i="22" s="1"/>
  <c r="K781" i="22"/>
  <c r="B782" i="22"/>
  <c r="B823" i="22" s="1"/>
  <c r="B1019" i="22" s="1"/>
  <c r="K782" i="22"/>
  <c r="B783" i="22"/>
  <c r="B824" i="22" s="1"/>
  <c r="K783" i="22"/>
  <c r="B784" i="22"/>
  <c r="K784" i="22"/>
  <c r="B785" i="22"/>
  <c r="B826" i="22" s="1"/>
  <c r="B1021" i="22" s="1"/>
  <c r="K785" i="22"/>
  <c r="B786" i="22"/>
  <c r="K786" i="22"/>
  <c r="B787" i="22"/>
  <c r="B828" i="22" s="1"/>
  <c r="B1023" i="22" s="1"/>
  <c r="K787" i="22"/>
  <c r="B788" i="22"/>
  <c r="K788" i="22"/>
  <c r="B789" i="22"/>
  <c r="B811" i="22" s="1"/>
  <c r="K789" i="22"/>
  <c r="B790" i="22"/>
  <c r="K790" i="22"/>
  <c r="B791" i="22"/>
  <c r="B813" i="22" s="1"/>
  <c r="K791" i="22"/>
  <c r="B792" i="22"/>
  <c r="K792" i="22"/>
  <c r="B793" i="22"/>
  <c r="B815" i="22" s="1"/>
  <c r="K793" i="22"/>
  <c r="B794" i="22"/>
  <c r="D795" i="22"/>
  <c r="D799" i="22" s="1"/>
  <c r="E795" i="22"/>
  <c r="E799" i="22" s="1"/>
  <c r="F795" i="22"/>
  <c r="F799" i="22" s="1"/>
  <c r="G795" i="22"/>
  <c r="H795" i="22"/>
  <c r="H796" i="22" s="1"/>
  <c r="I795" i="22"/>
  <c r="J795" i="22"/>
  <c r="J796" i="22" s="1"/>
  <c r="B796" i="22"/>
  <c r="D797" i="22"/>
  <c r="E797" i="22"/>
  <c r="F797" i="22"/>
  <c r="G797" i="22"/>
  <c r="H797" i="22"/>
  <c r="I797" i="22"/>
  <c r="J797" i="22"/>
  <c r="B798" i="22"/>
  <c r="B839" i="22" s="1"/>
  <c r="D801" i="22"/>
  <c r="D802" i="22"/>
  <c r="E802" i="22"/>
  <c r="F802" i="22"/>
  <c r="G802" i="22"/>
  <c r="H802" i="22"/>
  <c r="I802" i="22"/>
  <c r="J802" i="22"/>
  <c r="D803" i="22"/>
  <c r="E803" i="22"/>
  <c r="F803" i="22"/>
  <c r="G803" i="22"/>
  <c r="H803" i="22"/>
  <c r="I803" i="22"/>
  <c r="J803" i="22"/>
  <c r="D804" i="22"/>
  <c r="E804" i="22"/>
  <c r="F804" i="22"/>
  <c r="G804" i="22"/>
  <c r="H804" i="22"/>
  <c r="I804" i="22"/>
  <c r="J804" i="22"/>
  <c r="D805" i="22"/>
  <c r="E805" i="22"/>
  <c r="F805" i="22"/>
  <c r="G805" i="22"/>
  <c r="H805" i="22"/>
  <c r="I805" i="22"/>
  <c r="J805" i="22"/>
  <c r="D806" i="22"/>
  <c r="E806" i="22"/>
  <c r="F806" i="22"/>
  <c r="G806" i="22"/>
  <c r="H806" i="22"/>
  <c r="I806" i="22"/>
  <c r="J806" i="22"/>
  <c r="D807" i="22"/>
  <c r="E807" i="22"/>
  <c r="F807" i="22"/>
  <c r="G807" i="22"/>
  <c r="H807" i="22"/>
  <c r="I807" i="22"/>
  <c r="J807" i="22"/>
  <c r="D808" i="22"/>
  <c r="E808" i="22"/>
  <c r="F808" i="22"/>
  <c r="G808" i="22"/>
  <c r="H808" i="22"/>
  <c r="I808" i="22"/>
  <c r="J808" i="22"/>
  <c r="D809" i="22"/>
  <c r="E809" i="22"/>
  <c r="F809" i="22"/>
  <c r="G809" i="22"/>
  <c r="H809" i="22"/>
  <c r="I809" i="22"/>
  <c r="J809" i="22"/>
  <c r="D810" i="22"/>
  <c r="E810" i="22"/>
  <c r="F810" i="22"/>
  <c r="G810" i="22"/>
  <c r="H810" i="22"/>
  <c r="I810" i="22"/>
  <c r="J810" i="22"/>
  <c r="D811" i="22"/>
  <c r="E811" i="22"/>
  <c r="F811" i="22"/>
  <c r="G811" i="22"/>
  <c r="H811" i="22"/>
  <c r="I811" i="22"/>
  <c r="J811" i="22"/>
  <c r="D812" i="22"/>
  <c r="E812" i="22"/>
  <c r="F812" i="22"/>
  <c r="G812" i="22"/>
  <c r="H812" i="22"/>
  <c r="I812" i="22"/>
  <c r="J812" i="22"/>
  <c r="D813" i="22"/>
  <c r="E813" i="22"/>
  <c r="F813" i="22"/>
  <c r="G813" i="22"/>
  <c r="H813" i="22"/>
  <c r="I813" i="22"/>
  <c r="J813" i="22"/>
  <c r="D814" i="22"/>
  <c r="E814" i="22"/>
  <c r="F814" i="22"/>
  <c r="G814" i="22"/>
  <c r="H814" i="22"/>
  <c r="I814" i="22"/>
  <c r="J814" i="22"/>
  <c r="D815" i="22"/>
  <c r="E815" i="22"/>
  <c r="F815" i="22"/>
  <c r="G815" i="22"/>
  <c r="H815" i="22"/>
  <c r="I815" i="22"/>
  <c r="J815" i="22"/>
  <c r="D816" i="22"/>
  <c r="E816" i="22"/>
  <c r="F816" i="22"/>
  <c r="G816" i="22"/>
  <c r="H816" i="22"/>
  <c r="I816" i="22"/>
  <c r="J816" i="22"/>
  <c r="B817" i="22"/>
  <c r="E820" i="22"/>
  <c r="D837" i="22"/>
  <c r="E837" i="22"/>
  <c r="F837" i="22"/>
  <c r="G837" i="22"/>
  <c r="H837" i="22"/>
  <c r="I837" i="22"/>
  <c r="J837" i="22"/>
  <c r="D838" i="22"/>
  <c r="E838" i="22"/>
  <c r="F838" i="22"/>
  <c r="G838" i="22"/>
  <c r="H838" i="22"/>
  <c r="I838" i="22"/>
  <c r="J838" i="22"/>
  <c r="D840" i="22"/>
  <c r="E840" i="22"/>
  <c r="F840" i="22"/>
  <c r="G840" i="22"/>
  <c r="H840" i="22"/>
  <c r="I840" i="22"/>
  <c r="J840" i="22"/>
  <c r="D852" i="22"/>
  <c r="E852" i="22"/>
  <c r="F852" i="22"/>
  <c r="G852" i="22"/>
  <c r="H852" i="22"/>
  <c r="D858" i="22"/>
  <c r="L868" i="22"/>
  <c r="M868" i="22"/>
  <c r="L869" i="22"/>
  <c r="M869" i="22"/>
  <c r="E878" i="22"/>
  <c r="G878" i="22"/>
  <c r="E879" i="22"/>
  <c r="G879" i="22"/>
  <c r="E887" i="22"/>
  <c r="E888" i="22"/>
  <c r="E889" i="22"/>
  <c r="E901" i="22"/>
  <c r="E902" i="22"/>
  <c r="O917" i="22"/>
  <c r="P917" i="22"/>
  <c r="Q917" i="22"/>
  <c r="E918" i="22"/>
  <c r="H918" i="22"/>
  <c r="I918" i="22"/>
  <c r="K919" i="22"/>
  <c r="L919" i="22"/>
  <c r="K920" i="22"/>
  <c r="L920" i="22"/>
  <c r="M920" i="22"/>
  <c r="K921" i="22"/>
  <c r="L921" i="22"/>
  <c r="M921" i="22"/>
  <c r="K922" i="22"/>
  <c r="L922" i="22"/>
  <c r="M922" i="22"/>
  <c r="D923" i="22"/>
  <c r="E923" i="22"/>
  <c r="F923" i="22"/>
  <c r="G923" i="22"/>
  <c r="H923" i="22"/>
  <c r="I923" i="22"/>
  <c r="J923" i="22"/>
  <c r="D927" i="22"/>
  <c r="D937" i="22" s="1"/>
  <c r="D943" i="22" s="1"/>
  <c r="D949" i="22" s="1"/>
  <c r="D957" i="22" s="1"/>
  <c r="D965" i="22" s="1"/>
  <c r="D969" i="22" s="1"/>
  <c r="D972" i="22" s="1"/>
  <c r="D1014" i="22" s="1"/>
  <c r="D1017" i="22" s="1"/>
  <c r="E927" i="22"/>
  <c r="F927" i="22"/>
  <c r="G927" i="22"/>
  <c r="H927" i="22"/>
  <c r="P927" i="22" s="1"/>
  <c r="I927" i="22"/>
  <c r="Q927" i="22" s="1"/>
  <c r="J927" i="22"/>
  <c r="R927" i="22" s="1"/>
  <c r="K927" i="22"/>
  <c r="K937" i="22" s="1"/>
  <c r="K943" i="22" s="1"/>
  <c r="K949" i="22" s="1"/>
  <c r="K957" i="22" s="1"/>
  <c r="L927" i="22"/>
  <c r="L937" i="22" s="1"/>
  <c r="L943" i="22" s="1"/>
  <c r="L949" i="22" s="1"/>
  <c r="L957" i="22" s="1"/>
  <c r="M927" i="22"/>
  <c r="E928" i="22"/>
  <c r="F928" i="22"/>
  <c r="H928" i="22"/>
  <c r="I928" i="22"/>
  <c r="J928" i="22"/>
  <c r="K929" i="22"/>
  <c r="L929" i="22"/>
  <c r="M929" i="22" s="1"/>
  <c r="J929" i="22" s="1"/>
  <c r="K930" i="22"/>
  <c r="L930" i="22"/>
  <c r="D932" i="22"/>
  <c r="E932" i="22"/>
  <c r="F932" i="22"/>
  <c r="G932" i="22"/>
  <c r="H932" i="22"/>
  <c r="I932" i="22"/>
  <c r="J932" i="22"/>
  <c r="K938" i="22"/>
  <c r="K1021" i="22" s="1"/>
  <c r="L938" i="22"/>
  <c r="L1021" i="22" s="1"/>
  <c r="D939" i="22"/>
  <c r="E939" i="22"/>
  <c r="H939" i="22"/>
  <c r="I939" i="22"/>
  <c r="E940" i="22"/>
  <c r="D940" i="22" s="1"/>
  <c r="I940" i="22"/>
  <c r="H940" i="22" s="1"/>
  <c r="L944" i="22"/>
  <c r="K945" i="22"/>
  <c r="K1026" i="22" s="1"/>
  <c r="L945" i="22"/>
  <c r="L1026" i="22" s="1"/>
  <c r="E947" i="22"/>
  <c r="H947" i="22"/>
  <c r="P944" i="22" s="1"/>
  <c r="I947" i="22"/>
  <c r="Q947" i="22" s="1"/>
  <c r="L950" i="22"/>
  <c r="E951" i="22"/>
  <c r="E954" i="22" s="1"/>
  <c r="O951" i="22" s="1"/>
  <c r="H951" i="22"/>
  <c r="H954" i="22" s="1"/>
  <c r="I951" i="22"/>
  <c r="L958" i="22"/>
  <c r="K962" i="22"/>
  <c r="K1022" i="22" s="1"/>
  <c r="L962" i="22"/>
  <c r="L1022" i="22" s="1"/>
  <c r="L966" i="22"/>
  <c r="K970" i="22"/>
  <c r="K1018" i="22" s="1"/>
  <c r="L970" i="22"/>
  <c r="L1018" i="22" s="1"/>
  <c r="K973" i="22"/>
  <c r="K1024" i="22" s="1"/>
  <c r="L973" i="22"/>
  <c r="L1024" i="22" s="1"/>
  <c r="K977" i="22"/>
  <c r="K1023" i="22" s="1"/>
  <c r="L977" i="22"/>
  <c r="L1023" i="22" s="1"/>
  <c r="L982" i="22"/>
  <c r="K983" i="22"/>
  <c r="K1027" i="22" s="1"/>
  <c r="L983" i="22"/>
  <c r="L1027" i="22" s="1"/>
  <c r="E987" i="22"/>
  <c r="H987" i="22"/>
  <c r="I987" i="22"/>
  <c r="D988" i="22"/>
  <c r="E988" i="22"/>
  <c r="H988" i="22"/>
  <c r="E992" i="22"/>
  <c r="H992" i="22"/>
  <c r="H994" i="22" s="1"/>
  <c r="P992" i="22" s="1"/>
  <c r="I992" i="22"/>
  <c r="I994" i="22" s="1"/>
  <c r="Q992" i="22" s="1"/>
  <c r="K993" i="22"/>
  <c r="L993" i="22"/>
  <c r="L998" i="22"/>
  <c r="L1001" i="22"/>
  <c r="L1004" i="22"/>
  <c r="K1007" i="22"/>
  <c r="K1025" i="22" s="1"/>
  <c r="L1007" i="22"/>
  <c r="L1025" i="22" s="1"/>
  <c r="K1011" i="22"/>
  <c r="K1019" i="22" s="1"/>
  <c r="L1011" i="22"/>
  <c r="L1019" i="22" s="1"/>
  <c r="L1012" i="22"/>
  <c r="K1015" i="22"/>
  <c r="K1020" i="22" s="1"/>
  <c r="L1015" i="22"/>
  <c r="L1020" i="22" s="1"/>
  <c r="R1017" i="22"/>
  <c r="D1018" i="22"/>
  <c r="E1018" i="22"/>
  <c r="H1018" i="22"/>
  <c r="I1018" i="22"/>
  <c r="R1018" i="22"/>
  <c r="D1019" i="22"/>
  <c r="E1019" i="22"/>
  <c r="H1019" i="22"/>
  <c r="I1019" i="22"/>
  <c r="R1019" i="22"/>
  <c r="D1020" i="22"/>
  <c r="E1020" i="22"/>
  <c r="H1020" i="22"/>
  <c r="I1020" i="22"/>
  <c r="R1020" i="22"/>
  <c r="D1021" i="22"/>
  <c r="E1021" i="22"/>
  <c r="H1021" i="22"/>
  <c r="I1021" i="22"/>
  <c r="R1021" i="22"/>
  <c r="D1022" i="22"/>
  <c r="E1022" i="22"/>
  <c r="H1022" i="22"/>
  <c r="I1022" i="22"/>
  <c r="R1022" i="22"/>
  <c r="D1023" i="22"/>
  <c r="E1023" i="22"/>
  <c r="H1023" i="22"/>
  <c r="I1023" i="22"/>
  <c r="R1023" i="22"/>
  <c r="D1024" i="22"/>
  <c r="E1024" i="22"/>
  <c r="H1024" i="22"/>
  <c r="I1024" i="22"/>
  <c r="R1024" i="22"/>
  <c r="D1025" i="22"/>
  <c r="E1025" i="22"/>
  <c r="H1025" i="22"/>
  <c r="I1025" i="22"/>
  <c r="R1025" i="22"/>
  <c r="D1026" i="22"/>
  <c r="E1026" i="22"/>
  <c r="H1026" i="22"/>
  <c r="I1026" i="22"/>
  <c r="R1026" i="22"/>
  <c r="D1027" i="22"/>
  <c r="E1027" i="22"/>
  <c r="H1027" i="22"/>
  <c r="I1027" i="22"/>
  <c r="R1027" i="22"/>
  <c r="E1037" i="22"/>
  <c r="D1054" i="22"/>
  <c r="E1054" i="22"/>
  <c r="F1054" i="22"/>
  <c r="G1054" i="22"/>
  <c r="H1054" i="22"/>
  <c r="I1054" i="22"/>
  <c r="D1058" i="22"/>
  <c r="E1058" i="22"/>
  <c r="F1058" i="22"/>
  <c r="G1058" i="22"/>
  <c r="H1058" i="22"/>
  <c r="I1058" i="22"/>
  <c r="B1064" i="22"/>
  <c r="D1065" i="22"/>
  <c r="E1065" i="22"/>
  <c r="F1065" i="22"/>
  <c r="G1065" i="22"/>
  <c r="H1065" i="22"/>
  <c r="I1065" i="22"/>
  <c r="G1074" i="22"/>
  <c r="D1081" i="22"/>
  <c r="D1083" i="22" s="1"/>
  <c r="E1081" i="22"/>
  <c r="E1083" i="22" s="1"/>
  <c r="E1084" i="22" s="1"/>
  <c r="P1083" i="22"/>
  <c r="Q1083" i="22"/>
  <c r="R1083" i="22"/>
  <c r="S1083" i="22"/>
  <c r="P1084" i="22"/>
  <c r="Q1084" i="22"/>
  <c r="R1084" i="22"/>
  <c r="S1084" i="22"/>
  <c r="P1085" i="22"/>
  <c r="Q1085" i="22"/>
  <c r="R1085" i="22"/>
  <c r="S1085" i="22"/>
  <c r="P1086" i="22"/>
  <c r="Q1086" i="22"/>
  <c r="R1086" i="22"/>
  <c r="S1086" i="22"/>
  <c r="Q1087" i="22"/>
  <c r="R1087" i="22"/>
  <c r="S1087" i="22"/>
  <c r="T1088" i="22"/>
  <c r="U1088" i="22"/>
  <c r="V1088" i="22"/>
  <c r="W1088" i="22"/>
  <c r="D1090" i="22"/>
  <c r="E1090" i="22"/>
  <c r="F1090" i="22"/>
  <c r="G1090" i="22"/>
  <c r="H1090" i="22"/>
  <c r="I1090" i="22"/>
  <c r="J1090" i="22"/>
  <c r="K1090" i="22"/>
  <c r="L1090" i="22"/>
  <c r="M1090" i="22"/>
  <c r="N1090" i="22"/>
  <c r="O1090" i="22"/>
  <c r="P1090" i="22"/>
  <c r="Q1090" i="22"/>
  <c r="R1090" i="22"/>
  <c r="S1090" i="22"/>
  <c r="T1091" i="22"/>
  <c r="P1091" i="22" s="1"/>
  <c r="L1091" i="22" s="1"/>
  <c r="H1091" i="22" s="1"/>
  <c r="D1091" i="22" s="1"/>
  <c r="U1091" i="22"/>
  <c r="V1091" i="22"/>
  <c r="R1091" i="22" s="1"/>
  <c r="N1091" i="22" s="1"/>
  <c r="J1091" i="22" s="1"/>
  <c r="F1091" i="22" s="1"/>
  <c r="W1091" i="22"/>
  <c r="S1091" i="22" s="1"/>
  <c r="O1091" i="22" s="1"/>
  <c r="K1091" i="22" s="1"/>
  <c r="G1091" i="22" s="1"/>
  <c r="B1092" i="22"/>
  <c r="O1094" i="22"/>
  <c r="K1094" i="22" s="1"/>
  <c r="G1094" i="22" s="1"/>
  <c r="P1094" i="22"/>
  <c r="L1094" i="22" s="1"/>
  <c r="H1094" i="22" s="1"/>
  <c r="D1094" i="22" s="1"/>
  <c r="Q1094" i="22"/>
  <c r="M1094" i="22" s="1"/>
  <c r="I1094" i="22" s="1"/>
  <c r="E1094" i="22" s="1"/>
  <c r="R1094" i="22"/>
  <c r="N1094" i="22" s="1"/>
  <c r="J1094" i="22" s="1"/>
  <c r="F1094" i="22" s="1"/>
  <c r="T1097" i="22"/>
  <c r="U1097" i="22"/>
  <c r="V1097" i="22"/>
  <c r="W1097" i="22"/>
  <c r="P1102" i="22"/>
  <c r="Q1102" i="22"/>
  <c r="R1102" i="22"/>
  <c r="S1102" i="22"/>
  <c r="T1102" i="22"/>
  <c r="U1102" i="22"/>
  <c r="V1102" i="22"/>
  <c r="T1104" i="22"/>
  <c r="U1104" i="22"/>
  <c r="V1104" i="22"/>
  <c r="W1104" i="22"/>
  <c r="D1109" i="22"/>
  <c r="E1109" i="22"/>
  <c r="F1109" i="22"/>
  <c r="G1109" i="22"/>
  <c r="H1109" i="22"/>
  <c r="I1109" i="22"/>
  <c r="J1109" i="22"/>
  <c r="K1109" i="22"/>
  <c r="L1109" i="22"/>
  <c r="M1109" i="22"/>
  <c r="N1109" i="22"/>
  <c r="O1109" i="22"/>
  <c r="P1109" i="22"/>
  <c r="Q1109" i="22"/>
  <c r="B1110" i="22"/>
  <c r="B1111" i="22"/>
  <c r="D1174" i="22"/>
  <c r="E1174" i="22"/>
  <c r="F1174" i="22"/>
  <c r="G1174" i="22"/>
  <c r="H1174" i="22"/>
  <c r="D1175" i="22"/>
  <c r="E1175" i="22"/>
  <c r="F1175" i="22"/>
  <c r="G1175" i="22"/>
  <c r="H1175" i="22"/>
  <c r="E1190" i="22"/>
  <c r="E1194" i="22" s="1"/>
  <c r="D1193" i="22"/>
  <c r="D1194" i="22"/>
  <c r="E1196" i="22"/>
  <c r="D1197" i="22"/>
  <c r="E1201" i="22"/>
  <c r="B1202" i="22"/>
  <c r="D1202" i="22"/>
  <c r="B1203" i="22"/>
  <c r="D1203" i="22"/>
  <c r="D1206" i="22"/>
  <c r="E1213" i="22"/>
  <c r="E1221" i="22" s="1"/>
  <c r="D1228" i="22" s="1"/>
  <c r="B1223" i="22"/>
  <c r="D1223" i="22"/>
  <c r="B1224" i="22"/>
  <c r="D1224" i="22"/>
  <c r="B1225" i="22"/>
  <c r="D1225" i="22"/>
  <c r="B1226" i="22"/>
  <c r="D1226" i="22"/>
  <c r="B1227" i="22"/>
  <c r="D1227" i="22"/>
  <c r="B1228" i="22"/>
  <c r="B1229" i="22"/>
  <c r="D1229" i="22"/>
  <c r="E1231" i="22"/>
  <c r="F1249" i="22" s="1"/>
  <c r="F1267" i="22" s="1"/>
  <c r="F1283" i="22" s="1"/>
  <c r="F1295" i="22" s="1"/>
  <c r="F1321" i="22" s="1"/>
  <c r="E1232" i="22"/>
  <c r="E1242" i="22" s="1"/>
  <c r="F1232" i="22"/>
  <c r="F1242" i="22" s="1"/>
  <c r="G1232" i="22"/>
  <c r="G1242" i="22" s="1"/>
  <c r="E1233" i="22"/>
  <c r="E1243" i="22" s="1"/>
  <c r="F1233" i="22"/>
  <c r="F1243" i="22" s="1"/>
  <c r="G1233" i="22"/>
  <c r="G1243" i="22" s="1"/>
  <c r="D1234" i="22"/>
  <c r="B1237" i="22"/>
  <c r="B1242" i="22" s="1"/>
  <c r="B1238" i="22"/>
  <c r="B1243" i="22" s="1"/>
  <c r="B1239" i="22"/>
  <c r="B1244" i="22" s="1"/>
  <c r="B1240" i="22"/>
  <c r="B1245" i="22" s="1"/>
  <c r="D1240" i="22"/>
  <c r="E1240" i="22"/>
  <c r="F1240" i="22"/>
  <c r="G1240" i="22"/>
  <c r="H1240" i="22"/>
  <c r="I1240" i="22"/>
  <c r="E1249" i="22"/>
  <c r="E1267" i="22" s="1"/>
  <c r="E1283" i="22" s="1"/>
  <c r="E1295" i="22" s="1"/>
  <c r="E1321" i="22" s="1"/>
  <c r="E1270" i="22"/>
  <c r="H1288" i="22"/>
  <c r="I1288" i="22"/>
  <c r="D1291" i="22"/>
  <c r="F1291" i="22"/>
  <c r="H1291" i="22"/>
  <c r="I1291" i="22"/>
  <c r="H1299" i="22"/>
  <c r="I1299" i="22"/>
  <c r="J1299" i="22"/>
  <c r="D1308" i="22"/>
  <c r="E1346" i="22"/>
  <c r="G1346" i="22"/>
  <c r="I1346" i="22"/>
  <c r="F1347" i="22"/>
  <c r="G1347" i="22"/>
  <c r="F1349" i="22"/>
  <c r="G1349" i="22"/>
  <c r="E1352" i="22"/>
  <c r="F1352" i="22"/>
  <c r="F1356" i="22" s="1"/>
  <c r="G1352" i="22"/>
  <c r="D1355" i="22"/>
  <c r="E1361" i="22"/>
  <c r="F1380" i="22" s="1"/>
  <c r="G1380" i="22" s="1"/>
  <c r="G1389" i="22" s="1"/>
  <c r="F1398" i="22" s="1"/>
  <c r="H1364" i="22"/>
  <c r="F1373" i="22"/>
  <c r="G1373" i="22" s="1"/>
  <c r="D1376" i="22"/>
  <c r="G1376" i="22" s="1"/>
  <c r="G1377" i="22"/>
  <c r="D1379" i="22"/>
  <c r="D1388" i="22" s="1"/>
  <c r="E1379" i="22"/>
  <c r="E1388" i="22" s="1"/>
  <c r="F1379" i="22"/>
  <c r="F1388" i="22" s="1"/>
  <c r="B1380" i="22"/>
  <c r="E1380" i="22"/>
  <c r="B1381" i="22"/>
  <c r="E1381" i="22"/>
  <c r="B1382" i="22"/>
  <c r="E1382" i="22"/>
  <c r="B1383" i="22"/>
  <c r="E1383" i="22"/>
  <c r="B1384" i="22"/>
  <c r="E1384" i="22"/>
  <c r="B1385" i="22"/>
  <c r="E1385" i="22"/>
  <c r="B1386" i="22"/>
  <c r="B1399" i="22"/>
  <c r="B1400" i="22"/>
  <c r="B1401" i="22"/>
  <c r="B1402" i="22"/>
  <c r="B1403" i="22"/>
  <c r="B1404" i="22"/>
  <c r="E1404" i="22"/>
  <c r="E1409" i="22"/>
  <c r="F1451" i="22"/>
  <c r="G1451" i="22"/>
  <c r="H1451" i="22"/>
  <c r="I1451" i="22"/>
  <c r="I1452" i="22"/>
  <c r="J1452" i="22"/>
  <c r="F1456" i="22"/>
  <c r="G1456" i="22"/>
  <c r="F1457" i="22"/>
  <c r="G1457" i="22"/>
  <c r="F1461" i="22"/>
  <c r="G1461" i="22"/>
  <c r="F1462" i="22"/>
  <c r="G1462" i="22"/>
  <c r="I1466" i="22"/>
  <c r="F1467" i="22"/>
  <c r="G1467" i="22"/>
  <c r="G1470" i="22"/>
  <c r="H1470" i="22"/>
  <c r="I1470" i="22"/>
  <c r="G1474" i="22"/>
  <c r="D1475" i="22" s="1"/>
  <c r="H1474" i="22"/>
  <c r="E1473" i="22" s="1"/>
  <c r="I1474" i="22"/>
  <c r="B1478" i="22"/>
  <c r="B1479" i="22"/>
  <c r="B1480" i="22"/>
  <c r="D1494" i="22"/>
  <c r="E1494" i="22"/>
  <c r="D1500" i="22"/>
  <c r="E1500" i="22"/>
  <c r="G1500" i="22"/>
  <c r="F1525" i="22"/>
  <c r="F1526" i="22"/>
  <c r="H1526" i="22"/>
  <c r="K1526" i="22" s="1"/>
  <c r="K1525" i="22" s="1"/>
  <c r="F1527" i="22"/>
  <c r="F1528" i="22"/>
  <c r="F1569" i="22"/>
  <c r="G1581" i="22"/>
  <c r="H1581" i="22"/>
  <c r="D1598" i="22"/>
  <c r="E1598" i="22"/>
  <c r="D1599" i="22"/>
  <c r="E1599" i="22"/>
  <c r="D1678" i="22"/>
  <c r="E1678" i="22"/>
  <c r="F1678" i="22"/>
  <c r="G1678" i="22"/>
  <c r="H1678" i="22"/>
  <c r="I1678" i="22"/>
  <c r="J1678" i="22"/>
  <c r="K1678" i="22"/>
  <c r="D1679" i="22"/>
  <c r="E1679" i="22"/>
  <c r="F1679" i="22"/>
  <c r="G1679" i="22"/>
  <c r="H1679" i="22"/>
  <c r="I1679" i="22"/>
  <c r="K1679" i="22"/>
  <c r="D1709" i="22"/>
  <c r="D1769" i="22" s="1"/>
  <c r="D1807" i="22" s="1"/>
  <c r="E1709" i="22"/>
  <c r="E1769" i="22" s="1"/>
  <c r="D1827" i="22" s="1"/>
  <c r="F1709" i="22"/>
  <c r="F1769" i="22" s="1"/>
  <c r="G1709" i="22"/>
  <c r="G1769" i="22" s="1"/>
  <c r="H1709" i="22"/>
  <c r="S1709" i="22" s="1"/>
  <c r="T1746" i="22" s="1"/>
  <c r="I1709" i="22"/>
  <c r="T1709" i="22" s="1"/>
  <c r="AD1709" i="22" s="1"/>
  <c r="J1709" i="22"/>
  <c r="U1709" i="22" s="1"/>
  <c r="K1709" i="22"/>
  <c r="V1709" i="22" s="1"/>
  <c r="W1746" i="22" s="1"/>
  <c r="L1709" i="22"/>
  <c r="X1709" i="22"/>
  <c r="AH1709" i="22" s="1"/>
  <c r="Y1709" i="22"/>
  <c r="AI1709" i="22" s="1"/>
  <c r="Z1709" i="22"/>
  <c r="AA1709" i="22"/>
  <c r="G1710" i="22"/>
  <c r="D1713" i="22"/>
  <c r="E1713" i="22"/>
  <c r="T1713" i="22" s="1"/>
  <c r="F1713" i="22"/>
  <c r="G1713" i="22"/>
  <c r="H1713" i="22"/>
  <c r="H1712" i="22" s="1"/>
  <c r="K1713" i="22"/>
  <c r="L1713" i="22"/>
  <c r="L1712" i="22" s="1"/>
  <c r="I1715" i="22"/>
  <c r="J1715" i="22"/>
  <c r="K1715" i="22"/>
  <c r="L1715" i="22"/>
  <c r="D1716" i="22"/>
  <c r="E1716" i="22"/>
  <c r="F1716" i="22"/>
  <c r="G1716" i="22"/>
  <c r="H1716" i="22"/>
  <c r="I1717" i="22"/>
  <c r="J1717" i="22"/>
  <c r="U1717" i="22" s="1"/>
  <c r="V1749" i="22" s="1"/>
  <c r="K1717" i="22"/>
  <c r="L1717" i="22"/>
  <c r="W1717" i="22" s="1"/>
  <c r="S1717" i="22"/>
  <c r="T1749" i="22" s="1"/>
  <c r="M1718" i="22"/>
  <c r="M1716" i="22" s="1"/>
  <c r="N1718" i="22"/>
  <c r="N1716" i="22" s="1"/>
  <c r="N1711" i="22" s="1"/>
  <c r="O1718" i="22"/>
  <c r="O1716" i="22" s="1"/>
  <c r="O1711" i="22" s="1"/>
  <c r="P1718" i="22"/>
  <c r="P1716" i="22" s="1"/>
  <c r="S1718" i="22"/>
  <c r="S1751" i="22" s="1"/>
  <c r="K1719" i="22"/>
  <c r="L1719" i="22"/>
  <c r="AA1719" i="22" s="1"/>
  <c r="M1719" i="22"/>
  <c r="X1719" i="22" s="1"/>
  <c r="N1719" i="22"/>
  <c r="O1719" i="22"/>
  <c r="O1722" i="22" s="1"/>
  <c r="X1720" i="22"/>
  <c r="Y1720" i="22"/>
  <c r="Z1720" i="22"/>
  <c r="X1721" i="22"/>
  <c r="Y1721" i="22"/>
  <c r="Z1721" i="22"/>
  <c r="I1723" i="22"/>
  <c r="J1723" i="22"/>
  <c r="J1722" i="22" s="1"/>
  <c r="K1723" i="22"/>
  <c r="L1723" i="22"/>
  <c r="I1724" i="22"/>
  <c r="J1724" i="22"/>
  <c r="K1724" i="22"/>
  <c r="L1724" i="22"/>
  <c r="I1725" i="22"/>
  <c r="J1725" i="22"/>
  <c r="K1725" i="22"/>
  <c r="L1725" i="22"/>
  <c r="J1726" i="22"/>
  <c r="K1726" i="22"/>
  <c r="L1726" i="22"/>
  <c r="J1728" i="22"/>
  <c r="N1728" i="22"/>
  <c r="Y1731" i="22"/>
  <c r="B1740" i="22"/>
  <c r="G1740" i="22"/>
  <c r="H1740" i="22"/>
  <c r="D22" i="31" s="1"/>
  <c r="I1740" i="22"/>
  <c r="J1740" i="22"/>
  <c r="K1740" i="22"/>
  <c r="L1740" i="22"/>
  <c r="S1740" i="22"/>
  <c r="T1740" i="22" s="1"/>
  <c r="T1742" i="22" s="1"/>
  <c r="B1742" i="22"/>
  <c r="J1742" i="22"/>
  <c r="K1742" i="22"/>
  <c r="L1742" i="22"/>
  <c r="G1747" i="22"/>
  <c r="H1747" i="22"/>
  <c r="I1747" i="22"/>
  <c r="J1747" i="22"/>
  <c r="K1747" i="22"/>
  <c r="L1747" i="22"/>
  <c r="Q1747" i="22"/>
  <c r="Q1748" i="22"/>
  <c r="Q1749" i="22"/>
  <c r="M1751" i="22"/>
  <c r="P1751" i="22"/>
  <c r="B1752" i="22"/>
  <c r="B1753" i="22"/>
  <c r="B1754" i="22"/>
  <c r="B1755" i="22"/>
  <c r="B1757" i="22"/>
  <c r="B1758" i="22"/>
  <c r="B1759" i="22"/>
  <c r="B1760" i="22"/>
  <c r="B1761" i="22"/>
  <c r="B1762" i="22"/>
  <c r="B1763" i="22"/>
  <c r="B1764" i="22"/>
  <c r="M1769" i="22"/>
  <c r="X1769" i="22" s="1"/>
  <c r="AH1769" i="22" s="1"/>
  <c r="N1769" i="22"/>
  <c r="Y1769" i="22" s="1"/>
  <c r="AI1769" i="22" s="1"/>
  <c r="O1769" i="22"/>
  <c r="Z1769" i="22" s="1"/>
  <c r="P1769" i="22"/>
  <c r="AA1769" i="22" s="1"/>
  <c r="D1770" i="22"/>
  <c r="D1799" i="22" s="1"/>
  <c r="F1770" i="22"/>
  <c r="F1799" i="22" s="1"/>
  <c r="H1770" i="22"/>
  <c r="M1770" i="22"/>
  <c r="I1770" i="22" s="1"/>
  <c r="N1770" i="22"/>
  <c r="J1770" i="22" s="1"/>
  <c r="J1799" i="22" s="1"/>
  <c r="O1770" i="22"/>
  <c r="K1770" i="22" s="1"/>
  <c r="P1770" i="22"/>
  <c r="L1770" i="22" s="1"/>
  <c r="L1772" i="22" s="1"/>
  <c r="S1771" i="22"/>
  <c r="T1771" i="22"/>
  <c r="U1771" i="22"/>
  <c r="V1771" i="22"/>
  <c r="I1774" i="22"/>
  <c r="J1774" i="22"/>
  <c r="K1774" i="22"/>
  <c r="L1774" i="22"/>
  <c r="D1775" i="22"/>
  <c r="E1775" i="22"/>
  <c r="F1775" i="22"/>
  <c r="G1775" i="22"/>
  <c r="H1775" i="22"/>
  <c r="I1776" i="22"/>
  <c r="T1776" i="22" s="1"/>
  <c r="J1776" i="22"/>
  <c r="U1776" i="22" s="1"/>
  <c r="K1776" i="22"/>
  <c r="V1776" i="22" s="1"/>
  <c r="L1776" i="22"/>
  <c r="S1776" i="22"/>
  <c r="M1777" i="22"/>
  <c r="N1777" i="22"/>
  <c r="N1775" i="22" s="1"/>
  <c r="N1772" i="22" s="1"/>
  <c r="O1777" i="22"/>
  <c r="O1775" i="22" s="1"/>
  <c r="O1772" i="22" s="1"/>
  <c r="P1777" i="22"/>
  <c r="P1775" i="22" s="1"/>
  <c r="P1772" i="22" s="1"/>
  <c r="S1777" i="22"/>
  <c r="B1779" i="22"/>
  <c r="I1779" i="22"/>
  <c r="J1779" i="22"/>
  <c r="K1779" i="22"/>
  <c r="L1779" i="22"/>
  <c r="B1780" i="22"/>
  <c r="I1780" i="22"/>
  <c r="J1780" i="22"/>
  <c r="K1780" i="22"/>
  <c r="L1780" i="22"/>
  <c r="B1781" i="22"/>
  <c r="I1781" i="22"/>
  <c r="J1781" i="22"/>
  <c r="K1781" i="22"/>
  <c r="L1781" i="22"/>
  <c r="B1782" i="22"/>
  <c r="D1784" i="22"/>
  <c r="D1791" i="22" s="1"/>
  <c r="E1784" i="22"/>
  <c r="E1791" i="22" s="1"/>
  <c r="F1784" i="22"/>
  <c r="F1791" i="22" s="1"/>
  <c r="G1784" i="22"/>
  <c r="G1791" i="22" s="1"/>
  <c r="D1785" i="22"/>
  <c r="E1785" i="22"/>
  <c r="F1785" i="22"/>
  <c r="G1785" i="22"/>
  <c r="D1786" i="22"/>
  <c r="E1786" i="22"/>
  <c r="F1786" i="22"/>
  <c r="G1786" i="22"/>
  <c r="D1789" i="22"/>
  <c r="E1789" i="22"/>
  <c r="F1789" i="22"/>
  <c r="G1789" i="22"/>
  <c r="D1792" i="22"/>
  <c r="E1792" i="22"/>
  <c r="F1792" i="22"/>
  <c r="G1792" i="22"/>
  <c r="D1793" i="22"/>
  <c r="E1793" i="22"/>
  <c r="F1793" i="22"/>
  <c r="G1793" i="22"/>
  <c r="D1796" i="22"/>
  <c r="E1796" i="22"/>
  <c r="F1796" i="22"/>
  <c r="G1796" i="22"/>
  <c r="B1798" i="22"/>
  <c r="B1799" i="22"/>
  <c r="B1800" i="22"/>
  <c r="B1802" i="22"/>
  <c r="B1803" i="22"/>
  <c r="B1804" i="22"/>
  <c r="B1814" i="22" s="1"/>
  <c r="B1819" i="22" s="1"/>
  <c r="B1805" i="22"/>
  <c r="B1815" i="22" s="1"/>
  <c r="B1820" i="22" s="1"/>
  <c r="B1808" i="22"/>
  <c r="B1809" i="22"/>
  <c r="B1810" i="22"/>
  <c r="D1814" i="22"/>
  <c r="E1814" i="22"/>
  <c r="F1814" i="22"/>
  <c r="G1814" i="22"/>
  <c r="H1814" i="22"/>
  <c r="D1815" i="22"/>
  <c r="E1815" i="22"/>
  <c r="F1815" i="22"/>
  <c r="G1815" i="22"/>
  <c r="H1815" i="22"/>
  <c r="B1817" i="22"/>
  <c r="B1818" i="22"/>
  <c r="J1828" i="22"/>
  <c r="J1829" i="22"/>
  <c r="J1830" i="22"/>
  <c r="J1831" i="22"/>
  <c r="J1833" i="22"/>
  <c r="D1834" i="22"/>
  <c r="H1834" i="22"/>
  <c r="D1836" i="22"/>
  <c r="D1837" i="22"/>
  <c r="J1837" i="22" s="1"/>
  <c r="H1838" i="22"/>
  <c r="B1847" i="22"/>
  <c r="B1852" i="22" s="1"/>
  <c r="D1847" i="22"/>
  <c r="B1848" i="22"/>
  <c r="B1853" i="22" s="1"/>
  <c r="B1849" i="22"/>
  <c r="B1854" i="22" s="1"/>
  <c r="D1934" i="22"/>
  <c r="E1934" i="22"/>
  <c r="F1934" i="22" s="1"/>
  <c r="G1934" i="22" s="1"/>
  <c r="H1934" i="22" s="1"/>
  <c r="I1934" i="22" s="1"/>
  <c r="J1934" i="22" s="1"/>
  <c r="K1934" i="22" s="1"/>
  <c r="D1935" i="22"/>
  <c r="E1935" i="22"/>
  <c r="F1935" i="22" s="1"/>
  <c r="G1935" i="22" s="1"/>
  <c r="H1935" i="22" s="1"/>
  <c r="I1935" i="22" s="1"/>
  <c r="J1935" i="22" s="1"/>
  <c r="K1935" i="22" s="1"/>
  <c r="E1940" i="22"/>
  <c r="F1940" i="22"/>
  <c r="G1940" i="22"/>
  <c r="H1940" i="22"/>
  <c r="I1940" i="22"/>
  <c r="J1940" i="22"/>
  <c r="K1940" i="22"/>
  <c r="B1944" i="22"/>
  <c r="B1945" i="22"/>
  <c r="B1946" i="22"/>
  <c r="B1954" i="22"/>
  <c r="B1955" i="22"/>
  <c r="D1955" i="22"/>
  <c r="B1957" i="22"/>
  <c r="D1957" i="22"/>
  <c r="E1957" i="22"/>
  <c r="F1957" i="22"/>
  <c r="G1957" i="22"/>
  <c r="H1957" i="22"/>
  <c r="I1957" i="22"/>
  <c r="J1957" i="22"/>
  <c r="K1957" i="22"/>
  <c r="B1958" i="22"/>
  <c r="B1959" i="22"/>
  <c r="D1959" i="22"/>
  <c r="E1959" i="22"/>
  <c r="F1959" i="22"/>
  <c r="G1959" i="22"/>
  <c r="H1959" i="22"/>
  <c r="I1959" i="22"/>
  <c r="J1959" i="22"/>
  <c r="K1959" i="22"/>
  <c r="B1960" i="22"/>
  <c r="E1964" i="22"/>
  <c r="F1964" i="22" s="1"/>
  <c r="G1964" i="22" s="1"/>
  <c r="H1964" i="22" s="1"/>
  <c r="I1964" i="22" s="1"/>
  <c r="J1964" i="22" s="1"/>
  <c r="K1964" i="22" s="1"/>
  <c r="D1965" i="22"/>
  <c r="E1965" i="22"/>
  <c r="F1965" i="22"/>
  <c r="G1965" i="22"/>
  <c r="J1965" i="22"/>
  <c r="K1965" i="22"/>
  <c r="D1966" i="22"/>
  <c r="E1966" i="22"/>
  <c r="F1966" i="22"/>
  <c r="G1966" i="22"/>
  <c r="J1966" i="22"/>
  <c r="K1966" i="22"/>
  <c r="D1967" i="22"/>
  <c r="E1967" i="22"/>
  <c r="F1967" i="22"/>
  <c r="G1967" i="22"/>
  <c r="H1967" i="22"/>
  <c r="I1967" i="22"/>
  <c r="J1967" i="22"/>
  <c r="K1967" i="22"/>
  <c r="D1968" i="22"/>
  <c r="E1968" i="22"/>
  <c r="F1968" i="22"/>
  <c r="G1968" i="22"/>
  <c r="I1968" i="22"/>
  <c r="J1968" i="22"/>
  <c r="K1968" i="22"/>
  <c r="D1969" i="22"/>
  <c r="E1969" i="22"/>
  <c r="F1969" i="22"/>
  <c r="G1969" i="22"/>
  <c r="H1969" i="22"/>
  <c r="J1969" i="22"/>
  <c r="K1969" i="22"/>
  <c r="E1994" i="22"/>
  <c r="F1994" i="22" s="1"/>
  <c r="G1994" i="22" s="1"/>
  <c r="D1995" i="22"/>
  <c r="D2007" i="22" s="1"/>
  <c r="E1995" i="22"/>
  <c r="E2007" i="22" s="1"/>
  <c r="F1995" i="22"/>
  <c r="F2007" i="22" s="1"/>
  <c r="D1996" i="22"/>
  <c r="D2008" i="22" s="1"/>
  <c r="E1996" i="22"/>
  <c r="E2008" i="22" s="1"/>
  <c r="F1996" i="22"/>
  <c r="F2008" i="22" s="1"/>
  <c r="B2001" i="22"/>
  <c r="B2007" i="22" s="1"/>
  <c r="B2002" i="22"/>
  <c r="B2008" i="22" s="1"/>
  <c r="B2003" i="22"/>
  <c r="B2009" i="22" s="1"/>
  <c r="B2004" i="22"/>
  <c r="B2010" i="22" s="1"/>
  <c r="D2004" i="22"/>
  <c r="E2004" i="22"/>
  <c r="F2004" i="22"/>
  <c r="G2004" i="22"/>
  <c r="D2015" i="22"/>
  <c r="E2015" i="22"/>
  <c r="F2015" i="22"/>
  <c r="D2016" i="22"/>
  <c r="E2016" i="22"/>
  <c r="F2016" i="22"/>
  <c r="D2017" i="22"/>
  <c r="E2017" i="22"/>
  <c r="F2017" i="22"/>
  <c r="D2018" i="22"/>
  <c r="D2019" i="22"/>
  <c r="D2027" i="22"/>
  <c r="E2027" i="22"/>
  <c r="F2027" i="22"/>
  <c r="G2027" i="22"/>
  <c r="H2027" i="22"/>
  <c r="I2027" i="22"/>
  <c r="J2027" i="22"/>
  <c r="L2027" i="22"/>
  <c r="M2027" i="22"/>
  <c r="N2027" i="22"/>
  <c r="P2027" i="22"/>
  <c r="Q2027" i="22"/>
  <c r="E2031" i="22"/>
  <c r="F2031" i="22" s="1"/>
  <c r="G2031" i="22" s="1"/>
  <c r="D2032" i="22"/>
  <c r="E2032" i="22"/>
  <c r="D2033" i="22"/>
  <c r="D2053" i="22" s="1"/>
  <c r="E2033" i="22"/>
  <c r="E2053" i="22" s="1"/>
  <c r="F2033" i="22"/>
  <c r="F2053" i="22" s="1"/>
  <c r="G2033" i="22"/>
  <c r="G2053" i="22" s="1"/>
  <c r="D2035" i="22"/>
  <c r="D2054" i="22" s="1"/>
  <c r="E2035" i="22"/>
  <c r="E2041" i="22"/>
  <c r="E2051" i="22" s="1"/>
  <c r="B2042" i="22"/>
  <c r="B2052" i="22" s="1"/>
  <c r="B2043" i="22"/>
  <c r="B2053" i="22" s="1"/>
  <c r="B2044" i="22"/>
  <c r="D2044" i="22"/>
  <c r="E2044" i="22"/>
  <c r="F2044" i="22"/>
  <c r="G2044" i="22"/>
  <c r="B2045" i="22"/>
  <c r="B2054" i="22" s="1"/>
  <c r="B2046" i="22"/>
  <c r="D2046" i="22"/>
  <c r="E2046" i="22"/>
  <c r="F2046" i="22"/>
  <c r="G2046" i="22"/>
  <c r="B2047" i="22"/>
  <c r="B2055" i="22" s="1"/>
  <c r="B2048" i="22"/>
  <c r="D2048" i="22"/>
  <c r="E2048" i="22"/>
  <c r="F2048" i="22"/>
  <c r="G2048" i="22"/>
  <c r="B2049" i="22"/>
  <c r="B2056" i="22" s="1"/>
  <c r="D2049" i="22"/>
  <c r="E2049" i="22"/>
  <c r="F2049" i="22"/>
  <c r="G2049" i="22"/>
  <c r="D2051" i="22"/>
  <c r="J2063" i="22"/>
  <c r="K2063" i="22"/>
  <c r="J2064" i="22"/>
  <c r="K2064" i="22"/>
  <c r="H2065" i="22"/>
  <c r="J2065" i="22" s="1"/>
  <c r="F2071" i="22" s="1"/>
  <c r="I2071" i="22" s="1"/>
  <c r="I2065" i="22"/>
  <c r="K2065" i="22" s="1"/>
  <c r="G2071" i="22" s="1"/>
  <c r="H2066" i="22"/>
  <c r="J2066" i="22" s="1"/>
  <c r="F2072" i="22" s="1"/>
  <c r="I2072" i="22" s="1"/>
  <c r="I2066" i="22"/>
  <c r="K2066" i="22" s="1"/>
  <c r="G2072" i="22" s="1"/>
  <c r="H2067" i="22"/>
  <c r="J2067" i="22" s="1"/>
  <c r="F2073" i="22" s="1"/>
  <c r="I2067" i="22"/>
  <c r="K2067" i="22" s="1"/>
  <c r="G2073" i="22" s="1"/>
  <c r="B2071" i="22"/>
  <c r="E2071" i="22"/>
  <c r="B2072" i="22"/>
  <c r="E2072" i="22"/>
  <c r="B2073" i="22"/>
  <c r="E2073" i="22"/>
  <c r="D2085" i="22"/>
  <c r="D2090" i="22" s="1"/>
  <c r="I2094" i="22"/>
  <c r="J2094" i="22"/>
  <c r="I2095" i="22"/>
  <c r="J2095" i="22"/>
  <c r="E2098" i="22"/>
  <c r="F2098" i="22" s="1"/>
  <c r="G2098" i="22" s="1"/>
  <c r="H2098" i="22" s="1"/>
  <c r="I2098" i="22" s="1"/>
  <c r="J2098" i="22" s="1"/>
  <c r="E2100" i="22"/>
  <c r="F2100" i="22"/>
  <c r="G2100" i="22"/>
  <c r="H2100" i="22"/>
  <c r="I2100" i="22"/>
  <c r="J2100" i="22"/>
  <c r="D2104" i="22"/>
  <c r="E2104" i="22"/>
  <c r="F2104" i="22"/>
  <c r="G2104" i="22"/>
  <c r="H2104" i="22"/>
  <c r="I2104" i="22"/>
  <c r="J2104" i="22"/>
  <c r="D2105" i="22"/>
  <c r="E2105" i="22"/>
  <c r="F2105" i="22"/>
  <c r="G2105" i="22"/>
  <c r="H2105" i="22"/>
  <c r="I2105" i="22"/>
  <c r="J2105" i="22"/>
  <c r="E2108" i="22"/>
  <c r="F2108" i="22"/>
  <c r="G2108" i="22"/>
  <c r="H2108" i="22"/>
  <c r="I2108" i="22"/>
  <c r="J2108" i="22"/>
  <c r="F2112" i="22"/>
  <c r="G2112" i="22"/>
  <c r="D2113" i="22"/>
  <c r="E2113" i="22"/>
  <c r="F2113" i="22"/>
  <c r="G2113" i="22"/>
  <c r="H2113" i="22"/>
  <c r="I2113" i="22"/>
  <c r="J2113" i="22"/>
  <c r="D2114" i="22"/>
  <c r="E2114" i="22"/>
  <c r="F2114" i="22"/>
  <c r="G2114" i="22"/>
  <c r="H2114" i="22"/>
  <c r="I2114" i="22"/>
  <c r="J2114" i="22"/>
  <c r="D2115" i="22"/>
  <c r="E2115" i="22"/>
  <c r="F2115" i="22"/>
  <c r="G2115" i="22"/>
  <c r="H2115" i="22"/>
  <c r="I2115" i="22"/>
  <c r="J2115" i="22"/>
  <c r="D2116" i="22"/>
  <c r="E2116" i="22"/>
  <c r="F2116" i="22"/>
  <c r="G2116" i="22"/>
  <c r="H2116" i="22"/>
  <c r="I2116" i="22"/>
  <c r="J2116" i="22"/>
  <c r="D2125" i="22"/>
  <c r="N2139" i="22" s="1"/>
  <c r="F2125" i="22"/>
  <c r="G2125" i="22" s="1"/>
  <c r="E2127" i="22"/>
  <c r="F2127" i="22"/>
  <c r="G2127" i="22"/>
  <c r="H2127" i="22"/>
  <c r="I2127" i="22"/>
  <c r="B2128" i="22"/>
  <c r="E2128" i="22"/>
  <c r="F2128" i="22"/>
  <c r="G2128" i="22"/>
  <c r="H2128" i="22"/>
  <c r="I2128" i="22"/>
  <c r="B2129" i="22"/>
  <c r="E2129" i="22"/>
  <c r="F2129" i="22"/>
  <c r="G2129" i="22"/>
  <c r="H2129" i="22"/>
  <c r="I2129" i="22"/>
  <c r="B2130" i="22"/>
  <c r="E2130" i="22"/>
  <c r="G2130" i="22"/>
  <c r="H2130" i="22"/>
  <c r="I2130" i="22"/>
  <c r="G2131" i="22"/>
  <c r="H2131" i="22"/>
  <c r="I2131" i="22"/>
  <c r="D2138" i="22"/>
  <c r="O2139" i="22"/>
  <c r="D2140" i="22"/>
  <c r="D2142" i="22"/>
  <c r="E2147" i="22"/>
  <c r="D2168" i="22"/>
  <c r="D2173" i="22" s="1"/>
  <c r="E2168" i="22"/>
  <c r="E2173" i="22" s="1"/>
  <c r="F2168" i="22"/>
  <c r="F2173" i="22" s="1"/>
  <c r="G2168" i="22"/>
  <c r="G2173" i="22" s="1"/>
  <c r="H2168" i="22"/>
  <c r="H2173" i="22" s="1"/>
  <c r="I2168" i="22"/>
  <c r="I2173" i="22" s="1"/>
  <c r="J2168" i="22"/>
  <c r="J2173" i="22" s="1"/>
  <c r="K2168" i="22"/>
  <c r="K2173" i="22" s="1"/>
  <c r="L2168" i="22"/>
  <c r="L2173" i="22" s="1"/>
  <c r="M2168" i="22"/>
  <c r="M2173" i="22" s="1"/>
  <c r="N2168" i="22"/>
  <c r="N2173" i="22" s="1"/>
  <c r="O2168" i="22"/>
  <c r="O2173" i="22" s="1"/>
  <c r="P2168" i="22"/>
  <c r="P2173" i="22" s="1"/>
  <c r="Q2168" i="22"/>
  <c r="Q2173" i="22" s="1"/>
  <c r="R2168" i="22"/>
  <c r="R2173" i="22" s="1"/>
  <c r="S2168" i="22"/>
  <c r="S2173" i="22" s="1"/>
  <c r="T2168" i="22"/>
  <c r="T2173" i="22" s="1"/>
  <c r="U2168" i="22"/>
  <c r="U2173" i="22" s="1"/>
  <c r="V2168" i="22"/>
  <c r="V2173" i="22" s="1"/>
  <c r="W2168" i="22"/>
  <c r="W2173" i="22" s="1"/>
  <c r="X2168" i="22"/>
  <c r="X2173" i="22" s="1"/>
  <c r="Y2168" i="22"/>
  <c r="Y2173" i="22" s="1"/>
  <c r="Z2168" i="22"/>
  <c r="Z2173" i="22" s="1"/>
  <c r="AA2168" i="22"/>
  <c r="AA2173" i="22" s="1"/>
  <c r="AB2168" i="22"/>
  <c r="AB2173" i="22" s="1"/>
  <c r="AC2168" i="22"/>
  <c r="AC2173" i="22" s="1"/>
  <c r="AD2168" i="22"/>
  <c r="AD2173" i="22" s="1"/>
  <c r="AE2168" i="22"/>
  <c r="AE2173" i="22" s="1"/>
  <c r="AF2168" i="22"/>
  <c r="AF2173" i="22" s="1"/>
  <c r="AG2168" i="22"/>
  <c r="AG2173" i="22" s="1"/>
  <c r="AH2168" i="22"/>
  <c r="AH2173" i="22" s="1"/>
  <c r="AI2168" i="22"/>
  <c r="AI2173" i="22" s="1"/>
  <c r="AJ2168" i="22"/>
  <c r="AJ2173" i="22" s="1"/>
  <c r="AK2168" i="22"/>
  <c r="AK2173" i="22" s="1"/>
  <c r="AL2168" i="22"/>
  <c r="AL2173" i="22" s="1"/>
  <c r="AM2168" i="22"/>
  <c r="AM2173" i="22" s="1"/>
  <c r="AN2168" i="22"/>
  <c r="AN2173" i="22" s="1"/>
  <c r="AO2168" i="22"/>
  <c r="AO2173" i="22" s="1"/>
  <c r="AP2168" i="22"/>
  <c r="AP2173" i="22" s="1"/>
  <c r="AQ2168" i="22"/>
  <c r="AQ2173" i="22" s="1"/>
  <c r="AR2168" i="22"/>
  <c r="AR2173" i="22" s="1"/>
  <c r="AS2168" i="22"/>
  <c r="AS2173" i="22" s="1"/>
  <c r="AT2168" i="22"/>
  <c r="AT2173" i="22" s="1"/>
  <c r="AU2168" i="22"/>
  <c r="AU2173" i="22" s="1"/>
  <c r="D2169" i="22"/>
  <c r="E2169" i="22"/>
  <c r="F2169" i="22"/>
  <c r="G2169" i="22"/>
  <c r="H2169" i="22"/>
  <c r="I2169" i="22"/>
  <c r="J2169" i="22"/>
  <c r="K2169" i="22"/>
  <c r="L2169" i="22"/>
  <c r="M2169" i="22"/>
  <c r="N2169" i="22"/>
  <c r="O2169" i="22"/>
  <c r="P2169" i="22"/>
  <c r="Q2169" i="22"/>
  <c r="R2169" i="22"/>
  <c r="S2169" i="22"/>
  <c r="T2169" i="22"/>
  <c r="U2169" i="22"/>
  <c r="V2169" i="22"/>
  <c r="W2169" i="22"/>
  <c r="X2169" i="22"/>
  <c r="Y2169" i="22"/>
  <c r="Z2169" i="22"/>
  <c r="AA2169" i="22"/>
  <c r="AB2169" i="22"/>
  <c r="AC2169" i="22"/>
  <c r="AD2169" i="22"/>
  <c r="AE2169" i="22"/>
  <c r="AF2169" i="22"/>
  <c r="AG2169" i="22"/>
  <c r="AH2169" i="22"/>
  <c r="AI2169" i="22"/>
  <c r="AJ2169" i="22"/>
  <c r="AK2169" i="22"/>
  <c r="AL2169" i="22"/>
  <c r="AM2169" i="22"/>
  <c r="AN2169" i="22"/>
  <c r="AO2169" i="22"/>
  <c r="AP2169" i="22"/>
  <c r="AQ2169" i="22"/>
  <c r="AR2169" i="22"/>
  <c r="AS2169" i="22"/>
  <c r="AT2169" i="22"/>
  <c r="AU2169" i="22"/>
  <c r="B2170" i="22"/>
  <c r="D2170" i="22"/>
  <c r="E2170" i="22"/>
  <c r="F2170" i="22"/>
  <c r="G2170" i="22"/>
  <c r="H2170" i="22"/>
  <c r="I2170" i="22"/>
  <c r="J2170" i="22"/>
  <c r="K2170" i="22"/>
  <c r="L2170" i="22"/>
  <c r="M2170" i="22"/>
  <c r="N2170" i="22"/>
  <c r="O2170" i="22"/>
  <c r="P2170" i="22"/>
  <c r="Q2170" i="22"/>
  <c r="R2170" i="22"/>
  <c r="S2170" i="22"/>
  <c r="T2170" i="22"/>
  <c r="U2170" i="22"/>
  <c r="V2170" i="22"/>
  <c r="W2170" i="22"/>
  <c r="X2170" i="22"/>
  <c r="Y2170" i="22"/>
  <c r="Z2170" i="22"/>
  <c r="AA2170" i="22"/>
  <c r="AB2170" i="22"/>
  <c r="AC2170" i="22"/>
  <c r="AD2170" i="22"/>
  <c r="AE2170" i="22"/>
  <c r="AF2170" i="22"/>
  <c r="AG2170" i="22"/>
  <c r="AH2170" i="22"/>
  <c r="AI2170" i="22"/>
  <c r="AJ2170" i="22"/>
  <c r="AK2170" i="22"/>
  <c r="AL2170" i="22"/>
  <c r="AM2170" i="22"/>
  <c r="AN2170" i="22"/>
  <c r="AO2170" i="22"/>
  <c r="AP2170" i="22"/>
  <c r="AQ2170" i="22"/>
  <c r="AR2170" i="22"/>
  <c r="AS2170" i="22"/>
  <c r="AT2170" i="22"/>
  <c r="AU2170" i="22"/>
  <c r="B2171" i="22"/>
  <c r="D2171" i="22"/>
  <c r="E2171" i="22"/>
  <c r="F2171" i="22"/>
  <c r="G2171" i="22"/>
  <c r="H2171" i="22"/>
  <c r="I2171" i="22"/>
  <c r="J2171" i="22"/>
  <c r="K2171" i="22"/>
  <c r="L2171" i="22"/>
  <c r="M2171" i="22"/>
  <c r="N2171" i="22"/>
  <c r="O2171" i="22"/>
  <c r="P2171" i="22"/>
  <c r="Q2171" i="22"/>
  <c r="R2171" i="22"/>
  <c r="S2171" i="22"/>
  <c r="T2171" i="22"/>
  <c r="U2171" i="22"/>
  <c r="V2171" i="22"/>
  <c r="W2171" i="22"/>
  <c r="X2171" i="22"/>
  <c r="Y2171" i="22"/>
  <c r="Z2171" i="22"/>
  <c r="AA2171" i="22"/>
  <c r="AB2171" i="22"/>
  <c r="AC2171" i="22"/>
  <c r="AD2171" i="22"/>
  <c r="AE2171" i="22"/>
  <c r="AF2171" i="22"/>
  <c r="AG2171" i="22"/>
  <c r="AH2171" i="22"/>
  <c r="AI2171" i="22"/>
  <c r="AJ2171" i="22"/>
  <c r="AK2171" i="22"/>
  <c r="AL2171" i="22"/>
  <c r="AM2171" i="22"/>
  <c r="AN2171" i="22"/>
  <c r="AO2171" i="22"/>
  <c r="AP2171" i="22"/>
  <c r="AQ2171" i="22"/>
  <c r="AR2171" i="22"/>
  <c r="AS2171" i="22"/>
  <c r="AT2171" i="22"/>
  <c r="AU2171" i="22"/>
  <c r="B2192" i="22"/>
  <c r="D2192" i="22"/>
  <c r="F2210" i="22"/>
  <c r="E2212" i="22"/>
  <c r="E2216" i="22" s="1"/>
  <c r="E2220" i="22" s="1"/>
  <c r="F2219" i="22"/>
  <c r="G2220" i="22"/>
  <c r="G2223" i="22" s="1"/>
  <c r="G2228" i="22" s="1"/>
  <c r="G2229" i="22" s="1"/>
  <c r="D2221" i="22"/>
  <c r="E2221" i="22"/>
  <c r="F2221" i="22"/>
  <c r="F2222" i="22" s="1"/>
  <c r="D2222" i="22"/>
  <c r="D2225" i="22"/>
  <c r="E2225" i="22"/>
  <c r="B2239" i="22"/>
  <c r="D2239" i="22"/>
  <c r="B2240" i="22"/>
  <c r="D2240" i="22"/>
  <c r="E2241" i="22"/>
  <c r="E2243" i="22"/>
  <c r="E2246" i="22" s="1"/>
  <c r="D2249" i="22"/>
  <c r="D2248" i="22" s="1"/>
  <c r="D2253" i="22"/>
  <c r="D2254" i="22" s="1"/>
  <c r="D2256" i="22" s="1"/>
  <c r="F2270" i="22"/>
  <c r="G2270" i="22" s="1"/>
  <c r="H2273" i="22"/>
  <c r="G2273" i="22" s="1"/>
  <c r="F2273" i="22" s="1"/>
  <c r="F2285" i="22" s="1"/>
  <c r="E2275" i="22"/>
  <c r="F2275" i="22"/>
  <c r="G2275" i="22"/>
  <c r="H2275" i="22"/>
  <c r="J2281" i="22"/>
  <c r="D2282" i="22"/>
  <c r="E2282" i="22"/>
  <c r="J2283" i="22"/>
  <c r="J2284" i="22" s="1"/>
  <c r="I2285" i="22"/>
  <c r="E2289" i="22"/>
  <c r="F2289" i="22"/>
  <c r="G2289" i="22"/>
  <c r="H2289" i="22"/>
  <c r="I2289" i="22"/>
  <c r="J2295" i="22"/>
  <c r="I2296" i="22"/>
  <c r="E2300" i="22"/>
  <c r="F2300" i="22"/>
  <c r="G2300" i="22"/>
  <c r="D2309" i="22"/>
  <c r="E2309" i="22"/>
  <c r="E2329" i="22" s="1"/>
  <c r="E2313" i="22"/>
  <c r="F2313" i="22"/>
  <c r="G2313" i="22"/>
  <c r="H2313" i="22"/>
  <c r="I2313" i="22"/>
  <c r="E2316" i="22"/>
  <c r="F2316" i="22"/>
  <c r="G2316" i="22"/>
  <c r="H2316" i="22"/>
  <c r="I2316" i="22"/>
  <c r="J2316" i="22"/>
  <c r="B2320" i="22"/>
  <c r="B2322" i="22"/>
  <c r="B2324" i="22"/>
  <c r="B2325" i="22"/>
  <c r="B2326" i="22"/>
  <c r="B2327" i="22"/>
  <c r="J2329" i="22"/>
  <c r="I2336" i="22"/>
  <c r="J2336" i="22"/>
  <c r="E2338" i="22"/>
  <c r="I2338" i="22" s="1"/>
  <c r="F2338" i="22"/>
  <c r="J2338" i="22" s="1"/>
  <c r="G2339" i="22"/>
  <c r="H2339" i="22"/>
  <c r="H2337" i="22" s="1"/>
  <c r="D2340" i="22"/>
  <c r="E2340" i="22"/>
  <c r="F2340" i="22"/>
  <c r="D2342" i="22"/>
  <c r="E2342" i="22"/>
  <c r="F2342" i="22"/>
  <c r="G2342" i="22"/>
  <c r="H2342" i="22"/>
  <c r="H2348" i="22" s="1"/>
  <c r="D2344" i="22"/>
  <c r="E2344" i="22"/>
  <c r="I2344" i="22" s="1"/>
  <c r="B2348" i="22"/>
  <c r="B2350" i="22"/>
  <c r="D2360" i="22"/>
  <c r="D2355" i="22" s="1"/>
  <c r="D2362" i="22" s="1"/>
  <c r="B2370" i="22"/>
  <c r="B2371" i="22"/>
  <c r="B2372" i="22"/>
  <c r="B2373" i="22"/>
  <c r="D2396" i="22"/>
  <c r="F2396" i="22" s="1"/>
  <c r="E2397" i="22"/>
  <c r="F2397" i="22" s="1"/>
  <c r="E2400" i="22"/>
  <c r="D2416" i="22"/>
  <c r="D2419" i="22"/>
  <c r="D2420" i="22"/>
  <c r="B2424" i="22"/>
  <c r="F2424" i="22"/>
  <c r="B2425" i="22"/>
  <c r="F2425" i="22"/>
  <c r="B2426" i="22"/>
  <c r="B2427" i="22"/>
  <c r="F2427" i="22"/>
  <c r="B2428" i="22"/>
  <c r="B2429" i="22"/>
  <c r="B2430" i="22"/>
  <c r="B2431" i="22"/>
  <c r="B2432" i="22"/>
  <c r="B2433" i="22"/>
  <c r="B2434" i="22"/>
  <c r="B2435" i="22"/>
  <c r="I2450" i="22"/>
  <c r="I2451" i="22"/>
  <c r="I2452" i="22"/>
  <c r="D2453" i="22"/>
  <c r="E2453" i="22"/>
  <c r="F2453" i="22"/>
  <c r="G2453" i="22"/>
  <c r="H2453" i="22"/>
  <c r="I2456" i="22"/>
  <c r="I2457" i="22"/>
  <c r="D2458" i="22"/>
  <c r="E2458" i="22"/>
  <c r="F2458" i="22"/>
  <c r="G2458" i="22"/>
  <c r="H2458" i="22"/>
  <c r="I2462" i="22"/>
  <c r="I2466" i="22"/>
  <c r="D2471" i="22"/>
  <c r="D2487" i="22" s="1"/>
  <c r="E2471" i="22"/>
  <c r="E2487" i="22" s="1"/>
  <c r="F2471" i="22"/>
  <c r="F2487" i="22" s="1"/>
  <c r="G2471" i="22"/>
  <c r="G2487" i="22" s="1"/>
  <c r="H2471" i="22"/>
  <c r="H2487" i="22" s="1"/>
  <c r="I2471" i="22"/>
  <c r="I2487" i="22" s="1"/>
  <c r="B2472" i="22"/>
  <c r="B2474" i="22"/>
  <c r="D2475" i="22"/>
  <c r="D2477" i="22" s="1"/>
  <c r="E2475" i="22"/>
  <c r="E2477" i="22" s="1"/>
  <c r="F2475" i="22"/>
  <c r="F2477" i="22" s="1"/>
  <c r="G2475" i="22"/>
  <c r="G2477" i="22" s="1"/>
  <c r="H2475" i="22"/>
  <c r="A2482" i="22"/>
  <c r="D2482" i="22" s="1"/>
  <c r="D2484" i="22" s="1"/>
  <c r="B2482" i="22"/>
  <c r="B2483" i="22"/>
  <c r="L2484" i="22"/>
  <c r="H2497" i="22"/>
  <c r="H2500" i="22" s="1"/>
  <c r="D2498" i="22"/>
  <c r="D2496" i="22" s="1"/>
  <c r="D2494" i="22" s="1"/>
  <c r="S2508" i="22"/>
  <c r="E2512" i="22"/>
  <c r="F2512" i="22" s="1"/>
  <c r="G2512" i="22" s="1"/>
  <c r="D2513" i="22"/>
  <c r="D2514" i="22" s="1"/>
  <c r="E2513" i="22"/>
  <c r="F2513" i="22"/>
  <c r="G2513" i="22"/>
  <c r="D2517" i="22"/>
  <c r="D2518" i="22"/>
  <c r="M2518" i="22"/>
  <c r="N2518" i="22"/>
  <c r="T2518" i="22"/>
  <c r="U2518" i="22"/>
  <c r="N2519" i="22"/>
  <c r="T2519" i="22"/>
  <c r="U2519" i="22"/>
  <c r="D2520" i="22"/>
  <c r="D2521" i="22"/>
  <c r="S2522" i="22"/>
  <c r="S2523" i="22"/>
  <c r="M2527" i="22"/>
  <c r="M2528" i="22" s="1"/>
  <c r="L2539" i="22"/>
  <c r="L2542" i="22" s="1"/>
  <c r="M2539" i="22"/>
  <c r="M2540" i="22"/>
  <c r="M2541" i="22"/>
  <c r="N2541" i="22" s="1"/>
  <c r="L2546" i="22"/>
  <c r="M2546" i="22"/>
  <c r="N2546" i="22"/>
  <c r="M2547" i="22"/>
  <c r="N2547" i="22" s="1"/>
  <c r="D2555" i="22"/>
  <c r="D2557" i="22" s="1"/>
  <c r="D2568" i="22"/>
  <c r="D2562" i="22" s="1"/>
  <c r="E2573" i="22"/>
  <c r="D2580" i="22"/>
  <c r="B2581" i="22"/>
  <c r="B2582" i="22"/>
  <c r="B2583" i="22"/>
  <c r="D2583" i="22"/>
  <c r="E2583" i="22"/>
  <c r="F2583" i="22"/>
  <c r="G2583" i="22"/>
  <c r="H2583" i="22"/>
  <c r="I2583" i="22"/>
  <c r="B2584" i="22"/>
  <c r="B2585" i="22"/>
  <c r="D2585" i="22"/>
  <c r="E2585" i="22"/>
  <c r="F2585" i="22"/>
  <c r="G2585" i="22"/>
  <c r="H2585" i="22"/>
  <c r="I2585" i="22"/>
  <c r="E2587" i="22"/>
  <c r="F2587" i="22" s="1"/>
  <c r="D2592" i="22"/>
  <c r="B2593" i="22"/>
  <c r="B2594" i="22"/>
  <c r="B2595" i="22"/>
  <c r="D2595" i="22"/>
  <c r="B2596" i="22"/>
  <c r="B2597" i="22"/>
  <c r="D2597" i="22"/>
  <c r="G2601" i="22"/>
  <c r="E2624" i="22"/>
  <c r="E2631" i="22" s="1"/>
  <c r="K2625" i="22"/>
  <c r="G2627" i="22"/>
  <c r="H2627" i="22" s="1"/>
  <c r="I2627" i="22" s="1"/>
  <c r="J2627" i="22" s="1"/>
  <c r="K2627" i="22" s="1"/>
  <c r="D2631" i="22"/>
  <c r="B2632" i="22"/>
  <c r="B2633" i="22"/>
  <c r="B2634" i="22"/>
  <c r="B2635" i="22"/>
  <c r="E2641" i="22"/>
  <c r="E2642" i="22"/>
  <c r="D2643" i="22"/>
  <c r="D2644" i="22" s="1"/>
  <c r="D2645" i="22" s="1"/>
  <c r="D2648" i="22"/>
  <c r="E2648" i="22"/>
  <c r="F2648" i="22"/>
  <c r="G2648" i="22"/>
  <c r="H2648" i="22"/>
  <c r="I2648" i="22"/>
  <c r="J2648" i="22"/>
  <c r="K2648" i="22"/>
  <c r="L2648" i="22"/>
  <c r="M2648" i="22"/>
  <c r="N2648" i="22"/>
  <c r="O2648" i="22"/>
  <c r="P2648" i="22"/>
  <c r="Q2648" i="22"/>
  <c r="R2648" i="22"/>
  <c r="B2649" i="22"/>
  <c r="D2649" i="22"/>
  <c r="E2649" i="22"/>
  <c r="F2649" i="22"/>
  <c r="G2649" i="22"/>
  <c r="H2649" i="22"/>
  <c r="I2649" i="22"/>
  <c r="J2649" i="22"/>
  <c r="N2649" i="22"/>
  <c r="D2652" i="22"/>
  <c r="E2652" i="22"/>
  <c r="F2652" i="22"/>
  <c r="F2657" i="22" s="1"/>
  <c r="G2652" i="22"/>
  <c r="G2657" i="22" s="1"/>
  <c r="H2652" i="22"/>
  <c r="H2657" i="22" s="1"/>
  <c r="I2652" i="22"/>
  <c r="I2657" i="22" s="1"/>
  <c r="J2652" i="22"/>
  <c r="J2657" i="22" s="1"/>
  <c r="K2652" i="22"/>
  <c r="L2652" i="22"/>
  <c r="L2657" i="22" s="1"/>
  <c r="M2657" i="22" s="1"/>
  <c r="M2652" i="22"/>
  <c r="N2652" i="22"/>
  <c r="O2652" i="22"/>
  <c r="P2652" i="22"/>
  <c r="Q2652" i="22"/>
  <c r="R2652" i="22"/>
  <c r="O2655" i="22"/>
  <c r="F2693" i="22" s="1"/>
  <c r="P2655" i="22"/>
  <c r="Q2655" i="22"/>
  <c r="R2655" i="22"/>
  <c r="B2661" i="22"/>
  <c r="D2661" i="22"/>
  <c r="E2661" i="22"/>
  <c r="F2661" i="22"/>
  <c r="G2661" i="22"/>
  <c r="H2661" i="22"/>
  <c r="I2661" i="22"/>
  <c r="J2661" i="22"/>
  <c r="N2661" i="22"/>
  <c r="D2664" i="22"/>
  <c r="E2664" i="22"/>
  <c r="G2664" i="22"/>
  <c r="H2664" i="22"/>
  <c r="I2664" i="22"/>
  <c r="J2664" i="22"/>
  <c r="K2664" i="22"/>
  <c r="L2664" i="22"/>
  <c r="M2664" i="22"/>
  <c r="N2664" i="22"/>
  <c r="O2664" i="22"/>
  <c r="P2664" i="22"/>
  <c r="Q2664" i="22"/>
  <c r="B2667" i="22"/>
  <c r="D2667" i="22"/>
  <c r="E2667" i="22"/>
  <c r="F2667" i="22"/>
  <c r="G2667" i="22"/>
  <c r="H2667" i="22"/>
  <c r="I2667" i="22"/>
  <c r="J2667" i="22"/>
  <c r="N2667" i="22"/>
  <c r="E2686" i="22"/>
  <c r="F2686" i="22" s="1"/>
  <c r="F2687" i="22"/>
  <c r="G2687" i="22"/>
  <c r="E2689" i="22"/>
  <c r="E2691" i="22" s="1"/>
  <c r="F2689" i="22"/>
  <c r="G2689" i="22"/>
  <c r="G2691" i="22" s="1"/>
  <c r="D2693" i="22"/>
  <c r="E2693" i="22"/>
  <c r="G2695" i="22"/>
  <c r="D2698" i="22"/>
  <c r="E2698" i="22"/>
  <c r="E2701" i="22"/>
  <c r="F2701" i="22"/>
  <c r="G2701" i="22"/>
  <c r="H2713" i="22"/>
  <c r="D2721" i="22" s="1"/>
  <c r="E2727" i="22"/>
  <c r="F2727" i="22" s="1"/>
  <c r="G2727" i="22" s="1"/>
  <c r="H2727" i="22" s="1"/>
  <c r="I2727" i="22" s="1"/>
  <c r="D2737" i="22"/>
  <c r="F2737" i="22"/>
  <c r="G2737" i="22"/>
  <c r="H2737" i="22"/>
  <c r="I2737" i="22"/>
  <c r="B2740" i="22"/>
  <c r="B2741" i="22"/>
  <c r="B2742" i="22"/>
  <c r="E2745" i="22"/>
  <c r="F2745" i="22" s="1"/>
  <c r="G2745" i="22" s="1"/>
  <c r="H2745" i="22" s="1"/>
  <c r="I2745" i="22" s="1"/>
  <c r="D2755" i="22"/>
  <c r="E2755" i="22"/>
  <c r="F2755" i="22"/>
  <c r="G2755" i="22"/>
  <c r="H2755" i="22"/>
  <c r="I2755" i="22"/>
  <c r="D2757" i="22"/>
  <c r="E2757" i="22"/>
  <c r="F2757" i="22"/>
  <c r="G2757" i="22"/>
  <c r="H2757" i="22"/>
  <c r="I2757" i="22"/>
  <c r="B2760" i="22"/>
  <c r="B2761" i="22"/>
  <c r="B2762" i="22"/>
  <c r="D2772" i="22"/>
  <c r="D2775" i="22"/>
  <c r="G2779" i="22"/>
  <c r="G2780" i="22"/>
  <c r="D2787" i="22"/>
  <c r="E2787" i="22"/>
  <c r="D2788" i="22"/>
  <c r="B2796" i="22"/>
  <c r="B2799" i="22"/>
  <c r="B2800" i="22"/>
  <c r="B2801" i="22"/>
  <c r="D2819" i="22"/>
  <c r="D2820" i="22"/>
  <c r="D2821" i="22"/>
  <c r="D2822" i="22"/>
  <c r="D2823" i="22"/>
  <c r="D2824" i="22"/>
  <c r="Q2827" i="22"/>
  <c r="E2827" i="22" s="1"/>
  <c r="E2828" i="22" s="1"/>
  <c r="E2832" i="22" s="1"/>
  <c r="E2835" i="22" s="1"/>
  <c r="F2830" i="22"/>
  <c r="F2831" i="22"/>
  <c r="H2831" i="22" s="1"/>
  <c r="F2834" i="22"/>
  <c r="H2834" i="22" s="1"/>
  <c r="K2835" i="22"/>
  <c r="D2841" i="22"/>
  <c r="E2841" i="22"/>
  <c r="D2843" i="22"/>
  <c r="F2843" i="22"/>
  <c r="E2869" i="22"/>
  <c r="F2869" i="22" s="1"/>
  <c r="E2875" i="22"/>
  <c r="F2875" i="22" s="1"/>
  <c r="D2879" i="22"/>
  <c r="E2879" i="22"/>
  <c r="F2879" i="22"/>
  <c r="E2881" i="22"/>
  <c r="F2881" i="22" s="1"/>
  <c r="B2882" i="22"/>
  <c r="B2883" i="22"/>
  <c r="B2884" i="22"/>
  <c r="B2885" i="22"/>
  <c r="H2891" i="22"/>
  <c r="H2892" i="22"/>
  <c r="G2893" i="22"/>
  <c r="D2895" i="22"/>
  <c r="E2895" i="22" s="1"/>
  <c r="H2895" i="22"/>
  <c r="G2896" i="22"/>
  <c r="F2900" i="22"/>
  <c r="F2908" i="22"/>
  <c r="E2916" i="22"/>
  <c r="F2916" i="22" s="1"/>
  <c r="G2916" i="22" s="1"/>
  <c r="J2918" i="22"/>
  <c r="J2921" i="22"/>
  <c r="J2922" i="22"/>
  <c r="D2926" i="22"/>
  <c r="E2926" i="22"/>
  <c r="F2926" i="22"/>
  <c r="G2926" i="22"/>
  <c r="P2928" i="22"/>
  <c r="Q2928" i="22"/>
  <c r="R2928" i="22"/>
  <c r="S2928" i="22"/>
  <c r="K2936" i="22"/>
  <c r="L2936" i="22"/>
  <c r="M2936" i="22"/>
  <c r="J2938" i="22"/>
  <c r="J2939" i="22"/>
  <c r="J2940" i="22"/>
  <c r="J2941" i="22"/>
  <c r="D2947" i="22"/>
  <c r="E2947" i="22"/>
  <c r="B2952" i="22"/>
  <c r="B2957" i="22" s="1"/>
  <c r="B2953" i="22"/>
  <c r="B2958" i="22" s="1"/>
  <c r="L2953" i="22"/>
  <c r="M2953" i="22"/>
  <c r="M2954" i="22" s="1"/>
  <c r="D2953" i="22" s="1"/>
  <c r="D2954" i="22" s="1"/>
  <c r="N2953" i="22"/>
  <c r="N2954" i="22" s="1"/>
  <c r="E2953" i="22" s="1"/>
  <c r="E2954" i="22" s="1"/>
  <c r="B2954" i="22"/>
  <c r="B2959" i="22" s="1"/>
  <c r="N2959" i="22"/>
  <c r="O2959" i="22" s="1"/>
  <c r="P2959" i="22" s="1"/>
  <c r="R2959" i="22" s="1"/>
  <c r="D2958" i="22" s="1"/>
  <c r="U2959" i="22"/>
  <c r="D2957" i="22" s="1"/>
  <c r="N2960" i="22"/>
  <c r="O2960" i="22" s="1"/>
  <c r="P2960" i="22" s="1"/>
  <c r="R2960" i="22" s="1"/>
  <c r="E2958" i="22" s="1"/>
  <c r="U2960" i="22"/>
  <c r="E2957" i="22" s="1"/>
  <c r="E2965" i="22"/>
  <c r="E2975" i="22" s="1"/>
  <c r="D2975" i="22"/>
  <c r="B2976" i="22"/>
  <c r="B2977" i="22"/>
  <c r="B2978" i="22"/>
  <c r="B2983" i="22"/>
  <c r="B2984" i="22"/>
  <c r="B2985" i="22"/>
  <c r="B2986" i="22"/>
  <c r="D2986" i="22"/>
  <c r="E2986" i="22"/>
  <c r="F2986" i="22"/>
  <c r="G2986" i="22"/>
  <c r="H2986" i="22"/>
  <c r="I2986" i="22"/>
  <c r="J2986" i="22"/>
  <c r="B2987" i="22"/>
  <c r="B2988" i="22"/>
  <c r="B2989" i="22"/>
  <c r="B2991" i="22"/>
  <c r="B2992" i="22"/>
  <c r="D2992" i="22"/>
  <c r="E2992" i="22"/>
  <c r="F2992" i="22"/>
  <c r="G2992" i="22"/>
  <c r="H2992" i="22"/>
  <c r="I2992" i="22"/>
  <c r="J2992" i="22"/>
  <c r="B2993" i="22"/>
  <c r="B2994" i="22"/>
  <c r="D2994" i="22"/>
  <c r="E2994" i="22"/>
  <c r="F2994" i="22"/>
  <c r="G2994" i="22"/>
  <c r="H2994" i="22"/>
  <c r="I2994" i="22"/>
  <c r="B2995" i="22"/>
  <c r="E2995" i="22"/>
  <c r="F2995" i="22"/>
  <c r="G2995" i="22"/>
  <c r="H2995" i="22"/>
  <c r="I2995" i="22"/>
  <c r="J2995" i="22"/>
  <c r="B2996" i="22"/>
  <c r="B2999" i="22"/>
  <c r="B3000" i="22"/>
  <c r="B3005" i="22"/>
  <c r="D3005" i="22"/>
  <c r="B3006" i="22"/>
  <c r="D3016" i="22"/>
  <c r="E3016" i="22"/>
  <c r="F3016" i="22"/>
  <c r="G3016" i="22"/>
  <c r="E3017" i="22"/>
  <c r="F3017" i="22"/>
  <c r="G3017" i="22"/>
  <c r="O3027" i="22"/>
  <c r="P3027" i="22"/>
  <c r="M3037" i="22"/>
  <c r="M3038" i="22"/>
  <c r="E3040" i="22"/>
  <c r="D3041" i="22"/>
  <c r="E3041" i="22"/>
  <c r="F3041" i="22"/>
  <c r="D3042" i="22"/>
  <c r="E3042" i="22"/>
  <c r="F3042" i="22"/>
  <c r="D3043" i="22"/>
  <c r="G3043" i="22"/>
  <c r="H3043" i="22"/>
  <c r="D3044" i="22"/>
  <c r="E3044" i="22"/>
  <c r="F3044" i="22"/>
  <c r="G3044" i="22"/>
  <c r="H3044" i="22"/>
  <c r="D3045" i="22"/>
  <c r="E3045" i="22"/>
  <c r="F3045" i="22"/>
  <c r="D3046" i="22"/>
  <c r="E3046" i="22"/>
  <c r="F3046" i="22"/>
  <c r="D3047" i="22"/>
  <c r="G3047" i="22"/>
  <c r="H3047" i="22"/>
  <c r="D3048" i="22"/>
  <c r="E3048" i="22"/>
  <c r="F3048" i="22"/>
  <c r="G3048" i="22"/>
  <c r="H3048" i="22"/>
  <c r="D3049" i="22"/>
  <c r="E3049" i="22"/>
  <c r="F3049" i="22"/>
  <c r="D3051" i="22"/>
  <c r="E3051" i="22"/>
  <c r="G3051" i="22"/>
  <c r="H3051" i="22"/>
  <c r="D3052" i="22"/>
  <c r="E3052" i="22"/>
  <c r="G3052" i="22"/>
  <c r="H3052" i="22"/>
  <c r="D3055" i="22"/>
  <c r="G3055" i="22"/>
  <c r="H3055" i="22"/>
  <c r="D3056" i="22"/>
  <c r="E3057" i="22"/>
  <c r="F3057" i="22"/>
  <c r="G3057" i="22"/>
  <c r="H3057" i="22"/>
  <c r="D3062" i="22"/>
  <c r="E3062" i="22"/>
  <c r="F3062" i="22"/>
  <c r="D3063" i="22"/>
  <c r="E3063" i="22"/>
  <c r="F3063" i="22"/>
  <c r="G3063" i="22"/>
  <c r="H3063" i="22"/>
  <c r="D3066" i="22"/>
  <c r="E3069" i="22"/>
  <c r="D3070" i="22"/>
  <c r="E3070" i="22"/>
  <c r="D3076" i="22"/>
  <c r="E3076" i="22"/>
  <c r="E3077" i="22" s="1"/>
  <c r="E3081" i="22" s="1"/>
  <c r="H3076" i="22"/>
  <c r="I3076" i="22"/>
  <c r="I3080" i="22" s="1"/>
  <c r="T3076" i="22"/>
  <c r="T3077" i="22" s="1"/>
  <c r="T3081" i="22" s="1"/>
  <c r="U3076" i="22"/>
  <c r="U3077" i="22" s="1"/>
  <c r="U3081" i="22" s="1"/>
  <c r="X3076" i="22"/>
  <c r="X3080" i="22" s="1"/>
  <c r="Y3076" i="22"/>
  <c r="Y3077" i="22" s="1"/>
  <c r="Y3081" i="22" s="1"/>
  <c r="F3078" i="22"/>
  <c r="J3078" i="22"/>
  <c r="J3082" i="22" s="1"/>
  <c r="V3078" i="22"/>
  <c r="V3082" i="22" s="1"/>
  <c r="Z3078" i="22"/>
  <c r="B3080" i="22"/>
  <c r="B3081" i="22"/>
  <c r="B3082" i="22"/>
  <c r="D3082" i="22"/>
  <c r="E3082" i="22"/>
  <c r="H3082" i="22"/>
  <c r="I3082" i="22"/>
  <c r="T3082" i="22"/>
  <c r="U3082" i="22"/>
  <c r="X3082" i="22"/>
  <c r="Y3082" i="22"/>
  <c r="K3085" i="22"/>
  <c r="K3086" i="22" s="1"/>
  <c r="L3085" i="22"/>
  <c r="L3086" i="22" s="1"/>
  <c r="M3085" i="22"/>
  <c r="M3086" i="22" s="1"/>
  <c r="N3085" i="22"/>
  <c r="N3086" i="22" s="1"/>
  <c r="O3085" i="22"/>
  <c r="O3086" i="22" s="1"/>
  <c r="G3086" i="22"/>
  <c r="H3086" i="22"/>
  <c r="J3086" i="22"/>
  <c r="Z3091" i="22"/>
  <c r="X3092" i="22"/>
  <c r="Y3092" i="22"/>
  <c r="Z3093" i="22"/>
  <c r="D3096" i="22"/>
  <c r="E3096" i="22"/>
  <c r="F3096" i="22"/>
  <c r="B3097" i="22"/>
  <c r="B3098" i="22"/>
  <c r="B3099" i="22"/>
  <c r="D3099" i="22"/>
  <c r="E3099" i="22"/>
  <c r="D3113" i="22"/>
  <c r="G3113" i="22"/>
  <c r="D3116" i="22"/>
  <c r="G3116" i="22"/>
  <c r="D3118" i="22"/>
  <c r="E3118" i="22"/>
  <c r="G3118" i="22"/>
  <c r="E3122" i="22"/>
  <c r="F3122" i="22" s="1"/>
  <c r="G3122" i="22" s="1"/>
  <c r="H3122" i="22" s="1"/>
  <c r="I3122" i="22" s="1"/>
  <c r="G3127" i="22"/>
  <c r="G3130" i="22"/>
  <c r="G3131" i="22"/>
  <c r="E3133" i="22"/>
  <c r="F3133" i="22"/>
  <c r="G3133" i="22"/>
  <c r="G3134" i="22"/>
  <c r="G3135" i="22"/>
  <c r="M3141" i="22"/>
  <c r="J3141" i="22" s="1"/>
  <c r="N3141" i="22"/>
  <c r="K3141" i="22" s="1"/>
  <c r="M3143" i="22"/>
  <c r="N3143" i="22"/>
  <c r="G3144" i="22"/>
  <c r="H3144" i="22"/>
  <c r="M3145" i="22"/>
  <c r="N3145" i="22"/>
  <c r="G3146" i="22"/>
  <c r="H3146" i="22"/>
  <c r="D3148" i="22"/>
  <c r="E3148" i="22"/>
  <c r="F3148" i="22"/>
  <c r="G3148" i="22"/>
  <c r="H3148" i="22"/>
  <c r="I3148" i="22"/>
  <c r="F3153" i="22"/>
  <c r="F3185" i="22" s="1"/>
  <c r="F3155" i="22"/>
  <c r="E3156" i="22"/>
  <c r="F3157" i="22"/>
  <c r="F3167" i="22" s="1"/>
  <c r="F3193" i="22" s="1"/>
  <c r="F3207" i="22" s="1"/>
  <c r="D3158" i="22"/>
  <c r="E3158" i="22"/>
  <c r="D3160" i="22"/>
  <c r="E3160" i="22"/>
  <c r="D3161" i="22"/>
  <c r="E3161" i="22"/>
  <c r="D3163" i="22"/>
  <c r="D3168" i="22" s="1"/>
  <c r="E3163" i="22"/>
  <c r="E3168" i="22" s="1"/>
  <c r="D3166" i="22"/>
  <c r="E3166" i="22"/>
  <c r="D3167" i="22"/>
  <c r="E3167" i="22"/>
  <c r="F3168" i="22"/>
  <c r="F3188" i="22" s="1"/>
  <c r="F3202" i="22" s="1"/>
  <c r="F3170" i="22"/>
  <c r="F3176" i="22" s="1"/>
  <c r="B3202" i="22"/>
  <c r="B3203" i="22"/>
  <c r="B3207" i="22"/>
  <c r="E3215" i="22"/>
  <c r="F3215" i="22" s="1"/>
  <c r="F3230" i="22" s="1"/>
  <c r="E3222" i="22"/>
  <c r="F3222" i="22" s="1"/>
  <c r="B3223" i="22"/>
  <c r="B3231" i="22" s="1"/>
  <c r="B3224" i="22"/>
  <c r="B3232" i="22" s="1"/>
  <c r="B3225" i="22"/>
  <c r="D3225" i="22"/>
  <c r="E3225" i="22"/>
  <c r="F3225" i="22"/>
  <c r="B3226" i="22"/>
  <c r="B3227" i="22"/>
  <c r="D3227" i="22"/>
  <c r="E3227" i="22"/>
  <c r="F3227" i="22"/>
  <c r="D3230" i="22"/>
  <c r="P3231" i="22"/>
  <c r="D3239" i="22"/>
  <c r="E3239" i="22"/>
  <c r="F3239" i="22"/>
  <c r="F3245" i="22"/>
  <c r="G3245" i="22" s="1"/>
  <c r="F3246" i="22"/>
  <c r="H3252" i="22"/>
  <c r="I3252" i="22"/>
  <c r="J3252" i="22"/>
  <c r="K3252" i="22"/>
  <c r="L3252" i="22"/>
  <c r="M3252" i="22"/>
  <c r="E3272" i="22"/>
  <c r="F3272" i="22" s="1"/>
  <c r="G3272" i="22" s="1"/>
  <c r="H3272" i="22" s="1"/>
  <c r="E3279" i="22"/>
  <c r="F3279" i="22" s="1"/>
  <c r="G3279" i="22" s="1"/>
  <c r="H3279" i="22" s="1"/>
  <c r="B3280" i="22"/>
  <c r="B3287" i="22" s="1"/>
  <c r="B3281" i="22"/>
  <c r="B3288" i="22" s="1"/>
  <c r="B3282" i="22"/>
  <c r="D3282" i="22"/>
  <c r="E3282" i="22"/>
  <c r="F3282" i="22"/>
  <c r="G3282" i="22"/>
  <c r="H3282" i="22"/>
  <c r="B3284" i="22"/>
  <c r="B3285" i="22"/>
  <c r="D3285" i="22"/>
  <c r="E3285" i="22"/>
  <c r="F3285" i="22"/>
  <c r="G3285" i="22"/>
  <c r="H3285" i="22"/>
  <c r="E3292" i="22"/>
  <c r="E3299" i="22"/>
  <c r="E3313" i="22"/>
  <c r="F3313" i="22" s="1"/>
  <c r="D3323" i="22"/>
  <c r="D3326" i="22"/>
  <c r="E3326" i="22"/>
  <c r="E3327" i="22" s="1"/>
  <c r="D3331" i="22"/>
  <c r="E3333" i="22"/>
  <c r="B3336" i="22"/>
  <c r="E3337" i="22"/>
  <c r="B3338" i="22"/>
  <c r="D3340" i="22"/>
  <c r="D3337" i="22" s="1"/>
  <c r="E3344" i="22"/>
  <c r="F3344" i="22" s="1"/>
  <c r="D3367" i="22"/>
  <c r="D3368" i="22"/>
  <c r="E3369" i="22"/>
  <c r="D3370" i="22"/>
  <c r="D3373" i="22" s="1"/>
  <c r="D3376" i="22" s="1"/>
  <c r="E3373" i="22"/>
  <c r="E3376" i="22" s="1"/>
  <c r="F3380" i="22"/>
  <c r="F3381" i="22"/>
  <c r="F3382" i="22"/>
  <c r="F3383" i="22"/>
  <c r="F3384" i="22"/>
  <c r="E3388" i="22"/>
  <c r="E3387" i="22" s="1"/>
  <c r="D3391" i="22"/>
  <c r="E3391" i="22"/>
  <c r="D3404" i="22"/>
  <c r="D3407" i="22"/>
  <c r="D3409" i="22" s="1"/>
  <c r="E3407" i="22"/>
  <c r="F3407" i="22"/>
  <c r="E3408" i="22"/>
  <c r="F3408" i="22"/>
  <c r="E3411" i="22"/>
  <c r="F3411" i="22" s="1"/>
  <c r="G3411" i="22" s="1"/>
  <c r="E3421" i="22"/>
  <c r="F3421" i="22" s="1"/>
  <c r="D3425" i="22"/>
  <c r="E3425" i="22"/>
  <c r="F3425" i="22"/>
  <c r="G3425" i="22"/>
  <c r="D3428" i="22"/>
  <c r="E3428" i="22"/>
  <c r="F3428" i="22"/>
  <c r="G3428" i="22"/>
  <c r="D3429" i="22"/>
  <c r="E3429" i="22"/>
  <c r="F3429" i="22"/>
  <c r="G3429" i="22"/>
  <c r="D3431" i="22"/>
  <c r="B3432" i="22"/>
  <c r="B3433" i="22"/>
  <c r="B3434" i="22"/>
  <c r="B3435" i="22"/>
  <c r="B3436" i="22"/>
  <c r="D3443" i="22"/>
  <c r="D3448" i="22"/>
  <c r="E3448" i="22"/>
  <c r="D3453" i="22"/>
  <c r="E3453" i="22"/>
  <c r="E3459" i="22"/>
  <c r="E3460" i="22"/>
  <c r="D3461" i="22"/>
  <c r="E3463" i="22"/>
  <c r="F3463" i="22" s="1"/>
  <c r="G3463" i="22" s="1"/>
  <c r="E3470" i="22"/>
  <c r="E3471" i="22"/>
  <c r="E3476" i="22"/>
  <c r="F3476" i="22" s="1"/>
  <c r="G3476" i="22" s="1"/>
  <c r="D3488" i="22"/>
  <c r="E3488" i="22"/>
  <c r="F3488" i="22"/>
  <c r="G3488" i="22"/>
  <c r="B3491" i="22"/>
  <c r="D3491" i="22"/>
  <c r="E3491" i="22"/>
  <c r="F3491" i="22"/>
  <c r="G3491" i="22"/>
  <c r="B3492" i="22"/>
  <c r="D3492" i="22"/>
  <c r="E3492" i="22"/>
  <c r="F3492" i="22"/>
  <c r="G3492" i="22"/>
  <c r="B3493" i="22"/>
  <c r="D3493" i="22"/>
  <c r="E3493" i="22"/>
  <c r="F3493" i="22"/>
  <c r="G3493" i="22"/>
  <c r="B3494" i="22"/>
  <c r="D3494" i="22"/>
  <c r="E3494" i="22"/>
  <c r="F3494" i="22"/>
  <c r="G3494" i="22"/>
  <c r="B3495" i="22"/>
  <c r="E3505" i="22"/>
  <c r="F3505" i="22" s="1"/>
  <c r="G3505" i="22" s="1"/>
  <c r="E3511" i="22"/>
  <c r="F3511" i="22" s="1"/>
  <c r="G3511" i="22" s="1"/>
  <c r="D3515" i="22"/>
  <c r="E3515" i="22"/>
  <c r="F3515" i="22"/>
  <c r="G3515" i="22"/>
  <c r="E3517" i="22"/>
  <c r="F3517" i="22" s="1"/>
  <c r="G3517" i="22" s="1"/>
  <c r="D3525" i="22"/>
  <c r="E3546" i="22"/>
  <c r="F3546" i="22" s="1"/>
  <c r="G3546" i="22" s="1"/>
  <c r="H3546" i="22" s="1"/>
  <c r="F3547" i="22"/>
  <c r="F3549" i="22" s="1"/>
  <c r="L3547" i="22"/>
  <c r="E3548" i="22"/>
  <c r="L3549" i="22"/>
  <c r="E3550" i="22"/>
  <c r="D3551" i="22"/>
  <c r="E3551" i="22"/>
  <c r="G3551" i="22"/>
  <c r="H3551" i="22" s="1"/>
  <c r="D3553" i="22"/>
  <c r="E3553" i="22"/>
  <c r="F3553" i="22" s="1"/>
  <c r="D3554" i="22"/>
  <c r="D3555" i="22" s="1"/>
  <c r="E3554" i="22"/>
  <c r="E3555" i="22" s="1"/>
  <c r="F3559" i="22"/>
  <c r="F3601" i="22" s="1"/>
  <c r="F3609" i="22" s="1"/>
  <c r="D3562" i="22"/>
  <c r="D3603" i="22" s="1"/>
  <c r="E3562" i="22"/>
  <c r="E3603" i="22" s="1"/>
  <c r="B3567" i="22"/>
  <c r="B3568" i="22"/>
  <c r="D3568" i="22"/>
  <c r="E3568" i="22"/>
  <c r="G3568" i="22"/>
  <c r="B3569" i="22"/>
  <c r="B3570" i="22"/>
  <c r="D3583" i="22"/>
  <c r="D3584" i="22" s="1"/>
  <c r="H3576" i="22" s="1"/>
  <c r="E3587" i="22"/>
  <c r="G3587" i="22"/>
  <c r="F3591" i="22"/>
  <c r="G3591" i="22" s="1"/>
  <c r="F3594" i="22"/>
  <c r="D3601" i="22"/>
  <c r="D3609" i="22" s="1"/>
  <c r="E3601" i="22"/>
  <c r="E3609" i="22" s="1"/>
  <c r="D3602" i="22"/>
  <c r="E3602" i="22"/>
  <c r="F3602" i="22"/>
  <c r="D3610" i="22"/>
  <c r="E3610" i="22"/>
  <c r="F3610" i="22"/>
  <c r="F3612" i="22" s="1"/>
  <c r="G3611" i="22"/>
  <c r="D3614" i="22"/>
  <c r="E3614" i="22"/>
  <c r="F3614" i="22"/>
  <c r="F3616" i="22" s="1"/>
  <c r="G3615" i="22"/>
  <c r="H3615" i="22" s="1"/>
  <c r="F3618" i="22"/>
  <c r="F3619" i="22"/>
  <c r="D3640" i="22"/>
  <c r="E3640" i="22"/>
  <c r="D3647" i="22"/>
  <c r="D3658" i="22" s="1"/>
  <c r="E3647" i="22"/>
  <c r="E3658" i="22" s="1"/>
  <c r="F3647" i="22"/>
  <c r="F3658" i="22" s="1"/>
  <c r="G3647" i="22"/>
  <c r="H3647" i="22"/>
  <c r="I3647" i="22"/>
  <c r="J3647" i="22"/>
  <c r="K3647" i="22"/>
  <c r="G3648" i="22"/>
  <c r="H3648" i="22"/>
  <c r="H3653" i="22" s="1"/>
  <c r="I3648" i="22"/>
  <c r="H3649" i="22"/>
  <c r="I3649" i="22"/>
  <c r="B3654" i="22"/>
  <c r="D3659" i="22"/>
  <c r="E3659" i="22"/>
  <c r="F3659" i="22"/>
  <c r="D3660" i="22"/>
  <c r="E3660" i="22"/>
  <c r="F3660" i="22"/>
  <c r="D3682" i="22"/>
  <c r="E3682" i="22"/>
  <c r="E3707" i="22"/>
  <c r="F3707" i="22" s="1"/>
  <c r="G3707" i="22" s="1"/>
  <c r="H3707" i="22" s="1"/>
  <c r="E3718" i="22"/>
  <c r="F3718" i="22" s="1"/>
  <c r="G3718" i="22" s="1"/>
  <c r="H3718" i="22" s="1"/>
  <c r="D3722" i="22"/>
  <c r="E3722" i="22"/>
  <c r="F3722" i="22"/>
  <c r="G3722" i="22"/>
  <c r="H3722" i="22"/>
  <c r="D3725" i="22"/>
  <c r="E3725" i="22"/>
  <c r="F3725" i="22"/>
  <c r="G3725" i="22"/>
  <c r="H3725" i="22"/>
  <c r="D3726" i="22"/>
  <c r="E3726" i="22"/>
  <c r="F3726" i="22"/>
  <c r="G3726" i="22"/>
  <c r="H3726" i="22"/>
  <c r="B3729" i="22"/>
  <c r="B3730" i="22"/>
  <c r="B3731" i="22"/>
  <c r="B3732" i="22"/>
  <c r="B3733" i="22"/>
  <c r="H3738" i="22"/>
  <c r="E3743" i="22"/>
  <c r="F3743" i="22" s="1"/>
  <c r="G3743" i="22" s="1"/>
  <c r="H3743" i="22" s="1"/>
  <c r="D3750" i="22"/>
  <c r="D3753" i="22" s="1"/>
  <c r="E3753" i="22"/>
  <c r="F3753" i="22"/>
  <c r="G3753" i="22"/>
  <c r="D3756" i="22"/>
  <c r="E3756" i="22"/>
  <c r="F3756" i="22"/>
  <c r="G3756" i="22"/>
  <c r="E3757" i="22"/>
  <c r="F3757" i="22"/>
  <c r="G3757" i="22"/>
  <c r="D3760" i="22"/>
  <c r="D3761" i="22"/>
  <c r="E3767" i="22"/>
  <c r="E3768" i="22" s="1"/>
  <c r="F3767" i="22"/>
  <c r="C161" i="43" s="1"/>
  <c r="G3767" i="22"/>
  <c r="D3768" i="22"/>
  <c r="E3771" i="22"/>
  <c r="F3771" i="22" s="1"/>
  <c r="G3771" i="22" s="1"/>
  <c r="H3771" i="22" s="1"/>
  <c r="I3771" i="22" s="1"/>
  <c r="J3771" i="22" s="1"/>
  <c r="D3773" i="22"/>
  <c r="D3780" i="22"/>
  <c r="D3785" i="22"/>
  <c r="D3801" i="22"/>
  <c r="D3802" i="22" s="1"/>
  <c r="D3804" i="22"/>
  <c r="D3805" i="22" s="1"/>
  <c r="D3812" i="22"/>
  <c r="D3813" i="22" s="1"/>
  <c r="E3837" i="22"/>
  <c r="F3837" i="22" s="1"/>
  <c r="I3841" i="22"/>
  <c r="J3838" i="22" s="1"/>
  <c r="B3884" i="22"/>
  <c r="D3884" i="22"/>
  <c r="D3886" i="22"/>
  <c r="E3886" i="22" s="1"/>
  <c r="D3887" i="22"/>
  <c r="E3887" i="22" s="1"/>
  <c r="B3888" i="22"/>
  <c r="D3888" i="22"/>
  <c r="D3892" i="22"/>
  <c r="F3887" i="22" s="1"/>
  <c r="G3896" i="22"/>
  <c r="G3897" i="22"/>
  <c r="G3898" i="22"/>
  <c r="G3899" i="22"/>
  <c r="G3901" i="22"/>
  <c r="B3906" i="22"/>
  <c r="D3906" i="22"/>
  <c r="D3908" i="22"/>
  <c r="D3930" i="22"/>
  <c r="D3931" i="22"/>
  <c r="E3948" i="22"/>
  <c r="F3948" i="22" s="1"/>
  <c r="G3948" i="22" s="1"/>
  <c r="H3948" i="22" s="1"/>
  <c r="I3948" i="22" s="1"/>
  <c r="J3948" i="22" s="1"/>
  <c r="D3956" i="22"/>
  <c r="E3956" i="22"/>
  <c r="F3956" i="22"/>
  <c r="G3956" i="22"/>
  <c r="H3956" i="22"/>
  <c r="I3956" i="22"/>
  <c r="J3956" i="22"/>
  <c r="D3965" i="22"/>
  <c r="D3967" i="22" s="1"/>
  <c r="E3966" i="22"/>
  <c r="F3966" i="22"/>
  <c r="F3967" i="22" s="1"/>
  <c r="G3971" i="22"/>
  <c r="F3980" i="22"/>
  <c r="G3980" i="22"/>
  <c r="H3980" i="22" s="1"/>
  <c r="M3980" i="22"/>
  <c r="F3981" i="22"/>
  <c r="G3981" i="22"/>
  <c r="H3981" i="22" s="1"/>
  <c r="M3981" i="22"/>
  <c r="F3982" i="22"/>
  <c r="G3982" i="22"/>
  <c r="F3983" i="22"/>
  <c r="G3983" i="22"/>
  <c r="H3983" i="22" s="1"/>
  <c r="M3983" i="22"/>
  <c r="F3984" i="22"/>
  <c r="G3984" i="22"/>
  <c r="H3984" i="22" s="1"/>
  <c r="F3985" i="22"/>
  <c r="G3985" i="22"/>
  <c r="H3985" i="22" s="1"/>
  <c r="L3985" i="22"/>
  <c r="L3984" i="22" s="1"/>
  <c r="F3986" i="22"/>
  <c r="G3986" i="22"/>
  <c r="H3986" i="22" s="1"/>
  <c r="F3987" i="22"/>
  <c r="G3987" i="22"/>
  <c r="H3987" i="22" s="1"/>
  <c r="M3987" i="22"/>
  <c r="F3988" i="22"/>
  <c r="G3988" i="22"/>
  <c r="H3988" i="22" s="1"/>
  <c r="H3989" i="22"/>
  <c r="F3990" i="22"/>
  <c r="G3990" i="22"/>
  <c r="H3990" i="22" s="1"/>
  <c r="F3991" i="22"/>
  <c r="G3991" i="22"/>
  <c r="H3991" i="22" s="1"/>
  <c r="F3992" i="22"/>
  <c r="D3993" i="22"/>
  <c r="E3993" i="22"/>
  <c r="I3993" i="22"/>
  <c r="I3995" i="22" s="1"/>
  <c r="E3994" i="22"/>
  <c r="J3995" i="22"/>
  <c r="D4005" i="22"/>
  <c r="F4005" i="22"/>
  <c r="D4006" i="22"/>
  <c r="G4006" i="22" s="1"/>
  <c r="H2" i="2"/>
  <c r="I2" i="2"/>
  <c r="J2" i="2"/>
  <c r="K2" i="2"/>
  <c r="L2" i="2"/>
  <c r="M2" i="2"/>
  <c r="N2" i="2"/>
  <c r="O2" i="2"/>
  <c r="P2" i="2"/>
  <c r="Q2" i="2"/>
  <c r="R2" i="2"/>
  <c r="S2" i="2"/>
  <c r="T2" i="2"/>
  <c r="U2" i="2"/>
  <c r="V2" i="2"/>
  <c r="W2" i="2"/>
  <c r="AB2" i="2"/>
  <c r="AG2" i="2"/>
  <c r="BI3" i="2"/>
  <c r="BI354" i="2" s="1"/>
  <c r="BM3" i="2"/>
  <c r="AE212" i="33" s="1"/>
  <c r="BQ3" i="2"/>
  <c r="BQ242" i="2" s="1"/>
  <c r="BR3" i="2"/>
  <c r="BR242" i="2" s="1"/>
  <c r="BO5" i="2"/>
  <c r="AU8" i="2"/>
  <c r="K2649" i="22" s="1"/>
  <c r="AW8" i="2"/>
  <c r="L2649" i="22" s="1"/>
  <c r="AX8" i="2"/>
  <c r="M2649" i="22" s="1"/>
  <c r="AZ8" i="2"/>
  <c r="O2649" i="22" s="1"/>
  <c r="BB8" i="2"/>
  <c r="P2649" i="22" s="1"/>
  <c r="BC8" i="2"/>
  <c r="Q2649" i="22" s="1"/>
  <c r="BD8" i="2"/>
  <c r="R2649" i="22" s="1"/>
  <c r="BE8" i="2"/>
  <c r="AY9" i="2"/>
  <c r="AY10" i="2" s="1"/>
  <c r="AU13" i="2"/>
  <c r="K2661" i="22" s="1"/>
  <c r="AW13" i="2"/>
  <c r="L2661" i="22" s="1"/>
  <c r="AX13" i="2"/>
  <c r="M2661" i="22" s="1"/>
  <c r="AZ13" i="2"/>
  <c r="O2661" i="22" s="1"/>
  <c r="BB13" i="2"/>
  <c r="P2661" i="22" s="1"/>
  <c r="BC13" i="2"/>
  <c r="Q2661" i="22" s="1"/>
  <c r="BD13" i="2"/>
  <c r="BE13" i="2"/>
  <c r="AX14" i="2"/>
  <c r="BC14" i="2"/>
  <c r="Q2667" i="22" s="1"/>
  <c r="AU15" i="2"/>
  <c r="K2667" i="22" s="1"/>
  <c r="AW15" i="2"/>
  <c r="L2667" i="22" s="1"/>
  <c r="AX15" i="2"/>
  <c r="AZ15" i="2"/>
  <c r="O2667" i="22" s="1"/>
  <c r="BB15" i="2"/>
  <c r="P2667" i="22" s="1"/>
  <c r="BS17" i="2"/>
  <c r="BZ18" i="2"/>
  <c r="BO20" i="2"/>
  <c r="V22" i="2"/>
  <c r="AO22" i="2"/>
  <c r="F2664" i="22" s="1"/>
  <c r="BL22" i="2"/>
  <c r="H120" i="36" s="1"/>
  <c r="C214" i="36" s="1"/>
  <c r="BQ22" i="2"/>
  <c r="BR22" i="2"/>
  <c r="X23" i="2"/>
  <c r="X24" i="2" s="1"/>
  <c r="BS24" i="2"/>
  <c r="BZ24" i="2"/>
  <c r="BO26" i="2"/>
  <c r="BO35" i="2" s="1"/>
  <c r="BO50" i="2" s="1"/>
  <c r="BO58" i="2" s="1"/>
  <c r="BS26" i="2"/>
  <c r="BS35" i="2" s="1"/>
  <c r="BS50" i="2" s="1"/>
  <c r="BS58" i="2" s="1"/>
  <c r="BS61" i="2" s="1"/>
  <c r="O31" i="2"/>
  <c r="Q31" i="2" s="1"/>
  <c r="BJ31" i="2"/>
  <c r="BM31" i="2"/>
  <c r="X35" i="2"/>
  <c r="AH37" i="2"/>
  <c r="AN37" i="2"/>
  <c r="AX37" i="2"/>
  <c r="BB37" i="2"/>
  <c r="BC37" i="2"/>
  <c r="BE37" i="2"/>
  <c r="BG37" i="2"/>
  <c r="BB38" i="2"/>
  <c r="BC38" i="2"/>
  <c r="BD38" i="2"/>
  <c r="BE38" i="2"/>
  <c r="AH39" i="2"/>
  <c r="AS39" i="2"/>
  <c r="AR39" i="2" s="1"/>
  <c r="O44" i="2"/>
  <c r="P44" i="2"/>
  <c r="Q44" i="2"/>
  <c r="R44" i="2"/>
  <c r="S44" i="2"/>
  <c r="T44" i="2"/>
  <c r="U44" i="2"/>
  <c r="V44" i="2"/>
  <c r="O46" i="2"/>
  <c r="P46" i="2"/>
  <c r="Q46" i="2"/>
  <c r="R46" i="2"/>
  <c r="S46" i="2"/>
  <c r="T46" i="2"/>
  <c r="U46" i="2"/>
  <c r="V46" i="2"/>
  <c r="X46" i="2"/>
  <c r="Y46" i="2"/>
  <c r="Z46" i="2"/>
  <c r="AA46" i="2"/>
  <c r="AC46" i="2"/>
  <c r="AD46" i="2"/>
  <c r="AE46" i="2"/>
  <c r="AF46" i="2"/>
  <c r="AH46" i="2"/>
  <c r="AI46" i="2"/>
  <c r="AJ46" i="2"/>
  <c r="AK46" i="2"/>
  <c r="AM46" i="2"/>
  <c r="AN46" i="2"/>
  <c r="AO46" i="2"/>
  <c r="AP46" i="2"/>
  <c r="AS46" i="2"/>
  <c r="AR46" i="2" s="1"/>
  <c r="AT46" i="2"/>
  <c r="AU46" i="2"/>
  <c r="AW46" i="2"/>
  <c r="AX46" i="2"/>
  <c r="AY46" i="2"/>
  <c r="BG46" i="2"/>
  <c r="BG48" i="2" s="1"/>
  <c r="BM46" i="2"/>
  <c r="BM48" i="2" s="1"/>
  <c r="BH48" i="2"/>
  <c r="BI48" i="2"/>
  <c r="BJ48" i="2"/>
  <c r="BL48" i="2"/>
  <c r="BN48" i="2"/>
  <c r="BO48" i="2"/>
  <c r="BQ48" i="2"/>
  <c r="BR48" i="2"/>
  <c r="BS48" i="2"/>
  <c r="AR52" i="2"/>
  <c r="AT52" i="2"/>
  <c r="BG53" i="2"/>
  <c r="AW54" i="2"/>
  <c r="AX54" i="2"/>
  <c r="AY54" i="2"/>
  <c r="AZ54" i="2"/>
  <c r="BB54" i="2"/>
  <c r="BC54" i="2"/>
  <c r="BD54" i="2"/>
  <c r="BE54" i="2"/>
  <c r="BH54" i="2"/>
  <c r="BI54" i="2"/>
  <c r="BJ54" i="2"/>
  <c r="AH56" i="2"/>
  <c r="AR57" i="2"/>
  <c r="BS71" i="2"/>
  <c r="BS80" i="2" s="1"/>
  <c r="BT75" i="2"/>
  <c r="BT76" i="2"/>
  <c r="BT78" i="2"/>
  <c r="BT82" i="2"/>
  <c r="BJ83" i="2"/>
  <c r="BL83" i="2"/>
  <c r="BM83" i="2"/>
  <c r="BQ83" i="2"/>
  <c r="BR83" i="2"/>
  <c r="BS83" i="2"/>
  <c r="AZ84" i="2"/>
  <c r="BE84" i="2"/>
  <c r="BG84" i="2"/>
  <c r="BH84" i="2"/>
  <c r="BL85" i="2"/>
  <c r="BM85" i="2"/>
  <c r="BN85" i="2"/>
  <c r="BO85" i="2"/>
  <c r="BQ85" i="2"/>
  <c r="BR85" i="2"/>
  <c r="BS85" i="2"/>
  <c r="BQ92" i="2"/>
  <c r="AS101" i="2"/>
  <c r="AH106" i="2"/>
  <c r="AH107" i="2" s="1"/>
  <c r="AH216" i="2" s="1"/>
  <c r="AI106" i="2"/>
  <c r="AI107" i="2" s="1"/>
  <c r="AI216" i="2" s="1"/>
  <c r="AJ106" i="2"/>
  <c r="AJ107" i="2" s="1"/>
  <c r="AJ216" i="2" s="1"/>
  <c r="AK106" i="2"/>
  <c r="AK107" i="2" s="1"/>
  <c r="AK216" i="2" s="1"/>
  <c r="AM106" i="2"/>
  <c r="AM107" i="2" s="1"/>
  <c r="AM216" i="2" s="1"/>
  <c r="AN106" i="2"/>
  <c r="AN107" i="2" s="1"/>
  <c r="AN216" i="2" s="1"/>
  <c r="AH108" i="2"/>
  <c r="AI108" i="2"/>
  <c r="AJ108" i="2"/>
  <c r="AK108" i="2"/>
  <c r="AM108" i="2"/>
  <c r="AN108" i="2"/>
  <c r="AH111" i="2"/>
  <c r="AH300" i="2" s="1"/>
  <c r="AI111" i="2"/>
  <c r="AI300" i="2" s="1"/>
  <c r="AJ111" i="2"/>
  <c r="AK111" i="2"/>
  <c r="AK300" i="2" s="1"/>
  <c r="AK302" i="2" s="1"/>
  <c r="AM111" i="2"/>
  <c r="AM300" i="2" s="1"/>
  <c r="AM302" i="2" s="1"/>
  <c r="AM312" i="2" s="1"/>
  <c r="AM17" i="2" s="1"/>
  <c r="AM23" i="2" s="1"/>
  <c r="AN111" i="2"/>
  <c r="X115" i="2"/>
  <c r="Y115" i="2"/>
  <c r="Y208" i="2" s="1"/>
  <c r="Y278" i="2" s="1"/>
  <c r="Y295" i="2" s="1"/>
  <c r="Y320" i="2" s="1"/>
  <c r="Z115" i="2"/>
  <c r="Z461" i="2" s="1"/>
  <c r="AA115" i="2"/>
  <c r="N421" i="19" s="1"/>
  <c r="N434" i="19" s="1"/>
  <c r="AC115" i="2"/>
  <c r="O421" i="19" s="1"/>
  <c r="O434" i="19" s="1"/>
  <c r="AD115" i="2"/>
  <c r="CE115" i="2" s="1"/>
  <c r="CE208" i="2" s="1"/>
  <c r="AW115" i="2"/>
  <c r="AX115" i="2"/>
  <c r="AY115" i="2"/>
  <c r="AY208" i="2" s="1"/>
  <c r="AY278" i="2" s="1"/>
  <c r="AZ115" i="2"/>
  <c r="AZ444" i="2" s="1"/>
  <c r="BB115" i="2"/>
  <c r="BB444" i="2" s="1"/>
  <c r="BC115" i="2"/>
  <c r="BC461" i="2" s="1"/>
  <c r="BD115" i="2"/>
  <c r="BE115" i="2"/>
  <c r="DA115" i="2" s="1"/>
  <c r="DA208" i="2" s="1"/>
  <c r="BG115" i="2"/>
  <c r="BG208" i="2" s="1"/>
  <c r="BG278" i="2" s="1"/>
  <c r="BH115" i="2"/>
  <c r="BI115" i="2"/>
  <c r="BJ115" i="2"/>
  <c r="BJ208" i="2" s="1"/>
  <c r="BJ278" i="2" s="1"/>
  <c r="BL115" i="2"/>
  <c r="BL208" i="2" s="1"/>
  <c r="BL278" i="2" s="1"/>
  <c r="BM115" i="2"/>
  <c r="BM208" i="2" s="1"/>
  <c r="BM295" i="2" s="1"/>
  <c r="BM320" i="2" s="1"/>
  <c r="BN115" i="2"/>
  <c r="BN208" i="2" s="1"/>
  <c r="BO115" i="2"/>
  <c r="BO208" i="2" s="1"/>
  <c r="BO278" i="2" s="1"/>
  <c r="BV115" i="2"/>
  <c r="L344" i="3" s="1"/>
  <c r="L354" i="3" s="1"/>
  <c r="BW115" i="2"/>
  <c r="M344" i="3" s="1"/>
  <c r="M354" i="3" s="1"/>
  <c r="BX115" i="2"/>
  <c r="N344" i="3" s="1"/>
  <c r="N354" i="3" s="1"/>
  <c r="BY115" i="2"/>
  <c r="O344" i="3" s="1"/>
  <c r="O354" i="3" s="1"/>
  <c r="CF115" i="2"/>
  <c r="CF208" i="2" s="1"/>
  <c r="CB246" i="2" s="1"/>
  <c r="BZ254" i="2" s="1"/>
  <c r="CG115" i="2"/>
  <c r="CG208" i="2" s="1"/>
  <c r="CC246" i="2" s="1"/>
  <c r="CA254" i="2" s="1"/>
  <c r="CH115" i="2"/>
  <c r="CH208" i="2" s="1"/>
  <c r="CI115" i="2"/>
  <c r="CI208" i="2" s="1"/>
  <c r="CE246" i="2" s="1"/>
  <c r="CE254" i="2" s="1"/>
  <c r="CJ115" i="2"/>
  <c r="CJ208" i="2" s="1"/>
  <c r="CK115" i="2"/>
  <c r="CK208" i="2" s="1"/>
  <c r="CL115" i="2"/>
  <c r="CL208" i="2" s="1"/>
  <c r="CH246" i="2" s="1"/>
  <c r="CH254" i="2" s="1"/>
  <c r="CM115" i="2"/>
  <c r="CM208" i="2" s="1"/>
  <c r="CI246" i="2" s="1"/>
  <c r="CI254" i="2" s="1"/>
  <c r="CN115" i="2"/>
  <c r="CN208" i="2" s="1"/>
  <c r="CJ246" i="2" s="1"/>
  <c r="CJ254" i="2" s="1"/>
  <c r="CO115" i="2"/>
  <c r="CO208" i="2" s="1"/>
  <c r="CK246" i="2" s="1"/>
  <c r="CK254" i="2" s="1"/>
  <c r="CP115" i="2"/>
  <c r="CP208" i="2" s="1"/>
  <c r="CL246" i="2" s="1"/>
  <c r="CL254" i="2" s="1"/>
  <c r="CQ115" i="2"/>
  <c r="CQ208" i="2" s="1"/>
  <c r="CM246" i="2" s="1"/>
  <c r="CM254" i="2" s="1"/>
  <c r="CR115" i="2"/>
  <c r="CR208" i="2" s="1"/>
  <c r="CN246" i="2" s="1"/>
  <c r="CN254" i="2" s="1"/>
  <c r="CS115" i="2"/>
  <c r="CS208" i="2" s="1"/>
  <c r="CO246" i="2" s="1"/>
  <c r="CO254" i="2" s="1"/>
  <c r="W117" i="2"/>
  <c r="BZ117" i="2" s="1"/>
  <c r="AB117" i="2"/>
  <c r="AG117" i="2"/>
  <c r="CH117" i="2" s="1"/>
  <c r="BV117" i="2"/>
  <c r="BW117" i="2"/>
  <c r="BX117" i="2"/>
  <c r="BY117" i="2"/>
  <c r="CA117" i="2"/>
  <c r="CB117" i="2"/>
  <c r="CC117" i="2"/>
  <c r="CD117" i="2"/>
  <c r="CE117" i="2"/>
  <c r="CF117" i="2"/>
  <c r="CG117" i="2"/>
  <c r="B118" i="2"/>
  <c r="W118" i="2"/>
  <c r="BZ118" i="2" s="1"/>
  <c r="AB118" i="2"/>
  <c r="AG118" i="2"/>
  <c r="CH118" i="2" s="1"/>
  <c r="BV118" i="2"/>
  <c r="BW118" i="2"/>
  <c r="BX118" i="2"/>
  <c r="BY118" i="2"/>
  <c r="CA118" i="2"/>
  <c r="CB118" i="2"/>
  <c r="CC118" i="2"/>
  <c r="CD118" i="2"/>
  <c r="CE118" i="2"/>
  <c r="CF118" i="2"/>
  <c r="CG118" i="2"/>
  <c r="B119" i="2"/>
  <c r="W119" i="2"/>
  <c r="AB119" i="2"/>
  <c r="AG119" i="2"/>
  <c r="BV119" i="2"/>
  <c r="BW119" i="2"/>
  <c r="BX119" i="2"/>
  <c r="BY119" i="2"/>
  <c r="CA119" i="2"/>
  <c r="CB119" i="2"/>
  <c r="CC119" i="2"/>
  <c r="CD119" i="2"/>
  <c r="CE119" i="2"/>
  <c r="CF119" i="2"/>
  <c r="CG119" i="2"/>
  <c r="F120" i="2"/>
  <c r="H120" i="2"/>
  <c r="I120" i="2"/>
  <c r="J120" i="2"/>
  <c r="D42" i="5" s="1"/>
  <c r="K120" i="2"/>
  <c r="L120" i="2"/>
  <c r="M120" i="2"/>
  <c r="N120" i="2"/>
  <c r="E42" i="5" s="1"/>
  <c r="O120" i="2"/>
  <c r="P120" i="2"/>
  <c r="Q120" i="2"/>
  <c r="R120" i="2"/>
  <c r="S120" i="2"/>
  <c r="T120" i="2"/>
  <c r="U120" i="2"/>
  <c r="V120" i="2"/>
  <c r="X120" i="2"/>
  <c r="Y120" i="2"/>
  <c r="Z120" i="2"/>
  <c r="AA120" i="2"/>
  <c r="AC120" i="2"/>
  <c r="AD120" i="2"/>
  <c r="AE120" i="2"/>
  <c r="AF120" i="2"/>
  <c r="AH120" i="2"/>
  <c r="B122" i="2"/>
  <c r="W122" i="2"/>
  <c r="BZ122" i="2" s="1"/>
  <c r="AB122" i="2"/>
  <c r="AD122" i="2"/>
  <c r="AG122" i="2"/>
  <c r="CH122" i="2" s="1"/>
  <c r="AL122" i="2"/>
  <c r="CL122" i="2" s="1"/>
  <c r="BB122" i="2"/>
  <c r="CY122" i="2" s="1"/>
  <c r="BF122" i="2"/>
  <c r="BK122" i="2"/>
  <c r="BP122" i="2"/>
  <c r="BV122" i="2"/>
  <c r="BW122" i="2"/>
  <c r="BX122" i="2"/>
  <c r="BY122" i="2"/>
  <c r="CA122" i="2"/>
  <c r="CB122" i="2"/>
  <c r="CC122" i="2"/>
  <c r="CD122" i="2"/>
  <c r="CG122" i="2"/>
  <c r="CI122" i="2"/>
  <c r="CJ122" i="2"/>
  <c r="CK122" i="2"/>
  <c r="CM122" i="2"/>
  <c r="CN122" i="2"/>
  <c r="CO122" i="2"/>
  <c r="CQ122" i="2"/>
  <c r="CR122" i="2"/>
  <c r="CS122" i="2"/>
  <c r="CU122" i="2"/>
  <c r="CV122" i="2"/>
  <c r="CW122" i="2"/>
  <c r="CZ122" i="2"/>
  <c r="DA122" i="2"/>
  <c r="DC122" i="2"/>
  <c r="DD122" i="2"/>
  <c r="B123" i="2"/>
  <c r="W123" i="2"/>
  <c r="BZ123" i="2" s="1"/>
  <c r="AB123" i="2"/>
  <c r="AG123" i="2"/>
  <c r="AL123" i="2"/>
  <c r="BB123" i="2"/>
  <c r="BB483" i="2" s="1"/>
  <c r="BF123" i="2"/>
  <c r="DB123" i="2" s="1"/>
  <c r="BK123" i="2"/>
  <c r="BP123" i="2"/>
  <c r="BV123" i="2"/>
  <c r="BW123" i="2"/>
  <c r="BX123" i="2"/>
  <c r="BY123" i="2"/>
  <c r="CA123" i="2"/>
  <c r="CB123" i="2"/>
  <c r="CC123" i="2"/>
  <c r="CD123" i="2"/>
  <c r="CE123" i="2"/>
  <c r="CF123" i="2"/>
  <c r="CG123" i="2"/>
  <c r="CI123" i="2"/>
  <c r="CJ123" i="2"/>
  <c r="CK123" i="2"/>
  <c r="CM123" i="2"/>
  <c r="CN123" i="2"/>
  <c r="CO123" i="2"/>
  <c r="CQ123" i="2"/>
  <c r="CR123" i="2"/>
  <c r="CS123" i="2"/>
  <c r="CU123" i="2"/>
  <c r="CV123" i="2"/>
  <c r="CW123" i="2"/>
  <c r="CZ123" i="2"/>
  <c r="DA123" i="2"/>
  <c r="DC123" i="2"/>
  <c r="DD123" i="2"/>
  <c r="W124" i="2"/>
  <c r="AB124" i="2"/>
  <c r="AG124" i="2"/>
  <c r="CH124" i="2" s="1"/>
  <c r="AL124" i="2"/>
  <c r="CL124" i="2" s="1"/>
  <c r="BB124" i="2"/>
  <c r="CY124" i="2" s="1"/>
  <c r="BF124" i="2"/>
  <c r="DB124" i="2" s="1"/>
  <c r="BK124" i="2"/>
  <c r="BP124" i="2"/>
  <c r="BV124" i="2"/>
  <c r="BW124" i="2"/>
  <c r="BX124" i="2"/>
  <c r="BY124" i="2"/>
  <c r="CA124" i="2"/>
  <c r="CB124" i="2"/>
  <c r="CC124" i="2"/>
  <c r="CD124" i="2"/>
  <c r="CE124" i="2"/>
  <c r="CF124" i="2"/>
  <c r="CG124" i="2"/>
  <c r="CI124" i="2"/>
  <c r="CJ124" i="2"/>
  <c r="CK124" i="2"/>
  <c r="CM124" i="2"/>
  <c r="CN124" i="2"/>
  <c r="CO124" i="2"/>
  <c r="CQ124" i="2"/>
  <c r="CR124" i="2"/>
  <c r="CS124" i="2"/>
  <c r="CU124" i="2"/>
  <c r="CV124" i="2"/>
  <c r="CW124" i="2"/>
  <c r="CZ124" i="2"/>
  <c r="DA124" i="2"/>
  <c r="DC124" i="2"/>
  <c r="DD124" i="2"/>
  <c r="F125" i="2"/>
  <c r="H125" i="2"/>
  <c r="H283" i="2" s="1"/>
  <c r="I125" i="2"/>
  <c r="J125" i="2"/>
  <c r="K125" i="2"/>
  <c r="L125" i="2"/>
  <c r="M125" i="2"/>
  <c r="N125" i="2"/>
  <c r="O125" i="2"/>
  <c r="P125" i="2"/>
  <c r="Q125" i="2"/>
  <c r="R125" i="2"/>
  <c r="S125" i="2"/>
  <c r="T125" i="2"/>
  <c r="U125" i="2"/>
  <c r="V125" i="2"/>
  <c r="X125" i="2"/>
  <c r="Y125" i="2"/>
  <c r="Z125" i="2"/>
  <c r="D890" i="22" s="1"/>
  <c r="AA125" i="2"/>
  <c r="AC125" i="2"/>
  <c r="AE125" i="2"/>
  <c r="H890" i="22" s="1"/>
  <c r="AF125" i="2"/>
  <c r="AH125" i="2"/>
  <c r="AI125" i="2"/>
  <c r="K890" i="22" s="1"/>
  <c r="AJ125" i="2"/>
  <c r="AK125" i="2"/>
  <c r="AM125" i="2"/>
  <c r="AN125" i="2"/>
  <c r="AO125" i="2"/>
  <c r="AP125" i="2"/>
  <c r="AR125" i="2"/>
  <c r="AS125" i="2"/>
  <c r="AT125" i="2"/>
  <c r="AU125" i="2"/>
  <c r="AW125" i="2"/>
  <c r="AX125" i="2"/>
  <c r="AY125" i="2"/>
  <c r="AZ125" i="2"/>
  <c r="BC125" i="2"/>
  <c r="BD125" i="2"/>
  <c r="BE125" i="2"/>
  <c r="BG125" i="2"/>
  <c r="BH125" i="2"/>
  <c r="DD125" i="2" s="1"/>
  <c r="CW125" i="2"/>
  <c r="CW126" i="2"/>
  <c r="W128" i="2"/>
  <c r="BZ128" i="2" s="1"/>
  <c r="AB128" i="2"/>
  <c r="AG128" i="2"/>
  <c r="AH284" i="2" s="1"/>
  <c r="AL128" i="2"/>
  <c r="CL128" i="2" s="1"/>
  <c r="BB128" i="2"/>
  <c r="CY128" i="2" s="1"/>
  <c r="BF128" i="2"/>
  <c r="DB128" i="2" s="1"/>
  <c r="BK128" i="2"/>
  <c r="BP128" i="2"/>
  <c r="BY128" i="2"/>
  <c r="CA128" i="2"/>
  <c r="CB128" i="2"/>
  <c r="CC128" i="2"/>
  <c r="CD128" i="2"/>
  <c r="CE128" i="2"/>
  <c r="CF128" i="2"/>
  <c r="CG128" i="2"/>
  <c r="CI128" i="2"/>
  <c r="CJ128" i="2"/>
  <c r="CK128" i="2"/>
  <c r="CM128" i="2"/>
  <c r="CN128" i="2"/>
  <c r="CO128" i="2"/>
  <c r="CQ128" i="2"/>
  <c r="CR128" i="2"/>
  <c r="CS128" i="2"/>
  <c r="CU128" i="2"/>
  <c r="CV128" i="2"/>
  <c r="CW128" i="2"/>
  <c r="CZ128" i="2"/>
  <c r="DA128" i="2"/>
  <c r="DC128" i="2"/>
  <c r="DD128" i="2"/>
  <c r="B129" i="2"/>
  <c r="AB129" i="2"/>
  <c r="AG129" i="2"/>
  <c r="AL129" i="2"/>
  <c r="BB129" i="2"/>
  <c r="CY129" i="2" s="1"/>
  <c r="BF129" i="2"/>
  <c r="DB129" i="2" s="1"/>
  <c r="BK129" i="2"/>
  <c r="BP129" i="2"/>
  <c r="BV129" i="2"/>
  <c r="BW129" i="2"/>
  <c r="BX129" i="2"/>
  <c r="BY129" i="2"/>
  <c r="CA129" i="2"/>
  <c r="CB129" i="2"/>
  <c r="CC129" i="2"/>
  <c r="CD129" i="2"/>
  <c r="CE129" i="2"/>
  <c r="CF129" i="2"/>
  <c r="CG129" i="2"/>
  <c r="CI129" i="2"/>
  <c r="CJ129" i="2"/>
  <c r="CK129" i="2"/>
  <c r="CM129" i="2"/>
  <c r="CN129" i="2"/>
  <c r="CO129" i="2"/>
  <c r="CQ129" i="2"/>
  <c r="CR129" i="2"/>
  <c r="CS129" i="2"/>
  <c r="CU129" i="2"/>
  <c r="CV129" i="2"/>
  <c r="CW129" i="2"/>
  <c r="CZ129" i="2"/>
  <c r="DA129" i="2"/>
  <c r="DC129" i="2"/>
  <c r="DD129" i="2"/>
  <c r="AB130" i="2"/>
  <c r="AG130" i="2"/>
  <c r="CH130" i="2" s="1"/>
  <c r="AL130" i="2"/>
  <c r="BB130" i="2"/>
  <c r="BF130" i="2"/>
  <c r="DB130" i="2" s="1"/>
  <c r="BK130" i="2"/>
  <c r="BP130" i="2"/>
  <c r="BV130" i="2"/>
  <c r="BW130" i="2"/>
  <c r="BX130" i="2"/>
  <c r="BY130" i="2"/>
  <c r="CA130" i="2"/>
  <c r="CB130" i="2"/>
  <c r="CC130" i="2"/>
  <c r="CD130" i="2"/>
  <c r="CE130" i="2"/>
  <c r="CF130" i="2"/>
  <c r="CG130" i="2"/>
  <c r="CI130" i="2"/>
  <c r="CJ130" i="2"/>
  <c r="CK130" i="2"/>
  <c r="CM130" i="2"/>
  <c r="CN130" i="2"/>
  <c r="CO130" i="2"/>
  <c r="CQ130" i="2"/>
  <c r="CR130" i="2"/>
  <c r="CS130" i="2"/>
  <c r="CU130" i="2"/>
  <c r="CV130" i="2"/>
  <c r="CW130" i="2"/>
  <c r="CZ130" i="2"/>
  <c r="DA130" i="2"/>
  <c r="DC130" i="2"/>
  <c r="DD130" i="2"/>
  <c r="F131" i="2"/>
  <c r="H131" i="2"/>
  <c r="I131" i="2"/>
  <c r="J131" i="2"/>
  <c r="K131" i="2"/>
  <c r="L131" i="2"/>
  <c r="M131" i="2"/>
  <c r="N131" i="2"/>
  <c r="O131" i="2"/>
  <c r="P131" i="2"/>
  <c r="Q131" i="2"/>
  <c r="R131" i="2"/>
  <c r="S131" i="2"/>
  <c r="T131" i="2"/>
  <c r="U131" i="2"/>
  <c r="V131" i="2"/>
  <c r="V286" i="2" s="1"/>
  <c r="X131" i="2"/>
  <c r="Y131" i="2"/>
  <c r="Z131" i="2"/>
  <c r="AA131" i="2"/>
  <c r="AC131" i="2"/>
  <c r="AD131" i="2"/>
  <c r="G904" i="22" s="1"/>
  <c r="AE131" i="2"/>
  <c r="H904" i="22" s="1"/>
  <c r="AF131" i="2"/>
  <c r="I904" i="22" s="1"/>
  <c r="AH131" i="2"/>
  <c r="J904" i="22" s="1"/>
  <c r="AI131" i="2"/>
  <c r="K904" i="22" s="1"/>
  <c r="AJ131" i="2"/>
  <c r="L904" i="22" s="1"/>
  <c r="AK131" i="2"/>
  <c r="AM131" i="2"/>
  <c r="AN131" i="2"/>
  <c r="AO131" i="2"/>
  <c r="AP131" i="2"/>
  <c r="AR131" i="2"/>
  <c r="AS131" i="2"/>
  <c r="AT131" i="2"/>
  <c r="AU131" i="2"/>
  <c r="AW131" i="2"/>
  <c r="AX131" i="2"/>
  <c r="AY131" i="2"/>
  <c r="AZ131" i="2"/>
  <c r="BC131" i="2"/>
  <c r="BD131" i="2"/>
  <c r="BE131" i="2"/>
  <c r="BG131" i="2"/>
  <c r="BH131" i="2"/>
  <c r="CW131" i="2"/>
  <c r="H132" i="2"/>
  <c r="I132" i="2"/>
  <c r="J132" i="2"/>
  <c r="K132" i="2"/>
  <c r="L132" i="2"/>
  <c r="M132" i="2"/>
  <c r="N132" i="2"/>
  <c r="O132" i="2"/>
  <c r="P132" i="2"/>
  <c r="Q132" i="2"/>
  <c r="R132" i="2"/>
  <c r="S132" i="2"/>
  <c r="T132" i="2"/>
  <c r="U132" i="2"/>
  <c r="V132" i="2"/>
  <c r="X132" i="2"/>
  <c r="Y132" i="2"/>
  <c r="Z132" i="2"/>
  <c r="AA132" i="2"/>
  <c r="AC132" i="2"/>
  <c r="AD132" i="2"/>
  <c r="AE132" i="2"/>
  <c r="AF132" i="2"/>
  <c r="AH132" i="2"/>
  <c r="AI132" i="2"/>
  <c r="AJ132" i="2"/>
  <c r="AK132" i="2"/>
  <c r="AM132" i="2"/>
  <c r="AN132" i="2"/>
  <c r="AO132" i="2"/>
  <c r="AP132" i="2"/>
  <c r="AR132" i="2"/>
  <c r="AS132" i="2"/>
  <c r="AT132" i="2"/>
  <c r="AU132" i="2"/>
  <c r="AW132" i="2"/>
  <c r="AX132" i="2"/>
  <c r="AY132" i="2"/>
  <c r="AZ132" i="2"/>
  <c r="BC132" i="2"/>
  <c r="BD132" i="2"/>
  <c r="BE132" i="2"/>
  <c r="BG132" i="2"/>
  <c r="CW132" i="2"/>
  <c r="AB134" i="2"/>
  <c r="AG134" i="2"/>
  <c r="CH134" i="2" s="1"/>
  <c r="AL134" i="2"/>
  <c r="CL134" i="2" s="1"/>
  <c r="BB134" i="2"/>
  <c r="BB490" i="2" s="1"/>
  <c r="BF134" i="2"/>
  <c r="DB134" i="2" s="1"/>
  <c r="BK134" i="2"/>
  <c r="BP134" i="2"/>
  <c r="BV134" i="2"/>
  <c r="BW134" i="2"/>
  <c r="BX134" i="2"/>
  <c r="BY134" i="2"/>
  <c r="CA134" i="2"/>
  <c r="CB134" i="2"/>
  <c r="CC134" i="2"/>
  <c r="CD134" i="2"/>
  <c r="CE134" i="2"/>
  <c r="CF134" i="2"/>
  <c r="CG134" i="2"/>
  <c r="CI134" i="2"/>
  <c r="CJ134" i="2"/>
  <c r="CK134" i="2"/>
  <c r="CM134" i="2"/>
  <c r="CN134" i="2"/>
  <c r="CO134" i="2"/>
  <c r="CQ134" i="2"/>
  <c r="CR134" i="2"/>
  <c r="CS134" i="2"/>
  <c r="CU134" i="2"/>
  <c r="CV134" i="2"/>
  <c r="CW134" i="2"/>
  <c r="CZ134" i="2"/>
  <c r="DA134" i="2"/>
  <c r="DC134" i="2"/>
  <c r="DD134" i="2"/>
  <c r="B135" i="2"/>
  <c r="AM233" i="2" s="1"/>
  <c r="AB135" i="2"/>
  <c r="AG135" i="2"/>
  <c r="CH135" i="2" s="1"/>
  <c r="AL135" i="2"/>
  <c r="BB135" i="2"/>
  <c r="BF135" i="2"/>
  <c r="BK135" i="2"/>
  <c r="BP135" i="2"/>
  <c r="BV135" i="2"/>
  <c r="BW135" i="2"/>
  <c r="BX135" i="2"/>
  <c r="BY135" i="2"/>
  <c r="CA135" i="2"/>
  <c r="CB135" i="2"/>
  <c r="CC135" i="2"/>
  <c r="CD135" i="2"/>
  <c r="CE135" i="2"/>
  <c r="CF135" i="2"/>
  <c r="CG135" i="2"/>
  <c r="CI135" i="2"/>
  <c r="CJ135" i="2"/>
  <c r="CK135" i="2"/>
  <c r="CM135" i="2"/>
  <c r="CN135" i="2"/>
  <c r="CO135" i="2"/>
  <c r="CQ135" i="2"/>
  <c r="CR135" i="2"/>
  <c r="CS135" i="2"/>
  <c r="CU135" i="2"/>
  <c r="CV135" i="2"/>
  <c r="CW135" i="2"/>
  <c r="CZ135" i="2"/>
  <c r="DA135" i="2"/>
  <c r="AB136" i="2"/>
  <c r="AG136" i="2"/>
  <c r="CH136" i="2" s="1"/>
  <c r="AL136" i="2"/>
  <c r="BB136" i="2"/>
  <c r="BF136" i="2"/>
  <c r="DB136" i="2" s="1"/>
  <c r="BK136" i="2"/>
  <c r="BP136" i="2"/>
  <c r="BV136" i="2"/>
  <c r="BW136" i="2"/>
  <c r="BX136" i="2"/>
  <c r="BY136" i="2"/>
  <c r="CA136" i="2"/>
  <c r="CB136" i="2"/>
  <c r="CC136" i="2"/>
  <c r="CD136" i="2"/>
  <c r="CE136" i="2"/>
  <c r="CF136" i="2"/>
  <c r="CG136" i="2"/>
  <c r="CI136" i="2"/>
  <c r="CJ136" i="2"/>
  <c r="CK136" i="2"/>
  <c r="CM136" i="2"/>
  <c r="CN136" i="2"/>
  <c r="CO136" i="2"/>
  <c r="CQ136" i="2"/>
  <c r="CR136" i="2"/>
  <c r="CS136" i="2"/>
  <c r="CU136" i="2"/>
  <c r="CV136" i="2"/>
  <c r="CW136" i="2"/>
  <c r="CZ136" i="2"/>
  <c r="DA136" i="2"/>
  <c r="DC136" i="2"/>
  <c r="DD136" i="2"/>
  <c r="BV137" i="2"/>
  <c r="BW137" i="2"/>
  <c r="BX137" i="2"/>
  <c r="BY137" i="2"/>
  <c r="BZ137" i="2"/>
  <c r="CA137" i="2"/>
  <c r="CB137" i="2"/>
  <c r="CC137" i="2"/>
  <c r="CD137" i="2"/>
  <c r="CE137" i="2"/>
  <c r="CF137" i="2"/>
  <c r="CG137" i="2"/>
  <c r="CH137" i="2"/>
  <c r="CI137" i="2"/>
  <c r="CJ137" i="2"/>
  <c r="CK137" i="2"/>
  <c r="CW137" i="2"/>
  <c r="AB138" i="2"/>
  <c r="AG138" i="2"/>
  <c r="CH138" i="2" s="1"/>
  <c r="AL138" i="2"/>
  <c r="CL138" i="2" s="1"/>
  <c r="BB138" i="2"/>
  <c r="BB493" i="2" s="1"/>
  <c r="BF138" i="2"/>
  <c r="DB138" i="2" s="1"/>
  <c r="BK138" i="2"/>
  <c r="BP138" i="2"/>
  <c r="BV138" i="2"/>
  <c r="BW138" i="2"/>
  <c r="BX138" i="2"/>
  <c r="BY138" i="2"/>
  <c r="CA138" i="2"/>
  <c r="CB138" i="2"/>
  <c r="CC138" i="2"/>
  <c r="CD138" i="2"/>
  <c r="CE138" i="2"/>
  <c r="CF138" i="2"/>
  <c r="CG138" i="2"/>
  <c r="CI138" i="2"/>
  <c r="CJ138" i="2"/>
  <c r="CK138" i="2"/>
  <c r="CM138" i="2"/>
  <c r="CN138" i="2"/>
  <c r="CO138" i="2"/>
  <c r="CQ138" i="2"/>
  <c r="CR138" i="2"/>
  <c r="CS138" i="2"/>
  <c r="CU138" i="2"/>
  <c r="CV138" i="2"/>
  <c r="CW138" i="2"/>
  <c r="CZ138" i="2"/>
  <c r="DA138" i="2"/>
  <c r="DC138" i="2"/>
  <c r="DD138" i="2"/>
  <c r="AB139" i="2"/>
  <c r="AG139" i="2"/>
  <c r="CH139" i="2" s="1"/>
  <c r="AL139" i="2"/>
  <c r="CL139" i="2" s="1"/>
  <c r="BB139" i="2"/>
  <c r="BB494" i="2" s="1"/>
  <c r="BF139" i="2"/>
  <c r="DB139" i="2" s="1"/>
  <c r="BK139" i="2"/>
  <c r="BP139" i="2"/>
  <c r="BV139" i="2"/>
  <c r="BW139" i="2"/>
  <c r="BX139" i="2"/>
  <c r="BY139" i="2"/>
  <c r="CA139" i="2"/>
  <c r="CB139" i="2"/>
  <c r="CC139" i="2"/>
  <c r="CD139" i="2"/>
  <c r="CE139" i="2"/>
  <c r="CF139" i="2"/>
  <c r="CG139" i="2"/>
  <c r="CI139" i="2"/>
  <c r="CJ139" i="2"/>
  <c r="CK139" i="2"/>
  <c r="CM139" i="2"/>
  <c r="CN139" i="2"/>
  <c r="CO139" i="2"/>
  <c r="CQ139" i="2"/>
  <c r="CR139" i="2"/>
  <c r="CS139" i="2"/>
  <c r="CU139" i="2"/>
  <c r="CV139" i="2"/>
  <c r="CW139" i="2"/>
  <c r="CZ139" i="2"/>
  <c r="DA139" i="2"/>
  <c r="DC139" i="2"/>
  <c r="DD139" i="2"/>
  <c r="AB140" i="2"/>
  <c r="AG140" i="2"/>
  <c r="CH140" i="2" s="1"/>
  <c r="AL140" i="2"/>
  <c r="CL140" i="2" s="1"/>
  <c r="BB140" i="2"/>
  <c r="CY140" i="2" s="1"/>
  <c r="DK141" i="2" s="1"/>
  <c r="BF140" i="2"/>
  <c r="DB140" i="2" s="1"/>
  <c r="BK140" i="2"/>
  <c r="BP140" i="2"/>
  <c r="BV140" i="2"/>
  <c r="BW140" i="2"/>
  <c r="BX140" i="2"/>
  <c r="BY140" i="2"/>
  <c r="CA140" i="2"/>
  <c r="CB140" i="2"/>
  <c r="CC140" i="2"/>
  <c r="CD140" i="2"/>
  <c r="CE140" i="2"/>
  <c r="CF140" i="2"/>
  <c r="CG140" i="2"/>
  <c r="CI140" i="2"/>
  <c r="CJ140" i="2"/>
  <c r="CK140" i="2"/>
  <c r="CM140" i="2"/>
  <c r="CN140" i="2"/>
  <c r="CO140" i="2"/>
  <c r="CQ140" i="2"/>
  <c r="CR140" i="2"/>
  <c r="CS140" i="2"/>
  <c r="CU140" i="2"/>
  <c r="DG141" i="2" s="1"/>
  <c r="CV140" i="2"/>
  <c r="DH141" i="2" s="1"/>
  <c r="CW140" i="2"/>
  <c r="DI141" i="2" s="1"/>
  <c r="CZ140" i="2"/>
  <c r="DL141" i="2" s="1"/>
  <c r="DA140" i="2"/>
  <c r="DC140" i="2"/>
  <c r="DD140" i="2"/>
  <c r="DI140" i="2"/>
  <c r="AL141" i="2"/>
  <c r="CL141" i="2" s="1"/>
  <c r="BB141" i="2"/>
  <c r="BF141" i="2"/>
  <c r="DB141" i="2" s="1"/>
  <c r="BK141" i="2"/>
  <c r="BP141" i="2"/>
  <c r="CM141" i="2"/>
  <c r="CN141" i="2"/>
  <c r="CO141" i="2"/>
  <c r="CQ141" i="2"/>
  <c r="CR141" i="2"/>
  <c r="CS141" i="2"/>
  <c r="CU141" i="2"/>
  <c r="CV141" i="2"/>
  <c r="CW141" i="2"/>
  <c r="CZ141" i="2"/>
  <c r="DA141" i="2"/>
  <c r="DC141" i="2"/>
  <c r="DD141" i="2"/>
  <c r="F142" i="2"/>
  <c r="H142" i="2"/>
  <c r="H287" i="2" s="1"/>
  <c r="I142" i="2"/>
  <c r="J142" i="2"/>
  <c r="K142" i="2"/>
  <c r="L142" i="2"/>
  <c r="M142" i="2"/>
  <c r="N142" i="2"/>
  <c r="O142" i="2"/>
  <c r="P142" i="2"/>
  <c r="Q142" i="2"/>
  <c r="R142" i="2"/>
  <c r="S142" i="2"/>
  <c r="T142" i="2"/>
  <c r="U142" i="2"/>
  <c r="V142" i="2"/>
  <c r="X142" i="2"/>
  <c r="Y142" i="2"/>
  <c r="Z142" i="2"/>
  <c r="AA142" i="2"/>
  <c r="AC142" i="2"/>
  <c r="AD142" i="2"/>
  <c r="AE142" i="2"/>
  <c r="AF142" i="2"/>
  <c r="AH142" i="2"/>
  <c r="AI142" i="2"/>
  <c r="AJ142" i="2"/>
  <c r="AK142" i="2"/>
  <c r="AM142" i="2"/>
  <c r="AN142" i="2"/>
  <c r="AO142" i="2"/>
  <c r="AP142" i="2"/>
  <c r="AR142" i="2"/>
  <c r="AS142" i="2"/>
  <c r="AT142" i="2"/>
  <c r="AU142" i="2"/>
  <c r="AW142" i="2"/>
  <c r="AX142" i="2"/>
  <c r="AY142" i="2"/>
  <c r="AZ142" i="2"/>
  <c r="BC142" i="2"/>
  <c r="BD142" i="2"/>
  <c r="BE142" i="2"/>
  <c r="BG142" i="2"/>
  <c r="BH142" i="2"/>
  <c r="DD142" i="2" s="1"/>
  <c r="CW142" i="2"/>
  <c r="DI142" i="2" s="1"/>
  <c r="BI143" i="2"/>
  <c r="K160" i="33" s="1"/>
  <c r="K161" i="33" s="1"/>
  <c r="CW143" i="2"/>
  <c r="DI143" i="2" s="1"/>
  <c r="AL148" i="2"/>
  <c r="J74" i="10" s="1"/>
  <c r="J84" i="10" s="1"/>
  <c r="J92" i="10" s="1"/>
  <c r="AP148" i="2"/>
  <c r="CS148" i="2" s="1"/>
  <c r="AR148" i="2"/>
  <c r="CP148" i="2" s="1"/>
  <c r="CA148" i="2"/>
  <c r="CB148" i="2" s="1"/>
  <c r="CC148" i="2" s="1"/>
  <c r="CJ148" i="2"/>
  <c r="D1051" i="22" s="1"/>
  <c r="CK148" i="2"/>
  <c r="E1051" i="22" s="1"/>
  <c r="CL148" i="2"/>
  <c r="F1051" i="22" s="1"/>
  <c r="CM148" i="2"/>
  <c r="G1051" i="22" s="1"/>
  <c r="CN148" i="2"/>
  <c r="H1051" i="22" s="1"/>
  <c r="D149" i="2"/>
  <c r="D215" i="2" s="1"/>
  <c r="AL149" i="2"/>
  <c r="CA149" i="2"/>
  <c r="CB149" i="2" s="1"/>
  <c r="CC149" i="2" s="1"/>
  <c r="CJ149" i="2"/>
  <c r="D1052" i="22" s="1"/>
  <c r="CK149" i="2"/>
  <c r="E1052" i="22" s="1"/>
  <c r="CL149" i="2"/>
  <c r="F1052" i="22" s="1"/>
  <c r="CM149" i="2"/>
  <c r="G1052" i="22" s="1"/>
  <c r="CN149" i="2"/>
  <c r="H1052" i="22" s="1"/>
  <c r="CO149" i="2"/>
  <c r="I1052" i="22" s="1"/>
  <c r="CP149" i="2"/>
  <c r="CQ149" i="2"/>
  <c r="CR149" i="2"/>
  <c r="CS149" i="2"/>
  <c r="D150" i="2"/>
  <c r="D216" i="2" s="1"/>
  <c r="AL150" i="2"/>
  <c r="J78" i="10" s="1"/>
  <c r="D1255" i="22" s="1"/>
  <c r="CA150" i="2"/>
  <c r="CB150" i="2" s="1"/>
  <c r="CC150" i="2" s="1"/>
  <c r="CJ150" i="2"/>
  <c r="D1053" i="22" s="1"/>
  <c r="CK150" i="2"/>
  <c r="E1053" i="22" s="1"/>
  <c r="CL150" i="2"/>
  <c r="F1053" i="22" s="1"/>
  <c r="CM150" i="2"/>
  <c r="G1053" i="22" s="1"/>
  <c r="CN150" i="2"/>
  <c r="H1053" i="22" s="1"/>
  <c r="CO150" i="2"/>
  <c r="I1053" i="22" s="1"/>
  <c r="CP150" i="2"/>
  <c r="CQ150" i="2"/>
  <c r="CR150" i="2"/>
  <c r="CS150" i="2"/>
  <c r="D151" i="2"/>
  <c r="D166" i="2" s="1"/>
  <c r="AC151" i="2"/>
  <c r="O424" i="19" s="1"/>
  <c r="AD151" i="2"/>
  <c r="AG424" i="19" s="1"/>
  <c r="AG425" i="19" s="1"/>
  <c r="AL151" i="2"/>
  <c r="AR151" i="2"/>
  <c r="AR424" i="19" s="1"/>
  <c r="AS151" i="2"/>
  <c r="AX151" i="2" s="1"/>
  <c r="AT151" i="2"/>
  <c r="AY151" i="2" s="1"/>
  <c r="AY222" i="2" s="1"/>
  <c r="AU151" i="2"/>
  <c r="AU222" i="2" s="1"/>
  <c r="CA151" i="2"/>
  <c r="CB151" i="2" s="1"/>
  <c r="CC151" i="2" s="1"/>
  <c r="CJ151" i="2"/>
  <c r="D1055" i="22" s="1"/>
  <c r="CK151" i="2"/>
  <c r="E1055" i="22" s="1"/>
  <c r="CL151" i="2"/>
  <c r="F1055" i="22" s="1"/>
  <c r="CM151" i="2"/>
  <c r="G1055" i="22" s="1"/>
  <c r="CN151" i="2"/>
  <c r="H1055" i="22" s="1"/>
  <c r="CO151" i="2"/>
  <c r="I1055" i="22" s="1"/>
  <c r="D152" i="2"/>
  <c r="D182" i="2" s="1"/>
  <c r="D197" i="2" s="1"/>
  <c r="D251" i="2" s="1"/>
  <c r="AL152" i="2"/>
  <c r="J75" i="11" s="1"/>
  <c r="D1269" i="22" s="1"/>
  <c r="AR152" i="2"/>
  <c r="AS152" i="2"/>
  <c r="AT152" i="2"/>
  <c r="AU152" i="2"/>
  <c r="CA152" i="2"/>
  <c r="CB152" i="2" s="1"/>
  <c r="CC152" i="2" s="1"/>
  <c r="CJ152" i="2"/>
  <c r="D1056" i="22" s="1"/>
  <c r="CK152" i="2"/>
  <c r="E1056" i="22" s="1"/>
  <c r="CL152" i="2"/>
  <c r="F1056" i="22" s="1"/>
  <c r="CM152" i="2"/>
  <c r="G1056" i="22" s="1"/>
  <c r="CN152" i="2"/>
  <c r="H1056" i="22" s="1"/>
  <c r="CO152" i="2"/>
  <c r="I1056" i="22" s="1"/>
  <c r="D153" i="2"/>
  <c r="D183" i="2" s="1"/>
  <c r="D198" i="2" s="1"/>
  <c r="D252" i="2" s="1"/>
  <c r="AL153" i="2"/>
  <c r="J77" i="11" s="1"/>
  <c r="D1271" i="22" s="1"/>
  <c r="AR153" i="2"/>
  <c r="CP153" i="2" s="1"/>
  <c r="AS153" i="2"/>
  <c r="CQ153" i="2" s="1"/>
  <c r="AT153" i="2"/>
  <c r="CR153" i="2" s="1"/>
  <c r="AU153" i="2"/>
  <c r="CS153" i="2" s="1"/>
  <c r="CA153" i="2"/>
  <c r="CB153" i="2" s="1"/>
  <c r="CC153" i="2" s="1"/>
  <c r="CJ153" i="2"/>
  <c r="D1057" i="22" s="1"/>
  <c r="CK153" i="2"/>
  <c r="E1057" i="22" s="1"/>
  <c r="CL153" i="2"/>
  <c r="F1057" i="22" s="1"/>
  <c r="CM153" i="2"/>
  <c r="G1057" i="22" s="1"/>
  <c r="CN153" i="2"/>
  <c r="H1057" i="22" s="1"/>
  <c r="CO153" i="2"/>
  <c r="I1057" i="22" s="1"/>
  <c r="D154" i="2"/>
  <c r="D232" i="2" s="1"/>
  <c r="D453" i="2" s="1"/>
  <c r="AL154" i="2"/>
  <c r="J99" i="12" s="1"/>
  <c r="J127" i="12" s="1"/>
  <c r="J118" i="12" s="1"/>
  <c r="AM154" i="2"/>
  <c r="AS154" i="2"/>
  <c r="AS232" i="2" s="1"/>
  <c r="AT154" i="2"/>
  <c r="AT232" i="2" s="1"/>
  <c r="AU154" i="2"/>
  <c r="AU232" i="2" s="1"/>
  <c r="CA154" i="2"/>
  <c r="CB154" i="2" s="1"/>
  <c r="CC154" i="2" s="1"/>
  <c r="CJ154" i="2"/>
  <c r="D1059" i="22" s="1"/>
  <c r="CK154" i="2"/>
  <c r="E1059" i="22" s="1"/>
  <c r="CM154" i="2"/>
  <c r="G1059" i="22" s="1"/>
  <c r="CN154" i="2"/>
  <c r="H1059" i="22" s="1"/>
  <c r="CO154" i="2"/>
  <c r="I1059" i="22" s="1"/>
  <c r="D155" i="2"/>
  <c r="B1060" i="22" s="1"/>
  <c r="AL155" i="2"/>
  <c r="AR155" i="2"/>
  <c r="AS155" i="2"/>
  <c r="AS233" i="2" s="1"/>
  <c r="AT155" i="2"/>
  <c r="AU155" i="2"/>
  <c r="CA155" i="2"/>
  <c r="CB155" i="2" s="1"/>
  <c r="CC155" i="2" s="1"/>
  <c r="CJ155" i="2"/>
  <c r="D1060" i="22" s="1"/>
  <c r="CK155" i="2"/>
  <c r="E1060" i="22" s="1"/>
  <c r="CL155" i="2"/>
  <c r="F1060" i="22" s="1"/>
  <c r="CM155" i="2"/>
  <c r="G1060" i="22" s="1"/>
  <c r="CN155" i="2"/>
  <c r="H1060" i="22" s="1"/>
  <c r="CO155" i="2"/>
  <c r="I1060" i="22" s="1"/>
  <c r="D156" i="2"/>
  <c r="D186" i="2" s="1"/>
  <c r="D201" i="2" s="1"/>
  <c r="D255" i="2" s="1"/>
  <c r="AL156" i="2"/>
  <c r="J101" i="12" s="1"/>
  <c r="AR156" i="2"/>
  <c r="AR234" i="2" s="1"/>
  <c r="AS156" i="2"/>
  <c r="AS234" i="2" s="1"/>
  <c r="AT156" i="2"/>
  <c r="AT234" i="2" s="1"/>
  <c r="AU156" i="2"/>
  <c r="AU234" i="2" s="1"/>
  <c r="CA156" i="2"/>
  <c r="CB156" i="2" s="1"/>
  <c r="CC156" i="2" s="1"/>
  <c r="CJ156" i="2"/>
  <c r="D1061" i="22" s="1"/>
  <c r="CK156" i="2"/>
  <c r="E1061" i="22" s="1"/>
  <c r="CL156" i="2"/>
  <c r="F1061" i="22" s="1"/>
  <c r="CM156" i="2"/>
  <c r="G1061" i="22" s="1"/>
  <c r="CN156" i="2"/>
  <c r="H1061" i="22" s="1"/>
  <c r="CO156" i="2"/>
  <c r="I1061" i="22" s="1"/>
  <c r="D157" i="2"/>
  <c r="D172" i="2" s="1"/>
  <c r="AL157" i="2"/>
  <c r="J102" i="12" s="1"/>
  <c r="J130" i="12" s="1"/>
  <c r="J121" i="12" s="1"/>
  <c r="AR157" i="2"/>
  <c r="AR235" i="2" s="1"/>
  <c r="AS157" i="2"/>
  <c r="AS235" i="2" s="1"/>
  <c r="AT157" i="2"/>
  <c r="AT235" i="2" s="1"/>
  <c r="AU157" i="2"/>
  <c r="AU235" i="2" s="1"/>
  <c r="CA157" i="2"/>
  <c r="CB157" i="2" s="1"/>
  <c r="CC157" i="2" s="1"/>
  <c r="CJ157" i="2"/>
  <c r="D1062" i="22" s="1"/>
  <c r="CK157" i="2"/>
  <c r="E1062" i="22" s="1"/>
  <c r="CL157" i="2"/>
  <c r="F1062" i="22" s="1"/>
  <c r="CM157" i="2"/>
  <c r="G1062" i="22" s="1"/>
  <c r="CN157" i="2"/>
  <c r="H1062" i="22" s="1"/>
  <c r="CO157" i="2"/>
  <c r="I1062" i="22" s="1"/>
  <c r="D158" i="2"/>
  <c r="D236" i="2" s="1"/>
  <c r="D457" i="2" s="1"/>
  <c r="AL158" i="2"/>
  <c r="J103" i="12" s="1"/>
  <c r="AO158" i="2"/>
  <c r="K103" i="12" s="1"/>
  <c r="AR158" i="2"/>
  <c r="AR236" i="2" s="1"/>
  <c r="AS158" i="2"/>
  <c r="AS236" i="2" s="1"/>
  <c r="AU158" i="2"/>
  <c r="AU236" i="2" s="1"/>
  <c r="CA158" i="2"/>
  <c r="CB158" i="2" s="1"/>
  <c r="CC158" i="2" s="1"/>
  <c r="CJ158" i="2"/>
  <c r="D1063" i="22" s="1"/>
  <c r="CK158" i="2"/>
  <c r="E1063" i="22" s="1"/>
  <c r="CL158" i="2"/>
  <c r="F1063" i="22" s="1"/>
  <c r="CM158" i="2"/>
  <c r="G1063" i="22" s="1"/>
  <c r="CO158" i="2"/>
  <c r="I1063" i="22" s="1"/>
  <c r="AL159" i="2"/>
  <c r="J104" i="12" s="1"/>
  <c r="AR159" i="2"/>
  <c r="AR237" i="2" s="1"/>
  <c r="AS159" i="2"/>
  <c r="AS237" i="2" s="1"/>
  <c r="AT159" i="2"/>
  <c r="AT237" i="2" s="1"/>
  <c r="AU159" i="2"/>
  <c r="AU237" i="2" s="1"/>
  <c r="CA159" i="2"/>
  <c r="CB159" i="2" s="1"/>
  <c r="CC159" i="2" s="1"/>
  <c r="CJ159" i="2"/>
  <c r="D1064" i="22" s="1"/>
  <c r="CK159" i="2"/>
  <c r="E1064" i="22" s="1"/>
  <c r="CL159" i="2"/>
  <c r="F1064" i="22" s="1"/>
  <c r="CM159" i="2"/>
  <c r="G1064" i="22" s="1"/>
  <c r="CN159" i="2"/>
  <c r="H1064" i="22" s="1"/>
  <c r="CO159" i="2"/>
  <c r="I1064" i="22" s="1"/>
  <c r="D160" i="2"/>
  <c r="AL160" i="2"/>
  <c r="D163" i="2"/>
  <c r="D174" i="2"/>
  <c r="D178" i="2"/>
  <c r="D193" i="2" s="1"/>
  <c r="D247" i="2" s="1"/>
  <c r="D189" i="2"/>
  <c r="D204" i="2" s="1"/>
  <c r="D258" i="2" s="1"/>
  <c r="AH193" i="2"/>
  <c r="AI193" i="2"/>
  <c r="AI247" i="2" s="1"/>
  <c r="AI163" i="2" s="1"/>
  <c r="AJ193" i="2"/>
  <c r="AK193" i="2"/>
  <c r="AM193" i="2"/>
  <c r="AN193" i="2"/>
  <c r="AN247" i="2" s="1"/>
  <c r="AN163" i="2" s="1"/>
  <c r="AO193" i="2"/>
  <c r="AO247" i="2" s="1"/>
  <c r="AO163" i="2" s="1"/>
  <c r="AP193" i="2"/>
  <c r="AP247" i="2" s="1"/>
  <c r="AP163" i="2" s="1"/>
  <c r="AH194" i="2"/>
  <c r="AI194" i="2"/>
  <c r="AI248" i="2" s="1"/>
  <c r="AI164" i="2" s="1"/>
  <c r="AJ194" i="2"/>
  <c r="AK194" i="2"/>
  <c r="AM194" i="2"/>
  <c r="AN194" i="2"/>
  <c r="AN248" i="2" s="1"/>
  <c r="AN164" i="2" s="1"/>
  <c r="AO194" i="2"/>
  <c r="AO248" i="2" s="1"/>
  <c r="AO164" i="2" s="1"/>
  <c r="AP194" i="2"/>
  <c r="AP248" i="2" s="1"/>
  <c r="AP164" i="2" s="1"/>
  <c r="AH195" i="2"/>
  <c r="AI195" i="2"/>
  <c r="AI249" i="2" s="1"/>
  <c r="AI165" i="2" s="1"/>
  <c r="AJ195" i="2"/>
  <c r="AJ249" i="2" s="1"/>
  <c r="AJ165" i="2" s="1"/>
  <c r="AK195" i="2"/>
  <c r="AK249" i="2" s="1"/>
  <c r="AK165" i="2" s="1"/>
  <c r="AM195" i="2"/>
  <c r="AN195" i="2"/>
  <c r="AN249" i="2" s="1"/>
  <c r="AN165" i="2" s="1"/>
  <c r="AO195" i="2"/>
  <c r="AO249" i="2" s="1"/>
  <c r="AO165" i="2" s="1"/>
  <c r="AP195" i="2"/>
  <c r="AP249" i="2" s="1"/>
  <c r="AP165" i="2" s="1"/>
  <c r="AH196" i="2"/>
  <c r="AI196" i="2"/>
  <c r="AI250" i="2" s="1"/>
  <c r="AJ196" i="2"/>
  <c r="AJ250" i="2" s="1"/>
  <c r="AJ166" i="2" s="1"/>
  <c r="AK196" i="2"/>
  <c r="AK250" i="2" s="1"/>
  <c r="AK166" i="2" s="1"/>
  <c r="AM196" i="2"/>
  <c r="AN196" i="2"/>
  <c r="AO196" i="2"/>
  <c r="AO250" i="2" s="1"/>
  <c r="AO166" i="2" s="1"/>
  <c r="AP196" i="2"/>
  <c r="AP250" i="2" s="1"/>
  <c r="AP166" i="2" s="1"/>
  <c r="AH197" i="2"/>
  <c r="AI197" i="2"/>
  <c r="AI251" i="2" s="1"/>
  <c r="AI167" i="2" s="1"/>
  <c r="AJ197" i="2"/>
  <c r="AJ251" i="2" s="1"/>
  <c r="AJ167" i="2" s="1"/>
  <c r="AK197" i="2"/>
  <c r="AK251" i="2" s="1"/>
  <c r="AK167" i="2" s="1"/>
  <c r="AM197" i="2"/>
  <c r="AN197" i="2"/>
  <c r="AN251" i="2" s="1"/>
  <c r="AN167" i="2" s="1"/>
  <c r="AO197" i="2"/>
  <c r="AO251" i="2" s="1"/>
  <c r="AO167" i="2" s="1"/>
  <c r="AP197" i="2"/>
  <c r="AP251" i="2" s="1"/>
  <c r="AP167" i="2" s="1"/>
  <c r="AH198" i="2"/>
  <c r="AI198" i="2"/>
  <c r="AI252" i="2" s="1"/>
  <c r="AI168" i="2" s="1"/>
  <c r="AJ198" i="2"/>
  <c r="AJ252" i="2" s="1"/>
  <c r="AJ168" i="2" s="1"/>
  <c r="AK198" i="2"/>
  <c r="AM198" i="2"/>
  <c r="AN198" i="2"/>
  <c r="AN252" i="2" s="1"/>
  <c r="AN168" i="2" s="1"/>
  <c r="AO198" i="2"/>
  <c r="AO252" i="2" s="1"/>
  <c r="AP198" i="2"/>
  <c r="AP252" i="2" s="1"/>
  <c r="AP168" i="2" s="1"/>
  <c r="AH199" i="2"/>
  <c r="AI199" i="2"/>
  <c r="AI253" i="2" s="1"/>
  <c r="AI169" i="2" s="1"/>
  <c r="AJ199" i="2"/>
  <c r="AJ253" i="2" s="1"/>
  <c r="AJ169" i="2" s="1"/>
  <c r="AK199" i="2"/>
  <c r="AM199" i="2"/>
  <c r="AN199" i="2"/>
  <c r="AO199" i="2"/>
  <c r="AO253" i="2" s="1"/>
  <c r="AO169" i="2" s="1"/>
  <c r="AP199" i="2"/>
  <c r="AP253" i="2" s="1"/>
  <c r="AP169" i="2" s="1"/>
  <c r="AH200" i="2"/>
  <c r="AH254" i="2" s="1"/>
  <c r="AH170" i="2" s="1"/>
  <c r="AI200" i="2"/>
  <c r="AI254" i="2" s="1"/>
  <c r="AI170" i="2" s="1"/>
  <c r="AJ200" i="2"/>
  <c r="AJ254" i="2" s="1"/>
  <c r="AJ170" i="2" s="1"/>
  <c r="AK200" i="2"/>
  <c r="AM200" i="2"/>
  <c r="AN200" i="2"/>
  <c r="AN254" i="2" s="1"/>
  <c r="AN170" i="2" s="1"/>
  <c r="AO200" i="2"/>
  <c r="AO254" i="2" s="1"/>
  <c r="AO170" i="2" s="1"/>
  <c r="AP200" i="2"/>
  <c r="AP254" i="2" s="1"/>
  <c r="AP170" i="2" s="1"/>
  <c r="AH201" i="2"/>
  <c r="AH255" i="2" s="1"/>
  <c r="AH171" i="2" s="1"/>
  <c r="AI201" i="2"/>
  <c r="AI255" i="2" s="1"/>
  <c r="AI171" i="2" s="1"/>
  <c r="AJ201" i="2"/>
  <c r="AK201" i="2"/>
  <c r="AM201" i="2"/>
  <c r="AN201" i="2"/>
  <c r="AO201" i="2"/>
  <c r="AO255" i="2" s="1"/>
  <c r="AO171" i="2" s="1"/>
  <c r="AP201" i="2"/>
  <c r="AP255" i="2" s="1"/>
  <c r="AP171" i="2" s="1"/>
  <c r="AH202" i="2"/>
  <c r="AI202" i="2"/>
  <c r="AI256" i="2" s="1"/>
  <c r="AI172" i="2" s="1"/>
  <c r="AJ202" i="2"/>
  <c r="AJ256" i="2" s="1"/>
  <c r="AJ172" i="2" s="1"/>
  <c r="AK202" i="2"/>
  <c r="AM202" i="2"/>
  <c r="AN202" i="2"/>
  <c r="AN256" i="2" s="1"/>
  <c r="AN172" i="2" s="1"/>
  <c r="AO202" i="2"/>
  <c r="AO256" i="2" s="1"/>
  <c r="AO172" i="2" s="1"/>
  <c r="AP202" i="2"/>
  <c r="AP256" i="2" s="1"/>
  <c r="AP172" i="2" s="1"/>
  <c r="AH203" i="2"/>
  <c r="AI203" i="2"/>
  <c r="AI257" i="2" s="1"/>
  <c r="AI173" i="2" s="1"/>
  <c r="AJ203" i="2"/>
  <c r="AJ257" i="2" s="1"/>
  <c r="AJ173" i="2" s="1"/>
  <c r="AK203" i="2"/>
  <c r="AK257" i="2" s="1"/>
  <c r="AK173" i="2" s="1"/>
  <c r="AO203" i="2"/>
  <c r="AO257" i="2" s="1"/>
  <c r="AO173" i="2" s="1"/>
  <c r="AP203" i="2"/>
  <c r="AP257" i="2" s="1"/>
  <c r="AP173" i="2" s="1"/>
  <c r="AH204" i="2"/>
  <c r="AI204" i="2"/>
  <c r="AI258" i="2" s="1"/>
  <c r="AI174" i="2" s="1"/>
  <c r="AJ204" i="2"/>
  <c r="AK204" i="2"/>
  <c r="AK258" i="2" s="1"/>
  <c r="AK174" i="2" s="1"/>
  <c r="AM204" i="2"/>
  <c r="AN204" i="2"/>
  <c r="F1362" i="22" s="1"/>
  <c r="H1362" i="22" s="1"/>
  <c r="I1362" i="22" s="1"/>
  <c r="AO204" i="2"/>
  <c r="AO258" i="2" s="1"/>
  <c r="AO174" i="2" s="1"/>
  <c r="AP204" i="2"/>
  <c r="AP258" i="2" s="1"/>
  <c r="AP174" i="2" s="1"/>
  <c r="AK205" i="2"/>
  <c r="AM205" i="2"/>
  <c r="AN205" i="2"/>
  <c r="AO205" i="2"/>
  <c r="AP205" i="2"/>
  <c r="R208" i="2"/>
  <c r="R278" i="2" s="1"/>
  <c r="R295" i="2" s="1"/>
  <c r="R320" i="2" s="1"/>
  <c r="S208" i="2"/>
  <c r="BV208" i="2" s="1"/>
  <c r="T208" i="2"/>
  <c r="T278" i="2" s="1"/>
  <c r="BW278" i="2" s="1"/>
  <c r="U208" i="2"/>
  <c r="BX208" i="2" s="1"/>
  <c r="F247" i="22" s="1"/>
  <c r="V208" i="2"/>
  <c r="V278" i="2" s="1"/>
  <c r="W208" i="2"/>
  <c r="W278" i="2" s="1"/>
  <c r="W295" i="2" s="1"/>
  <c r="W320" i="2" s="1"/>
  <c r="AB208" i="2"/>
  <c r="AB278" i="2" s="1"/>
  <c r="AB295" i="2" s="1"/>
  <c r="AB320" i="2" s="1"/>
  <c r="AE208" i="2"/>
  <c r="AE278" i="2" s="1"/>
  <c r="AE295" i="2" s="1"/>
  <c r="AE320" i="2" s="1"/>
  <c r="H882" i="22" s="1"/>
  <c r="H896" i="22" s="1"/>
  <c r="AF208" i="2"/>
  <c r="AF278" i="2" s="1"/>
  <c r="CG278" i="2" s="1"/>
  <c r="CG295" i="2" s="1"/>
  <c r="CG315" i="2" s="1"/>
  <c r="AG208" i="2"/>
  <c r="AG278" i="2" s="1"/>
  <c r="AG295" i="2" s="1"/>
  <c r="AG320" i="2" s="1"/>
  <c r="AH208" i="2"/>
  <c r="AH278" i="2" s="1"/>
  <c r="AH295" i="2" s="1"/>
  <c r="AH320" i="2" s="1"/>
  <c r="J882" i="22" s="1"/>
  <c r="J896" i="22" s="1"/>
  <c r="AI208" i="2"/>
  <c r="AI278" i="2" s="1"/>
  <c r="CI278" i="2" s="1"/>
  <c r="CI295" i="2" s="1"/>
  <c r="CI315" i="2" s="1"/>
  <c r="AJ208" i="2"/>
  <c r="AJ278" i="2" s="1"/>
  <c r="AJ295" i="2" s="1"/>
  <c r="AJ320" i="2" s="1"/>
  <c r="L882" i="22" s="1"/>
  <c r="L896" i="22" s="1"/>
  <c r="AK208" i="2"/>
  <c r="AK278" i="2" s="1"/>
  <c r="AL208" i="2"/>
  <c r="AL278" i="2" s="1"/>
  <c r="AL295" i="2" s="1"/>
  <c r="AL320" i="2" s="1"/>
  <c r="AM208" i="2"/>
  <c r="AM278" i="2" s="1"/>
  <c r="AM295" i="2" s="1"/>
  <c r="AM320" i="2" s="1"/>
  <c r="AN208" i="2"/>
  <c r="AN278" i="2" s="1"/>
  <c r="CM278" i="2" s="1"/>
  <c r="CM295" i="2" s="1"/>
  <c r="CM315" i="2" s="1"/>
  <c r="AO208" i="2"/>
  <c r="AO278" i="2" s="1"/>
  <c r="AP208" i="2"/>
  <c r="AP278" i="2" s="1"/>
  <c r="AP295" i="2" s="1"/>
  <c r="AP320" i="2" s="1"/>
  <c r="AQ208" i="2"/>
  <c r="AQ278" i="2" s="1"/>
  <c r="AQ295" i="2" s="1"/>
  <c r="AQ320" i="2" s="1"/>
  <c r="AR208" i="2"/>
  <c r="AR278" i="2" s="1"/>
  <c r="AS208" i="2"/>
  <c r="AS278" i="2" s="1"/>
  <c r="AS295" i="2" s="1"/>
  <c r="AS320" i="2" s="1"/>
  <c r="AT208" i="2"/>
  <c r="AT278" i="2" s="1"/>
  <c r="AU208" i="2"/>
  <c r="AU278" i="2" s="1"/>
  <c r="AU295" i="2" s="1"/>
  <c r="AU320" i="2" s="1"/>
  <c r="AV208" i="2"/>
  <c r="AV278" i="2" s="1"/>
  <c r="AV295" i="2" s="1"/>
  <c r="BA208" i="2"/>
  <c r="BA278" i="2" s="1"/>
  <c r="BA295" i="2" s="1"/>
  <c r="BF208" i="2"/>
  <c r="BF278" i="2" s="1"/>
  <c r="BF295" i="2" s="1"/>
  <c r="BK208" i="2"/>
  <c r="BK278" i="2" s="1"/>
  <c r="BK295" i="2" s="1"/>
  <c r="BP208" i="2"/>
  <c r="BP278" i="2" s="1"/>
  <c r="BP295" i="2" s="1"/>
  <c r="BQ208" i="2"/>
  <c r="BR208" i="2"/>
  <c r="BR295" i="2" s="1"/>
  <c r="BS208" i="2"/>
  <c r="BS295" i="2" s="1"/>
  <c r="BT208" i="2"/>
  <c r="BZ208" i="2"/>
  <c r="CA208" i="2"/>
  <c r="I247" i="22" s="1"/>
  <c r="CB208" i="2"/>
  <c r="CB278" i="2" s="1"/>
  <c r="CB295" i="2" s="1"/>
  <c r="CB315" i="2" s="1"/>
  <c r="CC208" i="2"/>
  <c r="CW208" i="2"/>
  <c r="V210" i="2"/>
  <c r="BY210" i="2" s="1"/>
  <c r="BV210" i="2"/>
  <c r="BW210" i="2"/>
  <c r="BX210" i="2"/>
  <c r="BV211" i="2"/>
  <c r="BW211" i="2"/>
  <c r="BX211" i="2"/>
  <c r="BY211" i="2"/>
  <c r="S212" i="2"/>
  <c r="T212" i="2"/>
  <c r="U212" i="2"/>
  <c r="CC212" i="2"/>
  <c r="CD212" i="2"/>
  <c r="CE212" i="2"/>
  <c r="CF212" i="2"/>
  <c r="CG212" i="2"/>
  <c r="CH212" i="2"/>
  <c r="CI212" i="2"/>
  <c r="D214" i="2"/>
  <c r="AE214" i="2"/>
  <c r="AF214" i="2" s="1"/>
  <c r="AH214" i="2"/>
  <c r="AI214" i="2"/>
  <c r="AJ214" i="2"/>
  <c r="AK214" i="2"/>
  <c r="AM214" i="2"/>
  <c r="AN214" i="2"/>
  <c r="AO214" i="2"/>
  <c r="AQ214" i="2"/>
  <c r="AQ215" i="2"/>
  <c r="AE216" i="2"/>
  <c r="AF216" i="2" s="1"/>
  <c r="AO216" i="2"/>
  <c r="AP216" i="2"/>
  <c r="AQ216" i="2"/>
  <c r="AR216" i="2"/>
  <c r="AS216" i="2"/>
  <c r="AT216" i="2"/>
  <c r="AP217" i="2"/>
  <c r="AP385" i="2" s="1"/>
  <c r="AR217" i="2"/>
  <c r="AT217" i="2"/>
  <c r="AU217" i="2"/>
  <c r="AW217" i="2"/>
  <c r="M1710" i="22" s="1"/>
  <c r="AX217" i="2"/>
  <c r="AY217" i="2"/>
  <c r="O1710" i="22" s="1"/>
  <c r="AZ217" i="2"/>
  <c r="DA217" i="2" s="1"/>
  <c r="BB217" i="2"/>
  <c r="DB217" i="2" s="1"/>
  <c r="BV217" i="2"/>
  <c r="BW217" i="2"/>
  <c r="E249" i="22" s="1"/>
  <c r="BX217" i="2"/>
  <c r="F249" i="22" s="1"/>
  <c r="BY217" i="2"/>
  <c r="G249" i="22" s="1"/>
  <c r="BZ217" i="2"/>
  <c r="H249" i="22" s="1"/>
  <c r="CA217" i="2"/>
  <c r="I249" i="22" s="1"/>
  <c r="CB217" i="2"/>
  <c r="J249" i="22" s="1"/>
  <c r="CC217" i="2"/>
  <c r="E883" i="22" s="1"/>
  <c r="CD217" i="2"/>
  <c r="L249" i="22" s="1"/>
  <c r="CE217" i="2"/>
  <c r="M249" i="22" s="1"/>
  <c r="CF217" i="2"/>
  <c r="CG217" i="2"/>
  <c r="H319" i="22" s="1"/>
  <c r="DC217" i="2"/>
  <c r="AG218" i="2"/>
  <c r="AV218" i="2"/>
  <c r="BA218" i="2"/>
  <c r="BF218" i="2"/>
  <c r="BK218" i="2"/>
  <c r="BP218" i="2"/>
  <c r="AO219" i="2"/>
  <c r="CR219" i="2" s="1"/>
  <c r="AS219" i="2"/>
  <c r="CU219" i="2" s="1"/>
  <c r="BR219" i="2"/>
  <c r="BR387" i="2" s="1"/>
  <c r="BS219" i="2"/>
  <c r="BS387" i="2" s="1"/>
  <c r="CT219" i="2"/>
  <c r="CV219" i="2"/>
  <c r="CW219" i="2"/>
  <c r="CX219" i="2"/>
  <c r="CY219" i="2"/>
  <c r="CZ219" i="2"/>
  <c r="DA219" i="2"/>
  <c r="DB219" i="2"/>
  <c r="DC219" i="2"/>
  <c r="AE222" i="2"/>
  <c r="V557" i="22" s="1"/>
  <c r="AG222" i="2"/>
  <c r="AI222" i="2"/>
  <c r="AI303" i="2" s="1"/>
  <c r="AJ222" i="2"/>
  <c r="AJ284" i="2" s="1"/>
  <c r="AK222" i="2"/>
  <c r="AK284" i="2" s="1"/>
  <c r="CO284" i="2" s="1"/>
  <c r="AM222" i="2"/>
  <c r="AN222" i="2"/>
  <c r="AO222" i="2"/>
  <c r="AO284" i="2" s="1"/>
  <c r="AP222" i="2"/>
  <c r="AQ222" i="2"/>
  <c r="AV222" i="2"/>
  <c r="BA222" i="2"/>
  <c r="BF222" i="2"/>
  <c r="BK222" i="2"/>
  <c r="CH222" i="2"/>
  <c r="AE223" i="2"/>
  <c r="AI223" i="2"/>
  <c r="AJ223" i="2"/>
  <c r="AK223" i="2"/>
  <c r="AM223" i="2"/>
  <c r="AN223" i="2"/>
  <c r="AO223" i="2"/>
  <c r="AP223" i="2"/>
  <c r="AQ223" i="2"/>
  <c r="AE224" i="2"/>
  <c r="AI224" i="2"/>
  <c r="AJ224" i="2"/>
  <c r="AK224" i="2"/>
  <c r="AM224" i="2"/>
  <c r="AN224" i="2"/>
  <c r="AO224" i="2"/>
  <c r="AP224" i="2"/>
  <c r="AQ224" i="2"/>
  <c r="AR225" i="2"/>
  <c r="AS225" i="2"/>
  <c r="AT225" i="2"/>
  <c r="AU225" i="2"/>
  <c r="AW225" i="2"/>
  <c r="AX225" i="2"/>
  <c r="AY225" i="2"/>
  <c r="AZ225" i="2"/>
  <c r="V226" i="2"/>
  <c r="M561" i="22" s="1"/>
  <c r="Y226" i="2"/>
  <c r="Z226" i="2"/>
  <c r="Q561" i="22" s="1"/>
  <c r="AC226" i="2"/>
  <c r="M323" i="22" s="1"/>
  <c r="AD226" i="2"/>
  <c r="AF226" i="2"/>
  <c r="AH226" i="2"/>
  <c r="AH227" i="2" s="1"/>
  <c r="CH227" i="2" s="1"/>
  <c r="J906" i="22" s="1"/>
  <c r="J911" i="22" s="1"/>
  <c r="BJ226" i="2"/>
  <c r="BL226" i="2"/>
  <c r="BM226" i="2"/>
  <c r="BN226" i="2"/>
  <c r="BV226" i="2"/>
  <c r="BW226" i="2"/>
  <c r="BX226" i="2"/>
  <c r="AR227" i="2"/>
  <c r="CP227" i="2" s="1"/>
  <c r="AZ227" i="2"/>
  <c r="BC227" i="2"/>
  <c r="BG227" i="2"/>
  <c r="BI227" i="2"/>
  <c r="BI388" i="2" s="1"/>
  <c r="BR227" i="2"/>
  <c r="BR388" i="2" s="1"/>
  <c r="BS227" i="2"/>
  <c r="BS388" i="2" s="1"/>
  <c r="CC227" i="2"/>
  <c r="E906" i="22" s="1"/>
  <c r="CD227" i="2"/>
  <c r="F906" i="22" s="1"/>
  <c r="CE227" i="2"/>
  <c r="G906" i="22" s="1"/>
  <c r="CF227" i="2"/>
  <c r="H906" i="22" s="1"/>
  <c r="H911" i="22" s="1"/>
  <c r="CG227" i="2"/>
  <c r="I906" i="22" s="1"/>
  <c r="I911" i="22" s="1"/>
  <c r="CI227" i="2"/>
  <c r="K906" i="22" s="1"/>
  <c r="K911" i="22" s="1"/>
  <c r="CJ227" i="2"/>
  <c r="L906" i="22" s="1"/>
  <c r="L911" i="22" s="1"/>
  <c r="CK227" i="2"/>
  <c r="CQ227" i="2"/>
  <c r="CR227" i="2"/>
  <c r="CS227" i="2"/>
  <c r="CU227" i="2"/>
  <c r="CV227" i="2"/>
  <c r="CX227" i="2"/>
  <c r="CZ227" i="2"/>
  <c r="BI228" i="2"/>
  <c r="E2891" i="22" s="1"/>
  <c r="D2891" i="22" s="1"/>
  <c r="BK228" i="2"/>
  <c r="L86" i="25" s="1"/>
  <c r="J186" i="25" s="1"/>
  <c r="BL229" i="2"/>
  <c r="BM229" i="2"/>
  <c r="BN229" i="2"/>
  <c r="AE232" i="2"/>
  <c r="AI232" i="2"/>
  <c r="AJ232" i="2"/>
  <c r="AK232" i="2"/>
  <c r="AN232" i="2"/>
  <c r="AO232" i="2"/>
  <c r="AP232" i="2"/>
  <c r="BF232" i="2"/>
  <c r="BK232" i="2"/>
  <c r="BA233" i="2"/>
  <c r="BF233" i="2"/>
  <c r="BK233" i="2"/>
  <c r="BP233" i="2"/>
  <c r="AE234" i="2"/>
  <c r="AI234" i="2"/>
  <c r="AJ234" i="2"/>
  <c r="AK234" i="2"/>
  <c r="AM234" i="2"/>
  <c r="AN234" i="2"/>
  <c r="AO234" i="2"/>
  <c r="AP234" i="2"/>
  <c r="AE235" i="2"/>
  <c r="AI235" i="2"/>
  <c r="AJ235" i="2"/>
  <c r="AK235" i="2"/>
  <c r="AM235" i="2"/>
  <c r="AN235" i="2"/>
  <c r="AO235" i="2"/>
  <c r="AP235" i="2"/>
  <c r="BF235" i="2"/>
  <c r="BK235" i="2"/>
  <c r="AI236" i="2"/>
  <c r="AJ236" i="2"/>
  <c r="AK236" i="2"/>
  <c r="AP236" i="2"/>
  <c r="BF236" i="2"/>
  <c r="BK236" i="2"/>
  <c r="D237" i="2"/>
  <c r="D458" i="2" s="1"/>
  <c r="AE237" i="2"/>
  <c r="AI237" i="2"/>
  <c r="AJ237" i="2"/>
  <c r="AK237" i="2"/>
  <c r="AM237" i="2"/>
  <c r="AN237" i="2"/>
  <c r="AO237" i="2"/>
  <c r="AP237" i="2"/>
  <c r="AF239" i="2"/>
  <c r="I80" i="12" s="1"/>
  <c r="AM239" i="2"/>
  <c r="AM331" i="2" s="1"/>
  <c r="AO239" i="2"/>
  <c r="BR239" i="2"/>
  <c r="BR389" i="2" s="1"/>
  <c r="BS239" i="2"/>
  <c r="BS389" i="2" s="1"/>
  <c r="BV239" i="2"/>
  <c r="BW239" i="2"/>
  <c r="BX239" i="2"/>
  <c r="BY239" i="2"/>
  <c r="BZ239" i="2"/>
  <c r="CA239" i="2"/>
  <c r="CB239" i="2"/>
  <c r="CC239" i="2"/>
  <c r="CD239" i="2"/>
  <c r="CE239" i="2"/>
  <c r="CF239" i="2"/>
  <c r="CH239" i="2"/>
  <c r="CI239" i="2"/>
  <c r="CJ239" i="2"/>
  <c r="CM239" i="2"/>
  <c r="CO239" i="2"/>
  <c r="CQ239" i="2"/>
  <c r="CS239" i="2"/>
  <c r="CT239" i="2"/>
  <c r="CU239" i="2"/>
  <c r="CV239" i="2"/>
  <c r="CW239" i="2"/>
  <c r="CX239" i="2"/>
  <c r="CY239" i="2"/>
  <c r="CZ239" i="2"/>
  <c r="DA239" i="2"/>
  <c r="DB239" i="2"/>
  <c r="DC239" i="2"/>
  <c r="AB240" i="2"/>
  <c r="BF241" i="2"/>
  <c r="BK241" i="2"/>
  <c r="BP241" i="2"/>
  <c r="G242" i="2"/>
  <c r="H242" i="2"/>
  <c r="H3" i="2" s="1"/>
  <c r="I242" i="2"/>
  <c r="I3" i="2" s="1"/>
  <c r="J242" i="2"/>
  <c r="J3" i="2" s="1"/>
  <c r="K242" i="2"/>
  <c r="K3" i="2" s="1"/>
  <c r="L242" i="2"/>
  <c r="M242" i="2"/>
  <c r="M3" i="2" s="1"/>
  <c r="N242" i="2"/>
  <c r="N3" i="2" s="1"/>
  <c r="O242" i="2"/>
  <c r="O3" i="2" s="1"/>
  <c r="P242" i="2"/>
  <c r="P3" i="2" s="1"/>
  <c r="Q242" i="2"/>
  <c r="Q3" i="2" s="1"/>
  <c r="R242" i="2"/>
  <c r="R3" i="2" s="1"/>
  <c r="S242" i="2"/>
  <c r="S3" i="2" s="1"/>
  <c r="T242" i="2"/>
  <c r="U242" i="2"/>
  <c r="U3" i="2" s="1"/>
  <c r="V242" i="2"/>
  <c r="X242" i="2"/>
  <c r="Y242" i="2"/>
  <c r="Y3" i="2" s="1"/>
  <c r="Z242" i="2"/>
  <c r="AA242" i="2"/>
  <c r="AA3" i="2" s="1"/>
  <c r="AC242" i="2"/>
  <c r="AD242" i="2"/>
  <c r="AD260" i="2" s="1"/>
  <c r="AD271" i="2" s="1"/>
  <c r="AE242" i="2"/>
  <c r="AE260" i="2" s="1"/>
  <c r="AE270" i="2" s="1"/>
  <c r="AT242" i="2"/>
  <c r="AU242" i="2"/>
  <c r="AU3" i="2" s="1"/>
  <c r="AW242" i="2"/>
  <c r="AW390" i="2" s="1"/>
  <c r="AX242" i="2"/>
  <c r="AX390" i="2" s="1"/>
  <c r="AY242" i="2"/>
  <c r="BB242" i="2"/>
  <c r="BD242" i="2"/>
  <c r="BD3" i="2" s="1"/>
  <c r="BE242" i="2"/>
  <c r="BE3" i="2" s="1"/>
  <c r="BH242" i="2"/>
  <c r="BH244" i="2" s="1"/>
  <c r="BJ242" i="2"/>
  <c r="BJ244" i="2" s="1"/>
  <c r="BL242" i="2"/>
  <c r="BL3" i="2" s="1"/>
  <c r="AD212" i="33" s="1"/>
  <c r="BN242" i="2"/>
  <c r="BO242" i="2"/>
  <c r="BO244" i="2" s="1"/>
  <c r="BS242" i="2"/>
  <c r="BS390" i="2" s="1"/>
  <c r="BM244" i="2"/>
  <c r="AY245" i="2"/>
  <c r="AZ245" i="2"/>
  <c r="BZ248" i="2"/>
  <c r="CA248" i="2"/>
  <c r="CB248" i="2"/>
  <c r="CC248" i="2"/>
  <c r="CD248" i="2"/>
  <c r="CE248" i="2"/>
  <c r="CF248" i="2"/>
  <c r="CG248" i="2"/>
  <c r="CH249" i="2"/>
  <c r="F1066" i="22" s="1"/>
  <c r="CI249" i="2"/>
  <c r="G1066" i="22" s="1"/>
  <c r="CK249" i="2"/>
  <c r="I1066" i="22" s="1"/>
  <c r="CS249" i="2"/>
  <c r="CT249" i="2"/>
  <c r="CU249" i="2"/>
  <c r="CV249" i="2"/>
  <c r="CW249" i="2"/>
  <c r="CU250" i="2"/>
  <c r="BC257" i="2"/>
  <c r="BC258" i="2" s="1"/>
  <c r="CJ258" i="2"/>
  <c r="CJ249" i="2" s="1"/>
  <c r="H1066" i="22" s="1"/>
  <c r="CL258" i="2"/>
  <c r="CL259" i="2" s="1"/>
  <c r="CM258" i="2"/>
  <c r="CM259" i="2" s="1"/>
  <c r="CN258" i="2"/>
  <c r="CN259" i="2" s="1"/>
  <c r="CO258" i="2"/>
  <c r="CO259" i="2" s="1"/>
  <c r="CP258" i="2"/>
  <c r="DA262" i="2" s="1"/>
  <c r="DE265" i="2" s="1"/>
  <c r="AH259" i="2"/>
  <c r="AI259" i="2"/>
  <c r="AJ259" i="2"/>
  <c r="AK259" i="2"/>
  <c r="CQ259" i="2"/>
  <c r="CQ261" i="2" s="1"/>
  <c r="CR259" i="2"/>
  <c r="CR261" i="2" s="1"/>
  <c r="DC263" i="2" s="1"/>
  <c r="CS259" i="2"/>
  <c r="CT259" i="2"/>
  <c r="CU259" i="2"/>
  <c r="CU261" i="2" s="1"/>
  <c r="I2602" i="22" s="1"/>
  <c r="CW259" i="2"/>
  <c r="CW261" i="2" s="1"/>
  <c r="DH263" i="2" s="1"/>
  <c r="CX259" i="2"/>
  <c r="CX260" i="2" s="1"/>
  <c r="CV261" i="2"/>
  <c r="DG263" i="2" s="1"/>
  <c r="CY261" i="2"/>
  <c r="CZ261" i="2"/>
  <c r="DH261" i="2"/>
  <c r="DL261" i="2"/>
  <c r="CZ262" i="2"/>
  <c r="DD265" i="2" s="1"/>
  <c r="DB262" i="2"/>
  <c r="DF265" i="2" s="1"/>
  <c r="DC262" i="2"/>
  <c r="DG265" i="2" s="1"/>
  <c r="DD262" i="2"/>
  <c r="DH265" i="2" s="1"/>
  <c r="DE262" i="2"/>
  <c r="DI265" i="2" s="1"/>
  <c r="DF262" i="2"/>
  <c r="DJ265" i="2" s="1"/>
  <c r="DG262" i="2"/>
  <c r="DK265" i="2" s="1"/>
  <c r="DH262" i="2"/>
  <c r="DL265" i="2" s="1"/>
  <c r="AH263" i="2"/>
  <c r="AI263" i="2"/>
  <c r="AJ263" i="2"/>
  <c r="AK263" i="2"/>
  <c r="AM263" i="2"/>
  <c r="AN263" i="2"/>
  <c r="AO263" i="2"/>
  <c r="AP263" i="2"/>
  <c r="AD268" i="2"/>
  <c r="AR269" i="2"/>
  <c r="AR270" i="2" s="1"/>
  <c r="AS269" i="2"/>
  <c r="AS270" i="2" s="1"/>
  <c r="AT269" i="2"/>
  <c r="AT270" i="2" s="1"/>
  <c r="AU269" i="2"/>
  <c r="AU270" i="2" s="1"/>
  <c r="AW269" i="2"/>
  <c r="AW270" i="2" s="1"/>
  <c r="T1092" i="22" s="1"/>
  <c r="AX269" i="2"/>
  <c r="AX270" i="2" s="1"/>
  <c r="U1092" i="22" s="1"/>
  <c r="AY269" i="2"/>
  <c r="AY270" i="2" s="1"/>
  <c r="V1092" i="22" s="1"/>
  <c r="AZ269" i="2"/>
  <c r="AZ270" i="2" s="1"/>
  <c r="W1092" i="22" s="1"/>
  <c r="BB269" i="2"/>
  <c r="BB270" i="2" s="1"/>
  <c r="CP269" i="2"/>
  <c r="CQ269" i="2"/>
  <c r="CR269" i="2"/>
  <c r="CS269" i="2"/>
  <c r="CT269" i="2"/>
  <c r="CU269" i="2"/>
  <c r="CV269" i="2"/>
  <c r="CW269" i="2"/>
  <c r="CQ272" i="2"/>
  <c r="CR272" i="2"/>
  <c r="CT272" i="2"/>
  <c r="CV272" i="2"/>
  <c r="CQ273" i="2"/>
  <c r="CR273" i="2"/>
  <c r="CS273" i="2"/>
  <c r="D283" i="2"/>
  <c r="D284" i="2"/>
  <c r="AD284" i="2"/>
  <c r="O53" i="22" s="1"/>
  <c r="O54" i="22" s="1"/>
  <c r="AF284" i="2"/>
  <c r="D285" i="2"/>
  <c r="D286" i="2"/>
  <c r="G295" i="2"/>
  <c r="G320" i="2" s="1"/>
  <c r="H295" i="2"/>
  <c r="H320" i="2" s="1"/>
  <c r="I295" i="2"/>
  <c r="I320" i="2" s="1"/>
  <c r="J295" i="2"/>
  <c r="J320" i="2" s="1"/>
  <c r="K295" i="2"/>
  <c r="K320" i="2" s="1"/>
  <c r="L295" i="2"/>
  <c r="L320" i="2" s="1"/>
  <c r="M295" i="2"/>
  <c r="M320" i="2" s="1"/>
  <c r="N295" i="2"/>
  <c r="N320" i="2" s="1"/>
  <c r="O295" i="2"/>
  <c r="O320" i="2" s="1"/>
  <c r="P295" i="2"/>
  <c r="P320" i="2" s="1"/>
  <c r="Q295" i="2"/>
  <c r="Q320" i="2" s="1"/>
  <c r="V297" i="2"/>
  <c r="G59" i="5" s="1"/>
  <c r="BV297" i="2"/>
  <c r="BW297" i="2"/>
  <c r="BX297" i="2"/>
  <c r="BV298" i="2"/>
  <c r="BW298" i="2"/>
  <c r="BX298" i="2"/>
  <c r="BY298" i="2"/>
  <c r="AA299" i="2"/>
  <c r="AA312" i="2" s="1"/>
  <c r="CD299" i="2"/>
  <c r="CE299" i="2"/>
  <c r="CF299" i="2"/>
  <c r="CH299" i="2"/>
  <c r="D300" i="2"/>
  <c r="D325" i="2" s="1"/>
  <c r="AP300" i="2"/>
  <c r="AP302" i="2" s="1"/>
  <c r="AP312" i="2" s="1"/>
  <c r="AR300" i="2"/>
  <c r="AR302" i="2" s="1"/>
  <c r="AR327" i="2" s="1"/>
  <c r="AT300" i="2"/>
  <c r="AU300" i="2"/>
  <c r="AW300" i="2"/>
  <c r="AX300" i="2"/>
  <c r="AY300" i="2"/>
  <c r="AZ300" i="2"/>
  <c r="BV300" i="2"/>
  <c r="BW300" i="2"/>
  <c r="BX300" i="2"/>
  <c r="BY300" i="2"/>
  <c r="BZ300" i="2"/>
  <c r="CA300" i="2"/>
  <c r="CB300" i="2"/>
  <c r="CC300" i="2"/>
  <c r="CD300" i="2"/>
  <c r="CE300" i="2"/>
  <c r="CF300" i="2"/>
  <c r="CG300" i="2"/>
  <c r="D301" i="2"/>
  <c r="D326" i="2" s="1"/>
  <c r="D371" i="2" s="1"/>
  <c r="AG301" i="2"/>
  <c r="AH301" i="2"/>
  <c r="AH326" i="2" s="1"/>
  <c r="AV301" i="2"/>
  <c r="BA301" i="2"/>
  <c r="BF301" i="2"/>
  <c r="BK301" i="2"/>
  <c r="BP301" i="2"/>
  <c r="D302" i="2"/>
  <c r="D327" i="2" s="1"/>
  <c r="D372" i="2" s="1"/>
  <c r="AF302" i="2"/>
  <c r="AO302" i="2"/>
  <c r="AO327" i="2" s="1"/>
  <c r="AS302" i="2"/>
  <c r="BC302" i="2"/>
  <c r="BC327" i="2" s="1"/>
  <c r="BD302" i="2"/>
  <c r="BD327" i="2" s="1"/>
  <c r="G354" i="2" s="1"/>
  <c r="BE302" i="2"/>
  <c r="BO302" i="2"/>
  <c r="BO327" i="2" s="1"/>
  <c r="CY302" i="2"/>
  <c r="DC302" i="2"/>
  <c r="D303" i="2"/>
  <c r="D328" i="2" s="1"/>
  <c r="D373" i="2" s="1"/>
  <c r="AC303" i="2"/>
  <c r="AD303" i="2"/>
  <c r="U558" i="22" s="1"/>
  <c r="AH303" i="2"/>
  <c r="AH304" i="2" s="1"/>
  <c r="D304" i="2"/>
  <c r="D329" i="2" s="1"/>
  <c r="D364" i="2" s="1"/>
  <c r="V304" i="2"/>
  <c r="X304" i="2"/>
  <c r="O562" i="22" s="1"/>
  <c r="AF304" i="2"/>
  <c r="BV304" i="2"/>
  <c r="BW304" i="2"/>
  <c r="BX304" i="2"/>
  <c r="D305" i="2"/>
  <c r="D330" i="2" s="1"/>
  <c r="D375" i="2" s="1"/>
  <c r="O305" i="2"/>
  <c r="P305" i="2"/>
  <c r="Q305" i="2"/>
  <c r="R305" i="2"/>
  <c r="S305" i="2"/>
  <c r="T305" i="2"/>
  <c r="U305" i="2"/>
  <c r="AR305" i="2"/>
  <c r="AY305" i="2"/>
  <c r="DA305" i="2" s="1"/>
  <c r="AZ305" i="2"/>
  <c r="DB305" i="2" s="1"/>
  <c r="BI305" i="2"/>
  <c r="BL305" i="2"/>
  <c r="BM305" i="2"/>
  <c r="BM312" i="2" s="1"/>
  <c r="BM333" i="2" s="1"/>
  <c r="BN305" i="2"/>
  <c r="BO305" i="2"/>
  <c r="BO330" i="2" s="1"/>
  <c r="BQ305" i="2"/>
  <c r="CC305" i="2"/>
  <c r="CD305" i="2"/>
  <c r="CE305" i="2"/>
  <c r="CF305" i="2"/>
  <c r="CG305" i="2"/>
  <c r="CH305" i="2"/>
  <c r="CI305" i="2"/>
  <c r="CY305" i="2"/>
  <c r="CZ305" i="2"/>
  <c r="DC305" i="2"/>
  <c r="DD305" i="2"/>
  <c r="BI306" i="2"/>
  <c r="BK306" i="2"/>
  <c r="BL306" i="2"/>
  <c r="BL338" i="2" s="1"/>
  <c r="BM306" i="2"/>
  <c r="BN306" i="2"/>
  <c r="BN338" i="2" s="1"/>
  <c r="BL308" i="2"/>
  <c r="BL315" i="2" s="1"/>
  <c r="R208" i="33" s="1"/>
  <c r="BM308" i="2"/>
  <c r="BM315" i="2" s="1"/>
  <c r="Q208" i="33" s="1"/>
  <c r="BN308" i="2"/>
  <c r="L216" i="33" s="1"/>
  <c r="BO308" i="2"/>
  <c r="Y310" i="2"/>
  <c r="CA310" i="2" s="1"/>
  <c r="AF310" i="2"/>
  <c r="AN310" i="2"/>
  <c r="AN331" i="2" s="1"/>
  <c r="BD310" i="2"/>
  <c r="BD331" i="2" s="1"/>
  <c r="BB358" i="2" s="1"/>
  <c r="BE310" i="2"/>
  <c r="DB310" i="2" s="1"/>
  <c r="BI310" i="2"/>
  <c r="O160" i="12" s="1"/>
  <c r="N49" i="4" s="1"/>
  <c r="BO310" i="2"/>
  <c r="P160" i="12" s="1"/>
  <c r="BQ310" i="2"/>
  <c r="BA524" i="2" s="1"/>
  <c r="BS310" i="2"/>
  <c r="BV310" i="2"/>
  <c r="BW310" i="2"/>
  <c r="BX310" i="2"/>
  <c r="BY310" i="2"/>
  <c r="BZ310" i="2"/>
  <c r="CB310" i="2"/>
  <c r="CC310" i="2"/>
  <c r="CD310" i="2"/>
  <c r="CF310" i="2"/>
  <c r="CH310" i="2"/>
  <c r="CI310" i="2"/>
  <c r="CY310" i="2"/>
  <c r="DC310" i="2"/>
  <c r="DD310" i="2"/>
  <c r="W311" i="2"/>
  <c r="BK311" i="2"/>
  <c r="BP311" i="2"/>
  <c r="G312" i="2"/>
  <c r="H312" i="2"/>
  <c r="I312" i="2"/>
  <c r="I17" i="2" s="1"/>
  <c r="J312" i="2"/>
  <c r="J17" i="2" s="1"/>
  <c r="K312" i="2"/>
  <c r="L312" i="2"/>
  <c r="M312" i="2"/>
  <c r="M316" i="2" s="1"/>
  <c r="N312" i="2"/>
  <c r="N316" i="2" s="1"/>
  <c r="O312" i="2"/>
  <c r="P312" i="2"/>
  <c r="P393" i="2" s="1"/>
  <c r="Q312" i="2"/>
  <c r="Q316" i="2" s="1"/>
  <c r="R312" i="2"/>
  <c r="S312" i="2"/>
  <c r="S316" i="2" s="1"/>
  <c r="S334" i="2" s="1"/>
  <c r="T312" i="2"/>
  <c r="T316" i="2" s="1"/>
  <c r="T334" i="2" s="1"/>
  <c r="U312" i="2"/>
  <c r="V312" i="2"/>
  <c r="V17" i="2" s="1"/>
  <c r="X312" i="2"/>
  <c r="X333" i="2" s="1"/>
  <c r="Z312" i="2"/>
  <c r="Z393" i="2" s="1"/>
  <c r="AC312" i="2"/>
  <c r="AC393" i="2" s="1"/>
  <c r="AD312" i="2"/>
  <c r="AD393" i="2" s="1"/>
  <c r="AE312" i="2"/>
  <c r="AE17" i="2" s="1"/>
  <c r="AF312" i="2"/>
  <c r="AF17" i="2" s="1"/>
  <c r="AT312" i="2"/>
  <c r="AU312" i="2"/>
  <c r="AU17" i="2" s="1"/>
  <c r="AU35" i="2" s="1"/>
  <c r="AW312" i="2"/>
  <c r="AW313" i="2" s="1"/>
  <c r="BB312" i="2"/>
  <c r="BB313" i="2" s="1"/>
  <c r="BG312" i="2"/>
  <c r="BG17" i="2" s="1"/>
  <c r="BH312" i="2"/>
  <c r="BH17" i="2" s="1"/>
  <c r="BJ312" i="2"/>
  <c r="BJ17" i="2" s="1"/>
  <c r="D313" i="2"/>
  <c r="AF313" i="2"/>
  <c r="AF316" i="2"/>
  <c r="BG320" i="2"/>
  <c r="J353" i="2" s="1"/>
  <c r="BH320" i="2"/>
  <c r="K353" i="2" s="1"/>
  <c r="BI320" i="2"/>
  <c r="L353" i="2" s="1"/>
  <c r="BJ320" i="2"/>
  <c r="BG353" i="2" s="1"/>
  <c r="G322" i="2"/>
  <c r="H322" i="2"/>
  <c r="I322" i="2"/>
  <c r="J322" i="2"/>
  <c r="K322" i="2"/>
  <c r="L322" i="2"/>
  <c r="M322" i="2"/>
  <c r="N322" i="2"/>
  <c r="O322" i="2"/>
  <c r="P322" i="2"/>
  <c r="Q322" i="2"/>
  <c r="R322" i="2"/>
  <c r="S322" i="2"/>
  <c r="T322" i="2"/>
  <c r="U322" i="2"/>
  <c r="G323" i="2"/>
  <c r="H323" i="2"/>
  <c r="I323" i="2"/>
  <c r="J323" i="2"/>
  <c r="K323" i="2"/>
  <c r="L323" i="2"/>
  <c r="M323" i="2"/>
  <c r="N323" i="2"/>
  <c r="O323" i="2"/>
  <c r="P323" i="2"/>
  <c r="Q323" i="2"/>
  <c r="R323" i="2"/>
  <c r="S323" i="2"/>
  <c r="T323" i="2"/>
  <c r="U323" i="2"/>
  <c r="V323" i="2"/>
  <c r="V324" i="2"/>
  <c r="X324" i="2"/>
  <c r="Y324" i="2"/>
  <c r="Z324" i="2"/>
  <c r="AC324" i="2"/>
  <c r="AD324" i="2"/>
  <c r="AE324" i="2"/>
  <c r="AF324" i="2"/>
  <c r="AH324" i="2"/>
  <c r="G325" i="2"/>
  <c r="H325" i="2"/>
  <c r="I325" i="2"/>
  <c r="J325" i="2"/>
  <c r="K325" i="2"/>
  <c r="L325" i="2"/>
  <c r="M325" i="2"/>
  <c r="N325" i="2"/>
  <c r="O325" i="2"/>
  <c r="P325" i="2"/>
  <c r="Q325" i="2"/>
  <c r="R325" i="2"/>
  <c r="S325" i="2"/>
  <c r="T325" i="2"/>
  <c r="U325" i="2"/>
  <c r="V325" i="2"/>
  <c r="X325" i="2"/>
  <c r="Y325" i="2"/>
  <c r="Z325" i="2"/>
  <c r="D884" i="22" s="1"/>
  <c r="AA325" i="2"/>
  <c r="E884" i="22" s="1"/>
  <c r="AC325" i="2"/>
  <c r="F884" i="22" s="1"/>
  <c r="AD325" i="2"/>
  <c r="G884" i="22" s="1"/>
  <c r="AE325" i="2"/>
  <c r="H884" i="22" s="1"/>
  <c r="AF325" i="2"/>
  <c r="I884" i="22" s="1"/>
  <c r="AO325" i="2"/>
  <c r="AF326" i="2"/>
  <c r="AI326" i="2"/>
  <c r="AJ326" i="2"/>
  <c r="AK326" i="2"/>
  <c r="AM326" i="2"/>
  <c r="AN326" i="2"/>
  <c r="AO326" i="2"/>
  <c r="AP326" i="2"/>
  <c r="AR326" i="2"/>
  <c r="AS326" i="2"/>
  <c r="AT326" i="2"/>
  <c r="AU326" i="2"/>
  <c r="AT327" i="2"/>
  <c r="AU327" i="2"/>
  <c r="AW327" i="2"/>
  <c r="AX327" i="2"/>
  <c r="AY327" i="2"/>
  <c r="AZ327" i="2"/>
  <c r="BB327" i="2"/>
  <c r="E354" i="2" s="1"/>
  <c r="BG327" i="2"/>
  <c r="BD354" i="2" s="1"/>
  <c r="BH327" i="2"/>
  <c r="K354" i="2" s="1"/>
  <c r="BI327" i="2"/>
  <c r="BJ327" i="2"/>
  <c r="BG354" i="2" s="1"/>
  <c r="BL327" i="2"/>
  <c r="BM327" i="2"/>
  <c r="BN327" i="2"/>
  <c r="AF328" i="2"/>
  <c r="G329" i="2"/>
  <c r="H329" i="2"/>
  <c r="I329" i="2"/>
  <c r="J329" i="2"/>
  <c r="K329" i="2"/>
  <c r="L329" i="2"/>
  <c r="M329" i="2"/>
  <c r="N329" i="2"/>
  <c r="O329" i="2"/>
  <c r="P329" i="2"/>
  <c r="Q329" i="2"/>
  <c r="R329" i="2"/>
  <c r="S329" i="2"/>
  <c r="T329" i="2"/>
  <c r="U329" i="2"/>
  <c r="V330" i="2"/>
  <c r="X330" i="2"/>
  <c r="Y330" i="2"/>
  <c r="Z330" i="2"/>
  <c r="AA330" i="2"/>
  <c r="E898" i="22" s="1"/>
  <c r="AC330" i="2"/>
  <c r="F898" i="22" s="1"/>
  <c r="AD330" i="2"/>
  <c r="G898" i="22" s="1"/>
  <c r="AE330" i="2"/>
  <c r="H898" i="22" s="1"/>
  <c r="AF330" i="2"/>
  <c r="I898" i="22" s="1"/>
  <c r="AI330" i="2"/>
  <c r="K898" i="22" s="1"/>
  <c r="AJ330" i="2"/>
  <c r="L898" i="22" s="1"/>
  <c r="AK330" i="2"/>
  <c r="AM330" i="2"/>
  <c r="AN330" i="2"/>
  <c r="AO330" i="2"/>
  <c r="AP330" i="2"/>
  <c r="AS330" i="2"/>
  <c r="AT330" i="2"/>
  <c r="AU330" i="2"/>
  <c r="AW330" i="2"/>
  <c r="AX330" i="2"/>
  <c r="BB330" i="2"/>
  <c r="E355" i="2" s="1"/>
  <c r="BD330" i="2"/>
  <c r="BE330" i="2"/>
  <c r="BC355" i="2" s="1"/>
  <c r="BH330" i="2"/>
  <c r="BE355" i="2" s="1"/>
  <c r="BJ330" i="2"/>
  <c r="BG355" i="2" s="1"/>
  <c r="G331" i="2"/>
  <c r="H331" i="2"/>
  <c r="I331" i="2"/>
  <c r="J331" i="2"/>
  <c r="K331" i="2"/>
  <c r="L331" i="2"/>
  <c r="M331" i="2"/>
  <c r="N331" i="2"/>
  <c r="O331" i="2"/>
  <c r="P331" i="2"/>
  <c r="Q331" i="2"/>
  <c r="R331" i="2"/>
  <c r="S331" i="2"/>
  <c r="T331" i="2"/>
  <c r="U331" i="2"/>
  <c r="V331" i="2"/>
  <c r="X331" i="2"/>
  <c r="Z331" i="2"/>
  <c r="AA331" i="2"/>
  <c r="AC331" i="2"/>
  <c r="AD331" i="2"/>
  <c r="AE331" i="2"/>
  <c r="AH331" i="2"/>
  <c r="AI331" i="2"/>
  <c r="AJ331" i="2"/>
  <c r="AK331" i="2"/>
  <c r="AP331" i="2"/>
  <c r="AR331" i="2"/>
  <c r="AS331" i="2"/>
  <c r="AT331" i="2"/>
  <c r="AU331" i="2"/>
  <c r="AW331" i="2"/>
  <c r="AY331" i="2"/>
  <c r="AZ331" i="2"/>
  <c r="BB331" i="2"/>
  <c r="E358" i="2" s="1"/>
  <c r="BC331" i="2"/>
  <c r="BA358" i="2" s="1"/>
  <c r="BG331" i="2"/>
  <c r="BD358" i="2" s="1"/>
  <c r="BH331" i="2"/>
  <c r="K358" i="2" s="1"/>
  <c r="BJ331" i="2"/>
  <c r="BG358" i="2" s="1"/>
  <c r="BL331" i="2"/>
  <c r="BM331" i="2"/>
  <c r="BN331" i="2"/>
  <c r="G332" i="2"/>
  <c r="H332" i="2"/>
  <c r="I332" i="2"/>
  <c r="J332" i="2"/>
  <c r="K332" i="2"/>
  <c r="L332" i="2"/>
  <c r="M332" i="2"/>
  <c r="N332" i="2"/>
  <c r="O332" i="2"/>
  <c r="P332" i="2"/>
  <c r="Q332" i="2"/>
  <c r="R332" i="2"/>
  <c r="S332" i="2"/>
  <c r="T332" i="2"/>
  <c r="BJ338" i="2"/>
  <c r="BJ348" i="2" s="1"/>
  <c r="BJ339" i="2"/>
  <c r="BL339" i="2"/>
  <c r="BM339" i="2"/>
  <c r="BN339" i="2"/>
  <c r="BN347" i="2" s="1"/>
  <c r="BO339" i="2"/>
  <c r="BL341" i="2"/>
  <c r="BM341" i="2"/>
  <c r="BN341" i="2"/>
  <c r="D353" i="2"/>
  <c r="I353" i="2"/>
  <c r="M353" i="2"/>
  <c r="N353" i="2"/>
  <c r="O353" i="2"/>
  <c r="P353" i="2"/>
  <c r="Q353" i="2"/>
  <c r="R353" i="2"/>
  <c r="S353" i="2"/>
  <c r="T353" i="2"/>
  <c r="U353" i="2"/>
  <c r="V353" i="2"/>
  <c r="W353" i="2"/>
  <c r="X353" i="2"/>
  <c r="Y353" i="2"/>
  <c r="Z353" i="2"/>
  <c r="AA353" i="2"/>
  <c r="AB353" i="2"/>
  <c r="AC353" i="2"/>
  <c r="AD353" i="2"/>
  <c r="AE353" i="2"/>
  <c r="AF353" i="2"/>
  <c r="AG353" i="2"/>
  <c r="AH353" i="2"/>
  <c r="AI353" i="2"/>
  <c r="AJ353" i="2"/>
  <c r="AK353" i="2"/>
  <c r="AL353" i="2"/>
  <c r="AM353" i="2"/>
  <c r="AN353" i="2"/>
  <c r="AO353" i="2"/>
  <c r="AP353" i="2"/>
  <c r="AQ353" i="2"/>
  <c r="AR353" i="2"/>
  <c r="AS353" i="2"/>
  <c r="AT353" i="2"/>
  <c r="AU353" i="2"/>
  <c r="AV353" i="2"/>
  <c r="AW353" i="2"/>
  <c r="AX353" i="2"/>
  <c r="AY353" i="2"/>
  <c r="AZ353" i="2"/>
  <c r="I354" i="2"/>
  <c r="M354" i="2"/>
  <c r="N354" i="2"/>
  <c r="O354" i="2"/>
  <c r="P354" i="2"/>
  <c r="Q354" i="2"/>
  <c r="R354" i="2"/>
  <c r="S354" i="2"/>
  <c r="T354" i="2"/>
  <c r="U354" i="2"/>
  <c r="V354" i="2"/>
  <c r="W354" i="2"/>
  <c r="X354" i="2"/>
  <c r="Y354" i="2"/>
  <c r="Z354" i="2"/>
  <c r="AA354" i="2"/>
  <c r="AB354" i="2"/>
  <c r="AC354" i="2"/>
  <c r="AD354" i="2"/>
  <c r="AE354" i="2"/>
  <c r="AF354" i="2"/>
  <c r="AG354" i="2"/>
  <c r="AH354" i="2"/>
  <c r="AI354" i="2"/>
  <c r="AJ354" i="2"/>
  <c r="AK354" i="2"/>
  <c r="AL354" i="2"/>
  <c r="AM354" i="2"/>
  <c r="AN354" i="2"/>
  <c r="AO354" i="2"/>
  <c r="AP354" i="2"/>
  <c r="AQ354" i="2"/>
  <c r="AR354" i="2"/>
  <c r="AS354" i="2"/>
  <c r="AT354" i="2"/>
  <c r="AU354" i="2"/>
  <c r="AV354" i="2"/>
  <c r="AW354" i="2"/>
  <c r="AX354" i="2"/>
  <c r="AY354" i="2"/>
  <c r="AZ354" i="2"/>
  <c r="I355" i="2"/>
  <c r="M355" i="2"/>
  <c r="N355" i="2"/>
  <c r="O355" i="2"/>
  <c r="P355" i="2"/>
  <c r="Q355" i="2"/>
  <c r="R355" i="2"/>
  <c r="S355" i="2"/>
  <c r="T355" i="2"/>
  <c r="U355" i="2"/>
  <c r="V355" i="2"/>
  <c r="W355" i="2"/>
  <c r="X355" i="2"/>
  <c r="Y355" i="2"/>
  <c r="Z355" i="2"/>
  <c r="AA355" i="2"/>
  <c r="AB355" i="2"/>
  <c r="AC355" i="2"/>
  <c r="AD355" i="2"/>
  <c r="AE355" i="2"/>
  <c r="AF355" i="2"/>
  <c r="AG355" i="2"/>
  <c r="AH355" i="2"/>
  <c r="AI355" i="2"/>
  <c r="AJ355" i="2"/>
  <c r="AK355" i="2"/>
  <c r="AL355" i="2"/>
  <c r="AM355" i="2"/>
  <c r="AN355" i="2"/>
  <c r="AO355" i="2"/>
  <c r="AP355" i="2"/>
  <c r="AQ355" i="2"/>
  <c r="AR355" i="2"/>
  <c r="AS355" i="2"/>
  <c r="AT355" i="2"/>
  <c r="AU355" i="2"/>
  <c r="AV355" i="2"/>
  <c r="AW355" i="2"/>
  <c r="AX355" i="2"/>
  <c r="AY355" i="2"/>
  <c r="AZ355" i="2"/>
  <c r="E356" i="2"/>
  <c r="F356" i="2"/>
  <c r="G356" i="2"/>
  <c r="H356" i="2"/>
  <c r="I356" i="2"/>
  <c r="J356" i="2"/>
  <c r="K356" i="2"/>
  <c r="L356" i="2"/>
  <c r="M356" i="2"/>
  <c r="N356" i="2"/>
  <c r="O356" i="2"/>
  <c r="P356" i="2"/>
  <c r="Q356" i="2"/>
  <c r="R356" i="2"/>
  <c r="S356" i="2"/>
  <c r="T356" i="2"/>
  <c r="U356" i="2"/>
  <c r="V356" i="2"/>
  <c r="W356" i="2"/>
  <c r="X356" i="2"/>
  <c r="Y356" i="2"/>
  <c r="Z356" i="2"/>
  <c r="AA356" i="2"/>
  <c r="AB356" i="2"/>
  <c r="AC356" i="2"/>
  <c r="AD356" i="2"/>
  <c r="AE356" i="2"/>
  <c r="AF356" i="2"/>
  <c r="AG356" i="2"/>
  <c r="AH356" i="2"/>
  <c r="AI356" i="2"/>
  <c r="AJ356" i="2"/>
  <c r="AK356" i="2"/>
  <c r="AL356" i="2"/>
  <c r="AM356" i="2"/>
  <c r="AN356" i="2"/>
  <c r="AO356" i="2"/>
  <c r="AP356" i="2"/>
  <c r="AQ356" i="2"/>
  <c r="AR356" i="2"/>
  <c r="AS356" i="2"/>
  <c r="AT356" i="2"/>
  <c r="AU356" i="2"/>
  <c r="AV356" i="2"/>
  <c r="AW356" i="2"/>
  <c r="AX356" i="2"/>
  <c r="AY356" i="2"/>
  <c r="AZ356" i="2"/>
  <c r="BA356" i="2"/>
  <c r="BB356" i="2"/>
  <c r="BC356" i="2"/>
  <c r="BD356" i="2"/>
  <c r="BE356" i="2"/>
  <c r="BF356" i="2"/>
  <c r="BG356" i="2"/>
  <c r="I358" i="2"/>
  <c r="M358" i="2"/>
  <c r="N358" i="2"/>
  <c r="O358" i="2"/>
  <c r="P358" i="2"/>
  <c r="Q358" i="2"/>
  <c r="R358" i="2"/>
  <c r="S358" i="2"/>
  <c r="T358" i="2"/>
  <c r="U358" i="2"/>
  <c r="V358" i="2"/>
  <c r="W358" i="2"/>
  <c r="X358" i="2"/>
  <c r="Y358" i="2"/>
  <c r="Z358" i="2"/>
  <c r="AA358" i="2"/>
  <c r="AB358" i="2"/>
  <c r="AC358" i="2"/>
  <c r="AD358" i="2"/>
  <c r="AE358" i="2"/>
  <c r="AF358" i="2"/>
  <c r="AG358" i="2"/>
  <c r="AH358" i="2"/>
  <c r="AI358" i="2"/>
  <c r="AJ358" i="2"/>
  <c r="AK358" i="2"/>
  <c r="AL358" i="2"/>
  <c r="AM358" i="2"/>
  <c r="AN358" i="2"/>
  <c r="AO358" i="2"/>
  <c r="AP358" i="2"/>
  <c r="AQ358" i="2"/>
  <c r="AR358" i="2"/>
  <c r="AS358" i="2"/>
  <c r="AT358" i="2"/>
  <c r="AU358" i="2"/>
  <c r="AV358" i="2"/>
  <c r="AW358" i="2"/>
  <c r="AX358" i="2"/>
  <c r="AY358" i="2"/>
  <c r="AZ358" i="2"/>
  <c r="K362" i="2"/>
  <c r="L362" i="2"/>
  <c r="M362" i="2"/>
  <c r="N362" i="2"/>
  <c r="O362" i="2"/>
  <c r="P362" i="2"/>
  <c r="Q362" i="2"/>
  <c r="R362" i="2"/>
  <c r="AC362" i="2"/>
  <c r="AD362" i="2"/>
  <c r="AE362" i="2"/>
  <c r="K363" i="2"/>
  <c r="L363" i="2"/>
  <c r="M363" i="2"/>
  <c r="N363" i="2"/>
  <c r="O363" i="2"/>
  <c r="P363" i="2"/>
  <c r="Q363" i="2"/>
  <c r="R363" i="2"/>
  <c r="S363" i="2"/>
  <c r="T363" i="2"/>
  <c r="U363" i="2"/>
  <c r="V363" i="2"/>
  <c r="X363" i="2"/>
  <c r="Y363" i="2"/>
  <c r="Z363" i="2"/>
  <c r="AA363" i="2"/>
  <c r="AC363" i="2"/>
  <c r="AD363" i="2"/>
  <c r="AE363" i="2"/>
  <c r="AF363" i="2"/>
  <c r="K364" i="2"/>
  <c r="L364" i="2"/>
  <c r="M364" i="2"/>
  <c r="N364" i="2"/>
  <c r="O364" i="2"/>
  <c r="P364" i="2"/>
  <c r="Q364" i="2"/>
  <c r="R364" i="2"/>
  <c r="S364" i="2"/>
  <c r="T364" i="2"/>
  <c r="U364" i="2"/>
  <c r="AC364" i="2"/>
  <c r="D365" i="2"/>
  <c r="K365" i="2"/>
  <c r="L365" i="2"/>
  <c r="M365" i="2"/>
  <c r="N365" i="2"/>
  <c r="O365" i="2"/>
  <c r="P365" i="2"/>
  <c r="Q365" i="2"/>
  <c r="R365" i="2"/>
  <c r="S365" i="2"/>
  <c r="T365" i="2"/>
  <c r="U365" i="2"/>
  <c r="V365" i="2"/>
  <c r="X365" i="2"/>
  <c r="Z365" i="2"/>
  <c r="AA365" i="2"/>
  <c r="AC365" i="2"/>
  <c r="AE365" i="2"/>
  <c r="D367" i="2"/>
  <c r="D369" i="2"/>
  <c r="AL369" i="2"/>
  <c r="AD370" i="2"/>
  <c r="AD385" i="2" s="1"/>
  <c r="AE370" i="2"/>
  <c r="AE385" i="2" s="1"/>
  <c r="AR370" i="2"/>
  <c r="AS370" i="2"/>
  <c r="AT370" i="2"/>
  <c r="AU370" i="2"/>
  <c r="AK371" i="2"/>
  <c r="AK386" i="2" s="1"/>
  <c r="AQ371" i="2"/>
  <c r="BE372" i="2"/>
  <c r="BE387" i="2" s="1"/>
  <c r="BB374" i="2"/>
  <c r="BB388" i="2" s="1"/>
  <c r="BC374" i="2"/>
  <c r="BC378" i="2" s="1"/>
  <c r="BD374" i="2"/>
  <c r="BD378" i="2" s="1"/>
  <c r="BE374" i="2"/>
  <c r="BE388" i="2" s="1"/>
  <c r="AD375" i="2"/>
  <c r="AD388" i="2" s="1"/>
  <c r="AE375" i="2"/>
  <c r="D376" i="2"/>
  <c r="AD376" i="2"/>
  <c r="AE376" i="2"/>
  <c r="AE389" i="2" s="1"/>
  <c r="AL376" i="2"/>
  <c r="AQ376" i="2"/>
  <c r="AZ376" i="2"/>
  <c r="BE377" i="2"/>
  <c r="K378" i="2"/>
  <c r="M378" i="2" s="1"/>
  <c r="O378" i="2"/>
  <c r="R378" i="2" s="1"/>
  <c r="AB378" i="2"/>
  <c r="AA378" i="2" s="1"/>
  <c r="AG378" i="2"/>
  <c r="AF378" i="2" s="1"/>
  <c r="AF371" i="2" s="1"/>
  <c r="AF386" i="2" s="1"/>
  <c r="AH378" i="2"/>
  <c r="AL378" i="2"/>
  <c r="AM378" i="2"/>
  <c r="AP378" i="2"/>
  <c r="AQ378" i="2"/>
  <c r="AR378" i="2"/>
  <c r="AS378" i="2"/>
  <c r="AT378" i="2"/>
  <c r="AU378" i="2"/>
  <c r="AZ378" i="2"/>
  <c r="BE378" i="2"/>
  <c r="BG378" i="2"/>
  <c r="BI378" i="2"/>
  <c r="BJ378" i="2"/>
  <c r="BL378" i="2"/>
  <c r="BM378" i="2"/>
  <c r="BM390" i="2" s="1"/>
  <c r="BN378" i="2"/>
  <c r="BO378" i="2"/>
  <c r="BQ378" i="2"/>
  <c r="BR378" i="2"/>
  <c r="BL380" i="2"/>
  <c r="BM380" i="2"/>
  <c r="BN380" i="2"/>
  <c r="BL382" i="2"/>
  <c r="BM382" i="2"/>
  <c r="BN382" i="2"/>
  <c r="D384" i="2"/>
  <c r="AH384" i="2"/>
  <c r="AO385" i="2"/>
  <c r="AH386" i="2"/>
  <c r="AI386" i="2"/>
  <c r="AJ386" i="2"/>
  <c r="AM386" i="2"/>
  <c r="AN386" i="2"/>
  <c r="AO386" i="2"/>
  <c r="AP386" i="2"/>
  <c r="AR386" i="2"/>
  <c r="AS386" i="2"/>
  <c r="AT386" i="2"/>
  <c r="AU386" i="2"/>
  <c r="BB387" i="2"/>
  <c r="BC387" i="2"/>
  <c r="BD387" i="2"/>
  <c r="BG387" i="2"/>
  <c r="BH387" i="2"/>
  <c r="BI387" i="2"/>
  <c r="BJ387" i="2"/>
  <c r="BL387" i="2"/>
  <c r="BM387" i="2"/>
  <c r="BN387" i="2"/>
  <c r="BO387" i="2"/>
  <c r="AI388" i="2"/>
  <c r="AJ388" i="2"/>
  <c r="AK388" i="2"/>
  <c r="AM388" i="2"/>
  <c r="AN388" i="2"/>
  <c r="AO388" i="2"/>
  <c r="AP388" i="2"/>
  <c r="AS388" i="2"/>
  <c r="AT388" i="2"/>
  <c r="AU388" i="2"/>
  <c r="BH388" i="2"/>
  <c r="BJ388" i="2"/>
  <c r="BL388" i="2"/>
  <c r="BM388" i="2"/>
  <c r="BN388" i="2"/>
  <c r="BO388" i="2"/>
  <c r="AH389" i="2"/>
  <c r="AI389" i="2"/>
  <c r="AJ389" i="2"/>
  <c r="AK389" i="2"/>
  <c r="AN389" i="2"/>
  <c r="AP389" i="2"/>
  <c r="AR389" i="2"/>
  <c r="AS389" i="2"/>
  <c r="AT389" i="2"/>
  <c r="AU389" i="2"/>
  <c r="BB389" i="2"/>
  <c r="BC389" i="2"/>
  <c r="BD389" i="2"/>
  <c r="BE389" i="2"/>
  <c r="BG389" i="2"/>
  <c r="BH389" i="2"/>
  <c r="BI389" i="2"/>
  <c r="BJ389" i="2"/>
  <c r="BL389" i="2"/>
  <c r="BM389" i="2"/>
  <c r="BN389" i="2"/>
  <c r="BO389" i="2"/>
  <c r="BJ391" i="2"/>
  <c r="BL391" i="2"/>
  <c r="BM391" i="2"/>
  <c r="BN391" i="2"/>
  <c r="Z397" i="2"/>
  <c r="Z398" i="2"/>
  <c r="AA398" i="2" s="1"/>
  <c r="D402" i="2"/>
  <c r="D403" i="2"/>
  <c r="AG407" i="2"/>
  <c r="AG408" i="2"/>
  <c r="AG409" i="2"/>
  <c r="AG410" i="2"/>
  <c r="AG411" i="2"/>
  <c r="AC412" i="2"/>
  <c r="AD412" i="2"/>
  <c r="AL411" i="2" s="1"/>
  <c r="E10" i="25" s="1"/>
  <c r="F10" i="25" s="1"/>
  <c r="AD417" i="2"/>
  <c r="AD424" i="2"/>
  <c r="AD430" i="2"/>
  <c r="AD436" i="2"/>
  <c r="AD439" i="2"/>
  <c r="AD440" i="2"/>
  <c r="E59" i="25" s="1"/>
  <c r="E112" i="25" s="1"/>
  <c r="AD441" i="2"/>
  <c r="E60" i="25" s="1"/>
  <c r="F444" i="2"/>
  <c r="G444" i="2"/>
  <c r="H444" i="2"/>
  <c r="I444" i="2"/>
  <c r="J444" i="2"/>
  <c r="K444" i="2"/>
  <c r="L444" i="2"/>
  <c r="M444" i="2"/>
  <c r="N444" i="2"/>
  <c r="O444" i="2"/>
  <c r="P444" i="2"/>
  <c r="Q444" i="2"/>
  <c r="R444" i="2"/>
  <c r="S444" i="2"/>
  <c r="T444" i="2"/>
  <c r="U444" i="2"/>
  <c r="V444" i="2"/>
  <c r="W444" i="2"/>
  <c r="AB444" i="2"/>
  <c r="AE444" i="2"/>
  <c r="AF444" i="2"/>
  <c r="AG444" i="2"/>
  <c r="AH444" i="2"/>
  <c r="AI444" i="2"/>
  <c r="AJ444" i="2"/>
  <c r="AK444" i="2"/>
  <c r="AL444" i="2"/>
  <c r="AM444" i="2"/>
  <c r="AN444" i="2"/>
  <c r="AO444" i="2"/>
  <c r="AP444" i="2"/>
  <c r="AR444" i="2"/>
  <c r="AS444" i="2"/>
  <c r="AT444" i="2"/>
  <c r="AU444" i="2"/>
  <c r="AL445" i="2"/>
  <c r="AQ445" i="2"/>
  <c r="AV445" i="2"/>
  <c r="AQ446" i="2"/>
  <c r="AV446" i="2"/>
  <c r="AL447" i="2"/>
  <c r="AQ447" i="2"/>
  <c r="AV447" i="2"/>
  <c r="AV449" i="2"/>
  <c r="AL450" i="2"/>
  <c r="AQ450" i="2"/>
  <c r="AV450" i="2"/>
  <c r="AL451" i="2"/>
  <c r="AQ451" i="2"/>
  <c r="AV451" i="2"/>
  <c r="AL453" i="2"/>
  <c r="AQ453" i="2"/>
  <c r="AV453" i="2"/>
  <c r="AL454" i="2"/>
  <c r="AQ454" i="2"/>
  <c r="AV454" i="2"/>
  <c r="AL455" i="2"/>
  <c r="AQ455" i="2"/>
  <c r="AV455" i="2"/>
  <c r="AL456" i="2"/>
  <c r="AQ456" i="2"/>
  <c r="AV456" i="2"/>
  <c r="X457" i="2"/>
  <c r="Y457" i="2"/>
  <c r="Z457" i="2"/>
  <c r="AA457" i="2"/>
  <c r="AC457" i="2"/>
  <c r="AD457" i="2"/>
  <c r="AE457" i="2"/>
  <c r="AE236" i="2" s="1"/>
  <c r="AF457" i="2"/>
  <c r="AM457" i="2"/>
  <c r="AM203" i="2" s="1"/>
  <c r="AN457" i="2"/>
  <c r="AL458" i="2"/>
  <c r="AQ458" i="2"/>
  <c r="AV458" i="2"/>
  <c r="AQ459" i="2"/>
  <c r="V461" i="2"/>
  <c r="W461" i="2"/>
  <c r="AB461" i="2"/>
  <c r="AE461" i="2"/>
  <c r="D1155" i="22" s="1"/>
  <c r="AF461" i="2"/>
  <c r="E1155" i="22" s="1"/>
  <c r="AG461" i="2"/>
  <c r="AH461" i="2"/>
  <c r="D2023" i="22" s="1"/>
  <c r="AI461" i="2"/>
  <c r="G1155" i="22" s="1"/>
  <c r="AJ461" i="2"/>
  <c r="F2023" i="22" s="1"/>
  <c r="AK461" i="2"/>
  <c r="G2023" i="22" s="1"/>
  <c r="AM461" i="2"/>
  <c r="H2023" i="22" s="1"/>
  <c r="AN461" i="2"/>
  <c r="I2023" i="22" s="1"/>
  <c r="AO461" i="2"/>
  <c r="J2023" i="22" s="1"/>
  <c r="AP461" i="2"/>
  <c r="K2023" i="22" s="1"/>
  <c r="AQ461" i="2"/>
  <c r="AR461" i="2"/>
  <c r="L2023" i="22" s="1"/>
  <c r="AS461" i="2"/>
  <c r="M2023" i="22" s="1"/>
  <c r="AT461" i="2"/>
  <c r="N2023" i="22" s="1"/>
  <c r="AU461" i="2"/>
  <c r="O2023" i="22" s="1"/>
  <c r="AV461" i="2"/>
  <c r="D463" i="2"/>
  <c r="D482" i="2" s="1"/>
  <c r="D500" i="2" s="1"/>
  <c r="AQ463" i="2"/>
  <c r="AP463" i="2" s="1"/>
  <c r="AP482" i="2" s="1"/>
  <c r="AV463" i="2"/>
  <c r="AU463" i="2" s="1"/>
  <c r="AU482" i="2" s="1"/>
  <c r="D464" i="2"/>
  <c r="D483" i="2" s="1"/>
  <c r="D501" i="2" s="1"/>
  <c r="AQ464" i="2"/>
  <c r="AP464" i="2" s="1"/>
  <c r="AP483" i="2" s="1"/>
  <c r="AV464" i="2"/>
  <c r="AU464" i="2" s="1"/>
  <c r="AU483" i="2" s="1"/>
  <c r="D465" i="2"/>
  <c r="D484" i="2" s="1"/>
  <c r="D502" i="2" s="1"/>
  <c r="AQ465" i="2"/>
  <c r="AP465" i="2" s="1"/>
  <c r="AP484" i="2" s="1"/>
  <c r="AV465" i="2"/>
  <c r="AU465" i="2" s="1"/>
  <c r="AU484" i="2" s="1"/>
  <c r="D467" i="2"/>
  <c r="D486" i="2" s="1"/>
  <c r="D503" i="2" s="1"/>
  <c r="D468" i="2"/>
  <c r="D487" i="2" s="1"/>
  <c r="D504" i="2" s="1"/>
  <c r="AQ468" i="2"/>
  <c r="AP468" i="2" s="1"/>
  <c r="AP487" i="2" s="1"/>
  <c r="AV468" i="2"/>
  <c r="AU468" i="2" s="1"/>
  <c r="AU487" i="2" s="1"/>
  <c r="D469" i="2"/>
  <c r="D488" i="2" s="1"/>
  <c r="D505" i="2" s="1"/>
  <c r="AQ469" i="2"/>
  <c r="AP469" i="2" s="1"/>
  <c r="AP488" i="2" s="1"/>
  <c r="AV469" i="2"/>
  <c r="AU469" i="2" s="1"/>
  <c r="AU488" i="2" s="1"/>
  <c r="D472" i="2"/>
  <c r="D490" i="2" s="1"/>
  <c r="D506" i="2" s="1"/>
  <c r="AQ472" i="2"/>
  <c r="AP472" i="2" s="1"/>
  <c r="AP490" i="2" s="1"/>
  <c r="AV472" i="2"/>
  <c r="AU472" i="2" s="1"/>
  <c r="AU490" i="2" s="1"/>
  <c r="D473" i="2"/>
  <c r="D491" i="2" s="1"/>
  <c r="D507" i="2" s="1"/>
  <c r="AQ473" i="2"/>
  <c r="AP473" i="2" s="1"/>
  <c r="AP491" i="2" s="1"/>
  <c r="AV473" i="2"/>
  <c r="D474" i="2"/>
  <c r="D492" i="2" s="1"/>
  <c r="D508" i="2" s="1"/>
  <c r="AQ474" i="2"/>
  <c r="AP474" i="2" s="1"/>
  <c r="AP492" i="2" s="1"/>
  <c r="AV474" i="2"/>
  <c r="D475" i="2"/>
  <c r="D493" i="2" s="1"/>
  <c r="D509" i="2" s="1"/>
  <c r="AQ475" i="2"/>
  <c r="AP475" i="2" s="1"/>
  <c r="AP493" i="2" s="1"/>
  <c r="AV475" i="2"/>
  <c r="AU475" i="2" s="1"/>
  <c r="AU493" i="2" s="1"/>
  <c r="D476" i="2"/>
  <c r="D494" i="2" s="1"/>
  <c r="D510" i="2" s="1"/>
  <c r="AQ476" i="2"/>
  <c r="AV476" i="2"/>
  <c r="AU476" i="2" s="1"/>
  <c r="AU494" i="2" s="1"/>
  <c r="D477" i="2"/>
  <c r="D495" i="2" s="1"/>
  <c r="D511" i="2" s="1"/>
  <c r="AQ477" i="2"/>
  <c r="AP477" i="2" s="1"/>
  <c r="AP495" i="2" s="1"/>
  <c r="AV477" i="2"/>
  <c r="AU477" i="2" s="1"/>
  <c r="AU495" i="2" s="1"/>
  <c r="D478" i="2"/>
  <c r="D496" i="2" s="1"/>
  <c r="D512" i="2" s="1"/>
  <c r="AP478" i="2"/>
  <c r="AP496" i="2" s="1"/>
  <c r="AV478" i="2"/>
  <c r="AU478" i="2" s="1"/>
  <c r="AU496" i="2" s="1"/>
  <c r="AE482" i="2"/>
  <c r="AF482" i="2"/>
  <c r="AH482" i="2"/>
  <c r="AI482" i="2"/>
  <c r="AJ482" i="2"/>
  <c r="AK482" i="2"/>
  <c r="AM482" i="2"/>
  <c r="AN482" i="2"/>
  <c r="AO482" i="2"/>
  <c r="AR482" i="2"/>
  <c r="AS482" i="2"/>
  <c r="AT482" i="2"/>
  <c r="AW482" i="2"/>
  <c r="AX482" i="2"/>
  <c r="AY482" i="2"/>
  <c r="AZ482" i="2"/>
  <c r="BC482" i="2"/>
  <c r="AE483" i="2"/>
  <c r="AF483" i="2"/>
  <c r="AH483" i="2"/>
  <c r="AI483" i="2"/>
  <c r="AJ483" i="2"/>
  <c r="AK483" i="2"/>
  <c r="AM483" i="2"/>
  <c r="AN483" i="2"/>
  <c r="AO483" i="2"/>
  <c r="AR483" i="2"/>
  <c r="AS483" i="2"/>
  <c r="AT483" i="2"/>
  <c r="AW483" i="2"/>
  <c r="AX483" i="2"/>
  <c r="AY483" i="2"/>
  <c r="AZ483" i="2"/>
  <c r="BC483" i="2"/>
  <c r="AE484" i="2"/>
  <c r="AF484" i="2"/>
  <c r="AH484" i="2"/>
  <c r="AI484" i="2"/>
  <c r="AJ484" i="2"/>
  <c r="AK484" i="2"/>
  <c r="AM484" i="2"/>
  <c r="AN484" i="2"/>
  <c r="AO484" i="2"/>
  <c r="AR484" i="2"/>
  <c r="AS484" i="2"/>
  <c r="AT484" i="2"/>
  <c r="AW484" i="2"/>
  <c r="AX484" i="2"/>
  <c r="AY484" i="2"/>
  <c r="AZ484" i="2"/>
  <c r="BC484" i="2"/>
  <c r="AE486" i="2"/>
  <c r="AF486" i="2"/>
  <c r="AH486" i="2"/>
  <c r="AI486" i="2"/>
  <c r="AJ486" i="2"/>
  <c r="AK486" i="2"/>
  <c r="AM486" i="2"/>
  <c r="AN486" i="2"/>
  <c r="AO486" i="2"/>
  <c r="AR486" i="2"/>
  <c r="AS486" i="2"/>
  <c r="AT486" i="2"/>
  <c r="AW486" i="2"/>
  <c r="AX486" i="2"/>
  <c r="AY486" i="2"/>
  <c r="AZ486" i="2"/>
  <c r="BC486" i="2"/>
  <c r="AE487" i="2"/>
  <c r="AF487" i="2"/>
  <c r="AH487" i="2"/>
  <c r="AI487" i="2"/>
  <c r="AJ487" i="2"/>
  <c r="AK487" i="2"/>
  <c r="AM487" i="2"/>
  <c r="AN487" i="2"/>
  <c r="AO487" i="2"/>
  <c r="AR487" i="2"/>
  <c r="AS487" i="2"/>
  <c r="AT487" i="2"/>
  <c r="AW487" i="2"/>
  <c r="AX487" i="2"/>
  <c r="AY487" i="2"/>
  <c r="AZ487" i="2"/>
  <c r="BC487" i="2"/>
  <c r="AE488" i="2"/>
  <c r="AF488" i="2"/>
  <c r="AH488" i="2"/>
  <c r="AI488" i="2"/>
  <c r="AJ488" i="2"/>
  <c r="AK488" i="2"/>
  <c r="AM488" i="2"/>
  <c r="AN488" i="2"/>
  <c r="AO488" i="2"/>
  <c r="AR488" i="2"/>
  <c r="AS488" i="2"/>
  <c r="AT488" i="2"/>
  <c r="AW488" i="2"/>
  <c r="AX488" i="2"/>
  <c r="AY488" i="2"/>
  <c r="AZ488" i="2"/>
  <c r="BC488" i="2"/>
  <c r="AE490" i="2"/>
  <c r="AF490" i="2"/>
  <c r="AH490" i="2"/>
  <c r="AI490" i="2"/>
  <c r="AJ490" i="2"/>
  <c r="AK490" i="2"/>
  <c r="E1411" i="22" s="1"/>
  <c r="AM490" i="2"/>
  <c r="AN490" i="2"/>
  <c r="AO490" i="2"/>
  <c r="AR490" i="2"/>
  <c r="AS490" i="2"/>
  <c r="AT490" i="2"/>
  <c r="AW490" i="2"/>
  <c r="AX490" i="2"/>
  <c r="AY490" i="2"/>
  <c r="AZ490" i="2"/>
  <c r="BC490" i="2"/>
  <c r="AE491" i="2"/>
  <c r="AF491" i="2"/>
  <c r="AH491" i="2"/>
  <c r="AI491" i="2"/>
  <c r="AJ491" i="2"/>
  <c r="AK491" i="2"/>
  <c r="AM491" i="2"/>
  <c r="AN491" i="2"/>
  <c r="AO491" i="2"/>
  <c r="AR491" i="2"/>
  <c r="AS491" i="2"/>
  <c r="AT491" i="2"/>
  <c r="AW491" i="2"/>
  <c r="AX491" i="2"/>
  <c r="AY491" i="2"/>
  <c r="AZ491" i="2"/>
  <c r="BC491" i="2"/>
  <c r="AE492" i="2"/>
  <c r="AF492" i="2"/>
  <c r="AH492" i="2"/>
  <c r="AI492" i="2"/>
  <c r="AJ492" i="2"/>
  <c r="AK492" i="2"/>
  <c r="AM492" i="2"/>
  <c r="AN492" i="2"/>
  <c r="AO492" i="2"/>
  <c r="AR492" i="2"/>
  <c r="AS492" i="2"/>
  <c r="AT492" i="2"/>
  <c r="AW492" i="2"/>
  <c r="AX492" i="2"/>
  <c r="AY492" i="2"/>
  <c r="AZ492" i="2"/>
  <c r="BC492" i="2"/>
  <c r="AE493" i="2"/>
  <c r="AF493" i="2"/>
  <c r="AH493" i="2"/>
  <c r="AI493" i="2"/>
  <c r="AJ493" i="2"/>
  <c r="AK493" i="2"/>
  <c r="AM493" i="2"/>
  <c r="AN493" i="2"/>
  <c r="AO493" i="2"/>
  <c r="AR493" i="2"/>
  <c r="AS493" i="2"/>
  <c r="AT493" i="2"/>
  <c r="AW493" i="2"/>
  <c r="AX493" i="2"/>
  <c r="AY493" i="2"/>
  <c r="AZ493" i="2"/>
  <c r="BC493" i="2"/>
  <c r="AE494" i="2"/>
  <c r="AF494" i="2"/>
  <c r="AH494" i="2"/>
  <c r="AI494" i="2"/>
  <c r="AJ494" i="2"/>
  <c r="AK494" i="2"/>
  <c r="AM494" i="2"/>
  <c r="AN494" i="2"/>
  <c r="AO494" i="2"/>
  <c r="AR494" i="2"/>
  <c r="AS494" i="2"/>
  <c r="AT494" i="2"/>
  <c r="AW494" i="2"/>
  <c r="AX494" i="2"/>
  <c r="AY494" i="2"/>
  <c r="AZ494" i="2"/>
  <c r="BC494" i="2"/>
  <c r="AE495" i="2"/>
  <c r="AF495" i="2"/>
  <c r="AH495" i="2"/>
  <c r="AI495" i="2"/>
  <c r="AJ495" i="2"/>
  <c r="AK495" i="2"/>
  <c r="AM495" i="2"/>
  <c r="AN495" i="2"/>
  <c r="AO495" i="2"/>
  <c r="AR495" i="2"/>
  <c r="AS495" i="2"/>
  <c r="AT495" i="2"/>
  <c r="AW495" i="2"/>
  <c r="AX495" i="2"/>
  <c r="AY495" i="2"/>
  <c r="AZ495" i="2"/>
  <c r="BC495" i="2"/>
  <c r="AM496" i="2"/>
  <c r="AN496" i="2"/>
  <c r="AO496" i="2"/>
  <c r="AR496" i="2"/>
  <c r="AS496" i="2"/>
  <c r="AT496" i="2"/>
  <c r="AW496" i="2"/>
  <c r="AX496" i="2"/>
  <c r="AY496" i="2"/>
  <c r="AZ496" i="2"/>
  <c r="BC496" i="2"/>
  <c r="BB515" i="2"/>
  <c r="BC515" i="2"/>
  <c r="BB516" i="2"/>
  <c r="BB517" i="2" s="1"/>
  <c r="BC516" i="2"/>
  <c r="BB518" i="2"/>
  <c r="BC518" i="2"/>
  <c r="BA519" i="2"/>
  <c r="BB519" i="2"/>
  <c r="BG519" i="2" s="1"/>
  <c r="BC519" i="2"/>
  <c r="D521" i="2"/>
  <c r="D530" i="2" s="1"/>
  <c r="BB521" i="2"/>
  <c r="BB525" i="2" s="1"/>
  <c r="BC521" i="2"/>
  <c r="BC525" i="2" s="1"/>
  <c r="D522" i="2"/>
  <c r="D531" i="2" s="1"/>
  <c r="BB522" i="2"/>
  <c r="BC522" i="2"/>
  <c r="BC523" i="2" s="1"/>
  <c r="D523" i="2"/>
  <c r="D532" i="2" s="1"/>
  <c r="D524" i="2"/>
  <c r="D533" i="2" s="1"/>
  <c r="BB524" i="2"/>
  <c r="BC524" i="2"/>
  <c r="BA526" i="2"/>
  <c r="BB526" i="2"/>
  <c r="BC526" i="2"/>
  <c r="BB527" i="2"/>
  <c r="BC527" i="2"/>
  <c r="BA538" i="2"/>
  <c r="BB538" i="2"/>
  <c r="BC538" i="2"/>
  <c r="BB541" i="2"/>
  <c r="BC541" i="2"/>
  <c r="BB542" i="2"/>
  <c r="BC542" i="2"/>
  <c r="P2" i="36"/>
  <c r="P58" i="36" s="1"/>
  <c r="Z58" i="36" s="1"/>
  <c r="B3" i="36"/>
  <c r="H3" i="36"/>
  <c r="H59" i="36" s="1"/>
  <c r="I3" i="36"/>
  <c r="I99" i="36" s="1"/>
  <c r="D198" i="36" s="1"/>
  <c r="J3" i="36"/>
  <c r="J25" i="38" s="1"/>
  <c r="J292" i="38" s="1"/>
  <c r="R3" i="36"/>
  <c r="B4" i="36"/>
  <c r="B44" i="36" s="1"/>
  <c r="H4" i="36"/>
  <c r="I4" i="36"/>
  <c r="I27" i="38" s="1"/>
  <c r="J4" i="36"/>
  <c r="F163" i="36" s="1"/>
  <c r="R4" i="36"/>
  <c r="B5" i="36"/>
  <c r="H5" i="36"/>
  <c r="H61" i="36" s="1"/>
  <c r="I5" i="36"/>
  <c r="I24" i="38" s="1"/>
  <c r="J5" i="36"/>
  <c r="J24" i="38" s="1"/>
  <c r="G6" i="36"/>
  <c r="H6" i="36"/>
  <c r="D165" i="36" s="1"/>
  <c r="I6" i="36"/>
  <c r="I28" i="38" s="1"/>
  <c r="I295" i="38" s="1"/>
  <c r="J6" i="36"/>
  <c r="J102" i="36" s="1"/>
  <c r="E201" i="36" s="1"/>
  <c r="K6" i="36"/>
  <c r="G165" i="36" s="1"/>
  <c r="R6" i="36"/>
  <c r="F7" i="36"/>
  <c r="H7" i="36"/>
  <c r="D166" i="36" s="1"/>
  <c r="I7" i="36"/>
  <c r="I21" i="36" s="1"/>
  <c r="J7" i="36"/>
  <c r="Y7" i="36" s="1"/>
  <c r="R7" i="36"/>
  <c r="B8" i="36"/>
  <c r="B167" i="36" s="1"/>
  <c r="B185" i="36" s="1"/>
  <c r="H8" i="36"/>
  <c r="H64" i="36" s="1"/>
  <c r="I8" i="36"/>
  <c r="E167" i="36" s="1"/>
  <c r="J8" i="36"/>
  <c r="K8" i="36"/>
  <c r="K64" i="36" s="1"/>
  <c r="R8" i="36"/>
  <c r="B9" i="36"/>
  <c r="H9" i="36"/>
  <c r="H65" i="36" s="1"/>
  <c r="I9" i="36"/>
  <c r="I105" i="36" s="1"/>
  <c r="D204" i="36" s="1"/>
  <c r="J9" i="36"/>
  <c r="J105" i="36" s="1"/>
  <c r="E204" i="36" s="1"/>
  <c r="K9" i="36"/>
  <c r="G168" i="36" s="1"/>
  <c r="R9" i="36"/>
  <c r="B10" i="36"/>
  <c r="O10" i="36"/>
  <c r="M11" i="36"/>
  <c r="M67" i="36" s="1"/>
  <c r="N11" i="36"/>
  <c r="N67" i="36" s="1"/>
  <c r="O11" i="36"/>
  <c r="R11" i="36" s="1"/>
  <c r="B12" i="36"/>
  <c r="B68" i="36" s="1"/>
  <c r="B108" i="36" s="1"/>
  <c r="B144" i="36" s="1"/>
  <c r="H12" i="36"/>
  <c r="M12" i="36" s="1"/>
  <c r="M25" i="36" s="1"/>
  <c r="BQ219" i="2" s="1"/>
  <c r="I12" i="36"/>
  <c r="I68" i="36" s="1"/>
  <c r="R12" i="36"/>
  <c r="B13" i="36"/>
  <c r="B53" i="36" s="1"/>
  <c r="H13" i="36"/>
  <c r="I13" i="36"/>
  <c r="I69" i="36" s="1"/>
  <c r="J13" i="36"/>
  <c r="F172" i="36" s="1"/>
  <c r="K13" i="36"/>
  <c r="G172" i="36" s="1"/>
  <c r="R13" i="36"/>
  <c r="B14" i="36"/>
  <c r="B54" i="36" s="1"/>
  <c r="H14" i="36"/>
  <c r="W14" i="36" s="1"/>
  <c r="I14" i="36"/>
  <c r="J14" i="36"/>
  <c r="K14" i="36"/>
  <c r="K70" i="36" s="1"/>
  <c r="R14" i="36"/>
  <c r="B15" i="36"/>
  <c r="B174" i="36" s="1"/>
  <c r="B210" i="36" s="1"/>
  <c r="B230" i="36" s="1"/>
  <c r="H15" i="36"/>
  <c r="D174" i="36" s="1"/>
  <c r="I15" i="36"/>
  <c r="X15" i="36" s="1"/>
  <c r="J15" i="36"/>
  <c r="Y15" i="36" s="1"/>
  <c r="K15" i="36"/>
  <c r="R15" i="36"/>
  <c r="B16" i="36"/>
  <c r="B56" i="36" s="1"/>
  <c r="H16" i="36"/>
  <c r="H112" i="36" s="1"/>
  <c r="C211" i="36" s="1"/>
  <c r="I16" i="36"/>
  <c r="E175" i="36" s="1"/>
  <c r="K16" i="36"/>
  <c r="K72" i="36" s="1"/>
  <c r="R16" i="36"/>
  <c r="G17" i="36"/>
  <c r="C176" i="36" s="1"/>
  <c r="L17" i="36"/>
  <c r="L29" i="38" s="1"/>
  <c r="Q17" i="36"/>
  <c r="R17" i="36"/>
  <c r="I18" i="36"/>
  <c r="X18" i="36" s="1"/>
  <c r="M21" i="36"/>
  <c r="N21" i="36"/>
  <c r="O21" i="36"/>
  <c r="H23" i="36"/>
  <c r="I23" i="36"/>
  <c r="J23" i="36"/>
  <c r="K23" i="36"/>
  <c r="N28" i="36"/>
  <c r="N30" i="36" s="1"/>
  <c r="N31" i="36" s="1"/>
  <c r="O28" i="36"/>
  <c r="O30" i="36" s="1"/>
  <c r="O31" i="36" s="1"/>
  <c r="P31" i="36" s="1"/>
  <c r="S32" i="36"/>
  <c r="S33" i="36" s="1"/>
  <c r="T32" i="36"/>
  <c r="T33" i="36" s="1"/>
  <c r="U32" i="36"/>
  <c r="U33" i="36" s="1"/>
  <c r="V32" i="36"/>
  <c r="V33" i="36" s="1"/>
  <c r="W32" i="36"/>
  <c r="W33" i="36" s="1"/>
  <c r="X32" i="36"/>
  <c r="X33" i="36" s="1"/>
  <c r="Y32" i="36"/>
  <c r="Y33" i="36" s="1"/>
  <c r="B37" i="36"/>
  <c r="B38" i="36"/>
  <c r="B39" i="36"/>
  <c r="B40" i="36"/>
  <c r="C42" i="36"/>
  <c r="D42" i="36"/>
  <c r="E42" i="36"/>
  <c r="F42" i="36"/>
  <c r="H42" i="36"/>
  <c r="S42" i="36" s="1"/>
  <c r="S2" i="36" s="1"/>
  <c r="I42" i="36"/>
  <c r="T42" i="36" s="1"/>
  <c r="T2" i="36" s="1"/>
  <c r="J42" i="36"/>
  <c r="U42" i="36" s="1"/>
  <c r="U2" i="36" s="1"/>
  <c r="K42" i="36"/>
  <c r="V42" i="36" s="1"/>
  <c r="V2" i="36" s="1"/>
  <c r="W42" i="36"/>
  <c r="W2" i="36" s="1"/>
  <c r="X42" i="36"/>
  <c r="X2" i="36" s="1"/>
  <c r="Y42" i="36"/>
  <c r="Y2" i="36" s="1"/>
  <c r="S43" i="36"/>
  <c r="T43" i="36"/>
  <c r="U43" i="36"/>
  <c r="V43" i="36"/>
  <c r="J44" i="36"/>
  <c r="K44" i="36"/>
  <c r="V44" i="36" s="1"/>
  <c r="O44" i="36"/>
  <c r="O60" i="36" s="1"/>
  <c r="P44" i="36"/>
  <c r="Q147" i="12" s="1"/>
  <c r="Q149" i="12" s="1"/>
  <c r="S45" i="36"/>
  <c r="T45" i="36"/>
  <c r="U45" i="36"/>
  <c r="V45" i="36"/>
  <c r="B46" i="36"/>
  <c r="S46" i="36"/>
  <c r="T46" i="36"/>
  <c r="U46" i="36"/>
  <c r="V46" i="36"/>
  <c r="B47" i="36"/>
  <c r="C47" i="36"/>
  <c r="D47" i="36"/>
  <c r="E47" i="36"/>
  <c r="F47" i="36"/>
  <c r="H47" i="36"/>
  <c r="I47" i="36"/>
  <c r="J47" i="36"/>
  <c r="K47" i="36"/>
  <c r="M47" i="36"/>
  <c r="N47" i="36"/>
  <c r="O47" i="36"/>
  <c r="P47" i="36"/>
  <c r="S48" i="36"/>
  <c r="T48" i="36"/>
  <c r="U48" i="36"/>
  <c r="V48" i="36"/>
  <c r="S49" i="36"/>
  <c r="T49" i="36"/>
  <c r="U49" i="36"/>
  <c r="V49" i="36"/>
  <c r="S50" i="36"/>
  <c r="T50" i="36"/>
  <c r="U50" i="36"/>
  <c r="V50" i="36"/>
  <c r="B51" i="36"/>
  <c r="S51" i="36"/>
  <c r="T51" i="36"/>
  <c r="U51" i="36"/>
  <c r="V51" i="36"/>
  <c r="S52" i="36"/>
  <c r="T52" i="36"/>
  <c r="U52" i="36"/>
  <c r="V52" i="36"/>
  <c r="S53" i="36"/>
  <c r="T53" i="36"/>
  <c r="U53" i="36"/>
  <c r="V53" i="36"/>
  <c r="S54" i="36"/>
  <c r="T54" i="36"/>
  <c r="U54" i="36"/>
  <c r="V54" i="36"/>
  <c r="S55" i="36"/>
  <c r="T55" i="36"/>
  <c r="U55" i="36"/>
  <c r="V55" i="36"/>
  <c r="C56" i="36"/>
  <c r="D56" i="36"/>
  <c r="E56" i="36"/>
  <c r="U56" i="36" s="1"/>
  <c r="V56" i="36"/>
  <c r="C58" i="36"/>
  <c r="C98" i="36" s="1"/>
  <c r="C134" i="36" s="1"/>
  <c r="D58" i="36"/>
  <c r="D98" i="36" s="1"/>
  <c r="D134" i="36" s="1"/>
  <c r="E58" i="36"/>
  <c r="E98" i="36" s="1"/>
  <c r="E134" i="36" s="1"/>
  <c r="F58" i="36"/>
  <c r="F98" i="36" s="1"/>
  <c r="F134" i="36" s="1"/>
  <c r="G58" i="36"/>
  <c r="G98" i="36" s="1"/>
  <c r="G134" i="36" s="1"/>
  <c r="H58" i="36"/>
  <c r="I58" i="36"/>
  <c r="I98" i="36" s="1"/>
  <c r="J58" i="36"/>
  <c r="J98" i="36" s="1"/>
  <c r="K58" i="36"/>
  <c r="K98" i="36" s="1"/>
  <c r="L58" i="36"/>
  <c r="L98" i="36" s="1"/>
  <c r="L134" i="36" s="1"/>
  <c r="M58" i="36"/>
  <c r="W58" i="36" s="1"/>
  <c r="N58" i="36"/>
  <c r="N98" i="36" s="1"/>
  <c r="O58" i="36"/>
  <c r="O98" i="36" s="1"/>
  <c r="O134" i="36" s="1"/>
  <c r="Q58" i="36"/>
  <c r="Q98" i="36" s="1"/>
  <c r="K197" i="36" s="1"/>
  <c r="K217" i="36" s="1"/>
  <c r="O59" i="36"/>
  <c r="S59" i="36"/>
  <c r="D180" i="36" s="1"/>
  <c r="T59" i="36"/>
  <c r="E180" i="36" s="1"/>
  <c r="U59" i="36"/>
  <c r="V59" i="36"/>
  <c r="G180" i="36" s="1"/>
  <c r="S60" i="36"/>
  <c r="D181" i="36" s="1"/>
  <c r="T60" i="36"/>
  <c r="E181" i="36" s="1"/>
  <c r="U60" i="36"/>
  <c r="S61" i="36"/>
  <c r="D182" i="36" s="1"/>
  <c r="T61" i="36"/>
  <c r="E182" i="36" s="1"/>
  <c r="U61" i="36"/>
  <c r="F182" i="36" s="1"/>
  <c r="B62" i="36"/>
  <c r="O62" i="36"/>
  <c r="B63" i="36"/>
  <c r="B103" i="36" s="1"/>
  <c r="B139" i="36" s="1"/>
  <c r="M63" i="36"/>
  <c r="N63" i="36"/>
  <c r="O63" i="36"/>
  <c r="S63" i="36"/>
  <c r="D184" i="36" s="1"/>
  <c r="T63" i="36"/>
  <c r="E184" i="36" s="1"/>
  <c r="U63" i="36"/>
  <c r="F184" i="36" s="1"/>
  <c r="M64" i="36"/>
  <c r="N64" i="36"/>
  <c r="O64" i="36"/>
  <c r="S64" i="36"/>
  <c r="D185" i="36" s="1"/>
  <c r="T64" i="36"/>
  <c r="E185" i="36" s="1"/>
  <c r="U64" i="36"/>
  <c r="F185" i="36" s="1"/>
  <c r="M65" i="36"/>
  <c r="N65" i="36"/>
  <c r="O65" i="36"/>
  <c r="S65" i="36"/>
  <c r="T65" i="36"/>
  <c r="E186" i="36" s="1"/>
  <c r="U65" i="36"/>
  <c r="F186" i="36" s="1"/>
  <c r="S66" i="36"/>
  <c r="D187" i="36" s="1"/>
  <c r="T66" i="36"/>
  <c r="E187" i="36" s="1"/>
  <c r="U66" i="36"/>
  <c r="F187" i="36" s="1"/>
  <c r="B67" i="36"/>
  <c r="B107" i="36" s="1"/>
  <c r="B143" i="36" s="1"/>
  <c r="O68" i="36"/>
  <c r="S68" i="36"/>
  <c r="D190" i="36" s="1"/>
  <c r="T68" i="36"/>
  <c r="E190" i="36" s="1"/>
  <c r="U68" i="36"/>
  <c r="F190" i="36" s="1"/>
  <c r="M69" i="36"/>
  <c r="N69" i="36"/>
  <c r="O69" i="36"/>
  <c r="S69" i="36"/>
  <c r="D191" i="36" s="1"/>
  <c r="T69" i="36"/>
  <c r="E191" i="36" s="1"/>
  <c r="U69" i="36"/>
  <c r="F191" i="36" s="1"/>
  <c r="M70" i="36"/>
  <c r="N70" i="36"/>
  <c r="O70" i="36"/>
  <c r="S70" i="36"/>
  <c r="D192" i="36" s="1"/>
  <c r="T70" i="36"/>
  <c r="E192" i="36" s="1"/>
  <c r="U70" i="36"/>
  <c r="M71" i="36"/>
  <c r="N71" i="36"/>
  <c r="O71" i="36"/>
  <c r="S71" i="36"/>
  <c r="D193" i="36" s="1"/>
  <c r="T71" i="36"/>
  <c r="E193" i="36" s="1"/>
  <c r="U71" i="36"/>
  <c r="F193" i="36" s="1"/>
  <c r="V71" i="36"/>
  <c r="O72" i="36"/>
  <c r="S72" i="36"/>
  <c r="D194" i="36" s="1"/>
  <c r="T72" i="36"/>
  <c r="E194" i="36" s="1"/>
  <c r="U72" i="36"/>
  <c r="F194" i="36" s="1"/>
  <c r="K73" i="36"/>
  <c r="M73" i="36"/>
  <c r="N73" i="36"/>
  <c r="O73" i="36"/>
  <c r="P73" i="36"/>
  <c r="S76" i="36"/>
  <c r="T76" i="36"/>
  <c r="U76" i="36"/>
  <c r="C83" i="36"/>
  <c r="D83" i="36"/>
  <c r="E83" i="36"/>
  <c r="F83" i="36"/>
  <c r="H83" i="36"/>
  <c r="I83" i="36"/>
  <c r="J83" i="36"/>
  <c r="K83" i="36"/>
  <c r="M83" i="36"/>
  <c r="N83" i="36"/>
  <c r="O83" i="36"/>
  <c r="S83" i="36"/>
  <c r="S84" i="36" s="1"/>
  <c r="S85" i="36"/>
  <c r="C91" i="36"/>
  <c r="D91" i="36"/>
  <c r="E91" i="36"/>
  <c r="F91" i="36"/>
  <c r="H91" i="36"/>
  <c r="I91" i="36"/>
  <c r="J91" i="36"/>
  <c r="K91" i="36"/>
  <c r="M91" i="36"/>
  <c r="C92" i="36"/>
  <c r="D92" i="36"/>
  <c r="E92" i="36"/>
  <c r="F92" i="36"/>
  <c r="H92" i="36"/>
  <c r="I92" i="36"/>
  <c r="J92" i="36"/>
  <c r="K92" i="36"/>
  <c r="M92" i="36"/>
  <c r="C93" i="36"/>
  <c r="D93" i="36"/>
  <c r="E93" i="36"/>
  <c r="F93" i="36"/>
  <c r="H93" i="36"/>
  <c r="I93" i="36"/>
  <c r="J93" i="36"/>
  <c r="K93" i="36"/>
  <c r="M93" i="36"/>
  <c r="C94" i="36"/>
  <c r="D94" i="36"/>
  <c r="E94" i="36"/>
  <c r="F94" i="36"/>
  <c r="H94" i="36"/>
  <c r="I94" i="36"/>
  <c r="J94" i="36"/>
  <c r="K94" i="36"/>
  <c r="M94" i="36"/>
  <c r="N94" i="36"/>
  <c r="C95" i="36"/>
  <c r="D95" i="36"/>
  <c r="E95" i="36"/>
  <c r="F95" i="36"/>
  <c r="H95" i="36"/>
  <c r="I95" i="36"/>
  <c r="J95" i="36"/>
  <c r="K95" i="36"/>
  <c r="M95" i="36"/>
  <c r="N95" i="36"/>
  <c r="O95" i="36"/>
  <c r="F96" i="36"/>
  <c r="H96" i="36"/>
  <c r="I96" i="36"/>
  <c r="J96" i="36"/>
  <c r="K96" i="36"/>
  <c r="M96" i="36"/>
  <c r="N96" i="36"/>
  <c r="O99" i="36"/>
  <c r="O100" i="36"/>
  <c r="O102" i="36"/>
  <c r="M104" i="36"/>
  <c r="N104" i="36"/>
  <c r="H203" i="36" s="1"/>
  <c r="M107" i="36"/>
  <c r="BA522" i="2" s="1"/>
  <c r="N107" i="36"/>
  <c r="H206" i="36" s="1"/>
  <c r="O107" i="36"/>
  <c r="O116" i="36" s="1"/>
  <c r="M109" i="36"/>
  <c r="N109" i="36"/>
  <c r="H208" i="36" s="1"/>
  <c r="M110" i="36"/>
  <c r="G209" i="36" s="1"/>
  <c r="N110" i="36"/>
  <c r="H209" i="36" s="1"/>
  <c r="M111" i="36"/>
  <c r="G210" i="36" s="1"/>
  <c r="N111" i="36"/>
  <c r="H210" i="36" s="1"/>
  <c r="O115" i="36"/>
  <c r="O151" i="36" s="1"/>
  <c r="N116" i="36"/>
  <c r="N152" i="36" s="1"/>
  <c r="H237" i="36" s="1"/>
  <c r="N117" i="36"/>
  <c r="T117" i="36" s="1"/>
  <c r="S117" i="36"/>
  <c r="Q118" i="36"/>
  <c r="P118" i="36" s="1"/>
  <c r="J212" i="36" s="1"/>
  <c r="I120" i="36"/>
  <c r="D214" i="36" s="1"/>
  <c r="J120" i="36"/>
  <c r="E214" i="36" s="1"/>
  <c r="K120" i="36"/>
  <c r="F214" i="36" s="1"/>
  <c r="S123" i="36"/>
  <c r="T123" i="36"/>
  <c r="U123" i="36"/>
  <c r="H125" i="36"/>
  <c r="I125" i="36"/>
  <c r="J125" i="36"/>
  <c r="B129" i="36"/>
  <c r="B130" i="36"/>
  <c r="B131" i="36"/>
  <c r="B132" i="36"/>
  <c r="P136" i="36"/>
  <c r="J219" i="36" s="1"/>
  <c r="M139" i="36"/>
  <c r="G222" i="36" s="1"/>
  <c r="N139" i="36"/>
  <c r="H222" i="36" s="1"/>
  <c r="O139" i="36"/>
  <c r="M141" i="36"/>
  <c r="G224" i="36" s="1"/>
  <c r="N141" i="36"/>
  <c r="H224" i="36" s="1"/>
  <c r="O141" i="36"/>
  <c r="P142" i="36"/>
  <c r="J225" i="36" s="1"/>
  <c r="O144" i="36"/>
  <c r="O145" i="36"/>
  <c r="P149" i="36"/>
  <c r="B151" i="36"/>
  <c r="B236" i="36" s="1"/>
  <c r="B152" i="36"/>
  <c r="B237" i="36" s="1"/>
  <c r="B153" i="36"/>
  <c r="B238" i="36" s="1"/>
  <c r="O153" i="36"/>
  <c r="B154" i="36"/>
  <c r="C161" i="36"/>
  <c r="D161" i="36"/>
  <c r="D179" i="36" s="1"/>
  <c r="E161" i="36"/>
  <c r="E179" i="36" s="1"/>
  <c r="F161" i="36"/>
  <c r="F179" i="36" s="1"/>
  <c r="G161" i="36"/>
  <c r="G179" i="36" s="1"/>
  <c r="H161" i="36"/>
  <c r="H179" i="36" s="1"/>
  <c r="I161" i="36"/>
  <c r="I179" i="36" s="1"/>
  <c r="J161" i="36"/>
  <c r="J179" i="36" s="1"/>
  <c r="J162" i="36"/>
  <c r="J163" i="36"/>
  <c r="B165" i="36"/>
  <c r="J165" i="36"/>
  <c r="B166" i="36"/>
  <c r="B202" i="36" s="1"/>
  <c r="B222" i="36" s="1"/>
  <c r="H166" i="36"/>
  <c r="I166" i="36"/>
  <c r="J166" i="36"/>
  <c r="H167" i="36"/>
  <c r="I167" i="36"/>
  <c r="J167" i="36"/>
  <c r="H168" i="36"/>
  <c r="I168" i="36"/>
  <c r="J168" i="36"/>
  <c r="J169" i="36"/>
  <c r="B170" i="36"/>
  <c r="J170" i="36"/>
  <c r="J171" i="36"/>
  <c r="H172" i="36"/>
  <c r="I172" i="36"/>
  <c r="J172" i="36"/>
  <c r="H173" i="36"/>
  <c r="I173" i="36"/>
  <c r="J173" i="36"/>
  <c r="H174" i="36"/>
  <c r="I174" i="36"/>
  <c r="J174" i="36"/>
  <c r="J175" i="36"/>
  <c r="B176" i="36"/>
  <c r="B195" i="36" s="1"/>
  <c r="D176" i="36"/>
  <c r="E176" i="36"/>
  <c r="F176" i="36"/>
  <c r="G176" i="36"/>
  <c r="H176" i="36"/>
  <c r="I176" i="36"/>
  <c r="J176" i="36"/>
  <c r="K176" i="36"/>
  <c r="B177" i="36"/>
  <c r="H177" i="36"/>
  <c r="I177" i="36"/>
  <c r="J177" i="36"/>
  <c r="J180" i="36"/>
  <c r="G181" i="36"/>
  <c r="J181" i="36"/>
  <c r="G182" i="36"/>
  <c r="H182" i="36"/>
  <c r="I182" i="36"/>
  <c r="J182" i="36"/>
  <c r="K182" i="36"/>
  <c r="J183" i="36"/>
  <c r="G184" i="36"/>
  <c r="J184" i="36"/>
  <c r="J185" i="36"/>
  <c r="J186" i="36"/>
  <c r="G187" i="36"/>
  <c r="J187" i="36"/>
  <c r="D188" i="36"/>
  <c r="E188" i="36"/>
  <c r="F188" i="36"/>
  <c r="G188" i="36"/>
  <c r="J188" i="36"/>
  <c r="D189" i="36"/>
  <c r="E189" i="36"/>
  <c r="F189" i="36"/>
  <c r="G189" i="36"/>
  <c r="H189" i="36"/>
  <c r="I189" i="36"/>
  <c r="J190" i="36"/>
  <c r="J191" i="36"/>
  <c r="J192" i="36"/>
  <c r="J193" i="36"/>
  <c r="J194" i="36"/>
  <c r="I197" i="36"/>
  <c r="I217" i="36" s="1"/>
  <c r="I198" i="36"/>
  <c r="I199" i="36"/>
  <c r="G200" i="36"/>
  <c r="H200" i="36"/>
  <c r="I200" i="36"/>
  <c r="J200" i="36"/>
  <c r="K200" i="36"/>
  <c r="I201" i="36"/>
  <c r="G202" i="36"/>
  <c r="H202" i="36"/>
  <c r="I202" i="36"/>
  <c r="I203" i="36"/>
  <c r="G204" i="36"/>
  <c r="H204" i="36"/>
  <c r="I204" i="36"/>
  <c r="I205" i="36"/>
  <c r="I206" i="36"/>
  <c r="G207" i="36"/>
  <c r="H207" i="36"/>
  <c r="I207" i="36"/>
  <c r="I208" i="36"/>
  <c r="I209" i="36"/>
  <c r="I210" i="36"/>
  <c r="J210" i="36"/>
  <c r="I211" i="36"/>
  <c r="C212" i="36"/>
  <c r="D212" i="36"/>
  <c r="E212" i="36"/>
  <c r="F212" i="36"/>
  <c r="G212" i="36"/>
  <c r="H212" i="36"/>
  <c r="I212" i="36"/>
  <c r="I213" i="36"/>
  <c r="G214" i="36"/>
  <c r="H214" i="36"/>
  <c r="I214" i="36"/>
  <c r="I215" i="36"/>
  <c r="C218" i="36"/>
  <c r="D218" i="36"/>
  <c r="E218" i="36"/>
  <c r="F218" i="36"/>
  <c r="G218" i="36"/>
  <c r="H218" i="36"/>
  <c r="I218" i="36"/>
  <c r="J218" i="36"/>
  <c r="C219" i="36"/>
  <c r="D219" i="36"/>
  <c r="E219" i="36"/>
  <c r="F219" i="36"/>
  <c r="G219" i="36"/>
  <c r="H219" i="36"/>
  <c r="I219" i="36"/>
  <c r="C220" i="36"/>
  <c r="D220" i="36"/>
  <c r="E220" i="36"/>
  <c r="F220" i="36"/>
  <c r="C221" i="36"/>
  <c r="D221" i="36"/>
  <c r="E221" i="36"/>
  <c r="F221" i="36"/>
  <c r="G221" i="36"/>
  <c r="H221" i="36"/>
  <c r="I221" i="36"/>
  <c r="J221" i="36"/>
  <c r="C222" i="36"/>
  <c r="D222" i="36"/>
  <c r="E222" i="36"/>
  <c r="F222" i="36"/>
  <c r="I222" i="36"/>
  <c r="C223" i="36"/>
  <c r="D223" i="36"/>
  <c r="E223" i="36"/>
  <c r="F223" i="36"/>
  <c r="G223" i="36"/>
  <c r="H223" i="36"/>
  <c r="I223" i="36"/>
  <c r="C224" i="36"/>
  <c r="D224" i="36"/>
  <c r="E224" i="36"/>
  <c r="F224" i="36"/>
  <c r="I224" i="36"/>
  <c r="C225" i="36"/>
  <c r="D225" i="36"/>
  <c r="E225" i="36"/>
  <c r="F225" i="36"/>
  <c r="G225" i="36"/>
  <c r="H225" i="36"/>
  <c r="I225" i="36"/>
  <c r="C226" i="36"/>
  <c r="D226" i="36"/>
  <c r="E226" i="36"/>
  <c r="F226" i="36"/>
  <c r="I226" i="36"/>
  <c r="C227" i="36"/>
  <c r="D227" i="36"/>
  <c r="E227" i="36"/>
  <c r="F227" i="36"/>
  <c r="I227" i="36"/>
  <c r="C228" i="36"/>
  <c r="D228" i="36"/>
  <c r="E228" i="36"/>
  <c r="F228" i="36"/>
  <c r="I228" i="36"/>
  <c r="C229" i="36"/>
  <c r="D229" i="36"/>
  <c r="E229" i="36"/>
  <c r="F229" i="36"/>
  <c r="G229" i="36"/>
  <c r="H229" i="36"/>
  <c r="I229" i="36"/>
  <c r="C230" i="36"/>
  <c r="D230" i="36"/>
  <c r="E230" i="36"/>
  <c r="F230" i="36"/>
  <c r="G230" i="36"/>
  <c r="H230" i="36"/>
  <c r="I230" i="36"/>
  <c r="C231" i="36"/>
  <c r="D231" i="36"/>
  <c r="E231" i="36"/>
  <c r="F231" i="36"/>
  <c r="I231" i="36"/>
  <c r="I232" i="36"/>
  <c r="C4" i="42"/>
  <c r="D4" i="42"/>
  <c r="E4" i="42"/>
  <c r="G4" i="42"/>
  <c r="C5" i="42"/>
  <c r="D5" i="42"/>
  <c r="E5" i="42"/>
  <c r="G5" i="42"/>
  <c r="G7" i="42"/>
  <c r="C8" i="42"/>
  <c r="D8" i="42"/>
  <c r="E8" i="42"/>
  <c r="F8" i="42"/>
  <c r="G8" i="42"/>
  <c r="G10" i="42"/>
  <c r="G12" i="42"/>
  <c r="G14" i="42"/>
  <c r="G15" i="42"/>
  <c r="C16" i="42"/>
  <c r="D16" i="42"/>
  <c r="E16" i="42"/>
  <c r="F16" i="42"/>
  <c r="G16" i="42"/>
  <c r="G18" i="42"/>
  <c r="C19" i="42"/>
  <c r="D19" i="42"/>
  <c r="E19" i="42"/>
  <c r="F19" i="42"/>
  <c r="G19" i="42"/>
  <c r="C22" i="42"/>
  <c r="D22" i="42"/>
  <c r="E22" i="42"/>
  <c r="F22" i="42"/>
  <c r="C24" i="42"/>
  <c r="D24" i="42"/>
  <c r="E24" i="42"/>
  <c r="C25" i="42"/>
  <c r="D25" i="42"/>
  <c r="E25" i="42"/>
  <c r="F25" i="42"/>
  <c r="D26" i="42"/>
  <c r="E26" i="42"/>
  <c r="G26" i="42"/>
  <c r="D27" i="42"/>
  <c r="E27" i="42"/>
  <c r="G27" i="42"/>
  <c r="L30" i="42"/>
  <c r="L45" i="42" s="1"/>
  <c r="D31" i="42"/>
  <c r="E31" i="42"/>
  <c r="F31" i="42"/>
  <c r="G31" i="42"/>
  <c r="H31" i="42"/>
  <c r="I31" i="42"/>
  <c r="J31" i="42"/>
  <c r="K31" i="42"/>
  <c r="L31" i="42"/>
  <c r="D32" i="42"/>
  <c r="E32" i="42"/>
  <c r="F32" i="42"/>
  <c r="G32" i="42"/>
  <c r="H32" i="42"/>
  <c r="I32" i="42"/>
  <c r="J32" i="42"/>
  <c r="K32" i="42"/>
  <c r="L32" i="42"/>
  <c r="E33" i="42"/>
  <c r="F33" i="42"/>
  <c r="G33" i="42"/>
  <c r="H33" i="42"/>
  <c r="I33" i="42"/>
  <c r="J33" i="42"/>
  <c r="K33" i="42"/>
  <c r="L33" i="42"/>
  <c r="B34" i="42"/>
  <c r="C35" i="42"/>
  <c r="D35" i="42"/>
  <c r="E35" i="42"/>
  <c r="F35" i="42"/>
  <c r="G35" i="42"/>
  <c r="H35" i="42"/>
  <c r="I35" i="42"/>
  <c r="L35" i="42"/>
  <c r="D36" i="42"/>
  <c r="F36" i="42"/>
  <c r="G36" i="42"/>
  <c r="H36" i="42"/>
  <c r="I36" i="42"/>
  <c r="J36" i="42"/>
  <c r="K36" i="42"/>
  <c r="L36" i="42"/>
  <c r="C37" i="42"/>
  <c r="D37" i="42"/>
  <c r="E37" i="42"/>
  <c r="F37" i="42"/>
  <c r="G37" i="42"/>
  <c r="H37" i="42"/>
  <c r="I37" i="42"/>
  <c r="J37" i="42"/>
  <c r="K37" i="42"/>
  <c r="L37" i="42"/>
  <c r="C38" i="42"/>
  <c r="D38" i="42"/>
  <c r="E38" i="42"/>
  <c r="F38" i="42"/>
  <c r="G38" i="42"/>
  <c r="H38" i="42"/>
  <c r="I38" i="42"/>
  <c r="J38" i="42"/>
  <c r="K38" i="42"/>
  <c r="L38" i="42"/>
  <c r="K39" i="42"/>
  <c r="C40" i="42"/>
  <c r="D40" i="42"/>
  <c r="E40" i="42"/>
  <c r="F40" i="42"/>
  <c r="G40" i="42"/>
  <c r="H40" i="42"/>
  <c r="I40" i="42"/>
  <c r="J40" i="42"/>
  <c r="K40" i="42"/>
  <c r="L40" i="42"/>
  <c r="C42" i="42"/>
  <c r="D42" i="42"/>
  <c r="E42" i="42"/>
  <c r="F42" i="42"/>
  <c r="G42" i="42"/>
  <c r="H42" i="42"/>
  <c r="I42" i="42"/>
  <c r="J42" i="42"/>
  <c r="K42" i="42"/>
  <c r="L42" i="42"/>
  <c r="C43" i="42"/>
  <c r="D43" i="42"/>
  <c r="E43" i="42"/>
  <c r="F43" i="42"/>
  <c r="G43" i="42"/>
  <c r="H43" i="42"/>
  <c r="I43" i="42"/>
  <c r="J43" i="42"/>
  <c r="K43" i="42"/>
  <c r="L43" i="42"/>
  <c r="K46" i="42"/>
  <c r="L46" i="42"/>
  <c r="K47" i="42"/>
  <c r="L47" i="42"/>
  <c r="K48" i="42"/>
  <c r="L48" i="42"/>
  <c r="L50" i="42"/>
  <c r="K51" i="42"/>
  <c r="L51" i="42"/>
  <c r="K52" i="42"/>
  <c r="L52" i="42"/>
  <c r="K53" i="42"/>
  <c r="L53" i="42"/>
  <c r="L54" i="42"/>
  <c r="L56" i="42"/>
  <c r="L57" i="42"/>
  <c r="AC1" i="33"/>
  <c r="AD1" i="33"/>
  <c r="AE1" i="33"/>
  <c r="AF1" i="33"/>
  <c r="AG1" i="33"/>
  <c r="E130" i="33" s="1"/>
  <c r="AH1" i="33"/>
  <c r="F130" i="33" s="1"/>
  <c r="AA130" i="33" s="1"/>
  <c r="AI1" i="33"/>
  <c r="G130" i="33" s="1"/>
  <c r="AB130" i="33" s="1"/>
  <c r="AJ1" i="33"/>
  <c r="H130" i="33" s="1"/>
  <c r="AC130" i="33" s="1"/>
  <c r="AK1" i="33"/>
  <c r="I130" i="33" s="1"/>
  <c r="AD130" i="33" s="1"/>
  <c r="AL1" i="33"/>
  <c r="J130" i="33" s="1"/>
  <c r="AE130" i="33" s="1"/>
  <c r="AM1" i="33"/>
  <c r="K130" i="33" s="1"/>
  <c r="AN1" i="33"/>
  <c r="AO1" i="33"/>
  <c r="AP1" i="33"/>
  <c r="AQ1" i="33"/>
  <c r="B3" i="33"/>
  <c r="C3" i="33"/>
  <c r="D3" i="33"/>
  <c r="E3" i="33"/>
  <c r="G3" i="33"/>
  <c r="H3" i="33"/>
  <c r="I3" i="33"/>
  <c r="J3" i="33"/>
  <c r="K3" i="33"/>
  <c r="L3" i="33"/>
  <c r="M3" i="33"/>
  <c r="N3" i="33"/>
  <c r="O3" i="33"/>
  <c r="P3" i="33"/>
  <c r="Q3" i="33"/>
  <c r="R3" i="33"/>
  <c r="S3" i="33"/>
  <c r="T3" i="33"/>
  <c r="U3" i="33"/>
  <c r="AU3" i="33"/>
  <c r="F5" i="33"/>
  <c r="Y5" i="33"/>
  <c r="AC5" i="33"/>
  <c r="AD5" i="33"/>
  <c r="AE5" i="33"/>
  <c r="AF5" i="33"/>
  <c r="AG5" i="33"/>
  <c r="E145" i="33" s="1"/>
  <c r="AH5" i="33"/>
  <c r="F145" i="33" s="1"/>
  <c r="AI5" i="33"/>
  <c r="G145" i="33" s="1"/>
  <c r="AJ5" i="33"/>
  <c r="H145" i="33" s="1"/>
  <c r="AK5" i="33"/>
  <c r="I145" i="33" s="1"/>
  <c r="AL5" i="33"/>
  <c r="J145" i="33" s="1"/>
  <c r="AM5" i="33"/>
  <c r="K145" i="33" s="1"/>
  <c r="AN5" i="33"/>
  <c r="F6" i="33"/>
  <c r="AC6" i="33"/>
  <c r="AD6" i="33"/>
  <c r="AE6" i="33"/>
  <c r="AF6" i="33"/>
  <c r="AG6" i="33"/>
  <c r="E134" i="33" s="1"/>
  <c r="AH6" i="33"/>
  <c r="F134" i="33" s="1"/>
  <c r="AI6" i="33"/>
  <c r="G134" i="33" s="1"/>
  <c r="AJ6" i="33"/>
  <c r="H134" i="33" s="1"/>
  <c r="AK6" i="33"/>
  <c r="I134" i="33" s="1"/>
  <c r="AL6" i="33"/>
  <c r="J134" i="33" s="1"/>
  <c r="AM6" i="33"/>
  <c r="K134" i="33" s="1"/>
  <c r="AN6" i="33"/>
  <c r="F7" i="33"/>
  <c r="AC7" i="33"/>
  <c r="AD7" i="33"/>
  <c r="AE7" i="33"/>
  <c r="AF7" i="33"/>
  <c r="AG7" i="33"/>
  <c r="E139" i="33" s="1"/>
  <c r="AH7" i="33"/>
  <c r="F139" i="33" s="1"/>
  <c r="AI7" i="33"/>
  <c r="G139" i="33" s="1"/>
  <c r="AJ7" i="33"/>
  <c r="H139" i="33" s="1"/>
  <c r="AK7" i="33"/>
  <c r="I139" i="33" s="1"/>
  <c r="AL7" i="33"/>
  <c r="J139" i="33" s="1"/>
  <c r="AM7" i="33"/>
  <c r="K139" i="33" s="1"/>
  <c r="AN7" i="33"/>
  <c r="F8" i="33"/>
  <c r="AC8" i="33"/>
  <c r="AD8" i="33"/>
  <c r="AE8" i="33"/>
  <c r="AF8" i="33"/>
  <c r="AG8" i="33"/>
  <c r="E144" i="33" s="1"/>
  <c r="AH8" i="33"/>
  <c r="F144" i="33" s="1"/>
  <c r="AI8" i="33"/>
  <c r="G144" i="33" s="1"/>
  <c r="AJ8" i="33"/>
  <c r="H144" i="33" s="1"/>
  <c r="AK8" i="33"/>
  <c r="I144" i="33" s="1"/>
  <c r="AL8" i="33"/>
  <c r="J144" i="33" s="1"/>
  <c r="AM8" i="33"/>
  <c r="K144" i="33" s="1"/>
  <c r="AN8" i="33"/>
  <c r="AM9" i="33"/>
  <c r="AN9" i="33"/>
  <c r="K10" i="33"/>
  <c r="F11" i="33"/>
  <c r="Y11" i="33"/>
  <c r="AC11" i="33"/>
  <c r="AD11" i="33"/>
  <c r="AE11" i="33"/>
  <c r="AF11" i="33"/>
  <c r="AG11" i="33"/>
  <c r="AH11" i="33"/>
  <c r="AI11" i="33"/>
  <c r="AJ11" i="33"/>
  <c r="AK11" i="33"/>
  <c r="AL11" i="33"/>
  <c r="AM11" i="33"/>
  <c r="AN11" i="33"/>
  <c r="F12" i="33"/>
  <c r="AC12" i="33"/>
  <c r="AD12" i="33"/>
  <c r="AE12" i="33"/>
  <c r="AF12" i="33"/>
  <c r="AG12" i="33"/>
  <c r="AH12" i="33"/>
  <c r="AI12" i="33"/>
  <c r="AJ12" i="33"/>
  <c r="AK12" i="33"/>
  <c r="AL12" i="33"/>
  <c r="AM12" i="33"/>
  <c r="AN12" i="33"/>
  <c r="F13" i="33"/>
  <c r="AC13" i="33"/>
  <c r="AD13" i="33"/>
  <c r="AE13" i="33"/>
  <c r="AF13" i="33"/>
  <c r="AG13" i="33"/>
  <c r="AH13" i="33"/>
  <c r="AI13" i="33"/>
  <c r="AJ13" i="33"/>
  <c r="AK13" i="33"/>
  <c r="AL13" i="33"/>
  <c r="AM13" i="33"/>
  <c r="AN13" i="33"/>
  <c r="F14" i="33"/>
  <c r="AC14" i="33"/>
  <c r="AD14" i="33"/>
  <c r="AE14" i="33"/>
  <c r="AF14" i="33"/>
  <c r="AG14" i="33"/>
  <c r="AH14" i="33"/>
  <c r="AI14" i="33"/>
  <c r="AJ14" i="33"/>
  <c r="AK14" i="33"/>
  <c r="AL14" i="33"/>
  <c r="AM14" i="33"/>
  <c r="AN14" i="33"/>
  <c r="F15" i="33"/>
  <c r="AC15" i="33"/>
  <c r="AD15" i="33"/>
  <c r="AE15" i="33"/>
  <c r="AF15" i="33"/>
  <c r="AG15" i="33"/>
  <c r="AH15" i="33"/>
  <c r="AI15" i="33"/>
  <c r="AJ15" i="33"/>
  <c r="AK15" i="33"/>
  <c r="AL15" i="33"/>
  <c r="AM15" i="33"/>
  <c r="AN15" i="33"/>
  <c r="F17" i="33"/>
  <c r="F18" i="33"/>
  <c r="F19" i="33"/>
  <c r="F20" i="33"/>
  <c r="F21" i="33"/>
  <c r="F22" i="33"/>
  <c r="F24" i="33"/>
  <c r="F25" i="33"/>
  <c r="F26" i="33"/>
  <c r="F27" i="33"/>
  <c r="F28" i="33"/>
  <c r="F30" i="33"/>
  <c r="Y30" i="33"/>
  <c r="F33" i="33"/>
  <c r="E2687" i="22" s="1"/>
  <c r="X33" i="33"/>
  <c r="X3" i="33" s="1"/>
  <c r="Y33" i="33"/>
  <c r="G35" i="33"/>
  <c r="G34" i="33" s="1"/>
  <c r="B157" i="33" s="1"/>
  <c r="H35" i="33"/>
  <c r="I35" i="33"/>
  <c r="I34" i="33" s="1"/>
  <c r="J35" i="33"/>
  <c r="J34" i="33" s="1"/>
  <c r="L35" i="33"/>
  <c r="L34" i="33" s="1"/>
  <c r="M35" i="33"/>
  <c r="M34" i="33" s="1"/>
  <c r="F157" i="33" s="1"/>
  <c r="N35" i="33"/>
  <c r="O35" i="33"/>
  <c r="O34" i="33" s="1"/>
  <c r="Q35" i="33"/>
  <c r="R35" i="33"/>
  <c r="S35" i="33"/>
  <c r="S34" i="33" s="1"/>
  <c r="T35" i="33"/>
  <c r="T34" i="33" s="1"/>
  <c r="L157" i="33" s="1"/>
  <c r="V35" i="33"/>
  <c r="V34" i="33" s="1"/>
  <c r="M157" i="33" s="1"/>
  <c r="W35" i="33"/>
  <c r="W34" i="33" s="1"/>
  <c r="N157" i="33" s="1"/>
  <c r="G36" i="33"/>
  <c r="H36" i="33"/>
  <c r="I36" i="33"/>
  <c r="J36" i="33"/>
  <c r="L36" i="33"/>
  <c r="M36" i="33"/>
  <c r="N36" i="33"/>
  <c r="O36" i="33"/>
  <c r="Q36" i="33"/>
  <c r="R36" i="33"/>
  <c r="S36" i="33"/>
  <c r="T36" i="33"/>
  <c r="V36" i="33"/>
  <c r="W36" i="33"/>
  <c r="X36" i="33"/>
  <c r="Y36" i="33"/>
  <c r="F37" i="33"/>
  <c r="AC37" i="33"/>
  <c r="AD37" i="33"/>
  <c r="AE37" i="33"/>
  <c r="AF37" i="33"/>
  <c r="AG37" i="33"/>
  <c r="AH37" i="33"/>
  <c r="AI37" i="33"/>
  <c r="AJ37" i="33"/>
  <c r="AK37" i="33"/>
  <c r="AL37" i="33"/>
  <c r="AM37" i="33"/>
  <c r="AN37" i="33"/>
  <c r="AQ37" i="33"/>
  <c r="F38" i="33"/>
  <c r="AC38" i="33"/>
  <c r="AD38" i="33"/>
  <c r="AE38" i="33"/>
  <c r="AF38" i="33"/>
  <c r="AG38" i="33"/>
  <c r="E131" i="33" s="1"/>
  <c r="AH38" i="33"/>
  <c r="F131" i="33" s="1"/>
  <c r="AI38" i="33"/>
  <c r="G131" i="33" s="1"/>
  <c r="AJ38" i="33"/>
  <c r="H131" i="33" s="1"/>
  <c r="AK38" i="33"/>
  <c r="I131" i="33" s="1"/>
  <c r="AL38" i="33"/>
  <c r="J131" i="33" s="1"/>
  <c r="AM38" i="33"/>
  <c r="K131" i="33" s="1"/>
  <c r="AN38" i="33"/>
  <c r="F39" i="33"/>
  <c r="AC39" i="33"/>
  <c r="AD39" i="33"/>
  <c r="AE39" i="33"/>
  <c r="AF39" i="33"/>
  <c r="AG39" i="33"/>
  <c r="E136" i="33" s="1"/>
  <c r="AH39" i="33"/>
  <c r="F136" i="33" s="1"/>
  <c r="AI39" i="33"/>
  <c r="G136" i="33" s="1"/>
  <c r="AJ39" i="33"/>
  <c r="H136" i="33" s="1"/>
  <c r="AK39" i="33"/>
  <c r="I136" i="33" s="1"/>
  <c r="AL39" i="33"/>
  <c r="J136" i="33" s="1"/>
  <c r="AM39" i="33"/>
  <c r="K136" i="33" s="1"/>
  <c r="AN39" i="33"/>
  <c r="F40" i="33"/>
  <c r="AC40" i="33"/>
  <c r="AD40" i="33"/>
  <c r="AE40" i="33"/>
  <c r="AF40" i="33"/>
  <c r="AG40" i="33"/>
  <c r="E141" i="33" s="1"/>
  <c r="AH40" i="33"/>
  <c r="F141" i="33" s="1"/>
  <c r="AI40" i="33"/>
  <c r="G141" i="33" s="1"/>
  <c r="AJ40" i="33"/>
  <c r="H141" i="33" s="1"/>
  <c r="AK40" i="33"/>
  <c r="I141" i="33" s="1"/>
  <c r="AL40" i="33"/>
  <c r="J141" i="33" s="1"/>
  <c r="AM40" i="33"/>
  <c r="K141" i="33" s="1"/>
  <c r="AN40" i="33"/>
  <c r="F43" i="33"/>
  <c r="AC43" i="33"/>
  <c r="AD43" i="33"/>
  <c r="AE43" i="33"/>
  <c r="AF43" i="33"/>
  <c r="AG43" i="33"/>
  <c r="AH43" i="33"/>
  <c r="AI43" i="33"/>
  <c r="AJ43" i="33"/>
  <c r="AK43" i="33"/>
  <c r="AL43" i="33"/>
  <c r="AM43" i="33"/>
  <c r="AN43" i="33"/>
  <c r="AQ43" i="33"/>
  <c r="F44" i="33"/>
  <c r="AC44" i="33"/>
  <c r="AD44" i="33"/>
  <c r="AE44" i="33"/>
  <c r="AF44" i="33"/>
  <c r="AG44" i="33"/>
  <c r="AH44" i="33"/>
  <c r="AI44" i="33"/>
  <c r="AJ44" i="33"/>
  <c r="AK44" i="33"/>
  <c r="AL44" i="33"/>
  <c r="AM44" i="33"/>
  <c r="AN44" i="33"/>
  <c r="F45" i="33"/>
  <c r="AC45" i="33"/>
  <c r="AD45" i="33"/>
  <c r="AE45" i="33"/>
  <c r="AF45" i="33"/>
  <c r="AG45" i="33"/>
  <c r="AH45" i="33"/>
  <c r="AI45" i="33"/>
  <c r="AJ45" i="33"/>
  <c r="AK45" i="33"/>
  <c r="AL45" i="33"/>
  <c r="AM45" i="33"/>
  <c r="AN45" i="33"/>
  <c r="F46" i="33"/>
  <c r="AC46" i="33"/>
  <c r="AD46" i="33"/>
  <c r="AE46" i="33"/>
  <c r="AF46" i="33"/>
  <c r="AG46" i="33"/>
  <c r="AH46" i="33"/>
  <c r="AI46" i="33"/>
  <c r="AJ46" i="33"/>
  <c r="AK46" i="33"/>
  <c r="AL46" i="33"/>
  <c r="AM46" i="33"/>
  <c r="AN46" i="33"/>
  <c r="F47" i="33"/>
  <c r="AC47" i="33"/>
  <c r="AD47" i="33"/>
  <c r="AE47" i="33"/>
  <c r="AF47" i="33"/>
  <c r="AG47" i="33"/>
  <c r="AH47" i="33"/>
  <c r="AI47" i="33"/>
  <c r="AJ47" i="33"/>
  <c r="AK47" i="33"/>
  <c r="AL47" i="33"/>
  <c r="AM47" i="33"/>
  <c r="AN47" i="33"/>
  <c r="F49" i="33"/>
  <c r="F50" i="33"/>
  <c r="F51" i="33"/>
  <c r="F52" i="33"/>
  <c r="F53" i="33"/>
  <c r="F56" i="33"/>
  <c r="F57" i="33"/>
  <c r="F58" i="33"/>
  <c r="F59" i="33"/>
  <c r="F60" i="33"/>
  <c r="F62" i="33"/>
  <c r="Z62" i="33"/>
  <c r="F65" i="33"/>
  <c r="G67" i="33"/>
  <c r="H67" i="33"/>
  <c r="I67" i="33"/>
  <c r="J67" i="33"/>
  <c r="L67" i="33"/>
  <c r="M67" i="33"/>
  <c r="N67" i="33"/>
  <c r="O67" i="33"/>
  <c r="Q67" i="33"/>
  <c r="R67" i="33"/>
  <c r="T67" i="33"/>
  <c r="V67" i="33"/>
  <c r="W67" i="33"/>
  <c r="X67" i="33"/>
  <c r="Y67" i="33"/>
  <c r="F68" i="33"/>
  <c r="AC68" i="33"/>
  <c r="AD68" i="33"/>
  <c r="AE68" i="33"/>
  <c r="AF68" i="33"/>
  <c r="AG68" i="33"/>
  <c r="AH68" i="33"/>
  <c r="AI68" i="33"/>
  <c r="AJ68" i="33"/>
  <c r="AK68" i="33"/>
  <c r="AL68" i="33"/>
  <c r="AM68" i="33"/>
  <c r="AN68" i="33"/>
  <c r="AQ68" i="33"/>
  <c r="F69" i="33"/>
  <c r="AC69" i="33"/>
  <c r="AD69" i="33"/>
  <c r="AE69" i="33"/>
  <c r="AF69" i="33"/>
  <c r="AG69" i="33"/>
  <c r="E132" i="33" s="1"/>
  <c r="AH69" i="33"/>
  <c r="F132" i="33" s="1"/>
  <c r="AI69" i="33"/>
  <c r="G132" i="33" s="1"/>
  <c r="AJ69" i="33"/>
  <c r="H132" i="33" s="1"/>
  <c r="AK69" i="33"/>
  <c r="I132" i="33" s="1"/>
  <c r="AL69" i="33"/>
  <c r="J132" i="33" s="1"/>
  <c r="AM69" i="33"/>
  <c r="K132" i="33" s="1"/>
  <c r="AN69" i="33"/>
  <c r="F70" i="33"/>
  <c r="AC70" i="33"/>
  <c r="AD70" i="33"/>
  <c r="AE70" i="33"/>
  <c r="AF70" i="33"/>
  <c r="AG70" i="33"/>
  <c r="E137" i="33" s="1"/>
  <c r="AH70" i="33"/>
  <c r="F137" i="33" s="1"/>
  <c r="AI70" i="33"/>
  <c r="G137" i="33" s="1"/>
  <c r="AJ70" i="33"/>
  <c r="H137" i="33" s="1"/>
  <c r="AK70" i="33"/>
  <c r="I137" i="33" s="1"/>
  <c r="AL70" i="33"/>
  <c r="J137" i="33" s="1"/>
  <c r="AM70" i="33"/>
  <c r="K137" i="33" s="1"/>
  <c r="AN70" i="33"/>
  <c r="F71" i="33"/>
  <c r="AC71" i="33"/>
  <c r="AD71" i="33"/>
  <c r="AE71" i="33"/>
  <c r="AF71" i="33"/>
  <c r="AG71" i="33"/>
  <c r="E142" i="33" s="1"/>
  <c r="AH71" i="33"/>
  <c r="F142" i="33" s="1"/>
  <c r="AI71" i="33"/>
  <c r="G142" i="33" s="1"/>
  <c r="AJ71" i="33"/>
  <c r="H142" i="33" s="1"/>
  <c r="AK71" i="33"/>
  <c r="I142" i="33" s="1"/>
  <c r="AL71" i="33"/>
  <c r="J142" i="33" s="1"/>
  <c r="AM71" i="33"/>
  <c r="K142" i="33" s="1"/>
  <c r="AN71" i="33"/>
  <c r="F74" i="33"/>
  <c r="S74" i="33"/>
  <c r="AC74" i="33"/>
  <c r="AD74" i="33"/>
  <c r="AE74" i="33"/>
  <c r="AF74" i="33"/>
  <c r="AG74" i="33"/>
  <c r="AH74" i="33"/>
  <c r="AI74" i="33"/>
  <c r="AJ74" i="33"/>
  <c r="AK74" i="33"/>
  <c r="AL74" i="33"/>
  <c r="AN74" i="33"/>
  <c r="F75" i="33"/>
  <c r="F76" i="33"/>
  <c r="F77" i="33"/>
  <c r="F78" i="33"/>
  <c r="F80" i="33"/>
  <c r="F81" i="33"/>
  <c r="F82" i="33"/>
  <c r="F83" i="33"/>
  <c r="F84" i="33"/>
  <c r="F87" i="33"/>
  <c r="F88" i="33"/>
  <c r="F89" i="33"/>
  <c r="F90" i="33"/>
  <c r="F91" i="33"/>
  <c r="F93" i="33"/>
  <c r="Z93" i="33"/>
  <c r="F96" i="33"/>
  <c r="G98" i="33"/>
  <c r="H98" i="33"/>
  <c r="I98" i="33"/>
  <c r="J98" i="33"/>
  <c r="L98" i="33"/>
  <c r="M98" i="33"/>
  <c r="N98" i="33"/>
  <c r="O98" i="33"/>
  <c r="Q98" i="33"/>
  <c r="R98" i="33"/>
  <c r="S98" i="33"/>
  <c r="T98" i="33"/>
  <c r="V98" i="33"/>
  <c r="W98" i="33"/>
  <c r="X98" i="33"/>
  <c r="Y98" i="33"/>
  <c r="F99" i="33"/>
  <c r="AC99" i="33"/>
  <c r="AD99" i="33"/>
  <c r="AE99" i="33"/>
  <c r="AF99" i="33"/>
  <c r="AG99" i="33"/>
  <c r="AH99" i="33"/>
  <c r="AI99" i="33"/>
  <c r="AJ99" i="33"/>
  <c r="AK99" i="33"/>
  <c r="AL99" i="33"/>
  <c r="AM99" i="33"/>
  <c r="AN99" i="33"/>
  <c r="AQ99" i="33"/>
  <c r="F100" i="33"/>
  <c r="AC100" i="33"/>
  <c r="AD100" i="33"/>
  <c r="AE100" i="33"/>
  <c r="AF100" i="33"/>
  <c r="AG100" i="33"/>
  <c r="E133" i="33" s="1"/>
  <c r="AH100" i="33"/>
  <c r="F133" i="33" s="1"/>
  <c r="AI100" i="33"/>
  <c r="G133" i="33" s="1"/>
  <c r="AJ100" i="33"/>
  <c r="H133" i="33" s="1"/>
  <c r="AK100" i="33"/>
  <c r="I133" i="33" s="1"/>
  <c r="AL100" i="33"/>
  <c r="J133" i="33" s="1"/>
  <c r="AM100" i="33"/>
  <c r="K133" i="33" s="1"/>
  <c r="AN100" i="33"/>
  <c r="F101" i="33"/>
  <c r="AC101" i="33"/>
  <c r="AD101" i="33"/>
  <c r="AE101" i="33"/>
  <c r="AF101" i="33"/>
  <c r="AG101" i="33"/>
  <c r="E138" i="33" s="1"/>
  <c r="AH101" i="33"/>
  <c r="F138" i="33" s="1"/>
  <c r="AI101" i="33"/>
  <c r="G138" i="33" s="1"/>
  <c r="AJ101" i="33"/>
  <c r="H138" i="33" s="1"/>
  <c r="AK101" i="33"/>
  <c r="I138" i="33" s="1"/>
  <c r="AL101" i="33"/>
  <c r="J138" i="33" s="1"/>
  <c r="AM101" i="33"/>
  <c r="K138" i="33" s="1"/>
  <c r="AN101" i="33"/>
  <c r="F102" i="33"/>
  <c r="AC102" i="33"/>
  <c r="AD102" i="33"/>
  <c r="AE102" i="33"/>
  <c r="AF102" i="33"/>
  <c r="AG102" i="33"/>
  <c r="E143" i="33" s="1"/>
  <c r="AH102" i="33"/>
  <c r="F143" i="33" s="1"/>
  <c r="AI102" i="33"/>
  <c r="G143" i="33" s="1"/>
  <c r="AJ102" i="33"/>
  <c r="H143" i="33" s="1"/>
  <c r="AK102" i="33"/>
  <c r="I143" i="33" s="1"/>
  <c r="AL102" i="33"/>
  <c r="J143" i="33" s="1"/>
  <c r="AM102" i="33"/>
  <c r="K143" i="33" s="1"/>
  <c r="AN102" i="33"/>
  <c r="F105" i="33"/>
  <c r="AC105" i="33"/>
  <c r="AD105" i="33"/>
  <c r="AE105" i="33"/>
  <c r="AF105" i="33"/>
  <c r="AG105" i="33"/>
  <c r="AH105" i="33"/>
  <c r="AI105" i="33"/>
  <c r="AJ105" i="33"/>
  <c r="AK105" i="33"/>
  <c r="AL105" i="33"/>
  <c r="AM105" i="33"/>
  <c r="AN105" i="33"/>
  <c r="F106" i="33"/>
  <c r="F107" i="33"/>
  <c r="F108" i="33"/>
  <c r="F109" i="33"/>
  <c r="F111" i="33"/>
  <c r="F112" i="33"/>
  <c r="F113" i="33"/>
  <c r="F114" i="33"/>
  <c r="F115" i="33"/>
  <c r="F118" i="33"/>
  <c r="F119" i="33"/>
  <c r="F120" i="33"/>
  <c r="F121" i="33"/>
  <c r="F122" i="33"/>
  <c r="F124" i="33"/>
  <c r="Z124" i="33"/>
  <c r="F127" i="33"/>
  <c r="A134" i="33"/>
  <c r="A139" i="33"/>
  <c r="A144" i="33"/>
  <c r="A147" i="33"/>
  <c r="E147" i="33"/>
  <c r="F147" i="33"/>
  <c r="G147" i="33"/>
  <c r="H147" i="33"/>
  <c r="I147" i="33"/>
  <c r="J147" i="33"/>
  <c r="K147" i="33"/>
  <c r="A148" i="33"/>
  <c r="E148" i="33"/>
  <c r="F148" i="33"/>
  <c r="G148" i="33"/>
  <c r="H148" i="33"/>
  <c r="I148" i="33"/>
  <c r="J148" i="33"/>
  <c r="K148" i="33"/>
  <c r="E150" i="33"/>
  <c r="F150" i="33"/>
  <c r="G150" i="33"/>
  <c r="H150" i="33"/>
  <c r="I150" i="33"/>
  <c r="J150" i="33"/>
  <c r="K150" i="33"/>
  <c r="B155" i="33"/>
  <c r="B163" i="33" s="1"/>
  <c r="C155" i="33"/>
  <c r="C163" i="33" s="1"/>
  <c r="D155" i="33"/>
  <c r="D163" i="33" s="1"/>
  <c r="E155" i="33"/>
  <c r="F163" i="33" s="1"/>
  <c r="F155" i="33"/>
  <c r="G163" i="33" s="1"/>
  <c r="G155" i="33"/>
  <c r="H163" i="33" s="1"/>
  <c r="H155" i="33"/>
  <c r="I163" i="33" s="1"/>
  <c r="I155" i="33"/>
  <c r="J155" i="33"/>
  <c r="K155" i="33"/>
  <c r="L155" i="33"/>
  <c r="M155" i="33"/>
  <c r="N155" i="33"/>
  <c r="O155" i="33"/>
  <c r="B156" i="33"/>
  <c r="C156" i="33"/>
  <c r="D156" i="33"/>
  <c r="E156" i="33"/>
  <c r="F156" i="33"/>
  <c r="G156" i="33"/>
  <c r="H156" i="33"/>
  <c r="I156" i="33"/>
  <c r="J156" i="33"/>
  <c r="K156" i="33"/>
  <c r="L156" i="33"/>
  <c r="B158" i="33"/>
  <c r="C158" i="33"/>
  <c r="D158" i="33"/>
  <c r="E158" i="33"/>
  <c r="F158" i="33"/>
  <c r="G158" i="33"/>
  <c r="H158" i="33"/>
  <c r="I158" i="33"/>
  <c r="J158" i="33"/>
  <c r="K158" i="33"/>
  <c r="L158" i="33"/>
  <c r="B161" i="33"/>
  <c r="C161" i="33"/>
  <c r="D161" i="33"/>
  <c r="E161" i="33"/>
  <c r="F161" i="33"/>
  <c r="G161" i="33"/>
  <c r="L161" i="33"/>
  <c r="M161" i="33"/>
  <c r="N161" i="33"/>
  <c r="O161" i="33"/>
  <c r="E163" i="33"/>
  <c r="B172" i="33"/>
  <c r="C172" i="33"/>
  <c r="D172" i="33"/>
  <c r="F174" i="33"/>
  <c r="F181" i="33" s="1"/>
  <c r="F188" i="33" s="1"/>
  <c r="G174" i="33"/>
  <c r="G181" i="33" s="1"/>
  <c r="G188" i="33" s="1"/>
  <c r="H174" i="33"/>
  <c r="H181" i="33" s="1"/>
  <c r="H188" i="33" s="1"/>
  <c r="I174" i="33"/>
  <c r="I181" i="33" s="1"/>
  <c r="I188" i="33" s="1"/>
  <c r="J174" i="33"/>
  <c r="J181" i="33" s="1"/>
  <c r="J188" i="33" s="1"/>
  <c r="K174" i="33"/>
  <c r="K181" i="33" s="1"/>
  <c r="K188" i="33" s="1"/>
  <c r="A175" i="33"/>
  <c r="A182" i="33" s="1"/>
  <c r="A189" i="33" s="1"/>
  <c r="B91" i="36" s="1"/>
  <c r="A176" i="33"/>
  <c r="A183" i="33" s="1"/>
  <c r="A190" i="33" s="1"/>
  <c r="B92" i="36" s="1"/>
  <c r="A177" i="33"/>
  <c r="A184" i="33" s="1"/>
  <c r="A191" i="33" s="1"/>
  <c r="B93" i="36" s="1"/>
  <c r="A178" i="33"/>
  <c r="A185" i="33" s="1"/>
  <c r="A192" i="33" s="1"/>
  <c r="B94" i="36" s="1"/>
  <c r="A179" i="33"/>
  <c r="A186" i="33" s="1"/>
  <c r="A194" i="33" s="1"/>
  <c r="B96" i="36" s="1"/>
  <c r="B179" i="33"/>
  <c r="C179" i="33"/>
  <c r="D179" i="33"/>
  <c r="B186" i="33"/>
  <c r="C186" i="33"/>
  <c r="D186" i="33"/>
  <c r="B194" i="33"/>
  <c r="C96" i="36" s="1"/>
  <c r="C194" i="33"/>
  <c r="D96" i="36" s="1"/>
  <c r="D194" i="33"/>
  <c r="E96" i="36" s="1"/>
  <c r="AC196" i="33"/>
  <c r="AB197" i="33"/>
  <c r="AD197" i="33"/>
  <c r="AG197" i="33"/>
  <c r="R198" i="33"/>
  <c r="AD198" i="33" s="1"/>
  <c r="AB198" i="33"/>
  <c r="AG198" i="33"/>
  <c r="AB199" i="33"/>
  <c r="AG199" i="33"/>
  <c r="M200" i="33"/>
  <c r="P200" i="33" s="1"/>
  <c r="AF201" i="33" s="1"/>
  <c r="N200" i="33"/>
  <c r="O200" i="33" s="1"/>
  <c r="AG201" i="33" s="1"/>
  <c r="AG200" i="33"/>
  <c r="M201" i="33"/>
  <c r="M208" i="33" s="1"/>
  <c r="AB201" i="33"/>
  <c r="AC201" i="33"/>
  <c r="AD201" i="33"/>
  <c r="AE201" i="33"/>
  <c r="M202" i="33"/>
  <c r="U202" i="33" s="1"/>
  <c r="AB202" i="33"/>
  <c r="AC202" i="33"/>
  <c r="AD202" i="33"/>
  <c r="AE202" i="33"/>
  <c r="AG202" i="33"/>
  <c r="M203" i="33"/>
  <c r="P203" i="33" s="1"/>
  <c r="N203" i="33"/>
  <c r="S203" i="33"/>
  <c r="AC203" i="33" s="1"/>
  <c r="AB203" i="33"/>
  <c r="AD203" i="33"/>
  <c r="AG203" i="33"/>
  <c r="O204" i="33"/>
  <c r="AG204" i="33" s="1"/>
  <c r="P204" i="33"/>
  <c r="AF204" i="33" s="1"/>
  <c r="U204" i="33"/>
  <c r="AB204" i="33"/>
  <c r="AD204" i="33"/>
  <c r="AE204" i="33"/>
  <c r="AB205" i="33"/>
  <c r="AD205" i="33"/>
  <c r="AE205" i="33"/>
  <c r="M206" i="33"/>
  <c r="C563" i="34" s="1"/>
  <c r="C566" i="34" s="1"/>
  <c r="N206" i="33"/>
  <c r="O206" i="33" s="1"/>
  <c r="AG205" i="33" s="1"/>
  <c r="AB206" i="33"/>
  <c r="AD206" i="33"/>
  <c r="AE206" i="33"/>
  <c r="M207" i="33"/>
  <c r="O207" i="33"/>
  <c r="S207" i="33" s="1"/>
  <c r="AC206" i="33" s="1"/>
  <c r="AB207" i="33"/>
  <c r="AD207" i="33"/>
  <c r="AE207" i="33"/>
  <c r="AF207" i="33"/>
  <c r="AG207" i="33"/>
  <c r="H208" i="33"/>
  <c r="I208" i="33"/>
  <c r="I11" i="36" s="1"/>
  <c r="I22" i="36" s="1"/>
  <c r="J208" i="33"/>
  <c r="J11" i="36" s="1"/>
  <c r="J107" i="36" s="1"/>
  <c r="AB208" i="33"/>
  <c r="AD208" i="33"/>
  <c r="AE208" i="33"/>
  <c r="J209" i="33"/>
  <c r="J219" i="33" s="1"/>
  <c r="K209" i="33"/>
  <c r="K12" i="36" s="1"/>
  <c r="S209" i="33"/>
  <c r="AC207" i="33" s="1"/>
  <c r="U209" i="33"/>
  <c r="AB209" i="33"/>
  <c r="N210" i="33"/>
  <c r="O210" i="33" s="1"/>
  <c r="AG208" i="33" s="1"/>
  <c r="P210" i="33"/>
  <c r="J210" i="33" s="1"/>
  <c r="J217" i="33" s="1"/>
  <c r="J205" i="33" s="1"/>
  <c r="U210" i="33"/>
  <c r="AG211" i="33"/>
  <c r="AG212" i="33"/>
  <c r="K216" i="33"/>
  <c r="H217" i="33"/>
  <c r="H205" i="33" s="1"/>
  <c r="H10" i="36" s="1"/>
  <c r="H26" i="38" s="1"/>
  <c r="H293" i="38" s="1"/>
  <c r="I217" i="33"/>
  <c r="I205" i="33" s="1"/>
  <c r="I10" i="36" s="1"/>
  <c r="I26" i="38" s="1"/>
  <c r="I293" i="38" s="1"/>
  <c r="H218" i="33"/>
  <c r="I218" i="33"/>
  <c r="J218" i="33"/>
  <c r="L218" i="33"/>
  <c r="H219" i="33"/>
  <c r="I219" i="33"/>
  <c r="I83" i="13"/>
  <c r="K83" i="13"/>
  <c r="L83" i="13"/>
  <c r="M83" i="13"/>
  <c r="N83" i="13"/>
  <c r="O83" i="13"/>
  <c r="I110" i="13"/>
  <c r="J110" i="13"/>
  <c r="K110" i="13"/>
  <c r="L110" i="13"/>
  <c r="M110" i="13"/>
  <c r="N110" i="13"/>
  <c r="O110" i="13"/>
  <c r="A118" i="13"/>
  <c r="A119" i="13"/>
  <c r="A120" i="13"/>
  <c r="A121" i="13"/>
  <c r="P16" i="14"/>
  <c r="S16" i="14"/>
  <c r="U16" i="14"/>
  <c r="I39" i="14"/>
  <c r="C3" i="47" s="1"/>
  <c r="I42" i="14"/>
  <c r="D197" i="14"/>
  <c r="F197" i="14" s="1"/>
  <c r="G197" i="14"/>
  <c r="D198" i="14"/>
  <c r="G207" i="14"/>
  <c r="H207" i="14" s="1"/>
  <c r="I207" i="14" s="1"/>
  <c r="J207" i="14" s="1"/>
  <c r="K207" i="14" s="1"/>
  <c r="L207" i="14" s="1"/>
  <c r="M207" i="14" s="1"/>
  <c r="N207" i="14" s="1"/>
  <c r="H262" i="14"/>
  <c r="I262" i="14" s="1"/>
  <c r="J262" i="14" s="1"/>
  <c r="K262" i="14" s="1"/>
  <c r="L262" i="14" s="1"/>
  <c r="M262" i="14" s="1"/>
  <c r="N262" i="14" s="1"/>
  <c r="O262" i="14" s="1"/>
  <c r="H276" i="14"/>
  <c r="I276" i="14" s="1"/>
  <c r="J276" i="14" s="1"/>
  <c r="K276" i="14" s="1"/>
  <c r="L276" i="14" s="1"/>
  <c r="M276" i="14" s="1"/>
  <c r="N276" i="14" s="1"/>
  <c r="O276" i="14" s="1"/>
  <c r="P276" i="14" s="1"/>
  <c r="R276" i="14" s="1"/>
  <c r="S276" i="14" s="1"/>
  <c r="T276" i="14" s="1"/>
  <c r="U276" i="14" s="1"/>
  <c r="V276" i="14" s="1"/>
  <c r="W276" i="14" s="1"/>
  <c r="H291" i="14"/>
  <c r="I291" i="14" s="1"/>
  <c r="J291" i="14" s="1"/>
  <c r="K291" i="14" s="1"/>
  <c r="L291" i="14" s="1"/>
  <c r="M291" i="14" s="1"/>
  <c r="N291" i="14" s="1"/>
  <c r="O291" i="14" s="1"/>
  <c r="P291" i="14" s="1"/>
  <c r="Q291" i="14" s="1"/>
  <c r="R291" i="14" s="1"/>
  <c r="C172" i="14"/>
  <c r="B303" i="14"/>
  <c r="B309" i="14" s="1"/>
  <c r="B304" i="14"/>
  <c r="B310" i="14" s="1"/>
  <c r="B305" i="14"/>
  <c r="B311" i="14" s="1"/>
  <c r="I225" i="14"/>
  <c r="J225" i="14" s="1"/>
  <c r="M225" i="14"/>
  <c r="R225" i="14"/>
  <c r="R226" i="14"/>
  <c r="I227" i="14"/>
  <c r="J227" i="14" s="1"/>
  <c r="M227" i="14"/>
  <c r="R227" i="14"/>
  <c r="I229" i="14"/>
  <c r="J229" i="14" s="1"/>
  <c r="M229" i="14"/>
  <c r="R229" i="14"/>
  <c r="I230" i="14"/>
  <c r="J230" i="14" s="1"/>
  <c r="M230" i="14"/>
  <c r="R230" i="14"/>
  <c r="I232" i="14"/>
  <c r="J232" i="14" s="1"/>
  <c r="M232" i="14"/>
  <c r="R232" i="14"/>
  <c r="I233" i="14"/>
  <c r="J233" i="14" s="1"/>
  <c r="M233" i="14"/>
  <c r="R233" i="14"/>
  <c r="C234" i="14"/>
  <c r="Q234" i="14" s="1"/>
  <c r="I234" i="14"/>
  <c r="J234" i="14" s="1"/>
  <c r="M234" i="14"/>
  <c r="R234" i="14"/>
  <c r="I235" i="14"/>
  <c r="J235" i="14" s="1"/>
  <c r="M235" i="14"/>
  <c r="R235" i="14"/>
  <c r="I236" i="14"/>
  <c r="J236" i="14" s="1"/>
  <c r="M236" i="14"/>
  <c r="R236" i="14"/>
  <c r="I237" i="14"/>
  <c r="J237" i="14" s="1"/>
  <c r="M237" i="14"/>
  <c r="R237" i="14"/>
  <c r="I238" i="14"/>
  <c r="J238" i="14" s="1"/>
  <c r="M238" i="14"/>
  <c r="R238" i="14"/>
  <c r="C242" i="14"/>
  <c r="B243" i="14"/>
  <c r="B244" i="14"/>
  <c r="D245" i="14"/>
  <c r="B246" i="14"/>
  <c r="D187" i="14"/>
  <c r="E187" i="14" s="1"/>
  <c r="F187" i="14" s="1"/>
  <c r="G187" i="14" s="1"/>
  <c r="H187" i="14" s="1"/>
  <c r="I187" i="14" s="1"/>
  <c r="J187" i="14" s="1"/>
  <c r="K187" i="14" s="1"/>
  <c r="L187" i="14" s="1"/>
  <c r="M187" i="14" s="1"/>
  <c r="N187" i="14" s="1"/>
  <c r="O187" i="14" s="1"/>
  <c r="P187" i="14" s="1"/>
  <c r="Q187" i="14" s="1"/>
  <c r="R187" i="14" s="1"/>
  <c r="S187" i="14" s="1"/>
  <c r="T187" i="14" s="1"/>
  <c r="U187" i="14" s="1"/>
  <c r="V187" i="14" s="1"/>
  <c r="W187" i="14" s="1"/>
  <c r="X187" i="14" s="1"/>
  <c r="C188" i="14"/>
  <c r="D188" i="14"/>
  <c r="E188" i="14"/>
  <c r="F188" i="14"/>
  <c r="C189" i="14"/>
  <c r="D189" i="14"/>
  <c r="E189" i="14"/>
  <c r="F189" i="14"/>
  <c r="F111" i="34"/>
  <c r="J122" i="34"/>
  <c r="P211" i="1" s="1"/>
  <c r="D125" i="34"/>
  <c r="D126" i="34"/>
  <c r="E126" i="34"/>
  <c r="E128" i="34" s="1"/>
  <c r="L126" i="34"/>
  <c r="P126" i="34" s="1"/>
  <c r="D127" i="34"/>
  <c r="L127" i="34"/>
  <c r="M127" i="34"/>
  <c r="M129" i="34" s="1"/>
  <c r="N127" i="34"/>
  <c r="N129" i="34" s="1"/>
  <c r="C129" i="34"/>
  <c r="E129" i="34"/>
  <c r="F205" i="34"/>
  <c r="D617" i="34"/>
  <c r="D626" i="34"/>
  <c r="D628" i="34" s="1"/>
  <c r="D629" i="34" s="1"/>
  <c r="D631" i="34" s="1"/>
  <c r="C1091" i="34"/>
  <c r="E1134" i="34"/>
  <c r="C1302" i="34"/>
  <c r="D1303" i="34" s="1"/>
  <c r="G1542" i="34"/>
  <c r="C1543" i="34"/>
  <c r="G1543" i="34"/>
  <c r="E2070" i="34"/>
  <c r="F2070" i="34" s="1"/>
  <c r="D2" i="19"/>
  <c r="E2" i="19" s="1"/>
  <c r="G7" i="19"/>
  <c r="O298" i="15" s="1"/>
  <c r="H7" i="19"/>
  <c r="I7" i="19"/>
  <c r="M43" i="11" s="1"/>
  <c r="C8" i="19"/>
  <c r="C14" i="19" s="1"/>
  <c r="C18" i="19" s="1"/>
  <c r="D18" i="19" s="1"/>
  <c r="E18" i="19" s="1"/>
  <c r="F18" i="19" s="1"/>
  <c r="G18" i="19" s="1"/>
  <c r="H18" i="19" s="1"/>
  <c r="I18" i="19" s="1"/>
  <c r="J18" i="19" s="1"/>
  <c r="K18" i="19" s="1"/>
  <c r="L18" i="19" s="1"/>
  <c r="M18" i="19" s="1"/>
  <c r="N18" i="19" s="1"/>
  <c r="O18" i="19" s="1"/>
  <c r="P18" i="19" s="1"/>
  <c r="Q18" i="19" s="1"/>
  <c r="R18" i="19" s="1"/>
  <c r="S18" i="19" s="1"/>
  <c r="T18" i="19" s="1"/>
  <c r="U18" i="19" s="1"/>
  <c r="V18" i="19" s="1"/>
  <c r="W18" i="19" s="1"/>
  <c r="D8" i="19"/>
  <c r="E8" i="19"/>
  <c r="F8" i="19"/>
  <c r="F21" i="19" s="1"/>
  <c r="J8" i="19"/>
  <c r="J23" i="19" s="1"/>
  <c r="K8" i="19"/>
  <c r="K22" i="19" s="1"/>
  <c r="L8" i="19"/>
  <c r="L23" i="19" s="1"/>
  <c r="P52" i="11" s="1"/>
  <c r="L57" i="27" s="1"/>
  <c r="D10" i="19"/>
  <c r="E10" i="19"/>
  <c r="F10" i="19"/>
  <c r="K10" i="19"/>
  <c r="L10" i="19"/>
  <c r="M10" i="19"/>
  <c r="D12" i="19"/>
  <c r="L297" i="15" s="1"/>
  <c r="AJ12" i="19"/>
  <c r="AJ13" i="19"/>
  <c r="B21" i="19"/>
  <c r="B27" i="19" s="1"/>
  <c r="B22" i="19"/>
  <c r="B28" i="19" s="1"/>
  <c r="B23" i="19"/>
  <c r="B29" i="19" s="1"/>
  <c r="O23" i="19"/>
  <c r="P23" i="19" s="1"/>
  <c r="C31" i="19"/>
  <c r="K306" i="15" s="1"/>
  <c r="D35" i="19"/>
  <c r="E35" i="19"/>
  <c r="F35" i="19"/>
  <c r="G35" i="19"/>
  <c r="H35" i="19"/>
  <c r="I35" i="19"/>
  <c r="J35" i="19"/>
  <c r="K35" i="19"/>
  <c r="L35" i="19"/>
  <c r="M35" i="19"/>
  <c r="N35" i="19"/>
  <c r="O35" i="19"/>
  <c r="P35" i="19"/>
  <c r="K37" i="19"/>
  <c r="L37" i="19"/>
  <c r="R628" i="1" s="1"/>
  <c r="R619" i="1" s="1"/>
  <c r="M37" i="19"/>
  <c r="S628" i="1" s="1"/>
  <c r="S619" i="1" s="1"/>
  <c r="N37" i="19"/>
  <c r="T628" i="1" s="1"/>
  <c r="T619" i="1" s="1"/>
  <c r="O37" i="19"/>
  <c r="U628" i="1" s="1"/>
  <c r="U619" i="1" s="1"/>
  <c r="P37" i="19"/>
  <c r="V628" i="1" s="1"/>
  <c r="AG39" i="19"/>
  <c r="E42" i="19"/>
  <c r="G42" i="19"/>
  <c r="G50" i="19" s="1"/>
  <c r="H43" i="19"/>
  <c r="H42" i="19" s="1"/>
  <c r="I43" i="19"/>
  <c r="J43" i="19"/>
  <c r="J53" i="19" s="1"/>
  <c r="C44" i="19"/>
  <c r="C56" i="19" s="1"/>
  <c r="H45" i="19"/>
  <c r="I45" i="19"/>
  <c r="J45" i="19"/>
  <c r="K45" i="19"/>
  <c r="G46" i="19"/>
  <c r="H46" i="19"/>
  <c r="H47" i="19" s="1"/>
  <c r="E219" i="27" s="1"/>
  <c r="I46" i="19"/>
  <c r="I47" i="19" s="1"/>
  <c r="F219" i="27" s="1"/>
  <c r="J46" i="19"/>
  <c r="J47" i="19" s="1"/>
  <c r="G219" i="27" s="1"/>
  <c r="K46" i="19"/>
  <c r="K47" i="19" s="1"/>
  <c r="K51" i="19"/>
  <c r="E56" i="19"/>
  <c r="E413" i="19" s="1"/>
  <c r="E414" i="19" s="1"/>
  <c r="E419" i="19" s="1"/>
  <c r="G56" i="19"/>
  <c r="E1284" i="22" s="1"/>
  <c r="H56" i="19"/>
  <c r="H413" i="19" s="1"/>
  <c r="H414" i="19" s="1"/>
  <c r="H418" i="19" s="1"/>
  <c r="I56" i="19"/>
  <c r="G1284" i="22" s="1"/>
  <c r="J56" i="19"/>
  <c r="K56" i="19"/>
  <c r="N34" i="35" s="1"/>
  <c r="N45" i="35" s="1"/>
  <c r="J59" i="19"/>
  <c r="R302" i="15" s="1"/>
  <c r="K59" i="19"/>
  <c r="C62" i="19"/>
  <c r="H62" i="19"/>
  <c r="K77" i="4" s="1"/>
  <c r="J62" i="19"/>
  <c r="M77" i="4" s="1"/>
  <c r="K62" i="19"/>
  <c r="N77" i="4" s="1"/>
  <c r="E63" i="19"/>
  <c r="G63" i="19"/>
  <c r="E1291" i="22" s="1"/>
  <c r="I63" i="19"/>
  <c r="G1291" i="22" s="1"/>
  <c r="J67" i="19"/>
  <c r="K67" i="19"/>
  <c r="E68" i="19"/>
  <c r="G68" i="19"/>
  <c r="H68" i="19"/>
  <c r="I68" i="19"/>
  <c r="D73" i="19"/>
  <c r="J73" i="19"/>
  <c r="D76" i="19"/>
  <c r="H81" i="19"/>
  <c r="I73" i="19" s="1"/>
  <c r="J81" i="19"/>
  <c r="K73" i="19" s="1"/>
  <c r="K81" i="19"/>
  <c r="H88" i="19"/>
  <c r="L89" i="19"/>
  <c r="E12" i="13" s="1"/>
  <c r="T12" i="15" s="1"/>
  <c r="M89" i="19"/>
  <c r="F12" i="13" s="1"/>
  <c r="U12" i="15" s="1"/>
  <c r="N89" i="19"/>
  <c r="G12" i="13" s="1"/>
  <c r="V12" i="15" s="1"/>
  <c r="O89" i="19"/>
  <c r="H12" i="13" s="1"/>
  <c r="W12" i="15" s="1"/>
  <c r="P89" i="19"/>
  <c r="I12" i="13" s="1"/>
  <c r="X12" i="15" s="1"/>
  <c r="Q89" i="19"/>
  <c r="J12" i="13" s="1"/>
  <c r="C4795" i="22" s="1"/>
  <c r="R89" i="19"/>
  <c r="K12" i="13" s="1"/>
  <c r="Z12" i="15" s="1"/>
  <c r="S89" i="19"/>
  <c r="L12" i="13" s="1"/>
  <c r="E4795" i="22" s="1"/>
  <c r="T89" i="19"/>
  <c r="M12" i="13" s="1"/>
  <c r="F4795" i="22" s="1"/>
  <c r="U89" i="19"/>
  <c r="N12" i="13" s="1"/>
  <c r="G4795" i="22" s="1"/>
  <c r="V89" i="19"/>
  <c r="O12" i="13" s="1"/>
  <c r="AD12" i="15" s="1"/>
  <c r="D96" i="19"/>
  <c r="E96" i="19" s="1"/>
  <c r="F96" i="19" s="1"/>
  <c r="G96" i="19" s="1"/>
  <c r="H96" i="19" s="1"/>
  <c r="I96" i="19" s="1"/>
  <c r="J96" i="19" s="1"/>
  <c r="K96" i="19" s="1"/>
  <c r="L96" i="19" s="1"/>
  <c r="M96" i="19" s="1"/>
  <c r="N96" i="19" s="1"/>
  <c r="O96" i="19" s="1"/>
  <c r="P96" i="19" s="1"/>
  <c r="Q96" i="19" s="1"/>
  <c r="R96" i="19" s="1"/>
  <c r="S96" i="19" s="1"/>
  <c r="T96" i="19" s="1"/>
  <c r="U96" i="19" s="1"/>
  <c r="V96" i="19" s="1"/>
  <c r="W96" i="19" s="1"/>
  <c r="C107" i="19"/>
  <c r="G108" i="19"/>
  <c r="H109" i="19" s="1"/>
  <c r="I109" i="19"/>
  <c r="J109" i="19" s="1"/>
  <c r="G116" i="19"/>
  <c r="G132" i="19" s="1"/>
  <c r="H116" i="19"/>
  <c r="H132" i="19" s="1"/>
  <c r="I116" i="19"/>
  <c r="I132" i="19" s="1"/>
  <c r="H118" i="19"/>
  <c r="I118" i="19"/>
  <c r="G121" i="19"/>
  <c r="G120" i="19" s="1"/>
  <c r="H121" i="19"/>
  <c r="H120" i="19" s="1"/>
  <c r="H124" i="19" s="1"/>
  <c r="I121" i="19"/>
  <c r="B128" i="19"/>
  <c r="B136" i="19" s="1"/>
  <c r="B151" i="19" s="1"/>
  <c r="B159" i="19" s="1"/>
  <c r="B168" i="19" s="1"/>
  <c r="G128" i="19"/>
  <c r="H128" i="19"/>
  <c r="I128" i="19"/>
  <c r="K128" i="19"/>
  <c r="L128" i="19" s="1"/>
  <c r="M128" i="19" s="1"/>
  <c r="N128" i="19" s="1"/>
  <c r="O128" i="19" s="1"/>
  <c r="P128" i="19" s="1"/>
  <c r="Q128" i="19" s="1"/>
  <c r="R128" i="19" s="1"/>
  <c r="S128" i="19" s="1"/>
  <c r="T128" i="19" s="1"/>
  <c r="U128" i="19" s="1"/>
  <c r="V128" i="19" s="1"/>
  <c r="W128" i="19" s="1"/>
  <c r="B129" i="19"/>
  <c r="B137" i="19" s="1"/>
  <c r="B152" i="19" s="1"/>
  <c r="B160" i="19" s="1"/>
  <c r="B169" i="19" s="1"/>
  <c r="G129" i="19"/>
  <c r="H129" i="19"/>
  <c r="I129" i="19"/>
  <c r="J129" i="19" s="1"/>
  <c r="B130" i="19"/>
  <c r="B138" i="19" s="1"/>
  <c r="B153" i="19" s="1"/>
  <c r="B161" i="19" s="1"/>
  <c r="B170" i="19" s="1"/>
  <c r="G130" i="19"/>
  <c r="H130" i="19"/>
  <c r="I130" i="19"/>
  <c r="J130" i="19" s="1"/>
  <c r="K130" i="19" s="1"/>
  <c r="L130" i="19" s="1"/>
  <c r="M130" i="19" s="1"/>
  <c r="N130" i="19" s="1"/>
  <c r="O130" i="19" s="1"/>
  <c r="P130" i="19" s="1"/>
  <c r="Q130" i="19" s="1"/>
  <c r="R130" i="19" s="1"/>
  <c r="S130" i="19" s="1"/>
  <c r="T130" i="19" s="1"/>
  <c r="U130" i="19" s="1"/>
  <c r="V130" i="19" s="1"/>
  <c r="W130" i="19" s="1"/>
  <c r="B131" i="19"/>
  <c r="B139" i="19" s="1"/>
  <c r="B154" i="19" s="1"/>
  <c r="B162" i="19" s="1"/>
  <c r="B171" i="19" s="1"/>
  <c r="G131" i="19"/>
  <c r="H131" i="19"/>
  <c r="I131" i="19"/>
  <c r="J131" i="19" s="1"/>
  <c r="K131" i="19" s="1"/>
  <c r="L131" i="19" s="1"/>
  <c r="M131" i="19" s="1"/>
  <c r="N131" i="19" s="1"/>
  <c r="O131" i="19" s="1"/>
  <c r="P131" i="19" s="1"/>
  <c r="Q131" i="19" s="1"/>
  <c r="R131" i="19" s="1"/>
  <c r="S131" i="19" s="1"/>
  <c r="T131" i="19" s="1"/>
  <c r="U131" i="19" s="1"/>
  <c r="V131" i="19" s="1"/>
  <c r="W131" i="19" s="1"/>
  <c r="B132" i="19"/>
  <c r="B140" i="19" s="1"/>
  <c r="B155" i="19" s="1"/>
  <c r="B164" i="19" s="1"/>
  <c r="B173" i="19" s="1"/>
  <c r="B133" i="19"/>
  <c r="B141" i="19" s="1"/>
  <c r="B156" i="19" s="1"/>
  <c r="B165" i="19" s="1"/>
  <c r="B174" i="19" s="1"/>
  <c r="G133" i="19"/>
  <c r="H133" i="19"/>
  <c r="I133" i="19"/>
  <c r="J144" i="19"/>
  <c r="K144" i="19" s="1"/>
  <c r="L144" i="19" s="1"/>
  <c r="M144" i="19" s="1"/>
  <c r="N144" i="19" s="1"/>
  <c r="O144" i="19" s="1"/>
  <c r="P144" i="19" s="1"/>
  <c r="Q144" i="19" s="1"/>
  <c r="R144" i="19" s="1"/>
  <c r="S144" i="19" s="1"/>
  <c r="T144" i="19" s="1"/>
  <c r="U144" i="19" s="1"/>
  <c r="V144" i="19" s="1"/>
  <c r="W144" i="19" s="1"/>
  <c r="G165" i="19"/>
  <c r="G170" i="19" s="1"/>
  <c r="H165" i="19"/>
  <c r="H174" i="19" s="1"/>
  <c r="I165" i="19"/>
  <c r="I173" i="19" s="1"/>
  <c r="B172" i="19"/>
  <c r="J180" i="19"/>
  <c r="AK180" i="19" s="1"/>
  <c r="AJ180" i="19"/>
  <c r="H183" i="19"/>
  <c r="G183" i="19" s="1"/>
  <c r="F183" i="19" s="1"/>
  <c r="F253" i="19" s="1"/>
  <c r="AI188" i="19"/>
  <c r="AI190" i="19"/>
  <c r="AJ191" i="19"/>
  <c r="AI194" i="19"/>
  <c r="B195" i="19"/>
  <c r="AI195" i="19"/>
  <c r="AI209" i="19" s="1"/>
  <c r="AI196" i="19"/>
  <c r="AI197" i="19"/>
  <c r="AI198" i="19"/>
  <c r="AI199" i="19"/>
  <c r="AI200" i="19"/>
  <c r="AJ201" i="19"/>
  <c r="AJ208" i="19"/>
  <c r="AJ209" i="19"/>
  <c r="AJ210" i="19"/>
  <c r="H215" i="19"/>
  <c r="I215" i="19"/>
  <c r="J215" i="19"/>
  <c r="K215" i="19"/>
  <c r="L215" i="19"/>
  <c r="L279" i="19" s="1"/>
  <c r="M215" i="19"/>
  <c r="M279" i="19" s="1"/>
  <c r="M289" i="19" s="1"/>
  <c r="N215" i="19"/>
  <c r="O215" i="19"/>
  <c r="P215" i="19"/>
  <c r="J217" i="19"/>
  <c r="G221" i="19"/>
  <c r="H221" i="19"/>
  <c r="I221" i="19"/>
  <c r="G222" i="19"/>
  <c r="H222" i="19"/>
  <c r="I222" i="19"/>
  <c r="G223" i="19"/>
  <c r="H223" i="19"/>
  <c r="I223" i="19"/>
  <c r="AK226" i="19"/>
  <c r="B227" i="19"/>
  <c r="K227" i="19"/>
  <c r="N227" i="19"/>
  <c r="O227" i="19" s="1"/>
  <c r="B228" i="19"/>
  <c r="O228" i="19"/>
  <c r="B229" i="19"/>
  <c r="S229" i="19"/>
  <c r="T229" i="19" s="1"/>
  <c r="U229" i="19" s="1"/>
  <c r="V229" i="19" s="1"/>
  <c r="W229" i="19" s="1"/>
  <c r="I236" i="19"/>
  <c r="I238" i="19" s="1"/>
  <c r="H237" i="19"/>
  <c r="H244" i="19" s="1"/>
  <c r="H246" i="19" s="1"/>
  <c r="I253" i="19"/>
  <c r="M266" i="19"/>
  <c r="L268" i="19"/>
  <c r="M268" i="19"/>
  <c r="N268" i="19" s="1"/>
  <c r="O268" i="19" s="1"/>
  <c r="P268" i="19" s="1"/>
  <c r="M273" i="19"/>
  <c r="J279" i="19"/>
  <c r="M282" i="19"/>
  <c r="AI282" i="19"/>
  <c r="N285" i="19"/>
  <c r="N313" i="19" s="1"/>
  <c r="O285" i="19"/>
  <c r="H432" i="37" s="1"/>
  <c r="N289" i="19"/>
  <c r="O289" i="19"/>
  <c r="K293" i="19"/>
  <c r="K294" i="19" s="1"/>
  <c r="M293" i="19"/>
  <c r="N294" i="19"/>
  <c r="O294" i="19"/>
  <c r="N295" i="19"/>
  <c r="O295" i="19"/>
  <c r="L298" i="19"/>
  <c r="M298" i="19" s="1"/>
  <c r="N298" i="19" s="1"/>
  <c r="O298" i="19" s="1"/>
  <c r="N299" i="19"/>
  <c r="O299" i="19"/>
  <c r="L304" i="19"/>
  <c r="M304" i="19"/>
  <c r="N304" i="19"/>
  <c r="O304" i="19"/>
  <c r="Q306" i="19"/>
  <c r="K308" i="19"/>
  <c r="N308" i="19"/>
  <c r="N310" i="19" s="1"/>
  <c r="O309" i="19"/>
  <c r="O310" i="19" s="1"/>
  <c r="M310" i="19"/>
  <c r="I320" i="19"/>
  <c r="I321" i="19"/>
  <c r="D325" i="19"/>
  <c r="E325" i="19" s="1"/>
  <c r="F325" i="19" s="1"/>
  <c r="G325" i="19" s="1"/>
  <c r="H325" i="19" s="1"/>
  <c r="I325" i="19" s="1"/>
  <c r="J325" i="19" s="1"/>
  <c r="K325" i="19" s="1"/>
  <c r="L325" i="19" s="1"/>
  <c r="M325" i="19" s="1"/>
  <c r="N325" i="19" s="1"/>
  <c r="O325" i="19" s="1"/>
  <c r="P325" i="19" s="1"/>
  <c r="Q325" i="19" s="1"/>
  <c r="R325" i="19" s="1"/>
  <c r="S325" i="19" s="1"/>
  <c r="T325" i="19" s="1"/>
  <c r="U325" i="19" s="1"/>
  <c r="V325" i="19" s="1"/>
  <c r="W325" i="19" s="1"/>
  <c r="I337" i="19"/>
  <c r="J387" i="19"/>
  <c r="J396" i="19" s="1"/>
  <c r="M387" i="19"/>
  <c r="M396" i="19" s="1"/>
  <c r="N387" i="19"/>
  <c r="N396" i="19" s="1"/>
  <c r="B392" i="19"/>
  <c r="J392" i="19"/>
  <c r="M392" i="19"/>
  <c r="N392" i="19"/>
  <c r="B393" i="19"/>
  <c r="J393" i="19"/>
  <c r="M393" i="19"/>
  <c r="N393" i="19"/>
  <c r="B394" i="19"/>
  <c r="J394" i="19"/>
  <c r="M394" i="19"/>
  <c r="N394" i="19"/>
  <c r="B395" i="19"/>
  <c r="J395" i="19"/>
  <c r="M395" i="19"/>
  <c r="N395" i="19"/>
  <c r="B396" i="19"/>
  <c r="C401" i="19"/>
  <c r="D404" i="19"/>
  <c r="C405" i="19"/>
  <c r="C406" i="19" s="1"/>
  <c r="AR413" i="19"/>
  <c r="AR414" i="19" s="1"/>
  <c r="AR423" i="19" s="1"/>
  <c r="AN414" i="19"/>
  <c r="AN423" i="19" s="1"/>
  <c r="BN423" i="19" s="1"/>
  <c r="AO414" i="19"/>
  <c r="AO423" i="19" s="1"/>
  <c r="AP414" i="19"/>
  <c r="AP423" i="19" s="1"/>
  <c r="BP423" i="19" s="1"/>
  <c r="AQ414" i="19"/>
  <c r="AQ423" i="19" s="1"/>
  <c r="BQ423" i="19" s="1"/>
  <c r="AS414" i="19"/>
  <c r="AS423" i="19" s="1"/>
  <c r="AT414" i="19"/>
  <c r="AT423" i="19" s="1"/>
  <c r="AU414" i="19"/>
  <c r="AU423" i="19" s="1"/>
  <c r="AV414" i="19"/>
  <c r="AV423" i="19" s="1"/>
  <c r="B417" i="19"/>
  <c r="B418" i="19"/>
  <c r="B419" i="19"/>
  <c r="AN420" i="19"/>
  <c r="AO420" i="19"/>
  <c r="AP420" i="19"/>
  <c r="AQ420" i="19"/>
  <c r="C421" i="19"/>
  <c r="C439" i="19" s="1"/>
  <c r="D421" i="19"/>
  <c r="E421" i="19"/>
  <c r="E434" i="19" s="1"/>
  <c r="F421" i="19"/>
  <c r="G421" i="19"/>
  <c r="G439" i="19" s="1"/>
  <c r="G446" i="19" s="1"/>
  <c r="H421" i="19"/>
  <c r="H434" i="19" s="1"/>
  <c r="I421" i="19"/>
  <c r="J421" i="19"/>
  <c r="AH421" i="19"/>
  <c r="AI421" i="19"/>
  <c r="AJ421" i="19"/>
  <c r="AK421" i="19"/>
  <c r="AL421" i="19"/>
  <c r="AL439" i="19" s="1"/>
  <c r="AL446" i="19" s="1"/>
  <c r="AM421" i="19"/>
  <c r="BM421" i="19" s="1"/>
  <c r="AN421" i="19"/>
  <c r="BN421" i="19" s="1"/>
  <c r="AN451" i="19" s="1"/>
  <c r="AN457" i="19" s="1"/>
  <c r="AO421" i="19"/>
  <c r="AO439" i="19" s="1"/>
  <c r="AO446" i="19" s="1"/>
  <c r="AP421" i="19"/>
  <c r="AP434" i="19" s="1"/>
  <c r="AQ421" i="19"/>
  <c r="BR421" i="19"/>
  <c r="BR439" i="19" s="1"/>
  <c r="BS421" i="19"/>
  <c r="BT421" i="19"/>
  <c r="BU421" i="19"/>
  <c r="AU451" i="19" s="1"/>
  <c r="AU457" i="19" s="1"/>
  <c r="BV421" i="19"/>
  <c r="AV451" i="19" s="1"/>
  <c r="AV457" i="19" s="1"/>
  <c r="AS422" i="19"/>
  <c r="BS422" i="19" s="1"/>
  <c r="AT422" i="19"/>
  <c r="BT422" i="19" s="1"/>
  <c r="AU422" i="19"/>
  <c r="BU422" i="19" s="1"/>
  <c r="AV422" i="19"/>
  <c r="BV422" i="19" s="1"/>
  <c r="AY422" i="19"/>
  <c r="AZ422" i="19"/>
  <c r="BA422" i="19"/>
  <c r="BB422" i="19"/>
  <c r="BC422" i="19"/>
  <c r="BD422" i="19"/>
  <c r="BE422" i="19"/>
  <c r="BF422" i="19"/>
  <c r="BG422" i="19"/>
  <c r="BH422" i="19"/>
  <c r="BI422" i="19"/>
  <c r="BJ422" i="19"/>
  <c r="BK422" i="19"/>
  <c r="BL422" i="19"/>
  <c r="BM422" i="19"/>
  <c r="BN422" i="19"/>
  <c r="BO422" i="19"/>
  <c r="BP422" i="19"/>
  <c r="BQ422" i="19"/>
  <c r="BR422" i="19"/>
  <c r="AY423" i="19"/>
  <c r="AZ423" i="19"/>
  <c r="BA423" i="19"/>
  <c r="BB423" i="19"/>
  <c r="BC423" i="19"/>
  <c r="BD423" i="19"/>
  <c r="BE423" i="19"/>
  <c r="BF423" i="19"/>
  <c r="BG423" i="19"/>
  <c r="BH423" i="19"/>
  <c r="BI423" i="19"/>
  <c r="BJ423" i="19"/>
  <c r="BK423" i="19"/>
  <c r="BL423" i="19"/>
  <c r="BM423" i="19"/>
  <c r="AH424" i="19"/>
  <c r="AI424" i="19"/>
  <c r="AI425" i="19" s="1"/>
  <c r="AI436" i="19" s="1"/>
  <c r="AJ424" i="19"/>
  <c r="AJ425" i="19" s="1"/>
  <c r="AJ435" i="19" s="1"/>
  <c r="AK424" i="19"/>
  <c r="AK442" i="19" s="1"/>
  <c r="AK443" i="19" s="1"/>
  <c r="AL424" i="19"/>
  <c r="AL442" i="19" s="1"/>
  <c r="AL443" i="19" s="1"/>
  <c r="AM424" i="19"/>
  <c r="AM442" i="19" s="1"/>
  <c r="AM443" i="19" s="1"/>
  <c r="AM449" i="19" s="1"/>
  <c r="AN424" i="19"/>
  <c r="AO424" i="19"/>
  <c r="AP424" i="19"/>
  <c r="AT424" i="19" s="1"/>
  <c r="AQ424" i="19"/>
  <c r="D430" i="19"/>
  <c r="E430" i="19"/>
  <c r="F430" i="19"/>
  <c r="G430" i="19"/>
  <c r="H430" i="19"/>
  <c r="I430" i="19"/>
  <c r="J430" i="19"/>
  <c r="K430" i="19"/>
  <c r="L430" i="19"/>
  <c r="M430" i="19"/>
  <c r="N430" i="19"/>
  <c r="O430" i="19"/>
  <c r="AG430" i="19"/>
  <c r="AH430" i="19"/>
  <c r="AI430" i="19"/>
  <c r="AJ430" i="19"/>
  <c r="AK430" i="19"/>
  <c r="AL430" i="19"/>
  <c r="AM430" i="19"/>
  <c r="AN430" i="19"/>
  <c r="AO430" i="19"/>
  <c r="AP430" i="19"/>
  <c r="AQ430" i="19"/>
  <c r="AR430" i="19"/>
  <c r="AS430" i="19"/>
  <c r="AT430" i="19"/>
  <c r="AU430" i="19"/>
  <c r="AV430" i="19"/>
  <c r="AJ432" i="19"/>
  <c r="AK432" i="19"/>
  <c r="AL432" i="19"/>
  <c r="AM432" i="19"/>
  <c r="AN432" i="19"/>
  <c r="AO432" i="19"/>
  <c r="AP432" i="19"/>
  <c r="AQ432" i="19"/>
  <c r="AR432" i="19"/>
  <c r="AS432" i="19"/>
  <c r="AT432" i="19"/>
  <c r="AU432" i="19"/>
  <c r="AV432" i="19"/>
  <c r="AR434" i="19"/>
  <c r="AS434" i="19"/>
  <c r="AT434" i="19"/>
  <c r="AU434" i="19"/>
  <c r="AV434" i="19"/>
  <c r="B435" i="19"/>
  <c r="B436" i="19"/>
  <c r="B437" i="19"/>
  <c r="AR439" i="19"/>
  <c r="AR446" i="19" s="1"/>
  <c r="AS439" i="19"/>
  <c r="AS446" i="19" s="1"/>
  <c r="AT439" i="19"/>
  <c r="AT446" i="19" s="1"/>
  <c r="AU439" i="19"/>
  <c r="AU446" i="19" s="1"/>
  <c r="AV439" i="19"/>
  <c r="AV446" i="19" s="1"/>
  <c r="B440" i="19"/>
  <c r="B447" i="19" s="1"/>
  <c r="AY440" i="19"/>
  <c r="AZ440" i="19"/>
  <c r="BA440" i="19"/>
  <c r="BB440" i="19"/>
  <c r="BC440" i="19"/>
  <c r="BD440" i="19"/>
  <c r="BE440" i="19"/>
  <c r="BF440" i="19"/>
  <c r="BG440" i="19"/>
  <c r="BH440" i="19"/>
  <c r="BI440" i="19"/>
  <c r="BJ440" i="19"/>
  <c r="BK440" i="19"/>
  <c r="BL440" i="19"/>
  <c r="BM440" i="19"/>
  <c r="BN440" i="19"/>
  <c r="BO440" i="19"/>
  <c r="BP440" i="19"/>
  <c r="BQ440" i="19"/>
  <c r="BR440" i="19"/>
  <c r="BS440" i="19"/>
  <c r="BT440" i="19"/>
  <c r="B441" i="19"/>
  <c r="B448" i="19" s="1"/>
  <c r="AY441" i="19"/>
  <c r="AZ441" i="19"/>
  <c r="BA441" i="19"/>
  <c r="BB441" i="19"/>
  <c r="BC441" i="19"/>
  <c r="BD441" i="19"/>
  <c r="BE441" i="19"/>
  <c r="BF441" i="19"/>
  <c r="BG441" i="19"/>
  <c r="BH441" i="19"/>
  <c r="BI441" i="19"/>
  <c r="BJ441" i="19"/>
  <c r="BK441" i="19"/>
  <c r="BL441" i="19"/>
  <c r="BM441" i="19"/>
  <c r="BN441" i="19"/>
  <c r="BO441" i="19"/>
  <c r="BP441" i="19"/>
  <c r="BQ441" i="19"/>
  <c r="BR441" i="19"/>
  <c r="BS441" i="19"/>
  <c r="BT441" i="19"/>
  <c r="B442" i="19"/>
  <c r="B449" i="19" s="1"/>
  <c r="AU453" i="19"/>
  <c r="AV453" i="19"/>
  <c r="AR459" i="19"/>
  <c r="AS459" i="19"/>
  <c r="AT459" i="19"/>
  <c r="AU459" i="19"/>
  <c r="AV459" i="19"/>
  <c r="K517" i="19"/>
  <c r="L517" i="19"/>
  <c r="M517" i="19"/>
  <c r="N517" i="19"/>
  <c r="O517" i="19"/>
  <c r="AG517" i="19"/>
  <c r="AH517" i="19"/>
  <c r="I518" i="19"/>
  <c r="AH518" i="19"/>
  <c r="I519" i="19"/>
  <c r="AH519" i="19"/>
  <c r="M519" i="19" s="1"/>
  <c r="I520" i="19"/>
  <c r="AH520" i="19"/>
  <c r="O520" i="19" s="1"/>
  <c r="I521" i="19"/>
  <c r="I522" i="19"/>
  <c r="E527" i="19"/>
  <c r="J533" i="19" s="1"/>
  <c r="C529" i="19"/>
  <c r="C550" i="19"/>
  <c r="D550" i="19"/>
  <c r="E550" i="19"/>
  <c r="F550" i="19"/>
  <c r="G550" i="19"/>
  <c r="C551" i="19"/>
  <c r="G551" i="19"/>
  <c r="G555" i="19" s="1"/>
  <c r="C568" i="19"/>
  <c r="C569" i="19" s="1"/>
  <c r="G602" i="19"/>
  <c r="K602" i="19"/>
  <c r="O602" i="19"/>
  <c r="O609" i="19"/>
  <c r="O610" i="19" s="1"/>
  <c r="F3" i="27"/>
  <c r="G3" i="27" s="1"/>
  <c r="H3" i="27" s="1"/>
  <c r="I3" i="27" s="1"/>
  <c r="J3" i="27" s="1"/>
  <c r="K3" i="27" s="1"/>
  <c r="L3" i="27" s="1"/>
  <c r="B4" i="27"/>
  <c r="B20" i="27" s="1"/>
  <c r="B36" i="27" s="1"/>
  <c r="B5" i="27"/>
  <c r="B21" i="27" s="1"/>
  <c r="B37" i="27" s="1"/>
  <c r="B6" i="27"/>
  <c r="B22" i="27" s="1"/>
  <c r="B38" i="27" s="1"/>
  <c r="B7" i="27"/>
  <c r="B23" i="27" s="1"/>
  <c r="B39" i="27" s="1"/>
  <c r="B55" i="27" s="1"/>
  <c r="B71" i="27" s="1"/>
  <c r="B8" i="27"/>
  <c r="B24" i="27" s="1"/>
  <c r="B40" i="27" s="1"/>
  <c r="B88" i="27" s="1"/>
  <c r="B120" i="27" s="1"/>
  <c r="B135" i="27" s="1"/>
  <c r="B9" i="27"/>
  <c r="B25" i="27" s="1"/>
  <c r="B41" i="27" s="1"/>
  <c r="B89" i="27" s="1"/>
  <c r="B121" i="27" s="1"/>
  <c r="B136" i="27" s="1"/>
  <c r="B10" i="27"/>
  <c r="B26" i="27" s="1"/>
  <c r="B42" i="27" s="1"/>
  <c r="B11" i="27"/>
  <c r="B27" i="27" s="1"/>
  <c r="B43" i="27" s="1"/>
  <c r="B12" i="27"/>
  <c r="B28" i="27" s="1"/>
  <c r="B44" i="27" s="1"/>
  <c r="B60" i="27" s="1"/>
  <c r="B76" i="27" s="1"/>
  <c r="B13" i="27"/>
  <c r="B29" i="27" s="1"/>
  <c r="B45" i="27" s="1"/>
  <c r="B14" i="27"/>
  <c r="B30" i="27" s="1"/>
  <c r="B46" i="27" s="1"/>
  <c r="B16" i="27"/>
  <c r="B32" i="27" s="1"/>
  <c r="B48" i="27" s="1"/>
  <c r="B64" i="27" s="1"/>
  <c r="B80" i="27" s="1"/>
  <c r="E19" i="27"/>
  <c r="E35" i="27" s="1"/>
  <c r="E51" i="27" s="1"/>
  <c r="E20" i="27"/>
  <c r="F20" i="27"/>
  <c r="G20" i="27"/>
  <c r="H20" i="27"/>
  <c r="I20" i="27"/>
  <c r="J20" i="27"/>
  <c r="K20" i="27"/>
  <c r="E21" i="27"/>
  <c r="F21" i="27"/>
  <c r="G21" i="27"/>
  <c r="H21" i="27"/>
  <c r="I21" i="27"/>
  <c r="J21" i="27"/>
  <c r="K21" i="27"/>
  <c r="E22" i="27"/>
  <c r="F22" i="27"/>
  <c r="G22" i="27"/>
  <c r="H22" i="27"/>
  <c r="I22" i="27"/>
  <c r="J22" i="27"/>
  <c r="K22" i="27"/>
  <c r="E23" i="27"/>
  <c r="F23" i="27"/>
  <c r="G23" i="27"/>
  <c r="H23" i="27"/>
  <c r="I23" i="27"/>
  <c r="J23" i="27"/>
  <c r="K23" i="27"/>
  <c r="E24" i="27"/>
  <c r="F24" i="27"/>
  <c r="G24" i="27"/>
  <c r="H24" i="27"/>
  <c r="I24" i="27"/>
  <c r="J24" i="27"/>
  <c r="K24" i="27"/>
  <c r="E26" i="27"/>
  <c r="F26" i="27"/>
  <c r="G26" i="27"/>
  <c r="H26" i="27"/>
  <c r="I26" i="27"/>
  <c r="J26" i="27"/>
  <c r="K26" i="27"/>
  <c r="E27" i="27"/>
  <c r="F27" i="27"/>
  <c r="G27" i="27"/>
  <c r="H27" i="27"/>
  <c r="I27" i="27"/>
  <c r="J27" i="27"/>
  <c r="E28" i="27"/>
  <c r="F28" i="27"/>
  <c r="G28" i="27"/>
  <c r="H28" i="27"/>
  <c r="I28" i="27"/>
  <c r="J28" i="27"/>
  <c r="K28" i="27"/>
  <c r="E29" i="27"/>
  <c r="F29" i="27"/>
  <c r="G29" i="27"/>
  <c r="H29" i="27"/>
  <c r="I29" i="27"/>
  <c r="J29" i="27"/>
  <c r="K29" i="27"/>
  <c r="E30" i="27"/>
  <c r="F30" i="27"/>
  <c r="G30" i="27"/>
  <c r="H30" i="27"/>
  <c r="I30" i="27"/>
  <c r="J30" i="27"/>
  <c r="K30" i="27"/>
  <c r="B31" i="27"/>
  <c r="B47" i="27" s="1"/>
  <c r="B63" i="27" s="1"/>
  <c r="E31" i="27"/>
  <c r="F31" i="27"/>
  <c r="G31" i="27"/>
  <c r="H31" i="27"/>
  <c r="I31" i="27"/>
  <c r="J31" i="27"/>
  <c r="K31" i="27"/>
  <c r="E32" i="27"/>
  <c r="F32" i="27"/>
  <c r="G32" i="27"/>
  <c r="H32" i="27"/>
  <c r="I32" i="27"/>
  <c r="J32" i="27"/>
  <c r="K32" i="27"/>
  <c r="E52" i="27"/>
  <c r="F52" i="27"/>
  <c r="G52" i="27"/>
  <c r="H52" i="27"/>
  <c r="I52" i="27"/>
  <c r="J52" i="27"/>
  <c r="K52" i="27"/>
  <c r="E53" i="27"/>
  <c r="F53" i="27"/>
  <c r="G53" i="27"/>
  <c r="H53" i="27"/>
  <c r="I53" i="27"/>
  <c r="J53" i="27"/>
  <c r="K53" i="27"/>
  <c r="L53" i="27"/>
  <c r="E54" i="27"/>
  <c r="F54" i="27"/>
  <c r="G54" i="27"/>
  <c r="H54" i="27"/>
  <c r="I54" i="27"/>
  <c r="J54" i="27"/>
  <c r="K54" i="27"/>
  <c r="L54" i="27"/>
  <c r="E55" i="27"/>
  <c r="F55" i="27"/>
  <c r="G55" i="27"/>
  <c r="H55" i="27"/>
  <c r="I55" i="27"/>
  <c r="J55" i="27"/>
  <c r="K55" i="27"/>
  <c r="L55" i="27"/>
  <c r="E56" i="27"/>
  <c r="F56" i="27"/>
  <c r="G56" i="27"/>
  <c r="H56" i="27"/>
  <c r="I56" i="27"/>
  <c r="J56" i="27"/>
  <c r="K56" i="27"/>
  <c r="L56" i="27"/>
  <c r="E58" i="27"/>
  <c r="F58" i="27"/>
  <c r="G58" i="27"/>
  <c r="H58" i="27"/>
  <c r="I58" i="27"/>
  <c r="J58" i="27"/>
  <c r="K58" i="27"/>
  <c r="E59" i="27"/>
  <c r="F59" i="27"/>
  <c r="G59" i="27"/>
  <c r="H59" i="27"/>
  <c r="I59" i="27"/>
  <c r="J59" i="27"/>
  <c r="K59" i="27"/>
  <c r="L59" i="27"/>
  <c r="E60" i="27"/>
  <c r="F60" i="27"/>
  <c r="G60" i="27"/>
  <c r="H60" i="27"/>
  <c r="I60" i="27"/>
  <c r="J60" i="27"/>
  <c r="K60" i="27"/>
  <c r="L60" i="27"/>
  <c r="E61" i="27"/>
  <c r="F61" i="27"/>
  <c r="G61" i="27"/>
  <c r="H61" i="27"/>
  <c r="I61" i="27"/>
  <c r="J61" i="27"/>
  <c r="K61" i="27"/>
  <c r="L61" i="27"/>
  <c r="E62" i="27"/>
  <c r="F62" i="27"/>
  <c r="G62" i="27"/>
  <c r="H62" i="27"/>
  <c r="I62" i="27"/>
  <c r="J62" i="27"/>
  <c r="K62" i="27"/>
  <c r="L62" i="27"/>
  <c r="E63" i="27"/>
  <c r="F63" i="27"/>
  <c r="G63" i="27"/>
  <c r="H63" i="27"/>
  <c r="I63" i="27"/>
  <c r="J63" i="27"/>
  <c r="K63" i="27"/>
  <c r="L63" i="27"/>
  <c r="E64" i="27"/>
  <c r="F64" i="27"/>
  <c r="G64" i="27"/>
  <c r="H64" i="27"/>
  <c r="I64" i="27"/>
  <c r="J64" i="27"/>
  <c r="K64" i="27"/>
  <c r="C68" i="27"/>
  <c r="D68" i="27"/>
  <c r="E68" i="27"/>
  <c r="F68" i="27"/>
  <c r="J68" i="27"/>
  <c r="K68" i="27"/>
  <c r="L68" i="27"/>
  <c r="C69" i="27"/>
  <c r="D69" i="27"/>
  <c r="E69" i="27"/>
  <c r="F69" i="27"/>
  <c r="J69" i="27"/>
  <c r="K69" i="27"/>
  <c r="L69" i="27"/>
  <c r="C70" i="27"/>
  <c r="D70" i="27"/>
  <c r="E70" i="27"/>
  <c r="F70" i="27"/>
  <c r="J70" i="27"/>
  <c r="K70" i="27"/>
  <c r="L70" i="27"/>
  <c r="D71" i="27"/>
  <c r="E71" i="27"/>
  <c r="F71" i="27"/>
  <c r="J71" i="27"/>
  <c r="K71" i="27"/>
  <c r="L71" i="27"/>
  <c r="D72" i="27"/>
  <c r="E72" i="27"/>
  <c r="F72" i="27"/>
  <c r="J72" i="27"/>
  <c r="K72" i="27"/>
  <c r="L72" i="27"/>
  <c r="D74" i="27"/>
  <c r="E74" i="27"/>
  <c r="F74" i="27"/>
  <c r="J74" i="27"/>
  <c r="K74" i="27"/>
  <c r="L74" i="27"/>
  <c r="D75" i="27"/>
  <c r="E75" i="27"/>
  <c r="F75" i="27"/>
  <c r="J75" i="27"/>
  <c r="K75" i="27"/>
  <c r="L75" i="27"/>
  <c r="D76" i="27"/>
  <c r="E76" i="27"/>
  <c r="F76" i="27"/>
  <c r="J76" i="27"/>
  <c r="K76" i="27"/>
  <c r="L76" i="27"/>
  <c r="D77" i="27"/>
  <c r="E77" i="27"/>
  <c r="F77" i="27"/>
  <c r="J77" i="27"/>
  <c r="K77" i="27"/>
  <c r="L77" i="27"/>
  <c r="D78" i="27"/>
  <c r="E78" i="27"/>
  <c r="F78" i="27"/>
  <c r="J78" i="27"/>
  <c r="K78" i="27"/>
  <c r="L78" i="27"/>
  <c r="D79" i="27"/>
  <c r="E79" i="27"/>
  <c r="F79" i="27"/>
  <c r="J79" i="27"/>
  <c r="K79" i="27"/>
  <c r="L79" i="27"/>
  <c r="C80" i="27"/>
  <c r="D80" i="27"/>
  <c r="E80" i="27"/>
  <c r="F80" i="27"/>
  <c r="J80" i="27"/>
  <c r="K80" i="27"/>
  <c r="L80" i="27"/>
  <c r="B95" i="27"/>
  <c r="B127" i="27" s="1"/>
  <c r="B142" i="27" s="1"/>
  <c r="F128" i="27"/>
  <c r="B146" i="27"/>
  <c r="B1566" i="22" s="1"/>
  <c r="F146" i="27"/>
  <c r="F150" i="27" s="1"/>
  <c r="G146" i="27"/>
  <c r="G150" i="27" s="1"/>
  <c r="E1325" i="22" s="1"/>
  <c r="H146" i="27"/>
  <c r="F1322" i="22" s="1"/>
  <c r="I146" i="27"/>
  <c r="AC5" i="37" s="1"/>
  <c r="J146" i="27"/>
  <c r="H1322" i="22" s="1"/>
  <c r="K146" i="27"/>
  <c r="I1322" i="22" s="1"/>
  <c r="B147" i="27"/>
  <c r="F147" i="27"/>
  <c r="D1323" i="22" s="1"/>
  <c r="G147" i="27"/>
  <c r="E1323" i="22" s="1"/>
  <c r="K147" i="27"/>
  <c r="I1323" i="22" s="1"/>
  <c r="B148" i="27"/>
  <c r="F148" i="27"/>
  <c r="D1324" i="22" s="1"/>
  <c r="G148" i="27"/>
  <c r="E1324" i="22" s="1"/>
  <c r="H148" i="27"/>
  <c r="AB7" i="37" s="1"/>
  <c r="I148" i="27"/>
  <c r="AC7" i="37" s="1"/>
  <c r="J148" i="27"/>
  <c r="AD7" i="37" s="1"/>
  <c r="K148" i="27"/>
  <c r="I1324" i="22" s="1"/>
  <c r="B152" i="27"/>
  <c r="B1572" i="22" s="1"/>
  <c r="F152" i="27"/>
  <c r="F155" i="27" s="1"/>
  <c r="D1330" i="22" s="1"/>
  <c r="G152" i="27"/>
  <c r="H152" i="27"/>
  <c r="F1327" i="22" s="1"/>
  <c r="I152" i="27"/>
  <c r="G1327" i="22" s="1"/>
  <c r="J152" i="27"/>
  <c r="K152" i="27"/>
  <c r="B153" i="27"/>
  <c r="B1573" i="22" s="1"/>
  <c r="F153" i="27"/>
  <c r="D1328" i="22" s="1"/>
  <c r="G153" i="27"/>
  <c r="E1328" i="22" s="1"/>
  <c r="H153" i="27"/>
  <c r="AB20" i="37" s="1"/>
  <c r="I153" i="27"/>
  <c r="G1328" i="22" s="1"/>
  <c r="J153" i="27"/>
  <c r="H1328" i="22" s="1"/>
  <c r="K153" i="27"/>
  <c r="B154" i="27"/>
  <c r="B1574" i="22" s="1"/>
  <c r="G154" i="27"/>
  <c r="E1329" i="22" s="1"/>
  <c r="H154" i="27"/>
  <c r="F1329" i="22" s="1"/>
  <c r="I154" i="27"/>
  <c r="J154" i="27"/>
  <c r="H1329" i="22" s="1"/>
  <c r="K154" i="27"/>
  <c r="B157" i="27"/>
  <c r="J157" i="27"/>
  <c r="H1332" i="22" s="1"/>
  <c r="K157" i="27"/>
  <c r="I1332" i="22" s="1"/>
  <c r="B158" i="27"/>
  <c r="I158" i="27"/>
  <c r="G1333" i="22" s="1"/>
  <c r="J158" i="27"/>
  <c r="H1333" i="22" s="1"/>
  <c r="K158" i="27"/>
  <c r="I1333" i="22" s="1"/>
  <c r="L158" i="27"/>
  <c r="J1333" i="22" s="1"/>
  <c r="B159" i="27"/>
  <c r="B160" i="27"/>
  <c r="J160" i="27"/>
  <c r="H1335" i="22" s="1"/>
  <c r="K160" i="27"/>
  <c r="I1335" i="22" s="1"/>
  <c r="B161" i="27"/>
  <c r="J161" i="27"/>
  <c r="H1336" i="22" s="1"/>
  <c r="K161" i="27"/>
  <c r="I1336" i="22" s="1"/>
  <c r="B162" i="27"/>
  <c r="B163" i="27"/>
  <c r="F163" i="27"/>
  <c r="D1338" i="22" s="1"/>
  <c r="C166" i="27"/>
  <c r="D166" i="27"/>
  <c r="E166" i="27"/>
  <c r="H166" i="27"/>
  <c r="F1340" i="22" s="1"/>
  <c r="I166" i="27"/>
  <c r="G1340" i="22" s="1"/>
  <c r="J166" i="27"/>
  <c r="H1340" i="22" s="1"/>
  <c r="K166" i="27"/>
  <c r="I1340" i="22" s="1"/>
  <c r="L166" i="27"/>
  <c r="J1340" i="22" s="1"/>
  <c r="K167" i="27"/>
  <c r="L167" i="27"/>
  <c r="B171" i="27"/>
  <c r="B179" i="27" s="1"/>
  <c r="B172" i="27"/>
  <c r="B173" i="27"/>
  <c r="B189" i="27" s="1"/>
  <c r="B197" i="27" s="1"/>
  <c r="B174" i="27"/>
  <c r="B182" i="27" s="1"/>
  <c r="C174" i="27"/>
  <c r="K174" i="27"/>
  <c r="L174" i="27"/>
  <c r="I175" i="27"/>
  <c r="K175" i="27"/>
  <c r="L175" i="27"/>
  <c r="B183" i="27"/>
  <c r="B184" i="27"/>
  <c r="E186" i="27"/>
  <c r="D186" i="27" s="1"/>
  <c r="C186" i="27" s="1"/>
  <c r="G186" i="27"/>
  <c r="H186" i="27" s="1"/>
  <c r="I186" i="27" s="1"/>
  <c r="J186" i="27" s="1"/>
  <c r="C187" i="27"/>
  <c r="D187" i="27"/>
  <c r="E187" i="27"/>
  <c r="H187" i="27"/>
  <c r="I187" i="27"/>
  <c r="C188" i="27"/>
  <c r="C189" i="27"/>
  <c r="D189" i="27"/>
  <c r="E189" i="27"/>
  <c r="F189" i="27"/>
  <c r="G189" i="27"/>
  <c r="C190" i="27"/>
  <c r="D190" i="27"/>
  <c r="G190" i="27"/>
  <c r="H190" i="27"/>
  <c r="I190" i="27"/>
  <c r="J190" i="27"/>
  <c r="K190" i="27"/>
  <c r="L190" i="27"/>
  <c r="B191" i="27"/>
  <c r="B199" i="27" s="1"/>
  <c r="I191" i="27"/>
  <c r="J191" i="27"/>
  <c r="K191" i="27"/>
  <c r="L191" i="27"/>
  <c r="B200" i="27"/>
  <c r="G210" i="27"/>
  <c r="H210" i="27"/>
  <c r="H239" i="27" s="1"/>
  <c r="I210" i="27"/>
  <c r="I239" i="27" s="1"/>
  <c r="V211" i="27"/>
  <c r="G217" i="27"/>
  <c r="E218" i="27"/>
  <c r="G220" i="27"/>
  <c r="B223" i="27"/>
  <c r="B224" i="27"/>
  <c r="B225" i="27"/>
  <c r="B227" i="27"/>
  <c r="B228" i="27"/>
  <c r="B229" i="27"/>
  <c r="I249" i="27"/>
  <c r="C2" i="4"/>
  <c r="D2" i="4"/>
  <c r="B3" i="4"/>
  <c r="B6" i="4"/>
  <c r="B7" i="4"/>
  <c r="E10" i="4"/>
  <c r="E2" i="4" s="1"/>
  <c r="E18" i="4"/>
  <c r="F18" i="4" s="1"/>
  <c r="G18" i="4" s="1"/>
  <c r="H18" i="4" s="1"/>
  <c r="I18" i="4" s="1"/>
  <c r="J18" i="4" s="1"/>
  <c r="K18" i="4" s="1"/>
  <c r="L18" i="4" s="1"/>
  <c r="M18" i="4" s="1"/>
  <c r="N18" i="4" s="1"/>
  <c r="O18" i="4" s="1"/>
  <c r="P18" i="4" s="1"/>
  <c r="Q18" i="4" s="1"/>
  <c r="R18" i="4" s="1"/>
  <c r="S18" i="4" s="1"/>
  <c r="T18" i="4" s="1"/>
  <c r="U18" i="4" s="1"/>
  <c r="V18" i="4" s="1"/>
  <c r="W18" i="4" s="1"/>
  <c r="X18" i="4" s="1"/>
  <c r="Y18" i="4" s="1"/>
  <c r="Z18" i="4" s="1"/>
  <c r="E27" i="4"/>
  <c r="H30" i="4"/>
  <c r="J30" i="4"/>
  <c r="K30" i="4"/>
  <c r="L30" i="4"/>
  <c r="M30" i="4"/>
  <c r="N30" i="4"/>
  <c r="I34" i="4"/>
  <c r="L35" i="4"/>
  <c r="D2275" i="22" s="1"/>
  <c r="C36" i="4"/>
  <c r="F6" i="1" s="1"/>
  <c r="D36" i="4"/>
  <c r="G6" i="1" s="1"/>
  <c r="E36" i="4"/>
  <c r="H6" i="1" s="1"/>
  <c r="F36" i="4"/>
  <c r="H36" i="4"/>
  <c r="K6" i="1" s="1"/>
  <c r="B46" i="4"/>
  <c r="B2797" i="22" s="1"/>
  <c r="B47" i="4"/>
  <c r="J2920" i="22" s="1"/>
  <c r="I50" i="4"/>
  <c r="AL301" i="2" s="1"/>
  <c r="J50" i="4"/>
  <c r="L51" i="4"/>
  <c r="D2289" i="22" s="1"/>
  <c r="C52" i="4"/>
  <c r="D52" i="4"/>
  <c r="E52" i="4"/>
  <c r="G52" i="4"/>
  <c r="H52" i="4" s="1"/>
  <c r="E174" i="27" s="1"/>
  <c r="C57" i="4"/>
  <c r="D57" i="4"/>
  <c r="E57" i="4"/>
  <c r="F57" i="4"/>
  <c r="N60" i="4"/>
  <c r="H63" i="4"/>
  <c r="B76" i="4"/>
  <c r="B88" i="4" s="1"/>
  <c r="B100" i="4" s="1"/>
  <c r="B114" i="4" s="1"/>
  <c r="B122" i="4" s="1"/>
  <c r="I76" i="4"/>
  <c r="J76" i="4"/>
  <c r="K154" i="10" s="1"/>
  <c r="N76" i="4"/>
  <c r="K187" i="27" s="1"/>
  <c r="O76" i="4"/>
  <c r="P154" i="10" s="1"/>
  <c r="G77" i="4"/>
  <c r="G79" i="4" s="1"/>
  <c r="H127" i="11" s="1"/>
  <c r="H77" i="4"/>
  <c r="E447" i="22" s="1"/>
  <c r="J77" i="4"/>
  <c r="AQ373" i="2" s="1"/>
  <c r="L77" i="4"/>
  <c r="L79" i="4" s="1"/>
  <c r="G1279" i="22" s="1"/>
  <c r="N78" i="4"/>
  <c r="N102" i="4" s="1"/>
  <c r="B79" i="4"/>
  <c r="B91" i="4" s="1"/>
  <c r="B103" i="4" s="1"/>
  <c r="F79" i="4"/>
  <c r="D188" i="27" s="1"/>
  <c r="B80" i="4"/>
  <c r="K80" i="4"/>
  <c r="H189" i="27" s="1"/>
  <c r="L80" i="4"/>
  <c r="I189" i="27" s="1"/>
  <c r="N80" i="4"/>
  <c r="O178" i="12" s="1"/>
  <c r="O80" i="4"/>
  <c r="L189" i="27" s="1"/>
  <c r="F83" i="4"/>
  <c r="K83" i="4"/>
  <c r="L83" i="4"/>
  <c r="M83" i="4"/>
  <c r="B87" i="4"/>
  <c r="U88" i="4"/>
  <c r="V88" i="4" s="1"/>
  <c r="W88" i="4" s="1"/>
  <c r="X88" i="4" s="1"/>
  <c r="Y88" i="4" s="1"/>
  <c r="Z88" i="4" s="1"/>
  <c r="K105" i="4"/>
  <c r="L105" i="4"/>
  <c r="M105" i="4"/>
  <c r="N105" i="4"/>
  <c r="O105" i="4"/>
  <c r="P105" i="4"/>
  <c r="Q105" i="4"/>
  <c r="R105" i="4"/>
  <c r="S105" i="4"/>
  <c r="T105" i="4"/>
  <c r="U105" i="4"/>
  <c r="V105" i="4"/>
  <c r="W105" i="4"/>
  <c r="X105" i="4"/>
  <c r="Y105" i="4"/>
  <c r="B106" i="4"/>
  <c r="C112" i="4"/>
  <c r="C43" i="4" s="1"/>
  <c r="C56" i="4" s="1"/>
  <c r="C74" i="4" s="1"/>
  <c r="C86" i="4" s="1"/>
  <c r="D112" i="4"/>
  <c r="B115" i="4"/>
  <c r="B123" i="4" s="1"/>
  <c r="G4" i="43"/>
  <c r="H4" i="43" s="1"/>
  <c r="H40" i="43" s="1"/>
  <c r="D6" i="43"/>
  <c r="E6" i="43"/>
  <c r="F6" i="43"/>
  <c r="G8" i="43"/>
  <c r="G41" i="43" s="1"/>
  <c r="D9" i="43"/>
  <c r="E9" i="43"/>
  <c r="F9" i="43"/>
  <c r="C11" i="43"/>
  <c r="D11" i="43"/>
  <c r="E11" i="43"/>
  <c r="F11" i="43"/>
  <c r="G11" i="43" s="1"/>
  <c r="C15" i="43"/>
  <c r="D15" i="43"/>
  <c r="E15" i="43"/>
  <c r="F15" i="43"/>
  <c r="C30" i="43"/>
  <c r="C40" i="43"/>
  <c r="D40" i="43"/>
  <c r="E40" i="43"/>
  <c r="F40" i="43"/>
  <c r="D41" i="43"/>
  <c r="E41" i="43"/>
  <c r="F41" i="43"/>
  <c r="F45" i="43" s="1"/>
  <c r="F50" i="43" s="1"/>
  <c r="F52" i="43" s="1"/>
  <c r="F44" i="43" s="1"/>
  <c r="E44" i="43" s="1"/>
  <c r="D44" i="43" s="1"/>
  <c r="G42" i="43"/>
  <c r="H42" i="43" s="1"/>
  <c r="I42" i="43" s="1"/>
  <c r="J42" i="43" s="1"/>
  <c r="K42" i="43" s="1"/>
  <c r="L42" i="43" s="1"/>
  <c r="M42" i="43" s="1"/>
  <c r="N42" i="43" s="1"/>
  <c r="O42" i="43" s="1"/>
  <c r="P42" i="43" s="1"/>
  <c r="Q42" i="43" s="1"/>
  <c r="R42" i="43" s="1"/>
  <c r="B49" i="43"/>
  <c r="B50" i="43"/>
  <c r="B51" i="43"/>
  <c r="B52" i="43"/>
  <c r="C55" i="43"/>
  <c r="D55" i="43"/>
  <c r="E55" i="43"/>
  <c r="F55" i="43"/>
  <c r="B56" i="43"/>
  <c r="B71" i="43" s="1"/>
  <c r="C56" i="43"/>
  <c r="C62" i="43" s="1"/>
  <c r="D56" i="43"/>
  <c r="D62" i="43" s="1"/>
  <c r="E56" i="43"/>
  <c r="F56" i="43"/>
  <c r="F62" i="43" s="1"/>
  <c r="B59" i="43"/>
  <c r="B72" i="43" s="1"/>
  <c r="C59" i="43"/>
  <c r="D59" i="43" s="1"/>
  <c r="B62" i="43"/>
  <c r="B73" i="43" s="1"/>
  <c r="B65" i="43"/>
  <c r="B74" i="43" s="1"/>
  <c r="F65" i="43"/>
  <c r="F78" i="43" s="1"/>
  <c r="C78" i="43"/>
  <c r="C83" i="43" s="1"/>
  <c r="D78" i="43"/>
  <c r="D80" i="43" s="1"/>
  <c r="E78" i="43"/>
  <c r="E83" i="43" s="1"/>
  <c r="C85" i="43"/>
  <c r="D85" i="43"/>
  <c r="E85" i="43"/>
  <c r="G92" i="43"/>
  <c r="H92" i="43" s="1"/>
  <c r="I92" i="43" s="1"/>
  <c r="J92" i="43" s="1"/>
  <c r="K92" i="43" s="1"/>
  <c r="L92" i="43" s="1"/>
  <c r="M92" i="43" s="1"/>
  <c r="N92" i="43" s="1"/>
  <c r="O92" i="43" s="1"/>
  <c r="P92" i="43" s="1"/>
  <c r="Q92" i="43" s="1"/>
  <c r="R92" i="43" s="1"/>
  <c r="D94" i="43"/>
  <c r="E94" i="43"/>
  <c r="F94" i="43"/>
  <c r="G96" i="43"/>
  <c r="H96" i="43" s="1"/>
  <c r="I96" i="43" s="1"/>
  <c r="J96" i="43" s="1"/>
  <c r="K96" i="43" s="1"/>
  <c r="L96" i="43" s="1"/>
  <c r="M96" i="43" s="1"/>
  <c r="N96" i="43" s="1"/>
  <c r="O96" i="43" s="1"/>
  <c r="P96" i="43" s="1"/>
  <c r="Q96" i="43" s="1"/>
  <c r="R96" i="43" s="1"/>
  <c r="D97" i="43"/>
  <c r="E97" i="43"/>
  <c r="F97" i="43"/>
  <c r="C99" i="43"/>
  <c r="D99" i="43"/>
  <c r="E99" i="43"/>
  <c r="F99" i="43"/>
  <c r="C104" i="43"/>
  <c r="D104" i="43"/>
  <c r="E104" i="43"/>
  <c r="F104" i="43"/>
  <c r="C119" i="43"/>
  <c r="G129" i="43"/>
  <c r="H129" i="43" s="1"/>
  <c r="I129" i="43" s="1"/>
  <c r="J129" i="43" s="1"/>
  <c r="K129" i="43" s="1"/>
  <c r="L129" i="43" s="1"/>
  <c r="M129" i="43" s="1"/>
  <c r="N129" i="43" s="1"/>
  <c r="O129" i="43" s="1"/>
  <c r="P129" i="43" s="1"/>
  <c r="Q129" i="43" s="1"/>
  <c r="R129" i="43" s="1"/>
  <c r="D131" i="43"/>
  <c r="E131" i="43"/>
  <c r="F131" i="43"/>
  <c r="G133" i="43"/>
  <c r="H133" i="43" s="1"/>
  <c r="I133" i="43" s="1"/>
  <c r="J133" i="43" s="1"/>
  <c r="K133" i="43" s="1"/>
  <c r="L133" i="43" s="1"/>
  <c r="M133" i="43" s="1"/>
  <c r="N133" i="43" s="1"/>
  <c r="O133" i="43" s="1"/>
  <c r="P133" i="43" s="1"/>
  <c r="Q133" i="43" s="1"/>
  <c r="R133" i="43" s="1"/>
  <c r="D134" i="43"/>
  <c r="E134" i="43"/>
  <c r="F134" i="43"/>
  <c r="C136" i="43"/>
  <c r="D136" i="43"/>
  <c r="E136" i="43"/>
  <c r="F136" i="43"/>
  <c r="G136" i="43" s="1"/>
  <c r="C140" i="43"/>
  <c r="D140" i="43"/>
  <c r="E140" i="43"/>
  <c r="F140" i="43"/>
  <c r="C155" i="43"/>
  <c r="C164" i="43"/>
  <c r="D164" i="43"/>
  <c r="E164" i="43"/>
  <c r="F164" i="43"/>
  <c r="C166" i="43"/>
  <c r="D166" i="43"/>
  <c r="E166" i="43"/>
  <c r="F166" i="43"/>
  <c r="D167" i="43"/>
  <c r="E167" i="43"/>
  <c r="F167" i="43"/>
  <c r="C170" i="43"/>
  <c r="D170" i="43"/>
  <c r="E170" i="43"/>
  <c r="F170" i="43"/>
  <c r="C171" i="43"/>
  <c r="D171" i="43"/>
  <c r="E171" i="43"/>
  <c r="F171" i="43"/>
  <c r="C172" i="43"/>
  <c r="C173" i="43" s="1"/>
  <c r="C143" i="43" s="1"/>
  <c r="C142" i="43" s="1"/>
  <c r="C145" i="43" s="1"/>
  <c r="D172" i="43"/>
  <c r="D173" i="43" s="1"/>
  <c r="D143" i="43" s="1"/>
  <c r="D142" i="43" s="1"/>
  <c r="D145" i="43" s="1"/>
  <c r="E172" i="43"/>
  <c r="E173" i="43" s="1"/>
  <c r="F172" i="43"/>
  <c r="F173" i="43" s="1"/>
  <c r="C175" i="43"/>
  <c r="D175" i="43"/>
  <c r="E175" i="43"/>
  <c r="F175" i="43"/>
  <c r="E2" i="41"/>
  <c r="F2" i="41" s="1"/>
  <c r="G2" i="41" s="1"/>
  <c r="H2" i="41" s="1"/>
  <c r="I2" i="41" s="1"/>
  <c r="J2" i="41" s="1"/>
  <c r="K2" i="41" s="1"/>
  <c r="L2" i="41" s="1"/>
  <c r="M2" i="41" s="1"/>
  <c r="N2" i="41" s="1"/>
  <c r="O2" i="41" s="1"/>
  <c r="P2" i="41" s="1"/>
  <c r="D4" i="41"/>
  <c r="E4" i="41" s="1"/>
  <c r="F4" i="41" s="1"/>
  <c r="G4" i="41" s="1"/>
  <c r="H4" i="41" s="1"/>
  <c r="I4" i="41" s="1"/>
  <c r="C8" i="41"/>
  <c r="D8" i="41" s="1"/>
  <c r="E8" i="41" s="1"/>
  <c r="C11" i="41"/>
  <c r="D11" i="41" s="1"/>
  <c r="C14" i="41"/>
  <c r="D14" i="41" s="1"/>
  <c r="E14" i="41" s="1"/>
  <c r="C16" i="41"/>
  <c r="D17" i="41"/>
  <c r="E17" i="41" s="1"/>
  <c r="F17" i="41" s="1"/>
  <c r="G17" i="41" s="1"/>
  <c r="H17" i="41" s="1"/>
  <c r="I17" i="41" s="1"/>
  <c r="J17" i="41" s="1"/>
  <c r="K17" i="41" s="1"/>
  <c r="L17" i="41" s="1"/>
  <c r="M17" i="41" s="1"/>
  <c r="N17" i="41" s="1"/>
  <c r="O17" i="41" s="1"/>
  <c r="P17" i="41" s="1"/>
  <c r="C19" i="41"/>
  <c r="D19" i="41"/>
  <c r="D23" i="41" s="1"/>
  <c r="C29" i="41"/>
  <c r="D29" i="41"/>
  <c r="D60" i="41" s="1"/>
  <c r="D33" i="41"/>
  <c r="E33" i="41" s="1"/>
  <c r="E37" i="41"/>
  <c r="F37" i="41" s="1"/>
  <c r="G37" i="41" s="1"/>
  <c r="H37" i="41" s="1"/>
  <c r="I37" i="41" s="1"/>
  <c r="J37" i="41" s="1"/>
  <c r="K37" i="41" s="1"/>
  <c r="L37" i="41" s="1"/>
  <c r="M37" i="41" s="1"/>
  <c r="N37" i="41" s="1"/>
  <c r="O37" i="41" s="1"/>
  <c r="P37" i="41" s="1"/>
  <c r="D44" i="41"/>
  <c r="E44" i="41" s="1"/>
  <c r="F44" i="41" s="1"/>
  <c r="G44" i="41" s="1"/>
  <c r="H44" i="41" s="1"/>
  <c r="I44" i="41" s="1"/>
  <c r="J44" i="41" s="1"/>
  <c r="K44" i="41" s="1"/>
  <c r="L44" i="41" s="1"/>
  <c r="M44" i="41" s="1"/>
  <c r="N44" i="41" s="1"/>
  <c r="O44" i="41" s="1"/>
  <c r="P44" i="41" s="1"/>
  <c r="E49" i="41"/>
  <c r="F49" i="41"/>
  <c r="G49" i="41"/>
  <c r="H49" i="41"/>
  <c r="I49" i="41"/>
  <c r="J49" i="41"/>
  <c r="K49" i="41"/>
  <c r="L49" i="41"/>
  <c r="M49" i="41"/>
  <c r="N49" i="41"/>
  <c r="O49" i="41"/>
  <c r="P49" i="41"/>
  <c r="C51" i="41"/>
  <c r="C61" i="41" s="1"/>
  <c r="G55" i="41"/>
  <c r="H55" i="41" s="1"/>
  <c r="I55" i="41" s="1"/>
  <c r="J55" i="41" s="1"/>
  <c r="K55" i="41" s="1"/>
  <c r="L55" i="41" s="1"/>
  <c r="M55" i="41" s="1"/>
  <c r="N55" i="41" s="1"/>
  <c r="O55" i="41" s="1"/>
  <c r="P55" i="41" s="1"/>
  <c r="C63" i="41"/>
  <c r="D63" i="41" s="1"/>
  <c r="E63" i="41" s="1"/>
  <c r="F63" i="41" s="1"/>
  <c r="G63" i="41" s="1"/>
  <c r="H63" i="41" s="1"/>
  <c r="I63" i="41" s="1"/>
  <c r="J63" i="41" s="1"/>
  <c r="K63" i="41" s="1"/>
  <c r="L63" i="41" s="1"/>
  <c r="M63" i="41" s="1"/>
  <c r="N63" i="41" s="1"/>
  <c r="O63" i="41" s="1"/>
  <c r="P63" i="41" s="1"/>
  <c r="C80" i="41"/>
  <c r="C84" i="41"/>
  <c r="C90" i="41"/>
  <c r="C91" i="41" s="1"/>
  <c r="C92" i="41" s="1"/>
  <c r="D2" i="10"/>
  <c r="E2" i="10" s="1"/>
  <c r="F2" i="10" s="1"/>
  <c r="G2" i="10" s="1"/>
  <c r="C10" i="10"/>
  <c r="D10" i="10"/>
  <c r="E10" i="10"/>
  <c r="F10" i="10"/>
  <c r="G10" i="10"/>
  <c r="H10" i="10"/>
  <c r="B14" i="10"/>
  <c r="B23" i="10" s="1"/>
  <c r="B32" i="10" s="1"/>
  <c r="B41" i="10" s="1"/>
  <c r="B52" i="10" s="1"/>
  <c r="P14" i="10"/>
  <c r="L20" i="27" s="1"/>
  <c r="B15" i="10"/>
  <c r="B24" i="10" s="1"/>
  <c r="B33" i="10" s="1"/>
  <c r="B42" i="10" s="1"/>
  <c r="B53" i="10" s="1"/>
  <c r="P15" i="10"/>
  <c r="L21" i="27" s="1"/>
  <c r="B16" i="10"/>
  <c r="B25" i="10" s="1"/>
  <c r="B34" i="10" s="1"/>
  <c r="B43" i="10" s="1"/>
  <c r="B54" i="10" s="1"/>
  <c r="D234" i="22" s="1"/>
  <c r="D240" i="22" s="1"/>
  <c r="P16" i="10"/>
  <c r="B17" i="10"/>
  <c r="B26" i="10" s="1"/>
  <c r="B35" i="10" s="1"/>
  <c r="B44" i="10" s="1"/>
  <c r="B55" i="10" s="1"/>
  <c r="B18" i="10"/>
  <c r="B27" i="10" s="1"/>
  <c r="B36" i="10" s="1"/>
  <c r="B45" i="10" s="1"/>
  <c r="B56" i="10" s="1"/>
  <c r="B19" i="10"/>
  <c r="B28" i="10" s="1"/>
  <c r="B37" i="10" s="1"/>
  <c r="B46" i="10" s="1"/>
  <c r="B57" i="10" s="1"/>
  <c r="D23" i="10"/>
  <c r="E23" i="10"/>
  <c r="F23" i="10"/>
  <c r="G23" i="10"/>
  <c r="J23" i="10"/>
  <c r="K23" i="10"/>
  <c r="L23" i="10"/>
  <c r="M23" i="10"/>
  <c r="N23" i="10"/>
  <c r="O23" i="10"/>
  <c r="D24" i="10"/>
  <c r="E24" i="10"/>
  <c r="F24" i="10"/>
  <c r="G24" i="10"/>
  <c r="J24" i="10"/>
  <c r="K24" i="10"/>
  <c r="L24" i="10"/>
  <c r="M24" i="10"/>
  <c r="N24" i="10"/>
  <c r="O24" i="10"/>
  <c r="D25" i="10"/>
  <c r="E25" i="10"/>
  <c r="F25" i="10"/>
  <c r="G25" i="10"/>
  <c r="J25" i="10"/>
  <c r="K25" i="10"/>
  <c r="L25" i="10"/>
  <c r="M25" i="10"/>
  <c r="N25" i="10"/>
  <c r="O25" i="10"/>
  <c r="C32" i="10"/>
  <c r="D32" i="10"/>
  <c r="E32" i="10"/>
  <c r="F32" i="10"/>
  <c r="G32" i="10"/>
  <c r="G52" i="10" s="1"/>
  <c r="H32" i="10"/>
  <c r="I32" i="10"/>
  <c r="D317" i="10" s="1"/>
  <c r="J32" i="10"/>
  <c r="J5" i="10" s="1"/>
  <c r="F4" i="27" s="1"/>
  <c r="N32" i="10"/>
  <c r="O32" i="10"/>
  <c r="C33" i="10"/>
  <c r="D33" i="10"/>
  <c r="E33" i="10"/>
  <c r="F33" i="10"/>
  <c r="R207" i="22" s="1"/>
  <c r="G33" i="10"/>
  <c r="G53" i="10" s="1"/>
  <c r="K253" i="15" s="1"/>
  <c r="H33" i="10"/>
  <c r="I33" i="10"/>
  <c r="I6" i="10" s="1"/>
  <c r="J33" i="10"/>
  <c r="J6" i="10" s="1"/>
  <c r="N33" i="10"/>
  <c r="N6" i="10" s="1"/>
  <c r="O33" i="10"/>
  <c r="O6" i="10" s="1"/>
  <c r="K5" i="27" s="1"/>
  <c r="P33" i="10"/>
  <c r="C34" i="10"/>
  <c r="D34" i="10"/>
  <c r="E34" i="10"/>
  <c r="F34" i="10"/>
  <c r="R208" i="22" s="1"/>
  <c r="G34" i="10"/>
  <c r="S208" i="22" s="1"/>
  <c r="H34" i="10"/>
  <c r="I34" i="10"/>
  <c r="I7" i="10" s="1"/>
  <c r="J34" i="10"/>
  <c r="J7" i="10" s="1"/>
  <c r="N34" i="10"/>
  <c r="N7" i="10" s="1"/>
  <c r="J6" i="27" s="1"/>
  <c r="O34" i="10"/>
  <c r="O7" i="10" s="1"/>
  <c r="P34" i="10"/>
  <c r="C41" i="10"/>
  <c r="D41" i="10"/>
  <c r="H229" i="15" s="1"/>
  <c r="E41" i="10"/>
  <c r="I229" i="15" s="1"/>
  <c r="F41" i="10"/>
  <c r="J229" i="15" s="1"/>
  <c r="K41" i="10"/>
  <c r="K32" i="10" s="1"/>
  <c r="L41" i="10"/>
  <c r="AV122" i="2" s="1"/>
  <c r="M41" i="10"/>
  <c r="BA122" i="2" s="1"/>
  <c r="C42" i="10"/>
  <c r="D42" i="10"/>
  <c r="H252" i="15" s="1"/>
  <c r="E42" i="10"/>
  <c r="F42" i="10"/>
  <c r="K42" i="10"/>
  <c r="K33" i="10" s="1"/>
  <c r="K6" i="10" s="1"/>
  <c r="L42" i="10"/>
  <c r="P252" i="15" s="1"/>
  <c r="M42" i="10"/>
  <c r="Q252" i="15" s="1"/>
  <c r="C43" i="10"/>
  <c r="D43" i="10"/>
  <c r="E43" i="10"/>
  <c r="I275" i="15" s="1"/>
  <c r="F43" i="10"/>
  <c r="J275" i="15" s="1"/>
  <c r="K43" i="10"/>
  <c r="L43" i="10"/>
  <c r="H70" i="27" s="1"/>
  <c r="M43" i="10"/>
  <c r="BA124" i="2" s="1"/>
  <c r="G46" i="10"/>
  <c r="F12" i="4" s="1"/>
  <c r="H46" i="10"/>
  <c r="I46" i="10"/>
  <c r="H12" i="4" s="1"/>
  <c r="J46" i="10"/>
  <c r="N46" i="10"/>
  <c r="O46" i="10"/>
  <c r="N12" i="4" s="1"/>
  <c r="P46" i="10"/>
  <c r="G47" i="10"/>
  <c r="H47" i="10"/>
  <c r="I47" i="10"/>
  <c r="J47" i="10"/>
  <c r="N47" i="10"/>
  <c r="O47" i="10"/>
  <c r="P47" i="10"/>
  <c r="P52" i="10"/>
  <c r="T230" i="15" s="1"/>
  <c r="AJ53" i="10"/>
  <c r="N105" i="10" s="1"/>
  <c r="L59" i="10"/>
  <c r="M59" i="10"/>
  <c r="N59" i="10"/>
  <c r="O59" i="10"/>
  <c r="P59" i="10"/>
  <c r="Z37" i="33" s="1"/>
  <c r="AK59" i="10"/>
  <c r="AL59" i="10"/>
  <c r="L60" i="10"/>
  <c r="M60" i="10"/>
  <c r="N60" i="10"/>
  <c r="O60" i="10"/>
  <c r="P60" i="10"/>
  <c r="Z65" i="33" s="1"/>
  <c r="AJ60" i="10"/>
  <c r="AK60" i="10"/>
  <c r="AL60" i="10"/>
  <c r="M80" i="4" s="1"/>
  <c r="N178" i="12" s="1"/>
  <c r="D61" i="10"/>
  <c r="C29" i="4" s="1"/>
  <c r="E61" i="10"/>
  <c r="F61" i="10"/>
  <c r="G61" i="10"/>
  <c r="H61" i="10"/>
  <c r="G29" i="4" s="1"/>
  <c r="G88" i="4" s="1"/>
  <c r="I61" i="10"/>
  <c r="K235" i="22" s="1"/>
  <c r="AJ251" i="38"/>
  <c r="P70" i="10"/>
  <c r="Q70" i="10"/>
  <c r="U269" i="15" s="1"/>
  <c r="AF70" i="10"/>
  <c r="L1965" i="22" s="1"/>
  <c r="P71" i="10"/>
  <c r="H1966" i="22" s="1"/>
  <c r="Q71" i="10"/>
  <c r="U292" i="15" s="1"/>
  <c r="W71" i="10"/>
  <c r="X71" i="10" s="1"/>
  <c r="Y71" i="10" s="1"/>
  <c r="Z71" i="10" s="1"/>
  <c r="AA71" i="10" s="1"/>
  <c r="AB71" i="10" s="1"/>
  <c r="AC71" i="10" s="1"/>
  <c r="AD71" i="10" s="1"/>
  <c r="AE71" i="10" s="1"/>
  <c r="AF71" i="10"/>
  <c r="L1966" i="22" s="1"/>
  <c r="L74" i="10"/>
  <c r="M74" i="10"/>
  <c r="G1251" i="22" s="1"/>
  <c r="N74" i="10"/>
  <c r="O74" i="10"/>
  <c r="I1251" i="22" s="1"/>
  <c r="O76" i="10"/>
  <c r="O86" i="10" s="1"/>
  <c r="O93" i="10" s="1"/>
  <c r="K78" i="10"/>
  <c r="L78" i="10"/>
  <c r="F1255" i="22" s="1"/>
  <c r="M78" i="10"/>
  <c r="N78" i="10"/>
  <c r="H1255" i="22" s="1"/>
  <c r="O78" i="10"/>
  <c r="I1255" i="22" s="1"/>
  <c r="B84" i="10"/>
  <c r="B92" i="10" s="1"/>
  <c r="B85" i="10"/>
  <c r="B86" i="10"/>
  <c r="B93" i="10" s="1"/>
  <c r="B87" i="10"/>
  <c r="B88" i="10"/>
  <c r="B89" i="10"/>
  <c r="B94" i="10"/>
  <c r="Q99" i="10"/>
  <c r="K105" i="10"/>
  <c r="E5013" i="22" s="1"/>
  <c r="L105" i="10"/>
  <c r="F5013" i="22" s="1"/>
  <c r="M105" i="10"/>
  <c r="G5013" i="22" s="1"/>
  <c r="B114" i="10"/>
  <c r="B120" i="10" s="1"/>
  <c r="B115" i="10"/>
  <c r="B121" i="10" s="1"/>
  <c r="N115" i="10"/>
  <c r="L120" i="10"/>
  <c r="M120" i="10"/>
  <c r="N120" i="10"/>
  <c r="S120" i="10"/>
  <c r="T120" i="10" s="1"/>
  <c r="U120" i="10" s="1"/>
  <c r="V120" i="10" s="1"/>
  <c r="W120" i="10" s="1"/>
  <c r="X120" i="10" s="1"/>
  <c r="Y120" i="10" s="1"/>
  <c r="Z120" i="10" s="1"/>
  <c r="AA120" i="10" s="1"/>
  <c r="O121" i="10"/>
  <c r="R121" i="10"/>
  <c r="S121" i="10" s="1"/>
  <c r="B122" i="10"/>
  <c r="B123" i="10"/>
  <c r="N127" i="10"/>
  <c r="B128" i="10"/>
  <c r="B140" i="10" s="1"/>
  <c r="B129" i="10"/>
  <c r="B141" i="10" s="1"/>
  <c r="K132" i="10"/>
  <c r="L132" i="10"/>
  <c r="M132" i="10"/>
  <c r="N132" i="10"/>
  <c r="S132" i="10"/>
  <c r="T132" i="10" s="1"/>
  <c r="U132" i="10" s="1"/>
  <c r="V132" i="10" s="1"/>
  <c r="W132" i="10" s="1"/>
  <c r="X132" i="10" s="1"/>
  <c r="Y132" i="10" s="1"/>
  <c r="Z132" i="10" s="1"/>
  <c r="AA132" i="10" s="1"/>
  <c r="O133" i="10"/>
  <c r="AJ135" i="10"/>
  <c r="AI135" i="10" s="1"/>
  <c r="AM135" i="10"/>
  <c r="AL135" i="10" s="1"/>
  <c r="AP135" i="10"/>
  <c r="AO135" i="10" s="1"/>
  <c r="K138" i="10"/>
  <c r="L138" i="10"/>
  <c r="AI141" i="10" s="1"/>
  <c r="AL141" i="10" s="1"/>
  <c r="AO141" i="10" s="1"/>
  <c r="M138" i="10"/>
  <c r="AJ141" i="10" s="1"/>
  <c r="AM141" i="10" s="1"/>
  <c r="N138" i="10"/>
  <c r="AK141" i="10" s="1"/>
  <c r="AN141" i="10" s="1"/>
  <c r="AQ141" i="10" s="1"/>
  <c r="L139" i="10"/>
  <c r="M139" i="10"/>
  <c r="M214" i="10" s="1"/>
  <c r="O139" i="10"/>
  <c r="D143" i="10"/>
  <c r="C45" i="4" s="1"/>
  <c r="E143" i="10"/>
  <c r="F143" i="10"/>
  <c r="E45" i="4" s="1"/>
  <c r="G143" i="10"/>
  <c r="F45" i="4" s="1"/>
  <c r="H143" i="10"/>
  <c r="I143" i="10"/>
  <c r="H45" i="4" s="1"/>
  <c r="H100" i="4" s="1"/>
  <c r="M143" i="10"/>
  <c r="L45" i="4" s="1"/>
  <c r="I171" i="27" s="1"/>
  <c r="O143" i="10"/>
  <c r="O117" i="10" s="1"/>
  <c r="AL144" i="10"/>
  <c r="AL154" i="10" s="1"/>
  <c r="AM144" i="10"/>
  <c r="AM154" i="10" s="1"/>
  <c r="AN144" i="10"/>
  <c r="AG147" i="10"/>
  <c r="AG150" i="10"/>
  <c r="AG151" i="10"/>
  <c r="Q152" i="10"/>
  <c r="R152" i="10"/>
  <c r="S152" i="10"/>
  <c r="T152" i="10"/>
  <c r="U152" i="10"/>
  <c r="V152" i="10"/>
  <c r="W152" i="10"/>
  <c r="X152" i="10"/>
  <c r="Y152" i="10"/>
  <c r="Z152" i="10"/>
  <c r="AG152" i="10"/>
  <c r="AG153" i="10"/>
  <c r="G154" i="10"/>
  <c r="H154" i="10"/>
  <c r="H155" i="10" s="1"/>
  <c r="I154" i="10"/>
  <c r="L154" i="10"/>
  <c r="L129" i="10" s="1"/>
  <c r="L128" i="10" s="1"/>
  <c r="M154" i="10"/>
  <c r="AG154" i="10"/>
  <c r="N166" i="10"/>
  <c r="M166" i="10" s="1"/>
  <c r="L166" i="10" s="1"/>
  <c r="M162" i="10" s="1"/>
  <c r="O166" i="10"/>
  <c r="P166" i="10" s="1"/>
  <c r="Q166" i="10" s="1"/>
  <c r="R166" i="10" s="1"/>
  <c r="S166" i="10" s="1"/>
  <c r="T166" i="10" s="1"/>
  <c r="U166" i="10" s="1"/>
  <c r="V166" i="10" s="1"/>
  <c r="W166" i="10" s="1"/>
  <c r="X166" i="10" s="1"/>
  <c r="Y166" i="10" s="1"/>
  <c r="Z166" i="10" s="1"/>
  <c r="AA166" i="10" s="1"/>
  <c r="N167" i="10"/>
  <c r="G176" i="10"/>
  <c r="R186" i="10"/>
  <c r="O187" i="10"/>
  <c r="O188" i="10" s="1"/>
  <c r="P187" i="10"/>
  <c r="Q187" i="10" s="1"/>
  <c r="Q188" i="10" s="1"/>
  <c r="F3069" i="22" s="1"/>
  <c r="N188" i="10"/>
  <c r="N203" i="10" s="1"/>
  <c r="N207" i="10" s="1"/>
  <c r="N209" i="10" s="1"/>
  <c r="O217" i="10" s="1"/>
  <c r="R188" i="10"/>
  <c r="G3069" i="22" s="1"/>
  <c r="S188" i="10"/>
  <c r="H3069" i="22" s="1"/>
  <c r="R189" i="10"/>
  <c r="G3062" i="22" s="1"/>
  <c r="S189" i="10"/>
  <c r="S190" i="10" s="1"/>
  <c r="N190" i="10"/>
  <c r="O190" i="10"/>
  <c r="P190" i="10"/>
  <c r="Q190" i="10"/>
  <c r="O198" i="10"/>
  <c r="O199" i="10" s="1"/>
  <c r="R202" i="10"/>
  <c r="S202" i="10"/>
  <c r="P205" i="10"/>
  <c r="P209" i="10"/>
  <c r="Q216" i="10" s="1"/>
  <c r="Q219" i="10" s="1"/>
  <c r="R216" i="10"/>
  <c r="L219" i="10"/>
  <c r="M219" i="10"/>
  <c r="N219" i="10"/>
  <c r="O219" i="10"/>
  <c r="S219" i="10"/>
  <c r="C287" i="10"/>
  <c r="S224" i="10"/>
  <c r="T224" i="10" s="1"/>
  <c r="U224" i="10" s="1"/>
  <c r="V224" i="10" s="1"/>
  <c r="W224" i="10" s="1"/>
  <c r="X224" i="10" s="1"/>
  <c r="Y224" i="10" s="1"/>
  <c r="Z224" i="10" s="1"/>
  <c r="AA224" i="10" s="1"/>
  <c r="AB224" i="10" s="1"/>
  <c r="AC224" i="10" s="1"/>
  <c r="AD224" i="10" s="1"/>
  <c r="AE224" i="10" s="1"/>
  <c r="P240" i="10"/>
  <c r="Q240" i="10"/>
  <c r="R240" i="10"/>
  <c r="S240" i="10"/>
  <c r="O241" i="10"/>
  <c r="O245" i="10" s="1"/>
  <c r="P245" i="10"/>
  <c r="S249" i="10"/>
  <c r="P256" i="10"/>
  <c r="P261" i="10" s="1"/>
  <c r="P258" i="10"/>
  <c r="Q258" i="10" s="1"/>
  <c r="R258" i="10" s="1"/>
  <c r="S258" i="10" s="1"/>
  <c r="T258" i="10" s="1"/>
  <c r="U258" i="10" s="1"/>
  <c r="X258" i="10" s="1"/>
  <c r="Y258" i="10" s="1"/>
  <c r="Z258" i="10" s="1"/>
  <c r="AA258" i="10" s="1"/>
  <c r="S259" i="10"/>
  <c r="O273" i="10"/>
  <c r="O275" i="10" s="1"/>
  <c r="P275" i="10"/>
  <c r="N3038" i="22" s="1"/>
  <c r="Q275" i="10"/>
  <c r="R275" i="10"/>
  <c r="S275" i="10"/>
  <c r="B278" i="10"/>
  <c r="R279" i="10"/>
  <c r="R282" i="10" s="1"/>
  <c r="AA288" i="10"/>
  <c r="AB288" i="10" s="1"/>
  <c r="AC288" i="10" s="1"/>
  <c r="AD288" i="10" s="1"/>
  <c r="AE288" i="10" s="1"/>
  <c r="P301" i="10"/>
  <c r="Q301" i="10"/>
  <c r="R301" i="10"/>
  <c r="S301" i="10"/>
  <c r="P306" i="10"/>
  <c r="Q306" i="10" s="1"/>
  <c r="Q310" i="10" s="1"/>
  <c r="P311" i="10"/>
  <c r="P312" i="10" s="1"/>
  <c r="Q315" i="10"/>
  <c r="Q316" i="10"/>
  <c r="Q317" i="10"/>
  <c r="Q318" i="10"/>
  <c r="C323" i="10"/>
  <c r="C325" i="10" s="1"/>
  <c r="R323" i="10"/>
  <c r="C329" i="10"/>
  <c r="D3858" i="22" s="1"/>
  <c r="D3859" i="22" s="1"/>
  <c r="D2" i="11"/>
  <c r="E2" i="11" s="1"/>
  <c r="F2" i="11" s="1"/>
  <c r="G2" i="11" s="1"/>
  <c r="H2" i="11" s="1"/>
  <c r="I2" i="11" s="1"/>
  <c r="J2" i="11" s="1"/>
  <c r="G7" i="11"/>
  <c r="G11" i="11" s="1"/>
  <c r="C10" i="11"/>
  <c r="D10" i="11"/>
  <c r="E10" i="11"/>
  <c r="F10" i="11"/>
  <c r="G10" i="11"/>
  <c r="H10" i="11"/>
  <c r="C11" i="11"/>
  <c r="D11" i="11"/>
  <c r="E11" i="11"/>
  <c r="F11" i="11"/>
  <c r="B14" i="11"/>
  <c r="B23" i="11" s="1"/>
  <c r="B32" i="11" s="1"/>
  <c r="B41" i="11" s="1"/>
  <c r="B50" i="11" s="1"/>
  <c r="P14" i="11"/>
  <c r="Q14" i="11" s="1"/>
  <c r="B15" i="11"/>
  <c r="B24" i="11" s="1"/>
  <c r="B33" i="11" s="1"/>
  <c r="B42" i="11" s="1"/>
  <c r="B51" i="11" s="1"/>
  <c r="P15" i="11"/>
  <c r="Q15" i="11" s="1"/>
  <c r="B16" i="11"/>
  <c r="B25" i="11" s="1"/>
  <c r="B34" i="11" s="1"/>
  <c r="B43" i="11" s="1"/>
  <c r="B52" i="11" s="1"/>
  <c r="B17" i="11"/>
  <c r="B26" i="11" s="1"/>
  <c r="B35" i="11" s="1"/>
  <c r="B44" i="11" s="1"/>
  <c r="B53" i="11" s="1"/>
  <c r="B18" i="11"/>
  <c r="B27" i="11" s="1"/>
  <c r="B36" i="11" s="1"/>
  <c r="B45" i="11" s="1"/>
  <c r="B54" i="11" s="1"/>
  <c r="B19" i="11"/>
  <c r="B28" i="11" s="1"/>
  <c r="B37" i="11" s="1"/>
  <c r="B46" i="11" s="1"/>
  <c r="B55" i="11" s="1"/>
  <c r="B20" i="11"/>
  <c r="B29" i="11" s="1"/>
  <c r="B38" i="11" s="1"/>
  <c r="B47" i="11" s="1"/>
  <c r="B56" i="11" s="1"/>
  <c r="G23" i="11"/>
  <c r="J23" i="11"/>
  <c r="K23" i="11"/>
  <c r="L23" i="11"/>
  <c r="M23" i="11"/>
  <c r="N23" i="11"/>
  <c r="O23" i="11"/>
  <c r="G24" i="11"/>
  <c r="J24" i="11"/>
  <c r="K24" i="11"/>
  <c r="L24" i="11"/>
  <c r="M24" i="11"/>
  <c r="N24" i="11"/>
  <c r="O24" i="11"/>
  <c r="Q25" i="11"/>
  <c r="R25" i="11"/>
  <c r="S25" i="11"/>
  <c r="T25" i="11"/>
  <c r="U25" i="11"/>
  <c r="V25" i="11"/>
  <c r="W25" i="11"/>
  <c r="X25" i="11"/>
  <c r="Y25" i="11"/>
  <c r="Z25" i="11"/>
  <c r="F32" i="11"/>
  <c r="G32" i="11"/>
  <c r="S210" i="22" s="1"/>
  <c r="H32" i="11"/>
  <c r="T210" i="22" s="1"/>
  <c r="I32" i="11"/>
  <c r="I5" i="11" s="1"/>
  <c r="M320" i="15" s="1"/>
  <c r="J32" i="11"/>
  <c r="J5" i="11" s="1"/>
  <c r="N32" i="11"/>
  <c r="N5" i="11" s="1"/>
  <c r="J7" i="27" s="1"/>
  <c r="O32" i="11"/>
  <c r="O5" i="11" s="1"/>
  <c r="AC5" i="11" s="1"/>
  <c r="P32" i="11"/>
  <c r="F33" i="11"/>
  <c r="R211" i="22" s="1"/>
  <c r="G33" i="11"/>
  <c r="S211" i="22" s="1"/>
  <c r="H33" i="11"/>
  <c r="I33" i="11"/>
  <c r="I6" i="11" s="1"/>
  <c r="J33" i="11"/>
  <c r="J6" i="11" s="1"/>
  <c r="F8" i="27" s="1"/>
  <c r="N33" i="11"/>
  <c r="N6" i="11" s="1"/>
  <c r="R343" i="15" s="1"/>
  <c r="O33" i="11"/>
  <c r="O6" i="11" s="1"/>
  <c r="AC6" i="11" s="1"/>
  <c r="P33" i="11"/>
  <c r="C41" i="11"/>
  <c r="D41" i="11"/>
  <c r="D32" i="11" s="1"/>
  <c r="D14" i="11" s="1"/>
  <c r="E41" i="11"/>
  <c r="I321" i="15" s="1"/>
  <c r="F41" i="11"/>
  <c r="G41" i="11"/>
  <c r="K321" i="15" s="1"/>
  <c r="K41" i="11"/>
  <c r="G71" i="27" s="1"/>
  <c r="L41" i="11"/>
  <c r="H71" i="27" s="1"/>
  <c r="M41" i="11"/>
  <c r="C42" i="11"/>
  <c r="G344" i="15" s="1"/>
  <c r="D42" i="11"/>
  <c r="H344" i="15" s="1"/>
  <c r="E42" i="11"/>
  <c r="I344" i="15" s="1"/>
  <c r="F42" i="11"/>
  <c r="J344" i="15" s="1"/>
  <c r="G42" i="11"/>
  <c r="K344" i="15" s="1"/>
  <c r="K42" i="11"/>
  <c r="K33" i="11" s="1"/>
  <c r="K6" i="11" s="1"/>
  <c r="G8" i="27" s="1"/>
  <c r="L42" i="11"/>
  <c r="H72" i="27" s="1"/>
  <c r="M42" i="11"/>
  <c r="G43" i="11"/>
  <c r="H43" i="11"/>
  <c r="H47" i="11" s="1"/>
  <c r="I43" i="11"/>
  <c r="I47" i="11" s="1"/>
  <c r="J43" i="11"/>
  <c r="N43" i="11"/>
  <c r="N47" i="11" s="1"/>
  <c r="O43" i="11"/>
  <c r="K73" i="27" s="1"/>
  <c r="P43" i="11"/>
  <c r="P47" i="11" s="1"/>
  <c r="Q43" i="11"/>
  <c r="P13" i="4" s="1"/>
  <c r="H46" i="11"/>
  <c r="G14" i="4" s="1"/>
  <c r="I46" i="11"/>
  <c r="H14" i="4" s="1"/>
  <c r="J46" i="11"/>
  <c r="I14" i="4" s="1"/>
  <c r="N46" i="11"/>
  <c r="M14" i="4" s="1"/>
  <c r="O46" i="11"/>
  <c r="N14" i="4" s="1"/>
  <c r="P46" i="11"/>
  <c r="O14" i="4" s="1"/>
  <c r="R52" i="11"/>
  <c r="V52" i="11"/>
  <c r="W52" i="11"/>
  <c r="X52" i="11"/>
  <c r="Y52" i="11"/>
  <c r="Z52" i="11"/>
  <c r="D60" i="11"/>
  <c r="C32" i="4" s="1"/>
  <c r="E60" i="11"/>
  <c r="D32" i="4" s="1"/>
  <c r="F60" i="11"/>
  <c r="L60" i="11"/>
  <c r="L80" i="11" s="1"/>
  <c r="M60" i="11"/>
  <c r="M80" i="11" s="1"/>
  <c r="N60" i="11"/>
  <c r="N80" i="11" s="1"/>
  <c r="O60" i="11"/>
  <c r="AF57" i="11" s="1"/>
  <c r="AC63" i="11"/>
  <c r="O67" i="11"/>
  <c r="O68" i="11"/>
  <c r="B71" i="11"/>
  <c r="B87" i="11" s="1"/>
  <c r="B97" i="11" s="1"/>
  <c r="B102" i="11" s="1"/>
  <c r="B106" i="11" s="1"/>
  <c r="B114" i="11" s="1"/>
  <c r="Q71" i="11"/>
  <c r="I1969" i="22" s="1"/>
  <c r="T71" i="11"/>
  <c r="U71" i="11" s="1"/>
  <c r="V71" i="11" s="1"/>
  <c r="W71" i="11" s="1"/>
  <c r="X71" i="11" s="1"/>
  <c r="Y71" i="11" s="1"/>
  <c r="Z71" i="11" s="1"/>
  <c r="B72" i="11"/>
  <c r="B88" i="11" s="1"/>
  <c r="B98" i="11" s="1"/>
  <c r="B103" i="11" s="1"/>
  <c r="B107" i="11" s="1"/>
  <c r="B111" i="11" s="1"/>
  <c r="P72" i="11"/>
  <c r="H1968" i="22" s="1"/>
  <c r="T72" i="11"/>
  <c r="U72" i="11" s="1"/>
  <c r="V72" i="11" s="1"/>
  <c r="W72" i="11" s="1"/>
  <c r="X72" i="11" s="1"/>
  <c r="Y72" i="11" s="1"/>
  <c r="Z72" i="11" s="1"/>
  <c r="K75" i="11"/>
  <c r="E1269" i="22" s="1"/>
  <c r="L75" i="11"/>
  <c r="M75" i="11"/>
  <c r="N75" i="11"/>
  <c r="H1269" i="22" s="1"/>
  <c r="O75" i="11"/>
  <c r="K77" i="11"/>
  <c r="E1271" i="22" s="1"/>
  <c r="L77" i="11"/>
  <c r="AV153" i="2" s="1"/>
  <c r="M77" i="11"/>
  <c r="G1271" i="22" s="1"/>
  <c r="N77" i="11"/>
  <c r="O77" i="11"/>
  <c r="I1271" i="22" s="1"/>
  <c r="J88" i="11"/>
  <c r="K88" i="11"/>
  <c r="AE88" i="11"/>
  <c r="L92" i="11"/>
  <c r="M92" i="11"/>
  <c r="N92" i="11"/>
  <c r="O92" i="11"/>
  <c r="J98" i="11"/>
  <c r="K98" i="11"/>
  <c r="L98" i="11"/>
  <c r="L103" i="11" s="1"/>
  <c r="M103" i="11"/>
  <c r="R103" i="11"/>
  <c r="S103" i="11" s="1"/>
  <c r="T103" i="11" s="1"/>
  <c r="U103" i="11" s="1"/>
  <c r="V103" i="11" s="1"/>
  <c r="W103" i="11" s="1"/>
  <c r="X103" i="11" s="1"/>
  <c r="Y103" i="11" s="1"/>
  <c r="Z103" i="11" s="1"/>
  <c r="AA103" i="11" s="1"/>
  <c r="J107" i="11"/>
  <c r="K107" i="11"/>
  <c r="L107" i="11"/>
  <c r="M111" i="11"/>
  <c r="N111" i="11"/>
  <c r="D2845" i="22" s="1"/>
  <c r="K114" i="11"/>
  <c r="M115" i="11"/>
  <c r="AJ137" i="10" s="1"/>
  <c r="AM137" i="10" s="1"/>
  <c r="AP137" i="10" s="1"/>
  <c r="D117" i="11"/>
  <c r="C48" i="4" s="1"/>
  <c r="E117" i="11"/>
  <c r="D48" i="4" s="1"/>
  <c r="F117" i="11"/>
  <c r="E48" i="4" s="1"/>
  <c r="AD120" i="11"/>
  <c r="AD121" i="11"/>
  <c r="AD122" i="11"/>
  <c r="Q125" i="11"/>
  <c r="R125" i="11"/>
  <c r="S125" i="11"/>
  <c r="T125" i="11"/>
  <c r="U125" i="11"/>
  <c r="V125" i="11"/>
  <c r="W125" i="11"/>
  <c r="X125" i="11"/>
  <c r="Y125" i="11"/>
  <c r="Z125" i="11"/>
  <c r="K132" i="11"/>
  <c r="L132" i="11"/>
  <c r="M132" i="11"/>
  <c r="C141" i="11"/>
  <c r="D3885" i="22" s="1"/>
  <c r="E3885" i="22" s="1"/>
  <c r="D2" i="12"/>
  <c r="D89" i="12" s="1"/>
  <c r="D98" i="12" s="1"/>
  <c r="AM5" i="12"/>
  <c r="AM6" i="12"/>
  <c r="AM7" i="12"/>
  <c r="AM8" i="12"/>
  <c r="AM9" i="12"/>
  <c r="AM10" i="12"/>
  <c r="C12" i="12"/>
  <c r="D12" i="12"/>
  <c r="E12" i="12"/>
  <c r="F12" i="12"/>
  <c r="G12" i="12"/>
  <c r="H12" i="12"/>
  <c r="AM15" i="12"/>
  <c r="B16" i="12"/>
  <c r="B27" i="12" s="1"/>
  <c r="B37" i="12" s="1"/>
  <c r="B48" i="12" s="1"/>
  <c r="P16" i="12"/>
  <c r="Q16" i="12" s="1"/>
  <c r="R16" i="12" s="1"/>
  <c r="B17" i="12"/>
  <c r="B28" i="12" s="1"/>
  <c r="B38" i="12" s="1"/>
  <c r="B49" i="12" s="1"/>
  <c r="O17" i="12"/>
  <c r="K27" i="27" s="1"/>
  <c r="B18" i="12"/>
  <c r="B29" i="12" s="1"/>
  <c r="B39" i="12" s="1"/>
  <c r="B50" i="12" s="1"/>
  <c r="P18" i="12"/>
  <c r="B19" i="12"/>
  <c r="B30" i="12" s="1"/>
  <c r="B40" i="12" s="1"/>
  <c r="B51" i="12" s="1"/>
  <c r="B61" i="12" s="1"/>
  <c r="P19" i="12"/>
  <c r="Q19" i="12" s="1"/>
  <c r="R19" i="12" s="1"/>
  <c r="B20" i="12"/>
  <c r="B31" i="12" s="1"/>
  <c r="B41" i="12" s="1"/>
  <c r="B52" i="12" s="1"/>
  <c r="B62" i="12" s="1"/>
  <c r="E20" i="12"/>
  <c r="D20" i="12" s="1"/>
  <c r="P20" i="12"/>
  <c r="L30" i="27" s="1"/>
  <c r="B21" i="12"/>
  <c r="B32" i="12" s="1"/>
  <c r="B42" i="12" s="1"/>
  <c r="B53" i="12" s="1"/>
  <c r="B73" i="12" s="1"/>
  <c r="B95" i="12" s="1"/>
  <c r="E21" i="12"/>
  <c r="D21" i="12" s="1"/>
  <c r="D42" i="12" s="1"/>
  <c r="P21" i="12"/>
  <c r="P22" i="12"/>
  <c r="B23" i="12"/>
  <c r="B34" i="12" s="1"/>
  <c r="B44" i="12" s="1"/>
  <c r="B55" i="12" s="1"/>
  <c r="B75" i="12" s="1"/>
  <c r="N24" i="12"/>
  <c r="O24" i="12" s="1"/>
  <c r="P24" i="12" s="1"/>
  <c r="Q24" i="12" s="1"/>
  <c r="R24" i="12" s="1"/>
  <c r="S24" i="12" s="1"/>
  <c r="T24" i="12" s="1"/>
  <c r="U24" i="12" s="1"/>
  <c r="V24" i="12" s="1"/>
  <c r="W24" i="12" s="1"/>
  <c r="X24" i="12" s="1"/>
  <c r="Y24" i="12" s="1"/>
  <c r="Z24" i="12" s="1"/>
  <c r="AA24" i="12" s="1"/>
  <c r="G27" i="12"/>
  <c r="J27" i="12"/>
  <c r="K27" i="12"/>
  <c r="L27" i="12"/>
  <c r="M27" i="12"/>
  <c r="N27" i="12"/>
  <c r="O27" i="12"/>
  <c r="G28" i="12"/>
  <c r="J28" i="12"/>
  <c r="K28" i="12"/>
  <c r="L28" i="12"/>
  <c r="M28" i="12"/>
  <c r="N28" i="12"/>
  <c r="G29" i="12"/>
  <c r="J29" i="12"/>
  <c r="K29" i="12"/>
  <c r="L29" i="12"/>
  <c r="M29" i="12"/>
  <c r="N29" i="12"/>
  <c r="O29" i="12"/>
  <c r="G30" i="12"/>
  <c r="J30" i="12"/>
  <c r="K30" i="12"/>
  <c r="L30" i="12"/>
  <c r="M30" i="12"/>
  <c r="N30" i="12"/>
  <c r="O30" i="12"/>
  <c r="G31" i="12"/>
  <c r="J31" i="12"/>
  <c r="K31" i="12"/>
  <c r="L31" i="12"/>
  <c r="M31" i="12"/>
  <c r="N31" i="12"/>
  <c r="O31" i="12"/>
  <c r="G32" i="12"/>
  <c r="J32" i="12"/>
  <c r="K32" i="12"/>
  <c r="L32" i="12"/>
  <c r="M32" i="12"/>
  <c r="N32" i="12"/>
  <c r="O32" i="12"/>
  <c r="B33" i="12"/>
  <c r="B43" i="12" s="1"/>
  <c r="B54" i="12" s="1"/>
  <c r="E33" i="12"/>
  <c r="F33" i="12"/>
  <c r="G33" i="12"/>
  <c r="H33" i="12"/>
  <c r="I33" i="12"/>
  <c r="J33" i="12"/>
  <c r="K33" i="12"/>
  <c r="L33" i="12"/>
  <c r="M33" i="12"/>
  <c r="N33" i="12"/>
  <c r="O33" i="12"/>
  <c r="F37" i="12"/>
  <c r="R212" i="22" s="1"/>
  <c r="G37" i="12"/>
  <c r="H37" i="12"/>
  <c r="I37" i="12"/>
  <c r="I5" i="12" s="1"/>
  <c r="J37" i="12"/>
  <c r="J5" i="12" s="1"/>
  <c r="A949" i="22" s="1"/>
  <c r="N37" i="12"/>
  <c r="N5" i="12" s="1"/>
  <c r="J10" i="27" s="1"/>
  <c r="O37" i="12"/>
  <c r="O5" i="12" s="1"/>
  <c r="N583" i="3" s="1"/>
  <c r="F38" i="12"/>
  <c r="R213" i="22" s="1"/>
  <c r="G38" i="12"/>
  <c r="H38" i="12"/>
  <c r="H17" i="12" s="1"/>
  <c r="H28" i="12" s="1"/>
  <c r="I38" i="12"/>
  <c r="J38" i="12"/>
  <c r="J6" i="12" s="1"/>
  <c r="N389" i="15" s="1"/>
  <c r="N38" i="12"/>
  <c r="N6" i="12" s="1"/>
  <c r="O38" i="12"/>
  <c r="P38" i="12"/>
  <c r="F39" i="12"/>
  <c r="R214" i="22" s="1"/>
  <c r="G39" i="12"/>
  <c r="S214" i="22" s="1"/>
  <c r="H39" i="12"/>
  <c r="I39" i="12"/>
  <c r="I7" i="12" s="1"/>
  <c r="M412" i="15" s="1"/>
  <c r="J39" i="12"/>
  <c r="J7" i="12" s="1"/>
  <c r="F12" i="27" s="1"/>
  <c r="N39" i="12"/>
  <c r="N7" i="12" s="1"/>
  <c r="O39" i="12"/>
  <c r="O7" i="12" s="1"/>
  <c r="K12" i="27" s="1"/>
  <c r="P39" i="12"/>
  <c r="F40" i="12"/>
  <c r="R216" i="22" s="1"/>
  <c r="G40" i="12"/>
  <c r="S216" i="22" s="1"/>
  <c r="H40" i="12"/>
  <c r="T216" i="22" s="1"/>
  <c r="I40" i="12"/>
  <c r="I8" i="12" s="1"/>
  <c r="E13" i="27" s="1"/>
  <c r="J40" i="12"/>
  <c r="J8" i="12" s="1"/>
  <c r="N40" i="12"/>
  <c r="N8" i="12" s="1"/>
  <c r="R458" i="15" s="1"/>
  <c r="O40" i="12"/>
  <c r="O8" i="12" s="1"/>
  <c r="AB8" i="12" s="1"/>
  <c r="P40" i="12"/>
  <c r="F41" i="12"/>
  <c r="R217" i="22" s="1"/>
  <c r="G41" i="12"/>
  <c r="S217" i="22" s="1"/>
  <c r="H41" i="12"/>
  <c r="H20" i="12" s="1"/>
  <c r="I41" i="12"/>
  <c r="I9" i="12" s="1"/>
  <c r="E14" i="27" s="1"/>
  <c r="J41" i="12"/>
  <c r="J9" i="12" s="1"/>
  <c r="N481" i="15" s="1"/>
  <c r="N41" i="12"/>
  <c r="N9" i="12" s="1"/>
  <c r="O41" i="12"/>
  <c r="O9" i="12" s="1"/>
  <c r="P41" i="12"/>
  <c r="F42" i="12"/>
  <c r="R218" i="22" s="1"/>
  <c r="G42" i="12"/>
  <c r="S218" i="22" s="1"/>
  <c r="H42" i="12"/>
  <c r="I42" i="12"/>
  <c r="I10" i="12" s="1"/>
  <c r="J42" i="12"/>
  <c r="J10" i="12" s="1"/>
  <c r="F15" i="27" s="1"/>
  <c r="N42" i="12"/>
  <c r="N10" i="12" s="1"/>
  <c r="R504" i="15" s="1"/>
  <c r="O42" i="12"/>
  <c r="O10" i="12" s="1"/>
  <c r="P42" i="12"/>
  <c r="D43" i="12"/>
  <c r="E43" i="12"/>
  <c r="F43" i="12"/>
  <c r="G43" i="12"/>
  <c r="H43" i="12"/>
  <c r="B45" i="12"/>
  <c r="B76" i="12" s="1"/>
  <c r="J45" i="12"/>
  <c r="J76" i="12" s="1"/>
  <c r="C48" i="12"/>
  <c r="D48" i="12"/>
  <c r="E48" i="12"/>
  <c r="F48" i="12"/>
  <c r="G48" i="12"/>
  <c r="K367" i="15" s="1"/>
  <c r="K48" i="12"/>
  <c r="K58" i="12" s="1"/>
  <c r="L48" i="12"/>
  <c r="P367" i="15" s="1"/>
  <c r="M48" i="12"/>
  <c r="BA134" i="2" s="1"/>
  <c r="C49" i="12"/>
  <c r="C38" i="12" s="1"/>
  <c r="D49" i="12"/>
  <c r="E49" i="12"/>
  <c r="F49" i="12"/>
  <c r="G49" i="12"/>
  <c r="C75" i="27" s="1"/>
  <c r="K49" i="12"/>
  <c r="G75" i="27" s="1"/>
  <c r="L49" i="12"/>
  <c r="L38" i="12" s="1"/>
  <c r="M49" i="12"/>
  <c r="M38" i="12" s="1"/>
  <c r="M6" i="12" s="1"/>
  <c r="C50" i="12"/>
  <c r="G413" i="15" s="1"/>
  <c r="D50" i="12"/>
  <c r="E50" i="12"/>
  <c r="I413" i="15" s="1"/>
  <c r="F50" i="12"/>
  <c r="G50" i="12"/>
  <c r="C76" i="27" s="1"/>
  <c r="K50" i="12"/>
  <c r="L50" i="12"/>
  <c r="P413" i="15" s="1"/>
  <c r="M50" i="12"/>
  <c r="Q413" i="15" s="1"/>
  <c r="C51" i="12"/>
  <c r="D51" i="12"/>
  <c r="H459" i="15" s="1"/>
  <c r="E51" i="12"/>
  <c r="I459" i="15" s="1"/>
  <c r="F51" i="12"/>
  <c r="G51" i="12"/>
  <c r="K51" i="12"/>
  <c r="O459" i="15" s="1"/>
  <c r="L51" i="12"/>
  <c r="L40" i="12" s="1"/>
  <c r="L8" i="12" s="1"/>
  <c r="M51" i="12"/>
  <c r="I77" i="27" s="1"/>
  <c r="C52" i="12"/>
  <c r="D52" i="12"/>
  <c r="E52" i="12"/>
  <c r="F52" i="12"/>
  <c r="G52" i="12"/>
  <c r="K52" i="12"/>
  <c r="G78" i="27" s="1"/>
  <c r="L52" i="12"/>
  <c r="H78" i="27" s="1"/>
  <c r="M52" i="12"/>
  <c r="BA139" i="2" s="1"/>
  <c r="C53" i="12"/>
  <c r="D53" i="12"/>
  <c r="E53" i="12"/>
  <c r="F53" i="12"/>
  <c r="G53" i="12"/>
  <c r="K53" i="12"/>
  <c r="O505" i="15" s="1"/>
  <c r="L53" i="12"/>
  <c r="L42" i="12" s="1"/>
  <c r="L10" i="12" s="1"/>
  <c r="H15" i="27" s="1"/>
  <c r="M53" i="12"/>
  <c r="M42" i="12" s="1"/>
  <c r="M10" i="12" s="1"/>
  <c r="K54" i="12"/>
  <c r="K64" i="12" s="1"/>
  <c r="L54" i="12"/>
  <c r="M54" i="12"/>
  <c r="H55" i="12"/>
  <c r="I55" i="12"/>
  <c r="H15" i="4" s="1"/>
  <c r="J55" i="12"/>
  <c r="I15" i="4" s="1"/>
  <c r="N55" i="12"/>
  <c r="M15" i="4" s="1"/>
  <c r="O55" i="12"/>
  <c r="P55" i="12"/>
  <c r="O15" i="4" s="1"/>
  <c r="I58" i="12"/>
  <c r="J58" i="12"/>
  <c r="O58" i="12"/>
  <c r="P58" i="12"/>
  <c r="I59" i="12"/>
  <c r="J59" i="12"/>
  <c r="I60" i="12"/>
  <c r="J60" i="12"/>
  <c r="O60" i="12"/>
  <c r="P60" i="12"/>
  <c r="I61" i="12"/>
  <c r="J61" i="12"/>
  <c r="O61" i="12"/>
  <c r="P61" i="12"/>
  <c r="I62" i="12"/>
  <c r="J62" i="12"/>
  <c r="O62" i="12"/>
  <c r="P62" i="12"/>
  <c r="I63" i="12"/>
  <c r="J63" i="12"/>
  <c r="O63" i="12"/>
  <c r="P63" i="12"/>
  <c r="E64" i="12"/>
  <c r="F64" i="12"/>
  <c r="G64" i="12"/>
  <c r="H64" i="12"/>
  <c r="I64" i="12"/>
  <c r="J64" i="12"/>
  <c r="O64" i="12"/>
  <c r="P64" i="12"/>
  <c r="A68" i="12"/>
  <c r="P68" i="12"/>
  <c r="L58" i="27" s="1"/>
  <c r="A69" i="12"/>
  <c r="A70" i="12"/>
  <c r="A71" i="12"/>
  <c r="A72" i="12"/>
  <c r="A73" i="12"/>
  <c r="P74" i="12"/>
  <c r="L78" i="12"/>
  <c r="M78" i="12"/>
  <c r="N78" i="12"/>
  <c r="O78" i="12"/>
  <c r="P78" i="12"/>
  <c r="D80" i="12"/>
  <c r="C33" i="4" s="1"/>
  <c r="E80" i="12"/>
  <c r="D33" i="4" s="1"/>
  <c r="F80" i="12"/>
  <c r="E33" i="4" s="1"/>
  <c r="G80" i="12"/>
  <c r="H80" i="12"/>
  <c r="G33" i="4" s="1"/>
  <c r="G92" i="4" s="1"/>
  <c r="J80" i="12"/>
  <c r="L80" i="12"/>
  <c r="F1311" i="22" s="1"/>
  <c r="M80" i="12"/>
  <c r="N80" i="12"/>
  <c r="N153" i="12" s="1"/>
  <c r="O80" i="12"/>
  <c r="O153" i="12" s="1"/>
  <c r="P80" i="12"/>
  <c r="AB86" i="12"/>
  <c r="C89" i="12"/>
  <c r="C98" i="12" s="1"/>
  <c r="N99" i="12"/>
  <c r="H1296" i="22" s="1"/>
  <c r="O99" i="12"/>
  <c r="I1296" i="22" s="1"/>
  <c r="M100" i="12"/>
  <c r="N100" i="12"/>
  <c r="H1298" i="22" s="1"/>
  <c r="O100" i="12"/>
  <c r="I1298" i="22" s="1"/>
  <c r="P100" i="12"/>
  <c r="J1298" i="22" s="1"/>
  <c r="K101" i="12"/>
  <c r="K102" i="12"/>
  <c r="N102" i="12"/>
  <c r="H1302" i="22" s="1"/>
  <c r="O102" i="12"/>
  <c r="K104" i="12"/>
  <c r="AD108" i="12"/>
  <c r="AE108" i="12" s="1"/>
  <c r="AD109" i="12"/>
  <c r="P145" i="12"/>
  <c r="AB145" i="12" s="1"/>
  <c r="Q145" i="12"/>
  <c r="T145" i="12"/>
  <c r="U145" i="12" s="1"/>
  <c r="V145" i="12" s="1"/>
  <c r="W145" i="12" s="1"/>
  <c r="X145" i="12" s="1"/>
  <c r="Y145" i="12" s="1"/>
  <c r="Z145" i="12" s="1"/>
  <c r="AA145" i="12" s="1"/>
  <c r="AD145" i="12"/>
  <c r="AE145" i="12"/>
  <c r="AF145" i="12"/>
  <c r="AG145" i="12"/>
  <c r="AB146" i="12"/>
  <c r="AD146" i="12"/>
  <c r="AE146" i="12"/>
  <c r="AF146" i="12"/>
  <c r="AG146" i="12"/>
  <c r="T147" i="12"/>
  <c r="T149" i="12" s="1"/>
  <c r="AD147" i="12"/>
  <c r="AE147" i="12"/>
  <c r="AF147" i="12"/>
  <c r="AG147" i="12"/>
  <c r="P148" i="12"/>
  <c r="AB148" i="12" s="1"/>
  <c r="Q148" i="12"/>
  <c r="T148" i="12"/>
  <c r="U148" i="12" s="1"/>
  <c r="V148" i="12" s="1"/>
  <c r="W148" i="12" s="1"/>
  <c r="X148" i="12" s="1"/>
  <c r="Y148" i="12" s="1"/>
  <c r="Z148" i="12" s="1"/>
  <c r="AA148" i="12" s="1"/>
  <c r="AD148" i="12"/>
  <c r="AE148" i="12"/>
  <c r="AF148" i="12"/>
  <c r="AG148" i="12"/>
  <c r="H149" i="12"/>
  <c r="I149" i="12"/>
  <c r="J149" i="12"/>
  <c r="AL457" i="2" s="1"/>
  <c r="K149" i="12"/>
  <c r="L149" i="12"/>
  <c r="AV457" i="2" s="1"/>
  <c r="M149" i="12"/>
  <c r="N149" i="12"/>
  <c r="N103" i="12" s="1"/>
  <c r="O149" i="12"/>
  <c r="O103" i="12" s="1"/>
  <c r="O131" i="12" s="1"/>
  <c r="R149" i="12"/>
  <c r="S149" i="12"/>
  <c r="P150" i="12"/>
  <c r="AB150" i="12" s="1"/>
  <c r="Q150" i="12"/>
  <c r="S150" i="12"/>
  <c r="T150" i="12" s="1"/>
  <c r="U150" i="12" s="1"/>
  <c r="V150" i="12" s="1"/>
  <c r="W150" i="12" s="1"/>
  <c r="X150" i="12" s="1"/>
  <c r="Y150" i="12" s="1"/>
  <c r="Z150" i="12" s="1"/>
  <c r="AA150" i="12" s="1"/>
  <c r="AD150" i="12"/>
  <c r="AE150" i="12"/>
  <c r="AF150" i="12"/>
  <c r="AG150" i="12"/>
  <c r="P151" i="12"/>
  <c r="AB151" i="12" s="1"/>
  <c r="Q151" i="12"/>
  <c r="S151" i="12"/>
  <c r="T151" i="12" s="1"/>
  <c r="U151" i="12" s="1"/>
  <c r="V151" i="12" s="1"/>
  <c r="W151" i="12" s="1"/>
  <c r="X151" i="12" s="1"/>
  <c r="Y151" i="12" s="1"/>
  <c r="Z151" i="12" s="1"/>
  <c r="AA151" i="12" s="1"/>
  <c r="AD151" i="12"/>
  <c r="AE151" i="12"/>
  <c r="AF151" i="12"/>
  <c r="AG151" i="12"/>
  <c r="L154" i="12"/>
  <c r="E210" i="27" s="1"/>
  <c r="E243" i="27" s="1"/>
  <c r="M154" i="12"/>
  <c r="F210" i="27" s="1"/>
  <c r="R210" i="27" s="1"/>
  <c r="L155" i="12"/>
  <c r="M155" i="12"/>
  <c r="N155" i="12"/>
  <c r="O155" i="12"/>
  <c r="P155" i="12"/>
  <c r="Z105" i="33" s="1"/>
  <c r="D160" i="12"/>
  <c r="C49" i="4" s="1"/>
  <c r="E160" i="12"/>
  <c r="F160" i="12"/>
  <c r="G160" i="12"/>
  <c r="F49" i="4" s="1"/>
  <c r="J160" i="12"/>
  <c r="L160" i="12"/>
  <c r="F1313" i="22" s="1"/>
  <c r="Q166" i="12"/>
  <c r="AC171" i="12"/>
  <c r="AC172" i="12"/>
  <c r="AC173" i="12"/>
  <c r="Q176" i="12"/>
  <c r="R176" i="12"/>
  <c r="S176" i="12"/>
  <c r="T176" i="12"/>
  <c r="U176" i="12"/>
  <c r="V176" i="12"/>
  <c r="W176" i="12"/>
  <c r="X176" i="12"/>
  <c r="Y176" i="12"/>
  <c r="Z176" i="12"/>
  <c r="G178" i="12"/>
  <c r="H178" i="12"/>
  <c r="D2261" i="22" s="1"/>
  <c r="I178" i="12"/>
  <c r="J178" i="12"/>
  <c r="D1316" i="22" s="1"/>
  <c r="K178" i="12"/>
  <c r="G2261" i="22" s="1"/>
  <c r="A184" i="12"/>
  <c r="D185" i="12"/>
  <c r="F185" i="12"/>
  <c r="J185" i="12"/>
  <c r="I186" i="12"/>
  <c r="I187" i="12"/>
  <c r="J187" i="12"/>
  <c r="F188" i="12"/>
  <c r="J188" i="12" s="1"/>
  <c r="I189" i="12"/>
  <c r="J189" i="12"/>
  <c r="I190" i="12"/>
  <c r="A192" i="12"/>
  <c r="C193" i="12"/>
  <c r="C196" i="12" s="1"/>
  <c r="D200" i="12"/>
  <c r="D203" i="12" s="1"/>
  <c r="C202" i="12" s="1"/>
  <c r="A205" i="12"/>
  <c r="D206" i="12"/>
  <c r="D212" i="12" s="1"/>
  <c r="E211" i="12" s="1"/>
  <c r="A214" i="12"/>
  <c r="C215" i="12"/>
  <c r="C216" i="12"/>
  <c r="C217" i="12"/>
  <c r="A220" i="12"/>
  <c r="C221" i="12"/>
  <c r="C222" i="12" s="1"/>
  <c r="A224" i="12"/>
  <c r="C225" i="12"/>
  <c r="C226" i="12" s="1"/>
  <c r="F242" i="12"/>
  <c r="G242" i="12" s="1"/>
  <c r="H242" i="12" s="1"/>
  <c r="I242" i="12" s="1"/>
  <c r="J242" i="12" s="1"/>
  <c r="K242" i="12" s="1"/>
  <c r="L242" i="12" s="1"/>
  <c r="D244" i="12"/>
  <c r="D249" i="12" s="1"/>
  <c r="E249" i="12" s="1"/>
  <c r="D245" i="12"/>
  <c r="D250" i="12"/>
  <c r="E260" i="12"/>
  <c r="F260" i="12" s="1"/>
  <c r="G260" i="12" s="1"/>
  <c r="H260" i="12" s="1"/>
  <c r="I260" i="12" s="1"/>
  <c r="J260" i="12" s="1"/>
  <c r="K260" i="12" s="1"/>
  <c r="L260" i="12" s="1"/>
  <c r="G270" i="12"/>
  <c r="H270" i="12" s="1"/>
  <c r="I270" i="12" s="1"/>
  <c r="J270" i="12" s="1"/>
  <c r="K270" i="12" s="1"/>
  <c r="L270" i="12" s="1"/>
  <c r="E276" i="12"/>
  <c r="D6" i="31"/>
  <c r="C6" i="31" s="1"/>
  <c r="F6" i="31"/>
  <c r="G6" i="31" s="1"/>
  <c r="H6" i="31" s="1"/>
  <c r="I6" i="31" s="1"/>
  <c r="J6" i="31" s="1"/>
  <c r="K6" i="31" s="1"/>
  <c r="L6" i="31" s="1"/>
  <c r="D14" i="31"/>
  <c r="N12" i="31" s="1"/>
  <c r="D16" i="31"/>
  <c r="N13" i="31" s="1"/>
  <c r="G23" i="31"/>
  <c r="H23" i="31" s="1"/>
  <c r="I23" i="31" s="1"/>
  <c r="J23" i="31" s="1"/>
  <c r="K23" i="31" s="1"/>
  <c r="L23" i="31" s="1"/>
  <c r="H24" i="31"/>
  <c r="I24" i="31" s="1"/>
  <c r="J24" i="31" s="1"/>
  <c r="K24" i="31" s="1"/>
  <c r="L24" i="31" s="1"/>
  <c r="G25" i="31"/>
  <c r="E26" i="31"/>
  <c r="D29" i="31"/>
  <c r="E30" i="31" s="1"/>
  <c r="F29" i="31"/>
  <c r="G29" i="31" s="1"/>
  <c r="H29" i="31" s="1"/>
  <c r="G31" i="31"/>
  <c r="E33" i="31"/>
  <c r="E34" i="31" s="1"/>
  <c r="D36" i="31"/>
  <c r="C51" i="31"/>
  <c r="D51" i="31"/>
  <c r="E51" i="31"/>
  <c r="G51" i="31"/>
  <c r="H51" i="31" s="1"/>
  <c r="I51" i="31" s="1"/>
  <c r="J51" i="31" s="1"/>
  <c r="K51" i="31" s="1"/>
  <c r="L51" i="31" s="1"/>
  <c r="G53" i="31"/>
  <c r="H53" i="31" s="1"/>
  <c r="I53" i="31" s="1"/>
  <c r="J53" i="31" s="1"/>
  <c r="K53" i="31" s="1"/>
  <c r="L53" i="31" s="1"/>
  <c r="N54" i="31"/>
  <c r="N55" i="31"/>
  <c r="N56" i="31"/>
  <c r="N57" i="31"/>
  <c r="N58" i="31"/>
  <c r="N59" i="31"/>
  <c r="N60" i="31"/>
  <c r="G61" i="31"/>
  <c r="H61" i="31" s="1"/>
  <c r="I61" i="31" s="1"/>
  <c r="J61" i="31" s="1"/>
  <c r="K61" i="31" s="1"/>
  <c r="L61" i="31" s="1"/>
  <c r="N61" i="31"/>
  <c r="D70" i="31"/>
  <c r="E70" i="31"/>
  <c r="E105" i="31"/>
  <c r="F105" i="31"/>
  <c r="G105" i="31"/>
  <c r="H105" i="31"/>
  <c r="I105" i="31"/>
  <c r="J105" i="31"/>
  <c r="K105" i="31"/>
  <c r="E106" i="31"/>
  <c r="F106" i="31"/>
  <c r="G106" i="31"/>
  <c r="H106" i="31"/>
  <c r="I106" i="31"/>
  <c r="J106" i="31"/>
  <c r="K106" i="31"/>
  <c r="B107" i="31"/>
  <c r="B120" i="31" s="1"/>
  <c r="B132" i="31" s="1"/>
  <c r="H107" i="31"/>
  <c r="I107" i="31" s="1"/>
  <c r="J107" i="31" s="1"/>
  <c r="K107" i="31" s="1"/>
  <c r="B108" i="31"/>
  <c r="B121" i="31" s="1"/>
  <c r="B133" i="31" s="1"/>
  <c r="B116" i="31"/>
  <c r="B128" i="31" s="1"/>
  <c r="B117" i="31"/>
  <c r="B129" i="31" s="1"/>
  <c r="B118" i="31"/>
  <c r="B130" i="31" s="1"/>
  <c r="B119" i="31"/>
  <c r="B131" i="31" s="1"/>
  <c r="C119" i="31"/>
  <c r="C120" i="31"/>
  <c r="B122" i="31"/>
  <c r="B134" i="31" s="1"/>
  <c r="B123" i="31"/>
  <c r="B135" i="31" s="1"/>
  <c r="C131" i="31"/>
  <c r="C132" i="31"/>
  <c r="V4" i="35"/>
  <c r="V33" i="35" s="1"/>
  <c r="V51" i="35" s="1"/>
  <c r="V58" i="35" s="1"/>
  <c r="V76" i="35" s="1"/>
  <c r="V95" i="35" s="1"/>
  <c r="W4" i="35"/>
  <c r="W33" i="35" s="1"/>
  <c r="W51" i="35" s="1"/>
  <c r="W58" i="35" s="1"/>
  <c r="W76" i="35" s="1"/>
  <c r="W95" i="35" s="1"/>
  <c r="X4" i="35"/>
  <c r="X33" i="35" s="1"/>
  <c r="X51" i="35" s="1"/>
  <c r="X58" i="35" s="1"/>
  <c r="X76" i="35" s="1"/>
  <c r="X95" i="35" s="1"/>
  <c r="Y4" i="35"/>
  <c r="Y33" i="35" s="1"/>
  <c r="Y51" i="35" s="1"/>
  <c r="Y58" i="35" s="1"/>
  <c r="Y76" i="35" s="1"/>
  <c r="Y95" i="35" s="1"/>
  <c r="Z4" i="35"/>
  <c r="Z33" i="35" s="1"/>
  <c r="Z51" i="35" s="1"/>
  <c r="Z58" i="35" s="1"/>
  <c r="Z76" i="35" s="1"/>
  <c r="Z95" i="35" s="1"/>
  <c r="AA4" i="35"/>
  <c r="AA33" i="35" s="1"/>
  <c r="AA51" i="35" s="1"/>
  <c r="AA58" i="35" s="1"/>
  <c r="AA76" i="35" s="1"/>
  <c r="AA95" i="35" s="1"/>
  <c r="D5" i="35"/>
  <c r="D26" i="35" s="1"/>
  <c r="H5" i="35"/>
  <c r="L5" i="35"/>
  <c r="M5" i="35" s="1"/>
  <c r="V5" i="35"/>
  <c r="Z5" i="35"/>
  <c r="AD5" i="35"/>
  <c r="C6" i="35"/>
  <c r="G6" i="35"/>
  <c r="K6" i="35"/>
  <c r="K18" i="35" s="1"/>
  <c r="O6" i="35"/>
  <c r="O18" i="35" s="1"/>
  <c r="O19" i="35" s="1"/>
  <c r="D8" i="35"/>
  <c r="E8" i="35" s="1"/>
  <c r="H8" i="35"/>
  <c r="I8" i="35" s="1"/>
  <c r="L8" i="35"/>
  <c r="M8" i="35" s="1"/>
  <c r="D9" i="35"/>
  <c r="E9" i="35" s="1"/>
  <c r="F9" i="35" s="1"/>
  <c r="H9" i="35"/>
  <c r="L9" i="35"/>
  <c r="M9" i="35" s="1"/>
  <c r="D11" i="35"/>
  <c r="E11" i="35" s="1"/>
  <c r="F11" i="35" s="1"/>
  <c r="H11" i="35"/>
  <c r="I11" i="35" s="1"/>
  <c r="J11" i="35" s="1"/>
  <c r="L11" i="35"/>
  <c r="M11" i="35" s="1"/>
  <c r="N11" i="35" s="1"/>
  <c r="AD12" i="35"/>
  <c r="K13" i="35"/>
  <c r="O13" i="35"/>
  <c r="D15" i="35"/>
  <c r="E15" i="35" s="1"/>
  <c r="E28" i="35" s="1"/>
  <c r="H15" i="35"/>
  <c r="L15" i="35"/>
  <c r="M15" i="35" s="1"/>
  <c r="C16" i="35"/>
  <c r="G16" i="35"/>
  <c r="K16" i="35"/>
  <c r="O16" i="35"/>
  <c r="B26" i="35"/>
  <c r="C26" i="35"/>
  <c r="G26" i="35"/>
  <c r="K26" i="35"/>
  <c r="O26" i="35"/>
  <c r="B27" i="35"/>
  <c r="K27" i="35"/>
  <c r="O27" i="35"/>
  <c r="B28" i="35"/>
  <c r="C28" i="35"/>
  <c r="G28" i="35"/>
  <c r="K28" i="35"/>
  <c r="O28" i="35"/>
  <c r="B29" i="35"/>
  <c r="C33" i="35"/>
  <c r="C51" i="35" s="1"/>
  <c r="D33" i="35"/>
  <c r="D51" i="35" s="1"/>
  <c r="E33" i="35"/>
  <c r="E51" i="35" s="1"/>
  <c r="F33" i="35"/>
  <c r="F51" i="35" s="1"/>
  <c r="G33" i="35"/>
  <c r="G51" i="35" s="1"/>
  <c r="H33" i="35"/>
  <c r="H51" i="35" s="1"/>
  <c r="I33" i="35"/>
  <c r="I51" i="35" s="1"/>
  <c r="J33" i="35"/>
  <c r="J51" i="35" s="1"/>
  <c r="K33" i="35"/>
  <c r="K51" i="35" s="1"/>
  <c r="L33" i="35"/>
  <c r="L51" i="35" s="1"/>
  <c r="M33" i="35"/>
  <c r="M51" i="35" s="1"/>
  <c r="N33" i="35"/>
  <c r="N51" i="35" s="1"/>
  <c r="AB33" i="35"/>
  <c r="AB51" i="35" s="1"/>
  <c r="AB58" i="35" s="1"/>
  <c r="AC33" i="35"/>
  <c r="AC51" i="35" s="1"/>
  <c r="AC58" i="35" s="1"/>
  <c r="AD33" i="35"/>
  <c r="AD51" i="35" s="1"/>
  <c r="AD58" i="35" s="1"/>
  <c r="V34" i="35"/>
  <c r="W34" i="35"/>
  <c r="X34" i="35"/>
  <c r="Z34" i="35"/>
  <c r="AA34" i="35"/>
  <c r="AB34" i="35"/>
  <c r="C35" i="35"/>
  <c r="C46" i="35" s="1"/>
  <c r="D35" i="35"/>
  <c r="D46" i="35" s="1"/>
  <c r="E35" i="35"/>
  <c r="G35" i="35"/>
  <c r="G46" i="35" s="1"/>
  <c r="H35" i="35"/>
  <c r="I35" i="35"/>
  <c r="I46" i="35" s="1"/>
  <c r="K35" i="35"/>
  <c r="L35" i="35"/>
  <c r="L46" i="35" s="1"/>
  <c r="M35" i="35"/>
  <c r="O38" i="35"/>
  <c r="O35" i="35" s="1"/>
  <c r="O46" i="35" s="1"/>
  <c r="B45" i="35"/>
  <c r="C45" i="35"/>
  <c r="D45" i="35"/>
  <c r="E45" i="35"/>
  <c r="G45" i="35"/>
  <c r="H45" i="35"/>
  <c r="BC222" i="2" s="1"/>
  <c r="BC303" i="2" s="1"/>
  <c r="I45" i="35"/>
  <c r="BD222" i="2" s="1"/>
  <c r="BD226" i="2" s="1"/>
  <c r="K45" i="35"/>
  <c r="BG222" i="2" s="1"/>
  <c r="BG231" i="2" s="1"/>
  <c r="L45" i="35"/>
  <c r="BH222" i="2" s="1"/>
  <c r="BH231" i="2" s="1"/>
  <c r="M45" i="35"/>
  <c r="B46" i="35"/>
  <c r="B47" i="35"/>
  <c r="O51" i="35"/>
  <c r="B52" i="35"/>
  <c r="B53" i="35"/>
  <c r="C58" i="35"/>
  <c r="C76" i="35" s="1"/>
  <c r="C95" i="35" s="1"/>
  <c r="D58" i="35"/>
  <c r="D76" i="35" s="1"/>
  <c r="D95" i="35" s="1"/>
  <c r="E58" i="35"/>
  <c r="E76" i="35" s="1"/>
  <c r="E95" i="35" s="1"/>
  <c r="F58" i="35"/>
  <c r="F76" i="35" s="1"/>
  <c r="F95" i="35" s="1"/>
  <c r="G58" i="35"/>
  <c r="G76" i="35" s="1"/>
  <c r="G95" i="35" s="1"/>
  <c r="H58" i="35"/>
  <c r="H76" i="35" s="1"/>
  <c r="H95" i="35" s="1"/>
  <c r="I58" i="35"/>
  <c r="I76" i="35" s="1"/>
  <c r="I95" i="35" s="1"/>
  <c r="J58" i="35"/>
  <c r="J76" i="35" s="1"/>
  <c r="J95" i="35" s="1"/>
  <c r="K58" i="35"/>
  <c r="K76" i="35" s="1"/>
  <c r="K95" i="35" s="1"/>
  <c r="L58" i="35"/>
  <c r="L76" i="35" s="1"/>
  <c r="L95" i="35" s="1"/>
  <c r="M58" i="35"/>
  <c r="M76" i="35" s="1"/>
  <c r="M95" i="35" s="1"/>
  <c r="N58" i="35"/>
  <c r="N76" i="35" s="1"/>
  <c r="O58" i="35"/>
  <c r="O76" i="35" s="1"/>
  <c r="P58" i="35"/>
  <c r="P76" i="35" s="1"/>
  <c r="Q58" i="35"/>
  <c r="Q76" i="35" s="1"/>
  <c r="R58" i="35"/>
  <c r="R76" i="35" s="1"/>
  <c r="S58" i="35"/>
  <c r="S76" i="35" s="1"/>
  <c r="T58" i="35"/>
  <c r="T76" i="35" s="1"/>
  <c r="B59" i="35"/>
  <c r="B96" i="35" s="1"/>
  <c r="F59" i="35"/>
  <c r="F71" i="35" s="1"/>
  <c r="H59" i="35"/>
  <c r="H71" i="35" s="1"/>
  <c r="L59" i="35"/>
  <c r="Z59" i="35"/>
  <c r="AD59" i="35"/>
  <c r="G60" i="35"/>
  <c r="I60" i="35"/>
  <c r="K60" i="35"/>
  <c r="O60" i="35"/>
  <c r="B61" i="35"/>
  <c r="B97" i="35" s="1"/>
  <c r="F61" i="35"/>
  <c r="H61" i="35"/>
  <c r="L61" i="35"/>
  <c r="Z61" i="35"/>
  <c r="AD61" i="35"/>
  <c r="B62" i="35"/>
  <c r="G62" i="35"/>
  <c r="I62" i="35"/>
  <c r="K62" i="35"/>
  <c r="O62" i="35"/>
  <c r="B64" i="35"/>
  <c r="B100" i="35" s="1"/>
  <c r="F64" i="35"/>
  <c r="H64" i="35"/>
  <c r="I64" i="35" s="1"/>
  <c r="I65" i="35" s="1"/>
  <c r="L64" i="35"/>
  <c r="B65" i="35"/>
  <c r="B88" i="35" s="1"/>
  <c r="G65" i="35"/>
  <c r="K65" i="35"/>
  <c r="O65" i="35"/>
  <c r="B67" i="35"/>
  <c r="B90" i="35" s="1"/>
  <c r="G67" i="35"/>
  <c r="G68" i="35" s="1"/>
  <c r="K67" i="35"/>
  <c r="K68" i="35" s="1"/>
  <c r="O67" i="35"/>
  <c r="O68" i="35" s="1"/>
  <c r="B68" i="35"/>
  <c r="B91" i="35" s="1"/>
  <c r="G71" i="35"/>
  <c r="I71" i="35"/>
  <c r="I72" i="35" s="1"/>
  <c r="K71" i="35"/>
  <c r="K72" i="35" s="1"/>
  <c r="O71" i="35"/>
  <c r="D77" i="35"/>
  <c r="H77" i="35"/>
  <c r="I77" i="35" s="1"/>
  <c r="J77" i="35" s="1"/>
  <c r="L77" i="35"/>
  <c r="M77" i="35" s="1"/>
  <c r="V77" i="35"/>
  <c r="Z77" i="35"/>
  <c r="D78" i="35"/>
  <c r="H78" i="35"/>
  <c r="L78" i="35"/>
  <c r="M78" i="35" s="1"/>
  <c r="V78" i="35"/>
  <c r="Z78" i="35"/>
  <c r="D79" i="35"/>
  <c r="E79" i="35" s="1"/>
  <c r="H79" i="35"/>
  <c r="L79" i="35"/>
  <c r="V79" i="35"/>
  <c r="Z79" i="35"/>
  <c r="F80" i="35"/>
  <c r="H80" i="35"/>
  <c r="J80" i="35" s="1"/>
  <c r="L80" i="35"/>
  <c r="M80" i="35" s="1"/>
  <c r="D81" i="35"/>
  <c r="E81" i="35" s="1"/>
  <c r="H81" i="35"/>
  <c r="I81" i="35" s="1"/>
  <c r="L81" i="35"/>
  <c r="Z81" i="35"/>
  <c r="C82" i="35"/>
  <c r="C85" i="35" s="1"/>
  <c r="G82" i="35"/>
  <c r="G88" i="35" s="1"/>
  <c r="K82" i="35"/>
  <c r="K88" i="35" s="1"/>
  <c r="F84" i="35"/>
  <c r="H84" i="35"/>
  <c r="J84" i="35" s="1"/>
  <c r="L84" i="35"/>
  <c r="Z84" i="35"/>
  <c r="F87" i="35"/>
  <c r="H87" i="35"/>
  <c r="L87" i="35"/>
  <c r="M87" i="35" s="1"/>
  <c r="G90" i="35"/>
  <c r="I90" i="35"/>
  <c r="K90" i="35"/>
  <c r="N90" i="35"/>
  <c r="B95" i="35"/>
  <c r="G97" i="35"/>
  <c r="K97" i="35"/>
  <c r="G100" i="35"/>
  <c r="K100" i="35"/>
  <c r="H18" i="3"/>
  <c r="I18" i="3" s="1"/>
  <c r="H19" i="3"/>
  <c r="I19" i="3" s="1"/>
  <c r="H20" i="3"/>
  <c r="I20" i="3" s="1"/>
  <c r="D21" i="3"/>
  <c r="C81" i="3" s="1"/>
  <c r="C91" i="3" s="1"/>
  <c r="E21" i="3"/>
  <c r="D23" i="3"/>
  <c r="C106" i="3" s="1"/>
  <c r="C109" i="3" s="1"/>
  <c r="G23" i="3"/>
  <c r="B28" i="3"/>
  <c r="C28" i="3"/>
  <c r="D28" i="3"/>
  <c r="E28" i="3"/>
  <c r="B29" i="3"/>
  <c r="C29" i="3"/>
  <c r="D29" i="3"/>
  <c r="E29" i="3"/>
  <c r="B30" i="3"/>
  <c r="C30" i="3"/>
  <c r="C31" i="3" s="1"/>
  <c r="D30" i="3"/>
  <c r="E30" i="3"/>
  <c r="C39" i="3"/>
  <c r="C41" i="3" s="1"/>
  <c r="F40" i="3"/>
  <c r="F41" i="3" s="1"/>
  <c r="D44" i="3"/>
  <c r="D45" i="3"/>
  <c r="D46" i="3"/>
  <c r="E52" i="3"/>
  <c r="F52" i="3" s="1"/>
  <c r="F53" i="3"/>
  <c r="F54" i="3"/>
  <c r="D55" i="3"/>
  <c r="F56" i="3"/>
  <c r="D57" i="3"/>
  <c r="F57" i="3" s="1"/>
  <c r="F58" i="3"/>
  <c r="C63" i="3"/>
  <c r="C68" i="3"/>
  <c r="E38" i="3" s="1"/>
  <c r="C69" i="3"/>
  <c r="D38" i="3" s="1"/>
  <c r="D82" i="3"/>
  <c r="E82" i="3" s="1"/>
  <c r="F82" i="3" s="1"/>
  <c r="G82" i="3" s="1"/>
  <c r="H82" i="3" s="1"/>
  <c r="I82" i="3" s="1"/>
  <c r="J82" i="3" s="1"/>
  <c r="D90" i="3"/>
  <c r="E90" i="3" s="1"/>
  <c r="F90" i="3" s="1"/>
  <c r="C99" i="3"/>
  <c r="C101" i="3" s="1"/>
  <c r="C103" i="3" s="1"/>
  <c r="B107" i="3"/>
  <c r="C107" i="3"/>
  <c r="D107" i="3" s="1"/>
  <c r="E107" i="3" s="1"/>
  <c r="F107" i="3" s="1"/>
  <c r="D108" i="3"/>
  <c r="E108" i="3" s="1"/>
  <c r="F108" i="3" s="1"/>
  <c r="G108" i="3" s="1"/>
  <c r="C118" i="3"/>
  <c r="C120" i="3"/>
  <c r="D138" i="3"/>
  <c r="C143" i="3"/>
  <c r="C145" i="3" s="1"/>
  <c r="J344" i="3"/>
  <c r="J354" i="3" s="1"/>
  <c r="K344" i="3"/>
  <c r="K354" i="3" s="1"/>
  <c r="P344" i="3"/>
  <c r="P354" i="3" s="1"/>
  <c r="Q344" i="3"/>
  <c r="R344" i="3"/>
  <c r="S344" i="3"/>
  <c r="Q345" i="3"/>
  <c r="R345" i="3"/>
  <c r="S345" i="3"/>
  <c r="L346" i="3"/>
  <c r="Q350" i="3"/>
  <c r="R350" i="3" s="1"/>
  <c r="S350" i="3" s="1"/>
  <c r="I355" i="3"/>
  <c r="I356" i="3"/>
  <c r="J356" i="3"/>
  <c r="K356" i="3"/>
  <c r="L356" i="3"/>
  <c r="N356" i="3"/>
  <c r="O356" i="3"/>
  <c r="P356" i="3"/>
  <c r="I357" i="3"/>
  <c r="N359" i="3"/>
  <c r="O359" i="3"/>
  <c r="P359" i="3"/>
  <c r="N361" i="3"/>
  <c r="O361" i="3"/>
  <c r="P361" i="3"/>
  <c r="O367" i="3"/>
  <c r="D533" i="3"/>
  <c r="E533" i="3" s="1"/>
  <c r="O575" i="3"/>
  <c r="O576" i="3"/>
  <c r="O578" i="3"/>
  <c r="O579" i="3"/>
  <c r="O580" i="3"/>
  <c r="O581" i="3"/>
  <c r="O582" i="3"/>
  <c r="O583" i="3"/>
  <c r="O585" i="3"/>
  <c r="N586" i="3"/>
  <c r="O586" i="3"/>
  <c r="O587" i="3"/>
  <c r="N588" i="3"/>
  <c r="O588" i="3"/>
  <c r="N589" i="3"/>
  <c r="O589" i="3"/>
  <c r="I678" i="3"/>
  <c r="I679" i="3"/>
  <c r="I680" i="3"/>
  <c r="I681" i="3"/>
  <c r="I682" i="3"/>
  <c r="D715" i="3"/>
  <c r="B717" i="3"/>
  <c r="E779" i="3"/>
  <c r="H779" i="3"/>
  <c r="K779" i="3"/>
  <c r="E781" i="3"/>
  <c r="C798" i="3"/>
  <c r="C814" i="3" s="1"/>
  <c r="C800" i="3"/>
  <c r="C801" i="3" s="1"/>
  <c r="C802" i="3" s="1"/>
  <c r="D804" i="3"/>
  <c r="E804" i="3" s="1"/>
  <c r="C811" i="3"/>
  <c r="C812" i="3" s="1"/>
  <c r="C824" i="3"/>
  <c r="G824" i="3" s="1"/>
  <c r="D824" i="3"/>
  <c r="H824" i="3" s="1"/>
  <c r="E824" i="3"/>
  <c r="I824" i="3" s="1"/>
  <c r="J824" i="3"/>
  <c r="B825" i="3"/>
  <c r="C825" i="3"/>
  <c r="D825" i="3"/>
  <c r="E825" i="3"/>
  <c r="F825" i="3"/>
  <c r="G825" i="3"/>
  <c r="H825" i="3"/>
  <c r="I825" i="3"/>
  <c r="J825" i="3"/>
  <c r="B826" i="3"/>
  <c r="C826" i="3"/>
  <c r="D826" i="3"/>
  <c r="E826" i="3"/>
  <c r="F826" i="3"/>
  <c r="G826" i="3"/>
  <c r="H826" i="3"/>
  <c r="I826" i="3"/>
  <c r="J826" i="3"/>
  <c r="B827" i="3"/>
  <c r="C827" i="3"/>
  <c r="D827" i="3"/>
  <c r="E827" i="3"/>
  <c r="F827" i="3"/>
  <c r="G827" i="3"/>
  <c r="H827" i="3"/>
  <c r="I827" i="3"/>
  <c r="J827" i="3"/>
  <c r="B828" i="3"/>
  <c r="C828" i="3"/>
  <c r="D828" i="3"/>
  <c r="E828" i="3"/>
  <c r="F828" i="3"/>
  <c r="G828" i="3"/>
  <c r="H828" i="3"/>
  <c r="I828" i="3"/>
  <c r="J828" i="3"/>
  <c r="B829" i="3"/>
  <c r="C829" i="3"/>
  <c r="D829" i="3"/>
  <c r="E829" i="3"/>
  <c r="F829" i="3"/>
  <c r="G829" i="3"/>
  <c r="H829" i="3"/>
  <c r="I829" i="3"/>
  <c r="J829" i="3"/>
  <c r="C831" i="3"/>
  <c r="H831" i="3" s="1"/>
  <c r="D831" i="3"/>
  <c r="I831" i="3" s="1"/>
  <c r="E831" i="3"/>
  <c r="J831" i="3" s="1"/>
  <c r="F831" i="3"/>
  <c r="K831" i="3" s="1"/>
  <c r="B832" i="3"/>
  <c r="C832" i="3"/>
  <c r="D832" i="3"/>
  <c r="E832" i="3"/>
  <c r="F832" i="3"/>
  <c r="G832" i="3"/>
  <c r="H832" i="3"/>
  <c r="I832" i="3"/>
  <c r="J832" i="3"/>
  <c r="K832" i="3"/>
  <c r="B833" i="3"/>
  <c r="C833" i="3"/>
  <c r="D833" i="3"/>
  <c r="E833" i="3"/>
  <c r="F833" i="3"/>
  <c r="G833" i="3"/>
  <c r="H833" i="3"/>
  <c r="I833" i="3"/>
  <c r="J833" i="3"/>
  <c r="K833" i="3"/>
  <c r="B834" i="3"/>
  <c r="C834" i="3"/>
  <c r="D834" i="3"/>
  <c r="E834" i="3"/>
  <c r="F834" i="3"/>
  <c r="G836" i="3"/>
  <c r="F836" i="3" s="1"/>
  <c r="E836" i="3" s="1"/>
  <c r="D836" i="3" s="1"/>
  <c r="I836" i="3"/>
  <c r="J836" i="3" s="1"/>
  <c r="K836" i="3" s="1"/>
  <c r="L836" i="3" s="1"/>
  <c r="M836" i="3" s="1"/>
  <c r="N836" i="3" s="1"/>
  <c r="O836" i="3" s="1"/>
  <c r="P836" i="3" s="1"/>
  <c r="D845" i="3"/>
  <c r="G853" i="3" s="1"/>
  <c r="F853" i="3" s="1"/>
  <c r="E853" i="3" s="1"/>
  <c r="D853" i="3" s="1"/>
  <c r="E845" i="3"/>
  <c r="K853" i="3" s="1"/>
  <c r="J853" i="3" s="1"/>
  <c r="I853" i="3" s="1"/>
  <c r="H853" i="3" s="1"/>
  <c r="F845" i="3"/>
  <c r="Q853" i="3" s="1"/>
  <c r="P853" i="3" s="1"/>
  <c r="O853" i="3" s="1"/>
  <c r="N853" i="3" s="1"/>
  <c r="M853" i="3" s="1"/>
  <c r="L853" i="3" s="1"/>
  <c r="G845" i="3"/>
  <c r="S853" i="3" s="1"/>
  <c r="R853" i="3" s="1"/>
  <c r="H845" i="3"/>
  <c r="T853" i="3" s="1"/>
  <c r="I845" i="3"/>
  <c r="U853" i="3" s="1"/>
  <c r="F848" i="3"/>
  <c r="E848" i="3" s="1"/>
  <c r="D848" i="3" s="1"/>
  <c r="H848" i="3"/>
  <c r="I848" i="3" s="1"/>
  <c r="J848" i="3" s="1"/>
  <c r="K848" i="3" s="1"/>
  <c r="L848" i="3" s="1"/>
  <c r="M848" i="3" s="1"/>
  <c r="N848" i="3" s="1"/>
  <c r="O848" i="3" s="1"/>
  <c r="P848" i="3" s="1"/>
  <c r="Q848" i="3" s="1"/>
  <c r="R848" i="3" s="1"/>
  <c r="S848" i="3" s="1"/>
  <c r="T848" i="3" s="1"/>
  <c r="U848" i="3" s="1"/>
  <c r="V848" i="3" s="1"/>
  <c r="W848" i="3" s="1"/>
  <c r="F849" i="3"/>
  <c r="E849" i="3" s="1"/>
  <c r="D849" i="3" s="1"/>
  <c r="I849" i="3"/>
  <c r="H849" i="3" s="1"/>
  <c r="G849" i="3" s="1"/>
  <c r="O849" i="3"/>
  <c r="N849" i="3" s="1"/>
  <c r="M849" i="3" s="1"/>
  <c r="L849" i="3" s="1"/>
  <c r="K849" i="3" s="1"/>
  <c r="J849" i="3" s="1"/>
  <c r="R849" i="3"/>
  <c r="Q849" i="3" s="1"/>
  <c r="P849" i="3" s="1"/>
  <c r="T849" i="3"/>
  <c r="S849" i="3" s="1"/>
  <c r="U849" i="3"/>
  <c r="F850" i="3"/>
  <c r="E850" i="3" s="1"/>
  <c r="D850" i="3" s="1"/>
  <c r="G850" i="3"/>
  <c r="H850" i="3"/>
  <c r="I850" i="3"/>
  <c r="J850" i="3"/>
  <c r="K850" i="3"/>
  <c r="M851" i="3"/>
  <c r="L851" i="3" s="1"/>
  <c r="K851" i="3" s="1"/>
  <c r="J851" i="3" s="1"/>
  <c r="I851" i="3" s="1"/>
  <c r="H851" i="3" s="1"/>
  <c r="G851" i="3" s="1"/>
  <c r="F851" i="3" s="1"/>
  <c r="E851" i="3" s="1"/>
  <c r="D851" i="3" s="1"/>
  <c r="N851" i="3"/>
  <c r="O851" i="3"/>
  <c r="Q851" i="3"/>
  <c r="P851" i="3" s="1"/>
  <c r="R851" i="3"/>
  <c r="O604" i="22"/>
  <c r="P604" i="22"/>
  <c r="F2" i="15"/>
  <c r="G2" i="15" s="1"/>
  <c r="H2" i="15" s="1"/>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Q11" i="15"/>
  <c r="R11" i="15"/>
  <c r="S11" i="15"/>
  <c r="T11" i="15"/>
  <c r="U11" i="15"/>
  <c r="V11" i="15"/>
  <c r="W11" i="15"/>
  <c r="F17" i="15"/>
  <c r="G17" i="15" s="1"/>
  <c r="H17" i="15" s="1"/>
  <c r="I17" i="15" s="1"/>
  <c r="J17" i="15" s="1"/>
  <c r="K17" i="15" s="1"/>
  <c r="L17" i="15" s="1"/>
  <c r="M17" i="15" s="1"/>
  <c r="N17" i="15" s="1"/>
  <c r="O17" i="15" s="1"/>
  <c r="P17" i="15" s="1"/>
  <c r="Q17" i="15" s="1"/>
  <c r="R17" i="15" s="1"/>
  <c r="S17" i="15" s="1"/>
  <c r="T17" i="15" s="1"/>
  <c r="U17" i="15" s="1"/>
  <c r="V17" i="15" s="1"/>
  <c r="W17" i="15" s="1"/>
  <c r="X17" i="15" s="1"/>
  <c r="Y17" i="15" s="1"/>
  <c r="Z17" i="15" s="1"/>
  <c r="AA17" i="15" s="1"/>
  <c r="AB17" i="15" s="1"/>
  <c r="AC17" i="15" s="1"/>
  <c r="AD17" i="15" s="1"/>
  <c r="AE17" i="15" s="1"/>
  <c r="AF17" i="15" s="1"/>
  <c r="AG17" i="15" s="1"/>
  <c r="AH17" i="15" s="1"/>
  <c r="AI17" i="15" s="1"/>
  <c r="P18" i="15"/>
  <c r="Q18" i="15"/>
  <c r="R18" i="15"/>
  <c r="H22" i="15"/>
  <c r="L22" i="15"/>
  <c r="L88" i="15" s="1"/>
  <c r="M22" i="15"/>
  <c r="M88" i="15" s="1"/>
  <c r="N22" i="15"/>
  <c r="N88" i="15" s="1"/>
  <c r="O22" i="15"/>
  <c r="O88" i="15" s="1"/>
  <c r="H27" i="15"/>
  <c r="I27" i="15"/>
  <c r="K27" i="15"/>
  <c r="L27" i="15"/>
  <c r="M27" i="15"/>
  <c r="N27" i="15"/>
  <c r="O27" i="15"/>
  <c r="P27" i="15"/>
  <c r="Q27" i="15"/>
  <c r="R27" i="15"/>
  <c r="S27" i="15"/>
  <c r="T27" i="15"/>
  <c r="U27" i="15"/>
  <c r="V27" i="15"/>
  <c r="W27" i="15"/>
  <c r="F73" i="15"/>
  <c r="G73" i="15" s="1"/>
  <c r="H73" i="15" s="1"/>
  <c r="I73" i="15" s="1"/>
  <c r="J73" i="15" s="1"/>
  <c r="K73" i="15" s="1"/>
  <c r="L73" i="15" s="1"/>
  <c r="M73" i="15" s="1"/>
  <c r="N73" i="15" s="1"/>
  <c r="O73" i="15" s="1"/>
  <c r="P73" i="15" s="1"/>
  <c r="Q73" i="15" s="1"/>
  <c r="R73" i="15" s="1"/>
  <c r="S73" i="15" s="1"/>
  <c r="T73" i="15" s="1"/>
  <c r="U73" i="15" s="1"/>
  <c r="V73" i="15" s="1"/>
  <c r="W73" i="15" s="1"/>
  <c r="X73" i="15" s="1"/>
  <c r="Y73" i="15" s="1"/>
  <c r="Z73" i="15" s="1"/>
  <c r="AA73" i="15" s="1"/>
  <c r="AB73" i="15" s="1"/>
  <c r="AC73" i="15" s="1"/>
  <c r="AD73" i="15" s="1"/>
  <c r="AE73" i="15" s="1"/>
  <c r="AF73" i="15" s="1"/>
  <c r="AG73" i="15" s="1"/>
  <c r="AH73" i="15" s="1"/>
  <c r="AI73" i="15" s="1"/>
  <c r="K78" i="15"/>
  <c r="L78" i="15"/>
  <c r="M78" i="15"/>
  <c r="U86" i="15"/>
  <c r="V86" i="15"/>
  <c r="W86" i="15"/>
  <c r="X86" i="15"/>
  <c r="Y86" i="15"/>
  <c r="Z86" i="15"/>
  <c r="AA86" i="15"/>
  <c r="AB86" i="15"/>
  <c r="AC86" i="15"/>
  <c r="F111" i="15"/>
  <c r="G111" i="15" s="1"/>
  <c r="H111" i="15" s="1"/>
  <c r="I111" i="15" s="1"/>
  <c r="J111" i="15" s="1"/>
  <c r="K111" i="15" s="1"/>
  <c r="L111" i="15" s="1"/>
  <c r="M111" i="15" s="1"/>
  <c r="N111" i="15" s="1"/>
  <c r="O111" i="15" s="1"/>
  <c r="P111" i="15" s="1"/>
  <c r="Q111" i="15" s="1"/>
  <c r="R111" i="15" s="1"/>
  <c r="S111" i="15" s="1"/>
  <c r="T111" i="15" s="1"/>
  <c r="U111" i="15" s="1"/>
  <c r="V111" i="15" s="1"/>
  <c r="W111" i="15" s="1"/>
  <c r="X111" i="15" s="1"/>
  <c r="Y111" i="15" s="1"/>
  <c r="Z111" i="15" s="1"/>
  <c r="AA111" i="15" s="1"/>
  <c r="AB111" i="15" s="1"/>
  <c r="AC111" i="15" s="1"/>
  <c r="AD111" i="15" s="1"/>
  <c r="AE111" i="15" s="1"/>
  <c r="AF111" i="15" s="1"/>
  <c r="AG111" i="15" s="1"/>
  <c r="AH111" i="15" s="1"/>
  <c r="AI111" i="15" s="1"/>
  <c r="I120" i="15"/>
  <c r="J120" i="15"/>
  <c r="K120" i="15"/>
  <c r="L120" i="15"/>
  <c r="M120" i="15"/>
  <c r="N120" i="15"/>
  <c r="F124" i="15"/>
  <c r="G124" i="15" s="1"/>
  <c r="H124" i="15" s="1"/>
  <c r="I124" i="15" s="1"/>
  <c r="J124" i="15" s="1"/>
  <c r="K124" i="15" s="1"/>
  <c r="L124" i="15" s="1"/>
  <c r="M124" i="15" s="1"/>
  <c r="N124" i="15" s="1"/>
  <c r="O124" i="15" s="1"/>
  <c r="P124" i="15" s="1"/>
  <c r="Q124" i="15" s="1"/>
  <c r="R124" i="15" s="1"/>
  <c r="S124" i="15" s="1"/>
  <c r="T124" i="15" s="1"/>
  <c r="U124" i="15" s="1"/>
  <c r="V124" i="15" s="1"/>
  <c r="W124" i="15" s="1"/>
  <c r="X124" i="15" s="1"/>
  <c r="Y124" i="15" s="1"/>
  <c r="Z124" i="15" s="1"/>
  <c r="AA124" i="15" s="1"/>
  <c r="AB124" i="15" s="1"/>
  <c r="AC124" i="15" s="1"/>
  <c r="AD124" i="15" s="1"/>
  <c r="AE124" i="15" s="1"/>
  <c r="AF124" i="15" s="1"/>
  <c r="AG124" i="15" s="1"/>
  <c r="AH124" i="15" s="1"/>
  <c r="AI124" i="15" s="1"/>
  <c r="F132" i="15"/>
  <c r="G132" i="15" s="1"/>
  <c r="H132" i="15" s="1"/>
  <c r="I132" i="15" s="1"/>
  <c r="J132" i="15" s="1"/>
  <c r="K132" i="15" s="1"/>
  <c r="L132" i="15" s="1"/>
  <c r="M132" i="15" s="1"/>
  <c r="N132" i="15" s="1"/>
  <c r="O132" i="15" s="1"/>
  <c r="P132" i="15" s="1"/>
  <c r="Q132" i="15" s="1"/>
  <c r="R132" i="15" s="1"/>
  <c r="S132" i="15" s="1"/>
  <c r="T132" i="15" s="1"/>
  <c r="U132" i="15" s="1"/>
  <c r="V132" i="15" s="1"/>
  <c r="W132" i="15" s="1"/>
  <c r="X132" i="15" s="1"/>
  <c r="Y132" i="15" s="1"/>
  <c r="Z132" i="15" s="1"/>
  <c r="AA132" i="15" s="1"/>
  <c r="AB132" i="15" s="1"/>
  <c r="AC132" i="15" s="1"/>
  <c r="AD132" i="15" s="1"/>
  <c r="AE132" i="15" s="1"/>
  <c r="AF132" i="15" s="1"/>
  <c r="AG132" i="15" s="1"/>
  <c r="AH132" i="15" s="1"/>
  <c r="AI132" i="15" s="1"/>
  <c r="B142" i="15"/>
  <c r="B143" i="15"/>
  <c r="B144" i="15"/>
  <c r="B145" i="15"/>
  <c r="Z145" i="15"/>
  <c r="AA145" i="15"/>
  <c r="AB145" i="15"/>
  <c r="AC145" i="15"/>
  <c r="B150" i="15"/>
  <c r="B151" i="15"/>
  <c r="B152" i="15"/>
  <c r="B153" i="15"/>
  <c r="B178" i="15"/>
  <c r="B179" i="15"/>
  <c r="B180" i="15"/>
  <c r="B181" i="15"/>
  <c r="B182" i="15"/>
  <c r="B183" i="15"/>
  <c r="C183" i="15"/>
  <c r="D183" i="15"/>
  <c r="E183" i="15"/>
  <c r="G228" i="15"/>
  <c r="H228" i="15"/>
  <c r="I228" i="15"/>
  <c r="J228" i="15"/>
  <c r="K228" i="15"/>
  <c r="L228" i="15"/>
  <c r="K229" i="15"/>
  <c r="L229" i="15"/>
  <c r="M229" i="15"/>
  <c r="N229" i="15"/>
  <c r="R229" i="15"/>
  <c r="S229" i="15"/>
  <c r="T229" i="15"/>
  <c r="L230" i="15"/>
  <c r="M230" i="15"/>
  <c r="N230" i="15"/>
  <c r="O230" i="15"/>
  <c r="P230" i="15"/>
  <c r="Q230" i="15"/>
  <c r="R230" i="15"/>
  <c r="S230" i="15"/>
  <c r="H246" i="15"/>
  <c r="I246" i="15"/>
  <c r="J246" i="15"/>
  <c r="K246" i="15"/>
  <c r="L246" i="15"/>
  <c r="M246" i="15"/>
  <c r="N246" i="15"/>
  <c r="O246" i="15"/>
  <c r="P246" i="15"/>
  <c r="Q246" i="15"/>
  <c r="R246" i="15"/>
  <c r="S246" i="15"/>
  <c r="T246" i="15"/>
  <c r="U246" i="15"/>
  <c r="V246" i="15"/>
  <c r="W246" i="15"/>
  <c r="G251" i="15"/>
  <c r="H251" i="15"/>
  <c r="I251" i="15"/>
  <c r="J251" i="15"/>
  <c r="K251" i="15"/>
  <c r="L251" i="15"/>
  <c r="K252" i="15"/>
  <c r="L252" i="15"/>
  <c r="M252" i="15"/>
  <c r="N252" i="15"/>
  <c r="R252" i="15"/>
  <c r="S252" i="15"/>
  <c r="T252" i="15"/>
  <c r="L253" i="15"/>
  <c r="M253" i="15"/>
  <c r="N253" i="15"/>
  <c r="O253" i="15"/>
  <c r="P253" i="15"/>
  <c r="Q253" i="15"/>
  <c r="R253" i="15"/>
  <c r="S253" i="15"/>
  <c r="T253" i="15"/>
  <c r="U253" i="15"/>
  <c r="V253" i="15"/>
  <c r="W253" i="15"/>
  <c r="H269" i="15"/>
  <c r="I269" i="15"/>
  <c r="J269" i="15"/>
  <c r="K269" i="15"/>
  <c r="L269" i="15"/>
  <c r="M269" i="15"/>
  <c r="N269" i="15"/>
  <c r="O269" i="15"/>
  <c r="P269" i="15"/>
  <c r="Q269" i="15"/>
  <c r="R269" i="15"/>
  <c r="S269" i="15"/>
  <c r="V269" i="15"/>
  <c r="W269" i="15"/>
  <c r="F274" i="15"/>
  <c r="G274" i="15"/>
  <c r="H274" i="15"/>
  <c r="I274" i="15"/>
  <c r="J274" i="15"/>
  <c r="K274" i="15"/>
  <c r="T274" i="15"/>
  <c r="U274" i="15"/>
  <c r="V274" i="15"/>
  <c r="W274" i="15"/>
  <c r="K275" i="15"/>
  <c r="L275" i="15"/>
  <c r="M275" i="15"/>
  <c r="N275" i="15"/>
  <c r="R275" i="15"/>
  <c r="S275" i="15"/>
  <c r="T275" i="15"/>
  <c r="L276" i="15"/>
  <c r="M276" i="15"/>
  <c r="N276" i="15"/>
  <c r="O276" i="15"/>
  <c r="P276" i="15"/>
  <c r="Q276" i="15"/>
  <c r="R276" i="15"/>
  <c r="S276" i="15"/>
  <c r="T276" i="15"/>
  <c r="U276" i="15"/>
  <c r="V276" i="15"/>
  <c r="W276" i="15"/>
  <c r="H292" i="15"/>
  <c r="I292" i="15"/>
  <c r="J292" i="15"/>
  <c r="K292" i="15"/>
  <c r="L292" i="15"/>
  <c r="M292" i="15"/>
  <c r="N292" i="15"/>
  <c r="O292" i="15"/>
  <c r="P292" i="15"/>
  <c r="Q292" i="15"/>
  <c r="R292" i="15"/>
  <c r="S292" i="15"/>
  <c r="V292" i="15"/>
  <c r="W292" i="15"/>
  <c r="K297" i="15"/>
  <c r="K298" i="15"/>
  <c r="L298" i="15"/>
  <c r="M298" i="15"/>
  <c r="N298" i="15"/>
  <c r="R298" i="15"/>
  <c r="S298" i="15"/>
  <c r="T298" i="15"/>
  <c r="U298" i="15"/>
  <c r="V299" i="15"/>
  <c r="M301" i="15"/>
  <c r="O301" i="15"/>
  <c r="P301" i="15"/>
  <c r="Q301" i="15"/>
  <c r="R301" i="15"/>
  <c r="S301" i="15"/>
  <c r="K315" i="15"/>
  <c r="L315" i="15"/>
  <c r="M315" i="15"/>
  <c r="N315" i="15"/>
  <c r="O315" i="15"/>
  <c r="P315" i="15"/>
  <c r="Q315" i="15"/>
  <c r="R315" i="15"/>
  <c r="S315" i="15"/>
  <c r="T315" i="15"/>
  <c r="U315" i="15"/>
  <c r="V315" i="15"/>
  <c r="W315" i="15"/>
  <c r="T316" i="15"/>
  <c r="U316" i="15"/>
  <c r="V316" i="15"/>
  <c r="W316" i="15"/>
  <c r="G320" i="15"/>
  <c r="H320" i="15"/>
  <c r="I320" i="15"/>
  <c r="J320" i="15"/>
  <c r="K320" i="15"/>
  <c r="L320" i="15"/>
  <c r="L321" i="15"/>
  <c r="M321" i="15"/>
  <c r="N321" i="15"/>
  <c r="R321" i="15"/>
  <c r="S321" i="15"/>
  <c r="T321" i="15"/>
  <c r="G322" i="15"/>
  <c r="H322" i="15"/>
  <c r="I322" i="15"/>
  <c r="L322" i="15"/>
  <c r="M322" i="15"/>
  <c r="N322" i="15"/>
  <c r="O322" i="15"/>
  <c r="P322" i="15"/>
  <c r="Q322" i="15"/>
  <c r="R322" i="15"/>
  <c r="S322" i="15"/>
  <c r="T322" i="15"/>
  <c r="U322" i="15"/>
  <c r="V322" i="15"/>
  <c r="W322" i="15"/>
  <c r="H338" i="15"/>
  <c r="I338" i="15"/>
  <c r="J338" i="15"/>
  <c r="K338" i="15"/>
  <c r="L338" i="15"/>
  <c r="M338" i="15"/>
  <c r="N338" i="15"/>
  <c r="O338" i="15"/>
  <c r="P338" i="15"/>
  <c r="Q338" i="15"/>
  <c r="R338" i="15"/>
  <c r="S338" i="15"/>
  <c r="T338" i="15"/>
  <c r="V338" i="15"/>
  <c r="W338" i="15"/>
  <c r="G343" i="15"/>
  <c r="H343" i="15"/>
  <c r="I343" i="15"/>
  <c r="J343" i="15"/>
  <c r="K343" i="15"/>
  <c r="L343" i="15"/>
  <c r="L344" i="15"/>
  <c r="M344" i="15"/>
  <c r="N344" i="15"/>
  <c r="R344" i="15"/>
  <c r="S344" i="15"/>
  <c r="T344" i="15"/>
  <c r="G345" i="15"/>
  <c r="H345" i="15"/>
  <c r="I345" i="15"/>
  <c r="L345" i="15"/>
  <c r="M345" i="15"/>
  <c r="N345" i="15"/>
  <c r="O345" i="15"/>
  <c r="P345" i="15"/>
  <c r="Q345" i="15"/>
  <c r="R345" i="15"/>
  <c r="S345" i="15"/>
  <c r="T345" i="15"/>
  <c r="U345" i="15"/>
  <c r="V345" i="15"/>
  <c r="W345" i="15"/>
  <c r="H361" i="15"/>
  <c r="I361" i="15"/>
  <c r="J361" i="15"/>
  <c r="K361" i="15"/>
  <c r="L361" i="15"/>
  <c r="M361" i="15"/>
  <c r="N361" i="15"/>
  <c r="O361" i="15"/>
  <c r="P361" i="15"/>
  <c r="Q361" i="15"/>
  <c r="R361" i="15"/>
  <c r="S361" i="15"/>
  <c r="U361" i="15"/>
  <c r="V361" i="15"/>
  <c r="W361" i="15"/>
  <c r="G366" i="15"/>
  <c r="H366" i="15"/>
  <c r="I366" i="15"/>
  <c r="J366" i="15"/>
  <c r="K366" i="15"/>
  <c r="L366" i="15"/>
  <c r="L367" i="15"/>
  <c r="M367" i="15"/>
  <c r="N367" i="15"/>
  <c r="R367" i="15"/>
  <c r="S367" i="15"/>
  <c r="T367" i="15"/>
  <c r="G368" i="15"/>
  <c r="H368" i="15"/>
  <c r="I368" i="15"/>
  <c r="L368" i="15"/>
  <c r="M368" i="15"/>
  <c r="N368" i="15"/>
  <c r="O368" i="15"/>
  <c r="P368" i="15"/>
  <c r="Q368" i="15"/>
  <c r="R368" i="15"/>
  <c r="S368" i="15"/>
  <c r="G389" i="15"/>
  <c r="H389" i="15"/>
  <c r="I389" i="15"/>
  <c r="J389" i="15"/>
  <c r="K389" i="15"/>
  <c r="L389" i="15"/>
  <c r="L390" i="15"/>
  <c r="M390" i="15"/>
  <c r="N390" i="15"/>
  <c r="R390" i="15"/>
  <c r="S390" i="15"/>
  <c r="T390" i="15"/>
  <c r="U390" i="15"/>
  <c r="V390" i="15"/>
  <c r="W390" i="15"/>
  <c r="G391" i="15"/>
  <c r="H391" i="15"/>
  <c r="I391" i="15"/>
  <c r="L391" i="15"/>
  <c r="M391" i="15"/>
  <c r="N391" i="15"/>
  <c r="O391" i="15"/>
  <c r="P391" i="15"/>
  <c r="Q391" i="15"/>
  <c r="R391" i="15"/>
  <c r="S391" i="15"/>
  <c r="T391" i="15"/>
  <c r="U391" i="15"/>
  <c r="V391" i="15"/>
  <c r="W391" i="15"/>
  <c r="G412" i="15"/>
  <c r="H412" i="15"/>
  <c r="I412" i="15"/>
  <c r="J412" i="15"/>
  <c r="K412" i="15"/>
  <c r="L412" i="15"/>
  <c r="L413" i="15"/>
  <c r="M413" i="15"/>
  <c r="N413" i="15"/>
  <c r="R413" i="15"/>
  <c r="S413" i="15"/>
  <c r="T413" i="15"/>
  <c r="G414" i="15"/>
  <c r="H414" i="15"/>
  <c r="I414" i="15"/>
  <c r="L414" i="15"/>
  <c r="M414" i="15"/>
  <c r="N414" i="15"/>
  <c r="O414" i="15"/>
  <c r="P414" i="15"/>
  <c r="Q414" i="15"/>
  <c r="R414" i="15"/>
  <c r="S414" i="15"/>
  <c r="T414" i="15"/>
  <c r="U414" i="15"/>
  <c r="V414" i="15"/>
  <c r="W414" i="15"/>
  <c r="G458" i="15"/>
  <c r="H458" i="15"/>
  <c r="I458" i="15"/>
  <c r="J458" i="15"/>
  <c r="K458" i="15"/>
  <c r="L458" i="15"/>
  <c r="L459" i="15"/>
  <c r="M459" i="15"/>
  <c r="N459" i="15"/>
  <c r="R459" i="15"/>
  <c r="S459" i="15"/>
  <c r="T459" i="15"/>
  <c r="G460" i="15"/>
  <c r="H460" i="15"/>
  <c r="I460" i="15"/>
  <c r="L460" i="15"/>
  <c r="M460" i="15"/>
  <c r="N460" i="15"/>
  <c r="O460" i="15"/>
  <c r="P460" i="15"/>
  <c r="Q460" i="15"/>
  <c r="R460" i="15"/>
  <c r="S460" i="15"/>
  <c r="T460" i="15"/>
  <c r="U460" i="15"/>
  <c r="V460" i="15"/>
  <c r="W460" i="15"/>
  <c r="G481" i="15"/>
  <c r="H481" i="15"/>
  <c r="I481" i="15"/>
  <c r="J481" i="15"/>
  <c r="K481" i="15"/>
  <c r="L481" i="15"/>
  <c r="L482" i="15"/>
  <c r="M482" i="15"/>
  <c r="N482" i="15"/>
  <c r="R482" i="15"/>
  <c r="S482" i="15"/>
  <c r="T482" i="15"/>
  <c r="L483" i="15"/>
  <c r="M483" i="15"/>
  <c r="N483" i="15"/>
  <c r="O483" i="15"/>
  <c r="P483" i="15"/>
  <c r="Q483" i="15"/>
  <c r="R483" i="15"/>
  <c r="S483" i="15"/>
  <c r="T483" i="15"/>
  <c r="U483" i="15"/>
  <c r="V483" i="15"/>
  <c r="W483" i="15"/>
  <c r="G504" i="15"/>
  <c r="H504" i="15"/>
  <c r="I504" i="15"/>
  <c r="J504" i="15"/>
  <c r="K504" i="15"/>
  <c r="L504" i="15"/>
  <c r="L505" i="15"/>
  <c r="M505" i="15"/>
  <c r="N505" i="15"/>
  <c r="R505" i="15"/>
  <c r="S505" i="15"/>
  <c r="T505" i="15"/>
  <c r="L506" i="15"/>
  <c r="M506" i="15"/>
  <c r="N506" i="15"/>
  <c r="O506" i="15"/>
  <c r="P506" i="15"/>
  <c r="Q506" i="15"/>
  <c r="R506" i="15"/>
  <c r="S506" i="15"/>
  <c r="T506" i="15"/>
  <c r="U506" i="15"/>
  <c r="V506" i="15"/>
  <c r="W506" i="15"/>
  <c r="D2" i="5"/>
  <c r="E2" i="5" s="1"/>
  <c r="F2" i="5" s="1"/>
  <c r="G2" i="5" s="1"/>
  <c r="H2" i="5" s="1"/>
  <c r="I2" i="5" s="1"/>
  <c r="J2" i="5" s="1"/>
  <c r="K2" i="5" s="1"/>
  <c r="L2" i="5" s="1"/>
  <c r="M2" i="5" s="1"/>
  <c r="N2" i="5" s="1"/>
  <c r="O2" i="5" s="1"/>
  <c r="P2" i="5" s="1"/>
  <c r="G5" i="5"/>
  <c r="G29" i="5" s="1"/>
  <c r="S205" i="22" s="1"/>
  <c r="I6" i="5"/>
  <c r="J6" i="5" s="1"/>
  <c r="K6" i="5" s="1"/>
  <c r="I7" i="5"/>
  <c r="J7" i="5" s="1"/>
  <c r="C10" i="5"/>
  <c r="D10" i="5"/>
  <c r="E10" i="5"/>
  <c r="F10" i="5"/>
  <c r="J13" i="5"/>
  <c r="K13" i="5" s="1"/>
  <c r="L13" i="5" s="1"/>
  <c r="M13" i="5" s="1"/>
  <c r="N13" i="5" s="1"/>
  <c r="O13" i="5" s="1"/>
  <c r="P13" i="5" s="1"/>
  <c r="J14" i="5"/>
  <c r="K14" i="5" s="1"/>
  <c r="L14" i="5" s="1"/>
  <c r="M14" i="5" s="1"/>
  <c r="N14" i="5" s="1"/>
  <c r="O14" i="5" s="1"/>
  <c r="P14" i="5" s="1"/>
  <c r="J15" i="5"/>
  <c r="K15" i="5" s="1"/>
  <c r="L15" i="5" s="1"/>
  <c r="M15" i="5" s="1"/>
  <c r="N15" i="5" s="1"/>
  <c r="O15" i="5" s="1"/>
  <c r="G21" i="5"/>
  <c r="F22" i="5"/>
  <c r="G22" i="5"/>
  <c r="F23" i="5"/>
  <c r="G23" i="5"/>
  <c r="F29" i="5"/>
  <c r="F45" i="5" s="1"/>
  <c r="H29" i="5"/>
  <c r="T205" i="22" s="1"/>
  <c r="I29" i="5"/>
  <c r="Q29" i="5"/>
  <c r="F30" i="5"/>
  <c r="R203" i="22" s="1"/>
  <c r="G30" i="5"/>
  <c r="H30" i="5"/>
  <c r="I30" i="5"/>
  <c r="D78" i="5" s="1"/>
  <c r="F31" i="5"/>
  <c r="R204" i="22" s="1"/>
  <c r="G31" i="5"/>
  <c r="G47" i="5" s="1"/>
  <c r="H31" i="5"/>
  <c r="T204" i="22" s="1"/>
  <c r="I31" i="5"/>
  <c r="C38" i="5"/>
  <c r="C30" i="5" s="1"/>
  <c r="C14" i="5" s="1"/>
  <c r="D38" i="5"/>
  <c r="D30" i="5" s="1"/>
  <c r="D14" i="5" s="1"/>
  <c r="E22" i="5" s="1"/>
  <c r="E38" i="5"/>
  <c r="E30" i="5" s="1"/>
  <c r="F38" i="5"/>
  <c r="C39" i="5"/>
  <c r="C31" i="5" s="1"/>
  <c r="C15" i="5" s="1"/>
  <c r="D39" i="5"/>
  <c r="D31" i="5" s="1"/>
  <c r="D15" i="5" s="1"/>
  <c r="E23" i="5" s="1"/>
  <c r="E39" i="5"/>
  <c r="E31" i="5" s="1"/>
  <c r="F39" i="5"/>
  <c r="G42" i="5"/>
  <c r="F11" i="4" s="1"/>
  <c r="H42" i="5"/>
  <c r="G11" i="4" s="1"/>
  <c r="I42" i="5"/>
  <c r="D53" i="5"/>
  <c r="E53" i="5"/>
  <c r="F53" i="5"/>
  <c r="H53" i="5"/>
  <c r="G28" i="4" s="1"/>
  <c r="I53" i="5"/>
  <c r="Q56" i="5"/>
  <c r="D59" i="5"/>
  <c r="E59" i="5"/>
  <c r="F59" i="5"/>
  <c r="I59" i="5"/>
  <c r="H44" i="4" s="1"/>
  <c r="AG299" i="2" s="1"/>
  <c r="R62" i="5"/>
  <c r="R63" i="5"/>
  <c r="R64" i="5"/>
  <c r="J67" i="5"/>
  <c r="K67" i="5"/>
  <c r="L67" i="5"/>
  <c r="M67" i="5"/>
  <c r="N67" i="5"/>
  <c r="O67" i="5"/>
  <c r="P67" i="5"/>
  <c r="H69" i="5"/>
  <c r="I69" i="5"/>
  <c r="J69" i="5"/>
  <c r="K69" i="5"/>
  <c r="L69" i="5"/>
  <c r="M69" i="5"/>
  <c r="O69" i="5"/>
  <c r="P69" i="5"/>
  <c r="C76" i="5"/>
  <c r="C82" i="5" s="1"/>
  <c r="G76" i="5"/>
  <c r="G82" i="5" s="1"/>
  <c r="F79" i="5" s="1"/>
  <c r="C94" i="5"/>
  <c r="F1075" i="22"/>
  <c r="G1075" i="22"/>
  <c r="D1076" i="22"/>
  <c r="E1076" i="22"/>
  <c r="F1076" i="22"/>
  <c r="G1076" i="22"/>
  <c r="D1077" i="22"/>
  <c r="E1077" i="22"/>
  <c r="F1077" i="22"/>
  <c r="D1185" i="22"/>
  <c r="G1382" i="22"/>
  <c r="G1394" i="22" s="1"/>
  <c r="F1402" i="22" s="1"/>
  <c r="K67" i="22"/>
  <c r="J3649" i="22"/>
  <c r="J3648" i="22"/>
  <c r="BW329" i="38"/>
  <c r="J67" i="22"/>
  <c r="D4048" i="22"/>
  <c r="E4048" i="22"/>
  <c r="F4048" i="22"/>
  <c r="G4048" i="22"/>
  <c r="AJ535" i="38"/>
  <c r="X11" i="15"/>
  <c r="F284" i="25"/>
  <c r="F337" i="25"/>
  <c r="H2300" i="22"/>
  <c r="K145" i="37"/>
  <c r="D1848" i="22"/>
  <c r="H246" i="25"/>
  <c r="I246" i="25" s="1"/>
  <c r="J246" i="25" s="1"/>
  <c r="K246" i="25" s="1"/>
  <c r="F285" i="25"/>
  <c r="F1074" i="22"/>
  <c r="Q604" i="22"/>
  <c r="G4063" i="22"/>
  <c r="I4070" i="22"/>
  <c r="G4067" i="22"/>
  <c r="BX328" i="38"/>
  <c r="K143" i="37"/>
  <c r="K149" i="37"/>
  <c r="C4339" i="22"/>
  <c r="G4065" i="22"/>
  <c r="G4066" i="22"/>
  <c r="G4064" i="22"/>
  <c r="G4072" i="22"/>
  <c r="G4074" i="22"/>
  <c r="G4073" i="22"/>
  <c r="K3648" i="22"/>
  <c r="K3649" i="22"/>
  <c r="G4075" i="22"/>
  <c r="C4337" i="22"/>
  <c r="C4340" i="22"/>
  <c r="AH6" i="38"/>
  <c r="AH279" i="38" s="1"/>
  <c r="AI10" i="38"/>
  <c r="AI46" i="38" s="1"/>
  <c r="AI42" i="38" s="1"/>
  <c r="BX329" i="38"/>
  <c r="AJ467" i="38"/>
  <c r="X27" i="15"/>
  <c r="I3060" i="22"/>
  <c r="X78" i="15"/>
  <c r="C4487" i="22"/>
  <c r="K142" i="37"/>
  <c r="R604" i="22"/>
  <c r="F2356" i="22"/>
  <c r="H2356" i="22" s="1"/>
  <c r="F251" i="25"/>
  <c r="F296" i="25"/>
  <c r="F336" i="25"/>
  <c r="F317" i="25"/>
  <c r="F306" i="25"/>
  <c r="F308" i="25"/>
  <c r="S227" i="19"/>
  <c r="T227" i="19" s="1"/>
  <c r="U227" i="19" s="1"/>
  <c r="V227" i="19" s="1"/>
  <c r="W227" i="19" s="1"/>
  <c r="F4406" i="22"/>
  <c r="G337" i="25"/>
  <c r="H323" i="25"/>
  <c r="G4406" i="22" s="1"/>
  <c r="G4421" i="22" s="1"/>
  <c r="G4452" i="22" s="1"/>
  <c r="J175" i="27"/>
  <c r="E2207" i="22"/>
  <c r="E2206" i="22"/>
  <c r="J167" i="27"/>
  <c r="I2300" i="22"/>
  <c r="M316" i="15"/>
  <c r="Y13" i="15"/>
  <c r="AB19" i="12"/>
  <c r="S268" i="19"/>
  <c r="T268" i="19" s="1"/>
  <c r="U268" i="19" s="1"/>
  <c r="V268" i="19" s="1"/>
  <c r="W268" i="19" s="1"/>
  <c r="AB20" i="12"/>
  <c r="L316" i="15"/>
  <c r="N316" i="15"/>
  <c r="Q15" i="5"/>
  <c r="O316" i="15"/>
  <c r="AC15" i="11"/>
  <c r="AB16" i="12"/>
  <c r="Q14" i="5"/>
  <c r="AB17" i="12"/>
  <c r="I167" i="27"/>
  <c r="D1074" i="22"/>
  <c r="AC14" i="11"/>
  <c r="AF14" i="10"/>
  <c r="E1074" i="22"/>
  <c r="AF15" i="10"/>
  <c r="AY269" i="38"/>
  <c r="K138" i="37"/>
  <c r="K155" i="37"/>
  <c r="AY264" i="38"/>
  <c r="AY290" i="38" s="1"/>
  <c r="L173" i="37" s="1"/>
  <c r="L261" i="37" s="1"/>
  <c r="K150" i="37"/>
  <c r="AF16" i="10"/>
  <c r="K316" i="15"/>
  <c r="AB18" i="12"/>
  <c r="AB21" i="12"/>
  <c r="P316" i="15"/>
  <c r="Q316" i="15"/>
  <c r="R316" i="15"/>
  <c r="S316" i="15"/>
  <c r="D1183" i="22"/>
  <c r="D1184" i="22"/>
  <c r="G1077" i="22"/>
  <c r="D1075" i="22"/>
  <c r="E1075" i="22"/>
  <c r="H4063" i="22"/>
  <c r="Q35" i="19"/>
  <c r="Q215" i="19"/>
  <c r="AO11" i="38"/>
  <c r="AK14" i="37"/>
  <c r="J95" i="37"/>
  <c r="C4269" i="22"/>
  <c r="AK282" i="37"/>
  <c r="J335" i="37"/>
  <c r="K95" i="37"/>
  <c r="K335" i="37"/>
  <c r="L95" i="37"/>
  <c r="L335" i="37"/>
  <c r="M95" i="37"/>
  <c r="Y11" i="15"/>
  <c r="H4075" i="22"/>
  <c r="N95" i="37"/>
  <c r="O95" i="37"/>
  <c r="S43" i="19"/>
  <c r="T43" i="19" s="1"/>
  <c r="U43" i="19" s="1"/>
  <c r="F4399" i="22"/>
  <c r="Q53" i="19"/>
  <c r="AK188" i="38"/>
  <c r="K4068" i="22"/>
  <c r="L145" i="37"/>
  <c r="K4070" i="22"/>
  <c r="J4070" i="22"/>
  <c r="K147" i="37"/>
  <c r="I4063" i="22"/>
  <c r="D4603" i="22"/>
  <c r="M3990" i="22"/>
  <c r="M3986" i="22"/>
  <c r="Q37" i="19"/>
  <c r="S36" i="19"/>
  <c r="S34" i="19" s="1"/>
  <c r="S35" i="19" s="1"/>
  <c r="I4075" i="22"/>
  <c r="D4604" i="22"/>
  <c r="D4573" i="22"/>
  <c r="D4574" i="22" s="1"/>
  <c r="I3062" i="22"/>
  <c r="I3063" i="22"/>
  <c r="P310" i="19"/>
  <c r="AT260" i="38"/>
  <c r="AT252" i="38"/>
  <c r="AT253" i="38"/>
  <c r="AT303" i="38" s="1"/>
  <c r="K186" i="37" s="1"/>
  <c r="L328" i="37"/>
  <c r="R37" i="19"/>
  <c r="R35" i="19"/>
  <c r="R53" i="19"/>
  <c r="R215" i="19"/>
  <c r="Y20" i="15"/>
  <c r="J4063" i="22"/>
  <c r="E4603" i="22"/>
  <c r="E4604" i="22"/>
  <c r="E4573" i="22"/>
  <c r="E4574" i="22" s="1"/>
  <c r="F4712" i="22"/>
  <c r="J4075" i="22"/>
  <c r="F4710" i="22"/>
  <c r="F4711" i="22" s="1"/>
  <c r="AT261" i="38"/>
  <c r="AT404" i="38" s="1"/>
  <c r="M150" i="37"/>
  <c r="K4069" i="22"/>
  <c r="F4603" i="22"/>
  <c r="K4063" i="22"/>
  <c r="K4065" i="22"/>
  <c r="K4066" i="22"/>
  <c r="K4074" i="22"/>
  <c r="AO353" i="38"/>
  <c r="J4671" i="22"/>
  <c r="J4668" i="22"/>
  <c r="J4673" i="22"/>
  <c r="K4064" i="22"/>
  <c r="J4667" i="22"/>
  <c r="K4072" i="22"/>
  <c r="J4669" i="22"/>
  <c r="K4067" i="22"/>
  <c r="Y21" i="15"/>
  <c r="J4676" i="22"/>
  <c r="J4666" i="22"/>
  <c r="J4674" i="22"/>
  <c r="J4670" i="22"/>
  <c r="G4710" i="22"/>
  <c r="G4711" i="22" s="1"/>
  <c r="J4675" i="22"/>
  <c r="K4073" i="22"/>
  <c r="K4075" i="22"/>
  <c r="F4573" i="22"/>
  <c r="F4574" i="22" s="1"/>
  <c r="F4604" i="22"/>
  <c r="G4712" i="22"/>
  <c r="E676" i="22"/>
  <c r="E677" i="22"/>
  <c r="E678" i="22"/>
  <c r="E1386" i="22"/>
  <c r="F1386" i="22"/>
  <c r="D1404" i="22"/>
  <c r="I34" i="37"/>
  <c r="J34" i="37"/>
  <c r="Y137" i="15" s="1"/>
  <c r="AO455" i="38"/>
  <c r="AO483" i="38" s="1"/>
  <c r="Y114" i="15"/>
  <c r="AO467" i="38"/>
  <c r="Y27" i="15"/>
  <c r="Y78" i="15"/>
  <c r="B87" i="46"/>
  <c r="B122" i="46" s="1"/>
  <c r="B124" i="46" s="1"/>
  <c r="G260" i="25"/>
  <c r="G259" i="25"/>
  <c r="G285" i="25"/>
  <c r="G277" i="25"/>
  <c r="K33" i="41"/>
  <c r="L33" i="41" s="1"/>
  <c r="M33" i="41" s="1"/>
  <c r="N33" i="41" s="1"/>
  <c r="O33" i="41" s="1"/>
  <c r="P33" i="41" s="1"/>
  <c r="G251" i="25"/>
  <c r="G296" i="25"/>
  <c r="G306" i="25"/>
  <c r="G317" i="25"/>
  <c r="F4403" i="22"/>
  <c r="G336" i="25"/>
  <c r="AO524" i="38"/>
  <c r="AO521" i="38"/>
  <c r="M145" i="37"/>
  <c r="O4642" i="22"/>
  <c r="K4642" i="22"/>
  <c r="L142" i="37"/>
  <c r="L155" i="37"/>
  <c r="L138" i="37"/>
  <c r="BD269" i="38"/>
  <c r="J92" i="37"/>
  <c r="H4710" i="22"/>
  <c r="H4711" i="22" s="1"/>
  <c r="O114" i="37"/>
  <c r="H4712" i="22"/>
  <c r="K92" i="37"/>
  <c r="AP95" i="38"/>
  <c r="H3016" i="22"/>
  <c r="I3016" i="22"/>
  <c r="C4563" i="22"/>
  <c r="AJ504" i="38"/>
  <c r="AO504" i="38"/>
  <c r="M335" i="37"/>
  <c r="W186" i="10"/>
  <c r="N137" i="37"/>
  <c r="BI269" i="38" s="1"/>
  <c r="BI270" i="38" s="1"/>
  <c r="M138" i="37"/>
  <c r="M155" i="37"/>
  <c r="M149" i="37"/>
  <c r="AP313" i="38"/>
  <c r="AP314" i="38"/>
  <c r="AP302" i="38"/>
  <c r="AP322" i="38"/>
  <c r="AP303" i="38"/>
  <c r="L148" i="37"/>
  <c r="S308" i="19"/>
  <c r="T308" i="19" s="1"/>
  <c r="V308" i="19" s="1"/>
  <c r="I4712" i="22"/>
  <c r="N335" i="37"/>
  <c r="N145" i="37"/>
  <c r="AP312" i="38"/>
  <c r="I4710" i="22"/>
  <c r="I4711" i="22" s="1"/>
  <c r="AQ106" i="38"/>
  <c r="AQ550" i="38" s="1"/>
  <c r="L147" i="37"/>
  <c r="L149" i="37"/>
  <c r="L150" i="37"/>
  <c r="D2500" i="22"/>
  <c r="D2506" i="22" s="1"/>
  <c r="P75" i="37"/>
  <c r="O75" i="37"/>
  <c r="E2406" i="22"/>
  <c r="G2406" i="22" s="1"/>
  <c r="E526" i="19"/>
  <c r="G537" i="19" s="1"/>
  <c r="O18" i="14"/>
  <c r="E2405" i="22"/>
  <c r="Q75" i="37"/>
  <c r="R75" i="37"/>
  <c r="S75" i="37"/>
  <c r="T75" i="37"/>
  <c r="M33" i="37"/>
  <c r="N33" i="37"/>
  <c r="AC136" i="15" s="1"/>
  <c r="O33" i="37"/>
  <c r="AD136" i="15" s="1"/>
  <c r="P33" i="37"/>
  <c r="AE136" i="15" s="1"/>
  <c r="Q33" i="37"/>
  <c r="AF136" i="15" s="1"/>
  <c r="R33" i="37"/>
  <c r="AG136" i="15" s="1"/>
  <c r="S33" i="37"/>
  <c r="AH136" i="15" s="1"/>
  <c r="T33" i="37"/>
  <c r="AI136" i="15" s="1"/>
  <c r="M110" i="37"/>
  <c r="N110" i="37"/>
  <c r="BI95" i="38" s="1"/>
  <c r="O110" i="37"/>
  <c r="BN95" i="38" s="1"/>
  <c r="P110" i="37"/>
  <c r="Q110" i="37"/>
  <c r="R110" i="37"/>
  <c r="S110" i="37"/>
  <c r="T110" i="37"/>
  <c r="L111" i="37"/>
  <c r="M111" i="37"/>
  <c r="N111" i="37"/>
  <c r="BI96" i="38" s="1"/>
  <c r="O111" i="37"/>
  <c r="BN96" i="38" s="1"/>
  <c r="P111" i="37"/>
  <c r="Q111" i="37"/>
  <c r="R111" i="37"/>
  <c r="S111" i="37"/>
  <c r="T111" i="37"/>
  <c r="AC144" i="15"/>
  <c r="AB144" i="15"/>
  <c r="AA144" i="15"/>
  <c r="AA152" i="15"/>
  <c r="AB152" i="15"/>
  <c r="AC152" i="15"/>
  <c r="M482" i="37"/>
  <c r="P293" i="14" s="1"/>
  <c r="N482" i="37"/>
  <c r="Q293" i="14" s="1"/>
  <c r="O482" i="37"/>
  <c r="R293" i="14" s="1"/>
  <c r="P482" i="37"/>
  <c r="Q482" i="37"/>
  <c r="R482" i="37"/>
  <c r="S482" i="37"/>
  <c r="T482" i="37"/>
  <c r="O293" i="14"/>
  <c r="F1564" i="22"/>
  <c r="D3303" i="22"/>
  <c r="E3305" i="22" s="1"/>
  <c r="C305" i="14"/>
  <c r="D4563" i="22"/>
  <c r="D38" i="41" l="1"/>
  <c r="D41" i="41" s="1"/>
  <c r="E41" i="41" s="1"/>
  <c r="F41" i="41" s="1"/>
  <c r="G41" i="41" s="1"/>
  <c r="H41" i="41" s="1"/>
  <c r="I41" i="41" s="1"/>
  <c r="J41" i="41" s="1"/>
  <c r="K41" i="41" s="1"/>
  <c r="L41" i="41" s="1"/>
  <c r="M41" i="41" s="1"/>
  <c r="N41" i="41" s="1"/>
  <c r="O41" i="41" s="1"/>
  <c r="P41" i="41" s="1"/>
  <c r="U218" i="1"/>
  <c r="U229" i="1" s="1"/>
  <c r="U100" i="1" s="1"/>
  <c r="W240" i="2"/>
  <c r="I6" i="1"/>
  <c r="V619" i="1"/>
  <c r="V572" i="1"/>
  <c r="I3047" i="22" s="1"/>
  <c r="AB212" i="2"/>
  <c r="F2225" i="22"/>
  <c r="P202" i="1"/>
  <c r="P97" i="1" s="1"/>
  <c r="E2018" i="22"/>
  <c r="O202" i="1"/>
  <c r="O97" i="1" s="1"/>
  <c r="J183" i="19"/>
  <c r="J182" i="19" s="1"/>
  <c r="O694" i="1"/>
  <c r="O706" i="1" s="1"/>
  <c r="F5" i="1"/>
  <c r="P22" i="15"/>
  <c r="P23" i="15" s="1"/>
  <c r="P24" i="15" s="1"/>
  <c r="N202" i="1"/>
  <c r="N97" i="1" s="1"/>
  <c r="K22" i="15"/>
  <c r="K88" i="15" s="1"/>
  <c r="I202" i="1"/>
  <c r="I97" i="1" s="1"/>
  <c r="I104" i="1" s="1"/>
  <c r="Q419" i="1"/>
  <c r="Q301" i="1"/>
  <c r="Q7" i="1"/>
  <c r="Q305" i="1"/>
  <c r="Q309" i="1"/>
  <c r="Q313" i="1"/>
  <c r="Q317" i="1"/>
  <c r="Q340" i="1"/>
  <c r="S309" i="1"/>
  <c r="S305" i="1"/>
  <c r="S301" i="1"/>
  <c r="S419" i="1"/>
  <c r="S7" i="1"/>
  <c r="S313" i="1"/>
  <c r="S317" i="1"/>
  <c r="S340" i="1"/>
  <c r="T7" i="1"/>
  <c r="T305" i="1"/>
  <c r="T419" i="1"/>
  <c r="T301" i="1"/>
  <c r="T309" i="1"/>
  <c r="T313" i="1"/>
  <c r="T317" i="1"/>
  <c r="T340" i="1"/>
  <c r="X329" i="1"/>
  <c r="X82" i="1"/>
  <c r="R7" i="1"/>
  <c r="R419" i="1"/>
  <c r="R309" i="1"/>
  <c r="R301" i="1"/>
  <c r="R313" i="1"/>
  <c r="R305" i="1"/>
  <c r="R317" i="1"/>
  <c r="R340" i="1"/>
  <c r="G177" i="14"/>
  <c r="G178" i="14" s="1"/>
  <c r="Q11" i="1"/>
  <c r="Q165" i="1" s="1"/>
  <c r="Q169" i="1" s="1"/>
  <c r="V329" i="1"/>
  <c r="V82" i="1"/>
  <c r="N378" i="1"/>
  <c r="N103" i="1" s="1"/>
  <c r="P378" i="1"/>
  <c r="P103" i="1" s="1"/>
  <c r="O378" i="1"/>
  <c r="O103" i="1" s="1"/>
  <c r="O104" i="1" s="1"/>
  <c r="U378" i="1"/>
  <c r="U103" i="1" s="1"/>
  <c r="W120" i="15" s="1"/>
  <c r="T378" i="1"/>
  <c r="T103" i="1" s="1"/>
  <c r="V120" i="15" s="1"/>
  <c r="S378" i="1"/>
  <c r="S103" i="1" s="1"/>
  <c r="I2134" i="22" s="1"/>
  <c r="Q378" i="1"/>
  <c r="Q103" i="1" s="1"/>
  <c r="G2134" i="22" s="1"/>
  <c r="R378" i="1"/>
  <c r="R103" i="1" s="1"/>
  <c r="H2134" i="22" s="1"/>
  <c r="BD451" i="38"/>
  <c r="BD447" i="38"/>
  <c r="AA55" i="38"/>
  <c r="AA12" i="40"/>
  <c r="BN447" i="38"/>
  <c r="BM447" i="38" s="1"/>
  <c r="Z12" i="40" s="1"/>
  <c r="AI19" i="37"/>
  <c r="AF19" i="37"/>
  <c r="AF23" i="37" s="1"/>
  <c r="E23" i="37"/>
  <c r="T135" i="15" s="1"/>
  <c r="AE19" i="37"/>
  <c r="D23" i="37"/>
  <c r="D364" i="37" s="1"/>
  <c r="BM451" i="38"/>
  <c r="Z16" i="40" s="1"/>
  <c r="T142" i="15"/>
  <c r="C463" i="37"/>
  <c r="J15" i="47"/>
  <c r="J27" i="47" s="1"/>
  <c r="J34" i="47" s="1"/>
  <c r="C462" i="37"/>
  <c r="J17" i="47"/>
  <c r="J29" i="47" s="1"/>
  <c r="J36" i="47" s="1"/>
  <c r="C454" i="37"/>
  <c r="J19" i="47"/>
  <c r="C464" i="37"/>
  <c r="J18" i="47"/>
  <c r="J30" i="47" s="1"/>
  <c r="J37" i="47" s="1"/>
  <c r="AT508" i="38"/>
  <c r="Z33" i="15"/>
  <c r="E3014" i="22"/>
  <c r="G78" i="37"/>
  <c r="E78" i="37"/>
  <c r="F78" i="37"/>
  <c r="B79" i="38"/>
  <c r="B182" i="38"/>
  <c r="B302" i="38"/>
  <c r="B180" i="38"/>
  <c r="B47" i="42" s="1"/>
  <c r="B78" i="38"/>
  <c r="B181" i="38"/>
  <c r="B48" i="42" s="1"/>
  <c r="F36" i="37"/>
  <c r="E36" i="37"/>
  <c r="E3273" i="22"/>
  <c r="E3287" i="22" s="1"/>
  <c r="G36" i="37"/>
  <c r="C73" i="37"/>
  <c r="C111" i="37" s="1"/>
  <c r="C72" i="37"/>
  <c r="C110" i="37" s="1"/>
  <c r="C71" i="37"/>
  <c r="C109" i="37" s="1"/>
  <c r="C176" i="37"/>
  <c r="C199" i="37" s="1"/>
  <c r="C264" i="37" s="1"/>
  <c r="G4668" i="22"/>
  <c r="Q4668" i="22" s="1"/>
  <c r="AO278" i="38"/>
  <c r="J164" i="37" s="1"/>
  <c r="G4666" i="22"/>
  <c r="Q4666" i="22" s="1"/>
  <c r="AO276" i="38"/>
  <c r="G4667" i="22"/>
  <c r="Q4667" i="22" s="1"/>
  <c r="AO277" i="38"/>
  <c r="J163" i="37" s="1"/>
  <c r="C85" i="40"/>
  <c r="C89" i="40" s="1"/>
  <c r="AP279" i="38"/>
  <c r="AM16" i="37"/>
  <c r="C390" i="37"/>
  <c r="C418" i="37" s="1"/>
  <c r="C60" i="37"/>
  <c r="C100" i="37" s="1"/>
  <c r="C393" i="37"/>
  <c r="C421" i="37" s="1"/>
  <c r="C62" i="37"/>
  <c r="C102" i="37" s="1"/>
  <c r="AM23" i="37"/>
  <c r="C395" i="37"/>
  <c r="C423" i="37" s="1"/>
  <c r="AM19" i="37"/>
  <c r="C392" i="37"/>
  <c r="C420" i="37" s="1"/>
  <c r="C61" i="37"/>
  <c r="C101" i="37" s="1"/>
  <c r="C394" i="37"/>
  <c r="C422" i="37" s="1"/>
  <c r="AM5" i="37"/>
  <c r="C383" i="37"/>
  <c r="C411" i="37" s="1"/>
  <c r="C280" i="37"/>
  <c r="C356" i="37" s="1"/>
  <c r="BM278" i="2"/>
  <c r="AY308" i="38"/>
  <c r="L195" i="37" s="1"/>
  <c r="AY304" i="38"/>
  <c r="L165" i="37"/>
  <c r="L252" i="37" s="1"/>
  <c r="CY115" i="2"/>
  <c r="DK140" i="2" s="1"/>
  <c r="AA444" i="2"/>
  <c r="D1251" i="22"/>
  <c r="AA461" i="2"/>
  <c r="BC208" i="2"/>
  <c r="BC278" i="2" s="1"/>
  <c r="BC295" i="2" s="1"/>
  <c r="BC320" i="2" s="1"/>
  <c r="AD444" i="2"/>
  <c r="H1710" i="22"/>
  <c r="H1752" i="22" s="1"/>
  <c r="CA278" i="2"/>
  <c r="CA295" i="2" s="1"/>
  <c r="CA315" i="2" s="1"/>
  <c r="K387" i="38"/>
  <c r="K357" i="38"/>
  <c r="J387" i="38"/>
  <c r="J357" i="38"/>
  <c r="I387" i="38"/>
  <c r="I357" i="38"/>
  <c r="H387" i="38"/>
  <c r="O387" i="38"/>
  <c r="O357" i="38"/>
  <c r="N357" i="38"/>
  <c r="Y308" i="38"/>
  <c r="Y387" i="38" s="1"/>
  <c r="BS357" i="38"/>
  <c r="Y348" i="38" s="1"/>
  <c r="AD4" i="37"/>
  <c r="AP4" i="37" s="1"/>
  <c r="H13" i="25"/>
  <c r="F43" i="43"/>
  <c r="G43" i="43" s="1"/>
  <c r="H43" i="43" s="1"/>
  <c r="I43" i="43" s="1"/>
  <c r="J43" i="43" s="1"/>
  <c r="K43" i="43" s="1"/>
  <c r="L43" i="43" s="1"/>
  <c r="M43" i="43" s="1"/>
  <c r="N43" i="43" s="1"/>
  <c r="O43" i="43" s="1"/>
  <c r="P43" i="43" s="1"/>
  <c r="Q43" i="43" s="1"/>
  <c r="R43" i="43" s="1"/>
  <c r="I52" i="4"/>
  <c r="AL311" i="2" s="1"/>
  <c r="U28" i="15"/>
  <c r="T572" i="22"/>
  <c r="CZ217" i="2"/>
  <c r="AN295" i="2"/>
  <c r="AN320" i="2" s="1"/>
  <c r="AF295" i="2"/>
  <c r="AF320" i="2" s="1"/>
  <c r="I882" i="22" s="1"/>
  <c r="I896" i="22" s="1"/>
  <c r="D233" i="2"/>
  <c r="D454" i="2" s="1"/>
  <c r="AN258" i="2"/>
  <c r="AN174" i="2" s="1"/>
  <c r="CM174" i="2" s="1"/>
  <c r="AS510" i="38"/>
  <c r="G145" i="46"/>
  <c r="D174" i="27"/>
  <c r="AE109" i="12"/>
  <c r="AF109" i="12" s="1"/>
  <c r="O181" i="12"/>
  <c r="B59" i="4"/>
  <c r="B77" i="4" s="1"/>
  <c r="D447" i="22" s="1"/>
  <c r="F1328" i="22"/>
  <c r="BK341" i="2"/>
  <c r="AB311" i="2"/>
  <c r="CG120" i="2"/>
  <c r="B181" i="27"/>
  <c r="F10" i="4"/>
  <c r="G10" i="4" s="1"/>
  <c r="L39" i="12"/>
  <c r="L7" i="12" s="1"/>
  <c r="H12" i="27" s="1"/>
  <c r="H44" i="27" s="1"/>
  <c r="H77" i="27"/>
  <c r="I93" i="27" s="1"/>
  <c r="R21" i="15"/>
  <c r="O4" i="15"/>
  <c r="F256" i="25"/>
  <c r="U113" i="15"/>
  <c r="E4176" i="22"/>
  <c r="E2988" i="22"/>
  <c r="E267" i="25"/>
  <c r="E254" i="25" s="1"/>
  <c r="U16" i="40"/>
  <c r="BI447" i="38"/>
  <c r="U12" i="40" s="1"/>
  <c r="V12" i="40"/>
  <c r="AG311" i="2"/>
  <c r="AV139" i="2"/>
  <c r="AV494" i="2" s="1"/>
  <c r="L21" i="19"/>
  <c r="M21" i="19" s="1"/>
  <c r="N21" i="19" s="1"/>
  <c r="O21" i="19" s="1"/>
  <c r="P21" i="19" s="1"/>
  <c r="Q21" i="19" s="1"/>
  <c r="R21" i="19" s="1"/>
  <c r="S21" i="19" s="1"/>
  <c r="T21" i="19" s="1"/>
  <c r="U21" i="19" s="1"/>
  <c r="V21" i="19" s="1"/>
  <c r="W21" i="19" s="1"/>
  <c r="O519" i="19"/>
  <c r="E346" i="25"/>
  <c r="H104" i="36"/>
  <c r="C203" i="36" s="1"/>
  <c r="H327" i="25"/>
  <c r="I327" i="25" s="1"/>
  <c r="J327" i="25" s="1"/>
  <c r="K327" i="25" s="1"/>
  <c r="AF370" i="2"/>
  <c r="AF385" i="2" s="1"/>
  <c r="T393" i="2"/>
  <c r="V393" i="2"/>
  <c r="AL407" i="2"/>
  <c r="E4" i="25" s="1"/>
  <c r="B92" i="27"/>
  <c r="B124" i="27" s="1"/>
  <c r="B139" i="27" s="1"/>
  <c r="N116" i="25"/>
  <c r="L190" i="25" s="1"/>
  <c r="L197" i="25" s="1"/>
  <c r="J1155" i="22"/>
  <c r="E83" i="4"/>
  <c r="D23" i="13"/>
  <c r="B171" i="36"/>
  <c r="B190" i="36" s="1"/>
  <c r="K109" i="36"/>
  <c r="F208" i="36" s="1"/>
  <c r="C59" i="19"/>
  <c r="C65" i="19" s="1"/>
  <c r="E101" i="25"/>
  <c r="AM236" i="2"/>
  <c r="B55" i="36"/>
  <c r="K69" i="36"/>
  <c r="K301" i="15"/>
  <c r="T17" i="2"/>
  <c r="T35" i="2" s="1"/>
  <c r="T50" i="2" s="1"/>
  <c r="T64" i="2" s="1"/>
  <c r="Y9" i="36"/>
  <c r="U203" i="33"/>
  <c r="V203" i="33" s="1"/>
  <c r="P34" i="11"/>
  <c r="P38" i="11" s="1"/>
  <c r="P56" i="11" s="1"/>
  <c r="B71" i="36"/>
  <c r="B111" i="36" s="1"/>
  <c r="B147" i="36" s="1"/>
  <c r="B3043" i="22"/>
  <c r="J358" i="2"/>
  <c r="F2602" i="22"/>
  <c r="D167" i="36"/>
  <c r="S206" i="33"/>
  <c r="AC205" i="33" s="1"/>
  <c r="W13" i="15"/>
  <c r="CR260" i="2"/>
  <c r="K62" i="36"/>
  <c r="I1284" i="22"/>
  <c r="I1287" i="22" s="1"/>
  <c r="T58" i="36"/>
  <c r="O28" i="15"/>
  <c r="K102" i="36"/>
  <c r="F201" i="36" s="1"/>
  <c r="B52" i="36"/>
  <c r="K413" i="19"/>
  <c r="K414" i="19" s="1"/>
  <c r="K417" i="19" s="1"/>
  <c r="J209" i="27"/>
  <c r="I23" i="38"/>
  <c r="I290" i="38" s="1"/>
  <c r="AU334" i="2"/>
  <c r="F81" i="35"/>
  <c r="BR390" i="2"/>
  <c r="BI339" i="2"/>
  <c r="BI347" i="2" s="1"/>
  <c r="E7" i="36"/>
  <c r="U7" i="36" s="1"/>
  <c r="D185" i="2"/>
  <c r="D200" i="2" s="1"/>
  <c r="D254" i="2" s="1"/>
  <c r="AS222" i="2"/>
  <c r="AS303" i="2" s="1"/>
  <c r="AS304" i="2" s="1"/>
  <c r="BI222" i="2"/>
  <c r="BI231" i="2" s="1"/>
  <c r="E281" i="22"/>
  <c r="CS261" i="2"/>
  <c r="DD263" i="2" s="1"/>
  <c r="AA287" i="2"/>
  <c r="R287" i="2"/>
  <c r="K285" i="2"/>
  <c r="AL409" i="2"/>
  <c r="E8" i="25" s="1"/>
  <c r="F8" i="25" s="1"/>
  <c r="G8" i="25" s="1"/>
  <c r="H8" i="25" s="1"/>
  <c r="B71" i="10"/>
  <c r="AF376" i="2"/>
  <c r="AD413" i="2"/>
  <c r="CP259" i="2"/>
  <c r="CP261" i="2" s="1"/>
  <c r="D2602" i="22" s="1"/>
  <c r="N17" i="2"/>
  <c r="B70" i="36"/>
  <c r="B110" i="36" s="1"/>
  <c r="B146" i="36" s="1"/>
  <c r="N317" i="2"/>
  <c r="N334" i="2" s="1"/>
  <c r="R252" i="25"/>
  <c r="S252" i="25" s="1"/>
  <c r="AL412" i="2"/>
  <c r="BA241" i="2"/>
  <c r="K355" i="2"/>
  <c r="AU23" i="2"/>
  <c r="AU24" i="2" s="1"/>
  <c r="CO265" i="2" s="1"/>
  <c r="AL410" i="2"/>
  <c r="AF375" i="2"/>
  <c r="AF388" i="2" s="1"/>
  <c r="BB378" i="2"/>
  <c r="BB390" i="2" s="1"/>
  <c r="V58" i="36"/>
  <c r="BR305" i="2"/>
  <c r="N247" i="22"/>
  <c r="T561" i="22"/>
  <c r="F254" i="25"/>
  <c r="G255" i="25" s="1"/>
  <c r="AL408" i="2"/>
  <c r="E6" i="25" s="1"/>
  <c r="BB208" i="2"/>
  <c r="BB278" i="2" s="1"/>
  <c r="BB295" i="2" s="1"/>
  <c r="BB320" i="2" s="1"/>
  <c r="E353" i="2" s="1"/>
  <c r="BL295" i="2"/>
  <c r="BL320" i="2" s="1"/>
  <c r="E171" i="36"/>
  <c r="G397" i="22"/>
  <c r="U147" i="12"/>
  <c r="U149" i="12" s="1"/>
  <c r="K519" i="19"/>
  <c r="B77" i="11"/>
  <c r="K49" i="4"/>
  <c r="AV310" i="2" s="1"/>
  <c r="AQ153" i="2"/>
  <c r="N145" i="36"/>
  <c r="H228" i="36" s="1"/>
  <c r="BB131" i="2"/>
  <c r="CY131" i="2" s="1"/>
  <c r="AE390" i="2"/>
  <c r="E268" i="25"/>
  <c r="D268" i="25" s="1"/>
  <c r="D256" i="25" s="1"/>
  <c r="H101" i="36"/>
  <c r="C200" i="36" s="1"/>
  <c r="AO535" i="38"/>
  <c r="F266" i="25"/>
  <c r="F252" i="25" s="1"/>
  <c r="BN342" i="2"/>
  <c r="CW270" i="2"/>
  <c r="CF120" i="2"/>
  <c r="J103" i="25"/>
  <c r="P52" i="25"/>
  <c r="AD19" i="38"/>
  <c r="AC13" i="38"/>
  <c r="AC9" i="38" s="1"/>
  <c r="AC185" i="38" s="1"/>
  <c r="V283" i="2"/>
  <c r="BJ390" i="2"/>
  <c r="AU18" i="2"/>
  <c r="J15" i="27"/>
  <c r="J47" i="27" s="1"/>
  <c r="G393" i="22"/>
  <c r="O47" i="11"/>
  <c r="AI112" i="2"/>
  <c r="AI113" i="2" s="1"/>
  <c r="F297" i="25"/>
  <c r="G167" i="36"/>
  <c r="BB482" i="2"/>
  <c r="BI391" i="2"/>
  <c r="B60" i="36"/>
  <c r="B100" i="36" s="1"/>
  <c r="B136" i="36" s="1"/>
  <c r="J71" i="36"/>
  <c r="E71" i="36" s="1"/>
  <c r="E15" i="36" s="1"/>
  <c r="U15" i="36" s="1"/>
  <c r="K78" i="11"/>
  <c r="E1272" i="22" s="1"/>
  <c r="D170" i="2"/>
  <c r="AU333" i="2"/>
  <c r="CO252" i="2" s="1"/>
  <c r="CO264" i="2" s="1"/>
  <c r="G104" i="43"/>
  <c r="H104" i="43" s="1"/>
  <c r="I104" i="43" s="1"/>
  <c r="J104" i="43" s="1"/>
  <c r="K104" i="43" s="1"/>
  <c r="L104" i="43" s="1"/>
  <c r="M104" i="43" s="1"/>
  <c r="N104" i="43" s="1"/>
  <c r="O104" i="43" s="1"/>
  <c r="P104" i="43" s="1"/>
  <c r="Q104" i="43" s="1"/>
  <c r="R104" i="43" s="1"/>
  <c r="AA208" i="2"/>
  <c r="AA278" i="2" s="1"/>
  <c r="AA295" i="2" s="1"/>
  <c r="AA320" i="2" s="1"/>
  <c r="E882" i="22" s="1"/>
  <c r="E896" i="22" s="1"/>
  <c r="AV135" i="2"/>
  <c r="CT135" i="2" s="1"/>
  <c r="D80" i="5"/>
  <c r="AU243" i="2"/>
  <c r="CW243" i="2" s="1"/>
  <c r="R550" i="22"/>
  <c r="AG550" i="22" s="1"/>
  <c r="I22" i="4"/>
  <c r="O50" i="2"/>
  <c r="O64" i="2" s="1"/>
  <c r="J283" i="2"/>
  <c r="K113" i="12"/>
  <c r="E1307" i="22" s="1"/>
  <c r="P143" i="10"/>
  <c r="J1260" i="22" s="1"/>
  <c r="AH329" i="2"/>
  <c r="F1366" i="22"/>
  <c r="H1366" i="22" s="1"/>
  <c r="I1366" i="22" s="1"/>
  <c r="E40" i="12"/>
  <c r="E19" i="12" s="1"/>
  <c r="F30" i="12" s="1"/>
  <c r="BB17" i="2"/>
  <c r="BB23" i="2" s="1"/>
  <c r="I54" i="5"/>
  <c r="F47" i="27"/>
  <c r="BJ35" i="2"/>
  <c r="BJ50" i="2" s="1"/>
  <c r="BJ58" i="2" s="1"/>
  <c r="BJ61" i="2" s="1"/>
  <c r="F4286" i="22"/>
  <c r="BE354" i="2"/>
  <c r="E165" i="36"/>
  <c r="H172" i="19"/>
  <c r="G300" i="25"/>
  <c r="I107" i="36"/>
  <c r="D206" i="36" s="1"/>
  <c r="AG421" i="19"/>
  <c r="BG421" i="19" s="1"/>
  <c r="CO278" i="2"/>
  <c r="CO295" i="2" s="1"/>
  <c r="CO315" i="2" s="1"/>
  <c r="B4268" i="22"/>
  <c r="AZ151" i="2"/>
  <c r="I35" i="15"/>
  <c r="I1313" i="22"/>
  <c r="D46" i="11"/>
  <c r="C14" i="4" s="1"/>
  <c r="G245" i="25"/>
  <c r="H245" i="25" s="1"/>
  <c r="H335" i="25" s="1"/>
  <c r="D3036" i="22"/>
  <c r="E170" i="36"/>
  <c r="H321" i="15"/>
  <c r="CP272" i="2"/>
  <c r="AK112" i="2"/>
  <c r="AK113" i="2" s="1"/>
  <c r="D161" i="37"/>
  <c r="D183" i="37" s="1"/>
  <c r="D248" i="37" s="1"/>
  <c r="O55" i="25"/>
  <c r="CT227" i="2"/>
  <c r="AD461" i="2"/>
  <c r="BE208" i="2"/>
  <c r="BE278" i="2" s="1"/>
  <c r="BE295" i="2" s="1"/>
  <c r="BE320" i="2" s="1"/>
  <c r="BC353" i="2" s="1"/>
  <c r="AZ312" i="2"/>
  <c r="AZ17" i="2" s="1"/>
  <c r="AZ35" i="2" s="1"/>
  <c r="P17" i="2"/>
  <c r="P23" i="2" s="1"/>
  <c r="P24" i="2" s="1"/>
  <c r="F4" i="25"/>
  <c r="D272" i="37"/>
  <c r="F1155" i="22"/>
  <c r="BW208" i="2"/>
  <c r="E247" i="22" s="1"/>
  <c r="AD60" i="35"/>
  <c r="CX217" i="2"/>
  <c r="CM165" i="2"/>
  <c r="AR330" i="2"/>
  <c r="B1056" i="22"/>
  <c r="BA523" i="2"/>
  <c r="F33" i="31"/>
  <c r="E131" i="31" s="1"/>
  <c r="BS302" i="2"/>
  <c r="AL425" i="19"/>
  <c r="AL437" i="19" s="1"/>
  <c r="K28" i="38"/>
  <c r="K295" i="38" s="1"/>
  <c r="W8" i="36"/>
  <c r="F168" i="36"/>
  <c r="Q20" i="12"/>
  <c r="R20" i="12" s="1"/>
  <c r="S20" i="12" s="1"/>
  <c r="T20" i="12" s="1"/>
  <c r="U20" i="12" s="1"/>
  <c r="V20" i="12" s="1"/>
  <c r="W20" i="12" s="1"/>
  <c r="I59" i="36"/>
  <c r="N59" i="36" s="1"/>
  <c r="X59" i="36" s="1"/>
  <c r="I180" i="36" s="1"/>
  <c r="X35" i="33"/>
  <c r="X34" i="33" s="1"/>
  <c r="O157" i="33" s="1"/>
  <c r="J2919" i="22"/>
  <c r="O82" i="11"/>
  <c r="L60" i="12"/>
  <c r="E94" i="27"/>
  <c r="M280" i="19"/>
  <c r="K57" i="19"/>
  <c r="I1285" i="22" s="1"/>
  <c r="O238" i="14"/>
  <c r="BB533" i="2"/>
  <c r="BC226" i="2"/>
  <c r="CV217" i="2"/>
  <c r="CO165" i="2"/>
  <c r="AG132" i="2"/>
  <c r="AH285" i="2" s="1"/>
  <c r="J1749" i="22"/>
  <c r="X50" i="2"/>
  <c r="X58" i="2" s="1"/>
  <c r="X61" i="2" s="1"/>
  <c r="AV136" i="2"/>
  <c r="CT136" i="2" s="1"/>
  <c r="P482" i="15"/>
  <c r="AQ129" i="2"/>
  <c r="CP129" i="2" s="1"/>
  <c r="F77" i="5"/>
  <c r="E45" i="43"/>
  <c r="E43" i="43" s="1"/>
  <c r="L22" i="19"/>
  <c r="H76" i="27"/>
  <c r="F6" i="36"/>
  <c r="F62" i="36" s="1"/>
  <c r="Y444" i="2"/>
  <c r="J65" i="36"/>
  <c r="E65" i="36" s="1"/>
  <c r="E9" i="36" s="1"/>
  <c r="U9" i="36" s="1"/>
  <c r="BB495" i="2"/>
  <c r="E162" i="36"/>
  <c r="AZ461" i="2"/>
  <c r="AU143" i="2"/>
  <c r="AU145" i="2" s="1"/>
  <c r="AK143" i="2"/>
  <c r="AK145" i="2" s="1"/>
  <c r="Y331" i="2"/>
  <c r="BR278" i="2"/>
  <c r="I25" i="38"/>
  <c r="I292" i="38" s="1"/>
  <c r="CM201" i="2"/>
  <c r="CM199" i="2"/>
  <c r="CM197" i="2"/>
  <c r="L1749" i="22"/>
  <c r="J230" i="25"/>
  <c r="E2" i="12"/>
  <c r="E89" i="12" s="1"/>
  <c r="E98" i="12" s="1"/>
  <c r="E144" i="12" s="1"/>
  <c r="CM167" i="2"/>
  <c r="D18" i="43"/>
  <c r="D17" i="43" s="1"/>
  <c r="D20" i="43" s="1"/>
  <c r="D24" i="43" s="1"/>
  <c r="N13" i="4"/>
  <c r="H5" i="31" s="1"/>
  <c r="H62" i="31" s="1"/>
  <c r="P550" i="22"/>
  <c r="AE550" i="22" s="1"/>
  <c r="AE3" i="2"/>
  <c r="BB487" i="2"/>
  <c r="G206" i="36"/>
  <c r="BB486" i="2"/>
  <c r="L421" i="19"/>
  <c r="BC421" i="19" s="1"/>
  <c r="L451" i="19" s="1"/>
  <c r="L457" i="19" s="1"/>
  <c r="F79" i="35"/>
  <c r="D107" i="43"/>
  <c r="D106" i="43" s="1"/>
  <c r="D109" i="43" s="1"/>
  <c r="D113" i="43" s="1"/>
  <c r="Y461" i="2"/>
  <c r="AD21" i="37"/>
  <c r="AO312" i="2"/>
  <c r="AO17" i="2" s="1"/>
  <c r="AO23" i="2" s="1"/>
  <c r="F162" i="36"/>
  <c r="F10" i="27"/>
  <c r="F42" i="27" s="1"/>
  <c r="CM195" i="2"/>
  <c r="G44" i="43"/>
  <c r="H44" i="43" s="1"/>
  <c r="I44" i="43" s="1"/>
  <c r="J44" i="43" s="1"/>
  <c r="K44" i="43" s="1"/>
  <c r="L44" i="43" s="1"/>
  <c r="M44" i="43" s="1"/>
  <c r="N44" i="43" s="1"/>
  <c r="O44" i="43" s="1"/>
  <c r="P44" i="43" s="1"/>
  <c r="Q44" i="43" s="1"/>
  <c r="R44" i="43" s="1"/>
  <c r="C42" i="19"/>
  <c r="C50" i="19" s="1"/>
  <c r="CM202" i="2"/>
  <c r="I104" i="36"/>
  <c r="D203" i="36" s="1"/>
  <c r="N366" i="15"/>
  <c r="I112" i="36"/>
  <c r="D211" i="36" s="1"/>
  <c r="G53" i="5"/>
  <c r="H54" i="5" s="1"/>
  <c r="J85" i="22"/>
  <c r="AZ208" i="2"/>
  <c r="AZ278" i="2" s="1"/>
  <c r="AZ295" i="2" s="1"/>
  <c r="AZ320" i="2" s="1"/>
  <c r="CO142" i="2"/>
  <c r="N287" i="2"/>
  <c r="O285" i="2"/>
  <c r="CC125" i="2"/>
  <c r="K251" i="22" s="1"/>
  <c r="AH247" i="2"/>
  <c r="AH163" i="2" s="1"/>
  <c r="CV142" i="2"/>
  <c r="DH142" i="2" s="1"/>
  <c r="M287" i="2"/>
  <c r="CO131" i="2"/>
  <c r="CS125" i="2"/>
  <c r="BL342" i="2"/>
  <c r="BY312" i="2"/>
  <c r="AR325" i="2"/>
  <c r="F60" i="12"/>
  <c r="CB131" i="2"/>
  <c r="E137" i="43"/>
  <c r="F100" i="43"/>
  <c r="E96" i="27"/>
  <c r="F92" i="27"/>
  <c r="K88" i="27"/>
  <c r="T299" i="15"/>
  <c r="K43" i="11"/>
  <c r="J13" i="4" s="1"/>
  <c r="E1316" i="22"/>
  <c r="AY421" i="19"/>
  <c r="AY439" i="19" s="1"/>
  <c r="J62" i="36"/>
  <c r="Y62" i="36" s="1"/>
  <c r="J69" i="36"/>
  <c r="Y69" i="36" s="1"/>
  <c r="I188" i="12"/>
  <c r="O67" i="36"/>
  <c r="O76" i="36" s="1"/>
  <c r="G79" i="27"/>
  <c r="G95" i="27" s="1"/>
  <c r="I1304" i="22"/>
  <c r="AD27" i="35"/>
  <c r="I1311" i="22"/>
  <c r="K29" i="35"/>
  <c r="P79" i="12"/>
  <c r="Z127" i="33" s="1"/>
  <c r="BJ340" i="2"/>
  <c r="BG357" i="2" s="1"/>
  <c r="F44" i="12"/>
  <c r="F23" i="12" s="1"/>
  <c r="H67" i="35"/>
  <c r="H68" i="35" s="1"/>
  <c r="U206" i="33"/>
  <c r="V206" i="33" s="1"/>
  <c r="L275" i="19"/>
  <c r="L276" i="19" s="1"/>
  <c r="F42" i="5"/>
  <c r="F56" i="5" s="1"/>
  <c r="N504" i="15"/>
  <c r="D184" i="2"/>
  <c r="D199" i="2" s="1"/>
  <c r="D253" i="2" s="1"/>
  <c r="Y13" i="36"/>
  <c r="K38" i="12"/>
  <c r="K6" i="12" s="1"/>
  <c r="G11" i="27" s="1"/>
  <c r="G43" i="27" s="1"/>
  <c r="AM434" i="19"/>
  <c r="I169" i="19"/>
  <c r="J169" i="19" s="1"/>
  <c r="K169" i="19" s="1"/>
  <c r="L169" i="19" s="1"/>
  <c r="M169" i="19" s="1"/>
  <c r="N169" i="19" s="1"/>
  <c r="O169" i="19" s="1"/>
  <c r="P169" i="19" s="1"/>
  <c r="Q169" i="19" s="1"/>
  <c r="R169" i="19" s="1"/>
  <c r="S169" i="19" s="1"/>
  <c r="T169" i="19" s="1"/>
  <c r="U169" i="19" s="1"/>
  <c r="V169" i="19" s="1"/>
  <c r="W169" i="19" s="1"/>
  <c r="K23" i="19"/>
  <c r="O52" i="11" s="1"/>
  <c r="K57" i="27" s="1"/>
  <c r="CH129" i="2"/>
  <c r="DC227" i="2"/>
  <c r="B184" i="36"/>
  <c r="L26" i="35"/>
  <c r="AD26" i="35" s="1"/>
  <c r="V364" i="2"/>
  <c r="CM131" i="2"/>
  <c r="AD286" i="2"/>
  <c r="T285" i="2"/>
  <c r="CZ125" i="2"/>
  <c r="G8" i="19"/>
  <c r="G21" i="19" s="1"/>
  <c r="I174" i="19"/>
  <c r="AN485" i="2"/>
  <c r="AN466" i="2" s="1"/>
  <c r="I2024" i="22" s="1"/>
  <c r="I188" i="27"/>
  <c r="I192" i="27" s="1"/>
  <c r="J64" i="35"/>
  <c r="E171" i="12"/>
  <c r="H99" i="36"/>
  <c r="C198" i="36" s="1"/>
  <c r="I171" i="19"/>
  <c r="C358" i="37"/>
  <c r="V222" i="2"/>
  <c r="V284" i="2" s="1"/>
  <c r="I53" i="22" s="1"/>
  <c r="I54" i="22" s="1"/>
  <c r="CJ278" i="2"/>
  <c r="CJ295" i="2" s="1"/>
  <c r="CJ315" i="2" s="1"/>
  <c r="AK425" i="19"/>
  <c r="AK436" i="19" s="1"/>
  <c r="P206" i="33"/>
  <c r="AF205" i="33" s="1"/>
  <c r="L61" i="12"/>
  <c r="T295" i="2"/>
  <c r="T320" i="2" s="1"/>
  <c r="AR388" i="2"/>
  <c r="O22" i="36"/>
  <c r="AQ140" i="2"/>
  <c r="CP140" i="2" s="1"/>
  <c r="O367" i="15"/>
  <c r="AQ135" i="2"/>
  <c r="CP135" i="2" s="1"/>
  <c r="D162" i="36"/>
  <c r="CY227" i="2"/>
  <c r="CY134" i="2"/>
  <c r="G99" i="43"/>
  <c r="H99" i="43" s="1"/>
  <c r="H93" i="43" s="1"/>
  <c r="H106" i="43" s="1"/>
  <c r="I168" i="19"/>
  <c r="J168" i="19" s="1"/>
  <c r="K168" i="19" s="1"/>
  <c r="BZ242" i="2"/>
  <c r="AF208" i="33"/>
  <c r="M127" i="11"/>
  <c r="M106" i="11" s="1"/>
  <c r="M110" i="11" s="1"/>
  <c r="P178" i="12"/>
  <c r="J1316" i="22" s="1"/>
  <c r="CL239" i="2"/>
  <c r="AQ134" i="2"/>
  <c r="CP134" i="2" s="1"/>
  <c r="CM198" i="2"/>
  <c r="G60" i="11"/>
  <c r="F32" i="4" s="1"/>
  <c r="F91" i="4" s="1"/>
  <c r="N173" i="25"/>
  <c r="D45" i="37"/>
  <c r="D85" i="37" s="1"/>
  <c r="D122" i="37" s="1"/>
  <c r="O79" i="12"/>
  <c r="I67" i="35"/>
  <c r="I68" i="35" s="1"/>
  <c r="D169" i="36"/>
  <c r="R393" i="2"/>
  <c r="F19" i="27"/>
  <c r="G19" i="27" s="1"/>
  <c r="H19" i="27" s="1"/>
  <c r="I19" i="27" s="1"/>
  <c r="J19" i="27" s="1"/>
  <c r="K19" i="27" s="1"/>
  <c r="L19" i="27" s="1"/>
  <c r="E1069" i="22"/>
  <c r="CC254" i="2"/>
  <c r="AN253" i="2"/>
  <c r="AN169" i="2" s="1"/>
  <c r="CM169" i="2" s="1"/>
  <c r="AQ138" i="2"/>
  <c r="CP138" i="2" s="1"/>
  <c r="D446" i="22"/>
  <c r="E1770" i="22"/>
  <c r="E1798" i="22" s="1"/>
  <c r="CY123" i="2"/>
  <c r="H47" i="27"/>
  <c r="CO203" i="2"/>
  <c r="BC330" i="2"/>
  <c r="BA355" i="2" s="1"/>
  <c r="AQ139" i="2"/>
  <c r="CP139" i="2" s="1"/>
  <c r="F81" i="12"/>
  <c r="D79" i="5"/>
  <c r="K42" i="12"/>
  <c r="K10" i="12" s="1"/>
  <c r="D1976" i="22" s="1"/>
  <c r="AU9" i="2"/>
  <c r="AU10" i="2" s="1"/>
  <c r="P317" i="2"/>
  <c r="P334" i="2" s="1"/>
  <c r="K37" i="12"/>
  <c r="K5" i="12" s="1"/>
  <c r="D1974" i="22" s="1"/>
  <c r="Q111" i="36"/>
  <c r="K210" i="36" s="1"/>
  <c r="D175" i="36"/>
  <c r="B203" i="36"/>
  <c r="B223" i="36" s="1"/>
  <c r="BD388" i="2"/>
  <c r="N115" i="36"/>
  <c r="N151" i="36" s="1"/>
  <c r="H236" i="36" s="1"/>
  <c r="AR451" i="19"/>
  <c r="AR457" i="19" s="1"/>
  <c r="AD17" i="2"/>
  <c r="AD35" i="2" s="1"/>
  <c r="AD50" i="2" s="1"/>
  <c r="AD64" i="2" s="1"/>
  <c r="D2108" i="22"/>
  <c r="M98" i="36"/>
  <c r="M134" i="36" s="1"/>
  <c r="L29" i="19"/>
  <c r="C80" i="43"/>
  <c r="E168" i="36"/>
  <c r="O99" i="10"/>
  <c r="B48" i="36"/>
  <c r="G35" i="25"/>
  <c r="G58" i="25" s="1"/>
  <c r="G100" i="25" s="1"/>
  <c r="G52" i="35"/>
  <c r="D96" i="27"/>
  <c r="L94" i="27"/>
  <c r="E92" i="27"/>
  <c r="CS270" i="2"/>
  <c r="CS275" i="2" s="1"/>
  <c r="DH266" i="2" s="1"/>
  <c r="AI485" i="2"/>
  <c r="AI466" i="2" s="1"/>
  <c r="G1156" i="22" s="1"/>
  <c r="BM307" i="2"/>
  <c r="AM439" i="19"/>
  <c r="AM446" i="19" s="1"/>
  <c r="A917" i="22"/>
  <c r="J28" i="38"/>
  <c r="J65" i="38" s="1"/>
  <c r="J321" i="38" s="1"/>
  <c r="I172" i="19"/>
  <c r="J172" i="19" s="1"/>
  <c r="K172" i="19" s="1"/>
  <c r="L172" i="19" s="1"/>
  <c r="M172" i="19" s="1"/>
  <c r="F91" i="27"/>
  <c r="M311" i="19"/>
  <c r="G77" i="27"/>
  <c r="G93" i="27" s="1"/>
  <c r="B1059" i="22"/>
  <c r="G74" i="27"/>
  <c r="G90" i="27" s="1"/>
  <c r="H15" i="5"/>
  <c r="H23" i="5" s="1"/>
  <c r="CY139" i="2"/>
  <c r="AT325" i="2"/>
  <c r="AA261" i="38"/>
  <c r="AA287" i="38" s="1"/>
  <c r="H169" i="37" s="1"/>
  <c r="F1363" i="22"/>
  <c r="H1363" i="22" s="1"/>
  <c r="J1363" i="22" s="1"/>
  <c r="D169" i="2"/>
  <c r="L59" i="12"/>
  <c r="K62" i="12"/>
  <c r="R317" i="2"/>
  <c r="R334" i="2" s="1"/>
  <c r="B64" i="36"/>
  <c r="B104" i="36" s="1"/>
  <c r="B140" i="36" s="1"/>
  <c r="O482" i="15"/>
  <c r="H25" i="38"/>
  <c r="H62" i="38" s="1"/>
  <c r="H318" i="38" s="1"/>
  <c r="F14" i="27"/>
  <c r="F46" i="27" s="1"/>
  <c r="CP239" i="2"/>
  <c r="CO173" i="2"/>
  <c r="CU272" i="2"/>
  <c r="K41" i="12"/>
  <c r="K9" i="12" s="1"/>
  <c r="G14" i="27" s="1"/>
  <c r="G46" i="27" s="1"/>
  <c r="D76" i="5"/>
  <c r="F300" i="25"/>
  <c r="D81" i="5"/>
  <c r="L26" i="27"/>
  <c r="I1966" i="22"/>
  <c r="F60" i="25"/>
  <c r="F6" i="25" s="1"/>
  <c r="L58" i="12"/>
  <c r="CH278" i="2"/>
  <c r="CH295" i="2" s="1"/>
  <c r="CH315" i="2" s="1"/>
  <c r="Y58" i="36"/>
  <c r="DA302" i="2"/>
  <c r="L519" i="19"/>
  <c r="L153" i="12"/>
  <c r="L156" i="12" s="1"/>
  <c r="K33" i="4" s="1"/>
  <c r="AV239" i="2" s="1"/>
  <c r="L178" i="12"/>
  <c r="H2261" i="22" s="1"/>
  <c r="I65" i="36"/>
  <c r="X65" i="36" s="1"/>
  <c r="I186" i="36" s="1"/>
  <c r="CY138" i="2"/>
  <c r="J413" i="19"/>
  <c r="J414" i="19" s="1"/>
  <c r="J419" i="19" s="1"/>
  <c r="E177" i="36"/>
  <c r="C1546" i="34"/>
  <c r="BY208" i="2"/>
  <c r="G247" i="22" s="1"/>
  <c r="BB142" i="2"/>
  <c r="CY142" i="2" s="1"/>
  <c r="DK142" i="2" s="1"/>
  <c r="CQ131" i="2"/>
  <c r="BV125" i="2"/>
  <c r="K283" i="2"/>
  <c r="AF282" i="2"/>
  <c r="BY120" i="2"/>
  <c r="AH302" i="2"/>
  <c r="AH312" i="2" s="1"/>
  <c r="CH312" i="2" s="1"/>
  <c r="CH316" i="2" s="1"/>
  <c r="CD250" i="2" s="1"/>
  <c r="CD251" i="2" s="1"/>
  <c r="L55" i="25"/>
  <c r="L23" i="25"/>
  <c r="L24" i="25" s="1"/>
  <c r="J34" i="35"/>
  <c r="J45" i="35" s="1"/>
  <c r="BE222" i="2" s="1"/>
  <c r="BE303" i="2" s="1"/>
  <c r="K59" i="12"/>
  <c r="X9" i="36"/>
  <c r="O34" i="11"/>
  <c r="O38" i="11" s="1"/>
  <c r="AM249" i="2"/>
  <c r="AM165" i="2" s="1"/>
  <c r="AQ128" i="2"/>
  <c r="CP128" i="2" s="1"/>
  <c r="K61" i="12"/>
  <c r="BH226" i="2"/>
  <c r="F8" i="35"/>
  <c r="F6" i="35" s="1"/>
  <c r="G39" i="19"/>
  <c r="G31" i="19" s="1"/>
  <c r="O306" i="15" s="1"/>
  <c r="D7" i="31"/>
  <c r="H106" i="36"/>
  <c r="C205" i="36" s="1"/>
  <c r="E39" i="12"/>
  <c r="E18" i="12" s="1"/>
  <c r="F29" i="12" s="1"/>
  <c r="AA77" i="35"/>
  <c r="A991" i="22"/>
  <c r="BW312" i="2"/>
  <c r="D187" i="2"/>
  <c r="D202" i="2" s="1"/>
  <c r="D256" i="2" s="1"/>
  <c r="E6" i="36"/>
  <c r="E62" i="36" s="1"/>
  <c r="K249" i="22"/>
  <c r="CO204" i="2"/>
  <c r="E2747" i="22"/>
  <c r="E2761" i="22" s="1"/>
  <c r="D798" i="3"/>
  <c r="D814" i="3" s="1"/>
  <c r="D77" i="5"/>
  <c r="E439" i="19"/>
  <c r="E446" i="19" s="1"/>
  <c r="J42" i="19"/>
  <c r="AH43" i="19" s="1"/>
  <c r="U550" i="22"/>
  <c r="U556" i="22" s="1"/>
  <c r="I170" i="19"/>
  <c r="J170" i="19" s="1"/>
  <c r="K170" i="19" s="1"/>
  <c r="L170" i="19" s="1"/>
  <c r="M170" i="19" s="1"/>
  <c r="N170" i="19" s="1"/>
  <c r="O170" i="19" s="1"/>
  <c r="H1284" i="22"/>
  <c r="H1287" i="22" s="1"/>
  <c r="I97" i="35"/>
  <c r="AG519" i="19"/>
  <c r="H439" i="19"/>
  <c r="H446" i="19" s="1"/>
  <c r="BI331" i="2"/>
  <c r="L358" i="2" s="1"/>
  <c r="K40" i="12"/>
  <c r="K8" i="12" s="1"/>
  <c r="O458" i="15" s="1"/>
  <c r="BO295" i="2"/>
  <c r="BO320" i="2" s="1"/>
  <c r="I176" i="19"/>
  <c r="J176" i="19" s="1"/>
  <c r="K176" i="19" s="1"/>
  <c r="L176" i="19" s="1"/>
  <c r="M176" i="19" s="1"/>
  <c r="N176" i="19" s="1"/>
  <c r="O176" i="19" s="1"/>
  <c r="P176" i="19" s="1"/>
  <c r="Q176" i="19" s="1"/>
  <c r="R176" i="19" s="1"/>
  <c r="S176" i="19" s="1"/>
  <c r="T176" i="19" s="1"/>
  <c r="U176" i="19" s="1"/>
  <c r="V176" i="19" s="1"/>
  <c r="W176" i="19" s="1"/>
  <c r="CM200" i="2"/>
  <c r="AM389" i="2"/>
  <c r="AP219" i="2"/>
  <c r="CS219" i="2" s="1"/>
  <c r="AR242" i="2"/>
  <c r="AR390" i="2" s="1"/>
  <c r="O360" i="3"/>
  <c r="CX139" i="2"/>
  <c r="J109" i="27"/>
  <c r="J125" i="27" s="1"/>
  <c r="CX134" i="2"/>
  <c r="BU423" i="19"/>
  <c r="C61" i="36"/>
  <c r="C5" i="36" s="1"/>
  <c r="S5" i="36" s="1"/>
  <c r="BC531" i="2"/>
  <c r="AX489" i="2"/>
  <c r="AX471" i="2" s="1"/>
  <c r="Q2025" i="22" s="1"/>
  <c r="AK489" i="2"/>
  <c r="AK470" i="2" s="1"/>
  <c r="I1157" i="22" s="1"/>
  <c r="BC485" i="2"/>
  <c r="BC466" i="2" s="1"/>
  <c r="AO485" i="2"/>
  <c r="AO466" i="2" s="1"/>
  <c r="J2024" i="22" s="1"/>
  <c r="AF485" i="2"/>
  <c r="AF466" i="2" s="1"/>
  <c r="E1156" i="22" s="1"/>
  <c r="I100" i="35"/>
  <c r="J109" i="36"/>
  <c r="E208" i="36" s="1"/>
  <c r="E7" i="31"/>
  <c r="K63" i="12"/>
  <c r="E41" i="12"/>
  <c r="O390" i="15"/>
  <c r="H66" i="36"/>
  <c r="C66" i="36" s="1"/>
  <c r="C10" i="36" s="1"/>
  <c r="C26" i="38" s="1"/>
  <c r="C293" i="38" s="1"/>
  <c r="G10" i="19"/>
  <c r="F524" i="22"/>
  <c r="F165" i="36"/>
  <c r="H23" i="38"/>
  <c r="H60" i="38" s="1"/>
  <c r="H316" i="38" s="1"/>
  <c r="H392" i="38" s="1"/>
  <c r="Y6" i="36"/>
  <c r="G281" i="22"/>
  <c r="AH44" i="19"/>
  <c r="CM193" i="2"/>
  <c r="AD208" i="2"/>
  <c r="AD278" i="2" s="1"/>
  <c r="AD295" i="2" s="1"/>
  <c r="AD320" i="2" s="1"/>
  <c r="G882" i="22" s="1"/>
  <c r="G896" i="22" s="1"/>
  <c r="G413" i="19"/>
  <c r="G414" i="19" s="1"/>
  <c r="G419" i="19" s="1"/>
  <c r="V303" i="2"/>
  <c r="F46" i="4" s="1"/>
  <c r="I3043" i="22"/>
  <c r="H1324" i="22"/>
  <c r="CM194" i="2"/>
  <c r="D167" i="2"/>
  <c r="AF272" i="37"/>
  <c r="I76" i="15"/>
  <c r="I77" i="15" s="1"/>
  <c r="AH253" i="2"/>
  <c r="AH169" i="2" s="1"/>
  <c r="AH251" i="2"/>
  <c r="AH167" i="2" s="1"/>
  <c r="AH250" i="2"/>
  <c r="AH166" i="2" s="1"/>
  <c r="J134" i="36"/>
  <c r="E197" i="36"/>
  <c r="E217" i="36" s="1"/>
  <c r="N143" i="36"/>
  <c r="H226" i="36" s="1"/>
  <c r="K65" i="36"/>
  <c r="BB461" i="2"/>
  <c r="J99" i="36"/>
  <c r="E198" i="36" s="1"/>
  <c r="K105" i="36"/>
  <c r="F204" i="36" s="1"/>
  <c r="K173" i="25"/>
  <c r="H1155" i="22"/>
  <c r="CN172" i="2"/>
  <c r="AW143" i="2"/>
  <c r="AW145" i="2" s="1"/>
  <c r="I1743" i="22"/>
  <c r="P50" i="2"/>
  <c r="P64" i="2" s="1"/>
  <c r="H68" i="36"/>
  <c r="C68" i="36" s="1"/>
  <c r="C12" i="36" s="1"/>
  <c r="S12" i="36" s="1"/>
  <c r="J12" i="36"/>
  <c r="J68" i="36" s="1"/>
  <c r="Y68" i="36" s="1"/>
  <c r="X8" i="36"/>
  <c r="CU270" i="2"/>
  <c r="H108" i="36"/>
  <c r="C207" i="36" s="1"/>
  <c r="H355" i="2"/>
  <c r="AH112" i="2"/>
  <c r="AH113" i="2" s="1"/>
  <c r="M68" i="36"/>
  <c r="H160" i="12"/>
  <c r="H171" i="12" s="1"/>
  <c r="J10" i="19"/>
  <c r="I64" i="36"/>
  <c r="D64" i="36" s="1"/>
  <c r="D8" i="36" s="1"/>
  <c r="T8" i="36" s="1"/>
  <c r="Y312" i="2"/>
  <c r="CE312" i="2" s="1"/>
  <c r="CE316" i="2" s="1"/>
  <c r="CA250" i="2" s="1"/>
  <c r="CA251" i="2" s="1"/>
  <c r="BH333" i="2"/>
  <c r="CY252" i="2" s="1"/>
  <c r="CY264" i="2" s="1"/>
  <c r="R283" i="2"/>
  <c r="BX120" i="2"/>
  <c r="CX115" i="2"/>
  <c r="CX208" i="2" s="1"/>
  <c r="CT246" i="2" s="1"/>
  <c r="H2601" i="22" s="1"/>
  <c r="H170" i="19"/>
  <c r="Q298" i="15"/>
  <c r="H24" i="38"/>
  <c r="H291" i="38" s="1"/>
  <c r="J59" i="36"/>
  <c r="Y59" i="36" s="1"/>
  <c r="U58" i="36"/>
  <c r="CE310" i="2"/>
  <c r="H111" i="36"/>
  <c r="C210" i="36" s="1"/>
  <c r="DC125" i="2"/>
  <c r="BC517" i="2"/>
  <c r="BC532" i="2" s="1"/>
  <c r="Q550" i="22"/>
  <c r="Q556" i="22" s="1"/>
  <c r="CD125" i="2"/>
  <c r="L251" i="22" s="1"/>
  <c r="CH226" i="2"/>
  <c r="H71" i="36"/>
  <c r="C71" i="36" s="1"/>
  <c r="C15" i="36" s="1"/>
  <c r="S15" i="36" s="1"/>
  <c r="CK222" i="2"/>
  <c r="W15" i="36"/>
  <c r="D164" i="36"/>
  <c r="O590" i="3"/>
  <c r="AB7" i="12"/>
  <c r="AB39" i="12" s="1"/>
  <c r="AE282" i="2"/>
  <c r="D171" i="36"/>
  <c r="BC530" i="2"/>
  <c r="Z444" i="2"/>
  <c r="W5" i="36"/>
  <c r="Y3" i="36"/>
  <c r="W12" i="36"/>
  <c r="G432" i="37"/>
  <c r="G444" i="37" s="1"/>
  <c r="Y365" i="2"/>
  <c r="CS312" i="2"/>
  <c r="CS316" i="2" s="1"/>
  <c r="CO250" i="2" s="1"/>
  <c r="T36" i="19"/>
  <c r="T34" i="19" s="1"/>
  <c r="AB21" i="37"/>
  <c r="G45" i="5"/>
  <c r="C74" i="41"/>
  <c r="J16" i="36"/>
  <c r="F175" i="36" s="1"/>
  <c r="J89" i="4"/>
  <c r="D173" i="2"/>
  <c r="M421" i="19"/>
  <c r="M434" i="19" s="1"/>
  <c r="J88" i="10"/>
  <c r="J94" i="10" s="1"/>
  <c r="B1063" i="22"/>
  <c r="AD365" i="2"/>
  <c r="AM425" i="19"/>
  <c r="AM436" i="19" s="1"/>
  <c r="AR425" i="19"/>
  <c r="AR435" i="19" s="1"/>
  <c r="K85" i="35"/>
  <c r="K91" i="35"/>
  <c r="BM17" i="2"/>
  <c r="BM23" i="2" s="1"/>
  <c r="BM26" i="2" s="1"/>
  <c r="BM71" i="2" s="1"/>
  <c r="BM80" i="2" s="1"/>
  <c r="D168" i="2"/>
  <c r="AB5" i="12"/>
  <c r="AB37" i="12" s="1"/>
  <c r="AB44" i="12" s="1"/>
  <c r="BM330" i="2"/>
  <c r="S204" i="22"/>
  <c r="AK303" i="2"/>
  <c r="AK304" i="2" s="1"/>
  <c r="G94" i="43"/>
  <c r="Z208" i="2"/>
  <c r="Z278" i="2" s="1"/>
  <c r="Z295" i="2" s="1"/>
  <c r="Z320" i="2" s="1"/>
  <c r="D882" i="22" s="1"/>
  <c r="D896" i="22" s="1"/>
  <c r="BE358" i="2"/>
  <c r="P285" i="2"/>
  <c r="L33" i="11"/>
  <c r="L6" i="11" s="1"/>
  <c r="P343" i="15" s="1"/>
  <c r="B187" i="27"/>
  <c r="B195" i="27" s="1"/>
  <c r="J27" i="38"/>
  <c r="J64" i="38" s="1"/>
  <c r="J320" i="38" s="1"/>
  <c r="J396" i="38" s="1"/>
  <c r="AK226" i="2"/>
  <c r="AK285" i="2" s="1"/>
  <c r="CO285" i="2" s="1"/>
  <c r="B72" i="36"/>
  <c r="B112" i="36" s="1"/>
  <c r="B148" i="36" s="1"/>
  <c r="AH256" i="2"/>
  <c r="AH172" i="2" s="1"/>
  <c r="CE142" i="2"/>
  <c r="CD120" i="2"/>
  <c r="CN125" i="2"/>
  <c r="AY489" i="2"/>
  <c r="AY471" i="2" s="1"/>
  <c r="AM489" i="2"/>
  <c r="AM470" i="2" s="1"/>
  <c r="J1157" i="22" s="1"/>
  <c r="C52" i="10"/>
  <c r="F1284" i="22"/>
  <c r="F1290" i="22" s="1"/>
  <c r="CK284" i="2"/>
  <c r="R205" i="22"/>
  <c r="CC299" i="2"/>
  <c r="D83" i="43"/>
  <c r="J22" i="36"/>
  <c r="CD131" i="2"/>
  <c r="K132" i="12"/>
  <c r="K123" i="12" s="1"/>
  <c r="B1055" i="22"/>
  <c r="CV270" i="2"/>
  <c r="AR485" i="2"/>
  <c r="AR466" i="2" s="1"/>
  <c r="L2024" i="22" s="1"/>
  <c r="CK142" i="2"/>
  <c r="BF353" i="2"/>
  <c r="S52" i="11"/>
  <c r="AC17" i="2"/>
  <c r="AC35" i="2" s="1"/>
  <c r="AC50" i="2" s="1"/>
  <c r="F47" i="5"/>
  <c r="J237" i="19"/>
  <c r="J244" i="19" s="1"/>
  <c r="L285" i="2"/>
  <c r="B163" i="36"/>
  <c r="B199" i="36" s="1"/>
  <c r="B219" i="36" s="1"/>
  <c r="H103" i="36"/>
  <c r="C202" i="36" s="1"/>
  <c r="DD302" i="2"/>
  <c r="E54" i="5"/>
  <c r="O126" i="10"/>
  <c r="O132" i="10" s="1"/>
  <c r="F55" i="12"/>
  <c r="E15" i="4" s="1"/>
  <c r="E57" i="43"/>
  <c r="V285" i="2"/>
  <c r="K160" i="12"/>
  <c r="J49" i="4" s="1"/>
  <c r="AQ310" i="2" s="1"/>
  <c r="K104" i="36"/>
  <c r="F203" i="36" s="1"/>
  <c r="CW273" i="2"/>
  <c r="D2577" i="22"/>
  <c r="L8" i="36"/>
  <c r="P106" i="10" s="1"/>
  <c r="L148" i="27" s="1"/>
  <c r="J1324" i="22" s="1"/>
  <c r="AS497" i="2"/>
  <c r="AS480" i="2" s="1"/>
  <c r="M2026" i="22" s="1"/>
  <c r="AZ489" i="2"/>
  <c r="AZ471" i="2" s="1"/>
  <c r="AS485" i="2"/>
  <c r="AS466" i="2" s="1"/>
  <c r="M2024" i="22" s="1"/>
  <c r="AH485" i="2"/>
  <c r="AH466" i="2" s="1"/>
  <c r="F1156" i="22" s="1"/>
  <c r="BD353" i="2"/>
  <c r="G29" i="38"/>
  <c r="D31" i="37" s="1"/>
  <c r="N439" i="19"/>
  <c r="N446" i="19" s="1"/>
  <c r="O287" i="2"/>
  <c r="BR310" i="2"/>
  <c r="BE421" i="19"/>
  <c r="BE439" i="19" s="1"/>
  <c r="N153" i="36"/>
  <c r="H238" i="36" s="1"/>
  <c r="H110" i="36"/>
  <c r="C209" i="36" s="1"/>
  <c r="AP17" i="2"/>
  <c r="AP35" i="2" s="1"/>
  <c r="AP50" i="2" s="1"/>
  <c r="AP58" i="2" s="1"/>
  <c r="AP61" i="2" s="1"/>
  <c r="H70" i="36"/>
  <c r="W70" i="36" s="1"/>
  <c r="H192" i="36" s="1"/>
  <c r="AD328" i="2"/>
  <c r="AG442" i="19" s="1"/>
  <c r="AG443" i="19" s="1"/>
  <c r="AG449" i="19" s="1"/>
  <c r="AE369" i="2"/>
  <c r="AE384" i="2" s="1"/>
  <c r="E417" i="19"/>
  <c r="D173" i="36"/>
  <c r="AK287" i="2"/>
  <c r="CO287" i="2" s="1"/>
  <c r="G176" i="19"/>
  <c r="L29" i="27"/>
  <c r="T213" i="22"/>
  <c r="AR233" i="2"/>
  <c r="CG299" i="2"/>
  <c r="W299" i="15"/>
  <c r="E2023" i="22"/>
  <c r="I62" i="5"/>
  <c r="I63" i="5" s="1"/>
  <c r="J63" i="5" s="1"/>
  <c r="K63" i="5" s="1"/>
  <c r="L63" i="5" s="1"/>
  <c r="M63" i="5" s="1"/>
  <c r="N63" i="5" s="1"/>
  <c r="O63" i="5" s="1"/>
  <c r="P63" i="5" s="1"/>
  <c r="G85" i="35"/>
  <c r="L283" i="19"/>
  <c r="I60" i="5"/>
  <c r="N15" i="35"/>
  <c r="N28" i="35" s="1"/>
  <c r="Q317" i="2"/>
  <c r="Q334" i="2" s="1"/>
  <c r="E400" i="22"/>
  <c r="F23" i="19"/>
  <c r="M414" i="22" s="1"/>
  <c r="D1322" i="22"/>
  <c r="F1271" i="22"/>
  <c r="E319" i="22"/>
  <c r="CS142" i="2"/>
  <c r="G173" i="19"/>
  <c r="O80" i="11"/>
  <c r="AF362" i="2"/>
  <c r="U278" i="2"/>
  <c r="BX278" i="2" s="1"/>
  <c r="E62" i="12"/>
  <c r="E60" i="12"/>
  <c r="E58" i="12"/>
  <c r="H89" i="4"/>
  <c r="O393" i="2"/>
  <c r="H25" i="25"/>
  <c r="H26" i="25" s="1"/>
  <c r="AM253" i="2"/>
  <c r="AM169" i="2" s="1"/>
  <c r="CL193" i="2"/>
  <c r="K131" i="12"/>
  <c r="K122" i="12" s="1"/>
  <c r="AY226" i="2"/>
  <c r="AJ287" i="2"/>
  <c r="I143" i="2"/>
  <c r="O143" i="2"/>
  <c r="K230" i="25"/>
  <c r="E5" i="35"/>
  <c r="E26" i="35" s="1"/>
  <c r="E52" i="35" s="1"/>
  <c r="H151" i="33"/>
  <c r="AC150" i="33" s="1"/>
  <c r="AV151" i="2"/>
  <c r="U367" i="2"/>
  <c r="Q17" i="2"/>
  <c r="Q23" i="2" s="1"/>
  <c r="Q24" i="2" s="1"/>
  <c r="I106" i="36"/>
  <c r="D205" i="36" s="1"/>
  <c r="R199" i="33"/>
  <c r="R205" i="33" s="1"/>
  <c r="AD200" i="33" s="1"/>
  <c r="AO233" i="2"/>
  <c r="M178" i="12"/>
  <c r="I2261" i="22" s="1"/>
  <c r="BY242" i="2"/>
  <c r="AI442" i="19"/>
  <c r="AI443" i="19" s="1"/>
  <c r="AI449" i="19" s="1"/>
  <c r="N367" i="2"/>
  <c r="D374" i="2"/>
  <c r="G168" i="19"/>
  <c r="BE9" i="2"/>
  <c r="BE10" i="2" s="1"/>
  <c r="D62" i="5"/>
  <c r="F191" i="12"/>
  <c r="G189" i="12" s="1"/>
  <c r="I224" i="19"/>
  <c r="F63" i="36"/>
  <c r="K63" i="36" s="1"/>
  <c r="K7" i="36" s="1"/>
  <c r="V7" i="36" s="1"/>
  <c r="AT485" i="2"/>
  <c r="AT466" i="2" s="1"/>
  <c r="N2024" i="22" s="1"/>
  <c r="Q333" i="2"/>
  <c r="E169" i="36"/>
  <c r="B57" i="27"/>
  <c r="B73" i="27" s="1"/>
  <c r="J333" i="2"/>
  <c r="AI295" i="2"/>
  <c r="AI320" i="2" s="1"/>
  <c r="K882" i="22" s="1"/>
  <c r="K896" i="22" s="1"/>
  <c r="AF242" i="2"/>
  <c r="AF3" i="2" s="1"/>
  <c r="G19" i="25"/>
  <c r="H20" i="25" s="1"/>
  <c r="I72" i="5"/>
  <c r="L90" i="35"/>
  <c r="AA35" i="35"/>
  <c r="J42" i="27"/>
  <c r="Q393" i="2"/>
  <c r="J235" i="22"/>
  <c r="Q60" i="10"/>
  <c r="R60" i="10" s="1"/>
  <c r="S60" i="10" s="1"/>
  <c r="T60" i="10" s="1"/>
  <c r="U60" i="10" s="1"/>
  <c r="V60" i="10" s="1"/>
  <c r="W60" i="10" s="1"/>
  <c r="X60" i="10" s="1"/>
  <c r="Y60" i="10" s="1"/>
  <c r="Z60" i="10" s="1"/>
  <c r="AA60" i="10" s="1"/>
  <c r="AB60" i="10" s="1"/>
  <c r="AC60" i="10" s="1"/>
  <c r="AD60" i="10" s="1"/>
  <c r="AE60" i="10" s="1"/>
  <c r="E62" i="43"/>
  <c r="F63" i="43" s="1"/>
  <c r="J67" i="36"/>
  <c r="BW131" i="2"/>
  <c r="K18" i="36"/>
  <c r="G177" i="36" s="1"/>
  <c r="AG206" i="33"/>
  <c r="BJ347" i="2"/>
  <c r="BJ349" i="2" s="1"/>
  <c r="H57" i="19"/>
  <c r="F1285" i="22" s="1"/>
  <c r="J34" i="11"/>
  <c r="J38" i="11" s="1"/>
  <c r="J213" i="33"/>
  <c r="CG239" i="2"/>
  <c r="R75" i="25"/>
  <c r="N160" i="12"/>
  <c r="H1313" i="22" s="1"/>
  <c r="AI233" i="2"/>
  <c r="B87" i="35"/>
  <c r="V35" i="35"/>
  <c r="AM257" i="2"/>
  <c r="AM173" i="2" s="1"/>
  <c r="Y11" i="36"/>
  <c r="R303" i="15"/>
  <c r="R304" i="15" s="1"/>
  <c r="CC142" i="2"/>
  <c r="D181" i="2"/>
  <c r="D196" i="2" s="1"/>
  <c r="D250" i="2" s="1"/>
  <c r="F22" i="19"/>
  <c r="G172" i="19"/>
  <c r="J247" i="22"/>
  <c r="T333" i="2"/>
  <c r="L333" i="2"/>
  <c r="AL214" i="2"/>
  <c r="AK126" i="2"/>
  <c r="F170" i="36"/>
  <c r="G96" i="35"/>
  <c r="G98" i="35" s="1"/>
  <c r="I183" i="27"/>
  <c r="AF365" i="2"/>
  <c r="CK239" i="2"/>
  <c r="F54" i="5"/>
  <c r="G91" i="35"/>
  <c r="Z60" i="35"/>
  <c r="H16" i="35"/>
  <c r="F96" i="27"/>
  <c r="E95" i="27"/>
  <c r="L93" i="27"/>
  <c r="N76" i="36"/>
  <c r="BB530" i="2"/>
  <c r="AW489" i="2"/>
  <c r="AW471" i="2" s="1"/>
  <c r="P2025" i="22" s="1"/>
  <c r="W310" i="2"/>
  <c r="C173" i="27"/>
  <c r="F197" i="36"/>
  <c r="F217" i="36" s="1"/>
  <c r="K134" i="36"/>
  <c r="C208" i="12"/>
  <c r="N12" i="36"/>
  <c r="I171" i="36" s="1"/>
  <c r="H147" i="27"/>
  <c r="F1323" i="22" s="1"/>
  <c r="AI437" i="19"/>
  <c r="AB239" i="2"/>
  <c r="E208" i="12"/>
  <c r="N35" i="35"/>
  <c r="N46" i="35" s="1"/>
  <c r="U130" i="33"/>
  <c r="I71" i="36"/>
  <c r="X71" i="36" s="1"/>
  <c r="I193" i="36" s="1"/>
  <c r="P229" i="15"/>
  <c r="AW17" i="2"/>
  <c r="AI435" i="19"/>
  <c r="BC312" i="2"/>
  <c r="DD312" i="2" s="1"/>
  <c r="AP325" i="2"/>
  <c r="CV273" i="2"/>
  <c r="E174" i="36"/>
  <c r="AQ158" i="2"/>
  <c r="AW3" i="2"/>
  <c r="AW9" i="2" s="1"/>
  <c r="AW10" i="2" s="1"/>
  <c r="AT158" i="2"/>
  <c r="AT236" i="2" s="1"/>
  <c r="BL244" i="2"/>
  <c r="J94" i="12"/>
  <c r="F161" i="27" s="1"/>
  <c r="D1336" i="22" s="1"/>
  <c r="I111" i="36"/>
  <c r="D210" i="36" s="1"/>
  <c r="CY312" i="2"/>
  <c r="CY316" i="2" s="1"/>
  <c r="CT250" i="2" s="1"/>
  <c r="H49" i="10"/>
  <c r="DF263" i="2"/>
  <c r="B173" i="36"/>
  <c r="B209" i="36" s="1"/>
  <c r="B229" i="36" s="1"/>
  <c r="F343" i="25"/>
  <c r="G34" i="11"/>
  <c r="G38" i="11" s="1"/>
  <c r="G20" i="11" s="1"/>
  <c r="D60" i="5"/>
  <c r="I108" i="36"/>
  <c r="D207" i="36" s="1"/>
  <c r="B1052" i="22"/>
  <c r="AD304" i="2"/>
  <c r="U562" i="22" s="1"/>
  <c r="H28" i="15"/>
  <c r="F167" i="36"/>
  <c r="O45" i="22"/>
  <c r="O50" i="22" s="1"/>
  <c r="O51" i="22" s="1"/>
  <c r="AO236" i="2"/>
  <c r="BL390" i="2"/>
  <c r="C210" i="12"/>
  <c r="I81" i="12"/>
  <c r="D2037" i="22"/>
  <c r="D2038" i="22" s="1"/>
  <c r="AD211" i="33"/>
  <c r="CZ302" i="2"/>
  <c r="H18" i="36"/>
  <c r="W18" i="36" s="1"/>
  <c r="Y8" i="36"/>
  <c r="J1679" i="22"/>
  <c r="G80" i="27"/>
  <c r="G96" i="27" s="1"/>
  <c r="AY303" i="2"/>
  <c r="AY304" i="2" s="1"/>
  <c r="O154" i="10"/>
  <c r="O129" i="10" s="1"/>
  <c r="AW333" i="2"/>
  <c r="CP252" i="2" s="1"/>
  <c r="CP264" i="2" s="1"/>
  <c r="BL5" i="2"/>
  <c r="C117" i="12"/>
  <c r="BM338" i="2"/>
  <c r="BM348" i="2" s="1"/>
  <c r="W77" i="35"/>
  <c r="H44" i="12"/>
  <c r="H75" i="12" s="1"/>
  <c r="L89" i="4"/>
  <c r="K183" i="27"/>
  <c r="CR270" i="2"/>
  <c r="CR275" i="2" s="1"/>
  <c r="DG266" i="2" s="1"/>
  <c r="T47" i="36"/>
  <c r="AF497" i="2"/>
  <c r="AF479" i="2" s="1"/>
  <c r="E1158" i="22" s="1"/>
  <c r="AU385" i="2"/>
  <c r="CL203" i="2"/>
  <c r="CL195" i="2"/>
  <c r="CL194" i="2"/>
  <c r="AY143" i="2"/>
  <c r="AY145" i="2" s="1"/>
  <c r="U143" i="2"/>
  <c r="U145" i="2" s="1"/>
  <c r="K143" i="2"/>
  <c r="H179" i="12"/>
  <c r="D164" i="27"/>
  <c r="D197" i="27" s="1"/>
  <c r="C209" i="12"/>
  <c r="D6" i="35"/>
  <c r="D12" i="35" s="1"/>
  <c r="D13" i="35" s="1"/>
  <c r="J354" i="2"/>
  <c r="AT222" i="2"/>
  <c r="AT303" i="2" s="1"/>
  <c r="AT304" i="2" s="1"/>
  <c r="CN158" i="2"/>
  <c r="H1063" i="22" s="1"/>
  <c r="AR489" i="2"/>
  <c r="AR471" i="2" s="1"/>
  <c r="L2025" i="22" s="1"/>
  <c r="AF489" i="2"/>
  <c r="AF471" i="2" s="1"/>
  <c r="AW485" i="2"/>
  <c r="AW466" i="2" s="1"/>
  <c r="P2024" i="22" s="1"/>
  <c r="AJ485" i="2"/>
  <c r="AJ466" i="2" s="1"/>
  <c r="AE510" i="2"/>
  <c r="I5" i="35"/>
  <c r="AB5" i="35" s="1"/>
  <c r="BL421" i="19"/>
  <c r="BL439" i="19" s="1"/>
  <c r="AA5" i="35"/>
  <c r="M481" i="15"/>
  <c r="I170" i="36"/>
  <c r="W135" i="2"/>
  <c r="BZ135" i="2" s="1"/>
  <c r="D171" i="12"/>
  <c r="BB354" i="2"/>
  <c r="S204" i="33"/>
  <c r="AC204" i="33" s="1"/>
  <c r="H5" i="5"/>
  <c r="H13" i="5" s="1"/>
  <c r="I21" i="5" s="1"/>
  <c r="CN197" i="2"/>
  <c r="CN165" i="2"/>
  <c r="CU131" i="2"/>
  <c r="CI125" i="2"/>
  <c r="N143" i="2"/>
  <c r="W120" i="2"/>
  <c r="X282" i="2" s="1"/>
  <c r="E77" i="35"/>
  <c r="F77" i="35" s="1"/>
  <c r="CS217" i="2"/>
  <c r="G434" i="19"/>
  <c r="H419" i="19"/>
  <c r="F62" i="5"/>
  <c r="F2261" i="22"/>
  <c r="E91" i="27"/>
  <c r="E182" i="27"/>
  <c r="F95" i="27"/>
  <c r="F57" i="43"/>
  <c r="Z82" i="35"/>
  <c r="O34" i="35"/>
  <c r="N157" i="36"/>
  <c r="G70" i="12"/>
  <c r="K414" i="15" s="1"/>
  <c r="J30" i="5"/>
  <c r="J38" i="5" s="1"/>
  <c r="F2262" i="22"/>
  <c r="D169" i="12"/>
  <c r="G173" i="36"/>
  <c r="CV115" i="2"/>
  <c r="CV208" i="2" s="1"/>
  <c r="CR246" i="2" s="1"/>
  <c r="O7" i="35"/>
  <c r="F90" i="35"/>
  <c r="D82" i="35"/>
  <c r="D85" i="35" s="1"/>
  <c r="Z35" i="35"/>
  <c r="H6" i="35"/>
  <c r="H12" i="35" s="1"/>
  <c r="N79" i="12"/>
  <c r="P10" i="12"/>
  <c r="L15" i="27" s="1"/>
  <c r="F37" i="11"/>
  <c r="F19" i="11" s="1"/>
  <c r="E6" i="4" s="1"/>
  <c r="E146" i="10"/>
  <c r="D137" i="43"/>
  <c r="E100" i="43"/>
  <c r="F93" i="27"/>
  <c r="BO424" i="19"/>
  <c r="G124" i="19"/>
  <c r="H125" i="19" s="1"/>
  <c r="BC533" i="2"/>
  <c r="AR497" i="2"/>
  <c r="AN489" i="2"/>
  <c r="AN471" i="2" s="1"/>
  <c r="I2025" i="22" s="1"/>
  <c r="CO125" i="2"/>
  <c r="CG125" i="2"/>
  <c r="L120" i="36"/>
  <c r="B175" i="36"/>
  <c r="B194" i="36" s="1"/>
  <c r="K189" i="27"/>
  <c r="I25" i="36"/>
  <c r="I37" i="36" s="1"/>
  <c r="N22" i="36"/>
  <c r="N23" i="36" s="1"/>
  <c r="W134" i="2"/>
  <c r="BZ134" i="2" s="1"/>
  <c r="K30" i="5"/>
  <c r="K38" i="5" s="1"/>
  <c r="J65" i="12"/>
  <c r="I102" i="36"/>
  <c r="D201" i="36" s="1"/>
  <c r="C120" i="4"/>
  <c r="J79" i="4"/>
  <c r="K127" i="11" s="1"/>
  <c r="X13" i="36"/>
  <c r="G34" i="5"/>
  <c r="G50" i="5" s="1"/>
  <c r="K111" i="11"/>
  <c r="E151" i="33"/>
  <c r="BC534" i="2"/>
  <c r="O81" i="12"/>
  <c r="H58" i="12"/>
  <c r="E81" i="12"/>
  <c r="D23" i="5"/>
  <c r="X11" i="36"/>
  <c r="D168" i="36"/>
  <c r="J100" i="36"/>
  <c r="E199" i="36" s="1"/>
  <c r="I109" i="36"/>
  <c r="D208" i="36" s="1"/>
  <c r="D6" i="36"/>
  <c r="W79" i="35"/>
  <c r="D47" i="35"/>
  <c r="F171" i="12"/>
  <c r="E86" i="43"/>
  <c r="K95" i="27"/>
  <c r="K107" i="27"/>
  <c r="K123" i="27" s="1"/>
  <c r="AG394" i="19"/>
  <c r="H105" i="36"/>
  <c r="C204" i="36" s="1"/>
  <c r="Y4" i="36"/>
  <c r="G58" i="12"/>
  <c r="E172" i="36"/>
  <c r="I62" i="36"/>
  <c r="N62" i="36" s="1"/>
  <c r="X62" i="36" s="1"/>
  <c r="I183" i="36" s="1"/>
  <c r="K103" i="25"/>
  <c r="H173" i="19"/>
  <c r="H1311" i="22"/>
  <c r="K110" i="36"/>
  <c r="F209" i="36" s="1"/>
  <c r="AO143" i="2"/>
  <c r="AO145" i="2" s="1"/>
  <c r="C74" i="27"/>
  <c r="D90" i="27" s="1"/>
  <c r="BA153" i="2"/>
  <c r="K96" i="35"/>
  <c r="K101" i="35" s="1"/>
  <c r="R212" i="33"/>
  <c r="AD209" i="33" s="1"/>
  <c r="L126" i="2"/>
  <c r="I86" i="12"/>
  <c r="AG287" i="2" s="1"/>
  <c r="P504" i="15"/>
  <c r="AQ425" i="19"/>
  <c r="AQ435" i="19" s="1"/>
  <c r="W9" i="36"/>
  <c r="H171" i="19"/>
  <c r="E80" i="43"/>
  <c r="K390" i="15"/>
  <c r="H26" i="35"/>
  <c r="H52" i="35" s="1"/>
  <c r="G10" i="5"/>
  <c r="AD282" i="2"/>
  <c r="H169" i="19"/>
  <c r="B72" i="12"/>
  <c r="B237" i="14" s="1"/>
  <c r="L9" i="36"/>
  <c r="P87" i="11" s="1"/>
  <c r="P67" i="11" s="1"/>
  <c r="W5" i="35"/>
  <c r="G68" i="12"/>
  <c r="K368" i="15" s="1"/>
  <c r="CT273" i="2"/>
  <c r="S47" i="36"/>
  <c r="H25" i="36"/>
  <c r="H37" i="36" s="1"/>
  <c r="M76" i="36"/>
  <c r="BC536" i="2"/>
  <c r="AT497" i="2"/>
  <c r="AT479" i="2" s="1"/>
  <c r="AI497" i="2"/>
  <c r="AI480" i="2" s="1"/>
  <c r="E2026" i="22" s="1"/>
  <c r="AW497" i="2"/>
  <c r="AW480" i="2" s="1"/>
  <c r="P2026" i="22" s="1"/>
  <c r="AJ497" i="2"/>
  <c r="AJ479" i="2" s="1"/>
  <c r="H1158" i="22" s="1"/>
  <c r="AX497" i="2"/>
  <c r="AX480" i="2" s="1"/>
  <c r="Q2026" i="22" s="1"/>
  <c r="AK497" i="2"/>
  <c r="AK480" i="2" s="1"/>
  <c r="G2026" i="22" s="1"/>
  <c r="AY497" i="2"/>
  <c r="AY480" i="2" s="1"/>
  <c r="AZ497" i="2"/>
  <c r="AZ479" i="2" s="1"/>
  <c r="AN497" i="2"/>
  <c r="AN480" i="2" s="1"/>
  <c r="I2026" i="22" s="1"/>
  <c r="AE497" i="2"/>
  <c r="AE479" i="2" s="1"/>
  <c r="D1158" i="22" s="1"/>
  <c r="AS489" i="2"/>
  <c r="AS471" i="2" s="1"/>
  <c r="M2025" i="22" s="1"/>
  <c r="AH489" i="2"/>
  <c r="AH471" i="2" s="1"/>
  <c r="D2025" i="22" s="1"/>
  <c r="AI489" i="2"/>
  <c r="AI470" i="2" s="1"/>
  <c r="G1157" i="22" s="1"/>
  <c r="AX485" i="2"/>
  <c r="AX466" i="2" s="1"/>
  <c r="Q2024" i="22" s="1"/>
  <c r="AK485" i="2"/>
  <c r="AK466" i="2" s="1"/>
  <c r="G2024" i="22" s="1"/>
  <c r="AM485" i="2"/>
  <c r="AM466" i="2" s="1"/>
  <c r="J1156" i="22" s="1"/>
  <c r="AA84" i="35"/>
  <c r="F137" i="43"/>
  <c r="BO71" i="2"/>
  <c r="BO80" i="2" s="1"/>
  <c r="BQ390" i="2"/>
  <c r="W35" i="35"/>
  <c r="P360" i="3"/>
  <c r="I47" i="35"/>
  <c r="M79" i="12"/>
  <c r="K199" i="27"/>
  <c r="AT425" i="19"/>
  <c r="AT436" i="19" s="1"/>
  <c r="AO489" i="2"/>
  <c r="AO471" i="2" s="1"/>
  <c r="J2025" i="22" s="1"/>
  <c r="AE489" i="2"/>
  <c r="AE471" i="2" s="1"/>
  <c r="AD442" i="2"/>
  <c r="O21" i="35"/>
  <c r="H70" i="5"/>
  <c r="I34" i="5"/>
  <c r="I50" i="5" s="1"/>
  <c r="L100" i="35"/>
  <c r="W65" i="36"/>
  <c r="H186" i="36" s="1"/>
  <c r="BX242" i="2"/>
  <c r="E61" i="12"/>
  <c r="D318" i="10"/>
  <c r="AU390" i="2"/>
  <c r="G333" i="2"/>
  <c r="AM247" i="2"/>
  <c r="AM163" i="2" s="1"/>
  <c r="CZ142" i="2"/>
  <c r="DL142" i="2" s="1"/>
  <c r="Y287" i="2"/>
  <c r="P287" i="2"/>
  <c r="DA131" i="2"/>
  <c r="CJ131" i="2"/>
  <c r="Z286" i="2"/>
  <c r="I285" i="2"/>
  <c r="CW278" i="2"/>
  <c r="CW295" i="2" s="1"/>
  <c r="CW315" i="2" s="1"/>
  <c r="AY295" i="2"/>
  <c r="AY320" i="2" s="1"/>
  <c r="M59" i="35"/>
  <c r="AB59" i="35" s="1"/>
  <c r="L65" i="35"/>
  <c r="AA59" i="35"/>
  <c r="L62" i="35"/>
  <c r="L64" i="12"/>
  <c r="H80" i="27"/>
  <c r="L55" i="12"/>
  <c r="K15" i="4" s="1"/>
  <c r="H390" i="15"/>
  <c r="D38" i="12"/>
  <c r="D17" i="12" s="1"/>
  <c r="J70" i="36"/>
  <c r="Y70" i="36" s="1"/>
  <c r="Y14" i="36"/>
  <c r="I184" i="19"/>
  <c r="F1997" i="22"/>
  <c r="F1998" i="22" s="1"/>
  <c r="F2010" i="22" s="1"/>
  <c r="BF378" i="2"/>
  <c r="D28" i="35"/>
  <c r="AS238" i="2"/>
  <c r="BX131" i="2"/>
  <c r="L71" i="35"/>
  <c r="AA71" i="35" s="1"/>
  <c r="AI439" i="19"/>
  <c r="AI446" i="19" s="1"/>
  <c r="AI434" i="19"/>
  <c r="D100" i="43"/>
  <c r="K55" i="12"/>
  <c r="J15" i="4" s="1"/>
  <c r="J125" i="4" s="1"/>
  <c r="E2037" i="22"/>
  <c r="E2055" i="22" s="1"/>
  <c r="L23" i="27"/>
  <c r="L187" i="27"/>
  <c r="C39" i="12"/>
  <c r="C18" i="12" s="1"/>
  <c r="R210" i="22"/>
  <c r="G46" i="5"/>
  <c r="BB222" i="2"/>
  <c r="C33" i="11"/>
  <c r="C15" i="11" s="1"/>
  <c r="AF286" i="2"/>
  <c r="I33" i="4"/>
  <c r="I117" i="4" s="1"/>
  <c r="J171" i="12"/>
  <c r="J172" i="12" s="1"/>
  <c r="D523" i="22"/>
  <c r="D1311" i="22"/>
  <c r="D1317" i="22" s="1"/>
  <c r="J86" i="12"/>
  <c r="AL287" i="2" s="1"/>
  <c r="Q18" i="12"/>
  <c r="R18" i="12" s="1"/>
  <c r="S18" i="12" s="1"/>
  <c r="L28" i="27"/>
  <c r="E12" i="43"/>
  <c r="F12" i="43"/>
  <c r="AD19" i="37"/>
  <c r="H1327" i="22"/>
  <c r="D434" i="19"/>
  <c r="D439" i="19"/>
  <c r="D446" i="19" s="1"/>
  <c r="BR423" i="19"/>
  <c r="D40" i="12"/>
  <c r="D19" i="12" s="1"/>
  <c r="L60" i="35"/>
  <c r="G65" i="43"/>
  <c r="G78" i="43" s="1"/>
  <c r="E59" i="12"/>
  <c r="D2730" i="22"/>
  <c r="D2742" i="22" s="1"/>
  <c r="C67" i="43"/>
  <c r="C72" i="43" s="1"/>
  <c r="P5" i="11"/>
  <c r="L7" i="27" s="1"/>
  <c r="CQ278" i="2"/>
  <c r="CQ295" i="2" s="1"/>
  <c r="CQ315" i="2" s="1"/>
  <c r="BF142" i="2"/>
  <c r="DB142" i="2" s="1"/>
  <c r="E207" i="12"/>
  <c r="E206" i="12"/>
  <c r="S203" i="22"/>
  <c r="BH23" i="2"/>
  <c r="BH26" i="2" s="1"/>
  <c r="BH35" i="2"/>
  <c r="BH50" i="2" s="1"/>
  <c r="BH58" i="2" s="1"/>
  <c r="BH61" i="2" s="1"/>
  <c r="N52" i="11"/>
  <c r="J57" i="27" s="1"/>
  <c r="R299" i="15"/>
  <c r="E25" i="3"/>
  <c r="H21" i="3"/>
  <c r="I21" i="3" s="1"/>
  <c r="C78" i="3"/>
  <c r="I9" i="35"/>
  <c r="I6" i="35" s="1"/>
  <c r="I49" i="4"/>
  <c r="I104" i="4" s="1"/>
  <c r="D524" i="22"/>
  <c r="D1313" i="22"/>
  <c r="I1269" i="22"/>
  <c r="O76" i="11"/>
  <c r="I1270" i="22" s="1"/>
  <c r="P129" i="10"/>
  <c r="J1263" i="22"/>
  <c r="J105" i="4"/>
  <c r="AQ301" i="2"/>
  <c r="AO425" i="19"/>
  <c r="AO435" i="19" s="1"/>
  <c r="AO442" i="19"/>
  <c r="AO443" i="19" s="1"/>
  <c r="AO449" i="19" s="1"/>
  <c r="AS424" i="19"/>
  <c r="BS424" i="19" s="1"/>
  <c r="AQ434" i="19"/>
  <c r="BQ421" i="19"/>
  <c r="AQ451" i="19" s="1"/>
  <c r="AQ457" i="19" s="1"/>
  <c r="AQ439" i="19"/>
  <c r="AQ446" i="19" s="1"/>
  <c r="B65" i="36"/>
  <c r="B105" i="36" s="1"/>
  <c r="B141" i="36" s="1"/>
  <c r="B168" i="36"/>
  <c r="B186" i="36" s="1"/>
  <c r="K393" i="2"/>
  <c r="BI312" i="2"/>
  <c r="BI314" i="2" s="1"/>
  <c r="BI330" i="2"/>
  <c r="BF355" i="2" s="1"/>
  <c r="CN239" i="2"/>
  <c r="G1770" i="22"/>
  <c r="G1805" i="22" s="1"/>
  <c r="CR239" i="2"/>
  <c r="BG330" i="2"/>
  <c r="J355" i="2" s="1"/>
  <c r="K52" i="35"/>
  <c r="BG242" i="2"/>
  <c r="BG3" i="2" s="1"/>
  <c r="DB227" i="2"/>
  <c r="P561" i="22"/>
  <c r="AE559" i="22" s="1"/>
  <c r="Y285" i="2"/>
  <c r="Y222" i="2"/>
  <c r="J323" i="22"/>
  <c r="J324" i="22" s="1"/>
  <c r="J344" i="22" s="1"/>
  <c r="J330" i="22" s="1"/>
  <c r="CA226" i="2"/>
  <c r="H910" i="22"/>
  <c r="L910" i="22"/>
  <c r="AI226" i="2"/>
  <c r="AI285" i="2" s="1"/>
  <c r="AI284" i="2"/>
  <c r="CI284" i="2" s="1"/>
  <c r="CI222" i="2"/>
  <c r="G319" i="22"/>
  <c r="N249" i="22"/>
  <c r="AJ258" i="2"/>
  <c r="AJ174" i="2" s="1"/>
  <c r="CN174" i="2" s="1"/>
  <c r="CN204" i="2"/>
  <c r="B1061" i="22"/>
  <c r="D234" i="2"/>
  <c r="D455" i="2" s="1"/>
  <c r="D171" i="2"/>
  <c r="J90" i="12"/>
  <c r="F157" i="27" s="1"/>
  <c r="D1332" i="22" s="1"/>
  <c r="D1296" i="22"/>
  <c r="CN142" i="2"/>
  <c r="CM142" i="2"/>
  <c r="AE287" i="2"/>
  <c r="CF142" i="2"/>
  <c r="U287" i="2"/>
  <c r="BX142" i="2"/>
  <c r="BW142" i="2"/>
  <c r="AO286" i="2"/>
  <c r="CN131" i="2"/>
  <c r="CF131" i="2"/>
  <c r="AE286" i="2"/>
  <c r="AE143" i="2"/>
  <c r="AE145" i="2" s="1"/>
  <c r="CG131" i="2"/>
  <c r="BY131" i="2"/>
  <c r="U285" i="2"/>
  <c r="N285" i="2"/>
  <c r="M143" i="2"/>
  <c r="CL129" i="2"/>
  <c r="AM251" i="2"/>
  <c r="AM167" i="2" s="1"/>
  <c r="CJ125" i="2"/>
  <c r="CK125" i="2"/>
  <c r="L890" i="22"/>
  <c r="Z283" i="2"/>
  <c r="Y283" i="2"/>
  <c r="CB125" i="2"/>
  <c r="J251" i="22" s="1"/>
  <c r="BB484" i="2"/>
  <c r="BB125" i="2"/>
  <c r="CY125" i="2" s="1"/>
  <c r="AM215" i="2"/>
  <c r="AM217" i="2" s="1"/>
  <c r="AM325" i="2" s="1"/>
  <c r="AE215" i="2"/>
  <c r="AF215" i="2" s="1"/>
  <c r="T126" i="2"/>
  <c r="AS215" i="2"/>
  <c r="AW126" i="2"/>
  <c r="AM126" i="2"/>
  <c r="H126" i="2"/>
  <c r="AH126" i="2"/>
  <c r="AC126" i="2"/>
  <c r="AF126" i="2"/>
  <c r="AP126" i="2"/>
  <c r="K126" i="2"/>
  <c r="Z126" i="2"/>
  <c r="I126" i="2"/>
  <c r="BG126" i="2"/>
  <c r="S126" i="2"/>
  <c r="J126" i="2"/>
  <c r="AS126" i="2"/>
  <c r="P126" i="2"/>
  <c r="AZ126" i="2"/>
  <c r="AD126" i="2"/>
  <c r="BW120" i="2"/>
  <c r="S143" i="2"/>
  <c r="S145" i="2" s="1"/>
  <c r="CH119" i="2"/>
  <c r="AG120" i="2"/>
  <c r="AH282" i="2" s="1"/>
  <c r="DD115" i="2"/>
  <c r="BI208" i="2"/>
  <c r="BI278" i="2" s="1"/>
  <c r="AY461" i="2"/>
  <c r="AY444" i="2"/>
  <c r="X461" i="2"/>
  <c r="X444" i="2"/>
  <c r="O550" i="22"/>
  <c r="O556" i="22" s="1"/>
  <c r="K421" i="19"/>
  <c r="K439" i="19" s="1"/>
  <c r="K446" i="19" s="1"/>
  <c r="P122" i="25"/>
  <c r="N193" i="25" s="1"/>
  <c r="L209" i="27"/>
  <c r="G2988" i="22"/>
  <c r="K70" i="19"/>
  <c r="K77" i="19" s="1"/>
  <c r="R34" i="33"/>
  <c r="J151" i="33"/>
  <c r="AE148" i="33" s="1"/>
  <c r="BL344" i="2"/>
  <c r="BL347" i="2"/>
  <c r="G181" i="12"/>
  <c r="K93" i="12"/>
  <c r="K130" i="12"/>
  <c r="K121" i="12" s="1"/>
  <c r="C40" i="12"/>
  <c r="C19" i="12" s="1"/>
  <c r="G459" i="15"/>
  <c r="C37" i="12"/>
  <c r="C16" i="12" s="1"/>
  <c r="C55" i="12"/>
  <c r="G367" i="15"/>
  <c r="K10" i="27"/>
  <c r="K42" i="27" s="1"/>
  <c r="S366" i="15"/>
  <c r="F32" i="12"/>
  <c r="E42" i="12"/>
  <c r="E32" i="12"/>
  <c r="B70" i="12"/>
  <c r="B60" i="12"/>
  <c r="I72" i="27"/>
  <c r="J104" i="27" s="1"/>
  <c r="J120" i="27" s="1"/>
  <c r="M33" i="11"/>
  <c r="M6" i="11" s="1"/>
  <c r="Q343" i="15" s="1"/>
  <c r="M32" i="11"/>
  <c r="M5" i="11" s="1"/>
  <c r="Q321" i="15"/>
  <c r="N67" i="11"/>
  <c r="BA129" i="2"/>
  <c r="CX129" i="2" s="1"/>
  <c r="M46" i="11"/>
  <c r="L14" i="4" s="1"/>
  <c r="M22" i="4" s="1"/>
  <c r="I71" i="27"/>
  <c r="J87" i="27" s="1"/>
  <c r="P37" i="11"/>
  <c r="P55" i="11" s="1"/>
  <c r="D29" i="4"/>
  <c r="G5" i="1" s="1"/>
  <c r="E62" i="10"/>
  <c r="I69" i="27"/>
  <c r="J85" i="27" s="1"/>
  <c r="BA123" i="2"/>
  <c r="CX123" i="2" s="1"/>
  <c r="M33" i="10"/>
  <c r="M6" i="10" s="1"/>
  <c r="Q251" i="15" s="1"/>
  <c r="L32" i="10"/>
  <c r="L5" i="10" s="1"/>
  <c r="H4" i="27" s="1"/>
  <c r="H36" i="27" s="1"/>
  <c r="H68" i="27"/>
  <c r="H14" i="10"/>
  <c r="H23" i="10" s="1"/>
  <c r="T206" i="22"/>
  <c r="F18" i="43"/>
  <c r="F17" i="43" s="1"/>
  <c r="F20" i="43" s="1"/>
  <c r="F24" i="43" s="1"/>
  <c r="F143" i="43"/>
  <c r="F142" i="43" s="1"/>
  <c r="F145" i="43" s="1"/>
  <c r="F146" i="43" s="1"/>
  <c r="E1997" i="22"/>
  <c r="E2009" i="22" s="1"/>
  <c r="D2294" i="22"/>
  <c r="F1234" i="22"/>
  <c r="F1235" i="22" s="1"/>
  <c r="F1245" i="22" s="1"/>
  <c r="BA378" i="2"/>
  <c r="D2100" i="22"/>
  <c r="L64" i="4"/>
  <c r="D2338" i="22"/>
  <c r="F27" i="4"/>
  <c r="E112" i="4"/>
  <c r="E43" i="4" s="1"/>
  <c r="E56" i="4" s="1"/>
  <c r="E74" i="4" s="1"/>
  <c r="E86" i="4" s="1"/>
  <c r="M518" i="19"/>
  <c r="K518" i="19"/>
  <c r="AN425" i="19"/>
  <c r="AN436" i="19" s="1"/>
  <c r="BH421" i="19"/>
  <c r="AH439" i="19"/>
  <c r="AH446" i="19" s="1"/>
  <c r="H253" i="19"/>
  <c r="C206" i="12"/>
  <c r="E78" i="35"/>
  <c r="F78" i="35" s="1"/>
  <c r="BM342" i="2"/>
  <c r="X208" i="2"/>
  <c r="X278" i="2" s="1"/>
  <c r="X295" i="2" s="1"/>
  <c r="X320" i="2" s="1"/>
  <c r="K46" i="35"/>
  <c r="K53" i="35" s="1"/>
  <c r="J181" i="12"/>
  <c r="B87" i="27"/>
  <c r="B119" i="27" s="1"/>
  <c r="B134" i="27" s="1"/>
  <c r="B84" i="35"/>
  <c r="AT126" i="2"/>
  <c r="CU142" i="2"/>
  <c r="DG142" i="2" s="1"/>
  <c r="AH215" i="2"/>
  <c r="AH217" i="2" s="1"/>
  <c r="G127" i="11"/>
  <c r="J169" i="12"/>
  <c r="X58" i="36"/>
  <c r="N127" i="12"/>
  <c r="N118" i="12" s="1"/>
  <c r="AV141" i="2"/>
  <c r="CT141" i="2" s="1"/>
  <c r="N126" i="2"/>
  <c r="AY126" i="2"/>
  <c r="F126" i="2"/>
  <c r="BG388" i="2"/>
  <c r="C12" i="35"/>
  <c r="C18" i="35"/>
  <c r="C21" i="35" s="1"/>
  <c r="C7" i="35"/>
  <c r="D55" i="12"/>
  <c r="C15" i="4" s="1"/>
  <c r="D37" i="12"/>
  <c r="D16" i="12" s="1"/>
  <c r="H367" i="15"/>
  <c r="C47" i="11"/>
  <c r="C46" i="11"/>
  <c r="R22" i="15"/>
  <c r="E2294" i="22"/>
  <c r="F2018" i="22"/>
  <c r="G204" i="27"/>
  <c r="G238" i="27" s="1"/>
  <c r="K186" i="27"/>
  <c r="H204" i="27" s="1"/>
  <c r="H222" i="27" s="1"/>
  <c r="I176" i="14"/>
  <c r="H176" i="14"/>
  <c r="G40" i="27"/>
  <c r="D197" i="36"/>
  <c r="D217" i="36" s="1"/>
  <c r="I134" i="36"/>
  <c r="F38" i="11"/>
  <c r="F20" i="11" s="1"/>
  <c r="C79" i="3"/>
  <c r="H31" i="3"/>
  <c r="I31" i="3" s="1"/>
  <c r="M81" i="35"/>
  <c r="AA81" i="35"/>
  <c r="AA79" i="35"/>
  <c r="M79" i="35"/>
  <c r="G72" i="35"/>
  <c r="Z72" i="35" s="1"/>
  <c r="Z71" i="35"/>
  <c r="H65" i="35"/>
  <c r="H60" i="35"/>
  <c r="J59" i="35"/>
  <c r="J71" i="35" s="1"/>
  <c r="F542" i="19"/>
  <c r="J81" i="12"/>
  <c r="C70" i="3"/>
  <c r="G1234" i="22"/>
  <c r="G1235" i="22" s="1"/>
  <c r="G1245" i="22" s="1"/>
  <c r="AQ141" i="2"/>
  <c r="E1302" i="22"/>
  <c r="E210" i="12"/>
  <c r="M285" i="2"/>
  <c r="C121" i="3"/>
  <c r="E2325" i="22"/>
  <c r="E2332" i="22" s="1"/>
  <c r="BI421" i="19"/>
  <c r="AI451" i="19" s="1"/>
  <c r="AI457" i="19" s="1"/>
  <c r="AD35" i="35"/>
  <c r="D57" i="43"/>
  <c r="R333" i="2"/>
  <c r="R17" i="2"/>
  <c r="R316" i="2"/>
  <c r="R367" i="2" s="1"/>
  <c r="AU325" i="2"/>
  <c r="BB3" i="2"/>
  <c r="BB334" i="2" s="1"/>
  <c r="CT247" i="2"/>
  <c r="CT248" i="2" s="1"/>
  <c r="BC242" i="2"/>
  <c r="CU247" i="2" s="1"/>
  <c r="CU248" i="2" s="1"/>
  <c r="BC388" i="2"/>
  <c r="BY226" i="2"/>
  <c r="H323" i="22"/>
  <c r="H324" i="22" s="1"/>
  <c r="H344" i="22" s="1"/>
  <c r="AA226" i="2"/>
  <c r="CG226" i="2" s="1"/>
  <c r="K247" i="22"/>
  <c r="CC278" i="2"/>
  <c r="CC295" i="2" s="1"/>
  <c r="CC315" i="2" s="1"/>
  <c r="CP278" i="2"/>
  <c r="CP295" i="2" s="1"/>
  <c r="CP315" i="2" s="1"/>
  <c r="AR295" i="2"/>
  <c r="AR320" i="2" s="1"/>
  <c r="V295" i="2"/>
  <c r="BY278" i="2"/>
  <c r="AN287" i="2"/>
  <c r="AD287" i="2"/>
  <c r="T287" i="2"/>
  <c r="G19" i="4"/>
  <c r="D22" i="5"/>
  <c r="C218" i="12"/>
  <c r="J191" i="12"/>
  <c r="K186" i="12" s="1"/>
  <c r="AD149" i="12"/>
  <c r="K92" i="12"/>
  <c r="A1365" i="22" s="1"/>
  <c r="K129" i="12"/>
  <c r="K120" i="12" s="1"/>
  <c r="P65" i="12"/>
  <c r="N130" i="12"/>
  <c r="N121" i="12" s="1"/>
  <c r="K44" i="27"/>
  <c r="L61" i="10"/>
  <c r="N235" i="22" s="1"/>
  <c r="CX124" i="2"/>
  <c r="E18" i="43"/>
  <c r="E17" i="43" s="1"/>
  <c r="E20" i="43" s="1"/>
  <c r="E24" i="43" s="1"/>
  <c r="E107" i="43"/>
  <c r="E106" i="43" s="1"/>
  <c r="E109" i="43" s="1"/>
  <c r="E113" i="43" s="1"/>
  <c r="D12" i="43"/>
  <c r="I63" i="4"/>
  <c r="J199" i="27"/>
  <c r="C192" i="27"/>
  <c r="H219" i="27"/>
  <c r="K48" i="19"/>
  <c r="BA128" i="2"/>
  <c r="CX128" i="2" s="1"/>
  <c r="I8" i="19"/>
  <c r="J29" i="19" s="1"/>
  <c r="G208" i="36"/>
  <c r="M145" i="36"/>
  <c r="G228" i="36" s="1"/>
  <c r="F174" i="36"/>
  <c r="J111" i="36"/>
  <c r="E210" i="36" s="1"/>
  <c r="B66" i="36"/>
  <c r="B106" i="36" s="1"/>
  <c r="B142" i="36" s="1"/>
  <c r="B50" i="36"/>
  <c r="B169" i="36"/>
  <c r="W7" i="36"/>
  <c r="H21" i="36"/>
  <c r="Y5" i="36"/>
  <c r="F164" i="36"/>
  <c r="BB523" i="2"/>
  <c r="BB532" i="2" s="1"/>
  <c r="BB531" i="2"/>
  <c r="BC489" i="2"/>
  <c r="BJ342" i="2"/>
  <c r="BJ344" i="2"/>
  <c r="N143" i="10"/>
  <c r="H1260" i="22" s="1"/>
  <c r="DB302" i="2"/>
  <c r="H281" i="22"/>
  <c r="F883" i="22"/>
  <c r="D1302" i="22"/>
  <c r="J93" i="12"/>
  <c r="F160" i="27" s="1"/>
  <c r="K100" i="12"/>
  <c r="AP233" i="2"/>
  <c r="AP238" i="2" s="1"/>
  <c r="AP259" i="2" s="1"/>
  <c r="AJ233" i="2"/>
  <c r="DD131" i="2"/>
  <c r="BH143" i="2"/>
  <c r="J160" i="33" s="1"/>
  <c r="J161" i="33" s="1"/>
  <c r="CE131" i="2"/>
  <c r="F904" i="22"/>
  <c r="AB132" i="2"/>
  <c r="AC285" i="2" s="1"/>
  <c r="AA282" i="2"/>
  <c r="CB120" i="2"/>
  <c r="D92" i="27"/>
  <c r="B193" i="36"/>
  <c r="B85" i="35"/>
  <c r="B98" i="35"/>
  <c r="D49" i="4"/>
  <c r="D62" i="4" s="1"/>
  <c r="E169" i="12"/>
  <c r="L64" i="27"/>
  <c r="Q74" i="12"/>
  <c r="R74" i="12" s="1"/>
  <c r="S74" i="12" s="1"/>
  <c r="T74" i="12" s="1"/>
  <c r="U74" i="12" s="1"/>
  <c r="V74" i="12" s="1"/>
  <c r="W74" i="12" s="1"/>
  <c r="X74" i="12" s="1"/>
  <c r="Y74" i="12" s="1"/>
  <c r="Z74" i="12" s="1"/>
  <c r="AA74" i="12" s="1"/>
  <c r="H79" i="27"/>
  <c r="L63" i="12"/>
  <c r="AV140" i="2"/>
  <c r="CT140" i="2" s="1"/>
  <c r="DF141" i="2" s="1"/>
  <c r="L41" i="12"/>
  <c r="L9" i="12" s="1"/>
  <c r="L62" i="12"/>
  <c r="AV138" i="2"/>
  <c r="P459" i="15"/>
  <c r="H75" i="27"/>
  <c r="H91" i="27" s="1"/>
  <c r="P390" i="15"/>
  <c r="H74" i="27"/>
  <c r="AV134" i="2"/>
  <c r="CT134" i="2" s="1"/>
  <c r="L37" i="12"/>
  <c r="L5" i="12" s="1"/>
  <c r="H10" i="27" s="1"/>
  <c r="H42" i="27" s="1"/>
  <c r="J103" i="11"/>
  <c r="F75" i="4"/>
  <c r="F121" i="4" s="1"/>
  <c r="F11" i="27"/>
  <c r="F43" i="27" s="1"/>
  <c r="L6" i="5"/>
  <c r="M6" i="5" s="1"/>
  <c r="F40" i="27"/>
  <c r="E46" i="27"/>
  <c r="V23" i="2"/>
  <c r="V35" i="2"/>
  <c r="V50" i="2" s="1"/>
  <c r="E63" i="12"/>
  <c r="P7" i="10"/>
  <c r="Q7" i="10" s="1"/>
  <c r="J910" i="22"/>
  <c r="DA125" i="2"/>
  <c r="BV120" i="2"/>
  <c r="E340" i="25"/>
  <c r="CM164" i="2"/>
  <c r="W64" i="36"/>
  <c r="H185" i="36" s="1"/>
  <c r="G109" i="43"/>
  <c r="AG131" i="2"/>
  <c r="CH131" i="2" s="1"/>
  <c r="CU273" i="2"/>
  <c r="AS143" i="2"/>
  <c r="AI143" i="2"/>
  <c r="AI145" i="2" s="1"/>
  <c r="K1749" i="22"/>
  <c r="CO166" i="2"/>
  <c r="E45" i="27"/>
  <c r="J57" i="19"/>
  <c r="H1285" i="22" s="1"/>
  <c r="CH128" i="2"/>
  <c r="CN201" i="2"/>
  <c r="AL132" i="2"/>
  <c r="C16" i="14" s="1"/>
  <c r="N378" i="2"/>
  <c r="N393" i="2" s="1"/>
  <c r="M393" i="2"/>
  <c r="AE35" i="2"/>
  <c r="AE50" i="2" s="1"/>
  <c r="AE23" i="2"/>
  <c r="O49" i="4"/>
  <c r="L173" i="27" s="1"/>
  <c r="F2747" i="22"/>
  <c r="BD4" i="2"/>
  <c r="BD5" i="2" s="1"/>
  <c r="BD9" i="2"/>
  <c r="BD10" i="2" s="1"/>
  <c r="F8" i="41"/>
  <c r="E7" i="41"/>
  <c r="AR460" i="19"/>
  <c r="AR461" i="19" s="1"/>
  <c r="BR424" i="19"/>
  <c r="AR442" i="19"/>
  <c r="AR443" i="19" s="1"/>
  <c r="AR449" i="19" s="1"/>
  <c r="AV424" i="19"/>
  <c r="AV425" i="19" s="1"/>
  <c r="AQ370" i="2"/>
  <c r="O584" i="3"/>
  <c r="CK131" i="2"/>
  <c r="BP421" i="19"/>
  <c r="BP439" i="19" s="1"/>
  <c r="N575" i="3"/>
  <c r="BY125" i="2"/>
  <c r="G251" i="22" s="1"/>
  <c r="N283" i="2"/>
  <c r="B60" i="4"/>
  <c r="B78" i="4" s="1"/>
  <c r="E1300" i="22"/>
  <c r="CZ242" i="2"/>
  <c r="G68" i="27"/>
  <c r="G84" i="27" s="1"/>
  <c r="E6" i="35"/>
  <c r="E12" i="35" s="1"/>
  <c r="E27" i="35" s="1"/>
  <c r="E29" i="35" s="1"/>
  <c r="R366" i="15"/>
  <c r="M67" i="11"/>
  <c r="H63" i="36"/>
  <c r="W63" i="36" s="1"/>
  <c r="H184" i="36" s="1"/>
  <c r="F44" i="19"/>
  <c r="F68" i="19" s="1"/>
  <c r="L3" i="2"/>
  <c r="M63" i="12"/>
  <c r="CL278" i="2"/>
  <c r="CL295" i="2" s="1"/>
  <c r="CL315" i="2" s="1"/>
  <c r="AV123" i="2"/>
  <c r="CT123" i="2" s="1"/>
  <c r="CB142" i="2"/>
  <c r="AJ143" i="2"/>
  <c r="AJ145" i="2" s="1"/>
  <c r="AR418" i="19"/>
  <c r="AR420" i="19" s="1"/>
  <c r="G80" i="5"/>
  <c r="F80" i="5" s="1"/>
  <c r="K80" i="12"/>
  <c r="E1311" i="22" s="1"/>
  <c r="L73" i="27"/>
  <c r="L89" i="27" s="1"/>
  <c r="N15" i="4"/>
  <c r="N125" i="4" s="1"/>
  <c r="H28" i="38"/>
  <c r="H295" i="38" s="1"/>
  <c r="H62" i="36"/>
  <c r="M62" i="36" s="1"/>
  <c r="W62" i="36" s="1"/>
  <c r="H183" i="36" s="1"/>
  <c r="AJ303" i="2"/>
  <c r="AJ304" i="2" s="1"/>
  <c r="G910" i="22"/>
  <c r="G897" i="22" s="1"/>
  <c r="AR222" i="2"/>
  <c r="BZ119" i="2"/>
  <c r="BZ304" i="2"/>
  <c r="DB115" i="2"/>
  <c r="DB208" i="2" s="1"/>
  <c r="E49" i="4"/>
  <c r="E62" i="4" s="1"/>
  <c r="CN195" i="2"/>
  <c r="P116" i="25"/>
  <c r="AJ226" i="2"/>
  <c r="L217" i="33"/>
  <c r="M197" i="33" s="1"/>
  <c r="U197" i="33" s="1"/>
  <c r="AJ255" i="2"/>
  <c r="AJ171" i="2" s="1"/>
  <c r="CN171" i="2" s="1"/>
  <c r="BI242" i="2"/>
  <c r="AG412" i="2"/>
  <c r="CL202" i="2"/>
  <c r="CL201" i="2"/>
  <c r="CL200" i="2"/>
  <c r="CL199" i="2"/>
  <c r="CL198" i="2"/>
  <c r="CD142" i="2"/>
  <c r="C340" i="25"/>
  <c r="G187" i="27"/>
  <c r="G195" i="27" s="1"/>
  <c r="S215" i="19"/>
  <c r="D246" i="12"/>
  <c r="E246" i="12" s="1"/>
  <c r="E252" i="12" s="1"/>
  <c r="V143" i="2"/>
  <c r="V145" i="2" s="1"/>
  <c r="S412" i="15"/>
  <c r="K110" i="12"/>
  <c r="D1582" i="22" s="1"/>
  <c r="BM347" i="2"/>
  <c r="AV130" i="2"/>
  <c r="CT130" i="2" s="1"/>
  <c r="K367" i="2"/>
  <c r="K212" i="36"/>
  <c r="D188" i="2"/>
  <c r="D203" i="2" s="1"/>
  <c r="D257" i="2" s="1"/>
  <c r="L367" i="2"/>
  <c r="I79" i="27"/>
  <c r="H46" i="35"/>
  <c r="H47" i="35" s="1"/>
  <c r="B1057" i="22"/>
  <c r="P17" i="12"/>
  <c r="P6" i="12" s="1"/>
  <c r="AP214" i="2"/>
  <c r="AO287" i="2"/>
  <c r="Q505" i="15"/>
  <c r="E143" i="43"/>
  <c r="E142" i="43" s="1"/>
  <c r="E145" i="43" s="1"/>
  <c r="AQ156" i="2"/>
  <c r="L13" i="36"/>
  <c r="P105" i="10" s="1"/>
  <c r="P76" i="10" s="1"/>
  <c r="J1253" i="22" s="1"/>
  <c r="H102" i="36"/>
  <c r="C201" i="36" s="1"/>
  <c r="F173" i="36"/>
  <c r="I910" i="22"/>
  <c r="AW151" i="2"/>
  <c r="AW222" i="2" s="1"/>
  <c r="Z282" i="2"/>
  <c r="I1155" i="22"/>
  <c r="O313" i="19"/>
  <c r="U200" i="33"/>
  <c r="X303" i="2"/>
  <c r="X222" i="2" s="1"/>
  <c r="X226" i="2" s="1"/>
  <c r="O561" i="22" s="1"/>
  <c r="K110" i="27"/>
  <c r="K126" i="27" s="1"/>
  <c r="AN442" i="19"/>
  <c r="AN443" i="19" s="1"/>
  <c r="D29" i="19"/>
  <c r="CO196" i="2"/>
  <c r="BE143" i="2"/>
  <c r="AT143" i="2"/>
  <c r="CJ142" i="2"/>
  <c r="I287" i="2"/>
  <c r="CS131" i="2"/>
  <c r="AA286" i="2"/>
  <c r="CC286" i="2" s="1"/>
  <c r="J285" i="2"/>
  <c r="I79" i="35"/>
  <c r="J79" i="35" s="1"/>
  <c r="CN203" i="2"/>
  <c r="F78" i="5"/>
  <c r="L6" i="36"/>
  <c r="L28" i="38" s="1"/>
  <c r="E30" i="37" s="1"/>
  <c r="M41" i="12"/>
  <c r="M9" i="12" s="1"/>
  <c r="E56" i="5"/>
  <c r="J103" i="36"/>
  <c r="E202" i="36" s="1"/>
  <c r="J26" i="36"/>
  <c r="J38" i="36" s="1"/>
  <c r="H164" i="43"/>
  <c r="C23" i="19"/>
  <c r="K299" i="15" s="1"/>
  <c r="CN199" i="2"/>
  <c r="F910" i="22"/>
  <c r="F897" i="22" s="1"/>
  <c r="W13" i="36"/>
  <c r="AO389" i="2"/>
  <c r="AM448" i="19"/>
  <c r="L97" i="35"/>
  <c r="V209" i="22"/>
  <c r="O86" i="12"/>
  <c r="BC539" i="2"/>
  <c r="AQ122" i="2"/>
  <c r="AQ482" i="2" s="1"/>
  <c r="B49" i="36"/>
  <c r="CN198" i="2"/>
  <c r="G164" i="43"/>
  <c r="CI142" i="2"/>
  <c r="AH434" i="19"/>
  <c r="AS217" i="2"/>
  <c r="AS385" i="2" s="1"/>
  <c r="AE333" i="2"/>
  <c r="CB252" i="2" s="1"/>
  <c r="BZ312" i="2"/>
  <c r="CN202" i="2"/>
  <c r="BN328" i="2"/>
  <c r="AD390" i="2"/>
  <c r="D52" i="35"/>
  <c r="AF283" i="2"/>
  <c r="M62" i="12"/>
  <c r="CR131" i="2"/>
  <c r="Z222" i="2"/>
  <c r="Z151" i="2" s="1"/>
  <c r="M424" i="19" s="1"/>
  <c r="M425" i="19" s="1"/>
  <c r="M435" i="19" s="1"/>
  <c r="I27" i="36"/>
  <c r="I39" i="36" s="1"/>
  <c r="C64" i="36"/>
  <c r="C8" i="36" s="1"/>
  <c r="S8" i="36" s="1"/>
  <c r="I4" i="43"/>
  <c r="I55" i="43" s="1"/>
  <c r="C21" i="19"/>
  <c r="CN169" i="2"/>
  <c r="K910" i="22"/>
  <c r="BO312" i="2"/>
  <c r="H69" i="36"/>
  <c r="CO174" i="2"/>
  <c r="S393" i="2"/>
  <c r="J63" i="36"/>
  <c r="Y63" i="36" s="1"/>
  <c r="N44" i="12"/>
  <c r="N75" i="12" s="1"/>
  <c r="CR142" i="2"/>
  <c r="M84" i="35"/>
  <c r="M90" i="35" s="1"/>
  <c r="F34" i="5"/>
  <c r="F18" i="5" s="1"/>
  <c r="E3" i="4" s="1"/>
  <c r="G16" i="11"/>
  <c r="F5" i="4" s="1"/>
  <c r="L6" i="35"/>
  <c r="L7" i="35" s="1"/>
  <c r="BC528" i="2"/>
  <c r="P202" i="33"/>
  <c r="AF202" i="33" s="1"/>
  <c r="AP439" i="19"/>
  <c r="AP446" i="19" s="1"/>
  <c r="F65" i="35"/>
  <c r="O229" i="15"/>
  <c r="CC131" i="2"/>
  <c r="E1234" i="22"/>
  <c r="E1244" i="22" s="1"/>
  <c r="CA242" i="2"/>
  <c r="BW242" i="2"/>
  <c r="G55" i="43"/>
  <c r="AD333" i="2"/>
  <c r="CA252" i="2" s="1"/>
  <c r="E163" i="36"/>
  <c r="CA142" i="2"/>
  <c r="AS242" i="2"/>
  <c r="AS390" i="2" s="1"/>
  <c r="T3" i="2"/>
  <c r="BN315" i="2"/>
  <c r="P212" i="33" s="1"/>
  <c r="AF209" i="33" s="1"/>
  <c r="AD3" i="2"/>
  <c r="S17" i="2"/>
  <c r="K17" i="2"/>
  <c r="C86" i="43"/>
  <c r="AP143" i="2"/>
  <c r="AP145" i="2" s="1"/>
  <c r="X367" i="2"/>
  <c r="CJ222" i="2"/>
  <c r="N8" i="35"/>
  <c r="E910" i="22"/>
  <c r="E897" i="22" s="1"/>
  <c r="H109" i="36"/>
  <c r="O65" i="12"/>
  <c r="K74" i="10"/>
  <c r="K84" i="10" s="1"/>
  <c r="K92" i="10" s="1"/>
  <c r="G280" i="25"/>
  <c r="BA136" i="2"/>
  <c r="CX136" i="2" s="1"/>
  <c r="AK286" i="2"/>
  <c r="G121" i="4"/>
  <c r="O53" i="35"/>
  <c r="C22" i="19"/>
  <c r="L219" i="33"/>
  <c r="AJ286" i="2"/>
  <c r="F60" i="35"/>
  <c r="D1997" i="22"/>
  <c r="D1998" i="22" s="1"/>
  <c r="D2010" i="22" s="1"/>
  <c r="P367" i="2"/>
  <c r="G40" i="43"/>
  <c r="AE388" i="2"/>
  <c r="AI287" i="2"/>
  <c r="CN200" i="2"/>
  <c r="CE242" i="2"/>
  <c r="CA247" i="2" s="1"/>
  <c r="CA249" i="2" s="1"/>
  <c r="F358" i="2"/>
  <c r="S86" i="36"/>
  <c r="S88" i="36" s="1"/>
  <c r="G1384" i="22"/>
  <c r="G1395" i="22" s="1"/>
  <c r="F1403" i="22" s="1"/>
  <c r="BJ23" i="2"/>
  <c r="BJ28" i="2" s="1"/>
  <c r="I1965" i="22"/>
  <c r="J21" i="36"/>
  <c r="BO331" i="2"/>
  <c r="I199" i="27"/>
  <c r="H56" i="5"/>
  <c r="M61" i="12"/>
  <c r="K8" i="27"/>
  <c r="K40" i="27" s="1"/>
  <c r="B2798" i="22"/>
  <c r="DA142" i="2"/>
  <c r="CC120" i="2"/>
  <c r="CB226" i="2"/>
  <c r="H155" i="27"/>
  <c r="F1330" i="22" s="1"/>
  <c r="BS278" i="2"/>
  <c r="D448" i="22"/>
  <c r="N585" i="3"/>
  <c r="D172" i="36"/>
  <c r="BJ333" i="2"/>
  <c r="BG359" i="2" s="1"/>
  <c r="CN196" i="2"/>
  <c r="CO148" i="2"/>
  <c r="I1051" i="22" s="1"/>
  <c r="N60" i="12"/>
  <c r="F81" i="5"/>
  <c r="AM35" i="2"/>
  <c r="AM50" i="2" s="1"/>
  <c r="S209" i="22"/>
  <c r="AB19" i="37"/>
  <c r="K161" i="36"/>
  <c r="K179" i="36" s="1"/>
  <c r="N202" i="33"/>
  <c r="J110" i="36"/>
  <c r="E209" i="36" s="1"/>
  <c r="BD390" i="2"/>
  <c r="CQ142" i="2"/>
  <c r="CS278" i="2"/>
  <c r="CS295" i="2" s="1"/>
  <c r="CS315" i="2" s="1"/>
  <c r="I100" i="36"/>
  <c r="D199" i="36" s="1"/>
  <c r="P344" i="15"/>
  <c r="CF278" i="2"/>
  <c r="CF295" i="2" s="1"/>
  <c r="CF315" i="2" s="1"/>
  <c r="K93" i="27"/>
  <c r="L88" i="27"/>
  <c r="K323" i="22"/>
  <c r="K343" i="22" s="1"/>
  <c r="K329" i="22" s="1"/>
  <c r="J10" i="36"/>
  <c r="J26" i="38" s="1"/>
  <c r="J63" i="38" s="1"/>
  <c r="AM447" i="19"/>
  <c r="F46" i="5"/>
  <c r="S343" i="15"/>
  <c r="G113" i="4"/>
  <c r="E2749" i="22"/>
  <c r="E2762" i="22" s="1"/>
  <c r="Z285" i="2"/>
  <c r="P321" i="15"/>
  <c r="BJ314" i="2"/>
  <c r="N63" i="12"/>
  <c r="H337" i="25"/>
  <c r="I76" i="27"/>
  <c r="J92" i="27" s="1"/>
  <c r="O13" i="4"/>
  <c r="C6" i="36"/>
  <c r="L32" i="11"/>
  <c r="L5" i="11" s="1"/>
  <c r="H7" i="27" s="1"/>
  <c r="H39" i="27" s="1"/>
  <c r="B190" i="27"/>
  <c r="B198" i="27" s="1"/>
  <c r="H55" i="43"/>
  <c r="AJ59" i="10"/>
  <c r="AJ62" i="10" s="1"/>
  <c r="F166" i="36"/>
  <c r="BA140" i="2"/>
  <c r="CX140" i="2" s="1"/>
  <c r="DJ141" i="2" s="1"/>
  <c r="D31" i="3"/>
  <c r="F61" i="12"/>
  <c r="CT270" i="2"/>
  <c r="BH390" i="2"/>
  <c r="D18" i="36"/>
  <c r="BH3" i="2"/>
  <c r="AT390" i="2"/>
  <c r="AT243" i="2"/>
  <c r="V3" i="2"/>
  <c r="V333" i="2"/>
  <c r="V334" i="2" s="1"/>
  <c r="CE226" i="2"/>
  <c r="N323" i="22"/>
  <c r="N324" i="22" s="1"/>
  <c r="N344" i="22" s="1"/>
  <c r="AM284" i="2"/>
  <c r="CL284" i="2" s="1"/>
  <c r="AM226" i="2"/>
  <c r="BZ278" i="2"/>
  <c r="BZ295" i="2" s="1"/>
  <c r="BZ315" i="2" s="1"/>
  <c r="H247" i="22"/>
  <c r="AM250" i="2"/>
  <c r="AM166" i="2" s="1"/>
  <c r="CL196" i="2"/>
  <c r="H19" i="12"/>
  <c r="W216" i="22" s="1"/>
  <c r="U561" i="22"/>
  <c r="AA397" i="2"/>
  <c r="AA399" i="2" s="1"/>
  <c r="Z399" i="2"/>
  <c r="BB355" i="2"/>
  <c r="G355" i="2"/>
  <c r="CG312" i="2"/>
  <c r="CG316" i="2" s="1"/>
  <c r="CC250" i="2" s="1"/>
  <c r="CC251" i="2" s="1"/>
  <c r="L393" i="2"/>
  <c r="L316" i="2"/>
  <c r="L317" i="2"/>
  <c r="L17" i="2"/>
  <c r="E2892" i="22"/>
  <c r="D2892" i="22" s="1"/>
  <c r="BI338" i="2"/>
  <c r="BL330" i="2"/>
  <c r="BL312" i="2"/>
  <c r="CY151" i="2"/>
  <c r="AX222" i="2"/>
  <c r="AX303" i="2" s="1"/>
  <c r="AX304" i="2" s="1"/>
  <c r="D179" i="2"/>
  <c r="D194" i="2" s="1"/>
  <c r="D248" i="2" s="1"/>
  <c r="D164" i="2"/>
  <c r="Z287" i="2"/>
  <c r="Z143" i="2"/>
  <c r="Q287" i="2"/>
  <c r="Q143" i="2"/>
  <c r="BG143" i="2"/>
  <c r="I160" i="33" s="1"/>
  <c r="I161" i="33" s="1"/>
  <c r="DC131" i="2"/>
  <c r="R285" i="2"/>
  <c r="S285" i="2"/>
  <c r="J143" i="2"/>
  <c r="G1069" i="22"/>
  <c r="CG246" i="2"/>
  <c r="CG254" i="2" s="1"/>
  <c r="DC115" i="2"/>
  <c r="DC208" i="2" s="1"/>
  <c r="BH208" i="2"/>
  <c r="BH278" i="2" s="1"/>
  <c r="AX208" i="2"/>
  <c r="AX278" i="2" s="1"/>
  <c r="AX444" i="2"/>
  <c r="K125" i="36"/>
  <c r="BO23" i="2"/>
  <c r="BO28" i="2" s="1"/>
  <c r="BO29" i="2" s="1"/>
  <c r="AE211" i="33"/>
  <c r="BM5" i="2"/>
  <c r="H37" i="11"/>
  <c r="H19" i="11" s="1"/>
  <c r="G6" i="4" s="1"/>
  <c r="AM256" i="2"/>
  <c r="AM172" i="2" s="1"/>
  <c r="BC497" i="2"/>
  <c r="BC480" i="2" s="1"/>
  <c r="S212" i="22"/>
  <c r="H8" i="43"/>
  <c r="H41" i="43" s="1"/>
  <c r="K109" i="27"/>
  <c r="K125" i="27" s="1"/>
  <c r="P8" i="12"/>
  <c r="T458" i="15" s="1"/>
  <c r="V367" i="2"/>
  <c r="AL434" i="19"/>
  <c r="CC242" i="2"/>
  <c r="D883" i="22"/>
  <c r="O157" i="36"/>
  <c r="O143" i="36"/>
  <c r="W213" i="22"/>
  <c r="I28" i="12"/>
  <c r="T361" i="15"/>
  <c r="M96" i="25"/>
  <c r="I218" i="25" s="1"/>
  <c r="T211" i="22"/>
  <c r="H15" i="11"/>
  <c r="I24" i="11" s="1"/>
  <c r="D150" i="27"/>
  <c r="D195" i="27" s="1"/>
  <c r="H158" i="10"/>
  <c r="H161" i="10" s="1"/>
  <c r="N34" i="11"/>
  <c r="N38" i="11" s="1"/>
  <c r="N56" i="11" s="1"/>
  <c r="D107" i="19"/>
  <c r="AI30" i="19"/>
  <c r="K151" i="33"/>
  <c r="N34" i="33"/>
  <c r="G157" i="33" s="1"/>
  <c r="AR312" i="2"/>
  <c r="L78" i="11"/>
  <c r="F1272" i="22" s="1"/>
  <c r="C21" i="12"/>
  <c r="D32" i="12" s="1"/>
  <c r="H66" i="10"/>
  <c r="T217" i="22"/>
  <c r="AM303" i="2"/>
  <c r="AM304" i="2" s="1"/>
  <c r="N333" i="2"/>
  <c r="AT3" i="2"/>
  <c r="AT9" i="2" s="1"/>
  <c r="AT10" i="2" s="1"/>
  <c r="F281" i="22"/>
  <c r="S278" i="2"/>
  <c r="I78" i="35"/>
  <c r="J61" i="35"/>
  <c r="H62" i="35"/>
  <c r="I15" i="35"/>
  <c r="H28" i="35"/>
  <c r="G12" i="35"/>
  <c r="V6" i="35"/>
  <c r="G7" i="35"/>
  <c r="G18" i="35"/>
  <c r="G21" i="35" s="1"/>
  <c r="O127" i="12"/>
  <c r="O108" i="12"/>
  <c r="H1580" i="22" s="1"/>
  <c r="L79" i="12"/>
  <c r="F523" i="22"/>
  <c r="I390" i="15"/>
  <c r="F59" i="12"/>
  <c r="E38" i="12"/>
  <c r="E17" i="12" s="1"/>
  <c r="F28" i="12" s="1"/>
  <c r="BO61" i="2"/>
  <c r="BM424" i="19"/>
  <c r="U47" i="36"/>
  <c r="CO167" i="2"/>
  <c r="K90" i="27"/>
  <c r="F88" i="27"/>
  <c r="CN173" i="2"/>
  <c r="D91" i="27"/>
  <c r="H72" i="35"/>
  <c r="K115" i="11"/>
  <c r="P9" i="12"/>
  <c r="J115" i="11"/>
  <c r="I1316" i="22"/>
  <c r="AD18" i="35"/>
  <c r="G297" i="25"/>
  <c r="F62" i="35"/>
  <c r="J81" i="35"/>
  <c r="F44" i="27"/>
  <c r="N78" i="11"/>
  <c r="H1272" i="22" s="1"/>
  <c r="N22" i="4"/>
  <c r="L84" i="10"/>
  <c r="L92" i="10" s="1"/>
  <c r="L183" i="27"/>
  <c r="K96" i="27"/>
  <c r="E90" i="27"/>
  <c r="W332" i="2"/>
  <c r="R54" i="19"/>
  <c r="Z6" i="35"/>
  <c r="AG149" i="12"/>
  <c r="C99" i="5"/>
  <c r="D94" i="5" s="1"/>
  <c r="I110" i="36"/>
  <c r="D209" i="36" s="1"/>
  <c r="X14" i="36"/>
  <c r="L14" i="36"/>
  <c r="P88" i="11" s="1"/>
  <c r="P68" i="11" s="1"/>
  <c r="G28" i="38"/>
  <c r="G295" i="38" s="1"/>
  <c r="D178" i="37" s="1"/>
  <c r="C165" i="36"/>
  <c r="R35" i="25"/>
  <c r="R38" i="25" s="1"/>
  <c r="O171" i="25"/>
  <c r="Q38" i="25"/>
  <c r="Q108" i="25" s="1"/>
  <c r="G358" i="2"/>
  <c r="C59" i="36"/>
  <c r="C3" i="36" s="1"/>
  <c r="S3" i="36" s="1"/>
  <c r="M59" i="36"/>
  <c r="M3" i="36" s="1"/>
  <c r="F180" i="36"/>
  <c r="U44" i="36"/>
  <c r="J60" i="36"/>
  <c r="Y60" i="36" s="1"/>
  <c r="AK254" i="2"/>
  <c r="AK170" i="2" s="1"/>
  <c r="CO170" i="2" s="1"/>
  <c r="CO200" i="2"/>
  <c r="AK253" i="2"/>
  <c r="AK169" i="2" s="1"/>
  <c r="CO169" i="2" s="1"/>
  <c r="CO199" i="2"/>
  <c r="AK252" i="2"/>
  <c r="AK168" i="2" s="1"/>
  <c r="CO168" i="2" s="1"/>
  <c r="CO198" i="2"/>
  <c r="AK247" i="2"/>
  <c r="AK163" i="2" s="1"/>
  <c r="CO163" i="2" s="1"/>
  <c r="CO193" i="2"/>
  <c r="Q50" i="2"/>
  <c r="J87" i="35"/>
  <c r="J90" i="35" s="1"/>
  <c r="H90" i="35"/>
  <c r="H27" i="36"/>
  <c r="H39" i="36" s="1"/>
  <c r="H100" i="36"/>
  <c r="C199" i="36" s="1"/>
  <c r="AO497" i="2"/>
  <c r="AO479" i="2" s="1"/>
  <c r="M52" i="25"/>
  <c r="M55" i="25"/>
  <c r="K19" i="35"/>
  <c r="D25" i="3"/>
  <c r="BI5" i="2"/>
  <c r="CO197" i="2"/>
  <c r="BD303" i="2"/>
  <c r="AM258" i="2"/>
  <c r="AM174" i="2" s="1"/>
  <c r="CL204" i="2"/>
  <c r="H11" i="4"/>
  <c r="G174" i="36"/>
  <c r="K111" i="36"/>
  <c r="F210" i="36" s="1"/>
  <c r="K71" i="36"/>
  <c r="F71" i="36" s="1"/>
  <c r="F15" i="36" s="1"/>
  <c r="I103" i="36"/>
  <c r="I63" i="36"/>
  <c r="X63" i="36" s="1"/>
  <c r="I184" i="36" s="1"/>
  <c r="E166" i="36"/>
  <c r="X7" i="36"/>
  <c r="BG527" i="2"/>
  <c r="BB528" i="2"/>
  <c r="F45" i="37"/>
  <c r="F85" i="37" s="1"/>
  <c r="F122" i="37" s="1"/>
  <c r="AG4" i="37"/>
  <c r="AS4" i="37" s="1"/>
  <c r="J8" i="35"/>
  <c r="E50" i="19"/>
  <c r="E39" i="19"/>
  <c r="H11" i="36"/>
  <c r="H213" i="33"/>
  <c r="CR278" i="2"/>
  <c r="CR295" i="2" s="1"/>
  <c r="CR315" i="2" s="1"/>
  <c r="AT295" i="2"/>
  <c r="AT320" i="2" s="1"/>
  <c r="D165" i="2"/>
  <c r="D180" i="2"/>
  <c r="D195" i="2" s="1"/>
  <c r="D249" i="2" s="1"/>
  <c r="B1053" i="22"/>
  <c r="AZ143" i="2"/>
  <c r="F2436" i="22" s="1"/>
  <c r="CG142" i="2"/>
  <c r="AF287" i="2"/>
  <c r="BY142" i="2"/>
  <c r="V287" i="2"/>
  <c r="CY141" i="2"/>
  <c r="BB496" i="2"/>
  <c r="CZ131" i="2"/>
  <c r="AI286" i="2"/>
  <c r="CI131" i="2"/>
  <c r="Y286" i="2"/>
  <c r="CA131" i="2"/>
  <c r="AX143" i="2"/>
  <c r="CU125" i="2"/>
  <c r="CV125" i="2"/>
  <c r="AO283" i="2"/>
  <c r="CM125" i="2"/>
  <c r="AN143" i="2"/>
  <c r="F890" i="22"/>
  <c r="AC143" i="2"/>
  <c r="BX125" i="2"/>
  <c r="F251" i="22" s="1"/>
  <c r="T283" i="2"/>
  <c r="T143" i="2"/>
  <c r="U283" i="2"/>
  <c r="BW125" i="2"/>
  <c r="E251" i="22" s="1"/>
  <c r="L143" i="2"/>
  <c r="L283" i="2"/>
  <c r="M283" i="2"/>
  <c r="Y282" i="2"/>
  <c r="CA120" i="2"/>
  <c r="F143" i="2"/>
  <c r="C42" i="5"/>
  <c r="D56" i="5" s="1"/>
  <c r="CD246" i="2"/>
  <c r="D1069" i="22"/>
  <c r="BN278" i="2"/>
  <c r="BN295" i="2"/>
  <c r="BN320" i="2" s="1"/>
  <c r="CZ115" i="2"/>
  <c r="DL140" i="2" s="1"/>
  <c r="BD208" i="2"/>
  <c r="BD278" i="2" s="1"/>
  <c r="AC444" i="2"/>
  <c r="AC461" i="2"/>
  <c r="AC208" i="2"/>
  <c r="AC278" i="2" s="1"/>
  <c r="T550" i="22"/>
  <c r="AI550" i="22" s="1"/>
  <c r="CD115" i="2"/>
  <c r="CD208" i="2" s="1"/>
  <c r="AJ112" i="2"/>
  <c r="AJ113" i="2" s="1"/>
  <c r="AJ300" i="2"/>
  <c r="AJ302" i="2" s="1"/>
  <c r="AJ312" i="2" s="1"/>
  <c r="AJ17" i="2" s="1"/>
  <c r="T203" i="22"/>
  <c r="H14" i="5"/>
  <c r="I22" i="5" s="1"/>
  <c r="G3610" i="22"/>
  <c r="G3612" i="22" s="1"/>
  <c r="D157" i="33"/>
  <c r="G203" i="36"/>
  <c r="M115" i="36"/>
  <c r="M151" i="36" s="1"/>
  <c r="G236" i="36" s="1"/>
  <c r="BQ295" i="2"/>
  <c r="BQ278" i="2"/>
  <c r="AI302" i="2"/>
  <c r="AI312" i="2" s="1"/>
  <c r="AI17" i="2" s="1"/>
  <c r="CI300" i="2"/>
  <c r="H34" i="5"/>
  <c r="H50" i="5" s="1"/>
  <c r="H82" i="35"/>
  <c r="H88" i="35" s="1"/>
  <c r="H100" i="35"/>
  <c r="C110" i="3"/>
  <c r="C111" i="3" s="1"/>
  <c r="C113" i="3" s="1"/>
  <c r="D106" i="3"/>
  <c r="D110" i="3" s="1"/>
  <c r="W78" i="35"/>
  <c r="I70" i="36"/>
  <c r="CO195" i="2"/>
  <c r="H34" i="33"/>
  <c r="F149" i="33" s="1"/>
  <c r="F151" i="33"/>
  <c r="U148" i="33" s="1"/>
  <c r="BN244" i="2"/>
  <c r="BN3" i="2"/>
  <c r="J18" i="36"/>
  <c r="AE367" i="2"/>
  <c r="CF242" i="2"/>
  <c r="CB247" i="2" s="1"/>
  <c r="CB249" i="2" s="1"/>
  <c r="BZ258" i="2" s="1"/>
  <c r="Z3" i="2"/>
  <c r="Z333" i="2"/>
  <c r="CS272" i="2"/>
  <c r="P1710" i="22"/>
  <c r="L1710" i="22" s="1"/>
  <c r="L1762" i="22" s="1"/>
  <c r="AZ330" i="2"/>
  <c r="AZ242" i="2"/>
  <c r="AZ383" i="2" s="1"/>
  <c r="AP303" i="2"/>
  <c r="AP304" i="2" s="1"/>
  <c r="AP226" i="2"/>
  <c r="F319" i="22"/>
  <c r="G883" i="22"/>
  <c r="I281" i="22"/>
  <c r="CR217" i="2"/>
  <c r="AT385" i="2"/>
  <c r="E60" i="5"/>
  <c r="E62" i="5"/>
  <c r="E63" i="5" s="1"/>
  <c r="B172" i="36"/>
  <c r="B69" i="36"/>
  <c r="B109" i="36" s="1"/>
  <c r="B145" i="36" s="1"/>
  <c r="O176" i="25"/>
  <c r="R67" i="25"/>
  <c r="P176" i="25" s="1"/>
  <c r="Z43" i="33"/>
  <c r="M84" i="25"/>
  <c r="K187" i="25" s="1"/>
  <c r="M13" i="25"/>
  <c r="P99" i="10"/>
  <c r="I248" i="27"/>
  <c r="N13" i="25"/>
  <c r="E343" i="25"/>
  <c r="E320" i="25"/>
  <c r="E321" i="25" s="1"/>
  <c r="E173" i="36"/>
  <c r="I19" i="36"/>
  <c r="C107" i="43"/>
  <c r="C106" i="43" s="1"/>
  <c r="C109" i="43" s="1"/>
  <c r="C18" i="43"/>
  <c r="C17" i="43" s="1"/>
  <c r="C20" i="43" s="1"/>
  <c r="D120" i="4"/>
  <c r="D43" i="4"/>
  <c r="D56" i="4" s="1"/>
  <c r="D74" i="4" s="1"/>
  <c r="D86" i="4" s="1"/>
  <c r="I36" i="4"/>
  <c r="L6" i="1" s="1"/>
  <c r="B180" i="27"/>
  <c r="B188" i="27"/>
  <c r="B196" i="27" s="1"/>
  <c r="AC21" i="37"/>
  <c r="G1329" i="22"/>
  <c r="K92" i="27"/>
  <c r="L92" i="27"/>
  <c r="B59" i="27"/>
  <c r="B75" i="27" s="1"/>
  <c r="B91" i="27"/>
  <c r="B123" i="27" s="1"/>
  <c r="B138" i="27" s="1"/>
  <c r="BT423" i="19"/>
  <c r="AT418" i="19"/>
  <c r="AT420" i="19" s="1"/>
  <c r="Q34" i="33"/>
  <c r="I157" i="33" s="1"/>
  <c r="I151" i="33"/>
  <c r="AD134" i="33" s="1"/>
  <c r="CG310" i="2"/>
  <c r="AF331" i="2"/>
  <c r="I160" i="12"/>
  <c r="BL348" i="2"/>
  <c r="BL353" i="2"/>
  <c r="BL340" i="2"/>
  <c r="R201" i="33" s="1"/>
  <c r="BN312" i="2"/>
  <c r="V213" i="33" s="1"/>
  <c r="BN330" i="2"/>
  <c r="AC304" i="2"/>
  <c r="T558" i="22"/>
  <c r="AC328" i="2"/>
  <c r="O442" i="19" s="1"/>
  <c r="O443" i="19" s="1"/>
  <c r="N45" i="22"/>
  <c r="N50" i="22" s="1"/>
  <c r="N51" i="22" s="1"/>
  <c r="AS300" i="2"/>
  <c r="AS327" i="2"/>
  <c r="AS312" i="2"/>
  <c r="D370" i="2"/>
  <c r="D363" i="2"/>
  <c r="J92" i="12"/>
  <c r="F159" i="27" s="1"/>
  <c r="D1300" i="22"/>
  <c r="J129" i="12"/>
  <c r="J120" i="12" s="1"/>
  <c r="O26" i="38"/>
  <c r="O293" i="38" s="1"/>
  <c r="O66" i="36"/>
  <c r="O106" i="36"/>
  <c r="O113" i="36" s="1"/>
  <c r="O149" i="36" s="1"/>
  <c r="R10" i="36"/>
  <c r="BB539" i="2"/>
  <c r="L111" i="11"/>
  <c r="L115" i="11"/>
  <c r="AI137" i="10" s="1"/>
  <c r="AL137" i="10" s="1"/>
  <c r="AO137" i="10" s="1"/>
  <c r="W130" i="2"/>
  <c r="BZ130" i="2" s="1"/>
  <c r="C72" i="27"/>
  <c r="D88" i="27" s="1"/>
  <c r="R219" i="10"/>
  <c r="R237" i="10" s="1"/>
  <c r="E3531" i="22"/>
  <c r="AI138" i="10"/>
  <c r="AL138" i="10"/>
  <c r="AL148" i="10" s="1"/>
  <c r="L214" i="10"/>
  <c r="I393" i="22"/>
  <c r="AV148" i="2"/>
  <c r="F1251" i="22"/>
  <c r="T208" i="22"/>
  <c r="H16" i="10"/>
  <c r="I25" i="10" s="1"/>
  <c r="AF35" i="2"/>
  <c r="AF50" i="2" s="1"/>
  <c r="AF64" i="2" s="1"/>
  <c r="AF23" i="2"/>
  <c r="L15" i="36"/>
  <c r="M90" i="25" s="1"/>
  <c r="I215" i="25" s="1"/>
  <c r="O72" i="35"/>
  <c r="AD72" i="35" s="1"/>
  <c r="AD71" i="35"/>
  <c r="M61" i="35"/>
  <c r="L67" i="35"/>
  <c r="L68" i="35" s="1"/>
  <c r="AA61" i="35"/>
  <c r="M46" i="35"/>
  <c r="M47" i="35" s="1"/>
  <c r="AB35" i="35"/>
  <c r="K7" i="35"/>
  <c r="AD6" i="35"/>
  <c r="E2261" i="22"/>
  <c r="I179" i="12"/>
  <c r="K95" i="12"/>
  <c r="E1306" i="22"/>
  <c r="AQ159" i="2"/>
  <c r="G1298" i="22"/>
  <c r="AE100" i="12"/>
  <c r="BA155" i="2"/>
  <c r="N81" i="12"/>
  <c r="M153" i="12"/>
  <c r="M156" i="12" s="1"/>
  <c r="M81" i="12"/>
  <c r="G1311" i="22"/>
  <c r="Z99" i="33"/>
  <c r="P86" i="12"/>
  <c r="Q86" i="12" s="1"/>
  <c r="R86" i="12" s="1"/>
  <c r="S86" i="12" s="1"/>
  <c r="T86" i="12" s="1"/>
  <c r="U86" i="12" s="1"/>
  <c r="V86" i="12" s="1"/>
  <c r="W86" i="12" s="1"/>
  <c r="X86" i="12" s="1"/>
  <c r="Y86" i="12" s="1"/>
  <c r="Z86" i="12" s="1"/>
  <c r="AA86" i="12" s="1"/>
  <c r="F63" i="12"/>
  <c r="J505" i="15"/>
  <c r="F73" i="12"/>
  <c r="J506" i="15" s="1"/>
  <c r="J482" i="15"/>
  <c r="F72" i="12"/>
  <c r="J483" i="15" s="1"/>
  <c r="F62" i="12"/>
  <c r="F71" i="12"/>
  <c r="J460" i="15" s="1"/>
  <c r="J459" i="15"/>
  <c r="G61" i="12"/>
  <c r="F70" i="12"/>
  <c r="J414" i="15" s="1"/>
  <c r="J413" i="15"/>
  <c r="G60" i="12"/>
  <c r="F69" i="12"/>
  <c r="J391" i="15" s="1"/>
  <c r="J390" i="15"/>
  <c r="J367" i="15"/>
  <c r="F68" i="12"/>
  <c r="J368" i="15" s="1"/>
  <c r="F58" i="12"/>
  <c r="T218" i="22"/>
  <c r="H21" i="12"/>
  <c r="W217" i="22"/>
  <c r="H31" i="12"/>
  <c r="I31" i="12"/>
  <c r="E12" i="27"/>
  <c r="E44" i="27" s="1"/>
  <c r="AE508" i="2"/>
  <c r="I6" i="12"/>
  <c r="M389" i="15" s="1"/>
  <c r="I44" i="12"/>
  <c r="I75" i="12" s="1"/>
  <c r="H16" i="12"/>
  <c r="W212" i="22" s="1"/>
  <c r="T212" i="22"/>
  <c r="AN203" i="2"/>
  <c r="CM203" i="2" s="1"/>
  <c r="AN236" i="2"/>
  <c r="E102" i="25"/>
  <c r="E61" i="25"/>
  <c r="E103" i="25" s="1"/>
  <c r="E114" i="25"/>
  <c r="F19" i="25" s="1"/>
  <c r="AD369" i="2"/>
  <c r="AD384" i="2" s="1"/>
  <c r="AD389" i="2"/>
  <c r="AT17" i="2"/>
  <c r="AT35" i="2" s="1"/>
  <c r="AT50" i="2" s="1"/>
  <c r="BX312" i="2"/>
  <c r="BX316" i="2" s="1"/>
  <c r="Z367" i="2"/>
  <c r="U316" i="2"/>
  <c r="U17" i="2"/>
  <c r="U333" i="2"/>
  <c r="U334" i="2" s="1"/>
  <c r="U393" i="2"/>
  <c r="CB312" i="2"/>
  <c r="M333" i="2"/>
  <c r="M367" i="2"/>
  <c r="M17" i="2"/>
  <c r="M317" i="2"/>
  <c r="L47" i="35"/>
  <c r="K174" i="25"/>
  <c r="L174" i="25"/>
  <c r="L82" i="35"/>
  <c r="L85" i="35" s="1"/>
  <c r="F72" i="35"/>
  <c r="BE331" i="2"/>
  <c r="BC358" i="2" s="1"/>
  <c r="AB142" i="2"/>
  <c r="AC287" i="2" s="1"/>
  <c r="BV131" i="2"/>
  <c r="Q283" i="2"/>
  <c r="CE120" i="2"/>
  <c r="L143" i="10"/>
  <c r="L117" i="10" s="1"/>
  <c r="L116" i="10" s="1"/>
  <c r="L140" i="10" s="1"/>
  <c r="L83" i="11"/>
  <c r="K32" i="4" s="1"/>
  <c r="Y3" i="33"/>
  <c r="CF312" i="2"/>
  <c r="CF316" i="2" s="1"/>
  <c r="CB250" i="2" s="1"/>
  <c r="CB251" i="2" s="1"/>
  <c r="BL307" i="2"/>
  <c r="CN284" i="2"/>
  <c r="G91" i="27"/>
  <c r="AM497" i="2"/>
  <c r="AH497" i="2"/>
  <c r="AZ485" i="2"/>
  <c r="AZ466" i="2" s="1"/>
  <c r="AE485" i="2"/>
  <c r="AE466" i="2" s="1"/>
  <c r="D1156" i="22" s="1"/>
  <c r="V82" i="35"/>
  <c r="G62" i="12"/>
  <c r="G59" i="12"/>
  <c r="M75" i="10"/>
  <c r="G1252" i="22" s="1"/>
  <c r="G151" i="33"/>
  <c r="AU50" i="2"/>
  <c r="CW217" i="2"/>
  <c r="CL197" i="2"/>
  <c r="AA462" i="38"/>
  <c r="AA484" i="38" s="1"/>
  <c r="V21" i="15"/>
  <c r="O13" i="15"/>
  <c r="K122" i="15"/>
  <c r="K123" i="15" s="1"/>
  <c r="E3060" i="22"/>
  <c r="E3064" i="22" s="1"/>
  <c r="AO261" i="38"/>
  <c r="AO404" i="38" s="1"/>
  <c r="I148" i="37"/>
  <c r="J148" i="37"/>
  <c r="G4" i="37"/>
  <c r="B4270" i="22"/>
  <c r="F272" i="37"/>
  <c r="F161" i="37"/>
  <c r="F183" i="37" s="1"/>
  <c r="F248" i="37" s="1"/>
  <c r="B5054" i="22"/>
  <c r="C335" i="37"/>
  <c r="J799" i="22"/>
  <c r="O116" i="25"/>
  <c r="O122" i="25"/>
  <c r="M193" i="25" s="1"/>
  <c r="K209" i="27"/>
  <c r="O125" i="25"/>
  <c r="M173" i="25"/>
  <c r="K13" i="25"/>
  <c r="N99" i="10"/>
  <c r="G209" i="27"/>
  <c r="G214" i="27" s="1"/>
  <c r="L13" i="25"/>
  <c r="O10" i="25"/>
  <c r="P10" i="25" s="1"/>
  <c r="Q10" i="25" s="1"/>
  <c r="R10" i="25" s="1"/>
  <c r="S10" i="25" s="1"/>
  <c r="T10" i="25" s="1"/>
  <c r="U10" i="25" s="1"/>
  <c r="V10" i="25" s="1"/>
  <c r="W10" i="25" s="1"/>
  <c r="X10" i="25" s="1"/>
  <c r="N4" i="25"/>
  <c r="B4265" i="22"/>
  <c r="B3835" i="22"/>
  <c r="K157" i="33"/>
  <c r="N9" i="35"/>
  <c r="M6" i="35"/>
  <c r="M12" i="35" s="1"/>
  <c r="M27" i="35" s="1"/>
  <c r="AK449" i="19"/>
  <c r="AK447" i="19"/>
  <c r="F354" i="2"/>
  <c r="BA354" i="2"/>
  <c r="C149" i="43"/>
  <c r="C146" i="43"/>
  <c r="AM451" i="19"/>
  <c r="AM457" i="19" s="1"/>
  <c r="BM439" i="19"/>
  <c r="C355" i="37"/>
  <c r="G107" i="3"/>
  <c r="H107" i="3" s="1"/>
  <c r="I107" i="3" s="1"/>
  <c r="J107" i="3" s="1"/>
  <c r="D149" i="43"/>
  <c r="D146" i="43"/>
  <c r="M26" i="35"/>
  <c r="M52" i="35" s="1"/>
  <c r="N5" i="35"/>
  <c r="N26" i="35" s="1"/>
  <c r="N52" i="35" s="1"/>
  <c r="O28" i="25"/>
  <c r="R155" i="12" s="1"/>
  <c r="E59" i="43"/>
  <c r="F59" i="43" s="1"/>
  <c r="D67" i="43"/>
  <c r="D72" i="43" s="1"/>
  <c r="AK448" i="19"/>
  <c r="H35" i="15"/>
  <c r="CH300" i="2"/>
  <c r="J1313" i="22"/>
  <c r="U208" i="33"/>
  <c r="V208" i="33" s="1"/>
  <c r="P208" i="33"/>
  <c r="R481" i="15"/>
  <c r="J14" i="27"/>
  <c r="J46" i="27" s="1"/>
  <c r="E10" i="27"/>
  <c r="E42" i="27" s="1"/>
  <c r="AE506" i="2"/>
  <c r="M366" i="15"/>
  <c r="G130" i="43"/>
  <c r="H136" i="43"/>
  <c r="I136" i="43" s="1"/>
  <c r="I130" i="43" s="1"/>
  <c r="AI304" i="2"/>
  <c r="BG35" i="2"/>
  <c r="BG50" i="2" s="1"/>
  <c r="BG58" i="2" s="1"/>
  <c r="BG61" i="2" s="1"/>
  <c r="BG23" i="2"/>
  <c r="H28" i="4"/>
  <c r="I56" i="5"/>
  <c r="K7" i="5"/>
  <c r="J31" i="5"/>
  <c r="J39" i="5" s="1"/>
  <c r="J93" i="27"/>
  <c r="E212" i="12"/>
  <c r="E209" i="12"/>
  <c r="C207" i="12"/>
  <c r="M16" i="35"/>
  <c r="M28" i="35"/>
  <c r="F15" i="35"/>
  <c r="C211" i="12"/>
  <c r="AK312" i="2"/>
  <c r="BG226" i="2"/>
  <c r="N134" i="36"/>
  <c r="H197" i="36"/>
  <c r="H217" i="36" s="1"/>
  <c r="K21" i="35"/>
  <c r="O152" i="36"/>
  <c r="O119" i="36"/>
  <c r="X109" i="36" s="1"/>
  <c r="BS305" i="2"/>
  <c r="H149" i="33"/>
  <c r="E418" i="19"/>
  <c r="C200" i="12"/>
  <c r="C201" i="12"/>
  <c r="Q459" i="15"/>
  <c r="M40" i="12"/>
  <c r="M8" i="12" s="1"/>
  <c r="BA138" i="2"/>
  <c r="CX138" i="2" s="1"/>
  <c r="M37" i="12"/>
  <c r="I74" i="27"/>
  <c r="J90" i="27" s="1"/>
  <c r="Q367" i="15"/>
  <c r="B92" i="4"/>
  <c r="B104" i="4" s="1"/>
  <c r="D449" i="22"/>
  <c r="AJ439" i="19"/>
  <c r="AJ446" i="19" s="1"/>
  <c r="AJ434" i="19"/>
  <c r="F181" i="36"/>
  <c r="M562" i="22"/>
  <c r="AB560" i="22" s="1"/>
  <c r="G117" i="11"/>
  <c r="F48" i="4" s="1"/>
  <c r="BY304" i="2"/>
  <c r="K287" i="2"/>
  <c r="J287" i="2"/>
  <c r="AU233" i="2"/>
  <c r="AU238" i="2" s="1"/>
  <c r="AN233" i="2"/>
  <c r="J100" i="12"/>
  <c r="AT233" i="2"/>
  <c r="AM143" i="2"/>
  <c r="AN286" i="2"/>
  <c r="CQ125" i="2"/>
  <c r="CR125" i="2"/>
  <c r="CA125" i="2"/>
  <c r="I251" i="22" s="1"/>
  <c r="X143" i="2"/>
  <c r="AN215" i="2"/>
  <c r="AT215" i="2"/>
  <c r="AT214" i="2" s="1"/>
  <c r="AT148" i="2" s="1"/>
  <c r="CR148" i="2" s="1"/>
  <c r="O126" i="2"/>
  <c r="BC126" i="2"/>
  <c r="AP215" i="2"/>
  <c r="AO215" i="2"/>
  <c r="AR126" i="2"/>
  <c r="AK215" i="2"/>
  <c r="AX126" i="2"/>
  <c r="AO126" i="2"/>
  <c r="AU126" i="2"/>
  <c r="AA126" i="2"/>
  <c r="M126" i="2"/>
  <c r="K76" i="10"/>
  <c r="H395" i="22" s="1"/>
  <c r="AE126" i="2"/>
  <c r="AI215" i="2"/>
  <c r="X126" i="2"/>
  <c r="BB126" i="2"/>
  <c r="Y126" i="2"/>
  <c r="V126" i="2"/>
  <c r="BD126" i="2"/>
  <c r="AR215" i="2"/>
  <c r="U126" i="2"/>
  <c r="R126" i="2"/>
  <c r="BE126" i="2"/>
  <c r="AN126" i="2"/>
  <c r="AJ215" i="2"/>
  <c r="AJ217" i="2" s="1"/>
  <c r="AJ126" i="2"/>
  <c r="Q126" i="2"/>
  <c r="CF122" i="2"/>
  <c r="CE122" i="2"/>
  <c r="M64" i="35"/>
  <c r="M100" i="35" s="1"/>
  <c r="F192" i="36"/>
  <c r="D186" i="36"/>
  <c r="C65" i="36"/>
  <c r="C9" i="36" s="1"/>
  <c r="DC312" i="2"/>
  <c r="BB333" i="2"/>
  <c r="P316" i="2"/>
  <c r="BW316" i="2" s="1"/>
  <c r="P333" i="2"/>
  <c r="AY312" i="2"/>
  <c r="AY333" i="2" s="1"/>
  <c r="CR252" i="2" s="1"/>
  <c r="CR264" i="2" s="1"/>
  <c r="AY330" i="2"/>
  <c r="BE327" i="2"/>
  <c r="BE312" i="2"/>
  <c r="BY297" i="2"/>
  <c r="V322" i="2"/>
  <c r="H69" i="27"/>
  <c r="L33" i="10"/>
  <c r="L6" i="10" s="1"/>
  <c r="E1355" i="22"/>
  <c r="I1355" i="22" s="1"/>
  <c r="AV378" i="2"/>
  <c r="P201" i="33"/>
  <c r="U201" i="33"/>
  <c r="V201" i="33" s="1"/>
  <c r="B59" i="36"/>
  <c r="B99" i="36" s="1"/>
  <c r="B135" i="36" s="1"/>
  <c r="B43" i="36"/>
  <c r="B162" i="36"/>
  <c r="DA310" i="2"/>
  <c r="BD312" i="2"/>
  <c r="BN340" i="2"/>
  <c r="BN348" i="2"/>
  <c r="BN349" i="2" s="1"/>
  <c r="H280" i="25"/>
  <c r="I272" i="25"/>
  <c r="J272" i="25" s="1"/>
  <c r="K272" i="25" s="1"/>
  <c r="K280" i="25" s="1"/>
  <c r="W138" i="2"/>
  <c r="BZ138" i="2" s="1"/>
  <c r="G71" i="12"/>
  <c r="K460" i="15" s="1"/>
  <c r="C77" i="27"/>
  <c r="D93" i="27" s="1"/>
  <c r="H60" i="12"/>
  <c r="K413" i="15"/>
  <c r="W136" i="2"/>
  <c r="BZ136" i="2" s="1"/>
  <c r="D7" i="41"/>
  <c r="D10" i="41" s="1"/>
  <c r="D13" i="41" s="1"/>
  <c r="D16" i="41" s="1"/>
  <c r="I26" i="36"/>
  <c r="I67" i="36"/>
  <c r="N58" i="12"/>
  <c r="Q482" i="15"/>
  <c r="AV129" i="2"/>
  <c r="CT129" i="2" s="1"/>
  <c r="I78" i="27"/>
  <c r="Q22" i="15"/>
  <c r="M39" i="12"/>
  <c r="M7" i="12" s="1"/>
  <c r="F107" i="43"/>
  <c r="F106" i="43" s="1"/>
  <c r="F109" i="43" s="1"/>
  <c r="F110" i="43" s="1"/>
  <c r="B96" i="27"/>
  <c r="B128" i="27" s="1"/>
  <c r="B143" i="27" s="1"/>
  <c r="H59" i="12"/>
  <c r="N88" i="10"/>
  <c r="N94" i="10" s="1"/>
  <c r="I213" i="33"/>
  <c r="F31" i="12"/>
  <c r="BE353" i="2"/>
  <c r="AK233" i="2"/>
  <c r="Z17" i="2"/>
  <c r="L46" i="11"/>
  <c r="K14" i="4" s="1"/>
  <c r="AE233" i="2"/>
  <c r="AI126" i="2"/>
  <c r="AA304" i="2"/>
  <c r="N61" i="12"/>
  <c r="K459" i="15"/>
  <c r="J76" i="10"/>
  <c r="D1253" i="22" s="1"/>
  <c r="P505" i="15"/>
  <c r="D68" i="36"/>
  <c r="D12" i="36" s="1"/>
  <c r="T12" i="36" s="1"/>
  <c r="BM328" i="2"/>
  <c r="AD125" i="2"/>
  <c r="I283" i="2"/>
  <c r="D192" i="27"/>
  <c r="N62" i="12"/>
  <c r="M60" i="12"/>
  <c r="H97" i="35"/>
  <c r="J44" i="12"/>
  <c r="J75" i="12" s="1"/>
  <c r="F204" i="27"/>
  <c r="M58" i="12"/>
  <c r="Q212" i="33"/>
  <c r="AE209" i="33" s="1"/>
  <c r="V329" i="2"/>
  <c r="H61" i="12"/>
  <c r="BJ421" i="19"/>
  <c r="AJ451" i="19" s="1"/>
  <c r="AJ457" i="19" s="1"/>
  <c r="L103" i="25"/>
  <c r="K62" i="25"/>
  <c r="L173" i="25"/>
  <c r="N125" i="25"/>
  <c r="W113" i="15"/>
  <c r="G3014" i="22"/>
  <c r="AA455" i="38"/>
  <c r="AA483" i="38" s="1"/>
  <c r="O344" i="15"/>
  <c r="G72" i="27"/>
  <c r="G88" i="27" s="1"/>
  <c r="U207" i="33"/>
  <c r="P207" i="33"/>
  <c r="AF206" i="33" s="1"/>
  <c r="P283" i="2"/>
  <c r="AB120" i="2"/>
  <c r="AC282" i="2" s="1"/>
  <c r="CU115" i="2"/>
  <c r="AX461" i="2"/>
  <c r="Q2023" i="22" s="1"/>
  <c r="H27" i="38"/>
  <c r="H64" i="38" s="1"/>
  <c r="H320" i="38" s="1"/>
  <c r="H396" i="38" s="1"/>
  <c r="D163" i="36"/>
  <c r="BB536" i="2"/>
  <c r="AN255" i="2"/>
  <c r="AN171" i="2" s="1"/>
  <c r="CM171" i="2" s="1"/>
  <c r="F1365" i="22"/>
  <c r="H1365" i="22" s="1"/>
  <c r="J1365" i="22" s="1"/>
  <c r="AN250" i="2"/>
  <c r="AN166" i="2" s="1"/>
  <c r="CM196" i="2"/>
  <c r="BP132" i="2"/>
  <c r="I890" i="22"/>
  <c r="AF143" i="2"/>
  <c r="AQ130" i="2"/>
  <c r="C47" i="35"/>
  <c r="G281" i="25"/>
  <c r="H18" i="12"/>
  <c r="T214" i="22"/>
  <c r="J61" i="36"/>
  <c r="E61" i="36" s="1"/>
  <c r="E5" i="36" s="1"/>
  <c r="J101" i="36"/>
  <c r="E200" i="36" s="1"/>
  <c r="AX3" i="2"/>
  <c r="AX310" i="2" s="1"/>
  <c r="CZ310" i="2" s="1"/>
  <c r="AX243" i="2"/>
  <c r="CW227" i="2"/>
  <c r="CW272" i="2"/>
  <c r="DA227" i="2"/>
  <c r="L68" i="11"/>
  <c r="AQ151" i="2"/>
  <c r="N360" i="3"/>
  <c r="H413" i="15"/>
  <c r="D39" i="12"/>
  <c r="D18" i="12" s="1"/>
  <c r="BN424" i="19"/>
  <c r="AJ442" i="19"/>
  <c r="AT451" i="19"/>
  <c r="AT457" i="19" s="1"/>
  <c r="BT439" i="19"/>
  <c r="J64" i="36"/>
  <c r="J104" i="36"/>
  <c r="X5" i="36"/>
  <c r="E164" i="36"/>
  <c r="I101" i="36"/>
  <c r="D200" i="36" s="1"/>
  <c r="I61" i="36"/>
  <c r="D61" i="36" s="1"/>
  <c r="D5" i="36" s="1"/>
  <c r="T5" i="36" s="1"/>
  <c r="AW243" i="2"/>
  <c r="CX242" i="2"/>
  <c r="AO303" i="2"/>
  <c r="AO304" i="2" s="1"/>
  <c r="AO226" i="2"/>
  <c r="AO285" i="2" s="1"/>
  <c r="AK248" i="2"/>
  <c r="AK164" i="2" s="1"/>
  <c r="CO164" i="2" s="1"/>
  <c r="CO194" i="2"/>
  <c r="AQ157" i="2"/>
  <c r="K111" i="12"/>
  <c r="K106" i="27"/>
  <c r="K122" i="27" s="1"/>
  <c r="B206" i="36"/>
  <c r="B226" i="36" s="1"/>
  <c r="B188" i="36"/>
  <c r="M144" i="36"/>
  <c r="G227" i="36" s="1"/>
  <c r="H171" i="36"/>
  <c r="F18" i="36"/>
  <c r="F30" i="36" s="1"/>
  <c r="F31" i="36" s="1"/>
  <c r="BJ3" i="2"/>
  <c r="AD20" i="37"/>
  <c r="F60" i="5"/>
  <c r="D251" i="12"/>
  <c r="L96" i="27"/>
  <c r="F94" i="27"/>
  <c r="F90" i="27"/>
  <c r="AT333" i="2"/>
  <c r="CN252" i="2" s="1"/>
  <c r="CN264" i="2" s="1"/>
  <c r="D69" i="36"/>
  <c r="D13" i="36" s="1"/>
  <c r="T13" i="36" s="1"/>
  <c r="G1743" i="22"/>
  <c r="M2667" i="22"/>
  <c r="M2668" i="22" s="1"/>
  <c r="P55" i="25"/>
  <c r="AM112" i="2"/>
  <c r="AM113" i="2" s="1"/>
  <c r="BE390" i="2"/>
  <c r="F340" i="25"/>
  <c r="L287" i="2"/>
  <c r="BD308" i="38"/>
  <c r="M195" i="37" s="1"/>
  <c r="BD270" i="38"/>
  <c r="BD296" i="38" s="1"/>
  <c r="M179" i="37" s="1"/>
  <c r="BD295" i="38"/>
  <c r="M178" i="37" s="1"/>
  <c r="G3041" i="22"/>
  <c r="P3" i="15"/>
  <c r="R262" i="14"/>
  <c r="S262" i="14" s="1"/>
  <c r="T262" i="14" s="1"/>
  <c r="U262" i="14" s="1"/>
  <c r="V262" i="14" s="1"/>
  <c r="W262" i="14" s="1"/>
  <c r="P262" i="14"/>
  <c r="AT95" i="38"/>
  <c r="C17" i="12"/>
  <c r="AU226" i="2"/>
  <c r="AU303" i="2"/>
  <c r="AO168" i="2"/>
  <c r="CN168" i="2" s="1"/>
  <c r="E11" i="41"/>
  <c r="F11" i="41" s="1"/>
  <c r="G11" i="41" s="1"/>
  <c r="H11" i="41" s="1"/>
  <c r="I11" i="41" s="1"/>
  <c r="J11" i="41" s="1"/>
  <c r="K11" i="41" s="1"/>
  <c r="L11" i="41" s="1"/>
  <c r="M11" i="41" s="1"/>
  <c r="N11" i="41" s="1"/>
  <c r="O11" i="41" s="1"/>
  <c r="P11" i="41" s="1"/>
  <c r="R412" i="15"/>
  <c r="J12" i="27"/>
  <c r="J44" i="27" s="1"/>
  <c r="R389" i="15"/>
  <c r="J11" i="27"/>
  <c r="J43" i="27" s="1"/>
  <c r="A927" i="22"/>
  <c r="N458" i="15"/>
  <c r="F13" i="27"/>
  <c r="F45" i="27" s="1"/>
  <c r="F1069" i="22"/>
  <c r="CF246" i="2"/>
  <c r="CF254" i="2" s="1"/>
  <c r="CA246" i="2"/>
  <c r="M247" i="22"/>
  <c r="K108" i="36"/>
  <c r="K68" i="36"/>
  <c r="G171" i="36"/>
  <c r="K25" i="36"/>
  <c r="K37" i="36" s="1"/>
  <c r="AK295" i="2"/>
  <c r="AK320" i="2" s="1"/>
  <c r="CK278" i="2"/>
  <c r="CK295" i="2" s="1"/>
  <c r="CK315" i="2" s="1"/>
  <c r="AI166" i="2"/>
  <c r="AI260" i="2"/>
  <c r="AI267" i="2" s="1"/>
  <c r="O425" i="19"/>
  <c r="BJ425" i="19" s="1"/>
  <c r="AJ452" i="19" s="1"/>
  <c r="BJ424" i="19"/>
  <c r="G33" i="31"/>
  <c r="E93" i="27"/>
  <c r="E88" i="27"/>
  <c r="CB242" i="2"/>
  <c r="N174" i="25"/>
  <c r="L92" i="25"/>
  <c r="F281" i="25"/>
  <c r="BN439" i="19"/>
  <c r="F169" i="12"/>
  <c r="CT217" i="2"/>
  <c r="AR143" i="2"/>
  <c r="CM163" i="2"/>
  <c r="AD285" i="2"/>
  <c r="BD143" i="2"/>
  <c r="Y143" i="2"/>
  <c r="BK132" i="2"/>
  <c r="C27" i="40"/>
  <c r="C7" i="40"/>
  <c r="D16" i="35"/>
  <c r="AT489" i="2"/>
  <c r="AY485" i="2"/>
  <c r="AY466" i="2" s="1"/>
  <c r="C100" i="40"/>
  <c r="AR510" i="38"/>
  <c r="C29" i="40"/>
  <c r="CN167" i="2"/>
  <c r="CM168" i="2"/>
  <c r="CM170" i="2"/>
  <c r="Y35" i="33"/>
  <c r="Y34" i="33" s="1"/>
  <c r="X69" i="36"/>
  <c r="I191" i="36" s="1"/>
  <c r="K103" i="27"/>
  <c r="K119" i="27" s="1"/>
  <c r="DC142" i="2"/>
  <c r="K333" i="2"/>
  <c r="E67" i="27"/>
  <c r="F51" i="27"/>
  <c r="G51" i="27" s="1"/>
  <c r="H51" i="27" s="1"/>
  <c r="I51" i="27" s="1"/>
  <c r="J51" i="27" s="1"/>
  <c r="K51" i="27" s="1"/>
  <c r="L51" i="27" s="1"/>
  <c r="S113" i="37"/>
  <c r="F35" i="27"/>
  <c r="G35" i="27" s="1"/>
  <c r="H35" i="27" s="1"/>
  <c r="I35" i="27" s="1"/>
  <c r="J35" i="27" s="1"/>
  <c r="K35" i="27" s="1"/>
  <c r="L35" i="27" s="1"/>
  <c r="H11" i="43"/>
  <c r="G5" i="43"/>
  <c r="AA367" i="2"/>
  <c r="AA393" i="2"/>
  <c r="AA333" i="2"/>
  <c r="AA17" i="2"/>
  <c r="CC312" i="2"/>
  <c r="CC316" i="2" s="1"/>
  <c r="E157" i="33"/>
  <c r="E149" i="33"/>
  <c r="T113" i="37"/>
  <c r="S458" i="15"/>
  <c r="K13" i="27"/>
  <c r="K45" i="27" s="1"/>
  <c r="N587" i="3"/>
  <c r="Q113" i="37"/>
  <c r="G253" i="19"/>
  <c r="AE268" i="2"/>
  <c r="AE271" i="2"/>
  <c r="Q367" i="2"/>
  <c r="J13" i="27"/>
  <c r="J45" i="27" s="1"/>
  <c r="CP270" i="2"/>
  <c r="AA78" i="35"/>
  <c r="AY243" i="2"/>
  <c r="E1327" i="22"/>
  <c r="G155" i="27"/>
  <c r="AO295" i="2"/>
  <c r="AO320" i="2" s="1"/>
  <c r="CN278" i="2"/>
  <c r="CN295" i="2" s="1"/>
  <c r="CN315" i="2" s="1"/>
  <c r="BC143" i="2"/>
  <c r="AH143" i="2"/>
  <c r="J890" i="22"/>
  <c r="AA143" i="2"/>
  <c r="R143" i="2"/>
  <c r="CP273" i="2"/>
  <c r="Q21" i="12"/>
  <c r="R21" i="12" s="1"/>
  <c r="S21" i="12" s="1"/>
  <c r="T21" i="12" s="1"/>
  <c r="U21" i="12" s="1"/>
  <c r="V21" i="12" s="1"/>
  <c r="W21" i="12" s="1"/>
  <c r="X21" i="12" s="1"/>
  <c r="Y21" i="12" s="1"/>
  <c r="Z21" i="12" s="1"/>
  <c r="AA21" i="12" s="1"/>
  <c r="L31" i="27"/>
  <c r="I53" i="19"/>
  <c r="J54" i="19" s="1"/>
  <c r="I42" i="19"/>
  <c r="I39" i="19" s="1"/>
  <c r="J22" i="19"/>
  <c r="J21" i="19"/>
  <c r="BF354" i="2"/>
  <c r="L354" i="2"/>
  <c r="AA324" i="2"/>
  <c r="H59" i="5"/>
  <c r="AE284" i="2"/>
  <c r="P53" i="22" s="1"/>
  <c r="P54" i="22" s="1"/>
  <c r="O325" i="22"/>
  <c r="O345" i="22" s="1"/>
  <c r="O331" i="22" s="1"/>
  <c r="AE226" i="2"/>
  <c r="AE303" i="2"/>
  <c r="P44" i="22"/>
  <c r="P49" i="22" s="1"/>
  <c r="P86" i="22" s="1"/>
  <c r="Q285" i="2"/>
  <c r="P143" i="2"/>
  <c r="H285" i="2"/>
  <c r="H143" i="2"/>
  <c r="BB488" i="2"/>
  <c r="CY130" i="2"/>
  <c r="BB132" i="2"/>
  <c r="AN300" i="2"/>
  <c r="AN112" i="2"/>
  <c r="AN113" i="2" s="1"/>
  <c r="H2285" i="22"/>
  <c r="L28" i="35"/>
  <c r="L16" i="35"/>
  <c r="BO328" i="2"/>
  <c r="BO315" i="2"/>
  <c r="O212" i="33" s="1"/>
  <c r="AG209" i="33" s="1"/>
  <c r="DB263" i="2"/>
  <c r="CQ260" i="2"/>
  <c r="E2602" i="22"/>
  <c r="CY136" i="2"/>
  <c r="BB492" i="2"/>
  <c r="CY135" i="2"/>
  <c r="BB491" i="2"/>
  <c r="AW208" i="2"/>
  <c r="AW278" i="2" s="1"/>
  <c r="AW461" i="2"/>
  <c r="P2023" i="22" s="1"/>
  <c r="CT115" i="2"/>
  <c r="AW444" i="2"/>
  <c r="H31" i="31"/>
  <c r="I31" i="31" s="1"/>
  <c r="J31" i="31" s="1"/>
  <c r="K31" i="31" s="1"/>
  <c r="L31" i="31" s="1"/>
  <c r="H2296" i="22"/>
  <c r="H168" i="19"/>
  <c r="H176" i="19"/>
  <c r="M143" i="36"/>
  <c r="G226" i="36" s="1"/>
  <c r="M22" i="36"/>
  <c r="M23" i="36" s="1"/>
  <c r="BA516" i="2" s="1"/>
  <c r="BA531" i="2" s="1"/>
  <c r="M26" i="36"/>
  <c r="H170" i="36"/>
  <c r="M157" i="36"/>
  <c r="H234" i="36"/>
  <c r="B45" i="36"/>
  <c r="B164" i="36"/>
  <c r="B61" i="36"/>
  <c r="B101" i="36" s="1"/>
  <c r="B137" i="36" s="1"/>
  <c r="AF285" i="2"/>
  <c r="AF329" i="2"/>
  <c r="AN284" i="2"/>
  <c r="AN303" i="2"/>
  <c r="AN226" i="2"/>
  <c r="K112" i="12"/>
  <c r="E1304" i="22"/>
  <c r="D235" i="2"/>
  <c r="D456" i="2" s="1"/>
  <c r="B1062" i="22"/>
  <c r="G15" i="4"/>
  <c r="H125" i="4" s="1"/>
  <c r="E2262" i="22"/>
  <c r="I65" i="12"/>
  <c r="F446" i="22"/>
  <c r="J154" i="10"/>
  <c r="D1263" i="22" s="1"/>
  <c r="AL370" i="2"/>
  <c r="F187" i="27"/>
  <c r="F195" i="27" s="1"/>
  <c r="AL218" i="2"/>
  <c r="F166" i="27"/>
  <c r="D1340" i="22" s="1"/>
  <c r="K112" i="36"/>
  <c r="F211" i="36" s="1"/>
  <c r="G175" i="36"/>
  <c r="K23" i="38"/>
  <c r="K290" i="38" s="1"/>
  <c r="D1304" i="22"/>
  <c r="J131" i="12"/>
  <c r="J122" i="12" s="1"/>
  <c r="CN166" i="2"/>
  <c r="AG396" i="19"/>
  <c r="H17" i="2"/>
  <c r="H333" i="2"/>
  <c r="AO331" i="2"/>
  <c r="AO242" i="2"/>
  <c r="AK256" i="2"/>
  <c r="AK172" i="2" s="1"/>
  <c r="CO172" i="2" s="1"/>
  <c r="CO202" i="2"/>
  <c r="AK255" i="2"/>
  <c r="CO201" i="2"/>
  <c r="BV142" i="2"/>
  <c r="S287" i="2"/>
  <c r="CM172" i="2"/>
  <c r="AG518" i="19"/>
  <c r="O518" i="19"/>
  <c r="L518" i="19"/>
  <c r="Q203" i="33"/>
  <c r="AE203" i="33" s="1"/>
  <c r="AF203" i="33"/>
  <c r="X393" i="2"/>
  <c r="CD312" i="2"/>
  <c r="CD316" i="2" s="1"/>
  <c r="BZ250" i="2" s="1"/>
  <c r="BZ251" i="2" s="1"/>
  <c r="AC367" i="2"/>
  <c r="O317" i="2"/>
  <c r="O334" i="2" s="1"/>
  <c r="O17" i="2"/>
  <c r="O23" i="2" s="1"/>
  <c r="O24" i="2" s="1"/>
  <c r="O316" i="2"/>
  <c r="S367" i="2" s="1"/>
  <c r="O333" i="2"/>
  <c r="O367" i="2"/>
  <c r="CD242" i="2"/>
  <c r="BZ247" i="2" s="1"/>
  <c r="BZ249" i="2" s="1"/>
  <c r="AC3" i="2"/>
  <c r="BV242" i="2"/>
  <c r="S333" i="2"/>
  <c r="J132" i="12"/>
  <c r="J123" i="12" s="1"/>
  <c r="D1306" i="22"/>
  <c r="J95" i="12"/>
  <c r="F162" i="27" s="1"/>
  <c r="AM74" i="33"/>
  <c r="S67" i="33"/>
  <c r="B183" i="36"/>
  <c r="B201" i="36"/>
  <c r="B221" i="36" s="1"/>
  <c r="CV247" i="2"/>
  <c r="CV248" i="2" s="1"/>
  <c r="CV242" i="2"/>
  <c r="CR247" i="2" s="1"/>
  <c r="CR248" i="2" s="1"/>
  <c r="AY390" i="2"/>
  <c r="E164" i="27"/>
  <c r="E197" i="27" s="1"/>
  <c r="H33" i="4"/>
  <c r="N1710" i="22"/>
  <c r="N1732" i="22" s="1"/>
  <c r="CY217" i="2"/>
  <c r="BT278" i="2"/>
  <c r="BT295" i="2"/>
  <c r="AJ248" i="2"/>
  <c r="AJ164" i="2" s="1"/>
  <c r="CN164" i="2" s="1"/>
  <c r="CN194" i="2"/>
  <c r="AJ247" i="2"/>
  <c r="CN193" i="2"/>
  <c r="D175" i="2"/>
  <c r="D238" i="2"/>
  <c r="D459" i="2" s="1"/>
  <c r="D190" i="2"/>
  <c r="D205" i="2" s="1"/>
  <c r="D259" i="2" s="1"/>
  <c r="K99" i="12"/>
  <c r="F1081" i="22"/>
  <c r="F1083" i="22" s="1"/>
  <c r="F1084" i="22" s="1"/>
  <c r="CL154" i="2"/>
  <c r="F1059" i="22" s="1"/>
  <c r="AR154" i="2"/>
  <c r="AR232" i="2" s="1"/>
  <c r="AM232" i="2"/>
  <c r="I777" i="22"/>
  <c r="I774" i="22"/>
  <c r="K80" i="22"/>
  <c r="K81" i="22" s="1"/>
  <c r="K85" i="22"/>
  <c r="P138" i="25"/>
  <c r="Q137" i="25"/>
  <c r="Q737" i="38"/>
  <c r="Q739" i="38" s="1"/>
  <c r="N55" i="25"/>
  <c r="O52" i="25"/>
  <c r="N82" i="11"/>
  <c r="N83" i="11" s="1"/>
  <c r="L26" i="25"/>
  <c r="CN170" i="2"/>
  <c r="I157" i="10"/>
  <c r="F28" i="19"/>
  <c r="BO390" i="2"/>
  <c r="F67" i="35"/>
  <c r="F68" i="35" s="1"/>
  <c r="P7" i="12"/>
  <c r="BK424" i="19"/>
  <c r="V47" i="36"/>
  <c r="BB534" i="2"/>
  <c r="E332" i="25"/>
  <c r="E333" i="25" s="1"/>
  <c r="J183" i="27"/>
  <c r="H1271" i="22"/>
  <c r="E144" i="10"/>
  <c r="AC20" i="37"/>
  <c r="E87" i="27"/>
  <c r="Z73" i="36"/>
  <c r="AA283" i="2"/>
  <c r="S283" i="2"/>
  <c r="AC333" i="2"/>
  <c r="BZ252" i="2" s="1"/>
  <c r="F320" i="25"/>
  <c r="F321" i="25" s="1"/>
  <c r="L199" i="27"/>
  <c r="C552" i="19"/>
  <c r="I48" i="19"/>
  <c r="CM204" i="2"/>
  <c r="N147" i="37"/>
  <c r="O147" i="37"/>
  <c r="H13" i="27"/>
  <c r="H45" i="27" s="1"/>
  <c r="P458" i="15"/>
  <c r="N155" i="37"/>
  <c r="N138" i="37"/>
  <c r="P113" i="37"/>
  <c r="M147" i="37"/>
  <c r="E206" i="36"/>
  <c r="C83" i="3"/>
  <c r="C85" i="3" s="1"/>
  <c r="C87" i="3" s="1"/>
  <c r="D81" i="3"/>
  <c r="H157" i="33"/>
  <c r="O122" i="12"/>
  <c r="P131" i="12"/>
  <c r="W294" i="19"/>
  <c r="W308" i="19"/>
  <c r="E31" i="3"/>
  <c r="AC71" i="11"/>
  <c r="L1969" i="22" s="1"/>
  <c r="AA71" i="11"/>
  <c r="I66" i="36"/>
  <c r="AE504" i="2"/>
  <c r="I70" i="5"/>
  <c r="P98" i="36"/>
  <c r="AB40" i="12"/>
  <c r="N76" i="11"/>
  <c r="H1270" i="22" s="1"/>
  <c r="F47" i="11"/>
  <c r="P49" i="10"/>
  <c r="I155" i="27"/>
  <c r="G1330" i="22" s="1"/>
  <c r="H48" i="19"/>
  <c r="CQ270" i="2"/>
  <c r="CQ275" i="2" s="1"/>
  <c r="DF266" i="2" s="1"/>
  <c r="L76" i="11"/>
  <c r="F1270" i="22" s="1"/>
  <c r="F61" i="11"/>
  <c r="D33" i="11"/>
  <c r="D15" i="11" s="1"/>
  <c r="K94" i="27"/>
  <c r="AI201" i="19"/>
  <c r="D340" i="25"/>
  <c r="D61" i="4"/>
  <c r="O22" i="4"/>
  <c r="D86" i="43"/>
  <c r="O293" i="19"/>
  <c r="P293" i="19" s="1"/>
  <c r="Q293" i="19" s="1"/>
  <c r="R293" i="19" s="1"/>
  <c r="S293" i="19" s="1"/>
  <c r="T293" i="19" s="1"/>
  <c r="U293" i="19" s="1"/>
  <c r="I1741" i="22"/>
  <c r="C61" i="4"/>
  <c r="AC72" i="11"/>
  <c r="L1968" i="22" s="1"/>
  <c r="AA72" i="11"/>
  <c r="BP142" i="2"/>
  <c r="BK142" i="2"/>
  <c r="M174" i="25"/>
  <c r="I232" i="22"/>
  <c r="C53" i="10"/>
  <c r="G253" i="15" s="1"/>
  <c r="AG395" i="19"/>
  <c r="AG393" i="19"/>
  <c r="M291" i="19"/>
  <c r="BV312" i="2"/>
  <c r="O29" i="35"/>
  <c r="C62" i="4"/>
  <c r="F86" i="27"/>
  <c r="AJ489" i="2"/>
  <c r="BN307" i="2"/>
  <c r="AR385" i="2"/>
  <c r="AH257" i="2"/>
  <c r="AH173" i="2" s="1"/>
  <c r="AH252" i="2"/>
  <c r="AH168" i="2" s="1"/>
  <c r="K26" i="25"/>
  <c r="AI210" i="19"/>
  <c r="H210" i="19" s="1"/>
  <c r="H229" i="19" s="1"/>
  <c r="G176" i="14"/>
  <c r="Y11" i="46"/>
  <c r="I219" i="22"/>
  <c r="D4094" i="22"/>
  <c r="F4093" i="22"/>
  <c r="I4199" i="22"/>
  <c r="D55" i="13"/>
  <c r="E55" i="13" s="1"/>
  <c r="F55" i="13" s="1"/>
  <c r="G55" i="13" s="1"/>
  <c r="H55" i="13" s="1"/>
  <c r="I55" i="13" s="1"/>
  <c r="J55" i="13" s="1"/>
  <c r="K55" i="13" s="1"/>
  <c r="L55" i="13" s="1"/>
  <c r="M55" i="13" s="1"/>
  <c r="N55" i="13" s="1"/>
  <c r="O55" i="13" s="1"/>
  <c r="AD125" i="15" s="1"/>
  <c r="U10" i="46"/>
  <c r="AF118" i="15"/>
  <c r="I64" i="46"/>
  <c r="I35" i="46" s="1"/>
  <c r="V114" i="15"/>
  <c r="AD118" i="15"/>
  <c r="G64" i="46"/>
  <c r="G35" i="46" s="1"/>
  <c r="AE118" i="15"/>
  <c r="H64" i="46"/>
  <c r="H35" i="46" s="1"/>
  <c r="AI118" i="15"/>
  <c r="L64" i="46"/>
  <c r="L35" i="46" s="1"/>
  <c r="AH118" i="15"/>
  <c r="K64" i="46"/>
  <c r="K35" i="46" s="1"/>
  <c r="M954" i="38"/>
  <c r="AG118" i="15"/>
  <c r="J64" i="46"/>
  <c r="J35" i="46" s="1"/>
  <c r="G4177" i="22"/>
  <c r="I4177" i="22" s="1"/>
  <c r="G4169" i="22"/>
  <c r="I4169" i="22" s="1"/>
  <c r="E4177" i="22"/>
  <c r="E4179" i="22"/>
  <c r="E4174" i="22"/>
  <c r="G4176" i="22"/>
  <c r="I4176" i="22" s="1"/>
  <c r="E4169" i="22"/>
  <c r="AC118" i="15"/>
  <c r="F64" i="46"/>
  <c r="F35" i="46" s="1"/>
  <c r="F4560" i="22"/>
  <c r="E64" i="46"/>
  <c r="E35" i="46" s="1"/>
  <c r="B63" i="12"/>
  <c r="I185" i="12"/>
  <c r="D191" i="12"/>
  <c r="K505" i="15"/>
  <c r="H63" i="12"/>
  <c r="G73" i="12"/>
  <c r="K506" i="15" s="1"/>
  <c r="G63" i="12"/>
  <c r="C79" i="27"/>
  <c r="D95" i="27" s="1"/>
  <c r="W140" i="2"/>
  <c r="BZ140" i="2" s="1"/>
  <c r="K482" i="15"/>
  <c r="W139" i="2"/>
  <c r="BZ139" i="2" s="1"/>
  <c r="G55" i="12"/>
  <c r="G72" i="12"/>
  <c r="K483" i="15" s="1"/>
  <c r="H62" i="12"/>
  <c r="C78" i="27"/>
  <c r="D94" i="27" s="1"/>
  <c r="O413" i="15"/>
  <c r="K60" i="12"/>
  <c r="K39" i="12"/>
  <c r="G76" i="27"/>
  <c r="AQ136" i="2"/>
  <c r="B94" i="27"/>
  <c r="B126" i="27" s="1"/>
  <c r="B141" i="27" s="1"/>
  <c r="B62" i="27"/>
  <c r="B78" i="27" s="1"/>
  <c r="AP476" i="2"/>
  <c r="AP494" i="2" s="1"/>
  <c r="AP497" i="2" s="1"/>
  <c r="AL142" i="2"/>
  <c r="CL135" i="2"/>
  <c r="C126" i="12"/>
  <c r="C135" i="12" s="1"/>
  <c r="C144" i="12"/>
  <c r="C107" i="12"/>
  <c r="T368" i="15"/>
  <c r="Q68" i="12"/>
  <c r="P37" i="12"/>
  <c r="M64" i="12"/>
  <c r="N64" i="12"/>
  <c r="BA141" i="2"/>
  <c r="CX141" i="2" s="1"/>
  <c r="I80" i="27"/>
  <c r="B64" i="12"/>
  <c r="B74" i="12"/>
  <c r="B96" i="12" s="1"/>
  <c r="L107" i="27"/>
  <c r="L123" i="27" s="1"/>
  <c r="L91" i="27"/>
  <c r="K91" i="27"/>
  <c r="B61" i="27"/>
  <c r="B77" i="27" s="1"/>
  <c r="B93" i="27"/>
  <c r="B125" i="27" s="1"/>
  <c r="B140" i="27" s="1"/>
  <c r="B123" i="12"/>
  <c r="B104" i="12"/>
  <c r="B113" i="12" s="1"/>
  <c r="S16" i="12"/>
  <c r="T16" i="12" s="1"/>
  <c r="J1311" i="22"/>
  <c r="P153" i="12"/>
  <c r="P156" i="12" s="1"/>
  <c r="P81" i="12"/>
  <c r="G44" i="12"/>
  <c r="G23" i="12" s="1"/>
  <c r="G69" i="12"/>
  <c r="K391" i="15" s="1"/>
  <c r="S213" i="22"/>
  <c r="CL136" i="2"/>
  <c r="AM255" i="2"/>
  <c r="AM171" i="2" s="1"/>
  <c r="CL171" i="2" s="1"/>
  <c r="O112" i="12"/>
  <c r="N131" i="12"/>
  <c r="N122" i="12" s="1"/>
  <c r="H1304" i="22"/>
  <c r="Q504" i="15"/>
  <c r="I15" i="27"/>
  <c r="I47" i="27" s="1"/>
  <c r="N581" i="3"/>
  <c r="AB9" i="12"/>
  <c r="AB41" i="12" s="1"/>
  <c r="K14" i="27"/>
  <c r="K46" i="27" s="1"/>
  <c r="S481" i="15"/>
  <c r="AE509" i="2"/>
  <c r="M458" i="15"/>
  <c r="A986" i="22"/>
  <c r="N412" i="15"/>
  <c r="O44" i="12"/>
  <c r="O75" i="12" s="1"/>
  <c r="O6" i="12"/>
  <c r="E31" i="12"/>
  <c r="C20" i="12"/>
  <c r="D31" i="12" s="1"/>
  <c r="D41" i="12"/>
  <c r="B69" i="12"/>
  <c r="B59" i="12"/>
  <c r="B58" i="27"/>
  <c r="B74" i="27" s="1"/>
  <c r="B90" i="27"/>
  <c r="B122" i="27" s="1"/>
  <c r="B137" i="27" s="1"/>
  <c r="Z30" i="33"/>
  <c r="S19" i="12"/>
  <c r="AE511" i="2"/>
  <c r="E15" i="27"/>
  <c r="E47" i="27" s="1"/>
  <c r="M504" i="15"/>
  <c r="AU473" i="2"/>
  <c r="AU491" i="2" s="1"/>
  <c r="AG142" i="2"/>
  <c r="AH258" i="2"/>
  <c r="AH174" i="2" s="1"/>
  <c r="L6" i="12"/>
  <c r="H94" i="27"/>
  <c r="G94" i="27"/>
  <c r="N104" i="4"/>
  <c r="BK310" i="2"/>
  <c r="K173" i="27"/>
  <c r="O130" i="12"/>
  <c r="I1302" i="22"/>
  <c r="O111" i="12"/>
  <c r="I75" i="27"/>
  <c r="M128" i="12"/>
  <c r="N128" i="12" s="1"/>
  <c r="O128" i="12" s="1"/>
  <c r="P128" i="12" s="1"/>
  <c r="Q390" i="15"/>
  <c r="M59" i="12"/>
  <c r="M55" i="12"/>
  <c r="BA135" i="2"/>
  <c r="I367" i="15"/>
  <c r="E55" i="12"/>
  <c r="E37" i="12"/>
  <c r="L32" i="27"/>
  <c r="Q22" i="12"/>
  <c r="R22" i="12" s="1"/>
  <c r="S22" i="12" s="1"/>
  <c r="T22" i="12" s="1"/>
  <c r="U22" i="12" s="1"/>
  <c r="V22" i="12" s="1"/>
  <c r="W22" i="12" s="1"/>
  <c r="X22" i="12" s="1"/>
  <c r="Y22" i="12" s="1"/>
  <c r="Z22" i="12" s="1"/>
  <c r="AA22" i="12" s="1"/>
  <c r="B58" i="12"/>
  <c r="B68" i="12"/>
  <c r="B233" i="14" s="1"/>
  <c r="G171" i="12"/>
  <c r="F33" i="4"/>
  <c r="G179" i="12"/>
  <c r="G81" i="12"/>
  <c r="G169" i="12"/>
  <c r="H81" i="12"/>
  <c r="I11" i="27"/>
  <c r="I43" i="27" s="1"/>
  <c r="Q389" i="15"/>
  <c r="AM254" i="2"/>
  <c r="AM170" i="2" s="1"/>
  <c r="CL170" i="2" s="1"/>
  <c r="AQ457" i="2"/>
  <c r="K94" i="12"/>
  <c r="AE149" i="12"/>
  <c r="AF149" i="12"/>
  <c r="AU474" i="2"/>
  <c r="AU492" i="2" s="1"/>
  <c r="J179" i="12"/>
  <c r="L95" i="27"/>
  <c r="N156" i="12"/>
  <c r="N179" i="12" s="1"/>
  <c r="I23" i="4"/>
  <c r="D117" i="12"/>
  <c r="L90" i="27"/>
  <c r="G198" i="27"/>
  <c r="E1340" i="22"/>
  <c r="I33" i="25"/>
  <c r="J15" i="25"/>
  <c r="H268" i="25"/>
  <c r="G256" i="25"/>
  <c r="U40" i="25"/>
  <c r="I292" i="25"/>
  <c r="J292" i="25" s="1"/>
  <c r="K292" i="25" s="1"/>
  <c r="N52" i="25"/>
  <c r="J26" i="25"/>
  <c r="G266" i="25"/>
  <c r="AQ218" i="2"/>
  <c r="AQ386" i="2" s="1"/>
  <c r="F112" i="25"/>
  <c r="F17" i="25" s="1"/>
  <c r="Q51" i="25"/>
  <c r="Q52" i="25" s="1"/>
  <c r="J274" i="25"/>
  <c r="M82" i="11"/>
  <c r="M83" i="11" s="1"/>
  <c r="J174" i="25"/>
  <c r="Q45" i="25"/>
  <c r="F209" i="27"/>
  <c r="G339" i="25"/>
  <c r="G340" i="25" s="1"/>
  <c r="F282" i="25"/>
  <c r="I13" i="25"/>
  <c r="R43" i="25"/>
  <c r="F280" i="25"/>
  <c r="J63" i="4"/>
  <c r="G282" i="25"/>
  <c r="I323" i="25"/>
  <c r="E330" i="25"/>
  <c r="F330" i="25" s="1"/>
  <c r="L87" i="25"/>
  <c r="H273" i="25"/>
  <c r="H282" i="25" s="1"/>
  <c r="E209" i="27"/>
  <c r="E214" i="27" s="1"/>
  <c r="J13" i="25"/>
  <c r="J93" i="4"/>
  <c r="H267" i="25"/>
  <c r="O156" i="12"/>
  <c r="BP131" i="2"/>
  <c r="L87" i="27"/>
  <c r="E7" i="27"/>
  <c r="E39" i="27" s="1"/>
  <c r="E47" i="11"/>
  <c r="G37" i="11"/>
  <c r="G19" i="11" s="1"/>
  <c r="AC33" i="11"/>
  <c r="B56" i="27"/>
  <c r="B72" i="27" s="1"/>
  <c r="F104" i="27"/>
  <c r="F120" i="27" s="1"/>
  <c r="M78" i="11"/>
  <c r="G1272" i="22" s="1"/>
  <c r="B115" i="11"/>
  <c r="AM252" i="2"/>
  <c r="AM168" i="2" s="1"/>
  <c r="E32" i="11"/>
  <c r="E14" i="11" s="1"/>
  <c r="F23" i="11" s="1"/>
  <c r="F118" i="11"/>
  <c r="I1327" i="22"/>
  <c r="E118" i="11"/>
  <c r="N68" i="11"/>
  <c r="J321" i="15"/>
  <c r="F103" i="27"/>
  <c r="F119" i="27" s="1"/>
  <c r="G13" i="4"/>
  <c r="I37" i="11"/>
  <c r="I55" i="11" s="1"/>
  <c r="F50" i="11"/>
  <c r="J322" i="15" s="1"/>
  <c r="M68" i="11"/>
  <c r="D118" i="11"/>
  <c r="AQ152" i="2"/>
  <c r="Q344" i="15"/>
  <c r="D120" i="11"/>
  <c r="E61" i="11"/>
  <c r="D1327" i="22"/>
  <c r="D47" i="11"/>
  <c r="BA130" i="2"/>
  <c r="CX130" i="2" s="1"/>
  <c r="J39" i="27"/>
  <c r="E120" i="11"/>
  <c r="B75" i="11"/>
  <c r="H14" i="11"/>
  <c r="I23" i="11" s="1"/>
  <c r="G51" i="11"/>
  <c r="K345" i="15" s="1"/>
  <c r="B110" i="11"/>
  <c r="K103" i="11"/>
  <c r="J111" i="11"/>
  <c r="N37" i="11"/>
  <c r="N55" i="11" s="1"/>
  <c r="J10" i="11"/>
  <c r="F7" i="27"/>
  <c r="F39" i="27" s="1"/>
  <c r="N320" i="15"/>
  <c r="R15" i="11"/>
  <c r="N347" i="22"/>
  <c r="K2" i="11"/>
  <c r="M343" i="15"/>
  <c r="AE505" i="2"/>
  <c r="I10" i="11"/>
  <c r="E8" i="27"/>
  <c r="E40" i="27" s="1"/>
  <c r="H103" i="27"/>
  <c r="H119" i="27" s="1"/>
  <c r="G87" i="27"/>
  <c r="G103" i="27"/>
  <c r="G119" i="27" s="1"/>
  <c r="H87" i="27"/>
  <c r="K46" i="11"/>
  <c r="O321" i="15"/>
  <c r="N343" i="15"/>
  <c r="AL131" i="2"/>
  <c r="F125" i="34"/>
  <c r="G125" i="34" s="1"/>
  <c r="N61" i="11"/>
  <c r="M61" i="11"/>
  <c r="J155" i="27"/>
  <c r="H1330" i="22" s="1"/>
  <c r="E46" i="11"/>
  <c r="L24" i="27"/>
  <c r="BF131" i="2"/>
  <c r="DB131" i="2" s="1"/>
  <c r="AE57" i="11"/>
  <c r="F1269" i="22"/>
  <c r="M347" i="22"/>
  <c r="R14" i="11"/>
  <c r="H13" i="4"/>
  <c r="R320" i="15"/>
  <c r="AC19" i="37"/>
  <c r="K87" i="27"/>
  <c r="C71" i="27"/>
  <c r="D87" i="27" s="1"/>
  <c r="F51" i="11"/>
  <c r="J345" i="15" s="1"/>
  <c r="F120" i="11"/>
  <c r="E32" i="4"/>
  <c r="L67" i="11"/>
  <c r="P6" i="11"/>
  <c r="K32" i="11"/>
  <c r="BK131" i="2"/>
  <c r="O61" i="11"/>
  <c r="AV152" i="2"/>
  <c r="J8" i="27"/>
  <c r="J40" i="27" s="1"/>
  <c r="O343" i="15"/>
  <c r="E73" i="27"/>
  <c r="E81" i="27" s="1"/>
  <c r="N10" i="11"/>
  <c r="D73" i="27"/>
  <c r="D81" i="27" s="1"/>
  <c r="W129" i="2"/>
  <c r="J37" i="11"/>
  <c r="BF132" i="2"/>
  <c r="M76" i="11"/>
  <c r="G1270" i="22" s="1"/>
  <c r="U338" i="15"/>
  <c r="G1269" i="22"/>
  <c r="CL130" i="2"/>
  <c r="G47" i="11"/>
  <c r="E33" i="11"/>
  <c r="BA152" i="2"/>
  <c r="O37" i="11"/>
  <c r="O55" i="11" s="1"/>
  <c r="G50" i="11"/>
  <c r="F46" i="11"/>
  <c r="G46" i="11"/>
  <c r="O78" i="11"/>
  <c r="I1272" i="22" s="1"/>
  <c r="F87" i="27"/>
  <c r="H250" i="19"/>
  <c r="H249" i="19"/>
  <c r="H323" i="19" s="1"/>
  <c r="I216" i="19"/>
  <c r="I207" i="19"/>
  <c r="I210" i="19"/>
  <c r="I229" i="19" s="1"/>
  <c r="J229" i="19" s="1"/>
  <c r="K229" i="19" s="1"/>
  <c r="L229" i="19" s="1"/>
  <c r="M229" i="19" s="1"/>
  <c r="N229" i="19" s="1"/>
  <c r="O229" i="19" s="1"/>
  <c r="I234" i="19"/>
  <c r="AJ181" i="19"/>
  <c r="AJ182" i="19"/>
  <c r="V43" i="19"/>
  <c r="AI183" i="19"/>
  <c r="H216" i="19"/>
  <c r="H240" i="19"/>
  <c r="K129" i="19"/>
  <c r="J132" i="19"/>
  <c r="L73" i="19"/>
  <c r="K82" i="19"/>
  <c r="N89" i="4"/>
  <c r="N79" i="4"/>
  <c r="N83" i="4" s="1"/>
  <c r="D22" i="19"/>
  <c r="D23" i="19"/>
  <c r="D27" i="19"/>
  <c r="H34" i="11"/>
  <c r="H38" i="11" s="1"/>
  <c r="H56" i="11" s="1"/>
  <c r="D14" i="19"/>
  <c r="D28" i="19"/>
  <c r="T209" i="22"/>
  <c r="AJ436" i="19"/>
  <c r="AJ437" i="19"/>
  <c r="AB131" i="2"/>
  <c r="AC286" i="2" s="1"/>
  <c r="AC284" i="2"/>
  <c r="F439" i="19"/>
  <c r="F446" i="19" s="1"/>
  <c r="F434" i="19"/>
  <c r="AL447" i="19"/>
  <c r="AL449" i="19"/>
  <c r="AL448" i="19"/>
  <c r="C73" i="27"/>
  <c r="F13" i="4"/>
  <c r="H79" i="4"/>
  <c r="E188" i="27" s="1"/>
  <c r="AH425" i="19"/>
  <c r="AH437" i="19" s="1"/>
  <c r="BL424" i="19"/>
  <c r="BS439" i="19"/>
  <c r="AS451" i="19"/>
  <c r="AS457" i="19" s="1"/>
  <c r="G224" i="19"/>
  <c r="I208" i="19"/>
  <c r="I227" i="19" s="1"/>
  <c r="I120" i="19"/>
  <c r="I124" i="19" s="1"/>
  <c r="J121" i="19"/>
  <c r="K121" i="19" s="1"/>
  <c r="L121" i="19" s="1"/>
  <c r="M121" i="19" s="1"/>
  <c r="N121" i="19" s="1"/>
  <c r="O121" i="19" s="1"/>
  <c r="P121" i="19" s="1"/>
  <c r="Q121" i="19" s="1"/>
  <c r="R121" i="19" s="1"/>
  <c r="S121" i="19" s="1"/>
  <c r="T121" i="19" s="1"/>
  <c r="U121" i="19" s="1"/>
  <c r="V121" i="19" s="1"/>
  <c r="W121" i="19" s="1"/>
  <c r="K89" i="4"/>
  <c r="K79" i="4"/>
  <c r="H188" i="27" s="1"/>
  <c r="D2626" i="22"/>
  <c r="D2628" i="22" s="1"/>
  <c r="D2634" i="22" s="1"/>
  <c r="H39" i="19"/>
  <c r="L58" i="11"/>
  <c r="E205" i="27" s="1"/>
  <c r="H50" i="19"/>
  <c r="H51" i="19" s="1"/>
  <c r="P298" i="15"/>
  <c r="AV128" i="2"/>
  <c r="H10" i="19"/>
  <c r="L43" i="11"/>
  <c r="H8" i="19"/>
  <c r="I10" i="19"/>
  <c r="AG437" i="19"/>
  <c r="D21" i="19"/>
  <c r="BO423" i="19"/>
  <c r="BS423" i="19"/>
  <c r="AK434" i="19"/>
  <c r="BK421" i="19"/>
  <c r="AK439" i="19"/>
  <c r="AK446" i="19" s="1"/>
  <c r="J48" i="19"/>
  <c r="BO421" i="19"/>
  <c r="AO434" i="19"/>
  <c r="J434" i="19"/>
  <c r="BA421" i="19"/>
  <c r="J439" i="19"/>
  <c r="J446" i="19" s="1"/>
  <c r="AU418" i="19"/>
  <c r="AU420" i="19" s="1"/>
  <c r="AI208" i="19"/>
  <c r="H208" i="19" s="1"/>
  <c r="H227" i="19" s="1"/>
  <c r="AI191" i="19"/>
  <c r="E22" i="19"/>
  <c r="E27" i="19"/>
  <c r="E28" i="19"/>
  <c r="I34" i="11"/>
  <c r="I38" i="11" s="1"/>
  <c r="I56" i="11" s="1"/>
  <c r="F27" i="19"/>
  <c r="E21" i="19"/>
  <c r="E29" i="19"/>
  <c r="F29" i="19"/>
  <c r="AG435" i="19"/>
  <c r="AG436" i="19"/>
  <c r="M47" i="11"/>
  <c r="L13" i="4"/>
  <c r="I73" i="27"/>
  <c r="E23" i="19"/>
  <c r="L289" i="19"/>
  <c r="L291" i="19" s="1"/>
  <c r="AI279" i="19"/>
  <c r="I209" i="19"/>
  <c r="I228" i="19" s="1"/>
  <c r="J228" i="19" s="1"/>
  <c r="K228" i="19" s="1"/>
  <c r="L228" i="19" s="1"/>
  <c r="J73" i="27"/>
  <c r="M13" i="4"/>
  <c r="G5" i="31" s="1"/>
  <c r="G22" i="31" s="1"/>
  <c r="I1329" i="22"/>
  <c r="K155" i="27"/>
  <c r="I1330" i="22" s="1"/>
  <c r="BF421" i="19"/>
  <c r="O439" i="19"/>
  <c r="O446" i="19" s="1"/>
  <c r="BT424" i="19"/>
  <c r="AT460" i="19"/>
  <c r="AT461" i="19" s="1"/>
  <c r="N293" i="19"/>
  <c r="M275" i="19"/>
  <c r="M276" i="19" s="1"/>
  <c r="M283" i="19"/>
  <c r="E2407" i="22"/>
  <c r="E2408" i="22" s="1"/>
  <c r="J82" i="19"/>
  <c r="F34" i="35"/>
  <c r="F45" i="35" s="1"/>
  <c r="I413" i="19"/>
  <c r="BA151" i="2"/>
  <c r="I57" i="19"/>
  <c r="G1285" i="22" s="1"/>
  <c r="BV423" i="19"/>
  <c r="AV418" i="19"/>
  <c r="AV420" i="19" s="1"/>
  <c r="H209" i="19"/>
  <c r="H228" i="19" s="1"/>
  <c r="K180" i="19"/>
  <c r="J337" i="19"/>
  <c r="M79" i="4"/>
  <c r="M89" i="4"/>
  <c r="I13" i="4"/>
  <c r="J47" i="11"/>
  <c r="F73" i="27"/>
  <c r="AG520" i="19"/>
  <c r="K520" i="19"/>
  <c r="L520" i="19"/>
  <c r="M520" i="19"/>
  <c r="AN439" i="19"/>
  <c r="AN446" i="19" s="1"/>
  <c r="AN434" i="19"/>
  <c r="I434" i="19"/>
  <c r="AZ421" i="19"/>
  <c r="I439" i="19"/>
  <c r="I446" i="19" s="1"/>
  <c r="K310" i="19"/>
  <c r="L308" i="19"/>
  <c r="L294" i="19"/>
  <c r="H7" i="11"/>
  <c r="E12" i="19"/>
  <c r="L28" i="19"/>
  <c r="K27" i="19"/>
  <c r="K29" i="19"/>
  <c r="K21" i="19"/>
  <c r="K28" i="19"/>
  <c r="L27" i="19"/>
  <c r="E107" i="19"/>
  <c r="AJ30" i="19"/>
  <c r="F2" i="19"/>
  <c r="E410" i="19"/>
  <c r="AU424" i="19"/>
  <c r="BQ424" i="19"/>
  <c r="AQ442" i="19"/>
  <c r="S302" i="15"/>
  <c r="S303" i="15" s="1"/>
  <c r="S304" i="15" s="1"/>
  <c r="K65" i="19"/>
  <c r="K97" i="19" s="1"/>
  <c r="N46" i="4"/>
  <c r="O117" i="11"/>
  <c r="O99" i="11" s="1"/>
  <c r="AP442" i="19"/>
  <c r="BP424" i="19"/>
  <c r="AP425" i="19"/>
  <c r="AS418" i="19"/>
  <c r="AS420" i="19" s="1"/>
  <c r="G174" i="19"/>
  <c r="G171" i="19"/>
  <c r="G169" i="19"/>
  <c r="K109" i="19"/>
  <c r="J108" i="19"/>
  <c r="M46" i="4"/>
  <c r="J65" i="19"/>
  <c r="J282" i="19"/>
  <c r="N117" i="11"/>
  <c r="J70" i="19"/>
  <c r="Q23" i="19"/>
  <c r="T52" i="11"/>
  <c r="AG392" i="19"/>
  <c r="H224" i="19"/>
  <c r="D1849" i="22"/>
  <c r="AJ452" i="38"/>
  <c r="C4557" i="22"/>
  <c r="X118" i="15"/>
  <c r="J28" i="15"/>
  <c r="Y113" i="15"/>
  <c r="Y28" i="15"/>
  <c r="I3014" i="22"/>
  <c r="J59" i="13"/>
  <c r="C4813" i="22" s="1"/>
  <c r="AO441" i="38"/>
  <c r="E3036" i="22"/>
  <c r="AJ508" i="38"/>
  <c r="K77" i="22"/>
  <c r="Q705" i="34"/>
  <c r="AY302" i="38"/>
  <c r="L163" i="37"/>
  <c r="AY313" i="38"/>
  <c r="M215" i="37" s="1"/>
  <c r="L169" i="37"/>
  <c r="AY270" i="38"/>
  <c r="AY296" i="38" s="1"/>
  <c r="L179" i="37" s="1"/>
  <c r="L267" i="37" s="1"/>
  <c r="AY295" i="38"/>
  <c r="L178" i="37" s="1"/>
  <c r="L266" i="37" s="1"/>
  <c r="AQ42" i="38"/>
  <c r="CG353" i="38" s="1"/>
  <c r="L172" i="37"/>
  <c r="H48" i="42"/>
  <c r="AY312" i="38"/>
  <c r="L168" i="37"/>
  <c r="D349" i="38"/>
  <c r="D382" i="38" s="1"/>
  <c r="D575" i="38" s="1"/>
  <c r="D408" i="38" s="1"/>
  <c r="AY314" i="38"/>
  <c r="M216" i="37" s="1"/>
  <c r="L170" i="37"/>
  <c r="N4421" i="22"/>
  <c r="W67" i="22"/>
  <c r="BD302" i="38"/>
  <c r="O137" i="37"/>
  <c r="BI264" i="38"/>
  <c r="BD264" i="38"/>
  <c r="BD290" i="38" s="1"/>
  <c r="M173" i="37" s="1"/>
  <c r="M143" i="37"/>
  <c r="M164" i="37"/>
  <c r="I95" i="22"/>
  <c r="B803" i="22"/>
  <c r="C2845" i="34"/>
  <c r="H6207" i="22" s="1"/>
  <c r="AB55" i="38"/>
  <c r="C48" i="37"/>
  <c r="C88" i="37" s="1"/>
  <c r="B87" i="38"/>
  <c r="B338" i="38" s="1"/>
  <c r="AB277" i="38"/>
  <c r="C4667" i="22" s="1"/>
  <c r="AF181" i="38"/>
  <c r="U950" i="38" s="1"/>
  <c r="B192" i="38"/>
  <c r="B4675" i="22" s="1"/>
  <c r="P118" i="38"/>
  <c r="Q118" i="38" s="1"/>
  <c r="F290" i="37" s="1"/>
  <c r="P404" i="38"/>
  <c r="N282" i="19"/>
  <c r="N311" i="19" s="1"/>
  <c r="V404" i="38"/>
  <c r="G308" i="38"/>
  <c r="D195" i="37" s="1"/>
  <c r="D260" i="37" s="1"/>
  <c r="F185" i="38"/>
  <c r="O282" i="19"/>
  <c r="O275" i="19" s="1"/>
  <c r="BW350" i="38"/>
  <c r="AB18" i="38"/>
  <c r="AV304" i="38"/>
  <c r="AW304" i="38"/>
  <c r="C275" i="37"/>
  <c r="C53" i="37"/>
  <c r="C93" i="37" s="1"/>
  <c r="F744" i="38"/>
  <c r="G265" i="37"/>
  <c r="K296" i="38"/>
  <c r="AA286" i="38"/>
  <c r="H168" i="37" s="1"/>
  <c r="AC162" i="38"/>
  <c r="BY104" i="38"/>
  <c r="AE192" i="38"/>
  <c r="G4167" i="22"/>
  <c r="I4167" i="22" s="1"/>
  <c r="H2482" i="22"/>
  <c r="H2484" i="22" s="1"/>
  <c r="E4167" i="22"/>
  <c r="M1722" i="22"/>
  <c r="G4178" i="22"/>
  <c r="I4178" i="22" s="1"/>
  <c r="AE730" i="22"/>
  <c r="G4174" i="22"/>
  <c r="I4174" i="22" s="1"/>
  <c r="AH730" i="22"/>
  <c r="F2483" i="22"/>
  <c r="F2484" i="22" s="1"/>
  <c r="P208" i="1" s="1"/>
  <c r="P229" i="1" s="1"/>
  <c r="P100" i="1" s="1"/>
  <c r="G4179" i="22"/>
  <c r="I4179" i="22" s="1"/>
  <c r="E4178" i="22"/>
  <c r="G4175" i="22"/>
  <c r="I4175" i="22" s="1"/>
  <c r="F4422" i="22"/>
  <c r="F4453" i="22" s="1"/>
  <c r="J3834" i="22"/>
  <c r="E3557" i="22"/>
  <c r="J3837" i="22"/>
  <c r="E3230" i="22"/>
  <c r="D2134" i="22"/>
  <c r="D2135" i="22" s="1"/>
  <c r="D2136" i="22" s="1"/>
  <c r="D2145" i="22" s="1"/>
  <c r="N2140" i="22" s="1"/>
  <c r="P120" i="15"/>
  <c r="B2195" i="22"/>
  <c r="AA12" i="15"/>
  <c r="O335" i="37"/>
  <c r="N113" i="37"/>
  <c r="BI97" i="38" s="1"/>
  <c r="R113" i="37"/>
  <c r="X216" i="22"/>
  <c r="L117" i="45"/>
  <c r="AN205" i="38"/>
  <c r="AQ211" i="38"/>
  <c r="G288" i="37"/>
  <c r="AH288" i="37" s="1"/>
  <c r="AP408" i="38"/>
  <c r="AL349" i="38"/>
  <c r="BR367" i="38" s="1"/>
  <c r="AQ552" i="38"/>
  <c r="AQ553" i="38" s="1"/>
  <c r="AM6" i="38"/>
  <c r="AM279" i="38" s="1"/>
  <c r="AQ436" i="38"/>
  <c r="AQ481" i="38" s="1"/>
  <c r="BY116" i="38"/>
  <c r="H122" i="15"/>
  <c r="H123" i="15" s="1"/>
  <c r="I3055" i="22"/>
  <c r="M83" i="15"/>
  <c r="M84" i="15" s="1"/>
  <c r="H3014" i="22"/>
  <c r="E3056" i="22"/>
  <c r="O95" i="22"/>
  <c r="O123" i="22" s="1"/>
  <c r="E2459" i="22"/>
  <c r="E2467" i="22" s="1"/>
  <c r="I817" i="22"/>
  <c r="F594" i="22"/>
  <c r="P951" i="22"/>
  <c r="J2304" i="22"/>
  <c r="I213" i="22"/>
  <c r="K795" i="22"/>
  <c r="G4830" i="22"/>
  <c r="I21" i="22"/>
  <c r="H777" i="22"/>
  <c r="Q119" i="22"/>
  <c r="Q124" i="22" s="1"/>
  <c r="L213" i="22"/>
  <c r="V556" i="22"/>
  <c r="O213" i="22"/>
  <c r="I796" i="22"/>
  <c r="I842" i="22" s="1"/>
  <c r="B830" i="22"/>
  <c r="X218" i="22"/>
  <c r="Q118" i="22"/>
  <c r="I799" i="22"/>
  <c r="Q117" i="22"/>
  <c r="I203" i="22"/>
  <c r="Q121" i="22"/>
  <c r="Q126" i="22" s="1"/>
  <c r="O203" i="22"/>
  <c r="Y222" i="22" s="1"/>
  <c r="AT97" i="38"/>
  <c r="AN140" i="38"/>
  <c r="B389" i="38"/>
  <c r="B119" i="45"/>
  <c r="B138" i="45" s="1"/>
  <c r="P955" i="38"/>
  <c r="B385" i="38"/>
  <c r="B115" i="45"/>
  <c r="AL540" i="38"/>
  <c r="S743" i="38"/>
  <c r="B387" i="38"/>
  <c r="B117" i="45"/>
  <c r="B4072" i="22"/>
  <c r="B118" i="45"/>
  <c r="B137" i="45" s="1"/>
  <c r="AP556" i="38"/>
  <c r="L389" i="38"/>
  <c r="S753" i="38"/>
  <c r="S751" i="38"/>
  <c r="C300" i="38"/>
  <c r="B4066" i="22"/>
  <c r="B384" i="38"/>
  <c r="B114" i="45"/>
  <c r="B134" i="45" s="1"/>
  <c r="B807" i="22"/>
  <c r="Q114" i="22"/>
  <c r="B834" i="22"/>
  <c r="B1027" i="22" s="1"/>
  <c r="Q116" i="22"/>
  <c r="AP2174" i="22"/>
  <c r="AH2174" i="22"/>
  <c r="Z2174" i="22"/>
  <c r="R2174" i="22"/>
  <c r="J2174" i="22"/>
  <c r="V67" i="22"/>
  <c r="U59" i="22"/>
  <c r="N2665" i="22"/>
  <c r="I2662" i="22"/>
  <c r="F2309" i="22"/>
  <c r="F2329" i="22" s="1"/>
  <c r="L203" i="22"/>
  <c r="AS13" i="22"/>
  <c r="AO13" i="22"/>
  <c r="K21" i="22"/>
  <c r="AP13" i="22"/>
  <c r="AR13" i="22"/>
  <c r="I941" i="22"/>
  <c r="Q938" i="22" s="1"/>
  <c r="P309" i="22"/>
  <c r="H309" i="22"/>
  <c r="E989" i="22"/>
  <c r="O987" i="22" s="1"/>
  <c r="T271" i="22"/>
  <c r="R255" i="22"/>
  <c r="F282" i="22" s="1"/>
  <c r="BG13" i="22"/>
  <c r="F731" i="38"/>
  <c r="AU304" i="38"/>
  <c r="AT77" i="38"/>
  <c r="M142" i="37"/>
  <c r="O145" i="37"/>
  <c r="M176" i="25"/>
  <c r="O955" i="38"/>
  <c r="R948" i="38"/>
  <c r="AL457" i="38"/>
  <c r="AO457" i="38" s="1"/>
  <c r="O70" i="25"/>
  <c r="O71" i="25" s="1"/>
  <c r="C30" i="42"/>
  <c r="C45" i="42" s="1"/>
  <c r="F48" i="42"/>
  <c r="P68" i="25"/>
  <c r="N177" i="25" s="1"/>
  <c r="J349" i="38"/>
  <c r="AJ300" i="38"/>
  <c r="Z300" i="38"/>
  <c r="D47" i="42"/>
  <c r="J53" i="42"/>
  <c r="AK14" i="22"/>
  <c r="AP14" i="22" s="1"/>
  <c r="L95" i="22"/>
  <c r="L123" i="22" s="1"/>
  <c r="H85" i="22"/>
  <c r="V85" i="22" s="1"/>
  <c r="R300" i="38"/>
  <c r="K747" i="38"/>
  <c r="D2195" i="22"/>
  <c r="AM106" i="38"/>
  <c r="AM550" i="38" s="1"/>
  <c r="AM552" i="38" s="1"/>
  <c r="BV110" i="38"/>
  <c r="R210" i="38"/>
  <c r="C57" i="42" s="1"/>
  <c r="R952" i="38"/>
  <c r="AO186" i="38"/>
  <c r="AM9" i="38"/>
  <c r="AM282" i="38" s="1"/>
  <c r="AH152" i="38"/>
  <c r="V957" i="38" s="1"/>
  <c r="AM186" i="38"/>
  <c r="R140" i="38"/>
  <c r="R545" i="38" s="1"/>
  <c r="R497" i="38"/>
  <c r="R510" i="38" s="1"/>
  <c r="AT88" i="38"/>
  <c r="J4" i="41"/>
  <c r="M113" i="37"/>
  <c r="AB136" i="15"/>
  <c r="H108" i="3"/>
  <c r="O113" i="37"/>
  <c r="BN97" i="38" s="1"/>
  <c r="BQ387" i="2"/>
  <c r="BA515" i="2"/>
  <c r="AC32" i="11"/>
  <c r="AC37" i="11" s="1"/>
  <c r="AC10" i="11"/>
  <c r="U62" i="25"/>
  <c r="P15" i="5"/>
  <c r="O591" i="3"/>
  <c r="O10" i="11"/>
  <c r="N576" i="3"/>
  <c r="S320" i="15"/>
  <c r="K7" i="27"/>
  <c r="K39" i="27" s="1"/>
  <c r="G47" i="35"/>
  <c r="D126" i="12"/>
  <c r="D135" i="12" s="1"/>
  <c r="D107" i="12"/>
  <c r="D144" i="12"/>
  <c r="F14" i="41"/>
  <c r="F804" i="3"/>
  <c r="E798" i="3"/>
  <c r="E814" i="3" s="1"/>
  <c r="H417" i="19"/>
  <c r="AL216" i="2"/>
  <c r="I29" i="31"/>
  <c r="S504" i="15"/>
  <c r="AB10" i="12"/>
  <c r="AB42" i="12" s="1"/>
  <c r="N582" i="3"/>
  <c r="K15" i="27"/>
  <c r="K47" i="27" s="1"/>
  <c r="G193" i="36"/>
  <c r="H98" i="36"/>
  <c r="S58" i="36"/>
  <c r="CV131" i="2"/>
  <c r="G1752" i="22"/>
  <c r="G1759" i="22"/>
  <c r="AH388" i="2"/>
  <c r="AH330" i="2"/>
  <c r="J898" i="22" s="1"/>
  <c r="I125" i="4"/>
  <c r="P216" i="33"/>
  <c r="Q216" i="33" s="1"/>
  <c r="M216" i="33"/>
  <c r="S53" i="19"/>
  <c r="B71" i="12"/>
  <c r="G321" i="15"/>
  <c r="C32" i="11"/>
  <c r="I1328" i="22"/>
  <c r="K104" i="27"/>
  <c r="K120" i="27" s="1"/>
  <c r="Z97" i="35"/>
  <c r="H22" i="4"/>
  <c r="C52" i="35"/>
  <c r="E46" i="35"/>
  <c r="X35" i="35"/>
  <c r="C164" i="27"/>
  <c r="C197" i="27" s="1"/>
  <c r="C52" i="41"/>
  <c r="O234" i="14"/>
  <c r="F62" i="10"/>
  <c r="L129" i="34"/>
  <c r="C53" i="4"/>
  <c r="C69" i="4" s="1"/>
  <c r="C70" i="4" s="1"/>
  <c r="O230" i="14"/>
  <c r="BN390" i="2"/>
  <c r="O235" i="14"/>
  <c r="I333" i="2"/>
  <c r="O64" i="10"/>
  <c r="C54" i="41"/>
  <c r="J2665" i="22"/>
  <c r="L1741" i="22"/>
  <c r="V76" i="22"/>
  <c r="K1741" i="22"/>
  <c r="E934" i="22"/>
  <c r="O932" i="22" s="1"/>
  <c r="O283" i="2"/>
  <c r="J1741" i="22"/>
  <c r="J77" i="22"/>
  <c r="AT76" i="38"/>
  <c r="Q2665" i="22"/>
  <c r="D2459" i="22"/>
  <c r="D2467" i="22" s="1"/>
  <c r="J1743" i="22"/>
  <c r="G1741" i="22"/>
  <c r="S572" i="22"/>
  <c r="AJ166" i="22"/>
  <c r="BE13" i="22"/>
  <c r="BI13" i="22" s="1"/>
  <c r="D4408" i="22"/>
  <c r="AO2174" i="22"/>
  <c r="X59" i="22"/>
  <c r="K112" i="37"/>
  <c r="E4328" i="22"/>
  <c r="E350" i="37"/>
  <c r="AT86" i="38"/>
  <c r="AT87" i="38"/>
  <c r="AB12" i="15"/>
  <c r="Y12" i="15"/>
  <c r="AC12" i="15"/>
  <c r="AT270" i="38"/>
  <c r="AT322" i="38" s="1"/>
  <c r="K202" i="37" s="1"/>
  <c r="AT295" i="38"/>
  <c r="K178" i="37" s="1"/>
  <c r="AT129" i="38"/>
  <c r="AQ188" i="38"/>
  <c r="AT106" i="38"/>
  <c r="AT78" i="38"/>
  <c r="K164" i="37"/>
  <c r="K163" i="37"/>
  <c r="AT302" i="38"/>
  <c r="AT313" i="38"/>
  <c r="AT287" i="38"/>
  <c r="K169" i="37" s="1"/>
  <c r="AT314" i="38"/>
  <c r="AT288" i="38"/>
  <c r="K170" i="37" s="1"/>
  <c r="L143" i="37"/>
  <c r="AT286" i="38"/>
  <c r="K168" i="37" s="1"/>
  <c r="AT312" i="38"/>
  <c r="P993" i="22"/>
  <c r="P994" i="22" s="1"/>
  <c r="K797" i="22"/>
  <c r="Y158" i="38"/>
  <c r="AG55" i="38"/>
  <c r="AG49" i="38" s="1"/>
  <c r="B163" i="38"/>
  <c r="W962" i="38"/>
  <c r="X210" i="38"/>
  <c r="H57" i="42" s="1"/>
  <c r="V192" i="38"/>
  <c r="J327" i="37"/>
  <c r="AQ109" i="38"/>
  <c r="AQ113" i="38" s="1"/>
  <c r="AK274" i="37"/>
  <c r="C4260" i="22"/>
  <c r="E101" i="37"/>
  <c r="N747" i="38"/>
  <c r="BY117" i="38"/>
  <c r="U4643" i="22"/>
  <c r="V4643" i="22"/>
  <c r="BU106" i="38"/>
  <c r="B96" i="38"/>
  <c r="B270" i="38" s="1"/>
  <c r="C138" i="37" s="1"/>
  <c r="AE20" i="37"/>
  <c r="E150" i="37"/>
  <c r="E148" i="37"/>
  <c r="AN349" i="38"/>
  <c r="BT367" i="38" s="1"/>
  <c r="Y300" i="38"/>
  <c r="F52" i="42"/>
  <c r="Q956" i="38"/>
  <c r="G189" i="38"/>
  <c r="E185" i="37"/>
  <c r="E250" i="37" s="1"/>
  <c r="Q349" i="38"/>
  <c r="Q382" i="38" s="1"/>
  <c r="Q575" i="38" s="1"/>
  <c r="Q408" i="38" s="1"/>
  <c r="W164" i="38"/>
  <c r="V287" i="38"/>
  <c r="G169" i="37" s="1"/>
  <c r="AA278" i="38"/>
  <c r="H164" i="37" s="1"/>
  <c r="C57" i="37"/>
  <c r="C97" i="37" s="1"/>
  <c r="Q277" i="38"/>
  <c r="F163" i="37" s="1"/>
  <c r="AG349" i="38"/>
  <c r="BU328" i="38" s="1"/>
  <c r="I349" i="38"/>
  <c r="AK349" i="38"/>
  <c r="C4603" i="22" s="1"/>
  <c r="D257" i="37"/>
  <c r="R605" i="38"/>
  <c r="E154" i="37"/>
  <c r="D249" i="37"/>
  <c r="H185" i="38"/>
  <c r="C951" i="38" s="1"/>
  <c r="AB276" i="38"/>
  <c r="C4666" i="22" s="1"/>
  <c r="AK308" i="38"/>
  <c r="K948" i="38"/>
  <c r="AL283" i="38"/>
  <c r="H4671" i="22" s="1"/>
  <c r="AD191" i="38"/>
  <c r="T954" i="38" s="1"/>
  <c r="B90" i="38"/>
  <c r="B341" i="38" s="1"/>
  <c r="T208" i="38"/>
  <c r="E54" i="42" s="1"/>
  <c r="BY112" i="38"/>
  <c r="O191" i="10"/>
  <c r="K352" i="38"/>
  <c r="AK49" i="38"/>
  <c r="AK69" i="38" s="1"/>
  <c r="AM48" i="38"/>
  <c r="AO48" i="38" s="1"/>
  <c r="D3477" i="22"/>
  <c r="D3498" i="22" s="1"/>
  <c r="J737" i="38"/>
  <c r="AD179" i="38"/>
  <c r="T948" i="38" s="1"/>
  <c r="W349" i="38"/>
  <c r="G30" i="42" s="1"/>
  <c r="G45" i="42" s="1"/>
  <c r="F51" i="42"/>
  <c r="AL185" i="38"/>
  <c r="AB951" i="38" s="1"/>
  <c r="R955" i="38"/>
  <c r="AL413" i="38"/>
  <c r="AB137" i="38"/>
  <c r="AB449" i="38" s="1"/>
  <c r="AB460" i="38" s="1"/>
  <c r="AB473" i="38" s="1"/>
  <c r="AB476" i="38" s="1"/>
  <c r="B260" i="38"/>
  <c r="C129" i="37" s="1"/>
  <c r="C147" i="37" s="1"/>
  <c r="P82" i="38"/>
  <c r="P333" i="38" s="1"/>
  <c r="B303" i="38"/>
  <c r="AQ193" i="38"/>
  <c r="AB956" i="38" s="1"/>
  <c r="BW115" i="38"/>
  <c r="B320" i="38"/>
  <c r="B396" i="38" s="1"/>
  <c r="Z164" i="38"/>
  <c r="AO192" i="38"/>
  <c r="Z205" i="38"/>
  <c r="J56" i="42" s="1"/>
  <c r="C63" i="37"/>
  <c r="C103" i="37" s="1"/>
  <c r="B197" i="38"/>
  <c r="BU109" i="38"/>
  <c r="AL282" i="38"/>
  <c r="H4670" i="22" s="1"/>
  <c r="O295" i="38"/>
  <c r="U139" i="15"/>
  <c r="L400" i="38"/>
  <c r="E4064" i="22"/>
  <c r="C178" i="37"/>
  <c r="C201" i="37" s="1"/>
  <c r="C228" i="37" s="1"/>
  <c r="AF180" i="38"/>
  <c r="U949" i="38" s="1"/>
  <c r="AB182" i="38"/>
  <c r="T245" i="10"/>
  <c r="T276" i="10" s="1"/>
  <c r="N66" i="38"/>
  <c r="I351" i="38"/>
  <c r="S952" i="38"/>
  <c r="AN301" i="38"/>
  <c r="D3834" i="22"/>
  <c r="E3834" i="22" s="1"/>
  <c r="F3834" i="22" s="1"/>
  <c r="AL13" i="38"/>
  <c r="AL21" i="38" s="1"/>
  <c r="AD286" i="38"/>
  <c r="D4674" i="22" s="1"/>
  <c r="M4674" i="22" s="1"/>
  <c r="AE162" i="38"/>
  <c r="AJ275" i="37"/>
  <c r="P131" i="38"/>
  <c r="Q131" i="38" s="1"/>
  <c r="F303" i="37" s="1"/>
  <c r="S10" i="1" s="1"/>
  <c r="G112" i="37"/>
  <c r="I328" i="37"/>
  <c r="AH286" i="38"/>
  <c r="F4674" i="22" s="1"/>
  <c r="O4674" i="22" s="1"/>
  <c r="Q134" i="38"/>
  <c r="F304" i="37" s="1"/>
  <c r="F115" i="37"/>
  <c r="E149" i="37"/>
  <c r="F142" i="37"/>
  <c r="AB79" i="38"/>
  <c r="E361" i="37"/>
  <c r="N605" i="38"/>
  <c r="O738" i="38"/>
  <c r="I82" i="38"/>
  <c r="I333" i="38" s="1"/>
  <c r="AO39" i="38"/>
  <c r="J46" i="37" s="1"/>
  <c r="AK140" i="38"/>
  <c r="AD277" i="38"/>
  <c r="D4667" i="22" s="1"/>
  <c r="M4667" i="22" s="1"/>
  <c r="AD55" i="38"/>
  <c r="AD57" i="38" s="1"/>
  <c r="B94" i="38"/>
  <c r="AB286" i="38"/>
  <c r="C4674" i="22" s="1"/>
  <c r="L4674" i="22" s="1"/>
  <c r="AE119" i="38"/>
  <c r="AE195" i="38" s="1"/>
  <c r="AN76" i="38"/>
  <c r="AO76" i="38" s="1"/>
  <c r="E300" i="38"/>
  <c r="AM540" i="38"/>
  <c r="AL45" i="38"/>
  <c r="AL308" i="38" s="1"/>
  <c r="AK304" i="38"/>
  <c r="AN282" i="38"/>
  <c r="I731" i="38"/>
  <c r="S156" i="38"/>
  <c r="AH287" i="38"/>
  <c r="F4675" i="22" s="1"/>
  <c r="O4675" i="22" s="1"/>
  <c r="AF287" i="38"/>
  <c r="E4675" i="22" s="1"/>
  <c r="N4675" i="22" s="1"/>
  <c r="B309" i="38"/>
  <c r="G82" i="38"/>
  <c r="G333" i="38" s="1"/>
  <c r="B191" i="38"/>
  <c r="B51" i="42" s="1"/>
  <c r="X712" i="38"/>
  <c r="X716" i="38" s="1"/>
  <c r="CB360" i="38"/>
  <c r="E102" i="37"/>
  <c r="AH76" i="38"/>
  <c r="D12" i="37"/>
  <c r="D93" i="37" s="1"/>
  <c r="B312" i="38"/>
  <c r="P23" i="38"/>
  <c r="P290" i="38" s="1"/>
  <c r="J112" i="37"/>
  <c r="AD18" i="38"/>
  <c r="AE13" i="38"/>
  <c r="AE9" i="38" s="1"/>
  <c r="O82" i="38"/>
  <c r="O333" i="38" s="1"/>
  <c r="AD76" i="38"/>
  <c r="Z388" i="38"/>
  <c r="Q278" i="38"/>
  <c r="F164" i="37" s="1"/>
  <c r="AA77" i="38"/>
  <c r="AD182" i="38"/>
  <c r="O296" i="38"/>
  <c r="B185" i="38"/>
  <c r="B50" i="42" s="1"/>
  <c r="T952" i="38"/>
  <c r="S191" i="10"/>
  <c r="AF86" i="38"/>
  <c r="H350" i="37"/>
  <c r="B82" i="38"/>
  <c r="C127" i="37" s="1"/>
  <c r="B179" i="38"/>
  <c r="B46" i="42" s="1"/>
  <c r="B35" i="42"/>
  <c r="E114" i="37"/>
  <c r="V139" i="15"/>
  <c r="H112" i="37"/>
  <c r="B76" i="38"/>
  <c r="E3507" i="22"/>
  <c r="E3519" i="22" s="1"/>
  <c r="B83" i="38"/>
  <c r="B257" i="38" s="1"/>
  <c r="B95" i="38"/>
  <c r="B269" i="38" s="1"/>
  <c r="C137" i="37" s="1"/>
  <c r="C155" i="37" s="1"/>
  <c r="B321" i="38"/>
  <c r="B397" i="38" s="1"/>
  <c r="T195" i="38"/>
  <c r="O700" i="38"/>
  <c r="Y164" i="38"/>
  <c r="E375" i="37"/>
  <c r="M605" i="38"/>
  <c r="J658" i="38"/>
  <c r="J657" i="38"/>
  <c r="J656" i="38"/>
  <c r="T460" i="38"/>
  <c r="T473" i="38" s="1"/>
  <c r="T476" i="38" s="1"/>
  <c r="G327" i="37"/>
  <c r="AH181" i="38"/>
  <c r="V950" i="38" s="1"/>
  <c r="C177" i="37"/>
  <c r="C200" i="37" s="1"/>
  <c r="C227" i="37" s="1"/>
  <c r="J352" i="38"/>
  <c r="T18" i="15"/>
  <c r="Z181" i="38"/>
  <c r="J48" i="42" s="1"/>
  <c r="I362" i="38"/>
  <c r="Y497" i="38"/>
  <c r="Y510" i="38" s="1"/>
  <c r="E155" i="37"/>
  <c r="N362" i="38"/>
  <c r="T139" i="15"/>
  <c r="AF300" i="38"/>
  <c r="O352" i="38"/>
  <c r="P351" i="38"/>
  <c r="H361" i="38"/>
  <c r="Y140" i="38"/>
  <c r="Y211" i="38" s="1"/>
  <c r="AJ3" i="38"/>
  <c r="I5" i="37" s="1"/>
  <c r="Y210" i="38"/>
  <c r="I57" i="42" s="1"/>
  <c r="I739" i="38"/>
  <c r="AG182" i="38"/>
  <c r="V181" i="38"/>
  <c r="R738" i="38"/>
  <c r="P25" i="38"/>
  <c r="P292" i="38" s="1"/>
  <c r="H349" i="38"/>
  <c r="AG304" i="38"/>
  <c r="E377" i="37"/>
  <c r="M751" i="38"/>
  <c r="E751" i="38"/>
  <c r="I747" i="38"/>
  <c r="P701" i="38"/>
  <c r="E142" i="37"/>
  <c r="R731" i="38"/>
  <c r="K752" i="38"/>
  <c r="R743" i="38"/>
  <c r="J743" i="38"/>
  <c r="O702" i="38"/>
  <c r="R657" i="38"/>
  <c r="I657" i="38"/>
  <c r="H19" i="42"/>
  <c r="G86" i="37"/>
  <c r="V76" i="38" s="1"/>
  <c r="G11" i="42"/>
  <c r="D100" i="37"/>
  <c r="D87" i="37"/>
  <c r="M603" i="38"/>
  <c r="U189" i="38"/>
  <c r="D51" i="41"/>
  <c r="D34" i="41" s="1"/>
  <c r="D35" i="41" s="1"/>
  <c r="D42" i="41" s="1"/>
  <c r="I656" i="38"/>
  <c r="N738" i="38"/>
  <c r="F747" i="38"/>
  <c r="Q120" i="15"/>
  <c r="I44" i="14"/>
  <c r="I28" i="14"/>
  <c r="E4117" i="22" s="1"/>
  <c r="D701" i="38"/>
  <c r="U605" i="38"/>
  <c r="R747" i="38"/>
  <c r="J701" i="38"/>
  <c r="AK82" i="38"/>
  <c r="AO77" i="38"/>
  <c r="AA105" i="38"/>
  <c r="AA181" i="38" s="1"/>
  <c r="M701" i="38"/>
  <c r="S308" i="10"/>
  <c r="F36" i="27"/>
  <c r="H29" i="4"/>
  <c r="H88" i="4" s="1"/>
  <c r="T306" i="10"/>
  <c r="U306" i="10" s="1"/>
  <c r="V306" i="10" s="1"/>
  <c r="W306" i="10" s="1"/>
  <c r="G54" i="10"/>
  <c r="K276" i="15" s="1"/>
  <c r="P61" i="10"/>
  <c r="P97" i="10" s="1"/>
  <c r="AH249" i="2"/>
  <c r="AH165" i="2" s="1"/>
  <c r="B127" i="10"/>
  <c r="B133" i="10" s="1"/>
  <c r="E1322" i="22"/>
  <c r="S575" i="38"/>
  <c r="S408" i="38"/>
  <c r="N752" i="38"/>
  <c r="D30" i="42"/>
  <c r="D45" i="42" s="1"/>
  <c r="AA349" i="38"/>
  <c r="AA382" i="38" s="1"/>
  <c r="AA408" i="38" s="1"/>
  <c r="M731" i="38"/>
  <c r="B33" i="42"/>
  <c r="AF97" i="38"/>
  <c r="B93" i="38"/>
  <c r="B344" i="38" s="1"/>
  <c r="R351" i="38"/>
  <c r="AC45" i="38"/>
  <c r="S605" i="38"/>
  <c r="B388" i="38"/>
  <c r="B37" i="42"/>
  <c r="L954" i="38"/>
  <c r="AM413" i="38"/>
  <c r="N729" i="38"/>
  <c r="B36" i="42"/>
  <c r="S300" i="38"/>
  <c r="K349" i="38"/>
  <c r="E11" i="42"/>
  <c r="B4073" i="22"/>
  <c r="AO349" i="38"/>
  <c r="AO382" i="38" s="1"/>
  <c r="AO408" i="38" s="1"/>
  <c r="X605" i="38"/>
  <c r="S603" i="38"/>
  <c r="N603" i="38"/>
  <c r="C179" i="37"/>
  <c r="C202" i="37" s="1"/>
  <c r="C229" i="37" s="1"/>
  <c r="J361" i="38"/>
  <c r="J232" i="22"/>
  <c r="I1253" i="22"/>
  <c r="M121" i="10"/>
  <c r="M76" i="10"/>
  <c r="F86" i="31" s="1"/>
  <c r="I147" i="27"/>
  <c r="G1323" i="22" s="1"/>
  <c r="M133" i="10"/>
  <c r="D45" i="4"/>
  <c r="K166" i="10"/>
  <c r="L162" i="10" s="1"/>
  <c r="Q274" i="15"/>
  <c r="I5" i="10"/>
  <c r="I10" i="10" s="1"/>
  <c r="L121" i="10"/>
  <c r="D144" i="10"/>
  <c r="D146" i="10"/>
  <c r="L76" i="10"/>
  <c r="L86" i="10" s="1"/>
  <c r="L93" i="10" s="1"/>
  <c r="S207" i="22"/>
  <c r="G1324" i="22"/>
  <c r="I68" i="27"/>
  <c r="L133" i="10"/>
  <c r="AE71" i="38"/>
  <c r="AD71" i="38" s="1"/>
  <c r="AP185" i="38"/>
  <c r="AD951" i="38" s="1"/>
  <c r="AG398" i="38"/>
  <c r="D700" i="38"/>
  <c r="U603" i="38"/>
  <c r="X382" i="38"/>
  <c r="X575" i="38" s="1"/>
  <c r="BR328" i="38"/>
  <c r="H30" i="42"/>
  <c r="H45" i="42" s="1"/>
  <c r="C27" i="42"/>
  <c r="B319" i="38"/>
  <c r="B395" i="38" s="1"/>
  <c r="O363" i="38"/>
  <c r="P731" i="38"/>
  <c r="F82" i="38"/>
  <c r="F333" i="38" s="1"/>
  <c r="S752" i="38"/>
  <c r="AD68" i="38"/>
  <c r="AJ68" i="38" s="1"/>
  <c r="I75" i="37" s="1"/>
  <c r="J351" i="38"/>
  <c r="E351" i="37"/>
  <c r="F145" i="37"/>
  <c r="H753" i="38"/>
  <c r="R752" i="38"/>
  <c r="J752" i="38"/>
  <c r="O747" i="38"/>
  <c r="H744" i="38"/>
  <c r="I743" i="38"/>
  <c r="N702" i="38"/>
  <c r="F702" i="38"/>
  <c r="F701" i="38"/>
  <c r="N700" i="38"/>
  <c r="F700" i="38"/>
  <c r="H658" i="38"/>
  <c r="P657" i="38"/>
  <c r="AB97" i="38"/>
  <c r="E363" i="37"/>
  <c r="E52" i="42"/>
  <c r="O701" i="38"/>
  <c r="H657" i="38"/>
  <c r="F753" i="38"/>
  <c r="AC398" i="38"/>
  <c r="D251" i="37"/>
  <c r="X300" i="38"/>
  <c r="J955" i="38"/>
  <c r="C59" i="37"/>
  <c r="C99" i="37" s="1"/>
  <c r="Y21" i="38"/>
  <c r="Y152" i="38" s="1"/>
  <c r="Q957" i="38" s="1"/>
  <c r="D375" i="37"/>
  <c r="E327" i="37"/>
  <c r="O716" i="38"/>
  <c r="E337" i="37"/>
  <c r="O948" i="38"/>
  <c r="N350" i="38"/>
  <c r="W718" i="38"/>
  <c r="P139" i="38"/>
  <c r="Q139" i="38" s="1"/>
  <c r="F307" i="37" s="1"/>
  <c r="S13" i="1" s="1"/>
  <c r="S82" i="1" s="1"/>
  <c r="P349" i="38"/>
  <c r="Q730" i="38"/>
  <c r="R753" i="38" s="1"/>
  <c r="I753" i="38"/>
  <c r="F4063" i="22"/>
  <c r="Y603" i="38"/>
  <c r="P545" i="38"/>
  <c r="AF540" i="38"/>
  <c r="M950" i="38"/>
  <c r="R954" i="38"/>
  <c r="E2171" i="34"/>
  <c r="I744" i="38"/>
  <c r="K949" i="38"/>
  <c r="E66" i="38"/>
  <c r="C70" i="37"/>
  <c r="C108" i="37" s="1"/>
  <c r="P737" i="38"/>
  <c r="AD77" i="38"/>
  <c r="R352" i="38"/>
  <c r="D751" i="38"/>
  <c r="AI9" i="38"/>
  <c r="AI282" i="38" s="1"/>
  <c r="AB552" i="38"/>
  <c r="AO84" i="38"/>
  <c r="AM195" i="38"/>
  <c r="E153" i="37"/>
  <c r="O739" i="38"/>
  <c r="G738" i="38"/>
  <c r="O737" i="38"/>
  <c r="G737" i="38"/>
  <c r="Q301" i="38"/>
  <c r="F184" i="37" s="1"/>
  <c r="E479" i="37"/>
  <c r="H264" i="14" s="1"/>
  <c r="H731" i="38"/>
  <c r="AJ426" i="38"/>
  <c r="D359" i="37"/>
  <c r="AF552" i="38"/>
  <c r="AL182" i="38"/>
  <c r="BY115" i="38"/>
  <c r="D373" i="37"/>
  <c r="E362" i="37"/>
  <c r="F658" i="38"/>
  <c r="AA312" i="38"/>
  <c r="H190" i="37" s="1"/>
  <c r="H239" i="37" s="1"/>
  <c r="AA303" i="38"/>
  <c r="H186" i="37" s="1"/>
  <c r="H236" i="37" s="1"/>
  <c r="G88" i="37"/>
  <c r="V78" i="38" s="1"/>
  <c r="I185" i="38"/>
  <c r="D951" i="38" s="1"/>
  <c r="P185" i="38"/>
  <c r="J951" i="38" s="1"/>
  <c r="U208" i="38"/>
  <c r="F54" i="42" s="1"/>
  <c r="AA129" i="38"/>
  <c r="H301" i="37" s="1"/>
  <c r="W144" i="15" s="1"/>
  <c r="G351" i="37"/>
  <c r="R245" i="10"/>
  <c r="R276" i="10" s="1"/>
  <c r="G328" i="37"/>
  <c r="AH275" i="37"/>
  <c r="S109" i="38"/>
  <c r="K3089" i="22" s="1"/>
  <c r="S131" i="38"/>
  <c r="S165" i="38" s="1"/>
  <c r="K30" i="42"/>
  <c r="K45" i="42" s="1"/>
  <c r="AC382" i="38"/>
  <c r="AC575" i="38" s="1"/>
  <c r="B5049" i="22"/>
  <c r="C338" i="37"/>
  <c r="B4262" i="22"/>
  <c r="B3839" i="22"/>
  <c r="C362" i="37"/>
  <c r="N701" i="38"/>
  <c r="E87" i="37"/>
  <c r="B322" i="38"/>
  <c r="B398" i="38" s="1"/>
  <c r="X140" i="38"/>
  <c r="X211" i="38" s="1"/>
  <c r="J82" i="38"/>
  <c r="J333" i="38" s="1"/>
  <c r="X952" i="38"/>
  <c r="R350" i="38"/>
  <c r="AN13" i="38"/>
  <c r="AE205" i="38"/>
  <c r="U286" i="38"/>
  <c r="F445" i="37"/>
  <c r="N363" i="38"/>
  <c r="X603" i="38"/>
  <c r="C339" i="37"/>
  <c r="Y69" i="38"/>
  <c r="Y400" i="38" s="1"/>
  <c r="AF6" i="38"/>
  <c r="AF182" i="38" s="1"/>
  <c r="S276" i="38"/>
  <c r="AF46" i="38"/>
  <c r="AF276" i="38"/>
  <c r="E4666" i="22" s="1"/>
  <c r="N4666" i="22" s="1"/>
  <c r="AO115" i="38"/>
  <c r="AO191" i="38" s="1"/>
  <c r="AN119" i="38"/>
  <c r="AN195" i="38" s="1"/>
  <c r="B161" i="38"/>
  <c r="I752" i="38"/>
  <c r="M738" i="38"/>
  <c r="C337" i="37"/>
  <c r="O185" i="38"/>
  <c r="I951" i="38" s="1"/>
  <c r="H656" i="38"/>
  <c r="H3089" i="22"/>
  <c r="AP82" i="38"/>
  <c r="AM12" i="37"/>
  <c r="AF275" i="37"/>
  <c r="H4669" i="22"/>
  <c r="M4669" i="22" s="1"/>
  <c r="AC300" i="38"/>
  <c r="AH78" i="38"/>
  <c r="AA288" i="38"/>
  <c r="H170" i="37" s="1"/>
  <c r="U312" i="38"/>
  <c r="U388" i="38" s="1"/>
  <c r="D20" i="41"/>
  <c r="AF76" i="38"/>
  <c r="D361" i="37"/>
  <c r="O753" i="38"/>
  <c r="F150" i="37"/>
  <c r="AP540" i="38"/>
  <c r="U161" i="38"/>
  <c r="BY353" i="38"/>
  <c r="P658" i="38"/>
  <c r="C185" i="38"/>
  <c r="J751" i="38"/>
  <c r="AH179" i="38"/>
  <c r="V948" i="38" s="1"/>
  <c r="AF188" i="38"/>
  <c r="C2171" i="34"/>
  <c r="R751" i="38"/>
  <c r="AN540" i="38"/>
  <c r="AN191" i="38"/>
  <c r="Z954" i="38" s="1"/>
  <c r="D59" i="41"/>
  <c r="V278" i="38"/>
  <c r="G164" i="37" s="1"/>
  <c r="R729" i="38"/>
  <c r="AH10" i="38"/>
  <c r="AH46" i="38" s="1"/>
  <c r="AP13" i="38"/>
  <c r="AP32" i="38" s="1"/>
  <c r="V302" i="38"/>
  <c r="G185" i="37" s="1"/>
  <c r="G235" i="37" s="1"/>
  <c r="AL196" i="38"/>
  <c r="AB88" i="38"/>
  <c r="M352" i="38"/>
  <c r="G1995" i="22"/>
  <c r="G2007" i="22" s="1"/>
  <c r="D39" i="41"/>
  <c r="AP510" i="38"/>
  <c r="BW363" i="38"/>
  <c r="F153" i="37"/>
  <c r="D3455" i="22"/>
  <c r="D3456" i="22" s="1"/>
  <c r="AF137" i="38"/>
  <c r="AG138" i="38" s="1"/>
  <c r="V300" i="38"/>
  <c r="D52" i="42"/>
  <c r="AE349" i="38"/>
  <c r="AE382" i="38" s="1"/>
  <c r="O744" i="38"/>
  <c r="S195" i="38"/>
  <c r="G731" i="38"/>
  <c r="AH49" i="38"/>
  <c r="AM21" i="37"/>
  <c r="H743" i="38"/>
  <c r="N744" i="38"/>
  <c r="AB288" i="38"/>
  <c r="C4676" i="22" s="1"/>
  <c r="L4676" i="22" s="1"/>
  <c r="G53" i="42"/>
  <c r="Q954" i="38"/>
  <c r="AH7" i="37"/>
  <c r="AG79" i="38"/>
  <c r="N731" i="38"/>
  <c r="Q180" i="38"/>
  <c r="U497" i="38"/>
  <c r="U510" i="38" s="1"/>
  <c r="K751" i="38"/>
  <c r="P656" i="38"/>
  <c r="P949" i="38"/>
  <c r="P744" i="38"/>
  <c r="AG196" i="38"/>
  <c r="AO303" i="38"/>
  <c r="J186" i="37" s="1"/>
  <c r="K210" i="37" s="1"/>
  <c r="G81" i="40" s="1"/>
  <c r="G739" i="38"/>
  <c r="F148" i="37"/>
  <c r="F479" i="37"/>
  <c r="I264" i="14" s="1"/>
  <c r="D10" i="42"/>
  <c r="D11" i="42" s="1"/>
  <c r="B162" i="38"/>
  <c r="T109" i="38"/>
  <c r="Y109" i="38" s="1"/>
  <c r="Z57" i="38"/>
  <c r="E100" i="37"/>
  <c r="AP182" i="38"/>
  <c r="H288" i="37"/>
  <c r="E3508" i="22" s="1"/>
  <c r="E3520" i="22" s="1"/>
  <c r="AK282" i="38"/>
  <c r="G4670" i="22" s="1"/>
  <c r="R241" i="10"/>
  <c r="Q412" i="38"/>
  <c r="U449" i="38"/>
  <c r="U460" i="38" s="1"/>
  <c r="U473" i="38" s="1"/>
  <c r="U476" i="38" s="1"/>
  <c r="P753" i="38"/>
  <c r="L950" i="38"/>
  <c r="U195" i="38"/>
  <c r="P743" i="38"/>
  <c r="BT109" i="38"/>
  <c r="T189" i="38"/>
  <c r="U140" i="38"/>
  <c r="U211" i="38" s="1"/>
  <c r="B4068" i="22"/>
  <c r="AK185" i="38"/>
  <c r="AA951" i="38" s="1"/>
  <c r="V205" i="38"/>
  <c r="AH539" i="38"/>
  <c r="AH556" i="38" s="1"/>
  <c r="AP113" i="38"/>
  <c r="AA960" i="38" s="1"/>
  <c r="H350" i="38"/>
  <c r="AK21" i="37"/>
  <c r="D102" i="37"/>
  <c r="F66" i="38"/>
  <c r="J62" i="38"/>
  <c r="J318" i="38" s="1"/>
  <c r="J394" i="38" s="1"/>
  <c r="AO322" i="38"/>
  <c r="J202" i="37" s="1"/>
  <c r="J66" i="38"/>
  <c r="V191" i="38"/>
  <c r="N185" i="38"/>
  <c r="H951" i="38" s="1"/>
  <c r="Q181" i="38"/>
  <c r="F373" i="37"/>
  <c r="AD205" i="38"/>
  <c r="I294" i="38"/>
  <c r="I112" i="37"/>
  <c r="D479" i="37"/>
  <c r="G264" i="14" s="1"/>
  <c r="E147" i="37"/>
  <c r="E328" i="37"/>
  <c r="D65" i="37"/>
  <c r="M753" i="38"/>
  <c r="E753" i="38"/>
  <c r="P751" i="38"/>
  <c r="D747" i="38"/>
  <c r="M744" i="38"/>
  <c r="E744" i="38"/>
  <c r="M658" i="38"/>
  <c r="M657" i="38"/>
  <c r="E738" i="38"/>
  <c r="M737" i="38"/>
  <c r="E737" i="38"/>
  <c r="AO78" i="38"/>
  <c r="Y82" i="38"/>
  <c r="Y333" i="38" s="1"/>
  <c r="Y282" i="38"/>
  <c r="AL311" i="38"/>
  <c r="AL285" i="38"/>
  <c r="H4673" i="22" s="1"/>
  <c r="CB353" i="38"/>
  <c r="P605" i="38"/>
  <c r="AE45" i="38"/>
  <c r="N658" i="38"/>
  <c r="AF41" i="38"/>
  <c r="AF78" i="38" s="1"/>
  <c r="C274" i="37"/>
  <c r="C496" i="37" s="1"/>
  <c r="C506" i="37" s="1"/>
  <c r="AH497" i="38"/>
  <c r="L948" i="38"/>
  <c r="N743" i="38"/>
  <c r="K956" i="38"/>
  <c r="T140" i="38"/>
  <c r="T211" i="38" s="1"/>
  <c r="AC137" i="38"/>
  <c r="K66" i="38"/>
  <c r="K322" i="38" s="1"/>
  <c r="K398" i="38" s="1"/>
  <c r="AL79" i="38"/>
  <c r="F155" i="37"/>
  <c r="AL309" i="38"/>
  <c r="W712" i="38"/>
  <c r="W716" i="38" s="1"/>
  <c r="O743" i="38"/>
  <c r="AG303" i="38"/>
  <c r="AG385" i="38" s="1"/>
  <c r="M739" i="38"/>
  <c r="F7" i="42"/>
  <c r="H7" i="42" s="1"/>
  <c r="O731" i="38"/>
  <c r="P729" i="38"/>
  <c r="W717" i="38"/>
  <c r="O385" i="38"/>
  <c r="G3089" i="22"/>
  <c r="P954" i="38"/>
  <c r="V139" i="38"/>
  <c r="G307" i="37" s="1"/>
  <c r="T13" i="1" s="1"/>
  <c r="T82" i="1" s="1"/>
  <c r="F138" i="37"/>
  <c r="D99" i="37"/>
  <c r="D86" i="37"/>
  <c r="AE428" i="38"/>
  <c r="H751" i="38"/>
  <c r="F149" i="37"/>
  <c r="AG78" i="38"/>
  <c r="Z71" i="38"/>
  <c r="F5" i="42" s="1"/>
  <c r="H5" i="42" s="1"/>
  <c r="Q949" i="38"/>
  <c r="I751" i="38"/>
  <c r="G3088" i="22"/>
  <c r="P192" i="38"/>
  <c r="Q205" i="38"/>
  <c r="AJ322" i="38"/>
  <c r="I202" i="37" s="1"/>
  <c r="N753" i="38"/>
  <c r="P752" i="38"/>
  <c r="Q116" i="38"/>
  <c r="P384" i="38"/>
  <c r="F743" i="38"/>
  <c r="E658" i="38"/>
  <c r="E657" i="38"/>
  <c r="E656" i="38"/>
  <c r="Y449" i="38"/>
  <c r="Y460" i="38" s="1"/>
  <c r="Y473" i="38" s="1"/>
  <c r="Y476" i="38" s="1"/>
  <c r="I363" i="38"/>
  <c r="N352" i="38"/>
  <c r="P350" i="38"/>
  <c r="I350" i="38"/>
  <c r="I460" i="38"/>
  <c r="I473" i="38" s="1"/>
  <c r="I476" i="38" s="1"/>
  <c r="D97" i="37"/>
  <c r="E739" i="38"/>
  <c r="F482" i="37"/>
  <c r="I293" i="14" s="1"/>
  <c r="I3088" i="22"/>
  <c r="AM20" i="37"/>
  <c r="F3648" i="22"/>
  <c r="F3650" i="22" s="1"/>
  <c r="G3649" i="22" s="1"/>
  <c r="G3650" i="22" s="1"/>
  <c r="H752" i="38"/>
  <c r="AJ39" i="38"/>
  <c r="I46" i="37" s="1"/>
  <c r="F349" i="38"/>
  <c r="F382" i="38" s="1"/>
  <c r="F575" i="38" s="1"/>
  <c r="F408" i="38" s="1"/>
  <c r="AA88" i="38"/>
  <c r="I497" i="38"/>
  <c r="I510" i="38" s="1"/>
  <c r="U82" i="38"/>
  <c r="U333" i="38" s="1"/>
  <c r="U144" i="15"/>
  <c r="Q303" i="38"/>
  <c r="F186" i="37" s="1"/>
  <c r="E747" i="38"/>
  <c r="M752" i="38"/>
  <c r="T716" i="38"/>
  <c r="F87" i="37"/>
  <c r="Q77" i="38" s="1"/>
  <c r="C47" i="37"/>
  <c r="C87" i="37" s="1"/>
  <c r="I3089" i="22"/>
  <c r="R119" i="38"/>
  <c r="V119" i="38" s="1"/>
  <c r="G291" i="37" s="1"/>
  <c r="V143" i="15" s="1"/>
  <c r="F275" i="37"/>
  <c r="F328" i="37" s="1"/>
  <c r="M5013" i="22"/>
  <c r="S193" i="10"/>
  <c r="S211" i="10" s="1"/>
  <c r="S225" i="10" s="1"/>
  <c r="U191" i="10"/>
  <c r="N956" i="38"/>
  <c r="AB49" i="38"/>
  <c r="U69" i="38"/>
  <c r="U400" i="38" s="1"/>
  <c r="AB76" i="38"/>
  <c r="T251" i="38"/>
  <c r="T326" i="38" s="1"/>
  <c r="E7" i="42"/>
  <c r="K950" i="38"/>
  <c r="AO302" i="38"/>
  <c r="J185" i="37" s="1"/>
  <c r="AK281" i="37"/>
  <c r="F327" i="37"/>
  <c r="Q195" i="10"/>
  <c r="Q196" i="10" s="1"/>
  <c r="Y57" i="38"/>
  <c r="S301" i="38"/>
  <c r="S383" i="38" s="1"/>
  <c r="X383" i="38"/>
  <c r="X449" i="38"/>
  <c r="X460" i="38" s="1"/>
  <c r="X473" i="38" s="1"/>
  <c r="X476" i="38" s="1"/>
  <c r="R163" i="38"/>
  <c r="J334" i="37"/>
  <c r="AH274" i="37"/>
  <c r="R195" i="10"/>
  <c r="G131" i="38"/>
  <c r="D303" i="37" s="1"/>
  <c r="Q10" i="1" s="1"/>
  <c r="N82" i="38"/>
  <c r="N333" i="38" s="1"/>
  <c r="V117" i="38"/>
  <c r="G289" i="37" s="1"/>
  <c r="AH289" i="37" s="1"/>
  <c r="AF274" i="37"/>
  <c r="P195" i="10"/>
  <c r="P191" i="10" s="1"/>
  <c r="E141" i="37"/>
  <c r="E99" i="37"/>
  <c r="T605" i="38"/>
  <c r="O605" i="38"/>
  <c r="O603" i="38"/>
  <c r="S200" i="10"/>
  <c r="S203" i="10" s="1"/>
  <c r="S205" i="10" s="1"/>
  <c r="D267" i="37"/>
  <c r="E152" i="37"/>
  <c r="J5013" i="22"/>
  <c r="P193" i="10"/>
  <c r="AJ274" i="37"/>
  <c r="T195" i="10"/>
  <c r="AG144" i="38"/>
  <c r="O752" i="38"/>
  <c r="C52" i="42"/>
  <c r="K350" i="38"/>
  <c r="D657" i="38"/>
  <c r="AD302" i="38"/>
  <c r="B193" i="38"/>
  <c r="I5013" i="22"/>
  <c r="O193" i="10"/>
  <c r="O196" i="10" s="1"/>
  <c r="J23" i="37"/>
  <c r="Y135" i="15" s="1"/>
  <c r="AB19" i="38"/>
  <c r="AB195" i="38" s="1"/>
  <c r="O729" i="38"/>
  <c r="E190" i="37"/>
  <c r="E255" i="37" s="1"/>
  <c r="B88" i="38"/>
  <c r="B262" i="38" s="1"/>
  <c r="C131" i="37" s="1"/>
  <c r="G109" i="38"/>
  <c r="G185" i="38" s="1"/>
  <c r="D2870" i="22"/>
  <c r="D2882" i="22" s="1"/>
  <c r="P78" i="15"/>
  <c r="F2987" i="22"/>
  <c r="G3049" i="22"/>
  <c r="Q119" i="15"/>
  <c r="L4" i="15"/>
  <c r="P13" i="15"/>
  <c r="G3036" i="22"/>
  <c r="F2988" i="22"/>
  <c r="V20" i="15"/>
  <c r="B3045" i="22"/>
  <c r="Y120" i="15"/>
  <c r="T78" i="15"/>
  <c r="D1233" i="22"/>
  <c r="D1243" i="22" s="1"/>
  <c r="I78" i="15"/>
  <c r="P4" i="15"/>
  <c r="D2987" i="22"/>
  <c r="D4795" i="22"/>
  <c r="Z120" i="15"/>
  <c r="D4562" i="22"/>
  <c r="N149" i="37"/>
  <c r="BK125" i="2"/>
  <c r="O232" i="14"/>
  <c r="J341" i="19" s="1"/>
  <c r="K341" i="19" s="1"/>
  <c r="L341" i="19" s="1"/>
  <c r="M341" i="19" s="1"/>
  <c r="N341" i="19" s="1"/>
  <c r="O341" i="19" s="1"/>
  <c r="P341" i="19" s="1"/>
  <c r="Q341" i="19" s="1"/>
  <c r="R341" i="19" s="1"/>
  <c r="S341" i="19" s="1"/>
  <c r="T341" i="19" s="1"/>
  <c r="U341" i="19" s="1"/>
  <c r="V341" i="19" s="1"/>
  <c r="W341" i="19" s="1"/>
  <c r="O236" i="14"/>
  <c r="O237" i="14"/>
  <c r="O233" i="14"/>
  <c r="O225" i="14"/>
  <c r="O229" i="14"/>
  <c r="F239" i="27"/>
  <c r="AM147" i="10"/>
  <c r="F243" i="27"/>
  <c r="C330" i="10"/>
  <c r="AL62" i="10"/>
  <c r="N191" i="10"/>
  <c r="G69" i="27"/>
  <c r="G101" i="27" s="1"/>
  <c r="G117" i="27" s="1"/>
  <c r="I155" i="10"/>
  <c r="F53" i="10"/>
  <c r="K362" i="22" s="1"/>
  <c r="K363" i="22" s="1"/>
  <c r="X186" i="10"/>
  <c r="E239" i="27"/>
  <c r="M88" i="10"/>
  <c r="M94" i="10" s="1"/>
  <c r="R187" i="10"/>
  <c r="O12" i="4"/>
  <c r="I198" i="14"/>
  <c r="H1965" i="22"/>
  <c r="AK62" i="10"/>
  <c r="F52" i="10"/>
  <c r="F362" i="22" s="1"/>
  <c r="F363" i="22" s="1"/>
  <c r="F101" i="27"/>
  <c r="F117" i="27" s="1"/>
  <c r="BF125" i="2"/>
  <c r="DB125" i="2" s="1"/>
  <c r="D2749" i="22"/>
  <c r="D2762" i="22" s="1"/>
  <c r="N139" i="10"/>
  <c r="N214" i="10" s="1"/>
  <c r="T269" i="15"/>
  <c r="AN151" i="10"/>
  <c r="AL151" i="10"/>
  <c r="P64" i="10"/>
  <c r="Q64" i="10" s="1"/>
  <c r="R64" i="10" s="1"/>
  <c r="S64" i="10" s="1"/>
  <c r="T64" i="10" s="1"/>
  <c r="U64" i="10" s="1"/>
  <c r="V64" i="10" s="1"/>
  <c r="W64" i="10" s="1"/>
  <c r="X64" i="10" s="1"/>
  <c r="Y64" i="10" s="1"/>
  <c r="Z64" i="10" s="1"/>
  <c r="AA64" i="10" s="1"/>
  <c r="AB64" i="10" s="1"/>
  <c r="E53" i="10"/>
  <c r="I253" i="15" s="1"/>
  <c r="L47" i="10"/>
  <c r="L46" i="10"/>
  <c r="N198" i="10"/>
  <c r="N199" i="10" s="1"/>
  <c r="L34" i="10"/>
  <c r="L7" i="10" s="1"/>
  <c r="O274" i="15" s="1"/>
  <c r="H1316" i="22"/>
  <c r="J397" i="22"/>
  <c r="K47" i="10"/>
  <c r="AV124" i="2"/>
  <c r="P276" i="10"/>
  <c r="M76" i="4"/>
  <c r="E171" i="27"/>
  <c r="BA150" i="2"/>
  <c r="AQ123" i="2"/>
  <c r="CP123" i="2" s="1"/>
  <c r="L52" i="27"/>
  <c r="AR729" i="22"/>
  <c r="AT729" i="22" s="1"/>
  <c r="AX729" i="22" s="1"/>
  <c r="P275" i="15"/>
  <c r="Q52" i="10"/>
  <c r="F47" i="10"/>
  <c r="G66" i="10" s="1"/>
  <c r="AG300" i="2"/>
  <c r="AG302" i="2" s="1"/>
  <c r="J189" i="27"/>
  <c r="G1255" i="22"/>
  <c r="O252" i="15"/>
  <c r="P32" i="10"/>
  <c r="P37" i="10" s="1"/>
  <c r="P57" i="10" s="1"/>
  <c r="BO91" i="2"/>
  <c r="BQ91" i="2" s="1"/>
  <c r="BQ90" i="2" s="1"/>
  <c r="K230" i="15"/>
  <c r="G362" i="22"/>
  <c r="G363" i="22" s="1"/>
  <c r="C316" i="10"/>
  <c r="M274" i="15"/>
  <c r="F6" i="27"/>
  <c r="F38" i="27" s="1"/>
  <c r="K86" i="27"/>
  <c r="O275" i="15"/>
  <c r="J252" i="15"/>
  <c r="M79" i="10"/>
  <c r="J398" i="22" s="1"/>
  <c r="P6" i="10"/>
  <c r="T251" i="15" s="1"/>
  <c r="L362" i="22"/>
  <c r="L363" i="22" s="1"/>
  <c r="AN154" i="10"/>
  <c r="I397" i="22"/>
  <c r="P307" i="10"/>
  <c r="C37" i="10"/>
  <c r="E52" i="10"/>
  <c r="I230" i="15" s="1"/>
  <c r="AG125" i="2"/>
  <c r="G146" i="10"/>
  <c r="K34" i="10"/>
  <c r="K7" i="10" s="1"/>
  <c r="AA251" i="38"/>
  <c r="AA301" i="38" s="1"/>
  <c r="H184" i="37" s="1"/>
  <c r="G157" i="10"/>
  <c r="I146" i="10"/>
  <c r="I147" i="10" s="1"/>
  <c r="G178" i="10"/>
  <c r="D47" i="10"/>
  <c r="AQ124" i="2"/>
  <c r="AQ484" i="2" s="1"/>
  <c r="F46" i="10"/>
  <c r="E12" i="4" s="1"/>
  <c r="F122" i="4" s="1"/>
  <c r="K88" i="10"/>
  <c r="F85" i="27"/>
  <c r="AV150" i="2"/>
  <c r="S206" i="22"/>
  <c r="F401" i="22"/>
  <c r="J141" i="37"/>
  <c r="G70" i="27"/>
  <c r="G102" i="27" s="1"/>
  <c r="G118" i="27" s="1"/>
  <c r="E47" i="10"/>
  <c r="G1322" i="22"/>
  <c r="R206" i="22"/>
  <c r="AD5" i="37"/>
  <c r="I144" i="10"/>
  <c r="I62" i="10"/>
  <c r="K232" i="22"/>
  <c r="I252" i="15"/>
  <c r="K102" i="27"/>
  <c r="K118" i="27" s="1"/>
  <c r="Q15" i="10"/>
  <c r="R15" i="10" s="1"/>
  <c r="F100" i="27"/>
  <c r="F116" i="27" s="1"/>
  <c r="F400" i="22"/>
  <c r="F404" i="22" s="1"/>
  <c r="I66" i="10"/>
  <c r="B126" i="10"/>
  <c r="B132" i="10" s="1"/>
  <c r="K46" i="10"/>
  <c r="G37" i="10"/>
  <c r="G57" i="10" s="1"/>
  <c r="L88" i="10"/>
  <c r="L94" i="10" s="1"/>
  <c r="I158" i="10"/>
  <c r="I161" i="10" s="1"/>
  <c r="E150" i="27"/>
  <c r="L79" i="10"/>
  <c r="F1256" i="22" s="1"/>
  <c r="H37" i="10"/>
  <c r="H19" i="10" s="1"/>
  <c r="J5" i="27"/>
  <c r="J37" i="27" s="1"/>
  <c r="R251" i="15"/>
  <c r="H3036" i="22"/>
  <c r="G158" i="10"/>
  <c r="G161" i="10" s="1"/>
  <c r="D84" i="27"/>
  <c r="I235" i="22"/>
  <c r="P253" i="10"/>
  <c r="Q253" i="10" s="1"/>
  <c r="Q254" i="10" s="1"/>
  <c r="F3070" i="22" s="1"/>
  <c r="C150" i="27"/>
  <c r="O75" i="10"/>
  <c r="I1252" i="22" s="1"/>
  <c r="I64" i="10"/>
  <c r="AG283" i="2" s="1"/>
  <c r="E37" i="10"/>
  <c r="E19" i="10" s="1"/>
  <c r="D4" i="4" s="1"/>
  <c r="O37" i="10"/>
  <c r="O57" i="10" s="1"/>
  <c r="D85" i="27"/>
  <c r="BK126" i="2"/>
  <c r="E401" i="22"/>
  <c r="R306" i="10"/>
  <c r="R310" i="10" s="1"/>
  <c r="I234" i="22"/>
  <c r="N273" i="10"/>
  <c r="I1260" i="22"/>
  <c r="H275" i="15"/>
  <c r="I141" i="37"/>
  <c r="AR728" i="22"/>
  <c r="AT728" i="22" s="1"/>
  <c r="G155" i="10"/>
  <c r="I49" i="10"/>
  <c r="G144" i="10"/>
  <c r="H3062" i="22"/>
  <c r="D3057" i="22"/>
  <c r="B135" i="10"/>
  <c r="G177" i="10"/>
  <c r="H177" i="10" s="1"/>
  <c r="I177" i="10" s="1"/>
  <c r="I3057" i="22"/>
  <c r="Q14" i="10"/>
  <c r="R14" i="10" s="1"/>
  <c r="S14" i="10" s="1"/>
  <c r="F54" i="10"/>
  <c r="J276" i="15" s="1"/>
  <c r="AB5" i="37"/>
  <c r="N45" i="4"/>
  <c r="N100" i="4" s="1"/>
  <c r="J38" i="27"/>
  <c r="H62" i="10"/>
  <c r="T292" i="15"/>
  <c r="I233" i="22"/>
  <c r="F29" i="4"/>
  <c r="K233" i="22"/>
  <c r="BF126" i="2"/>
  <c r="I326" i="37"/>
  <c r="K234" i="22"/>
  <c r="O84" i="10"/>
  <c r="O92" i="10" s="1"/>
  <c r="E85" i="27"/>
  <c r="AB150" i="38"/>
  <c r="D101" i="37"/>
  <c r="D351" i="37"/>
  <c r="AO88" i="38"/>
  <c r="AF291" i="37"/>
  <c r="E445" i="37"/>
  <c r="AG6" i="37"/>
  <c r="K5013" i="22"/>
  <c r="AL195" i="38"/>
  <c r="E338" i="37"/>
  <c r="H102" i="37"/>
  <c r="G102" i="37"/>
  <c r="AA19" i="38"/>
  <c r="AA457" i="38"/>
  <c r="I65" i="38"/>
  <c r="I321" i="38" s="1"/>
  <c r="I397" i="38" s="1"/>
  <c r="AO428" i="38"/>
  <c r="U337" i="38"/>
  <c r="AM188" i="38"/>
  <c r="M743" i="38"/>
  <c r="K739" i="38"/>
  <c r="C739" i="38"/>
  <c r="K738" i="38"/>
  <c r="K737" i="38"/>
  <c r="J363" i="38"/>
  <c r="T131" i="38"/>
  <c r="T165" i="38" s="1"/>
  <c r="AJ413" i="38"/>
  <c r="I436" i="37" s="1"/>
  <c r="X153" i="15" s="1"/>
  <c r="CX122" i="2"/>
  <c r="M46" i="10"/>
  <c r="N64" i="10" s="1"/>
  <c r="F3036" i="22"/>
  <c r="D86" i="27"/>
  <c r="G12" i="4"/>
  <c r="R190" i="10"/>
  <c r="O5" i="10"/>
  <c r="O10" i="10" s="1"/>
  <c r="M61" i="10"/>
  <c r="O235" i="22" s="1"/>
  <c r="J37" i="10"/>
  <c r="J57" i="10" s="1"/>
  <c r="M47" i="10"/>
  <c r="Q229" i="15"/>
  <c r="J233" i="22"/>
  <c r="AB132" i="10"/>
  <c r="K100" i="27"/>
  <c r="K116" i="27" s="1"/>
  <c r="M32" i="10"/>
  <c r="M5" i="10" s="1"/>
  <c r="I4" i="27" s="1"/>
  <c r="I36" i="27" s="1"/>
  <c r="K150" i="27"/>
  <c r="DB122" i="2"/>
  <c r="CH123" i="2"/>
  <c r="AB166" i="10"/>
  <c r="L85" i="27"/>
  <c r="C58" i="4"/>
  <c r="S254" i="10"/>
  <c r="F1263" i="22"/>
  <c r="C37" i="4"/>
  <c r="S187" i="10"/>
  <c r="T187" i="10" s="1"/>
  <c r="H64" i="10"/>
  <c r="J234" i="22"/>
  <c r="AB258" i="10"/>
  <c r="AB120" i="10"/>
  <c r="H5013" i="22"/>
  <c r="N133" i="10"/>
  <c r="F2845" i="22" s="1"/>
  <c r="N121" i="10"/>
  <c r="F2844" i="22" s="1"/>
  <c r="J147" i="27"/>
  <c r="N76" i="10"/>
  <c r="F2841" i="22"/>
  <c r="F1324" i="22"/>
  <c r="N61" i="10"/>
  <c r="E54" i="10"/>
  <c r="I276" i="15" s="1"/>
  <c r="AF6" i="10"/>
  <c r="AF33" i="10" s="1"/>
  <c r="N79" i="10"/>
  <c r="H1256" i="22" s="1"/>
  <c r="K85" i="27"/>
  <c r="L86" i="27"/>
  <c r="O88" i="10"/>
  <c r="O94" i="10" s="1"/>
  <c r="T307" i="10"/>
  <c r="N579" i="3"/>
  <c r="AJ138" i="10"/>
  <c r="I12" i="4"/>
  <c r="I20" i="4" s="1"/>
  <c r="O276" i="10"/>
  <c r="O79" i="10"/>
  <c r="I1256" i="22" s="1"/>
  <c r="N84" i="10"/>
  <c r="K101" i="27"/>
  <c r="K117" i="27" s="1"/>
  <c r="D53" i="10"/>
  <c r="H253" i="15" s="1"/>
  <c r="J49" i="10"/>
  <c r="E46" i="10"/>
  <c r="K84" i="27"/>
  <c r="S311" i="10"/>
  <c r="S312" i="10" s="1"/>
  <c r="S251" i="15"/>
  <c r="AM138" i="10"/>
  <c r="F177" i="10"/>
  <c r="N228" i="15"/>
  <c r="K81" i="27"/>
  <c r="H1251" i="22"/>
  <c r="L84" i="27"/>
  <c r="AG126" i="2"/>
  <c r="AU485" i="2"/>
  <c r="AU466" i="2" s="1"/>
  <c r="O2024" i="22" s="1"/>
  <c r="I37" i="10"/>
  <c r="I57" i="10" s="1"/>
  <c r="M117" i="10"/>
  <c r="M116" i="10" s="1"/>
  <c r="AP485" i="2"/>
  <c r="AH248" i="2"/>
  <c r="AH164" i="2" s="1"/>
  <c r="F37" i="10"/>
  <c r="O207" i="22"/>
  <c r="Y226" i="22" s="1"/>
  <c r="M161" i="10"/>
  <c r="M164" i="10" s="1"/>
  <c r="B134" i="10"/>
  <c r="H86" i="31"/>
  <c r="D46" i="10"/>
  <c r="C12" i="4" s="1"/>
  <c r="G1260" i="22"/>
  <c r="D1325" i="22"/>
  <c r="K37" i="27"/>
  <c r="AB217" i="2"/>
  <c r="M251" i="15"/>
  <c r="E5" i="27"/>
  <c r="E37" i="27" s="1"/>
  <c r="AE501" i="2"/>
  <c r="D3069" i="22"/>
  <c r="O203" i="10"/>
  <c r="O207" i="10" s="1"/>
  <c r="O214" i="10" s="1"/>
  <c r="L274" i="15"/>
  <c r="E6" i="27"/>
  <c r="E38" i="27" s="1"/>
  <c r="AE502" i="2"/>
  <c r="O251" i="15"/>
  <c r="G5" i="27"/>
  <c r="G37" i="27" s="1"/>
  <c r="W300" i="2"/>
  <c r="C171" i="27"/>
  <c r="AP141" i="10"/>
  <c r="AM151" i="10"/>
  <c r="T121" i="10"/>
  <c r="D54" i="10"/>
  <c r="D232" i="22"/>
  <c r="D238" i="22" s="1"/>
  <c r="B69" i="10"/>
  <c r="I231" i="22"/>
  <c r="H2" i="10"/>
  <c r="BZ124" i="2"/>
  <c r="W125" i="2"/>
  <c r="W126" i="2"/>
  <c r="AM248" i="2"/>
  <c r="AL125" i="2"/>
  <c r="CL123" i="2"/>
  <c r="AL126" i="2"/>
  <c r="G1263" i="22"/>
  <c r="M129" i="10"/>
  <c r="M157" i="10"/>
  <c r="N251" i="15"/>
  <c r="F5" i="27"/>
  <c r="F37" i="27" s="1"/>
  <c r="J10" i="10"/>
  <c r="J393" i="22"/>
  <c r="N75" i="10"/>
  <c r="H1252" i="22" s="1"/>
  <c r="BA148" i="2"/>
  <c r="M84" i="10"/>
  <c r="E29" i="4"/>
  <c r="F144" i="10"/>
  <c r="G62" i="10"/>
  <c r="F146" i="10"/>
  <c r="F178" i="10"/>
  <c r="N580" i="3"/>
  <c r="K6" i="27"/>
  <c r="K38" i="27" s="1"/>
  <c r="R274" i="15"/>
  <c r="AF7" i="10"/>
  <c r="F102" i="27"/>
  <c r="F118" i="27" s="1"/>
  <c r="E86" i="27"/>
  <c r="E84" i="27"/>
  <c r="F84" i="27"/>
  <c r="BP125" i="2"/>
  <c r="BP126" i="2"/>
  <c r="AB126" i="2"/>
  <c r="AB125" i="2"/>
  <c r="O206" i="22"/>
  <c r="Y225" i="22" s="1"/>
  <c r="X206" i="22"/>
  <c r="L22" i="27"/>
  <c r="AR730" i="22"/>
  <c r="AT730" i="22" s="1"/>
  <c r="BA730" i="22" s="1"/>
  <c r="Q16" i="10"/>
  <c r="M167" i="10"/>
  <c r="N168" i="10"/>
  <c r="K79" i="10"/>
  <c r="AQ150" i="2"/>
  <c r="H397" i="22"/>
  <c r="E1255" i="22"/>
  <c r="G275" i="15"/>
  <c r="C54" i="10"/>
  <c r="G252" i="15"/>
  <c r="C46" i="10"/>
  <c r="G243" i="27"/>
  <c r="G239" i="27"/>
  <c r="B54" i="27"/>
  <c r="B70" i="27" s="1"/>
  <c r="B86" i="27"/>
  <c r="B118" i="27" s="1"/>
  <c r="B133" i="27" s="1"/>
  <c r="P299" i="10"/>
  <c r="P298" i="10"/>
  <c r="B85" i="27"/>
  <c r="B117" i="27" s="1"/>
  <c r="B132" i="27" s="1"/>
  <c r="B53" i="27"/>
  <c r="B69" i="27" s="1"/>
  <c r="E1263" i="22"/>
  <c r="L100" i="4"/>
  <c r="BA300" i="2"/>
  <c r="BA302" i="2" s="1"/>
  <c r="Q275" i="15"/>
  <c r="M34" i="10"/>
  <c r="I70" i="27"/>
  <c r="I102" i="27" s="1"/>
  <c r="I118" i="27" s="1"/>
  <c r="T207" i="22"/>
  <c r="H15" i="10"/>
  <c r="N37" i="10"/>
  <c r="N5" i="10"/>
  <c r="D37" i="10"/>
  <c r="D19" i="10" s="1"/>
  <c r="D52" i="10"/>
  <c r="H230" i="15" s="1"/>
  <c r="B70" i="10"/>
  <c r="D233" i="22"/>
  <c r="D239" i="22" s="1"/>
  <c r="B52" i="27"/>
  <c r="B68" i="27" s="1"/>
  <c r="B84" i="27"/>
  <c r="B116" i="27" s="1"/>
  <c r="B131" i="27" s="1"/>
  <c r="AV482" i="2"/>
  <c r="CT122" i="2"/>
  <c r="K5" i="10"/>
  <c r="N3037" i="22"/>
  <c r="O3037" i="22" s="1"/>
  <c r="BO90" i="2"/>
  <c r="G45" i="4"/>
  <c r="H144" i="10"/>
  <c r="H157" i="10"/>
  <c r="H146" i="10"/>
  <c r="H147" i="10" s="1"/>
  <c r="O61" i="10"/>
  <c r="M12" i="4"/>
  <c r="O49" i="10"/>
  <c r="E5015" i="22"/>
  <c r="E5014" i="22"/>
  <c r="G3045" i="22"/>
  <c r="E62" i="22"/>
  <c r="Z3092" i="22"/>
  <c r="N2668" i="22"/>
  <c r="L932" i="22"/>
  <c r="M2665" i="22"/>
  <c r="Y559" i="22"/>
  <c r="AJ552" i="22"/>
  <c r="AE552" i="22"/>
  <c r="BC300" i="22"/>
  <c r="AU300" i="22"/>
  <c r="AY300" i="22"/>
  <c r="AE300" i="22"/>
  <c r="W300" i="22"/>
  <c r="AA300" i="22"/>
  <c r="K99" i="22"/>
  <c r="K100" i="22" s="1"/>
  <c r="U76" i="22"/>
  <c r="Y3080" i="22"/>
  <c r="I218" i="22"/>
  <c r="D796" i="22"/>
  <c r="D842" i="22" s="1"/>
  <c r="D1249" i="22"/>
  <c r="D1267" i="22" s="1"/>
  <c r="D1283" i="22" s="1"/>
  <c r="D1295" i="22" s="1"/>
  <c r="D1321" i="22" s="1"/>
  <c r="M188" i="14"/>
  <c r="N188" i="14" s="1"/>
  <c r="O188" i="14" s="1"/>
  <c r="C4490" i="22"/>
  <c r="C4493" i="22" s="1"/>
  <c r="M1761" i="22"/>
  <c r="F1598" i="22"/>
  <c r="H934" i="22"/>
  <c r="P929" i="22" s="1"/>
  <c r="W84" i="22"/>
  <c r="D2357" i="22"/>
  <c r="M118" i="22"/>
  <c r="AD730" i="22"/>
  <c r="E1813" i="22"/>
  <c r="M309" i="22"/>
  <c r="E309" i="22"/>
  <c r="I77" i="22"/>
  <c r="R2827" i="22"/>
  <c r="D2827" i="22" s="1"/>
  <c r="F2827" i="22" s="1"/>
  <c r="H2827" i="22" s="1"/>
  <c r="G188" i="14"/>
  <c r="G190" i="14" s="1"/>
  <c r="E84" i="22"/>
  <c r="H729" i="22"/>
  <c r="J729" i="22" s="1"/>
  <c r="AL729" i="22" s="1"/>
  <c r="E2483" i="22"/>
  <c r="E2484" i="22" s="1"/>
  <c r="V73" i="22"/>
  <c r="AD560" i="22"/>
  <c r="F4408" i="22"/>
  <c r="G2483" i="22"/>
  <c r="G2484" i="22" s="1"/>
  <c r="H937" i="22"/>
  <c r="P937" i="22" s="1"/>
  <c r="J31" i="22"/>
  <c r="H24" i="22"/>
  <c r="G4185" i="22"/>
  <c r="J1804" i="22"/>
  <c r="F1772" i="22"/>
  <c r="F1800" i="22" s="1"/>
  <c r="Q945" i="22"/>
  <c r="T1093" i="22"/>
  <c r="I216" i="22"/>
  <c r="G4615" i="22"/>
  <c r="L216" i="22"/>
  <c r="N4667" i="22"/>
  <c r="E4408" i="22"/>
  <c r="G1760" i="22"/>
  <c r="Q944" i="22"/>
  <c r="E2643" i="22"/>
  <c r="M1755" i="22"/>
  <c r="F1805" i="22"/>
  <c r="I1769" i="22"/>
  <c r="T1769" i="22" s="1"/>
  <c r="AD1769" i="22" s="1"/>
  <c r="T1807" i="22" s="1"/>
  <c r="F1804" i="22"/>
  <c r="N1815" i="22"/>
  <c r="AP300" i="22"/>
  <c r="H2503" i="22"/>
  <c r="H2504" i="22" s="1"/>
  <c r="Y57" i="22"/>
  <c r="F1798" i="22"/>
  <c r="D2834" i="22"/>
  <c r="G2834" i="22" s="1"/>
  <c r="I207" i="22"/>
  <c r="M117" i="22"/>
  <c r="H2893" i="22"/>
  <c r="G2702" i="22"/>
  <c r="M121" i="22"/>
  <c r="O114" i="22"/>
  <c r="H216" i="22"/>
  <c r="X234" i="22" s="1"/>
  <c r="D2141" i="22"/>
  <c r="O309" i="22"/>
  <c r="G309" i="22"/>
  <c r="O119" i="22"/>
  <c r="X207" i="22"/>
  <c r="D195" i="22"/>
  <c r="AN2174" i="22"/>
  <c r="AF2174" i="22"/>
  <c r="X2174" i="22"/>
  <c r="P2174" i="22"/>
  <c r="H2174" i="22"/>
  <c r="O120" i="22"/>
  <c r="M556" i="22"/>
  <c r="P2653" i="22"/>
  <c r="L2653" i="22"/>
  <c r="M116" i="22"/>
  <c r="P324" i="22"/>
  <c r="P344" i="22" s="1"/>
  <c r="P330" i="22" s="1"/>
  <c r="J1769" i="22"/>
  <c r="J1807" i="22" s="1"/>
  <c r="P1807" i="22" s="1"/>
  <c r="D961" i="22"/>
  <c r="M120" i="22"/>
  <c r="H817" i="22"/>
  <c r="P343" i="22"/>
  <c r="P329" i="22" s="1"/>
  <c r="P332" i="22" s="1"/>
  <c r="P334" i="22" s="1"/>
  <c r="H799" i="22"/>
  <c r="J289" i="22"/>
  <c r="L940" i="22"/>
  <c r="K1718" i="22"/>
  <c r="K1716" i="22" s="1"/>
  <c r="AA120" i="15"/>
  <c r="F543" i="19"/>
  <c r="C190" i="14"/>
  <c r="O227" i="14"/>
  <c r="D190" i="14"/>
  <c r="F190" i="14"/>
  <c r="H197" i="14"/>
  <c r="F424" i="22"/>
  <c r="J424" i="22" s="1"/>
  <c r="D754" i="22"/>
  <c r="Y122" i="15"/>
  <c r="H3590" i="22"/>
  <c r="N78" i="15"/>
  <c r="I753" i="22"/>
  <c r="F2032" i="22"/>
  <c r="F2052" i="22" s="1"/>
  <c r="B64" i="46"/>
  <c r="B35" i="46" s="1"/>
  <c r="O119" i="15"/>
  <c r="G2222" i="22"/>
  <c r="X114" i="15"/>
  <c r="AA467" i="38"/>
  <c r="X28" i="15"/>
  <c r="E3005" i="22"/>
  <c r="J75" i="15"/>
  <c r="H1232" i="22"/>
  <c r="H1242" i="22" s="1"/>
  <c r="I3044" i="22"/>
  <c r="AJ462" i="38"/>
  <c r="AJ455" i="38"/>
  <c r="AJ483" i="38" s="1"/>
  <c r="E3047" i="22"/>
  <c r="J83" i="15"/>
  <c r="F3060" i="22"/>
  <c r="F3064" i="22" s="1"/>
  <c r="G3042" i="22"/>
  <c r="Z13" i="15"/>
  <c r="B3049" i="22"/>
  <c r="X113" i="15"/>
  <c r="U114" i="15"/>
  <c r="V78" i="15"/>
  <c r="H2996" i="22"/>
  <c r="G3003" i="22" s="1"/>
  <c r="S18" i="15"/>
  <c r="J78" i="15"/>
  <c r="S78" i="15"/>
  <c r="U122" i="15"/>
  <c r="I2988" i="22"/>
  <c r="V452" i="38"/>
  <c r="I28" i="15"/>
  <c r="K76" i="15"/>
  <c r="D25" i="13"/>
  <c r="D2996" i="22"/>
  <c r="N82" i="15"/>
  <c r="F3005" i="22"/>
  <c r="K75" i="15"/>
  <c r="AO452" i="38"/>
  <c r="V28" i="15"/>
  <c r="E3055" i="22"/>
  <c r="X21" i="15"/>
  <c r="V113" i="15"/>
  <c r="L83" i="15"/>
  <c r="L84" i="15" s="1"/>
  <c r="P75" i="15"/>
  <c r="J2988" i="22"/>
  <c r="G552" i="19"/>
  <c r="F3014" i="22"/>
  <c r="F3043" i="22"/>
  <c r="D2988" i="22"/>
  <c r="E190" i="14"/>
  <c r="AH536" i="38"/>
  <c r="V503" i="38"/>
  <c r="V118" i="15"/>
  <c r="J121" i="15"/>
  <c r="J123" i="15"/>
  <c r="F25" i="13"/>
  <c r="E3015" i="22" s="1"/>
  <c r="F2996" i="22"/>
  <c r="E3003" i="22" s="1"/>
  <c r="I25" i="13"/>
  <c r="H3015" i="22" s="1"/>
  <c r="I2996" i="22"/>
  <c r="H3003" i="22" s="1"/>
  <c r="B3051" i="22"/>
  <c r="B3055" i="22"/>
  <c r="B3046" i="22"/>
  <c r="E25" i="13"/>
  <c r="D3015" i="22" s="1"/>
  <c r="E2996" i="22"/>
  <c r="D3003" i="22" s="1"/>
  <c r="M121" i="15"/>
  <c r="M123" i="15"/>
  <c r="G3046" i="22"/>
  <c r="X20" i="15"/>
  <c r="J2996" i="22"/>
  <c r="I3003" i="22" s="1"/>
  <c r="J25" i="13"/>
  <c r="D3067" i="22"/>
  <c r="E2987" i="22"/>
  <c r="J35" i="15"/>
  <c r="E3043" i="22"/>
  <c r="K74" i="15"/>
  <c r="J76" i="15"/>
  <c r="Q78" i="15"/>
  <c r="K83" i="15"/>
  <c r="J4" i="15"/>
  <c r="K4" i="15"/>
  <c r="C4558" i="22"/>
  <c r="AO462" i="38"/>
  <c r="I3051" i="22"/>
  <c r="H3060" i="22"/>
  <c r="W78" i="15"/>
  <c r="G25" i="13"/>
  <c r="F3015" i="22" s="1"/>
  <c r="G2996" i="22"/>
  <c r="F3003" i="22" s="1"/>
  <c r="L28" i="15"/>
  <c r="L113" i="15"/>
  <c r="W26" i="15"/>
  <c r="P26" i="15"/>
  <c r="I59" i="13"/>
  <c r="I72" i="13" s="1"/>
  <c r="X13" i="15"/>
  <c r="T21" i="15"/>
  <c r="H1813" i="22"/>
  <c r="I1812" i="22"/>
  <c r="D1600" i="22"/>
  <c r="G1758" i="22"/>
  <c r="AM515" i="38"/>
  <c r="AN514" i="38"/>
  <c r="AN507" i="38" s="1"/>
  <c r="AM507" i="38"/>
  <c r="F339" i="37"/>
  <c r="AG289" i="37"/>
  <c r="U166" i="38"/>
  <c r="U131" i="38"/>
  <c r="U165" i="38" s="1"/>
  <c r="BS367" i="38"/>
  <c r="AM382" i="38"/>
  <c r="AM408" i="38" s="1"/>
  <c r="AE144" i="38"/>
  <c r="P603" i="38"/>
  <c r="E339" i="37"/>
  <c r="E373" i="37"/>
  <c r="C59" i="41"/>
  <c r="AA952" i="38"/>
  <c r="AD137" i="38"/>
  <c r="AD449" i="38" s="1"/>
  <c r="AC164" i="38"/>
  <c r="AH300" i="38"/>
  <c r="AK515" i="38"/>
  <c r="V456" i="38"/>
  <c r="E145" i="37"/>
  <c r="AE21" i="37"/>
  <c r="E88" i="37"/>
  <c r="O751" i="38"/>
  <c r="J716" i="38"/>
  <c r="I702" i="38"/>
  <c r="L739" i="38"/>
  <c r="D658" i="38"/>
  <c r="Z605" i="38"/>
  <c r="W605" i="38"/>
  <c r="T161" i="38"/>
  <c r="AB205" i="38"/>
  <c r="AJ375" i="38"/>
  <c r="F4019" i="22" s="1"/>
  <c r="AP550" i="38"/>
  <c r="AP552" i="38" s="1"/>
  <c r="E113" i="37"/>
  <c r="I64" i="38"/>
  <c r="I320" i="38" s="1"/>
  <c r="I396" i="38" s="1"/>
  <c r="AA86" i="38"/>
  <c r="N751" i="38"/>
  <c r="Z113" i="38"/>
  <c r="Z132" i="38" s="1"/>
  <c r="F14" i="42" s="1"/>
  <c r="H14" i="42" s="1"/>
  <c r="AP196" i="38"/>
  <c r="AE539" i="38"/>
  <c r="T312" i="38"/>
  <c r="T361" i="38" s="1"/>
  <c r="P747" i="38"/>
  <c r="S326" i="38"/>
  <c r="F350" i="37"/>
  <c r="Y605" i="38"/>
  <c r="V134" i="38"/>
  <c r="G304" i="37" s="1"/>
  <c r="S241" i="10"/>
  <c r="AA106" i="38"/>
  <c r="AP195" i="38"/>
  <c r="J363" i="37"/>
  <c r="Y161" i="38"/>
  <c r="L349" i="38"/>
  <c r="L382" i="38" s="1"/>
  <c r="L575" i="38" s="1"/>
  <c r="L408" i="38" s="1"/>
  <c r="Y388" i="38"/>
  <c r="AJ12" i="38"/>
  <c r="AG274" i="37"/>
  <c r="Q193" i="38"/>
  <c r="H279" i="37"/>
  <c r="AI279" i="37" s="1"/>
  <c r="T166" i="38"/>
  <c r="I327" i="37"/>
  <c r="U426" i="38"/>
  <c r="J351" i="37"/>
  <c r="BU119" i="38"/>
  <c r="AM300" i="38"/>
  <c r="J339" i="37"/>
  <c r="T337" i="38"/>
  <c r="M363" i="38"/>
  <c r="R658" i="38"/>
  <c r="R656" i="38"/>
  <c r="E215" i="37"/>
  <c r="H88" i="37"/>
  <c r="N4668" i="22"/>
  <c r="I63" i="38"/>
  <c r="I319" i="38" s="1"/>
  <c r="I395" i="38" s="1"/>
  <c r="D3833" i="22"/>
  <c r="E3833" i="22" s="1"/>
  <c r="F3833" i="22" s="1"/>
  <c r="C4261" i="22"/>
  <c r="O949" i="38"/>
  <c r="AO525" i="38"/>
  <c r="E4074" i="22"/>
  <c r="I61" i="38"/>
  <c r="I317" i="38" s="1"/>
  <c r="I393" i="38" s="1"/>
  <c r="AK206" i="38"/>
  <c r="W953" i="38" s="1"/>
  <c r="AB132" i="38"/>
  <c r="AB134" i="38" s="1"/>
  <c r="D88" i="37"/>
  <c r="J362" i="38"/>
  <c r="AO193" i="38"/>
  <c r="AK289" i="37"/>
  <c r="F3089" i="22"/>
  <c r="AK507" i="38"/>
  <c r="F739" i="38"/>
  <c r="Q4674" i="22"/>
  <c r="C4944" i="22"/>
  <c r="AO65" i="38"/>
  <c r="J72" i="37" s="1"/>
  <c r="Q109" i="38"/>
  <c r="F280" i="37" s="1"/>
  <c r="AE7" i="37"/>
  <c r="X21" i="38"/>
  <c r="X152" i="38" s="1"/>
  <c r="P957" i="38" s="1"/>
  <c r="C26" i="41"/>
  <c r="D26" i="41" s="1"/>
  <c r="E26" i="41" s="1"/>
  <c r="F26" i="41" s="1"/>
  <c r="H363" i="38"/>
  <c r="AO129" i="38"/>
  <c r="J301" i="37" s="1"/>
  <c r="J482" i="37" s="1"/>
  <c r="M293" i="14" s="1"/>
  <c r="AO181" i="38"/>
  <c r="AH300" i="22"/>
  <c r="E3995" i="22"/>
  <c r="G2285" i="22"/>
  <c r="O2668" i="22"/>
  <c r="O2650" i="22"/>
  <c r="G2296" i="22"/>
  <c r="D3064" i="22"/>
  <c r="H1077" i="22"/>
  <c r="F4420" i="22"/>
  <c r="F4451" i="22" s="1"/>
  <c r="E71" i="31"/>
  <c r="BA300" i="22"/>
  <c r="I99" i="22"/>
  <c r="I103" i="22" s="1"/>
  <c r="E412" i="22" s="1"/>
  <c r="AK2174" i="22"/>
  <c r="E2174" i="22"/>
  <c r="U84" i="22"/>
  <c r="M1757" i="22"/>
  <c r="E3431" i="22"/>
  <c r="E1472" i="22"/>
  <c r="O29" i="31"/>
  <c r="M1762" i="22"/>
  <c r="E1471" i="22"/>
  <c r="V3076" i="22"/>
  <c r="V3080" i="22" s="1"/>
  <c r="D3085" i="22" s="1"/>
  <c r="D3086" i="22" s="1"/>
  <c r="E2959" i="22"/>
  <c r="D119" i="31"/>
  <c r="O57" i="31" s="1"/>
  <c r="M1763" i="22"/>
  <c r="U3080" i="22"/>
  <c r="C129" i="31"/>
  <c r="Q993" i="22"/>
  <c r="Q994" i="22" s="1"/>
  <c r="D131" i="31"/>
  <c r="C117" i="31"/>
  <c r="F3768" i="22"/>
  <c r="F2624" i="22"/>
  <c r="F2631" i="22" s="1"/>
  <c r="E2688" i="22"/>
  <c r="E3097" i="22"/>
  <c r="J1362" i="22"/>
  <c r="F3620" i="22"/>
  <c r="K939" i="22"/>
  <c r="AA560" i="22"/>
  <c r="F3993" i="22"/>
  <c r="D128" i="34"/>
  <c r="AA559" i="22"/>
  <c r="D4187" i="22"/>
  <c r="J2650" i="22"/>
  <c r="I2458" i="22"/>
  <c r="I2453" i="22"/>
  <c r="J1777" i="22"/>
  <c r="J1775" i="22" s="1"/>
  <c r="U1775" i="22" s="1"/>
  <c r="G1350" i="22"/>
  <c r="AG552" i="22"/>
  <c r="AB552" i="22"/>
  <c r="Q2653" i="22"/>
  <c r="AZ300" i="22"/>
  <c r="AR300" i="22"/>
  <c r="AO16" i="22"/>
  <c r="L1718" i="22"/>
  <c r="L1716" i="22" s="1"/>
  <c r="I206" i="22"/>
  <c r="G4829" i="22"/>
  <c r="AQ2174" i="22"/>
  <c r="AI2174" i="22"/>
  <c r="S2174" i="22"/>
  <c r="K2174" i="22"/>
  <c r="F2296" i="22"/>
  <c r="E2273" i="22"/>
  <c r="V75" i="22"/>
  <c r="L4522" i="22"/>
  <c r="L218" i="22"/>
  <c r="J3836" i="22"/>
  <c r="AV300" i="22"/>
  <c r="C4593" i="22"/>
  <c r="J2670" i="22"/>
  <c r="P13" i="22"/>
  <c r="AD13" i="22" s="1"/>
  <c r="Z3076" i="22"/>
  <c r="Z3080" i="22" s="1"/>
  <c r="F3085" i="22" s="1"/>
  <c r="F3086" i="22" s="1"/>
  <c r="E4392" i="22"/>
  <c r="F4392" i="22" s="1"/>
  <c r="G4392" i="22" s="1"/>
  <c r="G4408" i="22"/>
  <c r="F324" i="22"/>
  <c r="F344" i="22" s="1"/>
  <c r="N4419" i="22"/>
  <c r="D2147" i="22"/>
  <c r="D1195" i="22"/>
  <c r="E1195" i="22" s="1"/>
  <c r="E1193" i="22" s="1"/>
  <c r="E1188" i="22" s="1"/>
  <c r="E1191" i="22" s="1"/>
  <c r="Z550" i="22"/>
  <c r="O212" i="22"/>
  <c r="Y231" i="22" s="1"/>
  <c r="F2041" i="22"/>
  <c r="F2051" i="22" s="1"/>
  <c r="D22" i="22"/>
  <c r="D29" i="22" s="1"/>
  <c r="G4389" i="22"/>
  <c r="H4389" i="22" s="1"/>
  <c r="O1771" i="22"/>
  <c r="E406" i="22"/>
  <c r="B804" i="22"/>
  <c r="K117" i="22"/>
  <c r="J1814" i="22"/>
  <c r="P1814" i="22" s="1"/>
  <c r="AR16" i="22"/>
  <c r="E4168" i="22"/>
  <c r="H4168" i="22" s="1"/>
  <c r="AN300" i="22"/>
  <c r="X73" i="22"/>
  <c r="D1798" i="22"/>
  <c r="AS2174" i="22"/>
  <c r="U2174" i="22"/>
  <c r="AF300" i="22"/>
  <c r="F4278" i="22"/>
  <c r="U1746" i="22"/>
  <c r="D1084" i="22"/>
  <c r="W1713" i="22"/>
  <c r="K116" i="22"/>
  <c r="G3547" i="22"/>
  <c r="G3562" i="22" s="1"/>
  <c r="G3603" i="22" s="1"/>
  <c r="F2965" i="22"/>
  <c r="C125" i="43"/>
  <c r="F4421" i="22"/>
  <c r="F4452" i="22" s="1"/>
  <c r="N4418" i="22"/>
  <c r="D2143" i="22"/>
  <c r="U75" i="22"/>
  <c r="X3077" i="22"/>
  <c r="X3081" i="22" s="1"/>
  <c r="M3146" i="22"/>
  <c r="D976" i="22"/>
  <c r="D981" i="22" s="1"/>
  <c r="D986" i="22" s="1"/>
  <c r="D991" i="22" s="1"/>
  <c r="D996" i="22" s="1"/>
  <c r="D1000" i="22" s="1"/>
  <c r="D1010" i="22" s="1"/>
  <c r="P945" i="22"/>
  <c r="D1805" i="22"/>
  <c r="F85" i="22"/>
  <c r="H1076" i="22"/>
  <c r="E3888" i="22"/>
  <c r="P947" i="22"/>
  <c r="D1772" i="22"/>
  <c r="D1800" i="22" s="1"/>
  <c r="F796" i="22"/>
  <c r="F860" i="22" s="1"/>
  <c r="D3806" i="22"/>
  <c r="V59" i="22"/>
  <c r="AS16" i="22"/>
  <c r="AC1709" i="22"/>
  <c r="J3833" i="22"/>
  <c r="U67" i="22"/>
  <c r="F3495" i="22"/>
  <c r="AJ2174" i="22"/>
  <c r="AB2174" i="22"/>
  <c r="L928" i="22"/>
  <c r="D817" i="22"/>
  <c r="K220" i="22"/>
  <c r="K221" i="22" s="1"/>
  <c r="E77" i="22"/>
  <c r="G4380" i="22"/>
  <c r="G4468" i="22"/>
  <c r="G4470" i="22" s="1"/>
  <c r="J3835" i="22"/>
  <c r="H1769" i="22"/>
  <c r="E2896" i="22"/>
  <c r="S271" i="22"/>
  <c r="D1804" i="22"/>
  <c r="P2668" i="22"/>
  <c r="E925" i="22"/>
  <c r="O919" i="22" s="1"/>
  <c r="T61" i="22"/>
  <c r="E31" i="31"/>
  <c r="AB551" i="22"/>
  <c r="BE300" i="22"/>
  <c r="AW300" i="22"/>
  <c r="AO300" i="22"/>
  <c r="J3832" i="22"/>
  <c r="G3495" i="22"/>
  <c r="D3650" i="22"/>
  <c r="J3839" i="22"/>
  <c r="F77" i="22"/>
  <c r="F1314" i="22"/>
  <c r="J3840" i="22"/>
  <c r="G4005" i="22"/>
  <c r="G4007" i="22" s="1"/>
  <c r="J696" i="22"/>
  <c r="G696" i="22" s="1"/>
  <c r="F696" i="22"/>
  <c r="D3557" i="22"/>
  <c r="E3080" i="22"/>
  <c r="D777" i="22"/>
  <c r="D82" i="31"/>
  <c r="D72" i="31"/>
  <c r="K3650" i="22"/>
  <c r="B809" i="22"/>
  <c r="E796" i="22"/>
  <c r="D848" i="22" s="1"/>
  <c r="G855" i="22" s="1"/>
  <c r="F81" i="22"/>
  <c r="E1475" i="22"/>
  <c r="D1479" i="22" s="1"/>
  <c r="M3985" i="22"/>
  <c r="L77" i="22"/>
  <c r="L211" i="22"/>
  <c r="F4288" i="22"/>
  <c r="F2147" i="22"/>
  <c r="F2895" i="22"/>
  <c r="E890" i="22"/>
  <c r="F748" i="22"/>
  <c r="G1386" i="22"/>
  <c r="G1393" i="22" s="1"/>
  <c r="I937" i="22"/>
  <c r="E696" i="22"/>
  <c r="K923" i="22"/>
  <c r="P2139" i="22"/>
  <c r="L1777" i="22"/>
  <c r="AA1777" i="22" s="1"/>
  <c r="G1794" i="22" s="1"/>
  <c r="H989" i="22"/>
  <c r="P989" i="22" s="1"/>
  <c r="AG300" i="22"/>
  <c r="F411" i="22"/>
  <c r="F416" i="22" s="1"/>
  <c r="H925" i="22"/>
  <c r="E2592" i="22"/>
  <c r="T60" i="22"/>
  <c r="K1812" i="22"/>
  <c r="I1352" i="22"/>
  <c r="AK551" i="22"/>
  <c r="AF551" i="22"/>
  <c r="K1362" i="22"/>
  <c r="B805" i="22"/>
  <c r="B832" i="22"/>
  <c r="I934" i="22"/>
  <c r="C4750" i="22"/>
  <c r="O2670" i="22"/>
  <c r="E2420" i="22"/>
  <c r="AU2174" i="22"/>
  <c r="W2174" i="22"/>
  <c r="G1290" i="22"/>
  <c r="C541" i="19"/>
  <c r="C543" i="19" s="1"/>
  <c r="H543" i="19" s="1"/>
  <c r="O211" i="22"/>
  <c r="Y230" i="22" s="1"/>
  <c r="F4279" i="22"/>
  <c r="AJ300" i="22"/>
  <c r="J774" i="22"/>
  <c r="J818" i="22" s="1"/>
  <c r="J817" i="22"/>
  <c r="E31" i="22"/>
  <c r="F4282" i="22"/>
  <c r="F1231" i="22"/>
  <c r="G1249" i="22" s="1"/>
  <c r="G1267" i="22" s="1"/>
  <c r="G1283" i="22" s="1"/>
  <c r="G1295" i="22" s="1"/>
  <c r="G1321" i="22" s="1"/>
  <c r="AE551" i="22"/>
  <c r="Z551" i="22"/>
  <c r="M345" i="22"/>
  <c r="M331" i="22" s="1"/>
  <c r="F4287" i="22"/>
  <c r="BD300" i="22"/>
  <c r="G2831" i="22"/>
  <c r="AD16" i="22"/>
  <c r="K1769" i="22"/>
  <c r="E80" i="22"/>
  <c r="E81" i="22" s="1"/>
  <c r="T75" i="22"/>
  <c r="K2650" i="22"/>
  <c r="H728" i="22"/>
  <c r="J728" i="22" s="1"/>
  <c r="AO728" i="22" s="1"/>
  <c r="I594" i="22"/>
  <c r="G1353" i="22"/>
  <c r="E85" i="22"/>
  <c r="H2345" i="22"/>
  <c r="Z3082" i="22"/>
  <c r="G1356" i="22"/>
  <c r="N2539" i="22"/>
  <c r="G3559" i="22"/>
  <c r="H3559" i="22" s="1"/>
  <c r="H3601" i="22" s="1"/>
  <c r="H3609" i="22" s="1"/>
  <c r="F4281" i="22"/>
  <c r="N2650" i="22"/>
  <c r="J84" i="22"/>
  <c r="X84" i="22" s="1"/>
  <c r="N77" i="22"/>
  <c r="E1712" i="22"/>
  <c r="F4280" i="22"/>
  <c r="T3080" i="22"/>
  <c r="W1093" i="22"/>
  <c r="K773" i="22"/>
  <c r="J2342" i="22"/>
  <c r="F4284" i="22"/>
  <c r="Q575" i="22"/>
  <c r="Q649" i="22" s="1"/>
  <c r="AF1709" i="22"/>
  <c r="F4285" i="22"/>
  <c r="D1244" i="22"/>
  <c r="N85" i="22"/>
  <c r="G3967" i="22"/>
  <c r="G3973" i="22" s="1"/>
  <c r="AC2174" i="22"/>
  <c r="M2174" i="22"/>
  <c r="F4277" i="22"/>
  <c r="W57" i="22"/>
  <c r="D3369" i="22"/>
  <c r="H2662" i="22"/>
  <c r="G2688" i="22"/>
  <c r="J1802" i="22"/>
  <c r="I211" i="22"/>
  <c r="BG16" i="22"/>
  <c r="C4187" i="22"/>
  <c r="E4334" i="22"/>
  <c r="I3064" i="22"/>
  <c r="K932" i="22"/>
  <c r="I2665" i="22"/>
  <c r="M2653" i="22"/>
  <c r="M2650" i="22"/>
  <c r="G2459" i="22"/>
  <c r="G2467" i="22" s="1"/>
  <c r="AR2174" i="22"/>
  <c r="AC300" i="22"/>
  <c r="S255" i="22"/>
  <c r="G282" i="22" s="1"/>
  <c r="O99" i="22"/>
  <c r="O104" i="22" s="1"/>
  <c r="K413" i="22" s="1"/>
  <c r="K1802" i="22"/>
  <c r="Z300" i="22"/>
  <c r="AA1772" i="22"/>
  <c r="G1795" i="22" s="1"/>
  <c r="P1771" i="22"/>
  <c r="H2350" i="22"/>
  <c r="H2351" i="22" s="1"/>
  <c r="H2349" i="22"/>
  <c r="E2702" i="22"/>
  <c r="E2694" i="22"/>
  <c r="E2696" i="22"/>
  <c r="E2699" i="22"/>
  <c r="P1711" i="22"/>
  <c r="V1746" i="22"/>
  <c r="AE1709" i="22"/>
  <c r="O85" i="22"/>
  <c r="O77" i="22"/>
  <c r="O80" i="22"/>
  <c r="O81" i="22" s="1"/>
  <c r="G779" i="22"/>
  <c r="G801" i="22" s="1"/>
  <c r="F801" i="22"/>
  <c r="O953" i="22"/>
  <c r="D2502" i="22"/>
  <c r="D2504" i="22" s="1"/>
  <c r="U1770" i="22"/>
  <c r="K1799" i="22"/>
  <c r="E801" i="22"/>
  <c r="J1798" i="22"/>
  <c r="H4410" i="22"/>
  <c r="H2343" i="22"/>
  <c r="I80" i="22"/>
  <c r="I81" i="22" s="1"/>
  <c r="G3153" i="22"/>
  <c r="I3077" i="22"/>
  <c r="I3081" i="22" s="1"/>
  <c r="E3461" i="22"/>
  <c r="D2421" i="22"/>
  <c r="S1088" i="22"/>
  <c r="AB1088" i="22" s="1"/>
  <c r="L987" i="22"/>
  <c r="H730" i="22"/>
  <c r="J730" i="22" s="1"/>
  <c r="AN730" i="22" s="1"/>
  <c r="BE16" i="22"/>
  <c r="BE14" i="22"/>
  <c r="BL14" i="22" s="1"/>
  <c r="K1798" i="22"/>
  <c r="O954" i="22"/>
  <c r="AE1776" i="22"/>
  <c r="K24" i="22"/>
  <c r="H1075" i="22"/>
  <c r="I1777" i="22"/>
  <c r="T1777" i="22" s="1"/>
  <c r="N3146" i="22"/>
  <c r="F2459" i="22"/>
  <c r="N2477" i="22" s="1"/>
  <c r="N1814" i="22"/>
  <c r="Y59" i="22"/>
  <c r="K1772" i="22"/>
  <c r="M324" i="22"/>
  <c r="M326" i="22" s="1"/>
  <c r="O950" i="22"/>
  <c r="AE1771" i="22"/>
  <c r="F4464" i="22"/>
  <c r="F4466" i="22" s="1"/>
  <c r="M95" i="22"/>
  <c r="M123" i="22" s="1"/>
  <c r="G4396" i="22"/>
  <c r="F4416" i="22"/>
  <c r="F309" i="22"/>
  <c r="N220" i="22"/>
  <c r="N221" i="22" s="1"/>
  <c r="AL166" i="22"/>
  <c r="M77" i="22"/>
  <c r="E3098" i="22"/>
  <c r="D3327" i="22"/>
  <c r="AE1770" i="22"/>
  <c r="E1365" i="22"/>
  <c r="F1384" i="22" s="1"/>
  <c r="M343" i="22"/>
  <c r="M329" i="22" s="1"/>
  <c r="E1807" i="22"/>
  <c r="J62" i="22"/>
  <c r="G3965" i="22"/>
  <c r="X212" i="22"/>
  <c r="N289" i="22"/>
  <c r="G289" i="22" s="1"/>
  <c r="F3562" i="22"/>
  <c r="F3603" i="22" s="1"/>
  <c r="F3604" i="22" s="1"/>
  <c r="D3495" i="22"/>
  <c r="P2665" i="22"/>
  <c r="T2174" i="22"/>
  <c r="L2174" i="22"/>
  <c r="D2174" i="22"/>
  <c r="O615" i="22"/>
  <c r="O650" i="22" s="1"/>
  <c r="E3650" i="22"/>
  <c r="K1744" i="22"/>
  <c r="F1353" i="22"/>
  <c r="J2653" i="22"/>
  <c r="AD300" i="22"/>
  <c r="R271" i="22"/>
  <c r="BG14" i="22"/>
  <c r="E4562" i="22"/>
  <c r="F4562" i="22"/>
  <c r="AB120" i="15"/>
  <c r="G4562" i="22"/>
  <c r="AC120" i="15"/>
  <c r="J445" i="37"/>
  <c r="Y136" i="15"/>
  <c r="J113" i="37"/>
  <c r="BT364" i="38"/>
  <c r="Z308" i="38"/>
  <c r="Z387" i="38" s="1"/>
  <c r="B956" i="38"/>
  <c r="B941" i="38"/>
  <c r="J291" i="38"/>
  <c r="J61" i="38"/>
  <c r="J317" i="38" s="1"/>
  <c r="J393" i="38" s="1"/>
  <c r="N388" i="38"/>
  <c r="N361" i="38"/>
  <c r="N384" i="38"/>
  <c r="N351" i="38"/>
  <c r="Q302" i="38"/>
  <c r="F185" i="37" s="1"/>
  <c r="O350" i="38"/>
  <c r="J383" i="38"/>
  <c r="B948" i="38"/>
  <c r="B31" i="42"/>
  <c r="B383" i="38"/>
  <c r="B4064" i="22"/>
  <c r="AB300" i="38"/>
  <c r="AB349" i="38"/>
  <c r="T300" i="38"/>
  <c r="T349" i="38"/>
  <c r="B92" i="38"/>
  <c r="B343" i="38" s="1"/>
  <c r="B199" i="38"/>
  <c r="B318" i="38"/>
  <c r="B394" i="38" s="1"/>
  <c r="X49" i="38"/>
  <c r="X57" i="38" s="1"/>
  <c r="AF87" i="38"/>
  <c r="AF313" i="38"/>
  <c r="AD86" i="38"/>
  <c r="M308" i="38"/>
  <c r="Q45" i="38"/>
  <c r="Q49" i="38" s="1"/>
  <c r="F57" i="37" s="1"/>
  <c r="BW352" i="38"/>
  <c r="AD303" i="38"/>
  <c r="H86" i="37"/>
  <c r="D114" i="37"/>
  <c r="I66" i="38"/>
  <c r="AD288" i="38"/>
  <c r="D4676" i="22" s="1"/>
  <c r="M4676" i="22" s="1"/>
  <c r="AD88" i="38"/>
  <c r="H20" i="37"/>
  <c r="H100" i="37" s="1"/>
  <c r="AA192" i="38"/>
  <c r="Q191" i="38"/>
  <c r="Q286" i="38"/>
  <c r="F168" i="37" s="1"/>
  <c r="F19" i="37"/>
  <c r="D185" i="38"/>
  <c r="D282" i="38"/>
  <c r="D82" i="38"/>
  <c r="D333" i="38" s="1"/>
  <c r="G6" i="37"/>
  <c r="G87" i="37" s="1"/>
  <c r="V77" i="38" s="1"/>
  <c r="V180" i="38"/>
  <c r="F5" i="37"/>
  <c r="Q179" i="38"/>
  <c r="AO180" i="38"/>
  <c r="J6" i="37"/>
  <c r="J59" i="37"/>
  <c r="AO312" i="38"/>
  <c r="J190" i="37" s="1"/>
  <c r="J288" i="37"/>
  <c r="G3508" i="22" s="1"/>
  <c r="G3520" i="22" s="1"/>
  <c r="Q282" i="19"/>
  <c r="Q275" i="19" s="1"/>
  <c r="CF353" i="38"/>
  <c r="AP348" i="38" s="1"/>
  <c r="BU368" i="38" s="1"/>
  <c r="AP79" i="38"/>
  <c r="J30" i="42"/>
  <c r="J45" i="42" s="1"/>
  <c r="H99" i="37"/>
  <c r="AJ5" i="38"/>
  <c r="AF304" i="38"/>
  <c r="BW361" i="38"/>
  <c r="F47" i="42"/>
  <c r="N949" i="38"/>
  <c r="Y328" i="38"/>
  <c r="AG314" i="38"/>
  <c r="AG390" i="38" s="1"/>
  <c r="AF53" i="38"/>
  <c r="AJ53" i="38" s="1"/>
  <c r="AD87" i="38"/>
  <c r="AD313" i="38"/>
  <c r="AJ52" i="38"/>
  <c r="BW362" i="38"/>
  <c r="AB312" i="38"/>
  <c r="AB86" i="38"/>
  <c r="B310" i="38"/>
  <c r="B187" i="38"/>
  <c r="L308" i="38"/>
  <c r="L387" i="38" s="1"/>
  <c r="E53" i="37"/>
  <c r="H47" i="37"/>
  <c r="AA302" i="38"/>
  <c r="H185" i="37" s="1"/>
  <c r="AJ28" i="38"/>
  <c r="AD295" i="38"/>
  <c r="AK13" i="38"/>
  <c r="AK79" i="38"/>
  <c r="AK279" i="38"/>
  <c r="AN309" i="38"/>
  <c r="AN283" i="38"/>
  <c r="U241" i="10"/>
  <c r="AK7" i="37"/>
  <c r="G48" i="42"/>
  <c r="O950" i="38"/>
  <c r="Z952" i="38"/>
  <c r="AN113" i="38"/>
  <c r="AN196" i="38"/>
  <c r="BW106" i="38"/>
  <c r="AN182" i="38"/>
  <c r="Z382" i="38"/>
  <c r="Z575" i="38" s="1"/>
  <c r="W21" i="38"/>
  <c r="W152" i="38" s="1"/>
  <c r="O957" i="38" s="1"/>
  <c r="Z412" i="38"/>
  <c r="Z413" i="38" s="1"/>
  <c r="AA413" i="38" s="1"/>
  <c r="H436" i="37" s="1"/>
  <c r="W153" i="15" s="1"/>
  <c r="AA410" i="38"/>
  <c r="AR10" i="38"/>
  <c r="AQ83" i="38"/>
  <c r="AQ6" i="38"/>
  <c r="AQ279" i="38" s="1"/>
  <c r="C51" i="42"/>
  <c r="K954" i="38"/>
  <c r="D3506" i="22"/>
  <c r="L185" i="38"/>
  <c r="J101" i="37"/>
  <c r="C69" i="37"/>
  <c r="C107" i="37" s="1"/>
  <c r="C175" i="37"/>
  <c r="C198" i="37" s="1"/>
  <c r="C46" i="37"/>
  <c r="C86" i="37" s="1"/>
  <c r="C273" i="37"/>
  <c r="R603" i="38"/>
  <c r="W603" i="38"/>
  <c r="AO288" i="38"/>
  <c r="J170" i="37" s="1"/>
  <c r="AO314" i="38"/>
  <c r="J192" i="37" s="1"/>
  <c r="J241" i="37" s="1"/>
  <c r="M956" i="38"/>
  <c r="E53" i="42"/>
  <c r="B3840" i="22"/>
  <c r="C363" i="37"/>
  <c r="B4261" i="22"/>
  <c r="AR540" i="38"/>
  <c r="AQ556" i="38"/>
  <c r="AQ540" i="38"/>
  <c r="X9" i="38"/>
  <c r="AJ410" i="38"/>
  <c r="AJ412" i="38" s="1"/>
  <c r="E12" i="37"/>
  <c r="Q950" i="38"/>
  <c r="AE274" i="37"/>
  <c r="D350" i="37"/>
  <c r="C68" i="37"/>
  <c r="C106" i="37" s="1"/>
  <c r="C174" i="37"/>
  <c r="C197" i="37" s="1"/>
  <c r="T134" i="15"/>
  <c r="E359" i="37"/>
  <c r="Q685" i="38"/>
  <c r="R702" i="38" s="1"/>
  <c r="P739" i="38"/>
  <c r="P702" i="38"/>
  <c r="H702" i="38"/>
  <c r="H739" i="38"/>
  <c r="Q684" i="38"/>
  <c r="R701" i="38" s="1"/>
  <c r="P738" i="38"/>
  <c r="H738" i="38"/>
  <c r="H701" i="38"/>
  <c r="P700" i="38"/>
  <c r="Q683" i="38"/>
  <c r="R700" i="38" s="1"/>
  <c r="H700" i="38"/>
  <c r="H737" i="38"/>
  <c r="AQ311" i="38"/>
  <c r="L82" i="38"/>
  <c r="L333" i="38" s="1"/>
  <c r="W9" i="38"/>
  <c r="W282" i="38" s="1"/>
  <c r="H3654" i="22"/>
  <c r="H3655" i="22" s="1"/>
  <c r="H3650" i="22"/>
  <c r="D363" i="37"/>
  <c r="AE289" i="37"/>
  <c r="AE291" i="37" s="1"/>
  <c r="AF273" i="37"/>
  <c r="E349" i="37"/>
  <c r="N300" i="38"/>
  <c r="N349" i="38"/>
  <c r="P948" i="38"/>
  <c r="H46" i="42"/>
  <c r="AH180" i="38"/>
  <c r="V949" i="38" s="1"/>
  <c r="AJ4" i="38"/>
  <c r="I6" i="37" s="1"/>
  <c r="AH277" i="38"/>
  <c r="F4667" i="22" s="1"/>
  <c r="O4667" i="22" s="1"/>
  <c r="AH313" i="38"/>
  <c r="AH55" i="38"/>
  <c r="AH87" i="38"/>
  <c r="R4642" i="22"/>
  <c r="R4643" i="22" s="1"/>
  <c r="J328" i="37"/>
  <c r="U245" i="10"/>
  <c r="C4264" i="22"/>
  <c r="AK275" i="37"/>
  <c r="K390" i="38"/>
  <c r="K363" i="38"/>
  <c r="M949" i="38"/>
  <c r="E47" i="42"/>
  <c r="O65" i="38"/>
  <c r="O60" i="38"/>
  <c r="O66" i="38"/>
  <c r="O62" i="38"/>
  <c r="D256" i="37"/>
  <c r="AO55" i="38"/>
  <c r="J63" i="37" s="1"/>
  <c r="C60" i="41"/>
  <c r="C62" i="41" s="1"/>
  <c r="C64" i="41" s="1"/>
  <c r="C31" i="41"/>
  <c r="L296" i="38"/>
  <c r="E179" i="37" s="1"/>
  <c r="E31" i="37"/>
  <c r="E442" i="37"/>
  <c r="B38" i="42"/>
  <c r="B4074" i="22"/>
  <c r="B390" i="38"/>
  <c r="U300" i="38"/>
  <c r="U349" i="38"/>
  <c r="AB271" i="38"/>
  <c r="V270" i="38"/>
  <c r="AH109" i="38"/>
  <c r="AJ109" i="38" s="1"/>
  <c r="I280" i="37" s="1"/>
  <c r="AF113" i="38"/>
  <c r="AF150" i="38" s="1"/>
  <c r="Z449" i="38"/>
  <c r="Z460" i="38" s="1"/>
  <c r="Z473" i="38" s="1"/>
  <c r="Z476" i="38" s="1"/>
  <c r="F10" i="42"/>
  <c r="H10" i="42" s="1"/>
  <c r="Z497" i="38"/>
  <c r="Z510" i="38" s="1"/>
  <c r="AF506" i="38"/>
  <c r="AF536" i="38"/>
  <c r="AO86" i="38"/>
  <c r="AQ195" i="38"/>
  <c r="C738" i="38"/>
  <c r="AP206" i="38"/>
  <c r="AA953" i="38" s="1"/>
  <c r="K716" i="38"/>
  <c r="J350" i="38"/>
  <c r="J185" i="38"/>
  <c r="E951" i="38" s="1"/>
  <c r="F262" i="37"/>
  <c r="E326" i="37"/>
  <c r="D113" i="37"/>
  <c r="K658" i="38"/>
  <c r="K657" i="38"/>
  <c r="AA97" i="38"/>
  <c r="CA364" i="38"/>
  <c r="BV119" i="38"/>
  <c r="AN206" i="38"/>
  <c r="Z953" i="38" s="1"/>
  <c r="J102" i="37"/>
  <c r="E115" i="37"/>
  <c r="E117" i="37" s="1"/>
  <c r="U424" i="38"/>
  <c r="L265" i="38"/>
  <c r="E133" i="37" s="1"/>
  <c r="Q54" i="38"/>
  <c r="F62" i="37" s="1"/>
  <c r="AL206" i="38"/>
  <c r="X953" i="38" s="1"/>
  <c r="L738" i="38"/>
  <c r="AH77" i="38"/>
  <c r="M1758" i="22"/>
  <c r="M1711" i="22"/>
  <c r="J842" i="22"/>
  <c r="I2701" i="22"/>
  <c r="N1771" i="22"/>
  <c r="AK166" i="22"/>
  <c r="G3064" i="22"/>
  <c r="K1777" i="22"/>
  <c r="V1777" i="22" s="1"/>
  <c r="K309" i="22"/>
  <c r="I309" i="22"/>
  <c r="AS300" i="22"/>
  <c r="D3604" i="22"/>
  <c r="AA2174" i="22"/>
  <c r="Z560" i="22"/>
  <c r="Z559" i="22"/>
  <c r="BH300" i="22"/>
  <c r="P1088" i="22"/>
  <c r="Y1088" i="22" s="1"/>
  <c r="T1099" i="22" s="1"/>
  <c r="Y560" i="22"/>
  <c r="F2437" i="22"/>
  <c r="AT2174" i="22"/>
  <c r="AL2174" i="22"/>
  <c r="AD2174" i="22"/>
  <c r="N2174" i="22"/>
  <c r="F2174" i="22"/>
  <c r="F1350" i="22"/>
  <c r="W59" i="22"/>
  <c r="F4468" i="22"/>
  <c r="F4470" i="22" s="1"/>
  <c r="C497" i="38"/>
  <c r="C510" i="38" s="1"/>
  <c r="C457" i="38"/>
  <c r="L131" i="38"/>
  <c r="E303" i="37" s="1"/>
  <c r="R10" i="1" s="1"/>
  <c r="E304" i="37"/>
  <c r="R11" i="1" s="1"/>
  <c r="R165" i="1" s="1"/>
  <c r="R169" i="1" s="1"/>
  <c r="D66" i="38"/>
  <c r="H61" i="37"/>
  <c r="H101" i="37" s="1"/>
  <c r="H63" i="37"/>
  <c r="AA314" i="38"/>
  <c r="H192" i="37" s="1"/>
  <c r="R308" i="38"/>
  <c r="R387" i="38" s="1"/>
  <c r="R82" i="38"/>
  <c r="J47" i="42"/>
  <c r="L66" i="38"/>
  <c r="F326" i="38"/>
  <c r="AK195" i="38"/>
  <c r="BT119" i="38"/>
  <c r="AO87" i="38"/>
  <c r="L4642" i="22"/>
  <c r="L4643" i="22" s="1"/>
  <c r="P4642" i="22"/>
  <c r="Q4643" i="22" s="1"/>
  <c r="AY349" i="38"/>
  <c r="AY382" i="38" s="1"/>
  <c r="AY408" i="38" s="1"/>
  <c r="G100" i="37"/>
  <c r="V87" i="38" s="1"/>
  <c r="N739" i="38"/>
  <c r="O658" i="38"/>
  <c r="O657" i="38"/>
  <c r="N657" i="38"/>
  <c r="F657" i="38"/>
  <c r="F738" i="38"/>
  <c r="N656" i="38"/>
  <c r="N737" i="38"/>
  <c r="O656" i="38"/>
  <c r="F656" i="38"/>
  <c r="F737" i="38"/>
  <c r="W326" i="38"/>
  <c r="AA76" i="38"/>
  <c r="X205" i="38"/>
  <c r="H56" i="42" s="1"/>
  <c r="X164" i="38"/>
  <c r="C10" i="42"/>
  <c r="C11" i="42" s="1"/>
  <c r="W449" i="38"/>
  <c r="W460" i="38" s="1"/>
  <c r="W473" i="38" s="1"/>
  <c r="W476" i="38" s="1"/>
  <c r="W140" i="38"/>
  <c r="W210" i="38"/>
  <c r="G57" i="42" s="1"/>
  <c r="W497" i="38"/>
  <c r="W510" i="38" s="1"/>
  <c r="AH288" i="38"/>
  <c r="F4676" i="22" s="1"/>
  <c r="O4676" i="22" s="1"/>
  <c r="AH193" i="38"/>
  <c r="V956" i="38" s="1"/>
  <c r="AJ273" i="37"/>
  <c r="G3507" i="22"/>
  <c r="G3519" i="22" s="1"/>
  <c r="E184" i="37"/>
  <c r="E208" i="37" s="1"/>
  <c r="L383" i="38"/>
  <c r="D250" i="37"/>
  <c r="O300" i="38"/>
  <c r="O349" i="38"/>
  <c r="G349" i="38"/>
  <c r="G382" i="38" s="1"/>
  <c r="G575" i="38" s="1"/>
  <c r="G408" i="38" s="1"/>
  <c r="G300" i="38"/>
  <c r="U179" i="38"/>
  <c r="V103" i="38"/>
  <c r="G273" i="37" s="1"/>
  <c r="AI274" i="37"/>
  <c r="H327" i="37"/>
  <c r="AC158" i="38"/>
  <c r="AC113" i="38"/>
  <c r="W161" i="38"/>
  <c r="AA115" i="38"/>
  <c r="W119" i="38"/>
  <c r="W195" i="38" s="1"/>
  <c r="AD550" i="38"/>
  <c r="AD552" i="38" s="1"/>
  <c r="AD192" i="38"/>
  <c r="T955" i="38" s="1"/>
  <c r="AE193" i="38"/>
  <c r="AE163" i="38"/>
  <c r="X195" i="38"/>
  <c r="E743" i="38"/>
  <c r="D743" i="38"/>
  <c r="Y718" i="38"/>
  <c r="Y712" i="38"/>
  <c r="Y716" i="38" s="1"/>
  <c r="R716" i="38"/>
  <c r="M716" i="38"/>
  <c r="I701" i="38"/>
  <c r="I738" i="38"/>
  <c r="R737" i="38"/>
  <c r="I737" i="38"/>
  <c r="J700" i="38"/>
  <c r="I700" i="38"/>
  <c r="U390" i="38"/>
  <c r="V314" i="38"/>
  <c r="G192" i="37" s="1"/>
  <c r="G241" i="37" s="1"/>
  <c r="L390" i="38"/>
  <c r="E192" i="37"/>
  <c r="H389" i="38"/>
  <c r="H362" i="38"/>
  <c r="O388" i="38"/>
  <c r="O361" i="38"/>
  <c r="K385" i="38"/>
  <c r="P352" i="38"/>
  <c r="H445" i="37"/>
  <c r="W136" i="15"/>
  <c r="AD296" i="38"/>
  <c r="AJ29" i="38"/>
  <c r="AG19" i="38"/>
  <c r="AF17" i="38"/>
  <c r="AF288" i="38" s="1"/>
  <c r="E4676" i="22" s="1"/>
  <c r="N4676" i="22" s="1"/>
  <c r="AG117" i="38"/>
  <c r="AG88" i="38"/>
  <c r="AG288" i="38"/>
  <c r="AB87" i="38"/>
  <c r="AJ16" i="38"/>
  <c r="I20" i="37" s="1"/>
  <c r="AB192" i="38"/>
  <c r="S955" i="38" s="1"/>
  <c r="AB287" i="38"/>
  <c r="C4675" i="22" s="1"/>
  <c r="L4675" i="22" s="1"/>
  <c r="G19" i="37"/>
  <c r="V286" i="38"/>
  <c r="G168" i="37" s="1"/>
  <c r="M282" i="38"/>
  <c r="M185" i="38"/>
  <c r="G951" i="38" s="1"/>
  <c r="Q9" i="38"/>
  <c r="M82" i="38"/>
  <c r="M98" i="38" s="1"/>
  <c r="E185" i="38"/>
  <c r="E282" i="38"/>
  <c r="E82" i="38"/>
  <c r="AD78" i="38"/>
  <c r="AD278" i="38"/>
  <c r="D4668" i="22" s="1"/>
  <c r="M4668" i="22" s="1"/>
  <c r="AD181" i="38"/>
  <c r="T950" i="38" s="1"/>
  <c r="AI6" i="37"/>
  <c r="AK412" i="38"/>
  <c r="AK413" i="38" s="1"/>
  <c r="AO410" i="38"/>
  <c r="AO412" i="38" s="1"/>
  <c r="AO19" i="38"/>
  <c r="J290" i="37"/>
  <c r="Q4676" i="22"/>
  <c r="M4666" i="22"/>
  <c r="AL515" i="38"/>
  <c r="AL507" i="38"/>
  <c r="J753" i="38"/>
  <c r="K753" i="38"/>
  <c r="J731" i="38"/>
  <c r="D752" i="38"/>
  <c r="D731" i="38"/>
  <c r="R744" i="38"/>
  <c r="S744" i="38"/>
  <c r="J744" i="38"/>
  <c r="D53" i="42"/>
  <c r="L956" i="38"/>
  <c r="CD350" i="38"/>
  <c r="AN49" i="38"/>
  <c r="V55" i="38"/>
  <c r="G63" i="37" s="1"/>
  <c r="T144" i="15"/>
  <c r="E482" i="37"/>
  <c r="H293" i="14" s="1"/>
  <c r="H294" i="14" s="1"/>
  <c r="D481" i="37"/>
  <c r="D362" i="37"/>
  <c r="D480" i="37"/>
  <c r="G278" i="14" s="1"/>
  <c r="AE273" i="37"/>
  <c r="D349" i="37"/>
  <c r="F147" i="37"/>
  <c r="F337" i="37"/>
  <c r="C67" i="37"/>
  <c r="C105" i="37" s="1"/>
  <c r="C173" i="37"/>
  <c r="C196" i="37" s="1"/>
  <c r="C223" i="37" s="1"/>
  <c r="X328" i="38"/>
  <c r="AA78" i="38"/>
  <c r="C308" i="38"/>
  <c r="H357" i="38" s="1"/>
  <c r="C82" i="38"/>
  <c r="C333" i="38" s="1"/>
  <c r="AO46" i="38"/>
  <c r="J54" i="37" s="1"/>
  <c r="J94" i="37" s="1"/>
  <c r="AM42" i="38"/>
  <c r="AN79" i="38"/>
  <c r="CD353" i="38"/>
  <c r="AN304" i="38"/>
  <c r="G482" i="37"/>
  <c r="J293" i="14" s="1"/>
  <c r="V152" i="15"/>
  <c r="E4073" i="22"/>
  <c r="Y251" i="38"/>
  <c r="AE383" i="38" s="1"/>
  <c r="X156" i="38"/>
  <c r="X326" i="38"/>
  <c r="X276" i="38"/>
  <c r="T45" i="38"/>
  <c r="T82" i="38" s="1"/>
  <c r="T69" i="38"/>
  <c r="T400" i="38" s="1"/>
  <c r="B4263" i="22"/>
  <c r="C361" i="37"/>
  <c r="B3838" i="22"/>
  <c r="AJ287" i="37"/>
  <c r="I337" i="37"/>
  <c r="AM283" i="38"/>
  <c r="I4671" i="22" s="1"/>
  <c r="Q413" i="38"/>
  <c r="H352" i="38"/>
  <c r="AC539" i="38"/>
  <c r="J3650" i="22"/>
  <c r="I3650" i="22"/>
  <c r="K362" i="38"/>
  <c r="C23" i="41"/>
  <c r="D24" i="41" s="1"/>
  <c r="AO97" i="38"/>
  <c r="D4675" i="22"/>
  <c r="M4675" i="22" s="1"/>
  <c r="K656" i="38"/>
  <c r="P460" i="38"/>
  <c r="P473" i="38" s="1"/>
  <c r="P476" i="38" s="1"/>
  <c r="AD428" i="38"/>
  <c r="AJ428" i="38" s="1"/>
  <c r="R739" i="38"/>
  <c r="V288" i="38"/>
  <c r="G170" i="37" s="1"/>
  <c r="N4674" i="22"/>
  <c r="BY111" i="38"/>
  <c r="M702" i="38"/>
  <c r="I658" i="38"/>
  <c r="M296" i="38"/>
  <c r="C66" i="38"/>
  <c r="L731" i="38"/>
  <c r="H476" i="38"/>
  <c r="AA277" i="38"/>
  <c r="H163" i="37" s="1"/>
  <c r="Q32" i="38"/>
  <c r="F34" i="37" s="1"/>
  <c r="U137" i="15" s="1"/>
  <c r="F751" i="38"/>
  <c r="J747" i="38"/>
  <c r="Z716" i="38"/>
  <c r="AD193" i="38"/>
  <c r="T956" i="38" s="1"/>
  <c r="U109" i="38"/>
  <c r="AF205" i="38"/>
  <c r="BY103" i="38"/>
  <c r="P127" i="34"/>
  <c r="D3932" i="22"/>
  <c r="D3934" i="22" s="1"/>
  <c r="E3933" i="22" s="1"/>
  <c r="C4542" i="22"/>
  <c r="AK15" i="37"/>
  <c r="J56" i="37"/>
  <c r="J96" i="37" s="1"/>
  <c r="O128" i="34"/>
  <c r="B4266" i="22"/>
  <c r="C373" i="37"/>
  <c r="M389" i="38"/>
  <c r="M362" i="38"/>
  <c r="Q313" i="38"/>
  <c r="F191" i="37" s="1"/>
  <c r="F215" i="37" s="1"/>
  <c r="M361" i="38"/>
  <c r="Q312" i="38"/>
  <c r="F190" i="37" s="1"/>
  <c r="R361" i="38"/>
  <c r="M300" i="38"/>
  <c r="M349" i="38"/>
  <c r="X338" i="38"/>
  <c r="AA87" i="38"/>
  <c r="AK19" i="37"/>
  <c r="I30" i="42"/>
  <c r="I45" i="42" s="1"/>
  <c r="Y382" i="38"/>
  <c r="C737" i="38"/>
  <c r="D656" i="38"/>
  <c r="U410" i="38"/>
  <c r="U412" i="38" s="1"/>
  <c r="S412" i="38"/>
  <c r="S413" i="38" s="1"/>
  <c r="U413" i="38" s="1"/>
  <c r="U389" i="38"/>
  <c r="V313" i="38"/>
  <c r="G191" i="37" s="1"/>
  <c r="G240" i="37" s="1"/>
  <c r="AQ312" i="38"/>
  <c r="AO286" i="38"/>
  <c r="J168" i="37" s="1"/>
  <c r="P956" i="38"/>
  <c r="H53" i="42"/>
  <c r="I52" i="42"/>
  <c r="Q955" i="38"/>
  <c r="AF312" i="38"/>
  <c r="AJ51" i="38"/>
  <c r="AJ48" i="38"/>
  <c r="N387" i="38"/>
  <c r="P390" i="38"/>
  <c r="Q314" i="38"/>
  <c r="F192" i="37" s="1"/>
  <c r="D3478" i="22"/>
  <c r="D3499" i="22" s="1"/>
  <c r="D3413" i="22"/>
  <c r="D3433" i="22" s="1"/>
  <c r="G115" i="37"/>
  <c r="G117" i="37" s="1"/>
  <c r="B91" i="38"/>
  <c r="B317" i="38"/>
  <c r="B393" i="38" s="1"/>
  <c r="W49" i="38"/>
  <c r="W69" i="38" s="1"/>
  <c r="W400" i="38" s="1"/>
  <c r="U716" i="38"/>
  <c r="P716" i="38"/>
  <c r="D739" i="38"/>
  <c r="E702" i="38"/>
  <c r="D702" i="38"/>
  <c r="E701" i="38"/>
  <c r="D738" i="38"/>
  <c r="L737" i="38"/>
  <c r="M700" i="38"/>
  <c r="D737" i="38"/>
  <c r="E700" i="38"/>
  <c r="X426" i="38"/>
  <c r="AA424" i="38"/>
  <c r="C18" i="42"/>
  <c r="AA417" i="38"/>
  <c r="AA485" i="38" s="1"/>
  <c r="R408" i="38"/>
  <c r="R575" i="38"/>
  <c r="S45" i="38"/>
  <c r="S308" i="38" s="1"/>
  <c r="S387" i="38" s="1"/>
  <c r="S69" i="38"/>
  <c r="S400" i="38" s="1"/>
  <c r="K731" i="38"/>
  <c r="C731" i="38"/>
  <c r="D753" i="38"/>
  <c r="F752" i="38"/>
  <c r="E752" i="38"/>
  <c r="K744" i="38"/>
  <c r="H351" i="38"/>
  <c r="H384" i="38"/>
  <c r="M351" i="38"/>
  <c r="M383" i="38"/>
  <c r="M350" i="38"/>
  <c r="O384" i="38"/>
  <c r="O351" i="38"/>
  <c r="N393" i="38"/>
  <c r="I291" i="38"/>
  <c r="E143" i="37"/>
  <c r="F143" i="37"/>
  <c r="E97" i="37"/>
  <c r="E65" i="37"/>
  <c r="S385" i="38"/>
  <c r="V303" i="38"/>
  <c r="G186" i="37" s="1"/>
  <c r="S352" i="38"/>
  <c r="P338" i="38"/>
  <c r="G373" i="37"/>
  <c r="V136" i="15"/>
  <c r="CG360" i="38"/>
  <c r="AR48" i="38"/>
  <c r="AS48" i="38" s="1"/>
  <c r="CI360" i="38" s="1"/>
  <c r="AK283" i="38"/>
  <c r="G4671" i="22" s="1"/>
  <c r="AN413" i="38"/>
  <c r="BT106" i="38"/>
  <c r="AJ15" i="38"/>
  <c r="AJ191" i="38" s="1"/>
  <c r="AF191" i="38"/>
  <c r="U954" i="38" s="1"/>
  <c r="S13" i="38"/>
  <c r="K700" i="38"/>
  <c r="AR112" i="38"/>
  <c r="V276" i="38"/>
  <c r="G162" i="37" s="1"/>
  <c r="AP49" i="38"/>
  <c r="AD79" i="38"/>
  <c r="V19" i="38"/>
  <c r="K185" i="38"/>
  <c r="F951" i="38" s="1"/>
  <c r="H82" i="38"/>
  <c r="H333" i="38" s="1"/>
  <c r="AD188" i="38"/>
  <c r="E256" i="37"/>
  <c r="J476" i="38"/>
  <c r="I361" i="38"/>
  <c r="K351" i="38"/>
  <c r="G262" i="37"/>
  <c r="E333" i="37"/>
  <c r="AG113" i="38"/>
  <c r="Y195" i="38"/>
  <c r="AP308" i="38"/>
  <c r="AP211" i="38"/>
  <c r="AO112" i="38"/>
  <c r="AD304" i="38"/>
  <c r="AD119" i="38"/>
  <c r="AD150" i="38" s="1"/>
  <c r="K82" i="38"/>
  <c r="AC119" i="38"/>
  <c r="AN82" i="38"/>
  <c r="B77" i="38"/>
  <c r="B252" i="38" s="1"/>
  <c r="AD285" i="38"/>
  <c r="AM309" i="38"/>
  <c r="BV112" i="38"/>
  <c r="K4643" i="22"/>
  <c r="G21" i="37"/>
  <c r="AH19" i="38"/>
  <c r="AB78" i="38"/>
  <c r="I15" i="37"/>
  <c r="W952" i="38"/>
  <c r="AK550" i="38"/>
  <c r="AJ117" i="38"/>
  <c r="BW109" i="38"/>
  <c r="E86" i="37"/>
  <c r="F154" i="37"/>
  <c r="H66" i="38"/>
  <c r="AK113" i="38"/>
  <c r="W960" i="38" s="1"/>
  <c r="AM109" i="38"/>
  <c r="O4643" i="22"/>
  <c r="AH86" i="38"/>
  <c r="AB278" i="38"/>
  <c r="C4668" i="22" s="1"/>
  <c r="M66" i="38"/>
  <c r="M96" i="38" s="1"/>
  <c r="R96" i="38" s="1"/>
  <c r="W96" i="38" s="1"/>
  <c r="AT349" i="38"/>
  <c r="AT382" i="38" s="1"/>
  <c r="AT408" i="38" s="1"/>
  <c r="D442" i="37"/>
  <c r="T603" i="38"/>
  <c r="G445" i="37"/>
  <c r="AK182" i="38"/>
  <c r="S4642" i="22"/>
  <c r="AI45" i="38"/>
  <c r="AI308" i="38" s="1"/>
  <c r="AA180" i="38"/>
  <c r="AN185" i="38"/>
  <c r="AC951" i="38" s="1"/>
  <c r="AI349" i="38"/>
  <c r="AI382" i="38" s="1"/>
  <c r="AI408" i="38" s="1"/>
  <c r="E731" i="38"/>
  <c r="M747" i="38"/>
  <c r="AQ9" i="38"/>
  <c r="V277" i="38"/>
  <c r="G163" i="37" s="1"/>
  <c r="AM83" i="38"/>
  <c r="AO83" i="38" s="1"/>
  <c r="CC358" i="38"/>
  <c r="D744" i="38"/>
  <c r="M656" i="38"/>
  <c r="BY118" i="38"/>
  <c r="CG358" i="38"/>
  <c r="AR46" i="38"/>
  <c r="AS46" i="38" s="1"/>
  <c r="CI358" i="38" s="1"/>
  <c r="J88" i="37"/>
  <c r="U243" i="10" s="1"/>
  <c r="Z34" i="38"/>
  <c r="Z211" i="38" s="1"/>
  <c r="Z9" i="38"/>
  <c r="P296" i="38"/>
  <c r="Q29" i="38"/>
  <c r="D31" i="41"/>
  <c r="D30" i="41"/>
  <c r="D445" i="37"/>
  <c r="D482" i="37"/>
  <c r="D437" i="37"/>
  <c r="S716" i="38"/>
  <c r="N716" i="38"/>
  <c r="J739" i="38"/>
  <c r="J702" i="38"/>
  <c r="K702" i="38"/>
  <c r="J738" i="38"/>
  <c r="K701" i="38"/>
  <c r="K388" i="38"/>
  <c r="K361" i="38"/>
  <c r="B32" i="42"/>
  <c r="B4065" i="22"/>
  <c r="E46" i="42"/>
  <c r="M948" i="38"/>
  <c r="AF302" i="38"/>
  <c r="AJ40" i="38"/>
  <c r="AF77" i="38"/>
  <c r="O294" i="38"/>
  <c r="P27" i="38"/>
  <c r="O64" i="38"/>
  <c r="Z195" i="38"/>
  <c r="Z21" i="38"/>
  <c r="Z152" i="38" s="1"/>
  <c r="R957" i="38" s="1"/>
  <c r="Y179" i="38"/>
  <c r="AA103" i="38"/>
  <c r="AE113" i="38"/>
  <c r="AE157" i="38"/>
  <c r="U308" i="38"/>
  <c r="U387" i="38" s="1"/>
  <c r="G51" i="42"/>
  <c r="O954" i="38"/>
  <c r="AI208" i="38"/>
  <c r="AI34" i="38"/>
  <c r="AI211" i="38" s="1"/>
  <c r="D115" i="37"/>
  <c r="D117" i="37" s="1"/>
  <c r="D377" i="37"/>
  <c r="K743" i="38"/>
  <c r="AO103" i="38"/>
  <c r="BW103" i="38"/>
  <c r="L385" i="38"/>
  <c r="E186" i="37"/>
  <c r="H289" i="37"/>
  <c r="H363" i="37" s="1"/>
  <c r="AA193" i="38"/>
  <c r="AJ129" i="38"/>
  <c r="AH314" i="38"/>
  <c r="AH88" i="38"/>
  <c r="Q18" i="38"/>
  <c r="Q287" i="38"/>
  <c r="F169" i="37" s="1"/>
  <c r="F20" i="37"/>
  <c r="AL113" i="38"/>
  <c r="X960" i="38" s="1"/>
  <c r="AL550" i="38"/>
  <c r="AL552" i="38" s="1"/>
  <c r="K476" i="38"/>
  <c r="B311" i="38"/>
  <c r="B85" i="38"/>
  <c r="B259" i="38" s="1"/>
  <c r="B188" i="38"/>
  <c r="B4673" i="22" s="1"/>
  <c r="Q288" i="38"/>
  <c r="F170" i="37" s="1"/>
  <c r="F21" i="37"/>
  <c r="D255" i="37"/>
  <c r="AJ54" i="38"/>
  <c r="I62" i="37" s="1"/>
  <c r="BY110" i="38"/>
  <c r="H63" i="38"/>
  <c r="H319" i="38" s="1"/>
  <c r="H395" i="38" s="1"/>
  <c r="M729" i="38"/>
  <c r="AB77" i="38"/>
  <c r="AJ31" i="38"/>
  <c r="I33" i="37" s="1"/>
  <c r="F152" i="37"/>
  <c r="Z603" i="38"/>
  <c r="I352" i="38"/>
  <c r="H18" i="42"/>
  <c r="BY105" i="38"/>
  <c r="G265" i="38"/>
  <c r="D133" i="37" s="1"/>
  <c r="Z156" i="38"/>
  <c r="U156" i="38"/>
  <c r="U326" i="38"/>
  <c r="Z383" i="38"/>
  <c r="U276" i="38"/>
  <c r="U301" i="38"/>
  <c r="AG7" i="37"/>
  <c r="F88" i="37"/>
  <c r="Q78" i="38" s="1"/>
  <c r="Q241" i="10"/>
  <c r="AI79" i="38"/>
  <c r="AI304" i="38"/>
  <c r="G3506" i="22"/>
  <c r="AK20" i="37"/>
  <c r="J100" i="37"/>
  <c r="AD418" i="38"/>
  <c r="AJ417" i="38"/>
  <c r="AJ485" i="38" s="1"/>
  <c r="X137" i="15"/>
  <c r="I114" i="37"/>
  <c r="AI21" i="37"/>
  <c r="O4668" i="22"/>
  <c r="C4341" i="22"/>
  <c r="C4343" i="22" s="1"/>
  <c r="H747" i="38"/>
  <c r="D118" i="31"/>
  <c r="O56" i="31" s="1"/>
  <c r="D130" i="31"/>
  <c r="O28" i="31"/>
  <c r="V457" i="38"/>
  <c r="C460" i="38"/>
  <c r="AN550" i="38"/>
  <c r="AK196" i="38"/>
  <c r="AD300" i="38"/>
  <c r="AD349" i="38"/>
  <c r="AJ116" i="38"/>
  <c r="AJ404" i="38" s="1"/>
  <c r="H3611" i="22"/>
  <c r="P345" i="22"/>
  <c r="P331" i="22" s="1"/>
  <c r="G324" i="22"/>
  <c r="G344" i="22" s="1"/>
  <c r="G343" i="22"/>
  <c r="E2251" i="22"/>
  <c r="E2253" i="22"/>
  <c r="E2255" i="22"/>
  <c r="E2249" i="22"/>
  <c r="E2254" i="22"/>
  <c r="E1363" i="22"/>
  <c r="F1382" i="22" s="1"/>
  <c r="P571" i="22"/>
  <c r="P575" i="22" s="1"/>
  <c r="P649" i="22" s="1"/>
  <c r="E356" i="22"/>
  <c r="I356" i="22" s="1"/>
  <c r="I354" i="22"/>
  <c r="V300" i="22"/>
  <c r="K2662" i="22"/>
  <c r="O2662" i="22"/>
  <c r="P2650" i="22"/>
  <c r="P2670" i="22"/>
  <c r="M3984" i="22"/>
  <c r="L3993" i="22"/>
  <c r="H3982" i="22"/>
  <c r="H3993" i="22" s="1"/>
  <c r="G3993" i="22"/>
  <c r="J411" i="22"/>
  <c r="J416" i="22" s="1"/>
  <c r="N95" i="22"/>
  <c r="N123" i="22" s="1"/>
  <c r="U73" i="22"/>
  <c r="U57" i="22"/>
  <c r="D24" i="22"/>
  <c r="D31" i="22" s="1"/>
  <c r="D196" i="22"/>
  <c r="AK15" i="22"/>
  <c r="AP15" i="22" s="1"/>
  <c r="I23" i="22"/>
  <c r="D193" i="22"/>
  <c r="D21" i="22"/>
  <c r="D28" i="22" s="1"/>
  <c r="O3038" i="22"/>
  <c r="E2657" i="22"/>
  <c r="I2653" i="22"/>
  <c r="I2650" i="22"/>
  <c r="E2670" i="22"/>
  <c r="F820" i="22"/>
  <c r="F858" i="22" s="1"/>
  <c r="E858" i="22"/>
  <c r="G799" i="22"/>
  <c r="G796" i="22"/>
  <c r="B833" i="22"/>
  <c r="B1026" i="22" s="1"/>
  <c r="B814" i="22"/>
  <c r="B810" i="22"/>
  <c r="B829" i="22"/>
  <c r="B1024" i="22" s="1"/>
  <c r="B825" i="22"/>
  <c r="B1020" i="22" s="1"/>
  <c r="B806" i="22"/>
  <c r="B821" i="22"/>
  <c r="B1018" i="22" s="1"/>
  <c r="B802" i="22"/>
  <c r="P765" i="22"/>
  <c r="P763" i="22"/>
  <c r="P770" i="22"/>
  <c r="P762" i="22"/>
  <c r="P758" i="22"/>
  <c r="P766" i="22"/>
  <c r="P764" i="22"/>
  <c r="P760" i="22"/>
  <c r="F774" i="22"/>
  <c r="F777" i="22"/>
  <c r="F817" i="22"/>
  <c r="AE728" i="22"/>
  <c r="AG728" i="22"/>
  <c r="AH728" i="22"/>
  <c r="W1712" i="22"/>
  <c r="I2670" i="22"/>
  <c r="H2665" i="22"/>
  <c r="L2665" i="22"/>
  <c r="K2657" i="22"/>
  <c r="O2653" i="22"/>
  <c r="K2653" i="22"/>
  <c r="O947" i="22"/>
  <c r="L947" i="22"/>
  <c r="O945" i="22"/>
  <c r="O944" i="22"/>
  <c r="L939" i="22"/>
  <c r="E941" i="22"/>
  <c r="O939" i="22" s="1"/>
  <c r="I925" i="22"/>
  <c r="L923" i="22"/>
  <c r="X215" i="22"/>
  <c r="I215" i="22"/>
  <c r="L215" i="22"/>
  <c r="O215" i="22"/>
  <c r="Y233" i="22" s="1"/>
  <c r="X208" i="22"/>
  <c r="O208" i="22"/>
  <c r="Y227" i="22" s="1"/>
  <c r="L208" i="22"/>
  <c r="V84" i="22"/>
  <c r="P80" i="22"/>
  <c r="P81" i="22" s="1"/>
  <c r="P85" i="22"/>
  <c r="X226" i="22"/>
  <c r="H220" i="22"/>
  <c r="F2891" i="22"/>
  <c r="D2896" i="22"/>
  <c r="H2830" i="22"/>
  <c r="G2830" i="22"/>
  <c r="E24" i="31"/>
  <c r="F25" i="31" s="1"/>
  <c r="V1717" i="22"/>
  <c r="W1749" i="22" s="1"/>
  <c r="K1814" i="22"/>
  <c r="Q1814" i="22" s="1"/>
  <c r="F1712" i="22"/>
  <c r="U1713" i="22"/>
  <c r="L1769" i="22"/>
  <c r="W1769" i="22" s="1"/>
  <c r="AG1769" i="22" s="1"/>
  <c r="W1709" i="22"/>
  <c r="AG1709" i="22" s="1"/>
  <c r="H1355" i="22"/>
  <c r="S1092" i="22"/>
  <c r="S1093" i="22" s="1"/>
  <c r="H2270" i="22"/>
  <c r="G2309" i="22"/>
  <c r="G2329" i="22" s="1"/>
  <c r="D4392" i="22"/>
  <c r="H3080" i="22"/>
  <c r="J3076" i="22"/>
  <c r="H3077" i="22"/>
  <c r="H3081" i="22" s="1"/>
  <c r="E3066" i="22"/>
  <c r="F3040" i="22"/>
  <c r="D2052" i="22"/>
  <c r="D2036" i="22"/>
  <c r="D2034" i="22"/>
  <c r="J1836" i="22"/>
  <c r="D1838" i="22"/>
  <c r="M1775" i="22"/>
  <c r="M1772" i="22" s="1"/>
  <c r="M1771" i="22" s="1"/>
  <c r="F1813" i="22"/>
  <c r="F1803" i="22"/>
  <c r="AK300" i="22"/>
  <c r="Y300" i="22"/>
  <c r="K3188" i="22"/>
  <c r="F3178" i="22"/>
  <c r="F3183" i="22"/>
  <c r="AB559" i="22"/>
  <c r="G2670" i="22"/>
  <c r="F2670" i="22"/>
  <c r="U300" i="22"/>
  <c r="H21" i="22"/>
  <c r="Y67" i="22"/>
  <c r="AB300" i="22"/>
  <c r="E2256" i="22"/>
  <c r="E3495" i="22"/>
  <c r="V2174" i="22"/>
  <c r="T76" i="22"/>
  <c r="AI552" i="22"/>
  <c r="Y552" i="22"/>
  <c r="AG2174" i="22"/>
  <c r="Y2174" i="22"/>
  <c r="Q2174" i="22"/>
  <c r="I2174" i="22"/>
  <c r="L309" i="22"/>
  <c r="T255" i="22"/>
  <c r="H282" i="22" s="1"/>
  <c r="Y84" i="22"/>
  <c r="H77" i="22"/>
  <c r="R575" i="22"/>
  <c r="R649" i="22" s="1"/>
  <c r="AK552" i="22"/>
  <c r="AA552" i="22"/>
  <c r="AG551" i="22"/>
  <c r="P77" i="22"/>
  <c r="E3604" i="22"/>
  <c r="E2248" i="22"/>
  <c r="J1718" i="22"/>
  <c r="Y1718" i="22" s="1"/>
  <c r="E1787" i="22" s="1"/>
  <c r="E904" i="22"/>
  <c r="H748" i="22"/>
  <c r="I748" i="22" s="1"/>
  <c r="Q615" i="22"/>
  <c r="Q650" i="22" s="1"/>
  <c r="AA551" i="22"/>
  <c r="N99" i="22"/>
  <c r="N103" i="22" s="1"/>
  <c r="J412" i="22" s="1"/>
  <c r="F4283" i="22"/>
  <c r="E4331" i="22"/>
  <c r="P2662" i="22"/>
  <c r="L2670" i="22"/>
  <c r="L2662" i="22"/>
  <c r="Q2670" i="22"/>
  <c r="F1807" i="22"/>
  <c r="E1827" i="22"/>
  <c r="G4516" i="22"/>
  <c r="G4537" i="22" s="1"/>
  <c r="E4537" i="22"/>
  <c r="G1813" i="22"/>
  <c r="I1804" i="22"/>
  <c r="I1798" i="22"/>
  <c r="I1802" i="22"/>
  <c r="I1799" i="22"/>
  <c r="K1745" i="22"/>
  <c r="K1743" i="22"/>
  <c r="Z1719" i="22"/>
  <c r="E36" i="31"/>
  <c r="G1712" i="22"/>
  <c r="V1713" i="22"/>
  <c r="G1755" i="22"/>
  <c r="K961" i="22"/>
  <c r="K965" i="22"/>
  <c r="K969" i="22" s="1"/>
  <c r="K972" i="22" s="1"/>
  <c r="H818" i="22"/>
  <c r="H842" i="22"/>
  <c r="H860" i="22"/>
  <c r="G777" i="22"/>
  <c r="G817" i="22"/>
  <c r="G774" i="22"/>
  <c r="O217" i="22"/>
  <c r="Y235" i="22" s="1"/>
  <c r="X217" i="22"/>
  <c r="I217" i="22"/>
  <c r="O214" i="22"/>
  <c r="Y232" i="22" s="1"/>
  <c r="L214" i="22"/>
  <c r="I214" i="22"/>
  <c r="I210" i="22"/>
  <c r="X210" i="22"/>
  <c r="O210" i="22"/>
  <c r="Y229" i="22" s="1"/>
  <c r="I208" i="22"/>
  <c r="F220" i="22"/>
  <c r="O204" i="22"/>
  <c r="L204" i="22"/>
  <c r="X204" i="22"/>
  <c r="I204" i="22"/>
  <c r="L120" i="22"/>
  <c r="L117" i="22"/>
  <c r="L121" i="22"/>
  <c r="M119" i="22"/>
  <c r="L119" i="22"/>
  <c r="L114" i="22"/>
  <c r="L116" i="22"/>
  <c r="M114" i="22"/>
  <c r="I4643" i="22"/>
  <c r="J4643" i="22"/>
  <c r="J68" i="22"/>
  <c r="X67" i="22"/>
  <c r="T67" i="22"/>
  <c r="H2477" i="22"/>
  <c r="I2475" i="22"/>
  <c r="H2459" i="22"/>
  <c r="H2467" i="22" s="1"/>
  <c r="G2337" i="22"/>
  <c r="G2345" i="22"/>
  <c r="J934" i="22"/>
  <c r="R929" i="22" s="1"/>
  <c r="M928" i="22"/>
  <c r="I4195" i="22"/>
  <c r="I4197" i="22" s="1"/>
  <c r="X4197" i="22"/>
  <c r="D2959" i="22"/>
  <c r="F2691" i="22"/>
  <c r="F2688" i="22"/>
  <c r="D2657" i="22"/>
  <c r="H2653" i="22"/>
  <c r="F2573" i="22"/>
  <c r="E2580" i="22"/>
  <c r="N2540" i="22"/>
  <c r="M2542" i="22"/>
  <c r="M2544" i="22" s="1"/>
  <c r="E2054" i="22"/>
  <c r="M932" i="22"/>
  <c r="F934" i="22"/>
  <c r="AD551" i="22"/>
  <c r="T57" i="22"/>
  <c r="T73" i="22"/>
  <c r="P14" i="22"/>
  <c r="E22" i="22"/>
  <c r="H22" i="22" s="1"/>
  <c r="E3335" i="22"/>
  <c r="E3338" i="22" s="1"/>
  <c r="D3333" i="22"/>
  <c r="D3335" i="22" s="1"/>
  <c r="F3082" i="22"/>
  <c r="F3099" i="22"/>
  <c r="D3077" i="22"/>
  <c r="D3080" i="22"/>
  <c r="D3097" i="22"/>
  <c r="F3076" i="22"/>
  <c r="F3077" i="22" s="1"/>
  <c r="M3039" i="22"/>
  <c r="R615" i="22"/>
  <c r="R650" i="22" s="1"/>
  <c r="AQ300" i="22"/>
  <c r="AK301" i="22"/>
  <c r="AK309" i="22" s="1"/>
  <c r="AP301" i="22"/>
  <c r="AP309" i="22" s="1"/>
  <c r="BF303" i="22"/>
  <c r="BH303" i="22"/>
  <c r="BG303" i="22"/>
  <c r="AL301" i="22"/>
  <c r="AL309" i="22" s="1"/>
  <c r="AI300" i="22"/>
  <c r="BB303" i="22"/>
  <c r="AZ303" i="22"/>
  <c r="BC303" i="22"/>
  <c r="P99" i="22"/>
  <c r="P105" i="22" s="1"/>
  <c r="AF552" i="22"/>
  <c r="K940" i="22"/>
  <c r="H941" i="22"/>
  <c r="F3409" i="22"/>
  <c r="G3407" i="22"/>
  <c r="I3407" i="22" s="1"/>
  <c r="Q1091" i="22"/>
  <c r="D2394" i="22"/>
  <c r="E2394" i="22" s="1"/>
  <c r="U1093" i="22"/>
  <c r="Q1088" i="22"/>
  <c r="Z1088" i="22" s="1"/>
  <c r="Q1092" i="22"/>
  <c r="M1092" i="22" s="1"/>
  <c r="I1092" i="22" s="1"/>
  <c r="E1092" i="22" s="1"/>
  <c r="P1092" i="22"/>
  <c r="L1092" i="22" s="1"/>
  <c r="P952" i="22"/>
  <c r="P950" i="22"/>
  <c r="P954" i="22"/>
  <c r="P953" i="22"/>
  <c r="O575" i="22"/>
  <c r="O649" i="22" s="1"/>
  <c r="BH301" i="22"/>
  <c r="BH309" i="22" s="1"/>
  <c r="BB300" i="22"/>
  <c r="BG301" i="22"/>
  <c r="BG309" i="22" s="1"/>
  <c r="AT300" i="22"/>
  <c r="BE301" i="22"/>
  <c r="BE309" i="22" s="1"/>
  <c r="BD301" i="22"/>
  <c r="BD309" i="22" s="1"/>
  <c r="AX301" i="22"/>
  <c r="AX309" i="22" s="1"/>
  <c r="AU301" i="22"/>
  <c r="AU309" i="22" s="1"/>
  <c r="AX300" i="22"/>
  <c r="AL300" i="22"/>
  <c r="F3785" i="22"/>
  <c r="D3779" i="22"/>
  <c r="D3788" i="22"/>
  <c r="E3785" i="22"/>
  <c r="H3591" i="22"/>
  <c r="G3593" i="22"/>
  <c r="F1827" i="22"/>
  <c r="G1807" i="22"/>
  <c r="L556" i="22"/>
  <c r="AA550" i="22"/>
  <c r="K354" i="22"/>
  <c r="G356" i="22"/>
  <c r="J354" i="22"/>
  <c r="N309" i="22"/>
  <c r="R306" i="22"/>
  <c r="R309" i="22" s="1"/>
  <c r="L80" i="22"/>
  <c r="M80" i="22"/>
  <c r="M81" i="22" s="1"/>
  <c r="L97" i="22"/>
  <c r="J81" i="22"/>
  <c r="M99" i="22"/>
  <c r="M104" i="22" s="1"/>
  <c r="I413" i="22" s="1"/>
  <c r="W85" i="22"/>
  <c r="AM2174" i="22"/>
  <c r="AE2174" i="22"/>
  <c r="O2174" i="22"/>
  <c r="G2174" i="22"/>
  <c r="R1028" i="22"/>
  <c r="L918" i="22"/>
  <c r="J309" i="22"/>
  <c r="D2241" i="22"/>
  <c r="I212" i="22"/>
  <c r="G2696" i="22"/>
  <c r="D2670" i="22"/>
  <c r="S1716" i="22"/>
  <c r="T1748" i="22" s="1"/>
  <c r="Y551" i="22"/>
  <c r="BF300" i="22"/>
  <c r="AM166" i="22"/>
  <c r="E1290" i="22"/>
  <c r="AJ551" i="22"/>
  <c r="O4666" i="22"/>
  <c r="D941" i="22"/>
  <c r="AF559" i="22"/>
  <c r="AI551" i="22"/>
  <c r="J99" i="22"/>
  <c r="J104" i="22" s="1"/>
  <c r="F413" i="22" s="1"/>
  <c r="N4643" i="22"/>
  <c r="E1366" i="22"/>
  <c r="P615" i="22"/>
  <c r="P650" i="22" s="1"/>
  <c r="Y550" i="22"/>
  <c r="J556" i="22"/>
  <c r="Q271" i="22"/>
  <c r="U271" i="22"/>
  <c r="H205" i="22"/>
  <c r="X224" i="22" s="1"/>
  <c r="F221" i="22"/>
  <c r="C4251" i="22"/>
  <c r="D4244" i="22" s="1"/>
  <c r="S1775" i="22"/>
  <c r="AC1775" i="22"/>
  <c r="D1813" i="22"/>
  <c r="D1803" i="22"/>
  <c r="I1814" i="22"/>
  <c r="T1717" i="22"/>
  <c r="U1749" i="22" s="1"/>
  <c r="E14" i="31"/>
  <c r="J1812" i="22"/>
  <c r="E11" i="31"/>
  <c r="D1712" i="22"/>
  <c r="S1713" i="22"/>
  <c r="D26" i="31"/>
  <c r="K2670" i="22"/>
  <c r="K2665" i="22"/>
  <c r="O2665" i="22"/>
  <c r="N2662" i="22"/>
  <c r="J2662" i="22"/>
  <c r="N2653" i="22"/>
  <c r="N2670" i="22"/>
  <c r="H2650" i="22"/>
  <c r="L2650" i="22"/>
  <c r="H2670" i="22"/>
  <c r="F406" i="22"/>
  <c r="H392" i="22"/>
  <c r="H1798" i="22"/>
  <c r="AC1770" i="22"/>
  <c r="H1804" i="22"/>
  <c r="AC1771" i="22"/>
  <c r="H1799" i="22"/>
  <c r="H1772" i="22"/>
  <c r="AC1776" i="22"/>
  <c r="H1803" i="22"/>
  <c r="H1805" i="22"/>
  <c r="I1364" i="22"/>
  <c r="K1364" i="22" s="1"/>
  <c r="J1364" i="22"/>
  <c r="L992" i="22"/>
  <c r="E994" i="22"/>
  <c r="Q255" i="22"/>
  <c r="E282" i="22" s="1"/>
  <c r="U255" i="22"/>
  <c r="I282" i="22" s="1"/>
  <c r="G411" i="22"/>
  <c r="G416" i="22" s="1"/>
  <c r="K95" i="22"/>
  <c r="K123" i="22" s="1"/>
  <c r="M2658" i="22"/>
  <c r="N2657" i="22"/>
  <c r="O2657" i="22" s="1"/>
  <c r="S1770" i="22"/>
  <c r="F1599" i="22"/>
  <c r="E1600" i="22"/>
  <c r="R1092" i="22"/>
  <c r="R1088" i="22"/>
  <c r="AA1088" i="22" s="1"/>
  <c r="E817" i="22"/>
  <c r="E777" i="22"/>
  <c r="M1760" i="22"/>
  <c r="M1752" i="22"/>
  <c r="M1759" i="22"/>
  <c r="I1710" i="22"/>
  <c r="I1759" i="22" s="1"/>
  <c r="M1764" i="22"/>
  <c r="C36" i="43"/>
  <c r="G3768" i="22"/>
  <c r="F3568" i="22"/>
  <c r="F3587" i="22"/>
  <c r="F3550" i="22"/>
  <c r="G3550" i="22"/>
  <c r="AC1777" i="22"/>
  <c r="V1093" i="22"/>
  <c r="D2395" i="22"/>
  <c r="M2662" i="22"/>
  <c r="Q2662" i="22"/>
  <c r="Q2650" i="22"/>
  <c r="F3166" i="22"/>
  <c r="F3158" i="22"/>
  <c r="Q1775" i="22"/>
  <c r="I1722" i="22"/>
  <c r="I1718" i="22"/>
  <c r="I1716" i="22" s="1"/>
  <c r="Y1719" i="22"/>
  <c r="N1722" i="22"/>
  <c r="B837" i="22"/>
  <c r="B818" i="22"/>
  <c r="B835" i="22"/>
  <c r="B816" i="22"/>
  <c r="B831" i="22"/>
  <c r="B1025" i="22" s="1"/>
  <c r="B812" i="22"/>
  <c r="B827" i="22"/>
  <c r="B1022" i="22" s="1"/>
  <c r="B808" i="22"/>
  <c r="K1710" i="22"/>
  <c r="K1757" i="22" s="1"/>
  <c r="O1712" i="22"/>
  <c r="E3409" i="22"/>
  <c r="G3408" i="22"/>
  <c r="I3408" i="22" s="1"/>
  <c r="E2052" i="22"/>
  <c r="E2036" i="22"/>
  <c r="E2034" i="22"/>
  <c r="L965" i="22"/>
  <c r="L969" i="22" s="1"/>
  <c r="L972" i="22" s="1"/>
  <c r="L961" i="22"/>
  <c r="E937" i="22"/>
  <c r="O927" i="22"/>
  <c r="R4114" i="22"/>
  <c r="R4113" i="22" s="1"/>
  <c r="L1745" i="22"/>
  <c r="L1743" i="22"/>
  <c r="I954" i="22"/>
  <c r="Q951" i="22" s="1"/>
  <c r="L951" i="22"/>
  <c r="AD729" i="22"/>
  <c r="AE729" i="22"/>
  <c r="AH729" i="22"/>
  <c r="E324" i="22"/>
  <c r="E326" i="22" s="1"/>
  <c r="E343" i="22"/>
  <c r="AE16" i="22"/>
  <c r="AC16" i="22"/>
  <c r="AF16" i="22"/>
  <c r="R16" i="22"/>
  <c r="BC301" i="22"/>
  <c r="BC309" i="22" s="1"/>
  <c r="BB301" i="22"/>
  <c r="BB309" i="22" s="1"/>
  <c r="BG300" i="22"/>
  <c r="BF301" i="22"/>
  <c r="BF309" i="22" s="1"/>
  <c r="BA301" i="22"/>
  <c r="BA309" i="22" s="1"/>
  <c r="AY301" i="22"/>
  <c r="AY309" i="22" s="1"/>
  <c r="AZ301" i="22"/>
  <c r="AZ309" i="22" s="1"/>
  <c r="AM300" i="22"/>
  <c r="AS301" i="22"/>
  <c r="AS309" i="22" s="1"/>
  <c r="AV301" i="22"/>
  <c r="AV309" i="22" s="1"/>
  <c r="AQ301" i="22"/>
  <c r="AQ309" i="22" s="1"/>
  <c r="AN301" i="22"/>
  <c r="AN309" i="22" s="1"/>
  <c r="AT301" i="22"/>
  <c r="AT309" i="22" s="1"/>
  <c r="AR301" i="22"/>
  <c r="AR309" i="22" s="1"/>
  <c r="AW301" i="22"/>
  <c r="AW309" i="22" s="1"/>
  <c r="AM301" i="22"/>
  <c r="AM309" i="22" s="1"/>
  <c r="AO301" i="22"/>
  <c r="AO309" i="22" s="1"/>
  <c r="AG301" i="22"/>
  <c r="AG309" i="22" s="1"/>
  <c r="BA303" i="22"/>
  <c r="X300" i="22"/>
  <c r="AY303" i="22"/>
  <c r="BD303" i="22"/>
  <c r="AH301" i="22"/>
  <c r="AH309" i="22" s="1"/>
  <c r="AF301" i="22"/>
  <c r="AF309" i="22" s="1"/>
  <c r="AI301" i="22"/>
  <c r="AI309" i="22" s="1"/>
  <c r="BE303" i="22"/>
  <c r="AJ301" i="22"/>
  <c r="AJ309" i="22" s="1"/>
  <c r="AX303" i="22"/>
  <c r="AW303" i="22" s="1"/>
  <c r="AV303" i="22" s="1"/>
  <c r="AU303" i="22" s="1"/>
  <c r="AT303" i="22" s="1"/>
  <c r="AS303" i="22" s="1"/>
  <c r="AR303" i="22" s="1"/>
  <c r="AQ303" i="22" s="1"/>
  <c r="AP303" i="22" s="1"/>
  <c r="AO303" i="22" s="1"/>
  <c r="AN303" i="22" s="1"/>
  <c r="AM303" i="22" s="1"/>
  <c r="AL303" i="22" s="1"/>
  <c r="AK303" i="22" s="1"/>
  <c r="AJ303" i="22" s="1"/>
  <c r="AI303" i="22" s="1"/>
  <c r="AH303" i="22" s="1"/>
  <c r="AG303" i="22" s="1"/>
  <c r="AF303" i="22" s="1"/>
  <c r="AE303" i="22" s="1"/>
  <c r="AD303" i="22" s="1"/>
  <c r="AC303" i="22" s="1"/>
  <c r="AB303" i="22" s="1"/>
  <c r="AA303" i="22" s="1"/>
  <c r="Z303" i="22" s="1"/>
  <c r="Y303" i="22" s="1"/>
  <c r="X303" i="22" s="1"/>
  <c r="W303" i="22" s="1"/>
  <c r="V303" i="22" s="1"/>
  <c r="U303" i="22" s="1"/>
  <c r="T303" i="22" s="1"/>
  <c r="S303" i="22" s="1"/>
  <c r="R303" i="22" s="1"/>
  <c r="Q303" i="22" s="1"/>
  <c r="C4390" i="22"/>
  <c r="C4392" i="22" s="1"/>
  <c r="Q4675" i="22"/>
  <c r="F1404" i="22"/>
  <c r="M923" i="22"/>
  <c r="Q309" i="22"/>
  <c r="G2693" i="22"/>
  <c r="H2896" i="22"/>
  <c r="AD552" i="22"/>
  <c r="L1744" i="22"/>
  <c r="E3377" i="22"/>
  <c r="Z552" i="22"/>
  <c r="F2411" i="22"/>
  <c r="F2412" i="22" s="1"/>
  <c r="D3305" i="22"/>
  <c r="F3595" i="22"/>
  <c r="G3595" i="22" s="1"/>
  <c r="H3595" i="22" s="1"/>
  <c r="G3576" i="22"/>
  <c r="G3553" i="22"/>
  <c r="F3552" i="22"/>
  <c r="F3554" i="22" s="1"/>
  <c r="G2147" i="22"/>
  <c r="Q2139" i="22"/>
  <c r="H2125" i="22"/>
  <c r="I2125" i="22" s="1"/>
  <c r="E2514" i="22"/>
  <c r="D2515" i="22"/>
  <c r="D2526" i="22" s="1"/>
  <c r="D2528" i="22"/>
  <c r="D2529" i="22" s="1"/>
  <c r="G2587" i="22"/>
  <c r="H2587" i="22" s="1"/>
  <c r="I2587" i="22" s="1"/>
  <c r="F2592" i="22"/>
  <c r="F3431" i="22"/>
  <c r="G3421" i="22"/>
  <c r="G3431" i="22" s="1"/>
  <c r="K1804" i="22"/>
  <c r="E2223" i="22"/>
  <c r="E2228" i="22" s="1"/>
  <c r="E2229" i="22" s="1"/>
  <c r="P15" i="22"/>
  <c r="AF15" i="22" s="1"/>
  <c r="E23" i="22"/>
  <c r="H23" i="22" s="1"/>
  <c r="BH15" i="22"/>
  <c r="BI15" i="22"/>
  <c r="BL15" i="22"/>
  <c r="D13" i="13"/>
  <c r="D1386" i="22"/>
  <c r="G11" i="40"/>
  <c r="P119" i="15"/>
  <c r="K82" i="15"/>
  <c r="E23" i="13"/>
  <c r="H13" i="15"/>
  <c r="M113" i="15"/>
  <c r="M28" i="15"/>
  <c r="Y26" i="15"/>
  <c r="D1853" i="22"/>
  <c r="J74" i="15"/>
  <c r="G2348" i="22"/>
  <c r="I2342" i="22"/>
  <c r="G2343" i="22"/>
  <c r="U21" i="15"/>
  <c r="F3047" i="22"/>
  <c r="BT57" i="2"/>
  <c r="F3051" i="22"/>
  <c r="AA452" i="38"/>
  <c r="H2988" i="22"/>
  <c r="L3078" i="22" l="1"/>
  <c r="AK183" i="19"/>
  <c r="J184" i="19"/>
  <c r="J212" i="19"/>
  <c r="G180" i="14"/>
  <c r="H5" i="1"/>
  <c r="H313" i="1" s="1"/>
  <c r="P88" i="15"/>
  <c r="Q12" i="1"/>
  <c r="Q14" i="1" s="1"/>
  <c r="Q60" i="1" s="1"/>
  <c r="Q66" i="1" s="1"/>
  <c r="F2282" i="22"/>
  <c r="J253" i="19"/>
  <c r="J243" i="19" s="1"/>
  <c r="N104" i="1"/>
  <c r="F16" i="1"/>
  <c r="F419" i="1"/>
  <c r="F7" i="1"/>
  <c r="F317" i="1"/>
  <c r="F301" i="1"/>
  <c r="F313" i="1"/>
  <c r="F305" i="1"/>
  <c r="F309" i="1"/>
  <c r="F340" i="1"/>
  <c r="V544" i="1"/>
  <c r="V656" i="1"/>
  <c r="J22" i="15"/>
  <c r="J88" i="15" s="1"/>
  <c r="H202" i="1"/>
  <c r="H97" i="1" s="1"/>
  <c r="H104" i="1" s="1"/>
  <c r="H111" i="1" s="1"/>
  <c r="H426" i="1" s="1"/>
  <c r="P104" i="1"/>
  <c r="G16" i="1"/>
  <c r="G313" i="1"/>
  <c r="G301" i="1"/>
  <c r="G7" i="1"/>
  <c r="G305" i="1"/>
  <c r="G419" i="1"/>
  <c r="G309" i="1"/>
  <c r="G317" i="1"/>
  <c r="G340" i="1"/>
  <c r="W628" i="1"/>
  <c r="W619" i="1" s="1"/>
  <c r="R120" i="15"/>
  <c r="R12" i="1"/>
  <c r="R14" i="1" s="1"/>
  <c r="S22" i="15"/>
  <c r="S88" i="15" s="1"/>
  <c r="Q202" i="1"/>
  <c r="Q97" i="1" s="1"/>
  <c r="Q104" i="1" s="1"/>
  <c r="V146" i="15"/>
  <c r="T288" i="1"/>
  <c r="T11" i="1"/>
  <c r="T165" i="1" s="1"/>
  <c r="T169" i="1" s="1"/>
  <c r="U146" i="15"/>
  <c r="S288" i="1"/>
  <c r="S11" i="1"/>
  <c r="S165" i="1" s="1"/>
  <c r="S169" i="1" s="1"/>
  <c r="D443" i="37"/>
  <c r="D103" i="37"/>
  <c r="G257" i="25"/>
  <c r="G262" i="25" s="1"/>
  <c r="C64" i="46"/>
  <c r="C35" i="46" s="1"/>
  <c r="D4560" i="22"/>
  <c r="E103" i="37"/>
  <c r="E364" i="37"/>
  <c r="G101" i="35"/>
  <c r="B251" i="38"/>
  <c r="C123" i="37" s="1"/>
  <c r="B328" i="38"/>
  <c r="B253" i="38"/>
  <c r="C125" i="37" s="1"/>
  <c r="F99" i="37"/>
  <c r="Q86" i="38" s="1"/>
  <c r="P137" i="37"/>
  <c r="Q137" i="37" s="1"/>
  <c r="Q155" i="37" s="1"/>
  <c r="BN269" i="38"/>
  <c r="BN270" i="38" s="1"/>
  <c r="H23" i="37"/>
  <c r="W135" i="15" s="1"/>
  <c r="AH19" i="37"/>
  <c r="G23" i="37"/>
  <c r="U142" i="15"/>
  <c r="H1758" i="22"/>
  <c r="H1760" i="22"/>
  <c r="H1754" i="22"/>
  <c r="H1711" i="22"/>
  <c r="H1715" i="22" s="1"/>
  <c r="H185" i="12"/>
  <c r="H1755" i="22"/>
  <c r="H1759" i="22"/>
  <c r="G185" i="12"/>
  <c r="N83" i="15"/>
  <c r="N84" i="15" s="1"/>
  <c r="F5" i="35"/>
  <c r="F26" i="35" s="1"/>
  <c r="F52" i="35" s="1"/>
  <c r="E3561" i="22"/>
  <c r="E3564" i="22" s="1"/>
  <c r="E3293" i="22"/>
  <c r="V18" i="15"/>
  <c r="F2917" i="22"/>
  <c r="F2929" i="22" s="1"/>
  <c r="D3412" i="22"/>
  <c r="D3432" i="22" s="1"/>
  <c r="E3142" i="22"/>
  <c r="R28" i="36"/>
  <c r="R30" i="36" s="1"/>
  <c r="R32" i="36" s="1"/>
  <c r="E3294" i="22" s="1"/>
  <c r="E3607" i="22"/>
  <c r="CY208" i="2"/>
  <c r="CU246" i="2" s="1"/>
  <c r="I2601" i="22" s="1"/>
  <c r="L4667" i="22"/>
  <c r="F116" i="37"/>
  <c r="F117" i="37"/>
  <c r="E116" i="37"/>
  <c r="G116" i="37"/>
  <c r="F3108" i="22"/>
  <c r="E2917" i="22"/>
  <c r="E2929" i="22" s="1"/>
  <c r="D3293" i="22"/>
  <c r="D3561" i="22"/>
  <c r="D3564" i="22" s="1"/>
  <c r="D3607" i="22"/>
  <c r="D3273" i="22"/>
  <c r="D3287" i="22" s="1"/>
  <c r="U18" i="15"/>
  <c r="F2870" i="22"/>
  <c r="F2882" i="22" s="1"/>
  <c r="D3142" i="22"/>
  <c r="B4669" i="22"/>
  <c r="B49" i="42"/>
  <c r="L4668" i="22"/>
  <c r="L4666" i="22"/>
  <c r="C226" i="37"/>
  <c r="G4669" i="22"/>
  <c r="L4669" i="22" s="1"/>
  <c r="AO279" i="38"/>
  <c r="C333" i="37"/>
  <c r="M179" i="12"/>
  <c r="CZ278" i="2"/>
  <c r="CZ295" i="2" s="1"/>
  <c r="CZ315" i="2" s="1"/>
  <c r="C172" i="37"/>
  <c r="C195" i="37" s="1"/>
  <c r="C219" i="37" s="1"/>
  <c r="C238" i="37" s="1"/>
  <c r="C166" i="37"/>
  <c r="AC4" i="37"/>
  <c r="AO4" i="37" s="1"/>
  <c r="J52" i="4"/>
  <c r="AQ311" i="2" s="1"/>
  <c r="F174" i="27"/>
  <c r="F182" i="27" s="1"/>
  <c r="Q308" i="38"/>
  <c r="F195" i="37" s="1"/>
  <c r="M357" i="38"/>
  <c r="AD45" i="38"/>
  <c r="BW357" i="38" s="1"/>
  <c r="BW364" i="38" s="1"/>
  <c r="BX357" i="38"/>
  <c r="AF348" i="38" s="1"/>
  <c r="AC308" i="38"/>
  <c r="AC387" i="38" s="1"/>
  <c r="AC376" i="38" s="1"/>
  <c r="BV357" i="38"/>
  <c r="AC348" i="38" s="1"/>
  <c r="AS425" i="19"/>
  <c r="AS436" i="19" s="1"/>
  <c r="AB9" i="38"/>
  <c r="AB185" i="38" s="1"/>
  <c r="U951" i="38" s="1"/>
  <c r="AC189" i="38"/>
  <c r="AC282" i="38"/>
  <c r="E2038" i="22"/>
  <c r="I245" i="25"/>
  <c r="I335" i="25" s="1"/>
  <c r="G335" i="25"/>
  <c r="AC34" i="38"/>
  <c r="AC211" i="38" s="1"/>
  <c r="H326" i="25"/>
  <c r="I326" i="25"/>
  <c r="AQ487" i="2"/>
  <c r="AB13" i="38"/>
  <c r="AB189" i="38" s="1"/>
  <c r="D110" i="43"/>
  <c r="AS226" i="2"/>
  <c r="AS329" i="2" s="1"/>
  <c r="F2" i="4"/>
  <c r="O366" i="15"/>
  <c r="AR333" i="2"/>
  <c r="CL252" i="2" s="1"/>
  <c r="CL264" i="2" s="1"/>
  <c r="K2922" i="22"/>
  <c r="CT139" i="2"/>
  <c r="BZ120" i="2"/>
  <c r="J165" i="19"/>
  <c r="J163" i="19" s="1"/>
  <c r="AP64" i="2"/>
  <c r="I1290" i="22"/>
  <c r="I1293" i="22" s="1"/>
  <c r="E2039" i="22"/>
  <c r="E2056" i="22" s="1"/>
  <c r="H35" i="25"/>
  <c r="H58" i="25" s="1"/>
  <c r="H60" i="25" s="1"/>
  <c r="I106" i="25" s="1"/>
  <c r="P412" i="15"/>
  <c r="D267" i="25"/>
  <c r="D254" i="25" s="1"/>
  <c r="E255" i="25" s="1"/>
  <c r="E16" i="35"/>
  <c r="M124" i="4"/>
  <c r="G186" i="12"/>
  <c r="D18" i="35"/>
  <c r="D21" i="35" s="1"/>
  <c r="CI304" i="2"/>
  <c r="C70" i="36"/>
  <c r="C14" i="36" s="1"/>
  <c r="S14" i="36" s="1"/>
  <c r="G188" i="12"/>
  <c r="H59" i="13"/>
  <c r="H72" i="13" s="1"/>
  <c r="L102" i="27"/>
  <c r="L118" i="27" s="1"/>
  <c r="L133" i="27" s="1"/>
  <c r="J112" i="36"/>
  <c r="P165" i="12" s="1"/>
  <c r="P241" i="10"/>
  <c r="P250" i="10" s="1"/>
  <c r="O128" i="10"/>
  <c r="AR437" i="19"/>
  <c r="K103" i="36"/>
  <c r="F202" i="36" s="1"/>
  <c r="K418" i="19"/>
  <c r="K419" i="19"/>
  <c r="M558" i="22"/>
  <c r="Y65" i="36"/>
  <c r="AE147" i="33"/>
  <c r="O157" i="10"/>
  <c r="O141" i="10" s="1"/>
  <c r="G146" i="46"/>
  <c r="H146" i="46"/>
  <c r="I8" i="43"/>
  <c r="I41" i="43" s="1"/>
  <c r="I45" i="43" s="1"/>
  <c r="G49" i="4"/>
  <c r="AB310" i="2" s="1"/>
  <c r="I1263" i="22"/>
  <c r="I1265" i="22" s="1"/>
  <c r="G302" i="25"/>
  <c r="BD355" i="2"/>
  <c r="G128" i="11"/>
  <c r="AI479" i="2"/>
  <c r="G1158" i="22" s="1"/>
  <c r="G52" i="11"/>
  <c r="E348" i="25"/>
  <c r="E350" i="25" s="1"/>
  <c r="CS260" i="2"/>
  <c r="I60" i="38"/>
  <c r="I316" i="38" s="1"/>
  <c r="I392" i="38" s="1"/>
  <c r="BE226" i="2"/>
  <c r="E75" i="4"/>
  <c r="CC283" i="2"/>
  <c r="J278" i="22" s="1"/>
  <c r="E69" i="36"/>
  <c r="E13" i="36" s="1"/>
  <c r="U13" i="36" s="1"/>
  <c r="I99" i="43"/>
  <c r="I93" i="43" s="1"/>
  <c r="H93" i="27"/>
  <c r="H150" i="27"/>
  <c r="H195" i="27" s="1"/>
  <c r="H90" i="27"/>
  <c r="C155" i="27"/>
  <c r="C196" i="27" s="1"/>
  <c r="AP23" i="2"/>
  <c r="V151" i="2"/>
  <c r="J424" i="19" s="1"/>
  <c r="I424" i="19" s="1"/>
  <c r="I425" i="19" s="1"/>
  <c r="I437" i="19" s="1"/>
  <c r="B207" i="36"/>
  <c r="B227" i="36" s="1"/>
  <c r="W226" i="2"/>
  <c r="O389" i="15"/>
  <c r="AQ495" i="2"/>
  <c r="I44" i="22"/>
  <c r="I49" i="22" s="1"/>
  <c r="I86" i="22" s="1"/>
  <c r="I87" i="22" s="1"/>
  <c r="V316" i="2"/>
  <c r="BY316" i="2" s="1"/>
  <c r="G10" i="27"/>
  <c r="G42" i="27" s="1"/>
  <c r="T23" i="2"/>
  <c r="T24" i="2" s="1"/>
  <c r="G2602" i="22"/>
  <c r="DA263" i="2"/>
  <c r="G61" i="11"/>
  <c r="CP260" i="2"/>
  <c r="Y81" i="35"/>
  <c r="W21" i="15"/>
  <c r="AL310" i="2"/>
  <c r="J1366" i="22"/>
  <c r="BK425" i="19"/>
  <c r="AK452" i="19" s="1"/>
  <c r="D37" i="4"/>
  <c r="AK437" i="19"/>
  <c r="J88" i="27"/>
  <c r="J27" i="19"/>
  <c r="K47" i="11"/>
  <c r="K179" i="12"/>
  <c r="J28" i="19"/>
  <c r="H95" i="27"/>
  <c r="I22" i="19"/>
  <c r="CC287" i="2"/>
  <c r="P82" i="15"/>
  <c r="E29" i="12"/>
  <c r="K81" i="12"/>
  <c r="F173" i="27"/>
  <c r="S290" i="2"/>
  <c r="L345" i="3" s="1"/>
  <c r="L363" i="3" s="1"/>
  <c r="F5" i="25"/>
  <c r="AE150" i="33"/>
  <c r="AE131" i="33"/>
  <c r="AE142" i="33"/>
  <c r="AE141" i="33"/>
  <c r="AE133" i="33"/>
  <c r="T290" i="2"/>
  <c r="M345" i="3" s="1"/>
  <c r="Q349" i="3" s="1"/>
  <c r="G187" i="12"/>
  <c r="G1316" i="22"/>
  <c r="G1317" i="22" s="1"/>
  <c r="AC144" i="33"/>
  <c r="G190" i="12"/>
  <c r="CL166" i="2"/>
  <c r="V62" i="36"/>
  <c r="G183" i="36" s="1"/>
  <c r="C157" i="33"/>
  <c r="H181" i="12"/>
  <c r="J104" i="4"/>
  <c r="N119" i="25"/>
  <c r="N120" i="25" s="1"/>
  <c r="E347" i="25"/>
  <c r="I2262" i="22"/>
  <c r="I2265" i="22" s="1"/>
  <c r="M34" i="11"/>
  <c r="M38" i="11" s="1"/>
  <c r="M56" i="11" s="1"/>
  <c r="AN470" i="2"/>
  <c r="H8" i="27"/>
  <c r="H40" i="27" s="1"/>
  <c r="K434" i="19"/>
  <c r="Q5" i="11"/>
  <c r="R5" i="11" s="1"/>
  <c r="R32" i="11" s="1"/>
  <c r="G45" i="19"/>
  <c r="T320" i="15"/>
  <c r="CH120" i="2"/>
  <c r="I45" i="22"/>
  <c r="I50" i="22" s="1"/>
  <c r="CY278" i="2"/>
  <c r="CY295" i="2" s="1"/>
  <c r="CY315" i="2" s="1"/>
  <c r="E2893" i="22"/>
  <c r="N451" i="19"/>
  <c r="N457" i="19" s="1"/>
  <c r="AO436" i="19"/>
  <c r="AE144" i="33"/>
  <c r="E117" i="12"/>
  <c r="AE137" i="33"/>
  <c r="CU143" i="2"/>
  <c r="DG143" i="2" s="1"/>
  <c r="AE136" i="33"/>
  <c r="AE138" i="33"/>
  <c r="K302" i="15"/>
  <c r="K303" i="15" s="1"/>
  <c r="K304" i="15" s="1"/>
  <c r="CL172" i="2"/>
  <c r="CE278" i="2"/>
  <c r="CE295" i="2" s="1"/>
  <c r="CE315" i="2" s="1"/>
  <c r="BI344" i="2"/>
  <c r="BI342" i="2"/>
  <c r="F28" i="38"/>
  <c r="F295" i="38" s="1"/>
  <c r="AE134" i="33"/>
  <c r="E63" i="36"/>
  <c r="AK435" i="19"/>
  <c r="AQ494" i="2"/>
  <c r="CI286" i="2"/>
  <c r="K89" i="10"/>
  <c r="CL165" i="2"/>
  <c r="BC439" i="19"/>
  <c r="D59" i="36"/>
  <c r="D3" i="36" s="1"/>
  <c r="D25" i="38" s="1"/>
  <c r="D292" i="38" s="1"/>
  <c r="P320" i="15"/>
  <c r="AV492" i="2"/>
  <c r="U36" i="19"/>
  <c r="U34" i="19" s="1"/>
  <c r="G7" i="36"/>
  <c r="C166" i="36" s="1"/>
  <c r="J67" i="35"/>
  <c r="J68" i="35" s="1"/>
  <c r="R556" i="22"/>
  <c r="N127" i="25"/>
  <c r="N139" i="25" s="1"/>
  <c r="N140" i="25" s="1"/>
  <c r="N142" i="25" s="1"/>
  <c r="AK444" i="19"/>
  <c r="AQ491" i="2"/>
  <c r="L434" i="19"/>
  <c r="L439" i="19"/>
  <c r="L446" i="19" s="1"/>
  <c r="BN442" i="19"/>
  <c r="AF369" i="2"/>
  <c r="AF384" i="2" s="1"/>
  <c r="B204" i="36"/>
  <c r="B224" i="36" s="1"/>
  <c r="CF287" i="2"/>
  <c r="AE151" i="33"/>
  <c r="AE132" i="33"/>
  <c r="X77" i="35"/>
  <c r="BI355" i="2"/>
  <c r="AF389" i="2"/>
  <c r="AY479" i="2"/>
  <c r="BI226" i="2"/>
  <c r="AG439" i="19"/>
  <c r="AG446" i="19" s="1"/>
  <c r="AG434" i="19"/>
  <c r="C24" i="38"/>
  <c r="C61" i="38" s="1"/>
  <c r="C317" i="38" s="1"/>
  <c r="H173" i="27"/>
  <c r="CA285" i="2"/>
  <c r="K104" i="4"/>
  <c r="BY283" i="2"/>
  <c r="G250" i="22" s="1"/>
  <c r="O56" i="11"/>
  <c r="AX470" i="2"/>
  <c r="BF358" i="2"/>
  <c r="G4" i="25"/>
  <c r="G5" i="25" s="1"/>
  <c r="J173" i="19"/>
  <c r="E28" i="38"/>
  <c r="E295" i="38" s="1"/>
  <c r="CX312" i="2"/>
  <c r="CX316" i="2" s="1"/>
  <c r="CS250" i="2" s="1"/>
  <c r="U6" i="36"/>
  <c r="CG287" i="2"/>
  <c r="AZ313" i="2"/>
  <c r="CS143" i="2"/>
  <c r="O45" i="4"/>
  <c r="L171" i="27" s="1"/>
  <c r="P157" i="10"/>
  <c r="P141" i="10" s="1"/>
  <c r="AV491" i="2"/>
  <c r="AU144" i="2"/>
  <c r="P117" i="10"/>
  <c r="CU275" i="2"/>
  <c r="DJ266" i="2" s="1"/>
  <c r="AP242" i="2"/>
  <c r="AP390" i="2" s="1"/>
  <c r="L52" i="35"/>
  <c r="AD28" i="35" s="1"/>
  <c r="AD29" i="35" s="1"/>
  <c r="AE28" i="35" s="1"/>
  <c r="G60" i="25"/>
  <c r="G102" i="25" s="1"/>
  <c r="L13" i="27"/>
  <c r="L45" i="27" s="1"/>
  <c r="AO35" i="2"/>
  <c r="AO50" i="2" s="1"/>
  <c r="AO58" i="2" s="1"/>
  <c r="AO61" i="2" s="1"/>
  <c r="AW470" i="2"/>
  <c r="G56" i="5"/>
  <c r="H57" i="5" s="1"/>
  <c r="H67" i="5" s="1"/>
  <c r="U290" i="2"/>
  <c r="N345" i="3" s="1"/>
  <c r="N363" i="3" s="1"/>
  <c r="G62" i="5"/>
  <c r="G63" i="5" s="1"/>
  <c r="AM471" i="2"/>
  <c r="H2025" i="22" s="1"/>
  <c r="Y71" i="36"/>
  <c r="E256" i="25"/>
  <c r="B181" i="36"/>
  <c r="V6" i="36"/>
  <c r="G60" i="5"/>
  <c r="Y367" i="2"/>
  <c r="AD367" i="2"/>
  <c r="F255" i="25"/>
  <c r="I177" i="19"/>
  <c r="AJ480" i="2"/>
  <c r="F2026" i="22" s="1"/>
  <c r="G73" i="27"/>
  <c r="G81" i="27" s="1"/>
  <c r="J23" i="38"/>
  <c r="J290" i="38" s="1"/>
  <c r="F2" i="12"/>
  <c r="J72" i="36"/>
  <c r="E72" i="36" s="1"/>
  <c r="E16" i="36" s="1"/>
  <c r="E266" i="25"/>
  <c r="E252" i="25" s="1"/>
  <c r="F253" i="25" s="1"/>
  <c r="AT226" i="2"/>
  <c r="AT329" i="2" s="1"/>
  <c r="AR436" i="19"/>
  <c r="E523" i="22"/>
  <c r="Y16" i="36"/>
  <c r="V147" i="12"/>
  <c r="V149" i="12" s="1"/>
  <c r="E107" i="12"/>
  <c r="E126" i="12"/>
  <c r="E135" i="12" s="1"/>
  <c r="BB489" i="2"/>
  <c r="BB470" i="2" s="1"/>
  <c r="G54" i="5"/>
  <c r="CV222" i="2"/>
  <c r="L16" i="36"/>
  <c r="P94" i="12" s="1"/>
  <c r="E1301" i="22"/>
  <c r="L39" i="27"/>
  <c r="I104" i="27"/>
  <c r="I120" i="27" s="1"/>
  <c r="J135" i="27" s="1"/>
  <c r="D24" i="11"/>
  <c r="AC142" i="33"/>
  <c r="AC131" i="33"/>
  <c r="AH45" i="19"/>
  <c r="H115" i="36"/>
  <c r="H151" i="36" s="1"/>
  <c r="C236" i="36" s="1"/>
  <c r="AQ490" i="2"/>
  <c r="AC132" i="33"/>
  <c r="F171" i="36"/>
  <c r="AC139" i="33"/>
  <c r="DJ140" i="2"/>
  <c r="G100" i="43"/>
  <c r="H325" i="22"/>
  <c r="H345" i="22" s="1"/>
  <c r="E2024" i="22"/>
  <c r="X64" i="36"/>
  <c r="I185" i="36" s="1"/>
  <c r="F1316" i="22"/>
  <c r="F1317" i="22" s="1"/>
  <c r="L12" i="36"/>
  <c r="L25" i="36" s="1"/>
  <c r="AK471" i="2"/>
  <c r="G2025" i="22" s="1"/>
  <c r="AC147" i="33"/>
  <c r="F30" i="4"/>
  <c r="F89" i="4" s="1"/>
  <c r="W222" i="2"/>
  <c r="V328" i="2"/>
  <c r="CL163" i="2"/>
  <c r="J239" i="19"/>
  <c r="I23" i="10"/>
  <c r="L181" i="12"/>
  <c r="AC134" i="33"/>
  <c r="M557" i="22"/>
  <c r="AK144" i="2"/>
  <c r="AC34" i="35"/>
  <c r="J35" i="35"/>
  <c r="J46" i="35" s="1"/>
  <c r="J47" i="35" s="1"/>
  <c r="D1585" i="22"/>
  <c r="AD1771" i="22"/>
  <c r="D2039" i="22"/>
  <c r="D2056" i="22" s="1"/>
  <c r="BM28" i="2"/>
  <c r="BM29" i="2" s="1"/>
  <c r="G29" i="19"/>
  <c r="K171" i="12"/>
  <c r="K172" i="12" s="1"/>
  <c r="K173" i="12" s="1"/>
  <c r="G15" i="27"/>
  <c r="G47" i="27" s="1"/>
  <c r="H353" i="2"/>
  <c r="D45" i="43"/>
  <c r="D50" i="43" s="1"/>
  <c r="D52" i="43" s="1"/>
  <c r="AR470" i="2"/>
  <c r="BB143" i="2"/>
  <c r="BB145" i="2" s="1"/>
  <c r="BM349" i="2"/>
  <c r="L295" i="38"/>
  <c r="E178" i="37" s="1"/>
  <c r="E1799" i="22"/>
  <c r="AD1776" i="22"/>
  <c r="N181" i="12"/>
  <c r="F21" i="43"/>
  <c r="AL444" i="19"/>
  <c r="BM24" i="2"/>
  <c r="AE214" i="33" s="1"/>
  <c r="AQ437" i="19"/>
  <c r="G23" i="19"/>
  <c r="O299" i="15" s="1"/>
  <c r="H29" i="19"/>
  <c r="K169" i="12"/>
  <c r="K13" i="12"/>
  <c r="L13" i="12" s="1"/>
  <c r="G417" i="19"/>
  <c r="E50" i="43"/>
  <c r="E52" i="43" s="1"/>
  <c r="W71" i="36"/>
  <c r="H193" i="36" s="1"/>
  <c r="AH17" i="2"/>
  <c r="AH35" i="2" s="1"/>
  <c r="AH50" i="2" s="1"/>
  <c r="AH64" i="2" s="1"/>
  <c r="AE24" i="2"/>
  <c r="O58" i="2"/>
  <c r="O61" i="2" s="1"/>
  <c r="E1772" i="22"/>
  <c r="E1800" i="22" s="1"/>
  <c r="G22" i="19"/>
  <c r="I1363" i="22"/>
  <c r="K1363" i="22" s="1"/>
  <c r="L1363" i="22" s="1"/>
  <c r="M1363" i="22" s="1"/>
  <c r="AL435" i="19"/>
  <c r="BP425" i="19"/>
  <c r="AP452" i="19" s="1"/>
  <c r="BD421" i="19"/>
  <c r="BD439" i="19" s="1"/>
  <c r="AH286" i="2"/>
  <c r="CH286" i="2" s="1"/>
  <c r="G27" i="19"/>
  <c r="CM284" i="2"/>
  <c r="N119" i="36"/>
  <c r="N154" i="36" s="1"/>
  <c r="AD199" i="33"/>
  <c r="CL312" i="2"/>
  <c r="CL316" i="2" s="1"/>
  <c r="CH250" i="2" s="1"/>
  <c r="O21" i="4"/>
  <c r="AQ493" i="2"/>
  <c r="BW295" i="2"/>
  <c r="BW315" i="2" s="1"/>
  <c r="H415" i="19"/>
  <c r="O504" i="15"/>
  <c r="AL436" i="19"/>
  <c r="AQ436" i="19"/>
  <c r="G28" i="19"/>
  <c r="Q79" i="12"/>
  <c r="R79" i="12" s="1"/>
  <c r="S79" i="12" s="1"/>
  <c r="T79" i="12" s="1"/>
  <c r="U79" i="12" s="1"/>
  <c r="V79" i="12" s="1"/>
  <c r="W79" i="12" s="1"/>
  <c r="X79" i="12" s="1"/>
  <c r="Y79" i="12" s="1"/>
  <c r="Z79" i="12" s="1"/>
  <c r="AA79" i="12" s="1"/>
  <c r="Q289" i="2"/>
  <c r="AL451" i="19"/>
  <c r="AL457" i="19" s="1"/>
  <c r="AH470" i="2"/>
  <c r="F1157" i="22" s="1"/>
  <c r="CF282" i="2"/>
  <c r="D2233" i="22"/>
  <c r="DB278" i="2"/>
  <c r="DB295" i="2" s="1"/>
  <c r="DB315" i="2" s="1"/>
  <c r="T1770" i="22"/>
  <c r="AD1770" i="22"/>
  <c r="AV126" i="2"/>
  <c r="BP310" i="2"/>
  <c r="F106" i="27"/>
  <c r="F122" i="27" s="1"/>
  <c r="BX285" i="2"/>
  <c r="AQ131" i="2"/>
  <c r="CP131" i="2" s="1"/>
  <c r="P290" i="2"/>
  <c r="M439" i="19"/>
  <c r="M446" i="19" s="1"/>
  <c r="E524" i="22"/>
  <c r="AS460" i="19"/>
  <c r="AS461" i="19" s="1"/>
  <c r="U62" i="36"/>
  <c r="F183" i="36" s="1"/>
  <c r="G173" i="27"/>
  <c r="K34" i="11"/>
  <c r="K38" i="11" s="1"/>
  <c r="CB283" i="2"/>
  <c r="J250" i="22" s="1"/>
  <c r="BV285" i="2"/>
  <c r="BB485" i="2"/>
  <c r="BB466" i="2" s="1"/>
  <c r="F63" i="5"/>
  <c r="F64" i="5" s="1"/>
  <c r="BW285" i="2"/>
  <c r="X64" i="2"/>
  <c r="E1803" i="22"/>
  <c r="E1805" i="22"/>
  <c r="E1804" i="22"/>
  <c r="X290" i="2"/>
  <c r="P345" i="3" s="1"/>
  <c r="P347" i="3" s="1"/>
  <c r="AV483" i="2"/>
  <c r="Q61" i="25"/>
  <c r="Q103" i="25" s="1"/>
  <c r="H65" i="43"/>
  <c r="H78" i="43" s="1"/>
  <c r="E1313" i="22"/>
  <c r="E1314" i="22" s="1"/>
  <c r="M49" i="4"/>
  <c r="J173" i="27" s="1"/>
  <c r="BX143" i="2"/>
  <c r="K181" i="12"/>
  <c r="BY285" i="2"/>
  <c r="CW275" i="2"/>
  <c r="DL266" i="2" s="1"/>
  <c r="Z52" i="35"/>
  <c r="AP327" i="2"/>
  <c r="K65" i="38"/>
  <c r="K321" i="38" s="1"/>
  <c r="K397" i="38" s="1"/>
  <c r="AC21" i="38"/>
  <c r="H290" i="38"/>
  <c r="G66" i="38"/>
  <c r="D73" i="37" s="1"/>
  <c r="D111" i="37" s="1"/>
  <c r="AE21" i="38"/>
  <c r="J295" i="38"/>
  <c r="J294" i="38"/>
  <c r="H61" i="38"/>
  <c r="H317" i="38" s="1"/>
  <c r="H393" i="38" s="1"/>
  <c r="I5" i="27"/>
  <c r="I37" i="27" s="1"/>
  <c r="E110" i="43"/>
  <c r="H343" i="22"/>
  <c r="H23" i="12"/>
  <c r="G7" i="4" s="1"/>
  <c r="BV287" i="2"/>
  <c r="F355" i="2"/>
  <c r="BC313" i="2"/>
  <c r="T122" i="15"/>
  <c r="G86" i="12"/>
  <c r="BB35" i="2"/>
  <c r="BB50" i="2" s="1"/>
  <c r="BB63" i="2" s="1"/>
  <c r="BB64" i="2" s="1"/>
  <c r="I23" i="5"/>
  <c r="I1317" i="22"/>
  <c r="H451" i="19"/>
  <c r="H457" i="19" s="1"/>
  <c r="S10" i="36"/>
  <c r="G45" i="43"/>
  <c r="G46" i="43" s="1"/>
  <c r="H238" i="27"/>
  <c r="CX278" i="2"/>
  <c r="CX295" i="2" s="1"/>
  <c r="CX315" i="2" s="1"/>
  <c r="W204" i="22"/>
  <c r="M66" i="36"/>
  <c r="M10" i="36" s="1"/>
  <c r="F110" i="27"/>
  <c r="F126" i="27" s="1"/>
  <c r="Y79" i="35"/>
  <c r="L65" i="38"/>
  <c r="L321" i="38" s="1"/>
  <c r="I62" i="38"/>
  <c r="I318" i="38" s="1"/>
  <c r="F34" i="31"/>
  <c r="BM442" i="19"/>
  <c r="O481" i="15"/>
  <c r="I164" i="43"/>
  <c r="E119" i="31"/>
  <c r="I30" i="38"/>
  <c r="H113" i="15"/>
  <c r="AY470" i="2"/>
  <c r="P78" i="10"/>
  <c r="P79" i="10" s="1"/>
  <c r="J1256" i="22" s="1"/>
  <c r="D21" i="43"/>
  <c r="BQ425" i="19"/>
  <c r="AQ452" i="19" s="1"/>
  <c r="G34" i="31"/>
  <c r="J4" i="43"/>
  <c r="J164" i="43" s="1"/>
  <c r="BC17" i="2"/>
  <c r="BC23" i="2" s="1"/>
  <c r="D63" i="11"/>
  <c r="S299" i="15"/>
  <c r="K415" i="19"/>
  <c r="K98" i="35"/>
  <c r="G1244" i="22"/>
  <c r="CP122" i="2"/>
  <c r="BJ26" i="2"/>
  <c r="H7" i="35"/>
  <c r="C18" i="36"/>
  <c r="C30" i="36" s="1"/>
  <c r="C31" i="36" s="1"/>
  <c r="J293" i="38"/>
  <c r="BJ71" i="2"/>
  <c r="BJ80" i="2" s="1"/>
  <c r="J5" i="35"/>
  <c r="J26" i="35" s="1"/>
  <c r="J52" i="35" s="1"/>
  <c r="BJ24" i="2"/>
  <c r="AC214" i="33" s="1"/>
  <c r="L186" i="27"/>
  <c r="I204" i="27" s="1"/>
  <c r="J204" i="27" s="1"/>
  <c r="J238" i="27" s="1"/>
  <c r="X78" i="35"/>
  <c r="T556" i="22"/>
  <c r="X5" i="35"/>
  <c r="AW144" i="2"/>
  <c r="CK226" i="2"/>
  <c r="I26" i="35"/>
  <c r="I52" i="35" s="1"/>
  <c r="AB52" i="35" s="1"/>
  <c r="BG390" i="2"/>
  <c r="BB421" i="19"/>
  <c r="K451" i="19" s="1"/>
  <c r="K457" i="19" s="1"/>
  <c r="AA6" i="35"/>
  <c r="BE359" i="2"/>
  <c r="E68" i="36"/>
  <c r="E12" i="36" s="1"/>
  <c r="U12" i="36" s="1"/>
  <c r="D65" i="36"/>
  <c r="D9" i="36" s="1"/>
  <c r="T9" i="36" s="1"/>
  <c r="AY329" i="2"/>
  <c r="J39" i="19"/>
  <c r="J31" i="19" s="1"/>
  <c r="R306" i="15" s="1"/>
  <c r="J25" i="36"/>
  <c r="J37" i="36" s="1"/>
  <c r="AB23" i="37"/>
  <c r="AS479" i="2"/>
  <c r="B192" i="36"/>
  <c r="N58" i="11"/>
  <c r="N59" i="11" s="1"/>
  <c r="G206" i="27" s="1"/>
  <c r="L72" i="35"/>
  <c r="AA72" i="35" s="1"/>
  <c r="D1975" i="22"/>
  <c r="V144" i="2"/>
  <c r="CL167" i="2"/>
  <c r="J50" i="19"/>
  <c r="K50" i="19" s="1"/>
  <c r="K42" i="19" s="1"/>
  <c r="O58" i="11" s="1"/>
  <c r="H205" i="27" s="1"/>
  <c r="F2626" i="22"/>
  <c r="F2628" i="22" s="1"/>
  <c r="F2635" i="22" s="1"/>
  <c r="Y12" i="36"/>
  <c r="AD58" i="2"/>
  <c r="AD61" i="2" s="1"/>
  <c r="D53" i="4"/>
  <c r="D69" i="4" s="1"/>
  <c r="D70" i="4" s="1"/>
  <c r="J108" i="36"/>
  <c r="E207" i="36" s="1"/>
  <c r="F102" i="25"/>
  <c r="I1314" i="22"/>
  <c r="N326" i="22"/>
  <c r="AJ550" i="22"/>
  <c r="H1290" i="22"/>
  <c r="H1293" i="22" s="1"/>
  <c r="AF550" i="22"/>
  <c r="P556" i="22"/>
  <c r="F12" i="25"/>
  <c r="G13" i="25" s="1"/>
  <c r="F7" i="25"/>
  <c r="I1365" i="22"/>
  <c r="K1365" i="22" s="1"/>
  <c r="L1365" i="22" s="1"/>
  <c r="M1365" i="22" s="1"/>
  <c r="Q70" i="25"/>
  <c r="Q71" i="25" s="1"/>
  <c r="CL174" i="2"/>
  <c r="J33" i="4"/>
  <c r="AQ239" i="2" s="1"/>
  <c r="AQ389" i="2" s="1"/>
  <c r="BZ316" i="2"/>
  <c r="AC148" i="33"/>
  <c r="AC151" i="33"/>
  <c r="U295" i="2"/>
  <c r="BX295" i="2" s="1"/>
  <c r="BX315" i="2" s="1"/>
  <c r="K290" i="2"/>
  <c r="AD329" i="2"/>
  <c r="J417" i="19"/>
  <c r="O289" i="2"/>
  <c r="CL169" i="2"/>
  <c r="K140" i="27"/>
  <c r="H169" i="12"/>
  <c r="BY143" i="2"/>
  <c r="J418" i="19"/>
  <c r="O83" i="11"/>
  <c r="N32" i="4" s="1"/>
  <c r="BK226" i="2" s="1"/>
  <c r="BK227" i="2" s="1"/>
  <c r="E1317" i="22"/>
  <c r="D348" i="37"/>
  <c r="D382" i="37" s="1"/>
  <c r="D452" i="37" s="1"/>
  <c r="AE272" i="37"/>
  <c r="G18" i="5"/>
  <c r="F3" i="4" s="1"/>
  <c r="G197" i="36"/>
  <c r="G217" i="36" s="1"/>
  <c r="L121" i="15"/>
  <c r="CE287" i="2"/>
  <c r="AC141" i="33"/>
  <c r="D2747" i="22"/>
  <c r="D2761" i="22" s="1"/>
  <c r="BM35" i="2"/>
  <c r="BM50" i="2" s="1"/>
  <c r="BM58" i="2" s="1"/>
  <c r="BM61" i="2" s="1"/>
  <c r="CE286" i="2"/>
  <c r="AC138" i="33"/>
  <c r="AK329" i="2"/>
  <c r="CG282" i="2"/>
  <c r="CT242" i="2"/>
  <c r="CP247" i="2" s="1"/>
  <c r="CP248" i="2" s="1"/>
  <c r="AD23" i="2"/>
  <c r="AD24" i="2" s="1"/>
  <c r="L81" i="12"/>
  <c r="AC137" i="33"/>
  <c r="AK479" i="2"/>
  <c r="I1158" i="22" s="1"/>
  <c r="AC143" i="33"/>
  <c r="CH285" i="2"/>
  <c r="G13" i="27"/>
  <c r="G45" i="27" s="1"/>
  <c r="X85" i="22"/>
  <c r="T85" i="22"/>
  <c r="AE143" i="33"/>
  <c r="P58" i="2"/>
  <c r="P61" i="2" s="1"/>
  <c r="G418" i="19"/>
  <c r="D82" i="5"/>
  <c r="AF24" i="2"/>
  <c r="I57" i="5"/>
  <c r="I67" i="5" s="1"/>
  <c r="B211" i="36"/>
  <c r="B231" i="36" s="1"/>
  <c r="BR302" i="2"/>
  <c r="AS3" i="2"/>
  <c r="AS334" i="2" s="1"/>
  <c r="AE139" i="33"/>
  <c r="W68" i="36"/>
  <c r="H190" i="36" s="1"/>
  <c r="CR312" i="2"/>
  <c r="CR316" i="2" s="1"/>
  <c r="CN250" i="2" s="1"/>
  <c r="AR447" i="19"/>
  <c r="AF260" i="2"/>
  <c r="AF270" i="2" s="1"/>
  <c r="AF268" i="2" s="1"/>
  <c r="C74" i="43"/>
  <c r="AF367" i="2"/>
  <c r="F2749" i="22"/>
  <c r="F2762" i="22" s="1"/>
  <c r="Y67" i="36"/>
  <c r="K201" i="33"/>
  <c r="K208" i="33" s="1"/>
  <c r="K11" i="36" s="1"/>
  <c r="K26" i="36" s="1"/>
  <c r="K38" i="36" s="1"/>
  <c r="AC23" i="2"/>
  <c r="AC24" i="2" s="1"/>
  <c r="E59" i="36"/>
  <c r="E3" i="36" s="1"/>
  <c r="E25" i="38" s="1"/>
  <c r="E292" i="38" s="1"/>
  <c r="L81" i="27"/>
  <c r="K21" i="36"/>
  <c r="K75" i="19"/>
  <c r="K76" i="19" s="1"/>
  <c r="K79" i="19" s="1"/>
  <c r="K85" i="19" s="1"/>
  <c r="K86" i="19" s="1"/>
  <c r="H94" i="43"/>
  <c r="AO359" i="38" s="1"/>
  <c r="G166" i="36"/>
  <c r="P181" i="12"/>
  <c r="L7" i="36"/>
  <c r="L216" i="19" s="1"/>
  <c r="I246" i="27" s="1"/>
  <c r="L1754" i="22"/>
  <c r="L1764" i="22"/>
  <c r="AA404" i="38"/>
  <c r="J1317" i="22"/>
  <c r="D27" i="35"/>
  <c r="D53" i="35" s="1"/>
  <c r="D54" i="35" s="1"/>
  <c r="T58" i="2"/>
  <c r="T61" i="2" s="1"/>
  <c r="M289" i="2"/>
  <c r="AF390" i="2"/>
  <c r="AO480" i="2"/>
  <c r="J2026" i="22" s="1"/>
  <c r="Q17" i="12"/>
  <c r="R17" i="12" s="1"/>
  <c r="S17" i="12" s="1"/>
  <c r="T17" i="12" s="1"/>
  <c r="U17" i="12" s="1"/>
  <c r="V17" i="12" s="1"/>
  <c r="W17" i="12" s="1"/>
  <c r="X17" i="12" s="1"/>
  <c r="Y17" i="12" s="1"/>
  <c r="Z17" i="12" s="1"/>
  <c r="AA17" i="12" s="1"/>
  <c r="Q54" i="25"/>
  <c r="Q55" i="25" s="1"/>
  <c r="P93" i="12"/>
  <c r="L200" i="33" s="1"/>
  <c r="V24" i="2"/>
  <c r="CB143" i="2"/>
  <c r="F75" i="12"/>
  <c r="AM444" i="19"/>
  <c r="CV275" i="2"/>
  <c r="DK266" i="2" s="1"/>
  <c r="CA312" i="2"/>
  <c r="H292" i="38"/>
  <c r="AA313" i="38"/>
  <c r="H191" i="37" s="1"/>
  <c r="H240" i="37" s="1"/>
  <c r="J106" i="27"/>
  <c r="J122" i="27" s="1"/>
  <c r="K137" i="27" s="1"/>
  <c r="AD131" i="33"/>
  <c r="H55" i="11"/>
  <c r="H28" i="11"/>
  <c r="G100" i="27"/>
  <c r="G116" i="27" s="1"/>
  <c r="G131" i="27" s="1"/>
  <c r="AD148" i="33"/>
  <c r="AR448" i="19"/>
  <c r="V292" i="2"/>
  <c r="CJ286" i="2"/>
  <c r="BM425" i="19"/>
  <c r="AM452" i="19" s="1"/>
  <c r="AO238" i="2"/>
  <c r="AO259" i="2" s="1"/>
  <c r="AO175" i="2" s="1"/>
  <c r="BA125" i="2"/>
  <c r="CX125" i="2" s="1"/>
  <c r="AL147" i="10"/>
  <c r="H33" i="31"/>
  <c r="G119" i="31" s="1"/>
  <c r="D30" i="12"/>
  <c r="D341" i="25"/>
  <c r="I1297" i="22"/>
  <c r="AD143" i="33"/>
  <c r="Y333" i="2"/>
  <c r="AM435" i="19"/>
  <c r="F551" i="19"/>
  <c r="F552" i="19" s="1"/>
  <c r="BR442" i="19"/>
  <c r="AR444" i="19"/>
  <c r="L27" i="27"/>
  <c r="AD144" i="33"/>
  <c r="E7" i="35"/>
  <c r="Y393" i="2"/>
  <c r="Y17" i="2"/>
  <c r="Y23" i="2" s="1"/>
  <c r="Y24" i="2" s="1"/>
  <c r="AR243" i="2"/>
  <c r="CT243" i="2" s="1"/>
  <c r="AR3" i="2"/>
  <c r="AR9" i="2" s="1"/>
  <c r="AR10" i="2" s="1"/>
  <c r="AD151" i="33"/>
  <c r="AD139" i="33"/>
  <c r="J116" i="36"/>
  <c r="J152" i="36" s="1"/>
  <c r="E237" i="36" s="1"/>
  <c r="AM437" i="19"/>
  <c r="I85" i="27"/>
  <c r="Z96" i="35"/>
  <c r="AD132" i="33"/>
  <c r="G341" i="25"/>
  <c r="CV243" i="2"/>
  <c r="CT275" i="2"/>
  <c r="DI266" i="2" s="1"/>
  <c r="AD141" i="33"/>
  <c r="H27" i="12"/>
  <c r="AO138" i="10"/>
  <c r="CM143" i="2"/>
  <c r="V18" i="35"/>
  <c r="AS442" i="19"/>
  <c r="AT442" i="19" s="1"/>
  <c r="AT443" i="19" s="1"/>
  <c r="AT448" i="19" s="1"/>
  <c r="F2009" i="22"/>
  <c r="N343" i="22"/>
  <c r="N329" i="22" s="1"/>
  <c r="H4176" i="22"/>
  <c r="D2055" i="22"/>
  <c r="G1803" i="22"/>
  <c r="U80" i="22"/>
  <c r="AF1776" i="22"/>
  <c r="AD550" i="22"/>
  <c r="F1244" i="22"/>
  <c r="K324" i="22"/>
  <c r="K344" i="22" s="1"/>
  <c r="K330" i="22" s="1"/>
  <c r="AG1717" i="22"/>
  <c r="AG1713" i="22"/>
  <c r="AG1712" i="22"/>
  <c r="L1752" i="22"/>
  <c r="AG1716" i="22"/>
  <c r="AG1710" i="22"/>
  <c r="W1710" i="22"/>
  <c r="L1755" i="22"/>
  <c r="L1759" i="22"/>
  <c r="AJ559" i="22"/>
  <c r="L1757" i="22"/>
  <c r="L1763" i="22"/>
  <c r="F2265" i="22"/>
  <c r="J343" i="22"/>
  <c r="J329" i="22" s="1"/>
  <c r="S324" i="22"/>
  <c r="J1265" i="22"/>
  <c r="J348" i="22"/>
  <c r="S323" i="22"/>
  <c r="E1356" i="22"/>
  <c r="I1356" i="22" s="1"/>
  <c r="W118" i="15"/>
  <c r="AF1770" i="22"/>
  <c r="AZ23" i="2"/>
  <c r="AZ28" i="2" s="1"/>
  <c r="Q8" i="12"/>
  <c r="Q40" i="12" s="1"/>
  <c r="Q51" i="12" s="1"/>
  <c r="BC333" i="2"/>
  <c r="H65" i="38"/>
  <c r="H321" i="38" s="1"/>
  <c r="H397" i="38" s="1"/>
  <c r="V1770" i="22"/>
  <c r="F341" i="25"/>
  <c r="CY242" i="2"/>
  <c r="I40" i="43"/>
  <c r="G1804" i="22"/>
  <c r="N234" i="22"/>
  <c r="AB6" i="37"/>
  <c r="AB16" i="37" s="1"/>
  <c r="L85" i="10"/>
  <c r="J87" i="12"/>
  <c r="J176" i="12" s="1"/>
  <c r="D177" i="36"/>
  <c r="D1314" i="22"/>
  <c r="AC136" i="33"/>
  <c r="AX479" i="2"/>
  <c r="Z290" i="2"/>
  <c r="C172" i="27"/>
  <c r="C176" i="27" s="1"/>
  <c r="AW334" i="2"/>
  <c r="AF1771" i="22"/>
  <c r="G1798" i="22"/>
  <c r="F149" i="43"/>
  <c r="I400" i="22"/>
  <c r="H407" i="22" s="1"/>
  <c r="H409" i="22" s="1"/>
  <c r="O136" i="12"/>
  <c r="E53" i="4"/>
  <c r="E69" i="4" s="1"/>
  <c r="E70" i="4" s="1"/>
  <c r="I196" i="27"/>
  <c r="E67" i="36"/>
  <c r="E11" i="36" s="1"/>
  <c r="U11" i="36" s="1"/>
  <c r="E344" i="25"/>
  <c r="E60" i="36"/>
  <c r="E4" i="36" s="1"/>
  <c r="U4" i="36" s="1"/>
  <c r="L97" i="10"/>
  <c r="L100" i="10" s="1"/>
  <c r="L155" i="10" s="1"/>
  <c r="CE282" i="2"/>
  <c r="AI471" i="2"/>
  <c r="E2025" i="22" s="1"/>
  <c r="J289" i="2"/>
  <c r="AC133" i="33"/>
  <c r="G1772" i="22"/>
  <c r="G1800" i="22" s="1"/>
  <c r="G1799" i="22"/>
  <c r="M7" i="35"/>
  <c r="F1258" i="22"/>
  <c r="F1264" i="22" s="1"/>
  <c r="M37" i="11"/>
  <c r="M55" i="11" s="1"/>
  <c r="W206" i="22"/>
  <c r="L47" i="27"/>
  <c r="P87" i="12"/>
  <c r="P176" i="12" s="1"/>
  <c r="AF470" i="2"/>
  <c r="E1157" i="22" s="1"/>
  <c r="P97" i="11"/>
  <c r="L105" i="36" s="1"/>
  <c r="AQ374" i="2"/>
  <c r="AQ375" i="2" s="1"/>
  <c r="G431" i="22"/>
  <c r="I88" i="27"/>
  <c r="E63" i="43"/>
  <c r="E1279" i="22"/>
  <c r="Y85" i="22"/>
  <c r="Q10" i="12"/>
  <c r="Q42" i="12" s="1"/>
  <c r="Q53" i="12" s="1"/>
  <c r="H130" i="43"/>
  <c r="I131" i="43" s="1"/>
  <c r="BL349" i="2"/>
  <c r="AZ470" i="2"/>
  <c r="H100" i="27"/>
  <c r="H116" i="27" s="1"/>
  <c r="O30" i="38"/>
  <c r="P30" i="38" s="1"/>
  <c r="T504" i="15"/>
  <c r="I28" i="36"/>
  <c r="I30" i="36" s="1"/>
  <c r="I31" i="36" s="1"/>
  <c r="AQ234" i="2"/>
  <c r="O63" i="38"/>
  <c r="P63" i="38" s="1"/>
  <c r="P319" i="38" s="1"/>
  <c r="U319" i="38" s="1"/>
  <c r="CI226" i="2"/>
  <c r="D83" i="4"/>
  <c r="G202" i="1" s="1"/>
  <c r="G97" i="1" s="1"/>
  <c r="G104" i="1" s="1"/>
  <c r="U85" i="22"/>
  <c r="P26" i="38"/>
  <c r="P293" i="38" s="1"/>
  <c r="AA97" i="35"/>
  <c r="G188" i="27"/>
  <c r="G192" i="27" s="1"/>
  <c r="CF286" i="2"/>
  <c r="D86" i="31"/>
  <c r="S67" i="25"/>
  <c r="T67" i="25" s="1"/>
  <c r="O125" i="4"/>
  <c r="U132" i="33"/>
  <c r="BQ439" i="19"/>
  <c r="C73" i="43"/>
  <c r="D71" i="36"/>
  <c r="D15" i="36" s="1"/>
  <c r="T15" i="36" s="1"/>
  <c r="E1253" i="22"/>
  <c r="U139" i="33"/>
  <c r="H103" i="43"/>
  <c r="H109" i="43" s="1"/>
  <c r="H110" i="43" s="1"/>
  <c r="C71" i="43"/>
  <c r="X12" i="36"/>
  <c r="N289" i="2"/>
  <c r="K86" i="10"/>
  <c r="K93" i="10" s="1"/>
  <c r="CL173" i="2"/>
  <c r="AA136" i="33"/>
  <c r="N68" i="36"/>
  <c r="X68" i="36" s="1"/>
  <c r="I190" i="36" s="1"/>
  <c r="G159" i="27"/>
  <c r="E1334" i="22" s="1"/>
  <c r="N144" i="36"/>
  <c r="H227" i="36" s="1"/>
  <c r="CN287" i="2"/>
  <c r="N16" i="4"/>
  <c r="S53" i="15" s="1"/>
  <c r="U141" i="33"/>
  <c r="E13" i="35"/>
  <c r="AR238" i="2"/>
  <c r="H96" i="35"/>
  <c r="H101" i="35" s="1"/>
  <c r="N3" i="36"/>
  <c r="N25" i="38" s="1"/>
  <c r="AA290" i="2"/>
  <c r="AT437" i="19"/>
  <c r="D7" i="35"/>
  <c r="E18" i="35"/>
  <c r="CA283" i="2"/>
  <c r="H278" i="22" s="1"/>
  <c r="CU222" i="2"/>
  <c r="F113" i="43"/>
  <c r="AA150" i="33"/>
  <c r="AA138" i="33"/>
  <c r="AT435" i="19"/>
  <c r="CT251" i="2"/>
  <c r="D172" i="12"/>
  <c r="BX287" i="2"/>
  <c r="L138" i="27"/>
  <c r="N23" i="4"/>
  <c r="AA139" i="33"/>
  <c r="E120" i="4"/>
  <c r="U150" i="33"/>
  <c r="AA285" i="2"/>
  <c r="CC285" i="2" s="1"/>
  <c r="BG144" i="2"/>
  <c r="AY144" i="2"/>
  <c r="AO470" i="2"/>
  <c r="E28" i="12"/>
  <c r="O23" i="4"/>
  <c r="AA142" i="33"/>
  <c r="AM329" i="2"/>
  <c r="CA287" i="2"/>
  <c r="P164" i="12"/>
  <c r="E298" i="37" s="1"/>
  <c r="E371" i="37" s="1"/>
  <c r="F42" i="19"/>
  <c r="F50" i="19" s="1"/>
  <c r="I1319" i="22"/>
  <c r="P228" i="15"/>
  <c r="W59" i="36"/>
  <c r="H180" i="36" s="1"/>
  <c r="W6" i="35"/>
  <c r="F45" i="19"/>
  <c r="L133" i="11"/>
  <c r="L37" i="11"/>
  <c r="L55" i="11" s="1"/>
  <c r="M84" i="11"/>
  <c r="L44" i="12"/>
  <c r="L75" i="12" s="1"/>
  <c r="E234" i="36"/>
  <c r="BB24" i="2"/>
  <c r="CT265" i="2" s="1"/>
  <c r="BG244" i="2"/>
  <c r="L22" i="4"/>
  <c r="E70" i="36"/>
  <c r="E14" i="36" s="1"/>
  <c r="U14" i="36" s="1"/>
  <c r="DD143" i="2"/>
  <c r="CJ287" i="2"/>
  <c r="G4560" i="22"/>
  <c r="E2372" i="22"/>
  <c r="AC290" i="2"/>
  <c r="F62" i="19"/>
  <c r="I77" i="4" s="1"/>
  <c r="I123" i="4" s="1"/>
  <c r="B94" i="12"/>
  <c r="B103" i="12" s="1"/>
  <c r="J157" i="36"/>
  <c r="H96" i="27"/>
  <c r="H358" i="2"/>
  <c r="BE144" i="2"/>
  <c r="D27" i="12"/>
  <c r="N299" i="15"/>
  <c r="J52" i="11"/>
  <c r="F57" i="27" s="1"/>
  <c r="N1712" i="22"/>
  <c r="N1730" i="22" s="1"/>
  <c r="N1733" i="22" s="1"/>
  <c r="L6" i="27"/>
  <c r="L38" i="27" s="1"/>
  <c r="H2024" i="22"/>
  <c r="AL222" i="2"/>
  <c r="BO425" i="19"/>
  <c r="AO452" i="19" s="1"/>
  <c r="L10" i="11"/>
  <c r="E82" i="35"/>
  <c r="E85" i="35" s="1"/>
  <c r="DB242" i="2"/>
  <c r="BP143" i="2"/>
  <c r="BP144" i="2" s="1"/>
  <c r="F154" i="27"/>
  <c r="F105" i="27" s="1"/>
  <c r="F121" i="27" s="1"/>
  <c r="AO437" i="19"/>
  <c r="AN435" i="19"/>
  <c r="L89" i="11"/>
  <c r="M93" i="11" s="1"/>
  <c r="F218" i="27" s="1"/>
  <c r="P366" i="15"/>
  <c r="D28" i="12"/>
  <c r="AD23" i="37"/>
  <c r="BG333" i="2"/>
  <c r="M71" i="35"/>
  <c r="AB71" i="35" s="1"/>
  <c r="N6" i="36"/>
  <c r="AT238" i="2"/>
  <c r="P180" i="25"/>
  <c r="S75" i="25"/>
  <c r="T75" i="25" s="1"/>
  <c r="U75" i="25" s="1"/>
  <c r="V75" i="25" s="1"/>
  <c r="W75" i="25" s="1"/>
  <c r="X75" i="25" s="1"/>
  <c r="W205" i="22"/>
  <c r="O104" i="4"/>
  <c r="H18" i="35"/>
  <c r="H21" i="35" s="1"/>
  <c r="D2024" i="22"/>
  <c r="AZ480" i="2"/>
  <c r="L290" i="2"/>
  <c r="BI439" i="19"/>
  <c r="F50" i="5"/>
  <c r="CG242" i="2"/>
  <c r="CC247" i="2" s="1"/>
  <c r="CC249" i="2" s="1"/>
  <c r="CA258" i="2" s="1"/>
  <c r="CP275" i="2"/>
  <c r="DE266" i="2" s="1"/>
  <c r="F344" i="25"/>
  <c r="Z18" i="35"/>
  <c r="V214" i="33"/>
  <c r="G20" i="25"/>
  <c r="AF333" i="2"/>
  <c r="CC252" i="2" s="1"/>
  <c r="CJ143" i="2"/>
  <c r="F2024" i="22"/>
  <c r="H1156" i="22"/>
  <c r="AQ148" i="2"/>
  <c r="AN437" i="19"/>
  <c r="CD282" i="2"/>
  <c r="CU242" i="2"/>
  <c r="CQ247" i="2" s="1"/>
  <c r="CQ248" i="2" s="1"/>
  <c r="M29" i="35"/>
  <c r="BO442" i="19"/>
  <c r="CK143" i="2"/>
  <c r="K187" i="12"/>
  <c r="DH140" i="2"/>
  <c r="AW35" i="2"/>
  <c r="AW50" i="2" s="1"/>
  <c r="AW23" i="2"/>
  <c r="AW18" i="2"/>
  <c r="E1235" i="22"/>
  <c r="E1245" i="22" s="1"/>
  <c r="H393" i="22"/>
  <c r="I38" i="36"/>
  <c r="I87" i="27"/>
  <c r="K65" i="12"/>
  <c r="U133" i="33"/>
  <c r="L30" i="5"/>
  <c r="L38" i="5" s="1"/>
  <c r="BC479" i="2"/>
  <c r="BW283" i="2"/>
  <c r="E250" i="22" s="1"/>
  <c r="O558" i="22"/>
  <c r="AI556" i="22" s="1"/>
  <c r="AO243" i="2"/>
  <c r="AS243" i="2"/>
  <c r="CU243" i="2" s="1"/>
  <c r="AT334" i="2"/>
  <c r="K188" i="12"/>
  <c r="N117" i="10"/>
  <c r="N116" i="10" s="1"/>
  <c r="I197" i="14" s="1"/>
  <c r="J197" i="14" s="1"/>
  <c r="J198" i="14" s="1"/>
  <c r="H198" i="14" s="1"/>
  <c r="F198" i="14" s="1"/>
  <c r="E198" i="14" s="1"/>
  <c r="E199" i="14" s="1"/>
  <c r="I90" i="27"/>
  <c r="H2262" i="22"/>
  <c r="H2265" i="22" s="1"/>
  <c r="AA144" i="33"/>
  <c r="J45" i="22"/>
  <c r="J50" i="22" s="1"/>
  <c r="H30" i="12"/>
  <c r="AW479" i="2"/>
  <c r="AV490" i="2"/>
  <c r="BX283" i="2"/>
  <c r="E278" i="22" s="1"/>
  <c r="AK184" i="19"/>
  <c r="J9" i="35"/>
  <c r="J6" i="35" s="1"/>
  <c r="Y6" i="35" s="1"/>
  <c r="AA60" i="35"/>
  <c r="D1319" i="22"/>
  <c r="K85" i="10"/>
  <c r="K75" i="10"/>
  <c r="E1252" i="22" s="1"/>
  <c r="I100" i="27"/>
  <c r="I116" i="27" s="1"/>
  <c r="L65" i="12"/>
  <c r="K86" i="12"/>
  <c r="K87" i="12" s="1"/>
  <c r="K176" i="12" s="1"/>
  <c r="CI285" i="2"/>
  <c r="I30" i="12"/>
  <c r="I103" i="27"/>
  <c r="I119" i="27" s="1"/>
  <c r="I134" i="27" s="1"/>
  <c r="AS144" i="2"/>
  <c r="M45" i="4"/>
  <c r="D2796" i="22" s="1"/>
  <c r="J103" i="27"/>
  <c r="J119" i="27" s="1"/>
  <c r="K134" i="27" s="1"/>
  <c r="AI269" i="2"/>
  <c r="BR425" i="19"/>
  <c r="AR452" i="19" s="1"/>
  <c r="G2262" i="22"/>
  <c r="G2265" i="22" s="1"/>
  <c r="AS470" i="2"/>
  <c r="AA141" i="33"/>
  <c r="W52" i="35"/>
  <c r="BI17" i="2"/>
  <c r="BI35" i="2" s="1"/>
  <c r="BI50" i="2" s="1"/>
  <c r="BI58" i="2" s="1"/>
  <c r="BI61" i="2" s="1"/>
  <c r="H84" i="27"/>
  <c r="AI268" i="2"/>
  <c r="BN425" i="19"/>
  <c r="AN452" i="19" s="1"/>
  <c r="U131" i="33"/>
  <c r="CZ208" i="2"/>
  <c r="CV246" i="2" s="1"/>
  <c r="DK261" i="2" s="1"/>
  <c r="DC143" i="2"/>
  <c r="AO144" i="2"/>
  <c r="U138" i="33"/>
  <c r="K54" i="35"/>
  <c r="L75" i="10"/>
  <c r="I394" i="22" s="1"/>
  <c r="BG145" i="2"/>
  <c r="BM340" i="2"/>
  <c r="Q201" i="33" s="1"/>
  <c r="D30" i="37"/>
  <c r="BH71" i="2"/>
  <c r="BH80" i="2" s="1"/>
  <c r="W211" i="22"/>
  <c r="CB287" i="2"/>
  <c r="BO24" i="2"/>
  <c r="AG214" i="33" s="1"/>
  <c r="AV496" i="2"/>
  <c r="AS145" i="2"/>
  <c r="AR479" i="2"/>
  <c r="AR480" i="2"/>
  <c r="L2026" i="22" s="1"/>
  <c r="O45" i="35"/>
  <c r="AD34" i="35"/>
  <c r="E2750" i="22"/>
  <c r="E2763" i="22" s="1"/>
  <c r="M2670" i="22"/>
  <c r="M2671" i="22" s="1"/>
  <c r="D2009" i="22"/>
  <c r="CB285" i="2"/>
  <c r="T6" i="36"/>
  <c r="D62" i="36"/>
  <c r="T62" i="36" s="1"/>
  <c r="E183" i="36" s="1"/>
  <c r="D28" i="38"/>
  <c r="BA126" i="2"/>
  <c r="Q2668" i="22"/>
  <c r="P75" i="11"/>
  <c r="Q75" i="11" s="1"/>
  <c r="R75" i="11" s="1"/>
  <c r="S75" i="11" s="1"/>
  <c r="AM285" i="2"/>
  <c r="CL285" i="2" s="1"/>
  <c r="S289" i="2"/>
  <c r="S292" i="2" s="1"/>
  <c r="I149" i="33"/>
  <c r="C44" i="12"/>
  <c r="C23" i="12" s="1"/>
  <c r="S144" i="2"/>
  <c r="S291" i="2" s="1"/>
  <c r="N6" i="35"/>
  <c r="N7" i="35" s="1"/>
  <c r="H1314" i="22"/>
  <c r="I30" i="4"/>
  <c r="AT480" i="2"/>
  <c r="N2026" i="22" s="1"/>
  <c r="E205" i="22"/>
  <c r="I5" i="5"/>
  <c r="H10" i="5"/>
  <c r="H18" i="5" s="1"/>
  <c r="G3" i="4" s="1"/>
  <c r="P28" i="25"/>
  <c r="S155" i="12" s="1"/>
  <c r="H24" i="11"/>
  <c r="L152" i="27"/>
  <c r="J1327" i="22" s="1"/>
  <c r="I62" i="4"/>
  <c r="M13" i="35"/>
  <c r="T289" i="2"/>
  <c r="K289" i="2"/>
  <c r="AX226" i="2"/>
  <c r="AX329" i="2" s="1"/>
  <c r="I1156" i="22"/>
  <c r="E1998" i="22"/>
  <c r="E2010" i="22" s="1"/>
  <c r="K45" i="4"/>
  <c r="H171" i="27" s="1"/>
  <c r="H1317" i="22"/>
  <c r="AV488" i="2"/>
  <c r="H21" i="5"/>
  <c r="AN479" i="2"/>
  <c r="O112" i="36"/>
  <c r="X112" i="36" s="1"/>
  <c r="G65" i="38"/>
  <c r="D72" i="37" s="1"/>
  <c r="J84" i="27"/>
  <c r="BH24" i="2"/>
  <c r="CY265" i="2" s="1"/>
  <c r="I115" i="36"/>
  <c r="I151" i="36" s="1"/>
  <c r="D236" i="36" s="1"/>
  <c r="AJ144" i="2"/>
  <c r="CI287" i="2"/>
  <c r="H52" i="31"/>
  <c r="H50" i="31" s="1"/>
  <c r="BZ226" i="2"/>
  <c r="AE507" i="2"/>
  <c r="AS214" i="2"/>
  <c r="AS148" i="2" s="1"/>
  <c r="CQ148" i="2" s="1"/>
  <c r="E86" i="31"/>
  <c r="J100" i="35"/>
  <c r="AJ329" i="2"/>
  <c r="N59" i="35"/>
  <c r="N71" i="35" s="1"/>
  <c r="AC71" i="35" s="1"/>
  <c r="F20" i="25"/>
  <c r="BB9" i="2"/>
  <c r="BB10" i="2" s="1"/>
  <c r="C19" i="35"/>
  <c r="K190" i="12"/>
  <c r="BW287" i="2"/>
  <c r="J76" i="36"/>
  <c r="Y76" i="36" s="1"/>
  <c r="BB18" i="2"/>
  <c r="CM286" i="2"/>
  <c r="K47" i="35"/>
  <c r="O114" i="10"/>
  <c r="M82" i="35"/>
  <c r="M85" i="35" s="1"/>
  <c r="F1253" i="22"/>
  <c r="AE470" i="2"/>
  <c r="D1157" i="22" s="1"/>
  <c r="F59" i="19"/>
  <c r="I46" i="4" s="1"/>
  <c r="U142" i="33"/>
  <c r="AV495" i="2"/>
  <c r="I395" i="22"/>
  <c r="E67" i="43"/>
  <c r="E72" i="43" s="1"/>
  <c r="U136" i="33"/>
  <c r="AV142" i="2"/>
  <c r="CT142" i="2" s="1"/>
  <c r="DF142" i="2" s="1"/>
  <c r="I12" i="35"/>
  <c r="I18" i="35"/>
  <c r="I19" i="35" s="1"/>
  <c r="I7" i="35"/>
  <c r="AB6" i="35"/>
  <c r="X6" i="35"/>
  <c r="I139" i="43"/>
  <c r="I142" i="43"/>
  <c r="R61" i="25"/>
  <c r="R70" i="25"/>
  <c r="R108" i="25"/>
  <c r="AO313" i="38"/>
  <c r="J191" i="37" s="1"/>
  <c r="J240" i="37" s="1"/>
  <c r="W82" i="35"/>
  <c r="Z284" i="2"/>
  <c r="CF284" i="2" s="1"/>
  <c r="E21" i="43"/>
  <c r="Q557" i="22"/>
  <c r="AK555" i="22" s="1"/>
  <c r="AP144" i="2"/>
  <c r="F112" i="4"/>
  <c r="G27" i="4"/>
  <c r="J157" i="33"/>
  <c r="J149" i="33"/>
  <c r="J394" i="22"/>
  <c r="L141" i="10"/>
  <c r="AG143" i="2"/>
  <c r="AG144" i="2" s="1"/>
  <c r="L88" i="35"/>
  <c r="L124" i="4"/>
  <c r="I27" i="12"/>
  <c r="F56" i="11"/>
  <c r="CF222" i="2"/>
  <c r="AA143" i="33"/>
  <c r="J56" i="5"/>
  <c r="K56" i="5" s="1"/>
  <c r="L56" i="5" s="1"/>
  <c r="M56" i="5" s="1"/>
  <c r="N56" i="5" s="1"/>
  <c r="O56" i="5" s="1"/>
  <c r="P56" i="5" s="1"/>
  <c r="AA134" i="33"/>
  <c r="AZ144" i="2"/>
  <c r="I7" i="27"/>
  <c r="I39" i="27" s="1"/>
  <c r="Q320" i="15"/>
  <c r="A1366" i="22"/>
  <c r="G160" i="27"/>
  <c r="AQ235" i="2"/>
  <c r="I290" i="2"/>
  <c r="J290" i="2"/>
  <c r="F2761" i="22"/>
  <c r="AO287" i="38"/>
  <c r="J169" i="37" s="1"/>
  <c r="D121" i="11"/>
  <c r="L179" i="12"/>
  <c r="AQ142" i="2"/>
  <c r="CP142" i="2" s="1"/>
  <c r="AG282" i="2"/>
  <c r="C24" i="19"/>
  <c r="D24" i="19" s="1"/>
  <c r="E24" i="19" s="1"/>
  <c r="F24" i="19" s="1"/>
  <c r="G24" i="19" s="1"/>
  <c r="H24" i="19" s="1"/>
  <c r="I24" i="19" s="1"/>
  <c r="J24" i="19" s="1"/>
  <c r="K24" i="19" s="1"/>
  <c r="L24" i="19" s="1"/>
  <c r="M24" i="19" s="1"/>
  <c r="N24" i="19" s="1"/>
  <c r="N22" i="19" s="1"/>
  <c r="I23" i="19"/>
  <c r="I21" i="19"/>
  <c r="CC226" i="2"/>
  <c r="R561" i="22"/>
  <c r="AG559" i="22" s="1"/>
  <c r="L323" i="22"/>
  <c r="AA222" i="2"/>
  <c r="D44" i="19" s="1"/>
  <c r="R23" i="15"/>
  <c r="R24" i="15" s="1"/>
  <c r="R88" i="15"/>
  <c r="CE222" i="2"/>
  <c r="Y151" i="2"/>
  <c r="L424" i="19" s="1"/>
  <c r="Y284" i="2"/>
  <c r="K44" i="22"/>
  <c r="K49" i="22" s="1"/>
  <c r="K86" i="22" s="1"/>
  <c r="Y303" i="2"/>
  <c r="P557" i="22"/>
  <c r="AJ555" i="22" s="1"/>
  <c r="J325" i="22"/>
  <c r="I92" i="4"/>
  <c r="AL239" i="2"/>
  <c r="AL389" i="2" s="1"/>
  <c r="L161" i="10"/>
  <c r="L181" i="10" s="1"/>
  <c r="AH181" i="10" s="1"/>
  <c r="H45" i="31"/>
  <c r="G1958" i="22" s="1"/>
  <c r="F1260" i="22"/>
  <c r="L157" i="10"/>
  <c r="AH290" i="2"/>
  <c r="H22" i="31"/>
  <c r="H26" i="31" s="1"/>
  <c r="AV487" i="2"/>
  <c r="AA148" i="33"/>
  <c r="AA147" i="33"/>
  <c r="AD138" i="33"/>
  <c r="H85" i="35"/>
  <c r="E11" i="27"/>
  <c r="E43" i="27" s="1"/>
  <c r="U143" i="33"/>
  <c r="U134" i="33"/>
  <c r="AA137" i="33"/>
  <c r="G19" i="35"/>
  <c r="F12" i="35"/>
  <c r="F246" i="12"/>
  <c r="K128" i="12"/>
  <c r="K119" i="12" s="1"/>
  <c r="AQ155" i="2"/>
  <c r="K91" i="12"/>
  <c r="E1298" i="22"/>
  <c r="B205" i="36"/>
  <c r="B225" i="36" s="1"/>
  <c r="B187" i="36"/>
  <c r="R35" i="2"/>
  <c r="R50" i="2" s="1"/>
  <c r="R23" i="2"/>
  <c r="R24" i="2" s="1"/>
  <c r="C27" i="35"/>
  <c r="C13" i="35"/>
  <c r="AH451" i="19"/>
  <c r="AH457" i="19" s="1"/>
  <c r="BH439" i="19"/>
  <c r="CT138" i="2"/>
  <c r="AV493" i="2"/>
  <c r="D1335" i="22"/>
  <c r="F109" i="27"/>
  <c r="F125" i="27" s="1"/>
  <c r="BC471" i="2"/>
  <c r="BC470" i="2"/>
  <c r="AQ496" i="2"/>
  <c r="CP141" i="2"/>
  <c r="D86" i="12"/>
  <c r="D44" i="12"/>
  <c r="D23" i="12" s="1"/>
  <c r="K325" i="22"/>
  <c r="K345" i="22" s="1"/>
  <c r="K331" i="22" s="1"/>
  <c r="E269" i="12"/>
  <c r="E257" i="12" s="1"/>
  <c r="E258" i="12" s="1"/>
  <c r="E261" i="12" s="1"/>
  <c r="E264" i="12" s="1"/>
  <c r="E266" i="12" s="1"/>
  <c r="E267" i="12" s="1"/>
  <c r="U137" i="33"/>
  <c r="M6" i="36"/>
  <c r="H165" i="36" s="1"/>
  <c r="E255" i="12"/>
  <c r="AS325" i="2"/>
  <c r="AP451" i="19"/>
  <c r="AP457" i="19" s="1"/>
  <c r="CI143" i="2"/>
  <c r="BY295" i="2"/>
  <c r="BY315" i="2" s="1"/>
  <c r="V320" i="2"/>
  <c r="B235" i="14"/>
  <c r="B92" i="12"/>
  <c r="BB151" i="2"/>
  <c r="CX151" i="2" s="1"/>
  <c r="BB226" i="2"/>
  <c r="BB303" i="2"/>
  <c r="AI144" i="2"/>
  <c r="CN286" i="2"/>
  <c r="CO143" i="2"/>
  <c r="V289" i="2"/>
  <c r="AA151" i="33"/>
  <c r="CG286" i="2"/>
  <c r="L355" i="2"/>
  <c r="K189" i="12"/>
  <c r="K185" i="12"/>
  <c r="G110" i="43"/>
  <c r="G113" i="43"/>
  <c r="P481" i="15"/>
  <c r="H14" i="27"/>
  <c r="H46" i="27" s="1"/>
  <c r="BC3" i="2"/>
  <c r="BC390" i="2"/>
  <c r="DC242" i="2"/>
  <c r="C77" i="3"/>
  <c r="DG261" i="2"/>
  <c r="F2601" i="22"/>
  <c r="AD290" i="2"/>
  <c r="O16" i="4"/>
  <c r="P100" i="10"/>
  <c r="O29" i="4" s="1"/>
  <c r="AV132" i="2"/>
  <c r="K62" i="4"/>
  <c r="L44" i="22"/>
  <c r="L49" i="22" s="1"/>
  <c r="L86" i="22" s="1"/>
  <c r="L87" i="22" s="1"/>
  <c r="L91" i="22" s="1"/>
  <c r="H418" i="22" s="1"/>
  <c r="F169" i="36"/>
  <c r="Z402" i="2"/>
  <c r="J65" i="35"/>
  <c r="AM290" i="2"/>
  <c r="AQ149" i="2"/>
  <c r="AD133" i="33"/>
  <c r="AD150" i="33"/>
  <c r="P289" i="2"/>
  <c r="C25" i="38"/>
  <c r="C292" i="38" s="1"/>
  <c r="Z303" i="2"/>
  <c r="Z328" i="2" s="1"/>
  <c r="M442" i="19" s="1"/>
  <c r="U147" i="33"/>
  <c r="AA131" i="33"/>
  <c r="AB131" i="12"/>
  <c r="F57" i="5"/>
  <c r="F67" i="5" s="1"/>
  <c r="M18" i="35"/>
  <c r="M19" i="35" s="1"/>
  <c r="BV424" i="19"/>
  <c r="E57" i="5"/>
  <c r="L86" i="12"/>
  <c r="AV435" i="19"/>
  <c r="AV436" i="19"/>
  <c r="BV425" i="19"/>
  <c r="AV452" i="19" s="1"/>
  <c r="AQ132" i="2"/>
  <c r="AR17" i="2"/>
  <c r="AR35" i="2" s="1"/>
  <c r="AR50" i="2" s="1"/>
  <c r="G120" i="11"/>
  <c r="G121" i="11" s="1"/>
  <c r="F61" i="4"/>
  <c r="I82" i="35"/>
  <c r="I88" i="35" s="1"/>
  <c r="L111" i="36"/>
  <c r="AN257" i="2"/>
  <c r="AN173" i="2" s="1"/>
  <c r="CM173" i="2" s="1"/>
  <c r="J106" i="36"/>
  <c r="E205" i="36" s="1"/>
  <c r="L289" i="2"/>
  <c r="J72" i="35"/>
  <c r="I101" i="27"/>
  <c r="I117" i="27" s="1"/>
  <c r="O65" i="10"/>
  <c r="O152" i="10" s="1"/>
  <c r="W208" i="22"/>
  <c r="U310" i="10"/>
  <c r="E1251" i="22"/>
  <c r="CT312" i="2"/>
  <c r="CT316" i="2" s="1"/>
  <c r="CP250" i="2" s="1"/>
  <c r="BH424" i="19"/>
  <c r="L169" i="12"/>
  <c r="Y10" i="36"/>
  <c r="CK287" i="2"/>
  <c r="S6" i="36"/>
  <c r="C28" i="38"/>
  <c r="C62" i="36"/>
  <c r="S62" i="36" s="1"/>
  <c r="D183" i="36" s="1"/>
  <c r="I14" i="27"/>
  <c r="I46" i="27" s="1"/>
  <c r="Q481" i="15"/>
  <c r="E18" i="36"/>
  <c r="E30" i="36" s="1"/>
  <c r="E31" i="36" s="1"/>
  <c r="BI244" i="2"/>
  <c r="AM64" i="2"/>
  <c r="AM58" i="2"/>
  <c r="AM61" i="2" s="1"/>
  <c r="AT145" i="2"/>
  <c r="AT144" i="2"/>
  <c r="F7" i="41"/>
  <c r="F10" i="41" s="1"/>
  <c r="F13" i="41" s="1"/>
  <c r="F16" i="41" s="1"/>
  <c r="G8" i="41"/>
  <c r="AE64" i="2"/>
  <c r="AE58" i="2"/>
  <c r="AE61" i="2" s="1"/>
  <c r="L123" i="15"/>
  <c r="CP312" i="2"/>
  <c r="CP316" i="2" s="1"/>
  <c r="CL250" i="2" s="1"/>
  <c r="W210" i="22"/>
  <c r="J27" i="36"/>
  <c r="J39" i="36" s="1"/>
  <c r="CM287" i="2"/>
  <c r="CZ143" i="2"/>
  <c r="DL143" i="2" s="1"/>
  <c r="M53" i="35"/>
  <c r="M54" i="35" s="1"/>
  <c r="AV460" i="19"/>
  <c r="AV461" i="19" s="1"/>
  <c r="BE145" i="2"/>
  <c r="H160" i="33"/>
  <c r="H161" i="33" s="1"/>
  <c r="M199" i="33"/>
  <c r="U199" i="33" s="1"/>
  <c r="M205" i="33"/>
  <c r="U205" i="33" s="1"/>
  <c r="M198" i="33"/>
  <c r="U198" i="33" s="1"/>
  <c r="M217" i="33"/>
  <c r="P205" i="33" s="1"/>
  <c r="AR226" i="2"/>
  <c r="AR303" i="2"/>
  <c r="AR304" i="2" s="1"/>
  <c r="B90" i="12"/>
  <c r="B118" i="12" s="1"/>
  <c r="P77" i="11"/>
  <c r="P78" i="11" s="1"/>
  <c r="O118" i="12"/>
  <c r="J143" i="10"/>
  <c r="T367" i="2"/>
  <c r="L18" i="35"/>
  <c r="L19" i="35" s="1"/>
  <c r="H91" i="35"/>
  <c r="C208" i="36"/>
  <c r="P115" i="10"/>
  <c r="W69" i="36"/>
  <c r="H191" i="36" s="1"/>
  <c r="C69" i="36"/>
  <c r="C13" i="36" s="1"/>
  <c r="C25" i="36" s="1"/>
  <c r="C37" i="36" s="1"/>
  <c r="P208" i="10"/>
  <c r="L147" i="27"/>
  <c r="P199" i="10"/>
  <c r="P127" i="10"/>
  <c r="AJ285" i="2"/>
  <c r="CN285" i="2" s="1"/>
  <c r="J60" i="11"/>
  <c r="N301" i="15"/>
  <c r="G47" i="19"/>
  <c r="F56" i="19"/>
  <c r="K121" i="15"/>
  <c r="K60" i="38"/>
  <c r="K316" i="38" s="1"/>
  <c r="K392" i="38" s="1"/>
  <c r="BV283" i="2"/>
  <c r="F302" i="25"/>
  <c r="G279" i="25"/>
  <c r="J19" i="36"/>
  <c r="M160" i="12"/>
  <c r="G1313" i="22" s="1"/>
  <c r="I92" i="27"/>
  <c r="BO17" i="2"/>
  <c r="BO333" i="2"/>
  <c r="N190" i="25"/>
  <c r="N197" i="25" s="1"/>
  <c r="P127" i="25"/>
  <c r="BI390" i="2"/>
  <c r="H6" i="27"/>
  <c r="H38" i="27" s="1"/>
  <c r="F53" i="4"/>
  <c r="C309" i="14" s="1"/>
  <c r="AC6" i="37"/>
  <c r="AC16" i="37" s="1"/>
  <c r="AV437" i="19"/>
  <c r="P21" i="4"/>
  <c r="K92" i="4"/>
  <c r="L171" i="12"/>
  <c r="L172" i="12" s="1"/>
  <c r="BY287" i="2"/>
  <c r="CD143" i="2"/>
  <c r="AX331" i="2"/>
  <c r="X113" i="36"/>
  <c r="J97" i="35"/>
  <c r="L12" i="35"/>
  <c r="AA12" i="35" s="1"/>
  <c r="J62" i="35"/>
  <c r="X79" i="35"/>
  <c r="CK286" i="2"/>
  <c r="CO286" i="2"/>
  <c r="E149" i="43"/>
  <c r="E146" i="43"/>
  <c r="J95" i="27"/>
  <c r="I95" i="27"/>
  <c r="CU217" i="2"/>
  <c r="I5" i="31"/>
  <c r="I52" i="31" s="1"/>
  <c r="I50" i="31" s="1"/>
  <c r="N19" i="11"/>
  <c r="M6" i="4" s="1"/>
  <c r="J66" i="36"/>
  <c r="E66" i="36" s="1"/>
  <c r="E10" i="36" s="1"/>
  <c r="F1361" i="22"/>
  <c r="H1361" i="22" s="1"/>
  <c r="J1361" i="22" s="1"/>
  <c r="J60" i="35"/>
  <c r="BI333" i="2"/>
  <c r="S23" i="2"/>
  <c r="S24" i="2" s="1"/>
  <c r="S35" i="2"/>
  <c r="S50" i="2" s="1"/>
  <c r="CT222" i="2"/>
  <c r="AW303" i="2"/>
  <c r="AW304" i="2" s="1"/>
  <c r="AW226" i="2"/>
  <c r="CR143" i="2"/>
  <c r="AD137" i="33"/>
  <c r="J78" i="35"/>
  <c r="Z145" i="2"/>
  <c r="Z144" i="2"/>
  <c r="BI340" i="2"/>
  <c r="BF357" i="2" s="1"/>
  <c r="BI348" i="2"/>
  <c r="BI349" i="2" s="1"/>
  <c r="T18" i="36"/>
  <c r="D30" i="36"/>
  <c r="D31" i="36" s="1"/>
  <c r="U289" i="2"/>
  <c r="AZ145" i="2"/>
  <c r="S295" i="2"/>
  <c r="BV278" i="2"/>
  <c r="AX312" i="2"/>
  <c r="AX17" i="2" s="1"/>
  <c r="AP329" i="2"/>
  <c r="D63" i="5"/>
  <c r="E64" i="5" s="1"/>
  <c r="Z12" i="35"/>
  <c r="V12" i="35"/>
  <c r="G27" i="35"/>
  <c r="G13" i="35"/>
  <c r="BW143" i="2"/>
  <c r="CI312" i="2"/>
  <c r="CI316" i="2" s="1"/>
  <c r="CE250" i="2" s="1"/>
  <c r="CE251" i="2" s="1"/>
  <c r="N64" i="35"/>
  <c r="BN333" i="2"/>
  <c r="K149" i="33"/>
  <c r="I116" i="36"/>
  <c r="CU278" i="2"/>
  <c r="AX295" i="2"/>
  <c r="AX320" i="2" s="1"/>
  <c r="CV278" i="2"/>
  <c r="CV295" i="2" s="1"/>
  <c r="CV315" i="2" s="1"/>
  <c r="AZ222" i="2"/>
  <c r="E2233" i="22"/>
  <c r="AX9" i="2"/>
  <c r="AX10" i="2" s="1"/>
  <c r="AN238" i="2"/>
  <c r="AN259" i="2" s="1"/>
  <c r="AD136" i="33"/>
  <c r="I28" i="35"/>
  <c r="J15" i="35"/>
  <c r="I16" i="35"/>
  <c r="D58" i="4"/>
  <c r="H45" i="43"/>
  <c r="I29" i="19"/>
  <c r="AD142" i="33"/>
  <c r="X284" i="2"/>
  <c r="J53" i="22" s="1"/>
  <c r="J54" i="22" s="1"/>
  <c r="BN17" i="2"/>
  <c r="BN35" i="2" s="1"/>
  <c r="BN50" i="2" s="1"/>
  <c r="BN58" i="2" s="1"/>
  <c r="BN61" i="2" s="1"/>
  <c r="AD147" i="33"/>
  <c r="G149" i="33"/>
  <c r="Q9" i="12"/>
  <c r="L14" i="27"/>
  <c r="L46" i="27" s="1"/>
  <c r="T481" i="15"/>
  <c r="BL17" i="2"/>
  <c r="BL333" i="2"/>
  <c r="J44" i="22"/>
  <c r="J49" i="22" s="1"/>
  <c r="J86" i="22" s="1"/>
  <c r="X86" i="22" s="1"/>
  <c r="CL168" i="2"/>
  <c r="AB151" i="33"/>
  <c r="AB137" i="33"/>
  <c r="AB147" i="33"/>
  <c r="AB134" i="33"/>
  <c r="AB138" i="33"/>
  <c r="AB132" i="33"/>
  <c r="AB148" i="33"/>
  <c r="AB136" i="33"/>
  <c r="AB142" i="33"/>
  <c r="AB141" i="33"/>
  <c r="AB139" i="33"/>
  <c r="AB133" i="33"/>
  <c r="AB144" i="33"/>
  <c r="AB143" i="33"/>
  <c r="AB131" i="33"/>
  <c r="H32" i="12"/>
  <c r="W218" i="22"/>
  <c r="I32" i="12"/>
  <c r="AB61" i="35"/>
  <c r="M62" i="35"/>
  <c r="M97" i="35"/>
  <c r="M60" i="35"/>
  <c r="CV143" i="2"/>
  <c r="DH143" i="2" s="1"/>
  <c r="AX145" i="2"/>
  <c r="AX144" i="2"/>
  <c r="U23" i="2"/>
  <c r="U24" i="2" s="1"/>
  <c r="U35" i="2"/>
  <c r="U50" i="2" s="1"/>
  <c r="AZ390" i="2"/>
  <c r="DA242" i="2"/>
  <c r="AZ3" i="2"/>
  <c r="CW247" i="2"/>
  <c r="CW248" i="2" s="1"/>
  <c r="AZ333" i="2"/>
  <c r="CS252" i="2" s="1"/>
  <c r="CS264" i="2" s="1"/>
  <c r="CW242" i="2"/>
  <c r="Y18" i="36"/>
  <c r="F177" i="36"/>
  <c r="BQ302" i="2"/>
  <c r="BA521" i="2" s="1"/>
  <c r="BA525" i="2" s="1"/>
  <c r="BA534" i="2" s="1"/>
  <c r="M119" i="36"/>
  <c r="AC144" i="2"/>
  <c r="AC145" i="2"/>
  <c r="H4177" i="22"/>
  <c r="G21" i="4"/>
  <c r="L96" i="35"/>
  <c r="L91" i="35"/>
  <c r="I171" i="12"/>
  <c r="I172" i="12" s="1"/>
  <c r="J173" i="12" s="1"/>
  <c r="H49" i="4"/>
  <c r="H62" i="4" s="1"/>
  <c r="I181" i="12"/>
  <c r="I169" i="12"/>
  <c r="J36" i="4"/>
  <c r="M6" i="1" s="1"/>
  <c r="BN4" i="2"/>
  <c r="AF211" i="33"/>
  <c r="AF212" i="33"/>
  <c r="BN5" i="2"/>
  <c r="D70" i="36"/>
  <c r="D14" i="36" s="1"/>
  <c r="X70" i="36"/>
  <c r="I192" i="36" s="1"/>
  <c r="BZ246" i="2"/>
  <c r="L247" i="22"/>
  <c r="D202" i="36"/>
  <c r="I157" i="36"/>
  <c r="D234" i="36"/>
  <c r="AQ492" i="2"/>
  <c r="G130" i="11"/>
  <c r="W304" i="2"/>
  <c r="J280" i="25"/>
  <c r="H117" i="36"/>
  <c r="H153" i="36" s="1"/>
  <c r="C238" i="36" s="1"/>
  <c r="AM385" i="2"/>
  <c r="AH479" i="2"/>
  <c r="F1158" i="22" s="1"/>
  <c r="AH480" i="2"/>
  <c r="D2026" i="22" s="1"/>
  <c r="H3614" i="22"/>
  <c r="H3616" i="22" s="1"/>
  <c r="P172" i="25"/>
  <c r="R39" i="25"/>
  <c r="D1334" i="22"/>
  <c r="F108" i="27"/>
  <c r="F124" i="27" s="1"/>
  <c r="AN145" i="2"/>
  <c r="AO292" i="2" s="1"/>
  <c r="CN143" i="2"/>
  <c r="G3614" i="22"/>
  <c r="G3616" i="22" s="1"/>
  <c r="O172" i="25"/>
  <c r="O174" i="25" s="1"/>
  <c r="Q39" i="25"/>
  <c r="J166" i="10"/>
  <c r="K162" i="10" s="1"/>
  <c r="BK442" i="19"/>
  <c r="G56" i="11"/>
  <c r="P92" i="11"/>
  <c r="N16" i="35"/>
  <c r="CJ312" i="2"/>
  <c r="CJ316" i="2" s="1"/>
  <c r="CF250" i="2" s="1"/>
  <c r="CF251" i="2" s="1"/>
  <c r="AB150" i="33"/>
  <c r="I117" i="36"/>
  <c r="I131" i="36" s="1"/>
  <c r="AM219" i="2"/>
  <c r="AM327" i="2" s="1"/>
  <c r="AM479" i="2"/>
  <c r="J1158" i="22" s="1"/>
  <c r="AM480" i="2"/>
  <c r="H2026" i="22" s="1"/>
  <c r="AP175" i="2"/>
  <c r="AP260" i="2"/>
  <c r="AC329" i="2"/>
  <c r="CH304" i="2"/>
  <c r="T562" i="22"/>
  <c r="AI560" i="22" s="1"/>
  <c r="CD304" i="2"/>
  <c r="U151" i="33"/>
  <c r="AA132" i="33"/>
  <c r="U144" i="33"/>
  <c r="AA133" i="33"/>
  <c r="CD278" i="2"/>
  <c r="CD295" i="2" s="1"/>
  <c r="CD315" i="2" s="1"/>
  <c r="AC295" i="2"/>
  <c r="AC320" i="2" s="1"/>
  <c r="F882" i="22" s="1"/>
  <c r="F896" i="22" s="1"/>
  <c r="CB254" i="2"/>
  <c r="CD254" i="2"/>
  <c r="D96" i="5"/>
  <c r="D95" i="5"/>
  <c r="D97" i="5"/>
  <c r="D98" i="5"/>
  <c r="B139" i="10"/>
  <c r="J89" i="27"/>
  <c r="G118" i="11"/>
  <c r="DI261" i="2"/>
  <c r="E2265" i="22"/>
  <c r="CN312" i="2"/>
  <c r="CN316" i="2" s="1"/>
  <c r="CJ250" i="2" s="1"/>
  <c r="J1314" i="22"/>
  <c r="CP217" i="2"/>
  <c r="I217" i="25"/>
  <c r="C21" i="43"/>
  <c r="C24" i="43"/>
  <c r="E106" i="3"/>
  <c r="D109" i="3"/>
  <c r="D111" i="3" s="1"/>
  <c r="D113" i="3" s="1"/>
  <c r="D170" i="36"/>
  <c r="H26" i="36"/>
  <c r="H67" i="36"/>
  <c r="W11" i="36"/>
  <c r="H107" i="36"/>
  <c r="H22" i="36"/>
  <c r="H19" i="36"/>
  <c r="H3610" i="22"/>
  <c r="H3612" i="22" s="1"/>
  <c r="P171" i="25"/>
  <c r="S35" i="25"/>
  <c r="L153" i="27"/>
  <c r="J1328" i="22" s="1"/>
  <c r="AA82" i="35"/>
  <c r="V18" i="36"/>
  <c r="CJ284" i="2"/>
  <c r="BB71" i="2"/>
  <c r="BB74" i="2" s="1"/>
  <c r="R290" i="2"/>
  <c r="K345" i="3" s="1"/>
  <c r="K363" i="3" s="1"/>
  <c r="E1710" i="22"/>
  <c r="E1711" i="22" s="1"/>
  <c r="AT23" i="2"/>
  <c r="AT24" i="2" s="1"/>
  <c r="CN265" i="2" s="1"/>
  <c r="AT18" i="2"/>
  <c r="G162" i="27"/>
  <c r="A1362" i="22"/>
  <c r="AQ237" i="2"/>
  <c r="AS333" i="2"/>
  <c r="CM252" i="2" s="1"/>
  <c r="CM264" i="2" s="1"/>
  <c r="AS17" i="2"/>
  <c r="C110" i="43"/>
  <c r="C113" i="43"/>
  <c r="W203" i="22"/>
  <c r="H22" i="5"/>
  <c r="T145" i="2"/>
  <c r="T292" i="2" s="1"/>
  <c r="T144" i="2"/>
  <c r="AG284" i="2"/>
  <c r="E31" i="19"/>
  <c r="M306" i="15" s="1"/>
  <c r="H19" i="4"/>
  <c r="H121" i="4"/>
  <c r="Q58" i="2"/>
  <c r="Q61" i="2" s="1"/>
  <c r="Q64" i="2"/>
  <c r="M77" i="10"/>
  <c r="G1254" i="22" s="1"/>
  <c r="Q294" i="19"/>
  <c r="H115" i="4"/>
  <c r="BJ442" i="19"/>
  <c r="G97" i="12"/>
  <c r="L33" i="4"/>
  <c r="N61" i="35"/>
  <c r="G433" i="22"/>
  <c r="H25" i="10"/>
  <c r="B191" i="36"/>
  <c r="B208" i="36"/>
  <c r="B228" i="36" s="1"/>
  <c r="DA278" i="2"/>
  <c r="DA295" i="2" s="1"/>
  <c r="DA315" i="2" s="1"/>
  <c r="BD295" i="2"/>
  <c r="BD320" i="2" s="1"/>
  <c r="J1319" i="22"/>
  <c r="J1710" i="22"/>
  <c r="AI1713" i="22" s="1"/>
  <c r="S118" i="15"/>
  <c r="F3056" i="22"/>
  <c r="G3056" i="22"/>
  <c r="AA125" i="15"/>
  <c r="F348" i="37"/>
  <c r="F382" i="37" s="1"/>
  <c r="F452" i="37" s="1"/>
  <c r="AG272" i="37"/>
  <c r="G45" i="37"/>
  <c r="G85" i="37" s="1"/>
  <c r="G122" i="37" s="1"/>
  <c r="H4" i="37"/>
  <c r="G161" i="37"/>
  <c r="G183" i="37" s="1"/>
  <c r="G248" i="37" s="1"/>
  <c r="G272" i="37"/>
  <c r="AH4" i="37"/>
  <c r="AT4" i="37" s="1"/>
  <c r="M260" i="37"/>
  <c r="M253" i="37" s="1"/>
  <c r="B5052" i="22"/>
  <c r="B5051" i="22"/>
  <c r="C503" i="37"/>
  <c r="AC23" i="37"/>
  <c r="AI559" i="22"/>
  <c r="AD559" i="22"/>
  <c r="AJ385" i="2"/>
  <c r="CJ217" i="2"/>
  <c r="F1070" i="22"/>
  <c r="AJ290" i="2"/>
  <c r="CN217" i="2"/>
  <c r="AJ219" i="2"/>
  <c r="AJ327" i="2" s="1"/>
  <c r="AJ325" i="2"/>
  <c r="L884" i="22" s="1"/>
  <c r="AJ283" i="2"/>
  <c r="H294" i="38"/>
  <c r="L37" i="10"/>
  <c r="L57" i="10" s="1"/>
  <c r="AQ483" i="2"/>
  <c r="AQ485" i="2" s="1"/>
  <c r="AF76" i="10"/>
  <c r="BJ439" i="19"/>
  <c r="CK285" i="2"/>
  <c r="O557" i="22"/>
  <c r="AI555" i="22" s="1"/>
  <c r="H60" i="11"/>
  <c r="H61" i="11" s="1"/>
  <c r="DG140" i="2"/>
  <c r="CU208" i="2"/>
  <c r="CQ246" i="2" s="1"/>
  <c r="E204" i="27"/>
  <c r="E238" i="27" s="1"/>
  <c r="F238" i="27"/>
  <c r="Z35" i="2"/>
  <c r="Z50" i="2" s="1"/>
  <c r="Z23" i="2"/>
  <c r="Z24" i="2" s="1"/>
  <c r="J110" i="27"/>
  <c r="J126" i="27" s="1"/>
  <c r="K141" i="27" s="1"/>
  <c r="I94" i="27"/>
  <c r="J94" i="27"/>
  <c r="H354" i="2"/>
  <c r="BC354" i="2"/>
  <c r="D68" i="43"/>
  <c r="D74" i="43"/>
  <c r="D71" i="43"/>
  <c r="D73" i="43"/>
  <c r="P66" i="10"/>
  <c r="J100" i="27"/>
  <c r="J116" i="27" s="1"/>
  <c r="K131" i="27" s="1"/>
  <c r="H29" i="12"/>
  <c r="W214" i="22"/>
  <c r="I29" i="12"/>
  <c r="Q23" i="15"/>
  <c r="Q24" i="15" s="1"/>
  <c r="Q88" i="15"/>
  <c r="X67" i="36"/>
  <c r="I188" i="36" s="1"/>
  <c r="I76" i="36"/>
  <c r="X76" i="36" s="1"/>
  <c r="D67" i="36"/>
  <c r="D11" i="36" s="1"/>
  <c r="BE17" i="2"/>
  <c r="BE334" i="2"/>
  <c r="BE313" i="2"/>
  <c r="BE333" i="2"/>
  <c r="DB312" i="2"/>
  <c r="DB316" i="2" s="1"/>
  <c r="S9" i="36"/>
  <c r="H113" i="4"/>
  <c r="AG212" i="2"/>
  <c r="H57" i="4"/>
  <c r="G142" i="43"/>
  <c r="G131" i="43"/>
  <c r="G139" i="43"/>
  <c r="G395" i="22"/>
  <c r="H21" i="19"/>
  <c r="H104" i="27"/>
  <c r="H120" i="27" s="1"/>
  <c r="D29" i="12"/>
  <c r="I325" i="22"/>
  <c r="CD226" i="2"/>
  <c r="CM166" i="2"/>
  <c r="E203" i="36"/>
  <c r="DA312" i="2"/>
  <c r="DA316" i="2" s="1"/>
  <c r="BD334" i="2"/>
  <c r="BD333" i="2"/>
  <c r="BD313" i="2"/>
  <c r="BD17" i="2"/>
  <c r="AM145" i="2"/>
  <c r="AM144" i="2"/>
  <c r="G2" i="4"/>
  <c r="H10" i="4"/>
  <c r="N290" i="2"/>
  <c r="M290" i="2"/>
  <c r="H30" i="38"/>
  <c r="J86" i="10"/>
  <c r="J93" i="10" s="1"/>
  <c r="I150" i="27"/>
  <c r="I156" i="27" s="1"/>
  <c r="K77" i="10"/>
  <c r="H396" i="22" s="1"/>
  <c r="H22" i="19"/>
  <c r="G112" i="25"/>
  <c r="G17" i="25" s="1"/>
  <c r="G18" i="25" s="1"/>
  <c r="CP136" i="2"/>
  <c r="P294" i="19"/>
  <c r="D38" i="11"/>
  <c r="D20" i="11" s="1"/>
  <c r="E341" i="25"/>
  <c r="M436" i="19"/>
  <c r="D24" i="38"/>
  <c r="AO329" i="2"/>
  <c r="Y64" i="36"/>
  <c r="E64" i="36"/>
  <c r="E8" i="36" s="1"/>
  <c r="CF125" i="2"/>
  <c r="N251" i="22" s="1"/>
  <c r="CE125" i="2"/>
  <c r="M251" i="22" s="1"/>
  <c r="G890" i="22"/>
  <c r="AE283" i="2"/>
  <c r="CF283" i="2" s="1"/>
  <c r="N250" i="22" s="1"/>
  <c r="AD283" i="2"/>
  <c r="CE283" i="2" s="1"/>
  <c r="AD143" i="2"/>
  <c r="AY334" i="2"/>
  <c r="AY313" i="2"/>
  <c r="AY17" i="2"/>
  <c r="CW312" i="2"/>
  <c r="CW316" i="2" s="1"/>
  <c r="CR250" i="2" s="1"/>
  <c r="CR251" i="2" s="1"/>
  <c r="AN144" i="2"/>
  <c r="AO290" i="2"/>
  <c r="X107" i="36"/>
  <c r="X104" i="36"/>
  <c r="X108" i="36"/>
  <c r="X105" i="36"/>
  <c r="O121" i="36"/>
  <c r="X102" i="36"/>
  <c r="O154" i="36"/>
  <c r="BS312" i="2"/>
  <c r="X103" i="36"/>
  <c r="X111" i="36"/>
  <c r="X106" i="36"/>
  <c r="X101" i="36"/>
  <c r="X99" i="36"/>
  <c r="X110" i="36"/>
  <c r="X100" i="36"/>
  <c r="F18" i="35"/>
  <c r="F28" i="35"/>
  <c r="BG26" i="2"/>
  <c r="BG24" i="2"/>
  <c r="CX265" i="2" s="1"/>
  <c r="BG71" i="2"/>
  <c r="BG80" i="2" s="1"/>
  <c r="P62" i="10"/>
  <c r="K37" i="10"/>
  <c r="K57" i="10" s="1"/>
  <c r="J362" i="22"/>
  <c r="J363" i="22" s="1"/>
  <c r="CE285" i="2"/>
  <c r="F59" i="25"/>
  <c r="F101" i="25" s="1"/>
  <c r="E23" i="11"/>
  <c r="G104" i="27"/>
  <c r="G120" i="27" s="1"/>
  <c r="G135" i="27" s="1"/>
  <c r="H23" i="4"/>
  <c r="J136" i="43"/>
  <c r="AQ488" i="2"/>
  <c r="CP130" i="2"/>
  <c r="AA329" i="2"/>
  <c r="R562" i="22"/>
  <c r="AG560" i="22" s="1"/>
  <c r="AA364" i="2"/>
  <c r="AF364" i="2"/>
  <c r="AA303" i="2"/>
  <c r="CC304" i="2"/>
  <c r="CG304" i="2"/>
  <c r="X328" i="2"/>
  <c r="Y290" i="2"/>
  <c r="AN243" i="2"/>
  <c r="AN217" i="2"/>
  <c r="D1298" i="22"/>
  <c r="J128" i="12"/>
  <c r="J119" i="12" s="1"/>
  <c r="J91" i="12"/>
  <c r="F158" i="27" s="1"/>
  <c r="K109" i="12"/>
  <c r="M5" i="12"/>
  <c r="M44" i="12"/>
  <c r="M75" i="12" s="1"/>
  <c r="T35" i="19"/>
  <c r="T53" i="19"/>
  <c r="T54" i="19" s="1"/>
  <c r="T215" i="19"/>
  <c r="M437" i="19"/>
  <c r="D37" i="11"/>
  <c r="D19" i="11" s="1"/>
  <c r="D28" i="11" s="1"/>
  <c r="H88" i="27"/>
  <c r="I280" i="25"/>
  <c r="Q290" i="2"/>
  <c r="J345" i="3" s="1"/>
  <c r="J363" i="3" s="1"/>
  <c r="CG283" i="2"/>
  <c r="CD222" i="2"/>
  <c r="E10" i="41"/>
  <c r="E13" i="41" s="1"/>
  <c r="E16" i="41" s="1"/>
  <c r="D1583" i="22"/>
  <c r="E1303" i="22"/>
  <c r="AF144" i="2"/>
  <c r="CG143" i="2"/>
  <c r="AF145" i="2"/>
  <c r="AF292" i="2" s="1"/>
  <c r="AF289" i="2"/>
  <c r="Q412" i="15"/>
  <c r="I12" i="27"/>
  <c r="I44" i="27" s="1"/>
  <c r="B180" i="36"/>
  <c r="B198" i="36"/>
  <c r="B218" i="36" s="1"/>
  <c r="M65" i="35"/>
  <c r="M67" i="35"/>
  <c r="M68" i="35" s="1"/>
  <c r="AL215" i="2"/>
  <c r="AI217" i="2"/>
  <c r="AK243" i="2"/>
  <c r="AK217" i="2"/>
  <c r="X145" i="2"/>
  <c r="X292" i="2" s="1"/>
  <c r="X144" i="2"/>
  <c r="X291" i="2" s="1"/>
  <c r="AT58" i="2"/>
  <c r="AT61" i="2" s="1"/>
  <c r="AT64" i="2"/>
  <c r="AC58" i="2"/>
  <c r="AC61" i="2" s="1"/>
  <c r="AC64" i="2"/>
  <c r="O4" i="25"/>
  <c r="N5" i="25"/>
  <c r="BJ5" i="2"/>
  <c r="BJ29" i="2" s="1"/>
  <c r="AC212" i="33"/>
  <c r="AC211" i="33"/>
  <c r="AJ443" i="19"/>
  <c r="AJ449" i="19" s="1"/>
  <c r="E24" i="38"/>
  <c r="U5" i="36"/>
  <c r="X329" i="2"/>
  <c r="I323" i="22"/>
  <c r="E359" i="2"/>
  <c r="CT252" i="2"/>
  <c r="CT264" i="2" s="1"/>
  <c r="V290" i="2"/>
  <c r="O345" i="3" s="1"/>
  <c r="AE144" i="2"/>
  <c r="AF290" i="2"/>
  <c r="I13" i="27"/>
  <c r="I45" i="27" s="1"/>
  <c r="Q458" i="15"/>
  <c r="V64" i="2"/>
  <c r="V58" i="2"/>
  <c r="V61" i="2" s="1"/>
  <c r="K31" i="5"/>
  <c r="K39" i="5" s="1"/>
  <c r="L7" i="5"/>
  <c r="AI329" i="2"/>
  <c r="J117" i="11"/>
  <c r="AE290" i="2"/>
  <c r="Q6" i="12"/>
  <c r="T389" i="15"/>
  <c r="L11" i="27"/>
  <c r="J1258" i="22"/>
  <c r="J1264" i="22" s="1"/>
  <c r="P158" i="10"/>
  <c r="P161" i="10" s="1"/>
  <c r="AG217" i="2"/>
  <c r="AG219" i="2" s="1"/>
  <c r="K135" i="27"/>
  <c r="D89" i="27"/>
  <c r="D97" i="27" s="1"/>
  <c r="BA131" i="2"/>
  <c r="CX131" i="2" s="1"/>
  <c r="X151" i="2"/>
  <c r="K424" i="19" s="1"/>
  <c r="X364" i="2"/>
  <c r="CO312" i="2"/>
  <c r="CO316" i="2" s="1"/>
  <c r="CK250" i="2" s="1"/>
  <c r="CK312" i="2"/>
  <c r="CK316" i="2" s="1"/>
  <c r="CG250" i="2" s="1"/>
  <c r="CG251" i="2" s="1"/>
  <c r="AK17" i="2"/>
  <c r="O290" i="2"/>
  <c r="U144" i="2"/>
  <c r="M190" i="25"/>
  <c r="M197" i="25" s="1"/>
  <c r="O127" i="25"/>
  <c r="Q63" i="40"/>
  <c r="BD362" i="38"/>
  <c r="M168" i="37"/>
  <c r="BD312" i="38"/>
  <c r="M214" i="37" s="1"/>
  <c r="Q93" i="40"/>
  <c r="BD363" i="38"/>
  <c r="M163" i="37"/>
  <c r="M219" i="37"/>
  <c r="BD357" i="38" s="1"/>
  <c r="AB118" i="15"/>
  <c r="H3041" i="22"/>
  <c r="H2987" i="22"/>
  <c r="O316" i="37"/>
  <c r="P316" i="37" s="1"/>
  <c r="Q316" i="37" s="1"/>
  <c r="R316" i="37" s="1"/>
  <c r="S316" i="37" s="1"/>
  <c r="T316" i="37" s="1"/>
  <c r="P87" i="22"/>
  <c r="P92" i="22" s="1"/>
  <c r="J72" i="13"/>
  <c r="C4821" i="22" s="1"/>
  <c r="O155" i="37"/>
  <c r="O435" i="19"/>
  <c r="O436" i="19"/>
  <c r="O437" i="19"/>
  <c r="BA353" i="2"/>
  <c r="F353" i="2"/>
  <c r="O122" i="4"/>
  <c r="AT471" i="2"/>
  <c r="N2025" i="22" s="1"/>
  <c r="AT470" i="2"/>
  <c r="AU304" i="2"/>
  <c r="F207" i="36"/>
  <c r="K115" i="36"/>
  <c r="AJ23" i="2"/>
  <c r="AJ35" i="2"/>
  <c r="AJ50" i="2" s="1"/>
  <c r="Y289" i="2"/>
  <c r="Y145" i="2"/>
  <c r="CA143" i="2"/>
  <c r="Y144" i="2"/>
  <c r="Z289" i="2"/>
  <c r="F131" i="31"/>
  <c r="F119" i="31"/>
  <c r="O20" i="4"/>
  <c r="BD144" i="2"/>
  <c r="BD145" i="2"/>
  <c r="DA143" i="2"/>
  <c r="AR145" i="2"/>
  <c r="CQ143" i="2"/>
  <c r="AR144" i="2"/>
  <c r="CH282" i="2"/>
  <c r="M32" i="4"/>
  <c r="M91" i="4" s="1"/>
  <c r="N89" i="11"/>
  <c r="O93" i="11" s="1"/>
  <c r="H218" i="27" s="1"/>
  <c r="I8" i="27"/>
  <c r="I40" i="27" s="1"/>
  <c r="G303" i="25"/>
  <c r="H4169" i="22"/>
  <c r="CT208" i="2"/>
  <c r="CP246" i="2" s="1"/>
  <c r="DF140" i="2"/>
  <c r="AH144" i="2"/>
  <c r="AH145" i="2"/>
  <c r="E1330" i="22"/>
  <c r="AN302" i="2"/>
  <c r="K143" i="10"/>
  <c r="R289" i="2"/>
  <c r="F66" i="10"/>
  <c r="B182" i="36"/>
  <c r="B200" i="36"/>
  <c r="B220" i="36" s="1"/>
  <c r="AW295" i="2"/>
  <c r="AW320" i="2" s="1"/>
  <c r="CT278" i="2"/>
  <c r="CT295" i="2" s="1"/>
  <c r="CT315" i="2" s="1"/>
  <c r="BC145" i="2"/>
  <c r="BC144" i="2"/>
  <c r="AA23" i="2"/>
  <c r="AA24" i="2" s="1"/>
  <c r="AA35" i="2"/>
  <c r="AA50" i="2" s="1"/>
  <c r="G56" i="43"/>
  <c r="G165" i="43"/>
  <c r="G167" i="43" s="1"/>
  <c r="G17" i="43"/>
  <c r="G6" i="43"/>
  <c r="G14" i="43"/>
  <c r="F67" i="27"/>
  <c r="G67" i="27" s="1"/>
  <c r="H67" i="27" s="1"/>
  <c r="I67" i="27" s="1"/>
  <c r="J67" i="27" s="1"/>
  <c r="K67" i="27" s="1"/>
  <c r="L67" i="27" s="1"/>
  <c r="D67" i="27"/>
  <c r="E83" i="27"/>
  <c r="J56" i="11"/>
  <c r="E121" i="11"/>
  <c r="AM238" i="2"/>
  <c r="AM259" i="2" s="1"/>
  <c r="AM260" i="2" s="1"/>
  <c r="AM243" i="2"/>
  <c r="H92" i="4"/>
  <c r="AG239" i="2"/>
  <c r="H117" i="4"/>
  <c r="E1305" i="22"/>
  <c r="D1584" i="22"/>
  <c r="BB497" i="2"/>
  <c r="E59" i="19"/>
  <c r="AE304" i="2"/>
  <c r="P45" i="22"/>
  <c r="P50" i="22" s="1"/>
  <c r="P51" i="22" s="1"/>
  <c r="V558" i="22"/>
  <c r="AE328" i="2"/>
  <c r="AH442" i="19" s="1"/>
  <c r="AH443" i="19" s="1"/>
  <c r="H5" i="43"/>
  <c r="I11" i="43"/>
  <c r="J11" i="43" s="1"/>
  <c r="K11" i="43" s="1"/>
  <c r="L11" i="43" s="1"/>
  <c r="M11" i="43" s="1"/>
  <c r="K171" i="27"/>
  <c r="K179" i="27" s="1"/>
  <c r="H176" i="10"/>
  <c r="H178" i="10" s="1"/>
  <c r="H179" i="10" s="1"/>
  <c r="M128" i="11"/>
  <c r="Q7" i="12"/>
  <c r="T412" i="15"/>
  <c r="L12" i="27"/>
  <c r="L44" i="27" s="1"/>
  <c r="AJ163" i="2"/>
  <c r="CN163" i="2" s="1"/>
  <c r="AJ260" i="2"/>
  <c r="F111" i="27"/>
  <c r="F127" i="27" s="1"/>
  <c r="D1337" i="22"/>
  <c r="AK171" i="2"/>
  <c r="CO171" i="2" s="1"/>
  <c r="AK260" i="2"/>
  <c r="AN285" i="2"/>
  <c r="CM285" i="2" s="1"/>
  <c r="K60" i="11"/>
  <c r="I60" i="11"/>
  <c r="AE285" i="2"/>
  <c r="O323" i="22"/>
  <c r="CF226" i="2"/>
  <c r="V561" i="22"/>
  <c r="AK559" i="22" s="1"/>
  <c r="CJ226" i="2"/>
  <c r="AO444" i="19"/>
  <c r="AO448" i="19"/>
  <c r="AO447" i="19"/>
  <c r="BO443" i="19"/>
  <c r="AO453" i="19" s="1"/>
  <c r="R137" i="25"/>
  <c r="Q138" i="25"/>
  <c r="AN304" i="2"/>
  <c r="G59" i="19"/>
  <c r="H289" i="2"/>
  <c r="I289" i="2"/>
  <c r="I50" i="19"/>
  <c r="E2626" i="22"/>
  <c r="M58" i="11"/>
  <c r="AA144" i="2"/>
  <c r="AA289" i="2"/>
  <c r="AA145" i="2"/>
  <c r="CC143" i="2"/>
  <c r="AI35" i="2"/>
  <c r="AI50" i="2" s="1"/>
  <c r="AI23" i="2"/>
  <c r="K127" i="12"/>
  <c r="K118" i="12" s="1"/>
  <c r="E1296" i="22"/>
  <c r="AQ154" i="2"/>
  <c r="K90" i="12"/>
  <c r="K108" i="12"/>
  <c r="AO333" i="2"/>
  <c r="AO289" i="2"/>
  <c r="CR242" i="2"/>
  <c r="CN247" i="2" s="1"/>
  <c r="CN248" i="2" s="1"/>
  <c r="AO3" i="2"/>
  <c r="AO390" i="2"/>
  <c r="BQ227" i="2"/>
  <c r="M152" i="36"/>
  <c r="G237" i="36" s="1"/>
  <c r="H72" i="5"/>
  <c r="H60" i="5"/>
  <c r="G44" i="4"/>
  <c r="H62" i="5"/>
  <c r="H63" i="5" s="1"/>
  <c r="I64" i="5" s="1"/>
  <c r="H177" i="19"/>
  <c r="BV143" i="2"/>
  <c r="H196" i="27"/>
  <c r="H192" i="27"/>
  <c r="M30" i="5"/>
  <c r="M38" i="5" s="1"/>
  <c r="N6" i="5"/>
  <c r="H134" i="27"/>
  <c r="E81" i="3"/>
  <c r="D83" i="3"/>
  <c r="D85" i="3" s="1"/>
  <c r="D87" i="3" s="1"/>
  <c r="D91" i="3"/>
  <c r="Y77" i="35"/>
  <c r="F82" i="35"/>
  <c r="I84" i="27"/>
  <c r="Q76" i="10"/>
  <c r="Q105" i="10" s="1"/>
  <c r="CZ304" i="38"/>
  <c r="CZ42" i="38" s="1"/>
  <c r="R119" i="15"/>
  <c r="P86" i="10"/>
  <c r="P87" i="10" s="1"/>
  <c r="Y34" i="35"/>
  <c r="BO89" i="2"/>
  <c r="BO92" i="2" s="1"/>
  <c r="AJ471" i="2"/>
  <c r="F2025" i="22" s="1"/>
  <c r="AJ470" i="2"/>
  <c r="H1157" i="22" s="1"/>
  <c r="G4831" i="22"/>
  <c r="BF143" i="2"/>
  <c r="DB143" i="2" s="1"/>
  <c r="P77" i="10"/>
  <c r="J1254" i="22" s="1"/>
  <c r="O138" i="37"/>
  <c r="W43" i="19"/>
  <c r="D66" i="36"/>
  <c r="D10" i="36" s="1"/>
  <c r="N66" i="36"/>
  <c r="BA132" i="2"/>
  <c r="I19" i="11"/>
  <c r="H6" i="4" s="1"/>
  <c r="F67" i="43"/>
  <c r="F72" i="43" s="1"/>
  <c r="G59" i="43"/>
  <c r="F179" i="10"/>
  <c r="P134" i="36"/>
  <c r="J197" i="36"/>
  <c r="J217" i="36" s="1"/>
  <c r="S125" i="15"/>
  <c r="T125" i="15"/>
  <c r="AB125" i="15"/>
  <c r="U125" i="15"/>
  <c r="AC125" i="15"/>
  <c r="Y125" i="15"/>
  <c r="V125" i="15"/>
  <c r="W125" i="15"/>
  <c r="Z125" i="15"/>
  <c r="X125" i="15"/>
  <c r="N148" i="37"/>
  <c r="D2635" i="22"/>
  <c r="D2632" i="22"/>
  <c r="D2633" i="22"/>
  <c r="E4180" i="22"/>
  <c r="E4181" i="22" s="1"/>
  <c r="P55" i="13"/>
  <c r="AE125" i="15" s="1"/>
  <c r="N275" i="19"/>
  <c r="N291" i="19"/>
  <c r="N296" i="19" s="1"/>
  <c r="N301" i="19" s="1"/>
  <c r="I113" i="15"/>
  <c r="I123" i="15"/>
  <c r="I121" i="15"/>
  <c r="AQ304" i="38"/>
  <c r="AQ49" i="38"/>
  <c r="AQ69" i="38" s="1"/>
  <c r="B52" i="42"/>
  <c r="H4179" i="22"/>
  <c r="I2482" i="22"/>
  <c r="G84" i="46"/>
  <c r="K125" i="4"/>
  <c r="AH287" i="2"/>
  <c r="CH287" i="2" s="1"/>
  <c r="CH142" i="2"/>
  <c r="T18" i="12"/>
  <c r="G34" i="12"/>
  <c r="F7" i="4"/>
  <c r="I96" i="27"/>
  <c r="J96" i="27"/>
  <c r="M86" i="12"/>
  <c r="G161" i="27"/>
  <c r="AQ236" i="2"/>
  <c r="A1361" i="22"/>
  <c r="B91" i="12"/>
  <c r="B234" i="14"/>
  <c r="W142" i="2"/>
  <c r="J23" i="4"/>
  <c r="F92" i="4"/>
  <c r="W239" i="2"/>
  <c r="W331" i="2" s="1"/>
  <c r="F62" i="4"/>
  <c r="E16" i="12"/>
  <c r="E44" i="12"/>
  <c r="E23" i="12" s="1"/>
  <c r="D7" i="4" s="1"/>
  <c r="J91" i="27"/>
  <c r="I91" i="27"/>
  <c r="I107" i="27"/>
  <c r="I123" i="27" s="1"/>
  <c r="J107" i="27"/>
  <c r="J123" i="27" s="1"/>
  <c r="P171" i="12"/>
  <c r="P172" i="12" s="1"/>
  <c r="Q172" i="12" s="1"/>
  <c r="R172" i="12" s="1"/>
  <c r="S172" i="12" s="1"/>
  <c r="T172" i="12" s="1"/>
  <c r="U172" i="12" s="1"/>
  <c r="V172" i="12" s="1"/>
  <c r="W172" i="12" s="1"/>
  <c r="X172" i="12" s="1"/>
  <c r="Y172" i="12" s="1"/>
  <c r="Z172" i="12" s="1"/>
  <c r="AA172" i="12" s="1"/>
  <c r="P169" i="12"/>
  <c r="F2746" i="22"/>
  <c r="O33" i="4"/>
  <c r="U16" i="12"/>
  <c r="CL142" i="2"/>
  <c r="AM287" i="2"/>
  <c r="E185" i="12"/>
  <c r="E188" i="12"/>
  <c r="H188" i="12"/>
  <c r="E187" i="12"/>
  <c r="E189" i="12"/>
  <c r="H190" i="12"/>
  <c r="H187" i="12"/>
  <c r="C190" i="12"/>
  <c r="C187" i="12"/>
  <c r="H189" i="12"/>
  <c r="C188" i="12"/>
  <c r="C189" i="12"/>
  <c r="E190" i="12"/>
  <c r="C185" i="12"/>
  <c r="H186" i="12"/>
  <c r="E186" i="12"/>
  <c r="C186" i="12"/>
  <c r="C181" i="27"/>
  <c r="E7" i="4"/>
  <c r="G172" i="12"/>
  <c r="E86" i="12"/>
  <c r="E65" i="12"/>
  <c r="F65" i="12"/>
  <c r="F86" i="12"/>
  <c r="D15" i="4"/>
  <c r="I1303" i="22"/>
  <c r="H1583" i="22"/>
  <c r="AU497" i="2"/>
  <c r="T19" i="12"/>
  <c r="H1584" i="22"/>
  <c r="I1305" i="22"/>
  <c r="N169" i="12"/>
  <c r="D2746" i="22"/>
  <c r="N171" i="12"/>
  <c r="N172" i="12" s="1"/>
  <c r="M33" i="4"/>
  <c r="B132" i="12"/>
  <c r="B141" i="12" s="1"/>
  <c r="B166" i="12" s="1"/>
  <c r="B150" i="12"/>
  <c r="E172" i="12"/>
  <c r="AP480" i="2"/>
  <c r="K2026" i="22" s="1"/>
  <c r="AP479" i="2"/>
  <c r="P179" i="12"/>
  <c r="F172" i="12"/>
  <c r="U368" i="15"/>
  <c r="R68" i="12"/>
  <c r="B1306" i="22"/>
  <c r="K117" i="4"/>
  <c r="CX135" i="2"/>
  <c r="BA142" i="2"/>
  <c r="CX142" i="2" s="1"/>
  <c r="DJ142" i="2" s="1"/>
  <c r="O121" i="12"/>
  <c r="P130" i="12"/>
  <c r="P389" i="15"/>
  <c r="H11" i="27"/>
  <c r="H43" i="27" s="1"/>
  <c r="AB6" i="12"/>
  <c r="AB38" i="12" s="1"/>
  <c r="N584" i="3"/>
  <c r="K11" i="27"/>
  <c r="K43" i="27" s="1"/>
  <c r="S389" i="15"/>
  <c r="K23" i="4"/>
  <c r="G92" i="27"/>
  <c r="H92" i="27"/>
  <c r="N86" i="12"/>
  <c r="M65" i="12"/>
  <c r="N65" i="12"/>
  <c r="L15" i="4"/>
  <c r="B124" i="12"/>
  <c r="B105" i="12"/>
  <c r="P44" i="12"/>
  <c r="P75" i="12" s="1"/>
  <c r="P5" i="12"/>
  <c r="K7" i="12"/>
  <c r="K44" i="12"/>
  <c r="K75" i="12" s="1"/>
  <c r="H86" i="12"/>
  <c r="G75" i="12"/>
  <c r="H172" i="12"/>
  <c r="D2262" i="22"/>
  <c r="D2265" i="22" s="1"/>
  <c r="F15" i="4"/>
  <c r="H65" i="12"/>
  <c r="G65" i="12"/>
  <c r="F18" i="25"/>
  <c r="F25" i="25"/>
  <c r="I267" i="25"/>
  <c r="J267" i="25" s="1"/>
  <c r="K267" i="25" s="1"/>
  <c r="L32" i="4"/>
  <c r="L91" i="4" s="1"/>
  <c r="N84" i="11"/>
  <c r="M133" i="11"/>
  <c r="N133" i="11" s="1"/>
  <c r="O133" i="11" s="1"/>
  <c r="P133" i="11" s="1"/>
  <c r="Q133" i="11" s="1"/>
  <c r="R133" i="11" s="1"/>
  <c r="S133" i="11" s="1"/>
  <c r="T133" i="11" s="1"/>
  <c r="U133" i="11" s="1"/>
  <c r="V133" i="11" s="1"/>
  <c r="W133" i="11" s="1"/>
  <c r="X133" i="11" s="1"/>
  <c r="Y133" i="11" s="1"/>
  <c r="Z133" i="11" s="1"/>
  <c r="AA133" i="11" s="1"/>
  <c r="M89" i="11"/>
  <c r="G252" i="25"/>
  <c r="H266" i="25"/>
  <c r="S43" i="25"/>
  <c r="R45" i="25"/>
  <c r="R51" i="25"/>
  <c r="R52" i="25" s="1"/>
  <c r="R47" i="25"/>
  <c r="R54" i="25" s="1"/>
  <c r="F214" i="27"/>
  <c r="R209" i="27"/>
  <c r="V40" i="25"/>
  <c r="I268" i="25"/>
  <c r="J268" i="25" s="1"/>
  <c r="K268" i="25" s="1"/>
  <c r="L122" i="25"/>
  <c r="J193" i="25" s="1"/>
  <c r="L116" i="25"/>
  <c r="H209" i="27"/>
  <c r="H214" i="27" s="1"/>
  <c r="N33" i="4"/>
  <c r="E2746" i="22"/>
  <c r="O169" i="12"/>
  <c r="O179" i="12"/>
  <c r="O171" i="12"/>
  <c r="O172" i="12" s="1"/>
  <c r="G330" i="25"/>
  <c r="F329" i="25"/>
  <c r="H281" i="25"/>
  <c r="H279" i="25" s="1"/>
  <c r="H276" i="25" s="1"/>
  <c r="I273" i="25"/>
  <c r="H4406" i="22"/>
  <c r="I337" i="25"/>
  <c r="J323" i="25"/>
  <c r="K274" i="25"/>
  <c r="J33" i="25"/>
  <c r="K15" i="25"/>
  <c r="H23" i="11"/>
  <c r="F6" i="4"/>
  <c r="F126" i="34"/>
  <c r="F127" i="34" s="1"/>
  <c r="G28" i="11"/>
  <c r="O19" i="11"/>
  <c r="M10" i="11"/>
  <c r="G134" i="27"/>
  <c r="N115" i="4"/>
  <c r="H16" i="4"/>
  <c r="M53" i="15" s="1"/>
  <c r="G52" i="31"/>
  <c r="G50" i="31" s="1"/>
  <c r="AF79" i="11"/>
  <c r="N21" i="4"/>
  <c r="K322" i="15"/>
  <c r="C147" i="11"/>
  <c r="E89" i="27"/>
  <c r="E97" i="27" s="1"/>
  <c r="G62" i="31"/>
  <c r="H59" i="31" s="1"/>
  <c r="K5" i="11"/>
  <c r="K37" i="11"/>
  <c r="H8" i="31"/>
  <c r="E37" i="11"/>
  <c r="E38" i="11"/>
  <c r="E15" i="11"/>
  <c r="BZ129" i="2"/>
  <c r="W132" i="2"/>
  <c r="X285" i="2" s="1"/>
  <c r="W131" i="2"/>
  <c r="E61" i="4"/>
  <c r="N48" i="4"/>
  <c r="I1276" i="22" s="1"/>
  <c r="M21" i="4"/>
  <c r="N123" i="4"/>
  <c r="BK143" i="2"/>
  <c r="BK144" i="2" s="1"/>
  <c r="H123" i="4"/>
  <c r="AV226" i="2"/>
  <c r="AV227" i="2" s="1"/>
  <c r="F1274" i="22"/>
  <c r="S15" i="11"/>
  <c r="F55" i="11"/>
  <c r="E14" i="4"/>
  <c r="E16" i="4" s="1"/>
  <c r="G63" i="11"/>
  <c r="AM286" i="2"/>
  <c r="CL131" i="2"/>
  <c r="F121" i="11"/>
  <c r="S14" i="11"/>
  <c r="D14" i="4"/>
  <c r="D22" i="4" s="1"/>
  <c r="F63" i="11"/>
  <c r="AC19" i="11"/>
  <c r="J14" i="4"/>
  <c r="O347" i="22"/>
  <c r="L2" i="11"/>
  <c r="M2" i="11" s="1"/>
  <c r="N2" i="11" s="1"/>
  <c r="O2" i="11" s="1"/>
  <c r="P2" i="11" s="1"/>
  <c r="Q2" i="11" s="1"/>
  <c r="R2" i="11" s="1"/>
  <c r="S2" i="11" s="1"/>
  <c r="T2" i="11" s="1"/>
  <c r="U2" i="11" s="1"/>
  <c r="V2" i="11" s="1"/>
  <c r="W2" i="11" s="1"/>
  <c r="X2" i="11" s="1"/>
  <c r="Y2" i="11" s="1"/>
  <c r="Z2" i="11" s="1"/>
  <c r="AA2" i="11" s="1"/>
  <c r="H18" i="15"/>
  <c r="C81" i="27"/>
  <c r="J81" i="27"/>
  <c r="G45" i="31"/>
  <c r="F1958" i="22" s="1"/>
  <c r="H21" i="4"/>
  <c r="K105" i="27"/>
  <c r="K121" i="27" s="1"/>
  <c r="G55" i="11"/>
  <c r="F14" i="4"/>
  <c r="Q6" i="11"/>
  <c r="T343" i="15"/>
  <c r="L8" i="27"/>
  <c r="L40" i="27" s="1"/>
  <c r="P10" i="11"/>
  <c r="P19" i="11" s="1"/>
  <c r="E63" i="11"/>
  <c r="K89" i="27"/>
  <c r="K97" i="27" s="1"/>
  <c r="J55" i="11"/>
  <c r="J19" i="11"/>
  <c r="J97" i="19"/>
  <c r="AK142" i="10"/>
  <c r="AN142" i="10" s="1"/>
  <c r="F410" i="19"/>
  <c r="G2" i="19"/>
  <c r="AK30" i="19"/>
  <c r="F107" i="19"/>
  <c r="I237" i="19"/>
  <c r="J234" i="19"/>
  <c r="K234" i="19" s="1"/>
  <c r="L234" i="19" s="1"/>
  <c r="M234" i="19" s="1"/>
  <c r="M59" i="4"/>
  <c r="M101" i="4"/>
  <c r="BF303" i="2"/>
  <c r="M297" i="15"/>
  <c r="AE503" i="2"/>
  <c r="I7" i="11"/>
  <c r="F12" i="19"/>
  <c r="C5" i="31"/>
  <c r="C52" i="31" s="1"/>
  <c r="J115" i="4"/>
  <c r="J123" i="4"/>
  <c r="J21" i="4"/>
  <c r="I21" i="4"/>
  <c r="I24" i="4" s="1"/>
  <c r="I25" i="4" s="1"/>
  <c r="AI448" i="19"/>
  <c r="BM443" i="19"/>
  <c r="AM453" i="19" s="1"/>
  <c r="AI447" i="19"/>
  <c r="AI444" i="19"/>
  <c r="H73" i="27"/>
  <c r="I89" i="27" s="1"/>
  <c r="K13" i="4"/>
  <c r="L21" i="4" s="1"/>
  <c r="L47" i="11"/>
  <c r="L59" i="11"/>
  <c r="E206" i="27" s="1"/>
  <c r="L63" i="11"/>
  <c r="AI204" i="19"/>
  <c r="AI203" i="19" s="1"/>
  <c r="AI212" i="19"/>
  <c r="AI211" i="19" s="1"/>
  <c r="H211" i="19" s="1"/>
  <c r="H207" i="19"/>
  <c r="J207" i="19"/>
  <c r="K207" i="19" s="1"/>
  <c r="L207" i="19" s="1"/>
  <c r="M207" i="19" s="1"/>
  <c r="N207" i="19" s="1"/>
  <c r="O207" i="19" s="1"/>
  <c r="P207" i="19" s="1"/>
  <c r="Q207" i="19" s="1"/>
  <c r="R207" i="19" s="1"/>
  <c r="S207" i="19" s="1"/>
  <c r="T207" i="19" s="1"/>
  <c r="U207" i="19" s="1"/>
  <c r="V207" i="19" s="1"/>
  <c r="W207" i="19" s="1"/>
  <c r="M115" i="4"/>
  <c r="BK439" i="19"/>
  <c r="AK451" i="19"/>
  <c r="AK457" i="19" s="1"/>
  <c r="BQ442" i="19"/>
  <c r="AQ443" i="19"/>
  <c r="J124" i="19"/>
  <c r="I125" i="19"/>
  <c r="O311" i="19"/>
  <c r="M123" i="4"/>
  <c r="K108" i="19"/>
  <c r="K165" i="19" s="1"/>
  <c r="K159" i="19" s="1"/>
  <c r="K223" i="19" s="1"/>
  <c r="L109" i="19"/>
  <c r="AP443" i="19"/>
  <c r="AP449" i="19" s="1"/>
  <c r="BP442" i="19"/>
  <c r="AU425" i="19"/>
  <c r="AU460" i="19"/>
  <c r="AU461" i="19" s="1"/>
  <c r="BU424" i="19"/>
  <c r="E209" i="22"/>
  <c r="H11" i="11"/>
  <c r="H20" i="11" s="1"/>
  <c r="E14" i="19"/>
  <c r="BA439" i="19"/>
  <c r="J451" i="19"/>
  <c r="J457" i="19" s="1"/>
  <c r="H31" i="19"/>
  <c r="H40" i="19"/>
  <c r="E448" i="22"/>
  <c r="H124" i="4"/>
  <c r="H81" i="4"/>
  <c r="I127" i="11"/>
  <c r="AJ184" i="19"/>
  <c r="AJ212" i="19"/>
  <c r="AJ211" i="19" s="1"/>
  <c r="I211" i="19" s="1"/>
  <c r="I212" i="19" s="1"/>
  <c r="AJ204" i="19"/>
  <c r="AJ203" i="19" s="1"/>
  <c r="N53" i="22"/>
  <c r="N54" i="22" s="1"/>
  <c r="CH284" i="2"/>
  <c r="F89" i="27"/>
  <c r="F97" i="27" s="1"/>
  <c r="AN448" i="19"/>
  <c r="AN447" i="19"/>
  <c r="AN444" i="19"/>
  <c r="BR443" i="19"/>
  <c r="AR453" i="19" s="1"/>
  <c r="I1279" i="22"/>
  <c r="N124" i="4"/>
  <c r="O287" i="19"/>
  <c r="F5" i="31"/>
  <c r="F45" i="31" s="1"/>
  <c r="R23" i="19"/>
  <c r="S23" i="19" s="1"/>
  <c r="T23" i="19" s="1"/>
  <c r="U23" i="19" s="1"/>
  <c r="V23" i="19" s="1"/>
  <c r="W23" i="19" s="1"/>
  <c r="U52" i="11"/>
  <c r="O448" i="19"/>
  <c r="O444" i="19"/>
  <c r="O447" i="19"/>
  <c r="O449" i="19"/>
  <c r="I414" i="19"/>
  <c r="I419" i="19" s="1"/>
  <c r="K173" i="19"/>
  <c r="L168" i="19"/>
  <c r="L296" i="19"/>
  <c r="G123" i="4"/>
  <c r="F21" i="4"/>
  <c r="L299" i="15"/>
  <c r="H52" i="11"/>
  <c r="I451" i="19"/>
  <c r="I457" i="19" s="1"/>
  <c r="AZ439" i="19"/>
  <c r="L180" i="19"/>
  <c r="K337" i="19"/>
  <c r="AL180" i="19"/>
  <c r="AP436" i="19"/>
  <c r="AP435" i="19"/>
  <c r="AP437" i="19"/>
  <c r="BT425" i="19"/>
  <c r="AT452" i="19" s="1"/>
  <c r="H28" i="19"/>
  <c r="I27" i="19"/>
  <c r="L34" i="11"/>
  <c r="L38" i="11" s="1"/>
  <c r="H27" i="19"/>
  <c r="O302" i="19"/>
  <c r="N287" i="19"/>
  <c r="F81" i="27"/>
  <c r="O291" i="19"/>
  <c r="O296" i="19" s="1"/>
  <c r="O301" i="19" s="1"/>
  <c r="I28" i="19"/>
  <c r="O127" i="11"/>
  <c r="J77" i="19"/>
  <c r="P349" i="1" s="1"/>
  <c r="J75" i="19"/>
  <c r="J76" i="19" s="1"/>
  <c r="J79" i="19" s="1"/>
  <c r="J85" i="19" s="1"/>
  <c r="J86" i="19" s="1"/>
  <c r="BK303" i="2"/>
  <c r="N59" i="4"/>
  <c r="D2797" i="22"/>
  <c r="N101" i="4"/>
  <c r="M294" i="19"/>
  <c r="M296" i="19" s="1"/>
  <c r="M299" i="19" s="1"/>
  <c r="M301" i="19" s="1"/>
  <c r="L310" i="19"/>
  <c r="H1279" i="22"/>
  <c r="N127" i="11"/>
  <c r="N130" i="11" s="1"/>
  <c r="L414" i="22"/>
  <c r="M299" i="15"/>
  <c r="I52" i="11"/>
  <c r="E57" i="27" s="1"/>
  <c r="I40" i="19"/>
  <c r="I31" i="19"/>
  <c r="K91" i="4"/>
  <c r="L127" i="11"/>
  <c r="F1279" i="22"/>
  <c r="AH435" i="19"/>
  <c r="BH425" i="19"/>
  <c r="AH452" i="19" s="1"/>
  <c r="AH436" i="19"/>
  <c r="D15" i="19"/>
  <c r="H25" i="11" s="1"/>
  <c r="W209" i="22"/>
  <c r="D17" i="19"/>
  <c r="H16" i="11"/>
  <c r="G5" i="4" s="1"/>
  <c r="K188" i="27"/>
  <c r="K196" i="27" s="1"/>
  <c r="BL425" i="19"/>
  <c r="AL452" i="19" s="1"/>
  <c r="N99" i="11"/>
  <c r="N120" i="11"/>
  <c r="N121" i="11" s="1"/>
  <c r="M48" i="4"/>
  <c r="AE79" i="11"/>
  <c r="N118" i="11"/>
  <c r="J188" i="27"/>
  <c r="J196" i="27" s="1"/>
  <c r="O451" i="19"/>
  <c r="O457" i="19" s="1"/>
  <c r="BF439" i="19"/>
  <c r="J105" i="27"/>
  <c r="J121" i="27" s="1"/>
  <c r="BO439" i="19"/>
  <c r="AO451" i="19"/>
  <c r="AO457" i="19" s="1"/>
  <c r="H23" i="19"/>
  <c r="CT128" i="2"/>
  <c r="AV131" i="2"/>
  <c r="AN449" i="19"/>
  <c r="AG444" i="19"/>
  <c r="AG448" i="19"/>
  <c r="AG447" i="19"/>
  <c r="BK443" i="19"/>
  <c r="AK453" i="19" s="1"/>
  <c r="L129" i="19"/>
  <c r="K132" i="19"/>
  <c r="C2851" i="34"/>
  <c r="F5603" i="22"/>
  <c r="I79" i="15"/>
  <c r="H3045" i="22"/>
  <c r="T20" i="15"/>
  <c r="M115" i="15"/>
  <c r="C107" i="4"/>
  <c r="H112" i="15" s="1"/>
  <c r="K35" i="15"/>
  <c r="I82" i="15"/>
  <c r="I84" i="15" s="1"/>
  <c r="AA441" i="38"/>
  <c r="D3590" i="22"/>
  <c r="G2987" i="22"/>
  <c r="K59" i="13"/>
  <c r="K72" i="13" s="1"/>
  <c r="D4821" i="22" s="1"/>
  <c r="L255" i="37"/>
  <c r="AB57" i="38"/>
  <c r="AO6" i="38"/>
  <c r="J11" i="37" s="1"/>
  <c r="E4186" i="22"/>
  <c r="G4186" i="22" s="1"/>
  <c r="H4175" i="22"/>
  <c r="H4178" i="22"/>
  <c r="B261" i="38"/>
  <c r="C130" i="37" s="1"/>
  <c r="C169" i="37" s="1"/>
  <c r="C191" i="37" s="1"/>
  <c r="C256" i="37" s="1"/>
  <c r="R211" i="38"/>
  <c r="AQ79" i="38"/>
  <c r="AY303" i="38"/>
  <c r="L210" i="37" s="1"/>
  <c r="L81" i="40" s="1"/>
  <c r="L164" i="37"/>
  <c r="L257" i="37"/>
  <c r="AT46" i="38"/>
  <c r="K54" i="37" s="1"/>
  <c r="L256" i="37"/>
  <c r="L260" i="37"/>
  <c r="L250" i="37"/>
  <c r="N142" i="37"/>
  <c r="G362" i="37"/>
  <c r="G338" i="37"/>
  <c r="N302" i="19"/>
  <c r="G4180" i="22"/>
  <c r="I4180" i="22" s="1"/>
  <c r="H4174" i="22"/>
  <c r="G4170" i="22"/>
  <c r="I4170" i="22" s="1"/>
  <c r="C4219" i="22" s="1"/>
  <c r="K105" i="22"/>
  <c r="G414" i="22" s="1"/>
  <c r="AF730" i="22"/>
  <c r="AI730" i="22" s="1"/>
  <c r="AJ730" i="22" s="1"/>
  <c r="BE730" i="22" s="1"/>
  <c r="E4184" i="22"/>
  <c r="G4184" i="22" s="1"/>
  <c r="H4167" i="22"/>
  <c r="B939" i="38"/>
  <c r="G481" i="37"/>
  <c r="D3508" i="22"/>
  <c r="D3520" i="22" s="1"/>
  <c r="AL382" i="38"/>
  <c r="AL408" i="38" s="1"/>
  <c r="B4264" i="22"/>
  <c r="B3834" i="22"/>
  <c r="C328" i="37"/>
  <c r="C351" i="37"/>
  <c r="AJ18" i="38"/>
  <c r="I22" i="37" s="1"/>
  <c r="I102" i="37" s="1"/>
  <c r="C63" i="38"/>
  <c r="C319" i="38" s="1"/>
  <c r="H368" i="38" s="1"/>
  <c r="F288" i="37"/>
  <c r="F338" i="37" s="1"/>
  <c r="Q404" i="38"/>
  <c r="S545" i="38"/>
  <c r="I818" i="22"/>
  <c r="S120" i="15"/>
  <c r="P145" i="37"/>
  <c r="P335" i="37"/>
  <c r="Q941" i="22"/>
  <c r="BL13" i="22"/>
  <c r="N4420" i="22"/>
  <c r="Q940" i="22"/>
  <c r="Z1718" i="22"/>
  <c r="F1787" i="22" s="1"/>
  <c r="Q939" i="22"/>
  <c r="K103" i="22"/>
  <c r="G412" i="22" s="1"/>
  <c r="K104" i="22"/>
  <c r="G413" i="22" s="1"/>
  <c r="AO106" i="38"/>
  <c r="J279" i="37" s="1"/>
  <c r="AN552" i="38"/>
  <c r="AP564" i="38" s="1"/>
  <c r="K151" i="45" s="1"/>
  <c r="AN449" i="38"/>
  <c r="AN460" i="38" s="1"/>
  <c r="B940" i="38"/>
  <c r="AK540" i="38"/>
  <c r="AH540" i="38"/>
  <c r="B950" i="38"/>
  <c r="B135" i="45"/>
  <c r="E2135" i="22"/>
  <c r="F2133" i="22"/>
  <c r="F2136" i="22" s="1"/>
  <c r="F2145" i="22" s="1"/>
  <c r="P2140" i="22" s="1"/>
  <c r="J82" i="15"/>
  <c r="J84" i="15" s="1"/>
  <c r="E2133" i="22"/>
  <c r="Q3" i="15"/>
  <c r="E2134" i="22"/>
  <c r="K84" i="15"/>
  <c r="N190" i="14"/>
  <c r="M190" i="14"/>
  <c r="Q311" i="22"/>
  <c r="AQ13" i="22"/>
  <c r="H482" i="37"/>
  <c r="K293" i="14" s="1"/>
  <c r="R757" i="38"/>
  <c r="K382" i="38"/>
  <c r="K575" i="38" s="1"/>
  <c r="Z208" i="38"/>
  <c r="F15" i="42" s="1"/>
  <c r="P382" i="38"/>
  <c r="P575" i="38" s="1"/>
  <c r="P408" i="38" s="1"/>
  <c r="J947" i="38"/>
  <c r="C32" i="42"/>
  <c r="G947" i="38"/>
  <c r="C947" i="38"/>
  <c r="D947" i="38"/>
  <c r="J382" i="38"/>
  <c r="J575" i="38" s="1"/>
  <c r="E947" i="38"/>
  <c r="I947" i="38"/>
  <c r="U120" i="15"/>
  <c r="N143" i="37"/>
  <c r="BK13" i="22"/>
  <c r="BH13" i="22"/>
  <c r="O988" i="22"/>
  <c r="O989" i="22"/>
  <c r="P932" i="22"/>
  <c r="BA729" i="22"/>
  <c r="F1774" i="22"/>
  <c r="U1774" i="22" s="1"/>
  <c r="I311" i="22"/>
  <c r="N2542" i="22"/>
  <c r="N2544" i="22" s="1"/>
  <c r="AR14" i="22"/>
  <c r="K22" i="22"/>
  <c r="AO14" i="22"/>
  <c r="AS14" i="22"/>
  <c r="D1235" i="22"/>
  <c r="D1245" i="22" s="1"/>
  <c r="L311" i="22"/>
  <c r="F4418" i="22"/>
  <c r="F4449" i="22" s="1"/>
  <c r="O87" i="22"/>
  <c r="O92" i="22" s="1"/>
  <c r="K419" i="22" s="1"/>
  <c r="D2828" i="22"/>
  <c r="F2828" i="22" s="1"/>
  <c r="H2828" i="22" s="1"/>
  <c r="X1740" i="22"/>
  <c r="E2395" i="22"/>
  <c r="F2395" i="22" s="1"/>
  <c r="BV106" i="38"/>
  <c r="I4669" i="22"/>
  <c r="AP21" i="38"/>
  <c r="AP152" i="38" s="1"/>
  <c r="AA957" i="38" s="1"/>
  <c r="Y952" i="38"/>
  <c r="AM182" i="38"/>
  <c r="Z960" i="38"/>
  <c r="AM196" i="38"/>
  <c r="N2671" i="22"/>
  <c r="O929" i="22"/>
  <c r="V1718" i="22"/>
  <c r="V1751" i="22" s="1"/>
  <c r="H943" i="22"/>
  <c r="H949" i="22" s="1"/>
  <c r="AO729" i="22"/>
  <c r="J2671" i="22"/>
  <c r="AM729" i="22"/>
  <c r="O928" i="22"/>
  <c r="AP729" i="22"/>
  <c r="AN729" i="22"/>
  <c r="O934" i="22"/>
  <c r="R376" i="38"/>
  <c r="AF79" i="38"/>
  <c r="AQ206" i="38"/>
  <c r="AB953" i="38" s="1"/>
  <c r="AF55" i="38"/>
  <c r="AO9" i="38"/>
  <c r="J12" i="37" s="1"/>
  <c r="H373" i="37"/>
  <c r="O758" i="38"/>
  <c r="S757" i="38"/>
  <c r="AE23" i="37"/>
  <c r="AM13" i="38"/>
  <c r="AM21" i="38" s="1"/>
  <c r="V52" i="35"/>
  <c r="B93" i="12"/>
  <c r="B236" i="14"/>
  <c r="P170" i="19"/>
  <c r="I108" i="3"/>
  <c r="B138" i="10"/>
  <c r="C38" i="11"/>
  <c r="C14" i="11"/>
  <c r="D23" i="11" s="1"/>
  <c r="C37" i="11"/>
  <c r="S54" i="19"/>
  <c r="H134" i="36"/>
  <c r="C197" i="36"/>
  <c r="C217" i="36" s="1"/>
  <c r="E30" i="12"/>
  <c r="V15" i="36"/>
  <c r="AH219" i="2"/>
  <c r="AH325" i="2"/>
  <c r="J884" i="22" s="1"/>
  <c r="CH217" i="2"/>
  <c r="I319" i="22" s="1"/>
  <c r="I312" i="22" s="1"/>
  <c r="D1070" i="22"/>
  <c r="AH385" i="2"/>
  <c r="CL217" i="2"/>
  <c r="K4" i="41"/>
  <c r="G1265" i="22"/>
  <c r="C92" i="19"/>
  <c r="N98" i="19" s="1"/>
  <c r="H162" i="36"/>
  <c r="M99" i="36"/>
  <c r="M25" i="38"/>
  <c r="W3" i="36"/>
  <c r="G804" i="3"/>
  <c r="G798" i="3" s="1"/>
  <c r="G814" i="3" s="1"/>
  <c r="F798" i="3"/>
  <c r="F814" i="3" s="1"/>
  <c r="N172" i="19"/>
  <c r="H13" i="35"/>
  <c r="W12" i="35"/>
  <c r="H27" i="35"/>
  <c r="R294" i="19"/>
  <c r="J29" i="31"/>
  <c r="J33" i="31" s="1"/>
  <c r="I33" i="31"/>
  <c r="BG439" i="19"/>
  <c r="AG451" i="19"/>
  <c r="AG457" i="19" s="1"/>
  <c r="F2325" i="22"/>
  <c r="G1997" i="22"/>
  <c r="G2009" i="22" s="1"/>
  <c r="E2577" i="22"/>
  <c r="F2294" i="22"/>
  <c r="D2872" i="22"/>
  <c r="D2884" i="22" s="1"/>
  <c r="H1234" i="22"/>
  <c r="H1244" i="22" s="1"/>
  <c r="N84" i="4"/>
  <c r="E2730" i="22"/>
  <c r="F2037" i="22"/>
  <c r="F2055" i="22" s="1"/>
  <c r="N47" i="35"/>
  <c r="V62" i="25"/>
  <c r="E47" i="35"/>
  <c r="E53" i="35"/>
  <c r="E54" i="35" s="1"/>
  <c r="G14" i="41"/>
  <c r="J338" i="19"/>
  <c r="J246" i="19"/>
  <c r="X20" i="12"/>
  <c r="T120" i="15"/>
  <c r="K191" i="37"/>
  <c r="K256" i="37" s="1"/>
  <c r="K190" i="37"/>
  <c r="K255" i="37" s="1"/>
  <c r="K279" i="37"/>
  <c r="G88" i="40" s="1"/>
  <c r="AT48" i="38"/>
  <c r="K185" i="37"/>
  <c r="K209" i="37" s="1"/>
  <c r="G75" i="40" s="1"/>
  <c r="K192" i="37"/>
  <c r="K216" i="37" s="1"/>
  <c r="G93" i="40" s="1"/>
  <c r="K251" i="37"/>
  <c r="K301" i="37"/>
  <c r="I2483" i="22"/>
  <c r="G2624" i="22"/>
  <c r="H2624" i="22" s="1"/>
  <c r="I2624" i="22" s="1"/>
  <c r="I2631" i="22" s="1"/>
  <c r="G543" i="19"/>
  <c r="AQ150" i="38"/>
  <c r="AB960" i="38"/>
  <c r="AK57" i="38"/>
  <c r="C4574" i="22" s="1"/>
  <c r="G4574" i="22" s="1"/>
  <c r="G4577" i="22" s="1"/>
  <c r="P758" i="38"/>
  <c r="H382" i="38"/>
  <c r="H575" i="38" s="1"/>
  <c r="AA205" i="38"/>
  <c r="AK552" i="38"/>
  <c r="I382" i="38"/>
  <c r="I575" i="38" s="1"/>
  <c r="BY106" i="38"/>
  <c r="AS45" i="38"/>
  <c r="AS311" i="38"/>
  <c r="AR9" i="38"/>
  <c r="AS9" i="38"/>
  <c r="AS112" i="38"/>
  <c r="AT112" i="38" s="1"/>
  <c r="AR6" i="38"/>
  <c r="AS10" i="38"/>
  <c r="AT10" i="38" s="1"/>
  <c r="K13" i="37" s="1"/>
  <c r="AS42" i="38"/>
  <c r="AS309" i="38"/>
  <c r="AX348" i="38" s="1"/>
  <c r="CB368" i="38" s="1"/>
  <c r="E209" i="37"/>
  <c r="F351" i="37"/>
  <c r="B339" i="38"/>
  <c r="O98" i="38"/>
  <c r="AL34" i="38"/>
  <c r="AL211" i="38" s="1"/>
  <c r="B347" i="38"/>
  <c r="AJ276" i="38"/>
  <c r="I162" i="37" s="1"/>
  <c r="J753" i="22"/>
  <c r="AG382" i="38"/>
  <c r="AG408" i="38" s="1"/>
  <c r="AF408" i="38" s="1"/>
  <c r="D2917" i="22"/>
  <c r="K2938" i="22" s="1"/>
  <c r="I1232" i="22"/>
  <c r="I1242" i="22" s="1"/>
  <c r="AJ179" i="38"/>
  <c r="G2032" i="22"/>
  <c r="G2034" i="22" s="1"/>
  <c r="E2870" i="22"/>
  <c r="E2882" i="22" s="1"/>
  <c r="B264" i="38"/>
  <c r="C132" i="37" s="1"/>
  <c r="C150" i="37" s="1"/>
  <c r="P98" i="38"/>
  <c r="AN21" i="38"/>
  <c r="AN153" i="38" s="1"/>
  <c r="AN382" i="38"/>
  <c r="AN408" i="38" s="1"/>
  <c r="AK382" i="38"/>
  <c r="AK408" i="38" s="1"/>
  <c r="Q4670" i="22"/>
  <c r="F2034" i="22"/>
  <c r="H257" i="37"/>
  <c r="Q4671" i="22"/>
  <c r="AN34" i="38"/>
  <c r="D758" i="38"/>
  <c r="J86" i="37"/>
  <c r="C168" i="37"/>
  <c r="C190" i="37" s="1"/>
  <c r="C255" i="37" s="1"/>
  <c r="M3089" i="22"/>
  <c r="U144" i="38"/>
  <c r="AM45" i="38"/>
  <c r="AM82" i="38" s="1"/>
  <c r="BY109" i="38"/>
  <c r="AH71" i="38"/>
  <c r="E3506" i="22"/>
  <c r="E3518" i="22" s="1"/>
  <c r="H251" i="37"/>
  <c r="AE308" i="38"/>
  <c r="AE387" i="38" s="1"/>
  <c r="AP208" i="38"/>
  <c r="BQ367" i="38"/>
  <c r="D54" i="41"/>
  <c r="B4667" i="22"/>
  <c r="C265" i="37"/>
  <c r="Q192" i="38"/>
  <c r="AP98" i="38"/>
  <c r="K756" i="38"/>
  <c r="AF449" i="38"/>
  <c r="AF460" i="38" s="1"/>
  <c r="AF473" i="38" s="1"/>
  <c r="AF476" i="38" s="1"/>
  <c r="E484" i="37"/>
  <c r="AC408" i="38"/>
  <c r="AB408" i="38" s="1"/>
  <c r="E756" i="38"/>
  <c r="AB131" i="38"/>
  <c r="AB141" i="38" s="1"/>
  <c r="H756" i="38"/>
  <c r="H210" i="37"/>
  <c r="F98" i="38"/>
  <c r="I98" i="38"/>
  <c r="BS364" i="38"/>
  <c r="AF284" i="37"/>
  <c r="AF292" i="37" s="1"/>
  <c r="I177" i="14"/>
  <c r="I178" i="14" s="1"/>
  <c r="I180" i="14" s="1"/>
  <c r="B346" i="38"/>
  <c r="AF497" i="38"/>
  <c r="AF510" i="38" s="1"/>
  <c r="AL49" i="38"/>
  <c r="AL69" i="38" s="1"/>
  <c r="T145" i="15"/>
  <c r="BQ328" i="38"/>
  <c r="C261" i="37"/>
  <c r="D484" i="37"/>
  <c r="D485" i="37" s="1"/>
  <c r="D489" i="37" s="1"/>
  <c r="W382" i="38"/>
  <c r="W575" i="38" s="1"/>
  <c r="AK98" i="38"/>
  <c r="G236" i="37"/>
  <c r="F758" i="38"/>
  <c r="AL82" i="38"/>
  <c r="AL98" i="38" s="1"/>
  <c r="J251" i="37"/>
  <c r="AD13" i="38"/>
  <c r="AF132" i="38"/>
  <c r="AF134" i="38" s="1"/>
  <c r="AF131" i="38" s="1"/>
  <c r="AF141" i="38" s="1"/>
  <c r="R950" i="38"/>
  <c r="G98" i="38"/>
  <c r="J98" i="38"/>
  <c r="AE34" i="38"/>
  <c r="AE211" i="38" s="1"/>
  <c r="AE189" i="38"/>
  <c r="AM85" i="38"/>
  <c r="AO85" i="38" s="1"/>
  <c r="CC360" i="38"/>
  <c r="B4668" i="22"/>
  <c r="B4666" i="22"/>
  <c r="C145" i="37"/>
  <c r="BW119" i="38"/>
  <c r="P756" i="38"/>
  <c r="AN150" i="38"/>
  <c r="AN515" i="38"/>
  <c r="H250" i="37"/>
  <c r="I758" i="38"/>
  <c r="B333" i="38"/>
  <c r="C266" i="37"/>
  <c r="AC138" i="38"/>
  <c r="AB497" i="38"/>
  <c r="AB510" i="38" s="1"/>
  <c r="B4674" i="22"/>
  <c r="B954" i="38"/>
  <c r="BU113" i="38"/>
  <c r="AK449" i="38"/>
  <c r="B4670" i="22"/>
  <c r="CB364" i="38"/>
  <c r="Y156" i="38"/>
  <c r="B267" i="38"/>
  <c r="C135" i="37" s="1"/>
  <c r="C153" i="37" s="1"/>
  <c r="N96" i="38"/>
  <c r="S96" i="38" s="1"/>
  <c r="X96" i="38" s="1"/>
  <c r="N322" i="38"/>
  <c r="N398" i="38" s="1"/>
  <c r="G99" i="37"/>
  <c r="V86" i="38" s="1"/>
  <c r="C267" i="37"/>
  <c r="B268" i="38"/>
  <c r="C136" i="37" s="1"/>
  <c r="C154" i="37" s="1"/>
  <c r="B345" i="38"/>
  <c r="U545" i="38"/>
  <c r="T545" i="38"/>
  <c r="AE12" i="37"/>
  <c r="AE16" i="37" s="1"/>
  <c r="AP189" i="38"/>
  <c r="X545" i="38"/>
  <c r="M333" i="38"/>
  <c r="AJ287" i="38"/>
  <c r="I169" i="37" s="1"/>
  <c r="O754" i="38"/>
  <c r="O757" i="38"/>
  <c r="B326" i="38"/>
  <c r="E214" i="37"/>
  <c r="AD97" i="38"/>
  <c r="AP150" i="38"/>
  <c r="AF303" i="38"/>
  <c r="F757" i="38"/>
  <c r="F251" i="37"/>
  <c r="H481" i="37"/>
  <c r="N757" i="38"/>
  <c r="P3089" i="22"/>
  <c r="AG275" i="37"/>
  <c r="AJ144" i="38"/>
  <c r="D15" i="13" s="1"/>
  <c r="E15" i="13" s="1"/>
  <c r="F15" i="13" s="1"/>
  <c r="G15" i="13" s="1"/>
  <c r="H15" i="13" s="1"/>
  <c r="I15" i="13" s="1"/>
  <c r="J15" i="13" s="1"/>
  <c r="K15" i="13" s="1"/>
  <c r="D4798" i="22" s="1"/>
  <c r="H255" i="37"/>
  <c r="P125" i="36"/>
  <c r="BT20" i="2" s="1"/>
  <c r="P3088" i="22"/>
  <c r="F214" i="37"/>
  <c r="T185" i="38"/>
  <c r="M951" i="38" s="1"/>
  <c r="M382" i="38"/>
  <c r="M575" i="38" s="1"/>
  <c r="AF314" i="38"/>
  <c r="C4266" i="22"/>
  <c r="J250" i="37"/>
  <c r="Y185" i="38"/>
  <c r="R951" i="38" s="1"/>
  <c r="AB45" i="38"/>
  <c r="AB308" i="38" s="1"/>
  <c r="AK357" i="38" s="1"/>
  <c r="AC82" i="38"/>
  <c r="AC98" i="38" s="1"/>
  <c r="D61" i="41"/>
  <c r="D62" i="41" s="1"/>
  <c r="D64" i="41" s="1"/>
  <c r="I756" i="38"/>
  <c r="N756" i="38"/>
  <c r="B937" i="38"/>
  <c r="AI82" i="38"/>
  <c r="AI98" i="38" s="1"/>
  <c r="B935" i="38"/>
  <c r="X408" i="38"/>
  <c r="D280" i="37"/>
  <c r="AE280" i="37" s="1"/>
  <c r="AE284" i="37" s="1"/>
  <c r="AE292" i="37" s="1"/>
  <c r="G250" i="37"/>
  <c r="W109" i="38"/>
  <c r="W113" i="38" s="1"/>
  <c r="G209" i="37"/>
  <c r="Z189" i="38"/>
  <c r="F947" i="38"/>
  <c r="B266" i="38"/>
  <c r="C134" i="37" s="1"/>
  <c r="C152" i="37" s="1"/>
  <c r="M758" i="38"/>
  <c r="J103" i="37"/>
  <c r="E195" i="37"/>
  <c r="AF193" i="38"/>
  <c r="U956" i="38" s="1"/>
  <c r="J287" i="37"/>
  <c r="J361" i="37" s="1"/>
  <c r="D2989" i="22"/>
  <c r="AF19" i="38"/>
  <c r="AF195" i="38" s="1"/>
  <c r="J255" i="37"/>
  <c r="AJ414" i="38"/>
  <c r="C33" i="42"/>
  <c r="AI20" i="37"/>
  <c r="AI23" i="37" s="1"/>
  <c r="AC132" i="38"/>
  <c r="AC134" i="38" s="1"/>
  <c r="AC166" i="38" s="1"/>
  <c r="H444" i="37"/>
  <c r="Y98" i="38"/>
  <c r="H275" i="37"/>
  <c r="H351" i="37" s="1"/>
  <c r="H362" i="37"/>
  <c r="AO119" i="38"/>
  <c r="J291" i="37" s="1"/>
  <c r="H758" i="38"/>
  <c r="U242" i="10"/>
  <c r="AZ729" i="22"/>
  <c r="H114" i="4"/>
  <c r="AW729" i="22"/>
  <c r="AV125" i="2"/>
  <c r="N89" i="10"/>
  <c r="O89" i="10"/>
  <c r="H58" i="4"/>
  <c r="R246" i="10"/>
  <c r="O209" i="10"/>
  <c r="P216" i="10" s="1"/>
  <c r="P219" i="10" s="1"/>
  <c r="J230" i="15"/>
  <c r="AV484" i="2"/>
  <c r="CH125" i="2"/>
  <c r="T310" i="10"/>
  <c r="CT124" i="2"/>
  <c r="P5" i="10"/>
  <c r="T228" i="15" s="1"/>
  <c r="H101" i="27"/>
  <c r="H117" i="27" s="1"/>
  <c r="H132" i="27" s="1"/>
  <c r="G85" i="27"/>
  <c r="H85" i="27"/>
  <c r="BA149" i="2"/>
  <c r="M86" i="10"/>
  <c r="M93" i="10" s="1"/>
  <c r="G1253" i="22"/>
  <c r="J395" i="22"/>
  <c r="T188" i="10"/>
  <c r="I3069" i="22" s="1"/>
  <c r="U187" i="10"/>
  <c r="M228" i="15"/>
  <c r="AE500" i="2"/>
  <c r="E4" i="27"/>
  <c r="E36" i="27" s="1"/>
  <c r="H3064" i="22"/>
  <c r="L77" i="10"/>
  <c r="AV149" i="2"/>
  <c r="Q228" i="15"/>
  <c r="U414" i="38"/>
  <c r="AN69" i="38"/>
  <c r="AB146" i="38"/>
  <c r="AD195" i="38"/>
  <c r="W545" i="38"/>
  <c r="K3088" i="22"/>
  <c r="I757" i="38"/>
  <c r="L3088" i="22"/>
  <c r="F756" i="38"/>
  <c r="Q3089" i="22"/>
  <c r="S160" i="38"/>
  <c r="S168" i="38" s="1"/>
  <c r="I19" i="37"/>
  <c r="AC545" i="38"/>
  <c r="X109" i="38"/>
  <c r="X185" i="38" s="1"/>
  <c r="J177" i="14"/>
  <c r="J178" i="14" s="1"/>
  <c r="AC716" i="38"/>
  <c r="Q245" i="10"/>
  <c r="Q276" i="10" s="1"/>
  <c r="AJ301" i="38"/>
  <c r="I184" i="37" s="1"/>
  <c r="I234" i="37" s="1"/>
  <c r="AJ286" i="38"/>
  <c r="I168" i="37" s="1"/>
  <c r="C4262" i="22"/>
  <c r="L3089" i="22"/>
  <c r="U98" i="38"/>
  <c r="AE575" i="38"/>
  <c r="AE408" i="38"/>
  <c r="AD408" i="38" s="1"/>
  <c r="J338" i="37"/>
  <c r="AJ41" i="38"/>
  <c r="I48" i="37" s="1"/>
  <c r="AK288" i="37"/>
  <c r="AI288" i="37"/>
  <c r="H338" i="37"/>
  <c r="J236" i="37"/>
  <c r="C31" i="42"/>
  <c r="AD132" i="38"/>
  <c r="AD134" i="38" s="1"/>
  <c r="F209" i="37"/>
  <c r="J362" i="37"/>
  <c r="Q137" i="38"/>
  <c r="Q210" i="38" s="1"/>
  <c r="N98" i="38"/>
  <c r="Y113" i="38"/>
  <c r="Y208" i="38" s="1"/>
  <c r="E15" i="42" s="1"/>
  <c r="Y160" i="38"/>
  <c r="T160" i="38"/>
  <c r="F250" i="37"/>
  <c r="F257" i="37"/>
  <c r="Q55" i="38"/>
  <c r="F63" i="37" s="1"/>
  <c r="F65" i="37" s="1"/>
  <c r="Q3088" i="22"/>
  <c r="BY119" i="38"/>
  <c r="AH110" i="38"/>
  <c r="AH283" i="38"/>
  <c r="AJ6" i="38"/>
  <c r="AF279" i="38"/>
  <c r="E4669" i="22" s="1"/>
  <c r="AF10" i="38"/>
  <c r="AN189" i="38"/>
  <c r="AE138" i="38"/>
  <c r="AN208" i="38"/>
  <c r="E151" i="37"/>
  <c r="AB952" i="38"/>
  <c r="O382" i="38"/>
  <c r="O575" i="38" s="1"/>
  <c r="CF364" i="38"/>
  <c r="F255" i="37"/>
  <c r="S196" i="10"/>
  <c r="B5046" i="22"/>
  <c r="B3833" i="22"/>
  <c r="C350" i="37"/>
  <c r="B4260" i="22"/>
  <c r="C327" i="37"/>
  <c r="F53" i="37"/>
  <c r="S226" i="10"/>
  <c r="R191" i="10"/>
  <c r="R195" i="38"/>
  <c r="R113" i="38"/>
  <c r="BW113" i="38"/>
  <c r="V193" i="38"/>
  <c r="T198" i="10"/>
  <c r="T200" i="10" s="1"/>
  <c r="T193" i="10"/>
  <c r="C473" i="38"/>
  <c r="C476" i="38" s="1"/>
  <c r="T191" i="10"/>
  <c r="T276" i="38"/>
  <c r="T156" i="38"/>
  <c r="T301" i="38"/>
  <c r="T383" i="38" s="1"/>
  <c r="AD497" i="38"/>
  <c r="AD510" i="38" s="1"/>
  <c r="G339" i="37"/>
  <c r="L5013" i="22"/>
  <c r="R193" i="10"/>
  <c r="R211" i="10" s="1"/>
  <c r="R225" i="10" s="1"/>
  <c r="B53" i="42"/>
  <c r="B4676" i="22"/>
  <c r="L98" i="38"/>
  <c r="E758" i="38"/>
  <c r="R200" i="10"/>
  <c r="R203" i="10" s="1"/>
  <c r="Q185" i="38"/>
  <c r="U193" i="10"/>
  <c r="U207" i="10" s="1"/>
  <c r="U198" i="10"/>
  <c r="U200" i="10" s="1"/>
  <c r="P196" i="10"/>
  <c r="V312" i="38"/>
  <c r="G190" i="37" s="1"/>
  <c r="G255" i="37" s="1"/>
  <c r="T388" i="38"/>
  <c r="AJ15" i="37"/>
  <c r="AJ180" i="38"/>
  <c r="Q191" i="10"/>
  <c r="J235" i="37"/>
  <c r="U246" i="10"/>
  <c r="O113" i="15"/>
  <c r="O83" i="15"/>
  <c r="O84" i="15" s="1"/>
  <c r="AJ457" i="38"/>
  <c r="D1352" i="22"/>
  <c r="E754" i="22"/>
  <c r="V441" i="38"/>
  <c r="I341" i="19"/>
  <c r="H341" i="19" s="1"/>
  <c r="G341" i="19" s="1"/>
  <c r="F341" i="19" s="1"/>
  <c r="O149" i="37"/>
  <c r="G86" i="27"/>
  <c r="D3071" i="22"/>
  <c r="W217" i="2"/>
  <c r="S209" i="10"/>
  <c r="U345" i="1" s="1"/>
  <c r="H1319" i="22"/>
  <c r="I65" i="10"/>
  <c r="I152" i="10" s="1"/>
  <c r="I398" i="22"/>
  <c r="AO251" i="38"/>
  <c r="AO301" i="38" s="1"/>
  <c r="J184" i="37" s="1"/>
  <c r="L64" i="10"/>
  <c r="K49" i="10"/>
  <c r="I90" i="13"/>
  <c r="G147" i="10"/>
  <c r="H148" i="10" s="1"/>
  <c r="AQ126" i="2"/>
  <c r="J187" i="27"/>
  <c r="N232" i="22"/>
  <c r="F58" i="4"/>
  <c r="G179" i="10"/>
  <c r="K12" i="4"/>
  <c r="F88" i="4"/>
  <c r="AA276" i="38"/>
  <c r="H162" i="37" s="1"/>
  <c r="H249" i="37" s="1"/>
  <c r="L49" i="10"/>
  <c r="AH283" i="2"/>
  <c r="N154" i="10"/>
  <c r="H1263" i="22" s="1"/>
  <c r="H1265" i="22" s="1"/>
  <c r="L66" i="10"/>
  <c r="N233" i="22"/>
  <c r="H102" i="27"/>
  <c r="H118" i="27" s="1"/>
  <c r="I133" i="27" s="1"/>
  <c r="H57" i="10"/>
  <c r="G132" i="27"/>
  <c r="H86" i="27"/>
  <c r="L89" i="10"/>
  <c r="Y186" i="10"/>
  <c r="J19" i="10"/>
  <c r="I4" i="4" s="1"/>
  <c r="I122" i="4"/>
  <c r="G1256" i="22"/>
  <c r="J253" i="15"/>
  <c r="E66" i="10"/>
  <c r="M181" i="10"/>
  <c r="AI181" i="10" s="1"/>
  <c r="K94" i="10"/>
  <c r="P65" i="10"/>
  <c r="P152" i="10" s="1"/>
  <c r="AN138" i="10"/>
  <c r="AK138" i="10"/>
  <c r="L12" i="4"/>
  <c r="R52" i="10"/>
  <c r="U230" i="15"/>
  <c r="O232" i="22"/>
  <c r="G1258" i="22"/>
  <c r="G1261" i="22" s="1"/>
  <c r="M89" i="10"/>
  <c r="J400" i="22"/>
  <c r="I407" i="22" s="1"/>
  <c r="I409" i="22" s="1"/>
  <c r="E362" i="22"/>
  <c r="E363" i="22" s="1"/>
  <c r="E195" i="27"/>
  <c r="E179" i="27"/>
  <c r="Q6" i="10"/>
  <c r="L5" i="27"/>
  <c r="L37" i="27" s="1"/>
  <c r="J401" i="22"/>
  <c r="M66" i="10"/>
  <c r="CP124" i="2"/>
  <c r="M97" i="10"/>
  <c r="M100" i="10" s="1"/>
  <c r="G49" i="10"/>
  <c r="Q307" i="10"/>
  <c r="P308" i="10"/>
  <c r="E407" i="22"/>
  <c r="E409" i="22" s="1"/>
  <c r="AQ125" i="2"/>
  <c r="F114" i="4"/>
  <c r="O234" i="22"/>
  <c r="F20" i="4"/>
  <c r="G19" i="10"/>
  <c r="F4" i="4" s="1"/>
  <c r="F8" i="4"/>
  <c r="L844" i="3" s="1"/>
  <c r="I18" i="15"/>
  <c r="R253" i="10"/>
  <c r="R254" i="10" s="1"/>
  <c r="G3070" i="22" s="1"/>
  <c r="E64" i="10"/>
  <c r="M62" i="10"/>
  <c r="G64" i="10"/>
  <c r="J12" i="4"/>
  <c r="J122" i="4" s="1"/>
  <c r="C319" i="10"/>
  <c r="D319" i="10" s="1"/>
  <c r="D316" i="10"/>
  <c r="O233" i="22"/>
  <c r="N274" i="15"/>
  <c r="G6" i="27"/>
  <c r="G38" i="27" s="1"/>
  <c r="BK300" i="2"/>
  <c r="BK302" i="2" s="1"/>
  <c r="C195" i="27"/>
  <c r="I3036" i="22"/>
  <c r="O19" i="10"/>
  <c r="N4" i="4" s="1"/>
  <c r="J257" i="37"/>
  <c r="C4941" i="22"/>
  <c r="C4945" i="22" s="1"/>
  <c r="O5013" i="22"/>
  <c r="AJ6" i="37"/>
  <c r="N5013" i="22"/>
  <c r="G20" i="4"/>
  <c r="F147" i="10"/>
  <c r="H20" i="4"/>
  <c r="G114" i="4"/>
  <c r="F64" i="10"/>
  <c r="I1325" i="22"/>
  <c r="K156" i="27"/>
  <c r="K195" i="27"/>
  <c r="E49" i="10"/>
  <c r="AC132" i="10"/>
  <c r="G16" i="4"/>
  <c r="G122" i="4"/>
  <c r="H122" i="4"/>
  <c r="E147" i="10"/>
  <c r="AC120" i="10"/>
  <c r="AC64" i="10"/>
  <c r="AF5" i="10"/>
  <c r="AF32" i="10" s="1"/>
  <c r="AF37" i="10" s="1"/>
  <c r="N578" i="3"/>
  <c r="S228" i="15"/>
  <c r="K4" i="27"/>
  <c r="K36" i="27" s="1"/>
  <c r="M49" i="10"/>
  <c r="N49" i="10"/>
  <c r="AC166" i="10"/>
  <c r="AC258" i="10"/>
  <c r="C67" i="4"/>
  <c r="C66" i="4"/>
  <c r="C95" i="4"/>
  <c r="H3070" i="22"/>
  <c r="S253" i="10"/>
  <c r="T253" i="10" s="1"/>
  <c r="M64" i="10"/>
  <c r="N65" i="10" s="1"/>
  <c r="N152" i="10" s="1"/>
  <c r="O77" i="10"/>
  <c r="I1254" i="22" s="1"/>
  <c r="G86" i="31"/>
  <c r="N86" i="10"/>
  <c r="H1253" i="22"/>
  <c r="N77" i="10"/>
  <c r="H1254" i="22" s="1"/>
  <c r="M170" i="10"/>
  <c r="M174" i="10" s="1"/>
  <c r="L278" i="10"/>
  <c r="L279" i="10" s="1"/>
  <c r="L282" i="10" s="1"/>
  <c r="N107" i="1" s="1"/>
  <c r="AI139" i="10"/>
  <c r="AL139" i="10" s="1"/>
  <c r="AD6" i="37"/>
  <c r="AD16" i="37" s="1"/>
  <c r="J150" i="27"/>
  <c r="J101" i="27"/>
  <c r="J117" i="27" s="1"/>
  <c r="H1323" i="22"/>
  <c r="G133" i="27"/>
  <c r="AM148" i="10"/>
  <c r="AP138" i="10"/>
  <c r="U307" i="10"/>
  <c r="T311" i="10"/>
  <c r="T308" i="10"/>
  <c r="I19" i="10"/>
  <c r="I28" i="10" s="1"/>
  <c r="P300" i="10"/>
  <c r="P302" i="10" s="1"/>
  <c r="F19" i="10"/>
  <c r="F57" i="10"/>
  <c r="E8" i="4"/>
  <c r="K844" i="3" s="1"/>
  <c r="O85" i="10"/>
  <c r="N92" i="10"/>
  <c r="AH260" i="2"/>
  <c r="L97" i="27"/>
  <c r="G4" i="4"/>
  <c r="P232" i="22"/>
  <c r="N66" i="10"/>
  <c r="N97" i="10"/>
  <c r="N100" i="10" s="1"/>
  <c r="N158" i="10"/>
  <c r="N161" i="10" s="1"/>
  <c r="H1258" i="22"/>
  <c r="P233" i="22"/>
  <c r="N62" i="10"/>
  <c r="P234" i="22"/>
  <c r="P235" i="22"/>
  <c r="E57" i="10"/>
  <c r="D12" i="4"/>
  <c r="D114" i="4" s="1"/>
  <c r="F49" i="10"/>
  <c r="I16" i="4"/>
  <c r="W70" i="10"/>
  <c r="C179" i="27"/>
  <c r="T14" i="10"/>
  <c r="U121" i="10"/>
  <c r="H5015" i="22"/>
  <c r="P5015" i="22"/>
  <c r="I5015" i="22"/>
  <c r="M5015" i="22"/>
  <c r="N5015" i="22"/>
  <c r="J5015" i="22"/>
  <c r="G5015" i="22"/>
  <c r="L5015" i="22"/>
  <c r="F5015" i="22"/>
  <c r="O5015" i="22"/>
  <c r="K5015" i="22"/>
  <c r="O228" i="15"/>
  <c r="K10" i="10"/>
  <c r="G4" i="27"/>
  <c r="G36" i="27" s="1"/>
  <c r="G432" i="22"/>
  <c r="H24" i="10"/>
  <c r="I24" i="10"/>
  <c r="W207" i="22"/>
  <c r="AC283" i="2"/>
  <c r="AB143" i="2"/>
  <c r="AF34" i="10"/>
  <c r="S274" i="15"/>
  <c r="S15" i="10"/>
  <c r="X306" i="10"/>
  <c r="R16" i="10"/>
  <c r="Q34" i="10"/>
  <c r="Q43" i="10" s="1"/>
  <c r="E37" i="4"/>
  <c r="E58" i="4"/>
  <c r="AB283" i="2"/>
  <c r="X283" i="2"/>
  <c r="BZ283" i="2" s="1"/>
  <c r="BZ125" i="2"/>
  <c r="H251" i="22" s="1"/>
  <c r="N122" i="4"/>
  <c r="N20" i="4"/>
  <c r="M16" i="4"/>
  <c r="I86" i="27"/>
  <c r="J86" i="27"/>
  <c r="J102" i="27"/>
  <c r="J118" i="27" s="1"/>
  <c r="I81" i="27"/>
  <c r="H398" i="22"/>
  <c r="E1256" i="22"/>
  <c r="M85" i="10"/>
  <c r="M92" i="10"/>
  <c r="N85" i="10"/>
  <c r="M128" i="10"/>
  <c r="M141" i="10"/>
  <c r="Q233" i="22"/>
  <c r="Q234" i="22"/>
  <c r="Q235" i="22"/>
  <c r="O62" i="10"/>
  <c r="I1258" i="22"/>
  <c r="O158" i="10"/>
  <c r="O161" i="10" s="1"/>
  <c r="O97" i="10"/>
  <c r="O100" i="10" s="1"/>
  <c r="Q232" i="22"/>
  <c r="O66" i="10"/>
  <c r="M7" i="10"/>
  <c r="M37" i="10"/>
  <c r="H5" i="27"/>
  <c r="H37" i="27" s="1"/>
  <c r="P251" i="15"/>
  <c r="L10" i="10"/>
  <c r="D64" i="10"/>
  <c r="D147" i="10"/>
  <c r="D57" i="10"/>
  <c r="I2" i="10"/>
  <c r="J231" i="22"/>
  <c r="I148" i="10"/>
  <c r="R7" i="10"/>
  <c r="S7" i="10" s="1"/>
  <c r="T7" i="10" s="1"/>
  <c r="U7" i="10" s="1"/>
  <c r="V7" i="10" s="1"/>
  <c r="W7" i="10" s="1"/>
  <c r="X7" i="10" s="1"/>
  <c r="Y7" i="10" s="1"/>
  <c r="Z7" i="10" s="1"/>
  <c r="AA7" i="10" s="1"/>
  <c r="AB7" i="10" s="1"/>
  <c r="AC7" i="10" s="1"/>
  <c r="AD7" i="10" s="1"/>
  <c r="AE7" i="10" s="1"/>
  <c r="D28" i="10"/>
  <c r="C4" i="4"/>
  <c r="E28" i="10"/>
  <c r="L167" i="10"/>
  <c r="M168" i="10"/>
  <c r="N162" i="10" s="1"/>
  <c r="C16" i="4"/>
  <c r="R228" i="15"/>
  <c r="J4" i="27"/>
  <c r="J36" i="27" s="1"/>
  <c r="N10" i="10"/>
  <c r="N19" i="10" s="1"/>
  <c r="J177" i="10"/>
  <c r="I176" i="10"/>
  <c r="I178" i="10" s="1"/>
  <c r="I179" i="10" s="1"/>
  <c r="CL125" i="2"/>
  <c r="AM283" i="2"/>
  <c r="AL143" i="2"/>
  <c r="F5014" i="22"/>
  <c r="L5014" i="22"/>
  <c r="G5014" i="22"/>
  <c r="M5014" i="22"/>
  <c r="O5014" i="22"/>
  <c r="N5014" i="22"/>
  <c r="H5014" i="22"/>
  <c r="P5014" i="22"/>
  <c r="I5014" i="22"/>
  <c r="J5014" i="22"/>
  <c r="K5014" i="22"/>
  <c r="AB300" i="2"/>
  <c r="D171" i="27"/>
  <c r="G58" i="4"/>
  <c r="G100" i="4"/>
  <c r="N57" i="10"/>
  <c r="AM164" i="2"/>
  <c r="CL164" i="2" s="1"/>
  <c r="J77" i="15"/>
  <c r="J79" i="15" s="1"/>
  <c r="P928" i="22"/>
  <c r="P934" i="22"/>
  <c r="K796" i="22"/>
  <c r="O925" i="22"/>
  <c r="D860" i="22"/>
  <c r="F846" i="22"/>
  <c r="D818" i="22"/>
  <c r="O918" i="22"/>
  <c r="O923" i="22"/>
  <c r="H1827" i="22"/>
  <c r="H2702" i="22"/>
  <c r="D2720" i="22" s="1"/>
  <c r="I1807" i="22"/>
  <c r="O1807" i="22" s="1"/>
  <c r="O311" i="22"/>
  <c r="I1827" i="22"/>
  <c r="U1769" i="22"/>
  <c r="AE1769" i="22" s="1"/>
  <c r="U1807" i="22" s="1"/>
  <c r="D1480" i="22"/>
  <c r="AX730" i="22"/>
  <c r="S122" i="15"/>
  <c r="D16" i="13"/>
  <c r="E3590" i="22"/>
  <c r="V122" i="15"/>
  <c r="V13" i="15"/>
  <c r="G59" i="13"/>
  <c r="G72" i="13" s="1"/>
  <c r="X122" i="15"/>
  <c r="Y121" i="15" s="1"/>
  <c r="E424" i="22"/>
  <c r="H3042" i="22"/>
  <c r="D59" i="13"/>
  <c r="D72" i="13" s="1"/>
  <c r="S13" i="15"/>
  <c r="F426" i="22"/>
  <c r="J426" i="22" s="1"/>
  <c r="H3049" i="22"/>
  <c r="AO508" i="38"/>
  <c r="L74" i="15"/>
  <c r="G3590" i="22"/>
  <c r="G3005" i="22"/>
  <c r="F59" i="13"/>
  <c r="F72" i="13" s="1"/>
  <c r="U13" i="15"/>
  <c r="Q75" i="15"/>
  <c r="K115" i="15"/>
  <c r="F3055" i="22"/>
  <c r="K77" i="15"/>
  <c r="K79" i="15" s="1"/>
  <c r="R122" i="15"/>
  <c r="C4808" i="22"/>
  <c r="I3015" i="22"/>
  <c r="K113" i="15"/>
  <c r="K28" i="15"/>
  <c r="H3046" i="22"/>
  <c r="T13" i="15"/>
  <c r="E59" i="13"/>
  <c r="E72" i="13" s="1"/>
  <c r="N758" i="38"/>
  <c r="I56" i="37"/>
  <c r="I96" i="37" s="1"/>
  <c r="C98" i="38"/>
  <c r="V179" i="38"/>
  <c r="AD460" i="38"/>
  <c r="AD473" i="38" s="1"/>
  <c r="AD476" i="38" s="1"/>
  <c r="G257" i="37"/>
  <c r="D98" i="38"/>
  <c r="Y144" i="15"/>
  <c r="X69" i="38"/>
  <c r="X400" i="38" s="1"/>
  <c r="G26" i="41"/>
  <c r="AQ309" i="38"/>
  <c r="AL208" i="38"/>
  <c r="Z408" i="38"/>
  <c r="AR186" i="38"/>
  <c r="V410" i="38"/>
  <c r="V412" i="38" s="1"/>
  <c r="J373" i="37"/>
  <c r="S250" i="10"/>
  <c r="T250" i="10" s="1"/>
  <c r="U250" i="10" s="1"/>
  <c r="Z376" i="38"/>
  <c r="D1774" i="22"/>
  <c r="D1802" i="22" s="1"/>
  <c r="F2896" i="22"/>
  <c r="I105" i="22"/>
  <c r="E414" i="22" s="1"/>
  <c r="D1003" i="22"/>
  <c r="D1006" i="22" s="1"/>
  <c r="I100" i="22"/>
  <c r="I104" i="22"/>
  <c r="E413" i="22" s="1"/>
  <c r="H779" i="22"/>
  <c r="H801" i="22" s="1"/>
  <c r="I2459" i="22"/>
  <c r="I2467" i="22" s="1"/>
  <c r="D1478" i="22"/>
  <c r="AE1775" i="22"/>
  <c r="V3077" i="22"/>
  <c r="V3081" i="22" s="1"/>
  <c r="G1231" i="22"/>
  <c r="H1249" i="22" s="1"/>
  <c r="H1267" i="22" s="1"/>
  <c r="H1283" i="22" s="1"/>
  <c r="H1295" i="22" s="1"/>
  <c r="H1321" i="22" s="1"/>
  <c r="O103" i="22"/>
  <c r="K412" i="22" s="1"/>
  <c r="W1105" i="22"/>
  <c r="W1099" i="22"/>
  <c r="AO15" i="22"/>
  <c r="AC13" i="22"/>
  <c r="T80" i="22"/>
  <c r="E1197" i="22"/>
  <c r="AG13" i="22"/>
  <c r="AN728" i="22"/>
  <c r="L1775" i="22"/>
  <c r="F842" i="22"/>
  <c r="C542" i="19"/>
  <c r="G542" i="19" s="1"/>
  <c r="H542" i="19" s="1"/>
  <c r="D846" i="22"/>
  <c r="J311" i="22"/>
  <c r="E855" i="22"/>
  <c r="L1711" i="22"/>
  <c r="L1753" i="22" s="1"/>
  <c r="W1716" i="22"/>
  <c r="L1760" i="22"/>
  <c r="AA1716" i="22"/>
  <c r="L1758" i="22"/>
  <c r="W1718" i="22"/>
  <c r="AG1718" i="22"/>
  <c r="G2041" i="22"/>
  <c r="G2051" i="22" s="1"/>
  <c r="AA1718" i="22"/>
  <c r="G1787" i="22" s="1"/>
  <c r="AL728" i="22"/>
  <c r="AF1717" i="22"/>
  <c r="AP728" i="22"/>
  <c r="L1362" i="22"/>
  <c r="N1362" i="22" s="1"/>
  <c r="AM728" i="22"/>
  <c r="J1772" i="22"/>
  <c r="Y1740" i="22" s="1"/>
  <c r="F818" i="22"/>
  <c r="J1803" i="22"/>
  <c r="AD1777" i="22"/>
  <c r="J1805" i="22"/>
  <c r="L2671" i="22"/>
  <c r="AE1777" i="22"/>
  <c r="U1777" i="22"/>
  <c r="Z3077" i="22"/>
  <c r="Z3081" i="22" s="1"/>
  <c r="Y1777" i="22"/>
  <c r="E1794" i="22" s="1"/>
  <c r="AS15" i="22"/>
  <c r="M344" i="22"/>
  <c r="M330" i="22" s="1"/>
  <c r="M332" i="22" s="1"/>
  <c r="M334" i="22" s="1"/>
  <c r="AZ730" i="22"/>
  <c r="Y4453" i="22"/>
  <c r="K23" i="22"/>
  <c r="AW730" i="22"/>
  <c r="K311" i="22"/>
  <c r="AR15" i="22"/>
  <c r="E842" i="22"/>
  <c r="N87" i="22"/>
  <c r="N92" i="22" s="1"/>
  <c r="J419" i="22" s="1"/>
  <c r="F855" i="22"/>
  <c r="G4416" i="22"/>
  <c r="AQ16" i="22"/>
  <c r="AT16" i="22" s="1"/>
  <c r="AU16" i="22" s="1"/>
  <c r="Q24" i="22" s="1"/>
  <c r="R311" i="22"/>
  <c r="E2296" i="22"/>
  <c r="E2298" i="22" s="1"/>
  <c r="E2285" i="22"/>
  <c r="O100" i="22"/>
  <c r="P311" i="22"/>
  <c r="O105" i="22"/>
  <c r="K414" i="22" s="1"/>
  <c r="E4170" i="22"/>
  <c r="M4643" i="22"/>
  <c r="K1775" i="22"/>
  <c r="K1803" i="22" s="1"/>
  <c r="Z1777" i="22"/>
  <c r="F1794" i="22" s="1"/>
  <c r="H4416" i="22"/>
  <c r="I4389" i="22"/>
  <c r="Z4453" i="22"/>
  <c r="F326" i="22"/>
  <c r="E37" i="31"/>
  <c r="K1815" i="22"/>
  <c r="Q1815" i="22" s="1"/>
  <c r="AF13" i="22"/>
  <c r="AE13" i="22"/>
  <c r="R13" i="22"/>
  <c r="F348" i="22"/>
  <c r="J1716" i="22"/>
  <c r="Y1716" i="22" s="1"/>
  <c r="K1805" i="22"/>
  <c r="H3547" i="22"/>
  <c r="H3562" i="22" s="1"/>
  <c r="H3603" i="22" s="1"/>
  <c r="AF1710" i="22"/>
  <c r="J1815" i="22"/>
  <c r="P1815" i="22" s="1"/>
  <c r="I1805" i="22"/>
  <c r="G2965" i="22"/>
  <c r="F2975" i="22"/>
  <c r="K1764" i="22"/>
  <c r="K1752" i="22"/>
  <c r="K1762" i="22"/>
  <c r="P4643" i="22"/>
  <c r="U1718" i="22"/>
  <c r="U1751" i="22" s="1"/>
  <c r="AF1777" i="22"/>
  <c r="H221" i="22"/>
  <c r="P987" i="22"/>
  <c r="O1092" i="22"/>
  <c r="O1093" i="22" s="1"/>
  <c r="H1807" i="22"/>
  <c r="N1807" i="22" s="1"/>
  <c r="S1769" i="22"/>
  <c r="AC1769" i="22" s="1"/>
  <c r="S1807" i="22" s="1"/>
  <c r="G1827" i="22"/>
  <c r="L1364" i="22"/>
  <c r="N1364" i="22" s="1"/>
  <c r="P988" i="22"/>
  <c r="BI14" i="22"/>
  <c r="BH14" i="22"/>
  <c r="E860" i="22"/>
  <c r="I855" i="22"/>
  <c r="G820" i="22"/>
  <c r="G858" i="22" s="1"/>
  <c r="F2467" i="22"/>
  <c r="BK14" i="22"/>
  <c r="Q934" i="22"/>
  <c r="Q932" i="22"/>
  <c r="L934" i="22"/>
  <c r="Q929" i="22"/>
  <c r="J855" i="22"/>
  <c r="E818" i="22"/>
  <c r="F847" i="22"/>
  <c r="Q937" i="22"/>
  <c r="I943" i="22"/>
  <c r="H1386" i="22"/>
  <c r="H855" i="22"/>
  <c r="D849" i="22"/>
  <c r="D850" i="22" s="1"/>
  <c r="P918" i="22"/>
  <c r="P919" i="22"/>
  <c r="P925" i="22"/>
  <c r="Q928" i="22"/>
  <c r="D855" i="22"/>
  <c r="P923" i="22"/>
  <c r="I1775" i="22"/>
  <c r="AD1775" i="22" s="1"/>
  <c r="E3931" i="22"/>
  <c r="AO730" i="22"/>
  <c r="G3601" i="22"/>
  <c r="G3609" i="22" s="1"/>
  <c r="E3930" i="22"/>
  <c r="P2671" i="22"/>
  <c r="F2694" i="22"/>
  <c r="P1093" i="22"/>
  <c r="T1100" i="22" s="1"/>
  <c r="AL730" i="22"/>
  <c r="E3932" i="22"/>
  <c r="G326" i="22"/>
  <c r="M311" i="22"/>
  <c r="X1777" i="22"/>
  <c r="D1794" i="22" s="1"/>
  <c r="F2702" i="22"/>
  <c r="AM730" i="22"/>
  <c r="AP730" i="22"/>
  <c r="W1100" i="22"/>
  <c r="T84" i="22"/>
  <c r="V1769" i="22"/>
  <c r="AF1769" i="22" s="1"/>
  <c r="V1807" i="22" s="1"/>
  <c r="K1807" i="22"/>
  <c r="Q1807" i="22" s="1"/>
  <c r="O125" i="22"/>
  <c r="N105" i="22"/>
  <c r="J414" i="22" s="1"/>
  <c r="N125" i="22"/>
  <c r="N104" i="22"/>
  <c r="J413" i="22" s="1"/>
  <c r="N100" i="22"/>
  <c r="O106" i="22"/>
  <c r="O126" i="22" s="1"/>
  <c r="G818" i="22"/>
  <c r="Z1772" i="22"/>
  <c r="F1795" i="22" s="1"/>
  <c r="K1800" i="22"/>
  <c r="H4422" i="22"/>
  <c r="H4453" i="22" s="1"/>
  <c r="I4410" i="22"/>
  <c r="Q1716" i="22"/>
  <c r="P1712" i="22"/>
  <c r="AA1712" i="22" s="1"/>
  <c r="AD15" i="22"/>
  <c r="S4643" i="22"/>
  <c r="T4643" i="22"/>
  <c r="G3185" i="22"/>
  <c r="H3153" i="22"/>
  <c r="BK16" i="22"/>
  <c r="BL16" i="22"/>
  <c r="BI16" i="22"/>
  <c r="BH16" i="22"/>
  <c r="R344" i="22"/>
  <c r="N330" i="22"/>
  <c r="G4419" i="22"/>
  <c r="G4450" i="22" s="1"/>
  <c r="G4464" i="22"/>
  <c r="G4466" i="22" s="1"/>
  <c r="H87" i="37"/>
  <c r="H757" i="38"/>
  <c r="B4267" i="22"/>
  <c r="C326" i="37"/>
  <c r="C349" i="37"/>
  <c r="B3832" i="22"/>
  <c r="I60" i="37"/>
  <c r="AJ313" i="38"/>
  <c r="I191" i="37" s="1"/>
  <c r="AH42" i="38"/>
  <c r="AJ46" i="38"/>
  <c r="I54" i="37" s="1"/>
  <c r="J350" i="37"/>
  <c r="C4543" i="22"/>
  <c r="J87" i="37"/>
  <c r="AK6" i="37"/>
  <c r="T308" i="38"/>
  <c r="V308" i="38" s="1"/>
  <c r="G195" i="37" s="1"/>
  <c r="V45" i="38"/>
  <c r="G53" i="37" s="1"/>
  <c r="AO413" i="38"/>
  <c r="AO414" i="38" s="1"/>
  <c r="P757" i="38"/>
  <c r="AF12" i="37"/>
  <c r="AF16" i="37" s="1"/>
  <c r="AF24" i="37" s="1"/>
  <c r="AR23" i="37" s="1"/>
  <c r="E93" i="37"/>
  <c r="E356" i="37"/>
  <c r="F361" i="37"/>
  <c r="AG19" i="37"/>
  <c r="M387" i="38"/>
  <c r="X282" i="38"/>
  <c r="Z146" i="38"/>
  <c r="Z147" i="38" s="1"/>
  <c r="Z134" i="38"/>
  <c r="F30" i="42"/>
  <c r="F45" i="42" s="1"/>
  <c r="U382" i="38"/>
  <c r="O92" i="38"/>
  <c r="P62" i="38"/>
  <c r="O318" i="38"/>
  <c r="C262" i="37"/>
  <c r="C224" i="37"/>
  <c r="C225" i="37"/>
  <c r="C263" i="37"/>
  <c r="AG45" i="38"/>
  <c r="BY357" i="38" s="1"/>
  <c r="AF49" i="38"/>
  <c r="AG71" i="38"/>
  <c r="D3518" i="22"/>
  <c r="AQ182" i="38"/>
  <c r="AQ196" i="38"/>
  <c r="D756" i="38"/>
  <c r="AJ277" i="38"/>
  <c r="I163" i="37" s="1"/>
  <c r="O96" i="38"/>
  <c r="T96" i="38" s="1"/>
  <c r="O322" i="38"/>
  <c r="O398" i="38" s="1"/>
  <c r="P66" i="38"/>
  <c r="N382" i="38"/>
  <c r="N575" i="38" s="1"/>
  <c r="H947" i="38"/>
  <c r="AK34" i="38"/>
  <c r="AK21" i="38"/>
  <c r="Z348" i="38"/>
  <c r="I7" i="37"/>
  <c r="AJ278" i="38"/>
  <c r="I164" i="37" s="1"/>
  <c r="AJ181" i="38"/>
  <c r="F349" i="37"/>
  <c r="F86" i="37"/>
  <c r="Q76" i="38" s="1"/>
  <c r="AG5" i="37"/>
  <c r="E30" i="42"/>
  <c r="E45" i="42" s="1"/>
  <c r="T382" i="38"/>
  <c r="I350" i="37"/>
  <c r="G215" i="37"/>
  <c r="P60" i="38"/>
  <c r="O316" i="38"/>
  <c r="O90" i="38"/>
  <c r="T90" i="38" s="1"/>
  <c r="CD364" i="38"/>
  <c r="O321" i="38"/>
  <c r="O95" i="38"/>
  <c r="T95" i="38" s="1"/>
  <c r="P65" i="38"/>
  <c r="AA412" i="38"/>
  <c r="AA414" i="38" s="1"/>
  <c r="H431" i="37"/>
  <c r="AN311" i="38"/>
  <c r="AN285" i="38"/>
  <c r="I30" i="37"/>
  <c r="I110" i="37" s="1"/>
  <c r="AJ95" i="38" s="1"/>
  <c r="AJ295" i="38"/>
  <c r="I178" i="37" s="1"/>
  <c r="J239" i="37"/>
  <c r="AH6" i="37"/>
  <c r="G350" i="37"/>
  <c r="AB382" i="38"/>
  <c r="AB575" i="38" s="1"/>
  <c r="D4063" i="22"/>
  <c r="M757" i="38"/>
  <c r="F256" i="37"/>
  <c r="I4670" i="22"/>
  <c r="AM206" i="38"/>
  <c r="Y953" i="38" s="1"/>
  <c r="H235" i="37"/>
  <c r="H209" i="37"/>
  <c r="J99" i="37"/>
  <c r="X45" i="38"/>
  <c r="D7" i="42"/>
  <c r="BJ15" i="22"/>
  <c r="BM15" i="22" s="1"/>
  <c r="AE15" i="22"/>
  <c r="AU2175" i="22"/>
  <c r="AT2175" i="22" s="1"/>
  <c r="AS2175" i="22" s="1"/>
  <c r="AR2175" i="22" s="1"/>
  <c r="AQ2175" i="22" s="1"/>
  <c r="AP2175" i="22" s="1"/>
  <c r="AO2175" i="22" s="1"/>
  <c r="AN2175" i="22" s="1"/>
  <c r="AM2175" i="22" s="1"/>
  <c r="AL2175" i="22" s="1"/>
  <c r="AK2175" i="22" s="1"/>
  <c r="AJ2175" i="22" s="1"/>
  <c r="AI2175" i="22" s="1"/>
  <c r="AH2175" i="22" s="1"/>
  <c r="AG2175" i="22" s="1"/>
  <c r="AF2175" i="22" s="1"/>
  <c r="AE2175" i="22" s="1"/>
  <c r="AD2175" i="22" s="1"/>
  <c r="AC2175" i="22" s="1"/>
  <c r="AB2175" i="22" s="1"/>
  <c r="AA2175" i="22" s="1"/>
  <c r="Z2175" i="22" s="1"/>
  <c r="Y2175" i="22" s="1"/>
  <c r="X2175" i="22" s="1"/>
  <c r="W2175" i="22" s="1"/>
  <c r="V2175" i="22" s="1"/>
  <c r="U2175" i="22" s="1"/>
  <c r="T2175" i="22" s="1"/>
  <c r="S2175" i="22" s="1"/>
  <c r="R2175" i="22" s="1"/>
  <c r="Q2175" i="22" s="1"/>
  <c r="P2175" i="22" s="1"/>
  <c r="O2175" i="22" s="1"/>
  <c r="N2175" i="22" s="1"/>
  <c r="M2175" i="22" s="1"/>
  <c r="L2175" i="22" s="1"/>
  <c r="K2175" i="22" s="1"/>
  <c r="J2175" i="22" s="1"/>
  <c r="I2175" i="22" s="1"/>
  <c r="H2175" i="22" s="1"/>
  <c r="G2175" i="22" s="1"/>
  <c r="F2175" i="22" s="1"/>
  <c r="E2175" i="22" s="1"/>
  <c r="D2175" i="22" s="1"/>
  <c r="AF728" i="22"/>
  <c r="AI728" i="22" s="1"/>
  <c r="BC728" i="22" s="1"/>
  <c r="Q4114" i="22"/>
  <c r="Q4113" i="22" s="1"/>
  <c r="E4088" i="22" s="1"/>
  <c r="M1712" i="22"/>
  <c r="M1754" i="22" s="1"/>
  <c r="M1753" i="22"/>
  <c r="F46" i="42"/>
  <c r="N948" i="38"/>
  <c r="S758" i="38"/>
  <c r="R758" i="38"/>
  <c r="W211" i="38"/>
  <c r="Z545" i="38"/>
  <c r="Y545" i="38"/>
  <c r="AG119" i="38"/>
  <c r="AG193" i="38"/>
  <c r="L322" i="38"/>
  <c r="E73" i="37"/>
  <c r="E111" i="37" s="1"/>
  <c r="R333" i="38"/>
  <c r="R98" i="38"/>
  <c r="E257" i="37"/>
  <c r="E216" i="37"/>
  <c r="M756" i="38"/>
  <c r="E333" i="38"/>
  <c r="E98" i="38"/>
  <c r="AJ17" i="38"/>
  <c r="AF88" i="38"/>
  <c r="O756" i="38"/>
  <c r="T146" i="15"/>
  <c r="H177" i="14"/>
  <c r="H178" i="14" s="1"/>
  <c r="H180" i="14" s="1"/>
  <c r="R756" i="38"/>
  <c r="S756" i="38"/>
  <c r="AM113" i="38"/>
  <c r="AN57" i="38"/>
  <c r="S376" i="38"/>
  <c r="F208" i="37"/>
  <c r="AM311" i="38"/>
  <c r="AM285" i="38"/>
  <c r="I4673" i="22" s="1"/>
  <c r="AG13" i="38"/>
  <c r="AG21" i="38" s="1"/>
  <c r="H241" i="37"/>
  <c r="H216" i="37"/>
  <c r="AO42" i="38"/>
  <c r="J52" i="37" s="1"/>
  <c r="J194" i="37" s="1"/>
  <c r="J237" i="37" s="1"/>
  <c r="AM304" i="38"/>
  <c r="AJ296" i="38"/>
  <c r="I179" i="37" s="1"/>
  <c r="I267" i="37" s="1"/>
  <c r="I31" i="37"/>
  <c r="I111" i="37" s="1"/>
  <c r="AJ96" i="38" s="1"/>
  <c r="E249" i="37"/>
  <c r="AM79" i="38"/>
  <c r="AO79" i="38" s="1"/>
  <c r="U160" i="38"/>
  <c r="U174" i="38" s="1"/>
  <c r="M3088" i="22"/>
  <c r="U185" i="38"/>
  <c r="J756" i="38"/>
  <c r="F3901" i="22"/>
  <c r="G256" i="37"/>
  <c r="CC353" i="38"/>
  <c r="F436" i="37"/>
  <c r="U153" i="15" s="1"/>
  <c r="Q414" i="38"/>
  <c r="Y326" i="38"/>
  <c r="AE156" i="38"/>
  <c r="Y276" i="38"/>
  <c r="Y301" i="38"/>
  <c r="Y383" i="38" s="1"/>
  <c r="Y376" i="38" s="1"/>
  <c r="F12" i="37"/>
  <c r="AG12" i="37" s="1"/>
  <c r="Q13" i="38"/>
  <c r="Q282" i="38"/>
  <c r="F172" i="37" s="1"/>
  <c r="AA191" i="38"/>
  <c r="H287" i="37"/>
  <c r="AA119" i="38"/>
  <c r="G363" i="37"/>
  <c r="G101" i="37"/>
  <c r="V88" i="38" s="1"/>
  <c r="AH21" i="37"/>
  <c r="AO188" i="38"/>
  <c r="J283" i="37"/>
  <c r="S189" i="38"/>
  <c r="S9" i="38"/>
  <c r="S208" i="38"/>
  <c r="D54" i="42" s="1"/>
  <c r="D33" i="42"/>
  <c r="D757" i="38"/>
  <c r="E757" i="38"/>
  <c r="V195" i="38"/>
  <c r="AR109" i="38"/>
  <c r="AR188" i="38"/>
  <c r="G251" i="37"/>
  <c r="G210" i="37"/>
  <c r="N264" i="37"/>
  <c r="F216" i="37"/>
  <c r="G216" i="37"/>
  <c r="I59" i="37"/>
  <c r="AJ312" i="38"/>
  <c r="I190" i="37" s="1"/>
  <c r="C36" i="42"/>
  <c r="AL189" i="38"/>
  <c r="CH358" i="38"/>
  <c r="AR42" i="38"/>
  <c r="AO109" i="38"/>
  <c r="J280" i="37" s="1"/>
  <c r="AM185" i="38"/>
  <c r="BV109" i="38"/>
  <c r="I289" i="37"/>
  <c r="C124" i="37"/>
  <c r="B327" i="38"/>
  <c r="AR45" i="38"/>
  <c r="CH360" i="38"/>
  <c r="AA426" i="38"/>
  <c r="X428" i="38"/>
  <c r="AA428" i="38" s="1"/>
  <c r="Y408" i="38"/>
  <c r="Y575" i="38"/>
  <c r="O129" i="34"/>
  <c r="P129" i="34" s="1"/>
  <c r="P128" i="34"/>
  <c r="AN98" i="38"/>
  <c r="W57" i="38"/>
  <c r="C7" i="42"/>
  <c r="W45" i="38"/>
  <c r="BQ357" i="38" s="1"/>
  <c r="AQ82" i="38"/>
  <c r="AQ185" i="38"/>
  <c r="H98" i="38"/>
  <c r="BT113" i="38"/>
  <c r="AK189" i="38"/>
  <c r="AK208" i="38"/>
  <c r="AK150" i="38"/>
  <c r="AC195" i="38"/>
  <c r="AC150" i="38"/>
  <c r="AH13" i="38"/>
  <c r="AH195" i="38"/>
  <c r="K98" i="38"/>
  <c r="K333" i="38"/>
  <c r="AP69" i="38"/>
  <c r="AP57" i="38"/>
  <c r="AC208" i="38"/>
  <c r="K54" i="42" s="1"/>
  <c r="B265" i="38"/>
  <c r="C133" i="37" s="1"/>
  <c r="C151" i="37" s="1"/>
  <c r="B342" i="38"/>
  <c r="V413" i="38"/>
  <c r="G436" i="37" s="1"/>
  <c r="AR83" i="38"/>
  <c r="M322" i="38"/>
  <c r="AQ13" i="38"/>
  <c r="I113" i="37"/>
  <c r="AJ97" i="38" s="1"/>
  <c r="I445" i="37"/>
  <c r="X136" i="15"/>
  <c r="F100" i="37"/>
  <c r="Q87" i="38" s="1"/>
  <c r="AG20" i="37"/>
  <c r="C170" i="37"/>
  <c r="C192" i="37" s="1"/>
  <c r="C149" i="37"/>
  <c r="P294" i="38"/>
  <c r="J758" i="38"/>
  <c r="K758" i="38"/>
  <c r="D22" i="13"/>
  <c r="D447" i="37"/>
  <c r="U145" i="15"/>
  <c r="B936" i="38"/>
  <c r="B949" i="38"/>
  <c r="J273" i="37"/>
  <c r="AO179" i="38"/>
  <c r="AE150" i="38"/>
  <c r="AE132" i="38"/>
  <c r="AE134" i="38" s="1"/>
  <c r="AE166" i="38" s="1"/>
  <c r="AE208" i="38"/>
  <c r="G293" i="14"/>
  <c r="G294" i="14" s="1"/>
  <c r="Q296" i="38"/>
  <c r="F179" i="37" s="1"/>
  <c r="F31" i="37"/>
  <c r="Z185" i="38"/>
  <c r="Z282" i="38"/>
  <c r="Z82" i="38"/>
  <c r="AA9" i="38"/>
  <c r="P64" i="38"/>
  <c r="P320" i="38" s="1"/>
  <c r="P396" i="38" s="1"/>
  <c r="O320" i="38"/>
  <c r="O94" i="38"/>
  <c r="D45" i="41"/>
  <c r="D56" i="41" s="1"/>
  <c r="F22" i="37"/>
  <c r="F102" i="37" s="1"/>
  <c r="Q19" i="38"/>
  <c r="I301" i="37"/>
  <c r="AJ205" i="38"/>
  <c r="AA179" i="38"/>
  <c r="H273" i="37"/>
  <c r="F101" i="37"/>
  <c r="Q88" i="38" s="1"/>
  <c r="AG21" i="37"/>
  <c r="F363" i="37"/>
  <c r="AJ55" i="38"/>
  <c r="I63" i="37" s="1"/>
  <c r="I61" i="37"/>
  <c r="AJ314" i="38"/>
  <c r="I192" i="37" s="1"/>
  <c r="V951" i="38"/>
  <c r="K50" i="42"/>
  <c r="AJ302" i="38"/>
  <c r="I185" i="37" s="1"/>
  <c r="I47" i="37"/>
  <c r="AA34" i="38"/>
  <c r="H35" i="37" s="1"/>
  <c r="F4" i="42"/>
  <c r="Z210" i="38"/>
  <c r="J57" i="42" s="1"/>
  <c r="H339" i="37"/>
  <c r="AI289" i="37"/>
  <c r="Q948" i="38"/>
  <c r="I46" i="42"/>
  <c r="E210" i="37"/>
  <c r="E251" i="37"/>
  <c r="F210" i="37"/>
  <c r="K757" i="38"/>
  <c r="J757" i="38"/>
  <c r="AL150" i="38"/>
  <c r="AJ5" i="37"/>
  <c r="I349" i="37"/>
  <c r="I86" i="37"/>
  <c r="AJ76" i="38" s="1"/>
  <c r="J319" i="38"/>
  <c r="T333" i="38"/>
  <c r="T98" i="38"/>
  <c r="G349" i="37"/>
  <c r="AH273" i="37"/>
  <c r="AD382" i="38"/>
  <c r="AD575" i="38" s="1"/>
  <c r="E4063" i="22"/>
  <c r="G3518" i="22"/>
  <c r="G3509" i="22"/>
  <c r="F333" i="37"/>
  <c r="AG280" i="37"/>
  <c r="J397" i="38"/>
  <c r="AJ20" i="37"/>
  <c r="F3506" i="22"/>
  <c r="F3518" i="22" s="1"/>
  <c r="AJ119" i="38"/>
  <c r="P282" i="19"/>
  <c r="I288" i="37"/>
  <c r="AJ192" i="38"/>
  <c r="CG364" i="38"/>
  <c r="AQ348" i="38"/>
  <c r="BV368" i="38" s="1"/>
  <c r="E36" i="42"/>
  <c r="I333" i="37"/>
  <c r="AJ280" i="37"/>
  <c r="D3836" i="22"/>
  <c r="E3836" i="22" s="1"/>
  <c r="U383" i="38"/>
  <c r="U376" i="38" s="1"/>
  <c r="AE282" i="38"/>
  <c r="AE82" i="38"/>
  <c r="AE98" i="38" s="1"/>
  <c r="AD9" i="38"/>
  <c r="AE185" i="38"/>
  <c r="AK23" i="37"/>
  <c r="Z174" i="38"/>
  <c r="H234" i="37"/>
  <c r="H4615" i="22"/>
  <c r="AL152" i="38"/>
  <c r="X957" i="38" s="1"/>
  <c r="AL153" i="38"/>
  <c r="H394" i="38"/>
  <c r="F3187" i="22"/>
  <c r="F3201" i="22" s="1"/>
  <c r="F3181" i="22"/>
  <c r="F3189" i="22" s="1"/>
  <c r="F3203" i="22" s="1"/>
  <c r="I122" i="13"/>
  <c r="J122" i="13" s="1"/>
  <c r="K122" i="13" s="1"/>
  <c r="M3993" i="22"/>
  <c r="AF729" i="22"/>
  <c r="AI729" i="22" s="1"/>
  <c r="BC729" i="22" s="1"/>
  <c r="F3066" i="22"/>
  <c r="G3040" i="22"/>
  <c r="Q919" i="22"/>
  <c r="Q925" i="22"/>
  <c r="L925" i="22"/>
  <c r="Q918" i="22"/>
  <c r="I2671" i="22"/>
  <c r="M103" i="22"/>
  <c r="I412" i="22" s="1"/>
  <c r="N311" i="22"/>
  <c r="G4418" i="22"/>
  <c r="G4449" i="22" s="1"/>
  <c r="Q923" i="22"/>
  <c r="T1105" i="22"/>
  <c r="J3080" i="22"/>
  <c r="J3077" i="22"/>
  <c r="O941" i="22"/>
  <c r="O938" i="22"/>
  <c r="O940" i="22"/>
  <c r="M105" i="22"/>
  <c r="I414" i="22" s="1"/>
  <c r="H2309" i="22"/>
  <c r="H2329" i="22" s="1"/>
  <c r="I2270" i="22"/>
  <c r="I2309" i="22" s="1"/>
  <c r="I2329" i="22" s="1"/>
  <c r="G842" i="22"/>
  <c r="G860" i="22"/>
  <c r="M100" i="22"/>
  <c r="AF1713" i="22"/>
  <c r="M1091" i="22"/>
  <c r="Q1093" i="22"/>
  <c r="U1100" i="22" s="1"/>
  <c r="Y4195" i="22"/>
  <c r="Y4192" i="22"/>
  <c r="Y4194" i="22"/>
  <c r="Y4193" i="22"/>
  <c r="K1755" i="22"/>
  <c r="K1761" i="22"/>
  <c r="G3409" i="22"/>
  <c r="I3409" i="22" s="1"/>
  <c r="J3409" i="22" s="1"/>
  <c r="H2671" i="22"/>
  <c r="L99" i="22"/>
  <c r="L104" i="22" s="1"/>
  <c r="H413" i="22" s="1"/>
  <c r="J356" i="22"/>
  <c r="K356" i="22"/>
  <c r="F3788" i="22"/>
  <c r="G3785" i="22"/>
  <c r="F3779" i="22"/>
  <c r="H1092" i="22"/>
  <c r="L1093" i="22"/>
  <c r="D1201" i="22" s="1"/>
  <c r="P103" i="22"/>
  <c r="P125" i="22"/>
  <c r="P100" i="22"/>
  <c r="P104" i="22"/>
  <c r="P106" i="22"/>
  <c r="P126" i="22" s="1"/>
  <c r="F3080" i="22"/>
  <c r="E3085" i="22" s="1"/>
  <c r="E3086" i="22" s="1"/>
  <c r="F3097" i="22"/>
  <c r="J4195" i="22"/>
  <c r="Y223" i="22"/>
  <c r="AX728" i="22"/>
  <c r="AW728" i="22"/>
  <c r="BA728" i="22"/>
  <c r="AZ728" i="22"/>
  <c r="V80" i="22"/>
  <c r="L81" i="22"/>
  <c r="H3593" i="22"/>
  <c r="H3575" i="22" s="1"/>
  <c r="G3575" i="22"/>
  <c r="G3594" i="22"/>
  <c r="P938" i="22"/>
  <c r="P941" i="22"/>
  <c r="P939" i="22"/>
  <c r="P940" i="22"/>
  <c r="R934" i="22"/>
  <c r="R932" i="22"/>
  <c r="R928" i="22"/>
  <c r="N106" i="22"/>
  <c r="N126" i="22" s="1"/>
  <c r="D3081" i="22"/>
  <c r="D3098" i="22"/>
  <c r="AF14" i="22"/>
  <c r="AG14" i="22"/>
  <c r="AE14" i="22"/>
  <c r="AC14" i="22"/>
  <c r="R14" i="22"/>
  <c r="AD14" i="22"/>
  <c r="I2477" i="22"/>
  <c r="K125" i="22"/>
  <c r="G1754" i="22"/>
  <c r="D76" i="31"/>
  <c r="G1711" i="22"/>
  <c r="K1763" i="22"/>
  <c r="F2696" i="22"/>
  <c r="J4192" i="22"/>
  <c r="J4194" i="22"/>
  <c r="J4193" i="22"/>
  <c r="F2892" i="22"/>
  <c r="F2893" i="22" s="1"/>
  <c r="D2893" i="22"/>
  <c r="U1105" i="22"/>
  <c r="U1099" i="22"/>
  <c r="J103" i="22"/>
  <c r="F412" i="22" s="1"/>
  <c r="J100" i="22"/>
  <c r="K106" i="22"/>
  <c r="K126" i="22" s="1"/>
  <c r="J105" i="22"/>
  <c r="F414" i="22" s="1"/>
  <c r="E3779" i="22"/>
  <c r="E3780" i="22" s="1"/>
  <c r="E3788" i="22"/>
  <c r="F3081" i="22"/>
  <c r="G2573" i="22"/>
  <c r="F2580" i="22"/>
  <c r="J106" i="22"/>
  <c r="V1716" i="22"/>
  <c r="W1748" i="22" s="1"/>
  <c r="K1711" i="22"/>
  <c r="K1753" i="22" s="1"/>
  <c r="Z1716" i="22"/>
  <c r="K976" i="22"/>
  <c r="K981" i="22" s="1"/>
  <c r="K986" i="22" s="1"/>
  <c r="K991" i="22" s="1"/>
  <c r="K996" i="22" s="1"/>
  <c r="K1000" i="22" s="1"/>
  <c r="K1014" i="22"/>
  <c r="K1017" i="22" s="1"/>
  <c r="O190" i="14"/>
  <c r="P188" i="14"/>
  <c r="AC15" i="22"/>
  <c r="D2525" i="22"/>
  <c r="O993" i="22"/>
  <c r="O992" i="22"/>
  <c r="L994" i="22"/>
  <c r="N2658" i="22"/>
  <c r="S1712" i="22"/>
  <c r="O27" i="31"/>
  <c r="D129" i="31"/>
  <c r="E15" i="31"/>
  <c r="D1940" i="22" s="1"/>
  <c r="O12" i="31"/>
  <c r="D117" i="31"/>
  <c r="O55" i="31" s="1"/>
  <c r="F14" i="31"/>
  <c r="K2671" i="22"/>
  <c r="O2671" i="22"/>
  <c r="F1385" i="22"/>
  <c r="K1366" i="22"/>
  <c r="G2694" i="22"/>
  <c r="H2694" i="22" s="1"/>
  <c r="D2718" i="22" s="1"/>
  <c r="D2723" i="22" s="1"/>
  <c r="I2693" i="22"/>
  <c r="Q954" i="22"/>
  <c r="Q950" i="22"/>
  <c r="Q953" i="22"/>
  <c r="Q952" i="22"/>
  <c r="L954" i="22"/>
  <c r="AH1717" i="22"/>
  <c r="AH1716" i="22"/>
  <c r="X1716" i="22"/>
  <c r="I1758" i="22"/>
  <c r="I1711" i="22"/>
  <c r="I1712" i="22" s="1"/>
  <c r="T1716" i="22"/>
  <c r="U1748" i="22" s="1"/>
  <c r="O937" i="22"/>
  <c r="E943" i="22"/>
  <c r="V1105" i="22"/>
  <c r="V1099" i="22"/>
  <c r="C118" i="31"/>
  <c r="C130" i="31"/>
  <c r="E27" i="31"/>
  <c r="P2657" i="22"/>
  <c r="O2658" i="22"/>
  <c r="E344" i="22"/>
  <c r="K1759" i="22"/>
  <c r="V1710" i="22"/>
  <c r="AF1718" i="22"/>
  <c r="K1760" i="22"/>
  <c r="AF1716" i="22"/>
  <c r="T1718" i="22"/>
  <c r="T1751" i="22" s="1"/>
  <c r="X1718" i="22"/>
  <c r="D1787" i="22" s="1"/>
  <c r="I1760" i="22"/>
  <c r="I1815" i="22"/>
  <c r="E16" i="31"/>
  <c r="E82" i="31" s="1"/>
  <c r="E83" i="31" s="1"/>
  <c r="D1941" i="22" s="1"/>
  <c r="AH1718" i="22"/>
  <c r="R1093" i="22"/>
  <c r="N1092" i="22"/>
  <c r="K1758" i="22"/>
  <c r="H1774" i="22"/>
  <c r="H1800" i="22"/>
  <c r="S1772" i="22"/>
  <c r="AC1772" i="22"/>
  <c r="R15" i="22"/>
  <c r="L976" i="22"/>
  <c r="L981" i="22" s="1"/>
  <c r="L986" i="22" s="1"/>
  <c r="L991" i="22" s="1"/>
  <c r="L996" i="22" s="1"/>
  <c r="L1000" i="22" s="1"/>
  <c r="L1014" i="22"/>
  <c r="L1017" i="22" s="1"/>
  <c r="I392" i="22"/>
  <c r="G406" i="22"/>
  <c r="O11" i="31"/>
  <c r="D116" i="31"/>
  <c r="D128" i="31"/>
  <c r="O26" i="31"/>
  <c r="O1814" i="22"/>
  <c r="E2230" i="22"/>
  <c r="AG15" i="22"/>
  <c r="I1761" i="22"/>
  <c r="AH1715" i="22"/>
  <c r="AH1710" i="22"/>
  <c r="I1762" i="22"/>
  <c r="I1757" i="22"/>
  <c r="I1763" i="22"/>
  <c r="AH1713" i="22"/>
  <c r="I1752" i="22"/>
  <c r="I1755" i="22"/>
  <c r="I1764" i="22"/>
  <c r="N1813" i="22"/>
  <c r="D4247" i="22"/>
  <c r="D4251" i="22"/>
  <c r="D4238" i="22"/>
  <c r="D4239" i="22"/>
  <c r="D4241" i="22"/>
  <c r="D4240" i="22"/>
  <c r="D4243" i="22"/>
  <c r="D4236" i="22"/>
  <c r="D4249" i="22"/>
  <c r="D4242" i="22"/>
  <c r="D4248" i="22"/>
  <c r="D4246" i="22"/>
  <c r="D4245" i="22"/>
  <c r="D4237" i="22"/>
  <c r="D4250" i="22"/>
  <c r="G2827" i="22"/>
  <c r="D2415" i="22"/>
  <c r="E2419" i="22" s="1"/>
  <c r="E2421" i="22" s="1"/>
  <c r="F2413" i="22"/>
  <c r="D2531" i="22"/>
  <c r="D2532" i="22" s="1"/>
  <c r="F2514" i="22"/>
  <c r="G2514" i="22" s="1"/>
  <c r="F3557" i="22"/>
  <c r="F3555" i="22"/>
  <c r="F2130" i="22"/>
  <c r="H3553" i="22"/>
  <c r="G3552" i="22"/>
  <c r="G3554" i="22" s="1"/>
  <c r="N263" i="14"/>
  <c r="W263" i="14"/>
  <c r="Q263" i="14"/>
  <c r="T263" i="14"/>
  <c r="I263" i="14"/>
  <c r="H263" i="14"/>
  <c r="P263" i="14"/>
  <c r="G263" i="14"/>
  <c r="K263" i="14"/>
  <c r="U263" i="14"/>
  <c r="M263" i="14"/>
  <c r="L263" i="14"/>
  <c r="R263" i="14"/>
  <c r="V263" i="14"/>
  <c r="J263" i="14"/>
  <c r="O263" i="14"/>
  <c r="S263" i="14"/>
  <c r="D264" i="14"/>
  <c r="C286" i="10"/>
  <c r="E13" i="13"/>
  <c r="AO507" i="38"/>
  <c r="AO514" i="38"/>
  <c r="T82" i="15"/>
  <c r="E3067" i="22"/>
  <c r="E3071" i="22" s="1"/>
  <c r="G2350" i="22"/>
  <c r="G2349" i="22"/>
  <c r="AT452" i="38"/>
  <c r="J115" i="15"/>
  <c r="U20" i="15"/>
  <c r="H340" i="1" l="1"/>
  <c r="H419" i="1"/>
  <c r="H317" i="1"/>
  <c r="H7" i="1"/>
  <c r="H16" i="1"/>
  <c r="H305" i="1"/>
  <c r="H301" i="1"/>
  <c r="H100" i="25"/>
  <c r="H309" i="1"/>
  <c r="R15" i="1"/>
  <c r="Q151" i="1"/>
  <c r="Q16" i="1"/>
  <c r="Q30" i="1"/>
  <c r="Q42" i="1" s="1"/>
  <c r="Q47" i="1" s="1"/>
  <c r="F16" i="35"/>
  <c r="F7" i="35"/>
  <c r="F14" i="35"/>
  <c r="H103" i="37"/>
  <c r="J255" i="19"/>
  <c r="J257" i="19"/>
  <c r="J258" i="19" s="1"/>
  <c r="E3124" i="22"/>
  <c r="W572" i="1"/>
  <c r="W544" i="1" s="1"/>
  <c r="I5" i="1"/>
  <c r="R60" i="1"/>
  <c r="R66" i="1" s="1"/>
  <c r="R67" i="1" s="1"/>
  <c r="R30" i="1"/>
  <c r="R42" i="1" s="1"/>
  <c r="R162" i="1" s="1"/>
  <c r="R151" i="1"/>
  <c r="R16" i="1"/>
  <c r="S12" i="1"/>
  <c r="S14" i="1" s="1"/>
  <c r="S15" i="1" s="1"/>
  <c r="H36" i="37"/>
  <c r="U5" i="1"/>
  <c r="Q67" i="1"/>
  <c r="Q69" i="1"/>
  <c r="Z118" i="15"/>
  <c r="P83" i="15"/>
  <c r="P84" i="15" s="1"/>
  <c r="Q138" i="37"/>
  <c r="R137" i="37"/>
  <c r="R138" i="37" s="1"/>
  <c r="P138" i="37"/>
  <c r="P155" i="37"/>
  <c r="C143" i="37"/>
  <c r="C164" i="37"/>
  <c r="C186" i="37" s="1"/>
  <c r="C210" i="37" s="1"/>
  <c r="C236" i="37" s="1"/>
  <c r="C162" i="37"/>
  <c r="C184" i="37" s="1"/>
  <c r="C141" i="37"/>
  <c r="AH23" i="37"/>
  <c r="F23" i="37"/>
  <c r="P363" i="3"/>
  <c r="H1753" i="22"/>
  <c r="H1810" i="22"/>
  <c r="H1819" i="22" s="1"/>
  <c r="E3563" i="22"/>
  <c r="E3605" i="22" s="1"/>
  <c r="H424" i="19"/>
  <c r="G424" i="19" s="1"/>
  <c r="BB424" i="19" s="1"/>
  <c r="M2938" i="22"/>
  <c r="N28" i="15"/>
  <c r="DJ261" i="2"/>
  <c r="L240" i="19"/>
  <c r="L237" i="19" s="1"/>
  <c r="AI43" i="19"/>
  <c r="J51" i="19"/>
  <c r="E2515" i="22"/>
  <c r="S25" i="15"/>
  <c r="L2938" i="22"/>
  <c r="D3563" i="22"/>
  <c r="D3605" i="22" s="1"/>
  <c r="Q4669" i="22"/>
  <c r="C260" i="37"/>
  <c r="AC952" i="38"/>
  <c r="AR279" i="38"/>
  <c r="G174" i="27"/>
  <c r="G182" i="27" s="1"/>
  <c r="K52" i="4"/>
  <c r="L52" i="4" s="1"/>
  <c r="M52" i="4" s="1"/>
  <c r="M53" i="4" s="1"/>
  <c r="AS435" i="19"/>
  <c r="AS437" i="19"/>
  <c r="D19" i="35"/>
  <c r="BS425" i="19"/>
  <c r="AS452" i="19" s="1"/>
  <c r="K250" i="22"/>
  <c r="I102" i="25"/>
  <c r="AB282" i="38"/>
  <c r="C4670" i="22" s="1"/>
  <c r="L4670" i="22" s="1"/>
  <c r="AB208" i="38"/>
  <c r="AB147" i="38"/>
  <c r="AB21" i="38"/>
  <c r="AB153" i="38" s="1"/>
  <c r="AB4" i="37"/>
  <c r="AA4" i="37" s="1"/>
  <c r="Z4" i="37" s="1"/>
  <c r="Y4" i="37" s="1"/>
  <c r="M451" i="19"/>
  <c r="M457" i="19" s="1"/>
  <c r="K4" i="43"/>
  <c r="L4" i="43" s="1"/>
  <c r="J40" i="43"/>
  <c r="AH23" i="2"/>
  <c r="AV485" i="2"/>
  <c r="AV466" i="2" s="1"/>
  <c r="J55" i="43"/>
  <c r="AH58" i="2"/>
  <c r="AH61" i="2" s="1"/>
  <c r="F219" i="37"/>
  <c r="F260" i="37"/>
  <c r="AE348" i="38"/>
  <c r="AD348" i="38"/>
  <c r="AD308" i="38"/>
  <c r="AL357" i="38" s="1"/>
  <c r="D117" i="45" s="1"/>
  <c r="X82" i="38"/>
  <c r="X333" i="38" s="1"/>
  <c r="BR357" i="38"/>
  <c r="C117" i="45"/>
  <c r="C4541" i="22"/>
  <c r="M209" i="37"/>
  <c r="Q75" i="40" s="1"/>
  <c r="AC210" i="38"/>
  <c r="K57" i="42" s="1"/>
  <c r="P246" i="10"/>
  <c r="AB34" i="38"/>
  <c r="AB211" i="38" s="1"/>
  <c r="J245" i="25"/>
  <c r="K245" i="25" s="1"/>
  <c r="K335" i="25" s="1"/>
  <c r="J159" i="19"/>
  <c r="J223" i="19" s="1"/>
  <c r="J210" i="19" s="1"/>
  <c r="E302" i="25"/>
  <c r="H102" i="25"/>
  <c r="I105" i="25"/>
  <c r="D266" i="25"/>
  <c r="D252" i="25" s="1"/>
  <c r="E253" i="25" s="1"/>
  <c r="I100" i="25"/>
  <c r="H4" i="25"/>
  <c r="H5" i="25" s="1"/>
  <c r="C291" i="38"/>
  <c r="J162" i="19"/>
  <c r="J161" i="19"/>
  <c r="J160" i="19"/>
  <c r="F1325" i="22"/>
  <c r="J164" i="19"/>
  <c r="E211" i="36"/>
  <c r="Q10" i="11"/>
  <c r="J442" i="19"/>
  <c r="I442" i="19" s="1"/>
  <c r="I443" i="19" s="1"/>
  <c r="I447" i="19" s="1"/>
  <c r="J171" i="27"/>
  <c r="J179" i="27" s="1"/>
  <c r="J8" i="43"/>
  <c r="J5" i="43" s="1"/>
  <c r="J56" i="43" s="1"/>
  <c r="J99" i="43"/>
  <c r="K99" i="43" s="1"/>
  <c r="W329" i="2"/>
  <c r="BD424" i="19"/>
  <c r="J425" i="19"/>
  <c r="J437" i="19" s="1"/>
  <c r="F37" i="4"/>
  <c r="F95" i="4" s="1"/>
  <c r="F203" i="33"/>
  <c r="L11" i="36"/>
  <c r="L26" i="36" s="1"/>
  <c r="J1255" i="22"/>
  <c r="K45" i="12"/>
  <c r="K76" i="12" s="1"/>
  <c r="G2626" i="22"/>
  <c r="G2628" i="22" s="1"/>
  <c r="G2632" i="22" s="1"/>
  <c r="O120" i="11"/>
  <c r="O121" i="11" s="1"/>
  <c r="O122" i="11" s="1"/>
  <c r="O84" i="11"/>
  <c r="V36" i="19"/>
  <c r="W36" i="19" s="1"/>
  <c r="K204" i="27"/>
  <c r="L204" i="27" s="1"/>
  <c r="M204" i="27" s="1"/>
  <c r="R71" i="25"/>
  <c r="R72" i="25" s="1"/>
  <c r="P179" i="25" s="1"/>
  <c r="BB439" i="19"/>
  <c r="K39" i="19"/>
  <c r="K40" i="19" s="1"/>
  <c r="O118" i="11"/>
  <c r="K43" i="19"/>
  <c r="AI44" i="19" s="1"/>
  <c r="Q72" i="25"/>
  <c r="Q79" i="25" s="1"/>
  <c r="J222" i="27"/>
  <c r="G48" i="19"/>
  <c r="I238" i="27"/>
  <c r="C168" i="27"/>
  <c r="C200" i="27" s="1"/>
  <c r="I222" i="27"/>
  <c r="O128" i="11"/>
  <c r="H34" i="12"/>
  <c r="O366" i="3"/>
  <c r="W66" i="36"/>
  <c r="H187" i="36" s="1"/>
  <c r="CS242" i="2"/>
  <c r="CO247" i="2" s="1"/>
  <c r="CO248" i="2" s="1"/>
  <c r="CO251" i="2" s="1"/>
  <c r="D173" i="27"/>
  <c r="D181" i="27" s="1"/>
  <c r="AO260" i="2"/>
  <c r="AO268" i="2" s="1"/>
  <c r="G104" i="4"/>
  <c r="G62" i="4"/>
  <c r="P130" i="37"/>
  <c r="Q130" i="37" s="1"/>
  <c r="Q148" i="37" s="1"/>
  <c r="H156" i="27"/>
  <c r="C45" i="43"/>
  <c r="C42" i="43" s="1"/>
  <c r="C50" i="43" s="1"/>
  <c r="C52" i="43" s="1"/>
  <c r="H131" i="27"/>
  <c r="L1366" i="22"/>
  <c r="M1366" i="22" s="1"/>
  <c r="Y72" i="36"/>
  <c r="O100" i="4"/>
  <c r="AR100" i="2"/>
  <c r="I135" i="27"/>
  <c r="P349" i="3"/>
  <c r="K2918" i="22"/>
  <c r="AR23" i="2"/>
  <c r="AR24" i="2" s="1"/>
  <c r="CL265" i="2" s="1"/>
  <c r="R349" i="3"/>
  <c r="L347" i="3"/>
  <c r="M347" i="3" s="1"/>
  <c r="M346" i="3" s="1"/>
  <c r="Q346" i="3" s="1"/>
  <c r="Q347" i="3" s="1"/>
  <c r="Q351" i="3" s="1"/>
  <c r="BP300" i="2"/>
  <c r="BP302" i="2" s="1"/>
  <c r="Q32" i="11"/>
  <c r="Q41" i="11" s="1"/>
  <c r="P104" i="10"/>
  <c r="P74" i="10" s="1"/>
  <c r="U320" i="15"/>
  <c r="I51" i="22"/>
  <c r="CN251" i="2"/>
  <c r="R82" i="15"/>
  <c r="M21" i="35"/>
  <c r="K19" i="10"/>
  <c r="J4" i="4" s="1"/>
  <c r="R20" i="15"/>
  <c r="G105" i="27"/>
  <c r="G121" i="27" s="1"/>
  <c r="G136" i="27" s="1"/>
  <c r="G89" i="27"/>
  <c r="G97" i="27" s="1"/>
  <c r="N3036" i="22"/>
  <c r="N3039" i="22" s="1"/>
  <c r="L53" i="22"/>
  <c r="L54" i="22" s="1"/>
  <c r="D67" i="4"/>
  <c r="H129" i="36"/>
  <c r="N128" i="25"/>
  <c r="K56" i="11"/>
  <c r="E16" i="13"/>
  <c r="H6" i="25"/>
  <c r="N414" i="22"/>
  <c r="BC35" i="2"/>
  <c r="BC50" i="2" s="1"/>
  <c r="BC58" i="2" s="1"/>
  <c r="BC61" i="2" s="1"/>
  <c r="G6" i="25"/>
  <c r="G7" i="25" s="1"/>
  <c r="AQ467" i="2"/>
  <c r="AP467" i="2" s="1"/>
  <c r="F65" i="38"/>
  <c r="F321" i="38" s="1"/>
  <c r="K370" i="38" s="1"/>
  <c r="F278" i="22"/>
  <c r="N332" i="22"/>
  <c r="N334" i="22" s="1"/>
  <c r="F115" i="4"/>
  <c r="R8" i="12"/>
  <c r="S8" i="12" s="1"/>
  <c r="U458" i="15"/>
  <c r="BX289" i="2"/>
  <c r="F59" i="4"/>
  <c r="L23" i="38"/>
  <c r="L290" i="38" s="1"/>
  <c r="E173" i="37" s="1"/>
  <c r="K52" i="11"/>
  <c r="G57" i="27" s="1"/>
  <c r="H326" i="22"/>
  <c r="K18" i="15"/>
  <c r="CL286" i="2"/>
  <c r="R103" i="25"/>
  <c r="H98" i="35"/>
  <c r="AE149" i="33"/>
  <c r="AO64" i="2"/>
  <c r="T3" i="36"/>
  <c r="D1329" i="22"/>
  <c r="J130" i="36"/>
  <c r="Q87" i="11"/>
  <c r="Q9" i="36" s="1"/>
  <c r="P9" i="36" s="1"/>
  <c r="P65" i="36" s="1"/>
  <c r="Z65" i="36" s="1"/>
  <c r="K186" i="36" s="1"/>
  <c r="W147" i="12"/>
  <c r="X147" i="12" s="1"/>
  <c r="I65" i="43"/>
  <c r="J65" i="43" s="1"/>
  <c r="K65" i="43" s="1"/>
  <c r="BE314" i="2"/>
  <c r="D62" i="38"/>
  <c r="D318" i="38" s="1"/>
  <c r="I367" i="38" s="1"/>
  <c r="J30" i="38"/>
  <c r="L92" i="22"/>
  <c r="H419" i="22" s="1"/>
  <c r="G64" i="5"/>
  <c r="AA52" i="35"/>
  <c r="H1741" i="22"/>
  <c r="M86" i="25"/>
  <c r="K186" i="25" s="1"/>
  <c r="BB58" i="2"/>
  <c r="BB61" i="2" s="1"/>
  <c r="J117" i="36"/>
  <c r="J131" i="36" s="1"/>
  <c r="BB471" i="2"/>
  <c r="AP333" i="2"/>
  <c r="CK252" i="2" s="1"/>
  <c r="CK264" i="2" s="1"/>
  <c r="AC149" i="33"/>
  <c r="E65" i="38"/>
  <c r="E321" i="38" s="1"/>
  <c r="J370" i="38" s="1"/>
  <c r="AP3" i="2"/>
  <c r="AP24" i="2" s="1"/>
  <c r="I278" i="22"/>
  <c r="I79" i="4"/>
  <c r="F188" i="27" s="1"/>
  <c r="F196" i="27" s="1"/>
  <c r="F301" i="25"/>
  <c r="AX313" i="2"/>
  <c r="CP251" i="2"/>
  <c r="Y5" i="35"/>
  <c r="BC24" i="2"/>
  <c r="CU265" i="2" s="1"/>
  <c r="F1319" i="22"/>
  <c r="D43" i="43"/>
  <c r="O89" i="11"/>
  <c r="P93" i="11" s="1"/>
  <c r="I218" i="27" s="1"/>
  <c r="AB24" i="37"/>
  <c r="AN23" i="37" s="1"/>
  <c r="G57" i="5"/>
  <c r="G67" i="5" s="1"/>
  <c r="BW289" i="2"/>
  <c r="F9" i="36"/>
  <c r="G9" i="36" s="1"/>
  <c r="C168" i="36" s="1"/>
  <c r="H46" i="43"/>
  <c r="F447" i="22"/>
  <c r="AS18" i="2"/>
  <c r="I101" i="4"/>
  <c r="F257" i="25"/>
  <c r="F262" i="25" s="1"/>
  <c r="E257" i="25"/>
  <c r="E262" i="25" s="1"/>
  <c r="E303" i="25"/>
  <c r="F303" i="25"/>
  <c r="AC35" i="35"/>
  <c r="J90" i="19"/>
  <c r="J339" i="19"/>
  <c r="J340" i="19" s="1"/>
  <c r="I89" i="4"/>
  <c r="F65" i="19"/>
  <c r="F97" i="19" s="1"/>
  <c r="J60" i="38"/>
  <c r="J316" i="38" s="1"/>
  <c r="J392" i="38" s="1"/>
  <c r="F89" i="12"/>
  <c r="G2" i="12"/>
  <c r="E1774" i="22"/>
  <c r="E1802" i="22" s="1"/>
  <c r="BB144" i="2"/>
  <c r="K100" i="4"/>
  <c r="BF300" i="2"/>
  <c r="BF302" i="2" s="1"/>
  <c r="E27" i="38"/>
  <c r="E294" i="38" s="1"/>
  <c r="AV300" i="2"/>
  <c r="AV302" i="2" s="1"/>
  <c r="Q28" i="25"/>
  <c r="R28" i="25" s="1"/>
  <c r="I115" i="4"/>
  <c r="J115" i="36"/>
  <c r="AC5" i="35"/>
  <c r="X52" i="35"/>
  <c r="L146" i="10"/>
  <c r="L147" i="10" s="1"/>
  <c r="J1269" i="22"/>
  <c r="H213" i="36"/>
  <c r="M100" i="4"/>
  <c r="E1319" i="22"/>
  <c r="CY143" i="2"/>
  <c r="DK143" i="2" s="1"/>
  <c r="K29" i="4"/>
  <c r="K88" i="4" s="1"/>
  <c r="Q78" i="10"/>
  <c r="Q88" i="10" s="1"/>
  <c r="F124" i="31"/>
  <c r="P76" i="11"/>
  <c r="J1270" i="22" s="1"/>
  <c r="BY289" i="2"/>
  <c r="BR312" i="2"/>
  <c r="D2800" i="22"/>
  <c r="BP235" i="2"/>
  <c r="M104" i="4"/>
  <c r="P88" i="10"/>
  <c r="P89" i="10" s="1"/>
  <c r="H394" i="22"/>
  <c r="G50" i="43"/>
  <c r="G52" i="43" s="1"/>
  <c r="H240" i="27"/>
  <c r="H243" i="27" s="1"/>
  <c r="L103" i="27"/>
  <c r="L119" i="27" s="1"/>
  <c r="L134" i="27" s="1"/>
  <c r="J62" i="4"/>
  <c r="AT444" i="19"/>
  <c r="H139" i="43"/>
  <c r="N121" i="36"/>
  <c r="BR23" i="2" s="1"/>
  <c r="D66" i="4"/>
  <c r="P114" i="10"/>
  <c r="L108" i="36" s="1"/>
  <c r="BF310" i="2"/>
  <c r="AS443" i="19"/>
  <c r="AS447" i="19" s="1"/>
  <c r="AF78" i="10"/>
  <c r="J40" i="19"/>
  <c r="R10" i="12"/>
  <c r="S10" i="12" s="1"/>
  <c r="J92" i="4"/>
  <c r="J117" i="4"/>
  <c r="H67" i="38"/>
  <c r="H366" i="38"/>
  <c r="I67" i="38"/>
  <c r="P395" i="38"/>
  <c r="O67" i="38"/>
  <c r="P67" i="38" s="1"/>
  <c r="H399" i="38"/>
  <c r="H401" i="38" s="1"/>
  <c r="O93" i="38"/>
  <c r="T93" i="38" s="1"/>
  <c r="Y93" i="38" s="1"/>
  <c r="O319" i="38"/>
  <c r="T319" i="38" s="1"/>
  <c r="T63" i="38" s="1"/>
  <c r="H34" i="31"/>
  <c r="F12" i="36"/>
  <c r="G12" i="36" s="1"/>
  <c r="C171" i="36" s="1"/>
  <c r="D2750" i="22"/>
  <c r="D2763" i="22" s="1"/>
  <c r="AF271" i="2"/>
  <c r="G205" i="27"/>
  <c r="G207" i="27" s="1"/>
  <c r="G211" i="27" s="1"/>
  <c r="H117" i="15"/>
  <c r="E64" i="11"/>
  <c r="Y52" i="35"/>
  <c r="E72" i="37"/>
  <c r="E110" i="37" s="1"/>
  <c r="S18" i="36"/>
  <c r="N63" i="11"/>
  <c r="J134" i="27"/>
  <c r="M72" i="35"/>
  <c r="AB72" i="35" s="1"/>
  <c r="J28" i="36"/>
  <c r="J30" i="36" s="1"/>
  <c r="J31" i="36" s="1"/>
  <c r="AU442" i="19"/>
  <c r="AV442" i="19" s="1"/>
  <c r="BS442" i="19"/>
  <c r="AR18" i="2"/>
  <c r="AA503" i="38"/>
  <c r="D29" i="35"/>
  <c r="U320" i="2"/>
  <c r="AU383" i="2"/>
  <c r="W312" i="2"/>
  <c r="L160" i="27"/>
  <c r="J1335" i="22" s="1"/>
  <c r="AT449" i="19"/>
  <c r="P102" i="12"/>
  <c r="J1302" i="22" s="1"/>
  <c r="X18" i="35"/>
  <c r="F2633" i="22"/>
  <c r="BT442" i="19"/>
  <c r="L102" i="36"/>
  <c r="E73" i="43"/>
  <c r="F2634" i="22"/>
  <c r="AT447" i="19"/>
  <c r="F13" i="25"/>
  <c r="F2632" i="22"/>
  <c r="L90" i="22"/>
  <c r="H417" i="22" s="1"/>
  <c r="D95" i="4"/>
  <c r="U504" i="15"/>
  <c r="I129" i="36"/>
  <c r="Y66" i="36"/>
  <c r="AS9" i="2"/>
  <c r="AS10" i="2" s="1"/>
  <c r="AS313" i="2"/>
  <c r="E62" i="38"/>
  <c r="E318" i="38" s="1"/>
  <c r="J367" i="38" s="1"/>
  <c r="H26" i="5"/>
  <c r="F3" i="36"/>
  <c r="G3" i="36" s="1"/>
  <c r="G25" i="38" s="1"/>
  <c r="M101" i="10"/>
  <c r="F1252" i="22"/>
  <c r="F555" i="19"/>
  <c r="P102" i="11"/>
  <c r="D107" i="4"/>
  <c r="D109" i="4" s="1"/>
  <c r="AA18" i="35"/>
  <c r="L159" i="10"/>
  <c r="L108" i="10"/>
  <c r="L107" i="10" s="1"/>
  <c r="L134" i="10" s="1"/>
  <c r="J1760" i="22"/>
  <c r="J1732" i="22"/>
  <c r="G8" i="4"/>
  <c r="M844" i="3" s="1"/>
  <c r="H19" i="35"/>
  <c r="C180" i="27"/>
  <c r="L144" i="10"/>
  <c r="Y35" i="2"/>
  <c r="Y50" i="2" s="1"/>
  <c r="Y58" i="2" s="1"/>
  <c r="Y61" i="2" s="1"/>
  <c r="G26" i="5"/>
  <c r="G131" i="31"/>
  <c r="W18" i="35"/>
  <c r="K87" i="10"/>
  <c r="L87" i="10"/>
  <c r="G15" i="36"/>
  <c r="L90" i="25" s="1"/>
  <c r="U3" i="36"/>
  <c r="F2750" i="22"/>
  <c r="F2763" i="22" s="1"/>
  <c r="E272" i="12"/>
  <c r="CG285" i="2"/>
  <c r="H215" i="37"/>
  <c r="H256" i="37"/>
  <c r="D110" i="37"/>
  <c r="AB18" i="35"/>
  <c r="K107" i="36"/>
  <c r="K116" i="36" s="1"/>
  <c r="K130" i="36" s="1"/>
  <c r="E87" i="12"/>
  <c r="AZ24" i="2"/>
  <c r="CS265" i="2" s="1"/>
  <c r="L87" i="12"/>
  <c r="L176" i="12" s="1"/>
  <c r="AI270" i="2"/>
  <c r="AI271" i="2" s="1"/>
  <c r="I21" i="35"/>
  <c r="K67" i="36"/>
  <c r="F67" i="36" s="1"/>
  <c r="L27" i="35"/>
  <c r="L53" i="35" s="1"/>
  <c r="L54" i="35" s="1"/>
  <c r="K22" i="36"/>
  <c r="L13" i="35"/>
  <c r="R343" i="22"/>
  <c r="G170" i="36"/>
  <c r="G108" i="27"/>
  <c r="G124" i="27" s="1"/>
  <c r="G139" i="27" s="1"/>
  <c r="N99" i="36"/>
  <c r="H198" i="36" s="1"/>
  <c r="I162" i="36"/>
  <c r="X3" i="36"/>
  <c r="CK144" i="2"/>
  <c r="C236" i="14"/>
  <c r="Q236" i="14" s="1"/>
  <c r="L173" i="12"/>
  <c r="AD149" i="33"/>
  <c r="F2520" i="22"/>
  <c r="L183" i="19"/>
  <c r="O31" i="4"/>
  <c r="G196" i="27"/>
  <c r="N12" i="35"/>
  <c r="N27" i="35" s="1"/>
  <c r="B122" i="12"/>
  <c r="AL282" i="2"/>
  <c r="E26" i="36"/>
  <c r="E38" i="36" s="1"/>
  <c r="L43" i="27"/>
  <c r="AA96" i="35"/>
  <c r="M87" i="12"/>
  <c r="M176" i="12" s="1"/>
  <c r="O148" i="36"/>
  <c r="G321" i="38"/>
  <c r="D201" i="37" s="1"/>
  <c r="D266" i="37" s="1"/>
  <c r="K221" i="37"/>
  <c r="AT360" i="38"/>
  <c r="I1274" i="22"/>
  <c r="I1280" i="22" s="1"/>
  <c r="H131" i="43"/>
  <c r="AO360" i="38" s="1"/>
  <c r="N65" i="35"/>
  <c r="O24" i="4"/>
  <c r="O25" i="4" s="1"/>
  <c r="N116" i="4"/>
  <c r="H142" i="43"/>
  <c r="K326" i="22"/>
  <c r="N91" i="4"/>
  <c r="E173" i="12"/>
  <c r="P93" i="38"/>
  <c r="U93" i="38" s="1"/>
  <c r="AR334" i="2"/>
  <c r="F61" i="25"/>
  <c r="F103" i="25" s="1"/>
  <c r="M19" i="11"/>
  <c r="L6" i="4" s="1"/>
  <c r="L19" i="11"/>
  <c r="K6" i="4" s="1"/>
  <c r="G1774" i="22"/>
  <c r="AF1774" i="22" s="1"/>
  <c r="AF1772" i="22"/>
  <c r="V1772" i="22"/>
  <c r="K332" i="22"/>
  <c r="G348" i="22"/>
  <c r="I404" i="22"/>
  <c r="F1261" i="22"/>
  <c r="Q2671" i="22"/>
  <c r="J1752" i="22"/>
  <c r="J1763" i="22"/>
  <c r="E107" i="4"/>
  <c r="E109" i="4" s="1"/>
  <c r="CB289" i="2"/>
  <c r="H113" i="43"/>
  <c r="BA359" i="2"/>
  <c r="CU252" i="2"/>
  <c r="CU264" i="2" s="1"/>
  <c r="I250" i="22"/>
  <c r="C75" i="43"/>
  <c r="BZ292" i="2"/>
  <c r="J176" i="14"/>
  <c r="J180" i="14" s="1"/>
  <c r="R87" i="11"/>
  <c r="T325" i="22"/>
  <c r="M90" i="11"/>
  <c r="M94" i="11" s="1"/>
  <c r="AA292" i="2"/>
  <c r="CC292" i="2" s="1"/>
  <c r="I145" i="43"/>
  <c r="I146" i="43" s="1"/>
  <c r="I131" i="27"/>
  <c r="D25" i="36"/>
  <c r="D37" i="36" s="1"/>
  <c r="I22" i="15"/>
  <c r="I88" i="15" s="1"/>
  <c r="L104" i="27"/>
  <c r="L120" i="27" s="1"/>
  <c r="L135" i="27" s="1"/>
  <c r="N18" i="35"/>
  <c r="N21" i="35" s="1"/>
  <c r="N82" i="35"/>
  <c r="N88" i="35" s="1"/>
  <c r="M91" i="35"/>
  <c r="I435" i="19"/>
  <c r="M96" i="35"/>
  <c r="M101" i="35" s="1"/>
  <c r="BD425" i="19"/>
  <c r="M452" i="19" s="1"/>
  <c r="I436" i="19"/>
  <c r="O24" i="19"/>
  <c r="P24" i="19" s="1"/>
  <c r="M88" i="35"/>
  <c r="BN23" i="2"/>
  <c r="BN28" i="2" s="1"/>
  <c r="BN29" i="2" s="1"/>
  <c r="AD24" i="37"/>
  <c r="AP5" i="37" s="1"/>
  <c r="E71" i="43"/>
  <c r="F250" i="22"/>
  <c r="BI23" i="2"/>
  <c r="BJ87" i="2" s="1"/>
  <c r="E21" i="35"/>
  <c r="E19" i="35"/>
  <c r="J396" i="22"/>
  <c r="F39" i="19"/>
  <c r="G40" i="19" s="1"/>
  <c r="E68" i="43"/>
  <c r="C62" i="38"/>
  <c r="C318" i="38" s="1"/>
  <c r="H367" i="38" s="1"/>
  <c r="E74" i="43"/>
  <c r="T291" i="2"/>
  <c r="G118" i="31"/>
  <c r="H36" i="31"/>
  <c r="G130" i="31"/>
  <c r="L49" i="4"/>
  <c r="L62" i="4" s="1"/>
  <c r="AV497" i="2"/>
  <c r="AV480" i="2" s="1"/>
  <c r="M181" i="12"/>
  <c r="I62" i="31"/>
  <c r="I59" i="31" s="1"/>
  <c r="I60" i="31" s="1"/>
  <c r="AO291" i="2"/>
  <c r="AN260" i="2"/>
  <c r="CI261" i="2" s="1"/>
  <c r="I119" i="36"/>
  <c r="I154" i="36" s="1"/>
  <c r="I165" i="36"/>
  <c r="N28" i="38"/>
  <c r="N102" i="36"/>
  <c r="X6" i="36"/>
  <c r="F19" i="41"/>
  <c r="F23" i="41" s="1"/>
  <c r="CX252" i="2"/>
  <c r="CX264" i="2" s="1"/>
  <c r="BD359" i="2"/>
  <c r="W6" i="36"/>
  <c r="M28" i="38"/>
  <c r="M65" i="38" s="1"/>
  <c r="AC6" i="35"/>
  <c r="M169" i="12"/>
  <c r="M102" i="36"/>
  <c r="G201" i="36" s="1"/>
  <c r="D63" i="19"/>
  <c r="AB222" i="2"/>
  <c r="G30" i="4"/>
  <c r="D56" i="19"/>
  <c r="E57" i="19" s="1"/>
  <c r="E45" i="19"/>
  <c r="D155" i="27"/>
  <c r="D196" i="27" s="1"/>
  <c r="D68" i="19"/>
  <c r="D42" i="19"/>
  <c r="L301" i="15"/>
  <c r="D45" i="19"/>
  <c r="H131" i="36"/>
  <c r="L98" i="19"/>
  <c r="K96" i="12"/>
  <c r="A1364" i="22" s="1"/>
  <c r="AC59" i="35"/>
  <c r="J256" i="37"/>
  <c r="AW24" i="2"/>
  <c r="CP265" i="2" s="1"/>
  <c r="AW28" i="2"/>
  <c r="E122" i="11"/>
  <c r="J87" i="22"/>
  <c r="J92" i="22" s="1"/>
  <c r="F419" i="22" s="1"/>
  <c r="B99" i="12"/>
  <c r="B1296" i="22" s="1"/>
  <c r="E2234" i="22"/>
  <c r="E2235" i="22" s="1"/>
  <c r="AQ497" i="2"/>
  <c r="AQ480" i="2" s="1"/>
  <c r="AW58" i="2"/>
  <c r="AW61" i="2" s="1"/>
  <c r="AW63" i="2"/>
  <c r="AW64" i="2" s="1"/>
  <c r="C311" i="14"/>
  <c r="I85" i="35"/>
  <c r="CB316" i="2"/>
  <c r="J1757" i="22"/>
  <c r="O28" i="11"/>
  <c r="J5" i="5"/>
  <c r="I10" i="5"/>
  <c r="I18" i="5" s="1"/>
  <c r="D295" i="38"/>
  <c r="D65" i="38"/>
  <c r="D321" i="38" s="1"/>
  <c r="I370" i="38" s="1"/>
  <c r="C310" i="14"/>
  <c r="I195" i="27"/>
  <c r="J1762" i="22"/>
  <c r="L45" i="22"/>
  <c r="L50" i="22" s="1"/>
  <c r="L51" i="22" s="1"/>
  <c r="AI1718" i="22"/>
  <c r="J1764" i="22"/>
  <c r="F54" i="4"/>
  <c r="Z304" i="2"/>
  <c r="CF304" i="2" s="1"/>
  <c r="U18" i="36"/>
  <c r="P91" i="22"/>
  <c r="J1761" i="22"/>
  <c r="J1759" i="22"/>
  <c r="F69" i="4"/>
  <c r="F107" i="4" s="1"/>
  <c r="F109" i="4" s="1"/>
  <c r="G1325" i="22"/>
  <c r="Q558" i="22"/>
  <c r="AK556" i="22" s="1"/>
  <c r="BV289" i="2"/>
  <c r="I130" i="36"/>
  <c r="O52" i="35"/>
  <c r="O54" i="35" s="1"/>
  <c r="O47" i="35"/>
  <c r="AI1715" i="22"/>
  <c r="L164" i="10"/>
  <c r="L170" i="10" s="1"/>
  <c r="L174" i="10" s="1"/>
  <c r="F1265" i="22"/>
  <c r="I240" i="27"/>
  <c r="J1755" i="22"/>
  <c r="AI1710" i="22"/>
  <c r="I96" i="35"/>
  <c r="I98" i="35" s="1"/>
  <c r="Z403" i="2"/>
  <c r="J12" i="35"/>
  <c r="Y12" i="35" s="1"/>
  <c r="J7" i="35"/>
  <c r="X205" i="22"/>
  <c r="O205" i="22"/>
  <c r="Y224" i="22" s="1"/>
  <c r="I205" i="22"/>
  <c r="L205" i="22"/>
  <c r="AI1717" i="22"/>
  <c r="T53" i="15"/>
  <c r="I179" i="27"/>
  <c r="X82" i="35"/>
  <c r="U213" i="33"/>
  <c r="W198" i="33" s="1"/>
  <c r="AA149" i="33"/>
  <c r="O88" i="4"/>
  <c r="BP217" i="2"/>
  <c r="BP219" i="2" s="1"/>
  <c r="L37" i="36" s="1"/>
  <c r="H112" i="25"/>
  <c r="H59" i="25" s="1"/>
  <c r="I107" i="25" s="1"/>
  <c r="CZ312" i="2"/>
  <c r="CZ316" i="2" s="1"/>
  <c r="H50" i="43"/>
  <c r="H52" i="43" s="1"/>
  <c r="CV312" i="2"/>
  <c r="CV316" i="2" s="1"/>
  <c r="CQ250" i="2" s="1"/>
  <c r="CQ251" i="2" s="1"/>
  <c r="I152" i="36"/>
  <c r="D237" i="36" s="1"/>
  <c r="L21" i="35"/>
  <c r="N302" i="15"/>
  <c r="N303" i="15" s="1"/>
  <c r="N304" i="15" s="1"/>
  <c r="F60" i="19"/>
  <c r="D1288" i="22" s="1"/>
  <c r="AX334" i="2"/>
  <c r="P146" i="10"/>
  <c r="P147" i="10" s="1"/>
  <c r="Q147" i="10" s="1"/>
  <c r="R147" i="10" s="1"/>
  <c r="I1361" i="22"/>
  <c r="K1361" i="22" s="1"/>
  <c r="L1361" i="22" s="1"/>
  <c r="M1361" i="22" s="1"/>
  <c r="D1380" i="22" s="1"/>
  <c r="H1380" i="22" s="1"/>
  <c r="D59" i="19"/>
  <c r="D60" i="19" s="1"/>
  <c r="O116" i="10"/>
  <c r="O140" i="10" s="1"/>
  <c r="O278" i="10" s="1"/>
  <c r="O279" i="10" s="1"/>
  <c r="O282" i="10" s="1"/>
  <c r="O138" i="10"/>
  <c r="O120" i="10"/>
  <c r="AD1716" i="22"/>
  <c r="W242" i="2"/>
  <c r="D75" i="12"/>
  <c r="AX333" i="2"/>
  <c r="CQ252" i="2" s="1"/>
  <c r="CQ264" i="2" s="1"/>
  <c r="P155" i="10"/>
  <c r="AD1717" i="22"/>
  <c r="T1710" i="22"/>
  <c r="E1754" i="22"/>
  <c r="R76" i="10"/>
  <c r="S76" i="10" s="1"/>
  <c r="I91" i="35"/>
  <c r="AA291" i="2"/>
  <c r="G32" i="4"/>
  <c r="AB226" i="2" s="1"/>
  <c r="F70" i="19"/>
  <c r="M213" i="33"/>
  <c r="AC24" i="37"/>
  <c r="AO21" i="37" s="1"/>
  <c r="AD1710" i="22"/>
  <c r="AD1718" i="22"/>
  <c r="N6" i="4"/>
  <c r="I8" i="31"/>
  <c r="J1271" i="22"/>
  <c r="I45" i="31"/>
  <c r="H1958" i="22" s="1"/>
  <c r="M171" i="12"/>
  <c r="M172" i="12" s="1"/>
  <c r="M173" i="12" s="1"/>
  <c r="AD1713" i="22"/>
  <c r="P90" i="22"/>
  <c r="H59" i="19"/>
  <c r="H60" i="19" s="1"/>
  <c r="F1288" i="22" s="1"/>
  <c r="F1287" i="22" s="1"/>
  <c r="F1293" i="22" s="1"/>
  <c r="J51" i="22"/>
  <c r="U291" i="2"/>
  <c r="D2234" i="22"/>
  <c r="D2235" i="22" s="1"/>
  <c r="Y86" i="22"/>
  <c r="K87" i="22"/>
  <c r="Y87" i="22" s="1"/>
  <c r="H27" i="4"/>
  <c r="G112" i="4"/>
  <c r="O130" i="11"/>
  <c r="U149" i="33"/>
  <c r="AR329" i="2"/>
  <c r="K53" i="22"/>
  <c r="K54" i="22" s="1"/>
  <c r="CE284" i="2"/>
  <c r="E1335" i="22"/>
  <c r="G109" i="27"/>
  <c r="G125" i="27" s="1"/>
  <c r="G140" i="27" s="1"/>
  <c r="F43" i="4"/>
  <c r="F56" i="4" s="1"/>
  <c r="F74" i="4" s="1"/>
  <c r="F86" i="4" s="1"/>
  <c r="F120" i="4"/>
  <c r="BC9" i="2"/>
  <c r="BC10" i="2" s="1"/>
  <c r="BC18" i="2"/>
  <c r="BC334" i="2"/>
  <c r="L91" i="12"/>
  <c r="G158" i="27"/>
  <c r="AQ233" i="2"/>
  <c r="L425" i="19"/>
  <c r="L437" i="19" s="1"/>
  <c r="BG424" i="19"/>
  <c r="B101" i="12"/>
  <c r="B120" i="12"/>
  <c r="M52" i="11"/>
  <c r="I57" i="27" s="1"/>
  <c r="Q299" i="15"/>
  <c r="P414" i="22"/>
  <c r="AB12" i="35"/>
  <c r="I13" i="35"/>
  <c r="I27" i="35"/>
  <c r="X12" i="35"/>
  <c r="L29" i="4"/>
  <c r="L58" i="4" s="1"/>
  <c r="F173" i="12"/>
  <c r="C53" i="35"/>
  <c r="C54" i="35" s="1"/>
  <c r="C29" i="35"/>
  <c r="F255" i="12"/>
  <c r="E275" i="12" s="1"/>
  <c r="E277" i="12" s="1"/>
  <c r="F251" i="12"/>
  <c r="F269" i="12"/>
  <c r="F257" i="12" s="1"/>
  <c r="G246" i="12"/>
  <c r="J345" i="22"/>
  <c r="J326" i="22"/>
  <c r="S326" i="22" s="1"/>
  <c r="S325" i="22"/>
  <c r="R64" i="2"/>
  <c r="R58" i="2"/>
  <c r="R61" i="2" s="1"/>
  <c r="F27" i="35"/>
  <c r="F29" i="35" s="1"/>
  <c r="F13" i="35"/>
  <c r="R557" i="22"/>
  <c r="AG555" i="22" s="1"/>
  <c r="AA402" i="2"/>
  <c r="CC222" i="2"/>
  <c r="CG222" i="2"/>
  <c r="M44" i="22"/>
  <c r="M49" i="22" s="1"/>
  <c r="M86" i="22" s="1"/>
  <c r="L325" i="22"/>
  <c r="AA284" i="2"/>
  <c r="AA151" i="2"/>
  <c r="N424" i="19" s="1"/>
  <c r="AW329" i="2"/>
  <c r="P108" i="10"/>
  <c r="P144" i="10"/>
  <c r="Y328" i="2"/>
  <c r="L442" i="19" s="1"/>
  <c r="K45" i="22"/>
  <c r="K50" i="22" s="1"/>
  <c r="K51" i="22" s="1"/>
  <c r="P558" i="22"/>
  <c r="AJ556" i="22" s="1"/>
  <c r="CA316" i="2"/>
  <c r="Y304" i="2"/>
  <c r="L343" i="22"/>
  <c r="L329" i="22" s="1"/>
  <c r="U323" i="22"/>
  <c r="L324" i="22"/>
  <c r="BF359" i="2"/>
  <c r="CZ252" i="2"/>
  <c r="CZ264" i="2" s="1"/>
  <c r="P128" i="25"/>
  <c r="P139" i="25"/>
  <c r="P140" i="25" s="1"/>
  <c r="P142" i="25" s="1"/>
  <c r="F413" i="19"/>
  <c r="F414" i="19" s="1"/>
  <c r="F57" i="19"/>
  <c r="D1285" i="22" s="1"/>
  <c r="G57" i="19"/>
  <c r="E1285" i="22" s="1"/>
  <c r="D1284" i="22"/>
  <c r="I45" i="4"/>
  <c r="D1260" i="22"/>
  <c r="D1265" i="22" s="1"/>
  <c r="J157" i="10"/>
  <c r="AF200" i="33"/>
  <c r="P199" i="33"/>
  <c r="Q205" i="33"/>
  <c r="AE200" i="33" s="1"/>
  <c r="M108" i="10"/>
  <c r="M135" i="10" s="1"/>
  <c r="BF144" i="2"/>
  <c r="K192" i="27"/>
  <c r="S13" i="36"/>
  <c r="F13" i="36"/>
  <c r="G13" i="36" s="1"/>
  <c r="C172" i="36" s="1"/>
  <c r="BA530" i="2"/>
  <c r="J63" i="11"/>
  <c r="AL285" i="2" s="1"/>
  <c r="I32" i="4"/>
  <c r="L109" i="36"/>
  <c r="P121" i="10"/>
  <c r="P200" i="10"/>
  <c r="P202" i="10" s="1"/>
  <c r="P139" i="10"/>
  <c r="P214" i="10" s="1"/>
  <c r="AV143" i="2"/>
  <c r="CT143" i="2" s="1"/>
  <c r="DF143" i="2" s="1"/>
  <c r="I22" i="31"/>
  <c r="I26" i="31" s="1"/>
  <c r="I36" i="31" s="1"/>
  <c r="U292" i="2"/>
  <c r="H8" i="41"/>
  <c r="G7" i="41"/>
  <c r="G10" i="41" s="1"/>
  <c r="G13" i="41" s="1"/>
  <c r="G16" i="41" s="1"/>
  <c r="G19" i="41" s="1"/>
  <c r="S58" i="2"/>
  <c r="S61" i="2" s="1"/>
  <c r="S64" i="2"/>
  <c r="J1323" i="22"/>
  <c r="L101" i="27"/>
  <c r="L117" i="27" s="1"/>
  <c r="L132" i="27" s="1"/>
  <c r="C295" i="38"/>
  <c r="C65" i="38"/>
  <c r="C321" i="38" s="1"/>
  <c r="H370" i="38" s="1"/>
  <c r="E1753" i="22"/>
  <c r="E1810" i="22"/>
  <c r="E1818" i="22" s="1"/>
  <c r="E1715" i="22"/>
  <c r="AD1715" i="22" s="1"/>
  <c r="BL23" i="2"/>
  <c r="BL35" i="2"/>
  <c r="BL50" i="2" s="1"/>
  <c r="BL58" i="2" s="1"/>
  <c r="BL61" i="2" s="1"/>
  <c r="J28" i="35"/>
  <c r="J16" i="35"/>
  <c r="J18" i="35"/>
  <c r="Y18" i="35" s="1"/>
  <c r="G29" i="35"/>
  <c r="G53" i="35"/>
  <c r="AJ242" i="2"/>
  <c r="AJ333" i="2" s="1"/>
  <c r="N1107" i="22" s="1"/>
  <c r="BV295" i="2"/>
  <c r="S320" i="2"/>
  <c r="I5" i="43"/>
  <c r="I6" i="43" s="1"/>
  <c r="BA226" i="2"/>
  <c r="BA227" i="2" s="1"/>
  <c r="J61" i="10"/>
  <c r="J66" i="10" s="1"/>
  <c r="AZ303" i="2"/>
  <c r="AZ226" i="2"/>
  <c r="CW222" i="2"/>
  <c r="I153" i="36"/>
  <c r="D238" i="36" s="1"/>
  <c r="U481" i="15"/>
  <c r="R9" i="12"/>
  <c r="Q41" i="12"/>
  <c r="Q52" i="12" s="1"/>
  <c r="AQ143" i="2"/>
  <c r="CP143" i="2" s="1"/>
  <c r="CD284" i="2"/>
  <c r="F122" i="11"/>
  <c r="J14" i="35"/>
  <c r="J82" i="35"/>
  <c r="Y82" i="35" s="1"/>
  <c r="Y78" i="35"/>
  <c r="J195" i="27"/>
  <c r="K442" i="19"/>
  <c r="K443" i="19" s="1"/>
  <c r="K449" i="19" s="1"/>
  <c r="CL287" i="2"/>
  <c r="E1337" i="22"/>
  <c r="G111" i="27"/>
  <c r="G127" i="27" s="1"/>
  <c r="G142" i="27" s="1"/>
  <c r="L327" i="19"/>
  <c r="G59" i="25"/>
  <c r="G101" i="25" s="1"/>
  <c r="D75" i="43"/>
  <c r="D101" i="19"/>
  <c r="G23" i="25"/>
  <c r="T35" i="25"/>
  <c r="S38" i="25"/>
  <c r="W67" i="36"/>
  <c r="H188" i="36" s="1"/>
  <c r="H76" i="36"/>
  <c r="W76" i="36" s="1"/>
  <c r="C67" i="36"/>
  <c r="C11" i="36" s="1"/>
  <c r="T14" i="36"/>
  <c r="F14" i="36"/>
  <c r="T98" i="19"/>
  <c r="AF291" i="2"/>
  <c r="M106" i="36"/>
  <c r="G205" i="36" s="1"/>
  <c r="W10" i="36"/>
  <c r="M26" i="38"/>
  <c r="H169" i="36"/>
  <c r="E1755" i="22"/>
  <c r="E1758" i="22"/>
  <c r="E1759" i="22"/>
  <c r="E1760" i="22"/>
  <c r="E1752" i="22"/>
  <c r="H38" i="36"/>
  <c r="H28" i="36"/>
  <c r="H30" i="36" s="1"/>
  <c r="H31" i="36" s="1"/>
  <c r="Q125" i="25"/>
  <c r="O173" i="25"/>
  <c r="E173" i="27"/>
  <c r="E181" i="27" s="1"/>
  <c r="H104" i="4"/>
  <c r="AG310" i="2"/>
  <c r="CL283" i="2"/>
  <c r="I98" i="19"/>
  <c r="CH143" i="2"/>
  <c r="CH144" i="2" s="1"/>
  <c r="W143" i="2"/>
  <c r="BZ143" i="2" s="1"/>
  <c r="N62" i="35"/>
  <c r="N60" i="35"/>
  <c r="AC60" i="35" s="1"/>
  <c r="N72" i="35"/>
  <c r="AC72" i="35" s="1"/>
  <c r="AC61" i="35"/>
  <c r="N67" i="35"/>
  <c r="N68" i="35" s="1"/>
  <c r="AS23" i="2"/>
  <c r="AS24" i="2" s="1"/>
  <c r="CM265" i="2" s="1"/>
  <c r="AS100" i="2"/>
  <c r="AS35" i="2"/>
  <c r="AS50" i="2" s="1"/>
  <c r="R125" i="25"/>
  <c r="P173" i="25"/>
  <c r="O114" i="4"/>
  <c r="I166" i="10"/>
  <c r="J162" i="10" s="1"/>
  <c r="F206" i="33"/>
  <c r="E98" i="19"/>
  <c r="F16" i="4"/>
  <c r="K53" i="15" s="1"/>
  <c r="AM242" i="2"/>
  <c r="AM3" i="2" s="1"/>
  <c r="L92" i="4"/>
  <c r="BA239" i="2"/>
  <c r="AP267" i="2"/>
  <c r="AP268" i="2"/>
  <c r="AP269" i="2"/>
  <c r="AP261" i="2"/>
  <c r="P174" i="25"/>
  <c r="M121" i="36"/>
  <c r="G213" i="36"/>
  <c r="BQ312" i="2"/>
  <c r="AZ18" i="2"/>
  <c r="AZ9" i="2"/>
  <c r="AZ10" i="2" s="1"/>
  <c r="AZ334" i="2"/>
  <c r="AB60" i="35"/>
  <c r="O58" i="4"/>
  <c r="J20" i="4"/>
  <c r="BA143" i="2"/>
  <c r="CX143" i="2" s="1"/>
  <c r="DJ143" i="2" s="1"/>
  <c r="V98" i="19"/>
  <c r="BK304" i="2"/>
  <c r="BK305" i="2" s="1"/>
  <c r="BK312" i="2" s="1"/>
  <c r="BK314" i="2" s="1"/>
  <c r="G172" i="43"/>
  <c r="G173" i="43" s="1"/>
  <c r="CP219" i="2"/>
  <c r="G145" i="43"/>
  <c r="G146" i="43" s="1"/>
  <c r="G353" i="2"/>
  <c r="BB353" i="2"/>
  <c r="F94" i="12"/>
  <c r="M94" i="12" s="1"/>
  <c r="F96" i="12"/>
  <c r="M96" i="12" s="1"/>
  <c r="F90" i="12"/>
  <c r="M90" i="12" s="1"/>
  <c r="L90" i="12" s="1"/>
  <c r="F91" i="12"/>
  <c r="F93" i="12"/>
  <c r="M93" i="12" s="1"/>
  <c r="F95" i="12"/>
  <c r="M95" i="12" s="1"/>
  <c r="F92" i="12"/>
  <c r="M92" i="12" s="1"/>
  <c r="F106" i="3"/>
  <c r="E110" i="3"/>
  <c r="E109" i="3"/>
  <c r="L101" i="35"/>
  <c r="L98" i="35"/>
  <c r="C234" i="36"/>
  <c r="H116" i="36"/>
  <c r="H157" i="36"/>
  <c r="C206" i="36"/>
  <c r="U58" i="2"/>
  <c r="U61" i="2" s="1"/>
  <c r="U64" i="2"/>
  <c r="L16" i="4"/>
  <c r="M126" i="4" s="1"/>
  <c r="G124" i="31"/>
  <c r="I51" i="19"/>
  <c r="K36" i="4"/>
  <c r="L36" i="4" s="1"/>
  <c r="M36" i="4" s="1"/>
  <c r="N36" i="4" s="1"/>
  <c r="AB149" i="33"/>
  <c r="J1261" i="22"/>
  <c r="Q55" i="13"/>
  <c r="AF125" i="15" s="1"/>
  <c r="I3041" i="22"/>
  <c r="AH272" i="37"/>
  <c r="G348" i="37"/>
  <c r="G382" i="37" s="1"/>
  <c r="G452" i="37" s="1"/>
  <c r="Q147" i="37"/>
  <c r="H45" i="37"/>
  <c r="H85" i="37" s="1"/>
  <c r="H122" i="37" s="1"/>
  <c r="H272" i="37"/>
  <c r="H161" i="37"/>
  <c r="H183" i="37" s="1"/>
  <c r="H248" i="37" s="1"/>
  <c r="AI4" i="37"/>
  <c r="AU4" i="37" s="1"/>
  <c r="I4" i="37"/>
  <c r="S349" i="3"/>
  <c r="O349" i="3"/>
  <c r="O363" i="3"/>
  <c r="AJ448" i="19"/>
  <c r="AJ447" i="19"/>
  <c r="AJ444" i="19"/>
  <c r="BN443" i="19"/>
  <c r="AN453" i="19" s="1"/>
  <c r="CQ217" i="2"/>
  <c r="AN290" i="2"/>
  <c r="F1710" i="22"/>
  <c r="AE1716" i="22" s="1"/>
  <c r="AN283" i="2"/>
  <c r="K61" i="10"/>
  <c r="K144" i="10" s="1"/>
  <c r="CM217" i="2"/>
  <c r="AN385" i="2"/>
  <c r="AN219" i="2"/>
  <c r="AN327" i="2" s="1"/>
  <c r="D291" i="38"/>
  <c r="D61" i="38"/>
  <c r="D317" i="38" s="1"/>
  <c r="I366" i="38" s="1"/>
  <c r="I10" i="4"/>
  <c r="H2" i="4"/>
  <c r="DF261" i="2"/>
  <c r="E2601" i="22"/>
  <c r="CT125" i="2"/>
  <c r="Q327" i="19"/>
  <c r="M98" i="19"/>
  <c r="P147" i="37"/>
  <c r="BJ443" i="19"/>
  <c r="AJ453" i="19" s="1"/>
  <c r="H135" i="27"/>
  <c r="BF424" i="19"/>
  <c r="K425" i="19"/>
  <c r="I48" i="4"/>
  <c r="J120" i="11"/>
  <c r="J121" i="11" s="1"/>
  <c r="J118" i="11"/>
  <c r="Q366" i="15"/>
  <c r="I10" i="27"/>
  <c r="I42" i="27" s="1"/>
  <c r="J130" i="43"/>
  <c r="K136" i="43"/>
  <c r="O126" i="36"/>
  <c r="O155" i="36"/>
  <c r="O123" i="36"/>
  <c r="E551" i="19"/>
  <c r="E552" i="19" s="1"/>
  <c r="AY35" i="2"/>
  <c r="AY50" i="2" s="1"/>
  <c r="AY18" i="2"/>
  <c r="AY23" i="2"/>
  <c r="D56" i="11"/>
  <c r="BE18" i="2"/>
  <c r="BE23" i="2"/>
  <c r="BE35" i="2"/>
  <c r="BE50" i="2" s="1"/>
  <c r="P4" i="25"/>
  <c r="O12" i="25"/>
  <c r="BH442" i="19"/>
  <c r="I106" i="43"/>
  <c r="I94" i="43"/>
  <c r="AT359" i="38" s="1"/>
  <c r="I103" i="43"/>
  <c r="U8" i="36"/>
  <c r="F8" i="36"/>
  <c r="G8" i="36" s="1"/>
  <c r="E25" i="36"/>
  <c r="E37" i="36" s="1"/>
  <c r="T11" i="36"/>
  <c r="D26" i="36"/>
  <c r="D38" i="36" s="1"/>
  <c r="O128" i="25"/>
  <c r="O139" i="25"/>
  <c r="O140" i="25" s="1"/>
  <c r="O142" i="25" s="1"/>
  <c r="CW252" i="2"/>
  <c r="CW264" i="2" s="1"/>
  <c r="BC359" i="2"/>
  <c r="E4187" i="22"/>
  <c r="G4187" i="22" s="1"/>
  <c r="J131" i="27"/>
  <c r="AB12" i="12"/>
  <c r="AB23" i="12" s="1"/>
  <c r="BL442" i="19"/>
  <c r="C6" i="4"/>
  <c r="D55" i="11"/>
  <c r="L31" i="5"/>
  <c r="L39" i="5" s="1"/>
  <c r="M7" i="5"/>
  <c r="I343" i="22"/>
  <c r="I329" i="22" s="1"/>
  <c r="I324" i="22"/>
  <c r="R323" i="22"/>
  <c r="CN283" i="2"/>
  <c r="CJ283" i="2"/>
  <c r="P93" i="10"/>
  <c r="AU729" i="22" s="1"/>
  <c r="AV729" i="22" s="1"/>
  <c r="BH729" i="22" s="1"/>
  <c r="J192" i="27"/>
  <c r="D98" i="19"/>
  <c r="I3045" i="22"/>
  <c r="AF86" i="10"/>
  <c r="I132" i="27"/>
  <c r="L4" i="27"/>
  <c r="L36" i="27" s="1"/>
  <c r="S98" i="19"/>
  <c r="E1254" i="22"/>
  <c r="K172" i="27"/>
  <c r="K180" i="27" s="1"/>
  <c r="H63" i="11"/>
  <c r="H64" i="11" s="1"/>
  <c r="H125" i="11" s="1"/>
  <c r="I28" i="11"/>
  <c r="AN325" i="2"/>
  <c r="E1299" i="22"/>
  <c r="D1581" i="22"/>
  <c r="U215" i="19"/>
  <c r="U53" i="19"/>
  <c r="U54" i="19" s="1"/>
  <c r="U35" i="19"/>
  <c r="CF143" i="2"/>
  <c r="CJ144" i="2" s="1"/>
  <c r="AD145" i="2"/>
  <c r="AD289" i="2"/>
  <c r="CE289" i="2" s="1"/>
  <c r="AD144" i="2"/>
  <c r="CE143" i="2"/>
  <c r="CI144" i="2" s="1"/>
  <c r="AE289" i="2"/>
  <c r="CF289" i="2" s="1"/>
  <c r="BD23" i="2"/>
  <c r="BD35" i="2"/>
  <c r="BD50" i="2" s="1"/>
  <c r="BD18" i="2"/>
  <c r="E291" i="38"/>
  <c r="E61" i="38"/>
  <c r="E317" i="38" s="1"/>
  <c r="J366" i="38" s="1"/>
  <c r="AA403" i="2"/>
  <c r="M45" i="22"/>
  <c r="M50" i="22" s="1"/>
  <c r="R558" i="22"/>
  <c r="AG556" i="22" s="1"/>
  <c r="AA328" i="2"/>
  <c r="F21" i="35"/>
  <c r="F19" i="35"/>
  <c r="BB359" i="2"/>
  <c r="CV252" i="2"/>
  <c r="CV264" i="2" s="1"/>
  <c r="U389" i="15"/>
  <c r="Q38" i="12"/>
  <c r="R6" i="12"/>
  <c r="AI219" i="2"/>
  <c r="AI385" i="2"/>
  <c r="AI325" i="2"/>
  <c r="K884" i="22" s="1"/>
  <c r="AI283" i="2"/>
  <c r="CI283" i="2" s="1"/>
  <c r="CI217" i="2"/>
  <c r="J319" i="22" s="1"/>
  <c r="J312" i="22" s="1"/>
  <c r="E1070" i="22"/>
  <c r="AI290" i="2"/>
  <c r="AB128" i="12"/>
  <c r="J97" i="27"/>
  <c r="T312" i="10"/>
  <c r="H15" i="14" s="1"/>
  <c r="J16" i="4"/>
  <c r="O53" i="15" s="1"/>
  <c r="N103" i="4"/>
  <c r="H128" i="11"/>
  <c r="AK23" i="2"/>
  <c r="AK35" i="2"/>
  <c r="AK50" i="2" s="1"/>
  <c r="I59" i="4"/>
  <c r="AL303" i="2"/>
  <c r="D1710" i="22"/>
  <c r="AK219" i="2"/>
  <c r="G1070" i="22"/>
  <c r="AK290" i="2"/>
  <c r="AK385" i="2"/>
  <c r="AK325" i="2"/>
  <c r="AK283" i="2"/>
  <c r="CK217" i="2"/>
  <c r="CO217" i="2"/>
  <c r="F107" i="27"/>
  <c r="F123" i="27" s="1"/>
  <c r="D1333" i="22"/>
  <c r="F164" i="27"/>
  <c r="M250" i="22"/>
  <c r="L278" i="22"/>
  <c r="I345" i="22"/>
  <c r="I331" i="22" s="1"/>
  <c r="R325" i="22"/>
  <c r="Z64" i="2"/>
  <c r="Z58" i="2"/>
  <c r="Z61" i="2" s="1"/>
  <c r="Z99" i="2" s="1"/>
  <c r="V291" i="2"/>
  <c r="M250" i="37"/>
  <c r="Q57" i="40"/>
  <c r="BD361" i="38"/>
  <c r="M255" i="37"/>
  <c r="Q25" i="38"/>
  <c r="F27" i="37" s="1"/>
  <c r="BB567" i="38"/>
  <c r="V154" i="45" s="1"/>
  <c r="BB562" i="38"/>
  <c r="BB558" i="38" s="1"/>
  <c r="O148" i="37"/>
  <c r="AQ57" i="38"/>
  <c r="CZ6" i="38"/>
  <c r="CZ13" i="38" s="1"/>
  <c r="CR353" i="38"/>
  <c r="BB348" i="38" s="1"/>
  <c r="CE368" i="38" s="1"/>
  <c r="CZ49" i="38"/>
  <c r="CZ57" i="38" s="1"/>
  <c r="AJ64" i="2"/>
  <c r="AJ58" i="2"/>
  <c r="AJ61" i="2" s="1"/>
  <c r="L117" i="11"/>
  <c r="L130" i="11" s="1"/>
  <c r="AU329" i="2"/>
  <c r="N115" i="15"/>
  <c r="K151" i="36"/>
  <c r="F236" i="36" s="1"/>
  <c r="K129" i="36"/>
  <c r="N62" i="38"/>
  <c r="N292" i="38"/>
  <c r="Y291" i="2"/>
  <c r="Z291" i="2"/>
  <c r="Y292" i="2"/>
  <c r="Z292" i="2"/>
  <c r="CA289" i="2"/>
  <c r="AI64" i="2"/>
  <c r="AI58" i="2"/>
  <c r="AI61" i="2" s="1"/>
  <c r="G1314" i="22"/>
  <c r="G1319" i="22"/>
  <c r="I61" i="11"/>
  <c r="H32" i="4"/>
  <c r="K5" i="1" s="1"/>
  <c r="I63" i="11"/>
  <c r="J61" i="11"/>
  <c r="E155" i="27"/>
  <c r="M348" i="22"/>
  <c r="N348" i="22"/>
  <c r="G60" i="19"/>
  <c r="E1288" i="22" s="1"/>
  <c r="E1287" i="22" s="1"/>
  <c r="E1293" i="22" s="1"/>
  <c r="J46" i="4"/>
  <c r="G70" i="19"/>
  <c r="G90" i="19" s="1"/>
  <c r="G65" i="19"/>
  <c r="G97" i="19" s="1"/>
  <c r="O302" i="15"/>
  <c r="O303" i="15" s="1"/>
  <c r="O304" i="15" s="1"/>
  <c r="K80" i="11"/>
  <c r="K83" i="11" s="1"/>
  <c r="L61" i="11"/>
  <c r="O348" i="22"/>
  <c r="J32" i="4"/>
  <c r="J116" i="4" s="1"/>
  <c r="K61" i="11"/>
  <c r="K63" i="11"/>
  <c r="E1260" i="22"/>
  <c r="K161" i="10"/>
  <c r="K181" i="10" s="1"/>
  <c r="K157" i="10"/>
  <c r="J45" i="4"/>
  <c r="AO9" i="2"/>
  <c r="AO24" i="2"/>
  <c r="AO18" i="2"/>
  <c r="AN329" i="2"/>
  <c r="K117" i="11"/>
  <c r="AN312" i="2"/>
  <c r="AB299" i="2"/>
  <c r="G57" i="4"/>
  <c r="CG289" i="2"/>
  <c r="CC289" i="2"/>
  <c r="U459" i="15"/>
  <c r="Q61" i="12"/>
  <c r="AK268" i="2"/>
  <c r="AK267" i="2"/>
  <c r="AK269" i="2"/>
  <c r="U412" i="15"/>
  <c r="Q39" i="12"/>
  <c r="Q50" i="12" s="1"/>
  <c r="R7" i="12"/>
  <c r="G57" i="43"/>
  <c r="G62" i="43"/>
  <c r="G63" i="43" s="1"/>
  <c r="AX23" i="2"/>
  <c r="AX18" i="2"/>
  <c r="AX35" i="2"/>
  <c r="AX50" i="2" s="1"/>
  <c r="D551" i="19"/>
  <c r="D552" i="19" s="1"/>
  <c r="M59" i="11"/>
  <c r="F206" i="27" s="1"/>
  <c r="F205" i="27"/>
  <c r="M63" i="11"/>
  <c r="R138" i="25"/>
  <c r="S137" i="25"/>
  <c r="E99" i="27"/>
  <c r="F83" i="27"/>
  <c r="AA58" i="2"/>
  <c r="AA61" i="2" s="1"/>
  <c r="AA99" i="2" s="1"/>
  <c r="AA64" i="2"/>
  <c r="CJ252" i="2"/>
  <c r="E2628" i="22"/>
  <c r="E2633" i="22" s="1"/>
  <c r="I117" i="11"/>
  <c r="I130" i="11" s="1"/>
  <c r="V562" i="22"/>
  <c r="AE329" i="2"/>
  <c r="C67" i="27"/>
  <c r="D83" i="27"/>
  <c r="K164" i="19"/>
  <c r="H64" i="5"/>
  <c r="E1297" i="22"/>
  <c r="D1580" i="22"/>
  <c r="O324" i="22"/>
  <c r="O326" i="22" s="1"/>
  <c r="O343" i="22"/>
  <c r="O329" i="22" s="1"/>
  <c r="T323" i="22"/>
  <c r="H14" i="43"/>
  <c r="H56" i="43"/>
  <c r="H165" i="43"/>
  <c r="H167" i="43" s="1"/>
  <c r="H6" i="43"/>
  <c r="AO358" i="38" s="1"/>
  <c r="H17" i="43"/>
  <c r="H46" i="4"/>
  <c r="E60" i="19"/>
  <c r="E65" i="19"/>
  <c r="E97" i="19" s="1"/>
  <c r="E70" i="19"/>
  <c r="M302" i="15"/>
  <c r="M303" i="15" s="1"/>
  <c r="M304" i="15" s="1"/>
  <c r="DE261" i="2"/>
  <c r="D2601" i="22"/>
  <c r="H1274" i="22"/>
  <c r="H1280" i="22" s="1"/>
  <c r="M116" i="4"/>
  <c r="BF226" i="2"/>
  <c r="BF227" i="2" s="1"/>
  <c r="BQ388" i="2"/>
  <c r="BA517" i="2"/>
  <c r="BA532" i="2" s="1"/>
  <c r="AQ232" i="2"/>
  <c r="A1363" i="22"/>
  <c r="G157" i="27"/>
  <c r="CJ285" i="2"/>
  <c r="CF285" i="2"/>
  <c r="AJ267" i="2"/>
  <c r="AJ269" i="2"/>
  <c r="AJ268" i="2"/>
  <c r="BB479" i="2"/>
  <c r="BB480" i="2"/>
  <c r="G20" i="43"/>
  <c r="G169" i="43"/>
  <c r="I2484" i="22"/>
  <c r="G47" i="31"/>
  <c r="F1960" i="22" s="1"/>
  <c r="H59" i="43"/>
  <c r="F91" i="35"/>
  <c r="F88" i="35"/>
  <c r="F85" i="35"/>
  <c r="J4199" i="22"/>
  <c r="BC730" i="22"/>
  <c r="M155" i="10"/>
  <c r="M146" i="10"/>
  <c r="M147" i="10" s="1"/>
  <c r="P10" i="10"/>
  <c r="P19" i="10" s="1"/>
  <c r="O4" i="4" s="1"/>
  <c r="O132" i="11"/>
  <c r="O135" i="11" s="1"/>
  <c r="F87" i="12"/>
  <c r="F176" i="12" s="1"/>
  <c r="F71" i="43"/>
  <c r="F73" i="43"/>
  <c r="F74" i="43"/>
  <c r="F68" i="43"/>
  <c r="M159" i="10"/>
  <c r="M144" i="10"/>
  <c r="AR564" i="38"/>
  <c r="M151" i="45" s="1"/>
  <c r="H1743" i="22"/>
  <c r="Q5" i="10"/>
  <c r="N90" i="11"/>
  <c r="N10" i="36"/>
  <c r="X66" i="36"/>
  <c r="I187" i="36" s="1"/>
  <c r="AQ564" i="38"/>
  <c r="L151" i="45" s="1"/>
  <c r="D26" i="38"/>
  <c r="T10" i="36"/>
  <c r="E26" i="38"/>
  <c r="U10" i="36"/>
  <c r="E91" i="3"/>
  <c r="E92" i="3" s="1"/>
  <c r="E83" i="3"/>
  <c r="E85" i="3" s="1"/>
  <c r="E87" i="3" s="1"/>
  <c r="F81" i="3"/>
  <c r="M443" i="19"/>
  <c r="CP125" i="2"/>
  <c r="O6" i="5"/>
  <c r="N30" i="5"/>
  <c r="N38" i="5" s="1"/>
  <c r="N327" i="19"/>
  <c r="W98" i="19"/>
  <c r="W327" i="19"/>
  <c r="H4170" i="22"/>
  <c r="BA567" i="38"/>
  <c r="U154" i="45" s="1"/>
  <c r="AZ567" i="38"/>
  <c r="T154" i="45" s="1"/>
  <c r="BA562" i="38"/>
  <c r="BA558" i="38" s="1"/>
  <c r="AZ562" i="38"/>
  <c r="AZ558" i="38" s="1"/>
  <c r="G126" i="34"/>
  <c r="C215" i="37"/>
  <c r="C240" i="37" s="1"/>
  <c r="BA348" i="38"/>
  <c r="CD368" i="38" s="1"/>
  <c r="AK11" i="37"/>
  <c r="AO182" i="38"/>
  <c r="H84" i="46"/>
  <c r="B114" i="12"/>
  <c r="B1308" i="22"/>
  <c r="B133" i="12"/>
  <c r="B142" i="12" s="1"/>
  <c r="B167" i="12" s="1"/>
  <c r="B151" i="12"/>
  <c r="Q63" i="12"/>
  <c r="U505" i="15"/>
  <c r="E27" i="12"/>
  <c r="F27" i="12"/>
  <c r="B119" i="12"/>
  <c r="B100" i="12"/>
  <c r="G117" i="4"/>
  <c r="G23" i="4"/>
  <c r="F125" i="4"/>
  <c r="F23" i="4"/>
  <c r="G125" i="4"/>
  <c r="L117" i="4"/>
  <c r="M23" i="4"/>
  <c r="L125" i="4"/>
  <c r="L23" i="4"/>
  <c r="M125" i="4"/>
  <c r="BF239" i="2"/>
  <c r="M117" i="4"/>
  <c r="M62" i="4"/>
  <c r="M92" i="4"/>
  <c r="U19" i="12"/>
  <c r="F117" i="4"/>
  <c r="E75" i="12"/>
  <c r="U18" i="12"/>
  <c r="H173" i="12"/>
  <c r="I173" i="12"/>
  <c r="L45" i="12"/>
  <c r="L76" i="12" s="1"/>
  <c r="M13" i="12"/>
  <c r="B149" i="12"/>
  <c r="B1304" i="22"/>
  <c r="B112" i="12"/>
  <c r="B1584" i="22" s="1"/>
  <c r="B131" i="12"/>
  <c r="B140" i="12" s="1"/>
  <c r="B165" i="12" s="1"/>
  <c r="V368" i="15"/>
  <c r="S68" i="12"/>
  <c r="D2760" i="22"/>
  <c r="D2748" i="22"/>
  <c r="AU479" i="2"/>
  <c r="AU480" i="2"/>
  <c r="O2026" i="22" s="1"/>
  <c r="J138" i="27"/>
  <c r="K138" i="27"/>
  <c r="G12" i="27"/>
  <c r="G44" i="27" s="1"/>
  <c r="O412" i="15"/>
  <c r="N87" i="12"/>
  <c r="N176" i="12" s="1"/>
  <c r="O87" i="12"/>
  <c r="O176" i="12" s="1"/>
  <c r="AB130" i="12"/>
  <c r="P121" i="12"/>
  <c r="G173" i="12"/>
  <c r="V16" i="12"/>
  <c r="I87" i="12"/>
  <c r="I176" i="12" s="1"/>
  <c r="H87" i="12"/>
  <c r="H176" i="12" s="1"/>
  <c r="Q5" i="12"/>
  <c r="L10" i="27"/>
  <c r="L42" i="27" s="1"/>
  <c r="T366" i="15"/>
  <c r="F34" i="12"/>
  <c r="BP239" i="2"/>
  <c r="O92" i="4"/>
  <c r="O62" i="4"/>
  <c r="O117" i="4"/>
  <c r="G87" i="12"/>
  <c r="G176" i="12" s="1"/>
  <c r="D117" i="4"/>
  <c r="E23" i="4"/>
  <c r="D23" i="4"/>
  <c r="E117" i="4"/>
  <c r="F2760" i="22"/>
  <c r="F2748" i="22"/>
  <c r="BZ142" i="2"/>
  <c r="X287" i="2"/>
  <c r="G110" i="27"/>
  <c r="G126" i="27" s="1"/>
  <c r="G141" i="27" s="1"/>
  <c r="E1336" i="22"/>
  <c r="E2748" i="22"/>
  <c r="E2760" i="22"/>
  <c r="H265" i="25"/>
  <c r="I266" i="25"/>
  <c r="N93" i="11"/>
  <c r="G218" i="27" s="1"/>
  <c r="N132" i="11"/>
  <c r="N135" i="11" s="1"/>
  <c r="N117" i="4"/>
  <c r="N92" i="4"/>
  <c r="N62" i="4"/>
  <c r="BK239" i="2"/>
  <c r="G253" i="25"/>
  <c r="G311" i="25" s="1"/>
  <c r="G308" i="25" s="1"/>
  <c r="G301" i="25"/>
  <c r="G304" i="25" s="1"/>
  <c r="H304" i="25" s="1"/>
  <c r="I304" i="25" s="1"/>
  <c r="J304" i="25" s="1"/>
  <c r="K304" i="25" s="1"/>
  <c r="F332" i="25"/>
  <c r="F333" i="25" s="1"/>
  <c r="F346" i="25"/>
  <c r="L119" i="25"/>
  <c r="L120" i="25" s="1"/>
  <c r="J190" i="25"/>
  <c r="J197" i="25" s="1"/>
  <c r="L127" i="25"/>
  <c r="L128" i="25" s="1"/>
  <c r="L116" i="4"/>
  <c r="G1274" i="22"/>
  <c r="G1280" i="22" s="1"/>
  <c r="K33" i="25"/>
  <c r="L15" i="25"/>
  <c r="H4408" i="22"/>
  <c r="H4468" i="22"/>
  <c r="H4470" i="22" s="1"/>
  <c r="H4421" i="22"/>
  <c r="H4452" i="22" s="1"/>
  <c r="H330" i="25"/>
  <c r="G329" i="25"/>
  <c r="R55" i="25"/>
  <c r="I281" i="25"/>
  <c r="J273" i="25"/>
  <c r="I282" i="25"/>
  <c r="P173" i="12"/>
  <c r="O173" i="12"/>
  <c r="U67" i="25"/>
  <c r="W40" i="25"/>
  <c r="H285" i="25"/>
  <c r="H258" i="25"/>
  <c r="H252" i="25" s="1"/>
  <c r="H253" i="25" s="1"/>
  <c r="H277" i="25"/>
  <c r="G26" i="25"/>
  <c r="F26" i="25"/>
  <c r="J337" i="25"/>
  <c r="I4406" i="22"/>
  <c r="K323" i="25"/>
  <c r="J326" i="25"/>
  <c r="S47" i="25"/>
  <c r="S51" i="25"/>
  <c r="S52" i="25" s="1"/>
  <c r="T43" i="25"/>
  <c r="S45" i="25"/>
  <c r="G127" i="34"/>
  <c r="F128" i="34"/>
  <c r="G128" i="34" s="1"/>
  <c r="Q127" i="34" s="1"/>
  <c r="F207" i="33"/>
  <c r="J1272" i="22"/>
  <c r="N61" i="4"/>
  <c r="D2799" i="22"/>
  <c r="I126" i="4"/>
  <c r="N53" i="4"/>
  <c r="F2280" i="22" s="1"/>
  <c r="R41" i="11"/>
  <c r="E24" i="11"/>
  <c r="F24" i="11"/>
  <c r="E20" i="11"/>
  <c r="E56" i="11"/>
  <c r="I97" i="27"/>
  <c r="G8" i="31"/>
  <c r="C109" i="4"/>
  <c r="K136" i="27"/>
  <c r="I6" i="4"/>
  <c r="J28" i="11"/>
  <c r="J124" i="4"/>
  <c r="K22" i="4"/>
  <c r="K124" i="4"/>
  <c r="D5" i="31"/>
  <c r="J22" i="4"/>
  <c r="K116" i="4"/>
  <c r="T14" i="11"/>
  <c r="E22" i="4"/>
  <c r="F116" i="4"/>
  <c r="F124" i="4"/>
  <c r="G7" i="27"/>
  <c r="G39" i="27" s="1"/>
  <c r="O320" i="15"/>
  <c r="K10" i="11"/>
  <c r="K19" i="11" s="1"/>
  <c r="F62" i="31"/>
  <c r="G59" i="31" s="1"/>
  <c r="U343" i="15"/>
  <c r="R6" i="11"/>
  <c r="R10" i="11" s="1"/>
  <c r="Q33" i="11"/>
  <c r="Q42" i="11" s="1"/>
  <c r="U344" i="15" s="1"/>
  <c r="E116" i="4"/>
  <c r="F64" i="11"/>
  <c r="F125" i="11" s="1"/>
  <c r="G64" i="11"/>
  <c r="G125" i="11" s="1"/>
  <c r="F52" i="31"/>
  <c r="F50" i="31" s="1"/>
  <c r="F22" i="31"/>
  <c r="F26" i="31" s="1"/>
  <c r="F27" i="31" s="1"/>
  <c r="X286" i="2"/>
  <c r="CD286" i="2" s="1"/>
  <c r="BZ131" i="2"/>
  <c r="D3907" i="22"/>
  <c r="C149" i="11"/>
  <c r="D3909" i="22" s="1"/>
  <c r="G122" i="11"/>
  <c r="H47" i="31"/>
  <c r="G1960" i="22" s="1"/>
  <c r="F22" i="4"/>
  <c r="G22" i="4"/>
  <c r="G124" i="4"/>
  <c r="D116" i="4"/>
  <c r="T15" i="11"/>
  <c r="BZ285" i="2"/>
  <c r="CD285" i="2"/>
  <c r="O6" i="4"/>
  <c r="P28" i="11"/>
  <c r="S5" i="11"/>
  <c r="V320" i="15"/>
  <c r="K55" i="11"/>
  <c r="E55" i="11"/>
  <c r="E19" i="11"/>
  <c r="J213" i="19"/>
  <c r="I230" i="19"/>
  <c r="L56" i="11"/>
  <c r="L299" i="19"/>
  <c r="L301" i="19" s="1"/>
  <c r="E15" i="19"/>
  <c r="I25" i="11" s="1"/>
  <c r="E17" i="19"/>
  <c r="I16" i="11"/>
  <c r="AU435" i="19"/>
  <c r="BU425" i="19"/>
  <c r="AU452" i="19" s="1"/>
  <c r="AU436" i="19"/>
  <c r="G107" i="19"/>
  <c r="G180" i="19" s="1"/>
  <c r="G410" i="19"/>
  <c r="AL30" i="19"/>
  <c r="H2" i="19"/>
  <c r="U98" i="19"/>
  <c r="K98" i="19"/>
  <c r="K99" i="19" s="1"/>
  <c r="S327" i="19"/>
  <c r="G98" i="19"/>
  <c r="L52" i="11"/>
  <c r="H57" i="27" s="1"/>
  <c r="O414" i="22"/>
  <c r="P299" i="15"/>
  <c r="AV467" i="2"/>
  <c r="AH448" i="19"/>
  <c r="AH447" i="19"/>
  <c r="BL443" i="19"/>
  <c r="AL453" i="19" s="1"/>
  <c r="AH444" i="19"/>
  <c r="AH449" i="19"/>
  <c r="F1280" i="22"/>
  <c r="L106" i="11"/>
  <c r="L128" i="11"/>
  <c r="N106" i="11"/>
  <c r="N110" i="11" s="1"/>
  <c r="N128" i="11"/>
  <c r="M168" i="19"/>
  <c r="L173" i="19"/>
  <c r="L209" i="22"/>
  <c r="E221" i="22"/>
  <c r="O209" i="22"/>
  <c r="X209" i="22"/>
  <c r="E220" i="22"/>
  <c r="I209" i="22"/>
  <c r="K124" i="19"/>
  <c r="J120" i="19"/>
  <c r="J117" i="19" s="1"/>
  <c r="I244" i="19"/>
  <c r="I246" i="19" s="1"/>
  <c r="I240" i="19"/>
  <c r="E2562" i="22" s="1"/>
  <c r="I239" i="19"/>
  <c r="N2527" i="22"/>
  <c r="R327" i="19"/>
  <c r="U327" i="19"/>
  <c r="F98" i="19"/>
  <c r="P327" i="19"/>
  <c r="M180" i="19"/>
  <c r="L337" i="19"/>
  <c r="AM180" i="19"/>
  <c r="O59" i="11"/>
  <c r="O63" i="11"/>
  <c r="I128" i="11"/>
  <c r="AP447" i="19"/>
  <c r="AP448" i="19"/>
  <c r="BP443" i="19"/>
  <c r="AP453" i="19" s="1"/>
  <c r="AP444" i="19"/>
  <c r="BT443" i="19"/>
  <c r="AT453" i="19" s="1"/>
  <c r="AQ448" i="19"/>
  <c r="AQ444" i="19"/>
  <c r="BQ443" i="19"/>
  <c r="AQ453" i="19" s="1"/>
  <c r="AQ447" i="19"/>
  <c r="AQ142" i="10"/>
  <c r="AN152" i="10"/>
  <c r="T327" i="19"/>
  <c r="M129" i="19"/>
  <c r="L132" i="19"/>
  <c r="BF304" i="2"/>
  <c r="BF305" i="2" s="1"/>
  <c r="M103" i="4"/>
  <c r="H1276" i="22"/>
  <c r="M61" i="4"/>
  <c r="L311" i="19"/>
  <c r="BO94" i="2"/>
  <c r="P306" i="15"/>
  <c r="H32" i="19"/>
  <c r="AU437" i="19"/>
  <c r="M109" i="19"/>
  <c r="L108" i="19"/>
  <c r="L165" i="19" s="1"/>
  <c r="K21" i="4"/>
  <c r="L123" i="4"/>
  <c r="K115" i="4"/>
  <c r="L115" i="4"/>
  <c r="K123" i="4"/>
  <c r="E5" i="31"/>
  <c r="F8" i="31" s="1"/>
  <c r="N297" i="15"/>
  <c r="F14" i="19"/>
  <c r="G12" i="19"/>
  <c r="J7" i="11"/>
  <c r="J172" i="27"/>
  <c r="J180" i="27" s="1"/>
  <c r="E207" i="27"/>
  <c r="E211" i="27" s="1"/>
  <c r="E224" i="27" s="1"/>
  <c r="O98" i="19"/>
  <c r="D331" i="19"/>
  <c r="V327" i="19"/>
  <c r="R98" i="19"/>
  <c r="Q98" i="19"/>
  <c r="I32" i="19"/>
  <c r="Q306" i="15"/>
  <c r="J32" i="19"/>
  <c r="E450" i="22"/>
  <c r="H93" i="4"/>
  <c r="H105" i="4"/>
  <c r="E190" i="27"/>
  <c r="E192" i="27" s="1"/>
  <c r="K161" i="19"/>
  <c r="K160" i="19"/>
  <c r="K162" i="19"/>
  <c r="K163" i="19"/>
  <c r="AQ449" i="19"/>
  <c r="H212" i="19"/>
  <c r="I213" i="19" s="1"/>
  <c r="H105" i="27"/>
  <c r="H121" i="27" s="1"/>
  <c r="H89" i="27"/>
  <c r="H97" i="27" s="1"/>
  <c r="I105" i="27"/>
  <c r="I121" i="27" s="1"/>
  <c r="H81" i="27"/>
  <c r="E9" i="27"/>
  <c r="I11" i="11"/>
  <c r="I20" i="11" s="1"/>
  <c r="P98" i="19"/>
  <c r="H98" i="19"/>
  <c r="O327" i="19"/>
  <c r="J98" i="19"/>
  <c r="J99" i="19" s="1"/>
  <c r="M327" i="19"/>
  <c r="CT131" i="2"/>
  <c r="I417" i="19"/>
  <c r="I418" i="19"/>
  <c r="J415" i="19"/>
  <c r="I415" i="19"/>
  <c r="E5604" i="22"/>
  <c r="E5605" i="22" s="1"/>
  <c r="F5606" i="22" s="1"/>
  <c r="O115" i="15"/>
  <c r="D4813" i="22"/>
  <c r="C148" i="37"/>
  <c r="L214" i="37"/>
  <c r="L57" i="40" s="1"/>
  <c r="L216" i="37"/>
  <c r="L93" i="40" s="1"/>
  <c r="L209" i="37"/>
  <c r="L75" i="40" s="1"/>
  <c r="L215" i="37"/>
  <c r="L63" i="40" s="1"/>
  <c r="L251" i="37"/>
  <c r="AY352" i="38"/>
  <c r="G4181" i="22"/>
  <c r="I4181" i="22" s="1"/>
  <c r="D4219" i="22" s="1"/>
  <c r="H4180" i="22"/>
  <c r="O142" i="37"/>
  <c r="AT42" i="38"/>
  <c r="K52" i="37" s="1"/>
  <c r="F362" i="37"/>
  <c r="D3509" i="22"/>
  <c r="AG288" i="37"/>
  <c r="AG291" i="37" s="1"/>
  <c r="H5350" i="22"/>
  <c r="AN211" i="38"/>
  <c r="E2136" i="22"/>
  <c r="E2145" i="22" s="1"/>
  <c r="O2140" i="22" s="1"/>
  <c r="BY113" i="38"/>
  <c r="Q335" i="37"/>
  <c r="Q145" i="37"/>
  <c r="H3552" i="22"/>
  <c r="F1802" i="22"/>
  <c r="AE1774" i="22"/>
  <c r="N4669" i="22"/>
  <c r="BJ13" i="22"/>
  <c r="BM13" i="22" s="1"/>
  <c r="BO13" i="22" s="1"/>
  <c r="H28" i="22" s="1"/>
  <c r="AT45" i="38"/>
  <c r="AT308" i="38" s="1"/>
  <c r="J54" i="42"/>
  <c r="AF71" i="38"/>
  <c r="AY729" i="22"/>
  <c r="BB729" i="22" s="1"/>
  <c r="O90" i="22"/>
  <c r="K417" i="22" s="1"/>
  <c r="P943" i="22"/>
  <c r="O91" i="22"/>
  <c r="K418" i="22" s="1"/>
  <c r="AQ14" i="22"/>
  <c r="AT14" i="22" s="1"/>
  <c r="AU14" i="22" s="1"/>
  <c r="Q22" i="22" s="1"/>
  <c r="AE210" i="38"/>
  <c r="K241" i="37"/>
  <c r="H408" i="38"/>
  <c r="J408" i="38"/>
  <c r="AF146" i="38"/>
  <c r="K408" i="38"/>
  <c r="M408" i="38"/>
  <c r="I408" i="38"/>
  <c r="O143" i="37"/>
  <c r="F3098" i="22"/>
  <c r="D2832" i="22"/>
  <c r="F2832" i="22" s="1"/>
  <c r="G2832" i="22" s="1"/>
  <c r="G2631" i="22"/>
  <c r="I779" i="22"/>
  <c r="J779" i="22" s="1"/>
  <c r="J801" i="22" s="1"/>
  <c r="J2624" i="22"/>
  <c r="J2631" i="22" s="1"/>
  <c r="Y1772" i="22"/>
  <c r="E1795" i="22" s="1"/>
  <c r="H2282" i="22"/>
  <c r="AB82" i="38"/>
  <c r="AB98" i="38" s="1"/>
  <c r="AP153" i="38"/>
  <c r="J16" i="37"/>
  <c r="F4414" i="22" s="1"/>
  <c r="F4425" i="22" s="1"/>
  <c r="F4456" i="22" s="1"/>
  <c r="AM34" i="38"/>
  <c r="AM211" i="38" s="1"/>
  <c r="AK12" i="37"/>
  <c r="J356" i="37"/>
  <c r="AO282" i="38"/>
  <c r="J172" i="37" s="1"/>
  <c r="AE1772" i="22"/>
  <c r="AE376" i="38"/>
  <c r="AL132" i="38"/>
  <c r="AL134" i="38" s="1"/>
  <c r="AL137" i="38" s="1"/>
  <c r="AL210" i="38" s="1"/>
  <c r="E5184" i="22"/>
  <c r="E5185" i="22" s="1"/>
  <c r="AP132" i="38"/>
  <c r="H5184" i="22"/>
  <c r="H5185" i="22" s="1"/>
  <c r="T174" i="38"/>
  <c r="AN132" i="38"/>
  <c r="G5184" i="22"/>
  <c r="G5185" i="22" s="1"/>
  <c r="AK132" i="38"/>
  <c r="W961" i="38" s="1"/>
  <c r="D5184" i="22"/>
  <c r="D5185" i="22" s="1"/>
  <c r="AQ132" i="38"/>
  <c r="AQ134" i="38" s="1"/>
  <c r="I5184" i="22"/>
  <c r="I5185" i="22" s="1"/>
  <c r="AN152" i="38"/>
  <c r="Z957" i="38" s="1"/>
  <c r="AR182" i="38"/>
  <c r="AR196" i="38"/>
  <c r="AO82" i="38"/>
  <c r="AO98" i="38" s="1"/>
  <c r="AR13" i="38"/>
  <c r="AR21" i="38" s="1"/>
  <c r="BX364" i="38"/>
  <c r="G2052" i="22"/>
  <c r="AM49" i="38"/>
  <c r="AM69" i="38" s="1"/>
  <c r="AO69" i="38" s="1"/>
  <c r="J76" i="37" s="1"/>
  <c r="J114" i="37" s="1"/>
  <c r="K215" i="37"/>
  <c r="CC364" i="38"/>
  <c r="AE24" i="37"/>
  <c r="AQ16" i="37" s="1"/>
  <c r="AR206" i="38"/>
  <c r="AC953" i="38" s="1"/>
  <c r="F2332" i="22"/>
  <c r="F2372" i="22"/>
  <c r="T75" i="11"/>
  <c r="S87" i="11"/>
  <c r="H53" i="35"/>
  <c r="H29" i="35"/>
  <c r="O172" i="19"/>
  <c r="C7" i="4"/>
  <c r="D34" i="12"/>
  <c r="E34" i="12"/>
  <c r="L112" i="36"/>
  <c r="C237" i="14"/>
  <c r="Q237" i="14" s="1"/>
  <c r="L4" i="41"/>
  <c r="C4807" i="22"/>
  <c r="D1481" i="22"/>
  <c r="Y123" i="15"/>
  <c r="J248" i="19"/>
  <c r="J249" i="19" s="1"/>
  <c r="J323" i="19" s="1"/>
  <c r="J250" i="19"/>
  <c r="G198" i="36"/>
  <c r="Q170" i="19"/>
  <c r="AQ466" i="2"/>
  <c r="AP466" i="2" s="1"/>
  <c r="K2024" i="22" s="1"/>
  <c r="AE27" i="35"/>
  <c r="AE26" i="35"/>
  <c r="I50" i="43"/>
  <c r="I52" i="43" s="1"/>
  <c r="I46" i="43"/>
  <c r="AH242" i="2"/>
  <c r="AH291" i="2" s="1"/>
  <c r="AH327" i="2"/>
  <c r="B121" i="12"/>
  <c r="B102" i="12"/>
  <c r="K257" i="37"/>
  <c r="I1281" i="22"/>
  <c r="S294" i="19"/>
  <c r="I119" i="31"/>
  <c r="I131" i="31"/>
  <c r="J34" i="31"/>
  <c r="L161" i="27"/>
  <c r="BP236" i="2"/>
  <c r="L210" i="33"/>
  <c r="H131" i="31"/>
  <c r="I34" i="31"/>
  <c r="H119" i="31"/>
  <c r="R147" i="37"/>
  <c r="E23" i="38"/>
  <c r="U16" i="36"/>
  <c r="E27" i="36"/>
  <c r="E19" i="36"/>
  <c r="J108" i="3"/>
  <c r="F2038" i="22"/>
  <c r="Y20" i="12"/>
  <c r="AR64" i="2"/>
  <c r="AR58" i="2"/>
  <c r="AR61" i="2" s="1"/>
  <c r="H14" i="41"/>
  <c r="W62" i="25"/>
  <c r="X62" i="25" s="1"/>
  <c r="K29" i="31"/>
  <c r="K33" i="31" s="1"/>
  <c r="M292" i="38"/>
  <c r="M62" i="38"/>
  <c r="AT9" i="38"/>
  <c r="AT282" i="38" s="1"/>
  <c r="K172" i="37" s="1"/>
  <c r="AS304" i="38"/>
  <c r="CI353" i="38"/>
  <c r="K214" i="37"/>
  <c r="K94" i="37"/>
  <c r="AT352" i="38"/>
  <c r="K283" i="37"/>
  <c r="K336" i="37" s="1"/>
  <c r="AT351" i="38"/>
  <c r="K250" i="37"/>
  <c r="AT12" i="38"/>
  <c r="K15" i="37" s="1"/>
  <c r="AT363" i="38"/>
  <c r="H2631" i="22"/>
  <c r="J404" i="22"/>
  <c r="N91" i="22"/>
  <c r="J418" i="22" s="1"/>
  <c r="N90" i="22"/>
  <c r="J417" i="22" s="1"/>
  <c r="AD21" i="38"/>
  <c r="AD152" i="38" s="1"/>
  <c r="T957" i="38" s="1"/>
  <c r="S174" i="38"/>
  <c r="C214" i="37"/>
  <c r="C239" i="37" s="1"/>
  <c r="W408" i="38"/>
  <c r="D2929" i="22"/>
  <c r="AC146" i="38"/>
  <c r="AC147" i="38" s="1"/>
  <c r="AG348" i="38"/>
  <c r="D4710" i="22"/>
  <c r="D4711" i="22" s="1"/>
  <c r="AM208" i="38"/>
  <c r="Y960" i="38"/>
  <c r="AS82" i="38"/>
  <c r="AG575" i="38"/>
  <c r="AS6" i="38"/>
  <c r="AS186" i="38"/>
  <c r="AS83" i="38"/>
  <c r="AT83" i="38" s="1"/>
  <c r="AS109" i="38"/>
  <c r="AS188" i="38"/>
  <c r="AO45" i="38"/>
  <c r="J53" i="37" s="1"/>
  <c r="AS49" i="38"/>
  <c r="AS308" i="38"/>
  <c r="D21" i="13"/>
  <c r="D2967" i="22" s="1"/>
  <c r="E3509" i="22"/>
  <c r="L2927" i="22"/>
  <c r="Q120" i="36"/>
  <c r="P120" i="36" s="1"/>
  <c r="F2985" i="22"/>
  <c r="AO195" i="38"/>
  <c r="AM308" i="38"/>
  <c r="AR11" i="37"/>
  <c r="G2140" i="22"/>
  <c r="I754" i="22"/>
  <c r="F2035" i="22"/>
  <c r="F2054" i="22" s="1"/>
  <c r="AD208" i="38"/>
  <c r="E260" i="37"/>
  <c r="F2344" i="22"/>
  <c r="J2344" i="22" s="1"/>
  <c r="I860" i="22"/>
  <c r="AD189" i="38"/>
  <c r="AL57" i="38"/>
  <c r="E4710" i="22" s="1"/>
  <c r="E4711" i="22" s="1"/>
  <c r="D2871" i="22"/>
  <c r="D2873" i="22" s="1"/>
  <c r="D2885" i="22" s="1"/>
  <c r="AD146" i="38"/>
  <c r="AD147" i="38" s="1"/>
  <c r="AD34" i="38"/>
  <c r="G1996" i="22"/>
  <c r="G1998" i="22" s="1"/>
  <c r="G2010" i="22" s="1"/>
  <c r="S19" i="15"/>
  <c r="S23" i="15" s="1"/>
  <c r="S24" i="15" s="1"/>
  <c r="AE89" i="11" s="1"/>
  <c r="H1233" i="22"/>
  <c r="H1243" i="22" s="1"/>
  <c r="D2985" i="22"/>
  <c r="W160" i="38"/>
  <c r="W174" i="38" s="1"/>
  <c r="I361" i="37"/>
  <c r="S8" i="15"/>
  <c r="AJ303" i="38"/>
  <c r="I186" i="37" s="1"/>
  <c r="J210" i="37" s="1"/>
  <c r="I256" i="37"/>
  <c r="AK460" i="38"/>
  <c r="AK473" i="38" s="1"/>
  <c r="AK476" i="38" s="1"/>
  <c r="D356" i="37"/>
  <c r="E219" i="37"/>
  <c r="AR12" i="37"/>
  <c r="AJ19" i="37"/>
  <c r="I208" i="37"/>
  <c r="C4798" i="22"/>
  <c r="L15" i="13"/>
  <c r="E4798" i="22" s="1"/>
  <c r="AB348" i="38"/>
  <c r="BV364" i="38"/>
  <c r="Y174" i="38"/>
  <c r="I50" i="42"/>
  <c r="AK287" i="37"/>
  <c r="AK291" i="37" s="1"/>
  <c r="AG284" i="37"/>
  <c r="N3088" i="22"/>
  <c r="T216" i="10"/>
  <c r="T219" i="10" s="1"/>
  <c r="AC131" i="38"/>
  <c r="AC165" i="38" s="1"/>
  <c r="AC168" i="38" s="1"/>
  <c r="AC169" i="38" s="1"/>
  <c r="N3089" i="22"/>
  <c r="Y132" i="38"/>
  <c r="Y134" i="38" s="1"/>
  <c r="Y166" i="38" s="1"/>
  <c r="W185" i="38"/>
  <c r="P951" i="38" s="1"/>
  <c r="E50" i="42"/>
  <c r="BV113" i="38"/>
  <c r="AK348" i="38"/>
  <c r="AI275" i="37"/>
  <c r="S245" i="10"/>
  <c r="S252" i="10" s="1"/>
  <c r="S256" i="10" s="1"/>
  <c r="S261" i="10" s="1"/>
  <c r="U347" i="1" s="1"/>
  <c r="V301" i="38"/>
  <c r="G184" i="37" s="1"/>
  <c r="H208" i="37" s="1"/>
  <c r="H328" i="37"/>
  <c r="AQ301" i="38"/>
  <c r="I54" i="42"/>
  <c r="C4263" i="22"/>
  <c r="AO113" i="38"/>
  <c r="J337" i="37"/>
  <c r="T168" i="38"/>
  <c r="T170" i="38" s="1"/>
  <c r="M173" i="10"/>
  <c r="W325" i="2"/>
  <c r="M87" i="10"/>
  <c r="W283" i="2"/>
  <c r="H24" i="4"/>
  <c r="H25" i="4" s="1"/>
  <c r="K20" i="4"/>
  <c r="T211" i="10"/>
  <c r="T225" i="10" s="1"/>
  <c r="T207" i="10"/>
  <c r="G148" i="10"/>
  <c r="D20" i="4"/>
  <c r="E114" i="4"/>
  <c r="K122" i="4"/>
  <c r="U188" i="10"/>
  <c r="V187" i="10"/>
  <c r="V188" i="10" s="1"/>
  <c r="I396" i="22"/>
  <c r="F1254" i="22"/>
  <c r="O3088" i="22"/>
  <c r="AA109" i="38"/>
  <c r="AA185" i="38" s="1"/>
  <c r="T951" i="38" s="1"/>
  <c r="X113" i="38"/>
  <c r="X132" i="38" s="1"/>
  <c r="X134" i="38" s="1"/>
  <c r="O3089" i="22"/>
  <c r="X160" i="38"/>
  <c r="X174" i="38" s="1"/>
  <c r="Q140" i="38"/>
  <c r="Q211" i="38" s="1"/>
  <c r="AG189" i="38"/>
  <c r="F305" i="37"/>
  <c r="F375" i="37" s="1"/>
  <c r="AN473" i="38"/>
  <c r="I249" i="37"/>
  <c r="K236" i="37"/>
  <c r="AM150" i="38"/>
  <c r="Q246" i="10"/>
  <c r="J208" i="37"/>
  <c r="AF196" i="38"/>
  <c r="AF186" i="38"/>
  <c r="AJ10" i="38"/>
  <c r="I13" i="37"/>
  <c r="G368" i="25" s="1"/>
  <c r="AF283" i="38"/>
  <c r="J234" i="37"/>
  <c r="I11" i="37"/>
  <c r="E19" i="41"/>
  <c r="AM98" i="38"/>
  <c r="J162" i="37"/>
  <c r="J249" i="37" s="1"/>
  <c r="R196" i="10"/>
  <c r="F4671" i="22"/>
  <c r="T387" i="38"/>
  <c r="O408" i="38"/>
  <c r="AM189" i="38"/>
  <c r="I255" i="37"/>
  <c r="AJ110" i="38"/>
  <c r="I281" i="37" s="1"/>
  <c r="AH186" i="38"/>
  <c r="AH106" i="38"/>
  <c r="U952" i="38"/>
  <c r="Y189" i="38"/>
  <c r="T196" i="10"/>
  <c r="H214" i="37"/>
  <c r="I99" i="37"/>
  <c r="AJ86" i="38" s="1"/>
  <c r="G214" i="37"/>
  <c r="G431" i="37"/>
  <c r="G480" i="37" s="1"/>
  <c r="J278" i="14" s="1"/>
  <c r="G239" i="37"/>
  <c r="R189" i="38"/>
  <c r="V113" i="38"/>
  <c r="G284" i="37" s="1"/>
  <c r="R208" i="38"/>
  <c r="C54" i="42" s="1"/>
  <c r="R131" i="38"/>
  <c r="R109" i="38"/>
  <c r="K235" i="37"/>
  <c r="AY188" i="38"/>
  <c r="U211" i="10"/>
  <c r="U225" i="10" s="1"/>
  <c r="U196" i="10"/>
  <c r="R209" i="10"/>
  <c r="T345" i="1" s="1"/>
  <c r="R205" i="10"/>
  <c r="R226" i="10" s="1"/>
  <c r="G46" i="40"/>
  <c r="F46" i="40" s="1"/>
  <c r="H1352" i="22"/>
  <c r="D1356" i="22"/>
  <c r="H1356" i="22" s="1"/>
  <c r="P149" i="37"/>
  <c r="E65" i="10"/>
  <c r="F65" i="10"/>
  <c r="F152" i="10" s="1"/>
  <c r="O181" i="10"/>
  <c r="AK181" i="10" s="1"/>
  <c r="P181" i="10"/>
  <c r="AL181" i="10" s="1"/>
  <c r="N181" i="10"/>
  <c r="AJ181" i="10" s="1"/>
  <c r="H133" i="27"/>
  <c r="N157" i="10"/>
  <c r="N129" i="10"/>
  <c r="N164" i="10"/>
  <c r="N170" i="10" s="1"/>
  <c r="N173" i="10" s="1"/>
  <c r="M20" i="4"/>
  <c r="K16" i="4"/>
  <c r="E1958" i="22"/>
  <c r="M122" i="4"/>
  <c r="L20" i="4"/>
  <c r="L122" i="4"/>
  <c r="D320" i="10"/>
  <c r="G65" i="10"/>
  <c r="G152" i="10" s="1"/>
  <c r="Z186" i="10"/>
  <c r="H28" i="10"/>
  <c r="G1264" i="22"/>
  <c r="AQ138" i="10"/>
  <c r="AN148" i="10"/>
  <c r="J53" i="15"/>
  <c r="H65" i="10"/>
  <c r="H152" i="10" s="1"/>
  <c r="F148" i="10"/>
  <c r="V230" i="15"/>
  <c r="S52" i="10"/>
  <c r="E148" i="10"/>
  <c r="R307" i="10"/>
  <c r="Q311" i="10"/>
  <c r="Q312" i="10" s="1"/>
  <c r="Q308" i="10"/>
  <c r="Q33" i="10"/>
  <c r="U251" i="15"/>
  <c r="R6" i="10"/>
  <c r="Q115" i="10"/>
  <c r="Q109" i="36" s="1"/>
  <c r="Q13" i="36"/>
  <c r="P13" i="36" s="1"/>
  <c r="Q198" i="10"/>
  <c r="Q200" i="10" s="1"/>
  <c r="Q203" i="10" s="1"/>
  <c r="Q127" i="10"/>
  <c r="M65" i="10"/>
  <c r="M152" i="10" s="1"/>
  <c r="H126" i="4"/>
  <c r="W273" i="10"/>
  <c r="V310" i="10"/>
  <c r="AF10" i="10"/>
  <c r="AF19" i="10" s="1"/>
  <c r="J436" i="37"/>
  <c r="J484" i="37" s="1"/>
  <c r="U168" i="38"/>
  <c r="U169" i="38" s="1"/>
  <c r="L53" i="15"/>
  <c r="J28" i="10"/>
  <c r="H4" i="4"/>
  <c r="AD258" i="10"/>
  <c r="K141" i="37"/>
  <c r="AT251" i="38"/>
  <c r="AD166" i="10"/>
  <c r="U253" i="10"/>
  <c r="T254" i="10"/>
  <c r="I3070" i="22" s="1"/>
  <c r="AD64" i="10"/>
  <c r="AD132" i="10"/>
  <c r="AD120" i="10"/>
  <c r="N53" i="15"/>
  <c r="AH268" i="2"/>
  <c r="AH267" i="2"/>
  <c r="AH269" i="2"/>
  <c r="V307" i="10"/>
  <c r="U308" i="10"/>
  <c r="O87" i="10"/>
  <c r="N93" i="10"/>
  <c r="N87" i="10"/>
  <c r="H1261" i="22"/>
  <c r="H1264" i="22"/>
  <c r="D16" i="4"/>
  <c r="E118" i="4" s="1"/>
  <c r="K843" i="3" s="1"/>
  <c r="F852" i="3" s="1"/>
  <c r="E852" i="3" s="1"/>
  <c r="E20" i="4"/>
  <c r="J132" i="27"/>
  <c r="K132" i="27"/>
  <c r="N144" i="10"/>
  <c r="N101" i="10"/>
  <c r="N108" i="10"/>
  <c r="N155" i="10"/>
  <c r="M29" i="4"/>
  <c r="N146" i="10"/>
  <c r="N147" i="10" s="1"/>
  <c r="H1325" i="22"/>
  <c r="J156" i="27"/>
  <c r="G28" i="10"/>
  <c r="F28" i="10"/>
  <c r="E4" i="4"/>
  <c r="AO139" i="10"/>
  <c r="AL149" i="10"/>
  <c r="U14" i="10"/>
  <c r="V121" i="10"/>
  <c r="X70" i="10"/>
  <c r="J18" i="15"/>
  <c r="T15" i="10"/>
  <c r="M4" i="4"/>
  <c r="O28" i="10"/>
  <c r="AL144" i="2"/>
  <c r="CL143" i="2"/>
  <c r="K167" i="10"/>
  <c r="L168" i="10"/>
  <c r="H179" i="27"/>
  <c r="R53" i="15"/>
  <c r="N24" i="4"/>
  <c r="N25" i="4" s="1"/>
  <c r="N126" i="4"/>
  <c r="G241" i="27"/>
  <c r="AM269" i="2"/>
  <c r="AM267" i="2"/>
  <c r="AM268" i="2"/>
  <c r="CH261" i="2"/>
  <c r="D179" i="27"/>
  <c r="G278" i="22"/>
  <c r="H250" i="22"/>
  <c r="E66" i="4"/>
  <c r="E67" i="4"/>
  <c r="E95" i="4"/>
  <c r="O146" i="10"/>
  <c r="O147" i="10" s="1"/>
  <c r="N29" i="4"/>
  <c r="O101" i="10"/>
  <c r="O144" i="10"/>
  <c r="O155" i="10"/>
  <c r="O108" i="10"/>
  <c r="P101" i="10"/>
  <c r="M140" i="10"/>
  <c r="L19" i="10"/>
  <c r="U275" i="15"/>
  <c r="AB145" i="2"/>
  <c r="AC292" i="2" s="1"/>
  <c r="CD292" i="2" s="1"/>
  <c r="AB144" i="2"/>
  <c r="AC291" i="2" s="1"/>
  <c r="AC289" i="2"/>
  <c r="J2" i="10"/>
  <c r="K231" i="22"/>
  <c r="S16" i="10"/>
  <c r="R34" i="10"/>
  <c r="R43" i="10" s="1"/>
  <c r="CH283" i="2"/>
  <c r="CD283" i="2"/>
  <c r="K177" i="10"/>
  <c r="M57" i="10"/>
  <c r="I1261" i="22"/>
  <c r="I1264" i="22"/>
  <c r="Y306" i="10"/>
  <c r="H53" i="15"/>
  <c r="P274" i="15"/>
  <c r="F129" i="34"/>
  <c r="G129" i="34" s="1"/>
  <c r="Q128" i="34" s="1"/>
  <c r="I6" i="27"/>
  <c r="I38" i="27" s="1"/>
  <c r="M10" i="10"/>
  <c r="M19" i="10" s="1"/>
  <c r="K133" i="27"/>
  <c r="J133" i="27"/>
  <c r="L412" i="22"/>
  <c r="M412" i="22" s="1"/>
  <c r="L1761" i="22"/>
  <c r="AA1711" i="22"/>
  <c r="G1788" i="22" s="1"/>
  <c r="H3549" i="22"/>
  <c r="H3550" i="22" s="1"/>
  <c r="I1803" i="22"/>
  <c r="K176" i="14"/>
  <c r="Y118" i="15"/>
  <c r="C4560" i="22"/>
  <c r="N74" i="15"/>
  <c r="I3042" i="22"/>
  <c r="V121" i="15"/>
  <c r="V123" i="15"/>
  <c r="E13" i="46"/>
  <c r="I3049" i="22"/>
  <c r="I424" i="22"/>
  <c r="E426" i="22"/>
  <c r="S7" i="15"/>
  <c r="D2966" i="22"/>
  <c r="I852" i="22"/>
  <c r="I856" i="22" s="1"/>
  <c r="D94" i="13"/>
  <c r="D2971" i="22"/>
  <c r="M74" i="15"/>
  <c r="Q82" i="15"/>
  <c r="L115" i="15"/>
  <c r="R75" i="15"/>
  <c r="H3005" i="22"/>
  <c r="S121" i="15"/>
  <c r="S123" i="15"/>
  <c r="P113" i="15"/>
  <c r="P28" i="15"/>
  <c r="I3046" i="22"/>
  <c r="U123" i="15"/>
  <c r="U121" i="15"/>
  <c r="T123" i="15"/>
  <c r="T121" i="15"/>
  <c r="W122" i="15"/>
  <c r="F3590" i="22"/>
  <c r="F3596" i="22" s="1"/>
  <c r="L35" i="15"/>
  <c r="K1813" i="22"/>
  <c r="Q1813" i="22" s="1"/>
  <c r="G554" i="19"/>
  <c r="G556" i="19" s="1"/>
  <c r="G545" i="19"/>
  <c r="L96" i="37"/>
  <c r="N11" i="43"/>
  <c r="K334" i="37"/>
  <c r="AR82" i="38"/>
  <c r="AR308" i="38"/>
  <c r="AW357" i="38" s="1"/>
  <c r="H26" i="41"/>
  <c r="I2282" i="22"/>
  <c r="F3124" i="22"/>
  <c r="M2927" i="22"/>
  <c r="AG16" i="37"/>
  <c r="V250" i="10"/>
  <c r="W250" i="10" s="1"/>
  <c r="X250" i="10" s="1"/>
  <c r="Y250" i="10" s="1"/>
  <c r="Z250" i="10" s="1"/>
  <c r="AA250" i="10" s="1"/>
  <c r="U249" i="10"/>
  <c r="U252" i="10" s="1"/>
  <c r="K240" i="37"/>
  <c r="V49" i="38"/>
  <c r="G57" i="37" s="1"/>
  <c r="G65" i="37" s="1"/>
  <c r="C4412" i="22" s="1"/>
  <c r="AM152" i="38"/>
  <c r="Y957" i="38" s="1"/>
  <c r="AM153" i="38"/>
  <c r="AQ15" i="22"/>
  <c r="AT15" i="22" s="1"/>
  <c r="BN15" i="22" s="1"/>
  <c r="M1362" i="22"/>
  <c r="D1381" i="22" s="1"/>
  <c r="H1381" i="22" s="1"/>
  <c r="U1772" i="22"/>
  <c r="W1711" i="22"/>
  <c r="J1800" i="22"/>
  <c r="AG1711" i="22"/>
  <c r="M1364" i="22"/>
  <c r="D1399" i="22" s="1"/>
  <c r="H1231" i="22"/>
  <c r="I1249" i="22" s="1"/>
  <c r="I1267" i="22" s="1"/>
  <c r="I1283" i="22" s="1"/>
  <c r="I1295" i="22" s="1"/>
  <c r="I1321" i="22" s="1"/>
  <c r="BJ14" i="22"/>
  <c r="BM14" i="22" s="1"/>
  <c r="BO14" i="22" s="1"/>
  <c r="H29" i="22" s="1"/>
  <c r="F554" i="19"/>
  <c r="AF1775" i="22"/>
  <c r="V1775" i="22"/>
  <c r="AJ728" i="22"/>
  <c r="BE728" i="22" s="1"/>
  <c r="AY730" i="22"/>
  <c r="BB730" i="22" s="1"/>
  <c r="AT13" i="22"/>
  <c r="AU13" i="22" s="1"/>
  <c r="Q21" i="22" s="1"/>
  <c r="K1092" i="22"/>
  <c r="G1092" i="22" s="1"/>
  <c r="G1093" i="22" s="1"/>
  <c r="L413" i="22"/>
  <c r="M413" i="22" s="1"/>
  <c r="E2301" i="22"/>
  <c r="I4416" i="22"/>
  <c r="J4389" i="22"/>
  <c r="AA4453" i="22"/>
  <c r="F3780" i="22"/>
  <c r="N1363" i="22"/>
  <c r="J1711" i="22"/>
  <c r="J1810" i="22" s="1"/>
  <c r="J1820" i="22" s="1"/>
  <c r="P949" i="22"/>
  <c r="P986" i="22" s="1"/>
  <c r="H957" i="22"/>
  <c r="H2965" i="22"/>
  <c r="G2975" i="22"/>
  <c r="AI1716" i="22"/>
  <c r="J1813" i="22"/>
  <c r="P1813" i="22" s="1"/>
  <c r="J1758" i="22"/>
  <c r="U1716" i="22"/>
  <c r="V1748" i="22" s="1"/>
  <c r="I1772" i="22"/>
  <c r="T1772" i="22" s="1"/>
  <c r="O124" i="22"/>
  <c r="G856" i="22"/>
  <c r="G859" i="22" s="1"/>
  <c r="G861" i="22" s="1"/>
  <c r="G862" i="22" s="1"/>
  <c r="D856" i="22"/>
  <c r="F856" i="22"/>
  <c r="E856" i="22"/>
  <c r="H856" i="22"/>
  <c r="I1813" i="22"/>
  <c r="O1813" i="22" s="1"/>
  <c r="T1775" i="22"/>
  <c r="H820" i="22"/>
  <c r="H858" i="22" s="1"/>
  <c r="I949" i="22"/>
  <c r="Q943" i="22"/>
  <c r="K1712" i="22"/>
  <c r="Z1712" i="22" s="1"/>
  <c r="N124" i="22"/>
  <c r="H3594" i="22"/>
  <c r="H3596" i="22" s="1"/>
  <c r="L125" i="22"/>
  <c r="P1110" i="22"/>
  <c r="H3185" i="22"/>
  <c r="I3153" i="22"/>
  <c r="I3185" i="22" s="1"/>
  <c r="I4422" i="22"/>
  <c r="I4453" i="22" s="1"/>
  <c r="J4410" i="22"/>
  <c r="J4422" i="22" s="1"/>
  <c r="J4453" i="22" s="1"/>
  <c r="BJ16" i="22"/>
  <c r="BM16" i="22" s="1"/>
  <c r="E4114" i="22"/>
  <c r="H4114" i="22" s="1"/>
  <c r="I4114" i="22" s="1"/>
  <c r="AY728" i="22"/>
  <c r="BB728" i="22" s="1"/>
  <c r="H4115" i="22"/>
  <c r="I4115" i="22" s="1"/>
  <c r="P321" i="38"/>
  <c r="P95" i="38"/>
  <c r="U95" i="38" s="1"/>
  <c r="P322" i="38"/>
  <c r="P398" i="38" s="1"/>
  <c r="P96" i="38"/>
  <c r="U96" i="38" s="1"/>
  <c r="F3507" i="22"/>
  <c r="F3519" i="22" s="1"/>
  <c r="AR7" i="37"/>
  <c r="K239" i="37"/>
  <c r="Z95" i="38"/>
  <c r="Y95" i="38"/>
  <c r="Z90" i="38"/>
  <c r="Y90" i="38"/>
  <c r="I351" i="37"/>
  <c r="AJ7" i="37"/>
  <c r="T241" i="10"/>
  <c r="X308" i="38"/>
  <c r="X387" i="38" s="1"/>
  <c r="O397" i="38"/>
  <c r="T321" i="38"/>
  <c r="T316" i="38"/>
  <c r="O392" i="38"/>
  <c r="U408" i="38"/>
  <c r="U575" i="38"/>
  <c r="AH79" i="38"/>
  <c r="AH304" i="38"/>
  <c r="AH45" i="38"/>
  <c r="AH308" i="38" s="1"/>
  <c r="AJ42" i="38"/>
  <c r="I52" i="37" s="1"/>
  <c r="T575" i="38"/>
  <c r="T408" i="38"/>
  <c r="AR5" i="37"/>
  <c r="Q66" i="38"/>
  <c r="F73" i="37" s="1"/>
  <c r="F111" i="37" s="1"/>
  <c r="P316" i="38"/>
  <c r="P90" i="38"/>
  <c r="U90" i="38" s="1"/>
  <c r="AR20" i="37"/>
  <c r="AR19" i="37"/>
  <c r="F484" i="37"/>
  <c r="I394" i="38"/>
  <c r="I399" i="38" s="1"/>
  <c r="I401" i="38" s="1"/>
  <c r="AK152" i="38"/>
  <c r="W957" i="38" s="1"/>
  <c r="AK153" i="38"/>
  <c r="Z166" i="38"/>
  <c r="Z131" i="38"/>
  <c r="AR6" i="37"/>
  <c r="AK211" i="38"/>
  <c r="O394" i="38"/>
  <c r="O367" i="38"/>
  <c r="Z96" i="38"/>
  <c r="Y96" i="38"/>
  <c r="AR16" i="37"/>
  <c r="AR21" i="37"/>
  <c r="W151" i="15"/>
  <c r="H443" i="37"/>
  <c r="H437" i="37"/>
  <c r="AF45" i="38"/>
  <c r="AG308" i="38"/>
  <c r="AG387" i="38" s="1"/>
  <c r="P318" i="38"/>
  <c r="P92" i="38"/>
  <c r="I100" i="37"/>
  <c r="AJ87" i="38" s="1"/>
  <c r="O370" i="38"/>
  <c r="N408" i="38"/>
  <c r="N263" i="37"/>
  <c r="AF57" i="38"/>
  <c r="AJ57" i="38" s="1"/>
  <c r="AJ58" i="38" s="1"/>
  <c r="J215" i="37"/>
  <c r="I240" i="37"/>
  <c r="I215" i="37"/>
  <c r="P24" i="22"/>
  <c r="G2828" i="22"/>
  <c r="BN16" i="22"/>
  <c r="G3181" i="22"/>
  <c r="H3181" i="22" s="1"/>
  <c r="I3181" i="22" s="1"/>
  <c r="Y143" i="15"/>
  <c r="J364" i="37"/>
  <c r="K2927" i="22"/>
  <c r="G2282" i="22"/>
  <c r="D3124" i="22"/>
  <c r="AJ288" i="38"/>
  <c r="I170" i="37" s="1"/>
  <c r="I257" i="37" s="1"/>
  <c r="I21" i="37"/>
  <c r="I363" i="37" s="1"/>
  <c r="V414" i="38"/>
  <c r="V485" i="38" s="1"/>
  <c r="AJ19" i="38"/>
  <c r="AJ195" i="38" s="1"/>
  <c r="E201" i="37"/>
  <c r="L397" i="38"/>
  <c r="F93" i="37"/>
  <c r="Q82" i="38" s="1"/>
  <c r="AJ193" i="38"/>
  <c r="AA195" i="38"/>
  <c r="H291" i="37"/>
  <c r="AF13" i="38"/>
  <c r="AG9" i="38"/>
  <c r="AG34" i="38"/>
  <c r="AG211" i="38" s="1"/>
  <c r="AI287" i="37"/>
  <c r="AI291" i="37" s="1"/>
  <c r="H337" i="37"/>
  <c r="H361" i="37"/>
  <c r="F3896" i="22"/>
  <c r="F3885" i="22" s="1"/>
  <c r="F3889" i="22" s="1"/>
  <c r="F3898" i="22"/>
  <c r="F3897" i="22"/>
  <c r="F3900" i="22"/>
  <c r="F3899" i="22"/>
  <c r="N951" i="38"/>
  <c r="F50" i="42"/>
  <c r="F356" i="37"/>
  <c r="E202" i="37"/>
  <c r="E267" i="37" s="1"/>
  <c r="L398" i="38"/>
  <c r="D46" i="41"/>
  <c r="Q189" i="38"/>
  <c r="F16" i="37"/>
  <c r="AG132" i="38"/>
  <c r="AG150" i="38"/>
  <c r="AG208" i="38"/>
  <c r="AH34" i="38"/>
  <c r="AH211" i="38" s="1"/>
  <c r="AH9" i="38"/>
  <c r="W82" i="38"/>
  <c r="AA45" i="38"/>
  <c r="W308" i="38"/>
  <c r="W387" i="38" s="1"/>
  <c r="C163" i="37"/>
  <c r="C185" i="37" s="1"/>
  <c r="C142" i="37"/>
  <c r="AR185" i="38"/>
  <c r="AR113" i="38"/>
  <c r="AC960" i="38" s="1"/>
  <c r="O264" i="37"/>
  <c r="I339" i="37"/>
  <c r="AJ289" i="37"/>
  <c r="D3840" i="22"/>
  <c r="E3840" i="22" s="1"/>
  <c r="F3840" i="22" s="1"/>
  <c r="V135" i="15"/>
  <c r="G364" i="37"/>
  <c r="G103" i="37"/>
  <c r="M398" i="38"/>
  <c r="V9" i="38"/>
  <c r="S185" i="38"/>
  <c r="S82" i="38"/>
  <c r="S282" i="38"/>
  <c r="C4271" i="22"/>
  <c r="AK280" i="37"/>
  <c r="J333" i="37"/>
  <c r="J214" i="37"/>
  <c r="I239" i="37"/>
  <c r="I214" i="37"/>
  <c r="AQ208" i="38"/>
  <c r="AQ21" i="38"/>
  <c r="AQ32" i="38"/>
  <c r="AQ189" i="38"/>
  <c r="AQ98" i="38"/>
  <c r="AR49" i="38"/>
  <c r="CH353" i="38"/>
  <c r="V216" i="10"/>
  <c r="V219" i="10" s="1"/>
  <c r="J336" i="37"/>
  <c r="C4270" i="22"/>
  <c r="AK283" i="37"/>
  <c r="AR79" i="38"/>
  <c r="U216" i="10"/>
  <c r="J209" i="37"/>
  <c r="I209" i="37"/>
  <c r="I235" i="37"/>
  <c r="I250" i="37"/>
  <c r="J50" i="42"/>
  <c r="S951" i="38"/>
  <c r="AE146" i="38"/>
  <c r="AE147" i="38" s="1"/>
  <c r="P94" i="38"/>
  <c r="I87" i="37"/>
  <c r="AJ77" i="38" s="1"/>
  <c r="H349" i="37"/>
  <c r="AI273" i="37"/>
  <c r="H326" i="37"/>
  <c r="I373" i="37"/>
  <c r="X144" i="15"/>
  <c r="I482" i="37"/>
  <c r="L293" i="14" s="1"/>
  <c r="O369" i="38"/>
  <c r="O396" i="38"/>
  <c r="Q195" i="38"/>
  <c r="S169" i="38"/>
  <c r="S170" i="38"/>
  <c r="AE131" i="38"/>
  <c r="AE165" i="38" s="1"/>
  <c r="AE168" i="38" s="1"/>
  <c r="C257" i="37"/>
  <c r="C216" i="37"/>
  <c r="C241" i="37" s="1"/>
  <c r="J349" i="37"/>
  <c r="C4267" i="22"/>
  <c r="J326" i="37"/>
  <c r="AK273" i="37"/>
  <c r="H4" i="42"/>
  <c r="F11" i="42"/>
  <c r="U63" i="38"/>
  <c r="U395" i="38"/>
  <c r="E3477" i="22"/>
  <c r="E3498" i="22" s="1"/>
  <c r="H41" i="37"/>
  <c r="W139" i="15"/>
  <c r="H40" i="37"/>
  <c r="I216" i="37"/>
  <c r="I241" i="37"/>
  <c r="J216" i="37"/>
  <c r="H12" i="37"/>
  <c r="AA282" i="38"/>
  <c r="H172" i="37" s="1"/>
  <c r="H50" i="42"/>
  <c r="Q951" i="38"/>
  <c r="Z98" i="38"/>
  <c r="Z333" i="38"/>
  <c r="AG23" i="37"/>
  <c r="I88" i="37"/>
  <c r="AK279" i="37"/>
  <c r="J284" i="37"/>
  <c r="J332" i="37"/>
  <c r="C4265" i="22"/>
  <c r="W208" i="38"/>
  <c r="W189" i="38"/>
  <c r="W132" i="38"/>
  <c r="C14" i="42" s="1"/>
  <c r="AJ288" i="37"/>
  <c r="I362" i="37"/>
  <c r="D3839" i="22"/>
  <c r="E3839" i="22" s="1"/>
  <c r="F3839" i="22" s="1"/>
  <c r="F3508" i="22"/>
  <c r="I338" i="37"/>
  <c r="V153" i="15"/>
  <c r="AD185" i="38"/>
  <c r="AD282" i="38"/>
  <c r="D4670" i="22" s="1"/>
  <c r="M4670" i="22" s="1"/>
  <c r="AD82" i="38"/>
  <c r="AD98" i="38" s="1"/>
  <c r="F3836" i="22"/>
  <c r="I291" i="37"/>
  <c r="J395" i="38"/>
  <c r="AD131" i="38"/>
  <c r="G238" i="37"/>
  <c r="G219" i="37"/>
  <c r="C5051" i="22"/>
  <c r="P275" i="19"/>
  <c r="P311" i="19"/>
  <c r="D1382" i="22"/>
  <c r="H1382" i="22" s="1"/>
  <c r="D1402" i="22"/>
  <c r="G3596" i="22"/>
  <c r="J3081" i="22"/>
  <c r="L3077" i="22"/>
  <c r="L3076" i="22" s="1"/>
  <c r="Q3085" i="22" s="1"/>
  <c r="Q3086" i="22" s="1"/>
  <c r="P124" i="22"/>
  <c r="P3085" i="22"/>
  <c r="P3086" i="22" s="1"/>
  <c r="I3085" i="22"/>
  <c r="I3086" i="22" s="1"/>
  <c r="AJ729" i="22"/>
  <c r="BE729" i="22" s="1"/>
  <c r="G4580" i="22"/>
  <c r="H3040" i="22"/>
  <c r="G3066" i="22"/>
  <c r="H1757" i="22"/>
  <c r="W1715" i="22"/>
  <c r="AG1715" i="22"/>
  <c r="G1715" i="22"/>
  <c r="G1753" i="22"/>
  <c r="G1810" i="22"/>
  <c r="P1100" i="22"/>
  <c r="O994" i="22"/>
  <c r="H2573" i="22"/>
  <c r="G2580" i="22"/>
  <c r="N14" i="31"/>
  <c r="C123" i="31"/>
  <c r="C135" i="31"/>
  <c r="K1010" i="22"/>
  <c r="K1003" i="22"/>
  <c r="K1006" i="22" s="1"/>
  <c r="L105" i="22"/>
  <c r="H414" i="22" s="1"/>
  <c r="L100" i="22"/>
  <c r="L103" i="22"/>
  <c r="H412" i="22" s="1"/>
  <c r="L106" i="22"/>
  <c r="L126" i="22" s="1"/>
  <c r="I1091" i="22"/>
  <c r="M1093" i="22"/>
  <c r="I92" i="22"/>
  <c r="E419" i="22" s="1"/>
  <c r="P1111" i="22"/>
  <c r="P1112" i="22" s="1"/>
  <c r="P1113" i="22" s="1"/>
  <c r="M106" i="22"/>
  <c r="M126" i="22" s="1"/>
  <c r="K124" i="22"/>
  <c r="D1092" i="22"/>
  <c r="D1093" i="22" s="1"/>
  <c r="H1093" i="22"/>
  <c r="L1110" i="22" s="1"/>
  <c r="D1115" i="22" s="1"/>
  <c r="M125" i="22"/>
  <c r="K1810" i="22"/>
  <c r="Z1711" i="22"/>
  <c r="F1788" i="22" s="1"/>
  <c r="V1711" i="22"/>
  <c r="G3779" i="22"/>
  <c r="G3788" i="22"/>
  <c r="H3785" i="22"/>
  <c r="F2698" i="22"/>
  <c r="AF1711" i="22"/>
  <c r="Q188" i="14"/>
  <c r="P190" i="14"/>
  <c r="J4197" i="22"/>
  <c r="S1100" i="22"/>
  <c r="Y4197" i="22"/>
  <c r="T1712" i="22"/>
  <c r="AD1712" i="22"/>
  <c r="I1754" i="22"/>
  <c r="X1712" i="22"/>
  <c r="AH1712" i="22"/>
  <c r="L1010" i="22"/>
  <c r="L1003" i="22"/>
  <c r="L1006" i="22" s="1"/>
  <c r="O54" i="31"/>
  <c r="X1711" i="22"/>
  <c r="D1788" i="22" s="1"/>
  <c r="T1711" i="22"/>
  <c r="I1753" i="22"/>
  <c r="AD1711" i="22"/>
  <c r="AH1711" i="22"/>
  <c r="O13" i="31"/>
  <c r="E17" i="31"/>
  <c r="D1939" i="22" s="1"/>
  <c r="E72" i="31"/>
  <c r="N1365" i="22"/>
  <c r="J392" i="22"/>
  <c r="I406" i="22" s="1"/>
  <c r="H406" i="22"/>
  <c r="N1093" i="22"/>
  <c r="R1100" i="22" s="1"/>
  <c r="J1092" i="22"/>
  <c r="E117" i="31"/>
  <c r="G14" i="31"/>
  <c r="E129" i="31"/>
  <c r="P12" i="31"/>
  <c r="H1802" i="22"/>
  <c r="S1774" i="22"/>
  <c r="H1812" i="22"/>
  <c r="AC1774" i="22"/>
  <c r="V1100" i="22"/>
  <c r="O1815" i="22"/>
  <c r="Q2657" i="22"/>
  <c r="Q2658" i="22" s="1"/>
  <c r="P2658" i="22"/>
  <c r="E949" i="22"/>
  <c r="O943" i="22"/>
  <c r="R118" i="15"/>
  <c r="I90" i="22"/>
  <c r="I91" i="22"/>
  <c r="E418" i="22" s="1"/>
  <c r="G3557" i="22"/>
  <c r="G3574" i="22" s="1"/>
  <c r="G3555" i="22"/>
  <c r="D1384" i="22"/>
  <c r="H1384" i="22" s="1"/>
  <c r="D1403" i="22"/>
  <c r="BO15" i="22"/>
  <c r="F13" i="13"/>
  <c r="T8" i="15"/>
  <c r="I115" i="15"/>
  <c r="S30" i="15"/>
  <c r="F2118" i="22"/>
  <c r="F2120" i="22" s="1"/>
  <c r="E2523" i="22"/>
  <c r="G2351" i="22"/>
  <c r="BT31" i="2"/>
  <c r="BD538" i="2" s="1"/>
  <c r="F16" i="13"/>
  <c r="U25" i="15" s="1"/>
  <c r="AA13" i="15"/>
  <c r="L59" i="13"/>
  <c r="H1808" i="22" l="1"/>
  <c r="H1818" i="22"/>
  <c r="H1820" i="22"/>
  <c r="Q162" i="1"/>
  <c r="Q171" i="1" s="1"/>
  <c r="Q173" i="1" s="1"/>
  <c r="D77" i="13"/>
  <c r="S137" i="37"/>
  <c r="S138" i="37" s="1"/>
  <c r="D2522" i="22"/>
  <c r="D2533" i="22" s="1"/>
  <c r="D2535" i="22" s="1"/>
  <c r="W656" i="1"/>
  <c r="BC424" i="19"/>
  <c r="H425" i="19"/>
  <c r="H436" i="19" s="1"/>
  <c r="G425" i="19"/>
  <c r="BB425" i="19" s="1"/>
  <c r="K452" i="19" s="1"/>
  <c r="F424" i="19"/>
  <c r="BA424" i="19" s="1"/>
  <c r="X628" i="1"/>
  <c r="X619" i="1" s="1"/>
  <c r="K301" i="1"/>
  <c r="K419" i="1"/>
  <c r="K305" i="1"/>
  <c r="K7" i="1"/>
  <c r="K309" i="1"/>
  <c r="K317" i="1"/>
  <c r="K16" i="1"/>
  <c r="K313" i="1"/>
  <c r="K340" i="1"/>
  <c r="I301" i="1"/>
  <c r="I16" i="1"/>
  <c r="I305" i="1"/>
  <c r="I313" i="1"/>
  <c r="I309" i="1"/>
  <c r="I419" i="1"/>
  <c r="I7" i="1"/>
  <c r="I317" i="1"/>
  <c r="I340" i="1"/>
  <c r="G115" i="4"/>
  <c r="J5" i="1"/>
  <c r="R69" i="1"/>
  <c r="R71" i="1" s="1"/>
  <c r="S30" i="1"/>
  <c r="S42" i="1" s="1"/>
  <c r="S47" i="1" s="1"/>
  <c r="S60" i="1"/>
  <c r="S66" i="1" s="1"/>
  <c r="S69" i="1" s="1"/>
  <c r="S151" i="1"/>
  <c r="S16" i="1"/>
  <c r="R47" i="1"/>
  <c r="R361" i="1" s="1"/>
  <c r="Q56" i="1"/>
  <c r="Q48" i="1"/>
  <c r="Q79" i="1"/>
  <c r="Q88" i="1" s="1"/>
  <c r="Q92" i="1" s="1"/>
  <c r="Q111" i="1" s="1"/>
  <c r="Q426" i="1" s="1"/>
  <c r="Q361" i="1"/>
  <c r="U7" i="1"/>
  <c r="U309" i="1"/>
  <c r="V309" i="1" s="1"/>
  <c r="U305" i="1"/>
  <c r="U301" i="1"/>
  <c r="U419" i="1"/>
  <c r="U313" i="1"/>
  <c r="U317" i="1"/>
  <c r="U340" i="1"/>
  <c r="Y142" i="15"/>
  <c r="W10" i="1"/>
  <c r="W22" i="15"/>
  <c r="W88" i="15" s="1"/>
  <c r="U202" i="1"/>
  <c r="U97" i="1" s="1"/>
  <c r="U104" i="1" s="1"/>
  <c r="V142" i="15"/>
  <c r="Q390" i="1"/>
  <c r="Q71" i="1"/>
  <c r="R163" i="1"/>
  <c r="R178" i="1" s="1"/>
  <c r="R186" i="1"/>
  <c r="R171" i="1"/>
  <c r="R173" i="1" s="1"/>
  <c r="R155" i="37"/>
  <c r="C251" i="37"/>
  <c r="C249" i="37"/>
  <c r="C208" i="37"/>
  <c r="C234" i="37" s="1"/>
  <c r="N113" i="15"/>
  <c r="O47" i="4"/>
  <c r="O60" i="4" s="1"/>
  <c r="F2517" i="22"/>
  <c r="L103" i="36"/>
  <c r="D1279" i="22"/>
  <c r="F448" i="22"/>
  <c r="P94" i="10"/>
  <c r="AU730" i="22" s="1"/>
  <c r="AV730" i="22" s="1"/>
  <c r="BH730" i="22" s="1"/>
  <c r="I81" i="4"/>
  <c r="AL371" i="2" s="1"/>
  <c r="AL386" i="2" s="1"/>
  <c r="AF88" i="10"/>
  <c r="AI45" i="19"/>
  <c r="AI46" i="19" s="1"/>
  <c r="I174" i="27"/>
  <c r="BA311" i="2"/>
  <c r="T7" i="15"/>
  <c r="T25" i="15"/>
  <c r="AV311" i="2"/>
  <c r="H174" i="27"/>
  <c r="K164" i="43"/>
  <c r="K8" i="43"/>
  <c r="K5" i="43" s="1"/>
  <c r="K17" i="43" s="1"/>
  <c r="AB152" i="38"/>
  <c r="S957" i="38" s="1"/>
  <c r="AA82" i="38"/>
  <c r="AA98" i="38" s="1"/>
  <c r="AT6" i="38"/>
  <c r="K11" i="37" s="1"/>
  <c r="G85" i="40" s="1"/>
  <c r="G89" i="40" s="1"/>
  <c r="AS279" i="38"/>
  <c r="AT279" i="38" s="1"/>
  <c r="K40" i="43"/>
  <c r="K55" i="43"/>
  <c r="C184" i="27"/>
  <c r="F204" i="33"/>
  <c r="J153" i="36"/>
  <c r="E238" i="36" s="1"/>
  <c r="AO261" i="2"/>
  <c r="J41" i="43"/>
  <c r="J45" i="43" s="1"/>
  <c r="J50" i="43" s="1"/>
  <c r="J52" i="43" s="1"/>
  <c r="F99" i="19"/>
  <c r="J93" i="43"/>
  <c r="J165" i="43" s="1"/>
  <c r="AL348" i="38"/>
  <c r="BR368" i="38" s="1"/>
  <c r="AN4" i="37"/>
  <c r="X98" i="38"/>
  <c r="H442" i="19"/>
  <c r="H443" i="19" s="1"/>
  <c r="H449" i="19" s="1"/>
  <c r="J335" i="25"/>
  <c r="K210" i="19"/>
  <c r="J443" i="19"/>
  <c r="J449" i="19" s="1"/>
  <c r="I444" i="19"/>
  <c r="I449" i="19"/>
  <c r="C162" i="36"/>
  <c r="F206" i="36"/>
  <c r="AN11" i="37"/>
  <c r="BD351" i="38"/>
  <c r="AN12" i="37"/>
  <c r="H136" i="27"/>
  <c r="N1366" i="22"/>
  <c r="AN357" i="38"/>
  <c r="F117" i="45" s="1"/>
  <c r="AX357" i="38"/>
  <c r="N117" i="45" s="1"/>
  <c r="AB210" i="38"/>
  <c r="AO267" i="2"/>
  <c r="AO273" i="2" s="1"/>
  <c r="AO269" i="2"/>
  <c r="CJ270" i="2" s="1"/>
  <c r="AN5" i="37"/>
  <c r="AN6" i="37"/>
  <c r="E64" i="38"/>
  <c r="E320" i="38" s="1"/>
  <c r="J369" i="38" s="1"/>
  <c r="AN16" i="37"/>
  <c r="AN7" i="37"/>
  <c r="AN21" i="37"/>
  <c r="AN20" i="37"/>
  <c r="E301" i="25"/>
  <c r="E304" i="25" s="1"/>
  <c r="G2635" i="22"/>
  <c r="AN19" i="37"/>
  <c r="L59" i="19"/>
  <c r="L107" i="36" s="1"/>
  <c r="K152" i="36"/>
  <c r="F237" i="36" s="1"/>
  <c r="I448" i="19"/>
  <c r="BD443" i="19"/>
  <c r="M453" i="19" s="1"/>
  <c r="H10" i="25"/>
  <c r="BD442" i="19"/>
  <c r="K157" i="36"/>
  <c r="R130" i="37"/>
  <c r="R148" i="37" s="1"/>
  <c r="R73" i="25"/>
  <c r="E2966" i="22"/>
  <c r="K28" i="10"/>
  <c r="T155" i="12"/>
  <c r="J436" i="19"/>
  <c r="H206" i="27"/>
  <c r="H207" i="27" s="1"/>
  <c r="O179" i="25"/>
  <c r="Q73" i="25"/>
  <c r="L146" i="27"/>
  <c r="L150" i="27" s="1"/>
  <c r="P107" i="10"/>
  <c r="P80" i="10" s="1"/>
  <c r="Q80" i="10" s="1"/>
  <c r="Q107" i="10" s="1"/>
  <c r="Q15" i="36" s="1"/>
  <c r="K53" i="19"/>
  <c r="K54" i="19" s="1"/>
  <c r="P126" i="10"/>
  <c r="P138" i="10" s="1"/>
  <c r="P120" i="10"/>
  <c r="J435" i="19"/>
  <c r="G2634" i="22"/>
  <c r="G2629" i="22"/>
  <c r="G2633" i="22"/>
  <c r="K112" i="15"/>
  <c r="AP16" i="37"/>
  <c r="AP21" i="37"/>
  <c r="K168" i="36"/>
  <c r="V458" i="15"/>
  <c r="L222" i="27"/>
  <c r="K222" i="27"/>
  <c r="K238" i="27"/>
  <c r="F38" i="4"/>
  <c r="R40" i="12"/>
  <c r="R51" i="12" s="1"/>
  <c r="R61" i="12" s="1"/>
  <c r="C41" i="43"/>
  <c r="F65" i="36"/>
  <c r="V65" i="36" s="1"/>
  <c r="G186" i="36" s="1"/>
  <c r="V9" i="36"/>
  <c r="F67" i="4"/>
  <c r="N412" i="22"/>
  <c r="O412" i="22" s="1"/>
  <c r="P412" i="22" s="1"/>
  <c r="V34" i="19"/>
  <c r="V53" i="19" s="1"/>
  <c r="V54" i="19" s="1"/>
  <c r="C44" i="43"/>
  <c r="O3036" i="22"/>
  <c r="O3039" i="22" s="1"/>
  <c r="F66" i="4"/>
  <c r="C43" i="43"/>
  <c r="L44" i="19"/>
  <c r="BP222" i="2" s="1"/>
  <c r="H61" i="25"/>
  <c r="I103" i="25" s="1"/>
  <c r="P351" i="3"/>
  <c r="J127" i="11"/>
  <c r="J128" i="11" s="1"/>
  <c r="K31" i="19"/>
  <c r="K32" i="19" s="1"/>
  <c r="N347" i="3"/>
  <c r="N346" i="3" s="1"/>
  <c r="R346" i="3" s="1"/>
  <c r="R347" i="3" s="1"/>
  <c r="R351" i="3" s="1"/>
  <c r="I91" i="4"/>
  <c r="AL374" i="2"/>
  <c r="AL375" i="2" s="1"/>
  <c r="V504" i="15"/>
  <c r="R42" i="12"/>
  <c r="R53" i="12" s="1"/>
  <c r="R63" i="12" s="1"/>
  <c r="P148" i="37"/>
  <c r="F304" i="25"/>
  <c r="E94" i="13"/>
  <c r="E2977" i="22" s="1"/>
  <c r="L114" i="4"/>
  <c r="D3023" i="22"/>
  <c r="J852" i="22"/>
  <c r="J856" i="22" s="1"/>
  <c r="O365" i="38"/>
  <c r="F2515" i="22"/>
  <c r="H118" i="31"/>
  <c r="I27" i="31"/>
  <c r="H130" i="31"/>
  <c r="N413" i="22"/>
  <c r="O413" i="22" s="1"/>
  <c r="P413" i="22" s="1"/>
  <c r="K114" i="4"/>
  <c r="I101" i="25"/>
  <c r="AD1774" i="22"/>
  <c r="G10" i="25"/>
  <c r="W149" i="12"/>
  <c r="BC63" i="2"/>
  <c r="BC64" i="2" s="1"/>
  <c r="K58" i="4"/>
  <c r="L109" i="27"/>
  <c r="L125" i="27" s="1"/>
  <c r="L140" i="27" s="1"/>
  <c r="E79" i="31"/>
  <c r="E67" i="31" s="1"/>
  <c r="E68" i="31" s="1"/>
  <c r="O90" i="11"/>
  <c r="O94" i="11" s="1"/>
  <c r="F234" i="36"/>
  <c r="I124" i="4"/>
  <c r="M148" i="10"/>
  <c r="H435" i="19"/>
  <c r="I103" i="4"/>
  <c r="T1774" i="22"/>
  <c r="AP9" i="2"/>
  <c r="H7" i="25"/>
  <c r="AP18" i="2"/>
  <c r="S115" i="36"/>
  <c r="AP11" i="37"/>
  <c r="J78" i="43"/>
  <c r="AV217" i="2"/>
  <c r="AV219" i="2" s="1"/>
  <c r="AV242" i="2" s="1"/>
  <c r="AP20" i="37"/>
  <c r="AP12" i="37"/>
  <c r="H172" i="43"/>
  <c r="H173" i="43" s="1"/>
  <c r="R78" i="10"/>
  <c r="R88" i="10" s="1"/>
  <c r="R94" i="10" s="1"/>
  <c r="AP23" i="37"/>
  <c r="AQ144" i="2"/>
  <c r="Q106" i="10"/>
  <c r="Q8" i="36" s="1"/>
  <c r="P8" i="36" s="1"/>
  <c r="P64" i="36" s="1"/>
  <c r="Z64" i="36" s="1"/>
  <c r="K185" i="36" s="1"/>
  <c r="E25" i="37"/>
  <c r="AQ486" i="2"/>
  <c r="AQ489" i="2" s="1"/>
  <c r="AQ471" i="2" s="1"/>
  <c r="AS448" i="19"/>
  <c r="AP7" i="37"/>
  <c r="L60" i="38"/>
  <c r="L316" i="38" s="1"/>
  <c r="AP19" i="37"/>
  <c r="AP6" i="37"/>
  <c r="I214" i="25"/>
  <c r="I78" i="43"/>
  <c r="Z93" i="38"/>
  <c r="L29" i="35"/>
  <c r="N123" i="36"/>
  <c r="CG292" i="2"/>
  <c r="N155" i="36"/>
  <c r="H232" i="36" s="1"/>
  <c r="J399" i="38"/>
  <c r="J401" i="38" s="1"/>
  <c r="G24" i="4"/>
  <c r="G25" i="4" s="1"/>
  <c r="H215" i="36"/>
  <c r="I165" i="43"/>
  <c r="I167" i="43" s="1"/>
  <c r="B127" i="12"/>
  <c r="B136" i="12" s="1"/>
  <c r="B161" i="12" s="1"/>
  <c r="C174" i="36"/>
  <c r="N126" i="36"/>
  <c r="J67" i="38"/>
  <c r="AV479" i="2"/>
  <c r="AS444" i="19"/>
  <c r="AS449" i="19"/>
  <c r="BS443" i="19"/>
  <c r="AS453" i="19" s="1"/>
  <c r="N64" i="11"/>
  <c r="N125" i="11" s="1"/>
  <c r="L123" i="10"/>
  <c r="O64" i="11"/>
  <c r="O125" i="11" s="1"/>
  <c r="L104" i="4"/>
  <c r="AL284" i="2"/>
  <c r="J119" i="36"/>
  <c r="J132" i="36" s="1"/>
  <c r="N85" i="35"/>
  <c r="N91" i="35"/>
  <c r="H145" i="43"/>
  <c r="H146" i="43" s="1"/>
  <c r="H2" i="12"/>
  <c r="G89" i="12"/>
  <c r="F98" i="12"/>
  <c r="F117" i="12"/>
  <c r="G229" i="27"/>
  <c r="G230" i="27"/>
  <c r="F31" i="19"/>
  <c r="N306" i="15" s="1"/>
  <c r="M28" i="11"/>
  <c r="BO87" i="2"/>
  <c r="H17" i="25"/>
  <c r="H23" i="25" s="1"/>
  <c r="K82" i="12"/>
  <c r="J151" i="36"/>
  <c r="E236" i="36" s="1"/>
  <c r="F40" i="19"/>
  <c r="I112" i="15"/>
  <c r="I117" i="15" s="1"/>
  <c r="K76" i="36"/>
  <c r="J129" i="36"/>
  <c r="M295" i="38"/>
  <c r="I243" i="27"/>
  <c r="BN24" i="2"/>
  <c r="AF214" i="33" s="1"/>
  <c r="P116" i="10"/>
  <c r="L104" i="36" s="1"/>
  <c r="L115" i="36" s="1"/>
  <c r="AV144" i="2"/>
  <c r="O395" i="38"/>
  <c r="O399" i="38" s="1"/>
  <c r="O401" i="38" s="1"/>
  <c r="I17" i="43"/>
  <c r="I173" i="27"/>
  <c r="K105" i="12"/>
  <c r="AQ160" i="2" s="1"/>
  <c r="G163" i="27"/>
  <c r="E1338" i="22" s="1"/>
  <c r="AQ238" i="2"/>
  <c r="N28" i="11"/>
  <c r="BI24" i="2"/>
  <c r="CZ265" i="2" s="1"/>
  <c r="G116" i="4"/>
  <c r="D70" i="19"/>
  <c r="D77" i="19" s="1"/>
  <c r="Q562" i="22"/>
  <c r="AK560" i="22" s="1"/>
  <c r="G91" i="4"/>
  <c r="Q102" i="12"/>
  <c r="Q93" i="12" s="1"/>
  <c r="Q6" i="36" s="1"/>
  <c r="P6" i="36" s="1"/>
  <c r="G46" i="4"/>
  <c r="G101" i="4" s="1"/>
  <c r="P111" i="12"/>
  <c r="F200" i="33" s="1"/>
  <c r="L302" i="15"/>
  <c r="L303" i="15" s="1"/>
  <c r="L304" i="15" s="1"/>
  <c r="O368" i="38"/>
  <c r="T395" i="38"/>
  <c r="G223" i="27"/>
  <c r="L88" i="4"/>
  <c r="AN269" i="2"/>
  <c r="CI270" i="2" s="1"/>
  <c r="AJ261" i="2"/>
  <c r="G225" i="27"/>
  <c r="BA217" i="2"/>
  <c r="BA219" i="2" s="1"/>
  <c r="BA242" i="2" s="1"/>
  <c r="AJ289" i="2"/>
  <c r="CN289" i="2" s="1"/>
  <c r="F79" i="31"/>
  <c r="F76" i="31" s="1"/>
  <c r="E135" i="31" s="1"/>
  <c r="H101" i="25"/>
  <c r="AU443" i="19"/>
  <c r="AU449" i="19" s="1"/>
  <c r="W333" i="2"/>
  <c r="G224" i="27"/>
  <c r="G228" i="27"/>
  <c r="G61" i="25"/>
  <c r="G103" i="25" s="1"/>
  <c r="V12" i="36"/>
  <c r="F68" i="36"/>
  <c r="V68" i="36" s="1"/>
  <c r="G190" i="36" s="1"/>
  <c r="G227" i="27"/>
  <c r="L93" i="22"/>
  <c r="E2575" i="22"/>
  <c r="E2578" i="22" s="1"/>
  <c r="E2590" i="22" s="1"/>
  <c r="I14" i="43"/>
  <c r="I56" i="43"/>
  <c r="I57" i="43" s="1"/>
  <c r="Y64" i="2"/>
  <c r="F59" i="36"/>
  <c r="K59" i="36" s="1"/>
  <c r="K3" i="36" s="1"/>
  <c r="N69" i="4"/>
  <c r="N70" i="4" s="1"/>
  <c r="F25" i="38"/>
  <c r="BN26" i="2"/>
  <c r="BN71" i="2" s="1"/>
  <c r="BN80" i="2" s="1"/>
  <c r="D65" i="19"/>
  <c r="D97" i="19" s="1"/>
  <c r="D99" i="19" s="1"/>
  <c r="L122" i="10"/>
  <c r="H3056" i="22"/>
  <c r="F2348" i="22"/>
  <c r="F2350" i="22" s="1"/>
  <c r="J2350" i="22" s="1"/>
  <c r="L135" i="10"/>
  <c r="L80" i="10"/>
  <c r="BA310" i="2"/>
  <c r="L110" i="10"/>
  <c r="V1774" i="22"/>
  <c r="F556" i="19"/>
  <c r="I1277" i="22"/>
  <c r="G1802" i="22"/>
  <c r="J14" i="43"/>
  <c r="B108" i="12"/>
  <c r="B1580" i="22" s="1"/>
  <c r="J17" i="43"/>
  <c r="N13" i="35"/>
  <c r="B145" i="12"/>
  <c r="O22" i="19"/>
  <c r="W207" i="33"/>
  <c r="W208" i="33"/>
  <c r="I132" i="36"/>
  <c r="T326" i="22"/>
  <c r="K334" i="22"/>
  <c r="BI28" i="2"/>
  <c r="BI29" i="2" s="1"/>
  <c r="BI26" i="2"/>
  <c r="F241" i="27"/>
  <c r="N19" i="35"/>
  <c r="Z329" i="2"/>
  <c r="H70" i="19"/>
  <c r="H90" i="19" s="1"/>
  <c r="AE364" i="2"/>
  <c r="H65" i="19"/>
  <c r="H97" i="19" s="1"/>
  <c r="H99" i="19" s="1"/>
  <c r="J112" i="15"/>
  <c r="J117" i="15" s="1"/>
  <c r="Z364" i="2"/>
  <c r="AB227" i="2"/>
  <c r="AB242" i="2" s="1"/>
  <c r="AB289" i="2" s="1"/>
  <c r="H82" i="19"/>
  <c r="X289" i="2"/>
  <c r="BZ289" i="2" s="1"/>
  <c r="I149" i="43"/>
  <c r="CB304" i="2"/>
  <c r="P302" i="15"/>
  <c r="P303" i="15" s="1"/>
  <c r="P304" i="15" s="1"/>
  <c r="M25" i="25"/>
  <c r="BP228" i="2"/>
  <c r="BI71" i="2"/>
  <c r="BI80" i="2" s="1"/>
  <c r="AM183" i="19"/>
  <c r="L182" i="19"/>
  <c r="L236" i="19" s="1"/>
  <c r="L253" i="19"/>
  <c r="L257" i="19" s="1"/>
  <c r="I121" i="36"/>
  <c r="I123" i="36" s="1"/>
  <c r="D57" i="19"/>
  <c r="D213" i="36"/>
  <c r="Q62" i="38"/>
  <c r="F69" i="37" s="1"/>
  <c r="F107" i="37" s="1"/>
  <c r="I37" i="31"/>
  <c r="I101" i="35"/>
  <c r="U26" i="38"/>
  <c r="U293" i="38" s="1"/>
  <c r="Q28" i="38"/>
  <c r="Q295" i="38" s="1"/>
  <c r="F178" i="37" s="1"/>
  <c r="F59" i="41"/>
  <c r="W213" i="33"/>
  <c r="W202" i="33"/>
  <c r="AJ291" i="2"/>
  <c r="W210" i="33"/>
  <c r="G37" i="4"/>
  <c r="G95" i="4" s="1"/>
  <c r="CJ242" i="2"/>
  <c r="CF247" i="2" s="1"/>
  <c r="CF249" i="2" s="1"/>
  <c r="D1066" i="22" s="1"/>
  <c r="W204" i="33"/>
  <c r="CN242" i="2"/>
  <c r="CJ247" i="2" s="1"/>
  <c r="CJ248" i="2" s="1"/>
  <c r="CJ251" i="2" s="1"/>
  <c r="AJ292" i="2"/>
  <c r="K46" i="4"/>
  <c r="AV303" i="2" s="1"/>
  <c r="W206" i="33"/>
  <c r="W197" i="33"/>
  <c r="AJ390" i="2"/>
  <c r="BC425" i="19"/>
  <c r="L452" i="19" s="1"/>
  <c r="W211" i="33"/>
  <c r="W209" i="33"/>
  <c r="AN267" i="2"/>
  <c r="AN273" i="2" s="1"/>
  <c r="AP274" i="2"/>
  <c r="G89" i="4"/>
  <c r="T1715" i="22"/>
  <c r="U1747" i="22" s="1"/>
  <c r="W205" i="33"/>
  <c r="W199" i="33"/>
  <c r="AN268" i="2"/>
  <c r="AJ3" i="2"/>
  <c r="AJ24" i="2" s="1"/>
  <c r="W200" i="33"/>
  <c r="W203" i="33"/>
  <c r="D1398" i="22"/>
  <c r="X87" i="22"/>
  <c r="E1757" i="22"/>
  <c r="J91" i="22"/>
  <c r="F418" i="22" s="1"/>
  <c r="E1812" i="22"/>
  <c r="E1817" i="22" s="1"/>
  <c r="J90" i="22"/>
  <c r="F417" i="22" s="1"/>
  <c r="E1820" i="22"/>
  <c r="E1808" i="22"/>
  <c r="M51" i="22"/>
  <c r="N1361" i="22"/>
  <c r="AC12" i="35"/>
  <c r="I47" i="31"/>
  <c r="H1960" i="22" s="1"/>
  <c r="D1258" i="22"/>
  <c r="D1261" i="22" s="1"/>
  <c r="AO12" i="37"/>
  <c r="J176" i="10"/>
  <c r="J178" i="10" s="1"/>
  <c r="J179" i="10" s="1"/>
  <c r="L235" i="22"/>
  <c r="AO23" i="37"/>
  <c r="E75" i="43"/>
  <c r="I64" i="11"/>
  <c r="I125" i="11" s="1"/>
  <c r="P93" i="22"/>
  <c r="F29" i="41"/>
  <c r="F60" i="41" s="1"/>
  <c r="R105" i="10"/>
  <c r="R208" i="10" s="1"/>
  <c r="J62" i="10"/>
  <c r="J155" i="10"/>
  <c r="J144" i="10"/>
  <c r="J64" i="10"/>
  <c r="AL283" i="2" s="1"/>
  <c r="F70" i="4"/>
  <c r="J158" i="10"/>
  <c r="J161" i="10" s="1"/>
  <c r="J164" i="10" s="1"/>
  <c r="J170" i="10" s="1"/>
  <c r="J174" i="10" s="1"/>
  <c r="L233" i="22"/>
  <c r="K64" i="11"/>
  <c r="K125" i="11" s="1"/>
  <c r="N173" i="12"/>
  <c r="L234" i="22"/>
  <c r="M98" i="35"/>
  <c r="F98" i="41"/>
  <c r="AM289" i="2"/>
  <c r="H401" i="22"/>
  <c r="I29" i="4"/>
  <c r="J146" i="10"/>
  <c r="J147" i="10" s="1"/>
  <c r="J148" i="10" s="1"/>
  <c r="F51" i="41"/>
  <c r="F61" i="41" s="1"/>
  <c r="J126" i="4"/>
  <c r="L232" i="22"/>
  <c r="G400" i="22"/>
  <c r="F407" i="22" s="1"/>
  <c r="F409" i="22" s="1"/>
  <c r="J24" i="4"/>
  <c r="J25" i="4" s="1"/>
  <c r="G401" i="22"/>
  <c r="H201" i="36"/>
  <c r="T115" i="36"/>
  <c r="N295" i="38"/>
  <c r="N65" i="38"/>
  <c r="D168" i="27"/>
  <c r="D200" i="27" s="1"/>
  <c r="D50" i="19"/>
  <c r="D39" i="19"/>
  <c r="I53" i="4"/>
  <c r="I109" i="4" s="1"/>
  <c r="BA144" i="2"/>
  <c r="L37" i="4"/>
  <c r="D2271" i="22" s="1"/>
  <c r="U2271" i="22" s="1"/>
  <c r="AO7" i="37"/>
  <c r="AO20" i="37"/>
  <c r="BN87" i="2"/>
  <c r="AO11" i="37"/>
  <c r="AO6" i="37"/>
  <c r="N442" i="19"/>
  <c r="N443" i="19" s="1"/>
  <c r="AO5" i="37"/>
  <c r="AO19" i="37"/>
  <c r="AO16" i="37"/>
  <c r="AQ479" i="2"/>
  <c r="AM261" i="2"/>
  <c r="E1819" i="22"/>
  <c r="Q53" i="15"/>
  <c r="G126" i="4"/>
  <c r="BF442" i="19"/>
  <c r="M24" i="4"/>
  <c r="M25" i="4" s="1"/>
  <c r="F24" i="4"/>
  <c r="F25" i="4" s="1"/>
  <c r="J27" i="35"/>
  <c r="J29" i="35" s="1"/>
  <c r="J13" i="35"/>
  <c r="H3" i="4"/>
  <c r="I26" i="5"/>
  <c r="AM291" i="2"/>
  <c r="F126" i="4"/>
  <c r="J29" i="5"/>
  <c r="K5" i="5"/>
  <c r="J10" i="5"/>
  <c r="N94" i="11"/>
  <c r="AM292" i="2"/>
  <c r="AM333" i="2"/>
  <c r="CH252" i="2" s="1"/>
  <c r="K62" i="10"/>
  <c r="E2109" i="22"/>
  <c r="E2107" i="22" s="1"/>
  <c r="AA53" i="4"/>
  <c r="H232" i="27"/>
  <c r="H235" i="27" s="1"/>
  <c r="F172" i="27"/>
  <c r="F180" i="27" s="1"/>
  <c r="L443" i="19"/>
  <c r="L449" i="19" s="1"/>
  <c r="BG442" i="19"/>
  <c r="F2109" i="22"/>
  <c r="F2107" i="22" s="1"/>
  <c r="H348" i="22"/>
  <c r="L348" i="22"/>
  <c r="L344" i="22"/>
  <c r="L330" i="22" s="1"/>
  <c r="U324" i="22"/>
  <c r="L326" i="22"/>
  <c r="P135" i="10"/>
  <c r="P123" i="10"/>
  <c r="L435" i="19"/>
  <c r="BG425" i="19"/>
  <c r="AG452" i="19" s="1"/>
  <c r="L436" i="19"/>
  <c r="J6" i="43"/>
  <c r="L220" i="37" s="1"/>
  <c r="G43" i="4"/>
  <c r="G56" i="4" s="1"/>
  <c r="G74" i="4" s="1"/>
  <c r="G86" i="4" s="1"/>
  <c r="G120" i="4"/>
  <c r="P562" i="22"/>
  <c r="Y364" i="2"/>
  <c r="CA304" i="2"/>
  <c r="CE304" i="2"/>
  <c r="AD364" i="2"/>
  <c r="Y329" i="2"/>
  <c r="BE424" i="19"/>
  <c r="BI424" i="19"/>
  <c r="N425" i="19"/>
  <c r="J331" i="22"/>
  <c r="J332" i="22" s="1"/>
  <c r="J334" i="22" s="1"/>
  <c r="R345" i="22"/>
  <c r="G107" i="27"/>
  <c r="G123" i="27" s="1"/>
  <c r="G138" i="27" s="1"/>
  <c r="E1333" i="22"/>
  <c r="H112" i="4"/>
  <c r="I27" i="4"/>
  <c r="CC284" i="2"/>
  <c r="M53" i="22"/>
  <c r="M54" i="22" s="1"/>
  <c r="CG284" i="2"/>
  <c r="G255" i="12"/>
  <c r="G251" i="12"/>
  <c r="G269" i="12"/>
  <c r="G257" i="12" s="1"/>
  <c r="H246" i="12"/>
  <c r="AV233" i="2"/>
  <c r="H158" i="27"/>
  <c r="L100" i="12"/>
  <c r="K92" i="22"/>
  <c r="G419" i="22" s="1"/>
  <c r="K90" i="22"/>
  <c r="K91" i="22"/>
  <c r="G418" i="22" s="1"/>
  <c r="L345" i="22"/>
  <c r="L331" i="22" s="1"/>
  <c r="U325" i="22"/>
  <c r="B129" i="12"/>
  <c r="B138" i="12" s="1"/>
  <c r="B163" i="12" s="1"/>
  <c r="B110" i="12"/>
  <c r="B1582" i="22" s="1"/>
  <c r="B1300" i="22"/>
  <c r="B147" i="12"/>
  <c r="M87" i="22"/>
  <c r="W86" i="22"/>
  <c r="F272" i="12"/>
  <c r="F258" i="12"/>
  <c r="F261" i="12" s="1"/>
  <c r="F264" i="12" s="1"/>
  <c r="F266" i="12" s="1"/>
  <c r="F267" i="12" s="1"/>
  <c r="I29" i="35"/>
  <c r="I53" i="35"/>
  <c r="H117" i="11"/>
  <c r="CR364" i="38"/>
  <c r="I8" i="41"/>
  <c r="H7" i="41"/>
  <c r="H10" i="41" s="1"/>
  <c r="H13" i="41" s="1"/>
  <c r="H16" i="41" s="1"/>
  <c r="H19" i="41" s="1"/>
  <c r="F69" i="36"/>
  <c r="V69" i="36" s="1"/>
  <c r="G191" i="36" s="1"/>
  <c r="V13" i="36"/>
  <c r="D1290" i="22"/>
  <c r="D1287" i="22"/>
  <c r="D1274" i="22"/>
  <c r="AL226" i="2"/>
  <c r="AL227" i="2" s="1"/>
  <c r="I116" i="4"/>
  <c r="P198" i="33"/>
  <c r="AF199" i="33"/>
  <c r="Q199" i="33"/>
  <c r="AE199" i="33" s="1"/>
  <c r="F419" i="19"/>
  <c r="F417" i="19"/>
  <c r="G415" i="19"/>
  <c r="F418" i="19"/>
  <c r="F415" i="19"/>
  <c r="AM390" i="2"/>
  <c r="M123" i="10"/>
  <c r="CP242" i="2"/>
  <c r="CL247" i="2" s="1"/>
  <c r="CL248" i="2" s="1"/>
  <c r="CL251" i="2" s="1"/>
  <c r="M107" i="10"/>
  <c r="M110" i="10" s="1"/>
  <c r="M111" i="10" s="1"/>
  <c r="F217" i="27" s="1"/>
  <c r="I435" i="37"/>
  <c r="G149" i="43"/>
  <c r="Q83" i="15"/>
  <c r="Q84" i="15" s="1"/>
  <c r="F171" i="27"/>
  <c r="F179" i="27" s="1"/>
  <c r="AL300" i="2"/>
  <c r="AL302" i="2" s="1"/>
  <c r="I100" i="4"/>
  <c r="K176" i="27"/>
  <c r="N63" i="35"/>
  <c r="J88" i="35"/>
  <c r="J85" i="35"/>
  <c r="J96" i="35"/>
  <c r="J91" i="35"/>
  <c r="Q62" i="12"/>
  <c r="U482" i="15"/>
  <c r="J19" i="35"/>
  <c r="AC18" i="35"/>
  <c r="J21" i="35"/>
  <c r="N54" i="4"/>
  <c r="F2216" i="22"/>
  <c r="F2220" i="22" s="1"/>
  <c r="F2223" i="22" s="1"/>
  <c r="F2228" i="22" s="1"/>
  <c r="F2229" i="22" s="1"/>
  <c r="R41" i="12"/>
  <c r="R52" i="12" s="1"/>
  <c r="V481" i="15"/>
  <c r="S9" i="12"/>
  <c r="E2280" i="22"/>
  <c r="E2283" i="22" s="1"/>
  <c r="E2314" i="22" s="1"/>
  <c r="AP270" i="2"/>
  <c r="AP271" i="2" s="1"/>
  <c r="AZ304" i="2"/>
  <c r="I59" i="19"/>
  <c r="M69" i="4"/>
  <c r="M70" i="4" s="1"/>
  <c r="F118" i="4"/>
  <c r="L843" i="3" s="1"/>
  <c r="BL87" i="2"/>
  <c r="BM87" i="2"/>
  <c r="BL24" i="2"/>
  <c r="AD214" i="33" s="1"/>
  <c r="BL26" i="2"/>
  <c r="BL71" i="2" s="1"/>
  <c r="BL80" i="2" s="1"/>
  <c r="BL28" i="2"/>
  <c r="BL29" i="2" s="1"/>
  <c r="E2348" i="22"/>
  <c r="E2350" i="22" s="1"/>
  <c r="I2350" i="22" s="1"/>
  <c r="M222" i="27"/>
  <c r="N204" i="27"/>
  <c r="N222" i="27" s="1"/>
  <c r="D2575" i="22"/>
  <c r="D2589" i="22" s="1"/>
  <c r="Z53" i="35"/>
  <c r="V53" i="35"/>
  <c r="G54" i="35"/>
  <c r="M64" i="11"/>
  <c r="M125" i="11" s="1"/>
  <c r="S54" i="25"/>
  <c r="S55" i="25" s="1"/>
  <c r="K37" i="4"/>
  <c r="K118" i="4" s="1"/>
  <c r="E99" i="19"/>
  <c r="H152" i="36"/>
  <c r="C237" i="36" s="1"/>
  <c r="H130" i="36"/>
  <c r="H119" i="36"/>
  <c r="M104" i="12"/>
  <c r="L95" i="12"/>
  <c r="BA237" i="2"/>
  <c r="I162" i="27"/>
  <c r="M63" i="38"/>
  <c r="M293" i="38"/>
  <c r="U35" i="25"/>
  <c r="T38" i="25"/>
  <c r="T70" i="25" s="1"/>
  <c r="S70" i="25"/>
  <c r="S71" i="25" s="1"/>
  <c r="S72" i="25" s="1"/>
  <c r="S73" i="25" s="1"/>
  <c r="S108" i="25"/>
  <c r="S61" i="25"/>
  <c r="S103" i="25" s="1"/>
  <c r="S39" i="25"/>
  <c r="S125" i="25" s="1"/>
  <c r="G67" i="43"/>
  <c r="G72" i="43" s="1"/>
  <c r="M102" i="12"/>
  <c r="BA235" i="2"/>
  <c r="I160" i="27"/>
  <c r="L93" i="12"/>
  <c r="BQ23" i="2"/>
  <c r="BS87" i="2" s="1"/>
  <c r="G215" i="36"/>
  <c r="BQ97" i="2"/>
  <c r="M155" i="36"/>
  <c r="G232" i="36" s="1"/>
  <c r="M126" i="36"/>
  <c r="BA527" i="2"/>
  <c r="M123" i="36"/>
  <c r="G14" i="36"/>
  <c r="C173" i="36" s="1"/>
  <c r="V14" i="36"/>
  <c r="F70" i="36"/>
  <c r="V70" i="36" s="1"/>
  <c r="G192" i="36" s="1"/>
  <c r="O36" i="4"/>
  <c r="M99" i="12"/>
  <c r="BA232" i="2"/>
  <c r="I157" i="27"/>
  <c r="I109" i="43"/>
  <c r="I113" i="43" s="1"/>
  <c r="BA238" i="2"/>
  <c r="I163" i="27"/>
  <c r="M105" i="12"/>
  <c r="M82" i="12"/>
  <c r="M83" i="12" s="1"/>
  <c r="S11" i="36"/>
  <c r="C26" i="36"/>
  <c r="C38" i="36" s="1"/>
  <c r="I159" i="27"/>
  <c r="BA234" i="2"/>
  <c r="M101" i="12"/>
  <c r="L92" i="12"/>
  <c r="K164" i="10"/>
  <c r="K170" i="10" s="1"/>
  <c r="E111" i="3"/>
  <c r="E113" i="3" s="1"/>
  <c r="M103" i="12"/>
  <c r="BA236" i="2"/>
  <c r="I161" i="27"/>
  <c r="L94" i="12"/>
  <c r="P28" i="10"/>
  <c r="G106" i="3"/>
  <c r="F110" i="3"/>
  <c r="F109" i="3"/>
  <c r="AS64" i="2"/>
  <c r="AS58" i="2"/>
  <c r="AS61" i="2" s="1"/>
  <c r="L96" i="12"/>
  <c r="R55" i="13"/>
  <c r="Q292" i="38"/>
  <c r="F175" i="37" s="1"/>
  <c r="CZ348" i="38"/>
  <c r="I161" i="37"/>
  <c r="I183" i="37" s="1"/>
  <c r="I248" i="37" s="1"/>
  <c r="AJ4" i="37"/>
  <c r="AV4" i="37" s="1"/>
  <c r="I45" i="37"/>
  <c r="I85" i="37" s="1"/>
  <c r="I122" i="37" s="1"/>
  <c r="J4" i="37"/>
  <c r="I272" i="37"/>
  <c r="AI272" i="37"/>
  <c r="H348" i="37"/>
  <c r="H382" i="37" s="1"/>
  <c r="H452" i="37" s="1"/>
  <c r="BD729" i="22"/>
  <c r="BF729" i="22" s="1"/>
  <c r="D1752" i="22"/>
  <c r="AC1718" i="22"/>
  <c r="AC1717" i="22"/>
  <c r="D1759" i="22"/>
  <c r="D1760" i="22"/>
  <c r="D1755" i="22"/>
  <c r="D1758" i="22"/>
  <c r="AC1716" i="22"/>
  <c r="AC1710" i="22"/>
  <c r="AC1713" i="22"/>
  <c r="S1710" i="22"/>
  <c r="AC1712" i="22"/>
  <c r="D1711" i="22"/>
  <c r="D1754" i="22"/>
  <c r="AE291" i="2"/>
  <c r="AD291" i="2"/>
  <c r="AY28" i="2"/>
  <c r="AY24" i="2"/>
  <c r="CR265" i="2" s="1"/>
  <c r="M321" i="38"/>
  <c r="M95" i="38"/>
  <c r="R95" i="38" s="1"/>
  <c r="W95" i="38" s="1"/>
  <c r="K93" i="43"/>
  <c r="L99" i="43"/>
  <c r="AK64" i="2"/>
  <c r="AK58" i="2"/>
  <c r="AK61" i="2" s="1"/>
  <c r="K448" i="19"/>
  <c r="K444" i="19"/>
  <c r="K447" i="19"/>
  <c r="BF443" i="19"/>
  <c r="O453" i="19" s="1"/>
  <c r="CO283" i="2"/>
  <c r="CK283" i="2"/>
  <c r="AM24" i="2"/>
  <c r="AM18" i="2"/>
  <c r="AE292" i="2"/>
  <c r="CF292" i="2" s="1"/>
  <c r="AD292" i="2"/>
  <c r="CE292" i="2" s="1"/>
  <c r="BE58" i="2"/>
  <c r="BE61" i="2" s="1"/>
  <c r="BE63" i="2"/>
  <c r="BE64" i="2" s="1"/>
  <c r="AY58" i="2"/>
  <c r="AY61" i="2" s="1"/>
  <c r="AY63" i="2"/>
  <c r="AY64" i="2" s="1"/>
  <c r="L136" i="43"/>
  <c r="K130" i="43"/>
  <c r="J10" i="4"/>
  <c r="I2" i="4"/>
  <c r="J29" i="4"/>
  <c r="M5" i="1" s="1"/>
  <c r="I401" i="22"/>
  <c r="M235" i="22"/>
  <c r="K155" i="10"/>
  <c r="K97" i="10"/>
  <c r="K100" i="10" s="1"/>
  <c r="E1258" i="22"/>
  <c r="E1264" i="22" s="1"/>
  <c r="H400" i="22"/>
  <c r="L62" i="10"/>
  <c r="K66" i="10"/>
  <c r="M234" i="22"/>
  <c r="K64" i="10"/>
  <c r="L65" i="10" s="1"/>
  <c r="L152" i="10" s="1"/>
  <c r="M233" i="22"/>
  <c r="M232" i="22"/>
  <c r="E93" i="3"/>
  <c r="I344" i="22"/>
  <c r="I330" i="22" s="1"/>
  <c r="I332" i="22" s="1"/>
  <c r="I348" i="22"/>
  <c r="R324" i="22"/>
  <c r="E348" i="22"/>
  <c r="I326" i="22"/>
  <c r="C167" i="36"/>
  <c r="G25" i="36"/>
  <c r="O13" i="25"/>
  <c r="O119" i="25"/>
  <c r="O120" i="25" s="1"/>
  <c r="R99" i="10"/>
  <c r="O84" i="25"/>
  <c r="BE24" i="2"/>
  <c r="CW265" i="2" s="1"/>
  <c r="BI87" i="2"/>
  <c r="BE71" i="2"/>
  <c r="J131" i="43"/>
  <c r="J139" i="43"/>
  <c r="J142" i="43"/>
  <c r="CM283" i="2"/>
  <c r="K146" i="10"/>
  <c r="K147" i="10" s="1"/>
  <c r="L148" i="10" s="1"/>
  <c r="S6" i="12"/>
  <c r="R38" i="12"/>
  <c r="V389" i="15"/>
  <c r="BD63" i="2"/>
  <c r="BD64" i="2" s="1"/>
  <c r="BD58" i="2"/>
  <c r="BD61" i="2" s="1"/>
  <c r="Q4" i="25"/>
  <c r="P12" i="25"/>
  <c r="AL304" i="2"/>
  <c r="AL305" i="2" s="1"/>
  <c r="D1276" i="22"/>
  <c r="I61" i="4"/>
  <c r="F1752" i="22"/>
  <c r="F1760" i="22"/>
  <c r="F1758" i="22"/>
  <c r="F1755" i="22"/>
  <c r="F1759" i="22"/>
  <c r="AE1710" i="22"/>
  <c r="F1711" i="22"/>
  <c r="AE1711" i="22" s="1"/>
  <c r="F1754" i="22"/>
  <c r="U1710" i="22"/>
  <c r="AE1717" i="22"/>
  <c r="AE1713" i="22"/>
  <c r="AE1718" i="22"/>
  <c r="F168" i="27"/>
  <c r="F181" i="27"/>
  <c r="D1339" i="22"/>
  <c r="D1341" i="22" s="1"/>
  <c r="F197" i="27"/>
  <c r="L164" i="43"/>
  <c r="L40" i="43"/>
  <c r="M4" i="43"/>
  <c r="L55" i="43"/>
  <c r="BH87" i="2"/>
  <c r="BD71" i="2"/>
  <c r="BD24" i="2"/>
  <c r="CV265" i="2" s="1"/>
  <c r="BG87" i="2"/>
  <c r="N7" i="5"/>
  <c r="M31" i="5"/>
  <c r="M39" i="5" s="1"/>
  <c r="F64" i="36"/>
  <c r="V64" i="36" s="1"/>
  <c r="G185" i="36" s="1"/>
  <c r="V8" i="36"/>
  <c r="F25" i="36"/>
  <c r="F37" i="36" s="1"/>
  <c r="K435" i="19"/>
  <c r="K437" i="19"/>
  <c r="BF425" i="19"/>
  <c r="O452" i="19" s="1"/>
  <c r="K436" i="19"/>
  <c r="G232" i="27"/>
  <c r="G235" i="27" s="1"/>
  <c r="G236" i="27" s="1"/>
  <c r="BH443" i="19"/>
  <c r="AH453" i="19" s="1"/>
  <c r="G99" i="19"/>
  <c r="L64" i="11"/>
  <c r="L125" i="11" s="1"/>
  <c r="AI242" i="2"/>
  <c r="AI327" i="2"/>
  <c r="W34" i="19"/>
  <c r="AG34" i="19"/>
  <c r="L1967" i="22" s="1"/>
  <c r="BR24" i="2"/>
  <c r="BR71" i="2"/>
  <c r="BR80" i="2" s="1"/>
  <c r="BR26" i="2"/>
  <c r="BR35" i="2" s="1"/>
  <c r="BR50" i="2" s="1"/>
  <c r="BR58" i="2" s="1"/>
  <c r="BR61" i="2" s="1"/>
  <c r="BR17" i="2"/>
  <c r="CZ71" i="38"/>
  <c r="AK242" i="2"/>
  <c r="AK327" i="2"/>
  <c r="AN242" i="2"/>
  <c r="AN333" i="2" s="1"/>
  <c r="CQ219" i="2"/>
  <c r="AG292" i="37"/>
  <c r="CZ34" i="38"/>
  <c r="CZ21" i="38"/>
  <c r="CZ106" i="38"/>
  <c r="CZ113" i="38" s="1"/>
  <c r="AA961" i="38"/>
  <c r="C103" i="40"/>
  <c r="CB292" i="2"/>
  <c r="CA292" i="2"/>
  <c r="AT361" i="38"/>
  <c r="G57" i="40"/>
  <c r="K194" i="37"/>
  <c r="K218" i="37" s="1"/>
  <c r="G86" i="40"/>
  <c r="K48" i="4"/>
  <c r="L99" i="11"/>
  <c r="L97" i="11" s="1"/>
  <c r="L102" i="11" s="1"/>
  <c r="L120" i="11"/>
  <c r="L121" i="11" s="1"/>
  <c r="L118" i="11"/>
  <c r="L135" i="11"/>
  <c r="CF252" i="2"/>
  <c r="J1107" i="22"/>
  <c r="N92" i="38"/>
  <c r="S92" i="38" s="1"/>
  <c r="N318" i="38"/>
  <c r="AT362" i="38"/>
  <c r="G63" i="40"/>
  <c r="AJ5" i="40"/>
  <c r="F207" i="27"/>
  <c r="P75" i="10"/>
  <c r="P84" i="10"/>
  <c r="AF74" i="10"/>
  <c r="J1251" i="22"/>
  <c r="AJ273" i="2"/>
  <c r="H57" i="43"/>
  <c r="H62" i="43"/>
  <c r="H63" i="43" s="1"/>
  <c r="T8" i="12"/>
  <c r="W458" i="15"/>
  <c r="S40" i="12"/>
  <c r="S51" i="12" s="1"/>
  <c r="AX63" i="2"/>
  <c r="AX64" i="2" s="1"/>
  <c r="AX58" i="2"/>
  <c r="AX61" i="2" s="1"/>
  <c r="S7" i="12"/>
  <c r="V412" i="15"/>
  <c r="R39" i="12"/>
  <c r="R50" i="12" s="1"/>
  <c r="K128" i="11"/>
  <c r="K133" i="11"/>
  <c r="AG285" i="2"/>
  <c r="J64" i="11"/>
  <c r="J125" i="11" s="1"/>
  <c r="H169" i="43"/>
  <c r="H20" i="43"/>
  <c r="H48" i="4"/>
  <c r="H53" i="4" s="1"/>
  <c r="I118" i="11"/>
  <c r="Q60" i="12"/>
  <c r="U413" i="15"/>
  <c r="J48" i="4"/>
  <c r="C124" i="31" s="1"/>
  <c r="K130" i="11"/>
  <c r="K118" i="11"/>
  <c r="K135" i="11"/>
  <c r="I120" i="11"/>
  <c r="I121" i="11" s="1"/>
  <c r="J122" i="11" s="1"/>
  <c r="R67" i="11"/>
  <c r="G170" i="43"/>
  <c r="G174" i="43"/>
  <c r="G175" i="43" s="1"/>
  <c r="G83" i="27"/>
  <c r="F145" i="27"/>
  <c r="E145" i="27" s="1"/>
  <c r="D145" i="27" s="1"/>
  <c r="C145" i="27" s="1"/>
  <c r="T137" i="25"/>
  <c r="S138" i="25"/>
  <c r="AX24" i="2"/>
  <c r="CQ265" i="2" s="1"/>
  <c r="AX28" i="2"/>
  <c r="H116" i="4"/>
  <c r="AG226" i="2"/>
  <c r="AG227" i="2" s="1"/>
  <c r="AG242" i="2" s="1"/>
  <c r="AG289" i="2" s="1"/>
  <c r="H37" i="4"/>
  <c r="H91" i="4"/>
  <c r="F75" i="43"/>
  <c r="G24" i="43"/>
  <c r="G21" i="43"/>
  <c r="E2634" i="22"/>
  <c r="F2629" i="22"/>
  <c r="E2635" i="22"/>
  <c r="E2632" i="22"/>
  <c r="E2629" i="22"/>
  <c r="E115" i="27"/>
  <c r="F99" i="27"/>
  <c r="G99" i="27" s="1"/>
  <c r="H99" i="27" s="1"/>
  <c r="I99" i="27" s="1"/>
  <c r="J99" i="27" s="1"/>
  <c r="K99" i="27" s="1"/>
  <c r="L99" i="27" s="1"/>
  <c r="AK270" i="2"/>
  <c r="AP275" i="2"/>
  <c r="BF311" i="2"/>
  <c r="BF312" i="2" s="1"/>
  <c r="J174" i="27"/>
  <c r="J176" i="27" s="1"/>
  <c r="AN17" i="2"/>
  <c r="CM312" i="2"/>
  <c r="CM316" i="2" s="1"/>
  <c r="CI250" i="2" s="1"/>
  <c r="CQ312" i="2"/>
  <c r="CQ316" i="2" s="1"/>
  <c r="CM250" i="2" s="1"/>
  <c r="AQ300" i="2"/>
  <c r="AQ302" i="2" s="1"/>
  <c r="G171" i="27"/>
  <c r="J100" i="4"/>
  <c r="E1332" i="22"/>
  <c r="G106" i="27"/>
  <c r="G122" i="27" s="1"/>
  <c r="G137" i="27" s="1"/>
  <c r="H59" i="4"/>
  <c r="H101" i="4"/>
  <c r="AG303" i="2"/>
  <c r="AK273" i="2"/>
  <c r="AP273" i="2"/>
  <c r="J91" i="4"/>
  <c r="E1274" i="22"/>
  <c r="E1280" i="22" s="1"/>
  <c r="AQ226" i="2"/>
  <c r="AQ227" i="2" s="1"/>
  <c r="H157" i="27"/>
  <c r="L99" i="12"/>
  <c r="AV232" i="2"/>
  <c r="O344" i="22"/>
  <c r="O330" i="22" s="1"/>
  <c r="O332" i="22" s="1"/>
  <c r="O334" i="22" s="1"/>
  <c r="T324" i="22"/>
  <c r="K348" i="22"/>
  <c r="AJ270" i="2"/>
  <c r="CJ268" i="2"/>
  <c r="AO274" i="2"/>
  <c r="K120" i="11"/>
  <c r="K121" i="11" s="1"/>
  <c r="AQ303" i="2"/>
  <c r="J101" i="4"/>
  <c r="J59" i="4"/>
  <c r="E196" i="27"/>
  <c r="E168" i="27"/>
  <c r="E200" i="27" s="1"/>
  <c r="E1265" i="22"/>
  <c r="R5" i="10"/>
  <c r="R10" i="10" s="1"/>
  <c r="U228" i="15"/>
  <c r="Q32" i="10"/>
  <c r="Q41" i="10" s="1"/>
  <c r="U229" i="15" s="1"/>
  <c r="G81" i="3"/>
  <c r="F83" i="3"/>
  <c r="F85" i="3" s="1"/>
  <c r="F87" i="3" s="1"/>
  <c r="F91" i="3"/>
  <c r="I59" i="43"/>
  <c r="J59" i="43" s="1"/>
  <c r="K59" i="43" s="1"/>
  <c r="L59" i="43" s="1"/>
  <c r="M59" i="43" s="1"/>
  <c r="N59" i="43" s="1"/>
  <c r="O59" i="43" s="1"/>
  <c r="P59" i="43" s="1"/>
  <c r="Q59" i="43" s="1"/>
  <c r="R59" i="43" s="1"/>
  <c r="M56" i="37"/>
  <c r="AH261" i="2"/>
  <c r="AK16" i="37"/>
  <c r="AK24" i="37" s="1"/>
  <c r="N29" i="35"/>
  <c r="N53" i="35"/>
  <c r="N54" i="35" s="1"/>
  <c r="O98" i="11"/>
  <c r="X40" i="25"/>
  <c r="I279" i="25"/>
  <c r="I276" i="25" s="1"/>
  <c r="I258" i="25" s="1"/>
  <c r="Q6" i="5"/>
  <c r="O30" i="5"/>
  <c r="O38" i="5" s="1"/>
  <c r="N590" i="3" s="1"/>
  <c r="P6" i="5"/>
  <c r="P30" i="5" s="1"/>
  <c r="P38" i="5" s="1"/>
  <c r="E293" i="38"/>
  <c r="E63" i="38"/>
  <c r="E319" i="38" s="1"/>
  <c r="J368" i="38" s="1"/>
  <c r="Q10" i="10"/>
  <c r="L65" i="43"/>
  <c r="K78" i="43"/>
  <c r="N148" i="10"/>
  <c r="AT304" i="38"/>
  <c r="M447" i="19"/>
  <c r="M444" i="19"/>
  <c r="M448" i="19"/>
  <c r="M449" i="19"/>
  <c r="D293" i="38"/>
  <c r="D63" i="38"/>
  <c r="D319" i="38" s="1"/>
  <c r="I368" i="38" s="1"/>
  <c r="N26" i="38"/>
  <c r="N106" i="36"/>
  <c r="H205" i="36" s="1"/>
  <c r="I169" i="36"/>
  <c r="X10" i="36"/>
  <c r="AQ19" i="37"/>
  <c r="K53" i="37"/>
  <c r="E58" i="46"/>
  <c r="E29" i="46" s="1"/>
  <c r="I84" i="46"/>
  <c r="BZ287" i="2"/>
  <c r="CD287" i="2"/>
  <c r="W16" i="12"/>
  <c r="V18" i="12"/>
  <c r="B146" i="12"/>
  <c r="B128" i="12"/>
  <c r="B137" i="12" s="1"/>
  <c r="B162" i="12" s="1"/>
  <c r="B1298" i="22"/>
  <c r="B109" i="12"/>
  <c r="B1581" i="22" s="1"/>
  <c r="W368" i="15"/>
  <c r="T68" i="12"/>
  <c r="U68" i="12" s="1"/>
  <c r="V68" i="12" s="1"/>
  <c r="W68" i="12" s="1"/>
  <c r="X68" i="12" s="1"/>
  <c r="Y68" i="12" s="1"/>
  <c r="Z68" i="12" s="1"/>
  <c r="AA68" i="12" s="1"/>
  <c r="U366" i="15"/>
  <c r="Q37" i="12"/>
  <c r="Q48" i="12" s="1"/>
  <c r="R5" i="12"/>
  <c r="W504" i="15"/>
  <c r="S42" i="12"/>
  <c r="S53" i="12" s="1"/>
  <c r="T10" i="12"/>
  <c r="N13" i="12"/>
  <c r="M45" i="12"/>
  <c r="M76" i="12" s="1"/>
  <c r="V19" i="12"/>
  <c r="G346" i="25"/>
  <c r="G347" i="25" s="1"/>
  <c r="G332" i="25"/>
  <c r="G333" i="25" s="1"/>
  <c r="I265" i="25"/>
  <c r="J266" i="25"/>
  <c r="V67" i="25"/>
  <c r="Q80" i="25"/>
  <c r="O182" i="25"/>
  <c r="R79" i="25"/>
  <c r="K273" i="25"/>
  <c r="J281" i="25"/>
  <c r="J282" i="25"/>
  <c r="H329" i="25"/>
  <c r="H332" i="25" s="1"/>
  <c r="H333" i="25" s="1"/>
  <c r="I330" i="25"/>
  <c r="F348" i="25"/>
  <c r="F350" i="25" s="1"/>
  <c r="F347" i="25"/>
  <c r="H250" i="25"/>
  <c r="G309" i="25"/>
  <c r="G320" i="25"/>
  <c r="G321" i="25" s="1"/>
  <c r="G343" i="25"/>
  <c r="K326" i="25"/>
  <c r="K337" i="25"/>
  <c r="J4406" i="22"/>
  <c r="L33" i="25"/>
  <c r="L132" i="25" s="1"/>
  <c r="J170" i="25" s="1"/>
  <c r="M15" i="25"/>
  <c r="T45" i="25"/>
  <c r="T47" i="25"/>
  <c r="U43" i="25"/>
  <c r="T51" i="25"/>
  <c r="T52" i="25" s="1"/>
  <c r="I4421" i="22"/>
  <c r="I4452" i="22" s="1"/>
  <c r="I4408" i="22"/>
  <c r="I4468" i="22"/>
  <c r="I4470" i="22" s="1"/>
  <c r="H301" i="25"/>
  <c r="H260" i="25"/>
  <c r="H259" i="25"/>
  <c r="H254" i="25"/>
  <c r="H256" i="25"/>
  <c r="I136" i="27"/>
  <c r="Q37" i="11"/>
  <c r="Q19" i="11" s="1"/>
  <c r="P6" i="4" s="1"/>
  <c r="G26" i="31"/>
  <c r="H27" i="31" s="1"/>
  <c r="J6" i="4"/>
  <c r="K28" i="11"/>
  <c r="L28" i="11"/>
  <c r="E118" i="31"/>
  <c r="F36" i="31"/>
  <c r="F37" i="31" s="1"/>
  <c r="T5" i="11"/>
  <c r="T32" i="11" s="1"/>
  <c r="W320" i="15"/>
  <c r="U15" i="11"/>
  <c r="S32" i="11"/>
  <c r="E130" i="31"/>
  <c r="U14" i="11"/>
  <c r="Q47" i="11"/>
  <c r="U321" i="15"/>
  <c r="Q46" i="11"/>
  <c r="Q67" i="11"/>
  <c r="V321" i="15"/>
  <c r="D6" i="4"/>
  <c r="E28" i="11"/>
  <c r="F28" i="11"/>
  <c r="V343" i="15"/>
  <c r="S6" i="11"/>
  <c r="S10" i="11" s="1"/>
  <c r="R33" i="11"/>
  <c r="D23" i="31"/>
  <c r="D62" i="31"/>
  <c r="D52" i="31"/>
  <c r="D8" i="31"/>
  <c r="E225" i="27"/>
  <c r="E229" i="27"/>
  <c r="E227" i="27"/>
  <c r="E230" i="27"/>
  <c r="E223" i="27"/>
  <c r="E228" i="27"/>
  <c r="H1277" i="22"/>
  <c r="H1281" i="22"/>
  <c r="M337" i="19"/>
  <c r="AN180" i="19"/>
  <c r="N180" i="19"/>
  <c r="K2027" i="22"/>
  <c r="AP486" i="2"/>
  <c r="AP489" i="2" s="1"/>
  <c r="AP471" i="2" s="1"/>
  <c r="K2025" i="22" s="1"/>
  <c r="J136" i="27"/>
  <c r="O2527" i="22"/>
  <c r="H107" i="19"/>
  <c r="H180" i="19" s="1"/>
  <c r="AM30" i="19"/>
  <c r="H410" i="19"/>
  <c r="I2" i="19"/>
  <c r="J11" i="11"/>
  <c r="J20" i="11" s="1"/>
  <c r="F9" i="27"/>
  <c r="Y228" i="22"/>
  <c r="O220" i="22"/>
  <c r="O221" i="22"/>
  <c r="J16" i="11"/>
  <c r="F17" i="19"/>
  <c r="F15" i="19"/>
  <c r="J25" i="11" s="1"/>
  <c r="L161" i="19"/>
  <c r="L162" i="19"/>
  <c r="L160" i="19"/>
  <c r="L163" i="19"/>
  <c r="I249" i="19"/>
  <c r="I323" i="19" s="1"/>
  <c r="I250" i="19"/>
  <c r="L220" i="22"/>
  <c r="L221" i="22"/>
  <c r="H5" i="4"/>
  <c r="E25" i="27"/>
  <c r="E41" i="27" s="1"/>
  <c r="K7" i="11"/>
  <c r="D1977" i="22"/>
  <c r="H12" i="19"/>
  <c r="O297" i="15"/>
  <c r="G14" i="19"/>
  <c r="F2562" i="22"/>
  <c r="L110" i="11"/>
  <c r="N109" i="19"/>
  <c r="M108" i="19"/>
  <c r="M165" i="19" s="1"/>
  <c r="M159" i="19" s="1"/>
  <c r="M223" i="19" s="1"/>
  <c r="BQ94" i="2"/>
  <c r="BQ96" i="2" s="1"/>
  <c r="BO96" i="2"/>
  <c r="N129" i="19"/>
  <c r="M132" i="19"/>
  <c r="J112" i="19"/>
  <c r="J221" i="19" s="1"/>
  <c r="J113" i="19"/>
  <c r="J118" i="19"/>
  <c r="J114" i="19"/>
  <c r="J116" i="19"/>
  <c r="J115" i="19"/>
  <c r="L164" i="19"/>
  <c r="P22" i="19"/>
  <c r="Q24" i="19"/>
  <c r="AU467" i="2"/>
  <c r="AV486" i="2"/>
  <c r="AV489" i="2" s="1"/>
  <c r="H230" i="19"/>
  <c r="H239" i="19"/>
  <c r="AV443" i="19"/>
  <c r="AV449" i="19" s="1"/>
  <c r="E45" i="31"/>
  <c r="E62" i="31"/>
  <c r="F59" i="31" s="1"/>
  <c r="G60" i="31" s="1"/>
  <c r="E23" i="31"/>
  <c r="E8" i="31"/>
  <c r="E9" i="31" s="1"/>
  <c r="E52" i="31"/>
  <c r="L124" i="19"/>
  <c r="K120" i="19"/>
  <c r="K117" i="19" s="1"/>
  <c r="N168" i="19"/>
  <c r="M173" i="19"/>
  <c r="E424" i="19"/>
  <c r="I220" i="22"/>
  <c r="I221" i="22"/>
  <c r="L159" i="19"/>
  <c r="L223" i="19" s="1"/>
  <c r="I2987" i="22"/>
  <c r="M35" i="15"/>
  <c r="H4181" i="22"/>
  <c r="AY351" i="38"/>
  <c r="AY363" i="38"/>
  <c r="AY362" i="38"/>
  <c r="AY361" i="38"/>
  <c r="P142" i="37"/>
  <c r="L241" i="37"/>
  <c r="M117" i="45"/>
  <c r="AM57" i="38"/>
  <c r="O93" i="22"/>
  <c r="AK134" i="38"/>
  <c r="AK137" i="38" s="1"/>
  <c r="AK497" i="38" s="1"/>
  <c r="AK510" i="38" s="1"/>
  <c r="R335" i="37"/>
  <c r="R145" i="37"/>
  <c r="I801" i="22"/>
  <c r="N93" i="22"/>
  <c r="AB961" i="38"/>
  <c r="AN134" i="38"/>
  <c r="AN137" i="38" s="1"/>
  <c r="AN497" i="38" s="1"/>
  <c r="AN510" i="38" s="1"/>
  <c r="Z961" i="38"/>
  <c r="P115" i="15"/>
  <c r="I3246" i="22"/>
  <c r="J3247" i="22" s="1"/>
  <c r="G3246" i="22" s="1"/>
  <c r="D2835" i="22"/>
  <c r="AQ5" i="37"/>
  <c r="AQ23" i="37"/>
  <c r="AQ21" i="37"/>
  <c r="AQ12" i="37"/>
  <c r="AD210" i="38"/>
  <c r="AQ6" i="37"/>
  <c r="AQ11" i="37"/>
  <c r="AQ20" i="37"/>
  <c r="AQ7" i="37"/>
  <c r="Y134" i="15"/>
  <c r="AO13" i="38"/>
  <c r="AO189" i="38" s="1"/>
  <c r="J17" i="37"/>
  <c r="P143" i="37"/>
  <c r="H3554" i="22"/>
  <c r="H3555" i="22" s="1"/>
  <c r="H3568" i="22"/>
  <c r="BP13" i="22"/>
  <c r="I28" i="22" s="1"/>
  <c r="J28" i="22" s="1"/>
  <c r="AO34" i="38"/>
  <c r="J35" i="37" s="1"/>
  <c r="W5" i="1" s="1"/>
  <c r="X961" i="38"/>
  <c r="AD153" i="38"/>
  <c r="AR32" i="38"/>
  <c r="AT82" i="38"/>
  <c r="AP134" i="38"/>
  <c r="AP137" i="38" s="1"/>
  <c r="T376" i="38"/>
  <c r="AM132" i="38"/>
  <c r="AO132" i="38" s="1"/>
  <c r="F5184" i="22"/>
  <c r="F5185" i="22" s="1"/>
  <c r="W376" i="38"/>
  <c r="X376" i="38"/>
  <c r="G2008" i="22"/>
  <c r="AL497" i="38"/>
  <c r="AL510" i="38" s="1"/>
  <c r="D3295" i="22"/>
  <c r="K12" i="37"/>
  <c r="T147" i="37"/>
  <c r="S147" i="37"/>
  <c r="L110" i="27"/>
  <c r="J1336" i="22"/>
  <c r="T294" i="19"/>
  <c r="M4" i="41"/>
  <c r="H54" i="35"/>
  <c r="W53" i="35"/>
  <c r="AA53" i="35"/>
  <c r="J62" i="43"/>
  <c r="I14" i="41"/>
  <c r="X149" i="12"/>
  <c r="Y147" i="12"/>
  <c r="D4807" i="22"/>
  <c r="R170" i="19"/>
  <c r="L29" i="31"/>
  <c r="L33" i="31" s="1"/>
  <c r="M92" i="38"/>
  <c r="R92" i="38" s="1"/>
  <c r="M318" i="38"/>
  <c r="J119" i="31"/>
  <c r="J131" i="31"/>
  <c r="K34" i="31"/>
  <c r="E39" i="36"/>
  <c r="E28" i="36"/>
  <c r="K220" i="37"/>
  <c r="AT358" i="38"/>
  <c r="D27" i="37"/>
  <c r="G292" i="38"/>
  <c r="D175" i="37" s="1"/>
  <c r="G62" i="38"/>
  <c r="Z20" i="12"/>
  <c r="AA20" i="12" s="1"/>
  <c r="AH390" i="2"/>
  <c r="AH3" i="2"/>
  <c r="AH24" i="2" s="1"/>
  <c r="AM245" i="2"/>
  <c r="AM246" i="2"/>
  <c r="CL242" i="2"/>
  <c r="CH247" i="2" s="1"/>
  <c r="CH248" i="2" s="1"/>
  <c r="CH251" i="2" s="1"/>
  <c r="CH242" i="2"/>
  <c r="CD247" i="2" s="1"/>
  <c r="CD249" i="2" s="1"/>
  <c r="CB258" i="2" s="1"/>
  <c r="AH292" i="2"/>
  <c r="AH333" i="2"/>
  <c r="AH289" i="2"/>
  <c r="CH289" i="2" s="1"/>
  <c r="L94" i="37"/>
  <c r="L244" i="19"/>
  <c r="L246" i="19" s="1"/>
  <c r="P172" i="19"/>
  <c r="T87" i="11"/>
  <c r="U75" i="11"/>
  <c r="W242" i="10"/>
  <c r="W241" i="10" s="1"/>
  <c r="E290" i="38"/>
  <c r="E30" i="38"/>
  <c r="E60" i="38"/>
  <c r="F11" i="36"/>
  <c r="F76" i="36"/>
  <c r="B148" i="12"/>
  <c r="B1302" i="22"/>
  <c r="B130" i="12"/>
  <c r="B139" i="12" s="1"/>
  <c r="B164" i="12" s="1"/>
  <c r="B111" i="12"/>
  <c r="B1583" i="22" s="1"/>
  <c r="U155" i="12"/>
  <c r="S28" i="25"/>
  <c r="AT109" i="38"/>
  <c r="K280" i="37" s="1"/>
  <c r="AS185" i="38"/>
  <c r="AS348" i="38"/>
  <c r="BX368" i="38" s="1"/>
  <c r="CI364" i="38"/>
  <c r="AT513" i="38"/>
  <c r="K56" i="37"/>
  <c r="K195" i="37"/>
  <c r="L219" i="37" s="1"/>
  <c r="AY357" i="38" s="1"/>
  <c r="AQ137" i="38"/>
  <c r="K162" i="37"/>
  <c r="AT301" i="38"/>
  <c r="N202" i="37"/>
  <c r="O202" i="37" s="1"/>
  <c r="D3567" i="22"/>
  <c r="D3569" i="22" s="1"/>
  <c r="D3570" i="22" s="1"/>
  <c r="D27" i="13"/>
  <c r="S31" i="15" s="1"/>
  <c r="AD211" i="38"/>
  <c r="D75" i="13"/>
  <c r="F21" i="13"/>
  <c r="E3011" i="22" s="1"/>
  <c r="I236" i="37"/>
  <c r="J57" i="37"/>
  <c r="AO49" i="38" s="1"/>
  <c r="AO57" i="38" s="1"/>
  <c r="AO58" i="38" s="1"/>
  <c r="AO347" i="38" s="1"/>
  <c r="J93" i="37"/>
  <c r="H1235" i="22"/>
  <c r="H1245" i="22" s="1"/>
  <c r="AS57" i="38"/>
  <c r="AS69" i="38"/>
  <c r="D3143" i="22"/>
  <c r="D3144" i="22" s="1"/>
  <c r="F2871" i="22"/>
  <c r="F2883" i="22" s="1"/>
  <c r="F2989" i="22"/>
  <c r="E2918" i="22"/>
  <c r="L2939" i="22" s="1"/>
  <c r="F3111" i="22"/>
  <c r="F3113" i="22" s="1"/>
  <c r="AS206" i="38"/>
  <c r="AD953" i="38" s="1"/>
  <c r="AS113" i="38"/>
  <c r="AD960" i="38" s="1"/>
  <c r="I2140" i="22"/>
  <c r="D3274" i="22"/>
  <c r="D3288" i="22" s="1"/>
  <c r="U19" i="15"/>
  <c r="U81" i="15" s="1"/>
  <c r="AO308" i="38"/>
  <c r="J195" i="37" s="1"/>
  <c r="J238" i="37" s="1"/>
  <c r="J242" i="37" s="1"/>
  <c r="AS13" i="38"/>
  <c r="AS79" i="38"/>
  <c r="AS98" i="38" s="1"/>
  <c r="AS182" i="38"/>
  <c r="AS196" i="38"/>
  <c r="AD952" i="38"/>
  <c r="K214" i="36"/>
  <c r="E212" i="14"/>
  <c r="S81" i="15"/>
  <c r="I210" i="37"/>
  <c r="F2036" i="22"/>
  <c r="F2039" i="22"/>
  <c r="F2056" i="22" s="1"/>
  <c r="D2883" i="22"/>
  <c r="I863" i="22"/>
  <c r="I251" i="37"/>
  <c r="H280" i="37"/>
  <c r="H333" i="37" s="1"/>
  <c r="S276" i="10"/>
  <c r="G50" i="42"/>
  <c r="AA113" i="38"/>
  <c r="H284" i="37" s="1"/>
  <c r="D78" i="13"/>
  <c r="M15" i="13"/>
  <c r="AA174" i="38"/>
  <c r="Y131" i="38"/>
  <c r="Y165" i="38" s="1"/>
  <c r="Y168" i="38" s="1"/>
  <c r="Y169" i="38" s="1"/>
  <c r="Y146" i="38"/>
  <c r="Y147" i="38" s="1"/>
  <c r="U170" i="38"/>
  <c r="F308" i="37"/>
  <c r="F377" i="37" s="1"/>
  <c r="E14" i="42"/>
  <c r="U147" i="15"/>
  <c r="K88" i="37"/>
  <c r="K484" i="37"/>
  <c r="G437" i="37"/>
  <c r="T202" i="1" s="1"/>
  <c r="T97" i="1" s="1"/>
  <c r="T104" i="1" s="1"/>
  <c r="V151" i="15"/>
  <c r="G443" i="37"/>
  <c r="S246" i="10"/>
  <c r="AO350" i="38"/>
  <c r="X208" i="38"/>
  <c r="H54" i="42" s="1"/>
  <c r="G208" i="37"/>
  <c r="G249" i="37"/>
  <c r="C4604" i="22"/>
  <c r="BQ368" i="38"/>
  <c r="X189" i="38"/>
  <c r="T169" i="38"/>
  <c r="AJ78" i="38"/>
  <c r="T243" i="10"/>
  <c r="T242" i="10" s="1"/>
  <c r="N174" i="10"/>
  <c r="K24" i="4"/>
  <c r="K25" i="4" s="1"/>
  <c r="K126" i="4"/>
  <c r="L24" i="4"/>
  <c r="L25" i="4" s="1"/>
  <c r="L126" i="4"/>
  <c r="E241" i="27"/>
  <c r="P53" i="15"/>
  <c r="W187" i="10"/>
  <c r="W188" i="10" s="1"/>
  <c r="I94" i="37"/>
  <c r="AN476" i="38"/>
  <c r="E20" i="41"/>
  <c r="E59" i="41"/>
  <c r="E51" i="41"/>
  <c r="E98" i="41"/>
  <c r="E23" i="41"/>
  <c r="E24" i="41" s="1"/>
  <c r="L236" i="37"/>
  <c r="AJ11" i="37"/>
  <c r="F20" i="41"/>
  <c r="AJ106" i="38"/>
  <c r="F4669" i="22"/>
  <c r="O4669" i="22" s="1"/>
  <c r="AH550" i="38"/>
  <c r="AH552" i="38" s="1"/>
  <c r="AH182" i="38"/>
  <c r="AH196" i="38"/>
  <c r="AH113" i="38"/>
  <c r="V952" i="38"/>
  <c r="V109" i="38"/>
  <c r="G280" i="37" s="1"/>
  <c r="G333" i="37" s="1"/>
  <c r="R160" i="38"/>
  <c r="R185" i="38"/>
  <c r="J3089" i="22"/>
  <c r="J3088" i="22"/>
  <c r="V131" i="38"/>
  <c r="R165" i="38"/>
  <c r="AJ291" i="37"/>
  <c r="G479" i="37"/>
  <c r="J264" i="14" s="1"/>
  <c r="S298" i="10"/>
  <c r="S299" i="10"/>
  <c r="S217" i="10"/>
  <c r="L235" i="37"/>
  <c r="D2968" i="22"/>
  <c r="Q4" i="15"/>
  <c r="Q149" i="37"/>
  <c r="N141" i="10"/>
  <c r="N128" i="10"/>
  <c r="N140" i="10" s="1"/>
  <c r="N278" i="10" s="1"/>
  <c r="N279" i="10" s="1"/>
  <c r="N282" i="10" s="1"/>
  <c r="P107" i="1" s="1"/>
  <c r="AA186" i="10"/>
  <c r="D118" i="4"/>
  <c r="J843" i="3" s="1"/>
  <c r="D852" i="3" s="1"/>
  <c r="F85" i="13"/>
  <c r="F2976" i="22" s="1"/>
  <c r="D24" i="4"/>
  <c r="D25" i="4" s="1"/>
  <c r="Q139" i="10"/>
  <c r="W230" i="15"/>
  <c r="T52" i="10"/>
  <c r="U52" i="10" s="1"/>
  <c r="V52" i="10" s="1"/>
  <c r="W52" i="10" s="1"/>
  <c r="X52" i="10" s="1"/>
  <c r="Y52" i="10" s="1"/>
  <c r="R311" i="10"/>
  <c r="R312" i="10" s="1"/>
  <c r="R308" i="10"/>
  <c r="S6" i="10"/>
  <c r="V251" i="15"/>
  <c r="R33" i="10"/>
  <c r="R42" i="10" s="1"/>
  <c r="Q42" i="10"/>
  <c r="Q207" i="10"/>
  <c r="Q214" i="10" s="1"/>
  <c r="D3530" i="22" s="1"/>
  <c r="P69" i="36"/>
  <c r="Z69" i="36" s="1"/>
  <c r="K191" i="36" s="1"/>
  <c r="K172" i="36"/>
  <c r="S105" i="10"/>
  <c r="T76" i="10"/>
  <c r="K228" i="36"/>
  <c r="P109" i="36"/>
  <c r="K208" i="36"/>
  <c r="L173" i="10"/>
  <c r="X273" i="10"/>
  <c r="W310" i="10"/>
  <c r="AC170" i="38"/>
  <c r="Q322" i="38"/>
  <c r="F202" i="37" s="1"/>
  <c r="F267" i="37" s="1"/>
  <c r="Y153" i="15"/>
  <c r="AE64" i="10"/>
  <c r="AB250" i="10"/>
  <c r="AE120" i="10"/>
  <c r="AE166" i="10"/>
  <c r="AE258" i="10"/>
  <c r="U254" i="10"/>
  <c r="U256" i="10" s="1"/>
  <c r="V253" i="10"/>
  <c r="AE132" i="10"/>
  <c r="AM273" i="2"/>
  <c r="L141" i="37"/>
  <c r="L336" i="37"/>
  <c r="H60" i="31"/>
  <c r="N123" i="10"/>
  <c r="N107" i="10"/>
  <c r="N135" i="10"/>
  <c r="I53" i="15"/>
  <c r="E24" i="4"/>
  <c r="E25" i="4" s="1"/>
  <c r="M114" i="4"/>
  <c r="M88" i="4"/>
  <c r="G79" i="31"/>
  <c r="M37" i="4"/>
  <c r="BF217" i="2"/>
  <c r="BF219" i="2" s="1"/>
  <c r="BF242" i="2" s="1"/>
  <c r="M58" i="4"/>
  <c r="W307" i="10"/>
  <c r="V308" i="10"/>
  <c r="AH270" i="2"/>
  <c r="AH271" i="2" s="1"/>
  <c r="W121" i="10"/>
  <c r="V14" i="10"/>
  <c r="Y70" i="10"/>
  <c r="M28" i="10"/>
  <c r="L4" i="4"/>
  <c r="N28" i="10"/>
  <c r="K2" i="10"/>
  <c r="L231" i="22"/>
  <c r="T16" i="10"/>
  <c r="S34" i="10"/>
  <c r="S43" i="10" s="1"/>
  <c r="CH268" i="2"/>
  <c r="E1202" i="22" s="1"/>
  <c r="AM274" i="2"/>
  <c r="AM270" i="2"/>
  <c r="K4" i="4"/>
  <c r="L28" i="10"/>
  <c r="N58" i="4"/>
  <c r="N37" i="4"/>
  <c r="N114" i="4"/>
  <c r="N88" i="4"/>
  <c r="BK217" i="2"/>
  <c r="BK219" i="2" s="1"/>
  <c r="H79" i="31"/>
  <c r="K176" i="10"/>
  <c r="K178" i="10" s="1"/>
  <c r="K179" i="10" s="1"/>
  <c r="L177" i="10"/>
  <c r="O148" i="10"/>
  <c r="P148" i="10"/>
  <c r="Q89" i="10"/>
  <c r="Q94" i="10"/>
  <c r="M278" i="10"/>
  <c r="M279" i="10" s="1"/>
  <c r="M282" i="10" s="1"/>
  <c r="O107" i="1" s="1"/>
  <c r="AJ139" i="10"/>
  <c r="AM275" i="2"/>
  <c r="CH270" i="2"/>
  <c r="E1203" i="22" s="1"/>
  <c r="U15" i="10"/>
  <c r="K278" i="22"/>
  <c r="L250" i="22"/>
  <c r="J167" i="10"/>
  <c r="K168" i="10"/>
  <c r="Z306" i="10"/>
  <c r="AA306" i="10" s="1"/>
  <c r="S147" i="10"/>
  <c r="O107" i="10"/>
  <c r="O123" i="10"/>
  <c r="O135" i="10"/>
  <c r="V275" i="15"/>
  <c r="X1772" i="22"/>
  <c r="D1795" i="22" s="1"/>
  <c r="I1810" i="22"/>
  <c r="I1817" i="22" s="1"/>
  <c r="D1400" i="22"/>
  <c r="L176" i="14"/>
  <c r="Q146" i="14"/>
  <c r="D2977" i="22"/>
  <c r="E2528" i="22"/>
  <c r="E2529" i="22" s="1"/>
  <c r="J2987" i="22"/>
  <c r="O74" i="15"/>
  <c r="I3005" i="22"/>
  <c r="S75" i="15"/>
  <c r="W123" i="15"/>
  <c r="W121" i="15"/>
  <c r="X121" i="15"/>
  <c r="X123" i="15"/>
  <c r="AZ46" i="2"/>
  <c r="AZ50" i="2" s="1"/>
  <c r="Q28" i="15"/>
  <c r="Q113" i="15"/>
  <c r="I1231" i="22"/>
  <c r="J1249" i="22" s="1"/>
  <c r="J1267" i="22" s="1"/>
  <c r="J1283" i="22" s="1"/>
  <c r="J1295" i="22" s="1"/>
  <c r="J1321" i="22" s="1"/>
  <c r="AT186" i="38"/>
  <c r="O11" i="43"/>
  <c r="AG24" i="37"/>
  <c r="AS7" i="37" s="1"/>
  <c r="L100" i="37"/>
  <c r="L240" i="37"/>
  <c r="F212" i="14"/>
  <c r="G2989" i="22"/>
  <c r="G2985" i="22"/>
  <c r="I26" i="41"/>
  <c r="G3129" i="34"/>
  <c r="G23" i="41"/>
  <c r="G29" i="41"/>
  <c r="G98" i="41"/>
  <c r="G51" i="41"/>
  <c r="K434" i="37" s="1"/>
  <c r="G59" i="41"/>
  <c r="G20" i="41"/>
  <c r="AR98" i="38"/>
  <c r="D1383" i="22"/>
  <c r="H1383" i="22" s="1"/>
  <c r="K1093" i="22"/>
  <c r="O1100" i="22" s="1"/>
  <c r="G3780" i="22"/>
  <c r="P21" i="22"/>
  <c r="I1800" i="22"/>
  <c r="BN13" i="22"/>
  <c r="BT13" i="22" s="1"/>
  <c r="AI1711" i="22"/>
  <c r="J1753" i="22"/>
  <c r="J1819" i="22"/>
  <c r="K1754" i="22"/>
  <c r="AF1712" i="22"/>
  <c r="V1712" i="22"/>
  <c r="K1808" i="22"/>
  <c r="BN14" i="22"/>
  <c r="BS14" i="22" s="1"/>
  <c r="J1712" i="22"/>
  <c r="J1808" i="22" s="1"/>
  <c r="AB4453" i="22"/>
  <c r="J4416" i="22"/>
  <c r="G863" i="22"/>
  <c r="Y1711" i="22"/>
  <c r="E1788" i="22" s="1"/>
  <c r="J1817" i="22"/>
  <c r="Y1739" i="22"/>
  <c r="H2975" i="22"/>
  <c r="I2965" i="22"/>
  <c r="J1818" i="22"/>
  <c r="H965" i="22"/>
  <c r="H969" i="22" s="1"/>
  <c r="H972" i="22" s="1"/>
  <c r="H961" i="22"/>
  <c r="P22" i="22"/>
  <c r="AD1772" i="22"/>
  <c r="BP14" i="22"/>
  <c r="I29" i="22" s="1"/>
  <c r="J29" i="22" s="1"/>
  <c r="G2698" i="22"/>
  <c r="I2698" i="22" s="1"/>
  <c r="H4088" i="22"/>
  <c r="I820" i="22"/>
  <c r="J820" i="22" s="1"/>
  <c r="J858" i="22" s="1"/>
  <c r="Q949" i="22"/>
  <c r="I957" i="22"/>
  <c r="F2699" i="22"/>
  <c r="H859" i="22"/>
  <c r="H861" i="22" s="1"/>
  <c r="H862" i="22" s="1"/>
  <c r="H863" i="22"/>
  <c r="E863" i="22"/>
  <c r="E859" i="22"/>
  <c r="E861" i="22" s="1"/>
  <c r="E862" i="22" s="1"/>
  <c r="F863" i="22"/>
  <c r="F859" i="22"/>
  <c r="F861" i="22" s="1"/>
  <c r="F862" i="22" s="1"/>
  <c r="D859" i="22"/>
  <c r="D861" i="22" s="1"/>
  <c r="D862" i="22" s="1"/>
  <c r="D863" i="22"/>
  <c r="L124" i="22"/>
  <c r="H4112" i="22"/>
  <c r="I4112" i="22" s="1"/>
  <c r="P23" i="22"/>
  <c r="I194" i="37"/>
  <c r="I237" i="37" s="1"/>
  <c r="Y316" i="38"/>
  <c r="T392" i="38"/>
  <c r="T60" i="38"/>
  <c r="T23" i="38" s="1"/>
  <c r="T290" i="38" s="1"/>
  <c r="C1544" i="34"/>
  <c r="E3417" i="22"/>
  <c r="E3435" i="22" s="1"/>
  <c r="H439" i="37"/>
  <c r="W155" i="15"/>
  <c r="E3480" i="22"/>
  <c r="E3501" i="22" s="1"/>
  <c r="H447" i="37"/>
  <c r="D3713" i="22"/>
  <c r="D3731" i="22" s="1"/>
  <c r="H22" i="13"/>
  <c r="G3013" i="22" s="1"/>
  <c r="T397" i="38"/>
  <c r="T65" i="38"/>
  <c r="T28" i="38" s="1"/>
  <c r="T295" i="38" s="1"/>
  <c r="Y321" i="38"/>
  <c r="U321" i="38"/>
  <c r="P370" i="38"/>
  <c r="P397" i="38"/>
  <c r="O263" i="37"/>
  <c r="Z165" i="38"/>
  <c r="Z168" i="38" s="1"/>
  <c r="Z143" i="38"/>
  <c r="F12" i="42" s="1"/>
  <c r="H12" i="42" s="1"/>
  <c r="I101" i="37"/>
  <c r="AJ88" i="38" s="1"/>
  <c r="BR364" i="38"/>
  <c r="X348" i="38"/>
  <c r="E77" i="13"/>
  <c r="P394" i="38"/>
  <c r="P392" i="38"/>
  <c r="U316" i="38"/>
  <c r="P365" i="38"/>
  <c r="AO362" i="38"/>
  <c r="AF308" i="38"/>
  <c r="AM357" i="38" s="1"/>
  <c r="AJ45" i="38"/>
  <c r="BY364" i="38"/>
  <c r="AH348" i="38"/>
  <c r="AJ348" i="38" s="1"/>
  <c r="AA96" i="38"/>
  <c r="AP304" i="38"/>
  <c r="T249" i="10"/>
  <c r="T252" i="10" s="1"/>
  <c r="T256" i="10" s="1"/>
  <c r="T259" i="10" s="1"/>
  <c r="T261" i="10" s="1"/>
  <c r="T246" i="10"/>
  <c r="L239" i="37"/>
  <c r="BS16" i="22"/>
  <c r="BT16" i="22"/>
  <c r="H1111" i="22"/>
  <c r="G3885" i="22"/>
  <c r="G3887" i="22"/>
  <c r="G3888" i="22"/>
  <c r="G3889" i="22"/>
  <c r="G3886" i="22"/>
  <c r="D2918" i="22"/>
  <c r="E21" i="13"/>
  <c r="H2140" i="22"/>
  <c r="J860" i="22"/>
  <c r="K860" i="22" s="1"/>
  <c r="E85" i="13"/>
  <c r="G2035" i="22"/>
  <c r="J754" i="22"/>
  <c r="K754" i="22" s="1"/>
  <c r="T19" i="15"/>
  <c r="T81" i="15" s="1"/>
  <c r="E2871" i="22"/>
  <c r="E2883" i="22" s="1"/>
  <c r="I1233" i="22"/>
  <c r="I1243" i="22" s="1"/>
  <c r="F2518" i="22"/>
  <c r="AJ21" i="37"/>
  <c r="AJ23" i="37" s="1"/>
  <c r="I23" i="37"/>
  <c r="I364" i="37" s="1"/>
  <c r="AG134" i="38"/>
  <c r="AG131" i="38" s="1"/>
  <c r="AG146" i="38"/>
  <c r="AG147" i="38" s="1"/>
  <c r="AG185" i="38"/>
  <c r="X951" i="38" s="1"/>
  <c r="AG282" i="38"/>
  <c r="AG82" i="38"/>
  <c r="AG98" i="38" s="1"/>
  <c r="AF9" i="38"/>
  <c r="AF189" i="38"/>
  <c r="AF208" i="38"/>
  <c r="AF34" i="38"/>
  <c r="AF21" i="38"/>
  <c r="H480" i="37"/>
  <c r="K278" i="14" s="1"/>
  <c r="W143" i="15"/>
  <c r="H364" i="37"/>
  <c r="AF147" i="38"/>
  <c r="E228" i="37"/>
  <c r="E266" i="37"/>
  <c r="E2989" i="22"/>
  <c r="D212" i="14"/>
  <c r="E2985" i="22"/>
  <c r="F359" i="37"/>
  <c r="U134" i="15"/>
  <c r="F442" i="37"/>
  <c r="F97" i="37"/>
  <c r="U348" i="38"/>
  <c r="W348" i="38"/>
  <c r="BQ364" i="38"/>
  <c r="K99" i="37"/>
  <c r="AR189" i="38"/>
  <c r="AR150" i="38"/>
  <c r="AR208" i="38"/>
  <c r="AH282" i="38"/>
  <c r="F4670" i="22" s="1"/>
  <c r="O4670" i="22" s="1"/>
  <c r="AH185" i="38"/>
  <c r="Y951" i="38" s="1"/>
  <c r="AH82" i="38"/>
  <c r="AH98" i="38" s="1"/>
  <c r="D14" i="42"/>
  <c r="AR348" i="38"/>
  <c r="BW368" i="38" s="1"/>
  <c r="CH364" i="38"/>
  <c r="AQ153" i="38"/>
  <c r="AQ152" i="38"/>
  <c r="AB957" i="38" s="1"/>
  <c r="AR57" i="38"/>
  <c r="AR69" i="38"/>
  <c r="AO361" i="38"/>
  <c r="G12" i="37"/>
  <c r="V13" i="38"/>
  <c r="V282" i="38"/>
  <c r="G172" i="37" s="1"/>
  <c r="G260" i="37" s="1"/>
  <c r="P264" i="37"/>
  <c r="O176" i="37"/>
  <c r="C250" i="37"/>
  <c r="C209" i="37"/>
  <c r="C235" i="37" s="1"/>
  <c r="S98" i="38"/>
  <c r="S333" i="38"/>
  <c r="AA49" i="38"/>
  <c r="H53" i="37"/>
  <c r="H93" i="37" s="1"/>
  <c r="AA308" i="38"/>
  <c r="H195" i="37" s="1"/>
  <c r="X146" i="38"/>
  <c r="X147" i="38" s="1"/>
  <c r="AR153" i="38"/>
  <c r="AR152" i="38"/>
  <c r="AC957" i="38" s="1"/>
  <c r="D50" i="42"/>
  <c r="L951" i="38"/>
  <c r="W98" i="38"/>
  <c r="W333" i="38"/>
  <c r="U135" i="15"/>
  <c r="F364" i="37"/>
  <c r="F103" i="37"/>
  <c r="AO351" i="38"/>
  <c r="AI12" i="37"/>
  <c r="AI16" i="37" s="1"/>
  <c r="AI24" i="37" s="1"/>
  <c r="AU23" i="37" s="1"/>
  <c r="F3607" i="22"/>
  <c r="G2917" i="22"/>
  <c r="G2929" i="22" s="1"/>
  <c r="D3708" i="22"/>
  <c r="E3412" i="22"/>
  <c r="F3561" i="22"/>
  <c r="F3273" i="22"/>
  <c r="F3287" i="22" s="1"/>
  <c r="W18" i="15"/>
  <c r="AE170" i="38"/>
  <c r="AE169" i="38"/>
  <c r="J4710" i="22"/>
  <c r="J4711" i="22" s="1"/>
  <c r="AO363" i="38"/>
  <c r="C4407" i="22"/>
  <c r="C4395" i="22"/>
  <c r="C4404" i="22"/>
  <c r="C4401" i="22"/>
  <c r="C4397" i="22"/>
  <c r="C4393" i="22"/>
  <c r="C4391" i="22"/>
  <c r="X131" i="38"/>
  <c r="X166" i="38"/>
  <c r="T26" i="38"/>
  <c r="T293" i="38" s="1"/>
  <c r="AD141" i="38"/>
  <c r="BD526" i="2"/>
  <c r="BT22" i="2"/>
  <c r="J214" i="36"/>
  <c r="W134" i="38"/>
  <c r="AA132" i="38"/>
  <c r="W146" i="38"/>
  <c r="W147" i="38" s="1"/>
  <c r="C15" i="42"/>
  <c r="G54" i="42"/>
  <c r="J359" i="37"/>
  <c r="J285" i="37"/>
  <c r="AK284" i="37"/>
  <c r="U219" i="10"/>
  <c r="M328" i="37"/>
  <c r="AO352" i="38"/>
  <c r="X143" i="15"/>
  <c r="F3520" i="22"/>
  <c r="F3509" i="22"/>
  <c r="AC174" i="38"/>
  <c r="BT15" i="22"/>
  <c r="BS15" i="22"/>
  <c r="AU15" i="22"/>
  <c r="BP15" i="22" s="1"/>
  <c r="I30" i="22" s="1"/>
  <c r="M124" i="22"/>
  <c r="L1111" i="22"/>
  <c r="I3040" i="22"/>
  <c r="I3066" i="22" s="1"/>
  <c r="H3066" i="22"/>
  <c r="V1814" i="22"/>
  <c r="K1817" i="22"/>
  <c r="K1820" i="22"/>
  <c r="K1819" i="22"/>
  <c r="V1815" i="22"/>
  <c r="Q1100" i="22"/>
  <c r="V1813" i="22"/>
  <c r="I2573" i="22"/>
  <c r="I2580" i="22" s="1"/>
  <c r="H2580" i="22"/>
  <c r="K1818" i="22"/>
  <c r="H1110" i="22"/>
  <c r="H1100" i="22"/>
  <c r="D1137" i="22" s="1"/>
  <c r="Q1810" i="22"/>
  <c r="G1808" i="22"/>
  <c r="G1820" i="22"/>
  <c r="G1819" i="22"/>
  <c r="G1818" i="22"/>
  <c r="Q190" i="14"/>
  <c r="R188" i="14"/>
  <c r="L1100" i="22"/>
  <c r="H1137" i="22" s="1"/>
  <c r="V1715" i="22"/>
  <c r="W1747" i="22" s="1"/>
  <c r="G1812" i="22"/>
  <c r="G1757" i="22"/>
  <c r="AF1715" i="22"/>
  <c r="I3785" i="22"/>
  <c r="H3788" i="22"/>
  <c r="H3779" i="22"/>
  <c r="E1091" i="22"/>
  <c r="E1093" i="22" s="1"/>
  <c r="I1093" i="22"/>
  <c r="M1100" i="22" s="1"/>
  <c r="H1817" i="22"/>
  <c r="F129" i="31"/>
  <c r="H14" i="31"/>
  <c r="F117" i="31"/>
  <c r="D1401" i="22"/>
  <c r="D1385" i="22"/>
  <c r="H1385" i="22" s="1"/>
  <c r="E957" i="22"/>
  <c r="O949" i="22"/>
  <c r="O986" i="22" s="1"/>
  <c r="F1092" i="22"/>
  <c r="F1093" i="22" s="1"/>
  <c r="J1093" i="22"/>
  <c r="N1110" i="22" s="1"/>
  <c r="R2658" i="22"/>
  <c r="E47" i="31"/>
  <c r="E50" i="31"/>
  <c r="F2835" i="22"/>
  <c r="H2835" i="22" s="1"/>
  <c r="H2832" i="22"/>
  <c r="E417" i="22"/>
  <c r="I93" i="22"/>
  <c r="H30" i="22"/>
  <c r="G13" i="13"/>
  <c r="U8" i="15"/>
  <c r="Q115" i="15"/>
  <c r="E2971" i="22"/>
  <c r="D3027" i="22"/>
  <c r="D3038" i="22" s="1"/>
  <c r="D3037" i="22" s="1"/>
  <c r="D2972" i="22"/>
  <c r="D2973" i="22" s="1"/>
  <c r="U7" i="15"/>
  <c r="E3023" i="22"/>
  <c r="F2966" i="22"/>
  <c r="F94" i="13"/>
  <c r="G2515" i="22"/>
  <c r="AB13" i="15"/>
  <c r="M59" i="13"/>
  <c r="L72" i="13"/>
  <c r="E4821" i="22" s="1"/>
  <c r="E4813" i="22"/>
  <c r="Q186" i="1" l="1"/>
  <c r="S155" i="37"/>
  <c r="T137" i="37"/>
  <c r="Q163" i="1"/>
  <c r="Q178" i="1" s="1"/>
  <c r="G437" i="19"/>
  <c r="G435" i="19"/>
  <c r="G436" i="19"/>
  <c r="F425" i="19"/>
  <c r="F437" i="19" s="1"/>
  <c r="H437" i="19"/>
  <c r="X572" i="1"/>
  <c r="Y628" i="1" s="1"/>
  <c r="Y619" i="1" s="1"/>
  <c r="F78" i="13"/>
  <c r="M16" i="1"/>
  <c r="M305" i="1"/>
  <c r="M313" i="1"/>
  <c r="M309" i="1"/>
  <c r="M7" i="1"/>
  <c r="M301" i="1"/>
  <c r="M419" i="1"/>
  <c r="M317" i="1"/>
  <c r="J7" i="1"/>
  <c r="J305" i="1"/>
  <c r="J309" i="1"/>
  <c r="J16" i="1"/>
  <c r="J301" i="1"/>
  <c r="J419" i="1"/>
  <c r="J313" i="1"/>
  <c r="J317" i="1"/>
  <c r="J340" i="1"/>
  <c r="S67" i="1"/>
  <c r="I37" i="4"/>
  <c r="A28" i="4" s="1"/>
  <c r="L5" i="1"/>
  <c r="R390" i="1"/>
  <c r="R79" i="1"/>
  <c r="R88" i="1" s="1"/>
  <c r="R92" i="1" s="1"/>
  <c r="R56" i="1"/>
  <c r="R48" i="1"/>
  <c r="S162" i="1"/>
  <c r="S163" i="1" s="1"/>
  <c r="S178" i="1" s="1"/>
  <c r="T299" i="10"/>
  <c r="V347" i="1"/>
  <c r="AJ470" i="38" s="1"/>
  <c r="W305" i="1"/>
  <c r="W419" i="1"/>
  <c r="W301" i="1"/>
  <c r="W7" i="1"/>
  <c r="W313" i="1"/>
  <c r="W340" i="1"/>
  <c r="W309" i="1"/>
  <c r="S71" i="1"/>
  <c r="S390" i="1"/>
  <c r="W142" i="15"/>
  <c r="S79" i="1"/>
  <c r="S88" i="1" s="1"/>
  <c r="S92" i="1" s="1"/>
  <c r="S56" i="1"/>
  <c r="S48" i="1"/>
  <c r="S361" i="1"/>
  <c r="I93" i="4"/>
  <c r="D1280" i="22"/>
  <c r="G234" i="36"/>
  <c r="K56" i="43"/>
  <c r="K57" i="43" s="1"/>
  <c r="BP306" i="2"/>
  <c r="K2920" i="22"/>
  <c r="I105" i="4"/>
  <c r="I107" i="4" s="1"/>
  <c r="N112" i="15" s="1"/>
  <c r="BD730" i="22"/>
  <c r="BF730" i="22" s="1"/>
  <c r="F2525" i="22"/>
  <c r="F450" i="22"/>
  <c r="F190" i="27"/>
  <c r="F198" i="27" s="1"/>
  <c r="F4798" i="22"/>
  <c r="I20" i="43"/>
  <c r="I24" i="43" s="1"/>
  <c r="L8" i="43"/>
  <c r="L5" i="43" s="1"/>
  <c r="L14" i="43" s="1"/>
  <c r="K6" i="43"/>
  <c r="M220" i="37" s="1"/>
  <c r="K14" i="43"/>
  <c r="K20" i="43" s="1"/>
  <c r="K41" i="43"/>
  <c r="K45" i="43" s="1"/>
  <c r="K50" i="43" s="1"/>
  <c r="K52" i="43" s="1"/>
  <c r="O46" i="4"/>
  <c r="BP303" i="2" s="1"/>
  <c r="F13" i="46"/>
  <c r="F58" i="46" s="1"/>
  <c r="F29" i="46" s="1"/>
  <c r="AC32" i="15"/>
  <c r="G22" i="13"/>
  <c r="F3013" i="22" s="1"/>
  <c r="V22" i="15"/>
  <c r="V88" i="15" s="1"/>
  <c r="S55" i="13"/>
  <c r="AH125" i="15" s="1"/>
  <c r="AG125" i="15"/>
  <c r="J46" i="43"/>
  <c r="K40" i="37"/>
  <c r="J40" i="37"/>
  <c r="K36" i="37"/>
  <c r="AP210" i="38"/>
  <c r="AP439" i="38"/>
  <c r="AP449" i="38" s="1"/>
  <c r="AQ497" i="38"/>
  <c r="AQ439" i="38"/>
  <c r="AQ449" i="38" s="1"/>
  <c r="AQ460" i="38" s="1"/>
  <c r="AQ473" i="38" s="1"/>
  <c r="AQ476" i="38" s="1"/>
  <c r="J106" i="43"/>
  <c r="J172" i="43" s="1"/>
  <c r="L435" i="37" s="1"/>
  <c r="J94" i="43"/>
  <c r="AY359" i="38" s="1"/>
  <c r="J103" i="43"/>
  <c r="J169" i="43" s="1"/>
  <c r="J170" i="43" s="1"/>
  <c r="G442" i="19"/>
  <c r="G443" i="19" s="1"/>
  <c r="G448" i="19" s="1"/>
  <c r="I172" i="43"/>
  <c r="K435" i="37" s="1"/>
  <c r="K430" i="37" s="1"/>
  <c r="H444" i="19"/>
  <c r="AO275" i="2"/>
  <c r="H448" i="19"/>
  <c r="H447" i="19"/>
  <c r="BC442" i="19"/>
  <c r="J447" i="19"/>
  <c r="J448" i="19"/>
  <c r="AO270" i="2"/>
  <c r="AO271" i="2" s="1"/>
  <c r="J444" i="19"/>
  <c r="E2118" i="22"/>
  <c r="E2120" i="22" s="1"/>
  <c r="P110" i="10"/>
  <c r="P111" i="10" s="1"/>
  <c r="I217" i="27" s="1"/>
  <c r="L46" i="19"/>
  <c r="L47" i="19" s="1"/>
  <c r="I219" i="27" s="1"/>
  <c r="P117" i="11"/>
  <c r="O48" i="4" s="1"/>
  <c r="T302" i="15"/>
  <c r="L60" i="19"/>
  <c r="J1288" i="22" s="1"/>
  <c r="V505" i="15"/>
  <c r="AN348" i="38"/>
  <c r="BT368" i="38" s="1"/>
  <c r="S130" i="37"/>
  <c r="T130" i="37" s="1"/>
  <c r="T148" i="37" s="1"/>
  <c r="E117" i="45"/>
  <c r="L45" i="19"/>
  <c r="T301" i="15"/>
  <c r="L154" i="27"/>
  <c r="J1329" i="22" s="1"/>
  <c r="L67" i="19"/>
  <c r="L70" i="19" s="1"/>
  <c r="L77" i="19" s="1"/>
  <c r="O30" i="4"/>
  <c r="I62" i="43"/>
  <c r="J63" i="43" s="1"/>
  <c r="P60" i="11"/>
  <c r="P80" i="11" s="1"/>
  <c r="P247" i="10"/>
  <c r="J130" i="11"/>
  <c r="V35" i="19"/>
  <c r="L18" i="15"/>
  <c r="G38" i="4"/>
  <c r="V215" i="19"/>
  <c r="V459" i="15"/>
  <c r="P128" i="10"/>
  <c r="P134" i="10" s="1"/>
  <c r="P266" i="10" s="1"/>
  <c r="P265" i="10" s="1"/>
  <c r="P271" i="10" s="1"/>
  <c r="O347" i="3"/>
  <c r="O346" i="3" s="1"/>
  <c r="S346" i="3" s="1"/>
  <c r="S347" i="3" s="1"/>
  <c r="S351" i="3" s="1"/>
  <c r="F32" i="19"/>
  <c r="L100" i="27"/>
  <c r="L116" i="27" s="1"/>
  <c r="L131" i="27" s="1"/>
  <c r="G32" i="19"/>
  <c r="J1322" i="22"/>
  <c r="S306" i="15"/>
  <c r="F2528" i="22"/>
  <c r="L31" i="19"/>
  <c r="M31" i="19" s="1"/>
  <c r="AQ470" i="2"/>
  <c r="AP470" i="2" s="1"/>
  <c r="E96" i="13"/>
  <c r="E2978" i="22" s="1"/>
  <c r="I114" i="4"/>
  <c r="AI142" i="10"/>
  <c r="AL142" i="10" s="1"/>
  <c r="AO142" i="10" s="1"/>
  <c r="D2523" i="22"/>
  <c r="D2536" i="22" s="1"/>
  <c r="D2537" i="22" s="1"/>
  <c r="R30" i="15"/>
  <c r="I155" i="36"/>
  <c r="D232" i="36" s="1"/>
  <c r="K167" i="36"/>
  <c r="E213" i="36"/>
  <c r="J121" i="36"/>
  <c r="J123" i="36" s="1"/>
  <c r="Y123" i="36" s="1"/>
  <c r="I126" i="36"/>
  <c r="D215" i="36"/>
  <c r="E73" i="31"/>
  <c r="E74" i="31" s="1"/>
  <c r="F74" i="31" s="1"/>
  <c r="E67" i="37"/>
  <c r="E105" i="37" s="1"/>
  <c r="R106" i="10"/>
  <c r="I169" i="43"/>
  <c r="S78" i="10"/>
  <c r="S106" i="10" s="1"/>
  <c r="AL388" i="2"/>
  <c r="BM97" i="2"/>
  <c r="J167" i="43"/>
  <c r="O31" i="31"/>
  <c r="F2526" i="22"/>
  <c r="AF560" i="22"/>
  <c r="CJ289" i="2"/>
  <c r="E2589" i="22"/>
  <c r="E59" i="31"/>
  <c r="F60" i="31" s="1"/>
  <c r="F811" i="3"/>
  <c r="F812" i="3" s="1"/>
  <c r="F87" i="31"/>
  <c r="D133" i="31"/>
  <c r="D121" i="31"/>
  <c r="O59" i="31" s="1"/>
  <c r="D2101" i="22"/>
  <c r="D2099" i="22" s="1"/>
  <c r="D2102" i="22" s="1"/>
  <c r="CS247" i="2"/>
  <c r="CS248" i="2" s="1"/>
  <c r="CS251" i="2" s="1"/>
  <c r="O379" i="38"/>
  <c r="H18" i="25"/>
  <c r="X123" i="36"/>
  <c r="H149" i="43"/>
  <c r="J435" i="37"/>
  <c r="AB303" i="2"/>
  <c r="J154" i="36"/>
  <c r="I58" i="4"/>
  <c r="V76" i="36"/>
  <c r="C79" i="31"/>
  <c r="AL217" i="2"/>
  <c r="AL219" i="2" s="1"/>
  <c r="AL242" i="2" s="1"/>
  <c r="I88" i="4"/>
  <c r="F99" i="41"/>
  <c r="AU444" i="19"/>
  <c r="AN275" i="2"/>
  <c r="AU448" i="19"/>
  <c r="AN270" i="2"/>
  <c r="AN271" i="2" s="1"/>
  <c r="AU447" i="19"/>
  <c r="K59" i="4"/>
  <c r="G59" i="4"/>
  <c r="F107" i="12"/>
  <c r="F144" i="12"/>
  <c r="F126" i="12"/>
  <c r="F135" i="12" s="1"/>
  <c r="G117" i="12"/>
  <c r="G98" i="12"/>
  <c r="H89" i="12"/>
  <c r="I2" i="12"/>
  <c r="J20" i="43"/>
  <c r="J24" i="43" s="1"/>
  <c r="K133" i="12"/>
  <c r="K124" i="12" s="1"/>
  <c r="R102" i="12"/>
  <c r="S102" i="12" s="1"/>
  <c r="J1303" i="22"/>
  <c r="E123" i="31"/>
  <c r="G112" i="27"/>
  <c r="G128" i="27" s="1"/>
  <c r="E1308" i="22"/>
  <c r="F98" i="31"/>
  <c r="F94" i="31" s="1"/>
  <c r="P122" i="10"/>
  <c r="G164" i="27"/>
  <c r="G168" i="27" s="1"/>
  <c r="E1567" i="22" s="1"/>
  <c r="F81" i="31"/>
  <c r="J57" i="43"/>
  <c r="D79" i="31"/>
  <c r="E80" i="31" s="1"/>
  <c r="P14" i="31"/>
  <c r="H103" i="25"/>
  <c r="G87" i="31"/>
  <c r="F80" i="31"/>
  <c r="D79" i="19"/>
  <c r="D81" i="19" s="1"/>
  <c r="M109" i="4"/>
  <c r="AK144" i="10" s="1"/>
  <c r="AK151" i="10" s="1"/>
  <c r="R115" i="10"/>
  <c r="N109" i="4"/>
  <c r="N110" i="4" s="1"/>
  <c r="R199" i="10"/>
  <c r="R127" i="10"/>
  <c r="R214" i="10" s="1"/>
  <c r="E3530" i="22" s="1"/>
  <c r="BE442" i="19"/>
  <c r="BI442" i="19"/>
  <c r="J2348" i="22"/>
  <c r="G162" i="36"/>
  <c r="K25" i="38"/>
  <c r="I69" i="4"/>
  <c r="I70" i="4" s="1"/>
  <c r="L3" i="36"/>
  <c r="V3" i="36"/>
  <c r="K99" i="36"/>
  <c r="F62" i="38"/>
  <c r="F318" i="38" s="1"/>
  <c r="F292" i="38"/>
  <c r="F2110" i="22"/>
  <c r="E2271" i="22"/>
  <c r="E2274" i="22" s="1"/>
  <c r="J65" i="10"/>
  <c r="J152" i="10" s="1"/>
  <c r="K101" i="4"/>
  <c r="M80" i="10"/>
  <c r="M81" i="10" s="1"/>
  <c r="D2339" i="22"/>
  <c r="D2345" i="22" s="1"/>
  <c r="E2355" i="22"/>
  <c r="L118" i="4"/>
  <c r="L243" i="19"/>
  <c r="L255" i="19"/>
  <c r="BO379" i="2" s="1"/>
  <c r="O78" i="4" s="1"/>
  <c r="G118" i="4"/>
  <c r="M843" i="3" s="1"/>
  <c r="G852" i="3" s="1"/>
  <c r="D2274" i="22"/>
  <c r="D2276" i="22" s="1"/>
  <c r="D2399" i="22" s="1"/>
  <c r="D2398" i="22" s="1"/>
  <c r="R83" i="15"/>
  <c r="R84" i="15" s="1"/>
  <c r="D2295" i="22"/>
  <c r="CD289" i="2"/>
  <c r="M26" i="25"/>
  <c r="I247" i="27"/>
  <c r="I250" i="27" s="1"/>
  <c r="M85" i="25"/>
  <c r="AK227" i="19"/>
  <c r="P82" i="11"/>
  <c r="G233" i="27"/>
  <c r="L95" i="4"/>
  <c r="H546" i="22" s="1"/>
  <c r="M134" i="10"/>
  <c r="CF258" i="2"/>
  <c r="F30" i="37"/>
  <c r="F54" i="41"/>
  <c r="F100" i="41" s="1"/>
  <c r="F106" i="41" s="1"/>
  <c r="F107" i="41" s="1"/>
  <c r="F108" i="41" s="1"/>
  <c r="F102" i="41" s="1"/>
  <c r="J434" i="37"/>
  <c r="F34" i="41"/>
  <c r="F35" i="41" s="1"/>
  <c r="F42" i="41" s="1"/>
  <c r="F45" i="41" s="1"/>
  <c r="F56" i="41" s="1"/>
  <c r="D4001" i="22" s="1"/>
  <c r="L38" i="4"/>
  <c r="O1812" i="22"/>
  <c r="AN274" i="2"/>
  <c r="D1264" i="22"/>
  <c r="CI268" i="2"/>
  <c r="J93" i="22"/>
  <c r="I110" i="43"/>
  <c r="G404" i="22"/>
  <c r="R80" i="10"/>
  <c r="R107" i="10" s="1"/>
  <c r="G74" i="43"/>
  <c r="D2578" i="22"/>
  <c r="D2590" i="22" s="1"/>
  <c r="F800" i="3"/>
  <c r="F801" i="3" s="1"/>
  <c r="F802" i="3" s="1"/>
  <c r="BA243" i="2"/>
  <c r="AY358" i="38"/>
  <c r="D1277" i="22"/>
  <c r="BC443" i="19"/>
  <c r="L453" i="19" s="1"/>
  <c r="N95" i="38"/>
  <c r="S95" i="38" s="1"/>
  <c r="X95" i="38" s="1"/>
  <c r="AA95" i="38" s="1"/>
  <c r="N321" i="38"/>
  <c r="Q65" i="38"/>
  <c r="F72" i="37" s="1"/>
  <c r="J37" i="4"/>
  <c r="K38" i="4" s="1"/>
  <c r="J58" i="4"/>
  <c r="E2110" i="22"/>
  <c r="D31" i="19"/>
  <c r="D40" i="19"/>
  <c r="E40" i="19"/>
  <c r="AL312" i="2"/>
  <c r="G73" i="43"/>
  <c r="J37" i="5"/>
  <c r="J42" i="5" s="1"/>
  <c r="J34" i="5"/>
  <c r="J18" i="5" s="1"/>
  <c r="J26" i="5" s="1"/>
  <c r="G71" i="43"/>
  <c r="I3056" i="22"/>
  <c r="K165" i="43"/>
  <c r="K167" i="43" s="1"/>
  <c r="L5" i="5"/>
  <c r="K29" i="5"/>
  <c r="K10" i="5"/>
  <c r="J53" i="35"/>
  <c r="J54" i="35" s="1"/>
  <c r="N98" i="11"/>
  <c r="M122" i="10"/>
  <c r="Q37" i="10"/>
  <c r="Q19" i="10" s="1"/>
  <c r="P4" i="4" s="1"/>
  <c r="L39" i="4"/>
  <c r="H67" i="43"/>
  <c r="H72" i="43" s="1"/>
  <c r="H269" i="12"/>
  <c r="H257" i="12" s="1"/>
  <c r="H251" i="12"/>
  <c r="H255" i="12"/>
  <c r="I246" i="12"/>
  <c r="I112" i="4"/>
  <c r="J27" i="4"/>
  <c r="U326" i="22"/>
  <c r="H43" i="4"/>
  <c r="H56" i="4" s="1"/>
  <c r="H74" i="4" s="1"/>
  <c r="H86" i="4" s="1"/>
  <c r="H120" i="4"/>
  <c r="J67" i="43"/>
  <c r="J71" i="43" s="1"/>
  <c r="G68" i="43"/>
  <c r="G258" i="12"/>
  <c r="G261" i="12" s="1"/>
  <c r="G264" i="12" s="1"/>
  <c r="G266" i="12" s="1"/>
  <c r="W284" i="1" s="1"/>
  <c r="G272" i="12"/>
  <c r="L332" i="22"/>
  <c r="L334" i="22" s="1"/>
  <c r="L448" i="19"/>
  <c r="L444" i="19"/>
  <c r="BG443" i="19"/>
  <c r="AG453" i="19" s="1"/>
  <c r="L447" i="19"/>
  <c r="M92" i="22"/>
  <c r="I419" i="22" s="1"/>
  <c r="M90" i="22"/>
  <c r="M91" i="22"/>
  <c r="I418" i="22" s="1"/>
  <c r="W87" i="22"/>
  <c r="K93" i="22"/>
  <c r="G417" i="22"/>
  <c r="F176" i="27"/>
  <c r="F184" i="27" s="1"/>
  <c r="H130" i="11"/>
  <c r="H118" i="11"/>
  <c r="H120" i="11"/>
  <c r="H121" i="11" s="1"/>
  <c r="H122" i="11" s="1"/>
  <c r="G48" i="4"/>
  <c r="M109" i="12"/>
  <c r="AC100" i="12"/>
  <c r="AV155" i="2"/>
  <c r="L109" i="12"/>
  <c r="L128" i="12"/>
  <c r="AD100" i="12"/>
  <c r="F1298" i="22"/>
  <c r="I54" i="35"/>
  <c r="X53" i="35"/>
  <c r="H107" i="27"/>
  <c r="H123" i="27" s="1"/>
  <c r="F1333" i="22"/>
  <c r="BE425" i="19"/>
  <c r="N452" i="19" s="1"/>
  <c r="N435" i="19"/>
  <c r="N436" i="19"/>
  <c r="N437" i="19"/>
  <c r="BI425" i="19"/>
  <c r="AI452" i="19" s="1"/>
  <c r="AJ560" i="22"/>
  <c r="AE560" i="22"/>
  <c r="F111" i="3"/>
  <c r="F113" i="3" s="1"/>
  <c r="D1293" i="22"/>
  <c r="I2348" i="22"/>
  <c r="T71" i="25"/>
  <c r="T72" i="25" s="1"/>
  <c r="T73" i="25" s="1"/>
  <c r="P197" i="33"/>
  <c r="AF198" i="33"/>
  <c r="Q198" i="33"/>
  <c r="AE198" i="33" s="1"/>
  <c r="E172" i="27"/>
  <c r="E176" i="27" s="1"/>
  <c r="E184" i="27" s="1"/>
  <c r="J8" i="41"/>
  <c r="I7" i="41"/>
  <c r="I10" i="41" s="1"/>
  <c r="I13" i="41" s="1"/>
  <c r="I16" i="41" s="1"/>
  <c r="I19" i="41" s="1"/>
  <c r="L114" i="11"/>
  <c r="AI140" i="10" s="1"/>
  <c r="AL140" i="10" s="1"/>
  <c r="AO140" i="10" s="1"/>
  <c r="R62" i="12"/>
  <c r="V482" i="15"/>
  <c r="E2287" i="22"/>
  <c r="E2290" i="22" s="1"/>
  <c r="T54" i="25"/>
  <c r="T55" i="25" s="1"/>
  <c r="J101" i="35"/>
  <c r="J98" i="35"/>
  <c r="E2304" i="22"/>
  <c r="E2317" i="22" s="1"/>
  <c r="L2548" i="22"/>
  <c r="L2549" i="22" s="1"/>
  <c r="I82" i="19"/>
  <c r="E2561" i="22"/>
  <c r="E2563" i="22" s="1"/>
  <c r="I65" i="19"/>
  <c r="N2526" i="22"/>
  <c r="M2548" i="22"/>
  <c r="Q302" i="15"/>
  <c r="Q303" i="15" s="1"/>
  <c r="Q304" i="15" s="1"/>
  <c r="I60" i="19"/>
  <c r="I70" i="19"/>
  <c r="L46" i="4"/>
  <c r="AZ329" i="2"/>
  <c r="M117" i="11"/>
  <c r="K148" i="10"/>
  <c r="W481" i="15"/>
  <c r="S41" i="12"/>
  <c r="S52" i="12" s="1"/>
  <c r="T9" i="12"/>
  <c r="T39" i="25"/>
  <c r="T125" i="25" s="1"/>
  <c r="T61" i="25"/>
  <c r="T103" i="25" s="1"/>
  <c r="H121" i="36"/>
  <c r="H132" i="36"/>
  <c r="C213" i="36"/>
  <c r="H154" i="36"/>
  <c r="M130" i="12"/>
  <c r="M121" i="12" s="1"/>
  <c r="BA157" i="2"/>
  <c r="AE102" i="12"/>
  <c r="G1302" i="22"/>
  <c r="N111" i="12"/>
  <c r="G110" i="3"/>
  <c r="G109" i="3"/>
  <c r="H106" i="3"/>
  <c r="V35" i="25"/>
  <c r="U38" i="25"/>
  <c r="H163" i="27"/>
  <c r="L105" i="12"/>
  <c r="L82" i="12"/>
  <c r="AV238" i="2"/>
  <c r="K173" i="10"/>
  <c r="K174" i="10"/>
  <c r="F220" i="27"/>
  <c r="M84" i="12"/>
  <c r="P36" i="4"/>
  <c r="BA536" i="2"/>
  <c r="BA528" i="2"/>
  <c r="BA539" i="2"/>
  <c r="F130" i="31"/>
  <c r="P102" i="36"/>
  <c r="K165" i="36"/>
  <c r="P62" i="36"/>
  <c r="Z62" i="36" s="1"/>
  <c r="K183" i="36" s="1"/>
  <c r="AV236" i="2"/>
  <c r="H161" i="27"/>
  <c r="L103" i="12"/>
  <c r="M112" i="12" s="1"/>
  <c r="L101" i="12"/>
  <c r="H159" i="27"/>
  <c r="AV234" i="2"/>
  <c r="G1308" i="22"/>
  <c r="BA160" i="2"/>
  <c r="M133" i="12"/>
  <c r="M124" i="12" s="1"/>
  <c r="G1332" i="22"/>
  <c r="I106" i="27"/>
  <c r="I122" i="27" s="1"/>
  <c r="J137" i="27" s="1"/>
  <c r="M93" i="38"/>
  <c r="R93" i="38" s="1"/>
  <c r="W93" i="38" s="1"/>
  <c r="M319" i="38"/>
  <c r="G1336" i="22"/>
  <c r="I110" i="27"/>
  <c r="I126" i="27" s="1"/>
  <c r="BA156" i="2"/>
  <c r="M129" i="12"/>
  <c r="G1300" i="22"/>
  <c r="I112" i="27"/>
  <c r="I128" i="27" s="1"/>
  <c r="G1338" i="22"/>
  <c r="BQ26" i="2"/>
  <c r="BQ35" i="2" s="1"/>
  <c r="BQ50" i="2" s="1"/>
  <c r="BQ71" i="2"/>
  <c r="BQ80" i="2" s="1"/>
  <c r="BQ17" i="2"/>
  <c r="BQ24" i="2"/>
  <c r="BR87" i="2"/>
  <c r="BQ87" i="2"/>
  <c r="H160" i="27"/>
  <c r="AV235" i="2"/>
  <c r="L102" i="12"/>
  <c r="M111" i="12" s="1"/>
  <c r="I164" i="27"/>
  <c r="G1337" i="22"/>
  <c r="I111" i="27"/>
  <c r="I127" i="27" s="1"/>
  <c r="K95" i="4"/>
  <c r="G546" i="22" s="1"/>
  <c r="E1347" i="22"/>
  <c r="M132" i="12"/>
  <c r="BA159" i="2"/>
  <c r="G1306" i="22"/>
  <c r="N108" i="12"/>
  <c r="BA154" i="2"/>
  <c r="M127" i="12"/>
  <c r="AE99" i="12"/>
  <c r="G1296" i="22"/>
  <c r="G1335" i="22"/>
  <c r="I109" i="27"/>
  <c r="I125" i="27" s="1"/>
  <c r="T108" i="25"/>
  <c r="M131" i="12"/>
  <c r="N112" i="12"/>
  <c r="BA158" i="2"/>
  <c r="G1304" i="22"/>
  <c r="AE103" i="12"/>
  <c r="G1334" i="22"/>
  <c r="I108" i="27"/>
  <c r="I124" i="27" s="1"/>
  <c r="AV237" i="2"/>
  <c r="L104" i="12"/>
  <c r="M113" i="12" s="1"/>
  <c r="H162" i="27"/>
  <c r="AJ272" i="37"/>
  <c r="I348" i="37"/>
  <c r="I382" i="37" s="1"/>
  <c r="I452" i="37" s="1"/>
  <c r="J161" i="37"/>
  <c r="J183" i="37" s="1"/>
  <c r="J248" i="37" s="1"/>
  <c r="J45" i="37"/>
  <c r="J85" i="37" s="1"/>
  <c r="J122" i="37" s="1"/>
  <c r="J272" i="37"/>
  <c r="K4" i="37"/>
  <c r="AK4" i="37"/>
  <c r="AW4" i="37" s="1"/>
  <c r="E1261" i="22"/>
  <c r="U1711" i="22"/>
  <c r="D1281" i="22"/>
  <c r="AI333" i="2"/>
  <c r="M1107" i="22" s="1"/>
  <c r="AI261" i="2"/>
  <c r="AI390" i="2"/>
  <c r="CI242" i="2"/>
  <c r="CE247" i="2" s="1"/>
  <c r="CE249" i="2" s="1"/>
  <c r="CC258" i="2" s="1"/>
  <c r="AI3" i="2"/>
  <c r="AI24" i="2" s="1"/>
  <c r="AI289" i="2"/>
  <c r="CI289" i="2" s="1"/>
  <c r="AI291" i="2"/>
  <c r="AI292" i="2"/>
  <c r="T6" i="12"/>
  <c r="S38" i="12"/>
  <c r="W389" i="15"/>
  <c r="K131" i="43"/>
  <c r="K139" i="43"/>
  <c r="K142" i="43"/>
  <c r="N448" i="19"/>
  <c r="BI443" i="19"/>
  <c r="AI453" i="19" s="1"/>
  <c r="N447" i="19"/>
  <c r="N444" i="19"/>
  <c r="BE443" i="19"/>
  <c r="N453" i="19" s="1"/>
  <c r="S99" i="10"/>
  <c r="P119" i="25"/>
  <c r="P120" i="25" s="1"/>
  <c r="P84" i="25"/>
  <c r="N187" i="25" s="1"/>
  <c r="P13" i="25"/>
  <c r="V617" i="38"/>
  <c r="M187" i="25"/>
  <c r="R326" i="22"/>
  <c r="I334" i="22"/>
  <c r="K159" i="10"/>
  <c r="K108" i="10"/>
  <c r="L130" i="43"/>
  <c r="M136" i="43"/>
  <c r="R4" i="25"/>
  <c r="Q12" i="25"/>
  <c r="M99" i="43"/>
  <c r="L93" i="43"/>
  <c r="CO242" i="2"/>
  <c r="CK247" i="2" s="1"/>
  <c r="CK248" i="2" s="1"/>
  <c r="CK251" i="2" s="1"/>
  <c r="AK3" i="2"/>
  <c r="AK24" i="2" s="1"/>
  <c r="AK390" i="2"/>
  <c r="CK242" i="2"/>
  <c r="CG247" i="2" s="1"/>
  <c r="CG249" i="2" s="1"/>
  <c r="E1066" i="22" s="1"/>
  <c r="AK289" i="2"/>
  <c r="AK291" i="2"/>
  <c r="AK292" i="2"/>
  <c r="AK333" i="2"/>
  <c r="AK261" i="2"/>
  <c r="M40" i="43"/>
  <c r="N4" i="43"/>
  <c r="M164" i="43"/>
  <c r="M55" i="43"/>
  <c r="K103" i="43"/>
  <c r="K94" i="43"/>
  <c r="BD359" i="38" s="1"/>
  <c r="K106" i="43"/>
  <c r="D1810" i="22"/>
  <c r="AC1711" i="22"/>
  <c r="S1711" i="22"/>
  <c r="D1753" i="22"/>
  <c r="D1715" i="22"/>
  <c r="K65" i="10"/>
  <c r="K152" i="10" s="1"/>
  <c r="C5054" i="22"/>
  <c r="J145" i="43"/>
  <c r="L221" i="37"/>
  <c r="AY360" i="38"/>
  <c r="J88" i="4"/>
  <c r="AQ217" i="2"/>
  <c r="J114" i="4"/>
  <c r="M370" i="38"/>
  <c r="M397" i="38"/>
  <c r="R321" i="38"/>
  <c r="W215" i="19"/>
  <c r="W35" i="19"/>
  <c r="W53" i="19"/>
  <c r="W54" i="19" s="1"/>
  <c r="N31" i="5"/>
  <c r="N39" i="5" s="1"/>
  <c r="O7" i="5"/>
  <c r="AN289" i="2"/>
  <c r="AN390" i="2"/>
  <c r="AN292" i="2"/>
  <c r="CQ242" i="2"/>
  <c r="CM247" i="2" s="1"/>
  <c r="CM248" i="2" s="1"/>
  <c r="CM251" i="2" s="1"/>
  <c r="AN261" i="2"/>
  <c r="CM242" i="2"/>
  <c r="CI247" i="2" s="1"/>
  <c r="CI248" i="2" s="1"/>
  <c r="CI251" i="2" s="1"/>
  <c r="AN291" i="2"/>
  <c r="AN3" i="2"/>
  <c r="AN9" i="2" s="1"/>
  <c r="N449" i="19"/>
  <c r="F1810" i="22"/>
  <c r="F1753" i="22"/>
  <c r="X1739" i="22"/>
  <c r="F1715" i="22"/>
  <c r="G407" i="22"/>
  <c r="G409" i="22" s="1"/>
  <c r="H404" i="22"/>
  <c r="K10" i="4"/>
  <c r="J2" i="4"/>
  <c r="BD301" i="38"/>
  <c r="M162" i="37"/>
  <c r="O290" i="37"/>
  <c r="P290" i="37" s="1"/>
  <c r="Q290" i="37" s="1"/>
  <c r="R290" i="37" s="1"/>
  <c r="S290" i="37" s="1"/>
  <c r="T290" i="37" s="1"/>
  <c r="L218" i="37"/>
  <c r="CZ196" i="38"/>
  <c r="K57" i="37"/>
  <c r="K65" i="37" s="1"/>
  <c r="F209" i="33"/>
  <c r="J1252" i="22"/>
  <c r="K284" i="37"/>
  <c r="X10" i="1" s="1"/>
  <c r="G99" i="40"/>
  <c r="R207" i="27"/>
  <c r="F211" i="27"/>
  <c r="K16" i="37"/>
  <c r="K17" i="37" s="1"/>
  <c r="G97" i="40"/>
  <c r="G98" i="40"/>
  <c r="F1276" i="22"/>
  <c r="AV304" i="2"/>
  <c r="AV305" i="2" s="1"/>
  <c r="AV312" i="2" s="1"/>
  <c r="K61" i="4"/>
  <c r="K103" i="4"/>
  <c r="Q28" i="11"/>
  <c r="O89" i="40"/>
  <c r="K53" i="4"/>
  <c r="N367" i="38"/>
  <c r="N394" i="38"/>
  <c r="S318" i="38"/>
  <c r="J1325" i="22"/>
  <c r="L195" i="27"/>
  <c r="L179" i="27"/>
  <c r="D124" i="31"/>
  <c r="D111" i="31" s="1"/>
  <c r="AF84" i="10"/>
  <c r="P92" i="10"/>
  <c r="AU728" i="22" s="1"/>
  <c r="AV728" i="22" s="1"/>
  <c r="P85" i="10"/>
  <c r="H172" i="27"/>
  <c r="AQ388" i="2"/>
  <c r="H95" i="4"/>
  <c r="D546" i="22" s="1"/>
  <c r="H38" i="4"/>
  <c r="H118" i="4"/>
  <c r="N843" i="3" s="1"/>
  <c r="H852" i="3" s="1"/>
  <c r="S61" i="12"/>
  <c r="W459" i="15"/>
  <c r="I285" i="25"/>
  <c r="AK276" i="2"/>
  <c r="AP276" i="2"/>
  <c r="AK271" i="2"/>
  <c r="E423" i="22"/>
  <c r="I423" i="22" s="1"/>
  <c r="M18" i="15"/>
  <c r="G145" i="27"/>
  <c r="H83" i="27"/>
  <c r="J103" i="4"/>
  <c r="G800" i="3" s="1"/>
  <c r="G801" i="3" s="1"/>
  <c r="G802" i="3" s="1"/>
  <c r="AQ304" i="2"/>
  <c r="AQ305" i="2" s="1"/>
  <c r="AQ312" i="2" s="1"/>
  <c r="E1276" i="22"/>
  <c r="J61" i="4"/>
  <c r="K122" i="11"/>
  <c r="L122" i="11"/>
  <c r="CI252" i="2"/>
  <c r="U8" i="12"/>
  <c r="T40" i="12"/>
  <c r="T51" i="12" s="1"/>
  <c r="T61" i="12" s="1"/>
  <c r="O18" i="15"/>
  <c r="D2689" i="22"/>
  <c r="D2691" i="22" s="1"/>
  <c r="D1232" i="22"/>
  <c r="D1242" i="22" s="1"/>
  <c r="E753" i="22"/>
  <c r="E130" i="27"/>
  <c r="F130" i="27" s="1"/>
  <c r="G130" i="27" s="1"/>
  <c r="H130" i="27" s="1"/>
  <c r="I130" i="27" s="1"/>
  <c r="J130" i="27" s="1"/>
  <c r="K130" i="27" s="1"/>
  <c r="L130" i="27" s="1"/>
  <c r="F115" i="27"/>
  <c r="G115" i="27" s="1"/>
  <c r="H115" i="27" s="1"/>
  <c r="I115" i="27" s="1"/>
  <c r="J115" i="27" s="1"/>
  <c r="K115" i="27" s="1"/>
  <c r="L115" i="27" s="1"/>
  <c r="R60" i="12"/>
  <c r="V413" i="15"/>
  <c r="H69" i="4"/>
  <c r="I54" i="4"/>
  <c r="H66" i="4"/>
  <c r="H67" i="4"/>
  <c r="F118" i="31"/>
  <c r="AJ271" i="2"/>
  <c r="AJ276" i="2"/>
  <c r="J53" i="4"/>
  <c r="AN35" i="2"/>
  <c r="AN50" i="2" s="1"/>
  <c r="AN23" i="2"/>
  <c r="AG304" i="2"/>
  <c r="AG305" i="2" s="1"/>
  <c r="AG312" i="2" s="1"/>
  <c r="AG393" i="2" s="1"/>
  <c r="H61" i="4"/>
  <c r="H103" i="4"/>
  <c r="T7" i="12"/>
  <c r="W412" i="15"/>
  <c r="S39" i="12"/>
  <c r="S50" i="12" s="1"/>
  <c r="M164" i="19"/>
  <c r="G172" i="27"/>
  <c r="G176" i="27" s="1"/>
  <c r="M108" i="12"/>
  <c r="AV154" i="2"/>
  <c r="AD99" i="12"/>
  <c r="F1296" i="22"/>
  <c r="L108" i="12"/>
  <c r="AC99" i="12"/>
  <c r="L127" i="12"/>
  <c r="H21" i="43"/>
  <c r="H24" i="43"/>
  <c r="H106" i="27"/>
  <c r="H122" i="27" s="1"/>
  <c r="F1332" i="22"/>
  <c r="G179" i="27"/>
  <c r="T138" i="25"/>
  <c r="U137" i="25"/>
  <c r="H170" i="43"/>
  <c r="H174" i="43"/>
  <c r="Q30" i="5"/>
  <c r="Q34" i="5" s="1"/>
  <c r="O103" i="11"/>
  <c r="O97" i="11"/>
  <c r="O102" i="11" s="1"/>
  <c r="L78" i="43"/>
  <c r="M65" i="43"/>
  <c r="M96" i="37"/>
  <c r="H81" i="3"/>
  <c r="G83" i="3"/>
  <c r="G85" i="3" s="1"/>
  <c r="G87" i="3" s="1"/>
  <c r="I277" i="25"/>
  <c r="I250" i="25"/>
  <c r="N293" i="38"/>
  <c r="Q26" i="38"/>
  <c r="N63" i="38"/>
  <c r="R32" i="10"/>
  <c r="R41" i="10" s="1"/>
  <c r="V229" i="15" s="1"/>
  <c r="S5" i="10"/>
  <c r="S10" i="10" s="1"/>
  <c r="V228" i="15"/>
  <c r="J84" i="46"/>
  <c r="X16" i="12"/>
  <c r="S63" i="12"/>
  <c r="W505" i="15"/>
  <c r="V366" i="15"/>
  <c r="S5" i="12"/>
  <c r="R37" i="12"/>
  <c r="R48" i="12" s="1"/>
  <c r="O13" i="12"/>
  <c r="N45" i="12"/>
  <c r="N76" i="12" s="1"/>
  <c r="U367" i="15"/>
  <c r="Q58" i="12"/>
  <c r="W19" i="12"/>
  <c r="W18" i="12"/>
  <c r="T42" i="12"/>
  <c r="T53" i="12" s="1"/>
  <c r="T63" i="12" s="1"/>
  <c r="U10" i="12"/>
  <c r="H257" i="25"/>
  <c r="H303" i="25"/>
  <c r="I260" i="25"/>
  <c r="I259" i="25"/>
  <c r="I256" i="25"/>
  <c r="I252" i="25"/>
  <c r="I254" i="25"/>
  <c r="J279" i="25"/>
  <c r="J276" i="25" s="1"/>
  <c r="K266" i="25"/>
  <c r="K265" i="25" s="1"/>
  <c r="J265" i="25"/>
  <c r="G344" i="25"/>
  <c r="G348" i="25"/>
  <c r="G350" i="25" s="1"/>
  <c r="H255" i="25"/>
  <c r="H302" i="25"/>
  <c r="K281" i="25"/>
  <c r="K282" i="25"/>
  <c r="N15" i="25"/>
  <c r="M33" i="25"/>
  <c r="M132" i="25" s="1"/>
  <c r="K170" i="25" s="1"/>
  <c r="H251" i="25"/>
  <c r="H300" i="25"/>
  <c r="P182" i="25"/>
  <c r="R80" i="25"/>
  <c r="S79" i="25"/>
  <c r="J4421" i="22"/>
  <c r="J4452" i="22" s="1"/>
  <c r="J4468" i="22"/>
  <c r="J4470" i="22" s="1"/>
  <c r="J4408" i="22"/>
  <c r="Q77" i="25"/>
  <c r="O181" i="25" s="1"/>
  <c r="O183" i="25"/>
  <c r="Q87" i="25"/>
  <c r="G3602" i="22"/>
  <c r="G3604" i="22" s="1"/>
  <c r="Q81" i="25"/>
  <c r="J330" i="25"/>
  <c r="I329" i="25"/>
  <c r="I332" i="25" s="1"/>
  <c r="I333" i="25" s="1"/>
  <c r="U47" i="25"/>
  <c r="U45" i="25"/>
  <c r="V43" i="25"/>
  <c r="U51" i="25"/>
  <c r="U52" i="25" s="1"/>
  <c r="W67" i="25"/>
  <c r="G27" i="31"/>
  <c r="G36" i="31"/>
  <c r="Q55" i="11"/>
  <c r="P14" i="4"/>
  <c r="P22" i="4" s="1"/>
  <c r="E53" i="31"/>
  <c r="E55" i="31" s="1"/>
  <c r="V15" i="11"/>
  <c r="S41" i="11"/>
  <c r="R42" i="11"/>
  <c r="R37" i="11"/>
  <c r="R19" i="11" s="1"/>
  <c r="V14" i="11"/>
  <c r="T6" i="11"/>
  <c r="W343" i="15"/>
  <c r="S33" i="11"/>
  <c r="S42" i="11" s="1"/>
  <c r="W344" i="15" s="1"/>
  <c r="T41" i="11"/>
  <c r="U5" i="11"/>
  <c r="U32" i="11" s="1"/>
  <c r="AU486" i="2"/>
  <c r="AU489" i="2" s="1"/>
  <c r="O2027" i="22"/>
  <c r="N108" i="19"/>
  <c r="N165" i="19" s="1"/>
  <c r="O109" i="19"/>
  <c r="I12" i="19"/>
  <c r="L7" i="11"/>
  <c r="P297" i="15"/>
  <c r="H14" i="19"/>
  <c r="F25" i="27"/>
  <c r="F41" i="27" s="1"/>
  <c r="I5" i="4"/>
  <c r="D1958" i="22"/>
  <c r="F47" i="31"/>
  <c r="E1960" i="22" s="1"/>
  <c r="Q22" i="19"/>
  <c r="R24" i="19"/>
  <c r="J208" i="19"/>
  <c r="O180" i="19"/>
  <c r="N337" i="19"/>
  <c r="O168" i="19"/>
  <c r="N173" i="19"/>
  <c r="H337" i="19"/>
  <c r="G337" i="19" s="1"/>
  <c r="F337" i="19" s="1"/>
  <c r="E337" i="19" s="1"/>
  <c r="D337" i="19" s="1"/>
  <c r="C337" i="19" s="1"/>
  <c r="AI180" i="19"/>
  <c r="M210" i="19"/>
  <c r="L210" i="19"/>
  <c r="M124" i="19"/>
  <c r="L120" i="19"/>
  <c r="L117" i="19" s="1"/>
  <c r="O129" i="19"/>
  <c r="N132" i="19"/>
  <c r="K11" i="11"/>
  <c r="K20" i="11" s="1"/>
  <c r="G9" i="27"/>
  <c r="AZ424" i="19"/>
  <c r="D424" i="19"/>
  <c r="E425" i="19"/>
  <c r="G15" i="19"/>
  <c r="K25" i="11" s="1"/>
  <c r="K16" i="11"/>
  <c r="G17" i="19"/>
  <c r="H211" i="27"/>
  <c r="H225" i="27" s="1"/>
  <c r="AV444" i="19"/>
  <c r="AV448" i="19"/>
  <c r="AV447" i="19"/>
  <c r="K118" i="19"/>
  <c r="K112" i="19"/>
  <c r="K221" i="19" s="1"/>
  <c r="K208" i="19" s="1"/>
  <c r="K114" i="19"/>
  <c r="K115" i="19"/>
  <c r="K113" i="19"/>
  <c r="K116" i="19"/>
  <c r="AV470" i="2"/>
  <c r="AV471" i="2"/>
  <c r="M160" i="19"/>
  <c r="M162" i="19"/>
  <c r="M161" i="19"/>
  <c r="M163" i="19"/>
  <c r="AN30" i="19"/>
  <c r="I107" i="19"/>
  <c r="J2" i="19"/>
  <c r="I410" i="19"/>
  <c r="R114" i="45"/>
  <c r="L162" i="37"/>
  <c r="AY301" i="38"/>
  <c r="Q142" i="37"/>
  <c r="AK210" i="38"/>
  <c r="BQ13" i="22"/>
  <c r="BD188" i="38"/>
  <c r="M241" i="37"/>
  <c r="AN210" i="38"/>
  <c r="BS13" i="22"/>
  <c r="H3557" i="22"/>
  <c r="H3574" i="22" s="1"/>
  <c r="F2967" i="22"/>
  <c r="F2968" i="22" s="1"/>
  <c r="S335" i="37"/>
  <c r="S145" i="37"/>
  <c r="H3780" i="22"/>
  <c r="C5048" i="22"/>
  <c r="G3477" i="22"/>
  <c r="G3498" i="22" s="1"/>
  <c r="J41" i="37"/>
  <c r="D4587" i="22" s="1"/>
  <c r="D4589" i="22" s="1"/>
  <c r="Y139" i="15"/>
  <c r="Q143" i="37"/>
  <c r="T1812" i="22"/>
  <c r="M94" i="37"/>
  <c r="F77" i="13"/>
  <c r="Y961" i="38"/>
  <c r="AP497" i="38"/>
  <c r="AM134" i="38"/>
  <c r="J97" i="37"/>
  <c r="J65" i="37"/>
  <c r="G4575" i="22" s="1"/>
  <c r="AO71" i="38"/>
  <c r="J77" i="37" s="1"/>
  <c r="AR132" i="38"/>
  <c r="AR134" i="38" s="1"/>
  <c r="J5184" i="22"/>
  <c r="J5185" i="22" s="1"/>
  <c r="F75" i="13"/>
  <c r="K96" i="37"/>
  <c r="P29" i="31"/>
  <c r="K131" i="31"/>
  <c r="L34" i="31"/>
  <c r="K119" i="31"/>
  <c r="P57" i="31" s="1"/>
  <c r="O1810" i="22"/>
  <c r="R89" i="10"/>
  <c r="G318" i="38"/>
  <c r="D198" i="37" s="1"/>
  <c r="D263" i="37" s="1"/>
  <c r="D69" i="37"/>
  <c r="D107" i="37" s="1"/>
  <c r="CL289" i="2"/>
  <c r="J173" i="10"/>
  <c r="V155" i="12"/>
  <c r="T28" i="25"/>
  <c r="E316" i="38"/>
  <c r="J365" i="38" s="1"/>
  <c r="E67" i="38"/>
  <c r="J373" i="38" s="1"/>
  <c r="S170" i="19"/>
  <c r="M367" i="38"/>
  <c r="M394" i="38"/>
  <c r="R318" i="38"/>
  <c r="Q92" i="40"/>
  <c r="AF92" i="40" s="1"/>
  <c r="Q172" i="19"/>
  <c r="L392" i="38"/>
  <c r="E196" i="37"/>
  <c r="E261" i="37" s="1"/>
  <c r="J14" i="41"/>
  <c r="L334" i="37"/>
  <c r="F26" i="36"/>
  <c r="F38" i="36" s="1"/>
  <c r="G11" i="36"/>
  <c r="V11" i="36"/>
  <c r="F2522" i="22"/>
  <c r="L258" i="19"/>
  <c r="L326" i="19" s="1"/>
  <c r="L328" i="19" s="1"/>
  <c r="Z147" i="12"/>
  <c r="Y149" i="12"/>
  <c r="U294" i="19"/>
  <c r="V294" i="19"/>
  <c r="AT113" i="38"/>
  <c r="U87" i="11"/>
  <c r="V75" i="11"/>
  <c r="L248" i="19"/>
  <c r="L249" i="19" s="1"/>
  <c r="L323" i="19" s="1"/>
  <c r="L250" i="19"/>
  <c r="N4" i="41"/>
  <c r="Q318" i="38"/>
  <c r="F198" i="37" s="1"/>
  <c r="F263" i="37" s="1"/>
  <c r="H1107" i="22"/>
  <c r="CD252" i="2"/>
  <c r="L1107" i="22"/>
  <c r="K184" i="37"/>
  <c r="K219" i="37"/>
  <c r="AT357" i="38" s="1"/>
  <c r="AT79" i="38"/>
  <c r="K260" i="37"/>
  <c r="AQ210" i="38"/>
  <c r="T138" i="37"/>
  <c r="T155" i="37"/>
  <c r="D3275" i="22"/>
  <c r="D3289" i="22" s="1"/>
  <c r="J3143" i="22"/>
  <c r="AS208" i="38"/>
  <c r="AS189" i="38"/>
  <c r="AS150" i="38"/>
  <c r="K5184" i="22" s="1"/>
  <c r="K5185" i="22" s="1"/>
  <c r="E2930" i="22"/>
  <c r="J260" i="37"/>
  <c r="AS32" i="38"/>
  <c r="AS21" i="38"/>
  <c r="K101" i="37"/>
  <c r="N15" i="13"/>
  <c r="H356" i="37"/>
  <c r="AI280" i="37"/>
  <c r="AI284" i="37" s="1"/>
  <c r="AI292" i="37" s="1"/>
  <c r="Y170" i="38"/>
  <c r="Z135" i="15"/>
  <c r="Z153" i="15"/>
  <c r="G447" i="37"/>
  <c r="Y143" i="38"/>
  <c r="E12" i="42" s="1"/>
  <c r="G439" i="37"/>
  <c r="D3480" i="22"/>
  <c r="D3501" i="22" s="1"/>
  <c r="V155" i="15"/>
  <c r="V241" i="10"/>
  <c r="V249" i="10" s="1"/>
  <c r="D3417" i="22"/>
  <c r="D3418" i="22" s="1"/>
  <c r="G356" i="37"/>
  <c r="D15" i="42"/>
  <c r="V185" i="38"/>
  <c r="AH280" i="37"/>
  <c r="AH284" i="37" s="1"/>
  <c r="AU20" i="37"/>
  <c r="V243" i="10"/>
  <c r="D2729" i="22"/>
  <c r="G2710" i="22"/>
  <c r="G2711" i="22" s="1"/>
  <c r="E2322" i="22"/>
  <c r="AK139" i="10"/>
  <c r="X187" i="10"/>
  <c r="X188" i="10" s="1"/>
  <c r="AA348" i="38"/>
  <c r="AN564" i="38"/>
  <c r="AH564" i="38"/>
  <c r="AM564" i="38"/>
  <c r="AK564" i="38"/>
  <c r="AL564" i="38"/>
  <c r="AJ113" i="38"/>
  <c r="I279" i="37"/>
  <c r="E29" i="41"/>
  <c r="AJ182" i="38"/>
  <c r="E34" i="41"/>
  <c r="I434" i="37"/>
  <c r="I430" i="37" s="1"/>
  <c r="X150" i="15" s="1"/>
  <c r="E61" i="41"/>
  <c r="AH208" i="38"/>
  <c r="AH132" i="38"/>
  <c r="AH189" i="38"/>
  <c r="AH150" i="38"/>
  <c r="F24" i="41"/>
  <c r="R174" i="38"/>
  <c r="R168" i="38"/>
  <c r="K951" i="38"/>
  <c r="C50" i="42"/>
  <c r="T66" i="38"/>
  <c r="T322" i="38" s="1"/>
  <c r="T398" i="38" s="1"/>
  <c r="T399" i="38" s="1"/>
  <c r="T401" i="38" s="1"/>
  <c r="T379" i="38" s="1"/>
  <c r="O373" i="38"/>
  <c r="V137" i="38"/>
  <c r="G303" i="37"/>
  <c r="T10" i="1" s="1"/>
  <c r="T12" i="1" s="1"/>
  <c r="T14" i="1" s="1"/>
  <c r="AU6" i="37"/>
  <c r="V198" i="10"/>
  <c r="V193" i="10"/>
  <c r="D4941" i="22"/>
  <c r="P5013" i="22"/>
  <c r="K87" i="37"/>
  <c r="AU16" i="37"/>
  <c r="AU7" i="37"/>
  <c r="AU5" i="37"/>
  <c r="AU12" i="37"/>
  <c r="W249" i="10"/>
  <c r="S300" i="10"/>
  <c r="S302" i="10" s="1"/>
  <c r="AU19" i="37"/>
  <c r="AU21" i="37"/>
  <c r="AU11" i="37"/>
  <c r="Q74" i="40"/>
  <c r="M235" i="37"/>
  <c r="R3" i="15"/>
  <c r="G2133" i="22"/>
  <c r="F62" i="41"/>
  <c r="F64" i="41" s="1"/>
  <c r="F39" i="41"/>
  <c r="R149" i="37"/>
  <c r="V252" i="15"/>
  <c r="Q209" i="10"/>
  <c r="S345" i="1" s="1"/>
  <c r="AB186" i="10"/>
  <c r="J208" i="36"/>
  <c r="P145" i="36"/>
  <c r="J228" i="36" s="1"/>
  <c r="Q86" i="10"/>
  <c r="Q46" i="10"/>
  <c r="Q47" i="10"/>
  <c r="U252" i="15"/>
  <c r="R86" i="10"/>
  <c r="R93" i="10" s="1"/>
  <c r="U76" i="10"/>
  <c r="T105" i="10"/>
  <c r="S208" i="10"/>
  <c r="S199" i="10"/>
  <c r="S127" i="10"/>
  <c r="S214" i="10" s="1"/>
  <c r="S115" i="10"/>
  <c r="S33" i="10"/>
  <c r="S42" i="10" s="1"/>
  <c r="S86" i="10" s="1"/>
  <c r="W251" i="15"/>
  <c r="T6" i="10"/>
  <c r="Y273" i="10"/>
  <c r="X310" i="10"/>
  <c r="F2322" i="22"/>
  <c r="E2729" i="22"/>
  <c r="E2731" i="22" s="1"/>
  <c r="E78" i="13"/>
  <c r="Q227" i="14"/>
  <c r="W265" i="10"/>
  <c r="U259" i="10"/>
  <c r="U261" i="10" s="1"/>
  <c r="AC250" i="10"/>
  <c r="M141" i="37"/>
  <c r="M336" i="37"/>
  <c r="W253" i="10"/>
  <c r="V254" i="10"/>
  <c r="AB306" i="10"/>
  <c r="AP301" i="38"/>
  <c r="X307" i="10"/>
  <c r="W308" i="10"/>
  <c r="N122" i="10"/>
  <c r="E2844" i="22" s="1"/>
  <c r="N110" i="10"/>
  <c r="N134" i="10"/>
  <c r="E2845" i="22" s="1"/>
  <c r="N80" i="10"/>
  <c r="M38" i="4"/>
  <c r="M66" i="4"/>
  <c r="G2707" i="22"/>
  <c r="G2704" i="22" s="1"/>
  <c r="G2705" i="22" s="1"/>
  <c r="A33" i="4"/>
  <c r="A31" i="4"/>
  <c r="M71" i="4"/>
  <c r="E2203" i="22" s="1"/>
  <c r="E2339" i="22"/>
  <c r="D2574" i="22"/>
  <c r="A34" i="4"/>
  <c r="M118" i="4"/>
  <c r="E2101" i="22"/>
  <c r="E2099" i="22" s="1"/>
  <c r="E2102" i="22" s="1"/>
  <c r="M95" i="4"/>
  <c r="M67" i="4"/>
  <c r="D2728" i="22"/>
  <c r="D2740" i="22" s="1"/>
  <c r="A35" i="4"/>
  <c r="D2212" i="22"/>
  <c r="D2216" i="22" s="1"/>
  <c r="D2220" i="22" s="1"/>
  <c r="A32" i="4"/>
  <c r="A30" i="4"/>
  <c r="E2320" i="22"/>
  <c r="A29" i="4"/>
  <c r="H87" i="31"/>
  <c r="G76" i="31"/>
  <c r="G98" i="31"/>
  <c r="G80" i="31"/>
  <c r="F111" i="31"/>
  <c r="W14" i="10"/>
  <c r="Z70" i="10"/>
  <c r="X121" i="10"/>
  <c r="I167" i="10"/>
  <c r="I168" i="10" s="1"/>
  <c r="J168" i="10"/>
  <c r="M177" i="10"/>
  <c r="L176" i="10"/>
  <c r="L178" i="10" s="1"/>
  <c r="L179" i="10" s="1"/>
  <c r="H76" i="31"/>
  <c r="H80" i="31"/>
  <c r="G111" i="31"/>
  <c r="H98" i="31"/>
  <c r="H92" i="31" s="1"/>
  <c r="CH275" i="2"/>
  <c r="AM276" i="2"/>
  <c r="L1112" i="22" s="1"/>
  <c r="AM271" i="2"/>
  <c r="L2" i="10"/>
  <c r="M231" i="22"/>
  <c r="O80" i="10"/>
  <c r="O134" i="10"/>
  <c r="O110" i="10"/>
  <c r="O247" i="10"/>
  <c r="O122" i="10"/>
  <c r="V15" i="10"/>
  <c r="BK242" i="2"/>
  <c r="BK244" i="2" s="1"/>
  <c r="G37" i="36"/>
  <c r="W275" i="15"/>
  <c r="T147" i="10"/>
  <c r="P15" i="36"/>
  <c r="K230" i="36"/>
  <c r="N90" i="25"/>
  <c r="U16" i="10"/>
  <c r="T34" i="10"/>
  <c r="T43" i="10" s="1"/>
  <c r="AM139" i="10"/>
  <c r="N96" i="4"/>
  <c r="N118" i="4"/>
  <c r="F2339" i="22"/>
  <c r="E2574" i="22"/>
  <c r="N38" i="4"/>
  <c r="N66" i="4"/>
  <c r="F2320" i="22"/>
  <c r="E2728" i="22"/>
  <c r="N67" i="4"/>
  <c r="G2217" i="22" s="1"/>
  <c r="N95" i="4"/>
  <c r="F2101" i="22"/>
  <c r="F2099" i="22" s="1"/>
  <c r="F2102" i="22" s="1"/>
  <c r="N71" i="4"/>
  <c r="Z52" i="10"/>
  <c r="AA52" i="10" s="1"/>
  <c r="AB52" i="10" s="1"/>
  <c r="AC52" i="10" s="1"/>
  <c r="AD52" i="10" s="1"/>
  <c r="AE52" i="10" s="1"/>
  <c r="T1815" i="22"/>
  <c r="T1813" i="22"/>
  <c r="I1808" i="22"/>
  <c r="O1808" i="22" s="1"/>
  <c r="K1100" i="22"/>
  <c r="G1137" i="22" s="1"/>
  <c r="T1814" i="22"/>
  <c r="I1819" i="22"/>
  <c r="K1111" i="22"/>
  <c r="I1818" i="22"/>
  <c r="I1820" i="22"/>
  <c r="R146" i="14"/>
  <c r="S145" i="14"/>
  <c r="M176" i="14"/>
  <c r="P74" i="15"/>
  <c r="C3" i="31"/>
  <c r="T75" i="15"/>
  <c r="S83" i="15"/>
  <c r="S84" i="15" s="1"/>
  <c r="R113" i="15"/>
  <c r="R28" i="15"/>
  <c r="AZ63" i="2"/>
  <c r="AZ64" i="2" s="1"/>
  <c r="AZ58" i="2"/>
  <c r="AZ61" i="2" s="1"/>
  <c r="P11" i="43"/>
  <c r="G61" i="41"/>
  <c r="G34" i="41"/>
  <c r="G35" i="41" s="1"/>
  <c r="G42" i="41" s="1"/>
  <c r="K100" i="37"/>
  <c r="Q62" i="40"/>
  <c r="M240" i="37"/>
  <c r="AS19" i="37"/>
  <c r="AS6" i="37"/>
  <c r="AS12" i="37"/>
  <c r="AS20" i="37"/>
  <c r="AS21" i="37"/>
  <c r="AS23" i="37"/>
  <c r="AS11" i="37"/>
  <c r="AS5" i="37"/>
  <c r="AS16" i="37"/>
  <c r="G60" i="41"/>
  <c r="G30" i="41"/>
  <c r="G54" i="41"/>
  <c r="G99" i="41"/>
  <c r="J26" i="41"/>
  <c r="G24" i="41"/>
  <c r="AT353" i="38" s="1"/>
  <c r="H59" i="41"/>
  <c r="H98" i="41"/>
  <c r="H51" i="41"/>
  <c r="H20" i="41"/>
  <c r="H29" i="41"/>
  <c r="P399" i="38"/>
  <c r="P401" i="38" s="1"/>
  <c r="AR304" i="38"/>
  <c r="O1110" i="22"/>
  <c r="K1110" i="22"/>
  <c r="O1111" i="22"/>
  <c r="BT14" i="22"/>
  <c r="G2699" i="22"/>
  <c r="H2699" i="22" s="1"/>
  <c r="D2719" i="22" s="1"/>
  <c r="Q1808" i="22"/>
  <c r="AE1712" i="22"/>
  <c r="U1712" i="22"/>
  <c r="E76" i="31"/>
  <c r="E77" i="31" s="1"/>
  <c r="BQ14" i="22"/>
  <c r="J1754" i="22"/>
  <c r="AI1712" i="22"/>
  <c r="Y1712" i="22"/>
  <c r="J1730" i="22"/>
  <c r="J1733" i="22" s="1"/>
  <c r="Y1733" i="22" s="1"/>
  <c r="I858" i="22"/>
  <c r="H1014" i="22"/>
  <c r="H1017" i="22" s="1"/>
  <c r="H976" i="22"/>
  <c r="H981" i="22" s="1"/>
  <c r="H986" i="22" s="1"/>
  <c r="H991" i="22" s="1"/>
  <c r="I2975" i="22"/>
  <c r="J2965" i="22"/>
  <c r="J2975" i="22" s="1"/>
  <c r="I965" i="22"/>
  <c r="I969" i="22" s="1"/>
  <c r="I972" i="22" s="1"/>
  <c r="I961" i="22"/>
  <c r="Q23" i="22"/>
  <c r="N1100" i="22"/>
  <c r="J863" i="22"/>
  <c r="P263" i="37"/>
  <c r="O175" i="37"/>
  <c r="AF321" i="38"/>
  <c r="AM321" i="38" s="1"/>
  <c r="Y65" i="38"/>
  <c r="Y28" i="38" s="1"/>
  <c r="Y295" i="38" s="1"/>
  <c r="Y397" i="38"/>
  <c r="T298" i="10"/>
  <c r="Z316" i="38"/>
  <c r="U60" i="38"/>
  <c r="U392" i="38"/>
  <c r="AP309" i="38"/>
  <c r="AP311" i="38"/>
  <c r="AJ49" i="38"/>
  <c r="AJ71" i="38" s="1"/>
  <c r="I77" i="37" s="1"/>
  <c r="I53" i="37"/>
  <c r="I57" i="37" s="1"/>
  <c r="AJ308" i="38"/>
  <c r="I195" i="37" s="1"/>
  <c r="Q56" i="40"/>
  <c r="AF56" i="40" s="1"/>
  <c r="M239" i="37"/>
  <c r="AM348" i="38"/>
  <c r="Z321" i="38"/>
  <c r="U65" i="38"/>
  <c r="U397" i="38"/>
  <c r="Y392" i="38"/>
  <c r="Y60" i="38"/>
  <c r="Z170" i="38"/>
  <c r="Z169" i="38"/>
  <c r="M1110" i="22"/>
  <c r="I1110" i="22"/>
  <c r="G2118" i="22"/>
  <c r="G2120" i="22" s="1"/>
  <c r="F2523" i="22"/>
  <c r="T30" i="15"/>
  <c r="AF152" i="38"/>
  <c r="U957" i="38" s="1"/>
  <c r="AF153" i="38"/>
  <c r="I103" i="37"/>
  <c r="X135" i="15"/>
  <c r="AF211" i="38"/>
  <c r="AJ34" i="38"/>
  <c r="I35" i="37" s="1"/>
  <c r="K2939" i="22"/>
  <c r="D2930" i="22"/>
  <c r="G2054" i="22"/>
  <c r="G2036" i="22"/>
  <c r="F2521" i="22"/>
  <c r="E2976" i="22"/>
  <c r="AF282" i="38"/>
  <c r="E4670" i="22" s="1"/>
  <c r="N4670" i="22" s="1"/>
  <c r="AF185" i="38"/>
  <c r="W951" i="38" s="1"/>
  <c r="AF82" i="38"/>
  <c r="AF98" i="38" s="1"/>
  <c r="AJ9" i="38"/>
  <c r="D3011" i="22"/>
  <c r="D3024" i="22" s="1"/>
  <c r="E2967" i="22"/>
  <c r="E2968" i="22" s="1"/>
  <c r="E75" i="13"/>
  <c r="H57" i="37"/>
  <c r="AG376" i="38"/>
  <c r="G16" i="37"/>
  <c r="V189" i="38"/>
  <c r="H238" i="37"/>
  <c r="H242" i="37" s="1"/>
  <c r="H243" i="37" s="1"/>
  <c r="H219" i="37"/>
  <c r="Q264" i="37"/>
  <c r="P176" i="37"/>
  <c r="AH12" i="37"/>
  <c r="G93" i="37"/>
  <c r="V82" i="38" s="1"/>
  <c r="H260" i="37"/>
  <c r="X165" i="38"/>
  <c r="X168" i="38" s="1"/>
  <c r="X143" i="38"/>
  <c r="D12" i="42" s="1"/>
  <c r="AC175" i="38"/>
  <c r="F3564" i="22"/>
  <c r="F3563" i="22"/>
  <c r="F3605" i="22" s="1"/>
  <c r="E3432" i="22"/>
  <c r="E3418" i="22"/>
  <c r="D3729" i="22"/>
  <c r="D3714" i="22"/>
  <c r="P202" i="37"/>
  <c r="O179" i="37"/>
  <c r="BN296" i="38" s="1"/>
  <c r="J4712" i="22"/>
  <c r="E3024" i="22"/>
  <c r="W166" i="38"/>
  <c r="AA134" i="38"/>
  <c r="H304" i="37" s="1"/>
  <c r="W131" i="38"/>
  <c r="H285" i="37"/>
  <c r="H479" i="37"/>
  <c r="AW15" i="37"/>
  <c r="AW19" i="37"/>
  <c r="AW21" i="37"/>
  <c r="AW5" i="37"/>
  <c r="AW13" i="37"/>
  <c r="AW7" i="37"/>
  <c r="AW14" i="37"/>
  <c r="AW6" i="37"/>
  <c r="AW11" i="37"/>
  <c r="AW20" i="37"/>
  <c r="AW23" i="37"/>
  <c r="AW12" i="37"/>
  <c r="AW16" i="37"/>
  <c r="F2972" i="22"/>
  <c r="E3030" i="22"/>
  <c r="E3033" i="22" s="1"/>
  <c r="AK292" i="37"/>
  <c r="BQ15" i="22"/>
  <c r="J30" i="22"/>
  <c r="I1111" i="22"/>
  <c r="I1100" i="22"/>
  <c r="E1137" i="22" s="1"/>
  <c r="Q1812" i="22"/>
  <c r="V1812" i="22"/>
  <c r="G1817" i="22"/>
  <c r="M1111" i="22"/>
  <c r="I3788" i="22"/>
  <c r="J3785" i="22"/>
  <c r="I3779" i="22"/>
  <c r="R190" i="14"/>
  <c r="S188" i="14"/>
  <c r="J1111" i="22"/>
  <c r="G129" i="31"/>
  <c r="G117" i="31"/>
  <c r="I14" i="31"/>
  <c r="J1100" i="22"/>
  <c r="F1137" i="22" s="1"/>
  <c r="J1110" i="22"/>
  <c r="D1960" i="22"/>
  <c r="E54" i="31"/>
  <c r="N1111" i="22"/>
  <c r="E961" i="22"/>
  <c r="E965" i="22"/>
  <c r="E969" i="22" s="1"/>
  <c r="E972" i="22" s="1"/>
  <c r="G2835" i="22"/>
  <c r="H13" i="13"/>
  <c r="V8" i="15"/>
  <c r="F3186" i="22"/>
  <c r="G16" i="13"/>
  <c r="V25" i="15" s="1"/>
  <c r="M72" i="13"/>
  <c r="F4813" i="22"/>
  <c r="R115" i="15"/>
  <c r="AC13" i="15"/>
  <c r="N59" i="13"/>
  <c r="E3027" i="22"/>
  <c r="F2971" i="22"/>
  <c r="AD13" i="15"/>
  <c r="F2977" i="22"/>
  <c r="G2528" i="22"/>
  <c r="F96" i="13"/>
  <c r="K62" i="43" l="1"/>
  <c r="BA425" i="19"/>
  <c r="J452" i="19" s="1"/>
  <c r="F435" i="19"/>
  <c r="F436" i="19"/>
  <c r="G100" i="41"/>
  <c r="G106" i="41" s="1"/>
  <c r="G107" i="41" s="1"/>
  <c r="G108" i="41" s="1"/>
  <c r="K114" i="13" s="1"/>
  <c r="K121" i="13" s="1"/>
  <c r="T300" i="10"/>
  <c r="X544" i="1"/>
  <c r="X656" i="1"/>
  <c r="I118" i="4"/>
  <c r="O843" i="3" s="1"/>
  <c r="I38" i="4"/>
  <c r="I67" i="4"/>
  <c r="I66" i="4"/>
  <c r="I95" i="4"/>
  <c r="I506" i="22" s="1"/>
  <c r="A36" i="4"/>
  <c r="F192" i="27"/>
  <c r="F200" i="27" s="1"/>
  <c r="L419" i="1"/>
  <c r="L7" i="1"/>
  <c r="L305" i="1"/>
  <c r="L301" i="1"/>
  <c r="L309" i="1"/>
  <c r="L16" i="1"/>
  <c r="L313" i="1"/>
  <c r="L317" i="1"/>
  <c r="Y572" i="1"/>
  <c r="S171" i="1"/>
  <c r="S173" i="1" s="1"/>
  <c r="S186" i="1"/>
  <c r="I36" i="37"/>
  <c r="V5" i="1"/>
  <c r="U288" i="1"/>
  <c r="U11" i="1"/>
  <c r="U165" i="1" s="1"/>
  <c r="U169" i="1" s="1"/>
  <c r="T30" i="1"/>
  <c r="T42" i="1" s="1"/>
  <c r="T15" i="1"/>
  <c r="T151" i="1"/>
  <c r="T16" i="1"/>
  <c r="T60" i="1"/>
  <c r="T66" i="1" s="1"/>
  <c r="X309" i="1"/>
  <c r="X307" i="1" s="1"/>
  <c r="W307" i="1"/>
  <c r="I21" i="43"/>
  <c r="L6" i="43"/>
  <c r="N220" i="37" s="1"/>
  <c r="K285" i="37"/>
  <c r="Z142" i="15"/>
  <c r="K46" i="43"/>
  <c r="M8" i="43"/>
  <c r="M5" i="43" s="1"/>
  <c r="M6" i="43" s="1"/>
  <c r="L17" i="43"/>
  <c r="L20" i="43" s="1"/>
  <c r="L56" i="43"/>
  <c r="L62" i="43" s="1"/>
  <c r="L41" i="43"/>
  <c r="L45" i="43" s="1"/>
  <c r="L46" i="43" s="1"/>
  <c r="BD358" i="38"/>
  <c r="O15" i="13"/>
  <c r="F4821" i="22"/>
  <c r="K11" i="47"/>
  <c r="K2919" i="22"/>
  <c r="O53" i="4"/>
  <c r="K2926" i="22" s="1"/>
  <c r="G197" i="27"/>
  <c r="O59" i="4"/>
  <c r="T55" i="13"/>
  <c r="AI125" i="15" s="1"/>
  <c r="L48" i="19"/>
  <c r="J109" i="43"/>
  <c r="J113" i="43" s="1"/>
  <c r="BB443" i="19"/>
  <c r="K453" i="19" s="1"/>
  <c r="G444" i="19"/>
  <c r="G447" i="19"/>
  <c r="G449" i="19"/>
  <c r="I173" i="43"/>
  <c r="K446" i="37" s="1"/>
  <c r="G3478" i="22"/>
  <c r="G3499" i="22" s="1"/>
  <c r="J78" i="37"/>
  <c r="K78" i="37"/>
  <c r="F6126" i="22"/>
  <c r="F6128" i="22" s="1"/>
  <c r="F6156" i="22" s="1"/>
  <c r="J36" i="37"/>
  <c r="C13" i="40"/>
  <c r="C18" i="40" s="1"/>
  <c r="C23" i="40" s="1"/>
  <c r="C24" i="40" s="1"/>
  <c r="AP460" i="38"/>
  <c r="AP473" i="38" s="1"/>
  <c r="AP476" i="38" s="1"/>
  <c r="T306" i="15"/>
  <c r="L105" i="27"/>
  <c r="L121" i="27" s="1"/>
  <c r="L136" i="27" s="1"/>
  <c r="L155" i="27"/>
  <c r="J1330" i="22" s="1"/>
  <c r="F442" i="19"/>
  <c r="BA442" i="19" s="1"/>
  <c r="BB442" i="19"/>
  <c r="AG79" i="11"/>
  <c r="L75" i="19"/>
  <c r="L76" i="19" s="1"/>
  <c r="I174" i="43"/>
  <c r="I175" i="43" s="1"/>
  <c r="AO276" i="2"/>
  <c r="N1112" i="22" s="1"/>
  <c r="N1113" i="22" s="1"/>
  <c r="CJ275" i="2"/>
  <c r="L338" i="19"/>
  <c r="P99" i="11"/>
  <c r="P98" i="11" s="1"/>
  <c r="P103" i="11" s="1"/>
  <c r="O115" i="4"/>
  <c r="BP229" i="2"/>
  <c r="S148" i="37"/>
  <c r="P61" i="11"/>
  <c r="AG57" i="11"/>
  <c r="I63" i="43"/>
  <c r="I67" i="43"/>
  <c r="J68" i="43" s="1"/>
  <c r="O32" i="31"/>
  <c r="AL385" i="2"/>
  <c r="L39" i="19"/>
  <c r="L42" i="19" s="1"/>
  <c r="P140" i="10"/>
  <c r="P278" i="10" s="1"/>
  <c r="P279" i="10" s="1"/>
  <c r="P282" i="10" s="1"/>
  <c r="D134" i="31"/>
  <c r="I170" i="43"/>
  <c r="J126" i="36"/>
  <c r="J155" i="36"/>
  <c r="E232" i="36" s="1"/>
  <c r="D3149" i="22"/>
  <c r="E215" i="36"/>
  <c r="E1572" i="22"/>
  <c r="E1575" i="22" s="1"/>
  <c r="BN97" i="2"/>
  <c r="AL152" i="10"/>
  <c r="S88" i="10"/>
  <c r="S94" i="10" s="1"/>
  <c r="T78" i="10"/>
  <c r="T88" i="10" s="1"/>
  <c r="T94" i="10" s="1"/>
  <c r="D85" i="19"/>
  <c r="D86" i="19" s="1"/>
  <c r="E1568" i="22"/>
  <c r="E65" i="31"/>
  <c r="F65" i="31" s="1"/>
  <c r="E1559" i="22"/>
  <c r="E1557" i="22"/>
  <c r="E1564" i="22" s="1"/>
  <c r="E63" i="31"/>
  <c r="E2311" i="22"/>
  <c r="E2281" i="22"/>
  <c r="E1569" i="22"/>
  <c r="E1566" i="22"/>
  <c r="E1570" i="22" s="1"/>
  <c r="F2271" i="22"/>
  <c r="G2271" i="22" s="1"/>
  <c r="E1561" i="22"/>
  <c r="E1560" i="22"/>
  <c r="R93" i="12"/>
  <c r="E2295" i="22"/>
  <c r="G200" i="27"/>
  <c r="E1563" i="22"/>
  <c r="E1573" i="22"/>
  <c r="E1562" i="22"/>
  <c r="E1558" i="22"/>
  <c r="E1574" i="22"/>
  <c r="F88" i="31"/>
  <c r="G88" i="31"/>
  <c r="E2284" i="22"/>
  <c r="E2321" i="22"/>
  <c r="E2370" i="22" s="1"/>
  <c r="CI275" i="2"/>
  <c r="AN276" i="2"/>
  <c r="M1112" i="22" s="1"/>
  <c r="M1113" i="22" s="1"/>
  <c r="H71" i="43"/>
  <c r="J430" i="37"/>
  <c r="Y150" i="15" s="1"/>
  <c r="N18" i="15"/>
  <c r="F423" i="22"/>
  <c r="J423" i="22" s="1"/>
  <c r="AK154" i="10"/>
  <c r="AK152" i="10"/>
  <c r="D534" i="22"/>
  <c r="E534" i="22" s="1"/>
  <c r="D753" i="22"/>
  <c r="K753" i="22" s="1"/>
  <c r="O1112" i="22"/>
  <c r="O1113" i="22" s="1"/>
  <c r="F103" i="41"/>
  <c r="J21" i="43"/>
  <c r="D81" i="31"/>
  <c r="D84" i="31" s="1"/>
  <c r="J73" i="43"/>
  <c r="G181" i="27"/>
  <c r="E87" i="31"/>
  <c r="E88" i="31" s="1"/>
  <c r="D77" i="31"/>
  <c r="C111" i="31"/>
  <c r="E98" i="31"/>
  <c r="E92" i="31" s="1"/>
  <c r="D67" i="31"/>
  <c r="D68" i="31" s="1"/>
  <c r="K107" i="4"/>
  <c r="P112" i="15" s="1"/>
  <c r="H73" i="43"/>
  <c r="D80" i="31"/>
  <c r="R139" i="10"/>
  <c r="R315" i="10" s="1"/>
  <c r="J2" i="12"/>
  <c r="I89" i="12"/>
  <c r="H98" i="12"/>
  <c r="H117" i="12"/>
  <c r="D2260" i="22"/>
  <c r="D2264" i="22" s="1"/>
  <c r="G107" i="12"/>
  <c r="G126" i="12"/>
  <c r="G135" i="12" s="1"/>
  <c r="G144" i="12"/>
  <c r="N164" i="19"/>
  <c r="N81" i="10"/>
  <c r="AK148" i="10"/>
  <c r="F92" i="31"/>
  <c r="H68" i="43"/>
  <c r="AK149" i="10"/>
  <c r="H74" i="43"/>
  <c r="S80" i="10"/>
  <c r="S107" i="10" s="1"/>
  <c r="E1339" i="22"/>
  <c r="E1341" i="22" s="1"/>
  <c r="P83" i="11"/>
  <c r="P118" i="11" s="1"/>
  <c r="P161" i="12"/>
  <c r="F198" i="36"/>
  <c r="L25" i="38"/>
  <c r="P90" i="12"/>
  <c r="K62" i="38"/>
  <c r="K318" i="38" s="1"/>
  <c r="K292" i="38"/>
  <c r="G75" i="43"/>
  <c r="D2343" i="22"/>
  <c r="J74" i="43"/>
  <c r="D2337" i="22"/>
  <c r="F46" i="41"/>
  <c r="J118" i="4"/>
  <c r="P843" i="3" s="1"/>
  <c r="I852" i="3" s="1"/>
  <c r="I219" i="25"/>
  <c r="M87" i="25"/>
  <c r="K188" i="25"/>
  <c r="O90" i="4"/>
  <c r="O102" i="4"/>
  <c r="J72" i="43"/>
  <c r="J95" i="4"/>
  <c r="F546" i="22" s="1"/>
  <c r="J38" i="4"/>
  <c r="D1347" i="22"/>
  <c r="H1347" i="22" s="1"/>
  <c r="F110" i="37"/>
  <c r="AL143" i="10"/>
  <c r="AL153" i="10" s="1"/>
  <c r="AL150" i="10"/>
  <c r="L165" i="43"/>
  <c r="L167" i="43" s="1"/>
  <c r="K169" i="43"/>
  <c r="K170" i="43" s="1"/>
  <c r="S321" i="38"/>
  <c r="N370" i="38"/>
  <c r="N397" i="38"/>
  <c r="Q321" i="38"/>
  <c r="F201" i="37" s="1"/>
  <c r="J114" i="13"/>
  <c r="J121" i="13" s="1"/>
  <c r="E32" i="19"/>
  <c r="L306" i="15"/>
  <c r="D32" i="19"/>
  <c r="N115" i="11"/>
  <c r="AK137" i="10" s="1"/>
  <c r="N97" i="11"/>
  <c r="N103" i="11"/>
  <c r="D2844" i="22" s="1"/>
  <c r="K34" i="5"/>
  <c r="K18" i="5" s="1"/>
  <c r="K26" i="5" s="1"/>
  <c r="K37" i="5"/>
  <c r="K42" i="5" s="1"/>
  <c r="M5" i="5"/>
  <c r="L29" i="5"/>
  <c r="L10" i="5"/>
  <c r="J53" i="5"/>
  <c r="J50" i="5"/>
  <c r="J62" i="5"/>
  <c r="Q28" i="10"/>
  <c r="G111" i="3"/>
  <c r="G113" i="3" s="1"/>
  <c r="E180" i="27"/>
  <c r="I417" i="22"/>
  <c r="M93" i="22"/>
  <c r="G267" i="12"/>
  <c r="L119" i="12"/>
  <c r="L137" i="12"/>
  <c r="K27" i="4"/>
  <c r="J112" i="4"/>
  <c r="F1299" i="22"/>
  <c r="E1581" i="22"/>
  <c r="I122" i="11"/>
  <c r="I43" i="4"/>
  <c r="I56" i="4" s="1"/>
  <c r="I74" i="4" s="1"/>
  <c r="I86" i="4" s="1"/>
  <c r="I120" i="4"/>
  <c r="I269" i="12"/>
  <c r="I257" i="12" s="1"/>
  <c r="I255" i="12"/>
  <c r="J246" i="12"/>
  <c r="I251" i="12"/>
  <c r="I138" i="27"/>
  <c r="H138" i="27"/>
  <c r="G1299" i="22"/>
  <c r="F1581" i="22"/>
  <c r="H272" i="12"/>
  <c r="H258" i="12"/>
  <c r="H261" i="12" s="1"/>
  <c r="H264" i="12" s="1"/>
  <c r="H266" i="12" s="1"/>
  <c r="X284" i="1" s="1"/>
  <c r="AB304" i="2"/>
  <c r="AB305" i="2" s="1"/>
  <c r="AB312" i="2" s="1"/>
  <c r="AB393" i="2" s="1"/>
  <c r="D172" i="27"/>
  <c r="G53" i="4"/>
  <c r="G103" i="4"/>
  <c r="G61" i="4"/>
  <c r="R37" i="10"/>
  <c r="R19" i="10" s="1"/>
  <c r="R28" i="10" s="1"/>
  <c r="AV243" i="2"/>
  <c r="Q197" i="33"/>
  <c r="AE197" i="33" s="1"/>
  <c r="AF197" i="33"/>
  <c r="K8" i="41"/>
  <c r="J7" i="41"/>
  <c r="J10" i="41" s="1"/>
  <c r="J13" i="41" s="1"/>
  <c r="J16" i="41" s="1"/>
  <c r="J19" i="41" s="1"/>
  <c r="J5" i="31"/>
  <c r="J22" i="31" s="1"/>
  <c r="J26" i="31" s="1"/>
  <c r="J36" i="31" s="1"/>
  <c r="J37" i="31" s="1"/>
  <c r="R46" i="10"/>
  <c r="Q12" i="4" s="1"/>
  <c r="R47" i="10"/>
  <c r="M2549" i="22"/>
  <c r="N2548" i="22"/>
  <c r="N2549" i="22" s="1"/>
  <c r="N2551" i="22" s="1"/>
  <c r="K172" i="43"/>
  <c r="K173" i="43" s="1"/>
  <c r="M446" i="37" s="1"/>
  <c r="O2526" i="22"/>
  <c r="N2528" i="22"/>
  <c r="O2528" i="22" s="1"/>
  <c r="AD103" i="12"/>
  <c r="M135" i="11"/>
  <c r="M99" i="11"/>
  <c r="M97" i="11" s="1"/>
  <c r="M120" i="11"/>
  <c r="M121" i="11" s="1"/>
  <c r="M130" i="11"/>
  <c r="L48" i="4"/>
  <c r="E124" i="31" s="1"/>
  <c r="E111" i="31" s="1"/>
  <c r="M118" i="11"/>
  <c r="I97" i="19"/>
  <c r="I99" i="19" s="1"/>
  <c r="AJ142" i="10"/>
  <c r="AM142" i="10" s="1"/>
  <c r="CM289" i="2"/>
  <c r="U9" i="12"/>
  <c r="T41" i="12"/>
  <c r="T52" i="12" s="1"/>
  <c r="T62" i="12" s="1"/>
  <c r="L101" i="4"/>
  <c r="L59" i="4"/>
  <c r="BA303" i="2"/>
  <c r="W482" i="15"/>
  <c r="S62" i="12"/>
  <c r="I90" i="19"/>
  <c r="I77" i="19"/>
  <c r="O349" i="1" s="1"/>
  <c r="I75" i="19"/>
  <c r="F36" i="35"/>
  <c r="F35" i="35" s="1"/>
  <c r="G1288" i="22"/>
  <c r="G1287" i="22" s="1"/>
  <c r="G1293" i="22" s="1"/>
  <c r="M395" i="38"/>
  <c r="R319" i="38"/>
  <c r="M368" i="38"/>
  <c r="H108" i="27"/>
  <c r="H124" i="27" s="1"/>
  <c r="H139" i="27" s="1"/>
  <c r="F1334" i="22"/>
  <c r="J174" i="43"/>
  <c r="L483" i="37" s="1"/>
  <c r="N129" i="12"/>
  <c r="M120" i="12"/>
  <c r="M110" i="12"/>
  <c r="L110" i="12"/>
  <c r="AV156" i="2"/>
  <c r="AC101" i="12"/>
  <c r="L129" i="12"/>
  <c r="F1300" i="22"/>
  <c r="U39" i="25"/>
  <c r="U125" i="25" s="1"/>
  <c r="U61" i="25"/>
  <c r="U103" i="25" s="1"/>
  <c r="U70" i="25"/>
  <c r="U71" i="25" s="1"/>
  <c r="U72" i="25" s="1"/>
  <c r="U73" i="25" s="1"/>
  <c r="U54" i="25"/>
  <c r="U55" i="25" s="1"/>
  <c r="F1584" i="22"/>
  <c r="G1305" i="22"/>
  <c r="AV158" i="2"/>
  <c r="L131" i="12"/>
  <c r="M140" i="12" s="1"/>
  <c r="F1304" i="22"/>
  <c r="AC103" i="12"/>
  <c r="L112" i="12"/>
  <c r="W35" i="25"/>
  <c r="V38" i="25"/>
  <c r="V70" i="25" s="1"/>
  <c r="H1303" i="22"/>
  <c r="G1583" i="22"/>
  <c r="BL97" i="2"/>
  <c r="H126" i="36"/>
  <c r="C215" i="36"/>
  <c r="H155" i="36"/>
  <c r="C232" i="36" s="1"/>
  <c r="H123" i="36"/>
  <c r="W123" i="36" s="1"/>
  <c r="J140" i="27"/>
  <c r="H1297" i="22"/>
  <c r="G1580" i="22"/>
  <c r="F1583" i="22"/>
  <c r="G1303" i="22"/>
  <c r="J173" i="43"/>
  <c r="L446" i="37" s="1"/>
  <c r="F1585" i="22"/>
  <c r="G1307" i="22"/>
  <c r="I168" i="27"/>
  <c r="I197" i="27"/>
  <c r="I181" i="27"/>
  <c r="G1339" i="22"/>
  <c r="G1341" i="22" s="1"/>
  <c r="J141" i="27"/>
  <c r="F1336" i="22"/>
  <c r="H110" i="27"/>
  <c r="H126" i="27" s="1"/>
  <c r="H141" i="27" s="1"/>
  <c r="U108" i="25"/>
  <c r="Y187" i="10"/>
  <c r="Y188" i="10" s="1"/>
  <c r="F1337" i="22"/>
  <c r="H111" i="27"/>
  <c r="H127" i="27" s="1"/>
  <c r="H142" i="27" s="1"/>
  <c r="AD102" i="12"/>
  <c r="AV157" i="2"/>
  <c r="L111" i="12"/>
  <c r="L130" i="12"/>
  <c r="F1302" i="22"/>
  <c r="AC102" i="12"/>
  <c r="BQ58" i="2"/>
  <c r="BA541" i="2"/>
  <c r="AD104" i="12"/>
  <c r="L113" i="12"/>
  <c r="AC104" i="12"/>
  <c r="L132" i="12"/>
  <c r="F1306" i="22"/>
  <c r="AV159" i="2"/>
  <c r="L83" i="12"/>
  <c r="K39" i="4"/>
  <c r="H109" i="3"/>
  <c r="I106" i="3"/>
  <c r="H110" i="3"/>
  <c r="AN24" i="2"/>
  <c r="G1584" i="22"/>
  <c r="H1305" i="22"/>
  <c r="N132" i="12"/>
  <c r="M123" i="12"/>
  <c r="H109" i="27"/>
  <c r="H125" i="27" s="1"/>
  <c r="H140" i="27" s="1"/>
  <c r="F1335" i="22"/>
  <c r="T102" i="12"/>
  <c r="S93" i="12"/>
  <c r="AV160" i="2"/>
  <c r="AC105" i="12"/>
  <c r="L133" i="12"/>
  <c r="F1308" i="22"/>
  <c r="L114" i="12"/>
  <c r="F1309" i="22" s="1"/>
  <c r="AD105" i="12"/>
  <c r="M114" i="12"/>
  <c r="G1309" i="22" s="1"/>
  <c r="M122" i="12"/>
  <c r="N136" i="12"/>
  <c r="M118" i="12"/>
  <c r="I1347" i="22"/>
  <c r="E1353" i="22"/>
  <c r="AD101" i="12"/>
  <c r="H164" i="27"/>
  <c r="Q102" i="36"/>
  <c r="J201" i="36"/>
  <c r="Q36" i="4"/>
  <c r="F1338" i="22"/>
  <c r="H112" i="27"/>
  <c r="H128" i="27" s="1"/>
  <c r="K161" i="37"/>
  <c r="K183" i="37" s="1"/>
  <c r="K248" i="37" s="1"/>
  <c r="K45" i="37"/>
  <c r="K85" i="37" s="1"/>
  <c r="K122" i="37" s="1"/>
  <c r="L4" i="37"/>
  <c r="K272" i="37"/>
  <c r="K348" i="37" s="1"/>
  <c r="K382" i="37" s="1"/>
  <c r="K452" i="37" s="1"/>
  <c r="AK272" i="37"/>
  <c r="J348" i="37"/>
  <c r="J382" i="37" s="1"/>
  <c r="J452" i="37" s="1"/>
  <c r="M249" i="37"/>
  <c r="O31" i="5"/>
  <c r="O39" i="5" s="1"/>
  <c r="N591" i="3" s="1"/>
  <c r="P7" i="5"/>
  <c r="P31" i="5" s="1"/>
  <c r="P39" i="5" s="1"/>
  <c r="Q7" i="5"/>
  <c r="K109" i="43"/>
  <c r="M221" i="37"/>
  <c r="BD360" i="38"/>
  <c r="AQ219" i="2"/>
  <c r="AQ242" i="2" s="1"/>
  <c r="AQ390" i="2" s="1"/>
  <c r="AQ385" i="2"/>
  <c r="S1715" i="22"/>
  <c r="T1747" i="22" s="1"/>
  <c r="AC1715" i="22"/>
  <c r="D1812" i="22"/>
  <c r="D1757" i="22"/>
  <c r="CK289" i="2"/>
  <c r="CO289" i="2"/>
  <c r="U1715" i="22"/>
  <c r="V1747" i="22" s="1"/>
  <c r="AE1715" i="22"/>
  <c r="F1812" i="22"/>
  <c r="D11" i="31"/>
  <c r="F1757" i="22"/>
  <c r="Q84" i="25"/>
  <c r="O187" i="25" s="1"/>
  <c r="T99" i="10"/>
  <c r="Q13" i="25"/>
  <c r="N164" i="43"/>
  <c r="O4" i="43"/>
  <c r="N40" i="43"/>
  <c r="N55" i="43"/>
  <c r="R12" i="25"/>
  <c r="S4" i="25"/>
  <c r="T38" i="12"/>
  <c r="U6" i="12"/>
  <c r="I1107" i="22"/>
  <c r="CE252" i="2"/>
  <c r="M130" i="43"/>
  <c r="BN311" i="38" s="1"/>
  <c r="BM311" i="38" s="1"/>
  <c r="N136" i="43"/>
  <c r="F1820" i="22"/>
  <c r="U1814" i="22"/>
  <c r="F1818" i="22"/>
  <c r="F1819" i="22"/>
  <c r="U1813" i="22"/>
  <c r="U1815" i="22"/>
  <c r="P1810" i="22"/>
  <c r="F1808" i="22"/>
  <c r="P1808" i="22" s="1"/>
  <c r="R65" i="38"/>
  <c r="R28" i="38" s="1"/>
  <c r="R295" i="38" s="1"/>
  <c r="R397" i="38"/>
  <c r="W321" i="38"/>
  <c r="S1815" i="22"/>
  <c r="N1810" i="22"/>
  <c r="D1808" i="22"/>
  <c r="N1808" i="22" s="1"/>
  <c r="S1814" i="22"/>
  <c r="D1820" i="22"/>
  <c r="D1819" i="22"/>
  <c r="D1818" i="22"/>
  <c r="S1813" i="22"/>
  <c r="L142" i="43"/>
  <c r="L139" i="43"/>
  <c r="L131" i="43"/>
  <c r="AN18" i="2"/>
  <c r="J149" i="43"/>
  <c r="J146" i="43"/>
  <c r="CG252" i="2"/>
  <c r="K1107" i="22"/>
  <c r="L103" i="43"/>
  <c r="L94" i="43"/>
  <c r="BI359" i="38" s="1"/>
  <c r="L106" i="43"/>
  <c r="K107" i="10"/>
  <c r="L111" i="10"/>
  <c r="E217" i="27" s="1"/>
  <c r="AN139" i="10"/>
  <c r="AQ139" i="10" s="1"/>
  <c r="L10" i="4"/>
  <c r="K2" i="4"/>
  <c r="N99" i="43"/>
  <c r="M93" i="43"/>
  <c r="K145" i="43"/>
  <c r="M208" i="37"/>
  <c r="BH309" i="38"/>
  <c r="AT49" i="38"/>
  <c r="P63" i="40"/>
  <c r="R119" i="45"/>
  <c r="M99" i="37"/>
  <c r="P75" i="40"/>
  <c r="K442" i="37"/>
  <c r="H180" i="27"/>
  <c r="H176" i="27"/>
  <c r="S394" i="38"/>
  <c r="S62" i="38"/>
  <c r="S25" i="38" s="1"/>
  <c r="S292" i="38" s="1"/>
  <c r="H262" i="25"/>
  <c r="BH728" i="22"/>
  <c r="BD728" i="22"/>
  <c r="BF728" i="22" s="1"/>
  <c r="K66" i="4"/>
  <c r="E1349" i="22"/>
  <c r="K67" i="4"/>
  <c r="E232" i="27"/>
  <c r="K69" i="4"/>
  <c r="F1277" i="22"/>
  <c r="F1281" i="22"/>
  <c r="F225" i="27"/>
  <c r="F224" i="27"/>
  <c r="F228" i="27"/>
  <c r="F230" i="27"/>
  <c r="F229" i="27"/>
  <c r="F212" i="27"/>
  <c r="F223" i="27"/>
  <c r="G212" i="27"/>
  <c r="F227" i="27"/>
  <c r="P62" i="40"/>
  <c r="AE62" i="40" s="1"/>
  <c r="AF62" i="40"/>
  <c r="AF74" i="40"/>
  <c r="P74" i="40"/>
  <c r="AE74" i="40" s="1"/>
  <c r="R211" i="27"/>
  <c r="U207" i="27"/>
  <c r="G100" i="40"/>
  <c r="D1570" i="22"/>
  <c r="D1569" i="22"/>
  <c r="D1564" i="22"/>
  <c r="G184" i="27"/>
  <c r="J483" i="37"/>
  <c r="H175" i="43"/>
  <c r="M136" i="12"/>
  <c r="L118" i="12"/>
  <c r="L136" i="12"/>
  <c r="E800" i="3"/>
  <c r="E801" i="3" s="1"/>
  <c r="E802" i="3" s="1"/>
  <c r="E811" i="3"/>
  <c r="E812" i="3" s="1"/>
  <c r="H107" i="4"/>
  <c r="M112" i="15" s="1"/>
  <c r="M117" i="15" s="1"/>
  <c r="V8" i="12"/>
  <c r="U40" i="12"/>
  <c r="U51" i="12" s="1"/>
  <c r="U61" i="12" s="1"/>
  <c r="S60" i="12"/>
  <c r="W413" i="15"/>
  <c r="I83" i="27"/>
  <c r="H145" i="27"/>
  <c r="U138" i="25"/>
  <c r="V137" i="25"/>
  <c r="E1580" i="22"/>
  <c r="F1297" i="22"/>
  <c r="D2699" i="22"/>
  <c r="D2702" i="22"/>
  <c r="D2696" i="22"/>
  <c r="D2694" i="22"/>
  <c r="U7" i="12"/>
  <c r="T39" i="12"/>
  <c r="T50" i="12" s="1"/>
  <c r="T60" i="12" s="1"/>
  <c r="H70" i="4"/>
  <c r="H109" i="4"/>
  <c r="AN58" i="2"/>
  <c r="AN61" i="2" s="1"/>
  <c r="AN64" i="2"/>
  <c r="J107" i="4"/>
  <c r="O112" i="15" s="1"/>
  <c r="J66" i="4"/>
  <c r="K54" i="4"/>
  <c r="J67" i="4"/>
  <c r="J54" i="4"/>
  <c r="D1349" i="22"/>
  <c r="J69" i="4"/>
  <c r="G811" i="3"/>
  <c r="G812" i="3" s="1"/>
  <c r="G1297" i="22"/>
  <c r="F1580" i="22"/>
  <c r="E1281" i="22"/>
  <c r="E1277" i="22"/>
  <c r="H137" i="27"/>
  <c r="I137" i="27"/>
  <c r="G180" i="27"/>
  <c r="D1575" i="22"/>
  <c r="N93" i="38"/>
  <c r="S93" i="38" s="1"/>
  <c r="X93" i="38" s="1"/>
  <c r="AA93" i="38" s="1"/>
  <c r="N319" i="38"/>
  <c r="Q63" i="38"/>
  <c r="F70" i="37" s="1"/>
  <c r="H83" i="3"/>
  <c r="H85" i="3" s="1"/>
  <c r="H87" i="3" s="1"/>
  <c r="I81" i="3"/>
  <c r="X67" i="25"/>
  <c r="F28" i="37"/>
  <c r="Q293" i="38"/>
  <c r="F176" i="37" s="1"/>
  <c r="CS360" i="38"/>
  <c r="BC188" i="38"/>
  <c r="H305" i="25"/>
  <c r="H317" i="25" s="1"/>
  <c r="H346" i="25" s="1"/>
  <c r="S32" i="10"/>
  <c r="S41" i="10" s="1"/>
  <c r="W229" i="15" s="1"/>
  <c r="T5" i="10"/>
  <c r="T10" i="10" s="1"/>
  <c r="W228" i="15"/>
  <c r="I251" i="25"/>
  <c r="I300" i="25"/>
  <c r="N65" i="43"/>
  <c r="M78" i="43"/>
  <c r="Z149" i="12"/>
  <c r="AA147" i="12"/>
  <c r="AA149" i="12" s="1"/>
  <c r="M334" i="37"/>
  <c r="C407" i="19"/>
  <c r="C408" i="19" s="1"/>
  <c r="D82" i="19"/>
  <c r="E73" i="19"/>
  <c r="CS358" i="38"/>
  <c r="E4033" i="22"/>
  <c r="E4058" i="22" s="1"/>
  <c r="B6" i="46"/>
  <c r="K84" i="46"/>
  <c r="X19" i="12"/>
  <c r="V367" i="15"/>
  <c r="R58" i="12"/>
  <c r="S37" i="12"/>
  <c r="S48" i="12" s="1"/>
  <c r="W366" i="15"/>
  <c r="T5" i="12"/>
  <c r="Y16" i="12"/>
  <c r="V10" i="12"/>
  <c r="U42" i="12"/>
  <c r="U53" i="12" s="1"/>
  <c r="U63" i="12" s="1"/>
  <c r="P13" i="12"/>
  <c r="O45" i="12"/>
  <c r="O76" i="12" s="1"/>
  <c r="X18" i="12"/>
  <c r="J285" i="25"/>
  <c r="J277" i="25"/>
  <c r="J258" i="25"/>
  <c r="J250" i="25" s="1"/>
  <c r="I255" i="25"/>
  <c r="I302" i="25"/>
  <c r="V47" i="25"/>
  <c r="W43" i="25"/>
  <c r="X43" i="25" s="1"/>
  <c r="V45" i="25"/>
  <c r="V51" i="25"/>
  <c r="V52" i="25" s="1"/>
  <c r="Q122" i="25"/>
  <c r="O193" i="25" s="1"/>
  <c r="M209" i="27"/>
  <c r="Q116" i="25"/>
  <c r="H311" i="25"/>
  <c r="I253" i="25"/>
  <c r="I301" i="25"/>
  <c r="I257" i="25"/>
  <c r="I303" i="25"/>
  <c r="O15" i="25"/>
  <c r="N33" i="25"/>
  <c r="N132" i="25" s="1"/>
  <c r="L170" i="25" s="1"/>
  <c r="J329" i="25"/>
  <c r="J332" i="25" s="1"/>
  <c r="J333" i="25" s="1"/>
  <c r="K330" i="25"/>
  <c r="K329" i="25" s="1"/>
  <c r="K332" i="25" s="1"/>
  <c r="K333" i="25" s="1"/>
  <c r="T79" i="25"/>
  <c r="S80" i="25"/>
  <c r="K279" i="25"/>
  <c r="K276" i="25" s="1"/>
  <c r="R87" i="25"/>
  <c r="R77" i="25"/>
  <c r="P181" i="25" s="1"/>
  <c r="P183" i="25"/>
  <c r="Q183" i="25" s="1"/>
  <c r="R81" i="25"/>
  <c r="H3602" i="22"/>
  <c r="H3604" i="22" s="1"/>
  <c r="T67" i="11"/>
  <c r="F54" i="31"/>
  <c r="G54" i="31" s="1"/>
  <c r="H37" i="31"/>
  <c r="G37" i="31"/>
  <c r="U41" i="11"/>
  <c r="U67" i="11" s="1"/>
  <c r="S37" i="11"/>
  <c r="S19" i="11" s="1"/>
  <c r="W15" i="11"/>
  <c r="L172" i="27"/>
  <c r="U6" i="11"/>
  <c r="U10" i="11" s="1"/>
  <c r="T33" i="11"/>
  <c r="T10" i="11"/>
  <c r="W14" i="11"/>
  <c r="V5" i="11"/>
  <c r="Q6" i="4"/>
  <c r="R28" i="11"/>
  <c r="S46" i="11"/>
  <c r="W321" i="15"/>
  <c r="S67" i="11"/>
  <c r="V344" i="15"/>
  <c r="R46" i="11"/>
  <c r="P168" i="19"/>
  <c r="O173" i="19"/>
  <c r="E435" i="19"/>
  <c r="E436" i="19"/>
  <c r="AZ425" i="19"/>
  <c r="I452" i="19" s="1"/>
  <c r="D425" i="19"/>
  <c r="AY424" i="19"/>
  <c r="L112" i="19"/>
  <c r="L221" i="19" s="1"/>
  <c r="L208" i="19" s="1"/>
  <c r="L115" i="19"/>
  <c r="L114" i="19"/>
  <c r="L118" i="19"/>
  <c r="L113" i="19"/>
  <c r="L116" i="19"/>
  <c r="O337" i="19"/>
  <c r="P180" i="19"/>
  <c r="AU470" i="2"/>
  <c r="AU471" i="2"/>
  <c r="O2025" i="22" s="1"/>
  <c r="P109" i="19"/>
  <c r="O108" i="19"/>
  <c r="O165" i="19" s="1"/>
  <c r="H230" i="27"/>
  <c r="H229" i="27"/>
  <c r="H227" i="27"/>
  <c r="H228" i="27"/>
  <c r="H212" i="27"/>
  <c r="H223" i="27"/>
  <c r="H224" i="27"/>
  <c r="H233" i="27"/>
  <c r="J5" i="4"/>
  <c r="G25" i="27"/>
  <c r="G41" i="27" s="1"/>
  <c r="E437" i="19"/>
  <c r="N124" i="19"/>
  <c r="M120" i="19"/>
  <c r="M117" i="19" s="1"/>
  <c r="L16" i="11"/>
  <c r="H17" i="19"/>
  <c r="H15" i="19"/>
  <c r="L25" i="11" s="1"/>
  <c r="N162" i="19"/>
  <c r="N163" i="19"/>
  <c r="N160" i="19"/>
  <c r="N161" i="19"/>
  <c r="O132" i="19"/>
  <c r="P129" i="19"/>
  <c r="H236" i="27"/>
  <c r="S24" i="19"/>
  <c r="R22" i="19"/>
  <c r="L11" i="11"/>
  <c r="H9" i="27"/>
  <c r="U306" i="15"/>
  <c r="N31" i="19"/>
  <c r="M39" i="19"/>
  <c r="J260" i="19"/>
  <c r="J107" i="19"/>
  <c r="K2" i="19"/>
  <c r="AO30" i="19"/>
  <c r="J410" i="19"/>
  <c r="N159" i="19"/>
  <c r="N223" i="19" s="1"/>
  <c r="N210" i="19" s="1"/>
  <c r="M7" i="11"/>
  <c r="I14" i="19"/>
  <c r="J12" i="19"/>
  <c r="Q297" i="15"/>
  <c r="K2485" i="22"/>
  <c r="H2485" i="22"/>
  <c r="L2485" i="22"/>
  <c r="D2478" i="22"/>
  <c r="F2478" i="22"/>
  <c r="E2478" i="22"/>
  <c r="G2478" i="22"/>
  <c r="D2485" i="22"/>
  <c r="E2485" i="22"/>
  <c r="H2478" i="22"/>
  <c r="F2485" i="22"/>
  <c r="Q126" i="34" s="1"/>
  <c r="G2485" i="22"/>
  <c r="I2485" i="22"/>
  <c r="I2478" i="22"/>
  <c r="CS351" i="38"/>
  <c r="R118" i="45"/>
  <c r="L208" i="37"/>
  <c r="L249" i="37"/>
  <c r="R142" i="37"/>
  <c r="G3412" i="22"/>
  <c r="G3432" i="22" s="1"/>
  <c r="I3780" i="22"/>
  <c r="J5353" i="22"/>
  <c r="G366" i="25"/>
  <c r="C4545" i="22"/>
  <c r="D4543" i="22" s="1"/>
  <c r="D4548" i="22" s="1"/>
  <c r="H3607" i="22"/>
  <c r="Y18" i="15"/>
  <c r="H3273" i="22"/>
  <c r="H3287" i="22" s="1"/>
  <c r="H3561" i="22"/>
  <c r="H3563" i="22" s="1"/>
  <c r="E3949" i="22"/>
  <c r="F3708" i="22"/>
  <c r="F3729" i="22" s="1"/>
  <c r="L101" i="37"/>
  <c r="AY88" i="38" s="1"/>
  <c r="T335" i="37"/>
  <c r="T145" i="37"/>
  <c r="AU301" i="38"/>
  <c r="C5047" i="22"/>
  <c r="L99" i="37"/>
  <c r="AY86" i="38" s="1"/>
  <c r="AC961" i="38"/>
  <c r="R143" i="37"/>
  <c r="BI83" i="38"/>
  <c r="N101" i="37"/>
  <c r="F4412" i="22"/>
  <c r="F4413" i="22" s="1"/>
  <c r="F4424" i="22" s="1"/>
  <c r="F4455" i="22" s="1"/>
  <c r="AY186" i="38"/>
  <c r="AM137" i="38"/>
  <c r="AO134" i="38"/>
  <c r="C170" i="36"/>
  <c r="G26" i="36"/>
  <c r="G38" i="36" s="1"/>
  <c r="K67" i="43"/>
  <c r="K73" i="43" s="1"/>
  <c r="K63" i="43"/>
  <c r="O4" i="41"/>
  <c r="V87" i="11"/>
  <c r="W75" i="11"/>
  <c r="R394" i="38"/>
  <c r="R62" i="38"/>
  <c r="V318" i="38"/>
  <c r="G198" i="37" s="1"/>
  <c r="G225" i="37" s="1"/>
  <c r="T170" i="19"/>
  <c r="K2921" i="22"/>
  <c r="J1276" i="22"/>
  <c r="BP304" i="2"/>
  <c r="BP305" i="2" s="1"/>
  <c r="BP312" i="2" s="1"/>
  <c r="K21" i="43"/>
  <c r="K24" i="43"/>
  <c r="H124" i="31"/>
  <c r="K14" i="41"/>
  <c r="R172" i="19"/>
  <c r="W155" i="12"/>
  <c r="U28" i="25"/>
  <c r="AL390" i="2"/>
  <c r="AL289" i="2"/>
  <c r="K234" i="37"/>
  <c r="K208" i="37"/>
  <c r="N260" i="37"/>
  <c r="K249" i="37"/>
  <c r="AR137" i="38"/>
  <c r="AR439" i="38" s="1"/>
  <c r="AR449" i="38" s="1"/>
  <c r="AR460" i="38" s="1"/>
  <c r="AR473" i="38" s="1"/>
  <c r="AR476" i="38" s="1"/>
  <c r="AT98" i="38"/>
  <c r="M436" i="37"/>
  <c r="N436" i="37" s="1"/>
  <c r="L484" i="37"/>
  <c r="L234" i="37"/>
  <c r="G4798" i="22"/>
  <c r="K238" i="37"/>
  <c r="AR301" i="38"/>
  <c r="AS301" i="38"/>
  <c r="AS132" i="38"/>
  <c r="AT132" i="38" s="1"/>
  <c r="AS140" i="38"/>
  <c r="F6" i="40" s="1"/>
  <c r="AS153" i="38"/>
  <c r="AS152" i="38"/>
  <c r="AD957" i="38" s="1"/>
  <c r="K103" i="37"/>
  <c r="K86" i="37"/>
  <c r="V242" i="10"/>
  <c r="D3435" i="22"/>
  <c r="W252" i="15"/>
  <c r="V211" i="10"/>
  <c r="V207" i="10"/>
  <c r="D2741" i="22"/>
  <c r="D2731" i="22"/>
  <c r="D2743" i="22" s="1"/>
  <c r="E2324" i="22"/>
  <c r="E2371" i="22" s="1"/>
  <c r="E2331" i="22"/>
  <c r="E2326" i="22"/>
  <c r="R87" i="10"/>
  <c r="J115" i="37"/>
  <c r="J117" i="37" s="1"/>
  <c r="T29" i="38"/>
  <c r="T296" i="38" s="1"/>
  <c r="G3413" i="22"/>
  <c r="G3433" i="22" s="1"/>
  <c r="G62" i="41"/>
  <c r="G64" i="41" s="1"/>
  <c r="AH146" i="38"/>
  <c r="AH147" i="38" s="1"/>
  <c r="AH134" i="38"/>
  <c r="AJ132" i="38"/>
  <c r="C95" i="41"/>
  <c r="E39" i="41"/>
  <c r="E31" i="41"/>
  <c r="E54" i="41"/>
  <c r="E100" i="41" s="1"/>
  <c r="E106" i="41" s="1"/>
  <c r="E107" i="41" s="1"/>
  <c r="E108" i="41" s="1"/>
  <c r="I114" i="13" s="1"/>
  <c r="I121" i="13" s="1"/>
  <c r="E60" i="41"/>
  <c r="E62" i="41" s="1"/>
  <c r="E64" i="41" s="1"/>
  <c r="E35" i="41"/>
  <c r="E42" i="41" s="1"/>
  <c r="E45" i="41" s="1"/>
  <c r="E56" i="41" s="1"/>
  <c r="E99" i="41"/>
  <c r="E103" i="41" s="1"/>
  <c r="F30" i="41"/>
  <c r="E30" i="41"/>
  <c r="I284" i="37"/>
  <c r="AJ279" i="37"/>
  <c r="AJ284" i="37" s="1"/>
  <c r="AJ292" i="37" s="1"/>
  <c r="I332" i="37"/>
  <c r="D3835" i="22"/>
  <c r="E3835" i="22" s="1"/>
  <c r="V145" i="15"/>
  <c r="G484" i="37"/>
  <c r="G485" i="37" s="1"/>
  <c r="G489" i="37" s="1"/>
  <c r="R170" i="38"/>
  <c r="R169" i="38"/>
  <c r="V210" i="38"/>
  <c r="V449" i="38"/>
  <c r="V460" i="38" s="1"/>
  <c r="V473" i="38" s="1"/>
  <c r="V476" i="38" s="1"/>
  <c r="G305" i="37"/>
  <c r="V140" i="38"/>
  <c r="D4942" i="22"/>
  <c r="D4960" i="22"/>
  <c r="D4948" i="22"/>
  <c r="E4948" i="22" s="1"/>
  <c r="F4948" i="22" s="1"/>
  <c r="G4948" i="22" s="1"/>
  <c r="H4948" i="22" s="1"/>
  <c r="E4941" i="22"/>
  <c r="E4942" i="22" s="1"/>
  <c r="W193" i="10"/>
  <c r="W198" i="10"/>
  <c r="L87" i="37"/>
  <c r="AY77" i="38" s="1"/>
  <c r="R217" i="10"/>
  <c r="H2133" i="22"/>
  <c r="S119" i="15"/>
  <c r="G2135" i="22"/>
  <c r="G2136" i="22" s="1"/>
  <c r="S149" i="37"/>
  <c r="T149" i="37"/>
  <c r="AC186" i="10"/>
  <c r="S139" i="10"/>
  <c r="S227" i="10" s="1"/>
  <c r="R322" i="10"/>
  <c r="R227" i="10"/>
  <c r="U6" i="10"/>
  <c r="T33" i="10"/>
  <c r="T42" i="10" s="1"/>
  <c r="T86" i="10" s="1"/>
  <c r="T93" i="10" s="1"/>
  <c r="V76" i="10"/>
  <c r="U105" i="10"/>
  <c r="Q93" i="10"/>
  <c r="Q87" i="10"/>
  <c r="Q146" i="10"/>
  <c r="Q57" i="10"/>
  <c r="P12" i="4"/>
  <c r="P20" i="4" s="1"/>
  <c r="Q59" i="10"/>
  <c r="Q61" i="10" s="1"/>
  <c r="Q49" i="10"/>
  <c r="T127" i="10"/>
  <c r="T115" i="10"/>
  <c r="H88" i="31"/>
  <c r="F2331" i="22"/>
  <c r="F2326" i="22"/>
  <c r="F2333" i="22" s="1"/>
  <c r="Z273" i="10"/>
  <c r="Y310" i="10"/>
  <c r="O141" i="37"/>
  <c r="N141" i="37"/>
  <c r="AC306" i="10"/>
  <c r="AD250" i="10"/>
  <c r="AA70" i="10"/>
  <c r="U299" i="10"/>
  <c r="U298" i="10"/>
  <c r="AV348" i="38"/>
  <c r="W254" i="10"/>
  <c r="X253" i="10"/>
  <c r="D1116" i="22"/>
  <c r="L1113" i="22"/>
  <c r="D1117" i="22" s="1"/>
  <c r="G94" i="31"/>
  <c r="G92" i="31"/>
  <c r="N111" i="10"/>
  <c r="G81" i="31"/>
  <c r="F123" i="31"/>
  <c r="F135" i="31"/>
  <c r="F2142" i="22"/>
  <c r="D2223" i="22"/>
  <c r="D2588" i="22"/>
  <c r="D2576" i="22"/>
  <c r="Q106" i="4"/>
  <c r="H183" i="15" s="1"/>
  <c r="P106" i="4"/>
  <c r="G183" i="15" s="1"/>
  <c r="O106" i="4"/>
  <c r="L106" i="4"/>
  <c r="M106" i="4"/>
  <c r="M107" i="4" s="1"/>
  <c r="N106" i="4"/>
  <c r="N107" i="4" s="1"/>
  <c r="S112" i="15" s="1"/>
  <c r="E2345" i="22"/>
  <c r="E2343" i="22"/>
  <c r="E2337" i="22"/>
  <c r="I2339" i="22"/>
  <c r="E2202" i="22"/>
  <c r="F2217" i="22"/>
  <c r="E2209" i="22"/>
  <c r="E2210" i="22" s="1"/>
  <c r="F2226" i="22"/>
  <c r="E2330" i="22"/>
  <c r="E2323" i="22"/>
  <c r="G2708" i="22"/>
  <c r="Y307" i="10"/>
  <c r="X308" i="10"/>
  <c r="H94" i="31"/>
  <c r="Y121" i="10"/>
  <c r="X14" i="10"/>
  <c r="E2588" i="22"/>
  <c r="E2576" i="22"/>
  <c r="AP139" i="10"/>
  <c r="AM149" i="10"/>
  <c r="V16" i="10"/>
  <c r="U34" i="10"/>
  <c r="U43" i="10" s="1"/>
  <c r="J2339" i="22"/>
  <c r="F2337" i="22"/>
  <c r="F2343" i="22"/>
  <c r="F2345" i="22"/>
  <c r="G123" i="31"/>
  <c r="G135" i="31"/>
  <c r="N177" i="10"/>
  <c r="M176" i="10"/>
  <c r="M178" i="10" s="1"/>
  <c r="M179" i="10" s="1"/>
  <c r="E2276" i="22"/>
  <c r="E2299" i="22"/>
  <c r="S87" i="10"/>
  <c r="S93" i="10"/>
  <c r="N231" i="22"/>
  <c r="M2" i="10"/>
  <c r="U147" i="10"/>
  <c r="F2330" i="22"/>
  <c r="F2323" i="22"/>
  <c r="O111" i="10"/>
  <c r="H217" i="27" s="1"/>
  <c r="H81" i="31"/>
  <c r="K174" i="36"/>
  <c r="P71" i="36"/>
  <c r="Z71" i="36" s="1"/>
  <c r="K193" i="36" s="1"/>
  <c r="P147" i="36"/>
  <c r="J230" i="36" s="1"/>
  <c r="W15" i="10"/>
  <c r="O81" i="10"/>
  <c r="P81" i="10"/>
  <c r="N176" i="14"/>
  <c r="T145" i="14"/>
  <c r="S146" i="14"/>
  <c r="U75" i="15"/>
  <c r="D3" i="31"/>
  <c r="T83" i="15"/>
  <c r="T84" i="15" s="1"/>
  <c r="S113" i="15"/>
  <c r="S28" i="15"/>
  <c r="G102" i="41"/>
  <c r="G103" i="41" s="1"/>
  <c r="Q11" i="43"/>
  <c r="L434" i="37"/>
  <c r="H34" i="41"/>
  <c r="H35" i="41" s="1"/>
  <c r="H42" i="41" s="1"/>
  <c r="H61" i="41"/>
  <c r="H23" i="41"/>
  <c r="L92" i="37"/>
  <c r="I23" i="41"/>
  <c r="L481" i="37"/>
  <c r="AY87" i="38"/>
  <c r="K332" i="37"/>
  <c r="I98" i="41"/>
  <c r="I29" i="41"/>
  <c r="Q85" i="40"/>
  <c r="AF85" i="40" s="1"/>
  <c r="I59" i="41"/>
  <c r="I20" i="41"/>
  <c r="I51" i="41"/>
  <c r="K26" i="41"/>
  <c r="G45" i="41"/>
  <c r="G56" i="41" s="1"/>
  <c r="AR311" i="38"/>
  <c r="AR309" i="38"/>
  <c r="AW348" i="38" s="1"/>
  <c r="H60" i="41"/>
  <c r="H99" i="41"/>
  <c r="H54" i="41"/>
  <c r="H100" i="41" s="1"/>
  <c r="H106" i="41" s="1"/>
  <c r="H107" i="41" s="1"/>
  <c r="H108" i="41" s="1"/>
  <c r="H30" i="41"/>
  <c r="D123" i="31"/>
  <c r="O61" i="31" s="1"/>
  <c r="E81" i="31"/>
  <c r="E84" i="31" s="1"/>
  <c r="D135" i="31"/>
  <c r="O14" i="31"/>
  <c r="O16" i="31" s="1"/>
  <c r="O33" i="31"/>
  <c r="Y1730" i="22"/>
  <c r="H996" i="22"/>
  <c r="H1000" i="22" s="1"/>
  <c r="P991" i="22"/>
  <c r="I976" i="22"/>
  <c r="I981" i="22" s="1"/>
  <c r="I986" i="22" s="1"/>
  <c r="I991" i="22" s="1"/>
  <c r="I1014" i="22"/>
  <c r="I1017" i="22" s="1"/>
  <c r="Y66" i="38"/>
  <c r="Y23" i="38"/>
  <c r="Y290" i="38" s="1"/>
  <c r="U23" i="38"/>
  <c r="U290" i="38" s="1"/>
  <c r="U66" i="38"/>
  <c r="U28" i="38"/>
  <c r="Z392" i="38"/>
  <c r="Z60" i="38"/>
  <c r="Z65" i="38"/>
  <c r="Z397" i="38"/>
  <c r="AG321" i="38"/>
  <c r="I238" i="37"/>
  <c r="I242" i="37" s="1"/>
  <c r="I243" i="37" s="1"/>
  <c r="I219" i="37"/>
  <c r="J219" i="37"/>
  <c r="AO357" i="38" s="1"/>
  <c r="I65" i="37"/>
  <c r="J243" i="37"/>
  <c r="BS368" i="38"/>
  <c r="AO348" i="38"/>
  <c r="F3478" i="22"/>
  <c r="F3499" i="22" s="1"/>
  <c r="F3413" i="22"/>
  <c r="F3433" i="22" s="1"/>
  <c r="Q263" i="37"/>
  <c r="P175" i="37"/>
  <c r="X139" i="15"/>
  <c r="I40" i="37"/>
  <c r="I115" i="37"/>
  <c r="I117" i="37" s="1"/>
  <c r="I41" i="37"/>
  <c r="F3477" i="22"/>
  <c r="F3498" i="22" s="1"/>
  <c r="AJ282" i="38"/>
  <c r="I172" i="37" s="1"/>
  <c r="I260" i="37" s="1"/>
  <c r="AJ185" i="38"/>
  <c r="I12" i="37"/>
  <c r="E2972" i="22"/>
  <c r="E2973" i="22" s="1"/>
  <c r="G442" i="37"/>
  <c r="C4414" i="22"/>
  <c r="C4413" i="22" s="1"/>
  <c r="V134" i="15"/>
  <c r="G359" i="37"/>
  <c r="G97" i="37"/>
  <c r="AT191" i="38"/>
  <c r="AH16" i="37"/>
  <c r="F2973" i="22"/>
  <c r="R264" i="37"/>
  <c r="Q176" i="37"/>
  <c r="H65" i="37"/>
  <c r="D4412" i="22" s="1"/>
  <c r="H244" i="37"/>
  <c r="C1542" i="34"/>
  <c r="Q202" i="37"/>
  <c r="P179" i="37"/>
  <c r="L339" i="37"/>
  <c r="X169" i="38"/>
  <c r="X170" i="38"/>
  <c r="AT193" i="38"/>
  <c r="AL291" i="37"/>
  <c r="AL280" i="37"/>
  <c r="AL289" i="37"/>
  <c r="AL274" i="37"/>
  <c r="AL282" i="37"/>
  <c r="AL292" i="37"/>
  <c r="AL287" i="37"/>
  <c r="AL288" i="37"/>
  <c r="AL275" i="37"/>
  <c r="AL281" i="37"/>
  <c r="AL273" i="37"/>
  <c r="AL283" i="37"/>
  <c r="AL279" i="37"/>
  <c r="K264" i="14"/>
  <c r="AL284" i="37"/>
  <c r="W143" i="38"/>
  <c r="C12" i="42" s="1"/>
  <c r="W165" i="38"/>
  <c r="W168" i="38" s="1"/>
  <c r="AA131" i="38"/>
  <c r="H315" i="37"/>
  <c r="W146" i="15"/>
  <c r="K177" i="14"/>
  <c r="K178" i="14" s="1"/>
  <c r="K180" i="14" s="1"/>
  <c r="D3999" i="22"/>
  <c r="S190" i="14"/>
  <c r="T188" i="14"/>
  <c r="J3779" i="22"/>
  <c r="J3788" i="22"/>
  <c r="K3788" i="22" s="1"/>
  <c r="E134" i="31"/>
  <c r="G74" i="31"/>
  <c r="H117" i="31"/>
  <c r="J14" i="31"/>
  <c r="H129" i="31"/>
  <c r="E1014" i="22"/>
  <c r="E1017" i="22" s="1"/>
  <c r="E976" i="22"/>
  <c r="E981" i="22" s="1"/>
  <c r="E986" i="22" s="1"/>
  <c r="E991" i="22" s="1"/>
  <c r="O30" i="31"/>
  <c r="D132" i="31"/>
  <c r="D120" i="31"/>
  <c r="W8" i="15"/>
  <c r="I13" i="13"/>
  <c r="E3038" i="22"/>
  <c r="E3037" i="22" s="1"/>
  <c r="E3032" i="22"/>
  <c r="F3190" i="22"/>
  <c r="F2978" i="22"/>
  <c r="E3149" i="22"/>
  <c r="O59" i="13"/>
  <c r="G4813" i="22"/>
  <c r="N72" i="13"/>
  <c r="AE13" i="15"/>
  <c r="S115" i="15"/>
  <c r="G3186" i="22"/>
  <c r="H16" i="13"/>
  <c r="W25" i="15" s="1"/>
  <c r="V7" i="15"/>
  <c r="F3023" i="22"/>
  <c r="V539" i="38"/>
  <c r="W540" i="38" s="1"/>
  <c r="G94" i="13"/>
  <c r="G2966" i="22"/>
  <c r="E546" i="22" l="1"/>
  <c r="BI358" i="38"/>
  <c r="Y656" i="1"/>
  <c r="Z628" i="1"/>
  <c r="Z572" i="1" s="1"/>
  <c r="Y544" i="1"/>
  <c r="X142" i="15"/>
  <c r="T162" i="1"/>
  <c r="T47" i="1"/>
  <c r="W315" i="1"/>
  <c r="Y308" i="1"/>
  <c r="X308" i="1"/>
  <c r="X315" i="1"/>
  <c r="V305" i="1"/>
  <c r="V313" i="1"/>
  <c r="V419" i="1"/>
  <c r="V7" i="1"/>
  <c r="V301" i="1"/>
  <c r="V340" i="1"/>
  <c r="V307" i="1"/>
  <c r="T67" i="1"/>
  <c r="T69" i="1"/>
  <c r="N8" i="43"/>
  <c r="N5" i="43" s="1"/>
  <c r="P54" i="37" s="1"/>
  <c r="P13" i="37" s="1"/>
  <c r="M14" i="43"/>
  <c r="O281" i="37" s="1"/>
  <c r="O334" i="37" s="1"/>
  <c r="M17" i="43"/>
  <c r="M56" i="43"/>
  <c r="M57" i="43" s="1"/>
  <c r="O54" i="37"/>
  <c r="O13" i="37" s="1"/>
  <c r="M41" i="43"/>
  <c r="M45" i="43" s="1"/>
  <c r="O220" i="37"/>
  <c r="BN358" i="38"/>
  <c r="L110" i="36"/>
  <c r="L116" i="36" s="1"/>
  <c r="L57" i="43"/>
  <c r="L50" i="43"/>
  <c r="L52" i="43" s="1"/>
  <c r="G2109" i="22"/>
  <c r="G2110" i="22" s="1"/>
  <c r="G2280" i="22"/>
  <c r="G2281" i="22" s="1"/>
  <c r="O69" i="4"/>
  <c r="O70" i="4" s="1"/>
  <c r="G2322" i="22" s="1"/>
  <c r="N100" i="37"/>
  <c r="BI87" i="38" s="1"/>
  <c r="I232" i="27"/>
  <c r="I235" i="27" s="1"/>
  <c r="O54" i="4"/>
  <c r="L156" i="27"/>
  <c r="F2575" i="22"/>
  <c r="F2589" i="22" s="1"/>
  <c r="L180" i="27"/>
  <c r="U78" i="10"/>
  <c r="U88" i="10" s="1"/>
  <c r="L27" i="47"/>
  <c r="L15" i="47"/>
  <c r="G4821" i="22"/>
  <c r="L11" i="47"/>
  <c r="P15" i="13"/>
  <c r="J110" i="43"/>
  <c r="O72" i="13"/>
  <c r="M11" i="47" s="1"/>
  <c r="L69" i="40"/>
  <c r="L244" i="37"/>
  <c r="J116" i="37"/>
  <c r="O260" i="37"/>
  <c r="P260" i="37" s="1"/>
  <c r="Q260" i="37" s="1"/>
  <c r="R260" i="37" s="1"/>
  <c r="S260" i="37" s="1"/>
  <c r="T260" i="37" s="1"/>
  <c r="L84" i="46"/>
  <c r="K483" i="37"/>
  <c r="F443" i="19"/>
  <c r="F447" i="19" s="1"/>
  <c r="E442" i="19"/>
  <c r="AZ442" i="19" s="1"/>
  <c r="T106" i="10"/>
  <c r="I74" i="43"/>
  <c r="I73" i="43"/>
  <c r="I71" i="43"/>
  <c r="I72" i="43"/>
  <c r="I68" i="43"/>
  <c r="L40" i="19"/>
  <c r="D136" i="31"/>
  <c r="S89" i="10"/>
  <c r="U83" i="15"/>
  <c r="F2311" i="22"/>
  <c r="F2321" i="22"/>
  <c r="F2370" i="22" s="1"/>
  <c r="F2281" i="22"/>
  <c r="F2274" i="22"/>
  <c r="F2298" i="22" s="1"/>
  <c r="F2301" i="22" s="1"/>
  <c r="F2295" i="22"/>
  <c r="J442" i="37"/>
  <c r="D59" i="31"/>
  <c r="E60" i="31" s="1"/>
  <c r="D73" i="31"/>
  <c r="D74" i="31" s="1"/>
  <c r="C134" i="31" s="1"/>
  <c r="E96" i="31"/>
  <c r="E94" i="31"/>
  <c r="J479" i="37"/>
  <c r="M264" i="14" s="1"/>
  <c r="T322" i="10"/>
  <c r="U322" i="10" s="1"/>
  <c r="P84" i="11"/>
  <c r="P120" i="11"/>
  <c r="P121" i="11" s="1"/>
  <c r="P122" i="11" s="1"/>
  <c r="E95" i="31"/>
  <c r="Z187" i="10"/>
  <c r="Z188" i="10" s="1"/>
  <c r="C121" i="31"/>
  <c r="C133" i="31"/>
  <c r="P132" i="11"/>
  <c r="P135" i="11" s="1"/>
  <c r="P89" i="11"/>
  <c r="P90" i="11" s="1"/>
  <c r="P94" i="11" s="1"/>
  <c r="O32" i="4"/>
  <c r="O61" i="4" s="1"/>
  <c r="AG115" i="11"/>
  <c r="H75" i="43"/>
  <c r="J75" i="43"/>
  <c r="H107" i="12"/>
  <c r="H144" i="12"/>
  <c r="H126" i="12"/>
  <c r="H135" i="12" s="1"/>
  <c r="E2260" i="22"/>
  <c r="E2264" i="22" s="1"/>
  <c r="I117" i="12"/>
  <c r="I98" i="12"/>
  <c r="J89" i="12"/>
  <c r="K2" i="12"/>
  <c r="T80" i="10"/>
  <c r="U80" i="10" s="1"/>
  <c r="D5350" i="22"/>
  <c r="BZ368" i="38"/>
  <c r="E5350" i="22"/>
  <c r="CA368" i="38"/>
  <c r="L14" i="47"/>
  <c r="V54" i="25"/>
  <c r="V55" i="25" s="1"/>
  <c r="U63" i="40"/>
  <c r="P367" i="38"/>
  <c r="K367" i="38"/>
  <c r="K394" i="38"/>
  <c r="BP232" i="2"/>
  <c r="L197" i="33"/>
  <c r="L157" i="27"/>
  <c r="P99" i="12"/>
  <c r="E27" i="37"/>
  <c r="L292" i="38"/>
  <c r="E175" i="37" s="1"/>
  <c r="L62" i="38"/>
  <c r="L99" i="36"/>
  <c r="C233" i="14"/>
  <c r="Q233" i="14" s="1"/>
  <c r="D1353" i="22"/>
  <c r="J175" i="43"/>
  <c r="AO143" i="10"/>
  <c r="AO144" i="10" s="1"/>
  <c r="AO153" i="10" s="1"/>
  <c r="M116" i="25"/>
  <c r="M122" i="25"/>
  <c r="K193" i="25" s="1"/>
  <c r="I209" i="27"/>
  <c r="R146" i="10"/>
  <c r="J45" i="31"/>
  <c r="I1958" i="22" s="1"/>
  <c r="J62" i="31"/>
  <c r="J59" i="31" s="1"/>
  <c r="J60" i="31" s="1"/>
  <c r="J8" i="31"/>
  <c r="R59" i="10"/>
  <c r="R61" i="10" s="1"/>
  <c r="R158" i="10" s="1"/>
  <c r="S65" i="38"/>
  <c r="S28" i="38" s="1"/>
  <c r="S295" i="38" s="1"/>
  <c r="S397" i="38"/>
  <c r="X321" i="38"/>
  <c r="F266" i="37"/>
  <c r="F228" i="37"/>
  <c r="S37" i="10"/>
  <c r="S19" i="10" s="1"/>
  <c r="S28" i="10" s="1"/>
  <c r="V321" i="38"/>
  <c r="I258" i="12"/>
  <c r="I261" i="12" s="1"/>
  <c r="I264" i="12" s="1"/>
  <c r="I266" i="12" s="1"/>
  <c r="I267" i="12" s="1"/>
  <c r="K62" i="5"/>
  <c r="K53" i="5"/>
  <c r="K50" i="5"/>
  <c r="S46" i="10"/>
  <c r="S146" i="10" s="1"/>
  <c r="S47" i="10"/>
  <c r="I139" i="27"/>
  <c r="D526" i="22"/>
  <c r="J59" i="5"/>
  <c r="J70" i="5"/>
  <c r="J54" i="5"/>
  <c r="L37" i="5"/>
  <c r="L42" i="5" s="1"/>
  <c r="L34" i="5"/>
  <c r="L18" i="5" s="1"/>
  <c r="L26" i="5" s="1"/>
  <c r="N102" i="11"/>
  <c r="N114" i="11"/>
  <c r="AK140" i="10" s="1"/>
  <c r="M10" i="5"/>
  <c r="M29" i="5"/>
  <c r="N5" i="5"/>
  <c r="AN137" i="10"/>
  <c r="AK147" i="10"/>
  <c r="Q4" i="4"/>
  <c r="J255" i="12"/>
  <c r="J269" i="12"/>
  <c r="J257" i="12" s="1"/>
  <c r="J251" i="12"/>
  <c r="K246" i="12"/>
  <c r="J43" i="4"/>
  <c r="J56" i="4" s="1"/>
  <c r="J74" i="4" s="1"/>
  <c r="J86" i="4" s="1"/>
  <c r="J120" i="4"/>
  <c r="L53" i="4"/>
  <c r="L54" i="4" s="1"/>
  <c r="H267" i="12"/>
  <c r="K112" i="4"/>
  <c r="L27" i="4"/>
  <c r="D811" i="3"/>
  <c r="D812" i="3" s="1"/>
  <c r="D800" i="3"/>
  <c r="D801" i="3" s="1"/>
  <c r="D802" i="3" s="1"/>
  <c r="M115" i="12"/>
  <c r="G67" i="4"/>
  <c r="G69" i="4"/>
  <c r="G54" i="4"/>
  <c r="H54" i="4"/>
  <c r="G66" i="4"/>
  <c r="D180" i="27"/>
  <c r="D176" i="27"/>
  <c r="D184" i="27" s="1"/>
  <c r="I272" i="12"/>
  <c r="L8" i="41"/>
  <c r="K7" i="41"/>
  <c r="K10" i="41" s="1"/>
  <c r="K13" i="41" s="1"/>
  <c r="K16" i="41" s="1"/>
  <c r="K19" i="41" s="1"/>
  <c r="V71" i="25"/>
  <c r="V72" i="25" s="1"/>
  <c r="I172" i="27"/>
  <c r="I180" i="27" s="1"/>
  <c r="AN149" i="10"/>
  <c r="J52" i="31"/>
  <c r="J50" i="31" s="1"/>
  <c r="K174" i="43"/>
  <c r="K175" i="43" s="1"/>
  <c r="L169" i="43"/>
  <c r="L170" i="43" s="1"/>
  <c r="M435" i="37"/>
  <c r="R57" i="10"/>
  <c r="R49" i="10"/>
  <c r="T89" i="10"/>
  <c r="M114" i="11"/>
  <c r="AJ140" i="10" s="1"/>
  <c r="M102" i="11"/>
  <c r="I142" i="27"/>
  <c r="F46" i="35"/>
  <c r="Y35" i="35"/>
  <c r="I88" i="19"/>
  <c r="I76" i="19"/>
  <c r="I79" i="19" s="1"/>
  <c r="I85" i="19" s="1"/>
  <c r="I86" i="19" s="1"/>
  <c r="AP142" i="10"/>
  <c r="AM152" i="10"/>
  <c r="BA304" i="2"/>
  <c r="BA305" i="2" s="1"/>
  <c r="BA312" i="2" s="1"/>
  <c r="L103" i="4"/>
  <c r="L107" i="4" s="1"/>
  <c r="G1276" i="22"/>
  <c r="L61" i="4"/>
  <c r="V9" i="12"/>
  <c r="U41" i="12"/>
  <c r="U52" i="12" s="1"/>
  <c r="U62" i="12" s="1"/>
  <c r="N122" i="11"/>
  <c r="M122" i="11"/>
  <c r="F1303" i="22"/>
  <c r="E1583" i="22"/>
  <c r="R36" i="4"/>
  <c r="L142" i="12"/>
  <c r="M142" i="12"/>
  <c r="L124" i="12"/>
  <c r="O132" i="12"/>
  <c r="N123" i="12"/>
  <c r="N95" i="12" s="1"/>
  <c r="L84" i="12"/>
  <c r="E220" i="27"/>
  <c r="I140" i="27"/>
  <c r="V61" i="25"/>
  <c r="V103" i="25" s="1"/>
  <c r="V39" i="25"/>
  <c r="V125" i="25" s="1"/>
  <c r="M138" i="12"/>
  <c r="L120" i="12"/>
  <c r="L138" i="12"/>
  <c r="O129" i="12"/>
  <c r="N120" i="12"/>
  <c r="N92" i="12" s="1"/>
  <c r="X35" i="25"/>
  <c r="X38" i="25" s="1"/>
  <c r="W38" i="25"/>
  <c r="I200" i="27"/>
  <c r="K201" i="36"/>
  <c r="Q164" i="12"/>
  <c r="F298" i="37" s="1"/>
  <c r="F371" i="37" s="1"/>
  <c r="K221" i="36"/>
  <c r="I141" i="27"/>
  <c r="E1584" i="22"/>
  <c r="F1305" i="22"/>
  <c r="H197" i="27"/>
  <c r="F1339" i="22"/>
  <c r="F1341" i="22" s="1"/>
  <c r="H181" i="27"/>
  <c r="H168" i="27"/>
  <c r="H200" i="27" s="1"/>
  <c r="M141" i="12"/>
  <c r="L141" i="12"/>
  <c r="L123" i="12"/>
  <c r="BQ61" i="2"/>
  <c r="BA542" i="2"/>
  <c r="V108" i="25"/>
  <c r="E1582" i="22"/>
  <c r="F1301" i="22"/>
  <c r="L115" i="12"/>
  <c r="L176" i="27"/>
  <c r="U102" i="12"/>
  <c r="T93" i="12"/>
  <c r="H111" i="3"/>
  <c r="H113" i="3" s="1"/>
  <c r="G1301" i="22"/>
  <c r="F1582" i="22"/>
  <c r="R63" i="38"/>
  <c r="R26" i="38" s="1"/>
  <c r="R293" i="38" s="1"/>
  <c r="R395" i="38"/>
  <c r="M139" i="12"/>
  <c r="L121" i="12"/>
  <c r="L139" i="12"/>
  <c r="L172" i="43"/>
  <c r="N435" i="37" s="1"/>
  <c r="H143" i="27"/>
  <c r="I143" i="27"/>
  <c r="I110" i="3"/>
  <c r="I109" i="3"/>
  <c r="J106" i="3"/>
  <c r="E1585" i="22"/>
  <c r="F1307" i="22"/>
  <c r="L140" i="12"/>
  <c r="L122" i="12"/>
  <c r="L495" i="37"/>
  <c r="L272" i="37"/>
  <c r="L348" i="37" s="1"/>
  <c r="L382" i="37" s="1"/>
  <c r="L452" i="37" s="1"/>
  <c r="M4" i="37"/>
  <c r="L161" i="37"/>
  <c r="L183" i="37" s="1"/>
  <c r="L248" i="37" s="1"/>
  <c r="L45" i="37"/>
  <c r="L85" i="37" s="1"/>
  <c r="L122" i="37" s="1"/>
  <c r="K146" i="43"/>
  <c r="K149" i="43"/>
  <c r="T4" i="25"/>
  <c r="S12" i="25"/>
  <c r="M103" i="43"/>
  <c r="M106" i="43"/>
  <c r="M94" i="43"/>
  <c r="BN359" i="38" s="1"/>
  <c r="N221" i="37"/>
  <c r="BI360" i="38"/>
  <c r="N130" i="43"/>
  <c r="O136" i="43"/>
  <c r="R13" i="25"/>
  <c r="R84" i="25"/>
  <c r="P187" i="25" s="1"/>
  <c r="Q187" i="25" s="1"/>
  <c r="U99" i="10"/>
  <c r="D1817" i="22"/>
  <c r="S1812" i="22"/>
  <c r="N1812" i="22"/>
  <c r="K110" i="43"/>
  <c r="K113" i="43"/>
  <c r="O99" i="43"/>
  <c r="N93" i="43"/>
  <c r="L145" i="43"/>
  <c r="M139" i="43"/>
  <c r="O15" i="37"/>
  <c r="O56" i="37" s="1"/>
  <c r="O96" i="37" s="1"/>
  <c r="M131" i="43"/>
  <c r="M142" i="43"/>
  <c r="C128" i="31"/>
  <c r="D9" i="31"/>
  <c r="E10" i="31" s="1"/>
  <c r="N11" i="31"/>
  <c r="N16" i="31" s="1"/>
  <c r="C116" i="31"/>
  <c r="E91" i="31"/>
  <c r="E93" i="31" s="1"/>
  <c r="E12" i="31"/>
  <c r="D1932" i="22" s="1"/>
  <c r="D1933" i="22" s="1"/>
  <c r="D1945" i="22" s="1"/>
  <c r="Q31" i="5"/>
  <c r="Q10" i="5"/>
  <c r="Q18" i="5" s="1"/>
  <c r="L109" i="43"/>
  <c r="U1812" i="22"/>
  <c r="F1817" i="22"/>
  <c r="P1812" i="22"/>
  <c r="L2" i="4"/>
  <c r="M10" i="4"/>
  <c r="O164" i="43"/>
  <c r="P4" i="43"/>
  <c r="O40" i="43"/>
  <c r="O55" i="43"/>
  <c r="H308" i="25"/>
  <c r="H343" i="25" s="1"/>
  <c r="M165" i="43"/>
  <c r="M167" i="43" s="1"/>
  <c r="W65" i="38"/>
  <c r="W28" i="38" s="1"/>
  <c r="W295" i="38" s="1"/>
  <c r="W397" i="38"/>
  <c r="AC321" i="38"/>
  <c r="AC397" i="38" s="1"/>
  <c r="AD321" i="38"/>
  <c r="AK321" i="38" s="1"/>
  <c r="AR321" i="38" s="1"/>
  <c r="U38" i="12"/>
  <c r="V6" i="12"/>
  <c r="Q69" i="40"/>
  <c r="BD350" i="38"/>
  <c r="N334" i="37"/>
  <c r="P93" i="40"/>
  <c r="R120" i="45"/>
  <c r="F55" i="31"/>
  <c r="F96" i="31" s="1"/>
  <c r="Q61" i="40"/>
  <c r="AF61" i="40" s="1"/>
  <c r="M481" i="37"/>
  <c r="V74" i="40"/>
  <c r="V92" i="40"/>
  <c r="V56" i="40"/>
  <c r="L30" i="47"/>
  <c r="L37" i="47" s="1"/>
  <c r="V62" i="40"/>
  <c r="P57" i="40"/>
  <c r="AG74" i="40"/>
  <c r="F27" i="40"/>
  <c r="F7" i="40"/>
  <c r="K244" i="37"/>
  <c r="G69" i="40"/>
  <c r="Q55" i="40"/>
  <c r="AF55" i="40" s="1"/>
  <c r="E2707" i="22"/>
  <c r="K109" i="4"/>
  <c r="AI144" i="10" s="1"/>
  <c r="K70" i="4"/>
  <c r="E233" i="27"/>
  <c r="E235" i="27"/>
  <c r="E236" i="27" s="1"/>
  <c r="CS363" i="38"/>
  <c r="P92" i="40"/>
  <c r="AE92" i="40" s="1"/>
  <c r="AG92" i="40" s="1"/>
  <c r="AG62" i="40"/>
  <c r="E1350" i="22"/>
  <c r="I1349" i="22"/>
  <c r="Q94" i="40"/>
  <c r="Q91" i="40"/>
  <c r="AF91" i="40" s="1"/>
  <c r="X198" i="10"/>
  <c r="Q73" i="40"/>
  <c r="CS361" i="38"/>
  <c r="P56" i="40"/>
  <c r="AE56" i="40" s="1"/>
  <c r="AG56" i="40" s="1"/>
  <c r="W8" i="12"/>
  <c r="V40" i="12"/>
  <c r="V51" i="12" s="1"/>
  <c r="V61" i="12" s="1"/>
  <c r="D2707" i="22"/>
  <c r="J109" i="4"/>
  <c r="J70" i="4"/>
  <c r="I145" i="27"/>
  <c r="J83" i="27"/>
  <c r="AY350" i="38"/>
  <c r="H1349" i="22"/>
  <c r="D1350" i="22"/>
  <c r="W137" i="25"/>
  <c r="V138" i="25"/>
  <c r="V7" i="12"/>
  <c r="U39" i="12"/>
  <c r="U50" i="12" s="1"/>
  <c r="U60" i="12" s="1"/>
  <c r="BC186" i="38"/>
  <c r="BD186" i="38"/>
  <c r="I262" i="25"/>
  <c r="G4403" i="22"/>
  <c r="G4420" i="22" s="1"/>
  <c r="G4451" i="22" s="1"/>
  <c r="H296" i="25"/>
  <c r="H297" i="25" s="1"/>
  <c r="J81" i="3"/>
  <c r="J83" i="3" s="1"/>
  <c r="J85" i="3" s="1"/>
  <c r="J87" i="3" s="1"/>
  <c r="I83" i="3"/>
  <c r="I85" i="3" s="1"/>
  <c r="I87" i="3" s="1"/>
  <c r="H3605" i="22"/>
  <c r="H336" i="25"/>
  <c r="H339" i="25" s="1"/>
  <c r="H306" i="25"/>
  <c r="E77" i="19"/>
  <c r="E75" i="19"/>
  <c r="E76" i="19" s="1"/>
  <c r="E79" i="19" s="1"/>
  <c r="I305" i="25"/>
  <c r="X47" i="25"/>
  <c r="U5" i="10"/>
  <c r="U10" i="10" s="1"/>
  <c r="T32" i="10"/>
  <c r="T41" i="10" s="1"/>
  <c r="T46" i="10" s="1"/>
  <c r="N368" i="38"/>
  <c r="S319" i="38"/>
  <c r="Q319" i="38"/>
  <c r="F199" i="37" s="1"/>
  <c r="F264" i="37" s="1"/>
  <c r="N395" i="38"/>
  <c r="I311" i="25"/>
  <c r="O65" i="43"/>
  <c r="N78" i="43"/>
  <c r="F108" i="37"/>
  <c r="CS362" i="38"/>
  <c r="P59" i="13"/>
  <c r="Y18" i="12"/>
  <c r="W367" i="15"/>
  <c r="S58" i="12"/>
  <c r="W10" i="12"/>
  <c r="V42" i="12"/>
  <c r="V53" i="12" s="1"/>
  <c r="V63" i="12" s="1"/>
  <c r="Q13" i="12"/>
  <c r="P45" i="12"/>
  <c r="P76" i="12" s="1"/>
  <c r="Z16" i="12"/>
  <c r="AA16" i="12" s="1"/>
  <c r="U5" i="12"/>
  <c r="T37" i="12"/>
  <c r="T48" i="12" s="1"/>
  <c r="T58" i="12" s="1"/>
  <c r="Y19" i="12"/>
  <c r="K285" i="25"/>
  <c r="K258" i="25"/>
  <c r="K277" i="25"/>
  <c r="R122" i="25"/>
  <c r="P193" i="25" s="1"/>
  <c r="R116" i="25"/>
  <c r="N209" i="27"/>
  <c r="O190" i="25"/>
  <c r="O197" i="25" s="1"/>
  <c r="Q127" i="25"/>
  <c r="Q119" i="25"/>
  <c r="Q120" i="25" s="1"/>
  <c r="J256" i="25"/>
  <c r="J254" i="25"/>
  <c r="J252" i="25"/>
  <c r="J260" i="25"/>
  <c r="J259" i="25"/>
  <c r="J300" i="25"/>
  <c r="J251" i="25"/>
  <c r="U79" i="25"/>
  <c r="T80" i="25"/>
  <c r="P15" i="25"/>
  <c r="O33" i="25"/>
  <c r="O132" i="25" s="1"/>
  <c r="M170" i="25" s="1"/>
  <c r="S87" i="25"/>
  <c r="S77" i="25"/>
  <c r="S81" i="25"/>
  <c r="W45" i="25"/>
  <c r="W47" i="25"/>
  <c r="W51" i="25"/>
  <c r="W52" i="25" s="1"/>
  <c r="R6" i="4"/>
  <c r="S28" i="11"/>
  <c r="R55" i="11"/>
  <c r="Q14" i="4"/>
  <c r="Q22" i="4" s="1"/>
  <c r="W5" i="11"/>
  <c r="X15" i="11"/>
  <c r="X14" i="11"/>
  <c r="S55" i="11"/>
  <c r="R14" i="4"/>
  <c r="V32" i="11"/>
  <c r="T42" i="11"/>
  <c r="T46" i="11" s="1"/>
  <c r="T37" i="11"/>
  <c r="T19" i="11" s="1"/>
  <c r="V6" i="11"/>
  <c r="V10" i="11" s="1"/>
  <c r="U33" i="11"/>
  <c r="M42" i="19"/>
  <c r="M40" i="19"/>
  <c r="O31" i="19"/>
  <c r="V306" i="15"/>
  <c r="N39" i="19"/>
  <c r="O124" i="19"/>
  <c r="N120" i="19"/>
  <c r="N117" i="19" s="1"/>
  <c r="O161" i="19"/>
  <c r="O163" i="19"/>
  <c r="O160" i="19"/>
  <c r="O162" i="19"/>
  <c r="P108" i="19"/>
  <c r="P165" i="19" s="1"/>
  <c r="P159" i="19" s="1"/>
  <c r="P223" i="19" s="1"/>
  <c r="Q109" i="19"/>
  <c r="M118" i="19"/>
  <c r="M114" i="19"/>
  <c r="M115" i="19"/>
  <c r="M112" i="19"/>
  <c r="M221" i="19" s="1"/>
  <c r="M208" i="19" s="1"/>
  <c r="M113" i="19"/>
  <c r="M116" i="19"/>
  <c r="P132" i="19"/>
  <c r="Q129" i="19"/>
  <c r="L43" i="19"/>
  <c r="H2626" i="22"/>
  <c r="H2628" i="22" s="1"/>
  <c r="H2633" i="22" s="1"/>
  <c r="P58" i="11"/>
  <c r="I205" i="27" s="1"/>
  <c r="L50" i="19"/>
  <c r="AJ43" i="19"/>
  <c r="AK217" i="19"/>
  <c r="T24" i="19"/>
  <c r="S22" i="19"/>
  <c r="J14" i="19"/>
  <c r="N7" i="11"/>
  <c r="R297" i="15"/>
  <c r="K12" i="19"/>
  <c r="O159" i="19"/>
  <c r="O223" i="19" s="1"/>
  <c r="D437" i="19"/>
  <c r="D435" i="19"/>
  <c r="D436" i="19"/>
  <c r="AY425" i="19"/>
  <c r="H452" i="19" s="1"/>
  <c r="M16" i="11"/>
  <c r="I17" i="19"/>
  <c r="I15" i="19"/>
  <c r="M25" i="11" s="1"/>
  <c r="E41" i="31"/>
  <c r="D1954" i="22" s="1"/>
  <c r="L20" i="11"/>
  <c r="O164" i="19"/>
  <c r="Q180" i="19"/>
  <c r="P337" i="19"/>
  <c r="I9" i="27"/>
  <c r="M11" i="11"/>
  <c r="M20" i="11" s="1"/>
  <c r="K410" i="19"/>
  <c r="AP30" i="19"/>
  <c r="K260" i="19"/>
  <c r="L2" i="19"/>
  <c r="K107" i="19"/>
  <c r="K5" i="4"/>
  <c r="H25" i="27"/>
  <c r="H41" i="27" s="1"/>
  <c r="Q168" i="19"/>
  <c r="P173" i="19"/>
  <c r="D5697" i="22"/>
  <c r="D5699" i="22" s="1"/>
  <c r="J3780" i="22"/>
  <c r="BC55" i="38"/>
  <c r="T142" i="37"/>
  <c r="S142" i="37"/>
  <c r="BD86" i="38"/>
  <c r="AZ348" i="38"/>
  <c r="CC368" i="38" s="1"/>
  <c r="I5350" i="22"/>
  <c r="M431" i="37"/>
  <c r="D4541" i="22"/>
  <c r="F4548" i="22" s="1"/>
  <c r="D4545" i="22"/>
  <c r="C4544" i="22"/>
  <c r="D4544" i="22" s="1"/>
  <c r="C4548" i="22" s="1"/>
  <c r="D4542" i="22"/>
  <c r="E4548" i="22" s="1"/>
  <c r="M101" i="37"/>
  <c r="BD88" i="38" s="1"/>
  <c r="P79" i="40"/>
  <c r="AE79" i="40" s="1"/>
  <c r="AG79" i="40" s="1"/>
  <c r="F5353" i="22"/>
  <c r="M444" i="37"/>
  <c r="M100" i="37"/>
  <c r="BD87" i="38" s="1"/>
  <c r="X193" i="10"/>
  <c r="X211" i="10" s="1"/>
  <c r="F4941" i="22"/>
  <c r="M87" i="37"/>
  <c r="BD77" i="38" s="1"/>
  <c r="H3564" i="22"/>
  <c r="L114" i="13"/>
  <c r="L121" i="13" s="1"/>
  <c r="M484" i="37"/>
  <c r="N35" i="15"/>
  <c r="L337" i="37"/>
  <c r="F4404" i="22"/>
  <c r="F4393" i="22"/>
  <c r="F4398" i="22"/>
  <c r="F4400" i="22" s="1"/>
  <c r="F4423" i="22"/>
  <c r="R4454" i="22" s="1"/>
  <c r="X4454" i="22" s="1"/>
  <c r="T143" i="37"/>
  <c r="S143" i="37"/>
  <c r="J304" i="37"/>
  <c r="AO137" i="38"/>
  <c r="AM210" i="38"/>
  <c r="AM497" i="38"/>
  <c r="AM510" i="38" s="1"/>
  <c r="F4397" i="22"/>
  <c r="F4407" i="22"/>
  <c r="X155" i="12"/>
  <c r="V28" i="25"/>
  <c r="L21" i="43"/>
  <c r="L24" i="43"/>
  <c r="K2928" i="22"/>
  <c r="U2926" i="22" s="1"/>
  <c r="M46" i="43"/>
  <c r="M50" i="43"/>
  <c r="M52" i="43" s="1"/>
  <c r="R25" i="38"/>
  <c r="V62" i="38"/>
  <c r="G69" i="37" s="1"/>
  <c r="S172" i="19"/>
  <c r="P4" i="41"/>
  <c r="K71" i="43"/>
  <c r="K72" i="43"/>
  <c r="K74" i="43"/>
  <c r="K68" i="43"/>
  <c r="L67" i="43"/>
  <c r="L73" i="43" s="1"/>
  <c r="L63" i="43"/>
  <c r="AT350" i="38"/>
  <c r="L14" i="41"/>
  <c r="U170" i="19"/>
  <c r="W87" i="11"/>
  <c r="X75" i="11"/>
  <c r="AR210" i="38"/>
  <c r="AR497" i="38"/>
  <c r="Q68" i="40"/>
  <c r="AF68" i="40" s="1"/>
  <c r="M234" i="37"/>
  <c r="Z150" i="15"/>
  <c r="AS134" i="38"/>
  <c r="AD961" i="38"/>
  <c r="K93" i="37"/>
  <c r="C5050" i="22"/>
  <c r="L332" i="37"/>
  <c r="AS211" i="38"/>
  <c r="AS552" i="38"/>
  <c r="AS564" i="38" s="1"/>
  <c r="N151" i="45" s="1"/>
  <c r="C5049" i="22"/>
  <c r="L338" i="37"/>
  <c r="G4414" i="22"/>
  <c r="G4425" i="22" s="1"/>
  <c r="G4456" i="22" s="1"/>
  <c r="AT181" i="38"/>
  <c r="W211" i="10"/>
  <c r="W207" i="10"/>
  <c r="E2333" i="22"/>
  <c r="E2327" i="22"/>
  <c r="E2373" i="22" s="1"/>
  <c r="T87" i="10"/>
  <c r="F3835" i="22"/>
  <c r="F3841" i="22" s="1"/>
  <c r="E3841" i="22"/>
  <c r="AH131" i="38"/>
  <c r="AJ134" i="38"/>
  <c r="I304" i="37" s="1"/>
  <c r="I479" i="37"/>
  <c r="L264" i="14" s="1"/>
  <c r="I285" i="37"/>
  <c r="E46" i="41"/>
  <c r="V147" i="15"/>
  <c r="G375" i="37"/>
  <c r="G308" i="37"/>
  <c r="V211" i="38"/>
  <c r="H62" i="41"/>
  <c r="H64" i="41" s="1"/>
  <c r="AT180" i="38"/>
  <c r="CL364" i="38"/>
  <c r="R4" i="15"/>
  <c r="S3" i="15"/>
  <c r="D7" i="13"/>
  <c r="D10" i="13" s="1"/>
  <c r="D3020" i="22"/>
  <c r="T119" i="15"/>
  <c r="H2135" i="22"/>
  <c r="H2136" i="22" s="1"/>
  <c r="H102" i="41"/>
  <c r="H103" i="41" s="1"/>
  <c r="J27" i="31"/>
  <c r="AD186" i="10"/>
  <c r="Q20" i="4"/>
  <c r="T139" i="10"/>
  <c r="I118" i="31"/>
  <c r="I130" i="31"/>
  <c r="Q62" i="10"/>
  <c r="Q158" i="10"/>
  <c r="Q97" i="10"/>
  <c r="Q100" i="10" s="1"/>
  <c r="Q66" i="10"/>
  <c r="G65" i="31"/>
  <c r="F67" i="31"/>
  <c r="V6" i="10"/>
  <c r="U33" i="10"/>
  <c r="U127" i="10"/>
  <c r="U115" i="10"/>
  <c r="W76" i="10"/>
  <c r="V105" i="10"/>
  <c r="AA273" i="10"/>
  <c r="Z310" i="10"/>
  <c r="U300" i="10"/>
  <c r="AB70" i="10"/>
  <c r="AD306" i="10"/>
  <c r="AE250" i="10"/>
  <c r="Y253" i="10"/>
  <c r="X254" i="10"/>
  <c r="E2351" i="22"/>
  <c r="I2337" i="22"/>
  <c r="E2349" i="22"/>
  <c r="F2140" i="22"/>
  <c r="D2228" i="22"/>
  <c r="R112" i="15"/>
  <c r="AI115" i="11"/>
  <c r="Z307" i="10"/>
  <c r="Y308" i="10"/>
  <c r="Y14" i="10"/>
  <c r="Z121" i="10"/>
  <c r="X15" i="10"/>
  <c r="E2277" i="22"/>
  <c r="E2291" i="22"/>
  <c r="O177" i="10"/>
  <c r="N176" i="10"/>
  <c r="N178" i="10" s="1"/>
  <c r="N179" i="10" s="1"/>
  <c r="N2" i="10"/>
  <c r="O231" i="22"/>
  <c r="F2349" i="22"/>
  <c r="F2351" i="22"/>
  <c r="J2337" i="22"/>
  <c r="W16" i="10"/>
  <c r="V34" i="10"/>
  <c r="V43" i="10" s="1"/>
  <c r="G2311" i="22"/>
  <c r="H2271" i="22"/>
  <c r="G2274" i="22"/>
  <c r="V147" i="10"/>
  <c r="U145" i="14"/>
  <c r="T146" i="14"/>
  <c r="O176" i="14"/>
  <c r="Q74" i="15"/>
  <c r="V75" i="15"/>
  <c r="E3" i="31"/>
  <c r="C127" i="31"/>
  <c r="C102" i="31" s="1"/>
  <c r="C115" i="31" s="1"/>
  <c r="D21" i="31"/>
  <c r="S117" i="15"/>
  <c r="T28" i="15"/>
  <c r="D3014" i="22"/>
  <c r="T113" i="15"/>
  <c r="G46" i="41"/>
  <c r="AT472" i="38" s="1"/>
  <c r="R11" i="43"/>
  <c r="Q86" i="40"/>
  <c r="AF86" i="40" s="1"/>
  <c r="I24" i="41"/>
  <c r="BD353" i="38" s="1"/>
  <c r="AT182" i="38"/>
  <c r="K237" i="37"/>
  <c r="K242" i="37" s="1"/>
  <c r="K243" i="37" s="1"/>
  <c r="I34" i="41"/>
  <c r="I35" i="41" s="1"/>
  <c r="I42" i="41" s="1"/>
  <c r="M434" i="37"/>
  <c r="I61" i="41"/>
  <c r="M92" i="37"/>
  <c r="J23" i="41"/>
  <c r="I4948" i="22"/>
  <c r="G39" i="41"/>
  <c r="H24" i="41"/>
  <c r="AY353" i="38" s="1"/>
  <c r="AT195" i="38"/>
  <c r="J59" i="41"/>
  <c r="J51" i="41"/>
  <c r="J29" i="41"/>
  <c r="J20" i="41"/>
  <c r="J98" i="41"/>
  <c r="I30" i="41"/>
  <c r="I99" i="41"/>
  <c r="I60" i="41"/>
  <c r="I54" i="41"/>
  <c r="I100" i="41" s="1"/>
  <c r="I106" i="41" s="1"/>
  <c r="I107" i="41" s="1"/>
  <c r="I108" i="41" s="1"/>
  <c r="M121" i="13" s="1"/>
  <c r="H45" i="41"/>
  <c r="H56" i="41" s="1"/>
  <c r="H38" i="41" s="1"/>
  <c r="AT192" i="38"/>
  <c r="L26" i="41"/>
  <c r="L103" i="37"/>
  <c r="AA135" i="15"/>
  <c r="AT57" i="38"/>
  <c r="H1003" i="22"/>
  <c r="H1006" i="22" s="1"/>
  <c r="H1010" i="22"/>
  <c r="Q991" i="22"/>
  <c r="I996" i="22"/>
  <c r="I1000" i="22" s="1"/>
  <c r="R263" i="37"/>
  <c r="Q175" i="37"/>
  <c r="I244" i="37"/>
  <c r="H3737" i="22"/>
  <c r="U295" i="38"/>
  <c r="C2510" i="34"/>
  <c r="E4412" i="22"/>
  <c r="Z28" i="38"/>
  <c r="Y322" i="38"/>
  <c r="Y398" i="38" s="1"/>
  <c r="Y399" i="38" s="1"/>
  <c r="Y401" i="38" s="1"/>
  <c r="Y29" i="38"/>
  <c r="Y296" i="38" s="1"/>
  <c r="U29" i="38"/>
  <c r="U296" i="38" s="1"/>
  <c r="U322" i="38"/>
  <c r="U398" i="38" s="1"/>
  <c r="U399" i="38" s="1"/>
  <c r="U401" i="38" s="1"/>
  <c r="U379" i="38" s="1"/>
  <c r="AG397" i="38"/>
  <c r="AG399" i="38" s="1"/>
  <c r="AG401" i="38" s="1"/>
  <c r="AN321" i="38"/>
  <c r="Z23" i="38"/>
  <c r="Z290" i="38" s="1"/>
  <c r="Z66" i="38"/>
  <c r="AO375" i="38"/>
  <c r="F4348" i="22" s="1"/>
  <c r="AO346" i="38"/>
  <c r="J244" i="37"/>
  <c r="F366" i="25"/>
  <c r="C4587" i="22"/>
  <c r="C4589" i="22" s="1"/>
  <c r="E4589" i="22" s="1"/>
  <c r="I93" i="37"/>
  <c r="AJ82" i="38" s="1"/>
  <c r="I16" i="37"/>
  <c r="I356" i="37"/>
  <c r="AJ12" i="37"/>
  <c r="AJ16" i="37" s="1"/>
  <c r="AJ24" i="37" s="1"/>
  <c r="G3561" i="22"/>
  <c r="D4033" i="22"/>
  <c r="D4058" i="22" s="1"/>
  <c r="G3607" i="22"/>
  <c r="F3412" i="22"/>
  <c r="F3432" i="22" s="1"/>
  <c r="D3949" i="22"/>
  <c r="G3273" i="22"/>
  <c r="G3287" i="22" s="1"/>
  <c r="X18" i="15"/>
  <c r="E3708" i="22"/>
  <c r="E3729" i="22" s="1"/>
  <c r="D4404" i="22"/>
  <c r="D4407" i="22"/>
  <c r="D4395" i="22"/>
  <c r="D4391" i="22"/>
  <c r="D4393" i="22"/>
  <c r="D4401" i="22"/>
  <c r="D4397" i="22"/>
  <c r="S264" i="37"/>
  <c r="R176" i="37"/>
  <c r="AH24" i="37"/>
  <c r="AT16" i="37" s="1"/>
  <c r="N484" i="37"/>
  <c r="O436" i="37"/>
  <c r="AY193" i="38"/>
  <c r="R202" i="37"/>
  <c r="Q179" i="37"/>
  <c r="H303" i="37"/>
  <c r="U10" i="1" s="1"/>
  <c r="U12" i="1" s="1"/>
  <c r="U14" i="1" s="1"/>
  <c r="AA137" i="38"/>
  <c r="H340" i="37"/>
  <c r="H341" i="37" s="1"/>
  <c r="H317" i="37"/>
  <c r="H319" i="37"/>
  <c r="W170" i="38"/>
  <c r="W169" i="38"/>
  <c r="N2927" i="22"/>
  <c r="G3124" i="22"/>
  <c r="R106" i="4"/>
  <c r="I183" i="15" s="1"/>
  <c r="U188" i="14"/>
  <c r="T190" i="14"/>
  <c r="O58" i="31"/>
  <c r="D122" i="31"/>
  <c r="E996" i="22"/>
  <c r="E1000" i="22" s="1"/>
  <c r="O991" i="22"/>
  <c r="I129" i="31"/>
  <c r="I117" i="31"/>
  <c r="K14" i="31"/>
  <c r="H74" i="31"/>
  <c r="F134" i="31"/>
  <c r="G55" i="31"/>
  <c r="H54" i="31"/>
  <c r="X8" i="15"/>
  <c r="J13" i="13"/>
  <c r="G2971" i="22"/>
  <c r="F3027" i="22"/>
  <c r="G2977" i="22"/>
  <c r="F3200" i="22"/>
  <c r="F3204" i="22" s="1"/>
  <c r="T115" i="15"/>
  <c r="AF13" i="15"/>
  <c r="I16" i="13"/>
  <c r="X25" i="15" s="1"/>
  <c r="H3186" i="22"/>
  <c r="W7" i="15"/>
  <c r="G3023" i="22"/>
  <c r="AA539" i="38"/>
  <c r="AB540" i="38" s="1"/>
  <c r="H2966" i="22"/>
  <c r="H94" i="13"/>
  <c r="N17" i="43" l="1"/>
  <c r="N6" i="43"/>
  <c r="P220" i="37" s="1"/>
  <c r="N56" i="43"/>
  <c r="N41" i="43"/>
  <c r="N45" i="43" s="1"/>
  <c r="N50" i="43" s="1"/>
  <c r="N52" i="43" s="1"/>
  <c r="N14" i="43"/>
  <c r="P281" i="37" s="1"/>
  <c r="P334" i="37" s="1"/>
  <c r="O8" i="43"/>
  <c r="O5" i="43" s="1"/>
  <c r="O17" i="43" s="1"/>
  <c r="M62" i="43"/>
  <c r="M67" i="43" s="1"/>
  <c r="M74" i="43" s="1"/>
  <c r="Z656" i="1"/>
  <c r="AA628" i="1"/>
  <c r="AA572" i="1" s="1"/>
  <c r="AA656" i="1" s="1"/>
  <c r="Z544" i="1"/>
  <c r="W288" i="1"/>
  <c r="W11" i="1"/>
  <c r="V308" i="1"/>
  <c r="V315" i="1"/>
  <c r="W316" i="1" s="1"/>
  <c r="W145" i="1"/>
  <c r="W146" i="1" s="1"/>
  <c r="W148" i="1" s="1"/>
  <c r="W153" i="1" s="1"/>
  <c r="W154" i="1" s="1"/>
  <c r="W317" i="1"/>
  <c r="V351" i="1"/>
  <c r="AJ472" i="38" s="1"/>
  <c r="V288" i="1"/>
  <c r="V11" i="1"/>
  <c r="V165" i="1" s="1"/>
  <c r="V169" i="1" s="1"/>
  <c r="W308" i="1"/>
  <c r="T361" i="1"/>
  <c r="T56" i="1"/>
  <c r="T79" i="1"/>
  <c r="T88" i="1" s="1"/>
  <c r="T92" i="1" s="1"/>
  <c r="T111" i="1" s="1"/>
  <c r="T426" i="1" s="1"/>
  <c r="T48" i="1"/>
  <c r="U16" i="1"/>
  <c r="U15" i="1"/>
  <c r="U30" i="1"/>
  <c r="U42" i="1" s="1"/>
  <c r="U60" i="1"/>
  <c r="U66" i="1" s="1"/>
  <c r="U151" i="1"/>
  <c r="T171" i="1"/>
  <c r="T173" i="1" s="1"/>
  <c r="T163" i="1"/>
  <c r="T178" i="1" s="1"/>
  <c r="T186" i="1"/>
  <c r="T390" i="1"/>
  <c r="T71" i="1"/>
  <c r="X316" i="1"/>
  <c r="X319" i="1" s="1"/>
  <c r="X90" i="1" s="1"/>
  <c r="X317" i="1"/>
  <c r="X145" i="1"/>
  <c r="X146" i="1" s="1"/>
  <c r="X148" i="1" s="1"/>
  <c r="X153" i="1" s="1"/>
  <c r="X154" i="1" s="1"/>
  <c r="Y316" i="1"/>
  <c r="Y319" i="1" s="1"/>
  <c r="BN309" i="38"/>
  <c r="BM309" i="38" s="1"/>
  <c r="BM284" i="38" s="1"/>
  <c r="BN284" i="38" s="1"/>
  <c r="M20" i="43"/>
  <c r="M21" i="43" s="1"/>
  <c r="G2107" i="22"/>
  <c r="O221" i="37"/>
  <c r="BN360" i="38"/>
  <c r="F2729" i="22"/>
  <c r="F2741" i="22" s="1"/>
  <c r="N463" i="37"/>
  <c r="Q147" i="14" s="1"/>
  <c r="V78" i="10"/>
  <c r="V106" i="10" s="1"/>
  <c r="U106" i="10"/>
  <c r="N395" i="37"/>
  <c r="N423" i="37" s="1"/>
  <c r="L17" i="47"/>
  <c r="Q15" i="13"/>
  <c r="L34" i="47"/>
  <c r="P72" i="13"/>
  <c r="N11" i="47" s="1"/>
  <c r="N464" i="37"/>
  <c r="Q162" i="14" s="1"/>
  <c r="Q163" i="14" s="1"/>
  <c r="Q165" i="14" s="1"/>
  <c r="D12" i="14"/>
  <c r="B67" i="46"/>
  <c r="F23" i="13"/>
  <c r="F444" i="19"/>
  <c r="I75" i="43"/>
  <c r="F448" i="19"/>
  <c r="BA443" i="19"/>
  <c r="J453" i="19" s="1"/>
  <c r="F449" i="19"/>
  <c r="E443" i="19"/>
  <c r="D442" i="19"/>
  <c r="V65" i="38"/>
  <c r="G72" i="37" s="1"/>
  <c r="V28" i="38"/>
  <c r="G30" i="37" s="1"/>
  <c r="D65" i="31"/>
  <c r="E66" i="31" s="1"/>
  <c r="Q121" i="11"/>
  <c r="Q120" i="11" s="1"/>
  <c r="F2287" i="22"/>
  <c r="F2283" i="22" s="1"/>
  <c r="F2276" i="22"/>
  <c r="F2277" i="22" s="1"/>
  <c r="C136" i="31"/>
  <c r="R97" i="10"/>
  <c r="R100" i="10" s="1"/>
  <c r="R108" i="10" s="1"/>
  <c r="R104" i="10" s="1"/>
  <c r="E97" i="31"/>
  <c r="C122" i="31"/>
  <c r="C125" i="31" s="1"/>
  <c r="AA187" i="10"/>
  <c r="AA188" i="10" s="1"/>
  <c r="T107" i="10"/>
  <c r="O37" i="4"/>
  <c r="O66" i="4" s="1"/>
  <c r="I79" i="31"/>
  <c r="I76" i="31" s="1"/>
  <c r="BP226" i="2"/>
  <c r="BP227" i="2" s="1"/>
  <c r="L38" i="36" s="1"/>
  <c r="O116" i="4"/>
  <c r="J1274" i="22"/>
  <c r="J1277" i="22" s="1"/>
  <c r="R66" i="10"/>
  <c r="R62" i="10"/>
  <c r="F2260" i="22"/>
  <c r="F2264" i="22" s="1"/>
  <c r="J98" i="12"/>
  <c r="J117" i="12"/>
  <c r="I144" i="12"/>
  <c r="I126" i="12"/>
  <c r="I135" i="12" s="1"/>
  <c r="I107" i="12"/>
  <c r="K89" i="12"/>
  <c r="L2" i="12"/>
  <c r="O209" i="27"/>
  <c r="R4" i="4"/>
  <c r="G4941" i="22"/>
  <c r="E4098" i="22"/>
  <c r="E4102" i="22" s="1"/>
  <c r="L29" i="47"/>
  <c r="G4407" i="34"/>
  <c r="N99" i="37"/>
  <c r="BI86" i="38" s="1"/>
  <c r="U93" i="40"/>
  <c r="P108" i="12"/>
  <c r="P127" i="12"/>
  <c r="Q99" i="12"/>
  <c r="J1296" i="22"/>
  <c r="J1332" i="22"/>
  <c r="L106" i="27"/>
  <c r="L122" i="27" s="1"/>
  <c r="L137" i="27" s="1"/>
  <c r="E69" i="37"/>
  <c r="E107" i="37" s="1"/>
  <c r="L318" i="38"/>
  <c r="D1946" i="22"/>
  <c r="D1944" i="22"/>
  <c r="J47" i="31"/>
  <c r="I1960" i="22" s="1"/>
  <c r="I214" i="27"/>
  <c r="S209" i="27"/>
  <c r="D2770" i="22" s="1"/>
  <c r="I235" i="25"/>
  <c r="K190" i="25"/>
  <c r="K197" i="25" s="1"/>
  <c r="M127" i="25"/>
  <c r="M128" i="25" s="1"/>
  <c r="M119" i="25"/>
  <c r="M120" i="25" s="1"/>
  <c r="S59" i="10"/>
  <c r="S61" i="10" s="1"/>
  <c r="S97" i="10" s="1"/>
  <c r="S100" i="10" s="1"/>
  <c r="S108" i="10" s="1"/>
  <c r="S104" i="10" s="1"/>
  <c r="S74" i="10" s="1"/>
  <c r="S57" i="10"/>
  <c r="S49" i="10"/>
  <c r="AB321" i="38"/>
  <c r="AI321" i="38" s="1"/>
  <c r="AP321" i="38" s="1"/>
  <c r="G201" i="37"/>
  <c r="G228" i="37" s="1"/>
  <c r="AA321" i="38"/>
  <c r="X397" i="38"/>
  <c r="AE321" i="38"/>
  <c r="X65" i="38"/>
  <c r="X28" i="38" s="1"/>
  <c r="X295" i="38" s="1"/>
  <c r="T59" i="10"/>
  <c r="T61" i="10" s="1"/>
  <c r="T97" i="10" s="1"/>
  <c r="T100" i="10" s="1"/>
  <c r="T108" i="10" s="1"/>
  <c r="R12" i="4"/>
  <c r="R20" i="4" s="1"/>
  <c r="M483" i="37"/>
  <c r="H338" i="25"/>
  <c r="H340" i="25" s="1"/>
  <c r="H344" i="25" s="1"/>
  <c r="L53" i="5"/>
  <c r="L62" i="5"/>
  <c r="L50" i="5"/>
  <c r="AN147" i="10"/>
  <c r="AQ137" i="10"/>
  <c r="O5" i="5"/>
  <c r="N29" i="5"/>
  <c r="N10" i="5"/>
  <c r="M34" i="5"/>
  <c r="M18" i="5" s="1"/>
  <c r="M26" i="5" s="1"/>
  <c r="M37" i="5"/>
  <c r="M42" i="5" s="1"/>
  <c r="J60" i="5"/>
  <c r="D527" i="22"/>
  <c r="J72" i="5"/>
  <c r="K54" i="5"/>
  <c r="K59" i="5"/>
  <c r="K70" i="5"/>
  <c r="E526" i="22"/>
  <c r="AN140" i="10"/>
  <c r="AK150" i="10"/>
  <c r="AK143" i="10"/>
  <c r="AK153" i="10" s="1"/>
  <c r="L66" i="4"/>
  <c r="L67" i="4"/>
  <c r="F232" i="27"/>
  <c r="F233" i="27" s="1"/>
  <c r="D2348" i="22"/>
  <c r="D2349" i="22" s="1"/>
  <c r="D2280" i="22"/>
  <c r="D2281" i="22" s="1"/>
  <c r="G109" i="4"/>
  <c r="G70" i="4"/>
  <c r="G107" i="4"/>
  <c r="L112" i="15" s="1"/>
  <c r="W54" i="25"/>
  <c r="W55" i="25" s="1"/>
  <c r="H320" i="25"/>
  <c r="H321" i="25" s="1"/>
  <c r="I176" i="27"/>
  <c r="I184" i="27" s="1"/>
  <c r="K255" i="12"/>
  <c r="K251" i="12"/>
  <c r="K269" i="12"/>
  <c r="K257" i="12" s="1"/>
  <c r="L246" i="12"/>
  <c r="M169" i="43"/>
  <c r="M54" i="4"/>
  <c r="M27" i="4"/>
  <c r="L112" i="4"/>
  <c r="J272" i="12"/>
  <c r="J258" i="12"/>
  <c r="J261" i="12" s="1"/>
  <c r="J264" i="12" s="1"/>
  <c r="J266" i="12" s="1"/>
  <c r="J267" i="12" s="1"/>
  <c r="L69" i="4"/>
  <c r="L109" i="4" s="1"/>
  <c r="AJ144" i="10" s="1"/>
  <c r="K43" i="4"/>
  <c r="K56" i="4" s="1"/>
  <c r="K74" i="4" s="1"/>
  <c r="K86" i="4" s="1"/>
  <c r="K120" i="4"/>
  <c r="D2109" i="22"/>
  <c r="D2107" i="22" s="1"/>
  <c r="X70" i="25"/>
  <c r="X51" i="25"/>
  <c r="X52" i="25" s="1"/>
  <c r="X45" i="25"/>
  <c r="X54" i="25"/>
  <c r="L174" i="43"/>
  <c r="L175" i="43" s="1"/>
  <c r="M8" i="41"/>
  <c r="L7" i="41"/>
  <c r="L10" i="41" s="1"/>
  <c r="L13" i="41" s="1"/>
  <c r="L16" i="41" s="1"/>
  <c r="L19" i="41" s="1"/>
  <c r="AH115" i="11"/>
  <c r="Q112" i="15"/>
  <c r="T47" i="10"/>
  <c r="T37" i="10"/>
  <c r="T19" i="10" s="1"/>
  <c r="T28" i="10" s="1"/>
  <c r="J88" i="19"/>
  <c r="I89" i="19"/>
  <c r="G1281" i="22"/>
  <c r="G1277" i="22"/>
  <c r="F53" i="35"/>
  <c r="F47" i="35"/>
  <c r="W9" i="12"/>
  <c r="V41" i="12"/>
  <c r="V52" i="12" s="1"/>
  <c r="V62" i="12" s="1"/>
  <c r="AM140" i="10"/>
  <c r="H184" i="27"/>
  <c r="N96" i="12"/>
  <c r="N101" i="12"/>
  <c r="BF234" i="2"/>
  <c r="J159" i="27"/>
  <c r="S36" i="4"/>
  <c r="Q59" i="13"/>
  <c r="H309" i="25"/>
  <c r="O120" i="12"/>
  <c r="O92" i="12" s="1"/>
  <c r="P129" i="12"/>
  <c r="AB129" i="12" s="1"/>
  <c r="U93" i="12"/>
  <c r="V102" i="12"/>
  <c r="N165" i="43"/>
  <c r="N167" i="43" s="1"/>
  <c r="J110" i="3"/>
  <c r="J109" i="3"/>
  <c r="J162" i="27"/>
  <c r="BF237" i="2"/>
  <c r="N104" i="12"/>
  <c r="W61" i="25"/>
  <c r="W103" i="25" s="1"/>
  <c r="W39" i="25"/>
  <c r="W125" i="25" s="1"/>
  <c r="X108" i="25"/>
  <c r="W70" i="25"/>
  <c r="O123" i="12"/>
  <c r="O95" i="12" s="1"/>
  <c r="P132" i="12"/>
  <c r="L173" i="43"/>
  <c r="N446" i="37" s="1"/>
  <c r="I111" i="3"/>
  <c r="I113" i="3" s="1"/>
  <c r="X39" i="25"/>
  <c r="X125" i="25" s="1"/>
  <c r="X61" i="25"/>
  <c r="W108" i="25"/>
  <c r="BH55" i="38"/>
  <c r="M172" i="43"/>
  <c r="M173" i="43" s="1"/>
  <c r="O446" i="37" s="1"/>
  <c r="M495" i="37"/>
  <c r="M45" i="37"/>
  <c r="M85" i="37" s="1"/>
  <c r="M122" i="37" s="1"/>
  <c r="M161" i="37"/>
  <c r="M183" i="37" s="1"/>
  <c r="M248" i="37" s="1"/>
  <c r="N4" i="37"/>
  <c r="M272" i="37"/>
  <c r="M348" i="37" s="1"/>
  <c r="M382" i="37" s="1"/>
  <c r="M452" i="37" s="1"/>
  <c r="O93" i="43"/>
  <c r="P99" i="43"/>
  <c r="N96" i="37"/>
  <c r="M2" i="4"/>
  <c r="N10" i="4"/>
  <c r="O130" i="43"/>
  <c r="P136" i="43"/>
  <c r="T12" i="25"/>
  <c r="U4" i="25"/>
  <c r="S13" i="25"/>
  <c r="S84" i="25"/>
  <c r="V99" i="10"/>
  <c r="O283" i="37"/>
  <c r="M145" i="43"/>
  <c r="L146" i="43"/>
  <c r="L149" i="43"/>
  <c r="N131" i="43"/>
  <c r="P221" i="37" s="1"/>
  <c r="N139" i="43"/>
  <c r="N142" i="43"/>
  <c r="P15" i="37"/>
  <c r="P56" i="37" s="1"/>
  <c r="P96" i="37" s="1"/>
  <c r="D18" i="14"/>
  <c r="N336" i="37"/>
  <c r="W6" i="12"/>
  <c r="V38" i="12"/>
  <c r="P164" i="43"/>
  <c r="Q4" i="43"/>
  <c r="P40" i="43"/>
  <c r="P55" i="43"/>
  <c r="L113" i="43"/>
  <c r="L110" i="43"/>
  <c r="N106" i="43"/>
  <c r="N94" i="43"/>
  <c r="N103" i="43"/>
  <c r="M109" i="43"/>
  <c r="BH287" i="38"/>
  <c r="H2635" i="22"/>
  <c r="E120" i="31"/>
  <c r="E132" i="31"/>
  <c r="BH302" i="38"/>
  <c r="Y198" i="10"/>
  <c r="N87" i="37"/>
  <c r="BI77" i="38" s="1"/>
  <c r="Y193" i="10"/>
  <c r="Y211" i="10" s="1"/>
  <c r="F72" i="31"/>
  <c r="H2632" i="22"/>
  <c r="CX351" i="38"/>
  <c r="U74" i="40"/>
  <c r="CX361" i="38"/>
  <c r="U56" i="40"/>
  <c r="N444" i="37"/>
  <c r="CX362" i="38"/>
  <c r="U62" i="40"/>
  <c r="CX363" i="38"/>
  <c r="U92" i="40"/>
  <c r="BI88" i="38"/>
  <c r="F6131" i="22"/>
  <c r="P61" i="40"/>
  <c r="AE61" i="40" s="1"/>
  <c r="AG61" i="40" s="1"/>
  <c r="V55" i="40"/>
  <c r="V91" i="40"/>
  <c r="V73" i="40"/>
  <c r="V85" i="40"/>
  <c r="V94" i="40"/>
  <c r="V61" i="40"/>
  <c r="M339" i="37"/>
  <c r="M338" i="37"/>
  <c r="M508" i="37" s="1"/>
  <c r="Q64" i="40"/>
  <c r="AF73" i="40"/>
  <c r="P73" i="40"/>
  <c r="AE73" i="40" s="1"/>
  <c r="E2708" i="22"/>
  <c r="H2708" i="22" s="1"/>
  <c r="E2704" i="22"/>
  <c r="I2707" i="22"/>
  <c r="Q88" i="40"/>
  <c r="AF94" i="40"/>
  <c r="Q95" i="40"/>
  <c r="E2710" i="22"/>
  <c r="E2711" i="22" s="1"/>
  <c r="H2711" i="22" s="1"/>
  <c r="K71" i="4"/>
  <c r="Q58" i="40"/>
  <c r="AI154" i="10"/>
  <c r="AI149" i="10"/>
  <c r="AI143" i="10"/>
  <c r="AI153" i="10" s="1"/>
  <c r="AI147" i="10"/>
  <c r="AI148" i="10"/>
  <c r="AI151" i="10"/>
  <c r="AI152" i="10"/>
  <c r="AI150" i="10"/>
  <c r="D2710" i="22"/>
  <c r="D2711" i="22" s="1"/>
  <c r="J71" i="4"/>
  <c r="W7" i="12"/>
  <c r="V39" i="12"/>
  <c r="V50" i="12" s="1"/>
  <c r="V60" i="12" s="1"/>
  <c r="D2704" i="22"/>
  <c r="D2705" i="22" s="1"/>
  <c r="D2708" i="22"/>
  <c r="W138" i="25"/>
  <c r="X137" i="25"/>
  <c r="X138" i="25" s="1"/>
  <c r="K83" i="27"/>
  <c r="J145" i="27"/>
  <c r="X8" i="12"/>
  <c r="W40" i="12"/>
  <c r="W51" i="12" s="1"/>
  <c r="W61" i="12" s="1"/>
  <c r="I308" i="25"/>
  <c r="V319" i="38"/>
  <c r="G199" i="37" s="1"/>
  <c r="G226" i="37" s="1"/>
  <c r="S395" i="38"/>
  <c r="S63" i="38"/>
  <c r="I336" i="25"/>
  <c r="I296" i="25"/>
  <c r="I297" i="25" s="1"/>
  <c r="I317" i="25"/>
  <c r="H4403" i="22"/>
  <c r="H4420" i="22" s="1"/>
  <c r="H4451" i="22" s="1"/>
  <c r="I306" i="25"/>
  <c r="E85" i="19"/>
  <c r="E86" i="19" s="1"/>
  <c r="E81" i="19"/>
  <c r="P65" i="43"/>
  <c r="O78" i="43"/>
  <c r="V5" i="10"/>
  <c r="U32" i="10"/>
  <c r="U41" i="10" s="1"/>
  <c r="H2634" i="22"/>
  <c r="W42" i="12"/>
  <c r="W53" i="12" s="1"/>
  <c r="W63" i="12" s="1"/>
  <c r="X10" i="12"/>
  <c r="Z19" i="12"/>
  <c r="V5" i="12"/>
  <c r="U37" i="12"/>
  <c r="U48" i="12" s="1"/>
  <c r="U58" i="12" s="1"/>
  <c r="Q45" i="12"/>
  <c r="Q76" i="12" s="1"/>
  <c r="R13" i="12"/>
  <c r="Z18" i="12"/>
  <c r="T87" i="25"/>
  <c r="T77" i="25"/>
  <c r="T81" i="25"/>
  <c r="J253" i="25"/>
  <c r="J301" i="25"/>
  <c r="S116" i="25"/>
  <c r="S122" i="25"/>
  <c r="J255" i="25"/>
  <c r="J302" i="25"/>
  <c r="H348" i="25"/>
  <c r="H350" i="25" s="1"/>
  <c r="J303" i="25"/>
  <c r="J257" i="25"/>
  <c r="P190" i="25"/>
  <c r="R127" i="25"/>
  <c r="R119" i="25"/>
  <c r="R120" i="25" s="1"/>
  <c r="P33" i="25"/>
  <c r="P132" i="25" s="1"/>
  <c r="N170" i="25" s="1"/>
  <c r="Q15" i="25"/>
  <c r="K254" i="25"/>
  <c r="K255" i="25" s="1"/>
  <c r="K260" i="25"/>
  <c r="K252" i="25"/>
  <c r="K253" i="25" s="1"/>
  <c r="K250" i="25"/>
  <c r="K256" i="25"/>
  <c r="K257" i="25" s="1"/>
  <c r="K259" i="25"/>
  <c r="V79" i="25"/>
  <c r="U80" i="25"/>
  <c r="Q128" i="25"/>
  <c r="Q139" i="25"/>
  <c r="Q140" i="25" s="1"/>
  <c r="Q142" i="25" s="1"/>
  <c r="V73" i="25"/>
  <c r="Z68" i="33"/>
  <c r="Z5" i="33" s="1"/>
  <c r="R22" i="4"/>
  <c r="W6" i="11"/>
  <c r="W10" i="11" s="1"/>
  <c r="V33" i="11"/>
  <c r="V42" i="11" s="1"/>
  <c r="T28" i="11"/>
  <c r="S6" i="4"/>
  <c r="Y15" i="11"/>
  <c r="X5" i="11"/>
  <c r="T55" i="11"/>
  <c r="S14" i="4"/>
  <c r="S22" i="4" s="1"/>
  <c r="V41" i="11"/>
  <c r="W32" i="11"/>
  <c r="U42" i="11"/>
  <c r="U46" i="11" s="1"/>
  <c r="U37" i="11"/>
  <c r="U19" i="11" s="1"/>
  <c r="Y14" i="11"/>
  <c r="R168" i="19"/>
  <c r="Q173" i="19"/>
  <c r="AO152" i="10"/>
  <c r="AO151" i="10"/>
  <c r="AO149" i="10"/>
  <c r="AO150" i="10"/>
  <c r="AO148" i="10"/>
  <c r="AO147" i="10"/>
  <c r="AO154" i="10"/>
  <c r="Q108" i="19"/>
  <c r="Q165" i="19" s="1"/>
  <c r="R109" i="19"/>
  <c r="I25" i="27"/>
  <c r="I41" i="27" s="1"/>
  <c r="L5" i="4"/>
  <c r="Q132" i="19"/>
  <c r="R129" i="19"/>
  <c r="W306" i="15"/>
  <c r="P31" i="19"/>
  <c r="O39" i="19"/>
  <c r="N40" i="19"/>
  <c r="O210" i="19"/>
  <c r="P210" i="19"/>
  <c r="P161" i="19"/>
  <c r="P160" i="19"/>
  <c r="P162" i="19"/>
  <c r="P163" i="19"/>
  <c r="S297" i="15"/>
  <c r="K14" i="19"/>
  <c r="O7" i="11"/>
  <c r="A2058" i="22"/>
  <c r="L12" i="19"/>
  <c r="P124" i="19"/>
  <c r="O120" i="19"/>
  <c r="O117" i="19" s="1"/>
  <c r="Q337" i="19"/>
  <c r="R180" i="19"/>
  <c r="L261" i="19"/>
  <c r="L263" i="19" s="1"/>
  <c r="L51" i="19"/>
  <c r="T22" i="19"/>
  <c r="U24" i="19"/>
  <c r="H2629" i="22"/>
  <c r="L410" i="19"/>
  <c r="L260" i="19"/>
  <c r="M2" i="19"/>
  <c r="L107" i="19"/>
  <c r="J9" i="27"/>
  <c r="N11" i="11"/>
  <c r="N20" i="11" s="1"/>
  <c r="P59" i="11"/>
  <c r="I206" i="27" s="1"/>
  <c r="P63" i="11"/>
  <c r="AK224" i="19"/>
  <c r="M50" i="19"/>
  <c r="I2626" i="22"/>
  <c r="I2628" i="22" s="1"/>
  <c r="I2634" i="22" s="1"/>
  <c r="L53" i="19"/>
  <c r="M43" i="19"/>
  <c r="M44" i="19" s="1"/>
  <c r="AJ44" i="19"/>
  <c r="AJ45" i="19" s="1"/>
  <c r="AJ46" i="19" s="1"/>
  <c r="AK218" i="19"/>
  <c r="P164" i="19"/>
  <c r="J15" i="19"/>
  <c r="N25" i="11" s="1"/>
  <c r="N16" i="11"/>
  <c r="J17" i="19"/>
  <c r="N114" i="19"/>
  <c r="N115" i="19"/>
  <c r="N118" i="19"/>
  <c r="N112" i="19"/>
  <c r="N221" i="19" s="1"/>
  <c r="N113" i="19"/>
  <c r="N116" i="19"/>
  <c r="D5701" i="22"/>
  <c r="D5704" i="22" s="1"/>
  <c r="D5703" i="22"/>
  <c r="I5723" i="22"/>
  <c r="P91" i="40"/>
  <c r="AE91" i="40" s="1"/>
  <c r="AG91" i="40" s="1"/>
  <c r="P55" i="40"/>
  <c r="AE55" i="40" s="1"/>
  <c r="AG55" i="40" s="1"/>
  <c r="N339" i="37"/>
  <c r="M103" i="37"/>
  <c r="P68" i="40"/>
  <c r="AE68" i="40" s="1"/>
  <c r="AG68" i="40" s="1"/>
  <c r="R109" i="45"/>
  <c r="AT58" i="38"/>
  <c r="AT347" i="38" s="1"/>
  <c r="AB135" i="15"/>
  <c r="G5350" i="22"/>
  <c r="CZ189" i="38"/>
  <c r="X207" i="10"/>
  <c r="M337" i="37"/>
  <c r="AY191" i="38"/>
  <c r="I2133" i="22"/>
  <c r="O21" i="15"/>
  <c r="T3" i="15"/>
  <c r="U2921" i="22"/>
  <c r="F4401" i="22"/>
  <c r="F4394" i="22"/>
  <c r="F4454" i="22"/>
  <c r="AY182" i="38"/>
  <c r="AO497" i="38"/>
  <c r="AO449" i="38"/>
  <c r="AO460" i="38" s="1"/>
  <c r="AO473" i="38" s="1"/>
  <c r="AO210" i="38"/>
  <c r="J305" i="37"/>
  <c r="Y146" i="15"/>
  <c r="J315" i="37"/>
  <c r="M177" i="14"/>
  <c r="M178" i="14" s="1"/>
  <c r="M180" i="14" s="1"/>
  <c r="C4272" i="22"/>
  <c r="C4273" i="22" s="1"/>
  <c r="D4272" i="22" s="1"/>
  <c r="K75" i="43"/>
  <c r="R292" i="38"/>
  <c r="G27" i="37"/>
  <c r="G107" i="37" s="1"/>
  <c r="V25" i="38"/>
  <c r="V292" i="38" s="1"/>
  <c r="G175" i="37" s="1"/>
  <c r="G263" i="37" s="1"/>
  <c r="G2331" i="22"/>
  <c r="Y155" i="12"/>
  <c r="W28" i="25"/>
  <c r="N57" i="43"/>
  <c r="N62" i="43"/>
  <c r="L71" i="43"/>
  <c r="L72" i="43"/>
  <c r="L68" i="43"/>
  <c r="L74" i="43"/>
  <c r="O14" i="43"/>
  <c r="T172" i="19"/>
  <c r="N20" i="43"/>
  <c r="M14" i="41"/>
  <c r="E3020" i="22"/>
  <c r="U2918" i="22"/>
  <c r="U2922" i="22"/>
  <c r="U2920" i="22"/>
  <c r="U2928" i="22"/>
  <c r="U2919" i="22"/>
  <c r="U2927" i="22"/>
  <c r="X87" i="11"/>
  <c r="Y75" i="11"/>
  <c r="V170" i="19"/>
  <c r="W170" i="19" s="1"/>
  <c r="AS137" i="38"/>
  <c r="AS439" i="38" s="1"/>
  <c r="AS449" i="38" s="1"/>
  <c r="F13" i="40" s="1"/>
  <c r="F18" i="40" s="1"/>
  <c r="F23" i="40" s="1"/>
  <c r="F24" i="40" s="1"/>
  <c r="AT134" i="38"/>
  <c r="K304" i="37" s="1"/>
  <c r="AT13" i="38"/>
  <c r="AT189" i="38" s="1"/>
  <c r="K97" i="37"/>
  <c r="Q98" i="40"/>
  <c r="AF98" i="40" s="1"/>
  <c r="Z134" i="15"/>
  <c r="N195" i="37"/>
  <c r="AT179" i="38"/>
  <c r="AS553" i="38"/>
  <c r="AT185" i="38"/>
  <c r="L177" i="14"/>
  <c r="L178" i="14" s="1"/>
  <c r="L180" i="14" s="1"/>
  <c r="X146" i="15"/>
  <c r="I315" i="37"/>
  <c r="AH141" i="38"/>
  <c r="AJ131" i="38"/>
  <c r="D3414" i="22"/>
  <c r="E3274" i="22"/>
  <c r="F3192" i="22"/>
  <c r="V19" i="15"/>
  <c r="E3143" i="22"/>
  <c r="G21" i="13"/>
  <c r="F2918" i="22"/>
  <c r="E3295" i="22"/>
  <c r="E3567" i="22"/>
  <c r="E3569" i="22" s="1"/>
  <c r="E3570" i="22" s="1"/>
  <c r="D3464" i="22"/>
  <c r="G85" i="13"/>
  <c r="G77" i="13"/>
  <c r="G78" i="13"/>
  <c r="I62" i="41"/>
  <c r="I64" i="41" s="1"/>
  <c r="D3479" i="22"/>
  <c r="G377" i="37"/>
  <c r="D53" i="13"/>
  <c r="E2536" i="22"/>
  <c r="G2145" i="22"/>
  <c r="Q2140" i="22" s="1"/>
  <c r="R15" i="15"/>
  <c r="S4" i="15"/>
  <c r="T49" i="10"/>
  <c r="AE186" i="10"/>
  <c r="T146" i="10"/>
  <c r="U139" i="10"/>
  <c r="V127" i="10"/>
  <c r="V115" i="10"/>
  <c r="W6" i="10"/>
  <c r="V33" i="10"/>
  <c r="V42" i="10" s="1"/>
  <c r="X76" i="10"/>
  <c r="W105" i="10"/>
  <c r="U42" i="10"/>
  <c r="Q108" i="10"/>
  <c r="Q104" i="10" s="1"/>
  <c r="Q143" i="10"/>
  <c r="Q101" i="10"/>
  <c r="P29" i="4"/>
  <c r="F73" i="31"/>
  <c r="E133" i="31"/>
  <c r="F95" i="31"/>
  <c r="E121" i="31"/>
  <c r="S12" i="4"/>
  <c r="H65" i="31"/>
  <c r="G67" i="31"/>
  <c r="AB273" i="10"/>
  <c r="AA310" i="10"/>
  <c r="AA143" i="15"/>
  <c r="AY195" i="38"/>
  <c r="AE306" i="10"/>
  <c r="Z253" i="10"/>
  <c r="Y254" i="10"/>
  <c r="AC70" i="10"/>
  <c r="AA121" i="10"/>
  <c r="Z308" i="10"/>
  <c r="AA307" i="10"/>
  <c r="F2126" i="22"/>
  <c r="F2132" i="22" s="1"/>
  <c r="F2137" i="22" s="1"/>
  <c r="D2229" i="22"/>
  <c r="D2230" i="22"/>
  <c r="Z14" i="10"/>
  <c r="AA14" i="10" s="1"/>
  <c r="H2274" i="22"/>
  <c r="I2271" i="22"/>
  <c r="H2311" i="22"/>
  <c r="Y15" i="10"/>
  <c r="P177" i="10"/>
  <c r="O176" i="10"/>
  <c r="O178" i="10" s="1"/>
  <c r="O179" i="10" s="1"/>
  <c r="V80" i="10"/>
  <c r="U107" i="10"/>
  <c r="U89" i="10"/>
  <c r="U94" i="10"/>
  <c r="W147" i="10"/>
  <c r="X16" i="10"/>
  <c r="W34" i="10"/>
  <c r="W43" i="10" s="1"/>
  <c r="P231" i="22"/>
  <c r="N185" i="10"/>
  <c r="N240" i="10" s="1"/>
  <c r="O2" i="10"/>
  <c r="G2276" i="22"/>
  <c r="G2298" i="22"/>
  <c r="G2301" i="22" s="1"/>
  <c r="G2287" i="22"/>
  <c r="P176" i="14"/>
  <c r="U146" i="14"/>
  <c r="V145" i="14"/>
  <c r="D1931" i="22"/>
  <c r="D1938" i="22" s="1"/>
  <c r="E21" i="31"/>
  <c r="D1953" i="22"/>
  <c r="D127" i="31"/>
  <c r="D102" i="31" s="1"/>
  <c r="D115" i="31" s="1"/>
  <c r="F3" i="31"/>
  <c r="W75" i="15"/>
  <c r="V83" i="15"/>
  <c r="I102" i="41"/>
  <c r="I103" i="41" s="1"/>
  <c r="H46" i="41"/>
  <c r="AY472" i="38" s="1"/>
  <c r="H39" i="41"/>
  <c r="I45" i="41"/>
  <c r="I56" i="41" s="1"/>
  <c r="I38" i="41" s="1"/>
  <c r="G4412" i="22"/>
  <c r="N434" i="37"/>
  <c r="J34" i="41"/>
  <c r="J35" i="41" s="1"/>
  <c r="J42" i="41" s="1"/>
  <c r="J61" i="41"/>
  <c r="J4948" i="22"/>
  <c r="AY192" i="38"/>
  <c r="J99" i="41"/>
  <c r="J30" i="41"/>
  <c r="D17" i="14"/>
  <c r="J54" i="41"/>
  <c r="J100" i="41" s="1"/>
  <c r="J106" i="41" s="1"/>
  <c r="J107" i="41" s="1"/>
  <c r="J108" i="41" s="1"/>
  <c r="N121" i="13" s="1"/>
  <c r="J60" i="41"/>
  <c r="M332" i="37"/>
  <c r="M507" i="37" s="1"/>
  <c r="K22" i="41"/>
  <c r="O92" i="37" s="1"/>
  <c r="O259" i="37" s="1"/>
  <c r="N92" i="37"/>
  <c r="M26" i="41"/>
  <c r="J24" i="41"/>
  <c r="N218" i="37" s="1"/>
  <c r="BI353" i="38" s="1"/>
  <c r="K59" i="41"/>
  <c r="K29" i="41"/>
  <c r="K51" i="41"/>
  <c r="K98" i="41"/>
  <c r="K20" i="41"/>
  <c r="O11" i="37"/>
  <c r="I1003" i="22"/>
  <c r="I1006" i="22" s="1"/>
  <c r="I1010" i="22"/>
  <c r="Z29" i="38"/>
  <c r="Z296" i="38" s="1"/>
  <c r="Z322" i="38"/>
  <c r="Z398" i="38" s="1"/>
  <c r="Z399" i="38" s="1"/>
  <c r="Z401" i="38" s="1"/>
  <c r="R175" i="37"/>
  <c r="S263" i="37"/>
  <c r="E4395" i="22"/>
  <c r="E4393" i="22"/>
  <c r="E4401" i="22"/>
  <c r="E4397" i="22"/>
  <c r="E4391" i="22"/>
  <c r="E4476" i="22"/>
  <c r="E4404" i="22"/>
  <c r="E4407" i="22"/>
  <c r="Z295" i="38"/>
  <c r="G3564" i="22"/>
  <c r="G3563" i="22"/>
  <c r="G3605" i="22" s="1"/>
  <c r="G367" i="25"/>
  <c r="G369" i="25"/>
  <c r="AJ13" i="38"/>
  <c r="AJ189" i="38" s="1"/>
  <c r="X134" i="15"/>
  <c r="I97" i="37"/>
  <c r="I17" i="37"/>
  <c r="I442" i="37" s="1"/>
  <c r="E4414" i="22"/>
  <c r="E4413" i="22" s="1"/>
  <c r="I359" i="37"/>
  <c r="P436" i="37"/>
  <c r="O484" i="37"/>
  <c r="AT23" i="37"/>
  <c r="AT6" i="37"/>
  <c r="AT5" i="37"/>
  <c r="AT11" i="37"/>
  <c r="AT7" i="37"/>
  <c r="AT19" i="37"/>
  <c r="AT20" i="37"/>
  <c r="AT21" i="37"/>
  <c r="AT12" i="37"/>
  <c r="T264" i="37"/>
  <c r="T176" i="37" s="1"/>
  <c r="S176" i="37"/>
  <c r="S202" i="37"/>
  <c r="R179" i="37"/>
  <c r="AV15" i="37"/>
  <c r="AV21" i="37"/>
  <c r="AV11" i="37"/>
  <c r="AV6" i="37"/>
  <c r="AV7" i="37"/>
  <c r="AV20" i="37"/>
  <c r="AV5" i="37"/>
  <c r="AV19" i="37"/>
  <c r="AV23" i="37"/>
  <c r="AV12" i="37"/>
  <c r="AA449" i="38"/>
  <c r="AA460" i="38" s="1"/>
  <c r="AA473" i="38" s="1"/>
  <c r="AA497" i="38"/>
  <c r="AA140" i="38"/>
  <c r="AA210" i="38"/>
  <c r="H305" i="37"/>
  <c r="F1543" i="34"/>
  <c r="H1543" i="34" s="1"/>
  <c r="D1543" i="34" s="1"/>
  <c r="W145" i="15"/>
  <c r="H484" i="37"/>
  <c r="H485" i="37" s="1"/>
  <c r="H489" i="37" s="1"/>
  <c r="H486" i="37"/>
  <c r="H321" i="37"/>
  <c r="F3030" i="22"/>
  <c r="F3033" i="22" s="1"/>
  <c r="G2972" i="22"/>
  <c r="G2973" i="22" s="1"/>
  <c r="G212" i="14"/>
  <c r="H2985" i="22"/>
  <c r="H2989" i="22"/>
  <c r="AV16" i="37"/>
  <c r="U190" i="14"/>
  <c r="V188" i="14"/>
  <c r="H55" i="31"/>
  <c r="I54" i="31"/>
  <c r="F120" i="31"/>
  <c r="G72" i="31"/>
  <c r="F132" i="31"/>
  <c r="G96" i="31"/>
  <c r="I74" i="31"/>
  <c r="G134" i="31"/>
  <c r="E1010" i="22"/>
  <c r="E1003" i="22"/>
  <c r="E1006" i="22" s="1"/>
  <c r="L14" i="31"/>
  <c r="J129" i="31"/>
  <c r="J117" i="31"/>
  <c r="D112" i="31"/>
  <c r="D113" i="31" s="1"/>
  <c r="D125" i="31"/>
  <c r="D109" i="31"/>
  <c r="O60" i="31"/>
  <c r="K13" i="13"/>
  <c r="C4796" i="22"/>
  <c r="Y8" i="15"/>
  <c r="F3038" i="22"/>
  <c r="F3037" i="22" s="1"/>
  <c r="D3017" i="22"/>
  <c r="H2977" i="22"/>
  <c r="R35" i="15"/>
  <c r="P29" i="15"/>
  <c r="P14" i="15"/>
  <c r="AG13" i="15"/>
  <c r="H2971" i="22"/>
  <c r="G3027" i="22"/>
  <c r="J16" i="13"/>
  <c r="Y25" i="15" s="1"/>
  <c r="I3186" i="22"/>
  <c r="I94" i="13"/>
  <c r="I2966" i="22"/>
  <c r="AJ539" i="38"/>
  <c r="X7" i="15"/>
  <c r="H3023" i="22"/>
  <c r="D3916" i="22"/>
  <c r="Y90" i="1" l="1"/>
  <c r="Y92" i="1" s="1"/>
  <c r="AA193" i="15"/>
  <c r="N46" i="43"/>
  <c r="M24" i="43"/>
  <c r="Q54" i="37"/>
  <c r="Q13" i="37" s="1"/>
  <c r="BI287" i="38"/>
  <c r="N169" i="37" s="1"/>
  <c r="O6" i="43"/>
  <c r="Q220" i="37" s="1"/>
  <c r="O41" i="43"/>
  <c r="O45" i="43" s="1"/>
  <c r="O46" i="43" s="1"/>
  <c r="P8" i="43"/>
  <c r="P5" i="43" s="1"/>
  <c r="P14" i="43" s="1"/>
  <c r="O56" i="43"/>
  <c r="O62" i="43" s="1"/>
  <c r="M68" i="43"/>
  <c r="M71" i="43"/>
  <c r="M73" i="43"/>
  <c r="M72" i="43"/>
  <c r="M63" i="43"/>
  <c r="AB628" i="1"/>
  <c r="AB572" i="1" s="1"/>
  <c r="AB656" i="1" s="1"/>
  <c r="AA544" i="1"/>
  <c r="W319" i="1"/>
  <c r="W90" i="1" s="1"/>
  <c r="X288" i="1"/>
  <c r="X11" i="1"/>
  <c r="U67" i="1"/>
  <c r="U69" i="1"/>
  <c r="V317" i="1"/>
  <c r="V145" i="1"/>
  <c r="V146" i="1" s="1"/>
  <c r="V148" i="1" s="1"/>
  <c r="V153" i="1" s="1"/>
  <c r="V154" i="1" s="1"/>
  <c r="V316" i="1"/>
  <c r="V319" i="1" s="1"/>
  <c r="V90" i="1" s="1"/>
  <c r="U162" i="1"/>
  <c r="U47" i="1"/>
  <c r="W165" i="1"/>
  <c r="W169" i="1" s="1"/>
  <c r="W12" i="1"/>
  <c r="V88" i="10"/>
  <c r="V89" i="10" s="1"/>
  <c r="W78" i="10"/>
  <c r="W88" i="10" s="1"/>
  <c r="L36" i="47"/>
  <c r="D4" i="14"/>
  <c r="L26" i="47"/>
  <c r="L19" i="47"/>
  <c r="R15" i="13"/>
  <c r="S15" i="13" s="1"/>
  <c r="T15" i="13" s="1"/>
  <c r="Q72" i="13"/>
  <c r="O11" i="47" s="1"/>
  <c r="AC151" i="15"/>
  <c r="N462" i="37"/>
  <c r="D10" i="14"/>
  <c r="AS460" i="38"/>
  <c r="AS473" i="38" s="1"/>
  <c r="AY442" i="19"/>
  <c r="D443" i="19"/>
  <c r="E449" i="19"/>
  <c r="E448" i="19"/>
  <c r="E447" i="19"/>
  <c r="AZ443" i="19"/>
  <c r="I453" i="19" s="1"/>
  <c r="E444" i="19"/>
  <c r="R121" i="11"/>
  <c r="R120" i="11" s="1"/>
  <c r="G2277" i="22"/>
  <c r="G110" i="37"/>
  <c r="V295" i="38"/>
  <c r="G178" i="37" s="1"/>
  <c r="G266" i="37" s="1"/>
  <c r="F2290" i="22"/>
  <c r="F2291" i="22" s="1"/>
  <c r="H111" i="31"/>
  <c r="R101" i="10"/>
  <c r="R143" i="10"/>
  <c r="Q45" i="4" s="1"/>
  <c r="Q29" i="4"/>
  <c r="Q114" i="4" s="1"/>
  <c r="I80" i="31"/>
  <c r="C109" i="31"/>
  <c r="I98" i="31"/>
  <c r="I92" i="31" s="1"/>
  <c r="AB187" i="10"/>
  <c r="AB188" i="10" s="1"/>
  <c r="BP242" i="2"/>
  <c r="BP244" i="2" s="1"/>
  <c r="N86" i="37"/>
  <c r="BI76" i="38" s="1"/>
  <c r="C5997" i="22"/>
  <c r="H4102" i="22"/>
  <c r="I4102" i="22" s="1"/>
  <c r="T158" i="10"/>
  <c r="C112" i="31"/>
  <c r="O67" i="4"/>
  <c r="F2728" i="22"/>
  <c r="F2740" i="22" s="1"/>
  <c r="O38" i="4"/>
  <c r="O71" i="4"/>
  <c r="G2101" i="22"/>
  <c r="G2099" i="22" s="1"/>
  <c r="G2102" i="22" s="1"/>
  <c r="O118" i="4"/>
  <c r="G2320" i="22"/>
  <c r="G2323" i="22" s="1"/>
  <c r="F2574" i="22"/>
  <c r="F2588" i="22" s="1"/>
  <c r="T104" i="10"/>
  <c r="T110" i="10" s="1"/>
  <c r="T111" i="10" s="1"/>
  <c r="M217" i="27" s="1"/>
  <c r="H4098" i="22"/>
  <c r="I4098" i="22" s="1"/>
  <c r="E4089" i="22"/>
  <c r="S110" i="10"/>
  <c r="S111" i="10" s="1"/>
  <c r="F3316" i="22" s="1"/>
  <c r="M2" i="12"/>
  <c r="L89" i="12"/>
  <c r="K98" i="12"/>
  <c r="K117" i="12"/>
  <c r="G2260" i="22"/>
  <c r="G2264" i="22" s="1"/>
  <c r="J144" i="12"/>
  <c r="J126" i="12"/>
  <c r="J135" i="12" s="1"/>
  <c r="J107" i="12"/>
  <c r="S20" i="4"/>
  <c r="S158" i="10"/>
  <c r="BH286" i="38"/>
  <c r="U75" i="40"/>
  <c r="AA28" i="38"/>
  <c r="H30" i="37" s="1"/>
  <c r="AA65" i="38"/>
  <c r="H72" i="37" s="1"/>
  <c r="T66" i="10"/>
  <c r="S66" i="10"/>
  <c r="S101" i="10"/>
  <c r="L394" i="38"/>
  <c r="E198" i="37"/>
  <c r="R99" i="12"/>
  <c r="Q90" i="12"/>
  <c r="Q3" i="36" s="1"/>
  <c r="P3" i="36" s="1"/>
  <c r="P118" i="12"/>
  <c r="AB127" i="12"/>
  <c r="J1297" i="22"/>
  <c r="F197" i="33"/>
  <c r="F6133" i="22"/>
  <c r="F6168" i="22" s="1"/>
  <c r="M174" i="43"/>
  <c r="M175" i="43" s="1"/>
  <c r="D2283" i="22"/>
  <c r="D2304" i="22" s="1"/>
  <c r="D2305" i="22" s="1"/>
  <c r="M170" i="43"/>
  <c r="S126" i="10"/>
  <c r="S114" i="10"/>
  <c r="C6210" i="22"/>
  <c r="F235" i="27"/>
  <c r="F236" i="27" s="1"/>
  <c r="R29" i="4"/>
  <c r="L59" i="5"/>
  <c r="L72" i="5" s="1"/>
  <c r="T62" i="10"/>
  <c r="S62" i="10"/>
  <c r="S143" i="10"/>
  <c r="H201" i="37"/>
  <c r="H228" i="37" s="1"/>
  <c r="AH321" i="38"/>
  <c r="AJ321" i="38" s="1"/>
  <c r="I338" i="25"/>
  <c r="F2707" i="22"/>
  <c r="F2708" i="22" s="1"/>
  <c r="AL321" i="38"/>
  <c r="AE397" i="38"/>
  <c r="AE399" i="38" s="1"/>
  <c r="AE401" i="38" s="1"/>
  <c r="AN150" i="10"/>
  <c r="AQ140" i="10"/>
  <c r="AN143" i="10"/>
  <c r="M53" i="5"/>
  <c r="M50" i="5"/>
  <c r="E527" i="22"/>
  <c r="K60" i="5"/>
  <c r="K72" i="5"/>
  <c r="N37" i="5"/>
  <c r="N42" i="5" s="1"/>
  <c r="N34" i="5"/>
  <c r="N18" i="5" s="1"/>
  <c r="N26" i="5" s="1"/>
  <c r="O29" i="5"/>
  <c r="O10" i="5"/>
  <c r="P5" i="5"/>
  <c r="D2350" i="22"/>
  <c r="D2351" i="22" s="1"/>
  <c r="M62" i="5"/>
  <c r="L54" i="5"/>
  <c r="F526" i="22"/>
  <c r="L70" i="5"/>
  <c r="X55" i="25"/>
  <c r="O165" i="43"/>
  <c r="O167" i="43" s="1"/>
  <c r="L70" i="4"/>
  <c r="L71" i="4" s="1"/>
  <c r="K272" i="12"/>
  <c r="K258" i="12"/>
  <c r="K261" i="12" s="1"/>
  <c r="K264" i="12" s="1"/>
  <c r="K266" i="12" s="1"/>
  <c r="K267" i="12" s="1"/>
  <c r="L43" i="4"/>
  <c r="L56" i="4" s="1"/>
  <c r="L74" i="4" s="1"/>
  <c r="L86" i="4" s="1"/>
  <c r="L120" i="4"/>
  <c r="N27" i="4"/>
  <c r="M112" i="4"/>
  <c r="D2110" i="22"/>
  <c r="L255" i="12"/>
  <c r="L251" i="12"/>
  <c r="L269" i="12"/>
  <c r="L257" i="12" s="1"/>
  <c r="J111" i="3"/>
  <c r="J113" i="3" s="1"/>
  <c r="N483" i="37"/>
  <c r="T57" i="10"/>
  <c r="S4" i="4"/>
  <c r="N109" i="43"/>
  <c r="N110" i="43" s="1"/>
  <c r="X103" i="25"/>
  <c r="N8" i="41"/>
  <c r="M7" i="41"/>
  <c r="M10" i="41" s="1"/>
  <c r="M13" i="41" s="1"/>
  <c r="M16" i="41" s="1"/>
  <c r="M19" i="41" s="1"/>
  <c r="N169" i="43"/>
  <c r="N170" i="43" s="1"/>
  <c r="AJ149" i="10"/>
  <c r="AJ143" i="10"/>
  <c r="AJ153" i="10" s="1"/>
  <c r="AJ152" i="10"/>
  <c r="AJ148" i="10"/>
  <c r="AJ154" i="10"/>
  <c r="AJ147" i="10"/>
  <c r="AJ151" i="10"/>
  <c r="J89" i="19"/>
  <c r="K88" i="19"/>
  <c r="K89" i="19" s="1"/>
  <c r="X9" i="12"/>
  <c r="W41" i="12"/>
  <c r="W52" i="12" s="1"/>
  <c r="W62" i="12" s="1"/>
  <c r="F54" i="35"/>
  <c r="Y53" i="35"/>
  <c r="T4" i="15"/>
  <c r="AJ150" i="10"/>
  <c r="J311" i="25"/>
  <c r="AP140" i="10"/>
  <c r="AM150" i="10"/>
  <c r="AM143" i="10"/>
  <c r="W71" i="25"/>
  <c r="X71" i="25" s="1"/>
  <c r="X72" i="25" s="1"/>
  <c r="U37" i="10"/>
  <c r="U19" i="10" s="1"/>
  <c r="T4" i="4" s="1"/>
  <c r="V93" i="12"/>
  <c r="W102" i="12"/>
  <c r="T36" i="4"/>
  <c r="R59" i="13"/>
  <c r="R72" i="13" s="1"/>
  <c r="H1334" i="22"/>
  <c r="J108" i="27"/>
  <c r="J124" i="27" s="1"/>
  <c r="J139" i="27" s="1"/>
  <c r="O104" i="12"/>
  <c r="K162" i="27"/>
  <c r="BK237" i="2"/>
  <c r="F5" i="36"/>
  <c r="AE104" i="12"/>
  <c r="H1306" i="22"/>
  <c r="N113" i="12"/>
  <c r="O435" i="37"/>
  <c r="D3325" i="22"/>
  <c r="D3324" i="22" s="1"/>
  <c r="BK234" i="2"/>
  <c r="O96" i="12"/>
  <c r="K159" i="27"/>
  <c r="O101" i="12"/>
  <c r="H1300" i="22"/>
  <c r="N110" i="12"/>
  <c r="AE101" i="12"/>
  <c r="P123" i="12"/>
  <c r="AB132" i="12"/>
  <c r="H1337" i="22"/>
  <c r="J111" i="27"/>
  <c r="J127" i="27" s="1"/>
  <c r="J142" i="27" s="1"/>
  <c r="N82" i="12"/>
  <c r="J163" i="27"/>
  <c r="N105" i="12"/>
  <c r="BF238" i="2"/>
  <c r="C5996" i="22"/>
  <c r="E4099" i="22"/>
  <c r="E4110" i="22" s="1"/>
  <c r="E4118" i="22" s="1"/>
  <c r="N172" i="43"/>
  <c r="P435" i="37" s="1"/>
  <c r="U61" i="40"/>
  <c r="O4" i="37"/>
  <c r="N272" i="37"/>
  <c r="N348" i="37" s="1"/>
  <c r="N382" i="37" s="1"/>
  <c r="N452" i="37" s="1"/>
  <c r="N161" i="37"/>
  <c r="N183" i="37" s="1"/>
  <c r="N248" i="37" s="1"/>
  <c r="N45" i="37"/>
  <c r="N85" i="37" s="1"/>
  <c r="N122" i="37" s="1"/>
  <c r="F70" i="31"/>
  <c r="F71" i="31" s="1"/>
  <c r="I2629" i="22"/>
  <c r="M110" i="43"/>
  <c r="M113" i="43"/>
  <c r="Q55" i="43"/>
  <c r="Q40" i="43"/>
  <c r="R4" i="43"/>
  <c r="Q164" i="43"/>
  <c r="M149" i="43"/>
  <c r="M146" i="43"/>
  <c r="Q15" i="37"/>
  <c r="Q56" i="37" s="1"/>
  <c r="Q96" i="37" s="1"/>
  <c r="O139" i="43"/>
  <c r="O131" i="43"/>
  <c r="Q221" i="37" s="1"/>
  <c r="O142" i="43"/>
  <c r="O358" i="37"/>
  <c r="O336" i="37"/>
  <c r="O10" i="4"/>
  <c r="N2" i="4"/>
  <c r="X6" i="12"/>
  <c r="W38" i="12"/>
  <c r="P283" i="37"/>
  <c r="N145" i="43"/>
  <c r="P93" i="43"/>
  <c r="Q99" i="43"/>
  <c r="U12" i="25"/>
  <c r="V4" i="25"/>
  <c r="O103" i="43"/>
  <c r="O106" i="43"/>
  <c r="O94" i="43"/>
  <c r="T13" i="25"/>
  <c r="W99" i="10"/>
  <c r="T84" i="25"/>
  <c r="I2632" i="22"/>
  <c r="P130" i="43"/>
  <c r="Q136" i="43"/>
  <c r="Y207" i="10"/>
  <c r="V64" i="40"/>
  <c r="V65" i="40" s="1"/>
  <c r="D11" i="14"/>
  <c r="AC135" i="15"/>
  <c r="N103" i="37"/>
  <c r="N431" i="37"/>
  <c r="N338" i="37"/>
  <c r="I2635" i="22"/>
  <c r="I2633" i="22"/>
  <c r="N481" i="37"/>
  <c r="Q148" i="14" s="1"/>
  <c r="Q150" i="14" s="1"/>
  <c r="V95" i="40"/>
  <c r="AG73" i="40"/>
  <c r="V88" i="40"/>
  <c r="V89" i="40" s="1"/>
  <c r="N259" i="37"/>
  <c r="BI193" i="38"/>
  <c r="V68" i="40"/>
  <c r="V58" i="40"/>
  <c r="V59" i="40" s="1"/>
  <c r="N337" i="37"/>
  <c r="V86" i="40"/>
  <c r="O195" i="37"/>
  <c r="BD193" i="38"/>
  <c r="P69" i="40"/>
  <c r="AF58" i="40"/>
  <c r="Q59" i="40"/>
  <c r="E2705" i="22"/>
  <c r="H2705" i="22" s="1"/>
  <c r="D2722" i="22" s="1"/>
  <c r="I2704" i="22"/>
  <c r="V37" i="11"/>
  <c r="V19" i="11" s="1"/>
  <c r="V28" i="11" s="1"/>
  <c r="AF88" i="40"/>
  <c r="Q89" i="40"/>
  <c r="AF64" i="40"/>
  <c r="Q65" i="40"/>
  <c r="K302" i="25"/>
  <c r="J305" i="25"/>
  <c r="J336" i="25" s="1"/>
  <c r="I343" i="25"/>
  <c r="R17" i="14" s="1"/>
  <c r="I309" i="25"/>
  <c r="X7" i="12"/>
  <c r="W39" i="12"/>
  <c r="W50" i="12" s="1"/>
  <c r="W60" i="12" s="1"/>
  <c r="Y8" i="12"/>
  <c r="X40" i="12"/>
  <c r="X51" i="12" s="1"/>
  <c r="X61" i="12" s="1"/>
  <c r="L83" i="27"/>
  <c r="L145" i="27" s="1"/>
  <c r="K145" i="27"/>
  <c r="P78" i="43"/>
  <c r="Q65" i="43"/>
  <c r="AA19" i="12"/>
  <c r="W5" i="10"/>
  <c r="W10" i="10" s="1"/>
  <c r="V32" i="10"/>
  <c r="V41" i="10" s="1"/>
  <c r="V47" i="10" s="1"/>
  <c r="V63" i="38"/>
  <c r="G70" i="37" s="1"/>
  <c r="S26" i="38"/>
  <c r="Z155" i="12"/>
  <c r="X28" i="25"/>
  <c r="AA155" i="12" s="1"/>
  <c r="K301" i="25"/>
  <c r="V10" i="10"/>
  <c r="E82" i="19"/>
  <c r="F73" i="19"/>
  <c r="AA18" i="12"/>
  <c r="J262" i="25"/>
  <c r="I346" i="25"/>
  <c r="I320" i="25"/>
  <c r="I321" i="25" s="1"/>
  <c r="I339" i="25"/>
  <c r="R117" i="45"/>
  <c r="BD192" i="38"/>
  <c r="W5" i="12"/>
  <c r="V37" i="12"/>
  <c r="V48" i="12" s="1"/>
  <c r="V58" i="12" s="1"/>
  <c r="Y10" i="12"/>
  <c r="X42" i="12"/>
  <c r="X53" i="12" s="1"/>
  <c r="X63" i="12" s="1"/>
  <c r="R45" i="12"/>
  <c r="R76" i="12" s="1"/>
  <c r="S13" i="12"/>
  <c r="U81" i="25"/>
  <c r="U77" i="25"/>
  <c r="U87" i="25"/>
  <c r="V80" i="25"/>
  <c r="K251" i="25"/>
  <c r="K311" i="25" s="1"/>
  <c r="K300" i="25"/>
  <c r="R128" i="25"/>
  <c r="R139" i="25"/>
  <c r="R140" i="25" s="1"/>
  <c r="R142" i="25" s="1"/>
  <c r="P197" i="25"/>
  <c r="Q190" i="25"/>
  <c r="S119" i="25"/>
  <c r="S120" i="25" s="1"/>
  <c r="S127" i="25"/>
  <c r="R15" i="25"/>
  <c r="Q33" i="25"/>
  <c r="Q132" i="25" s="1"/>
  <c r="O170" i="25" s="1"/>
  <c r="K303" i="25"/>
  <c r="T122" i="25"/>
  <c r="T116" i="25"/>
  <c r="H341" i="25"/>
  <c r="H347" i="25"/>
  <c r="K262" i="25"/>
  <c r="U28" i="11"/>
  <c r="T6" i="4"/>
  <c r="Y5" i="11"/>
  <c r="U55" i="11"/>
  <c r="T14" i="4"/>
  <c r="T22" i="4" s="1"/>
  <c r="W41" i="11"/>
  <c r="Z15" i="11"/>
  <c r="AA15" i="11" s="1"/>
  <c r="V46" i="11"/>
  <c r="V67" i="11"/>
  <c r="Z14" i="11"/>
  <c r="AA14" i="11" s="1"/>
  <c r="X32" i="11"/>
  <c r="X6" i="11"/>
  <c r="X10" i="11" s="1"/>
  <c r="W33" i="11"/>
  <c r="W42" i="11" s="1"/>
  <c r="Q63" i="11"/>
  <c r="P64" i="11"/>
  <c r="P125" i="11" s="1"/>
  <c r="Q124" i="19"/>
  <c r="P120" i="19"/>
  <c r="P117" i="19" s="1"/>
  <c r="Q59" i="11"/>
  <c r="R59" i="11" s="1"/>
  <c r="S59" i="11" s="1"/>
  <c r="AK225" i="19"/>
  <c r="AK229" i="19" s="1"/>
  <c r="V24" i="19"/>
  <c r="U22" i="19"/>
  <c r="O40" i="19"/>
  <c r="S109" i="19"/>
  <c r="R108" i="19"/>
  <c r="R165" i="19" s="1"/>
  <c r="R159" i="19" s="1"/>
  <c r="R223" i="19" s="1"/>
  <c r="O11" i="11"/>
  <c r="O20" i="11" s="1"/>
  <c r="K9" i="27"/>
  <c r="N43" i="19"/>
  <c r="M53" i="19"/>
  <c r="Q31" i="19"/>
  <c r="P39" i="19"/>
  <c r="Q163" i="19"/>
  <c r="Q161" i="19"/>
  <c r="Q160" i="19"/>
  <c r="Q162" i="19"/>
  <c r="Q164" i="19"/>
  <c r="M51" i="19"/>
  <c r="M261" i="19"/>
  <c r="S180" i="19"/>
  <c r="R337" i="19"/>
  <c r="S129" i="19"/>
  <c r="R132" i="19"/>
  <c r="M45" i="19"/>
  <c r="M62" i="19"/>
  <c r="P77" i="4" s="1"/>
  <c r="Q11" i="36"/>
  <c r="P11" i="36" s="1"/>
  <c r="M59" i="19"/>
  <c r="P30" i="4"/>
  <c r="P115" i="4" s="1"/>
  <c r="M46" i="19"/>
  <c r="M47" i="19" s="1"/>
  <c r="J219" i="27" s="1"/>
  <c r="U301" i="15"/>
  <c r="M67" i="19"/>
  <c r="I207" i="27"/>
  <c r="L54" i="19"/>
  <c r="L269" i="19"/>
  <c r="L270" i="19" s="1"/>
  <c r="M12" i="19"/>
  <c r="P7" i="11"/>
  <c r="L14" i="19"/>
  <c r="T297" i="15"/>
  <c r="Q159" i="19"/>
  <c r="Q223" i="19" s="1"/>
  <c r="Q210" i="19" s="1"/>
  <c r="N2" i="19"/>
  <c r="M260" i="19"/>
  <c r="M107" i="19"/>
  <c r="K15" i="19"/>
  <c r="O25" i="11" s="1"/>
  <c r="K17" i="19"/>
  <c r="O16" i="11"/>
  <c r="O118" i="19"/>
  <c r="O114" i="19"/>
  <c r="O112" i="19"/>
  <c r="O221" i="19" s="1"/>
  <c r="O208" i="19" s="1"/>
  <c r="O115" i="19"/>
  <c r="O113" i="19"/>
  <c r="O116" i="19"/>
  <c r="M5" i="4"/>
  <c r="J25" i="27"/>
  <c r="J41" i="27" s="1"/>
  <c r="E2488" i="22"/>
  <c r="E2490" i="22" s="1"/>
  <c r="F2488" i="22"/>
  <c r="G2488" i="22"/>
  <c r="G2490" i="22" s="1"/>
  <c r="E3138" i="22"/>
  <c r="D2488" i="22"/>
  <c r="H2488" i="22"/>
  <c r="H2490" i="22" s="1"/>
  <c r="N208" i="19"/>
  <c r="S168" i="19"/>
  <c r="R173" i="19"/>
  <c r="E7" i="13"/>
  <c r="E10" i="13" s="1"/>
  <c r="H2145" i="22" s="1"/>
  <c r="F3020" i="22"/>
  <c r="BD182" i="38"/>
  <c r="BD191" i="38"/>
  <c r="P86" i="40"/>
  <c r="AE86" i="40" s="1"/>
  <c r="AG86" i="40" s="1"/>
  <c r="BD195" i="38"/>
  <c r="M480" i="37"/>
  <c r="P278" i="14" s="1"/>
  <c r="AB143" i="15"/>
  <c r="CS350" i="38"/>
  <c r="L86" i="37"/>
  <c r="AY76" i="38" s="1"/>
  <c r="AY98" i="38" s="1"/>
  <c r="BC19" i="38"/>
  <c r="Q97" i="40"/>
  <c r="AF97" i="40" s="1"/>
  <c r="D4273" i="22"/>
  <c r="Z146" i="15"/>
  <c r="I2135" i="22"/>
  <c r="I2136" i="22" s="1"/>
  <c r="O20" i="15"/>
  <c r="U119" i="15"/>
  <c r="D4266" i="22"/>
  <c r="D4262" i="22"/>
  <c r="D4263" i="22"/>
  <c r="D4260" i="22"/>
  <c r="D4265" i="22"/>
  <c r="D4270" i="22"/>
  <c r="D4269" i="22"/>
  <c r="D4264" i="22"/>
  <c r="D4268" i="22"/>
  <c r="D4261" i="22"/>
  <c r="D4267" i="22"/>
  <c r="D4271" i="22"/>
  <c r="F4395" i="22"/>
  <c r="F4390" i="22"/>
  <c r="L75" i="43"/>
  <c r="N177" i="14"/>
  <c r="N178" i="14" s="1"/>
  <c r="N180" i="14" s="1"/>
  <c r="K315" i="37"/>
  <c r="J375" i="37"/>
  <c r="Y147" i="15"/>
  <c r="J317" i="37"/>
  <c r="J319" i="37"/>
  <c r="J340" i="37"/>
  <c r="J341" i="37" s="1"/>
  <c r="I3124" i="22"/>
  <c r="T106" i="4"/>
  <c r="C237" i="10"/>
  <c r="L77" i="37"/>
  <c r="C81" i="46"/>
  <c r="I81" i="31"/>
  <c r="H123" i="31"/>
  <c r="H135" i="31"/>
  <c r="Z75" i="11"/>
  <c r="Y87" i="11"/>
  <c r="N14" i="41"/>
  <c r="N21" i="43"/>
  <c r="N24" i="43"/>
  <c r="O20" i="43"/>
  <c r="Q281" i="37"/>
  <c r="Q334" i="37" s="1"/>
  <c r="N67" i="43"/>
  <c r="N73" i="43" s="1"/>
  <c r="N63" i="43"/>
  <c r="U172" i="19"/>
  <c r="C5053" i="22"/>
  <c r="AS210" i="38"/>
  <c r="AS497" i="38"/>
  <c r="L93" i="37"/>
  <c r="AY82" i="38" s="1"/>
  <c r="L333" i="37"/>
  <c r="S29" i="4"/>
  <c r="S76" i="4" s="1"/>
  <c r="T101" i="10"/>
  <c r="S106" i="4"/>
  <c r="H3124" i="22"/>
  <c r="I319" i="37"/>
  <c r="I340" i="37"/>
  <c r="I341" i="37" s="1"/>
  <c r="I342" i="37" s="1"/>
  <c r="I317" i="37"/>
  <c r="AJ137" i="38"/>
  <c r="I303" i="37"/>
  <c r="V10" i="1" s="1"/>
  <c r="V12" i="1" s="1"/>
  <c r="V14" i="1" s="1"/>
  <c r="G96" i="13"/>
  <c r="G2976" i="22"/>
  <c r="F3206" i="22"/>
  <c r="F3208" i="22" s="1"/>
  <c r="F3211" i="22" s="1"/>
  <c r="E3144" i="22"/>
  <c r="K3143" i="22"/>
  <c r="V81" i="15"/>
  <c r="V23" i="15"/>
  <c r="V24" i="15" s="1"/>
  <c r="F3194" i="22"/>
  <c r="F3197" i="22" s="1"/>
  <c r="F3196" i="22"/>
  <c r="D3500" i="22"/>
  <c r="D3481" i="22"/>
  <c r="D3502" i="22" s="1"/>
  <c r="E3288" i="22"/>
  <c r="E3275" i="22"/>
  <c r="E3289" i="22" s="1"/>
  <c r="M2939" i="22"/>
  <c r="F2930" i="22"/>
  <c r="G2967" i="22"/>
  <c r="G2968" i="22" s="1"/>
  <c r="F3011" i="22"/>
  <c r="G75" i="13"/>
  <c r="D3745" i="22" s="1"/>
  <c r="D3419" i="22"/>
  <c r="D3436" i="22" s="1"/>
  <c r="D3415" i="22"/>
  <c r="D3434" i="22"/>
  <c r="V4" i="15"/>
  <c r="D58" i="13"/>
  <c r="D73" i="13" s="1"/>
  <c r="E2537" i="22" s="1"/>
  <c r="S15" i="15"/>
  <c r="U3" i="15"/>
  <c r="F7" i="13"/>
  <c r="F10" i="13" s="1"/>
  <c r="U4" i="15"/>
  <c r="V86" i="10"/>
  <c r="V93" i="10" s="1"/>
  <c r="V139" i="10"/>
  <c r="T143" i="10"/>
  <c r="S45" i="4" s="1"/>
  <c r="Q144" i="10"/>
  <c r="Q117" i="10"/>
  <c r="P45" i="4"/>
  <c r="Q161" i="10"/>
  <c r="F133" i="31"/>
  <c r="G73" i="31"/>
  <c r="G70" i="31" s="1"/>
  <c r="F121" i="31"/>
  <c r="G95" i="31"/>
  <c r="I65" i="31"/>
  <c r="H67" i="31"/>
  <c r="W33" i="10"/>
  <c r="W42" i="10" s="1"/>
  <c r="W86" i="10" s="1"/>
  <c r="X6" i="10"/>
  <c r="Q12" i="36"/>
  <c r="Q74" i="10"/>
  <c r="Q114" i="10"/>
  <c r="Q110" i="10"/>
  <c r="Q111" i="10" s="1"/>
  <c r="Q126" i="10"/>
  <c r="R110" i="10"/>
  <c r="R111" i="10" s="1"/>
  <c r="R114" i="10"/>
  <c r="R126" i="10"/>
  <c r="R74" i="10"/>
  <c r="S75" i="10" s="1"/>
  <c r="W127" i="10"/>
  <c r="W115" i="10"/>
  <c r="U86" i="10"/>
  <c r="U47" i="10"/>
  <c r="U46" i="10"/>
  <c r="C4933" i="22"/>
  <c r="C4936" i="22" s="1"/>
  <c r="Y76" i="10"/>
  <c r="X105" i="10"/>
  <c r="P114" i="4"/>
  <c r="P76" i="4"/>
  <c r="AC273" i="10"/>
  <c r="AB310" i="10"/>
  <c r="I46" i="41"/>
  <c r="BD472" i="38" s="1"/>
  <c r="AB121" i="10"/>
  <c r="AD70" i="10"/>
  <c r="Z254" i="10"/>
  <c r="AA253" i="10"/>
  <c r="AB14" i="10"/>
  <c r="AB307" i="10"/>
  <c r="AA308" i="10"/>
  <c r="Y16" i="10"/>
  <c r="X34" i="10"/>
  <c r="X43" i="10" s="1"/>
  <c r="X147" i="10"/>
  <c r="V107" i="10"/>
  <c r="W80" i="10"/>
  <c r="Q177" i="10"/>
  <c r="P176" i="10"/>
  <c r="P178" i="10" s="1"/>
  <c r="P179" i="10" s="1"/>
  <c r="S2271" i="22"/>
  <c r="K2271" i="22"/>
  <c r="E2399" i="22"/>
  <c r="I2274" i="22"/>
  <c r="I2311" i="22"/>
  <c r="Q231" i="22"/>
  <c r="P2" i="10"/>
  <c r="Q2" i="10" s="1"/>
  <c r="R2" i="10" s="1"/>
  <c r="S2" i="10" s="1"/>
  <c r="T2" i="10" s="1"/>
  <c r="O185" i="10"/>
  <c r="O240" i="10" s="1"/>
  <c r="S84" i="10"/>
  <c r="Z15" i="10"/>
  <c r="AA15" i="10" s="1"/>
  <c r="H2276" i="22"/>
  <c r="H2277" i="22" s="1"/>
  <c r="H2298" i="22"/>
  <c r="H2301" i="22" s="1"/>
  <c r="H2287" i="22"/>
  <c r="F2324" i="22"/>
  <c r="F2371" i="22" s="1"/>
  <c r="F2314" i="22"/>
  <c r="F2284" i="22"/>
  <c r="F2304" i="22"/>
  <c r="G2290" i="22"/>
  <c r="G2291" i="22" s="1"/>
  <c r="G2283" i="22"/>
  <c r="W145" i="14"/>
  <c r="W146" i="14" s="1"/>
  <c r="V146" i="14"/>
  <c r="Q176" i="14"/>
  <c r="D1943" i="22"/>
  <c r="E1938" i="22"/>
  <c r="G3" i="31"/>
  <c r="F21" i="31"/>
  <c r="E1931" i="22"/>
  <c r="E1953" i="22"/>
  <c r="E127" i="31"/>
  <c r="E102" i="31" s="1"/>
  <c r="E115" i="31" s="1"/>
  <c r="X75" i="15"/>
  <c r="W83" i="15"/>
  <c r="G23" i="13"/>
  <c r="G27" i="13" s="1"/>
  <c r="J62" i="41"/>
  <c r="J64" i="41" s="1"/>
  <c r="K23" i="41"/>
  <c r="K24" i="41" s="1"/>
  <c r="O218" i="37" s="1"/>
  <c r="BN353" i="38" s="1"/>
  <c r="I39" i="41"/>
  <c r="N26" i="41"/>
  <c r="N332" i="37"/>
  <c r="J102" i="41"/>
  <c r="J103" i="41" s="1"/>
  <c r="L22" i="41"/>
  <c r="P92" i="37" s="1"/>
  <c r="P259" i="37" s="1"/>
  <c r="L59" i="41"/>
  <c r="L98" i="41"/>
  <c r="L29" i="41"/>
  <c r="L51" i="41"/>
  <c r="P11" i="37"/>
  <c r="L20" i="41"/>
  <c r="L242" i="37"/>
  <c r="L243" i="37" s="1"/>
  <c r="K61" i="41"/>
  <c r="K34" i="41"/>
  <c r="K35" i="41" s="1"/>
  <c r="K42" i="41" s="1"/>
  <c r="O434" i="37"/>
  <c r="N194" i="37"/>
  <c r="K4948" i="22"/>
  <c r="G4604" i="22"/>
  <c r="J45" i="41"/>
  <c r="J56" i="41" s="1"/>
  <c r="J38" i="41" s="1"/>
  <c r="K54" i="41"/>
  <c r="K100" i="41" s="1"/>
  <c r="K106" i="41" s="1"/>
  <c r="K107" i="41" s="1"/>
  <c r="K108" i="41" s="1"/>
  <c r="O121" i="13" s="1"/>
  <c r="K30" i="41"/>
  <c r="K60" i="41"/>
  <c r="O279" i="37"/>
  <c r="K99" i="41"/>
  <c r="G4398" i="22"/>
  <c r="G4393" i="22"/>
  <c r="G4407" i="22"/>
  <c r="G4413" i="22"/>
  <c r="G4424" i="22" s="1"/>
  <c r="G4455" i="22" s="1"/>
  <c r="G4423" i="22"/>
  <c r="G4404" i="22"/>
  <c r="G4397" i="22"/>
  <c r="T263" i="37"/>
  <c r="T175" i="37" s="1"/>
  <c r="S175" i="37"/>
  <c r="F3032" i="22"/>
  <c r="Q436" i="37"/>
  <c r="P484" i="37"/>
  <c r="S179" i="37"/>
  <c r="T202" i="37"/>
  <c r="T179" i="37" s="1"/>
  <c r="W147" i="15"/>
  <c r="H375" i="37"/>
  <c r="H308" i="37"/>
  <c r="AA211" i="38"/>
  <c r="O177" i="14"/>
  <c r="O178" i="14" s="1"/>
  <c r="O180" i="14" s="1"/>
  <c r="AA146" i="15"/>
  <c r="L315" i="37"/>
  <c r="L319" i="37" s="1"/>
  <c r="W188" i="14"/>
  <c r="V190" i="14"/>
  <c r="P27" i="31"/>
  <c r="K129" i="31"/>
  <c r="K117" i="31"/>
  <c r="P55" i="31" s="1"/>
  <c r="H134" i="31"/>
  <c r="J74" i="31"/>
  <c r="I55" i="31"/>
  <c r="J54" i="31"/>
  <c r="H72" i="31"/>
  <c r="G120" i="31"/>
  <c r="H96" i="31"/>
  <c r="G132" i="31"/>
  <c r="Z8" i="15"/>
  <c r="D4796" i="22"/>
  <c r="L13" i="13"/>
  <c r="S35" i="15"/>
  <c r="E3916" i="22"/>
  <c r="G3038" i="22"/>
  <c r="G3037" i="22" s="1"/>
  <c r="B81" i="46"/>
  <c r="B82" i="46"/>
  <c r="Y7" i="15"/>
  <c r="C4799" i="22"/>
  <c r="I3023" i="22"/>
  <c r="J2966" i="22"/>
  <c r="AO539" i="38"/>
  <c r="AQ510" i="38" s="1"/>
  <c r="E2019" i="22"/>
  <c r="Q14" i="15"/>
  <c r="Q29" i="15"/>
  <c r="I2971" i="22"/>
  <c r="H3027" i="22"/>
  <c r="U115" i="15"/>
  <c r="BT74" i="2"/>
  <c r="E3776" i="22"/>
  <c r="E3782" i="22" s="1"/>
  <c r="I2977" i="22"/>
  <c r="I104" i="13"/>
  <c r="AA198" i="15" l="1"/>
  <c r="AA199" i="15" s="1"/>
  <c r="AA203" i="15" s="1"/>
  <c r="AA206" i="15" s="1"/>
  <c r="M75" i="43"/>
  <c r="O57" i="43"/>
  <c r="P17" i="43"/>
  <c r="P20" i="43" s="1"/>
  <c r="P6" i="43"/>
  <c r="R220" i="37" s="1"/>
  <c r="Q8" i="43"/>
  <c r="Q5" i="43" s="1"/>
  <c r="O50" i="43"/>
  <c r="O52" i="43" s="1"/>
  <c r="BI286" i="38"/>
  <c r="N168" i="37" s="1"/>
  <c r="P41" i="43"/>
  <c r="P45" i="43" s="1"/>
  <c r="P50" i="43" s="1"/>
  <c r="P52" i="43" s="1"/>
  <c r="R54" i="37"/>
  <c r="R13" i="37" s="1"/>
  <c r="P56" i="43"/>
  <c r="P57" i="43" s="1"/>
  <c r="X78" i="10"/>
  <c r="X88" i="10" s="1"/>
  <c r="X89" i="10" s="1"/>
  <c r="W106" i="10"/>
  <c r="AC628" i="1"/>
  <c r="AC572" i="1" s="1"/>
  <c r="AC656" i="1" s="1"/>
  <c r="AB544" i="1"/>
  <c r="U171" i="1"/>
  <c r="U173" i="1" s="1"/>
  <c r="U163" i="1"/>
  <c r="U178" i="1" s="1"/>
  <c r="U186" i="1"/>
  <c r="V151" i="1"/>
  <c r="V30" i="1"/>
  <c r="V42" i="1" s="1"/>
  <c r="V60" i="1"/>
  <c r="V66" i="1" s="1"/>
  <c r="V16" i="1"/>
  <c r="V15" i="1"/>
  <c r="U71" i="1"/>
  <c r="U390" i="1"/>
  <c r="X165" i="1"/>
  <c r="X169" i="1" s="1"/>
  <c r="X12" i="1"/>
  <c r="X14" i="1" s="1"/>
  <c r="U361" i="1"/>
  <c r="U56" i="1"/>
  <c r="U79" i="1"/>
  <c r="U88" i="1" s="1"/>
  <c r="U92" i="1" s="1"/>
  <c r="U111" i="1" s="1"/>
  <c r="U426" i="1" s="1"/>
  <c r="U48" i="1"/>
  <c r="W89" i="10"/>
  <c r="V94" i="10"/>
  <c r="P195" i="37"/>
  <c r="Q195" i="37" s="1"/>
  <c r="Q53" i="37" s="1"/>
  <c r="AC98" i="40" s="1"/>
  <c r="BN308" i="38"/>
  <c r="BM308" i="38" s="1"/>
  <c r="D5" i="14"/>
  <c r="U30" i="15"/>
  <c r="H2118" i="22"/>
  <c r="H2120" i="22" s="1"/>
  <c r="G2523" i="22"/>
  <c r="H2523" i="22" s="1"/>
  <c r="X83" i="15"/>
  <c r="F3067" i="22"/>
  <c r="F3071" i="22" s="1"/>
  <c r="U82" i="15"/>
  <c r="U84" i="15" s="1"/>
  <c r="L33" i="47"/>
  <c r="R161" i="10"/>
  <c r="AH13" i="15"/>
  <c r="S59" i="13"/>
  <c r="S72" i="13" s="1"/>
  <c r="L5" i="40"/>
  <c r="L78" i="37"/>
  <c r="N465" i="37"/>
  <c r="Q132" i="14"/>
  <c r="Q133" i="14" s="1"/>
  <c r="Q135" i="14" s="1"/>
  <c r="S121" i="11"/>
  <c r="S120" i="11" s="1"/>
  <c r="D444" i="19"/>
  <c r="D449" i="19"/>
  <c r="AY443" i="19"/>
  <c r="H453" i="19" s="1"/>
  <c r="D448" i="19"/>
  <c r="D447" i="19"/>
  <c r="N480" i="37"/>
  <c r="Q278" i="14" s="1"/>
  <c r="R117" i="10"/>
  <c r="R116" i="10" s="1"/>
  <c r="Q76" i="4"/>
  <c r="Q100" i="4" s="1"/>
  <c r="H178" i="15" s="1"/>
  <c r="R144" i="10"/>
  <c r="AC187" i="10"/>
  <c r="AC188" i="10" s="1"/>
  <c r="C5998" i="22"/>
  <c r="C5999" i="22" s="1"/>
  <c r="C6000" i="22" s="1"/>
  <c r="C6004" i="22" s="1"/>
  <c r="C6005" i="22" s="1"/>
  <c r="H6014" i="22" s="1"/>
  <c r="H6017" i="22" s="1"/>
  <c r="I94" i="31"/>
  <c r="T74" i="10"/>
  <c r="T75" i="10" s="1"/>
  <c r="H4089" i="22"/>
  <c r="F2576" i="22"/>
  <c r="G2321" i="22"/>
  <c r="G2370" i="22" s="1"/>
  <c r="G2330" i="22"/>
  <c r="O483" i="37"/>
  <c r="T126" i="10"/>
  <c r="T114" i="10"/>
  <c r="AA295" i="38"/>
  <c r="H178" i="37" s="1"/>
  <c r="H266" i="37" s="1"/>
  <c r="K107" i="12"/>
  <c r="D1579" i="22" s="1"/>
  <c r="K144" i="12"/>
  <c r="K126" i="12"/>
  <c r="K135" i="12" s="1"/>
  <c r="L117" i="12"/>
  <c r="L98" i="12"/>
  <c r="H2260" i="22"/>
  <c r="H2264" i="22" s="1"/>
  <c r="N2" i="12"/>
  <c r="M89" i="12"/>
  <c r="H110" i="37"/>
  <c r="I340" i="25"/>
  <c r="I344" i="25" s="1"/>
  <c r="P99" i="36"/>
  <c r="K162" i="36"/>
  <c r="P59" i="36"/>
  <c r="Z59" i="36" s="1"/>
  <c r="K180" i="36" s="1"/>
  <c r="R90" i="12"/>
  <c r="S99" i="12"/>
  <c r="T99" i="12" s="1"/>
  <c r="U99" i="12" s="1"/>
  <c r="V99" i="12" s="1"/>
  <c r="W99" i="12" s="1"/>
  <c r="X99" i="12" s="1"/>
  <c r="Y99" i="12" s="1"/>
  <c r="Z99" i="12" s="1"/>
  <c r="AA99" i="12" s="1"/>
  <c r="F225" i="37"/>
  <c r="E263" i="37"/>
  <c r="E225" i="37"/>
  <c r="F6134" i="22"/>
  <c r="S138" i="10"/>
  <c r="D2287" i="22"/>
  <c r="D2290" i="22" s="1"/>
  <c r="D2291" i="22" s="1"/>
  <c r="D2284" i="22"/>
  <c r="F2704" i="22"/>
  <c r="F2705" i="22" s="1"/>
  <c r="C6036" i="22"/>
  <c r="C6037" i="22" s="1"/>
  <c r="L60" i="5"/>
  <c r="F527" i="22"/>
  <c r="E4101" i="22"/>
  <c r="H4101" i="22" s="1"/>
  <c r="I4101" i="22" s="1"/>
  <c r="O172" i="43"/>
  <c r="O173" i="43" s="1"/>
  <c r="Q446" i="37" s="1"/>
  <c r="F2710" i="22"/>
  <c r="F2711" i="22" s="1"/>
  <c r="R114" i="4"/>
  <c r="R76" i="4"/>
  <c r="S117" i="10"/>
  <c r="R45" i="4"/>
  <c r="S144" i="10"/>
  <c r="S161" i="10"/>
  <c r="AS321" i="38"/>
  <c r="AO321" i="38"/>
  <c r="J201" i="37" s="1"/>
  <c r="U28" i="10"/>
  <c r="N113" i="43"/>
  <c r="AQ321" i="38"/>
  <c r="I201" i="37"/>
  <c r="P10" i="5"/>
  <c r="P29" i="5"/>
  <c r="N53" i="5"/>
  <c r="N54" i="5" s="1"/>
  <c r="N50" i="5"/>
  <c r="N62" i="5"/>
  <c r="M70" i="5"/>
  <c r="M54" i="5"/>
  <c r="AN153" i="10"/>
  <c r="AQ143" i="10"/>
  <c r="O37" i="5"/>
  <c r="O42" i="5" s="1"/>
  <c r="O34" i="5"/>
  <c r="O18" i="5" s="1"/>
  <c r="O26" i="5" s="1"/>
  <c r="M59" i="5"/>
  <c r="M120" i="4"/>
  <c r="M43" i="4"/>
  <c r="M56" i="4" s="1"/>
  <c r="M74" i="4" s="1"/>
  <c r="M86" i="4" s="1"/>
  <c r="O27" i="4"/>
  <c r="N112" i="4"/>
  <c r="L272" i="12"/>
  <c r="L258" i="12"/>
  <c r="L261" i="12" s="1"/>
  <c r="L264" i="12" s="1"/>
  <c r="L266" i="12" s="1"/>
  <c r="L267" i="12" s="1"/>
  <c r="N174" i="43"/>
  <c r="P483" i="37" s="1"/>
  <c r="N173" i="43"/>
  <c r="P446" i="37" s="1"/>
  <c r="L217" i="27"/>
  <c r="P165" i="43"/>
  <c r="P167" i="43" s="1"/>
  <c r="O109" i="43"/>
  <c r="O113" i="43" s="1"/>
  <c r="F16" i="31"/>
  <c r="F17" i="31" s="1"/>
  <c r="E1939" i="22" s="1"/>
  <c r="E4113" i="22"/>
  <c r="E4104" i="22"/>
  <c r="E4107" i="22" s="1"/>
  <c r="O8" i="41"/>
  <c r="N7" i="41"/>
  <c r="N10" i="41" s="1"/>
  <c r="N13" i="41" s="1"/>
  <c r="N16" i="41" s="1"/>
  <c r="N19" i="41" s="1"/>
  <c r="S114" i="4"/>
  <c r="E4100" i="22"/>
  <c r="Y9" i="12"/>
  <c r="X41" i="12"/>
  <c r="X52" i="12" s="1"/>
  <c r="X62" i="12" s="1"/>
  <c r="AM153" i="10"/>
  <c r="AP143" i="10"/>
  <c r="K108" i="27"/>
  <c r="K124" i="27" s="1"/>
  <c r="K139" i="27" s="1"/>
  <c r="I1334" i="22"/>
  <c r="U6" i="4"/>
  <c r="AD107" i="12"/>
  <c r="AF107" i="12" s="1"/>
  <c r="F10" i="36"/>
  <c r="O82" i="12"/>
  <c r="O105" i="12"/>
  <c r="K163" i="27"/>
  <c r="BK238" i="2"/>
  <c r="U36" i="4"/>
  <c r="I1337" i="22"/>
  <c r="K111" i="27"/>
  <c r="K127" i="27" s="1"/>
  <c r="K142" i="27" s="1"/>
  <c r="X102" i="12"/>
  <c r="W93" i="12"/>
  <c r="G5" i="36"/>
  <c r="F24" i="38"/>
  <c r="F61" i="36"/>
  <c r="K61" i="36" s="1"/>
  <c r="K5" i="36" s="1"/>
  <c r="V37" i="10"/>
  <c r="V19" i="10" s="1"/>
  <c r="U4" i="4" s="1"/>
  <c r="O113" i="12"/>
  <c r="I1306" i="22"/>
  <c r="V46" i="10"/>
  <c r="V49" i="10" s="1"/>
  <c r="O169" i="43"/>
  <c r="N114" i="12"/>
  <c r="H1309" i="22" s="1"/>
  <c r="N133" i="12"/>
  <c r="AE105" i="12"/>
  <c r="H1308" i="22"/>
  <c r="H1301" i="22"/>
  <c r="G1582" i="22"/>
  <c r="G1585" i="22"/>
  <c r="H1307" i="22"/>
  <c r="J164" i="27"/>
  <c r="H1338" i="22"/>
  <c r="J112" i="27"/>
  <c r="J128" i="27" s="1"/>
  <c r="J143" i="27" s="1"/>
  <c r="W72" i="25"/>
  <c r="N83" i="12"/>
  <c r="N84" i="12" s="1"/>
  <c r="M39" i="4"/>
  <c r="M40" i="4" s="1"/>
  <c r="M41" i="4" s="1"/>
  <c r="G213" i="27" s="1"/>
  <c r="I1300" i="22"/>
  <c r="O110" i="12"/>
  <c r="D6002" i="22"/>
  <c r="BI192" i="38"/>
  <c r="P4" i="37"/>
  <c r="O45" i="37"/>
  <c r="O85" i="37" s="1"/>
  <c r="O122" i="37" s="1"/>
  <c r="O272" i="37"/>
  <c r="O348" i="37" s="1"/>
  <c r="O382" i="37" s="1"/>
  <c r="O452" i="37" s="1"/>
  <c r="O161" i="37"/>
  <c r="O183" i="37" s="1"/>
  <c r="O248" i="37" s="1"/>
  <c r="X38" i="12"/>
  <c r="Y6" i="12"/>
  <c r="W4" i="25"/>
  <c r="V12" i="25"/>
  <c r="Q93" i="43"/>
  <c r="R99" i="43"/>
  <c r="R93" i="43" s="1"/>
  <c r="P10" i="4"/>
  <c r="O2" i="4"/>
  <c r="V119" i="15"/>
  <c r="P94" i="43"/>
  <c r="P103" i="43"/>
  <c r="P106" i="43"/>
  <c r="X99" i="10"/>
  <c r="U84" i="25"/>
  <c r="U13" i="25"/>
  <c r="N149" i="43"/>
  <c r="N146" i="43"/>
  <c r="Q130" i="43"/>
  <c r="R136" i="43"/>
  <c r="R130" i="43" s="1"/>
  <c r="P358" i="37"/>
  <c r="P336" i="37"/>
  <c r="Q283" i="37"/>
  <c r="O145" i="43"/>
  <c r="P142" i="43"/>
  <c r="P131" i="43"/>
  <c r="R221" i="37" s="1"/>
  <c r="R15" i="37"/>
  <c r="R56" i="37" s="1"/>
  <c r="R96" i="37" s="1"/>
  <c r="P139" i="43"/>
  <c r="R55" i="43"/>
  <c r="R40" i="43"/>
  <c r="R164" i="43"/>
  <c r="D16" i="14"/>
  <c r="AC143" i="15"/>
  <c r="O172" i="37"/>
  <c r="O53" i="37"/>
  <c r="AA98" i="40" s="1"/>
  <c r="CX353" i="38"/>
  <c r="BI182" i="38"/>
  <c r="S87" i="40"/>
  <c r="BI191" i="38"/>
  <c r="V98" i="40"/>
  <c r="V70" i="40"/>
  <c r="N93" i="37"/>
  <c r="BI82" i="38" s="1"/>
  <c r="V67" i="40"/>
  <c r="P88" i="40"/>
  <c r="AE88" i="40" s="1"/>
  <c r="AG88" i="40" s="1"/>
  <c r="L340" i="37"/>
  <c r="L103" i="40"/>
  <c r="Q67" i="40"/>
  <c r="AF67" i="40" s="1"/>
  <c r="J296" i="25"/>
  <c r="J297" i="25" s="1"/>
  <c r="J306" i="25"/>
  <c r="K305" i="25"/>
  <c r="K306" i="25" s="1"/>
  <c r="J317" i="25"/>
  <c r="J346" i="25" s="1"/>
  <c r="K317" i="37"/>
  <c r="G103" i="40"/>
  <c r="I4403" i="22"/>
  <c r="I4420" i="22" s="1"/>
  <c r="I4451" i="22" s="1"/>
  <c r="Y7" i="12"/>
  <c r="X39" i="12"/>
  <c r="X50" i="12" s="1"/>
  <c r="X60" i="12" s="1"/>
  <c r="J308" i="25"/>
  <c r="J309" i="25" s="1"/>
  <c r="Z8" i="12"/>
  <c r="Y40" i="12"/>
  <c r="Y51" i="12" s="1"/>
  <c r="Y61" i="12" s="1"/>
  <c r="I348" i="25"/>
  <c r="I350" i="25" s="1"/>
  <c r="F77" i="19"/>
  <c r="F75" i="19"/>
  <c r="F76" i="19" s="1"/>
  <c r="F79" i="19" s="1"/>
  <c r="X5" i="10"/>
  <c r="X10" i="10" s="1"/>
  <c r="W32" i="10"/>
  <c r="W41" i="10" s="1"/>
  <c r="W46" i="10" s="1"/>
  <c r="Z87" i="11"/>
  <c r="AA75" i="11"/>
  <c r="AA87" i="11" s="1"/>
  <c r="V22" i="19"/>
  <c r="W24" i="19"/>
  <c r="W22" i="19" s="1"/>
  <c r="Q78" i="43"/>
  <c r="R65" i="43"/>
  <c r="R78" i="43" s="1"/>
  <c r="R164" i="19"/>
  <c r="S293" i="38"/>
  <c r="V26" i="38"/>
  <c r="P98" i="40"/>
  <c r="AE98" i="40" s="1"/>
  <c r="AG98" i="40" s="1"/>
  <c r="B83" i="46"/>
  <c r="G7" i="13"/>
  <c r="G10" i="13" s="1"/>
  <c r="AA498" i="38"/>
  <c r="K340" i="37"/>
  <c r="Z10" i="12"/>
  <c r="Y42" i="12"/>
  <c r="Y53" i="12" s="1"/>
  <c r="Y63" i="12" s="1"/>
  <c r="T13" i="12"/>
  <c r="S45" i="12"/>
  <c r="S76" i="12" s="1"/>
  <c r="X5" i="12"/>
  <c r="W37" i="12"/>
  <c r="W48" i="12" s="1"/>
  <c r="W58" i="12" s="1"/>
  <c r="S139" i="25"/>
  <c r="S140" i="25" s="1"/>
  <c r="S142" i="25" s="1"/>
  <c r="S128" i="25"/>
  <c r="T127" i="25"/>
  <c r="T119" i="25"/>
  <c r="T120" i="25" s="1"/>
  <c r="V87" i="25"/>
  <c r="V77" i="25"/>
  <c r="V81" i="25"/>
  <c r="S15" i="25"/>
  <c r="R33" i="25"/>
  <c r="R132" i="25" s="1"/>
  <c r="P170" i="25" s="1"/>
  <c r="U122" i="25"/>
  <c r="U116" i="25"/>
  <c r="J338" i="25"/>
  <c r="J339" i="25"/>
  <c r="U14" i="4"/>
  <c r="U22" i="4" s="1"/>
  <c r="V55" i="11"/>
  <c r="Z5" i="11"/>
  <c r="AA5" i="11" s="1"/>
  <c r="X41" i="11"/>
  <c r="W46" i="11"/>
  <c r="Y6" i="11"/>
  <c r="Y10" i="11" s="1"/>
  <c r="X33" i="11"/>
  <c r="X42" i="11" s="1"/>
  <c r="Y32" i="11"/>
  <c r="W37" i="11"/>
  <c r="W19" i="11" s="1"/>
  <c r="W67" i="11"/>
  <c r="T168" i="19"/>
  <c r="S173" i="19"/>
  <c r="K25" i="27"/>
  <c r="K41" i="27" s="1"/>
  <c r="N5" i="4"/>
  <c r="L15" i="19"/>
  <c r="P25" i="11" s="1"/>
  <c r="P16" i="11"/>
  <c r="L17" i="19"/>
  <c r="M14" i="19"/>
  <c r="M8" i="19" s="1"/>
  <c r="P11" i="11"/>
  <c r="P20" i="11" s="1"/>
  <c r="L9" i="27"/>
  <c r="T129" i="19"/>
  <c r="S132" i="19"/>
  <c r="Q7" i="11"/>
  <c r="Q11" i="11" s="1"/>
  <c r="U297" i="15"/>
  <c r="N12" i="19"/>
  <c r="I2488" i="22"/>
  <c r="I2490" i="22" s="1"/>
  <c r="D2490" i="22"/>
  <c r="M70" i="19"/>
  <c r="U302" i="15"/>
  <c r="U303" i="15" s="1"/>
  <c r="U304" i="15" s="1"/>
  <c r="C232" i="14"/>
  <c r="P46" i="4"/>
  <c r="Q107" i="36"/>
  <c r="M65" i="19"/>
  <c r="M97" i="19" s="1"/>
  <c r="M99" i="19" s="1"/>
  <c r="M262" i="19"/>
  <c r="M263" i="19"/>
  <c r="M264" i="19" s="1"/>
  <c r="Q39" i="19"/>
  <c r="R31" i="19"/>
  <c r="R163" i="19"/>
  <c r="R162" i="19"/>
  <c r="R160" i="19"/>
  <c r="R161" i="19"/>
  <c r="P115" i="19"/>
  <c r="P118" i="19"/>
  <c r="P114" i="19"/>
  <c r="P112" i="19"/>
  <c r="P221" i="19" s="1"/>
  <c r="P113" i="19"/>
  <c r="P116" i="19"/>
  <c r="N107" i="19"/>
  <c r="O2" i="19"/>
  <c r="N260" i="19"/>
  <c r="P22" i="36"/>
  <c r="P67" i="36"/>
  <c r="Z67" i="36" s="1"/>
  <c r="K188" i="36" s="1"/>
  <c r="K170" i="36"/>
  <c r="J206" i="27"/>
  <c r="T109" i="19"/>
  <c r="S108" i="19"/>
  <c r="S165" i="19" s="1"/>
  <c r="R124" i="19"/>
  <c r="Q120" i="19"/>
  <c r="Q117" i="19" s="1"/>
  <c r="S337" i="19"/>
  <c r="T180" i="19"/>
  <c r="D3138" i="22"/>
  <c r="G3138" i="22" s="1"/>
  <c r="F2490" i="22"/>
  <c r="I211" i="27"/>
  <c r="P123" i="4"/>
  <c r="P89" i="4"/>
  <c r="M54" i="19"/>
  <c r="M269" i="19"/>
  <c r="M270" i="19" s="1"/>
  <c r="P40" i="19"/>
  <c r="R210" i="19"/>
  <c r="M48" i="19"/>
  <c r="O43" i="19"/>
  <c r="N53" i="19"/>
  <c r="N54" i="19" s="1"/>
  <c r="K206" i="27"/>
  <c r="R63" i="11"/>
  <c r="Q58" i="11"/>
  <c r="Q60" i="11" s="1"/>
  <c r="F2536" i="22"/>
  <c r="E53" i="13"/>
  <c r="R116" i="45"/>
  <c r="Q70" i="40"/>
  <c r="M86" i="37"/>
  <c r="BD76" i="38" s="1"/>
  <c r="N326" i="37"/>
  <c r="CS353" i="38"/>
  <c r="CS364" i="38" s="1"/>
  <c r="D81" i="46"/>
  <c r="M93" i="37"/>
  <c r="BD82" i="38" s="1"/>
  <c r="Q99" i="40"/>
  <c r="P85" i="40"/>
  <c r="U106" i="4"/>
  <c r="O35" i="15"/>
  <c r="AY179" i="38"/>
  <c r="N4417" i="22"/>
  <c r="F4417" i="22"/>
  <c r="F4448" i="22" s="1"/>
  <c r="F4472" i="22"/>
  <c r="F4474" i="22" s="1"/>
  <c r="F4479" i="22" s="1"/>
  <c r="F4391" i="22"/>
  <c r="AY185" i="38"/>
  <c r="C5052" i="22"/>
  <c r="E4034" i="22"/>
  <c r="J21" i="13"/>
  <c r="F4426" i="22"/>
  <c r="J321" i="37"/>
  <c r="G371" i="25"/>
  <c r="G372" i="25" s="1"/>
  <c r="J322" i="37"/>
  <c r="D4596" i="22"/>
  <c r="L326" i="37"/>
  <c r="I212" i="14"/>
  <c r="J2985" i="22"/>
  <c r="J2989" i="22"/>
  <c r="H4414" i="22"/>
  <c r="H4425" i="22" s="1"/>
  <c r="H4456" i="22" s="1"/>
  <c r="L97" i="37"/>
  <c r="AA134" i="15"/>
  <c r="O63" i="43"/>
  <c r="O67" i="43"/>
  <c r="O21" i="43"/>
  <c r="O24" i="43"/>
  <c r="O14" i="41"/>
  <c r="V172" i="19"/>
  <c r="W172" i="19" s="1"/>
  <c r="N68" i="43"/>
  <c r="N74" i="43"/>
  <c r="N71" i="43"/>
  <c r="N72" i="43"/>
  <c r="R281" i="37"/>
  <c r="R334" i="37" s="1"/>
  <c r="AT348" i="38"/>
  <c r="AT188" i="38"/>
  <c r="AS476" i="38"/>
  <c r="C4596" i="22"/>
  <c r="F371" i="25"/>
  <c r="F372" i="25" s="1"/>
  <c r="I321" i="37"/>
  <c r="J342" i="37"/>
  <c r="I322" i="37"/>
  <c r="I484" i="37"/>
  <c r="X145" i="15"/>
  <c r="AJ210" i="38"/>
  <c r="AJ140" i="38"/>
  <c r="AJ449" i="38"/>
  <c r="AJ460" i="38" s="1"/>
  <c r="AJ473" i="38" s="1"/>
  <c r="I80" i="13"/>
  <c r="I81" i="13" s="1"/>
  <c r="I305" i="37"/>
  <c r="AJ497" i="38"/>
  <c r="H212" i="14"/>
  <c r="I2985" i="22"/>
  <c r="I2989" i="22"/>
  <c r="G2978" i="22"/>
  <c r="D3748" i="22"/>
  <c r="F3210" i="22"/>
  <c r="F3149" i="22"/>
  <c r="F3018" i="22"/>
  <c r="F3021" i="22" s="1"/>
  <c r="F3024" i="22"/>
  <c r="O52" i="37"/>
  <c r="K102" i="41"/>
  <c r="K103" i="41" s="1"/>
  <c r="I2145" i="22"/>
  <c r="F53" i="13"/>
  <c r="W4" i="15"/>
  <c r="T161" i="10"/>
  <c r="T144" i="10"/>
  <c r="T117" i="10"/>
  <c r="T123" i="10" s="1"/>
  <c r="W139" i="10"/>
  <c r="R138" i="10"/>
  <c r="W94" i="10"/>
  <c r="P122" i="4"/>
  <c r="Q154" i="10"/>
  <c r="BT372" i="2"/>
  <c r="U146" i="10"/>
  <c r="T12" i="4"/>
  <c r="T20" i="4" s="1"/>
  <c r="U57" i="10"/>
  <c r="U49" i="10"/>
  <c r="U59" i="10"/>
  <c r="U61" i="10" s="1"/>
  <c r="U87" i="10"/>
  <c r="U93" i="10"/>
  <c r="Q138" i="10"/>
  <c r="Q108" i="36"/>
  <c r="J65" i="31"/>
  <c r="I67" i="31"/>
  <c r="Q123" i="10"/>
  <c r="Q116" i="10"/>
  <c r="C178" i="15"/>
  <c r="P100" i="4"/>
  <c r="G178" i="15" s="1"/>
  <c r="L2918" i="22"/>
  <c r="P58" i="4"/>
  <c r="L119" i="13"/>
  <c r="Q75" i="10"/>
  <c r="Q84" i="10"/>
  <c r="E3316" i="22"/>
  <c r="K217" i="27"/>
  <c r="M2918" i="22"/>
  <c r="Q58" i="4"/>
  <c r="D178" i="15"/>
  <c r="X127" i="10"/>
  <c r="X115" i="10"/>
  <c r="R75" i="10"/>
  <c r="R84" i="10"/>
  <c r="S85" i="10" s="1"/>
  <c r="Q25" i="36"/>
  <c r="P12" i="36"/>
  <c r="G121" i="31"/>
  <c r="G133" i="31"/>
  <c r="H73" i="31"/>
  <c r="H70" i="31" s="1"/>
  <c r="H95" i="31"/>
  <c r="Z76" i="10"/>
  <c r="Y105" i="10"/>
  <c r="V87" i="10"/>
  <c r="X33" i="10"/>
  <c r="X42" i="10" s="1"/>
  <c r="X86" i="10" s="1"/>
  <c r="X93" i="10" s="1"/>
  <c r="Y6" i="10"/>
  <c r="D3316" i="22"/>
  <c r="J217" i="27"/>
  <c r="Y78" i="10"/>
  <c r="AD273" i="10"/>
  <c r="AE273" i="10" s="1"/>
  <c r="AC310" i="10"/>
  <c r="AB253" i="10"/>
  <c r="AA254" i="10"/>
  <c r="AC121" i="10"/>
  <c r="AC14" i="10"/>
  <c r="AE70" i="10"/>
  <c r="AB15" i="10"/>
  <c r="AC307" i="10"/>
  <c r="AB308" i="10"/>
  <c r="S58" i="4"/>
  <c r="S100" i="4"/>
  <c r="I2287" i="22"/>
  <c r="I2298" i="22"/>
  <c r="I2301" i="22" s="1"/>
  <c r="I2307" i="22"/>
  <c r="I2276" i="22"/>
  <c r="I2277" i="22" s="1"/>
  <c r="Z16" i="10"/>
  <c r="Y34" i="10"/>
  <c r="Y43" i="10" s="1"/>
  <c r="F2399" i="22"/>
  <c r="E2398" i="22"/>
  <c r="E2401" i="22"/>
  <c r="R177" i="10"/>
  <c r="Q176" i="10"/>
  <c r="Q178" i="10" s="1"/>
  <c r="Q179" i="10" s="1"/>
  <c r="G2324" i="22"/>
  <c r="G2371" i="22" s="1"/>
  <c r="G2314" i="22"/>
  <c r="G2284" i="22"/>
  <c r="H2283" i="22"/>
  <c r="H2290" i="22"/>
  <c r="H2291" i="22" s="1"/>
  <c r="S92" i="10"/>
  <c r="W107" i="10"/>
  <c r="X80" i="10"/>
  <c r="S122" i="4"/>
  <c r="T154" i="10"/>
  <c r="Y147" i="10"/>
  <c r="F2317" i="22"/>
  <c r="F2327" i="22"/>
  <c r="F2373" i="22" s="1"/>
  <c r="U2" i="10"/>
  <c r="T185" i="10"/>
  <c r="T240" i="10" s="1"/>
  <c r="W93" i="10"/>
  <c r="W87" i="10"/>
  <c r="S175" i="14"/>
  <c r="R176" i="14"/>
  <c r="D2982" i="22"/>
  <c r="H3" i="31"/>
  <c r="F127" i="31"/>
  <c r="F102" i="31" s="1"/>
  <c r="F115" i="31" s="1"/>
  <c r="F1953" i="22"/>
  <c r="G21" i="31"/>
  <c r="F1931" i="22"/>
  <c r="Y75" i="15"/>
  <c r="E1943" i="22"/>
  <c r="F1938" i="22"/>
  <c r="H23" i="13"/>
  <c r="E3300" i="22"/>
  <c r="E3572" i="22"/>
  <c r="V31" i="15"/>
  <c r="I2118" i="22"/>
  <c r="I2120" i="22" s="1"/>
  <c r="V30" i="15"/>
  <c r="V82" i="15"/>
  <c r="V84" i="15" s="1"/>
  <c r="G3067" i="22"/>
  <c r="G3071" i="22" s="1"/>
  <c r="J39" i="41"/>
  <c r="M22" i="41"/>
  <c r="M23" i="41" s="1"/>
  <c r="M29" i="41"/>
  <c r="M59" i="41"/>
  <c r="M20" i="41"/>
  <c r="Q11" i="37"/>
  <c r="M51" i="41"/>
  <c r="M98" i="41"/>
  <c r="H4412" i="22"/>
  <c r="O26" i="41"/>
  <c r="K62" i="41"/>
  <c r="K64" i="41" s="1"/>
  <c r="L61" i="41"/>
  <c r="P434" i="37"/>
  <c r="L34" i="41"/>
  <c r="L35" i="41" s="1"/>
  <c r="L42" i="41" s="1"/>
  <c r="S4454" i="22"/>
  <c r="Y4454" i="22" s="1"/>
  <c r="G4454" i="22"/>
  <c r="O355" i="37"/>
  <c r="O332" i="37"/>
  <c r="J46" i="41"/>
  <c r="BI472" i="38" s="1"/>
  <c r="L30" i="41"/>
  <c r="P279" i="37"/>
  <c r="L99" i="41"/>
  <c r="L54" i="41"/>
  <c r="L100" i="41" s="1"/>
  <c r="L106" i="41" s="1"/>
  <c r="L107" i="41" s="1"/>
  <c r="L108" i="41" s="1"/>
  <c r="L60" i="41"/>
  <c r="K45" i="41"/>
  <c r="K56" i="41" s="1"/>
  <c r="K38" i="41" s="1"/>
  <c r="G4400" i="22"/>
  <c r="G4401" i="22"/>
  <c r="G4394" i="22"/>
  <c r="L23" i="41"/>
  <c r="R436" i="37"/>
  <c r="Q484" i="37"/>
  <c r="I3030" i="22"/>
  <c r="I3033" i="22" s="1"/>
  <c r="J2972" i="22"/>
  <c r="H21" i="13"/>
  <c r="F3599" i="22"/>
  <c r="F3274" i="22"/>
  <c r="H85" i="13"/>
  <c r="G2918" i="22"/>
  <c r="G2930" i="22" s="1"/>
  <c r="E3414" i="22"/>
  <c r="W19" i="15"/>
  <c r="F3567" i="22"/>
  <c r="D3710" i="22"/>
  <c r="E3464" i="22"/>
  <c r="L317" i="37"/>
  <c r="V106" i="4"/>
  <c r="H377" i="37"/>
  <c r="H491" i="37"/>
  <c r="E3479" i="22"/>
  <c r="H78" i="13"/>
  <c r="H77" i="13"/>
  <c r="G3346" i="22"/>
  <c r="W190" i="14"/>
  <c r="X188" i="14"/>
  <c r="X190" i="14" s="1"/>
  <c r="J55" i="31"/>
  <c r="H132" i="31"/>
  <c r="I96" i="31"/>
  <c r="H120" i="31"/>
  <c r="I72" i="31"/>
  <c r="G71" i="31"/>
  <c r="G16" i="31"/>
  <c r="K74" i="31"/>
  <c r="I134" i="31"/>
  <c r="B2196" i="22"/>
  <c r="E4796" i="22"/>
  <c r="M13" i="13"/>
  <c r="C7" i="47" s="1"/>
  <c r="AA8" i="15"/>
  <c r="F2019" i="22"/>
  <c r="R14" i="15"/>
  <c r="R29" i="15"/>
  <c r="H3038" i="22"/>
  <c r="H3037" i="22" s="1"/>
  <c r="T35" i="15"/>
  <c r="V115" i="15"/>
  <c r="V501" i="38"/>
  <c r="G3916" i="22"/>
  <c r="X106" i="10" l="1"/>
  <c r="P46" i="43"/>
  <c r="R8" i="43"/>
  <c r="R41" i="43" s="1"/>
  <c r="R45" i="43" s="1"/>
  <c r="Q41" i="43"/>
  <c r="Q45" i="43" s="1"/>
  <c r="Q50" i="43" s="1"/>
  <c r="Q52" i="43" s="1"/>
  <c r="P62" i="43"/>
  <c r="J212" i="14"/>
  <c r="AD628" i="1"/>
  <c r="AD572" i="1" s="1"/>
  <c r="AC544" i="1"/>
  <c r="V67" i="1"/>
  <c r="V69" i="1"/>
  <c r="X30" i="1"/>
  <c r="X42" i="1" s="1"/>
  <c r="X60" i="1"/>
  <c r="X66" i="1" s="1"/>
  <c r="X151" i="1"/>
  <c r="X16" i="1"/>
  <c r="Y15" i="1"/>
  <c r="V47" i="1"/>
  <c r="V162" i="1"/>
  <c r="P53" i="37"/>
  <c r="AB98" i="40" s="1"/>
  <c r="E81" i="46"/>
  <c r="I23" i="13"/>
  <c r="Q172" i="37"/>
  <c r="Q12" i="37" s="1"/>
  <c r="R195" i="37"/>
  <c r="S195" i="37" s="1"/>
  <c r="P172" i="37"/>
  <c r="P12" i="37" s="1"/>
  <c r="AB97" i="40" s="1"/>
  <c r="O12" i="37"/>
  <c r="AA97" i="40" s="1"/>
  <c r="T121" i="11"/>
  <c r="T120" i="11" s="1"/>
  <c r="G2536" i="22"/>
  <c r="Q122" i="4"/>
  <c r="AI13" i="15"/>
  <c r="T59" i="13"/>
  <c r="T72" i="13" s="1"/>
  <c r="R154" i="10"/>
  <c r="R157" i="10" s="1"/>
  <c r="R141" i="10" s="1"/>
  <c r="R318" i="10" s="1"/>
  <c r="R123" i="10"/>
  <c r="U73" i="40"/>
  <c r="BH277" i="38"/>
  <c r="AD187" i="10"/>
  <c r="AD188" i="10" s="1"/>
  <c r="T84" i="10"/>
  <c r="T85" i="10" s="1"/>
  <c r="T138" i="10"/>
  <c r="P169" i="43"/>
  <c r="P170" i="43" s="1"/>
  <c r="P21" i="15"/>
  <c r="V28" i="10"/>
  <c r="I2260" i="22"/>
  <c r="I2264" i="22" s="1"/>
  <c r="M117" i="12"/>
  <c r="M98" i="12"/>
  <c r="O2" i="12"/>
  <c r="N89" i="12"/>
  <c r="AC98" i="12"/>
  <c r="L126" i="12"/>
  <c r="L135" i="12" s="1"/>
  <c r="L107" i="12"/>
  <c r="E1579" i="22" s="1"/>
  <c r="L144" i="12"/>
  <c r="N175" i="43"/>
  <c r="I347" i="25"/>
  <c r="I341" i="25"/>
  <c r="T15" i="15"/>
  <c r="E58" i="13"/>
  <c r="E73" i="13" s="1"/>
  <c r="F2537" i="22" s="1"/>
  <c r="J198" i="36"/>
  <c r="Q99" i="36"/>
  <c r="Q435" i="37"/>
  <c r="F56" i="31"/>
  <c r="P13" i="31"/>
  <c r="V146" i="10"/>
  <c r="U12" i="4"/>
  <c r="U20" i="4" s="1"/>
  <c r="V59" i="10"/>
  <c r="V61" i="10" s="1"/>
  <c r="V66" i="10" s="1"/>
  <c r="H4099" i="22"/>
  <c r="I4099" i="22" s="1"/>
  <c r="O174" i="43"/>
  <c r="O175" i="43" s="1"/>
  <c r="W37" i="10"/>
  <c r="W19" i="10" s="1"/>
  <c r="V4" i="4" s="1"/>
  <c r="S154" i="10"/>
  <c r="R122" i="4"/>
  <c r="R58" i="4"/>
  <c r="R100" i="4"/>
  <c r="I178" i="15" s="1"/>
  <c r="N2918" i="22"/>
  <c r="E178" i="15"/>
  <c r="E2796" i="22"/>
  <c r="AT321" i="38"/>
  <c r="K201" i="37" s="1"/>
  <c r="K228" i="37" s="1"/>
  <c r="S123" i="10"/>
  <c r="S116" i="10"/>
  <c r="I266" i="37"/>
  <c r="I228" i="37"/>
  <c r="O110" i="43"/>
  <c r="J228" i="37"/>
  <c r="AO370" i="38" s="1"/>
  <c r="K317" i="25"/>
  <c r="K346" i="25" s="1"/>
  <c r="L346" i="25" s="1"/>
  <c r="N59" i="5"/>
  <c r="N60" i="5" s="1"/>
  <c r="M60" i="5"/>
  <c r="M72" i="5"/>
  <c r="O53" i="5"/>
  <c r="O50" i="5"/>
  <c r="O62" i="5"/>
  <c r="AQ144" i="10"/>
  <c r="AQ153" i="10" s="1"/>
  <c r="P37" i="5"/>
  <c r="P42" i="5" s="1"/>
  <c r="P34" i="5"/>
  <c r="P18" i="5" s="1"/>
  <c r="P26" i="5" s="1"/>
  <c r="N43" i="4"/>
  <c r="N56" i="4" s="1"/>
  <c r="N74" i="4" s="1"/>
  <c r="N86" i="4" s="1"/>
  <c r="G258" i="14"/>
  <c r="G287" i="14"/>
  <c r="N120" i="4"/>
  <c r="P27" i="4"/>
  <c r="O112" i="4"/>
  <c r="P8" i="41"/>
  <c r="P7" i="41" s="1"/>
  <c r="P10" i="41" s="1"/>
  <c r="O7" i="41"/>
  <c r="O10" i="41" s="1"/>
  <c r="O13" i="41" s="1"/>
  <c r="O16" i="41" s="1"/>
  <c r="O19" i="41" s="1"/>
  <c r="O170" i="43"/>
  <c r="F82" i="31"/>
  <c r="F83" i="31" s="1"/>
  <c r="E1941" i="22" s="1"/>
  <c r="F84" i="31"/>
  <c r="F11" i="31"/>
  <c r="E116" i="31" s="1"/>
  <c r="E122" i="31" s="1"/>
  <c r="H3020" i="22"/>
  <c r="F68" i="31"/>
  <c r="K296" i="25"/>
  <c r="K297" i="25" s="1"/>
  <c r="AP144" i="10"/>
  <c r="AP153" i="10" s="1"/>
  <c r="V57" i="10"/>
  <c r="J4403" i="22"/>
  <c r="J4420" i="22" s="1"/>
  <c r="J4451" i="22" s="1"/>
  <c r="K336" i="25"/>
  <c r="K339" i="25" s="1"/>
  <c r="Z9" i="12"/>
  <c r="Y41" i="12"/>
  <c r="Y52" i="12" s="1"/>
  <c r="Y62" i="12" s="1"/>
  <c r="O133" i="12"/>
  <c r="I1308" i="22"/>
  <c r="O114" i="12"/>
  <c r="I1309" i="22" s="1"/>
  <c r="N115" i="12"/>
  <c r="X93" i="12"/>
  <c r="Y102" i="12"/>
  <c r="O83" i="12"/>
  <c r="N39" i="4"/>
  <c r="N40" i="4" s="1"/>
  <c r="N41" i="4" s="1"/>
  <c r="H213" i="27" s="1"/>
  <c r="F66" i="36"/>
  <c r="K66" i="36" s="1"/>
  <c r="K10" i="36" s="1"/>
  <c r="F26" i="38"/>
  <c r="G10" i="36"/>
  <c r="K164" i="27"/>
  <c r="I1338" i="22"/>
  <c r="K112" i="27"/>
  <c r="K128" i="27" s="1"/>
  <c r="K143" i="27" s="1"/>
  <c r="W73" i="25"/>
  <c r="W79" i="25"/>
  <c r="X79" i="25" s="1"/>
  <c r="X80" i="25" s="1"/>
  <c r="H1585" i="22"/>
  <c r="I1307" i="22"/>
  <c r="I1301" i="22"/>
  <c r="H1582" i="22"/>
  <c r="V5" i="36"/>
  <c r="K24" i="38"/>
  <c r="L5" i="36"/>
  <c r="K101" i="36"/>
  <c r="G164" i="36"/>
  <c r="V36" i="4"/>
  <c r="G24" i="38"/>
  <c r="C164" i="36"/>
  <c r="X73" i="25"/>
  <c r="H1339" i="22"/>
  <c r="H1341" i="22" s="1"/>
  <c r="J181" i="27"/>
  <c r="J197" i="27"/>
  <c r="J168" i="27"/>
  <c r="N124" i="12"/>
  <c r="N142" i="12"/>
  <c r="F61" i="38"/>
  <c r="F317" i="38" s="1"/>
  <c r="F291" i="38"/>
  <c r="P172" i="43"/>
  <c r="R435" i="37" s="1"/>
  <c r="G3020" i="22"/>
  <c r="P161" i="37"/>
  <c r="P183" i="37" s="1"/>
  <c r="P248" i="37" s="1"/>
  <c r="P45" i="37"/>
  <c r="P85" i="37" s="1"/>
  <c r="P122" i="37" s="1"/>
  <c r="Q4" i="37"/>
  <c r="P272" i="37"/>
  <c r="P348" i="37" s="1"/>
  <c r="P382" i="37" s="1"/>
  <c r="P452" i="37" s="1"/>
  <c r="W146" i="10"/>
  <c r="W49" i="10"/>
  <c r="W47" i="10"/>
  <c r="R283" i="37"/>
  <c r="P145" i="43"/>
  <c r="V13" i="25"/>
  <c r="Y99" i="10"/>
  <c r="V84" i="25"/>
  <c r="R142" i="43"/>
  <c r="R139" i="43"/>
  <c r="T15" i="37"/>
  <c r="T56" i="37" s="1"/>
  <c r="T96" i="37" s="1"/>
  <c r="R131" i="43"/>
  <c r="T221" i="37" s="1"/>
  <c r="P109" i="43"/>
  <c r="W12" i="25"/>
  <c r="X4" i="25"/>
  <c r="X12" i="25" s="1"/>
  <c r="Q131" i="43"/>
  <c r="S221" i="37" s="1"/>
  <c r="S15" i="37"/>
  <c r="S56" i="37" s="1"/>
  <c r="S96" i="37" s="1"/>
  <c r="Q139" i="43"/>
  <c r="Q142" i="43"/>
  <c r="Z6" i="12"/>
  <c r="Y38" i="12"/>
  <c r="O149" i="43"/>
  <c r="O146" i="43"/>
  <c r="W119" i="15"/>
  <c r="Q336" i="37"/>
  <c r="Q358" i="37"/>
  <c r="P2" i="4"/>
  <c r="Q10" i="4"/>
  <c r="R106" i="43"/>
  <c r="R103" i="43"/>
  <c r="R94" i="43"/>
  <c r="H7" i="13"/>
  <c r="H10" i="13" s="1"/>
  <c r="Q94" i="43"/>
  <c r="Q106" i="43"/>
  <c r="Q103" i="43"/>
  <c r="V3" i="15"/>
  <c r="S64" i="40"/>
  <c r="S65" i="40" s="1"/>
  <c r="N333" i="37"/>
  <c r="T58" i="40"/>
  <c r="T59" i="40" s="1"/>
  <c r="BC182" i="38"/>
  <c r="T87" i="40"/>
  <c r="V97" i="40"/>
  <c r="V71" i="40"/>
  <c r="P87" i="40"/>
  <c r="AE85" i="40"/>
  <c r="AG85" i="40" s="1"/>
  <c r="P89" i="40"/>
  <c r="K308" i="25"/>
  <c r="Z32" i="11"/>
  <c r="Z41" i="11" s="1"/>
  <c r="J320" i="25"/>
  <c r="J321" i="25" s="1"/>
  <c r="J343" i="25"/>
  <c r="AF99" i="40"/>
  <c r="Q100" i="40"/>
  <c r="W59" i="10"/>
  <c r="W61" i="10" s="1"/>
  <c r="AF70" i="40"/>
  <c r="Q71" i="40"/>
  <c r="Z7" i="12"/>
  <c r="Y39" i="12"/>
  <c r="Y50" i="12" s="1"/>
  <c r="Y60" i="12" s="1"/>
  <c r="V12" i="4"/>
  <c r="AA8" i="12"/>
  <c r="AA40" i="12" s="1"/>
  <c r="AA51" i="12" s="1"/>
  <c r="Z40" i="12"/>
  <c r="Z51" i="12" s="1"/>
  <c r="Z61" i="12" s="1"/>
  <c r="J340" i="25"/>
  <c r="J341" i="25" s="1"/>
  <c r="X32" i="10"/>
  <c r="X41" i="10" s="1"/>
  <c r="X47" i="10" s="1"/>
  <c r="Y5" i="10"/>
  <c r="Y10" i="10" s="1"/>
  <c r="T116" i="10"/>
  <c r="T247" i="10" s="1"/>
  <c r="X37" i="11"/>
  <c r="X19" i="11" s="1"/>
  <c r="X28" i="11" s="1"/>
  <c r="V293" i="38"/>
  <c r="G176" i="37" s="1"/>
  <c r="G264" i="37" s="1"/>
  <c r="G28" i="37"/>
  <c r="G108" i="37" s="1"/>
  <c r="Z42" i="12"/>
  <c r="Z53" i="12" s="1"/>
  <c r="Z63" i="12" s="1"/>
  <c r="AA10" i="12"/>
  <c r="AA32" i="11"/>
  <c r="F85" i="19"/>
  <c r="F86" i="19" s="1"/>
  <c r="F81" i="19"/>
  <c r="B88" i="46"/>
  <c r="B85" i="46"/>
  <c r="B89" i="46" s="1"/>
  <c r="B47" i="46" s="1"/>
  <c r="U15" i="15"/>
  <c r="M326" i="37"/>
  <c r="F58" i="13"/>
  <c r="F73" i="13" s="1"/>
  <c r="Y5" i="12"/>
  <c r="X37" i="12"/>
  <c r="X48" i="12" s="1"/>
  <c r="X58" i="12" s="1"/>
  <c r="U13" i="12"/>
  <c r="T45" i="12"/>
  <c r="T76" i="12" s="1"/>
  <c r="U127" i="25"/>
  <c r="U119" i="25"/>
  <c r="U120" i="25" s="1"/>
  <c r="V116" i="25"/>
  <c r="V122" i="25"/>
  <c r="T15" i="25"/>
  <c r="S33" i="25"/>
  <c r="S132" i="25" s="1"/>
  <c r="T128" i="25"/>
  <c r="T139" i="25"/>
  <c r="T140" i="25" s="1"/>
  <c r="T142" i="25" s="1"/>
  <c r="W55" i="11"/>
  <c r="V14" i="4"/>
  <c r="V22" i="4" s="1"/>
  <c r="X46" i="11"/>
  <c r="X67" i="11"/>
  <c r="Y41" i="11"/>
  <c r="V6" i="4"/>
  <c r="W28" i="11"/>
  <c r="Z6" i="11"/>
  <c r="Y33" i="11"/>
  <c r="Y42" i="11" s="1"/>
  <c r="Q61" i="11"/>
  <c r="AH57" i="11"/>
  <c r="Q80" i="11"/>
  <c r="C179" i="15"/>
  <c r="P59" i="4"/>
  <c r="L2919" i="22"/>
  <c r="P101" i="4"/>
  <c r="G179" i="15" s="1"/>
  <c r="S63" i="11"/>
  <c r="R58" i="11"/>
  <c r="R60" i="11" s="1"/>
  <c r="Q232" i="14"/>
  <c r="C245" i="14"/>
  <c r="O5" i="4"/>
  <c r="L25" i="27"/>
  <c r="L41" i="27" s="1"/>
  <c r="P43" i="19"/>
  <c r="P53" i="19" s="1"/>
  <c r="L206" i="27"/>
  <c r="O53" i="19"/>
  <c r="O54" i="19" s="1"/>
  <c r="Q113" i="19"/>
  <c r="Q114" i="19"/>
  <c r="Q118" i="19"/>
  <c r="Q112" i="19"/>
  <c r="Q221" i="19" s="1"/>
  <c r="Q208" i="19" s="1"/>
  <c r="Q115" i="19"/>
  <c r="Q116" i="19"/>
  <c r="R206" i="27"/>
  <c r="S206" i="27"/>
  <c r="D2767" i="22" s="1"/>
  <c r="U180" i="19"/>
  <c r="T337" i="19"/>
  <c r="S31" i="19"/>
  <c r="R39" i="19"/>
  <c r="T132" i="19"/>
  <c r="U129" i="19"/>
  <c r="S124" i="19"/>
  <c r="R120" i="19"/>
  <c r="R117" i="19" s="1"/>
  <c r="O260" i="19"/>
  <c r="O107" i="19"/>
  <c r="P2" i="19"/>
  <c r="S164" i="19"/>
  <c r="Q40" i="19"/>
  <c r="I230" i="27"/>
  <c r="I233" i="27"/>
  <c r="I212" i="27"/>
  <c r="I228" i="27"/>
  <c r="I227" i="27"/>
  <c r="I223" i="27"/>
  <c r="I236" i="27"/>
  <c r="I229" i="27"/>
  <c r="I224" i="27"/>
  <c r="S163" i="19"/>
  <c r="S162" i="19"/>
  <c r="S160" i="19"/>
  <c r="S161" i="19"/>
  <c r="M23" i="19"/>
  <c r="M28" i="19"/>
  <c r="M27" i="19"/>
  <c r="M29" i="19"/>
  <c r="Q34" i="11"/>
  <c r="Q38" i="11" s="1"/>
  <c r="S159" i="19"/>
  <c r="S223" i="19" s="1"/>
  <c r="I225" i="27"/>
  <c r="U109" i="19"/>
  <c r="T108" i="19"/>
  <c r="T165" i="19" s="1"/>
  <c r="P208" i="19"/>
  <c r="K206" i="36"/>
  <c r="P107" i="36"/>
  <c r="K226" i="36"/>
  <c r="O12" i="19"/>
  <c r="V297" i="15"/>
  <c r="R7" i="11"/>
  <c r="R11" i="11" s="1"/>
  <c r="M17" i="19"/>
  <c r="N14" i="19"/>
  <c r="N8" i="19" s="1"/>
  <c r="Q16" i="11"/>
  <c r="P5" i="4" s="1"/>
  <c r="U168" i="19"/>
  <c r="T173" i="19"/>
  <c r="P67" i="40"/>
  <c r="AE67" i="40" s="1"/>
  <c r="AG67" i="40" s="1"/>
  <c r="P97" i="40"/>
  <c r="AE97" i="40" s="1"/>
  <c r="AG97" i="40" s="1"/>
  <c r="BC348" i="38"/>
  <c r="CF368" i="38" s="1"/>
  <c r="BC196" i="38"/>
  <c r="N201" i="37"/>
  <c r="O201" i="37" s="1"/>
  <c r="O178" i="37" s="1"/>
  <c r="BN295" i="38" s="1"/>
  <c r="AB134" i="15"/>
  <c r="I4414" i="22"/>
  <c r="I4425" i="22" s="1"/>
  <c r="I4456" i="22" s="1"/>
  <c r="M333" i="37"/>
  <c r="F4476" i="22"/>
  <c r="F4477" i="22" s="1"/>
  <c r="F4480" i="22"/>
  <c r="F4481" i="22" s="1"/>
  <c r="I3011" i="22"/>
  <c r="I3024" i="22" s="1"/>
  <c r="J80" i="13"/>
  <c r="J81" i="13" s="1"/>
  <c r="J2967" i="22"/>
  <c r="J2968" i="22" s="1"/>
  <c r="C4804" i="22"/>
  <c r="J75" i="13"/>
  <c r="D4592" i="22"/>
  <c r="D4594" i="22" s="1"/>
  <c r="D4598" i="22"/>
  <c r="E4035" i="22"/>
  <c r="E4059" i="22"/>
  <c r="R4458" i="22"/>
  <c r="X4455" i="22" s="1"/>
  <c r="L4426" i="22"/>
  <c r="F4458" i="22"/>
  <c r="P21" i="43"/>
  <c r="P24" i="43"/>
  <c r="R5" i="43"/>
  <c r="R50" i="43"/>
  <c r="R52" i="43" s="1"/>
  <c r="P63" i="43"/>
  <c r="N75" i="43"/>
  <c r="Q46" i="43"/>
  <c r="Q14" i="43"/>
  <c r="S54" i="37"/>
  <c r="S13" i="37" s="1"/>
  <c r="Q17" i="43"/>
  <c r="Q56" i="43"/>
  <c r="Q165" i="43"/>
  <c r="Q167" i="43" s="1"/>
  <c r="Q6" i="43"/>
  <c r="S220" i="37" s="1"/>
  <c r="P67" i="43"/>
  <c r="O74" i="43"/>
  <c r="O72" i="43"/>
  <c r="O71" i="43"/>
  <c r="O73" i="43"/>
  <c r="O68" i="43"/>
  <c r="P14" i="41"/>
  <c r="AT375" i="38"/>
  <c r="AT346" i="38"/>
  <c r="K4710" i="22"/>
  <c r="K4711" i="22" s="1"/>
  <c r="K4712" i="22"/>
  <c r="L102" i="41"/>
  <c r="L103" i="41" s="1"/>
  <c r="C4760" i="22"/>
  <c r="C4780" i="22" s="1"/>
  <c r="O194" i="37"/>
  <c r="D4034" i="22"/>
  <c r="I21" i="13"/>
  <c r="I375" i="37"/>
  <c r="X147" i="15"/>
  <c r="F4350" i="22"/>
  <c r="J343" i="37"/>
  <c r="I308" i="37"/>
  <c r="AJ211" i="38"/>
  <c r="C4598" i="22"/>
  <c r="C4592" i="22"/>
  <c r="E4596" i="22"/>
  <c r="G53" i="13"/>
  <c r="X94" i="10"/>
  <c r="X139" i="10"/>
  <c r="X87" i="10"/>
  <c r="R122" i="10"/>
  <c r="R247" i="10"/>
  <c r="P68" i="36"/>
  <c r="Z68" i="36" s="1"/>
  <c r="K190" i="36" s="1"/>
  <c r="P25" i="36"/>
  <c r="BT219" i="2" s="1"/>
  <c r="K171" i="36"/>
  <c r="Y127" i="10"/>
  <c r="Y115" i="10"/>
  <c r="Q104" i="36"/>
  <c r="Q122" i="10"/>
  <c r="Q247" i="10"/>
  <c r="AA76" i="10"/>
  <c r="Z105" i="10"/>
  <c r="H121" i="31"/>
  <c r="I73" i="31"/>
  <c r="I70" i="31" s="1"/>
  <c r="H133" i="31"/>
  <c r="I95" i="31"/>
  <c r="Z6" i="10"/>
  <c r="Y33" i="10"/>
  <c r="Y42" i="10" s="1"/>
  <c r="Y86" i="10" s="1"/>
  <c r="Y87" i="10" s="1"/>
  <c r="K65" i="31"/>
  <c r="J67" i="31"/>
  <c r="Q181" i="10"/>
  <c r="AM181" i="10" s="1"/>
  <c r="Q155" i="10"/>
  <c r="Q129" i="10"/>
  <c r="Q157" i="10"/>
  <c r="Q141" i="10" s="1"/>
  <c r="R85" i="10"/>
  <c r="R92" i="10"/>
  <c r="P108" i="36"/>
  <c r="K227" i="36"/>
  <c r="K207" i="36"/>
  <c r="Q92" i="10"/>
  <c r="Q85" i="10"/>
  <c r="U66" i="10"/>
  <c r="U158" i="10"/>
  <c r="U62" i="10"/>
  <c r="U97" i="10"/>
  <c r="U100" i="10" s="1"/>
  <c r="AE310" i="10"/>
  <c r="AD310" i="10"/>
  <c r="Z78" i="10"/>
  <c r="Y106" i="10"/>
  <c r="AD307" i="10"/>
  <c r="AC308" i="10"/>
  <c r="AC253" i="10"/>
  <c r="AB254" i="10"/>
  <c r="AC15" i="10"/>
  <c r="AD14" i="10"/>
  <c r="Z34" i="10"/>
  <c r="Z43" i="10" s="1"/>
  <c r="AA16" i="10"/>
  <c r="AD121" i="10"/>
  <c r="I2283" i="22"/>
  <c r="I2290" i="22"/>
  <c r="I2291" i="22" s="1"/>
  <c r="X107" i="10"/>
  <c r="Y80" i="10"/>
  <c r="H2284" i="22"/>
  <c r="H2314" i="22"/>
  <c r="Z147" i="10"/>
  <c r="AA147" i="10" s="1"/>
  <c r="S177" i="10"/>
  <c r="R176" i="10"/>
  <c r="R178" i="10" s="1"/>
  <c r="R179" i="10" s="1"/>
  <c r="V2" i="10"/>
  <c r="U185" i="10"/>
  <c r="U240" i="10" s="1"/>
  <c r="T155" i="10"/>
  <c r="T129" i="10"/>
  <c r="T157" i="10"/>
  <c r="T141" i="10" s="1"/>
  <c r="Y88" i="10"/>
  <c r="S176" i="14"/>
  <c r="T175" i="14"/>
  <c r="F1943" i="22"/>
  <c r="G1938" i="22"/>
  <c r="G127" i="31"/>
  <c r="G102" i="31" s="1"/>
  <c r="G115" i="31" s="1"/>
  <c r="G1953" i="22"/>
  <c r="G1931" i="22"/>
  <c r="H21" i="31"/>
  <c r="E2982" i="22"/>
  <c r="I3" i="31"/>
  <c r="Z75" i="15"/>
  <c r="H3067" i="22"/>
  <c r="H3071" i="22" s="1"/>
  <c r="W82" i="15"/>
  <c r="W84" i="15" s="1"/>
  <c r="G58" i="13"/>
  <c r="G73" i="13" s="1"/>
  <c r="V15" i="15"/>
  <c r="Y83" i="15"/>
  <c r="L62" i="41"/>
  <c r="L64" i="41" s="1"/>
  <c r="K39" i="41"/>
  <c r="P52" i="37"/>
  <c r="L24" i="41"/>
  <c r="P218" i="37" s="1"/>
  <c r="M61" i="41"/>
  <c r="M34" i="41"/>
  <c r="M35" i="41" s="1"/>
  <c r="M42" i="41" s="1"/>
  <c r="Q434" i="37"/>
  <c r="K46" i="41"/>
  <c r="AB351" i="1" s="1"/>
  <c r="N51" i="41"/>
  <c r="N20" i="41"/>
  <c r="N59" i="41"/>
  <c r="N29" i="41"/>
  <c r="N98" i="41"/>
  <c r="R11" i="37"/>
  <c r="P26" i="41"/>
  <c r="Q279" i="37"/>
  <c r="M99" i="41"/>
  <c r="M60" i="41"/>
  <c r="M30" i="41"/>
  <c r="M54" i="41"/>
  <c r="M100" i="41" s="1"/>
  <c r="M106" i="41" s="1"/>
  <c r="M107" i="41" s="1"/>
  <c r="M108" i="41" s="1"/>
  <c r="L45" i="41"/>
  <c r="L56" i="41" s="1"/>
  <c r="L38" i="41" s="1"/>
  <c r="P90" i="13" s="1"/>
  <c r="Q92" i="37"/>
  <c r="Q259" i="37" s="1"/>
  <c r="N22" i="41"/>
  <c r="P332" i="37"/>
  <c r="P355" i="37"/>
  <c r="H4423" i="22"/>
  <c r="H4407" i="22"/>
  <c r="H4398" i="22"/>
  <c r="H4413" i="22"/>
  <c r="H4424" i="22" s="1"/>
  <c r="H4455" i="22" s="1"/>
  <c r="H4404" i="22"/>
  <c r="M24" i="41"/>
  <c r="Q218" i="37" s="1"/>
  <c r="Q52" i="37"/>
  <c r="G4395" i="22"/>
  <c r="G4390" i="22"/>
  <c r="R484" i="37"/>
  <c r="S436" i="37"/>
  <c r="I2972" i="22"/>
  <c r="I2973" i="22" s="1"/>
  <c r="H3030" i="22"/>
  <c r="E3415" i="22"/>
  <c r="E3434" i="22"/>
  <c r="E3419" i="22"/>
  <c r="E3436" i="22" s="1"/>
  <c r="E3481" i="22"/>
  <c r="E3502" i="22" s="1"/>
  <c r="E3500" i="22"/>
  <c r="F3288" i="22"/>
  <c r="F3275" i="22"/>
  <c r="F3289" i="22" s="1"/>
  <c r="K212" i="14"/>
  <c r="D3711" i="22"/>
  <c r="D3715" i="22"/>
  <c r="D3732" i="22" s="1"/>
  <c r="D3730" i="22"/>
  <c r="D3784" i="22"/>
  <c r="D3791" i="22" s="1"/>
  <c r="H108" i="13"/>
  <c r="H2976" i="22"/>
  <c r="H107" i="13"/>
  <c r="H96" i="13"/>
  <c r="F3569" i="22"/>
  <c r="F3570" i="22" s="1"/>
  <c r="F3598" i="22"/>
  <c r="G3011" i="22"/>
  <c r="G3345" i="22"/>
  <c r="H27" i="13"/>
  <c r="H2967" i="22"/>
  <c r="H2968" i="22" s="1"/>
  <c r="H75" i="13"/>
  <c r="E3745" i="22" s="1"/>
  <c r="W81" i="15"/>
  <c r="W23" i="15"/>
  <c r="J72" i="31"/>
  <c r="I132" i="31"/>
  <c r="I120" i="31"/>
  <c r="L74" i="31"/>
  <c r="J134" i="31"/>
  <c r="G17" i="31"/>
  <c r="F1939" i="22" s="1"/>
  <c r="G84" i="31"/>
  <c r="G11" i="31"/>
  <c r="G82" i="31"/>
  <c r="G68" i="31"/>
  <c r="G56" i="31"/>
  <c r="H16" i="31"/>
  <c r="H71" i="31"/>
  <c r="F4796" i="22"/>
  <c r="D2196" i="22"/>
  <c r="N13" i="13"/>
  <c r="D7" i="47" s="1"/>
  <c r="AB8" i="15"/>
  <c r="D2983" i="22"/>
  <c r="D2997" i="22" s="1"/>
  <c r="U35" i="15"/>
  <c r="W115" i="15"/>
  <c r="AA509" i="38"/>
  <c r="AA510" i="38" s="1"/>
  <c r="F81" i="46"/>
  <c r="S14" i="15"/>
  <c r="S29" i="15"/>
  <c r="R46" i="43" l="1"/>
  <c r="Q280" i="37"/>
  <c r="AC97" i="40"/>
  <c r="BI277" i="38"/>
  <c r="N163" i="37" s="1"/>
  <c r="BH327" i="38"/>
  <c r="AD656" i="1"/>
  <c r="AE628" i="1"/>
  <c r="AE572" i="1" s="1"/>
  <c r="AE656" i="1" s="1"/>
  <c r="AD544" i="1"/>
  <c r="X69" i="1"/>
  <c r="Y67" i="1"/>
  <c r="X162" i="1"/>
  <c r="X47" i="1"/>
  <c r="V163" i="1"/>
  <c r="V178" i="1" s="1"/>
  <c r="V171" i="1"/>
  <c r="V173" i="1" s="1"/>
  <c r="V186" i="1"/>
  <c r="V390" i="1"/>
  <c r="V71" i="1"/>
  <c r="V48" i="1"/>
  <c r="V79" i="1"/>
  <c r="V88" i="1" s="1"/>
  <c r="V92" i="1" s="1"/>
  <c r="V361" i="1"/>
  <c r="V56" i="1"/>
  <c r="O280" i="37"/>
  <c r="AA99" i="40" s="1"/>
  <c r="AA100" i="40" s="1"/>
  <c r="BN472" i="38"/>
  <c r="U121" i="11"/>
  <c r="U120" i="11" s="1"/>
  <c r="R181" i="10"/>
  <c r="AN181" i="10" s="1"/>
  <c r="R172" i="37"/>
  <c r="R12" i="37" s="1"/>
  <c r="R280" i="37" s="1"/>
  <c r="R333" i="37" s="1"/>
  <c r="R53" i="37"/>
  <c r="Q93" i="37"/>
  <c r="O93" i="37"/>
  <c r="BN82" i="38" s="1"/>
  <c r="BJ82" i="38" s="1"/>
  <c r="BK82" i="38" s="1"/>
  <c r="BL82" i="38" s="1"/>
  <c r="BM82" i="38" s="1"/>
  <c r="P280" i="37"/>
  <c r="P333" i="37" s="1"/>
  <c r="P93" i="37"/>
  <c r="S181" i="10"/>
  <c r="AO181" i="10" s="1"/>
  <c r="G2537" i="22"/>
  <c r="R155" i="10"/>
  <c r="R129" i="10"/>
  <c r="R135" i="10" s="1"/>
  <c r="T92" i="10"/>
  <c r="AE187" i="10"/>
  <c r="AE188" i="10" s="1"/>
  <c r="P20" i="15"/>
  <c r="T181" i="10"/>
  <c r="N117" i="12"/>
  <c r="N98" i="12"/>
  <c r="P2" i="12"/>
  <c r="O89" i="12"/>
  <c r="M107" i="12"/>
  <c r="F1579" i="22" s="1"/>
  <c r="M144" i="12"/>
  <c r="AD98" i="12"/>
  <c r="M126" i="12"/>
  <c r="M135" i="12" s="1"/>
  <c r="V20" i="4"/>
  <c r="W28" i="10"/>
  <c r="W57" i="10"/>
  <c r="K218" i="36"/>
  <c r="Q161" i="12"/>
  <c r="K198" i="36"/>
  <c r="V158" i="10"/>
  <c r="V62" i="10"/>
  <c r="V97" i="10"/>
  <c r="V100" i="10" s="1"/>
  <c r="V108" i="10" s="1"/>
  <c r="V104" i="10" s="1"/>
  <c r="V110" i="10" s="1"/>
  <c r="Q483" i="37"/>
  <c r="P13" i="41"/>
  <c r="P16" i="41" s="1"/>
  <c r="P19" i="41" s="1"/>
  <c r="P51" i="41" s="1"/>
  <c r="H4104" i="22"/>
  <c r="H4107" i="22" s="1"/>
  <c r="H4108" i="22" s="1"/>
  <c r="P11" i="31"/>
  <c r="P16" i="31" s="1"/>
  <c r="K320" i="25"/>
  <c r="K321" i="25" s="1"/>
  <c r="K266" i="37"/>
  <c r="S157" i="10"/>
  <c r="S141" i="10" s="1"/>
  <c r="S129" i="10"/>
  <c r="S155" i="10"/>
  <c r="S122" i="10"/>
  <c r="S247" i="10"/>
  <c r="O59" i="5"/>
  <c r="O72" i="5" s="1"/>
  <c r="K338" i="25"/>
  <c r="K340" i="25" s="1"/>
  <c r="W66" i="10"/>
  <c r="W3" i="15"/>
  <c r="AQ151" i="10"/>
  <c r="AQ154" i="10"/>
  <c r="AQ152" i="10"/>
  <c r="AQ149" i="10"/>
  <c r="AQ147" i="10"/>
  <c r="AQ148" i="10"/>
  <c r="AQ150" i="10"/>
  <c r="P53" i="5"/>
  <c r="P50" i="5"/>
  <c r="P62" i="5"/>
  <c r="O70" i="5"/>
  <c r="O54" i="5"/>
  <c r="X119" i="15"/>
  <c r="AJ498" i="38"/>
  <c r="AH498" i="38" s="1"/>
  <c r="F9" i="31"/>
  <c r="F10" i="31" s="1"/>
  <c r="F91" i="31"/>
  <c r="F93" i="31" s="1"/>
  <c r="F97" i="31" s="1"/>
  <c r="P174" i="43"/>
  <c r="P175" i="43" s="1"/>
  <c r="F12" i="31"/>
  <c r="E1932" i="22" s="1"/>
  <c r="E1933" i="22" s="1"/>
  <c r="E1945" i="22" s="1"/>
  <c r="E128" i="31"/>
  <c r="E136" i="31" s="1"/>
  <c r="W158" i="10"/>
  <c r="Q27" i="4"/>
  <c r="P112" i="4"/>
  <c r="O43" i="4"/>
  <c r="O56" i="4" s="1"/>
  <c r="O74" i="4" s="1"/>
  <c r="O86" i="4" s="1"/>
  <c r="O120" i="4"/>
  <c r="H258" i="14"/>
  <c r="H287" i="14"/>
  <c r="W62" i="10"/>
  <c r="O115" i="12"/>
  <c r="W97" i="10"/>
  <c r="W100" i="10" s="1"/>
  <c r="W108" i="10" s="1"/>
  <c r="W104" i="10" s="1"/>
  <c r="W114" i="10" s="1"/>
  <c r="G272" i="14"/>
  <c r="P173" i="43"/>
  <c r="R446" i="37" s="1"/>
  <c r="J344" i="25"/>
  <c r="I7" i="13"/>
  <c r="I10" i="13" s="1"/>
  <c r="G83" i="31"/>
  <c r="F1941" i="22" s="1"/>
  <c r="Z41" i="12"/>
  <c r="Z52" i="12" s="1"/>
  <c r="Z62" i="12" s="1"/>
  <c r="AA9" i="12"/>
  <c r="AA41" i="12" s="1"/>
  <c r="AA52" i="12" s="1"/>
  <c r="X46" i="10"/>
  <c r="X59" i="10" s="1"/>
  <c r="X61" i="10" s="1"/>
  <c r="X66" i="10" s="1"/>
  <c r="AP149" i="10"/>
  <c r="AP154" i="10"/>
  <c r="AP148" i="10"/>
  <c r="AP151" i="10"/>
  <c r="AP147" i="10"/>
  <c r="AP152" i="10"/>
  <c r="AP150" i="10"/>
  <c r="X37" i="10"/>
  <c r="X19" i="10" s="1"/>
  <c r="X28" i="10" s="1"/>
  <c r="H220" i="27"/>
  <c r="O84" i="12"/>
  <c r="K343" i="25"/>
  <c r="K348" i="25" s="1"/>
  <c r="K350" i="25" s="1"/>
  <c r="J184" i="27"/>
  <c r="J200" i="27"/>
  <c r="Z102" i="12"/>
  <c r="Y93" i="12"/>
  <c r="K309" i="25"/>
  <c r="F200" i="36"/>
  <c r="P166" i="12"/>
  <c r="K181" i="27"/>
  <c r="I1339" i="22"/>
  <c r="I1341" i="22" s="1"/>
  <c r="K197" i="27"/>
  <c r="K168" i="27"/>
  <c r="W36" i="4"/>
  <c r="P95" i="12"/>
  <c r="L24" i="38"/>
  <c r="C169" i="36"/>
  <c r="G26" i="38"/>
  <c r="T122" i="10"/>
  <c r="K61" i="38"/>
  <c r="K317" i="38" s="1"/>
  <c r="K291" i="38"/>
  <c r="X87" i="25"/>
  <c r="X77" i="25"/>
  <c r="F293" i="38"/>
  <c r="F63" i="38"/>
  <c r="F319" i="38" s="1"/>
  <c r="W80" i="25"/>
  <c r="X81" i="25" s="1"/>
  <c r="K106" i="36"/>
  <c r="K26" i="38"/>
  <c r="L10" i="36"/>
  <c r="G169" i="36"/>
  <c r="V10" i="36"/>
  <c r="G291" i="38"/>
  <c r="D174" i="37" s="1"/>
  <c r="G61" i="38"/>
  <c r="D26" i="37"/>
  <c r="O124" i="12"/>
  <c r="O142" i="12"/>
  <c r="Q161" i="37"/>
  <c r="Q183" i="37" s="1"/>
  <c r="Q248" i="37" s="1"/>
  <c r="Q272" i="37"/>
  <c r="Q348" i="37" s="1"/>
  <c r="Q382" i="37" s="1"/>
  <c r="Q452" i="37" s="1"/>
  <c r="R4" i="37"/>
  <c r="Q45" i="37"/>
  <c r="Q85" i="37" s="1"/>
  <c r="Q122" i="37" s="1"/>
  <c r="C4561" i="22"/>
  <c r="Q2" i="4"/>
  <c r="R10" i="4"/>
  <c r="P113" i="43"/>
  <c r="P110" i="43"/>
  <c r="P149" i="43"/>
  <c r="P146" i="43"/>
  <c r="Q172" i="43"/>
  <c r="Q173" i="43" s="1"/>
  <c r="S446" i="37" s="1"/>
  <c r="Q109" i="43"/>
  <c r="Z38" i="12"/>
  <c r="AA6" i="12"/>
  <c r="AA38" i="12" s="1"/>
  <c r="R358" i="37"/>
  <c r="R336" i="37"/>
  <c r="J348" i="25"/>
  <c r="J350" i="25" s="1"/>
  <c r="S283" i="37"/>
  <c r="Q145" i="43"/>
  <c r="T283" i="37"/>
  <c r="R145" i="43"/>
  <c r="W6" i="4"/>
  <c r="R109" i="43"/>
  <c r="X13" i="25"/>
  <c r="X84" i="25"/>
  <c r="W84" i="25"/>
  <c r="W13" i="25"/>
  <c r="Z99" i="10"/>
  <c r="U87" i="40"/>
  <c r="T64" i="40"/>
  <c r="T65" i="40" s="1"/>
  <c r="V99" i="40"/>
  <c r="BG358" i="38"/>
  <c r="P70" i="40"/>
  <c r="BC206" i="38"/>
  <c r="Q4" i="40"/>
  <c r="J347" i="25"/>
  <c r="AA61" i="12"/>
  <c r="AA7" i="12"/>
  <c r="AA39" i="12" s="1"/>
  <c r="AA50" i="12" s="1"/>
  <c r="Z39" i="12"/>
  <c r="Z50" i="12" s="1"/>
  <c r="Z60" i="12" s="1"/>
  <c r="G73" i="19"/>
  <c r="F82" i="19"/>
  <c r="Z5" i="10"/>
  <c r="Z10" i="10" s="1"/>
  <c r="Y32" i="10"/>
  <c r="Y41" i="10" s="1"/>
  <c r="Y46" i="10" s="1"/>
  <c r="Z33" i="11"/>
  <c r="Z42" i="11" s="1"/>
  <c r="Z46" i="11" s="1"/>
  <c r="AA6" i="11"/>
  <c r="AA41" i="11"/>
  <c r="AA42" i="12"/>
  <c r="AA53" i="12" s="1"/>
  <c r="AA63" i="12" s="1"/>
  <c r="BD179" i="38"/>
  <c r="B91" i="46"/>
  <c r="B45" i="46"/>
  <c r="U45" i="12"/>
  <c r="U76" i="12" s="1"/>
  <c r="V13" i="12"/>
  <c r="Z5" i="12"/>
  <c r="Y37" i="12"/>
  <c r="Y48" i="12" s="1"/>
  <c r="Y58" i="12" s="1"/>
  <c r="T33" i="25"/>
  <c r="T132" i="25" s="1"/>
  <c r="U15" i="25"/>
  <c r="V119" i="25"/>
  <c r="V120" i="25" s="1"/>
  <c r="V127" i="25"/>
  <c r="U139" i="25"/>
  <c r="U140" i="25" s="1"/>
  <c r="U142" i="25" s="1"/>
  <c r="U128" i="25"/>
  <c r="Y46" i="11"/>
  <c r="Z67" i="11"/>
  <c r="Y67" i="11"/>
  <c r="Y37" i="11"/>
  <c r="Y19" i="11" s="1"/>
  <c r="Z10" i="11"/>
  <c r="X55" i="11"/>
  <c r="W14" i="4"/>
  <c r="W22" i="4" s="1"/>
  <c r="N5" i="19"/>
  <c r="N27" i="19" s="1"/>
  <c r="N6" i="19"/>
  <c r="N28" i="19" s="1"/>
  <c r="N7" i="19"/>
  <c r="R34" i="11"/>
  <c r="R38" i="11" s="1"/>
  <c r="R20" i="11" s="1"/>
  <c r="S58" i="11"/>
  <c r="S60" i="11" s="1"/>
  <c r="S80" i="11" s="1"/>
  <c r="T63" i="11"/>
  <c r="T161" i="19"/>
  <c r="T160" i="19"/>
  <c r="T162" i="19"/>
  <c r="T163" i="19"/>
  <c r="T164" i="19"/>
  <c r="W297" i="15"/>
  <c r="S7" i="11"/>
  <c r="S11" i="11" s="1"/>
  <c r="P12" i="19"/>
  <c r="R40" i="19"/>
  <c r="V109" i="19"/>
  <c r="W109" i="19" s="1"/>
  <c r="U108" i="19"/>
  <c r="U165" i="19" s="1"/>
  <c r="U159" i="19" s="1"/>
  <c r="U223" i="19" s="1"/>
  <c r="Q2" i="19"/>
  <c r="P260" i="19"/>
  <c r="P107" i="19"/>
  <c r="T159" i="19"/>
  <c r="T223" i="19" s="1"/>
  <c r="S210" i="19"/>
  <c r="V168" i="19"/>
  <c r="W168" i="19" s="1"/>
  <c r="U173" i="19"/>
  <c r="Q20" i="11"/>
  <c r="Q56" i="11"/>
  <c r="R113" i="19"/>
  <c r="R118" i="19"/>
  <c r="R114" i="19"/>
  <c r="R115" i="19"/>
  <c r="R112" i="19"/>
  <c r="R221" i="19" s="1"/>
  <c r="R208" i="19" s="1"/>
  <c r="R116" i="19"/>
  <c r="U337" i="19"/>
  <c r="V180" i="19"/>
  <c r="M22" i="19"/>
  <c r="U299" i="15"/>
  <c r="Q52" i="11"/>
  <c r="J206" i="36"/>
  <c r="P143" i="36"/>
  <c r="J226" i="36" s="1"/>
  <c r="T124" i="19"/>
  <c r="S120" i="19"/>
  <c r="S117" i="19" s="1"/>
  <c r="Q54" i="19"/>
  <c r="P54" i="19"/>
  <c r="T31" i="19"/>
  <c r="S39" i="19"/>
  <c r="N17" i="19"/>
  <c r="O14" i="19"/>
  <c r="O8" i="19" s="1"/>
  <c r="R16" i="11"/>
  <c r="Q5" i="4" s="1"/>
  <c r="V129" i="19"/>
  <c r="W129" i="19" s="1"/>
  <c r="U132" i="19"/>
  <c r="U206" i="27"/>
  <c r="R205" i="27"/>
  <c r="U205" i="27" s="1"/>
  <c r="R61" i="11"/>
  <c r="R80" i="11"/>
  <c r="AI57" i="11"/>
  <c r="BC21" i="38"/>
  <c r="BC32" i="38" s="1"/>
  <c r="BD32" i="38" s="1"/>
  <c r="M34" i="37" s="1"/>
  <c r="L22" i="47" s="1"/>
  <c r="P22" i="47" s="1"/>
  <c r="J5350" i="22"/>
  <c r="P201" i="37"/>
  <c r="P178" i="37" s="1"/>
  <c r="AY57" i="38"/>
  <c r="BD185" i="38"/>
  <c r="M41" i="37"/>
  <c r="J366" i="25" s="1"/>
  <c r="M40" i="37"/>
  <c r="AB139" i="15"/>
  <c r="E4759" i="22"/>
  <c r="E4598" i="22"/>
  <c r="C4824" i="22"/>
  <c r="G3745" i="22"/>
  <c r="C5401" i="22"/>
  <c r="S281" i="37"/>
  <c r="S334" i="37" s="1"/>
  <c r="Q20" i="43"/>
  <c r="Q169" i="43"/>
  <c r="R14" i="43"/>
  <c r="R17" i="43"/>
  <c r="R172" i="43" s="1"/>
  <c r="T54" i="37"/>
  <c r="T13" i="37" s="1"/>
  <c r="R6" i="43"/>
  <c r="T220" i="37" s="1"/>
  <c r="R56" i="43"/>
  <c r="R165" i="43"/>
  <c r="R167" i="43" s="1"/>
  <c r="Q57" i="43"/>
  <c r="Q62" i="43"/>
  <c r="O75" i="43"/>
  <c r="P71" i="43"/>
  <c r="P72" i="43"/>
  <c r="P68" i="43"/>
  <c r="P74" i="43"/>
  <c r="P73" i="43"/>
  <c r="AD930" i="38"/>
  <c r="M102" i="41"/>
  <c r="M103" i="41" s="1"/>
  <c r="S172" i="37"/>
  <c r="S12" i="37" s="1"/>
  <c r="S53" i="37"/>
  <c r="T195" i="37"/>
  <c r="J2118" i="22"/>
  <c r="J2120" i="22" s="1"/>
  <c r="W30" i="15"/>
  <c r="Y93" i="10"/>
  <c r="I377" i="37"/>
  <c r="F3479" i="22"/>
  <c r="F3500" i="22" s="1"/>
  <c r="F3414" i="22"/>
  <c r="F3464" i="22"/>
  <c r="G3274" i="22"/>
  <c r="G3567" i="22"/>
  <c r="D3950" i="22"/>
  <c r="G3599" i="22"/>
  <c r="X19" i="15"/>
  <c r="X81" i="15" s="1"/>
  <c r="I85" i="13"/>
  <c r="C2532" i="34"/>
  <c r="E3710" i="22"/>
  <c r="D3919" i="22"/>
  <c r="H3011" i="22"/>
  <c r="H3024" i="22" s="1"/>
  <c r="I75" i="13"/>
  <c r="F3745" i="22" s="1"/>
  <c r="I2967" i="22"/>
  <c r="I2968" i="22" s="1"/>
  <c r="D4059" i="22"/>
  <c r="D4035" i="22"/>
  <c r="C4594" i="22"/>
  <c r="E4594" i="22" s="1"/>
  <c r="E4592" i="22"/>
  <c r="I78" i="13"/>
  <c r="I77" i="13"/>
  <c r="M62" i="41"/>
  <c r="M64" i="41" s="1"/>
  <c r="Y4" i="15"/>
  <c r="H53" i="13"/>
  <c r="X4" i="15"/>
  <c r="L46" i="41"/>
  <c r="AC351" i="1" s="1"/>
  <c r="Y139" i="10"/>
  <c r="U108" i="10"/>
  <c r="U104" i="10" s="1"/>
  <c r="U143" i="10"/>
  <c r="T29" i="4"/>
  <c r="U101" i="10"/>
  <c r="AB76" i="10"/>
  <c r="AA105" i="10"/>
  <c r="Q128" i="10"/>
  <c r="Q135" i="10"/>
  <c r="P144" i="36"/>
  <c r="J227" i="36" s="1"/>
  <c r="J207" i="36"/>
  <c r="BD515" i="2"/>
  <c r="BT387" i="2"/>
  <c r="J73" i="31"/>
  <c r="J70" i="31" s="1"/>
  <c r="I133" i="31"/>
  <c r="I121" i="31"/>
  <c r="L65" i="31"/>
  <c r="P104" i="36"/>
  <c r="Q115" i="36"/>
  <c r="K223" i="36"/>
  <c r="K203" i="36"/>
  <c r="AA6" i="10"/>
  <c r="Z33" i="10"/>
  <c r="Z42" i="10" s="1"/>
  <c r="Z127" i="10"/>
  <c r="Z115" i="10"/>
  <c r="AA78" i="10"/>
  <c r="Z106" i="10"/>
  <c r="AB147" i="10"/>
  <c r="AC254" i="10"/>
  <c r="AD253" i="10"/>
  <c r="AE121" i="10"/>
  <c r="Z88" i="10"/>
  <c r="Z94" i="10" s="1"/>
  <c r="AE14" i="10"/>
  <c r="AD15" i="10"/>
  <c r="AA34" i="10"/>
  <c r="AA43" i="10" s="1"/>
  <c r="AB16" i="10"/>
  <c r="AE307" i="10"/>
  <c r="AE308" i="10" s="1"/>
  <c r="AD308" i="10"/>
  <c r="Y89" i="10"/>
  <c r="Y94" i="10"/>
  <c r="Z80" i="10"/>
  <c r="Y107" i="10"/>
  <c r="W2" i="10"/>
  <c r="V185" i="10"/>
  <c r="V240" i="10" s="1"/>
  <c r="K2283" i="22"/>
  <c r="I2314" i="22"/>
  <c r="I2284" i="22"/>
  <c r="T177" i="10"/>
  <c r="S176" i="10"/>
  <c r="S178" i="10" s="1"/>
  <c r="S179" i="10" s="1"/>
  <c r="T128" i="10"/>
  <c r="T135" i="10"/>
  <c r="U175" i="14"/>
  <c r="T176" i="14"/>
  <c r="AA75" i="15"/>
  <c r="G1943" i="22"/>
  <c r="H1938" i="22"/>
  <c r="D3002" i="22"/>
  <c r="D3010" i="22"/>
  <c r="D3026" i="22" s="1"/>
  <c r="D3035" i="22" s="1"/>
  <c r="I21" i="31"/>
  <c r="H1931" i="22"/>
  <c r="H127" i="31"/>
  <c r="H102" i="31" s="1"/>
  <c r="H115" i="31" s="1"/>
  <c r="H1953" i="22"/>
  <c r="J3" i="31"/>
  <c r="F2982" i="22"/>
  <c r="X82" i="15"/>
  <c r="X84" i="15" s="1"/>
  <c r="I3067" i="22"/>
  <c r="I3071" i="22" s="1"/>
  <c r="L39" i="41"/>
  <c r="R92" i="37"/>
  <c r="R259" i="37" s="1"/>
  <c r="O22" i="41"/>
  <c r="Q355" i="37"/>
  <c r="Q332" i="37"/>
  <c r="H4396" i="22"/>
  <c r="H4394" i="22" s="1"/>
  <c r="H4401" i="22"/>
  <c r="H4400" i="22"/>
  <c r="H4392" i="22"/>
  <c r="N54" i="41"/>
  <c r="N100" i="41" s="1"/>
  <c r="N106" i="41" s="1"/>
  <c r="N107" i="41" s="1"/>
  <c r="N108" i="41" s="1"/>
  <c r="N60" i="41"/>
  <c r="N99" i="41"/>
  <c r="R279" i="37"/>
  <c r="N30" i="41"/>
  <c r="G4417" i="22"/>
  <c r="G4448" i="22" s="1"/>
  <c r="G4391" i="22"/>
  <c r="G4472" i="22"/>
  <c r="G4474" i="22" s="1"/>
  <c r="G4479" i="22" s="1"/>
  <c r="S11" i="37"/>
  <c r="O59" i="41"/>
  <c r="O29" i="41"/>
  <c r="O51" i="41"/>
  <c r="O98" i="41"/>
  <c r="O20" i="41"/>
  <c r="H4454" i="22"/>
  <c r="T4454" i="22"/>
  <c r="Z4454" i="22" s="1"/>
  <c r="R434" i="37"/>
  <c r="N61" i="41"/>
  <c r="N34" i="41"/>
  <c r="N35" i="41" s="1"/>
  <c r="N42" i="41" s="1"/>
  <c r="Q194" i="37"/>
  <c r="M45" i="41"/>
  <c r="M56" i="41" s="1"/>
  <c r="M38" i="41" s="1"/>
  <c r="Q90" i="13" s="1"/>
  <c r="N23" i="41"/>
  <c r="P194" i="37"/>
  <c r="S484" i="37"/>
  <c r="T436" i="37"/>
  <c r="H3033" i="22"/>
  <c r="H3032" i="22"/>
  <c r="O315" i="37"/>
  <c r="AA103" i="40" s="1"/>
  <c r="AA131" i="40" s="1"/>
  <c r="W24" i="15"/>
  <c r="W112" i="15"/>
  <c r="W117" i="15" s="1"/>
  <c r="H2978" i="22"/>
  <c r="E3748" i="22"/>
  <c r="G3149" i="22"/>
  <c r="D3790" i="22"/>
  <c r="G3018" i="22"/>
  <c r="G3021" i="22" s="1"/>
  <c r="G3024" i="22"/>
  <c r="G3030" i="22"/>
  <c r="H2972" i="22"/>
  <c r="H2973" i="22" s="1"/>
  <c r="D3716" i="22"/>
  <c r="D3733" i="22" s="1"/>
  <c r="F3572" i="22"/>
  <c r="W31" i="15"/>
  <c r="F116" i="31"/>
  <c r="F122" i="31" s="1"/>
  <c r="F128" i="31"/>
  <c r="F136" i="31" s="1"/>
  <c r="G12" i="31"/>
  <c r="F1932" i="22" s="1"/>
  <c r="G91" i="31"/>
  <c r="G93" i="31" s="1"/>
  <c r="G97" i="31" s="1"/>
  <c r="G9" i="31"/>
  <c r="P32" i="31"/>
  <c r="K134" i="31"/>
  <c r="E109" i="31"/>
  <c r="E125" i="31"/>
  <c r="E112" i="31"/>
  <c r="E113" i="31" s="1"/>
  <c r="I71" i="31"/>
  <c r="I16" i="31"/>
  <c r="H11" i="31"/>
  <c r="H17" i="31"/>
  <c r="G1939" i="22" s="1"/>
  <c r="H82" i="31"/>
  <c r="H83" i="31" s="1"/>
  <c r="G1941" i="22" s="1"/>
  <c r="H84" i="31"/>
  <c r="H68" i="31"/>
  <c r="H56" i="31"/>
  <c r="O13" i="13"/>
  <c r="G4796" i="22"/>
  <c r="AC8" i="15"/>
  <c r="E2983" i="22"/>
  <c r="E2997" i="22" s="1"/>
  <c r="D2993" i="22"/>
  <c r="D2991" i="22"/>
  <c r="X115" i="15"/>
  <c r="AJ501" i="38"/>
  <c r="G2126" i="22"/>
  <c r="G2132" i="22" s="1"/>
  <c r="G2137" i="22" s="1"/>
  <c r="T14" i="15"/>
  <c r="T29" i="15"/>
  <c r="V35" i="15"/>
  <c r="H3017" i="22"/>
  <c r="G81" i="46"/>
  <c r="D2999" i="22"/>
  <c r="Q333" i="37" l="1"/>
  <c r="AC99" i="40"/>
  <c r="AC100" i="40" s="1"/>
  <c r="V121" i="11"/>
  <c r="V120" i="11" s="1"/>
  <c r="AF628" i="1"/>
  <c r="AF572" i="1" s="1"/>
  <c r="AF656" i="1" s="1"/>
  <c r="AE544" i="1"/>
  <c r="X361" i="1"/>
  <c r="X56" i="1"/>
  <c r="X48" i="1"/>
  <c r="X79" i="1"/>
  <c r="X88" i="1" s="1"/>
  <c r="X92" i="1" s="1"/>
  <c r="X171" i="1"/>
  <c r="X173" i="1" s="1"/>
  <c r="X186" i="1"/>
  <c r="X163" i="1"/>
  <c r="X178" i="1" s="1"/>
  <c r="X71" i="1"/>
  <c r="X390" i="1"/>
  <c r="O333" i="37"/>
  <c r="R128" i="10"/>
  <c r="R140" i="10" s="1"/>
  <c r="R278" i="10" s="1"/>
  <c r="R93" i="37"/>
  <c r="AB99" i="40"/>
  <c r="AB100" i="40" s="1"/>
  <c r="AD8" i="15"/>
  <c r="E7" i="47"/>
  <c r="C26" i="47"/>
  <c r="C31" i="47" s="1"/>
  <c r="P35" i="15"/>
  <c r="AB137" i="15"/>
  <c r="W126" i="10"/>
  <c r="W138" i="10" s="1"/>
  <c r="P30" i="15"/>
  <c r="R483" i="37"/>
  <c r="V143" i="10"/>
  <c r="V161" i="10" s="1"/>
  <c r="V101" i="10"/>
  <c r="O98" i="12"/>
  <c r="O117" i="12"/>
  <c r="Q2" i="12"/>
  <c r="P89" i="12"/>
  <c r="AE98" i="12"/>
  <c r="N144" i="12"/>
  <c r="N126" i="12"/>
  <c r="N135" i="12" s="1"/>
  <c r="N107" i="12"/>
  <c r="G1579" i="22" s="1"/>
  <c r="U29" i="4"/>
  <c r="U76" i="4" s="1"/>
  <c r="U122" i="4" s="1"/>
  <c r="C4366" i="22"/>
  <c r="Y119" i="15"/>
  <c r="I3020" i="22"/>
  <c r="AO498" i="38"/>
  <c r="S435" i="37"/>
  <c r="L343" i="25"/>
  <c r="W4" i="4"/>
  <c r="AJ510" i="38"/>
  <c r="W143" i="10"/>
  <c r="W144" i="10" s="1"/>
  <c r="V29" i="4"/>
  <c r="V76" i="4" s="1"/>
  <c r="V122" i="4" s="1"/>
  <c r="E1946" i="22"/>
  <c r="P20" i="41"/>
  <c r="I4104" i="22"/>
  <c r="E1944" i="22"/>
  <c r="K344" i="25"/>
  <c r="P29" i="41"/>
  <c r="P54" i="41" s="1"/>
  <c r="P59" i="41"/>
  <c r="P98" i="41"/>
  <c r="T11" i="37"/>
  <c r="O60" i="5"/>
  <c r="G10" i="31"/>
  <c r="S135" i="10"/>
  <c r="S128" i="10"/>
  <c r="P59" i="5"/>
  <c r="P60" i="5" s="1"/>
  <c r="AA62" i="12"/>
  <c r="P70" i="5"/>
  <c r="P54" i="5"/>
  <c r="X49" i="10"/>
  <c r="X3" i="15"/>
  <c r="W110" i="10"/>
  <c r="W111" i="10" s="1"/>
  <c r="W74" i="10"/>
  <c r="V114" i="10"/>
  <c r="X97" i="10"/>
  <c r="X100" i="10" s="1"/>
  <c r="X108" i="10" s="1"/>
  <c r="X104" i="10" s="1"/>
  <c r="V74" i="10"/>
  <c r="V84" i="10" s="1"/>
  <c r="W101" i="10"/>
  <c r="H272" i="14"/>
  <c r="D208" i="14"/>
  <c r="B63" i="46"/>
  <c r="B34" i="46" s="1"/>
  <c r="P120" i="4"/>
  <c r="I287" i="14"/>
  <c r="I258" i="14"/>
  <c r="P43" i="4"/>
  <c r="P56" i="4" s="1"/>
  <c r="P74" i="4" s="1"/>
  <c r="P86" i="4" s="1"/>
  <c r="Y3" i="15"/>
  <c r="Q112" i="4"/>
  <c r="R27" i="4"/>
  <c r="V126" i="10"/>
  <c r="Y49" i="10"/>
  <c r="X62" i="10"/>
  <c r="W12" i="4"/>
  <c r="W20" i="4" s="1"/>
  <c r="X158" i="10"/>
  <c r="X57" i="10"/>
  <c r="X146" i="10"/>
  <c r="Y37" i="10"/>
  <c r="Y19" i="10" s="1"/>
  <c r="Y28" i="10" s="1"/>
  <c r="Y47" i="10"/>
  <c r="Y146" i="10"/>
  <c r="L291" i="38"/>
  <c r="E174" i="37" s="1"/>
  <c r="E26" i="37"/>
  <c r="L61" i="38"/>
  <c r="L101" i="36"/>
  <c r="C238" i="14"/>
  <c r="Q238" i="14" s="1"/>
  <c r="Y59" i="10"/>
  <c r="Y61" i="10" s="1"/>
  <c r="Y97" i="10" s="1"/>
  <c r="Y100" i="10" s="1"/>
  <c r="P96" i="12"/>
  <c r="L26" i="38"/>
  <c r="X122" i="25"/>
  <c r="X116" i="25"/>
  <c r="L162" i="27"/>
  <c r="N3142" i="22"/>
  <c r="M3142" i="22"/>
  <c r="P104" i="12"/>
  <c r="BP237" i="2"/>
  <c r="L199" i="33"/>
  <c r="K293" i="38"/>
  <c r="K63" i="38"/>
  <c r="K319" i="38" s="1"/>
  <c r="X36" i="4"/>
  <c r="F205" i="36"/>
  <c r="P167" i="12"/>
  <c r="L106" i="36" s="1"/>
  <c r="Z93" i="12"/>
  <c r="AA102" i="12"/>
  <c r="AA93" i="12" s="1"/>
  <c r="X12" i="4"/>
  <c r="W77" i="25"/>
  <c r="W87" i="25"/>
  <c r="W81" i="25"/>
  <c r="K366" i="38"/>
  <c r="K393" i="38"/>
  <c r="K200" i="27"/>
  <c r="K184" i="27"/>
  <c r="G63" i="38"/>
  <c r="G293" i="38"/>
  <c r="D176" i="37" s="1"/>
  <c r="D28" i="37"/>
  <c r="D68" i="37"/>
  <c r="D106" i="37" s="1"/>
  <c r="G317" i="38"/>
  <c r="D197" i="37" s="1"/>
  <c r="D262" i="37" s="1"/>
  <c r="V100" i="40"/>
  <c r="V106" i="40"/>
  <c r="S4" i="37"/>
  <c r="R161" i="37"/>
  <c r="R183" i="37" s="1"/>
  <c r="R248" i="37" s="1"/>
  <c r="R45" i="37"/>
  <c r="R85" i="37" s="1"/>
  <c r="R122" i="37" s="1"/>
  <c r="R272" i="37"/>
  <c r="R348" i="37" s="1"/>
  <c r="R382" i="37" s="1"/>
  <c r="R452" i="37" s="1"/>
  <c r="R110" i="43"/>
  <c r="R113" i="43"/>
  <c r="C120" i="43" s="1"/>
  <c r="C121" i="43" s="1"/>
  <c r="R146" i="43"/>
  <c r="R149" i="43"/>
  <c r="T336" i="37"/>
  <c r="T358" i="37"/>
  <c r="S10" i="4"/>
  <c r="R2" i="4"/>
  <c r="Q146" i="43"/>
  <c r="Q149" i="43"/>
  <c r="Q113" i="43"/>
  <c r="Q110" i="43"/>
  <c r="S336" i="37"/>
  <c r="S358" i="37"/>
  <c r="AY58" i="38"/>
  <c r="E6" i="46"/>
  <c r="BH358" i="38"/>
  <c r="BH192" i="38"/>
  <c r="U58" i="40"/>
  <c r="P99" i="40"/>
  <c r="P100" i="40" s="1"/>
  <c r="BC185" i="38"/>
  <c r="P71" i="40"/>
  <c r="AE70" i="40"/>
  <c r="AG70" i="40" s="1"/>
  <c r="AF4" i="40"/>
  <c r="AE4" i="40"/>
  <c r="U164" i="19"/>
  <c r="AA60" i="12"/>
  <c r="Q26" i="40"/>
  <c r="AF26" i="40" s="1"/>
  <c r="T484" i="37"/>
  <c r="Z37" i="11"/>
  <c r="Z55" i="11" s="1"/>
  <c r="U210" i="19"/>
  <c r="Z37" i="12"/>
  <c r="Z48" i="12" s="1"/>
  <c r="Z58" i="12" s="1"/>
  <c r="AA5" i="12"/>
  <c r="AA37" i="12" s="1"/>
  <c r="AA48" i="12" s="1"/>
  <c r="W173" i="19"/>
  <c r="AA33" i="11"/>
  <c r="AA10" i="11"/>
  <c r="G77" i="19"/>
  <c r="G75" i="19"/>
  <c r="G76" i="19" s="1"/>
  <c r="G79" i="19" s="1"/>
  <c r="V337" i="19"/>
  <c r="W180" i="19"/>
  <c r="W337" i="19" s="1"/>
  <c r="AA5" i="10"/>
  <c r="AA10" i="10" s="1"/>
  <c r="Z32" i="10"/>
  <c r="Z41" i="10" s="1"/>
  <c r="Z46" i="10" s="1"/>
  <c r="Z59" i="10" s="1"/>
  <c r="Z61" i="10" s="1"/>
  <c r="W132" i="19"/>
  <c r="AA67" i="11"/>
  <c r="BC179" i="38"/>
  <c r="Q201" i="37"/>
  <c r="R201" i="37" s="1"/>
  <c r="E18" i="46"/>
  <c r="P13" i="13"/>
  <c r="I3017" i="22"/>
  <c r="B61" i="46"/>
  <c r="B32" i="46" s="1"/>
  <c r="W13" i="12"/>
  <c r="V45" i="12"/>
  <c r="V76" i="12" s="1"/>
  <c r="C358" i="25"/>
  <c r="L350" i="25"/>
  <c r="C359" i="25"/>
  <c r="C360" i="25" s="1"/>
  <c r="K341" i="25"/>
  <c r="L340" i="25"/>
  <c r="K347" i="25"/>
  <c r="U33" i="25"/>
  <c r="U132" i="25" s="1"/>
  <c r="V15" i="25"/>
  <c r="V139" i="25"/>
  <c r="V140" i="25" s="1"/>
  <c r="V142" i="25" s="1"/>
  <c r="V128" i="25"/>
  <c r="Y28" i="11"/>
  <c r="X6" i="4"/>
  <c r="Y14" i="4"/>
  <c r="Y55" i="11"/>
  <c r="X14" i="4"/>
  <c r="X22" i="4" s="1"/>
  <c r="O7" i="19"/>
  <c r="O42" i="19" s="1"/>
  <c r="O6" i="19"/>
  <c r="O28" i="19" s="1"/>
  <c r="S34" i="11"/>
  <c r="S38" i="11" s="1"/>
  <c r="S20" i="11" s="1"/>
  <c r="O5" i="19"/>
  <c r="O27" i="19" s="1"/>
  <c r="V132" i="19"/>
  <c r="U124" i="19"/>
  <c r="T120" i="19"/>
  <c r="T117" i="19" s="1"/>
  <c r="U160" i="19"/>
  <c r="U162" i="19"/>
  <c r="U163" i="19"/>
  <c r="U161" i="19"/>
  <c r="S113" i="19"/>
  <c r="S115" i="19"/>
  <c r="S114" i="19"/>
  <c r="S112" i="19"/>
  <c r="S221" i="19" s="1"/>
  <c r="S118" i="19"/>
  <c r="S116" i="19"/>
  <c r="Q12" i="19"/>
  <c r="T7" i="11"/>
  <c r="T11" i="11" s="1"/>
  <c r="P14" i="19"/>
  <c r="O17" i="19"/>
  <c r="S16" i="11"/>
  <c r="R5" i="4" s="1"/>
  <c r="Q260" i="19"/>
  <c r="R2" i="19"/>
  <c r="Q107" i="19"/>
  <c r="AJ57" i="11"/>
  <c r="S40" i="19"/>
  <c r="V173" i="19"/>
  <c r="V108" i="19"/>
  <c r="V165" i="19" s="1"/>
  <c r="R43" i="11"/>
  <c r="N29" i="19"/>
  <c r="V298" i="15"/>
  <c r="N10" i="19"/>
  <c r="N42" i="19"/>
  <c r="S61" i="11"/>
  <c r="U31" i="19"/>
  <c r="T39" i="19"/>
  <c r="T210" i="19"/>
  <c r="T58" i="11"/>
  <c r="U63" i="11"/>
  <c r="C5525" i="22"/>
  <c r="C5378" i="22"/>
  <c r="F5350" i="22"/>
  <c r="AB88" i="15"/>
  <c r="G4746" i="22"/>
  <c r="G4750" i="22" s="1"/>
  <c r="C5548" i="22"/>
  <c r="F4556" i="22"/>
  <c r="E4763" i="22"/>
  <c r="E4764" i="22" s="1"/>
  <c r="D5233" i="22"/>
  <c r="D5218" i="22"/>
  <c r="M439" i="37"/>
  <c r="D5230" i="22"/>
  <c r="H3949" i="22"/>
  <c r="D5334" i="22"/>
  <c r="AB18" i="15"/>
  <c r="E5337" i="22"/>
  <c r="D5215" i="22"/>
  <c r="N5215" i="22" s="1"/>
  <c r="D5157" i="22"/>
  <c r="E4805" i="22"/>
  <c r="Q170" i="43"/>
  <c r="Q174" i="43"/>
  <c r="R57" i="43"/>
  <c r="R62" i="43"/>
  <c r="R63" i="43" s="1"/>
  <c r="Q21" i="43"/>
  <c r="Q24" i="43"/>
  <c r="V111" i="10"/>
  <c r="Q67" i="43"/>
  <c r="Q73" i="43" s="1"/>
  <c r="Q63" i="43"/>
  <c r="R173" i="43"/>
  <c r="T446" i="37" s="1"/>
  <c r="T435" i="37"/>
  <c r="W121" i="11"/>
  <c r="T281" i="37"/>
  <c r="T334" i="37" s="1"/>
  <c r="R169" i="43"/>
  <c r="R20" i="43"/>
  <c r="P75" i="43"/>
  <c r="N102" i="41"/>
  <c r="N103" i="41" s="1"/>
  <c r="H58" i="13"/>
  <c r="H73" i="13" s="1"/>
  <c r="W15" i="15"/>
  <c r="T53" i="37"/>
  <c r="T172" i="37"/>
  <c r="T12" i="37" s="1"/>
  <c r="S280" i="37"/>
  <c r="S333" i="37" s="1"/>
  <c r="S93" i="37"/>
  <c r="X30" i="15"/>
  <c r="E3711" i="22"/>
  <c r="E3730" i="22"/>
  <c r="G3288" i="22"/>
  <c r="G3275" i="22"/>
  <c r="G3289" i="22" s="1"/>
  <c r="F3415" i="22"/>
  <c r="F3434" i="22"/>
  <c r="I107" i="13"/>
  <c r="I108" i="13"/>
  <c r="E3784" i="22"/>
  <c r="E3787" i="22" s="1"/>
  <c r="E3791" i="22" s="1"/>
  <c r="I96" i="13"/>
  <c r="I103" i="13"/>
  <c r="I2976" i="22"/>
  <c r="E3919" i="22"/>
  <c r="D3920" i="22"/>
  <c r="D3951" i="22"/>
  <c r="D3959" i="22"/>
  <c r="D3960" i="22" s="1"/>
  <c r="G3569" i="22"/>
  <c r="G3570" i="22" s="1"/>
  <c r="G3598" i="22"/>
  <c r="D3915" i="22"/>
  <c r="E3915" i="22" s="1"/>
  <c r="I53" i="13"/>
  <c r="G4009" i="22"/>
  <c r="G4011" i="22" s="1"/>
  <c r="G4012" i="22" s="1"/>
  <c r="Z4" i="15"/>
  <c r="Z139" i="10"/>
  <c r="P115" i="36"/>
  <c r="P140" i="36"/>
  <c r="J223" i="36" s="1"/>
  <c r="J203" i="36"/>
  <c r="Q134" i="10"/>
  <c r="Q140" i="10"/>
  <c r="Q278" i="10" s="1"/>
  <c r="Q279" i="10" s="1"/>
  <c r="Q282" i="10" s="1"/>
  <c r="Z86" i="10"/>
  <c r="Z93" i="10" s="1"/>
  <c r="AB6" i="10"/>
  <c r="AA33" i="10"/>
  <c r="AA42" i="10" s="1"/>
  <c r="AA86" i="10" s="1"/>
  <c r="AA93" i="10" s="1"/>
  <c r="AA127" i="10"/>
  <c r="AA115" i="10"/>
  <c r="T76" i="4"/>
  <c r="T114" i="4"/>
  <c r="T45" i="4"/>
  <c r="U144" i="10"/>
  <c r="U117" i="10"/>
  <c r="U161" i="10"/>
  <c r="AC76" i="10"/>
  <c r="AB105" i="10"/>
  <c r="U74" i="10"/>
  <c r="U114" i="10"/>
  <c r="U110" i="10"/>
  <c r="U111" i="10" s="1"/>
  <c r="N217" i="27" s="1"/>
  <c r="U126" i="10"/>
  <c r="AB78" i="10"/>
  <c r="AA106" i="10"/>
  <c r="M46" i="41"/>
  <c r="AD351" i="1" s="1"/>
  <c r="AE15" i="10"/>
  <c r="AD254" i="10"/>
  <c r="AE253" i="10"/>
  <c r="AE254" i="10" s="1"/>
  <c r="Z89" i="10"/>
  <c r="Z107" i="10"/>
  <c r="AA80" i="10"/>
  <c r="AC147" i="10"/>
  <c r="AB34" i="10"/>
  <c r="AB43" i="10" s="1"/>
  <c r="AC16" i="10"/>
  <c r="AA88" i="10"/>
  <c r="U177" i="10"/>
  <c r="T176" i="10"/>
  <c r="T178" i="10" s="1"/>
  <c r="T179" i="10" s="1"/>
  <c r="W185" i="10"/>
  <c r="W240" i="10" s="1"/>
  <c r="X2" i="10"/>
  <c r="T134" i="10"/>
  <c r="T266" i="10" s="1"/>
  <c r="T265" i="10" s="1"/>
  <c r="T271" i="10" s="1"/>
  <c r="T140" i="10"/>
  <c r="T278" i="10" s="1"/>
  <c r="T279" i="10" s="1"/>
  <c r="T282" i="10" s="1"/>
  <c r="T301" i="10" s="1"/>
  <c r="T302" i="10" s="1"/>
  <c r="V175" i="14"/>
  <c r="U176" i="14"/>
  <c r="J21" i="31"/>
  <c r="I1953" i="22"/>
  <c r="I127" i="31"/>
  <c r="I102" i="31" s="1"/>
  <c r="I115" i="31" s="1"/>
  <c r="I1931" i="22"/>
  <c r="K3" i="31"/>
  <c r="G2982" i="22"/>
  <c r="AB75" i="15"/>
  <c r="H1943" i="22"/>
  <c r="I1938" i="22"/>
  <c r="E3002" i="22"/>
  <c r="E3010" i="22"/>
  <c r="E3026" i="22" s="1"/>
  <c r="E3035" i="22" s="1"/>
  <c r="N62" i="41"/>
  <c r="N64" i="41" s="1"/>
  <c r="M39" i="41"/>
  <c r="S279" i="37"/>
  <c r="O54" i="41"/>
  <c r="O100" i="41" s="1"/>
  <c r="O106" i="41" s="1"/>
  <c r="O107" i="41" s="1"/>
  <c r="O108" i="41" s="1"/>
  <c r="O30" i="41"/>
  <c r="O60" i="41"/>
  <c r="O99" i="41"/>
  <c r="T434" i="37"/>
  <c r="P34" i="41"/>
  <c r="P61" i="41"/>
  <c r="R52" i="37"/>
  <c r="N24" i="41"/>
  <c r="R218" i="37" s="1"/>
  <c r="G4476" i="22"/>
  <c r="G4477" i="22" s="1"/>
  <c r="G4480" i="22"/>
  <c r="G4481" i="22" s="1"/>
  <c r="H4393" i="22"/>
  <c r="H4418" i="22"/>
  <c r="H4449" i="22" s="1"/>
  <c r="P22" i="41"/>
  <c r="S92" i="37"/>
  <c r="S259" i="37" s="1"/>
  <c r="N45" i="41"/>
  <c r="N56" i="41" s="1"/>
  <c r="N38" i="41" s="1"/>
  <c r="R90" i="13" s="1"/>
  <c r="O34" i="41"/>
  <c r="O35" i="41" s="1"/>
  <c r="O42" i="41" s="1"/>
  <c r="O61" i="41"/>
  <c r="S434" i="37"/>
  <c r="H4395" i="22"/>
  <c r="H4390" i="22"/>
  <c r="O23" i="41"/>
  <c r="R355" i="37"/>
  <c r="R332" i="37"/>
  <c r="H4397" i="22"/>
  <c r="H4419" i="22"/>
  <c r="H4450" i="22" s="1"/>
  <c r="H4464" i="22"/>
  <c r="H4466" i="22" s="1"/>
  <c r="Y106" i="4"/>
  <c r="O317" i="37"/>
  <c r="O340" i="37"/>
  <c r="G3033" i="22"/>
  <c r="G3032" i="22"/>
  <c r="P315" i="37"/>
  <c r="AB103" i="40" s="1"/>
  <c r="AB131" i="40" s="1"/>
  <c r="Z106" i="4"/>
  <c r="H12" i="31"/>
  <c r="G1932" i="22" s="1"/>
  <c r="H91" i="31"/>
  <c r="H93" i="31" s="1"/>
  <c r="H97" i="31" s="1"/>
  <c r="G116" i="31"/>
  <c r="G122" i="31" s="1"/>
  <c r="G128" i="31"/>
  <c r="G136" i="31" s="1"/>
  <c r="H9" i="31"/>
  <c r="H10" i="31" s="1"/>
  <c r="J71" i="31"/>
  <c r="J16" i="31"/>
  <c r="I82" i="31"/>
  <c r="I83" i="31" s="1"/>
  <c r="H1941" i="22" s="1"/>
  <c r="I11" i="31"/>
  <c r="I84" i="31"/>
  <c r="I68" i="31"/>
  <c r="I17" i="31"/>
  <c r="H1939" i="22" s="1"/>
  <c r="I56" i="31"/>
  <c r="F1933" i="22"/>
  <c r="F1945" i="22" s="1"/>
  <c r="F125" i="31"/>
  <c r="F109" i="31"/>
  <c r="F112" i="31"/>
  <c r="F113" i="31" s="1"/>
  <c r="D3000" i="22"/>
  <c r="D51" i="13"/>
  <c r="D50" i="13"/>
  <c r="H81" i="46"/>
  <c r="D211" i="14"/>
  <c r="D3006" i="22"/>
  <c r="D3007" i="22" s="1"/>
  <c r="W35" i="15"/>
  <c r="U29" i="15"/>
  <c r="U14" i="15"/>
  <c r="F2983" i="22"/>
  <c r="F2997" i="22" s="1"/>
  <c r="E2991" i="22"/>
  <c r="E2993" i="22"/>
  <c r="E2999" i="22"/>
  <c r="R134" i="10" l="1"/>
  <c r="AG628" i="1"/>
  <c r="AG572" i="1" s="1"/>
  <c r="AG544" i="1" s="1"/>
  <c r="AF544" i="1"/>
  <c r="AE8" i="15"/>
  <c r="F7" i="47"/>
  <c r="V154" i="10"/>
  <c r="V129" i="10" s="1"/>
  <c r="W154" i="10"/>
  <c r="W129" i="10" s="1"/>
  <c r="P15" i="15"/>
  <c r="Q21" i="15"/>
  <c r="X20" i="4"/>
  <c r="X143" i="10"/>
  <c r="X144" i="10" s="1"/>
  <c r="U114" i="4"/>
  <c r="V117" i="10"/>
  <c r="V123" i="10" s="1"/>
  <c r="V144" i="10"/>
  <c r="U45" i="4"/>
  <c r="P98" i="12"/>
  <c r="P117" i="12"/>
  <c r="R2" i="12"/>
  <c r="Q89" i="12"/>
  <c r="O126" i="12"/>
  <c r="O135" i="12" s="1"/>
  <c r="O107" i="12"/>
  <c r="H1579" i="22" s="1"/>
  <c r="O144" i="12"/>
  <c r="AA119" i="15"/>
  <c r="J7" i="13"/>
  <c r="J10" i="13" s="1"/>
  <c r="V45" i="4"/>
  <c r="V58" i="4" s="1"/>
  <c r="W117" i="10"/>
  <c r="W123" i="10" s="1"/>
  <c r="K7" i="13"/>
  <c r="W161" i="10"/>
  <c r="V114" i="4"/>
  <c r="P99" i="41"/>
  <c r="P60" i="41"/>
  <c r="P62" i="41" s="1"/>
  <c r="P64" i="41" s="1"/>
  <c r="T279" i="37"/>
  <c r="T332" i="37" s="1"/>
  <c r="P30" i="41"/>
  <c r="P35" i="41"/>
  <c r="P42" i="41" s="1"/>
  <c r="P45" i="41" s="1"/>
  <c r="P56" i="41" s="1"/>
  <c r="S134" i="10"/>
  <c r="S266" i="10" s="1"/>
  <c r="S265" i="10" s="1"/>
  <c r="S140" i="10"/>
  <c r="S278" i="10" s="1"/>
  <c r="S279" i="10" s="1"/>
  <c r="S282" i="10" s="1"/>
  <c r="V138" i="10"/>
  <c r="K17" i="13"/>
  <c r="D4800" i="22" s="1"/>
  <c r="V75" i="10"/>
  <c r="P72" i="5"/>
  <c r="Y101" i="10"/>
  <c r="W29" i="4"/>
  <c r="W76" i="4" s="1"/>
  <c r="X101" i="10"/>
  <c r="W75" i="10"/>
  <c r="Y108" i="10"/>
  <c r="Y104" i="10" s="1"/>
  <c r="Y110" i="10" s="1"/>
  <c r="Y111" i="10" s="1"/>
  <c r="AT498" i="38"/>
  <c r="Y57" i="10"/>
  <c r="X29" i="4"/>
  <c r="X76" i="4" s="1"/>
  <c r="W84" i="10"/>
  <c r="W85" i="10" s="1"/>
  <c r="X4" i="4"/>
  <c r="R112" i="4"/>
  <c r="S27" i="4"/>
  <c r="Z37" i="10"/>
  <c r="Z19" i="10" s="1"/>
  <c r="Y4" i="4" s="1"/>
  <c r="Q120" i="4"/>
  <c r="J287" i="14"/>
  <c r="J258" i="14"/>
  <c r="Q43" i="4"/>
  <c r="Q56" i="4" s="1"/>
  <c r="Q74" i="4" s="1"/>
  <c r="Q86" i="4" s="1"/>
  <c r="Z47" i="10"/>
  <c r="Z66" i="10" s="1"/>
  <c r="I272" i="14"/>
  <c r="E208" i="14"/>
  <c r="P113" i="12"/>
  <c r="J1306" i="22"/>
  <c r="Q104" i="12"/>
  <c r="R104" i="12" s="1"/>
  <c r="S104" i="12" s="1"/>
  <c r="T104" i="12" s="1"/>
  <c r="U104" i="12" s="1"/>
  <c r="V104" i="12" s="1"/>
  <c r="W104" i="12" s="1"/>
  <c r="X104" i="12" s="1"/>
  <c r="Y104" i="12" s="1"/>
  <c r="Z104" i="12" s="1"/>
  <c r="AA104" i="12" s="1"/>
  <c r="Y143" i="10"/>
  <c r="Y144" i="10" s="1"/>
  <c r="M3144" i="22"/>
  <c r="J3142" i="22"/>
  <c r="Y36" i="4"/>
  <c r="K3142" i="22"/>
  <c r="N3144" i="22"/>
  <c r="Y62" i="10"/>
  <c r="W122" i="25"/>
  <c r="W116" i="25"/>
  <c r="J1337" i="22"/>
  <c r="L111" i="27"/>
  <c r="L127" i="27" s="1"/>
  <c r="L142" i="27" s="1"/>
  <c r="L317" i="38"/>
  <c r="E68" i="37"/>
  <c r="E106" i="37" s="1"/>
  <c r="Y66" i="10"/>
  <c r="Z19" i="11"/>
  <c r="Y6" i="4" s="1"/>
  <c r="K395" i="38"/>
  <c r="K368" i="38"/>
  <c r="P368" i="38"/>
  <c r="X119" i="25"/>
  <c r="X120" i="25" s="1"/>
  <c r="X127" i="25"/>
  <c r="L205" i="33"/>
  <c r="L163" i="27"/>
  <c r="BP238" i="2"/>
  <c r="P105" i="12"/>
  <c r="Y158" i="10"/>
  <c r="C118" i="43"/>
  <c r="C122" i="43" s="1"/>
  <c r="C123" i="43" s="1"/>
  <c r="G319" i="38"/>
  <c r="D199" i="37" s="1"/>
  <c r="D264" i="37" s="1"/>
  <c r="D70" i="37"/>
  <c r="D108" i="37" s="1"/>
  <c r="AA58" i="12"/>
  <c r="E28" i="37"/>
  <c r="L293" i="38"/>
  <c r="E176" i="37" s="1"/>
  <c r="L63" i="38"/>
  <c r="E20" i="46"/>
  <c r="Q13" i="13"/>
  <c r="S272" i="37"/>
  <c r="S348" i="37" s="1"/>
  <c r="S382" i="37" s="1"/>
  <c r="S452" i="37" s="1"/>
  <c r="S45" i="37"/>
  <c r="S85" i="37" s="1"/>
  <c r="S122" i="37" s="1"/>
  <c r="T4" i="37"/>
  <c r="S161" i="37"/>
  <c r="S183" i="37" s="1"/>
  <c r="S248" i="37" s="1"/>
  <c r="C154" i="43"/>
  <c r="C156" i="43"/>
  <c r="C157" i="43" s="1"/>
  <c r="S2" i="4"/>
  <c r="T10" i="4"/>
  <c r="U64" i="40"/>
  <c r="U65" i="40" s="1"/>
  <c r="AO501" i="38"/>
  <c r="AO510" i="38" s="1"/>
  <c r="Y115" i="15"/>
  <c r="AE99" i="40"/>
  <c r="AG99" i="40" s="1"/>
  <c r="AG4" i="40"/>
  <c r="BC428" i="38"/>
  <c r="Q178" i="37"/>
  <c r="V164" i="19"/>
  <c r="D5780" i="22"/>
  <c r="Q36" i="40"/>
  <c r="G81" i="19"/>
  <c r="G85" i="19"/>
  <c r="G86" i="19" s="1"/>
  <c r="C361" i="25"/>
  <c r="U17" i="14" s="1"/>
  <c r="W108" i="19"/>
  <c r="W165" i="19" s="1"/>
  <c r="AA32" i="10"/>
  <c r="AA41" i="10" s="1"/>
  <c r="AA46" i="10" s="1"/>
  <c r="Z12" i="4" s="1"/>
  <c r="AB5" i="10"/>
  <c r="AA42" i="11"/>
  <c r="AA37" i="11"/>
  <c r="AA19" i="11" s="1"/>
  <c r="C4559" i="22"/>
  <c r="W45" i="12"/>
  <c r="W76" i="12" s="1"/>
  <c r="X13" i="12"/>
  <c r="W15" i="25"/>
  <c r="V33" i="25"/>
  <c r="V132" i="25" s="1"/>
  <c r="Y22" i="4"/>
  <c r="J2626" i="22"/>
  <c r="N50" i="19"/>
  <c r="N44" i="19"/>
  <c r="T16" i="11"/>
  <c r="S5" i="4" s="1"/>
  <c r="Q14" i="19"/>
  <c r="P17" i="19"/>
  <c r="T59" i="11"/>
  <c r="T60" i="11" s="1"/>
  <c r="U7" i="11"/>
  <c r="U11" i="11" s="1"/>
  <c r="R12" i="19"/>
  <c r="T113" i="19"/>
  <c r="T112" i="19"/>
  <c r="T221" i="19" s="1"/>
  <c r="T208" i="19" s="1"/>
  <c r="T114" i="19"/>
  <c r="T118" i="19"/>
  <c r="T115" i="19"/>
  <c r="T116" i="19"/>
  <c r="U58" i="11"/>
  <c r="V63" i="11"/>
  <c r="V124" i="19"/>
  <c r="U120" i="19"/>
  <c r="U117" i="19" s="1"/>
  <c r="U39" i="19"/>
  <c r="V31" i="19"/>
  <c r="V161" i="19"/>
  <c r="V160" i="19"/>
  <c r="V162" i="19"/>
  <c r="V163" i="19"/>
  <c r="T40" i="19"/>
  <c r="S208" i="19"/>
  <c r="P8" i="19"/>
  <c r="R47" i="11"/>
  <c r="R56" i="11" s="1"/>
  <c r="Q13" i="4"/>
  <c r="R260" i="19"/>
  <c r="S2" i="19"/>
  <c r="R107" i="19"/>
  <c r="O44" i="19"/>
  <c r="O50" i="19"/>
  <c r="V159" i="19"/>
  <c r="V223" i="19" s="1"/>
  <c r="V210" i="19" s="1"/>
  <c r="O10" i="19"/>
  <c r="W298" i="15"/>
  <c r="O29" i="19"/>
  <c r="S43" i="11"/>
  <c r="D5401" i="22"/>
  <c r="D5489" i="22"/>
  <c r="D5378" i="22"/>
  <c r="N5230" i="22"/>
  <c r="F4805" i="22"/>
  <c r="E5157" i="22"/>
  <c r="J374" i="25"/>
  <c r="J375" i="25" s="1"/>
  <c r="I4427" i="22"/>
  <c r="N5218" i="22"/>
  <c r="D5219" i="22"/>
  <c r="D5234" i="22"/>
  <c r="N5233" i="22"/>
  <c r="P100" i="41"/>
  <c r="P106" i="41" s="1"/>
  <c r="P107" i="41" s="1"/>
  <c r="P108" i="41" s="1"/>
  <c r="R67" i="43"/>
  <c r="R71" i="43" s="1"/>
  <c r="R174" i="43"/>
  <c r="R170" i="43"/>
  <c r="X121" i="11"/>
  <c r="W120" i="11"/>
  <c r="S483" i="37"/>
  <c r="Q175" i="43"/>
  <c r="Q74" i="43"/>
  <c r="Q68" i="43"/>
  <c r="Q72" i="43"/>
  <c r="Q71" i="43"/>
  <c r="R24" i="43"/>
  <c r="C29" i="43" s="1"/>
  <c r="R21" i="43"/>
  <c r="O102" i="41"/>
  <c r="T280" i="37"/>
  <c r="T333" i="37" s="1"/>
  <c r="T93" i="37"/>
  <c r="Z146" i="10"/>
  <c r="X15" i="15"/>
  <c r="I58" i="13"/>
  <c r="I73" i="13" s="1"/>
  <c r="G3919" i="22"/>
  <c r="G3920" i="22" s="1"/>
  <c r="E3920" i="22"/>
  <c r="D4078" i="22"/>
  <c r="F3748" i="22"/>
  <c r="I2978" i="22"/>
  <c r="H3149" i="22"/>
  <c r="C4158" i="22"/>
  <c r="C4159" i="22" s="1"/>
  <c r="E3790" i="22"/>
  <c r="AA4" i="15"/>
  <c r="Y12" i="4"/>
  <c r="Y20" i="4" s="1"/>
  <c r="Z49" i="10"/>
  <c r="U138" i="10"/>
  <c r="Z87" i="10"/>
  <c r="Z97" i="10"/>
  <c r="Z100" i="10" s="1"/>
  <c r="Z108" i="10" s="1"/>
  <c r="Z104" i="10" s="1"/>
  <c r="Z158" i="10"/>
  <c r="Z62" i="10"/>
  <c r="Q266" i="10"/>
  <c r="Q265" i="10" s="1"/>
  <c r="Q250" i="10"/>
  <c r="Q249" i="10" s="1"/>
  <c r="Q252" i="10" s="1"/>
  <c r="Q256" i="10" s="1"/>
  <c r="Q259" i="10" s="1"/>
  <c r="T100" i="4"/>
  <c r="T58" i="4"/>
  <c r="AB127" i="10"/>
  <c r="AB115" i="10"/>
  <c r="AA139" i="10"/>
  <c r="AA87" i="10"/>
  <c r="AD76" i="10"/>
  <c r="AC105" i="10"/>
  <c r="U123" i="10"/>
  <c r="U116" i="10"/>
  <c r="U154" i="10"/>
  <c r="N69" i="5"/>
  <c r="T122" i="4"/>
  <c r="P151" i="36"/>
  <c r="BT302" i="2"/>
  <c r="BD521" i="2" s="1"/>
  <c r="BD530" i="2" s="1"/>
  <c r="U84" i="10"/>
  <c r="V85" i="10" s="1"/>
  <c r="U75" i="10"/>
  <c r="R266" i="10"/>
  <c r="R265" i="10" s="1"/>
  <c r="R250" i="10"/>
  <c r="R249" i="10" s="1"/>
  <c r="R252" i="10" s="1"/>
  <c r="R256" i="10" s="1"/>
  <c r="R259" i="10" s="1"/>
  <c r="AC6" i="10"/>
  <c r="AB33" i="10"/>
  <c r="AB42" i="10" s="1"/>
  <c r="AB86" i="10" s="1"/>
  <c r="AC78" i="10"/>
  <c r="AB106" i="10"/>
  <c r="AC34" i="10"/>
  <c r="AC43" i="10" s="1"/>
  <c r="AD16" i="10"/>
  <c r="AA89" i="10"/>
  <c r="AA94" i="10"/>
  <c r="AD147" i="10"/>
  <c r="AA107" i="10"/>
  <c r="AB80" i="10"/>
  <c r="AB88" i="10"/>
  <c r="T289" i="10"/>
  <c r="T290" i="10" s="1"/>
  <c r="I113" i="13"/>
  <c r="I120" i="13" s="1"/>
  <c r="V92" i="10"/>
  <c r="X110" i="10"/>
  <c r="X111" i="10" s="1"/>
  <c r="X126" i="10"/>
  <c r="X114" i="10"/>
  <c r="X74" i="10"/>
  <c r="V177" i="10"/>
  <c r="U176" i="10"/>
  <c r="U178" i="10" s="1"/>
  <c r="U179" i="10" s="1"/>
  <c r="X185" i="10"/>
  <c r="X240" i="10" s="1"/>
  <c r="Y2" i="10"/>
  <c r="W175" i="14"/>
  <c r="W176" i="14" s="1"/>
  <c r="V176" i="14"/>
  <c r="AC75" i="15"/>
  <c r="F3010" i="22"/>
  <c r="F3026" i="22" s="1"/>
  <c r="F3035" i="22" s="1"/>
  <c r="F3002" i="22"/>
  <c r="L3" i="31"/>
  <c r="H2982" i="22"/>
  <c r="J1938" i="22"/>
  <c r="I1943" i="22"/>
  <c r="J127" i="31"/>
  <c r="J102" i="31" s="1"/>
  <c r="J115" i="31" s="1"/>
  <c r="J1931" i="22"/>
  <c r="K21" i="31"/>
  <c r="J1953" i="22"/>
  <c r="N39" i="41"/>
  <c r="H4417" i="22"/>
  <c r="H4448" i="22" s="1"/>
  <c r="H4391" i="22"/>
  <c r="H4472" i="22"/>
  <c r="H4474" i="22" s="1"/>
  <c r="H4479" i="22" s="1"/>
  <c r="S355" i="37"/>
  <c r="S332" i="37"/>
  <c r="S52" i="37"/>
  <c r="O24" i="41"/>
  <c r="S218" i="37" s="1"/>
  <c r="O45" i="41"/>
  <c r="O56" i="41" s="1"/>
  <c r="O38" i="41" s="1"/>
  <c r="S90" i="13" s="1"/>
  <c r="R194" i="37"/>
  <c r="T92" i="37"/>
  <c r="T259" i="37" s="1"/>
  <c r="P23" i="41"/>
  <c r="N46" i="41"/>
  <c r="AE351" i="1" s="1"/>
  <c r="O62" i="41"/>
  <c r="O64" i="41" s="1"/>
  <c r="Q315" i="37"/>
  <c r="AC103" i="40" s="1"/>
  <c r="AC131" i="40" s="1"/>
  <c r="P340" i="37"/>
  <c r="P317" i="37"/>
  <c r="S201" i="37"/>
  <c r="R178" i="37"/>
  <c r="N212" i="14"/>
  <c r="J17" i="31"/>
  <c r="I1939" i="22" s="1"/>
  <c r="J82" i="31"/>
  <c r="J83" i="31" s="1"/>
  <c r="I1941" i="22" s="1"/>
  <c r="J68" i="31"/>
  <c r="J56" i="31"/>
  <c r="G125" i="31"/>
  <c r="G109" i="31"/>
  <c r="G112" i="31"/>
  <c r="G113" i="31" s="1"/>
  <c r="F1944" i="22"/>
  <c r="F1946" i="22"/>
  <c r="I91" i="31"/>
  <c r="I93" i="31" s="1"/>
  <c r="I97" i="31" s="1"/>
  <c r="H128" i="31"/>
  <c r="H136" i="31" s="1"/>
  <c r="I9" i="31"/>
  <c r="I10" i="31" s="1"/>
  <c r="I12" i="31"/>
  <c r="H1932" i="22" s="1"/>
  <c r="H116" i="31"/>
  <c r="H122" i="31" s="1"/>
  <c r="G1933" i="22"/>
  <c r="G1944" i="22" s="1"/>
  <c r="F2999" i="22"/>
  <c r="I81" i="46"/>
  <c r="E3000" i="22"/>
  <c r="E3006" i="22"/>
  <c r="E3007" i="22" s="1"/>
  <c r="E211" i="14"/>
  <c r="F2991" i="22"/>
  <c r="F2993" i="22"/>
  <c r="V14" i="15"/>
  <c r="V29" i="15"/>
  <c r="X35" i="15"/>
  <c r="G2983" i="22"/>
  <c r="G2997" i="22" s="1"/>
  <c r="AG656" i="1" l="1"/>
  <c r="AF8" i="15"/>
  <c r="G7" i="47"/>
  <c r="AD75" i="15"/>
  <c r="V155" i="10"/>
  <c r="W45" i="4"/>
  <c r="W58" i="4" s="1"/>
  <c r="W157" i="10"/>
  <c r="W141" i="10" s="1"/>
  <c r="X117" i="10"/>
  <c r="X116" i="10" s="1"/>
  <c r="X161" i="10"/>
  <c r="W155" i="10"/>
  <c r="V181" i="10"/>
  <c r="V157" i="10"/>
  <c r="V141" i="10" s="1"/>
  <c r="Q20" i="15"/>
  <c r="W114" i="4"/>
  <c r="Z11" i="15"/>
  <c r="C4790" i="22"/>
  <c r="U100" i="4"/>
  <c r="U58" i="4"/>
  <c r="V116" i="10"/>
  <c r="V122" i="10" s="1"/>
  <c r="C63" i="46"/>
  <c r="C34" i="46" s="1"/>
  <c r="L17" i="13"/>
  <c r="E4800" i="22" s="1"/>
  <c r="Z3" i="15"/>
  <c r="Y126" i="10"/>
  <c r="Y74" i="10"/>
  <c r="Y75" i="10" s="1"/>
  <c r="Z57" i="10"/>
  <c r="Q98" i="12"/>
  <c r="Q117" i="12"/>
  <c r="R89" i="12"/>
  <c r="S2" i="12"/>
  <c r="P107" i="12"/>
  <c r="P126" i="12"/>
  <c r="P135" i="12" s="1"/>
  <c r="P144" i="12"/>
  <c r="L7" i="13"/>
  <c r="C5431" i="22" s="1"/>
  <c r="C5432" i="22" s="1"/>
  <c r="C5446" i="22" s="1"/>
  <c r="D5448" i="22" s="1"/>
  <c r="E5448" i="22" s="1"/>
  <c r="F5448" i="22" s="1"/>
  <c r="V100" i="4"/>
  <c r="Y114" i="10"/>
  <c r="W116" i="10"/>
  <c r="W122" i="10" s="1"/>
  <c r="T355" i="37"/>
  <c r="X45" i="4"/>
  <c r="X58" i="4" s="1"/>
  <c r="X114" i="4"/>
  <c r="Y117" i="10"/>
  <c r="Y123" i="10" s="1"/>
  <c r="Y161" i="10"/>
  <c r="W92" i="10"/>
  <c r="S271" i="10"/>
  <c r="S289" i="10"/>
  <c r="S290" i="10" s="1"/>
  <c r="Z28" i="10"/>
  <c r="Z119" i="15"/>
  <c r="D4561" i="22"/>
  <c r="D4366" i="22"/>
  <c r="D4368" i="22" s="1"/>
  <c r="E4561" i="22"/>
  <c r="W181" i="10"/>
  <c r="AA47" i="10"/>
  <c r="Z28" i="11"/>
  <c r="F208" i="14"/>
  <c r="J272" i="14"/>
  <c r="AA37" i="10"/>
  <c r="AA19" i="10" s="1"/>
  <c r="AA28" i="10" s="1"/>
  <c r="S112" i="4"/>
  <c r="T27" i="4"/>
  <c r="R43" i="4"/>
  <c r="R56" i="4" s="1"/>
  <c r="R74" i="4" s="1"/>
  <c r="R86" i="4" s="1"/>
  <c r="K258" i="14"/>
  <c r="R120" i="4"/>
  <c r="K287" i="14"/>
  <c r="Z36" i="4"/>
  <c r="L319" i="38"/>
  <c r="E70" i="37"/>
  <c r="E108" i="37" s="1"/>
  <c r="E197" i="37"/>
  <c r="L393" i="38"/>
  <c r="W127" i="25"/>
  <c r="W119" i="25"/>
  <c r="W120" i="25" s="1"/>
  <c r="E4366" i="22"/>
  <c r="E4368" i="22" s="1"/>
  <c r="Q105" i="12"/>
  <c r="J1308" i="22"/>
  <c r="P114" i="12"/>
  <c r="P133" i="12"/>
  <c r="X139" i="25"/>
  <c r="X140" i="25" s="1"/>
  <c r="X142" i="25" s="1"/>
  <c r="X128" i="25"/>
  <c r="J1338" i="22"/>
  <c r="L112" i="27"/>
  <c r="L128" i="27" s="1"/>
  <c r="L143" i="27" s="1"/>
  <c r="J1307" i="22"/>
  <c r="F199" i="33"/>
  <c r="R13" i="13"/>
  <c r="AG8" i="15" s="1"/>
  <c r="T45" i="37"/>
  <c r="T85" i="37" s="1"/>
  <c r="T122" i="37" s="1"/>
  <c r="T161" i="37"/>
  <c r="T183" i="37" s="1"/>
  <c r="T248" i="37" s="1"/>
  <c r="T272" i="37"/>
  <c r="T348" i="37" s="1"/>
  <c r="T382" i="37" s="1"/>
  <c r="T452" i="37" s="1"/>
  <c r="U10" i="4"/>
  <c r="T2" i="4"/>
  <c r="C158" i="43"/>
  <c r="C68" i="41"/>
  <c r="AE26" i="40"/>
  <c r="AG26" i="40" s="1"/>
  <c r="G363" i="25"/>
  <c r="AE36" i="40"/>
  <c r="AF36" i="40"/>
  <c r="R73" i="43"/>
  <c r="V39" i="19"/>
  <c r="V40" i="19" s="1"/>
  <c r="W31" i="19"/>
  <c r="W39" i="19" s="1"/>
  <c r="AC5" i="10"/>
  <c r="AC10" i="10" s="1"/>
  <c r="AB32" i="10"/>
  <c r="AB41" i="10" s="1"/>
  <c r="AB46" i="10" s="1"/>
  <c r="AB59" i="10" s="1"/>
  <c r="AB61" i="10" s="1"/>
  <c r="AB10" i="10"/>
  <c r="V120" i="19"/>
  <c r="V117" i="19" s="1"/>
  <c r="V112" i="19" s="1"/>
  <c r="V221" i="19" s="1"/>
  <c r="W124" i="19"/>
  <c r="W120" i="19" s="1"/>
  <c r="W117" i="19" s="1"/>
  <c r="W33" i="25"/>
  <c r="W132" i="25" s="1"/>
  <c r="X15" i="25"/>
  <c r="X33" i="25" s="1"/>
  <c r="X132" i="25" s="1"/>
  <c r="W162" i="19"/>
  <c r="W160" i="19"/>
  <c r="W161" i="19"/>
  <c r="W163" i="19"/>
  <c r="W159" i="19"/>
  <c r="W223" i="19" s="1"/>
  <c r="W210" i="19" s="1"/>
  <c r="W164" i="19"/>
  <c r="Z20" i="4"/>
  <c r="Z6" i="4"/>
  <c r="AA28" i="11"/>
  <c r="C31" i="43"/>
  <c r="C32" i="43" s="1"/>
  <c r="C33" i="43" s="1"/>
  <c r="AA46" i="11"/>
  <c r="G82" i="19"/>
  <c r="H73" i="19"/>
  <c r="X45" i="12"/>
  <c r="X76" i="12" s="1"/>
  <c r="Y13" i="12"/>
  <c r="I240" i="25"/>
  <c r="S17" i="14"/>
  <c r="I241" i="25" s="1"/>
  <c r="Q8" i="19"/>
  <c r="Q17" i="19"/>
  <c r="U16" i="11"/>
  <c r="T5" i="4" s="1"/>
  <c r="R14" i="19"/>
  <c r="R13" i="4"/>
  <c r="S47" i="11"/>
  <c r="S56" i="11" s="1"/>
  <c r="T2" i="19"/>
  <c r="S260" i="19"/>
  <c r="S107" i="19"/>
  <c r="O51" i="19"/>
  <c r="O261" i="19"/>
  <c r="W63" i="11"/>
  <c r="V58" i="11"/>
  <c r="N62" i="19"/>
  <c r="Q77" i="4" s="1"/>
  <c r="N46" i="19"/>
  <c r="N47" i="19" s="1"/>
  <c r="K219" i="27" s="1"/>
  <c r="N59" i="19"/>
  <c r="Q30" i="4"/>
  <c r="Q115" i="4" s="1"/>
  <c r="N56" i="19"/>
  <c r="N67" i="19"/>
  <c r="V301" i="15"/>
  <c r="N45" i="19"/>
  <c r="Q21" i="4"/>
  <c r="K5" i="31"/>
  <c r="S12" i="19"/>
  <c r="V7" i="11"/>
  <c r="V11" i="11" s="1"/>
  <c r="N51" i="19"/>
  <c r="N261" i="19"/>
  <c r="N262" i="19" s="1"/>
  <c r="P7" i="19"/>
  <c r="T34" i="11"/>
  <c r="T38" i="11" s="1"/>
  <c r="T20" i="11" s="1"/>
  <c r="P5" i="19"/>
  <c r="P27" i="19" s="1"/>
  <c r="P6" i="19"/>
  <c r="P28" i="19" s="1"/>
  <c r="T80" i="11"/>
  <c r="T61" i="11"/>
  <c r="M206" i="27"/>
  <c r="U59" i="11"/>
  <c r="O59" i="19"/>
  <c r="O45" i="19"/>
  <c r="O56" i="19"/>
  <c r="W301" i="15"/>
  <c r="O46" i="19"/>
  <c r="O47" i="19" s="1"/>
  <c r="L219" i="27" s="1"/>
  <c r="O62" i="19"/>
  <c r="R77" i="4" s="1"/>
  <c r="O67" i="19"/>
  <c r="R30" i="4"/>
  <c r="U40" i="19"/>
  <c r="U112" i="19"/>
  <c r="U221" i="19" s="1"/>
  <c r="U114" i="19"/>
  <c r="U115" i="19"/>
  <c r="U118" i="19"/>
  <c r="U113" i="19"/>
  <c r="U116" i="19"/>
  <c r="K2626" i="22"/>
  <c r="J2628" i="22"/>
  <c r="C71" i="41"/>
  <c r="U4459" i="22"/>
  <c r="AA4456" i="22" s="1"/>
  <c r="I4459" i="22"/>
  <c r="P102" i="41"/>
  <c r="P103" i="41" s="1"/>
  <c r="R74" i="43"/>
  <c r="Q75" i="43"/>
  <c r="R72" i="43"/>
  <c r="R68" i="43"/>
  <c r="X120" i="11"/>
  <c r="Y121" i="11"/>
  <c r="T483" i="37"/>
  <c r="R175" i="43"/>
  <c r="O103" i="41"/>
  <c r="Z101" i="10"/>
  <c r="Y29" i="4"/>
  <c r="Y76" i="4" s="1"/>
  <c r="Z143" i="10"/>
  <c r="Z161" i="10" s="1"/>
  <c r="AB139" i="10"/>
  <c r="R316" i="10"/>
  <c r="T323" i="10" s="1"/>
  <c r="U323" i="10" s="1"/>
  <c r="R271" i="10"/>
  <c r="R261" i="10"/>
  <c r="T347" i="1" s="1"/>
  <c r="Q271" i="10"/>
  <c r="AB4" i="15"/>
  <c r="C4793" i="22"/>
  <c r="J53" i="13"/>
  <c r="K10" i="13"/>
  <c r="C4894" i="22"/>
  <c r="D4894" i="22" s="1"/>
  <c r="E4894" i="22" s="1"/>
  <c r="F4894" i="22" s="1"/>
  <c r="G4894" i="22" s="1"/>
  <c r="C4910" i="22"/>
  <c r="D4790" i="22"/>
  <c r="AC88" i="10"/>
  <c r="AC94" i="10" s="1"/>
  <c r="U247" i="10"/>
  <c r="U122" i="10"/>
  <c r="AE76" i="10"/>
  <c r="AD105" i="10"/>
  <c r="Q261" i="10"/>
  <c r="S347" i="1" s="1"/>
  <c r="U85" i="10"/>
  <c r="U92" i="10"/>
  <c r="AB87" i="10"/>
  <c r="AB93" i="10"/>
  <c r="AD6" i="10"/>
  <c r="AC33" i="10"/>
  <c r="AC42" i="10" s="1"/>
  <c r="AC86" i="10" s="1"/>
  <c r="N70" i="5"/>
  <c r="N72" i="5"/>
  <c r="U181" i="10"/>
  <c r="U155" i="10"/>
  <c r="U129" i="10"/>
  <c r="U157" i="10"/>
  <c r="U141" i="10" s="1"/>
  <c r="AC127" i="10"/>
  <c r="AC115" i="10"/>
  <c r="AD78" i="10"/>
  <c r="AC106" i="10"/>
  <c r="AB89" i="10"/>
  <c r="AB94" i="10"/>
  <c r="AB107" i="10"/>
  <c r="AC80" i="10"/>
  <c r="AD34" i="10"/>
  <c r="AD43" i="10" s="1"/>
  <c r="AE16" i="10"/>
  <c r="AE34" i="10" s="1"/>
  <c r="AE43" i="10" s="1"/>
  <c r="AE147" i="10"/>
  <c r="AA49" i="10"/>
  <c r="AA59" i="10"/>
  <c r="AA61" i="10" s="1"/>
  <c r="AA146" i="10"/>
  <c r="X138" i="10"/>
  <c r="Z74" i="10"/>
  <c r="Z110" i="10"/>
  <c r="Z111" i="10" s="1"/>
  <c r="Z126" i="10"/>
  <c r="Z114" i="10"/>
  <c r="X75" i="10"/>
  <c r="X84" i="10"/>
  <c r="Z2" i="10"/>
  <c r="Y185" i="10"/>
  <c r="Y240" i="10" s="1"/>
  <c r="W135" i="10"/>
  <c r="W128" i="10"/>
  <c r="W122" i="4"/>
  <c r="X154" i="10"/>
  <c r="X122" i="4"/>
  <c r="Y154" i="10"/>
  <c r="W177" i="10"/>
  <c r="V176" i="10"/>
  <c r="V178" i="10" s="1"/>
  <c r="V179" i="10" s="1"/>
  <c r="V128" i="10"/>
  <c r="V135" i="10"/>
  <c r="J1943" i="22"/>
  <c r="K1938" i="22"/>
  <c r="K1943" i="22" s="1"/>
  <c r="G3010" i="22"/>
  <c r="G3026" i="22" s="1"/>
  <c r="G3035" i="22" s="1"/>
  <c r="G3002" i="22"/>
  <c r="AE75" i="15"/>
  <c r="L21" i="31"/>
  <c r="K1931" i="22"/>
  <c r="K127" i="31"/>
  <c r="K102" i="31" s="1"/>
  <c r="K115" i="31" s="1"/>
  <c r="K1953" i="22"/>
  <c r="I2982" i="22"/>
  <c r="O46" i="41"/>
  <c r="AF351" i="1" s="1"/>
  <c r="P46" i="41"/>
  <c r="AG351" i="1" s="1"/>
  <c r="O39" i="41"/>
  <c r="P38" i="41"/>
  <c r="P24" i="41"/>
  <c r="T218" i="37" s="1"/>
  <c r="T52" i="37"/>
  <c r="S194" i="37"/>
  <c r="H4480" i="22"/>
  <c r="H4481" i="22" s="1"/>
  <c r="H4476" i="22"/>
  <c r="H4477" i="22" s="1"/>
  <c r="Q340" i="37"/>
  <c r="Q317" i="37"/>
  <c r="R315" i="37"/>
  <c r="S178" i="37"/>
  <c r="T201" i="37"/>
  <c r="T178" i="37" s="1"/>
  <c r="G1945" i="22"/>
  <c r="H109" i="31"/>
  <c r="H125" i="31"/>
  <c r="H112" i="31"/>
  <c r="H113" i="31" s="1"/>
  <c r="G1946" i="22"/>
  <c r="G2991" i="22"/>
  <c r="G2993" i="22"/>
  <c r="Y35" i="15"/>
  <c r="J81" i="46"/>
  <c r="F3006" i="22"/>
  <c r="F3007" i="22" s="1"/>
  <c r="F211" i="14"/>
  <c r="F3000" i="22"/>
  <c r="G2999" i="22"/>
  <c r="P39" i="41" l="1"/>
  <c r="T90" i="13"/>
  <c r="S13" i="13"/>
  <c r="AH8" i="15" s="1"/>
  <c r="W100" i="4"/>
  <c r="Y84" i="10"/>
  <c r="Y92" i="10" s="1"/>
  <c r="X181" i="10"/>
  <c r="X123" i="10"/>
  <c r="AA11" i="15"/>
  <c r="AA3" i="15"/>
  <c r="D2118" i="22"/>
  <c r="D2120" i="22" s="1"/>
  <c r="Q30" i="15"/>
  <c r="M7" i="13"/>
  <c r="D5449" i="22"/>
  <c r="E5449" i="22" s="1"/>
  <c r="F5449" i="22" s="1"/>
  <c r="Y138" i="10"/>
  <c r="M17" i="13"/>
  <c r="X100" i="4"/>
  <c r="D63" i="46"/>
  <c r="D34" i="46" s="1"/>
  <c r="T2" i="12"/>
  <c r="S89" i="12"/>
  <c r="R98" i="12"/>
  <c r="R117" i="12"/>
  <c r="Q107" i="12"/>
  <c r="Q126" i="12"/>
  <c r="Q135" i="12" s="1"/>
  <c r="Q144" i="12"/>
  <c r="Y116" i="10"/>
  <c r="Y122" i="10" s="1"/>
  <c r="D4382" i="22"/>
  <c r="D4383" i="22" s="1"/>
  <c r="AB47" i="10"/>
  <c r="AB66" i="10" s="1"/>
  <c r="AB37" i="10"/>
  <c r="AB19" i="10" s="1"/>
  <c r="AB28" i="10" s="1"/>
  <c r="AA57" i="10"/>
  <c r="Z4" i="4"/>
  <c r="U27" i="4"/>
  <c r="T112" i="4"/>
  <c r="S120" i="4"/>
  <c r="L287" i="14"/>
  <c r="S43" i="4"/>
  <c r="S56" i="4" s="1"/>
  <c r="S74" i="4" s="1"/>
  <c r="S86" i="4" s="1"/>
  <c r="L258" i="14"/>
  <c r="G208" i="14"/>
  <c r="K272" i="14"/>
  <c r="E4382" i="22"/>
  <c r="E4383" i="22" s="1"/>
  <c r="W128" i="25"/>
  <c r="W139" i="25"/>
  <c r="W140" i="25" s="1"/>
  <c r="W142" i="25" s="1"/>
  <c r="Y45" i="4"/>
  <c r="Y58" i="4" s="1"/>
  <c r="P142" i="12"/>
  <c r="P124" i="12"/>
  <c r="E224" i="37"/>
  <c r="E262" i="37"/>
  <c r="F224" i="37"/>
  <c r="F205" i="33"/>
  <c r="J1309" i="22"/>
  <c r="E199" i="37"/>
  <c r="L395" i="38"/>
  <c r="Q96" i="12"/>
  <c r="Q10" i="36" s="1"/>
  <c r="P10" i="36" s="1"/>
  <c r="R105" i="12"/>
  <c r="Y114" i="4"/>
  <c r="C159" i="43"/>
  <c r="I18" i="14"/>
  <c r="V10" i="4"/>
  <c r="U2" i="4"/>
  <c r="V113" i="19"/>
  <c r="Z117" i="10"/>
  <c r="Z123" i="10" s="1"/>
  <c r="V114" i="19"/>
  <c r="V115" i="19"/>
  <c r="AG36" i="40"/>
  <c r="Z144" i="10"/>
  <c r="C34" i="43"/>
  <c r="AE9" i="46"/>
  <c r="O262" i="19"/>
  <c r="H77" i="19"/>
  <c r="H75" i="19"/>
  <c r="H76" i="19" s="1"/>
  <c r="H79" i="19" s="1"/>
  <c r="H85" i="19" s="1"/>
  <c r="H86" i="19" s="1"/>
  <c r="R75" i="43"/>
  <c r="AD5" i="10"/>
  <c r="AC32" i="10"/>
  <c r="AC41" i="10" s="1"/>
  <c r="AC46" i="10" s="1"/>
  <c r="AC59" i="10" s="1"/>
  <c r="AC61" i="10" s="1"/>
  <c r="V118" i="19"/>
  <c r="Z14" i="4"/>
  <c r="Z22" i="4" s="1"/>
  <c r="AA55" i="11"/>
  <c r="W40" i="19"/>
  <c r="V208" i="19"/>
  <c r="N48" i="19"/>
  <c r="V116" i="19"/>
  <c r="W118" i="19"/>
  <c r="W115" i="19"/>
  <c r="W114" i="19"/>
  <c r="W112" i="19"/>
  <c r="W221" i="19" s="1"/>
  <c r="W208" i="19" s="1"/>
  <c r="W113" i="19"/>
  <c r="W116" i="19"/>
  <c r="Y45" i="12"/>
  <c r="Y76" i="12" s="1"/>
  <c r="Z13" i="12"/>
  <c r="R115" i="4"/>
  <c r="K22" i="31"/>
  <c r="K26" i="31" s="1"/>
  <c r="K62" i="31"/>
  <c r="K59" i="31" s="1"/>
  <c r="K45" i="31"/>
  <c r="K8" i="31"/>
  <c r="K52" i="31"/>
  <c r="K50" i="31" s="1"/>
  <c r="O57" i="19"/>
  <c r="N65" i="19"/>
  <c r="N97" i="19" s="1"/>
  <c r="N99" i="19" s="1"/>
  <c r="Q46" i="4"/>
  <c r="V302" i="15"/>
  <c r="V303" i="15" s="1"/>
  <c r="V304" i="15" s="1"/>
  <c r="N240" i="19"/>
  <c r="N70" i="19"/>
  <c r="J2633" i="22"/>
  <c r="K2628" i="22"/>
  <c r="J2635" i="22"/>
  <c r="J2629" i="22"/>
  <c r="J2634" i="22"/>
  <c r="J2632" i="22"/>
  <c r="O48" i="19"/>
  <c r="U208" i="19"/>
  <c r="R21" i="4"/>
  <c r="L5" i="31"/>
  <c r="W7" i="11"/>
  <c r="W11" i="11" s="1"/>
  <c r="T12" i="19"/>
  <c r="U60" i="11"/>
  <c r="N206" i="27"/>
  <c r="O206" i="27" s="1"/>
  <c r="V59" i="11"/>
  <c r="O70" i="19"/>
  <c r="O65" i="19"/>
  <c r="O97" i="19" s="1"/>
  <c r="O99" i="19" s="1"/>
  <c r="R46" i="4"/>
  <c r="W302" i="15"/>
  <c r="W303" i="15" s="1"/>
  <c r="W304" i="15" s="1"/>
  <c r="O240" i="19"/>
  <c r="T260" i="19"/>
  <c r="U2" i="19"/>
  <c r="T107" i="19"/>
  <c r="T43" i="11"/>
  <c r="P29" i="19"/>
  <c r="P10" i="19"/>
  <c r="P42" i="19"/>
  <c r="Q123" i="4"/>
  <c r="Q89" i="4"/>
  <c r="R8" i="19"/>
  <c r="V16" i="11"/>
  <c r="U5" i="4" s="1"/>
  <c r="R17" i="19"/>
  <c r="S14" i="19"/>
  <c r="R123" i="4"/>
  <c r="R89" i="4"/>
  <c r="X63" i="11"/>
  <c r="W58" i="11"/>
  <c r="Q5" i="19"/>
  <c r="Q27" i="19" s="1"/>
  <c r="Q7" i="19"/>
  <c r="Q42" i="19" s="1"/>
  <c r="Q6" i="19"/>
  <c r="Q28" i="19" s="1"/>
  <c r="U34" i="11"/>
  <c r="U38" i="11" s="1"/>
  <c r="U20" i="11" s="1"/>
  <c r="Y120" i="11"/>
  <c r="Z121" i="11"/>
  <c r="R298" i="10"/>
  <c r="R299" i="10"/>
  <c r="AD88" i="10"/>
  <c r="AD89" i="10" s="1"/>
  <c r="AC89" i="10"/>
  <c r="R317" i="10"/>
  <c r="AC4" i="15"/>
  <c r="D4793" i="22"/>
  <c r="K53" i="13"/>
  <c r="D4910" i="22"/>
  <c r="L10" i="13"/>
  <c r="E4790" i="22"/>
  <c r="AC139" i="10"/>
  <c r="AD127" i="10"/>
  <c r="AD115" i="10"/>
  <c r="AC87" i="10"/>
  <c r="AC93" i="10"/>
  <c r="Q298" i="10"/>
  <c r="AE105" i="10"/>
  <c r="AE6" i="10"/>
  <c r="AE33" i="10" s="1"/>
  <c r="AE42" i="10" s="1"/>
  <c r="AD33" i="10"/>
  <c r="AD42" i="10" s="1"/>
  <c r="AD86" i="10" s="1"/>
  <c r="U135" i="10"/>
  <c r="U128" i="10"/>
  <c r="Q299" i="10"/>
  <c r="Z138" i="10"/>
  <c r="AE78" i="10"/>
  <c r="AE106" i="10" s="1"/>
  <c r="AD106" i="10"/>
  <c r="AB62" i="10"/>
  <c r="AB97" i="10"/>
  <c r="AB100" i="10" s="1"/>
  <c r="AB158" i="10"/>
  <c r="AA62" i="10"/>
  <c r="AA97" i="10"/>
  <c r="AA100" i="10" s="1"/>
  <c r="Z29" i="4" s="1"/>
  <c r="AA158" i="10"/>
  <c r="AA66" i="10"/>
  <c r="AB49" i="10"/>
  <c r="AB146" i="10"/>
  <c r="Z185" i="10"/>
  <c r="Z240" i="10" s="1"/>
  <c r="AA2" i="10"/>
  <c r="AC107" i="10"/>
  <c r="AD80" i="10"/>
  <c r="Y181" i="10"/>
  <c r="W134" i="10"/>
  <c r="W140" i="10"/>
  <c r="Z154" i="10"/>
  <c r="Z181" i="10" s="1"/>
  <c r="Y122" i="4"/>
  <c r="X85" i="10"/>
  <c r="X92" i="10"/>
  <c r="V134" i="10"/>
  <c r="V266" i="10" s="1"/>
  <c r="V265" i="10" s="1"/>
  <c r="V140" i="10"/>
  <c r="W176" i="10"/>
  <c r="W178" i="10" s="1"/>
  <c r="W179" i="10" s="1"/>
  <c r="X177" i="10"/>
  <c r="X122" i="10"/>
  <c r="X155" i="10"/>
  <c r="X129" i="10"/>
  <c r="X157" i="10"/>
  <c r="X141" i="10" s="1"/>
  <c r="Y155" i="10"/>
  <c r="Y129" i="10"/>
  <c r="Y157" i="10"/>
  <c r="Y141" i="10" s="1"/>
  <c r="Z84" i="10"/>
  <c r="Z75" i="10"/>
  <c r="H3002" i="22"/>
  <c r="H3010" i="22"/>
  <c r="H3026" i="22" s="1"/>
  <c r="H3035" i="22" s="1"/>
  <c r="C4553" i="22"/>
  <c r="J2982" i="22"/>
  <c r="AF75" i="15"/>
  <c r="T194" i="37"/>
  <c r="R340" i="37"/>
  <c r="R317" i="37"/>
  <c r="S315" i="37"/>
  <c r="T315" i="37"/>
  <c r="H2983" i="22"/>
  <c r="H2997" i="22" s="1"/>
  <c r="G3000" i="22"/>
  <c r="W29" i="15"/>
  <c r="W14" i="15"/>
  <c r="K81" i="46"/>
  <c r="G12" i="40"/>
  <c r="F4800" i="22" l="1"/>
  <c r="C10" i="47"/>
  <c r="F4561" i="22"/>
  <c r="C33" i="47"/>
  <c r="M10" i="13"/>
  <c r="C5" i="47" s="1"/>
  <c r="C4" i="47"/>
  <c r="G4561" i="22"/>
  <c r="D33" i="47"/>
  <c r="Y85" i="10"/>
  <c r="T13" i="13"/>
  <c r="AI8" i="15" s="1"/>
  <c r="AB119" i="15"/>
  <c r="AB11" i="15"/>
  <c r="AB3" i="15"/>
  <c r="N17" i="13"/>
  <c r="Q15" i="15"/>
  <c r="E63" i="46"/>
  <c r="E34" i="46" s="1"/>
  <c r="F4366" i="22"/>
  <c r="G4366" i="22" s="1"/>
  <c r="R144" i="12"/>
  <c r="R107" i="12"/>
  <c r="R126" i="12"/>
  <c r="R135" i="12" s="1"/>
  <c r="S117" i="12"/>
  <c r="S98" i="12"/>
  <c r="T89" i="12"/>
  <c r="U2" i="12"/>
  <c r="AB57" i="10"/>
  <c r="Y100" i="4"/>
  <c r="AC47" i="10"/>
  <c r="AC66" i="10" s="1"/>
  <c r="AC37" i="10"/>
  <c r="AC19" i="10" s="1"/>
  <c r="AC28" i="10" s="1"/>
  <c r="Z116" i="10"/>
  <c r="Z122" i="10" s="1"/>
  <c r="AC119" i="15"/>
  <c r="H208" i="14"/>
  <c r="L272" i="14"/>
  <c r="M287" i="14"/>
  <c r="M258" i="14"/>
  <c r="T120" i="4"/>
  <c r="T43" i="4"/>
  <c r="T56" i="4" s="1"/>
  <c r="T74" i="4" s="1"/>
  <c r="T86" i="4" s="1"/>
  <c r="V27" i="4"/>
  <c r="U112" i="4"/>
  <c r="R96" i="12"/>
  <c r="S105" i="12"/>
  <c r="P106" i="36"/>
  <c r="P66" i="36"/>
  <c r="Z66" i="36" s="1"/>
  <c r="K187" i="36" s="1"/>
  <c r="K169" i="36"/>
  <c r="AD94" i="10"/>
  <c r="F226" i="37"/>
  <c r="E264" i="37"/>
  <c r="E226" i="37"/>
  <c r="I144" i="25"/>
  <c r="I143" i="25"/>
  <c r="V2" i="4"/>
  <c r="W10" i="4"/>
  <c r="E18" i="14"/>
  <c r="AA10" i="46"/>
  <c r="AE5" i="10"/>
  <c r="AE32" i="10" s="1"/>
  <c r="AE41" i="10" s="1"/>
  <c r="AD32" i="10"/>
  <c r="AD41" i="10" s="1"/>
  <c r="AD47" i="10" s="1"/>
  <c r="Z114" i="4"/>
  <c r="Z76" i="4"/>
  <c r="Z45" i="12"/>
  <c r="Z76" i="12" s="1"/>
  <c r="AA13" i="12"/>
  <c r="AA45" i="12" s="1"/>
  <c r="AA76" i="12" s="1"/>
  <c r="Z120" i="11"/>
  <c r="AA121" i="11"/>
  <c r="AA120" i="11" s="1"/>
  <c r="AD10" i="10"/>
  <c r="F63" i="46"/>
  <c r="F34" i="46" s="1"/>
  <c r="Q29" i="19"/>
  <c r="U43" i="11"/>
  <c r="Q10" i="19"/>
  <c r="T47" i="11"/>
  <c r="T56" i="11" s="1"/>
  <c r="S13" i="4"/>
  <c r="S21" i="4" s="1"/>
  <c r="R7" i="19"/>
  <c r="R6" i="19"/>
  <c r="R28" i="19" s="1"/>
  <c r="V34" i="11"/>
  <c r="V38" i="11" s="1"/>
  <c r="V20" i="11" s="1"/>
  <c r="R5" i="19"/>
  <c r="R27" i="19" s="1"/>
  <c r="U260" i="19"/>
  <c r="U107" i="19"/>
  <c r="V2" i="19"/>
  <c r="W2" i="19" s="1"/>
  <c r="N237" i="19"/>
  <c r="N244" i="19" s="1"/>
  <c r="N246" i="19" s="1"/>
  <c r="Q47" i="4"/>
  <c r="K47" i="31"/>
  <c r="J1958" i="22"/>
  <c r="T14" i="19"/>
  <c r="T8" i="19" s="1"/>
  <c r="S17" i="19"/>
  <c r="W16" i="11"/>
  <c r="V5" i="4" s="1"/>
  <c r="S8" i="19"/>
  <c r="L22" i="31"/>
  <c r="L26" i="31" s="1"/>
  <c r="L52" i="31"/>
  <c r="L50" i="31" s="1"/>
  <c r="L62" i="31"/>
  <c r="L59" i="31" s="1"/>
  <c r="L45" i="31"/>
  <c r="K1958" i="22" s="1"/>
  <c r="L8" i="31"/>
  <c r="Y63" i="11"/>
  <c r="X58" i="11"/>
  <c r="U80" i="11"/>
  <c r="U61" i="11"/>
  <c r="K60" i="31"/>
  <c r="K54" i="31" s="1"/>
  <c r="K67" i="31"/>
  <c r="Q50" i="19"/>
  <c r="Q44" i="19"/>
  <c r="R59" i="4"/>
  <c r="N2919" i="22"/>
  <c r="R101" i="4"/>
  <c r="I179" i="15" s="1"/>
  <c r="E2797" i="22"/>
  <c r="E179" i="15"/>
  <c r="W59" i="11"/>
  <c r="V60" i="11"/>
  <c r="P50" i="19"/>
  <c r="P44" i="19"/>
  <c r="R47" i="4"/>
  <c r="O237" i="19"/>
  <c r="O244" i="19" s="1"/>
  <c r="O246" i="19" s="1"/>
  <c r="U12" i="19"/>
  <c r="X7" i="11"/>
  <c r="X11" i="11" s="1"/>
  <c r="D179" i="15"/>
  <c r="M2919" i="22"/>
  <c r="Q59" i="4"/>
  <c r="Q101" i="4"/>
  <c r="H179" i="15" s="1"/>
  <c r="K27" i="31"/>
  <c r="K36" i="31"/>
  <c r="J130" i="31"/>
  <c r="J118" i="31"/>
  <c r="Q35" i="15"/>
  <c r="C5123" i="22"/>
  <c r="R300" i="10"/>
  <c r="R302" i="10" s="1"/>
  <c r="B2193" i="22"/>
  <c r="E4793" i="22"/>
  <c r="L53" i="13"/>
  <c r="E4910" i="22"/>
  <c r="F4790" i="22"/>
  <c r="AD4" i="15"/>
  <c r="AE88" i="10"/>
  <c r="AE94" i="10" s="1"/>
  <c r="AD139" i="10"/>
  <c r="AE127" i="10"/>
  <c r="AE115" i="10"/>
  <c r="Q300" i="10"/>
  <c r="Q302" i="10" s="1"/>
  <c r="U134" i="10"/>
  <c r="U266" i="10" s="1"/>
  <c r="U265" i="10" s="1"/>
  <c r="U140" i="10"/>
  <c r="AC146" i="10"/>
  <c r="AD87" i="10"/>
  <c r="AD93" i="10"/>
  <c r="AE86" i="10"/>
  <c r="AA108" i="10"/>
  <c r="AA101" i="10"/>
  <c r="AA143" i="10"/>
  <c r="Z45" i="4" s="1"/>
  <c r="AB108" i="10"/>
  <c r="AB101" i="10"/>
  <c r="AB143" i="10"/>
  <c r="AB155" i="10"/>
  <c r="AA185" i="10"/>
  <c r="AA240" i="10" s="1"/>
  <c r="AB2" i="10"/>
  <c r="AE80" i="10"/>
  <c r="AE107" i="10" s="1"/>
  <c r="AD107" i="10"/>
  <c r="AC49" i="10"/>
  <c r="AC97" i="10"/>
  <c r="AC100" i="10" s="1"/>
  <c r="AC158" i="10"/>
  <c r="AC62" i="10"/>
  <c r="Y128" i="10"/>
  <c r="Y135" i="10"/>
  <c r="Z85" i="10"/>
  <c r="Z92" i="10"/>
  <c r="X135" i="10"/>
  <c r="X128" i="10"/>
  <c r="X176" i="10"/>
  <c r="X178" i="10" s="1"/>
  <c r="X179" i="10" s="1"/>
  <c r="Y177" i="10"/>
  <c r="Z155" i="10"/>
  <c r="Z129" i="10"/>
  <c r="Z157" i="10"/>
  <c r="Z141" i="10" s="1"/>
  <c r="L120" i="13"/>
  <c r="AG75" i="15"/>
  <c r="I3002" i="22"/>
  <c r="I3010" i="22"/>
  <c r="I3026" i="22" s="1"/>
  <c r="I3035" i="22" s="1"/>
  <c r="D4553" i="22"/>
  <c r="S340" i="37"/>
  <c r="S317" i="37"/>
  <c r="T317" i="37"/>
  <c r="T340" i="37"/>
  <c r="L12" i="40"/>
  <c r="X29" i="15"/>
  <c r="X14" i="15"/>
  <c r="G211" i="14"/>
  <c r="G3006" i="22"/>
  <c r="G3007" i="22" s="1"/>
  <c r="I2983" i="22"/>
  <c r="I2997" i="22" s="1"/>
  <c r="L81" i="46"/>
  <c r="H2999" i="22"/>
  <c r="H2991" i="22"/>
  <c r="H2993" i="22"/>
  <c r="AD119" i="15" l="1"/>
  <c r="E33" i="47"/>
  <c r="G4800" i="22"/>
  <c r="D10" i="47"/>
  <c r="AC3" i="15"/>
  <c r="I35" i="14"/>
  <c r="N7" i="13"/>
  <c r="F4368" i="22"/>
  <c r="G4368" i="22" s="1"/>
  <c r="O17" i="13"/>
  <c r="AC11" i="15"/>
  <c r="F4382" i="22"/>
  <c r="AC57" i="10"/>
  <c r="V2" i="12"/>
  <c r="U89" i="12"/>
  <c r="T98" i="12"/>
  <c r="T117" i="12"/>
  <c r="S126" i="12"/>
  <c r="S135" i="12" s="1"/>
  <c r="S144" i="12"/>
  <c r="S107" i="12"/>
  <c r="AE10" i="10"/>
  <c r="AE37" i="10"/>
  <c r="I145" i="25"/>
  <c r="X145" i="25" s="1"/>
  <c r="V112" i="4"/>
  <c r="W27" i="4"/>
  <c r="I208" i="14"/>
  <c r="M272" i="14"/>
  <c r="N287" i="14"/>
  <c r="N258" i="14"/>
  <c r="U43" i="4"/>
  <c r="U56" i="4" s="1"/>
  <c r="U74" i="4" s="1"/>
  <c r="U86" i="4" s="1"/>
  <c r="U120" i="4"/>
  <c r="J205" i="36"/>
  <c r="Q106" i="36"/>
  <c r="S96" i="12"/>
  <c r="T105" i="12"/>
  <c r="AD46" i="10"/>
  <c r="AD59" i="10" s="1"/>
  <c r="AD61" i="10" s="1"/>
  <c r="AD66" i="10" s="1"/>
  <c r="AD37" i="10"/>
  <c r="AD19" i="10" s="1"/>
  <c r="AD28" i="10" s="1"/>
  <c r="X10" i="4"/>
  <c r="W2" i="4"/>
  <c r="Z122" i="4"/>
  <c r="AA154" i="10"/>
  <c r="AA157" i="10" s="1"/>
  <c r="Z58" i="4"/>
  <c r="Z100" i="4"/>
  <c r="W107" i="19"/>
  <c r="W260" i="19"/>
  <c r="O248" i="19"/>
  <c r="O249" i="19" s="1"/>
  <c r="O323" i="19" s="1"/>
  <c r="O250" i="19"/>
  <c r="N250" i="19"/>
  <c r="N248" i="19"/>
  <c r="N249" i="19" s="1"/>
  <c r="N323" i="19" s="1"/>
  <c r="R10" i="19"/>
  <c r="R29" i="19"/>
  <c r="V43" i="11"/>
  <c r="E2798" i="22"/>
  <c r="N2920" i="22"/>
  <c r="E180" i="15"/>
  <c r="V107" i="19"/>
  <c r="V260" i="19"/>
  <c r="O338" i="19"/>
  <c r="P62" i="19"/>
  <c r="S77" i="4" s="1"/>
  <c r="P59" i="19"/>
  <c r="P45" i="19"/>
  <c r="P56" i="19"/>
  <c r="P57" i="19" s="1"/>
  <c r="S30" i="4"/>
  <c r="S115" i="4" s="1"/>
  <c r="P67" i="19"/>
  <c r="P46" i="19"/>
  <c r="P47" i="19" s="1"/>
  <c r="M219" i="27" s="1"/>
  <c r="Z63" i="11"/>
  <c r="Y58" i="11"/>
  <c r="P51" i="19"/>
  <c r="P261" i="19"/>
  <c r="P262" i="19" s="1"/>
  <c r="Q45" i="19"/>
  <c r="T30" i="4"/>
  <c r="Q56" i="19"/>
  <c r="Q62" i="19"/>
  <c r="Q67" i="19"/>
  <c r="Q46" i="19"/>
  <c r="Q47" i="19" s="1"/>
  <c r="N219" i="27" s="1"/>
  <c r="Q59" i="19"/>
  <c r="X16" i="11"/>
  <c r="W5" i="4" s="1"/>
  <c r="T17" i="19"/>
  <c r="U14" i="19"/>
  <c r="V80" i="11"/>
  <c r="V61" i="11"/>
  <c r="Q261" i="19"/>
  <c r="Q51" i="19"/>
  <c r="L47" i="31"/>
  <c r="K1960" i="22" s="1"/>
  <c r="N338" i="19"/>
  <c r="R42" i="19"/>
  <c r="X59" i="11"/>
  <c r="W60" i="11"/>
  <c r="L60" i="31"/>
  <c r="L54" i="31" s="1"/>
  <c r="L67" i="31"/>
  <c r="S6" i="19"/>
  <c r="S28" i="19" s="1"/>
  <c r="S7" i="19"/>
  <c r="S42" i="19" s="1"/>
  <c r="S5" i="19"/>
  <c r="S27" i="19" s="1"/>
  <c r="W34" i="11"/>
  <c r="W38" i="11" s="1"/>
  <c r="W20" i="11" s="1"/>
  <c r="T7" i="19"/>
  <c r="X34" i="11"/>
  <c r="X38" i="11" s="1"/>
  <c r="X20" i="11" s="1"/>
  <c r="T5" i="19"/>
  <c r="T6" i="19"/>
  <c r="J121" i="31"/>
  <c r="J133" i="31"/>
  <c r="K73" i="31"/>
  <c r="J1960" i="22"/>
  <c r="K55" i="31"/>
  <c r="T13" i="4"/>
  <c r="T21" i="4" s="1"/>
  <c r="U47" i="11"/>
  <c r="U56" i="11" s="1"/>
  <c r="K37" i="31"/>
  <c r="V12" i="19"/>
  <c r="W12" i="19" s="1"/>
  <c r="Y7" i="11"/>
  <c r="Y11" i="11" s="1"/>
  <c r="K118" i="31"/>
  <c r="P56" i="31" s="1"/>
  <c r="L27" i="31"/>
  <c r="K130" i="31"/>
  <c r="L36" i="31"/>
  <c r="P28" i="31"/>
  <c r="D180" i="15"/>
  <c r="M2920" i="22"/>
  <c r="U271" i="10"/>
  <c r="U278" i="10" s="1"/>
  <c r="U279" i="10" s="1"/>
  <c r="U282" i="10" s="1"/>
  <c r="U301" i="10" s="1"/>
  <c r="U302" i="10" s="1"/>
  <c r="AE89" i="10"/>
  <c r="AE139" i="10"/>
  <c r="U268" i="10"/>
  <c r="F4793" i="22"/>
  <c r="M53" i="13"/>
  <c r="D2193" i="22"/>
  <c r="AE4" i="15"/>
  <c r="U289" i="10"/>
  <c r="U290" i="10" s="1"/>
  <c r="AE93" i="10"/>
  <c r="AE87" i="10"/>
  <c r="AC108" i="10"/>
  <c r="AC101" i="10"/>
  <c r="AC143" i="10"/>
  <c r="AC155" i="10"/>
  <c r="AB185" i="10"/>
  <c r="AB240" i="10" s="1"/>
  <c r="AC2" i="10"/>
  <c r="AB161" i="10"/>
  <c r="AB144" i="10"/>
  <c r="AB157" i="10"/>
  <c r="AB117" i="10"/>
  <c r="AA104" i="10"/>
  <c r="AE47" i="10"/>
  <c r="AE46" i="10"/>
  <c r="AA161" i="10"/>
  <c r="AA144" i="10"/>
  <c r="AA117" i="10"/>
  <c r="AB104" i="10"/>
  <c r="AB135" i="10"/>
  <c r="Z135" i="10"/>
  <c r="Z128" i="10"/>
  <c r="Y176" i="10"/>
  <c r="Y178" i="10" s="1"/>
  <c r="Y179" i="10" s="1"/>
  <c r="Z177" i="10"/>
  <c r="X134" i="10"/>
  <c r="X140" i="10"/>
  <c r="Y134" i="10"/>
  <c r="Y140" i="10"/>
  <c r="AH75" i="15"/>
  <c r="E4553" i="22"/>
  <c r="H3000" i="22"/>
  <c r="Q12" i="40"/>
  <c r="I2991" i="22"/>
  <c r="I2993" i="22"/>
  <c r="I2999" i="22"/>
  <c r="H3006" i="22"/>
  <c r="H3007" i="22" s="1"/>
  <c r="H211" i="14"/>
  <c r="AH62" i="2" l="1"/>
  <c r="C6430" i="22"/>
  <c r="C6432" i="22" s="1"/>
  <c r="C6344" i="22"/>
  <c r="C6354" i="22" s="1"/>
  <c r="C6364" i="22" s="1"/>
  <c r="X62" i="2"/>
  <c r="D4" i="47"/>
  <c r="AD11" i="15"/>
  <c r="E10" i="47"/>
  <c r="AE119" i="15"/>
  <c r="F33" i="47"/>
  <c r="AN62" i="2"/>
  <c r="H114" i="3"/>
  <c r="AS62" i="2"/>
  <c r="BC62" i="2"/>
  <c r="AP62" i="2"/>
  <c r="Y62" i="2"/>
  <c r="AY62" i="2"/>
  <c r="AI62" i="2"/>
  <c r="AC99" i="2"/>
  <c r="AX62" i="2"/>
  <c r="Q62" i="2"/>
  <c r="AR62" i="2"/>
  <c r="AA62" i="2"/>
  <c r="AC62" i="2"/>
  <c r="AC59" i="2"/>
  <c r="I88" i="3"/>
  <c r="D5694" i="22"/>
  <c r="V62" i="2"/>
  <c r="F88" i="3"/>
  <c r="AM62" i="2"/>
  <c r="J88" i="3"/>
  <c r="AK62" i="2"/>
  <c r="AT62" i="2"/>
  <c r="D4119" i="22"/>
  <c r="J4119" i="22" s="1"/>
  <c r="S89" i="36"/>
  <c r="T89" i="36" s="1"/>
  <c r="H88" i="3"/>
  <c r="AD3" i="15"/>
  <c r="D88" i="3"/>
  <c r="Z62" i="2"/>
  <c r="J114" i="3"/>
  <c r="C114" i="3"/>
  <c r="G88" i="3"/>
  <c r="AJ62" i="2"/>
  <c r="U62" i="2"/>
  <c r="D5705" i="22"/>
  <c r="E114" i="3"/>
  <c r="D114" i="3"/>
  <c r="E88" i="3"/>
  <c r="C88" i="3"/>
  <c r="O62" i="2"/>
  <c r="BD62" i="2"/>
  <c r="F114" i="3"/>
  <c r="AZ62" i="2"/>
  <c r="S62" i="2"/>
  <c r="P62" i="2"/>
  <c r="G114" i="3"/>
  <c r="BB62" i="2"/>
  <c r="R62" i="2"/>
  <c r="AO62" i="2"/>
  <c r="BE62" i="2"/>
  <c r="AD59" i="2"/>
  <c r="I114" i="3"/>
  <c r="AE59" i="2"/>
  <c r="T62" i="2"/>
  <c r="AW62" i="2"/>
  <c r="N10" i="13"/>
  <c r="G4790" i="22"/>
  <c r="F6101" i="22"/>
  <c r="F6114" i="22" s="1"/>
  <c r="F6117" i="22" s="1"/>
  <c r="O7" i="13"/>
  <c r="F4910" i="22"/>
  <c r="G63" i="46"/>
  <c r="G34" i="46" s="1"/>
  <c r="F4383" i="22"/>
  <c r="P17" i="13"/>
  <c r="T126" i="12"/>
  <c r="T135" i="12" s="1"/>
  <c r="T107" i="12"/>
  <c r="T144" i="12"/>
  <c r="U117" i="12"/>
  <c r="U98" i="12"/>
  <c r="W2" i="12"/>
  <c r="V89" i="12"/>
  <c r="O145" i="25"/>
  <c r="AE19" i="10"/>
  <c r="AE28" i="10" s="1"/>
  <c r="P145" i="25"/>
  <c r="AE146" i="10"/>
  <c r="T145" i="25"/>
  <c r="N145" i="25"/>
  <c r="I146" i="25"/>
  <c r="S145" i="25"/>
  <c r="R145" i="25"/>
  <c r="W145" i="25"/>
  <c r="U145" i="25"/>
  <c r="Q145" i="25"/>
  <c r="V145" i="25"/>
  <c r="AD158" i="10"/>
  <c r="J208" i="14"/>
  <c r="N272" i="14"/>
  <c r="X27" i="4"/>
  <c r="W112" i="4"/>
  <c r="V120" i="4"/>
  <c r="O287" i="14"/>
  <c r="V43" i="4"/>
  <c r="V56" i="4" s="1"/>
  <c r="V74" i="4" s="1"/>
  <c r="V86" i="4" s="1"/>
  <c r="O258" i="14"/>
  <c r="AD97" i="10"/>
  <c r="AD100" i="10" s="1"/>
  <c r="AD101" i="10" s="1"/>
  <c r="AD49" i="10"/>
  <c r="AD62" i="10"/>
  <c r="AD146" i="10"/>
  <c r="Q57" i="19"/>
  <c r="K225" i="36"/>
  <c r="K205" i="36"/>
  <c r="Q167" i="12"/>
  <c r="AD57" i="10"/>
  <c r="U105" i="12"/>
  <c r="T96" i="12"/>
  <c r="Y10" i="4"/>
  <c r="X2" i="4"/>
  <c r="AF12" i="40"/>
  <c r="AE12" i="40"/>
  <c r="AA7" i="11"/>
  <c r="AA11" i="11" s="1"/>
  <c r="Q262" i="19"/>
  <c r="Z58" i="11"/>
  <c r="AA63" i="11"/>
  <c r="AA58" i="11" s="1"/>
  <c r="T27" i="19"/>
  <c r="AA129" i="10"/>
  <c r="AA135" i="10" s="1"/>
  <c r="AA155" i="10"/>
  <c r="L55" i="31"/>
  <c r="L72" i="31" s="1"/>
  <c r="T10" i="19"/>
  <c r="X43" i="11"/>
  <c r="T29" i="19"/>
  <c r="Y59" i="11"/>
  <c r="U8" i="19"/>
  <c r="U17" i="19"/>
  <c r="Y16" i="11"/>
  <c r="X5" i="4" s="1"/>
  <c r="V14" i="19"/>
  <c r="W14" i="19" s="1"/>
  <c r="W8" i="19" s="1"/>
  <c r="T115" i="4"/>
  <c r="X60" i="11"/>
  <c r="S123" i="4"/>
  <c r="S89" i="4"/>
  <c r="Z7" i="11"/>
  <c r="Z11" i="11" s="1"/>
  <c r="R44" i="19"/>
  <c r="R50" i="19"/>
  <c r="Q48" i="19"/>
  <c r="K121" i="31"/>
  <c r="P59" i="31" s="1"/>
  <c r="P31" i="31"/>
  <c r="L73" i="31"/>
  <c r="K133" i="31"/>
  <c r="J132" i="31"/>
  <c r="J120" i="31"/>
  <c r="K72" i="31"/>
  <c r="W80" i="11"/>
  <c r="W61" i="11"/>
  <c r="P48" i="19"/>
  <c r="L37" i="31"/>
  <c r="S44" i="19"/>
  <c r="S50" i="19"/>
  <c r="T28" i="19"/>
  <c r="U13" i="4"/>
  <c r="U21" i="4" s="1"/>
  <c r="V47" i="11"/>
  <c r="V56" i="11" s="1"/>
  <c r="AG62" i="19"/>
  <c r="T77" i="4"/>
  <c r="S29" i="19"/>
  <c r="S10" i="19"/>
  <c r="W43" i="11"/>
  <c r="T42" i="19"/>
  <c r="AG59" i="19"/>
  <c r="Q70" i="19"/>
  <c r="T46" i="4"/>
  <c r="Q65" i="19"/>
  <c r="P65" i="19"/>
  <c r="P97" i="19" s="1"/>
  <c r="P99" i="19" s="1"/>
  <c r="P70" i="19"/>
  <c r="S46" i="4"/>
  <c r="P240" i="19"/>
  <c r="AF4" i="15"/>
  <c r="J113" i="13"/>
  <c r="J120" i="13" s="1"/>
  <c r="AB74" i="10"/>
  <c r="AB110" i="10"/>
  <c r="AB111" i="10" s="1"/>
  <c r="AB114" i="10"/>
  <c r="AB116" i="10" s="1"/>
  <c r="AB126" i="10"/>
  <c r="AB128" i="10" s="1"/>
  <c r="AB134" i="10" s="1"/>
  <c r="AC185" i="10"/>
  <c r="AC240" i="10" s="1"/>
  <c r="AD2" i="10"/>
  <c r="Z176" i="10"/>
  <c r="Z178" i="10" s="1"/>
  <c r="Z179" i="10" s="1"/>
  <c r="AA177" i="10"/>
  <c r="AE57" i="10"/>
  <c r="AE49" i="10"/>
  <c r="AE59" i="10"/>
  <c r="AE61" i="10" s="1"/>
  <c r="AA110" i="10"/>
  <c r="AA111" i="10" s="1"/>
  <c r="AA74" i="10"/>
  <c r="AA114" i="10"/>
  <c r="AA116" i="10" s="1"/>
  <c r="AA126" i="10"/>
  <c r="AC161" i="10"/>
  <c r="AC144" i="10"/>
  <c r="AC157" i="10"/>
  <c r="AC117" i="10"/>
  <c r="AA181" i="10"/>
  <c r="AA123" i="10"/>
  <c r="AB123" i="10"/>
  <c r="AB181" i="10"/>
  <c r="AA141" i="10"/>
  <c r="AB141" i="10"/>
  <c r="AC104" i="10"/>
  <c r="AC135" i="10"/>
  <c r="Z134" i="10"/>
  <c r="Z140" i="10"/>
  <c r="N120" i="13"/>
  <c r="M120" i="13"/>
  <c r="F4553" i="22"/>
  <c r="AI75" i="15"/>
  <c r="I3000" i="22"/>
  <c r="H63" i="46" l="1"/>
  <c r="H34" i="46" s="1"/>
  <c r="AE3" i="15"/>
  <c r="P7" i="13"/>
  <c r="F4" i="47" s="1"/>
  <c r="G6101" i="22"/>
  <c r="G6114" i="22" s="1"/>
  <c r="G6117" i="22" s="1"/>
  <c r="E4" i="47"/>
  <c r="AE11" i="15"/>
  <c r="F10" i="47"/>
  <c r="F6105" i="22"/>
  <c r="F6106" i="22" s="1"/>
  <c r="D5" i="47"/>
  <c r="AF119" i="15"/>
  <c r="G33" i="47"/>
  <c r="D5707" i="22"/>
  <c r="D5708" i="22" s="1"/>
  <c r="AF3" i="15"/>
  <c r="D1984" i="22"/>
  <c r="D1986" i="22" s="1"/>
  <c r="N53" i="13"/>
  <c r="G4793" i="22"/>
  <c r="G4910" i="22"/>
  <c r="O10" i="13"/>
  <c r="E5" i="47" s="1"/>
  <c r="Q17" i="13"/>
  <c r="G10" i="47" s="1"/>
  <c r="V98" i="12"/>
  <c r="V117" i="12"/>
  <c r="W89" i="12"/>
  <c r="X2" i="12"/>
  <c r="U126" i="12"/>
  <c r="U135" i="12" s="1"/>
  <c r="U144" i="12"/>
  <c r="U107" i="12"/>
  <c r="AD108" i="10"/>
  <c r="AD135" i="10" s="1"/>
  <c r="AD155" i="10"/>
  <c r="AD143" i="10"/>
  <c r="AD157" i="10" s="1"/>
  <c r="X112" i="4"/>
  <c r="Y27" i="4"/>
  <c r="W120" i="4"/>
  <c r="W43" i="4"/>
  <c r="W56" i="4" s="1"/>
  <c r="W74" i="4" s="1"/>
  <c r="W86" i="4" s="1"/>
  <c r="P287" i="14"/>
  <c r="P258" i="14"/>
  <c r="K208" i="14"/>
  <c r="O272" i="14"/>
  <c r="V105" i="12"/>
  <c r="U96" i="12"/>
  <c r="Q7" i="13"/>
  <c r="G4" i="47" s="1"/>
  <c r="AA128" i="10"/>
  <c r="AA134" i="10" s="1"/>
  <c r="Y2" i="4"/>
  <c r="Z10" i="4"/>
  <c r="Z2" i="4" s="1"/>
  <c r="AG12" i="40"/>
  <c r="V8" i="19"/>
  <c r="V5" i="19" s="1"/>
  <c r="Z59" i="11"/>
  <c r="Z60" i="11" s="1"/>
  <c r="Z80" i="11" s="1"/>
  <c r="AA34" i="11"/>
  <c r="AA38" i="11" s="1"/>
  <c r="AA20" i="11" s="1"/>
  <c r="W5" i="19"/>
  <c r="W7" i="19"/>
  <c r="W6" i="19"/>
  <c r="W17" i="19"/>
  <c r="AA16" i="11"/>
  <c r="Z5" i="4" s="1"/>
  <c r="P30" i="31"/>
  <c r="K132" i="31"/>
  <c r="K120" i="31"/>
  <c r="P58" i="31" s="1"/>
  <c r="AG119" i="15"/>
  <c r="I63" i="46"/>
  <c r="I34" i="46" s="1"/>
  <c r="Q97" i="19"/>
  <c r="Q99" i="19" s="1"/>
  <c r="AG65" i="19"/>
  <c r="T123" i="4"/>
  <c r="T89" i="4"/>
  <c r="X80" i="11"/>
  <c r="X61" i="11"/>
  <c r="P237" i="19"/>
  <c r="P244" i="19" s="1"/>
  <c r="P246" i="19" s="1"/>
  <c r="S47" i="4"/>
  <c r="S51" i="19"/>
  <c r="S261" i="19"/>
  <c r="X47" i="11"/>
  <c r="X56" i="11" s="1"/>
  <c r="W13" i="4"/>
  <c r="S101" i="4"/>
  <c r="S59" i="4"/>
  <c r="R62" i="19"/>
  <c r="U77" i="4" s="1"/>
  <c r="U30" i="4"/>
  <c r="U115" i="4" s="1"/>
  <c r="R45" i="19"/>
  <c r="R56" i="19"/>
  <c r="R57" i="19" s="1"/>
  <c r="R46" i="19"/>
  <c r="R47" i="19" s="1"/>
  <c r="R67" i="19"/>
  <c r="R59" i="19"/>
  <c r="K70" i="31"/>
  <c r="Z16" i="11"/>
  <c r="Y5" i="4" s="1"/>
  <c r="V17" i="19"/>
  <c r="T44" i="19"/>
  <c r="T50" i="19"/>
  <c r="V13" i="4"/>
  <c r="V21" i="4" s="1"/>
  <c r="W47" i="11"/>
  <c r="W56" i="11" s="1"/>
  <c r="U7" i="19"/>
  <c r="Y34" i="11"/>
  <c r="Y38" i="11" s="1"/>
  <c r="Y20" i="11" s="1"/>
  <c r="U5" i="19"/>
  <c r="U27" i="19" s="1"/>
  <c r="U6" i="19"/>
  <c r="U28" i="19" s="1"/>
  <c r="S46" i="19"/>
  <c r="S47" i="19" s="1"/>
  <c r="S45" i="19"/>
  <c r="S56" i="19"/>
  <c r="V30" i="4"/>
  <c r="S62" i="19"/>
  <c r="V77" i="4" s="1"/>
  <c r="S67" i="19"/>
  <c r="S59" i="19"/>
  <c r="R51" i="19"/>
  <c r="R261" i="19"/>
  <c r="R262" i="19" s="1"/>
  <c r="T101" i="4"/>
  <c r="T59" i="4"/>
  <c r="L70" i="31"/>
  <c r="Y60" i="11"/>
  <c r="AG4" i="15"/>
  <c r="U311" i="10"/>
  <c r="U312" i="10" s="1"/>
  <c r="AA122" i="10"/>
  <c r="AA176" i="10"/>
  <c r="AA178" i="10" s="1"/>
  <c r="AA179" i="10" s="1"/>
  <c r="AB177" i="10"/>
  <c r="AB140" i="10"/>
  <c r="AB122" i="10"/>
  <c r="AD185" i="10"/>
  <c r="AD240" i="10" s="1"/>
  <c r="AE2" i="10"/>
  <c r="AE185" i="10" s="1"/>
  <c r="AE240" i="10" s="1"/>
  <c r="AA84" i="10"/>
  <c r="AA75" i="10"/>
  <c r="AC123" i="10"/>
  <c r="AE97" i="10"/>
  <c r="AE100" i="10" s="1"/>
  <c r="AE158" i="10"/>
  <c r="AE66" i="10"/>
  <c r="AE62" i="10"/>
  <c r="AB138" i="10"/>
  <c r="AC181" i="10"/>
  <c r="AC74" i="10"/>
  <c r="AC110" i="10"/>
  <c r="AC111" i="10" s="1"/>
  <c r="AC126" i="10"/>
  <c r="AC128" i="10" s="1"/>
  <c r="AC134" i="10" s="1"/>
  <c r="AC114" i="10"/>
  <c r="AC141" i="10"/>
  <c r="AA138" i="10"/>
  <c r="AB84" i="10"/>
  <c r="AB75" i="10"/>
  <c r="O120" i="13"/>
  <c r="D6344" i="22"/>
  <c r="D6354" i="22" s="1"/>
  <c r="D6364" i="22" s="1"/>
  <c r="G4553" i="22"/>
  <c r="C6433" i="22" l="1"/>
  <c r="H6101" i="22"/>
  <c r="H6114" i="22" s="1"/>
  <c r="H6117" i="22" s="1"/>
  <c r="P10" i="13"/>
  <c r="F5" i="47" s="1"/>
  <c r="AG3" i="15"/>
  <c r="O53" i="13"/>
  <c r="R17" i="13"/>
  <c r="AG11" i="15" s="1"/>
  <c r="AF11" i="15"/>
  <c r="G6105" i="22"/>
  <c r="G6106" i="22" s="1"/>
  <c r="AD104" i="10"/>
  <c r="AD74" i="10" s="1"/>
  <c r="X89" i="12"/>
  <c r="Y2" i="12"/>
  <c r="W117" i="12"/>
  <c r="W98" i="12"/>
  <c r="V107" i="12"/>
  <c r="V126" i="12"/>
  <c r="V135" i="12" s="1"/>
  <c r="V144" i="12"/>
  <c r="Q10" i="13"/>
  <c r="G5" i="47" s="1"/>
  <c r="I6101" i="22"/>
  <c r="I6114" i="22" s="1"/>
  <c r="I6117" i="22" s="1"/>
  <c r="AD161" i="10"/>
  <c r="AD181" i="10" s="1"/>
  <c r="AD144" i="10"/>
  <c r="AD117" i="10"/>
  <c r="AD123" i="10" s="1"/>
  <c r="L208" i="14"/>
  <c r="P272" i="14"/>
  <c r="Y112" i="4"/>
  <c r="Z27" i="4"/>
  <c r="Z112" i="4" s="1"/>
  <c r="X43" i="4"/>
  <c r="X56" i="4" s="1"/>
  <c r="X74" i="4" s="1"/>
  <c r="X86" i="4" s="1"/>
  <c r="X120" i="4"/>
  <c r="Q287" i="14"/>
  <c r="Q258" i="14"/>
  <c r="R7" i="13"/>
  <c r="AA140" i="10"/>
  <c r="V7" i="19"/>
  <c r="W10" i="19" s="1"/>
  <c r="Z34" i="11"/>
  <c r="Z38" i="11" s="1"/>
  <c r="Z20" i="11" s="1"/>
  <c r="W105" i="12"/>
  <c r="V96" i="12"/>
  <c r="V6" i="19"/>
  <c r="V28" i="19" s="1"/>
  <c r="S48" i="19"/>
  <c r="AA59" i="11"/>
  <c r="AA60" i="11" s="1"/>
  <c r="AA80" i="11" s="1"/>
  <c r="R48" i="19"/>
  <c r="V27" i="19"/>
  <c r="V115" i="4"/>
  <c r="AA43" i="11"/>
  <c r="W27" i="19"/>
  <c r="AH119" i="15"/>
  <c r="J63" i="46"/>
  <c r="J34" i="46" s="1"/>
  <c r="S70" i="19"/>
  <c r="S65" i="19"/>
  <c r="S97" i="19" s="1"/>
  <c r="S99" i="19" s="1"/>
  <c r="V46" i="4"/>
  <c r="U89" i="4"/>
  <c r="U123" i="4"/>
  <c r="W30" i="4"/>
  <c r="W115" i="4" s="1"/>
  <c r="T67" i="19"/>
  <c r="T59" i="19"/>
  <c r="T56" i="19"/>
  <c r="T57" i="19" s="1"/>
  <c r="T45" i="19"/>
  <c r="T46" i="19"/>
  <c r="T47" i="19" s="1"/>
  <c r="T62" i="19"/>
  <c r="W77" i="4" s="1"/>
  <c r="V123" i="4"/>
  <c r="V89" i="4"/>
  <c r="Y43" i="11"/>
  <c r="U10" i="19"/>
  <c r="U29" i="19"/>
  <c r="U42" i="19"/>
  <c r="U46" i="4"/>
  <c r="R65" i="19"/>
  <c r="R97" i="19" s="1"/>
  <c r="R99" i="19" s="1"/>
  <c r="R70" i="19"/>
  <c r="T51" i="19"/>
  <c r="T261" i="19"/>
  <c r="T262" i="19" s="1"/>
  <c r="S262" i="19"/>
  <c r="Y61" i="11"/>
  <c r="Y80" i="11"/>
  <c r="Z61" i="11"/>
  <c r="P248" i="19"/>
  <c r="P249" i="19" s="1"/>
  <c r="P323" i="19" s="1"/>
  <c r="P250" i="19"/>
  <c r="K71" i="31"/>
  <c r="K16" i="31"/>
  <c r="P338" i="19"/>
  <c r="L71" i="31"/>
  <c r="L16" i="31"/>
  <c r="S57" i="19"/>
  <c r="W21" i="4"/>
  <c r="AC138" i="10"/>
  <c r="D4000" i="22"/>
  <c r="U276" i="10"/>
  <c r="AC116" i="10"/>
  <c r="AC122" i="10" s="1"/>
  <c r="AD141" i="10"/>
  <c r="AB176" i="10"/>
  <c r="AB178" i="10" s="1"/>
  <c r="AB179" i="10" s="1"/>
  <c r="AC177" i="10"/>
  <c r="AC84" i="10"/>
  <c r="AC75" i="10"/>
  <c r="AB92" i="10"/>
  <c r="AB85" i="10"/>
  <c r="AE108" i="10"/>
  <c r="AE101" i="10"/>
  <c r="AE143" i="10"/>
  <c r="AE155" i="10"/>
  <c r="AA92" i="10"/>
  <c r="AA85" i="10"/>
  <c r="E6344" i="22"/>
  <c r="E6354" i="22" s="1"/>
  <c r="E6364" i="22" s="1"/>
  <c r="H6105" i="22" l="1"/>
  <c r="H6106" i="22" s="1"/>
  <c r="P53" i="13"/>
  <c r="P56" i="13" s="1"/>
  <c r="S17" i="13"/>
  <c r="AH11" i="15" s="1"/>
  <c r="AH3" i="15"/>
  <c r="S7" i="13"/>
  <c r="S10" i="13" s="1"/>
  <c r="S53" i="13" s="1"/>
  <c r="S56" i="13" s="1"/>
  <c r="AD114" i="10"/>
  <c r="AD116" i="10" s="1"/>
  <c r="AD110" i="10"/>
  <c r="AD111" i="10" s="1"/>
  <c r="AD126" i="10"/>
  <c r="AD128" i="10" s="1"/>
  <c r="AD134" i="10" s="1"/>
  <c r="W107" i="12"/>
  <c r="W144" i="12"/>
  <c r="W126" i="12"/>
  <c r="W135" i="12" s="1"/>
  <c r="Y89" i="12"/>
  <c r="Z2" i="12"/>
  <c r="X117" i="12"/>
  <c r="X98" i="12"/>
  <c r="R10" i="13"/>
  <c r="J6101" i="22"/>
  <c r="J6114" i="22" s="1"/>
  <c r="J6117" i="22" s="1"/>
  <c r="Q53" i="13"/>
  <c r="Q56" i="13" s="1"/>
  <c r="I6105" i="22"/>
  <c r="I6106" i="22" s="1"/>
  <c r="AA61" i="11"/>
  <c r="Z43" i="11"/>
  <c r="Y13" i="4" s="1"/>
  <c r="V29" i="19"/>
  <c r="Z120" i="4"/>
  <c r="Z43" i="4"/>
  <c r="Z56" i="4" s="1"/>
  <c r="Z74" i="4" s="1"/>
  <c r="Z86" i="4" s="1"/>
  <c r="Y120" i="4"/>
  <c r="Y43" i="4"/>
  <c r="Y56" i="4" s="1"/>
  <c r="Y74" i="4" s="1"/>
  <c r="Y86" i="4" s="1"/>
  <c r="R258" i="14"/>
  <c r="R287" i="14"/>
  <c r="M208" i="14"/>
  <c r="Q272" i="14"/>
  <c r="W28" i="19"/>
  <c r="W42" i="19"/>
  <c r="W50" i="19" s="1"/>
  <c r="W261" i="19" s="1"/>
  <c r="W96" i="12"/>
  <c r="X105" i="12"/>
  <c r="V10" i="19"/>
  <c r="W29" i="19"/>
  <c r="V42" i="19"/>
  <c r="V50" i="19" s="1"/>
  <c r="Z13" i="4"/>
  <c r="AA47" i="11"/>
  <c r="AA56" i="11" s="1"/>
  <c r="AI119" i="15"/>
  <c r="K63" i="46"/>
  <c r="K34" i="46" s="1"/>
  <c r="X13" i="4"/>
  <c r="X21" i="4" s="1"/>
  <c r="Y47" i="11"/>
  <c r="Y56" i="11" s="1"/>
  <c r="L17" i="31"/>
  <c r="K1939" i="22" s="1"/>
  <c r="L82" i="31"/>
  <c r="L68" i="31"/>
  <c r="L56" i="31"/>
  <c r="U50" i="19"/>
  <c r="U44" i="19"/>
  <c r="V101" i="4"/>
  <c r="V59" i="4"/>
  <c r="T48" i="19"/>
  <c r="W123" i="4"/>
  <c r="W89" i="4"/>
  <c r="U59" i="4"/>
  <c r="U101" i="4"/>
  <c r="K17" i="31"/>
  <c r="J1939" i="22" s="1"/>
  <c r="K82" i="31"/>
  <c r="K83" i="31" s="1"/>
  <c r="J1941" i="22" s="1"/>
  <c r="K68" i="31"/>
  <c r="K56" i="31"/>
  <c r="T70" i="19"/>
  <c r="T65" i="19"/>
  <c r="T97" i="19" s="1"/>
  <c r="T99" i="19" s="1"/>
  <c r="W46" i="4"/>
  <c r="AH4" i="15"/>
  <c r="L63" i="46"/>
  <c r="L34" i="46" s="1"/>
  <c r="I3027" i="22"/>
  <c r="J2971" i="22"/>
  <c r="J2973" i="22" s="1"/>
  <c r="AC140" i="10"/>
  <c r="AD75" i="10"/>
  <c r="AD84" i="10"/>
  <c r="AE104" i="10"/>
  <c r="AE135" i="10"/>
  <c r="AC92" i="10"/>
  <c r="AC85" i="10"/>
  <c r="AC176" i="10"/>
  <c r="AC178" i="10" s="1"/>
  <c r="AC179" i="10" s="1"/>
  <c r="AD177" i="10"/>
  <c r="AE157" i="10"/>
  <c r="AE117" i="10"/>
  <c r="AE161" i="10"/>
  <c r="AE144" i="10"/>
  <c r="F6344" i="22"/>
  <c r="F6354" i="22" s="1"/>
  <c r="F6364" i="22" s="1"/>
  <c r="T17" i="13" l="1"/>
  <c r="AI11" i="15" s="1"/>
  <c r="T7" i="13"/>
  <c r="T10" i="13" s="1"/>
  <c r="T53" i="13" s="1"/>
  <c r="T56" i="13" s="1"/>
  <c r="AI3" i="15"/>
  <c r="AD138" i="10"/>
  <c r="AD140" i="10"/>
  <c r="AD122" i="10"/>
  <c r="X126" i="12"/>
  <c r="X135" i="12" s="1"/>
  <c r="X144" i="12"/>
  <c r="X107" i="12"/>
  <c r="Z89" i="12"/>
  <c r="AA2" i="12"/>
  <c r="AA89" i="12" s="1"/>
  <c r="Y98" i="12"/>
  <c r="Y117" i="12"/>
  <c r="Z47" i="11"/>
  <c r="Z56" i="11" s="1"/>
  <c r="R53" i="13"/>
  <c r="R56" i="13" s="1"/>
  <c r="J6105" i="22"/>
  <c r="N208" i="14"/>
  <c r="S258" i="14"/>
  <c r="R272" i="14"/>
  <c r="V44" i="19"/>
  <c r="V67" i="19" s="1"/>
  <c r="W44" i="19"/>
  <c r="W51" i="19"/>
  <c r="X96" i="12"/>
  <c r="Y105" i="12"/>
  <c r="Z21" i="4"/>
  <c r="AI4" i="15"/>
  <c r="Y21" i="4"/>
  <c r="U59" i="19"/>
  <c r="U62" i="19"/>
  <c r="X77" i="4" s="1"/>
  <c r="U46" i="19"/>
  <c r="U47" i="19" s="1"/>
  <c r="U67" i="19"/>
  <c r="X30" i="4"/>
  <c r="X115" i="4" s="1"/>
  <c r="U56" i="19"/>
  <c r="U57" i="19" s="1"/>
  <c r="U45" i="19"/>
  <c r="U51" i="19"/>
  <c r="U261" i="19"/>
  <c r="U262" i="19" s="1"/>
  <c r="L83" i="31"/>
  <c r="K1941" i="22" s="1"/>
  <c r="W101" i="4"/>
  <c r="W59" i="4"/>
  <c r="V51" i="19"/>
  <c r="V261" i="19"/>
  <c r="I3038" i="22"/>
  <c r="I3037" i="22" s="1"/>
  <c r="I3032" i="22"/>
  <c r="AD92" i="10"/>
  <c r="AD85" i="10"/>
  <c r="AE123" i="10"/>
  <c r="AE181" i="10"/>
  <c r="AE141" i="10"/>
  <c r="AD176" i="10"/>
  <c r="AD178" i="10" s="1"/>
  <c r="AD179" i="10" s="1"/>
  <c r="AE177" i="10"/>
  <c r="AE176" i="10" s="1"/>
  <c r="AE178" i="10" s="1"/>
  <c r="AE179" i="10" s="1"/>
  <c r="AE110" i="10"/>
  <c r="AE111" i="10" s="1"/>
  <c r="AE74" i="10"/>
  <c r="AE126" i="10"/>
  <c r="AE128" i="10" s="1"/>
  <c r="AE134" i="10" s="1"/>
  <c r="AE114" i="10"/>
  <c r="AE116" i="10" s="1"/>
  <c r="G6344" i="22"/>
  <c r="G6354" i="22" s="1"/>
  <c r="G6364" i="22" s="1"/>
  <c r="Y107" i="12" l="1"/>
  <c r="Y144" i="12"/>
  <c r="Y126" i="12"/>
  <c r="Y135" i="12" s="1"/>
  <c r="AA98" i="12"/>
  <c r="AA117" i="12"/>
  <c r="Z117" i="12"/>
  <c r="Z98" i="12"/>
  <c r="V45" i="19"/>
  <c r="V56" i="19"/>
  <c r="V57" i="19" s="1"/>
  <c r="V59" i="19"/>
  <c r="Y46" i="4" s="1"/>
  <c r="W45" i="19"/>
  <c r="Y30" i="4"/>
  <c r="Y115" i="4" s="1"/>
  <c r="V46" i="19"/>
  <c r="V47" i="19" s="1"/>
  <c r="V62" i="19"/>
  <c r="Y77" i="4" s="1"/>
  <c r="Y123" i="4" s="1"/>
  <c r="T258" i="14"/>
  <c r="S272" i="14"/>
  <c r="Z105" i="12"/>
  <c r="Y96" i="12"/>
  <c r="Z30" i="4"/>
  <c r="Z115" i="4" s="1"/>
  <c r="W46" i="19"/>
  <c r="W47" i="19" s="1"/>
  <c r="W59" i="19"/>
  <c r="W56" i="19"/>
  <c r="W67" i="19"/>
  <c r="X67" i="19" s="1"/>
  <c r="W62" i="19"/>
  <c r="Z77" i="4" s="1"/>
  <c r="U48" i="19"/>
  <c r="V262" i="19"/>
  <c r="W262" i="19"/>
  <c r="X89" i="4"/>
  <c r="X123" i="4"/>
  <c r="U70" i="19"/>
  <c r="X46" i="4"/>
  <c r="U65" i="19"/>
  <c r="U97" i="19" s="1"/>
  <c r="U99" i="19" s="1"/>
  <c r="D56" i="13"/>
  <c r="D71" i="13" s="1"/>
  <c r="D69" i="13" s="1"/>
  <c r="AE138" i="10"/>
  <c r="AE122" i="10"/>
  <c r="AE140" i="10"/>
  <c r="AE75" i="10"/>
  <c r="AE84" i="10"/>
  <c r="H6344" i="22"/>
  <c r="H6354" i="22" s="1"/>
  <c r="H6364" i="22" s="1"/>
  <c r="X70" i="19" l="1"/>
  <c r="Y67" i="19"/>
  <c r="V70" i="19"/>
  <c r="W48" i="19"/>
  <c r="Z144" i="12"/>
  <c r="Z126" i="12"/>
  <c r="Z135" i="12" s="1"/>
  <c r="Z107" i="12"/>
  <c r="AA126" i="12"/>
  <c r="AA135" i="12" s="1"/>
  <c r="AA144" i="12"/>
  <c r="AA107" i="12"/>
  <c r="V48" i="19"/>
  <c r="W57" i="19"/>
  <c r="V65" i="19"/>
  <c r="V97" i="19" s="1"/>
  <c r="V99" i="19" s="1"/>
  <c r="D100" i="19" s="1"/>
  <c r="Y89" i="4"/>
  <c r="T272" i="14"/>
  <c r="U258" i="14"/>
  <c r="W70" i="19"/>
  <c r="W65" i="19"/>
  <c r="W97" i="19" s="1"/>
  <c r="W99" i="19" s="1"/>
  <c r="Z46" i="4"/>
  <c r="Z89" i="4"/>
  <c r="Z123" i="4"/>
  <c r="Z96" i="12"/>
  <c r="AA105" i="12"/>
  <c r="AA96" i="12" s="1"/>
  <c r="X59" i="4"/>
  <c r="X101" i="4"/>
  <c r="Y59" i="4"/>
  <c r="Y101" i="4"/>
  <c r="E56" i="13"/>
  <c r="AE92" i="10"/>
  <c r="AE85" i="10"/>
  <c r="Z67" i="19" l="1"/>
  <c r="Y70" i="19"/>
  <c r="I6344" i="22"/>
  <c r="I6354" i="22" s="1"/>
  <c r="I6364" i="22" s="1"/>
  <c r="D102" i="19"/>
  <c r="D103" i="19" s="1"/>
  <c r="D105" i="19" s="1"/>
  <c r="U272" i="14"/>
  <c r="V258" i="14"/>
  <c r="Z101" i="4"/>
  <c r="Z59" i="4"/>
  <c r="F56" i="13"/>
  <c r="Z70" i="19" l="1"/>
  <c r="AA67" i="19"/>
  <c r="V272" i="14"/>
  <c r="W258" i="14"/>
  <c r="G56" i="13"/>
  <c r="AB67" i="19" l="1"/>
  <c r="AA70" i="19"/>
  <c r="W272" i="14"/>
  <c r="G71" i="13"/>
  <c r="E3301" i="22"/>
  <c r="H56" i="13"/>
  <c r="H71" i="13" s="1"/>
  <c r="C4895" i="22"/>
  <c r="C4896" i="22" s="1"/>
  <c r="C4911" i="22"/>
  <c r="C4919" i="22"/>
  <c r="D4919" i="22"/>
  <c r="E4919" i="22"/>
  <c r="F4919" i="22"/>
  <c r="G4919" i="22"/>
  <c r="AC67" i="19" l="1"/>
  <c r="AB70" i="19"/>
  <c r="I56" i="13"/>
  <c r="H69" i="13"/>
  <c r="F3349" i="22"/>
  <c r="E3349" i="22"/>
  <c r="G69" i="13"/>
  <c r="E4920" i="22"/>
  <c r="O4914" i="22" s="1"/>
  <c r="O4913" i="22"/>
  <c r="C4920" i="22"/>
  <c r="M4914" i="22" s="1"/>
  <c r="M4913" i="22"/>
  <c r="G4920" i="22"/>
  <c r="Q4914" i="22" s="1"/>
  <c r="Q4913" i="22"/>
  <c r="D4920" i="22"/>
  <c r="N4914" i="22" s="1"/>
  <c r="N4913" i="22"/>
  <c r="F4920" i="22"/>
  <c r="P4914" i="22" s="1"/>
  <c r="P4913" i="22"/>
  <c r="C4912" i="22"/>
  <c r="C4913" i="22"/>
  <c r="AD67" i="19" l="1"/>
  <c r="AC70" i="19"/>
  <c r="J56" i="13"/>
  <c r="AE67" i="19" l="1"/>
  <c r="AD70" i="19"/>
  <c r="K56" i="13"/>
  <c r="F4942" i="22"/>
  <c r="G4942" i="22"/>
  <c r="E4947" i="22"/>
  <c r="F4947" i="22"/>
  <c r="G4947" i="22"/>
  <c r="G4953" i="22" s="1"/>
  <c r="E4960" i="22"/>
  <c r="F4960" i="22"/>
  <c r="G4960" i="22"/>
  <c r="E4964" i="22"/>
  <c r="AE70" i="19" l="1"/>
  <c r="AF67" i="19"/>
  <c r="AF70" i="19" s="1"/>
  <c r="F4964" i="22"/>
  <c r="G4964" i="22" s="1"/>
  <c r="F4953" i="22"/>
  <c r="L56" i="13"/>
  <c r="E4953" i="22"/>
  <c r="M56" i="13" l="1"/>
  <c r="O56" i="13" l="1"/>
  <c r="N56" i="13"/>
  <c r="AO471" i="38" l="1"/>
  <c r="AT471" i="38" l="1"/>
  <c r="K3027" i="22" l="1"/>
  <c r="L3027" i="22"/>
  <c r="M3027" i="22"/>
  <c r="N3027" i="22"/>
  <c r="T202" i="10"/>
  <c r="T203" i="10" s="1"/>
  <c r="T205" i="10" s="1"/>
  <c r="T226" i="10" s="1"/>
  <c r="T227" i="10" s="1"/>
  <c r="U202" i="10"/>
  <c r="U203" i="10" s="1"/>
  <c r="U205" i="10" s="1"/>
  <c r="U226" i="10" s="1"/>
  <c r="U227" i="10" s="1"/>
  <c r="T214" i="10"/>
  <c r="I112" i="13" s="1"/>
  <c r="I119" i="13" s="1"/>
  <c r="U214" i="10"/>
  <c r="J112" i="13" s="1"/>
  <c r="J119" i="13" s="1"/>
  <c r="Q310" i="19"/>
  <c r="D3998" i="22" s="1"/>
  <c r="D4002" i="22" s="1"/>
  <c r="J90" i="13" l="1"/>
  <c r="J94" i="13" s="1"/>
  <c r="Q311" i="19"/>
  <c r="D2561" i="22"/>
  <c r="D4364" i="22" l="1"/>
  <c r="D4370" i="22" s="1"/>
  <c r="J104" i="13"/>
  <c r="D4372" i="22"/>
  <c r="D4384" i="22" s="1"/>
  <c r="J2977" i="22"/>
  <c r="F3776" i="22"/>
  <c r="F3782" i="22" s="1"/>
  <c r="D2563" i="22"/>
  <c r="F2561" i="22"/>
  <c r="D4376" i="22" l="1"/>
  <c r="F2563" i="22"/>
  <c r="AT137" i="38" l="1"/>
  <c r="AT205" i="38"/>
  <c r="AT140" i="38" l="1"/>
  <c r="K308" i="37" s="1"/>
  <c r="AT439" i="38"/>
  <c r="AT210" i="38"/>
  <c r="AT211" i="38" l="1"/>
  <c r="C4759" i="22"/>
  <c r="C4779" i="22" s="1"/>
  <c r="Z136" i="15"/>
  <c r="Z139" i="15"/>
  <c r="H366" i="25"/>
  <c r="H367" i="25" s="1"/>
  <c r="C6" i="46"/>
  <c r="C7" i="46" s="1"/>
  <c r="K110" i="37"/>
  <c r="K113" i="37"/>
  <c r="K115" i="37"/>
  <c r="K116" i="37" l="1"/>
  <c r="K117" i="37"/>
  <c r="C5337" i="22"/>
  <c r="F4033" i="22"/>
  <c r="F4058" i="22" s="1"/>
  <c r="G3708" i="22"/>
  <c r="G3729" i="22" s="1"/>
  <c r="F3949" i="22"/>
  <c r="Z18" i="15"/>
  <c r="O119" i="13" l="1"/>
  <c r="N119" i="13"/>
  <c r="M119" i="13"/>
  <c r="Z152" i="15"/>
  <c r="C4932" i="22"/>
  <c r="D4944" i="22"/>
  <c r="D4954" i="22" s="1"/>
  <c r="D4958" i="22" s="1"/>
  <c r="D4962" i="22" s="1"/>
  <c r="V195" i="10"/>
  <c r="V200" i="10" s="1"/>
  <c r="V203" i="10" s="1"/>
  <c r="V214" i="10"/>
  <c r="K112" i="13" s="1"/>
  <c r="K119" i="13" s="1"/>
  <c r="V245" i="10"/>
  <c r="V247" i="10" s="1"/>
  <c r="AT468" i="38"/>
  <c r="B284" i="37"/>
  <c r="C15" i="14" s="1"/>
  <c r="K326" i="37"/>
  <c r="K327" i="37"/>
  <c r="K328" i="37"/>
  <c r="K333" i="37"/>
  <c r="K349" i="37"/>
  <c r="K350" i="37"/>
  <c r="K351" i="37"/>
  <c r="K356" i="37"/>
  <c r="K359" i="37"/>
  <c r="K479" i="37"/>
  <c r="N264" i="14" s="1"/>
  <c r="C225" i="14"/>
  <c r="Q225" i="14" s="1"/>
  <c r="C226" i="14"/>
  <c r="Q226" i="14" s="1"/>
  <c r="P345" i="1" l="1"/>
  <c r="E2112" i="22" s="1"/>
  <c r="O345" i="1"/>
  <c r="D2112" i="22" s="1"/>
  <c r="D4966" i="22"/>
  <c r="D4950" i="22"/>
  <c r="D4972" i="22" s="1"/>
  <c r="D4945" i="22"/>
  <c r="V268" i="10"/>
  <c r="V246" i="10"/>
  <c r="Y486" i="37"/>
  <c r="D4970" i="22"/>
  <c r="V209" i="10"/>
  <c r="W216" i="10" s="1"/>
  <c r="W219" i="10" s="1"/>
  <c r="V205" i="10"/>
  <c r="V225" i="10"/>
  <c r="C228" i="14"/>
  <c r="E228" i="14" s="1"/>
  <c r="G260" i="14" s="1"/>
  <c r="C260" i="14" s="1"/>
  <c r="V252" i="10"/>
  <c r="V256" i="10" s="1"/>
  <c r="V259" i="10" s="1"/>
  <c r="V271" i="10" s="1"/>
  <c r="V289" i="10"/>
  <c r="V290" i="10" s="1"/>
  <c r="H438" i="37"/>
  <c r="G438" i="37"/>
  <c r="M438" i="37"/>
  <c r="V196" i="10"/>
  <c r="V191" i="10"/>
  <c r="V189" i="10"/>
  <c r="C4934" i="22"/>
  <c r="D4951" i="22" l="1"/>
  <c r="V226" i="10"/>
  <c r="V227" i="10" s="1"/>
  <c r="D228" i="14"/>
  <c r="D243" i="14" s="1"/>
  <c r="G265" i="14"/>
  <c r="G267" i="14" s="1"/>
  <c r="C243" i="14"/>
  <c r="H260" i="14"/>
  <c r="I260" i="14" s="1"/>
  <c r="W252" i="10"/>
  <c r="W256" i="10" s="1"/>
  <c r="W289" i="10"/>
  <c r="W290" i="10" s="1"/>
  <c r="W268" i="10"/>
  <c r="O228" i="14"/>
  <c r="Q76" i="40"/>
  <c r="C5046" i="22"/>
  <c r="E4944" i="22"/>
  <c r="W195" i="10"/>
  <c r="W214" i="10"/>
  <c r="W189" i="10" s="1"/>
  <c r="D4925" i="22"/>
  <c r="L327" i="37"/>
  <c r="L341" i="37" s="1"/>
  <c r="V261" i="10"/>
  <c r="V278" i="10"/>
  <c r="V279" i="10" s="1"/>
  <c r="V282" i="10" s="1"/>
  <c r="V301" i="10" s="1"/>
  <c r="K113" i="13"/>
  <c r="K120" i="13" s="1"/>
  <c r="AF76" i="40" l="1"/>
  <c r="Q77" i="40"/>
  <c r="BC181" i="38"/>
  <c r="H265" i="14"/>
  <c r="H267" i="14" s="1"/>
  <c r="W259" i="10"/>
  <c r="W271" i="10" s="1"/>
  <c r="V274" i="10"/>
  <c r="V311" i="10" s="1"/>
  <c r="V312" i="10" s="1"/>
  <c r="V298" i="10"/>
  <c r="V263" i="10"/>
  <c r="V299" i="10"/>
  <c r="W225" i="10"/>
  <c r="W196" i="10"/>
  <c r="W200" i="10"/>
  <c r="W203" i="10" s="1"/>
  <c r="E4945" i="22"/>
  <c r="E4950" i="22"/>
  <c r="E4954" i="22"/>
  <c r="E4958" i="22" s="1"/>
  <c r="E4962" i="22" s="1"/>
  <c r="C4985" i="22"/>
  <c r="E4966" i="22"/>
  <c r="E4969" i="22" s="1"/>
  <c r="AY180" i="38"/>
  <c r="C5056" i="22"/>
  <c r="D5046" i="22" s="1"/>
  <c r="W190" i="10"/>
  <c r="W191" i="10" s="1"/>
  <c r="J260" i="14"/>
  <c r="I265" i="14"/>
  <c r="I267" i="14" s="1"/>
  <c r="F4944" i="22"/>
  <c r="E4925" i="22"/>
  <c r="X195" i="10"/>
  <c r="X214" i="10"/>
  <c r="M327" i="37"/>
  <c r="V76" i="40" l="1"/>
  <c r="V77" i="40" s="1"/>
  <c r="BD180" i="38"/>
  <c r="W261" i="10"/>
  <c r="W263" i="10" s="1"/>
  <c r="Y284" i="1" s="1"/>
  <c r="V275" i="10"/>
  <c r="V276" i="10" s="1"/>
  <c r="W278" i="10"/>
  <c r="W279" i="10" s="1"/>
  <c r="E4972" i="22"/>
  <c r="E4951" i="22"/>
  <c r="C4996" i="22"/>
  <c r="L479" i="37"/>
  <c r="AT470" i="38"/>
  <c r="F4925" i="22"/>
  <c r="Y214" i="10"/>
  <c r="Y195" i="10"/>
  <c r="G4944" i="22"/>
  <c r="N327" i="37"/>
  <c r="AY189" i="38"/>
  <c r="D5053" i="22"/>
  <c r="D5047" i="22"/>
  <c r="D5048" i="22"/>
  <c r="D5049" i="22"/>
  <c r="D5051" i="22"/>
  <c r="D5052" i="22"/>
  <c r="D5054" i="22"/>
  <c r="D5050" i="22"/>
  <c r="H4426" i="22"/>
  <c r="I371" i="25"/>
  <c r="X225" i="10"/>
  <c r="X200" i="10"/>
  <c r="X203" i="10" s="1"/>
  <c r="X196" i="10"/>
  <c r="D64" i="46"/>
  <c r="D35" i="46" s="1"/>
  <c r="G4034" i="22"/>
  <c r="W205" i="10"/>
  <c r="W226" i="10" s="1"/>
  <c r="W227" i="10" s="1"/>
  <c r="W209" i="10"/>
  <c r="V300" i="10"/>
  <c r="V302" i="10" s="1"/>
  <c r="F4945" i="22"/>
  <c r="F4950" i="22"/>
  <c r="F4954" i="22"/>
  <c r="M479" i="37"/>
  <c r="E4970" i="22"/>
  <c r="F4956" i="22"/>
  <c r="F4966" i="22" s="1"/>
  <c r="F4969" i="22" s="1"/>
  <c r="J265" i="14"/>
  <c r="K260" i="14"/>
  <c r="AA147" i="15"/>
  <c r="L21" i="13" l="1"/>
  <c r="C5779" i="22" s="1"/>
  <c r="BI180" i="38"/>
  <c r="P76" i="40"/>
  <c r="AE76" i="40" s="1"/>
  <c r="AG76" i="40" s="1"/>
  <c r="BC189" i="38"/>
  <c r="AE11" i="40"/>
  <c r="AE50" i="40"/>
  <c r="D9" i="46"/>
  <c r="D14" i="46" s="1"/>
  <c r="L6" i="40"/>
  <c r="K90" i="13"/>
  <c r="C5380" i="22"/>
  <c r="BC180" i="38"/>
  <c r="BD189" i="38"/>
  <c r="C5216" i="22"/>
  <c r="C5231" i="22"/>
  <c r="D5163" i="22"/>
  <c r="D5058" i="22"/>
  <c r="W283" i="10"/>
  <c r="Y108" i="1" s="1"/>
  <c r="Y111" i="1" s="1"/>
  <c r="Y426" i="1" s="1"/>
  <c r="W274" i="10"/>
  <c r="W282" i="10"/>
  <c r="W301" i="10" s="1"/>
  <c r="F4958" i="22"/>
  <c r="F4962" i="22" s="1"/>
  <c r="G4956" i="22"/>
  <c r="G4966" i="22" s="1"/>
  <c r="G4969" i="22" s="1"/>
  <c r="F4970" i="22"/>
  <c r="M485" i="37"/>
  <c r="P264" i="14"/>
  <c r="G3950" i="22"/>
  <c r="H3710" i="22"/>
  <c r="AA19" i="15"/>
  <c r="X205" i="10"/>
  <c r="X226" i="10" s="1"/>
  <c r="X227" i="10" s="1"/>
  <c r="X209" i="10"/>
  <c r="F4951" i="22"/>
  <c r="F4972" i="22"/>
  <c r="G4059" i="22"/>
  <c r="T4458" i="22"/>
  <c r="Z4455" i="22" s="1"/>
  <c r="H4458" i="22"/>
  <c r="K265" i="14"/>
  <c r="L260" i="14"/>
  <c r="R325" i="10"/>
  <c r="J267" i="14"/>
  <c r="G4945" i="22"/>
  <c r="G4950" i="22"/>
  <c r="G4954" i="22"/>
  <c r="O264" i="14"/>
  <c r="X216" i="10"/>
  <c r="W298" i="10"/>
  <c r="W299" i="10"/>
  <c r="Y200" i="10"/>
  <c r="Y203" i="10" s="1"/>
  <c r="Y225" i="10"/>
  <c r="Y196" i="10"/>
  <c r="E4555" i="22"/>
  <c r="F4745" i="22"/>
  <c r="D4761" i="22"/>
  <c r="C5377" i="22" l="1"/>
  <c r="D5154" i="22"/>
  <c r="D5155" i="22" s="1"/>
  <c r="C5488" i="22"/>
  <c r="C5398" i="22"/>
  <c r="C5400" i="22" s="1"/>
  <c r="C5402" i="22" s="1"/>
  <c r="L80" i="13"/>
  <c r="E4804" i="22"/>
  <c r="U76" i="40"/>
  <c r="U77" i="40" s="1"/>
  <c r="BH180" i="38"/>
  <c r="P77" i="40"/>
  <c r="L11" i="40"/>
  <c r="L13" i="40" s="1"/>
  <c r="L32" i="40"/>
  <c r="L34" i="40" s="1"/>
  <c r="L40" i="40" s="1"/>
  <c r="L43" i="40" s="1"/>
  <c r="L7" i="40"/>
  <c r="M5216" i="22"/>
  <c r="M5231" i="22"/>
  <c r="G4958" i="22"/>
  <c r="G4962" i="22" s="1"/>
  <c r="W311" i="10"/>
  <c r="W312" i="10" s="1"/>
  <c r="W275" i="10"/>
  <c r="H4956" i="22"/>
  <c r="G4970" i="22"/>
  <c r="D4781" i="22"/>
  <c r="G4972" i="22"/>
  <c r="G4951" i="22"/>
  <c r="Y216" i="10"/>
  <c r="Y219" i="10" s="1"/>
  <c r="H3730" i="22"/>
  <c r="F4749" i="22"/>
  <c r="W300" i="10"/>
  <c r="W302" i="10" s="1"/>
  <c r="G3959" i="22"/>
  <c r="E4560" i="22"/>
  <c r="AA118" i="15"/>
  <c r="T325" i="10"/>
  <c r="U325" i="10" s="1"/>
  <c r="R324" i="10"/>
  <c r="T324" i="10" s="1"/>
  <c r="U324" i="10" s="1"/>
  <c r="L265" i="14"/>
  <c r="L267" i="14" s="1"/>
  <c r="M260" i="14"/>
  <c r="X219" i="10"/>
  <c r="X189" i="10"/>
  <c r="E264" i="14"/>
  <c r="E265" i="14" s="1"/>
  <c r="K267" i="14"/>
  <c r="Y205" i="10"/>
  <c r="Y226" i="10" s="1"/>
  <c r="Y227" i="10" s="1"/>
  <c r="Y209" i="10"/>
  <c r="AA81" i="15"/>
  <c r="C5481" i="22" l="1"/>
  <c r="C5453" i="22"/>
  <c r="C5474" i="22" s="1"/>
  <c r="W276" i="10"/>
  <c r="L92" i="13"/>
  <c r="Y189" i="10"/>
  <c r="X190" i="10"/>
  <c r="X191" i="10" s="1"/>
  <c r="Z216" i="10"/>
  <c r="Z219" i="10" s="1"/>
  <c r="M265" i="14"/>
  <c r="M267" i="14" s="1"/>
  <c r="N260" i="14"/>
  <c r="Y190" i="10" l="1"/>
  <c r="Y191" i="10" s="1"/>
  <c r="O260" i="14"/>
  <c r="N265" i="14"/>
  <c r="N267" i="14" s="1"/>
  <c r="P260" i="14" l="1"/>
  <c r="O265" i="14"/>
  <c r="O267" i="14" s="1"/>
  <c r="Q260" i="14" l="1"/>
  <c r="P265" i="14"/>
  <c r="P267" i="14" s="1"/>
  <c r="R260" i="14" l="1"/>
  <c r="S260" i="14" l="1"/>
  <c r="T260" i="14" l="1"/>
  <c r="U260" i="14" l="1"/>
  <c r="V260" i="14" l="1"/>
  <c r="W260" i="14" l="1"/>
  <c r="R275" i="19" l="1"/>
  <c r="R311" i="19"/>
  <c r="AA21" i="15"/>
  <c r="G9" i="40" l="1"/>
  <c r="Z20" i="15"/>
  <c r="G10" i="40"/>
  <c r="Z21" i="15"/>
  <c r="AT441" i="38"/>
  <c r="AT449" i="38" s="1"/>
  <c r="AB21" i="15" l="1"/>
  <c r="G20" i="40" l="1"/>
  <c r="AY441" i="38" l="1"/>
  <c r="AY449" i="38" s="1"/>
  <c r="AA20" i="15"/>
  <c r="AT462" i="38"/>
  <c r="D4558" i="22"/>
  <c r="Z114" i="15"/>
  <c r="Z35" i="15" l="1"/>
  <c r="Z78" i="15" l="1"/>
  <c r="C87" i="46"/>
  <c r="C122" i="46" s="1"/>
  <c r="C124" i="46" s="1"/>
  <c r="Z83" i="15" l="1"/>
  <c r="Z115" i="15" l="1"/>
  <c r="C61" i="46" l="1"/>
  <c r="C32" i="46" s="1"/>
  <c r="C82" i="46" l="1"/>
  <c r="C83" i="46" s="1"/>
  <c r="C88" i="46" l="1"/>
  <c r="C85" i="46"/>
  <c r="C89" i="46" s="1"/>
  <c r="C47" i="46" s="1"/>
  <c r="C45" i="46" l="1"/>
  <c r="D4559" i="22" l="1"/>
  <c r="AT501" i="38"/>
  <c r="Z27" i="15"/>
  <c r="Z26" i="15"/>
  <c r="AT455" i="38" l="1"/>
  <c r="AT457" i="38" s="1"/>
  <c r="G15" i="40"/>
  <c r="D4557" i="22"/>
  <c r="Z28" i="15"/>
  <c r="Z113" i="15"/>
  <c r="AT483" i="38" l="1"/>
  <c r="AT497" i="38" s="1"/>
  <c r="AT510" i="38" s="1"/>
  <c r="AT460" i="38"/>
  <c r="Z82" i="15" l="1"/>
  <c r="Z84" i="15" s="1"/>
  <c r="C59" i="46"/>
  <c r="C30" i="46" s="1"/>
  <c r="K23" i="13"/>
  <c r="G21" i="40"/>
  <c r="AT469" i="38"/>
  <c r="C4849" i="22"/>
  <c r="C4851" i="22" s="1"/>
  <c r="C4853" i="22" s="1"/>
  <c r="D4853" i="22" s="1"/>
  <c r="C4863" i="22" s="1"/>
  <c r="C4864" i="22" s="1"/>
  <c r="C4868" i="22" s="1"/>
  <c r="Z143" i="15"/>
  <c r="G3130" i="34"/>
  <c r="K319" i="37"/>
  <c r="K337" i="37"/>
  <c r="K338" i="37"/>
  <c r="K339" i="37"/>
  <c r="K361" i="37"/>
  <c r="K362" i="37"/>
  <c r="K363" i="37"/>
  <c r="K364" i="37"/>
  <c r="D4806" i="22" l="1"/>
  <c r="G45" i="40"/>
  <c r="F45" i="40" s="1"/>
  <c r="K341" i="37"/>
  <c r="K342" i="37" s="1"/>
  <c r="AT467" i="38"/>
  <c r="AT473" i="38" s="1"/>
  <c r="AT476" i="38" s="1"/>
  <c r="G4426" i="22"/>
  <c r="H371" i="25"/>
  <c r="K321" i="37"/>
  <c r="L342" i="37"/>
  <c r="H372" i="25" l="1"/>
  <c r="G4458" i="22"/>
  <c r="S4458" i="22"/>
  <c r="Y4455" i="22" s="1"/>
  <c r="Z144" i="15"/>
  <c r="K21" i="13"/>
  <c r="K305" i="37"/>
  <c r="K373" i="37"/>
  <c r="K482" i="37"/>
  <c r="N293" i="14" s="1"/>
  <c r="C4761" i="22" l="1"/>
  <c r="E4745" i="22"/>
  <c r="D4555" i="22"/>
  <c r="K377" i="37"/>
  <c r="E2786" i="22"/>
  <c r="D4804" i="22"/>
  <c r="K80" i="13"/>
  <c r="Z147" i="15"/>
  <c r="K375" i="37"/>
  <c r="F4034" i="22"/>
  <c r="C4841" i="22"/>
  <c r="C4843" i="22" s="1"/>
  <c r="C4857" i="22" s="1"/>
  <c r="G6" i="40" l="1"/>
  <c r="G7" i="40" s="1"/>
  <c r="K77" i="13"/>
  <c r="C9" i="46"/>
  <c r="Z19" i="15"/>
  <c r="Z81" i="15" s="1"/>
  <c r="F3950" i="22"/>
  <c r="F3959" i="22" s="1"/>
  <c r="F3960" i="22" s="1"/>
  <c r="G3710" i="22"/>
  <c r="G3730" i="22" s="1"/>
  <c r="K85" i="13"/>
  <c r="C5169" i="22" s="1"/>
  <c r="E4749" i="22"/>
  <c r="F4035" i="22"/>
  <c r="F4059" i="22"/>
  <c r="C4762" i="22"/>
  <c r="C4781" i="22"/>
  <c r="G34" i="40" l="1"/>
  <c r="F34" i="40" s="1"/>
  <c r="G13" i="40"/>
  <c r="C11" i="46"/>
  <c r="C14" i="46"/>
  <c r="C46" i="46"/>
  <c r="D10" i="46"/>
  <c r="G3711" i="22"/>
  <c r="F3951" i="22"/>
  <c r="K108" i="13"/>
  <c r="K107" i="13"/>
  <c r="K103" i="13"/>
  <c r="C5128" i="22"/>
  <c r="G3784" i="22"/>
  <c r="G3787" i="22" s="1"/>
  <c r="E2788" i="22"/>
  <c r="C4925" i="22"/>
  <c r="E4371" i="22"/>
  <c r="G18" i="40" l="1"/>
  <c r="Z29" i="15"/>
  <c r="C128" i="46"/>
  <c r="C16" i="46"/>
  <c r="C48" i="46"/>
  <c r="D15" i="46"/>
  <c r="J211" i="14"/>
  <c r="Z14" i="15" l="1"/>
  <c r="G23" i="40"/>
  <c r="K25" i="13"/>
  <c r="G42" i="40" s="1"/>
  <c r="F42" i="40" s="1"/>
  <c r="D4808" i="22" l="1"/>
  <c r="Z30" i="15"/>
  <c r="Z15" i="15" l="1"/>
  <c r="K58" i="13"/>
  <c r="D4812" i="22" l="1"/>
  <c r="K73" i="13"/>
  <c r="D4822" i="22" s="1"/>
  <c r="Z122" i="15" l="1"/>
  <c r="Z123" i="15" s="1"/>
  <c r="G29" i="40"/>
  <c r="K16" i="13"/>
  <c r="C67" i="46"/>
  <c r="C91" i="46"/>
  <c r="K78" i="13"/>
  <c r="AT539" i="38" l="1"/>
  <c r="AU511" i="38" s="1"/>
  <c r="Z25" i="15"/>
  <c r="Z121" i="15"/>
  <c r="Z7" i="15"/>
  <c r="D4799" i="22"/>
  <c r="K81" i="13"/>
  <c r="C4837" i="22"/>
  <c r="C4839" i="22" s="1"/>
  <c r="C4856" i="22" s="1"/>
  <c r="C4858" i="22" s="1"/>
  <c r="C4860" i="22" s="1"/>
  <c r="K94" i="13"/>
  <c r="C5168" i="22" s="1"/>
  <c r="C5170" i="22" s="1"/>
  <c r="K75" i="13"/>
  <c r="D4824" i="22" s="1"/>
  <c r="C5129" i="22"/>
  <c r="C4844" i="22" l="1"/>
  <c r="C4846" i="22" s="1"/>
  <c r="G3776" i="22"/>
  <c r="G3782" i="22" s="1"/>
  <c r="G3791" i="22" s="1"/>
  <c r="K96" i="13"/>
  <c r="E4158" i="22" s="1"/>
  <c r="E4159" i="22" s="1"/>
  <c r="K104" i="13"/>
  <c r="C5130" i="22"/>
  <c r="C5131" i="22" s="1"/>
  <c r="E4364" i="22"/>
  <c r="E4376" i="22" s="1"/>
  <c r="E4372" i="22"/>
  <c r="E4384" i="22" s="1"/>
  <c r="E4385" i="22" s="1"/>
  <c r="H3745" i="22"/>
  <c r="C4926" i="22"/>
  <c r="C4927" i="22" s="1"/>
  <c r="M4915" i="22" s="1"/>
  <c r="F4079" i="22"/>
  <c r="E4373" i="22" l="1"/>
  <c r="H3748" i="22"/>
  <c r="F4078" i="22"/>
  <c r="D4825" i="22"/>
  <c r="G3790" i="22"/>
  <c r="K97" i="13"/>
  <c r="C4928" i="22"/>
  <c r="M4916" i="22" s="1"/>
  <c r="E4370" i="22"/>
  <c r="L33" i="37"/>
  <c r="AA136" i="15" l="1"/>
  <c r="D4760" i="22" l="1"/>
  <c r="D4780" i="22" s="1"/>
  <c r="L113" i="37" l="1"/>
  <c r="AU210" i="38" l="1"/>
  <c r="AU211" i="38"/>
  <c r="CZ115" i="38" l="1"/>
  <c r="O59" i="40" l="1"/>
  <c r="P58" i="40"/>
  <c r="AE58" i="40" l="1"/>
  <c r="AG58" i="40" s="1"/>
  <c r="P59" i="40"/>
  <c r="BC191" i="38"/>
  <c r="CZ116" i="38"/>
  <c r="O65" i="40" l="1"/>
  <c r="P64" i="40"/>
  <c r="P65" i="40" s="1"/>
  <c r="CZ117" i="38"/>
  <c r="O95" i="40" l="1"/>
  <c r="AE64" i="40"/>
  <c r="AG64" i="40" s="1"/>
  <c r="P94" i="40"/>
  <c r="P95" i="40" s="1"/>
  <c r="CZ119" i="38"/>
  <c r="CZ208" i="38" s="1"/>
  <c r="BC192" i="38"/>
  <c r="AE94" i="40" l="1"/>
  <c r="AG94" i="40" s="1"/>
  <c r="CZ137" i="38"/>
  <c r="CZ195" i="38"/>
  <c r="BC119" i="38"/>
  <c r="BC193" i="38"/>
  <c r="BD132" i="38" l="1"/>
  <c r="BD211" i="38" s="1"/>
  <c r="BD134" i="38"/>
  <c r="BC195" i="38"/>
  <c r="CZ140" i="38"/>
  <c r="CZ420" i="38"/>
  <c r="CZ210" i="38"/>
  <c r="CZ482" i="38"/>
  <c r="CZ497" i="38" s="1"/>
  <c r="BC208" i="38"/>
  <c r="E4563" i="22"/>
  <c r="F4563" i="22"/>
  <c r="P103" i="40" l="1"/>
  <c r="AE103" i="40" s="1"/>
  <c r="M304" i="37"/>
  <c r="BD210" i="38"/>
  <c r="Q148" i="46"/>
  <c r="Q138" i="46" s="1"/>
  <c r="Q140" i="46" s="1"/>
  <c r="Q144" i="46" s="1"/>
  <c r="CZ211" i="38"/>
  <c r="CZ510" i="38"/>
  <c r="CZ539" i="38" s="1"/>
  <c r="O34" i="40"/>
  <c r="CZ449" i="38"/>
  <c r="Z288" i="1" l="1"/>
  <c r="Z11" i="1"/>
  <c r="Z165" i="1" s="1"/>
  <c r="Z169" i="1" s="1"/>
  <c r="Z10" i="1"/>
  <c r="P32" i="40"/>
  <c r="P34" i="40" s="1"/>
  <c r="P40" i="40" s="1"/>
  <c r="P43" i="40" s="1"/>
  <c r="P48" i="40" s="1"/>
  <c r="P51" i="40" s="1"/>
  <c r="AB146" i="15"/>
  <c r="M315" i="37"/>
  <c r="M319" i="37" s="1"/>
  <c r="P177" i="14"/>
  <c r="P178" i="14" s="1"/>
  <c r="P180" i="14" s="1"/>
  <c r="M489" i="37"/>
  <c r="BC482" i="38"/>
  <c r="BC142" i="38"/>
  <c r="BC460" i="38"/>
  <c r="H99" i="45" s="1"/>
  <c r="BC210" i="38"/>
  <c r="BC420" i="38"/>
  <c r="CZ460" i="38"/>
  <c r="CZ511" i="38"/>
  <c r="O7" i="40"/>
  <c r="O13" i="40"/>
  <c r="O27" i="40"/>
  <c r="AJ6" i="40"/>
  <c r="AE6" i="40"/>
  <c r="O40" i="40"/>
  <c r="O43" i="40" s="1"/>
  <c r="O48" i="40" s="1"/>
  <c r="O51" i="40" s="1"/>
  <c r="CZ562" i="38"/>
  <c r="I5598" i="22"/>
  <c r="BC211" i="38"/>
  <c r="Z12" i="1" l="1"/>
  <c r="Q6" i="40" s="1"/>
  <c r="BD482" i="38"/>
  <c r="BD497" i="38" s="1"/>
  <c r="BC497" i="38"/>
  <c r="H104" i="45" s="1"/>
  <c r="BE566" i="38"/>
  <c r="Q103" i="40"/>
  <c r="AF103" i="40" s="1"/>
  <c r="AG103" i="40" s="1"/>
  <c r="M340" i="37"/>
  <c r="M341" i="37" s="1"/>
  <c r="M317" i="37"/>
  <c r="M486" i="37"/>
  <c r="C5555" i="22"/>
  <c r="C5557" i="22" s="1"/>
  <c r="AB147" i="15"/>
  <c r="W106" i="4"/>
  <c r="L212" i="14"/>
  <c r="BC566" i="38"/>
  <c r="BC567" i="38"/>
  <c r="W154" i="45" s="1"/>
  <c r="BC560" i="38"/>
  <c r="BC562" i="38"/>
  <c r="BC558" i="38" s="1"/>
  <c r="AE27" i="40"/>
  <c r="CZ473" i="38"/>
  <c r="O18" i="40"/>
  <c r="O23" i="40" s="1"/>
  <c r="O24" i="40" s="1"/>
  <c r="CZ559" i="38"/>
  <c r="J5598" i="22" s="1"/>
  <c r="AY497" i="38"/>
  <c r="AY210" i="38"/>
  <c r="AY211" i="38"/>
  <c r="L35" i="37"/>
  <c r="Y5" i="1" l="1"/>
  <c r="Y419" i="1" s="1"/>
  <c r="L426" i="37"/>
  <c r="L425" i="37"/>
  <c r="L36" i="37"/>
  <c r="M36" i="37"/>
  <c r="M342" i="37"/>
  <c r="M487" i="37"/>
  <c r="M512" i="37" s="1"/>
  <c r="M321" i="37"/>
  <c r="I4426" i="22"/>
  <c r="J371" i="25"/>
  <c r="Q32" i="40"/>
  <c r="AF6" i="40"/>
  <c r="AG6" i="40" s="1"/>
  <c r="Q27" i="40"/>
  <c r="AF27" i="40" s="1"/>
  <c r="AG27" i="40" s="1"/>
  <c r="CZ476" i="38"/>
  <c r="L115" i="37"/>
  <c r="L4" i="40"/>
  <c r="L440" i="37"/>
  <c r="E4874" i="22" s="1"/>
  <c r="L40" i="37"/>
  <c r="L375" i="37"/>
  <c r="L377" i="37"/>
  <c r="L41" i="37"/>
  <c r="D4759" i="22"/>
  <c r="AA139" i="15"/>
  <c r="Y317" i="1" l="1"/>
  <c r="Y313" i="1"/>
  <c r="Y7" i="1"/>
  <c r="Y340" i="1"/>
  <c r="Y23" i="1"/>
  <c r="Y305" i="1"/>
  <c r="Y309" i="1"/>
  <c r="Y16" i="1"/>
  <c r="Y301" i="1"/>
  <c r="L116" i="37"/>
  <c r="L117" i="37"/>
  <c r="D5950" i="22"/>
  <c r="Q34" i="40"/>
  <c r="AF34" i="40" s="1"/>
  <c r="AF32" i="40"/>
  <c r="J376" i="25"/>
  <c r="J378" i="25" s="1"/>
  <c r="J372" i="25"/>
  <c r="I4458" i="22"/>
  <c r="I4428" i="22"/>
  <c r="U4458" i="22"/>
  <c r="AA4455" i="22" s="1"/>
  <c r="D6" i="46"/>
  <c r="D16" i="46" s="1"/>
  <c r="I366" i="25"/>
  <c r="L321" i="37"/>
  <c r="G4033" i="22"/>
  <c r="H3708" i="22"/>
  <c r="G3949" i="22"/>
  <c r="C5230" i="22"/>
  <c r="C5215" i="22"/>
  <c r="AA18" i="15"/>
  <c r="C5334" i="22"/>
  <c r="D5337" i="22"/>
  <c r="D4762" i="22"/>
  <c r="D4779" i="22"/>
  <c r="D11" i="46" l="1"/>
  <c r="E7" i="46"/>
  <c r="AE34" i="40"/>
  <c r="AG34" i="40" s="1"/>
  <c r="AE32" i="40"/>
  <c r="AG32" i="40" s="1"/>
  <c r="D7" i="46"/>
  <c r="I4460" i="22"/>
  <c r="U4460" i="22"/>
  <c r="AA4457" i="22" s="1"/>
  <c r="I372" i="25"/>
  <c r="I367" i="25"/>
  <c r="J367" i="25"/>
  <c r="M5215" i="22"/>
  <c r="C5232" i="22"/>
  <c r="C5217" i="22"/>
  <c r="M5230" i="22"/>
  <c r="D5227" i="22"/>
  <c r="G3951" i="22"/>
  <c r="G3960" i="22"/>
  <c r="H3729" i="22"/>
  <c r="H3711" i="22"/>
  <c r="G4035" i="22"/>
  <c r="G4058" i="22"/>
  <c r="E4808" i="22" l="1"/>
  <c r="C5382" i="22"/>
  <c r="L20" i="40" l="1"/>
  <c r="AY462" i="38" l="1"/>
  <c r="E4558" i="22"/>
  <c r="AA114" i="15"/>
  <c r="L77" i="13"/>
  <c r="BD441" i="38" l="1"/>
  <c r="BD449" i="38" s="1"/>
  <c r="AB20" i="15"/>
  <c r="AE13" i="40" l="1"/>
  <c r="Q9" i="40"/>
  <c r="AF9" i="40" s="1"/>
  <c r="AE9" i="40"/>
  <c r="AA35" i="15"/>
  <c r="AG9" i="40" l="1"/>
  <c r="AA78" i="15" l="1"/>
  <c r="D87" i="46" l="1"/>
  <c r="D122" i="46" s="1"/>
  <c r="D61" i="46" l="1"/>
  <c r="D32" i="46" s="1"/>
  <c r="D40" i="46"/>
  <c r="D42" i="46" s="1"/>
  <c r="D124" i="46"/>
  <c r="AA83" i="15"/>
  <c r="AA115" i="15" l="1"/>
  <c r="C5390" i="22"/>
  <c r="Q38" i="40" l="1"/>
  <c r="AF38" i="40" l="1"/>
  <c r="Q40" i="40"/>
  <c r="AF40" i="40" s="1"/>
  <c r="AE38" i="40"/>
  <c r="AE40" i="40"/>
  <c r="AG40" i="40" l="1"/>
  <c r="AG38" i="40"/>
  <c r="D82" i="46" l="1"/>
  <c r="D83" i="46" s="1"/>
  <c r="D88" i="46" l="1"/>
  <c r="D85" i="46"/>
  <c r="D89" i="46" s="1"/>
  <c r="AA122" i="15"/>
  <c r="L29" i="40" l="1"/>
  <c r="L16" i="13"/>
  <c r="D67" i="46"/>
  <c r="D47" i="46"/>
  <c r="D48" i="46"/>
  <c r="D91" i="46"/>
  <c r="D45" i="46"/>
  <c r="D46" i="46"/>
  <c r="E4559" i="22"/>
  <c r="AA121" i="15"/>
  <c r="AA123" i="15"/>
  <c r="AA27" i="15"/>
  <c r="AA26" i="15"/>
  <c r="AY455" i="38" l="1"/>
  <c r="AY457" i="38" s="1"/>
  <c r="L18" i="40"/>
  <c r="L76" i="13"/>
  <c r="AA25" i="15"/>
  <c r="C5404" i="22"/>
  <c r="C5406" i="22" s="1"/>
  <c r="E4799" i="22"/>
  <c r="AA7" i="15"/>
  <c r="L81" i="13"/>
  <c r="L75" i="13"/>
  <c r="E4824" i="22" s="1"/>
  <c r="D5129" i="22"/>
  <c r="L15" i="40"/>
  <c r="AY539" i="38"/>
  <c r="AZ511" i="38" s="1"/>
  <c r="D38" i="46"/>
  <c r="L78" i="13"/>
  <c r="E4557" i="22"/>
  <c r="AA28" i="15"/>
  <c r="AA113" i="15"/>
  <c r="AY460" i="38" l="1"/>
  <c r="C5433" i="22"/>
  <c r="C5434" i="22" s="1"/>
  <c r="C5783" i="22"/>
  <c r="L46" i="40"/>
  <c r="C5450" i="22"/>
  <c r="C5454" i="22" s="1"/>
  <c r="C5455" i="22" s="1"/>
  <c r="E5450" i="22"/>
  <c r="E5454" i="22" s="1"/>
  <c r="F5450" i="22"/>
  <c r="F5454" i="22" s="1"/>
  <c r="C5482" i="22"/>
  <c r="C5483" i="22" s="1"/>
  <c r="D5450" i="22"/>
  <c r="D5454" i="22" s="1"/>
  <c r="C5492" i="22"/>
  <c r="C5381" i="22"/>
  <c r="D5159" i="22"/>
  <c r="E4807" i="22"/>
  <c r="K211" i="14" l="1"/>
  <c r="C5781" i="22"/>
  <c r="L45" i="40"/>
  <c r="L48" i="40" s="1"/>
  <c r="D5783" i="22"/>
  <c r="Q46" i="40"/>
  <c r="AF46" i="40" s="1"/>
  <c r="C5490" i="22"/>
  <c r="C5379" i="22"/>
  <c r="E4806" i="22"/>
  <c r="D5158" i="22"/>
  <c r="L21" i="40"/>
  <c r="AY469" i="38"/>
  <c r="AE46" i="40" l="1"/>
  <c r="AG46" i="40" s="1"/>
  <c r="D5492" i="22"/>
  <c r="F4807" i="22"/>
  <c r="E5159" i="22"/>
  <c r="D5381" i="22"/>
  <c r="AY467" i="38"/>
  <c r="AY473" i="38" s="1"/>
  <c r="AY476" i="38" s="1"/>
  <c r="L23" i="40" l="1"/>
  <c r="BI507" i="38"/>
  <c r="U46" i="40" s="1"/>
  <c r="E5783" i="22"/>
  <c r="E5492" i="22"/>
  <c r="E5381" i="22"/>
  <c r="G4807" i="22"/>
  <c r="F5159" i="22"/>
  <c r="AA29" i="15"/>
  <c r="AA14" i="15"/>
  <c r="E4809" i="22"/>
  <c r="D5160" i="22"/>
  <c r="D5164" i="22" s="1"/>
  <c r="C5383" i="22"/>
  <c r="L27" i="13"/>
  <c r="C5786" i="22" s="1"/>
  <c r="L29" i="13" l="1"/>
  <c r="C5495" i="22"/>
  <c r="L71" i="13"/>
  <c r="E4820" i="22" s="1"/>
  <c r="H3716" i="22"/>
  <c r="H3733" i="22" s="1"/>
  <c r="G4083" i="22"/>
  <c r="H3793" i="22"/>
  <c r="H4483" i="22"/>
  <c r="H4484" i="22" s="1"/>
  <c r="H4485" i="22" s="1"/>
  <c r="E4607" i="22"/>
  <c r="H4429" i="22"/>
  <c r="H4461" i="22" s="1"/>
  <c r="D4766" i="22"/>
  <c r="D4784" i="22" s="1"/>
  <c r="E4810" i="22"/>
  <c r="C5222" i="22"/>
  <c r="M5222" i="22" s="1"/>
  <c r="C4867" i="22"/>
  <c r="C4870" i="22" s="1"/>
  <c r="C4871" i="22" s="1"/>
  <c r="D4903" i="22"/>
  <c r="C5384" i="22"/>
  <c r="D5127" i="22"/>
  <c r="C5497" i="22" l="1"/>
  <c r="C5788" i="22"/>
  <c r="L32" i="13"/>
  <c r="C5387" i="22"/>
  <c r="L69" i="13"/>
  <c r="D4905" i="22"/>
  <c r="D4893" i="22"/>
  <c r="D4895" i="22" s="1"/>
  <c r="D4896" i="22" s="1"/>
  <c r="D4904" i="22"/>
  <c r="D4911" i="22"/>
  <c r="H3797" i="22"/>
  <c r="H3794" i="22"/>
  <c r="C5791" i="22" l="1"/>
  <c r="AA31" i="15"/>
  <c r="C5391" i="22"/>
  <c r="C5236" i="22"/>
  <c r="M5236" i="22" s="1"/>
  <c r="C5574" i="22"/>
  <c r="C5575" i="22" s="1"/>
  <c r="C5733" i="22"/>
  <c r="C5735" i="22" s="1"/>
  <c r="L70" i="13"/>
  <c r="C5794" i="22" s="1"/>
  <c r="C5403" i="22"/>
  <c r="C5458" i="22" s="1"/>
  <c r="C5475" i="22" s="1"/>
  <c r="C5476" i="22" s="1"/>
  <c r="C5477" i="22" s="1"/>
  <c r="C5500" i="22"/>
  <c r="H3798" i="22"/>
  <c r="H3799" i="22" s="1"/>
  <c r="H3795" i="22"/>
  <c r="D4912" i="22"/>
  <c r="D4913" i="22"/>
  <c r="C5459" i="22" l="1"/>
  <c r="C5460" i="22" s="1"/>
  <c r="AA82" i="15"/>
  <c r="AA84" i="15" s="1"/>
  <c r="D59" i="46"/>
  <c r="D30" i="46" l="1"/>
  <c r="D128" i="46"/>
  <c r="AA30" i="15" l="1"/>
  <c r="AA15" i="15" l="1"/>
  <c r="L58" i="13"/>
  <c r="E4812" i="22" l="1"/>
  <c r="L73" i="13"/>
  <c r="E4822" i="22" s="1"/>
  <c r="B38" i="46"/>
  <c r="C38" i="46"/>
  <c r="Q21" i="40"/>
  <c r="AF21" i="40" s="1"/>
  <c r="G4563" i="22"/>
  <c r="BD467" i="38" l="1"/>
  <c r="V21" i="40"/>
  <c r="BI467" i="38"/>
  <c r="AE21" i="40"/>
  <c r="AG21" i="40" s="1"/>
  <c r="AB26" i="15"/>
  <c r="U21" i="40" l="1"/>
  <c r="AC26" i="15"/>
  <c r="BG55" i="38" l="1"/>
  <c r="K5598" i="22" l="1"/>
  <c r="U57" i="40" l="1"/>
  <c r="U55" i="40"/>
  <c r="U59" i="40" s="1"/>
  <c r="BH191" i="38"/>
  <c r="S80" i="40" l="1"/>
  <c r="T82" i="40" l="1"/>
  <c r="S82" i="40"/>
  <c r="T80" i="40"/>
  <c r="P81" i="40" l="1"/>
  <c r="R115" i="45"/>
  <c r="AE15" i="40"/>
  <c r="AE20" i="40" l="1"/>
  <c r="BC473" i="38"/>
  <c r="H100" i="45" l="1"/>
  <c r="BC476" i="38"/>
  <c r="AE42" i="40"/>
  <c r="BC510" i="38" l="1"/>
  <c r="BC511" i="38"/>
  <c r="P82" i="40"/>
  <c r="BD462" i="38"/>
  <c r="P83" i="40" l="1"/>
  <c r="AE82" i="40"/>
  <c r="AG82" i="40" s="1"/>
  <c r="F4558" i="22"/>
  <c r="AB114" i="15"/>
  <c r="Q20" i="40"/>
  <c r="AF20" i="40" s="1"/>
  <c r="AG20" i="40" s="1"/>
  <c r="AC20" i="15"/>
  <c r="BU441" i="38" l="1"/>
  <c r="BT441" i="38" s="1"/>
  <c r="V9" i="40"/>
  <c r="U9" i="40" s="1"/>
  <c r="AB35" i="15" l="1"/>
  <c r="Q11" i="40"/>
  <c r="AF11" i="40" l="1"/>
  <c r="AG11" i="40" s="1"/>
  <c r="Q13" i="40"/>
  <c r="AF13" i="40" s="1"/>
  <c r="AG13" i="40" s="1"/>
  <c r="AB78" i="15"/>
  <c r="E87" i="46"/>
  <c r="E122" i="46" s="1"/>
  <c r="E40" i="46" l="1"/>
  <c r="E42" i="46" s="1"/>
  <c r="E124" i="46"/>
  <c r="AB83" i="15" l="1"/>
  <c r="D5790" i="22" l="1"/>
  <c r="D5390" i="22"/>
  <c r="D5499" i="22"/>
  <c r="E61" i="46" l="1"/>
  <c r="E32" i="46" s="1"/>
  <c r="AB115" i="15"/>
  <c r="AB27" i="15" l="1"/>
  <c r="BH301" i="38" l="1"/>
  <c r="T68" i="40"/>
  <c r="S68" i="40"/>
  <c r="CW350" i="38"/>
  <c r="R106" i="40" l="1"/>
  <c r="T67" i="40"/>
  <c r="S67" i="40"/>
  <c r="U68" i="40"/>
  <c r="CX350" i="38"/>
  <c r="T79" i="40"/>
  <c r="T83" i="40" s="1"/>
  <c r="U67" i="40" l="1"/>
  <c r="BH276" i="38"/>
  <c r="U69" i="40"/>
  <c r="S70" i="40"/>
  <c r="T70" i="40"/>
  <c r="S79" i="40"/>
  <c r="S83" i="40" s="1"/>
  <c r="BH279" i="38"/>
  <c r="BI279" i="38" l="1"/>
  <c r="N165" i="37" s="1"/>
  <c r="BI276" i="38"/>
  <c r="N162" i="37" s="1"/>
  <c r="BH326" i="38"/>
  <c r="T71" i="40"/>
  <c r="T106" i="40"/>
  <c r="S71" i="40"/>
  <c r="S106" i="40"/>
  <c r="BH182" i="38"/>
  <c r="S85" i="40" l="1"/>
  <c r="S89" i="40" s="1"/>
  <c r="S55" i="40" l="1"/>
  <c r="S59" i="40" s="1"/>
  <c r="M307" i="37"/>
  <c r="Z13" i="1" s="1"/>
  <c r="Z329" i="1" l="1"/>
  <c r="Z82" i="1"/>
  <c r="Z14" i="1"/>
  <c r="AB192" i="15" s="1"/>
  <c r="AB199" i="15" s="1"/>
  <c r="AB203" i="15" s="1"/>
  <c r="AB206" i="15" s="1"/>
  <c r="F4555" i="22"/>
  <c r="G4745" i="22"/>
  <c r="E4761" i="22"/>
  <c r="M491" i="37"/>
  <c r="Z19" i="1" l="1"/>
  <c r="Z30" i="1"/>
  <c r="Z42" i="1" s="1"/>
  <c r="Z60" i="1"/>
  <c r="Z66" i="1" s="1"/>
  <c r="Z16" i="1"/>
  <c r="Z15" i="1"/>
  <c r="Z151" i="1"/>
  <c r="G4747" i="22"/>
  <c r="G4751" i="22" s="1"/>
  <c r="G4749" i="22"/>
  <c r="E4762" i="22"/>
  <c r="E4765" i="22"/>
  <c r="Z440" i="1" l="1"/>
  <c r="Z21" i="1"/>
  <c r="Z69" i="1"/>
  <c r="Z67" i="1"/>
  <c r="Z162" i="1"/>
  <c r="Z47" i="1"/>
  <c r="C27" i="47"/>
  <c r="C28" i="47" s="1"/>
  <c r="H3950" i="22"/>
  <c r="D5231" i="22"/>
  <c r="D5216" i="22"/>
  <c r="AB19" i="15"/>
  <c r="E9" i="46"/>
  <c r="M21" i="13"/>
  <c r="C14" i="47" s="1"/>
  <c r="Z361" i="1" l="1"/>
  <c r="Z48" i="1"/>
  <c r="Z56" i="1"/>
  <c r="Z79" i="1"/>
  <c r="Z88" i="1" s="1"/>
  <c r="Z92" i="1" s="1"/>
  <c r="Z186" i="1"/>
  <c r="Z163" i="1"/>
  <c r="Z178" i="1" s="1"/>
  <c r="Z171" i="1"/>
  <c r="Z173" i="1" s="1"/>
  <c r="Z71" i="1"/>
  <c r="Z390" i="1"/>
  <c r="M77" i="13"/>
  <c r="E11" i="46"/>
  <c r="E14" i="46"/>
  <c r="E10" i="46"/>
  <c r="E22" i="46"/>
  <c r="AB23" i="15"/>
  <c r="AB81" i="15"/>
  <c r="N5216" i="22"/>
  <c r="D5217" i="22"/>
  <c r="D5220" i="22"/>
  <c r="N5220" i="22" s="1"/>
  <c r="N5231" i="22"/>
  <c r="D5232" i="22"/>
  <c r="D5235" i="22"/>
  <c r="N5235" i="22" s="1"/>
  <c r="F4804" i="22"/>
  <c r="D5377" i="22"/>
  <c r="D5398" i="22"/>
  <c r="C5275" i="22"/>
  <c r="C5281" i="22" s="1"/>
  <c r="E5154" i="22"/>
  <c r="F5250" i="22"/>
  <c r="G5250" i="22" s="1"/>
  <c r="D5488" i="22"/>
  <c r="M80" i="13"/>
  <c r="H3951" i="22"/>
  <c r="H3959" i="22"/>
  <c r="H3960" i="22" s="1"/>
  <c r="AB112" i="15" l="1"/>
  <c r="AB24" i="15"/>
  <c r="E5155" i="22"/>
  <c r="E16" i="46"/>
  <c r="E15" i="46"/>
  <c r="E57" i="46"/>
  <c r="E24" i="46"/>
  <c r="D5400" i="22"/>
  <c r="D5439" i="22"/>
  <c r="D5402" i="22" l="1"/>
  <c r="D5453" i="22"/>
  <c r="D5481" i="22"/>
  <c r="E28" i="46"/>
  <c r="D5455" i="22" l="1"/>
  <c r="D5474" i="22"/>
  <c r="F4808" i="22"/>
  <c r="E5163" i="22"/>
  <c r="D5380" i="22"/>
  <c r="D5382" i="22"/>
  <c r="D5491" i="22"/>
  <c r="D5493" i="22"/>
  <c r="D5782" i="22"/>
  <c r="D5784" i="22"/>
  <c r="Q42" i="40"/>
  <c r="AF42" i="40" s="1"/>
  <c r="AG42" i="40" s="1"/>
  <c r="L50" i="40"/>
  <c r="L51" i="40" s="1"/>
  <c r="Q43" i="40" l="1"/>
  <c r="AF43" i="40" s="1"/>
  <c r="AE43" i="40" l="1"/>
  <c r="AG43" i="40" s="1"/>
  <c r="F4809" i="22"/>
  <c r="E5160" i="22"/>
  <c r="D5383" i="22"/>
  <c r="D5494" i="22"/>
  <c r="D5785" i="22"/>
  <c r="Q49" i="40"/>
  <c r="AF49" i="40" s="1"/>
  <c r="AG49" i="40" s="1"/>
  <c r="F4806" i="22"/>
  <c r="E5158" i="22"/>
  <c r="D5379" i="22"/>
  <c r="D5490" i="22"/>
  <c r="D5781" i="22"/>
  <c r="Q45" i="40"/>
  <c r="M27" i="13"/>
  <c r="M29" i="13" s="1"/>
  <c r="E5164" i="22" l="1"/>
  <c r="Q48" i="40"/>
  <c r="AF48" i="40" s="1"/>
  <c r="M71" i="13"/>
  <c r="F4820" i="22" s="1"/>
  <c r="AF45" i="40"/>
  <c r="D5497" i="22"/>
  <c r="D5387" i="22"/>
  <c r="D5788" i="22"/>
  <c r="M32" i="13"/>
  <c r="AE45" i="40"/>
  <c r="E5127" i="22"/>
  <c r="I4429" i="22"/>
  <c r="I4461" i="22" s="1"/>
  <c r="F4810" i="22"/>
  <c r="D5222" i="22"/>
  <c r="N5222" i="22" s="1"/>
  <c r="I3793" i="22"/>
  <c r="F4607" i="22"/>
  <c r="E4903" i="22"/>
  <c r="H4083" i="22"/>
  <c r="D5384" i="22"/>
  <c r="D5786" i="22"/>
  <c r="I4483" i="22"/>
  <c r="E4766" i="22"/>
  <c r="D5495" i="22"/>
  <c r="C23" i="47" l="1"/>
  <c r="AB31" i="15"/>
  <c r="M69" i="13"/>
  <c r="AG45" i="40"/>
  <c r="E4905" i="22"/>
  <c r="E4893" i="22"/>
  <c r="E4895" i="22" s="1"/>
  <c r="E4896" i="22" s="1"/>
  <c r="E4911" i="22"/>
  <c r="E4904" i="22"/>
  <c r="I3794" i="22"/>
  <c r="I3797" i="22"/>
  <c r="AE48" i="40"/>
  <c r="AG48" i="40" s="1"/>
  <c r="AE51" i="40"/>
  <c r="D5391" i="22"/>
  <c r="D5791" i="22"/>
  <c r="D5236" i="22"/>
  <c r="N5236" i="22" s="1"/>
  <c r="D5500" i="22"/>
  <c r="D5403" i="22"/>
  <c r="D5458" i="22" s="1"/>
  <c r="D5733" i="22"/>
  <c r="D5735" i="22" s="1"/>
  <c r="D5574" i="22"/>
  <c r="D5920" i="22"/>
  <c r="M70" i="13"/>
  <c r="D5794" i="22" l="1"/>
  <c r="K9" i="47"/>
  <c r="D5475" i="22"/>
  <c r="D5476" i="22" s="1"/>
  <c r="D5477" i="22" s="1"/>
  <c r="D5459" i="22"/>
  <c r="D5460" i="22" s="1"/>
  <c r="I3798" i="22"/>
  <c r="I3799" i="22" s="1"/>
  <c r="I3795" i="22"/>
  <c r="E4912" i="22"/>
  <c r="E4913" i="22"/>
  <c r="D5575" i="22"/>
  <c r="BD455" i="38" l="1"/>
  <c r="E59" i="46"/>
  <c r="AB28" i="15"/>
  <c r="F4557" i="22"/>
  <c r="AB113" i="15"/>
  <c r="Q15" i="40"/>
  <c r="AF15" i="40" s="1"/>
  <c r="AG15" i="40" s="1"/>
  <c r="Q18" i="40" l="1"/>
  <c r="AF18" i="40" s="1"/>
  <c r="C32" i="47"/>
  <c r="AB14" i="15"/>
  <c r="Q23" i="40"/>
  <c r="AF23" i="40" s="1"/>
  <c r="AB29" i="15"/>
  <c r="BD457" i="38"/>
  <c r="BD460" i="38"/>
  <c r="BD473" i="38" s="1"/>
  <c r="BD476" i="38" s="1"/>
  <c r="E30" i="46"/>
  <c r="E128" i="46"/>
  <c r="L211" i="14" l="1"/>
  <c r="AE18" i="40"/>
  <c r="AG18" i="40" s="1"/>
  <c r="AE23" i="40" l="1"/>
  <c r="AG23" i="40" s="1"/>
  <c r="BU442" i="38" l="1"/>
  <c r="BT442" i="38" s="1"/>
  <c r="AC21" i="15"/>
  <c r="V10" i="40"/>
  <c r="U10" i="40" s="1"/>
  <c r="BI441" i="38"/>
  <c r="AD21" i="15" l="1"/>
  <c r="AA10" i="40" l="1"/>
  <c r="AE21" i="15" l="1"/>
  <c r="AB10" i="40" l="1"/>
  <c r="AF21" i="15" l="1"/>
  <c r="AG21" i="15" l="1"/>
  <c r="AH21" i="15" l="1"/>
  <c r="AI21" i="15" l="1"/>
  <c r="Y8" i="46" l="1"/>
  <c r="G277" i="14"/>
  <c r="H277" i="14"/>
  <c r="I277" i="14"/>
  <c r="J277" i="14"/>
  <c r="K277" i="14"/>
  <c r="L277" i="14"/>
  <c r="M277" i="14"/>
  <c r="N277" i="14"/>
  <c r="O277" i="14"/>
  <c r="P277" i="14"/>
  <c r="Q277" i="14"/>
  <c r="R277" i="14"/>
  <c r="S277" i="14"/>
  <c r="T277" i="14"/>
  <c r="U277" i="14"/>
  <c r="V277" i="14"/>
  <c r="W277" i="14"/>
  <c r="AE5" i="40" l="1"/>
  <c r="G5164" i="22" l="1"/>
  <c r="I55" i="45"/>
  <c r="J55" i="45"/>
  <c r="K55" i="45"/>
  <c r="G40" i="45"/>
  <c r="H56" i="45" s="1"/>
  <c r="H55" i="45"/>
  <c r="R105" i="40"/>
  <c r="S98" i="40" l="1"/>
  <c r="S105" i="40" s="1"/>
  <c r="S97" i="40"/>
  <c r="S100" i="40" s="1"/>
  <c r="T98" i="40"/>
  <c r="T105" i="40" s="1"/>
  <c r="BH311" i="38"/>
  <c r="BF57" i="38" l="1"/>
  <c r="BF69" i="38" s="1"/>
  <c r="BF189" i="38"/>
  <c r="CW360" i="38"/>
  <c r="S5" i="40" l="1"/>
  <c r="CW364" i="38"/>
  <c r="BG57" i="38"/>
  <c r="BG69" i="38" s="1"/>
  <c r="T97" i="40"/>
  <c r="T100" i="40" s="1"/>
  <c r="BG206" i="38"/>
  <c r="T5" i="40" l="1"/>
  <c r="I93" i="45"/>
  <c r="G93" i="45"/>
  <c r="E93" i="45"/>
  <c r="S91" i="40"/>
  <c r="BF19" i="38"/>
  <c r="BH288" i="38" l="1"/>
  <c r="BF21" i="38"/>
  <c r="BF32" i="38" s="1"/>
  <c r="S94" i="40"/>
  <c r="S95" i="40" s="1"/>
  <c r="BF119" i="38"/>
  <c r="T91" i="40"/>
  <c r="BG19" i="38"/>
  <c r="BG21" i="38" s="1"/>
  <c r="BG32" i="38" s="1"/>
  <c r="BI288" i="38" l="1"/>
  <c r="N170" i="37" s="1"/>
  <c r="BF143" i="38"/>
  <c r="BH19" i="38"/>
  <c r="S103" i="40"/>
  <c r="U91" i="40"/>
  <c r="BF195" i="38"/>
  <c r="BF208" i="38"/>
  <c r="S4" i="40"/>
  <c r="T94" i="40"/>
  <c r="T95" i="40" s="1"/>
  <c r="BG119" i="38"/>
  <c r="BG143" i="38" s="1"/>
  <c r="BH193" i="38" l="1"/>
  <c r="U94" i="40"/>
  <c r="U95" i="40" s="1"/>
  <c r="BH119" i="38"/>
  <c r="BI195" i="38" s="1"/>
  <c r="BG195" i="38"/>
  <c r="T103" i="40" l="1"/>
  <c r="BH195" i="38"/>
  <c r="Z151" i="45" l="1"/>
  <c r="AA151" i="45"/>
  <c r="S6" i="40" l="1"/>
  <c r="BF142" i="38"/>
  <c r="S32" i="40"/>
  <c r="S34" i="40" s="1"/>
  <c r="S40" i="40" s="1"/>
  <c r="S43" i="40" s="1"/>
  <c r="S48" i="40" s="1"/>
  <c r="S51" i="40" s="1"/>
  <c r="BF420" i="38"/>
  <c r="BF482" i="38"/>
  <c r="BF497" i="38" l="1"/>
  <c r="BF566" i="38"/>
  <c r="BF460" i="38"/>
  <c r="S13" i="40"/>
  <c r="S7" i="40"/>
  <c r="S27" i="40"/>
  <c r="S18" i="40" l="1"/>
  <c r="S23" i="40" s="1"/>
  <c r="S24" i="40" s="1"/>
  <c r="BF510" i="38"/>
  <c r="S29" i="40" s="1"/>
  <c r="BF473" i="38"/>
  <c r="BF476" i="38" s="1"/>
  <c r="Y153" i="45" l="1"/>
  <c r="N123" i="13"/>
  <c r="D19" i="47" s="1"/>
  <c r="N42" i="13" l="1"/>
  <c r="U49" i="40"/>
  <c r="E5785" i="22"/>
  <c r="V49" i="40"/>
  <c r="E5383" i="22"/>
  <c r="G4809" i="22"/>
  <c r="C5984" i="22"/>
  <c r="E5494" i="22"/>
  <c r="F5160" i="22"/>
  <c r="BQ487" i="38"/>
  <c r="O123" i="13"/>
  <c r="O26" i="13" s="1"/>
  <c r="AD197" i="15" s="1"/>
  <c r="P123" i="13"/>
  <c r="P26" i="13" s="1"/>
  <c r="F19" i="47" l="1"/>
  <c r="AE197" i="15"/>
  <c r="E19" i="47"/>
  <c r="BN488" i="38"/>
  <c r="BM488" i="38" s="1"/>
  <c r="D5984" i="22"/>
  <c r="O42" i="13"/>
  <c r="AA49" i="40"/>
  <c r="P42" i="13"/>
  <c r="AB49" i="40"/>
  <c r="E5984" i="22"/>
  <c r="F6102" i="22" l="1"/>
  <c r="G6102" i="22"/>
  <c r="H6102" i="22"/>
  <c r="I6102" i="22"/>
  <c r="F6115" i="22" l="1"/>
  <c r="F6116" i="22" s="1"/>
  <c r="F6122" i="22"/>
  <c r="T85" i="40"/>
  <c r="T88" i="40" l="1"/>
  <c r="T89" i="40" s="1"/>
  <c r="BG196" i="38"/>
  <c r="T4" i="40" l="1"/>
  <c r="BG211" i="38"/>
  <c r="T6" i="40"/>
  <c r="BG208" i="38"/>
  <c r="BG189" i="38"/>
  <c r="BG210" i="38"/>
  <c r="T7" i="40" l="1"/>
  <c r="BG142" i="38"/>
  <c r="BG420" i="38"/>
  <c r="T32" i="40"/>
  <c r="T34" i="40" s="1"/>
  <c r="T40" i="40" s="1"/>
  <c r="T43" i="40" s="1"/>
  <c r="T48" i="40" s="1"/>
  <c r="T51" i="40" s="1"/>
  <c r="C102" i="45"/>
  <c r="G92" i="45"/>
  <c r="I92" i="45"/>
  <c r="E92" i="45"/>
  <c r="I94" i="45"/>
  <c r="C103" i="45"/>
  <c r="C95" i="45"/>
  <c r="I95" i="45" s="1"/>
  <c r="E94" i="45"/>
  <c r="BG482" i="38"/>
  <c r="T13" i="40"/>
  <c r="T27" i="40"/>
  <c r="BG566" i="38" l="1"/>
  <c r="BG497" i="38"/>
  <c r="BG510" i="38" s="1"/>
  <c r="F103" i="45"/>
  <c r="G103" i="45" s="1"/>
  <c r="G94" i="45"/>
  <c r="E103" i="45"/>
  <c r="I103" i="45"/>
  <c r="I96" i="45"/>
  <c r="C97" i="45"/>
  <c r="I97" i="45" s="1"/>
  <c r="G96" i="45"/>
  <c r="E96" i="45"/>
  <c r="T18" i="40"/>
  <c r="T23" i="40" s="1"/>
  <c r="T24" i="40" s="1"/>
  <c r="H3713" i="22"/>
  <c r="H3715" i="22" s="1"/>
  <c r="H3732" i="22" s="1"/>
  <c r="G4037" i="22"/>
  <c r="G4038" i="22" s="1"/>
  <c r="E4556" i="22"/>
  <c r="E4564" i="22" s="1"/>
  <c r="F4746" i="22"/>
  <c r="F4747" i="22" s="1"/>
  <c r="F4751" i="22" s="1"/>
  <c r="D4763" i="22"/>
  <c r="D4764" i="22" s="1"/>
  <c r="E4875" i="22"/>
  <c r="C5218" i="22"/>
  <c r="C5233" i="22"/>
  <c r="C5234" i="22" s="1"/>
  <c r="AA88" i="15"/>
  <c r="L26" i="40"/>
  <c r="L27" i="40" s="1"/>
  <c r="D18" i="46"/>
  <c r="D20" i="46" s="1"/>
  <c r="L431" i="37"/>
  <c r="L439" i="37"/>
  <c r="L486" i="37" s="1"/>
  <c r="L447" i="37"/>
  <c r="L491" i="37"/>
  <c r="L493" i="37" s="1"/>
  <c r="L45" i="13"/>
  <c r="T29" i="40" l="1"/>
  <c r="G4060" i="22"/>
  <c r="H3714" i="22"/>
  <c r="M5233" i="22"/>
  <c r="D4782" i="22"/>
  <c r="AA23" i="15"/>
  <c r="AA24" i="15" s="1"/>
  <c r="G4039" i="22"/>
  <c r="G4061" i="22" s="1"/>
  <c r="C5235" i="22"/>
  <c r="M5235" i="22" s="1"/>
  <c r="F4750" i="22"/>
  <c r="D4765" i="22"/>
  <c r="D4783" i="22" s="1"/>
  <c r="H3731" i="22"/>
  <c r="M493" i="37"/>
  <c r="L438" i="37"/>
  <c r="L480" i="37"/>
  <c r="H4427" i="22"/>
  <c r="I374" i="25"/>
  <c r="L443" i="37"/>
  <c r="D22" i="46"/>
  <c r="E19" i="46"/>
  <c r="M5218" i="22"/>
  <c r="C5219" i="22"/>
  <c r="C5220" i="22"/>
  <c r="M5220" i="22" s="1"/>
  <c r="AA112" i="15" l="1"/>
  <c r="AA117" i="15" s="1"/>
  <c r="I376" i="25"/>
  <c r="I378" i="25" s="1"/>
  <c r="I375" i="25"/>
  <c r="O278" i="14"/>
  <c r="L485" i="37"/>
  <c r="L489" i="37" s="1"/>
  <c r="H4428" i="22"/>
  <c r="T4459" i="22"/>
  <c r="Z4456" i="22" s="1"/>
  <c r="H4459" i="22"/>
  <c r="E23" i="46"/>
  <c r="D57" i="46"/>
  <c r="D24" i="46"/>
  <c r="H4460" i="22" l="1"/>
  <c r="T4460" i="22"/>
  <c r="Z4457" i="22" s="1"/>
  <c r="D62" i="46"/>
  <c r="D28" i="46"/>
  <c r="D65" i="46" l="1"/>
  <c r="D36" i="46" s="1"/>
  <c r="D33" i="46"/>
  <c r="D66" i="46" l="1"/>
  <c r="D37" i="46" s="1"/>
  <c r="L34" i="37"/>
  <c r="K22" i="47" s="1"/>
  <c r="AA137" i="15" l="1"/>
  <c r="L114" i="37"/>
  <c r="P80" i="40"/>
  <c r="AE80" i="40" s="1"/>
  <c r="AG80" i="40" s="1"/>
  <c r="BD41" i="38"/>
  <c r="BD303" i="38" s="1"/>
  <c r="BC49" i="38"/>
  <c r="BC57" i="38" s="1"/>
  <c r="BC69" i="38" s="1"/>
  <c r="BD69" i="38" s="1"/>
  <c r="M76" i="37" s="1"/>
  <c r="M114" i="37" s="1"/>
  <c r="BC78" i="38"/>
  <c r="BC98" i="38" s="1"/>
  <c r="BC303" i="38"/>
  <c r="BD49" i="38" l="1"/>
  <c r="BD57" i="38" s="1"/>
  <c r="M48" i="37"/>
  <c r="X242" i="10"/>
  <c r="M251" i="37"/>
  <c r="X243" i="10" s="1"/>
  <c r="M210" i="37"/>
  <c r="BD352" i="38" s="1"/>
  <c r="M236" i="37"/>
  <c r="M242" i="37" s="1"/>
  <c r="M243" i="37" s="1"/>
  <c r="BD58" i="38" l="1"/>
  <c r="BI58" i="38"/>
  <c r="X241" i="10"/>
  <c r="X249" i="10" s="1"/>
  <c r="M57" i="37"/>
  <c r="M88" i="37"/>
  <c r="BD78" i="38" s="1"/>
  <c r="BD98" i="38" s="1"/>
  <c r="X265" i="10" l="1"/>
  <c r="X252" i="10"/>
  <c r="X256" i="10" s="1"/>
  <c r="M65" i="37"/>
  <c r="M244" i="37" s="1"/>
  <c r="M77" i="37"/>
  <c r="M78" i="37" s="1"/>
  <c r="M97" i="37"/>
  <c r="U81" i="40"/>
  <c r="AC154" i="15" l="1"/>
  <c r="L23" i="47"/>
  <c r="M85" i="13"/>
  <c r="E5169" i="22" s="1"/>
  <c r="E5179" i="22" s="1"/>
  <c r="E5180" i="22" s="1"/>
  <c r="X268" i="10"/>
  <c r="X289" i="10"/>
  <c r="X290" i="10" s="1"/>
  <c r="N88" i="37"/>
  <c r="BI78" i="38" s="1"/>
  <c r="BI98" i="38" s="1"/>
  <c r="E4760" i="22"/>
  <c r="Q5" i="40"/>
  <c r="M115" i="37"/>
  <c r="I4412" i="22"/>
  <c r="J4412" i="22"/>
  <c r="U80" i="40"/>
  <c r="V80" i="40" s="1"/>
  <c r="BH49" i="38"/>
  <c r="X259" i="10"/>
  <c r="X271" i="10" s="1"/>
  <c r="M116" i="37" l="1"/>
  <c r="M117" i="37"/>
  <c r="Y245" i="10"/>
  <c r="N456" i="37"/>
  <c r="N328" i="37"/>
  <c r="M107" i="13"/>
  <c r="M108" i="13"/>
  <c r="E5128" i="22"/>
  <c r="M103" i="13"/>
  <c r="E5174" i="22" s="1"/>
  <c r="I3784" i="22"/>
  <c r="I3787" i="22" s="1"/>
  <c r="J4414" i="22"/>
  <c r="J4413" i="22" s="1"/>
  <c r="J4424" i="22" s="1"/>
  <c r="J4455" i="22" s="1"/>
  <c r="AC134" i="15"/>
  <c r="N97" i="37"/>
  <c r="N17" i="37"/>
  <c r="N430" i="37" s="1"/>
  <c r="N437" i="37" s="1"/>
  <c r="I4404" i="22"/>
  <c r="I4407" i="22"/>
  <c r="I4398" i="22"/>
  <c r="I4423" i="22"/>
  <c r="I4413" i="22"/>
  <c r="I4424" i="22" s="1"/>
  <c r="I4455" i="22" s="1"/>
  <c r="Q7" i="40"/>
  <c r="AF5" i="40"/>
  <c r="AG5" i="40" s="1"/>
  <c r="J4398" i="22"/>
  <c r="J4423" i="22"/>
  <c r="J4404" i="22"/>
  <c r="J4407" i="22"/>
  <c r="X278" i="10"/>
  <c r="X279" i="10" s="1"/>
  <c r="X274" i="10" s="1"/>
  <c r="BH57" i="38"/>
  <c r="BH69" i="38" s="1"/>
  <c r="U5" i="40"/>
  <c r="X261" i="10"/>
  <c r="BI69" i="38" l="1"/>
  <c r="N76" i="37" s="1"/>
  <c r="N77" i="37" s="1"/>
  <c r="N78" i="37" s="1"/>
  <c r="AC142" i="15"/>
  <c r="D15" i="14"/>
  <c r="N36" i="37"/>
  <c r="F4759" i="22"/>
  <c r="J4425" i="22"/>
  <c r="J4456" i="22" s="1"/>
  <c r="BI437" i="38"/>
  <c r="N438" i="37"/>
  <c r="N41" i="37"/>
  <c r="K366" i="25" s="1"/>
  <c r="V4" i="40"/>
  <c r="AC139" i="15"/>
  <c r="N40" i="37"/>
  <c r="D5525" i="22"/>
  <c r="I4454" i="22"/>
  <c r="U4454" i="22"/>
  <c r="AA4454" i="22" s="1"/>
  <c r="I4400" i="22"/>
  <c r="I4396" i="22"/>
  <c r="J4396" i="22" s="1"/>
  <c r="I4392" i="22"/>
  <c r="J4392" i="22" s="1"/>
  <c r="I4401" i="22"/>
  <c r="J4454" i="22"/>
  <c r="V4454" i="22"/>
  <c r="AB4454" i="22" s="1"/>
  <c r="J4401" i="22"/>
  <c r="J4400" i="22"/>
  <c r="X282" i="10"/>
  <c r="X301" i="10" s="1"/>
  <c r="X283" i="10"/>
  <c r="Z108" i="1" s="1"/>
  <c r="Z111" i="1" s="1"/>
  <c r="Z426" i="1" s="1"/>
  <c r="X263" i="10"/>
  <c r="Z284" i="1" s="1"/>
  <c r="X298" i="10"/>
  <c r="X299" i="10"/>
  <c r="X275" i="10"/>
  <c r="X311" i="10"/>
  <c r="X312" i="10" s="1"/>
  <c r="D17" i="47"/>
  <c r="N115" i="37" l="1"/>
  <c r="N117" i="37" s="1"/>
  <c r="F4760" i="22"/>
  <c r="V5" i="40"/>
  <c r="E5215" i="22"/>
  <c r="O5215" i="22" s="1"/>
  <c r="D26" i="47"/>
  <c r="N479" i="37"/>
  <c r="N485" i="37" s="1"/>
  <c r="BH439" i="38"/>
  <c r="C6345" i="22"/>
  <c r="C6365" i="22" s="1"/>
  <c r="F18" i="46"/>
  <c r="AC18" i="15"/>
  <c r="E5230" i="22"/>
  <c r="O5230" i="22" s="1"/>
  <c r="N439" i="37"/>
  <c r="J4427" i="22" s="1"/>
  <c r="G4556" i="22"/>
  <c r="N447" i="37"/>
  <c r="D5548" i="22" s="1"/>
  <c r="F4763" i="22"/>
  <c r="F4764" i="22" s="1"/>
  <c r="E5334" i="22"/>
  <c r="E5218" i="22"/>
  <c r="E5233" i="22"/>
  <c r="I3949" i="22"/>
  <c r="F6" i="46"/>
  <c r="C5974" i="22"/>
  <c r="K5974" i="22" s="1"/>
  <c r="U26" i="40"/>
  <c r="I4418" i="22"/>
  <c r="I4449" i="22" s="1"/>
  <c r="I4393" i="22"/>
  <c r="I4419" i="22"/>
  <c r="I4450" i="22" s="1"/>
  <c r="I4464" i="22"/>
  <c r="I4466" i="22" s="1"/>
  <c r="I4394" i="22"/>
  <c r="I4397" i="22"/>
  <c r="J4393" i="22"/>
  <c r="J4418" i="22"/>
  <c r="J4449" i="22" s="1"/>
  <c r="J4394" i="22"/>
  <c r="J4419" i="22"/>
  <c r="J4450" i="22" s="1"/>
  <c r="J4464" i="22"/>
  <c r="J4466" i="22" s="1"/>
  <c r="J4397" i="22"/>
  <c r="X300" i="10"/>
  <c r="X302" i="10" s="1"/>
  <c r="K367" i="25"/>
  <c r="X276" i="10"/>
  <c r="M92" i="13"/>
  <c r="F5163" i="22"/>
  <c r="E5782" i="22"/>
  <c r="C5982" i="22"/>
  <c r="K5982" i="22" s="1"/>
  <c r="C6007" i="22"/>
  <c r="E5380" i="22"/>
  <c r="E5491" i="22"/>
  <c r="Q50" i="40"/>
  <c r="V50" i="40"/>
  <c r="U50" i="40"/>
  <c r="N39" i="13"/>
  <c r="BQ485" i="38"/>
  <c r="BH449" i="38" l="1"/>
  <c r="C98" i="45" s="1"/>
  <c r="N116" i="37"/>
  <c r="Q264" i="14"/>
  <c r="Q265" i="14" s="1"/>
  <c r="Q267" i="14" s="1"/>
  <c r="E5219" i="22"/>
  <c r="BI439" i="38"/>
  <c r="BI449" i="38" s="1"/>
  <c r="K374" i="25"/>
  <c r="K375" i="25" s="1"/>
  <c r="E5234" i="22"/>
  <c r="O5233" i="22"/>
  <c r="F19" i="46"/>
  <c r="F20" i="46"/>
  <c r="O5218" i="22"/>
  <c r="BH428" i="38"/>
  <c r="F7" i="46"/>
  <c r="I4390" i="22"/>
  <c r="I4395" i="22"/>
  <c r="J4395" i="22"/>
  <c r="J4390" i="22"/>
  <c r="V4459" i="22"/>
  <c r="AB4456" i="22" s="1"/>
  <c r="J4459" i="22"/>
  <c r="AF50" i="40"/>
  <c r="AG50" i="40" s="1"/>
  <c r="Q51" i="40"/>
  <c r="AF51" i="40" s="1"/>
  <c r="AG51" i="40" s="1"/>
  <c r="I6014" i="22"/>
  <c r="H6018" i="22" s="1"/>
  <c r="C6009" i="22"/>
  <c r="I98" i="45" l="1"/>
  <c r="G98" i="45"/>
  <c r="E98" i="45"/>
  <c r="BH181" i="38"/>
  <c r="BH278" i="38"/>
  <c r="D5555" i="22"/>
  <c r="D5557" i="22" s="1"/>
  <c r="AC147" i="15"/>
  <c r="I4391" i="22"/>
  <c r="I4417" i="22"/>
  <c r="I4448" i="22" s="1"/>
  <c r="I4472" i="22"/>
  <c r="I4474" i="22" s="1"/>
  <c r="I4479" i="22" s="1"/>
  <c r="U79" i="40"/>
  <c r="BH13" i="38"/>
  <c r="J4472" i="22"/>
  <c r="J4474" i="22" s="1"/>
  <c r="J4479" i="22" s="1"/>
  <c r="J4417" i="22"/>
  <c r="J4448" i="22" s="1"/>
  <c r="J4391" i="22"/>
  <c r="C6011" i="22"/>
  <c r="V11" i="40"/>
  <c r="BI278" i="38" l="1"/>
  <c r="N164" i="37" s="1"/>
  <c r="F4761" i="22"/>
  <c r="G4555" i="22"/>
  <c r="N491" i="37"/>
  <c r="N493" i="37" s="1"/>
  <c r="I4480" i="22"/>
  <c r="I4481" i="22" s="1"/>
  <c r="I4484" i="22" s="1"/>
  <c r="I4485" i="22" s="1"/>
  <c r="I4476" i="22"/>
  <c r="I4477" i="22" s="1"/>
  <c r="BH437" i="38"/>
  <c r="BH21" i="38"/>
  <c r="BH32" i="38" s="1"/>
  <c r="U82" i="40"/>
  <c r="J4480" i="22"/>
  <c r="J4481" i="22" s="1"/>
  <c r="J4476" i="22"/>
  <c r="J4477" i="22" s="1"/>
  <c r="BI32" i="38" l="1"/>
  <c r="N34" i="37" s="1"/>
  <c r="M22" i="47" s="1"/>
  <c r="N38" i="13"/>
  <c r="D29" i="47" s="1"/>
  <c r="F4762" i="22"/>
  <c r="F4765" i="22"/>
  <c r="BI211" i="38"/>
  <c r="V82" i="40"/>
  <c r="U83" i="40"/>
  <c r="BH211" i="38"/>
  <c r="U4" i="40"/>
  <c r="N114" i="37" l="1"/>
  <c r="AC137" i="15"/>
  <c r="U38" i="40"/>
  <c r="BI210" i="38"/>
  <c r="U32" i="40" l="1"/>
  <c r="U34" i="40" s="1"/>
  <c r="BH142" i="38"/>
  <c r="U6" i="40"/>
  <c r="BH482" i="38"/>
  <c r="BI482" i="38" s="1"/>
  <c r="BH420" i="38"/>
  <c r="BH210" i="38"/>
  <c r="BH566" i="38" l="1"/>
  <c r="BK566" i="38"/>
  <c r="BJ566" i="38"/>
  <c r="BH497" i="38"/>
  <c r="C104" i="45" s="1"/>
  <c r="U27" i="40"/>
  <c r="U7" i="40"/>
  <c r="U13" i="40"/>
  <c r="G104" i="45" l="1"/>
  <c r="E104" i="45"/>
  <c r="N454" i="37" l="1"/>
  <c r="Q72" i="14" s="1"/>
  <c r="Q73" i="14" s="1"/>
  <c r="Q75" i="14" s="1"/>
  <c r="N390" i="37" l="1"/>
  <c r="N455" i="37"/>
  <c r="N397" i="37" l="1"/>
  <c r="AC153" i="15" s="1"/>
  <c r="N418" i="37"/>
  <c r="AC150" i="15"/>
  <c r="N460" i="37"/>
  <c r="Q57" i="14"/>
  <c r="Q58" i="14" s="1"/>
  <c r="Q60" i="14" s="1"/>
  <c r="N398" i="37" l="1"/>
  <c r="D15" i="47" s="1"/>
  <c r="N40" i="13" l="1"/>
  <c r="D30" i="47" s="1"/>
  <c r="D31" i="47" s="1"/>
  <c r="AC22" i="15"/>
  <c r="AC88" i="15" s="1"/>
  <c r="AC155" i="15"/>
  <c r="U36" i="40"/>
  <c r="U40" i="40" s="1"/>
  <c r="C6349" i="22"/>
  <c r="C6369" i="22" s="1"/>
  <c r="N425" i="37"/>
  <c r="F5157" i="22"/>
  <c r="E5401" i="22"/>
  <c r="E5489" i="22"/>
  <c r="C5978" i="22"/>
  <c r="K5978" i="22" s="1"/>
  <c r="G4805" i="22"/>
  <c r="E5780" i="22"/>
  <c r="BQ483" i="38"/>
  <c r="E5378" i="22"/>
  <c r="V36" i="40"/>
  <c r="D5948" i="22"/>
  <c r="C5949" i="22" s="1"/>
  <c r="C5950" i="22" s="1"/>
  <c r="C5951" i="22" s="1"/>
  <c r="N468" i="37"/>
  <c r="C6350" i="22" l="1"/>
  <c r="C6370" i="22" s="1"/>
  <c r="N467" i="37"/>
  <c r="Q177" i="14" s="1"/>
  <c r="Q178" i="14" s="1"/>
  <c r="Q180" i="14" s="1"/>
  <c r="C306" i="14" l="1"/>
  <c r="N90" i="13" l="1"/>
  <c r="V20" i="40" l="1"/>
  <c r="G4558" i="22"/>
  <c r="BI462" i="38"/>
  <c r="AC114" i="15"/>
  <c r="U20" i="40" l="1"/>
  <c r="U42" i="40"/>
  <c r="U43" i="40" s="1"/>
  <c r="D5951" i="22" l="1"/>
  <c r="C5952" i="22" s="1"/>
  <c r="E5379" i="22"/>
  <c r="C5981" i="22"/>
  <c r="K5981" i="22" s="1"/>
  <c r="E5490" i="22"/>
  <c r="BQ484" i="38"/>
  <c r="E5781" i="22"/>
  <c r="G4806" i="22"/>
  <c r="D16" i="47"/>
  <c r="AC28" i="15"/>
  <c r="V15" i="40"/>
  <c r="BI455" i="38"/>
  <c r="G4557" i="22"/>
  <c r="AC113" i="15"/>
  <c r="V45" i="40" l="1"/>
  <c r="BI460" i="38"/>
  <c r="BI473" i="38" s="1"/>
  <c r="BI476" i="38" s="1"/>
  <c r="BI457" i="38"/>
  <c r="BH457" i="38" l="1"/>
  <c r="BH460" i="38"/>
  <c r="U15" i="40"/>
  <c r="U45" i="40"/>
  <c r="U48" i="40" s="1"/>
  <c r="U51" i="40" s="1"/>
  <c r="BH473" i="38" l="1"/>
  <c r="BH476" i="38" s="1"/>
  <c r="C99" i="45"/>
  <c r="U18" i="40"/>
  <c r="I99" i="45" l="1"/>
  <c r="E99" i="45"/>
  <c r="G99" i="45"/>
  <c r="C100" i="45"/>
  <c r="U23" i="40"/>
  <c r="G100" i="45" l="1"/>
  <c r="E100" i="45"/>
  <c r="V23" i="40"/>
  <c r="V24" i="40" s="1"/>
  <c r="U24" i="40"/>
  <c r="BI179" i="38" l="1"/>
  <c r="BH179" i="38"/>
  <c r="U70" i="40" l="1"/>
  <c r="BH113" i="38"/>
  <c r="BI189" i="38" s="1"/>
  <c r="BH208" i="38" l="1"/>
  <c r="BH189" i="38"/>
  <c r="U71" i="40"/>
  <c r="L16" i="47" l="1"/>
  <c r="L35" i="47" s="1"/>
  <c r="BI139" i="38"/>
  <c r="N307" i="37" l="1"/>
  <c r="AA13" i="1" s="1"/>
  <c r="AA329" i="1" l="1"/>
  <c r="AA82" i="1"/>
  <c r="AO139" i="38"/>
  <c r="J307" i="37" s="1"/>
  <c r="W13" i="1" s="1"/>
  <c r="W329" i="1" l="1"/>
  <c r="W82" i="1"/>
  <c r="W14" i="1"/>
  <c r="AO140" i="38"/>
  <c r="J308" i="37" s="1"/>
  <c r="W30" i="1" l="1"/>
  <c r="W42" i="1" s="1"/>
  <c r="W60" i="1"/>
  <c r="W66" i="1" s="1"/>
  <c r="W151" i="1"/>
  <c r="H3599" i="22" s="1"/>
  <c r="W16" i="1"/>
  <c r="W15" i="1"/>
  <c r="G3464" i="22" s="1"/>
  <c r="X15" i="1"/>
  <c r="AO211" i="38"/>
  <c r="H3274" i="22"/>
  <c r="B9" i="46"/>
  <c r="H3567" i="22"/>
  <c r="J85" i="13"/>
  <c r="Y19" i="15"/>
  <c r="Y81" i="15" s="1"/>
  <c r="E3950" i="22"/>
  <c r="G3414" i="22"/>
  <c r="F3710" i="22"/>
  <c r="G4578" i="22"/>
  <c r="J377" i="37"/>
  <c r="G3479" i="22"/>
  <c r="G3500" i="22" s="1"/>
  <c r="C4555" i="22"/>
  <c r="J77" i="13" l="1"/>
  <c r="J78" i="13"/>
  <c r="W67" i="1"/>
  <c r="W69" i="1"/>
  <c r="X67" i="1"/>
  <c r="W47" i="1"/>
  <c r="W162" i="1"/>
  <c r="E3959" i="22"/>
  <c r="E3960" i="22" s="1"/>
  <c r="E3951" i="22"/>
  <c r="F3730" i="22"/>
  <c r="F3711" i="22"/>
  <c r="D4371" i="22"/>
  <c r="D4385" i="22" s="1"/>
  <c r="Y282" i="37"/>
  <c r="J96" i="13"/>
  <c r="E4079" i="22"/>
  <c r="Y305" i="37"/>
  <c r="J107" i="13"/>
  <c r="Y281" i="37"/>
  <c r="Y304" i="37"/>
  <c r="F3784" i="22"/>
  <c r="F3787" i="22" s="1"/>
  <c r="F3791" i="22" s="1"/>
  <c r="Y283" i="37"/>
  <c r="Y274" i="37"/>
  <c r="Y288" i="37"/>
  <c r="J2976" i="22"/>
  <c r="Y289" i="37"/>
  <c r="Y287" i="37"/>
  <c r="J108" i="13"/>
  <c r="Y290" i="37"/>
  <c r="Y279" i="37"/>
  <c r="Y273" i="37"/>
  <c r="J103" i="13"/>
  <c r="Y280" i="37"/>
  <c r="Y303" i="37"/>
  <c r="Y275" i="37"/>
  <c r="H3598" i="22"/>
  <c r="H3569" i="22"/>
  <c r="H3570" i="22" s="1"/>
  <c r="G3415" i="22"/>
  <c r="G3434" i="22"/>
  <c r="C10" i="46"/>
  <c r="B11" i="46"/>
  <c r="B46" i="46"/>
  <c r="H3288" i="22"/>
  <c r="H3275" i="22"/>
  <c r="H3289" i="22" s="1"/>
  <c r="W186" i="1" l="1"/>
  <c r="W163" i="1"/>
  <c r="W178" i="1" s="1"/>
  <c r="W171" i="1"/>
  <c r="W173" i="1" s="1"/>
  <c r="W56" i="1"/>
  <c r="Y14" i="15" s="1"/>
  <c r="W361" i="1"/>
  <c r="W79" i="1"/>
  <c r="W88" i="1" s="1"/>
  <c r="W92" i="1" s="1"/>
  <c r="W48" i="1"/>
  <c r="W71" i="1"/>
  <c r="W390" i="1"/>
  <c r="Y29" i="15"/>
  <c r="J2983" i="22"/>
  <c r="J2997" i="22" s="1"/>
  <c r="D4373" i="22"/>
  <c r="D4158" i="22"/>
  <c r="D4159" i="22" s="1"/>
  <c r="I3149" i="22"/>
  <c r="F3790" i="22"/>
  <c r="G3748" i="22"/>
  <c r="J2978" i="22"/>
  <c r="C4825" i="22"/>
  <c r="E4078" i="22"/>
  <c r="J3000" i="22" l="1"/>
  <c r="J2999" i="22"/>
  <c r="I3006" i="22"/>
  <c r="I3007" i="22" s="1"/>
  <c r="I211" i="14"/>
  <c r="J2993" i="22"/>
  <c r="J2991" i="22"/>
  <c r="Q251" i="38" l="1"/>
  <c r="Q276" i="38" s="1"/>
  <c r="F162" i="37" s="1"/>
  <c r="F249" i="37" s="1"/>
  <c r="F141" i="37"/>
  <c r="G141" i="37"/>
  <c r="G234" i="37"/>
  <c r="G242" i="37" s="1"/>
  <c r="G243" i="37" s="1"/>
  <c r="F326" i="37"/>
  <c r="G326" i="37"/>
  <c r="AC35" i="15" l="1"/>
  <c r="AA9" i="40"/>
  <c r="AD20" i="15"/>
  <c r="BN441" i="38"/>
  <c r="E60" i="46" l="1"/>
  <c r="E62" i="46" l="1"/>
  <c r="E31" i="46"/>
  <c r="AB30" i="15" l="1"/>
  <c r="E33" i="46"/>
  <c r="AB15" i="15" l="1"/>
  <c r="M58" i="13"/>
  <c r="F4812" i="22" l="1"/>
  <c r="M73" i="13"/>
  <c r="F4822" i="22" l="1"/>
  <c r="K10" i="47"/>
  <c r="F60" i="46"/>
  <c r="F31" i="46" s="1"/>
  <c r="G4410" i="34"/>
  <c r="G4409" i="34" s="1"/>
  <c r="N44" i="13" l="1"/>
  <c r="F5158" i="22"/>
  <c r="C5983" i="22"/>
  <c r="K5983" i="22" s="1"/>
  <c r="E5784" i="22"/>
  <c r="G4808" i="22"/>
  <c r="E5382" i="22"/>
  <c r="V42" i="40"/>
  <c r="E5493" i="22"/>
  <c r="D18" i="47"/>
  <c r="BQ486" i="38"/>
  <c r="AC78" i="15" l="1"/>
  <c r="F87" i="46" l="1"/>
  <c r="F122" i="46" s="1"/>
  <c r="F124" i="46" s="1"/>
  <c r="F40" i="46" l="1"/>
  <c r="F42" i="46" s="1"/>
  <c r="AC83" i="15"/>
  <c r="F61" i="46" l="1"/>
  <c r="F32" i="46" s="1"/>
  <c r="F59" i="46"/>
  <c r="F30" i="46" s="1"/>
  <c r="AC115" i="15" l="1"/>
  <c r="BD469" i="38" l="1"/>
  <c r="BI471" i="38"/>
  <c r="BI469" i="38"/>
  <c r="AC27" i="15"/>
  <c r="U29" i="40" l="1"/>
  <c r="V29" i="40" s="1"/>
  <c r="BH511" i="38"/>
  <c r="BH541" i="38"/>
  <c r="V28" i="40" l="1"/>
  <c r="U28" i="40" s="1"/>
  <c r="T28" i="40" l="1"/>
  <c r="Y32" i="15"/>
  <c r="B13" i="46" l="1"/>
  <c r="B14" i="46" l="1"/>
  <c r="B58" i="46"/>
  <c r="B29" i="46" s="1"/>
  <c r="AO513" i="38"/>
  <c r="B59" i="46" l="1"/>
  <c r="B30" i="46" s="1"/>
  <c r="J23" i="13"/>
  <c r="C4806" i="22" s="1"/>
  <c r="B48" i="46"/>
  <c r="C15" i="46"/>
  <c r="B16" i="46"/>
  <c r="B128" i="46" l="1"/>
  <c r="Y82" i="15"/>
  <c r="Y84" i="15" s="1"/>
  <c r="Y30" i="15"/>
  <c r="Y15" i="15" l="1"/>
  <c r="J58" i="13"/>
  <c r="C4812" i="22" l="1"/>
  <c r="J73" i="13"/>
  <c r="C4822" i="22" s="1"/>
  <c r="BH510" i="38"/>
  <c r="AC122" i="15" l="1"/>
  <c r="F67" i="46"/>
  <c r="M16" i="13"/>
  <c r="AB7" i="15" s="1"/>
  <c r="K82" i="46"/>
  <c r="K83" i="46" s="1"/>
  <c r="E67" i="46"/>
  <c r="E82" i="46"/>
  <c r="E83" i="46" s="1"/>
  <c r="BD539" i="38" l="1"/>
  <c r="BF511" i="38" s="1"/>
  <c r="D5404" i="22"/>
  <c r="D5406" i="22" s="1"/>
  <c r="D5482" i="22" s="1"/>
  <c r="D5483" i="22" s="1"/>
  <c r="AB25" i="15"/>
  <c r="C5274" i="22"/>
  <c r="C5276" i="22" s="1"/>
  <c r="F5249" i="22"/>
  <c r="G5249" i="22" s="1"/>
  <c r="G5251" i="22" s="1"/>
  <c r="F4799" i="22"/>
  <c r="E5129" i="22"/>
  <c r="N16" i="13"/>
  <c r="C6" i="47"/>
  <c r="M76" i="13"/>
  <c r="C34" i="47" s="1"/>
  <c r="M81" i="13"/>
  <c r="M75" i="13"/>
  <c r="F4824" i="22" s="1"/>
  <c r="E88" i="46"/>
  <c r="E85" i="46"/>
  <c r="E89" i="46" s="1"/>
  <c r="E65" i="46"/>
  <c r="E38" i="46"/>
  <c r="I82" i="46"/>
  <c r="I83" i="46" s="1"/>
  <c r="J82" i="46"/>
  <c r="J83" i="46" s="1"/>
  <c r="F82" i="46"/>
  <c r="F83" i="46" s="1"/>
  <c r="AB122" i="15"/>
  <c r="AC123" i="15" s="1"/>
  <c r="Q29" i="40"/>
  <c r="M78" i="13"/>
  <c r="F38" i="46"/>
  <c r="K85" i="46"/>
  <c r="L82" i="46"/>
  <c r="L83" i="46" s="1"/>
  <c r="H82" i="46"/>
  <c r="H83" i="46" s="1"/>
  <c r="G82" i="46"/>
  <c r="G83" i="46" s="1"/>
  <c r="C5280" i="22" l="1"/>
  <c r="C5282" i="22" s="1"/>
  <c r="F5251" i="22"/>
  <c r="N76" i="13"/>
  <c r="D34" i="47" s="1"/>
  <c r="F6093" i="22"/>
  <c r="F6096" i="22" s="1"/>
  <c r="F6110" i="22" s="1"/>
  <c r="G4799" i="22"/>
  <c r="AC25" i="15"/>
  <c r="D6" i="47"/>
  <c r="AC7" i="15"/>
  <c r="F5129" i="22"/>
  <c r="BI539" i="38"/>
  <c r="E5404" i="22"/>
  <c r="E5406" i="22" s="1"/>
  <c r="E5482" i="22" s="1"/>
  <c r="AC121" i="15"/>
  <c r="G85" i="46"/>
  <c r="H85" i="46"/>
  <c r="AB121" i="15"/>
  <c r="AB123" i="15"/>
  <c r="AB117" i="15"/>
  <c r="I85" i="46"/>
  <c r="F88" i="46"/>
  <c r="F85" i="46"/>
  <c r="F89" i="46" s="1"/>
  <c r="E66" i="46"/>
  <c r="E37" i="46" s="1"/>
  <c r="E36" i="46"/>
  <c r="L85" i="46"/>
  <c r="F4559" i="22"/>
  <c r="F4564" i="22" s="1"/>
  <c r="E47" i="46"/>
  <c r="E48" i="46"/>
  <c r="J85" i="46"/>
  <c r="E45" i="46"/>
  <c r="E46" i="46"/>
  <c r="E91" i="46"/>
  <c r="F45" i="46" l="1"/>
  <c r="F91" i="46"/>
  <c r="F6118" i="22"/>
  <c r="F6119" i="22" s="1"/>
  <c r="G4559" i="22"/>
  <c r="G4564" i="22" s="1"/>
  <c r="F47" i="46"/>
  <c r="E5499" i="22" l="1"/>
  <c r="C5989" i="22"/>
  <c r="E5390" i="22"/>
  <c r="E5790" i="22"/>
  <c r="BQ492" i="38"/>
  <c r="BI501" i="38"/>
  <c r="D22" i="47"/>
  <c r="N43" i="13"/>
  <c r="N45" i="13" s="1"/>
  <c r="V38" i="40" l="1"/>
  <c r="BI497" i="38"/>
  <c r="M261" i="37"/>
  <c r="N261" i="37" s="1"/>
  <c r="O261" i="37" s="1"/>
  <c r="P261" i="37" s="1"/>
  <c r="M265" i="37"/>
  <c r="M266" i="37"/>
  <c r="M267" i="37"/>
  <c r="P173" i="37" l="1"/>
  <c r="Q261" i="37"/>
  <c r="O173" i="37"/>
  <c r="BN290" i="38" s="1"/>
  <c r="Q173" i="37" l="1"/>
  <c r="R261" i="37"/>
  <c r="R173" i="37" l="1"/>
  <c r="S261" i="37"/>
  <c r="S173" i="37" l="1"/>
  <c r="T261" i="37"/>
  <c r="T173" i="37" s="1"/>
  <c r="BH304" i="38"/>
  <c r="BH329" i="38" s="1"/>
  <c r="O187" i="37"/>
  <c r="O49" i="37" s="1"/>
  <c r="AA86" i="40" s="1"/>
  <c r="AA121" i="40" s="1"/>
  <c r="O189" i="37"/>
  <c r="N211" i="37"/>
  <c r="N213" i="37"/>
  <c r="N237" i="37"/>
  <c r="N252" i="37"/>
  <c r="O252" i="37" s="1"/>
  <c r="P252" i="37" s="1"/>
  <c r="Q252" i="37" s="1"/>
  <c r="R252" i="37" s="1"/>
  <c r="S252" i="37" s="1"/>
  <c r="T252" i="37" s="1"/>
  <c r="N254" i="37"/>
  <c r="O254" i="37" s="1"/>
  <c r="P254" i="37" s="1"/>
  <c r="Q254" i="37" s="1"/>
  <c r="R254" i="37" s="1"/>
  <c r="S254" i="37" s="1"/>
  <c r="T254" i="37" s="1"/>
  <c r="BN331" i="38" l="1"/>
  <c r="BN329" i="38"/>
  <c r="BJ329" i="38" s="1"/>
  <c r="O167" i="37"/>
  <c r="O10" i="37" s="1"/>
  <c r="BN8" i="38" s="1"/>
  <c r="BN306" i="38"/>
  <c r="BM306" i="38" s="1"/>
  <c r="P189" i="37"/>
  <c r="Q189" i="37" s="1"/>
  <c r="R189" i="37" s="1"/>
  <c r="O237" i="37"/>
  <c r="O165" i="37"/>
  <c r="O51" i="37"/>
  <c r="P187" i="37"/>
  <c r="BN304" i="38"/>
  <c r="BM304" i="38" s="1"/>
  <c r="BM44" i="38" l="1"/>
  <c r="BM42" i="38"/>
  <c r="BJ331" i="38"/>
  <c r="BM353" i="38"/>
  <c r="BM355" i="38"/>
  <c r="BK329" i="38"/>
  <c r="BJ279" i="38"/>
  <c r="P51" i="37"/>
  <c r="Q167" i="37"/>
  <c r="Q10" i="37" s="1"/>
  <c r="Q388" i="37" s="1"/>
  <c r="P167" i="37"/>
  <c r="P10" i="37" s="1"/>
  <c r="Q51" i="37"/>
  <c r="R51" i="37"/>
  <c r="S189" i="37"/>
  <c r="R167" i="37"/>
  <c r="R10" i="37" s="1"/>
  <c r="O91" i="37"/>
  <c r="BN81" i="38" s="1"/>
  <c r="O278" i="37"/>
  <c r="BN108" i="38" s="1"/>
  <c r="BM108" i="38" s="1"/>
  <c r="M20" i="47"/>
  <c r="O388" i="37"/>
  <c r="P49" i="37"/>
  <c r="AB86" i="40" s="1"/>
  <c r="AB121" i="40" s="1"/>
  <c r="Q187" i="37"/>
  <c r="P237" i="37"/>
  <c r="P165" i="37"/>
  <c r="P8" i="37" s="1"/>
  <c r="AB85" i="40" s="1"/>
  <c r="O8" i="37"/>
  <c r="BN42" i="38" l="1"/>
  <c r="Z86" i="40"/>
  <c r="Z121" i="40" s="1"/>
  <c r="BN6" i="38"/>
  <c r="AA85" i="40"/>
  <c r="BN184" i="38"/>
  <c r="BJ81" i="38"/>
  <c r="P91" i="37"/>
  <c r="BK331" i="38"/>
  <c r="BJ281" i="38"/>
  <c r="BL329" i="38"/>
  <c r="BK279" i="38"/>
  <c r="BN44" i="38"/>
  <c r="P388" i="37"/>
  <c r="O20" i="47"/>
  <c r="P20" i="47" s="1"/>
  <c r="Q278" i="37"/>
  <c r="Q459" i="37" s="1"/>
  <c r="T117" i="14" s="1"/>
  <c r="T118" i="14" s="1"/>
  <c r="T120" i="14" s="1"/>
  <c r="Q91" i="37"/>
  <c r="N20" i="47"/>
  <c r="P278" i="37"/>
  <c r="Q49" i="37"/>
  <c r="AC86" i="40" s="1"/>
  <c r="AC121" i="40" s="1"/>
  <c r="R187" i="37"/>
  <c r="Q237" i="37"/>
  <c r="Q165" i="37"/>
  <c r="Q8" i="37" s="1"/>
  <c r="AC85" i="40" s="1"/>
  <c r="R388" i="37"/>
  <c r="R91" i="37"/>
  <c r="R278" i="37"/>
  <c r="O386" i="37"/>
  <c r="O276" i="37"/>
  <c r="M16" i="47"/>
  <c r="O89" i="37"/>
  <c r="BN79" i="38" s="1"/>
  <c r="S51" i="37"/>
  <c r="T189" i="37"/>
  <c r="S167" i="37"/>
  <c r="S10" i="37" s="1"/>
  <c r="P276" i="37"/>
  <c r="AB88" i="40" s="1"/>
  <c r="P386" i="37"/>
  <c r="N16" i="47"/>
  <c r="P89" i="37"/>
  <c r="O331" i="37"/>
  <c r="O459" i="37"/>
  <c r="R117" i="14" s="1"/>
  <c r="R118" i="14" s="1"/>
  <c r="R120" i="14" s="1"/>
  <c r="AA88" i="40" l="1"/>
  <c r="BN106" i="38"/>
  <c r="BM106" i="38" s="1"/>
  <c r="Z88" i="40" s="1"/>
  <c r="AB122" i="40"/>
  <c r="AB89" i="40"/>
  <c r="BK81" i="38"/>
  <c r="BJ8" i="38"/>
  <c r="BJ79" i="38"/>
  <c r="Q331" i="37"/>
  <c r="P459" i="37"/>
  <c r="S117" i="14" s="1"/>
  <c r="S118" i="14" s="1"/>
  <c r="S120" i="14" s="1"/>
  <c r="BM329" i="38"/>
  <c r="BM279" i="38" s="1"/>
  <c r="BL279" i="38"/>
  <c r="BL331" i="38"/>
  <c r="BK281" i="38"/>
  <c r="P331" i="37"/>
  <c r="R49" i="37"/>
  <c r="S187" i="37"/>
  <c r="R237" i="37"/>
  <c r="R165" i="37"/>
  <c r="R8" i="37" s="1"/>
  <c r="P457" i="37"/>
  <c r="S87" i="14" s="1"/>
  <c r="S88" i="14" s="1"/>
  <c r="S90" i="14" s="1"/>
  <c r="P329" i="37"/>
  <c r="N28" i="47"/>
  <c r="N35" i="47" s="1"/>
  <c r="S388" i="37"/>
  <c r="S278" i="37"/>
  <c r="S91" i="37"/>
  <c r="R459" i="37"/>
  <c r="U117" i="14" s="1"/>
  <c r="U118" i="14" s="1"/>
  <c r="U120" i="14" s="1"/>
  <c r="R331" i="37"/>
  <c r="T51" i="37"/>
  <c r="T167" i="37"/>
  <c r="T10" i="37" s="1"/>
  <c r="O457" i="37"/>
  <c r="R87" i="14" s="1"/>
  <c r="R88" i="14" s="1"/>
  <c r="R90" i="14" s="1"/>
  <c r="O329" i="37"/>
  <c r="M28" i="47"/>
  <c r="M35" i="47" s="1"/>
  <c r="Q276" i="37"/>
  <c r="AC88" i="40" s="1"/>
  <c r="Q386" i="37"/>
  <c r="Q89" i="37"/>
  <c r="O16" i="47"/>
  <c r="P16" i="47" s="1"/>
  <c r="BN182" i="38" l="1"/>
  <c r="AC122" i="40"/>
  <c r="AC89" i="40"/>
  <c r="Z122" i="40"/>
  <c r="AA122" i="40"/>
  <c r="AA89" i="40"/>
  <c r="BN279" i="38"/>
  <c r="BK79" i="38"/>
  <c r="BJ6" i="38"/>
  <c r="W85" i="40" s="1"/>
  <c r="W89" i="40" s="1"/>
  <c r="BJ184" i="38"/>
  <c r="BL81" i="38"/>
  <c r="BL8" i="38" s="1"/>
  <c r="BL184" i="38" s="1"/>
  <c r="BK8" i="38"/>
  <c r="BK184" i="38" s="1"/>
  <c r="BL281" i="38"/>
  <c r="BM331" i="38"/>
  <c r="BM281" i="38" s="1"/>
  <c r="Q329" i="37"/>
  <c r="Q457" i="37"/>
  <c r="T87" i="14" s="1"/>
  <c r="T88" i="14" s="1"/>
  <c r="T90" i="14" s="1"/>
  <c r="O28" i="47"/>
  <c r="S165" i="37"/>
  <c r="S8" i="37" s="1"/>
  <c r="T187" i="37"/>
  <c r="S49" i="37"/>
  <c r="S237" i="37"/>
  <c r="S459" i="37"/>
  <c r="V117" i="14" s="1"/>
  <c r="V118" i="14" s="1"/>
  <c r="V120" i="14" s="1"/>
  <c r="S331" i="37"/>
  <c r="T278" i="37"/>
  <c r="T388" i="37"/>
  <c r="T91" i="37"/>
  <c r="R89" i="37"/>
  <c r="R276" i="37"/>
  <c r="R386" i="37"/>
  <c r="BM81" i="38" l="1"/>
  <c r="BJ182" i="38"/>
  <c r="BJ196" i="38"/>
  <c r="BM8" i="38"/>
  <c r="BM184" i="38" s="1"/>
  <c r="BL79" i="38"/>
  <c r="BL6" i="38" s="1"/>
  <c r="Y85" i="40" s="1"/>
  <c r="Y89" i="40" s="1"/>
  <c r="BK6" i="38"/>
  <c r="X85" i="40" s="1"/>
  <c r="X89" i="40" s="1"/>
  <c r="BN281" i="38"/>
  <c r="T237" i="37"/>
  <c r="T165" i="37"/>
  <c r="T8" i="37" s="1"/>
  <c r="T49" i="37"/>
  <c r="S89" i="37"/>
  <c r="S276" i="37"/>
  <c r="S386" i="37"/>
  <c r="R329" i="37"/>
  <c r="R457" i="37"/>
  <c r="U87" i="14" s="1"/>
  <c r="U88" i="14" s="1"/>
  <c r="U90" i="14" s="1"/>
  <c r="P28" i="47"/>
  <c r="O35" i="47"/>
  <c r="T459" i="37"/>
  <c r="W117" i="14" s="1"/>
  <c r="W118" i="14" s="1"/>
  <c r="W120" i="14" s="1"/>
  <c r="D122" i="14" s="1"/>
  <c r="T331" i="37"/>
  <c r="BM79" i="38" l="1"/>
  <c r="BM6" i="38"/>
  <c r="BL196" i="38"/>
  <c r="BL182" i="38"/>
  <c r="BK196" i="38"/>
  <c r="BK182" i="38"/>
  <c r="D121" i="14"/>
  <c r="D123" i="14" s="1"/>
  <c r="I8" i="14" s="1"/>
  <c r="S329" i="37"/>
  <c r="S457" i="37"/>
  <c r="V87" i="14" s="1"/>
  <c r="V88" i="14" s="1"/>
  <c r="V90" i="14" s="1"/>
  <c r="T89" i="37"/>
  <c r="T276" i="37"/>
  <c r="T386" i="37"/>
  <c r="BM182" i="38" l="1"/>
  <c r="Z85" i="40"/>
  <c r="Z89" i="40" s="1"/>
  <c r="BM196" i="38"/>
  <c r="T457" i="37"/>
  <c r="W87" i="14" s="1"/>
  <c r="W88" i="14" s="1"/>
  <c r="W90" i="14" s="1"/>
  <c r="D92" i="14" s="1"/>
  <c r="T329" i="37"/>
  <c r="E8" i="14"/>
  <c r="D91" i="14" l="1"/>
  <c r="D93" i="14" s="1"/>
  <c r="I6" i="14" s="1"/>
  <c r="E6" i="14" l="1"/>
  <c r="BH303" i="38"/>
  <c r="BH328" i="38" s="1"/>
  <c r="BH312" i="38"/>
  <c r="BH337" i="38" s="1"/>
  <c r="BH313" i="38"/>
  <c r="BH338" i="38" s="1"/>
  <c r="BH314" i="38"/>
  <c r="BH339" i="38" s="1"/>
  <c r="N234" i="37"/>
  <c r="O184" i="37"/>
  <c r="O46" i="37" s="1"/>
  <c r="N209" i="37"/>
  <c r="Y242" i="10"/>
  <c r="O186" i="37"/>
  <c r="O48" i="37" s="1"/>
  <c r="AA80" i="40" s="1"/>
  <c r="O190" i="37"/>
  <c r="N215" i="37"/>
  <c r="O192" i="37"/>
  <c r="N208" i="37"/>
  <c r="N210" i="37"/>
  <c r="BI352" i="38" s="1"/>
  <c r="N236" i="37"/>
  <c r="N240" i="37"/>
  <c r="N251" i="37"/>
  <c r="N257" i="37"/>
  <c r="O257" i="37" s="1"/>
  <c r="P257" i="37" s="1"/>
  <c r="Q257" i="37" s="1"/>
  <c r="R257" i="37" s="1"/>
  <c r="S257" i="37" s="1"/>
  <c r="T257" i="37" s="1"/>
  <c r="V69" i="40" l="1"/>
  <c r="BN339" i="38"/>
  <c r="Y243" i="10"/>
  <c r="O251" i="37"/>
  <c r="O236" i="37"/>
  <c r="N255" i="37"/>
  <c r="O255" i="37" s="1"/>
  <c r="P255" i="37" s="1"/>
  <c r="Q255" i="37" s="1"/>
  <c r="R255" i="37" s="1"/>
  <c r="S255" i="37" s="1"/>
  <c r="T255" i="37" s="1"/>
  <c r="N239" i="37"/>
  <c r="N256" i="37"/>
  <c r="O256" i="37" s="1"/>
  <c r="P256" i="37" s="1"/>
  <c r="Q256" i="37" s="1"/>
  <c r="R256" i="37" s="1"/>
  <c r="S256" i="37" s="1"/>
  <c r="T256" i="37" s="1"/>
  <c r="O191" i="37"/>
  <c r="N235" i="37"/>
  <c r="N249" i="37"/>
  <c r="O249" i="37" s="1"/>
  <c r="N216" i="37"/>
  <c r="V93" i="40" s="1"/>
  <c r="N241" i="37"/>
  <c r="BN312" i="38"/>
  <c r="BM312" i="38" s="1"/>
  <c r="O59" i="37"/>
  <c r="O239" i="37"/>
  <c r="P190" i="37"/>
  <c r="BN314" i="38"/>
  <c r="BM314" i="38" s="1"/>
  <c r="P192" i="37"/>
  <c r="O61" i="37"/>
  <c r="AA92" i="40" s="1"/>
  <c r="AA124" i="40" s="1"/>
  <c r="O170" i="37"/>
  <c r="O241" i="37"/>
  <c r="K5353" i="22"/>
  <c r="V75" i="40"/>
  <c r="BI351" i="38"/>
  <c r="BN301" i="38"/>
  <c r="BM301" i="38" s="1"/>
  <c r="O234" i="37"/>
  <c r="P184" i="37"/>
  <c r="P186" i="37"/>
  <c r="O185" i="37"/>
  <c r="BI350" i="38"/>
  <c r="V63" i="40"/>
  <c r="BI362" i="38"/>
  <c r="Z242" i="10"/>
  <c r="BN303" i="38"/>
  <c r="BM303" i="38" s="1"/>
  <c r="N250" i="37"/>
  <c r="O250" i="37" s="1"/>
  <c r="P250" i="37" s="1"/>
  <c r="Q250" i="37" s="1"/>
  <c r="R250" i="37" s="1"/>
  <c r="S250" i="37" s="1"/>
  <c r="T250" i="37" s="1"/>
  <c r="N214" i="37"/>
  <c r="Y241" i="10"/>
  <c r="O164" i="37" l="1"/>
  <c r="P251" i="37"/>
  <c r="Q251" i="37" s="1"/>
  <c r="R251" i="37" s="1"/>
  <c r="S251" i="37" s="1"/>
  <c r="T251" i="37" s="1"/>
  <c r="O162" i="37"/>
  <c r="O5" i="37" s="1"/>
  <c r="BN3" i="38" s="1"/>
  <c r="P249" i="37"/>
  <c r="Q249" i="37" s="1"/>
  <c r="R249" i="37" s="1"/>
  <c r="S249" i="37" s="1"/>
  <c r="T249" i="37" s="1"/>
  <c r="BM53" i="38"/>
  <c r="BM51" i="38"/>
  <c r="Z56" i="40" s="1"/>
  <c r="Z112" i="40" s="1"/>
  <c r="BM41" i="38"/>
  <c r="BM39" i="38"/>
  <c r="BM352" i="38"/>
  <c r="BM361" i="38"/>
  <c r="Z57" i="40" s="1"/>
  <c r="BN327" i="38"/>
  <c r="BJ327" i="38" s="1"/>
  <c r="BN337" i="38"/>
  <c r="BJ337" i="38" s="1"/>
  <c r="BJ286" i="38" s="1"/>
  <c r="BN328" i="38"/>
  <c r="BJ328" i="38" s="1"/>
  <c r="Z243" i="10"/>
  <c r="Z241" i="10" s="1"/>
  <c r="Z249" i="10" s="1"/>
  <c r="BN326" i="38"/>
  <c r="BN338" i="38"/>
  <c r="BM350" i="38"/>
  <c r="O168" i="37"/>
  <c r="O19" i="37" s="1"/>
  <c r="O169" i="37"/>
  <c r="O20" i="37" s="1"/>
  <c r="BN16" i="38" s="1"/>
  <c r="BJ339" i="38"/>
  <c r="BJ288" i="38" s="1"/>
  <c r="BM363" i="38"/>
  <c r="BM358" i="38"/>
  <c r="BI363" i="38"/>
  <c r="O60" i="37"/>
  <c r="AA62" i="40" s="1"/>
  <c r="AA115" i="40" s="1"/>
  <c r="P191" i="37"/>
  <c r="Q191" i="37" s="1"/>
  <c r="BN313" i="38"/>
  <c r="BM313" i="38" s="1"/>
  <c r="O240" i="37"/>
  <c r="O235" i="37"/>
  <c r="BN302" i="38"/>
  <c r="BM302" i="38" s="1"/>
  <c r="O47" i="37"/>
  <c r="AA74" i="40" s="1"/>
  <c r="AA118" i="40" s="1"/>
  <c r="O163" i="37"/>
  <c r="P185" i="37"/>
  <c r="Q192" i="37"/>
  <c r="P170" i="37"/>
  <c r="P21" i="37" s="1"/>
  <c r="P241" i="37"/>
  <c r="P61" i="37"/>
  <c r="AB92" i="40" s="1"/>
  <c r="AB124" i="40" s="1"/>
  <c r="P59" i="37"/>
  <c r="P239" i="37"/>
  <c r="Q190" i="37"/>
  <c r="AA242" i="10"/>
  <c r="P236" i="37"/>
  <c r="P48" i="37"/>
  <c r="AB80" i="40" s="1"/>
  <c r="Q186" i="37"/>
  <c r="AA68" i="40"/>
  <c r="Y249" i="10"/>
  <c r="Y252" i="10" s="1"/>
  <c r="Y256" i="10" s="1"/>
  <c r="Y265" i="10"/>
  <c r="P46" i="37"/>
  <c r="P234" i="37"/>
  <c r="Q184" i="37"/>
  <c r="AA56" i="40"/>
  <c r="AA112" i="40" s="1"/>
  <c r="V57" i="40"/>
  <c r="BI361" i="38"/>
  <c r="O7" i="37"/>
  <c r="BN5" i="38" s="1"/>
  <c r="O21" i="37"/>
  <c r="BN17" i="38" s="1"/>
  <c r="BN41" i="38" l="1"/>
  <c r="Z80" i="40"/>
  <c r="BN53" i="38"/>
  <c r="Z92" i="40"/>
  <c r="Z124" i="40" s="1"/>
  <c r="BN15" i="38"/>
  <c r="BN19" i="38" s="1"/>
  <c r="O287" i="37"/>
  <c r="BN115" i="38" s="1"/>
  <c r="P164" i="37"/>
  <c r="P7" i="37" s="1"/>
  <c r="O63" i="37"/>
  <c r="BN39" i="38"/>
  <c r="BM52" i="38"/>
  <c r="BN51" i="38"/>
  <c r="BM40" i="38"/>
  <c r="P162" i="37"/>
  <c r="P5" i="37" s="1"/>
  <c r="P383" i="37" s="1"/>
  <c r="Z265" i="10"/>
  <c r="BM351" i="38"/>
  <c r="BJ338" i="38"/>
  <c r="BJ287" i="38" s="1"/>
  <c r="BK337" i="38"/>
  <c r="BK339" i="38"/>
  <c r="BJ283" i="38"/>
  <c r="BJ326" i="38"/>
  <c r="BK327" i="38"/>
  <c r="BJ277" i="38"/>
  <c r="BM357" i="38"/>
  <c r="BM362" i="38"/>
  <c r="P168" i="37"/>
  <c r="P19" i="37" s="1"/>
  <c r="N17" i="47" s="1"/>
  <c r="AA243" i="10"/>
  <c r="AA241" i="10" s="1"/>
  <c r="Q164" i="37"/>
  <c r="Q7" i="37" s="1"/>
  <c r="BK328" i="38"/>
  <c r="BK278" i="38" s="1"/>
  <c r="BJ278" i="38"/>
  <c r="P240" i="37"/>
  <c r="P169" i="37"/>
  <c r="P20" i="37" s="1"/>
  <c r="P444" i="37" s="1"/>
  <c r="P60" i="37"/>
  <c r="AB62" i="40" s="1"/>
  <c r="AB115" i="40" s="1"/>
  <c r="Q170" i="37"/>
  <c r="Q21" i="37" s="1"/>
  <c r="AC91" i="40" s="1"/>
  <c r="Q241" i="37"/>
  <c r="R192" i="37"/>
  <c r="Q61" i="37"/>
  <c r="AC92" i="40" s="1"/>
  <c r="AC124" i="40" s="1"/>
  <c r="AA55" i="40"/>
  <c r="O23" i="37"/>
  <c r="O392" i="37"/>
  <c r="M17" i="47"/>
  <c r="O99" i="37"/>
  <c r="Q59" i="37"/>
  <c r="AC56" i="40" s="1"/>
  <c r="AC112" i="40" s="1"/>
  <c r="Q239" i="37"/>
  <c r="Q168" i="37"/>
  <c r="Q19" i="37" s="1"/>
  <c r="AC55" i="40" s="1"/>
  <c r="R190" i="37"/>
  <c r="AB68" i="40"/>
  <c r="Q60" i="37"/>
  <c r="AC62" i="40" s="1"/>
  <c r="AC115" i="40" s="1"/>
  <c r="Q240" i="37"/>
  <c r="Q169" i="37"/>
  <c r="Q20" i="37" s="1"/>
  <c r="AC61" i="40" s="1"/>
  <c r="R191" i="37"/>
  <c r="AA67" i="40"/>
  <c r="O383" i="37"/>
  <c r="O86" i="37"/>
  <c r="BN76" i="38" s="1"/>
  <c r="O273" i="37"/>
  <c r="BN103" i="38" s="1"/>
  <c r="BM103" i="38" s="1"/>
  <c r="M19" i="47"/>
  <c r="P235" i="37"/>
  <c r="Q185" i="37"/>
  <c r="P47" i="37"/>
  <c r="AB74" i="40" s="1"/>
  <c r="AB118" i="40" s="1"/>
  <c r="P163" i="37"/>
  <c r="P6" i="37" s="1"/>
  <c r="AA91" i="40"/>
  <c r="O101" i="37"/>
  <c r="BN88" i="38" s="1"/>
  <c r="M18" i="47"/>
  <c r="O289" i="37"/>
  <c r="BN117" i="38" s="1"/>
  <c r="BM117" i="38" s="1"/>
  <c r="Z94" i="40" s="1"/>
  <c r="O394" i="37"/>
  <c r="M23" i="47"/>
  <c r="O385" i="37"/>
  <c r="AD154" i="15" s="1"/>
  <c r="O88" i="37"/>
  <c r="O275" i="37"/>
  <c r="AB242" i="10"/>
  <c r="Q236" i="37"/>
  <c r="Q48" i="37"/>
  <c r="AC80" i="40" s="1"/>
  <c r="R186" i="37"/>
  <c r="AB56" i="40"/>
  <c r="AB112" i="40" s="1"/>
  <c r="O6" i="37"/>
  <c r="BN4" i="38" s="1"/>
  <c r="G6126" i="22"/>
  <c r="G6128" i="22" s="1"/>
  <c r="G6156" i="22" s="1"/>
  <c r="AA61" i="40"/>
  <c r="O444" i="37"/>
  <c r="O100" i="37"/>
  <c r="BN87" i="38" s="1"/>
  <c r="O288" i="37"/>
  <c r="O393" i="37"/>
  <c r="M15" i="47"/>
  <c r="Y289" i="10"/>
  <c r="Y290" i="10" s="1"/>
  <c r="Y268" i="10"/>
  <c r="N86" i="13"/>
  <c r="Y259" i="10"/>
  <c r="Y271" i="10" s="1"/>
  <c r="P88" i="37"/>
  <c r="P275" i="37"/>
  <c r="AB82" i="40" s="1"/>
  <c r="N23" i="47"/>
  <c r="P385" i="37"/>
  <c r="AE154" i="15" s="1"/>
  <c r="R184" i="37"/>
  <c r="Q46" i="37"/>
  <c r="AC68" i="40" s="1"/>
  <c r="Q162" i="37"/>
  <c r="Q5" i="37" s="1"/>
  <c r="AC67" i="40" s="1"/>
  <c r="Q234" i="37"/>
  <c r="AB91" i="40"/>
  <c r="P101" i="37"/>
  <c r="N18" i="47"/>
  <c r="P289" i="37"/>
  <c r="P394" i="37"/>
  <c r="BN40" i="38" l="1"/>
  <c r="Z74" i="40"/>
  <c r="Z118" i="40" s="1"/>
  <c r="AA82" i="40"/>
  <c r="BN105" i="38"/>
  <c r="BM105" i="38" s="1"/>
  <c r="Z82" i="40" s="1"/>
  <c r="Z83" i="40" s="1"/>
  <c r="BN78" i="38"/>
  <c r="BJ78" i="38" s="1"/>
  <c r="BN193" i="38"/>
  <c r="BN52" i="38"/>
  <c r="BN55" i="38" s="1"/>
  <c r="Z62" i="40"/>
  <c r="Z115" i="40" s="1"/>
  <c r="BN86" i="38"/>
  <c r="BJ86" i="38" s="1"/>
  <c r="G6148" i="22"/>
  <c r="G6150" i="22" s="1"/>
  <c r="G6163" i="22" s="1"/>
  <c r="G6165" i="22" s="1"/>
  <c r="BN116" i="38"/>
  <c r="Z95" i="40"/>
  <c r="Z125" i="40"/>
  <c r="BM115" i="38"/>
  <c r="BN191" i="38"/>
  <c r="AB67" i="40"/>
  <c r="N19" i="47"/>
  <c r="BN179" i="38"/>
  <c r="BJ88" i="38"/>
  <c r="BJ76" i="38"/>
  <c r="BJ3" i="38" s="1"/>
  <c r="W67" i="40" s="1"/>
  <c r="W71" i="40" s="1"/>
  <c r="P86" i="37"/>
  <c r="BJ87" i="38"/>
  <c r="P273" i="37"/>
  <c r="AB70" i="40" s="1"/>
  <c r="P63" i="37"/>
  <c r="BK288" i="38"/>
  <c r="BK283" i="38"/>
  <c r="BL337" i="38"/>
  <c r="BK286" i="38"/>
  <c r="BM55" i="38"/>
  <c r="BL327" i="38"/>
  <c r="BK277" i="38"/>
  <c r="P287" i="37"/>
  <c r="N29" i="47" s="1"/>
  <c r="N36" i="47" s="1"/>
  <c r="P99" i="37"/>
  <c r="N15" i="47"/>
  <c r="P23" i="37"/>
  <c r="AE135" i="15" s="1"/>
  <c r="P393" i="37"/>
  <c r="AB55" i="40"/>
  <c r="P288" i="37"/>
  <c r="AB64" i="40" s="1"/>
  <c r="AB116" i="40" s="1"/>
  <c r="AA265" i="10"/>
  <c r="AA249" i="10"/>
  <c r="P100" i="37"/>
  <c r="P392" i="37"/>
  <c r="AB61" i="40"/>
  <c r="H6126" i="22"/>
  <c r="H6128" i="22" s="1"/>
  <c r="H6156" i="22" s="1"/>
  <c r="BL328" i="38"/>
  <c r="R164" i="37"/>
  <c r="R7" i="37" s="1"/>
  <c r="AB243" i="10"/>
  <c r="AB241" i="10" s="1"/>
  <c r="BK326" i="38"/>
  <c r="BJ276" i="38"/>
  <c r="BK338" i="38"/>
  <c r="BJ282" i="38"/>
  <c r="BL339" i="38"/>
  <c r="Y261" i="10"/>
  <c r="Y263" i="10" s="1"/>
  <c r="AA284" i="1" s="1"/>
  <c r="I6126" i="22"/>
  <c r="I6128" i="22" s="1"/>
  <c r="I6156" i="22" s="1"/>
  <c r="Q393" i="37"/>
  <c r="Q444" i="37"/>
  <c r="Q100" i="37"/>
  <c r="Q288" i="37"/>
  <c r="O15" i="47"/>
  <c r="P15" i="47" s="1"/>
  <c r="AB94" i="40"/>
  <c r="P464" i="37"/>
  <c r="S162" i="14" s="1"/>
  <c r="S163" i="14" s="1"/>
  <c r="S165" i="14" s="1"/>
  <c r="P339" i="37"/>
  <c r="N30" i="47"/>
  <c r="N37" i="47" s="1"/>
  <c r="AA245" i="10"/>
  <c r="P328" i="37"/>
  <c r="P456" i="37"/>
  <c r="S184" i="37"/>
  <c r="R46" i="37"/>
  <c r="R162" i="37"/>
  <c r="R5" i="37" s="1"/>
  <c r="R234" i="37"/>
  <c r="AC242" i="10"/>
  <c r="R236" i="37"/>
  <c r="R48" i="37"/>
  <c r="S186" i="37"/>
  <c r="AA94" i="40"/>
  <c r="O339" i="37"/>
  <c r="M30" i="47"/>
  <c r="M37" i="47" s="1"/>
  <c r="O464" i="37"/>
  <c r="R162" i="14" s="1"/>
  <c r="R163" i="14" s="1"/>
  <c r="R165" i="14" s="1"/>
  <c r="R59" i="37"/>
  <c r="R239" i="37"/>
  <c r="S190" i="37"/>
  <c r="R168" i="37"/>
  <c r="R19" i="37" s="1"/>
  <c r="AD135" i="15"/>
  <c r="O103" i="37"/>
  <c r="O431" i="37"/>
  <c r="Q385" i="37"/>
  <c r="AF154" i="15" s="1"/>
  <c r="Q88" i="37"/>
  <c r="Q275" i="37"/>
  <c r="AC82" i="40" s="1"/>
  <c r="O23" i="47"/>
  <c r="P23" i="47" s="1"/>
  <c r="R60" i="37"/>
  <c r="R240" i="37"/>
  <c r="R169" i="37"/>
  <c r="R20" i="37" s="1"/>
  <c r="S191" i="37"/>
  <c r="Q23" i="37"/>
  <c r="Q392" i="37"/>
  <c r="O17" i="47"/>
  <c r="P17" i="47" s="1"/>
  <c r="Q99" i="37"/>
  <c r="Q287" i="37"/>
  <c r="AC58" i="40" s="1"/>
  <c r="R170" i="37"/>
  <c r="R21" i="37" s="1"/>
  <c r="R241" i="37"/>
  <c r="S192" i="37"/>
  <c r="R61" i="37"/>
  <c r="H4941" i="22"/>
  <c r="Z198" i="10"/>
  <c r="Z193" i="10"/>
  <c r="AA73" i="40"/>
  <c r="O384" i="37"/>
  <c r="O87" i="37"/>
  <c r="BN77" i="38" s="1"/>
  <c r="O274" i="37"/>
  <c r="BN104" i="38" s="1"/>
  <c r="BM104" i="38" s="1"/>
  <c r="Z76" i="40" s="1"/>
  <c r="Z119" i="40" s="1"/>
  <c r="H4407" i="34"/>
  <c r="M14" i="47"/>
  <c r="I4941" i="22"/>
  <c r="AA198" i="10"/>
  <c r="AA193" i="10"/>
  <c r="AB73" i="40"/>
  <c r="P384" i="37"/>
  <c r="P87" i="37"/>
  <c r="P274" i="37"/>
  <c r="N14" i="47"/>
  <c r="AA58" i="40"/>
  <c r="O291" i="37"/>
  <c r="O462" i="37"/>
  <c r="O337" i="37"/>
  <c r="M29" i="47"/>
  <c r="M36" i="47" s="1"/>
  <c r="G6113" i="22"/>
  <c r="G6173" i="22"/>
  <c r="Q63" i="37"/>
  <c r="Z245" i="10"/>
  <c r="O328" i="37"/>
  <c r="O456" i="37"/>
  <c r="Q101" i="37"/>
  <c r="O18" i="47"/>
  <c r="P18" i="47" s="1"/>
  <c r="Q289" i="37"/>
  <c r="AC94" i="40" s="1"/>
  <c r="Q394" i="37"/>
  <c r="AA70" i="40"/>
  <c r="O454" i="37"/>
  <c r="O326" i="37"/>
  <c r="G6131" i="22"/>
  <c r="AA64" i="40"/>
  <c r="O338" i="37"/>
  <c r="M27" i="47"/>
  <c r="M34" i="47" s="1"/>
  <c r="O481" i="37"/>
  <c r="O463" i="37"/>
  <c r="R147" i="14" s="1"/>
  <c r="R148" i="14" s="1"/>
  <c r="R150" i="14" s="1"/>
  <c r="Q47" i="37"/>
  <c r="AC74" i="40" s="1"/>
  <c r="AC118" i="40" s="1"/>
  <c r="Q163" i="37"/>
  <c r="Q6" i="37" s="1"/>
  <c r="AC73" i="40" s="1"/>
  <c r="Q235" i="37"/>
  <c r="R185" i="37"/>
  <c r="Y278" i="10"/>
  <c r="Y279" i="10" s="1"/>
  <c r="Q383" i="37"/>
  <c r="O19" i="47"/>
  <c r="P19" i="47" s="1"/>
  <c r="Q273" i="37"/>
  <c r="AC70" i="40" s="1"/>
  <c r="Q86" i="37"/>
  <c r="O395" i="37"/>
  <c r="BK78" i="38" l="1"/>
  <c r="BJ5" i="38"/>
  <c r="BJ181" i="38" s="1"/>
  <c r="BJ15" i="38"/>
  <c r="W55" i="40" s="1"/>
  <c r="W59" i="40" s="1"/>
  <c r="BK86" i="38"/>
  <c r="BL86" i="38" s="1"/>
  <c r="AB95" i="40"/>
  <c r="AB125" i="40"/>
  <c r="BM116" i="38"/>
  <c r="Z64" i="40" s="1"/>
  <c r="Z116" i="40" s="1"/>
  <c r="BN192" i="38"/>
  <c r="AC95" i="40"/>
  <c r="AC125" i="40"/>
  <c r="AA65" i="40"/>
  <c r="AA116" i="40"/>
  <c r="AA95" i="40"/>
  <c r="AA125" i="40"/>
  <c r="AC59" i="40"/>
  <c r="AC113" i="40"/>
  <c r="BN180" i="38"/>
  <c r="BN119" i="38"/>
  <c r="BN195" i="38" s="1"/>
  <c r="AA59" i="40"/>
  <c r="AA113" i="40"/>
  <c r="Z58" i="40"/>
  <c r="Z113" i="40" s="1"/>
  <c r="BM119" i="38"/>
  <c r="AC71" i="40"/>
  <c r="I6148" i="22"/>
  <c r="I6150" i="22" s="1"/>
  <c r="I6163" i="22" s="1"/>
  <c r="I6165" i="22" s="1"/>
  <c r="I6113" i="22" s="1"/>
  <c r="AC64" i="40"/>
  <c r="H6148" i="22"/>
  <c r="H6150" i="22" s="1"/>
  <c r="H6163" i="22" s="1"/>
  <c r="H6165" i="22" s="1"/>
  <c r="H6113" i="22" s="1"/>
  <c r="AB65" i="40"/>
  <c r="H6131" i="22"/>
  <c r="H6133" i="22" s="1"/>
  <c r="BK87" i="38"/>
  <c r="BJ16" i="38"/>
  <c r="W61" i="40" s="1"/>
  <c r="W65" i="40" s="1"/>
  <c r="BK88" i="38"/>
  <c r="BJ17" i="38"/>
  <c r="BL78" i="38"/>
  <c r="BK5" i="38"/>
  <c r="BK181" i="38" s="1"/>
  <c r="BJ179" i="38"/>
  <c r="BJ191" i="38"/>
  <c r="P481" i="37"/>
  <c r="BK15" i="38"/>
  <c r="X55" i="40" s="1"/>
  <c r="X59" i="40" s="1"/>
  <c r="P454" i="37"/>
  <c r="S72" i="14" s="1"/>
  <c r="S73" i="14" s="1"/>
  <c r="S75" i="14" s="1"/>
  <c r="BK76" i="38"/>
  <c r="BK3" i="38" s="1"/>
  <c r="X67" i="40" s="1"/>
  <c r="X71" i="40" s="1"/>
  <c r="P326" i="37"/>
  <c r="BJ77" i="38"/>
  <c r="N27" i="47"/>
  <c r="N34" i="47" s="1"/>
  <c r="P338" i="37"/>
  <c r="P463" i="37"/>
  <c r="S147" i="14" s="1"/>
  <c r="S148" i="14" s="1"/>
  <c r="S150" i="14" s="1"/>
  <c r="BK282" i="38"/>
  <c r="BK287" i="38"/>
  <c r="BL326" i="38"/>
  <c r="BL276" i="38" s="1"/>
  <c r="BK276" i="38"/>
  <c r="BM337" i="38"/>
  <c r="BM286" i="38" s="1"/>
  <c r="BL286" i="38"/>
  <c r="BM328" i="38"/>
  <c r="BM278" i="38" s="1"/>
  <c r="BL278" i="38"/>
  <c r="BM339" i="38"/>
  <c r="BL288" i="38"/>
  <c r="BL283" i="38"/>
  <c r="BM327" i="38"/>
  <c r="BM277" i="38" s="1"/>
  <c r="BL277" i="38"/>
  <c r="P431" i="37"/>
  <c r="P337" i="37"/>
  <c r="P291" i="37"/>
  <c r="AB58" i="40"/>
  <c r="P462" i="37"/>
  <c r="P103" i="37"/>
  <c r="P395" i="37"/>
  <c r="AE151" i="15" s="1"/>
  <c r="AB265" i="10"/>
  <c r="AB249" i="10"/>
  <c r="BL338" i="38"/>
  <c r="S164" i="37"/>
  <c r="S7" i="37" s="1"/>
  <c r="AC243" i="10"/>
  <c r="AC241" i="10" s="1"/>
  <c r="AC265" i="10" s="1"/>
  <c r="Y299" i="10"/>
  <c r="Y298" i="10"/>
  <c r="R63" i="37"/>
  <c r="Q395" i="37"/>
  <c r="Q423" i="37" s="1"/>
  <c r="S61" i="37"/>
  <c r="S170" i="37"/>
  <c r="S21" i="37" s="1"/>
  <c r="S241" i="37"/>
  <c r="T192" i="37"/>
  <c r="O465" i="37"/>
  <c r="R132" i="14"/>
  <c r="R133" i="14" s="1"/>
  <c r="R135" i="14" s="1"/>
  <c r="H4947" i="22"/>
  <c r="H4953" i="22" s="1"/>
  <c r="H4960" i="22"/>
  <c r="H4942" i="22"/>
  <c r="H4964" i="22" s="1"/>
  <c r="R385" i="37"/>
  <c r="AG154" i="15" s="1"/>
  <c r="R88" i="37"/>
  <c r="R275" i="37"/>
  <c r="Z252" i="10"/>
  <c r="Z256" i="10" s="1"/>
  <c r="Z289" i="10"/>
  <c r="Z290" i="10" s="1"/>
  <c r="Z268" i="10"/>
  <c r="R72" i="14"/>
  <c r="R73" i="14" s="1"/>
  <c r="R75" i="14" s="1"/>
  <c r="AD143" i="15"/>
  <c r="O480" i="37"/>
  <c r="R278" i="14" s="1"/>
  <c r="O364" i="37"/>
  <c r="AF135" i="15"/>
  <c r="Q103" i="37"/>
  <c r="Q431" i="37"/>
  <c r="Y283" i="10"/>
  <c r="AA108" i="1" s="1"/>
  <c r="BI509" i="38" s="1"/>
  <c r="Y282" i="10"/>
  <c r="Y301" i="10" s="1"/>
  <c r="AB71" i="40"/>
  <c r="I4942" i="22"/>
  <c r="I4947" i="22"/>
  <c r="I4953" i="22" s="1"/>
  <c r="I4960" i="22"/>
  <c r="R101" i="37"/>
  <c r="R394" i="37"/>
  <c r="R289" i="37"/>
  <c r="AA71" i="40"/>
  <c r="S185" i="37"/>
  <c r="R47" i="37"/>
  <c r="R163" i="37"/>
  <c r="R6" i="37" s="1"/>
  <c r="R235" i="37"/>
  <c r="G6122" i="22"/>
  <c r="G6115" i="22"/>
  <c r="G6116" i="22" s="1"/>
  <c r="O29" i="47"/>
  <c r="Q291" i="37"/>
  <c r="Q462" i="37"/>
  <c r="Q337" i="37"/>
  <c r="R287" i="37"/>
  <c r="R392" i="37"/>
  <c r="R23" i="37"/>
  <c r="R99" i="37"/>
  <c r="R86" i="37"/>
  <c r="R273" i="37"/>
  <c r="R383" i="37"/>
  <c r="I6131" i="22"/>
  <c r="Q463" i="37"/>
  <c r="T147" i="14" s="1"/>
  <c r="T148" i="14" s="1"/>
  <c r="T150" i="14" s="1"/>
  <c r="Q338" i="37"/>
  <c r="O27" i="47"/>
  <c r="Q481" i="37"/>
  <c r="J6126" i="22"/>
  <c r="R393" i="37"/>
  <c r="R444" i="37"/>
  <c r="R288" i="37"/>
  <c r="J6148" i="22" s="1"/>
  <c r="R100" i="37"/>
  <c r="AD151" i="15"/>
  <c r="O397" i="37"/>
  <c r="O423" i="37"/>
  <c r="Q326" i="37"/>
  <c r="Q454" i="37"/>
  <c r="Q339" i="37"/>
  <c r="O30" i="47"/>
  <c r="Q464" i="37"/>
  <c r="T162" i="14" s="1"/>
  <c r="T163" i="14" s="1"/>
  <c r="T165" i="14" s="1"/>
  <c r="I4944" i="22"/>
  <c r="AA195" i="10"/>
  <c r="AB76" i="40"/>
  <c r="P455" i="37"/>
  <c r="S57" i="14" s="1"/>
  <c r="S58" i="14" s="1"/>
  <c r="S60" i="14" s="1"/>
  <c r="N26" i="47"/>
  <c r="N33" i="47" s="1"/>
  <c r="P327" i="37"/>
  <c r="Z207" i="10"/>
  <c r="Z211" i="10"/>
  <c r="S59" i="37"/>
  <c r="S239" i="37"/>
  <c r="S168" i="37"/>
  <c r="S19" i="37" s="1"/>
  <c r="T190" i="37"/>
  <c r="AA252" i="10"/>
  <c r="AA256" i="10" s="1"/>
  <c r="AA268" i="10"/>
  <c r="AA289" i="10"/>
  <c r="AA290" i="10" s="1"/>
  <c r="AA207" i="10"/>
  <c r="AA211" i="10"/>
  <c r="H4944" i="22"/>
  <c r="G4925" i="22"/>
  <c r="Z195" i="10"/>
  <c r="AA76" i="40"/>
  <c r="M26" i="47"/>
  <c r="M33" i="47" s="1"/>
  <c r="O455" i="37"/>
  <c r="R57" i="14" s="1"/>
  <c r="R58" i="14" s="1"/>
  <c r="R60" i="14" s="1"/>
  <c r="O327" i="37"/>
  <c r="S60" i="37"/>
  <c r="S240" i="37"/>
  <c r="S169" i="37"/>
  <c r="S20" i="37" s="1"/>
  <c r="T191" i="37"/>
  <c r="Y274" i="10"/>
  <c r="AB193" i="10"/>
  <c r="AB198" i="10"/>
  <c r="J4941" i="22"/>
  <c r="Q384" i="37"/>
  <c r="Q87" i="37"/>
  <c r="Q274" i="37"/>
  <c r="AC76" i="40" s="1"/>
  <c r="O14" i="47"/>
  <c r="P14" i="47" s="1"/>
  <c r="G6133" i="22"/>
  <c r="AB245" i="10"/>
  <c r="Q456" i="37"/>
  <c r="Q328" i="37"/>
  <c r="AD242" i="10"/>
  <c r="S48" i="37"/>
  <c r="T186" i="37"/>
  <c r="S236" i="37"/>
  <c r="T184" i="37"/>
  <c r="S46" i="37"/>
  <c r="S162" i="37"/>
  <c r="S5" i="37" s="1"/>
  <c r="S234" i="37"/>
  <c r="I6173" i="22" l="1"/>
  <c r="AC77" i="40"/>
  <c r="AC119" i="40"/>
  <c r="AB77" i="40"/>
  <c r="AB119" i="40"/>
  <c r="AC65" i="40"/>
  <c r="AC116" i="40"/>
  <c r="AA77" i="40"/>
  <c r="AA119" i="40"/>
  <c r="AB59" i="40"/>
  <c r="AB113" i="40"/>
  <c r="H6173" i="22"/>
  <c r="BM78" i="38"/>
  <c r="BL5" i="38"/>
  <c r="BN277" i="38"/>
  <c r="BK77" i="38"/>
  <c r="BJ4" i="38"/>
  <c r="W73" i="40" s="1"/>
  <c r="W77" i="40" s="1"/>
  <c r="BJ193" i="38"/>
  <c r="BJ19" i="38"/>
  <c r="BJ195" i="38" s="1"/>
  <c r="BL88" i="38"/>
  <c r="BL17" i="38" s="1"/>
  <c r="BL193" i="38" s="1"/>
  <c r="BK17" i="38"/>
  <c r="BK193" i="38" s="1"/>
  <c r="BK179" i="38"/>
  <c r="BK191" i="38"/>
  <c r="BJ192" i="38"/>
  <c r="BM86" i="38"/>
  <c r="BL15" i="38"/>
  <c r="Y55" i="40" s="1"/>
  <c r="Y59" i="40" s="1"/>
  <c r="BL87" i="38"/>
  <c r="BL16" i="38" s="1"/>
  <c r="BK16" i="38"/>
  <c r="BN278" i="38"/>
  <c r="P465" i="37"/>
  <c r="BL76" i="38"/>
  <c r="BL3" i="38" s="1"/>
  <c r="BM326" i="38"/>
  <c r="BM276" i="38" s="1"/>
  <c r="BN276" i="38" s="1"/>
  <c r="BN286" i="38"/>
  <c r="P480" i="37"/>
  <c r="S278" i="14" s="1"/>
  <c r="BM283" i="38"/>
  <c r="BN283" i="38" s="1"/>
  <c r="BM288" i="38"/>
  <c r="BN288" i="38" s="1"/>
  <c r="BM338" i="38"/>
  <c r="BL282" i="38"/>
  <c r="BL287" i="38"/>
  <c r="P423" i="37"/>
  <c r="AE143" i="15"/>
  <c r="P364" i="37"/>
  <c r="S132" i="14"/>
  <c r="S133" i="14" s="1"/>
  <c r="S135" i="14" s="1"/>
  <c r="Y300" i="10"/>
  <c r="Y302" i="10" s="1"/>
  <c r="AD243" i="10"/>
  <c r="AD241" i="10" s="1"/>
  <c r="AE243" i="10"/>
  <c r="AC249" i="10"/>
  <c r="AF151" i="15"/>
  <c r="AB268" i="10"/>
  <c r="AB252" i="10"/>
  <c r="AB256" i="10" s="1"/>
  <c r="AB289" i="10"/>
  <c r="AB290" i="10" s="1"/>
  <c r="T132" i="14"/>
  <c r="T133" i="14" s="1"/>
  <c r="T135" i="14" s="1"/>
  <c r="Q465" i="37"/>
  <c r="H6134" i="22"/>
  <c r="H6168" i="22"/>
  <c r="H6169" i="22" s="1"/>
  <c r="AE242" i="10"/>
  <c r="T48" i="37"/>
  <c r="T236" i="37"/>
  <c r="K6126" i="22"/>
  <c r="J6128" i="22"/>
  <c r="AF143" i="15"/>
  <c r="Q480" i="37"/>
  <c r="T278" i="14" s="1"/>
  <c r="Q364" i="37"/>
  <c r="R464" i="37"/>
  <c r="U162" i="14" s="1"/>
  <c r="U163" i="14" s="1"/>
  <c r="U165" i="14" s="1"/>
  <c r="R339" i="37"/>
  <c r="T168" i="37"/>
  <c r="T19" i="37" s="1"/>
  <c r="T239" i="37"/>
  <c r="T59" i="37"/>
  <c r="O34" i="47"/>
  <c r="P27" i="47"/>
  <c r="I4945" i="22"/>
  <c r="I4950" i="22"/>
  <c r="I4954" i="22"/>
  <c r="J4960" i="22"/>
  <c r="J4942" i="22"/>
  <c r="J4947" i="22"/>
  <c r="J4953" i="22" s="1"/>
  <c r="AA259" i="10"/>
  <c r="AA271" i="10" s="1"/>
  <c r="AD153" i="15"/>
  <c r="P397" i="37"/>
  <c r="J6150" i="22"/>
  <c r="R326" i="37"/>
  <c r="R454" i="37"/>
  <c r="S385" i="37"/>
  <c r="AH154" i="15" s="1"/>
  <c r="S88" i="37"/>
  <c r="S275" i="37"/>
  <c r="G6134" i="22"/>
  <c r="G6168" i="22"/>
  <c r="G6169" i="22" s="1"/>
  <c r="AB207" i="10"/>
  <c r="AB211" i="10"/>
  <c r="O37" i="47"/>
  <c r="P30" i="47"/>
  <c r="P29" i="47"/>
  <c r="O36" i="47"/>
  <c r="K4941" i="22"/>
  <c r="AC193" i="10"/>
  <c r="AC198" i="10"/>
  <c r="R384" i="37"/>
  <c r="R87" i="37"/>
  <c r="R274" i="37"/>
  <c r="Z259" i="10"/>
  <c r="Z271" i="10" s="1"/>
  <c r="O125" i="13" s="1"/>
  <c r="I4964" i="22"/>
  <c r="T61" i="37"/>
  <c r="T170" i="37"/>
  <c r="T21" i="37" s="1"/>
  <c r="T241" i="37"/>
  <c r="Y275" i="10"/>
  <c r="Y311" i="10"/>
  <c r="Y312" i="10" s="1"/>
  <c r="T60" i="37"/>
  <c r="T240" i="37"/>
  <c r="T169" i="37"/>
  <c r="T20" i="37" s="1"/>
  <c r="S23" i="37"/>
  <c r="S99" i="37"/>
  <c r="S287" i="37"/>
  <c r="S392" i="37"/>
  <c r="I6115" i="22"/>
  <c r="I6116" i="22" s="1"/>
  <c r="I6122" i="22"/>
  <c r="AG135" i="15"/>
  <c r="R431" i="37"/>
  <c r="R103" i="37"/>
  <c r="T185" i="37"/>
  <c r="S47" i="37"/>
  <c r="S163" i="37"/>
  <c r="S6" i="37" s="1"/>
  <c r="S235" i="37"/>
  <c r="H6122" i="22"/>
  <c r="H6115" i="22"/>
  <c r="H6116" i="22" s="1"/>
  <c r="S383" i="37"/>
  <c r="S86" i="37"/>
  <c r="S273" i="37"/>
  <c r="J4944" i="22"/>
  <c r="AB195" i="10"/>
  <c r="Q455" i="37"/>
  <c r="T57" i="14" s="1"/>
  <c r="T58" i="14" s="1"/>
  <c r="T60" i="14" s="1"/>
  <c r="O26" i="47"/>
  <c r="Q327" i="37"/>
  <c r="Z214" i="10"/>
  <c r="Z189" i="10" s="1"/>
  <c r="J6131" i="22"/>
  <c r="R463" i="37"/>
  <c r="U147" i="14" s="1"/>
  <c r="U148" i="14" s="1"/>
  <c r="U150" i="14" s="1"/>
  <c r="R338" i="37"/>
  <c r="R481" i="37"/>
  <c r="R395" i="37"/>
  <c r="AC245" i="10"/>
  <c r="R456" i="37"/>
  <c r="R328" i="37"/>
  <c r="Z196" i="10"/>
  <c r="Z225" i="10"/>
  <c r="Z200" i="10"/>
  <c r="Z203" i="10" s="1"/>
  <c r="Z209" i="10" s="1"/>
  <c r="S394" i="37"/>
  <c r="S101" i="37"/>
  <c r="S289" i="37"/>
  <c r="S288" i="37"/>
  <c r="S393" i="37"/>
  <c r="S444" i="37"/>
  <c r="S100" i="37"/>
  <c r="AA196" i="10"/>
  <c r="AA225" i="10"/>
  <c r="AA200" i="10"/>
  <c r="AA203" i="10" s="1"/>
  <c r="AA209" i="10" s="1"/>
  <c r="T72" i="14"/>
  <c r="T73" i="14" s="1"/>
  <c r="T75" i="14" s="1"/>
  <c r="S63" i="37"/>
  <c r="AA214" i="10"/>
  <c r="I6133" i="22"/>
  <c r="R291" i="37"/>
  <c r="R462" i="37"/>
  <c r="R337" i="37"/>
  <c r="H4966" i="22"/>
  <c r="H4969" i="22" s="1"/>
  <c r="H4954" i="22"/>
  <c r="H4958" i="22" s="1"/>
  <c r="H4962" i="22" s="1"/>
  <c r="H4945" i="22"/>
  <c r="H4950" i="22"/>
  <c r="T234" i="37"/>
  <c r="T162" i="37"/>
  <c r="T5" i="37" s="1"/>
  <c r="T46" i="37"/>
  <c r="BL192" i="38" l="1"/>
  <c r="Y61" i="40"/>
  <c r="Y65" i="40" s="1"/>
  <c r="BM3" i="38"/>
  <c r="Y67" i="40"/>
  <c r="Y71" i="40" s="1"/>
  <c r="BK192" i="38"/>
  <c r="X61" i="40"/>
  <c r="X65" i="40" s="1"/>
  <c r="BM17" i="38"/>
  <c r="BM193" i="38" s="1"/>
  <c r="BM88" i="38"/>
  <c r="BM87" i="38"/>
  <c r="BK19" i="38"/>
  <c r="BK195" i="38" s="1"/>
  <c r="BM76" i="38"/>
  <c r="BJ180" i="38"/>
  <c r="BL77" i="38"/>
  <c r="BL4" i="38" s="1"/>
  <c r="BK4" i="38"/>
  <c r="X73" i="40" s="1"/>
  <c r="X77" i="40" s="1"/>
  <c r="BL179" i="38"/>
  <c r="BL19" i="38"/>
  <c r="BL195" i="38" s="1"/>
  <c r="BL191" i="38"/>
  <c r="BM15" i="38"/>
  <c r="Z55" i="40" s="1"/>
  <c r="Z59" i="40" s="1"/>
  <c r="BL181" i="38"/>
  <c r="BM5" i="38"/>
  <c r="BM181" i="38" s="1"/>
  <c r="BM16" i="38"/>
  <c r="BM282" i="38"/>
  <c r="BN282" i="38" s="1"/>
  <c r="BM287" i="38"/>
  <c r="BN287" i="38" s="1"/>
  <c r="AD265" i="10"/>
  <c r="AD249" i="10"/>
  <c r="AA278" i="10"/>
  <c r="AA279" i="10" s="1"/>
  <c r="AA282" i="10" s="1"/>
  <c r="P125" i="13"/>
  <c r="P24" i="13" s="1"/>
  <c r="AE196" i="15" s="1"/>
  <c r="T164" i="37"/>
  <c r="T7" i="37" s="1"/>
  <c r="T385" i="37" s="1"/>
  <c r="AI154" i="15" s="1"/>
  <c r="AE241" i="10"/>
  <c r="AE249" i="10" s="1"/>
  <c r="J4964" i="22"/>
  <c r="Z261" i="10"/>
  <c r="Z263" i="10" s="1"/>
  <c r="AB284" i="1" s="1"/>
  <c r="AB286" i="1" s="1"/>
  <c r="J6163" i="22"/>
  <c r="J6165" i="22" s="1"/>
  <c r="J6173" i="22" s="1"/>
  <c r="T23" i="37"/>
  <c r="T99" i="37"/>
  <c r="T287" i="37"/>
  <c r="T392" i="37"/>
  <c r="J6156" i="22"/>
  <c r="K6128" i="22"/>
  <c r="AB216" i="10"/>
  <c r="AB219" i="10" s="1"/>
  <c r="S464" i="37"/>
  <c r="V162" i="14" s="1"/>
  <c r="V163" i="14" s="1"/>
  <c r="V165" i="14" s="1"/>
  <c r="S339" i="37"/>
  <c r="J4945" i="22"/>
  <c r="J4950" i="22"/>
  <c r="J4954" i="22"/>
  <c r="T288" i="37"/>
  <c r="T393" i="37"/>
  <c r="T100" i="37"/>
  <c r="T444" i="37"/>
  <c r="AE153" i="15"/>
  <c r="Q397" i="37"/>
  <c r="T86" i="37"/>
  <c r="T273" i="37"/>
  <c r="T383" i="37"/>
  <c r="AH135" i="15"/>
  <c r="S431" i="37"/>
  <c r="S103" i="37"/>
  <c r="Z278" i="10"/>
  <c r="Z279" i="10" s="1"/>
  <c r="O24" i="13"/>
  <c r="AD196" i="15" s="1"/>
  <c r="K4960" i="22"/>
  <c r="K4942" i="22"/>
  <c r="K4947" i="22"/>
  <c r="K4953" i="22" s="1"/>
  <c r="AA205" i="10"/>
  <c r="AA226" i="10" s="1"/>
  <c r="AA227" i="10" s="1"/>
  <c r="AC207" i="10"/>
  <c r="AC211" i="10"/>
  <c r="AA216" i="10"/>
  <c r="AA219" i="10" s="1"/>
  <c r="Z190" i="10"/>
  <c r="Z191" i="10" s="1"/>
  <c r="AD245" i="10"/>
  <c r="S456" i="37"/>
  <c r="S328" i="37"/>
  <c r="U72" i="14"/>
  <c r="U73" i="14" s="1"/>
  <c r="U75" i="14" s="1"/>
  <c r="AA261" i="10"/>
  <c r="I6134" i="22"/>
  <c r="I6168" i="22"/>
  <c r="I6169" i="22" s="1"/>
  <c r="S463" i="37"/>
  <c r="V147" i="14" s="1"/>
  <c r="V148" i="14" s="1"/>
  <c r="V150" i="14" s="1"/>
  <c r="S338" i="37"/>
  <c r="S481" i="37"/>
  <c r="I4951" i="22"/>
  <c r="I4972" i="22"/>
  <c r="AC289" i="10"/>
  <c r="AC290" i="10" s="1"/>
  <c r="AC268" i="10"/>
  <c r="AC252" i="10"/>
  <c r="AC256" i="10" s="1"/>
  <c r="AG151" i="15"/>
  <c r="R423" i="37"/>
  <c r="P26" i="47"/>
  <c r="O33" i="47"/>
  <c r="AD193" i="10"/>
  <c r="AD198" i="10"/>
  <c r="S384" i="37"/>
  <c r="S274" i="37"/>
  <c r="S87" i="37"/>
  <c r="S395" i="37"/>
  <c r="Z205" i="10"/>
  <c r="Z226" i="10" s="1"/>
  <c r="Z227" i="10" s="1"/>
  <c r="Y276" i="10"/>
  <c r="N92" i="13"/>
  <c r="N94" i="13" s="1"/>
  <c r="H4970" i="22"/>
  <c r="I4956" i="22"/>
  <c r="I4966" i="22" s="1"/>
  <c r="I4969" i="22" s="1"/>
  <c r="S291" i="37"/>
  <c r="S337" i="37"/>
  <c r="S462" i="37"/>
  <c r="K4944" i="22"/>
  <c r="AC195" i="10"/>
  <c r="R327" i="37"/>
  <c r="R455" i="37"/>
  <c r="U57" i="14" s="1"/>
  <c r="U58" i="14" s="1"/>
  <c r="U60" i="14" s="1"/>
  <c r="T63" i="37"/>
  <c r="AB200" i="10"/>
  <c r="AB203" i="10" s="1"/>
  <c r="AB209" i="10" s="1"/>
  <c r="AB196" i="10"/>
  <c r="AB225" i="10"/>
  <c r="K6131" i="22"/>
  <c r="J6133" i="22"/>
  <c r="S326" i="37"/>
  <c r="S454" i="37"/>
  <c r="U132" i="14"/>
  <c r="U133" i="14" s="1"/>
  <c r="U135" i="14" s="1"/>
  <c r="R465" i="37"/>
  <c r="H4951" i="22"/>
  <c r="H4972" i="22"/>
  <c r="AG143" i="15"/>
  <c r="R480" i="37"/>
  <c r="U278" i="14" s="1"/>
  <c r="R364" i="37"/>
  <c r="AB214" i="10"/>
  <c r="T47" i="37"/>
  <c r="T163" i="37"/>
  <c r="T6" i="37" s="1"/>
  <c r="T235" i="37"/>
  <c r="T394" i="37"/>
  <c r="T289" i="37"/>
  <c r="T101" i="37"/>
  <c r="AB259" i="10"/>
  <c r="AB271" i="10" s="1"/>
  <c r="Q125" i="13" s="1"/>
  <c r="BM192" i="38" l="1"/>
  <c r="Z61" i="40"/>
  <c r="Z65" i="40" s="1"/>
  <c r="BL180" i="38"/>
  <c r="Y73" i="40"/>
  <c r="Y77" i="40" s="1"/>
  <c r="BM179" i="38"/>
  <c r="Z67" i="40"/>
  <c r="Z71" i="40" s="1"/>
  <c r="BM77" i="38"/>
  <c r="BK180" i="38"/>
  <c r="Z298" i="10"/>
  <c r="BM191" i="38"/>
  <c r="BM19" i="38"/>
  <c r="BM195" i="38" s="1"/>
  <c r="BM4" i="38"/>
  <c r="AA283" i="10"/>
  <c r="AC108" i="1" s="1"/>
  <c r="T88" i="37"/>
  <c r="T275" i="37"/>
  <c r="AE245" i="10" s="1"/>
  <c r="P39" i="13"/>
  <c r="F17" i="47"/>
  <c r="AB50" i="40"/>
  <c r="E5982" i="22"/>
  <c r="M5982" i="22" s="1"/>
  <c r="AE265" i="10"/>
  <c r="Z299" i="10"/>
  <c r="Z300" i="10" s="1"/>
  <c r="K4964" i="22"/>
  <c r="AB261" i="10"/>
  <c r="AB299" i="10" s="1"/>
  <c r="AA189" i="10"/>
  <c r="AB189" i="10" s="1"/>
  <c r="J4956" i="22"/>
  <c r="J4966" i="22" s="1"/>
  <c r="J4969" i="22" s="1"/>
  <c r="I4970" i="22"/>
  <c r="AE193" i="10"/>
  <c r="AE198" i="10"/>
  <c r="T87" i="37"/>
  <c r="T274" i="37"/>
  <c r="T384" i="37"/>
  <c r="K4945" i="22"/>
  <c r="K4950" i="22"/>
  <c r="K4954" i="22"/>
  <c r="AD211" i="10"/>
  <c r="AD207" i="10"/>
  <c r="AD214" i="10" s="1"/>
  <c r="T481" i="37"/>
  <c r="T463" i="37"/>
  <c r="W147" i="14" s="1"/>
  <c r="W148" i="14" s="1"/>
  <c r="W150" i="14" s="1"/>
  <c r="D152" i="14" s="1"/>
  <c r="T338" i="37"/>
  <c r="V132" i="14"/>
  <c r="V133" i="14" s="1"/>
  <c r="V135" i="14" s="1"/>
  <c r="S465" i="37"/>
  <c r="AB28" i="1"/>
  <c r="BN446" i="38" s="1"/>
  <c r="D4112" i="22"/>
  <c r="F4926" i="22"/>
  <c r="F4927" i="22" s="1"/>
  <c r="F5168" i="22"/>
  <c r="F5130" i="22"/>
  <c r="J3776" i="22"/>
  <c r="J3782" i="22" s="1"/>
  <c r="N104" i="13"/>
  <c r="AC259" i="10"/>
  <c r="AC271" i="10" s="1"/>
  <c r="AC278" i="10" s="1"/>
  <c r="AC279" i="10" s="1"/>
  <c r="D5982" i="22"/>
  <c r="L5982" i="22" s="1"/>
  <c r="AA50" i="40"/>
  <c r="BN489" i="38"/>
  <c r="BM489" i="38" s="1"/>
  <c r="Z50" i="40" s="1"/>
  <c r="O39" i="13"/>
  <c r="E17" i="47"/>
  <c r="AC216" i="10"/>
  <c r="AC219" i="10" s="1"/>
  <c r="AF153" i="15"/>
  <c r="R397" i="37"/>
  <c r="AB278" i="10"/>
  <c r="AB279" i="10" s="1"/>
  <c r="V72" i="14"/>
  <c r="V73" i="14" s="1"/>
  <c r="V75" i="14" s="1"/>
  <c r="AH143" i="15"/>
  <c r="S480" i="37"/>
  <c r="V278" i="14" s="1"/>
  <c r="S364" i="37"/>
  <c r="AH151" i="15"/>
  <c r="S423" i="37"/>
  <c r="AD268" i="10"/>
  <c r="AD252" i="10"/>
  <c r="AD256" i="10" s="1"/>
  <c r="AD289" i="10"/>
  <c r="AD290" i="10" s="1"/>
  <c r="AA301" i="10"/>
  <c r="J4972" i="22"/>
  <c r="J4951" i="22"/>
  <c r="T395" i="37"/>
  <c r="I4958" i="22"/>
  <c r="I4962" i="22" s="1"/>
  <c r="Z282" i="10"/>
  <c r="Z301" i="10" s="1"/>
  <c r="Z283" i="10"/>
  <c r="AB108" i="1" s="1"/>
  <c r="BN509" i="38" s="1"/>
  <c r="T464" i="37"/>
  <c r="W162" i="14" s="1"/>
  <c r="W163" i="14" s="1"/>
  <c r="W165" i="14" s="1"/>
  <c r="T339" i="37"/>
  <c r="T326" i="37"/>
  <c r="T454" i="37"/>
  <c r="T462" i="37"/>
  <c r="T337" i="37"/>
  <c r="T291" i="37"/>
  <c r="AD195" i="10"/>
  <c r="S327" i="37"/>
  <c r="S455" i="37"/>
  <c r="V57" i="14" s="1"/>
  <c r="V58" i="14" s="1"/>
  <c r="V60" i="14" s="1"/>
  <c r="Z274" i="10"/>
  <c r="J6134" i="22"/>
  <c r="J6168" i="22"/>
  <c r="K6133" i="22"/>
  <c r="AC214" i="10"/>
  <c r="AB205" i="10"/>
  <c r="AB226" i="10" s="1"/>
  <c r="AB227" i="10" s="1"/>
  <c r="AA299" i="10"/>
  <c r="AA263" i="10"/>
  <c r="AC284" i="1" s="1"/>
  <c r="AC286" i="1" s="1"/>
  <c r="AC28" i="1" s="1"/>
  <c r="AA298" i="10"/>
  <c r="AI135" i="15"/>
  <c r="T431" i="37"/>
  <c r="T103" i="37"/>
  <c r="AC200" i="10"/>
  <c r="AC203" i="10" s="1"/>
  <c r="AC209" i="10" s="1"/>
  <c r="AC196" i="10"/>
  <c r="AC225" i="10"/>
  <c r="F6179" i="22"/>
  <c r="F6180" i="22" s="1"/>
  <c r="F6178" i="22"/>
  <c r="BM180" i="38" l="1"/>
  <c r="Z73" i="40"/>
  <c r="Z77" i="40" s="1"/>
  <c r="T456" i="37"/>
  <c r="T328" i="37"/>
  <c r="AA190" i="10"/>
  <c r="AA191" i="10" s="1"/>
  <c r="AB263" i="10"/>
  <c r="AD284" i="1" s="1"/>
  <c r="AD286" i="1" s="1"/>
  <c r="AD28" i="1" s="1"/>
  <c r="Z302" i="10"/>
  <c r="AB298" i="10"/>
  <c r="AB300" i="10" s="1"/>
  <c r="J4958" i="22"/>
  <c r="J4962" i="22" s="1"/>
  <c r="AA300" i="10"/>
  <c r="AA302" i="10" s="1"/>
  <c r="Q24" i="13"/>
  <c r="R125" i="13"/>
  <c r="AD216" i="10"/>
  <c r="AD219" i="10" s="1"/>
  <c r="AE289" i="10"/>
  <c r="AE290" i="10" s="1"/>
  <c r="AE268" i="10"/>
  <c r="AE252" i="10"/>
  <c r="AE256" i="10" s="1"/>
  <c r="AC205" i="10"/>
  <c r="AC226" i="10" s="1"/>
  <c r="AC227" i="10" s="1"/>
  <c r="T465" i="37"/>
  <c r="W132" i="14"/>
  <c r="W133" i="14" s="1"/>
  <c r="W135" i="14" s="1"/>
  <c r="D137" i="14" s="1"/>
  <c r="AI151" i="15"/>
  <c r="T423" i="37"/>
  <c r="K4956" i="22"/>
  <c r="K4966" i="22" s="1"/>
  <c r="K4969" i="22" s="1"/>
  <c r="K4970" i="22" s="1"/>
  <c r="J4970" i="22"/>
  <c r="AC189" i="10"/>
  <c r="AB190" i="10"/>
  <c r="AB191" i="10" s="1"/>
  <c r="Z275" i="10"/>
  <c r="AA274" i="10"/>
  <c r="Z311" i="10"/>
  <c r="Z312" i="10" s="1"/>
  <c r="AB11" i="40"/>
  <c r="AC168" i="1"/>
  <c r="AC169" i="1" s="1"/>
  <c r="AC87" i="1"/>
  <c r="AC62" i="1"/>
  <c r="J6169" i="22"/>
  <c r="K6168" i="22"/>
  <c r="F4112" i="22"/>
  <c r="D4114" i="22"/>
  <c r="J4114" i="22" s="1"/>
  <c r="J4112" i="22"/>
  <c r="K4112" i="22" s="1"/>
  <c r="F6181" i="22"/>
  <c r="W72" i="14"/>
  <c r="W73" i="14" s="1"/>
  <c r="W75" i="14" s="1"/>
  <c r="D77" i="14" s="1"/>
  <c r="D167" i="14"/>
  <c r="D166" i="14"/>
  <c r="AA11" i="40"/>
  <c r="AB87" i="1"/>
  <c r="AB62" i="1"/>
  <c r="AB168" i="1"/>
  <c r="AB169" i="1" s="1"/>
  <c r="K4972" i="22"/>
  <c r="C4982" i="22" s="1"/>
  <c r="C4983" i="22" s="1"/>
  <c r="K4951" i="22"/>
  <c r="AE211" i="10"/>
  <c r="AE207" i="10"/>
  <c r="AE214" i="10" s="1"/>
  <c r="AB283" i="10"/>
  <c r="AD108" i="1" s="1"/>
  <c r="AB282" i="10"/>
  <c r="AB301" i="10" s="1"/>
  <c r="AD200" i="10"/>
  <c r="AD203" i="10" s="1"/>
  <c r="AD209" i="10" s="1"/>
  <c r="AD196" i="10"/>
  <c r="AD225" i="10"/>
  <c r="AG153" i="15"/>
  <c r="S397" i="37"/>
  <c r="AD259" i="10"/>
  <c r="AD271" i="10" s="1"/>
  <c r="AD278" i="10" s="1"/>
  <c r="AD279" i="10" s="1"/>
  <c r="AC282" i="10"/>
  <c r="AC301" i="10" s="1"/>
  <c r="AC283" i="10"/>
  <c r="AE108" i="1" s="1"/>
  <c r="P4915" i="22"/>
  <c r="F4928" i="22"/>
  <c r="P4916" i="22" s="1"/>
  <c r="AE195" i="10"/>
  <c r="T327" i="37"/>
  <c r="T455" i="37"/>
  <c r="W57" i="14" s="1"/>
  <c r="W58" i="14" s="1"/>
  <c r="W60" i="14" s="1"/>
  <c r="D151" i="14"/>
  <c r="D153" i="14" s="1"/>
  <c r="I11" i="14" s="1"/>
  <c r="AI143" i="15"/>
  <c r="T364" i="37"/>
  <c r="T480" i="37"/>
  <c r="W278" i="14" s="1"/>
  <c r="AC261" i="10"/>
  <c r="AC298" i="10" s="1"/>
  <c r="AC50" i="40" l="1"/>
  <c r="AF196" i="15"/>
  <c r="AD168" i="1"/>
  <c r="AD169" i="1" s="1"/>
  <c r="AC11" i="40"/>
  <c r="AD62" i="1"/>
  <c r="AD87" i="1"/>
  <c r="AB302" i="10"/>
  <c r="D168" i="14"/>
  <c r="I12" i="14" s="1"/>
  <c r="E12" i="14" s="1"/>
  <c r="Q39" i="13"/>
  <c r="G17" i="47"/>
  <c r="H17" i="47" s="1"/>
  <c r="AH153" i="15"/>
  <c r="T397" i="37"/>
  <c r="AE200" i="10"/>
  <c r="AE203" i="10" s="1"/>
  <c r="AE209" i="10" s="1"/>
  <c r="AE196" i="10"/>
  <c r="AE225" i="10"/>
  <c r="D2564" i="22"/>
  <c r="D2565" i="22" s="1"/>
  <c r="AA7" i="46"/>
  <c r="E11" i="14"/>
  <c r="F11" i="14"/>
  <c r="G11" i="14"/>
  <c r="I26" i="14" s="1"/>
  <c r="O19" i="14"/>
  <c r="D62" i="14"/>
  <c r="D61" i="14"/>
  <c r="AD283" i="10"/>
  <c r="AF108" i="1" s="1"/>
  <c r="AD282" i="10"/>
  <c r="AD301" i="10" s="1"/>
  <c r="AD205" i="10"/>
  <c r="AD226" i="10" s="1"/>
  <c r="AD227" i="10" s="1"/>
  <c r="D76" i="14"/>
  <c r="D78" i="14" s="1"/>
  <c r="I5" i="14" s="1"/>
  <c r="F6182" i="22"/>
  <c r="F6184" i="22"/>
  <c r="F6185" i="22" s="1"/>
  <c r="F6186" i="22" s="1"/>
  <c r="R24" i="13"/>
  <c r="S125" i="13"/>
  <c r="AE216" i="10"/>
  <c r="AE219" i="10" s="1"/>
  <c r="AE259" i="10"/>
  <c r="AE271" i="10" s="1"/>
  <c r="AE278" i="10" s="1"/>
  <c r="AE279" i="10" s="1"/>
  <c r="D136" i="14"/>
  <c r="D138" i="14" s="1"/>
  <c r="I10" i="14" s="1"/>
  <c r="AC263" i="10"/>
  <c r="AE284" i="1" s="1"/>
  <c r="AE286" i="1" s="1"/>
  <c r="AE28" i="1" s="1"/>
  <c r="AC299" i="10"/>
  <c r="AC300" i="10" s="1"/>
  <c r="AC302" i="10" s="1"/>
  <c r="AA275" i="10"/>
  <c r="AB274" i="10"/>
  <c r="AA311" i="10"/>
  <c r="AA312" i="10" s="1"/>
  <c r="Z276" i="10"/>
  <c r="O92" i="13"/>
  <c r="D4115" i="22"/>
  <c r="J4115" i="22" s="1"/>
  <c r="AD189" i="10"/>
  <c r="AC190" i="10"/>
  <c r="AC191" i="10" s="1"/>
  <c r="C292" i="10"/>
  <c r="C291" i="10"/>
  <c r="K4958" i="22"/>
  <c r="K4962" i="22" s="1"/>
  <c r="AD261" i="10"/>
  <c r="AD298" i="10" s="1"/>
  <c r="C4979" i="22"/>
  <c r="C4984" i="22" s="1"/>
  <c r="R39" i="13" l="1"/>
  <c r="AG196" i="15"/>
  <c r="C293" i="10"/>
  <c r="C294" i="10" s="1"/>
  <c r="D63" i="14"/>
  <c r="I4" i="14" s="1"/>
  <c r="E4" i="14" s="1"/>
  <c r="AA276" i="10"/>
  <c r="P92" i="13"/>
  <c r="C4986" i="22"/>
  <c r="C4988" i="22"/>
  <c r="C4990" i="22" s="1"/>
  <c r="C4992" i="22" s="1"/>
  <c r="C4993" i="22" s="1"/>
  <c r="E5" i="14"/>
  <c r="AE189" i="10"/>
  <c r="AD190" i="10"/>
  <c r="AD191" i="10" s="1"/>
  <c r="AE283" i="10"/>
  <c r="AG108" i="1" s="1"/>
  <c r="AE282" i="10"/>
  <c r="AE301" i="10" s="1"/>
  <c r="AB275" i="10"/>
  <c r="AC274" i="10"/>
  <c r="AB311" i="10"/>
  <c r="AB312" i="10" s="1"/>
  <c r="D14" i="13"/>
  <c r="E10" i="14"/>
  <c r="AI153" i="15"/>
  <c r="AD263" i="10"/>
  <c r="AF284" i="1" s="1"/>
  <c r="AF286" i="1" s="1"/>
  <c r="AF28" i="1" s="1"/>
  <c r="AD299" i="10"/>
  <c r="AD300" i="10" s="1"/>
  <c r="AD302" i="10" s="1"/>
  <c r="AE168" i="1"/>
  <c r="AE169" i="1" s="1"/>
  <c r="AE87" i="1"/>
  <c r="AE62" i="1"/>
  <c r="T125" i="13"/>
  <c r="T24" i="13" s="1"/>
  <c r="S24" i="13"/>
  <c r="AE261" i="10"/>
  <c r="AE298" i="10" s="1"/>
  <c r="AE205" i="10"/>
  <c r="AE226" i="10" s="1"/>
  <c r="AE227" i="10" s="1"/>
  <c r="S39" i="13" l="1"/>
  <c r="AH196" i="15"/>
  <c r="T39" i="13"/>
  <c r="AI196" i="15"/>
  <c r="C295" i="10"/>
  <c r="G22" i="14" s="1"/>
  <c r="I22" i="14" s="1"/>
  <c r="Q293" i="10"/>
  <c r="AB276" i="10"/>
  <c r="Q92" i="13"/>
  <c r="AE190" i="10"/>
  <c r="AE191" i="10" s="1"/>
  <c r="S10" i="15"/>
  <c r="E14" i="13"/>
  <c r="AF168" i="1"/>
  <c r="AF169" i="1" s="1"/>
  <c r="AF87" i="1"/>
  <c r="AF62" i="1"/>
  <c r="C229" i="10"/>
  <c r="C228" i="10"/>
  <c r="AE263" i="10"/>
  <c r="AG284" i="1" s="1"/>
  <c r="AG286" i="1" s="1"/>
  <c r="AG28" i="1" s="1"/>
  <c r="AE299" i="10"/>
  <c r="AE300" i="10" s="1"/>
  <c r="AE302" i="10" s="1"/>
  <c r="AD274" i="10"/>
  <c r="AC275" i="10"/>
  <c r="AC311" i="10"/>
  <c r="AC312" i="10" s="1"/>
  <c r="C296" i="10" l="1"/>
  <c r="C230" i="10"/>
  <c r="C232" i="10" s="1"/>
  <c r="AG168" i="1"/>
  <c r="AG169" i="1" s="1"/>
  <c r="AG62" i="1"/>
  <c r="AG87" i="1"/>
  <c r="AE274" i="10"/>
  <c r="AD275" i="10"/>
  <c r="AD311" i="10"/>
  <c r="AD312" i="10" s="1"/>
  <c r="D4117" i="22"/>
  <c r="J4117" i="22" s="1"/>
  <c r="D11" i="13"/>
  <c r="U11" i="46"/>
  <c r="U16" i="46" s="1"/>
  <c r="T10" i="15"/>
  <c r="F14" i="13"/>
  <c r="AC276" i="10"/>
  <c r="R92" i="13"/>
  <c r="C231" i="10" l="1"/>
  <c r="S9" i="15"/>
  <c r="D18" i="13"/>
  <c r="E11" i="13"/>
  <c r="AD276" i="10"/>
  <c r="S92" i="13"/>
  <c r="C233" i="10"/>
  <c r="C234" i="10" s="1"/>
  <c r="U10" i="15"/>
  <c r="G14" i="13"/>
  <c r="AE275" i="10"/>
  <c r="AE311" i="10"/>
  <c r="AE312" i="10" s="1"/>
  <c r="AE276" i="10" l="1"/>
  <c r="T92" i="13"/>
  <c r="V10" i="15"/>
  <c r="H14" i="13"/>
  <c r="T9" i="15"/>
  <c r="E18" i="13"/>
  <c r="F11" i="13"/>
  <c r="E99" i="13"/>
  <c r="I859" i="22"/>
  <c r="I861" i="22" s="1"/>
  <c r="D61" i="13"/>
  <c r="D66" i="13"/>
  <c r="D62" i="13"/>
  <c r="D2786" i="22" s="1"/>
  <c r="D67" i="13"/>
  <c r="D64" i="13"/>
  <c r="D65" i="13" s="1"/>
  <c r="I862" i="22" l="1"/>
  <c r="U9" i="15"/>
  <c r="F18" i="13"/>
  <c r="G11" i="13"/>
  <c r="F99" i="13"/>
  <c r="J859" i="22"/>
  <c r="J861" i="22" s="1"/>
  <c r="E61" i="13"/>
  <c r="E66" i="13"/>
  <c r="E62" i="13"/>
  <c r="F2529" i="22"/>
  <c r="E100" i="13"/>
  <c r="D3150" i="22" s="1"/>
  <c r="W10" i="15"/>
  <c r="I14" i="13"/>
  <c r="V9" i="15" l="1"/>
  <c r="G18" i="13"/>
  <c r="H11" i="13"/>
  <c r="G99" i="13"/>
  <c r="G100" i="13" s="1"/>
  <c r="F3150" i="22" s="1"/>
  <c r="G2529" i="22"/>
  <c r="F100" i="13"/>
  <c r="E3150" i="22" s="1"/>
  <c r="F61" i="13"/>
  <c r="F66" i="13"/>
  <c r="D3346" i="22" s="1"/>
  <c r="F62" i="13"/>
  <c r="D3345" i="22" s="1"/>
  <c r="X10" i="15"/>
  <c r="J14" i="13"/>
  <c r="F2531" i="22"/>
  <c r="F2532" i="22" s="1"/>
  <c r="F2533" i="22"/>
  <c r="J862" i="22"/>
  <c r="BF2914" i="22" l="1"/>
  <c r="C4797" i="22"/>
  <c r="Y10" i="15"/>
  <c r="K14" i="13"/>
  <c r="W9" i="15"/>
  <c r="I11" i="13"/>
  <c r="H99" i="13"/>
  <c r="H100" i="13" s="1"/>
  <c r="G3150" i="22" s="1"/>
  <c r="H18" i="13"/>
  <c r="G64" i="13"/>
  <c r="G65" i="13" s="1"/>
  <c r="E3347" i="22" s="1"/>
  <c r="G61" i="13"/>
  <c r="G66" i="13"/>
  <c r="E3346" i="22" s="1"/>
  <c r="G62" i="13"/>
  <c r="E3345" i="22" s="1"/>
  <c r="X9" i="15" l="1"/>
  <c r="I18" i="13"/>
  <c r="J11" i="13"/>
  <c r="I99" i="13"/>
  <c r="I100" i="13" s="1"/>
  <c r="H3150" i="22" s="1"/>
  <c r="D4797" i="22"/>
  <c r="Z10" i="15"/>
  <c r="L14" i="13"/>
  <c r="H64" i="13"/>
  <c r="H65" i="13" s="1"/>
  <c r="F3347" i="22" s="1"/>
  <c r="H62" i="13"/>
  <c r="F3345" i="22" s="1"/>
  <c r="H66" i="13"/>
  <c r="F3346" i="22" s="1"/>
  <c r="H61" i="13"/>
  <c r="B2197" i="22" l="1"/>
  <c r="E4797" i="22"/>
  <c r="AA10" i="15"/>
  <c r="M14" i="13"/>
  <c r="C4794" i="22"/>
  <c r="Y9" i="15"/>
  <c r="K11" i="13"/>
  <c r="J18" i="13"/>
  <c r="J99" i="13"/>
  <c r="J100" i="13" s="1"/>
  <c r="D3914" i="22"/>
  <c r="I61" i="13"/>
  <c r="I66" i="13"/>
  <c r="I62" i="13"/>
  <c r="D4794" i="22" l="1"/>
  <c r="Z9" i="15"/>
  <c r="K18" i="13"/>
  <c r="L11" i="13"/>
  <c r="K99" i="13"/>
  <c r="K100" i="13" s="1"/>
  <c r="K63" i="13" s="1"/>
  <c r="D4817" i="22" s="1"/>
  <c r="D2197" i="22"/>
  <c r="F4797" i="22"/>
  <c r="AB10" i="15"/>
  <c r="N14" i="13"/>
  <c r="C8" i="47"/>
  <c r="D3923" i="22"/>
  <c r="D3917" i="22"/>
  <c r="E3917" i="22" s="1"/>
  <c r="E3914" i="22" s="1"/>
  <c r="E3923" i="22" s="1"/>
  <c r="I3150" i="22"/>
  <c r="J63" i="13"/>
  <c r="C4817" i="22" s="1"/>
  <c r="C4801" i="22"/>
  <c r="J62" i="13"/>
  <c r="C4816" i="22" s="1"/>
  <c r="J61" i="13"/>
  <c r="C4815" i="22" s="1"/>
  <c r="J66" i="13"/>
  <c r="G4797" i="22" l="1"/>
  <c r="AC10" i="15"/>
  <c r="D8" i="47"/>
  <c r="O14" i="13"/>
  <c r="B2194" i="22"/>
  <c r="AA9" i="15"/>
  <c r="E4794" i="22"/>
  <c r="L18" i="13"/>
  <c r="M11" i="13"/>
  <c r="C5435" i="22"/>
  <c r="C5436" i="22" s="1"/>
  <c r="D4801" i="22"/>
  <c r="K61" i="13"/>
  <c r="D4815" i="22" s="1"/>
  <c r="K66" i="13"/>
  <c r="K62" i="13"/>
  <c r="D4816" i="22" s="1"/>
  <c r="E4801" i="22" l="1"/>
  <c r="L47" i="13"/>
  <c r="L48" i="13" s="1"/>
  <c r="L61" i="13"/>
  <c r="E4815" i="22" s="1"/>
  <c r="L66" i="13"/>
  <c r="L62" i="13"/>
  <c r="E4816" i="22" s="1"/>
  <c r="L64" i="13"/>
  <c r="D2194" i="22"/>
  <c r="AB9" i="15"/>
  <c r="F4794" i="22"/>
  <c r="M18" i="13"/>
  <c r="N11" i="13"/>
  <c r="C9" i="47"/>
  <c r="AD10" i="15"/>
  <c r="P14" i="13"/>
  <c r="E8" i="47"/>
  <c r="D5440" i="22"/>
  <c r="AE10" i="15" l="1"/>
  <c r="F8" i="47"/>
  <c r="Q14" i="13"/>
  <c r="E4818" i="22"/>
  <c r="L65" i="13"/>
  <c r="E4819" i="22" s="1"/>
  <c r="AC9" i="15"/>
  <c r="G4794" i="22"/>
  <c r="N18" i="13"/>
  <c r="O11" i="13"/>
  <c r="D9" i="47"/>
  <c r="N99" i="13"/>
  <c r="F4801" i="22"/>
  <c r="M64" i="13"/>
  <c r="M47" i="13"/>
  <c r="M48" i="13" s="1"/>
  <c r="M61" i="13"/>
  <c r="F4815" i="22" s="1"/>
  <c r="M66" i="13"/>
  <c r="C11" i="47"/>
  <c r="M62" i="13"/>
  <c r="F4816" i="22" s="1"/>
  <c r="K3" i="47" l="1"/>
  <c r="K4" i="47"/>
  <c r="AD9" i="15"/>
  <c r="E9" i="47"/>
  <c r="P11" i="13"/>
  <c r="G4801" i="22"/>
  <c r="F6103" i="22"/>
  <c r="N64" i="13"/>
  <c r="N47" i="13"/>
  <c r="N48" i="13" s="1"/>
  <c r="N61" i="13"/>
  <c r="G4815" i="22" s="1"/>
  <c r="D11" i="47"/>
  <c r="F4818" i="22"/>
  <c r="M65" i="13"/>
  <c r="F4819" i="22" s="1"/>
  <c r="K6" i="47"/>
  <c r="AF10" i="15"/>
  <c r="R14" i="13"/>
  <c r="G8" i="47"/>
  <c r="AG10" i="15" l="1"/>
  <c r="S14" i="13"/>
  <c r="L3" i="47"/>
  <c r="AE9" i="15"/>
  <c r="F9" i="47"/>
  <c r="Q11" i="13"/>
  <c r="G4818" i="22"/>
  <c r="L6" i="47"/>
  <c r="AF9" i="15" l="1"/>
  <c r="G9" i="47"/>
  <c r="R11" i="13"/>
  <c r="AH10" i="15"/>
  <c r="T14" i="13"/>
  <c r="AI10" i="15" s="1"/>
  <c r="AG9" i="15" l="1"/>
  <c r="S11" i="13"/>
  <c r="AH9" i="15" l="1"/>
  <c r="T11" i="13"/>
  <c r="AI9" i="15" l="1"/>
  <c r="N253" i="37"/>
  <c r="O253" i="37" s="1"/>
  <c r="P253" i="37" s="1"/>
  <c r="Q253" i="37" s="1"/>
  <c r="R253" i="37" s="1"/>
  <c r="S253" i="37" s="1"/>
  <c r="T253" i="37" s="1"/>
  <c r="O188" i="37"/>
  <c r="N212" i="37"/>
  <c r="N238" i="37"/>
  <c r="N242" i="37" s="1"/>
  <c r="N243" i="37" s="1"/>
  <c r="BI354" i="38" l="1"/>
  <c r="N244" i="37"/>
  <c r="BN333" i="38"/>
  <c r="BN330" i="38"/>
  <c r="BN305" i="38"/>
  <c r="BM305" i="38" s="1"/>
  <c r="O238" i="37"/>
  <c r="O242" i="37" s="1"/>
  <c r="O243" i="37" s="1"/>
  <c r="O166" i="37"/>
  <c r="O50" i="37"/>
  <c r="P188" i="37"/>
  <c r="BJ330" i="38" l="1"/>
  <c r="BJ333" i="38"/>
  <c r="BK333" i="38" s="1"/>
  <c r="BL333" i="38" s="1"/>
  <c r="BM43" i="38"/>
  <c r="BM354" i="38"/>
  <c r="P238" i="37"/>
  <c r="P242" i="37" s="1"/>
  <c r="P50" i="37"/>
  <c r="P166" i="37"/>
  <c r="P9" i="37" s="1"/>
  <c r="Q188" i="37"/>
  <c r="O9" i="37"/>
  <c r="BN7" i="38" s="1"/>
  <c r="O57" i="37"/>
  <c r="BN13" i="38" l="1"/>
  <c r="BM333" i="38"/>
  <c r="BK330" i="38"/>
  <c r="BJ280" i="38"/>
  <c r="BN43" i="38"/>
  <c r="BN49" i="38" s="1"/>
  <c r="BN57" i="38" s="1"/>
  <c r="BN58" i="38" s="1"/>
  <c r="BM49" i="38"/>
  <c r="BM57" i="38" s="1"/>
  <c r="BM71" i="38" s="1"/>
  <c r="Q50" i="37"/>
  <c r="Q166" i="37"/>
  <c r="Q9" i="37" s="1"/>
  <c r="R188" i="37"/>
  <c r="Q238" i="37"/>
  <c r="Q242" i="37" s="1"/>
  <c r="P57" i="37"/>
  <c r="O65" i="37"/>
  <c r="O244" i="37" s="1"/>
  <c r="O77" i="37"/>
  <c r="O277" i="37"/>
  <c r="BN107" i="38" s="1"/>
  <c r="M21" i="47"/>
  <c r="O387" i="37"/>
  <c r="O90" i="37"/>
  <c r="BN80" i="38" s="1"/>
  <c r="O16" i="37"/>
  <c r="P387" i="37"/>
  <c r="P277" i="37"/>
  <c r="N21" i="47"/>
  <c r="P16" i="37"/>
  <c r="P90" i="37"/>
  <c r="P243" i="37"/>
  <c r="BM107" i="38" l="1"/>
  <c r="BM113" i="38" s="1"/>
  <c r="BM137" i="38" s="1"/>
  <c r="BM140" i="38" s="1"/>
  <c r="BN113" i="38"/>
  <c r="BN189" i="38" s="1"/>
  <c r="BN183" i="38"/>
  <c r="Z5" i="40"/>
  <c r="Z105" i="40" s="1"/>
  <c r="Z127" i="40" s="1"/>
  <c r="BN21" i="38"/>
  <c r="BJ80" i="38"/>
  <c r="BJ7" i="38" s="1"/>
  <c r="BL330" i="38"/>
  <c r="BL280" i="38" s="1"/>
  <c r="BK280" i="38"/>
  <c r="Q243" i="37"/>
  <c r="AA5" i="40"/>
  <c r="AA105" i="40" s="1"/>
  <c r="AA127" i="40" s="1"/>
  <c r="O81" i="37"/>
  <c r="O78" i="37"/>
  <c r="P330" i="37"/>
  <c r="P341" i="37" s="1"/>
  <c r="P458" i="37"/>
  <c r="P284" i="37"/>
  <c r="O390" i="37"/>
  <c r="O389" i="37"/>
  <c r="O417" i="37" s="1"/>
  <c r="R50" i="37"/>
  <c r="R166" i="37"/>
  <c r="R9" i="37" s="1"/>
  <c r="S188" i="37"/>
  <c r="R238" i="37"/>
  <c r="R242" i="37" s="1"/>
  <c r="P389" i="37"/>
  <c r="P417" i="37" s="1"/>
  <c r="P390" i="37"/>
  <c r="P65" i="37"/>
  <c r="P244" i="37" s="1"/>
  <c r="P77" i="37"/>
  <c r="AD134" i="15"/>
  <c r="O35" i="37"/>
  <c r="BN34" i="38" s="1"/>
  <c r="O97" i="37"/>
  <c r="O17" i="37"/>
  <c r="O430" i="37" s="1"/>
  <c r="Q387" i="37"/>
  <c r="Q277" i="37"/>
  <c r="O21" i="47"/>
  <c r="P21" i="47" s="1"/>
  <c r="Q90" i="37"/>
  <c r="Q16" i="37"/>
  <c r="AE134" i="15"/>
  <c r="P35" i="37"/>
  <c r="P17" i="37"/>
  <c r="P430" i="37" s="1"/>
  <c r="P97" i="37"/>
  <c r="O330" i="37"/>
  <c r="O341" i="37" s="1"/>
  <c r="O458" i="37"/>
  <c r="O284" i="37"/>
  <c r="Q57" i="37"/>
  <c r="BM330" i="38" l="1"/>
  <c r="BM280" i="38" s="1"/>
  <c r="BN280" i="38" s="1"/>
  <c r="BJ183" i="38"/>
  <c r="BJ13" i="38"/>
  <c r="BJ34" i="38" s="1"/>
  <c r="BK80" i="38"/>
  <c r="BK7" i="38" s="1"/>
  <c r="BJ98" i="38"/>
  <c r="BN98" i="38"/>
  <c r="R243" i="37"/>
  <c r="AB5" i="40"/>
  <c r="AB105" i="40" s="1"/>
  <c r="AB127" i="40" s="1"/>
  <c r="P81" i="37"/>
  <c r="P78" i="37"/>
  <c r="Q284" i="37"/>
  <c r="Q330" i="37"/>
  <c r="Q341" i="37" s="1"/>
  <c r="Q458" i="37"/>
  <c r="AE150" i="15"/>
  <c r="P398" i="37"/>
  <c r="AB26" i="40" s="1"/>
  <c r="P418" i="37"/>
  <c r="AE142" i="15"/>
  <c r="P359" i="37"/>
  <c r="P308" i="37"/>
  <c r="P286" i="37"/>
  <c r="P285" i="37"/>
  <c r="P479" i="37" s="1"/>
  <c r="P319" i="37"/>
  <c r="Q389" i="37"/>
  <c r="Q417" i="37" s="1"/>
  <c r="Q390" i="37"/>
  <c r="P460" i="37"/>
  <c r="S102" i="14"/>
  <c r="S103" i="14" s="1"/>
  <c r="S105" i="14" s="1"/>
  <c r="AD142" i="15"/>
  <c r="O308" i="37"/>
  <c r="O286" i="37"/>
  <c r="O319" i="37"/>
  <c r="O359" i="37"/>
  <c r="O285" i="37"/>
  <c r="O479" i="37" s="1"/>
  <c r="O460" i="37"/>
  <c r="R102" i="14"/>
  <c r="R103" i="14" s="1"/>
  <c r="R105" i="14" s="1"/>
  <c r="P438" i="37"/>
  <c r="P437" i="37"/>
  <c r="AE139" i="15"/>
  <c r="AC5" i="1"/>
  <c r="AB4" i="40"/>
  <c r="P41" i="37"/>
  <c r="P36" i="37"/>
  <c r="P115" i="37"/>
  <c r="P40" i="37"/>
  <c r="P39" i="37"/>
  <c r="S50" i="37"/>
  <c r="S166" i="37"/>
  <c r="S9" i="37" s="1"/>
  <c r="T188" i="37"/>
  <c r="S238" i="37"/>
  <c r="S242" i="37" s="1"/>
  <c r="AF134" i="15"/>
  <c r="Q17" i="37"/>
  <c r="Q430" i="37" s="1"/>
  <c r="Q97" i="37"/>
  <c r="Q35" i="37"/>
  <c r="AC4" i="40" s="1"/>
  <c r="AD150" i="15"/>
  <c r="O398" i="37"/>
  <c r="AA26" i="40" s="1"/>
  <c r="O418" i="37"/>
  <c r="O437" i="37"/>
  <c r="O438" i="37"/>
  <c r="Q65" i="37"/>
  <c r="Q244" i="37" s="1"/>
  <c r="Q77" i="37"/>
  <c r="AC5" i="40" s="1"/>
  <c r="AC105" i="40" s="1"/>
  <c r="AC127" i="40" s="1"/>
  <c r="AD139" i="15"/>
  <c r="AB5" i="1"/>
  <c r="AA4" i="40"/>
  <c r="O36" i="37"/>
  <c r="O115" i="37"/>
  <c r="O40" i="37"/>
  <c r="O39" i="37"/>
  <c r="O41" i="37"/>
  <c r="R16" i="37"/>
  <c r="R387" i="37"/>
  <c r="R277" i="37"/>
  <c r="R90" i="37"/>
  <c r="R57" i="37"/>
  <c r="BJ437" i="38" l="1"/>
  <c r="W4" i="40"/>
  <c r="BJ439" i="38"/>
  <c r="BJ449" i="38" s="1"/>
  <c r="BJ460" i="38" s="1"/>
  <c r="BJ473" i="38" s="1"/>
  <c r="BJ476" i="38" s="1"/>
  <c r="BK183" i="38"/>
  <c r="BK13" i="38"/>
  <c r="BK34" i="38" s="1"/>
  <c r="BJ189" i="38"/>
  <c r="BJ208" i="38"/>
  <c r="BJ21" i="38"/>
  <c r="BJ210" i="38"/>
  <c r="BJ211" i="38"/>
  <c r="BL80" i="38"/>
  <c r="BL7" i="38" s="1"/>
  <c r="BM7" i="38" s="1"/>
  <c r="BK98" i="38"/>
  <c r="J3949" i="22"/>
  <c r="D6345" i="22"/>
  <c r="D6365" i="22" s="1"/>
  <c r="AD18" i="15"/>
  <c r="F5230" i="22"/>
  <c r="P5230" i="22" s="1"/>
  <c r="F5215" i="22"/>
  <c r="P5215" i="22" s="1"/>
  <c r="D5974" i="22"/>
  <c r="L5974" i="22" s="1"/>
  <c r="G6" i="46"/>
  <c r="G7" i="46" s="1"/>
  <c r="AB7" i="1"/>
  <c r="AB299" i="1"/>
  <c r="AB307" i="1"/>
  <c r="AB308" i="1" s="1"/>
  <c r="AB315" i="1"/>
  <c r="AB338" i="1"/>
  <c r="AB303" i="1"/>
  <c r="AB311" i="1"/>
  <c r="E26" i="47"/>
  <c r="O321" i="37"/>
  <c r="P342" i="37"/>
  <c r="Q437" i="37"/>
  <c r="Q438" i="37"/>
  <c r="AC10" i="1"/>
  <c r="AC12" i="1" s="1"/>
  <c r="P491" i="37"/>
  <c r="P377" i="37"/>
  <c r="P305" i="37"/>
  <c r="AF142" i="15"/>
  <c r="Q359" i="37"/>
  <c r="Q308" i="37"/>
  <c r="Q285" i="37"/>
  <c r="Q479" i="37" s="1"/>
  <c r="Q286" i="37"/>
  <c r="Q319" i="37"/>
  <c r="R389" i="37"/>
  <c r="R417" i="37" s="1"/>
  <c r="R390" i="37"/>
  <c r="Q81" i="37"/>
  <c r="Q78" i="37"/>
  <c r="P321" i="37"/>
  <c r="Q342" i="37"/>
  <c r="AG134" i="15"/>
  <c r="R97" i="37"/>
  <c r="R17" i="37"/>
  <c r="R430" i="37" s="1"/>
  <c r="R35" i="37"/>
  <c r="AF139" i="15"/>
  <c r="AD5" i="1"/>
  <c r="Q39" i="37"/>
  <c r="Q41" i="37"/>
  <c r="Q36" i="37"/>
  <c r="Q115" i="37"/>
  <c r="Q40" i="37"/>
  <c r="Q460" i="37"/>
  <c r="T102" i="14"/>
  <c r="T103" i="14" s="1"/>
  <c r="T105" i="14" s="1"/>
  <c r="P117" i="37"/>
  <c r="P116" i="37"/>
  <c r="O116" i="37"/>
  <c r="O117" i="37"/>
  <c r="F5233" i="22"/>
  <c r="E5525" i="22"/>
  <c r="F5218" i="22"/>
  <c r="G18" i="46"/>
  <c r="O439" i="37"/>
  <c r="O486" i="37" s="1"/>
  <c r="O447" i="37"/>
  <c r="E5548" i="22" s="1"/>
  <c r="T50" i="37"/>
  <c r="T166" i="37"/>
  <c r="T9" i="37" s="1"/>
  <c r="T238" i="37"/>
  <c r="T242" i="37" s="1"/>
  <c r="O485" i="37"/>
  <c r="O489" i="37" s="1"/>
  <c r="R264" i="14"/>
  <c r="R265" i="14" s="1"/>
  <c r="R267" i="14" s="1"/>
  <c r="AF150" i="15"/>
  <c r="Q398" i="37"/>
  <c r="AC26" i="40" s="1"/>
  <c r="Q418" i="37"/>
  <c r="S57" i="37"/>
  <c r="P485" i="37"/>
  <c r="P489" i="37" s="1"/>
  <c r="S264" i="14"/>
  <c r="S265" i="14" s="1"/>
  <c r="S267" i="14" s="1"/>
  <c r="F5525" i="22"/>
  <c r="H18" i="46"/>
  <c r="P439" i="37"/>
  <c r="P486" i="37" s="1"/>
  <c r="P447" i="37"/>
  <c r="F5548" i="22" s="1"/>
  <c r="AB10" i="1"/>
  <c r="AB12" i="1" s="1"/>
  <c r="O491" i="37"/>
  <c r="O377" i="37"/>
  <c r="O305" i="37"/>
  <c r="R77" i="37"/>
  <c r="R78" i="37" s="1"/>
  <c r="R65" i="37"/>
  <c r="R244" i="37" s="1"/>
  <c r="S243" i="37"/>
  <c r="R284" i="37"/>
  <c r="R330" i="37"/>
  <c r="R341" i="37" s="1"/>
  <c r="R458" i="37"/>
  <c r="AD22" i="15"/>
  <c r="AD88" i="15" s="1"/>
  <c r="D6349" i="22"/>
  <c r="D6369" i="22" s="1"/>
  <c r="AD155" i="15"/>
  <c r="O425" i="37"/>
  <c r="O399" i="37"/>
  <c r="O40" i="13"/>
  <c r="E30" i="47" s="1"/>
  <c r="S90" i="37"/>
  <c r="S16" i="37"/>
  <c r="S387" i="37"/>
  <c r="S277" i="37"/>
  <c r="E6345" i="22"/>
  <c r="E6365" i="22" s="1"/>
  <c r="AE18" i="15"/>
  <c r="E5974" i="22"/>
  <c r="M5974" i="22" s="1"/>
  <c r="H6" i="46"/>
  <c r="AC7" i="1"/>
  <c r="AC338" i="1"/>
  <c r="AC299" i="1"/>
  <c r="AC307" i="1"/>
  <c r="AC315" i="1"/>
  <c r="AC311" i="1"/>
  <c r="AC303" i="1"/>
  <c r="P84" i="13"/>
  <c r="F26" i="47"/>
  <c r="AE22" i="15"/>
  <c r="AE88" i="15" s="1"/>
  <c r="E6349" i="22"/>
  <c r="E6369" i="22" s="1"/>
  <c r="AE155" i="15"/>
  <c r="P399" i="37"/>
  <c r="AE90" i="15" s="1"/>
  <c r="P425" i="37"/>
  <c r="P40" i="13"/>
  <c r="F30" i="47" s="1"/>
  <c r="O405" i="37" l="1"/>
  <c r="O22" i="13" s="1"/>
  <c r="AD195" i="15" s="1"/>
  <c r="AD90" i="15"/>
  <c r="BK437" i="38"/>
  <c r="O407" i="37"/>
  <c r="AB97" i="1" s="1"/>
  <c r="P403" i="37"/>
  <c r="P405" i="37"/>
  <c r="AE92" i="15" s="1"/>
  <c r="BN417" i="38"/>
  <c r="BM417" i="38" s="1"/>
  <c r="Z26" i="40" s="1"/>
  <c r="O403" i="37"/>
  <c r="X4" i="40"/>
  <c r="BK439" i="38"/>
  <c r="BK449" i="38" s="1"/>
  <c r="BK460" i="38" s="1"/>
  <c r="BK473" i="38" s="1"/>
  <c r="BK476" i="38" s="1"/>
  <c r="BN137" i="38"/>
  <c r="BN140" i="38" s="1"/>
  <c r="BN211" i="38" s="1"/>
  <c r="AA6" i="40"/>
  <c r="AA106" i="40" s="1"/>
  <c r="AA128" i="40" s="1"/>
  <c r="BJ420" i="38"/>
  <c r="W6" i="40"/>
  <c r="AC308" i="1"/>
  <c r="P292" i="37"/>
  <c r="BM13" i="38"/>
  <c r="BM34" i="38" s="1"/>
  <c r="BM183" i="38"/>
  <c r="BK211" i="38"/>
  <c r="BK210" i="38"/>
  <c r="BL183" i="38"/>
  <c r="BL13" i="38"/>
  <c r="BL34" i="38" s="1"/>
  <c r="BK208" i="38"/>
  <c r="BK189" i="38"/>
  <c r="BK21" i="38"/>
  <c r="R342" i="37"/>
  <c r="BM80" i="38"/>
  <c r="BM98" i="38" s="1"/>
  <c r="BL98" i="38"/>
  <c r="H7" i="46"/>
  <c r="E31" i="47"/>
  <c r="F31" i="47"/>
  <c r="T243" i="37"/>
  <c r="U102" i="14"/>
  <c r="U103" i="14" s="1"/>
  <c r="U105" i="14" s="1"/>
  <c r="R460" i="37"/>
  <c r="AB312" i="1"/>
  <c r="AB126" i="1"/>
  <c r="E5555" i="22"/>
  <c r="E5557" i="22" s="1"/>
  <c r="AD147" i="15"/>
  <c r="O375" i="37"/>
  <c r="O311" i="37"/>
  <c r="F5219" i="22"/>
  <c r="P5218" i="22"/>
  <c r="F6345" i="22"/>
  <c r="F6365" i="22" s="1"/>
  <c r="AF18" i="15"/>
  <c r="I6" i="46"/>
  <c r="I7" i="46" s="1"/>
  <c r="AD7" i="1"/>
  <c r="AD299" i="1"/>
  <c r="AD300" i="1" s="1"/>
  <c r="AD307" i="1"/>
  <c r="AD308" i="1" s="1"/>
  <c r="AD315" i="1"/>
  <c r="AD338" i="1"/>
  <c r="AD311" i="1"/>
  <c r="G26" i="47"/>
  <c r="H26" i="47" s="1"/>
  <c r="Q84" i="13"/>
  <c r="AD303" i="1"/>
  <c r="AD304" i="1" s="1"/>
  <c r="Q485" i="37"/>
  <c r="Q489" i="37" s="1"/>
  <c r="T264" i="14"/>
  <c r="T265" i="14" s="1"/>
  <c r="T267" i="14" s="1"/>
  <c r="E6346" i="22"/>
  <c r="E6366" i="22" s="1"/>
  <c r="H6094" i="22"/>
  <c r="AC14" i="1"/>
  <c r="AE192" i="15" s="1"/>
  <c r="AB125" i="1"/>
  <c r="AB304" i="1"/>
  <c r="AC304" i="1"/>
  <c r="G19" i="46"/>
  <c r="G20" i="46"/>
  <c r="Q321" i="37"/>
  <c r="AG142" i="15"/>
  <c r="R359" i="37"/>
  <c r="R308" i="37"/>
  <c r="R319" i="37"/>
  <c r="R285" i="37"/>
  <c r="R479" i="37" s="1"/>
  <c r="D6346" i="22"/>
  <c r="D6366" i="22" s="1"/>
  <c r="G6094" i="22"/>
  <c r="AB14" i="1"/>
  <c r="AD192" i="15" s="1"/>
  <c r="S77" i="37"/>
  <c r="S78" i="37" s="1"/>
  <c r="S65" i="37"/>
  <c r="S244" i="37" s="1"/>
  <c r="T90" i="37"/>
  <c r="T16" i="37"/>
  <c r="T387" i="37"/>
  <c r="T277" i="37"/>
  <c r="AD10" i="1"/>
  <c r="AD12" i="1" s="1"/>
  <c r="Q491" i="37"/>
  <c r="Q377" i="37"/>
  <c r="Q305" i="37"/>
  <c r="AC126" i="1"/>
  <c r="AC312" i="1"/>
  <c r="O86" i="13"/>
  <c r="AB202" i="1"/>
  <c r="AC145" i="1"/>
  <c r="AC146" i="1" s="1"/>
  <c r="AC316" i="1"/>
  <c r="T57" i="37"/>
  <c r="P5233" i="22"/>
  <c r="F5234" i="22"/>
  <c r="O292" i="37"/>
  <c r="AG139" i="15"/>
  <c r="AE5" i="1"/>
  <c r="R41" i="37"/>
  <c r="R36" i="37"/>
  <c r="R115" i="37"/>
  <c r="R40" i="37"/>
  <c r="G5525" i="22"/>
  <c r="I18" i="46"/>
  <c r="Q439" i="37"/>
  <c r="Q486" i="37" s="1"/>
  <c r="Q447" i="37"/>
  <c r="G5548" i="22" s="1"/>
  <c r="AB141" i="1"/>
  <c r="AB142" i="1" s="1"/>
  <c r="AB339" i="1"/>
  <c r="AB95" i="1" s="1"/>
  <c r="AC125" i="1"/>
  <c r="P86" i="13"/>
  <c r="AC202" i="1"/>
  <c r="S284" i="37"/>
  <c r="S458" i="37"/>
  <c r="S330" i="37"/>
  <c r="S341" i="37" s="1"/>
  <c r="R438" i="37"/>
  <c r="R437" i="37"/>
  <c r="AB145" i="1"/>
  <c r="AB146" i="1" s="1"/>
  <c r="AB316" i="1"/>
  <c r="AC124" i="1"/>
  <c r="S389" i="37"/>
  <c r="S417" i="37" s="1"/>
  <c r="S390" i="37"/>
  <c r="H19" i="46"/>
  <c r="H20" i="46"/>
  <c r="AF22" i="15"/>
  <c r="AF88" i="15" s="1"/>
  <c r="F6349" i="22"/>
  <c r="F6369" i="22" s="1"/>
  <c r="AF155" i="15"/>
  <c r="Q399" i="37"/>
  <c r="AF90" i="15" s="1"/>
  <c r="Q425" i="37"/>
  <c r="Q40" i="13"/>
  <c r="G30" i="47" s="1"/>
  <c r="Q117" i="37"/>
  <c r="Q116" i="37"/>
  <c r="AG150" i="15"/>
  <c r="R418" i="37"/>
  <c r="R398" i="37"/>
  <c r="P468" i="37"/>
  <c r="AC141" i="1"/>
  <c r="AC142" i="1" s="1"/>
  <c r="AC339" i="1"/>
  <c r="AC95" i="1" s="1"/>
  <c r="AH134" i="15"/>
  <c r="S17" i="37"/>
  <c r="S430" i="37" s="1"/>
  <c r="S35" i="37"/>
  <c r="S97" i="37"/>
  <c r="O468" i="37"/>
  <c r="F5555" i="22"/>
  <c r="F5557" i="22" s="1"/>
  <c r="AE147" i="15"/>
  <c r="P311" i="37"/>
  <c r="P375" i="37"/>
  <c r="AB124" i="1"/>
  <c r="AC300" i="1"/>
  <c r="AB300" i="1"/>
  <c r="AB104" i="1" l="1"/>
  <c r="P426" i="37"/>
  <c r="AE91" i="15"/>
  <c r="O426" i="37"/>
  <c r="AD91" i="15"/>
  <c r="BN485" i="38"/>
  <c r="BM485" i="38" s="1"/>
  <c r="Z36" i="40" s="1"/>
  <c r="AD92" i="15"/>
  <c r="W27" i="40"/>
  <c r="W106" i="40"/>
  <c r="W128" i="40" s="1"/>
  <c r="BL437" i="38"/>
  <c r="AA36" i="40"/>
  <c r="F5401" i="22"/>
  <c r="D5978" i="22"/>
  <c r="L5978" i="22" s="1"/>
  <c r="D5958" i="22"/>
  <c r="E15" i="47"/>
  <c r="Q403" i="37"/>
  <c r="Q405" i="37"/>
  <c r="AF92" i="15" s="1"/>
  <c r="P22" i="13"/>
  <c r="AE195" i="15" s="1"/>
  <c r="P407" i="37"/>
  <c r="W7" i="40"/>
  <c r="W13" i="40"/>
  <c r="W18" i="40" s="1"/>
  <c r="W23" i="40" s="1"/>
  <c r="W24" i="40" s="1"/>
  <c r="Y4" i="40"/>
  <c r="BN439" i="38"/>
  <c r="BN449" i="38" s="1"/>
  <c r="BN210" i="38"/>
  <c r="X6" i="40"/>
  <c r="BK420" i="38"/>
  <c r="Q311" i="37"/>
  <c r="BL21" i="38"/>
  <c r="BL208" i="38"/>
  <c r="BL189" i="38"/>
  <c r="BL211" i="38"/>
  <c r="BL210" i="38"/>
  <c r="BM21" i="38"/>
  <c r="BM208" i="38"/>
  <c r="BM189" i="38"/>
  <c r="S342" i="37"/>
  <c r="AC319" i="1"/>
  <c r="AH150" i="15"/>
  <c r="S418" i="37"/>
  <c r="S398" i="37"/>
  <c r="E6350" i="22"/>
  <c r="E6370" i="22" s="1"/>
  <c r="P467" i="37"/>
  <c r="S177" i="14" s="1"/>
  <c r="S178" i="14" s="1"/>
  <c r="S180" i="14" s="1"/>
  <c r="G6345" i="22"/>
  <c r="G6365" i="22" s="1"/>
  <c r="AG18" i="15"/>
  <c r="J6" i="46"/>
  <c r="J7" i="46" s="1"/>
  <c r="AE7" i="1"/>
  <c r="AE303" i="1"/>
  <c r="AE304" i="1" s="1"/>
  <c r="AE311" i="1"/>
  <c r="AE338" i="1"/>
  <c r="AE307" i="1"/>
  <c r="AE308" i="1" s="1"/>
  <c r="AE299" i="1"/>
  <c r="AE315" i="1"/>
  <c r="R84" i="13"/>
  <c r="AH139" i="15"/>
  <c r="AF5" i="1"/>
  <c r="S41" i="37"/>
  <c r="S36" i="37"/>
  <c r="S40" i="37"/>
  <c r="S115" i="37"/>
  <c r="V102" i="14"/>
  <c r="V103" i="14" s="1"/>
  <c r="V105" i="14" s="1"/>
  <c r="S460" i="37"/>
  <c r="D6350" i="22"/>
  <c r="D6370" i="22" s="1"/>
  <c r="O467" i="37"/>
  <c r="R177" i="14" s="1"/>
  <c r="R178" i="14" s="1"/>
  <c r="R180" i="14" s="1"/>
  <c r="AG22" i="15"/>
  <c r="AG88" i="15" s="1"/>
  <c r="G6349" i="22"/>
  <c r="G6369" i="22" s="1"/>
  <c r="AG155" i="15"/>
  <c r="R40" i="13"/>
  <c r="R399" i="37"/>
  <c r="R425" i="37"/>
  <c r="AD202" i="1"/>
  <c r="Q86" i="13"/>
  <c r="AH142" i="15"/>
  <c r="S285" i="37"/>
  <c r="S479" i="37" s="1"/>
  <c r="S359" i="37"/>
  <c r="S319" i="37"/>
  <c r="S308" i="37"/>
  <c r="F6346" i="22"/>
  <c r="F6366" i="22" s="1"/>
  <c r="I6094" i="22"/>
  <c r="AD14" i="1"/>
  <c r="J3950" i="22"/>
  <c r="F5216" i="22"/>
  <c r="AD19" i="15"/>
  <c r="D5975" i="22"/>
  <c r="F5231" i="22"/>
  <c r="AB60" i="1"/>
  <c r="AB30" i="1"/>
  <c r="G9" i="46"/>
  <c r="AB16" i="1"/>
  <c r="E27" i="47"/>
  <c r="E28" i="47" s="1"/>
  <c r="O21" i="13"/>
  <c r="O85" i="13"/>
  <c r="AE19" i="15"/>
  <c r="E5975" i="22"/>
  <c r="AC15" i="1"/>
  <c r="AB6" i="40"/>
  <c r="AB106" i="40" s="1"/>
  <c r="AB128" i="40" s="1"/>
  <c r="AC60" i="1"/>
  <c r="H9" i="46"/>
  <c r="AC16" i="1"/>
  <c r="F27" i="47"/>
  <c r="F28" i="47" s="1"/>
  <c r="P21" i="13"/>
  <c r="P85" i="13"/>
  <c r="AD126" i="1"/>
  <c r="AD312" i="1"/>
  <c r="AB319" i="1"/>
  <c r="I19" i="46"/>
  <c r="I20" i="46"/>
  <c r="T284" i="37"/>
  <c r="T458" i="37"/>
  <c r="T330" i="37"/>
  <c r="T341" i="37" s="1"/>
  <c r="AD339" i="1"/>
  <c r="AD95" i="1" s="1"/>
  <c r="AD141" i="1"/>
  <c r="AD142" i="1" s="1"/>
  <c r="T390" i="37"/>
  <c r="T389" i="37"/>
  <c r="T417" i="37" s="1"/>
  <c r="S437" i="37"/>
  <c r="S438" i="37"/>
  <c r="AI134" i="15"/>
  <c r="T97" i="37"/>
  <c r="T17" i="37"/>
  <c r="T430" i="37" s="1"/>
  <c r="T35" i="37"/>
  <c r="R485" i="37"/>
  <c r="R489" i="37" s="1"/>
  <c r="U264" i="14"/>
  <c r="U265" i="14" s="1"/>
  <c r="U267" i="14" s="1"/>
  <c r="AD316" i="1"/>
  <c r="AD145" i="1"/>
  <c r="AD146" i="1" s="1"/>
  <c r="H5525" i="22"/>
  <c r="J18" i="46"/>
  <c r="R439" i="37"/>
  <c r="R486" i="37" s="1"/>
  <c r="R447" i="37"/>
  <c r="H5548" i="22" s="1"/>
  <c r="R117" i="37"/>
  <c r="R116" i="37"/>
  <c r="AF147" i="15"/>
  <c r="G5555" i="22"/>
  <c r="G5557" i="22" s="1"/>
  <c r="Q375" i="37"/>
  <c r="R321" i="37"/>
  <c r="AD124" i="1"/>
  <c r="Q292" i="37"/>
  <c r="H30" i="47"/>
  <c r="G31" i="47"/>
  <c r="T77" i="37"/>
  <c r="T78" i="37" s="1"/>
  <c r="T65" i="37"/>
  <c r="T244" i="37" s="1"/>
  <c r="Q468" i="37"/>
  <c r="AE10" i="1"/>
  <c r="AE12" i="1" s="1"/>
  <c r="R491" i="37"/>
  <c r="R305" i="37"/>
  <c r="R377" i="37"/>
  <c r="AD125" i="1"/>
  <c r="AC97" i="1" l="1"/>
  <c r="AC104" i="1" s="1"/>
  <c r="Q426" i="37"/>
  <c r="AF91" i="15"/>
  <c r="R405" i="37"/>
  <c r="AG92" i="15" s="1"/>
  <c r="AG90" i="15"/>
  <c r="P31" i="13"/>
  <c r="F22" i="47" s="1"/>
  <c r="AD193" i="15"/>
  <c r="X27" i="40"/>
  <c r="X106" i="40"/>
  <c r="X128" i="40" s="1"/>
  <c r="AC6" i="40"/>
  <c r="AC106" i="40" s="1"/>
  <c r="AC128" i="40" s="1"/>
  <c r="AF192" i="15"/>
  <c r="R22" i="13"/>
  <c r="AG195" i="15" s="1"/>
  <c r="R407" i="37"/>
  <c r="AE97" i="1" s="1"/>
  <c r="E5978" i="22"/>
  <c r="M5978" i="22" s="1"/>
  <c r="AB36" i="40"/>
  <c r="F15" i="47"/>
  <c r="Q22" i="13"/>
  <c r="AF195" i="15" s="1"/>
  <c r="Q407" i="37"/>
  <c r="R468" i="37"/>
  <c r="G6350" i="22" s="1"/>
  <c r="G6370" i="22" s="1"/>
  <c r="R403" i="37"/>
  <c r="Z4" i="40"/>
  <c r="BM437" i="38"/>
  <c r="X7" i="40"/>
  <c r="X13" i="40"/>
  <c r="X18" i="40" s="1"/>
  <c r="X23" i="40" s="1"/>
  <c r="X24" i="40" s="1"/>
  <c r="BL439" i="38"/>
  <c r="BL449" i="38" s="1"/>
  <c r="BL460" i="38" s="1"/>
  <c r="BL473" i="38" s="1"/>
  <c r="BL476" i="38" s="1"/>
  <c r="Y6" i="40"/>
  <c r="BL420" i="38"/>
  <c r="BM211" i="38"/>
  <c r="AC90" i="1"/>
  <c r="AE115" i="15" s="1"/>
  <c r="H61" i="46"/>
  <c r="H32" i="46" s="1"/>
  <c r="AD319" i="1"/>
  <c r="T437" i="37"/>
  <c r="T438" i="37"/>
  <c r="AB32" i="40"/>
  <c r="AB34" i="40" s="1"/>
  <c r="AB27" i="40"/>
  <c r="AB7" i="40"/>
  <c r="G22" i="46"/>
  <c r="G11" i="46"/>
  <c r="P87" i="13"/>
  <c r="P103" i="13"/>
  <c r="P107" i="13"/>
  <c r="P108" i="13"/>
  <c r="V264" i="14"/>
  <c r="V265" i="14" s="1"/>
  <c r="V267" i="14" s="1"/>
  <c r="S485" i="37"/>
  <c r="S489" i="37" s="1"/>
  <c r="AE124" i="1"/>
  <c r="P80" i="13"/>
  <c r="F14" i="47"/>
  <c r="E5976" i="22"/>
  <c r="M5975" i="22"/>
  <c r="D6347" i="22"/>
  <c r="D6367" i="22" s="1"/>
  <c r="G6346" i="22"/>
  <c r="G6366" i="22" s="1"/>
  <c r="J6094" i="22"/>
  <c r="AE14" i="1"/>
  <c r="AG192" i="15" s="1"/>
  <c r="AI150" i="15"/>
  <c r="T418" i="37"/>
  <c r="T398" i="37"/>
  <c r="S321" i="37"/>
  <c r="AE202" i="1"/>
  <c r="R86" i="13"/>
  <c r="F6350" i="22"/>
  <c r="F6370" i="22" s="1"/>
  <c r="Q467" i="37"/>
  <c r="T177" i="14" s="1"/>
  <c r="T178" i="14" s="1"/>
  <c r="T180" i="14" s="1"/>
  <c r="AI142" i="15"/>
  <c r="T319" i="37"/>
  <c r="T285" i="37"/>
  <c r="T479" i="37" s="1"/>
  <c r="T308" i="37"/>
  <c r="T359" i="37"/>
  <c r="J19" i="46"/>
  <c r="J20" i="46"/>
  <c r="J3951" i="22"/>
  <c r="J3959" i="22"/>
  <c r="J3960" i="22" s="1"/>
  <c r="S117" i="37"/>
  <c r="S116" i="37"/>
  <c r="G61" i="46"/>
  <c r="G32" i="46" s="1"/>
  <c r="AB90" i="1"/>
  <c r="AD115" i="15" s="1"/>
  <c r="O31" i="13"/>
  <c r="AE23" i="15"/>
  <c r="AE81" i="15"/>
  <c r="AF19" i="15"/>
  <c r="I9" i="46"/>
  <c r="AD16" i="1"/>
  <c r="AD15" i="1"/>
  <c r="AD60" i="1"/>
  <c r="G27" i="47"/>
  <c r="Q21" i="13"/>
  <c r="Q85" i="13"/>
  <c r="AE141" i="1"/>
  <c r="AE142" i="1" s="1"/>
  <c r="AE339" i="1"/>
  <c r="AE95" i="1" s="1"/>
  <c r="AI139" i="15"/>
  <c r="AG5" i="1"/>
  <c r="T40" i="37"/>
  <c r="T36" i="37"/>
  <c r="T41" i="37"/>
  <c r="T115" i="37"/>
  <c r="W102" i="14"/>
  <c r="W103" i="14" s="1"/>
  <c r="W105" i="14" s="1"/>
  <c r="T460" i="37"/>
  <c r="AD23" i="15"/>
  <c r="AD81" i="15"/>
  <c r="F5220" i="22"/>
  <c r="P5220" i="22" s="1"/>
  <c r="P5216" i="22"/>
  <c r="F5217" i="22"/>
  <c r="AE145" i="1"/>
  <c r="AE146" i="1" s="1"/>
  <c r="AE316" i="1"/>
  <c r="H5555" i="22"/>
  <c r="H5557" i="22" s="1"/>
  <c r="AG147" i="15"/>
  <c r="R375" i="37"/>
  <c r="K18" i="46"/>
  <c r="S447" i="37"/>
  <c r="S439" i="37"/>
  <c r="S486" i="37" s="1"/>
  <c r="E5989" i="22"/>
  <c r="G5169" i="22"/>
  <c r="G5179" i="22" s="1"/>
  <c r="G5180" i="22" s="1"/>
  <c r="G5128" i="22"/>
  <c r="O87" i="13"/>
  <c r="O103" i="13"/>
  <c r="G5174" i="22" s="1"/>
  <c r="O107" i="13"/>
  <c r="O108" i="13"/>
  <c r="AA13" i="40"/>
  <c r="AA32" i="40"/>
  <c r="AA34" i="40" s="1"/>
  <c r="AA27" i="40"/>
  <c r="AA7" i="40"/>
  <c r="AE126" i="1"/>
  <c r="AE312" i="1"/>
  <c r="H6349" i="22"/>
  <c r="H6369" i="22" s="1"/>
  <c r="AH155" i="15"/>
  <c r="AH22" i="15"/>
  <c r="AH88" i="15" s="1"/>
  <c r="S40" i="13"/>
  <c r="S399" i="37"/>
  <c r="S425" i="37"/>
  <c r="H22" i="46"/>
  <c r="H10" i="46"/>
  <c r="H11" i="46"/>
  <c r="F5398" i="22"/>
  <c r="E14" i="47"/>
  <c r="O80" i="13"/>
  <c r="P5231" i="22"/>
  <c r="F5232" i="22"/>
  <c r="F5235" i="22"/>
  <c r="P5235" i="22" s="1"/>
  <c r="H6345" i="22"/>
  <c r="H6365" i="22" s="1"/>
  <c r="AH18" i="15"/>
  <c r="K6" i="46"/>
  <c r="K7" i="46" s="1"/>
  <c r="AF338" i="1"/>
  <c r="AF7" i="1"/>
  <c r="AF303" i="1"/>
  <c r="AF304" i="1" s="1"/>
  <c r="AF311" i="1"/>
  <c r="AF307" i="1"/>
  <c r="AF308" i="1" s="1"/>
  <c r="S84" i="13"/>
  <c r="AF299" i="1"/>
  <c r="AF300" i="1" s="1"/>
  <c r="AF315" i="1"/>
  <c r="AE125" i="1"/>
  <c r="AE300" i="1"/>
  <c r="T342" i="37"/>
  <c r="D5979" i="22"/>
  <c r="L5979" i="22" s="1"/>
  <c r="D5976" i="22"/>
  <c r="L5975" i="22"/>
  <c r="AF10" i="1"/>
  <c r="AF12" i="1" s="1"/>
  <c r="S305" i="37"/>
  <c r="S377" i="37"/>
  <c r="S491" i="37"/>
  <c r="P43" i="13" l="1"/>
  <c r="AB38" i="40"/>
  <c r="AE104" i="1"/>
  <c r="AC32" i="40"/>
  <c r="AC34" i="40" s="1"/>
  <c r="AD97" i="1"/>
  <c r="AD104" i="1" s="1"/>
  <c r="R426" i="37"/>
  <c r="AG91" i="15"/>
  <c r="S405" i="37"/>
  <c r="AH92" i="15" s="1"/>
  <c r="AH90" i="15"/>
  <c r="AD198" i="15"/>
  <c r="AC7" i="40"/>
  <c r="AC27" i="40"/>
  <c r="AD90" i="1"/>
  <c r="AF115" i="15" s="1"/>
  <c r="AE193" i="15"/>
  <c r="AE198" i="15" s="1"/>
  <c r="Y27" i="40"/>
  <c r="Y106" i="40"/>
  <c r="Y128" i="40" s="1"/>
  <c r="R467" i="37"/>
  <c r="U177" i="14" s="1"/>
  <c r="U178" i="14" s="1"/>
  <c r="U180" i="14" s="1"/>
  <c r="E5979" i="22"/>
  <c r="M5979" i="22" s="1"/>
  <c r="G15" i="47"/>
  <c r="H15" i="47" s="1"/>
  <c r="AC36" i="40"/>
  <c r="S468" i="37"/>
  <c r="S467" i="37" s="1"/>
  <c r="V177" i="14" s="1"/>
  <c r="V178" i="14" s="1"/>
  <c r="V180" i="14" s="1"/>
  <c r="S403" i="37"/>
  <c r="BM439" i="38"/>
  <c r="BM482" i="38"/>
  <c r="BM420" i="38"/>
  <c r="BM210" i="38"/>
  <c r="Z6" i="40"/>
  <c r="Y7" i="40"/>
  <c r="Y13" i="40"/>
  <c r="Y18" i="40" s="1"/>
  <c r="Y23" i="40" s="1"/>
  <c r="Y24" i="40" s="1"/>
  <c r="I61" i="46"/>
  <c r="I32" i="46" s="1"/>
  <c r="Q31" i="13"/>
  <c r="AE319" i="1"/>
  <c r="AB40" i="40"/>
  <c r="AF202" i="1"/>
  <c r="S86" i="13"/>
  <c r="Q103" i="13"/>
  <c r="Q107" i="13"/>
  <c r="Q108" i="13"/>
  <c r="Q87" i="13"/>
  <c r="AF23" i="15"/>
  <c r="AF81" i="15"/>
  <c r="T321" i="37"/>
  <c r="I6349" i="22"/>
  <c r="I6369" i="22" s="1"/>
  <c r="AI155" i="15"/>
  <c r="AI22" i="15"/>
  <c r="AI88" i="15" s="1"/>
  <c r="T40" i="13"/>
  <c r="T425" i="37"/>
  <c r="T399" i="37"/>
  <c r="W264" i="14"/>
  <c r="W265" i="14" s="1"/>
  <c r="W267" i="14" s="1"/>
  <c r="T485" i="37"/>
  <c r="T489" i="37" s="1"/>
  <c r="Q80" i="13"/>
  <c r="G14" i="47"/>
  <c r="G28" i="47"/>
  <c r="I22" i="46"/>
  <c r="I10" i="46"/>
  <c r="I11" i="46"/>
  <c r="AF126" i="1"/>
  <c r="AF312" i="1"/>
  <c r="K19" i="46"/>
  <c r="K20" i="46"/>
  <c r="AH147" i="15"/>
  <c r="S375" i="37"/>
  <c r="I6345" i="22"/>
  <c r="I6365" i="22" s="1"/>
  <c r="AI18" i="15"/>
  <c r="L6" i="46"/>
  <c r="L7" i="46" s="1"/>
  <c r="AG7" i="1"/>
  <c r="AG303" i="1"/>
  <c r="AG125" i="1" s="1"/>
  <c r="AG311" i="1"/>
  <c r="AG299" i="1"/>
  <c r="AG124" i="1" s="1"/>
  <c r="AG315" i="1"/>
  <c r="AG338" i="1"/>
  <c r="AG307" i="1"/>
  <c r="AG308" i="1" s="1"/>
  <c r="T84" i="13"/>
  <c r="AE24" i="15"/>
  <c r="AE112" i="15"/>
  <c r="L18" i="46"/>
  <c r="T447" i="37"/>
  <c r="T439" i="37"/>
  <c r="T486" i="37" s="1"/>
  <c r="AD24" i="15"/>
  <c r="AD112" i="15"/>
  <c r="D5989" i="22"/>
  <c r="AA38" i="40"/>
  <c r="AA40" i="40" s="1"/>
  <c r="O43" i="13"/>
  <c r="E22" i="47"/>
  <c r="BN501" i="38"/>
  <c r="BM501" i="38" s="1"/>
  <c r="Z38" i="40" s="1"/>
  <c r="AG19" i="15"/>
  <c r="J9" i="46"/>
  <c r="AE16" i="1"/>
  <c r="AE15" i="1"/>
  <c r="AE60" i="1"/>
  <c r="R85" i="13"/>
  <c r="R21" i="13"/>
  <c r="AF141" i="1"/>
  <c r="AF142" i="1" s="1"/>
  <c r="AF339" i="1"/>
  <c r="AF95" i="1" s="1"/>
  <c r="T117" i="37"/>
  <c r="T116" i="37"/>
  <c r="AF125" i="1"/>
  <c r="H57" i="46"/>
  <c r="H23" i="46"/>
  <c r="H24" i="46"/>
  <c r="H6346" i="22"/>
  <c r="H6366" i="22" s="1"/>
  <c r="AF14" i="1"/>
  <c r="AH192" i="15" s="1"/>
  <c r="AF316" i="1"/>
  <c r="AF145" i="1"/>
  <c r="AF146" i="1" s="1"/>
  <c r="AF124" i="1"/>
  <c r="F5440" i="22"/>
  <c r="F5400" i="22"/>
  <c r="F5439" i="22"/>
  <c r="D107" i="14"/>
  <c r="D106" i="14"/>
  <c r="AG10" i="1"/>
  <c r="AG12" i="1" s="1"/>
  <c r="T377" i="37"/>
  <c r="T305" i="37"/>
  <c r="T491" i="37"/>
  <c r="G57" i="46"/>
  <c r="G24" i="46"/>
  <c r="S407" i="37" l="1"/>
  <c r="AF97" i="1" s="1"/>
  <c r="AF104" i="1" s="1"/>
  <c r="S426" i="37"/>
  <c r="AH91" i="15"/>
  <c r="T405" i="37"/>
  <c r="AI92" i="15" s="1"/>
  <c r="AI90" i="15"/>
  <c r="S22" i="13"/>
  <c r="AH195" i="15" s="1"/>
  <c r="Z27" i="40"/>
  <c r="Z106" i="40"/>
  <c r="Z128" i="40" s="1"/>
  <c r="J61" i="46"/>
  <c r="J32" i="46" s="1"/>
  <c r="AF193" i="15"/>
  <c r="AF198" i="15" s="1"/>
  <c r="H6350" i="22"/>
  <c r="H6370" i="22" s="1"/>
  <c r="T407" i="37"/>
  <c r="AG97" i="1" s="1"/>
  <c r="G22" i="47"/>
  <c r="H22" i="47" s="1"/>
  <c r="AC38" i="40"/>
  <c r="AC40" i="40" s="1"/>
  <c r="T468" i="37"/>
  <c r="T467" i="37" s="1"/>
  <c r="W177" i="14" s="1"/>
  <c r="W178" i="14" s="1"/>
  <c r="W180" i="14" s="1"/>
  <c r="D182" i="14" s="1"/>
  <c r="T403" i="37"/>
  <c r="Z32" i="40"/>
  <c r="Z34" i="40" s="1"/>
  <c r="Z40" i="40" s="1"/>
  <c r="BN482" i="38"/>
  <c r="Z7" i="40"/>
  <c r="Q43" i="13"/>
  <c r="R31" i="13"/>
  <c r="AE90" i="1"/>
  <c r="AG115" i="15" s="1"/>
  <c r="AG300" i="1"/>
  <c r="AF319" i="1"/>
  <c r="D108" i="14"/>
  <c r="I7" i="14" s="1"/>
  <c r="E7" i="14" s="1"/>
  <c r="AH19" i="15"/>
  <c r="AF60" i="1"/>
  <c r="K9" i="46"/>
  <c r="AF16" i="1"/>
  <c r="AF15" i="1"/>
  <c r="S21" i="13"/>
  <c r="S85" i="13"/>
  <c r="AG126" i="1"/>
  <c r="AG312" i="1"/>
  <c r="AF24" i="15"/>
  <c r="AF112" i="15"/>
  <c r="F5402" i="22"/>
  <c r="F5453" i="22"/>
  <c r="F5481" i="22"/>
  <c r="AG23" i="15"/>
  <c r="AG81" i="15"/>
  <c r="I57" i="46"/>
  <c r="I24" i="46"/>
  <c r="I23" i="46"/>
  <c r="L19" i="46"/>
  <c r="L20" i="46"/>
  <c r="G28" i="46"/>
  <c r="AI147" i="15"/>
  <c r="T375" i="37"/>
  <c r="R80" i="13"/>
  <c r="D269" i="14"/>
  <c r="D268" i="14"/>
  <c r="R103" i="13"/>
  <c r="R107" i="13"/>
  <c r="R108" i="13"/>
  <c r="R87" i="13"/>
  <c r="I6346" i="22"/>
  <c r="I6366" i="22" s="1"/>
  <c r="AG14" i="1"/>
  <c r="AI192" i="15" s="1"/>
  <c r="AG141" i="1"/>
  <c r="AG142" i="1" s="1"/>
  <c r="AG339" i="1"/>
  <c r="AG95" i="1" s="1"/>
  <c r="H28" i="46"/>
  <c r="AG145" i="1"/>
  <c r="AG146" i="1" s="1"/>
  <c r="AG316" i="1"/>
  <c r="AG202" i="1"/>
  <c r="T86" i="13"/>
  <c r="AG304" i="1"/>
  <c r="J10" i="46"/>
  <c r="J22" i="46"/>
  <c r="J11" i="46"/>
  <c r="T22" i="13" l="1"/>
  <c r="AI195" i="15" s="1"/>
  <c r="AG104" i="1"/>
  <c r="T426" i="37"/>
  <c r="AI91" i="15"/>
  <c r="AF90" i="1"/>
  <c r="AH115" i="15" s="1"/>
  <c r="AG193" i="15"/>
  <c r="R43" i="13"/>
  <c r="AG198" i="15"/>
  <c r="I6350" i="22"/>
  <c r="I6370" i="22" s="1"/>
  <c r="S31" i="13"/>
  <c r="K61" i="46"/>
  <c r="K32" i="46" s="1"/>
  <c r="AG319" i="1"/>
  <c r="D181" i="14"/>
  <c r="D183" i="14" s="1"/>
  <c r="I14" i="14" s="1"/>
  <c r="I30" i="14" s="1"/>
  <c r="J7" i="14" s="1"/>
  <c r="N8" i="14" s="1"/>
  <c r="D270" i="14"/>
  <c r="I15" i="14" s="1"/>
  <c r="K10" i="46"/>
  <c r="K11" i="46"/>
  <c r="K22" i="46"/>
  <c r="I28" i="46"/>
  <c r="AH23" i="15"/>
  <c r="AH81" i="15"/>
  <c r="AG24" i="15"/>
  <c r="AG112" i="15"/>
  <c r="S103" i="13"/>
  <c r="S107" i="13"/>
  <c r="S108" i="13"/>
  <c r="S87" i="13"/>
  <c r="J24" i="46"/>
  <c r="J57" i="46"/>
  <c r="J23" i="46"/>
  <c r="S80" i="13"/>
  <c r="AI19" i="15"/>
  <c r="AG60" i="1"/>
  <c r="L9" i="46"/>
  <c r="AG16" i="1"/>
  <c r="AG15" i="1"/>
  <c r="T85" i="13"/>
  <c r="T21" i="13"/>
  <c r="F5455" i="22"/>
  <c r="F5474" i="22"/>
  <c r="AG90" i="1" l="1"/>
  <c r="AI115" i="15" s="1"/>
  <c r="AH193" i="15"/>
  <c r="S43" i="13"/>
  <c r="AH198" i="15"/>
  <c r="T31" i="13"/>
  <c r="L61" i="46"/>
  <c r="L32" i="46" s="1"/>
  <c r="U20" i="14"/>
  <c r="J6" i="14"/>
  <c r="N7" i="14" s="1"/>
  <c r="J11" i="14"/>
  <c r="J18" i="14"/>
  <c r="J14" i="14"/>
  <c r="N18" i="14" s="1"/>
  <c r="N26" i="14" s="1"/>
  <c r="J4" i="14"/>
  <c r="N5" i="14" s="1"/>
  <c r="J29" i="14"/>
  <c r="AA11" i="46"/>
  <c r="J23" i="14"/>
  <c r="J8" i="14"/>
  <c r="N9" i="14" s="1"/>
  <c r="J26" i="14"/>
  <c r="J28" i="14"/>
  <c r="J22" i="14"/>
  <c r="N6" i="14" s="1"/>
  <c r="J5" i="14"/>
  <c r="N4" i="14" s="1"/>
  <c r="J12" i="14"/>
  <c r="N15" i="14" s="1"/>
  <c r="U12" i="46"/>
  <c r="U9" i="46" s="1"/>
  <c r="U14" i="46" s="1"/>
  <c r="U19" i="46" s="1"/>
  <c r="J30" i="14"/>
  <c r="J10" i="14"/>
  <c r="N13" i="14" s="1"/>
  <c r="D4041" i="22"/>
  <c r="E4041" i="22" s="1"/>
  <c r="T103" i="13"/>
  <c r="T107" i="13"/>
  <c r="T108" i="13"/>
  <c r="T87" i="13"/>
  <c r="J28" i="46"/>
  <c r="AH24" i="15"/>
  <c r="AH112" i="15"/>
  <c r="K23" i="46"/>
  <c r="K24" i="46"/>
  <c r="K57" i="46"/>
  <c r="C4995" i="22"/>
  <c r="C4997" i="22" s="1"/>
  <c r="C236" i="10"/>
  <c r="C238" i="10" s="1"/>
  <c r="AA6" i="46"/>
  <c r="J15" i="14"/>
  <c r="F15" i="14"/>
  <c r="C807" i="3" s="1"/>
  <c r="G15" i="14"/>
  <c r="O17" i="14"/>
  <c r="E15" i="14"/>
  <c r="C564" i="34" s="1"/>
  <c r="C565" i="34" s="1"/>
  <c r="C568" i="34" s="1"/>
  <c r="C570" i="34" s="1"/>
  <c r="C571" i="34" s="1"/>
  <c r="L22" i="46"/>
  <c r="L10" i="46"/>
  <c r="L11" i="46"/>
  <c r="AI23" i="15"/>
  <c r="AI81" i="15"/>
  <c r="T80" i="13"/>
  <c r="T43" i="13" l="1"/>
  <c r="AI198" i="15"/>
  <c r="N14" i="14"/>
  <c r="N24" i="14" s="1"/>
  <c r="N11" i="14"/>
  <c r="N22" i="14" s="1"/>
  <c r="F1570" i="22"/>
  <c r="C303" i="14"/>
  <c r="K28" i="46"/>
  <c r="L23" i="46"/>
  <c r="L24" i="46"/>
  <c r="L57" i="46"/>
  <c r="AI112" i="15"/>
  <c r="AI24" i="15"/>
  <c r="D807" i="3"/>
  <c r="C808" i="3"/>
  <c r="C816" i="3" s="1"/>
  <c r="C817" i="3" s="1"/>
  <c r="C820" i="3"/>
  <c r="C821" i="3" s="1"/>
  <c r="N16" i="14" l="1"/>
  <c r="N25" i="14" s="1"/>
  <c r="L28" i="46"/>
  <c r="E807" i="3"/>
  <c r="D808" i="3"/>
  <c r="D816" i="3" s="1"/>
  <c r="D817" i="3" s="1"/>
  <c r="N19" i="14" l="1"/>
  <c r="N27" i="14" s="1"/>
  <c r="N28" i="14" s="1"/>
  <c r="E808" i="3"/>
  <c r="E816" i="3" s="1"/>
  <c r="E817" i="3" s="1"/>
  <c r="F807" i="3"/>
  <c r="F808" i="3" l="1"/>
  <c r="F816" i="3" s="1"/>
  <c r="F817" i="3" s="1"/>
  <c r="G807" i="3"/>
  <c r="G808" i="3" s="1"/>
  <c r="G816" i="3" s="1"/>
  <c r="G817" i="3" s="1"/>
  <c r="BN71" i="38"/>
  <c r="BN437" i="38" l="1"/>
  <c r="AA191" i="1"/>
  <c r="AA192" i="1" s="1"/>
  <c r="AA200" i="1"/>
  <c r="AB200" i="1" s="1"/>
  <c r="AA233" i="1" l="1"/>
  <c r="AB233" i="1" s="1"/>
  <c r="AB234" i="1" s="1"/>
  <c r="AC200" i="1"/>
  <c r="AB191" i="1"/>
  <c r="AB192" i="1" s="1"/>
  <c r="AB120" i="1" l="1"/>
  <c r="AC188" i="1"/>
  <c r="AD200" i="1"/>
  <c r="AE200" i="1" l="1"/>
  <c r="AC196" i="1"/>
  <c r="AC233" i="1" s="1"/>
  <c r="AC25" i="1"/>
  <c r="AC191" i="1"/>
  <c r="AC192" i="1" s="1"/>
  <c r="AE20" i="15" l="1"/>
  <c r="AB9" i="40"/>
  <c r="AB13" i="40" s="1"/>
  <c r="AC61" i="1"/>
  <c r="AC30" i="1"/>
  <c r="AC234" i="1"/>
  <c r="AF200" i="1"/>
  <c r="AG200" i="1" l="1"/>
  <c r="AD188" i="1"/>
  <c r="AC120" i="1"/>
  <c r="E6347" i="22"/>
  <c r="E6367" i="22" s="1"/>
  <c r="AD196" i="1" l="1"/>
  <c r="AD233" i="1" s="1"/>
  <c r="AD25" i="1"/>
  <c r="AC9" i="40" s="1"/>
  <c r="AC13" i="40" s="1"/>
  <c r="AD191" i="1"/>
  <c r="AD192" i="1" s="1"/>
  <c r="AD234" i="1" l="1"/>
  <c r="AF20" i="15"/>
  <c r="AD61" i="1"/>
  <c r="AD30" i="1"/>
  <c r="F6347" i="22" l="1"/>
  <c r="F6367" i="22" s="1"/>
  <c r="AE188" i="1"/>
  <c r="AD120" i="1"/>
  <c r="AE25" i="1" l="1"/>
  <c r="AE191" i="1"/>
  <c r="AE192" i="1" s="1"/>
  <c r="AE196" i="1"/>
  <c r="AE233" i="1" s="1"/>
  <c r="AE234" i="1" l="1"/>
  <c r="AG20" i="15"/>
  <c r="AE61" i="1"/>
  <c r="AE30" i="1"/>
  <c r="G6347" i="22" l="1"/>
  <c r="G6367" i="22" s="1"/>
  <c r="AF188" i="1"/>
  <c r="AE120" i="1"/>
  <c r="AF25" i="1" l="1"/>
  <c r="AF191" i="1"/>
  <c r="AF192" i="1" s="1"/>
  <c r="AF196" i="1"/>
  <c r="AF233" i="1" s="1"/>
  <c r="AF234" i="1" l="1"/>
  <c r="AH20" i="15"/>
  <c r="AF61" i="1"/>
  <c r="AF30" i="1"/>
  <c r="H6347" i="22" l="1"/>
  <c r="H6367" i="22" s="1"/>
  <c r="AG188" i="1"/>
  <c r="AF120" i="1"/>
  <c r="AG25" i="1" l="1"/>
  <c r="AG191" i="1"/>
  <c r="AG192" i="1" s="1"/>
  <c r="AG196" i="1"/>
  <c r="AG233" i="1" s="1"/>
  <c r="AG234" i="1" s="1"/>
  <c r="AG120" i="1" s="1"/>
  <c r="AI20" i="15" l="1"/>
  <c r="AG30" i="1"/>
  <c r="AG61" i="1"/>
  <c r="I6347" i="22" l="1"/>
  <c r="I6367" i="22" s="1"/>
  <c r="BM446" i="38"/>
  <c r="Z11" i="40" l="1"/>
  <c r="Z13" i="40" s="1"/>
  <c r="BM449" i="38"/>
  <c r="I11" i="12" l="1"/>
  <c r="J11" i="12"/>
  <c r="K11" i="12"/>
  <c r="L11" i="12"/>
  <c r="M11" i="12"/>
  <c r="N11" i="12"/>
  <c r="O11" i="12"/>
  <c r="P11" i="12"/>
  <c r="Q11" i="12"/>
  <c r="R11" i="12"/>
  <c r="S11" i="12"/>
  <c r="T11" i="12"/>
  <c r="U11" i="12"/>
  <c r="V11" i="12"/>
  <c r="W11" i="12"/>
  <c r="X11" i="12"/>
  <c r="Y11" i="12"/>
  <c r="Z11" i="12"/>
  <c r="AA11" i="12"/>
  <c r="AB11" i="12"/>
  <c r="I12" i="12"/>
  <c r="J12" i="12"/>
  <c r="K12" i="12"/>
  <c r="L12" i="12"/>
  <c r="M12" i="12"/>
  <c r="N12" i="12"/>
  <c r="O12" i="12"/>
  <c r="P12" i="12"/>
  <c r="Q12" i="12"/>
  <c r="R12" i="12"/>
  <c r="S12" i="12"/>
  <c r="T12" i="12"/>
  <c r="U12" i="12"/>
  <c r="V12" i="12"/>
  <c r="W12" i="12"/>
  <c r="X12" i="12"/>
  <c r="Y12" i="12"/>
  <c r="Z12" i="12"/>
  <c r="AA12" i="12"/>
  <c r="I23" i="12"/>
  <c r="J23" i="12"/>
  <c r="K23" i="12"/>
  <c r="L23" i="12"/>
  <c r="M23" i="12"/>
  <c r="N23" i="12"/>
  <c r="O23" i="12"/>
  <c r="P23" i="12"/>
  <c r="Q23" i="12"/>
  <c r="R23" i="12"/>
  <c r="S23" i="12"/>
  <c r="T23" i="12"/>
  <c r="U23" i="12"/>
  <c r="V23" i="12"/>
  <c r="W23" i="12"/>
  <c r="X23" i="12"/>
  <c r="Y23" i="12"/>
  <c r="Z23" i="12"/>
  <c r="AA23" i="12"/>
  <c r="I34" i="12"/>
  <c r="J34" i="12"/>
  <c r="K34" i="12"/>
  <c r="L34" i="12"/>
  <c r="M34" i="12"/>
  <c r="N34" i="12"/>
  <c r="O34" i="12"/>
  <c r="P34" i="12"/>
  <c r="Q34" i="12"/>
  <c r="R34" i="12"/>
  <c r="S34" i="12"/>
  <c r="T34" i="12"/>
  <c r="U34" i="12"/>
  <c r="V34" i="12"/>
  <c r="W34" i="12"/>
  <c r="X34" i="12"/>
  <c r="Y34" i="12"/>
  <c r="Z34" i="12"/>
  <c r="AA34" i="12"/>
  <c r="I43" i="12"/>
  <c r="J43" i="12"/>
  <c r="K43" i="12"/>
  <c r="L43" i="12"/>
  <c r="M43" i="12"/>
  <c r="N43" i="12"/>
  <c r="O43" i="12"/>
  <c r="P43" i="12"/>
  <c r="Q43" i="12"/>
  <c r="R43" i="12"/>
  <c r="S43" i="12"/>
  <c r="T43" i="12"/>
  <c r="U43" i="12"/>
  <c r="V43" i="12"/>
  <c r="W43" i="12"/>
  <c r="X43" i="12"/>
  <c r="Y43" i="12"/>
  <c r="Z43" i="12"/>
  <c r="AA43" i="12"/>
  <c r="Q44" i="12"/>
  <c r="R44" i="12"/>
  <c r="S44" i="12"/>
  <c r="T44" i="12"/>
  <c r="U44" i="12"/>
  <c r="V44" i="12"/>
  <c r="W44" i="12"/>
  <c r="X44" i="12"/>
  <c r="Y44" i="12"/>
  <c r="Z44" i="12"/>
  <c r="AA44" i="12"/>
  <c r="Q54" i="12"/>
  <c r="R54" i="12"/>
  <c r="S54" i="12"/>
  <c r="T54" i="12"/>
  <c r="U54" i="12"/>
  <c r="V54" i="12"/>
  <c r="W54" i="12"/>
  <c r="X54" i="12"/>
  <c r="Y54" i="12"/>
  <c r="Z54" i="12"/>
  <c r="AA54" i="12"/>
  <c r="Q55" i="12"/>
  <c r="R55" i="12"/>
  <c r="S55" i="12"/>
  <c r="T55" i="12"/>
  <c r="U55" i="12"/>
  <c r="V55" i="12"/>
  <c r="W55" i="12"/>
  <c r="X55" i="12"/>
  <c r="Y55" i="12"/>
  <c r="Z55" i="12"/>
  <c r="AA55" i="12"/>
  <c r="Q64" i="12"/>
  <c r="R64" i="12"/>
  <c r="S64" i="12"/>
  <c r="T64" i="12"/>
  <c r="U64" i="12"/>
  <c r="V64" i="12"/>
  <c r="W64" i="12"/>
  <c r="X64" i="12"/>
  <c r="Y64" i="12"/>
  <c r="Z64" i="12"/>
  <c r="AA64" i="12"/>
  <c r="Q65" i="12"/>
  <c r="R65" i="12"/>
  <c r="S65" i="12"/>
  <c r="T65" i="12"/>
  <c r="U65" i="12"/>
  <c r="V65" i="12"/>
  <c r="W65" i="12"/>
  <c r="X65" i="12"/>
  <c r="Y65" i="12"/>
  <c r="Z65" i="12"/>
  <c r="AA65" i="12"/>
  <c r="Q75" i="12"/>
  <c r="R75" i="12"/>
  <c r="S75" i="12"/>
  <c r="T75" i="12"/>
  <c r="U75" i="12"/>
  <c r="V75" i="12"/>
  <c r="W75" i="12"/>
  <c r="X75" i="12"/>
  <c r="Y75" i="12"/>
  <c r="Z75" i="12"/>
  <c r="AA75" i="12"/>
  <c r="Q78" i="12"/>
  <c r="R78" i="12"/>
  <c r="S78" i="12"/>
  <c r="T78" i="12"/>
  <c r="U78" i="12"/>
  <c r="V78" i="12"/>
  <c r="W78" i="12"/>
  <c r="X78" i="12"/>
  <c r="Y78" i="12"/>
  <c r="Z78" i="12"/>
  <c r="AA78" i="12"/>
  <c r="Q80" i="12"/>
  <c r="R80" i="12"/>
  <c r="S80" i="12"/>
  <c r="T80" i="12"/>
  <c r="U80" i="12"/>
  <c r="V80" i="12"/>
  <c r="W80" i="12"/>
  <c r="X80" i="12"/>
  <c r="Y80" i="12"/>
  <c r="Z80" i="12"/>
  <c r="AA80" i="12"/>
  <c r="Q81" i="12"/>
  <c r="R81" i="12"/>
  <c r="S81" i="12"/>
  <c r="T81" i="12"/>
  <c r="U81" i="12"/>
  <c r="V81" i="12"/>
  <c r="W81" i="12"/>
  <c r="X81" i="12"/>
  <c r="Y81" i="12"/>
  <c r="Z81" i="12"/>
  <c r="AA81" i="12"/>
  <c r="P82" i="12"/>
  <c r="Q82" i="12"/>
  <c r="R82" i="12"/>
  <c r="S82" i="12"/>
  <c r="T82" i="12"/>
  <c r="U82" i="12"/>
  <c r="V82" i="12"/>
  <c r="W82" i="12"/>
  <c r="X82" i="12"/>
  <c r="Y82" i="12"/>
  <c r="Z82" i="12"/>
  <c r="AA82" i="12"/>
  <c r="P83" i="12"/>
  <c r="Q83" i="12"/>
  <c r="R83" i="12"/>
  <c r="S83" i="12"/>
  <c r="T83" i="12"/>
  <c r="U83" i="12"/>
  <c r="V83" i="12"/>
  <c r="W83" i="12"/>
  <c r="X83" i="12"/>
  <c r="Y83" i="12"/>
  <c r="Z83" i="12"/>
  <c r="AA83" i="12"/>
  <c r="P84" i="12"/>
  <c r="Q84" i="12"/>
  <c r="R84" i="12"/>
  <c r="S84" i="12"/>
  <c r="T84" i="12"/>
  <c r="U84" i="12"/>
  <c r="V84" i="12"/>
  <c r="W84" i="12"/>
  <c r="X84" i="12"/>
  <c r="Y84" i="12"/>
  <c r="Z84" i="12"/>
  <c r="AA84" i="12"/>
  <c r="P92" i="12"/>
  <c r="Q92" i="12"/>
  <c r="R92" i="12"/>
  <c r="S92" i="12"/>
  <c r="T92" i="12"/>
  <c r="U92" i="12"/>
  <c r="V92" i="12"/>
  <c r="W92" i="12"/>
  <c r="X92" i="12"/>
  <c r="Y92" i="12"/>
  <c r="Z92" i="12"/>
  <c r="AA92" i="12"/>
  <c r="Q94" i="12"/>
  <c r="R94" i="12"/>
  <c r="S94" i="12"/>
  <c r="T94" i="12"/>
  <c r="U94" i="12"/>
  <c r="V94" i="12"/>
  <c r="W94" i="12"/>
  <c r="X94" i="12"/>
  <c r="Y94" i="12"/>
  <c r="Z94" i="12"/>
  <c r="AA94" i="12"/>
  <c r="P101" i="12"/>
  <c r="Q101" i="12"/>
  <c r="R101" i="12"/>
  <c r="S101" i="12"/>
  <c r="T101" i="12"/>
  <c r="U101" i="12"/>
  <c r="V101" i="12"/>
  <c r="W101" i="12"/>
  <c r="X101" i="12"/>
  <c r="Y101" i="12"/>
  <c r="Z101" i="12"/>
  <c r="AA101" i="12"/>
  <c r="P103" i="12"/>
  <c r="Q103" i="12"/>
  <c r="R103" i="12"/>
  <c r="S103" i="12"/>
  <c r="T103" i="12"/>
  <c r="U103" i="12"/>
  <c r="V103" i="12"/>
  <c r="W103" i="12"/>
  <c r="X103" i="12"/>
  <c r="Y103" i="12"/>
  <c r="Z103" i="12"/>
  <c r="AA103" i="12"/>
  <c r="P110" i="12"/>
  <c r="P112" i="12"/>
  <c r="P115" i="12"/>
  <c r="Q115" i="12"/>
  <c r="R115" i="12"/>
  <c r="S115" i="12"/>
  <c r="T115" i="12"/>
  <c r="U115" i="12"/>
  <c r="V115" i="12"/>
  <c r="W115" i="12"/>
  <c r="X115" i="12"/>
  <c r="Y115" i="12"/>
  <c r="Z115" i="12"/>
  <c r="AA115" i="12"/>
  <c r="P120" i="12"/>
  <c r="P122" i="12"/>
  <c r="P147" i="12"/>
  <c r="AB147" i="12"/>
  <c r="P149" i="12"/>
  <c r="AB149" i="12"/>
  <c r="Q153" i="12"/>
  <c r="R153" i="12"/>
  <c r="S153" i="12"/>
  <c r="T153" i="12"/>
  <c r="U153" i="12"/>
  <c r="V153" i="12"/>
  <c r="W153" i="12"/>
  <c r="X153" i="12"/>
  <c r="Y153" i="12"/>
  <c r="Z153" i="12"/>
  <c r="AA153" i="12"/>
  <c r="Q154" i="12"/>
  <c r="R154" i="12"/>
  <c r="S154" i="12"/>
  <c r="T154" i="12"/>
  <c r="U154" i="12"/>
  <c r="V154" i="12"/>
  <c r="W154" i="12"/>
  <c r="X154" i="12"/>
  <c r="Y154" i="12"/>
  <c r="Z154" i="12"/>
  <c r="AA154" i="12"/>
  <c r="Q156" i="12"/>
  <c r="R156" i="12"/>
  <c r="S156" i="12"/>
  <c r="T156" i="12"/>
  <c r="U156" i="12"/>
  <c r="V156" i="12"/>
  <c r="W156" i="12"/>
  <c r="X156" i="12"/>
  <c r="Y156" i="12"/>
  <c r="Z156" i="12"/>
  <c r="AA156" i="12"/>
  <c r="Q157" i="12"/>
  <c r="R157" i="12"/>
  <c r="S157" i="12"/>
  <c r="T157" i="12"/>
  <c r="U157" i="12"/>
  <c r="V157" i="12"/>
  <c r="W157" i="12"/>
  <c r="X157" i="12"/>
  <c r="Y157" i="12"/>
  <c r="Z157" i="12"/>
  <c r="AA157" i="12"/>
  <c r="Q158" i="12"/>
  <c r="R158" i="12"/>
  <c r="S158" i="12"/>
  <c r="T158" i="12"/>
  <c r="U158" i="12"/>
  <c r="V158" i="12"/>
  <c r="W158" i="12"/>
  <c r="X158" i="12"/>
  <c r="Y158" i="12"/>
  <c r="Z158" i="12"/>
  <c r="AA158" i="12"/>
  <c r="Q160" i="12"/>
  <c r="R160" i="12"/>
  <c r="S160" i="12"/>
  <c r="T160" i="12"/>
  <c r="U160" i="12"/>
  <c r="V160" i="12"/>
  <c r="W160" i="12"/>
  <c r="X160" i="12"/>
  <c r="Y160" i="12"/>
  <c r="Z160" i="12"/>
  <c r="AA160" i="12"/>
  <c r="R161" i="12"/>
  <c r="S161" i="12"/>
  <c r="T161" i="12"/>
  <c r="U161" i="12"/>
  <c r="V161" i="12"/>
  <c r="W161" i="12"/>
  <c r="X161" i="12"/>
  <c r="Y161" i="12"/>
  <c r="Z161" i="12"/>
  <c r="AA161" i="12"/>
  <c r="P163" i="12"/>
  <c r="Q163" i="12"/>
  <c r="R163" i="12"/>
  <c r="S163" i="12"/>
  <c r="T163" i="12"/>
  <c r="U163" i="12"/>
  <c r="V163" i="12"/>
  <c r="W163" i="12"/>
  <c r="X163" i="12"/>
  <c r="Y163" i="12"/>
  <c r="Z163" i="12"/>
  <c r="AA163" i="12"/>
  <c r="R164" i="12"/>
  <c r="S164" i="12"/>
  <c r="T164" i="12"/>
  <c r="U164" i="12"/>
  <c r="V164" i="12"/>
  <c r="W164" i="12"/>
  <c r="X164" i="12"/>
  <c r="Y164" i="12"/>
  <c r="Z164" i="12"/>
  <c r="AA164" i="12"/>
  <c r="Q165" i="12"/>
  <c r="R165" i="12"/>
  <c r="S165" i="12"/>
  <c r="T165" i="12"/>
  <c r="U165" i="12"/>
  <c r="V165" i="12"/>
  <c r="W165" i="12"/>
  <c r="X165" i="12"/>
  <c r="Y165" i="12"/>
  <c r="Z165" i="12"/>
  <c r="AA165" i="12"/>
  <c r="R166" i="12"/>
  <c r="S166" i="12"/>
  <c r="T166" i="12"/>
  <c r="U166" i="12"/>
  <c r="V166" i="12"/>
  <c r="W166" i="12"/>
  <c r="X166" i="12"/>
  <c r="Y166" i="12"/>
  <c r="Z166" i="12"/>
  <c r="AA166" i="12"/>
  <c r="R167" i="12"/>
  <c r="S167" i="12"/>
  <c r="T167" i="12"/>
  <c r="U167" i="12"/>
  <c r="V167" i="12"/>
  <c r="W167" i="12"/>
  <c r="X167" i="12"/>
  <c r="Y167" i="12"/>
  <c r="Z167" i="12"/>
  <c r="AA167" i="12"/>
  <c r="Q169" i="12"/>
  <c r="R169" i="12"/>
  <c r="S169" i="12"/>
  <c r="T169" i="12"/>
  <c r="U169" i="12"/>
  <c r="V169" i="12"/>
  <c r="W169" i="12"/>
  <c r="X169" i="12"/>
  <c r="Y169" i="12"/>
  <c r="Z169" i="12"/>
  <c r="AA169" i="12"/>
  <c r="Q171" i="12"/>
  <c r="R171" i="12"/>
  <c r="S171" i="12"/>
  <c r="T171" i="12"/>
  <c r="U171" i="12"/>
  <c r="V171" i="12"/>
  <c r="W171" i="12"/>
  <c r="X171" i="12"/>
  <c r="Y171" i="12"/>
  <c r="Z171" i="12"/>
  <c r="AA171" i="12"/>
  <c r="Q178" i="12"/>
  <c r="R178" i="12"/>
  <c r="S178" i="12"/>
  <c r="T178" i="12"/>
  <c r="U178" i="12"/>
  <c r="V178" i="12"/>
  <c r="W178" i="12"/>
  <c r="X178" i="12"/>
  <c r="Y178" i="12"/>
  <c r="Z178" i="12"/>
  <c r="AA178" i="12"/>
  <c r="Q179" i="12"/>
  <c r="R179" i="12"/>
  <c r="S179" i="12"/>
  <c r="T179" i="12"/>
  <c r="U179" i="12"/>
  <c r="V179" i="12"/>
  <c r="W179" i="12"/>
  <c r="X179" i="12"/>
  <c r="Y179" i="12"/>
  <c r="Z179" i="12"/>
  <c r="AA179" i="12"/>
  <c r="Q181" i="12"/>
  <c r="R181" i="12"/>
  <c r="S181" i="12"/>
  <c r="T181" i="12"/>
  <c r="U181" i="12"/>
  <c r="V181" i="12"/>
  <c r="W181" i="12"/>
  <c r="X181" i="12"/>
  <c r="Y181" i="12"/>
  <c r="Z181" i="12"/>
  <c r="AA181" i="12"/>
  <c r="J66" i="22"/>
  <c r="O640" i="22"/>
  <c r="P640" i="22"/>
  <c r="Q640" i="22"/>
  <c r="R640" i="22"/>
  <c r="O651" i="22"/>
  <c r="P651" i="22"/>
  <c r="Q651" i="22"/>
  <c r="R651" i="22"/>
  <c r="A996" i="22"/>
  <c r="I1234" i="22"/>
  <c r="I1235" i="22"/>
  <c r="I1244" i="22"/>
  <c r="I1245" i="22"/>
  <c r="J1279" i="22"/>
  <c r="J1280" i="22"/>
  <c r="J1281" i="22"/>
  <c r="J1284" i="22"/>
  <c r="J1285" i="22"/>
  <c r="J1287" i="22"/>
  <c r="J1290" i="22"/>
  <c r="J1291" i="22"/>
  <c r="J1293" i="22"/>
  <c r="J1300" i="22"/>
  <c r="J1301" i="22"/>
  <c r="J1304" i="22"/>
  <c r="J1305" i="22"/>
  <c r="J1334" i="22"/>
  <c r="J1339" i="22"/>
  <c r="J1341" i="22"/>
  <c r="F1575" i="22"/>
  <c r="D1842" i="22"/>
  <c r="D1844" i="22"/>
  <c r="D1852" i="22"/>
  <c r="D1854" i="22"/>
  <c r="I1932" i="22"/>
  <c r="J1932" i="22"/>
  <c r="K1932" i="22"/>
  <c r="H1933" i="22"/>
  <c r="I1933" i="22"/>
  <c r="J1933" i="22"/>
  <c r="K1933" i="22"/>
  <c r="H1944" i="22"/>
  <c r="I1944" i="22"/>
  <c r="J1944" i="22"/>
  <c r="K1944" i="22"/>
  <c r="H1945" i="22"/>
  <c r="I1945" i="22"/>
  <c r="J1945" i="22"/>
  <c r="K1945" i="22"/>
  <c r="H1946" i="22"/>
  <c r="I1946" i="22"/>
  <c r="J1946" i="22"/>
  <c r="K1946" i="22"/>
  <c r="D1988" i="22"/>
  <c r="D1989" i="22"/>
  <c r="G2037" i="22"/>
  <c r="G2038" i="22"/>
  <c r="G2039" i="22"/>
  <c r="G2055" i="22"/>
  <c r="G2056" i="22"/>
  <c r="H2099" i="22"/>
  <c r="I2099" i="22"/>
  <c r="J2099" i="22"/>
  <c r="H2101" i="22"/>
  <c r="I2101" i="22"/>
  <c r="J2101" i="22"/>
  <c r="H2102" i="22"/>
  <c r="I2102" i="22"/>
  <c r="J2102" i="22"/>
  <c r="H2107" i="22"/>
  <c r="I2107" i="22"/>
  <c r="J2107" i="22"/>
  <c r="H2109" i="22"/>
  <c r="I2109" i="22"/>
  <c r="J2109" i="22"/>
  <c r="H2110" i="22"/>
  <c r="I2110" i="22"/>
  <c r="J2110" i="22"/>
  <c r="H2112" i="22"/>
  <c r="I2112" i="22"/>
  <c r="J2112" i="22"/>
  <c r="E2126" i="22"/>
  <c r="H2126" i="22"/>
  <c r="I2126" i="22"/>
  <c r="E2132" i="22"/>
  <c r="H2132" i="22"/>
  <c r="I2132" i="22"/>
  <c r="E2137" i="22"/>
  <c r="H2137" i="22"/>
  <c r="I2137" i="22"/>
  <c r="E2138" i="22"/>
  <c r="F2138" i="22"/>
  <c r="G2138" i="22"/>
  <c r="H2138" i="22"/>
  <c r="I2138" i="22"/>
  <c r="E2141" i="22"/>
  <c r="F2141" i="22"/>
  <c r="G2141" i="22"/>
  <c r="H2141" i="22"/>
  <c r="I2141" i="22"/>
  <c r="E2143" i="22"/>
  <c r="F2143" i="22"/>
  <c r="H2280" i="22"/>
  <c r="I2280" i="22"/>
  <c r="K2280" i="22"/>
  <c r="H2281" i="22"/>
  <c r="I2281" i="22"/>
  <c r="G2294" i="22"/>
  <c r="H2294" i="22"/>
  <c r="I2294" i="22"/>
  <c r="K2294" i="22"/>
  <c r="G2295" i="22"/>
  <c r="H2295" i="22"/>
  <c r="I2295" i="22"/>
  <c r="G2304" i="22"/>
  <c r="H2304" i="22"/>
  <c r="I2304" i="22"/>
  <c r="K2304" i="22"/>
  <c r="I2305" i="22"/>
  <c r="G2317" i="22"/>
  <c r="H2317" i="22"/>
  <c r="I2317" i="22"/>
  <c r="H2320" i="22"/>
  <c r="I2320" i="22"/>
  <c r="J2320" i="22"/>
  <c r="H2321" i="22"/>
  <c r="I2321" i="22"/>
  <c r="H2322" i="22"/>
  <c r="I2322" i="22"/>
  <c r="J2322" i="22"/>
  <c r="H2323" i="22"/>
  <c r="I2323" i="22"/>
  <c r="H2324" i="22"/>
  <c r="I2324" i="22"/>
  <c r="G2325" i="22"/>
  <c r="H2325" i="22"/>
  <c r="I2325" i="22"/>
  <c r="J2325" i="22"/>
  <c r="G2326" i="22"/>
  <c r="H2326" i="22"/>
  <c r="I2326" i="22"/>
  <c r="J2326" i="22"/>
  <c r="G2327" i="22"/>
  <c r="H2327" i="22"/>
  <c r="I2327" i="22"/>
  <c r="J2327" i="22"/>
  <c r="H2330" i="22"/>
  <c r="I2330" i="22"/>
  <c r="J2330" i="22"/>
  <c r="H2331" i="22"/>
  <c r="I2331" i="22"/>
  <c r="J2331" i="22"/>
  <c r="G2332" i="22"/>
  <c r="H2332" i="22"/>
  <c r="I2332" i="22"/>
  <c r="J2332" i="22"/>
  <c r="G2333" i="22"/>
  <c r="H2333" i="22"/>
  <c r="I2333" i="22"/>
  <c r="J2333" i="22"/>
  <c r="F2355" i="22"/>
  <c r="G2355" i="22"/>
  <c r="H2355" i="22"/>
  <c r="E2357" i="22"/>
  <c r="F2357" i="22"/>
  <c r="G2357" i="22"/>
  <c r="H2357" i="22"/>
  <c r="F2362" i="22"/>
  <c r="H2362" i="22"/>
  <c r="F2363" i="22"/>
  <c r="F2365" i="22"/>
  <c r="F2367" i="22"/>
  <c r="H2367" i="22"/>
  <c r="H2370" i="22"/>
  <c r="I2370" i="22"/>
  <c r="H2371" i="22"/>
  <c r="I2371" i="22"/>
  <c r="G2372" i="22"/>
  <c r="H2372" i="22"/>
  <c r="I2372" i="22"/>
  <c r="G2373" i="22"/>
  <c r="H2373" i="22"/>
  <c r="I2373" i="22"/>
  <c r="E2517" i="22"/>
  <c r="G2517" i="22"/>
  <c r="E2518" i="22"/>
  <c r="G2518" i="22"/>
  <c r="E2520" i="22"/>
  <c r="G2520" i="22"/>
  <c r="H2520" i="22"/>
  <c r="E2521" i="22"/>
  <c r="G2521" i="22"/>
  <c r="H2521" i="22"/>
  <c r="E2522" i="22"/>
  <c r="G2522" i="22"/>
  <c r="H2522" i="22"/>
  <c r="E2525" i="22"/>
  <c r="G2525" i="22"/>
  <c r="E2526" i="22"/>
  <c r="G2526" i="22"/>
  <c r="E2531" i="22"/>
  <c r="G2531" i="22"/>
  <c r="E2532" i="22"/>
  <c r="G2532" i="22"/>
  <c r="E2533" i="22"/>
  <c r="G2533" i="22"/>
  <c r="E2535" i="22"/>
  <c r="F2535" i="22"/>
  <c r="G2535" i="22"/>
  <c r="G2574" i="22"/>
  <c r="H2574" i="22"/>
  <c r="I2574" i="22"/>
  <c r="G2575" i="22"/>
  <c r="H2575" i="22"/>
  <c r="I2575" i="22"/>
  <c r="G2576" i="22"/>
  <c r="H2576" i="22"/>
  <c r="I2576" i="22"/>
  <c r="F2577" i="22"/>
  <c r="G2577" i="22"/>
  <c r="H2577" i="22"/>
  <c r="I2577" i="22"/>
  <c r="F2578" i="22"/>
  <c r="G2578" i="22"/>
  <c r="H2578" i="22"/>
  <c r="I2578" i="22"/>
  <c r="G2588" i="22"/>
  <c r="H2588" i="22"/>
  <c r="I2588" i="22"/>
  <c r="G2589" i="22"/>
  <c r="H2589" i="22"/>
  <c r="I2589" i="22"/>
  <c r="F2590" i="22"/>
  <c r="G2590" i="22"/>
  <c r="H2590" i="22"/>
  <c r="I2590" i="22"/>
  <c r="H2602" i="22"/>
  <c r="G2728" i="22"/>
  <c r="H2728" i="22"/>
  <c r="I2728" i="22"/>
  <c r="G2729" i="22"/>
  <c r="H2729" i="22"/>
  <c r="I2729" i="22"/>
  <c r="F2730" i="22"/>
  <c r="G2730" i="22"/>
  <c r="H2730" i="22"/>
  <c r="I2730" i="22"/>
  <c r="F2731" i="22"/>
  <c r="G2731" i="22"/>
  <c r="H2731" i="22"/>
  <c r="I2731" i="22"/>
  <c r="E2734" i="22"/>
  <c r="E2735" i="22"/>
  <c r="E2736" i="22"/>
  <c r="E2737" i="22"/>
  <c r="E2740" i="22"/>
  <c r="G2740" i="22"/>
  <c r="H2740" i="22"/>
  <c r="I2740" i="22"/>
  <c r="E2741" i="22"/>
  <c r="G2741" i="22"/>
  <c r="H2741" i="22"/>
  <c r="I2741" i="22"/>
  <c r="E2742" i="22"/>
  <c r="F2742" i="22"/>
  <c r="G2742" i="22"/>
  <c r="H2742" i="22"/>
  <c r="I2742" i="22"/>
  <c r="E2743" i="22"/>
  <c r="F2743" i="22"/>
  <c r="G2743" i="22"/>
  <c r="H2743" i="22"/>
  <c r="I2743" i="22"/>
  <c r="G2746" i="22"/>
  <c r="H2746" i="22"/>
  <c r="I2746" i="22"/>
  <c r="G2747" i="22"/>
  <c r="H2747" i="22"/>
  <c r="I2747" i="22"/>
  <c r="G2748" i="22"/>
  <c r="H2748" i="22"/>
  <c r="I2748" i="22"/>
  <c r="G2749" i="22"/>
  <c r="H2749" i="22"/>
  <c r="I2749" i="22"/>
  <c r="G2750" i="22"/>
  <c r="H2750" i="22"/>
  <c r="I2750" i="22"/>
  <c r="G2760" i="22"/>
  <c r="H2760" i="22"/>
  <c r="I2760" i="22"/>
  <c r="G2761" i="22"/>
  <c r="H2761" i="22"/>
  <c r="I2761" i="22"/>
  <c r="G2762" i="22"/>
  <c r="H2762" i="22"/>
  <c r="I2762" i="22"/>
  <c r="G2763" i="22"/>
  <c r="H2763" i="22"/>
  <c r="I2763" i="22"/>
  <c r="D2766" i="22"/>
  <c r="D2768" i="22"/>
  <c r="D2771" i="22"/>
  <c r="D2773" i="22"/>
  <c r="F2796" i="22"/>
  <c r="F2797" i="22"/>
  <c r="E2799" i="22"/>
  <c r="F2799" i="22"/>
  <c r="E2800" i="22"/>
  <c r="F2800" i="22"/>
  <c r="E2802" i="22"/>
  <c r="E2872" i="22"/>
  <c r="F2872" i="22"/>
  <c r="E2873" i="22"/>
  <c r="F2873" i="22"/>
  <c r="E2884" i="22"/>
  <c r="F2884" i="22"/>
  <c r="E2885" i="22"/>
  <c r="F2885" i="22"/>
  <c r="V2918" i="22"/>
  <c r="W2918" i="22"/>
  <c r="X2918" i="22"/>
  <c r="D2919" i="22"/>
  <c r="E2919" i="22"/>
  <c r="F2919" i="22"/>
  <c r="G2919" i="22"/>
  <c r="V2919" i="22"/>
  <c r="W2919" i="22"/>
  <c r="X2919" i="22"/>
  <c r="D2920" i="22"/>
  <c r="E2920" i="22"/>
  <c r="F2920" i="22"/>
  <c r="G2920" i="22"/>
  <c r="L2920" i="22"/>
  <c r="V2920" i="22"/>
  <c r="W2920" i="22"/>
  <c r="X2920" i="22"/>
  <c r="L2921" i="22"/>
  <c r="M2921" i="22"/>
  <c r="N2921" i="22"/>
  <c r="V2921" i="22"/>
  <c r="W2921" i="22"/>
  <c r="X2921" i="22"/>
  <c r="L2922" i="22"/>
  <c r="M2922" i="22"/>
  <c r="N2922" i="22"/>
  <c r="V2922" i="22"/>
  <c r="W2922" i="22"/>
  <c r="X2922" i="22"/>
  <c r="L2926" i="22"/>
  <c r="M2926" i="22"/>
  <c r="N2926" i="22"/>
  <c r="V2926" i="22"/>
  <c r="W2926" i="22"/>
  <c r="X2926" i="22"/>
  <c r="V2927" i="22"/>
  <c r="W2927" i="22"/>
  <c r="X2927" i="22"/>
  <c r="L2928" i="22"/>
  <c r="M2928" i="22"/>
  <c r="N2928" i="22"/>
  <c r="V2928" i="22"/>
  <c r="W2928" i="22"/>
  <c r="X2928" i="22"/>
  <c r="D2931" i="22"/>
  <c r="E2931" i="22"/>
  <c r="F2931" i="22"/>
  <c r="G2931" i="22"/>
  <c r="D2932" i="22"/>
  <c r="E2932" i="22"/>
  <c r="F2932" i="22"/>
  <c r="G2932" i="22"/>
  <c r="K2940" i="22"/>
  <c r="L2940" i="22"/>
  <c r="M2940" i="22"/>
  <c r="K2941" i="22"/>
  <c r="L2941" i="22"/>
  <c r="M2941" i="22"/>
  <c r="D2976" i="22"/>
  <c r="D2978" i="22"/>
  <c r="D3013" i="22"/>
  <c r="E3013" i="22"/>
  <c r="H3013" i="22"/>
  <c r="I3013" i="22"/>
  <c r="D3018" i="22"/>
  <c r="E3018" i="22"/>
  <c r="H3018" i="22"/>
  <c r="I3018" i="22"/>
  <c r="D3021" i="22"/>
  <c r="E3021" i="22"/>
  <c r="H3021" i="22"/>
  <c r="I3021" i="22"/>
  <c r="D3050" i="22"/>
  <c r="E3050" i="22"/>
  <c r="F3050" i="22"/>
  <c r="G3050" i="22"/>
  <c r="H3050" i="22"/>
  <c r="I3050" i="22"/>
  <c r="D3053" i="22"/>
  <c r="E3053" i="22"/>
  <c r="F3053" i="22"/>
  <c r="G3053" i="22"/>
  <c r="H3053" i="22"/>
  <c r="I3053" i="22"/>
  <c r="D3058" i="22"/>
  <c r="E3058" i="22"/>
  <c r="F3058" i="22"/>
  <c r="G3058" i="22"/>
  <c r="H3058" i="22"/>
  <c r="I3058" i="22"/>
  <c r="F3109" i="22"/>
  <c r="F3115" i="22"/>
  <c r="F3116" i="22"/>
  <c r="F3118" i="22"/>
  <c r="D3145" i="22"/>
  <c r="E3145" i="22"/>
  <c r="J3145" i="22"/>
  <c r="K3145" i="22"/>
  <c r="D3146" i="22"/>
  <c r="E3146" i="22"/>
  <c r="J3146" i="22"/>
  <c r="K3146" i="22"/>
  <c r="D3216" i="22"/>
  <c r="E3216" i="22"/>
  <c r="F3216" i="22"/>
  <c r="D3217" i="22"/>
  <c r="E3217" i="22"/>
  <c r="F3217" i="22"/>
  <c r="D3218" i="22"/>
  <c r="E3218" i="22"/>
  <c r="F3218" i="22"/>
  <c r="D3219" i="22"/>
  <c r="E3219" i="22"/>
  <c r="F3219" i="22"/>
  <c r="D3220" i="22"/>
  <c r="E3220" i="22"/>
  <c r="F3220" i="22"/>
  <c r="D3231" i="22"/>
  <c r="E3231" i="22"/>
  <c r="F3231" i="22"/>
  <c r="Q3231" i="22"/>
  <c r="R3231" i="22"/>
  <c r="T3231" i="22"/>
  <c r="D3232" i="22"/>
  <c r="E3232" i="22"/>
  <c r="F3232" i="22"/>
  <c r="P3232" i="22"/>
  <c r="Q3232" i="22"/>
  <c r="D3233" i="22"/>
  <c r="E3233" i="22"/>
  <c r="F3233" i="22"/>
  <c r="P3233" i="22"/>
  <c r="Q3233" i="22"/>
  <c r="G3239" i="22"/>
  <c r="H3239" i="22"/>
  <c r="I3239" i="22"/>
  <c r="F3247" i="22"/>
  <c r="D3276" i="22"/>
  <c r="E3276" i="22"/>
  <c r="F3276" i="22"/>
  <c r="G3276" i="22"/>
  <c r="H3276" i="22"/>
  <c r="D3277" i="22"/>
  <c r="E3277" i="22"/>
  <c r="F3277" i="22"/>
  <c r="G3277" i="22"/>
  <c r="H3277" i="22"/>
  <c r="D3294" i="22"/>
  <c r="D3300" i="22"/>
  <c r="D3301" i="22"/>
  <c r="D3304" i="22"/>
  <c r="E3304" i="22"/>
  <c r="D3306" i="22"/>
  <c r="E3306" i="22"/>
  <c r="D3307" i="22"/>
  <c r="E3307" i="22"/>
  <c r="D3309" i="22"/>
  <c r="E3309" i="22"/>
  <c r="D3315" i="22"/>
  <c r="E3315" i="22"/>
  <c r="F3315" i="22"/>
  <c r="D3317" i="22"/>
  <c r="E3317" i="22"/>
  <c r="F3317" i="22"/>
  <c r="D3318" i="22"/>
  <c r="E3318" i="22"/>
  <c r="F3318" i="22"/>
  <c r="E3324" i="22"/>
  <c r="E3325" i="22"/>
  <c r="E3328" i="22"/>
  <c r="D3347" i="22"/>
  <c r="G3347" i="22"/>
  <c r="D3348" i="22"/>
  <c r="E3348" i="22"/>
  <c r="F3348" i="22"/>
  <c r="G3348" i="22"/>
  <c r="D3349" i="22"/>
  <c r="G3349" i="22"/>
  <c r="E3413" i="22"/>
  <c r="F3417" i="22"/>
  <c r="G3417" i="22"/>
  <c r="F3418" i="22"/>
  <c r="G3418" i="22"/>
  <c r="F3419" i="22"/>
  <c r="G3419" i="22"/>
  <c r="E3433" i="22"/>
  <c r="F3435" i="22"/>
  <c r="G3435" i="22"/>
  <c r="F3436" i="22"/>
  <c r="G3436" i="22"/>
  <c r="E3472" i="22"/>
  <c r="E3478" i="22"/>
  <c r="F3480" i="22"/>
  <c r="G3480" i="22"/>
  <c r="F3481" i="22"/>
  <c r="G3481" i="22"/>
  <c r="E3499" i="22"/>
  <c r="F3501" i="22"/>
  <c r="G3501" i="22"/>
  <c r="F3502" i="22"/>
  <c r="G3502" i="22"/>
  <c r="D3572" i="22"/>
  <c r="G3572" i="22"/>
  <c r="H3572" i="22"/>
  <c r="G3578" i="22"/>
  <c r="H3578" i="22"/>
  <c r="G3579" i="22"/>
  <c r="H3579" i="22"/>
  <c r="E3713" i="22"/>
  <c r="F3713" i="22"/>
  <c r="G3713" i="22"/>
  <c r="E3714" i="22"/>
  <c r="F3714" i="22"/>
  <c r="G3714" i="22"/>
  <c r="E3715" i="22"/>
  <c r="F3715" i="22"/>
  <c r="G3715" i="22"/>
  <c r="E3716" i="22"/>
  <c r="F3716" i="22"/>
  <c r="G3716" i="22"/>
  <c r="E3731" i="22"/>
  <c r="F3731" i="22"/>
  <c r="G3731" i="22"/>
  <c r="E3732" i="22"/>
  <c r="F3732" i="22"/>
  <c r="G3732" i="22"/>
  <c r="E3733" i="22"/>
  <c r="F3733" i="22"/>
  <c r="G3733" i="22"/>
  <c r="H3739" i="22"/>
  <c r="H3776" i="22"/>
  <c r="I3776" i="22"/>
  <c r="H3782" i="22"/>
  <c r="I3782" i="22"/>
  <c r="H3784" i="22"/>
  <c r="J3784" i="22"/>
  <c r="H3787" i="22"/>
  <c r="J3787" i="22"/>
  <c r="H3790" i="22"/>
  <c r="I3790" i="22"/>
  <c r="J3790" i="22"/>
  <c r="H3791" i="22"/>
  <c r="I3791" i="22"/>
  <c r="J3791" i="22"/>
  <c r="E3793" i="22"/>
  <c r="F3793" i="22"/>
  <c r="G3793" i="22"/>
  <c r="J3793" i="22"/>
  <c r="E3794" i="22"/>
  <c r="F3794" i="22"/>
  <c r="G3794" i="22"/>
  <c r="J3794" i="22"/>
  <c r="E3795" i="22"/>
  <c r="F3795" i="22"/>
  <c r="G3795" i="22"/>
  <c r="J3795" i="22"/>
  <c r="E3797" i="22"/>
  <c r="F3797" i="22"/>
  <c r="G3797" i="22"/>
  <c r="J3797" i="22"/>
  <c r="E3798" i="22"/>
  <c r="F3798" i="22"/>
  <c r="G3798" i="22"/>
  <c r="J3798" i="22"/>
  <c r="E3799" i="22"/>
  <c r="F3799" i="22"/>
  <c r="G3799" i="22"/>
  <c r="J3799" i="22"/>
  <c r="I3950" i="22"/>
  <c r="I3951" i="22"/>
  <c r="I3959" i="22"/>
  <c r="I3960" i="22"/>
  <c r="F4024" i="22"/>
  <c r="D4037" i="22"/>
  <c r="E4037" i="22"/>
  <c r="F4037" i="22"/>
  <c r="D4038" i="22"/>
  <c r="E4038" i="22"/>
  <c r="F4038" i="22"/>
  <c r="D4039" i="22"/>
  <c r="E4039" i="22"/>
  <c r="F4039" i="22"/>
  <c r="D4042" i="22"/>
  <c r="E4042" i="22"/>
  <c r="D4043" i="22"/>
  <c r="E4043" i="22"/>
  <c r="D4060" i="22"/>
  <c r="E4060" i="22"/>
  <c r="F4060" i="22"/>
  <c r="D4061" i="22"/>
  <c r="E4061" i="22"/>
  <c r="F4061" i="22"/>
  <c r="G4078" i="22"/>
  <c r="H4078" i="22"/>
  <c r="I4078" i="22"/>
  <c r="J4078" i="22"/>
  <c r="G4079" i="22"/>
  <c r="H4079" i="22"/>
  <c r="I4079" i="22"/>
  <c r="J4079" i="22"/>
  <c r="E4083" i="22"/>
  <c r="F4083" i="22"/>
  <c r="I4083" i="22"/>
  <c r="J4083" i="22"/>
  <c r="D4098" i="22"/>
  <c r="F4098" i="22"/>
  <c r="D4099" i="22"/>
  <c r="F4099" i="22"/>
  <c r="J4099" i="22"/>
  <c r="K4099" i="22"/>
  <c r="D4100" i="22"/>
  <c r="D4101" i="22"/>
  <c r="F4101" i="22"/>
  <c r="D4102" i="22"/>
  <c r="F4102" i="22"/>
  <c r="J4102" i="22"/>
  <c r="K4102" i="22"/>
  <c r="D4103" i="22"/>
  <c r="D4104" i="22"/>
  <c r="F4104" i="22"/>
  <c r="J4104" i="22"/>
  <c r="K4104" i="22"/>
  <c r="D4105" i="22"/>
  <c r="E4105" i="22"/>
  <c r="F4105" i="22"/>
  <c r="H4105" i="22"/>
  <c r="I4105" i="22"/>
  <c r="J4105" i="22"/>
  <c r="K4105" i="22"/>
  <c r="D4106" i="22"/>
  <c r="E4106" i="22"/>
  <c r="F4106" i="22"/>
  <c r="H4106" i="22"/>
  <c r="I4106" i="22"/>
  <c r="J4106" i="22"/>
  <c r="K4106" i="22"/>
  <c r="D4110" i="22"/>
  <c r="F4110" i="22"/>
  <c r="H4110" i="22"/>
  <c r="I4110" i="22"/>
  <c r="J4110" i="22"/>
  <c r="K4110" i="22"/>
  <c r="D4111" i="22"/>
  <c r="D4113" i="22"/>
  <c r="D4118" i="22"/>
  <c r="F4118" i="22"/>
  <c r="H4118" i="22"/>
  <c r="I4118" i="22"/>
  <c r="J4118" i="22"/>
  <c r="D4120" i="22"/>
  <c r="J4120" i="22"/>
  <c r="K4120" i="22"/>
  <c r="J4121" i="22"/>
  <c r="G4126" i="22"/>
  <c r="H4126" i="22"/>
  <c r="G4127" i="22"/>
  <c r="H4127" i="22"/>
  <c r="G4128" i="22"/>
  <c r="H4128" i="22"/>
  <c r="G4129" i="22"/>
  <c r="H4129" i="22"/>
  <c r="G4130" i="22"/>
  <c r="H4130" i="22"/>
  <c r="C4134" i="22"/>
  <c r="C4136" i="22"/>
  <c r="C4137" i="22"/>
  <c r="F4158" i="22"/>
  <c r="G4158" i="22"/>
  <c r="F4159" i="22"/>
  <c r="G4159" i="22"/>
  <c r="F4352" i="22"/>
  <c r="F4354" i="22"/>
  <c r="F4364" i="22"/>
  <c r="G4364" i="22"/>
  <c r="F4370" i="22"/>
  <c r="G4370" i="22"/>
  <c r="F4371" i="22"/>
  <c r="F4372" i="22"/>
  <c r="F4373" i="22"/>
  <c r="F4376" i="22"/>
  <c r="G4376" i="22"/>
  <c r="F4384" i="22"/>
  <c r="F4385" i="22"/>
  <c r="D4413" i="22"/>
  <c r="D4414" i="22"/>
  <c r="J4426" i="22"/>
  <c r="F4427" i="22"/>
  <c r="G4427" i="22"/>
  <c r="L4427" i="22"/>
  <c r="F4428" i="22"/>
  <c r="G4428" i="22"/>
  <c r="J4428" i="22"/>
  <c r="L4428" i="22"/>
  <c r="F4429" i="22"/>
  <c r="G4429" i="22"/>
  <c r="J4429" i="22"/>
  <c r="L4429" i="22"/>
  <c r="AB4455" i="22"/>
  <c r="X4456" i="22"/>
  <c r="Y4456" i="22"/>
  <c r="X4457" i="22"/>
  <c r="Y4457" i="22"/>
  <c r="AB4457" i="22"/>
  <c r="J4458" i="22"/>
  <c r="V4458" i="22"/>
  <c r="F4459" i="22"/>
  <c r="G4459" i="22"/>
  <c r="R4459" i="22"/>
  <c r="S4459" i="22"/>
  <c r="F4460" i="22"/>
  <c r="G4460" i="22"/>
  <c r="J4460" i="22"/>
  <c r="R4460" i="22"/>
  <c r="S4460" i="22"/>
  <c r="V4460" i="22"/>
  <c r="F4461" i="22"/>
  <c r="G4461" i="22"/>
  <c r="J4461" i="22"/>
  <c r="F4483" i="22"/>
  <c r="G4483" i="22"/>
  <c r="J4483" i="22"/>
  <c r="F4484" i="22"/>
  <c r="G4484" i="22"/>
  <c r="J4484" i="22"/>
  <c r="F4485" i="22"/>
  <c r="G4485" i="22"/>
  <c r="J4485" i="22"/>
  <c r="C4556" i="22"/>
  <c r="D4556" i="22"/>
  <c r="C4564" i="22"/>
  <c r="D4564" i="22"/>
  <c r="C4600" i="22"/>
  <c r="D4600" i="22"/>
  <c r="E4600" i="22"/>
  <c r="C4601" i="22"/>
  <c r="D4601" i="22"/>
  <c r="E4601" i="22"/>
  <c r="C4607" i="22"/>
  <c r="D4607" i="22"/>
  <c r="G4607" i="22"/>
  <c r="E4746" i="22"/>
  <c r="E4747" i="22"/>
  <c r="E4750" i="22"/>
  <c r="E4751" i="22"/>
  <c r="C4763" i="22"/>
  <c r="C4764" i="22"/>
  <c r="C4765" i="22"/>
  <c r="C4766" i="22"/>
  <c r="F4766" i="22"/>
  <c r="C4782" i="22"/>
  <c r="C4783" i="22"/>
  <c r="C4784" i="22"/>
  <c r="G4804" i="22"/>
  <c r="C4805" i="22"/>
  <c r="D4805" i="22"/>
  <c r="C4809" i="22"/>
  <c r="D4809" i="22"/>
  <c r="C4810" i="22"/>
  <c r="D4810" i="22"/>
  <c r="G4810" i="22"/>
  <c r="G4812" i="22"/>
  <c r="G4816" i="22"/>
  <c r="E4817" i="22"/>
  <c r="F4817" i="22"/>
  <c r="G4817" i="22"/>
  <c r="C4818" i="22"/>
  <c r="D4818" i="22"/>
  <c r="C4819" i="22"/>
  <c r="D4819" i="22"/>
  <c r="G4819" i="22"/>
  <c r="C4820" i="22"/>
  <c r="D4820" i="22"/>
  <c r="G4820" i="22"/>
  <c r="G4822" i="22"/>
  <c r="G4824" i="22"/>
  <c r="E4825" i="22"/>
  <c r="F4825" i="22"/>
  <c r="G4825" i="22"/>
  <c r="C4875" i="22"/>
  <c r="F4893" i="22"/>
  <c r="G4893" i="22"/>
  <c r="F4895" i="22"/>
  <c r="G4895" i="22"/>
  <c r="F4896" i="22"/>
  <c r="G4896" i="22"/>
  <c r="F4903" i="22"/>
  <c r="G4903" i="22"/>
  <c r="F4904" i="22"/>
  <c r="G4904" i="22"/>
  <c r="F4905" i="22"/>
  <c r="G4905" i="22"/>
  <c r="F4911" i="22"/>
  <c r="G4911" i="22"/>
  <c r="F4912" i="22"/>
  <c r="G4912" i="22"/>
  <c r="F4913" i="22"/>
  <c r="G4913" i="22"/>
  <c r="N4915" i="22"/>
  <c r="O4915" i="22"/>
  <c r="Q4915" i="22"/>
  <c r="N4916" i="22"/>
  <c r="O4916" i="22"/>
  <c r="Q4916" i="22"/>
  <c r="D4926" i="22"/>
  <c r="E4926" i="22"/>
  <c r="G4926" i="22"/>
  <c r="D4927" i="22"/>
  <c r="E4927" i="22"/>
  <c r="G4927" i="22"/>
  <c r="D4928" i="22"/>
  <c r="E4928" i="22"/>
  <c r="G4928" i="22"/>
  <c r="H5074" i="22"/>
  <c r="H5076" i="22"/>
  <c r="C5078" i="22"/>
  <c r="C5079" i="22"/>
  <c r="C5080" i="22"/>
  <c r="G5080" i="22"/>
  <c r="C5084" i="22"/>
  <c r="C5085" i="22"/>
  <c r="C5086" i="22"/>
  <c r="C5089" i="22"/>
  <c r="C5090" i="22"/>
  <c r="C5091" i="22"/>
  <c r="C5092" i="22"/>
  <c r="C5127" i="22"/>
  <c r="F5127" i="22"/>
  <c r="G5127" i="22"/>
  <c r="D5128" i="22"/>
  <c r="F5128" i="22"/>
  <c r="G5129" i="22"/>
  <c r="D5130" i="22"/>
  <c r="E5130" i="22"/>
  <c r="G5130" i="22"/>
  <c r="D5131" i="22"/>
  <c r="E5131" i="22"/>
  <c r="F5131" i="22"/>
  <c r="G5131" i="22"/>
  <c r="H5133" i="22"/>
  <c r="D5134" i="22"/>
  <c r="E5134" i="22"/>
  <c r="F5134" i="22"/>
  <c r="G5134" i="22"/>
  <c r="D5135" i="22"/>
  <c r="E5135" i="22"/>
  <c r="F5135" i="22"/>
  <c r="G5135" i="22"/>
  <c r="D5136" i="22"/>
  <c r="E5136" i="22"/>
  <c r="F5136" i="22"/>
  <c r="G5136" i="22"/>
  <c r="D5137" i="22"/>
  <c r="E5137" i="22"/>
  <c r="F5137" i="22"/>
  <c r="G5137" i="22"/>
  <c r="D5138" i="22"/>
  <c r="E5138" i="22"/>
  <c r="F5138" i="22"/>
  <c r="G5138" i="22"/>
  <c r="D5139" i="22"/>
  <c r="E5139" i="22"/>
  <c r="F5139" i="22"/>
  <c r="G5139" i="22"/>
  <c r="H5139" i="22"/>
  <c r="H5140" i="22"/>
  <c r="F5154" i="22"/>
  <c r="F5155" i="22"/>
  <c r="F5164" i="22"/>
  <c r="D5168" i="22"/>
  <c r="E5168" i="22"/>
  <c r="G5168" i="22"/>
  <c r="D5169" i="22"/>
  <c r="F5169" i="22"/>
  <c r="D5170" i="22"/>
  <c r="E5170" i="22"/>
  <c r="F5170" i="22"/>
  <c r="G5170" i="22"/>
  <c r="F5174" i="22"/>
  <c r="F5179" i="22"/>
  <c r="F5180" i="22"/>
  <c r="E5216" i="22"/>
  <c r="O5216" i="22"/>
  <c r="E5217" i="22"/>
  <c r="E5220" i="22"/>
  <c r="O5220" i="22"/>
  <c r="E5222" i="22"/>
  <c r="F5222" i="22"/>
  <c r="O5222" i="22"/>
  <c r="P5222" i="22"/>
  <c r="C5224" i="22"/>
  <c r="M5224" i="22"/>
  <c r="E5231" i="22"/>
  <c r="O5231" i="22"/>
  <c r="E5232" i="22"/>
  <c r="E5235" i="22"/>
  <c r="O5235" i="22"/>
  <c r="E5236" i="22"/>
  <c r="F5236" i="22"/>
  <c r="O5236" i="22"/>
  <c r="P5236" i="22"/>
  <c r="E5377" i="22"/>
  <c r="E5384" i="22"/>
  <c r="E5387" i="22"/>
  <c r="E5391" i="22"/>
  <c r="E5392" i="22"/>
  <c r="E5398" i="22"/>
  <c r="E5400" i="22"/>
  <c r="E5402" i="22"/>
  <c r="E5403" i="22"/>
  <c r="F5403" i="22"/>
  <c r="F5404" i="22"/>
  <c r="F5406" i="22"/>
  <c r="E5439" i="22"/>
  <c r="E5440" i="22"/>
  <c r="E5453" i="22"/>
  <c r="E5455" i="22"/>
  <c r="E5458" i="22"/>
  <c r="F5458" i="22"/>
  <c r="E5459" i="22"/>
  <c r="F5459" i="22"/>
  <c r="E5460" i="22"/>
  <c r="F5460" i="22"/>
  <c r="E5474" i="22"/>
  <c r="E5475" i="22"/>
  <c r="F5475" i="22"/>
  <c r="E5476" i="22"/>
  <c r="F5476" i="22"/>
  <c r="E5477" i="22"/>
  <c r="F5477" i="22"/>
  <c r="E5481" i="22"/>
  <c r="F5482" i="22"/>
  <c r="E5483" i="22"/>
  <c r="F5483" i="22"/>
  <c r="E5488" i="22"/>
  <c r="E5495" i="22"/>
  <c r="E5497" i="22"/>
  <c r="E5500" i="22"/>
  <c r="E5574" i="22"/>
  <c r="E5575" i="22"/>
  <c r="E5576" i="22"/>
  <c r="L5598" i="22"/>
  <c r="M5598" i="22"/>
  <c r="E5733" i="22"/>
  <c r="E5735" i="22"/>
  <c r="E5779" i="22"/>
  <c r="E5786" i="22"/>
  <c r="E5788" i="22"/>
  <c r="E5791" i="22"/>
  <c r="E5792" i="22"/>
  <c r="E5794" i="22"/>
  <c r="E5897" i="22"/>
  <c r="E5899" i="22"/>
  <c r="H5919" i="22"/>
  <c r="E5920" i="22"/>
  <c r="G5920" i="22"/>
  <c r="E5924" i="22"/>
  <c r="E5928" i="22"/>
  <c r="D5952" i="22"/>
  <c r="D5953" i="22"/>
  <c r="D5955" i="22"/>
  <c r="C5956" i="22"/>
  <c r="C5957" i="22"/>
  <c r="D5957" i="22"/>
  <c r="C5958" i="22"/>
  <c r="C5959" i="22"/>
  <c r="D5959" i="22"/>
  <c r="C5960" i="22"/>
  <c r="D5960" i="22"/>
  <c r="D5961" i="22"/>
  <c r="C5975" i="22"/>
  <c r="K5975" i="22"/>
  <c r="C5976" i="22"/>
  <c r="C5979" i="22"/>
  <c r="K5979" i="22"/>
  <c r="D5981" i="22"/>
  <c r="E5981" i="22"/>
  <c r="L5981" i="22"/>
  <c r="M5981" i="22"/>
  <c r="D5983" i="22"/>
  <c r="E5983" i="22"/>
  <c r="L5983" i="22"/>
  <c r="M5983" i="22"/>
  <c r="C5985" i="22"/>
  <c r="D5985" i="22"/>
  <c r="E5985" i="22"/>
  <c r="K5985" i="22"/>
  <c r="L5985" i="22"/>
  <c r="M5985" i="22"/>
  <c r="C5987" i="22"/>
  <c r="D5987" i="22"/>
  <c r="E5987" i="22"/>
  <c r="K5987" i="22"/>
  <c r="L5987" i="22"/>
  <c r="M5987" i="22"/>
  <c r="C5990" i="22"/>
  <c r="D5990" i="22"/>
  <c r="E5990" i="22"/>
  <c r="K5990" i="22"/>
  <c r="L5990" i="22"/>
  <c r="M5990" i="22"/>
  <c r="C5992" i="22"/>
  <c r="D5992" i="22"/>
  <c r="E5992" i="22"/>
  <c r="D6005" i="22"/>
  <c r="D6009" i="22"/>
  <c r="C6012" i="22"/>
  <c r="C6014" i="22"/>
  <c r="G6014" i="22"/>
  <c r="C6015" i="22"/>
  <c r="H6016" i="22"/>
  <c r="G6017" i="22"/>
  <c r="G6018" i="22"/>
  <c r="H6019" i="22"/>
  <c r="G6093" i="22"/>
  <c r="H6093" i="22"/>
  <c r="I6093" i="22"/>
  <c r="J6093" i="22"/>
  <c r="F6094" i="22"/>
  <c r="F6095" i="22"/>
  <c r="G6095" i="22"/>
  <c r="H6095" i="22"/>
  <c r="I6095" i="22"/>
  <c r="J6095" i="22"/>
  <c r="G6096" i="22"/>
  <c r="H6096" i="22"/>
  <c r="I6096" i="22"/>
  <c r="J6096" i="22"/>
  <c r="F6097" i="22"/>
  <c r="G6097" i="22"/>
  <c r="H6097" i="22"/>
  <c r="I6097" i="22"/>
  <c r="J6097" i="22"/>
  <c r="F6098" i="22"/>
  <c r="G6098" i="22"/>
  <c r="H6098" i="22"/>
  <c r="I6098" i="22"/>
  <c r="J6098" i="22"/>
  <c r="F6099" i="22"/>
  <c r="G6099" i="22"/>
  <c r="H6099" i="22"/>
  <c r="I6099" i="22"/>
  <c r="J6099" i="22"/>
  <c r="J6100" i="22"/>
  <c r="J6102" i="22"/>
  <c r="G6103" i="22"/>
  <c r="H6103" i="22"/>
  <c r="I6103" i="22"/>
  <c r="J6103" i="22"/>
  <c r="F6104" i="22"/>
  <c r="G6104" i="22"/>
  <c r="H6104" i="22"/>
  <c r="I6104" i="22"/>
  <c r="J6104" i="22"/>
  <c r="J6106" i="22"/>
  <c r="G6110" i="22"/>
  <c r="H6110" i="22"/>
  <c r="I6110" i="22"/>
  <c r="J6110" i="22"/>
  <c r="F6111" i="22"/>
  <c r="G6111" i="22"/>
  <c r="H6111" i="22"/>
  <c r="I6111" i="22"/>
  <c r="J6111" i="22"/>
  <c r="F6112" i="22"/>
  <c r="G6112" i="22"/>
  <c r="H6112" i="22"/>
  <c r="I6112" i="22"/>
  <c r="J6112" i="22"/>
  <c r="J6113" i="22"/>
  <c r="J6115" i="22"/>
  <c r="J6116" i="22"/>
  <c r="G6118" i="22"/>
  <c r="H6118" i="22"/>
  <c r="I6118" i="22"/>
  <c r="J6118" i="22"/>
  <c r="G6119" i="22"/>
  <c r="H6119" i="22"/>
  <c r="I6119" i="22"/>
  <c r="J6119" i="22"/>
  <c r="F6120" i="22"/>
  <c r="G6120" i="22"/>
  <c r="H6120" i="22"/>
  <c r="I6120" i="22"/>
  <c r="J6120" i="22"/>
  <c r="F6121" i="22"/>
  <c r="G6121" i="22"/>
  <c r="H6121" i="22"/>
  <c r="I6121" i="22"/>
  <c r="J6121" i="22"/>
  <c r="J6122" i="22"/>
  <c r="F6137" i="22"/>
  <c r="G6137" i="22"/>
  <c r="H6137" i="22"/>
  <c r="I6137" i="22"/>
  <c r="J6137" i="22"/>
  <c r="K6137" i="22"/>
  <c r="F6139" i="22"/>
  <c r="G6139" i="22"/>
  <c r="H6139" i="22"/>
  <c r="I6139" i="22"/>
  <c r="J6139" i="22"/>
  <c r="K6139" i="22"/>
  <c r="F6142" i="22"/>
  <c r="G6142" i="22"/>
  <c r="H6142" i="22"/>
  <c r="I6142" i="22"/>
  <c r="J6142" i="22"/>
  <c r="K6142" i="22"/>
  <c r="F6144" i="22"/>
  <c r="G6144" i="22"/>
  <c r="H6144" i="22"/>
  <c r="I6144" i="22"/>
  <c r="J6144" i="22"/>
  <c r="K6144" i="22"/>
  <c r="F6145" i="22"/>
  <c r="G6145" i="22"/>
  <c r="H6145" i="22"/>
  <c r="I6145" i="22"/>
  <c r="J6145" i="22"/>
  <c r="F6148" i="22"/>
  <c r="K6148" i="22"/>
  <c r="F6150" i="22"/>
  <c r="K6150" i="22"/>
  <c r="F6170" i="22"/>
  <c r="G6170" i="22"/>
  <c r="H6170" i="22"/>
  <c r="I6170" i="22"/>
  <c r="J6170" i="22"/>
  <c r="K6170" i="22"/>
  <c r="G6171" i="22"/>
  <c r="H6171" i="22"/>
  <c r="I6171" i="22"/>
  <c r="J6171" i="22"/>
  <c r="G6189" i="22"/>
  <c r="H6189" i="22"/>
  <c r="I6189" i="22"/>
  <c r="J6189" i="22"/>
  <c r="G6190" i="22"/>
  <c r="H6190" i="22"/>
  <c r="I6190" i="22"/>
  <c r="J6190" i="22"/>
  <c r="G6191" i="22"/>
  <c r="H6191" i="22"/>
  <c r="I6191" i="22"/>
  <c r="J6191" i="22"/>
  <c r="G6194" i="22"/>
  <c r="H6194" i="22"/>
  <c r="I6194" i="22"/>
  <c r="J6194" i="22"/>
  <c r="G6196" i="22"/>
  <c r="H6196" i="22"/>
  <c r="I6196" i="22"/>
  <c r="J6196" i="22"/>
  <c r="C6211" i="22"/>
  <c r="C6212" i="22"/>
  <c r="C6213" i="22"/>
  <c r="C6216" i="22"/>
  <c r="D6216" i="22"/>
  <c r="E6216" i="22"/>
  <c r="F6216" i="22"/>
  <c r="C6221" i="22"/>
  <c r="D6221" i="22"/>
  <c r="E6221" i="22"/>
  <c r="F6221" i="22"/>
  <c r="C6222" i="22"/>
  <c r="D6222" i="22"/>
  <c r="E6222" i="22"/>
  <c r="F6222" i="22"/>
  <c r="C6223" i="22"/>
  <c r="D6223" i="22"/>
  <c r="E6223" i="22"/>
  <c r="F6223" i="22"/>
  <c r="C6346" i="22"/>
  <c r="C6347" i="22"/>
  <c r="C6348" i="22"/>
  <c r="D6348" i="22"/>
  <c r="E6348" i="22"/>
  <c r="F6348" i="22"/>
  <c r="G6348" i="22"/>
  <c r="H6348" i="22"/>
  <c r="I6348" i="22"/>
  <c r="C6351" i="22"/>
  <c r="D6351" i="22"/>
  <c r="E6351" i="22"/>
  <c r="F6351" i="22"/>
  <c r="G6351" i="22"/>
  <c r="C6366" i="22"/>
  <c r="C6367" i="22"/>
  <c r="C6368" i="22"/>
  <c r="D6368" i="22"/>
  <c r="E6368" i="22"/>
  <c r="F6368" i="22"/>
  <c r="G6368" i="22"/>
  <c r="H6368" i="22"/>
  <c r="I6368" i="22"/>
  <c r="C6371" i="22"/>
  <c r="D6371" i="22"/>
  <c r="E6371" i="22"/>
  <c r="F6371" i="22"/>
  <c r="G6371" i="22"/>
  <c r="C6377" i="22"/>
  <c r="D6377" i="22"/>
  <c r="E6377" i="22"/>
  <c r="C6397" i="22"/>
  <c r="D6397" i="22"/>
  <c r="E6397" i="22"/>
  <c r="F6397" i="22"/>
  <c r="G6397" i="22"/>
  <c r="H6397" i="22"/>
  <c r="C6401" i="22"/>
  <c r="D6401" i="22"/>
  <c r="E6401" i="22"/>
  <c r="F6401" i="22"/>
  <c r="G6401" i="22"/>
  <c r="H6401" i="22"/>
  <c r="C6402" i="22"/>
  <c r="D6402" i="22"/>
  <c r="E6402" i="22"/>
  <c r="F6402" i="22"/>
  <c r="G6402" i="22"/>
  <c r="H6402" i="22"/>
  <c r="C6403" i="22"/>
  <c r="D6403" i="22"/>
  <c r="E6403" i="22"/>
  <c r="F6403" i="22"/>
  <c r="G6403" i="22"/>
  <c r="H6403" i="22"/>
  <c r="C6405" i="22"/>
  <c r="D6405" i="22"/>
  <c r="E6405" i="22"/>
  <c r="F6405" i="22"/>
  <c r="G6405" i="22"/>
  <c r="H6405" i="22"/>
  <c r="C6407" i="22"/>
  <c r="D6407" i="22"/>
  <c r="E6407" i="22"/>
  <c r="F6407" i="22"/>
  <c r="G6407" i="22"/>
  <c r="H6407" i="22"/>
  <c r="C6408" i="22"/>
  <c r="D6408" i="22"/>
  <c r="E6408" i="22"/>
  <c r="F6408" i="22"/>
  <c r="G6408" i="22"/>
  <c r="H6408" i="22"/>
  <c r="C6409" i="22"/>
  <c r="D6409" i="22"/>
  <c r="E6409" i="22"/>
  <c r="F6409" i="22"/>
  <c r="G6409" i="22"/>
  <c r="H6409" i="22"/>
  <c r="C6411" i="22"/>
  <c r="D6411" i="22"/>
  <c r="E6411" i="22"/>
  <c r="F6411" i="22"/>
  <c r="G6411" i="22"/>
  <c r="H6411" i="22"/>
  <c r="C6421" i="22"/>
  <c r="D6421" i="22"/>
  <c r="E6421" i="22"/>
  <c r="F6421" i="22"/>
  <c r="G6421" i="22"/>
  <c r="H6421" i="22"/>
  <c r="C6423" i="22"/>
  <c r="D6423" i="22"/>
  <c r="E6423" i="22"/>
  <c r="F6423" i="22"/>
  <c r="G6423" i="22"/>
  <c r="H6423" i="22"/>
  <c r="C6425" i="22"/>
  <c r="D6425" i="22"/>
  <c r="E6425" i="22"/>
  <c r="F6425" i="22"/>
  <c r="G6425" i="22"/>
  <c r="H6425" i="22"/>
  <c r="D6430" i="22"/>
  <c r="AD7" i="15"/>
  <c r="AE7" i="15"/>
  <c r="AF7" i="15"/>
  <c r="AG7" i="15"/>
  <c r="AH7" i="15"/>
  <c r="AI7" i="15"/>
  <c r="J13" i="15"/>
  <c r="K13" i="15"/>
  <c r="AC14" i="15"/>
  <c r="AD14" i="15"/>
  <c r="AE14" i="15"/>
  <c r="AF14" i="15"/>
  <c r="AG14" i="15"/>
  <c r="AH14" i="15"/>
  <c r="AI14" i="15"/>
  <c r="AC15" i="15"/>
  <c r="AD15" i="15"/>
  <c r="AE15" i="15"/>
  <c r="AF15" i="15"/>
  <c r="AG15" i="15"/>
  <c r="AH15" i="15"/>
  <c r="AI15" i="15"/>
  <c r="AC19" i="15"/>
  <c r="T22" i="15"/>
  <c r="U22" i="15"/>
  <c r="X22" i="15"/>
  <c r="Y22" i="15"/>
  <c r="Z22" i="15"/>
  <c r="T23" i="15"/>
  <c r="U23" i="15"/>
  <c r="X23" i="15"/>
  <c r="Y23" i="15"/>
  <c r="Z23" i="15"/>
  <c r="AC23" i="15"/>
  <c r="T24" i="15"/>
  <c r="U24" i="15"/>
  <c r="X24" i="15"/>
  <c r="Y24" i="15"/>
  <c r="Z24" i="15"/>
  <c r="AC24" i="15"/>
  <c r="AD25" i="15"/>
  <c r="AE25" i="15"/>
  <c r="AF25" i="15"/>
  <c r="AG25" i="15"/>
  <c r="AH25" i="15"/>
  <c r="AI25" i="15"/>
  <c r="AD26" i="15"/>
  <c r="AE26" i="15"/>
  <c r="AF26" i="15"/>
  <c r="AG26" i="15"/>
  <c r="AH26" i="15"/>
  <c r="AI26" i="15"/>
  <c r="AD27" i="15"/>
  <c r="AE27" i="15"/>
  <c r="AF27" i="15"/>
  <c r="AG27" i="15"/>
  <c r="AH27" i="15"/>
  <c r="AI27" i="15"/>
  <c r="AD28" i="15"/>
  <c r="AE28" i="15"/>
  <c r="AF28" i="15"/>
  <c r="AG28" i="15"/>
  <c r="AH28" i="15"/>
  <c r="AI28" i="15"/>
  <c r="AC29" i="15"/>
  <c r="AD29" i="15"/>
  <c r="AE29" i="15"/>
  <c r="AF29" i="15"/>
  <c r="AG29" i="15"/>
  <c r="AH29" i="15"/>
  <c r="AI29" i="15"/>
  <c r="AC30" i="15"/>
  <c r="AD30" i="15"/>
  <c r="AE30" i="15"/>
  <c r="AF30" i="15"/>
  <c r="AG30" i="15"/>
  <c r="AH30" i="15"/>
  <c r="AI30" i="15"/>
  <c r="T31" i="15"/>
  <c r="U31" i="15"/>
  <c r="X31" i="15"/>
  <c r="Y31" i="15"/>
  <c r="Z31" i="15"/>
  <c r="AC31" i="15"/>
  <c r="AD31" i="15"/>
  <c r="AE31" i="15"/>
  <c r="AF31" i="15"/>
  <c r="AG31" i="15"/>
  <c r="AH31" i="15"/>
  <c r="AI31" i="15"/>
  <c r="AD32" i="15"/>
  <c r="AE32" i="15"/>
  <c r="AF32" i="15"/>
  <c r="AG32" i="15"/>
  <c r="AH32" i="15"/>
  <c r="AI32" i="15"/>
  <c r="AD35" i="15"/>
  <c r="AE35" i="15"/>
  <c r="AF35" i="15"/>
  <c r="AG35" i="15"/>
  <c r="AH35" i="15"/>
  <c r="AI35" i="15"/>
  <c r="U53" i="15"/>
  <c r="V53" i="15"/>
  <c r="W53" i="15"/>
  <c r="X53" i="15"/>
  <c r="Y53" i="15"/>
  <c r="Z53" i="15"/>
  <c r="AA53" i="15"/>
  <c r="AB53" i="15"/>
  <c r="AC53" i="15"/>
  <c r="AD53" i="15"/>
  <c r="AE53" i="15"/>
  <c r="R74" i="15"/>
  <c r="S74" i="15"/>
  <c r="T74" i="15"/>
  <c r="U74" i="15"/>
  <c r="V74" i="15"/>
  <c r="W74" i="15"/>
  <c r="X74" i="15"/>
  <c r="Y74" i="15"/>
  <c r="Z74" i="15"/>
  <c r="AA74" i="15"/>
  <c r="AB74" i="15"/>
  <c r="AC74" i="15"/>
  <c r="AD74" i="15"/>
  <c r="AE74" i="15"/>
  <c r="AF74" i="15"/>
  <c r="AG74" i="15"/>
  <c r="AH74" i="15"/>
  <c r="AI74" i="15"/>
  <c r="L76" i="15"/>
  <c r="M76" i="15"/>
  <c r="N76" i="15"/>
  <c r="O76" i="15"/>
  <c r="P76" i="15"/>
  <c r="Q76" i="15"/>
  <c r="R76" i="15"/>
  <c r="S76" i="15"/>
  <c r="T76" i="15"/>
  <c r="U76" i="15"/>
  <c r="V76" i="15"/>
  <c r="W76" i="15"/>
  <c r="X76" i="15"/>
  <c r="Y76" i="15"/>
  <c r="Z76" i="15"/>
  <c r="AA76" i="15"/>
  <c r="AB76" i="15"/>
  <c r="AC76" i="15"/>
  <c r="AD76" i="15"/>
  <c r="AE76" i="15"/>
  <c r="AF76" i="15"/>
  <c r="AG76" i="15"/>
  <c r="AH76" i="15"/>
  <c r="AI76" i="15"/>
  <c r="L77" i="15"/>
  <c r="M77" i="15"/>
  <c r="N77" i="15"/>
  <c r="O77" i="15"/>
  <c r="P77" i="15"/>
  <c r="Q77" i="15"/>
  <c r="R77" i="15"/>
  <c r="S77" i="15"/>
  <c r="T77" i="15"/>
  <c r="U77" i="15"/>
  <c r="V77" i="15"/>
  <c r="W77" i="15"/>
  <c r="X77" i="15"/>
  <c r="Y77" i="15"/>
  <c r="Z77" i="15"/>
  <c r="AA77" i="15"/>
  <c r="AB77" i="15"/>
  <c r="AC77" i="15"/>
  <c r="AD77" i="15"/>
  <c r="AE77" i="15"/>
  <c r="AF77" i="15"/>
  <c r="AG77" i="15"/>
  <c r="AH77" i="15"/>
  <c r="AI77" i="15"/>
  <c r="AD78" i="15"/>
  <c r="AE78" i="15"/>
  <c r="AF78" i="15"/>
  <c r="AG78" i="15"/>
  <c r="AH78" i="15"/>
  <c r="AI78" i="15"/>
  <c r="L79" i="15"/>
  <c r="M79" i="15"/>
  <c r="N79" i="15"/>
  <c r="O79" i="15"/>
  <c r="P79" i="15"/>
  <c r="Q79" i="15"/>
  <c r="R79" i="15"/>
  <c r="S79" i="15"/>
  <c r="T79" i="15"/>
  <c r="U79" i="15"/>
  <c r="V79" i="15"/>
  <c r="W79" i="15"/>
  <c r="X79" i="15"/>
  <c r="Y79" i="15"/>
  <c r="Z79" i="15"/>
  <c r="AA79" i="15"/>
  <c r="AB79" i="15"/>
  <c r="AC79" i="15"/>
  <c r="AD79" i="15"/>
  <c r="AE79" i="15"/>
  <c r="AF79" i="15"/>
  <c r="AG79" i="15"/>
  <c r="AH79" i="15"/>
  <c r="AI79" i="15"/>
  <c r="AC81" i="15"/>
  <c r="AB82" i="15"/>
  <c r="AC82" i="15"/>
  <c r="AD82" i="15"/>
  <c r="AE82" i="15"/>
  <c r="AF82" i="15"/>
  <c r="AG82" i="15"/>
  <c r="AH82" i="15"/>
  <c r="AI82" i="15"/>
  <c r="AD83" i="15"/>
  <c r="AE83" i="15"/>
  <c r="AF83" i="15"/>
  <c r="AG83" i="15"/>
  <c r="AH83" i="15"/>
  <c r="AI83" i="15"/>
  <c r="AB84" i="15"/>
  <c r="AC84" i="15"/>
  <c r="AD84" i="15"/>
  <c r="AE84" i="15"/>
  <c r="AF84" i="15"/>
  <c r="AG84" i="15"/>
  <c r="AH84" i="15"/>
  <c r="AI84" i="15"/>
  <c r="T88" i="15"/>
  <c r="U88" i="15"/>
  <c r="X88" i="15"/>
  <c r="Y88" i="15"/>
  <c r="Z88" i="15"/>
  <c r="T112" i="15"/>
  <c r="U112" i="15"/>
  <c r="V112" i="15"/>
  <c r="X112" i="15"/>
  <c r="Y112" i="15"/>
  <c r="Z112" i="15"/>
  <c r="AC112" i="15"/>
  <c r="AD113" i="15"/>
  <c r="AE113" i="15"/>
  <c r="AF113" i="15"/>
  <c r="AG113" i="15"/>
  <c r="AH113" i="15"/>
  <c r="AI113" i="15"/>
  <c r="AD114" i="15"/>
  <c r="AE114" i="15"/>
  <c r="AF114" i="15"/>
  <c r="AG114" i="15"/>
  <c r="AH114" i="15"/>
  <c r="AI114" i="15"/>
  <c r="K117" i="15"/>
  <c r="L117" i="15"/>
  <c r="N117" i="15"/>
  <c r="O117" i="15"/>
  <c r="P117" i="15"/>
  <c r="Q117" i="15"/>
  <c r="R117" i="15"/>
  <c r="T117" i="15"/>
  <c r="U117" i="15"/>
  <c r="V117" i="15"/>
  <c r="X117" i="15"/>
  <c r="Y117" i="15"/>
  <c r="Z117" i="15"/>
  <c r="AC117" i="15"/>
  <c r="AD117" i="15"/>
  <c r="AE117" i="15"/>
  <c r="AF117" i="15"/>
  <c r="AG117" i="15"/>
  <c r="AH117" i="15"/>
  <c r="AI117" i="15"/>
  <c r="K119" i="15"/>
  <c r="L119" i="15"/>
  <c r="N121" i="15"/>
  <c r="O121" i="15"/>
  <c r="P121" i="15"/>
  <c r="Q121" i="15"/>
  <c r="R121" i="15"/>
  <c r="AD121" i="15"/>
  <c r="AE121" i="15"/>
  <c r="AF121" i="15"/>
  <c r="AG121" i="15"/>
  <c r="AH121" i="15"/>
  <c r="AI121" i="15"/>
  <c r="N122" i="15"/>
  <c r="O122" i="15"/>
  <c r="P122" i="15"/>
  <c r="Q122" i="15"/>
  <c r="AD122" i="15"/>
  <c r="AE122" i="15"/>
  <c r="AF122" i="15"/>
  <c r="AG122" i="15"/>
  <c r="AH122" i="15"/>
  <c r="AI122" i="15"/>
  <c r="N123" i="15"/>
  <c r="O123" i="15"/>
  <c r="P123" i="15"/>
  <c r="Q123" i="15"/>
  <c r="R123" i="15"/>
  <c r="AD123" i="15"/>
  <c r="AE123" i="15"/>
  <c r="AF123" i="15"/>
  <c r="AG123" i="15"/>
  <c r="AH123" i="15"/>
  <c r="AI123" i="15"/>
  <c r="W134" i="15"/>
  <c r="Z137" i="15"/>
  <c r="AC146" i="15"/>
  <c r="T151" i="15"/>
  <c r="U151" i="15"/>
  <c r="X151" i="15"/>
  <c r="Y151" i="15"/>
  <c r="Z151" i="15"/>
  <c r="T155" i="15"/>
  <c r="U155" i="15"/>
  <c r="X155" i="15"/>
  <c r="Y155" i="15"/>
  <c r="Z155" i="15"/>
  <c r="C180" i="15"/>
  <c r="G180" i="15"/>
  <c r="H180" i="15"/>
  <c r="I180" i="15"/>
  <c r="C181" i="15"/>
  <c r="D181" i="15"/>
  <c r="E181" i="15"/>
  <c r="G181" i="15"/>
  <c r="H181" i="15"/>
  <c r="I181" i="15"/>
  <c r="C182" i="15"/>
  <c r="D182" i="15"/>
  <c r="E182" i="15"/>
  <c r="G182" i="15"/>
  <c r="H182" i="15"/>
  <c r="I182" i="15"/>
  <c r="C184" i="15"/>
  <c r="D184" i="15"/>
  <c r="E184" i="15"/>
  <c r="G184" i="15"/>
  <c r="H184" i="15"/>
  <c r="I184" i="15"/>
  <c r="AC192" i="15"/>
  <c r="AD194" i="15"/>
  <c r="AE194" i="15"/>
  <c r="AF194" i="15"/>
  <c r="AG194" i="15"/>
  <c r="AH194" i="15"/>
  <c r="AI194" i="15"/>
  <c r="T195" i="15"/>
  <c r="U195" i="15"/>
  <c r="X195" i="15"/>
  <c r="Y195" i="15"/>
  <c r="Z195" i="15"/>
  <c r="X197" i="15"/>
  <c r="Y197" i="15"/>
  <c r="Z197" i="15"/>
  <c r="T199" i="15"/>
  <c r="U199" i="15"/>
  <c r="X199" i="15"/>
  <c r="Y199" i="15"/>
  <c r="Z199" i="15"/>
  <c r="AC199" i="15"/>
  <c r="AD199" i="15"/>
  <c r="AE199" i="15"/>
  <c r="AF199" i="15"/>
  <c r="AG199" i="15"/>
  <c r="AH199" i="15"/>
  <c r="AI199" i="15"/>
  <c r="AD201" i="15"/>
  <c r="AE201" i="15"/>
  <c r="AF201" i="15"/>
  <c r="AG201" i="15"/>
  <c r="AH201" i="15"/>
  <c r="AI201" i="15"/>
  <c r="AD202" i="15"/>
  <c r="AE202" i="15"/>
  <c r="AF202" i="15"/>
  <c r="AG202" i="15"/>
  <c r="AH202" i="15"/>
  <c r="AI202" i="15"/>
  <c r="T203" i="15"/>
  <c r="U203" i="15"/>
  <c r="X203" i="15"/>
  <c r="Y203" i="15"/>
  <c r="Z203" i="15"/>
  <c r="AC203" i="15"/>
  <c r="AD203" i="15"/>
  <c r="AE203" i="15"/>
  <c r="AF203" i="15"/>
  <c r="AG203" i="15"/>
  <c r="AH203" i="15"/>
  <c r="AI203" i="15"/>
  <c r="T206" i="15"/>
  <c r="U206" i="15"/>
  <c r="X206" i="15"/>
  <c r="Y206" i="15"/>
  <c r="Z206" i="15"/>
  <c r="AC206" i="15"/>
  <c r="AD206" i="15"/>
  <c r="AE206" i="15"/>
  <c r="AF206" i="15"/>
  <c r="AG206" i="15"/>
  <c r="AH206" i="15"/>
  <c r="AI206" i="15"/>
  <c r="T303" i="15"/>
  <c r="T304" i="15"/>
  <c r="C13" i="5"/>
  <c r="D13" i="5"/>
  <c r="E13" i="5"/>
  <c r="D18" i="5"/>
  <c r="E18" i="5"/>
  <c r="D21" i="5"/>
  <c r="E21" i="5"/>
  <c r="F21" i="5"/>
  <c r="E26" i="5"/>
  <c r="F26" i="5"/>
  <c r="C29" i="5"/>
  <c r="D29" i="5"/>
  <c r="E29" i="5"/>
  <c r="D34" i="5"/>
  <c r="E34" i="5"/>
  <c r="C45" i="5"/>
  <c r="D45" i="5"/>
  <c r="E45" i="5"/>
  <c r="D50" i="5"/>
  <c r="E50" i="5"/>
  <c r="O162" i="10"/>
  <c r="P162" i="10"/>
  <c r="Q162" i="10"/>
  <c r="R162" i="10"/>
  <c r="S162" i="10"/>
  <c r="T162" i="10"/>
  <c r="U162" i="10"/>
  <c r="V162" i="10"/>
  <c r="W162" i="10"/>
  <c r="X162" i="10"/>
  <c r="Y162" i="10"/>
  <c r="Z162" i="10"/>
  <c r="AA162" i="10"/>
  <c r="AB162" i="10"/>
  <c r="AC162" i="10"/>
  <c r="AD162" i="10"/>
  <c r="AE162" i="10"/>
  <c r="AF162" i="10"/>
  <c r="O164" i="10"/>
  <c r="P164" i="10"/>
  <c r="Q164" i="10"/>
  <c r="R164" i="10"/>
  <c r="S164" i="10"/>
  <c r="T164" i="10"/>
  <c r="U164" i="10"/>
  <c r="V164" i="10"/>
  <c r="W164" i="10"/>
  <c r="X164" i="10"/>
  <c r="Y164" i="10"/>
  <c r="Z164" i="10"/>
  <c r="AA164" i="10"/>
  <c r="AB164" i="10"/>
  <c r="AC164" i="10"/>
  <c r="AD164" i="10"/>
  <c r="AE164" i="10"/>
  <c r="O167" i="10"/>
  <c r="P167" i="10"/>
  <c r="Q167" i="10"/>
  <c r="R167" i="10"/>
  <c r="S167" i="10"/>
  <c r="T167" i="10"/>
  <c r="U167" i="10"/>
  <c r="V167" i="10"/>
  <c r="W167" i="10"/>
  <c r="X167" i="10"/>
  <c r="Y167" i="10"/>
  <c r="Z167" i="10"/>
  <c r="AA167" i="10"/>
  <c r="AB167" i="10"/>
  <c r="AC167" i="10"/>
  <c r="AD167" i="10"/>
  <c r="AE167" i="10"/>
  <c r="O168" i="10"/>
  <c r="P168" i="10"/>
  <c r="Q168" i="10"/>
  <c r="R168" i="10"/>
  <c r="S168" i="10"/>
  <c r="T168" i="10"/>
  <c r="U168" i="10"/>
  <c r="V168" i="10"/>
  <c r="W168" i="10"/>
  <c r="X168" i="10"/>
  <c r="Y168" i="10"/>
  <c r="Z168" i="10"/>
  <c r="AA168" i="10"/>
  <c r="AB168" i="10"/>
  <c r="AC168" i="10"/>
  <c r="AD168" i="10"/>
  <c r="AE168" i="10"/>
  <c r="O170" i="10"/>
  <c r="P170" i="10"/>
  <c r="Q170" i="10"/>
  <c r="R170" i="10"/>
  <c r="S170" i="10"/>
  <c r="T170" i="10"/>
  <c r="U170" i="10"/>
  <c r="V170" i="10"/>
  <c r="W170" i="10"/>
  <c r="X170" i="10"/>
  <c r="Y170" i="10"/>
  <c r="Z170" i="10"/>
  <c r="AA170" i="10"/>
  <c r="AB170" i="10"/>
  <c r="AC170" i="10"/>
  <c r="AD170" i="10"/>
  <c r="AE170" i="10"/>
  <c r="O173" i="10"/>
  <c r="P173" i="10"/>
  <c r="Q173" i="10"/>
  <c r="R173" i="10"/>
  <c r="S173" i="10"/>
  <c r="T173" i="10"/>
  <c r="U173" i="10"/>
  <c r="V173" i="10"/>
  <c r="W173" i="10"/>
  <c r="X173" i="10"/>
  <c r="Y173" i="10"/>
  <c r="Z173" i="10"/>
  <c r="AA173" i="10"/>
  <c r="AB173" i="10"/>
  <c r="AC173" i="10"/>
  <c r="AD173" i="10"/>
  <c r="AE173" i="10"/>
  <c r="O174" i="10"/>
  <c r="P174" i="10"/>
  <c r="Q174" i="10"/>
  <c r="R174" i="10"/>
  <c r="S174" i="10"/>
  <c r="T174" i="10"/>
  <c r="U174" i="10"/>
  <c r="V174" i="10"/>
  <c r="W174" i="10"/>
  <c r="X174" i="10"/>
  <c r="Y174" i="10"/>
  <c r="Z174" i="10"/>
  <c r="AA174" i="10"/>
  <c r="AB174" i="10"/>
  <c r="AC174" i="10"/>
  <c r="AD174" i="10"/>
  <c r="AE174" i="10"/>
  <c r="AF174" i="10"/>
  <c r="AH180" i="10"/>
  <c r="AI180" i="10"/>
  <c r="AJ180" i="10"/>
  <c r="AK180" i="10"/>
  <c r="AL180" i="10"/>
  <c r="AM180" i="10"/>
  <c r="AN180" i="10"/>
  <c r="AO180" i="10"/>
  <c r="AH182" i="10"/>
  <c r="AI182" i="10"/>
  <c r="AJ182" i="10"/>
  <c r="AK182" i="10"/>
  <c r="AL182" i="10"/>
  <c r="AM182" i="10"/>
  <c r="AN182" i="10"/>
  <c r="AO182" i="10"/>
  <c r="N25" i="25"/>
  <c r="O25" i="25"/>
  <c r="P25" i="25"/>
  <c r="Q25" i="25"/>
  <c r="R25" i="25"/>
  <c r="S25" i="25"/>
  <c r="T25" i="25"/>
  <c r="U25" i="25"/>
  <c r="V25" i="25"/>
  <c r="W25" i="25"/>
  <c r="X25" i="25"/>
  <c r="N26" i="25"/>
  <c r="O26" i="25"/>
  <c r="P26" i="25"/>
  <c r="Q26" i="25"/>
  <c r="R26" i="25"/>
  <c r="S26" i="25"/>
  <c r="T26" i="25"/>
  <c r="U26" i="25"/>
  <c r="V26" i="25"/>
  <c r="W26" i="25"/>
  <c r="X26" i="25"/>
  <c r="N85" i="25"/>
  <c r="O85" i="25"/>
  <c r="P85" i="25"/>
  <c r="Q85" i="25"/>
  <c r="R85" i="25"/>
  <c r="S85" i="25"/>
  <c r="T85" i="25"/>
  <c r="U85" i="25"/>
  <c r="V85" i="25"/>
  <c r="W85" i="25"/>
  <c r="X85" i="25"/>
  <c r="N86" i="25"/>
  <c r="O86" i="25"/>
  <c r="P86" i="25"/>
  <c r="Q86" i="25"/>
  <c r="R86" i="25"/>
  <c r="S86" i="25"/>
  <c r="T86" i="25"/>
  <c r="U86" i="25"/>
  <c r="V86" i="25"/>
  <c r="W86" i="25"/>
  <c r="X86" i="25"/>
  <c r="L186" i="25"/>
  <c r="M186" i="25"/>
  <c r="N186" i="25"/>
  <c r="O186" i="25"/>
  <c r="P186" i="25"/>
  <c r="Q186" i="25"/>
  <c r="L188" i="25"/>
  <c r="M188" i="25"/>
  <c r="N188" i="25"/>
  <c r="O188" i="25"/>
  <c r="P188" i="25"/>
  <c r="Q188" i="25"/>
  <c r="K371" i="25"/>
  <c r="K372" i="25"/>
  <c r="F374" i="25"/>
  <c r="G374" i="25"/>
  <c r="H374" i="25"/>
  <c r="F375" i="25"/>
  <c r="G375" i="25"/>
  <c r="H375" i="25"/>
  <c r="F376" i="25"/>
  <c r="G376" i="25"/>
  <c r="H376" i="25"/>
  <c r="K376" i="25"/>
  <c r="F378" i="25"/>
  <c r="G378" i="25"/>
  <c r="H378" i="25"/>
  <c r="K378" i="25"/>
  <c r="C386" i="25"/>
  <c r="C387" i="25"/>
  <c r="C388" i="25"/>
  <c r="C389" i="25"/>
  <c r="G391" i="25"/>
  <c r="L56" i="19"/>
  <c r="M56" i="19"/>
  <c r="AG56" i="19"/>
  <c r="L57" i="19"/>
  <c r="M57" i="19"/>
  <c r="N57" i="19"/>
  <c r="L62" i="19"/>
  <c r="L63" i="19"/>
  <c r="L65" i="19"/>
  <c r="M73" i="19"/>
  <c r="N73" i="19"/>
  <c r="O73" i="19"/>
  <c r="P73" i="19"/>
  <c r="Q73" i="19"/>
  <c r="R73" i="19"/>
  <c r="S73" i="19"/>
  <c r="T73" i="19"/>
  <c r="U73" i="19"/>
  <c r="V73" i="19"/>
  <c r="W73" i="19"/>
  <c r="X73" i="19"/>
  <c r="Y73" i="19"/>
  <c r="Z73" i="19"/>
  <c r="AA73" i="19"/>
  <c r="AB73" i="19"/>
  <c r="AC73" i="19"/>
  <c r="AD73" i="19"/>
  <c r="AE73" i="19"/>
  <c r="AF73" i="19"/>
  <c r="M75" i="19"/>
  <c r="N75" i="19"/>
  <c r="O75" i="19"/>
  <c r="P75" i="19"/>
  <c r="Q75" i="19"/>
  <c r="R75" i="19"/>
  <c r="S75" i="19"/>
  <c r="T75" i="19"/>
  <c r="U75" i="19"/>
  <c r="V75" i="19"/>
  <c r="W75" i="19"/>
  <c r="M76" i="19"/>
  <c r="N76" i="19"/>
  <c r="O76" i="19"/>
  <c r="P76" i="19"/>
  <c r="Q76" i="19"/>
  <c r="R76" i="19"/>
  <c r="S76" i="19"/>
  <c r="T76" i="19"/>
  <c r="U76" i="19"/>
  <c r="V76" i="19"/>
  <c r="W76" i="19"/>
  <c r="M77" i="19"/>
  <c r="N77" i="19"/>
  <c r="O77" i="19"/>
  <c r="P77" i="19"/>
  <c r="Q77" i="19"/>
  <c r="R77" i="19"/>
  <c r="S77" i="19"/>
  <c r="T77" i="19"/>
  <c r="U77" i="19"/>
  <c r="V77" i="19"/>
  <c r="W77" i="19"/>
  <c r="X77" i="19"/>
  <c r="Y77" i="19"/>
  <c r="Z77" i="19"/>
  <c r="AA77" i="19"/>
  <c r="AB77" i="19"/>
  <c r="AC77" i="19"/>
  <c r="AD77" i="19"/>
  <c r="AE77" i="19"/>
  <c r="AF77" i="19"/>
  <c r="L79" i="19"/>
  <c r="M79" i="19"/>
  <c r="N79" i="19"/>
  <c r="O79" i="19"/>
  <c r="P79" i="19"/>
  <c r="Q79" i="19"/>
  <c r="R79" i="19"/>
  <c r="S79" i="19"/>
  <c r="T79" i="19"/>
  <c r="U79" i="19"/>
  <c r="V79" i="19"/>
  <c r="W79" i="19"/>
  <c r="L81" i="19"/>
  <c r="M81" i="19"/>
  <c r="N81" i="19"/>
  <c r="O81" i="19"/>
  <c r="P81" i="19"/>
  <c r="Q81" i="19"/>
  <c r="R81" i="19"/>
  <c r="S81" i="19"/>
  <c r="T81" i="19"/>
  <c r="U81" i="19"/>
  <c r="V81" i="19"/>
  <c r="W81" i="19"/>
  <c r="L82" i="19"/>
  <c r="M82" i="19"/>
  <c r="N82" i="19"/>
  <c r="O82" i="19"/>
  <c r="P82" i="19"/>
  <c r="Q82" i="19"/>
  <c r="R82" i="19"/>
  <c r="S82" i="19"/>
  <c r="T82" i="19"/>
  <c r="U82" i="19"/>
  <c r="V82" i="19"/>
  <c r="W82" i="19"/>
  <c r="L85" i="19"/>
  <c r="M85" i="19"/>
  <c r="N85" i="19"/>
  <c r="O85" i="19"/>
  <c r="P85" i="19"/>
  <c r="Q85" i="19"/>
  <c r="R85" i="19"/>
  <c r="S85" i="19"/>
  <c r="T85" i="19"/>
  <c r="U85" i="19"/>
  <c r="V85" i="19"/>
  <c r="W85" i="19"/>
  <c r="L86" i="19"/>
  <c r="M86" i="19"/>
  <c r="N86" i="19"/>
  <c r="O86" i="19"/>
  <c r="P86" i="19"/>
  <c r="Q86" i="19"/>
  <c r="R86" i="19"/>
  <c r="S86" i="19"/>
  <c r="T86" i="19"/>
  <c r="U86" i="19"/>
  <c r="V86" i="19"/>
  <c r="W86" i="19"/>
  <c r="L97" i="19"/>
  <c r="L99" i="19"/>
  <c r="J136" i="19"/>
  <c r="K136" i="19"/>
  <c r="L136" i="19"/>
  <c r="M136" i="19"/>
  <c r="N136" i="19"/>
  <c r="O136" i="19"/>
  <c r="P136" i="19"/>
  <c r="Q136" i="19"/>
  <c r="R136" i="19"/>
  <c r="S136" i="19"/>
  <c r="T136" i="19"/>
  <c r="U136" i="19"/>
  <c r="V136" i="19"/>
  <c r="W136" i="19"/>
  <c r="J137" i="19"/>
  <c r="K137" i="19"/>
  <c r="L137" i="19"/>
  <c r="M137" i="19"/>
  <c r="N137" i="19"/>
  <c r="O137" i="19"/>
  <c r="P137" i="19"/>
  <c r="Q137" i="19"/>
  <c r="R137" i="19"/>
  <c r="S137" i="19"/>
  <c r="T137" i="19"/>
  <c r="U137" i="19"/>
  <c r="V137" i="19"/>
  <c r="W137" i="19"/>
  <c r="J138" i="19"/>
  <c r="K138" i="19"/>
  <c r="L138" i="19"/>
  <c r="M138" i="19"/>
  <c r="N138" i="19"/>
  <c r="O138" i="19"/>
  <c r="P138" i="19"/>
  <c r="Q138" i="19"/>
  <c r="R138" i="19"/>
  <c r="S138" i="19"/>
  <c r="T138" i="19"/>
  <c r="U138" i="19"/>
  <c r="V138" i="19"/>
  <c r="W138" i="19"/>
  <c r="J139" i="19"/>
  <c r="K139" i="19"/>
  <c r="L139" i="19"/>
  <c r="M139" i="19"/>
  <c r="N139" i="19"/>
  <c r="O139" i="19"/>
  <c r="P139" i="19"/>
  <c r="Q139" i="19"/>
  <c r="R139" i="19"/>
  <c r="S139" i="19"/>
  <c r="T139" i="19"/>
  <c r="U139" i="19"/>
  <c r="V139" i="19"/>
  <c r="W139" i="19"/>
  <c r="G140" i="19"/>
  <c r="H140" i="19"/>
  <c r="I140" i="19"/>
  <c r="J140" i="19"/>
  <c r="K140" i="19"/>
  <c r="L140" i="19"/>
  <c r="M140" i="19"/>
  <c r="N140" i="19"/>
  <c r="O140" i="19"/>
  <c r="P140" i="19"/>
  <c r="Q140" i="19"/>
  <c r="R140" i="19"/>
  <c r="S140" i="19"/>
  <c r="T140" i="19"/>
  <c r="U140" i="19"/>
  <c r="V140" i="19"/>
  <c r="W140" i="19"/>
  <c r="G141" i="19"/>
  <c r="H141" i="19"/>
  <c r="I141" i="19"/>
  <c r="J141" i="19"/>
  <c r="K141" i="19"/>
  <c r="L141" i="19"/>
  <c r="M141" i="19"/>
  <c r="N141" i="19"/>
  <c r="O141" i="19"/>
  <c r="P141" i="19"/>
  <c r="Q141" i="19"/>
  <c r="R141" i="19"/>
  <c r="S141" i="19"/>
  <c r="T141" i="19"/>
  <c r="U141" i="19"/>
  <c r="V141" i="19"/>
  <c r="W141" i="19"/>
  <c r="G143" i="19"/>
  <c r="H143" i="19"/>
  <c r="I143" i="19"/>
  <c r="J143" i="19"/>
  <c r="K143" i="19"/>
  <c r="L143" i="19"/>
  <c r="M143" i="19"/>
  <c r="N143" i="19"/>
  <c r="O143" i="19"/>
  <c r="P143" i="19"/>
  <c r="Q143" i="19"/>
  <c r="R143" i="19"/>
  <c r="S143" i="19"/>
  <c r="T143" i="19"/>
  <c r="U143" i="19"/>
  <c r="V143" i="19"/>
  <c r="W143" i="19"/>
  <c r="G146" i="19"/>
  <c r="H146" i="19"/>
  <c r="I146" i="19"/>
  <c r="J146" i="19"/>
  <c r="K146" i="19"/>
  <c r="L146" i="19"/>
  <c r="M146" i="19"/>
  <c r="N146" i="19"/>
  <c r="O146" i="19"/>
  <c r="P146" i="19"/>
  <c r="Q146" i="19"/>
  <c r="R146" i="19"/>
  <c r="S146" i="19"/>
  <c r="T146" i="19"/>
  <c r="U146" i="19"/>
  <c r="V146" i="19"/>
  <c r="W146" i="19"/>
  <c r="H147" i="19"/>
  <c r="I147" i="19"/>
  <c r="G148" i="19"/>
  <c r="H148" i="19"/>
  <c r="I148" i="19"/>
  <c r="J148" i="19"/>
  <c r="K148" i="19"/>
  <c r="L148" i="19"/>
  <c r="M148" i="19"/>
  <c r="N148" i="19"/>
  <c r="O148" i="19"/>
  <c r="P148" i="19"/>
  <c r="Q148" i="19"/>
  <c r="R148" i="19"/>
  <c r="S148" i="19"/>
  <c r="T148" i="19"/>
  <c r="U148" i="19"/>
  <c r="V148" i="19"/>
  <c r="W148" i="19"/>
  <c r="G151" i="19"/>
  <c r="H151" i="19"/>
  <c r="I151" i="19"/>
  <c r="J151" i="19"/>
  <c r="K151" i="19"/>
  <c r="L151" i="19"/>
  <c r="M151" i="19"/>
  <c r="N151" i="19"/>
  <c r="O151" i="19"/>
  <c r="P151" i="19"/>
  <c r="Q151" i="19"/>
  <c r="R151" i="19"/>
  <c r="S151" i="19"/>
  <c r="T151" i="19"/>
  <c r="U151" i="19"/>
  <c r="V151" i="19"/>
  <c r="W151" i="19"/>
  <c r="G152" i="19"/>
  <c r="H152" i="19"/>
  <c r="I152" i="19"/>
  <c r="J152" i="19"/>
  <c r="K152" i="19"/>
  <c r="L152" i="19"/>
  <c r="M152" i="19"/>
  <c r="N152" i="19"/>
  <c r="O152" i="19"/>
  <c r="P152" i="19"/>
  <c r="Q152" i="19"/>
  <c r="R152" i="19"/>
  <c r="S152" i="19"/>
  <c r="T152" i="19"/>
  <c r="U152" i="19"/>
  <c r="V152" i="19"/>
  <c r="W152" i="19"/>
  <c r="G153" i="19"/>
  <c r="H153" i="19"/>
  <c r="I153" i="19"/>
  <c r="J153" i="19"/>
  <c r="K153" i="19"/>
  <c r="L153" i="19"/>
  <c r="M153" i="19"/>
  <c r="N153" i="19"/>
  <c r="O153" i="19"/>
  <c r="P153" i="19"/>
  <c r="Q153" i="19"/>
  <c r="R153" i="19"/>
  <c r="S153" i="19"/>
  <c r="T153" i="19"/>
  <c r="U153" i="19"/>
  <c r="V153" i="19"/>
  <c r="W153" i="19"/>
  <c r="G154" i="19"/>
  <c r="H154" i="19"/>
  <c r="I154" i="19"/>
  <c r="J154" i="19"/>
  <c r="K154" i="19"/>
  <c r="L154" i="19"/>
  <c r="M154" i="19"/>
  <c r="N154" i="19"/>
  <c r="O154" i="19"/>
  <c r="P154" i="19"/>
  <c r="Q154" i="19"/>
  <c r="R154" i="19"/>
  <c r="S154" i="19"/>
  <c r="T154" i="19"/>
  <c r="U154" i="19"/>
  <c r="V154" i="19"/>
  <c r="W154" i="19"/>
  <c r="G155" i="19"/>
  <c r="H155" i="19"/>
  <c r="I155" i="19"/>
  <c r="J155" i="19"/>
  <c r="K155" i="19"/>
  <c r="L155" i="19"/>
  <c r="M155" i="19"/>
  <c r="N155" i="19"/>
  <c r="O155" i="19"/>
  <c r="P155" i="19"/>
  <c r="Q155" i="19"/>
  <c r="R155" i="19"/>
  <c r="S155" i="19"/>
  <c r="T155" i="19"/>
  <c r="U155" i="19"/>
  <c r="V155" i="19"/>
  <c r="W155" i="19"/>
  <c r="G156" i="19"/>
  <c r="H156" i="19"/>
  <c r="I156" i="19"/>
  <c r="G178" i="19"/>
  <c r="H178" i="19"/>
  <c r="I178" i="19"/>
  <c r="J178" i="19"/>
  <c r="K178" i="19"/>
  <c r="L178" i="19"/>
  <c r="M178" i="19"/>
  <c r="N178" i="19"/>
  <c r="O178" i="19"/>
  <c r="P178" i="19"/>
  <c r="Q178" i="19"/>
  <c r="R178" i="19"/>
  <c r="S178" i="19"/>
  <c r="T178" i="19"/>
  <c r="U178" i="19"/>
  <c r="V178" i="19"/>
  <c r="W178" i="19"/>
  <c r="K182" i="19"/>
  <c r="M182" i="19"/>
  <c r="N182" i="19"/>
  <c r="O182" i="19"/>
  <c r="P182" i="19"/>
  <c r="Q182" i="19"/>
  <c r="R182" i="19"/>
  <c r="S182" i="19"/>
  <c r="T182" i="19"/>
  <c r="U182" i="19"/>
  <c r="V182" i="19"/>
  <c r="W182" i="19"/>
  <c r="K183" i="19"/>
  <c r="M183" i="19"/>
  <c r="N183" i="19"/>
  <c r="O183" i="19"/>
  <c r="P183" i="19"/>
  <c r="Q183" i="19"/>
  <c r="R183" i="19"/>
  <c r="S183" i="19"/>
  <c r="T183" i="19"/>
  <c r="U183" i="19"/>
  <c r="V183" i="19"/>
  <c r="W183" i="19"/>
  <c r="AL183" i="19"/>
  <c r="AN183" i="19"/>
  <c r="K184" i="19"/>
  <c r="L184" i="19"/>
  <c r="M184" i="19"/>
  <c r="N184" i="19"/>
  <c r="O184" i="19"/>
  <c r="P184" i="19"/>
  <c r="Q184" i="19"/>
  <c r="R184" i="19"/>
  <c r="S184" i="19"/>
  <c r="T184" i="19"/>
  <c r="U184" i="19"/>
  <c r="V184" i="19"/>
  <c r="W184" i="19"/>
  <c r="AL184" i="19"/>
  <c r="AM184" i="19"/>
  <c r="AN184" i="19"/>
  <c r="J209" i="19"/>
  <c r="K209" i="19"/>
  <c r="L209" i="19"/>
  <c r="M209" i="19"/>
  <c r="N209" i="19"/>
  <c r="O209" i="19"/>
  <c r="P209" i="19"/>
  <c r="Q209" i="19"/>
  <c r="R209" i="19"/>
  <c r="S209" i="19"/>
  <c r="T209" i="19"/>
  <c r="U209" i="19"/>
  <c r="V209" i="19"/>
  <c r="W209" i="19"/>
  <c r="J211" i="19"/>
  <c r="K211" i="19"/>
  <c r="L211" i="19"/>
  <c r="M211" i="19"/>
  <c r="N211" i="19"/>
  <c r="O211" i="19"/>
  <c r="P211" i="19"/>
  <c r="Q211" i="19"/>
  <c r="R211" i="19"/>
  <c r="S211" i="19"/>
  <c r="T211" i="19"/>
  <c r="U211" i="19"/>
  <c r="V211" i="19"/>
  <c r="W211" i="19"/>
  <c r="K212" i="19"/>
  <c r="L212" i="19"/>
  <c r="M212" i="19"/>
  <c r="N212" i="19"/>
  <c r="O212" i="19"/>
  <c r="P212" i="19"/>
  <c r="Q212" i="19"/>
  <c r="R212" i="19"/>
  <c r="S212" i="19"/>
  <c r="T212" i="19"/>
  <c r="U212" i="19"/>
  <c r="V212" i="19"/>
  <c r="W212" i="19"/>
  <c r="K213" i="19"/>
  <c r="L213" i="19"/>
  <c r="M213" i="19"/>
  <c r="N213" i="19"/>
  <c r="O213" i="19"/>
  <c r="P213" i="19"/>
  <c r="Q213" i="19"/>
  <c r="R213" i="19"/>
  <c r="S213" i="19"/>
  <c r="T213" i="19"/>
  <c r="U213" i="19"/>
  <c r="V213" i="19"/>
  <c r="W213" i="19"/>
  <c r="K216" i="19"/>
  <c r="M216" i="19"/>
  <c r="N216" i="19"/>
  <c r="O216" i="19"/>
  <c r="P216" i="19"/>
  <c r="Q216" i="19"/>
  <c r="R216" i="19"/>
  <c r="S216" i="19"/>
  <c r="T216" i="19"/>
  <c r="U216" i="19"/>
  <c r="V216" i="19"/>
  <c r="W216" i="19"/>
  <c r="K217" i="19"/>
  <c r="L217" i="19"/>
  <c r="M217" i="19"/>
  <c r="N217" i="19"/>
  <c r="O217" i="19"/>
  <c r="P217" i="19"/>
  <c r="Q217" i="19"/>
  <c r="R217" i="19"/>
  <c r="S217" i="19"/>
  <c r="T217" i="19"/>
  <c r="U217" i="19"/>
  <c r="V217" i="19"/>
  <c r="W217" i="19"/>
  <c r="K218" i="19"/>
  <c r="L218" i="19"/>
  <c r="M218" i="19"/>
  <c r="N218" i="19"/>
  <c r="O218" i="19"/>
  <c r="P218" i="19"/>
  <c r="Q218" i="19"/>
  <c r="R218" i="19"/>
  <c r="S218" i="19"/>
  <c r="T218" i="19"/>
  <c r="U218" i="19"/>
  <c r="V218" i="19"/>
  <c r="W218" i="19"/>
  <c r="AK219" i="19"/>
  <c r="AK220" i="19"/>
  <c r="AK221" i="19"/>
  <c r="J222" i="19"/>
  <c r="K222" i="19"/>
  <c r="L222" i="19"/>
  <c r="M222" i="19"/>
  <c r="N222" i="19"/>
  <c r="O222" i="19"/>
  <c r="P222" i="19"/>
  <c r="Q222" i="19"/>
  <c r="R222" i="19"/>
  <c r="S222" i="19"/>
  <c r="T222" i="19"/>
  <c r="U222" i="19"/>
  <c r="V222" i="19"/>
  <c r="W222" i="19"/>
  <c r="J224" i="19"/>
  <c r="K224" i="19"/>
  <c r="L224" i="19"/>
  <c r="M224" i="19"/>
  <c r="N224" i="19"/>
  <c r="O224" i="19"/>
  <c r="P224" i="19"/>
  <c r="Q224" i="19"/>
  <c r="R224" i="19"/>
  <c r="S224" i="19"/>
  <c r="T224" i="19"/>
  <c r="U224" i="19"/>
  <c r="V224" i="19"/>
  <c r="W224" i="19"/>
  <c r="J230" i="19"/>
  <c r="K230" i="19"/>
  <c r="L230" i="19"/>
  <c r="M230" i="19"/>
  <c r="N230" i="19"/>
  <c r="O230" i="19"/>
  <c r="P230" i="19"/>
  <c r="Q230" i="19"/>
  <c r="R230" i="19"/>
  <c r="S230" i="19"/>
  <c r="T230" i="19"/>
  <c r="U230" i="19"/>
  <c r="V230" i="19"/>
  <c r="W230" i="19"/>
  <c r="AK231" i="19"/>
  <c r="N234" i="19"/>
  <c r="O234" i="19"/>
  <c r="P234" i="19"/>
  <c r="Q234" i="19"/>
  <c r="R234" i="19"/>
  <c r="S234" i="19"/>
  <c r="T234" i="19"/>
  <c r="U234" i="19"/>
  <c r="V234" i="19"/>
  <c r="W234" i="19"/>
  <c r="J236" i="19"/>
  <c r="K236" i="19"/>
  <c r="M236" i="19"/>
  <c r="N236" i="19"/>
  <c r="O236" i="19"/>
  <c r="P236" i="19"/>
  <c r="Q236" i="19"/>
  <c r="R236" i="19"/>
  <c r="S236" i="19"/>
  <c r="T236" i="19"/>
  <c r="U236" i="19"/>
  <c r="V236" i="19"/>
  <c r="W236" i="19"/>
  <c r="K237" i="19"/>
  <c r="M237" i="19"/>
  <c r="Q237" i="19"/>
  <c r="R237" i="19"/>
  <c r="S237" i="19"/>
  <c r="T237" i="19"/>
  <c r="U237" i="19"/>
  <c r="V237" i="19"/>
  <c r="W237" i="19"/>
  <c r="J238" i="19"/>
  <c r="K239" i="19"/>
  <c r="L239" i="19"/>
  <c r="M239" i="19"/>
  <c r="N239" i="19"/>
  <c r="O239" i="19"/>
  <c r="P239" i="19"/>
  <c r="Q239" i="19"/>
  <c r="R239" i="19"/>
  <c r="S239" i="19"/>
  <c r="T239" i="19"/>
  <c r="U239" i="19"/>
  <c r="V239" i="19"/>
  <c r="W239" i="19"/>
  <c r="K240" i="19"/>
  <c r="M240" i="19"/>
  <c r="Q240" i="19"/>
  <c r="R240" i="19"/>
  <c r="S240" i="19"/>
  <c r="T240" i="19"/>
  <c r="U240" i="19"/>
  <c r="V240" i="19"/>
  <c r="W240" i="19"/>
  <c r="AG240" i="19"/>
  <c r="K243" i="19"/>
  <c r="M243" i="19"/>
  <c r="N243" i="19"/>
  <c r="O243" i="19"/>
  <c r="P243" i="19"/>
  <c r="Q243" i="19"/>
  <c r="R243" i="19"/>
  <c r="S243" i="19"/>
  <c r="T243" i="19"/>
  <c r="U243" i="19"/>
  <c r="V243" i="19"/>
  <c r="W243" i="19"/>
  <c r="K244" i="19"/>
  <c r="M244" i="19"/>
  <c r="Q244" i="19"/>
  <c r="R244" i="19"/>
  <c r="S244" i="19"/>
  <c r="T244" i="19"/>
  <c r="U244" i="19"/>
  <c r="V244" i="19"/>
  <c r="W244" i="19"/>
  <c r="K246" i="19"/>
  <c r="M246" i="19"/>
  <c r="Q246" i="19"/>
  <c r="R246" i="19"/>
  <c r="S246" i="19"/>
  <c r="T246" i="19"/>
  <c r="U246" i="19"/>
  <c r="V246" i="19"/>
  <c r="W246" i="19"/>
  <c r="K248" i="19"/>
  <c r="M248" i="19"/>
  <c r="Q248" i="19"/>
  <c r="R248" i="19"/>
  <c r="S248" i="19"/>
  <c r="T248" i="19"/>
  <c r="U248" i="19"/>
  <c r="V248" i="19"/>
  <c r="W248" i="19"/>
  <c r="K249" i="19"/>
  <c r="M249" i="19"/>
  <c r="Q249" i="19"/>
  <c r="R249" i="19"/>
  <c r="S249" i="19"/>
  <c r="T249" i="19"/>
  <c r="U249" i="19"/>
  <c r="V249" i="19"/>
  <c r="W249" i="19"/>
  <c r="K250" i="19"/>
  <c r="M250" i="19"/>
  <c r="Q250" i="19"/>
  <c r="R250" i="19"/>
  <c r="S250" i="19"/>
  <c r="T250" i="19"/>
  <c r="U250" i="19"/>
  <c r="V250" i="19"/>
  <c r="W250" i="19"/>
  <c r="K253" i="19"/>
  <c r="M253" i="19"/>
  <c r="N253" i="19"/>
  <c r="O253" i="19"/>
  <c r="P253" i="19"/>
  <c r="Q253" i="19"/>
  <c r="R253" i="19"/>
  <c r="S253" i="19"/>
  <c r="T253" i="19"/>
  <c r="U253" i="19"/>
  <c r="V253" i="19"/>
  <c r="W253" i="19"/>
  <c r="K255" i="19"/>
  <c r="M255" i="19"/>
  <c r="N255" i="19"/>
  <c r="O255" i="19"/>
  <c r="P255" i="19"/>
  <c r="Q255" i="19"/>
  <c r="R255" i="19"/>
  <c r="S255" i="19"/>
  <c r="T255" i="19"/>
  <c r="U255" i="19"/>
  <c r="V255" i="19"/>
  <c r="W255" i="19"/>
  <c r="AG255" i="19"/>
  <c r="K257" i="19"/>
  <c r="M257" i="19"/>
  <c r="N257" i="19"/>
  <c r="O257" i="19"/>
  <c r="P257" i="19"/>
  <c r="Q257" i="19"/>
  <c r="R257" i="19"/>
  <c r="S257" i="19"/>
  <c r="T257" i="19"/>
  <c r="U257" i="19"/>
  <c r="V257" i="19"/>
  <c r="W257" i="19"/>
  <c r="K258" i="19"/>
  <c r="M258" i="19"/>
  <c r="N258" i="19"/>
  <c r="O258" i="19"/>
  <c r="P258" i="19"/>
  <c r="Q258" i="19"/>
  <c r="R258" i="19"/>
  <c r="S258" i="19"/>
  <c r="T258" i="19"/>
  <c r="U258" i="19"/>
  <c r="V258" i="19"/>
  <c r="W258" i="19"/>
  <c r="AG258" i="19"/>
  <c r="N263" i="19"/>
  <c r="O263" i="19"/>
  <c r="P263" i="19"/>
  <c r="Q263" i="19"/>
  <c r="R263" i="19"/>
  <c r="S263" i="19"/>
  <c r="T263" i="19"/>
  <c r="U263" i="19"/>
  <c r="V263" i="19"/>
  <c r="W263" i="19"/>
  <c r="N264" i="19"/>
  <c r="O264" i="19"/>
  <c r="P264" i="19"/>
  <c r="Q264" i="19"/>
  <c r="R264" i="19"/>
  <c r="S264" i="19"/>
  <c r="T264" i="19"/>
  <c r="U264" i="19"/>
  <c r="V264" i="19"/>
  <c r="W264" i="19"/>
  <c r="N265" i="19"/>
  <c r="O265" i="19"/>
  <c r="P265" i="19"/>
  <c r="Q265" i="19"/>
  <c r="R265" i="19"/>
  <c r="S265" i="19"/>
  <c r="T265" i="19"/>
  <c r="U265" i="19"/>
  <c r="V265" i="19"/>
  <c r="W265" i="19"/>
  <c r="N266" i="19"/>
  <c r="O266" i="19"/>
  <c r="P266" i="19"/>
  <c r="Q266" i="19"/>
  <c r="R266" i="19"/>
  <c r="S266" i="19"/>
  <c r="T266" i="19"/>
  <c r="U266" i="19"/>
  <c r="V266" i="19"/>
  <c r="W266" i="19"/>
  <c r="K272" i="19"/>
  <c r="N272" i="19"/>
  <c r="O272" i="19"/>
  <c r="P272" i="19"/>
  <c r="Q272" i="19"/>
  <c r="R272" i="19"/>
  <c r="S272" i="19"/>
  <c r="T272" i="19"/>
  <c r="U272" i="19"/>
  <c r="V272" i="19"/>
  <c r="W272" i="19"/>
  <c r="N273" i="19"/>
  <c r="O273" i="19"/>
  <c r="P273" i="19"/>
  <c r="Q273" i="19"/>
  <c r="R273" i="19"/>
  <c r="S273" i="19"/>
  <c r="T273" i="19"/>
  <c r="U273" i="19"/>
  <c r="V273" i="19"/>
  <c r="W273" i="19"/>
  <c r="K275" i="19"/>
  <c r="S275" i="19"/>
  <c r="T275" i="19"/>
  <c r="U275" i="19"/>
  <c r="V275" i="19"/>
  <c r="W275" i="19"/>
  <c r="K276" i="19"/>
  <c r="N276" i="19"/>
  <c r="O276" i="19"/>
  <c r="P276" i="19"/>
  <c r="Q276" i="19"/>
  <c r="R276" i="19"/>
  <c r="S276" i="19"/>
  <c r="T276" i="19"/>
  <c r="U276" i="19"/>
  <c r="V276" i="19"/>
  <c r="W276" i="19"/>
  <c r="K279" i="19"/>
  <c r="N279" i="19"/>
  <c r="O279" i="19"/>
  <c r="P279" i="19"/>
  <c r="Q279" i="19"/>
  <c r="R279" i="19"/>
  <c r="S279" i="19"/>
  <c r="T279" i="19"/>
  <c r="U279" i="19"/>
  <c r="V279" i="19"/>
  <c r="W279" i="19"/>
  <c r="K280" i="19"/>
  <c r="L280" i="19"/>
  <c r="N280" i="19"/>
  <c r="O280" i="19"/>
  <c r="P280" i="19"/>
  <c r="Q280" i="19"/>
  <c r="R280" i="19"/>
  <c r="S280" i="19"/>
  <c r="T280" i="19"/>
  <c r="U280" i="19"/>
  <c r="V280" i="19"/>
  <c r="W280" i="19"/>
  <c r="K282" i="19"/>
  <c r="S282" i="19"/>
  <c r="T282" i="19"/>
  <c r="U282" i="19"/>
  <c r="V282" i="19"/>
  <c r="W282" i="19"/>
  <c r="K283" i="19"/>
  <c r="N283" i="19"/>
  <c r="O283" i="19"/>
  <c r="P283" i="19"/>
  <c r="Q283" i="19"/>
  <c r="R283" i="19"/>
  <c r="S283" i="19"/>
  <c r="T283" i="19"/>
  <c r="U283" i="19"/>
  <c r="V283" i="19"/>
  <c r="W283" i="19"/>
  <c r="K285" i="19"/>
  <c r="L285" i="19"/>
  <c r="M285" i="19"/>
  <c r="P285" i="19"/>
  <c r="Q285" i="19"/>
  <c r="R285" i="19"/>
  <c r="S285" i="19"/>
  <c r="T285" i="19"/>
  <c r="U285" i="19"/>
  <c r="V285" i="19"/>
  <c r="W285" i="19"/>
  <c r="K286" i="19"/>
  <c r="L286" i="19"/>
  <c r="M286" i="19"/>
  <c r="N286" i="19"/>
  <c r="O286" i="19"/>
  <c r="P286" i="19"/>
  <c r="Q286" i="19"/>
  <c r="R286" i="19"/>
  <c r="S286" i="19"/>
  <c r="T286" i="19"/>
  <c r="U286" i="19"/>
  <c r="V286" i="19"/>
  <c r="W286" i="19"/>
  <c r="K287" i="19"/>
  <c r="L287" i="19"/>
  <c r="M287" i="19"/>
  <c r="P287" i="19"/>
  <c r="Q287" i="19"/>
  <c r="R287" i="19"/>
  <c r="S287" i="19"/>
  <c r="T287" i="19"/>
  <c r="U287" i="19"/>
  <c r="V287" i="19"/>
  <c r="W287" i="19"/>
  <c r="K289" i="19"/>
  <c r="P289" i="19"/>
  <c r="Q289" i="19"/>
  <c r="R289" i="19"/>
  <c r="S289" i="19"/>
  <c r="T289" i="19"/>
  <c r="U289" i="19"/>
  <c r="V289" i="19"/>
  <c r="W289" i="19"/>
  <c r="N290" i="19"/>
  <c r="O290" i="19"/>
  <c r="K291" i="19"/>
  <c r="P291" i="19"/>
  <c r="Q291" i="19"/>
  <c r="R291" i="19"/>
  <c r="S291" i="19"/>
  <c r="T291" i="19"/>
  <c r="U291" i="19"/>
  <c r="V291" i="19"/>
  <c r="W291" i="19"/>
  <c r="K296" i="19"/>
  <c r="P296" i="19"/>
  <c r="Q296" i="19"/>
  <c r="R296" i="19"/>
  <c r="S296" i="19"/>
  <c r="T296" i="19"/>
  <c r="U296" i="19"/>
  <c r="V296" i="19"/>
  <c r="W296" i="19"/>
  <c r="K299" i="19"/>
  <c r="P299" i="19"/>
  <c r="Q299" i="19"/>
  <c r="R299" i="19"/>
  <c r="S299" i="19"/>
  <c r="T299" i="19"/>
  <c r="U299" i="19"/>
  <c r="V299" i="19"/>
  <c r="W299" i="19"/>
  <c r="K301" i="19"/>
  <c r="P301" i="19"/>
  <c r="Q301" i="19"/>
  <c r="R301" i="19"/>
  <c r="S301" i="19"/>
  <c r="T301" i="19"/>
  <c r="U301" i="19"/>
  <c r="V301" i="19"/>
  <c r="W301" i="19"/>
  <c r="K302" i="19"/>
  <c r="L302" i="19"/>
  <c r="M302" i="19"/>
  <c r="P302" i="19"/>
  <c r="Q302" i="19"/>
  <c r="R302" i="19"/>
  <c r="S302" i="19"/>
  <c r="T302" i="19"/>
  <c r="U302" i="19"/>
  <c r="V302" i="19"/>
  <c r="W302" i="19"/>
  <c r="AG302" i="19"/>
  <c r="L303" i="19"/>
  <c r="M303" i="19"/>
  <c r="N303" i="19"/>
  <c r="K304" i="19"/>
  <c r="P304" i="19"/>
  <c r="Q304" i="19"/>
  <c r="R304" i="19"/>
  <c r="S304" i="19"/>
  <c r="T304" i="19"/>
  <c r="U304" i="19"/>
  <c r="V304" i="19"/>
  <c r="W304" i="19"/>
  <c r="K305" i="19"/>
  <c r="P305" i="19"/>
  <c r="Q305" i="19"/>
  <c r="R305" i="19"/>
  <c r="S305" i="19"/>
  <c r="T305" i="19"/>
  <c r="U305" i="19"/>
  <c r="V305" i="19"/>
  <c r="W305" i="19"/>
  <c r="S309" i="19"/>
  <c r="T309" i="19"/>
  <c r="V309" i="19"/>
  <c r="W309" i="19"/>
  <c r="S310" i="19"/>
  <c r="T310" i="19"/>
  <c r="V310" i="19"/>
  <c r="W310" i="19"/>
  <c r="K311" i="19"/>
  <c r="S311" i="19"/>
  <c r="T311" i="19"/>
  <c r="U311" i="19"/>
  <c r="V311" i="19"/>
  <c r="W311" i="19"/>
  <c r="K313" i="19"/>
  <c r="L313" i="19"/>
  <c r="M313" i="19"/>
  <c r="P313" i="19"/>
  <c r="Q313" i="19"/>
  <c r="R313" i="19"/>
  <c r="S313" i="19"/>
  <c r="T313" i="19"/>
  <c r="U313" i="19"/>
  <c r="V313" i="19"/>
  <c r="W313" i="19"/>
  <c r="K323" i="19"/>
  <c r="M323" i="19"/>
  <c r="Q323" i="19"/>
  <c r="R323" i="19"/>
  <c r="S323" i="19"/>
  <c r="T323" i="19"/>
  <c r="U323" i="19"/>
  <c r="V323" i="19"/>
  <c r="W323" i="19"/>
  <c r="K326" i="19"/>
  <c r="M326" i="19"/>
  <c r="N326" i="19"/>
  <c r="O326" i="19"/>
  <c r="P326" i="19"/>
  <c r="Q326" i="19"/>
  <c r="R326" i="19"/>
  <c r="S326" i="19"/>
  <c r="T326" i="19"/>
  <c r="U326" i="19"/>
  <c r="V326" i="19"/>
  <c r="W326" i="19"/>
  <c r="M328" i="19"/>
  <c r="N328" i="19"/>
  <c r="O328" i="19"/>
  <c r="P328" i="19"/>
  <c r="Q328" i="19"/>
  <c r="R328" i="19"/>
  <c r="S328" i="19"/>
  <c r="T328" i="19"/>
  <c r="U328" i="19"/>
  <c r="V328" i="19"/>
  <c r="W328" i="19"/>
  <c r="D329" i="19"/>
  <c r="D332" i="19"/>
  <c r="D333" i="19"/>
  <c r="D335" i="19"/>
  <c r="K338" i="19"/>
  <c r="M338" i="19"/>
  <c r="Q338" i="19"/>
  <c r="R338" i="19"/>
  <c r="S338" i="19"/>
  <c r="T338" i="19"/>
  <c r="U338" i="19"/>
  <c r="V338" i="19"/>
  <c r="W338" i="19"/>
  <c r="K339" i="19"/>
  <c r="L339" i="19"/>
  <c r="M339" i="19"/>
  <c r="N339" i="19"/>
  <c r="O339" i="19"/>
  <c r="P339" i="19"/>
  <c r="Q339" i="19"/>
  <c r="R339" i="19"/>
  <c r="S339" i="19"/>
  <c r="T339" i="19"/>
  <c r="U339" i="19"/>
  <c r="V339" i="19"/>
  <c r="W339" i="19"/>
  <c r="K340" i="19"/>
  <c r="L340" i="19"/>
  <c r="M340" i="19"/>
  <c r="N340" i="19"/>
  <c r="O340" i="19"/>
  <c r="P340" i="19"/>
  <c r="Q340" i="19"/>
  <c r="R340" i="19"/>
  <c r="S340" i="19"/>
  <c r="T340" i="19"/>
  <c r="U340" i="19"/>
  <c r="V340" i="19"/>
  <c r="W340" i="19"/>
  <c r="L413" i="19"/>
  <c r="L414" i="19"/>
  <c r="L415" i="19"/>
  <c r="L417" i="19"/>
  <c r="L418" i="19"/>
  <c r="L419" i="19"/>
  <c r="V6" i="40"/>
  <c r="V7" i="40"/>
  <c r="V13" i="40"/>
  <c r="Z15" i="40"/>
  <c r="AA15" i="40"/>
  <c r="AB15" i="40"/>
  <c r="AC15" i="40"/>
  <c r="V18" i="40"/>
  <c r="Z18" i="40"/>
  <c r="AA18" i="40"/>
  <c r="AB18" i="40"/>
  <c r="AC18" i="40"/>
  <c r="Z20" i="40"/>
  <c r="AA20" i="40"/>
  <c r="AB20" i="40"/>
  <c r="AC20" i="40"/>
  <c r="Z21" i="40"/>
  <c r="AA21" i="40"/>
  <c r="AB21" i="40"/>
  <c r="AC21" i="40"/>
  <c r="Z23" i="40"/>
  <c r="AA23" i="40"/>
  <c r="AB23" i="40"/>
  <c r="AC23" i="40"/>
  <c r="Z24" i="40"/>
  <c r="AA24" i="40"/>
  <c r="AB24" i="40"/>
  <c r="AC24" i="40"/>
  <c r="G26" i="40"/>
  <c r="G27" i="40"/>
  <c r="V27" i="40"/>
  <c r="Z28" i="40"/>
  <c r="AA28" i="40"/>
  <c r="AB28" i="40"/>
  <c r="AC28" i="40"/>
  <c r="Z29" i="40"/>
  <c r="AA29" i="40"/>
  <c r="AB29" i="40"/>
  <c r="AC29" i="40"/>
  <c r="V32" i="40"/>
  <c r="V34" i="40"/>
  <c r="F36" i="40"/>
  <c r="G36" i="40"/>
  <c r="F40" i="40"/>
  <c r="G40" i="40"/>
  <c r="V40" i="40"/>
  <c r="Z42" i="40"/>
  <c r="AA42" i="40"/>
  <c r="AB42" i="40"/>
  <c r="AC42" i="40"/>
  <c r="F43" i="40"/>
  <c r="G43" i="40"/>
  <c r="V43" i="40"/>
  <c r="Z43" i="40"/>
  <c r="AA43" i="40"/>
  <c r="AB43" i="40"/>
  <c r="AC43" i="40"/>
  <c r="Z45" i="40"/>
  <c r="AA45" i="40"/>
  <c r="AB45" i="40"/>
  <c r="AC45" i="40"/>
  <c r="Z46" i="40"/>
  <c r="AA46" i="40"/>
  <c r="AB46" i="40"/>
  <c r="AC46" i="40"/>
  <c r="Z47" i="40"/>
  <c r="AA47" i="40"/>
  <c r="AB47" i="40"/>
  <c r="AC47" i="40"/>
  <c r="F48" i="40"/>
  <c r="G48" i="40"/>
  <c r="V48" i="40"/>
  <c r="Z48" i="40"/>
  <c r="AA48" i="40"/>
  <c r="AB48" i="40"/>
  <c r="AC48" i="40"/>
  <c r="F49" i="40"/>
  <c r="G49" i="40"/>
  <c r="F51" i="40"/>
  <c r="G51" i="40"/>
  <c r="V51" i="40"/>
  <c r="Z51" i="40"/>
  <c r="AA51" i="40"/>
  <c r="AB51" i="40"/>
  <c r="AC51" i="40"/>
  <c r="U85" i="40"/>
  <c r="U86" i="40"/>
  <c r="U88" i="40"/>
  <c r="U89" i="40"/>
  <c r="U97" i="40"/>
  <c r="U98" i="40"/>
  <c r="U99" i="40"/>
  <c r="U100" i="40"/>
  <c r="U103" i="40"/>
  <c r="V103" i="40"/>
  <c r="U105" i="40"/>
  <c r="V105" i="40"/>
  <c r="U106" i="40"/>
  <c r="C4" i="36"/>
  <c r="D4" i="36"/>
  <c r="F4" i="36"/>
  <c r="G4" i="36"/>
  <c r="K4" i="36"/>
  <c r="L4" i="36"/>
  <c r="M4" i="36"/>
  <c r="N4" i="36"/>
  <c r="P4" i="36"/>
  <c r="Q4" i="36"/>
  <c r="S4" i="36"/>
  <c r="T4" i="36"/>
  <c r="V4" i="36"/>
  <c r="W4" i="36"/>
  <c r="X4" i="36"/>
  <c r="P7" i="36"/>
  <c r="Q7" i="36"/>
  <c r="P14" i="36"/>
  <c r="Q14" i="36"/>
  <c r="C16" i="36"/>
  <c r="D16" i="36"/>
  <c r="F16" i="36"/>
  <c r="G16" i="36"/>
  <c r="M16" i="36"/>
  <c r="N16" i="36"/>
  <c r="P16" i="36"/>
  <c r="Q16" i="36"/>
  <c r="S16" i="36"/>
  <c r="T16" i="36"/>
  <c r="V16" i="36"/>
  <c r="W16" i="36"/>
  <c r="X16" i="36"/>
  <c r="G18" i="36"/>
  <c r="L18" i="36"/>
  <c r="P18" i="36"/>
  <c r="Q18" i="36"/>
  <c r="C19" i="36"/>
  <c r="D19" i="36"/>
  <c r="F19" i="36"/>
  <c r="K19" i="36"/>
  <c r="P21" i="36"/>
  <c r="P23" i="36"/>
  <c r="P26" i="36"/>
  <c r="Q26" i="36"/>
  <c r="C27" i="36"/>
  <c r="D27" i="36"/>
  <c r="F27" i="36"/>
  <c r="G27" i="36"/>
  <c r="K27" i="36"/>
  <c r="L27" i="36"/>
  <c r="M27" i="36"/>
  <c r="P27" i="36"/>
  <c r="Q27" i="36"/>
  <c r="C28" i="36"/>
  <c r="D28" i="36"/>
  <c r="F28" i="36"/>
  <c r="G28" i="36"/>
  <c r="K28" i="36"/>
  <c r="L28" i="36"/>
  <c r="M28" i="36"/>
  <c r="P28" i="36"/>
  <c r="Q28" i="36"/>
  <c r="K30" i="36"/>
  <c r="M30" i="36"/>
  <c r="P30" i="36"/>
  <c r="Q30" i="36"/>
  <c r="K31" i="36"/>
  <c r="M31" i="36"/>
  <c r="P32" i="36"/>
  <c r="Q32" i="36"/>
  <c r="Z32" i="36"/>
  <c r="Z34" i="36"/>
  <c r="C39" i="36"/>
  <c r="D39" i="36"/>
  <c r="F39" i="36"/>
  <c r="G39" i="36"/>
  <c r="K39" i="36"/>
  <c r="L39" i="36"/>
  <c r="H44" i="36"/>
  <c r="I44" i="36"/>
  <c r="S44" i="36"/>
  <c r="T44" i="36"/>
  <c r="H56" i="36"/>
  <c r="I56" i="36"/>
  <c r="S56" i="36"/>
  <c r="T56" i="36"/>
  <c r="C60" i="36"/>
  <c r="D60" i="36"/>
  <c r="F60" i="36"/>
  <c r="H60" i="36"/>
  <c r="I60" i="36"/>
  <c r="K60" i="36"/>
  <c r="M60" i="36"/>
  <c r="N60" i="36"/>
  <c r="P60" i="36"/>
  <c r="W60" i="36"/>
  <c r="X60" i="36"/>
  <c r="Z60" i="36"/>
  <c r="P63" i="36"/>
  <c r="Z63" i="36"/>
  <c r="P70" i="36"/>
  <c r="Z70" i="36"/>
  <c r="C72" i="36"/>
  <c r="D72" i="36"/>
  <c r="F72" i="36"/>
  <c r="H72" i="36"/>
  <c r="I72" i="36"/>
  <c r="M72" i="36"/>
  <c r="N72" i="36"/>
  <c r="P72" i="36"/>
  <c r="V72" i="36"/>
  <c r="W72" i="36"/>
  <c r="X72" i="36"/>
  <c r="Z72" i="36"/>
  <c r="P76" i="36"/>
  <c r="Z76" i="36"/>
  <c r="P96" i="36"/>
  <c r="R96" i="36"/>
  <c r="K100" i="36"/>
  <c r="L100" i="36"/>
  <c r="M100" i="36"/>
  <c r="N100" i="36"/>
  <c r="P100" i="36"/>
  <c r="Q100" i="36"/>
  <c r="P103" i="36"/>
  <c r="Q103" i="36"/>
  <c r="P105" i="36"/>
  <c r="Q105" i="36"/>
  <c r="P110" i="36"/>
  <c r="Q110" i="36"/>
  <c r="M112" i="36"/>
  <c r="N112" i="36"/>
  <c r="P112" i="36"/>
  <c r="Q112" i="36"/>
  <c r="M113" i="36"/>
  <c r="N113" i="36"/>
  <c r="S113" i="36"/>
  <c r="T113" i="36"/>
  <c r="S114" i="36"/>
  <c r="T114" i="36"/>
  <c r="P116" i="36"/>
  <c r="Q116" i="36"/>
  <c r="S116" i="36"/>
  <c r="T116" i="36"/>
  <c r="K117" i="36"/>
  <c r="L117" i="36"/>
  <c r="P117" i="36"/>
  <c r="Q117" i="36"/>
  <c r="K119" i="36"/>
  <c r="L119" i="36"/>
  <c r="P119" i="36"/>
  <c r="Q119" i="36"/>
  <c r="K121" i="36"/>
  <c r="L121" i="36"/>
  <c r="P121" i="36"/>
  <c r="Q121" i="36"/>
  <c r="K123" i="36"/>
  <c r="L123" i="36"/>
  <c r="P123" i="36"/>
  <c r="K126" i="36"/>
  <c r="P126" i="36"/>
  <c r="K131" i="36"/>
  <c r="K132" i="36"/>
  <c r="P139" i="36"/>
  <c r="P141" i="36"/>
  <c r="P146" i="36"/>
  <c r="M148" i="36"/>
  <c r="N148" i="36"/>
  <c r="P148" i="36"/>
  <c r="M149" i="36"/>
  <c r="N149" i="36"/>
  <c r="P152" i="36"/>
  <c r="K153" i="36"/>
  <c r="M153" i="36"/>
  <c r="P153" i="36"/>
  <c r="K154" i="36"/>
  <c r="M154" i="36"/>
  <c r="P154" i="36"/>
  <c r="K155" i="36"/>
  <c r="L155" i="36"/>
  <c r="P155" i="36"/>
  <c r="Q155" i="36"/>
  <c r="P157" i="36"/>
  <c r="C163" i="36"/>
  <c r="G163" i="36"/>
  <c r="H163" i="36"/>
  <c r="I163" i="36"/>
  <c r="K163" i="36"/>
  <c r="K166" i="36"/>
  <c r="K173" i="36"/>
  <c r="C175" i="36"/>
  <c r="H175" i="36"/>
  <c r="I175" i="36"/>
  <c r="K175" i="36"/>
  <c r="C177" i="36"/>
  <c r="K177" i="36"/>
  <c r="H181" i="36"/>
  <c r="I181" i="36"/>
  <c r="K181" i="36"/>
  <c r="K184" i="36"/>
  <c r="K192" i="36"/>
  <c r="G194" i="36"/>
  <c r="H194" i="36"/>
  <c r="I194" i="36"/>
  <c r="K194" i="36"/>
  <c r="F199" i="36"/>
  <c r="G199" i="36"/>
  <c r="H199" i="36"/>
  <c r="J199" i="36"/>
  <c r="K199" i="36"/>
  <c r="J202" i="36"/>
  <c r="K202" i="36"/>
  <c r="J204" i="36"/>
  <c r="K204" i="36"/>
  <c r="J209" i="36"/>
  <c r="K209" i="36"/>
  <c r="G211" i="36"/>
  <c r="H211" i="36"/>
  <c r="J211" i="36"/>
  <c r="K211" i="36"/>
  <c r="F213" i="36"/>
  <c r="J213" i="36"/>
  <c r="K213" i="36"/>
  <c r="F215" i="36"/>
  <c r="J215" i="36"/>
  <c r="K215" i="36"/>
  <c r="K219" i="36"/>
  <c r="J222" i="36"/>
  <c r="K222" i="36"/>
  <c r="J224" i="36"/>
  <c r="K224" i="36"/>
  <c r="J229" i="36"/>
  <c r="K229" i="36"/>
  <c r="G231" i="36"/>
  <c r="H231" i="36"/>
  <c r="J231" i="36"/>
  <c r="K231" i="36"/>
  <c r="F232" i="36"/>
  <c r="J232" i="36"/>
  <c r="K232" i="36"/>
  <c r="F238" i="36"/>
  <c r="G238" i="36"/>
  <c r="C3" i="4"/>
  <c r="D3" i="4"/>
  <c r="H7" i="4"/>
  <c r="I7" i="4"/>
  <c r="J7" i="4"/>
  <c r="K7" i="4"/>
  <c r="L7" i="4"/>
  <c r="M7" i="4"/>
  <c r="N7" i="4"/>
  <c r="O7" i="4"/>
  <c r="P7" i="4"/>
  <c r="Q7" i="4"/>
  <c r="R7" i="4"/>
  <c r="S7" i="4"/>
  <c r="T7" i="4"/>
  <c r="U7" i="4"/>
  <c r="V7" i="4"/>
  <c r="W7" i="4"/>
  <c r="X7" i="4"/>
  <c r="Y7" i="4"/>
  <c r="Z7" i="4"/>
  <c r="C8" i="4"/>
  <c r="D8" i="4"/>
  <c r="H8" i="4"/>
  <c r="I8" i="4"/>
  <c r="J8" i="4"/>
  <c r="K8" i="4"/>
  <c r="L8" i="4"/>
  <c r="M8" i="4"/>
  <c r="N8" i="4"/>
  <c r="O8" i="4"/>
  <c r="P8" i="4"/>
  <c r="Q8" i="4"/>
  <c r="R8" i="4"/>
  <c r="S8" i="4"/>
  <c r="T8" i="4"/>
  <c r="U8" i="4"/>
  <c r="V8" i="4"/>
  <c r="W8" i="4"/>
  <c r="X8" i="4"/>
  <c r="Y8" i="4"/>
  <c r="Z8" i="4"/>
  <c r="P15" i="4"/>
  <c r="Q15" i="4"/>
  <c r="R15" i="4"/>
  <c r="S15" i="4"/>
  <c r="T15" i="4"/>
  <c r="U15" i="4"/>
  <c r="V15" i="4"/>
  <c r="W15" i="4"/>
  <c r="X15" i="4"/>
  <c r="Y15" i="4"/>
  <c r="Z15" i="4"/>
  <c r="P16" i="4"/>
  <c r="Q16" i="4"/>
  <c r="R16" i="4"/>
  <c r="S16" i="4"/>
  <c r="T16" i="4"/>
  <c r="U16" i="4"/>
  <c r="V16" i="4"/>
  <c r="W16" i="4"/>
  <c r="X16" i="4"/>
  <c r="Y16" i="4"/>
  <c r="Z16" i="4"/>
  <c r="P23" i="4"/>
  <c r="Q23" i="4"/>
  <c r="R23" i="4"/>
  <c r="S23" i="4"/>
  <c r="T23" i="4"/>
  <c r="U23" i="4"/>
  <c r="V23" i="4"/>
  <c r="W23" i="4"/>
  <c r="X23" i="4"/>
  <c r="Y23" i="4"/>
  <c r="Z23" i="4"/>
  <c r="P24" i="4"/>
  <c r="Q24" i="4"/>
  <c r="R24" i="4"/>
  <c r="S24" i="4"/>
  <c r="T24" i="4"/>
  <c r="U24" i="4"/>
  <c r="V24" i="4"/>
  <c r="W24" i="4"/>
  <c r="X24" i="4"/>
  <c r="Y24" i="4"/>
  <c r="Z24" i="4"/>
  <c r="P25" i="4"/>
  <c r="Q25" i="4"/>
  <c r="R25" i="4"/>
  <c r="S25" i="4"/>
  <c r="T25" i="4"/>
  <c r="U25" i="4"/>
  <c r="V25" i="4"/>
  <c r="W25" i="4"/>
  <c r="X25" i="4"/>
  <c r="Y25" i="4"/>
  <c r="Z25" i="4"/>
  <c r="P31" i="4"/>
  <c r="Q31" i="4"/>
  <c r="R31" i="4"/>
  <c r="S31" i="4"/>
  <c r="T31" i="4"/>
  <c r="U31" i="4"/>
  <c r="V31" i="4"/>
  <c r="W31" i="4"/>
  <c r="X31" i="4"/>
  <c r="Y31" i="4"/>
  <c r="Z31" i="4"/>
  <c r="P32" i="4"/>
  <c r="Q32" i="4"/>
  <c r="R32" i="4"/>
  <c r="S32" i="4"/>
  <c r="T32" i="4"/>
  <c r="U32" i="4"/>
  <c r="V32" i="4"/>
  <c r="W32" i="4"/>
  <c r="X32" i="4"/>
  <c r="Y32" i="4"/>
  <c r="Z32" i="4"/>
  <c r="P33" i="4"/>
  <c r="Q33" i="4"/>
  <c r="R33" i="4"/>
  <c r="S33" i="4"/>
  <c r="T33" i="4"/>
  <c r="U33" i="4"/>
  <c r="V33" i="4"/>
  <c r="W33" i="4"/>
  <c r="X33" i="4"/>
  <c r="Y33" i="4"/>
  <c r="Z33" i="4"/>
  <c r="P37" i="4"/>
  <c r="Q37" i="4"/>
  <c r="R37" i="4"/>
  <c r="S37" i="4"/>
  <c r="T37" i="4"/>
  <c r="U37" i="4"/>
  <c r="V37" i="4"/>
  <c r="W37" i="4"/>
  <c r="X37" i="4"/>
  <c r="Y37" i="4"/>
  <c r="Z37" i="4"/>
  <c r="P38" i="4"/>
  <c r="Q38" i="4"/>
  <c r="R38" i="4"/>
  <c r="S38" i="4"/>
  <c r="T38" i="4"/>
  <c r="U38" i="4"/>
  <c r="V38" i="4"/>
  <c r="W38" i="4"/>
  <c r="X38" i="4"/>
  <c r="Y38" i="4"/>
  <c r="Z38" i="4"/>
  <c r="AA38" i="4"/>
  <c r="AB38" i="4"/>
  <c r="AC38" i="4"/>
  <c r="O39" i="4"/>
  <c r="P39" i="4"/>
  <c r="Q39" i="4"/>
  <c r="R39" i="4"/>
  <c r="S39" i="4"/>
  <c r="T39" i="4"/>
  <c r="U39" i="4"/>
  <c r="V39" i="4"/>
  <c r="W39" i="4"/>
  <c r="X39" i="4"/>
  <c r="Y39" i="4"/>
  <c r="Z39" i="4"/>
  <c r="O40" i="4"/>
  <c r="P40" i="4"/>
  <c r="Q40" i="4"/>
  <c r="R40" i="4"/>
  <c r="S40" i="4"/>
  <c r="T40" i="4"/>
  <c r="U40" i="4"/>
  <c r="V40" i="4"/>
  <c r="W40" i="4"/>
  <c r="X40" i="4"/>
  <c r="Y40" i="4"/>
  <c r="Z40" i="4"/>
  <c r="O41" i="4"/>
  <c r="P41" i="4"/>
  <c r="Q41" i="4"/>
  <c r="R41" i="4"/>
  <c r="S41" i="4"/>
  <c r="T41" i="4"/>
  <c r="U41" i="4"/>
  <c r="V41" i="4"/>
  <c r="W41" i="4"/>
  <c r="X41" i="4"/>
  <c r="Y41" i="4"/>
  <c r="Z41" i="4"/>
  <c r="P47" i="4"/>
  <c r="T47" i="4"/>
  <c r="U47" i="4"/>
  <c r="V47" i="4"/>
  <c r="W47" i="4"/>
  <c r="X47" i="4"/>
  <c r="Y47" i="4"/>
  <c r="Z47" i="4"/>
  <c r="P48" i="4"/>
  <c r="Q48" i="4"/>
  <c r="R48" i="4"/>
  <c r="S48" i="4"/>
  <c r="T48" i="4"/>
  <c r="U48" i="4"/>
  <c r="V48" i="4"/>
  <c r="W48" i="4"/>
  <c r="X48" i="4"/>
  <c r="Y48" i="4"/>
  <c r="Z48" i="4"/>
  <c r="P49" i="4"/>
  <c r="Q49" i="4"/>
  <c r="R49" i="4"/>
  <c r="S49" i="4"/>
  <c r="T49" i="4"/>
  <c r="U49" i="4"/>
  <c r="V49" i="4"/>
  <c r="W49" i="4"/>
  <c r="X49" i="4"/>
  <c r="Y49" i="4"/>
  <c r="Z49" i="4"/>
  <c r="P53" i="4"/>
  <c r="Q53" i="4"/>
  <c r="R53" i="4"/>
  <c r="S53" i="4"/>
  <c r="T53" i="4"/>
  <c r="U53" i="4"/>
  <c r="V53" i="4"/>
  <c r="W53" i="4"/>
  <c r="X53" i="4"/>
  <c r="Y53" i="4"/>
  <c r="Z53" i="4"/>
  <c r="P54" i="4"/>
  <c r="Q54" i="4"/>
  <c r="R54" i="4"/>
  <c r="S54" i="4"/>
  <c r="T54" i="4"/>
  <c r="U54" i="4"/>
  <c r="V54" i="4"/>
  <c r="W54" i="4"/>
  <c r="X54" i="4"/>
  <c r="Y54" i="4"/>
  <c r="Z54" i="4"/>
  <c r="P60" i="4"/>
  <c r="Q60" i="4"/>
  <c r="R60" i="4"/>
  <c r="S60" i="4"/>
  <c r="T60" i="4"/>
  <c r="U60" i="4"/>
  <c r="V60" i="4"/>
  <c r="W60" i="4"/>
  <c r="X60" i="4"/>
  <c r="Y60" i="4"/>
  <c r="Z60" i="4"/>
  <c r="P61" i="4"/>
  <c r="Q61" i="4"/>
  <c r="R61" i="4"/>
  <c r="S61" i="4"/>
  <c r="T61" i="4"/>
  <c r="U61" i="4"/>
  <c r="V61" i="4"/>
  <c r="W61" i="4"/>
  <c r="X61" i="4"/>
  <c r="Y61" i="4"/>
  <c r="Z61" i="4"/>
  <c r="P62" i="4"/>
  <c r="Q62" i="4"/>
  <c r="R62" i="4"/>
  <c r="S62" i="4"/>
  <c r="T62" i="4"/>
  <c r="U62" i="4"/>
  <c r="V62" i="4"/>
  <c r="W62" i="4"/>
  <c r="X62" i="4"/>
  <c r="Y62" i="4"/>
  <c r="Z62" i="4"/>
  <c r="P66" i="4"/>
  <c r="Q66" i="4"/>
  <c r="R66" i="4"/>
  <c r="S66" i="4"/>
  <c r="T66" i="4"/>
  <c r="U66" i="4"/>
  <c r="V66" i="4"/>
  <c r="W66" i="4"/>
  <c r="X66" i="4"/>
  <c r="Y66" i="4"/>
  <c r="Z66" i="4"/>
  <c r="P67" i="4"/>
  <c r="Q67" i="4"/>
  <c r="R67" i="4"/>
  <c r="S67" i="4"/>
  <c r="T67" i="4"/>
  <c r="U67" i="4"/>
  <c r="V67" i="4"/>
  <c r="W67" i="4"/>
  <c r="X67" i="4"/>
  <c r="Y67" i="4"/>
  <c r="Z67" i="4"/>
  <c r="P69" i="4"/>
  <c r="Q69" i="4"/>
  <c r="R69" i="4"/>
  <c r="S69" i="4"/>
  <c r="T69" i="4"/>
  <c r="U69" i="4"/>
  <c r="V69" i="4"/>
  <c r="W69" i="4"/>
  <c r="X69" i="4"/>
  <c r="Y69" i="4"/>
  <c r="Z69" i="4"/>
  <c r="P70" i="4"/>
  <c r="Q70" i="4"/>
  <c r="R70" i="4"/>
  <c r="S70" i="4"/>
  <c r="T70" i="4"/>
  <c r="U70" i="4"/>
  <c r="V70" i="4"/>
  <c r="W70" i="4"/>
  <c r="X70" i="4"/>
  <c r="Y70" i="4"/>
  <c r="Z70" i="4"/>
  <c r="AA70" i="4"/>
  <c r="AB70" i="4"/>
  <c r="AC70" i="4"/>
  <c r="P71" i="4"/>
  <c r="Q71" i="4"/>
  <c r="R71" i="4"/>
  <c r="S71" i="4"/>
  <c r="T71" i="4"/>
  <c r="U71" i="4"/>
  <c r="V71" i="4"/>
  <c r="W71" i="4"/>
  <c r="X71" i="4"/>
  <c r="Y71" i="4"/>
  <c r="Z71" i="4"/>
  <c r="O77" i="4"/>
  <c r="P78" i="4"/>
  <c r="Q78" i="4"/>
  <c r="R78" i="4"/>
  <c r="S78" i="4"/>
  <c r="T78" i="4"/>
  <c r="U78" i="4"/>
  <c r="V78" i="4"/>
  <c r="W78" i="4"/>
  <c r="X78" i="4"/>
  <c r="Y78" i="4"/>
  <c r="Z78" i="4"/>
  <c r="O79" i="4"/>
  <c r="P79" i="4"/>
  <c r="Q79" i="4"/>
  <c r="R79" i="4"/>
  <c r="S79" i="4"/>
  <c r="T79" i="4"/>
  <c r="U79" i="4"/>
  <c r="V79" i="4"/>
  <c r="W79" i="4"/>
  <c r="X79" i="4"/>
  <c r="Y79" i="4"/>
  <c r="Z79" i="4"/>
  <c r="P80" i="4"/>
  <c r="Q80" i="4"/>
  <c r="R80" i="4"/>
  <c r="S80" i="4"/>
  <c r="T80" i="4"/>
  <c r="U80" i="4"/>
  <c r="V80" i="4"/>
  <c r="W80" i="4"/>
  <c r="X80" i="4"/>
  <c r="Y80" i="4"/>
  <c r="Z80" i="4"/>
  <c r="O83" i="4"/>
  <c r="P83" i="4"/>
  <c r="Q83" i="4"/>
  <c r="R83" i="4"/>
  <c r="S83" i="4"/>
  <c r="T83" i="4"/>
  <c r="U83" i="4"/>
  <c r="V83" i="4"/>
  <c r="W83" i="4"/>
  <c r="X83" i="4"/>
  <c r="Y83" i="4"/>
  <c r="Z83" i="4"/>
  <c r="O84" i="4"/>
  <c r="P84" i="4"/>
  <c r="Q84" i="4"/>
  <c r="R84" i="4"/>
  <c r="S84" i="4"/>
  <c r="T84" i="4"/>
  <c r="U84" i="4"/>
  <c r="V84" i="4"/>
  <c r="W84" i="4"/>
  <c r="X84" i="4"/>
  <c r="Y84" i="4"/>
  <c r="Z84" i="4"/>
  <c r="O89" i="4"/>
  <c r="P90" i="4"/>
  <c r="Q90" i="4"/>
  <c r="R90" i="4"/>
  <c r="S90" i="4"/>
  <c r="T90" i="4"/>
  <c r="U90" i="4"/>
  <c r="V90" i="4"/>
  <c r="W90" i="4"/>
  <c r="X90" i="4"/>
  <c r="Y90" i="4"/>
  <c r="Z90" i="4"/>
  <c r="O91" i="4"/>
  <c r="O95" i="4"/>
  <c r="P95" i="4"/>
  <c r="Q95" i="4"/>
  <c r="R95" i="4"/>
  <c r="S95" i="4"/>
  <c r="T95" i="4"/>
  <c r="U95" i="4"/>
  <c r="V95" i="4"/>
  <c r="W95" i="4"/>
  <c r="X95" i="4"/>
  <c r="Y95" i="4"/>
  <c r="Z95" i="4"/>
  <c r="O96" i="4"/>
  <c r="P96" i="4"/>
  <c r="Q96" i="4"/>
  <c r="R96" i="4"/>
  <c r="S96" i="4"/>
  <c r="T96" i="4"/>
  <c r="U96" i="4"/>
  <c r="V96" i="4"/>
  <c r="W96" i="4"/>
  <c r="X96" i="4"/>
  <c r="Y96" i="4"/>
  <c r="Z96" i="4"/>
  <c r="O101" i="4"/>
  <c r="P102" i="4"/>
  <c r="Q102" i="4"/>
  <c r="R102" i="4"/>
  <c r="S102" i="4"/>
  <c r="T102" i="4"/>
  <c r="U102" i="4"/>
  <c r="V102" i="4"/>
  <c r="W102" i="4"/>
  <c r="X102" i="4"/>
  <c r="Y102" i="4"/>
  <c r="Z102" i="4"/>
  <c r="O103" i="4"/>
  <c r="P103" i="4"/>
  <c r="Q103" i="4"/>
  <c r="R103" i="4"/>
  <c r="S103" i="4"/>
  <c r="T103" i="4"/>
  <c r="U103" i="4"/>
  <c r="V103" i="4"/>
  <c r="W103" i="4"/>
  <c r="X103" i="4"/>
  <c r="Y103" i="4"/>
  <c r="Z103" i="4"/>
  <c r="P104" i="4"/>
  <c r="Q104" i="4"/>
  <c r="R104" i="4"/>
  <c r="S104" i="4"/>
  <c r="T104" i="4"/>
  <c r="U104" i="4"/>
  <c r="V104" i="4"/>
  <c r="W104" i="4"/>
  <c r="X104" i="4"/>
  <c r="Y104" i="4"/>
  <c r="Z104" i="4"/>
  <c r="X106" i="4"/>
  <c r="O107" i="4"/>
  <c r="P107" i="4"/>
  <c r="Q107" i="4"/>
  <c r="R107" i="4"/>
  <c r="S107" i="4"/>
  <c r="T107" i="4"/>
  <c r="U107" i="4"/>
  <c r="V107" i="4"/>
  <c r="W107" i="4"/>
  <c r="X107" i="4"/>
  <c r="Y107" i="4"/>
  <c r="Z107" i="4"/>
  <c r="O109" i="4"/>
  <c r="P109" i="4"/>
  <c r="Q109" i="4"/>
  <c r="R109" i="4"/>
  <c r="S109" i="4"/>
  <c r="T109" i="4"/>
  <c r="U109" i="4"/>
  <c r="V109" i="4"/>
  <c r="W109" i="4"/>
  <c r="X109" i="4"/>
  <c r="Y109" i="4"/>
  <c r="Z109" i="4"/>
  <c r="O110" i="4"/>
  <c r="P110" i="4"/>
  <c r="Q110" i="4"/>
  <c r="R110" i="4"/>
  <c r="S110" i="4"/>
  <c r="T110" i="4"/>
  <c r="U110" i="4"/>
  <c r="V110" i="4"/>
  <c r="W110" i="4"/>
  <c r="X110" i="4"/>
  <c r="Y110" i="4"/>
  <c r="Z110" i="4"/>
  <c r="P116" i="4"/>
  <c r="Q116" i="4"/>
  <c r="R116" i="4"/>
  <c r="S116" i="4"/>
  <c r="T116" i="4"/>
  <c r="U116" i="4"/>
  <c r="V116" i="4"/>
  <c r="W116" i="4"/>
  <c r="X116" i="4"/>
  <c r="Y116" i="4"/>
  <c r="Z116" i="4"/>
  <c r="P117" i="4"/>
  <c r="Q117" i="4"/>
  <c r="R117" i="4"/>
  <c r="S117" i="4"/>
  <c r="T117" i="4"/>
  <c r="U117" i="4"/>
  <c r="V117" i="4"/>
  <c r="W117" i="4"/>
  <c r="X117" i="4"/>
  <c r="Y117" i="4"/>
  <c r="Z117" i="4"/>
  <c r="P118" i="4"/>
  <c r="Q118" i="4"/>
  <c r="R118" i="4"/>
  <c r="S118" i="4"/>
  <c r="T118" i="4"/>
  <c r="U118" i="4"/>
  <c r="V118" i="4"/>
  <c r="W118" i="4"/>
  <c r="X118" i="4"/>
  <c r="Y118" i="4"/>
  <c r="Z118" i="4"/>
  <c r="O123" i="4"/>
  <c r="O124" i="4"/>
  <c r="P124" i="4"/>
  <c r="Q124" i="4"/>
  <c r="R124" i="4"/>
  <c r="S124" i="4"/>
  <c r="T124" i="4"/>
  <c r="U124" i="4"/>
  <c r="V124" i="4"/>
  <c r="W124" i="4"/>
  <c r="X124" i="4"/>
  <c r="Y124" i="4"/>
  <c r="Z124" i="4"/>
  <c r="P125" i="4"/>
  <c r="Q125" i="4"/>
  <c r="R125" i="4"/>
  <c r="S125" i="4"/>
  <c r="T125" i="4"/>
  <c r="U125" i="4"/>
  <c r="V125" i="4"/>
  <c r="W125" i="4"/>
  <c r="X125" i="4"/>
  <c r="Y125" i="4"/>
  <c r="Z125" i="4"/>
  <c r="O126" i="4"/>
  <c r="P126" i="4"/>
  <c r="Q126" i="4"/>
  <c r="R126" i="4"/>
  <c r="S126" i="4"/>
  <c r="T126" i="4"/>
  <c r="U126" i="4"/>
  <c r="V126" i="4"/>
  <c r="W126" i="4"/>
  <c r="X126" i="4"/>
  <c r="Y126" i="4"/>
  <c r="Z126" i="4"/>
  <c r="G8" i="45"/>
  <c r="G9" i="45"/>
  <c r="G30" i="45"/>
  <c r="G37" i="45"/>
  <c r="C39" i="45"/>
  <c r="D39" i="45"/>
  <c r="E39" i="45"/>
  <c r="F39" i="45"/>
  <c r="G50" i="45"/>
  <c r="G51" i="45"/>
  <c r="G53" i="45"/>
  <c r="C55" i="45"/>
  <c r="D55" i="45"/>
  <c r="E55" i="45"/>
  <c r="F55" i="45"/>
  <c r="G55" i="45"/>
  <c r="G66" i="45"/>
  <c r="H66" i="45"/>
  <c r="G68" i="45"/>
  <c r="G79" i="45"/>
  <c r="AB151" i="45"/>
  <c r="AC151" i="45"/>
  <c r="AB153" i="45"/>
  <c r="AC153" i="45"/>
  <c r="E16" i="27"/>
  <c r="F16" i="27"/>
  <c r="G16" i="27"/>
  <c r="H16" i="27"/>
  <c r="I16" i="27"/>
  <c r="J16" i="27"/>
  <c r="K16" i="27"/>
  <c r="L16" i="27"/>
  <c r="E17" i="27"/>
  <c r="F17" i="27"/>
  <c r="G17" i="27"/>
  <c r="H17" i="27"/>
  <c r="I17" i="27"/>
  <c r="J17" i="27"/>
  <c r="K17" i="27"/>
  <c r="L17" i="27"/>
  <c r="E33" i="27"/>
  <c r="F33" i="27"/>
  <c r="G33" i="27"/>
  <c r="H33" i="27"/>
  <c r="I33" i="27"/>
  <c r="J33" i="27"/>
  <c r="K33" i="27"/>
  <c r="L33" i="27"/>
  <c r="E48" i="27"/>
  <c r="F48" i="27"/>
  <c r="G48" i="27"/>
  <c r="H48" i="27"/>
  <c r="I48" i="27"/>
  <c r="J48" i="27"/>
  <c r="K48" i="27"/>
  <c r="L48" i="27"/>
  <c r="E49" i="27"/>
  <c r="F49" i="27"/>
  <c r="G49" i="27"/>
  <c r="H49" i="27"/>
  <c r="I49" i="27"/>
  <c r="J49" i="27"/>
  <c r="K49" i="27"/>
  <c r="L49" i="27"/>
  <c r="E65" i="27"/>
  <c r="F65" i="27"/>
  <c r="G65" i="27"/>
  <c r="H65" i="27"/>
  <c r="I65" i="27"/>
  <c r="J65" i="27"/>
  <c r="K65" i="27"/>
  <c r="L65" i="27"/>
  <c r="L108" i="27"/>
  <c r="L124" i="27"/>
  <c r="L126" i="27"/>
  <c r="L139" i="27"/>
  <c r="L141" i="27"/>
  <c r="L159" i="27"/>
  <c r="L164" i="27"/>
  <c r="L168" i="27"/>
  <c r="C170" i="27"/>
  <c r="D170" i="27"/>
  <c r="E170" i="27"/>
  <c r="F170" i="27"/>
  <c r="G170" i="27"/>
  <c r="H170" i="27"/>
  <c r="I170" i="27"/>
  <c r="J170" i="27"/>
  <c r="K170" i="27"/>
  <c r="L170" i="27"/>
  <c r="L181" i="27"/>
  <c r="L184" i="27"/>
  <c r="L188" i="27"/>
  <c r="L192" i="27"/>
  <c r="L196" i="27"/>
  <c r="L197" i="27"/>
  <c r="L200" i="27"/>
  <c r="J205" i="27"/>
  <c r="K205" i="27"/>
  <c r="L205" i="27"/>
  <c r="M205" i="27"/>
  <c r="N205" i="27"/>
  <c r="O205" i="27"/>
  <c r="S205" i="27"/>
  <c r="J207" i="27"/>
  <c r="K207" i="27"/>
  <c r="L207" i="27"/>
  <c r="M207" i="27"/>
  <c r="N207" i="27"/>
  <c r="O207" i="27"/>
  <c r="S207" i="27"/>
  <c r="J210" i="27"/>
  <c r="K210" i="27"/>
  <c r="L210" i="27"/>
  <c r="M210" i="27"/>
  <c r="N210" i="27"/>
  <c r="O210" i="27"/>
  <c r="S210" i="27"/>
  <c r="J211" i="27"/>
  <c r="K211" i="27"/>
  <c r="L211" i="27"/>
  <c r="M211" i="27"/>
  <c r="N211" i="27"/>
  <c r="O211" i="27"/>
  <c r="S211" i="27"/>
  <c r="J212" i="27"/>
  <c r="K212" i="27"/>
  <c r="L212" i="27"/>
  <c r="M212" i="27"/>
  <c r="N212" i="27"/>
  <c r="V212" i="27"/>
  <c r="W212" i="27"/>
  <c r="I213" i="27"/>
  <c r="J213" i="27"/>
  <c r="K213" i="27"/>
  <c r="L213" i="27"/>
  <c r="M213" i="27"/>
  <c r="N213" i="27"/>
  <c r="S213" i="27"/>
  <c r="J214" i="27"/>
  <c r="K214" i="27"/>
  <c r="L214" i="27"/>
  <c r="M214" i="27"/>
  <c r="N214" i="27"/>
  <c r="J218" i="27"/>
  <c r="K218" i="27"/>
  <c r="L218" i="27"/>
  <c r="M218" i="27"/>
  <c r="N218" i="27"/>
  <c r="I220" i="27"/>
  <c r="J220" i="27"/>
  <c r="K220" i="27"/>
  <c r="L220" i="27"/>
  <c r="M220" i="27"/>
  <c r="N220" i="27"/>
  <c r="J223" i="27"/>
  <c r="K223" i="27"/>
  <c r="L223" i="27"/>
  <c r="M223" i="27"/>
  <c r="N223" i="27"/>
  <c r="J224" i="27"/>
  <c r="K224" i="27"/>
  <c r="L224" i="27"/>
  <c r="M224" i="27"/>
  <c r="N224" i="27"/>
  <c r="J225" i="27"/>
  <c r="K225" i="27"/>
  <c r="L225" i="27"/>
  <c r="M225" i="27"/>
  <c r="N225" i="27"/>
  <c r="J227" i="27"/>
  <c r="K227" i="27"/>
  <c r="L227" i="27"/>
  <c r="M227" i="27"/>
  <c r="N227" i="27"/>
  <c r="J228" i="27"/>
  <c r="K228" i="27"/>
  <c r="L228" i="27"/>
  <c r="M228" i="27"/>
  <c r="N228" i="27"/>
  <c r="J229" i="27"/>
  <c r="K229" i="27"/>
  <c r="L229" i="27"/>
  <c r="M229" i="27"/>
  <c r="N229" i="27"/>
  <c r="J230" i="27"/>
  <c r="K230" i="27"/>
  <c r="L230" i="27"/>
  <c r="M230" i="27"/>
  <c r="N230" i="27"/>
  <c r="J232" i="27"/>
  <c r="K232" i="27"/>
  <c r="L232" i="27"/>
  <c r="M232" i="27"/>
  <c r="N232" i="27"/>
  <c r="J233" i="27"/>
  <c r="K233" i="27"/>
  <c r="L233" i="27"/>
  <c r="M233" i="27"/>
  <c r="N233" i="27"/>
  <c r="J235" i="27"/>
  <c r="K235" i="27"/>
  <c r="L235" i="27"/>
  <c r="M235" i="27"/>
  <c r="N235" i="27"/>
  <c r="J236" i="27"/>
  <c r="K236" i="27"/>
  <c r="L236" i="27"/>
  <c r="M236" i="27"/>
  <c r="N236" i="27"/>
  <c r="J239" i="27"/>
  <c r="K239" i="27"/>
  <c r="J240" i="27"/>
  <c r="K240" i="27"/>
  <c r="J243" i="27"/>
  <c r="K243" i="27"/>
  <c r="U6" i="46"/>
  <c r="AC6" i="46"/>
  <c r="U7" i="46"/>
  <c r="AC7" i="46"/>
  <c r="U8" i="46"/>
  <c r="AA8" i="46"/>
  <c r="AC8" i="46"/>
  <c r="F9" i="46"/>
  <c r="Y9" i="46"/>
  <c r="Z9" i="46"/>
  <c r="AA9" i="46"/>
  <c r="AC9" i="46"/>
  <c r="AF9" i="46"/>
  <c r="AG9" i="46"/>
  <c r="F10" i="46"/>
  <c r="G10" i="46"/>
  <c r="AC10" i="46"/>
  <c r="F11" i="46"/>
  <c r="AC11" i="46"/>
  <c r="G13" i="46"/>
  <c r="H13" i="46"/>
  <c r="I13" i="46"/>
  <c r="J13" i="46"/>
  <c r="K13" i="46"/>
  <c r="L13" i="46"/>
  <c r="F14" i="46"/>
  <c r="G14" i="46"/>
  <c r="H14" i="46"/>
  <c r="I14" i="46"/>
  <c r="J14" i="46"/>
  <c r="K14" i="46"/>
  <c r="L14" i="46"/>
  <c r="F15" i="46"/>
  <c r="G15" i="46"/>
  <c r="H15" i="46"/>
  <c r="I15" i="46"/>
  <c r="J15" i="46"/>
  <c r="K15" i="46"/>
  <c r="L15" i="46"/>
  <c r="U15" i="46"/>
  <c r="F16" i="46"/>
  <c r="G16" i="46"/>
  <c r="H16" i="46"/>
  <c r="I16" i="46"/>
  <c r="J16" i="46"/>
  <c r="K16" i="46"/>
  <c r="L16" i="46"/>
  <c r="U17" i="46"/>
  <c r="B18" i="46"/>
  <c r="C18" i="46"/>
  <c r="U18" i="46"/>
  <c r="C19" i="46"/>
  <c r="D19" i="46"/>
  <c r="B20" i="46"/>
  <c r="C20" i="46"/>
  <c r="U20" i="46"/>
  <c r="B22" i="46"/>
  <c r="C22" i="46"/>
  <c r="F22" i="46"/>
  <c r="C23" i="46"/>
  <c r="D23" i="46"/>
  <c r="F23" i="46"/>
  <c r="G23" i="46"/>
  <c r="B24" i="46"/>
  <c r="C24" i="46"/>
  <c r="F24" i="46"/>
  <c r="B28" i="46"/>
  <c r="C28" i="46"/>
  <c r="F28" i="46"/>
  <c r="G29" i="46"/>
  <c r="H29" i="46"/>
  <c r="I29" i="46"/>
  <c r="J29" i="46"/>
  <c r="K29" i="46"/>
  <c r="L29" i="46"/>
  <c r="G30" i="46"/>
  <c r="H30" i="46"/>
  <c r="I30" i="46"/>
  <c r="J30" i="46"/>
  <c r="K30" i="46"/>
  <c r="L30" i="46"/>
  <c r="G31" i="46"/>
  <c r="H31" i="46"/>
  <c r="I31" i="46"/>
  <c r="J31" i="46"/>
  <c r="K31" i="46"/>
  <c r="L31" i="46"/>
  <c r="B33" i="46"/>
  <c r="C33" i="46"/>
  <c r="F33" i="46"/>
  <c r="G33" i="46"/>
  <c r="H33" i="46"/>
  <c r="I33" i="46"/>
  <c r="J33" i="46"/>
  <c r="K33" i="46"/>
  <c r="L33" i="46"/>
  <c r="B36" i="46"/>
  <c r="C36" i="46"/>
  <c r="F36" i="46"/>
  <c r="G36" i="46"/>
  <c r="H36" i="46"/>
  <c r="I36" i="46"/>
  <c r="J36" i="46"/>
  <c r="K36" i="46"/>
  <c r="L36" i="46"/>
  <c r="B37" i="46"/>
  <c r="C37" i="46"/>
  <c r="F37" i="46"/>
  <c r="G37" i="46"/>
  <c r="H37" i="46"/>
  <c r="I37" i="46"/>
  <c r="J37" i="46"/>
  <c r="K37" i="46"/>
  <c r="L37" i="46"/>
  <c r="G38" i="46"/>
  <c r="H38" i="46"/>
  <c r="I38" i="46"/>
  <c r="J38" i="46"/>
  <c r="K38" i="46"/>
  <c r="L38" i="46"/>
  <c r="G40" i="46"/>
  <c r="H40" i="46"/>
  <c r="I40" i="46"/>
  <c r="J40" i="46"/>
  <c r="K40" i="46"/>
  <c r="L40" i="46"/>
  <c r="G42" i="46"/>
  <c r="H42" i="46"/>
  <c r="I42" i="46"/>
  <c r="J42" i="46"/>
  <c r="K42" i="46"/>
  <c r="L42" i="46"/>
  <c r="G45" i="46"/>
  <c r="H45" i="46"/>
  <c r="I45" i="46"/>
  <c r="J45" i="46"/>
  <c r="K45" i="46"/>
  <c r="L45" i="46"/>
  <c r="F46" i="46"/>
  <c r="G46" i="46"/>
  <c r="H46" i="46"/>
  <c r="I46" i="46"/>
  <c r="J46" i="46"/>
  <c r="K46" i="46"/>
  <c r="L46" i="46"/>
  <c r="G47" i="46"/>
  <c r="H47" i="46"/>
  <c r="I47" i="46"/>
  <c r="J47" i="46"/>
  <c r="K47" i="46"/>
  <c r="L47" i="46"/>
  <c r="F48" i="46"/>
  <c r="G48" i="46"/>
  <c r="H48" i="46"/>
  <c r="I48" i="46"/>
  <c r="J48" i="46"/>
  <c r="K48" i="46"/>
  <c r="L48" i="46"/>
  <c r="B57" i="46"/>
  <c r="C57" i="46"/>
  <c r="F57" i="46"/>
  <c r="G58" i="46"/>
  <c r="H58" i="46"/>
  <c r="I58" i="46"/>
  <c r="J58" i="46"/>
  <c r="K58" i="46"/>
  <c r="L58" i="46"/>
  <c r="G59" i="46"/>
  <c r="H59" i="46"/>
  <c r="I59" i="46"/>
  <c r="J59" i="46"/>
  <c r="K59" i="46"/>
  <c r="L59" i="46"/>
  <c r="G60" i="46"/>
  <c r="H60" i="46"/>
  <c r="I60" i="46"/>
  <c r="J60" i="46"/>
  <c r="K60" i="46"/>
  <c r="L60" i="46"/>
  <c r="B62" i="46"/>
  <c r="C62" i="46"/>
  <c r="F62" i="46"/>
  <c r="G62" i="46"/>
  <c r="H62" i="46"/>
  <c r="I62" i="46"/>
  <c r="J62" i="46"/>
  <c r="K62" i="46"/>
  <c r="L62" i="46"/>
  <c r="B65" i="46"/>
  <c r="C65" i="46"/>
  <c r="F65" i="46"/>
  <c r="G65" i="46"/>
  <c r="H65" i="46"/>
  <c r="I65" i="46"/>
  <c r="J65" i="46"/>
  <c r="K65" i="46"/>
  <c r="L65" i="46"/>
  <c r="B66" i="46"/>
  <c r="C66" i="46"/>
  <c r="F66" i="46"/>
  <c r="G66" i="46"/>
  <c r="H66" i="46"/>
  <c r="I66" i="46"/>
  <c r="J66" i="46"/>
  <c r="K66" i="46"/>
  <c r="L66" i="46"/>
  <c r="G67" i="46"/>
  <c r="H67" i="46"/>
  <c r="I67" i="46"/>
  <c r="J67" i="46"/>
  <c r="K67" i="46"/>
  <c r="L67" i="46"/>
  <c r="G87" i="46"/>
  <c r="H87" i="46"/>
  <c r="I87" i="46"/>
  <c r="J87" i="46"/>
  <c r="K87" i="46"/>
  <c r="L87" i="46"/>
  <c r="G88" i="46"/>
  <c r="H88" i="46"/>
  <c r="I88" i="46"/>
  <c r="J88" i="46"/>
  <c r="K88" i="46"/>
  <c r="L88" i="46"/>
  <c r="G89" i="46"/>
  <c r="H89" i="46"/>
  <c r="I89" i="46"/>
  <c r="J89" i="46"/>
  <c r="K89" i="46"/>
  <c r="L89" i="46"/>
  <c r="G91" i="46"/>
  <c r="H91" i="46"/>
  <c r="I91" i="46"/>
  <c r="J91" i="46"/>
  <c r="K91" i="46"/>
  <c r="L91" i="46"/>
  <c r="G122" i="46"/>
  <c r="H122" i="46"/>
  <c r="I122" i="46"/>
  <c r="J122" i="46"/>
  <c r="K122" i="46"/>
  <c r="L122" i="46"/>
  <c r="G124" i="46"/>
  <c r="H124" i="46"/>
  <c r="I124" i="46"/>
  <c r="J124" i="46"/>
  <c r="K124" i="46"/>
  <c r="L124" i="46"/>
  <c r="F128" i="46"/>
  <c r="G128" i="46"/>
  <c r="H128" i="46"/>
  <c r="I128" i="46"/>
  <c r="J128" i="46"/>
  <c r="K128" i="46"/>
  <c r="L128" i="46"/>
  <c r="AI1" i="1"/>
  <c r="AK1" i="1"/>
  <c r="AA10" i="1"/>
  <c r="AA11" i="1"/>
  <c r="AA12" i="1"/>
  <c r="AA14" i="1"/>
  <c r="AA15" i="1"/>
  <c r="AB15" i="1"/>
  <c r="AA16" i="1"/>
  <c r="AA19" i="1"/>
  <c r="AB19" i="1"/>
  <c r="AC19" i="1"/>
  <c r="AD19" i="1"/>
  <c r="AE19" i="1"/>
  <c r="AF19" i="1"/>
  <c r="AG19" i="1"/>
  <c r="AA21" i="1"/>
  <c r="AB21" i="1"/>
  <c r="AC21" i="1"/>
  <c r="AD21" i="1"/>
  <c r="AE21" i="1"/>
  <c r="AF21" i="1"/>
  <c r="AG21" i="1"/>
  <c r="AB22" i="1"/>
  <c r="AC22" i="1"/>
  <c r="AD22" i="1"/>
  <c r="AE22" i="1"/>
  <c r="AF22" i="1"/>
  <c r="AG22" i="1"/>
  <c r="AB23" i="1"/>
  <c r="AC23" i="1"/>
  <c r="AD23" i="1"/>
  <c r="AE23" i="1"/>
  <c r="AF23" i="1"/>
  <c r="AG23" i="1"/>
  <c r="AA30" i="1"/>
  <c r="AB40" i="1"/>
  <c r="AC40" i="1"/>
  <c r="AD40" i="1"/>
  <c r="AE40" i="1"/>
  <c r="AF40" i="1"/>
  <c r="AG40" i="1"/>
  <c r="AA42" i="1"/>
  <c r="AB42" i="1"/>
  <c r="AC42" i="1"/>
  <c r="AD42" i="1"/>
  <c r="AE42" i="1"/>
  <c r="AF42" i="1"/>
  <c r="AG42" i="1"/>
  <c r="AB44" i="1"/>
  <c r="AC44" i="1"/>
  <c r="AD44" i="1"/>
  <c r="AE44" i="1"/>
  <c r="AF44" i="1"/>
  <c r="AG44" i="1"/>
  <c r="AB46" i="1"/>
  <c r="AC46" i="1"/>
  <c r="AD46" i="1"/>
  <c r="AE46" i="1"/>
  <c r="AF46" i="1"/>
  <c r="AG46" i="1"/>
  <c r="AA47" i="1"/>
  <c r="AB47" i="1"/>
  <c r="AC47" i="1"/>
  <c r="AD47" i="1"/>
  <c r="AE47" i="1"/>
  <c r="AF47" i="1"/>
  <c r="AG47" i="1"/>
  <c r="AA48" i="1"/>
  <c r="AB48" i="1"/>
  <c r="AC48" i="1"/>
  <c r="AD48" i="1"/>
  <c r="AE48" i="1"/>
  <c r="AF48" i="1"/>
  <c r="AG48" i="1"/>
  <c r="AA56" i="1"/>
  <c r="AB56" i="1"/>
  <c r="AC56" i="1"/>
  <c r="AD56" i="1"/>
  <c r="AE56" i="1"/>
  <c r="AF56" i="1"/>
  <c r="AG56" i="1"/>
  <c r="AA60" i="1"/>
  <c r="AB63" i="1"/>
  <c r="AC63" i="1"/>
  <c r="AD63" i="1"/>
  <c r="AE63" i="1"/>
  <c r="AF63" i="1"/>
  <c r="AG63" i="1"/>
  <c r="AB64" i="1"/>
  <c r="AC64" i="1"/>
  <c r="AD64" i="1"/>
  <c r="AE64" i="1"/>
  <c r="AF64" i="1"/>
  <c r="AG64" i="1"/>
  <c r="AB65" i="1"/>
  <c r="AC65" i="1"/>
  <c r="AD65" i="1"/>
  <c r="AE65" i="1"/>
  <c r="AF65" i="1"/>
  <c r="AG65" i="1"/>
  <c r="AA66" i="1"/>
  <c r="AB66" i="1"/>
  <c r="AC66" i="1"/>
  <c r="AD66" i="1"/>
  <c r="AE66" i="1"/>
  <c r="AF66" i="1"/>
  <c r="AG66" i="1"/>
  <c r="AA67" i="1"/>
  <c r="AB67" i="1"/>
  <c r="AC67" i="1"/>
  <c r="AD67" i="1"/>
  <c r="AE67" i="1"/>
  <c r="AF67" i="1"/>
  <c r="AG67" i="1"/>
  <c r="AA69" i="1"/>
  <c r="AB69" i="1"/>
  <c r="AC69" i="1"/>
  <c r="AD69" i="1"/>
  <c r="AE69" i="1"/>
  <c r="AF69" i="1"/>
  <c r="AG69" i="1"/>
  <c r="H70" i="1"/>
  <c r="I70" i="1"/>
  <c r="H71" i="1"/>
  <c r="I71" i="1"/>
  <c r="AA71" i="1"/>
  <c r="AB71" i="1"/>
  <c r="AC71" i="1"/>
  <c r="AD71" i="1"/>
  <c r="AE71" i="1"/>
  <c r="AF71" i="1"/>
  <c r="AG71" i="1"/>
  <c r="AA79" i="1"/>
  <c r="AB79" i="1"/>
  <c r="AC79" i="1"/>
  <c r="AD79" i="1"/>
  <c r="AE79" i="1"/>
  <c r="AF79" i="1"/>
  <c r="AG79" i="1"/>
  <c r="AB80" i="1"/>
  <c r="AC80" i="1"/>
  <c r="AD80" i="1"/>
  <c r="AE80" i="1"/>
  <c r="AF80" i="1"/>
  <c r="AG80" i="1"/>
  <c r="AB81" i="1"/>
  <c r="AC81" i="1"/>
  <c r="AD81" i="1"/>
  <c r="AE81" i="1"/>
  <c r="AF81" i="1"/>
  <c r="AG81" i="1"/>
  <c r="AA88" i="1"/>
  <c r="AB88" i="1"/>
  <c r="AC88" i="1"/>
  <c r="AD88" i="1"/>
  <c r="AE88" i="1"/>
  <c r="AF88" i="1"/>
  <c r="AG88" i="1"/>
  <c r="AA92" i="1"/>
  <c r="AB92" i="1"/>
  <c r="AC92" i="1"/>
  <c r="AD92" i="1"/>
  <c r="AE92" i="1"/>
  <c r="AF92" i="1"/>
  <c r="AG92" i="1"/>
  <c r="L95" i="1"/>
  <c r="M95" i="1"/>
  <c r="N95" i="1"/>
  <c r="O95" i="1"/>
  <c r="P95" i="1"/>
  <c r="R97" i="1"/>
  <c r="S97" i="1"/>
  <c r="V97" i="1"/>
  <c r="W97" i="1"/>
  <c r="X97" i="1"/>
  <c r="R104" i="1"/>
  <c r="S104" i="1"/>
  <c r="V104" i="1"/>
  <c r="W104" i="1"/>
  <c r="X104" i="1"/>
  <c r="AB107" i="1"/>
  <c r="AC107" i="1"/>
  <c r="AD107" i="1"/>
  <c r="AE107" i="1"/>
  <c r="AF107" i="1"/>
  <c r="AG107" i="1"/>
  <c r="I109" i="1"/>
  <c r="J109" i="1"/>
  <c r="I111" i="1"/>
  <c r="J111" i="1"/>
  <c r="L111" i="1"/>
  <c r="M111" i="1"/>
  <c r="N111" i="1"/>
  <c r="O111" i="1"/>
  <c r="P111" i="1"/>
  <c r="R111" i="1"/>
  <c r="S111" i="1"/>
  <c r="V111" i="1"/>
  <c r="W111" i="1"/>
  <c r="X111" i="1"/>
  <c r="AA111" i="1"/>
  <c r="AB111" i="1"/>
  <c r="AC111" i="1"/>
  <c r="AD111" i="1"/>
  <c r="AE111" i="1"/>
  <c r="AF111" i="1"/>
  <c r="AG111" i="1"/>
  <c r="AB121" i="1"/>
  <c r="AC121" i="1"/>
  <c r="AD121" i="1"/>
  <c r="AE121" i="1"/>
  <c r="AF121" i="1"/>
  <c r="AG121" i="1"/>
  <c r="AB122" i="1"/>
  <c r="AC122" i="1"/>
  <c r="AD122" i="1"/>
  <c r="AE122" i="1"/>
  <c r="AF122" i="1"/>
  <c r="AG122" i="1"/>
  <c r="AB127" i="1"/>
  <c r="AC127" i="1"/>
  <c r="AD127" i="1"/>
  <c r="AE127" i="1"/>
  <c r="AF127" i="1"/>
  <c r="AG127" i="1"/>
  <c r="AB129" i="1"/>
  <c r="AC129" i="1"/>
  <c r="AD129" i="1"/>
  <c r="AE129" i="1"/>
  <c r="AF129" i="1"/>
  <c r="AG129" i="1"/>
  <c r="AB131" i="1"/>
  <c r="AC131" i="1"/>
  <c r="AD131" i="1"/>
  <c r="AE131" i="1"/>
  <c r="AF131" i="1"/>
  <c r="AG131" i="1"/>
  <c r="AB134" i="1"/>
  <c r="AC134" i="1"/>
  <c r="AD134" i="1"/>
  <c r="AE134" i="1"/>
  <c r="AF134" i="1"/>
  <c r="AG134" i="1"/>
  <c r="AB135" i="1"/>
  <c r="AC135" i="1"/>
  <c r="AD135" i="1"/>
  <c r="AE135" i="1"/>
  <c r="AF135" i="1"/>
  <c r="AG135" i="1"/>
  <c r="AB136" i="1"/>
  <c r="AC136" i="1"/>
  <c r="AD136" i="1"/>
  <c r="AE136" i="1"/>
  <c r="AF136" i="1"/>
  <c r="AG136" i="1"/>
  <c r="L140" i="1"/>
  <c r="M140" i="1"/>
  <c r="N140" i="1"/>
  <c r="O140" i="1"/>
  <c r="L141" i="1"/>
  <c r="M141" i="1"/>
  <c r="N141" i="1"/>
  <c r="O141" i="1"/>
  <c r="L142" i="1"/>
  <c r="M142" i="1"/>
  <c r="N142" i="1"/>
  <c r="O142" i="1"/>
  <c r="L148" i="1"/>
  <c r="M148" i="1"/>
  <c r="N148" i="1"/>
  <c r="O148" i="1"/>
  <c r="AB148" i="1"/>
  <c r="AC148" i="1"/>
  <c r="AD148" i="1"/>
  <c r="AE148" i="1"/>
  <c r="AF148" i="1"/>
  <c r="AG148" i="1"/>
  <c r="L150" i="1"/>
  <c r="M150" i="1"/>
  <c r="N150" i="1"/>
  <c r="O150" i="1"/>
  <c r="AB150" i="1"/>
  <c r="AC150" i="1"/>
  <c r="AD150" i="1"/>
  <c r="AE150" i="1"/>
  <c r="AF150" i="1"/>
  <c r="AG150" i="1"/>
  <c r="L151" i="1"/>
  <c r="M151" i="1"/>
  <c r="N151" i="1"/>
  <c r="O151" i="1"/>
  <c r="AA151" i="1"/>
  <c r="AB151" i="1"/>
  <c r="AC151" i="1"/>
  <c r="AD151" i="1"/>
  <c r="AE151" i="1"/>
  <c r="AF151" i="1"/>
  <c r="AG151" i="1"/>
  <c r="L153" i="1"/>
  <c r="M153" i="1"/>
  <c r="N153" i="1"/>
  <c r="O153" i="1"/>
  <c r="AB153" i="1"/>
  <c r="AC153" i="1"/>
  <c r="AD153" i="1"/>
  <c r="AE153" i="1"/>
  <c r="AF153" i="1"/>
  <c r="AG153" i="1"/>
  <c r="L154" i="1"/>
  <c r="M154" i="1"/>
  <c r="N154" i="1"/>
  <c r="O154" i="1"/>
  <c r="AB154" i="1"/>
  <c r="AC154" i="1"/>
  <c r="AD154" i="1"/>
  <c r="AE154" i="1"/>
  <c r="AF154" i="1"/>
  <c r="AG154" i="1"/>
  <c r="AA162" i="1"/>
  <c r="AB162" i="1"/>
  <c r="AC162" i="1"/>
  <c r="AD162" i="1"/>
  <c r="AE162" i="1"/>
  <c r="AF162" i="1"/>
  <c r="AG162" i="1"/>
  <c r="AA163" i="1"/>
  <c r="AB163" i="1"/>
  <c r="AC163" i="1"/>
  <c r="AD163" i="1"/>
  <c r="AE163" i="1"/>
  <c r="AF163" i="1"/>
  <c r="AG163" i="1"/>
  <c r="AA165" i="1"/>
  <c r="AA169" i="1"/>
  <c r="AA171" i="1"/>
  <c r="AB171" i="1"/>
  <c r="AC171" i="1"/>
  <c r="AD171" i="1"/>
  <c r="AE171" i="1"/>
  <c r="AF171" i="1"/>
  <c r="AG171" i="1"/>
  <c r="AA173" i="1"/>
  <c r="AB173" i="1"/>
  <c r="AC173" i="1"/>
  <c r="AD173" i="1"/>
  <c r="AE173" i="1"/>
  <c r="AF173" i="1"/>
  <c r="AG173" i="1"/>
  <c r="AB176" i="1"/>
  <c r="AC176" i="1"/>
  <c r="AD176" i="1"/>
  <c r="AE176" i="1"/>
  <c r="AF176" i="1"/>
  <c r="AG176" i="1"/>
  <c r="AA178" i="1"/>
  <c r="AB178" i="1"/>
  <c r="AC178" i="1"/>
  <c r="AD178" i="1"/>
  <c r="AE178" i="1"/>
  <c r="AF178" i="1"/>
  <c r="AG178" i="1"/>
  <c r="AB181" i="1"/>
  <c r="AC181" i="1"/>
  <c r="AD181" i="1"/>
  <c r="AE181" i="1"/>
  <c r="AF181" i="1"/>
  <c r="AG181" i="1"/>
  <c r="AB183" i="1"/>
  <c r="AC183" i="1"/>
  <c r="AD183" i="1"/>
  <c r="AE183" i="1"/>
  <c r="AF183" i="1"/>
  <c r="AG183" i="1"/>
  <c r="AA186" i="1"/>
  <c r="AB186" i="1"/>
  <c r="AC186" i="1"/>
  <c r="AD186" i="1"/>
  <c r="AE186" i="1"/>
  <c r="AF186" i="1"/>
  <c r="AG186" i="1"/>
  <c r="S191" i="1"/>
  <c r="T191" i="1"/>
  <c r="U191" i="1"/>
  <c r="V191" i="1"/>
  <c r="W191" i="1"/>
  <c r="X191" i="1"/>
  <c r="Y191" i="1"/>
  <c r="Z191" i="1"/>
  <c r="S192" i="1"/>
  <c r="T192" i="1"/>
  <c r="U192" i="1"/>
  <c r="V192" i="1"/>
  <c r="W192" i="1"/>
  <c r="X192" i="1"/>
  <c r="Y192" i="1"/>
  <c r="Z192" i="1"/>
  <c r="R200" i="1"/>
  <c r="S200" i="1"/>
  <c r="T200" i="1"/>
  <c r="U200" i="1"/>
  <c r="V200" i="1"/>
  <c r="W200" i="1"/>
  <c r="X200" i="1"/>
  <c r="Y200" i="1"/>
  <c r="R202" i="1"/>
  <c r="S202" i="1"/>
  <c r="V202" i="1"/>
  <c r="W202" i="1"/>
  <c r="X202" i="1"/>
  <c r="R233" i="1"/>
  <c r="S233" i="1"/>
  <c r="T233" i="1"/>
  <c r="U233" i="1"/>
  <c r="V233" i="1"/>
  <c r="W233" i="1"/>
  <c r="X233" i="1"/>
  <c r="Y233" i="1"/>
  <c r="AB267" i="1"/>
  <c r="AC267" i="1"/>
  <c r="AD267" i="1"/>
  <c r="AE267" i="1"/>
  <c r="AF267" i="1"/>
  <c r="AG267" i="1"/>
  <c r="AB280" i="1"/>
  <c r="AC280" i="1"/>
  <c r="AD280" i="1"/>
  <c r="AE280" i="1"/>
  <c r="AF280" i="1"/>
  <c r="AG280" i="1"/>
  <c r="AA288" i="1"/>
  <c r="L338" i="1"/>
  <c r="M338" i="1"/>
  <c r="N338" i="1"/>
  <c r="O338" i="1"/>
  <c r="L339" i="1"/>
  <c r="M339" i="1"/>
  <c r="N339" i="1"/>
  <c r="O339" i="1"/>
  <c r="P339" i="1"/>
  <c r="L340" i="1"/>
  <c r="M340" i="1"/>
  <c r="N340" i="1"/>
  <c r="O340" i="1"/>
  <c r="AB343" i="1"/>
  <c r="AC343" i="1"/>
  <c r="AD343" i="1"/>
  <c r="AE343" i="1"/>
  <c r="AF343" i="1"/>
  <c r="AG343" i="1"/>
  <c r="S349" i="1"/>
  <c r="T349" i="1"/>
  <c r="U349" i="1"/>
  <c r="V349" i="1"/>
  <c r="AB349" i="1"/>
  <c r="AC349" i="1"/>
  <c r="AD349" i="1"/>
  <c r="AE349" i="1"/>
  <c r="AF349" i="1"/>
  <c r="AG349" i="1"/>
  <c r="S353" i="1"/>
  <c r="T353" i="1"/>
  <c r="U353" i="1"/>
  <c r="V353" i="1"/>
  <c r="AB355" i="1"/>
  <c r="AC355" i="1"/>
  <c r="AD355" i="1"/>
  <c r="AE355" i="1"/>
  <c r="AF355" i="1"/>
  <c r="AG355" i="1"/>
  <c r="AB356" i="1"/>
  <c r="AC356" i="1"/>
  <c r="AD356" i="1"/>
  <c r="AE356" i="1"/>
  <c r="AF356" i="1"/>
  <c r="AG356" i="1"/>
  <c r="AB357" i="1"/>
  <c r="AC357" i="1"/>
  <c r="AD357" i="1"/>
  <c r="AE357" i="1"/>
  <c r="AF357" i="1"/>
  <c r="AG357" i="1"/>
  <c r="AB360" i="1"/>
  <c r="AC360" i="1"/>
  <c r="AD360" i="1"/>
  <c r="AE360" i="1"/>
  <c r="AF360" i="1"/>
  <c r="AG360" i="1"/>
  <c r="AA361" i="1"/>
  <c r="AB361" i="1"/>
  <c r="AC361" i="1"/>
  <c r="AD361" i="1"/>
  <c r="AE361" i="1"/>
  <c r="AF361" i="1"/>
  <c r="AG361" i="1"/>
  <c r="H364" i="1"/>
  <c r="I364" i="1"/>
  <c r="D378" i="1"/>
  <c r="E378" i="1"/>
  <c r="F378" i="1"/>
  <c r="G378" i="1"/>
  <c r="H378" i="1"/>
  <c r="I378" i="1"/>
  <c r="J378" i="1"/>
  <c r="K378" i="1"/>
  <c r="L378" i="1"/>
  <c r="H386" i="1"/>
  <c r="I386" i="1"/>
  <c r="AA390" i="1"/>
  <c r="AB390" i="1"/>
  <c r="AC390" i="1"/>
  <c r="AD390" i="1"/>
  <c r="AE390" i="1"/>
  <c r="AF390" i="1"/>
  <c r="AG390" i="1"/>
  <c r="AB399" i="1"/>
  <c r="AC399" i="1"/>
  <c r="AD399" i="1"/>
  <c r="AE399" i="1"/>
  <c r="AF399" i="1"/>
  <c r="AG399" i="1"/>
  <c r="AB401" i="1"/>
  <c r="AC401" i="1"/>
  <c r="AD401" i="1"/>
  <c r="AE401" i="1"/>
  <c r="AF401" i="1"/>
  <c r="AG401" i="1"/>
  <c r="AB402" i="1"/>
  <c r="AC402" i="1"/>
  <c r="AD402" i="1"/>
  <c r="AE402" i="1"/>
  <c r="AF402" i="1"/>
  <c r="AG402" i="1"/>
  <c r="AB407" i="1"/>
  <c r="AC407" i="1"/>
  <c r="AD407" i="1"/>
  <c r="AE407" i="1"/>
  <c r="AF407" i="1"/>
  <c r="AG407" i="1"/>
  <c r="AB410" i="1"/>
  <c r="AC410" i="1"/>
  <c r="AD410" i="1"/>
  <c r="AE410" i="1"/>
  <c r="AF410" i="1"/>
  <c r="AG410" i="1"/>
  <c r="AB411" i="1"/>
  <c r="AC411" i="1"/>
  <c r="AD411" i="1"/>
  <c r="AE411" i="1"/>
  <c r="AF411" i="1"/>
  <c r="AG411" i="1"/>
  <c r="L414" i="1"/>
  <c r="M414" i="1"/>
  <c r="N414" i="1"/>
  <c r="O414" i="1"/>
  <c r="P414" i="1"/>
  <c r="AB414" i="1"/>
  <c r="AC414" i="1"/>
  <c r="AD414" i="1"/>
  <c r="AE414" i="1"/>
  <c r="AF414" i="1"/>
  <c r="AG414" i="1"/>
  <c r="L415" i="1"/>
  <c r="M415" i="1"/>
  <c r="N415" i="1"/>
  <c r="O415" i="1"/>
  <c r="P415" i="1"/>
  <c r="AB418" i="1"/>
  <c r="AC418" i="1"/>
  <c r="AD418" i="1"/>
  <c r="AE418" i="1"/>
  <c r="AF418" i="1"/>
  <c r="AG418" i="1"/>
  <c r="AB419" i="1"/>
  <c r="AC419" i="1"/>
  <c r="AD419" i="1"/>
  <c r="AE419" i="1"/>
  <c r="AF419" i="1"/>
  <c r="AG419" i="1"/>
  <c r="L421" i="1"/>
  <c r="M421" i="1"/>
  <c r="N421" i="1"/>
  <c r="O421" i="1"/>
  <c r="L422" i="1"/>
  <c r="M422" i="1"/>
  <c r="N422" i="1"/>
  <c r="O422" i="1"/>
  <c r="L424" i="1"/>
  <c r="M424" i="1"/>
  <c r="N424" i="1"/>
  <c r="O424" i="1"/>
  <c r="AB424" i="1"/>
  <c r="AC424" i="1"/>
  <c r="AD424" i="1"/>
  <c r="AE424" i="1"/>
  <c r="AF424" i="1"/>
  <c r="AG424" i="1"/>
  <c r="L425" i="1"/>
  <c r="M425" i="1"/>
  <c r="N425" i="1"/>
  <c r="O425" i="1"/>
  <c r="P425" i="1"/>
  <c r="AB425" i="1"/>
  <c r="AC425" i="1"/>
  <c r="AD425" i="1"/>
  <c r="AE425" i="1"/>
  <c r="AF425" i="1"/>
  <c r="AG425" i="1"/>
  <c r="I426" i="1"/>
  <c r="J426" i="1"/>
  <c r="L426" i="1"/>
  <c r="M426" i="1"/>
  <c r="N426" i="1"/>
  <c r="O426" i="1"/>
  <c r="P426" i="1"/>
  <c r="R426" i="1"/>
  <c r="S426" i="1"/>
  <c r="V426" i="1"/>
  <c r="W426" i="1"/>
  <c r="X426" i="1"/>
  <c r="AA426" i="1"/>
  <c r="AB426" i="1"/>
  <c r="AC426" i="1"/>
  <c r="AD426" i="1"/>
  <c r="AE426" i="1"/>
  <c r="AF426" i="1"/>
  <c r="AG426" i="1"/>
  <c r="L428" i="1"/>
  <c r="M428" i="1"/>
  <c r="N428" i="1"/>
  <c r="O428" i="1"/>
  <c r="AB428" i="1"/>
  <c r="AC428" i="1"/>
  <c r="AD428" i="1"/>
  <c r="AE428" i="1"/>
  <c r="AF428" i="1"/>
  <c r="AG428" i="1"/>
  <c r="AA429" i="1"/>
  <c r="AB429" i="1"/>
  <c r="AC429" i="1"/>
  <c r="AD429" i="1"/>
  <c r="AE429" i="1"/>
  <c r="AF429" i="1"/>
  <c r="AG429" i="1"/>
  <c r="AB431" i="1"/>
  <c r="AC431" i="1"/>
  <c r="AD431" i="1"/>
  <c r="AE431" i="1"/>
  <c r="AF431" i="1"/>
  <c r="AG431" i="1"/>
  <c r="AB432" i="1"/>
  <c r="AC432" i="1"/>
  <c r="AD432" i="1"/>
  <c r="AE432" i="1"/>
  <c r="AF432" i="1"/>
  <c r="AG432" i="1"/>
  <c r="AB435" i="1"/>
  <c r="AC435" i="1"/>
  <c r="AD435" i="1"/>
  <c r="AE435" i="1"/>
  <c r="AF435" i="1"/>
  <c r="AG435" i="1"/>
  <c r="AB436" i="1"/>
  <c r="AC436" i="1"/>
  <c r="AD436" i="1"/>
  <c r="AE436" i="1"/>
  <c r="AF436" i="1"/>
  <c r="AG436" i="1"/>
  <c r="AB437" i="1"/>
  <c r="AC437" i="1"/>
  <c r="AD437" i="1"/>
  <c r="AE437" i="1"/>
  <c r="AF437" i="1"/>
  <c r="AG437" i="1"/>
  <c r="AB438" i="1"/>
  <c r="AC438" i="1"/>
  <c r="AD438" i="1"/>
  <c r="AE438" i="1"/>
  <c r="AF438" i="1"/>
  <c r="AG438" i="1"/>
  <c r="AA440" i="1"/>
  <c r="AB440" i="1"/>
  <c r="AC440" i="1"/>
  <c r="AD440" i="1"/>
  <c r="AE440" i="1"/>
  <c r="AF440" i="1"/>
  <c r="AG440" i="1"/>
  <c r="AM513" i="1"/>
  <c r="M533" i="1"/>
  <c r="N533" i="1"/>
  <c r="J534" i="1"/>
  <c r="K534" i="1"/>
  <c r="L534" i="1"/>
  <c r="M534" i="1"/>
  <c r="N534" i="1"/>
  <c r="O534" i="1"/>
  <c r="P534" i="1"/>
  <c r="Q534" i="1"/>
  <c r="R534" i="1"/>
  <c r="S534" i="1"/>
  <c r="T534" i="1"/>
  <c r="U534" i="1"/>
  <c r="V534" i="1"/>
  <c r="W534" i="1"/>
  <c r="X534" i="1"/>
  <c r="Y534" i="1"/>
  <c r="Z534" i="1"/>
  <c r="AA534" i="1"/>
  <c r="AB534" i="1"/>
  <c r="AC534" i="1"/>
  <c r="AD534" i="1"/>
  <c r="AE534" i="1"/>
  <c r="AF534" i="1"/>
  <c r="AG534" i="1"/>
  <c r="P535" i="1"/>
  <c r="Q535" i="1"/>
  <c r="R535" i="1"/>
  <c r="S535" i="1"/>
  <c r="T535" i="1"/>
  <c r="U535" i="1"/>
  <c r="V535" i="1"/>
  <c r="W535" i="1"/>
  <c r="X535" i="1"/>
  <c r="Y535" i="1"/>
  <c r="Z535" i="1"/>
  <c r="AA535" i="1"/>
  <c r="AB535" i="1"/>
  <c r="AC535" i="1"/>
  <c r="AD535" i="1"/>
  <c r="AE535" i="1"/>
  <c r="AF535" i="1"/>
  <c r="AG535" i="1"/>
  <c r="AA557" i="1"/>
  <c r="AB557" i="1"/>
  <c r="AC557" i="1"/>
  <c r="AD557" i="1"/>
  <c r="AE557" i="1"/>
  <c r="AF557" i="1"/>
  <c r="AG557" i="1"/>
  <c r="M561" i="1"/>
  <c r="N561" i="1"/>
  <c r="J562" i="1"/>
  <c r="K562" i="1"/>
  <c r="L562" i="1"/>
  <c r="M562" i="1"/>
  <c r="N562" i="1"/>
  <c r="O562" i="1"/>
  <c r="P562" i="1"/>
  <c r="Q562" i="1"/>
  <c r="R562" i="1"/>
  <c r="S562" i="1"/>
  <c r="T562" i="1"/>
  <c r="U562" i="1"/>
  <c r="V562" i="1"/>
  <c r="W562" i="1"/>
  <c r="X562" i="1"/>
  <c r="Y562" i="1"/>
  <c r="Z562" i="1"/>
  <c r="AA562" i="1"/>
  <c r="AB562" i="1"/>
  <c r="AC562" i="1"/>
  <c r="AD562" i="1"/>
  <c r="AE562" i="1"/>
  <c r="AF562" i="1"/>
  <c r="AG562" i="1"/>
  <c r="P563" i="1"/>
  <c r="Q563" i="1"/>
  <c r="R563" i="1"/>
  <c r="S563" i="1"/>
  <c r="T563" i="1"/>
  <c r="U563" i="1"/>
  <c r="V563" i="1"/>
  <c r="W563" i="1"/>
  <c r="X563" i="1"/>
  <c r="Y563" i="1"/>
  <c r="Z563" i="1"/>
  <c r="AA563" i="1"/>
  <c r="AB563" i="1"/>
  <c r="AC563" i="1"/>
  <c r="AD563" i="1"/>
  <c r="AE563" i="1"/>
  <c r="AF563" i="1"/>
  <c r="AG563" i="1"/>
  <c r="J585" i="1"/>
  <c r="K585" i="1"/>
  <c r="L585" i="1"/>
  <c r="M585" i="1"/>
  <c r="N585" i="1"/>
  <c r="O585" i="1"/>
  <c r="AA585" i="1"/>
  <c r="AB585" i="1"/>
  <c r="AC585" i="1"/>
  <c r="AD585" i="1"/>
  <c r="AE585" i="1"/>
  <c r="AF585" i="1"/>
  <c r="AG585" i="1"/>
  <c r="M645" i="1"/>
  <c r="N645" i="1"/>
  <c r="O645" i="1"/>
  <c r="J646" i="1"/>
  <c r="K646" i="1"/>
  <c r="L646" i="1"/>
  <c r="M646" i="1"/>
  <c r="N646" i="1"/>
  <c r="O646" i="1"/>
  <c r="P646" i="1"/>
  <c r="Q646" i="1"/>
  <c r="R646" i="1"/>
  <c r="S646" i="1"/>
  <c r="T646" i="1"/>
  <c r="U646" i="1"/>
  <c r="V646" i="1"/>
  <c r="W646" i="1"/>
  <c r="X646" i="1"/>
  <c r="Y646" i="1"/>
  <c r="Z646" i="1"/>
  <c r="AA646" i="1"/>
  <c r="AB646" i="1"/>
  <c r="AC646" i="1"/>
  <c r="AD646" i="1"/>
  <c r="AE646" i="1"/>
  <c r="AF646" i="1"/>
  <c r="AG646" i="1"/>
  <c r="J647" i="1"/>
  <c r="K647" i="1"/>
  <c r="L647" i="1"/>
  <c r="M647" i="1"/>
  <c r="N647" i="1"/>
  <c r="O647" i="1"/>
  <c r="P647" i="1"/>
  <c r="Q647" i="1"/>
  <c r="R647" i="1"/>
  <c r="S647" i="1"/>
  <c r="T647" i="1"/>
  <c r="U647" i="1"/>
  <c r="V647" i="1"/>
  <c r="W647" i="1"/>
  <c r="X647" i="1"/>
  <c r="Y647" i="1"/>
  <c r="Z647" i="1"/>
  <c r="AA647" i="1"/>
  <c r="AB647" i="1"/>
  <c r="AC647" i="1"/>
  <c r="AD647" i="1"/>
  <c r="AE647" i="1"/>
  <c r="AF647" i="1"/>
  <c r="AG647" i="1"/>
  <c r="AB663" i="1"/>
  <c r="AC663" i="1"/>
  <c r="AD663" i="1"/>
  <c r="AE663" i="1"/>
  <c r="AF663" i="1"/>
  <c r="AG663" i="1"/>
  <c r="Z669" i="1"/>
  <c r="AA669" i="1"/>
  <c r="AB669" i="1"/>
  <c r="AC669" i="1"/>
  <c r="AD669" i="1"/>
  <c r="AE669" i="1"/>
  <c r="AF669" i="1"/>
  <c r="AG669" i="1"/>
  <c r="J670" i="1"/>
  <c r="K670" i="1"/>
  <c r="L670" i="1"/>
  <c r="M670" i="1"/>
  <c r="N670" i="1"/>
  <c r="O670" i="1"/>
  <c r="P670" i="1"/>
  <c r="Z670" i="1"/>
  <c r="AA670" i="1"/>
  <c r="AB670" i="1"/>
  <c r="AC670" i="1"/>
  <c r="AD670" i="1"/>
  <c r="AE670" i="1"/>
  <c r="AF670" i="1"/>
  <c r="AG670" i="1"/>
  <c r="O672" i="1"/>
  <c r="P672" i="1"/>
  <c r="Q672" i="1"/>
  <c r="R672" i="1"/>
  <c r="S672" i="1"/>
  <c r="T672" i="1"/>
  <c r="U672" i="1"/>
  <c r="V672" i="1"/>
  <c r="W672" i="1"/>
  <c r="Y672" i="1"/>
  <c r="M688" i="1"/>
  <c r="O688" i="1"/>
  <c r="M689" i="1"/>
  <c r="O689" i="1"/>
  <c r="O707" i="1"/>
  <c r="M722" i="1"/>
  <c r="M723" i="1"/>
  <c r="O723" i="1"/>
  <c r="BH9" i="38"/>
  <c r="BI9" i="38"/>
  <c r="BH10" i="38"/>
  <c r="BI10" i="38"/>
  <c r="BH12" i="38"/>
  <c r="BI12" i="38"/>
  <c r="AA13" i="38"/>
  <c r="C23" i="38"/>
  <c r="D23" i="38"/>
  <c r="F23" i="38"/>
  <c r="G23" i="38"/>
  <c r="M23" i="38"/>
  <c r="N23" i="38"/>
  <c r="Q23" i="38"/>
  <c r="R23" i="38"/>
  <c r="S23" i="38"/>
  <c r="V23" i="38"/>
  <c r="W23" i="38"/>
  <c r="X23" i="38"/>
  <c r="AA23" i="38"/>
  <c r="C27" i="38"/>
  <c r="D27" i="38"/>
  <c r="F27" i="38"/>
  <c r="G27" i="38"/>
  <c r="K27" i="38"/>
  <c r="L27" i="38"/>
  <c r="M27" i="38"/>
  <c r="N27" i="38"/>
  <c r="Q27" i="38"/>
  <c r="AK28" i="38"/>
  <c r="AL28" i="38"/>
  <c r="AM28" i="38"/>
  <c r="AN28" i="38"/>
  <c r="AO28" i="38"/>
  <c r="R29" i="38"/>
  <c r="S29" i="38"/>
  <c r="V29" i="38"/>
  <c r="W29" i="38"/>
  <c r="X29" i="38"/>
  <c r="AA29" i="38"/>
  <c r="AK29" i="38"/>
  <c r="AL29" i="38"/>
  <c r="AM29" i="38"/>
  <c r="AN29" i="38"/>
  <c r="AO29" i="38"/>
  <c r="AP29" i="38"/>
  <c r="AQ29" i="38"/>
  <c r="AR29" i="38"/>
  <c r="AS29" i="38"/>
  <c r="AT29" i="38"/>
  <c r="C30" i="38"/>
  <c r="D30" i="38"/>
  <c r="F30" i="38"/>
  <c r="G30" i="38"/>
  <c r="K30" i="38"/>
  <c r="L30" i="38"/>
  <c r="M30" i="38"/>
  <c r="N30" i="38"/>
  <c r="Q30" i="38"/>
  <c r="AT32" i="38"/>
  <c r="BH45" i="38"/>
  <c r="BI45" i="38"/>
  <c r="BH46" i="38"/>
  <c r="BI46" i="38"/>
  <c r="BH48" i="38"/>
  <c r="BI48" i="38"/>
  <c r="C60" i="38"/>
  <c r="D60" i="38"/>
  <c r="F60" i="38"/>
  <c r="G60" i="38"/>
  <c r="M60" i="38"/>
  <c r="N60" i="38"/>
  <c r="Q60" i="38"/>
  <c r="R60" i="38"/>
  <c r="S60" i="38"/>
  <c r="V60" i="38"/>
  <c r="W60" i="38"/>
  <c r="X60" i="38"/>
  <c r="AA60" i="38"/>
  <c r="C64" i="38"/>
  <c r="D64" i="38"/>
  <c r="F64" i="38"/>
  <c r="G64" i="38"/>
  <c r="K64" i="38"/>
  <c r="L64" i="38"/>
  <c r="M64" i="38"/>
  <c r="N64" i="38"/>
  <c r="Q64" i="38"/>
  <c r="R66" i="38"/>
  <c r="S66" i="38"/>
  <c r="V66" i="38"/>
  <c r="W66" i="38"/>
  <c r="X66" i="38"/>
  <c r="AA66" i="38"/>
  <c r="C67" i="38"/>
  <c r="D67" i="38"/>
  <c r="F67" i="38"/>
  <c r="G67" i="38"/>
  <c r="K67" i="38"/>
  <c r="L67" i="38"/>
  <c r="M67" i="38"/>
  <c r="N67" i="38"/>
  <c r="Q67" i="38"/>
  <c r="Q68" i="38"/>
  <c r="V68" i="38"/>
  <c r="AA68" i="38"/>
  <c r="Q69" i="38"/>
  <c r="V69" i="38"/>
  <c r="AA69" i="38"/>
  <c r="AT69" i="38"/>
  <c r="AA71" i="38"/>
  <c r="BH82" i="38"/>
  <c r="BH83" i="38"/>
  <c r="M90" i="38"/>
  <c r="N90" i="38"/>
  <c r="R90" i="38"/>
  <c r="S90" i="38"/>
  <c r="W90" i="38"/>
  <c r="X90" i="38"/>
  <c r="AA90" i="38"/>
  <c r="M94" i="38"/>
  <c r="N94" i="38"/>
  <c r="AK95" i="38"/>
  <c r="AL95" i="38"/>
  <c r="AM95" i="38"/>
  <c r="AN95" i="38"/>
  <c r="AO95" i="38"/>
  <c r="AK96" i="38"/>
  <c r="AL96" i="38"/>
  <c r="AM96" i="38"/>
  <c r="AN96" i="38"/>
  <c r="AO96" i="38"/>
  <c r="AP96" i="38"/>
  <c r="AQ96" i="38"/>
  <c r="AR96" i="38"/>
  <c r="AS96" i="38"/>
  <c r="AT96" i="38"/>
  <c r="Q97" i="38"/>
  <c r="V97" i="38"/>
  <c r="Q98" i="38"/>
  <c r="AJ98" i="38"/>
  <c r="BH109" i="38"/>
  <c r="BI109" i="38"/>
  <c r="BN109" i="38"/>
  <c r="BH110" i="38"/>
  <c r="BI110" i="38"/>
  <c r="BN110" i="38"/>
  <c r="BH112" i="38"/>
  <c r="BI112" i="38"/>
  <c r="BN112" i="38"/>
  <c r="BH129" i="38"/>
  <c r="BI129" i="38"/>
  <c r="BN129" i="38"/>
  <c r="BH132" i="38"/>
  <c r="BI132" i="38"/>
  <c r="BH134" i="38"/>
  <c r="BI134" i="38"/>
  <c r="BH143" i="38"/>
  <c r="BH185" i="38"/>
  <c r="BI185" i="38"/>
  <c r="BN185" i="38"/>
  <c r="BH186" i="38"/>
  <c r="BI186" i="38"/>
  <c r="BN186" i="38"/>
  <c r="BH188" i="38"/>
  <c r="BI188" i="38"/>
  <c r="BN188" i="38"/>
  <c r="AA189" i="38"/>
  <c r="BH196" i="38"/>
  <c r="BH206" i="38"/>
  <c r="C290" i="38"/>
  <c r="D290" i="38"/>
  <c r="F290" i="38"/>
  <c r="G290" i="38"/>
  <c r="M290" i="38"/>
  <c r="N290" i="38"/>
  <c r="Q290" i="38"/>
  <c r="R290" i="38"/>
  <c r="S290" i="38"/>
  <c r="V290" i="38"/>
  <c r="W290" i="38"/>
  <c r="X290" i="38"/>
  <c r="AA290" i="38"/>
  <c r="BI290" i="38"/>
  <c r="C294" i="38"/>
  <c r="D294" i="38"/>
  <c r="F294" i="38"/>
  <c r="G294" i="38"/>
  <c r="K294" i="38"/>
  <c r="L294" i="38"/>
  <c r="M294" i="38"/>
  <c r="N294" i="38"/>
  <c r="Q294" i="38"/>
  <c r="BI294" i="38"/>
  <c r="AK295" i="38"/>
  <c r="AL295" i="38"/>
  <c r="AM295" i="38"/>
  <c r="AN295" i="38"/>
  <c r="AO295" i="38"/>
  <c r="BI295" i="38"/>
  <c r="R296" i="38"/>
  <c r="S296" i="38"/>
  <c r="V296" i="38"/>
  <c r="W296" i="38"/>
  <c r="X296" i="38"/>
  <c r="AA296" i="38"/>
  <c r="AK296" i="38"/>
  <c r="AL296" i="38"/>
  <c r="AM296" i="38"/>
  <c r="AN296" i="38"/>
  <c r="AO296" i="38"/>
  <c r="AT296" i="38"/>
  <c r="BI296" i="38"/>
  <c r="BH308" i="38"/>
  <c r="BI308" i="38"/>
  <c r="C316" i="38"/>
  <c r="D316" i="38"/>
  <c r="F316" i="38"/>
  <c r="G316" i="38"/>
  <c r="M316" i="38"/>
  <c r="N316" i="38"/>
  <c r="Q316" i="38"/>
  <c r="R316" i="38"/>
  <c r="S316" i="38"/>
  <c r="V316" i="38"/>
  <c r="W316" i="38"/>
  <c r="X316" i="38"/>
  <c r="AA316" i="38"/>
  <c r="AC316" i="38"/>
  <c r="C320" i="38"/>
  <c r="D320" i="38"/>
  <c r="F320" i="38"/>
  <c r="G320" i="38"/>
  <c r="K320" i="38"/>
  <c r="L320" i="38"/>
  <c r="M320" i="38"/>
  <c r="N320" i="38"/>
  <c r="Q320" i="38"/>
  <c r="R322" i="38"/>
  <c r="S322" i="38"/>
  <c r="V322" i="38"/>
  <c r="W322" i="38"/>
  <c r="X322" i="38"/>
  <c r="AA322" i="38"/>
  <c r="BG348" i="38"/>
  <c r="BH348" i="38"/>
  <c r="CX358" i="38"/>
  <c r="CX360" i="38"/>
  <c r="CX364" i="38"/>
  <c r="H365" i="38"/>
  <c r="I365" i="38"/>
  <c r="K365" i="38"/>
  <c r="M365" i="38"/>
  <c r="N365" i="38"/>
  <c r="H369" i="38"/>
  <c r="I369" i="38"/>
  <c r="K369" i="38"/>
  <c r="M369" i="38"/>
  <c r="N369" i="38"/>
  <c r="P369" i="38"/>
  <c r="R371" i="38"/>
  <c r="S371" i="38"/>
  <c r="H373" i="38"/>
  <c r="I373" i="38"/>
  <c r="K373" i="38"/>
  <c r="M373" i="38"/>
  <c r="N373" i="38"/>
  <c r="P373" i="38"/>
  <c r="R373" i="38"/>
  <c r="S373" i="38"/>
  <c r="K379" i="38"/>
  <c r="M379" i="38"/>
  <c r="N379" i="38"/>
  <c r="P379" i="38"/>
  <c r="R379" i="38"/>
  <c r="S379" i="38"/>
  <c r="M392" i="38"/>
  <c r="N392" i="38"/>
  <c r="R392" i="38"/>
  <c r="S392" i="38"/>
  <c r="W392" i="38"/>
  <c r="X392" i="38"/>
  <c r="AC392" i="38"/>
  <c r="K396" i="38"/>
  <c r="L396" i="38"/>
  <c r="M396" i="38"/>
  <c r="N396" i="38"/>
  <c r="R398" i="38"/>
  <c r="S398" i="38"/>
  <c r="W398" i="38"/>
  <c r="X398" i="38"/>
  <c r="K399" i="38"/>
  <c r="L399" i="38"/>
  <c r="M399" i="38"/>
  <c r="N399" i="38"/>
  <c r="R399" i="38"/>
  <c r="S399" i="38"/>
  <c r="W399" i="38"/>
  <c r="X399" i="38"/>
  <c r="AC399" i="38"/>
  <c r="K401" i="38"/>
  <c r="L401" i="38"/>
  <c r="M401" i="38"/>
  <c r="N401" i="38"/>
  <c r="R401" i="38"/>
  <c r="S401" i="38"/>
  <c r="W401" i="38"/>
  <c r="X401" i="38"/>
  <c r="AC401" i="38"/>
  <c r="BM442" i="38"/>
  <c r="BN442" i="38"/>
  <c r="BM455" i="38"/>
  <c r="BN455" i="38"/>
  <c r="BM457" i="38"/>
  <c r="BN457" i="38"/>
  <c r="BM460" i="38"/>
  <c r="BN460" i="38"/>
  <c r="BM462" i="38"/>
  <c r="BN462" i="38"/>
  <c r="BM467" i="38"/>
  <c r="BN467" i="38"/>
  <c r="AJ469" i="38"/>
  <c r="BM469" i="38"/>
  <c r="BN469" i="38"/>
  <c r="AJ471" i="38"/>
  <c r="BM473" i="38"/>
  <c r="BN473" i="38"/>
  <c r="BM476" i="38"/>
  <c r="BN476" i="38"/>
  <c r="BQ482" i="38"/>
  <c r="BM483" i="38"/>
  <c r="BN483" i="38"/>
  <c r="BM484" i="38"/>
  <c r="BN484" i="38"/>
  <c r="BQ488" i="38"/>
  <c r="BQ490" i="38"/>
  <c r="BN497" i="38"/>
  <c r="BM507" i="38"/>
  <c r="BN507" i="38"/>
  <c r="BM538" i="38"/>
  <c r="BN538" i="38"/>
  <c r="BM539" i="38"/>
  <c r="BN539" i="38"/>
  <c r="BM541" i="38"/>
  <c r="BN541" i="38"/>
  <c r="BM566" i="38"/>
  <c r="BG570" i="38"/>
  <c r="BH570" i="38"/>
  <c r="BI570" i="38"/>
  <c r="BN570" i="38"/>
  <c r="Q661" i="38"/>
  <c r="V661" i="38"/>
  <c r="V1" i="37"/>
  <c r="W1" i="37"/>
  <c r="H16" i="37"/>
  <c r="H17" i="37"/>
  <c r="D25" i="37"/>
  <c r="F25" i="37"/>
  <c r="G25" i="37"/>
  <c r="H25" i="37"/>
  <c r="D29" i="37"/>
  <c r="E29" i="37"/>
  <c r="F29" i="37"/>
  <c r="J30" i="37"/>
  <c r="G31" i="37"/>
  <c r="H31" i="37"/>
  <c r="J31" i="37"/>
  <c r="K31" i="37"/>
  <c r="D32" i="37"/>
  <c r="E32" i="37"/>
  <c r="F32" i="37"/>
  <c r="K34" i="37"/>
  <c r="D67" i="37"/>
  <c r="F67" i="37"/>
  <c r="G67" i="37"/>
  <c r="H67" i="37"/>
  <c r="D71" i="37"/>
  <c r="E71" i="37"/>
  <c r="F71" i="37"/>
  <c r="G73" i="37"/>
  <c r="H73" i="37"/>
  <c r="D74" i="37"/>
  <c r="E74" i="37"/>
  <c r="F74" i="37"/>
  <c r="F75" i="37"/>
  <c r="G75" i="37"/>
  <c r="H75" i="37"/>
  <c r="F76" i="37"/>
  <c r="G76" i="37"/>
  <c r="H76" i="37"/>
  <c r="K76" i="37"/>
  <c r="H77" i="37"/>
  <c r="H78" i="37"/>
  <c r="I78" i="37"/>
  <c r="H97" i="37"/>
  <c r="D105" i="37"/>
  <c r="F105" i="37"/>
  <c r="G105" i="37"/>
  <c r="H105" i="37"/>
  <c r="D109" i="37"/>
  <c r="E109" i="37"/>
  <c r="F109" i="37"/>
  <c r="J110" i="37"/>
  <c r="G111" i="37"/>
  <c r="H111" i="37"/>
  <c r="J111" i="37"/>
  <c r="K111" i="37"/>
  <c r="D112" i="37"/>
  <c r="E112" i="37"/>
  <c r="F112" i="37"/>
  <c r="F113" i="37"/>
  <c r="G113" i="37"/>
  <c r="H113" i="37"/>
  <c r="F114" i="37"/>
  <c r="G114" i="37"/>
  <c r="H114" i="37"/>
  <c r="K114" i="37"/>
  <c r="H115" i="37"/>
  <c r="H116" i="37"/>
  <c r="I116" i="37"/>
  <c r="H117" i="37"/>
  <c r="D173" i="37"/>
  <c r="F173" i="37"/>
  <c r="G173" i="37"/>
  <c r="H173" i="37"/>
  <c r="N173" i="37"/>
  <c r="D177" i="37"/>
  <c r="E177" i="37"/>
  <c r="F177" i="37"/>
  <c r="N177" i="37"/>
  <c r="J178" i="37"/>
  <c r="N178" i="37"/>
  <c r="G179" i="37"/>
  <c r="H179" i="37"/>
  <c r="J179" i="37"/>
  <c r="K179" i="37"/>
  <c r="N179" i="37"/>
  <c r="D196" i="37"/>
  <c r="F196" i="37"/>
  <c r="G196" i="37"/>
  <c r="H196" i="37"/>
  <c r="D200" i="37"/>
  <c r="E200" i="37"/>
  <c r="F200" i="37"/>
  <c r="G202" i="37"/>
  <c r="H202" i="37"/>
  <c r="E223" i="37"/>
  <c r="F223" i="37"/>
  <c r="G223" i="37"/>
  <c r="E227" i="37"/>
  <c r="F227" i="37"/>
  <c r="D261" i="37"/>
  <c r="F261" i="37"/>
  <c r="G261" i="37"/>
  <c r="H261" i="37"/>
  <c r="D265" i="37"/>
  <c r="E265" i="37"/>
  <c r="F265" i="37"/>
  <c r="J266" i="37"/>
  <c r="G267" i="37"/>
  <c r="H267" i="37"/>
  <c r="J267" i="37"/>
  <c r="K267" i="37"/>
  <c r="G287" i="37"/>
  <c r="AH287" i="37"/>
  <c r="AH291" i="37"/>
  <c r="AH292" i="37"/>
  <c r="G298" i="37"/>
  <c r="H298" i="37"/>
  <c r="I298" i="37"/>
  <c r="J298" i="37"/>
  <c r="K298" i="37"/>
  <c r="N304" i="37"/>
  <c r="N315" i="37"/>
  <c r="N317" i="37"/>
  <c r="N319" i="37"/>
  <c r="N321" i="37"/>
  <c r="G337" i="37"/>
  <c r="N340" i="37"/>
  <c r="N341" i="37"/>
  <c r="N342" i="37"/>
  <c r="O342" i="37"/>
  <c r="H359" i="37"/>
  <c r="G361" i="37"/>
  <c r="G371" i="37"/>
  <c r="H371" i="37"/>
  <c r="I371" i="37"/>
  <c r="J371" i="37"/>
  <c r="K371" i="37"/>
  <c r="E431" i="37"/>
  <c r="F431" i="37"/>
  <c r="I431" i="37"/>
  <c r="J431" i="37"/>
  <c r="K431" i="37"/>
  <c r="E432" i="37"/>
  <c r="F432" i="37"/>
  <c r="I432" i="37"/>
  <c r="J432" i="37"/>
  <c r="K432" i="37"/>
  <c r="E437" i="37"/>
  <c r="F437" i="37"/>
  <c r="I437" i="37"/>
  <c r="J437" i="37"/>
  <c r="K437" i="37"/>
  <c r="I438" i="37"/>
  <c r="J438" i="37"/>
  <c r="K438" i="37"/>
  <c r="I439" i="37"/>
  <c r="J439" i="37"/>
  <c r="K439" i="37"/>
  <c r="H442" i="37"/>
  <c r="E443" i="37"/>
  <c r="F443" i="37"/>
  <c r="I443" i="37"/>
  <c r="J443" i="37"/>
  <c r="K443" i="37"/>
  <c r="E444" i="37"/>
  <c r="F444" i="37"/>
  <c r="I444" i="37"/>
  <c r="J444" i="37"/>
  <c r="K444" i="37"/>
  <c r="E447" i="37"/>
  <c r="F447" i="37"/>
  <c r="I447" i="37"/>
  <c r="J447" i="37"/>
  <c r="K447" i="37"/>
  <c r="E480" i="37"/>
  <c r="F480" i="37"/>
  <c r="I480" i="37"/>
  <c r="J480" i="37"/>
  <c r="K480" i="37"/>
  <c r="E481" i="37"/>
  <c r="F481" i="37"/>
  <c r="I481" i="37"/>
  <c r="J481" i="37"/>
  <c r="K481" i="37"/>
  <c r="E485" i="37"/>
  <c r="F485" i="37"/>
  <c r="I485" i="37"/>
  <c r="J485" i="37"/>
  <c r="K485" i="37"/>
  <c r="I486" i="37"/>
  <c r="J486" i="37"/>
  <c r="K486" i="37"/>
  <c r="N486" i="37"/>
  <c r="J487" i="37"/>
  <c r="Y487" i="37"/>
  <c r="E489" i="37"/>
  <c r="F489" i="37"/>
  <c r="I489" i="37"/>
  <c r="J489" i="37"/>
  <c r="K489" i="37"/>
  <c r="N489" i="37"/>
  <c r="I491" i="37"/>
  <c r="J491" i="37"/>
  <c r="K491" i="37"/>
  <c r="Z3" i="33"/>
  <c r="Z11" i="33"/>
  <c r="Z33" i="33"/>
  <c r="Z67" i="33"/>
  <c r="Z74" i="33"/>
  <c r="Z96" i="33"/>
  <c r="F198" i="33"/>
  <c r="L198" i="33"/>
  <c r="F208" i="33"/>
  <c r="F210" i="33"/>
  <c r="L213" i="33"/>
  <c r="J844" i="3"/>
  <c r="N844" i="3"/>
  <c r="O844" i="3"/>
  <c r="P844" i="3"/>
  <c r="D1542" i="34"/>
  <c r="F1542" i="34"/>
  <c r="H1542" i="34"/>
  <c r="H4409" i="34"/>
  <c r="H4410" i="34"/>
  <c r="C67" i="41"/>
  <c r="C70" i="41"/>
  <c r="C72" i="41"/>
  <c r="C73" i="41"/>
  <c r="C75" i="41"/>
  <c r="C76" i="41"/>
  <c r="C81" i="41"/>
  <c r="C86" i="41"/>
  <c r="BT3" i="2"/>
  <c r="BT17" i="2"/>
  <c r="BT23" i="2"/>
  <c r="BT24" i="2"/>
  <c r="BT26" i="2"/>
  <c r="BT35" i="2"/>
  <c r="BT50" i="2"/>
  <c r="BT58" i="2"/>
  <c r="BT61" i="2"/>
  <c r="BT69" i="2"/>
  <c r="BT71" i="2"/>
  <c r="BT80" i="2"/>
  <c r="BT83" i="2"/>
  <c r="BT84" i="2"/>
  <c r="BT85" i="2"/>
  <c r="BT87" i="2"/>
  <c r="BO97" i="2"/>
  <c r="BO98" i="2"/>
  <c r="BQ98" i="2"/>
  <c r="BT227" i="2"/>
  <c r="BP234" i="2"/>
  <c r="BQ239" i="2"/>
  <c r="BT239" i="2"/>
  <c r="BT242" i="2"/>
  <c r="CT260" i="2"/>
  <c r="CT261" i="2"/>
  <c r="DE263" i="2"/>
  <c r="BT305" i="2"/>
  <c r="BT310" i="2"/>
  <c r="BT312" i="2"/>
  <c r="BT374" i="2"/>
  <c r="BT376" i="2"/>
  <c r="BT378" i="2"/>
  <c r="BO380" i="2"/>
  <c r="BO381" i="2"/>
  <c r="BO382" i="2"/>
  <c r="BT388" i="2"/>
  <c r="BQ389" i="2"/>
  <c r="BT389" i="2"/>
  <c r="BT390" i="2"/>
  <c r="BD516" i="2"/>
  <c r="BD517" i="2"/>
  <c r="BA518" i="2"/>
  <c r="BD518" i="2"/>
  <c r="BD519" i="2"/>
  <c r="BD522" i="2"/>
  <c r="BD523" i="2"/>
  <c r="BD524" i="2"/>
  <c r="BD525" i="2"/>
  <c r="BD527" i="2"/>
  <c r="BD528" i="2"/>
  <c r="BD531" i="2"/>
  <c r="BD532" i="2"/>
  <c r="BA533" i="2"/>
  <c r="BD533" i="2"/>
  <c r="BD534" i="2"/>
  <c r="BD536" i="2"/>
  <c r="BD539" i="2"/>
  <c r="BD541" i="2"/>
  <c r="BD542" i="2"/>
  <c r="Q68" i="11"/>
  <c r="R68" i="11"/>
  <c r="S68" i="11"/>
  <c r="T68" i="11"/>
  <c r="U68" i="11"/>
  <c r="V68" i="11"/>
  <c r="W68" i="11"/>
  <c r="X68" i="11"/>
  <c r="Y68" i="11"/>
  <c r="Z68" i="11"/>
  <c r="AA68" i="11"/>
  <c r="Q77" i="11"/>
  <c r="R77" i="11"/>
  <c r="S77" i="11"/>
  <c r="T77" i="11"/>
  <c r="U77" i="11"/>
  <c r="V77" i="11"/>
  <c r="W77" i="11"/>
  <c r="X77" i="11"/>
  <c r="Y77" i="11"/>
  <c r="Z77" i="11"/>
  <c r="AA77" i="11"/>
  <c r="Q78" i="11"/>
  <c r="R78" i="11"/>
  <c r="S78" i="11"/>
  <c r="T78" i="11"/>
  <c r="U78" i="11"/>
  <c r="V78" i="11"/>
  <c r="W78" i="11"/>
  <c r="X78" i="11"/>
  <c r="Y78" i="11"/>
  <c r="Z78" i="11"/>
  <c r="AA78" i="11"/>
  <c r="AH79" i="11"/>
  <c r="AI79" i="11"/>
  <c r="AJ79" i="11"/>
  <c r="Q82" i="11"/>
  <c r="R82" i="11"/>
  <c r="S82" i="11"/>
  <c r="T82" i="11"/>
  <c r="U82" i="11"/>
  <c r="V82" i="11"/>
  <c r="W82" i="11"/>
  <c r="X82" i="11"/>
  <c r="Y82" i="11"/>
  <c r="Z82" i="11"/>
  <c r="AA82" i="11"/>
  <c r="Q83" i="11"/>
  <c r="R83" i="11"/>
  <c r="S83" i="11"/>
  <c r="T83" i="11"/>
  <c r="U83" i="11"/>
  <c r="V83" i="11"/>
  <c r="W83" i="11"/>
  <c r="X83" i="11"/>
  <c r="Y83" i="11"/>
  <c r="Z83" i="11"/>
  <c r="AA83" i="11"/>
  <c r="Q84" i="11"/>
  <c r="R84" i="11"/>
  <c r="S84" i="11"/>
  <c r="T84" i="11"/>
  <c r="U84" i="11"/>
  <c r="V84" i="11"/>
  <c r="W84" i="11"/>
  <c r="X84" i="11"/>
  <c r="Y84" i="11"/>
  <c r="Z84" i="11"/>
  <c r="AA84" i="11"/>
  <c r="Q88" i="11"/>
  <c r="R88" i="11"/>
  <c r="S88" i="11"/>
  <c r="T88" i="11"/>
  <c r="U88" i="11"/>
  <c r="V88" i="11"/>
  <c r="W88" i="11"/>
  <c r="X88" i="11"/>
  <c r="Y88" i="11"/>
  <c r="Z88" i="11"/>
  <c r="AA88" i="11"/>
  <c r="Q89" i="11"/>
  <c r="R89" i="11"/>
  <c r="S89" i="11"/>
  <c r="T89" i="11"/>
  <c r="U89" i="11"/>
  <c r="V89" i="11"/>
  <c r="W89" i="11"/>
  <c r="X89" i="11"/>
  <c r="Y89" i="11"/>
  <c r="Z89" i="11"/>
  <c r="AA89" i="11"/>
  <c r="Q90" i="11"/>
  <c r="R90" i="11"/>
  <c r="S90" i="11"/>
  <c r="T90" i="11"/>
  <c r="U90" i="11"/>
  <c r="V90" i="11"/>
  <c r="W90" i="11"/>
  <c r="X90" i="11"/>
  <c r="Y90" i="11"/>
  <c r="Z90" i="11"/>
  <c r="AA90" i="11"/>
  <c r="Q92" i="11"/>
  <c r="R92" i="11"/>
  <c r="S92" i="11"/>
  <c r="T92" i="11"/>
  <c r="U92" i="11"/>
  <c r="V92" i="11"/>
  <c r="W92" i="11"/>
  <c r="X92" i="11"/>
  <c r="Y92" i="11"/>
  <c r="Z92" i="11"/>
  <c r="AA92" i="11"/>
  <c r="Q93" i="11"/>
  <c r="R93" i="11"/>
  <c r="S93" i="11"/>
  <c r="T93" i="11"/>
  <c r="U93" i="11"/>
  <c r="V93" i="11"/>
  <c r="W93" i="11"/>
  <c r="X93" i="11"/>
  <c r="Y93" i="11"/>
  <c r="Z93" i="11"/>
  <c r="AA93" i="11"/>
  <c r="Q94" i="11"/>
  <c r="R94" i="11"/>
  <c r="S94" i="11"/>
  <c r="T94" i="11"/>
  <c r="U94" i="11"/>
  <c r="V94" i="11"/>
  <c r="W94" i="11"/>
  <c r="X94" i="11"/>
  <c r="Y94" i="11"/>
  <c r="Z94" i="11"/>
  <c r="AA94" i="11"/>
  <c r="Q97" i="11"/>
  <c r="R97" i="11"/>
  <c r="S97" i="11"/>
  <c r="T97" i="11"/>
  <c r="U97" i="11"/>
  <c r="V97" i="11"/>
  <c r="W97" i="11"/>
  <c r="X97" i="11"/>
  <c r="Y97" i="11"/>
  <c r="Z97" i="11"/>
  <c r="AA97" i="11"/>
  <c r="Q98" i="11"/>
  <c r="R98" i="11"/>
  <c r="S98" i="11"/>
  <c r="T98" i="11"/>
  <c r="U98" i="11"/>
  <c r="V98" i="11"/>
  <c r="W98" i="11"/>
  <c r="X98" i="11"/>
  <c r="Y98" i="11"/>
  <c r="Z98" i="11"/>
  <c r="AA98" i="11"/>
  <c r="Q99" i="11"/>
  <c r="R99" i="11"/>
  <c r="S99" i="11"/>
  <c r="T99" i="11"/>
  <c r="U99" i="11"/>
  <c r="V99" i="11"/>
  <c r="W99" i="11"/>
  <c r="X99" i="11"/>
  <c r="Y99" i="11"/>
  <c r="Z99" i="11"/>
  <c r="AA99" i="11"/>
  <c r="Q102" i="11"/>
  <c r="R102" i="11"/>
  <c r="S102" i="11"/>
  <c r="T102" i="11"/>
  <c r="U102" i="11"/>
  <c r="V102" i="11"/>
  <c r="W102" i="11"/>
  <c r="X102" i="11"/>
  <c r="Y102" i="11"/>
  <c r="Z102" i="11"/>
  <c r="AA102" i="11"/>
  <c r="Q117" i="11"/>
  <c r="R117" i="11"/>
  <c r="S117" i="11"/>
  <c r="T117" i="11"/>
  <c r="U117" i="11"/>
  <c r="V117" i="11"/>
  <c r="W117" i="11"/>
  <c r="X117" i="11"/>
  <c r="Y117" i="11"/>
  <c r="Z117" i="11"/>
  <c r="AA117" i="11"/>
  <c r="Q118" i="11"/>
  <c r="R118" i="11"/>
  <c r="S118" i="11"/>
  <c r="T118" i="11"/>
  <c r="U118" i="11"/>
  <c r="V118" i="11"/>
  <c r="W118" i="11"/>
  <c r="X118" i="11"/>
  <c r="Y118" i="11"/>
  <c r="Z118" i="11"/>
  <c r="AA118" i="11"/>
  <c r="P127" i="11"/>
  <c r="Q127" i="11"/>
  <c r="R127" i="11"/>
  <c r="S127" i="11"/>
  <c r="T127" i="11"/>
  <c r="U127" i="11"/>
  <c r="V127" i="11"/>
  <c r="W127" i="11"/>
  <c r="X127" i="11"/>
  <c r="Y127" i="11"/>
  <c r="Z127" i="11"/>
  <c r="AA127" i="11"/>
  <c r="P128" i="11"/>
  <c r="Q128" i="11"/>
  <c r="R128" i="11"/>
  <c r="S128" i="11"/>
  <c r="T128" i="11"/>
  <c r="U128" i="11"/>
  <c r="V128" i="11"/>
  <c r="W128" i="11"/>
  <c r="X128" i="11"/>
  <c r="Y128" i="11"/>
  <c r="Z128" i="11"/>
  <c r="AA128" i="11"/>
  <c r="P130" i="11"/>
  <c r="Q130" i="11"/>
  <c r="R130" i="11"/>
  <c r="S130" i="11"/>
  <c r="T130" i="11"/>
  <c r="U130" i="11"/>
  <c r="V130" i="11"/>
  <c r="W130" i="11"/>
  <c r="X130" i="11"/>
  <c r="Y130" i="11"/>
  <c r="Z130" i="11"/>
  <c r="AA130" i="11"/>
  <c r="Q132" i="11"/>
  <c r="R132" i="11"/>
  <c r="S132" i="11"/>
  <c r="T132" i="11"/>
  <c r="U132" i="11"/>
  <c r="V132" i="11"/>
  <c r="W132" i="11"/>
  <c r="X132" i="11"/>
  <c r="Y132" i="11"/>
  <c r="Z132" i="11"/>
  <c r="AA132" i="11"/>
  <c r="Q135" i="11"/>
  <c r="R135" i="11"/>
  <c r="S135" i="11"/>
  <c r="T135" i="11"/>
  <c r="U135" i="11"/>
  <c r="V135" i="11"/>
  <c r="W135" i="11"/>
  <c r="X135" i="11"/>
  <c r="Y135" i="11"/>
  <c r="Z135" i="11"/>
  <c r="AA135" i="11"/>
  <c r="K136" i="11"/>
  <c r="L136" i="11"/>
  <c r="M136" i="11"/>
  <c r="N136" i="11"/>
  <c r="O136" i="11"/>
  <c r="P136" i="11"/>
  <c r="Q136" i="11"/>
  <c r="R136" i="11"/>
  <c r="S136" i="11"/>
  <c r="T136" i="11"/>
  <c r="U136" i="11"/>
  <c r="V136" i="11"/>
  <c r="W136" i="11"/>
  <c r="X136" i="11"/>
  <c r="Y136" i="11"/>
  <c r="Z136" i="11"/>
  <c r="AA136" i="11"/>
  <c r="K138" i="11"/>
  <c r="L138" i="11"/>
  <c r="M138" i="11"/>
  <c r="N138" i="11"/>
  <c r="O138" i="11"/>
  <c r="P138" i="11"/>
  <c r="Q138" i="11"/>
  <c r="R138" i="11"/>
  <c r="S138" i="11"/>
  <c r="T138" i="11"/>
  <c r="U138" i="11"/>
  <c r="V138" i="11"/>
  <c r="W138" i="11"/>
  <c r="X138" i="11"/>
  <c r="Y138" i="11"/>
  <c r="Z138" i="11"/>
  <c r="AA138" i="11"/>
  <c r="D14" i="14"/>
  <c r="E14" i="14"/>
  <c r="E16" i="14"/>
  <c r="I16" i="14"/>
  <c r="J16" i="14"/>
  <c r="V16" i="14"/>
  <c r="E17" i="14"/>
  <c r="G17" i="14"/>
  <c r="I17" i="14"/>
  <c r="J17" i="14"/>
  <c r="V17" i="14"/>
  <c r="R18" i="14"/>
  <c r="S18" i="14"/>
  <c r="U18" i="14"/>
  <c r="R20" i="14"/>
  <c r="S20" i="14"/>
  <c r="I32" i="14"/>
  <c r="I33" i="14"/>
  <c r="I36" i="14"/>
  <c r="I38" i="14"/>
  <c r="I40" i="14"/>
  <c r="I43" i="14"/>
  <c r="I45" i="14"/>
  <c r="M211" i="14"/>
  <c r="N211" i="14"/>
  <c r="M212" i="14"/>
  <c r="D213" i="14"/>
  <c r="E213" i="14"/>
  <c r="F213" i="14"/>
  <c r="G213" i="14"/>
  <c r="H213" i="14"/>
  <c r="I213" i="14"/>
  <c r="J213" i="14"/>
  <c r="K213" i="14"/>
  <c r="L213" i="14"/>
  <c r="M213" i="14"/>
  <c r="N213" i="14"/>
  <c r="D214" i="14"/>
  <c r="E214" i="14"/>
  <c r="F214" i="14"/>
  <c r="G214" i="14"/>
  <c r="H214" i="14"/>
  <c r="I214" i="14"/>
  <c r="J214" i="14"/>
  <c r="K214" i="14"/>
  <c r="L214" i="14"/>
  <c r="M214" i="14"/>
  <c r="N214" i="14"/>
  <c r="F215" i="14"/>
  <c r="G215" i="14"/>
  <c r="H215" i="14"/>
  <c r="I215" i="14"/>
  <c r="J215" i="14"/>
  <c r="K215" i="14"/>
  <c r="L215" i="14"/>
  <c r="M215" i="14"/>
  <c r="N215" i="14"/>
  <c r="C217" i="14"/>
  <c r="C218" i="14"/>
  <c r="C219" i="14"/>
  <c r="C229" i="14"/>
  <c r="Q229" i="14"/>
  <c r="C230" i="14"/>
  <c r="Q230" i="14"/>
  <c r="C231" i="14"/>
  <c r="D231" i="14"/>
  <c r="E231" i="14"/>
  <c r="O231" i="14"/>
  <c r="C235" i="14"/>
  <c r="Q235" i="14"/>
  <c r="C239" i="14"/>
  <c r="D239" i="14"/>
  <c r="E239" i="14"/>
  <c r="O239" i="14"/>
  <c r="E243" i="14"/>
  <c r="C244" i="14"/>
  <c r="D244" i="14"/>
  <c r="E244" i="14"/>
  <c r="E245" i="14"/>
  <c r="C246" i="14"/>
  <c r="D246" i="14"/>
  <c r="E246" i="14"/>
  <c r="C247" i="14"/>
  <c r="D247" i="14"/>
  <c r="C274" i="14"/>
  <c r="G274" i="14"/>
  <c r="H274" i="14"/>
  <c r="I274" i="14"/>
  <c r="J274" i="14"/>
  <c r="K274" i="14"/>
  <c r="L274" i="14"/>
  <c r="M274" i="14"/>
  <c r="N274" i="14"/>
  <c r="O274" i="14"/>
  <c r="P274" i="14"/>
  <c r="Q274" i="14"/>
  <c r="R274" i="14"/>
  <c r="S274" i="14"/>
  <c r="T274" i="14"/>
  <c r="U274" i="14"/>
  <c r="V274" i="14"/>
  <c r="W274" i="14"/>
  <c r="H278" i="14"/>
  <c r="I278" i="14"/>
  <c r="L278" i="14"/>
  <c r="M278" i="14"/>
  <c r="N278" i="14"/>
  <c r="G279" i="14"/>
  <c r="H279" i="14"/>
  <c r="I279" i="14"/>
  <c r="J279" i="14"/>
  <c r="K279" i="14"/>
  <c r="L279" i="14"/>
  <c r="M279" i="14"/>
  <c r="N279" i="14"/>
  <c r="O279" i="14"/>
  <c r="P279" i="14"/>
  <c r="Q279" i="14"/>
  <c r="R279" i="14"/>
  <c r="S279" i="14"/>
  <c r="T279" i="14"/>
  <c r="U279" i="14"/>
  <c r="V279" i="14"/>
  <c r="W279" i="14"/>
  <c r="G281" i="14"/>
  <c r="H281" i="14"/>
  <c r="I281" i="14"/>
  <c r="J281" i="14"/>
  <c r="K281" i="14"/>
  <c r="L281" i="14"/>
  <c r="M281" i="14"/>
  <c r="N281" i="14"/>
  <c r="O281" i="14"/>
  <c r="P281" i="14"/>
  <c r="Q281" i="14"/>
  <c r="R281" i="14"/>
  <c r="S281" i="14"/>
  <c r="T281" i="14"/>
  <c r="U281" i="14"/>
  <c r="V281" i="14"/>
  <c r="W281" i="14"/>
  <c r="D282" i="14"/>
  <c r="D283" i="14"/>
  <c r="D284" i="14"/>
  <c r="C288" i="14"/>
  <c r="C289" i="14"/>
  <c r="G289" i="14"/>
  <c r="H289" i="14"/>
  <c r="I289" i="14"/>
  <c r="J289" i="14"/>
  <c r="K289" i="14"/>
  <c r="L289" i="14"/>
  <c r="M289" i="14"/>
  <c r="N289" i="14"/>
  <c r="O289" i="14"/>
  <c r="P289" i="14"/>
  <c r="Q289" i="14"/>
  <c r="R289" i="14"/>
  <c r="G292" i="14"/>
  <c r="H292" i="14"/>
  <c r="I292" i="14"/>
  <c r="J292" i="14"/>
  <c r="K292" i="14"/>
  <c r="L292" i="14"/>
  <c r="M292" i="14"/>
  <c r="N292" i="14"/>
  <c r="O292" i="14"/>
  <c r="P292" i="14"/>
  <c r="Q292" i="14"/>
  <c r="R292" i="14"/>
  <c r="I294" i="14"/>
  <c r="J294" i="14"/>
  <c r="K294" i="14"/>
  <c r="L294" i="14"/>
  <c r="M294" i="14"/>
  <c r="N294" i="14"/>
  <c r="O294" i="14"/>
  <c r="P294" i="14"/>
  <c r="Q294" i="14"/>
  <c r="R294" i="14"/>
  <c r="G296" i="14"/>
  <c r="H296" i="14"/>
  <c r="I296" i="14"/>
  <c r="J296" i="14"/>
  <c r="K296" i="14"/>
  <c r="L296" i="14"/>
  <c r="M296" i="14"/>
  <c r="N296" i="14"/>
  <c r="O296" i="14"/>
  <c r="P296" i="14"/>
  <c r="Q296" i="14"/>
  <c r="R296" i="14"/>
  <c r="D297" i="14"/>
  <c r="D298" i="14"/>
  <c r="D299" i="14"/>
  <c r="C304" i="14"/>
  <c r="M3" i="47"/>
  <c r="N3" i="47"/>
  <c r="O3" i="47"/>
  <c r="L4" i="47"/>
  <c r="M4" i="47"/>
  <c r="N4" i="47"/>
  <c r="O4" i="47"/>
  <c r="K5" i="47"/>
  <c r="L5" i="47"/>
  <c r="M5" i="47"/>
  <c r="N5" i="47"/>
  <c r="O5" i="47"/>
  <c r="E6" i="47"/>
  <c r="F6" i="47"/>
  <c r="G6" i="47"/>
  <c r="M6" i="47"/>
  <c r="N6" i="47"/>
  <c r="O6" i="47"/>
  <c r="L7" i="47"/>
  <c r="M7" i="47"/>
  <c r="N7" i="47"/>
  <c r="O7" i="47"/>
  <c r="L8" i="47"/>
  <c r="M8" i="47"/>
  <c r="N8" i="47"/>
  <c r="O8" i="47"/>
  <c r="L9" i="47"/>
  <c r="M9" i="47"/>
  <c r="N9" i="47"/>
  <c r="O9" i="47"/>
  <c r="L10" i="47"/>
  <c r="M10" i="47"/>
  <c r="N10" i="47"/>
  <c r="O10" i="47"/>
  <c r="E11" i="47"/>
  <c r="F11" i="47"/>
  <c r="G11" i="47"/>
  <c r="D14" i="47"/>
  <c r="H14" i="47"/>
  <c r="E16" i="47"/>
  <c r="F16" i="47"/>
  <c r="G16" i="47"/>
  <c r="H16" i="47"/>
  <c r="E18" i="47"/>
  <c r="F18" i="47"/>
  <c r="G18" i="47"/>
  <c r="H18" i="47"/>
  <c r="D23" i="47"/>
  <c r="E23" i="47"/>
  <c r="F23" i="47"/>
  <c r="G23" i="47"/>
  <c r="H23" i="47"/>
  <c r="D27" i="47"/>
  <c r="H27" i="47"/>
  <c r="D28" i="47"/>
  <c r="E29" i="47"/>
  <c r="F29" i="47"/>
  <c r="G29" i="47"/>
  <c r="H29" i="47"/>
  <c r="D32" i="47"/>
  <c r="E32" i="47"/>
  <c r="F32" i="47"/>
  <c r="G32" i="47"/>
  <c r="H32" i="47"/>
  <c r="E34" i="47"/>
  <c r="F34" i="47"/>
  <c r="G34" i="47"/>
  <c r="O16" i="13"/>
  <c r="P16" i="13"/>
  <c r="Q16" i="13"/>
  <c r="R16" i="13"/>
  <c r="S16" i="13"/>
  <c r="T16" i="13"/>
  <c r="O18" i="13"/>
  <c r="P18" i="13"/>
  <c r="Q18" i="13"/>
  <c r="R18" i="13"/>
  <c r="S18" i="13"/>
  <c r="T18" i="13"/>
  <c r="N21" i="13"/>
  <c r="E22" i="13"/>
  <c r="F22" i="13"/>
  <c r="I22" i="13"/>
  <c r="J22" i="13"/>
  <c r="K22" i="13"/>
  <c r="O23" i="13"/>
  <c r="P23" i="13"/>
  <c r="Q23" i="13"/>
  <c r="R23" i="13"/>
  <c r="S23" i="13"/>
  <c r="T23" i="13"/>
  <c r="O25" i="13"/>
  <c r="P25" i="13"/>
  <c r="Q25" i="13"/>
  <c r="R25" i="13"/>
  <c r="S25" i="13"/>
  <c r="T25" i="13"/>
  <c r="I26" i="13"/>
  <c r="J26" i="13"/>
  <c r="K26" i="13"/>
  <c r="AH26" i="13"/>
  <c r="AI26" i="13"/>
  <c r="AJ26" i="13"/>
  <c r="AK26" i="13"/>
  <c r="E27" i="13"/>
  <c r="F27" i="13"/>
  <c r="I27" i="13"/>
  <c r="J27" i="13"/>
  <c r="K27" i="13"/>
  <c r="N27" i="13"/>
  <c r="O27" i="13"/>
  <c r="P27" i="13"/>
  <c r="Q27" i="13"/>
  <c r="R27" i="13"/>
  <c r="S27" i="13"/>
  <c r="T27" i="13"/>
  <c r="N29" i="13"/>
  <c r="O29" i="13"/>
  <c r="P29" i="13"/>
  <c r="Q29" i="13"/>
  <c r="R29" i="13"/>
  <c r="S29" i="13"/>
  <c r="T29" i="13"/>
  <c r="AH30" i="13"/>
  <c r="N32" i="13"/>
  <c r="O32" i="13"/>
  <c r="P32" i="13"/>
  <c r="Q32" i="13"/>
  <c r="R32" i="13"/>
  <c r="S32" i="13"/>
  <c r="T32" i="13"/>
  <c r="X32" i="13"/>
  <c r="Y32" i="13"/>
  <c r="Z32" i="13"/>
  <c r="AJ32" i="13"/>
  <c r="AL32" i="13"/>
  <c r="X34" i="13"/>
  <c r="Y34" i="13"/>
  <c r="Z34" i="13"/>
  <c r="O38" i="13"/>
  <c r="P38" i="13"/>
  <c r="Q38" i="13"/>
  <c r="R38" i="13"/>
  <c r="S38" i="13"/>
  <c r="T38" i="13"/>
  <c r="O44" i="13"/>
  <c r="P44" i="13"/>
  <c r="Q44" i="13"/>
  <c r="R44" i="13"/>
  <c r="S44" i="13"/>
  <c r="T44" i="13"/>
  <c r="O45" i="13"/>
  <c r="P45" i="13"/>
  <c r="Q45" i="13"/>
  <c r="R45" i="13"/>
  <c r="S45" i="13"/>
  <c r="T45" i="13"/>
  <c r="O47" i="13"/>
  <c r="P47" i="13"/>
  <c r="Q47" i="13"/>
  <c r="R47" i="13"/>
  <c r="S47" i="13"/>
  <c r="T47" i="13"/>
  <c r="O48" i="13"/>
  <c r="P48" i="13"/>
  <c r="Q48" i="13"/>
  <c r="R48" i="13"/>
  <c r="S48" i="13"/>
  <c r="T48" i="13"/>
  <c r="E50" i="13"/>
  <c r="F50" i="13"/>
  <c r="G50" i="13"/>
  <c r="H50" i="13"/>
  <c r="I50" i="13"/>
  <c r="J50" i="13"/>
  <c r="K50" i="13"/>
  <c r="L50" i="13"/>
  <c r="M50" i="13"/>
  <c r="N50" i="13"/>
  <c r="O50" i="13"/>
  <c r="P50" i="13"/>
  <c r="Q50" i="13"/>
  <c r="R50" i="13"/>
  <c r="S50" i="13"/>
  <c r="T50" i="13"/>
  <c r="E51" i="13"/>
  <c r="F51" i="13"/>
  <c r="G51" i="13"/>
  <c r="H51" i="13"/>
  <c r="I51" i="13"/>
  <c r="J51" i="13"/>
  <c r="K51" i="13"/>
  <c r="L51" i="13"/>
  <c r="M51" i="13"/>
  <c r="N51" i="13"/>
  <c r="O51" i="13"/>
  <c r="P51" i="13"/>
  <c r="Q51" i="13"/>
  <c r="R51" i="13"/>
  <c r="S51" i="13"/>
  <c r="T51" i="13"/>
  <c r="N58" i="13"/>
  <c r="O58" i="13"/>
  <c r="P58" i="13"/>
  <c r="Q58" i="13"/>
  <c r="R58" i="13"/>
  <c r="S58" i="13"/>
  <c r="T58" i="13"/>
  <c r="O61" i="13"/>
  <c r="P61" i="13"/>
  <c r="Q61" i="13"/>
  <c r="R61" i="13"/>
  <c r="S61" i="13"/>
  <c r="T61" i="13"/>
  <c r="N62" i="13"/>
  <c r="O62" i="13"/>
  <c r="P62" i="13"/>
  <c r="Q62" i="13"/>
  <c r="R62" i="13"/>
  <c r="S62" i="13"/>
  <c r="T62" i="13"/>
  <c r="L63" i="13"/>
  <c r="M63" i="13"/>
  <c r="N63" i="13"/>
  <c r="O63" i="13"/>
  <c r="P63" i="13"/>
  <c r="Q63" i="13"/>
  <c r="R63" i="13"/>
  <c r="S63" i="13"/>
  <c r="T63" i="13"/>
  <c r="W63" i="13"/>
  <c r="E64" i="13"/>
  <c r="F64" i="13"/>
  <c r="I64" i="13"/>
  <c r="J64" i="13"/>
  <c r="K64" i="13"/>
  <c r="O64" i="13"/>
  <c r="P64" i="13"/>
  <c r="Q64" i="13"/>
  <c r="R64" i="13"/>
  <c r="S64" i="13"/>
  <c r="T64" i="13"/>
  <c r="E65" i="13"/>
  <c r="F65" i="13"/>
  <c r="I65" i="13"/>
  <c r="J65" i="13"/>
  <c r="K65" i="13"/>
  <c r="N65" i="13"/>
  <c r="O65" i="13"/>
  <c r="P65" i="13"/>
  <c r="Q65" i="13"/>
  <c r="R65" i="13"/>
  <c r="S65" i="13"/>
  <c r="T65" i="13"/>
  <c r="N66" i="13"/>
  <c r="O66" i="13"/>
  <c r="P66" i="13"/>
  <c r="Q66" i="13"/>
  <c r="R66" i="13"/>
  <c r="S66" i="13"/>
  <c r="T66" i="13"/>
  <c r="E67" i="13"/>
  <c r="F67" i="13"/>
  <c r="G67" i="13"/>
  <c r="H67" i="13"/>
  <c r="I67" i="13"/>
  <c r="J67" i="13"/>
  <c r="K67" i="13"/>
  <c r="L67" i="13"/>
  <c r="M67" i="13"/>
  <c r="N67" i="13"/>
  <c r="O67" i="13"/>
  <c r="P67" i="13"/>
  <c r="Q67" i="13"/>
  <c r="R67" i="13"/>
  <c r="S67" i="13"/>
  <c r="T67" i="13"/>
  <c r="E69" i="13"/>
  <c r="F69" i="13"/>
  <c r="I69" i="13"/>
  <c r="J69" i="13"/>
  <c r="K69" i="13"/>
  <c r="N69" i="13"/>
  <c r="O69" i="13"/>
  <c r="P69" i="13"/>
  <c r="Q69" i="13"/>
  <c r="R69" i="13"/>
  <c r="S69" i="13"/>
  <c r="T69" i="13"/>
  <c r="N70" i="13"/>
  <c r="O70" i="13"/>
  <c r="P70" i="13"/>
  <c r="Q70" i="13"/>
  <c r="R70" i="13"/>
  <c r="S70" i="13"/>
  <c r="T70" i="13"/>
  <c r="E71" i="13"/>
  <c r="F71" i="13"/>
  <c r="I71" i="13"/>
  <c r="J71" i="13"/>
  <c r="K71" i="13"/>
  <c r="N71" i="13"/>
  <c r="O71" i="13"/>
  <c r="P71" i="13"/>
  <c r="Q71" i="13"/>
  <c r="R71" i="13"/>
  <c r="S71" i="13"/>
  <c r="T71" i="13"/>
  <c r="N73" i="13"/>
  <c r="O73" i="13"/>
  <c r="P73" i="13"/>
  <c r="Q73" i="13"/>
  <c r="R73" i="13"/>
  <c r="S73" i="13"/>
  <c r="T73" i="13"/>
  <c r="N75" i="13"/>
  <c r="O75" i="13"/>
  <c r="P75" i="13"/>
  <c r="Q75" i="13"/>
  <c r="R75" i="13"/>
  <c r="S75" i="13"/>
  <c r="T75" i="13"/>
  <c r="O76" i="13"/>
  <c r="P76" i="13"/>
  <c r="Q76" i="13"/>
  <c r="R76" i="13"/>
  <c r="S76" i="13"/>
  <c r="T76" i="13"/>
  <c r="N77" i="13"/>
  <c r="O77" i="13"/>
  <c r="P77" i="13"/>
  <c r="Q77" i="13"/>
  <c r="R77" i="13"/>
  <c r="S77" i="13"/>
  <c r="T77" i="13"/>
  <c r="N78" i="13"/>
  <c r="O78" i="13"/>
  <c r="P78" i="13"/>
  <c r="Q78" i="13"/>
  <c r="R78" i="13"/>
  <c r="S78" i="13"/>
  <c r="T78" i="13"/>
  <c r="N80" i="13"/>
  <c r="N81" i="13"/>
  <c r="O81" i="13"/>
  <c r="P81" i="13"/>
  <c r="Q81" i="13"/>
  <c r="R81" i="13"/>
  <c r="S81" i="13"/>
  <c r="T81" i="13"/>
  <c r="I84" i="13"/>
  <c r="J84" i="13"/>
  <c r="K84" i="13"/>
  <c r="L84" i="13"/>
  <c r="M84" i="13"/>
  <c r="N84" i="13"/>
  <c r="O84" i="13"/>
  <c r="D85" i="13"/>
  <c r="L85" i="13"/>
  <c r="N85" i="13"/>
  <c r="N87" i="13"/>
  <c r="L90" i="13"/>
  <c r="M90" i="13"/>
  <c r="O90" i="13"/>
  <c r="L94" i="13"/>
  <c r="M94" i="13"/>
  <c r="O94" i="13"/>
  <c r="P94" i="13"/>
  <c r="Q94" i="13"/>
  <c r="R94" i="13"/>
  <c r="S94" i="13"/>
  <c r="T94" i="13"/>
  <c r="D96" i="13"/>
  <c r="L96" i="13"/>
  <c r="M96" i="13"/>
  <c r="N96" i="13"/>
  <c r="O96" i="13"/>
  <c r="P96" i="13"/>
  <c r="Q96" i="13"/>
  <c r="R96" i="13"/>
  <c r="S96" i="13"/>
  <c r="T96" i="13"/>
  <c r="L97" i="13"/>
  <c r="M97" i="13"/>
  <c r="N97" i="13"/>
  <c r="O97" i="13"/>
  <c r="P97" i="13"/>
  <c r="Q97" i="13"/>
  <c r="R97" i="13"/>
  <c r="S97" i="13"/>
  <c r="T97" i="13"/>
  <c r="L99" i="13"/>
  <c r="M99" i="13"/>
  <c r="O99" i="13"/>
  <c r="P99" i="13"/>
  <c r="Q99" i="13"/>
  <c r="R99" i="13"/>
  <c r="S99" i="13"/>
  <c r="T99" i="13"/>
  <c r="L100" i="13"/>
  <c r="M100" i="13"/>
  <c r="N100" i="13"/>
  <c r="O100" i="13"/>
  <c r="P100" i="13"/>
  <c r="Q100" i="13"/>
  <c r="R100" i="13"/>
  <c r="S100" i="13"/>
  <c r="T100" i="13"/>
  <c r="N101" i="13"/>
  <c r="O101" i="13"/>
  <c r="P101" i="13"/>
  <c r="Q101" i="13"/>
  <c r="R101" i="13"/>
  <c r="S101" i="13"/>
  <c r="T101" i="13"/>
  <c r="L103" i="13"/>
  <c r="N103" i="13"/>
  <c r="L104" i="13"/>
  <c r="M104" i="13"/>
  <c r="O104" i="13"/>
  <c r="P104" i="13"/>
  <c r="Q104" i="13"/>
  <c r="R104" i="13"/>
  <c r="S104" i="13"/>
  <c r="T104" i="13"/>
  <c r="L107" i="13"/>
  <c r="N107" i="13"/>
  <c r="L108" i="13"/>
  <c r="N108" i="13"/>
  <c r="I111" i="13"/>
  <c r="J111" i="13"/>
  <c r="K111" i="13"/>
  <c r="L111" i="13"/>
  <c r="M111" i="13"/>
  <c r="N111" i="13"/>
  <c r="O111" i="13"/>
  <c r="P111" i="13"/>
  <c r="I115" i="13"/>
  <c r="J115" i="13"/>
  <c r="K115" i="13"/>
  <c r="L115" i="13"/>
  <c r="M115" i="13"/>
  <c r="N115" i="13"/>
  <c r="O115" i="13"/>
  <c r="P115" i="13"/>
  <c r="I118" i="13"/>
  <c r="J118" i="13"/>
  <c r="K118" i="13"/>
  <c r="L118" i="13"/>
  <c r="M118" i="13"/>
  <c r="I123" i="13"/>
  <c r="J123" i="13"/>
  <c r="K123" i="13"/>
  <c r="L123" i="13"/>
  <c r="M123" i="13"/>
  <c r="J9" i="31"/>
  <c r="K9" i="31"/>
  <c r="L9" i="31"/>
  <c r="J10" i="31"/>
  <c r="K10" i="31"/>
  <c r="L10" i="31"/>
  <c r="J11" i="31"/>
  <c r="K11" i="31"/>
  <c r="L11" i="31"/>
  <c r="J12" i="31"/>
  <c r="K12" i="31"/>
  <c r="L12" i="31"/>
  <c r="P26" i="31"/>
  <c r="P33" i="31"/>
  <c r="P54" i="31"/>
  <c r="P60" i="31"/>
  <c r="P61" i="31"/>
  <c r="J76" i="31"/>
  <c r="K76" i="31"/>
  <c r="L76" i="31"/>
  <c r="J79" i="31"/>
  <c r="K79" i="31"/>
  <c r="L79" i="31"/>
  <c r="J80" i="31"/>
  <c r="K80" i="31"/>
  <c r="L80" i="31"/>
  <c r="J81" i="31"/>
  <c r="K81" i="31"/>
  <c r="L81" i="31"/>
  <c r="J84" i="31"/>
  <c r="K84" i="31"/>
  <c r="L84" i="31"/>
  <c r="I86" i="31"/>
  <c r="J86" i="31"/>
  <c r="K86" i="31"/>
  <c r="L86" i="31"/>
  <c r="I87" i="31"/>
  <c r="J87" i="31"/>
  <c r="K87" i="31"/>
  <c r="L87" i="31"/>
  <c r="I88" i="31"/>
  <c r="J88" i="31"/>
  <c r="K88" i="31"/>
  <c r="L88" i="31"/>
  <c r="J91" i="31"/>
  <c r="K91" i="31"/>
  <c r="L91" i="31"/>
  <c r="J92" i="31"/>
  <c r="K92" i="31"/>
  <c r="L92" i="31"/>
  <c r="J93" i="31"/>
  <c r="K93" i="31"/>
  <c r="L93" i="31"/>
  <c r="J94" i="31"/>
  <c r="K94" i="31"/>
  <c r="L94" i="31"/>
  <c r="J95" i="31"/>
  <c r="K95" i="31"/>
  <c r="L95" i="31"/>
  <c r="J96" i="31"/>
  <c r="K96" i="31"/>
  <c r="L96" i="31"/>
  <c r="J97" i="31"/>
  <c r="K97" i="31"/>
  <c r="L97" i="31"/>
  <c r="J98" i="31"/>
  <c r="K98" i="31"/>
  <c r="L98" i="31"/>
  <c r="I109" i="31"/>
  <c r="J109" i="31"/>
  <c r="K109" i="31"/>
  <c r="I111" i="31"/>
  <c r="J111" i="31"/>
  <c r="K111" i="31"/>
  <c r="I112" i="31"/>
  <c r="J112" i="31"/>
  <c r="K112" i="31"/>
  <c r="I113" i="31"/>
  <c r="J113" i="31"/>
  <c r="K113" i="31"/>
  <c r="I116" i="31"/>
  <c r="J116" i="31"/>
  <c r="K116" i="31"/>
  <c r="I122" i="31"/>
  <c r="J122" i="31"/>
  <c r="K122" i="31"/>
  <c r="I123" i="31"/>
  <c r="J123" i="31"/>
  <c r="K123" i="31"/>
  <c r="I124" i="31"/>
  <c r="J124" i="31"/>
  <c r="K124" i="31"/>
  <c r="I125" i="31"/>
  <c r="J125" i="31"/>
  <c r="K125" i="31"/>
  <c r="I128" i="31"/>
  <c r="J128" i="31"/>
  <c r="K128" i="31"/>
  <c r="I135" i="31"/>
  <c r="J135" i="31"/>
  <c r="K135" i="31"/>
  <c r="I136" i="31"/>
  <c r="J136" i="31"/>
  <c r="K136"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Soomit Datta</author>
    <author>sdatta</author>
  </authors>
  <commentList>
    <comment ref="D23" authorId="0" shapeId="0" xr:uid="{00000000-0006-0000-0D00-000001000000}">
      <text>
        <r>
          <rPr>
            <b/>
            <sz val="9"/>
            <color indexed="81"/>
            <rFont val="Tahoma"/>
            <family val="2"/>
          </rPr>
          <t>Soomit Datta:</t>
        </r>
        <r>
          <rPr>
            <sz val="9"/>
            <color indexed="81"/>
            <rFont val="Tahoma"/>
            <family val="2"/>
          </rPr>
          <t xml:space="preserve">
JMIA US</t>
        </r>
      </text>
    </comment>
    <comment ref="I29" authorId="0" shapeId="0" xr:uid="{00000000-0006-0000-0D00-000002000000}">
      <text>
        <r>
          <rPr>
            <b/>
            <sz val="9"/>
            <color indexed="81"/>
            <rFont val="Tahoma"/>
            <family val="2"/>
          </rPr>
          <t>Soomit Datta:</t>
        </r>
        <r>
          <rPr>
            <sz val="9"/>
            <color indexed="81"/>
            <rFont val="Tahoma"/>
            <family val="2"/>
          </rPr>
          <t xml:space="preserve">
2026-27 Colombia 700 MHz payments</t>
        </r>
      </text>
    </comment>
    <comment ref="J189" authorId="0" shapeId="0" xr:uid="{642465E4-8569-410B-B5FA-E20D330E52B1}">
      <text>
        <r>
          <rPr>
            <b/>
            <sz val="9"/>
            <color indexed="81"/>
            <rFont val="Tahoma"/>
            <family val="2"/>
          </rPr>
          <t>Soomit Datta:</t>
        </r>
        <r>
          <rPr>
            <sz val="9"/>
            <color indexed="81"/>
            <rFont val="Tahoma"/>
            <family val="2"/>
          </rPr>
          <t xml:space="preserve">
Colombia spectrum renewals</t>
        </r>
      </text>
    </comment>
    <comment ref="E197" authorId="0" shapeId="0" xr:uid="{00000000-0006-0000-0D00-000003000000}">
      <text>
        <r>
          <rPr>
            <b/>
            <sz val="9"/>
            <color indexed="81"/>
            <rFont val="Tahoma"/>
            <family val="2"/>
          </rPr>
          <t>Soomit Datta:</t>
        </r>
        <r>
          <rPr>
            <sz val="9"/>
            <color indexed="81"/>
            <rFont val="Tahoma"/>
            <family val="2"/>
          </rPr>
          <t xml:space="preserve">
Q4 2013</t>
        </r>
      </text>
    </comment>
    <comment ref="I197" authorId="0" shapeId="0" xr:uid="{00000000-0006-0000-0D00-000004000000}">
      <text>
        <r>
          <rPr>
            <b/>
            <sz val="9"/>
            <color indexed="81"/>
            <rFont val="Tahoma"/>
            <family val="2"/>
          </rPr>
          <t>Soomit Datta:</t>
        </r>
        <r>
          <rPr>
            <sz val="9"/>
            <color indexed="81"/>
            <rFont val="Tahoma"/>
            <family val="2"/>
          </rPr>
          <t xml:space="preserve">
Assumed amount for cable in Costa Rica and Nicaragua</t>
        </r>
      </text>
    </comment>
    <comment ref="E234" authorId="1" shapeId="0" xr:uid="{00000000-0006-0000-0D00-000005000000}">
      <text>
        <r>
          <rPr>
            <b/>
            <sz val="8"/>
            <color indexed="81"/>
            <rFont val="Tahoma"/>
            <family val="2"/>
          </rPr>
          <t>sdatta:</t>
        </r>
        <r>
          <rPr>
            <sz val="8"/>
            <color indexed="81"/>
            <rFont val="Tahoma"/>
            <family val="2"/>
          </rPr>
          <t xml:space="preserve">
1 July 2009</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JDimovic</author>
    <author>Soomit Datta</author>
  </authors>
  <commentList>
    <comment ref="A15" authorId="0" shapeId="0" xr:uid="{00000000-0006-0000-0B00-000001000000}">
      <text>
        <r>
          <rPr>
            <b/>
            <sz val="9"/>
            <color indexed="81"/>
            <rFont val="Tahoma"/>
            <family val="2"/>
          </rPr>
          <t>JDimovic:</t>
        </r>
        <r>
          <rPr>
            <sz val="9"/>
            <color indexed="81"/>
            <rFont val="Tahoma"/>
            <family val="2"/>
          </rPr>
          <t xml:space="preserve">
including business service revenue, other information revenue, corporate transmission</t>
        </r>
      </text>
    </comment>
    <comment ref="A21" authorId="0" shapeId="0" xr:uid="{00000000-0006-0000-0B00-000002000000}">
      <text>
        <r>
          <rPr>
            <b/>
            <sz val="9"/>
            <color indexed="81"/>
            <rFont val="Tahoma"/>
            <family val="2"/>
          </rPr>
          <t>JDimovic:</t>
        </r>
        <r>
          <rPr>
            <sz val="9"/>
            <color indexed="81"/>
            <rFont val="Tahoma"/>
            <family val="2"/>
          </rPr>
          <t xml:space="preserve">
including business service revenue, other information revenue, corporate transmission</t>
        </r>
      </text>
    </comment>
    <comment ref="A28" authorId="0" shapeId="0" xr:uid="{00000000-0006-0000-0B00-000003000000}">
      <text>
        <r>
          <rPr>
            <b/>
            <sz val="9"/>
            <color indexed="81"/>
            <rFont val="Tahoma"/>
            <family val="2"/>
          </rPr>
          <t>JDimovic:</t>
        </r>
        <r>
          <rPr>
            <sz val="9"/>
            <color indexed="81"/>
            <rFont val="Tahoma"/>
            <family val="2"/>
          </rPr>
          <t xml:space="preserve">
including business service revenue, other information revenue, corporate transmission</t>
        </r>
      </text>
    </comment>
    <comment ref="A33" authorId="0" shapeId="0" xr:uid="{00000000-0006-0000-0B00-000004000000}">
      <text>
        <r>
          <rPr>
            <b/>
            <sz val="9"/>
            <color indexed="81"/>
            <rFont val="Tahoma"/>
            <family val="2"/>
          </rPr>
          <t>JDimovic:</t>
        </r>
        <r>
          <rPr>
            <sz val="9"/>
            <color indexed="81"/>
            <rFont val="Tahoma"/>
            <family val="2"/>
          </rPr>
          <t xml:space="preserve">
including set top boxes and mobile phones- T&amp;E</t>
        </r>
      </text>
    </comment>
    <comment ref="A60" authorId="0" shapeId="0" xr:uid="{00000000-0006-0000-0B00-000005000000}">
      <text>
        <r>
          <rPr>
            <b/>
            <sz val="9"/>
            <color indexed="81"/>
            <rFont val="Tahoma"/>
            <family val="2"/>
          </rPr>
          <t>JDimovic:</t>
        </r>
        <r>
          <rPr>
            <sz val="9"/>
            <color indexed="81"/>
            <rFont val="Tahoma"/>
            <family val="2"/>
          </rPr>
          <t xml:space="preserve">
including business service revenue, other information revenue, corporate transmission</t>
        </r>
      </text>
    </comment>
    <comment ref="A65" authorId="0" shapeId="0" xr:uid="{00000000-0006-0000-0B00-000006000000}">
      <text>
        <r>
          <rPr>
            <b/>
            <sz val="9"/>
            <color indexed="81"/>
            <rFont val="Tahoma"/>
            <family val="2"/>
          </rPr>
          <t>JDimovic:</t>
        </r>
        <r>
          <rPr>
            <sz val="9"/>
            <color indexed="81"/>
            <rFont val="Tahoma"/>
            <family val="2"/>
          </rPr>
          <t xml:space="preserve">
including set top boxes and mobile phones- T&amp;E</t>
        </r>
      </text>
    </comment>
    <comment ref="A91" authorId="0" shapeId="0" xr:uid="{00000000-0006-0000-0B00-000007000000}">
      <text>
        <r>
          <rPr>
            <b/>
            <sz val="9"/>
            <color indexed="81"/>
            <rFont val="Tahoma"/>
            <family val="2"/>
          </rPr>
          <t>JDimovic:</t>
        </r>
        <r>
          <rPr>
            <sz val="9"/>
            <color indexed="81"/>
            <rFont val="Tahoma"/>
            <family val="2"/>
          </rPr>
          <t xml:space="preserve">
including business service revenue, other information revenue, corporate transmission</t>
        </r>
      </text>
    </comment>
    <comment ref="A96" authorId="0" shapeId="0" xr:uid="{00000000-0006-0000-0B00-000008000000}">
      <text>
        <r>
          <rPr>
            <b/>
            <sz val="9"/>
            <color indexed="81"/>
            <rFont val="Tahoma"/>
            <family val="2"/>
          </rPr>
          <t>JDimovic:</t>
        </r>
        <r>
          <rPr>
            <sz val="9"/>
            <color indexed="81"/>
            <rFont val="Tahoma"/>
            <family val="2"/>
          </rPr>
          <t xml:space="preserve">
including set top boxes and mobile phones- T&amp;E</t>
        </r>
      </text>
    </comment>
    <comment ref="A127" authorId="0" shapeId="0" xr:uid="{00000000-0006-0000-0B00-000009000000}">
      <text>
        <r>
          <rPr>
            <b/>
            <sz val="9"/>
            <color indexed="81"/>
            <rFont val="Tahoma"/>
            <family val="2"/>
          </rPr>
          <t>JDimovic:</t>
        </r>
        <r>
          <rPr>
            <sz val="9"/>
            <color indexed="81"/>
            <rFont val="Tahoma"/>
            <family val="2"/>
          </rPr>
          <t xml:space="preserve">
including set top boxes and mobile phones- T&amp;E</t>
        </r>
      </text>
    </comment>
    <comment ref="B197" authorId="1" shapeId="0" xr:uid="{00000000-0006-0000-0B00-00000A000000}">
      <text>
        <r>
          <rPr>
            <b/>
            <sz val="9"/>
            <color indexed="81"/>
            <rFont val="Tahoma"/>
            <family val="2"/>
          </rPr>
          <t>Soomit Datta:</t>
        </r>
        <r>
          <rPr>
            <sz val="9"/>
            <color indexed="81"/>
            <rFont val="Tahoma"/>
            <family val="2"/>
          </rPr>
          <t xml:space="preserve">
above 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H81" authorId="0" shapeId="0" xr:uid="{00000000-0006-0000-0E00-000001000000}">
      <text>
        <r>
          <rPr>
            <b/>
            <sz val="9"/>
            <color indexed="81"/>
            <rFont val="Tahoma"/>
            <family val="2"/>
          </rPr>
          <t>Soomit Datta:</t>
        </r>
        <r>
          <rPr>
            <sz val="9"/>
            <color indexed="81"/>
            <rFont val="Tahoma"/>
            <family val="2"/>
          </rPr>
          <t xml:space="preserve">
Gross debt of US$504m from 20F, less estimate for cash of US$100m</t>
        </r>
      </text>
    </comment>
    <comment ref="I81" authorId="0" shapeId="0" xr:uid="{00000000-0006-0000-0E00-000002000000}">
      <text>
        <r>
          <rPr>
            <b/>
            <sz val="9"/>
            <color indexed="81"/>
            <rFont val="Tahoma"/>
            <family val="2"/>
          </rPr>
          <t>Soomit Datta:</t>
        </r>
        <r>
          <rPr>
            <sz val="9"/>
            <color indexed="81"/>
            <rFont val="Tahoma"/>
            <family val="2"/>
          </rPr>
          <t xml:space="preserve">
From IR, at time of UNE deal</t>
        </r>
      </text>
    </comment>
    <comment ref="J81" authorId="0" shapeId="0" xr:uid="{00000000-0006-0000-0E00-000003000000}">
      <text>
        <r>
          <rPr>
            <b/>
            <sz val="9"/>
            <color indexed="81"/>
            <rFont val="Tahoma"/>
            <family val="2"/>
          </rPr>
          <t>Soomit Datta:</t>
        </r>
        <r>
          <rPr>
            <sz val="9"/>
            <color indexed="81"/>
            <rFont val="Tahoma"/>
            <family val="2"/>
          </rPr>
          <t xml:space="preserve">
estimate</t>
        </r>
      </text>
    </comment>
    <comment ref="I183" authorId="0" shapeId="0" xr:uid="{00000000-0006-0000-0E00-000004000000}">
      <text>
        <r>
          <rPr>
            <b/>
            <sz val="9"/>
            <color indexed="81"/>
            <rFont val="Tahoma"/>
            <family val="2"/>
          </rPr>
          <t>Soomit Datta:</t>
        </r>
        <r>
          <rPr>
            <sz val="9"/>
            <color indexed="81"/>
            <rFont val="Tahoma"/>
            <family val="2"/>
          </rPr>
          <t xml:space="preserve">
ex Edatel/Pereira until 2012</t>
        </r>
      </text>
    </comment>
    <comment ref="O227" authorId="0" shapeId="0" xr:uid="{00000000-0006-0000-0E00-000005000000}">
      <text>
        <r>
          <rPr>
            <b/>
            <sz val="9"/>
            <color indexed="81"/>
            <rFont val="Tahoma"/>
            <family val="2"/>
          </rPr>
          <t>Soomit Datta:</t>
        </r>
        <r>
          <rPr>
            <sz val="9"/>
            <color indexed="81"/>
            <rFont val="Tahoma"/>
            <family val="2"/>
          </rPr>
          <t xml:space="preserve">
Wholesale revenue now net</t>
        </r>
      </text>
    </comment>
    <comment ref="O228" authorId="0" shapeId="0" xr:uid="{00000000-0006-0000-0E00-000006000000}">
      <text>
        <r>
          <rPr>
            <b/>
            <sz val="9"/>
            <color indexed="81"/>
            <rFont val="Tahoma"/>
            <family val="2"/>
          </rPr>
          <t>Soomit Datta:</t>
        </r>
        <r>
          <rPr>
            <sz val="9"/>
            <color indexed="81"/>
            <rFont val="Tahoma"/>
            <family val="2"/>
          </rPr>
          <t xml:space="preserve">
Wholesale revenue now net</t>
        </r>
      </text>
    </comment>
    <comment ref="O229" authorId="0" shapeId="0" xr:uid="{00000000-0006-0000-0E00-000007000000}">
      <text>
        <r>
          <rPr>
            <b/>
            <sz val="9"/>
            <color indexed="81"/>
            <rFont val="Tahoma"/>
            <family val="2"/>
          </rPr>
          <t>Soomit Datta:</t>
        </r>
        <r>
          <rPr>
            <sz val="9"/>
            <color indexed="81"/>
            <rFont val="Tahoma"/>
            <family val="2"/>
          </rPr>
          <t xml:space="preserve">
Wholesale revenue now net</t>
        </r>
      </text>
    </comment>
    <comment ref="I236" authorId="0" shapeId="0" xr:uid="{00000000-0006-0000-0E00-000008000000}">
      <text>
        <r>
          <rPr>
            <b/>
            <sz val="9"/>
            <color indexed="81"/>
            <rFont val="Tahoma"/>
            <family val="2"/>
          </rPr>
          <t>Soomit Datta:</t>
        </r>
        <r>
          <rPr>
            <sz val="9"/>
            <color indexed="81"/>
            <rFont val="Tahoma"/>
            <family val="2"/>
          </rPr>
          <t xml:space="preserve">
To match with Millicom's IFRS reported number of $256m for UNE and $48m for Edatel/Pereira</t>
        </r>
      </text>
    </comment>
    <comment ref="J308" authorId="0" shapeId="0" xr:uid="{00000000-0006-0000-0E00-000009000000}">
      <text>
        <r>
          <rPr>
            <b/>
            <sz val="9"/>
            <color indexed="81"/>
            <rFont val="Tahoma"/>
            <family val="2"/>
          </rPr>
          <t>Soomit Datta:</t>
        </r>
        <r>
          <rPr>
            <sz val="9"/>
            <color indexed="81"/>
            <rFont val="Tahoma"/>
            <family val="2"/>
          </rPr>
          <t xml:space="preserve">
Tigo only</t>
        </r>
      </text>
    </comment>
    <comment ref="K308" authorId="0" shapeId="0" xr:uid="{00000000-0006-0000-0E00-00000A000000}">
      <text>
        <r>
          <rPr>
            <b/>
            <sz val="9"/>
            <color indexed="81"/>
            <rFont val="Tahoma"/>
            <family val="2"/>
          </rPr>
          <t>Soomit Datta:</t>
        </r>
        <r>
          <rPr>
            <sz val="9"/>
            <color indexed="81"/>
            <rFont val="Tahoma"/>
            <family val="2"/>
          </rPr>
          <t xml:space="preserve">
2014 annual report</t>
        </r>
      </text>
    </comment>
    <comment ref="L308" authorId="0" shapeId="0" xr:uid="{00000000-0006-0000-0E00-00000B000000}">
      <text>
        <r>
          <rPr>
            <b/>
            <sz val="9"/>
            <color indexed="81"/>
            <rFont val="Tahoma"/>
            <family val="2"/>
          </rPr>
          <t>Soomit Datta:</t>
        </r>
        <r>
          <rPr>
            <sz val="9"/>
            <color indexed="81"/>
            <rFont val="Tahoma"/>
            <family val="2"/>
          </rPr>
          <t xml:space="preserve">
Assume incremental borrowing</t>
        </r>
      </text>
    </comment>
    <comment ref="K309" authorId="0" shapeId="0" xr:uid="{00000000-0006-0000-0E00-00000C000000}">
      <text>
        <r>
          <rPr>
            <b/>
            <sz val="9"/>
            <color indexed="81"/>
            <rFont val="Tahoma"/>
            <family val="2"/>
          </rPr>
          <t>Soomit Datta:</t>
        </r>
        <r>
          <rPr>
            <sz val="9"/>
            <color indexed="81"/>
            <rFont val="Tahoma"/>
            <family val="2"/>
          </rPr>
          <t xml:space="preserve">
estimate</t>
        </r>
      </text>
    </comment>
    <comment ref="C566" authorId="0" shapeId="0" xr:uid="{00000000-0006-0000-0E00-00000D000000}">
      <text>
        <r>
          <rPr>
            <b/>
            <sz val="9"/>
            <color indexed="81"/>
            <rFont val="Tahoma"/>
            <family val="2"/>
          </rPr>
          <t>Soomit Datta:</t>
        </r>
        <r>
          <rPr>
            <sz val="9"/>
            <color indexed="81"/>
            <rFont val="Tahoma"/>
            <family val="2"/>
          </rPr>
          <t xml:space="preserve">
95% covered with assets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Soomit Datta</author>
    <author>sdatta</author>
  </authors>
  <commentList>
    <comment ref="N31" authorId="0" shapeId="0" xr:uid="{00000000-0006-0000-1000-000001000000}">
      <text>
        <r>
          <rPr>
            <b/>
            <sz val="9"/>
            <color indexed="81"/>
            <rFont val="Tahoma"/>
            <family val="2"/>
          </rPr>
          <t>Soomit Datta:</t>
        </r>
        <r>
          <rPr>
            <sz val="9"/>
            <color indexed="81"/>
            <rFont val="Tahoma"/>
            <family val="2"/>
          </rPr>
          <t xml:space="preserve">
from Q3 14</t>
        </r>
      </text>
    </comment>
    <comment ref="J34" authorId="0" shapeId="0" xr:uid="{00000000-0006-0000-1000-000002000000}">
      <text>
        <r>
          <rPr>
            <b/>
            <sz val="9"/>
            <color indexed="81"/>
            <rFont val="Tahoma"/>
            <family val="2"/>
          </rPr>
          <t>Soomit Datta:</t>
        </r>
        <r>
          <rPr>
            <sz val="9"/>
            <color indexed="81"/>
            <rFont val="Tahoma"/>
            <family val="2"/>
          </rPr>
          <t xml:space="preserve">
Split into Central America and South America from 2011 onwards</t>
        </r>
      </text>
    </comment>
    <comment ref="M38" authorId="0" shapeId="0" xr:uid="{00000000-0006-0000-1000-000003000000}">
      <text>
        <r>
          <rPr>
            <b/>
            <sz val="9"/>
            <color indexed="81"/>
            <rFont val="Tahoma"/>
            <family val="2"/>
          </rPr>
          <t>Soomit Datta:</t>
        </r>
        <r>
          <rPr>
            <sz val="9"/>
            <color indexed="81"/>
            <rFont val="Tahoma"/>
            <family val="2"/>
          </rPr>
          <t xml:space="preserve">
adjusted for consolidation changes</t>
        </r>
      </text>
    </comment>
    <comment ref="N47" authorId="0" shapeId="0" xr:uid="{00000000-0006-0000-1000-000004000000}">
      <text>
        <r>
          <rPr>
            <b/>
            <sz val="9"/>
            <color indexed="81"/>
            <rFont val="Tahoma"/>
            <family val="2"/>
          </rPr>
          <t>Soomit Datta:</t>
        </r>
        <r>
          <rPr>
            <sz val="9"/>
            <color indexed="81"/>
            <rFont val="Tahoma"/>
            <family val="2"/>
          </rPr>
          <t xml:space="preserve">
From Q3 14</t>
        </r>
      </text>
    </comment>
    <comment ref="J50" authorId="0" shapeId="0" xr:uid="{00000000-0006-0000-1000-000005000000}">
      <text>
        <r>
          <rPr>
            <b/>
            <sz val="9"/>
            <color indexed="81"/>
            <rFont val="Tahoma"/>
            <family val="2"/>
          </rPr>
          <t>Soomit Datta:</t>
        </r>
        <r>
          <rPr>
            <sz val="9"/>
            <color indexed="81"/>
            <rFont val="Tahoma"/>
            <family val="2"/>
          </rPr>
          <t xml:space="preserve">
Split into Central America and South America from 2011 onwards</t>
        </r>
      </text>
    </comment>
    <comment ref="M54" authorId="0" shapeId="0" xr:uid="{00000000-0006-0000-1000-000006000000}">
      <text>
        <r>
          <rPr>
            <b/>
            <sz val="9"/>
            <color indexed="81"/>
            <rFont val="Tahoma"/>
            <family val="2"/>
          </rPr>
          <t>Soomit Datta:</t>
        </r>
        <r>
          <rPr>
            <sz val="9"/>
            <color indexed="81"/>
            <rFont val="Tahoma"/>
            <family val="2"/>
          </rPr>
          <t xml:space="preserve">
adj for consol changes, and UNE</t>
        </r>
      </text>
    </comment>
    <comment ref="N54" authorId="0" shapeId="0" xr:uid="{00000000-0006-0000-1000-000007000000}">
      <text>
        <r>
          <rPr>
            <b/>
            <sz val="9"/>
            <color indexed="81"/>
            <rFont val="Tahoma"/>
            <family val="2"/>
          </rPr>
          <t>Soomit Datta:</t>
        </r>
        <r>
          <rPr>
            <sz val="9"/>
            <color indexed="81"/>
            <rFont val="Tahoma"/>
            <family val="2"/>
          </rPr>
          <t xml:space="preserve">
adj for UNE</t>
        </r>
      </text>
    </comment>
    <comment ref="E75" authorId="1" shapeId="0" xr:uid="{00000000-0006-0000-1000-000008000000}">
      <text>
        <r>
          <rPr>
            <b/>
            <sz val="8"/>
            <color indexed="81"/>
            <rFont val="Tahoma"/>
            <family val="2"/>
          </rPr>
          <t>sdatta:</t>
        </r>
        <r>
          <rPr>
            <sz val="8"/>
            <color indexed="81"/>
            <rFont val="Tahoma"/>
            <family val="2"/>
          </rPr>
          <t xml:space="preserve">
Includes Vietnam</t>
        </r>
      </text>
    </comment>
    <comment ref="F75" authorId="1" shapeId="0" xr:uid="{00000000-0006-0000-1000-000009000000}">
      <text>
        <r>
          <rPr>
            <b/>
            <sz val="8"/>
            <color indexed="81"/>
            <rFont val="Tahoma"/>
            <family val="2"/>
          </rPr>
          <t>sdatta:</t>
        </r>
        <r>
          <rPr>
            <sz val="8"/>
            <color indexed="81"/>
            <rFont val="Tahoma"/>
            <family val="2"/>
          </rPr>
          <t xml:space="preserve">
Includes 3 quarters of Pakistan</t>
        </r>
      </text>
    </comment>
    <comment ref="L80" authorId="0" shapeId="0" xr:uid="{00000000-0006-0000-1000-00000A000000}">
      <text>
        <r>
          <rPr>
            <b/>
            <sz val="9"/>
            <color indexed="81"/>
            <rFont val="Tahoma"/>
            <family val="2"/>
          </rPr>
          <t>Soomit Datta:</t>
        </r>
        <r>
          <rPr>
            <sz val="9"/>
            <color indexed="81"/>
            <rFont val="Tahoma"/>
            <family val="2"/>
          </rPr>
          <t xml:space="preserve">
less senegal licence extension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C59" authorId="0" shapeId="0" xr:uid="{00000000-0006-0000-1100-000001000000}">
      <text>
        <r>
          <rPr>
            <b/>
            <sz val="9"/>
            <color indexed="81"/>
            <rFont val="Tahoma"/>
            <family val="2"/>
          </rPr>
          <t>Soomit Datta:</t>
        </r>
        <r>
          <rPr>
            <sz val="9"/>
            <color indexed="81"/>
            <rFont val="Tahoma"/>
            <family val="2"/>
          </rPr>
          <t xml:space="preserve">
6m to Sept-15 (last reported under split) x 2</t>
        </r>
      </text>
    </comment>
    <comment ref="D60" authorId="0" shapeId="0" xr:uid="{00000000-0006-0000-1100-000002000000}">
      <text>
        <r>
          <rPr>
            <b/>
            <sz val="9"/>
            <color indexed="81"/>
            <rFont val="Tahoma"/>
            <family val="2"/>
          </rPr>
          <t>Soomit Datta:</t>
        </r>
        <r>
          <rPr>
            <sz val="9"/>
            <color indexed="81"/>
            <rFont val="Tahoma"/>
            <family val="2"/>
          </rPr>
          <t xml:space="preserve">
Q3 16 and Q4 16, "Panama wireless flat"</t>
        </r>
      </text>
    </comment>
    <comment ref="E60" authorId="0" shapeId="0" xr:uid="{00000000-0006-0000-1100-000003000000}">
      <text>
        <r>
          <rPr>
            <b/>
            <sz val="9"/>
            <color indexed="81"/>
            <rFont val="Tahoma"/>
            <family val="2"/>
          </rPr>
          <t>Soomit Datta:</t>
        </r>
        <r>
          <rPr>
            <sz val="9"/>
            <color indexed="81"/>
            <rFont val="Tahoma"/>
            <family val="2"/>
          </rPr>
          <t xml:space="preserve">
Q1 17 and Q2 17 down 2% and down 1% respectively</t>
        </r>
      </text>
    </comment>
    <comment ref="F66" authorId="0" shapeId="0" xr:uid="{00000000-0006-0000-1100-000004000000}">
      <text>
        <r>
          <rPr>
            <b/>
            <sz val="9"/>
            <color indexed="81"/>
            <rFont val="Tahoma"/>
            <family val="2"/>
          </rPr>
          <t>Soomit Datta:</t>
        </r>
        <r>
          <rPr>
            <sz val="9"/>
            <color indexed="81"/>
            <rFont val="Tahoma"/>
            <family val="2"/>
          </rPr>
          <t xml:space="preserve">
" growing strongly" according to Digicel</t>
        </r>
      </text>
    </comment>
    <comment ref="H172" authorId="0" shapeId="0" xr:uid="{00000000-0006-0000-1100-000005000000}">
      <text>
        <r>
          <rPr>
            <b/>
            <sz val="9"/>
            <color indexed="81"/>
            <rFont val="Tahoma"/>
            <family val="2"/>
          </rPr>
          <t>Soomit Datta:</t>
        </r>
        <r>
          <rPr>
            <sz val="9"/>
            <color indexed="81"/>
            <rFont val="Tahoma"/>
            <family val="2"/>
          </rPr>
          <t xml:space="preserve">
Costa Rica from Q2 onwards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C22" authorId="0" shapeId="0" xr:uid="{00000000-0006-0000-1200-000001000000}">
      <text>
        <r>
          <rPr>
            <b/>
            <sz val="9"/>
            <color indexed="81"/>
            <rFont val="Tahoma"/>
            <family val="2"/>
          </rPr>
          <t>Soomit Datta:</t>
        </r>
        <r>
          <rPr>
            <sz val="9"/>
            <color indexed="81"/>
            <rFont val="Tahoma"/>
            <family val="2"/>
          </rPr>
          <t xml:space="preserve">
estimate</t>
        </r>
      </text>
    </comment>
    <comment ref="D22" authorId="0" shapeId="0" xr:uid="{00000000-0006-0000-1200-000002000000}">
      <text>
        <r>
          <rPr>
            <b/>
            <sz val="9"/>
            <color indexed="81"/>
            <rFont val="Tahoma"/>
            <family val="2"/>
          </rPr>
          <t>Soomit Datta:</t>
        </r>
        <r>
          <rPr>
            <sz val="9"/>
            <color indexed="81"/>
            <rFont val="Tahoma"/>
            <family val="2"/>
          </rPr>
          <t xml:space="preserve">
estimate</t>
        </r>
      </text>
    </comment>
    <comment ref="E22" authorId="0" shapeId="0" xr:uid="{00000000-0006-0000-1200-000003000000}">
      <text>
        <r>
          <rPr>
            <b/>
            <sz val="9"/>
            <color indexed="81"/>
            <rFont val="Tahoma"/>
            <family val="2"/>
          </rPr>
          <t>Soomit Datta:</t>
        </r>
        <r>
          <rPr>
            <sz val="9"/>
            <color indexed="81"/>
            <rFont val="Tahoma"/>
            <family val="2"/>
          </rPr>
          <t xml:space="preserve">
temporary</t>
        </r>
      </text>
    </comment>
    <comment ref="F22" authorId="0" shapeId="0" xr:uid="{00000000-0006-0000-1200-000004000000}">
      <text>
        <r>
          <rPr>
            <b/>
            <sz val="9"/>
            <color indexed="81"/>
            <rFont val="Tahoma"/>
            <family val="2"/>
          </rPr>
          <t>Soomit Datta:</t>
        </r>
        <r>
          <rPr>
            <sz val="9"/>
            <color indexed="81"/>
            <rFont val="Tahoma"/>
            <family val="2"/>
          </rPr>
          <t xml:space="preserve">
temporary</t>
        </r>
      </text>
    </comment>
    <comment ref="G22" authorId="0" shapeId="0" xr:uid="{00000000-0006-0000-1200-000005000000}">
      <text>
        <r>
          <rPr>
            <b/>
            <sz val="9"/>
            <color indexed="81"/>
            <rFont val="Tahoma"/>
            <family val="2"/>
          </rPr>
          <t>Soomit Datta:</t>
        </r>
        <r>
          <rPr>
            <sz val="9"/>
            <color indexed="81"/>
            <rFont val="Tahoma"/>
            <family val="2"/>
          </rPr>
          <t xml:space="preserve">
temporary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sdatta</author>
    <author>Soomit Datta</author>
  </authors>
  <commentList>
    <comment ref="I14" authorId="0" shapeId="0" xr:uid="{00000000-0006-0000-1300-000001000000}">
      <text>
        <r>
          <rPr>
            <b/>
            <sz val="8"/>
            <color indexed="81"/>
            <rFont val="Tahoma"/>
            <family val="2"/>
          </rPr>
          <t>sdatta:</t>
        </r>
        <r>
          <rPr>
            <sz val="8"/>
            <color indexed="81"/>
            <rFont val="Tahoma"/>
            <family val="2"/>
          </rPr>
          <t xml:space="preserve">
MICC's numbers don't add up</t>
        </r>
      </text>
    </comment>
    <comment ref="K99" authorId="1" shapeId="0" xr:uid="{00000000-0006-0000-1300-000002000000}">
      <text>
        <r>
          <rPr>
            <b/>
            <sz val="9"/>
            <color indexed="81"/>
            <rFont val="Tahoma"/>
            <family val="2"/>
          </rPr>
          <t>Soomit Datta:</t>
        </r>
        <r>
          <rPr>
            <sz val="9"/>
            <color indexed="81"/>
            <rFont val="Tahoma"/>
            <family val="2"/>
          </rPr>
          <t xml:space="preserve">
estimate</t>
        </r>
      </text>
    </comment>
    <comment ref="AO138" authorId="1" shapeId="0" xr:uid="{00000000-0006-0000-1300-000003000000}">
      <text>
        <r>
          <rPr>
            <b/>
            <sz val="9"/>
            <color indexed="81"/>
            <rFont val="Tahoma"/>
            <family val="2"/>
          </rPr>
          <t>Soomit Datta:</t>
        </r>
        <r>
          <rPr>
            <sz val="9"/>
            <color indexed="81"/>
            <rFont val="Tahoma"/>
            <family val="2"/>
          </rPr>
          <t xml:space="preserve">
adjusted for effective tax rate</t>
        </r>
      </text>
    </comment>
    <comment ref="N143" authorId="1" shapeId="0" xr:uid="{00000000-0006-0000-1300-000004000000}">
      <text>
        <r>
          <rPr>
            <b/>
            <sz val="9"/>
            <color indexed="81"/>
            <rFont val="Tahoma"/>
            <family val="2"/>
          </rPr>
          <t>Soomit Datta:</t>
        </r>
        <r>
          <rPr>
            <sz val="9"/>
            <color indexed="81"/>
            <rFont val="Tahoma"/>
            <family val="2"/>
          </rPr>
          <t xml:space="preserve">
Guatemala consolidation</t>
        </r>
      </text>
    </comment>
    <comment ref="P190" authorId="1" shapeId="0" xr:uid="{00000000-0006-0000-1300-000005000000}">
      <text>
        <r>
          <rPr>
            <b/>
            <sz val="9"/>
            <color indexed="81"/>
            <rFont val="Tahoma"/>
            <family val="2"/>
          </rPr>
          <t>Soomit Datta:</t>
        </r>
        <r>
          <rPr>
            <sz val="9"/>
            <color indexed="81"/>
            <rFont val="Tahoma"/>
            <family val="2"/>
          </rPr>
          <t xml:space="preserve">
$842m at Sept 15</t>
        </r>
      </text>
    </comment>
    <comment ref="O273" authorId="1" shapeId="0" xr:uid="{00000000-0006-0000-1300-000006000000}">
      <text>
        <r>
          <rPr>
            <b/>
            <sz val="9"/>
            <color indexed="81"/>
            <rFont val="Tahoma"/>
            <family val="2"/>
          </rPr>
          <t>Soomit Datta:</t>
        </r>
        <r>
          <rPr>
            <sz val="9"/>
            <color indexed="81"/>
            <rFont val="Tahoma"/>
            <family val="2"/>
          </rPr>
          <t xml:space="preserve">
2014 annual report (1st three) + estimate to match Q3 15 press release net debt</t>
        </r>
      </text>
    </comment>
    <comment ref="O274" authorId="1" shapeId="0" xr:uid="{00000000-0006-0000-1300-000007000000}">
      <text>
        <r>
          <rPr>
            <b/>
            <sz val="9"/>
            <color indexed="81"/>
            <rFont val="Tahoma"/>
            <family val="2"/>
          </rPr>
          <t>Soomit Datta:</t>
        </r>
        <r>
          <rPr>
            <sz val="9"/>
            <color indexed="81"/>
            <rFont val="Tahoma"/>
            <family val="2"/>
          </rPr>
          <t xml:space="preserve">
estimate</t>
        </r>
      </text>
    </comment>
    <comment ref="P311" authorId="1" shapeId="0" xr:uid="{00000000-0006-0000-1300-000008000000}">
      <text>
        <r>
          <rPr>
            <b/>
            <sz val="9"/>
            <color indexed="81"/>
            <rFont val="Tahoma"/>
            <family val="2"/>
          </rPr>
          <t>Soomit Datta:</t>
        </r>
        <r>
          <rPr>
            <sz val="9"/>
            <color indexed="81"/>
            <rFont val="Tahoma"/>
            <family val="2"/>
          </rPr>
          <t xml:space="preserve">
Assume $100m in El Salvador/Costa Rica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O82" authorId="0" shapeId="0" xr:uid="{00000000-0006-0000-1400-000001000000}">
      <text>
        <r>
          <rPr>
            <b/>
            <sz val="9"/>
            <color indexed="81"/>
            <rFont val="Tahoma"/>
            <family val="2"/>
          </rPr>
          <t>Soomit Datta:</t>
        </r>
        <r>
          <rPr>
            <sz val="9"/>
            <color indexed="81"/>
            <rFont val="Tahoma"/>
            <family val="2"/>
          </rPr>
          <t xml:space="preserve">
UNE stripped out</t>
        </r>
      </text>
    </comment>
    <comment ref="N88" authorId="0" shapeId="0" xr:uid="{00000000-0006-0000-1400-000002000000}">
      <text>
        <r>
          <rPr>
            <b/>
            <sz val="9"/>
            <color indexed="81"/>
            <rFont val="Tahoma"/>
            <family val="2"/>
          </rPr>
          <t>Soomit Datta:</t>
        </r>
        <r>
          <rPr>
            <sz val="9"/>
            <color indexed="81"/>
            <rFont val="Tahoma"/>
            <family val="2"/>
          </rPr>
          <t xml:space="preserve">
Step up reflects Cablevision (Q4 12)</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sdatta</author>
    <author>Soomit Datta</author>
  </authors>
  <commentList>
    <comment ref="K10" authorId="0" shapeId="0" xr:uid="{00000000-0006-0000-1500-000001000000}">
      <text>
        <r>
          <rPr>
            <b/>
            <sz val="8"/>
            <color indexed="81"/>
            <rFont val="Tahoma"/>
            <family val="2"/>
          </rPr>
          <t>sdatta:</t>
        </r>
        <r>
          <rPr>
            <sz val="8"/>
            <color indexed="81"/>
            <rFont val="Tahoma"/>
            <family val="2"/>
          </rPr>
          <t xml:space="preserve">
KBC only</t>
        </r>
      </text>
    </comment>
    <comment ref="N10" authorId="1" shapeId="0" xr:uid="{00000000-0006-0000-1500-000002000000}">
      <text>
        <r>
          <rPr>
            <b/>
            <sz val="9"/>
            <color indexed="81"/>
            <rFont val="Tahoma"/>
            <family val="2"/>
          </rPr>
          <t>Soomit Datta:</t>
        </r>
        <r>
          <rPr>
            <sz val="9"/>
            <color indexed="81"/>
            <rFont val="Tahoma"/>
            <family val="2"/>
          </rPr>
          <t xml:space="preserve">
Includes Kivu</t>
        </r>
      </text>
    </comment>
    <comment ref="K21" authorId="0" shapeId="0" xr:uid="{00000000-0006-0000-1500-000003000000}">
      <text>
        <r>
          <rPr>
            <b/>
            <sz val="8"/>
            <color indexed="81"/>
            <rFont val="Tahoma"/>
            <family val="2"/>
          </rPr>
          <t>sdatta:</t>
        </r>
        <r>
          <rPr>
            <sz val="8"/>
            <color indexed="81"/>
            <rFont val="Tahoma"/>
            <family val="2"/>
          </rPr>
          <t xml:space="preserve">
KBC territory only from 2010 onwards</t>
        </r>
      </text>
    </comment>
    <comment ref="N21" authorId="1" shapeId="0" xr:uid="{00000000-0006-0000-1500-000004000000}">
      <text>
        <r>
          <rPr>
            <b/>
            <sz val="9"/>
            <color indexed="81"/>
            <rFont val="Tahoma"/>
            <family val="2"/>
          </rPr>
          <t>Soomit Datta:</t>
        </r>
        <r>
          <rPr>
            <sz val="9"/>
            <color indexed="81"/>
            <rFont val="Tahoma"/>
            <family val="2"/>
          </rPr>
          <t xml:space="preserve">
Includes Kivi</t>
        </r>
      </text>
    </comment>
    <comment ref="G90" authorId="1" shapeId="0" xr:uid="{00000000-0006-0000-1500-000005000000}">
      <text>
        <r>
          <rPr>
            <b/>
            <sz val="9"/>
            <color indexed="81"/>
            <rFont val="Tahoma"/>
            <family val="2"/>
          </rPr>
          <t>Soomit Datta:</t>
        </r>
        <r>
          <rPr>
            <sz val="9"/>
            <color indexed="81"/>
            <rFont val="Tahoma"/>
            <family val="2"/>
          </rPr>
          <t xml:space="preserve">
2012 split from Africa presentation Sept 2013</t>
        </r>
      </text>
    </comment>
    <comment ref="O110" authorId="1" shapeId="0" xr:uid="{00000000-0006-0000-1500-000006000000}">
      <text>
        <r>
          <rPr>
            <b/>
            <sz val="9"/>
            <color indexed="81"/>
            <rFont val="Tahoma"/>
            <family val="2"/>
          </rPr>
          <t>Soomit Datta:</t>
        </r>
        <r>
          <rPr>
            <sz val="9"/>
            <color indexed="81"/>
            <rFont val="Tahoma"/>
            <family val="2"/>
          </rPr>
          <t xml:space="preserve">
down 2% according to IR, March 2015</t>
        </r>
      </text>
    </comment>
    <comment ref="P139" authorId="1" shapeId="0" xr:uid="{00000000-0006-0000-1500-000007000000}">
      <text>
        <r>
          <rPr>
            <b/>
            <sz val="9"/>
            <color indexed="81"/>
            <rFont val="Tahoma"/>
            <family val="2"/>
          </rPr>
          <t>Soomit Datta:</t>
        </r>
        <r>
          <rPr>
            <sz val="9"/>
            <color indexed="81"/>
            <rFont val="Tahoma"/>
            <family val="2"/>
          </rPr>
          <t xml:space="preserve">
Zantel acquisition from Oct 1 assumed</t>
        </r>
      </text>
    </comment>
    <comment ref="N160" authorId="1" shapeId="0" xr:uid="{00000000-0006-0000-1500-000008000000}">
      <text>
        <r>
          <rPr>
            <b/>
            <sz val="9"/>
            <color indexed="81"/>
            <rFont val="Tahoma"/>
            <family val="2"/>
          </rPr>
          <t>Soomit Datta:</t>
        </r>
        <r>
          <rPr>
            <sz val="9"/>
            <color indexed="81"/>
            <rFont val="Tahoma"/>
            <family val="2"/>
          </rPr>
          <t xml:space="preserve">
Mauritius adjustment</t>
        </r>
      </text>
    </comment>
    <comment ref="C222" authorId="0" shapeId="0" xr:uid="{00000000-0006-0000-1500-000009000000}">
      <text>
        <r>
          <rPr>
            <b/>
            <sz val="8"/>
            <color indexed="81"/>
            <rFont val="Tahoma"/>
            <family val="2"/>
          </rPr>
          <t>sdatta:</t>
        </r>
        <r>
          <rPr>
            <sz val="8"/>
            <color indexed="81"/>
            <rFont val="Tahoma"/>
            <family val="2"/>
          </rPr>
          <t xml:space="preserve">
50% according to MTC end-05</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sdatta</author>
  </authors>
  <commentList>
    <comment ref="B5" authorId="0" shapeId="0" xr:uid="{00000000-0006-0000-1600-000001000000}">
      <text>
        <r>
          <rPr>
            <b/>
            <sz val="8"/>
            <color indexed="81"/>
            <rFont val="Tahoma"/>
            <family val="2"/>
          </rPr>
          <t>sdatta:</t>
        </r>
        <r>
          <rPr>
            <sz val="8"/>
            <color indexed="81"/>
            <rFont val="Tahoma"/>
            <family val="2"/>
          </rPr>
          <t xml:space="preserve">
where prop consol (Guatemala)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author>
    <author>Soomit Datta</author>
  </authors>
  <commentList>
    <comment ref="O30" authorId="0" shapeId="0" xr:uid="{3B6B28F4-9076-4D1C-B275-1CDB52EF5144}">
      <text>
        <r>
          <rPr>
            <b/>
            <sz val="9"/>
            <color indexed="81"/>
            <rFont val="Tahoma"/>
            <family val="2"/>
          </rPr>
          <t>David:</t>
        </r>
        <r>
          <rPr>
            <sz val="9"/>
            <color indexed="81"/>
            <rFont val="Tahoma"/>
            <family val="2"/>
          </rPr>
          <t xml:space="preserve">
Impact on EFCF from Lati deal guided to be 40m. Some tax savings given extra costs etc
Impact on EBITDA 97.5m (NSRe)</t>
        </r>
      </text>
    </comment>
    <comment ref="N32" authorId="0" shapeId="0" xr:uid="{9476A4AA-7C14-4378-B694-6955A51950AB}">
      <text>
        <r>
          <rPr>
            <b/>
            <sz val="9"/>
            <color indexed="81"/>
            <rFont val="Tahoma"/>
            <family val="2"/>
          </rPr>
          <t>David:</t>
        </r>
        <r>
          <rPr>
            <sz val="9"/>
            <color indexed="81"/>
            <rFont val="Tahoma"/>
            <family val="2"/>
          </rPr>
          <t xml:space="preserve">
Includes 49m from tower disposal</t>
        </r>
      </text>
    </comment>
    <comment ref="D62" authorId="1" shapeId="0" xr:uid="{00000000-0006-0000-0C00-000001000000}">
      <text>
        <r>
          <rPr>
            <b/>
            <sz val="9"/>
            <color indexed="81"/>
            <rFont val="Tahoma"/>
            <family val="2"/>
          </rPr>
          <t>Soomit Datta:</t>
        </r>
        <r>
          <rPr>
            <sz val="9"/>
            <color indexed="81"/>
            <rFont val="Tahoma"/>
            <family val="2"/>
          </rPr>
          <t xml:space="preserve">
Adjusted to annualise Colombian fixed deal</t>
        </r>
      </text>
    </comment>
    <comment ref="I90" authorId="1" shapeId="0" xr:uid="{00000000-0006-0000-0C00-000002000000}">
      <text>
        <r>
          <rPr>
            <b/>
            <sz val="9"/>
            <color indexed="81"/>
            <rFont val="Tahoma"/>
            <family val="2"/>
          </rPr>
          <t>Soomit Datta:</t>
        </r>
        <r>
          <rPr>
            <sz val="9"/>
            <color indexed="81"/>
            <rFont val="Tahoma"/>
            <family val="2"/>
          </rPr>
          <t xml:space="preserve">
5860 less 4942= USD918m in mins end-19 (ex leases)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author>
    <author>sdatta</author>
    <author>Soomit Datta</author>
    <author xml:space="preserve"> </author>
  </authors>
  <commentList>
    <comment ref="AC25" authorId="0" shapeId="0" xr:uid="{D63E4B08-014B-4C15-BB1A-9C1BB5A3A3F4}">
      <text>
        <r>
          <rPr>
            <b/>
            <sz val="9"/>
            <color indexed="81"/>
            <rFont val="Tahoma"/>
            <family val="2"/>
          </rPr>
          <t>David:</t>
        </r>
        <r>
          <rPr>
            <sz val="9"/>
            <color indexed="81"/>
            <rFont val="Tahoma"/>
            <family val="2"/>
          </rPr>
          <t xml:space="preserve">
Tower sale</t>
        </r>
      </text>
    </comment>
    <comment ref="A29" authorId="1" shapeId="0" xr:uid="{00000000-0006-0000-0100-000001000000}">
      <text>
        <r>
          <rPr>
            <b/>
            <sz val="8"/>
            <color indexed="81"/>
            <rFont val="Tahoma"/>
            <family val="2"/>
          </rPr>
          <t>sdatta:</t>
        </r>
        <r>
          <rPr>
            <sz val="8"/>
            <color indexed="81"/>
            <rFont val="Tahoma"/>
            <family val="2"/>
          </rPr>
          <t xml:space="preserve">
Goodwill amortisation expense</t>
        </r>
      </text>
    </comment>
    <comment ref="N65" authorId="2" shapeId="0" xr:uid="{00000000-0006-0000-0100-000002000000}">
      <text>
        <r>
          <rPr>
            <b/>
            <sz val="9"/>
            <color indexed="81"/>
            <rFont val="Tahoma"/>
            <family val="2"/>
          </rPr>
          <t>Soomit Datta:</t>
        </r>
        <r>
          <rPr>
            <sz val="9"/>
            <color indexed="81"/>
            <rFont val="Tahoma"/>
            <family val="2"/>
          </rPr>
          <t xml:space="preserve">
gain from Colombia deferred tax</t>
        </r>
      </text>
    </comment>
    <comment ref="N79" authorId="2" shapeId="0" xr:uid="{00000000-0006-0000-0100-000003000000}">
      <text>
        <r>
          <rPr>
            <b/>
            <sz val="9"/>
            <color indexed="81"/>
            <rFont val="Tahoma"/>
            <family val="2"/>
          </rPr>
          <t>Soomit Datta:</t>
        </r>
        <r>
          <rPr>
            <sz val="9"/>
            <color indexed="81"/>
            <rFont val="Tahoma"/>
            <family val="2"/>
          </rPr>
          <t xml:space="preserve">
deferred tax gain</t>
        </r>
      </text>
    </comment>
    <comment ref="H126" authorId="1" shapeId="0" xr:uid="{00000000-0006-0000-0100-000004000000}">
      <text>
        <r>
          <rPr>
            <b/>
            <sz val="8"/>
            <color indexed="81"/>
            <rFont val="Tahoma"/>
            <family val="2"/>
          </rPr>
          <t>sdatta:</t>
        </r>
        <r>
          <rPr>
            <sz val="8"/>
            <color indexed="81"/>
            <rFont val="Tahoma"/>
            <family val="2"/>
          </rPr>
          <t xml:space="preserve">
Tele2 shares + embedded derivative moved from fixed to current assets</t>
        </r>
      </text>
    </comment>
    <comment ref="J182" authorId="1" shapeId="0" xr:uid="{00000000-0006-0000-0100-000005000000}">
      <text>
        <r>
          <rPr>
            <b/>
            <sz val="8"/>
            <color indexed="81"/>
            <rFont val="Tahoma"/>
            <family val="2"/>
          </rPr>
          <t>sdatta:</t>
        </r>
        <r>
          <rPr>
            <sz val="8"/>
            <color indexed="81"/>
            <rFont val="Tahoma"/>
            <family val="2"/>
          </rPr>
          <t xml:space="preserve">
Recording of deferred tax asset in Colombia due to losses acquired and since accumulated</t>
        </r>
      </text>
    </comment>
    <comment ref="K182" authorId="1" shapeId="0" xr:uid="{00000000-0006-0000-0100-000006000000}">
      <text>
        <r>
          <rPr>
            <b/>
            <sz val="8"/>
            <color indexed="81"/>
            <rFont val="Tahoma"/>
            <family val="2"/>
          </rPr>
          <t>sdatta:</t>
        </r>
        <r>
          <rPr>
            <sz val="8"/>
            <color indexed="81"/>
            <rFont val="Tahoma"/>
            <family val="2"/>
          </rPr>
          <t xml:space="preserve">
reversal of tax asset recognition from 2007</t>
        </r>
      </text>
    </comment>
    <comment ref="H205" authorId="1" shapeId="0" xr:uid="{00000000-0006-0000-0100-000007000000}">
      <text>
        <r>
          <rPr>
            <b/>
            <sz val="8"/>
            <color indexed="81"/>
            <rFont val="Tahoma"/>
            <family val="2"/>
          </rPr>
          <t>sdatta:</t>
        </r>
        <r>
          <rPr>
            <sz val="8"/>
            <color indexed="81"/>
            <rFont val="Tahoma"/>
            <family val="2"/>
          </rPr>
          <t xml:space="preserve">
$35m for Congo</t>
        </r>
      </text>
    </comment>
    <comment ref="J205" authorId="1" shapeId="0" xr:uid="{00000000-0006-0000-0100-000008000000}">
      <text>
        <r>
          <rPr>
            <b/>
            <sz val="10"/>
            <color indexed="81"/>
            <rFont val="Tahoma"/>
            <family val="2"/>
          </rPr>
          <t>sdatta:</t>
        </r>
        <r>
          <rPr>
            <sz val="10"/>
            <color indexed="81"/>
            <rFont val="Tahoma"/>
            <family val="2"/>
          </rPr>
          <t xml:space="preserve">
MIC's 88% of the equity + 100% of the debt. EV = $460m, of which $284m cash payment equates to MIC's 88%. Debt in business was therefore $138m, but was stripped out of the YE 2006 BS and net debt number.</t>
        </r>
      </text>
    </comment>
    <comment ref="L205" authorId="1" shapeId="0" xr:uid="{00000000-0006-0000-0100-000009000000}">
      <text>
        <r>
          <rPr>
            <b/>
            <sz val="8"/>
            <color indexed="81"/>
            <rFont val="Tahoma"/>
            <family val="2"/>
          </rPr>
          <t>sdatta:</t>
        </r>
        <r>
          <rPr>
            <sz val="8"/>
            <color indexed="81"/>
            <rFont val="Tahoma"/>
            <family val="2"/>
          </rPr>
          <t xml:space="preserve">
Navega, Chad minorities bought in. Part of Asia sale (Sri Lanka, Cambodia)</t>
        </r>
      </text>
    </comment>
    <comment ref="M205" authorId="1" shapeId="0" xr:uid="{00000000-0006-0000-0100-00000A000000}">
      <text>
        <r>
          <rPr>
            <b/>
            <sz val="8"/>
            <color indexed="81"/>
            <rFont val="Tahoma"/>
            <family val="2"/>
          </rPr>
          <t>sdatta:</t>
        </r>
        <r>
          <rPr>
            <sz val="8"/>
            <color indexed="81"/>
            <rFont val="Tahoma"/>
            <family val="2"/>
          </rPr>
          <t xml:space="preserve">
Remaining Asia sale (Laos)</t>
        </r>
      </text>
    </comment>
    <comment ref="N205" authorId="2" shapeId="0" xr:uid="{00000000-0006-0000-0100-00000B000000}">
      <text>
        <r>
          <rPr>
            <b/>
            <sz val="9"/>
            <color indexed="81"/>
            <rFont val="Tahoma"/>
            <family val="2"/>
          </rPr>
          <t>Soomit Datta:</t>
        </r>
        <r>
          <rPr>
            <sz val="9"/>
            <color indexed="81"/>
            <rFont val="Tahoma"/>
            <family val="2"/>
          </rPr>
          <t xml:space="preserve">
From sale of towers, from Q4 11 presentation</t>
        </r>
      </text>
    </comment>
    <comment ref="Q205" authorId="2" shapeId="0" xr:uid="{00000000-0006-0000-0100-00000C000000}">
      <text>
        <r>
          <rPr>
            <b/>
            <sz val="9"/>
            <color indexed="81"/>
            <rFont val="Tahoma"/>
            <family val="2"/>
          </rPr>
          <t>Soomit Datta:</t>
        </r>
        <r>
          <rPr>
            <sz val="9"/>
            <color indexed="81"/>
            <rFont val="Tahoma"/>
            <family val="2"/>
          </rPr>
          <t xml:space="preserve">
15% stake in Colombia tower co </t>
        </r>
      </text>
    </comment>
    <comment ref="AB205" authorId="0" shapeId="0" xr:uid="{EEC3FB69-0CE1-4216-9F58-3E61AFEC327B}">
      <text>
        <r>
          <rPr>
            <b/>
            <sz val="9"/>
            <color indexed="81"/>
            <rFont val="Tahoma"/>
            <family val="2"/>
          </rPr>
          <t>David:</t>
        </r>
        <r>
          <rPr>
            <sz val="9"/>
            <color indexed="81"/>
            <rFont val="Tahoma"/>
            <family val="2"/>
          </rPr>
          <t xml:space="preserve">
Lati deal. Closing mid-2025</t>
        </r>
      </text>
    </comment>
    <comment ref="P208" authorId="2" shapeId="0" xr:uid="{00000000-0006-0000-0100-00000D000000}">
      <text>
        <r>
          <rPr>
            <b/>
            <sz val="9"/>
            <color indexed="81"/>
            <rFont val="Tahoma"/>
            <family val="2"/>
          </rPr>
          <t>Soomit Datta:</t>
        </r>
        <r>
          <rPr>
            <sz val="9"/>
            <color indexed="81"/>
            <rFont val="Tahoma"/>
            <family val="2"/>
          </rPr>
          <t xml:space="preserve">
Colombia AWS spectrum auction ($55m), plus renewals paid in Jan ($53m)</t>
        </r>
      </text>
    </comment>
    <comment ref="T209" authorId="2" shapeId="0" xr:uid="{00000000-0006-0000-0100-00000E000000}">
      <text>
        <r>
          <rPr>
            <b/>
            <sz val="9"/>
            <color indexed="81"/>
            <rFont val="Tahoma"/>
            <family val="2"/>
          </rPr>
          <t>Soomit Datta:</t>
        </r>
        <r>
          <rPr>
            <sz val="9"/>
            <color indexed="81"/>
            <rFont val="Tahoma"/>
            <family val="2"/>
          </rPr>
          <t xml:space="preserve">
17 US cents/MHz/POP</t>
        </r>
      </text>
    </comment>
    <comment ref="U209" authorId="2" shapeId="0" xr:uid="{00000000-0006-0000-0100-00000F000000}">
      <text>
        <r>
          <rPr>
            <b/>
            <sz val="9"/>
            <color indexed="81"/>
            <rFont val="Tahoma"/>
            <family val="2"/>
          </rPr>
          <t>Soomit Datta:</t>
        </r>
        <r>
          <rPr>
            <sz val="9"/>
            <color indexed="81"/>
            <rFont val="Tahoma"/>
            <family val="2"/>
          </rPr>
          <t xml:space="preserve">
17 US cents/MHz/POP</t>
        </r>
      </text>
    </comment>
    <comment ref="Q210" authorId="2" shapeId="0" xr:uid="{00000000-0006-0000-0100-000010000000}">
      <text>
        <r>
          <rPr>
            <b/>
            <sz val="9"/>
            <color indexed="81"/>
            <rFont val="Tahoma"/>
            <family val="2"/>
          </rPr>
          <t>Soomit Datta:</t>
        </r>
        <r>
          <rPr>
            <sz val="9"/>
            <color indexed="81"/>
            <rFont val="Tahoma"/>
            <family val="2"/>
          </rPr>
          <t xml:space="preserve">
UNE plus $240m for ETB</t>
        </r>
      </text>
    </comment>
    <comment ref="P211" authorId="2" shapeId="0" xr:uid="{00000000-0006-0000-0100-000011000000}">
      <text>
        <r>
          <rPr>
            <b/>
            <sz val="9"/>
            <color indexed="81"/>
            <rFont val="Tahoma"/>
            <family val="2"/>
          </rPr>
          <t>Soomit Datta:</t>
        </r>
        <r>
          <rPr>
            <sz val="9"/>
            <color indexed="81"/>
            <rFont val="Tahoma"/>
            <family val="2"/>
          </rPr>
          <t xml:space="preserve">
($70m in Q1 - Bolivia?),  and Honduras</t>
        </r>
      </text>
    </comment>
    <comment ref="U218" authorId="2" shapeId="0" xr:uid="{00000000-0006-0000-0100-000012000000}">
      <text>
        <r>
          <rPr>
            <b/>
            <sz val="9"/>
            <color indexed="81"/>
            <rFont val="Tahoma"/>
            <family val="2"/>
          </rPr>
          <t>Soomit Datta:</t>
        </r>
        <r>
          <rPr>
            <sz val="9"/>
            <color indexed="81"/>
            <rFont val="Tahoma"/>
            <family val="2"/>
          </rPr>
          <t xml:space="preserve">
Onda</t>
        </r>
      </text>
    </comment>
    <comment ref="V219" authorId="2" shapeId="0" xr:uid="{00000000-0006-0000-0100-000013000000}">
      <text>
        <r>
          <rPr>
            <b/>
            <sz val="9"/>
            <color indexed="81"/>
            <rFont val="Tahoma"/>
            <family val="2"/>
          </rPr>
          <t>Soomit Datta:</t>
        </r>
        <r>
          <rPr>
            <sz val="9"/>
            <color indexed="81"/>
            <rFont val="Tahoma"/>
            <family val="2"/>
          </rPr>
          <t xml:space="preserve">
Panama and Nicaragua</t>
        </r>
      </text>
    </comment>
    <comment ref="X223" authorId="2" shapeId="0" xr:uid="{7577409C-7BAE-406D-B391-AF14842A7C74}">
      <text>
        <r>
          <rPr>
            <b/>
            <sz val="9"/>
            <color indexed="81"/>
            <rFont val="Tahoma"/>
            <family val="2"/>
          </rPr>
          <t>Soomit Datta:</t>
        </r>
        <r>
          <rPr>
            <sz val="9"/>
            <color indexed="81"/>
            <rFont val="Tahoma"/>
            <family val="2"/>
          </rPr>
          <t xml:space="preserve">
7.65% stake</t>
        </r>
      </text>
    </comment>
    <comment ref="Y224" authorId="2" shapeId="0" xr:uid="{00000000-0006-0000-0100-000014000000}">
      <text>
        <r>
          <rPr>
            <b/>
            <sz val="9"/>
            <color indexed="81"/>
            <rFont val="Tahoma"/>
            <family val="2"/>
          </rPr>
          <t>Soomit Datta:</t>
        </r>
        <r>
          <rPr>
            <sz val="9"/>
            <color indexed="81"/>
            <rFont val="Tahoma"/>
            <family val="2"/>
          </rPr>
          <t xml:space="preserve">
Millicom Tanzania and Ghana - $100m of cash, no disclosure on EV</t>
        </r>
      </text>
    </comment>
    <comment ref="I255" authorId="1" shapeId="0" xr:uid="{00000000-0006-0000-0100-000015000000}">
      <text>
        <r>
          <rPr>
            <b/>
            <sz val="8"/>
            <color indexed="81"/>
            <rFont val="Tahoma"/>
            <family val="2"/>
          </rPr>
          <t>sdatta:</t>
        </r>
        <r>
          <rPr>
            <sz val="8"/>
            <color indexed="81"/>
            <rFont val="Tahoma"/>
            <family val="2"/>
          </rPr>
          <t xml:space="preserve">
$350m for Colombia. $125m for 50% of the equity and $225m for debt consolidation</t>
        </r>
      </text>
    </comment>
    <comment ref="X256" authorId="2" shapeId="0" xr:uid="{8B2C0B11-43FB-497F-9971-DAA075B2C2EA}">
      <text>
        <r>
          <rPr>
            <b/>
            <sz val="9"/>
            <color indexed="81"/>
            <rFont val="Tahoma"/>
            <family val="2"/>
          </rPr>
          <t>Soomit Datta:</t>
        </r>
        <r>
          <rPr>
            <sz val="9"/>
            <color indexed="81"/>
            <rFont val="Tahoma"/>
            <family val="2"/>
          </rPr>
          <t xml:space="preserve">
estimate</t>
        </r>
      </text>
    </comment>
    <comment ref="H273" authorId="1" shapeId="0" xr:uid="{00000000-0006-0000-0100-000016000000}">
      <text>
        <r>
          <rPr>
            <b/>
            <sz val="8"/>
            <color indexed="81"/>
            <rFont val="Tahoma"/>
            <family val="2"/>
          </rPr>
          <t>sdatta:</t>
        </r>
        <r>
          <rPr>
            <sz val="8"/>
            <color indexed="81"/>
            <rFont val="Tahoma"/>
            <family val="2"/>
          </rPr>
          <t xml:space="preserve">
Spot rate</t>
        </r>
      </text>
    </comment>
    <comment ref="R285" authorId="2" shapeId="0" xr:uid="{00000000-0006-0000-0100-000017000000}">
      <text>
        <r>
          <rPr>
            <b/>
            <sz val="9"/>
            <color indexed="81"/>
            <rFont val="Tahoma"/>
            <family val="2"/>
          </rPr>
          <t>Soomit Datta:</t>
        </r>
        <r>
          <rPr>
            <sz val="9"/>
            <color indexed="81"/>
            <rFont val="Tahoma"/>
            <family val="2"/>
          </rPr>
          <t xml:space="preserve">
Book value from gain on share exchange at Helios</t>
        </r>
      </text>
    </comment>
    <comment ref="M288" authorId="1" shapeId="0" xr:uid="{00000000-0006-0000-0100-000018000000}">
      <text>
        <r>
          <rPr>
            <b/>
            <sz val="8"/>
            <color indexed="81"/>
            <rFont val="Tahoma"/>
            <family val="2"/>
          </rPr>
          <t>sdatta:</t>
        </r>
        <r>
          <rPr>
            <sz val="8"/>
            <color indexed="81"/>
            <rFont val="Tahoma"/>
            <family val="2"/>
          </rPr>
          <t xml:space="preserve">
incs at least $10m one off charge</t>
        </r>
      </text>
    </comment>
    <comment ref="H290" authorId="1" shapeId="0" xr:uid="{00000000-0006-0000-0100-000019000000}">
      <text>
        <r>
          <rPr>
            <b/>
            <sz val="8"/>
            <color indexed="81"/>
            <rFont val="Tahoma"/>
            <family val="2"/>
          </rPr>
          <t>sdatta:</t>
        </r>
        <r>
          <rPr>
            <sz val="8"/>
            <color indexed="81"/>
            <rFont val="Tahoma"/>
            <family val="2"/>
          </rPr>
          <t xml:space="preserve">
Includes Cost of stock options</t>
        </r>
      </text>
    </comment>
    <comment ref="G294" authorId="3" shapeId="0" xr:uid="{00000000-0006-0000-0100-00001A000000}">
      <text>
        <r>
          <rPr>
            <b/>
            <sz val="8"/>
            <color indexed="81"/>
            <rFont val="Tahoma"/>
            <family val="2"/>
          </rPr>
          <t xml:space="preserve"> :</t>
        </r>
        <r>
          <rPr>
            <sz val="8"/>
            <color indexed="81"/>
            <rFont val="Tahoma"/>
            <family val="2"/>
          </rPr>
          <t xml:space="preserve">
The increase in value of the embedded derivative within the 5% mandatory exchangeable in Tele2. The value reflects the right of Millicom to participate in the increase in Tele2's value</t>
        </r>
      </text>
    </comment>
    <comment ref="P296" authorId="2" shapeId="0" xr:uid="{00000000-0006-0000-0100-00001B000000}">
      <text>
        <r>
          <rPr>
            <b/>
            <sz val="9"/>
            <color indexed="81"/>
            <rFont val="Tahoma"/>
            <family val="2"/>
          </rPr>
          <t>Soomit Datta:</t>
        </r>
        <r>
          <rPr>
            <sz val="9"/>
            <color indexed="81"/>
            <rFont val="Tahoma"/>
            <family val="2"/>
          </rPr>
          <t xml:space="preserve">
$2 added to make $130m of "other expenses" in total</t>
        </r>
      </text>
    </comment>
    <comment ref="Q296" authorId="2" shapeId="0" xr:uid="{00000000-0006-0000-0100-00001C000000}">
      <text>
        <r>
          <rPr>
            <b/>
            <sz val="9"/>
            <color indexed="81"/>
            <rFont val="Tahoma"/>
            <family val="2"/>
          </rPr>
          <t>Soomit Datta:</t>
        </r>
        <r>
          <rPr>
            <sz val="9"/>
            <color indexed="81"/>
            <rFont val="Tahoma"/>
            <family val="2"/>
          </rPr>
          <t xml:space="preserve">
Guatemala: revaluation of previously held interest</t>
        </r>
      </text>
    </comment>
    <comment ref="N319" authorId="2" shapeId="0" xr:uid="{00000000-0006-0000-0100-00001D000000}">
      <text>
        <r>
          <rPr>
            <b/>
            <sz val="9"/>
            <color indexed="81"/>
            <rFont val="Tahoma"/>
            <family val="2"/>
          </rPr>
          <t>Soomit Datta:</t>
        </r>
        <r>
          <rPr>
            <sz val="9"/>
            <color indexed="81"/>
            <rFont val="Tahoma"/>
            <family val="2"/>
          </rPr>
          <t xml:space="preserve">
reflects cash tax difference to P&amp;L tax</t>
        </r>
      </text>
    </comment>
    <comment ref="H324" authorId="1" shapeId="0" xr:uid="{00000000-0006-0000-0100-00001E000000}">
      <text>
        <r>
          <rPr>
            <b/>
            <sz val="8"/>
            <color indexed="81"/>
            <rFont val="Tahoma"/>
            <family val="2"/>
          </rPr>
          <t>sdatta:</t>
        </r>
        <r>
          <rPr>
            <sz val="8"/>
            <color indexed="81"/>
            <rFont val="Tahoma"/>
            <family val="2"/>
          </rPr>
          <t xml:space="preserve">
Pakcom</t>
        </r>
      </text>
    </comment>
    <comment ref="I324" authorId="1" shapeId="0" xr:uid="{00000000-0006-0000-0100-00001F000000}">
      <text>
        <r>
          <rPr>
            <b/>
            <sz val="8"/>
            <color indexed="81"/>
            <rFont val="Tahoma"/>
            <family val="2"/>
          </rPr>
          <t>sdatta:</t>
        </r>
        <r>
          <rPr>
            <sz val="8"/>
            <color indexed="81"/>
            <rFont val="Tahoma"/>
            <family val="2"/>
          </rPr>
          <t xml:space="preserve">
Pakcom</t>
        </r>
      </text>
    </comment>
    <comment ref="H325" authorId="1" shapeId="0" xr:uid="{00000000-0006-0000-0100-000020000000}">
      <text>
        <r>
          <rPr>
            <b/>
            <sz val="8"/>
            <color indexed="81"/>
            <rFont val="Tahoma"/>
            <family val="2"/>
          </rPr>
          <t>sdatta:</t>
        </r>
        <r>
          <rPr>
            <sz val="8"/>
            <color indexed="81"/>
            <rFont val="Tahoma"/>
            <family val="2"/>
          </rPr>
          <t xml:space="preserve">
Pakcom</t>
        </r>
      </text>
    </comment>
    <comment ref="I325" authorId="1" shapeId="0" xr:uid="{00000000-0006-0000-0100-000021000000}">
      <text>
        <r>
          <rPr>
            <b/>
            <sz val="8"/>
            <color indexed="81"/>
            <rFont val="Tahoma"/>
            <family val="2"/>
          </rPr>
          <t>sdatta:</t>
        </r>
        <r>
          <rPr>
            <sz val="8"/>
            <color indexed="81"/>
            <rFont val="Tahoma"/>
            <family val="2"/>
          </rPr>
          <t xml:space="preserve">
Pakcom</t>
        </r>
      </text>
    </comment>
    <comment ref="A327" authorId="3" shapeId="0" xr:uid="{00000000-0006-0000-0100-000022000000}">
      <text>
        <r>
          <rPr>
            <b/>
            <sz val="8"/>
            <color indexed="81"/>
            <rFont val="Tahoma"/>
            <family val="2"/>
          </rPr>
          <t>Provisions included in net trade receivables</t>
        </r>
      </text>
    </comment>
    <comment ref="S327" authorId="2" shapeId="0" xr:uid="{00000000-0006-0000-0100-000023000000}">
      <text>
        <r>
          <rPr>
            <b/>
            <sz val="9"/>
            <color indexed="81"/>
            <rFont val="Tahoma"/>
            <family val="2"/>
          </rPr>
          <t>Soomit Datta:</t>
        </r>
        <r>
          <rPr>
            <sz val="9"/>
            <color indexed="81"/>
            <rFont val="Tahoma"/>
            <family val="2"/>
          </rPr>
          <t xml:space="preserve">
estimate</t>
        </r>
      </text>
    </comment>
    <comment ref="T327" authorId="2" shapeId="0" xr:uid="{00000000-0006-0000-0100-000024000000}">
      <text>
        <r>
          <rPr>
            <b/>
            <sz val="9"/>
            <color indexed="81"/>
            <rFont val="Tahoma"/>
            <family val="2"/>
          </rPr>
          <t>Soomit Datta:</t>
        </r>
        <r>
          <rPr>
            <sz val="9"/>
            <color indexed="81"/>
            <rFont val="Tahoma"/>
            <family val="2"/>
          </rPr>
          <t xml:space="preserve">
estimate</t>
        </r>
      </text>
    </comment>
    <comment ref="U327" authorId="2" shapeId="0" xr:uid="{00000000-0006-0000-0100-000025000000}">
      <text>
        <r>
          <rPr>
            <b/>
            <sz val="9"/>
            <color indexed="81"/>
            <rFont val="Tahoma"/>
            <family val="2"/>
          </rPr>
          <t>Soomit Datta:</t>
        </r>
        <r>
          <rPr>
            <sz val="9"/>
            <color indexed="81"/>
            <rFont val="Tahoma"/>
            <family val="2"/>
          </rPr>
          <t xml:space="preserve">
estimate</t>
        </r>
      </text>
    </comment>
    <comment ref="V327" authorId="2" shapeId="0" xr:uid="{00000000-0006-0000-0100-000026000000}">
      <text>
        <r>
          <rPr>
            <b/>
            <sz val="9"/>
            <color indexed="81"/>
            <rFont val="Tahoma"/>
            <family val="2"/>
          </rPr>
          <t>Soomit Datta:</t>
        </r>
        <r>
          <rPr>
            <sz val="9"/>
            <color indexed="81"/>
            <rFont val="Tahoma"/>
            <family val="2"/>
          </rPr>
          <t xml:space="preserve">
estimate</t>
        </r>
      </text>
    </comment>
    <comment ref="W327" authorId="2" shapeId="0" xr:uid="{00000000-0006-0000-0100-000027000000}">
      <text>
        <r>
          <rPr>
            <b/>
            <sz val="9"/>
            <color indexed="81"/>
            <rFont val="Tahoma"/>
            <family val="2"/>
          </rPr>
          <t>Soomit Datta:</t>
        </r>
        <r>
          <rPr>
            <sz val="9"/>
            <color indexed="81"/>
            <rFont val="Tahoma"/>
            <family val="2"/>
          </rPr>
          <t xml:space="preserve">
estimate</t>
        </r>
      </text>
    </comment>
    <comment ref="X327" authorId="2" shapeId="0" xr:uid="{2074E84B-DF71-4E1B-B26F-CC4B1FAE3ADA}">
      <text>
        <r>
          <rPr>
            <b/>
            <sz val="9"/>
            <color indexed="81"/>
            <rFont val="Tahoma"/>
            <family val="2"/>
          </rPr>
          <t>Soomit Datta:</t>
        </r>
        <r>
          <rPr>
            <sz val="9"/>
            <color indexed="81"/>
            <rFont val="Tahoma"/>
            <family val="2"/>
          </rPr>
          <t xml:space="preserve">
estimate</t>
        </r>
      </text>
    </comment>
    <comment ref="Y327" authorId="2" shapeId="0" xr:uid="{0CA46A5A-A765-49A3-B548-22DDA2DB88E9}">
      <text>
        <r>
          <rPr>
            <b/>
            <sz val="9"/>
            <color indexed="81"/>
            <rFont val="Tahoma"/>
            <family val="2"/>
          </rPr>
          <t>Soomit Datta:</t>
        </r>
        <r>
          <rPr>
            <sz val="9"/>
            <color indexed="81"/>
            <rFont val="Tahoma"/>
            <family val="2"/>
          </rPr>
          <t xml:space="preserve">
estimate</t>
        </r>
      </text>
    </comment>
    <comment ref="Z327" authorId="2" shapeId="0" xr:uid="{7675C94F-B0AA-4C1C-BD52-D28E3EED6FD2}">
      <text>
        <r>
          <rPr>
            <b/>
            <sz val="9"/>
            <color indexed="81"/>
            <rFont val="Tahoma"/>
            <family val="2"/>
          </rPr>
          <t>Soomit Datta:</t>
        </r>
        <r>
          <rPr>
            <sz val="9"/>
            <color indexed="81"/>
            <rFont val="Tahoma"/>
            <family val="2"/>
          </rPr>
          <t xml:space="preserve">
estimate</t>
        </r>
      </text>
    </comment>
    <comment ref="AA327" authorId="2" shapeId="0" xr:uid="{1EC30351-FBBB-4533-BDA4-C4CA87EA30E8}">
      <text>
        <r>
          <rPr>
            <b/>
            <sz val="9"/>
            <color indexed="81"/>
            <rFont val="Tahoma"/>
            <family val="2"/>
          </rPr>
          <t>Soomit Datta:</t>
        </r>
        <r>
          <rPr>
            <sz val="9"/>
            <color indexed="81"/>
            <rFont val="Tahoma"/>
            <family val="2"/>
          </rPr>
          <t xml:space="preserve">
estimate</t>
        </r>
      </text>
    </comment>
    <comment ref="N343" authorId="2" shapeId="0" xr:uid="{00000000-0006-0000-0100-000028000000}">
      <text>
        <r>
          <rPr>
            <b/>
            <sz val="9"/>
            <color indexed="81"/>
            <rFont val="Tahoma"/>
            <family val="2"/>
          </rPr>
          <t>Soomit Datta:</t>
        </r>
        <r>
          <rPr>
            <sz val="9"/>
            <color indexed="81"/>
            <rFont val="Tahoma"/>
            <family val="2"/>
          </rPr>
          <t xml:space="preserve">
Includes tax gain in Colombia</t>
        </r>
      </text>
    </comment>
    <comment ref="S343" authorId="2" shapeId="0" xr:uid="{00000000-0006-0000-0100-000029000000}">
      <text>
        <r>
          <rPr>
            <b/>
            <sz val="9"/>
            <color indexed="81"/>
            <rFont val="Tahoma"/>
            <family val="2"/>
          </rPr>
          <t>Soomit Datta:</t>
        </r>
        <r>
          <rPr>
            <sz val="9"/>
            <color indexed="81"/>
            <rFont val="Tahoma"/>
            <family val="2"/>
          </rPr>
          <t xml:space="preserve">
one off loss from write down in Guatemala/Honduras</t>
        </r>
      </text>
    </comment>
    <comment ref="K363" authorId="1" shapeId="0" xr:uid="{00000000-0006-0000-0100-00002A000000}">
      <text>
        <r>
          <rPr>
            <b/>
            <sz val="8"/>
            <color indexed="81"/>
            <rFont val="Tahoma"/>
            <family val="2"/>
          </rPr>
          <t>sdatta:</t>
        </r>
        <r>
          <rPr>
            <sz val="8"/>
            <color indexed="81"/>
            <rFont val="Tahoma"/>
            <family val="2"/>
          </rPr>
          <t xml:space="preserve">
4% convert</t>
        </r>
      </text>
    </comment>
    <comment ref="F369" authorId="1" shapeId="0" xr:uid="{00000000-0006-0000-0100-00002B000000}">
      <text>
        <r>
          <rPr>
            <b/>
            <sz val="8"/>
            <color indexed="81"/>
            <rFont val="Tahoma"/>
            <family val="2"/>
          </rPr>
          <t>sdatta:</t>
        </r>
        <r>
          <rPr>
            <sz val="8"/>
            <color indexed="81"/>
            <rFont val="Tahoma"/>
            <family val="2"/>
          </rPr>
          <t xml:space="preserve">
Disposal/cancellation of treasury stock</t>
        </r>
      </text>
    </comment>
    <comment ref="G369" authorId="1" shapeId="0" xr:uid="{00000000-0006-0000-0100-00002C000000}">
      <text>
        <r>
          <rPr>
            <b/>
            <sz val="8"/>
            <color indexed="81"/>
            <rFont val="Tahoma"/>
            <family val="2"/>
          </rPr>
          <t>sdatta:</t>
        </r>
        <r>
          <rPr>
            <sz val="8"/>
            <color indexed="81"/>
            <rFont val="Tahoma"/>
            <family val="2"/>
          </rPr>
          <t xml:space="preserve">
Conversion of 2% PIK shares</t>
        </r>
      </text>
    </comment>
    <comment ref="F374" authorId="1" shapeId="0" xr:uid="{00000000-0006-0000-0100-00002D000000}">
      <text>
        <r>
          <rPr>
            <b/>
            <sz val="8"/>
            <color indexed="81"/>
            <rFont val="Tahoma"/>
            <family val="2"/>
          </rPr>
          <t>sdatta:</t>
        </r>
        <r>
          <rPr>
            <sz val="8"/>
            <color indexed="81"/>
            <rFont val="Tahoma"/>
            <family val="2"/>
          </rPr>
          <t xml:space="preserve">
Check number</t>
        </r>
      </text>
    </comment>
    <comment ref="Y384" authorId="2" shapeId="0" xr:uid="{8A4750E7-B0FA-48ED-81D6-841DEF4A1C8C}">
      <text>
        <r>
          <rPr>
            <b/>
            <sz val="9"/>
            <color indexed="81"/>
            <rFont val="Tahoma"/>
            <family val="2"/>
          </rPr>
          <t>Soomit Datta:</t>
        </r>
        <r>
          <rPr>
            <sz val="9"/>
            <color indexed="81"/>
            <rFont val="Tahoma"/>
            <family val="2"/>
          </rPr>
          <t xml:space="preserve">
USD750m less fees</t>
        </r>
      </text>
    </comment>
    <comment ref="S402" authorId="2" shapeId="0" xr:uid="{00000000-0006-0000-0100-00002E000000}">
      <text>
        <r>
          <rPr>
            <b/>
            <sz val="9"/>
            <color indexed="81"/>
            <rFont val="Tahoma"/>
            <family val="2"/>
          </rPr>
          <t>Soomit Datta:</t>
        </r>
        <r>
          <rPr>
            <sz val="9"/>
            <color indexed="81"/>
            <rFont val="Tahoma"/>
            <family val="2"/>
          </rPr>
          <t xml:space="preserve">
estimate</t>
        </r>
      </text>
    </comment>
    <comment ref="T402" authorId="2" shapeId="0" xr:uid="{00000000-0006-0000-0100-00002F000000}">
      <text>
        <r>
          <rPr>
            <b/>
            <sz val="9"/>
            <color indexed="81"/>
            <rFont val="Tahoma"/>
            <family val="2"/>
          </rPr>
          <t>Soomit Datta:</t>
        </r>
        <r>
          <rPr>
            <sz val="9"/>
            <color indexed="81"/>
            <rFont val="Tahoma"/>
            <family val="2"/>
          </rPr>
          <t xml:space="preserve">
estimate</t>
        </r>
      </text>
    </comment>
    <comment ref="U402" authorId="2" shapeId="0" xr:uid="{00000000-0006-0000-0100-000030000000}">
      <text>
        <r>
          <rPr>
            <b/>
            <sz val="9"/>
            <color indexed="81"/>
            <rFont val="Tahoma"/>
            <family val="2"/>
          </rPr>
          <t>Soomit Datta:</t>
        </r>
        <r>
          <rPr>
            <sz val="9"/>
            <color indexed="81"/>
            <rFont val="Tahoma"/>
            <family val="2"/>
          </rPr>
          <t xml:space="preserve">
estimate</t>
        </r>
      </text>
    </comment>
    <comment ref="V402" authorId="2" shapeId="0" xr:uid="{00000000-0006-0000-0100-000031000000}">
      <text>
        <r>
          <rPr>
            <b/>
            <sz val="9"/>
            <color indexed="81"/>
            <rFont val="Tahoma"/>
            <family val="2"/>
          </rPr>
          <t>Soomit Datta:</t>
        </r>
        <r>
          <rPr>
            <sz val="9"/>
            <color indexed="81"/>
            <rFont val="Tahoma"/>
            <family val="2"/>
          </rPr>
          <t xml:space="preserve">
estimate</t>
        </r>
      </text>
    </comment>
    <comment ref="W402" authorId="2" shapeId="0" xr:uid="{00000000-0006-0000-0100-000032000000}">
      <text>
        <r>
          <rPr>
            <b/>
            <sz val="9"/>
            <color indexed="81"/>
            <rFont val="Tahoma"/>
            <family val="2"/>
          </rPr>
          <t>Soomit Datta:</t>
        </r>
        <r>
          <rPr>
            <sz val="9"/>
            <color indexed="81"/>
            <rFont val="Tahoma"/>
            <family val="2"/>
          </rPr>
          <t xml:space="preserve">
estimate</t>
        </r>
      </text>
    </comment>
    <comment ref="X402" authorId="2" shapeId="0" xr:uid="{8A0E1154-8A52-47AC-A36C-F9A4891ECB89}">
      <text>
        <r>
          <rPr>
            <b/>
            <sz val="9"/>
            <color indexed="81"/>
            <rFont val="Tahoma"/>
            <family val="2"/>
          </rPr>
          <t>Soomit Datta:</t>
        </r>
        <r>
          <rPr>
            <sz val="9"/>
            <color indexed="81"/>
            <rFont val="Tahoma"/>
            <family val="2"/>
          </rPr>
          <t xml:space="preserve">
estimate</t>
        </r>
      </text>
    </comment>
    <comment ref="Y402" authorId="2" shapeId="0" xr:uid="{846387F3-5E42-4CAD-BB8F-FECDDD063740}">
      <text>
        <r>
          <rPr>
            <b/>
            <sz val="9"/>
            <color indexed="81"/>
            <rFont val="Tahoma"/>
            <family val="2"/>
          </rPr>
          <t>Soomit Datta:</t>
        </r>
        <r>
          <rPr>
            <sz val="9"/>
            <color indexed="81"/>
            <rFont val="Tahoma"/>
            <family val="2"/>
          </rPr>
          <t xml:space="preserve">
estimate</t>
        </r>
      </text>
    </comment>
    <comment ref="F403" authorId="3" shapeId="0" xr:uid="{00000000-0006-0000-0100-000033000000}">
      <text>
        <r>
          <rPr>
            <b/>
            <sz val="8"/>
            <color indexed="81"/>
            <rFont val="Tahoma"/>
            <family val="2"/>
          </rPr>
          <t xml:space="preserve"> :</t>
        </r>
        <r>
          <rPr>
            <sz val="8"/>
            <color indexed="81"/>
            <rFont val="Tahoma"/>
            <family val="2"/>
          </rPr>
          <t xml:space="preserve">
Gain due to redemption of 2% PIK notes</t>
        </r>
      </text>
    </comment>
    <comment ref="J412" authorId="1" shapeId="0" xr:uid="{00000000-0006-0000-0100-000034000000}">
      <text>
        <r>
          <rPr>
            <b/>
            <sz val="8"/>
            <color indexed="81"/>
            <rFont val="Tahoma"/>
            <family val="2"/>
          </rPr>
          <t>sdatta:</t>
        </r>
        <r>
          <rPr>
            <sz val="8"/>
            <color indexed="81"/>
            <rFont val="Tahoma"/>
            <family val="2"/>
          </rPr>
          <t xml:space="preserve">
Accrual of redemption premium relating to repurchase of 10% notes</t>
        </r>
      </text>
    </comment>
    <comment ref="K412" authorId="1" shapeId="0" xr:uid="{00000000-0006-0000-0100-000035000000}">
      <text>
        <r>
          <rPr>
            <b/>
            <sz val="8"/>
            <color indexed="81"/>
            <rFont val="Tahoma"/>
            <family val="2"/>
          </rPr>
          <t>sdatta:</t>
        </r>
        <r>
          <rPr>
            <sz val="8"/>
            <color indexed="81"/>
            <rFont val="Tahoma"/>
            <family val="2"/>
          </rPr>
          <t xml:space="preserve">
Reversal of redemption accrual</t>
        </r>
      </text>
    </comment>
    <comment ref="L418" authorId="1" shapeId="0" xr:uid="{00000000-0006-0000-0100-000036000000}">
      <text>
        <r>
          <rPr>
            <b/>
            <sz val="8"/>
            <color indexed="81"/>
            <rFont val="Tahoma"/>
            <family val="2"/>
          </rPr>
          <t>sdatta:</t>
        </r>
        <r>
          <rPr>
            <sz val="8"/>
            <color indexed="81"/>
            <rFont val="Tahoma"/>
            <family val="2"/>
          </rPr>
          <t xml:space="preserve">
$40m adjusts for the 33.3% of Honduran net debt consolidated on a pro-forma basis</t>
        </r>
      </text>
    </comment>
    <comment ref="N418" authorId="2" shapeId="0" xr:uid="{00000000-0006-0000-0100-000037000000}">
      <text>
        <r>
          <rPr>
            <b/>
            <sz val="9"/>
            <color indexed="81"/>
            <rFont val="Tahoma"/>
            <family val="2"/>
          </rPr>
          <t>Soomit Datta:</t>
        </r>
        <r>
          <rPr>
            <sz val="9"/>
            <color indexed="81"/>
            <rFont val="Tahoma"/>
            <family val="2"/>
          </rPr>
          <t xml:space="preserve">
to get reported net debt</t>
        </r>
      </text>
    </comment>
    <comment ref="P418" authorId="2" shapeId="0" xr:uid="{00000000-0006-0000-0100-000038000000}">
      <text>
        <r>
          <rPr>
            <b/>
            <sz val="9"/>
            <color indexed="81"/>
            <rFont val="Tahoma"/>
            <family val="2"/>
          </rPr>
          <t>Soomit Datta:</t>
        </r>
        <r>
          <rPr>
            <sz val="9"/>
            <color indexed="81"/>
            <rFont val="Tahoma"/>
            <family val="2"/>
          </rPr>
          <t xml:space="preserve">
Includes pledged deposits in Colombia</t>
        </r>
      </text>
    </comment>
    <comment ref="K426" authorId="1" shapeId="0" xr:uid="{00000000-0006-0000-0100-000039000000}">
      <text>
        <r>
          <rPr>
            <b/>
            <sz val="8"/>
            <color indexed="81"/>
            <rFont val="Tahoma"/>
            <family val="2"/>
          </rPr>
          <t>sdatta:</t>
        </r>
        <r>
          <rPr>
            <sz val="8"/>
            <color indexed="81"/>
            <rFont val="Tahoma"/>
            <family val="2"/>
          </rPr>
          <t xml:space="preserve">
adjusted for 4% convert</t>
        </r>
      </text>
    </comment>
    <comment ref="AA458" authorId="2" shapeId="0" xr:uid="{9F350314-EC6C-45B9-A7BF-F2D0503524AF}">
      <text>
        <r>
          <rPr>
            <b/>
            <sz val="9"/>
            <color indexed="81"/>
            <rFont val="Tahoma"/>
            <family val="2"/>
          </rPr>
          <t>Soomit Datta:</t>
        </r>
        <r>
          <rPr>
            <sz val="9"/>
            <color indexed="81"/>
            <rFont val="Tahoma"/>
            <family val="2"/>
          </rPr>
          <t xml:space="preserve">
Repaying $200m of bank loans with Apr-24 bond raise</t>
        </r>
      </text>
    </comment>
    <comment ref="K591" authorId="1" shapeId="0" xr:uid="{00000000-0006-0000-0100-00003A000000}">
      <text>
        <r>
          <rPr>
            <b/>
            <sz val="8"/>
            <color indexed="81"/>
            <rFont val="Tahoma"/>
            <family val="2"/>
          </rPr>
          <t>sdatta:</t>
        </r>
        <r>
          <rPr>
            <sz val="8"/>
            <color indexed="81"/>
            <rFont val="Tahoma"/>
            <family val="2"/>
          </rPr>
          <t xml:space="preserve">
Amnet acquisition + other to match June 08 accounts</t>
        </r>
      </text>
    </comment>
    <comment ref="R591" authorId="2" shapeId="0" xr:uid="{00000000-0006-0000-0100-00003B000000}">
      <text>
        <r>
          <rPr>
            <b/>
            <sz val="9"/>
            <color indexed="81"/>
            <rFont val="Tahoma"/>
            <family val="2"/>
          </rPr>
          <t>Soomit Datta:</t>
        </r>
        <r>
          <rPr>
            <sz val="9"/>
            <color indexed="81"/>
            <rFont val="Tahoma"/>
            <family val="2"/>
          </rPr>
          <t xml:space="preserve">
Zantel debt + other</t>
        </r>
      </text>
    </comment>
    <comment ref="Q620" authorId="2" shapeId="0" xr:uid="{00000000-0006-0000-0100-00003C000000}">
      <text>
        <r>
          <rPr>
            <b/>
            <sz val="9"/>
            <color indexed="81"/>
            <rFont val="Tahoma"/>
            <family val="2"/>
          </rPr>
          <t>Soomit Datta:</t>
        </r>
        <r>
          <rPr>
            <sz val="9"/>
            <color indexed="81"/>
            <rFont val="Tahoma"/>
            <family val="2"/>
          </rPr>
          <t xml:space="preserve">
early redemption April 15th</t>
        </r>
      </text>
    </comment>
    <comment ref="T626" authorId="2" shapeId="0" xr:uid="{00000000-0006-0000-0100-00003D000000}">
      <text>
        <r>
          <rPr>
            <b/>
            <sz val="9"/>
            <color indexed="81"/>
            <rFont val="Tahoma"/>
            <family val="2"/>
          </rPr>
          <t>Soomit Datta:</t>
        </r>
        <r>
          <rPr>
            <sz val="9"/>
            <color indexed="81"/>
            <rFont val="Tahoma"/>
            <family val="2"/>
          </rPr>
          <t xml:space="preserve">
June 17</t>
        </r>
      </text>
    </comment>
    <comment ref="T627" authorId="2" shapeId="0" xr:uid="{00000000-0006-0000-0100-00003E000000}">
      <text>
        <r>
          <rPr>
            <b/>
            <sz val="9"/>
            <color indexed="81"/>
            <rFont val="Tahoma"/>
            <family val="2"/>
          </rPr>
          <t>Soomit Datta:</t>
        </r>
        <r>
          <rPr>
            <sz val="9"/>
            <color indexed="81"/>
            <rFont val="Tahoma"/>
            <family val="2"/>
          </rPr>
          <t xml:space="preserve">
Sept 17</t>
        </r>
      </text>
    </comment>
    <comment ref="M644" authorId="1" shapeId="0" xr:uid="{00000000-0006-0000-0100-00003F000000}">
      <text>
        <r>
          <rPr>
            <b/>
            <sz val="8"/>
            <color indexed="81"/>
            <rFont val="Tahoma"/>
            <family val="2"/>
          </rPr>
          <t>sdatta:</t>
        </r>
        <r>
          <rPr>
            <sz val="8"/>
            <color indexed="81"/>
            <rFont val="Tahoma"/>
            <family val="2"/>
          </rPr>
          <t xml:space="preserve">
10% notes redeemed Dec 1</t>
        </r>
      </text>
    </comment>
    <comment ref="K645" authorId="1" shapeId="0" xr:uid="{00000000-0006-0000-0100-000040000000}">
      <text>
        <r>
          <rPr>
            <b/>
            <sz val="8"/>
            <color indexed="81"/>
            <rFont val="Tahoma"/>
            <family val="2"/>
          </rPr>
          <t>sdatta:</t>
        </r>
        <r>
          <rPr>
            <sz val="8"/>
            <color indexed="81"/>
            <rFont val="Tahoma"/>
            <family val="2"/>
          </rPr>
          <t xml:space="preserve">
convert in Jan 08</t>
        </r>
      </text>
    </comment>
    <comment ref="E648" authorId="2" shapeId="0" xr:uid="{00000000-0006-0000-0100-000041000000}">
      <text>
        <r>
          <rPr>
            <b/>
            <sz val="9"/>
            <color indexed="81"/>
            <rFont val="Tahoma"/>
            <family val="2"/>
          </rPr>
          <t>Soomit Datta:</t>
        </r>
        <r>
          <rPr>
            <sz val="9"/>
            <color indexed="81"/>
            <rFont val="Tahoma"/>
            <family val="2"/>
          </rPr>
          <t xml:space="preserve">
effective rate</t>
        </r>
      </text>
    </comment>
    <comment ref="E652" authorId="2" shapeId="0" xr:uid="{00000000-0006-0000-0100-000042000000}">
      <text>
        <r>
          <rPr>
            <b/>
            <sz val="9"/>
            <color indexed="81"/>
            <rFont val="Tahoma"/>
            <family val="2"/>
          </rPr>
          <t>Soomit Datta:</t>
        </r>
        <r>
          <rPr>
            <sz val="9"/>
            <color indexed="81"/>
            <rFont val="Tahoma"/>
            <family val="2"/>
          </rPr>
          <t xml:space="preserve">
effective rate</t>
        </r>
      </text>
    </comment>
    <comment ref="V653" authorId="2" shapeId="0" xr:uid="{00000000-0006-0000-0100-000043000000}">
      <text>
        <r>
          <rPr>
            <b/>
            <sz val="9"/>
            <color indexed="81"/>
            <rFont val="Tahoma"/>
            <family val="2"/>
          </rPr>
          <t>Soomit Datta:</t>
        </r>
        <r>
          <rPr>
            <sz val="9"/>
            <color indexed="81"/>
            <rFont val="Tahoma"/>
            <family val="2"/>
          </rPr>
          <t xml:space="preserve">
Settled early April-19</t>
        </r>
      </text>
    </comment>
    <comment ref="S660" authorId="2" shapeId="0" xr:uid="{00000000-0006-0000-0100-000044000000}">
      <text>
        <r>
          <rPr>
            <b/>
            <sz val="9"/>
            <color indexed="81"/>
            <rFont val="Tahoma"/>
            <family val="2"/>
          </rPr>
          <t>Soomit Datta:</t>
        </r>
        <r>
          <rPr>
            <sz val="9"/>
            <color indexed="81"/>
            <rFont val="Tahoma"/>
            <family val="2"/>
          </rPr>
          <t xml:space="preserve">
assume Q1</t>
        </r>
      </text>
    </comment>
    <comment ref="U661" authorId="2" shapeId="0" xr:uid="{00000000-0006-0000-0100-000045000000}">
      <text>
        <r>
          <rPr>
            <b/>
            <sz val="9"/>
            <color indexed="81"/>
            <rFont val="Tahoma"/>
            <family val="2"/>
          </rPr>
          <t>Soomit Datta:</t>
        </r>
        <r>
          <rPr>
            <sz val="9"/>
            <color indexed="81"/>
            <rFont val="Tahoma"/>
            <family val="2"/>
          </rPr>
          <t xml:space="preserve">
From Oct-18</t>
        </r>
      </text>
    </comment>
    <comment ref="V664" authorId="2" shapeId="0" xr:uid="{00000000-0006-0000-0100-000046000000}">
      <text>
        <r>
          <rPr>
            <b/>
            <sz val="9"/>
            <color indexed="81"/>
            <rFont val="Tahoma"/>
            <family val="2"/>
          </rPr>
          <t>Soomit Datta:</t>
        </r>
        <r>
          <rPr>
            <sz val="9"/>
            <color indexed="81"/>
            <rFont val="Tahoma"/>
            <family val="2"/>
          </rPr>
          <t xml:space="preserve">
Apr-8th, Part of the year included</t>
        </r>
      </text>
    </comment>
    <comment ref="V665" authorId="2" shapeId="0" xr:uid="{00000000-0006-0000-0100-000047000000}">
      <text>
        <r>
          <rPr>
            <b/>
            <sz val="9"/>
            <color indexed="81"/>
            <rFont val="Tahoma"/>
            <family val="2"/>
          </rPr>
          <t>Soomit Datta:</t>
        </r>
        <r>
          <rPr>
            <sz val="9"/>
            <color indexed="81"/>
            <rFont val="Tahoma"/>
            <family val="2"/>
          </rPr>
          <t xml:space="preserve">
Part of the year</t>
        </r>
      </text>
    </comment>
    <comment ref="V666" authorId="2" shapeId="0" xr:uid="{00000000-0006-0000-0100-000048000000}">
      <text>
        <r>
          <rPr>
            <b/>
            <sz val="9"/>
            <color indexed="81"/>
            <rFont val="Tahoma"/>
            <family val="2"/>
          </rPr>
          <t>Soomit Datta:</t>
        </r>
        <r>
          <rPr>
            <sz val="9"/>
            <color indexed="81"/>
            <rFont val="Tahoma"/>
            <family val="2"/>
          </rPr>
          <t xml:space="preserve">
Mar-14th - Part 2019 included</t>
        </r>
      </text>
    </comment>
    <comment ref="V667" authorId="2" shapeId="0" xr:uid="{00000000-0006-0000-0100-000049000000}">
      <text>
        <r>
          <rPr>
            <b/>
            <sz val="9"/>
            <color indexed="81"/>
            <rFont val="Tahoma"/>
            <family val="2"/>
          </rPr>
          <t>Soomit Datta:</t>
        </r>
        <r>
          <rPr>
            <sz val="9"/>
            <color indexed="81"/>
            <rFont val="Tahoma"/>
            <family val="2"/>
          </rPr>
          <t xml:space="preserve">
Assume start Nov</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author>
    <author>Soomit Datta</author>
  </authors>
  <commentList>
    <comment ref="O129" authorId="0" shapeId="0" xr:uid="{0D2DA369-9D50-4DD1-B9BE-03051E148C4A}">
      <text>
        <r>
          <rPr>
            <b/>
            <sz val="9"/>
            <color indexed="81"/>
            <rFont val="Tahoma"/>
            <family val="2"/>
          </rPr>
          <t>David:</t>
        </r>
        <r>
          <rPr>
            <sz val="9"/>
            <color indexed="81"/>
            <rFont val="Tahoma"/>
            <family val="2"/>
          </rPr>
          <t xml:space="preserve">
BOB currently pegged to $ at rate of 6.91 but had to pay commission of up to 60-70% to buy $ at this rate as of end of 2024. Q1 25 begin using estimated spot rate consistent with IAS21. Material negative impact to $ P&amp;L expected.</t>
        </r>
      </text>
    </comment>
    <comment ref="I243" authorId="1" shapeId="0" xr:uid="{00000000-0006-0000-0600-000001000000}">
      <text>
        <r>
          <rPr>
            <b/>
            <sz val="9"/>
            <color indexed="81"/>
            <rFont val="Tahoma"/>
            <family val="2"/>
          </rPr>
          <t>Soomit Datta:</t>
        </r>
        <r>
          <rPr>
            <sz val="9"/>
            <color indexed="81"/>
            <rFont val="Tahoma"/>
            <family val="2"/>
          </rPr>
          <t xml:space="preserve">
Adjusted to include Panama pro-forma in 2018</t>
        </r>
      </text>
    </comment>
    <comment ref="J243" authorId="1" shapeId="0" xr:uid="{00000000-0006-0000-0600-000002000000}">
      <text>
        <r>
          <rPr>
            <b/>
            <sz val="9"/>
            <color indexed="81"/>
            <rFont val="Tahoma"/>
            <family val="2"/>
          </rPr>
          <t>Soomit Datta:</t>
        </r>
        <r>
          <rPr>
            <sz val="9"/>
            <color indexed="81"/>
            <rFont val="Tahoma"/>
            <family val="2"/>
          </rPr>
          <t xml:space="preserve">
adj for Nicaragua</t>
        </r>
      </text>
    </comment>
    <comment ref="H244" authorId="1" shapeId="0" xr:uid="{00000000-0006-0000-0600-000003000000}">
      <text>
        <r>
          <rPr>
            <b/>
            <sz val="9"/>
            <color indexed="81"/>
            <rFont val="Tahoma"/>
            <family val="2"/>
          </rPr>
          <t>Soomit Datta:</t>
        </r>
        <r>
          <rPr>
            <sz val="9"/>
            <color indexed="81"/>
            <rFont val="Tahoma"/>
            <family val="2"/>
          </rPr>
          <t xml:space="preserve">
clean for IFRS adj</t>
        </r>
      </text>
    </comment>
    <comment ref="F288" authorId="1" shapeId="0" xr:uid="{00000000-0006-0000-0600-000004000000}">
      <text>
        <r>
          <rPr>
            <b/>
            <sz val="9"/>
            <color indexed="81"/>
            <rFont val="Tahoma"/>
            <family val="2"/>
          </rPr>
          <t>Soomit Datta:</t>
        </r>
        <r>
          <rPr>
            <sz val="9"/>
            <color indexed="81"/>
            <rFont val="Tahoma"/>
            <family val="2"/>
          </rPr>
          <t xml:space="preserve">
includes $23m restructuring charge</t>
        </r>
      </text>
    </comment>
    <comment ref="O303" authorId="0" shapeId="0" xr:uid="{FB244AEC-442A-4AFB-B7CB-FC5498645FBE}">
      <text>
        <r>
          <rPr>
            <b/>
            <sz val="9"/>
            <color indexed="81"/>
            <rFont val="Tahoma"/>
            <family val="2"/>
          </rPr>
          <t>David:</t>
        </r>
        <r>
          <rPr>
            <sz val="9"/>
            <color indexed="81"/>
            <rFont val="Tahoma"/>
            <family val="2"/>
          </rPr>
          <t xml:space="preserve">
EBITDA loss from Lati deal. Deal done on 10x EBITDA</t>
        </r>
      </text>
    </comment>
    <comment ref="J336" authorId="1" shapeId="0" xr:uid="{00000000-0006-0000-0600-000005000000}">
      <text>
        <r>
          <rPr>
            <b/>
            <sz val="9"/>
            <color indexed="81"/>
            <rFont val="Tahoma"/>
            <family val="2"/>
          </rPr>
          <t>Soomit Datta:</t>
        </r>
        <r>
          <rPr>
            <sz val="9"/>
            <color indexed="81"/>
            <rFont val="Tahoma"/>
            <family val="2"/>
          </rPr>
          <t xml:space="preserve">
Assume all USD (50% in reality)</t>
        </r>
      </text>
    </comment>
    <comment ref="I342" authorId="1" shapeId="0" xr:uid="{00000000-0006-0000-0600-000006000000}">
      <text>
        <r>
          <rPr>
            <b/>
            <sz val="9"/>
            <color indexed="81"/>
            <rFont val="Tahoma"/>
            <family val="2"/>
          </rPr>
          <t>Soomit Datta:</t>
        </r>
        <r>
          <rPr>
            <sz val="9"/>
            <color indexed="81"/>
            <rFont val="Tahoma"/>
            <family val="2"/>
          </rPr>
          <t xml:space="preserve">
IFRS 16</t>
        </r>
      </text>
    </comment>
    <comment ref="M405" authorId="0" shapeId="0" xr:uid="{2EBB1CD5-A45B-4E41-B668-8162BB44FC6B}">
      <text>
        <r>
          <rPr>
            <b/>
            <sz val="9"/>
            <color indexed="81"/>
            <rFont val="Tahoma"/>
            <family val="2"/>
          </rPr>
          <t>David:</t>
        </r>
        <r>
          <rPr>
            <sz val="9"/>
            <color indexed="81"/>
            <rFont val="Tahoma"/>
            <family val="2"/>
          </rPr>
          <t xml:space="preserve">
Artificial high bcs some releases of capex booked the year before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Soomit Datta</author>
    <author>David</author>
  </authors>
  <commentList>
    <comment ref="AI6" authorId="0" shapeId="0" xr:uid="{00000000-0006-0000-0300-000001000000}">
      <text>
        <r>
          <rPr>
            <b/>
            <sz val="9"/>
            <color indexed="81"/>
            <rFont val="Tahoma"/>
            <family val="2"/>
          </rPr>
          <t>Soomit Datta:</t>
        </r>
        <r>
          <rPr>
            <sz val="9"/>
            <color indexed="81"/>
            <rFont val="Tahoma"/>
            <family val="2"/>
          </rPr>
          <t xml:space="preserve">
estimate</t>
        </r>
      </text>
    </comment>
    <comment ref="W49" authorId="0" shapeId="0" xr:uid="{00000000-0006-0000-0300-000002000000}">
      <text>
        <r>
          <rPr>
            <b/>
            <sz val="9"/>
            <color indexed="81"/>
            <rFont val="Tahoma"/>
            <family val="2"/>
          </rPr>
          <t>Soomit Datta:</t>
        </r>
        <r>
          <rPr>
            <sz val="9"/>
            <color indexed="81"/>
            <rFont val="Tahoma"/>
            <family val="2"/>
          </rPr>
          <t xml:space="preserve">
Wholesale revs on net basis in Colombia</t>
        </r>
      </text>
    </comment>
    <comment ref="W52" authorId="0" shapeId="0" xr:uid="{00000000-0006-0000-0300-000003000000}">
      <text>
        <r>
          <rPr>
            <b/>
            <sz val="9"/>
            <color indexed="81"/>
            <rFont val="Tahoma"/>
            <family val="2"/>
          </rPr>
          <t>Soomit Datta:</t>
        </r>
        <r>
          <rPr>
            <sz val="9"/>
            <color indexed="81"/>
            <rFont val="Tahoma"/>
            <family val="2"/>
          </rPr>
          <t xml:space="preserve">
Wholesale revs on net basis</t>
        </r>
      </text>
    </comment>
    <comment ref="T105" authorId="0" shapeId="0" xr:uid="{00000000-0006-0000-0300-000004000000}">
      <text>
        <r>
          <rPr>
            <b/>
            <sz val="9"/>
            <color indexed="81"/>
            <rFont val="Tahoma"/>
            <family val="2"/>
          </rPr>
          <t>Soomit Datta:</t>
        </r>
        <r>
          <rPr>
            <sz val="9"/>
            <color indexed="81"/>
            <rFont val="Tahoma"/>
            <family val="2"/>
          </rPr>
          <t xml:space="preserve">
Includes $11m gain</t>
        </r>
      </text>
    </comment>
    <comment ref="AC109" authorId="0" shapeId="0" xr:uid="{00000000-0006-0000-0300-000005000000}">
      <text>
        <r>
          <rPr>
            <b/>
            <sz val="9"/>
            <color indexed="81"/>
            <rFont val="Tahoma"/>
            <family val="2"/>
          </rPr>
          <t>Soomit Datta:</t>
        </r>
        <r>
          <rPr>
            <sz val="9"/>
            <color indexed="81"/>
            <rFont val="Tahoma"/>
            <family val="2"/>
          </rPr>
          <t xml:space="preserve">
Estimate</t>
        </r>
      </text>
    </comment>
    <comment ref="AE109" authorId="0" shapeId="0" xr:uid="{00000000-0006-0000-0300-000006000000}">
      <text>
        <r>
          <rPr>
            <b/>
            <sz val="9"/>
            <color indexed="81"/>
            <rFont val="Tahoma"/>
            <family val="2"/>
          </rPr>
          <t>Soomit Datta:</t>
        </r>
        <r>
          <rPr>
            <sz val="9"/>
            <color indexed="81"/>
            <rFont val="Tahoma"/>
            <family val="2"/>
          </rPr>
          <t xml:space="preserve">
Down from Q2 18</t>
        </r>
      </text>
    </comment>
    <comment ref="AF109" authorId="0" shapeId="0" xr:uid="{00000000-0006-0000-0300-000007000000}">
      <text>
        <r>
          <rPr>
            <b/>
            <sz val="9"/>
            <color indexed="81"/>
            <rFont val="Tahoma"/>
            <family val="2"/>
          </rPr>
          <t>Soomit Datta:</t>
        </r>
        <r>
          <rPr>
            <sz val="9"/>
            <color indexed="81"/>
            <rFont val="Tahoma"/>
            <family val="2"/>
          </rPr>
          <t xml:space="preserve">
$14m in press release, p 17</t>
        </r>
      </text>
    </comment>
    <comment ref="AH109" authorId="0" shapeId="0" xr:uid="{00000000-0006-0000-0300-000008000000}">
      <text>
        <r>
          <rPr>
            <b/>
            <sz val="9"/>
            <color indexed="81"/>
            <rFont val="Tahoma"/>
            <family val="2"/>
          </rPr>
          <t>Soomit Datta:</t>
        </r>
        <r>
          <rPr>
            <sz val="9"/>
            <color indexed="81"/>
            <rFont val="Tahoma"/>
            <family val="2"/>
          </rPr>
          <t xml:space="preserve">
estimate</t>
        </r>
      </text>
    </comment>
    <comment ref="AF110" authorId="0" shapeId="0" xr:uid="{00000000-0006-0000-0300-000009000000}">
      <text>
        <r>
          <rPr>
            <b/>
            <sz val="9"/>
            <color indexed="81"/>
            <rFont val="Tahoma"/>
            <family val="2"/>
          </rPr>
          <t>Soomit Datta:</t>
        </r>
        <r>
          <rPr>
            <sz val="9"/>
            <color indexed="81"/>
            <rFont val="Tahoma"/>
            <family val="2"/>
          </rPr>
          <t xml:space="preserve">
In text in earnings release (p 16)</t>
        </r>
      </text>
    </comment>
    <comment ref="AF112" authorId="0" shapeId="0" xr:uid="{00000000-0006-0000-0300-00000A000000}">
      <text>
        <r>
          <rPr>
            <b/>
            <sz val="9"/>
            <color indexed="81"/>
            <rFont val="Tahoma"/>
            <family val="2"/>
          </rPr>
          <t>Soomit Datta:</t>
        </r>
        <r>
          <rPr>
            <sz val="9"/>
            <color indexed="81"/>
            <rFont val="Tahoma"/>
            <family val="2"/>
          </rPr>
          <t xml:space="preserve">
Press release, p 17</t>
        </r>
      </text>
    </comment>
    <comment ref="AH112" authorId="0" shapeId="0" xr:uid="{00000000-0006-0000-0300-00000B000000}">
      <text>
        <r>
          <rPr>
            <b/>
            <sz val="9"/>
            <color indexed="81"/>
            <rFont val="Tahoma"/>
            <family val="2"/>
          </rPr>
          <t>Soomit Datta:</t>
        </r>
        <r>
          <rPr>
            <sz val="9"/>
            <color indexed="81"/>
            <rFont val="Tahoma"/>
            <family val="2"/>
          </rPr>
          <t xml:space="preserve">
press release, p 10</t>
        </r>
      </text>
    </comment>
    <comment ref="P116" authorId="0" shapeId="0" xr:uid="{00000000-0006-0000-0300-00000C000000}">
      <text>
        <r>
          <rPr>
            <b/>
            <sz val="9"/>
            <color indexed="81"/>
            <rFont val="Tahoma"/>
            <family val="2"/>
          </rPr>
          <t>Soomit Datta:</t>
        </r>
        <r>
          <rPr>
            <sz val="9"/>
            <color indexed="81"/>
            <rFont val="Tahoma"/>
            <family val="2"/>
          </rPr>
          <t xml:space="preserve">
restructuring charge of $23m</t>
        </r>
      </text>
    </comment>
    <comment ref="W133" authorId="0" shapeId="0" xr:uid="{00000000-0006-0000-0300-00000D000000}">
      <text>
        <r>
          <rPr>
            <b/>
            <sz val="9"/>
            <color indexed="81"/>
            <rFont val="Tahoma"/>
            <family val="2"/>
          </rPr>
          <t>Soomit Datta:</t>
        </r>
        <r>
          <rPr>
            <sz val="9"/>
            <color indexed="81"/>
            <rFont val="Tahoma"/>
            <family val="2"/>
          </rPr>
          <t xml:space="preserve">
estimate</t>
        </r>
      </text>
    </comment>
    <comment ref="P134" authorId="0" shapeId="0" xr:uid="{00000000-0006-0000-0300-00000E000000}">
      <text>
        <r>
          <rPr>
            <b/>
            <sz val="9"/>
            <color indexed="81"/>
            <rFont val="Tahoma"/>
            <family val="2"/>
          </rPr>
          <t>Soomit Datta:</t>
        </r>
        <r>
          <rPr>
            <sz val="9"/>
            <color indexed="81"/>
            <rFont val="Tahoma"/>
            <family val="2"/>
          </rPr>
          <t xml:space="preserve">
includes $8m provision</t>
        </r>
      </text>
    </comment>
    <comment ref="T134" authorId="0" shapeId="0" xr:uid="{00000000-0006-0000-0300-00000F000000}">
      <text>
        <r>
          <rPr>
            <b/>
            <sz val="9"/>
            <color indexed="81"/>
            <rFont val="Tahoma"/>
            <family val="2"/>
          </rPr>
          <t>Soomit Datta:</t>
        </r>
        <r>
          <rPr>
            <sz val="9"/>
            <color indexed="81"/>
            <rFont val="Tahoma"/>
            <family val="2"/>
          </rPr>
          <t xml:space="preserve">
Includes $8m gain</t>
        </r>
      </text>
    </comment>
    <comment ref="AC140" authorId="0" shapeId="0" xr:uid="{00000000-0006-0000-0300-000010000000}">
      <text>
        <r>
          <rPr>
            <b/>
            <sz val="9"/>
            <color indexed="81"/>
            <rFont val="Tahoma"/>
            <family val="2"/>
          </rPr>
          <t>Soomit Datta:</t>
        </r>
        <r>
          <rPr>
            <sz val="9"/>
            <color indexed="81"/>
            <rFont val="Tahoma"/>
            <family val="2"/>
          </rPr>
          <t xml:space="preserve">
IFRS adj</t>
        </r>
      </text>
    </comment>
    <comment ref="W173" authorId="0" shapeId="0" xr:uid="{00000000-0006-0000-0300-000011000000}">
      <text>
        <r>
          <rPr>
            <b/>
            <sz val="9"/>
            <color indexed="81"/>
            <rFont val="Tahoma"/>
            <family val="2"/>
          </rPr>
          <t>Soomit Datta:</t>
        </r>
        <r>
          <rPr>
            <sz val="9"/>
            <color indexed="81"/>
            <rFont val="Tahoma"/>
            <family val="2"/>
          </rPr>
          <t xml:space="preserve">
adjkusted, 1.3% reported</t>
        </r>
      </text>
    </comment>
    <comment ref="BC353" authorId="1" shapeId="0" xr:uid="{CEF50028-AC99-489C-864A-6A5B42FE633C}">
      <text>
        <r>
          <rPr>
            <b/>
            <sz val="9"/>
            <color indexed="81"/>
            <rFont val="Tahoma"/>
            <family val="2"/>
          </rPr>
          <t>David:</t>
        </r>
        <r>
          <rPr>
            <sz val="9"/>
            <color indexed="81"/>
            <rFont val="Tahoma"/>
            <family val="2"/>
          </rPr>
          <t xml:space="preserve">
Panama  service  revenue  grew  18.9%,  fueled  by  large  B2B  contracts  and  strong  growth  in Mobile</t>
        </r>
      </text>
    </comment>
    <comment ref="W361" authorId="0" shapeId="0" xr:uid="{00000000-0006-0000-0300-000012000000}">
      <text>
        <r>
          <rPr>
            <b/>
            <sz val="9"/>
            <color indexed="81"/>
            <rFont val="Tahoma"/>
            <family val="2"/>
          </rPr>
          <t>Soomit Datta:</t>
        </r>
        <r>
          <rPr>
            <sz val="9"/>
            <color indexed="81"/>
            <rFont val="Tahoma"/>
            <family val="2"/>
          </rPr>
          <t xml:space="preserve">
6.5% reported, includes $6m hit</t>
        </r>
      </text>
    </comment>
    <comment ref="W362" authorId="0" shapeId="0" xr:uid="{00000000-0006-0000-0300-000013000000}">
      <text>
        <r>
          <rPr>
            <b/>
            <sz val="9"/>
            <color indexed="81"/>
            <rFont val="Tahoma"/>
            <family val="2"/>
          </rPr>
          <t>Soomit Datta:</t>
        </r>
        <r>
          <rPr>
            <sz val="9"/>
            <color indexed="81"/>
            <rFont val="Tahoma"/>
            <family val="2"/>
          </rPr>
          <t xml:space="preserve">
1.8% from Election (B2B)</t>
        </r>
      </text>
    </comment>
    <comment ref="X362" authorId="0" shapeId="0" xr:uid="{00000000-0006-0000-0300-000014000000}">
      <text>
        <r>
          <rPr>
            <b/>
            <sz val="9"/>
            <color indexed="81"/>
            <rFont val="Tahoma"/>
            <family val="2"/>
          </rPr>
          <t>Soomit Datta:</t>
        </r>
        <r>
          <rPr>
            <sz val="9"/>
            <color indexed="81"/>
            <rFont val="Tahoma"/>
            <family val="2"/>
          </rPr>
          <t xml:space="preserve">
2.6% from Election (B2B)</t>
        </r>
      </text>
    </comment>
    <comment ref="AG363" authorId="0" shapeId="0" xr:uid="{00000000-0006-0000-0300-000015000000}">
      <text>
        <r>
          <rPr>
            <b/>
            <sz val="9"/>
            <color indexed="81"/>
            <rFont val="Tahoma"/>
            <family val="2"/>
          </rPr>
          <t>Soomit Datta:</t>
        </r>
        <r>
          <rPr>
            <sz val="9"/>
            <color indexed="81"/>
            <rFont val="Tahoma"/>
            <family val="2"/>
          </rPr>
          <t xml:space="preserve">
-1.9% reported, adj due to revenue accrual</t>
        </r>
      </text>
    </comment>
    <comment ref="T379" authorId="0" shapeId="0" xr:uid="{00000000-0006-0000-0300-000016000000}">
      <text>
        <r>
          <rPr>
            <b/>
            <sz val="9"/>
            <color indexed="81"/>
            <rFont val="Tahoma"/>
            <family val="2"/>
          </rPr>
          <t>Soomit Datta:</t>
        </r>
        <r>
          <rPr>
            <sz val="9"/>
            <color indexed="81"/>
            <rFont val="Tahoma"/>
            <family val="2"/>
          </rPr>
          <t xml:space="preserve">
ex ghana</t>
        </r>
      </text>
    </comment>
    <comment ref="U379" authorId="0" shapeId="0" xr:uid="{00000000-0006-0000-0300-000017000000}">
      <text>
        <r>
          <rPr>
            <b/>
            <sz val="9"/>
            <color indexed="81"/>
            <rFont val="Tahoma"/>
            <family val="2"/>
          </rPr>
          <t>Soomit Datta:</t>
        </r>
        <r>
          <rPr>
            <sz val="9"/>
            <color indexed="81"/>
            <rFont val="Tahoma"/>
            <family val="2"/>
          </rPr>
          <t xml:space="preserve">
ex ghana</t>
        </r>
      </text>
    </comment>
    <comment ref="W423" authorId="0" shapeId="0" xr:uid="{00000000-0006-0000-0300-000018000000}">
      <text>
        <r>
          <rPr>
            <b/>
            <sz val="9"/>
            <color indexed="81"/>
            <rFont val="Tahoma"/>
            <family val="2"/>
          </rPr>
          <t>Soomit Datta:</t>
        </r>
        <r>
          <rPr>
            <sz val="9"/>
            <color indexed="81"/>
            <rFont val="Tahoma"/>
            <family val="2"/>
          </rPr>
          <t xml:space="preserve">
Extensions</t>
        </r>
      </text>
    </comment>
    <comment ref="W424" authorId="0" shapeId="0" xr:uid="{00000000-0006-0000-0300-000019000000}">
      <text>
        <r>
          <rPr>
            <b/>
            <sz val="9"/>
            <color indexed="81"/>
            <rFont val="Tahoma"/>
            <family val="2"/>
          </rPr>
          <t>Soomit Datta:</t>
        </r>
        <r>
          <rPr>
            <sz val="9"/>
            <color indexed="81"/>
            <rFont val="Tahoma"/>
            <family val="2"/>
          </rPr>
          <t xml:space="preserve">
Paraguay, 700 Mhz</t>
        </r>
      </text>
    </comment>
    <comment ref="X424" authorId="0" shapeId="0" xr:uid="{00000000-0006-0000-0300-00001A000000}">
      <text>
        <r>
          <rPr>
            <b/>
            <sz val="9"/>
            <color indexed="81"/>
            <rFont val="Tahoma"/>
            <family val="2"/>
          </rPr>
          <t>Soomit Datta:</t>
        </r>
        <r>
          <rPr>
            <sz val="9"/>
            <color indexed="81"/>
            <rFont val="Tahoma"/>
            <family val="2"/>
          </rPr>
          <t xml:space="preserve">
Paraguay, 700 Mhz</t>
        </r>
      </text>
    </comment>
    <comment ref="P437" authorId="0" shapeId="0" xr:uid="{4734FEBF-8E99-4DFC-B0C9-0A4818F49B19}">
      <text>
        <r>
          <rPr>
            <b/>
            <sz val="9"/>
            <color indexed="81"/>
            <rFont val="Tahoma"/>
            <family val="2"/>
          </rPr>
          <t>Soomit Datta:</t>
        </r>
        <r>
          <rPr>
            <sz val="9"/>
            <color indexed="81"/>
            <rFont val="Tahoma"/>
            <family val="2"/>
          </rPr>
          <t xml:space="preserve">
includes $80m of fair value adjs in Guatemala, Honduras (PPA allocation). Looks like it was bought from an IFRS perspective. Licence, trademark, customer lists</t>
        </r>
      </text>
    </comment>
    <comment ref="P441" authorId="0" shapeId="0" xr:uid="{00000000-0006-0000-0300-00001B000000}">
      <text>
        <r>
          <rPr>
            <b/>
            <sz val="9"/>
            <color indexed="81"/>
            <rFont val="Tahoma"/>
            <family val="2"/>
          </rPr>
          <t>Soomit Datta:</t>
        </r>
        <r>
          <rPr>
            <sz val="9"/>
            <color indexed="81"/>
            <rFont val="Tahoma"/>
            <family val="2"/>
          </rPr>
          <t xml:space="preserve">
includes $80m of fair value adjs in Guatemala, Honduras (PPA allocation). Looks like it was bought from an IFRS perspective. Licence, trademark, customer lists</t>
        </r>
      </text>
    </comment>
    <comment ref="W447" authorId="0" shapeId="0" xr:uid="{00000000-0006-0000-0300-00001C000000}">
      <text>
        <r>
          <rPr>
            <b/>
            <sz val="9"/>
            <color indexed="81"/>
            <rFont val="Tahoma"/>
            <family val="2"/>
          </rPr>
          <t>Soomit Datta:</t>
        </r>
        <r>
          <rPr>
            <sz val="9"/>
            <color indexed="81"/>
            <rFont val="Tahoma"/>
            <family val="2"/>
          </rPr>
          <t xml:space="preserve">
one-off previously added back</t>
        </r>
      </text>
    </comment>
    <comment ref="B451" authorId="0" shapeId="0" xr:uid="{00000000-0006-0000-0300-00001D000000}">
      <text>
        <r>
          <rPr>
            <b/>
            <sz val="9"/>
            <color indexed="81"/>
            <rFont val="Tahoma"/>
            <family val="2"/>
          </rPr>
          <t>Soomit Datta:</t>
        </r>
        <r>
          <rPr>
            <sz val="9"/>
            <color indexed="81"/>
            <rFont val="Tahoma"/>
            <family val="2"/>
          </rPr>
          <t xml:space="preserve">
FX, revaluation of put option</t>
        </r>
      </text>
    </comment>
    <comment ref="AD451" authorId="0" shapeId="0" xr:uid="{00000000-0006-0000-0300-00001E000000}">
      <text>
        <r>
          <rPr>
            <b/>
            <sz val="9"/>
            <color indexed="81"/>
            <rFont val="Tahoma"/>
            <family val="2"/>
          </rPr>
          <t>Soomit Datta:</t>
        </r>
        <r>
          <rPr>
            <sz val="9"/>
            <color indexed="81"/>
            <rFont val="Tahoma"/>
            <family val="2"/>
          </rPr>
          <t xml:space="preserve">
one off adjs</t>
        </r>
      </text>
    </comment>
    <comment ref="AF451" authorId="0" shapeId="0" xr:uid="{00000000-0006-0000-0300-00001F000000}">
      <text>
        <r>
          <rPr>
            <b/>
            <sz val="9"/>
            <color indexed="81"/>
            <rFont val="Tahoma"/>
            <family val="2"/>
          </rPr>
          <t>Soomit Datta:</t>
        </r>
        <r>
          <rPr>
            <sz val="9"/>
            <color indexed="81"/>
            <rFont val="Tahoma"/>
            <family val="2"/>
          </rPr>
          <t xml:space="preserve">
$89m from Jumia, rest from FX</t>
        </r>
      </text>
    </comment>
    <comment ref="N452" authorId="0" shapeId="0" xr:uid="{00000000-0006-0000-0300-000020000000}">
      <text>
        <r>
          <rPr>
            <b/>
            <sz val="9"/>
            <color indexed="81"/>
            <rFont val="Tahoma"/>
            <family val="2"/>
          </rPr>
          <t>Soomit Datta:</t>
        </r>
        <r>
          <rPr>
            <sz val="9"/>
            <color indexed="81"/>
            <rFont val="Tahoma"/>
            <family val="2"/>
          </rPr>
          <t xml:space="preserve">
US$28m gain</t>
        </r>
      </text>
    </comment>
    <comment ref="AB452" authorId="0" shapeId="0" xr:uid="{00000000-0006-0000-0300-000021000000}">
      <text>
        <r>
          <rPr>
            <b/>
            <sz val="9"/>
            <color indexed="81"/>
            <rFont val="Tahoma"/>
            <family val="2"/>
          </rPr>
          <t>Soomit Datta:</t>
        </r>
        <r>
          <rPr>
            <sz val="9"/>
            <color indexed="81"/>
            <rFont val="Tahoma"/>
            <family val="2"/>
          </rPr>
          <t xml:space="preserve">
Jumia marked to market</t>
        </r>
      </text>
    </comment>
    <comment ref="C455" authorId="0" shapeId="0" xr:uid="{00000000-0006-0000-0300-000022000000}">
      <text>
        <r>
          <rPr>
            <b/>
            <sz val="9"/>
            <color indexed="81"/>
            <rFont val="Tahoma"/>
            <family val="2"/>
          </rPr>
          <t>Soomit Datta:</t>
        </r>
        <r>
          <rPr>
            <sz val="9"/>
            <color indexed="81"/>
            <rFont val="Tahoma"/>
            <family val="2"/>
          </rPr>
          <t xml:space="preserve">
includes $12m of one-off early redemption costs for bond in El Salvador</t>
        </r>
      </text>
    </comment>
    <comment ref="H456" authorId="0" shapeId="0" xr:uid="{00000000-0006-0000-0300-000023000000}">
      <text>
        <r>
          <rPr>
            <b/>
            <sz val="9"/>
            <color indexed="81"/>
            <rFont val="Tahoma"/>
            <family val="2"/>
          </rPr>
          <t>Soomit Datta:</t>
        </r>
        <r>
          <rPr>
            <sz val="9"/>
            <color indexed="81"/>
            <rFont val="Tahoma"/>
            <family val="2"/>
          </rPr>
          <t xml:space="preserve">
early redemption of el salvador bond</t>
        </r>
      </text>
    </comment>
    <comment ref="AD466" authorId="0" shapeId="0" xr:uid="{00000000-0006-0000-0300-000024000000}">
      <text>
        <r>
          <rPr>
            <b/>
            <sz val="9"/>
            <color indexed="81"/>
            <rFont val="Tahoma"/>
            <family val="2"/>
          </rPr>
          <t>Soomit Datta:</t>
        </r>
        <r>
          <rPr>
            <sz val="9"/>
            <color indexed="81"/>
            <rFont val="Tahoma"/>
            <family val="2"/>
          </rPr>
          <t xml:space="preserve">
Chad sale</t>
        </r>
      </text>
    </comment>
    <comment ref="AD508" authorId="0" shapeId="0" xr:uid="{00000000-0006-0000-0300-000025000000}">
      <text>
        <r>
          <rPr>
            <b/>
            <sz val="9"/>
            <color indexed="81"/>
            <rFont val="Tahoma"/>
            <family val="2"/>
          </rPr>
          <t>Soomit Datta:</t>
        </r>
        <r>
          <rPr>
            <sz val="9"/>
            <color indexed="81"/>
            <rFont val="Tahoma"/>
            <family val="2"/>
          </rPr>
          <t xml:space="preserve">
Nicaragua in less Chad out</t>
        </r>
      </text>
    </comment>
    <comment ref="AU508" authorId="0" shapeId="0" xr:uid="{43C64A1B-18F5-4375-BA84-02F01B4438FB}">
      <text>
        <r>
          <rPr>
            <b/>
            <sz val="9"/>
            <color indexed="81"/>
            <rFont val="Tahoma"/>
            <family val="2"/>
          </rPr>
          <t>Soomit Datta:</t>
        </r>
        <r>
          <rPr>
            <sz val="9"/>
            <color indexed="81"/>
            <rFont val="Tahoma"/>
            <family val="2"/>
          </rPr>
          <t xml:space="preserve">
Africa debt deconsolidation, Honduras deconsolidation</t>
        </r>
      </text>
    </comment>
    <comment ref="T509" authorId="0" shapeId="0" xr:uid="{00000000-0006-0000-0300-000026000000}">
      <text>
        <r>
          <rPr>
            <b/>
            <sz val="9"/>
            <color indexed="81"/>
            <rFont val="Tahoma"/>
            <family val="2"/>
          </rPr>
          <t>Soomit Datta:</t>
        </r>
        <r>
          <rPr>
            <sz val="9"/>
            <color indexed="81"/>
            <rFont val="Tahoma"/>
            <family val="2"/>
          </rPr>
          <t xml:space="preserve">
discontinued ops (Ghana)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sdatta</author>
    <author>jratzer</author>
    <author>Soomit Datta</author>
  </authors>
  <commentList>
    <comment ref="AM14" authorId="0" shapeId="0" xr:uid="{00000000-0006-0000-0200-000001000000}">
      <text>
        <r>
          <rPr>
            <b/>
            <sz val="8"/>
            <color indexed="81"/>
            <rFont val="Tahoma"/>
            <family val="2"/>
          </rPr>
          <t>sdatta:</t>
        </r>
        <r>
          <rPr>
            <sz val="8"/>
            <color indexed="81"/>
            <rFont val="Tahoma"/>
            <family val="2"/>
          </rPr>
          <t xml:space="preserve">
market</t>
        </r>
      </text>
    </comment>
    <comment ref="AM15" authorId="0" shapeId="0" xr:uid="{00000000-0006-0000-0200-000002000000}">
      <text>
        <r>
          <rPr>
            <b/>
            <sz val="8"/>
            <color indexed="81"/>
            <rFont val="Tahoma"/>
            <family val="2"/>
          </rPr>
          <t>sdatta:</t>
        </r>
        <r>
          <rPr>
            <sz val="8"/>
            <color indexed="81"/>
            <rFont val="Tahoma"/>
            <family val="2"/>
          </rPr>
          <t xml:space="preserve">
market</t>
        </r>
      </text>
    </comment>
    <comment ref="F605" authorId="0" shapeId="0" xr:uid="{00000000-0006-0000-0200-000003000000}">
      <text>
        <r>
          <rPr>
            <b/>
            <sz val="8"/>
            <color indexed="81"/>
            <rFont val="Tahoma"/>
            <family val="2"/>
          </rPr>
          <t>sdatta:</t>
        </r>
        <r>
          <rPr>
            <sz val="8"/>
            <color indexed="81"/>
            <rFont val="Tahoma"/>
            <family val="2"/>
          </rPr>
          <t xml:space="preserve">
1st minute 1 Tsh, 0.5 thereafter</t>
        </r>
      </text>
    </comment>
    <comment ref="D727" authorId="1" shapeId="0" xr:uid="{00000000-0006-0000-0200-000004000000}">
      <text>
        <r>
          <rPr>
            <b/>
            <sz val="8"/>
            <color indexed="81"/>
            <rFont val="Tahoma"/>
            <family val="2"/>
          </rPr>
          <t>jratzer:</t>
        </r>
        <r>
          <rPr>
            <sz val="8"/>
            <color indexed="81"/>
            <rFont val="Tahoma"/>
            <family val="2"/>
          </rPr>
          <t xml:space="preserve">
Source World Development Indicators Database, Jul 09</t>
        </r>
      </text>
    </comment>
    <comment ref="D1037" authorId="0" shapeId="0" xr:uid="{00000000-0006-0000-0200-000005000000}">
      <text>
        <r>
          <rPr>
            <b/>
            <sz val="8"/>
            <color indexed="81"/>
            <rFont val="Tahoma"/>
            <family val="2"/>
          </rPr>
          <t>sdatta:</t>
        </r>
        <r>
          <rPr>
            <sz val="8"/>
            <color indexed="81"/>
            <rFont val="Tahoma"/>
            <family val="2"/>
          </rPr>
          <t xml:space="preserve">
5m Telmex ADSL customers as of 2008</t>
        </r>
      </text>
    </comment>
    <comment ref="F1364" authorId="0" shapeId="0" xr:uid="{00000000-0006-0000-0200-000006000000}">
      <text>
        <r>
          <rPr>
            <b/>
            <sz val="8"/>
            <color indexed="81"/>
            <rFont val="Tahoma"/>
            <family val="2"/>
          </rPr>
          <t>sdatta:</t>
        </r>
        <r>
          <rPr>
            <sz val="8"/>
            <color indexed="81"/>
            <rFont val="Tahoma"/>
            <family val="2"/>
          </rPr>
          <t xml:space="preserve">
estimate</t>
        </r>
      </text>
    </comment>
    <comment ref="G1380" authorId="0" shapeId="0" xr:uid="{00000000-0006-0000-0200-000007000000}">
      <text>
        <r>
          <rPr>
            <b/>
            <sz val="8"/>
            <color indexed="81"/>
            <rFont val="Tahoma"/>
            <family val="2"/>
          </rPr>
          <t>sdatta:</t>
        </r>
        <r>
          <rPr>
            <sz val="8"/>
            <color indexed="81"/>
            <rFont val="Tahoma"/>
            <family val="2"/>
          </rPr>
          <t xml:space="preserve">
Zain</t>
        </r>
      </text>
    </comment>
    <comment ref="G1381" authorId="0" shapeId="0" xr:uid="{00000000-0006-0000-0200-000008000000}">
      <text>
        <r>
          <rPr>
            <b/>
            <sz val="8"/>
            <color indexed="81"/>
            <rFont val="Tahoma"/>
            <family val="2"/>
          </rPr>
          <t>sdatta:</t>
        </r>
        <r>
          <rPr>
            <sz val="8"/>
            <color indexed="81"/>
            <rFont val="Tahoma"/>
            <family val="2"/>
          </rPr>
          <t xml:space="preserve">
Zain</t>
        </r>
      </text>
    </comment>
    <comment ref="G1382" authorId="0" shapeId="0" xr:uid="{00000000-0006-0000-0200-000009000000}">
      <text>
        <r>
          <rPr>
            <b/>
            <sz val="8"/>
            <color indexed="81"/>
            <rFont val="Tahoma"/>
            <family val="2"/>
          </rPr>
          <t>sdatta:</t>
        </r>
        <r>
          <rPr>
            <sz val="8"/>
            <color indexed="81"/>
            <rFont val="Tahoma"/>
            <family val="2"/>
          </rPr>
          <t xml:space="preserve">
Vodacom and Zain</t>
        </r>
      </text>
    </comment>
    <comment ref="G1385" authorId="0" shapeId="0" xr:uid="{00000000-0006-0000-0200-00000A000000}">
      <text>
        <r>
          <rPr>
            <b/>
            <sz val="8"/>
            <color indexed="81"/>
            <rFont val="Tahoma"/>
            <family val="2"/>
          </rPr>
          <t>sdatta:</t>
        </r>
        <r>
          <rPr>
            <sz val="8"/>
            <color indexed="81"/>
            <rFont val="Tahoma"/>
            <family val="2"/>
          </rPr>
          <t xml:space="preserve">
Vodacom</t>
        </r>
      </text>
    </comment>
    <comment ref="J1748" authorId="2" shapeId="0" xr:uid="{00000000-0006-0000-0200-00000B000000}">
      <text>
        <r>
          <rPr>
            <b/>
            <sz val="9"/>
            <color indexed="81"/>
            <rFont val="Tahoma"/>
            <family val="2"/>
          </rPr>
          <t>Soomit Datta:</t>
        </r>
        <r>
          <rPr>
            <sz val="9"/>
            <color indexed="81"/>
            <rFont val="Tahoma"/>
            <family val="2"/>
          </rPr>
          <t xml:space="preserve">
New definition, for subs using &gt;0.25MB per month </t>
        </r>
      </text>
    </comment>
    <comment ref="F3592" authorId="2" shapeId="0" xr:uid="{00000000-0006-0000-0200-00000C000000}">
      <text>
        <r>
          <rPr>
            <b/>
            <sz val="9"/>
            <color indexed="81"/>
            <rFont val="Tahoma"/>
            <family val="2"/>
          </rPr>
          <t>Soomit Datta:</t>
        </r>
        <r>
          <rPr>
            <sz val="9"/>
            <color indexed="81"/>
            <rFont val="Tahoma"/>
            <family val="2"/>
          </rPr>
          <t xml:space="preserve">
Cost of debt as of Q2 18 press release</t>
        </r>
      </text>
    </comment>
    <comment ref="F3611" authorId="2" shapeId="0" xr:uid="{00000000-0006-0000-0200-00000D000000}">
      <text>
        <r>
          <rPr>
            <b/>
            <sz val="9"/>
            <color indexed="81"/>
            <rFont val="Tahoma"/>
            <family val="2"/>
          </rPr>
          <t>Soomit Datta:</t>
        </r>
        <r>
          <rPr>
            <sz val="9"/>
            <color indexed="81"/>
            <rFont val="Tahoma"/>
            <family val="2"/>
          </rPr>
          <t xml:space="preserve">
H1 2018</t>
        </r>
      </text>
    </comment>
    <comment ref="F3615" authorId="2" shapeId="0" xr:uid="{00000000-0006-0000-0200-00000E000000}">
      <text>
        <r>
          <rPr>
            <b/>
            <sz val="9"/>
            <color indexed="81"/>
            <rFont val="Tahoma"/>
            <family val="2"/>
          </rPr>
          <t>Soomit Datta:</t>
        </r>
        <r>
          <rPr>
            <sz val="9"/>
            <color indexed="81"/>
            <rFont val="Tahoma"/>
            <family val="2"/>
          </rPr>
          <t xml:space="preserve">
H1 2018</t>
        </r>
      </text>
    </comment>
    <comment ref="D3772" authorId="2" shapeId="0" xr:uid="{00000000-0006-0000-0200-00000F000000}">
      <text>
        <r>
          <rPr>
            <b/>
            <sz val="9"/>
            <color indexed="81"/>
            <rFont val="Tahoma"/>
            <family val="2"/>
          </rPr>
          <t>Soomit Datta:</t>
        </r>
        <r>
          <rPr>
            <sz val="9"/>
            <color indexed="81"/>
            <rFont val="Tahoma"/>
            <family val="2"/>
          </rPr>
          <t xml:space="preserve">
As of Q4 18</t>
        </r>
      </text>
    </comment>
    <comment ref="F3871" authorId="2" shapeId="0" xr:uid="{00000000-0006-0000-0200-000010000000}">
      <text>
        <r>
          <rPr>
            <b/>
            <sz val="9"/>
            <color indexed="81"/>
            <rFont val="Tahoma"/>
            <family val="2"/>
          </rPr>
          <t>Soomit Datta:</t>
        </r>
        <r>
          <rPr>
            <sz val="9"/>
            <color indexed="81"/>
            <rFont val="Tahoma"/>
            <family val="2"/>
          </rPr>
          <t xml:space="preserve">
Estimate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Soomit Datta</author>
    <author>sdatta</author>
  </authors>
  <commentList>
    <comment ref="K17" authorId="0" shapeId="0" xr:uid="{00000000-0006-0000-0700-000001000000}">
      <text>
        <r>
          <rPr>
            <b/>
            <sz val="9"/>
            <color indexed="81"/>
            <rFont val="Tahoma"/>
            <family val="2"/>
          </rPr>
          <t>Soomit Datta:</t>
        </r>
        <r>
          <rPr>
            <sz val="9"/>
            <color indexed="81"/>
            <rFont val="Tahoma"/>
            <family val="2"/>
          </rPr>
          <t xml:space="preserve">
Acquisition Q4 12</t>
        </r>
      </text>
    </comment>
    <comment ref="J26" authorId="0" shapeId="0" xr:uid="{00000000-0006-0000-0700-000002000000}">
      <text>
        <r>
          <rPr>
            <b/>
            <sz val="9"/>
            <color indexed="81"/>
            <rFont val="Tahoma"/>
            <family val="2"/>
          </rPr>
          <t>Soomit Datta:</t>
        </r>
        <r>
          <rPr>
            <sz val="9"/>
            <color indexed="81"/>
            <rFont val="Tahoma"/>
            <family val="2"/>
          </rPr>
          <t xml:space="preserve">
adjusted</t>
        </r>
      </text>
    </comment>
    <comment ref="K26" authorId="0" shapeId="0" xr:uid="{00000000-0006-0000-0700-000003000000}">
      <text>
        <r>
          <rPr>
            <b/>
            <sz val="9"/>
            <color indexed="81"/>
            <rFont val="Tahoma"/>
            <family val="2"/>
          </rPr>
          <t>Soomit Datta:</t>
        </r>
        <r>
          <rPr>
            <sz val="9"/>
            <color indexed="81"/>
            <rFont val="Tahoma"/>
            <family val="2"/>
          </rPr>
          <t xml:space="preserve">
adjusted</t>
        </r>
      </text>
    </comment>
    <comment ref="L26" authorId="0" shapeId="0" xr:uid="{00000000-0006-0000-0700-000004000000}">
      <text>
        <r>
          <rPr>
            <b/>
            <sz val="9"/>
            <color indexed="81"/>
            <rFont val="Tahoma"/>
            <family val="2"/>
          </rPr>
          <t>Soomit Datta:</t>
        </r>
        <r>
          <rPr>
            <sz val="9"/>
            <color indexed="81"/>
            <rFont val="Tahoma"/>
            <family val="2"/>
          </rPr>
          <t xml:space="preserve">
FX moves reflected</t>
        </r>
      </text>
    </comment>
    <comment ref="P35" authorId="0" shapeId="0" xr:uid="{00000000-0006-0000-0700-000005000000}">
      <text>
        <r>
          <rPr>
            <b/>
            <sz val="9"/>
            <color indexed="81"/>
            <rFont val="Tahoma"/>
            <family val="2"/>
          </rPr>
          <t>Soomit Datta:</t>
        </r>
        <r>
          <rPr>
            <sz val="9"/>
            <color indexed="81"/>
            <rFont val="Tahoma"/>
            <family val="2"/>
          </rPr>
          <t xml:space="preserve">
Includes Panama acquisition</t>
        </r>
      </text>
    </comment>
    <comment ref="E59" authorId="1" shapeId="0" xr:uid="{00000000-0006-0000-0700-000006000000}">
      <text>
        <r>
          <rPr>
            <b/>
            <sz val="8"/>
            <color indexed="81"/>
            <rFont val="Tahoma"/>
            <family val="2"/>
          </rPr>
          <t>sdatta:</t>
        </r>
        <r>
          <rPr>
            <sz val="8"/>
            <color indexed="81"/>
            <rFont val="Tahoma"/>
            <family val="2"/>
          </rPr>
          <t xml:space="preserve">
Based off June 08 numbers</t>
        </r>
      </text>
    </comment>
    <comment ref="E60" authorId="1" shapeId="0" xr:uid="{00000000-0006-0000-0700-000007000000}">
      <text>
        <r>
          <rPr>
            <b/>
            <sz val="8"/>
            <color indexed="81"/>
            <rFont val="Tahoma"/>
            <family val="2"/>
          </rPr>
          <t>sdatta:</t>
        </r>
        <r>
          <rPr>
            <sz val="8"/>
            <color indexed="81"/>
            <rFont val="Tahoma"/>
            <family val="2"/>
          </rPr>
          <t xml:space="preserve">
Based off June 08 numbers</t>
        </r>
      </text>
    </comment>
    <comment ref="M67" authorId="0" shapeId="0" xr:uid="{00000000-0006-0000-0700-000008000000}">
      <text>
        <r>
          <rPr>
            <b/>
            <sz val="9"/>
            <color indexed="81"/>
            <rFont val="Tahoma"/>
            <family val="2"/>
          </rPr>
          <t>Soomit Datta:</t>
        </r>
        <r>
          <rPr>
            <sz val="9"/>
            <color indexed="81"/>
            <rFont val="Tahoma"/>
            <family val="2"/>
          </rPr>
          <t xml:space="preserve">
flat in constant FX</t>
        </r>
      </text>
    </comment>
    <comment ref="L86" authorId="0" shapeId="0" xr:uid="{00000000-0006-0000-0700-000009000000}">
      <text>
        <r>
          <rPr>
            <b/>
            <sz val="9"/>
            <color indexed="81"/>
            <rFont val="Tahoma"/>
            <family val="2"/>
          </rPr>
          <t>Soomit Datta:</t>
        </r>
        <r>
          <rPr>
            <sz val="9"/>
            <color indexed="81"/>
            <rFont val="Tahoma"/>
            <family val="2"/>
          </rPr>
          <t xml:space="preserve">
Part of the year</t>
        </r>
      </text>
    </comment>
    <comment ref="E247" authorId="0" shapeId="0" xr:uid="{00000000-0006-0000-0700-00000A000000}">
      <text>
        <r>
          <rPr>
            <b/>
            <sz val="9"/>
            <color indexed="81"/>
            <rFont val="Tahoma"/>
            <family val="2"/>
          </rPr>
          <t>Soomit Datta:</t>
        </r>
        <r>
          <rPr>
            <sz val="9"/>
            <color indexed="81"/>
            <rFont val="Tahoma"/>
            <family val="2"/>
          </rPr>
          <t xml:space="preserve">
less Cable Onda</t>
        </r>
      </text>
    </comment>
    <comment ref="E279" authorId="0" shapeId="0" xr:uid="{00000000-0006-0000-0700-00000B000000}">
      <text>
        <r>
          <rPr>
            <b/>
            <sz val="9"/>
            <color indexed="81"/>
            <rFont val="Tahoma"/>
            <family val="2"/>
          </rPr>
          <t>Soomit Datta:</t>
        </r>
        <r>
          <rPr>
            <sz val="9"/>
            <color indexed="81"/>
            <rFont val="Tahoma"/>
            <family val="2"/>
          </rPr>
          <t xml:space="preserve">
Less Cable Onda subs</t>
        </r>
      </text>
    </comment>
    <comment ref="F309" authorId="0" shapeId="0" xr:uid="{00000000-0006-0000-0700-00000C000000}">
      <text>
        <r>
          <rPr>
            <b/>
            <sz val="9"/>
            <color indexed="81"/>
            <rFont val="Tahoma"/>
            <family val="2"/>
          </rPr>
          <t>Soomit Datta:</t>
        </r>
        <r>
          <rPr>
            <sz val="9"/>
            <color indexed="81"/>
            <rFont val="Tahoma"/>
            <family val="2"/>
          </rPr>
          <t xml:space="preserve">
Shift to IFRS16</t>
        </r>
      </text>
    </comment>
    <comment ref="F327" authorId="0" shapeId="0" xr:uid="{00000000-0006-0000-0700-00000D000000}">
      <text>
        <r>
          <rPr>
            <b/>
            <sz val="9"/>
            <color indexed="81"/>
            <rFont val="Tahoma"/>
            <family val="2"/>
          </rPr>
          <t>Soomit Datta:</t>
        </r>
        <r>
          <rPr>
            <sz val="9"/>
            <color indexed="81"/>
            <rFont val="Tahoma"/>
            <family val="2"/>
          </rPr>
          <t xml:space="preserve">
Shift to IFRS16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Soomit Datta</author>
    <author>sdatta</author>
  </authors>
  <commentList>
    <comment ref="BC17" authorId="0" shapeId="0" xr:uid="{00000000-0006-0000-0800-000001000000}">
      <text>
        <r>
          <rPr>
            <b/>
            <sz val="9"/>
            <color indexed="81"/>
            <rFont val="Tahoma"/>
            <family val="2"/>
          </rPr>
          <t>Soomit Datta:</t>
        </r>
        <r>
          <rPr>
            <sz val="9"/>
            <color indexed="81"/>
            <rFont val="Tahoma"/>
            <family val="2"/>
          </rPr>
          <t xml:space="preserve">
Adj back $13m in Central America</t>
        </r>
      </text>
    </comment>
    <comment ref="BD17" authorId="0" shapeId="0" xr:uid="{00000000-0006-0000-0800-000002000000}">
      <text>
        <r>
          <rPr>
            <b/>
            <sz val="9"/>
            <color indexed="81"/>
            <rFont val="Tahoma"/>
            <family val="2"/>
          </rPr>
          <t>Soomit Datta:</t>
        </r>
        <r>
          <rPr>
            <sz val="9"/>
            <color indexed="81"/>
            <rFont val="Tahoma"/>
            <family val="2"/>
          </rPr>
          <t xml:space="preserve">
xx</t>
        </r>
      </text>
    </comment>
    <comment ref="BE17" authorId="0" shapeId="0" xr:uid="{00000000-0006-0000-0800-000003000000}">
      <text>
        <r>
          <rPr>
            <b/>
            <sz val="9"/>
            <color indexed="81"/>
            <rFont val="Tahoma"/>
            <family val="2"/>
          </rPr>
          <t>Soomit Datta:</t>
        </r>
        <r>
          <rPr>
            <sz val="9"/>
            <color indexed="81"/>
            <rFont val="Tahoma"/>
            <family val="2"/>
          </rPr>
          <t xml:space="preserve">
xx</t>
        </r>
      </text>
    </comment>
    <comment ref="BD23" authorId="0" shapeId="0" xr:uid="{00000000-0006-0000-0800-000004000000}">
      <text>
        <r>
          <rPr>
            <b/>
            <sz val="9"/>
            <color indexed="81"/>
            <rFont val="Tahoma"/>
            <family val="2"/>
          </rPr>
          <t>Soomit Datta:</t>
        </r>
        <r>
          <rPr>
            <sz val="9"/>
            <color indexed="81"/>
            <rFont val="Tahoma"/>
            <family val="2"/>
          </rPr>
          <t xml:space="preserve">
Adding back $11m of which $9m in Africa</t>
        </r>
      </text>
    </comment>
    <comment ref="BE23" authorId="0" shapeId="0" xr:uid="{00000000-0006-0000-0800-000005000000}">
      <text>
        <r>
          <rPr>
            <b/>
            <sz val="9"/>
            <color indexed="81"/>
            <rFont val="Tahoma"/>
            <family val="2"/>
          </rPr>
          <t>Soomit Datta:</t>
        </r>
        <r>
          <rPr>
            <sz val="9"/>
            <color indexed="81"/>
            <rFont val="Tahoma"/>
            <family val="2"/>
          </rPr>
          <t xml:space="preserve">
Adding back $11m of which $9m in Africa</t>
        </r>
      </text>
    </comment>
    <comment ref="BE31" authorId="0" shapeId="0" xr:uid="{00000000-0006-0000-0800-000006000000}">
      <text>
        <r>
          <rPr>
            <b/>
            <sz val="9"/>
            <color indexed="81"/>
            <rFont val="Tahoma"/>
            <family val="2"/>
          </rPr>
          <t>Soomit Datta:</t>
        </r>
        <r>
          <rPr>
            <sz val="9"/>
            <color indexed="81"/>
            <rFont val="Tahoma"/>
            <family val="2"/>
          </rPr>
          <t xml:space="preserve">
Accelerated depreciation</t>
        </r>
      </text>
    </comment>
    <comment ref="D37" authorId="0" shapeId="0" xr:uid="{00000000-0006-0000-0800-000007000000}">
      <text>
        <r>
          <rPr>
            <b/>
            <sz val="9"/>
            <color indexed="81"/>
            <rFont val="Tahoma"/>
            <family val="2"/>
          </rPr>
          <t>Soomit Datta:</t>
        </r>
        <r>
          <rPr>
            <sz val="9"/>
            <color indexed="81"/>
            <rFont val="Tahoma"/>
            <family val="2"/>
          </rPr>
          <t xml:space="preserve">
FX, revaluation of put option</t>
        </r>
      </text>
    </comment>
    <comment ref="AN37" authorId="1" shapeId="0" xr:uid="{00000000-0006-0000-0800-000008000000}">
      <text>
        <r>
          <rPr>
            <b/>
            <sz val="8"/>
            <color indexed="81"/>
            <rFont val="Tahoma"/>
            <family val="2"/>
          </rPr>
          <t>sdatta:</t>
        </r>
        <r>
          <rPr>
            <sz val="8"/>
            <color indexed="81"/>
            <rFont val="Tahoma"/>
            <family val="2"/>
          </rPr>
          <t xml:space="preserve">
Adj in Africa</t>
        </r>
      </text>
    </comment>
    <comment ref="AX37" authorId="0" shapeId="0" xr:uid="{00000000-0006-0000-0800-000009000000}">
      <text>
        <r>
          <rPr>
            <b/>
            <sz val="9"/>
            <color indexed="81"/>
            <rFont val="Tahoma"/>
            <family val="2"/>
          </rPr>
          <t>Soomit Datta:</t>
        </r>
        <r>
          <rPr>
            <sz val="9"/>
            <color indexed="81"/>
            <rFont val="Tahoma"/>
            <family val="2"/>
          </rPr>
          <t xml:space="preserve">
Other part of one-off (the taxes)</t>
        </r>
      </text>
    </comment>
    <comment ref="BE37" authorId="0" shapeId="0" xr:uid="{00000000-0006-0000-0800-00000A000000}">
      <text>
        <r>
          <rPr>
            <b/>
            <sz val="9"/>
            <color indexed="81"/>
            <rFont val="Tahoma"/>
            <family val="2"/>
          </rPr>
          <t>Soomit Datta:</t>
        </r>
        <r>
          <rPr>
            <sz val="9"/>
            <color indexed="81"/>
            <rFont val="Tahoma"/>
            <family val="2"/>
          </rPr>
          <t xml:space="preserve">
write down in africa</t>
        </r>
      </text>
    </comment>
    <comment ref="BR38" authorId="0" shapeId="0" xr:uid="{00000000-0006-0000-0800-00000B000000}">
      <text>
        <r>
          <rPr>
            <b/>
            <sz val="9"/>
            <color indexed="81"/>
            <rFont val="Tahoma"/>
            <family val="2"/>
          </rPr>
          <t>Soomit Datta:</t>
        </r>
        <r>
          <rPr>
            <sz val="9"/>
            <color indexed="81"/>
            <rFont val="Tahoma"/>
            <family val="2"/>
          </rPr>
          <t xml:space="preserve">
US$28m gain</t>
        </r>
      </text>
    </comment>
    <comment ref="AX39" authorId="0" shapeId="0" xr:uid="{00000000-0006-0000-0800-00000C000000}">
      <text>
        <r>
          <rPr>
            <b/>
            <sz val="9"/>
            <color indexed="81"/>
            <rFont val="Tahoma"/>
            <family val="2"/>
          </rPr>
          <t>Soomit Datta:</t>
        </r>
        <r>
          <rPr>
            <sz val="9"/>
            <color indexed="81"/>
            <rFont val="Tahoma"/>
            <family val="2"/>
          </rPr>
          <t xml:space="preserve">
Revaluation of Honduras put</t>
        </r>
      </text>
    </comment>
    <comment ref="AA46" authorId="1" shapeId="0" xr:uid="{00000000-0006-0000-0800-00000D000000}">
      <text>
        <r>
          <rPr>
            <b/>
            <sz val="8"/>
            <color indexed="81"/>
            <rFont val="Tahoma"/>
            <family val="2"/>
          </rPr>
          <t>sdatta:</t>
        </r>
        <r>
          <rPr>
            <sz val="8"/>
            <color indexed="81"/>
            <rFont val="Tahoma"/>
            <family val="2"/>
          </rPr>
          <t xml:space="preserve">
$31m due to accrual of 10% senior notes</t>
        </r>
      </text>
    </comment>
    <comment ref="AE46" authorId="1" shapeId="0" xr:uid="{00000000-0006-0000-0800-00000E000000}">
      <text>
        <r>
          <rPr>
            <b/>
            <sz val="8"/>
            <color indexed="81"/>
            <rFont val="Tahoma"/>
            <family val="2"/>
          </rPr>
          <t>sdatta:</t>
        </r>
        <r>
          <rPr>
            <sz val="8"/>
            <color indexed="81"/>
            <rFont val="Tahoma"/>
            <family val="2"/>
          </rPr>
          <t xml:space="preserve">
Reveral of $30m accrual</t>
        </r>
      </text>
    </comment>
    <comment ref="BG46" authorId="0" shapeId="0" xr:uid="{00000000-0006-0000-0800-00000F000000}">
      <text>
        <r>
          <rPr>
            <b/>
            <sz val="9"/>
            <color indexed="81"/>
            <rFont val="Tahoma"/>
            <family val="2"/>
          </rPr>
          <t>Soomit Datta:</t>
        </r>
        <r>
          <rPr>
            <sz val="9"/>
            <color indexed="81"/>
            <rFont val="Tahoma"/>
            <family val="2"/>
          </rPr>
          <t xml:space="preserve">
includes $12m of one-off early redemption costs for bond in El Salvador</t>
        </r>
      </text>
    </comment>
    <comment ref="BL47" authorId="0" shapeId="0" xr:uid="{00000000-0006-0000-0800-000010000000}">
      <text>
        <r>
          <rPr>
            <b/>
            <sz val="9"/>
            <color indexed="81"/>
            <rFont val="Tahoma"/>
            <family val="2"/>
          </rPr>
          <t>Soomit Datta:</t>
        </r>
        <r>
          <rPr>
            <sz val="9"/>
            <color indexed="81"/>
            <rFont val="Tahoma"/>
            <family val="2"/>
          </rPr>
          <t xml:space="preserve">
early redemption of el salvador bond</t>
        </r>
      </text>
    </comment>
    <comment ref="AA52" authorId="1" shapeId="0" xr:uid="{00000000-0006-0000-0800-000011000000}">
      <text>
        <r>
          <rPr>
            <b/>
            <sz val="8"/>
            <color indexed="81"/>
            <rFont val="Tahoma"/>
            <family val="2"/>
          </rPr>
          <t>sdatta:</t>
        </r>
        <r>
          <rPr>
            <sz val="8"/>
            <color indexed="81"/>
            <rFont val="Tahoma"/>
            <family val="2"/>
          </rPr>
          <t xml:space="preserve">
Includes $86m deferred tax benefit in Colombia</t>
        </r>
      </text>
    </comment>
    <comment ref="AT52" authorId="0" shapeId="0" xr:uid="{00000000-0006-0000-0800-000012000000}">
      <text>
        <r>
          <rPr>
            <b/>
            <sz val="9"/>
            <color indexed="81"/>
            <rFont val="Tahoma"/>
            <family val="2"/>
          </rPr>
          <t>Soomit Datta:</t>
        </r>
        <r>
          <rPr>
            <sz val="9"/>
            <color indexed="81"/>
            <rFont val="Tahoma"/>
            <family val="2"/>
          </rPr>
          <t xml:space="preserve">
Includes $231m of one-off due to recognition of Colombia tax asset</t>
        </r>
      </text>
    </comment>
    <comment ref="AZ53" authorId="0" shapeId="0" xr:uid="{00000000-0006-0000-0800-000013000000}">
      <text>
        <r>
          <rPr>
            <b/>
            <sz val="9"/>
            <color indexed="81"/>
            <rFont val="Tahoma"/>
            <family val="2"/>
          </rPr>
          <t>Soomit Datta:</t>
        </r>
        <r>
          <rPr>
            <sz val="9"/>
            <color indexed="81"/>
            <rFont val="Tahoma"/>
            <family val="2"/>
          </rPr>
          <t xml:space="preserve">
Including a US$67m charge for reduction of deferred tax asset in Colombia</t>
        </r>
      </text>
    </comment>
    <comment ref="AA61" authorId="1" shapeId="0" xr:uid="{00000000-0006-0000-0800-000014000000}">
      <text>
        <r>
          <rPr>
            <b/>
            <sz val="8"/>
            <color indexed="81"/>
            <rFont val="Tahoma"/>
            <family val="2"/>
          </rPr>
          <t>sdatta:</t>
        </r>
        <r>
          <rPr>
            <sz val="8"/>
            <color indexed="81"/>
            <rFont val="Tahoma"/>
            <family val="2"/>
          </rPr>
          <t xml:space="preserve">
adj for col tax benefit and interest accrual for 10% notes</t>
        </r>
      </text>
    </comment>
    <comment ref="AE61" authorId="1" shapeId="0" xr:uid="{00000000-0006-0000-0800-000015000000}">
      <text>
        <r>
          <rPr>
            <b/>
            <sz val="8"/>
            <color indexed="81"/>
            <rFont val="Tahoma"/>
            <family val="2"/>
          </rPr>
          <t>sdatta:</t>
        </r>
        <r>
          <rPr>
            <sz val="8"/>
            <color indexed="81"/>
            <rFont val="Tahoma"/>
            <family val="2"/>
          </rPr>
          <t xml:space="preserve">
adj for interest one-off</t>
        </r>
      </text>
    </comment>
    <comment ref="AD122" authorId="1" shapeId="0" xr:uid="{00000000-0006-0000-0800-000016000000}">
      <text>
        <r>
          <rPr>
            <b/>
            <sz val="8"/>
            <color indexed="81"/>
            <rFont val="Tahoma"/>
            <family val="2"/>
          </rPr>
          <t>sdatta:</t>
        </r>
        <r>
          <rPr>
            <sz val="8"/>
            <color indexed="81"/>
            <rFont val="Tahoma"/>
            <family val="2"/>
          </rPr>
          <t xml:space="preserve">
200,000 write-off</t>
        </r>
      </text>
    </comment>
    <comment ref="Q125" authorId="1" shapeId="0" xr:uid="{00000000-0006-0000-0800-000017000000}">
      <text>
        <r>
          <rPr>
            <b/>
            <sz val="8"/>
            <color indexed="81"/>
            <rFont val="Tahoma"/>
            <family val="2"/>
          </rPr>
          <t>sdatta:</t>
        </r>
        <r>
          <rPr>
            <sz val="8"/>
            <color indexed="81"/>
            <rFont val="Tahoma"/>
            <family val="2"/>
          </rPr>
          <t xml:space="preserve">
66.7% of Honduras prop consolidated</t>
        </r>
      </text>
    </comment>
    <comment ref="P126" authorId="1" shapeId="0" xr:uid="{00000000-0006-0000-0800-000018000000}">
      <text>
        <r>
          <rPr>
            <b/>
            <sz val="8"/>
            <color indexed="81"/>
            <rFont val="Tahoma"/>
            <family val="2"/>
          </rPr>
          <t>sdatta:</t>
        </r>
        <r>
          <rPr>
            <sz val="8"/>
            <color indexed="81"/>
            <rFont val="Tahoma"/>
            <family val="2"/>
          </rPr>
          <t xml:space="preserve">
Consolidating 50% of Honduras</t>
        </r>
      </text>
    </comment>
    <comment ref="V211" authorId="1" shapeId="0" xr:uid="{00000000-0006-0000-0800-000019000000}">
      <text>
        <r>
          <rPr>
            <b/>
            <sz val="8"/>
            <color indexed="81"/>
            <rFont val="Tahoma"/>
            <family val="2"/>
          </rPr>
          <t>sdatta:</t>
        </r>
        <r>
          <rPr>
            <sz val="8"/>
            <color indexed="81"/>
            <rFont val="Tahoma"/>
            <family val="2"/>
          </rPr>
          <t xml:space="preserve">
Q4 06 estimate</t>
        </r>
      </text>
    </comment>
    <comment ref="Q217" authorId="1" shapeId="0" xr:uid="{00000000-0006-0000-0800-00001A000000}">
      <text>
        <r>
          <rPr>
            <b/>
            <sz val="8"/>
            <color indexed="81"/>
            <rFont val="Tahoma"/>
            <family val="2"/>
          </rPr>
          <t>sdatta:</t>
        </r>
        <r>
          <rPr>
            <sz val="8"/>
            <color indexed="81"/>
            <rFont val="Tahoma"/>
            <family val="2"/>
          </rPr>
          <t xml:space="preserve">
66.7% of Honduras prop consolidated</t>
        </r>
      </text>
    </comment>
    <comment ref="AR227" authorId="1" shapeId="0" xr:uid="{00000000-0006-0000-0800-00001B000000}">
      <text>
        <r>
          <rPr>
            <b/>
            <sz val="8"/>
            <color indexed="81"/>
            <rFont val="Tahoma"/>
            <family val="2"/>
          </rPr>
          <t>sdatta:</t>
        </r>
        <r>
          <rPr>
            <sz val="8"/>
            <color indexed="81"/>
            <rFont val="Tahoma"/>
            <family val="2"/>
          </rPr>
          <t xml:space="preserve">
One-off in Colombia</t>
        </r>
      </text>
    </comment>
    <comment ref="K239" authorId="1" shapeId="0" xr:uid="{00000000-0006-0000-0800-00001C000000}">
      <text>
        <r>
          <rPr>
            <b/>
            <sz val="8"/>
            <color indexed="81"/>
            <rFont val="Tahoma"/>
            <family val="2"/>
          </rPr>
          <t>sdatta:</t>
        </r>
        <r>
          <rPr>
            <sz val="8"/>
            <color indexed="81"/>
            <rFont val="Tahoma"/>
            <family val="2"/>
          </rPr>
          <t xml:space="preserve">
Consolidation of Tanzania from Feb 3, 2004</t>
        </r>
      </text>
    </comment>
    <comment ref="AO239" authorId="1" shapeId="0" xr:uid="{00000000-0006-0000-0800-00001D000000}">
      <text>
        <r>
          <rPr>
            <b/>
            <sz val="8"/>
            <color indexed="81"/>
            <rFont val="Tahoma"/>
            <family val="2"/>
          </rPr>
          <t>sdatta:</t>
        </r>
        <r>
          <rPr>
            <sz val="8"/>
            <color indexed="81"/>
            <rFont val="Tahoma"/>
            <family val="2"/>
          </rPr>
          <t xml:space="preserve">
3.3m hit from chad</t>
        </r>
      </text>
    </comment>
    <comment ref="T289" authorId="1" shapeId="0" xr:uid="{00000000-0006-0000-0800-00001E000000}">
      <text>
        <r>
          <rPr>
            <b/>
            <sz val="8"/>
            <color indexed="81"/>
            <rFont val="Tahoma"/>
            <family val="2"/>
          </rPr>
          <t>sdatta:</t>
        </r>
        <r>
          <rPr>
            <sz val="8"/>
            <color indexed="81"/>
            <rFont val="Tahoma"/>
            <family val="2"/>
          </rPr>
          <t xml:space="preserve">
Suppored by deconsolidation of dilutive Pakcom subs</t>
        </r>
      </text>
    </comment>
    <comment ref="V298" authorId="1" shapeId="0" xr:uid="{00000000-0006-0000-0800-00001F000000}">
      <text>
        <r>
          <rPr>
            <b/>
            <sz val="8"/>
            <color indexed="81"/>
            <rFont val="Tahoma"/>
            <family val="2"/>
          </rPr>
          <t>sdatta:</t>
        </r>
        <r>
          <rPr>
            <sz val="8"/>
            <color indexed="81"/>
            <rFont val="Tahoma"/>
            <family val="2"/>
          </rPr>
          <t xml:space="preserve">
Q4 06 estimate</t>
        </r>
      </text>
    </comment>
    <comment ref="AH301" authorId="1" shapeId="0" xr:uid="{00000000-0006-0000-0800-000020000000}">
      <text>
        <r>
          <rPr>
            <b/>
            <sz val="8"/>
            <color indexed="81"/>
            <rFont val="Tahoma"/>
            <family val="2"/>
          </rPr>
          <t>sdatta:</t>
        </r>
        <r>
          <rPr>
            <sz val="8"/>
            <color indexed="81"/>
            <rFont val="Tahoma"/>
            <family val="2"/>
          </rPr>
          <t xml:space="preserve">
restructuring charge</t>
        </r>
      </text>
    </comment>
    <comment ref="AR304" authorId="1" shapeId="0" xr:uid="{00000000-0006-0000-0800-000021000000}">
      <text>
        <r>
          <rPr>
            <b/>
            <sz val="8"/>
            <color indexed="81"/>
            <rFont val="Tahoma"/>
            <family val="2"/>
          </rPr>
          <t>sdatta:</t>
        </r>
        <r>
          <rPr>
            <sz val="8"/>
            <color indexed="81"/>
            <rFont val="Tahoma"/>
            <family val="2"/>
          </rPr>
          <t xml:space="preserve">
One-off in Colombia</t>
        </r>
      </text>
    </comment>
    <comment ref="BN305" authorId="0" shapeId="0" xr:uid="{00000000-0006-0000-0800-000022000000}">
      <text>
        <r>
          <rPr>
            <b/>
            <sz val="9"/>
            <color indexed="81"/>
            <rFont val="Tahoma"/>
            <family val="2"/>
          </rPr>
          <t>Soomit Datta:</t>
        </r>
        <r>
          <rPr>
            <sz val="9"/>
            <color indexed="81"/>
            <rFont val="Tahoma"/>
            <family val="2"/>
          </rPr>
          <t xml:space="preserve">
Strip out $8m</t>
        </r>
      </text>
    </comment>
    <comment ref="BO308" authorId="0" shapeId="0" xr:uid="{00000000-0006-0000-0800-000023000000}">
      <text>
        <r>
          <rPr>
            <b/>
            <sz val="9"/>
            <color indexed="81"/>
            <rFont val="Tahoma"/>
            <family val="2"/>
          </rPr>
          <t>Soomit Datta:</t>
        </r>
        <r>
          <rPr>
            <sz val="9"/>
            <color indexed="81"/>
            <rFont val="Tahoma"/>
            <family val="2"/>
          </rPr>
          <t xml:space="preserve">
integrationc oosts</t>
        </r>
      </text>
    </comment>
    <comment ref="Y310" authorId="1" shapeId="0" xr:uid="{00000000-0006-0000-0800-000024000000}">
      <text>
        <r>
          <rPr>
            <b/>
            <sz val="8"/>
            <color indexed="81"/>
            <rFont val="Tahoma"/>
            <family val="2"/>
          </rPr>
          <t>sdatta:</t>
        </r>
        <r>
          <rPr>
            <sz val="8"/>
            <color indexed="81"/>
            <rFont val="Tahoma"/>
            <family val="2"/>
          </rPr>
          <t xml:space="preserve">
One-off costs in Senegal</t>
        </r>
      </text>
    </comment>
    <comment ref="BB374" authorId="0" shapeId="0" xr:uid="{00000000-0006-0000-0800-000025000000}">
      <text>
        <r>
          <rPr>
            <b/>
            <sz val="9"/>
            <color indexed="81"/>
            <rFont val="Tahoma"/>
            <family val="2"/>
          </rPr>
          <t>Soomit Datta:</t>
        </r>
        <r>
          <rPr>
            <sz val="9"/>
            <color indexed="81"/>
            <rFont val="Tahoma"/>
            <family val="2"/>
          </rPr>
          <t xml:space="preserve">
Includes $70m in spend in South America</t>
        </r>
      </text>
    </comment>
    <comment ref="BC374" authorId="0" shapeId="0" xr:uid="{00000000-0006-0000-0800-000026000000}">
      <text>
        <r>
          <rPr>
            <b/>
            <sz val="9"/>
            <color indexed="81"/>
            <rFont val="Tahoma"/>
            <family val="2"/>
          </rPr>
          <t>Soomit Datta:</t>
        </r>
        <r>
          <rPr>
            <sz val="9"/>
            <color indexed="81"/>
            <rFont val="Tahoma"/>
            <family val="2"/>
          </rPr>
          <t xml:space="preserve">
$15m for spectrum</t>
        </r>
      </text>
    </comment>
    <comment ref="BD374" authorId="0" shapeId="0" xr:uid="{00000000-0006-0000-0800-000027000000}">
      <text>
        <r>
          <rPr>
            <b/>
            <sz val="9"/>
            <color indexed="81"/>
            <rFont val="Tahoma"/>
            <family val="2"/>
          </rPr>
          <t>Soomit Datta:</t>
        </r>
        <r>
          <rPr>
            <sz val="9"/>
            <color indexed="81"/>
            <rFont val="Tahoma"/>
            <family val="2"/>
          </rPr>
          <t xml:space="preserve">
$42m for spectrum</t>
        </r>
      </text>
    </comment>
    <comment ref="BE374" authorId="0" shapeId="0" xr:uid="{00000000-0006-0000-0800-000028000000}">
      <text>
        <r>
          <rPr>
            <b/>
            <sz val="9"/>
            <color indexed="81"/>
            <rFont val="Tahoma"/>
            <family val="2"/>
          </rPr>
          <t>Soomit Datta:</t>
        </r>
        <r>
          <rPr>
            <sz val="9"/>
            <color indexed="81"/>
            <rFont val="Tahoma"/>
            <family val="2"/>
          </rPr>
          <t xml:space="preserve">
less licence cost</t>
        </r>
      </text>
    </comment>
    <comment ref="AZ376" authorId="0" shapeId="0" xr:uid="{00000000-0006-0000-0800-000029000000}">
      <text>
        <r>
          <rPr>
            <b/>
            <sz val="9"/>
            <color indexed="81"/>
            <rFont val="Tahoma"/>
            <family val="2"/>
          </rPr>
          <t>Soomit Datta:</t>
        </r>
        <r>
          <rPr>
            <sz val="9"/>
            <color indexed="81"/>
            <rFont val="Tahoma"/>
            <family val="2"/>
          </rPr>
          <t xml:space="preserve">
Senegal extension</t>
        </r>
      </text>
    </comment>
    <comment ref="BE378" authorId="0" shapeId="0" xr:uid="{00000000-0006-0000-0800-00002A000000}">
      <text>
        <r>
          <rPr>
            <b/>
            <sz val="9"/>
            <color indexed="81"/>
            <rFont val="Tahoma"/>
            <family val="2"/>
          </rPr>
          <t>Soomit Datta:</t>
        </r>
        <r>
          <rPr>
            <sz val="9"/>
            <color indexed="81"/>
            <rFont val="Tahoma"/>
            <family val="2"/>
          </rPr>
          <t xml:space="preserve">
($111m spent on licences, but only $52m was accrued in Q4)</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M7" authorId="0" shapeId="0" xr:uid="{00000000-0006-0000-0900-000001000000}">
      <text>
        <r>
          <rPr>
            <b/>
            <sz val="9"/>
            <color indexed="81"/>
            <rFont val="Tahoma"/>
            <family val="2"/>
          </rPr>
          <t>Soomit Datta:</t>
        </r>
        <r>
          <rPr>
            <sz val="9"/>
            <color indexed="81"/>
            <rFont val="Tahoma"/>
            <family val="2"/>
          </rPr>
          <t xml:space="preserve">
estimate</t>
        </r>
      </text>
    </comment>
    <comment ref="N7" authorId="0" shapeId="0" xr:uid="{00000000-0006-0000-0900-000002000000}">
      <text>
        <r>
          <rPr>
            <b/>
            <sz val="9"/>
            <color indexed="81"/>
            <rFont val="Tahoma"/>
            <family val="2"/>
          </rPr>
          <t>Soomit Datta:</t>
        </r>
        <r>
          <rPr>
            <sz val="9"/>
            <color indexed="81"/>
            <rFont val="Tahoma"/>
            <family val="2"/>
          </rPr>
          <t xml:space="preserve">
estimate</t>
        </r>
      </text>
    </comment>
    <comment ref="O7" authorId="0" shapeId="0" xr:uid="{00000000-0006-0000-0900-000003000000}">
      <text>
        <r>
          <rPr>
            <b/>
            <sz val="9"/>
            <color indexed="81"/>
            <rFont val="Tahoma"/>
            <family val="2"/>
          </rPr>
          <t>Soomit Datta:</t>
        </r>
        <r>
          <rPr>
            <sz val="9"/>
            <color indexed="81"/>
            <rFont val="Tahoma"/>
            <family val="2"/>
          </rPr>
          <t xml:space="preserve">
estimate</t>
        </r>
      </text>
    </comment>
    <comment ref="W32" authorId="0" shapeId="0" xr:uid="{00000000-0006-0000-0900-000004000000}">
      <text>
        <r>
          <rPr>
            <b/>
            <sz val="9"/>
            <color indexed="81"/>
            <rFont val="Tahoma"/>
            <family val="2"/>
          </rPr>
          <t>Soomit Datta:</t>
        </r>
        <r>
          <rPr>
            <sz val="9"/>
            <color indexed="81"/>
            <rFont val="Tahoma"/>
            <family val="2"/>
          </rPr>
          <t xml:space="preserve">
Adj for DRC</t>
        </r>
      </text>
    </comment>
    <comment ref="X32" authorId="0" shapeId="0" xr:uid="{00000000-0006-0000-0900-000005000000}">
      <text>
        <r>
          <rPr>
            <b/>
            <sz val="9"/>
            <color indexed="81"/>
            <rFont val="Tahoma"/>
            <family val="2"/>
          </rPr>
          <t>Soomit Datta:</t>
        </r>
        <r>
          <rPr>
            <sz val="9"/>
            <color indexed="81"/>
            <rFont val="Tahoma"/>
            <family val="2"/>
          </rPr>
          <t xml:space="preserve">
Adj for DRC</t>
        </r>
      </text>
    </comment>
    <comment ref="Y32" authorId="0" shapeId="0" xr:uid="{00000000-0006-0000-0900-000006000000}">
      <text>
        <r>
          <rPr>
            <b/>
            <sz val="9"/>
            <color indexed="81"/>
            <rFont val="Tahoma"/>
            <family val="2"/>
          </rPr>
          <t>Soomit Datta:</t>
        </r>
        <r>
          <rPr>
            <sz val="9"/>
            <color indexed="81"/>
            <rFont val="Tahoma"/>
            <family val="2"/>
          </rPr>
          <t xml:space="preserve">
Adj for DRC</t>
        </r>
      </text>
    </comment>
    <comment ref="M59" authorId="0" shapeId="0" xr:uid="{00000000-0006-0000-0900-000007000000}">
      <text>
        <r>
          <rPr>
            <b/>
            <sz val="9"/>
            <color indexed="81"/>
            <rFont val="Tahoma"/>
            <family val="2"/>
          </rPr>
          <t>Soomit Datta:</t>
        </r>
        <r>
          <rPr>
            <sz val="9"/>
            <color indexed="81"/>
            <rFont val="Tahoma"/>
            <family val="2"/>
          </rPr>
          <t xml:space="preserve">
strong momentum</t>
        </r>
      </text>
    </comment>
    <comment ref="N59" authorId="0" shapeId="0" xr:uid="{00000000-0006-0000-0900-000008000000}">
      <text>
        <r>
          <rPr>
            <b/>
            <sz val="9"/>
            <color indexed="81"/>
            <rFont val="Tahoma"/>
            <family val="2"/>
          </rPr>
          <t>Soomit Datta:</t>
        </r>
        <r>
          <rPr>
            <sz val="9"/>
            <color indexed="81"/>
            <rFont val="Tahoma"/>
            <family val="2"/>
          </rPr>
          <t xml:space="preserve">
strong momentum</t>
        </r>
      </text>
    </comment>
    <comment ref="M60" authorId="0" shapeId="0" xr:uid="{00000000-0006-0000-0900-000009000000}">
      <text>
        <r>
          <rPr>
            <b/>
            <sz val="9"/>
            <color indexed="81"/>
            <rFont val="Tahoma"/>
            <family val="2"/>
          </rPr>
          <t>Soomit Datta:</t>
        </r>
        <r>
          <rPr>
            <sz val="9"/>
            <color indexed="81"/>
            <rFont val="Tahoma"/>
            <family val="2"/>
          </rPr>
          <t xml:space="preserve">
strong momentum</t>
        </r>
      </text>
    </comment>
    <comment ref="N60" authorId="0" shapeId="0" xr:uid="{00000000-0006-0000-0900-00000A000000}">
      <text>
        <r>
          <rPr>
            <b/>
            <sz val="9"/>
            <color indexed="81"/>
            <rFont val="Tahoma"/>
            <family val="2"/>
          </rPr>
          <t>Soomit Datta:</t>
        </r>
        <r>
          <rPr>
            <sz val="9"/>
            <color indexed="81"/>
            <rFont val="Tahoma"/>
            <family val="2"/>
          </rPr>
          <t xml:space="preserve">
strong momentum</t>
        </r>
      </text>
    </comment>
    <comment ref="M62" authorId="0" shapeId="0" xr:uid="{00000000-0006-0000-0900-00000B000000}">
      <text>
        <r>
          <rPr>
            <b/>
            <sz val="9"/>
            <color indexed="81"/>
            <rFont val="Tahoma"/>
            <family val="2"/>
          </rPr>
          <t>Soomit Datta:</t>
        </r>
        <r>
          <rPr>
            <sz val="9"/>
            <color indexed="81"/>
            <rFont val="Tahoma"/>
            <family val="2"/>
          </rPr>
          <t xml:space="preserve">
"broadly similar to last quarter"</t>
        </r>
      </text>
    </comment>
    <comment ref="N62" authorId="0" shapeId="0" xr:uid="{00000000-0006-0000-0900-00000C000000}">
      <text>
        <r>
          <rPr>
            <b/>
            <sz val="9"/>
            <color indexed="81"/>
            <rFont val="Tahoma"/>
            <family val="2"/>
          </rPr>
          <t>Soomit Datta:</t>
        </r>
        <r>
          <rPr>
            <sz val="9"/>
            <color indexed="81"/>
            <rFont val="Tahoma"/>
            <family val="2"/>
          </rPr>
          <t xml:space="preserve">
"softer than last quarter"</t>
        </r>
      </text>
    </comment>
    <comment ref="M66" authorId="0" shapeId="0" xr:uid="{00000000-0006-0000-0900-00000D000000}">
      <text>
        <r>
          <rPr>
            <b/>
            <sz val="9"/>
            <color indexed="81"/>
            <rFont val="Tahoma"/>
            <family val="2"/>
          </rPr>
          <t>Soomit Datta:</t>
        </r>
        <r>
          <rPr>
            <sz val="9"/>
            <color indexed="81"/>
            <rFont val="Tahoma"/>
            <family val="2"/>
          </rPr>
          <t xml:space="preserve">
strong momentum</t>
        </r>
      </text>
    </comment>
    <comment ref="N66" authorId="0" shapeId="0" xr:uid="{00000000-0006-0000-0900-00000E000000}">
      <text>
        <r>
          <rPr>
            <b/>
            <sz val="9"/>
            <color indexed="81"/>
            <rFont val="Tahoma"/>
            <family val="2"/>
          </rPr>
          <t>Soomit Datta:</t>
        </r>
        <r>
          <rPr>
            <sz val="9"/>
            <color indexed="81"/>
            <rFont val="Tahoma"/>
            <family val="2"/>
          </rPr>
          <t xml:space="preserve">
strong momentum</t>
        </r>
      </text>
    </comment>
    <comment ref="S67" authorId="0" shapeId="0" xr:uid="{00000000-0006-0000-0900-00000F000000}">
      <text>
        <r>
          <rPr>
            <b/>
            <sz val="9"/>
            <color indexed="81"/>
            <rFont val="Tahoma"/>
            <family val="2"/>
          </rPr>
          <t>Soomit Datta:</t>
        </r>
        <r>
          <rPr>
            <sz val="9"/>
            <color indexed="81"/>
            <rFont val="Tahoma"/>
            <family val="2"/>
          </rPr>
          <t xml:space="preserve">
estimate</t>
        </r>
      </text>
    </comment>
    <comment ref="M72" authorId="0" shapeId="0" xr:uid="{00000000-0006-0000-0900-000010000000}">
      <text>
        <r>
          <rPr>
            <b/>
            <sz val="9"/>
            <color indexed="81"/>
            <rFont val="Tahoma"/>
            <family val="2"/>
          </rPr>
          <t>Soomit Datta:</t>
        </r>
        <r>
          <rPr>
            <sz val="9"/>
            <color indexed="81"/>
            <rFont val="Tahoma"/>
            <family val="2"/>
          </rPr>
          <t xml:space="preserve">
"low double digit"</t>
        </r>
      </text>
    </comment>
    <comment ref="N72" authorId="0" shapeId="0" xr:uid="{00000000-0006-0000-0900-000011000000}">
      <text>
        <r>
          <rPr>
            <b/>
            <sz val="9"/>
            <color indexed="81"/>
            <rFont val="Tahoma"/>
            <family val="2"/>
          </rPr>
          <t>Soomit Datta:</t>
        </r>
        <r>
          <rPr>
            <sz val="9"/>
            <color indexed="81"/>
            <rFont val="Tahoma"/>
            <family val="2"/>
          </rPr>
          <t xml:space="preserve">
"low double digit"</t>
        </r>
      </text>
    </comment>
    <comment ref="M103" authorId="0" shapeId="0" xr:uid="{00000000-0006-0000-0900-000012000000}">
      <text>
        <r>
          <rPr>
            <b/>
            <sz val="9"/>
            <color indexed="81"/>
            <rFont val="Tahoma"/>
            <family val="2"/>
          </rPr>
          <t>Soomit Datta:</t>
        </r>
        <r>
          <rPr>
            <sz val="9"/>
            <color indexed="81"/>
            <rFont val="Tahoma"/>
            <family val="2"/>
          </rPr>
          <t xml:space="preserve">
estimate</t>
        </r>
      </text>
    </comment>
    <comment ref="N103" authorId="0" shapeId="0" xr:uid="{00000000-0006-0000-0900-000013000000}">
      <text>
        <r>
          <rPr>
            <b/>
            <sz val="9"/>
            <color indexed="81"/>
            <rFont val="Tahoma"/>
            <family val="2"/>
          </rPr>
          <t>Soomit Datta:</t>
        </r>
        <r>
          <rPr>
            <sz val="9"/>
            <color indexed="81"/>
            <rFont val="Tahoma"/>
            <family val="2"/>
          </rPr>
          <t xml:space="preserve">
estimate</t>
        </r>
      </text>
    </comment>
    <comment ref="O103" authorId="0" shapeId="0" xr:uid="{00000000-0006-0000-0900-000014000000}">
      <text>
        <r>
          <rPr>
            <b/>
            <sz val="9"/>
            <color indexed="81"/>
            <rFont val="Tahoma"/>
            <family val="2"/>
          </rPr>
          <t>Soomit Datta:</t>
        </r>
        <r>
          <rPr>
            <sz val="9"/>
            <color indexed="81"/>
            <rFont val="Tahoma"/>
            <family val="2"/>
          </rPr>
          <t xml:space="preserve">
estimate</t>
        </r>
      </text>
    </comment>
    <comment ref="N104" authorId="0" shapeId="0" xr:uid="{00000000-0006-0000-0900-000015000000}">
      <text>
        <r>
          <rPr>
            <b/>
            <sz val="9"/>
            <color indexed="81"/>
            <rFont val="Tahoma"/>
            <family val="2"/>
          </rPr>
          <t>Soomit Datta:</t>
        </r>
        <r>
          <rPr>
            <sz val="9"/>
            <color indexed="81"/>
            <rFont val="Tahoma"/>
            <family val="2"/>
          </rPr>
          <t xml:space="preserve">
$7m added back</t>
        </r>
      </text>
    </comment>
    <comment ref="N116" authorId="0" shapeId="0" xr:uid="{00000000-0006-0000-0900-000016000000}">
      <text>
        <r>
          <rPr>
            <b/>
            <sz val="9"/>
            <color indexed="81"/>
            <rFont val="Tahoma"/>
            <family val="2"/>
          </rPr>
          <t>Soomit Datta:</t>
        </r>
        <r>
          <rPr>
            <sz val="9"/>
            <color indexed="81"/>
            <rFont val="Tahoma"/>
            <family val="2"/>
          </rPr>
          <t xml:space="preserve">
Colombia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<sst xmlns="http://schemas.openxmlformats.org/spreadsheetml/2006/main" count="16503" uniqueCount="9203">
  <si>
    <t>http://colombiareports.com/2008/03/26/colombian-broadband-internet-sees-massive-growth/</t>
  </si>
  <si>
    <t xml:space="preserve">** Fixed BB subs from ITU and are as at Sept 2007 except for Colombia (as above) and for Cambodia, Laos, Sri Lanka (March 2008) </t>
  </si>
  <si>
    <t>* Internet subs are 'users' from ITU. For Africa, 2007 refers to March 08. Senegal is March 08 Reg (ARTP) data. Colombia is 2007 data from newspaper, El Colombiarno (growth of 55% y/y)</t>
  </si>
  <si>
    <t>Pro-forma EBITDA (1)</t>
  </si>
  <si>
    <t>Pro-forma EBITDA (11)</t>
  </si>
  <si>
    <t>Increased stake from 50% to 66.5%</t>
  </si>
  <si>
    <t xml:space="preserve">Bolivia </t>
  </si>
  <si>
    <t xml:space="preserve"> Nov 2015</t>
  </si>
  <si>
    <t>10 MHz until 2018</t>
  </si>
  <si>
    <t>Nov 2014</t>
  </si>
  <si>
    <t>Dec 2019</t>
  </si>
  <si>
    <t>July 2018</t>
  </si>
  <si>
    <t>Jan 2019</t>
  </si>
  <si>
    <t>Oct 2019</t>
  </si>
  <si>
    <t>Prop EV</t>
  </si>
  <si>
    <t>EBITDA*</t>
  </si>
  <si>
    <t>EM mob av</t>
  </si>
  <si>
    <t>discount</t>
  </si>
  <si>
    <t>Revenues ex Colombia</t>
  </si>
  <si>
    <t>EBITDA ex Colombia</t>
  </si>
  <si>
    <t>Result from discontinued operation</t>
  </si>
  <si>
    <t>Colombia (COP)</t>
  </si>
  <si>
    <t>Africa revenue ($)</t>
  </si>
  <si>
    <t>Africa EBITDA ($)</t>
  </si>
  <si>
    <t>Africa capex ($)</t>
  </si>
  <si>
    <t>Africa OpFCF ($)</t>
  </si>
  <si>
    <t>Revenue split in US$</t>
  </si>
  <si>
    <t xml:space="preserve">Guatemala </t>
  </si>
  <si>
    <t xml:space="preserve">Honduras </t>
  </si>
  <si>
    <t xml:space="preserve">Mauritius </t>
  </si>
  <si>
    <t>Numbers for note</t>
  </si>
  <si>
    <t xml:space="preserve">in constant FX </t>
  </si>
  <si>
    <t>FY 11E</t>
  </si>
  <si>
    <t xml:space="preserve">constant FX </t>
  </si>
  <si>
    <t>constant FX</t>
  </si>
  <si>
    <t>FX hit</t>
  </si>
  <si>
    <t>NEW versus OLD</t>
  </si>
  <si>
    <t>Max concurrent</t>
  </si>
  <si>
    <t>subs, 000's</t>
  </si>
  <si>
    <t>S America</t>
  </si>
  <si>
    <t>C America</t>
  </si>
  <si>
    <t>Region</t>
  </si>
  <si>
    <t>Pop</t>
  </si>
  <si>
    <t>stations</t>
  </si>
  <si>
    <t>Is that the increase in corporate costs?</t>
  </si>
  <si>
    <t>Weighted average market share</t>
  </si>
  <si>
    <t>Local currency y/y revs growth</t>
  </si>
  <si>
    <t>Rep currency y/y in SA</t>
  </si>
  <si>
    <t>PYG/$</t>
  </si>
  <si>
    <t>BOB/$</t>
  </si>
  <si>
    <t>Currency weighting (+ve is bad for MICC)</t>
  </si>
  <si>
    <t>check:</t>
  </si>
  <si>
    <t>Venezuela</t>
  </si>
  <si>
    <t>Penetr.</t>
  </si>
  <si>
    <t>penetr.</t>
  </si>
  <si>
    <t>ARPU (US$)</t>
  </si>
  <si>
    <t>of mob. Sub</t>
  </si>
  <si>
    <t>of income</t>
  </si>
  <si>
    <t>Real inc.</t>
  </si>
  <si>
    <t>inflation</t>
  </si>
  <si>
    <t>of inc. (2012)</t>
  </si>
  <si>
    <t>of inc. (2006)</t>
  </si>
  <si>
    <t>Brazil</t>
  </si>
  <si>
    <t>Revenue y/y</t>
  </si>
  <si>
    <t>ARPU y/y*</t>
  </si>
  <si>
    <t>Net adds y/y*</t>
  </si>
  <si>
    <t>Termination rates - potential changes, assymetric regimes</t>
  </si>
  <si>
    <t>CTI (AMX)</t>
  </si>
  <si>
    <t>Personal/Nucleo (TI/Tel Argentina)</t>
  </si>
  <si>
    <t>Hola Paraguay/VOX</t>
  </si>
  <si>
    <t>as % total</t>
  </si>
  <si>
    <t>Equipment sales (ex Col)</t>
  </si>
  <si>
    <t>Telephony (ex Col)</t>
  </si>
  <si>
    <t>Capex payback - network equipment - 1/2 years. Civils 2/3 years. Major rollouts - payback extend a little further</t>
  </si>
  <si>
    <t>Half goodwill, half amortisable assets (subs base)</t>
  </si>
  <si>
    <t>Lower than q4 due to full depr of older tech assets by YE, plus 5m one-off in Q4</t>
  </si>
  <si>
    <t>MIC get paid 2.2% of the gross revenue of the network from Feb 2005 to 2015, $8m annual min from 2007 onwards</t>
  </si>
  <si>
    <t>Why the original Tele2 holding?</t>
  </si>
  <si>
    <t>Write-downs/other</t>
  </si>
  <si>
    <t>Licences/other</t>
  </si>
  <si>
    <t>Other goodwill expense</t>
  </si>
  <si>
    <t>Other intangible expense</t>
  </si>
  <si>
    <t>Q4 07A</t>
  </si>
  <si>
    <t>Do you have a target distribution point/pop?</t>
  </si>
  <si>
    <t>Why ARPU so high vs Am Movil. Price/min v high or MOU high</t>
  </si>
  <si>
    <t>Significant moves in mkt share?</t>
  </si>
  <si>
    <t>Is there a golden rule…x% more mkt share drives xx% rise in margin?</t>
  </si>
  <si>
    <t>More to go in Guatemala, El Sal…Honduras, news on new entrant?</t>
  </si>
  <si>
    <t>$76m of equipment sales in 06a…Central Am? Quite high</t>
  </si>
  <si>
    <t>Q4 - "Accelerating net adds in Africa from Tanzania, Senegal, DRC"</t>
  </si>
  <si>
    <t>YE 07</t>
  </si>
  <si>
    <t>2007 net adds in Latam as high as 06 - still comfortable?</t>
  </si>
  <si>
    <t>AFRICA GROWTH TO SUBSTANTIALLY ACCELERATE - DRC/SENEGAL/TANZANIA</t>
  </si>
  <si>
    <t>Expansion</t>
  </si>
  <si>
    <t>Asia very competitive, as a region. Important to stay in Asia, a lot of learing (epin, micro pre-pay)</t>
  </si>
  <si>
    <t>120,000 sub adjustment in Tanzania</t>
  </si>
  <si>
    <t>Q4 08</t>
  </si>
  <si>
    <t>VAS worth 21% of revs, further growth here should be supportive</t>
  </si>
  <si>
    <t>Tigo re-branding cost implications?</t>
  </si>
  <si>
    <t>New licences?</t>
  </si>
  <si>
    <t>Yes, 06/07</t>
  </si>
  <si>
    <t>Clean OpFCF</t>
  </si>
  <si>
    <t>Guatemala remittances in local</t>
  </si>
  <si>
    <t>$ million</t>
  </si>
  <si>
    <t>Ownership</t>
  </si>
  <si>
    <t>Cards sent to re-sellers were selling to competitors</t>
  </si>
  <si>
    <t>Q1 08</t>
  </si>
  <si>
    <t>Total current assets</t>
  </si>
  <si>
    <t>TOTAL ASSETS</t>
  </si>
  <si>
    <t>Equity</t>
  </si>
  <si>
    <t>Minority interests</t>
  </si>
  <si>
    <t>Total equity and minority interests</t>
  </si>
  <si>
    <t>Long term debt</t>
  </si>
  <si>
    <t>Long term liabilities-non interest</t>
  </si>
  <si>
    <t>Total long term liabilities</t>
  </si>
  <si>
    <t>Short term debt</t>
  </si>
  <si>
    <t>Short term liabilities- non-interest</t>
  </si>
  <si>
    <t>Total short term liabilities</t>
  </si>
  <si>
    <t xml:space="preserve">Total equity and liabilities </t>
  </si>
  <si>
    <t>Tigo (from Contigo - with you)</t>
  </si>
  <si>
    <t>Doesn't mean anything. Every single Millicom mkt..</t>
  </si>
  <si>
    <t>Re-launchhed as Tigo</t>
  </si>
  <si>
    <t>Central America, local</t>
  </si>
  <si>
    <t>$/COP</t>
  </si>
  <si>
    <t>Colombia, local*</t>
  </si>
  <si>
    <t>Honduras consolisation</t>
  </si>
  <si>
    <t>Pro-forma revs</t>
  </si>
  <si>
    <t>Honduran revs</t>
  </si>
  <si>
    <t xml:space="preserve">Versus y/y trends in Q3, weakness in particular coming from El Salvador. Talk a little about why that is. </t>
  </si>
  <si>
    <t>Who's taking market share from Tigo?</t>
  </si>
  <si>
    <t>Was it just less handset sales vs Q4 last year</t>
  </si>
  <si>
    <t xml:space="preserve">Group </t>
  </si>
  <si>
    <t>room to increase margins in africa, asia and col…trend toward first 3 quarters in 2006</t>
  </si>
  <si>
    <t>Corp costs</t>
  </si>
  <si>
    <t>Gross debt</t>
  </si>
  <si>
    <t>Corp costs to continue at $15m (incs stock of 5m)</t>
  </si>
  <si>
    <t>Rising capex expected</t>
  </si>
  <si>
    <t>capita (US$)</t>
  </si>
  <si>
    <t>as % of rep.</t>
  </si>
  <si>
    <t>capita</t>
  </si>
  <si>
    <t>Internet (2G/3G)</t>
  </si>
  <si>
    <t>Content (gaming, lotteries, horoscopes)</t>
  </si>
  <si>
    <t>Ring back tones</t>
  </si>
  <si>
    <t>Airtime transfers (premium SMS)</t>
  </si>
  <si>
    <t>Balance transfers (premium SMS)</t>
  </si>
  <si>
    <t>Pricing analysis</t>
  </si>
  <si>
    <t>On-net ARPU</t>
  </si>
  <si>
    <t>On-net MOU</t>
  </si>
  <si>
    <t>Off-net ARPU</t>
  </si>
  <si>
    <t>On-net as % total MOU</t>
  </si>
  <si>
    <t>Net debt</t>
  </si>
  <si>
    <t>Net debt/ EBITDA</t>
  </si>
  <si>
    <t>Check</t>
  </si>
  <si>
    <t>change</t>
  </si>
  <si>
    <t>Taxation</t>
  </si>
  <si>
    <t>Effective tax rate</t>
  </si>
  <si>
    <t xml:space="preserve">Total P&amp;L tax </t>
  </si>
  <si>
    <t>Tangible assets</t>
  </si>
  <si>
    <t xml:space="preserve">Clean depreciation </t>
  </si>
  <si>
    <t>Other deprs</t>
  </si>
  <si>
    <t>Gross fixed assets</t>
  </si>
  <si>
    <t>Capital expenditure (clean)</t>
  </si>
  <si>
    <t>Stripping out DRC/Chad..underlying margin?</t>
  </si>
  <si>
    <t>ARPU improving…driven by Ghana</t>
  </si>
  <si>
    <t xml:space="preserve"> - new subs diluting? Underlying subs seeing slower ARPU declines</t>
  </si>
  <si>
    <t xml:space="preserve"> - trend suggests could turn +ve yoy growth</t>
  </si>
  <si>
    <t>Depreciation &amp; amort</t>
  </si>
  <si>
    <t>Rural areas…</t>
  </si>
  <si>
    <t>Net dividend paid</t>
  </si>
  <si>
    <t>Change in net debt</t>
  </si>
  <si>
    <t>Financial assets</t>
  </si>
  <si>
    <t>Inventories</t>
  </si>
  <si>
    <t>Current receiveable</t>
  </si>
  <si>
    <t>Cash and STI</t>
  </si>
  <si>
    <t>EV calculation</t>
  </si>
  <si>
    <t>Market Cap</t>
  </si>
  <si>
    <t>EM mobile</t>
  </si>
  <si>
    <t>Less: Value of associates</t>
  </si>
  <si>
    <t>Local FX revs for 100% of op</t>
  </si>
  <si>
    <t>Q3 09</t>
  </si>
  <si>
    <t>Local FX ARPU</t>
  </si>
  <si>
    <t>DRC (in $)</t>
  </si>
  <si>
    <t>Group revs</t>
  </si>
  <si>
    <t>Competition is with consumer goods</t>
  </si>
  <si>
    <t>Check: hand over no of shares (max amount) or set value</t>
  </si>
  <si>
    <t>This determines positive or negative embedded negative value</t>
  </si>
  <si>
    <t>General</t>
  </si>
  <si>
    <t>Check prop consolidation…Honduras still? Which ops. Speak to James about SOP approach to this</t>
  </si>
  <si>
    <t>How best to understand it?</t>
  </si>
  <si>
    <t>Focusing on populated areas…quality service. Confident. Will not get to Millicom average</t>
  </si>
  <si>
    <t>Pakcom deconsol takes $15m off EBITDA and $35m off revs in 2006?</t>
  </si>
  <si>
    <t>Underspending to date…company confirm? At what point did capex guidance change from $250m to $400m?</t>
  </si>
  <si>
    <t>200,000 subs in Iran as of July 2005</t>
  </si>
  <si>
    <t>Vietnam…potential to take an equitised stake in VNPT formerly run as a BCC (business cooperation contract)</t>
  </si>
  <si>
    <t>Ola consolidation date…roughly end Q3</t>
  </si>
  <si>
    <t>reported eps</t>
  </si>
  <si>
    <t>Another $350m off in August. $250m in Pakcom was paid down</t>
  </si>
  <si>
    <t>$16m savings from amortisation savings on Pakcom</t>
  </si>
  <si>
    <t>Honduras - new entrant</t>
  </si>
  <si>
    <t>Mobile as % of GDP</t>
  </si>
  <si>
    <t>Total current income distribution</t>
  </si>
  <si>
    <t>income of</t>
  </si>
  <si>
    <t>ARPU as</t>
  </si>
  <si>
    <t>Total income (2012)</t>
  </si>
  <si>
    <t>in const curr</t>
  </si>
  <si>
    <t>Average mobile income</t>
  </si>
  <si>
    <t>2006 $</t>
  </si>
  <si>
    <t>GNI/</t>
  </si>
  <si>
    <t>Black as %</t>
  </si>
  <si>
    <t>Total GNI</t>
  </si>
  <si>
    <t>Penet.</t>
  </si>
  <si>
    <t>reported</t>
  </si>
  <si>
    <t>Real</t>
  </si>
  <si>
    <t>Income brackets</t>
  </si>
  <si>
    <t xml:space="preserve">Less Capex </t>
  </si>
  <si>
    <t>CA ex-Amnet</t>
  </si>
  <si>
    <t>Real. Pen</t>
  </si>
  <si>
    <t>Rep.</t>
  </si>
  <si>
    <t>Income brackets (2012)</t>
  </si>
  <si>
    <t>GNI/ capita</t>
  </si>
  <si>
    <t>Inflation</t>
  </si>
  <si>
    <t>capita (2012)</t>
  </si>
  <si>
    <t>of reported</t>
  </si>
  <si>
    <t>(incl. black)</t>
  </si>
  <si>
    <t>Top 20%</t>
  </si>
  <si>
    <t>Bottom 20%</t>
  </si>
  <si>
    <t>Dual Sim</t>
  </si>
  <si>
    <t>Real pen.</t>
  </si>
  <si>
    <t>VAT</t>
  </si>
  <si>
    <t>2006 ARPU</t>
  </si>
  <si>
    <t>Top</t>
  </si>
  <si>
    <t>mob. users</t>
  </si>
  <si>
    <t>income</t>
  </si>
  <si>
    <t>Dual SIM</t>
  </si>
  <si>
    <t>$ ARPU</t>
  </si>
  <si>
    <t>real</t>
  </si>
  <si>
    <t>nominal</t>
  </si>
  <si>
    <t>Black ec.</t>
  </si>
  <si>
    <t>Real GNI/</t>
  </si>
  <si>
    <t>Av. income</t>
  </si>
  <si>
    <t>ARPU as %</t>
  </si>
  <si>
    <t>Q4 11</t>
  </si>
  <si>
    <t>TV FCF multiple</t>
  </si>
  <si>
    <t xml:space="preserve">Post-tax TV  </t>
  </si>
  <si>
    <t>PV TV</t>
  </si>
  <si>
    <t>EV</t>
  </si>
  <si>
    <t>g</t>
  </si>
  <si>
    <t>Share of net adds</t>
  </si>
  <si>
    <t>transfers</t>
  </si>
  <si>
    <t>and grants</t>
  </si>
  <si>
    <t>remittances</t>
  </si>
  <si>
    <t>$200m 4% convert</t>
  </si>
  <si>
    <t>Market Cap (fully diluted)</t>
  </si>
  <si>
    <t>Base</t>
  </si>
  <si>
    <t>India</t>
  </si>
  <si>
    <t>Israel</t>
  </si>
  <si>
    <t>Thailand</t>
  </si>
  <si>
    <t>Indonesia</t>
  </si>
  <si>
    <t>Macau</t>
  </si>
  <si>
    <t>Investcom</t>
  </si>
  <si>
    <t>Cyprus</t>
  </si>
  <si>
    <t>Guinea-Bissau</t>
  </si>
  <si>
    <t>Syria</t>
  </si>
  <si>
    <t>Yemen</t>
  </si>
  <si>
    <t>Benin</t>
  </si>
  <si>
    <t>Valuation</t>
  </si>
  <si>
    <t>Gp FX impact est</t>
  </si>
  <si>
    <t>Marginal margin</t>
  </si>
  <si>
    <t>Q3 2006 results</t>
  </si>
  <si>
    <t>Q4 updated</t>
  </si>
  <si>
    <t>LT…modeller, penetration…more dual-SIM's?</t>
  </si>
  <si>
    <t>Include Colombia</t>
  </si>
  <si>
    <t xml:space="preserve">Tax </t>
  </si>
  <si>
    <t>Investor trip</t>
  </si>
  <si>
    <t>Paktel as discontinued operation in Q4 06</t>
  </si>
  <si>
    <t>Peru…and other licences?</t>
  </si>
  <si>
    <t>Not involved in Peru</t>
  </si>
  <si>
    <t>No developments in Costa Rica/Peru today</t>
  </si>
  <si>
    <t>Civil engineering</t>
  </si>
  <si>
    <t>Running generators when no power</t>
  </si>
  <si>
    <t>Infrastructure cannot keep up with growth</t>
  </si>
  <si>
    <t>MIC SS</t>
  </si>
  <si>
    <t>SEK DPS</t>
  </si>
  <si>
    <t>Similarly at the margin, mid-40%'s in line with 2009 doesn't seem to reflect the better result seen in Q4</t>
  </si>
  <si>
    <t>Colombia y/y</t>
  </si>
  <si>
    <t>Colombia market margin</t>
  </si>
  <si>
    <t>EBITDA share</t>
  </si>
  <si>
    <t>Given cash from Pakistan, operating cash flows &amp; could be at net cash positive in a year's time. Use of cash?</t>
  </si>
  <si>
    <t>Holding back a little in Sri Lanka from marketing</t>
  </si>
  <si>
    <t>$800m capex guidance for 2007</t>
  </si>
  <si>
    <t>Group capex/sub</t>
  </si>
  <si>
    <t>Capex/sub, $</t>
  </si>
  <si>
    <t>Check the subs rate guidance (1.5m or &gt;1m)</t>
  </si>
  <si>
    <t>People looking for cash return</t>
  </si>
  <si>
    <t>Paid themselves? Net debt impact?</t>
  </si>
  <si>
    <t>1.5m net adds/quarter not out of the question</t>
  </si>
  <si>
    <t>Arfeen Group - have WiFi licence</t>
  </si>
  <si>
    <t>Rf</t>
  </si>
  <si>
    <t>Spread</t>
  </si>
  <si>
    <t>Cd</t>
  </si>
  <si>
    <t>Post-tax Cd</t>
  </si>
  <si>
    <t>ERP</t>
  </si>
  <si>
    <t>Beta</t>
  </si>
  <si>
    <t>CoE</t>
  </si>
  <si>
    <t>D/E</t>
  </si>
  <si>
    <t>Tax used</t>
  </si>
  <si>
    <t xml:space="preserve">Guatemala - 4th operator could launch a service. </t>
  </si>
  <si>
    <t>Critical mass in the DRC?</t>
  </si>
  <si>
    <t>$800m capex reiterated for fy</t>
  </si>
  <si>
    <t>tigo now fully up and running with addition of laos</t>
  </si>
  <si>
    <t>Per sec billing in CA led to 25pp price cut, offset by volume</t>
  </si>
  <si>
    <t>Q4 seasonally strong</t>
  </si>
  <si>
    <t>Proportionate EBITDA</t>
  </si>
  <si>
    <t>EBITDA CAGR</t>
  </si>
  <si>
    <t>Total gp tax at 33% in 06 (40% in 05). Taking steps to increase management and brand fees paid to corporate. Unlikely to fully offset corp costs until 2008. Could hit 30% post 2008</t>
  </si>
  <si>
    <t>Underlying SA margins (ex Colombia) improving. Reach 50%</t>
  </si>
  <si>
    <t>Continued momentum in early 2007</t>
  </si>
  <si>
    <t>Expect to see an acceleration in Africa over 2007. Higher growth also in Asia expected</t>
  </si>
  <si>
    <t>Tanzania subs</t>
  </si>
  <si>
    <t>*1</t>
  </si>
  <si>
    <t>*2</t>
  </si>
  <si>
    <t>Elasticity &gt;1 in Paraguay. More specific?</t>
  </si>
  <si>
    <t>Tigo/per-sec billing/e-PIN in all mkts now?</t>
  </si>
  <si>
    <t>When/where the remaining mkts?</t>
  </si>
  <si>
    <t>Buying opportunities</t>
  </si>
  <si>
    <t>Much out there? Colour on Peru..what asset?</t>
  </si>
  <si>
    <t>What is pricing in Paraguay vs Central America?</t>
  </si>
  <si>
    <t>Tigo, $ cents per min</t>
  </si>
  <si>
    <t>* straight average of peak and off-peak prices</t>
  </si>
  <si>
    <t>May 09</t>
  </si>
  <si>
    <t>June 10</t>
  </si>
  <si>
    <t>% change in local ARPU</t>
  </si>
  <si>
    <t>Revenue change, local</t>
  </si>
  <si>
    <t>Weighted average growth</t>
  </si>
  <si>
    <t>Revenue impact from Pakcom deconsolidation small?</t>
  </si>
  <si>
    <t>ARPU growth in Central America slowing?</t>
  </si>
  <si>
    <t>ARPU yield/min</t>
  </si>
  <si>
    <t>MTR</t>
  </si>
  <si>
    <t>DR Congo*</t>
  </si>
  <si>
    <t>* Kinshasa Bas-Congo area (where 99% of Millicom's business resides)</t>
  </si>
  <si>
    <t>Zain/Bharti</t>
  </si>
  <si>
    <t>Revs on-net</t>
  </si>
  <si>
    <t>Ord DPS</t>
  </si>
  <si>
    <t>Special div</t>
  </si>
  <si>
    <t>as % clean EPS</t>
  </si>
  <si>
    <t>Other financial income</t>
  </si>
  <si>
    <t>Gain on sale on of financial assets</t>
  </si>
  <si>
    <t>Effective interest rate</t>
  </si>
  <si>
    <t>Average cash and STI</t>
  </si>
  <si>
    <t>In year bulge</t>
  </si>
  <si>
    <t>Financial expense</t>
  </si>
  <si>
    <t>Other financial expense</t>
  </si>
  <si>
    <t>Average interest rate</t>
  </si>
  <si>
    <t>Average total debt</t>
  </si>
  <si>
    <t>Average debt relative to opening</t>
  </si>
  <si>
    <t>As % of sales</t>
  </si>
  <si>
    <t>Total debt</t>
  </si>
  <si>
    <t>Change in net debt B/S</t>
  </si>
  <si>
    <t>Change in net debt (cf)</t>
  </si>
  <si>
    <t>Gross revenues</t>
  </si>
  <si>
    <t>EBITDA</t>
  </si>
  <si>
    <t>margin</t>
  </si>
  <si>
    <t>Q3 03</t>
  </si>
  <si>
    <t>Q2 03</t>
  </si>
  <si>
    <t>Q1 03</t>
  </si>
  <si>
    <t>Subscribers</t>
  </si>
  <si>
    <t>ARPU, $</t>
  </si>
  <si>
    <t>Q4 02</t>
  </si>
  <si>
    <t>Gives Millicom upside in Tele2 shares</t>
  </si>
  <si>
    <t>Honduras - +113% pro-forma revs</t>
  </si>
  <si>
    <t>Guatemala - +93% pro-forma revs</t>
  </si>
  <si>
    <t>CA</t>
  </si>
  <si>
    <t>+71% pro-forma revs</t>
  </si>
  <si>
    <t>Tigo driving growth</t>
  </si>
  <si>
    <t>SA</t>
  </si>
  <si>
    <t>+34%, +67%  Bolivia and Paraguay rev growth</t>
  </si>
  <si>
    <t>In Ghana…$11c vs termination (inbound/outbound) rate of $6c</t>
  </si>
  <si>
    <t>Penetration nearer to 50%</t>
  </si>
  <si>
    <t>Could increase a little in H2 in those 2 countries</t>
  </si>
  <si>
    <t>Low 30%'s should hold for H2</t>
  </si>
  <si>
    <t>Colombia and DRC have the biggest impact. Tax without any profit</t>
  </si>
  <si>
    <t>ARPU's to continue to fall?</t>
  </si>
  <si>
    <t>To do with per sec billing introduction</t>
  </si>
  <si>
    <t>They have 10% of Paktel…ownership of Paktel now nearer 90%</t>
  </si>
  <si>
    <t>CA contribute to more of gross margin. On average, the highest</t>
  </si>
  <si>
    <t>Markets are not at saturation</t>
  </si>
  <si>
    <t>Colombia - where can the business go from here</t>
  </si>
  <si>
    <t>What difference has the regulatory change in Colombia re AMX made?</t>
  </si>
  <si>
    <t>Clean depreciation</t>
  </si>
  <si>
    <t>Clean amortisation</t>
  </si>
  <si>
    <t>Write-downs</t>
  </si>
  <si>
    <t>Income (loss) of associates</t>
  </si>
  <si>
    <t>EBIT</t>
  </si>
  <si>
    <t>Interest expense</t>
  </si>
  <si>
    <t>Profit before tax</t>
  </si>
  <si>
    <t>Tax</t>
  </si>
  <si>
    <t>Minorities</t>
  </si>
  <si>
    <t>Net income (reported)</t>
  </si>
  <si>
    <t>Average number of shares</t>
  </si>
  <si>
    <t>Year end number of shares</t>
  </si>
  <si>
    <t>EPS (reported)</t>
  </si>
  <si>
    <t>% growth</t>
  </si>
  <si>
    <t>Adjusted net income</t>
  </si>
  <si>
    <t>Clean eps</t>
  </si>
  <si>
    <t>DPS</t>
  </si>
  <si>
    <t>(Clean) earning cover</t>
  </si>
  <si>
    <t>Cash flow statement</t>
  </si>
  <si>
    <t>Net income</t>
  </si>
  <si>
    <t>Income from associates</t>
  </si>
  <si>
    <t>Cash flow from operations</t>
  </si>
  <si>
    <t>Change in working capital</t>
  </si>
  <si>
    <t>Cash provided from operating activities</t>
  </si>
  <si>
    <t>Provisions</t>
  </si>
  <si>
    <t>Acquisition / disposals</t>
  </si>
  <si>
    <t>Expenditure on financial assets</t>
  </si>
  <si>
    <t>Share repurchase</t>
  </si>
  <si>
    <t>Cash flow from investing activities</t>
  </si>
  <si>
    <t>Share issue</t>
  </si>
  <si>
    <t xml:space="preserve">Could rise further this year as more of </t>
  </si>
  <si>
    <t>2009 - could get to 30% or below, depending on geographic mix, ability to reduce corp costs (10% notes), DRC and Col</t>
  </si>
  <si>
    <t>Col  - strong versus competition</t>
  </si>
  <si>
    <t>Col - growth in revs will come through in H2 07</t>
  </si>
  <si>
    <t>Peeps fill out a form for phone</t>
  </si>
  <si>
    <t>Q4 07</t>
  </si>
  <si>
    <t>total revs</t>
  </si>
  <si>
    <t>reg amx subs</t>
  </si>
  <si>
    <t>reg tef subs</t>
  </si>
  <si>
    <t>reg tigo subs</t>
  </si>
  <si>
    <t>colombian reg appears to overstate numbers versus operators who also overstate numbers!</t>
  </si>
  <si>
    <t>tigo share of net adds</t>
  </si>
  <si>
    <t>Central America quarterly analysis</t>
  </si>
  <si>
    <t>Guatemala, El Salvador, Honduras, Nicaragua</t>
  </si>
  <si>
    <t>all pegged to $ except nicaragua where 5% yoy currency depreciation policy</t>
  </si>
  <si>
    <t>net adds</t>
  </si>
  <si>
    <t>decent subs growth</t>
  </si>
  <si>
    <t>AMX service revs</t>
  </si>
  <si>
    <t>rev growth in local slowed to 12% from 20%</t>
  </si>
  <si>
    <t>margin ticked down versus q3</t>
  </si>
  <si>
    <t>Q4 summary</t>
  </si>
  <si>
    <t>implied local ARPU</t>
  </si>
  <si>
    <t>No, not yet.</t>
  </si>
  <si>
    <t>Q4 is normally a strong quarter. Could be very strong</t>
  </si>
  <si>
    <t>More base stations in DRC than in Pakistan?</t>
  </si>
  <si>
    <t>Rarely have they spend so much money in a market</t>
  </si>
  <si>
    <t xml:space="preserve">Europe </t>
  </si>
  <si>
    <t>Telia Sweden</t>
  </si>
  <si>
    <t>New licences - Peru?</t>
  </si>
  <si>
    <t>Stay away from auction processes typically</t>
  </si>
  <si>
    <t>Strong competition for licences</t>
  </si>
  <si>
    <t>Hope to rollout in more markets going forward</t>
  </si>
  <si>
    <t>ARPU in CA</t>
  </si>
  <si>
    <t>Prices and vols…look at calc</t>
  </si>
  <si>
    <t>MOU's up 10%</t>
  </si>
  <si>
    <t>Nothing to do with competitive condition</t>
  </si>
  <si>
    <t>Now no.1 in Guatemala</t>
  </si>
  <si>
    <t>Per sec billing is being copied across their mkts</t>
  </si>
  <si>
    <t>Assume flat rev quarter q2/q1 in CA</t>
  </si>
  <si>
    <t>will take time to get back to old ARPUs</t>
  </si>
  <si>
    <t>Ghana subs growth slowing</t>
  </si>
  <si>
    <t>No change in competitive lamdscape</t>
  </si>
  <si>
    <t>Peru?</t>
  </si>
  <si>
    <t>On the radar</t>
  </si>
  <si>
    <t>Buy back?</t>
  </si>
  <si>
    <t>Acquisitions not happening? Peru licence?</t>
  </si>
  <si>
    <t>Will exceed $800m for the FY</t>
  </si>
  <si>
    <t xml:space="preserve">Millicom </t>
  </si>
  <si>
    <t>America Movil</t>
  </si>
  <si>
    <t>Roll-out in Africa slower than previously expected</t>
  </si>
  <si>
    <t>Cash return</t>
  </si>
  <si>
    <t>2 year pay back</t>
  </si>
  <si>
    <t>Increased competition?</t>
  </si>
  <si>
    <t>Stronger, particularly in Central America</t>
  </si>
  <si>
    <t>BUT margins not impacted now, or going forward</t>
  </si>
  <si>
    <t>Local debt continues to be available</t>
  </si>
  <si>
    <t>Better progress with margin?</t>
  </si>
  <si>
    <t>Focus is on top line growth. Q3/4 should be better</t>
  </si>
  <si>
    <t>Blended tax rate in Q2 was low. Why?</t>
  </si>
  <si>
    <t>25% margins supported by rev growth in Q2</t>
  </si>
  <si>
    <t>Soft launch in Jan 09, commercial launch due</t>
  </si>
  <si>
    <t>Datacell (Gateway)</t>
  </si>
  <si>
    <t>Millicom Latam</t>
  </si>
  <si>
    <t>% OpFCF</t>
  </si>
  <si>
    <t>Current TEF</t>
  </si>
  <si>
    <t>(dilution)/accretion</t>
  </si>
  <si>
    <t>Latam purchase price = EV</t>
  </si>
  <si>
    <t>New TEF EV</t>
  </si>
  <si>
    <t>Revenues, $</t>
  </si>
  <si>
    <t>yoy %</t>
  </si>
  <si>
    <t>Q4 05</t>
  </si>
  <si>
    <t>1) MIC by page</t>
  </si>
  <si>
    <t>Local currency revs, m</t>
  </si>
  <si>
    <t>Activated SIMs were not reloaded</t>
  </si>
  <si>
    <t>This was corrected  in Q2</t>
  </si>
  <si>
    <t>TDMA/CDMA</t>
  </si>
  <si>
    <t>US$</t>
  </si>
  <si>
    <t>Cha</t>
  </si>
  <si>
    <t>Originally targetting 1m subs within 1 yr of launch</t>
  </si>
  <si>
    <t>2007 before Pak break-even?</t>
  </si>
  <si>
    <t>Blended ARPU yield/min</t>
  </si>
  <si>
    <t>Q1 07</t>
  </si>
  <si>
    <t>African estimates</t>
  </si>
  <si>
    <t>Africel (Lintel)</t>
  </si>
  <si>
    <t>Supercell (MTN Rwanda)</t>
  </si>
  <si>
    <t>Auction coming up. Shortlisted with 2 others for 50%+1 share in existing 3rd operator</t>
  </si>
  <si>
    <t>2 Empressas &amp; other (state-owned).. Govt selling down</t>
  </si>
  <si>
    <t>Tanzania.</t>
  </si>
  <si>
    <t>Per second billing availability (August 06)</t>
  </si>
  <si>
    <t>DCF</t>
  </si>
  <si>
    <t>Debt in Colombia</t>
  </si>
  <si>
    <t>Not using cash</t>
  </si>
  <si>
    <t>EBITDA negative</t>
  </si>
  <si>
    <t>Had a licence for the northern region. Sold it (at time of restructuring) to America Movil</t>
  </si>
  <si>
    <t>Full GSM licence</t>
  </si>
  <si>
    <t>$75m capex over a 3 year period</t>
  </si>
  <si>
    <t>44m population</t>
  </si>
  <si>
    <t>MOU</t>
  </si>
  <si>
    <t>Churn</t>
  </si>
  <si>
    <t>ARPU, local</t>
  </si>
  <si>
    <t>% share</t>
  </si>
  <si>
    <t>Revenue, $</t>
  </si>
  <si>
    <t>Revenue, $m</t>
  </si>
  <si>
    <t xml:space="preserve">  </t>
  </si>
  <si>
    <t>Revenue share</t>
  </si>
  <si>
    <t>Total revenue</t>
  </si>
  <si>
    <t>Germany</t>
  </si>
  <si>
    <t>Spain</t>
  </si>
  <si>
    <t>1 unite = 1 $ cent</t>
  </si>
  <si>
    <t>Africa average (ex Chad)</t>
  </si>
  <si>
    <t>Off-net MOU</t>
  </si>
  <si>
    <t>Total MOU</t>
  </si>
  <si>
    <t>On-net price*</t>
  </si>
  <si>
    <t>* Average on-net yield per minute including promotions, as supplied by Millicom</t>
  </si>
  <si>
    <t>Off-net**</t>
  </si>
  <si>
    <t>** Headline off-net rates (from Tigo websites), adj for VAT</t>
  </si>
  <si>
    <t>ARPU***</t>
  </si>
  <si>
    <t>*** Rwanda ARPU is an estimate</t>
  </si>
  <si>
    <t>Outbound MOU</t>
  </si>
  <si>
    <t>Yield/per min</t>
  </si>
  <si>
    <t>Dividend</t>
  </si>
  <si>
    <t>Dividend as % of EFCF</t>
  </si>
  <si>
    <t>DRC start-up costs in Q2 numbers</t>
  </si>
  <si>
    <t>+11% Paktel yoy growth</t>
  </si>
  <si>
    <t>Still resolving network issues. Relaunch expected later this year following network investment</t>
  </si>
  <si>
    <t>**Q4 should be the turnaround point**</t>
  </si>
  <si>
    <t>Not yet</t>
  </si>
  <si>
    <t>Pakcom sold end-June 06</t>
  </si>
  <si>
    <t>Feb - licence until 2018</t>
  </si>
  <si>
    <t>51% margins in Sri Lanka despite the lowest margins</t>
  </si>
  <si>
    <t>Financials</t>
  </si>
  <si>
    <t>Margin</t>
  </si>
  <si>
    <t>Payback period from capacity expansion are relatively quick</t>
  </si>
  <si>
    <t>Works costs have been increasing</t>
  </si>
  <si>
    <t>Depreciation</t>
  </si>
  <si>
    <t>Expect as a proportion of sales to stay the same</t>
  </si>
  <si>
    <t>Will increase debt to finance capex spending. Cash is likely to increase</t>
  </si>
  <si>
    <t>20% in Paraguay from VAS. Average across group is much lower</t>
  </si>
  <si>
    <t>When reach 30/35% in 2007? Mid to low-30%'s next year</t>
  </si>
  <si>
    <t>If move income into corporate will help</t>
  </si>
  <si>
    <t>Q3 07</t>
  </si>
  <si>
    <t>If blended rate stays around 30% (27% will be tough to keep up)</t>
  </si>
  <si>
    <t>Subs</t>
  </si>
  <si>
    <t>Run-rate of subs adds…what's the new target?</t>
  </si>
  <si>
    <t>DR Congo will help…Paktel re-launch, Sri Lanka can add more. So &gt;1m can be added</t>
  </si>
  <si>
    <t>FY 07</t>
  </si>
  <si>
    <t>FY 08</t>
  </si>
  <si>
    <t>Guidance</t>
  </si>
  <si>
    <t>Pro-forma growth of 50% revs poss, potentially not at EBITDA</t>
  </si>
  <si>
    <t>amx</t>
  </si>
  <si>
    <t>tigo</t>
  </si>
  <si>
    <t xml:space="preserve">total </t>
  </si>
  <si>
    <t>Check peak year - as % sales of absolute terms?</t>
  </si>
  <si>
    <t>Plus: Other liabilities</t>
  </si>
  <si>
    <t>Less: Accumulated dividend</t>
  </si>
  <si>
    <t>Enterprise value</t>
  </si>
  <si>
    <t>EFCF</t>
  </si>
  <si>
    <t>Adjusted EBITDA</t>
  </si>
  <si>
    <t>internet</t>
  </si>
  <si>
    <t>Sierra Leone</t>
  </si>
  <si>
    <t>Tanzania</t>
  </si>
  <si>
    <t>Chad</t>
  </si>
  <si>
    <t>Q1 05</t>
  </si>
  <si>
    <t>Q3 05</t>
  </si>
  <si>
    <t>Q2 05</t>
  </si>
  <si>
    <t>Group 100% subs</t>
  </si>
  <si>
    <t>Net adds</t>
  </si>
  <si>
    <t>Q1 04</t>
  </si>
  <si>
    <t>Q2 04</t>
  </si>
  <si>
    <t>Q3 04</t>
  </si>
  <si>
    <t>Q4 04</t>
  </si>
  <si>
    <t>Q4 03</t>
  </si>
  <si>
    <t>Total subs</t>
  </si>
  <si>
    <t>Prop. Capex</t>
  </si>
  <si>
    <t>Prop. OpFCF</t>
  </si>
  <si>
    <t>Prop. FCF (OpFCF * (1-tax rate))</t>
  </si>
  <si>
    <t>Prop. Net debt</t>
  </si>
  <si>
    <t>Consolidated service revenue</t>
  </si>
  <si>
    <t>Prop. Service revenue</t>
  </si>
  <si>
    <t>Prop. Subscribers</t>
  </si>
  <si>
    <t>Prop. Pre-pay subs</t>
  </si>
  <si>
    <t>Prop. Contract subs</t>
  </si>
  <si>
    <t>Consolidated subscribers</t>
  </si>
  <si>
    <t>Consolidated Contract subs</t>
  </si>
  <si>
    <t>5% of revs for each country, appearing as corporate cost. Keeps down tax</t>
  </si>
  <si>
    <t>FY 10E</t>
  </si>
  <si>
    <t>FY 09</t>
  </si>
  <si>
    <t>in constant FX</t>
  </si>
  <si>
    <t>Prominent middle class.</t>
  </si>
  <si>
    <t>Total Millicom</t>
  </si>
  <si>
    <t>El Salvador remittances</t>
  </si>
  <si>
    <t>Bolivia and Paraguay strong</t>
  </si>
  <si>
    <t>TDMA migration to GSM…lost subs in Bolivia</t>
  </si>
  <si>
    <t>3G licences being given out across the world</t>
  </si>
  <si>
    <t>Wimax in 3 markets</t>
  </si>
  <si>
    <t>Q2 08</t>
  </si>
  <si>
    <t>Net debt/EBITDA</t>
  </si>
  <si>
    <t>Cash outflow</t>
  </si>
  <si>
    <t>Change in BS provision</t>
  </si>
  <si>
    <t>Long-term non-interest liabilities</t>
  </si>
  <si>
    <t>Minority interest I/S</t>
  </si>
  <si>
    <t>Change</t>
  </si>
  <si>
    <t>Minority interest B/S</t>
  </si>
  <si>
    <t>Book value</t>
  </si>
  <si>
    <t>Reported income</t>
  </si>
  <si>
    <t>Adjustments</t>
  </si>
  <si>
    <t>Turkey</t>
  </si>
  <si>
    <t>MTR, local</t>
  </si>
  <si>
    <t>Avea</t>
  </si>
  <si>
    <t>Off-net Turkcell</t>
  </si>
  <si>
    <t>vod</t>
  </si>
  <si>
    <t>Blended price per min</t>
  </si>
  <si>
    <t>+</t>
  </si>
  <si>
    <t>Implied on-net</t>
  </si>
  <si>
    <t>On-net traffic</t>
  </si>
  <si>
    <t>What is a sustainable net adds run rate going forward?</t>
  </si>
  <si>
    <t>2m net adds should be achievable in Q4.</t>
  </si>
  <si>
    <t>10 yr US</t>
  </si>
  <si>
    <t>Break-even in 2008? Yes, poss</t>
  </si>
  <si>
    <t>Mauritius (Tigo) USD</t>
  </si>
  <si>
    <t>&gt;20% 6m after taking control. Highest % age in subs. Lead to rev growth in H2 only.</t>
  </si>
  <si>
    <t>tigo in DRC launched. Lot needs to be done.</t>
  </si>
  <si>
    <t>q1 tradtionally the weakest q</t>
  </si>
  <si>
    <t>How many subs churned in Q2?</t>
  </si>
  <si>
    <t>Cap for this year?</t>
  </si>
  <si>
    <t>10-20% price cuts during Q2</t>
  </si>
  <si>
    <t>Less of a Q4 spike these days</t>
  </si>
  <si>
    <t>TDMA to GSM</t>
  </si>
  <si>
    <t>What are the legal reserves..why negative in 2003?</t>
  </si>
  <si>
    <t>Revenue, peso</t>
  </si>
  <si>
    <t>1100 base stations, 3000 by YE 09</t>
  </si>
  <si>
    <t>25% pops coverage</t>
  </si>
  <si>
    <t>Star-Cell</t>
  </si>
  <si>
    <t>1468 celll sites Q1 09</t>
  </si>
  <si>
    <t>Consolidated Revenues</t>
  </si>
  <si>
    <t>Consolidated EBITDA</t>
  </si>
  <si>
    <t>Indosat</t>
  </si>
  <si>
    <t>Telekom Indonesia</t>
  </si>
  <si>
    <t>Reliance</t>
  </si>
  <si>
    <t>Bharti</t>
  </si>
  <si>
    <t>IDEA</t>
  </si>
  <si>
    <t>Weighted average</t>
  </si>
  <si>
    <t>Food</t>
  </si>
  <si>
    <t>After-food</t>
  </si>
  <si>
    <t>Total income</t>
  </si>
  <si>
    <t>Year</t>
  </si>
  <si>
    <t>0% income gr</t>
  </si>
  <si>
    <t>AIS</t>
  </si>
  <si>
    <t>TOTAL</t>
  </si>
  <si>
    <t>Vimpel Com</t>
  </si>
  <si>
    <t>MobiNil</t>
  </si>
  <si>
    <t>LG</t>
  </si>
  <si>
    <t>No increase expected from 21%. Focus is on growth. Will dilute margins in the medium-term</t>
  </si>
  <si>
    <t>looking for h2 acceleration, on track</t>
  </si>
  <si>
    <t>growth despite costs in DRC and Chad</t>
  </si>
  <si>
    <t>feb 13, sale finalised of Paktel finalised</t>
  </si>
  <si>
    <t>Getting outspent in Pakistan?</t>
  </si>
  <si>
    <t>When consolidate Congo from ?</t>
  </si>
  <si>
    <t>Dem. Rep. Congo</t>
  </si>
  <si>
    <t>Scale of African margin dilution?</t>
  </si>
  <si>
    <t>No. of shares</t>
  </si>
  <si>
    <t>Plus liabilities</t>
  </si>
  <si>
    <t>Plus: NPV of future licence costs</t>
  </si>
  <si>
    <t>Capex/sales</t>
  </si>
  <si>
    <t>Tax rate</t>
  </si>
  <si>
    <t>Terminal growth</t>
  </si>
  <si>
    <t>Discounted cash flows</t>
  </si>
  <si>
    <t>PV of future cash flows</t>
  </si>
  <si>
    <t>Consolidated pre-pay subs</t>
  </si>
  <si>
    <t>Net debt (adj for convert)</t>
  </si>
  <si>
    <t>Other non-op net</t>
  </si>
  <si>
    <t>Prop. Pops</t>
  </si>
  <si>
    <t>Consolidated Pops</t>
  </si>
  <si>
    <t>Domestic Pops</t>
  </si>
  <si>
    <t>Domestic prepay subs</t>
  </si>
  <si>
    <t>Domestic contract subs</t>
  </si>
  <si>
    <t>Domestic mkt share</t>
  </si>
  <si>
    <t>Domestic voice ARPU</t>
  </si>
  <si>
    <t>Hello/Casacom - TMIC</t>
  </si>
  <si>
    <t>Camshin - Shinawatra</t>
  </si>
  <si>
    <t>Mobitel - Millicom</t>
  </si>
  <si>
    <t>Star-Cell/Applifone - TLSN</t>
  </si>
  <si>
    <t>Metfone - Viettel (Vietnam)</t>
  </si>
  <si>
    <t>claim viettel</t>
  </si>
  <si>
    <t>Viettel</t>
  </si>
  <si>
    <t>per second billing</t>
  </si>
  <si>
    <t>q3 09</t>
  </si>
  <si>
    <t>fx</t>
  </si>
  <si>
    <t>col 10% seq improvement</t>
  </si>
  <si>
    <t>sen &amp; chad, mauritius 5% improvement</t>
  </si>
  <si>
    <t>no other deterioration</t>
  </si>
  <si>
    <t>Congo Brazzaville</t>
  </si>
  <si>
    <t>08 share</t>
  </si>
  <si>
    <t>Q1 adds share</t>
  </si>
  <si>
    <t>Glo Mobile</t>
  </si>
  <si>
    <t>Ghana capex</t>
  </si>
  <si>
    <t>Notes</t>
  </si>
  <si>
    <t xml:space="preserve">* Weighted ownership is according to subs and adjusted to reflect associate position where relevant </t>
  </si>
  <si>
    <t>El Salvador - switch got congested. Had to give $1.2m to clients in the form of free minutes</t>
  </si>
  <si>
    <t>Led to higher pressure on ARPU</t>
  </si>
  <si>
    <t>Central America - declines in ARPU trends</t>
  </si>
  <si>
    <t>Number of shares, ords</t>
  </si>
  <si>
    <t>Average number of shares, ords</t>
  </si>
  <si>
    <t>Number of shares, Savs</t>
  </si>
  <si>
    <t>Average number of shares, Savs</t>
  </si>
  <si>
    <t xml:space="preserve">Debt </t>
  </si>
  <si>
    <t>Current portions</t>
  </si>
  <si>
    <t>Licence fee of $291m. 50% over 3 yrs, 50% over 10 yrs. Some payments already made treated as downpayment</t>
  </si>
  <si>
    <t>Did this schedule change in 2005?</t>
  </si>
  <si>
    <t>Privatisation of 26% of PTCL</t>
  </si>
  <si>
    <t>Impact on mobile market from new ownership in Ufone?</t>
  </si>
  <si>
    <t>Pakistan</t>
  </si>
  <si>
    <t>Sri Lanka</t>
  </si>
  <si>
    <t>Pakcom TDMA network</t>
  </si>
  <si>
    <t>CPP to be introduced soon?</t>
  </si>
  <si>
    <t>Not CPP market</t>
  </si>
  <si>
    <t>Was looking to double subs in 2005</t>
  </si>
  <si>
    <t>Has this happened?</t>
  </si>
  <si>
    <t>Central America - largest contributor to group rev and EBITDA end-04</t>
  </si>
  <si>
    <t>Vietnam</t>
  </si>
  <si>
    <t>Cambodia</t>
  </si>
  <si>
    <t>Laos</t>
  </si>
  <si>
    <t>Q2 07</t>
  </si>
  <si>
    <t>Q2 2007 results call</t>
  </si>
  <si>
    <t>African margins should increase going forward</t>
  </si>
  <si>
    <t>1m CDMA/TDMA subs here</t>
  </si>
  <si>
    <t>Price elasticity from per sec billing is happening</t>
  </si>
  <si>
    <t xml:space="preserve">Chad </t>
  </si>
  <si>
    <t>Local FX revenue</t>
  </si>
  <si>
    <t>Near term coverage requirements</t>
  </si>
  <si>
    <t>Capex in Latam has been capacity focused due to per sec billing</t>
  </si>
  <si>
    <t>Sold the business debt free…for $1. Paid banks back. Licence obligations sold with business</t>
  </si>
  <si>
    <t>Interest rates</t>
  </si>
  <si>
    <t>600m of debt + $40m of interest</t>
  </si>
  <si>
    <t>eur/local</t>
  </si>
  <si>
    <t>Zain non-overlap</t>
  </si>
  <si>
    <t>Accelerated growth from Q3 and beyond</t>
  </si>
  <si>
    <t>Other long-term non-interest liabilities</t>
  </si>
  <si>
    <t>Tele2 shares (post-share split)</t>
  </si>
  <si>
    <t>Value</t>
  </si>
  <si>
    <t>Revenue</t>
  </si>
  <si>
    <t>Depr &amp; Amortisation</t>
  </si>
  <si>
    <t>Other income</t>
  </si>
  <si>
    <t>Reported EBITDA</t>
  </si>
  <si>
    <t>Guiding to $250m capex in 2005 and $400m in 2006</t>
  </si>
  <si>
    <t>Average fully-diluted</t>
  </si>
  <si>
    <t>Average shares</t>
  </si>
  <si>
    <t>YE no of shares</t>
  </si>
  <si>
    <t>Change in no of shares</t>
  </si>
  <si>
    <t>YE fully diluted</t>
  </si>
  <si>
    <t>weighted av</t>
  </si>
  <si>
    <t>from amx ca</t>
  </si>
  <si>
    <t>vip</t>
  </si>
  <si>
    <t>kyiv</t>
  </si>
  <si>
    <t>dtac</t>
  </si>
  <si>
    <t>indosat</t>
  </si>
  <si>
    <t>gram</t>
  </si>
  <si>
    <t>tnor</t>
  </si>
  <si>
    <t>bharti</t>
  </si>
  <si>
    <t>chris pressie</t>
  </si>
  <si>
    <t>07 GNI/cap</t>
  </si>
  <si>
    <t>Price/min, $ cents (LHS)</t>
  </si>
  <si>
    <t>.</t>
  </si>
  <si>
    <t>Zantel</t>
  </si>
  <si>
    <t>TTCL</t>
  </si>
  <si>
    <t>Benson Informatics</t>
  </si>
  <si>
    <t>Zantel (Etisalat 51%)</t>
  </si>
  <si>
    <t>Share</t>
  </si>
  <si>
    <t>Sonatel (Govt/Orange)</t>
  </si>
  <si>
    <t>s</t>
  </si>
  <si>
    <t>2015 (2G)</t>
  </si>
  <si>
    <t>Oct-06/Nov 07</t>
  </si>
  <si>
    <t>Renewal date</t>
  </si>
  <si>
    <t>Country</t>
  </si>
  <si>
    <t>Check 2014</t>
  </si>
  <si>
    <t>Op subs as %  Pop</t>
  </si>
  <si>
    <t>Pen</t>
  </si>
  <si>
    <t>Checking…</t>
  </si>
  <si>
    <t>Where get this?</t>
  </si>
  <si>
    <t>7 years for the network - is this so short?</t>
  </si>
  <si>
    <t>Revs</t>
  </si>
  <si>
    <t>Quantified Paktel re-launch costs?</t>
  </si>
  <si>
    <t>Corporate costs</t>
  </si>
  <si>
    <t>Discontinued operation…how to model</t>
  </si>
  <si>
    <t>4/4</t>
  </si>
  <si>
    <t>3/5</t>
  </si>
  <si>
    <t>10% senior notes</t>
  </si>
  <si>
    <t>4% converts</t>
  </si>
  <si>
    <t>5% exchangeables</t>
  </si>
  <si>
    <t>Other senior debt</t>
  </si>
  <si>
    <t>Long-term portions</t>
  </si>
  <si>
    <t>New borrowings</t>
  </si>
  <si>
    <t>Total gross debt</t>
  </si>
  <si>
    <t>Blended average rate</t>
  </si>
  <si>
    <t>Consolidated Net debt</t>
  </si>
  <si>
    <t>Other financial liabilities</t>
  </si>
  <si>
    <t>change in liability</t>
  </si>
  <si>
    <t>YE Tele2 price, SEK</t>
  </si>
  <si>
    <t>In terms of capacity, coverage and value-added services</t>
  </si>
  <si>
    <t>Other current assets</t>
  </si>
  <si>
    <t>High ARPU than AMX/TEF…other ops prob overstate subs</t>
  </si>
  <si>
    <t>Turnkey solution</t>
  </si>
  <si>
    <t>Booked when parts are delivered…bulk will be in Q1</t>
  </si>
  <si>
    <t>NSR</t>
  </si>
  <si>
    <t>Done</t>
  </si>
  <si>
    <t>Rwanda, 100%</t>
  </si>
  <si>
    <t>Zambia, 19%</t>
  </si>
  <si>
    <t>Swaziland, 100%</t>
  </si>
  <si>
    <t>Burkina Faso</t>
  </si>
  <si>
    <t>DR Congo</t>
  </si>
  <si>
    <t>Central America revenue (local)</t>
  </si>
  <si>
    <t>Local currency trends, y/y</t>
  </si>
  <si>
    <t>* Q4 07 is the only reported y/y number for Colombia. From Q1 08 onwards nos are NSR estimate. Slowdown explained by IC cut in Dec 07</t>
  </si>
  <si>
    <t>Bolivia/Paraguay, $**</t>
  </si>
  <si>
    <t>** FX impacting Bolivia/Paraguay nos. Paraguayan guarani and Bolivian peso moves shown below</t>
  </si>
  <si>
    <t>Q1 10</t>
  </si>
  <si>
    <t>Value, $m</t>
  </si>
  <si>
    <t>Revenue growth has fallen to -4%. Can this be a growth business in 2010?</t>
  </si>
  <si>
    <t>problems here? And in senegal?</t>
  </si>
  <si>
    <t>Questions for Marc</t>
  </si>
  <si>
    <r>
      <t xml:space="preserve">H2 stronger than H1, currently 1.5m on quart basis </t>
    </r>
    <r>
      <rPr>
        <u/>
        <sz val="7.5"/>
        <rFont val="Trebuchet MS"/>
        <family val="2"/>
      </rPr>
      <t>BUT</t>
    </r>
  </si>
  <si>
    <t>+100,000 in Bolivia, +100,000 in Col</t>
  </si>
  <si>
    <t>how many such SIMs are there across the base?</t>
  </si>
  <si>
    <t>Seasonality - selling SIM's, is this significant?</t>
  </si>
  <si>
    <t>KTF</t>
  </si>
  <si>
    <t>Turk Telekom</t>
  </si>
  <si>
    <t>Turkcell</t>
  </si>
  <si>
    <t>Vimpelcom</t>
  </si>
  <si>
    <t>MTS</t>
  </si>
  <si>
    <t>TMI</t>
  </si>
  <si>
    <t>Maroc Telecom</t>
  </si>
  <si>
    <t>Zain</t>
  </si>
  <si>
    <t>Mobinil</t>
  </si>
  <si>
    <t>Q2 10</t>
  </si>
  <si>
    <t>Rep Congo</t>
  </si>
  <si>
    <t>Profitability</t>
  </si>
  <si>
    <t>Higher in 2007 due to Colombia</t>
  </si>
  <si>
    <t>Corporate costs in 2006 from strategic review</t>
  </si>
  <si>
    <t>P&amp;L</t>
  </si>
  <si>
    <t>Depreciation higher…plus increased depreciation on certain networks</t>
  </si>
  <si>
    <t>End H1 07, all non-GSM networks will have been fully depreciated</t>
  </si>
  <si>
    <t>Treasury shares</t>
  </si>
  <si>
    <t>Shares cancelled</t>
  </si>
  <si>
    <t>Entel</t>
  </si>
  <si>
    <t>Nuevatel</t>
  </si>
  <si>
    <t>Serv. revs.</t>
  </si>
  <si>
    <t>Equipment/ fixed revs</t>
  </si>
  <si>
    <t>Implied D&amp;A</t>
  </si>
  <si>
    <t>EBIT margin</t>
  </si>
  <si>
    <t>Subs (mobile)</t>
  </si>
  <si>
    <t>Received $284m. Half so far, other half not yet</t>
  </si>
  <si>
    <t>Latam, would not expect a slowdown in absolute subs growth in 07 versus 06. Per sec billing should help</t>
  </si>
  <si>
    <t>South America ex Colombia</t>
  </si>
  <si>
    <t>SA ex Colombia</t>
  </si>
  <si>
    <t>South America inc Colombia</t>
  </si>
  <si>
    <t>Update on Zain? CEO stepping down has a bearing on potential developments?</t>
  </si>
  <si>
    <t>COP</t>
  </si>
  <si>
    <t>Bolivia (Tigo) USD</t>
  </si>
  <si>
    <t>Paraguay (Tigo) USD</t>
  </si>
  <si>
    <t>Ghana (Tigo) USD</t>
  </si>
  <si>
    <t>Wrote down the old brand in Colombia ($4/5m) in Q4, +$2/3m underlying</t>
  </si>
  <si>
    <t>Also depreciation of $500m of fixed assets over 6 years. $20m/quarter</t>
  </si>
  <si>
    <t>Claro (AMX)</t>
  </si>
  <si>
    <t>Digicell</t>
  </si>
  <si>
    <t>Fixed-line penetration</t>
  </si>
  <si>
    <t>Per second billing</t>
  </si>
  <si>
    <t>Group</t>
  </si>
  <si>
    <t>OLD</t>
  </si>
  <si>
    <t>NEW</t>
  </si>
  <si>
    <t>Tigo</t>
  </si>
  <si>
    <t>except Mauritius/Cambodia</t>
  </si>
  <si>
    <t>Zain, local</t>
  </si>
  <si>
    <t>$ cents</t>
  </si>
  <si>
    <t>Safaricom 'Ongea'</t>
  </si>
  <si>
    <t>Safaricom 'Super Ongea'</t>
  </si>
  <si>
    <t>0.8-8</t>
  </si>
  <si>
    <t>0.01-0.1</t>
  </si>
  <si>
    <t>M-PESA</t>
  </si>
  <si>
    <t>VAS</t>
  </si>
  <si>
    <t>As % growth</t>
  </si>
  <si>
    <t>Implied total revenue</t>
  </si>
  <si>
    <t>Agents</t>
  </si>
  <si>
    <t>Includes utility bills, salary payments, international money transfers, ATM withdrawals, banking services</t>
  </si>
  <si>
    <t>Blended ARPU</t>
  </si>
  <si>
    <t>Less: Dividends paid</t>
  </si>
  <si>
    <t>EFCF adjustments</t>
  </si>
  <si>
    <t>Adj 2</t>
  </si>
  <si>
    <t>Adj 3</t>
  </si>
  <si>
    <t>Adj 4</t>
  </si>
  <si>
    <t>Adj 5</t>
  </si>
  <si>
    <t>Adj 6</t>
  </si>
  <si>
    <t>Divisional</t>
  </si>
  <si>
    <t>Prop. Subs</t>
  </si>
  <si>
    <t>Total blended ARPU</t>
  </si>
  <si>
    <t>Total EV</t>
  </si>
  <si>
    <t>Sum of the parts</t>
  </si>
  <si>
    <t>$m</t>
  </si>
  <si>
    <t>Cable TV</t>
  </si>
  <si>
    <t>1) Honduras tax cut in July</t>
  </si>
  <si>
    <t>2) The IC cut in early December</t>
  </si>
  <si>
    <t>3) The tax cut in El Salvador from the end of Q4</t>
  </si>
  <si>
    <t>What's the combined revenue and EBITDA impact expected to be in Q1 2010</t>
  </si>
  <si>
    <t>3 Overlap in Iran, where Millicom have a revenue share agreement with Rafsanjan Industrial Complex (RIC)</t>
  </si>
  <si>
    <r>
      <t>S America</t>
    </r>
    <r>
      <rPr>
        <vertAlign val="superscript"/>
        <sz val="10"/>
        <rFont val="Trebuchet MS"/>
        <family val="2"/>
      </rPr>
      <t>1</t>
    </r>
  </si>
  <si>
    <t>Vodacom</t>
  </si>
  <si>
    <t>Lesotho</t>
  </si>
  <si>
    <t>Mozambique</t>
  </si>
  <si>
    <t xml:space="preserve">Tunisia </t>
  </si>
  <si>
    <t xml:space="preserve">Pakistan </t>
  </si>
  <si>
    <t>Momentum in subs numbers?</t>
  </si>
  <si>
    <t>Net debt from Colombia</t>
  </si>
  <si>
    <t>A little less than doubling the net debt</t>
  </si>
  <si>
    <t xml:space="preserve">M&amp;A </t>
  </si>
  <si>
    <t>Pre-registering subs. Talk through in a bit more detail</t>
  </si>
  <si>
    <t>C America y/y (in US$)</t>
  </si>
  <si>
    <t>Sale and leaseback in Ghana…more detail on how it saves $100m</t>
  </si>
  <si>
    <t>Capex…cut from indications at CMD - why is this?</t>
  </si>
  <si>
    <t>Where and how soon can we expect more deals?</t>
  </si>
  <si>
    <t>Not looking to buy back the 10% notes?</t>
  </si>
  <si>
    <t>Competitors, share developments, level of SAC</t>
  </si>
  <si>
    <t>Does this cap margin below other mkts</t>
  </si>
  <si>
    <t>What are dealer commissions in other mkts?</t>
  </si>
  <si>
    <t>Africa…focus on Ghana, Senegal &amp; Tanzania</t>
  </si>
  <si>
    <t>Where else will TDMA/non-GSM switch offs come from in 07?</t>
  </si>
  <si>
    <t>Price/min ($ cents)</t>
  </si>
  <si>
    <t>Why is this business so profitable?</t>
  </si>
  <si>
    <t>clean EBITDA</t>
  </si>
  <si>
    <t>y/y</t>
  </si>
  <si>
    <t>Local</t>
  </si>
  <si>
    <t>Group SA</t>
  </si>
  <si>
    <t>Boost to $ revs</t>
  </si>
  <si>
    <t>vs constant curr.</t>
  </si>
  <si>
    <t>curr. vs $</t>
  </si>
  <si>
    <t>$ const. curr y/y</t>
  </si>
  <si>
    <t xml:space="preserve">Bolivia* </t>
  </si>
  <si>
    <t>Paraguay*</t>
  </si>
  <si>
    <t>EBITDA, $</t>
  </si>
  <si>
    <t>AMX</t>
  </si>
  <si>
    <t>% sales</t>
  </si>
  <si>
    <t>Years to discount</t>
  </si>
  <si>
    <t>PV FCFs</t>
  </si>
  <si>
    <t>additionally, the $ weakness of 12% yoy compares to 16% yoy in q3 i.e. still helpful but less so compared to q3</t>
  </si>
  <si>
    <t>arpu getting hit, down 22% yoy versus 11% in q3</t>
  </si>
  <si>
    <t>Colombia IC</t>
  </si>
  <si>
    <t>Underlying Colombia</t>
  </si>
  <si>
    <t>Senegal and Tanzania to drive higher EBITDA margins this year</t>
  </si>
  <si>
    <t>Expenses related to network rollout.</t>
  </si>
  <si>
    <t>GDP/head USD</t>
  </si>
  <si>
    <t>El Salvador (Tigo) USD</t>
  </si>
  <si>
    <t>USD</t>
  </si>
  <si>
    <t>FX /USD</t>
  </si>
  <si>
    <t>Guatemala (Tigo) USD</t>
  </si>
  <si>
    <t>Honduras (Tigo) USD</t>
  </si>
  <si>
    <t>Colombia (Ola) COP</t>
  </si>
  <si>
    <t>Post Q409 results plus questions for management</t>
  </si>
  <si>
    <t>Why the focus on growth over returning cash to shareholders</t>
  </si>
  <si>
    <t>Guidance on revenue suggests no material pick up in revenues during 2010</t>
  </si>
  <si>
    <t xml:space="preserve">   - simply conservative?</t>
  </si>
  <si>
    <t xml:space="preserve">   - or Central America likely to get worse</t>
  </si>
  <si>
    <t>Open in Central Americas…can tap these?</t>
  </si>
  <si>
    <t>Margins…is there a cap. Back to &gt;50%?</t>
  </si>
  <si>
    <t>Africa, will be improvement</t>
  </si>
  <si>
    <t>Col has some upside</t>
  </si>
  <si>
    <t>Q2 11</t>
  </si>
  <si>
    <t>Accumulated depreciation</t>
  </si>
  <si>
    <t>Net fixed assets</t>
  </si>
  <si>
    <t>Intangible assets</t>
  </si>
  <si>
    <t>Clean goodwill expense</t>
  </si>
  <si>
    <t>Clean intangible expense</t>
  </si>
  <si>
    <t>Total clean amortisation charge</t>
  </si>
  <si>
    <t>Taxed EBITDA/NFA</t>
  </si>
  <si>
    <t>Incremental capex?</t>
  </si>
  <si>
    <t>Colombia, Africa largest amount of capex</t>
  </si>
  <si>
    <t>Subs (mobile + fixed)</t>
  </si>
  <si>
    <t>Implied fixed subs</t>
  </si>
  <si>
    <t>Gross adds</t>
  </si>
  <si>
    <t xml:space="preserve">ARPU </t>
  </si>
  <si>
    <t>MoU</t>
  </si>
  <si>
    <t>Implied ARPM</t>
  </si>
  <si>
    <t>Per/sec billing in Central America introduced in the last 2 weeks. Has been very helpful in South America</t>
  </si>
  <si>
    <t>Not introduced in all mkts?</t>
  </si>
  <si>
    <t>Data numbers</t>
  </si>
  <si>
    <t xml:space="preserve">         - of which handsets</t>
  </si>
  <si>
    <t xml:space="preserve">         - of which dongles</t>
  </si>
  <si>
    <t>Contr to</t>
  </si>
  <si>
    <t>Handsets/equipment</t>
  </si>
  <si>
    <t>Millicom Latam revenue split</t>
  </si>
  <si>
    <t>Millicom Latam US$m</t>
  </si>
  <si>
    <t>* includes Colombia, Paraguay, Bolivia, El Salvador, Guatemala and Honduras</t>
  </si>
  <si>
    <t>Entel Chile</t>
  </si>
  <si>
    <t>Mobile BB subs, 000's</t>
  </si>
  <si>
    <t>Mobile revs</t>
  </si>
  <si>
    <t>CH$</t>
  </si>
  <si>
    <t xml:space="preserve"> mobile service revs</t>
  </si>
  <si>
    <t xml:space="preserve"> mobile equipment</t>
  </si>
  <si>
    <t>Ghana and Tanzania price cuts should drive growth</t>
  </si>
  <si>
    <t>Margins should go up in H2, even with $3m</t>
  </si>
  <si>
    <t>Senegal was a VAT receivable write-off</t>
  </si>
  <si>
    <t>Ghana - subs adjustment behind us</t>
  </si>
  <si>
    <t>Free SIM cards as part of 50th anniversary</t>
  </si>
  <si>
    <t>Per sec billing in 2007?</t>
  </si>
  <si>
    <t>No comment</t>
  </si>
  <si>
    <t>Use of cash</t>
  </si>
  <si>
    <t>Buy out of minorities</t>
  </si>
  <si>
    <t>New markets in adjacent markets</t>
  </si>
  <si>
    <t>Discussions are ongoing</t>
  </si>
  <si>
    <t>ePIN in both mkts?</t>
  </si>
  <si>
    <t>Acquisition(+)/disposals(-) of tangible assets</t>
  </si>
  <si>
    <t>E.pin relaunch in Tanzania in Q1. Problems with the platform have been addressed</t>
  </si>
  <si>
    <t>Sierra Leone…5 operators too many. New management. Rolling out the Tigo model (brand/distribution etc) at the moment</t>
  </si>
  <si>
    <t>IPO</t>
  </si>
  <si>
    <t>17.6% equity</t>
  </si>
  <si>
    <t>Debt 07E</t>
  </si>
  <si>
    <t>EV, 07</t>
  </si>
  <si>
    <t>Per share, $</t>
  </si>
  <si>
    <t>Per share, Peso</t>
  </si>
  <si>
    <t>FX</t>
  </si>
  <si>
    <t>From AMX model</t>
  </si>
  <si>
    <t xml:space="preserve">Q1 08 </t>
  </si>
  <si>
    <t xml:space="preserve">Q2 08 </t>
  </si>
  <si>
    <t>Remittances, $m</t>
  </si>
  <si>
    <t xml:space="preserve">Remittances as % </t>
  </si>
  <si>
    <t>Exports, 07</t>
  </si>
  <si>
    <t>GDP, 07</t>
  </si>
  <si>
    <t>Growth</t>
  </si>
  <si>
    <t>-ve?</t>
  </si>
  <si>
    <t>Management fees</t>
  </si>
  <si>
    <t>Most companies pay fees. Sometimes not tax efficient. Sometimes a divi</t>
  </si>
  <si>
    <t>based on revenues. Need to be justified</t>
  </si>
  <si>
    <t>amount not disclosed</t>
  </si>
  <si>
    <t>Pay commission in parts of Latam</t>
  </si>
  <si>
    <t>Absolute capex spend higher in 07, lower as % sales</t>
  </si>
  <si>
    <t>Depreciation high due to higher capex + Colombia</t>
  </si>
  <si>
    <t>2007 looking to refinance the Colombia debt</t>
  </si>
  <si>
    <t>Effective int rate stable until H1 06. Effective rate increased due to removal of 8% Tele2 notes. Addition of Colombia debt has a rate of 11%</t>
  </si>
  <si>
    <t>Underlying ARPU</t>
  </si>
  <si>
    <t xml:space="preserve">EBITDA </t>
  </si>
  <si>
    <t xml:space="preserve">Capex </t>
  </si>
  <si>
    <t>Base case</t>
  </si>
  <si>
    <t>$ service revenue</t>
  </si>
  <si>
    <t>Local FX service revs</t>
  </si>
  <si>
    <t xml:space="preserve">Per min rounding…intro now per/sec. Price/sec is higher. Perception </t>
  </si>
  <si>
    <t>In Chad, 80% of top-ups on Tigo</t>
  </si>
  <si>
    <t>Only e-pin in the Congo?</t>
  </si>
  <si>
    <t>E-pin</t>
  </si>
  <si>
    <t>Step up in ARPU</t>
  </si>
  <si>
    <t>About to become no1 in Guatemala</t>
  </si>
  <si>
    <t xml:space="preserve">BCC liquidation is signed. Needed to do by law </t>
  </si>
  <si>
    <t>Q4 08e</t>
  </si>
  <si>
    <t>2010e</t>
  </si>
  <si>
    <t>2011e</t>
  </si>
  <si>
    <t>2012e</t>
  </si>
  <si>
    <t>Latin America</t>
  </si>
  <si>
    <t>Group Millicom</t>
  </si>
  <si>
    <t>Q3 10</t>
  </si>
  <si>
    <t>Q4 10</t>
  </si>
  <si>
    <t>Costs of Paktel and launches in DRC</t>
  </si>
  <si>
    <t>China</t>
  </si>
  <si>
    <t>Third operator, TEF/America Movil…2.3m subs, 9%of mkt</t>
  </si>
  <si>
    <t>Guatemala FX</t>
  </si>
  <si>
    <t>As % of revs…low-teens in the next year or two</t>
  </si>
  <si>
    <t>30% EBITDA growth in 2007 possible</t>
  </si>
  <si>
    <t>05-08 CAGR</t>
  </si>
  <si>
    <t>Total revenue market</t>
  </si>
  <si>
    <t>more stable financing…technology upgrades with a "move to gsm"</t>
  </si>
  <si>
    <t>all GSM networks now?</t>
  </si>
  <si>
    <t>launch in pakistan of GSM services (Paktel) pulled down ebitda</t>
  </si>
  <si>
    <t>where going, if not pakistan?</t>
  </si>
  <si>
    <t>SE Asia</t>
  </si>
  <si>
    <t>SE Asia (Cambodia, Laos and historically Vietnam)</t>
  </si>
  <si>
    <t>Problems with the Pakistan GSM launch due to dispute with PTA</t>
  </si>
  <si>
    <t>Falling subs end-08</t>
  </si>
  <si>
    <t>Local partner, Mark Hanna CFO of Royal Group holds 38%</t>
  </si>
  <si>
    <t>Raising cell sites from 1500 to 2000</t>
  </si>
  <si>
    <t>targeting 2.4m subs YE</t>
  </si>
  <si>
    <t xml:space="preserve">using Huawei </t>
  </si>
  <si>
    <t>969 cell sites Mar 09</t>
  </si>
  <si>
    <t>Cadcomms (QB/Cube)</t>
  </si>
  <si>
    <t>Total revs</t>
  </si>
  <si>
    <t>% total</t>
  </si>
  <si>
    <t>Less: Other</t>
  </si>
  <si>
    <t>Less: Share buyback</t>
  </si>
  <si>
    <t>Q1 09</t>
  </si>
  <si>
    <t>Less: Disposals/acquis</t>
  </si>
  <si>
    <t>Q1 06</t>
  </si>
  <si>
    <t>Cambodia (SE Asia), Guatemala, Honduras (C America) and Mauritius prop consolidated</t>
  </si>
  <si>
    <t>Q2 06</t>
  </si>
  <si>
    <t>ARPU, COP</t>
  </si>
  <si>
    <t>COP/$</t>
  </si>
  <si>
    <t>total</t>
  </si>
  <si>
    <t>ARPU, yoy growth</t>
  </si>
  <si>
    <t>Post-Q2 06</t>
  </si>
  <si>
    <t>Dialog</t>
  </si>
  <si>
    <t>Mobitel</t>
  </si>
  <si>
    <t>Hutch Lanka (HTIL)</t>
  </si>
  <si>
    <t>Mobitel (Sri Lanka Tel)</t>
  </si>
  <si>
    <t>Pops coverage of 70%</t>
  </si>
  <si>
    <t>81% pops coverage</t>
  </si>
  <si>
    <t>Amnet/Navega</t>
  </si>
  <si>
    <t>Total market subs</t>
  </si>
  <si>
    <t>Millicom subs (100%)</t>
  </si>
  <si>
    <t>Guatemala *</t>
  </si>
  <si>
    <t>Honduras *</t>
  </si>
  <si>
    <t>Mauritius *</t>
  </si>
  <si>
    <t>ARPU, local FX</t>
  </si>
  <si>
    <t>ARPU change, local FX</t>
  </si>
  <si>
    <t xml:space="preserve">Capex run-rate in the region of 2005A Pakistan ($100m) </t>
  </si>
  <si>
    <t>Network is very strong but coverage is the issue</t>
  </si>
  <si>
    <t>Capex had been running at c.$100m per annum</t>
  </si>
  <si>
    <t>Launch now Q1 07</t>
  </si>
  <si>
    <t>2008e</t>
  </si>
  <si>
    <t>2009e</t>
  </si>
  <si>
    <t>$ m</t>
  </si>
  <si>
    <t>Tax credit</t>
  </si>
  <si>
    <t>Reported EPS</t>
  </si>
  <si>
    <t>Clean EPS</t>
  </si>
  <si>
    <t>Breakdown, local</t>
  </si>
  <si>
    <t>Currencies vs $</t>
  </si>
  <si>
    <t>New CA revenue, $m</t>
  </si>
  <si>
    <t>Old CA revenue, $m</t>
  </si>
  <si>
    <t>downgrade</t>
  </si>
  <si>
    <t xml:space="preserve">y/y growth </t>
  </si>
  <si>
    <t>CA, 5% deval</t>
  </si>
  <si>
    <t>CA, no deval</t>
  </si>
  <si>
    <t xml:space="preserve">% upside </t>
  </si>
  <si>
    <t>Group forecasts</t>
  </si>
  <si>
    <t>Who's winning in sub Saharan Africa</t>
  </si>
  <si>
    <t>POPs</t>
  </si>
  <si>
    <t>Guinea Concakry</t>
  </si>
  <si>
    <t>Local FX</t>
  </si>
  <si>
    <t>Zantel (Etisalat)</t>
  </si>
  <si>
    <t>Supercell (MTN Rwanda?)</t>
  </si>
  <si>
    <t>Vodafone Ghana</t>
  </si>
  <si>
    <t>Total market</t>
  </si>
  <si>
    <t>Warid</t>
  </si>
  <si>
    <t>African margins</t>
  </si>
  <si>
    <t>In some countries seen a market share gain so should be supportive</t>
  </si>
  <si>
    <t>Lever op companies more than today</t>
  </si>
  <si>
    <t>Mobile businesses</t>
  </si>
  <si>
    <t>Population, 000</t>
  </si>
  <si>
    <t>Operator subs (reported, 000)</t>
  </si>
  <si>
    <t>Mkt Share</t>
  </si>
  <si>
    <t>Service revenue (ex MVNO)</t>
  </si>
  <si>
    <t>MOU (incoming and outgoing)</t>
  </si>
  <si>
    <t>Nucleo/Hola Para.</t>
  </si>
  <si>
    <t>Asia</t>
  </si>
  <si>
    <t>How much spent on Pakcom licence to date - one payment made in 2005? How much spent on Paktel? When are payments made?</t>
  </si>
  <si>
    <t>$500m of cash on balance sheet…using for acquisitions to gear up</t>
  </si>
  <si>
    <t>Tigo (MIC)</t>
  </si>
  <si>
    <t>Areeba (MTN)</t>
  </si>
  <si>
    <t>Celtel (MTC)</t>
  </si>
  <si>
    <t>Sonatel (Govt 58%/ORA 42%)</t>
  </si>
  <si>
    <t>Comium</t>
  </si>
  <si>
    <t>% pen</t>
  </si>
  <si>
    <t xml:space="preserve">Colombia quarterly analysis </t>
  </si>
  <si>
    <t>reg market total</t>
  </si>
  <si>
    <t>Interest income and expense</t>
  </si>
  <si>
    <t>Financial income</t>
  </si>
  <si>
    <t>Interest income</t>
  </si>
  <si>
    <t>Telephony as % cable</t>
  </si>
  <si>
    <t>Broadband as % cable</t>
  </si>
  <si>
    <t>per RGU</t>
  </si>
  <si>
    <t>Total capex</t>
  </si>
  <si>
    <t>Net RGU adds</t>
  </si>
  <si>
    <t xml:space="preserve">ARPU @ 8% </t>
  </si>
  <si>
    <t>ARPU higher on GSM due to greater availability of VAS</t>
  </si>
  <si>
    <t>Increase</t>
  </si>
  <si>
    <t>ARPU, net of service provider discounts ex MVNO</t>
  </si>
  <si>
    <t>Brand is more visible in Latam (CA/SA) than Africa</t>
  </si>
  <si>
    <t>Improving management of distribution…digital mapping of POS</t>
  </si>
  <si>
    <t>VAS needs to catch up</t>
  </si>
  <si>
    <t>Ghana (strong), Senegal, Tanzania are the key drivers of net adds for 6m. DRC perhaps after</t>
  </si>
  <si>
    <t>Senegal…?</t>
  </si>
  <si>
    <t>Pricing</t>
  </si>
  <si>
    <t>In Senegal (or Tanzania) end-user pricing much higher</t>
  </si>
  <si>
    <t>Amnet</t>
  </si>
  <si>
    <t>Service revs</t>
  </si>
  <si>
    <t>Cable</t>
  </si>
  <si>
    <t>Tel</t>
  </si>
  <si>
    <t>BB</t>
  </si>
  <si>
    <t>Broadband internet</t>
  </si>
  <si>
    <t>Cable as % of homes passed</t>
  </si>
  <si>
    <t>Disappointing margin. Break-even target for Paktel. End-06 originally but not now</t>
  </si>
  <si>
    <t>Zantel (51% Etisalat)</t>
  </si>
  <si>
    <t>Bolivia GSM launch in 2005 expected to bring margin towards the group average</t>
  </si>
  <si>
    <t>SEK/$</t>
  </si>
  <si>
    <t>subs, 00</t>
  </si>
  <si>
    <t>subs, 07*</t>
  </si>
  <si>
    <t>07 int pen</t>
  </si>
  <si>
    <t>07 BB</t>
  </si>
  <si>
    <t>pop</t>
  </si>
  <si>
    <t>Fixed and mobile data</t>
  </si>
  <si>
    <t>Fixed ***</t>
  </si>
  <si>
    <t>Fixed</t>
  </si>
  <si>
    <t>Fixed voice</t>
  </si>
  <si>
    <t>pen, HH</t>
  </si>
  <si>
    <t>pen, POP</t>
  </si>
  <si>
    <t>lines, 01</t>
  </si>
  <si>
    <t>HH ****</t>
  </si>
  <si>
    <t>lines, 07</t>
  </si>
  <si>
    <t>**** No. of households is largely estimated. c.10% of countries from 2001 ITU survey provided HH data. Where nos were not provided, ests are interpolated according to income</t>
  </si>
  <si>
    <t>Implied av</t>
  </si>
  <si>
    <t>HH size</t>
  </si>
  <si>
    <t>BB subs</t>
  </si>
  <si>
    <t>07 fixed **</t>
  </si>
  <si>
    <t>Split at q3 08</t>
  </si>
  <si>
    <t>3/3</t>
  </si>
  <si>
    <t>Telkom SA</t>
  </si>
  <si>
    <t>DTAC</t>
  </si>
  <si>
    <t>subs</t>
  </si>
  <si>
    <t>Using 3G in Mauritius and Cambodia</t>
  </si>
  <si>
    <t>In Latam, can do it over existing spectrum in certain mkts</t>
  </si>
  <si>
    <t>Customers happy with the 2.5G offerings</t>
  </si>
  <si>
    <t>Mins up 25%</t>
  </si>
  <si>
    <t>Ran campaigns to promote per sec billing</t>
  </si>
  <si>
    <t>Network comparisons</t>
  </si>
  <si>
    <t>Guatemala, $</t>
  </si>
  <si>
    <t>quetzals</t>
  </si>
  <si>
    <t>$ rate</t>
  </si>
  <si>
    <t xml:space="preserve">Slightly more optimistic on tax rate. </t>
  </si>
  <si>
    <t>Adjusted Market Cap</t>
  </si>
  <si>
    <t>Adjusted EPS</t>
  </si>
  <si>
    <t>arpu</t>
  </si>
  <si>
    <t>revs</t>
  </si>
  <si>
    <t>EV/Revenues</t>
  </si>
  <si>
    <t>EV/EBITDA</t>
  </si>
  <si>
    <t>EV/OpFCF</t>
  </si>
  <si>
    <t>EV/FCF</t>
  </si>
  <si>
    <t>P/EFCF</t>
  </si>
  <si>
    <t>Equity FCF yield</t>
  </si>
  <si>
    <t>Dividend yield</t>
  </si>
  <si>
    <t>P/E adj</t>
  </si>
  <si>
    <t>Millicom</t>
  </si>
  <si>
    <t>Buy-out candidate</t>
  </si>
  <si>
    <t>Vodafone interested?</t>
  </si>
  <si>
    <t>AMX EBITDA</t>
  </si>
  <si>
    <t>MIC revs</t>
  </si>
  <si>
    <t>MIC EBITDA</t>
  </si>
  <si>
    <t>ARPU, COPS</t>
  </si>
  <si>
    <t>COPS</t>
  </si>
  <si>
    <t>Yield/min, $ cents</t>
  </si>
  <si>
    <t>Subs, 000's</t>
  </si>
  <si>
    <t>well received by mkt, why 2 ops in the first place?</t>
  </si>
  <si>
    <t>EM exposure</t>
  </si>
  <si>
    <t>Country/region</t>
  </si>
  <si>
    <t>10e EBITDA</t>
  </si>
  <si>
    <t>10e Revs</t>
  </si>
  <si>
    <t>Hungary</t>
  </si>
  <si>
    <t>Serbia</t>
  </si>
  <si>
    <t>CEE</t>
  </si>
  <si>
    <t>Other Eurasia</t>
  </si>
  <si>
    <t>Eurasia</t>
  </si>
  <si>
    <t>Baltics</t>
  </si>
  <si>
    <t>CA cable</t>
  </si>
  <si>
    <t xml:space="preserve">Clean company…exchangeable off in August/PIK went last year/remaining debt - some 10% stuff, small convert/cash position for acquisitions will gear up balance sheet </t>
  </si>
  <si>
    <t>Break-down of value…increasingly skewed towards Latam</t>
  </si>
  <si>
    <t>Pakistan seems more clear, Vietnam now behind it (with upside option)…bid to be expected now</t>
  </si>
  <si>
    <t>Note:</t>
  </si>
  <si>
    <t>Growth coming from Guat/El Sal/Hond</t>
  </si>
  <si>
    <t>Remaining Pakistan business struggling</t>
  </si>
  <si>
    <t>In 2008, may be able to fully offset corporate costs. Group tax could be below 30%</t>
  </si>
  <si>
    <t>Ola - consolidated 2 October</t>
  </si>
  <si>
    <t>DR Congo penetration</t>
  </si>
  <si>
    <t>Potential bidders…? Splitting up company</t>
  </si>
  <si>
    <t>share</t>
  </si>
  <si>
    <t>New TEF</t>
  </si>
  <si>
    <t>MTN</t>
  </si>
  <si>
    <t>Orascom</t>
  </si>
  <si>
    <t>Telenor</t>
  </si>
  <si>
    <t>Singtel</t>
  </si>
  <si>
    <t>HTIL</t>
  </si>
  <si>
    <t>China Mobile</t>
  </si>
  <si>
    <t>MTC</t>
  </si>
  <si>
    <t>Ivory Coast</t>
  </si>
  <si>
    <t>Nigeria</t>
  </si>
  <si>
    <t>Cameroon</t>
  </si>
  <si>
    <t>Ivory Coast, 47% share</t>
  </si>
  <si>
    <t>Botswana</t>
  </si>
  <si>
    <t>Botswana, 64%</t>
  </si>
  <si>
    <t>Cameroon, 54%</t>
  </si>
  <si>
    <t>Nigeria, 47%</t>
  </si>
  <si>
    <t>South Africa, 35%</t>
  </si>
  <si>
    <t>Iran, greenfield</t>
  </si>
  <si>
    <t>Uganda, 63%</t>
  </si>
  <si>
    <t>Greater % age of calls are on-net…no interconnect leads to higher gross margin</t>
  </si>
  <si>
    <t>Higher % of revs for sales/marketing costs</t>
  </si>
  <si>
    <t>Seriously thinking about buy-backs</t>
  </si>
  <si>
    <t>Think post-tax interest costs can be lowered by borrowing at the local level. Will pay 10% notes when redeemable next year</t>
  </si>
  <si>
    <t>Parental guarantee? Borrowed out of existing Latam business without guarantee</t>
  </si>
  <si>
    <t>Democratic Republic of the Congo</t>
  </si>
  <si>
    <t>Madagascar</t>
  </si>
  <si>
    <t>Nigeria - Vmnbile</t>
  </si>
  <si>
    <t>Sudantel</t>
  </si>
  <si>
    <t>Africa inc Sudantel</t>
  </si>
  <si>
    <t>Capex, $</t>
  </si>
  <si>
    <t>OpFCF ex-overlap</t>
  </si>
  <si>
    <t>10e EBITDA multiple (x)</t>
  </si>
  <si>
    <t>Millicom current net debt</t>
  </si>
  <si>
    <t>interest rate</t>
  </si>
  <si>
    <t>New net debt</t>
  </si>
  <si>
    <t>Cost of deal, all cash</t>
  </si>
  <si>
    <t>New Co.</t>
  </si>
  <si>
    <t>New EV</t>
  </si>
  <si>
    <t>accetion</t>
  </si>
  <si>
    <t>09-15e</t>
  </si>
  <si>
    <t>Senegal - register sub. Will dampen growth in Q3</t>
  </si>
  <si>
    <t>Expected continued write-downs in Africa</t>
  </si>
  <si>
    <t>VAS in supporting ARPU?</t>
  </si>
  <si>
    <t>Room to increase margins in Africa, Asia</t>
  </si>
  <si>
    <t>Talk through the benefit of migrating to GSM</t>
  </si>
  <si>
    <t>Are they low for a reason? Why will GSM help margin significantly?</t>
  </si>
  <si>
    <t>How do we model African penetration…?</t>
  </si>
  <si>
    <t>Capex really increasing to $400m in 2006?</t>
  </si>
  <si>
    <t>EBITDA 2013</t>
  </si>
  <si>
    <t>EBITDA 2014</t>
  </si>
  <si>
    <t>OpFCF 2013</t>
  </si>
  <si>
    <t>OpFCF 2014</t>
  </si>
  <si>
    <t>Network probs in South, SIM issues in Karachi. Have received extra spectrum</t>
  </si>
  <si>
    <t>Some time in 2007</t>
  </si>
  <si>
    <t>$2m in H1 2006 losses, &lt;$10m in H2</t>
  </si>
  <si>
    <t>Tanzania, Chad building margins</t>
  </si>
  <si>
    <t>Margins bottomed out? Yes, given it has been a very strong subs quarter</t>
  </si>
  <si>
    <t>Margin pressure from all mkts</t>
  </si>
  <si>
    <t>End of Q3 slowed a little due to Ramadan</t>
  </si>
  <si>
    <t>08 tax</t>
  </si>
  <si>
    <t>09 tax</t>
  </si>
  <si>
    <t>Rural rollout end-04 has driven a lot of success</t>
  </si>
  <si>
    <t>Segment note</t>
  </si>
  <si>
    <t>264 in africa, 177 in ca, 105 in asia, 71 in sa</t>
  </si>
  <si>
    <t>Of total capex of $616m in 2006</t>
  </si>
  <si>
    <t>Margins driven by on-net traffic at 100% gross margin</t>
  </si>
  <si>
    <t>Check mkt shares</t>
  </si>
  <si>
    <t>Current EBITDA levels sustainable in CA</t>
  </si>
  <si>
    <t>CA margins</t>
  </si>
  <si>
    <t>all subs over night get per sec billing</t>
  </si>
  <si>
    <t>Bolivia migration over?</t>
  </si>
  <si>
    <t>Implied market subs</t>
  </si>
  <si>
    <t>Implied pen</t>
  </si>
  <si>
    <t>Colombia, they will be subsidising handsets</t>
  </si>
  <si>
    <t>Radio and core network is all MIC. Lease fibre sometimes</t>
  </si>
  <si>
    <t>4th provider in Colombia</t>
  </si>
  <si>
    <t>Optimal leverage?</t>
  </si>
  <si>
    <t>Would not go to 2.0x debt/ebitda. Would like all debt at op cos</t>
  </si>
  <si>
    <t>$76m of equipment sales in 2006</t>
  </si>
  <si>
    <t>2 ops have 90% of the mkt. 2 smaller ones inc MIC</t>
  </si>
  <si>
    <t>Start very encouraging</t>
  </si>
  <si>
    <t>Competition in DRC?</t>
  </si>
  <si>
    <t>200 base stations only today</t>
  </si>
  <si>
    <t>Should grow faster this year than last</t>
  </si>
  <si>
    <t>Attributable subs</t>
  </si>
  <si>
    <t>CA-ex-Col attrib</t>
  </si>
  <si>
    <t>shut down pakcom, focus investment in paktel</t>
  </si>
  <si>
    <t>launch in chad, congo and bolivia</t>
  </si>
  <si>
    <t>TEF revs</t>
  </si>
  <si>
    <t>EUR/COL</t>
  </si>
  <si>
    <t>$/COL</t>
  </si>
  <si>
    <t>EUR</t>
  </si>
  <si>
    <t>AMX revs</t>
  </si>
  <si>
    <t>Zantel (Etisalat 65%)</t>
  </si>
  <si>
    <t>Others</t>
  </si>
  <si>
    <t>Rwanda Tel</t>
  </si>
  <si>
    <t>Rights issue (8m shares) and issued $175m 4% convert due 2010</t>
  </si>
  <si>
    <t>$550m 10% senior notes</t>
  </si>
  <si>
    <t>Debt</t>
  </si>
  <si>
    <t>Interest</t>
  </si>
  <si>
    <t>plus includes $15m from 2004 to 2006</t>
  </si>
  <si>
    <t>Other/associates</t>
  </si>
  <si>
    <t>Long-term liabilities</t>
  </si>
  <si>
    <t>Q3 06 results call</t>
  </si>
  <si>
    <t>9m Sept</t>
  </si>
  <si>
    <t>single-digit</t>
  </si>
  <si>
    <t>dilutive</t>
  </si>
  <si>
    <t>operate at average MIC margin</t>
  </si>
  <si>
    <t>consol</t>
  </si>
  <si>
    <t>Sri Lanka 50% EBITDA margin</t>
  </si>
  <si>
    <t>Expect to see first results of investment in Q4 this year</t>
  </si>
  <si>
    <t>Greater number of calls are now on-net</t>
  </si>
  <si>
    <t>VAS services are also helping</t>
  </si>
  <si>
    <t>Higher sales &amp; marketing in Africa and Asia with Tigo</t>
  </si>
  <si>
    <t>Trade agreement between EU and Vietnam to extend operations on similar terms to those previously enjoyed</t>
  </si>
  <si>
    <t>Data revs (RHS)</t>
  </si>
  <si>
    <t>Latam average</t>
  </si>
  <si>
    <t>Asia average</t>
  </si>
  <si>
    <t>Asia ex-India average</t>
  </si>
  <si>
    <t>EMEA average</t>
  </si>
  <si>
    <t>y/y service revs</t>
  </si>
  <si>
    <t>Market share data</t>
  </si>
  <si>
    <t>Central America market share</t>
  </si>
  <si>
    <t>South America market share</t>
  </si>
  <si>
    <t>Africa market share</t>
  </si>
  <si>
    <t>$131m at 6 months was Colombia GAAP (costs/revs netted)</t>
  </si>
  <si>
    <t>$230m is therefore the run rate (9m)</t>
  </si>
  <si>
    <t>60 days inactivity</t>
  </si>
  <si>
    <t>I get a 31% effective tax rate. Are the various financial items in the P&amp;L tax deductable. Shall we take 40% as effective rate in the future?</t>
  </si>
  <si>
    <t>Cash tax expected to be materially different in the future?</t>
  </si>
  <si>
    <t>When was the launch?</t>
  </si>
  <si>
    <t>Why is share of net adds low, losing share?</t>
  </si>
  <si>
    <t>Setting new target for 2008?</t>
  </si>
  <si>
    <t>Still the target?</t>
  </si>
  <si>
    <t>Senegal (Regulator data from March 08, showing fixed lines falling), Colombia (Millicom presentation, showing falling trends from 2003-2007)</t>
  </si>
  <si>
    <t>Paid = (475/(4*19)) = 6.3x. Govt pissed off?</t>
  </si>
  <si>
    <t>07 remittance</t>
  </si>
  <si>
    <t xml:space="preserve">growth/pop, </t>
  </si>
  <si>
    <t>Contract ARPU up yoy (+5% in Q3 05), also pre-pay (+20% in Q3 05)</t>
  </si>
  <si>
    <r>
      <t xml:space="preserve">Yes in </t>
    </r>
    <r>
      <rPr>
        <b/>
        <sz val="10"/>
        <color indexed="12"/>
        <rFont val="Trebuchet MS"/>
        <family val="2"/>
      </rPr>
      <t>Guatemala</t>
    </r>
    <r>
      <rPr>
        <sz val="10"/>
        <color indexed="12"/>
        <rFont val="Trebuchet MS"/>
        <family val="2"/>
      </rPr>
      <t>, taking pre-paid growth and contract share</t>
    </r>
  </si>
  <si>
    <r>
      <t xml:space="preserve">In </t>
    </r>
    <r>
      <rPr>
        <b/>
        <sz val="10"/>
        <color indexed="12"/>
        <rFont val="Trebuchet MS"/>
        <family val="2"/>
      </rPr>
      <t>El Salvador</t>
    </r>
    <r>
      <rPr>
        <sz val="10"/>
        <color indexed="12"/>
        <rFont val="Trebuchet MS"/>
        <family val="2"/>
      </rPr>
      <t xml:space="preserve"> ARPU's have been flatish on pre-paid and post-paid</t>
    </r>
  </si>
  <si>
    <t>Post-paid mkt "almost saturated"</t>
  </si>
  <si>
    <t>Revenues</t>
  </si>
  <si>
    <t>US$ m</t>
  </si>
  <si>
    <t>JV with VMS expired and not renewed in 2005. Rev share agreement, taking 50% of revenues of operation. CIV contracted to spend $209.5m, $181.9m spent by Dec 2004</t>
  </si>
  <si>
    <t>NPV difference</t>
  </si>
  <si>
    <t>ARPU, $m</t>
  </si>
  <si>
    <t>Group ARPU</t>
  </si>
  <si>
    <t>as % sales</t>
  </si>
  <si>
    <t>Reported</t>
  </si>
  <si>
    <t>Clean EBITDA</t>
  </si>
  <si>
    <t>% margin</t>
  </si>
  <si>
    <t>Less: Change in WC</t>
  </si>
  <si>
    <t>Less: Provision utilisation</t>
  </si>
  <si>
    <t xml:space="preserve">Margin ahead of expectation. Same level for 2007? Yes, although not increasing. Distribution needs to be put in, branding continued. </t>
  </si>
  <si>
    <t>Colombia - subs definition different to Am Movil. Nos not consistent</t>
  </si>
  <si>
    <t>Expansion into mkts close to where they are today, where leverage Tigo brand. India and Bangladesh a no</t>
  </si>
  <si>
    <t xml:space="preserve">today's </t>
  </si>
  <si>
    <t>% of</t>
  </si>
  <si>
    <t>No of ops</t>
  </si>
  <si>
    <t>Across Latam (starting in 04) there is still a tail with low ARPUs. Churn hardly impacts</t>
  </si>
  <si>
    <t>TDMA networks will be turned off next year</t>
  </si>
  <si>
    <t>Which markets will be affected. How many TDMA customers remaining</t>
  </si>
  <si>
    <t>Increasing points of distribution</t>
  </si>
  <si>
    <t>Focus on VAS</t>
  </si>
  <si>
    <t>Weaker margins in Africa?</t>
  </si>
  <si>
    <t>Higher stock compensation. Strategic review of $6m + additional resources. Corp costs should stay at similar level to 06</t>
  </si>
  <si>
    <t>Q4 capex - Colombia, Tigo launch in DRC</t>
  </si>
  <si>
    <t>tigo share of net adds slowed in q4, according to reg. 12% vs 28% in q3</t>
  </si>
  <si>
    <t>Old EBITDA</t>
  </si>
  <si>
    <t>D&amp;A</t>
  </si>
  <si>
    <t>Net interest charge</t>
  </si>
  <si>
    <t>tax</t>
  </si>
  <si>
    <t>Mobifone/VNS prepared for privatisation</t>
  </si>
  <si>
    <t>"Asia is quite like Africa"</t>
  </si>
  <si>
    <t>Depreciation/amortisation</t>
  </si>
  <si>
    <t>Payback periods</t>
  </si>
  <si>
    <t>Latam  - moreorless there with margins.</t>
  </si>
  <si>
    <t>overall revs slowing from +1% to -2% in q4</t>
  </si>
  <si>
    <t>yield/min deteriorating</t>
  </si>
  <si>
    <t xml:space="preserve">however, arpu in local turned -2% (from +3% in q3) . </t>
  </si>
  <si>
    <t>should be minimally impacted from IC ruling (AMX has large mkt share, Tigo is a net payer)</t>
  </si>
  <si>
    <t>Should be able to attract from existing operators</t>
  </si>
  <si>
    <t>Pen just below 60%</t>
  </si>
  <si>
    <t>Debt markets</t>
  </si>
  <si>
    <t>A number of one-offs</t>
  </si>
  <si>
    <t>Q2 11 call</t>
  </si>
  <si>
    <t>Regulation and tax</t>
  </si>
  <si>
    <t>how will pricing change in paraguay</t>
  </si>
  <si>
    <t>drc on-net offers are already v low</t>
  </si>
  <si>
    <t>overall reg environment getting worse</t>
  </si>
  <si>
    <t>Tower deals</t>
  </si>
  <si>
    <t>Total NPV of $600m</t>
  </si>
  <si>
    <t>How does this break down :</t>
  </si>
  <si>
    <t>Data growth</t>
  </si>
  <si>
    <t xml:space="preserve">Usage </t>
  </si>
  <si>
    <t xml:space="preserve">Any changes </t>
  </si>
  <si>
    <t>How much did subsidies affect the margin in Q2?</t>
  </si>
  <si>
    <t>3G subs</t>
  </si>
  <si>
    <t>2G subs</t>
  </si>
  <si>
    <t>Losses of $2.5bn, of which $1.6bn in Luxembourg</t>
  </si>
  <si>
    <t>Average cost of debt..6.9% pre-tax</t>
  </si>
  <si>
    <t>$1068</t>
  </si>
  <si>
    <t>Sites</t>
  </si>
  <si>
    <t>Late 2010</t>
  </si>
  <si>
    <t>Rate of c.30% going forward?</t>
  </si>
  <si>
    <t>This is ahead of the $500m talked about at the CMD in Tanzania?</t>
  </si>
  <si>
    <t>Total data users</t>
  </si>
  <si>
    <t>Any changes in any markets? What about AMX and Digicel?</t>
  </si>
  <si>
    <t>Focus on smartphones or dongles?</t>
  </si>
  <si>
    <t>Handsets</t>
  </si>
  <si>
    <t>Dongles</t>
  </si>
  <si>
    <t>Implied average SIMs</t>
  </si>
  <si>
    <t>as % total SIMs</t>
  </si>
  <si>
    <t>Majority of dongles in Latam on 3G?</t>
  </si>
  <si>
    <t>Check definition of data user, includes SMS user? (slide 14 of Q2 pressie)</t>
  </si>
  <si>
    <t>Dongles represent about 5% of SIMs but growth is slow. Entel Chile at c.10%. Where could the no go?</t>
  </si>
  <si>
    <t>In Q1 no of handset users fell, no not updated for Q2..what is the trend here, why not much growth?</t>
  </si>
  <si>
    <t>Data development in Colombia but implicitly no real share gains on voice. Why no material improvement?</t>
  </si>
  <si>
    <t>Buy back</t>
  </si>
  <si>
    <t>$171m in Q2. Nothing in Q1</t>
  </si>
  <si>
    <t>Will reach $800m by YE</t>
  </si>
  <si>
    <t xml:space="preserve"> link to mkt share changes</t>
  </si>
  <si>
    <t>Rwanda, Chad, Guat, Col, Senegal, El Sal, Para all up</t>
  </si>
  <si>
    <t>Down: Ghana, Hond, Tan, Bol, Maur</t>
  </si>
  <si>
    <t>On-net prices at the CMD, what's the change here?</t>
  </si>
  <si>
    <t>CA - why international inbound calls falling in CA in Q2?</t>
  </si>
  <si>
    <t>Africa - how much as your own pricing come down over the last 12 months</t>
  </si>
  <si>
    <t xml:space="preserve"> ' - how much of CA revs are inbound international?</t>
  </si>
  <si>
    <t>Will the tower deals in Colombia change things here?</t>
  </si>
  <si>
    <t>New total towers accessed vs old?</t>
  </si>
  <si>
    <t xml:space="preserve">2126 towers contributed </t>
  </si>
  <si>
    <t>plus another 200 towers from American Tower?</t>
  </si>
  <si>
    <t>1.4x loaded today, target here?</t>
  </si>
  <si>
    <t>What are the total stakes in the tower cos and how many towers do they have?</t>
  </si>
  <si>
    <t>Where do the 7000 shared towers come from?</t>
  </si>
  <si>
    <t>slide 28 of pressie</t>
  </si>
  <si>
    <t>What's the swap out exactly?</t>
  </si>
  <si>
    <t>African margins could be at today's level [possibly higher….not sure] &gt;40% next year a poss</t>
  </si>
  <si>
    <t>Paraguay - per second billing of 33c</t>
  </si>
  <si>
    <t>Pro-forma EBITDA</t>
  </si>
  <si>
    <t>Honduran EBITDA</t>
  </si>
  <si>
    <t>Incremental Honduran revs</t>
  </si>
  <si>
    <t>Incremental Honduran EBITDA</t>
  </si>
  <si>
    <t>Old revs</t>
  </si>
  <si>
    <t>AMX MOU</t>
  </si>
  <si>
    <t>AMX ARPU</t>
  </si>
  <si>
    <t>yield per minute</t>
  </si>
  <si>
    <t>Service revenue</t>
  </si>
  <si>
    <t>Senegal - demand for $200m from the government has been reiterated. What do you make of this?</t>
  </si>
  <si>
    <t>Any update on Zain's assets. Gone very quiet</t>
  </si>
  <si>
    <t>Aside from Costa Rica, what else is on the cards</t>
  </si>
  <si>
    <t>Revenues in COP</t>
  </si>
  <si>
    <t xml:space="preserve">% change </t>
  </si>
  <si>
    <t>Tanzania - how long can the growth continue. Sense of the margins in the business. Any competitive response from Vodacom/Zain?</t>
  </si>
  <si>
    <t>Total revenues</t>
  </si>
  <si>
    <t>Revenues, $m</t>
  </si>
  <si>
    <t>Other</t>
  </si>
  <si>
    <t>EBITDA, $m</t>
  </si>
  <si>
    <t>EBITDA margin</t>
  </si>
  <si>
    <t>Total EBITDA margin</t>
  </si>
  <si>
    <t>YoY</t>
  </si>
  <si>
    <t>Capex</t>
  </si>
  <si>
    <t>What happened to the licence…was this therefore a saving of $291m, NPV of $218m</t>
  </si>
  <si>
    <t>Financials/targets</t>
  </si>
  <si>
    <t>Pakistan: over next 1-2 years will spend $250m</t>
  </si>
  <si>
    <t>Congo: over next 1-2 years will spend $100m</t>
  </si>
  <si>
    <t>Mkt position</t>
  </si>
  <si>
    <t>Congo</t>
  </si>
  <si>
    <t>OpFCF</t>
  </si>
  <si>
    <t>1/4</t>
  </si>
  <si>
    <t>2/4</t>
  </si>
  <si>
    <t>1/2</t>
  </si>
  <si>
    <t>2/3</t>
  </si>
  <si>
    <t>2/2</t>
  </si>
  <si>
    <t>3/4</t>
  </si>
  <si>
    <t>Tax liability</t>
  </si>
  <si>
    <t>PTA didn't help. Activation tax also an issue, competition also an issue</t>
  </si>
  <si>
    <t>Tigo costs</t>
  </si>
  <si>
    <t>Africa ex-Ghana</t>
  </si>
  <si>
    <t>Reg pressures</t>
  </si>
  <si>
    <t>Announcement</t>
  </si>
  <si>
    <t>Timing</t>
  </si>
  <si>
    <t>Compares to ex-VAT on-net effective yield of US$0.03/min</t>
  </si>
  <si>
    <t>Effective as of April 2011</t>
  </si>
  <si>
    <t>Telco tax to fund security measures (unspecified amount)</t>
  </si>
  <si>
    <t xml:space="preserve">Minimum on-net and cross net rates cut to US$0.08/min, from </t>
  </si>
  <si>
    <t>US$0.12 and US0.15/min, respectively,</t>
  </si>
  <si>
    <t>Pay 2% of gross revenue in tax to Universal service fund.</t>
  </si>
  <si>
    <t>in paraguay took 2 months to restore the position…then see growth</t>
  </si>
  <si>
    <t>Col - increasing distribution outlets. 70,000, almost a doubling since launch</t>
  </si>
  <si>
    <t>&lt;$1 ARPU customers</t>
  </si>
  <si>
    <t>Gaining market share in all 3 markets over last 6 months</t>
  </si>
  <si>
    <t>Guatemala over 40% mkt share</t>
  </si>
  <si>
    <t>1 or 2pp mkt share increase in El Sal and Hond</t>
  </si>
  <si>
    <t>Africa about 1 year behind Latam</t>
  </si>
  <si>
    <t>Broadband (internet &amp; data)</t>
  </si>
  <si>
    <t>Telephony</t>
  </si>
  <si>
    <t>Advertising</t>
  </si>
  <si>
    <t>Total service revs</t>
  </si>
  <si>
    <t>OpEx</t>
  </si>
  <si>
    <t>H1 08</t>
  </si>
  <si>
    <t>H1 07</t>
  </si>
  <si>
    <t>No pricing pressure in Ghana. Haven't lowered prices for a long time</t>
  </si>
  <si>
    <t>Upon conversion…Millicom hand over Tele2 shares, limited impact on share price</t>
  </si>
  <si>
    <t>Total value</t>
  </si>
  <si>
    <t>Equity value</t>
  </si>
  <si>
    <t>Value per share</t>
  </si>
  <si>
    <t>Share price</t>
  </si>
  <si>
    <t>Upside / (downside)</t>
  </si>
  <si>
    <t>Weighted</t>
  </si>
  <si>
    <t>Aug 06 - Tele2 hand over up to 8968 Tele2 shares up to a value of $310m</t>
  </si>
  <si>
    <t xml:space="preserve">At current price </t>
  </si>
  <si>
    <t>Daily relevant proportion</t>
  </si>
  <si>
    <t>No of shares</t>
  </si>
  <si>
    <t>$ value, m</t>
  </si>
  <si>
    <t>SEK value, m</t>
  </si>
  <si>
    <t>Millicom holding of Tele2 shares (post-share split)</t>
  </si>
  <si>
    <t>Capex - payback in 2 years?</t>
  </si>
  <si>
    <t>Yes for ongoing businesses. New ops, including Pakistan, somewhat longer</t>
  </si>
  <si>
    <t>Expenditure on tangible assets</t>
  </si>
  <si>
    <t>NPV</t>
  </si>
  <si>
    <t>Expenditure on intangible assets (Paktel licence)</t>
  </si>
  <si>
    <t>TEF</t>
  </si>
  <si>
    <t>Am Movil</t>
  </si>
  <si>
    <t>Latam</t>
  </si>
  <si>
    <t>MIC</t>
  </si>
  <si>
    <t>Digicel</t>
  </si>
  <si>
    <t>-</t>
  </si>
  <si>
    <t>TI</t>
  </si>
  <si>
    <t>Nueva Tel</t>
  </si>
  <si>
    <t>DRCongo - delayed post elections</t>
  </si>
  <si>
    <t>Q3 update</t>
  </si>
  <si>
    <t>Pakistan is picking up</t>
  </si>
  <si>
    <t>Happy with developments</t>
  </si>
  <si>
    <t>postpay</t>
  </si>
  <si>
    <t>peak</t>
  </si>
  <si>
    <t>off-peak</t>
  </si>
  <si>
    <t>on-net</t>
  </si>
  <si>
    <t>off-net</t>
  </si>
  <si>
    <t>sms</t>
  </si>
  <si>
    <t>Tigo, local</t>
  </si>
  <si>
    <t>Tigo, $ cents</t>
  </si>
  <si>
    <t>prepay per sec</t>
  </si>
  <si>
    <t>per min</t>
  </si>
  <si>
    <t>pricing in seconds?</t>
  </si>
  <si>
    <t>interconnect levels?</t>
  </si>
  <si>
    <t>Zain, per min</t>
  </si>
  <si>
    <t>per min, $</t>
  </si>
  <si>
    <t>MTN  (ExtraConnect)</t>
  </si>
  <si>
    <t>spent $420m on a 3.5G network</t>
  </si>
  <si>
    <t>rate of TSH0.5/sec at night ('Chombeza' time)</t>
  </si>
  <si>
    <t>TSH1/sec at night and over the weekend. Othersise is TSH4/sec</t>
  </si>
  <si>
    <t>0.5 at night</t>
  </si>
  <si>
    <t>Orange</t>
  </si>
  <si>
    <t>prepay per min</t>
  </si>
  <si>
    <t>Expresso (Sudatel)</t>
  </si>
  <si>
    <t>Paid $200m for licence. Unclear whether funds transferred</t>
  </si>
  <si>
    <t>CDMA technology</t>
  </si>
  <si>
    <t>Sudatel</t>
  </si>
  <si>
    <t>Consensus</t>
  </si>
  <si>
    <t>Cons</t>
  </si>
  <si>
    <t>% diff</t>
  </si>
  <si>
    <t>New</t>
  </si>
  <si>
    <t>Old</t>
  </si>
  <si>
    <t>EFCF yield</t>
  </si>
  <si>
    <t>PE</t>
  </si>
  <si>
    <t>Q3 06</t>
  </si>
  <si>
    <t>FY 06</t>
  </si>
  <si>
    <t>Paktel capex</t>
  </si>
  <si>
    <t>Nothing too significant</t>
  </si>
  <si>
    <t>$</t>
  </si>
  <si>
    <t>%</t>
  </si>
  <si>
    <t>1) Q1 03: exchanged $776m 13.5% senior notes for 11% 2006 senior &amp; and $64m 2% 2005 PIK notes</t>
  </si>
  <si>
    <t>Ghana, how is competition?</t>
  </si>
  <si>
    <t>Rwandan launch. Exps for losses</t>
  </si>
  <si>
    <t>Tax rate to be higher in 2007, then 06 and 05</t>
  </si>
  <si>
    <t xml:space="preserve">ARPU @ 0% </t>
  </si>
  <si>
    <t>Consider that they have a right of first refusal</t>
  </si>
  <si>
    <t>Would like to do more but some will not sell</t>
  </si>
  <si>
    <t>Further minority purchases?</t>
  </si>
  <si>
    <t>Little development over last year. New govt has been in place</t>
  </si>
  <si>
    <t>Colombia</t>
  </si>
  <si>
    <t>Know the market well, used to operate the no.1 business</t>
  </si>
  <si>
    <t>Issued by Millicom…upon receiving the bond, short Tele2 equity. Therefore neutral the equity component, long the bond</t>
  </si>
  <si>
    <t>Embedded derivative on 5% mandatory exchangeable</t>
  </si>
  <si>
    <t xml:space="preserve">5% mandatory exchangeable </t>
  </si>
  <si>
    <t>Embedded derivative on 5% mandatory convertible</t>
  </si>
  <si>
    <t>2) TNOR - value in SE Asia</t>
  </si>
  <si>
    <t>3) Pen % vs ARPU decline</t>
  </si>
  <si>
    <t>Kyivstar</t>
  </si>
  <si>
    <t>TNOR Pakistan</t>
  </si>
  <si>
    <t>TAC</t>
  </si>
  <si>
    <t>Total penetration</t>
  </si>
  <si>
    <t>UK</t>
  </si>
  <si>
    <t>UK (RHS)</t>
  </si>
  <si>
    <t>Liabilities</t>
  </si>
  <si>
    <t>TEF net debt</t>
  </si>
  <si>
    <t>Net debt post-deal</t>
  </si>
  <si>
    <t>Need to look at pro-forma definition</t>
  </si>
  <si>
    <t>Cash position</t>
  </si>
  <si>
    <t>Use in event Colombia/Vietnam not happen</t>
  </si>
  <si>
    <t>1) Buy out minorities</t>
  </si>
  <si>
    <t>2) Spend on growth</t>
  </si>
  <si>
    <t>3) Pay down debt</t>
  </si>
  <si>
    <t>Capex increasing…underinvested…trading on a negative EFCF yield for next couple of years</t>
  </si>
  <si>
    <t>Notification of Paktel sale as a message to regulator</t>
  </si>
  <si>
    <t xml:space="preserve"> -They need cleaned up 1800 spectrum (no 900 left) in order to sell the asset</t>
  </si>
  <si>
    <t>Extended guarantees from MIC to Paktel. No liability for Paktel (and licence) otherwise. Guarantees of $50m end-05, could be $100-150m now</t>
  </si>
  <si>
    <t xml:space="preserve">Real issue was the network interference/quality issues. </t>
  </si>
  <si>
    <t>Termination rates amongst mobile operators (within country) tends to be broadly similar</t>
  </si>
  <si>
    <t>&gt;$600m for group, $100m in DRC. Very little in DRC to date (turn-key)</t>
  </si>
  <si>
    <t>Capex should fall as % of rev from 07, although 07 will still be high</t>
  </si>
  <si>
    <t>Launch of Chad and Congo in Q3 2005, having won licence in Nov 2004 for 10yr licence</t>
  </si>
  <si>
    <t>South America</t>
  </si>
  <si>
    <t>Vietnam was key…04 EBITDA margin of 61%</t>
  </si>
  <si>
    <t>did anyone launch in 2005?</t>
  </si>
  <si>
    <t>S Asia (Pakistan, Sri Lanka, Iran)</t>
  </si>
  <si>
    <t>GSM overlay over existing TDMA to keep old subs aswell as growing new</t>
  </si>
  <si>
    <t>Margins in Colombia?</t>
  </si>
  <si>
    <t>Underlevered?</t>
  </si>
  <si>
    <t>Couple of years to get to Millicom average. Should be a gradual improvement. 10% share - want to grow to mid 20%'s</t>
  </si>
  <si>
    <t>Guatemala remittances</t>
  </si>
  <si>
    <t>SKT</t>
  </si>
  <si>
    <t>LGT</t>
  </si>
  <si>
    <t xml:space="preserve">No desires to get into the handset business. </t>
  </si>
  <si>
    <t>To do</t>
  </si>
  <si>
    <t>Latam growth vs Africa forecasts</t>
  </si>
  <si>
    <t>Minimum top ups of $20c</t>
  </si>
  <si>
    <t>Competition</t>
  </si>
  <si>
    <t xml:space="preserve">Almost all ops/competitors in all mkts have e.PIN. Not all are doing per/sec billing. </t>
  </si>
  <si>
    <t>equity + convert debt raising…intention to channel into vietnam and pakistan</t>
  </si>
  <si>
    <t>Dec-04</t>
  </si>
  <si>
    <t>pulled out of vietnam</t>
  </si>
  <si>
    <t>Q1 2007 results call</t>
  </si>
  <si>
    <t>20-f filed.</t>
  </si>
  <si>
    <t>El Sal</t>
  </si>
  <si>
    <t>Guat</t>
  </si>
  <si>
    <t>Hond</t>
  </si>
  <si>
    <t>Average</t>
  </si>
  <si>
    <t>i.e. a 50% JV proportionately consolidated is treated as 100% ownership for purposes of prop EV</t>
  </si>
  <si>
    <t>Regional DCF's</t>
  </si>
  <si>
    <t>Vodafone</t>
  </si>
  <si>
    <t xml:space="preserve">Kasapa </t>
  </si>
  <si>
    <t>launch st 09</t>
  </si>
  <si>
    <t>Outgoing MOU (inc roaming)</t>
  </si>
  <si>
    <t>Outgoing ARPU</t>
  </si>
  <si>
    <t>Data ARPU</t>
  </si>
  <si>
    <t>SMS ARPU</t>
  </si>
  <si>
    <t>Operator mobile Bband subs</t>
  </si>
  <si>
    <t>Operator Mobile Bband share</t>
  </si>
  <si>
    <t>Mobile Bband ARPU</t>
  </si>
  <si>
    <t>Spectrum spend</t>
  </si>
  <si>
    <t>Continue to follow closely. Will participate. As for Costa Rica, Nicaragua</t>
  </si>
  <si>
    <t>Net adds in Colombia &amp; DRC</t>
  </si>
  <si>
    <t xml:space="preserve">Have not peaked in terms of absolute net adds. </t>
  </si>
  <si>
    <t>Total RGU's</t>
  </si>
  <si>
    <t>Domestic EBITDA</t>
  </si>
  <si>
    <t>Domestic capex</t>
  </si>
  <si>
    <t>Domestic FCF</t>
  </si>
  <si>
    <t>Cumulative Gp consolidated capex</t>
  </si>
  <si>
    <t>Cumulative Gp prop. capex</t>
  </si>
  <si>
    <t>Debt analysis</t>
  </si>
  <si>
    <t>Net interest expense</t>
  </si>
  <si>
    <t>Cash flow</t>
  </si>
  <si>
    <t>Less: Interest payments</t>
  </si>
  <si>
    <t>Less: Tax paid</t>
  </si>
  <si>
    <t xml:space="preserve">Colombia Mobil the selling party. Potentially August </t>
  </si>
  <si>
    <t>Zain deal</t>
  </si>
  <si>
    <t>Millicom today</t>
  </si>
  <si>
    <t>Zain Africa</t>
  </si>
  <si>
    <t>Paraguay - VAS are very popular. Very high no of users. 25% of recurring revs are VAS. Average across the group is 10%</t>
  </si>
  <si>
    <t>Margins of &gt;50% should be sustainable</t>
  </si>
  <si>
    <t>Revenue share in Cambodia suppresses margins</t>
  </si>
  <si>
    <t>Panama?</t>
  </si>
  <si>
    <t>Assumed local currency nominal ARPU growth</t>
  </si>
  <si>
    <t>Consolidated debt</t>
  </si>
  <si>
    <t>TEF EV, €</t>
  </si>
  <si>
    <t>TEF FCF, €</t>
  </si>
  <si>
    <t>publish half yearly</t>
  </si>
  <si>
    <t>$/eur</t>
  </si>
  <si>
    <t>Safaricom</t>
  </si>
  <si>
    <t>Q3 y/y</t>
  </si>
  <si>
    <t>Q2 y/y</t>
  </si>
  <si>
    <t>Millicom Africa US$m</t>
  </si>
  <si>
    <t>Latam MOU/sub/month</t>
  </si>
  <si>
    <t>Voice Revenue</t>
  </si>
  <si>
    <t>Total Latam subs (prop)</t>
  </si>
  <si>
    <t>Total voice yield/minute, US$</t>
  </si>
  <si>
    <t>Total Latam revenue (ex-Amnet)</t>
  </si>
  <si>
    <t>as % VAS</t>
  </si>
  <si>
    <t xml:space="preserve">    - of which Solutions</t>
  </si>
  <si>
    <t xml:space="preserve">        - of which zero balance products</t>
  </si>
  <si>
    <t>% penetration of base</t>
  </si>
  <si>
    <t>spend per month</t>
  </si>
  <si>
    <t>total zero balance subs</t>
  </si>
  <si>
    <t xml:space="preserve">        - of which other</t>
  </si>
  <si>
    <t xml:space="preserve">    - of which Other</t>
  </si>
  <si>
    <t>Solutions</t>
  </si>
  <si>
    <t>Total solutions</t>
  </si>
  <si>
    <t>Backtones</t>
  </si>
  <si>
    <t xml:space="preserve">    - of which Entertainment</t>
  </si>
  <si>
    <t>Entertainment</t>
  </si>
  <si>
    <t>Other (mTV, video downloads)</t>
  </si>
  <si>
    <t>Penetration of base</t>
  </si>
  <si>
    <t>Total users</t>
  </si>
  <si>
    <t>Revenue/user/month</t>
  </si>
  <si>
    <t>as % total Latam revs</t>
  </si>
  <si>
    <t>Total mobile internet</t>
  </si>
  <si>
    <t>Non-SMS VAS breakdown</t>
  </si>
  <si>
    <t>Dongle ARPU</t>
  </si>
  <si>
    <t>Dongle revenue</t>
  </si>
  <si>
    <t>Total other VAS</t>
  </si>
  <si>
    <t>Mobile internet</t>
  </si>
  <si>
    <t>Other VAS breakdown</t>
  </si>
  <si>
    <t>Subs taking financial services</t>
  </si>
  <si>
    <t>Spend per sub/month</t>
  </si>
  <si>
    <t>Latam voice/data split</t>
  </si>
  <si>
    <t>Total revenue (inc Amnet)</t>
  </si>
  <si>
    <t>EBITDA breakdown by product</t>
  </si>
  <si>
    <t>Latam EBITDA</t>
  </si>
  <si>
    <t>Absolute EBITDA</t>
  </si>
  <si>
    <t>Total margin</t>
  </si>
  <si>
    <t>Handset-driven revenue</t>
  </si>
  <si>
    <t>Total data margin</t>
  </si>
  <si>
    <t>Mobile internet - dongles</t>
  </si>
  <si>
    <t>% error</t>
  </si>
  <si>
    <t>Total MOU (out + in), millions</t>
  </si>
  <si>
    <t>increment over voice</t>
  </si>
  <si>
    <t>Data as % service revs</t>
  </si>
  <si>
    <t>Communication</t>
  </si>
  <si>
    <t>Mobile internet ("information")</t>
  </si>
  <si>
    <t>Total for Latam</t>
  </si>
  <si>
    <t>Revenue split</t>
  </si>
  <si>
    <t>Mobile internet - handset driven</t>
  </si>
  <si>
    <t>check mkt structure</t>
  </si>
  <si>
    <t>S America margins</t>
  </si>
  <si>
    <t>Central America ex-Colombia</t>
  </si>
  <si>
    <t>Booking of capex in DRC</t>
  </si>
  <si>
    <t>Workings of debt re Col transaction</t>
  </si>
  <si>
    <t xml:space="preserve"> </t>
  </si>
  <si>
    <t>PAT</t>
  </si>
  <si>
    <t>Less: associates</t>
  </si>
  <si>
    <t>Option to buy 47% in the future</t>
  </si>
  <si>
    <t>Iran - Feb 04 agreement to manage network to be owned by RIC. RIC build, operate, transfer (BOT)</t>
  </si>
  <si>
    <t>Central America</t>
  </si>
  <si>
    <t>Re-consolidated El Salvador in Sept 2003</t>
  </si>
  <si>
    <t xml:space="preserve">GSM roll-out in 2004 using Tigo common brand </t>
  </si>
  <si>
    <t>Africa</t>
  </si>
  <si>
    <t>Africa av (ex Mauritius)</t>
  </si>
  <si>
    <t>diff</t>
  </si>
  <si>
    <t>Senegal (Tigo) USD</t>
  </si>
  <si>
    <t>Sierra Leone (Tigo) USD</t>
  </si>
  <si>
    <t>Tanzania (Tigo) USD</t>
  </si>
  <si>
    <t>Chad (Tigo) USD</t>
  </si>
  <si>
    <t>Dem. Rep. Congo (Tigo) USD</t>
  </si>
  <si>
    <t>Minority interests in CA (Guat/Hond) hinders things</t>
  </si>
  <si>
    <t>Ditch 10% notes next year which are not tax effective</t>
  </si>
  <si>
    <t>Consolidated Depreciation</t>
  </si>
  <si>
    <t>Consolidated Amortisation</t>
  </si>
  <si>
    <t>Consolidated Capex</t>
  </si>
  <si>
    <t>Consolidated OpFCF</t>
  </si>
  <si>
    <t>Consolidated FCF (OpFCF * (1-tax rate))</t>
  </si>
  <si>
    <t>Minority interests (b/s)</t>
  </si>
  <si>
    <t>Book equity</t>
  </si>
  <si>
    <t>Net interest</t>
  </si>
  <si>
    <t>Reported earnings</t>
  </si>
  <si>
    <t>Clean earnings</t>
  </si>
  <si>
    <t>Equity free cash flow</t>
  </si>
  <si>
    <t>Employees</t>
  </si>
  <si>
    <t>Group Consolidated SACs</t>
  </si>
  <si>
    <t>Group consolidated SRCs</t>
  </si>
  <si>
    <t>Group Prop. SACs</t>
  </si>
  <si>
    <t>Group Prop. SRCs</t>
  </si>
  <si>
    <t>Distribution needs to improve, network management needs to improve</t>
  </si>
  <si>
    <t>Asia - not actively looking</t>
  </si>
  <si>
    <t>Competition increasing in any mkts?</t>
  </si>
  <si>
    <t>MTC bought an existing op in Ghana</t>
  </si>
  <si>
    <t>This scale is growing gradually</t>
  </si>
  <si>
    <t>ARPU on value added services?</t>
  </si>
  <si>
    <t>Improving quality of subs which is supporting ARPU growth</t>
  </si>
  <si>
    <t>Ongoing capex/sales medium-term?</t>
  </si>
  <si>
    <t>Bank debt</t>
  </si>
  <si>
    <t>Bonds</t>
  </si>
  <si>
    <t>Converts</t>
  </si>
  <si>
    <t>Cash &amp; equivalents</t>
  </si>
  <si>
    <t>Principal repayments</t>
  </si>
  <si>
    <t xml:space="preserve">Lower depreciation from BCC in Vietnam </t>
  </si>
  <si>
    <t>$10m reversal of losses in Pakcom, as price agreed last year</t>
  </si>
  <si>
    <t>Blended tax falling…now 27%</t>
  </si>
  <si>
    <t>Long-term incentive scheme</t>
  </si>
  <si>
    <t>Corporate costs - by 2008…group tax below 30% potentially</t>
  </si>
  <si>
    <t>Follow up corporate costs</t>
  </si>
  <si>
    <t>$57m in minority positions</t>
  </si>
  <si>
    <t>Q&amp;A</t>
  </si>
  <si>
    <t>Launch costs in DRC - how much? Ongoing costs in Q3 but Tigo launch in Q4 should drive revs to offset</t>
  </si>
  <si>
    <t>Q3 07 results call</t>
  </si>
  <si>
    <t>Zain, per sec</t>
  </si>
  <si>
    <t>Interconnect, local</t>
  </si>
  <si>
    <t>Vodacom cut Zain followed</t>
  </si>
  <si>
    <t>12 to 8 cedi's 24 hrs on-net and off-net</t>
  </si>
  <si>
    <t>Vodacom cut off-net rates from 6.5 to 3.0</t>
  </si>
  <si>
    <t>Zain already have the lowest nightime rates which have made limited impression in the market</t>
  </si>
  <si>
    <t>Balance sheet</t>
  </si>
  <si>
    <t xml:space="preserve">Positive contacts over last year…looking to privatise </t>
  </si>
  <si>
    <t>Income growth</t>
  </si>
  <si>
    <t>Income quintiles</t>
  </si>
  <si>
    <t>Cambodia, per sec billing also hit numbers</t>
  </si>
  <si>
    <t>where no per sec billing?</t>
  </si>
  <si>
    <t>Margin expansion ex-Colombia</t>
  </si>
  <si>
    <t>tigo - launch in colombia in Q4. drc, sri lanka, laos in Q1 07</t>
  </si>
  <si>
    <t>MICC pre Q1 08 chat</t>
  </si>
  <si>
    <t>US recession concerns. Not seen any impact. workers remissions in mexico…</t>
  </si>
  <si>
    <t>food price inflation. IMF now talking about it. Not seen anything yet, economies are self sufficient</t>
  </si>
  <si>
    <t>paraguay (grain, beef) and colombia (coffee) exporting agriculture</t>
  </si>
  <si>
    <t>some analysts had high ARPU's. investors pointed out to IR</t>
  </si>
  <si>
    <t>Pro-f EBITDA</t>
  </si>
  <si>
    <t>spurious rumours on accounting issues</t>
  </si>
  <si>
    <t>EBITDA under a lot of pressure</t>
  </si>
  <si>
    <t>International</t>
  </si>
  <si>
    <t>ARPU, US$</t>
  </si>
  <si>
    <t>local FX revenue</t>
  </si>
  <si>
    <t>Local FX vs US$</t>
  </si>
  <si>
    <t>SMS</t>
  </si>
  <si>
    <t>Non-SMS data</t>
  </si>
  <si>
    <t>Voice</t>
  </si>
  <si>
    <t>Voice as % growth</t>
  </si>
  <si>
    <t>SMS as % growth</t>
  </si>
  <si>
    <t>Non-SMS data as % growth</t>
  </si>
  <si>
    <t>ARPU, peso</t>
  </si>
  <si>
    <t>mou</t>
  </si>
  <si>
    <t>price/min</t>
  </si>
  <si>
    <t>churn</t>
  </si>
  <si>
    <t>AMX cov</t>
  </si>
  <si>
    <t>MXP/$, YE</t>
  </si>
  <si>
    <t>AMX ops</t>
  </si>
  <si>
    <t>micc counts as a sub as someone who has made a rev generating call within the last 60 days</t>
  </si>
  <si>
    <t>others are 90-120 days</t>
  </si>
  <si>
    <t>America Movil CA</t>
  </si>
  <si>
    <t>Millicom CA</t>
  </si>
  <si>
    <t>Discontinued operations</t>
  </si>
  <si>
    <t>Real penetration</t>
  </si>
  <si>
    <t>Dual-SIMs</t>
  </si>
  <si>
    <t>100% equity</t>
  </si>
  <si>
    <t>CA net adds</t>
  </si>
  <si>
    <t>Rep EBITDA</t>
  </si>
  <si>
    <t>Contribution</t>
  </si>
  <si>
    <t>Market share</t>
  </si>
  <si>
    <t>Penetration</t>
  </si>
  <si>
    <t>Market subscribers</t>
  </si>
  <si>
    <t>Penetration added</t>
  </si>
  <si>
    <t>Opex</t>
  </si>
  <si>
    <t>Opex/sub</t>
  </si>
  <si>
    <t>FCF</t>
  </si>
  <si>
    <t>Discount factor</t>
  </si>
  <si>
    <t>WACC</t>
  </si>
  <si>
    <t>S Asia</t>
  </si>
  <si>
    <t>xx</t>
  </si>
  <si>
    <t>xxx</t>
  </si>
  <si>
    <t>Have market shares been moving up across the region? Data suggests so</t>
  </si>
  <si>
    <t>tef</t>
  </si>
  <si>
    <t>coverage 05</t>
  </si>
  <si>
    <t>coverage 06</t>
  </si>
  <si>
    <t>amx share of net adds</t>
  </si>
  <si>
    <t>tef share of net adds</t>
  </si>
  <si>
    <t>Sri Lanka - Bharti to launch in late 07</t>
  </si>
  <si>
    <t>Check long-term population growth estimates</t>
  </si>
  <si>
    <t>Check asset life for depreciation</t>
  </si>
  <si>
    <t>CAMBODIA</t>
  </si>
  <si>
    <t>LAOS</t>
  </si>
  <si>
    <t>PAKTEL</t>
  </si>
  <si>
    <t>SRI LANKA</t>
  </si>
  <si>
    <t>EL SALVADOR</t>
  </si>
  <si>
    <t>GUATEMALA</t>
  </si>
  <si>
    <t>HONDURAS</t>
  </si>
  <si>
    <t>BOLIVIA</t>
  </si>
  <si>
    <t>PARAGUAY</t>
  </si>
  <si>
    <t>CHAD</t>
  </si>
  <si>
    <t>DRC</t>
  </si>
  <si>
    <t>GHANA</t>
  </si>
  <si>
    <t>MAURITIUS</t>
  </si>
  <si>
    <t>SENEGAL</t>
  </si>
  <si>
    <t>SIERRA LEONE</t>
  </si>
  <si>
    <t>TANZANIA</t>
  </si>
  <si>
    <t>Mkt share, Q2 06</t>
  </si>
  <si>
    <t>Q2 06A</t>
  </si>
  <si>
    <t>Hondutel</t>
  </si>
  <si>
    <t>On-net</t>
  </si>
  <si>
    <t>Off-net</t>
  </si>
  <si>
    <t>US</t>
  </si>
  <si>
    <t>to US</t>
  </si>
  <si>
    <t>Post-paid</t>
  </si>
  <si>
    <t>Claro</t>
  </si>
  <si>
    <t>Mins inc</t>
  </si>
  <si>
    <t>Price/min inc</t>
  </si>
  <si>
    <t>In CA, have best network in all 3 countries</t>
  </si>
  <si>
    <t>End 03: retired all 13.5% 2006 and all 11% notes due 2006</t>
  </si>
  <si>
    <t>Debt restructuring</t>
  </si>
  <si>
    <t xml:space="preserve">Q3 05 </t>
  </si>
  <si>
    <t>Tanzania and DRC: ARPU "decline was as a result of constrained disposable income, tariff reductions and lower interconnection revenue in both markets"</t>
  </si>
  <si>
    <t>Mobile data lagging</t>
  </si>
  <si>
    <t>Data</t>
  </si>
  <si>
    <t>6m Sept 09</t>
  </si>
  <si>
    <t>6m Sept 08</t>
  </si>
  <si>
    <t>Revenue market share check</t>
  </si>
  <si>
    <t>VAS as %</t>
  </si>
  <si>
    <t>Data revs</t>
  </si>
  <si>
    <t>Voice revs</t>
  </si>
  <si>
    <t>Kinshasa Bas-Congo</t>
  </si>
  <si>
    <t xml:space="preserve"> of which voice</t>
  </si>
  <si>
    <t xml:space="preserve"> of which SMS</t>
  </si>
  <si>
    <t>SMS revs</t>
  </si>
  <si>
    <t xml:space="preserve"> of which non-SMS data</t>
  </si>
  <si>
    <t>non-SMS data revs</t>
  </si>
  <si>
    <t xml:space="preserve"> of which data</t>
  </si>
  <si>
    <t xml:space="preserve"> of which interconnect</t>
  </si>
  <si>
    <t xml:space="preserve"> - of which interconnect</t>
  </si>
  <si>
    <t xml:space="preserve"> of which other</t>
  </si>
  <si>
    <t>EM comps</t>
  </si>
  <si>
    <t>% service</t>
  </si>
  <si>
    <t>Q1 10 y/y</t>
  </si>
  <si>
    <t>Excelcomindo</t>
  </si>
  <si>
    <t xml:space="preserve"> - of which SMS</t>
  </si>
  <si>
    <t xml:space="preserve"> - of which non-SMS</t>
  </si>
  <si>
    <t>VIP Russia</t>
  </si>
  <si>
    <t>as % revs</t>
  </si>
  <si>
    <t>Non-SMS</t>
  </si>
  <si>
    <t>(premium SMS)</t>
  </si>
  <si>
    <t>2-3%</t>
  </si>
  <si>
    <t>1-2%</t>
  </si>
  <si>
    <t xml:space="preserve"> - of which</t>
  </si>
  <si>
    <t>3-5%</t>
  </si>
  <si>
    <t>Group data split</t>
  </si>
  <si>
    <t>growth</t>
  </si>
  <si>
    <t xml:space="preserve">Old </t>
  </si>
  <si>
    <t xml:space="preserve">New </t>
  </si>
  <si>
    <t>Millicom subscribers</t>
  </si>
  <si>
    <t>Total net adds</t>
  </si>
  <si>
    <t>Quarterly adds rate</t>
  </si>
  <si>
    <t>Fixed-line pen</t>
  </si>
  <si>
    <t>Ukraine</t>
  </si>
  <si>
    <t>Malaysia</t>
  </si>
  <si>
    <t>Russia</t>
  </si>
  <si>
    <t>Egypt</t>
  </si>
  <si>
    <t>Tunisia</t>
  </si>
  <si>
    <t>Algeria</t>
  </si>
  <si>
    <t>Cote d'Ivoire</t>
  </si>
  <si>
    <t>Chile</t>
  </si>
  <si>
    <t>Ecuador</t>
  </si>
  <si>
    <t>Panama</t>
  </si>
  <si>
    <t>Nicaragua</t>
  </si>
  <si>
    <t>Uruguay</t>
  </si>
  <si>
    <t>Mexico</t>
  </si>
  <si>
    <t>Peru</t>
  </si>
  <si>
    <t>Argentina</t>
  </si>
  <si>
    <t>BB pen (households)</t>
  </si>
  <si>
    <t>US/min</t>
  </si>
  <si>
    <t>Pre-paid, $ cents/min</t>
  </si>
  <si>
    <t>Total other expense</t>
  </si>
  <si>
    <t xml:space="preserve">*** Fixed lines an estimate, based on grossing up 2001 ITU data by 5% per annum, except Cambodia, Laos (www.budde.com.au), Guatemala (internet reports suggesting mobile subs are 6x fixed lines end-07), </t>
  </si>
  <si>
    <t>Q3 08</t>
  </si>
  <si>
    <r>
      <t>MTN</t>
    </r>
    <r>
      <rPr>
        <vertAlign val="subscript"/>
        <sz val="10"/>
        <rFont val="Trebuchet MS"/>
        <family val="2"/>
      </rPr>
      <t>3</t>
    </r>
  </si>
  <si>
    <t>1 For overlap see below</t>
  </si>
  <si>
    <t xml:space="preserve">2 Overlap in DR Congo, Sierra Leone, Tanzania and Chad </t>
  </si>
  <si>
    <t>Q2 09</t>
  </si>
  <si>
    <t>Re-launch in Q4 or Q1 07</t>
  </si>
  <si>
    <t>Corporate costs &amp; Tigo expense (5% to each country?)</t>
  </si>
  <si>
    <t>AMX CA</t>
  </si>
  <si>
    <t>MICC CA</t>
  </si>
  <si>
    <t>Total data</t>
  </si>
  <si>
    <t>Handset, cable, other</t>
  </si>
  <si>
    <t>as % service revs</t>
  </si>
  <si>
    <t>Data as % growth</t>
  </si>
  <si>
    <t>Pro-forma</t>
  </si>
  <si>
    <t>Pro-forma, constant fx</t>
  </si>
  <si>
    <t>Total service</t>
  </si>
  <si>
    <t>VAS analysis</t>
  </si>
  <si>
    <t>y/y margin increase</t>
  </si>
  <si>
    <t>Contribution to growth</t>
  </si>
  <si>
    <t>MICC capex/sales</t>
  </si>
  <si>
    <t>EM average capex/sales</t>
  </si>
  <si>
    <t>El Salvador ($)</t>
  </si>
  <si>
    <t>Guatemala (GTQ)</t>
  </si>
  <si>
    <t>Honduras (HNL)</t>
  </si>
  <si>
    <t>Total Central America ($)</t>
  </si>
  <si>
    <t>Total South America ($)</t>
  </si>
  <si>
    <t>CA EBITDA ($)</t>
  </si>
  <si>
    <t>SA EBITDA ($)</t>
  </si>
  <si>
    <t xml:space="preserve">CA capex </t>
  </si>
  <si>
    <t>CA OpFCF</t>
  </si>
  <si>
    <t>SA capex</t>
  </si>
  <si>
    <t>SA OpFCF</t>
  </si>
  <si>
    <t xml:space="preserve">Revenue </t>
  </si>
  <si>
    <t>Non-SMS VAS</t>
  </si>
  <si>
    <t>Cheapest off-net rate</t>
  </si>
  <si>
    <t>Best off-net</t>
  </si>
  <si>
    <t>New TEF net debt/EBITDA</t>
  </si>
  <si>
    <t>Promotion in Ghana in Q1</t>
  </si>
  <si>
    <t>Tax rates</t>
  </si>
  <si>
    <t>Ghana / Tanzania price cuts</t>
  </si>
  <si>
    <t>Post-tax interest payments</t>
  </si>
  <si>
    <t>100% of EV</t>
  </si>
  <si>
    <t>Own %</t>
  </si>
  <si>
    <t>Zain ownership</t>
  </si>
  <si>
    <t>prop EBITDA</t>
  </si>
  <si>
    <t>prop revs</t>
  </si>
  <si>
    <t>ex-overlap, SL, Nigeria, Sudantel</t>
  </si>
  <si>
    <t>prop capex</t>
  </si>
  <si>
    <t>Cash out</t>
  </si>
  <si>
    <t>Group tax rate fallen from 127% to 41%...effective tax rate</t>
  </si>
  <si>
    <t>When ops become pofitable, move income to corporate</t>
  </si>
  <si>
    <t>10% bonds mean hard to do until 2008</t>
  </si>
  <si>
    <t>Potential upgrade</t>
  </si>
  <si>
    <t>How to value Iran?</t>
  </si>
  <si>
    <t>PBT</t>
  </si>
  <si>
    <t>Honduras adjustment?</t>
  </si>
  <si>
    <t>Assets held for sale</t>
  </si>
  <si>
    <t xml:space="preserve">Assets </t>
  </si>
  <si>
    <t xml:space="preserve">Liability </t>
  </si>
  <si>
    <t>Stock options</t>
  </si>
  <si>
    <t>Clean net income</t>
  </si>
  <si>
    <t>as % net fixed assets</t>
  </si>
  <si>
    <t>as % gross fixed assets</t>
  </si>
  <si>
    <t>Implied asset life</t>
  </si>
  <si>
    <t>Pop %</t>
  </si>
  <si>
    <t>$ GDP/cap</t>
  </si>
  <si>
    <t>&lt; 14</t>
  </si>
  <si>
    <t>&gt;65</t>
  </si>
  <si>
    <t>14-65</t>
  </si>
  <si>
    <t>Why ARPU's higher in Central rather than South America?</t>
  </si>
  <si>
    <t>Borrowed from subsidiary level…borrow at operating level to lower profits</t>
  </si>
  <si>
    <t>Setting new records</t>
  </si>
  <si>
    <t>Realistic to be EBITDA positive in 2007</t>
  </si>
  <si>
    <t>Start-up costs</t>
  </si>
  <si>
    <t>Both in DRC and Pakistan</t>
  </si>
  <si>
    <t>Prop. Revenues</t>
  </si>
  <si>
    <t>Prop. EBITDA</t>
  </si>
  <si>
    <t>Prop. Depreciation</t>
  </si>
  <si>
    <t>Prop. Amortisation</t>
  </si>
  <si>
    <t>average tax rate</t>
  </si>
  <si>
    <t>Fair value</t>
  </si>
  <si>
    <t>implied 09e multiple</t>
  </si>
  <si>
    <t>Av pen 09e</t>
  </si>
  <si>
    <t>AJ 100% EV</t>
  </si>
  <si>
    <t>Prop rev %</t>
  </si>
  <si>
    <t>Others op data</t>
  </si>
  <si>
    <t>Vodacom Tanzania</t>
  </si>
  <si>
    <t>Vodacom DR Congo</t>
  </si>
  <si>
    <t>ARPU, local (6m)</t>
  </si>
  <si>
    <t>Churn (6m)</t>
  </si>
  <si>
    <t>2) Pakcom liabilities off from June BS</t>
  </si>
  <si>
    <t>No need to amortise Pakcom licence from now</t>
  </si>
  <si>
    <t>So $56m improvement in net income</t>
  </si>
  <si>
    <t>1) Tele2 mandatory exchangeable - no cash impact. Handover Tele2 shares to bondholders</t>
  </si>
  <si>
    <t>Any signs customer intake will slow?</t>
  </si>
  <si>
    <t>Associates (for EV calc)</t>
  </si>
  <si>
    <t>Minorities (for EV calc)</t>
  </si>
  <si>
    <t>Cumulative dividends</t>
  </si>
  <si>
    <t>Average Millicom margins in Colombia</t>
  </si>
  <si>
    <t>New  management team in Colombia</t>
  </si>
  <si>
    <t>Net debt $300m</t>
  </si>
  <si>
    <t>$125m went into the business</t>
  </si>
  <si>
    <t>Income analysis</t>
  </si>
  <si>
    <t>2008 GNI/</t>
  </si>
  <si>
    <t>Rep. ARPU</t>
  </si>
  <si>
    <t>2015, in current USD</t>
  </si>
  <si>
    <t>2008 ARPU</t>
  </si>
  <si>
    <t>in const. USD</t>
  </si>
  <si>
    <t>GDP growth</t>
  </si>
  <si>
    <t>Lebanon</t>
  </si>
  <si>
    <t>Tel Malaysia</t>
  </si>
  <si>
    <r>
      <t>C America</t>
    </r>
    <r>
      <rPr>
        <vertAlign val="superscript"/>
        <sz val="10"/>
        <rFont val="Trebuchet MS"/>
        <family val="2"/>
      </rPr>
      <t>1</t>
    </r>
  </si>
  <si>
    <r>
      <t>MTC</t>
    </r>
    <r>
      <rPr>
        <vertAlign val="superscript"/>
        <sz val="10"/>
        <rFont val="Trebuchet MS"/>
        <family val="2"/>
      </rPr>
      <t>2</t>
    </r>
  </si>
  <si>
    <t>Tax - 27% blended rate</t>
  </si>
  <si>
    <t>Latam FCF (@ 30% tax)</t>
  </si>
  <si>
    <t>New FCF</t>
  </si>
  <si>
    <t>TEF EV/FCF</t>
  </si>
  <si>
    <t>New TEF EV/FCF</t>
  </si>
  <si>
    <t>assume FCF cumulates on balance sheet</t>
  </si>
  <si>
    <t>Domestic data ARPU</t>
  </si>
  <si>
    <t>Domestic MOU</t>
  </si>
  <si>
    <t>Domestic revenue</t>
  </si>
  <si>
    <t>Domestic service revenue</t>
  </si>
  <si>
    <t>Chad, Ghana, Senegal…+ all Latam</t>
  </si>
  <si>
    <t>33c</t>
  </si>
  <si>
    <t>lowest amount of top-up</t>
  </si>
  <si>
    <t>$7-$9</t>
  </si>
  <si>
    <t>local</t>
  </si>
  <si>
    <t>ARPU</t>
  </si>
  <si>
    <t>Costa Rica</t>
  </si>
  <si>
    <t>HH</t>
  </si>
  <si>
    <t>07 POP</t>
  </si>
  <si>
    <t>pen</t>
  </si>
  <si>
    <t>05 mob</t>
  </si>
  <si>
    <t>06 mob</t>
  </si>
  <si>
    <t>07 mob</t>
  </si>
  <si>
    <t xml:space="preserve">2) debt repurchase from proceeds of $310m 5% mandatory exchangeable </t>
  </si>
  <si>
    <t>3) Nov 03, issued $550m 10% senior notes due 2013</t>
  </si>
  <si>
    <t>Q1 02</t>
  </si>
  <si>
    <t>Q2 02</t>
  </si>
  <si>
    <t>Q3 02</t>
  </si>
  <si>
    <t>nic</t>
  </si>
  <si>
    <t>el sal</t>
  </si>
  <si>
    <t>guat</t>
  </si>
  <si>
    <t>hond</t>
  </si>
  <si>
    <t>FX assumptions</t>
  </si>
  <si>
    <t>El Sal (in $)</t>
  </si>
  <si>
    <t>Plus: Value of minorities</t>
  </si>
  <si>
    <t>Late night tariff plan was stopped. Sub reduction did not come with revenue reduction</t>
  </si>
  <si>
    <t>Across the MIC universe, latest thoughts on any potential new entrants</t>
  </si>
  <si>
    <t>60-day churn definition</t>
  </si>
  <si>
    <t>Honduras - govt privatising</t>
  </si>
  <si>
    <t xml:space="preserve">Senegal </t>
  </si>
  <si>
    <t>America Movil copying the Tigo concept in Central America…don't think will have any near term impact</t>
  </si>
  <si>
    <t>Remittances in El Salvador have improved (got less negative) - wouldn't this support underlying numbers?</t>
  </si>
  <si>
    <t>AMX much better (less worse) numbers. No impact on operations from AMX?</t>
  </si>
  <si>
    <t>Putting together:</t>
  </si>
  <si>
    <t xml:space="preserve">Colombia - more market colour. </t>
  </si>
  <si>
    <t>- added 500,000 in Q3…162,000 in Q1</t>
  </si>
  <si>
    <t>- are there issues in the individual mkts</t>
  </si>
  <si>
    <t>PV of terminal value</t>
  </si>
  <si>
    <t xml:space="preserve">OpFCF </t>
  </si>
  <si>
    <t>EV, $m</t>
  </si>
  <si>
    <t>Multiple</t>
  </si>
  <si>
    <t>% of EV</t>
  </si>
  <si>
    <t>Overall tax has fallen to 39% for 9m (41% for H1). Higher PBT generated by operating companies versus total profits</t>
  </si>
  <si>
    <t>Q1 2011</t>
  </si>
  <si>
    <t>Q2 2011</t>
  </si>
  <si>
    <t>Q3 2011</t>
  </si>
  <si>
    <t>Q4 2011</t>
  </si>
  <si>
    <t>Q1 2012</t>
  </si>
  <si>
    <t>Q2 2012</t>
  </si>
  <si>
    <t>Q3 2012</t>
  </si>
  <si>
    <t>Q4 2012</t>
  </si>
  <si>
    <t>Currency</t>
  </si>
  <si>
    <t>Service Revenue</t>
  </si>
  <si>
    <t>Further activities cooled for the time being. Focusing on Colombia, DRC and Paktel</t>
  </si>
  <si>
    <t>Capex increase</t>
  </si>
  <si>
    <t>How much is Colombia…how much in 2007?</t>
  </si>
  <si>
    <t>Cash</t>
  </si>
  <si>
    <t>TEF EBITDA</t>
  </si>
  <si>
    <t>TEF net debt/EBITDA</t>
  </si>
  <si>
    <t>constant FX revs</t>
  </si>
  <si>
    <t>Constant FX $ revs</t>
  </si>
  <si>
    <t>Rwanda</t>
  </si>
  <si>
    <t>Swaziland</t>
  </si>
  <si>
    <t>MICC</t>
  </si>
  <si>
    <t>Tanzania, 57%</t>
  </si>
  <si>
    <t>Congo, 47%</t>
  </si>
  <si>
    <t>Spread over US% 10 yr</t>
  </si>
  <si>
    <t>Penetration at 5%. Economics need to improve - longer-term 40-50% but could take a number of years</t>
  </si>
  <si>
    <t>Grow mkt share substantially from 10%</t>
  </si>
  <si>
    <t>Market growing very rapidly</t>
  </si>
  <si>
    <t>Good growth pre-launch. Subs coming with very low ARPU's there</t>
  </si>
  <si>
    <t>Margin guidance in Colombia?</t>
  </si>
  <si>
    <t>Check Colombia subs numbers</t>
  </si>
  <si>
    <t>6m June</t>
  </si>
  <si>
    <t>Gabon</t>
  </si>
  <si>
    <t>Kenya</t>
  </si>
  <si>
    <t>Malawi</t>
  </si>
  <si>
    <t>Niger</t>
  </si>
  <si>
    <t>Sudan</t>
  </si>
  <si>
    <t>Uganda</t>
  </si>
  <si>
    <t>Zambia</t>
  </si>
  <si>
    <t>Kuwait</t>
  </si>
  <si>
    <t>Jordan</t>
  </si>
  <si>
    <t>Bahrain</t>
  </si>
  <si>
    <t>Iraq</t>
  </si>
  <si>
    <t>Asian sale</t>
  </si>
  <si>
    <t>Prop consolidation</t>
  </si>
  <si>
    <t>Total Asia</t>
  </si>
  <si>
    <t>EV/EBITDA 09e</t>
  </si>
  <si>
    <t>09e EBITDA</t>
  </si>
  <si>
    <t>What would happen to the Vietnam negotiations in the event of a sale…memorandum of understanding signed at what level?</t>
  </si>
  <si>
    <t>Q1 11</t>
  </si>
  <si>
    <t>2005 expected to see one new GSM and one new CDMA launch in Vietnam</t>
  </si>
  <si>
    <t>Back ground to failure to extent agreement?</t>
  </si>
  <si>
    <t>Guidance on impact of acquisitions in 2006?</t>
  </si>
  <si>
    <t>Corporate and licence acquisition costs</t>
  </si>
  <si>
    <t>Gain on exchange and disposal of investments</t>
  </si>
  <si>
    <t>Valuation movement on sec. invests</t>
  </si>
  <si>
    <t>Fair value result on financial instruments</t>
  </si>
  <si>
    <t>Gain (+), loss (-) on Tele2 shares</t>
  </si>
  <si>
    <t>Other expenses</t>
  </si>
  <si>
    <t>Exchange loss net</t>
  </si>
  <si>
    <t>5% mandatory exchangeable…</t>
  </si>
  <si>
    <t>Increase management and brand fees management pays to corporate</t>
  </si>
  <si>
    <t xml:space="preserve">Egypt </t>
  </si>
  <si>
    <t xml:space="preserve">Iraq </t>
  </si>
  <si>
    <t>Bangladesh</t>
  </si>
  <si>
    <t xml:space="preserve">Zimbabwe </t>
  </si>
  <si>
    <t>South Africa</t>
  </si>
  <si>
    <t>One offs in Senegal and in Sierra Leone. How much?</t>
  </si>
  <si>
    <t>Group adj for CA</t>
  </si>
  <si>
    <t>Group attributable</t>
  </si>
  <si>
    <t>One-offs</t>
  </si>
  <si>
    <t>Exchange loss net/other</t>
  </si>
  <si>
    <t>7 feb, per sec billing in all 3 mkts</t>
  </si>
  <si>
    <t>OpFCF (MICC definition)</t>
  </si>
  <si>
    <t>Taxes</t>
  </si>
  <si>
    <t>EBITDA less capex</t>
  </si>
  <si>
    <t>New brand in mkt in Q4</t>
  </si>
  <si>
    <t>Usch</t>
  </si>
  <si>
    <t>Currently</t>
  </si>
  <si>
    <t>Companies yet to lower rates due to legal issues</t>
  </si>
  <si>
    <t>G&amp;A falling as % rev due to economies of scale</t>
  </si>
  <si>
    <t>Value of EV in terminal year…compared to Orascom/other EMEA</t>
  </si>
  <si>
    <t>Costs in Q2 in Pakistan…realistic margin going forward?</t>
  </si>
  <si>
    <t>Nov 20 - Ghana/Senegal</t>
  </si>
  <si>
    <t>Net debt - $600m off BS from Tele2 convert + Pakcom debt. How much debt in Pakcom</t>
  </si>
  <si>
    <t>Income</t>
  </si>
  <si>
    <t>GNI/cap</t>
  </si>
  <si>
    <t>Other examples of positive elasticity?</t>
  </si>
  <si>
    <t>yoy</t>
  </si>
  <si>
    <t>CA (Am Movil)</t>
  </si>
  <si>
    <t>CA ARPU analysis</t>
  </si>
  <si>
    <t>Are there other revenues in there?</t>
  </si>
  <si>
    <t>2007 $ GNI/cap (Atlas Method) - RHS</t>
  </si>
  <si>
    <t>DRC operation?</t>
  </si>
  <si>
    <t>$800m</t>
  </si>
  <si>
    <t>ROOM TO GET GROUP MARGINS UP</t>
  </si>
  <si>
    <t>ghana - issue on tax. In may, 6% tax on outgoing calls on revenue on all operators. Will be passed onto customers</t>
  </si>
  <si>
    <t>over 50% capex spend will be in africa</t>
  </si>
  <si>
    <t>Group ex Colombia</t>
  </si>
  <si>
    <t>Paraguay wil be first with 3G</t>
  </si>
  <si>
    <t xml:space="preserve">Clean goodwill as % net </t>
  </si>
  <si>
    <t xml:space="preserve">Clean intangible as % net </t>
  </si>
  <si>
    <t>Gross intangibles</t>
  </si>
  <si>
    <t>Goodwill</t>
  </si>
  <si>
    <t>Other intangible</t>
  </si>
  <si>
    <t>Total gross</t>
  </si>
  <si>
    <t>Acquisition goodwill</t>
  </si>
  <si>
    <t>Acquisition other intangible</t>
  </si>
  <si>
    <t>Accumulated goodwill</t>
  </si>
  <si>
    <t>Senior debt</t>
  </si>
  <si>
    <t>Accumulated other intangible</t>
  </si>
  <si>
    <t>Net intangibles</t>
  </si>
  <si>
    <t>Total net</t>
  </si>
  <si>
    <t>Associate income</t>
  </si>
  <si>
    <t>Net income (post amortisation)</t>
  </si>
  <si>
    <t>Exceptional income</t>
  </si>
  <si>
    <t>Total</t>
  </si>
  <si>
    <t>Additions/Disposals through year</t>
  </si>
  <si>
    <t>Deferred tax receivable</t>
  </si>
  <si>
    <t>Working Capital analysis</t>
  </si>
  <si>
    <t>change (+ve = cash in)</t>
  </si>
  <si>
    <t>Current receivables</t>
  </si>
  <si>
    <t>Accounts payable</t>
  </si>
  <si>
    <t>Other s-t liabilities</t>
  </si>
  <si>
    <t>Total WC movement</t>
  </si>
  <si>
    <t>CA - for higher traffic</t>
  </si>
  <si>
    <t>Coverage across Africa</t>
  </si>
  <si>
    <t>Continued invs in Sri Lanka</t>
  </si>
  <si>
    <t>Capex/sales will decrease going forward</t>
  </si>
  <si>
    <t>Depr</t>
  </si>
  <si>
    <t>Q1 07 of 78m, reflects increased level of invs</t>
  </si>
  <si>
    <t>Tigo in DRC and Colombia. Almost complete. Laos in Q1 2007</t>
  </si>
  <si>
    <t>Paraguay - EBITDA margin reached 50%</t>
  </si>
  <si>
    <t>Use of cash?</t>
  </si>
  <si>
    <t>Sri Lanka &amp; DRC driving higher sales &amp; mkting</t>
  </si>
  <si>
    <t>SA rev, $</t>
  </si>
  <si>
    <t>Cash return not high on the agenda</t>
  </si>
  <si>
    <t>In absolute terms, lower in 2007</t>
  </si>
  <si>
    <t>Debt will rise over the year due to underlevered position. Will increase debt to finance capex. This will increase cash balance even further</t>
  </si>
  <si>
    <t>Considering further min buyouts</t>
  </si>
  <si>
    <t>Dec 08 - will look to repay 10% notes</t>
  </si>
  <si>
    <t xml:space="preserve">&gt;11% on col debt </t>
  </si>
  <si>
    <t>looking to refinance col debt</t>
  </si>
  <si>
    <t>Has risen yoy</t>
  </si>
  <si>
    <t>Increased man and brand fees. However, losses at Col and DRC which provide no tax benefit</t>
  </si>
  <si>
    <t>% change</t>
  </si>
  <si>
    <t>Population</t>
  </si>
  <si>
    <t xml:space="preserve">SE Asia </t>
  </si>
  <si>
    <t>Q4 06</t>
  </si>
  <si>
    <t>SA inc Colombia</t>
  </si>
  <si>
    <t>Central America attrib</t>
  </si>
  <si>
    <t>Q4 2006</t>
  </si>
  <si>
    <t>Capex?</t>
  </si>
  <si>
    <t>Q4 y/y</t>
  </si>
  <si>
    <t>Q4 09</t>
  </si>
  <si>
    <t>arpu, $</t>
  </si>
  <si>
    <t>drc/$</t>
  </si>
  <si>
    <r>
      <t>·</t>
    </r>
    <r>
      <rPr>
        <sz val="7"/>
        <color indexed="62"/>
        <rFont val="Times New Roman"/>
        <family val="1"/>
      </rPr>
      <t xml:space="preserve">         </t>
    </r>
    <r>
      <rPr>
        <sz val="11"/>
        <color indexed="62"/>
        <rFont val="Calibri"/>
        <family val="2"/>
      </rPr>
      <t>Excise duty was new for DRC at 4% from April and 7% from September and increasing to 10% from January</t>
    </r>
  </si>
  <si>
    <r>
      <t>·</t>
    </r>
    <r>
      <rPr>
        <sz val="7"/>
        <color indexed="62"/>
        <rFont val="Times New Roman"/>
        <family val="1"/>
      </rPr>
      <t xml:space="preserve">         </t>
    </r>
    <r>
      <rPr>
        <sz val="11"/>
        <color indexed="62"/>
        <rFont val="Calibri"/>
        <family val="2"/>
      </rPr>
      <t>We also have some new taxes introduced recently in DRC</t>
    </r>
  </si>
  <si>
    <t>Check taxes in DRC…total impact on numbers from rising taxes</t>
  </si>
  <si>
    <t>Tanzania..any change to Tanzania?</t>
  </si>
  <si>
    <t>Excise duties in Africa</t>
  </si>
  <si>
    <t>ARPU's down in Central America?</t>
  </si>
  <si>
    <t>Very strong subs intake in Q2</t>
  </si>
  <si>
    <t>VAS in Paraguay…local currency supporting trends</t>
  </si>
  <si>
    <t xml:space="preserve">Points of sale? </t>
  </si>
  <si>
    <t>South Asia</t>
  </si>
  <si>
    <t>Iran</t>
  </si>
  <si>
    <t>El Salvador</t>
  </si>
  <si>
    <t>Bolivia</t>
  </si>
  <si>
    <t>Paraguay</t>
  </si>
  <si>
    <t>Guatemala</t>
  </si>
  <si>
    <t>Honduras</t>
  </si>
  <si>
    <t>Stake</t>
  </si>
  <si>
    <t>Ghana</t>
  </si>
  <si>
    <t>Mauritius</t>
  </si>
  <si>
    <t>Senegal</t>
  </si>
  <si>
    <t>Forced listing of Tanzanian companies?</t>
  </si>
  <si>
    <t>Gp tax could get to 30% by 2009</t>
  </si>
  <si>
    <t>Usd</t>
  </si>
  <si>
    <t>Debt by country</t>
  </si>
  <si>
    <t>USD m</t>
  </si>
  <si>
    <t>12m rolling</t>
  </si>
  <si>
    <t>Guatemala (local fx)</t>
  </si>
  <si>
    <t>Cash in</t>
  </si>
  <si>
    <t>NPV guidance</t>
  </si>
  <si>
    <t>Cash/opex</t>
  </si>
  <si>
    <t>Total Africa</t>
  </si>
  <si>
    <t>Implied book value for towers</t>
  </si>
  <si>
    <t xml:space="preserve">No of towers </t>
  </si>
  <si>
    <t>Time of deal</t>
  </si>
  <si>
    <t>Book value of towers</t>
  </si>
  <si>
    <t>Market price</t>
  </si>
  <si>
    <t xml:space="preserve">Value upside </t>
  </si>
  <si>
    <t>Colombia option value</t>
  </si>
  <si>
    <t>Sold to Helios</t>
  </si>
  <si>
    <t>Remaining towers</t>
  </si>
  <si>
    <t>Book value (held for sale)</t>
  </si>
  <si>
    <t>Ghana completed  in Q2</t>
  </si>
  <si>
    <t>Tanzania 1st Sept closing</t>
  </si>
  <si>
    <t>Price</t>
  </si>
  <si>
    <t>Towers</t>
  </si>
  <si>
    <t>Gross book value</t>
  </si>
  <si>
    <t>Milli's towers</t>
  </si>
  <si>
    <t>No of sites</t>
  </si>
  <si>
    <t>Gross book per tower</t>
  </si>
  <si>
    <t>Millicom Africa</t>
  </si>
  <si>
    <t>Europe</t>
  </si>
  <si>
    <t>Other VAS</t>
  </si>
  <si>
    <t>MI: handset</t>
  </si>
  <si>
    <t>MI: dongles</t>
  </si>
  <si>
    <t>W Europe</t>
  </si>
  <si>
    <t>Japan</t>
  </si>
  <si>
    <t>Korea</t>
  </si>
  <si>
    <t>Singapore</t>
  </si>
  <si>
    <t>Hong Kong</t>
  </si>
  <si>
    <t>Morocco</t>
  </si>
  <si>
    <t>Poland</t>
  </si>
  <si>
    <t>Czech Rep</t>
  </si>
  <si>
    <t>Millicom LATAM</t>
  </si>
  <si>
    <t>CA revs (local fx)</t>
  </si>
  <si>
    <t>Guatemala (local)</t>
  </si>
  <si>
    <t>Remittances (local fx)</t>
  </si>
  <si>
    <t>http://www.imf.org/external/pubs/ft/survey/so/2011/CAR100511A.htm</t>
  </si>
  <si>
    <t>Q3 11</t>
  </si>
  <si>
    <t>Voice revs, USD</t>
  </si>
  <si>
    <t>Voice revs, local fx</t>
  </si>
  <si>
    <t>Real GDP growth CA</t>
  </si>
  <si>
    <t>Real GDP growth SA</t>
  </si>
  <si>
    <t>Unbanked population across MIC LATAM</t>
  </si>
  <si>
    <t>% penetration of Millicom LATAM subs base</t>
  </si>
  <si>
    <t>as a % total POP</t>
  </si>
  <si>
    <t>Revenue from financial service, USDm</t>
  </si>
  <si>
    <t>Handsets (used for 2G/3G browsing), m</t>
  </si>
  <si>
    <t>Dongles, m</t>
  </si>
  <si>
    <t>Handset data ARPU, USD</t>
  </si>
  <si>
    <t>FX expectations</t>
  </si>
  <si>
    <t>2018 vs spot</t>
  </si>
  <si>
    <t>Book value/tower</t>
  </si>
  <si>
    <t>multiple</t>
  </si>
  <si>
    <t>per tower</t>
  </si>
  <si>
    <t>No of towers</t>
  </si>
  <si>
    <t>Stake in Tower Co</t>
  </si>
  <si>
    <t>&gt;600</t>
  </si>
  <si>
    <t>Cash, USDm</t>
  </si>
  <si>
    <t>NPV guidance, USDm</t>
  </si>
  <si>
    <t>Sale to</t>
  </si>
  <si>
    <t>Helio Africa</t>
  </si>
  <si>
    <t>American Tower</t>
  </si>
  <si>
    <t>TEF Guatemala</t>
  </si>
  <si>
    <t>Total Africa + LATAM</t>
  </si>
  <si>
    <t>Option on 20% + 20%</t>
  </si>
  <si>
    <t>network sharing</t>
  </si>
  <si>
    <t>per share, SEK</t>
  </si>
  <si>
    <t>EV, US$ m</t>
  </si>
  <si>
    <t>Equity, US$ m</t>
  </si>
  <si>
    <t>Market price/tower (US$)</t>
  </si>
  <si>
    <t>Assumed  NBV/tower</t>
  </si>
  <si>
    <t>Millicom's stake</t>
  </si>
  <si>
    <t>Equity value to Millicom</t>
  </si>
  <si>
    <t>Millicom's potential stake</t>
  </si>
  <si>
    <t>Towers/sites</t>
  </si>
  <si>
    <t>% POPs</t>
  </si>
  <si>
    <t>Total sites</t>
  </si>
  <si>
    <t>Date</t>
  </si>
  <si>
    <t>MTN Ghana</t>
  </si>
  <si>
    <t>Buyer</t>
  </si>
  <si>
    <t>Viom Networks</t>
  </si>
  <si>
    <t>Aircel (India)</t>
  </si>
  <si>
    <t>Quippo (India)</t>
  </si>
  <si>
    <t>GTL Infrastructure</t>
  </si>
  <si>
    <t>Tower company</t>
  </si>
  <si>
    <t>51% American Tower, 49% MTN JV</t>
  </si>
  <si>
    <t>Price, US$m</t>
  </si>
  <si>
    <t>Per tower, US$</t>
  </si>
  <si>
    <t>Essar Telecom  Infr</t>
  </si>
  <si>
    <t>Implied price/tower</t>
  </si>
  <si>
    <t>Helio stake</t>
  </si>
  <si>
    <t>Price per tower</t>
  </si>
  <si>
    <t>2016E</t>
  </si>
  <si>
    <t>No of operators</t>
  </si>
  <si>
    <t>DRC (KBC area)</t>
  </si>
  <si>
    <t>Total in previous year's fx</t>
  </si>
  <si>
    <t>fx impact</t>
  </si>
  <si>
    <t>local fx growth</t>
  </si>
  <si>
    <t>Upgrade to price target</t>
  </si>
  <si>
    <t>SEK vs $</t>
  </si>
  <si>
    <t>less</t>
  </si>
  <si>
    <t>plus</t>
  </si>
  <si>
    <t>Latam FX</t>
  </si>
  <si>
    <t>New target</t>
  </si>
  <si>
    <t>Old target</t>
  </si>
  <si>
    <t>Total VAS</t>
  </si>
  <si>
    <t>Total data revs</t>
  </si>
  <si>
    <t>New versus old numbers</t>
  </si>
  <si>
    <t xml:space="preserve">OLD </t>
  </si>
  <si>
    <t>At a 30% assumed margin, this suggests a 6% EBITDA hit</t>
  </si>
  <si>
    <t>Bill passed during Q3 11</t>
  </si>
  <si>
    <t>1st cut in April 2012</t>
  </si>
  <si>
    <t>Equalising on-net and off-net retail prices</t>
  </si>
  <si>
    <t>20% MTR cut</t>
  </si>
  <si>
    <t>Mid-October 2011</t>
  </si>
  <si>
    <t>No guidance given</t>
  </si>
  <si>
    <t>50% MTR cut over 3 years from $0.05 to $0.025/min (last cut was 50% in Dec 2008)</t>
  </si>
  <si>
    <t xml:space="preserve"> termination than 2008, when margins fell from 25% to 12% post cut</t>
  </si>
  <si>
    <t>According to Millicom, EBITDA should be limited as much less dependent on</t>
  </si>
  <si>
    <t>With 12% revs share, MTR cut should be theoretically positive for Millicom long-term</t>
  </si>
  <si>
    <t>US$6m off annual  EBITDA, equates to c.2% of Honduran EBITDA</t>
  </si>
  <si>
    <t>Tax asset</t>
  </si>
  <si>
    <t>Less: tax assets</t>
  </si>
  <si>
    <t>Recognised tax asset</t>
  </si>
  <si>
    <t>NOLs</t>
  </si>
  <si>
    <t>Pre-tax profit</t>
  </si>
  <si>
    <t>eur/col</t>
  </si>
  <si>
    <t>eur</t>
  </si>
  <si>
    <t>cop</t>
  </si>
  <si>
    <t>as % total LATAM SIMs</t>
  </si>
  <si>
    <t>Corporate tax rate moving from 25% to 30%</t>
  </si>
  <si>
    <t>Expected early 2012</t>
  </si>
  <si>
    <t xml:space="preserve">Plus: Net debt </t>
  </si>
  <si>
    <t>Year end number of shares  (ex Treasury)</t>
  </si>
  <si>
    <t>Average number of shares  (ex Treasury)</t>
  </si>
  <si>
    <t>ROIC</t>
  </si>
  <si>
    <t>Q1 12</t>
  </si>
  <si>
    <t>Constant FX growth</t>
  </si>
  <si>
    <t>Q2 12e</t>
  </si>
  <si>
    <t>Pre Q1 12</t>
  </si>
  <si>
    <t>Data revenue</t>
  </si>
  <si>
    <t>MICC data as % revs</t>
  </si>
  <si>
    <t>Tef data eur</t>
  </si>
  <si>
    <t>Total data revenue</t>
  </si>
  <si>
    <t>Total minutes</t>
  </si>
  <si>
    <t>TEF minutes</t>
  </si>
  <si>
    <t>Total market minutes</t>
  </si>
  <si>
    <t>n</t>
  </si>
  <si>
    <t xml:space="preserve">Cell C (South Africa) </t>
  </si>
  <si>
    <t>Telefonica (Mexico)</t>
  </si>
  <si>
    <t>Vivo (Brazil)</t>
  </si>
  <si>
    <t>"3rd party"</t>
  </si>
  <si>
    <t>2013e</t>
  </si>
  <si>
    <t>Group revenue</t>
  </si>
  <si>
    <t>Q2 12</t>
  </si>
  <si>
    <t xml:space="preserve">    - Mobile internet (2G/3G)</t>
  </si>
  <si>
    <t xml:space="preserve">    - Other information</t>
  </si>
  <si>
    <t>Total information</t>
  </si>
  <si>
    <t>MFS (Tigo Cash)</t>
  </si>
  <si>
    <t>LatAm</t>
  </si>
  <si>
    <t>Weighted share trends</t>
  </si>
  <si>
    <t>ex-Rwanda</t>
  </si>
  <si>
    <t>ex-Colombia</t>
  </si>
  <si>
    <t>Africa ex Rwanda</t>
  </si>
  <si>
    <t>Subsidies</t>
  </si>
  <si>
    <t>Equipment sales</t>
  </si>
  <si>
    <t>Total equipment costs</t>
  </si>
  <si>
    <t>Changes to numbers</t>
  </si>
  <si>
    <t>NEW, US$m</t>
  </si>
  <si>
    <t>Towers/others</t>
  </si>
  <si>
    <t>Cablevision Paraguay</t>
  </si>
  <si>
    <t>Rocket Internet</t>
  </si>
  <si>
    <t>Implied Cablevision</t>
  </si>
  <si>
    <t>Economic ownership</t>
  </si>
  <si>
    <t>Core business margin</t>
  </si>
  <si>
    <t>30 Mhz is reserved for new entrant</t>
  </si>
  <si>
    <t>1710MHz-1755MHz</t>
  </si>
  <si>
    <t>2600MHz-2690MHz</t>
  </si>
  <si>
    <t>2110MHz-2155MHz</t>
  </si>
  <si>
    <t>1850MHz-1990MHz</t>
  </si>
  <si>
    <t>** A PTT provider operating over iDEN network</t>
  </si>
  <si>
    <t>* 100% owned by EPM, Medellin utility provider</t>
  </si>
  <si>
    <t>Estimated cost, US$m</t>
  </si>
  <si>
    <t>Colombian spectrum</t>
  </si>
  <si>
    <t>Post Q2 12</t>
  </si>
  <si>
    <t>Pre Q2 12</t>
  </si>
  <si>
    <t>Pre Q4 11</t>
  </si>
  <si>
    <t>Pre Q3 11</t>
  </si>
  <si>
    <t>Pre Q2 11</t>
  </si>
  <si>
    <t>Pre Q1 11</t>
  </si>
  <si>
    <t>Still in consultation</t>
  </si>
  <si>
    <t>Blocks not clear</t>
  </si>
  <si>
    <t>TV</t>
  </si>
  <si>
    <t>Term mult</t>
  </si>
  <si>
    <t>Core revenue</t>
  </si>
  <si>
    <t>Core constant FX growth</t>
  </si>
  <si>
    <t>Growth including Rocket</t>
  </si>
  <si>
    <t>Rocket as % total</t>
  </si>
  <si>
    <t>New estimates, US$m</t>
  </si>
  <si>
    <t>Core EBITDA</t>
  </si>
  <si>
    <t>Group EBITDA</t>
  </si>
  <si>
    <t>Core minorities (Hond, Col)</t>
  </si>
  <si>
    <t>Rocket minorities</t>
  </si>
  <si>
    <t>Ownership in Rocket*</t>
  </si>
  <si>
    <t>* Assume options exercised in September of 2013 and 2014. Assume move to full control on 1 Jan 2016</t>
  </si>
  <si>
    <t>NEW clean net income</t>
  </si>
  <si>
    <t>OLD clean net income</t>
  </si>
  <si>
    <t>US$m</t>
  </si>
  <si>
    <t>Cash from tower sales</t>
  </si>
  <si>
    <t>Cash flow pre-cash return</t>
  </si>
  <si>
    <t>Ordinary dividend</t>
  </si>
  <si>
    <t>Buy-back</t>
  </si>
  <si>
    <t>Cash flow post cash return</t>
  </si>
  <si>
    <t>Cash return to mkt cap</t>
  </si>
  <si>
    <t>Total cash return</t>
  </si>
  <si>
    <t>Ora has a 3G licence</t>
  </si>
  <si>
    <t>Other spectrum</t>
  </si>
  <si>
    <t xml:space="preserve">LatAm mobile </t>
  </si>
  <si>
    <t>Comparable cash return yields</t>
  </si>
  <si>
    <t>EV/EBITDA 1 year rolling forward</t>
  </si>
  <si>
    <t>NII Holdings</t>
  </si>
  <si>
    <t>Oi</t>
  </si>
  <si>
    <t>Telecom Argentina</t>
  </si>
  <si>
    <t>Telefonos de Mexico</t>
  </si>
  <si>
    <t>na</t>
  </si>
  <si>
    <t>TIM Participacoes</t>
  </si>
  <si>
    <t>Telefonica Brasil</t>
  </si>
  <si>
    <t>Aggregate EM Incumbents</t>
  </si>
  <si>
    <t>Aggregate EM Cellular</t>
  </si>
  <si>
    <t>Average premium to sector</t>
  </si>
  <si>
    <t>Millicom premium vs EM Cellular</t>
  </si>
  <si>
    <t>Comment</t>
  </si>
  <si>
    <t>Disappointing Q2 results, driven by African voice and weak LatAm margins</t>
  </si>
  <si>
    <t>Small EBITDA losses but, more materially, including future call options as a minority in our EV</t>
  </si>
  <si>
    <t>10% positive USD move, despite weak SEK-based performance</t>
  </si>
  <si>
    <t>Higher licence liabilities for Colombia in our EV, small dilution for paying 7.5x EBITDA for Cablevision</t>
  </si>
  <si>
    <t>Rocket</t>
  </si>
  <si>
    <t>* Guatemala, Honduras and Mauritius are proportionately consolidated and the subs number is adjusted to reflect this</t>
  </si>
  <si>
    <t>DR Congo (KBC area)</t>
  </si>
  <si>
    <t>Divested/Other (Rocket)</t>
  </si>
  <si>
    <t>Q3 12</t>
  </si>
  <si>
    <t>Special dividend</t>
  </si>
  <si>
    <t>Senegal concession payment</t>
  </si>
  <si>
    <t>Online</t>
  </si>
  <si>
    <t>Q4 12</t>
  </si>
  <si>
    <t>constant fx revs</t>
  </si>
  <si>
    <t xml:space="preserve">constant FX, ex-online </t>
  </si>
  <si>
    <t>&gt;40%</t>
  </si>
  <si>
    <t>-125 to -200</t>
  </si>
  <si>
    <t>&gt;100m</t>
  </si>
  <si>
    <t>Clean OpFCF margin</t>
  </si>
  <si>
    <t>EBITDA margin after corp costs</t>
  </si>
  <si>
    <t>&gt;36.3%*</t>
  </si>
  <si>
    <t>Group ex-Rocket, 2013</t>
  </si>
  <si>
    <t>Rocket, 2013 (US$m)</t>
  </si>
  <si>
    <t>Group capex/sales</t>
  </si>
  <si>
    <t xml:space="preserve"> est &gt;17%</t>
  </si>
  <si>
    <t>Core revs</t>
  </si>
  <si>
    <t>Rocket EBITDA</t>
  </si>
  <si>
    <t>Group capex</t>
  </si>
  <si>
    <t>less corp costs</t>
  </si>
  <si>
    <t>Clean group EBITDA</t>
  </si>
  <si>
    <t>Low-end</t>
  </si>
  <si>
    <t>Optimistic</t>
  </si>
  <si>
    <t>difference to consensus</t>
  </si>
  <si>
    <t>(corp costs as % sales)</t>
  </si>
  <si>
    <t>OpFCF (after corp costs, inc Rocket)</t>
  </si>
  <si>
    <t>as % group sales</t>
  </si>
  <si>
    <t>EFCF + working capital moves</t>
  </si>
  <si>
    <t>Net debt/clean EBITDA</t>
  </si>
  <si>
    <t>Net debt/rep EBITDA</t>
  </si>
  <si>
    <t>Tigo (NSR estimate for 100%), US$m</t>
  </si>
  <si>
    <t>epm (under Colombian GAAP, US$m)</t>
  </si>
  <si>
    <t>9m to Sept 11</t>
  </si>
  <si>
    <t>9m to Sept 12</t>
  </si>
  <si>
    <t>Core revenue inc UNE</t>
  </si>
  <si>
    <t>Estimate for UNE</t>
  </si>
  <si>
    <t>...2013 growth will certainly be below this run-rate though</t>
  </si>
  <si>
    <t>% core growth (constant fx)</t>
  </si>
  <si>
    <t>Core revenue ex UNE, ex Rocket</t>
  </si>
  <si>
    <t>Corporate costs to fall as % of sales to 2.5% in 2017 from &gt;3% today</t>
  </si>
  <si>
    <t>Using the mid-point of a US$1-1.5bn range for UNE and for simplification assuming flat</t>
  </si>
  <si>
    <t>Below 15% from 2016 onwards</t>
  </si>
  <si>
    <t>Core EBITDA ex UNE, ex Rocket</t>
  </si>
  <si>
    <t>Clean EBITDA with UNE</t>
  </si>
  <si>
    <t>Clean core EBITDA, ex UNE, ex Rocket</t>
  </si>
  <si>
    <t>Capex, ex-Rocket inc UNE</t>
  </si>
  <si>
    <t>Estimate for UNE capex</t>
  </si>
  <si>
    <t>as % UNE sales</t>
  </si>
  <si>
    <t>Core capex, ex UNE ex Rocket</t>
  </si>
  <si>
    <t>Core OpFCF, ex UNE ex Rocket</t>
  </si>
  <si>
    <t>Assume Rocket capex very minimal</t>
  </si>
  <si>
    <t>less tax</t>
  </si>
  <si>
    <t>Post-tax guidance is ex-UNE ex-Rocket</t>
  </si>
  <si>
    <t>Reflects expected synergies, and assumed to be in-line with group</t>
  </si>
  <si>
    <t>diff vs</t>
  </si>
  <si>
    <t>vs our</t>
  </si>
  <si>
    <t>Conclusions</t>
  </si>
  <si>
    <t>Revenue, EBITDA well ahead of us but so is capex.</t>
  </si>
  <si>
    <t>At the limits of their guidance, OpFCF could potentially come in ahead of our pre Q4 estimates</t>
  </si>
  <si>
    <t>Underlying revs &gt;10% CAGR, vs 5.5% in Q4 and 8% FY 12…</t>
  </si>
  <si>
    <t xml:space="preserve">Stabilise at 35% from 2014 </t>
  </si>
  <si>
    <t>Questions</t>
  </si>
  <si>
    <t>Cash flow definition for 2012..tax charge?</t>
  </si>
  <si>
    <t>Cumulative losses of $330m before breakeven</t>
  </si>
  <si>
    <r>
      <t xml:space="preserve">Rocket target is </t>
    </r>
    <r>
      <rPr>
        <u/>
        <sz val="10"/>
        <rFont val="Trebuchet MS"/>
        <family val="2"/>
      </rPr>
      <t>very</t>
    </r>
    <r>
      <rPr>
        <sz val="10"/>
        <rFont val="Trebuchet MS"/>
        <family val="2"/>
      </rPr>
      <t xml:space="preserve"> conservative in management's view</t>
    </r>
  </si>
  <si>
    <t>UNE (and broader cable) capex will be above group average</t>
  </si>
  <si>
    <t>MFS</t>
  </si>
  <si>
    <t>2012-17 CAGR</t>
  </si>
  <si>
    <t>slide 114. adding the wrong cable number?</t>
  </si>
  <si>
    <t>UNE</t>
  </si>
  <si>
    <t>Handsets/other/variance</t>
  </si>
  <si>
    <t>-3/5%</t>
  </si>
  <si>
    <t>Check mfs commission payments</t>
  </si>
  <si>
    <t>Why Tanzania? What about Ghana?</t>
  </si>
  <si>
    <t>Core NSR</t>
  </si>
  <si>
    <t>difference</t>
  </si>
  <si>
    <t>Check UNE EBITDA</t>
  </si>
  <si>
    <t>Core capex</t>
  </si>
  <si>
    <t>Core OpFCF</t>
  </si>
  <si>
    <t>Core EBITDA, ex corp costs</t>
  </si>
  <si>
    <t>% difference</t>
  </si>
  <si>
    <t>New NSR</t>
  </si>
  <si>
    <t>Changes to Core NSR</t>
  </si>
  <si>
    <t>Vs guidance</t>
  </si>
  <si>
    <t>Old NSR vs guidance</t>
  </si>
  <si>
    <t>debt</t>
  </si>
  <si>
    <t>ev</t>
  </si>
  <si>
    <t>13e mult ebitda</t>
  </si>
  <si>
    <t>equity</t>
  </si>
  <si>
    <t>New Co</t>
  </si>
  <si>
    <t>milli</t>
  </si>
  <si>
    <t>une</t>
  </si>
  <si>
    <t>Milli debt or cash injected</t>
  </si>
  <si>
    <t>Incremental EBITDA</t>
  </si>
  <si>
    <t>Is leverage target on adj or clean basis</t>
  </si>
  <si>
    <t>COL</t>
  </si>
  <si>
    <t>Operating profit</t>
  </si>
  <si>
    <t>Net financials</t>
  </si>
  <si>
    <t>vs guidance</t>
  </si>
  <si>
    <t>Cable growth includes some small acquisitions</t>
  </si>
  <si>
    <t>Launch</t>
  </si>
  <si>
    <t>Contribution to service revs</t>
  </si>
  <si>
    <t>Contribution to service revs growth</t>
  </si>
  <si>
    <t xml:space="preserve">The development of MFS is highly dependent </t>
  </si>
  <si>
    <t xml:space="preserve">upon market conditions such as the </t>
  </si>
  <si>
    <t xml:space="preserve">regulatory framework, different customer </t>
  </si>
  <si>
    <t xml:space="preserve">needs, for example for local or international </t>
  </si>
  <si>
    <t xml:space="preserve">remittances, banking penetration and the </t>
  </si>
  <si>
    <t>image of the telecom industry.</t>
  </si>
  <si>
    <t>Q4 11 report</t>
  </si>
  <si>
    <t xml:space="preserve"> of which Tanzania, Paraguay, Rwanda</t>
  </si>
  <si>
    <t>Exp 2013e</t>
  </si>
  <si>
    <t>Prop EV/EBITDA</t>
  </si>
  <si>
    <t>Prop EV/FCF</t>
  </si>
  <si>
    <t>Average sub</t>
  </si>
  <si>
    <t>Vodacom ex-SA</t>
  </si>
  <si>
    <t xml:space="preserve"> - Ghana getting more traction..</t>
  </si>
  <si>
    <t>Q1 13</t>
  </si>
  <si>
    <t>Q2 13</t>
  </si>
  <si>
    <t>Q3 13</t>
  </si>
  <si>
    <t>"Ambition"</t>
  </si>
  <si>
    <t>Assumption for UNE</t>
  </si>
  <si>
    <t>On-line</t>
  </si>
  <si>
    <t>Revenue, inc UNE, inc Rocket</t>
  </si>
  <si>
    <t>Revenue, less Rocket inc UNE</t>
  </si>
  <si>
    <t>&gt;10%</t>
  </si>
  <si>
    <t>EBITDA less corporate costs</t>
  </si>
  <si>
    <t>Ex-Rocket</t>
  </si>
  <si>
    <t>Core revenue growth, constant FX</t>
  </si>
  <si>
    <t>2012a</t>
  </si>
  <si>
    <t>"Base case" revenue</t>
  </si>
  <si>
    <t>c.35%</t>
  </si>
  <si>
    <t>Core EBITDA after corporate costs</t>
  </si>
  <si>
    <t>&lt;15%</t>
  </si>
  <si>
    <t>Core OpFCF less tax</t>
  </si>
  <si>
    <t>&gt;1,200</t>
  </si>
  <si>
    <t xml:space="preserve">Difference </t>
  </si>
  <si>
    <t>to "ambition"</t>
  </si>
  <si>
    <t>Group inc-Online, ex-MTR, Q1 Leap Year adj</t>
  </si>
  <si>
    <t>Rep EBITDA margin</t>
  </si>
  <si>
    <t>Clean EBITDA margin</t>
  </si>
  <si>
    <t xml:space="preserve">NSR vs </t>
  </si>
  <si>
    <t>Owned by EPM, Medellin utilities company</t>
  </si>
  <si>
    <t>100% owned by the city of Medellin</t>
  </si>
  <si>
    <t>Good reputation, unlike many utilities in Colombia</t>
  </si>
  <si>
    <t>2m fixed line customers in Medellin, Bogota</t>
  </si>
  <si>
    <t>Pay TV, no 2 player</t>
  </si>
  <si>
    <t>4G spectrum</t>
  </si>
  <si>
    <t>Mobile data business</t>
  </si>
  <si>
    <t>Some copper and co-ax</t>
  </si>
  <si>
    <t>Total market numbers in Colombia?</t>
  </si>
  <si>
    <t>Over 1m TV customers</t>
  </si>
  <si>
    <t>Some kind of HD service</t>
  </si>
  <si>
    <t xml:space="preserve">ETB </t>
  </si>
  <si>
    <t>Similar to EPM but not as strong</t>
  </si>
  <si>
    <t>Been trying to sell ETB</t>
  </si>
  <si>
    <t>100% owned by Bogota</t>
  </si>
  <si>
    <t>AMX &amp; TEF</t>
  </si>
  <si>
    <t>Nationwide coverage</t>
  </si>
  <si>
    <t>Would end up a similar size as Telefonica overall (fixed and mobile)</t>
  </si>
  <si>
    <t>Spent a lot on 4G</t>
  </si>
  <si>
    <t>tv</t>
  </si>
  <si>
    <t>fixed voice</t>
  </si>
  <si>
    <t>fixed bb</t>
  </si>
  <si>
    <t>City council deliberating on the deal</t>
  </si>
  <si>
    <t>Fixed BB</t>
  </si>
  <si>
    <t>Mobile voice</t>
  </si>
  <si>
    <t>ETB</t>
  </si>
  <si>
    <t xml:space="preserve">Source: </t>
  </si>
  <si>
    <t>Synergies</t>
  </si>
  <si>
    <t>epm</t>
  </si>
  <si>
    <t>Combo</t>
  </si>
  <si>
    <t>cash</t>
  </si>
  <si>
    <t>stock</t>
  </si>
  <si>
    <t>12m rolling EBITDA</t>
  </si>
  <si>
    <t>Net debt to 12m EBITDA</t>
  </si>
  <si>
    <t>Divi</t>
  </si>
  <si>
    <t>Rocket option</t>
  </si>
  <si>
    <t>Working cap/other</t>
  </si>
  <si>
    <t>Net debt following UNE deal</t>
  </si>
  <si>
    <t>12m rolling EBITDA with UNE</t>
  </si>
  <si>
    <t>margins</t>
  </si>
  <si>
    <t>45-50%</t>
  </si>
  <si>
    <t>net cash</t>
  </si>
  <si>
    <t>mkt cap</t>
  </si>
  <si>
    <t>pension liability</t>
  </si>
  <si>
    <t>ev/ebitda</t>
  </si>
  <si>
    <t>net profit</t>
  </si>
  <si>
    <t>bogota</t>
  </si>
  <si>
    <t>medellin</t>
  </si>
  <si>
    <t>UNE's TV business is very poor</t>
  </si>
  <si>
    <t>Weak content</t>
  </si>
  <si>
    <t>Can't compete against Direct TV</t>
  </si>
  <si>
    <t>UNE has been accelerating depreciation due to higher spend</t>
  </si>
  <si>
    <t>ETB cheap because Mayor of Bogota is a guerilla. Political risk</t>
  </si>
  <si>
    <t>ETB will start trying to invest in fibre</t>
  </si>
  <si>
    <t>Back to index</t>
  </si>
  <si>
    <t>FY 2011</t>
  </si>
  <si>
    <t>FY 2012</t>
  </si>
  <si>
    <t>Q1 2013</t>
  </si>
  <si>
    <t>Q2 2013</t>
  </si>
  <si>
    <t>Q3 2013</t>
  </si>
  <si>
    <t>Q4 2013</t>
  </si>
  <si>
    <t>FY 2013</t>
  </si>
  <si>
    <t>Not reviewed by auditors</t>
  </si>
  <si>
    <t>Revenue - Group</t>
  </si>
  <si>
    <t>Mobile</t>
  </si>
  <si>
    <t>Voice/SMS</t>
  </si>
  <si>
    <t>Internet</t>
  </si>
  <si>
    <t>Mobile ARPU (USD)</t>
  </si>
  <si>
    <t>Cable &amp; Digital Media</t>
  </si>
  <si>
    <t xml:space="preserve">y/y </t>
  </si>
  <si>
    <t>Cable &amp; Digital Media (Residential)</t>
  </si>
  <si>
    <t>CA voice</t>
  </si>
  <si>
    <t>SA voice</t>
  </si>
  <si>
    <t>Africa voice</t>
  </si>
  <si>
    <t>Residential cable ARPU (USD)</t>
  </si>
  <si>
    <t>CA mobile internet</t>
  </si>
  <si>
    <t>Cable &amp; Digital Media (non-Residential)</t>
  </si>
  <si>
    <t>SA mobile internet</t>
  </si>
  <si>
    <t>Africa mobile internet</t>
  </si>
  <si>
    <t>CA other VAS</t>
  </si>
  <si>
    <t>SA other VAS</t>
  </si>
  <si>
    <t>Africa other VAS</t>
  </si>
  <si>
    <t>MFS ARPU (USD)</t>
  </si>
  <si>
    <t>Other revenues</t>
  </si>
  <si>
    <t>Other (handset/equip)</t>
  </si>
  <si>
    <t>Revenue - Central America</t>
  </si>
  <si>
    <t>Revenue - South America</t>
  </si>
  <si>
    <t>Revenue - Africa</t>
  </si>
  <si>
    <t>Minimum bid</t>
  </si>
  <si>
    <t>AWS</t>
  </si>
  <si>
    <t>Incremental for</t>
  </si>
  <si>
    <t>incumbent on open</t>
  </si>
  <si>
    <t>new entrant on open</t>
  </si>
  <si>
    <t>Base price</t>
  </si>
  <si>
    <t>for all</t>
  </si>
  <si>
    <t>Total for incumbents</t>
  </si>
  <si>
    <t>on open</t>
  </si>
  <si>
    <t>Total for new entrants</t>
  </si>
  <si>
    <t>Increase by 20%</t>
  </si>
  <si>
    <t>Reserved block</t>
  </si>
  <si>
    <t>Open block</t>
  </si>
  <si>
    <t>New entrant</t>
  </si>
  <si>
    <t>Incumbent</t>
  </si>
  <si>
    <t xml:space="preserve">Spectrum </t>
  </si>
  <si>
    <t>blocks, MHz</t>
  </si>
  <si>
    <t>In US$ m (COP1836: 1US$)</t>
  </si>
  <si>
    <t>EBITDA after corp. Cost</t>
  </si>
  <si>
    <t>Continuation of Q1 trends. Tanzania was 1 March</t>
  </si>
  <si>
    <t>2.4% of revenue, 0.9pp of EBITDA margin loss. 3.0-3.5% of revenue y/y. Margin will weaken in Q2 in CA, Africa</t>
  </si>
  <si>
    <t>FY: 40% FY margin (40.3-40.5). Consensus is for stable in Q2, but is likely to fall</t>
  </si>
  <si>
    <t>Positive elasticity will come later in the year</t>
  </si>
  <si>
    <t>Tanzania is 7% of group revenue</t>
  </si>
  <si>
    <t>Honduras, its more significant at EBITDA. 17% was 1 Jan, 17% 1 March. The bigger issue</t>
  </si>
  <si>
    <t>Clean up customer base. Harmonising all  the platforms. $150m on IT. Redefining policies…</t>
  </si>
  <si>
    <t>Negative in El Salvador and Bolivia in Q1</t>
  </si>
  <si>
    <t>Laying transmission infrastructure; fibre backbone/rings</t>
  </si>
  <si>
    <t>Colombia..Auction 26th June. Bidding with ETB. Network sharing</t>
  </si>
  <si>
    <t>EBIT: $130m net income one-offs</t>
  </si>
  <si>
    <t>Losses for mobile…these will disappear</t>
  </si>
  <si>
    <t>UNE has had more investment than ETB</t>
  </si>
  <si>
    <t>Had spoken to ETB. Could revisit</t>
  </si>
  <si>
    <t>Tigo smaller in Medellin, than Bogota</t>
  </si>
  <si>
    <t>161,000 dongles</t>
  </si>
  <si>
    <t>MTR benefit from MTR has been reinvested in Colombia</t>
  </si>
  <si>
    <t>Process is delayed due to local system. Private (Tigo) merging with public/private co (UNE)</t>
  </si>
  <si>
    <t>Millicom want to have control</t>
  </si>
  <si>
    <t>Avoid local minorities</t>
  </si>
  <si>
    <t>56% of ops which are not consolidated</t>
  </si>
  <si>
    <t>Revenue of &gt;10%</t>
  </si>
  <si>
    <t xml:space="preserve">Some assets which are not part of the </t>
  </si>
  <si>
    <t>Aim to announce before 17 July (H1 results)</t>
  </si>
  <si>
    <t>2-2.5pp negative revenue impact</t>
  </si>
  <si>
    <t>Acceleration of revenue..higher side ($20-25m)</t>
  </si>
  <si>
    <t>$30m of EBITDA losses</t>
  </si>
  <si>
    <t>Nigeria..ecommerce really picking up</t>
  </si>
  <si>
    <t>Brazil - Kanui (sports, 2nd most visited for sports goods. Close to reaching the no1. "net shoes"), tricae (food, furniture, clothes). Investments in warehouses etc</t>
  </si>
  <si>
    <t>Regis Romero leaving on his own, more on the mobile side</t>
  </si>
  <si>
    <t>Notes pre Q2 13</t>
  </si>
  <si>
    <t>Tigo Money</t>
  </si>
  <si>
    <t>27 June, Myanmar</t>
  </si>
  <si>
    <t>2/ 2 licences being awared. 11 participants</t>
  </si>
  <si>
    <t>commitments. Unclear whether can jointly roll out. Some room for interpretation</t>
  </si>
  <si>
    <t>1/ upfront cost. Minimum fee ($300m) - sweeten the deal. One third allocated to price you bid</t>
  </si>
  <si>
    <t>Could consider leveraging up to 2x</t>
  </si>
  <si>
    <t>Comfortable with close to 1x</t>
  </si>
  <si>
    <t>Will hit 1.5x following Colombia</t>
  </si>
  <si>
    <t>Still a large number of Asians at Millicom…Sri Lankans knocking about</t>
  </si>
  <si>
    <t>Group revenue, $ (ex-online, Cablevision)</t>
  </si>
  <si>
    <t>Other non-operating</t>
  </si>
  <si>
    <t>LD licence amortised</t>
  </si>
  <si>
    <t>Tech obsolencence</t>
  </si>
  <si>
    <t>Change in life facilities</t>
  </si>
  <si>
    <t>Tech appraisal</t>
  </si>
  <si>
    <t>Mobile losses</t>
  </si>
  <si>
    <t>Total in D&amp;A</t>
  </si>
  <si>
    <t>Tigo EV, 100%</t>
  </si>
  <si>
    <t>Merged entity</t>
  </si>
  <si>
    <t>Millicom ownership</t>
  </si>
  <si>
    <t>Milli prop EV</t>
  </si>
  <si>
    <t>Milli's prop Tigo EV today</t>
  </si>
  <si>
    <t>Interest rate</t>
  </si>
  <si>
    <t>new borrowing</t>
  </si>
  <si>
    <t>acc borrowing</t>
  </si>
  <si>
    <t>local growth</t>
  </si>
  <si>
    <t>UNE acquisition</t>
  </si>
  <si>
    <t>New earnings</t>
  </si>
  <si>
    <t>acc/dil</t>
  </si>
  <si>
    <t>New prop EBITDA</t>
  </si>
  <si>
    <t>New prop FCF</t>
  </si>
  <si>
    <t>New prop EV</t>
  </si>
  <si>
    <t>New prop net debt</t>
  </si>
  <si>
    <t>New consol EBITDA (rep)</t>
  </si>
  <si>
    <t>New consol EBITDA (clean)</t>
  </si>
  <si>
    <t xml:space="preserve">Net debt/EBITDA (consol, rep) </t>
  </si>
  <si>
    <t xml:space="preserve">Net debt/EBITDA (consol, clean) </t>
  </si>
  <si>
    <t>Milli' cash/debt contribution</t>
  </si>
  <si>
    <t>New consol net debt</t>
  </si>
  <si>
    <t>US$/MHz/POP</t>
  </si>
  <si>
    <t>June 26, 2013 - spectrum, MHz</t>
  </si>
  <si>
    <t>US cent/MHz/POP</t>
  </si>
  <si>
    <t>* MICC bid in June 26 auction with ETB</t>
  </si>
  <si>
    <t>June 26, result, COP bn</t>
  </si>
  <si>
    <t>June 26, 2013 - US$m</t>
  </si>
  <si>
    <t>Less: licences</t>
  </si>
  <si>
    <t>Colombia mobile</t>
  </si>
  <si>
    <t>Broadband subs</t>
  </si>
  <si>
    <t>Colombia fixed</t>
  </si>
  <si>
    <t>Voice lines, 000s</t>
  </si>
  <si>
    <t>Market share of voice</t>
  </si>
  <si>
    <t>Telcel</t>
  </si>
  <si>
    <t>Uff</t>
  </si>
  <si>
    <t>Revs, US$m</t>
  </si>
  <si>
    <t>USD/COP</t>
  </si>
  <si>
    <t>Revs, COPm</t>
  </si>
  <si>
    <t>Mobile data</t>
  </si>
  <si>
    <t>Comcel</t>
  </si>
  <si>
    <t>Residential</t>
  </si>
  <si>
    <t>Telmex acquired 8 year TV licence in Colombia in Jan 2012</t>
  </si>
  <si>
    <t>UNE's BB growth coming from DSL and cable. Outside of Bogota, losing market share</t>
  </si>
  <si>
    <t>Is UNE unbundling or owns/putting in copper connections?</t>
  </si>
  <si>
    <t>Comcel: 3 wireless concessions come up for renewals in March 14. Which ones, what risk here?</t>
  </si>
  <si>
    <t>Market share of BB</t>
  </si>
  <si>
    <t>Covers 70% of Colombia POPs</t>
  </si>
  <si>
    <t>Pereira</t>
  </si>
  <si>
    <t>Edatel</t>
  </si>
  <si>
    <t>Emtelco SA</t>
  </si>
  <si>
    <t>Int Services</t>
  </si>
  <si>
    <t>Five Telecom (US)</t>
  </si>
  <si>
    <t>Orbitel  (Spain)</t>
  </si>
  <si>
    <t>Ownership:</t>
  </si>
  <si>
    <t>- of which</t>
  </si>
  <si>
    <t>Net</t>
  </si>
  <si>
    <t>Telecoms</t>
  </si>
  <si>
    <t>SME</t>
  </si>
  <si>
    <t>Elims</t>
  </si>
  <si>
    <t>Long distance</t>
  </si>
  <si>
    <t>Applications and content</t>
  </si>
  <si>
    <t>business process outsourcing</t>
  </si>
  <si>
    <t>telecoms services in pereira</t>
  </si>
  <si>
    <t>Did UNE made an acquisition in Q4 in Bogota? UNE EPM Bogota merged in June 12?</t>
  </si>
  <si>
    <t>telco services</t>
  </si>
  <si>
    <t>Total RGUs</t>
  </si>
  <si>
    <t>TV subs</t>
  </si>
  <si>
    <t>DirectTV</t>
  </si>
  <si>
    <t>Market share of TV</t>
  </si>
  <si>
    <t>TV penetration</t>
  </si>
  <si>
    <t>Households</t>
  </si>
  <si>
    <t>Voice penetration</t>
  </si>
  <si>
    <t xml:space="preserve"> of which residential</t>
  </si>
  <si>
    <t xml:space="preserve"> of which corporate</t>
  </si>
  <si>
    <t xml:space="preserve"> - of which residential</t>
  </si>
  <si>
    <t xml:space="preserve"> - of which corporate</t>
  </si>
  <si>
    <t>Residential penetration</t>
  </si>
  <si>
    <t>BB lines as % voice</t>
  </si>
  <si>
    <t>TV as % broadband</t>
  </si>
  <si>
    <t>% fixed margin</t>
  </si>
  <si>
    <t>One-offs for net income</t>
  </si>
  <si>
    <t>UNE Group, COP bn</t>
  </si>
  <si>
    <t>Split by product</t>
  </si>
  <si>
    <t>COP/US$</t>
  </si>
  <si>
    <t>EBITDA, US$m</t>
  </si>
  <si>
    <t>Capex, US$m</t>
  </si>
  <si>
    <t>Central America, $ m</t>
  </si>
  <si>
    <t>Total CA revenue</t>
  </si>
  <si>
    <t>Mobile revenue</t>
  </si>
  <si>
    <t>CA ex-Amnet (incs MFS)</t>
  </si>
  <si>
    <t>SA ex Col, inc MFS</t>
  </si>
  <si>
    <t>Total SA revenue ex Colombia</t>
  </si>
  <si>
    <t>Net income, US$m</t>
  </si>
  <si>
    <t>OpFCF, US$m</t>
  </si>
  <si>
    <t>New prop revs</t>
  </si>
  <si>
    <t>telecoms services in other cities of anitquoia</t>
  </si>
  <si>
    <t>Will own 100% of these businesses</t>
  </si>
  <si>
    <t>Raise debt at Millicom of US$900m</t>
  </si>
  <si>
    <t>Deal</t>
  </si>
  <si>
    <t>Some local financing raised</t>
  </si>
  <si>
    <t>EPM</t>
  </si>
  <si>
    <t>ETB/TEF/UNE for network sharing 4G</t>
  </si>
  <si>
    <t>Mobile business (losses) will be addressed</t>
  </si>
  <si>
    <t>MS and Lazard</t>
  </si>
  <si>
    <t>No changes to the debt</t>
  </si>
  <si>
    <t>Consol</t>
  </si>
  <si>
    <t>Affiliates</t>
  </si>
  <si>
    <t>Total prop</t>
  </si>
  <si>
    <t>Pre-deal</t>
  </si>
  <si>
    <t>Post-deal</t>
  </si>
  <si>
    <t>less mobile losses</t>
  </si>
  <si>
    <t>EB/EBITDA</t>
  </si>
  <si>
    <t>Economic ownership pre-deal</t>
  </si>
  <si>
    <t>Economic ownership post-deal</t>
  </si>
  <si>
    <t>4G spectrum?</t>
  </si>
  <si>
    <t>ETB's 25% stake</t>
  </si>
  <si>
    <t>Net debt at Tigo Colombia</t>
  </si>
  <si>
    <t>900 millicom parent</t>
  </si>
  <si>
    <t>ETB share</t>
  </si>
  <si>
    <t>cash, residual at local level</t>
  </si>
  <si>
    <t>Leverage</t>
  </si>
  <si>
    <t>Net debt to EBITDA</t>
  </si>
  <si>
    <t>UNE paying dividend and buying out the mins</t>
  </si>
  <si>
    <t>dividend</t>
  </si>
  <si>
    <t>Combined net debt (100%)</t>
  </si>
  <si>
    <t>EV (100%) pre synergies</t>
  </si>
  <si>
    <t>Edatel/Pereira</t>
  </si>
  <si>
    <t>NewCo</t>
  </si>
  <si>
    <t>newco</t>
  </si>
  <si>
    <t>incremental ebitda</t>
  </si>
  <si>
    <t>pre</t>
  </si>
  <si>
    <t>post</t>
  </si>
  <si>
    <t>Implied 100% of NewCo equity</t>
  </si>
  <si>
    <t>Millicom prop net debt</t>
  </si>
  <si>
    <t>EV/EBITDA paid</t>
  </si>
  <si>
    <t>notes</t>
  </si>
  <si>
    <t>2 x higher consolidated Milli debt of $1.1bn</t>
  </si>
  <si>
    <t>net debt of tigo at $570m</t>
  </si>
  <si>
    <t>assumes $1.1bn of cash from Milli sits on balance sheet at NewCo</t>
  </si>
  <si>
    <t>US$400m of net debt (end-12) plus US$680m for divi paid out to ETB</t>
  </si>
  <si>
    <t>milli gains this much ebitda (consolidated plus associates)</t>
  </si>
  <si>
    <t>loses this much ebitda at Tigo (econ. Ownership from 50% to 37.5%)</t>
  </si>
  <si>
    <t>Colombian fixed</t>
  </si>
  <si>
    <t>900m cash</t>
  </si>
  <si>
    <t>50% tigo</t>
  </si>
  <si>
    <t>$1bn debt</t>
  </si>
  <si>
    <t>5x on mins EBITDA</t>
  </si>
  <si>
    <t>Total revenue, $</t>
  </si>
  <si>
    <t>Total pro-forma for Ed/Per</t>
  </si>
  <si>
    <t>UNE  (inc Edatel/Pereira)</t>
  </si>
  <si>
    <t>Revenue/RGU (inc Edatel/Pereira)</t>
  </si>
  <si>
    <t>Telecoms (UNE)</t>
  </si>
  <si>
    <t>Internet (UNE)</t>
  </si>
  <si>
    <t>TV (UNE)</t>
  </si>
  <si>
    <t>MFS (incs Col)</t>
  </si>
  <si>
    <t>%  change</t>
  </si>
  <si>
    <t>Equipment</t>
  </si>
  <si>
    <t>% split of revs</t>
  </si>
  <si>
    <t>Mobile service revs</t>
  </si>
  <si>
    <t>Changes to underlying</t>
  </si>
  <si>
    <t>Core (ex UNE, ex Online)</t>
  </si>
  <si>
    <t>Core consensus</t>
  </si>
  <si>
    <t>New split by product</t>
  </si>
  <si>
    <t>ex-Online</t>
  </si>
  <si>
    <t>Total mobile</t>
  </si>
  <si>
    <t>17e CAGR</t>
  </si>
  <si>
    <t>as % total mobile base</t>
  </si>
  <si>
    <t>MFS users, million</t>
  </si>
  <si>
    <t>MFS revenue, US$m</t>
  </si>
  <si>
    <t>Implied MFS ARPU, $</t>
  </si>
  <si>
    <t>Mobile service revs share</t>
  </si>
  <si>
    <t>Price target</t>
  </si>
  <si>
    <t>Africa sale at 6x</t>
  </si>
  <si>
    <t>Africa sale at 8x</t>
  </si>
  <si>
    <t>$1bn of MFS revenue</t>
  </si>
  <si>
    <t>Online success</t>
  </si>
  <si>
    <t>Online value destruction</t>
  </si>
  <si>
    <t>Fair value, SEK per share</t>
  </si>
  <si>
    <t>Fair value today</t>
  </si>
  <si>
    <t>Sales and marketing</t>
  </si>
  <si>
    <t>Gross profit</t>
  </si>
  <si>
    <t>Gross margin</t>
  </si>
  <si>
    <t>Cost of sales less D&amp;A</t>
  </si>
  <si>
    <t>G&amp;A less corp costs</t>
  </si>
  <si>
    <t>Total opex</t>
  </si>
  <si>
    <t>SAC has % S&amp;M?</t>
  </si>
  <si>
    <t>Interconnection - general margin impact?</t>
  </si>
  <si>
    <t xml:space="preserve"> revs or costs impact?</t>
  </si>
  <si>
    <t>Check subsidy is net or total interconnection cost</t>
  </si>
  <si>
    <t xml:space="preserve"> - of which other</t>
  </si>
  <si>
    <t>H1 13 vs H1 12 (reg measures of MTR, small taxes, cap on pricing)</t>
  </si>
  <si>
    <t>0.8% in 2012</t>
  </si>
  <si>
    <t>0.2% in 2012 9months</t>
  </si>
  <si>
    <t xml:space="preserve"> - subsidy booked to S&amp;M</t>
  </si>
  <si>
    <t xml:space="preserve"> y/y in local currency</t>
  </si>
  <si>
    <t>up until Q4 Millicom reported gross subsidies, subsequently net subsidy growth rates</t>
  </si>
  <si>
    <t>Sales and marketing (S&amp;M)*</t>
  </si>
  <si>
    <t xml:space="preserve"> - total subsidies**</t>
  </si>
  <si>
    <t>* bulk of subsidy booked to S&amp;M</t>
  </si>
  <si>
    <t>Gross subsidy</t>
  </si>
  <si>
    <t>Net subsidy</t>
  </si>
  <si>
    <t>Equipment revs</t>
  </si>
  <si>
    <t>subsidy as % revs</t>
  </si>
  <si>
    <t>Gross subsidy as % revs</t>
  </si>
  <si>
    <t>S&amp;M ex subsidies</t>
  </si>
  <si>
    <t>% revs</t>
  </si>
  <si>
    <t>Total OpEx (less Online)</t>
  </si>
  <si>
    <t>Clean EBITDA (ex-Online)</t>
  </si>
  <si>
    <t>Revs ex-Online</t>
  </si>
  <si>
    <t>% on revs (ex-Online)</t>
  </si>
  <si>
    <t>Cost of sales/G&amp;A/other</t>
  </si>
  <si>
    <t>Subsidy</t>
  </si>
  <si>
    <t>S&amp;M (ex subsidy)</t>
  </si>
  <si>
    <t>Interconnect</t>
  </si>
  <si>
    <t>Other (cost of sales, G&amp;A)</t>
  </si>
  <si>
    <t>Total 2011-13 margin decline</t>
  </si>
  <si>
    <t>Reg/MTR impact on margin</t>
  </si>
  <si>
    <t>Summary impact on 2011-13 EBITDA margin</t>
  </si>
  <si>
    <t>11-13e</t>
  </si>
  <si>
    <t>Why the regulatory impact lower - higher volumes</t>
  </si>
  <si>
    <t>Corporate costs up again</t>
  </si>
  <si>
    <t>Strong Colombians subs?</t>
  </si>
  <si>
    <t>Where have all the other DR Congo subs come from (in excess of 250k)</t>
  </si>
  <si>
    <t>20% revs growth in Colombia</t>
  </si>
  <si>
    <t>39.6% for 9m margin, c.40% for the FY. So things to improve in Q4 over Q3 (38.6%)</t>
  </si>
  <si>
    <t>check MTRs. Bolivia down 9% (to 7), El Sal down 15% (to 5)</t>
  </si>
  <si>
    <t>Revaluing put option in Honduras</t>
  </si>
  <si>
    <t>Increased cable growth driver?</t>
  </si>
  <si>
    <t>Jumia is on-line retail (Africa's Amazon)</t>
  </si>
  <si>
    <t>But more focus on marketplace?</t>
  </si>
  <si>
    <t>Kaymu is marketplace</t>
  </si>
  <si>
    <t>higher employee and consultancy fees</t>
  </si>
  <si>
    <t>Check all the spectrum charges</t>
  </si>
  <si>
    <t>q1</t>
  </si>
  <si>
    <t xml:space="preserve">q2 </t>
  </si>
  <si>
    <t>q3</t>
  </si>
  <si>
    <t>bolivia</t>
  </si>
  <si>
    <t>2x10 of 1900</t>
  </si>
  <si>
    <t>2x15 of aws</t>
  </si>
  <si>
    <t>2x12 of 700</t>
  </si>
  <si>
    <t>colombia</t>
  </si>
  <si>
    <t>spectrum</t>
  </si>
  <si>
    <t>paid in the quarter</t>
  </si>
  <si>
    <t>Q4e</t>
  </si>
  <si>
    <t>honduras</t>
  </si>
  <si>
    <t>2x20 of aws</t>
  </si>
  <si>
    <t>Tower sales in Colombia?</t>
  </si>
  <si>
    <t>Cable TV provider in Bolivia?</t>
  </si>
  <si>
    <t>Local fx</t>
  </si>
  <si>
    <t>Where are the other greenfield opportunities in Africa?</t>
  </si>
  <si>
    <t>MFS subs</t>
  </si>
  <si>
    <t>Conference call</t>
  </si>
  <si>
    <t>Deal in Bolivia</t>
  </si>
  <si>
    <t>ecommerce shift to marketplace away from non-marketplace</t>
  </si>
  <si>
    <t>the ali baba model in china</t>
  </si>
  <si>
    <t>classified business</t>
  </si>
  <si>
    <t>20% of $100m savings will be realised this year…</t>
  </si>
  <si>
    <t>Colombian margin similar to previous levels (c.25%)</t>
  </si>
  <si>
    <t>Q4 13e</t>
  </si>
  <si>
    <t>New tax and regulatory measures in Chad, Rwanda, Tanzania and Ghana?</t>
  </si>
  <si>
    <t>SIM registration tax in Tanzania</t>
  </si>
  <si>
    <t>Proceeds from old towers sale. Amount not disclosed</t>
  </si>
  <si>
    <t>linked to Millicom market price</t>
  </si>
  <si>
    <t>Most of the network was already there in the DRC, including the towers</t>
  </si>
  <si>
    <t>A lot of investment in KBC area</t>
  </si>
  <si>
    <t>Spending on brand</t>
  </si>
  <si>
    <t>0.5m new mobile data subs in Africa</t>
  </si>
  <si>
    <t>New management in place</t>
  </si>
  <si>
    <t>Honduras was not applied, have not heard anything for October. So perhaps in Q1 next year</t>
  </si>
  <si>
    <t>Sept 12 - El Sal. Some annualisation</t>
  </si>
  <si>
    <t>focus on smartphones</t>
  </si>
  <si>
    <t>$51m? Consultancy fees were slightly elevated. So somewhere in between $45-51m</t>
  </si>
  <si>
    <t>corporate debt slide…</t>
  </si>
  <si>
    <t xml:space="preserve"> of which one-off</t>
  </si>
  <si>
    <t xml:space="preserve"> of which recurring</t>
  </si>
  <si>
    <t>Normalised PBT</t>
  </si>
  <si>
    <t>definition of normalised PBT</t>
  </si>
  <si>
    <t>Service revenue in COP</t>
  </si>
  <si>
    <t>check underlying capex and licence spend</t>
  </si>
  <si>
    <t>total charge accrued</t>
  </si>
  <si>
    <t>Write-downs/FX</t>
  </si>
  <si>
    <t>Clean EBITDA pre corp costs</t>
  </si>
  <si>
    <t>Clean EBITDA post corp costs</t>
  </si>
  <si>
    <t>change in towers…</t>
  </si>
  <si>
    <t>helios acquired towers, how many now. Effective holding?</t>
  </si>
  <si>
    <t>Kivu 11m POPS</t>
  </si>
  <si>
    <t>Strong competition from Africell (Lebanon)</t>
  </si>
  <si>
    <t>Ghana - bundled product has been popular. New guy for Ghana (from Chad)</t>
  </si>
  <si>
    <t>New guy since May</t>
  </si>
  <si>
    <t>DR C is still tough. Rwanda, Chad, Tanzania…better</t>
  </si>
  <si>
    <t>Senegal is getting better. Network swap better</t>
  </si>
  <si>
    <t>** Closing coverage gap. Shared infrastructure..access to all the towers in Tanzania **</t>
  </si>
  <si>
    <t>Taxation of some description</t>
  </si>
  <si>
    <t>Provision of $9m, in case implemented retroactively</t>
  </si>
  <si>
    <t xml:space="preserve">1000 shilling per month. </t>
  </si>
  <si>
    <t>Many customers who are &lt;1000 shilling per month</t>
  </si>
  <si>
    <t>US75 cents per month</t>
  </si>
  <si>
    <t>Price increases, but some negative elasticity</t>
  </si>
  <si>
    <t>Prices were increased before, limited elasticity</t>
  </si>
  <si>
    <t>Budgetary pressures. Should have been 1 July. But debate around implementation</t>
  </si>
  <si>
    <t>Applies 1 July to end of Q3</t>
  </si>
  <si>
    <t>Vodacom - paid 76% more taxes in H1 than last year</t>
  </si>
  <si>
    <t>Launches on marketplace, in Africa. Tanzania, marketplace</t>
  </si>
  <si>
    <t>More active in Nigeria, Africa</t>
  </si>
  <si>
    <t>In Brazil…need scale here before rolling them out elsewhere</t>
  </si>
  <si>
    <t>Still a lot of payment on delivery, either cash or credit cards</t>
  </si>
  <si>
    <t>Less than $10m. 20-25% share of the TV market, no 1 in the market</t>
  </si>
  <si>
    <t>Wireless TV to HSC</t>
  </si>
  <si>
    <t>colombia renewals</t>
  </si>
  <si>
    <t>Q1 accrued</t>
  </si>
  <si>
    <t>paid in q1</t>
  </si>
  <si>
    <t>also paid 23m for 2012 in senegal</t>
  </si>
  <si>
    <t>Q2 accrued</t>
  </si>
  <si>
    <t>Q3 accrued</t>
  </si>
  <si>
    <t>194 accrued</t>
  </si>
  <si>
    <t>194 cash also + 23 senegal</t>
  </si>
  <si>
    <t>40% to 25% ownership in Tanzania</t>
  </si>
  <si>
    <t>towers cos are loaded with debt</t>
  </si>
  <si>
    <t>profitability will take time</t>
  </si>
  <si>
    <t>cash self sufficient</t>
  </si>
  <si>
    <t>Chasing this up, need to adjust for Online losses</t>
  </si>
  <si>
    <t>Changes to core (Oct 13)</t>
  </si>
  <si>
    <t>OLD Group</t>
  </si>
  <si>
    <t>NEW Group</t>
  </si>
  <si>
    <t>El Salvador spectrum</t>
  </si>
  <si>
    <t>Q4 accrued</t>
  </si>
  <si>
    <t>colombia aws</t>
  </si>
  <si>
    <t>Avantel</t>
  </si>
  <si>
    <t>DTV</t>
  </si>
  <si>
    <t>1.7/2.1 (AWS)</t>
  </si>
  <si>
    <t>Band</t>
  </si>
  <si>
    <t>MHz</t>
  </si>
  <si>
    <t>Price per MHz/POP, US cents</t>
  </si>
  <si>
    <t>NEW Millicom Africa</t>
  </si>
  <si>
    <t>OLD Millicom Africa</t>
  </si>
  <si>
    <t>Cable/fixed</t>
  </si>
  <si>
    <t>Group 2012-17e CAGR</t>
  </si>
  <si>
    <t>ICX Change</t>
  </si>
  <si>
    <t>Old ICX</t>
  </si>
  <si>
    <t>New ICX</t>
  </si>
  <si>
    <t>LC % Change</t>
  </si>
  <si>
    <t>delayed, exp 2014</t>
  </si>
  <si>
    <t>annualise from Q4 13</t>
  </si>
  <si>
    <t>Absolute</t>
  </si>
  <si>
    <t>11-13 margin</t>
  </si>
  <si>
    <t>African margins down in 2014</t>
  </si>
  <si>
    <t>reiterating 35% for group, ex-online ex-colombia, after corporate costs</t>
  </si>
  <si>
    <t>Tanazania provision re impending tax - nothing new here</t>
  </si>
  <si>
    <t>likely to take another provision in Q4 until resolution</t>
  </si>
  <si>
    <t>Post Q3 2013</t>
  </si>
  <si>
    <t>Nothing new here yet</t>
  </si>
  <si>
    <t>MIC has grown share in recent years</t>
  </si>
  <si>
    <t>Tariffs have been changing for a while…slow changes over the years</t>
  </si>
  <si>
    <t>asymmetric charges have not had much impact</t>
  </si>
  <si>
    <t>didn't understand v strong margins in Q2 at AMX</t>
  </si>
  <si>
    <t>lower subs base  therefore supports opex</t>
  </si>
  <si>
    <t>HLR (database of info in the switch, like a directory). Pay a fee (x no of cents/mobile no/month or year) to the supplier</t>
  </si>
  <si>
    <t>AMX fine and debt with ETB ($40-50m)</t>
  </si>
  <si>
    <t>1. ongoing investigation re ETB and interconnect in 2009. ETB lost first ruling and then paid. 2nd ruling, AMX should pay back. International (Andean) tribunal confirmed it</t>
  </si>
  <si>
    <t>2. fine imposed by superintendancy/competition comm on AMX illegal practices</t>
  </si>
  <si>
    <t>this is the $40-50m</t>
  </si>
  <si>
    <t xml:space="preserve">false portability numbers: claims dealers acquired lines at Tigo/Movistar and then port them; </t>
  </si>
  <si>
    <t>had a couple of network outages. Industry has a bad rep, but it's mostly AMX issues</t>
  </si>
  <si>
    <t>MTN deal</t>
  </si>
  <si>
    <t>Synergies - Online/mobile</t>
  </si>
  <si>
    <t>Paying using Tivo money</t>
  </si>
  <si>
    <t>Africa 70% cash on delivery</t>
  </si>
  <si>
    <t>MTN cross selling to customers</t>
  </si>
  <si>
    <t>discounts as acquisition costs</t>
  </si>
  <si>
    <t>Latin America very different</t>
  </si>
  <si>
    <t>AMX and TEF already overlap</t>
  </si>
  <si>
    <t>Adds new geographies</t>
  </si>
  <si>
    <t>Nigeria is key, points of sale</t>
  </si>
  <si>
    <t>Very different market</t>
  </si>
  <si>
    <t>MTN has 200m customers in Africa</t>
  </si>
  <si>
    <t>EBITDA 2015</t>
  </si>
  <si>
    <t>OpFCF 2015</t>
  </si>
  <si>
    <t>Luxembourg</t>
  </si>
  <si>
    <t>Other Central America</t>
  </si>
  <si>
    <t>Q4 13</t>
  </si>
  <si>
    <t>Group, inc Online unadjusted for MTR - as reported</t>
  </si>
  <si>
    <t>MTR /other regulation impact</t>
  </si>
  <si>
    <t>Consolidated</t>
  </si>
  <si>
    <t>Proportionate</t>
  </si>
  <si>
    <t>GEM wireless</t>
  </si>
  <si>
    <t>Consolidated ex Online</t>
  </si>
  <si>
    <t>14-18e growth</t>
  </si>
  <si>
    <t>2014 EBITDA multiple</t>
  </si>
  <si>
    <t>US$, y/y</t>
  </si>
  <si>
    <t>Group revs ex-Online/acqs</t>
  </si>
  <si>
    <t>Margins staying broadly the same</t>
  </si>
  <si>
    <t xml:space="preserve">Waiting approval in Q2 this year hopefully. </t>
  </si>
  <si>
    <t>Rebuilding a mass market brand in Africa</t>
  </si>
  <si>
    <t>Group split by growth</t>
  </si>
  <si>
    <t>as % homes passed</t>
  </si>
  <si>
    <t>RGU's home connected</t>
  </si>
  <si>
    <t xml:space="preserve">Total </t>
  </si>
  <si>
    <t>Cable ARPU, $</t>
  </si>
  <si>
    <t>TV ARPU, $</t>
  </si>
  <si>
    <t>BB ARPU, $</t>
  </si>
  <si>
    <t>Revenue per HH</t>
  </si>
  <si>
    <t>Kinshasa Bas-Congo (Kivu from 2013)</t>
  </si>
  <si>
    <t>ex UNE</t>
  </si>
  <si>
    <t>Write-downs, other</t>
  </si>
  <si>
    <t>Clean EBITDA, ex-UNE</t>
  </si>
  <si>
    <t>Total non-current assets</t>
  </si>
  <si>
    <t>$ 4.75% bond</t>
  </si>
  <si>
    <t>Guatemala $ 6.875%</t>
  </si>
  <si>
    <t>$ 6.625% notes</t>
  </si>
  <si>
    <t>ebitda</t>
  </si>
  <si>
    <t xml:space="preserve"> + guat</t>
  </si>
  <si>
    <t xml:space="preserve"> - maur</t>
  </si>
  <si>
    <t xml:space="preserve"> - rocket</t>
  </si>
  <si>
    <t>capex</t>
  </si>
  <si>
    <t>Total EBITDA (clean for one-offs)</t>
  </si>
  <si>
    <t>Add back one-offs</t>
  </si>
  <si>
    <t>less, Corporate costs</t>
  </si>
  <si>
    <t>Constant FX revs</t>
  </si>
  <si>
    <t>Clean ex-UNE</t>
  </si>
  <si>
    <t>July 13 - Helios acquired Vod Tanzania towers</t>
  </si>
  <si>
    <t>Total towers</t>
  </si>
  <si>
    <t>14-18e</t>
  </si>
  <si>
    <t>Capital increases in Rocket</t>
  </si>
  <si>
    <t>EBITDA split</t>
  </si>
  <si>
    <t>Capex split</t>
  </si>
  <si>
    <t>Capex as % sales</t>
  </si>
  <si>
    <t>Revenue (reported) split</t>
  </si>
  <si>
    <t>Minority</t>
  </si>
  <si>
    <t>Implied equity</t>
  </si>
  <si>
    <t>13 EBITDA</t>
  </si>
  <si>
    <t>Minority put calculation</t>
  </si>
  <si>
    <t>Dividends</t>
  </si>
  <si>
    <t>as % EFCF</t>
  </si>
  <si>
    <t>Minority dividend</t>
  </si>
  <si>
    <t>Guatemala (Comcel)</t>
  </si>
  <si>
    <t>Minority dividends paid</t>
  </si>
  <si>
    <t>Honduras/other</t>
  </si>
  <si>
    <t>Prop</t>
  </si>
  <si>
    <t>As % group</t>
  </si>
  <si>
    <t>MTR/regs adj.</t>
  </si>
  <si>
    <t>Adj for African and SA voice</t>
  </si>
  <si>
    <t>Africa adj</t>
  </si>
  <si>
    <t>SA adj</t>
  </si>
  <si>
    <t>Africa FX drag</t>
  </si>
  <si>
    <t>SA FX drag</t>
  </si>
  <si>
    <t>African and SA voice adj</t>
  </si>
  <si>
    <t xml:space="preserve">Colombia </t>
  </si>
  <si>
    <t>% own</t>
  </si>
  <si>
    <t>&lt;100%</t>
  </si>
  <si>
    <t>Post-tax prop</t>
  </si>
  <si>
    <t>Africa/central</t>
  </si>
  <si>
    <t>SEK</t>
  </si>
  <si>
    <t>Debt, $m</t>
  </si>
  <si>
    <t>8.00% notes (El Sal)</t>
  </si>
  <si>
    <t>Total (YE 2013 + Guatemala)</t>
  </si>
  <si>
    <t>assume Guatemala refinances $482m of existing debt</t>
  </si>
  <si>
    <t>% local</t>
  </si>
  <si>
    <t>% USD</t>
  </si>
  <si>
    <t>Total, adj for El Salvador</t>
  </si>
  <si>
    <t>Central America, post Guatemala</t>
  </si>
  <si>
    <t>Parent co/other debt (ex-finance leases)</t>
  </si>
  <si>
    <t>CA post Guatemala, adj for El Salvador</t>
  </si>
  <si>
    <t>Total debt, post-Guatemala, adj for El Sal</t>
  </si>
  <si>
    <t>Op cos debt, USD m</t>
  </si>
  <si>
    <t>in USD</t>
  </si>
  <si>
    <t>in local</t>
  </si>
  <si>
    <t>Colombia ROIC</t>
  </si>
  <si>
    <t>Asset base</t>
  </si>
  <si>
    <t>as % capex</t>
  </si>
  <si>
    <t>Current WACC</t>
  </si>
  <si>
    <t>Tigo (mobile) ROIC</t>
  </si>
  <si>
    <t>Fixed and mobile ROIC</t>
  </si>
  <si>
    <t>Nucleo (TEO)</t>
  </si>
  <si>
    <t>VOX</t>
  </si>
  <si>
    <t>MTR, US cents</t>
  </si>
  <si>
    <t>MTR comment</t>
  </si>
  <si>
    <t>unchanged since 1998</t>
  </si>
  <si>
    <t>25% cut in Aug 2013</t>
  </si>
  <si>
    <t>of termination</t>
  </si>
  <si>
    <t>GDP growth 2014e</t>
  </si>
  <si>
    <t>one of the highest MTRs in the world</t>
  </si>
  <si>
    <t>but currently unregulated,and</t>
  </si>
  <si>
    <t>Remittances as % GDP</t>
  </si>
  <si>
    <t>US$760m</t>
  </si>
  <si>
    <t>US$3.2bn</t>
  </si>
  <si>
    <t>Absolute remittances 2013e</t>
  </si>
  <si>
    <t>US$5.4bn</t>
  </si>
  <si>
    <t>Slowing from 13.6% in 2012</t>
  </si>
  <si>
    <t>small up</t>
  </si>
  <si>
    <t>Remittance growth exps*</t>
  </si>
  <si>
    <t>floating</t>
  </si>
  <si>
    <t>trade deficit supported by remittances</t>
  </si>
  <si>
    <t>FX comment</t>
  </si>
  <si>
    <t>Smartphone penetration</t>
  </si>
  <si>
    <t>&gt;50%</t>
  </si>
  <si>
    <t>Revenue growth*</t>
  </si>
  <si>
    <r>
      <t>2013 financials</t>
    </r>
    <r>
      <rPr>
        <sz val="10"/>
        <rFont val="Trebuchet MS"/>
        <family val="2"/>
      </rPr>
      <t>*</t>
    </r>
  </si>
  <si>
    <t>est &lt;10%</t>
  </si>
  <si>
    <t>15% depreciation vs US$ LTM</t>
  </si>
  <si>
    <t>* Includes cable businesses. Estimate except for Guatemala</t>
  </si>
  <si>
    <t>** pro-forma for Cablevision in Paraguay</t>
  </si>
  <si>
    <t>net recipient</t>
  </si>
  <si>
    <t>40% cut in Oct 2012</t>
  </si>
  <si>
    <t>managed currency</t>
  </si>
  <si>
    <t>CB suggesting 3.5-4% deval this year</t>
  </si>
  <si>
    <t>Inflation 2014e</t>
  </si>
  <si>
    <t>GNI/capita (US$) 2012</t>
  </si>
  <si>
    <t>Fitch moved up to Ba2 stable,</t>
  </si>
  <si>
    <t>from Ba3 stable Feb 14</t>
  </si>
  <si>
    <t>Moody's moves down to B3 (stable),</t>
  </si>
  <si>
    <t>No recent changes</t>
  </si>
  <si>
    <t>Moody's Ba1, stable confirmed</t>
  </si>
  <si>
    <t>from B2 (negative) in Feb 14</t>
  </si>
  <si>
    <t>Sovereign credit moves</t>
  </si>
  <si>
    <t>GDP comment</t>
  </si>
  <si>
    <t>Fluctuations driven by agri prices</t>
  </si>
  <si>
    <t>% change (adj for consol, UNE)</t>
  </si>
  <si>
    <t>ROCE (post-tax)</t>
  </si>
  <si>
    <t>South America ex-Colombia</t>
  </si>
  <si>
    <t>FX impact</t>
  </si>
  <si>
    <t>Constant currency</t>
  </si>
  <si>
    <t>ambition*</t>
  </si>
  <si>
    <t xml:space="preserve">* Guatemala pro-forma for </t>
  </si>
  <si>
    <t>Group *</t>
  </si>
  <si>
    <t>88%/56%</t>
  </si>
  <si>
    <t>Income (loss) of associates/JVs</t>
  </si>
  <si>
    <t>FY 11</t>
  </si>
  <si>
    <t>FY 12</t>
  </si>
  <si>
    <t>FY 13</t>
  </si>
  <si>
    <t>FY 14</t>
  </si>
  <si>
    <t>Other ($)</t>
  </si>
  <si>
    <t>Revenue split by country (note, differ from bond prospectuses)</t>
  </si>
  <si>
    <t>Revenue split by product</t>
  </si>
  <si>
    <t>Breakdown of total revs (mobile + cable), local FX</t>
  </si>
  <si>
    <t>% change (adj for UNE)</t>
  </si>
  <si>
    <t>FY 2014</t>
  </si>
  <si>
    <t>Growth (mobile + cable) by region, constant FX</t>
  </si>
  <si>
    <t>MTR changes</t>
  </si>
  <si>
    <t>About the same impact as in Q4</t>
  </si>
  <si>
    <t>Pre Q4 chat</t>
  </si>
  <si>
    <t>Inbound 6-6.5% service revenue</t>
  </si>
  <si>
    <t>Economies still weak. No major growth for coming quarters..</t>
  </si>
  <si>
    <t>Growth to slow relative to 2013</t>
  </si>
  <si>
    <t>Facebook in guarani</t>
  </si>
  <si>
    <t>Strong double digit growth</t>
  </si>
  <si>
    <t>Millicom's stronghold in voice on the coast, not Bogota</t>
  </si>
  <si>
    <t>Launch of Tigo Star</t>
  </si>
  <si>
    <t>Paraguay, Bolivia moving to Central America</t>
  </si>
  <si>
    <t>small pay TV acquisition</t>
  </si>
  <si>
    <t>led to higher homes passed</t>
  </si>
  <si>
    <t>similar trend to Q3 and Q4</t>
  </si>
  <si>
    <t>investments are starting to pay off</t>
  </si>
  <si>
    <t>Senegal 3G, brand re-vamp</t>
  </si>
  <si>
    <t>Chad, Rwanda nice revenue growth</t>
  </si>
  <si>
    <t>DR Congo growth not as fast</t>
  </si>
  <si>
    <t>Ghana, Tanzania - markets remain as competitive</t>
  </si>
  <si>
    <t>Margins low again, pick up toward the end of the year</t>
  </si>
  <si>
    <t>Airtel money for free</t>
  </si>
  <si>
    <t>Associates</t>
  </si>
  <si>
    <t>Vodacome sold to Helios</t>
  </si>
  <si>
    <t>Revalued assets</t>
  </si>
  <si>
    <t>$3m - reversal of not exercising option</t>
  </si>
  <si>
    <t>MTN has still not got approval</t>
  </si>
  <si>
    <t>stay at 20% at AIH for the time being</t>
  </si>
  <si>
    <t>LIH</t>
  </si>
  <si>
    <t>23% today for LIH</t>
  </si>
  <si>
    <t>downstreamed €10m as first installment. Step changes</t>
  </si>
  <si>
    <t>UNE close hoped for Q2. Elections in May</t>
  </si>
  <si>
    <t>4-5% headwind at the group level, y/y</t>
  </si>
  <si>
    <t>Q1 14</t>
  </si>
  <si>
    <t>Q1 2014</t>
  </si>
  <si>
    <t>Pre Q1 2014 chat</t>
  </si>
  <si>
    <t>1m subs. 80,000 per week in Kivu in the DRC</t>
  </si>
  <si>
    <t>Tigo Star</t>
  </si>
  <si>
    <t>music. Different content</t>
  </si>
  <si>
    <t>rwanda, drc, tanzania</t>
  </si>
  <si>
    <t xml:space="preserve">&gt;6% gdp growth </t>
  </si>
  <si>
    <t>col, bol, para</t>
  </si>
  <si>
    <t>&gt;4.5% gdp growth</t>
  </si>
  <si>
    <t>Problems with MFS</t>
  </si>
  <si>
    <t>Competition in Feb, has eased</t>
  </si>
  <si>
    <t>1.1% from increased equipment sales (latam smartphones)</t>
  </si>
  <si>
    <t>half from africa</t>
  </si>
  <si>
    <t>0.4% from commissions</t>
  </si>
  <si>
    <t>corporate costs</t>
  </si>
  <si>
    <t>Interest charges</t>
  </si>
  <si>
    <t>average across the group is 6%</t>
  </si>
  <si>
    <t>DTH</t>
  </si>
  <si>
    <t>opportunity given cable not accessible everywhere</t>
  </si>
  <si>
    <t>cost effective</t>
  </si>
  <si>
    <t>cable gives an initial platform</t>
  </si>
  <si>
    <t>rights sold on a nationwide basis</t>
  </si>
  <si>
    <t>no partners, team up with content suppliers</t>
  </si>
  <si>
    <t>using local partners</t>
  </si>
  <si>
    <t>Big fans of mobile and cable</t>
  </si>
  <si>
    <t>Accelerated depreciation</t>
  </si>
  <si>
    <t>guatemala bond was the end of Jan</t>
  </si>
  <si>
    <t>UNE bond during Q4 (mid Oct)</t>
  </si>
  <si>
    <t xml:space="preserve">Roughly $20m in Q1 (accelerated). no guidance on it </t>
  </si>
  <si>
    <t>what direction here?</t>
  </si>
  <si>
    <t>$600-$1bn of guidance for 2017. still comfortable with this</t>
  </si>
  <si>
    <t>pen is high in certain markets</t>
  </si>
  <si>
    <t>working on financial ecosystem</t>
  </si>
  <si>
    <t>competitive pressure in Tanzania. MFS for free (Bharti)</t>
  </si>
  <si>
    <t>unlikely see those competitive pressures again</t>
  </si>
  <si>
    <t>exit growth rate for 2014</t>
  </si>
  <si>
    <t>2.5% of revs the target?</t>
  </si>
  <si>
    <t>bolivia was $4m</t>
  </si>
  <si>
    <t>Group revs, Q1 2013 Leap Year adj</t>
  </si>
  <si>
    <t>Group ex-MTR (Q1 13 Leap Year adj)</t>
  </si>
  <si>
    <t>Mobile (voice, internet, other VAS)</t>
  </si>
  <si>
    <t xml:space="preserve"> clean</t>
  </si>
  <si>
    <t>une ebitda</t>
  </si>
  <si>
    <t>une revs</t>
  </si>
  <si>
    <t>Ex-UNE</t>
  </si>
  <si>
    <t>ghana, col peso, para, cr, rwanda</t>
  </si>
  <si>
    <t>revs should be broadly similar</t>
  </si>
  <si>
    <t>regs. &lt;0.9%</t>
  </si>
  <si>
    <t>Q1 last year had honduras x2, col, tanzania</t>
  </si>
  <si>
    <t>Q2 only had one in the DRC</t>
  </si>
  <si>
    <t>Sept 13 el sal</t>
  </si>
  <si>
    <t>Pre Q2 14</t>
  </si>
  <si>
    <t xml:space="preserve"> 1 july, so a lot of subsidies in q2</t>
  </si>
  <si>
    <t>q3 - resources will redeploy elsewhere. Shops for instance</t>
  </si>
  <si>
    <t>late march, early april. Colombia - no subsidies for residential. Like spain 2 years ago</t>
  </si>
  <si>
    <t>customers can port more easily</t>
  </si>
  <si>
    <t>20% of customers are post-paid in colombia</t>
  </si>
  <si>
    <t>tv push, not as much as col above</t>
  </si>
  <si>
    <t>dth. Paraguay, less so central am</t>
  </si>
  <si>
    <t>Q2 will be the low point</t>
  </si>
  <si>
    <t>33-35%</t>
  </si>
  <si>
    <t>H2 margins should be better. Africa in particular</t>
  </si>
  <si>
    <t>colombia a little bit better</t>
  </si>
  <si>
    <t>Consensus - margin is at 34.4%</t>
  </si>
  <si>
    <t>other issues</t>
  </si>
  <si>
    <t>extra $50m from guatemala</t>
  </si>
  <si>
    <t>16.5m licences</t>
  </si>
  <si>
    <t>$1.030bn for D&amp;A</t>
  </si>
  <si>
    <t>finance charges</t>
  </si>
  <si>
    <t>$340m for P&amp;L, $290m for cash flow for 2014</t>
  </si>
  <si>
    <t>merrils</t>
  </si>
  <si>
    <t>focus on deleveraging…closer to 2x, nearer to 1.5x net debt to ebitda</t>
  </si>
  <si>
    <t>focus on costs</t>
  </si>
  <si>
    <t>towers and other potential sales</t>
  </si>
  <si>
    <t>but still considering m&amp;a</t>
  </si>
  <si>
    <t>could be any time now</t>
  </si>
  <si>
    <t>end July consol</t>
  </si>
  <si>
    <t>national TV agency, and the finance superintendency</t>
  </si>
  <si>
    <t>competition authority has already been approved</t>
  </si>
  <si>
    <t>tigo network share with TEF for 4G. Nothing else on 2G/3G</t>
  </si>
  <si>
    <t>likely to go live with this soon</t>
  </si>
  <si>
    <t>Avantel trying to get national roaming, claiming not granted access</t>
  </si>
  <si>
    <t>Avantel expected to be quite aggressive. Offer PTT today, to security cos/oil and gas in rural locations</t>
  </si>
  <si>
    <t>early days…in terms of subs</t>
  </si>
  <si>
    <t>colombia, bolivia, chad, rwanda the best markets at the moment</t>
  </si>
  <si>
    <t>3-4% fx headwind. 4.3% in Q1</t>
  </si>
  <si>
    <t>Corp Costs</t>
  </si>
  <si>
    <t>Q2 14</t>
  </si>
  <si>
    <t>Q2 2014</t>
  </si>
  <si>
    <t>AIH</t>
  </si>
  <si>
    <t>Clean EBITDA ex-UNE</t>
  </si>
  <si>
    <t>Post-tax</t>
  </si>
  <si>
    <t>FCF, US$m</t>
  </si>
  <si>
    <t>Total cash generation</t>
  </si>
  <si>
    <t>PYG m</t>
  </si>
  <si>
    <t>COPm</t>
  </si>
  <si>
    <t>US$/COP</t>
  </si>
  <si>
    <t>Bolivia, other SA</t>
  </si>
  <si>
    <t>Other service</t>
  </si>
  <si>
    <t>Honduras, others</t>
  </si>
  <si>
    <t xml:space="preserve"> of which UNE</t>
  </si>
  <si>
    <t>of which UNE</t>
  </si>
  <si>
    <t>TFS</t>
  </si>
  <si>
    <t>EBITDA pre-TFS</t>
  </si>
  <si>
    <t>Q3 14</t>
  </si>
  <si>
    <t>Good commercial momentum</t>
  </si>
  <si>
    <t>Q3 13 comp is quite hard</t>
  </si>
  <si>
    <t>Mobile net adds better in Q3 than Q2</t>
  </si>
  <si>
    <t>bolivia, senegal write-off in Q3</t>
  </si>
  <si>
    <t>FX - less negative in Q3 vs Q2</t>
  </si>
  <si>
    <t>better than the 2.5% headwind in Q2</t>
  </si>
  <si>
    <t>UNE contribution</t>
  </si>
  <si>
    <t>EBITDA margin drag, 80 bps vs Q2</t>
  </si>
  <si>
    <t>Cash items</t>
  </si>
  <si>
    <t>$38m in Q2</t>
  </si>
  <si>
    <t>$27m in Q3</t>
  </si>
  <si>
    <t>Towers from Colombia</t>
  </si>
  <si>
    <t xml:space="preserve">$3m </t>
  </si>
  <si>
    <t>Senegal - MTR moved up from 12 to 15 (African francs)</t>
  </si>
  <si>
    <t>30% stake in Tower Co. this merged with TEF. Ended up with 15% share in newco. Sold beginning of July. Low triple digits ($m)</t>
  </si>
  <si>
    <t>Revenue ex-UNE</t>
  </si>
  <si>
    <t>Q3 2014</t>
  </si>
  <si>
    <t>Central America, y/y</t>
  </si>
  <si>
    <t>South America, y/y</t>
  </si>
  <si>
    <t>Africa, y/y</t>
  </si>
  <si>
    <t>Total, y/y</t>
  </si>
  <si>
    <t>Implied stake</t>
  </si>
  <si>
    <t>Equity, US$m</t>
  </si>
  <si>
    <t>Colombian spectrum/other</t>
  </si>
  <si>
    <t>Group revs (all ex-Online, ex-UNE)</t>
  </si>
  <si>
    <t>Q3 14 results call</t>
  </si>
  <si>
    <t>600,000 users on Tigo music in Latam</t>
  </si>
  <si>
    <t>Launching also in Africa</t>
  </si>
  <si>
    <t>why margins higher at UNE vs investor day guidance. Sustainable (aside from integration costs)</t>
  </si>
  <si>
    <t>step up in MFS this quarter in Africa - driver here?</t>
  </si>
  <si>
    <t>Colombian mobile margins…where can these get to (high 20%s today)</t>
  </si>
  <si>
    <t>why cable growth only 11%, a slowdown on 16% in Q2</t>
  </si>
  <si>
    <t>corporate costs lower this Q?</t>
  </si>
  <si>
    <t>pro-forma growth in UNE?</t>
  </si>
  <si>
    <t>Q4 another $5m restructuring charge in Africa</t>
  </si>
  <si>
    <t>Bolivia licence expected in 2015</t>
  </si>
  <si>
    <t>Capex at UNE?</t>
  </si>
  <si>
    <t>$25m in Q3 rump. Sticking with $120m for the full year</t>
  </si>
  <si>
    <t>UNE investment mode for 2015</t>
  </si>
  <si>
    <t xml:space="preserve"> - est for Colombia mobile</t>
  </si>
  <si>
    <t xml:space="preserve"> - UNE</t>
  </si>
  <si>
    <t>Kivu push - expansion explains DRC push</t>
  </si>
  <si>
    <t>refinancing of UNE debt. First up intercompany loan</t>
  </si>
  <si>
    <t>40% MTR cuts expected in Paraguay</t>
  </si>
  <si>
    <t>Rep</t>
  </si>
  <si>
    <t>Clean</t>
  </si>
  <si>
    <t>Implied Q4</t>
  </si>
  <si>
    <t xml:space="preserve">Guidance for </t>
  </si>
  <si>
    <t>2014 consol</t>
  </si>
  <si>
    <t>(from rep)</t>
  </si>
  <si>
    <t>NSR Q4e</t>
  </si>
  <si>
    <t>UNE, US$m</t>
  </si>
  <si>
    <t>EBITDA pre corp. Cost</t>
  </si>
  <si>
    <t>Q4 14</t>
  </si>
  <si>
    <t>Q4 2014</t>
  </si>
  <si>
    <t>Q4, $m</t>
  </si>
  <si>
    <t>of which Millicom ex-UNE</t>
  </si>
  <si>
    <t>Actual</t>
  </si>
  <si>
    <t>Service revs, COPm</t>
  </si>
  <si>
    <t>Check all the numbers for Colombia</t>
  </si>
  <si>
    <t>subs &gt;8m now?</t>
  </si>
  <si>
    <t>Handset revs in COP</t>
  </si>
  <si>
    <t>US$ revenue</t>
  </si>
  <si>
    <t>Check African trends</t>
  </si>
  <si>
    <t>Ghana up 25% y/y constant currency</t>
  </si>
  <si>
    <t>guidance on African cash flow</t>
  </si>
  <si>
    <t>outlook for UNE..revs, margins, capex?</t>
  </si>
  <si>
    <t>what's coming up in 2015</t>
  </si>
  <si>
    <t>service revs vs reported revs</t>
  </si>
  <si>
    <t>capex very high</t>
  </si>
  <si>
    <t>Restated balance sheet for 2013?</t>
  </si>
  <si>
    <t>Licences in 2014?</t>
  </si>
  <si>
    <t>CEO appt</t>
  </si>
  <si>
    <t>Service revs slowing</t>
  </si>
  <si>
    <t>FY 2015</t>
  </si>
  <si>
    <t>Q1 2015</t>
  </si>
  <si>
    <t>Q2 2015</t>
  </si>
  <si>
    <t>Q3 2015</t>
  </si>
  <si>
    <t>Q4 2015</t>
  </si>
  <si>
    <t xml:space="preserve"> of which service</t>
  </si>
  <si>
    <t xml:space="preserve"> of which equipment</t>
  </si>
  <si>
    <t>FY 15</t>
  </si>
  <si>
    <t>Q4 15e</t>
  </si>
  <si>
    <t>UNE as % sales</t>
  </si>
  <si>
    <t>Pre Q1 chat</t>
  </si>
  <si>
    <t>8% headwind from FX (6% in Q4)</t>
  </si>
  <si>
    <t>10% reported growth implies 2%  $</t>
  </si>
  <si>
    <t>Africa too high. Q4 stronger than Q1 ($10m or so difference)</t>
  </si>
  <si>
    <t>Paraguay MTRs in Nov</t>
  </si>
  <si>
    <t>Col cuts in Jan</t>
  </si>
  <si>
    <t>Q1 15</t>
  </si>
  <si>
    <t>SA MTRs</t>
  </si>
  <si>
    <t>appetite for devices is strong</t>
  </si>
  <si>
    <t>prices are also moving down. Competition heating up from porting</t>
  </si>
  <si>
    <t>Q1 15 results</t>
  </si>
  <si>
    <t>Virgin MVNO, ETB</t>
  </si>
  <si>
    <t>generally more competitive</t>
  </si>
  <si>
    <t>"strong competition"…reallly?</t>
  </si>
  <si>
    <t>macro better</t>
  </si>
  <si>
    <t>Tanzania 18% was stable</t>
  </si>
  <si>
    <t>Senegal growth picked up, to 17% from 5%</t>
  </si>
  <si>
    <t>Guidance set at 1 Jan FX</t>
  </si>
  <si>
    <t>Integration costs of $50m in 2015</t>
  </si>
  <si>
    <t>Convert top line growth into cash flow growth</t>
  </si>
  <si>
    <t>1/ focus on costs</t>
  </si>
  <si>
    <t>2/ drive colombian margins north</t>
  </si>
  <si>
    <t>3/ focus on execution</t>
  </si>
  <si>
    <t>Guidance confirmed</t>
  </si>
  <si>
    <t>Digital lifestyle is confirmed</t>
  </si>
  <si>
    <t>Costa Rica deal to close in Q2</t>
  </si>
  <si>
    <t>$10m of synergies under belt</t>
  </si>
  <si>
    <t>UNE 4% sequential revs growth</t>
  </si>
  <si>
    <t>Chad and Tanzania margins above 35%</t>
  </si>
  <si>
    <t>tax at the $350-380m level for P&amp;L full year</t>
  </si>
  <si>
    <t>Tanzania drove the African EBITDA up</t>
  </si>
  <si>
    <t>Working capital;</t>
  </si>
  <si>
    <t>receivables</t>
  </si>
  <si>
    <t>buy handset separately</t>
  </si>
  <si>
    <t>some financing to support handset purchase</t>
  </si>
  <si>
    <t>looking to work with a financing company going forward</t>
  </si>
  <si>
    <t>MFS - no promise it will be linear</t>
  </si>
  <si>
    <t>paraguay and tanzania good. Some monetisation in honduras and el salvador</t>
  </si>
  <si>
    <t>some markets - P2P given away almost in some countries</t>
  </si>
  <si>
    <t>interoperability in tanzania - will take a little time to build further growth</t>
  </si>
  <si>
    <t>Rwanda - some synergies from neighbouring rwanda. Some cost challenges.</t>
  </si>
  <si>
    <t>total shareholder return runumeration for senior management</t>
  </si>
  <si>
    <t>TSR will be the key metric</t>
  </si>
  <si>
    <t>DRC - 2 price rises put through in Q1</t>
  </si>
  <si>
    <t>very strong position in Kinshasa</t>
  </si>
  <si>
    <t>decent position in bas congo</t>
  </si>
  <si>
    <t>AMX MTR</t>
  </si>
  <si>
    <t>driving higher spend on handsets, relative to service plans</t>
  </si>
  <si>
    <t>LT implications of regulation are net positive</t>
  </si>
  <si>
    <t>subsidies are disappearing</t>
  </si>
  <si>
    <t>alleviates pressure on BS</t>
  </si>
  <si>
    <t>the high growth asset benefits</t>
  </si>
  <si>
    <t>building up a receivable from AMX?</t>
  </si>
  <si>
    <t>regulation is very clear i.e. the money is owed</t>
  </si>
  <si>
    <t>Absolute cost base downward?</t>
  </si>
  <si>
    <t>Parts of portfolio up for review?</t>
  </si>
  <si>
    <t>very capital allocation focused</t>
  </si>
  <si>
    <t>Africa is positively on track at revs and EBITDA. 2016 OpFCF target.vey focused here</t>
  </si>
  <si>
    <t>Colombian margins</t>
  </si>
  <si>
    <t>330bp mobile margin higher than q1 2014</t>
  </si>
  <si>
    <t>handset sales have not really slowed</t>
  </si>
  <si>
    <t>margin is driving in the right direction</t>
  </si>
  <si>
    <t>Central costs</t>
  </si>
  <si>
    <t>no costs pushed down</t>
  </si>
  <si>
    <t>stockholm - digital ventures has been closed. Sizeable headcount</t>
  </si>
  <si>
    <t>will continue to look in terms of absolute reduction q/q</t>
  </si>
  <si>
    <t>Colombia regs</t>
  </si>
  <si>
    <t>Restructuring charges in Africa</t>
  </si>
  <si>
    <t>nothing in Q1…more to come going forward</t>
  </si>
  <si>
    <t>outsourcing of network operations. Staff moved to 3rd party providers. That deal has happened</t>
  </si>
  <si>
    <t>taking more at the corporate level rather than local</t>
  </si>
  <si>
    <t>covenants at 3.0x?</t>
  </si>
  <si>
    <t>Ericsson and Huawei in Afica</t>
  </si>
  <si>
    <t>hope for better service</t>
  </si>
  <si>
    <t>hope to save money</t>
  </si>
  <si>
    <t>too early to judge</t>
  </si>
  <si>
    <t>Q1 sub'd $ debt for $ debt. Better rates than in El Sal</t>
  </si>
  <si>
    <t>one third in local currency.</t>
  </si>
  <si>
    <t>no real change in strategy</t>
  </si>
  <si>
    <t>Swedish bond - trying to conform all covenants across the debt. Swedish bond was out of line with elsewhere</t>
  </si>
  <si>
    <t>paid a very minor fee for the higher covenant</t>
  </si>
  <si>
    <t>a bunch of technicals around the bond</t>
  </si>
  <si>
    <t>when margins get to the 35/36% level</t>
  </si>
  <si>
    <t xml:space="preserve">knows the GM (Esteban) </t>
  </si>
  <si>
    <t>Pre Q1 15 cons</t>
  </si>
  <si>
    <t>OpFCF margin</t>
  </si>
  <si>
    <t>Revs from voice/SMS</t>
  </si>
  <si>
    <t>Bond disclosure</t>
  </si>
  <si>
    <t>q2</t>
  </si>
  <si>
    <t>9m capex</t>
  </si>
  <si>
    <t>9m 13</t>
  </si>
  <si>
    <t>9m 14</t>
  </si>
  <si>
    <t>Revs from voice</t>
  </si>
  <si>
    <t>MIC SA/other</t>
  </si>
  <si>
    <t>weak 4</t>
  </si>
  <si>
    <t>tanzania</t>
  </si>
  <si>
    <t>chad</t>
  </si>
  <si>
    <t>Q2 15</t>
  </si>
  <si>
    <t>EBITDA after restr.</t>
  </si>
  <si>
    <t>of which mobile</t>
  </si>
  <si>
    <t xml:space="preserve"> of which mobile</t>
  </si>
  <si>
    <t>Costa Rica (cable)</t>
  </si>
  <si>
    <t>no disclosure after Q3 2014</t>
  </si>
  <si>
    <t>Q4 2015e</t>
  </si>
  <si>
    <t>col</t>
  </si>
  <si>
    <t>mobile service</t>
  </si>
  <si>
    <t>fixed service</t>
  </si>
  <si>
    <t>mobile equip</t>
  </si>
  <si>
    <t>fixed equip</t>
  </si>
  <si>
    <t>sa</t>
  </si>
  <si>
    <t>mfs</t>
  </si>
  <si>
    <t>Minority dividends</t>
  </si>
  <si>
    <t>Cash interest</t>
  </si>
  <si>
    <t>Cash tax</t>
  </si>
  <si>
    <t>** Handed back to the govt as part of Tigo deal</t>
  </si>
  <si>
    <t>Unassigned</t>
  </si>
  <si>
    <t>Millicom swapped stakes in Ghana, Tan and DRC op cos into parent company</t>
  </si>
  <si>
    <t>Oct towers</t>
  </si>
  <si>
    <t>Value per tower</t>
  </si>
  <si>
    <t xml:space="preserve">stake </t>
  </si>
  <si>
    <t>Milli stake</t>
  </si>
  <si>
    <t>Q3 15</t>
  </si>
  <si>
    <t>Voluntarily provided info to DoJ in the US and Sweden</t>
  </si>
  <si>
    <t>Deconsolidation of Honduras, Guatemala  not new issues</t>
  </si>
  <si>
    <t>Shareholder agreement that's 25 years old</t>
  </si>
  <si>
    <t>something like local parters have the right to veto certain appointments</t>
  </si>
  <si>
    <t>nm</t>
  </si>
  <si>
    <t>in cop</t>
  </si>
  <si>
    <t>prop ebitda</t>
  </si>
  <si>
    <t>min ebitda</t>
  </si>
  <si>
    <t>Africa ex</t>
  </si>
  <si>
    <t>Colombia mobile service</t>
  </si>
  <si>
    <t>UNE service</t>
  </si>
  <si>
    <t>Q3  15</t>
  </si>
  <si>
    <t>Limited about what can be shared</t>
  </si>
  <si>
    <t>proactive, diligent, disclosed</t>
  </si>
  <si>
    <t>independent assessment of compliance</t>
  </si>
  <si>
    <t>likely take some time if there is an investigation</t>
  </si>
  <si>
    <t>Chad the only mkt where macro impacting ops</t>
  </si>
  <si>
    <t>beginning to see a weaker macro</t>
  </si>
  <si>
    <t>2015e EBITDA (100%)</t>
  </si>
  <si>
    <t xml:space="preserve">Net debt (2015e) </t>
  </si>
  <si>
    <t>Equity value (100%)</t>
  </si>
  <si>
    <t>as % target equity</t>
  </si>
  <si>
    <t>MIC stake, %</t>
  </si>
  <si>
    <t>MIC stake ($m)</t>
  </si>
  <si>
    <t>Colombia restructuring charges</t>
  </si>
  <si>
    <t>booked through capex this Q</t>
  </si>
  <si>
    <t xml:space="preserve">not a choice, will depend </t>
  </si>
  <si>
    <t>overall $105m hasn’t changed, will be a split perhaps</t>
  </si>
  <si>
    <t>Consolidation in Guat/Hond</t>
  </si>
  <si>
    <t>absence of extending the options, then expect to deconsolidate</t>
  </si>
  <si>
    <t>Africa margins</t>
  </si>
  <si>
    <t>some tidy up issues in Africa in Q4 again</t>
  </si>
  <si>
    <t>one off issues distort the margin. Feel like making progress</t>
  </si>
  <si>
    <t>OpFCF break even in 2016 still targeted</t>
  </si>
  <si>
    <t>competitive dynamic</t>
  </si>
  <si>
    <t>10m homes</t>
  </si>
  <si>
    <t>1/ in all markets, 95% is aerial</t>
  </si>
  <si>
    <t>2/ significant market density</t>
  </si>
  <si>
    <t>3/ labour is a lot of the cost, which is cheaper</t>
  </si>
  <si>
    <t xml:space="preserve">Cable </t>
  </si>
  <si>
    <t>150k homes, think 750-900k would be achievable</t>
  </si>
  <si>
    <t>55% of economic homes in the country</t>
  </si>
  <si>
    <t>$100m build cost, the network. Is ex-equipment costs</t>
  </si>
  <si>
    <t>over indexing, particularly on data</t>
  </si>
  <si>
    <t>growing revs market share</t>
  </si>
  <si>
    <t>exclusive football rights at DTV have gone to all ops, 2 months ago</t>
  </si>
  <si>
    <t>some exclusive content over mobile platform</t>
  </si>
  <si>
    <t>15 year extension</t>
  </si>
  <si>
    <t>$22.7m cost</t>
  </si>
  <si>
    <t>RGUs</t>
  </si>
  <si>
    <t>Clean up of UNE subs who generated no revenue</t>
  </si>
  <si>
    <t>Q4 15</t>
  </si>
  <si>
    <t>Reported Group</t>
  </si>
  <si>
    <t>Calc revs</t>
  </si>
  <si>
    <t>africa</t>
  </si>
  <si>
    <t>NSR  15-</t>
  </si>
  <si>
    <t xml:space="preserve">Africa </t>
  </si>
  <si>
    <t xml:space="preserve">CA </t>
  </si>
  <si>
    <t xml:space="preserve">Other SA </t>
  </si>
  <si>
    <t>Cable split</t>
  </si>
  <si>
    <t>Rate</t>
  </si>
  <si>
    <t>Interest costs</t>
  </si>
  <si>
    <t>Effective tax rate in Guatemala?</t>
  </si>
  <si>
    <t>16%, rev taxes seems to reduce it from headline rate?</t>
  </si>
  <si>
    <t>Assumed policy</t>
  </si>
  <si>
    <t>History of the Guatemala divi</t>
  </si>
  <si>
    <t>80% quorum needed, reason why deconsolidated?</t>
  </si>
  <si>
    <t>Check this year's guidance for EBITDA</t>
  </si>
  <si>
    <t>Minorities….</t>
  </si>
  <si>
    <t>Guatemala (55%)</t>
  </si>
  <si>
    <t>Net profit</t>
  </si>
  <si>
    <t>Why are they down so much this year?</t>
  </si>
  <si>
    <t>how is this loss making</t>
  </si>
  <si>
    <t>&lt;$300m</t>
  </si>
  <si>
    <t>Cash and P&amp;L</t>
  </si>
  <si>
    <t>HQ</t>
  </si>
  <si>
    <t>no tax implications, so strip out</t>
  </si>
  <si>
    <t>corp costs</t>
  </si>
  <si>
    <t>fin cost of holding</t>
  </si>
  <si>
    <t>associate losses, LIH, AIH</t>
  </si>
  <si>
    <t>opex Africa, actually pay taxes</t>
  </si>
  <si>
    <t>25% ends up being the right amount</t>
  </si>
  <si>
    <t>ebit</t>
  </si>
  <si>
    <t>fin cost</t>
  </si>
  <si>
    <t>add back others</t>
  </si>
  <si>
    <t>withholding tax, pay tax</t>
  </si>
  <si>
    <t>trying to address withholding taxes</t>
  </si>
  <si>
    <t>&gt;100% of net income paid out..releveraging process</t>
  </si>
  <si>
    <t>$300m more than traditional for Millicom</t>
  </si>
  <si>
    <t>$100m run-rate for Guatemala going forward</t>
  </si>
  <si>
    <t>adjusted for</t>
  </si>
  <si>
    <t>Holding fin expenses</t>
  </si>
  <si>
    <t>Corporate expenses</t>
  </si>
  <si>
    <t>Total adjs</t>
  </si>
  <si>
    <t>Adj taxable profit</t>
  </si>
  <si>
    <t>Weighted average corp tax</t>
  </si>
  <si>
    <t>Associate losses</t>
  </si>
  <si>
    <t>Withholding taxes on upstreaming</t>
  </si>
  <si>
    <t>Total tax</t>
  </si>
  <si>
    <t>Paraguay spectrum (Dec 15)</t>
  </si>
  <si>
    <t>Terminal value</t>
  </si>
  <si>
    <t>Discounted value</t>
  </si>
  <si>
    <t>55% value</t>
  </si>
  <si>
    <t>UNE bonds, 7.33%-8.76% (COP)</t>
  </si>
  <si>
    <t>Bolivia 4.75% (BOL)</t>
  </si>
  <si>
    <t>Repayments/fx</t>
  </si>
  <si>
    <t>COP/$ YE</t>
  </si>
  <si>
    <t>% change ($ strength)</t>
  </si>
  <si>
    <t>% change (COP weakness)</t>
  </si>
  <si>
    <t>Towers lease liability</t>
  </si>
  <si>
    <t>Clean tax</t>
  </si>
  <si>
    <t>Note: implied Costa Rica/other</t>
  </si>
  <si>
    <t>One-off charges</t>
  </si>
  <si>
    <t xml:space="preserve">Net debt </t>
  </si>
  <si>
    <t>Total CA debt</t>
  </si>
  <si>
    <t>Total CA cash</t>
  </si>
  <si>
    <t>Total CA net debt</t>
  </si>
  <si>
    <t xml:space="preserve">D&amp;A </t>
  </si>
  <si>
    <t>of which Colombia</t>
  </si>
  <si>
    <t>of which Tigo Colombia</t>
  </si>
  <si>
    <t>of which SA ex Colombia</t>
  </si>
  <si>
    <t>Bolivian spectrum ext (Oct 15)</t>
  </si>
  <si>
    <t>2014A</t>
  </si>
  <si>
    <t>Weighted group WACC</t>
  </si>
  <si>
    <t>45% minority</t>
  </si>
  <si>
    <t>OpFCF (pre corporate costs)</t>
  </si>
  <si>
    <t>OpFCF (post corporate costs)</t>
  </si>
  <si>
    <t>Assumed payout ratio</t>
  </si>
  <si>
    <t>Cable ex UNE DSL</t>
  </si>
  <si>
    <t>Cable ex UNE</t>
  </si>
  <si>
    <t>2015-20e CAGR</t>
  </si>
  <si>
    <t>Less tax impact of gain/other</t>
  </si>
  <si>
    <t>Theoretical tax</t>
  </si>
  <si>
    <t>PBT pre gains</t>
  </si>
  <si>
    <t>Effective tax rate (pre-gain PBT)</t>
  </si>
  <si>
    <t>Tax calculation</t>
  </si>
  <si>
    <t>Africa losses</t>
  </si>
  <si>
    <t>minority dividends</t>
  </si>
  <si>
    <t>working capital</t>
  </si>
  <si>
    <t>Net debt/EBITDA ex Guat divi</t>
  </si>
  <si>
    <t>Net debt ex-Guatemala associate divi</t>
  </si>
  <si>
    <t xml:space="preserve">Cash </t>
  </si>
  <si>
    <t>gross</t>
  </si>
  <si>
    <t>ex</t>
  </si>
  <si>
    <t>group</t>
  </si>
  <si>
    <t>net</t>
  </si>
  <si>
    <t>usd</t>
  </si>
  <si>
    <t>Cash flow, USD m</t>
  </si>
  <si>
    <t>Liquidity (ex Guat/Hond) USD m</t>
  </si>
  <si>
    <t>EBITDA ex Guatemala, Honduras</t>
  </si>
  <si>
    <t>Today (consolidated)</t>
  </si>
  <si>
    <t xml:space="preserve">Consolidated, ex Guatemala, Honduras </t>
  </si>
  <si>
    <t>Proportionate basis</t>
  </si>
  <si>
    <t>Consol, ex-Hond/Guat, USD m</t>
  </si>
  <si>
    <t>Bank debt/other</t>
  </si>
  <si>
    <t>Deconsolidated</t>
  </si>
  <si>
    <t>Total (current parameter)</t>
  </si>
  <si>
    <t>Total (new parameter)</t>
  </si>
  <si>
    <t>Balance sheet, USD m</t>
  </si>
  <si>
    <t>Guatemala facility</t>
  </si>
  <si>
    <t>Cash (current parameter)</t>
  </si>
  <si>
    <t>Cash (new parameter)</t>
  </si>
  <si>
    <t>Current parameter</t>
  </si>
  <si>
    <t>Interest (new parameter)</t>
  </si>
  <si>
    <t>P&amp;L tax</t>
  </si>
  <si>
    <t>Average corporate tax rate</t>
  </si>
  <si>
    <t>Theoretical  tax charge</t>
  </si>
  <si>
    <t>Difference between effective and headline</t>
  </si>
  <si>
    <t>Hard currency (mainly US)</t>
  </si>
  <si>
    <t>Local currency</t>
  </si>
  <si>
    <t>clean interest</t>
  </si>
  <si>
    <t>Gross interest charges</t>
  </si>
  <si>
    <t>as % net</t>
  </si>
  <si>
    <t>Adjusted for corp costs</t>
  </si>
  <si>
    <t>Effective over theoretic tax</t>
  </si>
  <si>
    <t>Tax charge vs DCF normalised</t>
  </si>
  <si>
    <t>Adjusted for African losses</t>
  </si>
  <si>
    <t>q4</t>
  </si>
  <si>
    <t>Q4  15</t>
  </si>
  <si>
    <t>Other non op expenses</t>
  </si>
  <si>
    <t>$400m is the deconsol of Guat and Hond</t>
  </si>
  <si>
    <t>$300m is FX</t>
  </si>
  <si>
    <t>Q4 15 results call</t>
  </si>
  <si>
    <t>Debt is pretty solid. Debt is BB+</t>
  </si>
  <si>
    <t>$225m of debt in 2016. undrawn credit of $500m</t>
  </si>
  <si>
    <t>aiming to hit 40% of debt in op cos</t>
  </si>
  <si>
    <t>$50-100m lower capex in 2016, will support OpFCF</t>
  </si>
  <si>
    <t>HTA towers</t>
  </si>
  <si>
    <t>hold 24% on fully diluted basis</t>
  </si>
  <si>
    <t>non core</t>
  </si>
  <si>
    <t>14% ownership</t>
  </si>
  <si>
    <t>$1bn. AXA taken a 8% stake</t>
  </si>
  <si>
    <t>more efficient capex, use existing better</t>
  </si>
  <si>
    <t>strict allocations</t>
  </si>
  <si>
    <t>Margin expansions</t>
  </si>
  <si>
    <t>efficiency programs</t>
  </si>
  <si>
    <t>trends positive lately</t>
  </si>
  <si>
    <t>taken restructuring charges in Africa</t>
  </si>
  <si>
    <t>how much in total?</t>
  </si>
  <si>
    <t>Done the hard work in the integration</t>
  </si>
  <si>
    <t>beginning to see it come through</t>
  </si>
  <si>
    <t>normal out of guatemala</t>
  </si>
  <si>
    <t>interest will be higher</t>
  </si>
  <si>
    <t>tax will be higher in 2016…</t>
  </si>
  <si>
    <t>2015 had some overpaid taxes</t>
  </si>
  <si>
    <t>drc was quite specific…in country market solution; better than plan A of staying in the market</t>
  </si>
  <si>
    <t>don't ex[ect more necessarily</t>
  </si>
  <si>
    <t>plan a, opfcf break even</t>
  </si>
  <si>
    <t>depends on colombia in 2016</t>
  </si>
  <si>
    <t>AMX cutting prices and being super aggressive</t>
  </si>
  <si>
    <t xml:space="preserve">Costa Rica </t>
  </si>
  <si>
    <t>Miffin</t>
  </si>
  <si>
    <t>Constructive relationship in Guatemala</t>
  </si>
  <si>
    <t>Dividend - not related to guidance</t>
  </si>
  <si>
    <t>$700m upstreamed in 2015</t>
  </si>
  <si>
    <t>Corp costs (as % gp)</t>
  </si>
  <si>
    <t>Elims (as % gp)</t>
  </si>
  <si>
    <t>Group (adj)</t>
  </si>
  <si>
    <t>2015A</t>
  </si>
  <si>
    <t>mid-single digit</t>
  </si>
  <si>
    <t>&gt;33.7%</t>
  </si>
  <si>
    <t>* we take our $6.7b revs, 34.0% EBITDA margin and mid-point of capex guidance</t>
  </si>
  <si>
    <t>1,150-1,250</t>
  </si>
  <si>
    <t xml:space="preserve">EBITDA (adj) </t>
  </si>
  <si>
    <t>Change (Q4 versus Q3)</t>
  </si>
  <si>
    <t>Q4 16E</t>
  </si>
  <si>
    <t>Chad margins</t>
  </si>
  <si>
    <t>Tanzania…Zantel</t>
  </si>
  <si>
    <t>Costa Rica/other</t>
  </si>
  <si>
    <t>Tanzania (ex Zantel)</t>
  </si>
  <si>
    <t>Total mobile revenue</t>
  </si>
  <si>
    <t>"Adjusted EBITDA"</t>
  </si>
  <si>
    <t>Tanzania (inc Zantel)</t>
  </si>
  <si>
    <t>Tanzania (inc Zantel from 2016)</t>
  </si>
  <si>
    <t>Eliminations</t>
  </si>
  <si>
    <t>Group (pre one-offs)</t>
  </si>
  <si>
    <t>Adjusted EBITDA margin</t>
  </si>
  <si>
    <t>700MHz at US$0.2</t>
  </si>
  <si>
    <t>dividend as %</t>
  </si>
  <si>
    <t>Total CA minorities net income (100%)</t>
  </si>
  <si>
    <t>Share of net income</t>
  </si>
  <si>
    <t>Minority dividend (CA)</t>
  </si>
  <si>
    <t>Minority share of net</t>
  </si>
  <si>
    <t>Corporate costs - OLD</t>
  </si>
  <si>
    <t>Corporate costs - NEW</t>
  </si>
  <si>
    <t>POPs, m</t>
  </si>
  <si>
    <t>Spectrum</t>
  </si>
  <si>
    <t>2 x 15 MHz</t>
  </si>
  <si>
    <t>Peru (700 MHz reserve price) - 2016</t>
  </si>
  <si>
    <t>Argentina - 2014</t>
  </si>
  <si>
    <t>AWS (average of 3 winners)</t>
  </si>
  <si>
    <t>700 MHz (average of 3 winners)</t>
  </si>
  <si>
    <t>US cents/MHz/POP</t>
  </si>
  <si>
    <t>Mexico - 2016 (preliminary) AWS</t>
  </si>
  <si>
    <t>AT&amp;T</t>
  </si>
  <si>
    <t>US$ NPV</t>
  </si>
  <si>
    <t>Colombia - estimate</t>
  </si>
  <si>
    <t xml:space="preserve">NEW </t>
  </si>
  <si>
    <t>OLD adj for DR C</t>
  </si>
  <si>
    <t xml:space="preserve"> (adj)</t>
  </si>
  <si>
    <t>Service revs growth (constant FX) *</t>
  </si>
  <si>
    <t>For publishing</t>
  </si>
  <si>
    <t>y/y growth, constant FX</t>
  </si>
  <si>
    <t>Group, pre one-offs</t>
  </si>
  <si>
    <t>Net debt to EBTDA</t>
  </si>
  <si>
    <t>SEK1.75bn floating</t>
  </si>
  <si>
    <t>SEK0.25bn 5.125%</t>
  </si>
  <si>
    <t>Q1 16</t>
  </si>
  <si>
    <t>Q1 2016</t>
  </si>
  <si>
    <t>Q2 16e</t>
  </si>
  <si>
    <t>Q3 16e</t>
  </si>
  <si>
    <t>Q4 16e</t>
  </si>
  <si>
    <t>Mobile service, y/y</t>
  </si>
  <si>
    <t>Cash capex</t>
  </si>
  <si>
    <t xml:space="preserve">Prop </t>
  </si>
  <si>
    <t>Guatemala and Honduras</t>
  </si>
  <si>
    <t>Gp ex G&amp;H</t>
  </si>
  <si>
    <t>Prop net debt to EBITDA</t>
  </si>
  <si>
    <t>2.36x</t>
  </si>
  <si>
    <t>Guatemala &amp; Honduras</t>
  </si>
  <si>
    <t xml:space="preserve"> of which Guatemala</t>
  </si>
  <si>
    <t xml:space="preserve"> of which Honduras</t>
  </si>
  <si>
    <t>Prop net debt</t>
  </si>
  <si>
    <t>Net debt ex Guatemala/Honduras</t>
  </si>
  <si>
    <t>Prop EBITDA</t>
  </si>
  <si>
    <t>By product</t>
  </si>
  <si>
    <t>Group service</t>
  </si>
  <si>
    <t>By geography</t>
  </si>
  <si>
    <t>Service revs, y/y</t>
  </si>
  <si>
    <t>Colombia margin</t>
  </si>
  <si>
    <t>Q1 16 results call</t>
  </si>
  <si>
    <t>just launched DTH</t>
  </si>
  <si>
    <t>weak voice impacted by MTR</t>
  </si>
  <si>
    <t>Q4 elections, delayed public contracts</t>
  </si>
  <si>
    <t>Opportunity to push debt down to the op cos?</t>
  </si>
  <si>
    <t>Colombia competition getting worse?</t>
  </si>
  <si>
    <t>UNE showed slowing service revenue growth?</t>
  </si>
  <si>
    <t>Chad Q4 was a shocker?</t>
  </si>
  <si>
    <t>Had a great Q4 in revs</t>
  </si>
  <si>
    <t>hence a slowdown in Q1</t>
  </si>
  <si>
    <t>Corporate costs any lower?</t>
  </si>
  <si>
    <t>170bp up on q1 15</t>
  </si>
  <si>
    <t>africa the main driver, plus ghana is up</t>
  </si>
  <si>
    <t>$1.1bn</t>
  </si>
  <si>
    <t>$400m is maturing before 2018</t>
  </si>
  <si>
    <t>mostly local debt</t>
  </si>
  <si>
    <t>moving from volume to value</t>
  </si>
  <si>
    <t xml:space="preserve">Q&amp;A </t>
  </si>
  <si>
    <t>particularly in colombia, where not chasing volumes</t>
  </si>
  <si>
    <t>subs slowing?</t>
  </si>
  <si>
    <t>added 900k smartphone users</t>
  </si>
  <si>
    <t>on the fixed business also</t>
  </si>
  <si>
    <t>not guiding down on lower corporate costs yet</t>
  </si>
  <si>
    <t>250-300</t>
  </si>
  <si>
    <t>mid/high-end of range</t>
  </si>
  <si>
    <t>cash and p&amp;L similar</t>
  </si>
  <si>
    <t>cable growth</t>
  </si>
  <si>
    <t>availability of construction crews</t>
  </si>
  <si>
    <t>800 HFC homes</t>
  </si>
  <si>
    <t>first focused on reconverting copper homes with high value customers</t>
  </si>
  <si>
    <t>therefore below 800k target</t>
  </si>
  <si>
    <t>permits are slower also</t>
  </si>
  <si>
    <t>Isn't cable growth slowing</t>
  </si>
  <si>
    <t>cable competition</t>
  </si>
  <si>
    <t>mainly building the alternative to the copper</t>
  </si>
  <si>
    <t>b2b - delays only</t>
  </si>
  <si>
    <t>doesn’t change the long-term outlook</t>
  </si>
  <si>
    <t>bullish on it going forward</t>
  </si>
  <si>
    <t>M&amp;A</t>
  </si>
  <si>
    <t>acquisition opportunities?</t>
  </si>
  <si>
    <t>cable assets in neighbouring markets?</t>
  </si>
  <si>
    <t>continuation of competitive levels</t>
  </si>
  <si>
    <t>gaining share vs competitors</t>
  </si>
  <si>
    <t>weakening of consumer confidence</t>
  </si>
  <si>
    <t>handset costs more expensive in peso terms</t>
  </si>
  <si>
    <t>Africa internet group</t>
  </si>
  <si>
    <t>latest shareholding</t>
  </si>
  <si>
    <t>12% in AIG</t>
  </si>
  <si>
    <t>limited visibility</t>
  </si>
  <si>
    <t>full collaboration</t>
  </si>
  <si>
    <t>Q1 16 follow up</t>
  </si>
  <si>
    <t>Why did Costa Rica slow so much</t>
  </si>
  <si>
    <t>And what about UNE - check total UNE trend</t>
  </si>
  <si>
    <t>HFC as % total</t>
  </si>
  <si>
    <t>HFC homes passed</t>
  </si>
  <si>
    <t>HFC homes connected</t>
  </si>
  <si>
    <t>as % HFC homes passed</t>
  </si>
  <si>
    <t>Operating data - includes Colombia</t>
  </si>
  <si>
    <t>HFC RGUs</t>
  </si>
  <si>
    <t>All RGU's</t>
  </si>
  <si>
    <t>RGUs per HFC connected</t>
  </si>
  <si>
    <t>HFC split</t>
  </si>
  <si>
    <t>000s</t>
  </si>
  <si>
    <t>ARPU per residential customer</t>
  </si>
  <si>
    <t>Residential cable service</t>
  </si>
  <si>
    <t>Reported res cable revs</t>
  </si>
  <si>
    <t>B2B</t>
  </si>
  <si>
    <t>B2B as % total</t>
  </si>
  <si>
    <t>Split by region</t>
  </si>
  <si>
    <t>South America ex-UNE</t>
  </si>
  <si>
    <t>LatAm cable revenue</t>
  </si>
  <si>
    <t>Cable company</t>
  </si>
  <si>
    <t>Implied FCF mult</t>
  </si>
  <si>
    <t xml:space="preserve"> - Costa Rica</t>
  </si>
  <si>
    <t xml:space="preserve"> - Guatemala</t>
  </si>
  <si>
    <t xml:space="preserve"> - Paraguay</t>
  </si>
  <si>
    <t>Country split</t>
  </si>
  <si>
    <t xml:space="preserve"> - Paraguay in local FX</t>
  </si>
  <si>
    <t xml:space="preserve">   - business</t>
  </si>
  <si>
    <t xml:space="preserve">   - home</t>
  </si>
  <si>
    <t>LatAm cable</t>
  </si>
  <si>
    <t>LatAm mobile</t>
  </si>
  <si>
    <t>ETB 2015</t>
  </si>
  <si>
    <t>ETB acquisition</t>
  </si>
  <si>
    <t>Shares</t>
  </si>
  <si>
    <t>Equity, Ps</t>
  </si>
  <si>
    <t>Equity, $</t>
  </si>
  <si>
    <t>Cumulative interest</t>
  </si>
  <si>
    <t>ETB, COP</t>
  </si>
  <si>
    <t>ETB, $</t>
  </si>
  <si>
    <t>ETB debt</t>
  </si>
  <si>
    <t>Equity paid</t>
  </si>
  <si>
    <t>ETB EBITDA</t>
  </si>
  <si>
    <t>New EBITDA</t>
  </si>
  <si>
    <t>Millicom EBITDA (consol)</t>
  </si>
  <si>
    <t>Millicom net debt (consol)</t>
  </si>
  <si>
    <t>New net debt/EBITDA</t>
  </si>
  <si>
    <t>Prop Millicom</t>
  </si>
  <si>
    <t>New prop debt</t>
  </si>
  <si>
    <t>Millicom EBITDA (prop)</t>
  </si>
  <si>
    <t>New EBITDA (prop)</t>
  </si>
  <si>
    <t>New net debt to EBITDA (prop)</t>
  </si>
  <si>
    <t>New, US$m</t>
  </si>
  <si>
    <t>Old, US$m</t>
  </si>
  <si>
    <t>Licences</t>
  </si>
  <si>
    <t>Change in estimates</t>
  </si>
  <si>
    <t>Summary of cable model</t>
  </si>
  <si>
    <t>Residential cable revs</t>
  </si>
  <si>
    <t xml:space="preserve"> of which </t>
  </si>
  <si>
    <t>UNE (Colombia)</t>
  </si>
  <si>
    <t>US$m, unless specified</t>
  </si>
  <si>
    <t>Total homes passed, 000s</t>
  </si>
  <si>
    <t>Homes connected, 000s</t>
  </si>
  <si>
    <t xml:space="preserve"> of which homes connected</t>
  </si>
  <si>
    <t>new homes connected</t>
  </si>
  <si>
    <t>Cost per home connected, USD</t>
  </si>
  <si>
    <t>Cost of homes connected, USD</t>
  </si>
  <si>
    <t xml:space="preserve">capex/sales is close to </t>
  </si>
  <si>
    <t>Capex across cable</t>
  </si>
  <si>
    <t>20% of sales</t>
  </si>
  <si>
    <t>DTH also</t>
  </si>
  <si>
    <t>$100 per home passed</t>
  </si>
  <si>
    <t>$50 CPE home connected</t>
  </si>
  <si>
    <t>35-40% EBITDA margin</t>
  </si>
  <si>
    <t>Mobile/MFS other revs</t>
  </si>
  <si>
    <t>Fixed service</t>
  </si>
  <si>
    <t>El Salvador/Honduras</t>
  </si>
  <si>
    <t>Millicom LatAm</t>
  </si>
  <si>
    <t xml:space="preserve"> - of which HFC</t>
  </si>
  <si>
    <t>Megacable</t>
  </si>
  <si>
    <t>% pen of homes HFC passed</t>
  </si>
  <si>
    <t>Capex as % sales (2016*)</t>
  </si>
  <si>
    <t>EBITDA margin (Q1 16)</t>
  </si>
  <si>
    <t>Homes passed, Q1 16 (000s)</t>
  </si>
  <si>
    <t>EBITDA per home connected, USD/ month</t>
  </si>
  <si>
    <t>VTR</t>
  </si>
  <si>
    <t>Fair value, EV ($bn)</t>
  </si>
  <si>
    <t>Multiple to 2016e EBITDA</t>
  </si>
  <si>
    <t>Homes connected as % total</t>
  </si>
  <si>
    <t>Residential ARPU, US$</t>
  </si>
  <si>
    <t>Premium</t>
  </si>
  <si>
    <t>Sale price, COP</t>
  </si>
  <si>
    <t>Price, COP</t>
  </si>
  <si>
    <t>Current Millicom net debt to EBITDA</t>
  </si>
  <si>
    <t>Current Millicom net debt to EBITDA (prop)</t>
  </si>
  <si>
    <t>Homes connected, Q1 16 (000s)</t>
  </si>
  <si>
    <t>Residential ARPU, USD (Q1 16)</t>
  </si>
  <si>
    <t>Pay TV</t>
  </si>
  <si>
    <t>EL Salvador</t>
  </si>
  <si>
    <t>Q2 16</t>
  </si>
  <si>
    <t>Slower growth than Q1</t>
  </si>
  <si>
    <t>Colombia the driver of the slowdown</t>
  </si>
  <si>
    <t>March was worse than Jan</t>
  </si>
  <si>
    <t>mobile is 50%</t>
  </si>
  <si>
    <t>3% in Q1, -1% in mobile, +7% in UNE</t>
  </si>
  <si>
    <t>mobile worse than -1%, no decent gross additions</t>
  </si>
  <si>
    <t>2 quarters of weak commercial momentum</t>
  </si>
  <si>
    <t xml:space="preserve"> -3/4% service revs</t>
  </si>
  <si>
    <t>UNE: B2B/B2C 50/50</t>
  </si>
  <si>
    <t>B2B tough, govt cutting spending</t>
  </si>
  <si>
    <t>4.1% to 3%</t>
  </si>
  <si>
    <t xml:space="preserve"> -3/4% mobile, +3% fixed. So colombia flat</t>
  </si>
  <si>
    <t>El Salvador to suffer more. q1 start of deterioration, no reason to improve</t>
  </si>
  <si>
    <t>economic activiity drop</t>
  </si>
  <si>
    <t>govt forcing us to cut signals in prisons</t>
  </si>
  <si>
    <t>which are in the city centres</t>
  </si>
  <si>
    <t>tried to pass taxes onto consumers</t>
  </si>
  <si>
    <t>Para, Bolivia broadly in-line</t>
  </si>
  <si>
    <t>Guatemala in-line with Q1 at best</t>
  </si>
  <si>
    <t>big contract not being paid</t>
  </si>
  <si>
    <t>$30m revs per year. Booked in Q1 last year</t>
  </si>
  <si>
    <t>annualised now</t>
  </si>
  <si>
    <t>Tanzania new entrant</t>
  </si>
  <si>
    <t>Some pricing pressure for full Q</t>
  </si>
  <si>
    <t>Not 15%, nearer high single digit</t>
  </si>
  <si>
    <t>Margins strong though</t>
  </si>
  <si>
    <t>lower corporate costs</t>
  </si>
  <si>
    <t>cost cutting in africa</t>
  </si>
  <si>
    <t>margins in latam</t>
  </si>
  <si>
    <t>margins in-line with Q1</t>
  </si>
  <si>
    <t>30/40m too high on revs</t>
  </si>
  <si>
    <t>margin for us too low</t>
  </si>
  <si>
    <t>560 for ebitda rather than 570</t>
  </si>
  <si>
    <t>Homes passed</t>
  </si>
  <si>
    <t>No real change</t>
  </si>
  <si>
    <t>Nothing changing in Colombia, on B2C</t>
  </si>
  <si>
    <t>Auction</t>
  </si>
  <si>
    <t>Nothing new on Colombian auction</t>
  </si>
  <si>
    <t>Need to list? Back on the agenda…?</t>
  </si>
  <si>
    <t>nothng firm at this stage</t>
  </si>
  <si>
    <t>EBITDA less capex less corp costs for Africa ($30m in 2015 and falling)</t>
  </si>
  <si>
    <t>FY in 2016</t>
  </si>
  <si>
    <t>Guatemala spectrum</t>
  </si>
  <si>
    <t>LTE auction, 1700-2100.</t>
  </si>
  <si>
    <t>nothing clear yet</t>
  </si>
  <si>
    <t>only country in latam without 4G</t>
  </si>
  <si>
    <t>SA ex-Colombia</t>
  </si>
  <si>
    <t>Cons Q2e</t>
  </si>
  <si>
    <t>Reported growth</t>
  </si>
  <si>
    <t>Mid-single digit</t>
  </si>
  <si>
    <t>Low/mid-single digit</t>
  </si>
  <si>
    <t>Mid/high-single digit</t>
  </si>
  <si>
    <t>$1.1</t>
  </si>
  <si>
    <t>$1.15-1.25</t>
  </si>
  <si>
    <t>Capex, bn</t>
  </si>
  <si>
    <t>Q2 16 preview</t>
  </si>
  <si>
    <t>Q2 16 results call</t>
  </si>
  <si>
    <t>Heat is a multi-year program</t>
  </si>
  <si>
    <t>$1bn per Q. 40% are gross</t>
  </si>
  <si>
    <t>G&amp;A 30%, IT, network</t>
  </si>
  <si>
    <t>Sales, marketing, comms etc</t>
  </si>
  <si>
    <t>1-2pp off</t>
  </si>
  <si>
    <t xml:space="preserve">1-1.5pp </t>
  </si>
  <si>
    <t>50% of synergy run rate in Zantel</t>
  </si>
  <si>
    <t>UNE margin is very good, up 3.4pp</t>
  </si>
  <si>
    <t>Mobile down 1.9pp</t>
  </si>
  <si>
    <t>Working capital out in first half typically. Main swing was in Q1</t>
  </si>
  <si>
    <t>4 new non execs</t>
  </si>
  <si>
    <t>$200m - how much Africa?</t>
  </si>
  <si>
    <t>95% Latin America</t>
  </si>
  <si>
    <t>across the footprint</t>
  </si>
  <si>
    <t>largely from centralising CPIO functions</t>
  </si>
  <si>
    <t>50% procurement</t>
  </si>
  <si>
    <t>25% from smarter capacity..focus on where traffic is</t>
  </si>
  <si>
    <t>moving traffic to 4G where it costs 20% of that on 3G</t>
  </si>
  <si>
    <t>25% beginnings of IT under new heat.</t>
  </si>
  <si>
    <t>COO for LatAm</t>
  </si>
  <si>
    <t>GM in Colombia has stepped up to this</t>
  </si>
  <si>
    <t>4 new directors</t>
  </si>
  <si>
    <t>Tanzania, Colombia competition</t>
  </si>
  <si>
    <t>some £ exposure but it's limited</t>
  </si>
  <si>
    <t>some help</t>
  </si>
  <si>
    <t>Tanzania - increasing competition</t>
  </si>
  <si>
    <t>new entrant is having an impact</t>
  </si>
  <si>
    <t xml:space="preserve">strong revenue growth, gaining on margins and subs </t>
  </si>
  <si>
    <t>remain positive on margin expansion</t>
  </si>
  <si>
    <t>continuation of trends</t>
  </si>
  <si>
    <t>mobile - devaluation impacting real economy, rising inflation, lower consumer confidence</t>
  </si>
  <si>
    <t>the one market, where mobile is less significant than fixed (aside from costa rica)</t>
  </si>
  <si>
    <t>largest fixed opportunity exists here</t>
  </si>
  <si>
    <t>Tigo is holding pricing</t>
  </si>
  <si>
    <t>Focussing mobile on digital, gaining on 4G. 150 4g subs of total 0.5m are in colombia</t>
  </si>
  <si>
    <t>Project Heat</t>
  </si>
  <si>
    <t>35% mid-term target for margins…room to push this up?</t>
  </si>
  <si>
    <t>how much is taxes, will it persist</t>
  </si>
  <si>
    <t>reached in shorter time frame than expected</t>
  </si>
  <si>
    <t>working on it for a while, back from July last year</t>
  </si>
  <si>
    <t>will underpin further margin expansion</t>
  </si>
  <si>
    <t>5pp of service revenue</t>
  </si>
  <si>
    <t>150bp on EBITDA…or 15%??</t>
  </si>
  <si>
    <t>revenue tax, levied to combat security</t>
  </si>
  <si>
    <t>Cable as a defensive business?</t>
  </si>
  <si>
    <t>Overall churn on fixed or cable is just 2%</t>
  </si>
  <si>
    <t>cost per home passed is $100. so economic value of client is very good</t>
  </si>
  <si>
    <t>41 programs, which run 2-3 years</t>
  </si>
  <si>
    <t>operate in an inflationary background</t>
  </si>
  <si>
    <t>$200m will not be spit by opex/capex, WC</t>
  </si>
  <si>
    <t xml:space="preserve"> benefits in 2016 are small, but present in 2016</t>
  </si>
  <si>
    <t>Margin to get to "normal" levels?</t>
  </si>
  <si>
    <t>$750m of synergies. How far through?</t>
  </si>
  <si>
    <t>&gt;300bp of fixed margin uplift so far</t>
  </si>
  <si>
    <t xml:space="preserve"> not finished yet</t>
  </si>
  <si>
    <t>Eliminations/other</t>
  </si>
  <si>
    <t>Costa Rica slowdown?</t>
  </si>
  <si>
    <t>Further Q&amp;A</t>
  </si>
  <si>
    <t>other markets</t>
  </si>
  <si>
    <t>tan</t>
  </si>
  <si>
    <t>Changes to estimates (July 16, post Q2)</t>
  </si>
  <si>
    <t>guatemala</t>
  </si>
  <si>
    <t>fcf</t>
  </si>
  <si>
    <t>ca</t>
  </si>
  <si>
    <t>el sal/other</t>
  </si>
  <si>
    <t>opfcf</t>
  </si>
  <si>
    <t>Disposals</t>
  </si>
  <si>
    <t>Consensus (pre Q2s)</t>
  </si>
  <si>
    <t>Current spectrum position</t>
  </si>
  <si>
    <t>Tigo *</t>
  </si>
  <si>
    <t>* AWS spectrum shared 50% with ETB</t>
  </si>
  <si>
    <t>Spectrum pre- 2012, MHz</t>
  </si>
  <si>
    <t>Total spend, US$m</t>
  </si>
  <si>
    <t>Total spend, COPbn</t>
  </si>
  <si>
    <t>millicom in 2013</t>
  </si>
  <si>
    <t>Q3 16</t>
  </si>
  <si>
    <t>Q2 - talked about Colombia: competition intense, impact of devaluation</t>
  </si>
  <si>
    <t xml:space="preserve">No reason Q3 very different. </t>
  </si>
  <si>
    <t>Guatemala - taking out the govt CC TV contract, turned it off. Service revs impact $8m per Q</t>
  </si>
  <si>
    <t>booked as revs, bad debt recognised</t>
  </si>
  <si>
    <t>sequential step change in Q3</t>
  </si>
  <si>
    <t>govt didn't have the budget for it as it turns out</t>
  </si>
  <si>
    <t>reasonable levels of competition in central america, issues in El Salvador</t>
  </si>
  <si>
    <t>Revs - slightly too high in LatAm</t>
  </si>
  <si>
    <t>Security tax, 5% sales tax</t>
  </si>
  <si>
    <t>Part of it was pushed onto customers</t>
  </si>
  <si>
    <t>Some talk of new taxes in Guatemala, VAT increases</t>
  </si>
  <si>
    <t>Fiscal package being discussed in Colombia</t>
  </si>
  <si>
    <t>Would be 1 Jan 2017. VAT from 16% to 19%</t>
  </si>
  <si>
    <t xml:space="preserve">Lowering income threshold </t>
  </si>
  <si>
    <t>Move to 35% on corporate</t>
  </si>
  <si>
    <t>Costs</t>
  </si>
  <si>
    <t>Progress seen in Q2</t>
  </si>
  <si>
    <t>No updates on project Heat, medium term project</t>
  </si>
  <si>
    <t>Check subs in DRC</t>
  </si>
  <si>
    <t>Adj opex</t>
  </si>
  <si>
    <t>Changes to estimates (Nov 16)</t>
  </si>
  <si>
    <t>Constant FX</t>
  </si>
  <si>
    <t>COP revs</t>
  </si>
  <si>
    <t>Nov-16 chart</t>
  </si>
  <si>
    <t>CWC</t>
  </si>
  <si>
    <t>LiLAC</t>
  </si>
  <si>
    <t>Cash after dividend (ex M&amp;A)</t>
  </si>
  <si>
    <t>Net debt (consolidated)</t>
  </si>
  <si>
    <t>Net debt to EBITDA (consol)</t>
  </si>
  <si>
    <t>Other (FX, debt)</t>
  </si>
  <si>
    <t>African exit</t>
  </si>
  <si>
    <t>Current EFCF</t>
  </si>
  <si>
    <t>Interest saved</t>
  </si>
  <si>
    <t>New EFCF</t>
  </si>
  <si>
    <t>Cash in from sale</t>
  </si>
  <si>
    <t xml:space="preserve">Loss of post-tax Africa FCF </t>
  </si>
  <si>
    <t>Millicom growth</t>
  </si>
  <si>
    <t>Other SA</t>
  </si>
  <si>
    <t>Sonatel</t>
  </si>
  <si>
    <t>Revenue, US$m</t>
  </si>
  <si>
    <t>ARPU, US$m</t>
  </si>
  <si>
    <t>Total Senegal revenue</t>
  </si>
  <si>
    <t xml:space="preserve"> of which mobile as %</t>
  </si>
  <si>
    <t>Mobile revenue,  US$m</t>
  </si>
  <si>
    <t xml:space="preserve"> mobile revenue, XOF</t>
  </si>
  <si>
    <t>XOF/$</t>
  </si>
  <si>
    <t>Revenue, XOFm</t>
  </si>
  <si>
    <t>Total Senegal market subs</t>
  </si>
  <si>
    <t>Pre Q4 16</t>
  </si>
  <si>
    <t>Through the Q4's</t>
  </si>
  <si>
    <t>Colombia still tough on the wireless side</t>
  </si>
  <si>
    <t>voice/SMS responding tactily</t>
  </si>
  <si>
    <t>4G where they can</t>
  </si>
  <si>
    <t>TEF did well in Q3, after a long period of underperformance. More stop start</t>
  </si>
  <si>
    <t>Competition is quite localised</t>
  </si>
  <si>
    <t>AMX weaker down on Coast, where Millicom is better</t>
  </si>
  <si>
    <t>Allowed to regionally price, but not below cost</t>
  </si>
  <si>
    <t>Stimulate regulator took take a look</t>
  </si>
  <si>
    <t>AMX subsidised months after it should have stopped</t>
  </si>
  <si>
    <t>tax package going through Parliament. Need to vote on it this month for start 2017</t>
  </si>
  <si>
    <t>think it will go through</t>
  </si>
  <si>
    <t>1. corp tax rate, marginally beneficial</t>
  </si>
  <si>
    <t>taxes on PBT, and on equity</t>
  </si>
  <si>
    <t xml:space="preserve">equity - 3% </t>
  </si>
  <si>
    <t>effective including this rate is 40% includes a CRE surcharge</t>
  </si>
  <si>
    <t>divi withholding tax, can offset. 40% becomes 34%</t>
  </si>
  <si>
    <t>in mid-30%'s</t>
  </si>
  <si>
    <t>2. increase in VAT, from 16% to 19%</t>
  </si>
  <si>
    <t>macro is improving, oil price, commodity play</t>
  </si>
  <si>
    <t>8% res growth, B2B flat</t>
  </si>
  <si>
    <t>B2B should be a lot better</t>
  </si>
  <si>
    <t xml:space="preserve">slower in res growth </t>
  </si>
  <si>
    <t>two thirds of fiber is overbuild</t>
  </si>
  <si>
    <t>1m copper homes not yet overbuilt, race to get there first vs AMX</t>
  </si>
  <si>
    <t>AMX pretty much overlap on fixed</t>
  </si>
  <si>
    <t>6.5m homes passed in Colombia at AMX</t>
  </si>
  <si>
    <t>Millicom have 4.4m</t>
  </si>
  <si>
    <t>1.2m fibre homes for ETB - no overlap with Millicom</t>
  </si>
  <si>
    <t>Banks appointed, probably will go in 2017</t>
  </si>
  <si>
    <t>10% penetrated today</t>
  </si>
  <si>
    <t>private sale</t>
  </si>
  <si>
    <t>Millicom will only go for it if conditions are right</t>
  </si>
  <si>
    <t>Mauricio is from Cali</t>
  </si>
  <si>
    <t>Union relationships are strong</t>
  </si>
  <si>
    <t>City has unrealistic value aspirations</t>
  </si>
  <si>
    <t>Think investors will trust Millicom on ETB</t>
  </si>
  <si>
    <t>4G in El Salvador, now in all markets</t>
  </si>
  <si>
    <t>Paraguay, Bolivia going well. Poster child.</t>
  </si>
  <si>
    <t>Guatemala doing OK, issue around b2b contract</t>
  </si>
  <si>
    <t>Honduras could be doing better. A little slow getting mobile data oriented, more voice focused</t>
  </si>
  <si>
    <t>El Salvador backdrop remains very tough</t>
  </si>
  <si>
    <t>1/ 5% sales tax from start 2016</t>
  </si>
  <si>
    <t>2/ prison issue ongoing</t>
  </si>
  <si>
    <t>3/ areas where can't build at certain times</t>
  </si>
  <si>
    <t>Dividend not constraining growth</t>
  </si>
  <si>
    <t>choose growth or divi? No need to answer this</t>
  </si>
  <si>
    <t>Unlikely to fund with group equity</t>
  </si>
  <si>
    <t>debt financed locally is possible</t>
  </si>
  <si>
    <t>liquid local debt market</t>
  </si>
  <si>
    <t>use existing Colombian JV</t>
  </si>
  <si>
    <t>Prospectus submitted this year</t>
  </si>
  <si>
    <t>25% listed, although unclear whether this is realistic</t>
  </si>
  <si>
    <t>foreign investors can't buy primaries</t>
  </si>
  <si>
    <t>Millicom will just cash out, pressure on FX</t>
  </si>
  <si>
    <t>but won't be public</t>
  </si>
  <si>
    <t>NOPLAT</t>
  </si>
  <si>
    <t>EV/EBIT</t>
  </si>
  <si>
    <t>EV/NOPLAT</t>
  </si>
  <si>
    <t>Valuation comps</t>
  </si>
  <si>
    <t>16-18 CAGR</t>
  </si>
  <si>
    <t>MEGA</t>
  </si>
  <si>
    <t>Other revs</t>
  </si>
  <si>
    <t>Local y/y service revs</t>
  </si>
  <si>
    <t>Africa service revenue</t>
  </si>
  <si>
    <t>Total service revenue</t>
  </si>
  <si>
    <t>Unallocated</t>
  </si>
  <si>
    <t>2016e</t>
  </si>
  <si>
    <t>Balancing item</t>
  </si>
  <si>
    <t>Total other revs</t>
  </si>
  <si>
    <t>Africa (calc)</t>
  </si>
  <si>
    <t>Total (calc)</t>
  </si>
  <si>
    <t>Africa (reported, ex DRC)</t>
  </si>
  <si>
    <t>Total (reported, ex DRC)</t>
  </si>
  <si>
    <t>USD service revs, last year's FX</t>
  </si>
  <si>
    <t xml:space="preserve">Unallocated </t>
  </si>
  <si>
    <t>for y/y comps</t>
  </si>
  <si>
    <t>Others/check</t>
  </si>
  <si>
    <t>Other/check</t>
  </si>
  <si>
    <t>Service revs, US$m</t>
  </si>
  <si>
    <t>Other revs, US$m</t>
  </si>
  <si>
    <t>Local currency revenue</t>
  </si>
  <si>
    <t>Local currency service revs</t>
  </si>
  <si>
    <t>Reported EBITDA margin</t>
  </si>
  <si>
    <t>Product split, US$m</t>
  </si>
  <si>
    <t>Homes connected</t>
  </si>
  <si>
    <t>HFC only</t>
  </si>
  <si>
    <t>RGUs per home connected</t>
  </si>
  <si>
    <t>% of double &amp; triple play users</t>
  </si>
  <si>
    <t>Implied DSL</t>
  </si>
  <si>
    <t>All technologies, KPIs</t>
  </si>
  <si>
    <t xml:space="preserve"> - Home</t>
  </si>
  <si>
    <t xml:space="preserve"> - B2B</t>
  </si>
  <si>
    <t>Cable revenue</t>
  </si>
  <si>
    <t>Mobile service revenue</t>
  </si>
  <si>
    <t>as % total service</t>
  </si>
  <si>
    <t>Central America cable</t>
  </si>
  <si>
    <t>South America  cable</t>
  </si>
  <si>
    <t>Vs $</t>
  </si>
  <si>
    <t>Other revenue</t>
  </si>
  <si>
    <t>Service revenue, y/y</t>
  </si>
  <si>
    <t>COP EBITDA</t>
  </si>
  <si>
    <t>Clean capex</t>
  </si>
  <si>
    <t>Total operating units</t>
  </si>
  <si>
    <t>Spectrum, licences</t>
  </si>
  <si>
    <t>Gains</t>
  </si>
  <si>
    <t>Op Co EBITDA</t>
  </si>
  <si>
    <t>2022E</t>
  </si>
  <si>
    <t>2023E</t>
  </si>
  <si>
    <t>2024E</t>
  </si>
  <si>
    <t>2025E</t>
  </si>
  <si>
    <t>One-offs taken at Op Cos</t>
  </si>
  <si>
    <t>OpFCF after corporate costs</t>
  </si>
  <si>
    <t>LatAm cable combo</t>
  </si>
  <si>
    <t>Total cable, US$m</t>
  </si>
  <si>
    <t>Implied DSL/DTH</t>
  </si>
  <si>
    <t>voice</t>
  </si>
  <si>
    <t>data - an extra 4% on  top of the 16% to 19%</t>
  </si>
  <si>
    <t>still competitive on both voice and data</t>
  </si>
  <si>
    <t>AMX no longer losing share, achieved objective?</t>
  </si>
  <si>
    <t>its focus has been subs share</t>
  </si>
  <si>
    <t>COL bn</t>
  </si>
  <si>
    <t>SMS/messaging</t>
  </si>
  <si>
    <t>ICE</t>
  </si>
  <si>
    <t>Fullmovil</t>
  </si>
  <si>
    <t>Tuyo</t>
  </si>
  <si>
    <t>Subs split</t>
  </si>
  <si>
    <t>POP</t>
  </si>
  <si>
    <t>Pre-paid</t>
  </si>
  <si>
    <t>COL/$</t>
  </si>
  <si>
    <t>2015 GNI  cap</t>
  </si>
  <si>
    <t>1900/2100</t>
  </si>
  <si>
    <t>Per MHz/POP</t>
  </si>
  <si>
    <t>Total issued (2011)</t>
  </si>
  <si>
    <t>Q4 16</t>
  </si>
  <si>
    <t>OLD US$m</t>
  </si>
  <si>
    <t>4G points of presence</t>
  </si>
  <si>
    <t>3.4m</t>
  </si>
  <si>
    <t>4G users</t>
  </si>
  <si>
    <t>4G traffic</t>
  </si>
  <si>
    <t>allows a reduction in capital spend, vs 3G add</t>
  </si>
  <si>
    <t>4G cost is 4-5x less for offering 1 MB of traffic</t>
  </si>
  <si>
    <t xml:space="preserve"> Rebuilding legacy networks and adding homes</t>
  </si>
  <si>
    <t>28m homes</t>
  </si>
  <si>
    <t>8m homes covered only today</t>
  </si>
  <si>
    <t>added by 12% network</t>
  </si>
  <si>
    <t>ramping speeds, in almost all markets - ARPU up</t>
  </si>
  <si>
    <t>IT is focus for capex</t>
  </si>
  <si>
    <t>Struggled to close govt contracts</t>
  </si>
  <si>
    <t>LT B2B remains attractive</t>
  </si>
  <si>
    <t>Added 456k HFC in 2016, 250k HFC RGUs</t>
  </si>
  <si>
    <t>November - 15% increased in HFC subs with nominal churn thus far</t>
  </si>
  <si>
    <t>Mobile - added 0.5m 4G subs</t>
  </si>
  <si>
    <t>Some improvement in pressure</t>
  </si>
  <si>
    <t>1. incumbent withdrew price discrimination across the country</t>
  </si>
  <si>
    <t>2. post-paid prices seemed to show signs of recovery</t>
  </si>
  <si>
    <t>3. all ops passing on value added taxes to consumers</t>
  </si>
  <si>
    <t>feels like out of the "thickest part of the forest"</t>
  </si>
  <si>
    <t>Confirming strategic options in Ghana, as rumoured</t>
  </si>
  <si>
    <t>Sale of HTA in Africa</t>
  </si>
  <si>
    <t>More and faster of the same</t>
  </si>
  <si>
    <t>Aim to hit:</t>
  </si>
  <si>
    <t>add 3m additional LTE subs</t>
  </si>
  <si>
    <t>1m cable fibre homes passed</t>
  </si>
  <si>
    <t>implement Heat program</t>
  </si>
  <si>
    <t>CFO</t>
  </si>
  <si>
    <t>Revs growth would be flat otherwise but for Guatemala</t>
  </si>
  <si>
    <t>Handed back UNE 4G mobile</t>
  </si>
  <si>
    <t>Q4 better than Q3</t>
  </si>
  <si>
    <t xml:space="preserve">Post paid went up, VAT passed through. </t>
  </si>
  <si>
    <t>MTRs + tax will dampen first few Qs</t>
  </si>
  <si>
    <t>truly exceptional</t>
  </si>
  <si>
    <t>voice grows</t>
  </si>
  <si>
    <t>data revs up +28%</t>
  </si>
  <si>
    <t>Preparing Tigo Tanzania for a listing</t>
  </si>
  <si>
    <t>EFCF negative in Africa, from taxes and small other elements</t>
  </si>
  <si>
    <t>Senegal was a part of this</t>
  </si>
  <si>
    <t>Cable summary</t>
  </si>
  <si>
    <t>Targeting EFCF breakeven in 2017 (from OpFCF positive in 2016)</t>
  </si>
  <si>
    <t>HH across base</t>
  </si>
  <si>
    <t>as % HH</t>
  </si>
  <si>
    <t>RGUs/home connected</t>
  </si>
  <si>
    <t>no change to corporate tax</t>
  </si>
  <si>
    <t>on EBITDA, depends on consumer behaviour</t>
  </si>
  <si>
    <t>Adds</t>
  </si>
  <si>
    <t>MTR in Colombia</t>
  </si>
  <si>
    <t>some benefit today</t>
  </si>
  <si>
    <t>3 years of asymmetry…a diminishing impact</t>
  </si>
  <si>
    <t>not a materila impact</t>
  </si>
  <si>
    <t>$450m upstreamed in 2016</t>
  </si>
  <si>
    <t>Price discipline data, $5/GB/month. 4G subs are $20 of ARPU, much better than the $8 average.</t>
  </si>
  <si>
    <t>Service revenue growth</t>
  </si>
  <si>
    <t>2016A</t>
  </si>
  <si>
    <t>Colombia MTRs</t>
  </si>
  <si>
    <t>$10-15m cut for FY</t>
  </si>
  <si>
    <t>22 to 14 pesos</t>
  </si>
  <si>
    <t>Cut would be 2 pesos</t>
  </si>
  <si>
    <t>HFC homes passed adds</t>
  </si>
  <si>
    <t>AMX homes passed (fibre)</t>
  </si>
  <si>
    <t>Total homes passed</t>
  </si>
  <si>
    <t>Cost per home passed</t>
  </si>
  <si>
    <t>Roughly one quarter of this year's cash tax is withholding</t>
  </si>
  <si>
    <t>Total UNE</t>
  </si>
  <si>
    <t>Handset revs</t>
  </si>
  <si>
    <t>Total Colombia P&amp;L (COPm)</t>
  </si>
  <si>
    <t>Wireless service</t>
  </si>
  <si>
    <t>Implied fixed</t>
  </si>
  <si>
    <t>Wireless</t>
  </si>
  <si>
    <t>Cash and equivs</t>
  </si>
  <si>
    <t xml:space="preserve">Divi paid </t>
  </si>
  <si>
    <t>min</t>
  </si>
  <si>
    <t>Video</t>
  </si>
  <si>
    <t>Broadband</t>
  </si>
  <si>
    <t>Pre Q1 17 chat</t>
  </si>
  <si>
    <t>Senegal $120m, $20m of EBITDA, discontinued operation</t>
  </si>
  <si>
    <t>No change in Ghana will treat</t>
  </si>
  <si>
    <t>not clear how it will be presented, officially though as associate</t>
  </si>
  <si>
    <t>Q1 stays in definitely</t>
  </si>
  <si>
    <t>One off in Chad in Q4</t>
  </si>
  <si>
    <t>Margin is 30%</t>
  </si>
  <si>
    <t>Pressure in Tanzania will continue</t>
  </si>
  <si>
    <t>Halotel, Viettel offshoot</t>
  </si>
  <si>
    <t>10% share of subs</t>
  </si>
  <si>
    <t>rural areas, Milli strong in Dar</t>
  </si>
  <si>
    <t>Easy to get from 25 to 30%, harder to move from here</t>
  </si>
  <si>
    <t>Margins look high</t>
  </si>
  <si>
    <t>Margin around 35%</t>
  </si>
  <si>
    <t>Colombia pre-paid specifically</t>
  </si>
  <si>
    <t>discriminatory prices ended</t>
  </si>
  <si>
    <t>december was more reasonable</t>
  </si>
  <si>
    <t>2015 - AMX was subsidising in effect</t>
  </si>
  <si>
    <t>VAT increase</t>
  </si>
  <si>
    <t>Throughout Jan - passed on to consumers</t>
  </si>
  <si>
    <t>all subs were going to AMX</t>
  </si>
  <si>
    <t>AMX moved prices up, back up to above Milli levels</t>
  </si>
  <si>
    <t>saw the reg pressure coming</t>
  </si>
  <si>
    <t>Corporate tax</t>
  </si>
  <si>
    <t>net effect close to zero</t>
  </si>
  <si>
    <t>(govt was trying to simplify the tax regime)</t>
  </si>
  <si>
    <t>Numbers fine</t>
  </si>
  <si>
    <t>Similar Q for El Salvador</t>
  </si>
  <si>
    <t>full impact of shutting down 10% of network</t>
  </si>
  <si>
    <t>by number of sites</t>
  </si>
  <si>
    <t>22 prisons in urban areas</t>
  </si>
  <si>
    <t>FY</t>
  </si>
  <si>
    <t>Numbers generally sensible</t>
  </si>
  <si>
    <t>D&amp;A too low: 1340-1350, FY 16 good proxy for 2017</t>
  </si>
  <si>
    <t>$30m out of Senegal</t>
  </si>
  <si>
    <t>financial charges fine, taxes fine</t>
  </si>
  <si>
    <t>Broadly unchanged</t>
  </si>
  <si>
    <t>EBITDA growth</t>
  </si>
  <si>
    <t>LilAC</t>
  </si>
  <si>
    <t>Q1 17</t>
  </si>
  <si>
    <t>Total LatAm</t>
  </si>
  <si>
    <t>Constant FX EBITDA</t>
  </si>
  <si>
    <t>Weighted average Africa change</t>
  </si>
  <si>
    <t>low single digits</t>
  </si>
  <si>
    <t>Rep EBITDA growth</t>
  </si>
  <si>
    <t>mid to high single digits</t>
  </si>
  <si>
    <t>Capex vs 2016</t>
  </si>
  <si>
    <t xml:space="preserve">in-line </t>
  </si>
  <si>
    <t>Contribution of local currency net</t>
  </si>
  <si>
    <t>HFC</t>
  </si>
  <si>
    <t>Q1 17 conf call</t>
  </si>
  <si>
    <t xml:space="preserve">Finance charges up due to local currency financing </t>
  </si>
  <si>
    <t>Debt - paid for Cable Parana in Paraguay</t>
  </si>
  <si>
    <t>Paraguay - will be treated as a finance lease…EBITDA positive</t>
  </si>
  <si>
    <t>book through interest costs</t>
  </si>
  <si>
    <t>Cable acceleration per Q, run rate here?</t>
  </si>
  <si>
    <t>1m homes built in 2017</t>
  </si>
  <si>
    <t>think this is the right run rate</t>
  </si>
  <si>
    <t>filling 18-20% 12m out</t>
  </si>
  <si>
    <t>challenges are construction crews, permits</t>
  </si>
  <si>
    <t>Combination of fiscal reform, VAT, price increase</t>
  </si>
  <si>
    <t>March better, April continued</t>
  </si>
  <si>
    <t>Washes through.</t>
  </si>
  <si>
    <t>Positive territory on net adds</t>
  </si>
  <si>
    <t>Unlocking capital</t>
  </si>
  <si>
    <t>Strategically, towers no longer become an advantage</t>
  </si>
  <si>
    <t>LatAm, 10,000 towers remaining</t>
  </si>
  <si>
    <t>Africa, went down this road in Helios</t>
  </si>
  <si>
    <t>Capital discipline exercise</t>
  </si>
  <si>
    <t>Yield - local would be &gt;10%, effectively low to mid single digits</t>
  </si>
  <si>
    <t>MVNO</t>
  </si>
  <si>
    <t>provide a more stable environment on regulated rates</t>
  </si>
  <si>
    <t>MVNOs remain in the market, and are hosted by Tigo amongst others</t>
  </si>
  <si>
    <t>No urgent spectrum needs anywhere</t>
  </si>
  <si>
    <t>Colombia - handicap given lack of low frequency spectrum</t>
  </si>
  <si>
    <t>AWS in Guatemala, which gets delayed and delayed</t>
  </si>
  <si>
    <t>Paraguay, perhaps something toward the end of the year</t>
  </si>
  <si>
    <t>process continues to play along</t>
  </si>
  <si>
    <t>asset is a mixed bag, 1m fibre homes, 40% of revs on copper</t>
  </si>
  <si>
    <t>Will have built 1m homes at $100 per home, rather than try and buy them</t>
  </si>
  <si>
    <t>i.e. $100m of cost</t>
  </si>
  <si>
    <t>Tanzania ownership, IPO</t>
  </si>
  <si>
    <t>Some leeway; can go later in the year. Vodacom is going first, will follow its success</t>
  </si>
  <si>
    <t>Intertwined with the legal case</t>
  </si>
  <si>
    <t>no capital raising without legal clarity</t>
  </si>
  <si>
    <t>looking at solutions, with jammers around prisons. Solution taking longer</t>
  </si>
  <si>
    <t>Always been a very volatile place</t>
  </si>
  <si>
    <t>EBITDA is strong, cash flow remains good. Might have to ride out for a few Qs</t>
  </si>
  <si>
    <t>Small positive impact on EBITDA and capex</t>
  </si>
  <si>
    <t>ETB cash</t>
  </si>
  <si>
    <t>Implied multiple</t>
  </si>
  <si>
    <t>Millicom numbers</t>
  </si>
  <si>
    <t>as % total HH</t>
  </si>
  <si>
    <t>of which:</t>
  </si>
  <si>
    <t xml:space="preserve"> - HFC</t>
  </si>
  <si>
    <t xml:space="preserve"> - Implied DSL</t>
  </si>
  <si>
    <t>UNE homes connected</t>
  </si>
  <si>
    <t xml:space="preserve"> - DSL</t>
  </si>
  <si>
    <t>UNE pen of homes passed</t>
  </si>
  <si>
    <t>Claro homes passed (HFC/FTTx)</t>
  </si>
  <si>
    <t>Claro homes passed</t>
  </si>
  <si>
    <t>Claro pen of homes passed</t>
  </si>
  <si>
    <t>ETB homes passed (HFC/FTTx)</t>
  </si>
  <si>
    <t>fibre homes</t>
  </si>
  <si>
    <t>Fibre penetration of homes</t>
  </si>
  <si>
    <t>Telefonica</t>
  </si>
  <si>
    <t>Total FTTx homes connected</t>
  </si>
  <si>
    <t>Total HH in Colombia</t>
  </si>
  <si>
    <t xml:space="preserve">Total HFC/FTTx </t>
  </si>
  <si>
    <t>HFC/FTTx pen</t>
  </si>
  <si>
    <t>as % revenue</t>
  </si>
  <si>
    <t>Q2 17</t>
  </si>
  <si>
    <t>capex down y/y</t>
  </si>
  <si>
    <t>30m households…27m households today</t>
  </si>
  <si>
    <t>8.5m homes passed</t>
  </si>
  <si>
    <t>Chile penetration well above this. Aspire to closer to this</t>
  </si>
  <si>
    <t>KPIs are also strong</t>
  </si>
  <si>
    <t>Bolivia - home revs up 50% y/y</t>
  </si>
  <si>
    <t>Guatemala - home revs up 30%</t>
  </si>
  <si>
    <t>Last 6m - 800k annual run rate, now 1.2m on annualised run rate</t>
  </si>
  <si>
    <t>Bogota of 1m. 7m homes in Colombia long-term</t>
  </si>
  <si>
    <t>corporate governance</t>
  </si>
  <si>
    <t>Telgua former head has entered a plea bargain</t>
  </si>
  <si>
    <t>head of investigation…mentioned Tigo</t>
  </si>
  <si>
    <t>Millicom not notified</t>
  </si>
  <si>
    <t>revenue and EBITDA - lower end of guidance range</t>
  </si>
  <si>
    <t>it's all Africa</t>
  </si>
  <si>
    <t>5/6 markets are performing ahead</t>
  </si>
  <si>
    <t>S&amp;M are up high single digit in Colombia</t>
  </si>
  <si>
    <t>no quick turnaround in H2 in Africa</t>
  </si>
  <si>
    <t>reg. impact. Lost asymmetry on MTR, bigger impact on Q2. March was the 2nd one</t>
  </si>
  <si>
    <t>wholesale rates for national roaming, 50% share of national roaming</t>
  </si>
  <si>
    <t>part of the 4G spectrum obligation</t>
  </si>
  <si>
    <t>leaving 200,000 subs</t>
  </si>
  <si>
    <t>Churn peaked in Jan…started Q2 with fewer subs</t>
  </si>
  <si>
    <t>will become less of a headwind over time</t>
  </si>
  <si>
    <t>B2B is relatively large, tougher comp in Q2</t>
  </si>
  <si>
    <t>growth this year?</t>
  </si>
  <si>
    <t>group revs should get better</t>
  </si>
  <si>
    <t>better comps coming, Q3 16 started to shut down the service to prisons</t>
  </si>
  <si>
    <t>EFCF break-even for this year is the target for this year</t>
  </si>
  <si>
    <t>DSL homes passed</t>
  </si>
  <si>
    <t>DSL homes connected</t>
  </si>
  <si>
    <t>Net HFC homes passed added</t>
  </si>
  <si>
    <t>Net copper/other homes passed added</t>
  </si>
  <si>
    <t>Cable rate for homes passed…assume 1m/year is still reasonable?</t>
  </si>
  <si>
    <t>so the 15m will be achieved in 2023?</t>
  </si>
  <si>
    <t>Home service (B2C)</t>
  </si>
  <si>
    <t>B2B service</t>
  </si>
  <si>
    <t>Total fixed</t>
  </si>
  <si>
    <t xml:space="preserve"> - of which fixed</t>
  </si>
  <si>
    <t xml:space="preserve"> - of which mobile</t>
  </si>
  <si>
    <t>Organic y/y</t>
  </si>
  <si>
    <t>Mobile B2C</t>
  </si>
  <si>
    <t>Mobile B2C data</t>
  </si>
  <si>
    <t>New LatAm breakdown</t>
  </si>
  <si>
    <t>B2B business weak..prospects of better growth here?</t>
  </si>
  <si>
    <t>Outside of Colombia, which markets are most interesting?</t>
  </si>
  <si>
    <t xml:space="preserve"> - of which Colombia</t>
  </si>
  <si>
    <t>B2B linked to homes passed</t>
  </si>
  <si>
    <t>Speeds across the network</t>
  </si>
  <si>
    <t>Q2 17 conference call</t>
  </si>
  <si>
    <t>Upbeat about Colombia…4G will help improve momentum going forward</t>
  </si>
  <si>
    <t>How does Millicom HFC speeds compare to average speeds on slide 11</t>
  </si>
  <si>
    <t>Afica, Chad weak and Tanzania slowed</t>
  </si>
  <si>
    <t>CEO/CFO comments</t>
  </si>
  <si>
    <t>MVNO led to two thirds of margin reduction this Q</t>
  </si>
  <si>
    <t>1000 new sales agents for home..funded by reduced D&amp;A costs</t>
  </si>
  <si>
    <t>Colombia margins</t>
  </si>
  <si>
    <t>a new level?</t>
  </si>
  <si>
    <t>Project Heat hotting up - targeting $200m still</t>
  </si>
  <si>
    <t>$15m charge for bond redemption</t>
  </si>
  <si>
    <t>other and associates…largely non cash</t>
  </si>
  <si>
    <t>Cash tax to be similar to last year</t>
  </si>
  <si>
    <t>Net debt…results from dividend payment in May</t>
  </si>
  <si>
    <t>Leverage ticked up</t>
  </si>
  <si>
    <t>Towers deals will have an impact on the BS</t>
  </si>
  <si>
    <t>75% of debt at local level</t>
  </si>
  <si>
    <t>pretty close to these goals</t>
  </si>
  <si>
    <t>debt treated as a finance lease</t>
  </si>
  <si>
    <t>Towers….8,000 left approx</t>
  </si>
  <si>
    <t>Costa Rica without wireless</t>
  </si>
  <si>
    <t>typical cable operator</t>
  </si>
  <si>
    <t>mvno route to offering mobile?</t>
  </si>
  <si>
    <t>Confirming guidance…as performance in Latin America is dead on track</t>
  </si>
  <si>
    <t>back on the guidance, the biggest miss this Q was colombia</t>
  </si>
  <si>
    <t>so, is there an expection that it bounces back to 30% from 26%</t>
  </si>
  <si>
    <t>Next gen being launched in Colombia in H2</t>
  </si>
  <si>
    <t>heavily weighted toward large contracts</t>
  </si>
  <si>
    <t>more network…more stable predictable small, medium offices - "cable style" business</t>
  </si>
  <si>
    <t>more lumpy today due to large corporates</t>
  </si>
  <si>
    <t>last 12 months, 5% growth at the moment. Long term growth will be north of this they hope</t>
  </si>
  <si>
    <t>colombia tower deal</t>
  </si>
  <si>
    <t>net impact v small…small extra debt at fair value (fraction of $147m to receive), very very small positive to EBITDA</t>
  </si>
  <si>
    <t>no real impact to 2018 ebida or earnings…small negative on eps</t>
  </si>
  <si>
    <t>paraguay, &lt;7% financing rate</t>
  </si>
  <si>
    <t>Bolivia cable homes</t>
  </si>
  <si>
    <t>this year</t>
  </si>
  <si>
    <t>last year</t>
  </si>
  <si>
    <t>lower income groups have the lower densitities…so cost deployment improves</t>
  </si>
  <si>
    <t>very high adds rate</t>
  </si>
  <si>
    <t>tower proceeds?</t>
  </si>
  <si>
    <t>cash comes in over time</t>
  </si>
  <si>
    <t>reinvested back in the business</t>
  </si>
  <si>
    <t>margins in Colombia</t>
  </si>
  <si>
    <t>impact from reg. will stay with the business</t>
  </si>
  <si>
    <t>% clean change</t>
  </si>
  <si>
    <t>Total homes connected</t>
  </si>
  <si>
    <t>Pen of homes passed</t>
  </si>
  <si>
    <t>Paraguay tower sale (cash less liability)</t>
  </si>
  <si>
    <t>Banks/other senior debt</t>
  </si>
  <si>
    <t>Lux $500m 5.125% 2028</t>
  </si>
  <si>
    <t>Q3 17</t>
  </si>
  <si>
    <t>PTP</t>
  </si>
  <si>
    <t>LatAm (calc)</t>
  </si>
  <si>
    <t>LatAm (rep)</t>
  </si>
  <si>
    <t>Implied DSL, DTH</t>
  </si>
  <si>
    <t>LatAm change (rep)</t>
  </si>
  <si>
    <t>LatAm change (calc)</t>
  </si>
  <si>
    <t>Service revenue (previous year FX)</t>
  </si>
  <si>
    <t>EBITDA in previous year FX</t>
  </si>
  <si>
    <t>2-4%</t>
  </si>
  <si>
    <t>Margins - in general terms this should continue to grow</t>
  </si>
  <si>
    <t>In the long-term, structurally lower</t>
  </si>
  <si>
    <t>call centre</t>
  </si>
  <si>
    <t>lower share in mobile</t>
  </si>
  <si>
    <t>margins will also expand there</t>
  </si>
  <si>
    <t>when, how much, will depend upon growth</t>
  </si>
  <si>
    <t>Fixed-mobile markets</t>
  </si>
  <si>
    <t>all saw margins expanding except Colombia</t>
  </si>
  <si>
    <t>Ghana/Bharti JV</t>
  </si>
  <si>
    <t>Net costs</t>
  </si>
  <si>
    <t>$440m/$450 for the F underlying</t>
  </si>
  <si>
    <t>Significantly ramped up investments</t>
  </si>
  <si>
    <t>Launched this Q a new product</t>
  </si>
  <si>
    <t>4G in Colombia, this Q added 250k 4G net adds</t>
  </si>
  <si>
    <t>this is a good number, similar to Q2</t>
  </si>
  <si>
    <t>Three years to get to 30-35% penetration</t>
  </si>
  <si>
    <t>1-1.5m homes passed expected in 2017</t>
  </si>
  <si>
    <t>would like to be closer to a run-rate of 1.5m homes</t>
  </si>
  <si>
    <t>Speed mix in Colombia</t>
  </si>
  <si>
    <t>Millicom vs AMX</t>
  </si>
  <si>
    <t>&lt;50% have speeds of over 10 Mbps at Millicom, bulk at 2-5 Mbps</t>
  </si>
  <si>
    <t>why the difference?</t>
  </si>
  <si>
    <t>Colombia 700 MHz could be delayed into 2018</t>
  </si>
  <si>
    <t>Paraguay, possible AWS licence, could be before YE, or 2018</t>
  </si>
  <si>
    <t>would look at this positively</t>
  </si>
  <si>
    <t>government has been rational in the past</t>
  </si>
  <si>
    <t>second part of something</t>
  </si>
  <si>
    <t>4G/AWS - postponed a few years now. Unclear whether 2018</t>
  </si>
  <si>
    <t>range of speeds, customers buy what they want to. 5-10 Mbps band is where the majority is</t>
  </si>
  <si>
    <t>a lot is copper</t>
  </si>
  <si>
    <t>MMDS slow</t>
  </si>
  <si>
    <t>so data mix will have reflected this</t>
  </si>
  <si>
    <t>AMX has a bigger network…comparing apples and oranges</t>
  </si>
  <si>
    <t>HFC adds are similar to Claro</t>
  </si>
  <si>
    <t>Q3 17 changes to est</t>
  </si>
  <si>
    <t>OLD pro-forma for Ghana</t>
  </si>
  <si>
    <t>Millicom share of net</t>
  </si>
  <si>
    <t>EV multiple</t>
  </si>
  <si>
    <t xml:space="preserve">Bharti </t>
  </si>
  <si>
    <t>Added 1,000 to sales, mostly on home</t>
  </si>
  <si>
    <t>Comms rather than personnel</t>
  </si>
  <si>
    <t>Focus mostly on home</t>
  </si>
  <si>
    <t>Wireless is on post-paid, moving to 4G</t>
  </si>
  <si>
    <t>not overly aggressive</t>
  </si>
  <si>
    <t>Chat with Mauricio (26 Oct 2017)</t>
  </si>
  <si>
    <t>Lost some share on pre-paid</t>
  </si>
  <si>
    <t>Went to Claro in the main</t>
  </si>
  <si>
    <t>And only a small amount of post-paid</t>
  </si>
  <si>
    <t>Historically periods of subsidies</t>
  </si>
  <si>
    <t>Cannot enforce a contract</t>
  </si>
  <si>
    <t>So can subsidise, but can't keep players</t>
  </si>
  <si>
    <t>customer experience, net promoter score</t>
  </si>
  <si>
    <t>Game share organically is the plan on wireless</t>
  </si>
  <si>
    <t>price wars not encouraged</t>
  </si>
  <si>
    <t>Subsidies are 1.5% of revs, includes B2B also</t>
  </si>
  <si>
    <t>Claro has the best deals on handsets</t>
  </si>
  <si>
    <t>buy at good prices due to scale</t>
  </si>
  <si>
    <t>15m vs 1m handsets</t>
  </si>
  <si>
    <t>2017 - a return to normality</t>
  </si>
  <si>
    <t>TEF, Tigo losing asymmetry</t>
  </si>
  <si>
    <t>50% combined</t>
  </si>
  <si>
    <t>10 pesos/min</t>
  </si>
  <si>
    <t>balanced</t>
  </si>
  <si>
    <t>19 in</t>
  </si>
  <si>
    <t>14 out</t>
  </si>
  <si>
    <t>small positive margin previously</t>
  </si>
  <si>
    <t>wholesale cut by 30%</t>
  </si>
  <si>
    <t>Virgin on TEF, all others on Tigo. Zero on Claro</t>
  </si>
  <si>
    <t>National roaming</t>
  </si>
  <si>
    <t>Everyone has to open their networks</t>
  </si>
  <si>
    <t>Have 50% of national roaming</t>
  </si>
  <si>
    <t>new entrants gained access</t>
  </si>
  <si>
    <t>Avantel, ETB</t>
  </si>
  <si>
    <t>4G only</t>
  </si>
  <si>
    <t>Rates were capped</t>
  </si>
  <si>
    <t>4G spectrum, 50/50</t>
  </si>
  <si>
    <t>Tigo is building with TEF, split the country in 2</t>
  </si>
  <si>
    <t>Passive done together, active independently</t>
  </si>
  <si>
    <t>AWS spectrum, 2.1 GHz</t>
  </si>
  <si>
    <t>Regulation</t>
  </si>
  <si>
    <t>MTR was the big one</t>
  </si>
  <si>
    <t>Homes</t>
  </si>
  <si>
    <t>450 copper</t>
  </si>
  <si>
    <t>balance is DTH</t>
  </si>
  <si>
    <t>Were losing homes previously</t>
  </si>
  <si>
    <t>Effort to upgrade their own copper</t>
  </si>
  <si>
    <t>Price increase in November, across the board</t>
  </si>
  <si>
    <t>ARPU hasn't actually moved</t>
  </si>
  <si>
    <t>Was trying to pre-empt VAT</t>
  </si>
  <si>
    <t>Approaching the point where copper cutters won't leave</t>
  </si>
  <si>
    <t>350 should not be upgraded, fixed voice only</t>
  </si>
  <si>
    <t>low income areas, not all copper is Medellin. Also mid-size cities</t>
  </si>
  <si>
    <t>16% to 19%</t>
  </si>
  <si>
    <t>The other guys moved in Jan/Feb</t>
  </si>
  <si>
    <t>Almost done with the upgrade</t>
  </si>
  <si>
    <t>Returning to growth</t>
  </si>
  <si>
    <t>As a % of fixed revs</t>
  </si>
  <si>
    <t>YTD, growth on average is 6.5%</t>
  </si>
  <si>
    <t>very stable, Q2 slightly weaker</t>
  </si>
  <si>
    <t>A lot more fixed than wireless</t>
  </si>
  <si>
    <t>TEF and AMX have the bulk of the corporate market</t>
  </si>
  <si>
    <t>Just launched a Tier-3 data centre</t>
  </si>
  <si>
    <t>Tier 4 is the best, 2 separate energy providers</t>
  </si>
  <si>
    <t>Tier 3</t>
  </si>
  <si>
    <t>back up generators, measures to protect connectivity/info</t>
  </si>
  <si>
    <t>SME are a focus</t>
  </si>
  <si>
    <t>1.4 to 1.9 GB, ARPU up 11%</t>
  </si>
  <si>
    <t>4G ARPU $20</t>
  </si>
  <si>
    <t>Most are dual-play from DSL to HFC</t>
  </si>
  <si>
    <t>Data revs is 50% of B2C</t>
  </si>
  <si>
    <t>Market more stable</t>
  </si>
  <si>
    <t>Tigo losing share, but reaching stability</t>
  </si>
  <si>
    <t>Post-paid/pre-paid</t>
  </si>
  <si>
    <t>Used to be 80/20 pre-post</t>
  </si>
  <si>
    <t>Tigo - best network quality, young/hip, not too edgy</t>
  </si>
  <si>
    <t>TEF hard to pinpoint</t>
  </si>
  <si>
    <t>Claro more families</t>
  </si>
  <si>
    <t>Normalised margin</t>
  </si>
  <si>
    <t>Normalised EBITDA</t>
  </si>
  <si>
    <t xml:space="preserve"> - Fixed B2B</t>
  </si>
  <si>
    <t>Revenue (service)</t>
  </si>
  <si>
    <t>Non HFC (DSL, DTH)</t>
  </si>
  <si>
    <t>Homes passed (copper)</t>
  </si>
  <si>
    <t>Homes connected (DSL, DTH)</t>
  </si>
  <si>
    <t>Preparing budget for year ahead</t>
  </si>
  <si>
    <t>Pleased with good momentum in Q3, continues into Q4</t>
  </si>
  <si>
    <t>Feedback from investors, not much operating leverage implied for Q4</t>
  </si>
  <si>
    <t>As 2016 worsened, market found some footing in Q4</t>
  </si>
  <si>
    <t>followed letter of the law as regards separation of subsidies and contracts</t>
  </si>
  <si>
    <t>foot off the gas</t>
  </si>
  <si>
    <t>closed the gap in q3</t>
  </si>
  <si>
    <t>post paid</t>
  </si>
  <si>
    <t>in-line with Q3</t>
  </si>
  <si>
    <t>margins will come be under pressure in q4 vs q4</t>
  </si>
  <si>
    <t>MTR x2 cuts</t>
  </si>
  <si>
    <t>Small growth at revenue level (0-2%)</t>
  </si>
  <si>
    <t>Should be mid-high single digits</t>
  </si>
  <si>
    <t>Fighting back against Claro, TEF</t>
  </si>
  <si>
    <t>No new regulatory headwinds in Q3</t>
  </si>
  <si>
    <t>1st sequential uptick in revs in Q3 for last 7 quarters</t>
  </si>
  <si>
    <t>focus, efforts on retention</t>
  </si>
  <si>
    <t>Facebook analytics</t>
  </si>
  <si>
    <t>over indexing on data users</t>
  </si>
  <si>
    <t>one quarter of data traffic</t>
  </si>
  <si>
    <t>B2C here (remember Claro, TEF are total mobile)</t>
  </si>
  <si>
    <t>uncertainty over spectrum auctions</t>
  </si>
  <si>
    <t>general uncertainty</t>
  </si>
  <si>
    <t>B2B in Colombia is one quarter of revs</t>
  </si>
  <si>
    <t>Since 15 November, govt can no longer give out new contracts</t>
  </si>
  <si>
    <t>rush prior to this date</t>
  </si>
  <si>
    <t>A lot less government activity</t>
  </si>
  <si>
    <t>6 months prior to election</t>
  </si>
  <si>
    <t>fiscal situation</t>
  </si>
  <si>
    <t>changing rules</t>
  </si>
  <si>
    <t>state owned enterprise, technically (1 more share)</t>
  </si>
  <si>
    <t>preferential treatment on govt contracts</t>
  </si>
  <si>
    <t>so a "no bid" contract</t>
  </si>
  <si>
    <t>this is changing in 2017</t>
  </si>
  <si>
    <t>some impact already</t>
  </si>
  <si>
    <t>govt not the biggest component of B2B</t>
  </si>
  <si>
    <t>7.5% in Q3</t>
  </si>
  <si>
    <t>home 1%</t>
  </si>
  <si>
    <t>wireless down mid single digits</t>
  </si>
  <si>
    <t>growth rates</t>
  </si>
  <si>
    <t>Africa was never very realistic</t>
  </si>
  <si>
    <t>700 MHz auction</t>
  </si>
  <si>
    <t>5x5 MHz x 7 blocks, at $12m per block</t>
  </si>
  <si>
    <t>Q4 17</t>
  </si>
  <si>
    <t>Q1 18</t>
  </si>
  <si>
    <t>Q2 18</t>
  </si>
  <si>
    <t>Q3 18</t>
  </si>
  <si>
    <t>Q4 18</t>
  </si>
  <si>
    <t>FY 20</t>
  </si>
  <si>
    <t>EBITDA margin %</t>
  </si>
  <si>
    <t>Operating Profit</t>
  </si>
  <si>
    <t>Net Finance charges</t>
  </si>
  <si>
    <t>Other non-operating income (expenses)</t>
  </si>
  <si>
    <t>Profit before tax for continuing ops</t>
  </si>
  <si>
    <t>Non-controlling interest</t>
  </si>
  <si>
    <t>Capex (booked), excluding spectrum &amp; licence</t>
  </si>
  <si>
    <t>Service Revenue growth (LC)</t>
  </si>
  <si>
    <t>FY 19</t>
  </si>
  <si>
    <t>Q4 18e</t>
  </si>
  <si>
    <t>Spectrum/other</t>
  </si>
  <si>
    <t>Paraguay 700 MHz</t>
  </si>
  <si>
    <t>should trend lower over time</t>
  </si>
  <si>
    <t>amortisation should be lower from q4</t>
  </si>
  <si>
    <t>consensus</t>
  </si>
  <si>
    <t>this is the high part of D&amp;A, D not high relative to capex</t>
  </si>
  <si>
    <t>depr is around $1bn</t>
  </si>
  <si>
    <t>Fin charges</t>
  </si>
  <si>
    <t>in-line also</t>
  </si>
  <si>
    <t>could be higher</t>
  </si>
  <si>
    <t>Paid Paraguay deposit</t>
  </si>
  <si>
    <t>15 paid in December</t>
  </si>
  <si>
    <t>I'm at the high end</t>
  </si>
  <si>
    <t>1-3% for Q1</t>
  </si>
  <si>
    <t>tougher comp in Q4 vs Q3</t>
  </si>
  <si>
    <t>raised prices in Q4 16…impact on revs only in q1 17, churn higher</t>
  </si>
  <si>
    <t>EBITDA looks a touch high</t>
  </si>
  <si>
    <t>in-line</t>
  </si>
  <si>
    <t>riots and a curfew</t>
  </si>
  <si>
    <t>some impact</t>
  </si>
  <si>
    <t>1306 is in-line</t>
  </si>
  <si>
    <t>cons is 3-3.5% on latam service revs growth. Guide is 2-4%</t>
  </si>
  <si>
    <t>All markets doing better</t>
  </si>
  <si>
    <t>Honduras was the one market not doing so well</t>
  </si>
  <si>
    <t>Different segments doing better</t>
  </si>
  <si>
    <t>Latam service revs</t>
  </si>
  <si>
    <t>range is 1.6-4.7%</t>
  </si>
  <si>
    <t>3.4% average</t>
  </si>
  <si>
    <t>Q4</t>
  </si>
  <si>
    <t>Check corporate costs</t>
  </si>
  <si>
    <t>Thoughts on dividend</t>
  </si>
  <si>
    <t>3-6%</t>
  </si>
  <si>
    <t>NSR vs cons</t>
  </si>
  <si>
    <t>Guatemala appt</t>
  </si>
  <si>
    <t>El Sal suddenly growing?</t>
  </si>
  <si>
    <t>148 for fy</t>
  </si>
  <si>
    <t>Service revs guidance conservative?</t>
  </si>
  <si>
    <t>Q4 run rate, although FY vs FY did 0.9%</t>
  </si>
  <si>
    <t>Nothing on the radar that they're aware of it</t>
  </si>
  <si>
    <t>Presidential elections in 5 countries…Colombia, El Salvador, Paraguay, just had Honduras, Costa Rica</t>
  </si>
  <si>
    <t>Yes, easy comps from H2. Reg headwinds</t>
  </si>
  <si>
    <t>Bolivia and Paraguay 9%, had easier comps</t>
  </si>
  <si>
    <t>Para</t>
  </si>
  <si>
    <t>forced to change pricing, data from 30 to 90 days, needed to change plans</t>
  </si>
  <si>
    <t>plus political uncertainty</t>
  </si>
  <si>
    <t>in touch with Stephen for some time</t>
  </si>
  <si>
    <t>politics is fluid</t>
  </si>
  <si>
    <t xml:space="preserve">El Sal </t>
  </si>
  <si>
    <t>The standout</t>
  </si>
  <si>
    <t>Just had a very good Q.  Easy comp, problems with the prisons</t>
  </si>
  <si>
    <t>Traffic around the prisons coming back</t>
  </si>
  <si>
    <t>Other issues internally also</t>
  </si>
  <si>
    <t>$2.64</t>
  </si>
  <si>
    <t>Agree, perhaps need to refresh. Paying for 6 years now.</t>
  </si>
  <si>
    <t>Mobile growing again 0.2%</t>
  </si>
  <si>
    <t>Para and Bolivia growing more than 3%</t>
  </si>
  <si>
    <t>Africa generated $41m EFCF</t>
  </si>
  <si>
    <t>Towers sale also, proceeds in Q1 and Q2</t>
  </si>
  <si>
    <t>Rwanda, towers not yet there (50% in Para and Col), El Sal just signed today. Hopeful on Senegal closing soon.</t>
  </si>
  <si>
    <t xml:space="preserve">US$m </t>
  </si>
  <si>
    <t>b2b</t>
  </si>
  <si>
    <t>home</t>
  </si>
  <si>
    <t>wireless</t>
  </si>
  <si>
    <t xml:space="preserve"> - of which copper/other</t>
  </si>
  <si>
    <t>Q4 17 cc</t>
  </si>
  <si>
    <t>Colombia homes connected</t>
  </si>
  <si>
    <t>losses, HFC or copper weaker</t>
  </si>
  <si>
    <t>Dividend potential?</t>
  </si>
  <si>
    <t>Bolivia spend this year, which targeted next year?</t>
  </si>
  <si>
    <t>Latam 2018 service revs %</t>
  </si>
  <si>
    <t>Latam 2018 EBITDA %</t>
  </si>
  <si>
    <t>920*</t>
  </si>
  <si>
    <t>LatAm capex, $m</t>
  </si>
  <si>
    <t>HFC homes passed added, 000s</t>
  </si>
  <si>
    <t>HFC homes connected added, 000s</t>
  </si>
  <si>
    <t>4G subs added, mn</t>
  </si>
  <si>
    <t>Conf call</t>
  </si>
  <si>
    <t>Rwanda will be excluded from Q1</t>
  </si>
  <si>
    <t>IFRS - 1/2 % on service revs, EBITDA also</t>
  </si>
  <si>
    <t>no impact on FCF</t>
  </si>
  <si>
    <t>Colombia is beginning to work</t>
  </si>
  <si>
    <t>Added 300k mobile subs in FY 17, focused more on 4G</t>
  </si>
  <si>
    <t>x2 4G users, to 2m by YE 17</t>
  </si>
  <si>
    <t>Revs growth will follow subs growth</t>
  </si>
  <si>
    <t>Pricing on mobile much more stable</t>
  </si>
  <si>
    <t>sequentially, B2C up the last 3 Qs</t>
  </si>
  <si>
    <t>300k homes connected</t>
  </si>
  <si>
    <t>600k built HFC</t>
  </si>
  <si>
    <t>Drag from copper cutters</t>
  </si>
  <si>
    <t>Every Q it's less and less</t>
  </si>
  <si>
    <t>Reg headwinds, will start to lap from Q2</t>
  </si>
  <si>
    <t>Homes business</t>
  </si>
  <si>
    <t>ARPU, stable or growing. Stable in 2018?</t>
  </si>
  <si>
    <t>Financial expenses</t>
  </si>
  <si>
    <t>Impact from tower lease?</t>
  </si>
  <si>
    <t>Price increase across the market??</t>
  </si>
  <si>
    <t>* check this *</t>
  </si>
  <si>
    <t>Complicated</t>
  </si>
  <si>
    <t>net financials of $450m</t>
  </si>
  <si>
    <t>focus is on building</t>
  </si>
  <si>
    <t>4G pen is only 21% today</t>
  </si>
  <si>
    <t>15-45% fixed BB pen</t>
  </si>
  <si>
    <t>1. minorities</t>
  </si>
  <si>
    <t>2. in-market</t>
  </si>
  <si>
    <t>3. other attractive markets</t>
  </si>
  <si>
    <t>look at this versus buy back</t>
  </si>
  <si>
    <t>plea bargain from AMX guy about Tigo</t>
  </si>
  <si>
    <t>Nov - office raid for Tigo</t>
  </si>
  <si>
    <t>nobody has been charged, full cooperation</t>
  </si>
  <si>
    <t>separate, not related, made a hire</t>
  </si>
  <si>
    <t>Positively disposed to US listing</t>
  </si>
  <si>
    <t>CPE will be the biggest part of capex</t>
  </si>
  <si>
    <t>Colombia will be better…</t>
  </si>
  <si>
    <t>$150 home connected, $50 is the box, $100 is capitalised labour</t>
  </si>
  <si>
    <t>extra $7.5m less $30m ??</t>
  </si>
  <si>
    <t>some extra LTE build</t>
  </si>
  <si>
    <t>riots, political instability</t>
  </si>
  <si>
    <t>some weakness toward end-2017</t>
  </si>
  <si>
    <t>this is perhaps part of the cautious approach on revs</t>
  </si>
  <si>
    <t>not core, capital intensive</t>
  </si>
  <si>
    <t>only sell when asset is no longer strategic, when reached network parity</t>
  </si>
  <si>
    <t>always keep some strategic</t>
  </si>
  <si>
    <t>have 8000 in latam still</t>
  </si>
  <si>
    <t>are the deals npv accretive?</t>
  </si>
  <si>
    <t>long-term, in local currency</t>
  </si>
  <si>
    <t>Call with Mauricio</t>
  </si>
  <si>
    <t>cheaper if upgrading</t>
  </si>
  <si>
    <t>4G - 56% of POPs, will reach 70% in the future</t>
  </si>
  <si>
    <t>Price changes</t>
  </si>
  <si>
    <t>15% across the base</t>
  </si>
  <si>
    <t>4% on new products</t>
  </si>
  <si>
    <t>LatAm y/y growth constant FX</t>
  </si>
  <si>
    <t>Costa Rica/Nicaragua *</t>
  </si>
  <si>
    <t>Q1 18 call</t>
  </si>
  <si>
    <t>Mobile has returned to growth</t>
  </si>
  <si>
    <t>Price increases in cable</t>
  </si>
  <si>
    <t>Targeting 15m homes in networks</t>
  </si>
  <si>
    <t>One third of 4G and cable in Colombia</t>
  </si>
  <si>
    <t>coming at a slight cost in SACs</t>
  </si>
  <si>
    <t>Is 4G cannibalising cable anywhere?</t>
  </si>
  <si>
    <t xml:space="preserve">Top of guidance range, investing a ton in Colombia </t>
  </si>
  <si>
    <t>any reg issues?</t>
  </si>
  <si>
    <t>GDP in the 2-4% range</t>
  </si>
  <si>
    <t>Inflation falling</t>
  </si>
  <si>
    <t>Consumer confidence highest in March</t>
  </si>
  <si>
    <t>FX relatively stable or improving</t>
  </si>
  <si>
    <t>6% opex increase, but up 3.2% on a clean basis. And in-line with revenue</t>
  </si>
  <si>
    <t>Project Heat to continue to drive results</t>
  </si>
  <si>
    <t>0.5m copper homes, down from ~1m homes 12 months ago</t>
  </si>
  <si>
    <t>Copper upgrade?</t>
  </si>
  <si>
    <t>inflexion  in revs</t>
  </si>
  <si>
    <t>built 140k homes out in Colombia</t>
  </si>
  <si>
    <t>B2B contract - Congressional and Presidential elections</t>
  </si>
  <si>
    <t>revs and costs</t>
  </si>
  <si>
    <t>Q2 first round, likely to be a second round</t>
  </si>
  <si>
    <t>lower margin than on average</t>
  </si>
  <si>
    <t>some early set up costs, revenue should follow</t>
  </si>
  <si>
    <t>base clean up</t>
  </si>
  <si>
    <t>Economics changing?</t>
  </si>
  <si>
    <t>Home passed</t>
  </si>
  <si>
    <t>Fixed wireless</t>
  </si>
  <si>
    <t>Yes, perhaps for mobile only</t>
  </si>
  <si>
    <t>speed, bandwidth better?</t>
  </si>
  <si>
    <t>offering TV?</t>
  </si>
  <si>
    <t>Harder to sell TV offer?</t>
  </si>
  <si>
    <t>Revenue growth - yes, some tougher comps</t>
  </si>
  <si>
    <t>ahead of internal plan</t>
  </si>
  <si>
    <t>2-4% is due to H2</t>
  </si>
  <si>
    <t>Ghana going well</t>
  </si>
  <si>
    <t>headcount rationalising</t>
  </si>
  <si>
    <t>so far so good</t>
  </si>
  <si>
    <t>synergies take time</t>
  </si>
  <si>
    <t>Economics of cable</t>
  </si>
  <si>
    <t>everything panning out as hoped</t>
  </si>
  <si>
    <t>more demand in some places</t>
  </si>
  <si>
    <t>Bolivia, can't build fast enough</t>
  </si>
  <si>
    <t>subs, not just network</t>
  </si>
  <si>
    <t>economics still the same, $100 passed, connecting better than thought. 15-20% in year 1. 300k new connected, 91k delivered</t>
  </si>
  <si>
    <t>ARPU - disciplined on pricing</t>
  </si>
  <si>
    <t>longer-term, no reason to change plans</t>
  </si>
  <si>
    <t>15m target..</t>
  </si>
  <si>
    <t>only 50% of all HHs in markets</t>
  </si>
  <si>
    <t>OTT</t>
  </si>
  <si>
    <t>pay TV so low, BB so low. People still wanting to add</t>
  </si>
  <si>
    <t>OTT is a meaningful proposition</t>
  </si>
  <si>
    <t>Netflix bundled at all?</t>
  </si>
  <si>
    <t>Some 1-way TV providers</t>
  </si>
  <si>
    <t>these Mom and Pop ops slowly disappearing</t>
  </si>
  <si>
    <t>mobile bundling helps</t>
  </si>
  <si>
    <t>don’t see many emerging</t>
  </si>
  <si>
    <t>FCF proceeds</t>
  </si>
  <si>
    <t>"a good problem"</t>
  </si>
  <si>
    <t>will need to start thinking about this…beyond organic needs</t>
  </si>
  <si>
    <t>possible M&amp;A</t>
  </si>
  <si>
    <t>minorities</t>
  </si>
  <si>
    <t>geographical opportunities</t>
  </si>
  <si>
    <t>Call with Michel</t>
  </si>
  <si>
    <t>Outperformed vs peers, spending more on retention</t>
  </si>
  <si>
    <t>B2C + B2B mobile…small positive growth</t>
  </si>
  <si>
    <t>B2B - low teens, + home</t>
  </si>
  <si>
    <t>Avantel, MVNOs being aggressive</t>
  </si>
  <si>
    <t>End-16 - changed commercial approach, foot off on acquisition</t>
  </si>
  <si>
    <t>now more focused on retention</t>
  </si>
  <si>
    <t>upselling data to 4G</t>
  </si>
  <si>
    <t>LT - fixed..need to emerge</t>
  </si>
  <si>
    <t>Colombia - average speeds ~10 Mbps</t>
  </si>
  <si>
    <t>AMX - 7m HPs. 7-8m worth passing. Think AMX not passing very much</t>
  </si>
  <si>
    <t>5G - will need fibre all over the place</t>
  </si>
  <si>
    <t>UNE had fixed wireless BB</t>
  </si>
  <si>
    <t>not so profitable</t>
  </si>
  <si>
    <t>makes sense if no means to provide service</t>
  </si>
  <si>
    <t>Economics of fixed wireless</t>
  </si>
  <si>
    <t>spectrum…?</t>
  </si>
  <si>
    <t>Annualising comps</t>
  </si>
  <si>
    <t>Jan, March - had a Q1 impact but more Q2</t>
  </si>
  <si>
    <t>Wholesale rates..capped. April but fully implemented/revs loss. Bulk of hit in Q2, some in Q3</t>
  </si>
  <si>
    <t>New government to take office</t>
  </si>
  <si>
    <t>Colombia OECD join</t>
  </si>
  <si>
    <t>Mauricio and TIM in Colombia once per month</t>
  </si>
  <si>
    <t>TEF - structural disadvantage</t>
  </si>
  <si>
    <t>don’t own 100%. Need some capital</t>
  </si>
  <si>
    <t>4.5G wireless</t>
  </si>
  <si>
    <t>State owned fixed competitor…strategy doesn't make too much sense</t>
  </si>
  <si>
    <t>Wireless data demand not being met on the home front</t>
  </si>
  <si>
    <t>Capex in Bolivia has been high…reaping the benefits</t>
  </si>
  <si>
    <t>MMDS network…replaced it with HFC</t>
  </si>
  <si>
    <t>often in good neighbourhoods</t>
  </si>
  <si>
    <t>pay TV only historically</t>
  </si>
  <si>
    <t>all homes passed were HFC..50% one year ago</t>
  </si>
  <si>
    <t>70% of homes connected are HFC</t>
  </si>
  <si>
    <t>Home biz in Bolivia still very small</t>
  </si>
  <si>
    <t>2016 had minor acquisitions</t>
  </si>
  <si>
    <t>Lowest home ARPU country,..cross selling and upselling to one-way cable</t>
  </si>
  <si>
    <t>No2 behind AMX</t>
  </si>
  <si>
    <t>Fixed…more competitive</t>
  </si>
  <si>
    <t>Significant overlap … the 2 main competitors</t>
  </si>
  <si>
    <t>ARPU was a little out of whack</t>
  </si>
  <si>
    <t>had to cut prices</t>
  </si>
  <si>
    <t>A little scale would be better</t>
  </si>
  <si>
    <t>mobile side perhaps</t>
  </si>
  <si>
    <t>Q4 17 full recovery likely</t>
  </si>
  <si>
    <t>big part of the traffic was from the prisons</t>
  </si>
  <si>
    <t>10% of network capacity…(sites) down at its peak?</t>
  </si>
  <si>
    <t>Mobile growth at 4% growth service revenue</t>
  </si>
  <si>
    <t>Cable cos in Guatemala</t>
  </si>
  <si>
    <t>ETB - sale process on hold</t>
  </si>
  <si>
    <t>AMX incumbent</t>
  </si>
  <si>
    <t>Another incumbent</t>
  </si>
  <si>
    <t>TEF not incumbent</t>
  </si>
  <si>
    <t>Relationship with Miffin</t>
  </si>
  <si>
    <t>As good as its ever been</t>
  </si>
  <si>
    <t>Self reporting - common view that this was sensible</t>
  </si>
  <si>
    <t>LatAm corp</t>
  </si>
  <si>
    <t>Africa corp</t>
  </si>
  <si>
    <t>Amortization</t>
  </si>
  <si>
    <t>Profit from discontinued operations</t>
  </si>
  <si>
    <t>EPS</t>
  </si>
  <si>
    <t>like-for-like</t>
  </si>
  <si>
    <t xml:space="preserve">Q1 </t>
  </si>
  <si>
    <t xml:space="preserve">Q2 </t>
  </si>
  <si>
    <t>Q3</t>
  </si>
  <si>
    <t>Penetration of homes</t>
  </si>
  <si>
    <t>Still think HFC is the best and most cost efficient today</t>
  </si>
  <si>
    <t>modular</t>
  </si>
  <si>
    <t>cost effective for Millicom</t>
  </si>
  <si>
    <t>Even in DM, HFC continues to be very resilient</t>
  </si>
  <si>
    <t>At pretty low broadband speeds</t>
  </si>
  <si>
    <t>Home</t>
  </si>
  <si>
    <t>churn has been the issue, which is something manageable</t>
  </si>
  <si>
    <t>New government in Colombia?</t>
  </si>
  <si>
    <t>very early days to know what govt will do</t>
  </si>
  <si>
    <t>a lot uncertainty on Colombia eliminated</t>
  </si>
  <si>
    <t>new govt - sending the right messages</t>
  </si>
  <si>
    <t>Dominance review</t>
  </si>
  <si>
    <t>700 MHz auction - no low freq spectrum</t>
  </si>
  <si>
    <t>Regulation pending</t>
  </si>
  <si>
    <t>El Salvador - consolidation?</t>
  </si>
  <si>
    <t>10 Mbps average speed</t>
  </si>
  <si>
    <t>De minimis fiber in their markets</t>
  </si>
  <si>
    <t>Some fibre to biz parks</t>
  </si>
  <si>
    <t>for the time being, roc on HFC is much better</t>
  </si>
  <si>
    <t>1GHz, docsis ready, router ready</t>
  </si>
  <si>
    <t>Underweight B2B , generally</t>
  </si>
  <si>
    <t>half is CPE, half is build</t>
  </si>
  <si>
    <t>50% of capex is cable</t>
  </si>
  <si>
    <t>wireless no 2</t>
  </si>
  <si>
    <t>Arris</t>
  </si>
  <si>
    <t>starting to do co-ax</t>
  </si>
  <si>
    <t>wireless no 1</t>
  </si>
  <si>
    <t>Huawei</t>
  </si>
  <si>
    <t>Vendors</t>
  </si>
  <si>
    <t>Claro some of the copper</t>
  </si>
  <si>
    <t>bolivia pen is 18% today…was 14% when Mauricio joined</t>
  </si>
  <si>
    <t>there is no 4-play pressure in these markets</t>
  </si>
  <si>
    <t>today, can simply sell</t>
  </si>
  <si>
    <t>complicates things….</t>
  </si>
  <si>
    <t>no bundling yet</t>
  </si>
  <si>
    <t>750,000 PoPs in the region</t>
  </si>
  <si>
    <t>haven't yet focused on churn</t>
  </si>
  <si>
    <t>just &lt;2% - fixed</t>
  </si>
  <si>
    <t>vtr is 1.6%</t>
  </si>
  <si>
    <t>Slim has 7-8m…Col is 14m HH</t>
  </si>
  <si>
    <t>4.5m in Colombia</t>
  </si>
  <si>
    <t>1m in Bol and Guatemala</t>
  </si>
  <si>
    <t>Bundling ratio is ~2x</t>
  </si>
  <si>
    <t>Not the same in Colombia</t>
  </si>
  <si>
    <t>on cable and mobile</t>
  </si>
  <si>
    <t>exclusive</t>
  </si>
  <si>
    <t>long term</t>
  </si>
  <si>
    <t>deals with teams, or leagues if can't</t>
  </si>
  <si>
    <t>production</t>
  </si>
  <si>
    <t>Creating the local soccer product</t>
  </si>
  <si>
    <t>Pay TV model not at risk</t>
  </si>
  <si>
    <t>Limited Ad revenue</t>
  </si>
  <si>
    <t>FOX, US…</t>
  </si>
  <si>
    <t>Televisa content negligible</t>
  </si>
  <si>
    <t>20-25% content costs / programming margin</t>
  </si>
  <si>
    <t>Content</t>
  </si>
  <si>
    <t>VTR is &gt;40%</t>
  </si>
  <si>
    <t>higher penetration</t>
  </si>
  <si>
    <t>higher ARPU</t>
  </si>
  <si>
    <t>38.5% EBITDA margin</t>
  </si>
  <si>
    <t>15m homes passed</t>
  </si>
  <si>
    <t>30% penetration</t>
  </si>
  <si>
    <t>$100 passed, $150 inc connect</t>
  </si>
  <si>
    <t>5-10 Mbps - same network</t>
  </si>
  <si>
    <t>1GHz, Docsis 3.0/3.1, M + 1, M + 0…same stuff as Charter</t>
  </si>
  <si>
    <t>So half of homes passed</t>
  </si>
  <si>
    <t>1m per year….targeting 15m</t>
  </si>
  <si>
    <t>Had 7m, now at 9m. 10m YE 2018</t>
  </si>
  <si>
    <t>30m HH</t>
  </si>
  <si>
    <t>Millicom CEO meeeting</t>
  </si>
  <si>
    <t>Implied</t>
  </si>
  <si>
    <t>Prop share of EBITDA</t>
  </si>
  <si>
    <t>Cable Onda acquisition</t>
  </si>
  <si>
    <t>Onda</t>
  </si>
  <si>
    <t>New Group</t>
  </si>
  <si>
    <t>Onda as %</t>
  </si>
  <si>
    <t>New Millicom, US$ m</t>
  </si>
  <si>
    <t>% equity</t>
  </si>
  <si>
    <t>Implied 100%</t>
  </si>
  <si>
    <t>Multiple to EBITDA</t>
  </si>
  <si>
    <t>Cash consideration</t>
  </si>
  <si>
    <t>Cost of debt</t>
  </si>
  <si>
    <t>Assume deal close end-18</t>
  </si>
  <si>
    <t>Old leverage</t>
  </si>
  <si>
    <t>H1 18</t>
  </si>
  <si>
    <t>dilution</t>
  </si>
  <si>
    <t>New debt consolidated</t>
  </si>
  <si>
    <t>New Millicom net debt</t>
  </si>
  <si>
    <t>New FCF, @ 80%</t>
  </si>
  <si>
    <t>Interest on existing debt @ 80%</t>
  </si>
  <si>
    <t>New interest on cash out (100%(</t>
  </si>
  <si>
    <t>% of biz cable</t>
  </si>
  <si>
    <t>Old cable</t>
  </si>
  <si>
    <t>Total fixed / "cable"</t>
  </si>
  <si>
    <t>Total cable as % today</t>
  </si>
  <si>
    <t>Today</t>
  </si>
  <si>
    <t>HFC Homes connected</t>
  </si>
  <si>
    <t>Net net debt / EBITDA, consolidated</t>
  </si>
  <si>
    <t>Chat with Michel</t>
  </si>
  <si>
    <t>Leverage is going up with this</t>
  </si>
  <si>
    <t>Chats with the rating agencies…very constructive. $ economy, investment grade</t>
  </si>
  <si>
    <t>Panama takes risk out of the business</t>
  </si>
  <si>
    <t>Up against LiLAC</t>
  </si>
  <si>
    <t>Growth has slowed recently</t>
  </si>
  <si>
    <t xml:space="preserve"> relatively high pen of homes passsed</t>
  </si>
  <si>
    <t>a lot of the easy growth has been achieved</t>
  </si>
  <si>
    <t>vtr or better</t>
  </si>
  <si>
    <t>still room for higher penetration</t>
  </si>
  <si>
    <t>might not be double digit, but will be solid</t>
  </si>
  <si>
    <t>2 main families</t>
  </si>
  <si>
    <t>LBTY</t>
  </si>
  <si>
    <t>Passed</t>
  </si>
  <si>
    <t>60% of homed</t>
  </si>
  <si>
    <t>Regional hub…connects Central America to Colombia</t>
  </si>
  <si>
    <t>Was for sale 10 years ago…fraction of the size</t>
  </si>
  <si>
    <t>Cable Onda</t>
  </si>
  <si>
    <t>Best asset in the region</t>
  </si>
  <si>
    <t>Cross selling B2B across footprint in region</t>
  </si>
  <si>
    <t>Programming</t>
  </si>
  <si>
    <t>Integration of regional DTH</t>
  </si>
  <si>
    <t>Panamanian families.. Ramos knows them</t>
  </si>
  <si>
    <t>Happy with leverage on a temp basis</t>
  </si>
  <si>
    <t>LLA in Panama…investing aggressively</t>
  </si>
  <si>
    <t>Wireless interests</t>
  </si>
  <si>
    <t>Synergies not quantified</t>
  </si>
  <si>
    <t>How has broadband pen / TV been trending?</t>
  </si>
  <si>
    <t>Investment plans</t>
  </si>
  <si>
    <t>Penetration rates are very high</t>
  </si>
  <si>
    <t>50% pen</t>
  </si>
  <si>
    <t>future needs?</t>
  </si>
  <si>
    <t>not assuming higher penetration is coming</t>
  </si>
  <si>
    <t>M&amp;A as a new tool in the toolbelt</t>
  </si>
  <si>
    <t>not really..!</t>
  </si>
  <si>
    <t>only a few months to close the deal</t>
  </si>
  <si>
    <t>number of other interested parties</t>
  </si>
  <si>
    <t>B2B is significant for Onda</t>
  </si>
  <si>
    <t>supports B2B elsewhere</t>
  </si>
  <si>
    <t>reaffirm double B+</t>
  </si>
  <si>
    <t>Wireless opportunity</t>
  </si>
  <si>
    <t>4 player market</t>
  </si>
  <si>
    <t>Take a pause here</t>
  </si>
  <si>
    <t>Focus on integration</t>
  </si>
  <si>
    <t>Financing costs</t>
  </si>
  <si>
    <t>Fund with new debt and existing cash</t>
  </si>
  <si>
    <t>New bond announced this morning</t>
  </si>
  <si>
    <t>monthly rates</t>
  </si>
  <si>
    <t>Capex / sales</t>
  </si>
  <si>
    <t>cable like…~15-17% long term</t>
  </si>
  <si>
    <t>POPs/home</t>
  </si>
  <si>
    <t>Homes passed, 000s</t>
  </si>
  <si>
    <t>pen of base</t>
  </si>
  <si>
    <t>RGUs/subs</t>
  </si>
  <si>
    <t>av revs per RGU, m</t>
  </si>
  <si>
    <t>tax rate</t>
  </si>
  <si>
    <t>NPV FCF</t>
  </si>
  <si>
    <t>Terminal multiple of FCF</t>
  </si>
  <si>
    <t>implied growth</t>
  </si>
  <si>
    <t>100% EV, $m</t>
  </si>
  <si>
    <t>Risk premium</t>
  </si>
  <si>
    <t>%  covered</t>
  </si>
  <si>
    <t>Acquisition</t>
  </si>
  <si>
    <t xml:space="preserve">Panama </t>
  </si>
  <si>
    <t>Colombia (50%)</t>
  </si>
  <si>
    <t>Panama (80%)</t>
  </si>
  <si>
    <t>Interest charge</t>
  </si>
  <si>
    <t>Tax charge</t>
  </si>
  <si>
    <t>Depr to capex</t>
  </si>
  <si>
    <t>Central America inc Panama</t>
  </si>
  <si>
    <t>Q's</t>
  </si>
  <si>
    <t>What is capitalised tower lease back…why (IFRS 15?)</t>
  </si>
  <si>
    <t>Capitalised tower lease back</t>
  </si>
  <si>
    <t>Total ex-spectrum</t>
  </si>
  <si>
    <t>Annualised Q4 18</t>
  </si>
  <si>
    <t>Annualised Q4 18 pf</t>
  </si>
  <si>
    <t>Cable fixed as % of service revenue</t>
  </si>
  <si>
    <t>LATAM</t>
  </si>
  <si>
    <t>As % revs</t>
  </si>
  <si>
    <t>Fixed subs</t>
  </si>
  <si>
    <t>Total homes</t>
  </si>
  <si>
    <t>LatAm service revenue</t>
  </si>
  <si>
    <t>LatAm EBITDA</t>
  </si>
  <si>
    <t>2017A</t>
  </si>
  <si>
    <t>Prop leverage</t>
  </si>
  <si>
    <t>Cash after dividend (pre-M&amp;A)</t>
  </si>
  <si>
    <t>Q3 2018</t>
  </si>
  <si>
    <t>Hard currency financing</t>
  </si>
  <si>
    <t>EBITDA in local</t>
  </si>
  <si>
    <t>EBITDA in local (inc Central America pegged economies)</t>
  </si>
  <si>
    <t>pf for Panama</t>
  </si>
  <si>
    <t>Q3 pf for Panama</t>
  </si>
  <si>
    <t>EBITDA margins</t>
  </si>
  <si>
    <t>Pre-reported</t>
  </si>
  <si>
    <t xml:space="preserve">Guide </t>
  </si>
  <si>
    <t>HFC homes passed, m</t>
  </si>
  <si>
    <t>Just above low-end</t>
  </si>
  <si>
    <t>4-6%</t>
  </si>
  <si>
    <t>Above the top-end</t>
  </si>
  <si>
    <t>LatAm capex</t>
  </si>
  <si>
    <t>With buy back</t>
  </si>
  <si>
    <t>Changes</t>
  </si>
  <si>
    <t>Capex, $bn</t>
  </si>
  <si>
    <t>Prop revs</t>
  </si>
  <si>
    <t>Prop capex</t>
  </si>
  <si>
    <t>TIGO US</t>
  </si>
  <si>
    <t>Updated</t>
  </si>
  <si>
    <t>ests (Jan 9th)</t>
  </si>
  <si>
    <t>LatAm EBITDA margin</t>
  </si>
  <si>
    <t xml:space="preserve">LatAm </t>
  </si>
  <si>
    <t>Formal guide</t>
  </si>
  <si>
    <t>3.5%</t>
  </si>
  <si>
    <t>Residential fixed (B2C) revs, y/y</t>
  </si>
  <si>
    <t>B2B revs, y/y</t>
  </si>
  <si>
    <t>USD million</t>
  </si>
  <si>
    <t>%  diff</t>
  </si>
  <si>
    <t>EBITDA adj for unallocated costs</t>
  </si>
  <si>
    <t>HFC subs adds (organic)</t>
  </si>
  <si>
    <t>HFC homes passed added *</t>
  </si>
  <si>
    <t>"flat"</t>
  </si>
  <si>
    <t>Mobile (B2C)</t>
  </si>
  <si>
    <t>y/y revenue</t>
  </si>
  <si>
    <t>Cable / fixed</t>
  </si>
  <si>
    <t>* includes Panama from Q4 (no organic number given)</t>
  </si>
  <si>
    <t>slightly &gt;1.0</t>
  </si>
  <si>
    <t>Wireless capex (for latamquarts)</t>
  </si>
  <si>
    <t>TEF CA</t>
  </si>
  <si>
    <t>Revs CAGR</t>
  </si>
  <si>
    <t>&gt;13%</t>
  </si>
  <si>
    <t>2015-18e</t>
  </si>
  <si>
    <t>Synergies NPV</t>
  </si>
  <si>
    <t>EV adj</t>
  </si>
  <si>
    <t>OpEx / capex per annum</t>
  </si>
  <si>
    <t>35-50</t>
  </si>
  <si>
    <t>Capex + Opex</t>
  </si>
  <si>
    <t>as % target</t>
  </si>
  <si>
    <t>After TEF CA deal</t>
  </si>
  <si>
    <t xml:space="preserve"> of which OpEx</t>
  </si>
  <si>
    <t>30-40</t>
  </si>
  <si>
    <t xml:space="preserve"> of which Capex</t>
  </si>
  <si>
    <t>Upper end of range</t>
  </si>
  <si>
    <t>2x is still target</t>
  </si>
  <si>
    <t>Will return to this sort of level</t>
  </si>
  <si>
    <t>Millicom guidance?</t>
  </si>
  <si>
    <t>Some visbility on the transaction at the time</t>
  </si>
  <si>
    <t>Not in 2019 guidance, or mid-term either</t>
  </si>
  <si>
    <t>Close in H2</t>
  </si>
  <si>
    <t>6.2% average funding costs</t>
  </si>
  <si>
    <t>$100m of interest</t>
  </si>
  <si>
    <t>$40m of tax roughly from TEF</t>
  </si>
  <si>
    <t>Our story remains an organic growth story</t>
  </si>
  <si>
    <t>3-5 year time frame</t>
  </si>
  <si>
    <t xml:space="preserve">2018 USD growth </t>
  </si>
  <si>
    <t>Revenue, USD m</t>
  </si>
  <si>
    <t>EV paid for 100%</t>
  </si>
  <si>
    <t>2018e EBITDA</t>
  </si>
  <si>
    <t>New debt</t>
  </si>
  <si>
    <t>Tax guide</t>
  </si>
  <si>
    <t>Millicom prop EBITDA</t>
  </si>
  <si>
    <t>New CA EBITDA</t>
  </si>
  <si>
    <t>TEF CA EFCF</t>
  </si>
  <si>
    <t>Millicom EFCF</t>
  </si>
  <si>
    <t>% accretion</t>
  </si>
  <si>
    <t>Synergies at opex</t>
  </si>
  <si>
    <t>Synergies at capex</t>
  </si>
  <si>
    <t>Synergy adj TEF CA</t>
  </si>
  <si>
    <t>2018 EV/EBITDA</t>
  </si>
  <si>
    <t>EBITDA split by market</t>
  </si>
  <si>
    <t>Current EFCF / share</t>
  </si>
  <si>
    <t>New EFCF / share</t>
  </si>
  <si>
    <t>`</t>
  </si>
  <si>
    <t>Combined TEF CA</t>
  </si>
  <si>
    <t>Subs, m</t>
  </si>
  <si>
    <t>T Movil (CWC)</t>
  </si>
  <si>
    <t>Tigo (Movistar)</t>
  </si>
  <si>
    <t>Panama market model</t>
  </si>
  <si>
    <t>% Subs share</t>
  </si>
  <si>
    <t>Digicel Panama</t>
  </si>
  <si>
    <t>Cash injected</t>
  </si>
  <si>
    <t>Capex (implied)</t>
  </si>
  <si>
    <t>Spectrum / other</t>
  </si>
  <si>
    <t>Term value</t>
  </si>
  <si>
    <t>PV of term value</t>
  </si>
  <si>
    <t>Paid</t>
  </si>
  <si>
    <t>Margin improvement in CR…scale gains, anything else</t>
  </si>
  <si>
    <t xml:space="preserve">What do we know about Kolbi..? </t>
  </si>
  <si>
    <t>losing share on mobile..</t>
  </si>
  <si>
    <t>investing in fixed</t>
  </si>
  <si>
    <t>Government support / preferential treatment?</t>
  </si>
  <si>
    <t>TEF CA assets</t>
  </si>
  <si>
    <t>Finance</t>
  </si>
  <si>
    <t>timing of bridge commitment?</t>
  </si>
  <si>
    <t>when / how much raise?</t>
  </si>
  <si>
    <t>achievable?</t>
  </si>
  <si>
    <t>Costa Rica/old Nicaragua</t>
  </si>
  <si>
    <t>Panama wireless</t>
  </si>
  <si>
    <t>New CA</t>
  </si>
  <si>
    <t>Costa Rica wireless</t>
  </si>
  <si>
    <t>Nicaragua wireless</t>
  </si>
  <si>
    <t>Panama (Onda)</t>
  </si>
  <si>
    <t>2018A</t>
  </si>
  <si>
    <t>USD price</t>
  </si>
  <si>
    <t>Q1 19</t>
  </si>
  <si>
    <t>Q2 19</t>
  </si>
  <si>
    <t>Q3 19</t>
  </si>
  <si>
    <t>Q4 19</t>
  </si>
  <si>
    <t>Kolvi</t>
  </si>
  <si>
    <t xml:space="preserve">Mobile subs </t>
  </si>
  <si>
    <t>Mobile Subs, m</t>
  </si>
  <si>
    <t>Market</t>
  </si>
  <si>
    <t>TEF / Tigo</t>
  </si>
  <si>
    <t>From op reported revs except Millicom where est.</t>
  </si>
  <si>
    <t>From TEF, except adjusted to be on revenue share basis</t>
  </si>
  <si>
    <t>Nucleo</t>
  </si>
  <si>
    <t>USD revs</t>
  </si>
  <si>
    <t>USD / ARS</t>
  </si>
  <si>
    <t>Nucleo FY 18 revs, ARS</t>
  </si>
  <si>
    <t>Tigo service revs</t>
  </si>
  <si>
    <t xml:space="preserve">Home </t>
  </si>
  <si>
    <t>Corporate</t>
  </si>
  <si>
    <t>Revs, 2018</t>
  </si>
  <si>
    <t>From Millicom debt filings, Telecom Argentina filings</t>
  </si>
  <si>
    <t>reg</t>
  </si>
  <si>
    <t>NuevaTel</t>
  </si>
  <si>
    <t>Market share (Apr-19 update)</t>
  </si>
  <si>
    <t>EUR m</t>
  </si>
  <si>
    <t>IFRS 16</t>
  </si>
  <si>
    <t>other</t>
  </si>
  <si>
    <t>debt/EBITDA</t>
  </si>
  <si>
    <t>Mult</t>
  </si>
  <si>
    <t>IFRS quick and dirty</t>
  </si>
  <si>
    <t>lease liability</t>
  </si>
  <si>
    <t>IFRS15</t>
  </si>
  <si>
    <t>IFRS16</t>
  </si>
  <si>
    <t>IFRS 15</t>
  </si>
  <si>
    <t>2019 guidance</t>
  </si>
  <si>
    <t>Q1 19 call</t>
  </si>
  <si>
    <t>Home and mobile up</t>
  </si>
  <si>
    <t>B2B was negative, due to large government election</t>
  </si>
  <si>
    <t>Have electoral B2B contract for later this year</t>
  </si>
  <si>
    <t>New team executing on results</t>
  </si>
  <si>
    <t>new team from early 2019</t>
  </si>
  <si>
    <t>a great Q1, on budget</t>
  </si>
  <si>
    <t>5G</t>
  </si>
  <si>
    <t>5G - thoughts, plans</t>
  </si>
  <si>
    <t>Corporate / unallocated costs</t>
  </si>
  <si>
    <t>Added $1m more to net income</t>
  </si>
  <si>
    <t>Recently IPO's business - Jumia. Hold a 6% stake</t>
  </si>
  <si>
    <t>CA deals - in next few months</t>
  </si>
  <si>
    <t>Synergies from Central America</t>
  </si>
  <si>
    <t>Mid-term targets</t>
  </si>
  <si>
    <t>Assume going forward not all markets running perfectly the whole time</t>
  </si>
  <si>
    <t>B2B for the FY…is this a growing business?</t>
  </si>
  <si>
    <t>**</t>
  </si>
  <si>
    <t>Post merger, Nucleo started getting aggressive</t>
  </si>
  <si>
    <t>Tigo have reacted</t>
  </si>
  <si>
    <t>defending market position</t>
  </si>
  <si>
    <t>Margins down due to sales and marketing</t>
  </si>
  <si>
    <t>A lot of 700 MHz in early 2018…best spectrum position</t>
  </si>
  <si>
    <t>Exclusive soccer</t>
  </si>
  <si>
    <t xml:space="preserve">Large distribution </t>
  </si>
  <si>
    <t>Cash flow strength…in Paraguay, at HQ</t>
  </si>
  <si>
    <t>pre-pay, moving into post paid - disruptive</t>
  </si>
  <si>
    <t>B2B should be mid single digit growth</t>
  </si>
  <si>
    <t>positive lumpiness in Colombia</t>
  </si>
  <si>
    <t>Also, lower B2B in Panama this year…</t>
  </si>
  <si>
    <t>3.5 GHz spectrum?</t>
  </si>
  <si>
    <t>Investing a ton in fibre</t>
  </si>
  <si>
    <t>Need to be pretty close to the customer with 5g</t>
  </si>
  <si>
    <t xml:space="preserve">Tactically buying 5G….that might be </t>
  </si>
  <si>
    <t xml:space="preserve">Still on 4G </t>
  </si>
  <si>
    <t>Updated thoughts here?</t>
  </si>
  <si>
    <t>Timing..?</t>
  </si>
  <si>
    <t>H2 panorama</t>
  </si>
  <si>
    <t>One might close in Q2, then Q3 and Q4</t>
  </si>
  <si>
    <t>Short time frames good, minimise M&amp;A risk</t>
  </si>
  <si>
    <t>Hired Advisors, teams allocated</t>
  </si>
  <si>
    <t>CA TEF acquisitions</t>
  </si>
  <si>
    <t>Industry structures generally improving</t>
  </si>
  <si>
    <t>consolidation</t>
  </si>
  <si>
    <t>f-m consolidation</t>
  </si>
  <si>
    <t>helps unlock spectrum - healthy for industry</t>
  </si>
  <si>
    <t>f-m then naturally leads to a 2-player market</t>
  </si>
  <si>
    <t>Digicel?</t>
  </si>
  <si>
    <t>Healthy to have smaller no of players to encourage investment</t>
  </si>
  <si>
    <t>Home business doing really well</t>
  </si>
  <si>
    <t>Launched next gen TV services</t>
  </si>
  <si>
    <t>Some fibre overbuild in certain neighbourhoods</t>
  </si>
  <si>
    <t>Jumia</t>
  </si>
  <si>
    <t>Locked up…once expired, will consider options</t>
  </si>
  <si>
    <t>Will be a negative impact in Q2 also…similar impact</t>
  </si>
  <si>
    <t>Working actively to work toward this</t>
  </si>
  <si>
    <t>Funds out - Vodacom a decent data point</t>
  </si>
  <si>
    <t>Tanzania IPO</t>
  </si>
  <si>
    <t>Internal restructuring needed before IPO….some work to do yet</t>
  </si>
  <si>
    <t>Kinnevik exit</t>
  </si>
  <si>
    <t>1.5 years ago…CEO</t>
  </si>
  <si>
    <t>Shift to high growth</t>
  </si>
  <si>
    <t>SEK10bn for future investments?</t>
  </si>
  <si>
    <t>Focus on larger investments in the near-term</t>
  </si>
  <si>
    <t>And some venture like Nordic assets</t>
  </si>
  <si>
    <t>Plus invest more in some existing assets</t>
  </si>
  <si>
    <t>Stick to 10% gearing</t>
  </si>
  <si>
    <t>Trade sale?</t>
  </si>
  <si>
    <t>SHOUT</t>
  </si>
  <si>
    <t>Cash, $m</t>
  </si>
  <si>
    <t>"'ve"</t>
  </si>
  <si>
    <t>Comps</t>
  </si>
  <si>
    <t>Mobile service</t>
  </si>
  <si>
    <t>Residential cable</t>
  </si>
  <si>
    <t xml:space="preserve">Fixed B2B </t>
  </si>
  <si>
    <t>Revs, USD m</t>
  </si>
  <si>
    <t>% split</t>
  </si>
  <si>
    <t>EBITDA as % consol</t>
  </si>
  <si>
    <t>Lease costs</t>
  </si>
  <si>
    <t xml:space="preserve"> - of which through fin expenses</t>
  </si>
  <si>
    <t xml:space="preserve"> - of which through depreciation</t>
  </si>
  <si>
    <t xml:space="preserve">as % </t>
  </si>
  <si>
    <t>Net financial expense I/S + leases</t>
  </si>
  <si>
    <t>Pre-IFRS 16</t>
  </si>
  <si>
    <t>Diff</t>
  </si>
  <si>
    <t xml:space="preserve">Lease costs </t>
  </si>
  <si>
    <t>Gross</t>
  </si>
  <si>
    <t>Debt check</t>
  </si>
  <si>
    <t>Net fin + leases</t>
  </si>
  <si>
    <t>Cost of fin</t>
  </si>
  <si>
    <t>Interest / lease charge</t>
  </si>
  <si>
    <t>Debt Q1 19</t>
  </si>
  <si>
    <t>Leases Q1 19</t>
  </si>
  <si>
    <t>TEF assets</t>
  </si>
  <si>
    <t>Acq / Disposals</t>
  </si>
  <si>
    <t>IFRS 16 leases</t>
  </si>
  <si>
    <t xml:space="preserve"> Interest</t>
  </si>
  <si>
    <t>IFRS 16 adj</t>
  </si>
  <si>
    <t xml:space="preserve"> - of which IFRS 16 leases</t>
  </si>
  <si>
    <t xml:space="preserve"> - of which underlying</t>
  </si>
  <si>
    <t>Total depreciation  (incs IFRS 16 )</t>
  </si>
  <si>
    <t>Depr &amp; Amortisation (incs IFRS 16)</t>
  </si>
  <si>
    <t>Interest expense (incs IFRS 16)</t>
  </si>
  <si>
    <t>IFRS 16 leases (in D&amp;A)</t>
  </si>
  <si>
    <t>Clean Net Interest (inc leases)</t>
  </si>
  <si>
    <t>Lease costs (in D&amp;A)</t>
  </si>
  <si>
    <t>Paraguay 6.75% 2022</t>
  </si>
  <si>
    <t>$500m 6.625% (Lux), 2026</t>
  </si>
  <si>
    <t>Cable Onda 5.75%, 2025</t>
  </si>
  <si>
    <t>Paraguay 5.875% 2027</t>
  </si>
  <si>
    <t>SEK2 bn sustainability, STIBOR + 2.35%</t>
  </si>
  <si>
    <t>$500m 6.0% (Lux), 2025</t>
  </si>
  <si>
    <t>$750m 6.25% (Lux), 2029</t>
  </si>
  <si>
    <t>NY</t>
  </si>
  <si>
    <t>Boston</t>
  </si>
  <si>
    <t>results</t>
  </si>
  <si>
    <t>end following week</t>
  </si>
  <si>
    <t>London</t>
  </si>
  <si>
    <t>Q3 19 calls</t>
  </si>
  <si>
    <t xml:space="preserve">Kinnevik Investor Day…19 Sept </t>
  </si>
  <si>
    <t>Millicom remain in the dark</t>
  </si>
  <si>
    <t>Suggestion of distribution to shareholders</t>
  </si>
  <si>
    <t>May go back to group EBITDA</t>
  </si>
  <si>
    <t>$50m of unallocated cost in 2019</t>
  </si>
  <si>
    <t>Q4 heavy year, due to timing of Colombia</t>
  </si>
  <si>
    <t>OCF has been very sold, YTD</t>
  </si>
  <si>
    <t>10% medium-term target organic OCF growth</t>
  </si>
  <si>
    <t>$750m, included in capex plan</t>
  </si>
  <si>
    <t>TEF performed very well…business growing</t>
  </si>
  <si>
    <t>Mid-term target</t>
  </si>
  <si>
    <t>Significant oppo for synergies</t>
  </si>
  <si>
    <t>Procurement savings even vs TEF</t>
  </si>
  <si>
    <t>De-centralised…presents oppos vs centrally run</t>
  </si>
  <si>
    <t>Network according to network..some spectrum not even using</t>
  </si>
  <si>
    <t>Sept in numbers only</t>
  </si>
  <si>
    <t>On track to close Costa Rica</t>
  </si>
  <si>
    <t>Reg has signed off</t>
  </si>
  <si>
    <t>nothing meaningful to stop this</t>
  </si>
  <si>
    <t>Plan to issue out of Panama</t>
  </si>
  <si>
    <t>ideally would have done prior to closing</t>
  </si>
  <si>
    <t>needed to show consolidated numbers</t>
  </si>
  <si>
    <t>Bond holders would rather be at the opco, so would be better rate</t>
  </si>
  <si>
    <t>144A - so can sell to institutions at the US</t>
  </si>
  <si>
    <t>better to issue locally, so limit withholding taxes</t>
  </si>
  <si>
    <t>Q3 20e</t>
  </si>
  <si>
    <t>Q4 20e</t>
  </si>
  <si>
    <t>Q1 20</t>
  </si>
  <si>
    <t>Q2 20</t>
  </si>
  <si>
    <t>Q3 20</t>
  </si>
  <si>
    <t>Q4 20</t>
  </si>
  <si>
    <t>LatAm allocated corp costs</t>
  </si>
  <si>
    <t>Corp costs split</t>
  </si>
  <si>
    <t>Proportionate debt calc</t>
  </si>
  <si>
    <t xml:space="preserve">Cash / liquid </t>
  </si>
  <si>
    <t>Working Capital</t>
  </si>
  <si>
    <t>Leases (from Q1 19)</t>
  </si>
  <si>
    <t xml:space="preserve"> of which IFRS 16</t>
  </si>
  <si>
    <t>Ex-leases</t>
  </si>
  <si>
    <t>IFRS 16 lease estimate</t>
  </si>
  <si>
    <t>Prop debt calc NSR</t>
  </si>
  <si>
    <t>Mins sh</t>
  </si>
  <si>
    <t>Working capital</t>
  </si>
  <si>
    <t>Working Cap</t>
  </si>
  <si>
    <t>Mins IFRS 16 debt</t>
  </si>
  <si>
    <t>Mins share of IFRS 16</t>
  </si>
  <si>
    <t xml:space="preserve">Proportionate </t>
  </si>
  <si>
    <t>Debt as % consol (incs IFRS 16)</t>
  </si>
  <si>
    <t>Prop debt (no IFRS 16 adj at mins)</t>
  </si>
  <si>
    <t>TIGO SS</t>
  </si>
  <si>
    <t>Weekly vols</t>
  </si>
  <si>
    <t>daily</t>
  </si>
  <si>
    <t>Total daily</t>
  </si>
  <si>
    <t>stake</t>
  </si>
  <si>
    <t>value of stake</t>
  </si>
  <si>
    <t>no of days volume</t>
  </si>
  <si>
    <t>Check on mins</t>
  </si>
  <si>
    <t>Less Minorities (CF)</t>
  </si>
  <si>
    <t>Other fins</t>
  </si>
  <si>
    <t>IFRS 16 leases (mins)</t>
  </si>
  <si>
    <t>Mins EFCF</t>
  </si>
  <si>
    <t>EFCF for minorities</t>
  </si>
  <si>
    <t>Ex leases</t>
  </si>
  <si>
    <t>Sell down in Helios</t>
  </si>
  <si>
    <t>Capex (ex spectrum)</t>
  </si>
  <si>
    <t>Guidance for 2019</t>
  </si>
  <si>
    <t>Service revenue growth (organic)</t>
  </si>
  <si>
    <t>EBITDA growth (organic)</t>
  </si>
  <si>
    <t>~2.5%</t>
  </si>
  <si>
    <t>~$1.0bn</t>
  </si>
  <si>
    <t>Capex, $ bn</t>
  </si>
  <si>
    <t>OpFCF growth</t>
  </si>
  <si>
    <t xml:space="preserve">Mid/high </t>
  </si>
  <si>
    <t>single digit</t>
  </si>
  <si>
    <t>Q3 19 earnings call / 1-1</t>
  </si>
  <si>
    <t xml:space="preserve">Economic growth </t>
  </si>
  <si>
    <t>Barely changed…LatAm segment?</t>
  </si>
  <si>
    <t>Distribution timing</t>
  </si>
  <si>
    <t>Guatemala is a big move</t>
  </si>
  <si>
    <t>Pre-pay on Paraguay and Bolivia</t>
  </si>
  <si>
    <t>Economy in Para, politics in Bol</t>
  </si>
  <si>
    <t>More competitive during integration process</t>
  </si>
  <si>
    <t>Not lost market share</t>
  </si>
  <si>
    <t>Remember is a 2-player market</t>
  </si>
  <si>
    <t>60-40 market share split approx</t>
  </si>
  <si>
    <t>Competition comes and goes</t>
  </si>
  <si>
    <t>Politival landscape looks to be improving…clean transition recently</t>
  </si>
  <si>
    <t>Disconnected an MVNO</t>
  </si>
  <si>
    <t>Will re-connect once they pay</t>
  </si>
  <si>
    <t>In outlook for the rest of the year</t>
  </si>
  <si>
    <t>"Not room for everybody"</t>
  </si>
  <si>
    <t>No revenue impact in Q3….no revs from Q4…can't be specific on impact</t>
  </si>
  <si>
    <t>Bad debt ($5m) is now done</t>
  </si>
  <si>
    <t>Around 90 days of non-payment…becomes bad debt</t>
  </si>
  <si>
    <t>September better than August and July</t>
  </si>
  <si>
    <t>Subs intake came back in pre-paid in Sept, with renewed revenue</t>
  </si>
  <si>
    <t>Stabilised the markets where we had the most competition</t>
  </si>
  <si>
    <t>New CEO</t>
  </si>
  <si>
    <t>Kinnevik?</t>
  </si>
  <si>
    <t>7 November EGM</t>
  </si>
  <si>
    <t>Issue new shares which then convert. Dec 2nd</t>
  </si>
  <si>
    <t>Wants to move on</t>
  </si>
  <si>
    <t>Macro</t>
  </si>
  <si>
    <t>Weak but no so tough. CA exposure high, correlated to US</t>
  </si>
  <si>
    <t>GDP 2-4%..Panama historically 4-5%</t>
  </si>
  <si>
    <t>Chad sale</t>
  </si>
  <si>
    <t>Change to numbers</t>
  </si>
  <si>
    <t>NEW, $m</t>
  </si>
  <si>
    <t>EV`</t>
  </si>
  <si>
    <t>Old CA</t>
  </si>
  <si>
    <t>Panama - Onda</t>
  </si>
  <si>
    <t>Old Central America</t>
  </si>
  <si>
    <t>EFCF for minorities for all Panama</t>
  </si>
  <si>
    <t>Total OpFCF</t>
  </si>
  <si>
    <t>FCF pre tax</t>
  </si>
  <si>
    <t>Total EBITDA</t>
  </si>
  <si>
    <t>Implied debt in mins</t>
  </si>
  <si>
    <t>Mins financial debt</t>
  </si>
  <si>
    <t>As % prop EBITDA</t>
  </si>
  <si>
    <t>Change vs Old ests</t>
  </si>
  <si>
    <t xml:space="preserve">Slightly </t>
  </si>
  <si>
    <t>&gt;2%</t>
  </si>
  <si>
    <t>&gt;$1.0bn</t>
  </si>
  <si>
    <t>Growth estimates</t>
  </si>
  <si>
    <t>Panama (fixed only)</t>
  </si>
  <si>
    <t>Proportionate leverage</t>
  </si>
  <si>
    <t>Leverage with dividend cut</t>
  </si>
  <si>
    <t>Accumulated dividend</t>
  </si>
  <si>
    <t>EFCF / share</t>
  </si>
  <si>
    <t>Buy back for dividend (current price)</t>
  </si>
  <si>
    <t>New BOB</t>
  </si>
  <si>
    <t>% cut</t>
  </si>
  <si>
    <t>Prop debt</t>
  </si>
  <si>
    <t xml:space="preserve"> - of which USD</t>
  </si>
  <si>
    <t xml:space="preserve"> - of which local</t>
  </si>
  <si>
    <t>Other liabilities/assets</t>
  </si>
  <si>
    <t>% Group</t>
  </si>
  <si>
    <t>cut</t>
  </si>
  <si>
    <t>as % Gp</t>
  </si>
  <si>
    <t>US$ exp</t>
  </si>
  <si>
    <t>Prop revenue</t>
  </si>
  <si>
    <t>BOB de-value</t>
  </si>
  <si>
    <t>USD increase</t>
  </si>
  <si>
    <t xml:space="preserve">Normalised capex </t>
  </si>
  <si>
    <t>Normalised OpFCF</t>
  </si>
  <si>
    <t>Prop debt as % EBITDA</t>
  </si>
  <si>
    <t>post-deval</t>
  </si>
  <si>
    <t>Prop EV (fair value)</t>
  </si>
  <si>
    <t>BOB/$ peg</t>
  </si>
  <si>
    <t>Customer relationships</t>
  </si>
  <si>
    <t>still growing slightly</t>
  </si>
  <si>
    <t>Year 1</t>
  </si>
  <si>
    <t>Year 2</t>
  </si>
  <si>
    <t>Year 3</t>
  </si>
  <si>
    <t>Other (balancing)</t>
  </si>
  <si>
    <t>RGU mix</t>
  </si>
  <si>
    <t>Check: BB / TV adds</t>
  </si>
  <si>
    <t>RGU breakdown</t>
  </si>
  <si>
    <t>RGUs/sub</t>
  </si>
  <si>
    <t>RGU adds</t>
  </si>
  <si>
    <t xml:space="preserve"> - of which Yr 1</t>
  </si>
  <si>
    <t xml:space="preserve"> - of which Yr 2</t>
  </si>
  <si>
    <t xml:space="preserve"> - of which Yr 3</t>
  </si>
  <si>
    <t>RGU growth</t>
  </si>
  <si>
    <t>Cable, USD m</t>
  </si>
  <si>
    <t>Subs take-up</t>
  </si>
  <si>
    <t>Total cable service</t>
  </si>
  <si>
    <t>Board history</t>
  </si>
  <si>
    <t>Independents</t>
  </si>
  <si>
    <t>Tom Boardman</t>
  </si>
  <si>
    <t>Lorenzo Grabau</t>
  </si>
  <si>
    <t>Lars-Ake Norling</t>
  </si>
  <si>
    <t>Cristina Stenbeck</t>
  </si>
  <si>
    <t>Mia Brunell</t>
  </si>
  <si>
    <t>Members</t>
  </si>
  <si>
    <t>Anders Jensen</t>
  </si>
  <si>
    <t>Revenue per sub, $</t>
  </si>
  <si>
    <t>Incremental margin blend</t>
  </si>
  <si>
    <t>Cable video</t>
  </si>
  <si>
    <t>B2B fixed revenue</t>
  </si>
  <si>
    <t>as % margin</t>
  </si>
  <si>
    <t>Total fixed, USD m</t>
  </si>
  <si>
    <t>NPV of cash flows</t>
  </si>
  <si>
    <t>Implied EV/EBITDA</t>
  </si>
  <si>
    <t>B2B fixed</t>
  </si>
  <si>
    <t>EBITDA margin (on service)</t>
  </si>
  <si>
    <t>Implied wireless</t>
  </si>
  <si>
    <t>LatAm revenue</t>
  </si>
  <si>
    <t>Adj for consolidation</t>
  </si>
  <si>
    <t>% growth (clean)</t>
  </si>
  <si>
    <t>TIGO</t>
  </si>
  <si>
    <t>Novator</t>
  </si>
  <si>
    <t>Reserve</t>
  </si>
  <si>
    <t>Acq by</t>
  </si>
  <si>
    <t>700 MHz</t>
  </si>
  <si>
    <t>2 and 3</t>
  </si>
  <si>
    <t>Previous</t>
  </si>
  <si>
    <t>Total (ex-DTV)</t>
  </si>
  <si>
    <t>Split</t>
  </si>
  <si>
    <t>Market comps</t>
  </si>
  <si>
    <t xml:space="preserve">Mexico </t>
  </si>
  <si>
    <t>Colombia - OLD</t>
  </si>
  <si>
    <t>Colombia - NEW</t>
  </si>
  <si>
    <t>Brazil excludes 450 MHz spectrum; Chile excludes 3.5 GHz which is currently being used for fixed services; Peru excludes 2.5/2.6 and 3.5 GHz which is currently used for fixed services</t>
  </si>
  <si>
    <t>2.5 GHz blocks</t>
  </si>
  <si>
    <t>reserve</t>
  </si>
  <si>
    <t xml:space="preserve">Vs </t>
  </si>
  <si>
    <t>US cents</t>
  </si>
  <si>
    <t>MHz/POP</t>
  </si>
  <si>
    <t>COP bn</t>
  </si>
  <si>
    <t>Auction comps</t>
  </si>
  <si>
    <t>2.6 GHz</t>
  </si>
  <si>
    <t>Total ex-Block 2</t>
  </si>
  <si>
    <t>EM average</t>
  </si>
  <si>
    <t>Brazil (700 MHz in 2012; 2.6 GHz in 2014)</t>
  </si>
  <si>
    <t>Peru (700 MHz in May 16)</t>
  </si>
  <si>
    <t>Chile (700 MHz in Mar-14)</t>
  </si>
  <si>
    <t xml:space="preserve">Mexico  (Aug-18) </t>
  </si>
  <si>
    <t>Telxius</t>
  </si>
  <si>
    <t>CR wireless</t>
  </si>
  <si>
    <t>CR/Nic fixed</t>
  </si>
  <si>
    <t>Telefonica prop EBITDA split</t>
  </si>
  <si>
    <t>Millicom prop EBITDA split</t>
  </si>
  <si>
    <t>AMX EBITDA split</t>
  </si>
  <si>
    <t>Mexico wireless</t>
  </si>
  <si>
    <t>Mexico fixed</t>
  </si>
  <si>
    <t>Brazil wireless</t>
  </si>
  <si>
    <t>Brazil fixed</t>
  </si>
  <si>
    <t>Argentina, Uruguay, Paraguay</t>
  </si>
  <si>
    <t>Mercosur</t>
  </si>
  <si>
    <t>Andean</t>
  </si>
  <si>
    <t>Central America/ Caribbean</t>
  </si>
  <si>
    <t>Tracfone</t>
  </si>
  <si>
    <t>Austria</t>
  </si>
  <si>
    <t>CA/Caribbean</t>
  </si>
  <si>
    <t>Mobile subs share</t>
  </si>
  <si>
    <t>Movistar</t>
  </si>
  <si>
    <t>Virgin (MVNO)</t>
  </si>
  <si>
    <t>Impact of B2B on Q4…municipal election should be positive?</t>
  </si>
  <si>
    <t>Loss of Avantel revs for first time in Q4?</t>
  </si>
  <si>
    <t>Underlying momentum?</t>
  </si>
  <si>
    <t>4G coverage in Colombia?</t>
  </si>
  <si>
    <t>-ve</t>
  </si>
  <si>
    <t>improved but still-ve</t>
  </si>
  <si>
    <t>+ve low single digits</t>
  </si>
  <si>
    <t>Notes:</t>
  </si>
  <si>
    <t>slower than Q1</t>
  </si>
  <si>
    <t>Q2 19 - Home ARPU growth moderated</t>
  </si>
  <si>
    <t>Q2 19 - B2B had a 2.6pp hit due to support in Q2 18 from government contract</t>
  </si>
  <si>
    <t>Q2 19 - hit from lower wholelsale (Avantel)</t>
  </si>
  <si>
    <t>Q1 19 - B2B , govt contract also impacted</t>
  </si>
  <si>
    <t>Q3 19 - $5m bad debt charge from Avantel, to cover first 6-9 months</t>
  </si>
  <si>
    <t>So sugggests $1-2m revs impacted in Q4</t>
  </si>
  <si>
    <t>~0.5% off revenue in Q4 19?</t>
  </si>
  <si>
    <t>Pre-Q4 19 call</t>
  </si>
  <si>
    <t>Prop 2020 EBITDA</t>
  </si>
  <si>
    <t>Q4 19 - much easier comp - no B2B support</t>
  </si>
  <si>
    <t>Q4 19 - any given Q, timing of price increases. Been 0-5% over last year</t>
  </si>
  <si>
    <t>IFRS 15 - led to volatility from q to q. effective of promotional activity</t>
  </si>
  <si>
    <t>not yet at the 5-10% growth level…walking away from DTH for instance, which has been de-empasised</t>
  </si>
  <si>
    <t>although this can improve ebitda and cash flow</t>
  </si>
  <si>
    <t>mobile - Q3 already saw some loss of revenue. Could be an additional small revs</t>
  </si>
  <si>
    <t>wholesale rates increased at the end of 2018</t>
  </si>
  <si>
    <t>bought spectrum, 5 years preferential rates</t>
  </si>
  <si>
    <t>Avantel could not, or didn't want to, pay the higher rates</t>
  </si>
  <si>
    <t>competitors trying to also</t>
  </si>
  <si>
    <t>Avantel - filed for Chp 11</t>
  </si>
  <si>
    <t>other MVNOs not faring too well</t>
  </si>
  <si>
    <t>pre Q4 19 chat</t>
  </si>
  <si>
    <t>highly dense, so 700 MHz really helpful</t>
  </si>
  <si>
    <t>wireless - 10 years ago bought pre-paid biz which had grown very quick</t>
  </si>
  <si>
    <t>initially continued this strategy</t>
  </si>
  <si>
    <t>then UNE came along, needed to change strategy. Less price focused</t>
  </si>
  <si>
    <t>brand has now changed..price now higher than Claro in some cases</t>
  </si>
  <si>
    <t>Claro often likes to be price leader, Claro likes to react to Avantel</t>
  </si>
  <si>
    <t>Tigo prices quite aligned with AMX</t>
  </si>
  <si>
    <t>elsewhere, price in-line as a price leader</t>
  </si>
  <si>
    <t>3rd party network surveys, tend to do well</t>
  </si>
  <si>
    <t>share 4G network with Movistar (but not spectrum)</t>
  </si>
  <si>
    <t>don't assume will get more competitive on price</t>
  </si>
  <si>
    <t>can decommission some sites</t>
  </si>
  <si>
    <t>puzzled by Novator…Claro very dominant</t>
  </si>
  <si>
    <t>Wholesale</t>
  </si>
  <si>
    <t>Tigo and Movistar the main hosts</t>
  </si>
  <si>
    <t>10 days trading</t>
  </si>
  <si>
    <t>large volumes</t>
  </si>
  <si>
    <t>30% of total</t>
  </si>
  <si>
    <t>non Swedish - tax incentive to sell</t>
  </si>
  <si>
    <t>arb was there also</t>
  </si>
  <si>
    <t>Swedbank &gt;5% of Millicom</t>
  </si>
  <si>
    <t>buying this year, and inherited from Kinnevik</t>
  </si>
  <si>
    <t>Seem to be holding on for a while longer than thought</t>
  </si>
  <si>
    <t>one third changed hands</t>
  </si>
  <si>
    <t>Redemption shares</t>
  </si>
  <si>
    <t>Assume most non-Swedish were selling</t>
  </si>
  <si>
    <t>but may have bought directly</t>
  </si>
  <si>
    <t>yes, still overhang on the stock</t>
  </si>
  <si>
    <t>kicked out of Stockholm benchmark…will get back in at the end of May</t>
  </si>
  <si>
    <t>(early December)</t>
  </si>
  <si>
    <t>down 3% when announced</t>
  </si>
  <si>
    <t>Board discussions ongoing</t>
  </si>
  <si>
    <t>Yes</t>
  </si>
  <si>
    <t>MXN</t>
  </si>
  <si>
    <t>OIBR</t>
  </si>
  <si>
    <t>TIM</t>
  </si>
  <si>
    <t>VIVO</t>
  </si>
  <si>
    <t>BRL</t>
  </si>
  <si>
    <t>IBOV</t>
  </si>
  <si>
    <t>MEXBOL</t>
  </si>
  <si>
    <t>LLA</t>
  </si>
  <si>
    <t>ENTEL</t>
  </si>
  <si>
    <t>CLP</t>
  </si>
  <si>
    <t>LTM</t>
  </si>
  <si>
    <t>Jan 13th 2020</t>
  </si>
  <si>
    <t>Sum of op cos</t>
  </si>
  <si>
    <t>Corp/HQ</t>
  </si>
  <si>
    <t>Costa Rica/Nicaragua</t>
  </si>
  <si>
    <t>Combined</t>
  </si>
  <si>
    <t>Residential Home</t>
  </si>
  <si>
    <t xml:space="preserve">Mobile service </t>
  </si>
  <si>
    <t>"Cable"</t>
  </si>
  <si>
    <t>OCF organic</t>
  </si>
  <si>
    <t>Guide</t>
  </si>
  <si>
    <t>NSRe</t>
  </si>
  <si>
    <t>LatAm OCF</t>
  </si>
  <si>
    <t>organic growth</t>
  </si>
  <si>
    <t>organic EBITDA expansion</t>
  </si>
  <si>
    <t>y/y, unless stated</t>
  </si>
  <si>
    <t>Mid-single</t>
  </si>
  <si>
    <t>Mid-term</t>
  </si>
  <si>
    <t>digit</t>
  </si>
  <si>
    <t xml:space="preserve">Mid-high </t>
  </si>
  <si>
    <t xml:space="preserve"> single digit</t>
  </si>
  <si>
    <t xml:space="preserve">progress </t>
  </si>
  <si>
    <t>toward…</t>
  </si>
  <si>
    <t xml:space="preserve">Service revenue </t>
  </si>
  <si>
    <t>Capex, $ m</t>
  </si>
  <si>
    <t>mobile</t>
  </si>
  <si>
    <t>low single digit, on lower wholesale (Avantel)</t>
  </si>
  <si>
    <t>mid single digit, price rises</t>
  </si>
  <si>
    <t>high teens</t>
  </si>
  <si>
    <t>Thoughts on new entrant</t>
  </si>
  <si>
    <t>Assume Colombia B2B benefit is q4 only</t>
  </si>
  <si>
    <t>No guidance for 2020</t>
  </si>
  <si>
    <t>DTH losses</t>
  </si>
  <si>
    <t>5 blocks of spectrum</t>
  </si>
  <si>
    <t>Timing for deal close slipping to H1</t>
  </si>
  <si>
    <t>Before</t>
  </si>
  <si>
    <t xml:space="preserve">Current </t>
  </si>
  <si>
    <t>CF post-dividend</t>
  </si>
  <si>
    <t>CF after spectrum/other</t>
  </si>
  <si>
    <t>Potential</t>
  </si>
  <si>
    <t>2020-22</t>
  </si>
  <si>
    <t>Extra interest</t>
  </si>
  <si>
    <t>Extra debt</t>
  </si>
  <si>
    <t>New prop leverage</t>
  </si>
  <si>
    <t>Why…anything on capex</t>
  </si>
  <si>
    <t>More intense competition on HFC.. From CWC</t>
  </si>
  <si>
    <t>"at least"</t>
  </si>
  <si>
    <t>front end load the buy-back?</t>
  </si>
  <si>
    <t>proposed divi for $1/share for this year</t>
  </si>
  <si>
    <t>"No guidance is the right thing for 2020"</t>
  </si>
  <si>
    <t xml:space="preserve"> How quickly can 700 MHz come on-line</t>
  </si>
  <si>
    <t>Millicom followed price increases in Colombia</t>
  </si>
  <si>
    <t>No longer a cut throat environment</t>
  </si>
  <si>
    <t>Also, some pre-paid price increases</t>
  </si>
  <si>
    <t>Government contract</t>
  </si>
  <si>
    <t>$54m of one-off charges in OpFCF in 2019</t>
  </si>
  <si>
    <t>Working capital quite significantly higher…partly new BS's coming on; also timing of cash flow. Cash capex was $100m higher than accrued</t>
  </si>
  <si>
    <t>plus in net fin charges…structure in place before EBITDA came through</t>
  </si>
  <si>
    <t>700 MHz brings cost savings</t>
  </si>
  <si>
    <t>LT payment plans</t>
  </si>
  <si>
    <t>2019A</t>
  </si>
  <si>
    <t>Countries have moved early</t>
  </si>
  <si>
    <t>Covid-19</t>
  </si>
  <si>
    <t>Limited mobility</t>
  </si>
  <si>
    <t>"martial law"</t>
  </si>
  <si>
    <t>Cable Onda exempt, carry some papers/ID</t>
  </si>
  <si>
    <t>slightly positive for res cable</t>
  </si>
  <si>
    <t>Had to shut down stores</t>
  </si>
  <si>
    <t>No negative impact on top ups</t>
  </si>
  <si>
    <t xml:space="preserve">Tigo Money </t>
  </si>
  <si>
    <t>Paraguay..20% of subs use it</t>
  </si>
  <si>
    <t>Post-paid new subs a struggle</t>
  </si>
  <si>
    <t>Tiny sliver of top ups done this way</t>
  </si>
  <si>
    <t>Bolivia in Q4</t>
  </si>
  <si>
    <t>shut down for 7 weeks</t>
  </si>
  <si>
    <t>interrupted significantly…6% hit on wireless</t>
  </si>
  <si>
    <t>Not clear how long top up possibilities will last</t>
  </si>
  <si>
    <t>Macro is the bigger impact</t>
  </si>
  <si>
    <t>Less churn in Home and Post-paid</t>
  </si>
  <si>
    <t>Commissions overall</t>
  </si>
  <si>
    <t>5-10% of sales</t>
  </si>
  <si>
    <t>Stress test</t>
  </si>
  <si>
    <t>25% deval in bolivia</t>
  </si>
  <si>
    <t>COP moves (4000)</t>
  </si>
  <si>
    <t>interim govt keen to defend the peg</t>
  </si>
  <si>
    <t>grey market - buy usd today, 6.99, vs 6.91</t>
  </si>
  <si>
    <t>bringing down spending…not popular</t>
  </si>
  <si>
    <t>0.06-0.07</t>
  </si>
  <si>
    <t>Dividend and buy back?</t>
  </si>
  <si>
    <t>AGM</t>
  </si>
  <si>
    <t>Buy back has started…$11m before AGM, vs $1.4bn of cash, $600m of liquidity</t>
  </si>
  <si>
    <t>AT&amp;T stopped their buy back</t>
  </si>
  <si>
    <t>Other banks</t>
  </si>
  <si>
    <t>Need to be prudent with liquidity</t>
  </si>
  <si>
    <t>Capex can be lower</t>
  </si>
  <si>
    <t>60% of wireless</t>
  </si>
  <si>
    <t>two thirds pre-paid</t>
  </si>
  <si>
    <t>one third</t>
  </si>
  <si>
    <t>40% cable</t>
  </si>
  <si>
    <t>&lt;20% residential</t>
  </si>
  <si>
    <t>Copa Airlines</t>
  </si>
  <si>
    <t>Avianca</t>
  </si>
  <si>
    <t>B2B component at risk</t>
  </si>
  <si>
    <t>one third is SME</t>
  </si>
  <si>
    <t>&gt;20% total B2B (fixed and mobile)</t>
  </si>
  <si>
    <t>banks is the biggest exposure</t>
  </si>
  <si>
    <t>Panama - suspending the service</t>
  </si>
  <si>
    <t>B2B is 10% of subs</t>
  </si>
  <si>
    <t>B2B is 30% of post-paid revs</t>
  </si>
  <si>
    <t>govt is 20% of B2B…a lot concentrated in Colombia and Panama</t>
  </si>
  <si>
    <t>top ups - disruption to employment</t>
  </si>
  <si>
    <t>Remittances</t>
  </si>
  <si>
    <t>2009 - remittance fell 10% in Guatemala</t>
  </si>
  <si>
    <t>agriculture, landscaping</t>
  </si>
  <si>
    <t>Competitors…</t>
  </si>
  <si>
    <t>Wireless pre-paid</t>
  </si>
  <si>
    <t>Wireless post-paid (res)</t>
  </si>
  <si>
    <t>Wireless post-paid (B2B)</t>
  </si>
  <si>
    <t>Total wireless</t>
  </si>
  <si>
    <t>Residential wireless</t>
  </si>
  <si>
    <t>Residential fixed</t>
  </si>
  <si>
    <t>Fixed B2B</t>
  </si>
  <si>
    <t>Inorganic (Costa Rica)</t>
  </si>
  <si>
    <t>Wireless B2B</t>
  </si>
  <si>
    <t>Total lower revenue</t>
  </si>
  <si>
    <t>EBITDA (60% margin)</t>
  </si>
  <si>
    <t>Pre-paid revs</t>
  </si>
  <si>
    <t>change in absolute</t>
  </si>
  <si>
    <t>Further chat</t>
  </si>
  <si>
    <t>Drew on a proportion of RCF</t>
  </si>
  <si>
    <t>Cash in bank</t>
  </si>
  <si>
    <t>$400m out of $600m</t>
  </si>
  <si>
    <t>2% rate…pay a fee just to have it</t>
  </si>
  <si>
    <t>some monthly fee</t>
  </si>
  <si>
    <t>based on LIBOR</t>
  </si>
  <si>
    <t>Pre-paid usage</t>
  </si>
  <si>
    <t>No real change yet</t>
  </si>
  <si>
    <t>Tracking daily collections</t>
  </si>
  <si>
    <t>Some gone up</t>
  </si>
  <si>
    <t>Some gone down</t>
  </si>
  <si>
    <t>Friday last week</t>
  </si>
  <si>
    <t>lock down for 2 days</t>
  </si>
  <si>
    <t>stopped travel across the borders…one of the first to do so</t>
  </si>
  <si>
    <t>get to groceries..</t>
  </si>
  <si>
    <t>run out of money</t>
  </si>
  <si>
    <t>Some free service being provided</t>
  </si>
  <si>
    <t>free calling, WhatsApp for messaging</t>
  </si>
  <si>
    <t>some calling to cancel…keeping them connected</t>
  </si>
  <si>
    <t>no revs if not billing</t>
  </si>
  <si>
    <t>suspending the service</t>
  </si>
  <si>
    <t>if can't pay for 3 months…stop paying. When resume pay in installments over the next 2 years</t>
  </si>
  <si>
    <t>government introduced..for contract/post-paid</t>
  </si>
  <si>
    <t>switch to basic service</t>
  </si>
  <si>
    <t>pay for additional services potentially</t>
  </si>
  <si>
    <t>only 2 cases so far</t>
  </si>
  <si>
    <t>closed borders very early</t>
  </si>
  <si>
    <t>More confirmed cases</t>
  </si>
  <si>
    <t>size</t>
  </si>
  <si>
    <t>Canal, hub for commerce</t>
  </si>
  <si>
    <t>high levels of tourism</t>
  </si>
  <si>
    <t>Cash balance</t>
  </si>
  <si>
    <t>Drawn credit facility</t>
  </si>
  <si>
    <t>Undrawn credit facility</t>
  </si>
  <si>
    <t>Cash / liquidity</t>
  </si>
  <si>
    <t>Afte CR</t>
  </si>
  <si>
    <t>Average maturity, years</t>
  </si>
  <si>
    <t>&gt;2030</t>
  </si>
  <si>
    <t>Sensitivity</t>
  </si>
  <si>
    <t>EFCF change</t>
  </si>
  <si>
    <t>Base case EFCF</t>
  </si>
  <si>
    <t>Base case revenue, $m</t>
  </si>
  <si>
    <t>Wireless as % total</t>
  </si>
  <si>
    <t>New service revenue</t>
  </si>
  <si>
    <t>20-25% on mobile networks</t>
  </si>
  <si>
    <t>very low</t>
  </si>
  <si>
    <t>stores closing not helpful for pre-paid</t>
  </si>
  <si>
    <t>SEK/sh</t>
  </si>
  <si>
    <t>Vol</t>
  </si>
  <si>
    <t>SEK m</t>
  </si>
  <si>
    <t>USD / SEK</t>
  </si>
  <si>
    <t>Unused borrowing</t>
  </si>
  <si>
    <t>Repayments</t>
  </si>
  <si>
    <t>Current</t>
  </si>
  <si>
    <t>Cash (ex $600m for CR)</t>
  </si>
  <si>
    <t>Devaluation</t>
  </si>
  <si>
    <t>Target, USD</t>
  </si>
  <si>
    <t>Prop Gp financials, 2020</t>
  </si>
  <si>
    <t>% prop revs</t>
  </si>
  <si>
    <t>Jamaica as % LLA</t>
  </si>
  <si>
    <t>Honduras as % TIGO</t>
  </si>
  <si>
    <t>El Salvador as % TIGO</t>
  </si>
  <si>
    <t>Guatemala as % TIGO</t>
  </si>
  <si>
    <t>nicaragua, honduras, bolivia</t>
  </si>
  <si>
    <t>Dollarised (Pan, El Sal)</t>
  </si>
  <si>
    <t>Crawling pegs (Nic, Hond, Bol)</t>
  </si>
  <si>
    <t>Managed floating (Guat)</t>
  </si>
  <si>
    <t>FY 21</t>
  </si>
  <si>
    <t>FY 22</t>
  </si>
  <si>
    <t>Moved to full consolidation</t>
  </si>
  <si>
    <t>June 25th AGM</t>
  </si>
  <si>
    <t>Convening notice for AGM 1 month sooner</t>
  </si>
  <si>
    <t>Every company re-considering allocation of capital</t>
  </si>
  <si>
    <t>Covid-19 early thoughts</t>
  </si>
  <si>
    <t>Variables</t>
  </si>
  <si>
    <t>degree of lockdown</t>
  </si>
  <si>
    <t>points of sale open to greater or lesser degree</t>
  </si>
  <si>
    <t>significant efforts to not disconnect customers</t>
  </si>
  <si>
    <t>mandating not disconnecting customers</t>
  </si>
  <si>
    <t>basic package</t>
  </si>
  <si>
    <t>&lt;10 per day…everything is open, &gt; then closed</t>
  </si>
  <si>
    <t>Distribution channels severely disrupted</t>
  </si>
  <si>
    <t>% of POS closed</t>
  </si>
  <si>
    <t>Disrupts habits</t>
  </si>
  <si>
    <t>Split of business by Product</t>
  </si>
  <si>
    <t>As had a path to full control</t>
  </si>
  <si>
    <t>Honduras. 5-year call option on 33% stake. Consolidated from Q3 2010</t>
  </si>
  <si>
    <t>Both options expired unexercised Dec-15</t>
  </si>
  <si>
    <t>Move to equity accounting of both entities</t>
  </si>
  <si>
    <t>Announced put/call in Guatemala for 2 years</t>
  </si>
  <si>
    <t>Equal board representation</t>
  </si>
  <si>
    <t>Unanimous board decisions for key strategic decisions</t>
  </si>
  <si>
    <t>Put option in the event of a change of control</t>
  </si>
  <si>
    <t>Ecuador-based group, own a number of banks and media assets</t>
  </si>
  <si>
    <t>Panama based company, controlled by  Mr. Mario Lopez Estrada, Guatemala's first billionaire</t>
  </si>
  <si>
    <t>Put exercisable in event Millicom sells its 55% stake or if there is a change of control at Millicom</t>
  </si>
  <si>
    <t>Guatemala/Hond</t>
  </si>
  <si>
    <t>Millicom has 4 Board members, EPM 3</t>
  </si>
  <si>
    <t>33% owned by Proempres Panama S.A. (Proempres), a privately-held company controlled by our local partners, Mr. Roberto Isaias Dassun and other members of his family</t>
  </si>
  <si>
    <t>Joint control established</t>
  </si>
  <si>
    <t>Honduras (Celtel)</t>
  </si>
  <si>
    <t>The Millicom Group purchases and sells products and services from Miffin Group. Transactions with Miffin represent recurring commercial operations such as purchase of handsets, and sale of airtime.</t>
  </si>
  <si>
    <t>Acquired from Miffin</t>
  </si>
  <si>
    <t>Sales to Miffin</t>
  </si>
  <si>
    <t>Millicom and Proempres bought out 25% Motorolla stake in Honduras. Millicom moved from 50% stake to 66.67% stake</t>
  </si>
  <si>
    <t>Miffin acquired the 10% of Comcel (Guatemala) owned by Arkade International (Panama based, owned by Rodrigo Mendiola)</t>
  </si>
  <si>
    <t>2006/07</t>
  </si>
  <si>
    <t xml:space="preserve">10% transferred to BVI company, Camandy Telecom, in June 06 before passing to Miffin in Feb 2007 </t>
  </si>
  <si>
    <t>Miffin stake rises to 45%</t>
  </si>
  <si>
    <t>Millicom owns 55%</t>
  </si>
  <si>
    <t>45% owned by Miffin Associates</t>
  </si>
  <si>
    <t>Millicom own 66.67%</t>
  </si>
  <si>
    <t>Board representation</t>
  </si>
  <si>
    <t>History</t>
  </si>
  <si>
    <t>50% -1 share owned by Millicom</t>
  </si>
  <si>
    <t>50% +1 share owned by EPM, 100% Medellin state utility company (electricity, gas, water, telcos, sanitation)</t>
  </si>
  <si>
    <t>Q1 20A</t>
  </si>
  <si>
    <t>New LatAm EBITDA</t>
  </si>
  <si>
    <t>LatAm Corp expenses</t>
  </si>
  <si>
    <t>LatAm op cos</t>
  </si>
  <si>
    <t>IFRS 16 onwards</t>
  </si>
  <si>
    <t>Total, m</t>
  </si>
  <si>
    <t>Total buy back (SHOUT)</t>
  </si>
  <si>
    <t>Acquisitions/spectrum/other</t>
  </si>
  <si>
    <t>Cash flow for debt paydown</t>
  </si>
  <si>
    <t>What's happened in Panama</t>
  </si>
  <si>
    <t>Talk through the government involvement</t>
  </si>
  <si>
    <t>late March</t>
  </si>
  <si>
    <t>Mar-20th</t>
  </si>
  <si>
    <t>Mar-25th</t>
  </si>
  <si>
    <t>Store closing, limited points of sale</t>
  </si>
  <si>
    <t>Competition start of Q</t>
  </si>
  <si>
    <t>Digital sales helping to offset</t>
  </si>
  <si>
    <t>Significant impact on B2B, lower collections, higher service suspension requests</t>
  </si>
  <si>
    <t>Stores mainly open</t>
  </si>
  <si>
    <t>Modest overall impact from pandemic</t>
  </si>
  <si>
    <t>Mar-14th</t>
  </si>
  <si>
    <t>Severe impact on recharge access</t>
  </si>
  <si>
    <t>Highest number of Covid-19 cases in footprint</t>
  </si>
  <si>
    <t>Store closings, limited points of sale</t>
  </si>
  <si>
    <t>Pre-pay is 100% through scratch cards (no digital)</t>
  </si>
  <si>
    <t>Spike in cancellation requests from SMEs</t>
  </si>
  <si>
    <t>Fiscal support announced by President</t>
  </si>
  <si>
    <t>Most stores open, but footfall down 90%</t>
  </si>
  <si>
    <t>What is the bigger factor, the extent of the lockdown or the government intervebtion</t>
  </si>
  <si>
    <t>How many markets is the government intervening</t>
  </si>
  <si>
    <t>El Sal deferred payments..revenue still booked?</t>
  </si>
  <si>
    <t>Government preventing disconnections, deferred payments</t>
  </si>
  <si>
    <t>Extent of lockdown the main driver of revenue pressure</t>
  </si>
  <si>
    <t>Will come out of this in May</t>
  </si>
  <si>
    <t>Lockdowns are the key issue</t>
  </si>
  <si>
    <t>Don't disconnect</t>
  </si>
  <si>
    <t>roll out Lifeline</t>
  </si>
  <si>
    <t>lockdown</t>
  </si>
  <si>
    <t>afforability</t>
  </si>
  <si>
    <t>not disconnecting</t>
  </si>
  <si>
    <t>6-7 % revs impact</t>
  </si>
  <si>
    <t>Currency pegs at risk</t>
  </si>
  <si>
    <t>Call</t>
  </si>
  <si>
    <t>Post-paid growth slowed…harder to upgrade from pre-paid</t>
  </si>
  <si>
    <t>April an outlier…Easter also, trends improved a little more after Easter</t>
  </si>
  <si>
    <t xml:space="preserve">Customers </t>
  </si>
  <si>
    <t>All about the lockdown</t>
  </si>
  <si>
    <t>per month</t>
  </si>
  <si>
    <t>given the new environment, scope to avoid completing on the transaction</t>
  </si>
  <si>
    <t>$250m</t>
  </si>
  <si>
    <t>cash returns</t>
  </si>
  <si>
    <t>what sort of impact on growth will this have</t>
  </si>
  <si>
    <t>Where, does this include FTTH?</t>
  </si>
  <si>
    <t>Government accelerating customer support?</t>
  </si>
  <si>
    <t>Lower prices?</t>
  </si>
  <si>
    <t>Not disconnecting, deferring..</t>
  </si>
  <si>
    <t>Digital top ups only 5%</t>
  </si>
  <si>
    <t>Aim for flat OCF (EBITDA less capex)</t>
  </si>
  <si>
    <t>$100m opex</t>
  </si>
  <si>
    <t>lower commercial activity is $50-60m of this</t>
  </si>
  <si>
    <t>Q1 earnings call</t>
  </si>
  <si>
    <t>Noise in numbers…Q1 have loss of wholesale business</t>
  </si>
  <si>
    <t>mobile would be +mid single digits</t>
  </si>
  <si>
    <t>B2B - much more exposed to government contracts</t>
  </si>
  <si>
    <t>Mexico and Brazil not being impacted</t>
  </si>
  <si>
    <t>Stricter lockdowns and early…curfews…except Guat, Nicaragua</t>
  </si>
  <si>
    <t>7% of small businesses in LatAm service revs</t>
  </si>
  <si>
    <t>Existing service revs, y/y (constant fx)</t>
  </si>
  <si>
    <t>Cut to $ service revs</t>
  </si>
  <si>
    <t>as % existing 2020 EBITDA</t>
  </si>
  <si>
    <t>OpEx saving ($100m)</t>
  </si>
  <si>
    <t>Lockdown</t>
  </si>
  <si>
    <t>Start</t>
  </si>
  <si>
    <t>End</t>
  </si>
  <si>
    <t>Comments</t>
  </si>
  <si>
    <t>1 of 2 most impacted markets</t>
  </si>
  <si>
    <t>"Lifeline" to mitigate</t>
  </si>
  <si>
    <t>(nightly curfews,</t>
  </si>
  <si>
    <t>face mask reqs)</t>
  </si>
  <si>
    <t>May 11th</t>
  </si>
  <si>
    <t>May 3rd</t>
  </si>
  <si>
    <t>May 10th</t>
  </si>
  <si>
    <t>May 5th</t>
  </si>
  <si>
    <t>Limited lockdown</t>
  </si>
  <si>
    <t>undefined</t>
  </si>
  <si>
    <t>May 1st</t>
  </si>
  <si>
    <t>Deferral of telecoms (+ other utilities) payments for 3 months, payable over 2 years</t>
  </si>
  <si>
    <t>Collections impacted from disconnect regs (even if customers can afford to pay</t>
  </si>
  <si>
    <t>Cash savings</t>
  </si>
  <si>
    <t>1 month at April run-rate</t>
  </si>
  <si>
    <t>2 months at April run-rate</t>
  </si>
  <si>
    <t>1 quarter at April run-rate</t>
  </si>
  <si>
    <t>Q2 20E</t>
  </si>
  <si>
    <t>Q3 20E</t>
  </si>
  <si>
    <t xml:space="preserve">Q4 20E </t>
  </si>
  <si>
    <t>as % existing 2020 service revenue</t>
  </si>
  <si>
    <t>LatAm business, US$ m</t>
  </si>
  <si>
    <t>Service revs y/y scenario</t>
  </si>
  <si>
    <t>Mid point of capex saving ($2-300m)</t>
  </si>
  <si>
    <t>OpFCF impact (+ = increase)</t>
  </si>
  <si>
    <t>EV, EURm</t>
  </si>
  <si>
    <t>$600m Panama @ 4.5%</t>
  </si>
  <si>
    <t>OpEX</t>
  </si>
  <si>
    <t xml:space="preserve"> add back</t>
  </si>
  <si>
    <t>Comparable</t>
  </si>
  <si>
    <t>LatAm service revs growth</t>
  </si>
  <si>
    <t>Q2 21e</t>
  </si>
  <si>
    <t>Q3 21e</t>
  </si>
  <si>
    <t>Q4 21e</t>
  </si>
  <si>
    <t>Q1 21e</t>
  </si>
  <si>
    <t>EFCF new</t>
  </si>
  <si>
    <t>EFCF old</t>
  </si>
  <si>
    <t>Less: other leases</t>
  </si>
  <si>
    <t>OMX benchmark</t>
  </si>
  <si>
    <t>Kicked out Dec-19</t>
  </si>
  <si>
    <t xml:space="preserve">Didn't get put back in </t>
  </si>
  <si>
    <t>MSCI World Indices</t>
  </si>
  <si>
    <t>MSCI World</t>
  </si>
  <si>
    <t>ACWI</t>
  </si>
  <si>
    <t>World ex-Japan</t>
  </si>
  <si>
    <t>Catch 28 May</t>
  </si>
  <si>
    <t>El Salvador extended lockdown by a week until June 6th</t>
  </si>
  <si>
    <t>Stock price concerns?</t>
  </si>
  <si>
    <t>Poison pill in place?</t>
  </si>
  <si>
    <t>Sensitive issue</t>
  </si>
  <si>
    <t>One of 2 companies in LatAm with 100% float</t>
  </si>
  <si>
    <t>Same thing MEGA has…significant FF</t>
  </si>
  <si>
    <t>fair price provision</t>
  </si>
  <si>
    <t>if &gt;20%...have to do a mandatory</t>
  </si>
  <si>
    <t>tender has to be at a 30% premium to 52 week high</t>
  </si>
  <si>
    <t>Lojas and MEGA</t>
  </si>
  <si>
    <t>33% for mandatory</t>
  </si>
  <si>
    <t>&gt;10% call an EGM</t>
  </si>
  <si>
    <t>Nominate some Directors</t>
  </si>
  <si>
    <t>Downside…?</t>
  </si>
  <si>
    <t>protect a poor management team; why poison pills are not typically popular</t>
  </si>
  <si>
    <t>99,000 shareholders</t>
  </si>
  <si>
    <t>Jun-20 chat</t>
  </si>
  <si>
    <t>a lot who own &lt;100</t>
  </si>
  <si>
    <t xml:space="preserve">Kinnevik </t>
  </si>
  <si>
    <t>Vols up 100% y/y (FF up 60%)</t>
  </si>
  <si>
    <t>A lot of retail</t>
  </si>
  <si>
    <t>Challenges to Lifeline in some countries</t>
  </si>
  <si>
    <t>Allows downgrade</t>
  </si>
  <si>
    <t>Ought to pay</t>
  </si>
  <si>
    <t>Interim govt - rock and a hard place</t>
  </si>
  <si>
    <t>Any day now</t>
  </si>
  <si>
    <t>One week</t>
  </si>
  <si>
    <t>Challenging socially</t>
  </si>
  <si>
    <t>Vast majority cannot disconnect, except Nicaragua</t>
  </si>
  <si>
    <t>Can't publicly say too much</t>
  </si>
  <si>
    <t>President is very popular</t>
  </si>
  <si>
    <t>attracts attention elsewhere</t>
  </si>
  <si>
    <t>approval in the 90s</t>
  </si>
  <si>
    <t>Moving to dictatorship</t>
  </si>
  <si>
    <t>700 MHz…might hand back one of the blocks?</t>
  </si>
  <si>
    <t>Annoyed with auction</t>
  </si>
  <si>
    <t>WOM got away with it</t>
  </si>
  <si>
    <t>Initially wanted 2 blocks, as 1/ short of spectrum but also 2/ as a way of blocking WOM</t>
  </si>
  <si>
    <t>Not sure if this is still being considered</t>
  </si>
  <si>
    <t>Date of payment…bank guarantees</t>
  </si>
  <si>
    <t>Not just spectrum plus commitments to roll out</t>
  </si>
  <si>
    <t>2 components</t>
  </si>
  <si>
    <t>Coverage</t>
  </si>
  <si>
    <t>Starting year 1 through 5</t>
  </si>
  <si>
    <t>Spectrum - cash, 10% down, 5 year moratorium….paid from 2016-27</t>
  </si>
  <si>
    <t>Weighting of in-kind bid</t>
  </si>
  <si>
    <t>Millicom - can't deliver on the WOM commitments (!)</t>
  </si>
  <si>
    <t>First commitment in Jan-21</t>
  </si>
  <si>
    <t>Needs to be building</t>
  </si>
  <si>
    <t>Or maybe just antenna on a truck</t>
  </si>
  <si>
    <t>Secretary of Comms resigned since auction</t>
  </si>
  <si>
    <t>TEF files financials in Colombia</t>
  </si>
  <si>
    <t>Adjust for perpetuals</t>
  </si>
  <si>
    <t>Add pension back</t>
  </si>
  <si>
    <t>4x at the end of 2019</t>
  </si>
  <si>
    <t>By-law…hit negative equity…need to raise again</t>
  </si>
  <si>
    <t>5x at the end of 2020, FX adjusted</t>
  </si>
  <si>
    <t>Nicaragua &amp; Costa Rica</t>
  </si>
  <si>
    <t>Eliminations and Others</t>
  </si>
  <si>
    <t>Q2 call</t>
  </si>
  <si>
    <t>Opportunities to monetise either current or future cable build?</t>
  </si>
  <si>
    <t>Colombia M&amp;A opportunities</t>
  </si>
  <si>
    <t>Are you seeing much from Novator on the ground</t>
  </si>
  <si>
    <t>Update on July</t>
  </si>
  <si>
    <t>12m homes passed</t>
  </si>
  <si>
    <t>$100m</t>
  </si>
  <si>
    <t>opex</t>
  </si>
  <si>
    <t xml:space="preserve">$200-300m </t>
  </si>
  <si>
    <t xml:space="preserve">LatAm OCF </t>
  </si>
  <si>
    <t>flat</t>
  </si>
  <si>
    <t>Q2</t>
  </si>
  <si>
    <t>Capex at $34m…so annualising is $136m - more to come?</t>
  </si>
  <si>
    <t>Q2 chart on opex…struggling to interpret - where on the run rate?</t>
  </si>
  <si>
    <t>How much is temporary, how much permanent</t>
  </si>
  <si>
    <t>And how much permanent taken out of the base so far?</t>
  </si>
  <si>
    <t xml:space="preserve">Lockdown - impact very clear. But what about secondary economic factors. Based on consensus </t>
  </si>
  <si>
    <t>Infra fund interest</t>
  </si>
  <si>
    <t>On track to hit $1.4bn of OpFCF for FY</t>
  </si>
  <si>
    <t>Home residential?</t>
  </si>
  <si>
    <t>better end Q2</t>
  </si>
  <si>
    <t xml:space="preserve">Post-paid </t>
  </si>
  <si>
    <t>stabilised</t>
  </si>
  <si>
    <t>worse before it gets better</t>
  </si>
  <si>
    <t>95,000 net adds lost ex Lifeline… wondering why still declining?</t>
  </si>
  <si>
    <t>and specifically, why are customers turning off in some countries but being added in others</t>
  </si>
  <si>
    <t xml:space="preserve">Focus on leverage </t>
  </si>
  <si>
    <t>Rate of de-leverage?</t>
  </si>
  <si>
    <t>I say that given the very low cash cost of passing home (just $100/house)…59,000 subs is only $6m</t>
  </si>
  <si>
    <t>Prop leverage of 3.24x…update on where you be more comfortable</t>
  </si>
  <si>
    <t>Accelerating net debt reduction</t>
  </si>
  <si>
    <t>1m HPs passed per year</t>
  </si>
  <si>
    <t>Third of customers have BB in region</t>
  </si>
  <si>
    <t>12 to 16m HPs</t>
  </si>
  <si>
    <t>Another way to come at this…</t>
  </si>
  <si>
    <t>Revised outlook on ability to  generate a return on HPs?</t>
  </si>
  <si>
    <t>Digital collections</t>
  </si>
  <si>
    <t>What are the obstacles from getting to 35% take-up to 100%</t>
  </si>
  <si>
    <t>Hopeful Q3 can be better than Q2</t>
  </si>
  <si>
    <t>Main uncertainty is on B2B</t>
  </si>
  <si>
    <t>Bad debt in Q2</t>
  </si>
  <si>
    <t>Taxes etc</t>
  </si>
  <si>
    <t>Slightly up in Q2, more or less in line in H1</t>
  </si>
  <si>
    <t>Higher withholding tax in Paraguay…but lower going forward</t>
  </si>
  <si>
    <t>High $200m to low $300ms</t>
  </si>
  <si>
    <t>Bolivia and El Salvador concentrated</t>
  </si>
  <si>
    <t>IFRS 9 - slight lag…but bad debt likely highest in Q2</t>
  </si>
  <si>
    <t>Cautiously optimistic</t>
  </si>
  <si>
    <t>B2B split</t>
  </si>
  <si>
    <t>SMEs suffered the most</t>
  </si>
  <si>
    <t xml:space="preserve">Government </t>
  </si>
  <si>
    <t>expect to spend more going forward</t>
  </si>
  <si>
    <t>Corporates</t>
  </si>
  <si>
    <t>more resilient</t>
  </si>
  <si>
    <t>looking at business continuity planning</t>
  </si>
  <si>
    <t>$100m cost savings</t>
  </si>
  <si>
    <t>$66m in Q2</t>
  </si>
  <si>
    <t>Lifeline</t>
  </si>
  <si>
    <t xml:space="preserve">Revs impact </t>
  </si>
  <si>
    <t>Future savings beyond this?</t>
  </si>
  <si>
    <t>Become non-paying…but maintain a connection with them</t>
  </si>
  <si>
    <t>60-70% have bounced back</t>
  </si>
  <si>
    <t>Home: 6% to 2%....not all lifeline but quite a bit</t>
  </si>
  <si>
    <t>Mobile: 10% down…some steer</t>
  </si>
  <si>
    <t>Why are some countries seeing strong residential adds, whilst others are seeing losses</t>
  </si>
  <si>
    <t>As you mention, demand for fixed BB stronger than ever. Near-term investment pivot to mobile from cable</t>
  </si>
  <si>
    <t>Active reallocators of capital</t>
  </si>
  <si>
    <t>Expect us to actively review each topic…towers, data centres, infrastructure</t>
  </si>
  <si>
    <t>Governments realising there is a platform to distribute money</t>
  </si>
  <si>
    <t>2x is on the cash basis…vs 3.0x on IAS 17 basis</t>
  </si>
  <si>
    <t>but things have to do now…cable in Colombia..El Sal on the upswing due to spectrum (AWS)</t>
  </si>
  <si>
    <t>Nic and Panama - reap benefits sooner</t>
  </si>
  <si>
    <t>Temporary slow down this year…will still build this year</t>
  </si>
  <si>
    <t>Can focus on filling…</t>
  </si>
  <si>
    <t>See a lot demand for BB</t>
  </si>
  <si>
    <t>Checking bad debt etc</t>
  </si>
  <si>
    <t>Fully committed to resi cable</t>
  </si>
  <si>
    <t>Topping up more, but less often</t>
  </si>
  <si>
    <t>Now charging installation fees</t>
  </si>
  <si>
    <t>A lot was immediate</t>
  </si>
  <si>
    <t>duration will be dynamic…</t>
  </si>
  <si>
    <t>good success rate to bringing back to normal product</t>
  </si>
  <si>
    <t>very proactive with customers</t>
  </si>
  <si>
    <t>Product</t>
  </si>
  <si>
    <t>Lost</t>
  </si>
  <si>
    <t>Mobile post-paid</t>
  </si>
  <si>
    <t>revs Q2</t>
  </si>
  <si>
    <t>As</t>
  </si>
  <si>
    <t>Peak Q2</t>
  </si>
  <si>
    <t>End Q2</t>
  </si>
  <si>
    <t>Est av. Q2</t>
  </si>
  <si>
    <t>ARPU $</t>
  </si>
  <si>
    <t>Vivo</t>
  </si>
  <si>
    <t>TEF (Parent)</t>
  </si>
  <si>
    <t>Televisa</t>
  </si>
  <si>
    <t>HPs</t>
  </si>
  <si>
    <t>HPs added</t>
  </si>
  <si>
    <t xml:space="preserve">IAS17 </t>
  </si>
  <si>
    <t>IAS 17</t>
  </si>
  <si>
    <t>Extra cash out from leases (IFRS 16)</t>
  </si>
  <si>
    <t xml:space="preserve"> Lease capital payments</t>
  </si>
  <si>
    <t>Sell-side breakfast</t>
  </si>
  <si>
    <t>Accounting for licence</t>
  </si>
  <si>
    <t>ARPU - mainly an affordability issue</t>
  </si>
  <si>
    <t>5% upfront</t>
  </si>
  <si>
    <t>USD734m</t>
  </si>
  <si>
    <t>50% in 12 payments from 2026-37</t>
  </si>
  <si>
    <t>45% in coverage requirements</t>
  </si>
  <si>
    <t>NPV of Other</t>
  </si>
  <si>
    <t>How to think about the liability</t>
  </si>
  <si>
    <t>Rating agencies</t>
  </si>
  <si>
    <t>Costs very strong</t>
  </si>
  <si>
    <t>Cost</t>
  </si>
  <si>
    <t>Where now…?</t>
  </si>
  <si>
    <t>q/q</t>
  </si>
  <si>
    <t>HQ costs?</t>
  </si>
  <si>
    <t>700 MHz - deployment…usage today…where should this get to?</t>
  </si>
  <si>
    <t>Desire for BB</t>
  </si>
  <si>
    <t>Lack of support from governments</t>
  </si>
  <si>
    <t>Installation fees</t>
  </si>
  <si>
    <t>Hope for discipline to be maintained</t>
  </si>
  <si>
    <t>$66m…most of this is from lower commercial activity</t>
  </si>
  <si>
    <t>slower sales &amp; marketing - renegotiated towers, land leases, programming agreements, getting waivers, share the pain for a period of time</t>
  </si>
  <si>
    <t>delayed some non essential</t>
  </si>
  <si>
    <t>Billing costs, cost to serve also</t>
  </si>
  <si>
    <t>Cut payroll taxes</t>
  </si>
  <si>
    <t>Synergies - what run rate?</t>
  </si>
  <si>
    <t>Bulk are still to come</t>
  </si>
  <si>
    <t xml:space="preserve">Occur - disparity in fixed and mobile </t>
  </si>
  <si>
    <t>Panama - share of 70% on fixed…mobile share is 30%. Disparity allows selling into fixed base</t>
  </si>
  <si>
    <t>Nicaragua - opposite</t>
  </si>
  <si>
    <t>Elections just got postponed</t>
  </si>
  <si>
    <t>Call period on 25 Comcel bonds - review it, no plans at the moment</t>
  </si>
  <si>
    <t>WOM on Colombia</t>
  </si>
  <si>
    <t>Prefer position to than before the auction</t>
  </si>
  <si>
    <t>Largest holder of 700 MHz spectrum - it's a huge difference</t>
  </si>
  <si>
    <t>Geographic and indoor coverage improving</t>
  </si>
  <si>
    <t>This will sit on top of fixed network</t>
  </si>
  <si>
    <t>Have the tools to really play in this market</t>
  </si>
  <si>
    <t>Not a defender…going in as a challenger</t>
  </si>
  <si>
    <t>Avantel/WOM integration a distraction</t>
  </si>
  <si>
    <t>Increasing stores, commercial activities</t>
  </si>
  <si>
    <t>Pricing difference is already aggressive in Colombia</t>
  </si>
  <si>
    <t>Already unlimited offers in Colombia</t>
  </si>
  <si>
    <t>Very difficult for WOM - don’t see a credible long-term business plan in Colombia</t>
  </si>
  <si>
    <t>Tigo bonds called re 24/25s…refi or settling them?</t>
  </si>
  <si>
    <t>Holding market share in cable</t>
  </si>
  <si>
    <t>Taken a price hit to stop CWC efforts</t>
  </si>
  <si>
    <t>Got rid of DTH subs</t>
  </si>
  <si>
    <t>Not taking price increases as would have normally</t>
  </si>
  <si>
    <t>Still a consolidation potential</t>
  </si>
  <si>
    <t>Don't need debt….have a lot of liquidity</t>
  </si>
  <si>
    <t>Guatemala is so cash generative…reduced the debt slightly this quarter</t>
  </si>
  <si>
    <t>Lockdown impact is meaningful. Stores, bars, retail</t>
  </si>
  <si>
    <t>Lifeline used to keep connected</t>
  </si>
  <si>
    <t>10% of this segment on Lifeline</t>
  </si>
  <si>
    <t>Corporate more resilent</t>
  </si>
  <si>
    <t>USD174m in spectrum in H1</t>
  </si>
  <si>
    <t>Guatemala 4G plus some 5G available when needed</t>
  </si>
  <si>
    <t>Own spectrum…can have private transactions…some last year, some this year</t>
  </si>
  <si>
    <t>Not saying how much MHz</t>
  </si>
  <si>
    <t>Lots of regulatory issues to be resolved still, as regards how WOM entered the market</t>
  </si>
  <si>
    <t>Government subsidies?</t>
  </si>
  <si>
    <t>Zero to Millicom</t>
  </si>
  <si>
    <t>14% of post pay in Bogota</t>
  </si>
  <si>
    <t>40% in Bogota</t>
  </si>
  <si>
    <t>Spread it too thin in Colombia</t>
  </si>
  <si>
    <t>Nacho Roman turned things around</t>
  </si>
  <si>
    <t>No portability</t>
  </si>
  <si>
    <t>Led in Bogota…in the whole country</t>
  </si>
  <si>
    <t>Millicom put Avantel out of business</t>
  </si>
  <si>
    <t>Aug-18 Duque in</t>
  </si>
  <si>
    <t>Allowed wireless concessin to be 20 years, not 10</t>
  </si>
  <si>
    <t>Make Regualtor more independent</t>
  </si>
  <si>
    <t>July-19 - Telecoms Law that had been held up</t>
  </si>
  <si>
    <t>Allowed 700 MHz auction to go forward</t>
  </si>
  <si>
    <t>Mobile dominance</t>
  </si>
  <si>
    <t>Late-16..held up until Jul 2019. Old reg needed to decide whether AMX was dominant or not</t>
  </si>
  <si>
    <t>Ruled not dominant…last decision taken by new regulator</t>
  </si>
  <si>
    <t>Ramos</t>
  </si>
  <si>
    <t>Swing vote to make it happen</t>
  </si>
  <si>
    <t>TEF against, AMX for. Ramos said you need Avantel out of business, then Ramos in</t>
  </si>
  <si>
    <t>Nov 5th</t>
  </si>
  <si>
    <t>Still didn't want register on Nov 5th</t>
  </si>
  <si>
    <t>Held up auction</t>
  </si>
  <si>
    <t>12 June, had to pay for spectrum</t>
  </si>
  <si>
    <t>Vitel</t>
  </si>
  <si>
    <t>2.6 MHz outside of Lima</t>
  </si>
  <si>
    <t>Chile and Colombia</t>
  </si>
  <si>
    <t>Bundled wholesale deal</t>
  </si>
  <si>
    <t>Bannister is a master of these things</t>
  </si>
  <si>
    <t>700 MHz helps to be able to put up capital</t>
  </si>
  <si>
    <t>execute</t>
  </si>
  <si>
    <t>media</t>
  </si>
  <si>
    <t>get the most out of their people</t>
  </si>
  <si>
    <t>Nextel team running in 2017</t>
  </si>
  <si>
    <t>New management coming in</t>
  </si>
  <si>
    <t>Liberty</t>
  </si>
  <si>
    <t>Play Poland</t>
  </si>
  <si>
    <t>Is cable the right story in EM</t>
  </si>
  <si>
    <t>LatAm OpEx</t>
  </si>
  <si>
    <t>10% upfront paid</t>
  </si>
  <si>
    <t>Colombia spectrum</t>
  </si>
  <si>
    <t>USD399m</t>
  </si>
  <si>
    <t>USD75m</t>
  </si>
  <si>
    <t>WOM</t>
  </si>
  <si>
    <t>Won on outbidding on coverage, rather than cash</t>
  </si>
  <si>
    <t>Not taking into account existing infrastructure</t>
  </si>
  <si>
    <t>simply a book keeping number for the government</t>
  </si>
  <si>
    <t>COP2.45bn</t>
  </si>
  <si>
    <t>part in Q1</t>
  </si>
  <si>
    <t>part in Q2</t>
  </si>
  <si>
    <t>coverage</t>
  </si>
  <si>
    <t>upfront cash</t>
  </si>
  <si>
    <t>Accruing through the P&amp;L for spectrum</t>
  </si>
  <si>
    <t>Cash component over 17 years, adj over time for interest rate (7%)</t>
  </si>
  <si>
    <t>USD30m per year</t>
  </si>
  <si>
    <t>retroactive to auction date in Q2</t>
  </si>
  <si>
    <t>Imputed interest component on future cash payments</t>
  </si>
  <si>
    <t>rating agencies</t>
  </si>
  <si>
    <t>El Sal/Nicaragua</t>
  </si>
  <si>
    <t>IFRS 16 calculated</t>
  </si>
  <si>
    <t>EBITDA allocated to mins</t>
  </si>
  <si>
    <t>Prop net debt (inc leases)</t>
  </si>
  <si>
    <t>Debt allocated to mins (inc leases)</t>
  </si>
  <si>
    <t>Ownership still dominant</t>
  </si>
  <si>
    <t>Swedbank</t>
  </si>
  <si>
    <t>One third of volumes in the US</t>
  </si>
  <si>
    <t>Remittance data</t>
  </si>
  <si>
    <t>Service revenue in Q4 19 FX</t>
  </si>
  <si>
    <t>Comcel (AMX)</t>
  </si>
  <si>
    <t>EMCALI</t>
  </si>
  <si>
    <t>Colombia Telecomunicaciones (TEF)</t>
  </si>
  <si>
    <t>1900 MHz</t>
  </si>
  <si>
    <t>2500 MHz</t>
  </si>
  <si>
    <t>3500 MHz</t>
  </si>
  <si>
    <t>No</t>
  </si>
  <si>
    <t>Regional</t>
  </si>
  <si>
    <t>y/y growth (constant FX)</t>
  </si>
  <si>
    <t>Q3 20 earnings call</t>
  </si>
  <si>
    <t>Balance sheet / cash returns</t>
  </si>
  <si>
    <t>Tigo Money..?</t>
  </si>
  <si>
    <t>Guatemala paying off debt, lower dividends. underlevered...? Tax efficiency??</t>
  </si>
  <si>
    <t>B2B will take some time recover</t>
  </si>
  <si>
    <t>17% of total</t>
  </si>
  <si>
    <t>Thoughts on asset sales..to help with debt</t>
  </si>
  <si>
    <t>Lifeline products</t>
  </si>
  <si>
    <t>Bolivia EBITDA</t>
  </si>
  <si>
    <t>seeing it stabilise</t>
  </si>
  <si>
    <t>very good tool. Merit going forward</t>
  </si>
  <si>
    <t>helps manage retentiona and churn</t>
  </si>
  <si>
    <t>don’t count Lifeline in subs count</t>
  </si>
  <si>
    <t>don't book any revenue either</t>
  </si>
  <si>
    <t>dormant pool…using to bring subs…brought back a ton of customers during Q3, but also added new subs</t>
  </si>
  <si>
    <t>Investing OpFCF for $1.4bn</t>
  </si>
  <si>
    <t>Manage capex to hit this…i.e. won't come in above this</t>
  </si>
  <si>
    <t>Covid</t>
  </si>
  <si>
    <t>60-80% mobility</t>
  </si>
  <si>
    <t>Not seeing a 2nd wave yet</t>
  </si>
  <si>
    <t>wouldn't expect such a strong lockdown as in the past</t>
  </si>
  <si>
    <t>every month better, but very gradual</t>
  </si>
  <si>
    <t>2021 more positive than 2020</t>
  </si>
  <si>
    <t>cable being managed more cautiously</t>
  </si>
  <si>
    <t>not clear when B2B will come back</t>
  </si>
  <si>
    <t>Needed to protect cash flow…same as 2019</t>
  </si>
  <si>
    <t>Done better on cost than expected</t>
  </si>
  <si>
    <t>Continued to pause NPV positive projects</t>
  </si>
  <si>
    <t xml:space="preserve">Target of 40% debt locally </t>
  </si>
  <si>
    <t>How to get there?</t>
  </si>
  <si>
    <t>Average speeds on cable</t>
  </si>
  <si>
    <t>Use sporadically</t>
  </si>
  <si>
    <t>Very low charge in Q3</t>
  </si>
  <si>
    <t>LatAm Opex</t>
  </si>
  <si>
    <t>Sell-side breakfast, 2/11</t>
  </si>
  <si>
    <t>Talk about the balance of demand vs affordability in cable</t>
  </si>
  <si>
    <t>WOM in Colombia</t>
  </si>
  <si>
    <t>Avantel has big on-net offers</t>
  </si>
  <si>
    <t>Poland and Chile, with similar shares</t>
  </si>
  <si>
    <t>Gains have come from Chile</t>
  </si>
  <si>
    <t>What are you seeing on the ground at Colombia?</t>
  </si>
  <si>
    <t>More spectrum coming in 2021 in Colombia</t>
  </si>
  <si>
    <t>Can't bundle fixed and mobile in Chile</t>
  </si>
  <si>
    <t>Competition dynamic changing in Colombia</t>
  </si>
  <si>
    <t>&gt;80/90% of sales force back on the street</t>
  </si>
  <si>
    <t>Less likely to lock down?</t>
  </si>
  <si>
    <t>Entel continues to be aggressive</t>
  </si>
  <si>
    <t xml:space="preserve">B2B </t>
  </si>
  <si>
    <t>Any signs of recovery</t>
  </si>
  <si>
    <t>Paraguay competition dialled down</t>
  </si>
  <si>
    <t>Quite good, lot of noise in the number</t>
  </si>
  <si>
    <t>Classed as essential product</t>
  </si>
  <si>
    <t>*</t>
  </si>
  <si>
    <t>Spectrum pressures coming?</t>
  </si>
  <si>
    <t>In all markets, from front end payment</t>
  </si>
  <si>
    <t>Governments won’t go back to ones of the past</t>
  </si>
  <si>
    <t>2nd wave pressures</t>
  </si>
  <si>
    <t>Pre-paid customers have worked out how to maintain connectivity</t>
  </si>
  <si>
    <t>Post-paid to pre-paid</t>
  </si>
  <si>
    <t xml:space="preserve">probably nearer 350 homes passed for FY </t>
  </si>
  <si>
    <t>defintitive win for the left, Morales. Before go gangbusters, see the lay of the land</t>
  </si>
  <si>
    <t>Colombia, Guatemala…</t>
  </si>
  <si>
    <t>There is now an ability to sell</t>
  </si>
  <si>
    <t>No big changes on behaviour…Paraguay...20 Mbps, Colombia is 10-20 Mbps</t>
  </si>
  <si>
    <t>New subs coming in at the lower end</t>
  </si>
  <si>
    <t>Price rises planned for this year…economies can’t support</t>
  </si>
  <si>
    <t>usually Q1</t>
  </si>
  <si>
    <t>Tax paid out of revenue, so no tax efficiency issues</t>
  </si>
  <si>
    <t>Partner didn't want to</t>
  </si>
  <si>
    <t>Would rather have debt at Guatemala</t>
  </si>
  <si>
    <t>Very strong consumer business, particularly on wireless</t>
  </si>
  <si>
    <t>Home - good KPI traction</t>
  </si>
  <si>
    <t>LiLAC aggressive and effective as competitor</t>
  </si>
  <si>
    <t>ARPUs down a little</t>
  </si>
  <si>
    <t>Synergies have started to come through</t>
  </si>
  <si>
    <t>B2B has been the real issue</t>
  </si>
  <si>
    <t>Only business down sequentially Q3 vs Q2</t>
  </si>
  <si>
    <t>Just won buy back mandate, 51/52%</t>
  </si>
  <si>
    <t>Not going to do anything before a proper mandate for shareholders</t>
  </si>
  <si>
    <t>Bad debt</t>
  </si>
  <si>
    <t>$10m per month on bad debt…across the group</t>
  </si>
  <si>
    <t>Very sligthly above for Q2</t>
  </si>
  <si>
    <t>&gt;x2 the level for Q2, El Sal and Bolivia and couldn’t get Lifeline</t>
  </si>
  <si>
    <t>these help keep in touch, with customers who haven't paid the bill</t>
  </si>
  <si>
    <t>don’t recognise revenue, hence no bad debt</t>
  </si>
  <si>
    <t>therefore, after 3rd bill not paid, bad debt charge</t>
  </si>
  <si>
    <t>Q3, two thirds of normal run rate</t>
  </si>
  <si>
    <t>Q4 - should be back to normal</t>
  </si>
  <si>
    <t>inc Guatemala and Honduras</t>
  </si>
  <si>
    <t>Spectrum auctions</t>
  </si>
  <si>
    <t>AWS spectrum available for free, using it for several months as an industry</t>
  </si>
  <si>
    <t>need to pay for this</t>
  </si>
  <si>
    <t>AWS, talked about for 5 years</t>
  </si>
  <si>
    <t>AMX acquired TEF, TEF had been blocking this previously, but not high on the agenda</t>
  </si>
  <si>
    <t>Both keen to get additional spectrum</t>
  </si>
  <si>
    <t xml:space="preserve">Recognised deferred </t>
  </si>
  <si>
    <t>USD250-300m range normally</t>
  </si>
  <si>
    <t>USD225m or so this year</t>
  </si>
  <si>
    <t>Mid USD200m's for 2021</t>
  </si>
  <si>
    <t>one third is usually withholding</t>
  </si>
  <si>
    <t>less upstream this year from Guatemala, which lowers tax</t>
  </si>
  <si>
    <t>Huawei and Ericsson…don’t see risk of taking Huawei kit out</t>
  </si>
  <si>
    <t>Huawei is a 5G issue</t>
  </si>
  <si>
    <t>Not a near-term issue at all</t>
  </si>
  <si>
    <t>Core migrating to third party</t>
  </si>
  <si>
    <t>Decommission one third?</t>
  </si>
  <si>
    <t>Low band spectrum helps coverage</t>
  </si>
  <si>
    <t>No, perhaps some</t>
  </si>
  <si>
    <t>Total came down from 250k by about a third</t>
  </si>
  <si>
    <t>These may stay for a while</t>
  </si>
  <si>
    <t>MS Presentation</t>
  </si>
  <si>
    <t>Goal to sustain cash flow</t>
  </si>
  <si>
    <t>$1bn</t>
  </si>
  <si>
    <t>Pre-paid has recovered fully, subs back to existing level</t>
  </si>
  <si>
    <t>Continued  improvement</t>
  </si>
  <si>
    <t>pre-pay</t>
  </si>
  <si>
    <t>beginnings of improvement post-paid</t>
  </si>
  <si>
    <t>B2B a question mark</t>
  </si>
  <si>
    <t>Q4 shaping up strong</t>
  </si>
  <si>
    <t>Not getting carried away, continued sequential</t>
  </si>
  <si>
    <t>Mindful still in the middle of a pandemic, vaccine or no vaccine</t>
  </si>
  <si>
    <t>2021 will still be tough</t>
  </si>
  <si>
    <t>Will take longer to recover than a couple of quarters</t>
  </si>
  <si>
    <t>cautious, take the longest to recuperate</t>
  </si>
  <si>
    <t>Panama, less degree Colombia. Restaurants, shops taken it on the chin during the pandemic</t>
  </si>
  <si>
    <t>permanent, or temporary closures</t>
  </si>
  <si>
    <t>liquidity crises in the shops</t>
  </si>
  <si>
    <t>2. government contracts delayed</t>
  </si>
  <si>
    <t>lost 400k post-paid subs</t>
  </si>
  <si>
    <t>had been adding 350k / year</t>
  </si>
  <si>
    <t>post-paid migrated to pre-paid, won't recover overnight</t>
  </si>
  <si>
    <t>well into late 2021</t>
  </si>
  <si>
    <t>1. 15-20% of business. one third is SME</t>
  </si>
  <si>
    <t>Have held ARPU stable</t>
  </si>
  <si>
    <t>Weren't billing subs for a while….blip of 1.5 subs</t>
  </si>
  <si>
    <t>More subs than before, same ARPU, so revs should expand</t>
  </si>
  <si>
    <t>Cable resilience</t>
  </si>
  <si>
    <t>Coming from upgrades?</t>
  </si>
  <si>
    <t>Not a year when we saw upgrades</t>
  </si>
  <si>
    <t>had actually taken down subs to lowest packages</t>
  </si>
  <si>
    <t>bringing some back</t>
  </si>
  <si>
    <t>No price increases</t>
  </si>
  <si>
    <t>Political error to put up prices in 2021</t>
  </si>
  <si>
    <t>More broadly in flux</t>
  </si>
  <si>
    <t>WOM entering, has replaced an existing player</t>
  </si>
  <si>
    <t>TIGO - 2nd largest fibre market, Claro biggest</t>
  </si>
  <si>
    <t>Unlimited offers….those who can offload better placed</t>
  </si>
  <si>
    <t>1. F-M convergence</t>
  </si>
  <si>
    <t>2. TIGO 700 MHz build out</t>
  </si>
  <si>
    <t>Indoor coverage much much better</t>
  </si>
  <si>
    <t>15-20% mobile market share in Colombia</t>
  </si>
  <si>
    <t>So, TIGO is an attacker of share</t>
  </si>
  <si>
    <t>There is going to be price pressure, so stand to benefit from volumes</t>
  </si>
  <si>
    <t>Distribution comparables</t>
  </si>
  <si>
    <t>Huge differences</t>
  </si>
  <si>
    <t>New government</t>
  </si>
  <si>
    <t>Passed more than 1m homes</t>
  </si>
  <si>
    <t>2 years ago, ton of political instability</t>
  </si>
  <si>
    <t>social, elections, covid</t>
  </si>
  <si>
    <t>Vs one month ago. Covid not a growing concern</t>
  </si>
  <si>
    <t>new government came in</t>
  </si>
  <si>
    <t>President Arsen got a strong mandate, won clearly, calmed down political and social tensions</t>
  </si>
  <si>
    <t>seems to get economics</t>
  </si>
  <si>
    <t>economics minister under Evo</t>
  </si>
  <si>
    <t>Evo Morales back in Bolivia</t>
  </si>
  <si>
    <t>may or may not choose to stay on sidelines and stability</t>
  </si>
  <si>
    <t>Started to be used as a political tool</t>
  </si>
  <si>
    <t>lower prices, populist measures, Evo in the adverts</t>
  </si>
  <si>
    <t>Don't know how it will be run going forward</t>
  </si>
  <si>
    <t>new ministers not aimed yet</t>
  </si>
  <si>
    <t>Have seen the relevance of TIGO Money in pandemic. Has been an update. Growth was happening way before this</t>
  </si>
  <si>
    <t>Refocus happened almost 12-18 months ago</t>
  </si>
  <si>
    <t>can be used to distribute funds in pandemic etc</t>
  </si>
  <si>
    <t>5m very active users</t>
  </si>
  <si>
    <t>monthly users</t>
  </si>
  <si>
    <t>$2.5bn of transactions, weighted to Panama and Honduras</t>
  </si>
  <si>
    <t>Effectively P2P remittance business today</t>
  </si>
  <si>
    <t>Using existing distribution network</t>
  </si>
  <si>
    <t>Close to 1m POS</t>
  </si>
  <si>
    <t>Can use to cash in and cash out</t>
  </si>
  <si>
    <t>Lever 30m users</t>
  </si>
  <si>
    <t>Very low margin, high volume remittance or P2P about this</t>
  </si>
  <si>
    <t>To grow…will build a real business</t>
  </si>
  <si>
    <t>Increase cash in</t>
  </si>
  <si>
    <t>And number of uses, to keep in system</t>
  </si>
  <si>
    <t>Speak to credit cards companies etc</t>
  </si>
  <si>
    <t>Get into higher margin Fintech going forward</t>
  </si>
  <si>
    <t>More liability management in the future?</t>
  </si>
  <si>
    <t>Continue to remain active</t>
  </si>
  <si>
    <t>push out maturities when they can</t>
  </si>
  <si>
    <t>Focus on delevering</t>
  </si>
  <si>
    <t>Don’t want to make the mistake of thinking the storm is over</t>
  </si>
  <si>
    <t xml:space="preserve">Pandemic is nowhere near over </t>
  </si>
  <si>
    <t>Long time before vaccine hits markets</t>
  </si>
  <si>
    <t>Best return vs cash returns, dividends</t>
  </si>
  <si>
    <t>Storms</t>
  </si>
  <si>
    <t>Nicaragua and Honduras</t>
  </si>
  <si>
    <t>Not many large towns on the Atlantic coast</t>
  </si>
  <si>
    <t>Only ~10-15% of network was down in Honduras - power outages rather than physical damage</t>
  </si>
  <si>
    <t>in the less densely populated areas</t>
  </si>
  <si>
    <t>Q4 - will quantify this, but will not be material</t>
  </si>
  <si>
    <t>Have insurance</t>
  </si>
  <si>
    <t>Mobility improving in Q4 vs Q3</t>
  </si>
  <si>
    <t>Some second waves</t>
  </si>
  <si>
    <t>Panama - consistently bad</t>
  </si>
  <si>
    <t>Q4 2020</t>
  </si>
  <si>
    <t>Until 14 Jan but likely to be extended</t>
  </si>
  <si>
    <t>slowly opening up</t>
  </si>
  <si>
    <t>Pre-pay generally better therefore</t>
  </si>
  <si>
    <t>full lock down for a few days in Q4</t>
  </si>
  <si>
    <t>B2B still tough…related to economic troubles</t>
  </si>
  <si>
    <t>Winning subs from post-paid</t>
  </si>
  <si>
    <t>Home business</t>
  </si>
  <si>
    <t>Fine</t>
  </si>
  <si>
    <t>mobility improved, easier comp in Q4 19</t>
  </si>
  <si>
    <t>higher Entel competition</t>
  </si>
  <si>
    <t>most are improving sequential improvement</t>
  </si>
  <si>
    <t>service</t>
  </si>
  <si>
    <t>have spent more on capex in Home….come back in Q4</t>
  </si>
  <si>
    <t>Q4 government contract</t>
  </si>
  <si>
    <t>y/y headwind of f/x</t>
  </si>
  <si>
    <t>Most markets have agreements on vaccines</t>
  </si>
  <si>
    <t>70% of POPS by end-21</t>
  </si>
  <si>
    <t>Q3 everything going well</t>
  </si>
  <si>
    <t>700 MHz having a positive impact</t>
  </si>
  <si>
    <t>WOM did a PR launch in November…some regulatory hurdles</t>
  </si>
  <si>
    <t>Avantel still exists</t>
  </si>
  <si>
    <t>2.5% service revs</t>
  </si>
  <si>
    <t>continued to open up, agreements to buy vaccine</t>
  </si>
  <si>
    <t>wireless drove Q3, margin up, last place which saw lifeline up. Bad debt cleared up</t>
  </si>
  <si>
    <t>ytd up 3%, remittances up 15% oct/nov</t>
  </si>
  <si>
    <t>unwind some of the bad debt</t>
  </si>
  <si>
    <t>done very well</t>
  </si>
  <si>
    <t>curfew cancelled Oct 1st</t>
  </si>
  <si>
    <t>Q4 2019 was v strong, tough comp</t>
  </si>
  <si>
    <t>seasonally Q4 takes a hit</t>
  </si>
  <si>
    <t>Home well, mobile well</t>
  </si>
  <si>
    <t>Remittances up 5% YTD, Oct up 13%</t>
  </si>
  <si>
    <t>we're a little high. Q4 19 was a very strong Q</t>
  </si>
  <si>
    <t>same at EBITDA</t>
  </si>
  <si>
    <t>down</t>
  </si>
  <si>
    <t>up</t>
  </si>
  <si>
    <t>With Panama, heavily impacted on mobile</t>
  </si>
  <si>
    <t>Dec 1st lockdown extension</t>
  </si>
  <si>
    <t>Hurricanes,nothing too severe</t>
  </si>
  <si>
    <t>Small impact</t>
  </si>
  <si>
    <t>Remittances up 1% YTD, up in Oct</t>
  </si>
  <si>
    <t>First clean comparison y.y</t>
  </si>
  <si>
    <t>Heavily impacted…GDP down 40% in Q2 y/y</t>
  </si>
  <si>
    <t>Strong mobile KPIs</t>
  </si>
  <si>
    <t>SMB really struggling - real challenge</t>
  </si>
  <si>
    <t>Slowly reopening</t>
  </si>
  <si>
    <t>Opened border with Brazil, helped</t>
  </si>
  <si>
    <t>FX an issue, down 8% y/y</t>
  </si>
  <si>
    <t>Q3 was better than Q2</t>
  </si>
  <si>
    <t>Nic &amp; CR</t>
  </si>
  <si>
    <t>Biz as usual</t>
  </si>
  <si>
    <t>CR colon has lost about 5.5% y/y</t>
  </si>
  <si>
    <t>LatAM</t>
  </si>
  <si>
    <t>cons</t>
  </si>
  <si>
    <t>nsr</t>
  </si>
  <si>
    <t>Sold Helios Towers</t>
  </si>
  <si>
    <t>USD100m</t>
  </si>
  <si>
    <t>5% sold</t>
  </si>
  <si>
    <t>Telefonica case</t>
  </si>
  <si>
    <t>TEF sued in NY courts</t>
  </si>
  <si>
    <t>Sued for full dismissal…denied, still need to go to trial</t>
  </si>
  <si>
    <t>likely in H2 or Q4 2021</t>
  </si>
  <si>
    <t>Cautious on 2021</t>
  </si>
  <si>
    <t>Any changes coming this year</t>
  </si>
  <si>
    <t>debate here</t>
  </si>
  <si>
    <t>record mobile adds</t>
  </si>
  <si>
    <t>invested significantly…</t>
  </si>
  <si>
    <t>Taxes the same as in 2020</t>
  </si>
  <si>
    <t>2 things going on. Follows the promise 2.5 years ago to focus and fix</t>
  </si>
  <si>
    <t>Complete change in management</t>
  </si>
  <si>
    <t>Huge effort into collections</t>
  </si>
  <si>
    <t>Large charge in Q2</t>
  </si>
  <si>
    <t>Q3 and Q4 were much lower than normal</t>
  </si>
  <si>
    <t>USD 20million lower than would expect</t>
  </si>
  <si>
    <t>Overall, USD 20 million higher overall</t>
  </si>
  <si>
    <t>Back to normal going forward</t>
  </si>
  <si>
    <t>Collection rates back to normal</t>
  </si>
  <si>
    <t>Q4 were flattered only slightly</t>
  </si>
  <si>
    <t>OpFCF for guidance</t>
  </si>
  <si>
    <t>2021 NSRe</t>
  </si>
  <si>
    <t>2021 guidance floor</t>
  </si>
  <si>
    <t>Mobile adds</t>
  </si>
  <si>
    <t>2020A</t>
  </si>
  <si>
    <t>Millicom guide, OpFCF</t>
  </si>
  <si>
    <t>NEW, USD million</t>
  </si>
  <si>
    <t>2022 NSRe</t>
  </si>
  <si>
    <t>Underlying</t>
  </si>
  <si>
    <t>Additional interest payments (IFRS 16)</t>
  </si>
  <si>
    <t>Additional lease capital payments (IFRS 16)</t>
  </si>
  <si>
    <t>interest</t>
  </si>
  <si>
    <t>lease capital</t>
  </si>
  <si>
    <t>Underlying (cash)</t>
  </si>
  <si>
    <t>Leases</t>
  </si>
  <si>
    <t>Q1 21</t>
  </si>
  <si>
    <t>Q2 21</t>
  </si>
  <si>
    <t>Q3 21</t>
  </si>
  <si>
    <t>Q4 21</t>
  </si>
  <si>
    <t>OCF</t>
  </si>
  <si>
    <t>Added</t>
  </si>
  <si>
    <t>000's</t>
  </si>
  <si>
    <t>fastest</t>
  </si>
  <si>
    <t>Growth e/where</t>
  </si>
  <si>
    <t>$1.4 billion</t>
  </si>
  <si>
    <t>Won't hit mid-term guidance</t>
  </si>
  <si>
    <t>What has changed</t>
  </si>
  <si>
    <t>Pre-paid has come back very quickly with mobility allowed</t>
  </si>
  <si>
    <t>adapted even with curfews</t>
  </si>
  <si>
    <t>top up more, for example</t>
  </si>
  <si>
    <t>B2B is coming back</t>
  </si>
  <si>
    <t>Strong and healthy run way to grow</t>
  </si>
  <si>
    <t>Will invest more</t>
  </si>
  <si>
    <t>Flex due to uncertainty</t>
  </si>
  <si>
    <t>Talking up broadband penetration..</t>
  </si>
  <si>
    <t xml:space="preserve">WOM - </t>
  </si>
  <si>
    <t>Launched early April, 6 months later</t>
  </si>
  <si>
    <t>Product offer as expected</t>
  </si>
  <si>
    <t>Similar to Chile</t>
  </si>
  <si>
    <t>3x more data for same price</t>
  </si>
  <si>
    <t>Market matched immediately</t>
  </si>
  <si>
    <t>Pressure on ARPU</t>
  </si>
  <si>
    <t>Millicom as challenger in Colombia, with low pay loads. Can play high allowance game</t>
  </si>
  <si>
    <t>Positioned to play the volume game</t>
  </si>
  <si>
    <t>Little impact on adds</t>
  </si>
  <si>
    <t>April - growing post-paid and pre-paid</t>
  </si>
  <si>
    <t>1-200k</t>
  </si>
  <si>
    <t>remained very strong</t>
  </si>
  <si>
    <t>copper attrition is now low</t>
  </si>
  <si>
    <t>B2B is picking up</t>
  </si>
  <si>
    <t>Limited mobile in Bogota previously</t>
  </si>
  <si>
    <t>Fibre has been opened up</t>
  </si>
  <si>
    <t>only had high frequency previously</t>
  </si>
  <si>
    <t xml:space="preserve">Paraguay </t>
  </si>
  <si>
    <t>Managed well</t>
  </si>
  <si>
    <t>Remained resilient, a little pressure recently</t>
  </si>
  <si>
    <t>Price gap closed to defend share</t>
  </si>
  <si>
    <t>Stabilised in terms of volume</t>
  </si>
  <si>
    <t>Competition more rational</t>
  </si>
  <si>
    <t>Politics and competition</t>
  </si>
  <si>
    <t>New management at Entel…seems to be more rational</t>
  </si>
  <si>
    <t>Issues</t>
  </si>
  <si>
    <t>Where will capex get to…must be up to $1.2 billion?</t>
  </si>
  <si>
    <t>Thoughts on change in outlook, Feb 11th</t>
  </si>
  <si>
    <t>March 5.5% y/y - how much is due to pandemic overlap…?</t>
  </si>
  <si>
    <t>Fintech</t>
  </si>
  <si>
    <t>Take time to build it properly</t>
  </si>
  <si>
    <t>Won't disclose quarterly just yet</t>
  </si>
  <si>
    <t>New management, developing local capabilities</t>
  </si>
  <si>
    <t>5m users, growing, ARPU growing</t>
  </si>
  <si>
    <t>Low margin, high margin P2P business today</t>
  </si>
  <si>
    <t>Expect remittances to be strong</t>
  </si>
  <si>
    <t>high single digit growth typically</t>
  </si>
  <si>
    <t>$50m of revs from Fintech</t>
  </si>
  <si>
    <t>US stimulus. Money into CA through remittances</t>
  </si>
  <si>
    <t>Learning to live with Covid, though not much better</t>
  </si>
  <si>
    <t>B2B more optimistic</t>
  </si>
  <si>
    <t>Account back to pre-Covid</t>
  </si>
  <si>
    <t>Supporting macro… no sting in the tail</t>
  </si>
  <si>
    <t>Market side</t>
  </si>
  <si>
    <t>Made some good investment decisions, Pan, Nic, El Sal, Col</t>
  </si>
  <si>
    <t>Price rises in several markets</t>
  </si>
  <si>
    <t>strong players stronger</t>
  </si>
  <si>
    <t>Sequential improvements</t>
  </si>
  <si>
    <t>Looked at April sequentially and vs 2019</t>
  </si>
  <si>
    <t>Q1 is usually seasonally weaker</t>
  </si>
  <si>
    <t>Not really seen WOM yet</t>
  </si>
  <si>
    <t>Takes a while to make inroads into</t>
  </si>
  <si>
    <t>Colombia mobile not such a big driver</t>
  </si>
  <si>
    <t>Leopoldo Gutierrez, ex CFO of Colombia</t>
  </si>
  <si>
    <t>Difference is, e/one followined, unlike in Chile</t>
  </si>
  <si>
    <t>Built 3000 sites, plan is 5000 sites</t>
  </si>
  <si>
    <t>POS capillarity is also better</t>
  </si>
  <si>
    <t>Selling in Q1 x2 the level of Q1 last year</t>
  </si>
  <si>
    <t>Buy-back at some point in the year</t>
  </si>
  <si>
    <t>No change in dividend view</t>
  </si>
  <si>
    <t>Buy-back more flexible</t>
  </si>
  <si>
    <t>Want to prioritise extra capex</t>
  </si>
  <si>
    <t>Put some distance in certain markets</t>
  </si>
  <si>
    <t>More homes in</t>
  </si>
  <si>
    <t>This year leverage will come more through EBITDA going up, rather than net debt down</t>
  </si>
  <si>
    <t>Will resume buy-back, how much/when</t>
  </si>
  <si>
    <t>Some time from H2, Summer/Q3s</t>
  </si>
  <si>
    <t>Leverage comfort zone</t>
  </si>
  <si>
    <t>2.0x is the target</t>
  </si>
  <si>
    <t>One year ago, news about an MVNO. Nothing now</t>
  </si>
  <si>
    <t>MVNOs in Colombia struggling…MVNO revenues are declining</t>
  </si>
  <si>
    <t>Not clear how serious</t>
  </si>
  <si>
    <t>Mayor in Medellin wants to sell the stake in EPM (50%)</t>
  </si>
  <si>
    <t>No process has been formally started…needs to go  Medellin council</t>
  </si>
  <si>
    <t>ETB has copper</t>
  </si>
  <si>
    <t>~1 million from copper to fibre</t>
  </si>
  <si>
    <t>Joined with Ufinet, commercialising it</t>
  </si>
  <si>
    <t>Could access HPs not covered by Tigo</t>
  </si>
  <si>
    <t>4 different countries in one</t>
  </si>
  <si>
    <t>Bogota is ~35/40% of GDP. Market share at Tigo is very low, and no low frequency to penetrate high rises. City is highly populated</t>
  </si>
  <si>
    <t>Mobile ARPU Colombia</t>
  </si>
  <si>
    <t>No impact in Q1</t>
  </si>
  <si>
    <t>Over rest of year, will see high volume growth</t>
  </si>
  <si>
    <t>There will be some ARPU impact</t>
  </si>
  <si>
    <t>Some spin down therefore</t>
  </si>
  <si>
    <t>Redeemed some notes</t>
  </si>
  <si>
    <t>Tanzania approvals</t>
  </si>
  <si>
    <t>Price tends to lead to a high tax demand</t>
  </si>
  <si>
    <t>Fairly normal price</t>
  </si>
  <si>
    <t>Op Co</t>
  </si>
  <si>
    <t>Infra</t>
  </si>
  <si>
    <t>Multiple (RHS)</t>
  </si>
  <si>
    <t>ETB/Ufinet</t>
  </si>
  <si>
    <t>Tigo should be the natural partner</t>
  </si>
  <si>
    <t>TEF/KKR</t>
  </si>
  <si>
    <t>Second option, Tigo likely to be a key client</t>
  </si>
  <si>
    <t>Access to Bogota is key</t>
  </si>
  <si>
    <t>Colombia open fibre</t>
  </si>
  <si>
    <t>Mobile in Colombia is a volume game</t>
  </si>
  <si>
    <t>Tigo has started very strongly</t>
  </si>
  <si>
    <t>renegotiated football, more stable competitively</t>
  </si>
  <si>
    <t>$4m - home installations…complex calculation. Fee booked up front, even though cash over time. Overly accrued through 2020</t>
  </si>
  <si>
    <t>Soccer rights</t>
  </si>
  <si>
    <t>Some now being expensed…100 bps impact there</t>
  </si>
  <si>
    <t>Previously all capitalised</t>
  </si>
  <si>
    <t>46% margins previously…before merger</t>
  </si>
  <si>
    <t>Launch of brand, some negative operational leverage</t>
  </si>
  <si>
    <t>since acquisition, post-paid base is up 50%</t>
  </si>
  <si>
    <t>picked up huge amount of market share vs CWC in both mobile and fixed</t>
  </si>
  <si>
    <t>B2B is down 20% from where it used to be</t>
  </si>
  <si>
    <t>better than CWC here…no share loss</t>
  </si>
  <si>
    <t>15-16% of sales</t>
  </si>
  <si>
    <t>El Salvador opex</t>
  </si>
  <si>
    <t>5m users</t>
  </si>
  <si>
    <t>$50m</t>
  </si>
  <si>
    <t>doing remittances</t>
  </si>
  <si>
    <t>Nobody is doing payments</t>
  </si>
  <si>
    <t>go beyond remittances, into merchant payments. Deal with VISA/Mastercard</t>
  </si>
  <si>
    <t>Tigo Money vs VISA etc</t>
  </si>
  <si>
    <t>QR codes</t>
  </si>
  <si>
    <t>Not yet in Panama, proper launch in Guatemala</t>
  </si>
  <si>
    <t>B2B Digital</t>
  </si>
  <si>
    <t>Selling to business, cloud/IT services</t>
  </si>
  <si>
    <t>Most interesting growth area</t>
  </si>
  <si>
    <t>Local soccer content</t>
  </si>
  <si>
    <t>not huge $, sell it across borders</t>
  </si>
  <si>
    <t>Central American immigrants in the US</t>
  </si>
  <si>
    <t>find them through Tigo Money and remittances</t>
  </si>
  <si>
    <t>Growth drivers</t>
  </si>
  <si>
    <t>Consumer digital</t>
  </si>
  <si>
    <t xml:space="preserve"> of which fixed</t>
  </si>
  <si>
    <t>40% + EBITDA margins $2.2bn of revenue (Home + fixed B2B0</t>
  </si>
  <si>
    <t>Capex low teens in wireless, x2 that level in cable</t>
  </si>
  <si>
    <t>Post Q2 21</t>
  </si>
  <si>
    <t>15 years behind the US</t>
  </si>
  <si>
    <t>Network pen of 50% in the US…33% at Millicom</t>
  </si>
  <si>
    <t>Paraguay has been tough</t>
  </si>
  <si>
    <t>LiLAC have upgraded fibre and taken away some of the growth</t>
  </si>
  <si>
    <t>Became aggressive once Millicom came into Panama</t>
  </si>
  <si>
    <t>so, early days saw price competition</t>
  </si>
  <si>
    <t>Better commercial success than LiLAC</t>
  </si>
  <si>
    <t>TEF/KKR build…threat, not an opportunity</t>
  </si>
  <si>
    <t>LiLAC went for lower prices, Millicom responded taking a hit on ARPU</t>
  </si>
  <si>
    <t>Node splitting to improve speeds, blocking and tackling</t>
  </si>
  <si>
    <t>People don’t want to change provider, Millicom have 400,000 houses. Won’t simply just leave</t>
  </si>
  <si>
    <t>Mobile - post-paid x 2 in terms of subs when bought it</t>
  </si>
  <si>
    <t>still smaller than it should be</t>
  </si>
  <si>
    <t>Key points</t>
  </si>
  <si>
    <t>Business trending well</t>
  </si>
  <si>
    <t>Growth coming through</t>
  </si>
  <si>
    <t xml:space="preserve">Guatemala no </t>
  </si>
  <si>
    <t>Many others more room to move up</t>
  </si>
  <si>
    <t>Mid-term guide</t>
  </si>
  <si>
    <t>Colombia certainly..</t>
  </si>
  <si>
    <t>Colombia partner</t>
  </si>
  <si>
    <t>Possibility of buying out</t>
  </si>
  <si>
    <t>Medellin council</t>
  </si>
  <si>
    <t>Real debate</t>
  </si>
  <si>
    <t>October is the next session</t>
  </si>
  <si>
    <t>need to hire a bank</t>
  </si>
  <si>
    <t>criminal liability if sell too low, vs fair value. Need a bank to give a fairness opinion, to put a minimum value</t>
  </si>
  <si>
    <t>can then offer to other state owned ents, unions, public sector entities, then can offer to Millicom and then anyone</t>
  </si>
  <si>
    <t>12 month process at best</t>
  </si>
  <si>
    <t>22 EBITDA</t>
  </si>
  <si>
    <t>Tanzania / Ghana sale</t>
  </si>
  <si>
    <t>New Street Research</t>
  </si>
  <si>
    <t>Ticker</t>
  </si>
  <si>
    <t>Rating</t>
  </si>
  <si>
    <t>Milicom (TIGO US)</t>
  </si>
  <si>
    <t>Helios towers</t>
  </si>
  <si>
    <t>Consolidated net debt (IFRS 16)</t>
  </si>
  <si>
    <t>Mins</t>
  </si>
  <si>
    <t>Colombia EBITDA</t>
  </si>
  <si>
    <t>Mins EBITDA</t>
  </si>
  <si>
    <t>Cons EBITDA</t>
  </si>
  <si>
    <t>adj</t>
  </si>
  <si>
    <t>Debt/leases</t>
  </si>
  <si>
    <t>IFRS 16 leverage</t>
  </si>
  <si>
    <t>Colombia deal multiple</t>
  </si>
  <si>
    <t>Cost of finance</t>
  </si>
  <si>
    <t>after tax</t>
  </si>
  <si>
    <t>after-tax interest</t>
  </si>
  <si>
    <t>cash flow from Colombia</t>
  </si>
  <si>
    <t>Homes connected cable</t>
  </si>
  <si>
    <t>EPM stake</t>
  </si>
  <si>
    <t>Is this the outlook going forward?</t>
  </si>
  <si>
    <t>Didn’t think Guatemala was highly levered vs group?</t>
  </si>
  <si>
    <t>Return to B2B growth</t>
  </si>
  <si>
    <t>Mobile consolidation announced</t>
  </si>
  <si>
    <t>what seen from Digicel since announcement</t>
  </si>
  <si>
    <t>Margins dipped to &lt;30%, had flagged this. We close to trough, presumably some nice operating leverage also</t>
  </si>
  <si>
    <t>Competitive environment What seeing from WOM please?</t>
  </si>
  <si>
    <t>Dividend in Guatemala close to zero</t>
  </si>
  <si>
    <t>What's the rational for paying down debt here vs parent co, for example</t>
  </si>
  <si>
    <t>Slowdown in HFC adds</t>
  </si>
  <si>
    <t>Price a factor… given the growth oppo, is the time to be taking price?</t>
  </si>
  <si>
    <t xml:space="preserve">Penetration growth </t>
  </si>
  <si>
    <t>Inflation &amp; energy costs</t>
  </si>
  <si>
    <t>Rising across the region</t>
  </si>
  <si>
    <t>No reference in the Q3s, any risk as you look forward?</t>
  </si>
  <si>
    <t>0.8% of shares bought back at end of Q3, &gt;1% today</t>
  </si>
  <si>
    <t>$50m in 2021, remaining $50m in first 4 months of 2022</t>
  </si>
  <si>
    <t>Not an issue yet, official projections OK</t>
  </si>
  <si>
    <t>Supply chains, buying as much as possible</t>
  </si>
  <si>
    <t>Pushing back on vendors, adding new vendors</t>
  </si>
  <si>
    <t>People, energy costs (only 5-6% of total opex, fuel is a subset of that)</t>
  </si>
  <si>
    <t>Price increase</t>
  </si>
  <si>
    <t>Paying down loans</t>
  </si>
  <si>
    <t>Resume from November</t>
  </si>
  <si>
    <t>Further ahead in change conversion cycle</t>
  </si>
  <si>
    <t>A lot of investments, a lot of scale</t>
  </si>
  <si>
    <t>Competition quite rational, significant change, adding some share</t>
  </si>
  <si>
    <t>Soccer rights impacting EBITDA slightly</t>
  </si>
  <si>
    <t>Loaded up on 2022 capex</t>
  </si>
  <si>
    <t>Panama consolidation</t>
  </si>
  <si>
    <t>Main concern has been set top boxes, forward purchases. Half of capex has already been committed</t>
  </si>
  <si>
    <t>Yes, good</t>
  </si>
  <si>
    <t>Yes, will surpass $1.4 billion</t>
  </si>
  <si>
    <t>$100-200m more capex this year</t>
  </si>
  <si>
    <t>Will spend about $450m in Q4</t>
  </si>
  <si>
    <t>Costs higher on dealer comms</t>
  </si>
  <si>
    <t>Bogota - yes some growth</t>
  </si>
  <si>
    <t>But wireless momentum on post-paid is broad based</t>
  </si>
  <si>
    <t>Millicom guide</t>
  </si>
  <si>
    <t>New Street</t>
  </si>
  <si>
    <t>FY 22*</t>
  </si>
  <si>
    <t>* mid-point</t>
  </si>
  <si>
    <t>Q2 22</t>
  </si>
  <si>
    <t>45% of Guatemala</t>
  </si>
  <si>
    <t>EFCF/share</t>
  </si>
  <si>
    <t>New SHOUT</t>
  </si>
  <si>
    <t>Equity issued</t>
  </si>
  <si>
    <t>Shares issued</t>
  </si>
  <si>
    <t>accretion</t>
  </si>
  <si>
    <t>Leverage (prop)</t>
  </si>
  <si>
    <t>Cumulative EFCF</t>
  </si>
  <si>
    <t>Debt funding</t>
  </si>
  <si>
    <t>Debt funding costs (after tax)</t>
  </si>
  <si>
    <t>Guatemala EFCF as % total</t>
  </si>
  <si>
    <t>2021e Guatemala</t>
  </si>
  <si>
    <t>Leverage, IFRS 16</t>
  </si>
  <si>
    <t>Feb 11th</t>
  </si>
  <si>
    <t>Rights issue</t>
  </si>
  <si>
    <t>Looked at options re equity..coulh have issued stock</t>
  </si>
  <si>
    <t>accretion to existing shareholders</t>
  </si>
  <si>
    <t>% of existing shareholders…take up rights</t>
  </si>
  <si>
    <t>$750m too large for a marketed deal</t>
  </si>
  <si>
    <t>Increased liquidity in the US</t>
  </si>
  <si>
    <t>Effective tax</t>
  </si>
  <si>
    <t>Cost of equity</t>
  </si>
  <si>
    <t>Cost of debt (post-tax)</t>
  </si>
  <si>
    <t>NPV cash flows</t>
  </si>
  <si>
    <t>Term multiple</t>
  </si>
  <si>
    <t>PV of term multiple</t>
  </si>
  <si>
    <t>Min value</t>
  </si>
  <si>
    <t>Uplift</t>
  </si>
  <si>
    <t>per share</t>
  </si>
  <si>
    <t>as %</t>
  </si>
  <si>
    <t>as % PBT</t>
  </si>
  <si>
    <t xml:space="preserve"> 2 x 24</t>
  </si>
  <si>
    <t xml:space="preserve"> 2 x 10</t>
  </si>
  <si>
    <t xml:space="preserve"> 1 x 25</t>
  </si>
  <si>
    <t xml:space="preserve"> 1 x 3.3</t>
  </si>
  <si>
    <t>Guatemala min</t>
  </si>
  <si>
    <t>Value issuance,$</t>
  </si>
  <si>
    <t>Other, inc issuance</t>
  </si>
  <si>
    <t>$1500 Guat funding</t>
  </si>
  <si>
    <t>2021 EBITDA</t>
  </si>
  <si>
    <t>Prop net debt/EBITDA, IFRS 16</t>
  </si>
  <si>
    <t>Prop net debt/EBITDA, IAS 17</t>
  </si>
  <si>
    <t>2022 EBITDA</t>
  </si>
  <si>
    <t>Implied other CA EV</t>
  </si>
  <si>
    <t>Other CA 2022 EBITDA</t>
  </si>
  <si>
    <t>Split of prop EBITDA</t>
  </si>
  <si>
    <t>CR / Nic cable</t>
  </si>
  <si>
    <t>Leverage (pre-deal)</t>
  </si>
  <si>
    <t>New leverage</t>
  </si>
  <si>
    <t>Guatemala EFCF (pre-funding)</t>
  </si>
  <si>
    <t xml:space="preserve">Guatemala EFCF (post funding) as % total </t>
  </si>
  <si>
    <t>Previous Group EFCF</t>
  </si>
  <si>
    <t>Before IFRS 16</t>
  </si>
  <si>
    <t>Before IAS 17</t>
  </si>
  <si>
    <t>New IFRS 16</t>
  </si>
  <si>
    <t>New IAS 17</t>
  </si>
  <si>
    <t>Tigo Guatemala, USD revenue</t>
  </si>
  <si>
    <t>Mexico wireless market in USD (re-based to Guatemala 2010)</t>
  </si>
  <si>
    <t>Brazil wireless market in USD (re-based to Guatemala 2010)</t>
  </si>
  <si>
    <t>LatAm towers, 000s</t>
  </si>
  <si>
    <t>EV/tower, USD</t>
  </si>
  <si>
    <t>Assumed EV/EBITDA</t>
  </si>
  <si>
    <t>EBITDA (cash)</t>
  </si>
  <si>
    <t>EV of Tower</t>
  </si>
  <si>
    <t>Tower sale</t>
  </si>
  <si>
    <t xml:space="preserve">Tigo </t>
  </si>
  <si>
    <t>AMT-Entel</t>
  </si>
  <si>
    <t>Millicom MS</t>
  </si>
  <si>
    <t>Tigo Money can now be pushed</t>
  </si>
  <si>
    <t>Capacity all good</t>
  </si>
  <si>
    <t>Room to grow on fixed, a lot to do</t>
  </si>
  <si>
    <t>Playground doing everything the write way</t>
  </si>
  <si>
    <t>WOM not so much the issue, rather Tigo itself</t>
  </si>
  <si>
    <t>1/ Spectrum</t>
  </si>
  <si>
    <t>2/ Network</t>
  </si>
  <si>
    <t>Best network in Colombia</t>
  </si>
  <si>
    <t>3/ Now can x2 commercial distros</t>
  </si>
  <si>
    <t>Winning in Colombia</t>
  </si>
  <si>
    <t>Margins in 2022…revs??</t>
  </si>
  <si>
    <t>Target is to gain scale</t>
  </si>
  <si>
    <t>Margins…? Passed the midnight hour, two thirds of rebuilding mobile</t>
  </si>
  <si>
    <t>NPS</t>
  </si>
  <si>
    <t>Customer satisfaction</t>
  </si>
  <si>
    <t>Ind structure not stable</t>
  </si>
  <si>
    <t>ARPU won't stay low forever, ind structure will improve</t>
  </si>
  <si>
    <t>Can afford…</t>
  </si>
  <si>
    <t>A lot of possibke iterations</t>
  </si>
  <si>
    <t>Bought spectrum, better industry structure. Others didn’t buy spectrum</t>
  </si>
  <si>
    <t>Rationalising</t>
  </si>
  <si>
    <t>Regaining subs</t>
  </si>
  <si>
    <t>Protests</t>
  </si>
  <si>
    <t>not funding with infra</t>
  </si>
  <si>
    <t>infra is incremental</t>
  </si>
  <si>
    <t>Early stages</t>
  </si>
  <si>
    <t>Cable is 40% of revenue</t>
  </si>
  <si>
    <t>Local remittances, not a digital payments system</t>
  </si>
  <si>
    <t>nobody has it, ex Colombia</t>
  </si>
  <si>
    <t>3000 to 90000 merchants with qr, using mobile wallet</t>
  </si>
  <si>
    <t>all markets</t>
  </si>
  <si>
    <t>initially on back of subs but not exclusively</t>
  </si>
  <si>
    <t>layer on other fintechs</t>
  </si>
  <si>
    <t>tigo money 18000 points. Cash in/out</t>
  </si>
  <si>
    <t>Guat done with a view to keeping healthy BS</t>
  </si>
  <si>
    <t>Guat FCF now 100% contributing</t>
  </si>
  <si>
    <t>Clear framework for future deals</t>
  </si>
  <si>
    <t>US liquidity?</t>
  </si>
  <si>
    <t>Accretion to existing shareholder base</t>
  </si>
  <si>
    <t>Very confident on rights offering</t>
  </si>
  <si>
    <t>will lead to good US liquidity…</t>
  </si>
  <si>
    <t>Stock at this price, will buy back stock, after</t>
  </si>
  <si>
    <t>2022 priorities</t>
  </si>
  <si>
    <t>Operating Cash flow and EFCF</t>
  </si>
  <si>
    <t>revs growth in the system</t>
  </si>
  <si>
    <t>opfcf now in the system</t>
  </si>
  <si>
    <t>Honduras (66%)</t>
  </si>
  <si>
    <t>Associates net income (66%)</t>
  </si>
  <si>
    <t>Q1 22</t>
  </si>
  <si>
    <t>Q3 22</t>
  </si>
  <si>
    <t>Q4 22</t>
  </si>
  <si>
    <t>Associate dividend</t>
  </si>
  <si>
    <t xml:space="preserve"> Guatemala</t>
  </si>
  <si>
    <t xml:space="preserve"> Honduras</t>
  </si>
  <si>
    <t xml:space="preserve"> Colombia</t>
  </si>
  <si>
    <t xml:space="preserve"> Panama</t>
  </si>
  <si>
    <t xml:space="preserve"> Zantel</t>
  </si>
  <si>
    <t>associate</t>
  </si>
  <si>
    <t>Guatemala / El Salvador / Costa Rica</t>
  </si>
  <si>
    <t>Implied El Sal / CR</t>
  </si>
  <si>
    <t>22e EBITDA</t>
  </si>
  <si>
    <t>Associate CF</t>
  </si>
  <si>
    <t>Associate EFCF</t>
  </si>
  <si>
    <t>Associate debt</t>
  </si>
  <si>
    <t>Associate IFRS 16 debt</t>
  </si>
  <si>
    <t>Honduras deconsolidation</t>
  </si>
  <si>
    <t>Associate dividends received</t>
  </si>
  <si>
    <t>Millicom market cap (fully diluted)</t>
  </si>
  <si>
    <t>int</t>
  </si>
  <si>
    <t>Tax as % revenue</t>
  </si>
  <si>
    <t>EBITDA from associates</t>
  </si>
  <si>
    <t xml:space="preserve">Service </t>
  </si>
  <si>
    <t>Gross debt (ex leases to 2020)</t>
  </si>
  <si>
    <t>Impact of leases</t>
  </si>
  <si>
    <t>earnings</t>
  </si>
  <si>
    <t>Earnings</t>
  </si>
  <si>
    <t>LatAM EBITDA (ops)</t>
  </si>
  <si>
    <t>HQ / Central</t>
  </si>
  <si>
    <t>US$ million</t>
  </si>
  <si>
    <t>Old run rate and new target</t>
  </si>
  <si>
    <t>NSR ests (inc 2021 as est)</t>
  </si>
  <si>
    <t>Additional EBITDA (vs NSR)</t>
  </si>
  <si>
    <t>Additional FCF (40% effective rate tax)</t>
  </si>
  <si>
    <t>Cumulative additional FCF</t>
  </si>
  <si>
    <t>Prop leverage (with EBITDA guide in)</t>
  </si>
  <si>
    <t>Prop EBITDA growth (guide)*</t>
  </si>
  <si>
    <t xml:space="preserve">Implied Prop EBITDA </t>
  </si>
  <si>
    <t xml:space="preserve">Prop net debt </t>
  </si>
  <si>
    <t>X</t>
  </si>
  <si>
    <t>2021A</t>
  </si>
  <si>
    <t>22-24 cum</t>
  </si>
  <si>
    <t>OpFCF ex Honduras, Africa</t>
  </si>
  <si>
    <t>growth guide</t>
  </si>
  <si>
    <t>Millicom guidance</t>
  </si>
  <si>
    <t>Implied EBITDA</t>
  </si>
  <si>
    <t>Cash/interest/other</t>
  </si>
  <si>
    <t>EFCF guide (mid-point)</t>
  </si>
  <si>
    <t>800-1,000</t>
  </si>
  <si>
    <t>NSR estimates</t>
  </si>
  <si>
    <t>Guidance vs NSR</t>
  </si>
  <si>
    <t>Interest and tax</t>
  </si>
  <si>
    <t>Spectrum (Millicom "guide")</t>
  </si>
  <si>
    <t>Plus</t>
  </si>
  <si>
    <t>Associates (Honduras)</t>
  </si>
  <si>
    <t>NSR EFCF with Millicom spectrum</t>
  </si>
  <si>
    <t>Base Case, USD m</t>
  </si>
  <si>
    <t>net debt to EBITDA</t>
  </si>
  <si>
    <t xml:space="preserve">Add in </t>
  </si>
  <si>
    <t xml:space="preserve"> - as % post-dilution equity</t>
  </si>
  <si>
    <t>Leverage after spectrum / buy-back</t>
  </si>
  <si>
    <t>Millicom target</t>
  </si>
  <si>
    <t>&lt;2.5x</t>
  </si>
  <si>
    <t>After spectrum</t>
  </si>
  <si>
    <t>Cash flow data</t>
  </si>
  <si>
    <t>EBITDA from continuing operations</t>
  </si>
  <si>
    <t>EBITDA from discontinued operations</t>
  </si>
  <si>
    <t>EBITDA including discontinued operations</t>
  </si>
  <si>
    <t>Cash Capex (exccluding Spectrum)</t>
  </si>
  <si>
    <t>Spectrum Paid</t>
  </si>
  <si>
    <t>Changes in working capital</t>
  </si>
  <si>
    <t>Other non-cash items</t>
  </si>
  <si>
    <t>Taxes paid</t>
  </si>
  <si>
    <t>Operating free cash flow</t>
  </si>
  <si>
    <t>Finance charges paid, net</t>
  </si>
  <si>
    <t>Finance Lease Interest Payment</t>
  </si>
  <si>
    <t>Principal Payment Leases</t>
  </si>
  <si>
    <t>Free cash flow</t>
  </si>
  <si>
    <t xml:space="preserve">Dividends and advances to non-controlling interests </t>
  </si>
  <si>
    <t>Repatriation from Joint Ventures</t>
  </si>
  <si>
    <t>Spectrum capex</t>
  </si>
  <si>
    <t>Q1</t>
  </si>
  <si>
    <t>Equity FCF yield (TIGO definition)</t>
  </si>
  <si>
    <t>Corp costs running lower at USD35m…? Thought this was to be nearer $50m run rate?</t>
  </si>
  <si>
    <t>What's the $88m of spectrum cost in Q1?</t>
  </si>
  <si>
    <t>Debt in Africa at all?</t>
  </si>
  <si>
    <t>From discontinued</t>
  </si>
  <si>
    <t>Any perspectives on working capital for FY… flattish?</t>
  </si>
  <si>
    <t>efcf</t>
  </si>
  <si>
    <t>debt move ex efcf</t>
  </si>
  <si>
    <t>Inflation..?</t>
  </si>
  <si>
    <t>Homes build</t>
  </si>
  <si>
    <t>50% FTTH</t>
  </si>
  <si>
    <t>All FTTH thereafter</t>
  </si>
  <si>
    <t>1m target</t>
  </si>
  <si>
    <t>Panama..?</t>
  </si>
  <si>
    <t>Slowdown in revs</t>
  </si>
  <si>
    <t>What spectrum did you buy?</t>
  </si>
  <si>
    <t>Target for $1 billion, 10% OpFCF target</t>
  </si>
  <si>
    <t>BB environent deteriorated</t>
  </si>
  <si>
    <t>As a testing ground for Tigo Money</t>
  </si>
  <si>
    <t>Pricing competition picking up</t>
  </si>
  <si>
    <t>Bogota opening up….Tigo the "natural tenant"</t>
  </si>
  <si>
    <t>Always thought 2-player market</t>
  </si>
  <si>
    <t>Picking up AWS spectrum</t>
  </si>
  <si>
    <t>Spectrum for everyone</t>
  </si>
  <si>
    <t>Op cos</t>
  </si>
  <si>
    <t>EBITDA from OpCos</t>
  </si>
  <si>
    <t>Implied Corp costs</t>
  </si>
  <si>
    <t>Deconsolidation of Honduras…fees charged, some above and some below EBITDA. Capture some EBITDA from Honduras</t>
  </si>
  <si>
    <t>MFS plus incentive compensation lighter in 2021</t>
  </si>
  <si>
    <t>Bolvia</t>
  </si>
  <si>
    <t>Cost Rica</t>
  </si>
  <si>
    <t>Q1 22 pf*</t>
  </si>
  <si>
    <t>Interest expense on debt</t>
  </si>
  <si>
    <t>decline over time</t>
  </si>
  <si>
    <t>$425m range for FY22</t>
  </si>
  <si>
    <t>$250m range</t>
  </si>
  <si>
    <t>may go up with profitability</t>
  </si>
  <si>
    <t>$275-300m</t>
  </si>
  <si>
    <t>principal</t>
  </si>
  <si>
    <t>leases</t>
  </si>
  <si>
    <t>TEF leases</t>
  </si>
  <si>
    <t>very expensive. Went to tower company, renegotiated</t>
  </si>
  <si>
    <t>so tigo built</t>
  </si>
  <si>
    <t>tower company came back, 40-50% discount</t>
  </si>
  <si>
    <t>tef got money back, purchase price adjusted</t>
  </si>
  <si>
    <t>renewed leases…40% less, but extended length of contract</t>
  </si>
  <si>
    <t>Spectrum of $150m - ball park</t>
  </si>
  <si>
    <t>Honduras - $50m divi every year</t>
  </si>
  <si>
    <t>Associate divi</t>
  </si>
  <si>
    <t>Not much at all divi wise in Colombia. Call centre business</t>
  </si>
  <si>
    <t>Colombia not cash generative in the short-term</t>
  </si>
  <si>
    <t>May be an opp to pay a divi</t>
  </si>
  <si>
    <t>When issued bond</t>
  </si>
  <si>
    <t>Moody's - not IG. Will focus on leverage down</t>
  </si>
  <si>
    <t>Not hearing anything</t>
  </si>
  <si>
    <t>Window in June….after that it's fair market price, 2 different banks</t>
  </si>
  <si>
    <t>Put exerciseable on 20%. Call also. Based initial val, +% on put, 10% on call</t>
  </si>
  <si>
    <t>subscription biz growing faster than pre-paid</t>
  </si>
  <si>
    <t>$50m kind of range</t>
  </si>
  <si>
    <t>Equity FCF (pre spectrum)</t>
  </si>
  <si>
    <t>Rights offering</t>
  </si>
  <si>
    <t>Subscription price</t>
  </si>
  <si>
    <t>Existing</t>
  </si>
  <si>
    <t>Right to buy</t>
  </si>
  <si>
    <t>Ratio</t>
  </si>
  <si>
    <t>Effective price</t>
  </si>
  <si>
    <t>Current price</t>
  </si>
  <si>
    <t>as % close</t>
  </si>
  <si>
    <t>$ amount</t>
  </si>
  <si>
    <t>SHOUT today</t>
  </si>
  <si>
    <t>Cap</t>
  </si>
  <si>
    <t>New Cap</t>
  </si>
  <si>
    <t>Ex-rights price</t>
  </si>
  <si>
    <t>Close price (17 May)</t>
  </si>
  <si>
    <t>7 for 10</t>
  </si>
  <si>
    <t>10 shares</t>
  </si>
  <si>
    <t>7 shares</t>
  </si>
  <si>
    <t>17 shares</t>
  </si>
  <si>
    <t>Per share</t>
  </si>
  <si>
    <t>Rights required to buy one share</t>
  </si>
  <si>
    <t>Value of right per existing share</t>
  </si>
  <si>
    <t>Value of rights (per new share)</t>
  </si>
  <si>
    <t xml:space="preserve">Target Price </t>
  </si>
  <si>
    <t>Details on outcome</t>
  </si>
  <si>
    <t>Subscription ended… Thursday. Gap to subscription price</t>
  </si>
  <si>
    <t>own rights, 30% discount + ultimately</t>
  </si>
  <si>
    <t>usually a good indicator of success</t>
  </si>
  <si>
    <t>more dilution….complete transaction without banks holding the shares</t>
  </si>
  <si>
    <t>A lot of people still working from home</t>
  </si>
  <si>
    <t>Rights issue - not placing with new investors</t>
  </si>
  <si>
    <t>Saw some new names, but not an all out roadshow</t>
  </si>
  <si>
    <t>Mauricio</t>
  </si>
  <si>
    <t>Behind us, focus on reducing leverage, not tinkering with capital structure</t>
  </si>
  <si>
    <t>DoJ</t>
  </si>
  <si>
    <t>Some questions initially</t>
  </si>
  <si>
    <t>VP of US, mentioning commitment of Millicom in LatAm</t>
  </si>
  <si>
    <t>Mauricio hanging with various LatAm dudes</t>
  </si>
  <si>
    <t>Not much new on the business</t>
  </si>
  <si>
    <t>Constrained on the offering</t>
  </si>
  <si>
    <t>Can’t say much about 2022</t>
  </si>
  <si>
    <t>Subsriprion revenue business is growing</t>
  </si>
  <si>
    <t>Negative drag</t>
  </si>
  <si>
    <t>Ends up in the plug, as intercompany</t>
  </si>
  <si>
    <t>$50m…</t>
  </si>
  <si>
    <t>half and half divdends and fees</t>
  </si>
  <si>
    <t>QR / merchant App</t>
  </si>
  <si>
    <t>Own wallet</t>
  </si>
  <si>
    <t>Tigo Money built on SMS paltform USS ID</t>
  </si>
  <si>
    <t>Team is creating Tigo Money 2.0. Being launched country by country, large effort in H2 2022</t>
  </si>
  <si>
    <t>Relaunch Guatemala</t>
  </si>
  <si>
    <t>Reg approval to enter Panama. 6 months ago told would need banking licence</t>
  </si>
  <si>
    <t>Looking to being on-line 10,000's of merchants</t>
  </si>
  <si>
    <t>Ex Colombia. No Tigo Money today, perhaps later</t>
  </si>
  <si>
    <t>Costa Rica, no mobile and not relevant</t>
  </si>
  <si>
    <t>Lots of non digital customers</t>
  </si>
  <si>
    <t>Multiple legs - focus is engagement</t>
  </si>
  <si>
    <t>Cash in, cash out today</t>
  </si>
  <si>
    <t>Need more acceptance of merchants</t>
  </si>
  <si>
    <t>Government to disperse funds</t>
  </si>
  <si>
    <t>If know can use, want to have digital wallet</t>
  </si>
  <si>
    <t>More use cases (paid directly from work)</t>
  </si>
  <si>
    <t>Micro lending</t>
  </si>
  <si>
    <t>Lend me balance today</t>
  </si>
  <si>
    <t>If run out, will advance some balance</t>
  </si>
  <si>
    <t>The real money will come from lending</t>
  </si>
  <si>
    <t>Paraguay today</t>
  </si>
  <si>
    <t>Start soon, some micro lending pilot</t>
  </si>
  <si>
    <t>$20-50 per loan</t>
  </si>
  <si>
    <t>Discussions with VISA/MA - discussed and negotiated</t>
  </si>
  <si>
    <t>POS for $100 or so, to connect and sign up a merchant</t>
  </si>
  <si>
    <t>Just need a mobile phone</t>
  </si>
  <si>
    <t>AMX doing anything…?</t>
  </si>
  <si>
    <t>$90m… Klar deal</t>
  </si>
  <si>
    <t>Millicom has funded first round, expertise needed for round 2</t>
  </si>
  <si>
    <t>Spend</t>
  </si>
  <si>
    <t>TIGO 1.0 revenue</t>
  </si>
  <si>
    <t>r</t>
  </si>
  <si>
    <t>Homes in Bogota</t>
  </si>
  <si>
    <t xml:space="preserve"> - of which Ufinet</t>
  </si>
  <si>
    <t xml:space="preserve"> - of which own / other wholesale</t>
  </si>
  <si>
    <t>Panama minority buy-in</t>
  </si>
  <si>
    <t>Cash interest (ex leases)</t>
  </si>
  <si>
    <t>IFRS 16 reported (consol)</t>
  </si>
  <si>
    <t>IFRS 16 reported (prop)</t>
  </si>
  <si>
    <t>Corporate costs…we need to bring these numbers down, to ~$35m per Q. Net of ~$10m for Honduras, nearer to $45m</t>
  </si>
  <si>
    <t>Towers – difficult to pin down until MSA in place. Not giving EBITDA. Vodafone did this, filed with a different number, caused a lot of confusion with investors. All indications are can get to &gt;20x. Tigo Money - early 2023 hopefully. Very ambitious H2, a lot going on. Have a GM running this business. First up updating to a Fintech digital platform, new merchant platform, pilot for lending. Proof points to go to investors and say here are the early results. Second round of funding</t>
  </si>
  <si>
    <r>
      <t>Tigo Money valuation – KPIs in users, digital users specifically. Unique users every month, how much money changes hand, lending product KPIs. Big ticket items.  Not putting loans on books, 3</t>
    </r>
    <r>
      <rPr>
        <vertAlign val="superscript"/>
        <sz val="11"/>
        <rFont val="Roboto"/>
      </rPr>
      <t>rd</t>
    </r>
    <r>
      <rPr>
        <sz val="11"/>
        <rFont val="Roboto"/>
      </rPr>
      <t xml:space="preserve"> parties involved. Platform specifically for merchants.</t>
    </r>
  </si>
  <si>
    <t>$50m revenue on old business, historically profitable – not too much cost beyond direct cost. EBITDA margin positive for new “Tigo Money”</t>
  </si>
  <si>
    <t>Private market come off a lot. Partner for 20-30% stake. More important is expertise</t>
  </si>
  <si>
    <t>Towers – split. Guatemala is &gt;4,000 – check the deck. A lot of markets are x2 players broadly, AMX also getting out of the tower management business. Do some small amount of work with AMX</t>
  </si>
  <si>
    <t>Guatemala – more spectrum auctioned at some point in the future, some talk of 2.5 GHz, some rationale for deploying additional infra. AMX has nothing in the 700 MHz spectrum, may want to expand if it becomes available. 700 MHz need to be reorganised. Just launched 5G with 3.5 GHz which TIGO has.</t>
  </si>
  <si>
    <t>Other variable: tower cos tend to own a lot of land, don’t own a lot of this land, generally leased. Deploy capital to buy up the land. Trading at high multiple.</t>
  </si>
  <si>
    <t>Ratio can get a lot closer to 2x</t>
  </si>
  <si>
    <t>Can maybe lock up some towers. All towers likely to go in</t>
  </si>
  <si>
    <t xml:space="preserve">AMX have a different entity in Colombia, have a concession.             </t>
  </si>
  <si>
    <t>10,000 towers. Adding &gt;1,000 per year. Bolivia has some local debt</t>
  </si>
  <si>
    <t>Paraguay towers sale a few years ago. Low EV/tower at ~$100k. Can deliver higher, or lower, depends what you want</t>
  </si>
  <si>
    <t>TEF take as much cash as possible, even if terms are quite onerous in the future. Panama and Nicaragua were 2-3x more expensive than necessary. All Oi towers sold had onerous terms. NPV maximising.</t>
  </si>
  <si>
    <t xml:space="preserve">“Towers not a debt reduction exercise”. It should be a by-product. Want Millicom as a shareholder in this business to participate in the future. Refrained from saying it will de-lever.           </t>
  </si>
  <si>
    <t>EFCF for FY 22 ? Don’t want to guide – let’s assume it is, can grow OCF by ~10% per year (adding $120m of OCF before FX, WC, additional taxes etc). $200m, plus $100m. Negative settlement, and taxes higher than expected for FY 22. Panama spectrum not paid for yet (AWS), ~$30m. Will need to pay for this. 2023 – spectrum renewals in Colombia, 50% of spectrum coming, 2 separate licences, don’t know terms yet.</t>
  </si>
  <si>
    <t>Q4 2021 - $1,225. 10% growth gets us to $1,350m (re-based indicators). FX is the only factor which impacts this.</t>
  </si>
  <si>
    <t>Market at $1,280. Col has weakened, it’s a big part of OCF.</t>
  </si>
  <si>
    <t>EBITDA grew y/y at 4.6% vs Q1 which was flat, lapping investments in Colombia and TIGO Money. And in USD, in light of FX headwinds, was taken particularly taken well.</t>
  </si>
  <si>
    <t>Inflation – managed well so far.</t>
  </si>
  <si>
    <t>Colombia post-paid – data on reg. website on numbers of pre-paid, post-paid subs. This is driving ARPU as shift in mix continues. 1.5-2 years showing up as no1 in network quality. Share of gross adds. 18m subs, only have 3m, so 15m in hands of competitors. 2-3% churn per month gives a churn pool of 25-33% of the 15m each year. Momentum in post-paid should continue. Lowest ARPU country TIGO is in.</t>
  </si>
  <si>
    <t>Colombia fixed suffering a little more</t>
  </si>
  <si>
    <t>EFCF TIGO definition</t>
  </si>
  <si>
    <t>Other / FX</t>
  </si>
  <si>
    <t>OpFCF / OCF</t>
  </si>
  <si>
    <t>Equity FCF (TIGO)</t>
  </si>
  <si>
    <t>Towers monetisation</t>
  </si>
  <si>
    <t>EBITDA (lost)</t>
  </si>
  <si>
    <t>EV/tower exit multple, $</t>
  </si>
  <si>
    <t>EV, $ m</t>
  </si>
  <si>
    <t>Tower model</t>
  </si>
  <si>
    <t>Tower revenue</t>
  </si>
  <si>
    <t>Ground revenue</t>
  </si>
  <si>
    <t>Ground cost</t>
  </si>
  <si>
    <t>Other costs</t>
  </si>
  <si>
    <t>EBITDA (IAS 17)</t>
  </si>
  <si>
    <t>EBITDA (IFRS 16)</t>
  </si>
  <si>
    <t>Equity contribution</t>
  </si>
  <si>
    <t xml:space="preserve"> of which Primary</t>
  </si>
  <si>
    <t xml:space="preserve"> of which Secondary</t>
  </si>
  <si>
    <t>Stake sold</t>
  </si>
  <si>
    <t>Total funding</t>
  </si>
  <si>
    <t>Impact to OpCo</t>
  </si>
  <si>
    <t>Base case - Net debt</t>
  </si>
  <si>
    <t>Base case - EBITDA</t>
  </si>
  <si>
    <t>Assumed lease liability multiple</t>
  </si>
  <si>
    <t xml:space="preserve">Assumed lease liability </t>
  </si>
  <si>
    <t>Leverage - base case</t>
  </si>
  <si>
    <t>Leverage - after towers sale</t>
  </si>
  <si>
    <t>Sept-22 GS</t>
  </si>
  <si>
    <t>AMX recently winning back some share</t>
  </si>
  <si>
    <t>Election in 2023, hosting with President with FT</t>
  </si>
  <si>
    <t>have had 3 elections in Maurico's time</t>
  </si>
  <si>
    <t>Maybe a few quarters of weaker comps</t>
  </si>
  <si>
    <t>Brands integrated</t>
  </si>
  <si>
    <t>Largest player today</t>
  </si>
  <si>
    <t>Become amazing cash flower producer in USD terms</t>
  </si>
  <si>
    <t>government is managing the asset</t>
  </si>
  <si>
    <t>Can not have 3 to 2</t>
  </si>
  <si>
    <t>TIGO no real interest</t>
  </si>
  <si>
    <t>situation will sort itself out in next couple of years</t>
  </si>
  <si>
    <t>Only compant with low frequency spectrum</t>
  </si>
  <si>
    <t>WOM have 5-6% market share</t>
  </si>
  <si>
    <t>WOM started to raise prices a few weeks ago</t>
  </si>
  <si>
    <t>Growing 20% - saw some price erosion</t>
  </si>
  <si>
    <t>Consolidation likely at some point</t>
  </si>
  <si>
    <t>not 4 to 3, but 1 large to 2+ more viable. Political support for this</t>
  </si>
  <si>
    <t>Bogota</t>
  </si>
  <si>
    <t>Plant covers 11% of households</t>
  </si>
  <si>
    <t xml:space="preserve">Effective penetration will be 100% </t>
  </si>
  <si>
    <t>Couldn't really sell wireless with no low frequencies either</t>
  </si>
  <si>
    <t>Q4, early 2023 expect to see commercial traction</t>
  </si>
  <si>
    <t>Capex spend gets a little lighter, capital light in Bogota</t>
  </si>
  <si>
    <t>B2B doing well</t>
  </si>
  <si>
    <t>Ufinet, ETB deal</t>
  </si>
  <si>
    <t>Context of a much tougher macro</t>
  </si>
  <si>
    <t>Mobile Money</t>
  </si>
  <si>
    <t>Soccer in the regions</t>
  </si>
  <si>
    <t>$50m of yearly revenue</t>
  </si>
  <si>
    <t>Revamped all platforms into single platform in Panama</t>
  </si>
  <si>
    <t>digital wallets</t>
  </si>
  <si>
    <t>merchant product (small)</t>
  </si>
  <si>
    <t>gives support from regulators</t>
  </si>
  <si>
    <t>has rural access</t>
  </si>
  <si>
    <t>Pilot on nano lending in Paraguay…clearly high demand for product</t>
  </si>
  <si>
    <t>small credits new</t>
  </si>
  <si>
    <t>8 or 9 of TIGO users have never had credit or banking products</t>
  </si>
  <si>
    <t>high NPS</t>
  </si>
  <si>
    <t xml:space="preserve">Separate balance sheet </t>
  </si>
  <si>
    <t>Presidents generally supportive</t>
  </si>
  <si>
    <t>financial conclusion</t>
  </si>
  <si>
    <t>Cash needs not as high as perhaps earlier thought</t>
  </si>
  <si>
    <t>90,000 POPs, can be converted to TIGO Money</t>
  </si>
  <si>
    <t>Capillarity is there</t>
  </si>
  <si>
    <t>Brand strength</t>
  </si>
  <si>
    <t>Cash flows</t>
  </si>
  <si>
    <t>Cash flow, EBITDA less capex, +10% CAGR over 3 years</t>
  </si>
  <si>
    <t>Yield $800-$1 billion 22,23,24</t>
  </si>
  <si>
    <t>Tower transaction not factored into this</t>
  </si>
  <si>
    <t>10,000 towers. Guatemala acquisition unlocked this</t>
  </si>
  <si>
    <t>Building about 1,000 per year</t>
  </si>
  <si>
    <t>5th largest tower company in the region</t>
  </si>
  <si>
    <t>Revs/tower of $100m of EBITDA</t>
  </si>
  <si>
    <t>retain an important part of equity</t>
  </si>
  <si>
    <t>net impact to OCF is close to neutral</t>
  </si>
  <si>
    <t>offload capex, offload cost…net impact is close to neutral</t>
  </si>
  <si>
    <t>Some time in 2023</t>
  </si>
  <si>
    <t>Liquidity</t>
  </si>
  <si>
    <t>Moved up significantly</t>
  </si>
  <si>
    <t>$15-20m today volumes</t>
  </si>
  <si>
    <t>List of US holders improving</t>
  </si>
  <si>
    <t>EBITDA local currency, last year's FX</t>
  </si>
  <si>
    <t>Home residential</t>
  </si>
  <si>
    <t>Fintech outlook..</t>
  </si>
  <si>
    <t>Towers spin</t>
  </si>
  <si>
    <t>Greenfield fibre</t>
  </si>
  <si>
    <t>Everest - cost cutting program</t>
  </si>
  <si>
    <t>Colombia - mid teens mobile</t>
  </si>
  <si>
    <t>Panama mobile?</t>
  </si>
  <si>
    <t>4 to 2 benefits yet?</t>
  </si>
  <si>
    <t>1% below budget?</t>
  </si>
  <si>
    <t>Home competition</t>
  </si>
  <si>
    <t>Price increases</t>
  </si>
  <si>
    <t>Capex of $1 billion</t>
  </si>
  <si>
    <t>On track</t>
  </si>
  <si>
    <t>where / what?</t>
  </si>
  <si>
    <t>Inflation / energy</t>
  </si>
  <si>
    <t>more detail here…how has competition phased through Q3</t>
  </si>
  <si>
    <t>Anything new on mobile</t>
  </si>
  <si>
    <t>Working cap is one issue</t>
  </si>
  <si>
    <t>EFCF into Q4?</t>
  </si>
  <si>
    <t>phasing of capex into Q4…$100m less than in prior years</t>
  </si>
  <si>
    <t>$161m 9 months</t>
  </si>
  <si>
    <t>Rising rates, Sitios trading multiples</t>
  </si>
  <si>
    <t>inflation coming down…but what / when signing deals for 2023?</t>
  </si>
  <si>
    <t>Take a while to come into P&amp;L</t>
  </si>
  <si>
    <t>Some price elasticity of demand</t>
  </si>
  <si>
    <t>Even at the low-end of guide…big lift needed for EFCF</t>
  </si>
  <si>
    <t>Consuming pre-paid</t>
  </si>
  <si>
    <t>Colombia spectrum renewals in budget</t>
  </si>
  <si>
    <t>2022 on track</t>
  </si>
  <si>
    <t>Macro, inflation - but mostly FX has not really moved. This is the big difference</t>
  </si>
  <si>
    <t>Col and Para mainly - but little FCF from these markets</t>
  </si>
  <si>
    <t>Everest</t>
  </si>
  <si>
    <t>should be every 3-4 years, but this time we knew would be tougher</t>
  </si>
  <si>
    <t>started earlier this year, just after investor day</t>
  </si>
  <si>
    <t>Skirmish or long-term drag</t>
  </si>
  <si>
    <t>1. 2-player market, rational return driven investors. 60/40 market. No LT incentives to change</t>
  </si>
  <si>
    <t>2. faster and bolder respond, sooner rain will pass</t>
  </si>
  <si>
    <t>Mobile focused</t>
  </si>
  <si>
    <t>Cutting prices</t>
  </si>
  <si>
    <t>Energy costs up a lot in this market, 25%</t>
  </si>
  <si>
    <t>Energy</t>
  </si>
  <si>
    <t>Varies country</t>
  </si>
  <si>
    <t>Some price freezes</t>
  </si>
  <si>
    <t>Pre-pandemic, energy was 2% of sales</t>
  </si>
  <si>
    <t>up to 2.3% of sales</t>
  </si>
  <si>
    <t>Q3 23e</t>
  </si>
  <si>
    <t>Q4 23e</t>
  </si>
  <si>
    <t>Coverage obligations being booked</t>
  </si>
  <si>
    <t>Cash spectrum</t>
  </si>
  <si>
    <t>Working capital (capex / offset)</t>
  </si>
  <si>
    <t>Post Q3 22</t>
  </si>
  <si>
    <t>Cumulative</t>
  </si>
  <si>
    <t>Normalised EFCF</t>
  </si>
  <si>
    <t>EFCF after spectrum</t>
  </si>
  <si>
    <t>Luxembourg tax</t>
  </si>
  <si>
    <t>Can't recognise</t>
  </si>
  <si>
    <t>Need more profits gemerated in Lux</t>
  </si>
  <si>
    <t>$5.5 billion</t>
  </si>
  <si>
    <t>Acquire a profitable business</t>
  </si>
  <si>
    <t>Debt at Hold Co</t>
  </si>
  <si>
    <t>management fees charged</t>
  </si>
  <si>
    <t>Panama and Guatemala now charged</t>
  </si>
  <si>
    <t>Tango</t>
  </si>
  <si>
    <t>No 2/3 wireless asset Lux - Proximus</t>
  </si>
  <si>
    <t>Millicom SA</t>
  </si>
  <si>
    <t>MIC SA</t>
  </si>
  <si>
    <t>Non consolidated financials in annual report?</t>
  </si>
  <si>
    <t>Needs to be in same sector</t>
  </si>
  <si>
    <t>FY 23</t>
  </si>
  <si>
    <t>All amounts in USD millions except EPS</t>
  </si>
  <si>
    <t>IFRS Group</t>
  </si>
  <si>
    <t>Share of JVs</t>
  </si>
  <si>
    <t>Gains losses from associates</t>
  </si>
  <si>
    <t>Col</t>
  </si>
  <si>
    <t>YE</t>
  </si>
  <si>
    <t>Civil strike mid Oct to Nov. Transport, shops closed, queues in supermarkets</t>
  </si>
  <si>
    <t>Full Q impact of overage (pre paid)</t>
  </si>
  <si>
    <t>run out of balance, offer at much higher rates</t>
  </si>
  <si>
    <t>Mostly Santa Cruz (no 2 city), reduced mobility</t>
  </si>
  <si>
    <t>Macro noise, down 20% y/y. Debt in local FX</t>
  </si>
  <si>
    <t>Inflaton at 13%</t>
  </si>
  <si>
    <t>Home a little more competitive, impact from consumers</t>
  </si>
  <si>
    <t>Spectrum renewals</t>
  </si>
  <si>
    <t>Feb</t>
  </si>
  <si>
    <t>Dec</t>
  </si>
  <si>
    <t>60-70% spectrum being renewed in Colombia</t>
  </si>
  <si>
    <t>WOM, Claro, Movistar also - gave back some back</t>
  </si>
  <si>
    <t>Investor guide of $450m spend includes cash out</t>
  </si>
  <si>
    <t>Movistar renewed some spectrum…perhaps a discount</t>
  </si>
  <si>
    <t>$450m includes Colombia 700 MHz</t>
  </si>
  <si>
    <t>WOM spent $900m in Colombia so far</t>
  </si>
  <si>
    <t>Movistar - KKR - new competition</t>
  </si>
  <si>
    <t>ARPU down on home, mix shift. BB only</t>
  </si>
  <si>
    <t>Prices up…but not 13%...home/post paid also</t>
  </si>
  <si>
    <t>led prices up</t>
  </si>
  <si>
    <t>Touch comp in Q4</t>
  </si>
  <si>
    <t>Claro - higher comms on pre-paid (biggest part)</t>
  </si>
  <si>
    <t>Post paid growing, rest doing ok</t>
  </si>
  <si>
    <t>Guatemala - Claro making FCF</t>
  </si>
  <si>
    <t>Energy prices up moving up significantly</t>
  </si>
  <si>
    <t>Mobile coming back, doing quite well</t>
  </si>
  <si>
    <t>Govt pre-qualification phase - licence available</t>
  </si>
  <si>
    <t>Market pre-paid sort of unlimited - some sort of chord cutting</t>
  </si>
  <si>
    <t>move to post-paid?</t>
  </si>
  <si>
    <t>Home more competitive (LILA rolling out)</t>
  </si>
  <si>
    <t>4 players still (brands). Can't raise prices as LILA/Claro. Due to merge in Feb</t>
  </si>
  <si>
    <t>Mobile quite strong, home more competitive, a little weaker</t>
  </si>
  <si>
    <t>Shift to BB internet only</t>
  </si>
  <si>
    <t>Pay TV driven by football, didn’t have football rights</t>
  </si>
  <si>
    <t>Phasing of content / other costs</t>
  </si>
  <si>
    <t>Nicaragua doing very well. Macro pressures, migration</t>
  </si>
  <si>
    <t>remittances up</t>
  </si>
  <si>
    <t>Bolivia looks high</t>
  </si>
  <si>
    <t>Bcs of Bolivia?</t>
  </si>
  <si>
    <t>leverage</t>
  </si>
  <si>
    <t>net debt</t>
  </si>
  <si>
    <t>EBITDAaL</t>
  </si>
  <si>
    <t>Top Co liquidity</t>
  </si>
  <si>
    <t>Interest, post-tax</t>
  </si>
  <si>
    <t>Cumulative funding</t>
  </si>
  <si>
    <t>Other adjs</t>
  </si>
  <si>
    <t>Lease liabilities</t>
  </si>
  <si>
    <t>Net debt IAS 17</t>
  </si>
  <si>
    <t>Step 1: LBTY cash bid for TIGO</t>
  </si>
  <si>
    <t>Step 2: LBTY stock offer for LILA</t>
  </si>
  <si>
    <t>EFCF (LBTY definition)</t>
  </si>
  <si>
    <t>Accretion</t>
  </si>
  <si>
    <t>LBTY / TIGO / LILA</t>
  </si>
  <si>
    <t>EFCF per share</t>
  </si>
  <si>
    <t>accretion vs standalone</t>
  </si>
  <si>
    <t>Millicom bid price, USD</t>
  </si>
  <si>
    <t>SHOUT, million</t>
  </si>
  <si>
    <t>Additional debt at LBTY (ex leases)</t>
  </si>
  <si>
    <t>EFCF / share, USD</t>
  </si>
  <si>
    <t xml:space="preserve">LBTY w/ TIGO </t>
  </si>
  <si>
    <t>Implied bid EV/EBITDA (simple)</t>
  </si>
  <si>
    <t>Implied bid EV/EBITDA (EV adjs)</t>
  </si>
  <si>
    <t>Cash component (from LBTY Top Co)</t>
  </si>
  <si>
    <t>Balance of LBTY Top Co liquidity</t>
  </si>
  <si>
    <t>Additional debt funding required</t>
  </si>
  <si>
    <t>EBITDA (after leases)</t>
  </si>
  <si>
    <t>Net debt (ex leases)</t>
  </si>
  <si>
    <t>LBTY price for stock issuance, USD</t>
  </si>
  <si>
    <t>SHOUT issued, million</t>
  </si>
  <si>
    <t>LILA bid price, USD</t>
  </si>
  <si>
    <t>Target equity</t>
  </si>
  <si>
    <t>(assume silos in place)</t>
  </si>
  <si>
    <t>"LBTY Latin America" (TIGO + LLA)</t>
  </si>
  <si>
    <t>Finance costs, after tax</t>
  </si>
  <si>
    <t>(Net debt to EBITDA LBTY standalone)</t>
  </si>
  <si>
    <t>2022A</t>
  </si>
  <si>
    <t>Niel</t>
  </si>
  <si>
    <t>7% pre leak</t>
  </si>
  <si>
    <t>Apollo leak</t>
  </si>
  <si>
    <t>bought stock</t>
  </si>
  <si>
    <t>13D</t>
  </si>
  <si>
    <t>Nominating committee for Board</t>
  </si>
  <si>
    <t>30 June - reach out to major shareholders</t>
  </si>
  <si>
    <t>EGM</t>
  </si>
  <si>
    <t>50% of shares to show up at rights offering…didn’t turn up</t>
  </si>
  <si>
    <t>Squeeze out</t>
  </si>
  <si>
    <t>No formal bid</t>
  </si>
  <si>
    <t>Then starts a timetable</t>
  </si>
  <si>
    <t>Due diligence</t>
  </si>
  <si>
    <t>Assume so</t>
  </si>
  <si>
    <t>Imagine some kind of data room</t>
  </si>
  <si>
    <t>Debt investors</t>
  </si>
  <si>
    <t>Worried about leverage</t>
  </si>
  <si>
    <t>If trigger some change of control</t>
  </si>
  <si>
    <t>Renegotiate all debt…5 handle on them, trading at 8%</t>
  </si>
  <si>
    <t>Change of control</t>
  </si>
  <si>
    <t>Believe would have to renegotiate</t>
  </si>
  <si>
    <t>Might not apply to all</t>
  </si>
  <si>
    <t>144A larger bonds, might not apply to all</t>
  </si>
  <si>
    <t>Hold Co vs OpCo debt rules may be different</t>
  </si>
  <si>
    <t>Devaluation risk</t>
  </si>
  <si>
    <t>All debt is in local currencies</t>
  </si>
  <si>
    <t>Running low on reserves</t>
  </si>
  <si>
    <t>Morales left, interim government, guy in charge is Morales party guide</t>
  </si>
  <si>
    <t>No problems getting money out of the country</t>
  </si>
  <si>
    <t>President wants to fix prices on utilities…not including telecoms</t>
  </si>
  <si>
    <t>8-10% share on post-paid?</t>
  </si>
  <si>
    <t>Tigo raising prices</t>
  </si>
  <si>
    <t>Claro has disappeared</t>
  </si>
  <si>
    <t>Mostly pre-paid</t>
  </si>
  <si>
    <t>Digicel up for sale…same guys in El Salvador bidding</t>
  </si>
  <si>
    <t>General International Telecom</t>
  </si>
  <si>
    <t>Target Price, USD</t>
  </si>
  <si>
    <t>FY 24</t>
  </si>
  <si>
    <t>FY 25</t>
  </si>
  <si>
    <t>Niel up to 21%, filed through 13D</t>
  </si>
  <si>
    <t>Not yet sent out convening notice</t>
  </si>
  <si>
    <t>Clearly a big due diligence process</t>
  </si>
  <si>
    <t>9.8% in Guatemala, 13% in Colombia as of March</t>
  </si>
  <si>
    <t>Efficiency program, countries/HQ</t>
  </si>
  <si>
    <t>$100m annual run rate by 2024</t>
  </si>
  <si>
    <t>Started in Q1 23…some upfront costs, severance etc</t>
  </si>
  <si>
    <t>Will see some one offs</t>
  </si>
  <si>
    <t>EFCF seasonal, will be negative in Q1. Q4 strong</t>
  </si>
  <si>
    <t>capex, licences for year ahead</t>
  </si>
  <si>
    <t>August - reg change on pre-paid, lap into Q2</t>
  </si>
  <si>
    <t>Ratings downgrades</t>
  </si>
  <si>
    <t>FX stable in Q, down y/y. Inflation up</t>
  </si>
  <si>
    <t>Tigo UNE - protesting outside office, fired people</t>
  </si>
  <si>
    <t>Mobile ok</t>
  </si>
  <si>
    <t>Home more competitive</t>
  </si>
  <si>
    <t>Raised prices, everybody followed</t>
  </si>
  <si>
    <t>post and pre-paid</t>
  </si>
  <si>
    <t>Spectrum renewal</t>
  </si>
  <si>
    <t xml:space="preserve">Feb 23 - still negotiating </t>
  </si>
  <si>
    <t>2.5-2.6 for TIGO B2C post-paid</t>
  </si>
  <si>
    <t>WOM post</t>
  </si>
  <si>
    <t>WOM total subs</t>
  </si>
  <si>
    <t>end-22</t>
  </si>
  <si>
    <t>TIGO adding on both B2C post and B2B post</t>
  </si>
  <si>
    <t>Lost a big B2B govt contract, lost mid 2022</t>
  </si>
  <si>
    <t>Energy prices</t>
  </si>
  <si>
    <t>Claro, KKR/TEF. Total HPs not really growing</t>
  </si>
  <si>
    <t>Service revs up 14%</t>
  </si>
  <si>
    <t>Home side - down low single digit. Loss of RGUs</t>
  </si>
  <si>
    <t>B2B is very strong in Q4…one off ish</t>
  </si>
  <si>
    <t>No increase in competition</t>
  </si>
  <si>
    <t>Q4 flattered by WC…only market with exclusive</t>
  </si>
  <si>
    <t>But pre-paid is competitive, AMX still aggressive</t>
  </si>
  <si>
    <t>pricing, commissions</t>
  </si>
  <si>
    <t>Q1 21 margin artificially high…</t>
  </si>
  <si>
    <t>Not much to add</t>
  </si>
  <si>
    <t>Claro no longer in the market</t>
  </si>
  <si>
    <t>New bidder for Digicel…TEF El Sal bidder</t>
  </si>
  <si>
    <t>B2B v strong in Q4 21</t>
  </si>
  <si>
    <t>Pick up share as brands merge</t>
  </si>
  <si>
    <t>Good macro; inflation from 11% to 7%. FX stable</t>
  </si>
  <si>
    <t>Mobile, B2B doing well</t>
  </si>
  <si>
    <t>Nic/CR</t>
  </si>
  <si>
    <t>CR FX up a lot…15% impact y/y. $34m from CR</t>
  </si>
  <si>
    <t>Nic doing well, mobile strong</t>
  </si>
  <si>
    <t>A lot people leaving Nic</t>
  </si>
  <si>
    <t>Remittances up 60% in Jan and Feb (y/y)</t>
  </si>
  <si>
    <t>Upfront</t>
  </si>
  <si>
    <t>2026-37</t>
  </si>
  <si>
    <t>45% coverage reqs</t>
  </si>
  <si>
    <t>Total (ex DTV)</t>
  </si>
  <si>
    <t>Acquired majority stake, deal closed 2021</t>
  </si>
  <si>
    <t>5G spectrum auction</t>
  </si>
  <si>
    <t>Q1 23</t>
  </si>
  <si>
    <t>Q1 23 earnings call</t>
  </si>
  <si>
    <t>$15m is done or more to come</t>
  </si>
  <si>
    <t>How feel about $450m EFCF guide for 22/23/24?</t>
  </si>
  <si>
    <t>Honduras $48m…is that it for FY 23?</t>
  </si>
  <si>
    <t>$162m FY 22</t>
  </si>
  <si>
    <t>What are the deltas to push this up?</t>
  </si>
  <si>
    <t>$53m this Q very lumpy?</t>
  </si>
  <si>
    <t>B2B Digital service revenue</t>
  </si>
  <si>
    <t>Moderating home build</t>
  </si>
  <si>
    <t>Softer consumer demand?</t>
  </si>
  <si>
    <t>Sell majority stake to financial partner</t>
  </si>
  <si>
    <t>Why the increase in stock compensation</t>
  </si>
  <si>
    <t>When start to see benefits come through, end 24 for full $100m</t>
  </si>
  <si>
    <t>How post-paid evolution doing?</t>
  </si>
  <si>
    <t>Q1 23 adj</t>
  </si>
  <si>
    <t>Pricing…?</t>
  </si>
  <si>
    <t>Where able to push up, geos/segments</t>
  </si>
  <si>
    <t>Strong performance, though slowing</t>
  </si>
  <si>
    <t>Includes some of the $15m ?</t>
  </si>
  <si>
    <t>What sort of margin running on this</t>
  </si>
  <si>
    <t>Impacted by share price move… mid single digit $m</t>
  </si>
  <si>
    <t>Content costs</t>
  </si>
  <si>
    <t>Commercial intensity…pre paid reloads lifting</t>
  </si>
  <si>
    <t>Pricing has stabilised</t>
  </si>
  <si>
    <t>Macro challenges in Col and Bolivia</t>
  </si>
  <si>
    <t>Toward 15% capex/sales</t>
  </si>
  <si>
    <t>$100m lower</t>
  </si>
  <si>
    <t>should we assume this level going forward</t>
  </si>
  <si>
    <t>Talk more about pricing</t>
  </si>
  <si>
    <t>Strategic alternatives for consolidation in Colombia</t>
  </si>
  <si>
    <t>Making progress on mobile</t>
  </si>
  <si>
    <t>Colombian mobile - inorganic solutions needed</t>
  </si>
  <si>
    <t>Talking up a deal</t>
  </si>
  <si>
    <t>Market of 1</t>
  </si>
  <si>
    <t>Next year renewing spectrum…something has to change</t>
  </si>
  <si>
    <t>Working on all such options. For a while</t>
  </si>
  <si>
    <t>Something may happen.. Possibly?</t>
  </si>
  <si>
    <t>revenue vs cost</t>
  </si>
  <si>
    <t>Fixed Panama</t>
  </si>
  <si>
    <t>getting money out OK</t>
  </si>
  <si>
    <t>Home growing, TIGO business also</t>
  </si>
  <si>
    <t>Pre-paid is the issue</t>
  </si>
  <si>
    <t>pre-paid ramped up 1 year ago</t>
  </si>
  <si>
    <t>defend through network, pairing 700 MHz spectrum, makes a big difference, distribution channels</t>
  </si>
  <si>
    <t>defend pricing levels…pre-paid vols have held well. Same share/subs</t>
  </si>
  <si>
    <t>not seen increaed price pressure</t>
  </si>
  <si>
    <t>Q1 ebitda looks awful in guatemala</t>
  </si>
  <si>
    <t>reloads picking up, quite positive to pre-paid come back</t>
  </si>
  <si>
    <t>lap competition mid 2022</t>
  </si>
  <si>
    <t>flex on how to adjust capex as needed</t>
  </si>
  <si>
    <t>$100m reduction</t>
  </si>
  <si>
    <t>1/ home builds in bolivia and colombia. Discretionary</t>
  </si>
  <si>
    <t>3 buckets</t>
  </si>
  <si>
    <t>2/ activity based, home connections. Some self imposed, discretionary partly</t>
  </si>
  <si>
    <t>3/ pricing negotiated…with vendors, will continue to roll through</t>
  </si>
  <si>
    <t>went to all vendors with 3 year plans, capacity needs, same with less $</t>
  </si>
  <si>
    <t>15% continues to be the long-term goal…this is wh</t>
  </si>
  <si>
    <t>Increased a little…seasonality of cash flows</t>
  </si>
  <si>
    <t>FX translation issues…COP 5% from YE levels</t>
  </si>
  <si>
    <t>Softer demand…ebb coming out of pandemic</t>
  </si>
  <si>
    <t>notably Colombia and Bolivia</t>
  </si>
  <si>
    <t>Other geos remain pretty healthy</t>
  </si>
  <si>
    <t>CA continues to grow</t>
  </si>
  <si>
    <t>Paraguay also</t>
  </si>
  <si>
    <t>Licence</t>
  </si>
  <si>
    <t>Renewal…toward end of 1900 MHz process, terms almost final. As expected</t>
  </si>
  <si>
    <t>cost high, as expected</t>
  </si>
  <si>
    <t>may take a few more months</t>
  </si>
  <si>
    <t>Renewal of AWS is coming</t>
  </si>
  <si>
    <t>No stated auctions otherwise</t>
  </si>
  <si>
    <t>5G - slow burn process</t>
  </si>
  <si>
    <t>Auction of 2600 MHz spectrum</t>
  </si>
  <si>
    <t>Would be imporant development for industry</t>
  </si>
  <si>
    <t>Renewal is onto the BS of $250m..</t>
  </si>
  <si>
    <t>terms to be decided</t>
  </si>
  <si>
    <t>20 year licence</t>
  </si>
  <si>
    <t>Revamped strategy before pandemic</t>
  </si>
  <si>
    <t>All paying off as coming out of pandemic</t>
  </si>
  <si>
    <t>Very broad based across all ops, including HQ</t>
  </si>
  <si>
    <t>not just headcount</t>
  </si>
  <si>
    <t>On target to get $50m of run rate by 2023</t>
  </si>
  <si>
    <t>Bulk of implementation in Q1</t>
  </si>
  <si>
    <t>Tower deal..?</t>
  </si>
  <si>
    <t>Economics quite clear</t>
  </si>
  <si>
    <t>Follow up Q&amp;A</t>
  </si>
  <si>
    <t>Stock compensation</t>
  </si>
  <si>
    <t>Price shares calculated (Q4 average) granted in March</t>
  </si>
  <si>
    <t>Day shares are granted</t>
  </si>
  <si>
    <t>Vest over 3 years</t>
  </si>
  <si>
    <t>$20m difference, in 4 even instalments</t>
  </si>
  <si>
    <t>Included in "other" is a small amount M2M</t>
  </si>
  <si>
    <t>For MSUs in pandemic, linked to share price payable in cash</t>
  </si>
  <si>
    <t>Other non-cash</t>
  </si>
  <si>
    <t>Bought additional spectrum</t>
  </si>
  <si>
    <t>LILAC bought Claro…some parity</t>
  </si>
  <si>
    <t>Tax amnesty</t>
  </si>
  <si>
    <t>Last year reached an agreement to resolve a host of tax issues</t>
  </si>
  <si>
    <t xml:space="preserve">Broader government efforts to settle/ a total payment of $40m </t>
  </si>
  <si>
    <t>Some in P&amp;L</t>
  </si>
  <si>
    <t>$20m paid in Q4…all got booked in Q4 $20m booked in accounts payable</t>
  </si>
  <si>
    <t>$150m of tax risk</t>
  </si>
  <si>
    <t>declined when sold Tanzania</t>
  </si>
  <si>
    <t xml:space="preserve">Renewal cost </t>
  </si>
  <si>
    <t>Provisions…up by $230m</t>
  </si>
  <si>
    <t>IS34 - will see that</t>
  </si>
  <si>
    <t>Taken on a liability</t>
  </si>
  <si>
    <t>Renewal date was Feb-23…Tigo has filed desire to renew spectrum</t>
  </si>
  <si>
    <t>Headline price all but defined</t>
  </si>
  <si>
    <t>some amortisation of spectrum every Q</t>
  </si>
  <si>
    <t>20 MHz in 1900</t>
  </si>
  <si>
    <t>When bought 700 MHz, got x2 blocks</t>
  </si>
  <si>
    <t>Idea was might return other spectrum</t>
  </si>
  <si>
    <t>May not need all the spectrum</t>
  </si>
  <si>
    <t>Dec is the time for this</t>
  </si>
  <si>
    <t>AWS spectrum is 30 MHz, bought 10 years ago</t>
  </si>
  <si>
    <t>3% share of revenue, 6% of post-paid</t>
  </si>
  <si>
    <t>expected to renew spectrum at perhaps $250m</t>
  </si>
  <si>
    <t>absolutely necessary</t>
  </si>
  <si>
    <t>Small amount of 2.5GHz</t>
  </si>
  <si>
    <t>Taking $100m out of Chile</t>
  </si>
  <si>
    <t>Movistar probably needs to uprade</t>
  </si>
  <si>
    <t>Consolidation</t>
  </si>
  <si>
    <t>Millicom no 2 in the market, burning cash</t>
  </si>
  <si>
    <t>Fixed players as well..</t>
  </si>
  <si>
    <t>Movistar sold access to KKR</t>
  </si>
  <si>
    <t>A new level</t>
  </si>
  <si>
    <t>AMX more aggressive on pricing</t>
  </si>
  <si>
    <t>using spectrum which didn't previously cover, where market share low</t>
  </si>
  <si>
    <t>gone with price, but also on the distribution side</t>
  </si>
  <si>
    <t>distro networs are perhaps the biggest advantage</t>
  </si>
  <si>
    <t>more lucrative to do deals wih Tigo, as sell more with Tigo</t>
  </si>
  <si>
    <t>Want to do more with market leader</t>
  </si>
  <si>
    <t>Historically charge a premium still</t>
  </si>
  <si>
    <t>Know when premium is too high</t>
  </si>
  <si>
    <t>Corrected gap</t>
  </si>
  <si>
    <t>Group (ex Honduras)</t>
  </si>
  <si>
    <t>Bart Vanhaeren</t>
  </si>
  <si>
    <t>Treasury guy at Tigo</t>
  </si>
  <si>
    <t>Needs to do a capital increase</t>
  </si>
  <si>
    <t>Use Apollo, as part of consolidation</t>
  </si>
  <si>
    <t>dilute Niel</t>
  </si>
  <si>
    <t>Work with Marcelo</t>
  </si>
  <si>
    <t>Put TEF in the Hold Co, capital down in op cos</t>
  </si>
  <si>
    <t>Keep building…grinding away</t>
  </si>
  <si>
    <t>Potential consolidation…management distraction</t>
  </si>
  <si>
    <t>WOM outside of consolidation</t>
  </si>
  <si>
    <t>Their value is in getting to 25% market share</t>
  </si>
  <si>
    <t>Blue Note consulting</t>
  </si>
  <si>
    <t>Worked with WOM in Chile, and then in Colombia</t>
  </si>
  <si>
    <t>Juan Ignacio - ran spectrum auction in Colombia in June 2013 when Avantel bought</t>
  </si>
  <si>
    <t>Works with GSMA, governments etc</t>
  </si>
  <si>
    <t>700 MHz auction in Peru</t>
  </si>
  <si>
    <t>Software</t>
  </si>
  <si>
    <t>In-kind payments…very pedantic with how you pay</t>
  </si>
  <si>
    <t>Financing at local rates are problematic, Claro just pay it</t>
  </si>
  <si>
    <t>Nacho Roman</t>
  </si>
  <si>
    <t>Porting huge numbers</t>
  </si>
  <si>
    <t>former Digicel</t>
  </si>
  <si>
    <t>Fee</t>
  </si>
  <si>
    <t>US cents/ MHz/ POP</t>
  </si>
  <si>
    <t>Possible additional obligations</t>
  </si>
  <si>
    <t>700 MHz (50% deferred)</t>
  </si>
  <si>
    <t>1.9 GHz</t>
  </si>
  <si>
    <t>Adj for Colombia liabilities</t>
  </si>
  <si>
    <t>Simplied debt schedule</t>
  </si>
  <si>
    <t>STIBOR + 2.35%</t>
  </si>
  <si>
    <t>STIBOR + 3%</t>
  </si>
  <si>
    <t>Lux 24</t>
  </si>
  <si>
    <t>Lux 27</t>
  </si>
  <si>
    <t>Lux 31</t>
  </si>
  <si>
    <t>Lux 26</t>
  </si>
  <si>
    <t>Lux 28</t>
  </si>
  <si>
    <t>Lux 29</t>
  </si>
  <si>
    <t>Hold Co bonds</t>
  </si>
  <si>
    <t>Hold Co interest</t>
  </si>
  <si>
    <t>Para 27</t>
  </si>
  <si>
    <t>Bolivia (bunch)</t>
  </si>
  <si>
    <t>Colombia / UNE (bunch)</t>
  </si>
  <si>
    <t>CPI + 4%</t>
  </si>
  <si>
    <t>Panama 30</t>
  </si>
  <si>
    <t>Guat 32</t>
  </si>
  <si>
    <t>Bank loans</t>
  </si>
  <si>
    <t>Op co bonds</t>
  </si>
  <si>
    <t>Total loans/financing</t>
  </si>
  <si>
    <t>Total bonds/banks</t>
  </si>
  <si>
    <t>Total including leases</t>
  </si>
  <si>
    <t>Less Tax</t>
  </si>
  <si>
    <t>Wireless revenue</t>
  </si>
  <si>
    <t>Wholesate rate</t>
  </si>
  <si>
    <t>Paid to JV (Revenue)</t>
  </si>
  <si>
    <t>Net debt / EBITDA</t>
  </si>
  <si>
    <t>Net debt in JV</t>
  </si>
  <si>
    <t>Equalisation payment</t>
  </si>
  <si>
    <t>Assumed Infra multiple</t>
  </si>
  <si>
    <t>Colombia debt</t>
  </si>
  <si>
    <t>Debt into JV</t>
  </si>
  <si>
    <t>Balance of debt</t>
  </si>
  <si>
    <t>Spectrum liabilities (100%)</t>
  </si>
  <si>
    <t>Fixed revenue</t>
  </si>
  <si>
    <t>Fair equity split</t>
  </si>
  <si>
    <t>Equity split after payment</t>
  </si>
  <si>
    <t>Movistar JV</t>
  </si>
  <si>
    <t>JV EBITDAaL</t>
  </si>
  <si>
    <t>04-13-2023</t>
  </si>
  <si>
    <t>04-14-2023</t>
  </si>
  <si>
    <t>04-17-2023</t>
  </si>
  <si>
    <t>04-18-2023</t>
  </si>
  <si>
    <t>04-19-2023</t>
  </si>
  <si>
    <t>04-20-2023</t>
  </si>
  <si>
    <t>04-21-2023</t>
  </si>
  <si>
    <t>04-24-2023</t>
  </si>
  <si>
    <t>04-25-2023</t>
  </si>
  <si>
    <t>03-13-2023</t>
  </si>
  <si>
    <t>03-14-2023</t>
  </si>
  <si>
    <t>03-15-2023</t>
  </si>
  <si>
    <t>03-17-2023</t>
  </si>
  <si>
    <t>03-20-2023</t>
  </si>
  <si>
    <t>03-21-2023</t>
  </si>
  <si>
    <t>03-22-2023</t>
  </si>
  <si>
    <t>03-23-2023</t>
  </si>
  <si>
    <t>03-24-2023</t>
  </si>
  <si>
    <t>03-28-2023</t>
  </si>
  <si>
    <t>COP m</t>
  </si>
  <si>
    <t>Today's fx</t>
  </si>
  <si>
    <t>Annualised Q4 22 (Reg data) in today's FX</t>
  </si>
  <si>
    <t>TIGO Retail biz</t>
  </si>
  <si>
    <t>Rural - active sharing (RAN, not spectrum)</t>
  </si>
  <si>
    <t>Urban - passive sharing (towers)</t>
  </si>
  <si>
    <t>Sensecheck</t>
  </si>
  <si>
    <t>Movistar retail EBITDAaL</t>
  </si>
  <si>
    <t>TIGO retail EBITDAaL</t>
  </si>
  <si>
    <t>Total EBITDAaL</t>
  </si>
  <si>
    <t>REG DATA</t>
  </si>
  <si>
    <t>TIGO Colombia today</t>
  </si>
  <si>
    <t>Equity post-spectrum</t>
  </si>
  <si>
    <t>100% of JV equity</t>
  </si>
  <si>
    <t>EBITDAaL margin</t>
  </si>
  <si>
    <t>higher as runs capex</t>
  </si>
  <si>
    <t>Movistar EBITDAaL</t>
  </si>
  <si>
    <t>TEF Col, EUR</t>
  </si>
  <si>
    <t>TIGO EBITDAaL</t>
  </si>
  <si>
    <t xml:space="preserve">% margin </t>
  </si>
  <si>
    <t>Debt/EBITDAaL</t>
  </si>
  <si>
    <t xml:space="preserve">TIGO Colombia value </t>
  </si>
  <si>
    <t>TIGO Colombia share</t>
  </si>
  <si>
    <t>TIGO Col Retail biz</t>
  </si>
  <si>
    <t>TIGO Colombia value per share</t>
  </si>
  <si>
    <t>TIGO share of TIGO Colombia</t>
  </si>
  <si>
    <t>TIGO Colombia fixed</t>
  </si>
  <si>
    <t>Novator (WOM)</t>
  </si>
  <si>
    <t>EBITDA (clean)</t>
  </si>
  <si>
    <t>Q2 23</t>
  </si>
  <si>
    <t>Not an ARPU issue, maintaining market share</t>
  </si>
  <si>
    <t>Maintaining subs base</t>
  </si>
  <si>
    <t>Commissions</t>
  </si>
  <si>
    <t>Marketing</t>
  </si>
  <si>
    <t>Matching the plans</t>
  </si>
  <si>
    <t>TIGO has a price premium to Claro</t>
  </si>
  <si>
    <t>Some revs risk therefore</t>
  </si>
  <si>
    <t>Free tik tok, instagram - matching a lot of it</t>
  </si>
  <si>
    <t>Spectrum auction</t>
  </si>
  <si>
    <t xml:space="preserve">$33m </t>
  </si>
  <si>
    <t>June, cash out in quarter</t>
  </si>
  <si>
    <t>Budgeted much higher than this</t>
  </si>
  <si>
    <t>70% of it, 30% to Claro</t>
  </si>
  <si>
    <t>TIGO had less spectrum than Claro</t>
  </si>
  <si>
    <t>Spectrum for life</t>
  </si>
  <si>
    <t>Slightly higher than expected ($19m)</t>
  </si>
  <si>
    <t>Elections</t>
  </si>
  <si>
    <t>Departing government announced</t>
  </si>
  <si>
    <t>700 MHz auction for late 2023</t>
  </si>
  <si>
    <t>$259m for 1900 MHz renewal. Was up in Feb, still don’t know the terms</t>
  </si>
  <si>
    <t>Had planned for upfront, coverage, instalments</t>
  </si>
  <si>
    <t>20 year renewal</t>
  </si>
  <si>
    <t>Upfront higher than expected</t>
  </si>
  <si>
    <t>5G auction date for December</t>
  </si>
  <si>
    <t>Don’t want it</t>
  </si>
  <si>
    <t>Telefonica deal</t>
  </si>
  <si>
    <t>Need approval, not quick</t>
  </si>
  <si>
    <t>JV ideally exists before 5G auction</t>
  </si>
  <si>
    <t>Equity into Colombia</t>
  </si>
  <si>
    <t>Not FCF positive</t>
  </si>
  <si>
    <t>Putting money in</t>
  </si>
  <si>
    <t>Liquidity issues</t>
  </si>
  <si>
    <t>Never asked the partner to put money in before</t>
  </si>
  <si>
    <t>Driven by Millicom</t>
  </si>
  <si>
    <t>Local election later this year</t>
  </si>
  <si>
    <t>y/y impact from regs</t>
  </si>
  <si>
    <t>international reserves declining</t>
  </si>
  <si>
    <t>de facto devaluation….10% commission</t>
  </si>
  <si>
    <t>maintain PEG to the $ might be tricky. PEG popular</t>
  </si>
  <si>
    <t>monetised gold reserves recently</t>
  </si>
  <si>
    <t>lithium reserves, deal with China?</t>
  </si>
  <si>
    <t>customer / consumer demand</t>
  </si>
  <si>
    <t>still getting cash out but at a different exchange rate</t>
  </si>
  <si>
    <t>all debt in locak currencies</t>
  </si>
  <si>
    <t>pay huawei debt in bolivianos</t>
  </si>
  <si>
    <t>comm booked though fin expenses</t>
  </si>
  <si>
    <t>a few million per Q $</t>
  </si>
  <si>
    <t>$100m less than 2022 ($971m)</t>
  </si>
  <si>
    <t>Pulling back on homes in Col and Bolivia</t>
  </si>
  <si>
    <t>Will be lower than this…slightly</t>
  </si>
  <si>
    <t>Could be nearer $850m for FY</t>
  </si>
  <si>
    <t>IRR on homes</t>
  </si>
  <si>
    <t>Demand side is lower…</t>
  </si>
  <si>
    <t>Churn is high on fixed</t>
  </si>
  <si>
    <t>Move to x1 play from dual/triple</t>
  </si>
  <si>
    <t>Q2 costs lower than Q1</t>
  </si>
  <si>
    <t>$50m run rate end-23</t>
  </si>
  <si>
    <t>net positive savings</t>
  </si>
  <si>
    <t>$100m run rate end-24</t>
  </si>
  <si>
    <t>Partner</t>
  </si>
  <si>
    <t>Adj. EBITDA</t>
  </si>
  <si>
    <t>Margins</t>
  </si>
  <si>
    <t>Lease expenses</t>
  </si>
  <si>
    <t>% of sales</t>
  </si>
  <si>
    <t>Less: Tax</t>
  </si>
  <si>
    <t>Less: NWC</t>
  </si>
  <si>
    <t>Less: Dividend</t>
  </si>
  <si>
    <t>Cash and CE</t>
  </si>
  <si>
    <t>Credit facilities</t>
  </si>
  <si>
    <t>Total liquidity</t>
  </si>
  <si>
    <t>Debt schedule</t>
  </si>
  <si>
    <t>Banks</t>
  </si>
  <si>
    <t>Local bonds</t>
  </si>
  <si>
    <t>International bonds</t>
  </si>
  <si>
    <t>&gt;</t>
  </si>
  <si>
    <t>Current debt and financing</t>
  </si>
  <si>
    <t>Non-current debt and financing</t>
  </si>
  <si>
    <t>Cash and cash equivalents</t>
  </si>
  <si>
    <t>of which lease</t>
  </si>
  <si>
    <t>IAS 17 gross debt</t>
  </si>
  <si>
    <t>Net debt IAS17</t>
  </si>
  <si>
    <t>Less: Lease expenses</t>
  </si>
  <si>
    <t>Less: Interest</t>
  </si>
  <si>
    <t>ND/EBITDA</t>
  </si>
  <si>
    <t>ND/EBITDAaL</t>
  </si>
  <si>
    <t>Acquisitions/disposals (inc. spectrum)</t>
  </si>
  <si>
    <t>Debt structure</t>
  </si>
  <si>
    <t>Other (Bilateral facilities etc)</t>
  </si>
  <si>
    <t>Sum</t>
  </si>
  <si>
    <t>Bonds:</t>
  </si>
  <si>
    <t>Paraguay (PYG)</t>
  </si>
  <si>
    <t>Bolivia (BOB)</t>
  </si>
  <si>
    <t>Colombia (UNE)</t>
  </si>
  <si>
    <t>ESG-linked</t>
  </si>
  <si>
    <t>USD/SEK</t>
  </si>
  <si>
    <t>Undrawn RCF</t>
  </si>
  <si>
    <t>Interest coverage</t>
  </si>
  <si>
    <t>FCF g</t>
  </si>
  <si>
    <t>Exit multiple</t>
  </si>
  <si>
    <t>EV ex other</t>
  </si>
  <si>
    <t>As % of EV</t>
  </si>
  <si>
    <t>Asset pre debt</t>
  </si>
  <si>
    <t>Asset cover</t>
  </si>
  <si>
    <t>Weight</t>
  </si>
  <si>
    <t>Millicom EV</t>
  </si>
  <si>
    <t>2026E</t>
  </si>
  <si>
    <t>Spectrum drag</t>
  </si>
  <si>
    <t>FCF pre cash spectrum</t>
  </si>
  <si>
    <t>FCF (after rax)</t>
  </si>
  <si>
    <t>Lost FCF</t>
  </si>
  <si>
    <t>Licenses</t>
  </si>
  <si>
    <t>Leasing less associates</t>
  </si>
  <si>
    <t xml:space="preserve"> of which leases</t>
  </si>
  <si>
    <t>Q2 23 adj</t>
  </si>
  <si>
    <t>Restructuring charges / other</t>
  </si>
  <si>
    <t>With Spectum obligations</t>
  </si>
  <si>
    <t>Calculated (rep)</t>
  </si>
  <si>
    <t>Calculated (adj)</t>
  </si>
  <si>
    <t>IAS 17 with Spectrum liabilities in Colombia</t>
  </si>
  <si>
    <t>Calc (rep)</t>
  </si>
  <si>
    <t>EBITDA AL</t>
  </si>
  <si>
    <t>Calc (rep) with spectrum</t>
  </si>
  <si>
    <t>Q2 23 net debt</t>
  </si>
  <si>
    <t>Hope and expectation that it can get done</t>
  </si>
  <si>
    <t>feed through in 2023…in H2</t>
  </si>
  <si>
    <t>$6m in Q2, vs $15m in Q1</t>
  </si>
  <si>
    <t>FY will be a net benefit…</t>
  </si>
  <si>
    <t>Costs of $21m</t>
  </si>
  <si>
    <t>Headcount.. not only</t>
  </si>
  <si>
    <t>IT, service optimisation, energy as a service</t>
  </si>
  <si>
    <t>Fintech spend</t>
  </si>
  <si>
    <t>VIX - some investments here</t>
  </si>
  <si>
    <t>Some investment levels</t>
  </si>
  <si>
    <t>Running at $50m per Q. Largely lapped</t>
  </si>
  <si>
    <t>Lending in Paraguay…yielding</t>
  </si>
  <si>
    <t>No longer a drag on EBITDA…need to grow the top line</t>
  </si>
  <si>
    <t>Not been part of Everest</t>
  </si>
  <si>
    <t>2.6 GHz helps restore the spectrum advantage</t>
  </si>
  <si>
    <t>Spectrum advantage in Guatemala for Claro until 2.6 GHz</t>
  </si>
  <si>
    <t>AMX trying to impact the network</t>
  </si>
  <si>
    <t>700 MHz in Guatemala</t>
  </si>
  <si>
    <t>High minimum price</t>
  </si>
  <si>
    <t>x2 as high as budgeted</t>
  </si>
  <si>
    <t>Own some 700 MHz spectrum</t>
  </si>
  <si>
    <t>$33m for 2.6 GHz…buy less, but perhaps &gt; on a per MHz/POP</t>
  </si>
  <si>
    <t>Claro are making money in Guatemala</t>
  </si>
  <si>
    <t>10x EBITDA for TEF…for the spectrum. $300m or so</t>
  </si>
  <si>
    <t>Claro changed their GM not long ago</t>
  </si>
  <si>
    <t>Spent a lot…built up network on the 900 MHz</t>
  </si>
  <si>
    <t>Money into channels, handsets</t>
  </si>
  <si>
    <t>Claro raised money in post-paid. Hopefully stop giving away tick tock</t>
  </si>
  <si>
    <t>Easier access to $</t>
  </si>
  <si>
    <t>Loans from outside</t>
  </si>
  <si>
    <t>Effective control</t>
  </si>
  <si>
    <t>No incentive to give anything away to shareholders</t>
  </si>
  <si>
    <t>TIGO + Movistar</t>
  </si>
  <si>
    <t>Discontinued operations/other</t>
  </si>
  <si>
    <t>Honduras (not consolidated)</t>
  </si>
  <si>
    <t xml:space="preserve">Costa Rica/Nicaragua </t>
  </si>
  <si>
    <t>03-Jul-23</t>
  </si>
  <si>
    <t>Oct 27 2022, 7%</t>
  </si>
  <si>
    <t>Dec 22, 8% Soc Gen</t>
  </si>
  <si>
    <t>Since 21%</t>
  </si>
  <si>
    <t>EFCF pre spectrum</t>
  </si>
  <si>
    <t>EFCF, USD million</t>
  </si>
  <si>
    <t>% Yield</t>
  </si>
  <si>
    <t>Cumulative 2022-24</t>
  </si>
  <si>
    <t>Guide 2022-24</t>
  </si>
  <si>
    <t>&gt;$500m (formerly $800m-1 bn)</t>
  </si>
  <si>
    <t>Bolivia / Paraguay</t>
  </si>
  <si>
    <t>NWC</t>
  </si>
  <si>
    <t>Debt maturity profile</t>
  </si>
  <si>
    <t>Millicom ($m)</t>
  </si>
  <si>
    <t>Lease (int and depr)</t>
  </si>
  <si>
    <t>&gt;2033</t>
  </si>
  <si>
    <t>Lease interest payments, net</t>
  </si>
  <si>
    <t xml:space="preserve">Lease principal repayments </t>
  </si>
  <si>
    <t>Cash Capex (excluding spectrum and licences)</t>
  </si>
  <si>
    <t>Spectrum paid</t>
  </si>
  <si>
    <t>starting to look at everest 2.0</t>
  </si>
  <si>
    <t>plans accelerated</t>
  </si>
  <si>
    <t>more details on Q3 call</t>
  </si>
  <si>
    <t>Need to capitalise the business</t>
  </si>
  <si>
    <t>spectrum auction</t>
  </si>
  <si>
    <t>network build</t>
  </si>
  <si>
    <t>customer acquisition</t>
  </si>
  <si>
    <t>Been investing and producing good results on top line</t>
  </si>
  <si>
    <t>timing of spectrum</t>
  </si>
  <si>
    <t>partner reluctant to put money in</t>
  </si>
  <si>
    <t>EPM used to very well managed utility</t>
  </si>
  <si>
    <t>new mayor took over and appointed political</t>
  </si>
  <si>
    <t>mayor not up for re-election but is political…so would rather not make decision, or use as political wedge</t>
  </si>
  <si>
    <t>Tigo has significant legal recourse</t>
  </si>
  <si>
    <t>Put forward Cap plan</t>
  </si>
  <si>
    <t xml:space="preserve">$75m each for $150m </t>
  </si>
  <si>
    <t>Then banks to put in $180m</t>
  </si>
  <si>
    <t>Have tower deal with binding offer in the wings</t>
  </si>
  <si>
    <t>Deal with TEF on network sharing</t>
  </si>
  <si>
    <t>Moody's downgraded local entity</t>
  </si>
  <si>
    <t>Need money</t>
  </si>
  <si>
    <t>Recap</t>
  </si>
  <si>
    <t>2% dilution, 98% Tigo</t>
  </si>
  <si>
    <t>Partner voted this down, against recap, failed in fiduciary responsibilities</t>
  </si>
  <si>
    <t>Hiding behind a piece of legislation…suggests cannot drop &lt;50%...Tigo disagree with</t>
  </si>
  <si>
    <t>May need to restructure</t>
  </si>
  <si>
    <t>Not necessarily a bad thing. Tigo willing to capitalise…with $150m</t>
  </si>
  <si>
    <t>Negotiate with creditors</t>
  </si>
  <si>
    <t>will make creditors whole</t>
  </si>
  <si>
    <t>need 50% support</t>
  </si>
  <si>
    <t>Tigo would end up with 99.9% ownership</t>
  </si>
  <si>
    <t>Bankrtupcy process could take time</t>
  </si>
  <si>
    <t>18 months potentially</t>
  </si>
  <si>
    <t>2.5x leverage at Tigo, &gt;4x at TEF - they need</t>
  </si>
  <si>
    <t>Colombian process</t>
  </si>
  <si>
    <t>not 100% clear which route to take</t>
  </si>
  <si>
    <t>Range of options</t>
  </si>
  <si>
    <t>Covid help: fast restructure - may still apply</t>
  </si>
  <si>
    <t>Could have domino effect</t>
  </si>
  <si>
    <t>Will require some additional capital potentially</t>
  </si>
  <si>
    <t>in and out in 3 months</t>
  </si>
  <si>
    <t>18 months - impact on business</t>
  </si>
  <si>
    <t>protection from creditors</t>
  </si>
  <si>
    <t>bad for the brand</t>
  </si>
  <si>
    <t>Fed government doesn’t want this as wants 5G auction participation</t>
  </si>
  <si>
    <t>5G spectrum buying with TEF</t>
  </si>
  <si>
    <t>Option 1</t>
  </si>
  <si>
    <t>Both recap</t>
  </si>
  <si>
    <t>Put option for 1 year</t>
  </si>
  <si>
    <t>Next Mayor business friendly. From Jan 1st; can talk to them from Nov</t>
  </si>
  <si>
    <t>TIGO only, $150m in total</t>
  </si>
  <si>
    <t>increase stake</t>
  </si>
  <si>
    <t>Option 3</t>
  </si>
  <si>
    <t>Reorg</t>
  </si>
  <si>
    <t xml:space="preserve">Option 2 </t>
  </si>
  <si>
    <t>Prepared to make them whole on debt, on accelerated basis</t>
  </si>
  <si>
    <t>Therefore unlikelt creditors take equity.Would need to get organised</t>
  </si>
  <si>
    <t>Mostly bank debt, some small local bonds</t>
  </si>
  <si>
    <t>Operationals</t>
  </si>
  <si>
    <t>Business performing well</t>
  </si>
  <si>
    <t>Not growing Home unlocks a lot of cash flow</t>
  </si>
  <si>
    <t>Tigo charging installation fees</t>
  </si>
  <si>
    <t>Cracked down on illegal tactics from Claro/Movistar</t>
  </si>
  <si>
    <t>Helped Tigo portings</t>
  </si>
  <si>
    <t>If unpaid balance, cannot port. Found way to have unpaid balance</t>
  </si>
  <si>
    <t>Movistar first, then Claro also</t>
  </si>
  <si>
    <t>Regulator fined them - still not determined</t>
  </si>
  <si>
    <t>Claro dominance tends to have reg implications, nothing new or different</t>
  </si>
  <si>
    <t>Tigo are no2. Will burn more than $100m in cash flow - spectrum payments included</t>
  </si>
  <si>
    <t>Peak negative cash flow</t>
  </si>
  <si>
    <t>Since 2019 spectrum auction, negative cash flow</t>
  </si>
  <si>
    <t>Should improve over next several years</t>
  </si>
  <si>
    <t>Same for WOM therefore - and worse</t>
  </si>
  <si>
    <t>Capitalised Avantel</t>
  </si>
  <si>
    <t>This spectrum is due for renewal in December</t>
  </si>
  <si>
    <t>$250m for another 20 years…20% upfront. AWS spectrum…$50m later this year</t>
  </si>
  <si>
    <t>Based on Tigo 1900.. Similar ticket size for full 20 years</t>
  </si>
  <si>
    <t>Remaining balance</t>
  </si>
  <si>
    <t>With TEF, aim to not renew spectrum</t>
  </si>
  <si>
    <t>Don't go over spectrum caps</t>
  </si>
  <si>
    <t>120 Mhz vs 140 Mhz</t>
  </si>
  <si>
    <t>TEF has 85 Mhz</t>
  </si>
  <si>
    <t>Network share - don’t renew and 50/50 in 5G</t>
  </si>
  <si>
    <t>WOM has nothing to offer</t>
  </si>
  <si>
    <t>Cons.</t>
  </si>
  <si>
    <t>Q3 23</t>
  </si>
  <si>
    <t>Pre Q2 23</t>
  </si>
  <si>
    <t>Q3 23 adj</t>
  </si>
  <si>
    <t>Adj EBITDA</t>
  </si>
  <si>
    <t>2024e</t>
  </si>
  <si>
    <t>Q4 24e</t>
  </si>
  <si>
    <t>Colombia 5G</t>
  </si>
  <si>
    <t>MHz blocks</t>
  </si>
  <si>
    <t>per block</t>
  </si>
  <si>
    <t>total, cop</t>
  </si>
  <si>
    <t>3 x 10</t>
  </si>
  <si>
    <t>4x 60</t>
  </si>
  <si>
    <t>target</t>
  </si>
  <si>
    <t>Cash payments</t>
  </si>
  <si>
    <t>Infra deployments</t>
  </si>
  <si>
    <t>Tef-Tigo</t>
  </si>
  <si>
    <t>Telecall</t>
  </si>
  <si>
    <t>Commits</t>
  </si>
  <si>
    <t>$ cents/MHz/POP</t>
  </si>
  <si>
    <t>Q4 23</t>
  </si>
  <si>
    <t>lapped in mobile, growing again. Less competitive on home</t>
  </si>
  <si>
    <t>fcf focus in 2023, drive margins higher</t>
  </si>
  <si>
    <t>$10m 5G</t>
  </si>
  <si>
    <t>20% upfront</t>
  </si>
  <si>
    <t>rest from a few years onward</t>
  </si>
  <si>
    <t>opex/capex obligations</t>
  </si>
  <si>
    <t>new mayor/partner - about to sign</t>
  </si>
  <si>
    <t>margin was high in q3 due to one off</t>
  </si>
  <si>
    <t>growth won't continue necessarily</t>
  </si>
  <si>
    <t>share gains following AWS</t>
  </si>
  <si>
    <t>some growth</t>
  </si>
  <si>
    <t>amx is aggressively pushing fibre in most markets</t>
  </si>
  <si>
    <t>pre paid price in mid sept</t>
  </si>
  <si>
    <t>guat - tough comp from WC. Protests - quiet again</t>
  </si>
  <si>
    <t>better 2024 in guat</t>
  </si>
  <si>
    <t>WC was $5-10m</t>
  </si>
  <si>
    <t>honduras - govt (left wing) , tackling inflation</t>
  </si>
  <si>
    <t>imposing currency flows</t>
  </si>
  <si>
    <t>2023 - $90m . At official rate though</t>
  </si>
  <si>
    <t>panama protests</t>
  </si>
  <si>
    <t>but, b2b contract…should be still there, spill into Q1</t>
  </si>
  <si>
    <t>health / social security - telemedicine</t>
  </si>
  <si>
    <t>2 year</t>
  </si>
  <si>
    <t>best for price increases</t>
  </si>
  <si>
    <t>teo stopped expanding homes</t>
  </si>
  <si>
    <t>900-1m hps, personal at 700k. Amx also buid it</t>
  </si>
  <si>
    <t>Previous total (ex-DTV)</t>
  </si>
  <si>
    <t>Previous split</t>
  </si>
  <si>
    <t>Tigo + Movistar</t>
  </si>
  <si>
    <t>3.5Ghz Colombia</t>
  </si>
  <si>
    <t>Px.MHz.pop</t>
  </si>
  <si>
    <t>Brazil (3.3-3.5GHz - 2021)</t>
  </si>
  <si>
    <t>Colombia (3.5GHz - 2023)</t>
  </si>
  <si>
    <t>Chile (3.3-3.5-3.7GHz - 2021)</t>
  </si>
  <si>
    <t>$cts</t>
  </si>
  <si>
    <t>Movistar+Tigo</t>
  </si>
  <si>
    <t>Past 3.3-3.7GHz in LatAm</t>
  </si>
  <si>
    <t>Movistar (Telefonica)</t>
  </si>
  <si>
    <t>Millicom (consol)</t>
  </si>
  <si>
    <t>Millicom (prop)</t>
  </si>
  <si>
    <t>el sal…q3 benefit from bad debt adj</t>
  </si>
  <si>
    <t>Q2 24e</t>
  </si>
  <si>
    <t>Q3 24e</t>
  </si>
  <si>
    <t xml:space="preserve">TIGO US </t>
  </si>
  <si>
    <t>Q4 23 adj</t>
  </si>
  <si>
    <t>EBITDA (reported)</t>
  </si>
  <si>
    <t>2023A</t>
  </si>
  <si>
    <t>Capex to sales</t>
  </si>
  <si>
    <t>Capex ex spectrum</t>
  </si>
  <si>
    <t>Total employees</t>
  </si>
  <si>
    <t>Run rate savings</t>
  </si>
  <si>
    <t>% opex</t>
  </si>
  <si>
    <t>Phase 1 (completed)</t>
  </si>
  <si>
    <t>Phase 2 HQ (completed)</t>
  </si>
  <si>
    <t>Phase Others (ongoing)</t>
  </si>
  <si>
    <t>Consensus 24E</t>
  </si>
  <si>
    <t>NSR 24E</t>
  </si>
  <si>
    <t>Cumul. 22-24</t>
  </si>
  <si>
    <t>Reported EFCF</t>
  </si>
  <si>
    <t>~0%*</t>
  </si>
  <si>
    <t>Cash capex cut</t>
  </si>
  <si>
    <t>EFCF FY 23</t>
  </si>
  <si>
    <t>EFCF FY 24e</t>
  </si>
  <si>
    <t>Additional revenue driven (3% growth)</t>
  </si>
  <si>
    <t>Restructuring charges largely reduced</t>
  </si>
  <si>
    <t>Additional Everest opex / other</t>
  </si>
  <si>
    <t>$600m Q run rate</t>
  </si>
  <si>
    <t>Some additional savings</t>
  </si>
  <si>
    <t>&gt;$2.4 billion</t>
  </si>
  <si>
    <t>Lower fin expenses</t>
  </si>
  <si>
    <t>Some higher taxes, based on profits on the previous year</t>
  </si>
  <si>
    <t>more tax</t>
  </si>
  <si>
    <t>Network savings</t>
  </si>
  <si>
    <t>Signed a deal, working on it</t>
  </si>
  <si>
    <t>in Colombia</t>
  </si>
  <si>
    <t>Benefits in 2024…perhaps a little more</t>
  </si>
  <si>
    <t>Panama B2B</t>
  </si>
  <si>
    <t>Just Q4?</t>
  </si>
  <si>
    <t>Some continuation of contracts</t>
  </si>
  <si>
    <t>2 contracts (2/3) - multi year…recognise recognised a lot more upfront, 4x more</t>
  </si>
  <si>
    <t>1 contract (1/3) - one year, a little more linear</t>
  </si>
  <si>
    <t>some revenue</t>
  </si>
  <si>
    <t>7% of Guat tax</t>
  </si>
  <si>
    <t>Tax on the upstream</t>
  </si>
  <si>
    <t>$70-80m historically</t>
  </si>
  <si>
    <t>~10% of upstream</t>
  </si>
  <si>
    <t>2023 corp tax paid in 2024</t>
  </si>
  <si>
    <t>flattish in $ terms</t>
  </si>
  <si>
    <t>Refinancing</t>
  </si>
  <si>
    <t>Bought back some bonds in last few months</t>
  </si>
  <si>
    <t>Could extend some maturities</t>
  </si>
  <si>
    <t>Could issue some bonds to pay ST maturities</t>
  </si>
  <si>
    <t>Some for Treasury purposes</t>
  </si>
  <si>
    <t>Announced small amount in Dec, almost complete</t>
  </si>
  <si>
    <t>Leases through OpEx (IAS 17)</t>
  </si>
  <si>
    <t>Lower spectrum cost</t>
  </si>
  <si>
    <t>Lower financial charges</t>
  </si>
  <si>
    <t>Spectrum cost</t>
  </si>
  <si>
    <t>Cash taxes</t>
  </si>
  <si>
    <t xml:space="preserve">Cash capex </t>
  </si>
  <si>
    <t>Operational leverage</t>
  </si>
  <si>
    <t>2025e</t>
  </si>
  <si>
    <t>2026e</t>
  </si>
  <si>
    <t>Net debt to clean EBITDA (IFRS 16)</t>
  </si>
  <si>
    <t>Net debt to clean EBITDAaL</t>
  </si>
  <si>
    <t>Less: Net debt  (2024e)</t>
  </si>
  <si>
    <t>Buy</t>
  </si>
  <si>
    <t>EV (IAS 17)</t>
  </si>
  <si>
    <t>Total FCF</t>
  </si>
  <si>
    <t xml:space="preserve">Associate </t>
  </si>
  <si>
    <t>WC</t>
  </si>
  <si>
    <t>After Niel</t>
  </si>
  <si>
    <t>Pre-Niel</t>
  </si>
  <si>
    <t>Dividends from Honduras</t>
  </si>
  <si>
    <t>Bolivia after withholding taxes</t>
  </si>
  <si>
    <t>Capex @ 14% sales</t>
  </si>
  <si>
    <t>as % yield</t>
  </si>
  <si>
    <t>Colombia - &lt;$20m</t>
  </si>
  <si>
    <t>Q1 in total $25m</t>
  </si>
  <si>
    <t>Q1 24</t>
  </si>
  <si>
    <t>Redundancies</t>
  </si>
  <si>
    <t>CFO leaving</t>
  </si>
  <si>
    <t>Ex severance - $601m perhaps</t>
  </si>
  <si>
    <t>this is an annual saving steer in Colombia (S America)</t>
  </si>
  <si>
    <t>1 year payback in Colombia</t>
  </si>
  <si>
    <t>Capex booked fell sequentially through the year - except in Q4</t>
  </si>
  <si>
    <t>Should start with a 7…down from the $809m level in 2023</t>
  </si>
  <si>
    <t>Spectrum in Guatemala for example</t>
  </si>
  <si>
    <t>Spend less on capex</t>
  </si>
  <si>
    <t>Raised price in Feb</t>
  </si>
  <si>
    <t>Finished the year strongly..54% margin, clean number</t>
  </si>
  <si>
    <t>Focus on profits, cash flow</t>
  </si>
  <si>
    <t>Check FX</t>
  </si>
  <si>
    <t>Home remains sluggish, growth on mobile slowing</t>
  </si>
  <si>
    <t>3.5% in Q4…stronger than Q3/2, a little bit of B2B in the there</t>
  </si>
  <si>
    <t>Commercial decisions on revenue</t>
  </si>
  <si>
    <t>Strong col peso helps margin. Some $ cost, content etc</t>
  </si>
  <si>
    <t>Similar to consensus</t>
  </si>
  <si>
    <t>Performing well, stable</t>
  </si>
  <si>
    <t>FX a little weak of late…large pay TV business. Could impact on margins</t>
  </si>
  <si>
    <t>2 projects in Q4…will continue through 2024, though not at the same level as of Q4</t>
  </si>
  <si>
    <t>1 / lower margin…IT services, high teen/low 20%s margin. Half of B2B will be on this</t>
  </si>
  <si>
    <t>Q2/3</t>
  </si>
  <si>
    <t>picking up customers from government</t>
  </si>
  <si>
    <t>lose some roaming revenue</t>
  </si>
  <si>
    <t>not as big as an uplift</t>
  </si>
  <si>
    <t>lower ARPU customers</t>
  </si>
  <si>
    <t>Did CWC have roaming…?</t>
  </si>
  <si>
    <t>check</t>
  </si>
  <si>
    <t>Consensus looks low on service reve</t>
  </si>
  <si>
    <t>190 in Q4 … to 170 in Q1…?</t>
  </si>
  <si>
    <t>aligned with consensus</t>
  </si>
  <si>
    <t>very small one off in Bolivia…due to a previous outage, disputing</t>
  </si>
  <si>
    <t>not quantified</t>
  </si>
  <si>
    <t>charging comms on FX…4-5%...up to 8% then to 14%. Down to single digit again</t>
  </si>
  <si>
    <t>earlier this year, govt intro'd package to preserve peg</t>
  </si>
  <si>
    <t>removed some subsidies</t>
  </si>
  <si>
    <t>tried capping comms for $</t>
  </si>
  <si>
    <t>20-30%... There are no $</t>
  </si>
  <si>
    <t>need more austerity measures to preserve peg</t>
  </si>
  <si>
    <t>No $....coming in going out…GDP will be impacted</t>
  </si>
  <si>
    <t>Don’t have reserves to back up the peg</t>
  </si>
  <si>
    <t>6 largest capex</t>
  </si>
  <si>
    <t>Other (EL Sal, CR, Nic)</t>
  </si>
  <si>
    <t>Elections in 2025</t>
  </si>
  <si>
    <t>AMX to buy it?</t>
  </si>
  <si>
    <t>Have $</t>
  </si>
  <si>
    <t>Need to apply to buy $</t>
  </si>
  <si>
    <t>Max amount every day to convert</t>
  </si>
  <si>
    <t>Falling behind on $ payments and vendors…pay in local FX</t>
  </si>
  <si>
    <t>good WC benefit in the short-term</t>
  </si>
  <si>
    <t>Will be harder to pay dividends</t>
  </si>
  <si>
    <t>Out of $90m, $30-35m management fees</t>
  </si>
  <si>
    <t>balance is a dividend</t>
  </si>
  <si>
    <t>work with Copenhagen economics to justify…it's tax deductible so need documentation</t>
  </si>
  <si>
    <t>need to show services provided to subsid</t>
  </si>
  <si>
    <t>Populism ahead of 2025 election</t>
  </si>
  <si>
    <t>Controlling FX market</t>
  </si>
  <si>
    <t>Leverage improving</t>
  </si>
  <si>
    <t>Well aware of risks when gave guidance</t>
  </si>
  <si>
    <t>Significant progress to delever</t>
  </si>
  <si>
    <t xml:space="preserve">AGM in May, new Board coming in </t>
  </si>
  <si>
    <t>Topic of conversation in H2</t>
  </si>
  <si>
    <t>Debt at 7%..or 16% yield</t>
  </si>
  <si>
    <t>No news on Lati</t>
  </si>
  <si>
    <t>Active M&amp;A still</t>
  </si>
  <si>
    <t>7 countries</t>
  </si>
  <si>
    <t>Preference to sell whole thing and retain minority</t>
  </si>
  <si>
    <t>interest from &lt;7</t>
  </si>
  <si>
    <t>some might want to own 100%</t>
  </si>
  <si>
    <t>Sell Bolivia outright…?</t>
  </si>
  <si>
    <t xml:space="preserve"> of which management fees</t>
  </si>
  <si>
    <t xml:space="preserve"> of which dividend</t>
  </si>
  <si>
    <t>New capex</t>
  </si>
  <si>
    <t>New OpFCF</t>
  </si>
  <si>
    <t>Lux 32</t>
  </si>
  <si>
    <t>2027E</t>
  </si>
  <si>
    <t>2028E</t>
  </si>
  <si>
    <t>FY 26</t>
  </si>
  <si>
    <t>Net debt (excluding leases)</t>
  </si>
  <si>
    <t>Sacrificying Home growth</t>
  </si>
  <si>
    <t>Faster mobile</t>
  </si>
  <si>
    <t>Decelerated further</t>
  </si>
  <si>
    <t>though some better net adds</t>
  </si>
  <si>
    <t>Home ARPU is up significantly</t>
  </si>
  <si>
    <t>can't keep doing this forever</t>
  </si>
  <si>
    <t>perhaps a little more investment…gross adds drives capex, churn is declining</t>
  </si>
  <si>
    <t>$30-35m is being upstreamed</t>
  </si>
  <si>
    <t>have an invoice, which needs to be paid</t>
  </si>
  <si>
    <t>Adds a lot confidence to deliver on guidance</t>
  </si>
  <si>
    <t>Tailwinds</t>
  </si>
  <si>
    <t>B2B projects smaller in Q2…much of the revenue upfront</t>
  </si>
  <si>
    <t>Can't access $, making payments to vendors helping WC</t>
  </si>
  <si>
    <t>Low capex, due to phasing</t>
  </si>
  <si>
    <t>FX - margin benefits</t>
  </si>
  <si>
    <t>Claro cyber attack</t>
  </si>
  <si>
    <t>Gave away service for 10 days</t>
  </si>
  <si>
    <t>new subs to Tigo</t>
  </si>
  <si>
    <t>Interconnection revs</t>
  </si>
  <si>
    <t>"Other"</t>
  </si>
  <si>
    <t>Q1 24 adj</t>
  </si>
  <si>
    <t>~15%</t>
  </si>
  <si>
    <t>Neg.</t>
  </si>
  <si>
    <t>rep</t>
  </si>
  <si>
    <t>lease</t>
  </si>
  <si>
    <t>rep aL</t>
  </si>
  <si>
    <t>Severance paid in Q4</t>
  </si>
  <si>
    <t>Post Q1 24</t>
  </si>
  <si>
    <t>Caught up with payments / suppliers in Colombia</t>
  </si>
  <si>
    <t>Last year, was down to the wire on paying on time</t>
  </si>
  <si>
    <t>Largely normalised</t>
  </si>
  <si>
    <t>Stable in 2024</t>
  </si>
  <si>
    <t>Guatemala revs</t>
  </si>
  <si>
    <t>growing 2% or so, won't move needle. 7% of revs</t>
  </si>
  <si>
    <t>Withholding</t>
  </si>
  <si>
    <t>20 f - can see historic upstreaming, tax on this</t>
  </si>
  <si>
    <t>10-15% tax</t>
  </si>
  <si>
    <t>$75-100m of tax</t>
  </si>
  <si>
    <t>maybe 80%</t>
  </si>
  <si>
    <t>Income elsewhere</t>
  </si>
  <si>
    <t>Col pay a min tax on assets</t>
  </si>
  <si>
    <t>If driven by Col, no impact on tax</t>
  </si>
  <si>
    <t>Tax filing is Apr 2025 for this year. Hence a lag</t>
  </si>
  <si>
    <t>paying on prior year profits</t>
  </si>
  <si>
    <t>Dividend…advances for future dividends</t>
  </si>
  <si>
    <t>Could put $ debt, $30m, to allow pay dividends</t>
  </si>
  <si>
    <t>in between entity</t>
  </si>
  <si>
    <t>paying a bill / coupon</t>
  </si>
  <si>
    <t>Some ability</t>
  </si>
  <si>
    <t>$78m… Bolivia, Para, El Sal included in Q1</t>
  </si>
  <si>
    <t>Be close to $150m, or $100m - some uncertainty about 5G in Bolivia</t>
  </si>
  <si>
    <t>$20-30m in Bolivianos</t>
  </si>
  <si>
    <t>Run rate… reg payments of &gt;$100m</t>
  </si>
  <si>
    <t>Col JV</t>
  </si>
  <si>
    <t>Assets held for sale, prop consolidation for the network assets</t>
  </si>
  <si>
    <t>might also be for spectrum</t>
  </si>
  <si>
    <t>spectrum in a "temporary union"</t>
  </si>
  <si>
    <t>combine assets without transferring ownership</t>
  </si>
  <si>
    <t>Over next 2 or even 3 years</t>
  </si>
  <si>
    <t>Can't move everything immediately</t>
  </si>
  <si>
    <t>Can't go over spectrum cap</t>
  </si>
  <si>
    <t>Lati</t>
  </si>
  <si>
    <t>Taking longer than hoped</t>
  </si>
  <si>
    <t>Want to retain minority stake</t>
  </si>
  <si>
    <t>Prop 2024, USD m</t>
  </si>
  <si>
    <t>Base case 2024 EFCF</t>
  </si>
  <si>
    <t>Less exposed EFCF</t>
  </si>
  <si>
    <t>Impact from 50% deval, $ per share</t>
  </si>
  <si>
    <t>EFCF definition</t>
  </si>
  <si>
    <t>~$550m, to &gt;$600m</t>
  </si>
  <si>
    <t>Consensus is $803m…</t>
  </si>
  <si>
    <t>$809m - lower than FY 23. had said lower</t>
  </si>
  <si>
    <t>Q1 was low</t>
  </si>
  <si>
    <t>mid june performance plus..</t>
  </si>
  <si>
    <t>risks - like Bol deval</t>
  </si>
  <si>
    <t>deval elsewhere</t>
  </si>
  <si>
    <t>i.e. a lot in with the $600m…if don't materialise…could land some way higher</t>
  </si>
  <si>
    <t>Q1 capex low re accrued</t>
  </si>
  <si>
    <t>Q2 paid (cash) would therefore be lower</t>
  </si>
  <si>
    <t>Should seen good FCF distribution through the year</t>
  </si>
  <si>
    <t>higher profit base this year</t>
  </si>
  <si>
    <t>Initiatives to prepare for 2025 also</t>
  </si>
  <si>
    <t>lati</t>
  </si>
  <si>
    <t>Significant portion of portfolio</t>
  </si>
  <si>
    <t>pref initially was majority in Lati across all assets</t>
  </si>
  <si>
    <t>interest in selected assets</t>
  </si>
  <si>
    <t>negotiations with one buyer for a number of countries</t>
  </si>
  <si>
    <t>sale and leaseback</t>
  </si>
  <si>
    <t>no binding deal</t>
  </si>
  <si>
    <t>MOU into contract</t>
  </si>
  <si>
    <t>counterpart doesn't want this disclosed really</t>
  </si>
  <si>
    <t>yes, liability on the balance sheet</t>
  </si>
  <si>
    <t>guide</t>
  </si>
  <si>
    <t>ebitda after leases will be lower</t>
  </si>
  <si>
    <t>will be a deleverage event</t>
  </si>
  <si>
    <t>not in new leverage target…2.5x by YE 2024</t>
  </si>
  <si>
    <t>lengthy filing to day</t>
  </si>
  <si>
    <t>from Atlas</t>
  </si>
  <si>
    <t>independents committee (6), hire a bank, then make a recommendation</t>
  </si>
  <si>
    <t>will publish this</t>
  </si>
  <si>
    <t>gerardo…nomination committee</t>
  </si>
  <si>
    <t>proposing de-listing shares…?</t>
  </si>
  <si>
    <t>need to be vigilant about this</t>
  </si>
  <si>
    <t>buy, increase voting power</t>
  </si>
  <si>
    <t>egm - delist shares in both exchanges</t>
  </si>
  <si>
    <t>$24 or illquid entity</t>
  </si>
  <si>
    <t>difficult in Sweden…impossible for authorities to accept</t>
  </si>
  <si>
    <t>not approved if no trading elsewhere</t>
  </si>
  <si>
    <t>compliance teams focused on this</t>
  </si>
  <si>
    <t>Atlas</t>
  </si>
  <si>
    <t>rumours</t>
  </si>
  <si>
    <t>confirmed rumours..all happened day before AGM</t>
  </si>
  <si>
    <t>discussions</t>
  </si>
  <si>
    <t>Last few days</t>
  </si>
  <si>
    <t>investors puzzled</t>
  </si>
  <si>
    <t>Dustin in Sweden…went through something similar. Tendered at below market</t>
  </si>
  <si>
    <t>Stock declined for separate reasons</t>
  </si>
  <si>
    <t>bought shares…mandatory offer</t>
  </si>
  <si>
    <t>Millicom Base Case leverage</t>
  </si>
  <si>
    <t>Lease liability today</t>
  </si>
  <si>
    <t>Lease liability</t>
  </si>
  <si>
    <t>Implied "equity"</t>
  </si>
  <si>
    <t>Net debt 2024 (IAS 17)</t>
  </si>
  <si>
    <t>equity 100%</t>
  </si>
  <si>
    <t>Cash paid to TEF</t>
  </si>
  <si>
    <t>Cash to Nacion</t>
  </si>
  <si>
    <t>100% cash</t>
  </si>
  <si>
    <t>Total cash out</t>
  </si>
  <si>
    <t>Residual cash out</t>
  </si>
  <si>
    <t>Implied multiple, 24 EBITDA</t>
  </si>
  <si>
    <t>of which cash</t>
  </si>
  <si>
    <t>Cash offer</t>
  </si>
  <si>
    <t>Stock component</t>
  </si>
  <si>
    <t>Shares issued (m)</t>
  </si>
  <si>
    <t>Op Income</t>
  </si>
  <si>
    <t>As % sales</t>
  </si>
  <si>
    <t>Terminal multiple</t>
  </si>
  <si>
    <t>After tax</t>
  </si>
  <si>
    <t>Market cap</t>
  </si>
  <si>
    <t>New market cap</t>
  </si>
  <si>
    <t>New EV/EBITDA</t>
  </si>
  <si>
    <t>Coltel acquisition</t>
  </si>
  <si>
    <t>TIGO issue price</t>
  </si>
  <si>
    <t>Coltel net debt</t>
  </si>
  <si>
    <t xml:space="preserve">Coltel </t>
  </si>
  <si>
    <t>TIGO net debt ex leases</t>
  </si>
  <si>
    <t>Net debt to EBITDA (IAS 17)</t>
  </si>
  <si>
    <t>EBITDA (adj)</t>
  </si>
  <si>
    <t>Coltel EV</t>
  </si>
  <si>
    <t>USDCOP</t>
  </si>
  <si>
    <t>Coltel</t>
  </si>
  <si>
    <t>Saving as % combined</t>
  </si>
  <si>
    <t>Synergies / share</t>
  </si>
  <si>
    <t>w/Coltel and synergies</t>
  </si>
  <si>
    <t>TIGO + Coltel</t>
  </si>
  <si>
    <t>Colombia as % total</t>
  </si>
  <si>
    <t>TIGO net debt  IFRS 16</t>
  </si>
  <si>
    <t>Q2 24</t>
  </si>
  <si>
    <t>Q2 24 adj</t>
  </si>
  <si>
    <t>Mins buy-out</t>
  </si>
  <si>
    <t>Colombia leases (estimate)</t>
  </si>
  <si>
    <t>TIGO Col EBITDAaL</t>
  </si>
  <si>
    <t>HSD</t>
  </si>
  <si>
    <t>Neg. (SD)</t>
  </si>
  <si>
    <t>IAS 17 2024 "target"</t>
  </si>
  <si>
    <t>Adj EV</t>
  </si>
  <si>
    <t xml:space="preserve">TEF stake in Coltel </t>
  </si>
  <si>
    <t>Coltel Equity (implied 100%)</t>
  </si>
  <si>
    <t>40% stake in FTTH Infra</t>
  </si>
  <si>
    <t>WACC (USD)</t>
  </si>
  <si>
    <t>EV, $ (fair value)</t>
  </si>
  <si>
    <t>Cost of debt (local)</t>
  </si>
  <si>
    <t>EFCF (mid-term plan / New Street ests)</t>
  </si>
  <si>
    <t>New TIGO / Coltel</t>
  </si>
  <si>
    <t>Capex (current)</t>
  </si>
  <si>
    <t>OpEx (current, inc leases)</t>
  </si>
  <si>
    <t>TIGO net debt, ex leases</t>
  </si>
  <si>
    <t>EBITDA post-synergy</t>
  </si>
  <si>
    <t>EBITDAaL post-synergy</t>
  </si>
  <si>
    <t>EBITDAaL (after leases)</t>
  </si>
  <si>
    <t>TIGO Colombia as a %</t>
  </si>
  <si>
    <t>Current TIGO Group EBITDA, aL</t>
  </si>
  <si>
    <t>2024-28</t>
  </si>
  <si>
    <t>Saving / integration costs</t>
  </si>
  <si>
    <t>Value creation</t>
  </si>
  <si>
    <t>less cash out for Coltel</t>
  </si>
  <si>
    <t>TIGO-Coltel combined, USD m</t>
  </si>
  <si>
    <t>per share upside, USD</t>
  </si>
  <si>
    <t>per share upside, SEK</t>
  </si>
  <si>
    <t>EBITDA pre synergies/integration</t>
  </si>
  <si>
    <t>TIGO (Millicom)</t>
  </si>
  <si>
    <t>EM Cali / HV / DirecTV</t>
  </si>
  <si>
    <t>Licence commitments</t>
  </si>
  <si>
    <t>EV inc licences</t>
  </si>
  <si>
    <t>TIGO Colombia net debt, ex leases, Q1 24</t>
  </si>
  <si>
    <t>Net debt to EBITDA after Coltel</t>
  </si>
  <si>
    <t>Coltel cash outlay</t>
  </si>
  <si>
    <t xml:space="preserve">Implied 100% of equity offer </t>
  </si>
  <si>
    <t>Implied bid EV</t>
  </si>
  <si>
    <t>EBITDA pre leases, 2024</t>
  </si>
  <si>
    <t>2024e EBITDA multiple</t>
  </si>
  <si>
    <t>EFCF out in Colombia</t>
  </si>
  <si>
    <t>Implied EPM mins offer (residual) for 50%</t>
  </si>
  <si>
    <t>New net debt (after mins buy out)</t>
  </si>
  <si>
    <t xml:space="preserve">Local </t>
  </si>
  <si>
    <t>PF EBITDA</t>
  </si>
  <si>
    <t>PF leverage</t>
  </si>
  <si>
    <t>Other players</t>
  </si>
  <si>
    <t>TIGO (38% share)</t>
  </si>
  <si>
    <t>Claro (37%, Movistar (16%) - merger proposed, ETB (8%), regional others</t>
  </si>
  <si>
    <t>Claro (34%, Cable Color 11%, Hondutel 3%)</t>
  </si>
  <si>
    <t>* Early 2022 Millicom Inv Day</t>
  </si>
  <si>
    <t>ICE (27% share), Liberty (25%, pre-TIGO deal close), Telecable (21%)</t>
  </si>
  <si>
    <t>Market BB, m</t>
  </si>
  <si>
    <t>HH, m</t>
  </si>
  <si>
    <t>POPs / HH</t>
  </si>
  <si>
    <t>Claro (50%), others</t>
  </si>
  <si>
    <t>https://www.nera.com/experience/2021/assessing-the-impact-on-competition-of-the-proposed-merger-betwe.html?lang=en</t>
  </si>
  <si>
    <t>El Salvador **</t>
  </si>
  <si>
    <t>** Nicaragua - adopted from below</t>
  </si>
  <si>
    <t>pen (HH) *</t>
  </si>
  <si>
    <t>Entel Bolivia (&gt;40%), and regional players COTAS, Axs Bolivia, Comteco</t>
  </si>
  <si>
    <t>TEO</t>
  </si>
  <si>
    <t>Copaco, Personal, Claro</t>
  </si>
  <si>
    <t>Costa Rica ***</t>
  </si>
  <si>
    <t>Nicaragua ***</t>
  </si>
  <si>
    <t>*** From websites</t>
  </si>
  <si>
    <t>Claro (75%)</t>
  </si>
  <si>
    <t>Claro (41%), smaller others</t>
  </si>
  <si>
    <t>Some debt instruments have a change of control, would need to pay that debt if change of control</t>
  </si>
  <si>
    <t xml:space="preserve">MIC SA for example </t>
  </si>
  <si>
    <t>for &gt;50%</t>
  </si>
  <si>
    <t>and a debt rating downgrade within 90 days, bondholders repaid at 101</t>
  </si>
  <si>
    <t>significant protection for bondholders in an LBO</t>
  </si>
  <si>
    <t>where credit profile suddenly drops</t>
  </si>
  <si>
    <t>Atlas agree with fin policy for prudent use of leverage, less leverage than now</t>
  </si>
  <si>
    <t>tender offer - engaged with rating agencies</t>
  </si>
  <si>
    <t>Moody's and Fitch - not anticipating change</t>
  </si>
  <si>
    <t>for tender offer, need to get financing in place</t>
  </si>
  <si>
    <t>if all shares at price offered but also repaid debt</t>
  </si>
  <si>
    <t>need a commitment for all the equity AND all the debt</t>
  </si>
  <si>
    <t>therefore asked MIC to waive a change of control in return for $2.50/$1,000</t>
  </si>
  <si>
    <t>if 50% ask…waive the 95% condition</t>
  </si>
  <si>
    <t>doing this to prevent the company, repaying bondholders at 101 if Atlas get to &gt;50%</t>
  </si>
  <si>
    <t>Atlas deadline</t>
  </si>
  <si>
    <t>Aug 22nd. From 16th</t>
  </si>
  <si>
    <t>had to extend it as were changing the condition, the 95%, need to add an extra 5 days, 10 days for a price change</t>
  </si>
  <si>
    <t>23rd - consent solicitation</t>
  </si>
  <si>
    <t>consent only applicable</t>
  </si>
  <si>
    <t>say want to get to 100%</t>
  </si>
  <si>
    <t>in lux/Sweden - need to get 95% to squeeze out mins, conditioned on achieving min of 95%</t>
  </si>
  <si>
    <t>waived this condition</t>
  </si>
  <si>
    <t>Confident get to min of 33.3%</t>
  </si>
  <si>
    <t>At this stage, don't need to make a mandatory offer ever again</t>
  </si>
  <si>
    <t>Offer outcomes</t>
  </si>
  <si>
    <t>so would only buy at the lower price</t>
  </si>
  <si>
    <t>if stay below 33.3%, can't do anything for 12m - can't launch another offer</t>
  </si>
  <si>
    <t>shares would likely be higher</t>
  </si>
  <si>
    <t>If over 33.3%, then 6 months if pay a higher price, have to lift the price to those accepted</t>
  </si>
  <si>
    <t>10B 5</t>
  </si>
  <si>
    <t>instruction to buy shares</t>
  </si>
  <si>
    <t>Other Segments</t>
  </si>
  <si>
    <t>Meanwhile</t>
  </si>
  <si>
    <t>Peak</t>
  </si>
  <si>
    <t>Future</t>
  </si>
  <si>
    <t xml:space="preserve">Chile - WOM acquired Nextel in 2014 </t>
  </si>
  <si>
    <t>Peru - Viettel launched in 2014, Entel took over Nextel in 2013</t>
  </si>
  <si>
    <t>Argentina - Cablevision took over Nextel in 2017, and was then merged into Telecom Argentina</t>
  </si>
  <si>
    <t xml:space="preserve">Colombia - WOM took over Avantel in 2021 </t>
  </si>
  <si>
    <t>Mexico - AT&amp;T acquired Iusacell in 2015 and Nextel also in 2015</t>
  </si>
  <si>
    <t>Costa Rica - monopoly opened up in 2011 - Telefonica and AMX enter</t>
  </si>
  <si>
    <t>AMX spun out of Telmex in 2000</t>
  </si>
  <si>
    <t>Mexico - Telefonica acquired Bajacel, Movitel, Norcel and Cedetel in 2000, and acquired Pegaso in 2022</t>
  </si>
  <si>
    <t>Paraguay - 4th operator Vox acquired by government-owned Copaco. Techically exists as a 4th operator</t>
  </si>
  <si>
    <t xml:space="preserve">Caribbean </t>
  </si>
  <si>
    <t>Puerto Rico</t>
  </si>
  <si>
    <t>Liberty Latin America</t>
  </si>
  <si>
    <t>Puerto Rico - T-Mobile/Sprint merger in 2018</t>
  </si>
  <si>
    <t>LT plan</t>
  </si>
  <si>
    <t>&lt;700</t>
  </si>
  <si>
    <t>LT Plan</t>
  </si>
  <si>
    <t>Yield to Equity @ $27</t>
  </si>
  <si>
    <t>Tower cash flow</t>
  </si>
  <si>
    <t>Multiple to tower CF</t>
  </si>
  <si>
    <t>Tower revs</t>
  </si>
  <si>
    <t>Ground lease</t>
  </si>
  <si>
    <t>Expenses out of EBITDA</t>
  </si>
  <si>
    <t>Expenses out of cash flow</t>
  </si>
  <si>
    <t>EBITDA IAS 17</t>
  </si>
  <si>
    <t>EBITDA IFRS 16</t>
  </si>
  <si>
    <t>Q3 24</t>
  </si>
  <si>
    <t>SD</t>
  </si>
  <si>
    <t>Q3 24 adj</t>
  </si>
  <si>
    <t>Honduras (JV)</t>
  </si>
  <si>
    <t>Diff.</t>
  </si>
  <si>
    <t>Other revs, local currency</t>
  </si>
  <si>
    <t>Corporate costs ex one-offs</t>
  </si>
  <si>
    <t>Adj. EBITDA margin</t>
  </si>
  <si>
    <t>El Salvador/Nicaragua/Costa Rica</t>
  </si>
  <si>
    <t>Intersegment/others</t>
  </si>
  <si>
    <t>Nicargua</t>
  </si>
  <si>
    <t>100%</t>
  </si>
  <si>
    <t>Less minorities:</t>
  </si>
  <si>
    <t>Plus JV:</t>
  </si>
  <si>
    <t>Methdology</t>
  </si>
  <si>
    <t>y/y clean</t>
  </si>
  <si>
    <t>Capex % sales</t>
  </si>
  <si>
    <t>CTR</t>
  </si>
  <si>
    <t>Deepest capital market globally. Nasdaq</t>
  </si>
  <si>
    <t>40% ownership, 60% FF</t>
  </si>
  <si>
    <t>&lt; 4 months if all goes well</t>
  </si>
  <si>
    <t>&lt;2.5x leverage ratio</t>
  </si>
  <si>
    <t>interim of $1 per share, ahead of policy from AGM next year</t>
  </si>
  <si>
    <t>buy-back</t>
  </si>
  <si>
    <t>$150m is a challenge before May</t>
  </si>
  <si>
    <t>Daily max volumes that can be traded</t>
  </si>
  <si>
    <t>buy-back split vs divi</t>
  </si>
  <si>
    <t>leverage going forward</t>
  </si>
  <si>
    <t>disclosure</t>
  </si>
  <si>
    <t>no changes</t>
  </si>
  <si>
    <t>2.5x was intermediate goal</t>
  </si>
  <si>
    <t>goal toward 2.0x in the long-tun</t>
  </si>
  <si>
    <t>Q1 FCF tends to be weaker, WC outflows/capex</t>
  </si>
  <si>
    <t>Swedish SDRs?</t>
  </si>
  <si>
    <t>~ 85% of shares are in the form of SDRs (80-90%)</t>
  </si>
  <si>
    <t>volumes moving toward US</t>
  </si>
  <si>
    <t>US is now one third of total</t>
  </si>
  <si>
    <t>task to attract new investors</t>
  </si>
  <si>
    <t>in MSCI  Sweden small cap for example</t>
  </si>
  <si>
    <t>may be able to join new indices</t>
  </si>
  <si>
    <t>MSCI - Brazil cos into MSCI LatAm, but not applicable to TIGO right now</t>
  </si>
  <si>
    <t>within the US / Russell 2000 a couple of ideas</t>
  </si>
  <si>
    <t>natural those who do work on AMX would also look at TIGO</t>
  </si>
  <si>
    <t>not the case currently</t>
  </si>
  <si>
    <t>been on agenda for some time</t>
  </si>
  <si>
    <t>2029E</t>
  </si>
  <si>
    <t>2030E</t>
  </si>
  <si>
    <t>x</t>
  </si>
  <si>
    <t>Breakdown of value by region (for Ana)</t>
  </si>
  <si>
    <t>Leases and Licenses</t>
  </si>
  <si>
    <t>Lease principal repayment</t>
  </si>
  <si>
    <t>License payment</t>
  </si>
  <si>
    <t>Headroom</t>
  </si>
  <si>
    <t>Net leverage target (2.0-2.5x)</t>
  </si>
  <si>
    <t>Potential borrowings</t>
  </si>
  <si>
    <t>Deal Colombia</t>
  </si>
  <si>
    <t>Deal in Colombia</t>
  </si>
  <si>
    <t>Left for dividends</t>
  </si>
  <si>
    <t>Net debt (current forecasts, $1 DPS)</t>
  </si>
  <si>
    <t>DPS financed with borrowings</t>
  </si>
  <si>
    <t>2025/2026 new dividends</t>
  </si>
  <si>
    <t>2025 buyback</t>
  </si>
  <si>
    <t>No leases in TIGO definition of EFCF???</t>
  </si>
  <si>
    <t>Proportionate capex</t>
  </si>
  <si>
    <t>Proportionate OpFCF</t>
  </si>
  <si>
    <t>Prop EV/OpFCF</t>
  </si>
  <si>
    <t>Chris Hoare</t>
  </si>
  <si>
    <t xml:space="preserve">+44 20 7375 9130 </t>
  </si>
  <si>
    <t>chris@newstreetresearch.com</t>
  </si>
  <si>
    <t xml:space="preserve">2025E net debt (cash) </t>
  </si>
  <si>
    <t xml:space="preserve">YE 2025 shares </t>
  </si>
  <si>
    <t>2025 target price SEK</t>
  </si>
  <si>
    <t>2025 target price US$</t>
  </si>
  <si>
    <t>GTQ</t>
  </si>
  <si>
    <t>HNL</t>
  </si>
  <si>
    <t>CRC</t>
  </si>
  <si>
    <t>NIO</t>
  </si>
  <si>
    <t>BOB</t>
  </si>
  <si>
    <t>PYG</t>
  </si>
  <si>
    <t>USD (unless stated)</t>
  </si>
  <si>
    <t>2027e</t>
  </si>
  <si>
    <t>24-27e CAGR</t>
  </si>
  <si>
    <t>EV/revenue</t>
  </si>
  <si>
    <t>SHOUT, millions</t>
  </si>
  <si>
    <t>Plus: Net debt (IFRS 16)</t>
  </si>
  <si>
    <t>Less: Cumulative dividend</t>
  </si>
  <si>
    <t xml:space="preserve">EBITDA  </t>
  </si>
  <si>
    <t>Net debt/EBITDA (IAS 17)</t>
  </si>
  <si>
    <t>Price, USD</t>
  </si>
  <si>
    <t>Less: Associates</t>
  </si>
  <si>
    <t>Plus: Minorities</t>
  </si>
  <si>
    <t>Minorities (CF)</t>
  </si>
  <si>
    <t>Financials, USD million</t>
  </si>
  <si>
    <t>Adj. EBITDA, USD m</t>
  </si>
  <si>
    <t>Proportionate EV/EBITDA</t>
  </si>
  <si>
    <t>Multiples</t>
  </si>
  <si>
    <t>Proportionate EV/OpFCF</t>
  </si>
  <si>
    <t>Financing costs (lease inc.)</t>
  </si>
  <si>
    <t>Less JV</t>
  </si>
  <si>
    <t>South America ex. Colombia</t>
  </si>
  <si>
    <t>Calc. Interest expense</t>
  </si>
  <si>
    <t>Use TIGO FCFE definition from 2022 onwards</t>
  </si>
  <si>
    <t>A</t>
  </si>
  <si>
    <t>A2</t>
  </si>
  <si>
    <t>Q4 24</t>
  </si>
  <si>
    <t>Neg. (&gt;SD)</t>
  </si>
  <si>
    <t>Q4 24 adj</t>
  </si>
  <si>
    <t>EFCF 25 guide</t>
  </si>
  <si>
    <t>Net income (owners)</t>
  </si>
  <si>
    <t>Less: clean depr/amort</t>
  </si>
  <si>
    <t>Plus: associates</t>
  </si>
  <si>
    <t>Less: clean net interest</t>
  </si>
  <si>
    <t>Less: clean tax</t>
  </si>
  <si>
    <t>Less: minorities</t>
  </si>
  <si>
    <t>need AR</t>
  </si>
  <si>
    <t>Clean interest income</t>
  </si>
  <si>
    <t>put option</t>
  </si>
  <si>
    <t>BS leases</t>
  </si>
  <si>
    <t>CF stat lease paymt</t>
  </si>
  <si>
    <t>Derivatives &amp; vendor financing</t>
  </si>
  <si>
    <t>Income stat inc leases</t>
  </si>
  <si>
    <t>Inc leases</t>
  </si>
  <si>
    <t>Gross debt inc deriv &amp; vendor fi</t>
  </si>
  <si>
    <t>Net interest ex leases</t>
  </si>
  <si>
    <t>Clean interest expense</t>
  </si>
  <si>
    <t>Inc leases and derivatives</t>
  </si>
  <si>
    <t>SR rev to return to g in 2025</t>
  </si>
  <si>
    <t xml:space="preserve">Guat - </t>
  </si>
  <si>
    <t>Col - Net adds drive faster SR in 2025</t>
  </si>
  <si>
    <t>Pan - record B2B 2024 so tougher comps 2025 but future well positionned for B2B win</t>
  </si>
  <si>
    <t>Grow CF  2025 and beyond</t>
  </si>
  <si>
    <t>Lati close in Q2 or Q3</t>
  </si>
  <si>
    <t>Pan - $25m B2B impact y/y</t>
  </si>
  <si>
    <t>Bol - challenging macro, lag of $. BOB currently pegged to $ at rate of 6.91, but has to pay commission of up to 70% to buy $ at this rate. Q1 25 begin using estimated spot rate consistent with IAS21. Negatively impact $ P&amp;L.expect low to mid DD mn $ impact  on gp EFCF due to upstream cost.</t>
  </si>
  <si>
    <t>150m share BB prog under execution</t>
  </si>
  <si>
    <t>No guidance but stability expecged in FY25 vs. FY24</t>
  </si>
  <si>
    <t>Over time cash and booked capex to converge. $575m in FY24 a bit low</t>
  </si>
  <si>
    <t>Q1 25</t>
  </si>
  <si>
    <t>Q2 25</t>
  </si>
  <si>
    <t>Q3 25</t>
  </si>
  <si>
    <t>Q4 25</t>
  </si>
  <si>
    <t>Int bonds</t>
  </si>
  <si>
    <t>Int lease</t>
  </si>
  <si>
    <t>others</t>
  </si>
  <si>
    <t>int net</t>
  </si>
  <si>
    <t>lease int</t>
  </si>
  <si>
    <t>lease ppal</t>
  </si>
  <si>
    <t>lease in opex</t>
  </si>
  <si>
    <t>int lease PL</t>
  </si>
  <si>
    <t>DA RoU</t>
  </si>
  <si>
    <t>CF</t>
  </si>
  <si>
    <t>int + ppal</t>
  </si>
  <si>
    <t>Net debt to EBITDAaL</t>
  </si>
  <si>
    <t>Income statement</t>
  </si>
  <si>
    <t>Leases inc here (int + ppal)</t>
  </si>
  <si>
    <t>2024A</t>
  </si>
  <si>
    <t>Q1 25e</t>
  </si>
  <si>
    <t>Q2 25e</t>
  </si>
  <si>
    <t>Q3 25e</t>
  </si>
  <si>
    <t>Q4 25e</t>
  </si>
  <si>
    <t>Capex booked</t>
  </si>
  <si>
    <t>Spectrum and licences</t>
  </si>
  <si>
    <t xml:space="preserve">Total booked abd spectrum </t>
  </si>
  <si>
    <t>Total paid</t>
  </si>
  <si>
    <t>Amort</t>
  </si>
  <si>
    <t>Int</t>
  </si>
  <si>
    <t>Dep</t>
  </si>
  <si>
    <t>FY 27</t>
  </si>
  <si>
    <t>Total inc spectrum</t>
  </si>
  <si>
    <t>Change in WC</t>
  </si>
  <si>
    <t>Tax paid</t>
  </si>
  <si>
    <t>Dividends from associates</t>
  </si>
  <si>
    <t>NCI</t>
  </si>
  <si>
    <t>Unlevered FCF</t>
  </si>
  <si>
    <t>Net interests</t>
  </si>
  <si>
    <t>Lease payments on principal</t>
  </si>
  <si>
    <t>License payments</t>
  </si>
  <si>
    <t>Share buyback</t>
  </si>
  <si>
    <t xml:space="preserve">EFCF before license payments </t>
  </si>
  <si>
    <t>Booked capex</t>
  </si>
  <si>
    <t>Cash capex ex spectrum</t>
  </si>
  <si>
    <t>Booked capex with spectrum</t>
  </si>
  <si>
    <t>Depreciation &amp; Amortisation (inc Dep leases)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</si>
</sst>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0">
    <numFmt numFmtId="41" formatCode="_-* #,##0_-;\-* #,##0_-;_-* &quot;-&quot;_-;_-@_-"/>
    <numFmt numFmtId="44" formatCode="_-&quot;£&quot;* #,##0.00_-;\-&quot;£&quot;* #,##0.00_-;_-&quot;£&quot;* &quot;-&quot;??_-;_-@_-"/>
    <numFmt numFmtId="43" formatCode="_-* #,##0.00_-;\-* #,##0.00_-;_-* &quot;-&quot;??_-;_-@_-"/>
    <numFmt numFmtId="164" formatCode="0.0%"/>
    <numFmt numFmtId="165" formatCode="0.0"/>
    <numFmt numFmtId="166" formatCode="0&quot;A&quot;"/>
    <numFmt numFmtId="167" formatCode="0&quot;E&quot;"/>
    <numFmt numFmtId="168" formatCode="#,##0.0"/>
    <numFmt numFmtId="169" formatCode="_-* #,##0_-;\-* #,##0_-;_-* &quot;-&quot;??_-;_-@_-"/>
    <numFmt numFmtId="170" formatCode="_(* #,##0_);_(* \(#,##0\);_(* &quot;-&quot;??_);_(@_)"/>
    <numFmt numFmtId="171" formatCode="_(* #,##0.0_);_(* \(#,##0.0\);_(* &quot;-&quot;??_);_(@_)"/>
    <numFmt numFmtId="172" formatCode="_-* #,##0.0_-;\-* #,##0.0_-;_-* &quot;-&quot;??_-;_-@_-"/>
    <numFmt numFmtId="173" formatCode="#,##0_);[Red]\-#,##0_);0_);@_)"/>
    <numFmt numFmtId="174" formatCode="#,##0.00_);[Red]\-#,##0.00_);0.00_);@_)"/>
    <numFmt numFmtId="175" formatCode="#,##0%;[Red]\-#,##0%;0%;@_)"/>
    <numFmt numFmtId="176" formatCode="#,##0.00%;[Red]\-#,##0.00%;0.00%;@_)"/>
    <numFmt numFmtId="177" formatCode="dd\ mmm\ yy_)"/>
    <numFmt numFmtId="178" formatCode="* _(#,##0.00_);[Red]* \(#,##0.00\);* _(&quot;-&quot;?_);@_)"/>
    <numFmt numFmtId="179" formatCode="\€\ * _(#,##0_);[Red]\€\ * \(#,##0\);\€\ * _(&quot;-&quot;?_);@_)"/>
    <numFmt numFmtId="180" formatCode="\€\ * _(#,##0.00_);[Red]\€\ * \(#,##0.00\);\€\ * _(&quot;-&quot;?_);@_)"/>
    <numFmt numFmtId="181" formatCode="[$EUR]\ * _(#,##0_);[Red][$EUR]\ * \(#,##0\);[$EUR]\ * _(&quot;-&quot;?_);@_)"/>
    <numFmt numFmtId="182" formatCode="[$EUR]\ * _(#,##0.00_);[Red][$EUR]\ * \(#,##0.00\);[$EUR]\ * _(&quot;-&quot;?_);@_)"/>
    <numFmt numFmtId="183" formatCode="\$\ * _(#,##0_);[Red]\$\ * \(#,##0\);\$\ * _(&quot;-&quot;?_);@_)"/>
    <numFmt numFmtId="184" formatCode="\$\ * _(#,##0.00_);[Red]\$\ * \(#,##0.00\);\$\ * _(&quot;-&quot;?_);@_)"/>
    <numFmt numFmtId="185" formatCode="[$USD]\ * _(#,##0_);[Red][$USD]\ * \(#,##0\);[$USD]\ * _(&quot;-&quot;?_);@_)"/>
    <numFmt numFmtId="186" formatCode="[$USD]\ * _(#,##0.00_);[Red][$USD]\ * \(#,##0.00\);[$USD]\ * _(&quot;-&quot;?_);@_)"/>
    <numFmt numFmtId="187" formatCode="\£\ * _(#,##0_);[Red]\£\ * \(#,##0\);\£\ * _(&quot;-&quot;?_);@_)"/>
    <numFmt numFmtId="188" formatCode="\£\ * _(#,##0.00_);[Red]\£\ * \(#,##0.00\);\£\ * _(&quot;-&quot;?_);@_)"/>
    <numFmt numFmtId="189" formatCode="[$GBP]\ * _(#,##0_);[Red][$GBP]\ * \(#,##0\);[$GBP]\ * _(&quot;-&quot;?_);@_)"/>
    <numFmt numFmtId="190" formatCode="[$GBP]\ * _(#,##0.00_);[Red][$GBP]\ * \(#,##0.00\);[$GBP]\ * _(&quot;-&quot;?_);@_)"/>
    <numFmt numFmtId="191" formatCode="mmm\ yy_)"/>
    <numFmt numFmtId="192" formatCode="yyyy_)"/>
    <numFmt numFmtId="193" formatCode="0.00_);\(0.00\);0.00_)"/>
    <numFmt numFmtId="194" formatCode="0.00\%;\-0.00\%;0.00\%"/>
    <numFmt numFmtId="195" formatCode="0.00_);\(0.00\);0.00"/>
    <numFmt numFmtId="196" formatCode="##0.00000"/>
    <numFmt numFmtId="197" formatCode="0.00\x;\-0.00\x;0.00\x"/>
    <numFmt numFmtId="198" formatCode="_-\€* #,##0_-;\-\€* #,##0_-;_-\€* &quot;-&quot;_-;_-@_-"/>
    <numFmt numFmtId="199" formatCode="_-\€* #,##0.00_-;\-\€* #,##0.00_-;_-\€* &quot;-&quot;??_-;_-@_-"/>
    <numFmt numFmtId="200" formatCode="#,##0.0_ ;[Red]\-#,##0.0\ "/>
    <numFmt numFmtId="201" formatCode="0.0_ ;[Red]\-0.0\ "/>
    <numFmt numFmtId="202" formatCode="_-* #,##0&quot; F&quot;_-;\-* #,##0&quot; F&quot;_-;_-* &quot;-&quot;&quot; F&quot;_-;_-@_-"/>
    <numFmt numFmtId="203" formatCode="_-* #,##0_ _F_-;\-* #,##0_ _F_-;_-* &quot;-&quot;_ _F_-;_-@_-"/>
    <numFmt numFmtId="204" formatCode="_-* #,##0.00&quot; F&quot;_-;\-* #,##0.00&quot; F&quot;_-;_-* &quot;-&quot;??&quot; F&quot;_-;_-@_-"/>
    <numFmt numFmtId="205" formatCode="_-* #,##0.00_ _F_-;\-* #,##0.00_ _F_-;_-* &quot;-&quot;??_ _F_-;_-@_-"/>
    <numFmt numFmtId="206" formatCode="#,##0;\(#,##0\)"/>
    <numFmt numFmtId="207" formatCode="#,##0.0;\(#,##0.0\)"/>
    <numFmt numFmtId="208" formatCode="00000"/>
    <numFmt numFmtId="209" formatCode="0.00%_);\(0.00%\)"/>
    <numFmt numFmtId="210" formatCode="0.0%_);\(0.0%\)"/>
    <numFmt numFmtId="211" formatCode="0_);\(0\)"/>
    <numFmt numFmtId="212" formatCode="#,##0_);\(#,##0\);0_)"/>
    <numFmt numFmtId="213" formatCode="#,##0.0000_);[Red]\(#,##0.0000\);0.0000_)"/>
    <numFmt numFmtId="214" formatCode="#,##0.00_);[Red]\(#,##0.00\);0.00_)"/>
    <numFmt numFmtId="215" formatCode="#,##0.00_)&quot; F&quot;;[Red]\(#,##0.00\)&quot; F&quot;;0.00_)&quot; F&quot;"/>
    <numFmt numFmtId="216" formatCode="0&quot;E&quot;;\(0\)&quot;E&quot;"/>
    <numFmt numFmtId="217" formatCode="#,##0_);\(#,##0\);;"/>
    <numFmt numFmtId="218" formatCode="0%;[Red]\-0%"/>
    <numFmt numFmtId="219" formatCode="0\.00%;[Red]\-0\.00%"/>
    <numFmt numFmtId="220" formatCode="0.0000"/>
    <numFmt numFmtId="221" formatCode="0.000%"/>
    <numFmt numFmtId="222" formatCode="&quot;kr&quot;\ #,##0_);[Red]\(&quot;kr&quot;\ #,##0\)"/>
    <numFmt numFmtId="223" formatCode="&quot;kr&quot;\ #,##0.00_);[Red]\(&quot;kr&quot;\ #,##0.00\)"/>
    <numFmt numFmtId="224" formatCode="_(* #,##0_);_(* \(#,##0\);_(* &quot;-&quot;_);_(@_)"/>
    <numFmt numFmtId="225" formatCode="_(* #,##0.00_);_(* \(#,##0.00\);_(* &quot;-&quot;??_);_(@_)"/>
    <numFmt numFmtId="226" formatCode="#,##0.0_);\(#,##0.0\)"/>
    <numFmt numFmtId="227" formatCode="&quot;$&quot;_(#,##0.00_);&quot;$&quot;\(#,##0.00\)"/>
    <numFmt numFmtId="228" formatCode="#,##0.0_)\x;\(#,##0.0\)\x"/>
    <numFmt numFmtId="229" formatCode="#,##0.0_)_x;\(#,##0.0\)_x"/>
    <numFmt numFmtId="230" formatCode="0.0_)\%;\(0.0\)\%"/>
    <numFmt numFmtId="231" formatCode="#,##0.0_)_%;\(#,##0.0\)_%"/>
    <numFmt numFmtId="232" formatCode="#,##0.00\ &quot;Kč&quot;;[Red]\-#,##0.00\ &quot;Kč&quot;"/>
    <numFmt numFmtId="233" formatCode="#,##0.000_);[Red]\(#,##0.000\)"/>
    <numFmt numFmtId="234" formatCode="0.0%_);\(0.0%\)_)"/>
    <numFmt numFmtId="235" formatCode="&quot;$&quot;#,##0.00_);[Red]\(&quot;$&quot;#,##0.00\)"/>
    <numFmt numFmtId="236" formatCode="&quot;$&quot;#,##0.00000000000000000000000000_);[Red]\(&quot;$&quot;#,##0.00000000000000000000000000\)"/>
    <numFmt numFmtId="237" formatCode="#,##0.000;\(#,##0.000\)"/>
    <numFmt numFmtId="238" formatCode="#,##0.00;\(#,##0.00\)"/>
    <numFmt numFmtId="239" formatCode="yyyy"/>
    <numFmt numFmtId="240" formatCode="&quot;$&quot;#,##0_);[Red]\(&quot;$&quot;#,##0\)"/>
    <numFmt numFmtId="241" formatCode="&quot;$&quot;#,##0.00&quot;A&quot;;[Red]\(&quot;$&quot;#,##0.00\)&quot;A&quot;"/>
    <numFmt numFmtId="242" formatCode="&quot;$&quot;#,##0.00&quot;E&quot;;[Red]\(&quot;$&quot;#,##0.00\)&quot;E&quot;"/>
    <numFmt numFmtId="243" formatCode="_-[$€]* #,##0.00_-;\-[$€]* #,##0.00_-;_-[$€]* &quot;-&quot;??_-;_-@_-"/>
    <numFmt numFmtId="244" formatCode="#\ ##0.0"/>
    <numFmt numFmtId="245" formatCode="#,##0.0_);[Red]\(#,##0.0\)"/>
    <numFmt numFmtId="246" formatCode="0.0%_);[Red]\(0.0%\)"/>
    <numFmt numFmtId="247" formatCode="0.00%;\(0.00%\)"/>
    <numFmt numFmtId="248" formatCode="###0"/>
    <numFmt numFmtId="249" formatCode="General_)"/>
    <numFmt numFmtId="250" formatCode="_ * #,##0.00_ ;_ * \-#,##0.00_ ;_ * &quot;-&quot;??_ ;_ @_ "/>
    <numFmt numFmtId="251" formatCode="_-* #,##0.00\ _K_č_-;\-* #,##0.00\ _K_č_-;_-* &quot;-&quot;??\ _K_č_-;_-@_-"/>
    <numFmt numFmtId="252" formatCode="#,##0.0000;\(#,##0.0000\)"/>
    <numFmt numFmtId="253" formatCode="#.0"/>
    <numFmt numFmtId="254" formatCode="0.0000%"/>
    <numFmt numFmtId="255" formatCode="#,##0.00_)\ \x;\(#,##0.00\)\ \x"/>
    <numFmt numFmtId="256" formatCode="_(&quot;$&quot;* #,##0_);_(&quot;$&quot;* \(#,##0\);_(&quot;$&quot;* &quot;-&quot;_);_(@_)"/>
    <numFmt numFmtId="257" formatCode="#,##0.00\ ;\(#,##0.00\)"/>
    <numFmt numFmtId="258" formatCode="0.000"/>
    <numFmt numFmtId="259" formatCode="[$$-409]#,##0"/>
    <numFmt numFmtId="260" formatCode="#,##0_ ;\-#,##0\ "/>
    <numFmt numFmtId="261" formatCode="0.0\x"/>
    <numFmt numFmtId="262" formatCode="#,##0,;\-#,##0,"/>
    <numFmt numFmtId="263" formatCode="#,##0.0\ ;\(#,##0.0\)"/>
    <numFmt numFmtId="264" formatCode="_(&quot;$&quot;* #,##0.00_);_(&quot;$&quot;* \(#,##0.00\);_(&quot;$&quot;* &quot;-&quot;??_);_(@_)"/>
    <numFmt numFmtId="265" formatCode="#,##0&quot;  &quot;;\(#,##0\)&quot; &quot;;#,##0&quot;  &quot;;@&quot;  &quot;"/>
    <numFmt numFmtId="266" formatCode="&quot;$&quot;#,##0.00_);\(&quot;$&quot;#,##0.00\)"/>
    <numFmt numFmtId="267" formatCode="#,##0.00\ ;\(#,##0.00\)\ ;\ "/>
    <numFmt numFmtId="268" formatCode="\$#,##0\);\(\$#,##0\)"/>
    <numFmt numFmtId="269" formatCode="#,##0.000000000000"/>
    <numFmt numFmtId="270" formatCode="#,##0.0;\-#,##0.0"/>
    <numFmt numFmtId="271" formatCode="###0;\-###0"/>
    <numFmt numFmtId="272" formatCode="&quot;£ &quot;#,##0.00;\-&quot;£ &quot;#,##0.00"/>
    <numFmt numFmtId="273" formatCode=";;;"/>
    <numFmt numFmtId="274" formatCode="\+0%;\-0%"/>
    <numFmt numFmtId="275" formatCode="#,##0.00000000000"/>
    <numFmt numFmtId="276" formatCode="#,##0.000_);\(#,##0.000\)"/>
    <numFmt numFmtId="277" formatCode="&quot;L.&quot;\ #,##0.00;\-&quot;L.&quot;\ #,##0.00"/>
    <numFmt numFmtId="278" formatCode="#,##0.000;\-#,##0.000"/>
    <numFmt numFmtId="279" formatCode="_-&quot;L.&quot;\ * #,##0.00_-;\-&quot;L.&quot;\ * #,##0.00_-;_-&quot;L.&quot;\ * &quot;-&quot;??_-;_-@_-"/>
    <numFmt numFmtId="280" formatCode="0.000000%"/>
    <numFmt numFmtId="281" formatCode="_-* #,##0\ _D_M_-;\-* #,##0\ _D_M_-;_-* &quot;-&quot;\ _D_M_-;_-@_-"/>
    <numFmt numFmtId="282" formatCode="0.0%;\(#.#%\)"/>
    <numFmt numFmtId="283" formatCode="#,##0\ ;\(#,##0\)\ ;\ "/>
    <numFmt numFmtId="284" formatCode="dd\-mm\-yy"/>
    <numFmt numFmtId="285" formatCode="0.00&quot;x&quot;"/>
    <numFmt numFmtId="286" formatCode="0.000000000"/>
    <numFmt numFmtId="287" formatCode="0&quot;**&quot;"/>
    <numFmt numFmtId="288" formatCode="#,##0.000000_);\(#,##0.000000\)"/>
    <numFmt numFmtId="289" formatCode="\$#,##0,;\$\(#,##0,\)"/>
    <numFmt numFmtId="290" formatCode="#,##0.0&quot;x&quot;\ ;\(#,##0.0\)&quot;x&quot;"/>
    <numFmt numFmtId="291" formatCode="0.000,,\ ;\(0.000\)"/>
    <numFmt numFmtId="292" formatCode="#,##0\ &quot;Pta&quot;;\-#,##0\ &quot;Pta&quot;"/>
    <numFmt numFmtId="293" formatCode="#,##0.0000,;\(#,##0.0000,\)"/>
    <numFmt numFmtId="294" formatCode="#,##0.0,\ ;\(#,##0.0,\)"/>
    <numFmt numFmtId="295" formatCode="0&quot;%&quot;"/>
    <numFmt numFmtId="296" formatCode="\$#,##0;\(\$#,##0\)"/>
    <numFmt numFmtId="297" formatCode="0.000\ ;\(0.000\)"/>
    <numFmt numFmtId="298" formatCode="#,##0.0\x"/>
    <numFmt numFmtId="299" formatCode="#,##0.00000000_);\(#,##0.00000000\)"/>
    <numFmt numFmtId="300" formatCode="#,##0\ ;\(#,##0\)"/>
    <numFmt numFmtId="301" formatCode="&quot;£m&quot;\ 0"/>
    <numFmt numFmtId="302" formatCode="0.0000000000000%"/>
    <numFmt numFmtId="303" formatCode="#,##0.0,;\(#,##0.0,\)"/>
    <numFmt numFmtId="304" formatCode="#,##0,;[Red]\-#,##0,"/>
    <numFmt numFmtId="305" formatCode="mm/dd/yy"/>
    <numFmt numFmtId="306" formatCode="#,##0,;\(#,##0\)\,"/>
    <numFmt numFmtId="307" formatCode="_-* #,##0.000\ _P_t_s_-;\-* #,##0.000\ _P_t_s_-;_-* &quot;-&quot;??\ _P_t_s_-;_-@_-"/>
    <numFmt numFmtId="308" formatCode="#,##0\ &quot;F&quot;;\-#,##0\ &quot;F&quot;"/>
    <numFmt numFmtId="309" formatCode="&quot;£ &quot;#,##0.00;[Red]\-&quot;£ &quot;#,##0.00"/>
    <numFmt numFmtId="310" formatCode="#,##0.000"/>
    <numFmt numFmtId="311" formatCode="_-* #,##0\ _E_s_c_._-;\-* #,##0\ _E_s_c_._-;_-* &quot;-&quot;\ _E_s_c_._-;_-@_-"/>
    <numFmt numFmtId="312" formatCode="0.0%;\(0.0\)%"/>
    <numFmt numFmtId="313" formatCode="#,##0\ &quot;F&quot;;[Red]\-#,##0\ &quot;F&quot;"/>
    <numFmt numFmtId="314" formatCode="_-&quot;£ &quot;* #,##0_-;\-&quot;£ &quot;* #,##0_-;_-&quot;£ &quot;* &quot;-&quot;_-;_-@_-"/>
    <numFmt numFmtId="315" formatCode="&quot;DFl &quot;0.0"/>
    <numFmt numFmtId="316" formatCode="#\ ##0.00"/>
    <numFmt numFmtId="317" formatCode="&quot;FFr &quot;0.0"/>
    <numFmt numFmtId="318" formatCode="0.00000"/>
    <numFmt numFmtId="319" formatCode="_-[$€-2]* #,##0.00_-;\-[$€-2]* #,##0.00_-;_-[$€-2]* &quot;-&quot;??_-"/>
    <numFmt numFmtId="320" formatCode="#,##0.0000\ ;\(#,##0.0000\)"/>
    <numFmt numFmtId="321" formatCode="#,##0.00\x_);[Red]\(#,##0.00\x\)"/>
    <numFmt numFmtId="322" formatCode="&quot;$&quot;#,##0.0000000000000000000000000_);[Red]\(&quot;$&quot;#,##0.0000000000000000000000000\)"/>
    <numFmt numFmtId="323" formatCode="#,##0.000\ ;\(#,##0.000\)"/>
    <numFmt numFmtId="324" formatCode="_-* #,##0_-;\-* #,##0_-;_-* &quot;-&quot;???_-;_-@_-"/>
    <numFmt numFmtId="325" formatCode="0.00\x"/>
    <numFmt numFmtId="326" formatCode="0.0\x;\-0.0\x;0.0\x"/>
    <numFmt numFmtId="327" formatCode="0\x"/>
    <numFmt numFmtId="328" formatCode="_-[$$-409]* #,##0.00_ ;_-[$$-409]* \-#,##0.00\ ;_-[$$-409]* &quot;-&quot;??_ ;_-@_ "/>
    <numFmt numFmtId="329" formatCode="0E+00"/>
    <numFmt numFmtId="330" formatCode="0.0%_);\(0.0%\);0.0%_);@_)"/>
  </numFmts>
  <fonts count="331">
    <font>
      <sz val="10"/>
      <name val="Trebuchet MS"/>
    </font>
    <font>
      <sz val="10"/>
      <name val="Trebuchet MS"/>
      <family val="2"/>
    </font>
    <font>
      <b/>
      <sz val="10"/>
      <name val="Trebuchet MS"/>
      <family val="2"/>
    </font>
    <font>
      <b/>
      <u/>
      <sz val="10"/>
      <name val="Trebuchet MS"/>
      <family val="2"/>
    </font>
    <font>
      <sz val="10"/>
      <name val="Trebuchet MS"/>
      <family val="2"/>
    </font>
    <font>
      <sz val="8"/>
      <color indexed="81"/>
      <name val="Tahoma"/>
      <family val="2"/>
    </font>
    <font>
      <b/>
      <sz val="8"/>
      <color indexed="81"/>
      <name val="Tahoma"/>
      <family val="2"/>
    </font>
    <font>
      <sz val="10"/>
      <name val="Times New Roman"/>
      <family val="1"/>
    </font>
    <font>
      <i/>
      <sz val="10"/>
      <name val="Trebuchet MS"/>
      <family val="2"/>
    </font>
    <font>
      <sz val="10"/>
      <name val="Arial Narrow"/>
      <family val="2"/>
    </font>
    <font>
      <u/>
      <sz val="10"/>
      <name val="Trebuchet MS"/>
      <family val="2"/>
    </font>
    <font>
      <sz val="10"/>
      <color indexed="12"/>
      <name val="Trebuchet MS"/>
      <family val="2"/>
    </font>
    <font>
      <sz val="10"/>
      <color indexed="10"/>
      <name val="Trebuchet MS"/>
      <family val="2"/>
    </font>
    <font>
      <sz val="10"/>
      <color indexed="12"/>
      <name val="Trebuchet MS"/>
      <family val="2"/>
    </font>
    <font>
      <u/>
      <sz val="10"/>
      <color indexed="12"/>
      <name val="Trebuchet MS"/>
      <family val="2"/>
    </font>
    <font>
      <b/>
      <u/>
      <sz val="10"/>
      <color indexed="12"/>
      <name val="Trebuchet MS"/>
      <family val="2"/>
    </font>
    <font>
      <b/>
      <sz val="10"/>
      <color indexed="12"/>
      <name val="Trebuchet MS"/>
      <family val="2"/>
    </font>
    <font>
      <sz val="8"/>
      <name val="Trebuchet MS"/>
      <family val="2"/>
    </font>
    <font>
      <u/>
      <sz val="10"/>
      <name val="Trebuchet MS"/>
      <family val="2"/>
    </font>
    <font>
      <vertAlign val="superscript"/>
      <sz val="10"/>
      <name val="Trebuchet MS"/>
      <family val="2"/>
    </font>
    <font>
      <vertAlign val="subscript"/>
      <sz val="10"/>
      <name val="Trebuchet MS"/>
      <family val="2"/>
    </font>
    <font>
      <sz val="8"/>
      <name val="Trebuchet MS"/>
      <family val="2"/>
    </font>
    <font>
      <b/>
      <sz val="8"/>
      <name val="Trebuchet MS"/>
      <family val="2"/>
    </font>
    <font>
      <b/>
      <sz val="12"/>
      <name val="Helv"/>
    </font>
    <font>
      <sz val="10"/>
      <color indexed="10"/>
      <name val="Times New Roman"/>
      <family val="1"/>
    </font>
    <font>
      <sz val="10"/>
      <name val="Arial"/>
      <family val="2"/>
    </font>
    <font>
      <sz val="12"/>
      <color indexed="10"/>
      <name val="Times New Roman"/>
      <family val="1"/>
    </font>
    <font>
      <sz val="9"/>
      <name val="Arial"/>
      <family val="2"/>
    </font>
    <font>
      <i/>
      <sz val="9"/>
      <color indexed="55"/>
      <name val="Arial"/>
      <family val="2"/>
    </font>
    <font>
      <sz val="10"/>
      <name val="MS Sans Serif"/>
      <family val="2"/>
    </font>
    <font>
      <b/>
      <sz val="10"/>
      <name val="Times New Roman"/>
      <family val="1"/>
    </font>
    <font>
      <b/>
      <sz val="9"/>
      <name val="Arial"/>
      <family val="2"/>
    </font>
    <font>
      <sz val="8"/>
      <name val="Helvetica"/>
      <family val="2"/>
    </font>
    <font>
      <sz val="10"/>
      <name val="Frutiger 45 Light"/>
      <family val="2"/>
    </font>
    <font>
      <sz val="24"/>
      <name val="MS Sans Serif"/>
      <family val="2"/>
    </font>
    <font>
      <sz val="12"/>
      <name val="Times New Roman"/>
      <family val="1"/>
    </font>
    <font>
      <sz val="12"/>
      <name val="Times New Roman"/>
      <family val="1"/>
    </font>
    <font>
      <sz val="12"/>
      <color indexed="14"/>
      <name val="Times New Roman"/>
      <family val="1"/>
    </font>
    <font>
      <sz val="10"/>
      <name val="Arial Narrow"/>
      <family val="2"/>
    </font>
    <font>
      <sz val="8"/>
      <name val="Arial"/>
      <family val="2"/>
    </font>
    <font>
      <b/>
      <sz val="22"/>
      <name val="Arial"/>
      <family val="2"/>
    </font>
    <font>
      <b/>
      <sz val="18"/>
      <name val="Arial"/>
      <family val="2"/>
    </font>
    <font>
      <b/>
      <sz val="14"/>
      <name val="Arial"/>
      <family val="2"/>
    </font>
    <font>
      <b/>
      <sz val="12"/>
      <name val="Arial"/>
      <family val="2"/>
    </font>
    <font>
      <sz val="10"/>
      <color indexed="12"/>
      <name val="Times New Roman"/>
      <family val="1"/>
    </font>
    <font>
      <sz val="10"/>
      <color indexed="12"/>
      <name val="Times New Roman"/>
      <family val="1"/>
    </font>
    <font>
      <sz val="12"/>
      <name val="Arial"/>
      <family val="2"/>
    </font>
    <font>
      <b/>
      <sz val="10"/>
      <name val="MS Sans Serif"/>
      <family val="2"/>
    </font>
    <font>
      <b/>
      <sz val="10"/>
      <name val="Helv"/>
    </font>
    <font>
      <b/>
      <sz val="18"/>
      <name val="Times New Roman"/>
      <family val="1"/>
    </font>
    <font>
      <sz val="10"/>
      <name val="Geneva"/>
    </font>
    <font>
      <i/>
      <sz val="9"/>
      <color indexed="16"/>
      <name val="Arial"/>
      <family val="2"/>
    </font>
    <font>
      <i/>
      <sz val="12"/>
      <color indexed="10"/>
      <name val="Times New Roman"/>
      <family val="1"/>
    </font>
    <font>
      <i/>
      <sz val="10"/>
      <name val="Helv"/>
    </font>
    <font>
      <sz val="12"/>
      <color indexed="12"/>
      <name val="Times New Roman"/>
      <family val="1"/>
    </font>
    <font>
      <sz val="10"/>
      <color indexed="23"/>
      <name val="MS Sans Serif"/>
      <family val="2"/>
    </font>
    <font>
      <b/>
      <sz val="14"/>
      <name val="Times New Roman"/>
      <family val="1"/>
    </font>
    <font>
      <b/>
      <sz val="12"/>
      <name val="MS Sans Serif"/>
      <family val="2"/>
    </font>
    <font>
      <b/>
      <i/>
      <sz val="10"/>
      <name val="Trebuchet MS"/>
      <family val="2"/>
    </font>
    <font>
      <i/>
      <sz val="10"/>
      <color indexed="10"/>
      <name val="Trebuchet MS"/>
      <family val="2"/>
    </font>
    <font>
      <sz val="10"/>
      <color indexed="10"/>
      <name val="Trebuchet MS"/>
      <family val="2"/>
    </font>
    <font>
      <b/>
      <sz val="10"/>
      <color indexed="10"/>
      <name val="Trebuchet MS"/>
      <family val="2"/>
    </font>
    <font>
      <sz val="10"/>
      <name val="Arial"/>
      <family val="2"/>
    </font>
    <font>
      <sz val="10"/>
      <color indexed="9"/>
      <name val="Trebuchet MS"/>
      <family val="2"/>
    </font>
    <font>
      <b/>
      <sz val="10"/>
      <color indexed="9"/>
      <name val="Trebuchet MS"/>
      <family val="2"/>
    </font>
    <font>
      <b/>
      <sz val="9"/>
      <name val="Trebuchet MS"/>
      <family val="2"/>
    </font>
    <font>
      <b/>
      <sz val="10"/>
      <color indexed="81"/>
      <name val="Tahoma"/>
      <family val="2"/>
    </font>
    <font>
      <sz val="10"/>
      <color indexed="81"/>
      <name val="Tahoma"/>
      <family val="2"/>
    </font>
    <font>
      <i/>
      <sz val="10"/>
      <color indexed="55"/>
      <name val="Trebuchet MS"/>
      <family val="2"/>
    </font>
    <font>
      <u/>
      <sz val="7.5"/>
      <name val="Trebuchet MS"/>
      <family val="2"/>
    </font>
    <font>
      <b/>
      <u/>
      <sz val="10"/>
      <name val="Arial"/>
      <family val="2"/>
    </font>
    <font>
      <b/>
      <sz val="10"/>
      <name val="MS Sans Serif"/>
      <family val="2"/>
    </font>
    <font>
      <sz val="10"/>
      <color indexed="8"/>
      <name val="MS Sans Serif"/>
      <family val="2"/>
    </font>
    <font>
      <sz val="12"/>
      <name val="·s²Ó©úÅé"/>
      <charset val="136"/>
    </font>
    <font>
      <sz val="8"/>
      <color indexed="8"/>
      <name val="MS Sans Serif"/>
      <family val="2"/>
    </font>
    <font>
      <b/>
      <sz val="11"/>
      <color indexed="10"/>
      <name val="Times New Roman"/>
      <family val="1"/>
    </font>
    <font>
      <sz val="8"/>
      <name val="Times New Roman"/>
      <family val="1"/>
    </font>
    <font>
      <b/>
      <i/>
      <sz val="11"/>
      <color indexed="9"/>
      <name val="Times New Roman"/>
      <family val="1"/>
    </font>
    <font>
      <sz val="10"/>
      <name val="Times New Roman"/>
      <family val="1"/>
    </font>
    <font>
      <b/>
      <sz val="9"/>
      <color indexed="9"/>
      <name val="Arial"/>
      <family val="2"/>
    </font>
    <font>
      <u val="singleAccounting"/>
      <sz val="10"/>
      <name val="Arial"/>
      <family val="2"/>
    </font>
    <font>
      <b/>
      <sz val="10"/>
      <name val="Arial"/>
      <family val="2"/>
    </font>
    <font>
      <sz val="8"/>
      <name val="Arial"/>
      <family val="2"/>
    </font>
    <font>
      <sz val="10"/>
      <color indexed="22"/>
      <name val="Arial"/>
      <family val="2"/>
    </font>
    <font>
      <b/>
      <sz val="8"/>
      <name val="Arial"/>
      <family val="2"/>
    </font>
    <font>
      <b/>
      <sz val="8"/>
      <name val="Times New Roman"/>
      <family val="1"/>
    </font>
    <font>
      <u val="doubleAccounting"/>
      <sz val="10"/>
      <name val="Arial"/>
      <family val="2"/>
    </font>
    <font>
      <b/>
      <i/>
      <sz val="8"/>
      <color indexed="12"/>
      <name val="HelveticaNeue Condensed"/>
    </font>
    <font>
      <b/>
      <u/>
      <sz val="12"/>
      <name val="Arial Narrow"/>
      <family val="2"/>
    </font>
    <font>
      <b/>
      <sz val="7"/>
      <color indexed="12"/>
      <name val="Arial"/>
      <family val="2"/>
    </font>
    <font>
      <u/>
      <sz val="10"/>
      <color indexed="36"/>
      <name val="Arial"/>
      <family val="2"/>
    </font>
    <font>
      <i/>
      <sz val="8"/>
      <color indexed="17"/>
      <name val="Times New Roman"/>
      <family val="1"/>
    </font>
    <font>
      <sz val="8"/>
      <color indexed="21"/>
      <name val="Arial"/>
      <family val="2"/>
    </font>
    <font>
      <sz val="8"/>
      <color indexed="12"/>
      <name val="Times New Roman"/>
      <family val="1"/>
    </font>
    <font>
      <b/>
      <sz val="12"/>
      <color indexed="10"/>
      <name val="Arial"/>
      <family val="2"/>
    </font>
    <font>
      <sz val="14"/>
      <color indexed="16"/>
      <name val="Times New Roman"/>
      <family val="1"/>
    </font>
    <font>
      <b/>
      <sz val="10"/>
      <color indexed="16"/>
      <name val="Times New Roman"/>
      <family val="1"/>
    </font>
    <font>
      <b/>
      <sz val="10"/>
      <color indexed="18"/>
      <name val="Times New Roman"/>
      <family val="1"/>
    </font>
    <font>
      <sz val="8"/>
      <color indexed="8"/>
      <name val="Helvetica"/>
      <family val="2"/>
    </font>
    <font>
      <u/>
      <sz val="6"/>
      <color indexed="12"/>
      <name val="Arial"/>
      <family val="2"/>
    </font>
    <font>
      <sz val="8"/>
      <color indexed="39"/>
      <name val="Arial"/>
      <family val="2"/>
    </font>
    <font>
      <sz val="8"/>
      <color indexed="10"/>
      <name val="Helv"/>
    </font>
    <font>
      <sz val="10"/>
      <color indexed="16"/>
      <name val="MS Sans Serif"/>
      <family val="2"/>
    </font>
    <font>
      <b/>
      <sz val="12"/>
      <color indexed="17"/>
      <name val="Wingdings"/>
      <charset val="2"/>
    </font>
    <font>
      <b/>
      <sz val="8"/>
      <color indexed="14"/>
      <name val="MS Sans Serif"/>
      <family val="2"/>
    </font>
    <font>
      <sz val="8"/>
      <color indexed="18"/>
      <name val="Times New Roman"/>
      <family val="1"/>
    </font>
    <font>
      <sz val="7"/>
      <name val="Small Fonts"/>
      <family val="2"/>
    </font>
    <font>
      <b/>
      <u/>
      <sz val="12"/>
      <name val="L Serifa Light"/>
    </font>
    <font>
      <sz val="7"/>
      <color indexed="12"/>
      <name val="Arial"/>
      <family val="2"/>
    </font>
    <font>
      <sz val="8"/>
      <color indexed="8"/>
      <name val="Arial"/>
      <family val="2"/>
    </font>
    <font>
      <b/>
      <sz val="10"/>
      <name val="Times New Roman"/>
      <family val="1"/>
    </font>
    <font>
      <i/>
      <sz val="10"/>
      <name val="Helvetica"/>
    </font>
    <font>
      <sz val="10"/>
      <name val="Helv"/>
    </font>
    <font>
      <b/>
      <sz val="8"/>
      <color indexed="18"/>
      <name val="Times New Roman"/>
      <family val="1"/>
    </font>
    <font>
      <sz val="8"/>
      <name val="Univers"/>
      <family val="2"/>
    </font>
    <font>
      <sz val="8"/>
      <color indexed="10"/>
      <name val="Arial"/>
      <family val="2"/>
    </font>
    <font>
      <sz val="10"/>
      <name val="GillSans Light"/>
    </font>
    <font>
      <sz val="8"/>
      <name val="COUR"/>
    </font>
    <font>
      <sz val="10"/>
      <name val="COUR"/>
    </font>
    <font>
      <b/>
      <sz val="10"/>
      <name val="GillSans"/>
    </font>
    <font>
      <b/>
      <sz val="16"/>
      <name val="Times New Roman"/>
      <family val="1"/>
    </font>
    <font>
      <b/>
      <sz val="16"/>
      <name val="Times New Roman"/>
      <family val="1"/>
    </font>
    <font>
      <sz val="8"/>
      <name val="MS Sans Serif"/>
      <family val="2"/>
    </font>
    <font>
      <i/>
      <sz val="9"/>
      <name val="Times New Roman"/>
      <family val="1"/>
    </font>
    <font>
      <b/>
      <i/>
      <sz val="10"/>
      <name val="Arial"/>
      <family val="2"/>
    </font>
    <font>
      <sz val="8"/>
      <color indexed="9"/>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b/>
      <sz val="9"/>
      <name val="Trebuchet MS"/>
      <family val="2"/>
    </font>
    <font>
      <sz val="9"/>
      <name val="Trebuchet MS"/>
      <family val="2"/>
    </font>
    <font>
      <sz val="9"/>
      <name val="Trebuchet MS"/>
      <family val="2"/>
    </font>
    <font>
      <u/>
      <sz val="9"/>
      <name val="Trebuchet MS"/>
      <family val="2"/>
    </font>
    <font>
      <sz val="7"/>
      <name val="Trebuchet MS"/>
      <family val="2"/>
    </font>
    <font>
      <b/>
      <sz val="7"/>
      <name val="Trebuchet MS"/>
      <family val="2"/>
    </font>
    <font>
      <b/>
      <sz val="9"/>
      <color indexed="9"/>
      <name val="Trebuchet MS"/>
      <family val="2"/>
    </font>
    <font>
      <sz val="11"/>
      <color indexed="62"/>
      <name val="Symbol"/>
      <family val="1"/>
      <charset val="2"/>
    </font>
    <font>
      <sz val="7"/>
      <color indexed="62"/>
      <name val="Times New Roman"/>
      <family val="1"/>
    </font>
    <font>
      <sz val="11"/>
      <color indexed="62"/>
      <name val="Calibri"/>
      <family val="2"/>
    </font>
    <font>
      <i/>
      <sz val="8"/>
      <name val="Trebuchet MS"/>
      <family val="2"/>
    </font>
    <font>
      <sz val="11"/>
      <color indexed="8"/>
      <name val="Calibri"/>
      <family val="2"/>
    </font>
    <font>
      <sz val="11"/>
      <color indexed="9"/>
      <name val="Calibri"/>
      <family val="2"/>
    </font>
    <font>
      <sz val="11"/>
      <color indexed="14"/>
      <name val="Calibri"/>
      <family val="2"/>
    </font>
    <font>
      <sz val="8"/>
      <color indexed="12"/>
      <name val="Times"/>
      <family val="1"/>
    </font>
    <font>
      <sz val="10"/>
      <color indexed="18"/>
      <name val="Times New Roman"/>
      <family val="1"/>
    </font>
    <font>
      <b/>
      <sz val="11"/>
      <color indexed="9"/>
      <name val="Calibri"/>
      <family val="2"/>
    </font>
    <font>
      <sz val="10"/>
      <color indexed="12"/>
      <name val="Arial"/>
      <family val="2"/>
    </font>
    <font>
      <i/>
      <sz val="11"/>
      <color indexed="23"/>
      <name val="Calibri"/>
      <family val="2"/>
    </font>
    <font>
      <sz val="10"/>
      <color indexed="2"/>
      <name val="Tahoma"/>
      <family val="2"/>
    </font>
    <font>
      <b/>
      <sz val="10"/>
      <color indexed="0"/>
      <name val="Tahoma"/>
      <family val="2"/>
    </font>
    <font>
      <sz val="11"/>
      <color indexed="17"/>
      <name val="Calibri"/>
      <family val="2"/>
    </font>
    <font>
      <sz val="10"/>
      <name val="Tahoma"/>
      <family val="2"/>
    </font>
    <font>
      <sz val="12"/>
      <name val="Helv"/>
    </font>
    <font>
      <sz val="11"/>
      <color indexed="52"/>
      <name val="Calibri"/>
      <family val="2"/>
    </font>
    <font>
      <b/>
      <i/>
      <sz val="10"/>
      <color indexed="4"/>
      <name val="Tahoma"/>
      <family val="2"/>
    </font>
    <font>
      <sz val="10"/>
      <color indexed="4"/>
      <name val="Tahoma"/>
      <family val="2"/>
    </font>
    <font>
      <sz val="11"/>
      <color indexed="60"/>
      <name val="Calibri"/>
      <family val="2"/>
    </font>
    <font>
      <sz val="11"/>
      <color indexed="10"/>
      <name val="Calibri"/>
      <family val="2"/>
    </font>
    <font>
      <b/>
      <sz val="12"/>
      <name val="Trebuchet MS"/>
      <family val="2"/>
    </font>
    <font>
      <sz val="10"/>
      <name val="Trebuchet MS"/>
      <family val="2"/>
    </font>
    <font>
      <u/>
      <sz val="10"/>
      <name val="Trebuchet MS"/>
      <family val="2"/>
    </font>
    <font>
      <sz val="8"/>
      <name val="Trebuchet MS"/>
      <family val="2"/>
    </font>
    <font>
      <sz val="10"/>
      <color indexed="10"/>
      <name val="Trebuchet MS"/>
      <family val="2"/>
    </font>
    <font>
      <sz val="10"/>
      <color indexed="12"/>
      <name val="Trebuchet MS"/>
      <family val="2"/>
    </font>
    <font>
      <sz val="9"/>
      <color indexed="81"/>
      <name val="Tahoma"/>
      <family val="2"/>
    </font>
    <font>
      <b/>
      <sz val="9"/>
      <color indexed="81"/>
      <name val="Tahoma"/>
      <family val="2"/>
    </font>
    <font>
      <sz val="10"/>
      <name val="Trebuchet MS"/>
      <family val="2"/>
    </font>
    <font>
      <sz val="10"/>
      <name val="Trebuchet MS"/>
      <family val="2"/>
    </font>
    <font>
      <sz val="10"/>
      <name val="Arial"/>
      <family val="2"/>
    </font>
    <font>
      <sz val="10"/>
      <name val="Verdana"/>
      <family val="2"/>
    </font>
    <font>
      <u/>
      <sz val="10"/>
      <color indexed="12"/>
      <name val="Arial"/>
      <family val="2"/>
    </font>
    <font>
      <sz val="10"/>
      <color indexed="40"/>
      <name val="Trebuchet MS"/>
      <family val="2"/>
    </font>
    <font>
      <sz val="10"/>
      <color indexed="30"/>
      <name val="Trebuchet MS"/>
      <family val="2"/>
    </font>
    <font>
      <b/>
      <sz val="10"/>
      <color indexed="36"/>
      <name val="Trebuchet MS"/>
      <family val="2"/>
    </font>
    <font>
      <sz val="10"/>
      <color indexed="36"/>
      <name val="Trebuchet MS"/>
      <family val="2"/>
    </font>
    <font>
      <b/>
      <u/>
      <sz val="10"/>
      <color indexed="36"/>
      <name val="Trebuchet MS"/>
      <family val="2"/>
    </font>
    <font>
      <sz val="10"/>
      <color indexed="36"/>
      <name val="Trebuchet MS"/>
      <family val="2"/>
    </font>
    <font>
      <b/>
      <sz val="10"/>
      <color indexed="62"/>
      <name val="Trebuchet MS"/>
      <family val="2"/>
    </font>
    <font>
      <b/>
      <sz val="10"/>
      <color indexed="62"/>
      <name val="Trebuchet MS"/>
      <family val="2"/>
    </font>
    <font>
      <sz val="11"/>
      <color indexed="8"/>
      <name val="Calibri"/>
      <family val="2"/>
    </font>
    <font>
      <sz val="8"/>
      <color indexed="12"/>
      <name val="Arial"/>
      <family val="2"/>
    </font>
    <font>
      <sz val="11"/>
      <name val="Times New Roman"/>
      <family val="1"/>
    </font>
    <font>
      <b/>
      <sz val="6"/>
      <name val="Arial"/>
      <family val="2"/>
    </font>
    <font>
      <i/>
      <sz val="8"/>
      <name val="Arial"/>
      <family val="2"/>
    </font>
    <font>
      <sz val="10"/>
      <name val="Geneva"/>
      <family val="2"/>
    </font>
    <font>
      <i/>
      <sz val="10"/>
      <name val="Helvetica"/>
      <family val="2"/>
    </font>
    <font>
      <sz val="8"/>
      <name val="Univers"/>
      <family val="2"/>
    </font>
    <font>
      <sz val="10"/>
      <name val="GillSans Light"/>
      <family val="2"/>
    </font>
    <font>
      <b/>
      <sz val="10"/>
      <name val="GillSans"/>
      <family val="2"/>
    </font>
    <font>
      <b/>
      <sz val="10"/>
      <color indexed="18"/>
      <name val="Symbol"/>
      <family val="1"/>
      <charset val="2"/>
    </font>
    <font>
      <b/>
      <sz val="8"/>
      <color indexed="8"/>
      <name val="Wingdings"/>
      <charset val="2"/>
    </font>
    <font>
      <b/>
      <sz val="8"/>
      <color indexed="10"/>
      <name val="Wingdings"/>
      <charset val="2"/>
    </font>
    <font>
      <b/>
      <sz val="8"/>
      <color indexed="9"/>
      <name val="Wingdings"/>
      <charset val="2"/>
    </font>
    <font>
      <sz val="10"/>
      <name val="Trebuchet MS"/>
      <family val="2"/>
    </font>
    <font>
      <sz val="10"/>
      <name val="Trebuchet MS"/>
      <family val="2"/>
    </font>
    <font>
      <i/>
      <sz val="9"/>
      <name val="Trebuchet MS"/>
      <family val="2"/>
    </font>
    <font>
      <sz val="10"/>
      <name val="Trebuchet MS"/>
      <family val="2"/>
    </font>
    <font>
      <sz val="10"/>
      <name val="Trebuchet MS"/>
      <family val="2"/>
    </font>
    <font>
      <sz val="10"/>
      <color indexed="62"/>
      <name val="Trebuchet MS"/>
      <family val="2"/>
    </font>
    <font>
      <sz val="10"/>
      <name val="Trebuchet MS"/>
      <family val="2"/>
    </font>
    <font>
      <sz val="10"/>
      <color indexed="8"/>
      <name val="Trebuchet MS"/>
      <family val="2"/>
    </font>
    <font>
      <sz val="9"/>
      <color indexed="63"/>
      <name val="Arial"/>
      <family val="2"/>
    </font>
    <font>
      <b/>
      <sz val="10"/>
      <color indexed="9"/>
      <name val="Trebuchet MS"/>
      <family val="2"/>
    </font>
    <font>
      <b/>
      <sz val="10"/>
      <color indexed="62"/>
      <name val="Trebuchet MS"/>
      <family val="2"/>
    </font>
    <font>
      <sz val="10"/>
      <color indexed="62"/>
      <name val="Trebuchet MS"/>
      <family val="2"/>
    </font>
    <font>
      <b/>
      <sz val="11"/>
      <color indexed="8"/>
      <name val="Calibri"/>
      <family val="2"/>
    </font>
    <font>
      <sz val="11"/>
      <color indexed="8"/>
      <name val="Calibri"/>
      <family val="2"/>
    </font>
    <font>
      <sz val="10"/>
      <name val="Trebuchet MS"/>
      <family val="2"/>
    </font>
    <font>
      <sz val="10"/>
      <name val="Trebuchet MS"/>
      <family val="2"/>
    </font>
    <font>
      <sz val="11"/>
      <color indexed="8"/>
      <name val="Calibri"/>
      <family val="2"/>
    </font>
    <font>
      <b/>
      <sz val="10"/>
      <color indexed="10"/>
      <name val="Trebuchet MS"/>
      <family val="2"/>
    </font>
    <font>
      <sz val="10"/>
      <color indexed="62"/>
      <name val="Trebuchet MS"/>
      <family val="2"/>
    </font>
    <font>
      <b/>
      <sz val="10"/>
      <color indexed="8"/>
      <name val="Calibri"/>
      <family val="2"/>
    </font>
    <font>
      <sz val="11"/>
      <color indexed="8"/>
      <name val="Calibri"/>
      <family val="2"/>
    </font>
    <font>
      <sz val="12"/>
      <name val="Trebuchet MS"/>
      <family val="2"/>
    </font>
    <font>
      <sz val="10"/>
      <name val="Trebuchet MS"/>
      <family val="2"/>
    </font>
    <font>
      <sz val="12"/>
      <color indexed="8"/>
      <name val="Trebuchet MS"/>
      <family val="2"/>
    </font>
    <font>
      <sz val="11"/>
      <color indexed="8"/>
      <name val="Calibri"/>
      <family val="2"/>
    </font>
    <font>
      <b/>
      <sz val="10"/>
      <color indexed="9"/>
      <name val="Trebuchet MS"/>
      <family val="2"/>
    </font>
    <font>
      <u/>
      <sz val="12"/>
      <color indexed="12"/>
      <name val="Trebuchet MS"/>
      <family val="2"/>
    </font>
    <font>
      <b/>
      <sz val="12"/>
      <color indexed="8"/>
      <name val="Trebuchet MS"/>
      <family val="2"/>
    </font>
    <font>
      <i/>
      <sz val="12"/>
      <color indexed="8"/>
      <name val="Trebuchet MS"/>
      <family val="2"/>
    </font>
    <font>
      <b/>
      <sz val="12"/>
      <color indexed="8"/>
      <name val="Trebuchet MS"/>
      <family val="2"/>
    </font>
    <font>
      <sz val="12"/>
      <color indexed="8"/>
      <name val="Trebuchet MS"/>
      <family val="2"/>
    </font>
    <font>
      <sz val="10"/>
      <name val="Trebuchet MS"/>
      <family val="2"/>
    </font>
    <font>
      <sz val="10"/>
      <name val="Trebuchet MS"/>
      <family val="2"/>
    </font>
    <font>
      <sz val="10"/>
      <name val="Trebuchet MS"/>
      <family val="2"/>
    </font>
    <font>
      <i/>
      <u/>
      <sz val="10"/>
      <name val="Trebuchet MS"/>
      <family val="2"/>
    </font>
    <font>
      <sz val="11"/>
      <color indexed="8"/>
      <name val="Calibri"/>
      <family val="2"/>
    </font>
    <font>
      <sz val="10"/>
      <color indexed="8"/>
      <name val="Trebuchet MS"/>
      <family val="2"/>
    </font>
    <font>
      <b/>
      <sz val="11"/>
      <color indexed="62"/>
      <name val="Calibri"/>
      <family val="2"/>
    </font>
    <font>
      <b/>
      <sz val="12"/>
      <color indexed="62"/>
      <name val="Trebuchet MS"/>
      <family val="2"/>
    </font>
    <font>
      <sz val="10"/>
      <color indexed="62"/>
      <name val="Trebuchet MS"/>
      <family val="2"/>
    </font>
    <font>
      <b/>
      <sz val="10"/>
      <color indexed="9"/>
      <name val="Trebuchet MS"/>
      <family val="2"/>
    </font>
    <font>
      <b/>
      <sz val="10"/>
      <color indexed="56"/>
      <name val="Trebuchet MS"/>
      <family val="2"/>
    </font>
    <font>
      <b/>
      <sz val="10"/>
      <color indexed="62"/>
      <name val="Trebuchet MS"/>
      <family val="2"/>
    </font>
    <font>
      <sz val="10"/>
      <color indexed="40"/>
      <name val="Trebuchet MS"/>
      <family val="2"/>
    </font>
    <font>
      <sz val="10"/>
      <color indexed="10"/>
      <name val="Trebuchet MS"/>
      <family val="2"/>
    </font>
    <font>
      <b/>
      <sz val="11"/>
      <color indexed="8"/>
      <name val="Calibri"/>
      <family val="2"/>
    </font>
    <font>
      <b/>
      <u/>
      <sz val="11"/>
      <color indexed="8"/>
      <name val="Calibri"/>
      <family val="2"/>
    </font>
    <font>
      <u/>
      <sz val="10"/>
      <color indexed="8"/>
      <name val="Trebuchet MS"/>
      <family val="2"/>
    </font>
    <font>
      <b/>
      <sz val="10"/>
      <color indexed="8"/>
      <name val="Trebuchet MS"/>
      <family val="2"/>
    </font>
    <font>
      <sz val="11"/>
      <color indexed="8"/>
      <name val="Calibri"/>
      <family val="2"/>
    </font>
    <font>
      <sz val="10"/>
      <name val="Trebuchet MS"/>
      <family val="2"/>
    </font>
    <font>
      <sz val="10"/>
      <color indexed="62"/>
      <name val="Trebuchet MS"/>
      <family val="2"/>
    </font>
    <font>
      <b/>
      <sz val="10"/>
      <color indexed="8"/>
      <name val="Arial"/>
      <family val="2"/>
    </font>
    <font>
      <b/>
      <sz val="10"/>
      <color indexed="8"/>
      <name val="Arial"/>
      <family val="2"/>
    </font>
    <font>
      <sz val="11"/>
      <color indexed="8"/>
      <name val="Calibri"/>
      <family val="2"/>
    </font>
    <font>
      <sz val="9"/>
      <color indexed="8"/>
      <name val="Calibri"/>
      <family val="2"/>
    </font>
    <font>
      <u/>
      <sz val="11"/>
      <color theme="10"/>
      <name val="Calibri"/>
      <family val="2"/>
    </font>
    <font>
      <u/>
      <sz val="11"/>
      <color theme="10"/>
      <name val="Calibri"/>
      <family val="2"/>
      <scheme val="minor"/>
    </font>
    <font>
      <sz val="10"/>
      <color theme="1"/>
      <name val="Trebuchet MS"/>
      <family val="2"/>
    </font>
    <font>
      <sz val="11"/>
      <color theme="1"/>
      <name val="Calibri"/>
      <family val="2"/>
      <scheme val="minor"/>
    </font>
    <font>
      <sz val="8"/>
      <color theme="1"/>
      <name val="Arial"/>
      <family val="2"/>
    </font>
    <font>
      <sz val="11"/>
      <color theme="1"/>
      <name val="Arial"/>
      <family val="2"/>
    </font>
    <font>
      <sz val="9"/>
      <color theme="1"/>
      <name val="Calibri"/>
      <family val="2"/>
    </font>
    <font>
      <sz val="10"/>
      <color theme="3" tint="0.39997558519241921"/>
      <name val="Trebuchet MS"/>
      <family val="2"/>
    </font>
    <font>
      <b/>
      <sz val="11"/>
      <color theme="1"/>
      <name val="Calibri"/>
      <family val="2"/>
      <scheme val="minor"/>
    </font>
    <font>
      <b/>
      <sz val="11"/>
      <color theme="1"/>
      <name val="Arial"/>
      <family val="2"/>
    </font>
    <font>
      <sz val="11"/>
      <color rgb="FF000000"/>
      <name val="Arial"/>
      <family val="2"/>
    </font>
    <font>
      <b/>
      <sz val="11"/>
      <color rgb="FF000000"/>
      <name val="Arial"/>
      <family val="2"/>
    </font>
    <font>
      <sz val="11"/>
      <name val="Roboto"/>
    </font>
    <font>
      <vertAlign val="superscript"/>
      <sz val="11"/>
      <name val="Roboto"/>
    </font>
    <font>
      <sz val="11"/>
      <color theme="1"/>
      <name val="Calibri"/>
      <family val="2"/>
    </font>
    <font>
      <b/>
      <sz val="11"/>
      <name val="Roboto"/>
    </font>
    <font>
      <sz val="11"/>
      <color theme="1"/>
      <name val="Roboto"/>
    </font>
    <font>
      <b/>
      <sz val="11"/>
      <color theme="1"/>
      <name val="Roboto"/>
    </font>
    <font>
      <b/>
      <sz val="11"/>
      <color theme="0"/>
      <name val="Roboto"/>
    </font>
    <font>
      <sz val="11"/>
      <color rgb="FF0000FF"/>
      <name val="Roboto"/>
    </font>
    <font>
      <sz val="11"/>
      <color rgb="FF000000"/>
      <name val="Roboto"/>
    </font>
    <font>
      <b/>
      <sz val="11"/>
      <color rgb="FF000000"/>
      <name val="Roboto"/>
    </font>
    <font>
      <sz val="10"/>
      <name val="Roboto"/>
    </font>
    <font>
      <b/>
      <sz val="10"/>
      <name val="Roboto"/>
    </font>
    <font>
      <i/>
      <sz val="10"/>
      <name val="Roboto"/>
    </font>
    <font>
      <sz val="11"/>
      <name val="Arial"/>
      <family val="2"/>
    </font>
    <font>
      <b/>
      <sz val="11"/>
      <color theme="0"/>
      <name val="Arial"/>
      <family val="2"/>
    </font>
    <font>
      <b/>
      <sz val="11"/>
      <color indexed="9"/>
      <name val="Arial"/>
      <family val="2"/>
    </font>
    <font>
      <sz val="11"/>
      <color theme="0"/>
      <name val="Arial"/>
      <family val="2"/>
    </font>
    <font>
      <i/>
      <sz val="11"/>
      <color theme="1"/>
      <name val="Arial"/>
      <family val="2"/>
    </font>
    <font>
      <sz val="10"/>
      <color rgb="FF0000FF"/>
      <name val="Trebuchet MS"/>
      <family val="2"/>
    </font>
    <font>
      <b/>
      <sz val="14"/>
      <name val="Roboto"/>
    </font>
    <font>
      <sz val="14"/>
      <name val="Roboto"/>
    </font>
    <font>
      <i/>
      <sz val="14"/>
      <name val="Roboto"/>
    </font>
    <font>
      <b/>
      <sz val="10"/>
      <color indexed="9"/>
      <name val="Roboto"/>
    </font>
    <font>
      <u/>
      <sz val="10"/>
      <name val="Roboto"/>
    </font>
    <font>
      <b/>
      <sz val="11"/>
      <name val="Arial"/>
      <family val="2"/>
    </font>
    <font>
      <sz val="11"/>
      <color rgb="FF0000FF"/>
      <name val="Arial"/>
      <family val="2"/>
    </font>
    <font>
      <sz val="11"/>
      <color rgb="FF00B0F0"/>
      <name val="Arial"/>
      <family val="2"/>
    </font>
    <font>
      <u/>
      <sz val="11"/>
      <name val="Roboto"/>
    </font>
    <font>
      <b/>
      <u/>
      <sz val="11"/>
      <name val="Roboto"/>
    </font>
    <font>
      <sz val="11"/>
      <name val="Trebuchet MS"/>
      <family val="2"/>
    </font>
    <font>
      <b/>
      <sz val="11"/>
      <name val="Trebuchet MS"/>
      <family val="2"/>
    </font>
    <font>
      <sz val="11"/>
      <color rgb="FFFF0000"/>
      <name val="Roboto"/>
    </font>
    <font>
      <sz val="12"/>
      <name val="Roboto"/>
    </font>
    <font>
      <b/>
      <sz val="12"/>
      <name val="Roboto"/>
    </font>
    <font>
      <sz val="10"/>
      <color rgb="FF0000FF"/>
      <name val="Roboto"/>
    </font>
    <font>
      <i/>
      <sz val="11"/>
      <name val="Roboto"/>
    </font>
    <font>
      <sz val="11"/>
      <color theme="3" tint="0.39997558519241921"/>
      <name val="Roboto"/>
    </font>
    <font>
      <sz val="11"/>
      <color indexed="10"/>
      <name val="Roboto"/>
    </font>
    <font>
      <b/>
      <sz val="11"/>
      <color indexed="62"/>
      <name val="Roboto"/>
    </font>
    <font>
      <sz val="11"/>
      <color indexed="62"/>
      <name val="Roboto"/>
    </font>
    <font>
      <b/>
      <sz val="11"/>
      <color indexed="36"/>
      <name val="Roboto"/>
    </font>
    <font>
      <sz val="11"/>
      <color indexed="12"/>
      <name val="Roboto"/>
    </font>
    <font>
      <sz val="11"/>
      <color theme="4"/>
      <name val="Roboto"/>
    </font>
    <font>
      <b/>
      <sz val="11"/>
      <color indexed="8"/>
      <name val="Roboto"/>
    </font>
    <font>
      <sz val="11"/>
      <color rgb="FF00B0F0"/>
      <name val="Roboto"/>
    </font>
    <font>
      <sz val="11"/>
      <color theme="0"/>
      <name val="Roboto"/>
    </font>
    <font>
      <b/>
      <sz val="11"/>
      <color indexed="9"/>
      <name val="Roboto"/>
    </font>
    <font>
      <b/>
      <sz val="11"/>
      <color rgb="FF0000FF"/>
      <name val="Roboto"/>
    </font>
    <font>
      <b/>
      <sz val="11"/>
      <color theme="3" tint="0.39997558519241921"/>
      <name val="Roboto"/>
    </font>
    <font>
      <i/>
      <sz val="11"/>
      <color rgb="FFFF0000"/>
      <name val="Roboto"/>
    </font>
    <font>
      <i/>
      <sz val="11"/>
      <color indexed="62"/>
      <name val="Roboto"/>
    </font>
    <font>
      <sz val="11"/>
      <color indexed="40"/>
      <name val="Roboto"/>
    </font>
    <font>
      <sz val="11"/>
      <color theme="3" tint="0.59999389629810485"/>
      <name val="Roboto"/>
    </font>
    <font>
      <i/>
      <sz val="11"/>
      <color theme="3" tint="0.39997558519241921"/>
      <name val="Roboto"/>
    </font>
    <font>
      <b/>
      <sz val="11"/>
      <color theme="4"/>
      <name val="Roboto"/>
    </font>
    <font>
      <i/>
      <sz val="11"/>
      <color rgb="FF0000FF"/>
      <name val="Roboto"/>
    </font>
    <font>
      <i/>
      <sz val="11"/>
      <color theme="4"/>
      <name val="Roboto"/>
    </font>
    <font>
      <b/>
      <i/>
      <sz val="11"/>
      <name val="Roboto"/>
    </font>
    <font>
      <u/>
      <sz val="11"/>
      <color indexed="12"/>
      <name val="Roboto"/>
    </font>
    <font>
      <sz val="11"/>
      <color rgb="FF000000"/>
      <name val="Calibri"/>
      <family val="2"/>
      <scheme val="minor"/>
    </font>
    <font>
      <b/>
      <sz val="12"/>
      <color rgb="FF000000"/>
      <name val="Roboto"/>
    </font>
    <font>
      <sz val="12"/>
      <color rgb="FF000000"/>
      <name val="Roboto"/>
    </font>
    <font>
      <b/>
      <u/>
      <sz val="12"/>
      <color rgb="FF000000"/>
      <name val="Roboto"/>
    </font>
    <font>
      <sz val="12"/>
      <color theme="1"/>
      <name val="Roboto"/>
    </font>
    <font>
      <sz val="11"/>
      <color theme="0" tint="-0.499984740745262"/>
      <name val="Roboto"/>
    </font>
    <font>
      <b/>
      <sz val="11"/>
      <color theme="0" tint="-0.499984740745262"/>
      <name val="Roboto"/>
    </font>
    <font>
      <b/>
      <sz val="11"/>
      <color rgb="FFFF0000"/>
      <name val="Roboto"/>
    </font>
    <font>
      <b/>
      <sz val="11"/>
      <color rgb="FF00B0F0"/>
      <name val="Roboto"/>
    </font>
    <font>
      <i/>
      <sz val="11"/>
      <color rgb="FF00B0F0"/>
      <name val="Roboto"/>
    </font>
  </fonts>
  <fills count="8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26"/>
        <bgColor indexed="64"/>
      </patternFill>
    </fill>
    <fill>
      <patternFill patternType="solid">
        <fgColor indexed="9"/>
        <bgColor indexed="64"/>
      </patternFill>
    </fill>
    <fill>
      <patternFill patternType="solid">
        <fgColor indexed="45"/>
      </patternFill>
    </fill>
    <fill>
      <patternFill patternType="solid">
        <fgColor indexed="8"/>
        <bgColor indexed="64"/>
      </patternFill>
    </fill>
    <fill>
      <patternFill patternType="solid">
        <fgColor indexed="18"/>
        <bgColor indexed="64"/>
      </patternFill>
    </fill>
    <fill>
      <patternFill patternType="solid">
        <fgColor indexed="55"/>
      </patternFill>
    </fill>
    <fill>
      <patternFill patternType="gray0625">
        <fgColor indexed="15"/>
      </patternFill>
    </fill>
    <fill>
      <patternFill patternType="solid">
        <fgColor indexed="42"/>
        <bgColor indexed="64"/>
      </patternFill>
    </fill>
    <fill>
      <patternFill patternType="solid">
        <fgColor indexed="41"/>
        <bgColor indexed="64"/>
      </patternFill>
    </fill>
    <fill>
      <patternFill patternType="lightGray">
        <fgColor indexed="12"/>
      </patternFill>
    </fill>
    <fill>
      <patternFill patternType="solid">
        <fgColor indexed="56"/>
        <bgColor indexed="64"/>
      </patternFill>
    </fill>
    <fill>
      <patternFill patternType="solid">
        <fgColor indexed="43"/>
        <bgColor indexed="64"/>
      </patternFill>
    </fill>
    <fill>
      <patternFill patternType="solid">
        <fgColor indexed="48"/>
      </patternFill>
    </fill>
    <fill>
      <patternFill patternType="solid">
        <fgColor indexed="42"/>
      </patternFill>
    </fill>
    <fill>
      <patternFill patternType="solid">
        <fgColor indexed="22"/>
        <bgColor indexed="64"/>
      </patternFill>
    </fill>
    <fill>
      <patternFill patternType="gray0625"/>
    </fill>
    <fill>
      <patternFill patternType="solid">
        <fgColor indexed="15"/>
        <bgColor indexed="64"/>
      </patternFill>
    </fill>
    <fill>
      <patternFill patternType="solid">
        <fgColor indexed="13"/>
        <bgColor indexed="64"/>
      </patternFill>
    </fill>
    <fill>
      <patternFill patternType="solid">
        <fgColor indexed="15"/>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12"/>
      </patternFill>
    </fill>
    <fill>
      <patternFill patternType="lightGray"/>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7"/>
        <bgColor indexed="64"/>
      </patternFill>
    </fill>
    <fill>
      <patternFill patternType="solid">
        <fgColor indexed="10"/>
        <bgColor indexed="64"/>
      </patternFill>
    </fill>
    <fill>
      <patternFill patternType="solid">
        <fgColor indexed="31"/>
        <bgColor indexed="64"/>
      </patternFill>
    </fill>
    <fill>
      <patternFill patternType="solid">
        <fgColor indexed="40"/>
        <bgColor indexed="64"/>
      </patternFill>
    </fill>
    <fill>
      <patternFill patternType="solid">
        <fgColor indexed="50"/>
        <bgColor indexed="64"/>
      </patternFill>
    </fill>
    <fill>
      <patternFill patternType="solid">
        <fgColor indexed="17"/>
        <bgColor indexed="64"/>
      </patternFill>
    </fill>
    <fill>
      <patternFill patternType="solid">
        <fgColor indexed="6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59999389629810485"/>
        <bgColor rgb="FF000000"/>
      </patternFill>
    </fill>
    <fill>
      <patternFill patternType="solid">
        <fgColor theme="0" tint="-9.9978637043366805E-2"/>
        <bgColor indexed="64"/>
      </patternFill>
    </fill>
    <fill>
      <patternFill patternType="solid">
        <fgColor theme="0" tint="-0.499984740745262"/>
        <bgColor indexed="64"/>
      </patternFill>
    </fill>
    <fill>
      <patternFill patternType="solid">
        <fgColor theme="0" tint="-9.9978637043366805E-2"/>
        <bgColor rgb="FF000000"/>
      </patternFill>
    </fill>
    <fill>
      <patternFill patternType="solid">
        <fgColor theme="0" tint="-0.14999847407452621"/>
        <bgColor rgb="FF000000"/>
      </patternFill>
    </fill>
    <fill>
      <patternFill patternType="solid">
        <fgColor rgb="FFD9D9D9"/>
        <bgColor rgb="FF000000"/>
      </patternFill>
    </fill>
    <fill>
      <patternFill patternType="solid">
        <fgColor theme="0"/>
        <bgColor rgb="FF000000"/>
      </patternFill>
    </fill>
    <fill>
      <patternFill patternType="solid">
        <fgColor theme="0" tint="-0.249977111117893"/>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249977111117893"/>
        <bgColor indexed="64"/>
      </patternFill>
    </fill>
    <fill>
      <patternFill patternType="solid">
        <fgColor rgb="FFABEC1A"/>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00B0F0"/>
        <bgColor indexed="64"/>
      </patternFill>
    </fill>
    <fill>
      <patternFill patternType="solid">
        <fgColor rgb="FFFFC000"/>
        <bgColor indexed="64"/>
      </patternFill>
    </fill>
    <fill>
      <patternFill patternType="solid">
        <fgColor theme="2" tint="-0.249977111117893"/>
        <bgColor indexed="64"/>
      </patternFill>
    </fill>
    <fill>
      <patternFill patternType="solid">
        <fgColor rgb="FFFFFF00"/>
        <bgColor rgb="FF000000"/>
      </patternFill>
    </fill>
    <fill>
      <patternFill patternType="solid">
        <fgColor rgb="FF99CCFF"/>
        <bgColor rgb="FF000000"/>
      </patternFill>
    </fill>
  </fills>
  <borders count="64">
    <border>
      <left/>
      <right/>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double">
        <color indexed="52"/>
      </bottom>
      <diagonal/>
    </border>
    <border>
      <left/>
      <right style="hair">
        <color indexed="64"/>
      </right>
      <top/>
      <bottom/>
      <diagonal/>
    </border>
    <border>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thin">
        <color indexed="64"/>
      </bottom>
      <diagonal/>
    </border>
    <border>
      <left/>
      <right/>
      <top style="thick">
        <color indexed="64"/>
      </top>
      <bottom/>
      <diagonal/>
    </border>
    <border>
      <left/>
      <right/>
      <top/>
      <bottom style="thick">
        <color indexed="18"/>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auto="1"/>
      </bottom>
      <diagonal/>
    </border>
    <border>
      <left style="medium">
        <color rgb="FFCCCCCC"/>
      </left>
      <right style="medium">
        <color rgb="FFCCCCCC"/>
      </right>
      <top style="medium">
        <color rgb="FFCCCCCC"/>
      </top>
      <bottom style="medium">
        <color rgb="FFCCCCCC"/>
      </bottom>
      <diagonal/>
    </border>
  </borders>
  <cellStyleXfs count="2223">
    <xf numFmtId="0" fontId="0" fillId="0" borderId="0"/>
    <xf numFmtId="9" fontId="181" fillId="0" borderId="0">
      <alignment horizontal="right"/>
    </xf>
    <xf numFmtId="0" fontId="71" fillId="0" borderId="0" applyNumberFormat="0" applyFill="0" applyBorder="0" applyAlignment="0" applyProtection="0"/>
    <xf numFmtId="0" fontId="47" fillId="0" borderId="0" applyNumberFormat="0" applyFill="0" applyBorder="0" applyAlignment="0" applyProtection="0"/>
    <xf numFmtId="0" fontId="160" fillId="0" borderId="0"/>
    <xf numFmtId="0" fontId="25" fillId="0" borderId="0"/>
    <xf numFmtId="0" fontId="170" fillId="0" borderId="0"/>
    <xf numFmtId="0" fontId="170" fillId="0" borderId="0"/>
    <xf numFmtId="0" fontId="170" fillId="0" borderId="0"/>
    <xf numFmtId="0" fontId="4" fillId="0" borderId="0"/>
    <xf numFmtId="0" fontId="25" fillId="0" borderId="0"/>
    <xf numFmtId="0" fontId="25" fillId="0" borderId="0"/>
    <xf numFmtId="0" fontId="25" fillId="0" borderId="0"/>
    <xf numFmtId="0" fontId="25" fillId="0" borderId="0"/>
    <xf numFmtId="0" fontId="1" fillId="0" borderId="0"/>
    <xf numFmtId="0" fontId="244" fillId="0" borderId="0"/>
    <xf numFmtId="0" fontId="1" fillId="0" borderId="0"/>
    <xf numFmtId="0" fontId="244" fillId="0" borderId="0"/>
    <xf numFmtId="0" fontId="1" fillId="0" borderId="0"/>
    <xf numFmtId="0" fontId="244" fillId="0" borderId="0"/>
    <xf numFmtId="0" fontId="72" fillId="0" borderId="0" applyNumberFormat="0" applyFont="0" applyFill="0" applyBorder="0" applyAlignment="0" applyProtection="0"/>
    <xf numFmtId="0" fontId="62" fillId="0" borderId="0"/>
    <xf numFmtId="0" fontId="25" fillId="0" borderId="0"/>
    <xf numFmtId="226" fontId="25" fillId="0" borderId="0" applyFont="0" applyFill="0" applyBorder="0" applyAlignment="0" applyProtection="0"/>
    <xf numFmtId="0" fontId="25" fillId="0" borderId="0" applyFont="0" applyFill="0" applyBorder="0" applyAlignment="0" applyProtection="0"/>
    <xf numFmtId="267" fontId="25" fillId="0" borderId="0" applyFont="0" applyFill="0" applyBorder="0" applyAlignment="0" applyProtection="0"/>
    <xf numFmtId="268" fontId="25" fillId="0" borderId="0" applyFont="0" applyFill="0" applyBorder="0" applyAlignment="0" applyProtection="0"/>
    <xf numFmtId="267"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22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9" fontId="25" fillId="0" borderId="0" applyFont="0" applyFill="0" applyBorder="0" applyAlignment="0" applyProtection="0"/>
    <xf numFmtId="0" fontId="39" fillId="0" borderId="0" applyFont="0" applyFill="0" applyBorder="0" applyAlignment="0" applyProtection="0"/>
    <xf numFmtId="270" fontId="39" fillId="0" borderId="0" applyFont="0" applyFill="0" applyBorder="0" applyAlignment="0" applyProtection="0"/>
    <xf numFmtId="27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60" fontId="25"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9" fontId="25" fillId="0" borderId="0" applyFont="0" applyFill="0" applyBorder="0" applyAlignment="0" applyProtection="0"/>
    <xf numFmtId="0" fontId="39" fillId="0" borderId="0" applyFont="0" applyFill="0" applyBorder="0" applyAlignment="0" applyProtection="0"/>
    <xf numFmtId="270" fontId="39" fillId="0" borderId="0" applyFont="0" applyFill="0" applyBorder="0" applyAlignment="0" applyProtection="0"/>
    <xf numFmtId="27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60" fontId="25"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67" fontId="25" fillId="0" borderId="0" applyFont="0" applyFill="0" applyBorder="0" applyAlignment="0" applyProtection="0"/>
    <xf numFmtId="26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9" fontId="25" fillId="0" borderId="0" applyFont="0" applyFill="0" applyBorder="0" applyAlignment="0" applyProtection="0"/>
    <xf numFmtId="0" fontId="39" fillId="0" borderId="0" applyFont="0" applyFill="0" applyBorder="0" applyAlignment="0" applyProtection="0"/>
    <xf numFmtId="270" fontId="39" fillId="0" borderId="0" applyFont="0" applyFill="0" applyBorder="0" applyAlignment="0" applyProtection="0"/>
    <xf numFmtId="27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60" fontId="25"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9" fontId="25" fillId="0" borderId="0" applyFont="0" applyFill="0" applyBorder="0" applyAlignment="0" applyProtection="0"/>
    <xf numFmtId="0" fontId="39" fillId="0" borderId="0" applyFont="0" applyFill="0" applyBorder="0" applyAlignment="0" applyProtection="0"/>
    <xf numFmtId="270" fontId="39" fillId="0" borderId="0" applyFont="0" applyFill="0" applyBorder="0" applyAlignment="0" applyProtection="0"/>
    <xf numFmtId="27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60" fontId="25"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9" fontId="25" fillId="0" borderId="0" applyFont="0" applyFill="0" applyBorder="0" applyAlignment="0" applyProtection="0"/>
    <xf numFmtId="0" fontId="39" fillId="0" borderId="0" applyFont="0" applyFill="0" applyBorder="0" applyAlignment="0" applyProtection="0"/>
    <xf numFmtId="270" fontId="39" fillId="0" borderId="0" applyFont="0" applyFill="0" applyBorder="0" applyAlignment="0" applyProtection="0"/>
    <xf numFmtId="27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60" fontId="25"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67"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226" fontId="25" fillId="0" borderId="0" applyFont="0" applyFill="0" applyBorder="0" applyAlignment="0" applyProtection="0"/>
    <xf numFmtId="0" fontId="25" fillId="0" borderId="0" applyFont="0" applyFill="0" applyBorder="0" applyAlignment="0" applyProtection="0"/>
    <xf numFmtId="3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7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7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75" fontId="25" fillId="0" borderId="0" applyFont="0" applyFill="0" applyBorder="0" applyAlignment="0" applyProtection="0"/>
    <xf numFmtId="0" fontId="39" fillId="0" borderId="0" applyFont="0" applyFill="0" applyBorder="0" applyAlignment="0" applyProtection="0"/>
    <xf numFmtId="276" fontId="39" fillId="0" borderId="0" applyFont="0" applyFill="0" applyBorder="0" applyAlignment="0" applyProtection="0"/>
    <xf numFmtId="277" fontId="25" fillId="0" borderId="0" applyFont="0" applyFill="0" applyBorder="0" applyAlignment="0" applyProtection="0"/>
    <xf numFmtId="278" fontId="39" fillId="0" borderId="0" applyFont="0" applyFill="0" applyBorder="0" applyAlignment="0" applyProtection="0"/>
    <xf numFmtId="279" fontId="25"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280" fontId="25" fillId="0" borderId="0" applyFont="0" applyFill="0" applyBorder="0" applyAlignment="0" applyProtection="0"/>
    <xf numFmtId="0" fontId="39" fillId="0" borderId="0" applyFont="0" applyFill="0" applyBorder="0" applyAlignment="0" applyProtection="0"/>
    <xf numFmtId="281" fontId="39"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76" fontId="39" fillId="0" borderId="0" applyFont="0" applyFill="0" applyBorder="0" applyAlignment="0" applyProtection="0"/>
    <xf numFmtId="277" fontId="25" fillId="0" borderId="0" applyFont="0" applyFill="0" applyBorder="0" applyAlignment="0" applyProtection="0"/>
    <xf numFmtId="0" fontId="39" fillId="0" borderId="0" applyFont="0" applyFill="0" applyBorder="0" applyAlignment="0" applyProtection="0"/>
    <xf numFmtId="276" fontId="39" fillId="0" borderId="0" applyFont="0" applyFill="0" applyBorder="0" applyAlignment="0" applyProtection="0"/>
    <xf numFmtId="277"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225"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72" fillId="0" borderId="0" applyNumberFormat="0" applyFill="0" applyBorder="0" applyAlignment="0" applyProtection="0"/>
    <xf numFmtId="0" fontId="25" fillId="0" borderId="0" applyFont="0" applyFill="0" applyBorder="0" applyAlignment="0" applyProtection="0"/>
    <xf numFmtId="228"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3" fontId="25" fillId="0" borderId="0" applyFont="0" applyFill="0" applyBorder="0" applyAlignment="0" applyProtection="0"/>
    <xf numFmtId="28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5" fontId="25" fillId="0" borderId="0" applyFont="0" applyFill="0" applyBorder="0" applyAlignment="0" applyProtection="0"/>
    <xf numFmtId="286" fontId="25" fillId="0" borderId="0" applyFont="0" applyFill="0" applyBorder="0" applyAlignment="0" applyProtection="0"/>
    <xf numFmtId="0" fontId="25" fillId="0" borderId="0" applyFont="0" applyFill="0" applyBorder="0" applyAlignment="0" applyProtection="0"/>
    <xf numFmtId="287" fontId="39" fillId="0" borderId="0" applyFont="0" applyFill="0" applyBorder="0" applyAlignment="0" applyProtection="0"/>
    <xf numFmtId="0" fontId="39" fillId="0" borderId="0" applyFont="0" applyFill="0" applyBorder="0" applyAlignment="0" applyProtection="0"/>
    <xf numFmtId="288"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9"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0" fontId="25" fillId="0" borderId="0" applyFont="0" applyFill="0" applyBorder="0" applyAlignment="0" applyProtection="0"/>
    <xf numFmtId="291"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26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2"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4" fontId="39" fillId="0" borderId="0" applyFont="0" applyFill="0" applyBorder="0" applyAlignment="0" applyProtection="0"/>
    <xf numFmtId="0" fontId="25" fillId="0" borderId="0" applyFont="0" applyFill="0" applyBorder="0" applyAlignment="0" applyProtection="0"/>
    <xf numFmtId="295" fontId="25" fillId="0" borderId="0" applyFont="0" applyFill="0" applyBorder="0" applyAlignment="0" applyProtection="0"/>
    <xf numFmtId="268" fontId="25" fillId="0" borderId="0" applyFont="0" applyFill="0" applyBorder="0" applyAlignment="0" applyProtection="0"/>
    <xf numFmtId="0" fontId="39" fillId="0" borderId="0" applyFont="0" applyFill="0" applyBorder="0" applyAlignment="0" applyProtection="0"/>
    <xf numFmtId="267"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29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6" fontId="25" fillId="0" borderId="0" applyFont="0" applyFill="0" applyBorder="0" applyAlignment="0" applyProtection="0"/>
    <xf numFmtId="249"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97"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6" fontId="25" fillId="0" borderId="0" applyFont="0" applyFill="0" applyBorder="0" applyAlignment="0" applyProtection="0"/>
    <xf numFmtId="249"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97" fontId="25" fillId="0" borderId="0" applyFont="0" applyFill="0" applyBorder="0" applyAlignment="0" applyProtection="0"/>
    <xf numFmtId="249"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49" fontId="25" fillId="0" borderId="0" applyFont="0" applyFill="0" applyBorder="0" applyAlignment="0" applyProtection="0"/>
    <xf numFmtId="0" fontId="25" fillId="0" borderId="0" applyFont="0" applyFill="0" applyBorder="0" applyAlignment="0" applyProtection="0"/>
    <xf numFmtId="229"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25" fillId="0" borderId="0" applyFont="0" applyFill="0" applyBorder="0" applyAlignment="0" applyProtection="0"/>
    <xf numFmtId="305" fontId="25" fillId="0" borderId="0" applyFont="0" applyFill="0" applyBorder="0" applyAlignment="0" applyProtection="0"/>
    <xf numFmtId="30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60" fontId="25" fillId="0" borderId="0" applyFont="0" applyFill="0" applyBorder="0" applyAlignment="0" applyProtection="0"/>
    <xf numFmtId="0" fontId="39" fillId="0" borderId="0" applyFont="0" applyFill="0" applyBorder="0" applyAlignment="0" applyProtection="0"/>
    <xf numFmtId="271" fontId="39" fillId="0" borderId="0" applyFont="0" applyFill="0" applyBorder="0" applyAlignment="0" applyProtection="0"/>
    <xf numFmtId="272"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98" fontId="39" fillId="0" borderId="0" applyFont="0" applyFill="0" applyBorder="0" applyAlignment="0" applyProtection="0"/>
    <xf numFmtId="298" fontId="39" fillId="0" borderId="0" applyFont="0" applyFill="0" applyBorder="0" applyAlignment="0" applyProtection="0"/>
    <xf numFmtId="299"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0" fontId="39" fillId="0" borderId="0" applyFont="0" applyFill="0" applyBorder="0" applyAlignment="0" applyProtection="0"/>
    <xf numFmtId="300" fontId="39" fillId="0" borderId="0" applyFont="0" applyFill="0" applyBorder="0" applyAlignment="0" applyProtection="0"/>
    <xf numFmtId="301" fontId="25" fillId="0" borderId="0" applyFont="0" applyFill="0" applyBorder="0" applyAlignment="0" applyProtection="0"/>
    <xf numFmtId="297" fontId="39" fillId="0" borderId="0" applyFont="0" applyFill="0" applyBorder="0" applyAlignment="0" applyProtection="0"/>
    <xf numFmtId="29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3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4" fontId="39" fillId="0" borderId="0" applyFont="0" applyFill="0" applyBorder="0" applyAlignment="0" applyProtection="0"/>
    <xf numFmtId="305"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303"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5" fontId="25" fillId="0" borderId="0" applyFont="0" applyFill="0" applyBorder="0" applyAlignment="0" applyProtection="0"/>
    <xf numFmtId="306" fontId="25" fillId="0" borderId="0" applyFont="0" applyFill="0" applyBorder="0" applyAlignment="0" applyProtection="0"/>
    <xf numFmtId="28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1" fontId="39"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5" fontId="25" fillId="0" borderId="0" applyFont="0" applyFill="0" applyBorder="0" applyAlignment="0" applyProtection="0"/>
    <xf numFmtId="306" fontId="25" fillId="0" borderId="0" applyFont="0" applyFill="0" applyBorder="0" applyAlignment="0" applyProtection="0"/>
    <xf numFmtId="28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1" fontId="39"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1" fontId="39" fillId="0" borderId="0" applyFont="0" applyFill="0" applyBorder="0" applyAlignment="0" applyProtection="0"/>
    <xf numFmtId="28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07" fontId="25" fillId="0" borderId="0" applyFont="0" applyFill="0" applyBorder="0" applyAlignment="0" applyProtection="0"/>
    <xf numFmtId="0" fontId="39" fillId="0" borderId="0" applyFont="0" applyFill="0" applyBorder="0" applyAlignment="0" applyProtection="0"/>
    <xf numFmtId="308" fontId="39" fillId="0" borderId="0" applyFont="0" applyFill="0" applyBorder="0" applyAlignment="0" applyProtection="0"/>
    <xf numFmtId="309"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6"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310" fontId="25" fillId="0" borderId="0" applyFont="0" applyFill="0" applyBorder="0" applyAlignment="0" applyProtection="0"/>
    <xf numFmtId="0" fontId="25" fillId="0" borderId="0" applyFont="0" applyFill="0" applyBorder="0" applyAlignment="0" applyProtection="0"/>
    <xf numFmtId="224" fontId="25" fillId="0" borderId="0" applyFont="0" applyFill="0" applyBorder="0" applyAlignment="0" applyProtection="0"/>
    <xf numFmtId="4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54" fontId="25" fillId="0" borderId="0" applyFont="0" applyFill="0" applyBorder="0" applyAlignment="0" applyProtection="0"/>
    <xf numFmtId="0" fontId="25" fillId="0" borderId="0" applyFont="0" applyFill="0" applyBorder="0" applyAlignment="0" applyProtection="0"/>
    <xf numFmtId="23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39" fillId="0" borderId="0" applyFont="0" applyFill="0" applyBorder="0" applyAlignment="0" applyProtection="0"/>
    <xf numFmtId="311"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313" fontId="39" fillId="0" borderId="0" applyFont="0" applyFill="0" applyBorder="0" applyAlignment="0" applyProtection="0"/>
    <xf numFmtId="314" fontId="25" fillId="0" borderId="0" applyFont="0" applyFill="0" applyBorder="0" applyAlignment="0" applyProtection="0"/>
    <xf numFmtId="0" fontId="39" fillId="0" borderId="0" applyFont="0" applyFill="0" applyBorder="0" applyAlignment="0" applyProtection="0"/>
    <xf numFmtId="315" fontId="39" fillId="0" borderId="0" applyFont="0" applyFill="0" applyBorder="0" applyAlignment="0" applyProtection="0"/>
    <xf numFmtId="0" fontId="39" fillId="0" borderId="0" applyFont="0" applyFill="0" applyBorder="0" applyAlignment="0" applyProtection="0"/>
    <xf numFmtId="316" fontId="25"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284" fontId="25" fillId="0" borderId="0" applyFont="0" applyFill="0" applyBorder="0" applyAlignment="0" applyProtection="0"/>
    <xf numFmtId="317"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84" fontId="25" fillId="0" borderId="0" applyFont="0" applyFill="0" applyBorder="0" applyAlignment="0" applyProtection="0"/>
    <xf numFmtId="312" fontId="25"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318" fontId="25" fillId="0" borderId="0" applyFont="0" applyFill="0" applyBorder="0" applyAlignment="0" applyProtection="0"/>
    <xf numFmtId="318" fontId="25" fillId="0" borderId="0" applyFont="0" applyFill="0" applyBorder="0" applyAlignment="0" applyProtection="0"/>
    <xf numFmtId="264"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1" fontId="25" fillId="0" borderId="0" applyFont="0" applyFill="0" applyBorder="0" applyAlignment="0" applyProtection="0"/>
    <xf numFmtId="0" fontId="25" fillId="0" borderId="0" applyFont="0" applyFill="0" applyBorder="0" applyAlignment="0" applyProtection="0"/>
    <xf numFmtId="221" fontId="25" fillId="0" borderId="0" applyFont="0" applyFill="0" applyBorder="0" applyAlignment="0" applyProtection="0"/>
    <xf numFmtId="0" fontId="25" fillId="0" borderId="0"/>
    <xf numFmtId="0" fontId="73" fillId="0" borderId="0"/>
    <xf numFmtId="0" fontId="25" fillId="0" borderId="0"/>
    <xf numFmtId="0" fontId="170" fillId="0" borderId="0"/>
    <xf numFmtId="0" fontId="25" fillId="0" borderId="0"/>
    <xf numFmtId="0" fontId="25" fillId="0" borderId="0"/>
    <xf numFmtId="0" fontId="182" fillId="0" borderId="0"/>
    <xf numFmtId="0" fontId="29" fillId="0" borderId="0"/>
    <xf numFmtId="0" fontId="141" fillId="2" borderId="0" applyNumberFormat="0" applyBorder="0" applyAlignment="0" applyProtection="0"/>
    <xf numFmtId="0" fontId="141" fillId="3" borderId="0" applyNumberFormat="0" applyBorder="0" applyAlignment="0" applyProtection="0"/>
    <xf numFmtId="0" fontId="141" fillId="4" borderId="0" applyNumberFormat="0" applyBorder="0" applyAlignment="0" applyProtection="0"/>
    <xf numFmtId="0" fontId="141" fillId="2" borderId="0" applyNumberFormat="0" applyBorder="0" applyAlignment="0" applyProtection="0"/>
    <xf numFmtId="0" fontId="141" fillId="5" borderId="0" applyNumberFormat="0" applyBorder="0" applyAlignment="0" applyProtection="0"/>
    <xf numFmtId="0" fontId="141" fillId="3" borderId="0" applyNumberFormat="0" applyBorder="0" applyAlignment="0" applyProtection="0"/>
    <xf numFmtId="0" fontId="62" fillId="0" borderId="0" applyFont="0" applyFill="0" applyBorder="0" applyAlignment="0" applyProtection="0"/>
    <xf numFmtId="221" fontId="25" fillId="0" borderId="0" applyFont="0" applyFill="0" applyBorder="0" applyAlignment="0" applyProtection="0"/>
    <xf numFmtId="0" fontId="141" fillId="6" borderId="0" applyNumberFormat="0" applyBorder="0" applyAlignment="0" applyProtection="0"/>
    <xf numFmtId="0" fontId="141" fillId="7" borderId="0" applyNumberFormat="0" applyBorder="0" applyAlignment="0" applyProtection="0"/>
    <xf numFmtId="0" fontId="141" fillId="8" borderId="0" applyNumberFormat="0" applyBorder="0" applyAlignment="0" applyProtection="0"/>
    <xf numFmtId="0" fontId="141" fillId="6" borderId="0" applyNumberFormat="0" applyBorder="0" applyAlignment="0" applyProtection="0"/>
    <xf numFmtId="0" fontId="141" fillId="9" borderId="0" applyNumberFormat="0" applyBorder="0" applyAlignment="0" applyProtection="0"/>
    <xf numFmtId="0" fontId="141" fillId="3" borderId="0" applyNumberFormat="0" applyBorder="0" applyAlignment="0" applyProtection="0"/>
    <xf numFmtId="0" fontId="142" fillId="10" borderId="0" applyNumberFormat="0" applyBorder="0" applyAlignment="0" applyProtection="0"/>
    <xf numFmtId="0" fontId="142" fillId="7" borderId="0" applyNumberFormat="0" applyBorder="0" applyAlignment="0" applyProtection="0"/>
    <xf numFmtId="0" fontId="142" fillId="8" borderId="0" applyNumberFormat="0" applyBorder="0" applyAlignment="0" applyProtection="0"/>
    <xf numFmtId="0" fontId="142" fillId="6" borderId="0" applyNumberFormat="0" applyBorder="0" applyAlignment="0" applyProtection="0"/>
    <xf numFmtId="0" fontId="142" fillId="10" borderId="0" applyNumberFormat="0" applyBorder="0" applyAlignment="0" applyProtection="0"/>
    <xf numFmtId="0" fontId="142" fillId="3" borderId="0" applyNumberFormat="0" applyBorder="0" applyAlignment="0" applyProtection="0"/>
    <xf numFmtId="0" fontId="112" fillId="0" borderId="0">
      <protection locked="0"/>
    </xf>
    <xf numFmtId="165" fontId="25" fillId="0" borderId="0" applyNumberFormat="0" applyFill="0" applyBorder="0" applyAlignment="0"/>
    <xf numFmtId="0" fontId="142" fillId="10" borderId="0" applyNumberFormat="0" applyBorder="0" applyAlignment="0" applyProtection="0"/>
    <xf numFmtId="0" fontId="142" fillId="11" borderId="0" applyNumberFormat="0" applyBorder="0" applyAlignment="0" applyProtection="0"/>
    <xf numFmtId="0" fontId="142" fillId="11" borderId="0" applyNumberFormat="0" applyBorder="0" applyAlignment="0" applyProtection="0"/>
    <xf numFmtId="0" fontId="142" fillId="12" borderId="0" applyNumberFormat="0" applyBorder="0" applyAlignment="0" applyProtection="0"/>
    <xf numFmtId="0" fontId="142" fillId="10" borderId="0" applyNumberFormat="0" applyBorder="0" applyAlignment="0" applyProtection="0"/>
    <xf numFmtId="0" fontId="142" fillId="13" borderId="0" applyNumberFormat="0" applyBorder="0" applyAlignment="0" applyProtection="0"/>
    <xf numFmtId="232" fontId="25" fillId="0" borderId="0" applyFill="0" applyBorder="0" applyProtection="0">
      <alignment horizontal="right"/>
    </xf>
    <xf numFmtId="0" fontId="25" fillId="0" borderId="0" applyFont="0" applyFill="0" applyBorder="0" applyAlignment="0" applyProtection="0"/>
    <xf numFmtId="0" fontId="25" fillId="0" borderId="0" applyFont="0" applyFill="0" applyBorder="0" applyAlignment="0" applyProtection="0"/>
    <xf numFmtId="168" fontId="74" fillId="14" borderId="0">
      <alignment horizontal="left"/>
    </xf>
    <xf numFmtId="211" fontId="7" fillId="0" borderId="0" applyFont="0" applyFill="0" applyBorder="0" applyAlignment="0" applyProtection="0"/>
    <xf numFmtId="216" fontId="23" fillId="0" borderId="0" applyFont="0" applyFill="0" applyBorder="0" applyAlignment="0" applyProtection="0"/>
    <xf numFmtId="0" fontId="76" fillId="0" borderId="0">
      <alignment horizontal="center" wrapText="1"/>
      <protection locked="0"/>
    </xf>
    <xf numFmtId="0" fontId="62" fillId="0" borderId="0" applyNumberFormat="0" applyFill="0" applyBorder="0" applyAlignment="0" applyProtection="0"/>
    <xf numFmtId="0" fontId="25" fillId="0" borderId="0" applyNumberFormat="0" applyFill="0" applyBorder="0" applyAlignment="0" applyProtection="0"/>
    <xf numFmtId="0" fontId="46" fillId="0" borderId="0" applyNumberFormat="0" applyFill="0" applyBorder="0" applyAlignment="0" applyProtection="0"/>
    <xf numFmtId="0" fontId="183" fillId="0" borderId="1" applyNumberFormat="0" applyFill="0" applyBorder="0" applyAlignment="0" applyProtection="0"/>
    <xf numFmtId="0" fontId="84" fillId="0" borderId="1" applyNumberFormat="0" applyFill="0" applyBorder="0" applyAlignment="0" applyProtection="0"/>
    <xf numFmtId="0" fontId="184" fillId="0" borderId="1" applyNumberFormat="0" applyFill="0" applyBorder="0" applyAlignment="0" applyProtection="0"/>
    <xf numFmtId="0" fontId="39" fillId="0" borderId="1" applyNumberFormat="0" applyFill="0" applyAlignment="0" applyProtection="0"/>
    <xf numFmtId="0" fontId="24" fillId="0" borderId="2" applyNumberFormat="0" applyFill="0" applyAlignment="0" applyProtection="0"/>
    <xf numFmtId="206" fontId="75" fillId="15" borderId="0" applyNumberFormat="0" applyFill="0" applyBorder="0" applyAlignment="0" applyProtection="0">
      <alignment horizontal="right"/>
    </xf>
    <xf numFmtId="0" fontId="25" fillId="0" borderId="0" applyFont="0" applyFill="0" applyBorder="0" applyAlignment="0" applyProtection="0"/>
    <xf numFmtId="225" fontId="25" fillId="0" borderId="0" applyFont="0" applyFill="0" applyBorder="0" applyAlignment="0" applyProtection="0"/>
    <xf numFmtId="262" fontId="25" fillId="0" borderId="0" applyFont="0" applyFill="0" applyBorder="0" applyAlignment="0" applyProtection="0"/>
    <xf numFmtId="0" fontId="25" fillId="0" borderId="0"/>
    <xf numFmtId="0" fontId="143" fillId="16" borderId="0" applyNumberFormat="0" applyBorder="0" applyAlignment="0" applyProtection="0"/>
    <xf numFmtId="233" fontId="76" fillId="0" borderId="0" applyFill="0" applyBorder="0" applyAlignment="0" applyProtection="0">
      <protection locked="0"/>
    </xf>
    <xf numFmtId="0" fontId="77" fillId="17" borderId="0"/>
    <xf numFmtId="226" fontId="78" fillId="0" borderId="0" applyNumberFormat="0" applyFont="0" applyAlignment="0" applyProtection="0"/>
    <xf numFmtId="226" fontId="7" fillId="0" borderId="0" applyNumberFormat="0" applyFont="0" applyAlignment="0" applyProtection="0"/>
    <xf numFmtId="0" fontId="79" fillId="18" borderId="0" applyNumberFormat="0" applyBorder="0">
      <alignment horizontal="center" vertical="center"/>
    </xf>
    <xf numFmtId="0" fontId="144" fillId="0" borderId="0" applyNumberFormat="0" applyFill="0" applyBorder="0" applyAlignment="0" applyProtection="0"/>
    <xf numFmtId="0" fontId="80" fillId="0" borderId="0" applyFont="0" applyFill="0" applyBorder="0" applyAlignment="0" applyProtection="0"/>
    <xf numFmtId="0" fontId="25" fillId="0" borderId="0"/>
    <xf numFmtId="39" fontId="26" fillId="0" borderId="3" applyNumberFormat="0" applyFill="0" applyBorder="0"/>
    <xf numFmtId="0" fontId="27" fillId="0" borderId="0" applyNumberFormat="0" applyAlignment="0">
      <alignment vertical="center"/>
    </xf>
    <xf numFmtId="233" fontId="76" fillId="0" borderId="0" applyFont="0" applyFill="0" applyBorder="0" applyAlignment="0" applyProtection="0">
      <protection locked="0"/>
    </xf>
    <xf numFmtId="0" fontId="48" fillId="0" borderId="0"/>
    <xf numFmtId="1" fontId="145" fillId="0" borderId="0"/>
    <xf numFmtId="0" fontId="146" fillId="19" borderId="4" applyNumberFormat="0" applyAlignment="0" applyProtection="0"/>
    <xf numFmtId="174" fontId="28" fillId="0" borderId="0" applyNumberFormat="0" applyAlignment="0">
      <alignment vertical="center"/>
    </xf>
    <xf numFmtId="0" fontId="29" fillId="0" borderId="0">
      <alignment horizontal="center" wrapText="1"/>
      <protection hidden="1"/>
    </xf>
    <xf numFmtId="0" fontId="30" fillId="20" borderId="5" applyNumberFormat="0" applyProtection="0">
      <alignment horizontal="center" vertical="center" wrapText="1"/>
    </xf>
    <xf numFmtId="0" fontId="30" fillId="20" borderId="0" applyNumberFormat="0" applyBorder="0" applyProtection="0">
      <alignment horizontal="centerContinuous" vertical="center"/>
    </xf>
    <xf numFmtId="0" fontId="30" fillId="20" borderId="6" applyNumberFormat="0" applyBorder="0" applyProtection="0">
      <alignment horizontal="center" vertical="center" wrapText="1"/>
    </xf>
    <xf numFmtId="0" fontId="31" fillId="21" borderId="0" applyNumberFormat="0">
      <alignment horizontal="center" vertical="top" wrapText="1"/>
    </xf>
    <xf numFmtId="0" fontId="31" fillId="21" borderId="0" applyNumberFormat="0">
      <alignment horizontal="left" vertical="top" wrapText="1"/>
    </xf>
    <xf numFmtId="0" fontId="31" fillId="21" borderId="0" applyNumberFormat="0">
      <alignment horizontal="centerContinuous" vertical="top"/>
    </xf>
    <xf numFmtId="0" fontId="27" fillId="21" borderId="0" applyNumberFormat="0">
      <alignment horizontal="center" vertical="top" wrapText="1"/>
    </xf>
    <xf numFmtId="0" fontId="31" fillId="22" borderId="0" applyNumberFormat="0">
      <alignment horizontal="center" vertical="top" wrapText="1"/>
    </xf>
    <xf numFmtId="0" fontId="7" fillId="0" borderId="7" applyNumberFormat="0" applyFont="0" applyFill="0" applyAlignment="0" applyProtection="0">
      <alignment horizontal="left"/>
    </xf>
    <xf numFmtId="43" fontId="1" fillId="0" borderId="0" applyFont="0" applyFill="0" applyBorder="0" applyAlignment="0" applyProtection="0"/>
    <xf numFmtId="168"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alignment horizontal="right"/>
    </xf>
    <xf numFmtId="225" fontId="207" fillId="0" borderId="0" applyFont="0" applyFill="0" applyBorder="0" applyAlignment="0" applyProtection="0"/>
    <xf numFmtId="43" fontId="141" fillId="0" borderId="0" applyFont="0" applyFill="0" applyBorder="0" applyAlignment="0" applyProtection="0"/>
    <xf numFmtId="225" fontId="207"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0"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0" fontId="33" fillId="0" borderId="0" applyFont="0" applyFill="0" applyBorder="0" applyAlignment="0" applyProtection="0">
      <alignment horizontal="right"/>
    </xf>
    <xf numFmtId="43" fontId="170"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4"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170" fillId="0" borderId="0" applyFont="0" applyFill="0" applyBorder="0" applyAlignment="0" applyProtection="0"/>
    <xf numFmtId="43" fontId="170" fillId="0" borderId="0" applyFont="0" applyFill="0" applyBorder="0" applyAlignment="0" applyProtection="0"/>
    <xf numFmtId="43" fontId="249"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225" fontId="218" fillId="0" borderId="0" applyFont="0" applyFill="0" applyBorder="0" applyAlignment="0" applyProtection="0"/>
    <xf numFmtId="43" fontId="141" fillId="0" borderId="0" applyFont="0" applyFill="0" applyBorder="0" applyAlignment="0" applyProtection="0"/>
    <xf numFmtId="43" fontId="244" fillId="0" borderId="0" applyFont="0" applyFill="0" applyBorder="0" applyAlignment="0" applyProtection="0"/>
    <xf numFmtId="43" fontId="248" fillId="0" borderId="0" applyFont="0" applyFill="0" applyBorder="0" applyAlignment="0" applyProtection="0"/>
    <xf numFmtId="225" fontId="170" fillId="0" borderId="0" applyFont="0" applyFill="0" applyBorder="0" applyAlignment="0" applyProtection="0"/>
    <xf numFmtId="43" fontId="170"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225" fontId="207" fillId="0" borderId="0" applyFont="0" applyFill="0" applyBorder="0" applyAlignment="0" applyProtection="0"/>
    <xf numFmtId="43" fontId="141" fillId="0" borderId="0" applyFont="0" applyFill="0" applyBorder="0" applyAlignment="0" applyProtection="0"/>
    <xf numFmtId="225" fontId="207" fillId="0" borderId="0" applyFont="0" applyFill="0" applyBorder="0" applyAlignment="0" applyProtection="0"/>
    <xf numFmtId="43" fontId="141" fillId="0" borderId="0" applyFont="0" applyFill="0" applyBorder="0" applyAlignment="0" applyProtection="0"/>
    <xf numFmtId="225" fontId="207" fillId="0" borderId="0" applyFont="0" applyFill="0" applyBorder="0" applyAlignment="0" applyProtection="0"/>
    <xf numFmtId="43" fontId="141" fillId="0" borderId="0" applyFont="0" applyFill="0" applyBorder="0" applyAlignment="0" applyProtection="0"/>
    <xf numFmtId="0" fontId="50" fillId="0" borderId="0" applyFont="0" applyFill="0" applyBorder="0" applyAlignment="0" applyProtection="0"/>
    <xf numFmtId="0" fontId="185" fillId="0" borderId="0" applyFont="0" applyFill="0" applyBorder="0" applyAlignment="0" applyProtection="0"/>
    <xf numFmtId="226" fontId="82" fillId="0" borderId="0"/>
    <xf numFmtId="226" fontId="39" fillId="0" borderId="0"/>
    <xf numFmtId="43" fontId="25" fillId="0" borderId="0" applyFont="0" applyFill="0" applyBorder="0" applyAlignment="0" applyProtection="0"/>
    <xf numFmtId="3" fontId="83" fillId="0" borderId="0" applyFont="0" applyFill="0" applyBorder="0" applyAlignment="0" applyProtection="0"/>
    <xf numFmtId="0" fontId="34" fillId="23" borderId="0">
      <alignment horizontal="center" vertical="center" wrapText="1"/>
    </xf>
    <xf numFmtId="0" fontId="25" fillId="0" borderId="0">
      <alignment horizontal="left"/>
    </xf>
    <xf numFmtId="0" fontId="25" fillId="0" borderId="0"/>
    <xf numFmtId="0" fontId="25" fillId="0" borderId="0">
      <alignment horizontal="left"/>
    </xf>
    <xf numFmtId="195" fontId="29" fillId="0" borderId="0" applyFill="0" applyBorder="0">
      <alignment horizontal="right"/>
      <protection locked="0"/>
    </xf>
    <xf numFmtId="199" fontId="35" fillId="0" borderId="0" applyFont="0"/>
    <xf numFmtId="178" fontId="27" fillId="0" borderId="0" applyFont="0" applyFill="0" applyBorder="0" applyAlignment="0" applyProtection="0">
      <alignment vertical="center"/>
    </xf>
    <xf numFmtId="198" fontId="36" fillId="0" borderId="0" applyFont="0"/>
    <xf numFmtId="198" fontId="35" fillId="0" borderId="0" applyFont="0"/>
    <xf numFmtId="234" fontId="25" fillId="0" borderId="0"/>
    <xf numFmtId="235" fontId="25" fillId="0" borderId="0" applyFont="0" applyFill="0" applyBorder="0" applyAlignment="0"/>
    <xf numFmtId="0" fontId="33" fillId="0" borderId="0" applyFont="0" applyFill="0" applyBorder="0" applyAlignment="0" applyProtection="0">
      <alignment horizontal="right"/>
    </xf>
    <xf numFmtId="0" fontId="33" fillId="0" borderId="0" applyFont="0" applyFill="0" applyBorder="0" applyAlignment="0" applyProtection="0">
      <alignment horizontal="right"/>
    </xf>
    <xf numFmtId="264" fontId="229" fillId="0" borderId="0" applyFont="0" applyFill="0" applyBorder="0" applyAlignment="0" applyProtection="0"/>
    <xf numFmtId="264" fontId="141" fillId="0" borderId="0" applyFont="0" applyFill="0" applyBorder="0" applyAlignment="0" applyProtection="0"/>
    <xf numFmtId="264" fontId="229" fillId="0" borderId="0" applyFont="0" applyFill="0" applyBorder="0" applyAlignment="0" applyProtection="0"/>
    <xf numFmtId="264" fontId="141" fillId="0" borderId="0" applyFont="0" applyFill="0" applyBorder="0" applyAlignment="0" applyProtection="0"/>
    <xf numFmtId="264" fontId="229" fillId="0" borderId="0" applyFont="0" applyFill="0" applyBorder="0" applyAlignment="0" applyProtection="0"/>
    <xf numFmtId="264" fontId="141" fillId="0" borderId="0" applyFont="0" applyFill="0" applyBorder="0" applyAlignment="0" applyProtection="0"/>
    <xf numFmtId="264" fontId="229" fillId="0" borderId="0" applyFont="0" applyFill="0" applyBorder="0" applyAlignment="0" applyProtection="0"/>
    <xf numFmtId="264" fontId="141" fillId="0" borderId="0" applyFont="0" applyFill="0" applyBorder="0" applyAlignment="0" applyProtection="0"/>
    <xf numFmtId="264" fontId="243" fillId="0" borderId="0" applyFont="0" applyFill="0" applyBorder="0" applyAlignment="0" applyProtection="0"/>
    <xf numFmtId="264" fontId="141" fillId="0" borderId="0" applyFont="0" applyFill="0" applyBorder="0" applyAlignment="0" applyProtection="0"/>
    <xf numFmtId="44" fontId="244" fillId="0" borderId="0" applyFont="0" applyFill="0" applyBorder="0" applyAlignment="0" applyProtection="0"/>
    <xf numFmtId="183" fontId="27" fillId="0" borderId="0" applyFont="0" applyFill="0" applyBorder="0" applyAlignment="0" applyProtection="0">
      <alignment vertical="center"/>
    </xf>
    <xf numFmtId="184" fontId="27" fillId="0" borderId="0" applyFont="0" applyFill="0" applyBorder="0" applyAlignment="0" applyProtection="0">
      <alignment vertical="center"/>
    </xf>
    <xf numFmtId="181" fontId="27" fillId="0" borderId="0" applyFont="0" applyFill="0" applyBorder="0" applyAlignment="0" applyProtection="0">
      <alignment vertical="center"/>
    </xf>
    <xf numFmtId="182" fontId="27" fillId="0" borderId="0" applyFont="0" applyFill="0" applyBorder="0" applyAlignment="0" applyProtection="0">
      <alignment vertical="center"/>
    </xf>
    <xf numFmtId="179" fontId="27" fillId="0" borderId="0" applyFont="0" applyFill="0" applyBorder="0" applyAlignment="0" applyProtection="0">
      <alignment vertical="center"/>
    </xf>
    <xf numFmtId="180" fontId="27" fillId="0" borderId="0" applyFont="0" applyFill="0" applyBorder="0" applyAlignment="0" applyProtection="0">
      <alignment vertical="center"/>
    </xf>
    <xf numFmtId="189" fontId="27" fillId="0" borderId="0" applyFont="0" applyFill="0" applyBorder="0" applyAlignment="0" applyProtection="0">
      <alignment vertical="center"/>
    </xf>
    <xf numFmtId="190" fontId="27" fillId="0" borderId="0" applyFont="0" applyFill="0" applyBorder="0" applyAlignment="0" applyProtection="0">
      <alignment vertical="center"/>
    </xf>
    <xf numFmtId="187" fontId="27" fillId="0" borderId="0" applyFont="0" applyFill="0" applyBorder="0" applyAlignment="0" applyProtection="0">
      <alignment vertical="center"/>
    </xf>
    <xf numFmtId="188" fontId="27" fillId="0" borderId="0" applyFont="0" applyFill="0" applyBorder="0" applyAlignment="0" applyProtection="0">
      <alignment vertical="center"/>
    </xf>
    <xf numFmtId="185" fontId="27" fillId="0" borderId="0" applyFont="0" applyFill="0" applyBorder="0" applyAlignment="0" applyProtection="0">
      <alignment vertical="center"/>
    </xf>
    <xf numFmtId="186" fontId="27" fillId="0" borderId="0" applyFont="0" applyFill="0" applyBorder="0" applyAlignment="0" applyProtection="0">
      <alignment vertical="center"/>
    </xf>
    <xf numFmtId="236" fontId="25" fillId="0" borderId="0" applyFont="0" applyFill="0" applyBorder="0" applyAlignment="0" applyProtection="0"/>
    <xf numFmtId="0" fontId="25" fillId="24" borderId="0" applyNumberFormat="0" applyFont="0" applyAlignment="0"/>
    <xf numFmtId="177" fontId="27" fillId="0" borderId="0" applyFont="0" applyFill="0" applyBorder="0" applyAlignment="0" applyProtection="0">
      <alignment vertical="center"/>
    </xf>
    <xf numFmtId="191" fontId="27" fillId="0" borderId="0" applyFont="0" applyFill="0" applyBorder="0" applyAlignment="0" applyProtection="0">
      <alignment vertical="center"/>
    </xf>
    <xf numFmtId="192" fontId="27" fillId="0" borderId="0" applyFont="0" applyFill="0" applyBorder="0" applyAlignment="0" applyProtection="0">
      <alignment vertical="center"/>
    </xf>
    <xf numFmtId="15" fontId="84" fillId="0" borderId="0" applyFill="0" applyBorder="0" applyAlignment="0"/>
    <xf numFmtId="0" fontId="84" fillId="14" borderId="0" applyFont="0" applyFill="0" applyBorder="0" applyAlignment="0" applyProtection="0"/>
    <xf numFmtId="237" fontId="25" fillId="14" borderId="8" applyFont="0" applyFill="0" applyBorder="0" applyAlignment="0" applyProtection="0"/>
    <xf numFmtId="238" fontId="25" fillId="14" borderId="0" applyFont="0" applyFill="0" applyBorder="0" applyAlignment="0" applyProtection="0"/>
    <xf numFmtId="17" fontId="84" fillId="0" borderId="0" applyFill="0" applyBorder="0">
      <alignment horizontal="right"/>
    </xf>
    <xf numFmtId="169" fontId="25" fillId="0" borderId="9" applyFont="0" applyFill="0" applyBorder="0" applyAlignment="0" applyProtection="0"/>
    <xf numFmtId="14" fontId="39" fillId="0" borderId="0" applyFont="0" applyFill="0" applyBorder="0" applyAlignment="0" applyProtection="0"/>
    <xf numFmtId="14" fontId="39" fillId="0" borderId="0" applyFont="0" applyFill="0" applyBorder="0" applyAlignment="0" applyProtection="0"/>
    <xf numFmtId="14" fontId="39" fillId="0" borderId="0" applyFont="0" applyFill="0" applyBorder="0" applyAlignment="0" applyProtection="0"/>
    <xf numFmtId="14" fontId="39" fillId="0" borderId="0" applyFont="0" applyFill="0" applyBorder="0" applyAlignment="0" applyProtection="0"/>
    <xf numFmtId="14" fontId="39" fillId="0" borderId="0" applyFont="0" applyFill="0" applyBorder="0" applyAlignment="0" applyProtection="0"/>
    <xf numFmtId="0" fontId="33" fillId="0" borderId="0" applyFont="0" applyFill="0" applyBorder="0" applyAlignment="0" applyProtection="0"/>
    <xf numFmtId="0" fontId="25" fillId="0" borderId="0">
      <alignment horizontal="right"/>
      <protection locked="0"/>
    </xf>
    <xf numFmtId="238" fontId="25" fillId="0" borderId="0" applyFill="0" applyBorder="0">
      <alignment horizontal="right"/>
    </xf>
    <xf numFmtId="14" fontId="85" fillId="0" borderId="0" applyFont="0" applyFill="0" applyBorder="0" applyAlignment="0" applyProtection="0">
      <alignment horizontal="center"/>
    </xf>
    <xf numFmtId="239" fontId="85" fillId="0" borderId="0" applyFont="0" applyFill="0" applyBorder="0" applyAlignment="0" applyProtection="0">
      <alignment horizontal="center"/>
    </xf>
    <xf numFmtId="212" fontId="37" fillId="0" borderId="3" applyNumberFormat="0" applyFill="0" applyBorder="0" applyAlignment="0">
      <alignment horizontal="left"/>
      <protection locked="0"/>
    </xf>
    <xf numFmtId="213" fontId="7" fillId="0" borderId="0" applyFont="0" applyFill="0" applyBorder="0" applyAlignment="0" applyProtection="0"/>
    <xf numFmtId="0" fontId="38" fillId="0" borderId="0">
      <protection locked="0"/>
    </xf>
    <xf numFmtId="0" fontId="9" fillId="0" borderId="0">
      <protection locked="0"/>
    </xf>
    <xf numFmtId="235" fontId="76" fillId="0" borderId="0" applyFont="0" applyFill="0" applyBorder="0" applyAlignment="0" applyProtection="0"/>
    <xf numFmtId="0" fontId="39" fillId="0" borderId="0"/>
    <xf numFmtId="240" fontId="76" fillId="0" borderId="0" applyFont="0" applyFill="0" applyBorder="0" applyAlignment="0" applyProtection="0"/>
    <xf numFmtId="0" fontId="33" fillId="0" borderId="10" applyNumberFormat="0" applyFont="0" applyFill="0" applyAlignment="0" applyProtection="0"/>
    <xf numFmtId="0" fontId="86" fillId="0" borderId="0" applyFill="0" applyBorder="0" applyAlignment="0" applyProtection="0"/>
    <xf numFmtId="164" fontId="87" fillId="0" borderId="11" applyNumberFormat="0" applyAlignment="0" applyProtection="0">
      <alignment vertical="top"/>
    </xf>
    <xf numFmtId="0" fontId="39" fillId="25" borderId="0" applyNumberFormat="0" applyFont="0" applyBorder="0" applyAlignment="0" applyProtection="0"/>
    <xf numFmtId="164" fontId="147" fillId="0" borderId="0" applyNumberFormat="0"/>
    <xf numFmtId="208" fontId="7" fillId="0" borderId="0" applyFont="0" applyFill="0" applyBorder="0" applyAlignment="0"/>
    <xf numFmtId="235" fontId="76" fillId="0" borderId="0" applyFont="0" applyFill="0" applyBorder="0" applyAlignment="0" applyProtection="0">
      <alignment horizontal="right"/>
    </xf>
    <xf numFmtId="241" fontId="78" fillId="0" borderId="0" applyFont="0" applyFill="0" applyBorder="0" applyProtection="0">
      <alignment horizontal="left"/>
      <protection locked="0"/>
    </xf>
    <xf numFmtId="241" fontId="7" fillId="0" borderId="0" applyFont="0" applyFill="0" applyBorder="0" applyProtection="0">
      <alignment horizontal="left"/>
      <protection locked="0"/>
    </xf>
    <xf numFmtId="242" fontId="78" fillId="0" borderId="0" applyFont="0" applyFill="0" applyBorder="0" applyProtection="0">
      <alignment horizontal="left"/>
      <protection locked="0"/>
    </xf>
    <xf numFmtId="242" fontId="7" fillId="0" borderId="0" applyFont="0" applyFill="0" applyBorder="0" applyProtection="0">
      <alignment horizontal="left"/>
      <protection locked="0"/>
    </xf>
    <xf numFmtId="0" fontId="88" fillId="0" borderId="0"/>
    <xf numFmtId="0" fontId="88" fillId="0" borderId="0"/>
    <xf numFmtId="0" fontId="88" fillId="0" borderId="0"/>
    <xf numFmtId="243" fontId="25" fillId="0" borderId="0" applyFont="0" applyFill="0" applyBorder="0" applyAlignment="0" applyProtection="0"/>
    <xf numFmtId="264" fontId="170" fillId="0" borderId="0" applyFont="0" applyFill="0" applyBorder="0" applyAlignment="0" applyProtection="0"/>
    <xf numFmtId="319" fontId="25" fillId="0" borderId="0" applyFont="0" applyFill="0" applyBorder="0" applyAlignment="0" applyProtection="0"/>
    <xf numFmtId="0" fontId="148" fillId="0" borderId="0" applyNumberFormat="0" applyFill="0" applyBorder="0" applyAlignment="0" applyProtection="0"/>
    <xf numFmtId="244" fontId="78" fillId="15" borderId="0">
      <alignment horizontal="right"/>
    </xf>
    <xf numFmtId="0" fontId="149" fillId="0" borderId="0"/>
    <xf numFmtId="3" fontId="89" fillId="0" borderId="0" applyNumberFormat="0" applyFont="0" applyFill="0" applyBorder="0" applyAlignment="0" applyProtection="0">
      <alignment horizontal="left"/>
    </xf>
    <xf numFmtId="0" fontId="150" fillId="26" borderId="0"/>
    <xf numFmtId="2" fontId="83" fillId="0" borderId="0" applyFont="0" applyFill="0" applyBorder="0" applyAlignment="0" applyProtection="0"/>
    <xf numFmtId="0" fontId="25" fillId="14" borderId="0" applyFont="0" applyFill="0" applyBorder="0" applyAlignment="0"/>
    <xf numFmtId="0" fontId="39" fillId="0" borderId="0"/>
    <xf numFmtId="0" fontId="90" fillId="0" borderId="0" applyNumberFormat="0" applyFill="0" applyBorder="0" applyAlignment="0" applyProtection="0">
      <alignment vertical="top"/>
      <protection locked="0"/>
    </xf>
    <xf numFmtId="0" fontId="25" fillId="0" borderId="0">
      <alignment horizontal="left"/>
    </xf>
    <xf numFmtId="0" fontId="25" fillId="0" borderId="0">
      <alignment horizontal="left"/>
    </xf>
    <xf numFmtId="0" fontId="25" fillId="0" borderId="0" applyFill="0" applyBorder="0" applyProtection="0">
      <alignment horizontal="left"/>
    </xf>
    <xf numFmtId="0" fontId="25" fillId="0" borderId="0">
      <alignment horizontal="left"/>
    </xf>
    <xf numFmtId="0" fontId="25" fillId="0" borderId="0">
      <alignment horizontal="left"/>
    </xf>
    <xf numFmtId="0" fontId="25" fillId="0" borderId="0">
      <alignment horizontal="left"/>
    </xf>
    <xf numFmtId="320" fontId="84" fillId="0" borderId="0" applyBorder="0" applyProtection="0"/>
    <xf numFmtId="0" fontId="39" fillId="0" borderId="0"/>
    <xf numFmtId="245" fontId="76" fillId="0" borderId="0" applyFill="0" applyBorder="0" applyAlignment="0" applyProtection="0">
      <protection locked="0"/>
    </xf>
    <xf numFmtId="0" fontId="151" fillId="27" borderId="0" applyNumberFormat="0" applyBorder="0" applyAlignment="0" applyProtection="0"/>
    <xf numFmtId="38" fontId="39" fillId="28" borderId="0" applyNumberFormat="0" applyFont="0" applyBorder="0" applyAlignment="0">
      <protection hidden="1"/>
    </xf>
    <xf numFmtId="246" fontId="91" fillId="0" borderId="0" applyFill="0" applyBorder="0" applyAlignment="0" applyProtection="0"/>
    <xf numFmtId="246" fontId="92" fillId="0" borderId="0" applyAlignment="0">
      <alignment horizontal="left"/>
      <protection locked="0"/>
    </xf>
    <xf numFmtId="0" fontId="40" fillId="21" borderId="0" applyNumberFormat="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horizontal="left" vertical="center"/>
    </xf>
    <xf numFmtId="0" fontId="31" fillId="0" borderId="0" applyNumberFormat="0" applyFill="0" applyBorder="0" applyAlignment="0" applyProtection="0">
      <alignment vertical="center"/>
    </xf>
    <xf numFmtId="0" fontId="7" fillId="0" borderId="0"/>
    <xf numFmtId="207" fontId="93" fillId="0" borderId="0" applyNumberFormat="0" applyFill="0" applyBorder="0" applyAlignment="0" applyProtection="0"/>
    <xf numFmtId="2" fontId="44" fillId="29" borderId="0"/>
    <xf numFmtId="247" fontId="84" fillId="14" borderId="6" applyNumberFormat="0" applyFont="0" applyAlignment="0"/>
    <xf numFmtId="0" fontId="33" fillId="0" borderId="0" applyFont="0" applyFill="0" applyBorder="0" applyAlignment="0" applyProtection="0">
      <alignment horizontal="right"/>
    </xf>
    <xf numFmtId="0" fontId="25" fillId="1" borderId="0" applyNumberFormat="0" applyBorder="0" applyProtection="0">
      <alignment horizontal="left" vertical="center"/>
    </xf>
    <xf numFmtId="0" fontId="25" fillId="0" borderId="0" applyProtection="0">
      <alignment horizontal="right"/>
    </xf>
    <xf numFmtId="0" fontId="94" fillId="30" borderId="0">
      <alignment horizontal="left"/>
    </xf>
    <xf numFmtId="0" fontId="25" fillId="0" borderId="0">
      <alignment horizontal="left"/>
    </xf>
    <xf numFmtId="0" fontId="94" fillId="30" borderId="0">
      <alignment horizontal="left"/>
    </xf>
    <xf numFmtId="0" fontId="25" fillId="6" borderId="0"/>
    <xf numFmtId="0" fontId="95" fillId="0" borderId="9"/>
    <xf numFmtId="0" fontId="25" fillId="0" borderId="0">
      <alignment horizontal="left"/>
    </xf>
    <xf numFmtId="0" fontId="25" fillId="0" borderId="3">
      <alignment horizontal="left" vertical="top"/>
    </xf>
    <xf numFmtId="0" fontId="25" fillId="0" borderId="3">
      <alignment horizontal="left" vertical="top"/>
    </xf>
    <xf numFmtId="0" fontId="25" fillId="0" borderId="0" applyProtection="0">
      <alignment horizontal="left"/>
    </xf>
    <xf numFmtId="0" fontId="25" fillId="0" borderId="0">
      <alignment horizontal="left"/>
    </xf>
    <xf numFmtId="0" fontId="25" fillId="0" borderId="3">
      <alignment horizontal="left" vertical="top"/>
    </xf>
    <xf numFmtId="0" fontId="25" fillId="0" borderId="0" applyProtection="0">
      <alignment horizontal="left"/>
    </xf>
    <xf numFmtId="0" fontId="25" fillId="0" borderId="0">
      <alignment horizontal="left"/>
    </xf>
    <xf numFmtId="0" fontId="96" fillId="0" borderId="0"/>
    <xf numFmtId="0" fontId="97" fillId="0" borderId="0"/>
    <xf numFmtId="0" fontId="152" fillId="0" borderId="0">
      <alignment wrapText="1"/>
    </xf>
    <xf numFmtId="0" fontId="27" fillId="31" borderId="0" applyNumberFormat="0" applyFont="0" applyBorder="0" applyAlignment="0" applyProtection="0">
      <alignment vertical="center"/>
    </xf>
    <xf numFmtId="248" fontId="98" fillId="0" borderId="0" applyNumberFormat="0" applyFill="0" applyBorder="0" applyAlignment="0"/>
    <xf numFmtId="0" fontId="99"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xf numFmtId="245" fontId="76" fillId="0" borderId="0" applyFill="0" applyBorder="0" applyAlignment="0" applyProtection="0">
      <alignment horizontal="right"/>
      <protection locked="0"/>
    </xf>
    <xf numFmtId="0" fontId="33" fillId="0" borderId="0" applyNumberFormat="0" applyFill="0" applyBorder="0" applyAlignment="0" applyProtection="0"/>
    <xf numFmtId="0" fontId="33" fillId="0" borderId="0" applyNumberFormat="0" applyFill="0" applyBorder="0" applyAlignment="0" applyProtection="0"/>
    <xf numFmtId="10" fontId="39" fillId="14" borderId="6" applyNumberFormat="0" applyBorder="0" applyAlignment="0" applyProtection="0"/>
    <xf numFmtId="0" fontId="27" fillId="0" borderId="12" applyNumberFormat="0" applyAlignment="0">
      <alignment vertical="center"/>
    </xf>
    <xf numFmtId="226" fontId="153" fillId="32" borderId="0"/>
    <xf numFmtId="235" fontId="39" fillId="0" borderId="0"/>
    <xf numFmtId="0" fontId="27" fillId="0" borderId="13" applyNumberFormat="0" applyAlignment="0">
      <alignment vertical="center"/>
      <protection locked="0"/>
    </xf>
    <xf numFmtId="238" fontId="25" fillId="14" borderId="0" applyFont="0" applyBorder="0" applyAlignment="0" applyProtection="0">
      <protection locked="0"/>
    </xf>
    <xf numFmtId="173" fontId="27" fillId="33" borderId="13" applyNumberFormat="0" applyAlignment="0">
      <alignment vertical="center"/>
      <protection locked="0"/>
    </xf>
    <xf numFmtId="0" fontId="39" fillId="14" borderId="0" applyFont="0" applyBorder="0" applyAlignment="0">
      <protection locked="0"/>
    </xf>
    <xf numFmtId="0" fontId="27" fillId="21" borderId="0" applyNumberFormat="0" applyAlignment="0">
      <alignment vertical="center"/>
    </xf>
    <xf numFmtId="0" fontId="27" fillId="34" borderId="0" applyNumberFormat="0" applyAlignment="0">
      <alignment vertical="center"/>
    </xf>
    <xf numFmtId="0" fontId="45" fillId="0" borderId="0" applyNumberFormat="0" applyFill="0" applyBorder="0" applyAlignment="0" applyProtection="0"/>
    <xf numFmtId="245" fontId="39" fillId="14" borderId="0">
      <protection locked="0"/>
    </xf>
    <xf numFmtId="0" fontId="27" fillId="0" borderId="14" applyNumberFormat="0" applyAlignment="0">
      <alignment vertical="center"/>
      <protection locked="0"/>
    </xf>
    <xf numFmtId="249" fontId="25" fillId="14" borderId="0" applyFont="0" applyBorder="0" applyAlignment="0">
      <protection locked="0"/>
    </xf>
    <xf numFmtId="10" fontId="39" fillId="14" borderId="0">
      <protection locked="0"/>
    </xf>
    <xf numFmtId="0" fontId="39" fillId="14" borderId="0" applyFont="0" applyBorder="0" applyAlignment="0">
      <protection locked="0"/>
    </xf>
    <xf numFmtId="245" fontId="100" fillId="14" borderId="0" applyNumberFormat="0" applyBorder="0" applyAlignment="0">
      <protection locked="0"/>
    </xf>
    <xf numFmtId="10" fontId="25" fillId="0" borderId="0">
      <protection locked="0"/>
    </xf>
    <xf numFmtId="0" fontId="25" fillId="14" borderId="6"/>
    <xf numFmtId="0" fontId="25" fillId="14" borderId="6"/>
    <xf numFmtId="0" fontId="25" fillId="14" borderId="6"/>
    <xf numFmtId="0" fontId="38" fillId="0" borderId="0" applyNumberFormat="0" applyFill="0" applyBorder="0" applyAlignment="0">
      <protection locked="0"/>
    </xf>
    <xf numFmtId="0" fontId="9" fillId="0" borderId="0" applyNumberFormat="0" applyFill="0" applyBorder="0" applyAlignment="0">
      <protection locked="0"/>
    </xf>
    <xf numFmtId="15" fontId="25" fillId="0" borderId="0">
      <protection locked="0"/>
    </xf>
    <xf numFmtId="2" fontId="25" fillId="0" borderId="15">
      <protection locked="0"/>
    </xf>
    <xf numFmtId="0" fontId="25" fillId="0" borderId="0">
      <protection locked="0"/>
    </xf>
    <xf numFmtId="0" fontId="29" fillId="0" borderId="0" applyFill="0" applyBorder="0">
      <alignment horizontal="right"/>
      <protection locked="0"/>
    </xf>
    <xf numFmtId="193" fontId="29" fillId="0" borderId="0" applyFill="0" applyBorder="0">
      <alignment horizontal="right"/>
      <protection locked="0"/>
    </xf>
    <xf numFmtId="200" fontId="46" fillId="35" borderId="0" applyBorder="0"/>
    <xf numFmtId="0" fontId="47" fillId="36" borderId="16">
      <alignment horizontal="left" vertical="center" wrapText="1"/>
    </xf>
    <xf numFmtId="4" fontId="44" fillId="29" borderId="0"/>
    <xf numFmtId="1" fontId="101" fillId="1" borderId="17">
      <protection locked="0"/>
    </xf>
    <xf numFmtId="206" fontId="48" fillId="0" borderId="9" applyNumberFormat="0" applyFill="0">
      <alignment vertical="center"/>
    </xf>
    <xf numFmtId="1" fontId="102" fillId="0" borderId="0" applyNumberFormat="0" applyFill="0" applyBorder="0" applyAlignment="0" applyProtection="0">
      <alignment horizontal="right"/>
    </xf>
    <xf numFmtId="0" fontId="154" fillId="0" borderId="18" applyNumberFormat="0" applyFill="0" applyAlignment="0" applyProtection="0"/>
    <xf numFmtId="226" fontId="25" fillId="37" borderId="0"/>
    <xf numFmtId="226" fontId="103" fillId="0" borderId="0" applyNumberFormat="0" applyFont="0" applyFill="0" applyBorder="0" applyAlignment="0">
      <protection hidden="1"/>
    </xf>
    <xf numFmtId="0" fontId="49" fillId="0" borderId="0" applyNumberFormat="0" applyFill="0" applyBorder="0" applyProtection="0">
      <alignment horizontal="left" vertical="center"/>
    </xf>
    <xf numFmtId="0" fontId="104" fillId="0" borderId="0"/>
    <xf numFmtId="201" fontId="46" fillId="35" borderId="0" applyBorder="0" applyAlignment="0">
      <alignment horizontal="right"/>
    </xf>
    <xf numFmtId="210" fontId="105" fillId="0" borderId="0" applyFill="0" applyBorder="0" applyAlignment="0" applyProtection="0"/>
    <xf numFmtId="0" fontId="150" fillId="0" borderId="0"/>
    <xf numFmtId="0" fontId="155" fillId="0" borderId="0"/>
    <xf numFmtId="0" fontId="156" fillId="0" borderId="0"/>
    <xf numFmtId="40" fontId="29" fillId="0" borderId="0" applyFont="0" applyFill="0" applyBorder="0" applyAlignment="0" applyProtection="0"/>
    <xf numFmtId="38" fontId="29" fillId="0" borderId="0" applyFont="0" applyFill="0" applyBorder="0" applyAlignment="0" applyProtection="0"/>
    <xf numFmtId="43" fontId="170" fillId="0" borderId="0" applyFont="0" applyFill="0" applyBorder="0" applyAlignment="0" applyProtection="0"/>
    <xf numFmtId="40" fontId="29" fillId="0" borderId="0" applyFont="0" applyFill="0" applyBorder="0" applyAlignment="0" applyProtection="0"/>
    <xf numFmtId="203" fontId="50" fillId="0" borderId="0" applyFont="0" applyFill="0" applyBorder="0" applyAlignment="0" applyProtection="0"/>
    <xf numFmtId="214" fontId="7" fillId="0" borderId="0" applyFont="0" applyFill="0" applyBorder="0" applyAlignment="0" applyProtection="0"/>
    <xf numFmtId="205" fontId="50" fillId="0" borderId="0" applyFont="0" applyFill="0" applyBorder="0" applyAlignment="0" applyProtection="0"/>
    <xf numFmtId="164" fontId="25" fillId="0" borderId="0"/>
    <xf numFmtId="0" fontId="25" fillId="0" borderId="5"/>
    <xf numFmtId="0" fontId="29" fillId="0" borderId="0" applyFont="0" applyFill="0" applyBorder="0" applyAlignment="0" applyProtection="0"/>
    <xf numFmtId="235" fontId="29" fillId="0" borderId="0" applyFont="0" applyFill="0" applyBorder="0" applyAlignment="0" applyProtection="0"/>
    <xf numFmtId="202" fontId="50" fillId="0" borderId="0" applyFont="0" applyFill="0" applyBorder="0" applyAlignment="0" applyProtection="0"/>
    <xf numFmtId="215" fontId="25" fillId="0" borderId="0" applyFont="0" applyFill="0" applyBorder="0" applyAlignment="0"/>
    <xf numFmtId="204" fontId="50" fillId="0" borderId="0" applyFont="0" applyFill="0" applyBorder="0" applyAlignment="0" applyProtection="0"/>
    <xf numFmtId="0" fontId="33" fillId="0" borderId="0" applyFont="0" applyFill="0" applyBorder="0" applyAlignment="0" applyProtection="0">
      <alignment horizontal="right"/>
    </xf>
    <xf numFmtId="321" fontId="76" fillId="0" borderId="0" applyFont="0" applyFill="0" applyBorder="0" applyAlignment="0" applyProtection="0"/>
    <xf numFmtId="165" fontId="25" fillId="28" borderId="0" applyFont="0" applyBorder="0" applyAlignment="0" applyProtection="0">
      <alignment horizontal="right"/>
      <protection hidden="1"/>
    </xf>
    <xf numFmtId="0" fontId="51" fillId="0" borderId="0" applyNumberFormat="0" applyAlignment="0">
      <alignment vertical="center"/>
    </xf>
    <xf numFmtId="0" fontId="38" fillId="0" borderId="19" applyBorder="0" applyAlignment="0" applyProtection="0">
      <alignment horizontal="center"/>
    </xf>
    <xf numFmtId="0" fontId="9" fillId="0" borderId="19" applyBorder="0" applyAlignment="0" applyProtection="0">
      <alignment horizontal="center"/>
    </xf>
    <xf numFmtId="0" fontId="157" fillId="8" borderId="0" applyNumberFormat="0" applyBorder="0" applyAlignment="0" applyProtection="0"/>
    <xf numFmtId="37" fontId="106" fillId="0" borderId="0"/>
    <xf numFmtId="0" fontId="25" fillId="0" borderId="0"/>
    <xf numFmtId="322" fontId="25" fillId="0" borderId="0"/>
    <xf numFmtId="1" fontId="107" fillId="0" borderId="0" applyFill="0" applyBorder="0"/>
    <xf numFmtId="38" fontId="39" fillId="0" borderId="0" applyFont="0" applyFill="0" applyBorder="0" applyAlignment="0"/>
    <xf numFmtId="245" fontId="25" fillId="0" borderId="0" applyFont="0" applyFill="0" applyBorder="0" applyAlignment="0"/>
    <xf numFmtId="40" fontId="39" fillId="0" borderId="0" applyFont="0" applyFill="0" applyBorder="0" applyAlignment="0"/>
    <xf numFmtId="250" fontId="25" fillId="0" borderId="0" applyFont="0" applyFill="0" applyBorder="0" applyAlignment="0"/>
    <xf numFmtId="0" fontId="25" fillId="0" borderId="0"/>
    <xf numFmtId="0" fontId="25" fillId="0" borderId="0"/>
    <xf numFmtId="0" fontId="252" fillId="0" borderId="0"/>
    <xf numFmtId="0" fontId="252"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169" fillId="0" borderId="0"/>
    <xf numFmtId="0" fontId="25" fillId="0" borderId="0"/>
    <xf numFmtId="0" fontId="4" fillId="0" borderId="0"/>
    <xf numFmtId="0" fontId="253" fillId="0" borderId="0"/>
    <xf numFmtId="0" fontId="254"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 fillId="0" borderId="0"/>
    <xf numFmtId="0" fontId="255"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170" fillId="0" borderId="0"/>
    <xf numFmtId="0" fontId="256"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170" fillId="0" borderId="0"/>
    <xf numFmtId="0" fontId="25" fillId="0" borderId="0"/>
    <xf numFmtId="0" fontId="25" fillId="0" borderId="0"/>
    <xf numFmtId="0" fontId="25" fillId="0" borderId="0"/>
    <xf numFmtId="0" fontId="25" fillId="0" borderId="0"/>
    <xf numFmtId="245" fontId="84" fillId="0" borderId="0" applyNumberFormat="0" applyFill="0" applyBorder="0" applyAlignment="0" applyProtection="0"/>
    <xf numFmtId="0" fontId="39" fillId="0" borderId="0" applyFont="0" applyFill="0" applyBorder="0" applyAlignment="0" applyProtection="0"/>
    <xf numFmtId="0" fontId="25" fillId="0" borderId="0"/>
    <xf numFmtId="0" fontId="39" fillId="0" borderId="0"/>
    <xf numFmtId="0" fontId="39" fillId="0" borderId="0"/>
    <xf numFmtId="0" fontId="25" fillId="0" borderId="0"/>
    <xf numFmtId="0" fontId="4" fillId="0" borderId="0"/>
    <xf numFmtId="0" fontId="25" fillId="0" borderId="0"/>
    <xf numFmtId="0" fontId="7" fillId="0" borderId="0"/>
    <xf numFmtId="0" fontId="1" fillId="0" borderId="0"/>
    <xf numFmtId="0" fontId="29" fillId="0" borderId="0"/>
    <xf numFmtId="207" fontId="78" fillId="0" borderId="0" applyFill="0" applyBorder="0" applyAlignment="0" applyProtection="0"/>
    <xf numFmtId="207" fontId="7" fillId="0" borderId="0" applyFill="0" applyBorder="0" applyAlignment="0" applyProtection="0"/>
    <xf numFmtId="0" fontId="25" fillId="0" borderId="0"/>
    <xf numFmtId="172" fontId="25" fillId="0" borderId="0"/>
    <xf numFmtId="37" fontId="108" fillId="0" borderId="0" applyNumberFormat="0" applyFont="0" applyFill="0" applyBorder="0" applyAlignment="0" applyProtection="0"/>
    <xf numFmtId="0" fontId="39" fillId="0" borderId="0" applyNumberFormat="0" applyFill="0" applyBorder="0" applyAlignment="0" applyProtection="0">
      <alignment vertical="center"/>
    </xf>
    <xf numFmtId="0" fontId="53" fillId="0" borderId="15"/>
    <xf numFmtId="251" fontId="25" fillId="0" borderId="0" applyFont="0" applyFill="0" applyBorder="0" applyAlignment="0" applyProtection="0"/>
    <xf numFmtId="173" fontId="27" fillId="0" borderId="0" applyFont="0" applyFill="0" applyBorder="0" applyAlignment="0" applyProtection="0">
      <alignment vertical="center"/>
    </xf>
    <xf numFmtId="174" fontId="27" fillId="0" borderId="0" applyFont="0" applyFill="0" applyBorder="0" applyAlignment="0" applyProtection="0">
      <alignment vertical="center"/>
    </xf>
    <xf numFmtId="38" fontId="7" fillId="0" borderId="20" applyFont="0" applyFill="0" applyBorder="0" applyAlignment="0" applyProtection="0"/>
    <xf numFmtId="220" fontId="25"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217" fontId="52" fillId="38" borderId="3" applyFont="0" applyBorder="0"/>
    <xf numFmtId="165" fontId="109" fillId="0" borderId="0"/>
    <xf numFmtId="0" fontId="25" fillId="0" borderId="6">
      <alignment vertical="center" wrapText="1"/>
    </xf>
    <xf numFmtId="0" fontId="27" fillId="39" borderId="0" applyNumberFormat="0" applyFont="0" applyBorder="0" applyAlignment="0" applyProtection="0">
      <alignment vertical="center"/>
    </xf>
    <xf numFmtId="0" fontId="25" fillId="0" borderId="0">
      <alignment horizontal="left"/>
    </xf>
    <xf numFmtId="0" fontId="156" fillId="0" borderId="0"/>
    <xf numFmtId="0" fontId="110" fillId="0" borderId="21" applyNumberFormat="0" applyAlignment="0" applyProtection="0"/>
    <xf numFmtId="0" fontId="30" fillId="0" borderId="21" applyNumberFormat="0" applyAlignment="0" applyProtection="0"/>
    <xf numFmtId="0" fontId="78" fillId="21" borderId="0" applyNumberFormat="0" applyFont="0" applyBorder="0" applyAlignment="0" applyProtection="0"/>
    <xf numFmtId="0" fontId="7" fillId="21" borderId="0" applyNumberFormat="0" applyFont="0" applyBorder="0" applyAlignment="0" applyProtection="0"/>
    <xf numFmtId="0" fontId="39" fillId="22" borderId="15" applyNumberFormat="0" applyFont="0" applyBorder="0" applyAlignment="0" applyProtection="0">
      <alignment horizontal="center"/>
    </xf>
    <xf numFmtId="0" fontId="39" fillId="40" borderId="15" applyNumberFormat="0" applyFont="0" applyBorder="0" applyAlignment="0" applyProtection="0">
      <alignment horizontal="center"/>
    </xf>
    <xf numFmtId="0" fontId="78" fillId="0" borderId="22" applyNumberFormat="0" applyAlignment="0" applyProtection="0"/>
    <xf numFmtId="0" fontId="7" fillId="0" borderId="22" applyNumberFormat="0" applyAlignment="0" applyProtection="0"/>
    <xf numFmtId="0" fontId="78" fillId="0" borderId="23" applyNumberFormat="0" applyAlignment="0" applyProtection="0"/>
    <xf numFmtId="0" fontId="7" fillId="0" borderId="23" applyNumberFormat="0" applyAlignment="0" applyProtection="0"/>
    <xf numFmtId="0" fontId="110" fillId="0" borderId="24" applyNumberFormat="0" applyAlignment="0" applyProtection="0"/>
    <xf numFmtId="0" fontId="30" fillId="0" borderId="24" applyNumberFormat="0" applyAlignment="0" applyProtection="0"/>
    <xf numFmtId="0" fontId="9" fillId="0" borderId="9">
      <alignment vertical="center"/>
    </xf>
    <xf numFmtId="0" fontId="39" fillId="0" borderId="0"/>
    <xf numFmtId="164" fontId="111" fillId="0" borderId="0" applyFill="0" applyBorder="0" applyProtection="0">
      <alignment vertical="top"/>
    </xf>
    <xf numFmtId="164" fontId="186" fillId="0" borderId="0" applyFill="0" applyBorder="0" applyProtection="0">
      <alignment vertical="top"/>
    </xf>
    <xf numFmtId="14" fontId="76" fillId="0" borderId="0">
      <alignment horizontal="center" wrapText="1"/>
      <protection locked="0"/>
    </xf>
    <xf numFmtId="9" fontId="1" fillId="0" borderId="0" applyFont="0" applyFill="0" applyBorder="0" applyAlignment="0" applyProtection="0"/>
    <xf numFmtId="0" fontId="29" fillId="0" borderId="0" applyFont="0" applyFill="0" applyBorder="0" applyAlignment="0" applyProtection="0"/>
    <xf numFmtId="164" fontId="112" fillId="0" borderId="0" applyFont="0" applyFill="0" applyBorder="0" applyAlignment="0" applyProtection="0"/>
    <xf numFmtId="10" fontId="112" fillId="0" borderId="0" applyFont="0" applyFill="0" applyBorder="0" applyAlignment="0" applyProtection="0"/>
    <xf numFmtId="0" fontId="25" fillId="0" borderId="0" applyFont="0" applyFill="0" applyBorder="0" applyAlignment="0"/>
    <xf numFmtId="249" fontId="25" fillId="0" borderId="0" applyFont="0" applyFill="0" applyBorder="0" applyAlignment="0"/>
    <xf numFmtId="252" fontId="25" fillId="25" borderId="0" applyFont="0" applyFill="0" applyBorder="0" applyAlignment="0" applyProtection="0"/>
    <xf numFmtId="9" fontId="7" fillId="0" borderId="0"/>
    <xf numFmtId="10" fontId="7" fillId="0" borderId="0"/>
    <xf numFmtId="9" fontId="7" fillId="0" borderId="0"/>
    <xf numFmtId="9" fontId="207" fillId="0" borderId="0" applyFont="0" applyFill="0" applyBorder="0" applyAlignment="0" applyProtection="0"/>
    <xf numFmtId="9" fontId="141" fillId="0" borderId="0" applyFont="0" applyFill="0" applyBorder="0" applyAlignment="0" applyProtection="0"/>
    <xf numFmtId="9" fontId="207" fillId="0" borderId="0" applyFont="0" applyFill="0" applyBorder="0" applyAlignment="0" applyProtection="0"/>
    <xf numFmtId="9" fontId="141" fillId="0" borderId="0" applyFont="0" applyFill="0" applyBorder="0" applyAlignment="0" applyProtection="0"/>
    <xf numFmtId="9" fontId="207" fillId="0" borderId="0" applyFont="0" applyFill="0" applyBorder="0" applyAlignment="0" applyProtection="0"/>
    <xf numFmtId="9" fontId="141" fillId="0" borderId="0" applyFont="0" applyFill="0" applyBorder="0" applyAlignment="0" applyProtection="0"/>
    <xf numFmtId="9" fontId="207" fillId="0" borderId="0" applyFont="0" applyFill="0" applyBorder="0" applyAlignment="0" applyProtection="0"/>
    <xf numFmtId="9" fontId="141" fillId="0" borderId="0" applyFont="0" applyFill="0" applyBorder="0" applyAlignment="0" applyProtection="0"/>
    <xf numFmtId="9" fontId="207"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170"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0"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170"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4"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218" fillId="0" borderId="0" applyFont="0" applyFill="0" applyBorder="0" applyAlignment="0" applyProtection="0"/>
    <xf numFmtId="9" fontId="141"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229" fillId="0" borderId="0" applyFont="0" applyFill="0" applyBorder="0" applyAlignment="0" applyProtection="0"/>
    <xf numFmtId="9" fontId="141" fillId="0" borderId="0" applyFont="0" applyFill="0" applyBorder="0" applyAlignment="0" applyProtection="0"/>
    <xf numFmtId="9" fontId="229" fillId="0" borderId="0" applyFont="0" applyFill="0" applyBorder="0" applyAlignment="0" applyProtection="0"/>
    <xf numFmtId="9" fontId="141" fillId="0" borderId="0" applyFont="0" applyFill="0" applyBorder="0" applyAlignment="0" applyProtection="0"/>
    <xf numFmtId="9" fontId="229" fillId="0" borderId="0" applyFont="0" applyFill="0" applyBorder="0" applyAlignment="0" applyProtection="0"/>
    <xf numFmtId="9" fontId="141" fillId="0" borderId="0" applyFont="0" applyFill="0" applyBorder="0" applyAlignment="0" applyProtection="0"/>
    <xf numFmtId="9" fontId="229" fillId="0" borderId="0" applyFont="0" applyFill="0" applyBorder="0" applyAlignment="0" applyProtection="0"/>
    <xf numFmtId="9" fontId="141" fillId="0" borderId="0" applyFont="0" applyFill="0" applyBorder="0" applyAlignment="0" applyProtection="0"/>
    <xf numFmtId="9" fontId="243" fillId="0" borderId="0" applyFont="0" applyFill="0" applyBorder="0" applyAlignment="0" applyProtection="0"/>
    <xf numFmtId="9" fontId="141" fillId="0" borderId="0" applyFont="0" applyFill="0" applyBorder="0" applyAlignment="0" applyProtection="0"/>
    <xf numFmtId="9" fontId="244" fillId="0" borderId="0" applyFont="0" applyFill="0" applyBorder="0" applyAlignment="0" applyProtection="0"/>
    <xf numFmtId="9" fontId="248"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9" fontId="180" fillId="0" borderId="0" applyFont="0" applyFill="0" applyBorder="0" applyAlignment="0" applyProtection="0"/>
    <xf numFmtId="9" fontId="141" fillId="0" borderId="0" applyFont="0" applyFill="0" applyBorder="0" applyAlignment="0" applyProtection="0"/>
    <xf numFmtId="175" fontId="27" fillId="0" borderId="0" applyFont="0" applyFill="0" applyBorder="0" applyAlignment="0" applyProtection="0">
      <alignment horizontal="right" vertical="center"/>
    </xf>
    <xf numFmtId="176" fontId="27" fillId="0" borderId="0" applyFont="0" applyFill="0" applyBorder="0" applyAlignment="0" applyProtection="0">
      <alignment vertical="center"/>
    </xf>
    <xf numFmtId="218" fontId="7" fillId="0" borderId="0" applyFont="0" applyFill="0" applyBorder="0" applyAlignment="0" applyProtection="0"/>
    <xf numFmtId="194" fontId="29" fillId="0" borderId="0" applyFill="0" applyBorder="0">
      <alignment horizontal="right"/>
      <protection locked="0"/>
    </xf>
    <xf numFmtId="246" fontId="76" fillId="0" borderId="0" applyFont="0" applyFill="0" applyBorder="0" applyAlignment="0" applyProtection="0"/>
    <xf numFmtId="221" fontId="25" fillId="0" borderId="0" applyFont="0" applyFill="0" applyBorder="0" applyAlignment="0" applyProtection="0"/>
    <xf numFmtId="235" fontId="76" fillId="0" borderId="0" applyFont="0" applyFill="0" applyBorder="0" applyAlignment="0" applyProtection="0"/>
    <xf numFmtId="245" fontId="76" fillId="0" borderId="0" applyFont="0" applyFill="0" applyBorder="0" applyAlignment="0" applyProtection="0">
      <protection locked="0"/>
    </xf>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210" fontId="53" fillId="0" borderId="0" applyFill="0" applyBorder="0" applyAlignment="0" applyProtection="0"/>
    <xf numFmtId="209" fontId="25" fillId="0" borderId="0" applyFont="0" applyFill="0" applyBorder="0" applyAlignment="0"/>
    <xf numFmtId="9" fontId="50" fillId="0" borderId="0" applyFont="0" applyFill="0" applyBorder="0" applyAlignment="0" applyProtection="0"/>
    <xf numFmtId="245" fontId="76" fillId="0" borderId="0" applyFill="0" applyBorder="0" applyAlignment="0" applyProtection="0"/>
    <xf numFmtId="38" fontId="76" fillId="0" borderId="0" applyFont="0" applyFill="0" applyBorder="0" applyAlignment="0" applyProtection="0"/>
    <xf numFmtId="235" fontId="113" fillId="0" borderId="25">
      <alignment horizontal="right"/>
    </xf>
    <xf numFmtId="0" fontId="25" fillId="0" borderId="0">
      <alignment horizontal="right"/>
    </xf>
    <xf numFmtId="0" fontId="25" fillId="0" borderId="0"/>
    <xf numFmtId="253" fontId="25" fillId="0" borderId="0"/>
    <xf numFmtId="222" fontId="114" fillId="0" borderId="0"/>
    <xf numFmtId="222" fontId="187" fillId="0" borderId="0"/>
    <xf numFmtId="222" fontId="114" fillId="0" borderId="0"/>
    <xf numFmtId="253" fontId="25" fillId="0" borderId="0"/>
    <xf numFmtId="222" fontId="114" fillId="0" borderId="0"/>
    <xf numFmtId="222" fontId="187" fillId="0" borderId="0"/>
    <xf numFmtId="222" fontId="114" fillId="0" borderId="0"/>
    <xf numFmtId="222" fontId="114" fillId="0" borderId="0"/>
    <xf numFmtId="222" fontId="187" fillId="0" borderId="0"/>
    <xf numFmtId="222" fontId="114" fillId="0" borderId="0"/>
    <xf numFmtId="253" fontId="25" fillId="0" borderId="0"/>
    <xf numFmtId="222" fontId="114" fillId="0" borderId="0"/>
    <xf numFmtId="222" fontId="187" fillId="0" borderId="0"/>
    <xf numFmtId="222" fontId="114" fillId="0" borderId="0"/>
    <xf numFmtId="222" fontId="114" fillId="0" borderId="0"/>
    <xf numFmtId="222" fontId="187" fillId="0" borderId="0"/>
    <xf numFmtId="222" fontId="114" fillId="0" borderId="0"/>
    <xf numFmtId="222" fontId="114" fillId="0" borderId="0"/>
    <xf numFmtId="222" fontId="187" fillId="0" borderId="0"/>
    <xf numFmtId="222" fontId="114" fillId="0" borderId="0"/>
    <xf numFmtId="253" fontId="25" fillId="0" borderId="0"/>
    <xf numFmtId="222" fontId="114" fillId="0" borderId="0"/>
    <xf numFmtId="222" fontId="187" fillId="0" borderId="0"/>
    <xf numFmtId="222" fontId="114" fillId="0" borderId="0"/>
    <xf numFmtId="222" fontId="114" fillId="0" borderId="0"/>
    <xf numFmtId="222" fontId="187" fillId="0" borderId="0"/>
    <xf numFmtId="222" fontId="114" fillId="0" borderId="0"/>
    <xf numFmtId="253" fontId="25" fillId="0" borderId="0"/>
    <xf numFmtId="222" fontId="114" fillId="0" borderId="0"/>
    <xf numFmtId="222" fontId="187" fillId="0" borderId="0"/>
    <xf numFmtId="222" fontId="114" fillId="0" borderId="0"/>
    <xf numFmtId="222" fontId="114" fillId="0" borderId="0"/>
    <xf numFmtId="222" fontId="187" fillId="0" borderId="0"/>
    <xf numFmtId="222" fontId="114" fillId="0" borderId="0"/>
    <xf numFmtId="0" fontId="25" fillId="0" borderId="0"/>
    <xf numFmtId="0" fontId="25" fillId="0" borderId="0"/>
    <xf numFmtId="0" fontId="25" fillId="0" borderId="0"/>
    <xf numFmtId="197" fontId="29" fillId="0" borderId="0">
      <alignment horizontal="right"/>
      <protection locked="0"/>
    </xf>
    <xf numFmtId="245" fontId="115" fillId="0" borderId="0" applyNumberFormat="0" applyFill="0" applyBorder="0" applyAlignment="0" applyProtection="0">
      <alignment horizontal="left"/>
    </xf>
    <xf numFmtId="245" fontId="85" fillId="0" borderId="0" applyFont="0" applyFill="0" applyBorder="0" applyAlignment="0" applyProtection="0"/>
    <xf numFmtId="0" fontId="116" fillId="0" borderId="0" applyNumberFormat="0" applyFill="0" applyBorder="0" applyProtection="0">
      <alignment horizontal="right" vertical="center"/>
    </xf>
    <xf numFmtId="0" fontId="188" fillId="0" borderId="0" applyNumberFormat="0" applyFill="0" applyBorder="0" applyProtection="0">
      <alignment horizontal="right" vertical="center"/>
    </xf>
    <xf numFmtId="0" fontId="25" fillId="0" borderId="0">
      <alignment horizontal="right"/>
    </xf>
    <xf numFmtId="0" fontId="25" fillId="0" borderId="0">
      <alignment horizontal="right"/>
    </xf>
    <xf numFmtId="0" fontId="25" fillId="0" borderId="0" applyFill="0" applyBorder="0" applyProtection="0">
      <alignment horizontal="right"/>
    </xf>
    <xf numFmtId="0" fontId="25" fillId="0" borderId="0">
      <alignment horizontal="right"/>
    </xf>
    <xf numFmtId="0" fontId="7" fillId="0" borderId="26" applyNumberFormat="0" applyFont="0" applyFill="0" applyAlignment="0" applyProtection="0"/>
    <xf numFmtId="0" fontId="30" fillId="20" borderId="27" applyNumberFormat="0" applyBorder="0" applyProtection="0">
      <alignment horizontal="left" wrapText="1"/>
    </xf>
    <xf numFmtId="0" fontId="30" fillId="20" borderId="0" applyNumberFormat="0" applyBorder="0" applyProtection="0">
      <alignment horizontal="left"/>
    </xf>
    <xf numFmtId="0" fontId="117" fillId="2" borderId="0" applyFont="0" applyFill="0" applyAlignment="0"/>
    <xf numFmtId="0" fontId="31" fillId="0" borderId="0" applyNumberFormat="0" applyFill="0" applyBorder="0">
      <alignment horizontal="left" vertical="center" wrapText="1"/>
    </xf>
    <xf numFmtId="0" fontId="27" fillId="0" borderId="0" applyNumberFormat="0" applyFill="0" applyBorder="0">
      <alignment horizontal="left" vertical="center" wrapText="1" indent="1"/>
    </xf>
    <xf numFmtId="0" fontId="39" fillId="0" borderId="0" applyNumberFormat="0" applyFont="0" applyFill="0" applyBorder="0" applyAlignment="0" applyProtection="0"/>
    <xf numFmtId="0" fontId="118" fillId="2" borderId="0" applyNumberFormat="0" applyFont="0" applyFill="0" applyBorder="0" applyAlignment="0" applyProtection="0"/>
    <xf numFmtId="0" fontId="118" fillId="2" borderId="0" applyNumberFormat="0" applyFont="0" applyFill="0" applyBorder="0" applyAlignment="0" applyProtection="0"/>
    <xf numFmtId="0" fontId="118" fillId="2" borderId="0" applyNumberFormat="0" applyFont="0" applyFill="0" applyBorder="0" applyAlignment="0" applyProtection="0"/>
    <xf numFmtId="0" fontId="7" fillId="0" borderId="28" applyNumberFormat="0" applyFont="0" applyFill="0" applyAlignment="0" applyProtection="0"/>
    <xf numFmtId="0" fontId="118" fillId="2" borderId="0"/>
    <xf numFmtId="212" fontId="54" fillId="0" borderId="3" applyNumberFormat="0" applyFill="0" applyBorder="0">
      <protection locked="0"/>
    </xf>
    <xf numFmtId="0" fontId="25" fillId="0" borderId="29">
      <alignment vertical="center"/>
    </xf>
    <xf numFmtId="196" fontId="55" fillId="0" borderId="0" applyFill="0" applyBorder="0">
      <alignment horizontal="right"/>
      <protection hidden="1"/>
    </xf>
    <xf numFmtId="0" fontId="56" fillId="0" borderId="0" applyNumberFormat="0" applyFill="0" applyBorder="0" applyProtection="0">
      <alignment horizontal="left" vertical="center"/>
    </xf>
    <xf numFmtId="0" fontId="57" fillId="23" borderId="6">
      <alignment horizontal="center" vertical="center" wrapText="1"/>
      <protection hidden="1"/>
    </xf>
    <xf numFmtId="40" fontId="29" fillId="0" borderId="0" applyFont="0" applyFill="0" applyBorder="0" applyAlignment="0" applyProtection="0"/>
    <xf numFmtId="233" fontId="76" fillId="0" borderId="0" applyFill="0" applyBorder="0" applyAlignment="0" applyProtection="0">
      <protection locked="0"/>
    </xf>
    <xf numFmtId="0" fontId="80" fillId="0" borderId="0" applyFill="0" applyBorder="0" applyAlignment="0" applyProtection="0"/>
    <xf numFmtId="40" fontId="7" fillId="0" borderId="0" applyFont="0" applyFill="0" applyBorder="0" applyAlignment="0" applyProtection="0"/>
    <xf numFmtId="219" fontId="7" fillId="0" borderId="0" applyFont="0" applyFill="0" applyBorder="0" applyAlignment="0" applyProtection="0"/>
    <xf numFmtId="206" fontId="48" fillId="0" borderId="0" applyNumberFormat="0" applyFill="0" applyBorder="0" applyAlignment="0"/>
    <xf numFmtId="0" fontId="29" fillId="0" borderId="0"/>
    <xf numFmtId="0" fontId="7" fillId="0" borderId="0" applyFont="0" applyFill="0" applyBorder="0" applyAlignment="0" applyProtection="0"/>
    <xf numFmtId="0" fontId="39" fillId="21" borderId="0" applyNumberFormat="0" applyFont="0" applyBorder="0" applyAlignment="0">
      <protection hidden="1"/>
    </xf>
    <xf numFmtId="0" fontId="112" fillId="0" borderId="0"/>
    <xf numFmtId="0" fontId="25" fillId="0" borderId="0" applyFont="0" applyFill="0" applyBorder="0" applyAlignment="0" applyProtection="0"/>
    <xf numFmtId="0" fontId="25" fillId="0" borderId="0"/>
    <xf numFmtId="0" fontId="119" fillId="0" borderId="0" applyNumberFormat="0" applyFill="0" applyBorder="0" applyProtection="0">
      <alignment horizontal="left" vertical="center"/>
    </xf>
    <xf numFmtId="0" fontId="189" fillId="0" borderId="0" applyNumberFormat="0" applyFill="0" applyBorder="0" applyProtection="0">
      <alignment horizontal="left" vertical="center"/>
    </xf>
    <xf numFmtId="173" fontId="31" fillId="0" borderId="30" applyNumberFormat="0" applyFill="0" applyAlignment="0" applyProtection="0">
      <alignment vertical="center"/>
    </xf>
    <xf numFmtId="0" fontId="190" fillId="0" borderId="1" applyNumberFormat="0" applyFill="0" applyBorder="0" applyAlignment="0" applyProtection="0"/>
    <xf numFmtId="0" fontId="76" fillId="0" borderId="0"/>
    <xf numFmtId="173" fontId="27" fillId="0" borderId="31" applyNumberFormat="0" applyFont="0" applyFill="0" applyAlignment="0" applyProtection="0">
      <alignment vertical="center"/>
    </xf>
    <xf numFmtId="0" fontId="25" fillId="0" borderId="0">
      <alignment horizontal="left"/>
    </xf>
    <xf numFmtId="0" fontId="33" fillId="0" borderId="9" applyBorder="0" applyProtection="0">
      <alignment horizontal="right" vertical="center"/>
    </xf>
    <xf numFmtId="0" fontId="25" fillId="41" borderId="0" applyBorder="0" applyProtection="0">
      <alignment horizontal="centerContinuous" vertical="center"/>
    </xf>
    <xf numFmtId="0" fontId="25" fillId="17" borderId="9" applyBorder="0" applyProtection="0">
      <alignment horizontal="centerContinuous" vertical="center"/>
    </xf>
    <xf numFmtId="0" fontId="25" fillId="0" borderId="0" applyBorder="0" applyProtection="0">
      <alignment vertical="center"/>
    </xf>
    <xf numFmtId="207" fontId="39" fillId="0" borderId="0">
      <alignment horizontal="right"/>
    </xf>
    <xf numFmtId="3" fontId="39" fillId="0" borderId="0">
      <alignment horizontal="right"/>
    </xf>
    <xf numFmtId="0" fontId="27" fillId="28" borderId="0" applyNumberFormat="0" applyFont="0" applyBorder="0" applyAlignment="0" applyProtection="0">
      <alignment vertical="center"/>
    </xf>
    <xf numFmtId="0" fontId="25" fillId="0" borderId="0">
      <alignment horizontal="left"/>
    </xf>
    <xf numFmtId="0" fontId="25" fillId="0" borderId="0"/>
    <xf numFmtId="0" fontId="120" fillId="0" borderId="0">
      <alignment horizontal="centerContinuous"/>
    </xf>
    <xf numFmtId="0" fontId="27" fillId="0" borderId="0" applyNumberFormat="0" applyFont="0" applyFill="0" applyAlignment="0" applyProtection="0">
      <alignment vertical="center"/>
    </xf>
    <xf numFmtId="0" fontId="25" fillId="0" borderId="0"/>
    <xf numFmtId="173" fontId="27" fillId="0" borderId="0" applyNumberFormat="0" applyFont="0" applyBorder="0" applyAlignment="0" applyProtection="0">
      <alignment vertical="center"/>
    </xf>
    <xf numFmtId="0" fontId="25" fillId="2" borderId="32" applyNumberFormat="0" applyAlignment="0" applyProtection="0">
      <alignment vertical="center"/>
    </xf>
    <xf numFmtId="0" fontId="76" fillId="0" borderId="0"/>
    <xf numFmtId="0" fontId="121" fillId="0" borderId="0">
      <alignment horizontal="centerContinuous"/>
    </xf>
    <xf numFmtId="0" fontId="120" fillId="0" borderId="0">
      <alignment horizontal="centerContinuous"/>
    </xf>
    <xf numFmtId="0" fontId="25" fillId="34" borderId="0" applyNumberFormat="0" applyFont="0" applyBorder="0" applyAlignment="0" applyProtection="0"/>
    <xf numFmtId="49" fontId="33" fillId="0" borderId="9">
      <alignment vertical="center"/>
    </xf>
    <xf numFmtId="49" fontId="27" fillId="0" borderId="0" applyFont="0" applyFill="0" applyBorder="0" applyAlignment="0" applyProtection="0">
      <alignment horizontal="center" vertical="center"/>
    </xf>
    <xf numFmtId="0" fontId="25" fillId="0" borderId="0"/>
    <xf numFmtId="0" fontId="25" fillId="0" borderId="0"/>
    <xf numFmtId="0" fontId="25" fillId="0" borderId="0"/>
    <xf numFmtId="0" fontId="25" fillId="0" borderId="0"/>
    <xf numFmtId="0" fontId="25" fillId="0" borderId="0"/>
    <xf numFmtId="0" fontId="25" fillId="0" borderId="0"/>
    <xf numFmtId="254" fontId="25" fillId="0" borderId="0" applyFill="0" applyBorder="0" applyAlignment="0" applyProtection="0">
      <alignment horizontal="right"/>
    </xf>
    <xf numFmtId="323" fontId="84" fillId="0" borderId="0" applyBorder="0" applyProtection="0">
      <alignment horizontal="right"/>
    </xf>
    <xf numFmtId="1" fontId="85" fillId="0" borderId="33" applyFill="0" applyBorder="0" applyProtection="0">
      <alignment horizontal="right"/>
    </xf>
    <xf numFmtId="255" fontId="25" fillId="0" borderId="0"/>
    <xf numFmtId="0" fontId="78" fillId="0" borderId="0" applyNumberFormat="0" applyFill="0" applyBorder="0" applyAlignment="0" applyProtection="0"/>
    <xf numFmtId="0" fontId="7" fillId="0" borderId="0" applyNumberFormat="0" applyFill="0" applyBorder="0" applyAlignment="0" applyProtection="0"/>
    <xf numFmtId="0" fontId="35" fillId="0" borderId="0" applyNumberFormat="0" applyFill="0" applyBorder="0" applyAlignment="0" applyProtection="0"/>
    <xf numFmtId="223" fontId="114" fillId="0" borderId="0"/>
    <xf numFmtId="245" fontId="85" fillId="0" borderId="0" applyFill="0" applyBorder="0" applyAlignment="0" applyProtection="0"/>
    <xf numFmtId="0" fontId="30" fillId="20" borderId="5" applyNumberFormat="0" applyProtection="0">
      <alignment horizontal="left" vertical="center"/>
    </xf>
    <xf numFmtId="0" fontId="85" fillId="0" borderId="0" applyFill="0" applyBorder="0" applyProtection="0"/>
    <xf numFmtId="0" fontId="25" fillId="0" borderId="34"/>
    <xf numFmtId="245" fontId="96" fillId="0" borderId="35"/>
    <xf numFmtId="245" fontId="113" fillId="0" borderId="0" applyNumberFormat="0" applyFill="0" applyBorder="0" applyAlignment="0" applyProtection="0"/>
    <xf numFmtId="0" fontId="29" fillId="0" borderId="0" applyBorder="0"/>
    <xf numFmtId="212" fontId="23" fillId="0" borderId="0" applyNumberFormat="0" applyFill="0" applyBorder="0" applyAlignment="0"/>
    <xf numFmtId="0" fontId="25" fillId="0" borderId="0"/>
    <xf numFmtId="0" fontId="25" fillId="0" borderId="0"/>
    <xf numFmtId="0" fontId="25" fillId="0" borderId="0" applyNumberFormat="0" applyFont="0" applyFill="0" applyBorder="0" applyAlignment="0">
      <alignment horizontal="left" vertical="center"/>
    </xf>
    <xf numFmtId="226" fontId="62" fillId="0" borderId="36" applyNumberFormat="0" applyFont="0" applyFill="0" applyAlignment="0"/>
    <xf numFmtId="226" fontId="25" fillId="0" borderId="36" applyNumberFormat="0" applyFont="0" applyFill="0" applyAlignment="0"/>
    <xf numFmtId="173" fontId="31" fillId="0" borderId="0" applyNumberFormat="0" applyFill="0" applyBorder="0" applyAlignment="0" applyProtection="0">
      <alignment vertical="center"/>
    </xf>
    <xf numFmtId="0" fontId="31" fillId="21" borderId="0" applyNumberFormat="0" applyAlignment="0" applyProtection="0">
      <alignment horizontal="left" vertical="center" wrapText="1"/>
    </xf>
    <xf numFmtId="250" fontId="25" fillId="0" borderId="0" applyFont="0" applyFill="0" applyBorder="0" applyAlignment="0" applyProtection="0"/>
    <xf numFmtId="224" fontId="25" fillId="0" borderId="0" applyFont="0" applyFill="0" applyBorder="0" applyAlignment="0" applyProtection="0"/>
    <xf numFmtId="225" fontId="25" fillId="0" borderId="0" applyFont="0" applyFill="0" applyBorder="0" applyAlignment="0" applyProtection="0"/>
    <xf numFmtId="257" fontId="39" fillId="0" borderId="0" applyBorder="0" applyProtection="0">
      <alignment horizontal="right"/>
    </xf>
    <xf numFmtId="168" fontId="122" fillId="0" borderId="9" applyAlignment="0">
      <alignment horizontal="left"/>
      <protection locked="0"/>
    </xf>
    <xf numFmtId="0" fontId="27" fillId="0" borderId="0" applyNumberFormat="0" applyFont="0" applyBorder="0" applyAlignment="0" applyProtection="0">
      <alignment vertical="center"/>
    </xf>
    <xf numFmtId="0" fontId="25" fillId="0" borderId="0"/>
    <xf numFmtId="0" fontId="123" fillId="0" borderId="0"/>
    <xf numFmtId="0" fontId="27" fillId="0" borderId="0" applyNumberFormat="0" applyFont="0" applyAlignment="0" applyProtection="0">
      <alignment vertical="center"/>
    </xf>
    <xf numFmtId="263" fontId="25" fillId="0" borderId="0" applyNumberFormat="0"/>
    <xf numFmtId="256" fontId="25" fillId="0" borderId="0" applyFont="0" applyFill="0" applyBorder="0" applyAlignment="0" applyProtection="0"/>
    <xf numFmtId="0" fontId="158" fillId="0" borderId="0" applyNumberFormat="0" applyFill="0" applyBorder="0" applyAlignment="0" applyProtection="0"/>
    <xf numFmtId="0" fontId="124" fillId="0" borderId="0" applyNumberFormat="0" applyFont="0" applyFill="0" applyBorder="0" applyAlignment="0" applyProtection="0">
      <alignment horizontal="left"/>
    </xf>
    <xf numFmtId="0" fontId="125" fillId="0" borderId="0" applyNumberFormat="0" applyFill="0" applyBorder="0" applyAlignment="0" applyProtection="0"/>
    <xf numFmtId="1" fontId="76" fillId="0" borderId="0" applyFont="0" applyFill="0" applyBorder="0" applyAlignment="0" applyProtection="0"/>
    <xf numFmtId="0" fontId="191" fillId="0" borderId="1" applyNumberFormat="0" applyFill="0" applyBorder="0" applyAlignment="0" applyProtection="0"/>
    <xf numFmtId="0" fontId="192" fillId="0" borderId="1" applyNumberFormat="0" applyFill="0" applyBorder="0" applyAlignment="0" applyProtection="0"/>
    <xf numFmtId="0" fontId="193" fillId="0" borderId="1" applyNumberFormat="0" applyFill="0" applyBorder="0" applyAlignment="0" applyProtection="0"/>
    <xf numFmtId="0" fontId="7" fillId="20" borderId="0" applyNumberFormat="0" applyBorder="0" applyProtection="0">
      <alignment horizontal="left"/>
    </xf>
    <xf numFmtId="1" fontId="25" fillId="11" borderId="0"/>
    <xf numFmtId="0" fontId="80" fillId="0" borderId="0" applyFont="0" applyFill="0" applyBorder="0" applyAlignment="0" applyProtection="0"/>
    <xf numFmtId="40" fontId="126" fillId="0" borderId="0" applyFont="0" applyFill="0" applyBorder="0" applyAlignment="0" applyProtection="0"/>
    <xf numFmtId="38"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7" fillId="0" borderId="0"/>
    <xf numFmtId="0" fontId="128" fillId="0" borderId="0" applyFont="0" applyFill="0" applyBorder="0" applyAlignment="0" applyProtection="0"/>
    <xf numFmtId="0" fontId="128" fillId="0" borderId="0" applyFont="0" applyFill="0" applyBorder="0" applyAlignment="0" applyProtection="0"/>
    <xf numFmtId="257" fontId="25" fillId="0" borderId="0" applyFont="0" applyFill="0" applyBorder="0" applyAlignment="0" applyProtection="0"/>
    <xf numFmtId="0" fontId="128" fillId="0" borderId="0" applyFont="0" applyFill="0" applyBorder="0" applyAlignment="0" applyProtection="0"/>
    <xf numFmtId="0" fontId="129" fillId="0" borderId="0"/>
    <xf numFmtId="0" fontId="321" fillId="0" borderId="0"/>
  </cellStyleXfs>
  <cellXfs count="2581">
    <xf numFmtId="0" fontId="0" fillId="0" borderId="0" xfId="0"/>
    <xf numFmtId="0" fontId="0" fillId="0" borderId="0" xfId="4" quotePrefix="1" applyFont="1" applyAlignment="1">
      <alignment horizontal="right"/>
    </xf>
    <xf numFmtId="0" fontId="2" fillId="0" borderId="0" xfId="4" applyFont="1"/>
    <xf numFmtId="0" fontId="3" fillId="0" borderId="0" xfId="4" applyFont="1"/>
    <xf numFmtId="0" fontId="4" fillId="0" borderId="0" xfId="4" applyFont="1"/>
    <xf numFmtId="164" fontId="0" fillId="0" borderId="0" xfId="4" applyNumberFormat="1" applyFont="1"/>
    <xf numFmtId="0" fontId="0" fillId="0" borderId="0" xfId="4" applyFont="1" applyAlignment="1">
      <alignment horizontal="right"/>
    </xf>
    <xf numFmtId="165" fontId="0" fillId="0" borderId="0" xfId="4" applyNumberFormat="1" applyFont="1"/>
    <xf numFmtId="0" fontId="2" fillId="0" borderId="0" xfId="4" applyFont="1" applyAlignment="1">
      <alignment horizontal="right"/>
    </xf>
    <xf numFmtId="1" fontId="0" fillId="0" borderId="0" xfId="4" applyNumberFormat="1" applyFont="1"/>
    <xf numFmtId="1" fontId="2" fillId="0" borderId="0" xfId="4" applyNumberFormat="1" applyFont="1"/>
    <xf numFmtId="0" fontId="0" fillId="0" borderId="9" xfId="4" applyFont="1" applyBorder="1"/>
    <xf numFmtId="0" fontId="4" fillId="0" borderId="9" xfId="4" applyFont="1" applyBorder="1"/>
    <xf numFmtId="1" fontId="0" fillId="0" borderId="9" xfId="4" applyNumberFormat="1" applyFont="1" applyBorder="1"/>
    <xf numFmtId="165" fontId="0" fillId="0" borderId="9" xfId="4" applyNumberFormat="1" applyFont="1" applyBorder="1"/>
    <xf numFmtId="165" fontId="2" fillId="0" borderId="0" xfId="4" applyNumberFormat="1" applyFont="1"/>
    <xf numFmtId="9" fontId="0" fillId="0" borderId="0" xfId="4" applyNumberFormat="1" applyFont="1"/>
    <xf numFmtId="164" fontId="0" fillId="0" borderId="9" xfId="4" applyNumberFormat="1" applyFont="1" applyBorder="1"/>
    <xf numFmtId="164" fontId="2" fillId="0" borderId="0" xfId="4" applyNumberFormat="1" applyFont="1"/>
    <xf numFmtId="9" fontId="2" fillId="0" borderId="0" xfId="4" applyNumberFormat="1" applyFont="1"/>
    <xf numFmtId="9" fontId="0" fillId="0" borderId="9" xfId="4" applyNumberFormat="1" applyFont="1" applyBorder="1"/>
    <xf numFmtId="0" fontId="0" fillId="0" borderId="0" xfId="4" applyFont="1"/>
    <xf numFmtId="16" fontId="0" fillId="0" borderId="0" xfId="4" quotePrefix="1" applyNumberFormat="1" applyFont="1" applyAlignment="1">
      <alignment horizontal="right"/>
    </xf>
    <xf numFmtId="0" fontId="2" fillId="0" borderId="9" xfId="4" applyFont="1" applyBorder="1"/>
    <xf numFmtId="166" fontId="2" fillId="0" borderId="9" xfId="1901" applyNumberFormat="1" applyFont="1" applyBorder="1"/>
    <xf numFmtId="166" fontId="4" fillId="0" borderId="0" xfId="1901" applyNumberFormat="1" applyFont="1"/>
    <xf numFmtId="167" fontId="4" fillId="0" borderId="0" xfId="1901" applyNumberFormat="1" applyFont="1"/>
    <xf numFmtId="3" fontId="4" fillId="0" borderId="0" xfId="4" applyNumberFormat="1" applyFont="1"/>
    <xf numFmtId="3" fontId="2" fillId="0" borderId="0" xfId="4" applyNumberFormat="1" applyFont="1"/>
    <xf numFmtId="164" fontId="4" fillId="0" borderId="0" xfId="4" applyNumberFormat="1" applyFont="1"/>
    <xf numFmtId="3" fontId="4" fillId="25" borderId="0" xfId="4" applyNumberFormat="1" applyFont="1" applyFill="1"/>
    <xf numFmtId="1" fontId="4" fillId="0" borderId="0" xfId="4" applyNumberFormat="1" applyFont="1"/>
    <xf numFmtId="0" fontId="8" fillId="0" borderId="0" xfId="4" applyFont="1"/>
    <xf numFmtId="3" fontId="8" fillId="0" borderId="0" xfId="4" applyNumberFormat="1" applyFont="1"/>
    <xf numFmtId="0" fontId="4" fillId="0" borderId="33" xfId="4" applyFont="1" applyBorder="1"/>
    <xf numFmtId="165" fontId="4" fillId="0" borderId="0" xfId="4" applyNumberFormat="1" applyFont="1"/>
    <xf numFmtId="9" fontId="4" fillId="0" borderId="0" xfId="4" applyNumberFormat="1" applyFont="1"/>
    <xf numFmtId="3" fontId="4" fillId="0" borderId="9" xfId="4" applyNumberFormat="1" applyFont="1" applyBorder="1"/>
    <xf numFmtId="0" fontId="10" fillId="0" borderId="0" xfId="4" applyFont="1"/>
    <xf numFmtId="168" fontId="4" fillId="0" borderId="0" xfId="4" applyNumberFormat="1" applyFont="1"/>
    <xf numFmtId="169" fontId="4" fillId="0" borderId="0" xfId="4" applyNumberFormat="1" applyFont="1"/>
    <xf numFmtId="166" fontId="4" fillId="0" borderId="33" xfId="1901" applyNumberFormat="1" applyFont="1" applyBorder="1"/>
    <xf numFmtId="167" fontId="4" fillId="0" borderId="33" xfId="1901" applyNumberFormat="1" applyFont="1" applyBorder="1"/>
    <xf numFmtId="9" fontId="11" fillId="0" borderId="0" xfId="4" applyNumberFormat="1" applyFont="1"/>
    <xf numFmtId="164" fontId="4" fillId="25" borderId="0" xfId="4" applyNumberFormat="1" applyFont="1" applyFill="1"/>
    <xf numFmtId="0" fontId="4" fillId="25" borderId="0" xfId="4" applyFont="1" applyFill="1"/>
    <xf numFmtId="1" fontId="4" fillId="25" borderId="0" xfId="4" applyNumberFormat="1" applyFont="1" applyFill="1"/>
    <xf numFmtId="164" fontId="11" fillId="0" borderId="0" xfId="4" applyNumberFormat="1" applyFont="1"/>
    <xf numFmtId="0" fontId="2" fillId="0" borderId="0" xfId="1901" applyFont="1"/>
    <xf numFmtId="0" fontId="2" fillId="0" borderId="33" xfId="1901" applyFont="1" applyBorder="1"/>
    <xf numFmtId="0" fontId="4" fillId="0" borderId="0" xfId="1901" applyFont="1"/>
    <xf numFmtId="170" fontId="4" fillId="25" borderId="0" xfId="1901" applyNumberFormat="1" applyFont="1" applyFill="1"/>
    <xf numFmtId="170" fontId="4" fillId="0" borderId="0" xfId="1901" applyNumberFormat="1" applyFont="1"/>
    <xf numFmtId="164" fontId="4" fillId="0" borderId="0" xfId="1901" applyNumberFormat="1" applyFont="1"/>
    <xf numFmtId="164" fontId="4" fillId="25" borderId="0" xfId="1901" applyNumberFormat="1" applyFont="1" applyFill="1"/>
    <xf numFmtId="9" fontId="4" fillId="0" borderId="0" xfId="1901" applyNumberFormat="1" applyFont="1"/>
    <xf numFmtId="171" fontId="4" fillId="0" borderId="0" xfId="1901" applyNumberFormat="1" applyFont="1"/>
    <xf numFmtId="0" fontId="4" fillId="0" borderId="9" xfId="1901" applyFont="1" applyBorder="1"/>
    <xf numFmtId="170" fontId="4" fillId="25" borderId="9" xfId="1901" applyNumberFormat="1" applyFont="1" applyFill="1" applyBorder="1"/>
    <xf numFmtId="9" fontId="12" fillId="0" borderId="0" xfId="1901" applyNumberFormat="1" applyFont="1"/>
    <xf numFmtId="9" fontId="12" fillId="0" borderId="9" xfId="1901" applyNumberFormat="1" applyFont="1" applyBorder="1"/>
    <xf numFmtId="170" fontId="4" fillId="0" borderId="9" xfId="1901" applyNumberFormat="1" applyFont="1" applyBorder="1"/>
    <xf numFmtId="164" fontId="4" fillId="0" borderId="9" xfId="1901" applyNumberFormat="1" applyFont="1" applyBorder="1"/>
    <xf numFmtId="164" fontId="11" fillId="0" borderId="0" xfId="1901" applyNumberFormat="1" applyFont="1"/>
    <xf numFmtId="164" fontId="11" fillId="0" borderId="9" xfId="1901" applyNumberFormat="1" applyFont="1" applyBorder="1"/>
    <xf numFmtId="9" fontId="13" fillId="0" borderId="0" xfId="4" applyNumberFormat="1" applyFont="1"/>
    <xf numFmtId="9" fontId="13" fillId="0" borderId="9" xfId="4" applyNumberFormat="1" applyFont="1" applyBorder="1"/>
    <xf numFmtId="171" fontId="4" fillId="0" borderId="0" xfId="4" applyNumberFormat="1" applyFont="1"/>
    <xf numFmtId="164" fontId="13" fillId="0" borderId="0" xfId="4" applyNumberFormat="1" applyFont="1"/>
    <xf numFmtId="170" fontId="4" fillId="0" borderId="0" xfId="4" applyNumberFormat="1" applyFont="1"/>
    <xf numFmtId="9" fontId="4" fillId="25" borderId="0" xfId="4" applyNumberFormat="1" applyFont="1" applyFill="1"/>
    <xf numFmtId="170" fontId="2" fillId="25" borderId="0" xfId="1901" applyNumberFormat="1" applyFont="1" applyFill="1"/>
    <xf numFmtId="170" fontId="2" fillId="0" borderId="0" xfId="1901" applyNumberFormat="1" applyFont="1"/>
    <xf numFmtId="9" fontId="0" fillId="25" borderId="0" xfId="4" applyNumberFormat="1" applyFont="1" applyFill="1"/>
    <xf numFmtId="0" fontId="4" fillId="0" borderId="9" xfId="1901" applyFont="1" applyBorder="1" applyAlignment="1">
      <alignment horizontal="left"/>
    </xf>
    <xf numFmtId="164" fontId="4" fillId="25" borderId="39" xfId="1901" applyNumberFormat="1" applyFont="1" applyFill="1" applyBorder="1"/>
    <xf numFmtId="164" fontId="4" fillId="25" borderId="36" xfId="1901" applyNumberFormat="1" applyFont="1" applyFill="1" applyBorder="1"/>
    <xf numFmtId="164" fontId="4" fillId="25" borderId="40" xfId="1901" applyNumberFormat="1" applyFont="1" applyFill="1" applyBorder="1"/>
    <xf numFmtId="164" fontId="4" fillId="25" borderId="9" xfId="1901" applyNumberFormat="1" applyFont="1" applyFill="1" applyBorder="1"/>
    <xf numFmtId="164" fontId="4" fillId="25" borderId="41" xfId="1901" applyNumberFormat="1" applyFont="1" applyFill="1" applyBorder="1"/>
    <xf numFmtId="164" fontId="4" fillId="25" borderId="42" xfId="1901" applyNumberFormat="1" applyFont="1" applyFill="1" applyBorder="1"/>
    <xf numFmtId="170" fontId="4" fillId="25" borderId="39" xfId="1901" applyNumberFormat="1" applyFont="1" applyFill="1" applyBorder="1"/>
    <xf numFmtId="170" fontId="4" fillId="25" borderId="36" xfId="1901" applyNumberFormat="1" applyFont="1" applyFill="1" applyBorder="1"/>
    <xf numFmtId="170" fontId="4" fillId="25" borderId="41" xfId="1901" applyNumberFormat="1" applyFont="1" applyFill="1" applyBorder="1"/>
    <xf numFmtId="170" fontId="4" fillId="25" borderId="40" xfId="1901" applyNumberFormat="1" applyFont="1" applyFill="1" applyBorder="1"/>
    <xf numFmtId="170" fontId="4" fillId="25" borderId="42" xfId="1901" applyNumberFormat="1" applyFont="1" applyFill="1" applyBorder="1"/>
    <xf numFmtId="0" fontId="13" fillId="0" borderId="0" xfId="4" applyFont="1"/>
    <xf numFmtId="1" fontId="0" fillId="25" borderId="9" xfId="4" applyNumberFormat="1" applyFont="1" applyFill="1" applyBorder="1"/>
    <xf numFmtId="3" fontId="0" fillId="0" borderId="0" xfId="4" applyNumberFormat="1" applyFont="1"/>
    <xf numFmtId="3" fontId="0" fillId="0" borderId="9" xfId="4" applyNumberFormat="1" applyFont="1" applyBorder="1"/>
    <xf numFmtId="165" fontId="4" fillId="25" borderId="0" xfId="4" applyNumberFormat="1" applyFont="1" applyFill="1"/>
    <xf numFmtId="1" fontId="11" fillId="0" borderId="0" xfId="4" applyNumberFormat="1" applyFont="1"/>
    <xf numFmtId="9" fontId="8" fillId="0" borderId="0" xfId="4" applyNumberFormat="1" applyFont="1"/>
    <xf numFmtId="1" fontId="4" fillId="0" borderId="9" xfId="4" applyNumberFormat="1" applyFont="1" applyBorder="1"/>
    <xf numFmtId="0" fontId="0" fillId="0" borderId="33" xfId="4" applyFont="1" applyBorder="1"/>
    <xf numFmtId="1" fontId="0" fillId="0" borderId="33" xfId="4" applyNumberFormat="1" applyFont="1" applyBorder="1"/>
    <xf numFmtId="0" fontId="2" fillId="0" borderId="9" xfId="4" applyFont="1" applyBorder="1" applyAlignment="1">
      <alignment horizontal="right"/>
    </xf>
    <xf numFmtId="4" fontId="4" fillId="0" borderId="0" xfId="4" applyNumberFormat="1" applyFont="1"/>
    <xf numFmtId="0" fontId="4" fillId="0" borderId="0" xfId="4" applyFont="1" applyAlignment="1">
      <alignment horizontal="right"/>
    </xf>
    <xf numFmtId="0" fontId="4" fillId="0" borderId="9" xfId="4" applyFont="1" applyBorder="1" applyAlignment="1">
      <alignment horizontal="right"/>
    </xf>
    <xf numFmtId="164" fontId="13" fillId="0" borderId="9" xfId="4" applyNumberFormat="1" applyFont="1" applyBorder="1"/>
    <xf numFmtId="2" fontId="0" fillId="0" borderId="0" xfId="4" applyNumberFormat="1" applyFont="1"/>
    <xf numFmtId="0" fontId="2" fillId="25" borderId="0" xfId="4" applyFont="1" applyFill="1"/>
    <xf numFmtId="164" fontId="0" fillId="25" borderId="0" xfId="4" applyNumberFormat="1" applyFont="1" applyFill="1"/>
    <xf numFmtId="0" fontId="0" fillId="0" borderId="9" xfId="4" applyFont="1" applyBorder="1" applyAlignment="1">
      <alignment horizontal="right"/>
    </xf>
    <xf numFmtId="0" fontId="0" fillId="0" borderId="9" xfId="4" applyFont="1" applyBorder="1" applyAlignment="1">
      <alignment horizontal="left"/>
    </xf>
    <xf numFmtId="0" fontId="18" fillId="0" borderId="0" xfId="4" applyFont="1"/>
    <xf numFmtId="0" fontId="0" fillId="25" borderId="0" xfId="4" applyFont="1" applyFill="1"/>
    <xf numFmtId="0" fontId="2" fillId="0" borderId="43" xfId="4" applyFont="1" applyBorder="1"/>
    <xf numFmtId="0" fontId="0" fillId="25" borderId="6" xfId="4" applyFont="1" applyFill="1" applyBorder="1"/>
    <xf numFmtId="165" fontId="0" fillId="0" borderId="0" xfId="4" applyNumberFormat="1" applyFont="1" applyAlignment="1">
      <alignment horizontal="left"/>
    </xf>
    <xf numFmtId="2" fontId="4" fillId="0" borderId="0" xfId="4" applyNumberFormat="1" applyFont="1"/>
    <xf numFmtId="3" fontId="0" fillId="25" borderId="0" xfId="4" applyNumberFormat="1" applyFont="1" applyFill="1"/>
    <xf numFmtId="9" fontId="0" fillId="0" borderId="0" xfId="4" applyNumberFormat="1" applyFont="1" applyAlignment="1">
      <alignment horizontal="center"/>
    </xf>
    <xf numFmtId="0" fontId="0" fillId="0" borderId="9" xfId="4" applyFont="1" applyBorder="1" applyAlignment="1">
      <alignment horizontal="center"/>
    </xf>
    <xf numFmtId="0" fontId="0" fillId="0" borderId="0" xfId="4" applyFont="1" applyAlignment="1">
      <alignment horizontal="center"/>
    </xf>
    <xf numFmtId="12" fontId="0" fillId="0" borderId="0" xfId="4" applyNumberFormat="1" applyFont="1" applyAlignment="1">
      <alignment horizontal="center"/>
    </xf>
    <xf numFmtId="0" fontId="1" fillId="0" borderId="0" xfId="4" applyFont="1"/>
    <xf numFmtId="0" fontId="0" fillId="31" borderId="0" xfId="4" applyFont="1" applyFill="1"/>
    <xf numFmtId="164" fontId="4" fillId="25" borderId="0" xfId="1941" applyNumberFormat="1" applyFont="1" applyFill="1" applyBorder="1" applyAlignment="1"/>
    <xf numFmtId="0" fontId="2" fillId="0" borderId="42" xfId="4" applyFont="1" applyBorder="1" applyAlignment="1">
      <alignment horizontal="right"/>
    </xf>
    <xf numFmtId="1" fontId="0" fillId="0" borderId="20" xfId="4" applyNumberFormat="1" applyFont="1" applyBorder="1"/>
    <xf numFmtId="1" fontId="2" fillId="0" borderId="33" xfId="4" applyNumberFormat="1" applyFont="1" applyBorder="1"/>
    <xf numFmtId="1" fontId="2" fillId="0" borderId="44" xfId="4" applyNumberFormat="1" applyFont="1" applyBorder="1"/>
    <xf numFmtId="9" fontId="2" fillId="0" borderId="33" xfId="4" applyNumberFormat="1" applyFont="1" applyBorder="1"/>
    <xf numFmtId="9" fontId="2" fillId="0" borderId="44" xfId="4" applyNumberFormat="1" applyFont="1" applyBorder="1"/>
    <xf numFmtId="0" fontId="0" fillId="0" borderId="20" xfId="4" applyFont="1" applyBorder="1"/>
    <xf numFmtId="9" fontId="2" fillId="0" borderId="9" xfId="4" applyNumberFormat="1" applyFont="1" applyBorder="1"/>
    <xf numFmtId="165" fontId="0" fillId="25" borderId="0" xfId="4" applyNumberFormat="1" applyFont="1" applyFill="1"/>
    <xf numFmtId="0" fontId="0" fillId="0" borderId="0" xfId="4" quotePrefix="1" applyFont="1"/>
    <xf numFmtId="169" fontId="0" fillId="0" borderId="0" xfId="4" applyNumberFormat="1" applyFont="1"/>
    <xf numFmtId="169" fontId="4" fillId="0" borderId="0" xfId="1541" applyNumberFormat="1" applyFont="1"/>
    <xf numFmtId="0" fontId="4" fillId="0" borderId="0" xfId="1896" applyFont="1"/>
    <xf numFmtId="1" fontId="0" fillId="25" borderId="0" xfId="4" applyNumberFormat="1" applyFont="1" applyFill="1"/>
    <xf numFmtId="17" fontId="2" fillId="0" borderId="0" xfId="4" applyNumberFormat="1" applyFont="1"/>
    <xf numFmtId="9" fontId="0" fillId="0" borderId="0" xfId="4" applyNumberFormat="1" applyFont="1" applyAlignment="1">
      <alignment horizontal="right"/>
    </xf>
    <xf numFmtId="9" fontId="4" fillId="0" borderId="9" xfId="4" applyNumberFormat="1" applyFont="1" applyBorder="1"/>
    <xf numFmtId="0" fontId="4" fillId="0" borderId="0" xfId="4" quotePrefix="1" applyFont="1"/>
    <xf numFmtId="9" fontId="0" fillId="0" borderId="0" xfId="1941" applyFont="1"/>
    <xf numFmtId="9" fontId="0" fillId="0" borderId="0" xfId="4" quotePrefix="1" applyNumberFormat="1" applyFont="1"/>
    <xf numFmtId="9" fontId="3" fillId="0" borderId="0" xfId="4" applyNumberFormat="1" applyFont="1"/>
    <xf numFmtId="10" fontId="0" fillId="0" borderId="0" xfId="4" applyNumberFormat="1" applyFont="1"/>
    <xf numFmtId="1" fontId="2" fillId="0" borderId="0" xfId="4" applyNumberFormat="1" applyFont="1" applyAlignment="1">
      <alignment horizontal="right"/>
    </xf>
    <xf numFmtId="170" fontId="0" fillId="0" borderId="0" xfId="4" applyNumberFormat="1" applyFont="1"/>
    <xf numFmtId="0" fontId="15" fillId="0" borderId="0" xfId="1758" applyFont="1" applyFill="1" applyAlignment="1" applyProtection="1"/>
    <xf numFmtId="170" fontId="2" fillId="0" borderId="0" xfId="4" applyNumberFormat="1" applyFont="1"/>
    <xf numFmtId="169" fontId="2" fillId="0" borderId="0" xfId="4" applyNumberFormat="1" applyFont="1"/>
    <xf numFmtId="164" fontId="1" fillId="0" borderId="0" xfId="4" applyNumberFormat="1" applyFont="1"/>
    <xf numFmtId="164" fontId="0" fillId="0" borderId="0" xfId="1941" applyNumberFormat="1" applyFont="1"/>
    <xf numFmtId="1" fontId="8" fillId="0" borderId="0" xfId="4" applyNumberFormat="1" applyFont="1"/>
    <xf numFmtId="164" fontId="4" fillId="0" borderId="9" xfId="4" applyNumberFormat="1" applyFont="1" applyBorder="1"/>
    <xf numFmtId="9" fontId="12" fillId="0" borderId="0" xfId="4" applyNumberFormat="1" applyFont="1"/>
    <xf numFmtId="170" fontId="12" fillId="0" borderId="0" xfId="1901" applyNumberFormat="1" applyFont="1"/>
    <xf numFmtId="170" fontId="59" fillId="0" borderId="0" xfId="1901" applyNumberFormat="1" applyFont="1"/>
    <xf numFmtId="170" fontId="59" fillId="0" borderId="9" xfId="1901" applyNumberFormat="1" applyFont="1" applyBorder="1"/>
    <xf numFmtId="9" fontId="59" fillId="0" borderId="0" xfId="4" applyNumberFormat="1" applyFont="1"/>
    <xf numFmtId="0" fontId="58" fillId="0" borderId="0" xfId="4" applyFont="1"/>
    <xf numFmtId="164" fontId="12" fillId="0" borderId="0" xfId="1901" applyNumberFormat="1" applyFont="1"/>
    <xf numFmtId="164" fontId="59" fillId="0" borderId="0" xfId="1901" applyNumberFormat="1" applyFont="1"/>
    <xf numFmtId="164" fontId="59" fillId="0" borderId="0" xfId="4" applyNumberFormat="1" applyFont="1"/>
    <xf numFmtId="164" fontId="59" fillId="0" borderId="9" xfId="4" applyNumberFormat="1" applyFont="1" applyBorder="1"/>
    <xf numFmtId="9" fontId="4" fillId="0" borderId="0" xfId="4" applyNumberFormat="1" applyFont="1" applyAlignment="1">
      <alignment horizontal="right"/>
    </xf>
    <xf numFmtId="0" fontId="0" fillId="0" borderId="0" xfId="4" quotePrefix="1" applyFont="1" applyAlignment="1">
      <alignment horizontal="left"/>
    </xf>
    <xf numFmtId="0" fontId="0" fillId="0" borderId="0" xfId="4" applyFont="1" applyAlignment="1">
      <alignment horizontal="left"/>
    </xf>
    <xf numFmtId="0" fontId="0" fillId="0" borderId="9" xfId="4" quotePrefix="1" applyFont="1" applyBorder="1" applyAlignment="1">
      <alignment horizontal="left"/>
    </xf>
    <xf numFmtId="0" fontId="0" fillId="0" borderId="9" xfId="4" quotePrefix="1" applyFont="1" applyBorder="1"/>
    <xf numFmtId="17" fontId="0" fillId="0" borderId="9" xfId="4" quotePrefix="1" applyNumberFormat="1" applyFont="1" applyBorder="1"/>
    <xf numFmtId="164" fontId="2" fillId="0" borderId="9" xfId="4" applyNumberFormat="1" applyFont="1" applyBorder="1"/>
    <xf numFmtId="10" fontId="4" fillId="0" borderId="0" xfId="1901" applyNumberFormat="1" applyFont="1"/>
    <xf numFmtId="0" fontId="62" fillId="0" borderId="0" xfId="4" applyFont="1"/>
    <xf numFmtId="9" fontId="0" fillId="0" borderId="0" xfId="4" quotePrefix="1" applyNumberFormat="1" applyFont="1" applyAlignment="1">
      <alignment horizontal="right"/>
    </xf>
    <xf numFmtId="9" fontId="1" fillId="0" borderId="0" xfId="4" applyNumberFormat="1" applyFont="1"/>
    <xf numFmtId="168" fontId="0" fillId="0" borderId="0" xfId="4" applyNumberFormat="1" applyFont="1"/>
    <xf numFmtId="9" fontId="2" fillId="0" borderId="0" xfId="4" applyNumberFormat="1" applyFont="1" applyAlignment="1">
      <alignment horizontal="right"/>
    </xf>
    <xf numFmtId="0" fontId="63" fillId="43" borderId="0" xfId="4" applyFont="1" applyFill="1"/>
    <xf numFmtId="0" fontId="64" fillId="43" borderId="0" xfId="4" applyFont="1" applyFill="1"/>
    <xf numFmtId="1" fontId="13" fillId="0" borderId="0" xfId="4" applyNumberFormat="1" applyFont="1"/>
    <xf numFmtId="165" fontId="0" fillId="42" borderId="0" xfId="4" applyNumberFormat="1" applyFont="1" applyFill="1"/>
    <xf numFmtId="165" fontId="13" fillId="0" borderId="0" xfId="4" applyNumberFormat="1" applyFont="1"/>
    <xf numFmtId="0" fontId="0" fillId="25" borderId="9" xfId="4" applyFont="1" applyFill="1" applyBorder="1"/>
    <xf numFmtId="0" fontId="2" fillId="25" borderId="0" xfId="4" applyFont="1" applyFill="1" applyAlignment="1">
      <alignment horizontal="right"/>
    </xf>
    <xf numFmtId="1" fontId="2" fillId="25" borderId="0" xfId="4" applyNumberFormat="1" applyFont="1" applyFill="1"/>
    <xf numFmtId="9" fontId="2" fillId="25" borderId="0" xfId="1941" applyFont="1" applyFill="1"/>
    <xf numFmtId="165" fontId="0" fillId="25" borderId="9" xfId="4" applyNumberFormat="1" applyFont="1" applyFill="1" applyBorder="1"/>
    <xf numFmtId="0" fontId="2" fillId="25" borderId="9" xfId="4" applyFont="1" applyFill="1" applyBorder="1" applyAlignment="1">
      <alignment horizontal="right"/>
    </xf>
    <xf numFmtId="165" fontId="2" fillId="25" borderId="0" xfId="4" applyNumberFormat="1" applyFont="1" applyFill="1"/>
    <xf numFmtId="164" fontId="0" fillId="25" borderId="9" xfId="4" applyNumberFormat="1" applyFont="1" applyFill="1" applyBorder="1"/>
    <xf numFmtId="164" fontId="2" fillId="25" borderId="0" xfId="4" applyNumberFormat="1" applyFont="1" applyFill="1"/>
    <xf numFmtId="16" fontId="0" fillId="0" borderId="0" xfId="4" applyNumberFormat="1" applyFont="1" applyAlignment="1">
      <alignment horizontal="right"/>
    </xf>
    <xf numFmtId="2" fontId="2" fillId="0" borderId="0" xfId="4" applyNumberFormat="1" applyFont="1"/>
    <xf numFmtId="9" fontId="0" fillId="31" borderId="0" xfId="4" applyNumberFormat="1" applyFont="1" applyFill="1"/>
    <xf numFmtId="169" fontId="0" fillId="0" borderId="0" xfId="1541" applyNumberFormat="1" applyFont="1"/>
    <xf numFmtId="0" fontId="14" fillId="0" borderId="0" xfId="1758" applyAlignment="1" applyProtection="1"/>
    <xf numFmtId="0" fontId="61" fillId="0" borderId="0" xfId="4" applyFont="1"/>
    <xf numFmtId="0" fontId="2" fillId="0" borderId="0" xfId="4" applyFont="1" applyAlignment="1">
      <alignment horizontal="left"/>
    </xf>
    <xf numFmtId="171" fontId="2" fillId="0" borderId="6" xfId="4" applyNumberFormat="1" applyFont="1" applyBorder="1"/>
    <xf numFmtId="0" fontId="16" fillId="0" borderId="0" xfId="4" applyFont="1"/>
    <xf numFmtId="0" fontId="11" fillId="0" borderId="0" xfId="4" applyFont="1" applyAlignment="1">
      <alignment horizontal="right"/>
    </xf>
    <xf numFmtId="17" fontId="2" fillId="0" borderId="0" xfId="4" applyNumberFormat="1" applyFont="1" applyAlignment="1">
      <alignment horizontal="right"/>
    </xf>
    <xf numFmtId="16" fontId="0" fillId="0" borderId="0" xfId="4" applyNumberFormat="1" applyFont="1"/>
    <xf numFmtId="0" fontId="60" fillId="0" borderId="0" xfId="4" applyFont="1"/>
    <xf numFmtId="1" fontId="61" fillId="0" borderId="0" xfId="4" applyNumberFormat="1" applyFont="1"/>
    <xf numFmtId="165" fontId="61" fillId="0" borderId="0" xfId="4" applyNumberFormat="1" applyFont="1"/>
    <xf numFmtId="164" fontId="61" fillId="0" borderId="0" xfId="4" applyNumberFormat="1" applyFont="1"/>
    <xf numFmtId="43" fontId="4" fillId="0" borderId="0" xfId="4" applyNumberFormat="1" applyFont="1"/>
    <xf numFmtId="0" fontId="68" fillId="0" borderId="0" xfId="4" applyFont="1"/>
    <xf numFmtId="3" fontId="68" fillId="0" borderId="0" xfId="4" applyNumberFormat="1" applyFont="1"/>
    <xf numFmtId="9" fontId="0" fillId="0" borderId="20" xfId="4" applyNumberFormat="1" applyFont="1" applyBorder="1"/>
    <xf numFmtId="9" fontId="0" fillId="0" borderId="0" xfId="4" applyNumberFormat="1" applyFont="1" applyAlignment="1">
      <alignment horizontal="left"/>
    </xf>
    <xf numFmtId="0" fontId="12" fillId="0" borderId="0" xfId="4" applyFont="1"/>
    <xf numFmtId="17" fontId="3" fillId="0" borderId="0" xfId="4" applyNumberFormat="1" applyFont="1" applyAlignment="1">
      <alignment horizontal="left"/>
    </xf>
    <xf numFmtId="165" fontId="0" fillId="31" borderId="0" xfId="4" applyNumberFormat="1" applyFont="1" applyFill="1"/>
    <xf numFmtId="171" fontId="2" fillId="0" borderId="0" xfId="1901" applyNumberFormat="1" applyFont="1"/>
    <xf numFmtId="17" fontId="0" fillId="0" borderId="0" xfId="4" applyNumberFormat="1" applyFont="1"/>
    <xf numFmtId="0" fontId="70" fillId="0" borderId="0" xfId="4" applyFont="1"/>
    <xf numFmtId="1" fontId="0" fillId="0" borderId="42" xfId="4" applyNumberFormat="1" applyFont="1" applyBorder="1"/>
    <xf numFmtId="1" fontId="2" fillId="42" borderId="20" xfId="4" applyNumberFormat="1" applyFont="1" applyFill="1" applyBorder="1"/>
    <xf numFmtId="1" fontId="2" fillId="0" borderId="20" xfId="4" applyNumberFormat="1" applyFont="1" applyBorder="1"/>
    <xf numFmtId="1" fontId="2" fillId="0" borderId="9" xfId="4" applyNumberFormat="1" applyFont="1" applyBorder="1"/>
    <xf numFmtId="17" fontId="0" fillId="0" borderId="0" xfId="4" quotePrefix="1" applyNumberFormat="1" applyFont="1"/>
    <xf numFmtId="0" fontId="2" fillId="0" borderId="9" xfId="4" applyFont="1" applyBorder="1" applyAlignment="1">
      <alignment horizontal="left"/>
    </xf>
    <xf numFmtId="9" fontId="2" fillId="0" borderId="0" xfId="1541" applyNumberFormat="1" applyFont="1"/>
    <xf numFmtId="164" fontId="4" fillId="0" borderId="0" xfId="4" applyNumberFormat="1" applyFont="1" applyAlignment="1">
      <alignment horizontal="right"/>
    </xf>
    <xf numFmtId="0" fontId="131" fillId="0" borderId="0" xfId="4" applyFont="1"/>
    <xf numFmtId="0" fontId="130" fillId="0" borderId="9" xfId="4" applyFont="1" applyBorder="1"/>
    <xf numFmtId="0" fontId="131" fillId="0" borderId="9" xfId="4" applyFont="1" applyBorder="1"/>
    <xf numFmtId="9" fontId="131" fillId="0" borderId="9" xfId="4" applyNumberFormat="1" applyFont="1" applyBorder="1" applyAlignment="1">
      <alignment horizontal="right"/>
    </xf>
    <xf numFmtId="1" fontId="131" fillId="0" borderId="0" xfId="4" applyNumberFormat="1" applyFont="1"/>
    <xf numFmtId="9" fontId="131" fillId="0" borderId="0" xfId="4" applyNumberFormat="1" applyFont="1"/>
    <xf numFmtId="164" fontId="131" fillId="0" borderId="9" xfId="4" applyNumberFormat="1" applyFont="1" applyBorder="1"/>
    <xf numFmtId="0" fontId="132" fillId="0" borderId="0" xfId="4" applyFont="1"/>
    <xf numFmtId="0" fontId="65" fillId="0" borderId="0" xfId="4" applyFont="1" applyAlignment="1">
      <alignment horizontal="right"/>
    </xf>
    <xf numFmtId="0" fontId="130" fillId="0" borderId="0" xfId="4" applyFont="1" applyAlignment="1">
      <alignment horizontal="right"/>
    </xf>
    <xf numFmtId="9" fontId="130" fillId="0" borderId="0" xfId="4" applyNumberFormat="1" applyFont="1" applyAlignment="1">
      <alignment horizontal="right"/>
    </xf>
    <xf numFmtId="9" fontId="131" fillId="0" borderId="33" xfId="4" applyNumberFormat="1" applyFont="1" applyBorder="1" applyAlignment="1">
      <alignment horizontal="right"/>
    </xf>
    <xf numFmtId="0" fontId="130" fillId="0" borderId="9" xfId="4" applyFont="1" applyBorder="1" applyAlignment="1">
      <alignment horizontal="left"/>
    </xf>
    <xf numFmtId="9" fontId="130" fillId="0" borderId="33" xfId="4" applyNumberFormat="1" applyFont="1" applyBorder="1" applyAlignment="1">
      <alignment horizontal="left"/>
    </xf>
    <xf numFmtId="0" fontId="4" fillId="43" borderId="0" xfId="4" applyFont="1" applyFill="1"/>
    <xf numFmtId="9" fontId="4" fillId="31" borderId="0" xfId="4" applyNumberFormat="1" applyFont="1" applyFill="1"/>
    <xf numFmtId="43" fontId="4" fillId="31" borderId="0" xfId="1541" applyFont="1" applyFill="1"/>
    <xf numFmtId="172" fontId="4" fillId="0" borderId="0" xfId="1541" applyNumberFormat="1" applyFont="1"/>
    <xf numFmtId="43" fontId="4" fillId="31" borderId="0" xfId="4" applyNumberFormat="1" applyFont="1" applyFill="1"/>
    <xf numFmtId="164" fontId="4" fillId="31" borderId="0" xfId="4" applyNumberFormat="1" applyFont="1" applyFill="1"/>
    <xf numFmtId="0" fontId="21" fillId="0" borderId="0" xfId="4" applyFont="1"/>
    <xf numFmtId="9" fontId="21" fillId="0" borderId="0" xfId="4" applyNumberFormat="1" applyFont="1"/>
    <xf numFmtId="0" fontId="65" fillId="0" borderId="9" xfId="4" applyFont="1" applyBorder="1"/>
    <xf numFmtId="0" fontId="65" fillId="0" borderId="9" xfId="4" applyFont="1" applyBorder="1" applyAlignment="1">
      <alignment horizontal="right"/>
    </xf>
    <xf numFmtId="165" fontId="132" fillId="0" borderId="0" xfId="4" applyNumberFormat="1" applyFont="1"/>
    <xf numFmtId="164" fontId="132" fillId="0" borderId="0" xfId="4" applyNumberFormat="1" applyFont="1"/>
    <xf numFmtId="0" fontId="132" fillId="0" borderId="9" xfId="4" applyFont="1" applyBorder="1"/>
    <xf numFmtId="9" fontId="60" fillId="0" borderId="0" xfId="4" applyNumberFormat="1" applyFont="1"/>
    <xf numFmtId="16" fontId="60" fillId="0" borderId="0" xfId="4" quotePrefix="1" applyNumberFormat="1" applyFont="1"/>
    <xf numFmtId="0" fontId="0" fillId="40" borderId="0" xfId="4" applyFont="1" applyFill="1"/>
    <xf numFmtId="1" fontId="132" fillId="0" borderId="0" xfId="4" applyNumberFormat="1" applyFont="1" applyAlignment="1">
      <alignment horizontal="right"/>
    </xf>
    <xf numFmtId="9" fontId="132" fillId="0" borderId="0" xfId="4" applyNumberFormat="1" applyFont="1"/>
    <xf numFmtId="0" fontId="133" fillId="0" borderId="0" xfId="4" applyFont="1"/>
    <xf numFmtId="1" fontId="132" fillId="0" borderId="0" xfId="4" applyNumberFormat="1" applyFont="1"/>
    <xf numFmtId="1" fontId="132" fillId="0" borderId="9" xfId="4" applyNumberFormat="1" applyFont="1" applyBorder="1"/>
    <xf numFmtId="0" fontId="22" fillId="0" borderId="9" xfId="4" applyFont="1" applyBorder="1" applyAlignment="1">
      <alignment horizontal="left"/>
    </xf>
    <xf numFmtId="0" fontId="134" fillId="0" borderId="0" xfId="4" applyFont="1"/>
    <xf numFmtId="0" fontId="135" fillId="0" borderId="0" xfId="4" applyFont="1" applyAlignment="1">
      <alignment horizontal="right"/>
    </xf>
    <xf numFmtId="0" fontId="135" fillId="0" borderId="9" xfId="4" applyFont="1" applyBorder="1" applyAlignment="1">
      <alignment horizontal="right"/>
    </xf>
    <xf numFmtId="9" fontId="134" fillId="0" borderId="0" xfId="4" applyNumberFormat="1" applyFont="1"/>
    <xf numFmtId="9" fontId="1" fillId="25" borderId="0" xfId="4" applyNumberFormat="1" applyFont="1" applyFill="1"/>
    <xf numFmtId="169" fontId="0" fillId="43" borderId="0" xfId="4" applyNumberFormat="1" applyFont="1" applyFill="1"/>
    <xf numFmtId="164" fontId="1" fillId="25" borderId="0" xfId="4" applyNumberFormat="1" applyFont="1" applyFill="1"/>
    <xf numFmtId="169" fontId="4" fillId="25" borderId="0" xfId="4" applyNumberFormat="1" applyFont="1" applyFill="1"/>
    <xf numFmtId="9" fontId="16" fillId="0" borderId="0" xfId="4" applyNumberFormat="1" applyFont="1"/>
    <xf numFmtId="17" fontId="0" fillId="0" borderId="9" xfId="4" applyNumberFormat="1" applyFont="1" applyBorder="1"/>
    <xf numFmtId="165" fontId="131" fillId="0" borderId="0" xfId="4" applyNumberFormat="1" applyFont="1"/>
    <xf numFmtId="9" fontId="131" fillId="0" borderId="9" xfId="4" applyNumberFormat="1" applyFont="1" applyBorder="1"/>
    <xf numFmtId="0" fontId="130" fillId="0" borderId="9" xfId="4" applyFont="1" applyBorder="1" applyAlignment="1">
      <alignment horizontal="right"/>
    </xf>
    <xf numFmtId="1" fontId="58" fillId="0" borderId="0" xfId="4" applyNumberFormat="1" applyFont="1"/>
    <xf numFmtId="1" fontId="58" fillId="25" borderId="0" xfId="4" applyNumberFormat="1" applyFont="1" applyFill="1"/>
    <xf numFmtId="3" fontId="131" fillId="0" borderId="0" xfId="4" applyNumberFormat="1" applyFont="1"/>
    <xf numFmtId="258" fontId="0" fillId="0" borderId="0" xfId="4" applyNumberFormat="1" applyFont="1"/>
    <xf numFmtId="1" fontId="0" fillId="0" borderId="40" xfId="4" applyNumberFormat="1" applyFont="1" applyBorder="1"/>
    <xf numFmtId="1" fontId="8" fillId="25" borderId="0" xfId="4" applyNumberFormat="1" applyFont="1" applyFill="1"/>
    <xf numFmtId="9" fontId="132" fillId="0" borderId="9" xfId="4" applyNumberFormat="1" applyFont="1" applyBorder="1"/>
    <xf numFmtId="1" fontId="131" fillId="0" borderId="9" xfId="4" applyNumberFormat="1" applyFont="1" applyBorder="1"/>
    <xf numFmtId="164" fontId="131" fillId="0" borderId="0" xfId="4" applyNumberFormat="1" applyFont="1"/>
    <xf numFmtId="165" fontId="130" fillId="0" borderId="9" xfId="4" applyNumberFormat="1" applyFont="1" applyBorder="1" applyAlignment="1">
      <alignment horizontal="right"/>
    </xf>
    <xf numFmtId="1" fontId="131" fillId="0" borderId="0" xfId="4" applyNumberFormat="1" applyFont="1" applyAlignment="1">
      <alignment horizontal="right"/>
    </xf>
    <xf numFmtId="1" fontId="131" fillId="0" borderId="9" xfId="4" applyNumberFormat="1" applyFont="1" applyBorder="1" applyAlignment="1">
      <alignment horizontal="right"/>
    </xf>
    <xf numFmtId="9" fontId="130" fillId="0" borderId="9" xfId="4" applyNumberFormat="1" applyFont="1" applyBorder="1" applyAlignment="1">
      <alignment horizontal="right"/>
    </xf>
    <xf numFmtId="9" fontId="131" fillId="0" borderId="0" xfId="4" applyNumberFormat="1" applyFont="1" applyAlignment="1">
      <alignment horizontal="right"/>
    </xf>
    <xf numFmtId="0" fontId="136" fillId="43" borderId="0" xfId="4" applyFont="1" applyFill="1"/>
    <xf numFmtId="0" fontId="131" fillId="0" borderId="0" xfId="4" applyFont="1" applyAlignment="1">
      <alignment horizontal="right"/>
    </xf>
    <xf numFmtId="0" fontId="131" fillId="0" borderId="0" xfId="4" applyFont="1" applyAlignment="1">
      <alignment horizontal="left"/>
    </xf>
    <xf numFmtId="1" fontId="0" fillId="42" borderId="0" xfId="4" applyNumberFormat="1" applyFont="1" applyFill="1"/>
    <xf numFmtId="1" fontId="13" fillId="0" borderId="9" xfId="4" applyNumberFormat="1" applyFont="1" applyBorder="1"/>
    <xf numFmtId="1" fontId="60" fillId="0" borderId="0" xfId="4" applyNumberFormat="1" applyFont="1"/>
    <xf numFmtId="9" fontId="2" fillId="25" borderId="0" xfId="4" applyNumberFormat="1" applyFont="1" applyFill="1"/>
    <xf numFmtId="167" fontId="4" fillId="0" borderId="9" xfId="1901" applyNumberFormat="1" applyFont="1" applyBorder="1"/>
    <xf numFmtId="169" fontId="0" fillId="25" borderId="0" xfId="1541" applyNumberFormat="1" applyFont="1" applyFill="1"/>
    <xf numFmtId="169" fontId="0" fillId="0" borderId="0" xfId="1541" applyNumberFormat="1" applyFont="1" applyFill="1"/>
    <xf numFmtId="164" fontId="0" fillId="0" borderId="0" xfId="1541" applyNumberFormat="1" applyFont="1"/>
    <xf numFmtId="172" fontId="0" fillId="25" borderId="0" xfId="1541" applyNumberFormat="1" applyFont="1" applyFill="1"/>
    <xf numFmtId="43" fontId="0" fillId="0" borderId="0" xfId="1541" applyFont="1" applyFill="1"/>
    <xf numFmtId="0" fontId="2" fillId="0" borderId="9" xfId="1901" applyFont="1" applyBorder="1"/>
    <xf numFmtId="1" fontId="4" fillId="0" borderId="0" xfId="4" applyNumberFormat="1" applyFont="1" applyAlignment="1">
      <alignment horizontal="right"/>
    </xf>
    <xf numFmtId="169" fontId="0" fillId="42" borderId="0" xfId="1541" applyNumberFormat="1" applyFont="1" applyFill="1"/>
    <xf numFmtId="165" fontId="11" fillId="0" borderId="0" xfId="4" applyNumberFormat="1" applyFont="1"/>
    <xf numFmtId="2" fontId="4" fillId="25" borderId="0" xfId="4" applyNumberFormat="1" applyFont="1" applyFill="1"/>
    <xf numFmtId="165" fontId="2" fillId="0" borderId="9" xfId="4" applyNumberFormat="1" applyFont="1" applyBorder="1" applyAlignment="1">
      <alignment horizontal="right"/>
    </xf>
    <xf numFmtId="0" fontId="132" fillId="0" borderId="9" xfId="4" applyFont="1" applyBorder="1" applyAlignment="1">
      <alignment horizontal="right"/>
    </xf>
    <xf numFmtId="17" fontId="2" fillId="0" borderId="9" xfId="4" applyNumberFormat="1" applyFont="1" applyBorder="1" applyAlignment="1">
      <alignment horizontal="right"/>
    </xf>
    <xf numFmtId="9" fontId="0" fillId="25" borderId="9" xfId="4" applyNumberFormat="1" applyFont="1" applyFill="1" applyBorder="1"/>
    <xf numFmtId="0" fontId="132" fillId="0" borderId="0" xfId="4" quotePrefix="1" applyFont="1" applyAlignment="1">
      <alignment horizontal="right"/>
    </xf>
    <xf numFmtId="0" fontId="132" fillId="0" borderId="9" xfId="4" quotePrefix="1" applyFont="1" applyBorder="1" applyAlignment="1">
      <alignment horizontal="right"/>
    </xf>
    <xf numFmtId="17" fontId="130" fillId="0" borderId="9" xfId="4" applyNumberFormat="1" applyFont="1" applyBorder="1"/>
    <xf numFmtId="17" fontId="130" fillId="0" borderId="42" xfId="4" applyNumberFormat="1" applyFont="1" applyBorder="1"/>
    <xf numFmtId="17" fontId="2" fillId="0" borderId="9" xfId="4" applyNumberFormat="1" applyFont="1" applyBorder="1"/>
    <xf numFmtId="0" fontId="0" fillId="0" borderId="0" xfId="2133" applyFont="1"/>
    <xf numFmtId="0" fontId="8" fillId="0" borderId="9" xfId="4" applyFont="1" applyBorder="1"/>
    <xf numFmtId="0" fontId="8" fillId="0" borderId="0" xfId="4" applyFont="1" applyAlignment="1">
      <alignment horizontal="left"/>
    </xf>
    <xf numFmtId="3" fontId="13" fillId="0" borderId="0" xfId="4" applyNumberFormat="1" applyFont="1"/>
    <xf numFmtId="1" fontId="2" fillId="42" borderId="0" xfId="4" applyNumberFormat="1" applyFont="1" applyFill="1"/>
    <xf numFmtId="9" fontId="2" fillId="42" borderId="0" xfId="4" applyNumberFormat="1" applyFont="1" applyFill="1"/>
    <xf numFmtId="1" fontId="0" fillId="42" borderId="42" xfId="4" applyNumberFormat="1" applyFont="1" applyFill="1" applyBorder="1"/>
    <xf numFmtId="1" fontId="0" fillId="42" borderId="20" xfId="4" applyNumberFormat="1" applyFont="1" applyFill="1" applyBorder="1"/>
    <xf numFmtId="0" fontId="2" fillId="0" borderId="33" xfId="4" applyFont="1" applyBorder="1"/>
    <xf numFmtId="169" fontId="0" fillId="0" borderId="9" xfId="4" applyNumberFormat="1" applyFont="1" applyBorder="1"/>
    <xf numFmtId="0" fontId="60" fillId="0" borderId="9" xfId="4" applyFont="1" applyBorder="1"/>
    <xf numFmtId="0" fontId="1" fillId="0" borderId="9" xfId="4" applyFont="1" applyBorder="1"/>
    <xf numFmtId="259" fontId="2" fillId="0" borderId="9" xfId="4" applyNumberFormat="1" applyFont="1" applyBorder="1" applyAlignment="1">
      <alignment horizontal="left"/>
    </xf>
    <xf numFmtId="0" fontId="0" fillId="43" borderId="0" xfId="4" applyFont="1" applyFill="1"/>
    <xf numFmtId="172" fontId="4" fillId="0" borderId="0" xfId="4" applyNumberFormat="1" applyFont="1"/>
    <xf numFmtId="0" fontId="25" fillId="0" borderId="0" xfId="4" applyFont="1"/>
    <xf numFmtId="210" fontId="2" fillId="40" borderId="0" xfId="4" applyNumberFormat="1" applyFont="1" applyFill="1"/>
    <xf numFmtId="210" fontId="4" fillId="0" borderId="0" xfId="4" applyNumberFormat="1" applyFont="1"/>
    <xf numFmtId="210" fontId="4" fillId="0" borderId="0" xfId="4" applyNumberFormat="1" applyFont="1" applyAlignment="1">
      <alignment horizontal="left"/>
    </xf>
    <xf numFmtId="210" fontId="4" fillId="0" borderId="0" xfId="4" applyNumberFormat="1" applyFont="1" applyAlignment="1">
      <alignment horizontal="right"/>
    </xf>
    <xf numFmtId="210" fontId="4" fillId="0" borderId="9" xfId="4" applyNumberFormat="1" applyFont="1" applyBorder="1"/>
    <xf numFmtId="210" fontId="4" fillId="0" borderId="9" xfId="4" applyNumberFormat="1" applyFont="1" applyBorder="1" applyAlignment="1">
      <alignment horizontal="right"/>
    </xf>
    <xf numFmtId="210" fontId="4" fillId="0" borderId="9" xfId="4" applyNumberFormat="1" applyFont="1" applyBorder="1" applyAlignment="1">
      <alignment horizontal="left"/>
    </xf>
    <xf numFmtId="9" fontId="4" fillId="0" borderId="0" xfId="1941" applyFont="1"/>
    <xf numFmtId="43" fontId="4" fillId="0" borderId="0" xfId="1541" applyFont="1"/>
    <xf numFmtId="9" fontId="25" fillId="0" borderId="0" xfId="4" applyNumberFormat="1" applyFont="1"/>
    <xf numFmtId="210" fontId="0" fillId="0" borderId="0" xfId="4" applyNumberFormat="1" applyFont="1"/>
    <xf numFmtId="164" fontId="0" fillId="31" borderId="0" xfId="4" applyNumberFormat="1" applyFont="1" applyFill="1"/>
    <xf numFmtId="9" fontId="4" fillId="43" borderId="0" xfId="4" applyNumberFormat="1" applyFont="1" applyFill="1"/>
    <xf numFmtId="164" fontId="0" fillId="0" borderId="0" xfId="4" applyNumberFormat="1" applyFont="1" applyAlignment="1">
      <alignment horizontal="right"/>
    </xf>
    <xf numFmtId="1" fontId="60" fillId="0" borderId="9" xfId="4" applyNumberFormat="1" applyFont="1" applyBorder="1"/>
    <xf numFmtId="1" fontId="61" fillId="0" borderId="9" xfId="4" applyNumberFormat="1" applyFont="1" applyBorder="1"/>
    <xf numFmtId="0" fontId="12" fillId="0" borderId="9" xfId="4" applyFont="1" applyBorder="1"/>
    <xf numFmtId="1" fontId="12" fillId="0" borderId="9" xfId="4" applyNumberFormat="1" applyFont="1" applyBorder="1"/>
    <xf numFmtId="1" fontId="12" fillId="25" borderId="9" xfId="4" applyNumberFormat="1" applyFont="1" applyFill="1" applyBorder="1"/>
    <xf numFmtId="1" fontId="2" fillId="25" borderId="9" xfId="4" applyNumberFormat="1" applyFont="1" applyFill="1" applyBorder="1"/>
    <xf numFmtId="165" fontId="12" fillId="0" borderId="9" xfId="4" applyNumberFormat="1" applyFont="1" applyBorder="1"/>
    <xf numFmtId="165" fontId="12" fillId="25" borderId="9" xfId="4" applyNumberFormat="1" applyFont="1" applyFill="1" applyBorder="1"/>
    <xf numFmtId="1" fontId="2" fillId="25" borderId="0" xfId="1941" applyNumberFormat="1" applyFont="1" applyFill="1"/>
    <xf numFmtId="1" fontId="2" fillId="0" borderId="0" xfId="1541" applyNumberFormat="1" applyFont="1"/>
    <xf numFmtId="1" fontId="4" fillId="0" borderId="0" xfId="1541" applyNumberFormat="1" applyFont="1"/>
    <xf numFmtId="1" fontId="4" fillId="25" borderId="0" xfId="1941" applyNumberFormat="1" applyFont="1" applyFill="1"/>
    <xf numFmtId="165" fontId="4" fillId="0" borderId="0" xfId="1541" applyNumberFormat="1" applyFont="1"/>
    <xf numFmtId="260" fontId="0" fillId="0" borderId="0" xfId="1541" applyNumberFormat="1" applyFont="1" applyAlignment="1">
      <alignment vertical="center"/>
    </xf>
    <xf numFmtId="260" fontId="0" fillId="0" borderId="9" xfId="1541" applyNumberFormat="1" applyFont="1" applyBorder="1" applyAlignment="1">
      <alignment vertical="center"/>
    </xf>
    <xf numFmtId="165" fontId="8" fillId="0" borderId="0" xfId="4" applyNumberFormat="1" applyFont="1"/>
    <xf numFmtId="0" fontId="2" fillId="0" borderId="0" xfId="4" applyFont="1" applyAlignment="1">
      <alignment horizontal="center"/>
    </xf>
    <xf numFmtId="166" fontId="2" fillId="0" borderId="9" xfId="4" applyNumberFormat="1" applyFont="1" applyBorder="1"/>
    <xf numFmtId="171" fontId="4" fillId="25" borderId="0" xfId="4" applyNumberFormat="1" applyFont="1" applyFill="1"/>
    <xf numFmtId="2" fontId="0" fillId="25" borderId="0" xfId="4" applyNumberFormat="1" applyFont="1" applyFill="1"/>
    <xf numFmtId="166" fontId="2" fillId="0" borderId="0" xfId="1901" applyNumberFormat="1" applyFont="1"/>
    <xf numFmtId="167" fontId="2" fillId="0" borderId="0" xfId="1901" applyNumberFormat="1" applyFont="1"/>
    <xf numFmtId="166" fontId="4" fillId="0" borderId="9" xfId="1901" applyNumberFormat="1" applyFont="1" applyBorder="1"/>
    <xf numFmtId="166" fontId="4" fillId="0" borderId="9" xfId="4" applyNumberFormat="1" applyFont="1" applyBorder="1"/>
    <xf numFmtId="9" fontId="4" fillId="0" borderId="9" xfId="1901" applyNumberFormat="1" applyFont="1" applyBorder="1"/>
    <xf numFmtId="1" fontId="4" fillId="0" borderId="9" xfId="4" applyNumberFormat="1" applyFont="1" applyBorder="1" applyAlignment="1">
      <alignment horizontal="right"/>
    </xf>
    <xf numFmtId="0" fontId="131" fillId="0" borderId="9" xfId="4" applyFont="1" applyBorder="1" applyAlignment="1">
      <alignment horizontal="right"/>
    </xf>
    <xf numFmtId="4" fontId="131" fillId="0" borderId="0" xfId="4" applyNumberFormat="1" applyFont="1"/>
    <xf numFmtId="4" fontId="0" fillId="0" borderId="0" xfId="4" applyNumberFormat="1" applyFont="1"/>
    <xf numFmtId="1" fontId="27" fillId="0" borderId="0" xfId="1541" applyNumberFormat="1" applyFont="1" applyAlignment="1">
      <alignment vertical="center"/>
    </xf>
    <xf numFmtId="168" fontId="8" fillId="0" borderId="0" xfId="4" applyNumberFormat="1" applyFont="1"/>
    <xf numFmtId="0" fontId="137" fillId="0" borderId="0" xfId="4" applyFont="1" applyAlignment="1">
      <alignment horizontal="left" indent="4"/>
    </xf>
    <xf numFmtId="0" fontId="16" fillId="0" borderId="0" xfId="4" applyFont="1" applyAlignment="1">
      <alignment horizontal="right"/>
    </xf>
    <xf numFmtId="1" fontId="16" fillId="0" borderId="0" xfId="4" applyNumberFormat="1" applyFont="1"/>
    <xf numFmtId="3" fontId="16" fillId="0" borderId="0" xfId="4" applyNumberFormat="1" applyFont="1"/>
    <xf numFmtId="164" fontId="132" fillId="44" borderId="0" xfId="4" applyNumberFormat="1" applyFont="1" applyFill="1"/>
    <xf numFmtId="9" fontId="132" fillId="44" borderId="0" xfId="4" applyNumberFormat="1" applyFont="1" applyFill="1"/>
    <xf numFmtId="164" fontId="132" fillId="44" borderId="9" xfId="4" applyNumberFormat="1" applyFont="1" applyFill="1" applyBorder="1"/>
    <xf numFmtId="9" fontId="132" fillId="44" borderId="9" xfId="4" applyNumberFormat="1" applyFont="1" applyFill="1" applyBorder="1"/>
    <xf numFmtId="164" fontId="132" fillId="15" borderId="0" xfId="4" applyNumberFormat="1" applyFont="1" applyFill="1"/>
    <xf numFmtId="9" fontId="132" fillId="15" borderId="0" xfId="4" applyNumberFormat="1" applyFont="1" applyFill="1"/>
    <xf numFmtId="0" fontId="132" fillId="15" borderId="0" xfId="4" applyFont="1" applyFill="1"/>
    <xf numFmtId="0" fontId="132" fillId="15" borderId="9" xfId="4" applyFont="1" applyFill="1" applyBorder="1"/>
    <xf numFmtId="9" fontId="132" fillId="15" borderId="9" xfId="4" applyNumberFormat="1" applyFont="1" applyFill="1" applyBorder="1"/>
    <xf numFmtId="164" fontId="130" fillId="15" borderId="9" xfId="4" applyNumberFormat="1" applyFont="1" applyFill="1" applyBorder="1"/>
    <xf numFmtId="9" fontId="130" fillId="15" borderId="9" xfId="4" applyNumberFormat="1" applyFont="1" applyFill="1" applyBorder="1"/>
    <xf numFmtId="164" fontId="130" fillId="44" borderId="9" xfId="4" applyNumberFormat="1" applyFont="1" applyFill="1" applyBorder="1"/>
    <xf numFmtId="9" fontId="130" fillId="44" borderId="9" xfId="4" applyNumberFormat="1" applyFont="1" applyFill="1" applyBorder="1"/>
    <xf numFmtId="0" fontId="130" fillId="15" borderId="0" xfId="4" applyFont="1" applyFill="1"/>
    <xf numFmtId="9" fontId="130" fillId="15" borderId="0" xfId="4" applyNumberFormat="1" applyFont="1" applyFill="1"/>
    <xf numFmtId="164" fontId="130" fillId="15" borderId="0" xfId="4" applyNumberFormat="1" applyFont="1" applyFill="1"/>
    <xf numFmtId="0" fontId="2" fillId="40" borderId="0" xfId="4" applyFont="1" applyFill="1"/>
    <xf numFmtId="164" fontId="131" fillId="44" borderId="0" xfId="4" applyNumberFormat="1" applyFont="1" applyFill="1"/>
    <xf numFmtId="9" fontId="131" fillId="44" borderId="0" xfId="4" applyNumberFormat="1" applyFont="1" applyFill="1"/>
    <xf numFmtId="1" fontId="1" fillId="0" borderId="0" xfId="4" applyNumberFormat="1" applyFont="1"/>
    <xf numFmtId="167" fontId="2" fillId="0" borderId="9" xfId="4" applyNumberFormat="1" applyFont="1" applyBorder="1"/>
    <xf numFmtId="167" fontId="4" fillId="0" borderId="9" xfId="4" applyNumberFormat="1" applyFont="1" applyBorder="1"/>
    <xf numFmtId="1" fontId="4" fillId="25" borderId="9" xfId="4" applyNumberFormat="1" applyFont="1" applyFill="1" applyBorder="1"/>
    <xf numFmtId="2" fontId="2" fillId="0" borderId="0" xfId="4" applyNumberFormat="1" applyFont="1" applyAlignment="1">
      <alignment horizontal="right"/>
    </xf>
    <xf numFmtId="1" fontId="4" fillId="42" borderId="0" xfId="1541" applyNumberFormat="1" applyFont="1" applyFill="1"/>
    <xf numFmtId="1" fontId="4" fillId="42" borderId="0" xfId="4" applyNumberFormat="1" applyFont="1" applyFill="1"/>
    <xf numFmtId="0" fontId="140" fillId="0" borderId="0" xfId="4" applyFont="1"/>
    <xf numFmtId="1" fontId="0" fillId="0" borderId="0" xfId="4" applyNumberFormat="1" applyFont="1" applyAlignment="1">
      <alignment horizontal="right"/>
    </xf>
    <xf numFmtId="0" fontId="4" fillId="0" borderId="0" xfId="4" applyFont="1" applyAlignment="1">
      <alignment horizontal="left"/>
    </xf>
    <xf numFmtId="0" fontId="8" fillId="0" borderId="0" xfId="1901" applyFont="1"/>
    <xf numFmtId="164" fontId="8" fillId="0" borderId="0" xfId="1901" applyNumberFormat="1" applyFont="1"/>
    <xf numFmtId="164" fontId="8" fillId="25" borderId="0" xfId="1901" applyNumberFormat="1" applyFont="1" applyFill="1"/>
    <xf numFmtId="170" fontId="8" fillId="25" borderId="0" xfId="1901" applyNumberFormat="1" applyFont="1" applyFill="1"/>
    <xf numFmtId="170" fontId="8" fillId="0" borderId="0" xfId="1901" applyNumberFormat="1" applyFont="1"/>
    <xf numFmtId="9" fontId="8" fillId="0" borderId="0" xfId="1901" applyNumberFormat="1" applyFont="1"/>
    <xf numFmtId="0" fontId="4" fillId="0" borderId="9" xfId="4" quotePrefix="1" applyFont="1" applyBorder="1"/>
    <xf numFmtId="164" fontId="1" fillId="25" borderId="9" xfId="4" applyNumberFormat="1" applyFont="1" applyFill="1" applyBorder="1"/>
    <xf numFmtId="0" fontId="8" fillId="25" borderId="0" xfId="4" applyFont="1" applyFill="1"/>
    <xf numFmtId="9" fontId="8" fillId="25" borderId="0" xfId="4" applyNumberFormat="1" applyFont="1" applyFill="1"/>
    <xf numFmtId="1" fontId="0" fillId="31" borderId="0" xfId="4" applyNumberFormat="1" applyFont="1" applyFill="1"/>
    <xf numFmtId="1" fontId="0" fillId="42" borderId="9" xfId="4" applyNumberFormat="1" applyFont="1" applyFill="1" applyBorder="1"/>
    <xf numFmtId="1" fontId="0" fillId="31" borderId="9" xfId="4" applyNumberFormat="1" applyFont="1" applyFill="1" applyBorder="1"/>
    <xf numFmtId="0" fontId="2" fillId="45" borderId="0" xfId="4" applyFont="1" applyFill="1"/>
    <xf numFmtId="1" fontId="4" fillId="31" borderId="9" xfId="4" applyNumberFormat="1" applyFont="1" applyFill="1" applyBorder="1"/>
    <xf numFmtId="17" fontId="0" fillId="0" borderId="9" xfId="4" applyNumberFormat="1" applyFont="1" applyBorder="1" applyAlignment="1">
      <alignment horizontal="right"/>
    </xf>
    <xf numFmtId="17" fontId="0" fillId="0" borderId="9" xfId="4" quotePrefix="1" applyNumberFormat="1" applyFont="1" applyBorder="1" applyAlignment="1">
      <alignment horizontal="right"/>
    </xf>
    <xf numFmtId="170" fontId="1" fillId="0" borderId="0" xfId="4" applyNumberFormat="1" applyFont="1"/>
    <xf numFmtId="164" fontId="0" fillId="0" borderId="9" xfId="4" applyNumberFormat="1" applyFont="1" applyBorder="1" applyAlignment="1">
      <alignment horizontal="right"/>
    </xf>
    <xf numFmtId="2" fontId="0" fillId="0" borderId="9" xfId="4" applyNumberFormat="1" applyFont="1" applyBorder="1"/>
    <xf numFmtId="2" fontId="0" fillId="0" borderId="9" xfId="4" applyNumberFormat="1" applyFont="1" applyBorder="1" applyAlignment="1">
      <alignment horizontal="right"/>
    </xf>
    <xf numFmtId="258" fontId="0" fillId="0" borderId="9" xfId="4" applyNumberFormat="1" applyFont="1" applyBorder="1"/>
    <xf numFmtId="2" fontId="0" fillId="0" borderId="0" xfId="4" applyNumberFormat="1" applyFont="1" applyAlignment="1">
      <alignment horizontal="right"/>
    </xf>
    <xf numFmtId="16" fontId="2" fillId="0" borderId="0" xfId="4" applyNumberFormat="1" applyFont="1" applyAlignment="1">
      <alignment horizontal="left"/>
    </xf>
    <xf numFmtId="16" fontId="4" fillId="0" borderId="0" xfId="4" applyNumberFormat="1" applyFont="1" applyAlignment="1">
      <alignment horizontal="left"/>
    </xf>
    <xf numFmtId="0" fontId="25" fillId="0" borderId="9" xfId="4" applyFont="1" applyBorder="1"/>
    <xf numFmtId="9" fontId="25" fillId="0" borderId="9" xfId="4" applyNumberFormat="1" applyFont="1" applyBorder="1"/>
    <xf numFmtId="1" fontId="25" fillId="0" borderId="0" xfId="4" applyNumberFormat="1" applyFont="1"/>
    <xf numFmtId="1" fontId="25" fillId="0" borderId="9" xfId="4" applyNumberFormat="1" applyFont="1" applyBorder="1"/>
    <xf numFmtId="261" fontId="0" fillId="0" borderId="0" xfId="4" applyNumberFormat="1" applyFont="1"/>
    <xf numFmtId="1" fontId="4" fillId="0" borderId="0" xfId="1541" applyNumberFormat="1" applyFont="1" applyFill="1"/>
    <xf numFmtId="9" fontId="4" fillId="0" borderId="0" xfId="1541" applyNumberFormat="1" applyFont="1"/>
    <xf numFmtId="2" fontId="0" fillId="31" borderId="0" xfId="4" applyNumberFormat="1" applyFont="1" applyFill="1"/>
    <xf numFmtId="0" fontId="0" fillId="44" borderId="0" xfId="4" applyFont="1" applyFill="1"/>
    <xf numFmtId="3" fontId="0" fillId="44" borderId="0" xfId="4" applyNumberFormat="1" applyFont="1" applyFill="1"/>
    <xf numFmtId="9" fontId="0" fillId="44" borderId="0" xfId="4" applyNumberFormat="1" applyFont="1" applyFill="1"/>
    <xf numFmtId="0" fontId="0" fillId="44" borderId="9" xfId="4" applyFont="1" applyFill="1" applyBorder="1"/>
    <xf numFmtId="164" fontId="0" fillId="44" borderId="9" xfId="4" applyNumberFormat="1" applyFont="1" applyFill="1" applyBorder="1"/>
    <xf numFmtId="1" fontId="12" fillId="42" borderId="9" xfId="4" applyNumberFormat="1" applyFont="1" applyFill="1" applyBorder="1"/>
    <xf numFmtId="165" fontId="16" fillId="0" borderId="0" xfId="1541" applyNumberFormat="1" applyFont="1"/>
    <xf numFmtId="1" fontId="1" fillId="0" borderId="9" xfId="4" applyNumberFormat="1" applyFont="1" applyBorder="1"/>
    <xf numFmtId="9" fontId="0" fillId="0" borderId="9" xfId="4" applyNumberFormat="1" applyFont="1" applyBorder="1" applyAlignment="1">
      <alignment horizontal="right"/>
    </xf>
    <xf numFmtId="9" fontId="0" fillId="0" borderId="0" xfId="0" applyNumberFormat="1"/>
    <xf numFmtId="0" fontId="2" fillId="0" borderId="0" xfId="0" applyFont="1"/>
    <xf numFmtId="0" fontId="2" fillId="0" borderId="9" xfId="0" applyFont="1" applyBorder="1"/>
    <xf numFmtId="0" fontId="0" fillId="0" borderId="0" xfId="0" quotePrefix="1"/>
    <xf numFmtId="0" fontId="161" fillId="0" borderId="0" xfId="0" applyFont="1"/>
    <xf numFmtId="1" fontId="0" fillId="0" borderId="0" xfId="0" applyNumberFormat="1"/>
    <xf numFmtId="0" fontId="0" fillId="0" borderId="9" xfId="0" applyBorder="1"/>
    <xf numFmtId="164" fontId="0" fillId="0" borderId="0" xfId="0" applyNumberFormat="1"/>
    <xf numFmtId="1" fontId="163" fillId="0" borderId="9" xfId="4" applyNumberFormat="1" applyFont="1" applyBorder="1"/>
    <xf numFmtId="1" fontId="163" fillId="0" borderId="0" xfId="4" applyNumberFormat="1" applyFont="1"/>
    <xf numFmtId="0" fontId="163" fillId="0" borderId="0" xfId="0" applyFont="1"/>
    <xf numFmtId="0" fontId="163" fillId="0" borderId="9" xfId="0" applyFont="1" applyBorder="1"/>
    <xf numFmtId="0" fontId="164" fillId="0" borderId="0" xfId="0" applyFont="1"/>
    <xf numFmtId="1" fontId="0" fillId="0" borderId="9" xfId="0" applyNumberFormat="1" applyBorder="1"/>
    <xf numFmtId="0" fontId="1" fillId="0" borderId="0" xfId="0" applyFont="1"/>
    <xf numFmtId="3" fontId="0" fillId="0" borderId="0" xfId="0" applyNumberFormat="1"/>
    <xf numFmtId="9" fontId="164" fillId="0" borderId="0" xfId="0" applyNumberFormat="1" applyFont="1"/>
    <xf numFmtId="9" fontId="1" fillId="0" borderId="0" xfId="0" applyNumberFormat="1" applyFont="1"/>
    <xf numFmtId="258" fontId="0" fillId="0" borderId="0" xfId="0" applyNumberFormat="1"/>
    <xf numFmtId="165" fontId="0" fillId="0" borderId="0" xfId="0" applyNumberFormat="1"/>
    <xf numFmtId="165" fontId="164" fillId="0" borderId="0" xfId="0" applyNumberFormat="1" applyFont="1"/>
    <xf numFmtId="0" fontId="0" fillId="0" borderId="33" xfId="0" applyBorder="1"/>
    <xf numFmtId="1" fontId="0" fillId="0" borderId="33" xfId="0" applyNumberFormat="1" applyBorder="1"/>
    <xf numFmtId="0" fontId="0" fillId="0" borderId="9" xfId="0" quotePrefix="1" applyBorder="1"/>
    <xf numFmtId="1" fontId="1" fillId="0" borderId="0" xfId="0" applyNumberFormat="1" applyFont="1"/>
    <xf numFmtId="172" fontId="0" fillId="0" borderId="0" xfId="1541" applyNumberFormat="1" applyFont="1"/>
    <xf numFmtId="172" fontId="164" fillId="0" borderId="0" xfId="0" applyNumberFormat="1" applyFont="1"/>
    <xf numFmtId="9" fontId="0" fillId="0" borderId="9" xfId="0" applyNumberFormat="1" applyBorder="1"/>
    <xf numFmtId="9" fontId="164" fillId="0" borderId="9" xfId="0" applyNumberFormat="1" applyFont="1" applyBorder="1"/>
    <xf numFmtId="0" fontId="4" fillId="0" borderId="0" xfId="0" applyFont="1"/>
    <xf numFmtId="0" fontId="4" fillId="0" borderId="33" xfId="0" applyFont="1" applyBorder="1"/>
    <xf numFmtId="3" fontId="4" fillId="0" borderId="33" xfId="0" applyNumberFormat="1" applyFont="1" applyBorder="1"/>
    <xf numFmtId="1" fontId="4" fillId="0" borderId="33" xfId="0" applyNumberFormat="1" applyFont="1" applyBorder="1"/>
    <xf numFmtId="1" fontId="164" fillId="0" borderId="0" xfId="0" applyNumberFormat="1" applyFont="1"/>
    <xf numFmtId="165" fontId="0" fillId="0" borderId="9" xfId="0" applyNumberFormat="1" applyBorder="1"/>
    <xf numFmtId="165" fontId="164" fillId="0" borderId="9" xfId="0" applyNumberFormat="1" applyFont="1" applyBorder="1"/>
    <xf numFmtId="1" fontId="4" fillId="0" borderId="0" xfId="0" applyNumberFormat="1" applyFont="1"/>
    <xf numFmtId="9" fontId="4" fillId="0" borderId="0" xfId="0" applyNumberFormat="1" applyFont="1"/>
    <xf numFmtId="0" fontId="4" fillId="0" borderId="9" xfId="0" applyFont="1" applyBorder="1"/>
    <xf numFmtId="9" fontId="4" fillId="0" borderId="9" xfId="0" applyNumberFormat="1" applyFont="1" applyBorder="1"/>
    <xf numFmtId="3" fontId="0" fillId="31" borderId="0" xfId="0" applyNumberFormat="1" applyFill="1"/>
    <xf numFmtId="3" fontId="0" fillId="0" borderId="9" xfId="0" applyNumberFormat="1" applyBorder="1"/>
    <xf numFmtId="3" fontId="4" fillId="0" borderId="0" xfId="0" applyNumberFormat="1" applyFont="1"/>
    <xf numFmtId="1" fontId="172" fillId="0" borderId="0" xfId="1541" applyNumberFormat="1" applyFont="1"/>
    <xf numFmtId="0" fontId="0" fillId="0" borderId="0" xfId="0" applyAlignment="1">
      <alignment horizontal="right"/>
    </xf>
    <xf numFmtId="17" fontId="0" fillId="0" borderId="0" xfId="0" applyNumberFormat="1"/>
    <xf numFmtId="0" fontId="0" fillId="0" borderId="9" xfId="0" applyBorder="1" applyAlignment="1">
      <alignment horizontal="right"/>
    </xf>
    <xf numFmtId="3" fontId="0" fillId="0" borderId="0" xfId="4" applyNumberFormat="1" applyFont="1" applyAlignment="1">
      <alignment horizontal="right"/>
    </xf>
    <xf numFmtId="3" fontId="0" fillId="0" borderId="9" xfId="4" applyNumberFormat="1" applyFont="1" applyBorder="1" applyAlignment="1">
      <alignment horizontal="right"/>
    </xf>
    <xf numFmtId="0" fontId="0" fillId="0" borderId="0" xfId="0" applyAlignment="1">
      <alignment horizontal="left"/>
    </xf>
    <xf numFmtId="0" fontId="10" fillId="0" borderId="0" xfId="0" applyFont="1"/>
    <xf numFmtId="2" fontId="11" fillId="0" borderId="0" xfId="4" applyNumberFormat="1" applyFont="1"/>
    <xf numFmtId="9" fontId="173" fillId="0" borderId="0" xfId="0" applyNumberFormat="1" applyFont="1"/>
    <xf numFmtId="164" fontId="164" fillId="0" borderId="0" xfId="0" applyNumberFormat="1" applyFont="1"/>
    <xf numFmtId="4" fontId="0" fillId="0" borderId="0" xfId="0" applyNumberFormat="1"/>
    <xf numFmtId="1" fontId="2" fillId="0" borderId="9" xfId="0" applyNumberFormat="1" applyFont="1" applyBorder="1"/>
    <xf numFmtId="3" fontId="0" fillId="0" borderId="0" xfId="0" applyNumberFormat="1" applyAlignment="1">
      <alignment horizontal="right"/>
    </xf>
    <xf numFmtId="0" fontId="4" fillId="0" borderId="0" xfId="0" applyFont="1" applyAlignment="1">
      <alignment horizontal="right"/>
    </xf>
    <xf numFmtId="9" fontId="4" fillId="0" borderId="9" xfId="4" applyNumberFormat="1" applyFont="1" applyBorder="1" applyAlignment="1">
      <alignment horizontal="right"/>
    </xf>
    <xf numFmtId="0" fontId="4" fillId="0" borderId="9" xfId="0" applyFont="1" applyBorder="1" applyAlignment="1">
      <alignment horizontal="right"/>
    </xf>
    <xf numFmtId="164" fontId="4" fillId="0" borderId="0" xfId="0" applyNumberFormat="1" applyFont="1"/>
    <xf numFmtId="165" fontId="172" fillId="0" borderId="0" xfId="4" applyNumberFormat="1" applyFont="1"/>
    <xf numFmtId="1" fontId="174" fillId="0" borderId="0" xfId="4" applyNumberFormat="1" applyFont="1"/>
    <xf numFmtId="164" fontId="175" fillId="0" borderId="0" xfId="4" applyNumberFormat="1" applyFont="1"/>
    <xf numFmtId="9" fontId="175" fillId="0" borderId="0" xfId="4" applyNumberFormat="1" applyFont="1"/>
    <xf numFmtId="0" fontId="176" fillId="0" borderId="0" xfId="4" applyFont="1" applyAlignment="1">
      <alignment horizontal="right"/>
    </xf>
    <xf numFmtId="9" fontId="2" fillId="0" borderId="0" xfId="1941" applyFont="1" applyFill="1"/>
    <xf numFmtId="1" fontId="4" fillId="0" borderId="0" xfId="1941" applyNumberFormat="1" applyFont="1" applyFill="1"/>
    <xf numFmtId="1" fontId="167" fillId="31" borderId="0" xfId="4" applyNumberFormat="1" applyFont="1" applyFill="1"/>
    <xf numFmtId="169" fontId="0" fillId="0" borderId="0" xfId="0" applyNumberFormat="1"/>
    <xf numFmtId="1" fontId="167" fillId="39" borderId="0" xfId="4" applyNumberFormat="1" applyFont="1" applyFill="1"/>
    <xf numFmtId="1" fontId="167" fillId="39" borderId="33" xfId="4" applyNumberFormat="1" applyFont="1" applyFill="1" applyBorder="1"/>
    <xf numFmtId="0" fontId="0" fillId="43" borderId="0" xfId="0" applyFill="1"/>
    <xf numFmtId="17" fontId="4" fillId="0" borderId="0" xfId="0" applyNumberFormat="1" applyFont="1" applyAlignment="1">
      <alignment horizontal="right"/>
    </xf>
    <xf numFmtId="0" fontId="0" fillId="31" borderId="0" xfId="0" applyFill="1"/>
    <xf numFmtId="1" fontId="168" fillId="31" borderId="0" xfId="4" applyNumberFormat="1" applyFont="1" applyFill="1"/>
    <xf numFmtId="9" fontId="0" fillId="0" borderId="9" xfId="0" applyNumberFormat="1" applyBorder="1" applyAlignment="1">
      <alignment horizontal="right"/>
    </xf>
    <xf numFmtId="165" fontId="177" fillId="0" borderId="0" xfId="4" applyNumberFormat="1" applyFont="1"/>
    <xf numFmtId="0" fontId="177" fillId="0" borderId="0" xfId="4" applyFont="1"/>
    <xf numFmtId="0" fontId="177" fillId="0" borderId="0" xfId="0" applyFont="1"/>
    <xf numFmtId="165" fontId="177" fillId="0" borderId="9" xfId="4" applyNumberFormat="1" applyFont="1" applyBorder="1"/>
    <xf numFmtId="1" fontId="167" fillId="0" borderId="33" xfId="4" applyNumberFormat="1" applyFont="1" applyBorder="1"/>
    <xf numFmtId="2" fontId="0" fillId="0" borderId="0" xfId="0" applyNumberFormat="1"/>
    <xf numFmtId="17" fontId="0" fillId="0" borderId="0" xfId="4" applyNumberFormat="1" applyFont="1" applyAlignment="1">
      <alignment horizontal="right"/>
    </xf>
    <xf numFmtId="15" fontId="0" fillId="0" borderId="0" xfId="0" applyNumberFormat="1" applyAlignment="1">
      <alignment horizontal="right"/>
    </xf>
    <xf numFmtId="1" fontId="1" fillId="31" borderId="0" xfId="4" applyNumberFormat="1" applyFont="1" applyFill="1"/>
    <xf numFmtId="1" fontId="0" fillId="31" borderId="0" xfId="0" applyNumberFormat="1" applyFill="1"/>
    <xf numFmtId="170" fontId="178" fillId="0" borderId="0" xfId="1901" applyNumberFormat="1" applyFont="1"/>
    <xf numFmtId="167" fontId="2" fillId="0" borderId="0" xfId="4" applyNumberFormat="1" applyFont="1" applyAlignment="1">
      <alignment horizontal="right"/>
    </xf>
    <xf numFmtId="9" fontId="0" fillId="31" borderId="0" xfId="0" applyNumberFormat="1" applyFill="1"/>
    <xf numFmtId="0" fontId="4" fillId="39" borderId="0" xfId="0" applyFont="1" applyFill="1"/>
    <xf numFmtId="265" fontId="27" fillId="22" borderId="0" xfId="6" applyNumberFormat="1" applyFont="1" applyFill="1" applyAlignment="1">
      <alignment vertical="center"/>
    </xf>
    <xf numFmtId="265" fontId="27" fillId="0" borderId="45" xfId="6" applyNumberFormat="1" applyFont="1" applyBorder="1" applyAlignment="1">
      <alignment vertical="center"/>
    </xf>
    <xf numFmtId="265" fontId="27" fillId="0" borderId="0" xfId="6" applyNumberFormat="1" applyFont="1" applyAlignment="1">
      <alignment vertical="center"/>
    </xf>
    <xf numFmtId="0" fontId="131" fillId="0" borderId="9" xfId="0" applyFont="1" applyBorder="1"/>
    <xf numFmtId="0" fontId="131" fillId="0" borderId="9" xfId="0" applyFont="1" applyBorder="1" applyAlignment="1">
      <alignment horizontal="right"/>
    </xf>
    <xf numFmtId="0" fontId="131" fillId="0" borderId="0" xfId="0" applyFont="1"/>
    <xf numFmtId="17" fontId="131" fillId="0" borderId="0" xfId="0" applyNumberFormat="1" applyFont="1"/>
    <xf numFmtId="3" fontId="131" fillId="0" borderId="0" xfId="4" applyNumberFormat="1" applyFont="1" applyAlignment="1">
      <alignment horizontal="right"/>
    </xf>
    <xf numFmtId="3" fontId="131" fillId="0" borderId="0" xfId="0" applyNumberFormat="1" applyFont="1"/>
    <xf numFmtId="17" fontId="131" fillId="0" borderId="9" xfId="0" applyNumberFormat="1" applyFont="1" applyBorder="1"/>
    <xf numFmtId="3" fontId="131" fillId="0" borderId="9" xfId="4" applyNumberFormat="1" applyFont="1" applyBorder="1" applyAlignment="1">
      <alignment horizontal="right"/>
    </xf>
    <xf numFmtId="3" fontId="131" fillId="0" borderId="9" xfId="0" applyNumberFormat="1" applyFont="1" applyBorder="1"/>
    <xf numFmtId="3" fontId="131" fillId="0" borderId="8" xfId="0" applyNumberFormat="1" applyFont="1" applyBorder="1"/>
    <xf numFmtId="3" fontId="131" fillId="0" borderId="15" xfId="0" applyNumberFormat="1" applyFont="1" applyBorder="1"/>
    <xf numFmtId="3" fontId="131" fillId="0" borderId="46" xfId="0" applyNumberFormat="1" applyFont="1" applyBorder="1"/>
    <xf numFmtId="1" fontId="194" fillId="31" borderId="0" xfId="4" applyNumberFormat="1" applyFont="1" applyFill="1"/>
    <xf numFmtId="164" fontId="194" fillId="31" borderId="0" xfId="4" applyNumberFormat="1" applyFont="1" applyFill="1"/>
    <xf numFmtId="9" fontId="194" fillId="31" borderId="0" xfId="4" applyNumberFormat="1" applyFont="1" applyFill="1"/>
    <xf numFmtId="318" fontId="0" fillId="0" borderId="0" xfId="0" applyNumberFormat="1"/>
    <xf numFmtId="0" fontId="2" fillId="0" borderId="9" xfId="4" quotePrefix="1" applyFont="1" applyBorder="1"/>
    <xf numFmtId="0" fontId="2" fillId="0" borderId="9" xfId="0" applyFont="1" applyBorder="1" applyAlignment="1">
      <alignment horizontal="right"/>
    </xf>
    <xf numFmtId="164" fontId="0" fillId="0" borderId="9" xfId="0" applyNumberFormat="1" applyBorder="1"/>
    <xf numFmtId="0" fontId="0" fillId="44" borderId="0" xfId="0" applyFill="1"/>
    <xf numFmtId="0" fontId="194" fillId="44" borderId="0" xfId="4" quotePrefix="1" applyFont="1" applyFill="1"/>
    <xf numFmtId="1" fontId="195" fillId="31" borderId="0" xfId="4" applyNumberFormat="1" applyFont="1" applyFill="1"/>
    <xf numFmtId="0" fontId="202" fillId="0" borderId="0" xfId="0" applyFont="1"/>
    <xf numFmtId="0" fontId="202" fillId="0" borderId="9" xfId="0" applyFont="1" applyBorder="1"/>
    <xf numFmtId="0" fontId="4" fillId="0" borderId="0" xfId="0" applyFont="1" applyAlignment="1">
      <alignment horizontal="left"/>
    </xf>
    <xf numFmtId="9" fontId="4" fillId="0" borderId="0" xfId="0" applyNumberFormat="1" applyFont="1" applyAlignment="1">
      <alignment horizontal="right"/>
    </xf>
    <xf numFmtId="17" fontId="0" fillId="0" borderId="0" xfId="0" applyNumberFormat="1" applyAlignment="1">
      <alignment horizontal="left"/>
    </xf>
    <xf numFmtId="168" fontId="0" fillId="0" borderId="0" xfId="0" applyNumberFormat="1"/>
    <xf numFmtId="168" fontId="0" fillId="0" borderId="9" xfId="0" applyNumberFormat="1" applyBorder="1"/>
    <xf numFmtId="0" fontId="203" fillId="24" borderId="9" xfId="4" applyFont="1" applyFill="1" applyBorder="1" applyAlignment="1">
      <alignment horizontal="left"/>
    </xf>
    <xf numFmtId="17" fontId="203" fillId="24" borderId="9" xfId="4" applyNumberFormat="1" applyFont="1" applyFill="1" applyBorder="1" applyAlignment="1">
      <alignment horizontal="center"/>
    </xf>
    <xf numFmtId="168" fontId="1" fillId="0" borderId="0" xfId="1541" applyNumberFormat="1" applyFill="1" applyAlignment="1">
      <alignment horizontal="center"/>
    </xf>
    <xf numFmtId="168" fontId="1" fillId="0" borderId="0" xfId="1541" quotePrefix="1" applyNumberFormat="1" applyFill="1" applyAlignment="1">
      <alignment horizontal="center"/>
    </xf>
    <xf numFmtId="168" fontId="0" fillId="0" borderId="0" xfId="1541" quotePrefix="1" applyNumberFormat="1" applyFont="1" applyFill="1" applyAlignment="1">
      <alignment horizontal="center"/>
    </xf>
    <xf numFmtId="0" fontId="2" fillId="28" borderId="36" xfId="4" applyFont="1" applyFill="1" applyBorder="1"/>
    <xf numFmtId="168" fontId="2" fillId="28" borderId="36" xfId="1541" applyNumberFormat="1" applyFont="1" applyFill="1" applyBorder="1" applyAlignment="1">
      <alignment horizontal="center"/>
    </xf>
    <xf numFmtId="0" fontId="2" fillId="28" borderId="9" xfId="4" applyFont="1" applyFill="1" applyBorder="1"/>
    <xf numFmtId="168" fontId="2" fillId="28" borderId="9" xfId="1541" applyNumberFormat="1" applyFont="1" applyFill="1" applyBorder="1" applyAlignment="1">
      <alignment horizontal="center"/>
    </xf>
    <xf numFmtId="17" fontId="0" fillId="0" borderId="9" xfId="0" applyNumberFormat="1" applyBorder="1" applyAlignment="1">
      <alignment horizontal="left"/>
    </xf>
    <xf numFmtId="1" fontId="4" fillId="31" borderId="0" xfId="4" applyNumberFormat="1" applyFont="1" applyFill="1"/>
    <xf numFmtId="10" fontId="0" fillId="0" borderId="0" xfId="0" applyNumberFormat="1"/>
    <xf numFmtId="1" fontId="2" fillId="31" borderId="0" xfId="4" applyNumberFormat="1" applyFont="1" applyFill="1"/>
    <xf numFmtId="0" fontId="65" fillId="0" borderId="9" xfId="0" applyFont="1" applyBorder="1" applyAlignment="1">
      <alignment horizontal="left"/>
    </xf>
    <xf numFmtId="0" fontId="131" fillId="0" borderId="0" xfId="0" applyFont="1" applyAlignment="1">
      <alignment horizontal="left"/>
    </xf>
    <xf numFmtId="1" fontId="131" fillId="0" borderId="15" xfId="0" applyNumberFormat="1" applyFont="1" applyBorder="1"/>
    <xf numFmtId="0" fontId="131" fillId="0" borderId="9" xfId="0" applyFont="1" applyBorder="1" applyAlignment="1">
      <alignment horizontal="left"/>
    </xf>
    <xf numFmtId="1" fontId="131" fillId="0" borderId="0" xfId="0" applyNumberFormat="1" applyFont="1"/>
    <xf numFmtId="1" fontId="131" fillId="0" borderId="9" xfId="0" applyNumberFormat="1" applyFont="1" applyBorder="1"/>
    <xf numFmtId="0" fontId="4" fillId="0" borderId="0" xfId="0" quotePrefix="1" applyFont="1" applyAlignment="1">
      <alignment horizontal="right"/>
    </xf>
    <xf numFmtId="17" fontId="4" fillId="31" borderId="0" xfId="0" applyNumberFormat="1" applyFont="1" applyFill="1" applyAlignment="1">
      <alignment horizontal="left"/>
    </xf>
    <xf numFmtId="3" fontId="4" fillId="0" borderId="0" xfId="0" applyNumberFormat="1" applyFont="1" applyAlignment="1">
      <alignment horizontal="right"/>
    </xf>
    <xf numFmtId="3" fontId="4" fillId="0" borderId="9" xfId="0" applyNumberFormat="1" applyFont="1" applyBorder="1" applyAlignment="1">
      <alignment horizontal="right"/>
    </xf>
    <xf numFmtId="164" fontId="0" fillId="31" borderId="0" xfId="0" applyNumberFormat="1" applyFill="1"/>
    <xf numFmtId="3" fontId="0" fillId="31" borderId="9" xfId="0" applyNumberFormat="1" applyFill="1" applyBorder="1"/>
    <xf numFmtId="3" fontId="4" fillId="0" borderId="9" xfId="0" applyNumberFormat="1" applyFont="1" applyBorder="1"/>
    <xf numFmtId="3" fontId="2" fillId="0" borderId="0" xfId="0" applyNumberFormat="1" applyFont="1"/>
    <xf numFmtId="0" fontId="2" fillId="0" borderId="0" xfId="0" applyFont="1" applyAlignment="1">
      <alignment horizontal="right"/>
    </xf>
    <xf numFmtId="9" fontId="0" fillId="0" borderId="17" xfId="0" applyNumberFormat="1" applyBorder="1"/>
    <xf numFmtId="10" fontId="4" fillId="0" borderId="0" xfId="0" quotePrefix="1" applyNumberFormat="1" applyFont="1" applyAlignment="1">
      <alignment horizontal="right"/>
    </xf>
    <xf numFmtId="3" fontId="0" fillId="43" borderId="0" xfId="0" applyNumberFormat="1" applyFill="1"/>
    <xf numFmtId="3" fontId="4" fillId="0" borderId="0" xfId="0" applyNumberFormat="1" applyFont="1" applyAlignment="1">
      <alignment horizontal="center"/>
    </xf>
    <xf numFmtId="3" fontId="0" fillId="0" borderId="0" xfId="0" applyNumberFormat="1" applyAlignment="1">
      <alignment horizontal="center"/>
    </xf>
    <xf numFmtId="0" fontId="4" fillId="0" borderId="0" xfId="0" applyFont="1" applyAlignment="1">
      <alignment horizontal="center"/>
    </xf>
    <xf numFmtId="168" fontId="4" fillId="0" borderId="0" xfId="0" applyNumberFormat="1" applyFont="1" applyAlignment="1">
      <alignment horizontal="center"/>
    </xf>
    <xf numFmtId="17" fontId="0" fillId="0" borderId="9" xfId="0" applyNumberFormat="1" applyBorder="1"/>
    <xf numFmtId="0" fontId="4" fillId="0" borderId="0" xfId="0" quotePrefix="1" applyFont="1"/>
    <xf numFmtId="1" fontId="205" fillId="0" borderId="9" xfId="4" applyNumberFormat="1" applyFont="1" applyBorder="1"/>
    <xf numFmtId="1" fontId="205" fillId="0" borderId="0" xfId="4" applyNumberFormat="1" applyFont="1"/>
    <xf numFmtId="9" fontId="204" fillId="0" borderId="0" xfId="4" applyNumberFormat="1" applyFont="1"/>
    <xf numFmtId="9" fontId="205" fillId="0" borderId="0" xfId="4" applyNumberFormat="1" applyFont="1"/>
    <xf numFmtId="0" fontId="8" fillId="0" borderId="0" xfId="0" applyFont="1"/>
    <xf numFmtId="3" fontId="8" fillId="0" borderId="0" xfId="0" applyNumberFormat="1" applyFont="1"/>
    <xf numFmtId="0" fontId="8" fillId="0" borderId="9" xfId="0" applyFont="1" applyBorder="1"/>
    <xf numFmtId="0" fontId="2" fillId="0" borderId="9" xfId="0" applyFont="1" applyBorder="1" applyAlignment="1">
      <alignment horizontal="left"/>
    </xf>
    <xf numFmtId="164" fontId="0" fillId="0" borderId="47" xfId="0" applyNumberFormat="1" applyBorder="1"/>
    <xf numFmtId="0" fontId="0" fillId="0" borderId="20" xfId="0" applyBorder="1"/>
    <xf numFmtId="0" fontId="2" fillId="0" borderId="42" xfId="0" applyFont="1" applyBorder="1" applyAlignment="1">
      <alignment horizontal="right"/>
    </xf>
    <xf numFmtId="3" fontId="4" fillId="0" borderId="20" xfId="0" applyNumberFormat="1" applyFont="1" applyBorder="1" applyAlignment="1">
      <alignment horizontal="right"/>
    </xf>
    <xf numFmtId="3" fontId="4" fillId="0" borderId="42" xfId="0" applyNumberFormat="1" applyFont="1" applyBorder="1" applyAlignment="1">
      <alignment horizontal="right"/>
    </xf>
    <xf numFmtId="3" fontId="0" fillId="0" borderId="20" xfId="0" applyNumberFormat="1" applyBorder="1"/>
    <xf numFmtId="164" fontId="0" fillId="0" borderId="20" xfId="0" applyNumberFormat="1" applyBorder="1"/>
    <xf numFmtId="3" fontId="8" fillId="0" borderId="0" xfId="0" applyNumberFormat="1" applyFont="1" applyAlignment="1">
      <alignment horizontal="right"/>
    </xf>
    <xf numFmtId="1" fontId="204" fillId="0" borderId="0" xfId="4" applyNumberFormat="1" applyFont="1"/>
    <xf numFmtId="164" fontId="204" fillId="0" borderId="0" xfId="4" applyNumberFormat="1" applyFont="1" applyAlignment="1">
      <alignment horizontal="right"/>
    </xf>
    <xf numFmtId="0" fontId="3" fillId="0" borderId="0" xfId="0" applyFont="1"/>
    <xf numFmtId="9" fontId="0" fillId="0" borderId="20" xfId="0" applyNumberFormat="1" applyBorder="1"/>
    <xf numFmtId="0" fontId="4" fillId="0" borderId="6" xfId="0" applyFont="1" applyBorder="1"/>
    <xf numFmtId="0" fontId="0" fillId="15" borderId="0" xfId="0" applyFill="1"/>
    <xf numFmtId="0" fontId="0" fillId="15" borderId="0" xfId="0" applyFill="1" applyAlignment="1">
      <alignment horizontal="right"/>
    </xf>
    <xf numFmtId="0" fontId="0" fillId="15" borderId="15" xfId="0" applyFill="1" applyBorder="1" applyAlignment="1">
      <alignment horizontal="right"/>
    </xf>
    <xf numFmtId="164" fontId="206" fillId="15" borderId="0" xfId="0" applyNumberFormat="1" applyFont="1" applyFill="1"/>
    <xf numFmtId="164" fontId="0" fillId="15" borderId="0" xfId="0" applyNumberFormat="1" applyFill="1"/>
    <xf numFmtId="9" fontId="0" fillId="15" borderId="0" xfId="0" applyNumberFormat="1" applyFill="1"/>
    <xf numFmtId="0" fontId="0" fillId="15" borderId="0" xfId="0" applyFill="1" applyAlignment="1">
      <alignment horizontal="left"/>
    </xf>
    <xf numFmtId="164" fontId="0" fillId="15" borderId="9" xfId="0" applyNumberFormat="1" applyFill="1" applyBorder="1"/>
    <xf numFmtId="0" fontId="4" fillId="0" borderId="9" xfId="0" applyFont="1" applyBorder="1" applyAlignment="1">
      <alignment horizontal="left"/>
    </xf>
    <xf numFmtId="1" fontId="2" fillId="0" borderId="0" xfId="0" applyNumberFormat="1" applyFont="1"/>
    <xf numFmtId="0" fontId="65" fillId="0" borderId="9" xfId="4" applyFont="1" applyBorder="1" applyAlignment="1">
      <alignment horizontal="left"/>
    </xf>
    <xf numFmtId="0" fontId="65" fillId="44" borderId="9" xfId="4" applyFont="1" applyFill="1" applyBorder="1"/>
    <xf numFmtId="0" fontId="197" fillId="44" borderId="9" xfId="4" applyFont="1" applyFill="1" applyBorder="1"/>
    <xf numFmtId="0" fontId="130" fillId="44" borderId="9" xfId="4" applyFont="1" applyFill="1" applyBorder="1" applyAlignment="1">
      <alignment horizontal="right"/>
    </xf>
    <xf numFmtId="164" fontId="131" fillId="40" borderId="0" xfId="4" applyNumberFormat="1" applyFont="1" applyFill="1"/>
    <xf numFmtId="9" fontId="131" fillId="40" borderId="0" xfId="4" applyNumberFormat="1" applyFont="1" applyFill="1"/>
    <xf numFmtId="0" fontId="131" fillId="40" borderId="0" xfId="0" applyFont="1" applyFill="1"/>
    <xf numFmtId="9" fontId="131" fillId="40" borderId="0" xfId="4" applyNumberFormat="1" applyFont="1" applyFill="1" applyAlignment="1">
      <alignment horizontal="left"/>
    </xf>
    <xf numFmtId="9" fontId="131" fillId="40" borderId="9" xfId="4" applyNumberFormat="1" applyFont="1" applyFill="1" applyBorder="1" applyAlignment="1">
      <alignment horizontal="left"/>
    </xf>
    <xf numFmtId="0" fontId="131" fillId="40" borderId="9" xfId="4" applyFont="1" applyFill="1" applyBorder="1"/>
    <xf numFmtId="164" fontId="131" fillId="40" borderId="9" xfId="4" applyNumberFormat="1" applyFont="1" applyFill="1" applyBorder="1"/>
    <xf numFmtId="0" fontId="0" fillId="40" borderId="0" xfId="0" applyFill="1"/>
    <xf numFmtId="9" fontId="132" fillId="40" borderId="0" xfId="4" applyNumberFormat="1" applyFont="1" applyFill="1" applyAlignment="1">
      <alignment horizontal="right"/>
    </xf>
    <xf numFmtId="0" fontId="197" fillId="40" borderId="0" xfId="4" applyFont="1" applyFill="1"/>
    <xf numFmtId="0" fontId="4" fillId="0" borderId="37" xfId="0" applyFont="1" applyBorder="1"/>
    <xf numFmtId="1" fontId="0" fillId="0" borderId="37" xfId="0" applyNumberFormat="1" applyBorder="1"/>
    <xf numFmtId="165" fontId="0" fillId="31" borderId="0" xfId="0" applyNumberFormat="1" applyFill="1"/>
    <xf numFmtId="0" fontId="0" fillId="31" borderId="9" xfId="0" applyFill="1" applyBorder="1"/>
    <xf numFmtId="1" fontId="0" fillId="31" borderId="9" xfId="0" applyNumberFormat="1" applyFill="1" applyBorder="1"/>
    <xf numFmtId="0" fontId="2" fillId="0" borderId="43" xfId="0" applyFont="1" applyBorder="1"/>
    <xf numFmtId="1" fontId="2" fillId="0" borderId="44" xfId="0" applyNumberFormat="1" applyFont="1" applyBorder="1"/>
    <xf numFmtId="165" fontId="131" fillId="0" borderId="0" xfId="0" applyNumberFormat="1" applyFont="1"/>
    <xf numFmtId="1" fontId="131" fillId="0" borderId="8" xfId="0" applyNumberFormat="1" applyFont="1" applyBorder="1"/>
    <xf numFmtId="0" fontId="131" fillId="0" borderId="33" xfId="0" applyFont="1" applyBorder="1"/>
    <xf numFmtId="0" fontId="65" fillId="0" borderId="0" xfId="0" applyFont="1" applyAlignment="1">
      <alignment horizontal="left"/>
    </xf>
    <xf numFmtId="0" fontId="131" fillId="0" borderId="8" xfId="0" applyFont="1" applyBorder="1"/>
    <xf numFmtId="1" fontId="131" fillId="0" borderId="42" xfId="0" applyNumberFormat="1" applyFont="1" applyBorder="1"/>
    <xf numFmtId="165" fontId="65" fillId="0" borderId="9" xfId="0" applyNumberFormat="1" applyFont="1" applyBorder="1"/>
    <xf numFmtId="165" fontId="65" fillId="0" borderId="8" xfId="0" applyNumberFormat="1" applyFont="1" applyBorder="1"/>
    <xf numFmtId="0" fontId="0" fillId="0" borderId="15" xfId="0" applyBorder="1"/>
    <xf numFmtId="3" fontId="2" fillId="0" borderId="9" xfId="0" applyNumberFormat="1" applyFont="1" applyBorder="1"/>
    <xf numFmtId="0" fontId="2" fillId="40" borderId="0" xfId="0" applyFont="1" applyFill="1"/>
    <xf numFmtId="164" fontId="4" fillId="0" borderId="9" xfId="0" applyNumberFormat="1" applyFont="1" applyBorder="1"/>
    <xf numFmtId="164" fontId="2" fillId="0" borderId="9" xfId="0" applyNumberFormat="1" applyFont="1" applyBorder="1" applyAlignment="1">
      <alignment horizontal="right"/>
    </xf>
    <xf numFmtId="0" fontId="2" fillId="0" borderId="0" xfId="0" quotePrefix="1" applyFont="1"/>
    <xf numFmtId="9" fontId="2" fillId="0" borderId="0" xfId="0" applyNumberFormat="1" applyFont="1"/>
    <xf numFmtId="1" fontId="4" fillId="0" borderId="9" xfId="0" applyNumberFormat="1" applyFont="1" applyBorder="1"/>
    <xf numFmtId="164" fontId="2" fillId="0" borderId="0" xfId="0" applyNumberFormat="1" applyFont="1"/>
    <xf numFmtId="164" fontId="4" fillId="31" borderId="0" xfId="0" applyNumberFormat="1" applyFont="1" applyFill="1"/>
    <xf numFmtId="3" fontId="4" fillId="31" borderId="0" xfId="0" applyNumberFormat="1" applyFont="1" applyFill="1"/>
    <xf numFmtId="9" fontId="4" fillId="31" borderId="0" xfId="0" applyNumberFormat="1" applyFont="1" applyFill="1"/>
    <xf numFmtId="0" fontId="2" fillId="40" borderId="9" xfId="0" applyFont="1" applyFill="1" applyBorder="1"/>
    <xf numFmtId="0" fontId="2" fillId="40" borderId="9" xfId="4" applyFont="1" applyFill="1" applyBorder="1"/>
    <xf numFmtId="168" fontId="0" fillId="31" borderId="9" xfId="0" applyNumberFormat="1" applyFill="1" applyBorder="1"/>
    <xf numFmtId="168" fontId="0" fillId="31" borderId="0" xfId="0" applyNumberFormat="1" applyFill="1"/>
    <xf numFmtId="43" fontId="4" fillId="0" borderId="9" xfId="4" applyNumberFormat="1" applyFont="1" applyBorder="1"/>
    <xf numFmtId="170" fontId="4" fillId="0" borderId="9" xfId="4" applyNumberFormat="1" applyFont="1" applyBorder="1"/>
    <xf numFmtId="170" fontId="0" fillId="0" borderId="0" xfId="0" applyNumberFormat="1"/>
    <xf numFmtId="0" fontId="2" fillId="15" borderId="0" xfId="0" applyFont="1" applyFill="1" applyAlignment="1">
      <alignment horizontal="right"/>
    </xf>
    <xf numFmtId="0" fontId="2" fillId="15" borderId="9" xfId="0" applyFont="1" applyFill="1" applyBorder="1" applyAlignment="1">
      <alignment horizontal="left"/>
    </xf>
    <xf numFmtId="0" fontId="2" fillId="15" borderId="9" xfId="0" applyFont="1" applyFill="1" applyBorder="1" applyAlignment="1">
      <alignment horizontal="right"/>
    </xf>
    <xf numFmtId="1" fontId="198" fillId="31" borderId="0" xfId="4" applyNumberFormat="1" applyFont="1" applyFill="1"/>
    <xf numFmtId="164" fontId="206" fillId="31" borderId="0" xfId="0" applyNumberFormat="1" applyFont="1" applyFill="1"/>
    <xf numFmtId="0" fontId="2" fillId="44" borderId="0" xfId="0" applyFont="1" applyFill="1"/>
    <xf numFmtId="164" fontId="131" fillId="0" borderId="0" xfId="0" applyNumberFormat="1" applyFont="1"/>
    <xf numFmtId="0" fontId="65" fillId="0" borderId="0" xfId="0" applyFont="1"/>
    <xf numFmtId="0" fontId="131" fillId="0" borderId="6" xfId="0" applyFont="1" applyBorder="1" applyAlignment="1">
      <alignment horizontal="center"/>
    </xf>
    <xf numFmtId="0" fontId="131" fillId="44" borderId="6" xfId="0" applyFont="1" applyFill="1" applyBorder="1" applyAlignment="1">
      <alignment horizontal="center"/>
    </xf>
    <xf numFmtId="9" fontId="131" fillId="0" borderId="0" xfId="0" applyNumberFormat="1" applyFont="1"/>
    <xf numFmtId="9" fontId="131" fillId="0" borderId="0" xfId="0" applyNumberFormat="1" applyFont="1" applyAlignment="1">
      <alignment horizontal="left"/>
    </xf>
    <xf numFmtId="9" fontId="131" fillId="0" borderId="0" xfId="0" applyNumberFormat="1" applyFont="1" applyAlignment="1">
      <alignment horizontal="right"/>
    </xf>
    <xf numFmtId="0" fontId="131" fillId="0" borderId="46" xfId="0" applyFont="1" applyBorder="1" applyAlignment="1">
      <alignment horizontal="center"/>
    </xf>
    <xf numFmtId="170" fontId="199" fillId="0" borderId="0" xfId="1901" applyNumberFormat="1" applyFont="1"/>
    <xf numFmtId="0" fontId="2" fillId="15" borderId="0" xfId="0" applyFont="1" applyFill="1"/>
    <xf numFmtId="0" fontId="4" fillId="15" borderId="0" xfId="0" applyFont="1" applyFill="1"/>
    <xf numFmtId="0" fontId="0" fillId="39" borderId="0" xfId="0" applyFill="1"/>
    <xf numFmtId="1" fontId="200" fillId="39" borderId="0" xfId="4" applyNumberFormat="1" applyFont="1" applyFill="1"/>
    <xf numFmtId="164" fontId="0" fillId="0" borderId="0" xfId="0" applyNumberFormat="1" applyAlignment="1">
      <alignment horizontal="left"/>
    </xf>
    <xf numFmtId="1" fontId="0" fillId="46" borderId="0" xfId="0" applyNumberFormat="1" applyFill="1"/>
    <xf numFmtId="3" fontId="179" fillId="0" borderId="0" xfId="0" applyNumberFormat="1" applyFont="1"/>
    <xf numFmtId="164" fontId="131" fillId="0" borderId="9" xfId="0" applyNumberFormat="1" applyFont="1" applyBorder="1"/>
    <xf numFmtId="0" fontId="1" fillId="31" borderId="0" xfId="4" applyFont="1" applyFill="1"/>
    <xf numFmtId="164" fontId="131" fillId="44" borderId="9" xfId="4" applyNumberFormat="1" applyFont="1" applyFill="1" applyBorder="1"/>
    <xf numFmtId="9" fontId="131" fillId="44" borderId="9" xfId="4" applyNumberFormat="1" applyFont="1" applyFill="1" applyBorder="1"/>
    <xf numFmtId="164" fontId="65" fillId="44" borderId="9" xfId="4" applyNumberFormat="1" applyFont="1" applyFill="1" applyBorder="1"/>
    <xf numFmtId="9" fontId="65" fillId="44" borderId="9" xfId="4" applyNumberFormat="1" applyFont="1" applyFill="1" applyBorder="1"/>
    <xf numFmtId="164" fontId="131" fillId="0" borderId="0" xfId="4" applyNumberFormat="1" applyFont="1" applyAlignment="1">
      <alignment horizontal="right"/>
    </xf>
    <xf numFmtId="0" fontId="196" fillId="0" borderId="0" xfId="4" applyFont="1"/>
    <xf numFmtId="164" fontId="196" fillId="0" borderId="0" xfId="4" applyNumberFormat="1" applyFont="1"/>
    <xf numFmtId="43" fontId="0" fillId="15" borderId="0" xfId="0" applyNumberFormat="1" applyFill="1" applyAlignment="1">
      <alignment horizontal="right"/>
    </xf>
    <xf numFmtId="164" fontId="0" fillId="15" borderId="0" xfId="0" applyNumberFormat="1" applyFill="1" applyAlignment="1">
      <alignment horizontal="right"/>
    </xf>
    <xf numFmtId="164" fontId="2" fillId="15" borderId="0" xfId="0" applyNumberFormat="1" applyFont="1" applyFill="1" applyAlignment="1">
      <alignment horizontal="right"/>
    </xf>
    <xf numFmtId="171" fontId="2" fillId="15" borderId="0" xfId="0" applyNumberFormat="1" applyFont="1" applyFill="1" applyAlignment="1">
      <alignment horizontal="right"/>
    </xf>
    <xf numFmtId="0" fontId="2" fillId="15" borderId="9" xfId="0" applyFont="1" applyFill="1" applyBorder="1"/>
    <xf numFmtId="0" fontId="0" fillId="15" borderId="9" xfId="0" applyFill="1" applyBorder="1" applyAlignment="1">
      <alignment horizontal="right"/>
    </xf>
    <xf numFmtId="3" fontId="0" fillId="15" borderId="0" xfId="0" applyNumberFormat="1" applyFill="1" applyAlignment="1">
      <alignment horizontal="right"/>
    </xf>
    <xf numFmtId="3" fontId="0" fillId="15" borderId="0" xfId="0" applyNumberFormat="1" applyFill="1"/>
    <xf numFmtId="9" fontId="2" fillId="15" borderId="0" xfId="0" applyNumberFormat="1" applyFont="1" applyFill="1"/>
    <xf numFmtId="10" fontId="4" fillId="0" borderId="0" xfId="0" applyNumberFormat="1" applyFont="1"/>
    <xf numFmtId="0" fontId="8" fillId="0" borderId="0" xfId="4" quotePrefix="1" applyFont="1"/>
    <xf numFmtId="0" fontId="4" fillId="43" borderId="0" xfId="0" applyFont="1" applyFill="1"/>
    <xf numFmtId="0" fontId="211" fillId="0" borderId="0" xfId="0" applyFont="1"/>
    <xf numFmtId="1" fontId="208" fillId="31" borderId="0" xfId="4" applyNumberFormat="1" applyFont="1" applyFill="1"/>
    <xf numFmtId="166" fontId="2" fillId="0" borderId="0" xfId="4" applyNumberFormat="1" applyFont="1"/>
    <xf numFmtId="9" fontId="0" fillId="0" borderId="48" xfId="4" applyNumberFormat="1" applyFont="1" applyBorder="1"/>
    <xf numFmtId="1" fontId="0" fillId="0" borderId="49" xfId="4" applyNumberFormat="1" applyFont="1" applyBorder="1"/>
    <xf numFmtId="9" fontId="0" fillId="0" borderId="50" xfId="4" applyNumberFormat="1" applyFont="1" applyBorder="1"/>
    <xf numFmtId="1" fontId="0" fillId="0" borderId="27" xfId="4" applyNumberFormat="1" applyFont="1" applyBorder="1"/>
    <xf numFmtId="9" fontId="0" fillId="0" borderId="51" xfId="4" applyNumberFormat="1" applyFont="1" applyBorder="1"/>
    <xf numFmtId="1" fontId="0" fillId="0" borderId="52" xfId="4" applyNumberFormat="1" applyFont="1" applyBorder="1"/>
    <xf numFmtId="0" fontId="4" fillId="0" borderId="0" xfId="0" applyFont="1" applyAlignment="1">
      <alignment vertical="center"/>
    </xf>
    <xf numFmtId="0" fontId="4" fillId="0" borderId="0" xfId="0" applyFont="1" applyAlignment="1">
      <alignment horizontal="right" vertical="center"/>
    </xf>
    <xf numFmtId="17" fontId="4" fillId="0" borderId="0" xfId="0" applyNumberFormat="1" applyFont="1" applyAlignment="1">
      <alignment horizontal="right" vertical="center"/>
    </xf>
    <xf numFmtId="9" fontId="4" fillId="0" borderId="0" xfId="0" applyNumberFormat="1" applyFont="1" applyAlignment="1">
      <alignment horizontal="right" vertical="center"/>
    </xf>
    <xf numFmtId="0" fontId="131" fillId="0" borderId="0" xfId="0" applyFont="1" applyAlignment="1">
      <alignment horizontal="right"/>
    </xf>
    <xf numFmtId="3" fontId="131" fillId="0" borderId="33" xfId="0" applyNumberFormat="1" applyFont="1" applyBorder="1"/>
    <xf numFmtId="164" fontId="65" fillId="0" borderId="43" xfId="0" applyNumberFormat="1" applyFont="1" applyBorder="1"/>
    <xf numFmtId="164" fontId="65" fillId="0" borderId="33" xfId="0" applyNumberFormat="1" applyFont="1" applyBorder="1"/>
    <xf numFmtId="164" fontId="65" fillId="0" borderId="44" xfId="0" applyNumberFormat="1" applyFont="1" applyBorder="1"/>
    <xf numFmtId="0" fontId="196" fillId="0" borderId="0" xfId="0" applyFont="1"/>
    <xf numFmtId="1" fontId="196" fillId="0" borderId="0" xfId="0" applyNumberFormat="1" applyFont="1"/>
    <xf numFmtId="164" fontId="196" fillId="0" borderId="0" xfId="0" applyNumberFormat="1" applyFont="1"/>
    <xf numFmtId="1" fontId="131" fillId="0" borderId="33" xfId="0" applyNumberFormat="1" applyFont="1" applyBorder="1"/>
    <xf numFmtId="169" fontId="4" fillId="0" borderId="0" xfId="1901" applyNumberFormat="1" applyFont="1"/>
    <xf numFmtId="164" fontId="65" fillId="44" borderId="0" xfId="4" applyNumberFormat="1" applyFont="1" applyFill="1"/>
    <xf numFmtId="0" fontId="65" fillId="0" borderId="0" xfId="4" applyFont="1"/>
    <xf numFmtId="9" fontId="65" fillId="0" borderId="0" xfId="4" applyNumberFormat="1" applyFont="1" applyAlignment="1">
      <alignment horizontal="right"/>
    </xf>
    <xf numFmtId="164" fontId="65" fillId="0" borderId="0" xfId="4" applyNumberFormat="1" applyFont="1" applyAlignment="1">
      <alignment horizontal="right"/>
    </xf>
    <xf numFmtId="1" fontId="209" fillId="31" borderId="0" xfId="4" applyNumberFormat="1" applyFont="1" applyFill="1"/>
    <xf numFmtId="169" fontId="0" fillId="15" borderId="0" xfId="0" applyNumberFormat="1" applyFill="1" applyAlignment="1">
      <alignment horizontal="right"/>
    </xf>
    <xf numFmtId="164" fontId="0" fillId="0" borderId="0" xfId="0" applyNumberFormat="1" applyAlignment="1">
      <alignment horizontal="right"/>
    </xf>
    <xf numFmtId="3" fontId="0" fillId="25" borderId="9" xfId="4" applyNumberFormat="1" applyFont="1" applyFill="1" applyBorder="1"/>
    <xf numFmtId="9" fontId="212" fillId="0" borderId="0" xfId="0" applyNumberFormat="1" applyFont="1"/>
    <xf numFmtId="164" fontId="212" fillId="0" borderId="0" xfId="4" applyNumberFormat="1" applyFont="1"/>
    <xf numFmtId="0" fontId="2" fillId="0" borderId="0" xfId="0" applyFont="1" applyAlignment="1">
      <alignment horizontal="left"/>
    </xf>
    <xf numFmtId="0" fontId="2" fillId="0" borderId="0" xfId="1901" quotePrefix="1" applyFont="1"/>
    <xf numFmtId="1" fontId="212" fillId="25" borderId="9" xfId="4" applyNumberFormat="1" applyFont="1" applyFill="1" applyBorder="1"/>
    <xf numFmtId="9" fontId="0" fillId="43" borderId="0" xfId="0" applyNumberFormat="1" applyFill="1"/>
    <xf numFmtId="164" fontId="4" fillId="0" borderId="0" xfId="0" applyNumberFormat="1" applyFont="1" applyAlignment="1">
      <alignment horizontal="right"/>
    </xf>
    <xf numFmtId="0" fontId="10" fillId="0" borderId="0" xfId="0" applyFont="1" applyAlignment="1">
      <alignment horizontal="left"/>
    </xf>
    <xf numFmtId="9" fontId="0" fillId="0" borderId="0" xfId="0" applyNumberFormat="1" applyAlignment="1">
      <alignment horizontal="right"/>
    </xf>
    <xf numFmtId="0" fontId="212" fillId="0" borderId="0" xfId="4" applyFont="1"/>
    <xf numFmtId="9" fontId="212" fillId="0" borderId="0" xfId="4" applyNumberFormat="1" applyFont="1"/>
    <xf numFmtId="17" fontId="2" fillId="0" borderId="9" xfId="0" applyNumberFormat="1" applyFont="1" applyBorder="1" applyAlignment="1">
      <alignment horizontal="right"/>
    </xf>
    <xf numFmtId="3" fontId="0" fillId="0" borderId="9" xfId="0" applyNumberFormat="1" applyBorder="1" applyAlignment="1">
      <alignment horizontal="right"/>
    </xf>
    <xf numFmtId="164" fontId="0" fillId="0" borderId="9" xfId="0" applyNumberFormat="1" applyBorder="1" applyAlignment="1">
      <alignment horizontal="right"/>
    </xf>
    <xf numFmtId="0" fontId="2" fillId="0" borderId="0" xfId="0" applyFont="1" applyAlignment="1">
      <alignment vertical="center"/>
    </xf>
    <xf numFmtId="172" fontId="0" fillId="15" borderId="0" xfId="0" applyNumberFormat="1" applyFill="1" applyAlignment="1">
      <alignment horizontal="right"/>
    </xf>
    <xf numFmtId="0" fontId="4" fillId="15" borderId="0" xfId="0" applyFont="1" applyFill="1" applyAlignment="1">
      <alignment horizontal="right"/>
    </xf>
    <xf numFmtId="164" fontId="4" fillId="15" borderId="0" xfId="0" applyNumberFormat="1" applyFont="1" applyFill="1"/>
    <xf numFmtId="0" fontId="4" fillId="15" borderId="9" xfId="0" applyFont="1" applyFill="1" applyBorder="1"/>
    <xf numFmtId="164" fontId="4" fillId="15" borderId="9" xfId="0" applyNumberFormat="1" applyFont="1" applyFill="1" applyBorder="1"/>
    <xf numFmtId="0" fontId="213" fillId="15" borderId="0" xfId="0" applyFont="1" applyFill="1"/>
    <xf numFmtId="164" fontId="213" fillId="15" borderId="0" xfId="0" applyNumberFormat="1" applyFont="1" applyFill="1"/>
    <xf numFmtId="164" fontId="213" fillId="31" borderId="0" xfId="0" applyNumberFormat="1" applyFont="1" applyFill="1"/>
    <xf numFmtId="16" fontId="4" fillId="0" borderId="0" xfId="0" quotePrefix="1" applyNumberFormat="1" applyFont="1"/>
    <xf numFmtId="16" fontId="10" fillId="0" borderId="0" xfId="0" applyNumberFormat="1" applyFont="1"/>
    <xf numFmtId="0" fontId="215" fillId="15" borderId="0" xfId="0" applyFont="1" applyFill="1" applyAlignment="1">
      <alignment horizontal="right"/>
    </xf>
    <xf numFmtId="1" fontId="4" fillId="31" borderId="0" xfId="0" applyNumberFormat="1" applyFont="1" applyFill="1"/>
    <xf numFmtId="1" fontId="4" fillId="31" borderId="9" xfId="0" applyNumberFormat="1" applyFont="1" applyFill="1" applyBorder="1"/>
    <xf numFmtId="0" fontId="219" fillId="40" borderId="0" xfId="0" applyFont="1" applyFill="1"/>
    <xf numFmtId="0" fontId="2" fillId="0" borderId="0" xfId="4" quotePrefix="1" applyFont="1"/>
    <xf numFmtId="9" fontId="178" fillId="0" borderId="0" xfId="4" applyNumberFormat="1" applyFont="1"/>
    <xf numFmtId="1" fontId="216" fillId="31" borderId="0" xfId="4" applyNumberFormat="1" applyFont="1" applyFill="1"/>
    <xf numFmtId="0" fontId="4" fillId="0" borderId="46" xfId="0" applyFont="1" applyBorder="1"/>
    <xf numFmtId="0" fontId="4" fillId="0" borderId="15" xfId="0" applyFont="1" applyBorder="1"/>
    <xf numFmtId="164" fontId="0" fillId="0" borderId="15" xfId="0" applyNumberFormat="1" applyBorder="1"/>
    <xf numFmtId="164" fontId="0" fillId="0" borderId="8" xfId="0" applyNumberFormat="1" applyBorder="1"/>
    <xf numFmtId="0" fontId="131" fillId="0" borderId="5" xfId="0" applyFont="1" applyBorder="1" applyAlignment="1">
      <alignment vertical="center"/>
    </xf>
    <xf numFmtId="0" fontId="131" fillId="0" borderId="5" xfId="0" applyFont="1" applyBorder="1" applyAlignment="1">
      <alignment horizontal="right" vertical="center"/>
    </xf>
    <xf numFmtId="0" fontId="131" fillId="0" borderId="51" xfId="0" applyFont="1" applyBorder="1" applyAlignment="1">
      <alignment vertical="center"/>
    </xf>
    <xf numFmtId="3" fontId="131" fillId="0" borderId="5" xfId="0" applyNumberFormat="1" applyFont="1" applyBorder="1" applyAlignment="1">
      <alignment horizontal="right" vertical="center"/>
    </xf>
    <xf numFmtId="0" fontId="131" fillId="0" borderId="0" xfId="0" applyFont="1" applyAlignment="1">
      <alignment vertical="center"/>
    </xf>
    <xf numFmtId="3" fontId="131" fillId="0" borderId="0" xfId="0" applyNumberFormat="1" applyFont="1" applyAlignment="1">
      <alignment horizontal="right" vertical="center"/>
    </xf>
    <xf numFmtId="0" fontId="131" fillId="0" borderId="0" xfId="0" applyFont="1" applyAlignment="1">
      <alignment horizontal="right" vertical="center"/>
    </xf>
    <xf numFmtId="0" fontId="7" fillId="0" borderId="0" xfId="0" applyFont="1"/>
    <xf numFmtId="0" fontId="131" fillId="0" borderId="53" xfId="0" applyFont="1" applyBorder="1" applyAlignment="1">
      <alignment vertical="center"/>
    </xf>
    <xf numFmtId="0" fontId="131" fillId="0" borderId="54" xfId="0" applyFont="1" applyBorder="1" applyAlignment="1">
      <alignment horizontal="right" vertical="center"/>
    </xf>
    <xf numFmtId="0" fontId="131" fillId="0" borderId="47" xfId="0" applyFont="1" applyBorder="1" applyAlignment="1">
      <alignment horizontal="right" vertical="center"/>
    </xf>
    <xf numFmtId="0" fontId="131" fillId="15" borderId="9" xfId="0" applyFont="1" applyFill="1" applyBorder="1" applyAlignment="1">
      <alignment horizontal="left"/>
    </xf>
    <xf numFmtId="0" fontId="131" fillId="15" borderId="0" xfId="0" applyFont="1" applyFill="1" applyAlignment="1">
      <alignment horizontal="left"/>
    </xf>
    <xf numFmtId="9" fontId="131" fillId="15" borderId="0" xfId="0" applyNumberFormat="1" applyFont="1" applyFill="1" applyAlignment="1">
      <alignment horizontal="right"/>
    </xf>
    <xf numFmtId="9" fontId="131" fillId="15" borderId="9" xfId="0" applyNumberFormat="1" applyFont="1" applyFill="1" applyBorder="1" applyAlignment="1">
      <alignment horizontal="right"/>
    </xf>
    <xf numFmtId="0" fontId="131" fillId="15" borderId="0" xfId="0" applyFont="1" applyFill="1" applyAlignment="1">
      <alignment horizontal="right"/>
    </xf>
    <xf numFmtId="0" fontId="131" fillId="15" borderId="0" xfId="0" applyFont="1" applyFill="1"/>
    <xf numFmtId="0" fontId="65" fillId="15" borderId="0" xfId="0" applyFont="1" applyFill="1" applyAlignment="1">
      <alignment horizontal="left"/>
    </xf>
    <xf numFmtId="164" fontId="65" fillId="15" borderId="0" xfId="0" applyNumberFormat="1" applyFont="1" applyFill="1" applyAlignment="1">
      <alignment horizontal="right"/>
    </xf>
    <xf numFmtId="0" fontId="65" fillId="15" borderId="9" xfId="0" applyFont="1" applyFill="1" applyBorder="1" applyAlignment="1">
      <alignment horizontal="left"/>
    </xf>
    <xf numFmtId="0" fontId="65" fillId="15" borderId="9" xfId="0" applyFont="1" applyFill="1" applyBorder="1" applyAlignment="1">
      <alignment horizontal="right"/>
    </xf>
    <xf numFmtId="1" fontId="205" fillId="31" borderId="0" xfId="4" applyNumberFormat="1" applyFont="1" applyFill="1"/>
    <xf numFmtId="169" fontId="0" fillId="15" borderId="0" xfId="0" applyNumberFormat="1" applyFill="1"/>
    <xf numFmtId="169" fontId="2" fillId="15" borderId="0" xfId="0" applyNumberFormat="1" applyFont="1" applyFill="1"/>
    <xf numFmtId="0" fontId="220" fillId="15" borderId="9" xfId="1758" applyFont="1" applyFill="1" applyBorder="1" applyAlignment="1" applyProtection="1"/>
    <xf numFmtId="0" fontId="221" fillId="15" borderId="9" xfId="0" applyFont="1" applyFill="1" applyBorder="1" applyAlignment="1">
      <alignment horizontal="right"/>
    </xf>
    <xf numFmtId="0" fontId="221" fillId="15" borderId="8" xfId="0" applyFont="1" applyFill="1" applyBorder="1" applyAlignment="1">
      <alignment horizontal="right"/>
    </xf>
    <xf numFmtId="0" fontId="221" fillId="15" borderId="0" xfId="0" applyFont="1" applyFill="1"/>
    <xf numFmtId="0" fontId="222" fillId="15" borderId="33" xfId="0" applyFont="1" applyFill="1" applyBorder="1"/>
    <xf numFmtId="0" fontId="215" fillId="15" borderId="33" xfId="0" applyFont="1" applyFill="1" applyBorder="1" applyAlignment="1">
      <alignment horizontal="right"/>
    </xf>
    <xf numFmtId="0" fontId="215" fillId="15" borderId="6" xfId="0" applyFont="1" applyFill="1" applyBorder="1" applyAlignment="1">
      <alignment horizontal="right"/>
    </xf>
    <xf numFmtId="170" fontId="215" fillId="15" borderId="0" xfId="0" applyNumberFormat="1" applyFont="1" applyFill="1" applyAlignment="1">
      <alignment horizontal="right"/>
    </xf>
    <xf numFmtId="0" fontId="215" fillId="15" borderId="15" xfId="0" applyFont="1" applyFill="1" applyBorder="1" applyAlignment="1">
      <alignment horizontal="right"/>
    </xf>
    <xf numFmtId="170" fontId="215" fillId="15" borderId="46" xfId="0" applyNumberFormat="1" applyFont="1" applyFill="1" applyBorder="1" applyAlignment="1">
      <alignment horizontal="right"/>
    </xf>
    <xf numFmtId="170" fontId="215" fillId="15" borderId="15" xfId="0" applyNumberFormat="1" applyFont="1" applyFill="1" applyBorder="1" applyAlignment="1">
      <alignment horizontal="right"/>
    </xf>
    <xf numFmtId="170" fontId="221" fillId="15" borderId="0" xfId="1541" applyNumberFormat="1" applyFont="1" applyFill="1" applyAlignment="1">
      <alignment horizontal="right"/>
    </xf>
    <xf numFmtId="170" fontId="221" fillId="15" borderId="15" xfId="1541" applyNumberFormat="1" applyFont="1" applyFill="1" applyBorder="1" applyAlignment="1">
      <alignment horizontal="right"/>
    </xf>
    <xf numFmtId="3" fontId="223" fillId="15" borderId="0" xfId="1590" applyNumberFormat="1" applyFont="1" applyFill="1" applyBorder="1" applyAlignment="1">
      <alignment horizontal="right" vertical="center"/>
    </xf>
    <xf numFmtId="3" fontId="223" fillId="15" borderId="0" xfId="1872" applyNumberFormat="1" applyFont="1" applyFill="1" applyAlignment="1">
      <alignment horizontal="right" vertical="center"/>
    </xf>
    <xf numFmtId="3" fontId="223" fillId="15" borderId="20" xfId="1872" applyNumberFormat="1" applyFont="1" applyFill="1" applyBorder="1" applyAlignment="1">
      <alignment horizontal="right" vertical="center"/>
    </xf>
    <xf numFmtId="3" fontId="223" fillId="15" borderId="15" xfId="1872" applyNumberFormat="1" applyFont="1" applyFill="1" applyBorder="1" applyAlignment="1">
      <alignment horizontal="right" vertical="center"/>
    </xf>
    <xf numFmtId="0" fontId="215" fillId="15" borderId="0" xfId="0" applyFont="1" applyFill="1"/>
    <xf numFmtId="170" fontId="215" fillId="15" borderId="0" xfId="1541" applyNumberFormat="1" applyFont="1" applyFill="1" applyAlignment="1">
      <alignment horizontal="right"/>
    </xf>
    <xf numFmtId="170" fontId="217" fillId="15" borderId="15" xfId="1541" applyNumberFormat="1" applyFont="1" applyFill="1" applyBorder="1" applyAlignment="1">
      <alignment horizontal="right"/>
    </xf>
    <xf numFmtId="3" fontId="224" fillId="15" borderId="0" xfId="1590" applyNumberFormat="1" applyFont="1" applyFill="1" applyBorder="1" applyAlignment="1">
      <alignment horizontal="right"/>
    </xf>
    <xf numFmtId="3" fontId="224" fillId="15" borderId="20" xfId="1590" applyNumberFormat="1" applyFont="1" applyFill="1" applyBorder="1" applyAlignment="1">
      <alignment horizontal="right"/>
    </xf>
    <xf numFmtId="3" fontId="224" fillId="15" borderId="15" xfId="1590" applyNumberFormat="1" applyFont="1" applyFill="1" applyBorder="1" applyAlignment="1">
      <alignment horizontal="right"/>
    </xf>
    <xf numFmtId="171" fontId="221" fillId="15" borderId="0" xfId="1541" applyNumberFormat="1" applyFont="1" applyFill="1" applyAlignment="1">
      <alignment horizontal="right"/>
    </xf>
    <xf numFmtId="171" fontId="221" fillId="15" borderId="15" xfId="1541" applyNumberFormat="1" applyFont="1" applyFill="1" applyBorder="1" applyAlignment="1">
      <alignment horizontal="right"/>
    </xf>
    <xf numFmtId="171" fontId="221" fillId="15" borderId="0" xfId="1555" applyNumberFormat="1" applyFont="1" applyFill="1" applyAlignment="1">
      <alignment horizontal="right"/>
    </xf>
    <xf numFmtId="171" fontId="221" fillId="15" borderId="20" xfId="1555" applyNumberFormat="1" applyFont="1" applyFill="1" applyBorder="1" applyAlignment="1">
      <alignment horizontal="right"/>
    </xf>
    <xf numFmtId="170" fontId="215" fillId="15" borderId="15" xfId="1541" applyNumberFormat="1" applyFont="1" applyFill="1" applyBorder="1" applyAlignment="1">
      <alignment horizontal="right"/>
    </xf>
    <xf numFmtId="9" fontId="215" fillId="15" borderId="15" xfId="1541" applyNumberFormat="1" applyFont="1" applyFill="1" applyBorder="1" applyAlignment="1">
      <alignment horizontal="right"/>
    </xf>
    <xf numFmtId="10" fontId="217" fillId="15" borderId="0" xfId="1967" applyNumberFormat="1" applyFont="1" applyFill="1" applyAlignment="1">
      <alignment horizontal="right"/>
    </xf>
    <xf numFmtId="170" fontId="217" fillId="15" borderId="0" xfId="1555" applyNumberFormat="1" applyFont="1" applyFill="1" applyAlignment="1">
      <alignment horizontal="right"/>
    </xf>
    <xf numFmtId="170" fontId="217" fillId="15" borderId="20" xfId="1555" applyNumberFormat="1" applyFont="1" applyFill="1" applyBorder="1" applyAlignment="1">
      <alignment horizontal="right"/>
    </xf>
    <xf numFmtId="170" fontId="221" fillId="15" borderId="0" xfId="1858" applyNumberFormat="1" applyFont="1" applyFill="1" applyAlignment="1">
      <alignment horizontal="right" vertical="center"/>
    </xf>
    <xf numFmtId="3" fontId="223" fillId="15" borderId="0" xfId="1592" applyNumberFormat="1" applyFont="1" applyFill="1" applyBorder="1" applyAlignment="1">
      <alignment horizontal="right" vertical="center"/>
    </xf>
    <xf numFmtId="3" fontId="223" fillId="15" borderId="0" xfId="1873" applyNumberFormat="1" applyFont="1" applyFill="1" applyAlignment="1">
      <alignment horizontal="right" vertical="center"/>
    </xf>
    <xf numFmtId="3" fontId="223" fillId="15" borderId="20" xfId="1873" applyNumberFormat="1" applyFont="1" applyFill="1" applyBorder="1" applyAlignment="1">
      <alignment horizontal="right" vertical="center"/>
    </xf>
    <xf numFmtId="3" fontId="223" fillId="15" borderId="15" xfId="1873" applyNumberFormat="1" applyFont="1" applyFill="1" applyBorder="1" applyAlignment="1">
      <alignment horizontal="right" vertical="center"/>
    </xf>
    <xf numFmtId="3" fontId="224" fillId="15" borderId="0" xfId="1592" applyNumberFormat="1" applyFont="1" applyFill="1" applyBorder="1" applyAlignment="1">
      <alignment horizontal="right"/>
    </xf>
    <xf numFmtId="3" fontId="224" fillId="15" borderId="15" xfId="1592" applyNumberFormat="1" applyFont="1" applyFill="1" applyBorder="1" applyAlignment="1">
      <alignment horizontal="right"/>
    </xf>
    <xf numFmtId="170" fontId="221" fillId="15" borderId="0" xfId="1555" applyNumberFormat="1" applyFont="1" applyFill="1" applyAlignment="1">
      <alignment horizontal="right"/>
    </xf>
    <xf numFmtId="170" fontId="221" fillId="15" borderId="20" xfId="1555" applyNumberFormat="1" applyFont="1" applyFill="1" applyBorder="1" applyAlignment="1">
      <alignment horizontal="right"/>
    </xf>
    <xf numFmtId="170" fontId="221" fillId="15" borderId="0" xfId="1563" applyNumberFormat="1" applyFont="1" applyFill="1" applyAlignment="1">
      <alignment horizontal="right"/>
    </xf>
    <xf numFmtId="3" fontId="223" fillId="15" borderId="0" xfId="1594" applyNumberFormat="1" applyFont="1" applyFill="1" applyBorder="1" applyAlignment="1">
      <alignment horizontal="right" vertical="center"/>
    </xf>
    <xf numFmtId="3" fontId="223" fillId="15" borderId="0" xfId="1874" applyNumberFormat="1" applyFont="1" applyFill="1" applyAlignment="1">
      <alignment horizontal="right" vertical="center"/>
    </xf>
    <xf numFmtId="3" fontId="223" fillId="15" borderId="20" xfId="1874" applyNumberFormat="1" applyFont="1" applyFill="1" applyBorder="1" applyAlignment="1">
      <alignment horizontal="right" vertical="center"/>
    </xf>
    <xf numFmtId="3" fontId="223" fillId="15" borderId="15" xfId="1874" applyNumberFormat="1" applyFont="1" applyFill="1" applyBorder="1" applyAlignment="1">
      <alignment horizontal="right" vertical="center"/>
    </xf>
    <xf numFmtId="170" fontId="217" fillId="15" borderId="0" xfId="1541" applyNumberFormat="1" applyFont="1" applyFill="1" applyAlignment="1">
      <alignment horizontal="right"/>
    </xf>
    <xf numFmtId="3" fontId="224" fillId="15" borderId="0" xfId="1594" applyNumberFormat="1" applyFont="1" applyFill="1" applyBorder="1" applyAlignment="1">
      <alignment horizontal="right"/>
    </xf>
    <xf numFmtId="3" fontId="224" fillId="15" borderId="20" xfId="1594" applyNumberFormat="1" applyFont="1" applyFill="1" applyBorder="1" applyAlignment="1">
      <alignment horizontal="right"/>
    </xf>
    <xf numFmtId="3" fontId="224" fillId="15" borderId="15" xfId="1594" applyNumberFormat="1" applyFont="1" applyFill="1" applyBorder="1" applyAlignment="1">
      <alignment horizontal="right"/>
    </xf>
    <xf numFmtId="3" fontId="223" fillId="15" borderId="0" xfId="1596" applyNumberFormat="1" applyFont="1" applyFill="1" applyBorder="1" applyAlignment="1">
      <alignment horizontal="right" vertical="center"/>
    </xf>
    <xf numFmtId="3" fontId="223" fillId="15" borderId="0" xfId="1875" applyNumberFormat="1" applyFont="1" applyFill="1" applyAlignment="1">
      <alignment horizontal="right" vertical="center"/>
    </xf>
    <xf numFmtId="3" fontId="223" fillId="15" borderId="20" xfId="1875" applyNumberFormat="1" applyFont="1" applyFill="1" applyBorder="1" applyAlignment="1">
      <alignment horizontal="right" vertical="center"/>
    </xf>
    <xf numFmtId="3" fontId="223" fillId="15" borderId="15" xfId="1875" applyNumberFormat="1" applyFont="1" applyFill="1" applyBorder="1" applyAlignment="1">
      <alignment horizontal="right" vertical="center"/>
    </xf>
    <xf numFmtId="3" fontId="224" fillId="15" borderId="0" xfId="1596" applyNumberFormat="1" applyFont="1" applyFill="1" applyBorder="1" applyAlignment="1">
      <alignment horizontal="right"/>
    </xf>
    <xf numFmtId="3" fontId="224" fillId="15" borderId="20" xfId="1596" applyNumberFormat="1" applyFont="1" applyFill="1" applyBorder="1" applyAlignment="1">
      <alignment horizontal="right"/>
    </xf>
    <xf numFmtId="3" fontId="224" fillId="15" borderId="15" xfId="1596" applyNumberFormat="1" applyFont="1" applyFill="1" applyBorder="1" applyAlignment="1">
      <alignment horizontal="right"/>
    </xf>
    <xf numFmtId="170" fontId="217" fillId="15" borderId="0" xfId="1563" applyNumberFormat="1" applyFont="1" applyFill="1" applyAlignment="1">
      <alignment horizontal="right"/>
    </xf>
    <xf numFmtId="3" fontId="223" fillId="15" borderId="0" xfId="1598" applyNumberFormat="1" applyFont="1" applyFill="1" applyBorder="1" applyAlignment="1">
      <alignment horizontal="right"/>
    </xf>
    <xf numFmtId="3" fontId="223" fillId="15" borderId="20" xfId="1598" applyNumberFormat="1" applyFont="1" applyFill="1" applyBorder="1" applyAlignment="1">
      <alignment horizontal="right"/>
    </xf>
    <xf numFmtId="3" fontId="223" fillId="15" borderId="15" xfId="1598" applyNumberFormat="1" applyFont="1" applyFill="1" applyBorder="1" applyAlignment="1">
      <alignment horizontal="right"/>
    </xf>
    <xf numFmtId="225" fontId="221" fillId="15" borderId="0" xfId="1555" applyFont="1" applyFill="1" applyAlignment="1">
      <alignment horizontal="right"/>
    </xf>
    <xf numFmtId="225" fontId="221" fillId="15" borderId="0" xfId="1563" applyFont="1" applyFill="1" applyAlignment="1">
      <alignment horizontal="right"/>
    </xf>
    <xf numFmtId="164" fontId="215" fillId="15" borderId="0" xfId="1941" applyNumberFormat="1" applyFont="1" applyFill="1" applyAlignment="1">
      <alignment horizontal="right"/>
    </xf>
    <xf numFmtId="170" fontId="217" fillId="15" borderId="0" xfId="1614" applyNumberFormat="1" applyFont="1" applyFill="1" applyAlignment="1">
      <alignment horizontal="right"/>
    </xf>
    <xf numFmtId="0" fontId="159" fillId="15" borderId="9" xfId="0" applyFont="1" applyFill="1" applyBorder="1"/>
    <xf numFmtId="170" fontId="159" fillId="15" borderId="9" xfId="1541" applyNumberFormat="1" applyFont="1" applyFill="1" applyBorder="1" applyAlignment="1">
      <alignment horizontal="right"/>
    </xf>
    <xf numFmtId="170" fontId="221" fillId="15" borderId="8" xfId="1541" applyNumberFormat="1" applyFont="1" applyFill="1" applyBorder="1" applyAlignment="1">
      <alignment horizontal="right"/>
    </xf>
    <xf numFmtId="3" fontId="223" fillId="15" borderId="40" xfId="1600" applyNumberFormat="1" applyFont="1" applyFill="1" applyBorder="1" applyAlignment="1">
      <alignment horizontal="right"/>
    </xf>
    <xf numFmtId="3" fontId="223" fillId="15" borderId="9" xfId="1600" applyNumberFormat="1" applyFont="1" applyFill="1" applyBorder="1" applyAlignment="1">
      <alignment horizontal="right"/>
    </xf>
    <xf numFmtId="3" fontId="223" fillId="15" borderId="42" xfId="1600" applyNumberFormat="1" applyFont="1" applyFill="1" applyBorder="1" applyAlignment="1">
      <alignment horizontal="right"/>
    </xf>
    <xf numFmtId="3" fontId="223" fillId="15" borderId="8" xfId="1600" applyNumberFormat="1" applyFont="1" applyFill="1" applyBorder="1" applyAlignment="1">
      <alignment horizontal="right"/>
    </xf>
    <xf numFmtId="170" fontId="215" fillId="15" borderId="0" xfId="1541" applyNumberFormat="1" applyFont="1" applyFill="1" applyBorder="1" applyAlignment="1">
      <alignment horizontal="right"/>
    </xf>
    <xf numFmtId="171" fontId="221" fillId="15" borderId="0" xfId="1549" applyNumberFormat="1" applyFont="1" applyFill="1" applyAlignment="1">
      <alignment horizontal="right"/>
    </xf>
    <xf numFmtId="171" fontId="221" fillId="15" borderId="20" xfId="1549" applyNumberFormat="1" applyFont="1" applyFill="1" applyBorder="1" applyAlignment="1">
      <alignment horizontal="right"/>
    </xf>
    <xf numFmtId="170" fontId="217" fillId="15" borderId="0" xfId="1549" applyNumberFormat="1" applyFont="1" applyFill="1" applyAlignment="1">
      <alignment horizontal="right"/>
    </xf>
    <xf numFmtId="170" fontId="217" fillId="15" borderId="20" xfId="1549" applyNumberFormat="1" applyFont="1" applyFill="1" applyBorder="1" applyAlignment="1">
      <alignment horizontal="right"/>
    </xf>
    <xf numFmtId="170" fontId="221" fillId="15" borderId="0" xfId="1549" applyNumberFormat="1" applyFont="1" applyFill="1" applyBorder="1" applyAlignment="1">
      <alignment horizontal="right" vertical="center"/>
    </xf>
    <xf numFmtId="170" fontId="221" fillId="15" borderId="0" xfId="1847" applyNumberFormat="1" applyFont="1" applyFill="1" applyAlignment="1">
      <alignment horizontal="right" vertical="center"/>
    </xf>
    <xf numFmtId="170" fontId="221" fillId="15" borderId="20" xfId="1847" applyNumberFormat="1" applyFont="1" applyFill="1" applyBorder="1" applyAlignment="1">
      <alignment horizontal="right" vertical="center"/>
    </xf>
    <xf numFmtId="170" fontId="217" fillId="15" borderId="0" xfId="1549" applyNumberFormat="1" applyFont="1" applyFill="1" applyBorder="1" applyAlignment="1">
      <alignment horizontal="right"/>
    </xf>
    <xf numFmtId="170" fontId="221" fillId="15" borderId="0" xfId="1549" applyNumberFormat="1" applyFont="1" applyFill="1" applyBorder="1" applyAlignment="1">
      <alignment horizontal="right"/>
    </xf>
    <xf numFmtId="170" fontId="221" fillId="15" borderId="20" xfId="1549" applyNumberFormat="1" applyFont="1" applyFill="1" applyBorder="1" applyAlignment="1">
      <alignment horizontal="right"/>
    </xf>
    <xf numFmtId="0" fontId="215" fillId="15" borderId="9" xfId="0" applyFont="1" applyFill="1" applyBorder="1"/>
    <xf numFmtId="170" fontId="215" fillId="15" borderId="9" xfId="1541" applyNumberFormat="1" applyFont="1" applyFill="1" applyBorder="1" applyAlignment="1">
      <alignment horizontal="right"/>
    </xf>
    <xf numFmtId="170" fontId="217" fillId="15" borderId="8" xfId="1541" applyNumberFormat="1" applyFont="1" applyFill="1" applyBorder="1" applyAlignment="1">
      <alignment horizontal="right"/>
    </xf>
    <xf numFmtId="170" fontId="215" fillId="15" borderId="8" xfId="1541" applyNumberFormat="1" applyFont="1" applyFill="1" applyBorder="1" applyAlignment="1">
      <alignment horizontal="right"/>
    </xf>
    <xf numFmtId="170" fontId="217" fillId="15" borderId="9" xfId="1549" applyNumberFormat="1" applyFont="1" applyFill="1" applyBorder="1" applyAlignment="1">
      <alignment horizontal="right"/>
    </xf>
    <xf numFmtId="170" fontId="217" fillId="15" borderId="42" xfId="1549" applyNumberFormat="1" applyFont="1" applyFill="1" applyBorder="1" applyAlignment="1">
      <alignment horizontal="right"/>
    </xf>
    <xf numFmtId="170" fontId="221" fillId="15" borderId="0" xfId="1545" applyNumberFormat="1" applyFont="1" applyFill="1" applyAlignment="1">
      <alignment horizontal="right"/>
    </xf>
    <xf numFmtId="170" fontId="217" fillId="15" borderId="0" xfId="1545" applyNumberFormat="1" applyFont="1" applyFill="1" applyAlignment="1">
      <alignment horizontal="right"/>
    </xf>
    <xf numFmtId="171" fontId="221" fillId="15" borderId="0" xfId="1545" applyNumberFormat="1" applyFont="1" applyFill="1" applyAlignment="1">
      <alignment horizontal="right"/>
    </xf>
    <xf numFmtId="170" fontId="221" fillId="31" borderId="0" xfId="1541" applyNumberFormat="1" applyFont="1" applyFill="1" applyAlignment="1">
      <alignment horizontal="right"/>
    </xf>
    <xf numFmtId="171" fontId="217" fillId="15" borderId="0" xfId="1541" applyNumberFormat="1" applyFont="1" applyFill="1" applyAlignment="1">
      <alignment horizontal="right"/>
    </xf>
    <xf numFmtId="171" fontId="217" fillId="15" borderId="15" xfId="1541" applyNumberFormat="1" applyFont="1" applyFill="1" applyBorder="1" applyAlignment="1">
      <alignment horizontal="right"/>
    </xf>
    <xf numFmtId="9" fontId="217" fillId="15" borderId="0" xfId="1545" applyNumberFormat="1" applyFont="1" applyFill="1" applyAlignment="1">
      <alignment horizontal="right"/>
    </xf>
    <xf numFmtId="170" fontId="217" fillId="15" borderId="9" xfId="1545" applyNumberFormat="1" applyFont="1" applyFill="1" applyBorder="1" applyAlignment="1">
      <alignment horizontal="right"/>
    </xf>
    <xf numFmtId="170" fontId="221" fillId="15" borderId="0" xfId="1551" applyNumberFormat="1" applyFont="1" applyFill="1" applyBorder="1" applyAlignment="1">
      <alignment horizontal="right"/>
    </xf>
    <xf numFmtId="170" fontId="221" fillId="15" borderId="20" xfId="1551" applyNumberFormat="1" applyFont="1" applyFill="1" applyBorder="1" applyAlignment="1">
      <alignment horizontal="right"/>
    </xf>
    <xf numFmtId="170" fontId="221" fillId="15" borderId="15" xfId="1852" applyNumberFormat="1" applyFont="1" applyFill="1" applyBorder="1" applyAlignment="1">
      <alignment horizontal="right" vertical="center"/>
    </xf>
    <xf numFmtId="169" fontId="221" fillId="15" borderId="15" xfId="1541" applyNumberFormat="1" applyFont="1" applyFill="1" applyBorder="1" applyAlignment="1">
      <alignment horizontal="right"/>
    </xf>
    <xf numFmtId="170" fontId="217" fillId="15" borderId="0" xfId="1551" applyNumberFormat="1" applyFont="1" applyFill="1" applyBorder="1" applyAlignment="1">
      <alignment horizontal="right"/>
    </xf>
    <xf numFmtId="170" fontId="217" fillId="15" borderId="20" xfId="1551" applyNumberFormat="1" applyFont="1" applyFill="1" applyBorder="1" applyAlignment="1">
      <alignment horizontal="right"/>
    </xf>
    <xf numFmtId="170" fontId="217" fillId="15" borderId="15" xfId="1553" applyNumberFormat="1" applyFont="1" applyFill="1" applyBorder="1" applyAlignment="1">
      <alignment horizontal="right"/>
    </xf>
    <xf numFmtId="171" fontId="221" fillId="15" borderId="0" xfId="1551" applyNumberFormat="1" applyFont="1" applyFill="1" applyAlignment="1">
      <alignment horizontal="right"/>
    </xf>
    <xf numFmtId="171" fontId="221" fillId="15" borderId="20" xfId="1551" applyNumberFormat="1" applyFont="1" applyFill="1" applyBorder="1" applyAlignment="1">
      <alignment horizontal="right"/>
    </xf>
    <xf numFmtId="171" fontId="221" fillId="15" borderId="15" xfId="1553" applyNumberFormat="1" applyFont="1" applyFill="1" applyBorder="1" applyAlignment="1">
      <alignment horizontal="right"/>
    </xf>
    <xf numFmtId="170" fontId="217" fillId="15" borderId="0" xfId="1551" applyNumberFormat="1" applyFont="1" applyFill="1" applyAlignment="1">
      <alignment horizontal="right"/>
    </xf>
    <xf numFmtId="170" fontId="215" fillId="0" borderId="0" xfId="1541" applyNumberFormat="1" applyFont="1" applyFill="1" applyAlignment="1">
      <alignment horizontal="right"/>
    </xf>
    <xf numFmtId="0" fontId="224" fillId="15" borderId="0" xfId="1848" applyFont="1" applyFill="1" applyAlignment="1">
      <alignment horizontal="right"/>
    </xf>
    <xf numFmtId="0" fontId="224" fillId="0" borderId="0" xfId="1848" applyFont="1" applyAlignment="1">
      <alignment horizontal="right"/>
    </xf>
    <xf numFmtId="170" fontId="221" fillId="15" borderId="15" xfId="1553" applyNumberFormat="1" applyFont="1" applyFill="1" applyBorder="1" applyAlignment="1">
      <alignment horizontal="right"/>
    </xf>
    <xf numFmtId="170" fontId="217" fillId="15" borderId="9" xfId="1551" applyNumberFormat="1" applyFont="1" applyFill="1" applyBorder="1" applyAlignment="1">
      <alignment horizontal="right"/>
    </xf>
    <xf numFmtId="170" fontId="217" fillId="15" borderId="42" xfId="1551" applyNumberFormat="1" applyFont="1" applyFill="1" applyBorder="1" applyAlignment="1">
      <alignment horizontal="right"/>
    </xf>
    <xf numFmtId="170" fontId="217" fillId="15" borderId="8" xfId="1553" applyNumberFormat="1" applyFont="1" applyFill="1" applyBorder="1" applyAlignment="1">
      <alignment horizontal="right"/>
    </xf>
    <xf numFmtId="170" fontId="159" fillId="15" borderId="15" xfId="1541" applyNumberFormat="1" applyFont="1" applyFill="1" applyBorder="1" applyAlignment="1">
      <alignment horizontal="right"/>
    </xf>
    <xf numFmtId="3" fontId="2" fillId="25" borderId="0" xfId="4" applyNumberFormat="1" applyFont="1" applyFill="1"/>
    <xf numFmtId="1" fontId="225" fillId="31" borderId="0" xfId="4" applyNumberFormat="1" applyFont="1" applyFill="1"/>
    <xf numFmtId="164" fontId="231" fillId="15" borderId="0" xfId="0" applyNumberFormat="1" applyFont="1" applyFill="1"/>
    <xf numFmtId="3" fontId="232" fillId="15" borderId="0" xfId="1592" applyNumberFormat="1" applyFont="1" applyFill="1" applyBorder="1" applyAlignment="1">
      <alignment horizontal="right" vertical="center"/>
    </xf>
    <xf numFmtId="3" fontId="223" fillId="15" borderId="42" xfId="1873" applyNumberFormat="1" applyFont="1" applyFill="1" applyBorder="1" applyAlignment="1">
      <alignment horizontal="right" vertical="center"/>
    </xf>
    <xf numFmtId="3" fontId="221" fillId="15" borderId="42" xfId="1873" applyNumberFormat="1" applyFont="1" applyFill="1" applyBorder="1" applyAlignment="1">
      <alignment horizontal="right" vertical="center"/>
    </xf>
    <xf numFmtId="3" fontId="217" fillId="15" borderId="42" xfId="1873" applyNumberFormat="1" applyFont="1" applyFill="1" applyBorder="1" applyAlignment="1">
      <alignment horizontal="right" vertical="center"/>
    </xf>
    <xf numFmtId="1" fontId="233" fillId="0" borderId="0" xfId="4" applyNumberFormat="1" applyFont="1"/>
    <xf numFmtId="170" fontId="221" fillId="15" borderId="0" xfId="1541" applyNumberFormat="1" applyFont="1" applyFill="1" applyBorder="1" applyAlignment="1">
      <alignment horizontal="right"/>
    </xf>
    <xf numFmtId="170" fontId="221" fillId="15" borderId="40" xfId="1541" applyNumberFormat="1" applyFont="1" applyFill="1" applyBorder="1" applyAlignment="1">
      <alignment horizontal="right"/>
    </xf>
    <xf numFmtId="170" fontId="215" fillId="15" borderId="40" xfId="1541" applyNumberFormat="1" applyFont="1" applyFill="1" applyBorder="1" applyAlignment="1">
      <alignment horizontal="right"/>
    </xf>
    <xf numFmtId="169" fontId="221" fillId="15" borderId="0" xfId="1541" applyNumberFormat="1" applyFont="1" applyFill="1" applyBorder="1" applyAlignment="1">
      <alignment horizontal="right"/>
    </xf>
    <xf numFmtId="170" fontId="221" fillId="15" borderId="0" xfId="1553" applyNumberFormat="1" applyFont="1" applyFill="1" applyBorder="1" applyAlignment="1">
      <alignment horizontal="right"/>
    </xf>
    <xf numFmtId="17" fontId="234" fillId="24" borderId="9" xfId="4" applyNumberFormat="1" applyFont="1" applyFill="1" applyBorder="1" applyAlignment="1">
      <alignment horizontal="center"/>
    </xf>
    <xf numFmtId="225" fontId="221" fillId="15" borderId="0" xfId="1541" applyNumberFormat="1" applyFont="1" applyFill="1" applyBorder="1" applyAlignment="1">
      <alignment horizontal="right"/>
    </xf>
    <xf numFmtId="165" fontId="4" fillId="0" borderId="0" xfId="0" applyNumberFormat="1" applyFont="1"/>
    <xf numFmtId="0" fontId="4" fillId="0" borderId="9" xfId="0" applyFont="1" applyBorder="1" applyAlignment="1">
      <alignment horizontal="right" vertical="center"/>
    </xf>
    <xf numFmtId="1" fontId="235" fillId="0" borderId="0" xfId="4" applyNumberFormat="1" applyFont="1"/>
    <xf numFmtId="9" fontId="0" fillId="0" borderId="0" xfId="1541" applyNumberFormat="1" applyFont="1"/>
    <xf numFmtId="9" fontId="178" fillId="0" borderId="9" xfId="4" applyNumberFormat="1" applyFont="1" applyBorder="1"/>
    <xf numFmtId="9" fontId="2" fillId="25" borderId="9" xfId="4" applyNumberFormat="1" applyFont="1" applyFill="1" applyBorder="1"/>
    <xf numFmtId="170" fontId="221" fillId="15" borderId="9" xfId="1541" applyNumberFormat="1" applyFont="1" applyFill="1" applyBorder="1" applyAlignment="1">
      <alignment horizontal="right"/>
    </xf>
    <xf numFmtId="9" fontId="0" fillId="15" borderId="0" xfId="0" applyNumberFormat="1" applyFill="1" applyAlignment="1">
      <alignment horizontal="right"/>
    </xf>
    <xf numFmtId="0" fontId="131" fillId="44" borderId="9" xfId="0" applyFont="1" applyFill="1" applyBorder="1" applyAlignment="1">
      <alignment horizontal="left"/>
    </xf>
    <xf numFmtId="0" fontId="131" fillId="44" borderId="9" xfId="0" applyFont="1" applyFill="1" applyBorder="1"/>
    <xf numFmtId="0" fontId="131" fillId="44" borderId="0" xfId="0" applyFont="1" applyFill="1"/>
    <xf numFmtId="0" fontId="131" fillId="44" borderId="8" xfId="0" applyFont="1" applyFill="1" applyBorder="1"/>
    <xf numFmtId="0" fontId="131" fillId="44" borderId="0" xfId="0" applyFont="1" applyFill="1" applyAlignment="1">
      <alignment horizontal="left"/>
    </xf>
    <xf numFmtId="1" fontId="131" fillId="44" borderId="15" xfId="0" applyNumberFormat="1" applyFont="1" applyFill="1" applyBorder="1"/>
    <xf numFmtId="1" fontId="131" fillId="44" borderId="8" xfId="0" applyNumberFormat="1" applyFont="1" applyFill="1" applyBorder="1"/>
    <xf numFmtId="1" fontId="131" fillId="44" borderId="0" xfId="0" applyNumberFormat="1" applyFont="1" applyFill="1"/>
    <xf numFmtId="0" fontId="65" fillId="0" borderId="33" xfId="0" applyFont="1" applyBorder="1" applyAlignment="1">
      <alignment horizontal="left"/>
    </xf>
    <xf numFmtId="1" fontId="65" fillId="0" borderId="33" xfId="0" applyNumberFormat="1" applyFont="1" applyBorder="1"/>
    <xf numFmtId="1" fontId="65" fillId="0" borderId="6" xfId="0" applyNumberFormat="1" applyFont="1" applyBorder="1"/>
    <xf numFmtId="9" fontId="215" fillId="15" borderId="0" xfId="1541" applyNumberFormat="1" applyFont="1" applyFill="1" applyAlignment="1">
      <alignment horizontal="right"/>
    </xf>
    <xf numFmtId="1" fontId="0" fillId="15" borderId="0" xfId="0" applyNumberFormat="1" applyFill="1"/>
    <xf numFmtId="0" fontId="0" fillId="15" borderId="9" xfId="0" applyFill="1" applyBorder="1"/>
    <xf numFmtId="0" fontId="0" fillId="15" borderId="8" xfId="0" applyFill="1" applyBorder="1" applyAlignment="1">
      <alignment horizontal="right"/>
    </xf>
    <xf numFmtId="0" fontId="4" fillId="15" borderId="9" xfId="0" applyFont="1" applyFill="1" applyBorder="1" applyAlignment="1">
      <alignment horizontal="right"/>
    </xf>
    <xf numFmtId="0" fontId="0" fillId="15" borderId="42" xfId="0" applyFill="1" applyBorder="1"/>
    <xf numFmtId="164" fontId="0" fillId="15" borderId="15" xfId="0" applyNumberFormat="1" applyFill="1" applyBorder="1" applyAlignment="1">
      <alignment horizontal="right"/>
    </xf>
    <xf numFmtId="1" fontId="0" fillId="15" borderId="0" xfId="0" applyNumberFormat="1" applyFill="1" applyAlignment="1">
      <alignment horizontal="right"/>
    </xf>
    <xf numFmtId="9" fontId="0" fillId="15" borderId="9" xfId="0" applyNumberFormat="1" applyFill="1" applyBorder="1"/>
    <xf numFmtId="0" fontId="0" fillId="15" borderId="42" xfId="0" applyFill="1" applyBorder="1" applyAlignment="1">
      <alignment horizontal="right"/>
    </xf>
    <xf numFmtId="0" fontId="0" fillId="31" borderId="0" xfId="0" applyFill="1" applyAlignment="1">
      <alignment horizontal="right"/>
    </xf>
    <xf numFmtId="170" fontId="233" fillId="0" borderId="0" xfId="0" applyNumberFormat="1" applyFont="1"/>
    <xf numFmtId="9" fontId="233" fillId="0" borderId="0" xfId="0" applyNumberFormat="1" applyFont="1"/>
    <xf numFmtId="324" fontId="0" fillId="0" borderId="0" xfId="0" applyNumberFormat="1"/>
    <xf numFmtId="171" fontId="0" fillId="0" borderId="0" xfId="0" applyNumberFormat="1"/>
    <xf numFmtId="164" fontId="233" fillId="0" borderId="0" xfId="4" applyNumberFormat="1" applyFont="1"/>
    <xf numFmtId="17" fontId="10" fillId="0" borderId="0" xfId="0" applyNumberFormat="1" applyFont="1" applyAlignment="1">
      <alignment horizontal="left"/>
    </xf>
    <xf numFmtId="170" fontId="233" fillId="0" borderId="0" xfId="1901" applyNumberFormat="1" applyFont="1"/>
    <xf numFmtId="9" fontId="233" fillId="0" borderId="0" xfId="4" applyNumberFormat="1" applyFont="1"/>
    <xf numFmtId="164" fontId="226" fillId="31" borderId="0" xfId="4" applyNumberFormat="1" applyFont="1" applyFill="1"/>
    <xf numFmtId="169" fontId="0" fillId="0" borderId="9" xfId="0" applyNumberFormat="1" applyBorder="1"/>
    <xf numFmtId="167" fontId="2" fillId="0" borderId="9" xfId="0" applyNumberFormat="1" applyFont="1" applyBorder="1"/>
    <xf numFmtId="170" fontId="2" fillId="0" borderId="0" xfId="0" applyNumberFormat="1" applyFont="1"/>
    <xf numFmtId="165" fontId="2" fillId="0" borderId="9" xfId="4" applyNumberFormat="1" applyFont="1" applyBorder="1"/>
    <xf numFmtId="172" fontId="0" fillId="0" borderId="0" xfId="4" applyNumberFormat="1" applyFont="1"/>
    <xf numFmtId="1" fontId="226" fillId="31" borderId="0" xfId="4" applyNumberFormat="1" applyFont="1" applyFill="1"/>
    <xf numFmtId="9" fontId="4" fillId="39" borderId="0" xfId="4" applyNumberFormat="1" applyFont="1" applyFill="1"/>
    <xf numFmtId="261" fontId="0" fillId="0" borderId="0" xfId="0" applyNumberFormat="1"/>
    <xf numFmtId="43" fontId="0" fillId="0" borderId="0" xfId="0" applyNumberFormat="1"/>
    <xf numFmtId="0" fontId="4" fillId="44" borderId="0" xfId="0" applyFont="1" applyFill="1"/>
    <xf numFmtId="3" fontId="0" fillId="44" borderId="0" xfId="0" applyNumberFormat="1" applyFill="1"/>
    <xf numFmtId="261" fontId="0" fillId="44" borderId="0" xfId="0" applyNumberFormat="1" applyFill="1"/>
    <xf numFmtId="0" fontId="0" fillId="44" borderId="9" xfId="0" applyFill="1" applyBorder="1"/>
    <xf numFmtId="0" fontId="4" fillId="0" borderId="48" xfId="0" applyFont="1" applyBorder="1"/>
    <xf numFmtId="0" fontId="0" fillId="0" borderId="25" xfId="0" applyBorder="1"/>
    <xf numFmtId="0" fontId="0" fillId="0" borderId="49" xfId="0" applyBorder="1"/>
    <xf numFmtId="0" fontId="0" fillId="44" borderId="50" xfId="0" applyFill="1" applyBorder="1"/>
    <xf numFmtId="3" fontId="0" fillId="44" borderId="27" xfId="0" applyNumberFormat="1" applyFill="1" applyBorder="1"/>
    <xf numFmtId="0" fontId="0" fillId="0" borderId="50" xfId="0" applyBorder="1"/>
    <xf numFmtId="3" fontId="0" fillId="0" borderId="27" xfId="0" applyNumberFormat="1" applyBorder="1"/>
    <xf numFmtId="0" fontId="0" fillId="44" borderId="51" xfId="0" applyFill="1" applyBorder="1"/>
    <xf numFmtId="261" fontId="0" fillId="44" borderId="5" xfId="0" applyNumberFormat="1" applyFill="1" applyBorder="1"/>
    <xf numFmtId="261" fontId="0" fillId="44" borderId="52" xfId="0" applyNumberFormat="1" applyFill="1" applyBorder="1"/>
    <xf numFmtId="164" fontId="0" fillId="44" borderId="0" xfId="0" applyNumberFormat="1" applyFill="1"/>
    <xf numFmtId="0" fontId="0" fillId="44" borderId="33" xfId="0" applyFill="1" applyBorder="1"/>
    <xf numFmtId="164" fontId="0" fillId="44" borderId="33" xfId="0" applyNumberFormat="1" applyFill="1" applyBorder="1"/>
    <xf numFmtId="3" fontId="0" fillId="44" borderId="9" xfId="0" applyNumberFormat="1" applyFill="1" applyBorder="1"/>
    <xf numFmtId="9" fontId="0" fillId="44" borderId="0" xfId="0" applyNumberFormat="1" applyFill="1"/>
    <xf numFmtId="9" fontId="235" fillId="0" borderId="0" xfId="4" applyNumberFormat="1" applyFont="1"/>
    <xf numFmtId="1" fontId="227" fillId="31" borderId="0" xfId="4" applyNumberFormat="1" applyFont="1" applyFill="1"/>
    <xf numFmtId="1" fontId="0" fillId="15" borderId="15" xfId="0" applyNumberFormat="1" applyFill="1" applyBorder="1" applyAlignment="1">
      <alignment horizontal="right"/>
    </xf>
    <xf numFmtId="10" fontId="0" fillId="15" borderId="0" xfId="0" applyNumberFormat="1" applyFill="1"/>
    <xf numFmtId="0" fontId="0" fillId="15" borderId="39" xfId="0" applyFill="1" applyBorder="1"/>
    <xf numFmtId="164" fontId="0" fillId="15" borderId="36" xfId="0" applyNumberFormat="1" applyFill="1" applyBorder="1"/>
    <xf numFmtId="164" fontId="0" fillId="15" borderId="41" xfId="0" applyNumberFormat="1" applyFill="1" applyBorder="1"/>
    <xf numFmtId="0" fontId="0" fillId="15" borderId="3" xfId="0" applyFill="1" applyBorder="1"/>
    <xf numFmtId="164" fontId="0" fillId="15" borderId="20" xfId="0" applyNumberFormat="1" applyFill="1" applyBorder="1"/>
    <xf numFmtId="164" fontId="0" fillId="15" borderId="42" xfId="0" applyNumberFormat="1" applyFill="1" applyBorder="1"/>
    <xf numFmtId="0" fontId="4" fillId="15" borderId="40" xfId="0" applyFont="1" applyFill="1" applyBorder="1"/>
    <xf numFmtId="2" fontId="0" fillId="31" borderId="0" xfId="0" applyNumberFormat="1" applyFill="1"/>
    <xf numFmtId="0" fontId="0" fillId="31" borderId="15" xfId="0" applyFill="1" applyBorder="1" applyAlignment="1">
      <alignment horizontal="right"/>
    </xf>
    <xf numFmtId="0" fontId="4" fillId="44" borderId="9" xfId="0" applyFont="1" applyFill="1" applyBorder="1" applyAlignment="1">
      <alignment horizontal="right"/>
    </xf>
    <xf numFmtId="1" fontId="0" fillId="44" borderId="0" xfId="0" applyNumberFormat="1" applyFill="1"/>
    <xf numFmtId="1" fontId="0" fillId="44" borderId="9" xfId="0" applyNumberFormat="1" applyFill="1" applyBorder="1"/>
    <xf numFmtId="9" fontId="0" fillId="39" borderId="0" xfId="0" applyNumberFormat="1" applyFill="1"/>
    <xf numFmtId="0" fontId="228" fillId="0" borderId="0" xfId="0" applyFont="1"/>
    <xf numFmtId="1" fontId="0" fillId="0" borderId="9" xfId="0" applyNumberFormat="1" applyBorder="1" applyAlignment="1">
      <alignment horizontal="right"/>
    </xf>
    <xf numFmtId="9" fontId="4" fillId="25" borderId="9" xfId="4" applyNumberFormat="1" applyFont="1" applyFill="1" applyBorder="1"/>
    <xf numFmtId="164" fontId="2" fillId="0" borderId="0" xfId="1901" applyNumberFormat="1" applyFont="1"/>
    <xf numFmtId="324" fontId="0" fillId="0" borderId="9" xfId="0" applyNumberFormat="1" applyBorder="1"/>
    <xf numFmtId="1" fontId="0" fillId="0" borderId="0" xfId="0" applyNumberFormat="1" applyAlignment="1">
      <alignment horizontal="right"/>
    </xf>
    <xf numFmtId="1" fontId="236" fillId="0" borderId="0" xfId="4" applyNumberFormat="1" applyFont="1"/>
    <xf numFmtId="164" fontId="233" fillId="0" borderId="0" xfId="0" applyNumberFormat="1" applyFont="1"/>
    <xf numFmtId="0" fontId="0" fillId="28" borderId="9" xfId="0" applyFill="1" applyBorder="1" applyAlignment="1">
      <alignment horizontal="right"/>
    </xf>
    <xf numFmtId="3" fontId="0" fillId="28" borderId="0" xfId="0" applyNumberFormat="1" applyFill="1" applyAlignment="1">
      <alignment horizontal="right"/>
    </xf>
    <xf numFmtId="3" fontId="0" fillId="28" borderId="9" xfId="0" applyNumberFormat="1" applyFill="1" applyBorder="1" applyAlignment="1">
      <alignment horizontal="right"/>
    </xf>
    <xf numFmtId="0" fontId="0" fillId="28" borderId="0" xfId="0" applyFill="1" applyAlignment="1">
      <alignment horizontal="right"/>
    </xf>
    <xf numFmtId="9" fontId="0" fillId="28" borderId="0" xfId="0" applyNumberFormat="1" applyFill="1" applyAlignment="1">
      <alignment horizontal="right"/>
    </xf>
    <xf numFmtId="0" fontId="0" fillId="28" borderId="0" xfId="0" applyFill="1"/>
    <xf numFmtId="1" fontId="0" fillId="28" borderId="9" xfId="0" applyNumberFormat="1" applyFill="1" applyBorder="1" applyAlignment="1">
      <alignment horizontal="right"/>
    </xf>
    <xf numFmtId="3" fontId="0" fillId="28" borderId="0" xfId="0" applyNumberFormat="1" applyFill="1"/>
    <xf numFmtId="3" fontId="0" fillId="28" borderId="9" xfId="0" applyNumberFormat="1" applyFill="1" applyBorder="1"/>
    <xf numFmtId="164" fontId="0" fillId="28" borderId="0" xfId="0" applyNumberFormat="1" applyFill="1"/>
    <xf numFmtId="164" fontId="0" fillId="28" borderId="9" xfId="0" applyNumberFormat="1" applyFill="1" applyBorder="1"/>
    <xf numFmtId="0" fontId="2" fillId="0" borderId="48" xfId="0" applyFont="1" applyBorder="1"/>
    <xf numFmtId="0" fontId="0" fillId="0" borderId="27" xfId="0" applyBorder="1"/>
    <xf numFmtId="0" fontId="0" fillId="0" borderId="55" xfId="0" applyBorder="1"/>
    <xf numFmtId="0" fontId="0" fillId="0" borderId="56" xfId="0" applyBorder="1"/>
    <xf numFmtId="0" fontId="4" fillId="0" borderId="51" xfId="0" applyFont="1" applyBorder="1"/>
    <xf numFmtId="164" fontId="0" fillId="0" borderId="5" xfId="0" applyNumberFormat="1" applyBorder="1"/>
    <xf numFmtId="0" fontId="0" fillId="0" borderId="5" xfId="0" applyBorder="1"/>
    <xf numFmtId="0" fontId="0" fillId="0" borderId="52" xfId="0" applyBorder="1"/>
    <xf numFmtId="0" fontId="0" fillId="0" borderId="51" xfId="0" applyBorder="1"/>
    <xf numFmtId="0" fontId="4" fillId="0" borderId="50" xfId="0" applyFont="1" applyBorder="1"/>
    <xf numFmtId="0" fontId="0" fillId="0" borderId="25" xfId="0" applyBorder="1" applyAlignment="1">
      <alignment horizontal="right"/>
    </xf>
    <xf numFmtId="0" fontId="2" fillId="0" borderId="50" xfId="0" applyFont="1" applyBorder="1"/>
    <xf numFmtId="1" fontId="237" fillId="0" borderId="0" xfId="0" applyNumberFormat="1" applyFont="1"/>
    <xf numFmtId="2" fontId="237" fillId="0" borderId="0" xfId="0" applyNumberFormat="1" applyFont="1"/>
    <xf numFmtId="165" fontId="237" fillId="0" borderId="0" xfId="0" applyNumberFormat="1" applyFont="1"/>
    <xf numFmtId="0" fontId="237" fillId="0" borderId="0" xfId="0" applyFont="1"/>
    <xf numFmtId="0" fontId="234" fillId="45" borderId="0" xfId="0" applyFont="1" applyFill="1"/>
    <xf numFmtId="2" fontId="237" fillId="0" borderId="0" xfId="4" applyNumberFormat="1" applyFont="1"/>
    <xf numFmtId="0" fontId="4" fillId="25" borderId="33" xfId="4" applyFont="1" applyFill="1" applyBorder="1"/>
    <xf numFmtId="0" fontId="0" fillId="25" borderId="33" xfId="4" applyFont="1" applyFill="1" applyBorder="1"/>
    <xf numFmtId="0" fontId="10" fillId="0" borderId="0" xfId="0" quotePrefix="1" applyFont="1"/>
    <xf numFmtId="169" fontId="4" fillId="0" borderId="9" xfId="1901" applyNumberFormat="1" applyFont="1" applyBorder="1"/>
    <xf numFmtId="0" fontId="8" fillId="0" borderId="0" xfId="0" quotePrefix="1" applyFont="1"/>
    <xf numFmtId="9" fontId="8" fillId="0" borderId="0" xfId="0" applyNumberFormat="1" applyFont="1" applyAlignment="1">
      <alignment horizontal="right"/>
    </xf>
    <xf numFmtId="9" fontId="8" fillId="28" borderId="0" xfId="0" applyNumberFormat="1" applyFont="1" applyFill="1" applyAlignment="1">
      <alignment horizontal="right"/>
    </xf>
    <xf numFmtId="0" fontId="0" fillId="0" borderId="39" xfId="0" applyBorder="1"/>
    <xf numFmtId="0" fontId="0" fillId="0" borderId="36" xfId="0" applyBorder="1"/>
    <xf numFmtId="164" fontId="0" fillId="0" borderId="36" xfId="0" applyNumberFormat="1" applyBorder="1"/>
    <xf numFmtId="164" fontId="0" fillId="0" borderId="41" xfId="0" applyNumberFormat="1" applyBorder="1"/>
    <xf numFmtId="0" fontId="0" fillId="0" borderId="3" xfId="0" applyBorder="1"/>
    <xf numFmtId="0" fontId="0" fillId="0" borderId="40" xfId="0" applyBorder="1"/>
    <xf numFmtId="164" fontId="0" fillId="0" borderId="42" xfId="0" applyNumberFormat="1" applyBorder="1"/>
    <xf numFmtId="0" fontId="4" fillId="0" borderId="3" xfId="0" applyFont="1" applyBorder="1"/>
    <xf numFmtId="1" fontId="131" fillId="44" borderId="9" xfId="0" applyNumberFormat="1" applyFont="1" applyFill="1" applyBorder="1"/>
    <xf numFmtId="0" fontId="65" fillId="44" borderId="43" xfId="0" applyFont="1" applyFill="1" applyBorder="1" applyAlignment="1">
      <alignment horizontal="left"/>
    </xf>
    <xf numFmtId="165" fontId="65" fillId="44" borderId="33" xfId="0" applyNumberFormat="1" applyFont="1" applyFill="1" applyBorder="1"/>
    <xf numFmtId="165" fontId="65" fillId="44" borderId="6" xfId="0" applyNumberFormat="1" applyFont="1" applyFill="1" applyBorder="1"/>
    <xf numFmtId="0" fontId="65" fillId="0" borderId="33" xfId="0" applyFont="1" applyBorder="1"/>
    <xf numFmtId="15" fontId="131" fillId="0" borderId="0" xfId="0" quotePrefix="1" applyNumberFormat="1" applyFont="1" applyAlignment="1">
      <alignment horizontal="left"/>
    </xf>
    <xf numFmtId="15" fontId="131" fillId="0" borderId="9" xfId="0" quotePrefix="1" applyNumberFormat="1" applyFont="1" applyBorder="1" applyAlignment="1">
      <alignment horizontal="left"/>
    </xf>
    <xf numFmtId="0" fontId="65" fillId="0" borderId="9" xfId="0" applyFont="1" applyBorder="1" applyAlignment="1">
      <alignment horizontal="right"/>
    </xf>
    <xf numFmtId="0" fontId="65" fillId="0" borderId="6" xfId="0" applyFont="1" applyBorder="1" applyAlignment="1">
      <alignment horizontal="right"/>
    </xf>
    <xf numFmtId="0" fontId="131" fillId="0" borderId="42" xfId="0" applyFont="1" applyBorder="1" applyAlignment="1">
      <alignment horizontal="right"/>
    </xf>
    <xf numFmtId="164" fontId="238" fillId="0" borderId="0" xfId="0" applyNumberFormat="1" applyFont="1"/>
    <xf numFmtId="1" fontId="238" fillId="0" borderId="0" xfId="0" applyNumberFormat="1" applyFont="1"/>
    <xf numFmtId="1" fontId="238" fillId="31" borderId="9" xfId="0" applyNumberFormat="1" applyFont="1" applyFill="1" applyBorder="1"/>
    <xf numFmtId="325" fontId="0" fillId="0" borderId="0" xfId="0" applyNumberFormat="1"/>
    <xf numFmtId="0" fontId="4" fillId="0" borderId="53" xfId="0" applyFont="1" applyBorder="1"/>
    <xf numFmtId="0" fontId="2" fillId="0" borderId="54" xfId="0" applyFont="1" applyBorder="1"/>
    <xf numFmtId="1" fontId="0" fillId="0" borderId="54" xfId="0" applyNumberFormat="1" applyBorder="1"/>
    <xf numFmtId="9" fontId="0" fillId="0" borderId="54" xfId="0" applyNumberFormat="1" applyBorder="1"/>
    <xf numFmtId="164" fontId="0" fillId="0" borderId="54" xfId="0" applyNumberFormat="1" applyBorder="1"/>
    <xf numFmtId="1" fontId="233" fillId="0" borderId="9" xfId="4" applyNumberFormat="1" applyFont="1" applyBorder="1"/>
    <xf numFmtId="164" fontId="0" fillId="31" borderId="52" xfId="0" applyNumberFormat="1" applyFill="1" applyBorder="1"/>
    <xf numFmtId="165" fontId="0" fillId="0" borderId="33" xfId="0" applyNumberFormat="1" applyBorder="1"/>
    <xf numFmtId="165" fontId="2" fillId="0" borderId="0" xfId="0" applyNumberFormat="1" applyFont="1"/>
    <xf numFmtId="0" fontId="2" fillId="0" borderId="33" xfId="0" applyFont="1" applyBorder="1"/>
    <xf numFmtId="15" fontId="10" fillId="0" borderId="0" xfId="0" applyNumberFormat="1" applyFont="1" applyAlignment="1">
      <alignment horizontal="left"/>
    </xf>
    <xf numFmtId="1" fontId="0" fillId="25" borderId="33" xfId="4" applyNumberFormat="1" applyFont="1" applyFill="1" applyBorder="1"/>
    <xf numFmtId="0" fontId="0" fillId="0" borderId="9" xfId="0" applyBorder="1" applyAlignment="1">
      <alignment horizontal="left"/>
    </xf>
    <xf numFmtId="221" fontId="0" fillId="0" borderId="0" xfId="0" applyNumberFormat="1"/>
    <xf numFmtId="1" fontId="233" fillId="0" borderId="0" xfId="0" applyNumberFormat="1" applyFont="1"/>
    <xf numFmtId="0" fontId="239" fillId="0" borderId="9" xfId="0" applyFont="1" applyBorder="1"/>
    <xf numFmtId="0" fontId="239" fillId="0" borderId="9" xfId="0" applyFont="1" applyBorder="1" applyAlignment="1">
      <alignment horizontal="right"/>
    </xf>
    <xf numFmtId="9" fontId="0" fillId="0" borderId="33" xfId="0" applyNumberFormat="1" applyBorder="1"/>
    <xf numFmtId="0" fontId="239" fillId="0" borderId="0" xfId="0" applyFont="1"/>
    <xf numFmtId="0" fontId="0" fillId="0" borderId="43" xfId="0" applyBorder="1"/>
    <xf numFmtId="9" fontId="0" fillId="0" borderId="44" xfId="0" applyNumberFormat="1" applyBorder="1"/>
    <xf numFmtId="16" fontId="0" fillId="0" borderId="0" xfId="0" applyNumberFormat="1"/>
    <xf numFmtId="17" fontId="3" fillId="0" borderId="0" xfId="0" applyNumberFormat="1" applyFont="1" applyAlignment="1">
      <alignment horizontal="left"/>
    </xf>
    <xf numFmtId="165" fontId="2" fillId="0" borderId="33" xfId="0" applyNumberFormat="1" applyFont="1" applyBorder="1"/>
    <xf numFmtId="0" fontId="240" fillId="0" borderId="0" xfId="0" applyFont="1"/>
    <xf numFmtId="0" fontId="230" fillId="0" borderId="0" xfId="0" applyFont="1"/>
    <xf numFmtId="0" fontId="241" fillId="0" borderId="0" xfId="0" applyFont="1"/>
    <xf numFmtId="326" fontId="0" fillId="0" borderId="0" xfId="0" applyNumberFormat="1"/>
    <xf numFmtId="9" fontId="0" fillId="0" borderId="0" xfId="0" applyNumberFormat="1" applyAlignment="1">
      <alignment horizontal="left"/>
    </xf>
    <xf numFmtId="0" fontId="4" fillId="31" borderId="0" xfId="0" applyFont="1" applyFill="1"/>
    <xf numFmtId="0" fontId="242" fillId="0" borderId="9" xfId="0" applyFont="1" applyBorder="1"/>
    <xf numFmtId="0" fontId="242" fillId="0" borderId="0" xfId="0" applyFont="1"/>
    <xf numFmtId="165" fontId="242" fillId="31" borderId="0" xfId="0" applyNumberFormat="1" applyFont="1" applyFill="1"/>
    <xf numFmtId="165" fontId="242" fillId="0" borderId="0" xfId="0" applyNumberFormat="1" applyFont="1"/>
    <xf numFmtId="1" fontId="242" fillId="31" borderId="0" xfId="0" applyNumberFormat="1" applyFont="1" applyFill="1"/>
    <xf numFmtId="1" fontId="242" fillId="0" borderId="0" xfId="0" applyNumberFormat="1" applyFont="1"/>
    <xf numFmtId="0" fontId="4" fillId="0" borderId="0" xfId="1899"/>
    <xf numFmtId="9" fontId="4" fillId="31" borderId="0" xfId="1899" applyNumberFormat="1" applyFill="1"/>
    <xf numFmtId="164" fontId="4" fillId="0" borderId="0" xfId="1899" applyNumberFormat="1"/>
    <xf numFmtId="169" fontId="4" fillId="0" borderId="0" xfId="1545" applyNumberFormat="1" applyFont="1"/>
    <xf numFmtId="169" fontId="4" fillId="31" borderId="0" xfId="1545" applyNumberFormat="1" applyFont="1" applyFill="1"/>
    <xf numFmtId="0" fontId="2" fillId="0" borderId="0" xfId="1899" applyFont="1"/>
    <xf numFmtId="169" fontId="2" fillId="0" borderId="0" xfId="1899" applyNumberFormat="1" applyFont="1"/>
    <xf numFmtId="0" fontId="4" fillId="0" borderId="0" xfId="1898" applyFont="1"/>
    <xf numFmtId="164" fontId="4" fillId="31" borderId="0" xfId="2133" applyNumberFormat="1" applyFont="1" applyFill="1"/>
    <xf numFmtId="164" fontId="4" fillId="0" borderId="0" xfId="2133" applyNumberFormat="1" applyFont="1"/>
    <xf numFmtId="172" fontId="230" fillId="0" borderId="0" xfId="1545" applyNumberFormat="1" applyFont="1"/>
    <xf numFmtId="9" fontId="4" fillId="0" borderId="0" xfId="2133" applyNumberFormat="1" applyFont="1"/>
    <xf numFmtId="261" fontId="4" fillId="31" borderId="0" xfId="0" applyNumberFormat="1" applyFont="1" applyFill="1"/>
    <xf numFmtId="261" fontId="237" fillId="0" borderId="0" xfId="0" applyNumberFormat="1" applyFont="1"/>
    <xf numFmtId="9" fontId="237" fillId="0" borderId="0" xfId="0" applyNumberFormat="1" applyFont="1"/>
    <xf numFmtId="261" fontId="4" fillId="0" borderId="0" xfId="0" applyNumberFormat="1" applyFont="1"/>
    <xf numFmtId="172" fontId="4" fillId="0" borderId="0" xfId="0" applyNumberFormat="1" applyFont="1"/>
    <xf numFmtId="164" fontId="230" fillId="0" borderId="0" xfId="0" applyNumberFormat="1" applyFont="1"/>
    <xf numFmtId="164" fontId="237" fillId="0" borderId="0" xfId="0" applyNumberFormat="1" applyFont="1"/>
    <xf numFmtId="165" fontId="230" fillId="31" borderId="0" xfId="0" applyNumberFormat="1" applyFont="1" applyFill="1"/>
    <xf numFmtId="169" fontId="4" fillId="0" borderId="0" xfId="1899" applyNumberFormat="1"/>
    <xf numFmtId="165" fontId="4" fillId="31" borderId="0" xfId="0" applyNumberFormat="1" applyFont="1" applyFill="1"/>
    <xf numFmtId="3" fontId="0" fillId="0" borderId="37" xfId="0" applyNumberFormat="1" applyBorder="1"/>
    <xf numFmtId="3" fontId="245" fillId="0" borderId="0" xfId="0" applyNumberFormat="1" applyFont="1"/>
    <xf numFmtId="1" fontId="245" fillId="0" borderId="0" xfId="0" applyNumberFormat="1" applyFont="1"/>
    <xf numFmtId="3" fontId="0" fillId="31" borderId="37" xfId="0" applyNumberFormat="1" applyFill="1" applyBorder="1"/>
    <xf numFmtId="3" fontId="2" fillId="31" borderId="0" xfId="0" applyNumberFormat="1" applyFont="1" applyFill="1"/>
    <xf numFmtId="0" fontId="10" fillId="0" borderId="0" xfId="0" applyFont="1" applyAlignment="1">
      <alignment horizontal="right"/>
    </xf>
    <xf numFmtId="3" fontId="0" fillId="0" borderId="25" xfId="0" applyNumberFormat="1" applyBorder="1"/>
    <xf numFmtId="3" fontId="0" fillId="0" borderId="49" xfId="0" applyNumberFormat="1" applyBorder="1"/>
    <xf numFmtId="3" fontId="0" fillId="0" borderId="5" xfId="0" applyNumberFormat="1" applyBorder="1"/>
    <xf numFmtId="3" fontId="0" fillId="0" borderId="52" xfId="0" applyNumberFormat="1" applyBorder="1"/>
    <xf numFmtId="1" fontId="4" fillId="0" borderId="0" xfId="0" applyNumberFormat="1" applyFont="1" applyAlignment="1">
      <alignment horizontal="right"/>
    </xf>
    <xf numFmtId="1" fontId="4" fillId="0" borderId="0" xfId="0" applyNumberFormat="1" applyFont="1" applyAlignment="1">
      <alignment horizontal="left"/>
    </xf>
    <xf numFmtId="164" fontId="2" fillId="0" borderId="54" xfId="0" applyNumberFormat="1" applyFont="1" applyBorder="1"/>
    <xf numFmtId="0" fontId="65" fillId="0" borderId="9" xfId="0" applyFont="1" applyBorder="1"/>
    <xf numFmtId="164" fontId="131" fillId="39" borderId="0" xfId="0" applyNumberFormat="1" applyFont="1" applyFill="1"/>
    <xf numFmtId="0" fontId="131" fillId="0" borderId="15" xfId="0" applyFont="1" applyBorder="1"/>
    <xf numFmtId="164" fontId="131" fillId="0" borderId="15" xfId="0" applyNumberFormat="1" applyFont="1" applyBorder="1"/>
    <xf numFmtId="0" fontId="0" fillId="0" borderId="41" xfId="0" applyBorder="1"/>
    <xf numFmtId="0" fontId="4" fillId="0" borderId="40" xfId="0" applyFont="1" applyBorder="1"/>
    <xf numFmtId="0" fontId="0" fillId="0" borderId="42" xfId="0" applyBorder="1"/>
    <xf numFmtId="3" fontId="245" fillId="31" borderId="0" xfId="0" applyNumberFormat="1" applyFont="1" applyFill="1"/>
    <xf numFmtId="1" fontId="245" fillId="31" borderId="0" xfId="0" applyNumberFormat="1" applyFont="1" applyFill="1"/>
    <xf numFmtId="164" fontId="2" fillId="0" borderId="47" xfId="0" applyNumberFormat="1" applyFont="1" applyBorder="1"/>
    <xf numFmtId="0" fontId="0" fillId="0" borderId="48" xfId="0" applyBorder="1"/>
    <xf numFmtId="3" fontId="0" fillId="0" borderId="56" xfId="0" applyNumberFormat="1" applyBorder="1"/>
    <xf numFmtId="0" fontId="58" fillId="0" borderId="0" xfId="0" applyFont="1"/>
    <xf numFmtId="165" fontId="4" fillId="0" borderId="9" xfId="0" applyNumberFormat="1" applyFont="1" applyBorder="1" applyAlignment="1">
      <alignment horizontal="right"/>
    </xf>
    <xf numFmtId="0" fontId="81" fillId="15" borderId="0" xfId="0" applyFont="1" applyFill="1" applyAlignment="1">
      <alignment horizontal="center" vertical="center"/>
    </xf>
    <xf numFmtId="0" fontId="247" fillId="15" borderId="0" xfId="0" applyFont="1" applyFill="1"/>
    <xf numFmtId="0" fontId="245" fillId="0" borderId="0" xfId="0" applyFont="1"/>
    <xf numFmtId="167" fontId="2" fillId="0" borderId="9" xfId="0" applyNumberFormat="1" applyFont="1" applyBorder="1" applyAlignment="1">
      <alignment horizontal="right"/>
    </xf>
    <xf numFmtId="166" fontId="2" fillId="0" borderId="9" xfId="1901" applyNumberFormat="1" applyFont="1" applyBorder="1" applyAlignment="1">
      <alignment horizontal="right"/>
    </xf>
    <xf numFmtId="0" fontId="4" fillId="0" borderId="54" xfId="0" applyFont="1" applyBorder="1" applyAlignment="1">
      <alignment horizontal="right"/>
    </xf>
    <xf numFmtId="0" fontId="4" fillId="0" borderId="47" xfId="0" applyFont="1" applyBorder="1" applyAlignment="1">
      <alignment horizontal="right"/>
    </xf>
    <xf numFmtId="0" fontId="0" fillId="0" borderId="17" xfId="0" applyBorder="1"/>
    <xf numFmtId="9" fontId="199" fillId="0" borderId="0" xfId="0" applyNumberFormat="1" applyFont="1"/>
    <xf numFmtId="9" fontId="4" fillId="0" borderId="0" xfId="0" applyNumberFormat="1" applyFont="1" applyAlignment="1">
      <alignment horizontal="left"/>
    </xf>
    <xf numFmtId="9" fontId="245" fillId="0" borderId="9" xfId="0" applyNumberFormat="1" applyFont="1" applyBorder="1"/>
    <xf numFmtId="9" fontId="245" fillId="0" borderId="0" xfId="0" applyNumberFormat="1" applyFont="1"/>
    <xf numFmtId="0" fontId="2" fillId="0" borderId="3" xfId="0" applyFont="1" applyBorder="1"/>
    <xf numFmtId="0" fontId="2" fillId="0" borderId="40" xfId="0" applyFont="1" applyBorder="1" applyAlignment="1">
      <alignment horizontal="right"/>
    </xf>
    <xf numFmtId="164" fontId="0" fillId="0" borderId="3" xfId="0" applyNumberFormat="1" applyBorder="1"/>
    <xf numFmtId="164" fontId="0" fillId="0" borderId="40" xfId="0" applyNumberFormat="1" applyBorder="1"/>
    <xf numFmtId="164" fontId="2" fillId="0" borderId="3" xfId="0" applyNumberFormat="1" applyFont="1" applyBorder="1"/>
    <xf numFmtId="168" fontId="0" fillId="44" borderId="0" xfId="0" applyNumberFormat="1" applyFill="1"/>
    <xf numFmtId="3" fontId="2" fillId="44" borderId="0" xfId="0" applyNumberFormat="1" applyFont="1" applyFill="1"/>
    <xf numFmtId="0" fontId="3" fillId="44" borderId="0" xfId="0" applyFont="1" applyFill="1"/>
    <xf numFmtId="261" fontId="2" fillId="0" borderId="0" xfId="0" applyNumberFormat="1" applyFont="1"/>
    <xf numFmtId="164" fontId="2" fillId="44" borderId="0" xfId="0" applyNumberFormat="1" applyFont="1" applyFill="1"/>
    <xf numFmtId="261" fontId="2" fillId="0" borderId="9" xfId="0" applyNumberFormat="1" applyFont="1" applyBorder="1"/>
    <xf numFmtId="327" fontId="0" fillId="0" borderId="0" xfId="0" applyNumberFormat="1"/>
    <xf numFmtId="0" fontId="1" fillId="0" borderId="9" xfId="0" applyFont="1" applyBorder="1"/>
    <xf numFmtId="165" fontId="0" fillId="49" borderId="0" xfId="0" applyNumberFormat="1" applyFill="1"/>
    <xf numFmtId="0" fontId="1" fillId="0" borderId="53" xfId="0" applyFont="1" applyBorder="1"/>
    <xf numFmtId="325" fontId="0" fillId="0" borderId="47" xfId="0" applyNumberFormat="1" applyBorder="1"/>
    <xf numFmtId="164" fontId="0" fillId="49" borderId="0" xfId="0" applyNumberFormat="1" applyFill="1"/>
    <xf numFmtId="0" fontId="1" fillId="0" borderId="9" xfId="0" applyFont="1" applyBorder="1" applyAlignment="1">
      <alignment horizontal="right"/>
    </xf>
    <xf numFmtId="0" fontId="246" fillId="15" borderId="0" xfId="0" applyFont="1" applyFill="1"/>
    <xf numFmtId="0" fontId="1" fillId="0" borderId="0" xfId="0" applyFont="1" applyAlignment="1">
      <alignment horizontal="right"/>
    </xf>
    <xf numFmtId="165" fontId="0" fillId="49" borderId="17" xfId="0" applyNumberFormat="1" applyFill="1" applyBorder="1"/>
    <xf numFmtId="0" fontId="1" fillId="0" borderId="0" xfId="0" quotePrefix="1" applyFont="1"/>
    <xf numFmtId="0" fontId="1" fillId="0" borderId="9" xfId="0" quotePrefix="1" applyFont="1" applyBorder="1"/>
    <xf numFmtId="0" fontId="2" fillId="0" borderId="53" xfId="0" applyFont="1" applyBorder="1"/>
    <xf numFmtId="9" fontId="2" fillId="0" borderId="54" xfId="0" applyNumberFormat="1" applyFont="1" applyBorder="1"/>
    <xf numFmtId="9" fontId="2" fillId="0" borderId="47" xfId="0" applyNumberFormat="1" applyFont="1" applyBorder="1"/>
    <xf numFmtId="0" fontId="1" fillId="50" borderId="0" xfId="0" applyFont="1" applyFill="1"/>
    <xf numFmtId="3" fontId="0" fillId="50" borderId="0" xfId="0" applyNumberFormat="1" applyFill="1"/>
    <xf numFmtId="0" fontId="2" fillId="50" borderId="0" xfId="0" applyFont="1" applyFill="1"/>
    <xf numFmtId="165" fontId="1" fillId="50" borderId="0" xfId="0" applyNumberFormat="1" applyFont="1" applyFill="1"/>
    <xf numFmtId="165" fontId="0" fillId="50" borderId="0" xfId="0" applyNumberFormat="1" applyFill="1"/>
    <xf numFmtId="0" fontId="0" fillId="50" borderId="0" xfId="0" applyFill="1"/>
    <xf numFmtId="1" fontId="0" fillId="50" borderId="0" xfId="0" applyNumberFormat="1" applyFill="1"/>
    <xf numFmtId="9" fontId="0" fillId="50" borderId="0" xfId="0" applyNumberFormat="1" applyFill="1"/>
    <xf numFmtId="164" fontId="0" fillId="50" borderId="0" xfId="0" applyNumberFormat="1" applyFill="1"/>
    <xf numFmtId="3" fontId="0" fillId="49" borderId="17" xfId="0" applyNumberFormat="1" applyFill="1" applyBorder="1"/>
    <xf numFmtId="9" fontId="0" fillId="50" borderId="58" xfId="0" applyNumberFormat="1" applyFill="1" applyBorder="1"/>
    <xf numFmtId="9" fontId="0" fillId="0" borderId="59" xfId="0" applyNumberFormat="1" applyBorder="1"/>
    <xf numFmtId="0" fontId="1" fillId="50" borderId="53" xfId="0" applyFont="1" applyFill="1" applyBorder="1"/>
    <xf numFmtId="165" fontId="0" fillId="50" borderId="47" xfId="0" applyNumberFormat="1" applyFill="1" applyBorder="1"/>
    <xf numFmtId="0" fontId="2" fillId="0" borderId="9" xfId="5" applyFont="1" applyBorder="1"/>
    <xf numFmtId="169" fontId="2" fillId="0" borderId="9" xfId="1541" applyNumberFormat="1" applyFont="1" applyBorder="1" applyAlignment="1">
      <alignment horizontal="right"/>
    </xf>
    <xf numFmtId="0" fontId="1" fillId="0" borderId="0" xfId="5" applyFont="1"/>
    <xf numFmtId="169" fontId="1" fillId="0" borderId="0" xfId="1541" applyNumberFormat="1" applyFont="1" applyFill="1"/>
    <xf numFmtId="169" fontId="1" fillId="49" borderId="0" xfId="1541" applyNumberFormat="1" applyFont="1" applyFill="1"/>
    <xf numFmtId="9" fontId="1" fillId="0" borderId="0" xfId="5" applyNumberFormat="1" applyFont="1"/>
    <xf numFmtId="0" fontId="3" fillId="0" borderId="0" xfId="5" applyFont="1"/>
    <xf numFmtId="169" fontId="1" fillId="0" borderId="0" xfId="1541" applyNumberFormat="1" applyFont="1"/>
    <xf numFmtId="0" fontId="2" fillId="0" borderId="53" xfId="5" applyFont="1" applyBorder="1"/>
    <xf numFmtId="325" fontId="2" fillId="0" borderId="47" xfId="5" applyNumberFormat="1" applyFont="1" applyBorder="1"/>
    <xf numFmtId="165" fontId="1" fillId="0" borderId="0" xfId="5" applyNumberFormat="1" applyFont="1"/>
    <xf numFmtId="261" fontId="1" fillId="49" borderId="17" xfId="5" applyNumberFormat="1" applyFont="1" applyFill="1" applyBorder="1"/>
    <xf numFmtId="164" fontId="257" fillId="0" borderId="0" xfId="0" applyNumberFormat="1" applyFont="1"/>
    <xf numFmtId="170" fontId="257" fillId="0" borderId="0" xfId="0" applyNumberFormat="1" applyFont="1"/>
    <xf numFmtId="197" fontId="0" fillId="0" borderId="0" xfId="0" applyNumberFormat="1"/>
    <xf numFmtId="170" fontId="1" fillId="0" borderId="0" xfId="0" applyNumberFormat="1" applyFont="1"/>
    <xf numFmtId="169" fontId="1" fillId="0" borderId="0" xfId="0" applyNumberFormat="1" applyFont="1"/>
    <xf numFmtId="1" fontId="257" fillId="0" borderId="0" xfId="0" applyNumberFormat="1" applyFont="1"/>
    <xf numFmtId="0" fontId="1" fillId="51" borderId="0" xfId="0" applyFont="1" applyFill="1"/>
    <xf numFmtId="165" fontId="2" fillId="0" borderId="54" xfId="0" applyNumberFormat="1" applyFont="1" applyBorder="1"/>
    <xf numFmtId="165" fontId="2" fillId="0" borderId="47" xfId="0" applyNumberFormat="1" applyFont="1" applyBorder="1"/>
    <xf numFmtId="3" fontId="2" fillId="0" borderId="54" xfId="0" applyNumberFormat="1" applyFont="1" applyBorder="1"/>
    <xf numFmtId="3" fontId="2" fillId="0" borderId="47" xfId="0" applyNumberFormat="1" applyFont="1" applyBorder="1"/>
    <xf numFmtId="3" fontId="2" fillId="0" borderId="49" xfId="0" applyNumberFormat="1" applyFont="1" applyBorder="1"/>
    <xf numFmtId="165" fontId="1" fillId="0" borderId="0" xfId="0" applyNumberFormat="1" applyFont="1"/>
    <xf numFmtId="3" fontId="2" fillId="0" borderId="59" xfId="0" applyNumberFormat="1" applyFont="1" applyBorder="1"/>
    <xf numFmtId="3" fontId="2" fillId="0" borderId="17" xfId="0" quotePrefix="1" applyNumberFormat="1" applyFont="1" applyBorder="1" applyAlignment="1">
      <alignment horizontal="right"/>
    </xf>
    <xf numFmtId="0" fontId="2" fillId="0" borderId="25" xfId="0" applyFont="1" applyBorder="1"/>
    <xf numFmtId="3" fontId="2" fillId="0" borderId="25" xfId="0" applyNumberFormat="1" applyFont="1" applyBorder="1"/>
    <xf numFmtId="0" fontId="2" fillId="0" borderId="51" xfId="0" quotePrefix="1" applyFont="1" applyBorder="1"/>
    <xf numFmtId="0" fontId="2" fillId="0" borderId="5" xfId="0" applyFont="1" applyBorder="1"/>
    <xf numFmtId="9" fontId="2" fillId="0" borderId="5" xfId="0" applyNumberFormat="1" applyFont="1" applyBorder="1"/>
    <xf numFmtId="9" fontId="2" fillId="0" borderId="52" xfId="0" applyNumberFormat="1" applyFont="1" applyBorder="1"/>
    <xf numFmtId="3" fontId="255" fillId="55" borderId="57" xfId="0" applyNumberFormat="1" applyFont="1" applyFill="1" applyBorder="1" applyAlignment="1">
      <alignment horizontal="right" vertical="center"/>
    </xf>
    <xf numFmtId="165" fontId="257" fillId="0" borderId="0" xfId="0" applyNumberFormat="1" applyFont="1"/>
    <xf numFmtId="0" fontId="1" fillId="0" borderId="0" xfId="0" applyFont="1" applyAlignment="1">
      <alignment horizontal="left"/>
    </xf>
    <xf numFmtId="3" fontId="1" fillId="0" borderId="0" xfId="0" applyNumberFormat="1" applyFont="1"/>
    <xf numFmtId="3" fontId="1" fillId="50" borderId="0" xfId="0" applyNumberFormat="1" applyFont="1" applyFill="1"/>
    <xf numFmtId="164" fontId="1" fillId="50" borderId="0" xfId="0" applyNumberFormat="1" applyFont="1" applyFill="1"/>
    <xf numFmtId="164" fontId="1" fillId="0" borderId="0" xfId="0" applyNumberFormat="1" applyFont="1"/>
    <xf numFmtId="9" fontId="1" fillId="50" borderId="0" xfId="0" applyNumberFormat="1" applyFont="1" applyFill="1"/>
    <xf numFmtId="0" fontId="1" fillId="50" borderId="9" xfId="0" applyFont="1" applyFill="1" applyBorder="1"/>
    <xf numFmtId="3" fontId="1" fillId="50" borderId="9" xfId="0" applyNumberFormat="1" applyFont="1" applyFill="1" applyBorder="1"/>
    <xf numFmtId="168" fontId="1" fillId="0" borderId="0" xfId="0" applyNumberFormat="1" applyFont="1"/>
    <xf numFmtId="17" fontId="1" fillId="0" borderId="0" xfId="0" applyNumberFormat="1" applyFont="1" applyAlignment="1">
      <alignment horizontal="left"/>
    </xf>
    <xf numFmtId="3" fontId="0" fillId="56" borderId="0" xfId="0" applyNumberFormat="1" applyFill="1"/>
    <xf numFmtId="9" fontId="0" fillId="56" borderId="0" xfId="0" applyNumberFormat="1" applyFill="1"/>
    <xf numFmtId="3" fontId="0" fillId="56" borderId="9" xfId="0" applyNumberFormat="1" applyFill="1" applyBorder="1"/>
    <xf numFmtId="0" fontId="0" fillId="56" borderId="0" xfId="0" applyFill="1"/>
    <xf numFmtId="0" fontId="0" fillId="56" borderId="9" xfId="0" applyFill="1" applyBorder="1"/>
    <xf numFmtId="1" fontId="0" fillId="56" borderId="0" xfId="0" applyNumberFormat="1" applyFill="1"/>
    <xf numFmtId="3" fontId="0" fillId="49" borderId="0" xfId="0" applyNumberFormat="1" applyFill="1"/>
    <xf numFmtId="0" fontId="262" fillId="0" borderId="0" xfId="0" applyFont="1" applyAlignment="1">
      <alignment vertical="center"/>
    </xf>
    <xf numFmtId="0" fontId="262" fillId="0" borderId="0" xfId="0" applyFont="1"/>
    <xf numFmtId="0" fontId="1" fillId="56" borderId="0" xfId="0" applyFont="1" applyFill="1"/>
    <xf numFmtId="3" fontId="1" fillId="56" borderId="0" xfId="0" applyNumberFormat="1" applyFont="1" applyFill="1"/>
    <xf numFmtId="164" fontId="1" fillId="56" borderId="0" xfId="0" applyNumberFormat="1" applyFont="1" applyFill="1"/>
    <xf numFmtId="9" fontId="1" fillId="56" borderId="0" xfId="0" applyNumberFormat="1" applyFont="1" applyFill="1"/>
    <xf numFmtId="0" fontId="1" fillId="56" borderId="9" xfId="0" applyFont="1" applyFill="1" applyBorder="1"/>
    <xf numFmtId="3" fontId="1" fillId="56" borderId="9" xfId="0" applyNumberFormat="1" applyFont="1" applyFill="1" applyBorder="1"/>
    <xf numFmtId="261" fontId="0" fillId="49" borderId="0" xfId="0" applyNumberFormat="1" applyFill="1"/>
    <xf numFmtId="261" fontId="2" fillId="0" borderId="47" xfId="0" applyNumberFormat="1" applyFont="1" applyBorder="1"/>
    <xf numFmtId="0" fontId="2" fillId="0" borderId="51" xfId="0" applyFont="1" applyBorder="1"/>
    <xf numFmtId="3" fontId="2" fillId="0" borderId="5" xfId="0" applyNumberFormat="1" applyFont="1" applyBorder="1"/>
    <xf numFmtId="3" fontId="2" fillId="0" borderId="52" xfId="0" applyNumberFormat="1" applyFont="1" applyBorder="1"/>
    <xf numFmtId="0" fontId="2" fillId="56" borderId="0" xfId="0" applyFont="1" applyFill="1"/>
    <xf numFmtId="3" fontId="2" fillId="56" borderId="0" xfId="0" applyNumberFormat="1" applyFont="1" applyFill="1"/>
    <xf numFmtId="0" fontId="2" fillId="56" borderId="48" xfId="0" applyFont="1" applyFill="1" applyBorder="1"/>
    <xf numFmtId="3" fontId="2" fillId="56" borderId="25" xfId="0" applyNumberFormat="1" applyFont="1" applyFill="1" applyBorder="1"/>
    <xf numFmtId="3" fontId="2" fillId="56" borderId="49" xfId="0" applyNumberFormat="1" applyFont="1" applyFill="1" applyBorder="1"/>
    <xf numFmtId="3" fontId="259" fillId="55" borderId="57" xfId="0" applyNumberFormat="1" applyFont="1" applyFill="1" applyBorder="1" applyAlignment="1">
      <alignment horizontal="right" vertical="center"/>
    </xf>
    <xf numFmtId="164" fontId="264" fillId="58" borderId="0" xfId="1941" applyNumberFormat="1" applyFont="1" applyFill="1" applyAlignment="1">
      <alignment horizontal="right"/>
    </xf>
    <xf numFmtId="164" fontId="255" fillId="55" borderId="57" xfId="1941" applyNumberFormat="1" applyFont="1" applyFill="1" applyBorder="1" applyAlignment="1">
      <alignment horizontal="right" vertical="center"/>
    </xf>
    <xf numFmtId="4" fontId="259" fillId="55" borderId="57" xfId="0" applyNumberFormat="1" applyFont="1" applyFill="1" applyBorder="1" applyAlignment="1">
      <alignment horizontal="right" vertical="center"/>
    </xf>
    <xf numFmtId="164" fontId="255" fillId="55" borderId="57" xfId="0" applyNumberFormat="1" applyFont="1" applyFill="1" applyBorder="1" applyAlignment="1">
      <alignment horizontal="right" vertical="center"/>
    </xf>
    <xf numFmtId="0" fontId="0" fillId="56" borderId="0" xfId="0" applyFill="1" applyAlignment="1">
      <alignment horizontal="left"/>
    </xf>
    <xf numFmtId="3" fontId="1" fillId="49" borderId="0" xfId="0" applyNumberFormat="1" applyFont="1" applyFill="1"/>
    <xf numFmtId="3" fontId="257" fillId="0" borderId="0" xfId="0" applyNumberFormat="1" applyFont="1"/>
    <xf numFmtId="168" fontId="257" fillId="0" borderId="0" xfId="0" applyNumberFormat="1" applyFont="1"/>
    <xf numFmtId="165" fontId="0" fillId="56" borderId="0" xfId="0" applyNumberFormat="1" applyFill="1"/>
    <xf numFmtId="0" fontId="10" fillId="56" borderId="0" xfId="0" applyFont="1" applyFill="1"/>
    <xf numFmtId="2" fontId="0" fillId="56" borderId="0" xfId="0" applyNumberFormat="1" applyFill="1"/>
    <xf numFmtId="4" fontId="0" fillId="56" borderId="0" xfId="0" applyNumberFormat="1" applyFill="1"/>
    <xf numFmtId="0" fontId="265" fillId="0" borderId="0" xfId="0" applyFont="1" applyAlignment="1">
      <alignment horizontal="right"/>
    </xf>
    <xf numFmtId="0" fontId="265" fillId="0" borderId="9" xfId="0" applyFont="1" applyBorder="1"/>
    <xf numFmtId="0" fontId="262" fillId="56" borderId="0" xfId="0" applyFont="1" applyFill="1"/>
    <xf numFmtId="3" fontId="262" fillId="56" borderId="0" xfId="0" applyNumberFormat="1" applyFont="1" applyFill="1"/>
    <xf numFmtId="3" fontId="262" fillId="0" borderId="0" xfId="0" applyNumberFormat="1" applyFont="1"/>
    <xf numFmtId="164" fontId="262" fillId="0" borderId="0" xfId="0" applyNumberFormat="1" applyFont="1"/>
    <xf numFmtId="0" fontId="262" fillId="56" borderId="9" xfId="0" applyFont="1" applyFill="1" applyBorder="1"/>
    <xf numFmtId="3" fontId="262" fillId="56" borderId="9" xfId="0" applyNumberFormat="1" applyFont="1" applyFill="1" applyBorder="1"/>
    <xf numFmtId="0" fontId="262" fillId="0" borderId="9" xfId="0" applyFont="1" applyBorder="1"/>
    <xf numFmtId="164" fontId="262" fillId="56" borderId="0" xfId="0" applyNumberFormat="1" applyFont="1" applyFill="1"/>
    <xf numFmtId="164" fontId="262" fillId="56" borderId="9" xfId="0" applyNumberFormat="1" applyFont="1" applyFill="1" applyBorder="1"/>
    <xf numFmtId="0" fontId="265" fillId="0" borderId="0" xfId="0" applyFont="1"/>
    <xf numFmtId="164" fontId="265" fillId="0" borderId="0" xfId="0" applyNumberFormat="1" applyFont="1"/>
    <xf numFmtId="164" fontId="265" fillId="56" borderId="0" xfId="0" applyNumberFormat="1" applyFont="1" applyFill="1"/>
    <xf numFmtId="164" fontId="262" fillId="0" borderId="9" xfId="0" applyNumberFormat="1" applyFont="1" applyBorder="1"/>
    <xf numFmtId="3" fontId="260" fillId="60" borderId="0" xfId="0" applyNumberFormat="1" applyFont="1" applyFill="1" applyAlignment="1">
      <alignment horizontal="right" vertical="center"/>
    </xf>
    <xf numFmtId="164" fontId="255" fillId="60" borderId="0" xfId="1941" applyNumberFormat="1" applyFont="1" applyFill="1" applyAlignment="1">
      <alignment horizontal="right"/>
    </xf>
    <xf numFmtId="206" fontId="255" fillId="60" borderId="0" xfId="0" applyNumberFormat="1" applyFont="1" applyFill="1" applyAlignment="1">
      <alignment horizontal="right" vertical="center"/>
    </xf>
    <xf numFmtId="206" fontId="260" fillId="60" borderId="0" xfId="0" applyNumberFormat="1" applyFont="1" applyFill="1" applyAlignment="1">
      <alignment horizontal="right" vertical="center"/>
    </xf>
    <xf numFmtId="206" fontId="261" fillId="60" borderId="0" xfId="0" applyNumberFormat="1" applyFont="1" applyFill="1" applyAlignment="1">
      <alignment horizontal="right" vertical="center"/>
    </xf>
    <xf numFmtId="238" fontId="261" fillId="60" borderId="0" xfId="0" applyNumberFormat="1" applyFont="1" applyFill="1" applyAlignment="1">
      <alignment horizontal="right" vertical="center"/>
    </xf>
    <xf numFmtId="3" fontId="260" fillId="61" borderId="0" xfId="0" applyNumberFormat="1" applyFont="1" applyFill="1" applyAlignment="1">
      <alignment horizontal="right" vertical="center"/>
    </xf>
    <xf numFmtId="15" fontId="3" fillId="0" borderId="0" xfId="0" applyNumberFormat="1" applyFont="1" applyAlignment="1">
      <alignment horizontal="left"/>
    </xf>
    <xf numFmtId="164" fontId="264" fillId="61" borderId="0" xfId="1941" applyNumberFormat="1" applyFont="1" applyFill="1" applyBorder="1" applyAlignment="1">
      <alignment horizontal="right"/>
    </xf>
    <xf numFmtId="165" fontId="0" fillId="0" borderId="0" xfId="0" applyNumberFormat="1" applyAlignment="1">
      <alignment horizontal="left"/>
    </xf>
    <xf numFmtId="0" fontId="0" fillId="62" borderId="0" xfId="0" applyFill="1"/>
    <xf numFmtId="0" fontId="0" fillId="62" borderId="3" xfId="0" applyFill="1" applyBorder="1"/>
    <xf numFmtId="9" fontId="0" fillId="62" borderId="20" xfId="0" applyNumberFormat="1" applyFill="1" applyBorder="1"/>
    <xf numFmtId="0" fontId="1" fillId="62" borderId="0" xfId="0" applyFont="1" applyFill="1"/>
    <xf numFmtId="0" fontId="0" fillId="62" borderId="9" xfId="0" applyFill="1" applyBorder="1"/>
    <xf numFmtId="0" fontId="0" fillId="62" borderId="40" xfId="0" applyFill="1" applyBorder="1"/>
    <xf numFmtId="0" fontId="0" fillId="62" borderId="42" xfId="0" applyFill="1" applyBorder="1"/>
    <xf numFmtId="0" fontId="1" fillId="62" borderId="9" xfId="0" applyFont="1" applyFill="1" applyBorder="1"/>
    <xf numFmtId="0" fontId="1" fillId="56" borderId="0" xfId="0" applyFont="1" applyFill="1" applyAlignment="1">
      <alignment horizontal="left"/>
    </xf>
    <xf numFmtId="0" fontId="0" fillId="49" borderId="0" xfId="0" applyFill="1"/>
    <xf numFmtId="9" fontId="0" fillId="49" borderId="0" xfId="0" applyNumberFormat="1" applyFill="1"/>
    <xf numFmtId="165" fontId="1" fillId="49" borderId="0" xfId="0" applyNumberFormat="1" applyFont="1" applyFill="1"/>
    <xf numFmtId="17" fontId="1" fillId="0" borderId="0" xfId="0" applyNumberFormat="1" applyFont="1" applyAlignment="1">
      <alignment horizontal="right"/>
    </xf>
    <xf numFmtId="17" fontId="0" fillId="0" borderId="0" xfId="0" applyNumberFormat="1" applyAlignment="1">
      <alignment horizontal="right"/>
    </xf>
    <xf numFmtId="0" fontId="266" fillId="0" borderId="0" xfId="0" applyFont="1"/>
    <xf numFmtId="0" fontId="265" fillId="0" borderId="33" xfId="0" applyFont="1" applyBorder="1"/>
    <xf numFmtId="0" fontId="267" fillId="0" borderId="36" xfId="0" applyFont="1" applyBorder="1"/>
    <xf numFmtId="0" fontId="268" fillId="63" borderId="0" xfId="0" applyFont="1" applyFill="1" applyAlignment="1">
      <alignment horizontal="center"/>
    </xf>
    <xf numFmtId="0" fontId="268" fillId="63" borderId="0" xfId="0" applyFont="1" applyFill="1" applyAlignment="1">
      <alignment horizontal="left"/>
    </xf>
    <xf numFmtId="0" fontId="267" fillId="0" borderId="0" xfId="0" applyFont="1"/>
    <xf numFmtId="0" fontId="266" fillId="0" borderId="36" xfId="0" applyFont="1" applyBorder="1"/>
    <xf numFmtId="0" fontId="265" fillId="0" borderId="33" xfId="0" applyFont="1" applyBorder="1" applyAlignment="1">
      <alignment horizontal="center"/>
    </xf>
    <xf numFmtId="0" fontId="262" fillId="0" borderId="0" xfId="0" applyFont="1" applyAlignment="1">
      <alignment horizontal="center"/>
    </xf>
    <xf numFmtId="3" fontId="262" fillId="0" borderId="0" xfId="0" applyNumberFormat="1" applyFont="1" applyAlignment="1">
      <alignment horizontal="center"/>
    </xf>
    <xf numFmtId="3" fontId="262" fillId="0" borderId="36" xfId="0" applyNumberFormat="1" applyFont="1" applyBorder="1" applyAlignment="1">
      <alignment horizontal="center"/>
    </xf>
    <xf numFmtId="0" fontId="266" fillId="0" borderId="0" xfId="0" applyFont="1" applyAlignment="1">
      <alignment horizontal="left" indent="1"/>
    </xf>
    <xf numFmtId="3" fontId="265" fillId="0" borderId="0" xfId="0" applyNumberFormat="1" applyFont="1" applyAlignment="1">
      <alignment horizontal="center"/>
    </xf>
    <xf numFmtId="0" fontId="262" fillId="0" borderId="36" xfId="0" applyFont="1" applyBorder="1"/>
    <xf numFmtId="0" fontId="262" fillId="0" borderId="36" xfId="0" applyFont="1" applyBorder="1" applyAlignment="1">
      <alignment horizontal="center"/>
    </xf>
    <xf numFmtId="0" fontId="267" fillId="53" borderId="36" xfId="0" applyFont="1" applyFill="1" applyBorder="1"/>
    <xf numFmtId="0" fontId="265" fillId="53" borderId="36" xfId="0" applyFont="1" applyFill="1" applyBorder="1" applyAlignment="1">
      <alignment horizontal="center"/>
    </xf>
    <xf numFmtId="0" fontId="267" fillId="53" borderId="5" xfId="0" applyFont="1" applyFill="1" applyBorder="1"/>
    <xf numFmtId="0" fontId="265" fillId="53" borderId="5" xfId="0" applyFont="1" applyFill="1" applyBorder="1" applyAlignment="1">
      <alignment horizontal="center"/>
    </xf>
    <xf numFmtId="0" fontId="266" fillId="53" borderId="0" xfId="0" applyFont="1" applyFill="1"/>
    <xf numFmtId="3" fontId="262" fillId="53" borderId="0" xfId="0" applyNumberFormat="1" applyFont="1" applyFill="1" applyAlignment="1">
      <alignment horizontal="center"/>
    </xf>
    <xf numFmtId="0" fontId="262" fillId="53" borderId="0" xfId="0" applyFont="1" applyFill="1" applyAlignment="1">
      <alignment horizontal="center"/>
    </xf>
    <xf numFmtId="164" fontId="262" fillId="53" borderId="0" xfId="1941" applyNumberFormat="1" applyFont="1" applyFill="1" applyAlignment="1">
      <alignment horizontal="center"/>
    </xf>
    <xf numFmtId="0" fontId="266" fillId="56" borderId="0" xfId="0" applyFont="1" applyFill="1"/>
    <xf numFmtId="3" fontId="262" fillId="56" borderId="0" xfId="0" applyNumberFormat="1" applyFont="1" applyFill="1" applyAlignment="1">
      <alignment horizontal="center"/>
    </xf>
    <xf numFmtId="0" fontId="262" fillId="56" borderId="0" xfId="0" applyFont="1" applyFill="1" applyAlignment="1">
      <alignment horizontal="center"/>
    </xf>
    <xf numFmtId="164" fontId="262" fillId="56" borderId="0" xfId="1941" applyNumberFormat="1" applyFont="1" applyFill="1" applyAlignment="1">
      <alignment horizontal="center"/>
    </xf>
    <xf numFmtId="3" fontId="262" fillId="53" borderId="36" xfId="0" applyNumberFormat="1" applyFont="1" applyFill="1" applyBorder="1" applyAlignment="1">
      <alignment horizontal="center"/>
    </xf>
    <xf numFmtId="3" fontId="265" fillId="53" borderId="36" xfId="0" applyNumberFormat="1" applyFont="1" applyFill="1" applyBorder="1" applyAlignment="1">
      <alignment horizontal="center"/>
    </xf>
    <xf numFmtId="3" fontId="265" fillId="0" borderId="36" xfId="0" applyNumberFormat="1" applyFont="1" applyBorder="1" applyAlignment="1">
      <alignment horizontal="center"/>
    </xf>
    <xf numFmtId="165" fontId="262" fillId="56" borderId="0" xfId="0" applyNumberFormat="1" applyFont="1" applyFill="1" applyAlignment="1">
      <alignment horizontal="center"/>
    </xf>
    <xf numFmtId="3" fontId="269" fillId="0" borderId="0" xfId="0" applyNumberFormat="1" applyFont="1" applyAlignment="1">
      <alignment horizontal="center"/>
    </xf>
    <xf numFmtId="0" fontId="269" fillId="0" borderId="0" xfId="0" applyFont="1" applyAlignment="1">
      <alignment horizontal="center"/>
    </xf>
    <xf numFmtId="1" fontId="269" fillId="0" borderId="0" xfId="0" applyNumberFormat="1" applyFont="1" applyAlignment="1">
      <alignment horizontal="center"/>
    </xf>
    <xf numFmtId="3" fontId="262" fillId="0" borderId="6" xfId="0" applyNumberFormat="1" applyFont="1" applyBorder="1" applyAlignment="1">
      <alignment horizontal="center"/>
    </xf>
    <xf numFmtId="0" fontId="265" fillId="0" borderId="36" xfId="0" applyFont="1" applyBorder="1"/>
    <xf numFmtId="3" fontId="265" fillId="0" borderId="41" xfId="0" applyNumberFormat="1" applyFont="1" applyBorder="1" applyAlignment="1">
      <alignment horizontal="center"/>
    </xf>
    <xf numFmtId="0" fontId="270" fillId="64" borderId="0" xfId="0" applyFont="1" applyFill="1"/>
    <xf numFmtId="0" fontId="270" fillId="58" borderId="0" xfId="0" applyFont="1" applyFill="1"/>
    <xf numFmtId="0" fontId="271" fillId="64" borderId="0" xfId="0" applyFont="1" applyFill="1"/>
    <xf numFmtId="0" fontId="270" fillId="65" borderId="0" xfId="0" applyFont="1" applyFill="1"/>
    <xf numFmtId="0" fontId="262" fillId="49" borderId="0" xfId="0" applyFont="1" applyFill="1" applyAlignment="1">
      <alignment horizontal="center"/>
    </xf>
    <xf numFmtId="3" fontId="262" fillId="56" borderId="36" xfId="0" applyNumberFormat="1" applyFont="1" applyFill="1" applyBorder="1" applyAlignment="1">
      <alignment horizontal="center"/>
    </xf>
    <xf numFmtId="0" fontId="270" fillId="65" borderId="36" xfId="0" applyFont="1" applyFill="1" applyBorder="1"/>
    <xf numFmtId="0" fontId="266" fillId="53" borderId="36" xfId="0" applyFont="1" applyFill="1" applyBorder="1"/>
    <xf numFmtId="168" fontId="262" fillId="0" borderId="0" xfId="0" applyNumberFormat="1" applyFont="1" applyAlignment="1">
      <alignment horizontal="center"/>
    </xf>
    <xf numFmtId="0" fontId="271" fillId="58" borderId="36" xfId="0" applyFont="1" applyFill="1" applyBorder="1"/>
    <xf numFmtId="0" fontId="271" fillId="58" borderId="5" xfId="0" applyFont="1" applyFill="1" applyBorder="1"/>
    <xf numFmtId="0" fontId="270" fillId="66" borderId="0" xfId="0" applyFont="1" applyFill="1"/>
    <xf numFmtId="164" fontId="270" fillId="66" borderId="0" xfId="0" applyNumberFormat="1" applyFont="1" applyFill="1"/>
    <xf numFmtId="164" fontId="270" fillId="58" borderId="0" xfId="0" applyNumberFormat="1" applyFont="1" applyFill="1"/>
    <xf numFmtId="165" fontId="270" fillId="66" borderId="0" xfId="0" applyNumberFormat="1" applyFont="1" applyFill="1"/>
    <xf numFmtId="0" fontId="271" fillId="58" borderId="0" xfId="0" applyFont="1" applyFill="1"/>
    <xf numFmtId="3" fontId="271" fillId="58" borderId="36" xfId="0" applyNumberFormat="1" applyFont="1" applyFill="1" applyBorder="1"/>
    <xf numFmtId="3" fontId="270" fillId="64" borderId="0" xfId="0" applyNumberFormat="1" applyFont="1" applyFill="1"/>
    <xf numFmtId="3" fontId="270" fillId="58" borderId="0" xfId="0" applyNumberFormat="1" applyFont="1" applyFill="1"/>
    <xf numFmtId="3" fontId="271" fillId="64" borderId="36" xfId="0" applyNumberFormat="1" applyFont="1" applyFill="1" applyBorder="1"/>
    <xf numFmtId="0" fontId="271" fillId="66" borderId="0" xfId="0" applyFont="1" applyFill="1"/>
    <xf numFmtId="3" fontId="271" fillId="66" borderId="0" xfId="0" applyNumberFormat="1" applyFont="1" applyFill="1"/>
    <xf numFmtId="3" fontId="270" fillId="66" borderId="0" xfId="0" applyNumberFormat="1" applyFont="1" applyFill="1"/>
    <xf numFmtId="0" fontId="258" fillId="53" borderId="5" xfId="0" applyFont="1" applyFill="1" applyBorder="1" applyAlignment="1">
      <alignment horizontal="center"/>
    </xf>
    <xf numFmtId="164" fontId="266" fillId="56" borderId="0" xfId="0" applyNumberFormat="1" applyFont="1" applyFill="1" applyAlignment="1">
      <alignment horizontal="center"/>
    </xf>
    <xf numFmtId="3" fontId="266" fillId="56" borderId="0" xfId="0" applyNumberFormat="1" applyFont="1" applyFill="1" applyAlignment="1">
      <alignment horizontal="center"/>
    </xf>
    <xf numFmtId="164" fontId="266" fillId="53" borderId="0" xfId="0" applyNumberFormat="1" applyFont="1" applyFill="1" applyAlignment="1">
      <alignment horizontal="center"/>
    </xf>
    <xf numFmtId="3" fontId="266" fillId="53" borderId="0" xfId="0" applyNumberFormat="1" applyFont="1" applyFill="1" applyAlignment="1">
      <alignment horizontal="center"/>
    </xf>
    <xf numFmtId="0" fontId="267" fillId="53" borderId="36" xfId="0" applyFont="1" applyFill="1" applyBorder="1" applyAlignment="1">
      <alignment horizontal="left"/>
    </xf>
    <xf numFmtId="0" fontId="267" fillId="53" borderId="5" xfId="0" applyFont="1" applyFill="1" applyBorder="1" applyAlignment="1">
      <alignment horizontal="left"/>
    </xf>
    <xf numFmtId="0" fontId="0" fillId="53" borderId="0" xfId="0" applyFill="1" applyAlignment="1">
      <alignment horizontal="left"/>
    </xf>
    <xf numFmtId="3" fontId="266" fillId="0" borderId="0" xfId="0" applyNumberFormat="1" applyFont="1" applyAlignment="1">
      <alignment horizontal="center"/>
    </xf>
    <xf numFmtId="0" fontId="258" fillId="0" borderId="0" xfId="0" applyFont="1" applyAlignment="1">
      <alignment horizontal="center"/>
    </xf>
    <xf numFmtId="9" fontId="0" fillId="0" borderId="0" xfId="1941" applyFont="1" applyFill="1" applyAlignment="1">
      <alignment horizontal="center"/>
    </xf>
    <xf numFmtId="164" fontId="266" fillId="56" borderId="0" xfId="0" applyNumberFormat="1" applyFont="1" applyFill="1"/>
    <xf numFmtId="3" fontId="266" fillId="53" borderId="0" xfId="0" applyNumberFormat="1" applyFont="1" applyFill="1"/>
    <xf numFmtId="9" fontId="267" fillId="56" borderId="6" xfId="1941" applyFont="1" applyFill="1" applyBorder="1"/>
    <xf numFmtId="0" fontId="272" fillId="56" borderId="48" xfId="0" applyFont="1" applyFill="1" applyBorder="1"/>
    <xf numFmtId="0" fontId="272" fillId="56" borderId="25" xfId="0" applyFont="1" applyFill="1" applyBorder="1"/>
    <xf numFmtId="0" fontId="272" fillId="56" borderId="49" xfId="0" applyFont="1" applyFill="1" applyBorder="1"/>
    <xf numFmtId="0" fontId="272" fillId="0" borderId="0" xfId="0" applyFont="1"/>
    <xf numFmtId="0" fontId="272" fillId="0" borderId="50" xfId="0" applyFont="1" applyBorder="1"/>
    <xf numFmtId="9" fontId="272" fillId="0" borderId="27" xfId="0" applyNumberFormat="1" applyFont="1" applyBorder="1"/>
    <xf numFmtId="0" fontId="272" fillId="56" borderId="50" xfId="0" applyFont="1" applyFill="1" applyBorder="1"/>
    <xf numFmtId="0" fontId="272" fillId="56" borderId="0" xfId="0" applyFont="1" applyFill="1"/>
    <xf numFmtId="0" fontId="272" fillId="56" borderId="27" xfId="0" applyFont="1" applyFill="1" applyBorder="1"/>
    <xf numFmtId="0" fontId="272" fillId="0" borderId="51" xfId="0" applyFont="1" applyBorder="1"/>
    <xf numFmtId="0" fontId="272" fillId="0" borderId="5" xfId="0" applyFont="1" applyBorder="1"/>
    <xf numFmtId="9" fontId="272" fillId="0" borderId="52" xfId="0" applyNumberFormat="1" applyFont="1" applyBorder="1"/>
    <xf numFmtId="165" fontId="272" fillId="0" borderId="0" xfId="0" applyNumberFormat="1" applyFont="1"/>
    <xf numFmtId="0" fontId="273" fillId="0" borderId="0" xfId="0" applyFont="1"/>
    <xf numFmtId="0" fontId="273" fillId="0" borderId="0" xfId="0" applyFont="1" applyAlignment="1">
      <alignment horizontal="right"/>
    </xf>
    <xf numFmtId="0" fontId="273" fillId="0" borderId="9" xfId="0" applyFont="1" applyBorder="1" applyAlignment="1">
      <alignment horizontal="left"/>
    </xf>
    <xf numFmtId="0" fontId="272" fillId="0" borderId="9" xfId="0" applyFont="1" applyBorder="1"/>
    <xf numFmtId="0" fontId="273" fillId="0" borderId="9" xfId="0" applyFont="1" applyBorder="1" applyAlignment="1">
      <alignment horizontal="right"/>
    </xf>
    <xf numFmtId="3" fontId="272" fillId="56" borderId="0" xfId="0" applyNumberFormat="1" applyFont="1" applyFill="1"/>
    <xf numFmtId="164" fontId="272" fillId="56" borderId="0" xfId="0" applyNumberFormat="1" applyFont="1" applyFill="1"/>
    <xf numFmtId="9" fontId="272" fillId="56" borderId="0" xfId="0" applyNumberFormat="1" applyFont="1" applyFill="1"/>
    <xf numFmtId="1" fontId="272" fillId="56" borderId="0" xfId="0" applyNumberFormat="1" applyFont="1" applyFill="1"/>
    <xf numFmtId="0" fontId="273" fillId="56" borderId="0" xfId="0" applyFont="1" applyFill="1" applyAlignment="1">
      <alignment horizontal="right"/>
    </xf>
    <xf numFmtId="3" fontId="272" fillId="0" borderId="0" xfId="0" applyNumberFormat="1" applyFont="1"/>
    <xf numFmtId="164" fontId="272" fillId="0" borderId="0" xfId="0" applyNumberFormat="1" applyFont="1"/>
    <xf numFmtId="9" fontId="272" fillId="0" borderId="0" xfId="0" applyNumberFormat="1" applyFont="1"/>
    <xf numFmtId="1" fontId="272" fillId="0" borderId="0" xfId="0" applyNumberFormat="1" applyFont="1"/>
    <xf numFmtId="3" fontId="272" fillId="56" borderId="25" xfId="0" applyNumberFormat="1" applyFont="1" applyFill="1" applyBorder="1"/>
    <xf numFmtId="164" fontId="272" fillId="56" borderId="25" xfId="0" applyNumberFormat="1" applyFont="1" applyFill="1" applyBorder="1"/>
    <xf numFmtId="9" fontId="272" fillId="56" borderId="25" xfId="0" applyNumberFormat="1" applyFont="1" applyFill="1" applyBorder="1"/>
    <xf numFmtId="3" fontId="272" fillId="56" borderId="49" xfId="0" applyNumberFormat="1" applyFont="1" applyFill="1" applyBorder="1"/>
    <xf numFmtId="0" fontId="274" fillId="0" borderId="50" xfId="0" applyFont="1" applyBorder="1"/>
    <xf numFmtId="0" fontId="274" fillId="0" borderId="0" xfId="0" applyFont="1"/>
    <xf numFmtId="3" fontId="274" fillId="0" borderId="0" xfId="0" applyNumberFormat="1" applyFont="1"/>
    <xf numFmtId="164" fontId="274" fillId="0" borderId="0" xfId="0" applyNumberFormat="1" applyFont="1"/>
    <xf numFmtId="1" fontId="274" fillId="0" borderId="27" xfId="0" applyNumberFormat="1" applyFont="1" applyBorder="1"/>
    <xf numFmtId="9" fontId="274" fillId="0" borderId="0" xfId="0" applyNumberFormat="1" applyFont="1"/>
    <xf numFmtId="3" fontId="274" fillId="0" borderId="27" xfId="0" applyNumberFormat="1" applyFont="1" applyBorder="1"/>
    <xf numFmtId="3" fontId="272" fillId="0" borderId="27" xfId="0" applyNumberFormat="1" applyFont="1" applyBorder="1"/>
    <xf numFmtId="168" fontId="272" fillId="0" borderId="0" xfId="0" applyNumberFormat="1" applyFont="1"/>
    <xf numFmtId="0" fontId="272" fillId="56" borderId="0" xfId="0" quotePrefix="1" applyFont="1" applyFill="1"/>
    <xf numFmtId="0" fontId="272" fillId="0" borderId="0" xfId="0" quotePrefix="1" applyFont="1"/>
    <xf numFmtId="0" fontId="273" fillId="56" borderId="43" xfId="0" applyFont="1" applyFill="1" applyBorder="1"/>
    <xf numFmtId="0" fontId="273" fillId="56" borderId="33" xfId="0" applyFont="1" applyFill="1" applyBorder="1"/>
    <xf numFmtId="9" fontId="273" fillId="56" borderId="33" xfId="0" applyNumberFormat="1" applyFont="1" applyFill="1" applyBorder="1"/>
    <xf numFmtId="0" fontId="273" fillId="56" borderId="51" xfId="0" applyFont="1" applyFill="1" applyBorder="1"/>
    <xf numFmtId="0" fontId="273" fillId="56" borderId="5" xfId="0" applyFont="1" applyFill="1" applyBorder="1"/>
    <xf numFmtId="165" fontId="273" fillId="56" borderId="5" xfId="0" applyNumberFormat="1" applyFont="1" applyFill="1" applyBorder="1"/>
    <xf numFmtId="164" fontId="273" fillId="56" borderId="5" xfId="0" applyNumberFormat="1" applyFont="1" applyFill="1" applyBorder="1"/>
    <xf numFmtId="3" fontId="273" fillId="56" borderId="17" xfId="0" applyNumberFormat="1" applyFont="1" applyFill="1" applyBorder="1"/>
    <xf numFmtId="164" fontId="1" fillId="31" borderId="0" xfId="0" applyNumberFormat="1" applyFont="1" applyFill="1"/>
    <xf numFmtId="3" fontId="1" fillId="56" borderId="0" xfId="0" applyNumberFormat="1" applyFont="1" applyFill="1" applyAlignment="1">
      <alignment horizontal="right"/>
    </xf>
    <xf numFmtId="0" fontId="2" fillId="0" borderId="60" xfId="0" applyFont="1" applyBorder="1" applyAlignment="1">
      <alignment horizontal="right"/>
    </xf>
    <xf numFmtId="0" fontId="2" fillId="0" borderId="61" xfId="0" applyFont="1" applyBorder="1" applyAlignment="1">
      <alignment horizontal="right"/>
    </xf>
    <xf numFmtId="0" fontId="0" fillId="62" borderId="50" xfId="0" applyFill="1" applyBorder="1"/>
    <xf numFmtId="9" fontId="0" fillId="62" borderId="27" xfId="0" applyNumberFormat="1" applyFill="1" applyBorder="1"/>
    <xf numFmtId="9" fontId="0" fillId="0" borderId="27" xfId="0" applyNumberFormat="1" applyBorder="1"/>
    <xf numFmtId="0" fontId="0" fillId="62" borderId="55" xfId="0" applyFill="1" applyBorder="1"/>
    <xf numFmtId="0" fontId="0" fillId="62" borderId="56" xfId="0" applyFill="1" applyBorder="1"/>
    <xf numFmtId="9" fontId="2" fillId="0" borderId="27" xfId="0" applyNumberFormat="1" applyFont="1" applyBorder="1"/>
    <xf numFmtId="0" fontId="0" fillId="56" borderId="50" xfId="0" applyFill="1" applyBorder="1"/>
    <xf numFmtId="0" fontId="0" fillId="56" borderId="27" xfId="0" applyFill="1" applyBorder="1"/>
    <xf numFmtId="9" fontId="0" fillId="0" borderId="52" xfId="0" applyNumberFormat="1" applyBorder="1"/>
    <xf numFmtId="0" fontId="270" fillId="58" borderId="36" xfId="0" applyFont="1" applyFill="1" applyBorder="1" applyAlignment="1">
      <alignment horizontal="right"/>
    </xf>
    <xf numFmtId="0" fontId="271" fillId="58" borderId="5" xfId="0" applyFont="1" applyFill="1" applyBorder="1" applyAlignment="1">
      <alignment horizontal="right"/>
    </xf>
    <xf numFmtId="3" fontId="266" fillId="0" borderId="0" xfId="0" applyNumberFormat="1" applyFont="1"/>
    <xf numFmtId="1" fontId="266" fillId="0" borderId="0" xfId="0" applyNumberFormat="1" applyFont="1"/>
    <xf numFmtId="3" fontId="269" fillId="0" borderId="0" xfId="0" applyNumberFormat="1" applyFont="1"/>
    <xf numFmtId="0" fontId="275" fillId="0" borderId="0" xfId="0" applyFont="1"/>
    <xf numFmtId="0" fontId="276" fillId="52" borderId="0" xfId="0" applyFont="1" applyFill="1"/>
    <xf numFmtId="0" fontId="277" fillId="24" borderId="0" xfId="0" applyFont="1" applyFill="1" applyAlignment="1">
      <alignment horizontal="right"/>
    </xf>
    <xf numFmtId="0" fontId="276" fillId="52" borderId="0" xfId="0" applyFont="1" applyFill="1" applyAlignment="1">
      <alignment horizontal="right"/>
    </xf>
    <xf numFmtId="0" fontId="276" fillId="52" borderId="0" xfId="0" applyFont="1" applyFill="1" applyAlignment="1">
      <alignment horizontal="center" vertical="center" wrapText="1"/>
    </xf>
    <xf numFmtId="0" fontId="259" fillId="0" borderId="0" xfId="0" applyFont="1"/>
    <xf numFmtId="164" fontId="255" fillId="61" borderId="0" xfId="1941" applyNumberFormat="1" applyFont="1" applyFill="1" applyAlignment="1">
      <alignment horizontal="right"/>
    </xf>
    <xf numFmtId="0" fontId="255" fillId="58" borderId="0" xfId="0" applyFont="1" applyFill="1" applyAlignment="1">
      <alignment horizontal="right"/>
    </xf>
    <xf numFmtId="0" fontId="275" fillId="53" borderId="0" xfId="0" applyFont="1" applyFill="1"/>
    <xf numFmtId="0" fontId="275" fillId="53" borderId="0" xfId="0" applyFont="1" applyFill="1" applyAlignment="1">
      <alignment horizontal="right"/>
    </xf>
    <xf numFmtId="3" fontId="275" fillId="60" borderId="0" xfId="0" applyNumberFormat="1" applyFont="1" applyFill="1"/>
    <xf numFmtId="3" fontId="275" fillId="0" borderId="0" xfId="0" applyNumberFormat="1" applyFont="1"/>
    <xf numFmtId="0" fontId="275" fillId="51" borderId="0" xfId="0" applyFont="1" applyFill="1"/>
    <xf numFmtId="164" fontId="275" fillId="0" borderId="0" xfId="0" applyNumberFormat="1" applyFont="1"/>
    <xf numFmtId="1" fontId="1" fillId="0" borderId="9" xfId="0" applyNumberFormat="1" applyFont="1" applyBorder="1"/>
    <xf numFmtId="0" fontId="255" fillId="0" borderId="0" xfId="0" applyFont="1" applyAlignment="1">
      <alignment horizontal="right"/>
    </xf>
    <xf numFmtId="0" fontId="279" fillId="0" borderId="0" xfId="0" applyFont="1" applyAlignment="1">
      <alignment horizontal="left" indent="2"/>
    </xf>
    <xf numFmtId="165" fontId="4" fillId="49" borderId="0" xfId="0" applyNumberFormat="1" applyFont="1" applyFill="1"/>
    <xf numFmtId="9" fontId="275" fillId="0" borderId="0" xfId="0" applyNumberFormat="1" applyFont="1"/>
    <xf numFmtId="165" fontId="275" fillId="0" borderId="0" xfId="0" applyNumberFormat="1" applyFont="1"/>
    <xf numFmtId="0" fontId="281" fillId="0" borderId="9" xfId="0" applyFont="1" applyBorder="1"/>
    <xf numFmtId="0" fontId="281" fillId="0" borderId="9" xfId="0" applyFont="1" applyBorder="1" applyAlignment="1">
      <alignment horizontal="right"/>
    </xf>
    <xf numFmtId="0" fontId="281" fillId="68" borderId="9" xfId="0" applyFont="1" applyFill="1" applyBorder="1" applyAlignment="1">
      <alignment horizontal="right"/>
    </xf>
    <xf numFmtId="0" fontId="281" fillId="0" borderId="43" xfId="0" applyFont="1" applyBorder="1" applyAlignment="1">
      <alignment horizontal="right"/>
    </xf>
    <xf numFmtId="0" fontId="281" fillId="0" borderId="44" xfId="0" applyFont="1" applyBorder="1" applyAlignment="1">
      <alignment horizontal="right"/>
    </xf>
    <xf numFmtId="0" fontId="282" fillId="0" borderId="0" xfId="0" applyFont="1" applyAlignment="1">
      <alignment horizontal="right"/>
    </xf>
    <xf numFmtId="0" fontId="281" fillId="0" borderId="0" xfId="0" applyFont="1" applyAlignment="1">
      <alignment horizontal="right" wrapText="1"/>
    </xf>
    <xf numFmtId="0" fontId="282" fillId="56" borderId="0" xfId="0" applyFont="1" applyFill="1"/>
    <xf numFmtId="0" fontId="282" fillId="56" borderId="0" xfId="0" applyFont="1" applyFill="1" applyAlignment="1">
      <alignment horizontal="right"/>
    </xf>
    <xf numFmtId="0" fontId="282" fillId="68" borderId="0" xfId="0" applyFont="1" applyFill="1" applyAlignment="1">
      <alignment horizontal="right"/>
    </xf>
    <xf numFmtId="0" fontId="282" fillId="56" borderId="3" xfId="0" applyFont="1" applyFill="1" applyBorder="1" applyAlignment="1">
      <alignment horizontal="right"/>
    </xf>
    <xf numFmtId="9" fontId="282" fillId="56" borderId="20" xfId="0" applyNumberFormat="1" applyFont="1" applyFill="1" applyBorder="1" applyAlignment="1">
      <alignment horizontal="right"/>
    </xf>
    <xf numFmtId="9" fontId="282" fillId="56" borderId="0" xfId="0" applyNumberFormat="1" applyFont="1" applyFill="1" applyAlignment="1">
      <alignment horizontal="right"/>
    </xf>
    <xf numFmtId="0" fontId="283" fillId="0" borderId="0" xfId="0" applyFont="1"/>
    <xf numFmtId="0" fontId="283" fillId="0" borderId="0" xfId="0" applyFont="1" applyAlignment="1">
      <alignment horizontal="right"/>
    </xf>
    <xf numFmtId="0" fontId="283" fillId="68" borderId="0" xfId="0" applyFont="1" applyFill="1" applyAlignment="1">
      <alignment horizontal="right"/>
    </xf>
    <xf numFmtId="0" fontId="283" fillId="0" borderId="3" xfId="0" applyFont="1" applyBorder="1" applyAlignment="1">
      <alignment horizontal="right"/>
    </xf>
    <xf numFmtId="9" fontId="283" fillId="0" borderId="20" xfId="0" applyNumberFormat="1" applyFont="1" applyBorder="1" applyAlignment="1">
      <alignment horizontal="right"/>
    </xf>
    <xf numFmtId="9" fontId="283" fillId="0" borderId="0" xfId="0" applyNumberFormat="1" applyFont="1" applyAlignment="1">
      <alignment horizontal="right"/>
    </xf>
    <xf numFmtId="0" fontId="283" fillId="56" borderId="0" xfId="0" applyFont="1" applyFill="1"/>
    <xf numFmtId="0" fontId="283" fillId="56" borderId="0" xfId="0" applyFont="1" applyFill="1" applyAlignment="1">
      <alignment horizontal="right"/>
    </xf>
    <xf numFmtId="0" fontId="283" fillId="56" borderId="3" xfId="0" applyFont="1" applyFill="1" applyBorder="1" applyAlignment="1">
      <alignment horizontal="right"/>
    </xf>
    <xf numFmtId="9" fontId="283" fillId="56" borderId="20" xfId="0" applyNumberFormat="1" applyFont="1" applyFill="1" applyBorder="1" applyAlignment="1">
      <alignment horizontal="right"/>
    </xf>
    <xf numFmtId="9" fontId="283" fillId="56" borderId="0" xfId="0" applyNumberFormat="1" applyFont="1" applyFill="1" applyAlignment="1">
      <alignment horizontal="right"/>
    </xf>
    <xf numFmtId="0" fontId="282" fillId="0" borderId="0" xfId="0" applyFont="1"/>
    <xf numFmtId="0" fontId="282" fillId="0" borderId="3" xfId="0" applyFont="1" applyBorder="1" applyAlignment="1">
      <alignment horizontal="right"/>
    </xf>
    <xf numFmtId="9" fontId="282" fillId="0" borderId="20" xfId="0" applyNumberFormat="1" applyFont="1" applyBorder="1" applyAlignment="1">
      <alignment horizontal="right"/>
    </xf>
    <xf numFmtId="9" fontId="282" fillId="0" borderId="0" xfId="0" applyNumberFormat="1" applyFont="1" applyAlignment="1">
      <alignment horizontal="right"/>
    </xf>
    <xf numFmtId="0" fontId="281" fillId="0" borderId="36" xfId="0" applyFont="1" applyBorder="1"/>
    <xf numFmtId="0" fontId="281" fillId="0" borderId="36" xfId="0" applyFont="1" applyBorder="1" applyAlignment="1">
      <alignment horizontal="right"/>
    </xf>
    <xf numFmtId="0" fontId="281" fillId="68" borderId="36" xfId="0" applyFont="1" applyFill="1" applyBorder="1" applyAlignment="1">
      <alignment horizontal="right"/>
    </xf>
    <xf numFmtId="0" fontId="282" fillId="0" borderId="44" xfId="0" applyFont="1" applyBorder="1" applyAlignment="1">
      <alignment horizontal="right"/>
    </xf>
    <xf numFmtId="9" fontId="282" fillId="0" borderId="36" xfId="0" applyNumberFormat="1" applyFont="1" applyBorder="1" applyAlignment="1">
      <alignment horizontal="right"/>
    </xf>
    <xf numFmtId="165" fontId="280" fillId="0" borderId="0" xfId="0" applyNumberFormat="1" applyFont="1" applyAlignment="1">
      <alignment horizontal="right"/>
    </xf>
    <xf numFmtId="165" fontId="0" fillId="0" borderId="0" xfId="0" applyNumberFormat="1" applyAlignment="1">
      <alignment horizontal="right"/>
    </xf>
    <xf numFmtId="0" fontId="0" fillId="0" borderId="0" xfId="0" applyAlignment="1">
      <alignment horizontal="center"/>
    </xf>
    <xf numFmtId="0" fontId="2" fillId="0" borderId="0" xfId="0" applyFont="1" applyAlignment="1">
      <alignment horizontal="center"/>
    </xf>
    <xf numFmtId="9" fontId="0" fillId="0" borderId="0" xfId="0" applyNumberFormat="1" applyAlignment="1">
      <alignment horizontal="center"/>
    </xf>
    <xf numFmtId="164" fontId="0" fillId="0" borderId="0" xfId="0" applyNumberFormat="1" applyAlignment="1">
      <alignment horizontal="center"/>
    </xf>
    <xf numFmtId="164" fontId="0" fillId="0" borderId="6" xfId="0" applyNumberFormat="1" applyBorder="1" applyAlignment="1">
      <alignment horizontal="center"/>
    </xf>
    <xf numFmtId="164" fontId="262" fillId="56" borderId="0" xfId="0" applyNumberFormat="1" applyFont="1" applyFill="1" applyAlignment="1">
      <alignment horizontal="right"/>
    </xf>
    <xf numFmtId="0" fontId="270" fillId="66" borderId="9" xfId="0" applyFont="1" applyFill="1" applyBorder="1"/>
    <xf numFmtId="0" fontId="262" fillId="53" borderId="0" xfId="0" applyFont="1" applyFill="1"/>
    <xf numFmtId="164" fontId="262" fillId="53" borderId="0" xfId="0" applyNumberFormat="1" applyFont="1" applyFill="1"/>
    <xf numFmtId="0" fontId="272" fillId="53" borderId="0" xfId="0" applyFont="1" applyFill="1"/>
    <xf numFmtId="0" fontId="284" fillId="48" borderId="0" xfId="0" applyFont="1" applyFill="1"/>
    <xf numFmtId="0" fontId="272" fillId="0" borderId="9" xfId="0" applyFont="1" applyBorder="1" applyAlignment="1">
      <alignment horizontal="right"/>
    </xf>
    <xf numFmtId="0" fontId="285" fillId="0" borderId="0" xfId="0" applyFont="1"/>
    <xf numFmtId="0" fontId="273" fillId="0" borderId="9" xfId="0" applyFont="1" applyBorder="1"/>
    <xf numFmtId="1" fontId="273" fillId="0" borderId="9" xfId="0" applyNumberFormat="1" applyFont="1" applyBorder="1" applyAlignment="1">
      <alignment horizontal="right"/>
    </xf>
    <xf numFmtId="3" fontId="272" fillId="0" borderId="9" xfId="0" applyNumberFormat="1" applyFont="1" applyBorder="1"/>
    <xf numFmtId="3" fontId="272" fillId="59" borderId="0" xfId="0" applyNumberFormat="1" applyFont="1" applyFill="1"/>
    <xf numFmtId="164" fontId="272" fillId="59" borderId="0" xfId="0" applyNumberFormat="1" applyFont="1" applyFill="1"/>
    <xf numFmtId="9" fontId="272" fillId="59" borderId="0" xfId="0" applyNumberFormat="1" applyFont="1" applyFill="1"/>
    <xf numFmtId="164" fontId="273" fillId="0" borderId="0" xfId="0" applyNumberFormat="1" applyFont="1"/>
    <xf numFmtId="2" fontId="272" fillId="0" borderId="0" xfId="0" applyNumberFormat="1" applyFont="1"/>
    <xf numFmtId="0" fontId="272" fillId="0" borderId="0" xfId="0" applyFont="1" applyAlignment="1">
      <alignment horizontal="right"/>
    </xf>
    <xf numFmtId="165" fontId="273" fillId="56" borderId="33" xfId="0" applyNumberFormat="1" applyFont="1" applyFill="1" applyBorder="1"/>
    <xf numFmtId="165" fontId="272" fillId="56" borderId="33" xfId="0" applyNumberFormat="1" applyFont="1" applyFill="1" applyBorder="1"/>
    <xf numFmtId="261" fontId="1" fillId="0" borderId="0" xfId="5" applyNumberFormat="1" applyFont="1"/>
    <xf numFmtId="172" fontId="1" fillId="0" borderId="0" xfId="1541" applyNumberFormat="1" applyFont="1" applyFill="1"/>
    <xf numFmtId="0" fontId="286" fillId="69" borderId="0" xfId="0" applyFont="1" applyFill="1" applyAlignment="1">
      <alignment vertical="center"/>
    </xf>
    <xf numFmtId="0" fontId="255" fillId="69" borderId="0" xfId="0" applyFont="1" applyFill="1"/>
    <xf numFmtId="0" fontId="255" fillId="0" borderId="0" xfId="0" applyFont="1"/>
    <xf numFmtId="1" fontId="255" fillId="0" borderId="0" xfId="0" applyNumberFormat="1" applyFont="1"/>
    <xf numFmtId="3" fontId="255" fillId="0" borderId="0" xfId="0" applyNumberFormat="1" applyFont="1"/>
    <xf numFmtId="165" fontId="255" fillId="0" borderId="0" xfId="0" applyNumberFormat="1" applyFont="1"/>
    <xf numFmtId="0" fontId="286" fillId="0" borderId="43" xfId="0" applyFont="1" applyBorder="1"/>
    <xf numFmtId="9" fontId="286" fillId="49" borderId="44" xfId="0" applyNumberFormat="1" applyFont="1" applyFill="1" applyBorder="1"/>
    <xf numFmtId="0" fontId="286" fillId="69" borderId="0" xfId="0" applyFont="1" applyFill="1"/>
    <xf numFmtId="0" fontId="286" fillId="0" borderId="62" xfId="0" applyFont="1" applyBorder="1"/>
    <xf numFmtId="3" fontId="287" fillId="0" borderId="0" xfId="0" applyNumberFormat="1" applyFont="1"/>
    <xf numFmtId="9" fontId="255" fillId="0" borderId="0" xfId="0" applyNumberFormat="1" applyFont="1"/>
    <xf numFmtId="9" fontId="255" fillId="49" borderId="0" xfId="0" applyNumberFormat="1" applyFont="1" applyFill="1"/>
    <xf numFmtId="9" fontId="287" fillId="0" borderId="0" xfId="0" applyNumberFormat="1" applyFont="1"/>
    <xf numFmtId="164" fontId="266" fillId="49" borderId="0" xfId="0" applyNumberFormat="1" applyFont="1" applyFill="1"/>
    <xf numFmtId="165" fontId="266" fillId="0" borderId="0" xfId="0" applyNumberFormat="1" applyFont="1"/>
    <xf numFmtId="3" fontId="259" fillId="0" borderId="36" xfId="0" applyNumberFormat="1" applyFont="1" applyBorder="1"/>
    <xf numFmtId="0" fontId="259" fillId="69" borderId="0" xfId="0" applyFont="1" applyFill="1"/>
    <xf numFmtId="0" fontId="286" fillId="0" borderId="0" xfId="0" applyFont="1"/>
    <xf numFmtId="325" fontId="259" fillId="0" borderId="0" xfId="0" applyNumberFormat="1" applyFont="1"/>
    <xf numFmtId="168" fontId="255" fillId="0" borderId="0" xfId="0" applyNumberFormat="1" applyFont="1"/>
    <xf numFmtId="325" fontId="255" fillId="0" borderId="0" xfId="0" applyNumberFormat="1" applyFont="1"/>
    <xf numFmtId="0" fontId="0" fillId="0" borderId="33" xfId="0" applyBorder="1" applyAlignment="1">
      <alignment horizontal="center"/>
    </xf>
    <xf numFmtId="0" fontId="255" fillId="0" borderId="33" xfId="0" applyFont="1" applyBorder="1"/>
    <xf numFmtId="0" fontId="275" fillId="0" borderId="43" xfId="0" applyFont="1" applyBorder="1"/>
    <xf numFmtId="0" fontId="275" fillId="0" borderId="33" xfId="0" applyFont="1" applyBorder="1"/>
    <xf numFmtId="164" fontId="275" fillId="0" borderId="33" xfId="0" applyNumberFormat="1" applyFont="1" applyBorder="1"/>
    <xf numFmtId="164" fontId="275" fillId="0" borderId="44" xfId="0" applyNumberFormat="1" applyFont="1" applyBorder="1"/>
    <xf numFmtId="3" fontId="255" fillId="49" borderId="0" xfId="0" applyNumberFormat="1" applyFont="1" applyFill="1"/>
    <xf numFmtId="3" fontId="275" fillId="49" borderId="0" xfId="0" applyNumberFormat="1" applyFont="1" applyFill="1"/>
    <xf numFmtId="0" fontId="275" fillId="0" borderId="0" xfId="0" applyFont="1" applyAlignment="1">
      <alignment horizontal="center"/>
    </xf>
    <xf numFmtId="1" fontId="275" fillId="0" borderId="0" xfId="0" applyNumberFormat="1" applyFont="1"/>
    <xf numFmtId="3" fontId="255" fillId="0" borderId="62" xfId="0" applyNumberFormat="1" applyFont="1" applyBorder="1"/>
    <xf numFmtId="164" fontId="255" fillId="0" borderId="0" xfId="0" applyNumberFormat="1" applyFont="1"/>
    <xf numFmtId="0" fontId="275" fillId="0" borderId="62" xfId="0" applyFont="1" applyBorder="1"/>
    <xf numFmtId="3" fontId="275" fillId="0" borderId="62" xfId="0" applyNumberFormat="1" applyFont="1" applyBorder="1"/>
    <xf numFmtId="1" fontId="288" fillId="0" borderId="0" xfId="0" applyNumberFormat="1" applyFont="1"/>
    <xf numFmtId="1" fontId="275" fillId="0" borderId="62" xfId="0" applyNumberFormat="1" applyFont="1" applyBorder="1"/>
    <xf numFmtId="0" fontId="46" fillId="0" borderId="0" xfId="0" applyFont="1"/>
    <xf numFmtId="0" fontId="286" fillId="0" borderId="48" xfId="0" applyFont="1" applyBorder="1"/>
    <xf numFmtId="0" fontId="275" fillId="0" borderId="25" xfId="0" applyFont="1" applyBorder="1"/>
    <xf numFmtId="0" fontId="275" fillId="0" borderId="49" xfId="0" applyFont="1" applyBorder="1"/>
    <xf numFmtId="0" fontId="275" fillId="0" borderId="50" xfId="0" applyFont="1" applyBorder="1"/>
    <xf numFmtId="1" fontId="275" fillId="0" borderId="27" xfId="0" applyNumberFormat="1" applyFont="1" applyBorder="1"/>
    <xf numFmtId="0" fontId="275" fillId="0" borderId="51" xfId="0" applyFont="1" applyBorder="1"/>
    <xf numFmtId="0" fontId="275" fillId="0" borderId="5" xfId="0" applyFont="1" applyBorder="1"/>
    <xf numFmtId="164" fontId="275" fillId="0" borderId="5" xfId="0" applyNumberFormat="1" applyFont="1" applyBorder="1"/>
    <xf numFmtId="164" fontId="275" fillId="0" borderId="52" xfId="0" applyNumberFormat="1" applyFont="1" applyBorder="1"/>
    <xf numFmtId="0" fontId="286" fillId="0" borderId="62" xfId="0" applyFont="1" applyBorder="1" applyAlignment="1">
      <alignment horizontal="right"/>
    </xf>
    <xf numFmtId="164" fontId="255" fillId="0" borderId="62" xfId="0" applyNumberFormat="1" applyFont="1" applyBorder="1"/>
    <xf numFmtId="0" fontId="286" fillId="0" borderId="50" xfId="0" applyFont="1" applyBorder="1"/>
    <xf numFmtId="164" fontId="286" fillId="0" borderId="0" xfId="0" applyNumberFormat="1" applyFont="1"/>
    <xf numFmtId="164" fontId="286" fillId="0" borderId="27" xfId="0" applyNumberFormat="1" applyFont="1" applyBorder="1"/>
    <xf numFmtId="0" fontId="286" fillId="0" borderId="53" xfId="0" applyFont="1" applyBorder="1"/>
    <xf numFmtId="0" fontId="286" fillId="0" borderId="54" xfId="0" applyFont="1" applyBorder="1"/>
    <xf numFmtId="165" fontId="286" fillId="0" borderId="47" xfId="0" applyNumberFormat="1" applyFont="1" applyBorder="1"/>
    <xf numFmtId="3" fontId="259" fillId="0" borderId="0" xfId="0" applyNumberFormat="1" applyFont="1"/>
    <xf numFmtId="3" fontId="288" fillId="0" borderId="0" xfId="0" applyNumberFormat="1" applyFont="1"/>
    <xf numFmtId="325" fontId="286" fillId="0" borderId="0" xfId="0" applyNumberFormat="1" applyFont="1"/>
    <xf numFmtId="0" fontId="262" fillId="0" borderId="62" xfId="0" applyFont="1" applyBorder="1"/>
    <xf numFmtId="3" fontId="262" fillId="0" borderId="62" xfId="0" applyNumberFormat="1" applyFont="1" applyBorder="1"/>
    <xf numFmtId="0" fontId="265" fillId="0" borderId="62" xfId="0" applyFont="1" applyBorder="1"/>
    <xf numFmtId="0" fontId="262" fillId="0" borderId="53" xfId="0" applyFont="1" applyBorder="1"/>
    <xf numFmtId="168" fontId="262" fillId="0" borderId="47" xfId="0" applyNumberFormat="1" applyFont="1" applyBorder="1"/>
    <xf numFmtId="1" fontId="265" fillId="0" borderId="62" xfId="0" applyNumberFormat="1" applyFont="1" applyBorder="1"/>
    <xf numFmtId="325" fontId="262" fillId="0" borderId="0" xfId="0" applyNumberFormat="1" applyFont="1"/>
    <xf numFmtId="3" fontId="262" fillId="0" borderId="47" xfId="0" applyNumberFormat="1" applyFont="1" applyBorder="1"/>
    <xf numFmtId="165" fontId="262" fillId="0" borderId="0" xfId="4" applyNumberFormat="1" applyFont="1"/>
    <xf numFmtId="0" fontId="262" fillId="0" borderId="0" xfId="4" applyFont="1"/>
    <xf numFmtId="0" fontId="265" fillId="0" borderId="0" xfId="4" applyFont="1" applyAlignment="1">
      <alignment horizontal="right"/>
    </xf>
    <xf numFmtId="0" fontId="262" fillId="0" borderId="0" xfId="4" applyFont="1" applyAlignment="1">
      <alignment horizontal="right"/>
    </xf>
    <xf numFmtId="9" fontId="262" fillId="0" borderId="0" xfId="4" quotePrefix="1" applyNumberFormat="1" applyFont="1" applyAlignment="1">
      <alignment horizontal="right"/>
    </xf>
    <xf numFmtId="0" fontId="265" fillId="0" borderId="9" xfId="4" applyFont="1" applyBorder="1"/>
    <xf numFmtId="0" fontId="265" fillId="0" borderId="9" xfId="4" applyFont="1" applyBorder="1" applyAlignment="1">
      <alignment horizontal="right"/>
    </xf>
    <xf numFmtId="0" fontId="262" fillId="56" borderId="0" xfId="4" applyFont="1" applyFill="1"/>
    <xf numFmtId="9" fontId="262" fillId="56" borderId="0" xfId="4" applyNumberFormat="1" applyFont="1" applyFill="1" applyAlignment="1">
      <alignment horizontal="right"/>
    </xf>
    <xf numFmtId="3" fontId="262" fillId="56" borderId="0" xfId="4" applyNumberFormat="1" applyFont="1" applyFill="1" applyAlignment="1">
      <alignment horizontal="right"/>
    </xf>
    <xf numFmtId="165" fontId="262" fillId="56" borderId="0" xfId="4" applyNumberFormat="1" applyFont="1" applyFill="1" applyAlignment="1">
      <alignment horizontal="right"/>
    </xf>
    <xf numFmtId="1" fontId="262" fillId="56" borderId="0" xfId="4" applyNumberFormat="1" applyFont="1" applyFill="1" applyAlignment="1">
      <alignment horizontal="right"/>
    </xf>
    <xf numFmtId="0" fontId="262" fillId="56" borderId="0" xfId="0" applyFont="1" applyFill="1" applyAlignment="1">
      <alignment horizontal="right"/>
    </xf>
    <xf numFmtId="9" fontId="262" fillId="0" borderId="0" xfId="4" applyNumberFormat="1" applyFont="1"/>
    <xf numFmtId="1" fontId="262" fillId="0" borderId="0" xfId="4" applyNumberFormat="1" applyFont="1"/>
    <xf numFmtId="9" fontId="262" fillId="0" borderId="0" xfId="4" applyNumberFormat="1" applyFont="1" applyAlignment="1">
      <alignment horizontal="right"/>
    </xf>
    <xf numFmtId="3" fontId="262" fillId="0" borderId="0" xfId="4" applyNumberFormat="1" applyFont="1" applyAlignment="1">
      <alignment horizontal="right"/>
    </xf>
    <xf numFmtId="165" fontId="262" fillId="0" borderId="0" xfId="4" applyNumberFormat="1" applyFont="1" applyAlignment="1">
      <alignment horizontal="right"/>
    </xf>
    <xf numFmtId="1" fontId="262" fillId="0" borderId="0" xfId="4" applyNumberFormat="1" applyFont="1" applyAlignment="1">
      <alignment horizontal="right"/>
    </xf>
    <xf numFmtId="0" fontId="262" fillId="0" borderId="0" xfId="0" applyFont="1" applyAlignment="1">
      <alignment horizontal="right"/>
    </xf>
    <xf numFmtId="0" fontId="262" fillId="0" borderId="9" xfId="4" applyFont="1" applyBorder="1"/>
    <xf numFmtId="0" fontId="262" fillId="0" borderId="9" xfId="4" applyFont="1" applyBorder="1" applyAlignment="1">
      <alignment horizontal="right"/>
    </xf>
    <xf numFmtId="1" fontId="262" fillId="0" borderId="0" xfId="0" applyNumberFormat="1" applyFont="1" applyAlignment="1">
      <alignment horizontal="right"/>
    </xf>
    <xf numFmtId="3" fontId="262" fillId="0" borderId="0" xfId="4" applyNumberFormat="1" applyFont="1"/>
    <xf numFmtId="1" fontId="262" fillId="56" borderId="0" xfId="0" applyNumberFormat="1" applyFont="1" applyFill="1" applyAlignment="1">
      <alignment horizontal="right"/>
    </xf>
    <xf numFmtId="0" fontId="289" fillId="0" borderId="0" xfId="0" applyFont="1"/>
    <xf numFmtId="164" fontId="262" fillId="0" borderId="0" xfId="0" applyNumberFormat="1" applyFont="1" applyAlignment="1">
      <alignment horizontal="right"/>
    </xf>
    <xf numFmtId="0" fontId="289" fillId="56" borderId="0" xfId="4" applyFont="1" applyFill="1"/>
    <xf numFmtId="0" fontId="262" fillId="56" borderId="9" xfId="0" applyFont="1" applyFill="1" applyBorder="1" applyAlignment="1">
      <alignment horizontal="right"/>
    </xf>
    <xf numFmtId="3" fontId="262" fillId="56" borderId="9" xfId="4" applyNumberFormat="1" applyFont="1" applyFill="1" applyBorder="1" applyAlignment="1">
      <alignment horizontal="right"/>
    </xf>
    <xf numFmtId="168" fontId="262" fillId="0" borderId="0" xfId="4" applyNumberFormat="1" applyFont="1" applyAlignment="1">
      <alignment horizontal="right"/>
    </xf>
    <xf numFmtId="3" fontId="262" fillId="0" borderId="0" xfId="0" applyNumberFormat="1" applyFont="1" applyAlignment="1">
      <alignment horizontal="right"/>
    </xf>
    <xf numFmtId="0" fontId="265" fillId="0" borderId="0" xfId="4" applyFont="1"/>
    <xf numFmtId="1" fontId="265" fillId="0" borderId="0" xfId="4" applyNumberFormat="1" applyFont="1"/>
    <xf numFmtId="0" fontId="262" fillId="56" borderId="0" xfId="4" applyFont="1" applyFill="1" applyAlignment="1">
      <alignment horizontal="right"/>
    </xf>
    <xf numFmtId="169" fontId="262" fillId="56" borderId="0" xfId="4" applyNumberFormat="1" applyFont="1" applyFill="1" applyAlignment="1">
      <alignment horizontal="right"/>
    </xf>
    <xf numFmtId="164" fontId="262" fillId="0" borderId="0" xfId="4" applyNumberFormat="1" applyFont="1"/>
    <xf numFmtId="9" fontId="262" fillId="56" borderId="0" xfId="1541" applyNumberFormat="1" applyFont="1" applyFill="1" applyAlignment="1">
      <alignment horizontal="right"/>
    </xf>
    <xf numFmtId="0" fontId="265" fillId="56" borderId="0" xfId="4" applyFont="1" applyFill="1"/>
    <xf numFmtId="0" fontId="265" fillId="56" borderId="0" xfId="4" applyFont="1" applyFill="1" applyAlignment="1">
      <alignment horizontal="right"/>
    </xf>
    <xf numFmtId="0" fontId="262" fillId="56" borderId="9" xfId="4" applyFont="1" applyFill="1" applyBorder="1"/>
    <xf numFmtId="0" fontId="265" fillId="56" borderId="9" xfId="4" applyFont="1" applyFill="1" applyBorder="1" applyAlignment="1">
      <alignment horizontal="right"/>
    </xf>
    <xf numFmtId="9" fontId="262" fillId="56" borderId="9" xfId="4" applyNumberFormat="1" applyFont="1" applyFill="1" applyBorder="1" applyAlignment="1">
      <alignment horizontal="right"/>
    </xf>
    <xf numFmtId="169" fontId="262" fillId="56" borderId="9" xfId="0" applyNumberFormat="1" applyFont="1" applyFill="1" applyBorder="1" applyAlignment="1">
      <alignment horizontal="right"/>
    </xf>
    <xf numFmtId="9" fontId="265" fillId="0" borderId="0" xfId="4" applyNumberFormat="1" applyFont="1"/>
    <xf numFmtId="9" fontId="265" fillId="0" borderId="0" xfId="4" applyNumberFormat="1" applyFont="1" applyAlignment="1">
      <alignment horizontal="right"/>
    </xf>
    <xf numFmtId="1" fontId="262" fillId="0" borderId="0" xfId="0" applyNumberFormat="1" applyFont="1"/>
    <xf numFmtId="165" fontId="262" fillId="0" borderId="0" xfId="0" applyNumberFormat="1" applyFont="1"/>
    <xf numFmtId="9" fontId="262" fillId="0" borderId="9" xfId="4" applyNumberFormat="1" applyFont="1" applyBorder="1"/>
    <xf numFmtId="1" fontId="262" fillId="0" borderId="9" xfId="4" applyNumberFormat="1" applyFont="1" applyBorder="1"/>
    <xf numFmtId="1" fontId="262" fillId="0" borderId="9" xfId="0" applyNumberFormat="1" applyFont="1" applyBorder="1"/>
    <xf numFmtId="165" fontId="262" fillId="0" borderId="9" xfId="0" applyNumberFormat="1" applyFont="1" applyBorder="1"/>
    <xf numFmtId="0" fontId="289" fillId="0" borderId="0" xfId="4" applyFont="1"/>
    <xf numFmtId="3" fontId="262" fillId="0" borderId="9" xfId="4" applyNumberFormat="1" applyFont="1" applyBorder="1"/>
    <xf numFmtId="0" fontId="290" fillId="0" borderId="0" xfId="4" applyFont="1"/>
    <xf numFmtId="2" fontId="262" fillId="0" borderId="0" xfId="4" applyNumberFormat="1" applyFont="1"/>
    <xf numFmtId="164" fontId="262" fillId="31" borderId="0" xfId="4" applyNumberFormat="1" applyFont="1" applyFill="1"/>
    <xf numFmtId="164" fontId="262" fillId="0" borderId="0" xfId="1941" applyNumberFormat="1" applyFont="1"/>
    <xf numFmtId="164" fontId="262" fillId="31" borderId="9" xfId="4" applyNumberFormat="1" applyFont="1" applyFill="1" applyBorder="1"/>
    <xf numFmtId="164" fontId="262" fillId="0" borderId="9" xfId="4" applyNumberFormat="1" applyFont="1" applyBorder="1"/>
    <xf numFmtId="164" fontId="262" fillId="0" borderId="9" xfId="1941" applyNumberFormat="1" applyFont="1" applyBorder="1"/>
    <xf numFmtId="3" fontId="265" fillId="0" borderId="0" xfId="4" applyNumberFormat="1" applyFont="1"/>
    <xf numFmtId="164" fontId="265" fillId="31" borderId="0" xfId="4" applyNumberFormat="1" applyFont="1" applyFill="1"/>
    <xf numFmtId="164" fontId="265" fillId="0" borderId="0" xfId="4" applyNumberFormat="1" applyFont="1"/>
    <xf numFmtId="164" fontId="265" fillId="0" borderId="0" xfId="1941" applyNumberFormat="1" applyFont="1"/>
    <xf numFmtId="3" fontId="262" fillId="25" borderId="0" xfId="4" applyNumberFormat="1" applyFont="1" applyFill="1"/>
    <xf numFmtId="3" fontId="262" fillId="0" borderId="9" xfId="0" applyNumberFormat="1" applyFont="1" applyBorder="1"/>
    <xf numFmtId="3" fontId="262" fillId="25" borderId="9" xfId="4" applyNumberFormat="1" applyFont="1" applyFill="1" applyBorder="1"/>
    <xf numFmtId="14" fontId="262" fillId="0" borderId="0" xfId="0" applyNumberFormat="1" applyFont="1"/>
    <xf numFmtId="329" fontId="262" fillId="0" borderId="0" xfId="0" applyNumberFormat="1" applyFont="1"/>
    <xf numFmtId="14" fontId="265" fillId="0" borderId="0" xfId="0" applyNumberFormat="1" applyFont="1"/>
    <xf numFmtId="165" fontId="265" fillId="0" borderId="0" xfId="0" applyNumberFormat="1" applyFont="1"/>
    <xf numFmtId="9" fontId="262" fillId="0" borderId="0" xfId="0" applyNumberFormat="1" applyFont="1"/>
    <xf numFmtId="0" fontId="291" fillId="0" borderId="0" xfId="0" applyFont="1"/>
    <xf numFmtId="1" fontId="291" fillId="0" borderId="0" xfId="0" applyNumberFormat="1" applyFont="1" applyAlignment="1">
      <alignment horizontal="right" indent="1"/>
    </xf>
    <xf numFmtId="9" fontId="291" fillId="0" borderId="0" xfId="0" applyNumberFormat="1" applyFont="1"/>
    <xf numFmtId="0" fontId="292" fillId="0" borderId="0" xfId="0" applyFont="1"/>
    <xf numFmtId="0" fontId="292" fillId="0" borderId="0" xfId="0" applyFont="1" applyAlignment="1">
      <alignment horizontal="right"/>
    </xf>
    <xf numFmtId="0" fontId="292" fillId="0" borderId="62" xfId="0" applyFont="1" applyBorder="1"/>
    <xf numFmtId="0" fontId="292" fillId="0" borderId="62" xfId="0" applyFont="1" applyBorder="1" applyAlignment="1">
      <alignment horizontal="right"/>
    </xf>
    <xf numFmtId="0" fontId="265" fillId="0" borderId="62" xfId="0" applyFont="1" applyBorder="1" applyAlignment="1">
      <alignment horizontal="right"/>
    </xf>
    <xf numFmtId="0" fontId="292" fillId="0" borderId="62" xfId="0" applyFont="1" applyBorder="1" applyAlignment="1">
      <alignment horizontal="left"/>
    </xf>
    <xf numFmtId="9" fontId="293" fillId="0" borderId="0" xfId="0" applyNumberFormat="1" applyFont="1"/>
    <xf numFmtId="0" fontId="262" fillId="0" borderId="62" xfId="0" applyFont="1" applyBorder="1" applyAlignment="1">
      <alignment horizontal="right"/>
    </xf>
    <xf numFmtId="0" fontId="0" fillId="0" borderId="62" xfId="0" applyBorder="1" applyAlignment="1">
      <alignment horizontal="right"/>
    </xf>
    <xf numFmtId="0" fontId="291" fillId="0" borderId="62" xfId="0" applyFont="1" applyBorder="1" applyAlignment="1">
      <alignment horizontal="right"/>
    </xf>
    <xf numFmtId="0" fontId="262" fillId="0" borderId="0" xfId="0" applyFont="1" applyAlignment="1">
      <alignment horizontal="left"/>
    </xf>
    <xf numFmtId="0" fontId="0" fillId="0" borderId="62" xfId="0" applyBorder="1"/>
    <xf numFmtId="0" fontId="265" fillId="53" borderId="0" xfId="0" applyFont="1" applyFill="1"/>
    <xf numFmtId="0" fontId="265" fillId="56" borderId="0" xfId="0" applyFont="1" applyFill="1"/>
    <xf numFmtId="3" fontId="265" fillId="56" borderId="0" xfId="0" applyNumberFormat="1" applyFont="1" applyFill="1"/>
    <xf numFmtId="0" fontId="265" fillId="56" borderId="53" xfId="0" applyFont="1" applyFill="1" applyBorder="1"/>
    <xf numFmtId="164" fontId="265" fillId="56" borderId="54" xfId="0" applyNumberFormat="1" applyFont="1" applyFill="1" applyBorder="1"/>
    <xf numFmtId="0" fontId="265" fillId="56" borderId="54" xfId="0" applyFont="1" applyFill="1" applyBorder="1"/>
    <xf numFmtId="0" fontId="262" fillId="56" borderId="54" xfId="0" applyFont="1" applyFill="1" applyBorder="1"/>
    <xf numFmtId="0" fontId="262" fillId="56" borderId="47" xfId="0" applyFont="1" applyFill="1" applyBorder="1"/>
    <xf numFmtId="325" fontId="1" fillId="0" borderId="0" xfId="5" applyNumberFormat="1" applyFont="1"/>
    <xf numFmtId="172" fontId="0" fillId="0" borderId="0" xfId="0" applyNumberFormat="1"/>
    <xf numFmtId="261" fontId="1" fillId="0" borderId="17" xfId="5" applyNumberFormat="1" applyFont="1" applyBorder="1"/>
    <xf numFmtId="0" fontId="294" fillId="0" borderId="0" xfId="0" applyFont="1"/>
    <xf numFmtId="0" fontId="295" fillId="0" borderId="0" xfId="0" applyFont="1" applyAlignment="1">
      <alignment horizontal="right"/>
    </xf>
    <xf numFmtId="0" fontId="295" fillId="0" borderId="9" xfId="0" applyFont="1" applyBorder="1"/>
    <xf numFmtId="0" fontId="295" fillId="0" borderId="9" xfId="0" applyFont="1" applyBorder="1" applyAlignment="1">
      <alignment horizontal="right"/>
    </xf>
    <xf numFmtId="0" fontId="294" fillId="56" borderId="0" xfId="0" applyFont="1" applyFill="1"/>
    <xf numFmtId="3" fontId="294" fillId="56" borderId="0" xfId="0" applyNumberFormat="1" applyFont="1" applyFill="1"/>
    <xf numFmtId="9" fontId="294" fillId="56" borderId="0" xfId="1941" applyFont="1" applyFill="1"/>
    <xf numFmtId="164" fontId="294" fillId="56" borderId="0" xfId="1941" applyNumberFormat="1" applyFont="1" applyFill="1"/>
    <xf numFmtId="3" fontId="294" fillId="0" borderId="0" xfId="0" applyNumberFormat="1" applyFont="1"/>
    <xf numFmtId="9" fontId="294" fillId="0" borderId="0" xfId="1941" applyFont="1" applyFill="1"/>
    <xf numFmtId="164" fontId="294" fillId="0" borderId="0" xfId="1941" applyNumberFormat="1" applyFont="1" applyFill="1"/>
    <xf numFmtId="164" fontId="294" fillId="0" borderId="0" xfId="0" applyNumberFormat="1" applyFont="1"/>
    <xf numFmtId="9" fontId="294" fillId="56" borderId="0" xfId="0" applyNumberFormat="1" applyFont="1" applyFill="1"/>
    <xf numFmtId="0" fontId="294" fillId="56" borderId="9" xfId="0" applyFont="1" applyFill="1" applyBorder="1"/>
    <xf numFmtId="3" fontId="294" fillId="56" borderId="9" xfId="0" applyNumberFormat="1" applyFont="1" applyFill="1" applyBorder="1"/>
    <xf numFmtId="9" fontId="294" fillId="56" borderId="9" xfId="1941" applyFont="1" applyFill="1" applyBorder="1"/>
    <xf numFmtId="164" fontId="294" fillId="56" borderId="9" xfId="1941" applyNumberFormat="1" applyFont="1" applyFill="1" applyBorder="1"/>
    <xf numFmtId="0" fontId="295" fillId="0" borderId="62" xfId="0" applyFont="1" applyBorder="1" applyAlignment="1">
      <alignment horizontal="right"/>
    </xf>
    <xf numFmtId="164" fontId="294" fillId="56" borderId="0" xfId="0" applyNumberFormat="1" applyFont="1" applyFill="1"/>
    <xf numFmtId="0" fontId="294" fillId="53" borderId="0" xfId="0" applyFont="1" applyFill="1"/>
    <xf numFmtId="164" fontId="294" fillId="53" borderId="0" xfId="0" applyNumberFormat="1" applyFont="1" applyFill="1"/>
    <xf numFmtId="164" fontId="294" fillId="56" borderId="9" xfId="0" applyNumberFormat="1" applyFont="1" applyFill="1" applyBorder="1"/>
    <xf numFmtId="164" fontId="294" fillId="56" borderId="62" xfId="0" applyNumberFormat="1" applyFont="1" applyFill="1" applyBorder="1"/>
    <xf numFmtId="0" fontId="295" fillId="0" borderId="0" xfId="0" applyFont="1"/>
    <xf numFmtId="164" fontId="295" fillId="0" borderId="0" xfId="0" applyNumberFormat="1" applyFont="1"/>
    <xf numFmtId="164" fontId="295" fillId="56" borderId="0" xfId="0" applyNumberFormat="1" applyFont="1" applyFill="1"/>
    <xf numFmtId="0" fontId="294" fillId="0" borderId="39" xfId="0" applyFont="1" applyBorder="1"/>
    <xf numFmtId="164" fontId="294" fillId="0" borderId="36" xfId="0" applyNumberFormat="1" applyFont="1" applyBorder="1"/>
    <xf numFmtId="0" fontId="294" fillId="56" borderId="3" xfId="0" applyFont="1" applyFill="1" applyBorder="1"/>
    <xf numFmtId="164" fontId="294" fillId="56" borderId="0" xfId="0" applyNumberFormat="1" applyFont="1" applyFill="1" applyAlignment="1">
      <alignment horizontal="right"/>
    </xf>
    <xf numFmtId="0" fontId="294" fillId="0" borderId="40" xfId="0" applyFont="1" applyBorder="1"/>
    <xf numFmtId="164" fontId="294" fillId="0" borderId="9" xfId="0" applyNumberFormat="1" applyFont="1" applyBorder="1"/>
    <xf numFmtId="164" fontId="294" fillId="0" borderId="9" xfId="0" applyNumberFormat="1" applyFont="1" applyBorder="1" applyAlignment="1">
      <alignment horizontal="right"/>
    </xf>
    <xf numFmtId="164" fontId="294" fillId="0" borderId="62" xfId="0" applyNumberFormat="1" applyFont="1" applyBorder="1" applyAlignment="1">
      <alignment horizontal="right"/>
    </xf>
    <xf numFmtId="0" fontId="296" fillId="0" borderId="0" xfId="0" applyFont="1"/>
    <xf numFmtId="0" fontId="295" fillId="0" borderId="43" xfId="0" applyFont="1" applyBorder="1" applyAlignment="1">
      <alignment horizontal="right"/>
    </xf>
    <xf numFmtId="0" fontId="295" fillId="0" borderId="44" xfId="0" applyFont="1" applyBorder="1" applyAlignment="1">
      <alignment horizontal="left"/>
    </xf>
    <xf numFmtId="164" fontId="294" fillId="56" borderId="3" xfId="0" applyNumberFormat="1" applyFont="1" applyFill="1" applyBorder="1"/>
    <xf numFmtId="164" fontId="294" fillId="56" borderId="20" xfId="0" applyNumberFormat="1" applyFont="1" applyFill="1" applyBorder="1"/>
    <xf numFmtId="164" fontId="294" fillId="53" borderId="3" xfId="0" applyNumberFormat="1" applyFont="1" applyFill="1" applyBorder="1"/>
    <xf numFmtId="164" fontId="294" fillId="53" borderId="20" xfId="0" applyNumberFormat="1" applyFont="1" applyFill="1" applyBorder="1"/>
    <xf numFmtId="0" fontId="294" fillId="53" borderId="36" xfId="0" applyFont="1" applyFill="1" applyBorder="1"/>
    <xf numFmtId="164" fontId="294" fillId="53" borderId="36" xfId="0" applyNumberFormat="1" applyFont="1" applyFill="1" applyBorder="1"/>
    <xf numFmtId="164" fontId="294" fillId="53" borderId="39" xfId="0" applyNumberFormat="1" applyFont="1" applyFill="1" applyBorder="1"/>
    <xf numFmtId="164" fontId="294" fillId="53" borderId="41" xfId="0" applyNumberFormat="1" applyFont="1" applyFill="1" applyBorder="1"/>
    <xf numFmtId="164" fontId="294" fillId="0" borderId="3" xfId="0" applyNumberFormat="1" applyFont="1" applyBorder="1"/>
    <xf numFmtId="164" fontId="294" fillId="0" borderId="20" xfId="0" applyNumberFormat="1" applyFont="1" applyBorder="1"/>
    <xf numFmtId="0" fontId="295" fillId="0" borderId="36" xfId="0" applyFont="1" applyBorder="1"/>
    <xf numFmtId="164" fontId="295" fillId="0" borderId="36" xfId="0" applyNumberFormat="1" applyFont="1" applyBorder="1"/>
    <xf numFmtId="164" fontId="295" fillId="0" borderId="43" xfId="0" applyNumberFormat="1" applyFont="1" applyBorder="1"/>
    <xf numFmtId="164" fontId="295" fillId="0" borderId="44" xfId="0" applyNumberFormat="1" applyFont="1" applyBorder="1"/>
    <xf numFmtId="0" fontId="272" fillId="0" borderId="62" xfId="0" applyFont="1" applyBorder="1" applyAlignment="1">
      <alignment horizontal="right"/>
    </xf>
    <xf numFmtId="0" fontId="295" fillId="56" borderId="9" xfId="0" applyFont="1" applyFill="1" applyBorder="1"/>
    <xf numFmtId="0" fontId="295" fillId="56" borderId="9" xfId="0" applyFont="1" applyFill="1" applyBorder="1" applyAlignment="1">
      <alignment horizontal="right"/>
    </xf>
    <xf numFmtId="0" fontId="295" fillId="56" borderId="62" xfId="0" applyFont="1" applyFill="1" applyBorder="1" applyAlignment="1">
      <alignment horizontal="right"/>
    </xf>
    <xf numFmtId="3" fontId="294" fillId="0" borderId="36" xfId="0" applyNumberFormat="1" applyFont="1" applyBorder="1"/>
    <xf numFmtId="0" fontId="294" fillId="0" borderId="0" xfId="0" quotePrefix="1" applyFont="1"/>
    <xf numFmtId="1" fontId="294" fillId="0" borderId="0" xfId="0" applyNumberFormat="1" applyFont="1"/>
    <xf numFmtId="1" fontId="294" fillId="56" borderId="9" xfId="0" applyNumberFormat="1" applyFont="1" applyFill="1" applyBorder="1"/>
    <xf numFmtId="1" fontId="294" fillId="56" borderId="62" xfId="0" applyNumberFormat="1" applyFont="1" applyFill="1" applyBorder="1"/>
    <xf numFmtId="1" fontId="294" fillId="56" borderId="0" xfId="0" applyNumberFormat="1" applyFont="1" applyFill="1"/>
    <xf numFmtId="1" fontId="294" fillId="0" borderId="9" xfId="0" applyNumberFormat="1" applyFont="1" applyBorder="1"/>
    <xf numFmtId="1" fontId="295" fillId="0" borderId="9" xfId="0" applyNumberFormat="1" applyFont="1" applyBorder="1"/>
    <xf numFmtId="1" fontId="295" fillId="0" borderId="62" xfId="0" applyNumberFormat="1" applyFont="1" applyBorder="1"/>
    <xf numFmtId="0" fontId="272" fillId="0" borderId="0" xfId="0" applyFont="1" applyAlignment="1">
      <alignment horizontal="center"/>
    </xf>
    <xf numFmtId="2" fontId="272" fillId="0" borderId="0" xfId="0" applyNumberFormat="1" applyFont="1" applyAlignment="1">
      <alignment horizontal="center"/>
    </xf>
    <xf numFmtId="4" fontId="272" fillId="0" borderId="0" xfId="0" applyNumberFormat="1" applyFont="1" applyAlignment="1">
      <alignment horizontal="center"/>
    </xf>
    <xf numFmtId="2" fontId="272" fillId="49" borderId="0" xfId="0" applyNumberFormat="1" applyFont="1" applyFill="1" applyAlignment="1">
      <alignment horizontal="center"/>
    </xf>
    <xf numFmtId="0" fontId="273" fillId="0" borderId="9" xfId="0" applyFont="1" applyBorder="1" applyAlignment="1">
      <alignment horizontal="center"/>
    </xf>
    <xf numFmtId="0" fontId="273" fillId="0" borderId="62" xfId="0" applyFont="1" applyBorder="1" applyAlignment="1">
      <alignment horizontal="center"/>
    </xf>
    <xf numFmtId="1" fontId="0" fillId="73" borderId="0" xfId="0" applyNumberFormat="1" applyFill="1"/>
    <xf numFmtId="3" fontId="265" fillId="56" borderId="0" xfId="4" applyNumberFormat="1" applyFont="1" applyFill="1" applyAlignment="1">
      <alignment horizontal="right"/>
    </xf>
    <xf numFmtId="165" fontId="262" fillId="56" borderId="0" xfId="0" applyNumberFormat="1" applyFont="1" applyFill="1" applyAlignment="1">
      <alignment horizontal="right"/>
    </xf>
    <xf numFmtId="0" fontId="262" fillId="53" borderId="0" xfId="4" applyFont="1" applyFill="1"/>
    <xf numFmtId="0" fontId="262" fillId="53" borderId="0" xfId="4" applyFont="1" applyFill="1" applyAlignment="1">
      <alignment horizontal="right"/>
    </xf>
    <xf numFmtId="9" fontId="262" fillId="53" borderId="0" xfId="1541" applyNumberFormat="1" applyFont="1" applyFill="1" applyAlignment="1">
      <alignment horizontal="right"/>
    </xf>
    <xf numFmtId="169" fontId="262" fillId="53" borderId="0" xfId="4" applyNumberFormat="1" applyFont="1" applyFill="1" applyAlignment="1">
      <alignment horizontal="right"/>
    </xf>
    <xf numFmtId="9" fontId="262" fillId="53" borderId="0" xfId="4" applyNumberFormat="1" applyFont="1" applyFill="1" applyAlignment="1">
      <alignment horizontal="right"/>
    </xf>
    <xf numFmtId="0" fontId="265" fillId="53" borderId="0" xfId="4" applyFont="1" applyFill="1" applyAlignment="1">
      <alignment horizontal="right"/>
    </xf>
    <xf numFmtId="3" fontId="265" fillId="53" borderId="0" xfId="4" applyNumberFormat="1" applyFont="1" applyFill="1" applyAlignment="1">
      <alignment horizontal="right"/>
    </xf>
    <xf numFmtId="164" fontId="262" fillId="53" borderId="0" xfId="0" applyNumberFormat="1" applyFont="1" applyFill="1" applyAlignment="1">
      <alignment horizontal="right"/>
    </xf>
    <xf numFmtId="0" fontId="265" fillId="78" borderId="33" xfId="4" applyFont="1" applyFill="1" applyBorder="1"/>
    <xf numFmtId="0" fontId="262" fillId="0" borderId="33" xfId="0" applyFont="1" applyBorder="1"/>
    <xf numFmtId="0" fontId="265" fillId="0" borderId="33" xfId="4" applyFont="1" applyBorder="1"/>
    <xf numFmtId="164" fontId="262" fillId="49" borderId="0" xfId="4" applyNumberFormat="1" applyFont="1" applyFill="1"/>
    <xf numFmtId="9" fontId="262" fillId="49" borderId="0" xfId="4" applyNumberFormat="1" applyFont="1" applyFill="1"/>
    <xf numFmtId="0" fontId="265" fillId="0" borderId="9" xfId="4" applyFont="1" applyBorder="1" applyAlignment="1">
      <alignment horizontal="left"/>
    </xf>
    <xf numFmtId="3" fontId="262" fillId="53" borderId="0" xfId="4" applyNumberFormat="1" applyFont="1" applyFill="1" applyAlignment="1">
      <alignment horizontal="right"/>
    </xf>
    <xf numFmtId="165" fontId="262" fillId="53" borderId="0" xfId="4" applyNumberFormat="1" applyFont="1" applyFill="1" applyAlignment="1">
      <alignment horizontal="right"/>
    </xf>
    <xf numFmtId="1" fontId="262" fillId="53" borderId="0" xfId="4" applyNumberFormat="1" applyFont="1" applyFill="1" applyAlignment="1">
      <alignment horizontal="right"/>
    </xf>
    <xf numFmtId="0" fontId="262" fillId="53" borderId="0" xfId="0" applyFont="1" applyFill="1" applyAlignment="1">
      <alignment horizontal="right"/>
    </xf>
    <xf numFmtId="1" fontId="262" fillId="53" borderId="0" xfId="0" applyNumberFormat="1" applyFont="1" applyFill="1" applyAlignment="1">
      <alignment horizontal="right"/>
    </xf>
    <xf numFmtId="0" fontId="262" fillId="74" borderId="0" xfId="4" applyFont="1" applyFill="1"/>
    <xf numFmtId="0" fontId="265" fillId="56" borderId="36" xfId="0" applyFont="1" applyFill="1" applyBorder="1"/>
    <xf numFmtId="0" fontId="265" fillId="56" borderId="36" xfId="0" applyFont="1" applyFill="1" applyBorder="1" applyAlignment="1">
      <alignment horizontal="right"/>
    </xf>
    <xf numFmtId="3" fontId="265" fillId="56" borderId="36" xfId="4" applyNumberFormat="1" applyFont="1" applyFill="1" applyBorder="1" applyAlignment="1">
      <alignment horizontal="right"/>
    </xf>
    <xf numFmtId="0" fontId="265" fillId="53" borderId="0" xfId="0" applyFont="1" applyFill="1" applyAlignment="1">
      <alignment horizontal="right"/>
    </xf>
    <xf numFmtId="169" fontId="262" fillId="53" borderId="6" xfId="1541" applyNumberFormat="1" applyFont="1" applyFill="1" applyBorder="1" applyAlignment="1">
      <alignment horizontal="right"/>
    </xf>
    <xf numFmtId="0" fontId="265" fillId="53" borderId="53" xfId="4" applyFont="1" applyFill="1" applyBorder="1"/>
    <xf numFmtId="0" fontId="265" fillId="53" borderId="54" xfId="4" applyFont="1" applyFill="1" applyBorder="1" applyAlignment="1">
      <alignment horizontal="right"/>
    </xf>
    <xf numFmtId="169" fontId="265" fillId="53" borderId="47" xfId="1541" applyNumberFormat="1" applyFont="1" applyFill="1" applyBorder="1" applyAlignment="1">
      <alignment horizontal="right"/>
    </xf>
    <xf numFmtId="165" fontId="262" fillId="53" borderId="0" xfId="0" applyNumberFormat="1" applyFont="1" applyFill="1" applyAlignment="1">
      <alignment horizontal="right"/>
    </xf>
    <xf numFmtId="43" fontId="262" fillId="53" borderId="0" xfId="4" applyNumberFormat="1" applyFont="1" applyFill="1" applyAlignment="1">
      <alignment horizontal="right"/>
    </xf>
    <xf numFmtId="172" fontId="262" fillId="56" borderId="0" xfId="1541" applyNumberFormat="1" applyFont="1" applyFill="1" applyAlignment="1">
      <alignment horizontal="right"/>
    </xf>
    <xf numFmtId="0" fontId="265" fillId="0" borderId="62" xfId="4" applyFont="1" applyBorder="1"/>
    <xf numFmtId="3" fontId="265" fillId="0" borderId="62" xfId="4" applyNumberFormat="1" applyFont="1" applyBorder="1" applyAlignment="1">
      <alignment horizontal="right"/>
    </xf>
    <xf numFmtId="3" fontId="265" fillId="0" borderId="62" xfId="4" applyNumberFormat="1" applyFont="1" applyBorder="1"/>
    <xf numFmtId="14" fontId="262" fillId="0" borderId="0" xfId="0" applyNumberFormat="1" applyFont="1" applyAlignment="1">
      <alignment horizontal="right"/>
    </xf>
    <xf numFmtId="0" fontId="265" fillId="0" borderId="36" xfId="4" applyFont="1" applyBorder="1" applyAlignment="1">
      <alignment horizontal="right"/>
    </xf>
    <xf numFmtId="0" fontId="265" fillId="0" borderId="36" xfId="0" applyFont="1" applyBorder="1" applyAlignment="1">
      <alignment horizontal="right"/>
    </xf>
    <xf numFmtId="3" fontId="265" fillId="0" borderId="36" xfId="0" applyNumberFormat="1" applyFont="1" applyBorder="1" applyAlignment="1">
      <alignment horizontal="right"/>
    </xf>
    <xf numFmtId="3" fontId="265" fillId="0" borderId="36" xfId="0" quotePrefix="1" applyNumberFormat="1" applyFont="1" applyBorder="1" applyAlignment="1">
      <alignment horizontal="right"/>
    </xf>
    <xf numFmtId="1" fontId="265" fillId="0" borderId="36" xfId="0" applyNumberFormat="1" applyFont="1" applyBorder="1" applyAlignment="1">
      <alignment horizontal="right"/>
    </xf>
    <xf numFmtId="0" fontId="265" fillId="0" borderId="62" xfId="4" applyFont="1" applyBorder="1" applyAlignment="1">
      <alignment horizontal="right"/>
    </xf>
    <xf numFmtId="0" fontId="265" fillId="0" borderId="62" xfId="4" quotePrefix="1" applyFont="1" applyBorder="1" applyAlignment="1">
      <alignment horizontal="left"/>
    </xf>
    <xf numFmtId="0" fontId="281" fillId="0" borderId="0" xfId="0" applyFont="1"/>
    <xf numFmtId="0" fontId="297" fillId="0" borderId="0" xfId="0" applyFont="1"/>
    <xf numFmtId="328" fontId="262" fillId="0" borderId="0" xfId="0" applyNumberFormat="1" applyFont="1"/>
    <xf numFmtId="1" fontId="262" fillId="49" borderId="0" xfId="0" applyNumberFormat="1" applyFont="1" applyFill="1"/>
    <xf numFmtId="0" fontId="262" fillId="0" borderId="0" xfId="0" quotePrefix="1" applyFont="1"/>
    <xf numFmtId="165" fontId="265" fillId="31" borderId="6" xfId="4" applyNumberFormat="1" applyFont="1" applyFill="1" applyBorder="1"/>
    <xf numFmtId="168" fontId="262" fillId="0" borderId="0" xfId="4" applyNumberFormat="1" applyFont="1"/>
    <xf numFmtId="3" fontId="262" fillId="49" borderId="0" xfId="4" applyNumberFormat="1" applyFont="1" applyFill="1"/>
    <xf numFmtId="3" fontId="262" fillId="49" borderId="9" xfId="4" applyNumberFormat="1" applyFont="1" applyFill="1" applyBorder="1"/>
    <xf numFmtId="3" fontId="262" fillId="77" borderId="0" xfId="4" applyNumberFormat="1" applyFont="1" applyFill="1"/>
    <xf numFmtId="0" fontId="262" fillId="75" borderId="0" xfId="0" applyFont="1" applyFill="1"/>
    <xf numFmtId="3" fontId="262" fillId="75" borderId="0" xfId="4" applyNumberFormat="1" applyFont="1" applyFill="1"/>
    <xf numFmtId="4" fontId="262" fillId="0" borderId="0" xfId="4" applyNumberFormat="1" applyFont="1"/>
    <xf numFmtId="165" fontId="265" fillId="0" borderId="0" xfId="4" applyNumberFormat="1" applyFont="1"/>
    <xf numFmtId="168" fontId="265" fillId="0" borderId="0" xfId="4" applyNumberFormat="1" applyFont="1"/>
    <xf numFmtId="261" fontId="262" fillId="0" borderId="0" xfId="4" applyNumberFormat="1" applyFont="1"/>
    <xf numFmtId="9" fontId="262" fillId="0" borderId="9" xfId="0" applyNumberFormat="1" applyFont="1" applyBorder="1"/>
    <xf numFmtId="0" fontId="265" fillId="0" borderId="9" xfId="0" applyFont="1" applyBorder="1" applyAlignment="1">
      <alignment horizontal="right"/>
    </xf>
    <xf numFmtId="3" fontId="298" fillId="0" borderId="0" xfId="4" applyNumberFormat="1" applyFont="1"/>
    <xf numFmtId="1" fontId="298" fillId="0" borderId="0" xfId="0" applyNumberFormat="1" applyFont="1"/>
    <xf numFmtId="1" fontId="298" fillId="0" borderId="9" xfId="0" applyNumberFormat="1" applyFont="1" applyBorder="1"/>
    <xf numFmtId="1" fontId="262" fillId="57" borderId="0" xfId="0" applyNumberFormat="1" applyFont="1" applyFill="1"/>
    <xf numFmtId="166" fontId="265" fillId="0" borderId="9" xfId="1901" applyNumberFormat="1" applyFont="1" applyBorder="1"/>
    <xf numFmtId="167" fontId="265" fillId="0" borderId="9" xfId="1901" applyNumberFormat="1" applyFont="1" applyBorder="1"/>
    <xf numFmtId="166" fontId="262" fillId="0" borderId="0" xfId="1901" applyNumberFormat="1" applyFont="1"/>
    <xf numFmtId="167" fontId="262" fillId="0" borderId="0" xfId="1901" applyNumberFormat="1" applyFont="1"/>
    <xf numFmtId="164" fontId="262" fillId="0" borderId="0" xfId="1901" applyNumberFormat="1" applyFont="1"/>
    <xf numFmtId="9" fontId="262" fillId="0" borderId="0" xfId="1901" applyNumberFormat="1" applyFont="1"/>
    <xf numFmtId="0" fontId="262" fillId="77" borderId="0" xfId="4" applyFont="1" applyFill="1"/>
    <xf numFmtId="0" fontId="262" fillId="25" borderId="0" xfId="4" applyFont="1" applyFill="1"/>
    <xf numFmtId="165" fontId="262" fillId="25" borderId="0" xfId="4" applyNumberFormat="1" applyFont="1" applyFill="1"/>
    <xf numFmtId="164" fontId="299" fillId="0" borderId="0" xfId="4" applyNumberFormat="1" applyFont="1"/>
    <xf numFmtId="0" fontId="300" fillId="0" borderId="0" xfId="4" applyFont="1"/>
    <xf numFmtId="3" fontId="297" fillId="0" borderId="0" xfId="4" applyNumberFormat="1" applyFont="1"/>
    <xf numFmtId="0" fontId="297" fillId="0" borderId="0" xfId="4" applyFont="1"/>
    <xf numFmtId="164" fontId="297" fillId="0" borderId="0" xfId="4" applyNumberFormat="1" applyFont="1"/>
    <xf numFmtId="3" fontId="300" fillId="0" borderId="0" xfId="4" applyNumberFormat="1" applyFont="1"/>
    <xf numFmtId="9" fontId="300" fillId="0" borderId="0" xfId="4" applyNumberFormat="1" applyFont="1"/>
    <xf numFmtId="1" fontId="262" fillId="25" borderId="0" xfId="4" applyNumberFormat="1" applyFont="1" applyFill="1"/>
    <xf numFmtId="0" fontId="301" fillId="0" borderId="0" xfId="4" applyFont="1"/>
    <xf numFmtId="3" fontId="301" fillId="0" borderId="0" xfId="4" applyNumberFormat="1" applyFont="1"/>
    <xf numFmtId="164" fontId="300" fillId="0" borderId="0" xfId="4" applyNumberFormat="1" applyFont="1"/>
    <xf numFmtId="9" fontId="297" fillId="0" borderId="0" xfId="4" applyNumberFormat="1" applyFont="1"/>
    <xf numFmtId="0" fontId="262" fillId="0" borderId="33" xfId="4" applyFont="1" applyBorder="1"/>
    <xf numFmtId="3" fontId="262" fillId="0" borderId="33" xfId="4" applyNumberFormat="1" applyFont="1" applyBorder="1"/>
    <xf numFmtId="3" fontId="302" fillId="0" borderId="0" xfId="4" applyNumberFormat="1" applyFont="1"/>
    <xf numFmtId="0" fontId="303" fillId="0" borderId="0" xfId="4" applyFont="1" applyAlignment="1">
      <alignment horizontal="right"/>
    </xf>
    <xf numFmtId="1" fontId="304" fillId="0" borderId="0" xfId="0" applyNumberFormat="1" applyFont="1"/>
    <xf numFmtId="3" fontId="265" fillId="0" borderId="33" xfId="4" applyNumberFormat="1" applyFont="1" applyBorder="1"/>
    <xf numFmtId="3" fontId="290" fillId="0" borderId="33" xfId="4" applyNumberFormat="1" applyFont="1" applyBorder="1"/>
    <xf numFmtId="166" fontId="265" fillId="0" borderId="33" xfId="1901" applyNumberFormat="1" applyFont="1" applyBorder="1"/>
    <xf numFmtId="167" fontId="265" fillId="0" borderId="33" xfId="1901" applyNumberFormat="1" applyFont="1" applyBorder="1"/>
    <xf numFmtId="3" fontId="289" fillId="0" borderId="0" xfId="4" applyNumberFormat="1" applyFont="1"/>
    <xf numFmtId="3" fontId="265" fillId="0" borderId="9" xfId="4" applyNumberFormat="1" applyFont="1" applyBorder="1"/>
    <xf numFmtId="3" fontId="262" fillId="0" borderId="37" xfId="4" applyNumberFormat="1" applyFont="1" applyBorder="1"/>
    <xf numFmtId="3" fontId="305" fillId="0" borderId="0" xfId="4" applyNumberFormat="1" applyFont="1"/>
    <xf numFmtId="3" fontId="262" fillId="0" borderId="38" xfId="4" applyNumberFormat="1" applyFont="1" applyBorder="1"/>
    <xf numFmtId="3" fontId="265" fillId="0" borderId="37" xfId="4" applyNumberFormat="1" applyFont="1" applyBorder="1"/>
    <xf numFmtId="9" fontId="262" fillId="0" borderId="0" xfId="1941" applyFont="1" applyFill="1" applyBorder="1"/>
    <xf numFmtId="169" fontId="262" fillId="0" borderId="9" xfId="4" applyNumberFormat="1" applyFont="1" applyBorder="1" applyAlignment="1">
      <alignment horizontal="right"/>
    </xf>
    <xf numFmtId="0" fontId="262" fillId="0" borderId="36" xfId="4" applyFont="1" applyBorder="1"/>
    <xf numFmtId="169" fontId="262" fillId="0" borderId="0" xfId="4" applyNumberFormat="1" applyFont="1"/>
    <xf numFmtId="0" fontId="290" fillId="0" borderId="33" xfId="4" applyFont="1" applyBorder="1"/>
    <xf numFmtId="166" fontId="262" fillId="0" borderId="33" xfId="1901" applyNumberFormat="1" applyFont="1" applyBorder="1"/>
    <xf numFmtId="0" fontId="289" fillId="0" borderId="0" xfId="4" quotePrefix="1" applyFont="1"/>
    <xf numFmtId="0" fontId="262" fillId="0" borderId="0" xfId="4" quotePrefix="1" applyFont="1"/>
    <xf numFmtId="9" fontId="262" fillId="25" borderId="0" xfId="4" applyNumberFormat="1" applyFont="1" applyFill="1"/>
    <xf numFmtId="9" fontId="301" fillId="49" borderId="0" xfId="4" applyNumberFormat="1" applyFont="1" applyFill="1"/>
    <xf numFmtId="3" fontId="301" fillId="49" borderId="0" xfId="4" applyNumberFormat="1" applyFont="1" applyFill="1"/>
    <xf numFmtId="3" fontId="301" fillId="0" borderId="9" xfId="4" applyNumberFormat="1" applyFont="1" applyBorder="1"/>
    <xf numFmtId="9" fontId="303" fillId="0" borderId="0" xfId="4" applyNumberFormat="1" applyFont="1"/>
    <xf numFmtId="3" fontId="303" fillId="0" borderId="0" xfId="4" applyNumberFormat="1" applyFont="1"/>
    <xf numFmtId="164" fontId="303" fillId="0" borderId="0" xfId="4" applyNumberFormat="1" applyFont="1"/>
    <xf numFmtId="3" fontId="290" fillId="0" borderId="0" xfId="4" applyNumberFormat="1" applyFont="1"/>
    <xf numFmtId="0" fontId="262" fillId="25" borderId="9" xfId="4" applyFont="1" applyFill="1" applyBorder="1"/>
    <xf numFmtId="164" fontId="262" fillId="25" borderId="0" xfId="4" applyNumberFormat="1" applyFont="1" applyFill="1"/>
    <xf numFmtId="4" fontId="262" fillId="25" borderId="0" xfId="4" applyNumberFormat="1" applyFont="1" applyFill="1"/>
    <xf numFmtId="4" fontId="303" fillId="0" borderId="0" xfId="4" applyNumberFormat="1" applyFont="1"/>
    <xf numFmtId="1" fontId="303" fillId="0" borderId="0" xfId="4" applyNumberFormat="1" applyFont="1"/>
    <xf numFmtId="1" fontId="306" fillId="0" borderId="0" xfId="4" applyNumberFormat="1" applyFont="1"/>
    <xf numFmtId="164" fontId="303" fillId="25" borderId="0" xfId="4" applyNumberFormat="1" applyFont="1" applyFill="1"/>
    <xf numFmtId="3" fontId="303" fillId="25" borderId="0" xfId="4" applyNumberFormat="1" applyFont="1" applyFill="1"/>
    <xf numFmtId="1" fontId="298" fillId="0" borderId="0" xfId="4" applyNumberFormat="1" applyFont="1"/>
    <xf numFmtId="1" fontId="301" fillId="0" borderId="0" xfId="4" applyNumberFormat="1" applyFont="1"/>
    <xf numFmtId="0" fontId="303" fillId="0" borderId="0" xfId="4" applyFont="1"/>
    <xf numFmtId="168" fontId="262" fillId="25" borderId="0" xfId="4" applyNumberFormat="1" applyFont="1" applyFill="1"/>
    <xf numFmtId="3" fontId="262" fillId="42" borderId="0" xfId="4" applyNumberFormat="1" applyFont="1" applyFill="1"/>
    <xf numFmtId="2" fontId="301" fillId="0" borderId="0" xfId="4" applyNumberFormat="1" applyFont="1"/>
    <xf numFmtId="9" fontId="298" fillId="0" borderId="0" xfId="0" applyNumberFormat="1" applyFont="1"/>
    <xf numFmtId="10" fontId="262" fillId="0" borderId="0" xfId="0" applyNumberFormat="1" applyFont="1"/>
    <xf numFmtId="10" fontId="262" fillId="0" borderId="9" xfId="0" applyNumberFormat="1" applyFont="1" applyBorder="1"/>
    <xf numFmtId="10" fontId="265" fillId="0" borderId="0" xfId="0" applyNumberFormat="1" applyFont="1"/>
    <xf numFmtId="3" fontId="265" fillId="0" borderId="0" xfId="0" applyNumberFormat="1" applyFont="1"/>
    <xf numFmtId="3" fontId="265" fillId="25" borderId="0" xfId="4" applyNumberFormat="1" applyFont="1" applyFill="1"/>
    <xf numFmtId="3" fontId="265" fillId="25" borderId="33" xfId="4" applyNumberFormat="1" applyFont="1" applyFill="1" applyBorder="1"/>
    <xf numFmtId="3" fontId="265" fillId="0" borderId="33" xfId="0" applyNumberFormat="1" applyFont="1" applyBorder="1"/>
    <xf numFmtId="10" fontId="265" fillId="0" borderId="9" xfId="0" applyNumberFormat="1" applyFont="1" applyBorder="1"/>
    <xf numFmtId="1" fontId="265" fillId="0" borderId="0" xfId="0" applyNumberFormat="1" applyFont="1"/>
    <xf numFmtId="1" fontId="265" fillId="0" borderId="33" xfId="0" applyNumberFormat="1" applyFont="1" applyBorder="1"/>
    <xf numFmtId="206" fontId="262" fillId="0" borderId="0" xfId="4" applyNumberFormat="1" applyFont="1"/>
    <xf numFmtId="206" fontId="262" fillId="25" borderId="0" xfId="4" applyNumberFormat="1" applyFont="1" applyFill="1"/>
    <xf numFmtId="206" fontId="262" fillId="54" borderId="0" xfId="4" applyNumberFormat="1" applyFont="1" applyFill="1"/>
    <xf numFmtId="206" fontId="262" fillId="0" borderId="9" xfId="4" applyNumberFormat="1" applyFont="1" applyBorder="1"/>
    <xf numFmtId="206" fontId="262" fillId="25" borderId="9" xfId="4" applyNumberFormat="1" applyFont="1" applyFill="1" applyBorder="1"/>
    <xf numFmtId="10" fontId="262" fillId="25" borderId="0" xfId="4" applyNumberFormat="1" applyFont="1" applyFill="1"/>
    <xf numFmtId="10" fontId="262" fillId="0" borderId="0" xfId="4" applyNumberFormat="1" applyFont="1"/>
    <xf numFmtId="10" fontId="262" fillId="25" borderId="9" xfId="4" applyNumberFormat="1" applyFont="1" applyFill="1" applyBorder="1"/>
    <xf numFmtId="206" fontId="262" fillId="54" borderId="9" xfId="4" applyNumberFormat="1" applyFont="1" applyFill="1" applyBorder="1"/>
    <xf numFmtId="164" fontId="303" fillId="54" borderId="0" xfId="4" applyNumberFormat="1" applyFont="1" applyFill="1"/>
    <xf numFmtId="206" fontId="262" fillId="0" borderId="9" xfId="0" applyNumberFormat="1" applyFont="1" applyBorder="1"/>
    <xf numFmtId="206" fontId="265" fillId="0" borderId="0" xfId="0" applyNumberFormat="1" applyFont="1"/>
    <xf numFmtId="0" fontId="307" fillId="63" borderId="0" xfId="0" applyFont="1" applyFill="1"/>
    <xf numFmtId="0" fontId="268" fillId="63" borderId="0" xfId="4" applyFont="1" applyFill="1"/>
    <xf numFmtId="0" fontId="308" fillId="45" borderId="0" xfId="0" applyFont="1" applyFill="1"/>
    <xf numFmtId="1" fontId="265" fillId="0" borderId="9" xfId="0" applyNumberFormat="1" applyFont="1" applyBorder="1"/>
    <xf numFmtId="165" fontId="293" fillId="0" borderId="0" xfId="0" applyNumberFormat="1" applyFont="1"/>
    <xf numFmtId="0" fontId="262" fillId="74" borderId="0" xfId="0" applyFont="1" applyFill="1"/>
    <xf numFmtId="0" fontId="262" fillId="74" borderId="9" xfId="0" applyFont="1" applyFill="1" applyBorder="1"/>
    <xf numFmtId="165" fontId="262" fillId="0" borderId="36" xfId="0" applyNumberFormat="1" applyFont="1" applyBorder="1"/>
    <xf numFmtId="165" fontId="262" fillId="31" borderId="9" xfId="0" applyNumberFormat="1" applyFont="1" applyFill="1" applyBorder="1"/>
    <xf numFmtId="165" fontId="262" fillId="31" borderId="0" xfId="0" applyNumberFormat="1" applyFont="1" applyFill="1"/>
    <xf numFmtId="1" fontId="297" fillId="0" borderId="0" xfId="0" applyNumberFormat="1" applyFont="1"/>
    <xf numFmtId="1" fontId="301" fillId="0" borderId="0" xfId="0" applyNumberFormat="1" applyFont="1"/>
    <xf numFmtId="1" fontId="300" fillId="0" borderId="0" xfId="0" applyNumberFormat="1" applyFont="1"/>
    <xf numFmtId="3" fontId="262" fillId="73" borderId="0" xfId="0" applyNumberFormat="1" applyFont="1" applyFill="1"/>
    <xf numFmtId="3" fontId="262" fillId="0" borderId="36" xfId="0" applyNumberFormat="1" applyFont="1" applyBorder="1"/>
    <xf numFmtId="3" fontId="262" fillId="31" borderId="9" xfId="0" applyNumberFormat="1" applyFont="1" applyFill="1" applyBorder="1"/>
    <xf numFmtId="165" fontId="265" fillId="0" borderId="33" xfId="0" applyNumberFormat="1" applyFont="1" applyBorder="1"/>
    <xf numFmtId="165" fontId="262" fillId="49" borderId="0" xfId="0" applyNumberFormat="1" applyFont="1" applyFill="1"/>
    <xf numFmtId="165" fontId="269" fillId="0" borderId="0" xfId="0" applyNumberFormat="1" applyFont="1"/>
    <xf numFmtId="1" fontId="269" fillId="0" borderId="0" xfId="0" applyNumberFormat="1" applyFont="1"/>
    <xf numFmtId="165" fontId="301" fillId="0" borderId="0" xfId="0" applyNumberFormat="1" applyFont="1"/>
    <xf numFmtId="3" fontId="262" fillId="49" borderId="0" xfId="0" applyNumberFormat="1" applyFont="1" applyFill="1"/>
    <xf numFmtId="3" fontId="301" fillId="0" borderId="0" xfId="0" applyNumberFormat="1" applyFont="1"/>
    <xf numFmtId="164" fontId="262" fillId="31" borderId="0" xfId="0" applyNumberFormat="1" applyFont="1" applyFill="1"/>
    <xf numFmtId="164" fontId="269" fillId="0" borderId="0" xfId="0" applyNumberFormat="1" applyFont="1"/>
    <xf numFmtId="9" fontId="262" fillId="31" borderId="0" xfId="0" applyNumberFormat="1" applyFont="1" applyFill="1"/>
    <xf numFmtId="0" fontId="265" fillId="74" borderId="0" xfId="0" applyFont="1" applyFill="1"/>
    <xf numFmtId="164" fontId="265" fillId="0" borderId="6" xfId="0" applyNumberFormat="1" applyFont="1" applyBorder="1"/>
    <xf numFmtId="164" fontId="265" fillId="0" borderId="53" xfId="0" applyNumberFormat="1" applyFont="1" applyBorder="1"/>
    <xf numFmtId="164" fontId="265" fillId="0" borderId="54" xfId="0" applyNumberFormat="1" applyFont="1" applyBorder="1"/>
    <xf numFmtId="164" fontId="265" fillId="0" borderId="47" xfId="0" applyNumberFormat="1" applyFont="1" applyBorder="1"/>
    <xf numFmtId="1" fontId="265" fillId="0" borderId="36" xfId="0" applyNumberFormat="1" applyFont="1" applyBorder="1"/>
    <xf numFmtId="0" fontId="301" fillId="0" borderId="0" xfId="0" applyFont="1"/>
    <xf numFmtId="0" fontId="300" fillId="0" borderId="0" xfId="0" applyFont="1"/>
    <xf numFmtId="165" fontId="265" fillId="0" borderId="9" xfId="0" applyNumberFormat="1" applyFont="1" applyBorder="1"/>
    <xf numFmtId="1" fontId="262" fillId="49" borderId="9" xfId="0" applyNumberFormat="1" applyFont="1" applyFill="1" applyBorder="1"/>
    <xf numFmtId="9" fontId="265" fillId="0" borderId="0" xfId="0" applyNumberFormat="1" applyFont="1"/>
    <xf numFmtId="164" fontId="262" fillId="49" borderId="0" xfId="0" applyNumberFormat="1" applyFont="1" applyFill="1"/>
    <xf numFmtId="164" fontId="262" fillId="49" borderId="9" xfId="0" applyNumberFormat="1" applyFont="1" applyFill="1" applyBorder="1"/>
    <xf numFmtId="164" fontId="301" fillId="0" borderId="0" xfId="0" applyNumberFormat="1" applyFont="1"/>
    <xf numFmtId="0" fontId="269" fillId="0" borderId="0" xfId="0" applyFont="1"/>
    <xf numFmtId="1" fontId="262" fillId="0" borderId="36" xfId="0" applyNumberFormat="1" applyFont="1" applyBorder="1"/>
    <xf numFmtId="1" fontId="309" fillId="0" borderId="0" xfId="0" applyNumberFormat="1" applyFont="1"/>
    <xf numFmtId="164" fontId="262" fillId="0" borderId="36" xfId="0" applyNumberFormat="1" applyFont="1" applyBorder="1"/>
    <xf numFmtId="1" fontId="262" fillId="31" borderId="0" xfId="0" applyNumberFormat="1" applyFont="1" applyFill="1"/>
    <xf numFmtId="1" fontId="262" fillId="31" borderId="9" xfId="0" applyNumberFormat="1" applyFont="1" applyFill="1" applyBorder="1"/>
    <xf numFmtId="0" fontId="293" fillId="0" borderId="0" xfId="0" applyFont="1" applyAlignment="1">
      <alignment horizontal="right"/>
    </xf>
    <xf numFmtId="164" fontId="301" fillId="54" borderId="0" xfId="0" applyNumberFormat="1" applyFont="1" applyFill="1"/>
    <xf numFmtId="164" fontId="262" fillId="54" borderId="0" xfId="0" applyNumberFormat="1" applyFont="1" applyFill="1"/>
    <xf numFmtId="9" fontId="301" fillId="0" borderId="9" xfId="0" applyNumberFormat="1" applyFont="1" applyBorder="1"/>
    <xf numFmtId="164" fontId="301" fillId="0" borderId="9" xfId="0" applyNumberFormat="1" applyFont="1" applyBorder="1"/>
    <xf numFmtId="10" fontId="262" fillId="0" borderId="0" xfId="1941" applyNumberFormat="1" applyFont="1"/>
    <xf numFmtId="0" fontId="293" fillId="0" borderId="0" xfId="0" applyFont="1"/>
    <xf numFmtId="0" fontId="265" fillId="55" borderId="0" xfId="0" applyFont="1" applyFill="1" applyAlignment="1">
      <alignment horizontal="right"/>
    </xf>
    <xf numFmtId="0" fontId="262" fillId="50" borderId="0" xfId="0" applyFont="1" applyFill="1"/>
    <xf numFmtId="0" fontId="262" fillId="55" borderId="0" xfId="0" applyFont="1" applyFill="1"/>
    <xf numFmtId="0" fontId="308" fillId="45" borderId="9" xfId="0" applyFont="1" applyFill="1" applyBorder="1"/>
    <xf numFmtId="0" fontId="265" fillId="28" borderId="9" xfId="0" applyFont="1" applyFill="1" applyBorder="1" applyAlignment="1">
      <alignment horizontal="right"/>
    </xf>
    <xf numFmtId="0" fontId="310" fillId="0" borderId="0" xfId="0" applyFont="1" applyAlignment="1">
      <alignment horizontal="right"/>
    </xf>
    <xf numFmtId="0" fontId="265" fillId="55" borderId="9" xfId="0" applyFont="1" applyFill="1" applyBorder="1" applyAlignment="1">
      <alignment horizontal="right"/>
    </xf>
    <xf numFmtId="0" fontId="265" fillId="50" borderId="9" xfId="0" applyFont="1" applyFill="1" applyBorder="1" applyAlignment="1">
      <alignment horizontal="right"/>
    </xf>
    <xf numFmtId="0" fontId="265" fillId="55" borderId="62" xfId="0" applyFont="1" applyFill="1" applyBorder="1" applyAlignment="1">
      <alignment horizontal="right"/>
    </xf>
    <xf numFmtId="165" fontId="262" fillId="28" borderId="0" xfId="0" applyNumberFormat="1" applyFont="1" applyFill="1"/>
    <xf numFmtId="0" fontId="298" fillId="0" borderId="0" xfId="0" applyFont="1"/>
    <xf numFmtId="165" fontId="262" fillId="55" borderId="0" xfId="0" applyNumberFormat="1" applyFont="1" applyFill="1"/>
    <xf numFmtId="165" fontId="262" fillId="50" borderId="0" xfId="0" applyNumberFormat="1" applyFont="1" applyFill="1"/>
    <xf numFmtId="165" fontId="297" fillId="55" borderId="0" xfId="0" applyNumberFormat="1" applyFont="1" applyFill="1"/>
    <xf numFmtId="165" fontId="311" fillId="0" borderId="0" xfId="0" applyNumberFormat="1" applyFont="1"/>
    <xf numFmtId="165" fontId="297" fillId="50" borderId="0" xfId="0" applyNumberFormat="1" applyFont="1" applyFill="1"/>
    <xf numFmtId="165" fontId="299" fillId="0" borderId="0" xfId="0" applyNumberFormat="1" applyFont="1"/>
    <xf numFmtId="165" fontId="299" fillId="28" borderId="0" xfId="0" applyNumberFormat="1" applyFont="1" applyFill="1"/>
    <xf numFmtId="165" fontId="262" fillId="28" borderId="9" xfId="0" applyNumberFormat="1" applyFont="1" applyFill="1" applyBorder="1"/>
    <xf numFmtId="165" fontId="262" fillId="55" borderId="9" xfId="0" applyNumberFormat="1" applyFont="1" applyFill="1" applyBorder="1"/>
    <xf numFmtId="165" fontId="262" fillId="50" borderId="9" xfId="0" applyNumberFormat="1" applyFont="1" applyFill="1" applyBorder="1"/>
    <xf numFmtId="165" fontId="262" fillId="55" borderId="62" xfId="0" applyNumberFormat="1" applyFont="1" applyFill="1" applyBorder="1"/>
    <xf numFmtId="165" fontId="262" fillId="28" borderId="36" xfId="0" applyNumberFormat="1" applyFont="1" applyFill="1" applyBorder="1"/>
    <xf numFmtId="165" fontId="298" fillId="0" borderId="0" xfId="0" applyNumberFormat="1" applyFont="1"/>
    <xf numFmtId="165" fontId="310" fillId="0" borderId="0" xfId="0" applyNumberFormat="1" applyFont="1"/>
    <xf numFmtId="165" fontId="265" fillId="55" borderId="0" xfId="0" applyNumberFormat="1" applyFont="1" applyFill="1"/>
    <xf numFmtId="165" fontId="265" fillId="50" borderId="0" xfId="0" applyNumberFormat="1" applyFont="1" applyFill="1"/>
    <xf numFmtId="165" fontId="300" fillId="0" borderId="0" xfId="0" applyNumberFormat="1" applyFont="1"/>
    <xf numFmtId="164" fontId="300" fillId="0" borderId="0" xfId="0" applyNumberFormat="1" applyFont="1"/>
    <xf numFmtId="164" fontId="300" fillId="50" borderId="0" xfId="0" applyNumberFormat="1" applyFont="1" applyFill="1"/>
    <xf numFmtId="164" fontId="300" fillId="55" borderId="0" xfId="0" applyNumberFormat="1" applyFont="1" applyFill="1"/>
    <xf numFmtId="1" fontId="297" fillId="28" borderId="0" xfId="0" applyNumberFormat="1" applyFont="1" applyFill="1"/>
    <xf numFmtId="165" fontId="297" fillId="28" borderId="0" xfId="0" applyNumberFormat="1" applyFont="1" applyFill="1"/>
    <xf numFmtId="165" fontId="297" fillId="0" borderId="0" xfId="0" applyNumberFormat="1" applyFont="1"/>
    <xf numFmtId="1" fontId="297" fillId="55" borderId="0" xfId="0" applyNumberFormat="1" applyFont="1" applyFill="1"/>
    <xf numFmtId="1" fontId="297" fillId="50" borderId="0" xfId="0" applyNumberFormat="1" applyFont="1" applyFill="1"/>
    <xf numFmtId="1" fontId="297" fillId="0" borderId="9" xfId="0" applyNumberFormat="1" applyFont="1" applyBorder="1"/>
    <xf numFmtId="1" fontId="297" fillId="28" borderId="9" xfId="0" applyNumberFormat="1" applyFont="1" applyFill="1" applyBorder="1"/>
    <xf numFmtId="165" fontId="297" fillId="28" borderId="9" xfId="0" applyNumberFormat="1" applyFont="1" applyFill="1" applyBorder="1"/>
    <xf numFmtId="165" fontId="312" fillId="0" borderId="9" xfId="0" applyNumberFormat="1" applyFont="1" applyBorder="1"/>
    <xf numFmtId="165" fontId="312" fillId="55" borderId="9" xfId="0" applyNumberFormat="1" applyFont="1" applyFill="1" applyBorder="1"/>
    <xf numFmtId="165" fontId="312" fillId="50" borderId="9" xfId="0" applyNumberFormat="1" applyFont="1" applyFill="1" applyBorder="1"/>
    <xf numFmtId="165" fontId="312" fillId="55" borderId="62" xfId="0" applyNumberFormat="1" applyFont="1" applyFill="1" applyBorder="1"/>
    <xf numFmtId="165" fontId="262" fillId="55" borderId="33" xfId="0" applyNumberFormat="1" applyFont="1" applyFill="1" applyBorder="1"/>
    <xf numFmtId="165" fontId="298" fillId="0" borderId="33" xfId="0" applyNumberFormat="1" applyFont="1" applyBorder="1"/>
    <xf numFmtId="165" fontId="262" fillId="50" borderId="33" xfId="0" applyNumberFormat="1" applyFont="1" applyFill="1" applyBorder="1"/>
    <xf numFmtId="165" fontId="265" fillId="0" borderId="36" xfId="0" applyNumberFormat="1" applyFont="1" applyBorder="1"/>
    <xf numFmtId="165" fontId="265" fillId="28" borderId="36" xfId="0" applyNumberFormat="1" applyFont="1" applyFill="1" applyBorder="1"/>
    <xf numFmtId="165" fontId="309" fillId="0" borderId="36" xfId="0" applyNumberFormat="1" applyFont="1" applyBorder="1"/>
    <xf numFmtId="0" fontId="310" fillId="0" borderId="0" xfId="0" applyFont="1"/>
    <xf numFmtId="0" fontId="262" fillId="28" borderId="0" xfId="0" applyFont="1" applyFill="1"/>
    <xf numFmtId="0" fontId="300" fillId="28" borderId="0" xfId="0" applyFont="1" applyFill="1"/>
    <xf numFmtId="0" fontId="300" fillId="55" borderId="0" xfId="0" applyFont="1" applyFill="1"/>
    <xf numFmtId="9" fontId="262" fillId="50" borderId="0" xfId="0" applyNumberFormat="1" applyFont="1" applyFill="1"/>
    <xf numFmtId="9" fontId="262" fillId="55" borderId="0" xfId="0" applyNumberFormat="1" applyFont="1" applyFill="1"/>
    <xf numFmtId="165" fontId="269" fillId="70" borderId="0" xfId="0" applyNumberFormat="1" applyFont="1" applyFill="1"/>
    <xf numFmtId="165" fontId="313" fillId="0" borderId="0" xfId="0" applyNumberFormat="1" applyFont="1"/>
    <xf numFmtId="0" fontId="262" fillId="50" borderId="9" xfId="0" applyFont="1" applyFill="1" applyBorder="1"/>
    <xf numFmtId="0" fontId="262" fillId="55" borderId="62" xfId="0" applyFont="1" applyFill="1" applyBorder="1"/>
    <xf numFmtId="164" fontId="262" fillId="28" borderId="0" xfId="0" applyNumberFormat="1" applyFont="1" applyFill="1"/>
    <xf numFmtId="164" fontId="265" fillId="55" borderId="0" xfId="0" applyNumberFormat="1" applyFont="1" applyFill="1"/>
    <xf numFmtId="164" fontId="265" fillId="50" borderId="0" xfId="0" applyNumberFormat="1" applyFont="1" applyFill="1"/>
    <xf numFmtId="165" fontId="313" fillId="50" borderId="0" xfId="0" applyNumberFormat="1" applyFont="1" applyFill="1"/>
    <xf numFmtId="165" fontId="313" fillId="55" borderId="0" xfId="0" applyNumberFormat="1" applyFont="1" applyFill="1"/>
    <xf numFmtId="1" fontId="297" fillId="50" borderId="9" xfId="0" applyNumberFormat="1" applyFont="1" applyFill="1" applyBorder="1"/>
    <xf numFmtId="1" fontId="297" fillId="55" borderId="62" xfId="0" applyNumberFormat="1" applyFont="1" applyFill="1" applyBorder="1"/>
    <xf numFmtId="165" fontId="298" fillId="50" borderId="33" xfId="0" applyNumberFormat="1" applyFont="1" applyFill="1" applyBorder="1"/>
    <xf numFmtId="165" fontId="298" fillId="55" borderId="33" xfId="0" applyNumberFormat="1" applyFont="1" applyFill="1" applyBorder="1"/>
    <xf numFmtId="165" fontId="298" fillId="50" borderId="0" xfId="0" applyNumberFormat="1" applyFont="1" applyFill="1"/>
    <xf numFmtId="165" fontId="298" fillId="55" borderId="0" xfId="0" applyNumberFormat="1" applyFont="1" applyFill="1"/>
    <xf numFmtId="164" fontId="262" fillId="50" borderId="0" xfId="0" applyNumberFormat="1" applyFont="1" applyFill="1"/>
    <xf numFmtId="164" fontId="262" fillId="55" borderId="0" xfId="0" applyNumberFormat="1" applyFont="1" applyFill="1"/>
    <xf numFmtId="165" fontId="262" fillId="0" borderId="33" xfId="0" applyNumberFormat="1" applyFont="1" applyBorder="1"/>
    <xf numFmtId="165" fontId="262" fillId="39" borderId="0" xfId="0" applyNumberFormat="1" applyFont="1" applyFill="1"/>
    <xf numFmtId="165" fontId="298" fillId="50" borderId="9" xfId="0" applyNumberFormat="1" applyFont="1" applyFill="1" applyBorder="1"/>
    <xf numFmtId="165" fontId="298" fillId="55" borderId="62" xfId="0" applyNumberFormat="1" applyFont="1" applyFill="1" applyBorder="1"/>
    <xf numFmtId="165" fontId="262" fillId="31" borderId="36" xfId="0" applyNumberFormat="1" applyFont="1" applyFill="1" applyBorder="1"/>
    <xf numFmtId="165" fontId="262" fillId="55" borderId="36" xfId="0" applyNumberFormat="1" applyFont="1" applyFill="1" applyBorder="1"/>
    <xf numFmtId="165" fontId="262" fillId="70" borderId="0" xfId="0" applyNumberFormat="1" applyFont="1" applyFill="1"/>
    <xf numFmtId="0" fontId="262" fillId="31" borderId="0" xfId="0" applyFont="1" applyFill="1"/>
    <xf numFmtId="165" fontId="301" fillId="50" borderId="0" xfId="0" applyNumberFormat="1" applyFont="1" applyFill="1"/>
    <xf numFmtId="165" fontId="301" fillId="55" borderId="0" xfId="0" applyNumberFormat="1" applyFont="1" applyFill="1"/>
    <xf numFmtId="165" fontId="265" fillId="28" borderId="0" xfId="0" applyNumberFormat="1" applyFont="1" applyFill="1"/>
    <xf numFmtId="165" fontId="265" fillId="31" borderId="0" xfId="0" applyNumberFormat="1" applyFont="1" applyFill="1"/>
    <xf numFmtId="165" fontId="309" fillId="0" borderId="0" xfId="0" applyNumberFormat="1" applyFont="1"/>
    <xf numFmtId="165" fontId="306" fillId="55" borderId="0" xfId="0" applyNumberFormat="1" applyFont="1" applyFill="1"/>
    <xf numFmtId="165" fontId="262" fillId="0" borderId="62" xfId="0" applyNumberFormat="1" applyFont="1" applyBorder="1"/>
    <xf numFmtId="165" fontId="314" fillId="0" borderId="9" xfId="0" applyNumberFormat="1" applyFont="1" applyBorder="1"/>
    <xf numFmtId="9" fontId="265" fillId="55" borderId="0" xfId="0" applyNumberFormat="1" applyFont="1" applyFill="1"/>
    <xf numFmtId="1" fontId="265" fillId="50" borderId="0" xfId="0" applyNumberFormat="1" applyFont="1" applyFill="1"/>
    <xf numFmtId="1" fontId="265" fillId="55" borderId="0" xfId="0" applyNumberFormat="1" applyFont="1" applyFill="1"/>
    <xf numFmtId="165" fontId="262" fillId="28" borderId="33" xfId="0" applyNumberFormat="1" applyFont="1" applyFill="1" applyBorder="1"/>
    <xf numFmtId="9" fontId="262" fillId="0" borderId="33" xfId="0" applyNumberFormat="1" applyFont="1" applyBorder="1"/>
    <xf numFmtId="164" fontId="262" fillId="0" borderId="33" xfId="0" applyNumberFormat="1" applyFont="1" applyBorder="1"/>
    <xf numFmtId="1" fontId="265" fillId="31" borderId="33" xfId="0" applyNumberFormat="1" applyFont="1" applyFill="1" applyBorder="1"/>
    <xf numFmtId="1" fontId="265" fillId="50" borderId="33" xfId="0" applyNumberFormat="1" applyFont="1" applyFill="1" applyBorder="1"/>
    <xf numFmtId="1" fontId="265" fillId="55" borderId="33" xfId="0" applyNumberFormat="1" applyFont="1" applyFill="1" applyBorder="1"/>
    <xf numFmtId="164" fontId="297" fillId="0" borderId="0" xfId="0" applyNumberFormat="1" applyFont="1"/>
    <xf numFmtId="164" fontId="297" fillId="50" borderId="0" xfId="0" applyNumberFormat="1" applyFont="1" applyFill="1"/>
    <xf numFmtId="164" fontId="297" fillId="55" borderId="0" xfId="0" applyNumberFormat="1" applyFont="1" applyFill="1"/>
    <xf numFmtId="0" fontId="265" fillId="0" borderId="43" xfId="0" applyFont="1" applyBorder="1"/>
    <xf numFmtId="165" fontId="265" fillId="28" borderId="33" xfId="0" applyNumberFormat="1" applyFont="1" applyFill="1" applyBorder="1"/>
    <xf numFmtId="164" fontId="265" fillId="0" borderId="33" xfId="0" applyNumberFormat="1" applyFont="1" applyBorder="1"/>
    <xf numFmtId="164" fontId="265" fillId="28" borderId="33" xfId="0" applyNumberFormat="1" applyFont="1" applyFill="1" applyBorder="1"/>
    <xf numFmtId="164" fontId="265" fillId="28" borderId="44" xfId="0" applyNumberFormat="1" applyFont="1" applyFill="1" applyBorder="1"/>
    <xf numFmtId="164" fontId="265" fillId="55" borderId="33" xfId="0" applyNumberFormat="1" applyFont="1" applyFill="1" applyBorder="1"/>
    <xf numFmtId="164" fontId="265" fillId="50" borderId="33" xfId="0" applyNumberFormat="1" applyFont="1" applyFill="1" applyBorder="1"/>
    <xf numFmtId="164" fontId="298" fillId="0" borderId="0" xfId="0" applyNumberFormat="1" applyFont="1"/>
    <xf numFmtId="164" fontId="298" fillId="50" borderId="0" xfId="0" applyNumberFormat="1" applyFont="1" applyFill="1"/>
    <xf numFmtId="164" fontId="298" fillId="55" borderId="0" xfId="0" applyNumberFormat="1" applyFont="1" applyFill="1"/>
    <xf numFmtId="164" fontId="315" fillId="0" borderId="0" xfId="0" applyNumberFormat="1" applyFont="1"/>
    <xf numFmtId="164" fontId="262" fillId="28" borderId="9" xfId="0" applyNumberFormat="1" applyFont="1" applyFill="1" applyBorder="1"/>
    <xf numFmtId="164" fontId="262" fillId="55" borderId="9" xfId="0" applyNumberFormat="1" applyFont="1" applyFill="1" applyBorder="1"/>
    <xf numFmtId="164" fontId="298" fillId="50" borderId="9" xfId="0" applyNumberFormat="1" applyFont="1" applyFill="1" applyBorder="1"/>
    <xf numFmtId="164" fontId="298" fillId="55" borderId="62" xfId="0" applyNumberFormat="1" applyFont="1" applyFill="1" applyBorder="1"/>
    <xf numFmtId="164" fontId="262" fillId="50" borderId="9" xfId="0" applyNumberFormat="1" applyFont="1" applyFill="1" applyBorder="1"/>
    <xf numFmtId="164" fontId="262" fillId="55" borderId="62" xfId="0" applyNumberFormat="1" applyFont="1" applyFill="1" applyBorder="1"/>
    <xf numFmtId="0" fontId="262" fillId="0" borderId="63" xfId="0" applyFont="1" applyBorder="1" applyAlignment="1">
      <alignment horizontal="right" wrapText="1"/>
    </xf>
    <xf numFmtId="164" fontId="265" fillId="28" borderId="0" xfId="0" applyNumberFormat="1" applyFont="1" applyFill="1"/>
    <xf numFmtId="2" fontId="262" fillId="28" borderId="0" xfId="0" applyNumberFormat="1" applyFont="1" applyFill="1"/>
    <xf numFmtId="2" fontId="298" fillId="55" borderId="0" xfId="0" applyNumberFormat="1" applyFont="1" applyFill="1"/>
    <xf numFmtId="2" fontId="269" fillId="0" borderId="0" xfId="0" applyNumberFormat="1" applyFont="1"/>
    <xf numFmtId="2" fontId="298" fillId="0" borderId="0" xfId="0" applyNumberFormat="1" applyFont="1"/>
    <xf numFmtId="2" fontId="262" fillId="0" borderId="0" xfId="0" applyNumberFormat="1" applyFont="1"/>
    <xf numFmtId="2" fontId="262" fillId="55" borderId="0" xfId="0" applyNumberFormat="1" applyFont="1" applyFill="1"/>
    <xf numFmtId="2" fontId="298" fillId="50" borderId="0" xfId="0" applyNumberFormat="1" applyFont="1" applyFill="1"/>
    <xf numFmtId="2" fontId="262" fillId="50" borderId="0" xfId="0" applyNumberFormat="1" applyFont="1" applyFill="1"/>
    <xf numFmtId="1" fontId="262" fillId="28" borderId="0" xfId="0" applyNumberFormat="1" applyFont="1" applyFill="1"/>
    <xf numFmtId="1" fontId="298" fillId="55" borderId="0" xfId="0" applyNumberFormat="1" applyFont="1" applyFill="1"/>
    <xf numFmtId="165" fontId="315" fillId="0" borderId="0" xfId="0" applyNumberFormat="1" applyFont="1"/>
    <xf numFmtId="165" fontId="315" fillId="55" borderId="0" xfId="0" applyNumberFormat="1" applyFont="1" applyFill="1"/>
    <xf numFmtId="3" fontId="262" fillId="28" borderId="0" xfId="0" applyNumberFormat="1" applyFont="1" applyFill="1"/>
    <xf numFmtId="1" fontId="262" fillId="55" borderId="0" xfId="0" applyNumberFormat="1" applyFont="1" applyFill="1"/>
    <xf numFmtId="1" fontId="262" fillId="50" borderId="0" xfId="0" applyNumberFormat="1" applyFont="1" applyFill="1"/>
    <xf numFmtId="1" fontId="314" fillId="0" borderId="0" xfId="0" applyNumberFormat="1" applyFont="1"/>
    <xf numFmtId="1" fontId="314" fillId="50" borderId="0" xfId="0" applyNumberFormat="1" applyFont="1" applyFill="1"/>
    <xf numFmtId="1" fontId="314" fillId="55" borderId="0" xfId="0" applyNumberFormat="1" applyFont="1" applyFill="1"/>
    <xf numFmtId="165" fontId="314" fillId="0" borderId="0" xfId="0" applyNumberFormat="1" applyFont="1"/>
    <xf numFmtId="165" fontId="314" fillId="50" borderId="0" xfId="0" applyNumberFormat="1" applyFont="1" applyFill="1"/>
    <xf numFmtId="165" fontId="314" fillId="55" borderId="0" xfId="0" applyNumberFormat="1" applyFont="1" applyFill="1"/>
    <xf numFmtId="10" fontId="262" fillId="50" borderId="0" xfId="1941" applyNumberFormat="1" applyFont="1" applyFill="1"/>
    <xf numFmtId="10" fontId="262" fillId="55" borderId="0" xfId="1941" applyNumberFormat="1" applyFont="1" applyFill="1"/>
    <xf numFmtId="164" fontId="262" fillId="50" borderId="0" xfId="1941" applyNumberFormat="1" applyFont="1" applyFill="1"/>
    <xf numFmtId="164" fontId="262" fillId="55" borderId="0" xfId="1941" applyNumberFormat="1" applyFont="1" applyFill="1"/>
    <xf numFmtId="164" fontId="265" fillId="28" borderId="17" xfId="0" applyNumberFormat="1" applyFont="1" applyFill="1" applyBorder="1"/>
    <xf numFmtId="0" fontId="262" fillId="0" borderId="9" xfId="0" applyFont="1" applyBorder="1" applyAlignment="1">
      <alignment horizontal="right"/>
    </xf>
    <xf numFmtId="164" fontId="297" fillId="31" borderId="0" xfId="0" applyNumberFormat="1" applyFont="1" applyFill="1"/>
    <xf numFmtId="0" fontId="262" fillId="28" borderId="9" xfId="0" applyFont="1" applyFill="1" applyBorder="1"/>
    <xf numFmtId="0" fontId="262" fillId="55" borderId="9" xfId="0" applyFont="1" applyFill="1" applyBorder="1"/>
    <xf numFmtId="0" fontId="265" fillId="28" borderId="0" xfId="0" applyFont="1" applyFill="1"/>
    <xf numFmtId="164" fontId="309" fillId="0" borderId="0" xfId="0" applyNumberFormat="1" applyFont="1"/>
    <xf numFmtId="0" fontId="265" fillId="28" borderId="33" xfId="0" applyFont="1" applyFill="1" applyBorder="1"/>
    <xf numFmtId="0" fontId="265" fillId="28" borderId="42" xfId="0" applyFont="1" applyFill="1" applyBorder="1"/>
    <xf numFmtId="0" fontId="265" fillId="28" borderId="44" xfId="0" applyFont="1" applyFill="1" applyBorder="1"/>
    <xf numFmtId="0" fontId="265" fillId="55" borderId="33" xfId="0" applyFont="1" applyFill="1" applyBorder="1"/>
    <xf numFmtId="3" fontId="262" fillId="68" borderId="0" xfId="0" applyNumberFormat="1" applyFont="1" applyFill="1"/>
    <xf numFmtId="0" fontId="262" fillId="68" borderId="0" xfId="0" applyFont="1" applyFill="1"/>
    <xf numFmtId="3" fontId="262" fillId="50" borderId="0" xfId="0" applyNumberFormat="1" applyFont="1" applyFill="1"/>
    <xf numFmtId="3" fontId="262" fillId="55" borderId="0" xfId="0" applyNumberFormat="1" applyFont="1" applyFill="1"/>
    <xf numFmtId="0" fontId="265" fillId="0" borderId="9" xfId="0" applyFont="1" applyBorder="1" applyAlignment="1">
      <alignment horizontal="left"/>
    </xf>
    <xf numFmtId="0" fontId="265" fillId="68" borderId="9" xfId="0" applyFont="1" applyFill="1" applyBorder="1" applyAlignment="1">
      <alignment horizontal="right"/>
    </xf>
    <xf numFmtId="1" fontId="262" fillId="68" borderId="0" xfId="0" applyNumberFormat="1" applyFont="1" applyFill="1"/>
    <xf numFmtId="1" fontId="262" fillId="28" borderId="9" xfId="0" applyNumberFormat="1" applyFont="1" applyFill="1" applyBorder="1"/>
    <xf numFmtId="1" fontId="262" fillId="68" borderId="9" xfId="0" applyNumberFormat="1" applyFont="1" applyFill="1" applyBorder="1"/>
    <xf numFmtId="165" fontId="262" fillId="68" borderId="9" xfId="0" applyNumberFormat="1" applyFont="1" applyFill="1" applyBorder="1"/>
    <xf numFmtId="1" fontId="265" fillId="28" borderId="0" xfId="0" applyNumberFormat="1" applyFont="1" applyFill="1"/>
    <xf numFmtId="1" fontId="265" fillId="68" borderId="0" xfId="0" applyNumberFormat="1" applyFont="1" applyFill="1"/>
    <xf numFmtId="165" fontId="265" fillId="68" borderId="0" xfId="0" applyNumberFormat="1" applyFont="1" applyFill="1"/>
    <xf numFmtId="1" fontId="310" fillId="0" borderId="0" xfId="0" applyNumberFormat="1" applyFont="1"/>
    <xf numFmtId="1" fontId="316" fillId="50" borderId="0" xfId="0" applyNumberFormat="1" applyFont="1" applyFill="1"/>
    <xf numFmtId="1" fontId="316" fillId="55" borderId="0" xfId="0" applyNumberFormat="1" applyFont="1" applyFill="1"/>
    <xf numFmtId="0" fontId="262" fillId="28" borderId="33" xfId="0" applyFont="1" applyFill="1" applyBorder="1"/>
    <xf numFmtId="1" fontId="262" fillId="28" borderId="33" xfId="0" applyNumberFormat="1" applyFont="1" applyFill="1" applyBorder="1"/>
    <xf numFmtId="1" fontId="262" fillId="68" borderId="33" xfId="0" applyNumberFormat="1" applyFont="1" applyFill="1" applyBorder="1"/>
    <xf numFmtId="0" fontId="262" fillId="68" borderId="33" xfId="0" applyFont="1" applyFill="1" applyBorder="1"/>
    <xf numFmtId="1" fontId="265" fillId="68" borderId="33" xfId="0" applyNumberFormat="1" applyFont="1" applyFill="1" applyBorder="1"/>
    <xf numFmtId="0" fontId="262" fillId="68" borderId="9" xfId="0" applyFont="1" applyFill="1" applyBorder="1"/>
    <xf numFmtId="1" fontId="265" fillId="68" borderId="36" xfId="0" applyNumberFormat="1" applyFont="1" applyFill="1" applyBorder="1"/>
    <xf numFmtId="165" fontId="265" fillId="68" borderId="36" xfId="0" applyNumberFormat="1" applyFont="1" applyFill="1" applyBorder="1"/>
    <xf numFmtId="165" fontId="265" fillId="55" borderId="36" xfId="0" applyNumberFormat="1" applyFont="1" applyFill="1" applyBorder="1"/>
    <xf numFmtId="165" fontId="316" fillId="50" borderId="36" xfId="0" applyNumberFormat="1" applyFont="1" applyFill="1" applyBorder="1"/>
    <xf numFmtId="165" fontId="316" fillId="55" borderId="36" xfId="0" applyNumberFormat="1" applyFont="1" applyFill="1" applyBorder="1"/>
    <xf numFmtId="1" fontId="262" fillId="68" borderId="0" xfId="4" applyNumberFormat="1" applyFont="1" applyFill="1"/>
    <xf numFmtId="9" fontId="262" fillId="0" borderId="0" xfId="1941" applyFont="1"/>
    <xf numFmtId="1" fontId="262" fillId="50" borderId="0" xfId="4" applyNumberFormat="1" applyFont="1" applyFill="1"/>
    <xf numFmtId="1" fontId="262" fillId="55" borderId="0" xfId="4" applyNumberFormat="1" applyFont="1" applyFill="1"/>
    <xf numFmtId="1" fontId="269" fillId="0" borderId="0" xfId="4" applyNumberFormat="1" applyFont="1"/>
    <xf numFmtId="1" fontId="304" fillId="50" borderId="0" xfId="4" applyNumberFormat="1" applyFont="1" applyFill="1"/>
    <xf numFmtId="1" fontId="304" fillId="55" borderId="0" xfId="4" applyNumberFormat="1" applyFont="1" applyFill="1"/>
    <xf numFmtId="0" fontId="297" fillId="0" borderId="0" xfId="0" quotePrefix="1" applyFont="1"/>
    <xf numFmtId="1" fontId="317" fillId="0" borderId="0" xfId="4" applyNumberFormat="1" applyFont="1"/>
    <xf numFmtId="3" fontId="297" fillId="68" borderId="0" xfId="0" applyNumberFormat="1" applyFont="1" applyFill="1"/>
    <xf numFmtId="1" fontId="318" fillId="55" borderId="0" xfId="4" applyNumberFormat="1" applyFont="1" applyFill="1"/>
    <xf numFmtId="1" fontId="262" fillId="31" borderId="0" xfId="4" applyNumberFormat="1" applyFont="1" applyFill="1"/>
    <xf numFmtId="1" fontId="265" fillId="31" borderId="0" xfId="4" applyNumberFormat="1" applyFont="1" applyFill="1"/>
    <xf numFmtId="1" fontId="265" fillId="68" borderId="0" xfId="4" applyNumberFormat="1" applyFont="1" applyFill="1"/>
    <xf numFmtId="1" fontId="265" fillId="55" borderId="0" xfId="4" applyNumberFormat="1" applyFont="1" applyFill="1"/>
    <xf numFmtId="1" fontId="265" fillId="50" borderId="0" xfId="4" applyNumberFormat="1" applyFont="1" applyFill="1"/>
    <xf numFmtId="1" fontId="304" fillId="0" borderId="0" xfId="4" applyNumberFormat="1" applyFont="1"/>
    <xf numFmtId="1" fontId="297" fillId="0" borderId="0" xfId="4" applyNumberFormat="1" applyFont="1"/>
    <xf numFmtId="1" fontId="318" fillId="50" borderId="0" xfId="4" applyNumberFormat="1" applyFont="1" applyFill="1"/>
    <xf numFmtId="0" fontId="297" fillId="0" borderId="0" xfId="4" quotePrefix="1" applyFont="1"/>
    <xf numFmtId="1" fontId="297" fillId="50" borderId="0" xfId="4" applyNumberFormat="1" applyFont="1" applyFill="1"/>
    <xf numFmtId="1" fontId="297" fillId="55" borderId="0" xfId="4" applyNumberFormat="1" applyFont="1" applyFill="1"/>
    <xf numFmtId="1" fontId="262" fillId="0" borderId="33" xfId="4" applyNumberFormat="1" applyFont="1" applyBorder="1"/>
    <xf numFmtId="1" fontId="262" fillId="68" borderId="33" xfId="4" applyNumberFormat="1" applyFont="1" applyFill="1" applyBorder="1"/>
    <xf numFmtId="1" fontId="262" fillId="55" borderId="33" xfId="4" applyNumberFormat="1" applyFont="1" applyFill="1" applyBorder="1"/>
    <xf numFmtId="1" fontId="262" fillId="50" borderId="33" xfId="4" applyNumberFormat="1" applyFont="1" applyFill="1" applyBorder="1"/>
    <xf numFmtId="2" fontId="262" fillId="50" borderId="0" xfId="4" applyNumberFormat="1" applyFont="1" applyFill="1"/>
    <xf numFmtId="2" fontId="262" fillId="55" borderId="0" xfId="4" applyNumberFormat="1" applyFont="1" applyFill="1"/>
    <xf numFmtId="1" fontId="302" fillId="0" borderId="0" xfId="4" applyNumberFormat="1" applyFont="1"/>
    <xf numFmtId="9" fontId="297" fillId="50" borderId="0" xfId="4" applyNumberFormat="1" applyFont="1" applyFill="1"/>
    <xf numFmtId="9" fontId="297" fillId="55" borderId="0" xfId="4" applyNumberFormat="1" applyFont="1" applyFill="1"/>
    <xf numFmtId="0" fontId="265" fillId="68" borderId="0" xfId="0" applyFont="1" applyFill="1" applyAlignment="1">
      <alignment horizontal="right"/>
    </xf>
    <xf numFmtId="1" fontId="262" fillId="68" borderId="0" xfId="0" applyNumberFormat="1" applyFont="1" applyFill="1" applyAlignment="1">
      <alignment horizontal="right"/>
    </xf>
    <xf numFmtId="1" fontId="266" fillId="0" borderId="0" xfId="0" applyNumberFormat="1" applyFont="1" applyAlignment="1">
      <alignment horizontal="right"/>
    </xf>
    <xf numFmtId="1" fontId="262" fillId="55" borderId="0" xfId="0" applyNumberFormat="1" applyFont="1" applyFill="1" applyAlignment="1">
      <alignment horizontal="right"/>
    </xf>
    <xf numFmtId="1" fontId="262" fillId="50" borderId="0" xfId="0" applyNumberFormat="1" applyFont="1" applyFill="1" applyAlignment="1">
      <alignment horizontal="right"/>
    </xf>
    <xf numFmtId="1" fontId="298" fillId="0" borderId="0" xfId="0" applyNumberFormat="1" applyFont="1" applyAlignment="1">
      <alignment horizontal="right"/>
    </xf>
    <xf numFmtId="1" fontId="269" fillId="0" borderId="0" xfId="0" applyNumberFormat="1" applyFont="1" applyAlignment="1">
      <alignment horizontal="right"/>
    </xf>
    <xf numFmtId="1" fontId="293" fillId="68" borderId="0" xfId="0" applyNumberFormat="1" applyFont="1" applyFill="1" applyAlignment="1">
      <alignment horizontal="right"/>
    </xf>
    <xf numFmtId="1" fontId="265" fillId="0" borderId="33" xfId="4" applyNumberFormat="1" applyFont="1" applyBorder="1"/>
    <xf numFmtId="2" fontId="265" fillId="0" borderId="33" xfId="4" applyNumberFormat="1" applyFont="1" applyBorder="1"/>
    <xf numFmtId="1" fontId="265" fillId="68" borderId="33" xfId="4" applyNumberFormat="1" applyFont="1" applyFill="1" applyBorder="1"/>
    <xf numFmtId="1" fontId="265" fillId="76" borderId="33" xfId="4" applyNumberFormat="1" applyFont="1" applyFill="1" applyBorder="1"/>
    <xf numFmtId="1" fontId="265" fillId="55" borderId="33" xfId="4" applyNumberFormat="1" applyFont="1" applyFill="1" applyBorder="1"/>
    <xf numFmtId="1" fontId="265" fillId="50" borderId="33" xfId="4" applyNumberFormat="1" applyFont="1" applyFill="1" applyBorder="1"/>
    <xf numFmtId="1" fontId="301" fillId="50" borderId="0" xfId="4" applyNumberFormat="1" applyFont="1" applyFill="1"/>
    <xf numFmtId="1" fontId="301" fillId="55" borderId="0" xfId="4" applyNumberFormat="1" applyFont="1" applyFill="1"/>
    <xf numFmtId="9" fontId="262" fillId="68" borderId="0" xfId="0" applyNumberFormat="1" applyFont="1" applyFill="1"/>
    <xf numFmtId="2" fontId="262" fillId="0" borderId="9" xfId="4" applyNumberFormat="1" applyFont="1" applyBorder="1"/>
    <xf numFmtId="1" fontId="301" fillId="0" borderId="9" xfId="4" applyNumberFormat="1" applyFont="1" applyBorder="1"/>
    <xf numFmtId="1" fontId="269" fillId="0" borderId="9" xfId="4" applyNumberFormat="1" applyFont="1" applyBorder="1"/>
    <xf numFmtId="1" fontId="304" fillId="0" borderId="9" xfId="4" applyNumberFormat="1" applyFont="1" applyBorder="1"/>
    <xf numFmtId="1" fontId="262" fillId="55" borderId="9" xfId="4" applyNumberFormat="1" applyFont="1" applyFill="1" applyBorder="1"/>
    <xf numFmtId="1" fontId="304" fillId="50" borderId="9" xfId="4" applyNumberFormat="1" applyFont="1" applyFill="1" applyBorder="1"/>
    <xf numFmtId="1" fontId="304" fillId="55" borderId="62" xfId="4" applyNumberFormat="1" applyFont="1" applyFill="1" applyBorder="1"/>
    <xf numFmtId="2" fontId="265" fillId="0" borderId="0" xfId="4" applyNumberFormat="1" applyFont="1"/>
    <xf numFmtId="1" fontId="265" fillId="68" borderId="36" xfId="4" applyNumberFormat="1" applyFont="1" applyFill="1" applyBorder="1"/>
    <xf numFmtId="3" fontId="262" fillId="68" borderId="9" xfId="0" applyNumberFormat="1" applyFont="1" applyFill="1" applyBorder="1"/>
    <xf numFmtId="1" fontId="262" fillId="68" borderId="9" xfId="4" applyNumberFormat="1" applyFont="1" applyFill="1" applyBorder="1"/>
    <xf numFmtId="1" fontId="262" fillId="50" borderId="9" xfId="4" applyNumberFormat="1" applyFont="1" applyFill="1" applyBorder="1"/>
    <xf numFmtId="1" fontId="262" fillId="55" borderId="62" xfId="4" applyNumberFormat="1" applyFont="1" applyFill="1" applyBorder="1"/>
    <xf numFmtId="0" fontId="262" fillId="68" borderId="36" xfId="0" applyFont="1" applyFill="1" applyBorder="1"/>
    <xf numFmtId="2" fontId="262" fillId="0" borderId="0" xfId="4" applyNumberFormat="1" applyFont="1" applyAlignment="1">
      <alignment horizontal="right"/>
    </xf>
    <xf numFmtId="0" fontId="262" fillId="68" borderId="0" xfId="4" applyFont="1" applyFill="1" applyAlignment="1">
      <alignment horizontal="right"/>
    </xf>
    <xf numFmtId="2" fontId="265" fillId="0" borderId="9" xfId="4" applyNumberFormat="1" applyFont="1" applyBorder="1"/>
    <xf numFmtId="0" fontId="265" fillId="68" borderId="9" xfId="0" applyFont="1" applyFill="1" applyBorder="1"/>
    <xf numFmtId="0" fontId="265" fillId="68" borderId="9" xfId="4" applyFont="1" applyFill="1" applyBorder="1" applyAlignment="1">
      <alignment horizontal="right"/>
    </xf>
    <xf numFmtId="0" fontId="265" fillId="50" borderId="0" xfId="0" applyFont="1" applyFill="1"/>
    <xf numFmtId="0" fontId="265" fillId="55" borderId="0" xfId="0" applyFont="1" applyFill="1"/>
    <xf numFmtId="37" fontId="262" fillId="0" borderId="0" xfId="4" applyNumberFormat="1" applyFont="1"/>
    <xf numFmtId="37" fontId="262" fillId="0" borderId="0" xfId="0" applyNumberFormat="1" applyFont="1"/>
    <xf numFmtId="37" fontId="262" fillId="68" borderId="0" xfId="4" applyNumberFormat="1" applyFont="1" applyFill="1"/>
    <xf numFmtId="37" fontId="262" fillId="50" borderId="0" xfId="0" applyNumberFormat="1" applyFont="1" applyFill="1"/>
    <xf numFmtId="37" fontId="262" fillId="55" borderId="0" xfId="0" applyNumberFormat="1" applyFont="1" applyFill="1"/>
    <xf numFmtId="0" fontId="265" fillId="68" borderId="0" xfId="4" applyFont="1" applyFill="1" applyAlignment="1">
      <alignment horizontal="right"/>
    </xf>
    <xf numFmtId="37" fontId="262" fillId="0" borderId="9" xfId="4" applyNumberFormat="1" applyFont="1" applyBorder="1"/>
    <xf numFmtId="37" fontId="262" fillId="0" borderId="9" xfId="0" applyNumberFormat="1" applyFont="1" applyBorder="1"/>
    <xf numFmtId="37" fontId="262" fillId="68" borderId="9" xfId="4" applyNumberFormat="1" applyFont="1" applyFill="1" applyBorder="1"/>
    <xf numFmtId="0" fontId="262" fillId="68" borderId="0" xfId="4" applyFont="1" applyFill="1"/>
    <xf numFmtId="0" fontId="262" fillId="68" borderId="9" xfId="4" applyFont="1" applyFill="1" applyBorder="1"/>
    <xf numFmtId="1" fontId="269" fillId="50" borderId="0" xfId="4" applyNumberFormat="1" applyFont="1" applyFill="1"/>
    <xf numFmtId="1" fontId="298" fillId="55" borderId="0" xfId="4" applyNumberFormat="1" applyFont="1" applyFill="1"/>
    <xf numFmtId="3" fontId="265" fillId="68" borderId="33" xfId="0" applyNumberFormat="1" applyFont="1" applyFill="1" applyBorder="1"/>
    <xf numFmtId="1" fontId="309" fillId="0" borderId="33" xfId="4" applyNumberFormat="1" applyFont="1" applyBorder="1"/>
    <xf numFmtId="3" fontId="265" fillId="68" borderId="0" xfId="0" applyNumberFormat="1" applyFont="1" applyFill="1"/>
    <xf numFmtId="3" fontId="265" fillId="55" borderId="33" xfId="0" applyNumberFormat="1" applyFont="1" applyFill="1" applyBorder="1"/>
    <xf numFmtId="3" fontId="309" fillId="68" borderId="0" xfId="0" applyNumberFormat="1" applyFont="1" applyFill="1"/>
    <xf numFmtId="165" fontId="262" fillId="68" borderId="0" xfId="0" applyNumberFormat="1" applyFont="1" applyFill="1"/>
    <xf numFmtId="0" fontId="262" fillId="68" borderId="0" xfId="0" applyFont="1" applyFill="1" applyAlignment="1">
      <alignment horizontal="right"/>
    </xf>
    <xf numFmtId="0" fontId="262" fillId="55" borderId="0" xfId="0" applyFont="1" applyFill="1" applyAlignment="1">
      <alignment horizontal="right"/>
    </xf>
    <xf numFmtId="0" fontId="265" fillId="31" borderId="0" xfId="0" applyFont="1" applyFill="1"/>
    <xf numFmtId="0" fontId="265" fillId="68" borderId="0" xfId="0" applyFont="1" applyFill="1"/>
    <xf numFmtId="0" fontId="309" fillId="0" borderId="0" xfId="0" applyFont="1"/>
    <xf numFmtId="2" fontId="309" fillId="0" borderId="0" xfId="0" applyNumberFormat="1" applyFont="1"/>
    <xf numFmtId="2" fontId="262" fillId="0" borderId="33" xfId="4" applyNumberFormat="1" applyFont="1" applyBorder="1"/>
    <xf numFmtId="0" fontId="309" fillId="0" borderId="33" xfId="0" applyFont="1" applyBorder="1"/>
    <xf numFmtId="0" fontId="265" fillId="50" borderId="33" xfId="0" applyFont="1" applyFill="1" applyBorder="1"/>
    <xf numFmtId="0" fontId="309" fillId="55" borderId="33" xfId="0" applyFont="1" applyFill="1" applyBorder="1"/>
    <xf numFmtId="2" fontId="262" fillId="68" borderId="0" xfId="0" applyNumberFormat="1" applyFont="1" applyFill="1"/>
    <xf numFmtId="2" fontId="265" fillId="0" borderId="0" xfId="0" applyNumberFormat="1" applyFont="1"/>
    <xf numFmtId="2" fontId="265" fillId="68" borderId="0" xfId="0" applyNumberFormat="1" applyFont="1" applyFill="1"/>
    <xf numFmtId="2" fontId="265" fillId="55" borderId="0" xfId="0" applyNumberFormat="1" applyFont="1" applyFill="1"/>
    <xf numFmtId="2" fontId="265" fillId="50" borderId="0" xfId="0" applyNumberFormat="1" applyFont="1" applyFill="1"/>
    <xf numFmtId="0" fontId="309" fillId="68" borderId="0" xfId="0" applyFont="1" applyFill="1"/>
    <xf numFmtId="0" fontId="269" fillId="68" borderId="0" xfId="0" applyFont="1" applyFill="1"/>
    <xf numFmtId="0" fontId="265" fillId="50" borderId="0" xfId="0" applyFont="1" applyFill="1" applyAlignment="1">
      <alignment horizontal="right"/>
    </xf>
    <xf numFmtId="0" fontId="290" fillId="0" borderId="0" xfId="0" applyFont="1"/>
    <xf numFmtId="0" fontId="308" fillId="47" borderId="0" xfId="0" applyFont="1" applyFill="1"/>
    <xf numFmtId="0" fontId="289" fillId="0" borderId="0" xfId="0" quotePrefix="1" applyFont="1"/>
    <xf numFmtId="0" fontId="265" fillId="0" borderId="0" xfId="0" quotePrefix="1" applyFont="1"/>
    <xf numFmtId="325" fontId="262" fillId="28" borderId="0" xfId="0" applyNumberFormat="1" applyFont="1" applyFill="1"/>
    <xf numFmtId="325" fontId="262" fillId="50" borderId="0" xfId="0" applyNumberFormat="1" applyFont="1" applyFill="1"/>
    <xf numFmtId="325" fontId="262" fillId="55" borderId="0" xfId="0" applyNumberFormat="1" applyFont="1" applyFill="1"/>
    <xf numFmtId="9" fontId="262" fillId="28" borderId="0" xfId="0" applyNumberFormat="1" applyFont="1" applyFill="1"/>
    <xf numFmtId="0" fontId="297" fillId="28" borderId="0" xfId="0" applyFont="1" applyFill="1"/>
    <xf numFmtId="0" fontId="297" fillId="50" borderId="0" xfId="0" applyFont="1" applyFill="1"/>
    <xf numFmtId="0" fontId="297" fillId="55" borderId="0" xfId="0" applyFont="1" applyFill="1"/>
    <xf numFmtId="3" fontId="309" fillId="0" borderId="0" xfId="4" applyNumberFormat="1" applyFont="1"/>
    <xf numFmtId="3" fontId="298" fillId="0" borderId="0" xfId="0" applyNumberFormat="1" applyFont="1"/>
    <xf numFmtId="0" fontId="265" fillId="69" borderId="0" xfId="0" applyFont="1" applyFill="1"/>
    <xf numFmtId="0" fontId="262" fillId="69" borderId="0" xfId="0" applyFont="1" applyFill="1"/>
    <xf numFmtId="3" fontId="262" fillId="69" borderId="0" xfId="0" applyNumberFormat="1" applyFont="1" applyFill="1"/>
    <xf numFmtId="1" fontId="262" fillId="69" borderId="0" xfId="0" applyNumberFormat="1" applyFont="1" applyFill="1"/>
    <xf numFmtId="164" fontId="262" fillId="28" borderId="36" xfId="0" applyNumberFormat="1" applyFont="1" applyFill="1" applyBorder="1"/>
    <xf numFmtId="1" fontId="319" fillId="0" borderId="0" xfId="0" applyNumberFormat="1" applyFont="1"/>
    <xf numFmtId="3" fontId="262" fillId="31" borderId="0" xfId="0" applyNumberFormat="1" applyFont="1" applyFill="1"/>
    <xf numFmtId="3" fontId="265" fillId="0" borderId="36" xfId="0" applyNumberFormat="1" applyFont="1" applyBorder="1"/>
    <xf numFmtId="3" fontId="262" fillId="0" borderId="3" xfId="0" applyNumberFormat="1" applyFont="1" applyBorder="1"/>
    <xf numFmtId="165" fontId="262" fillId="75" borderId="0" xfId="0" applyNumberFormat="1" applyFont="1" applyFill="1"/>
    <xf numFmtId="9" fontId="262" fillId="75" borderId="0" xfId="0" applyNumberFormat="1" applyFont="1" applyFill="1"/>
    <xf numFmtId="3" fontId="262" fillId="75" borderId="0" xfId="0" applyNumberFormat="1" applyFont="1" applyFill="1"/>
    <xf numFmtId="164" fontId="262" fillId="75" borderId="0" xfId="0" applyNumberFormat="1" applyFont="1" applyFill="1"/>
    <xf numFmtId="4" fontId="262" fillId="56" borderId="0" xfId="4" applyNumberFormat="1" applyFont="1" applyFill="1" applyAlignment="1">
      <alignment horizontal="right"/>
    </xf>
    <xf numFmtId="164" fontId="262" fillId="0" borderId="0" xfId="4" applyNumberFormat="1" applyFont="1" applyAlignment="1">
      <alignment horizontal="right"/>
    </xf>
    <xf numFmtId="0" fontId="262" fillId="0" borderId="0" xfId="4" applyFont="1" applyAlignment="1">
      <alignment horizontal="left"/>
    </xf>
    <xf numFmtId="0" fontId="262" fillId="53" borderId="0" xfId="4" applyFont="1" applyFill="1" applyAlignment="1">
      <alignment horizontal="left"/>
    </xf>
    <xf numFmtId="164" fontId="262" fillId="53" borderId="0" xfId="4" applyNumberFormat="1" applyFont="1" applyFill="1" applyAlignment="1">
      <alignment horizontal="right"/>
    </xf>
    <xf numFmtId="0" fontId="262" fillId="56" borderId="0" xfId="4" applyFont="1" applyFill="1" applyAlignment="1">
      <alignment horizontal="left"/>
    </xf>
    <xf numFmtId="3" fontId="262" fillId="56" borderId="36" xfId="4" applyNumberFormat="1" applyFont="1" applyFill="1" applyBorder="1"/>
    <xf numFmtId="0" fontId="265" fillId="56" borderId="0" xfId="4" applyFont="1" applyFill="1" applyAlignment="1">
      <alignment horizontal="left"/>
    </xf>
    <xf numFmtId="0" fontId="0" fillId="53" borderId="33" xfId="0" applyFill="1" applyBorder="1" applyAlignment="1">
      <alignment horizontal="left"/>
    </xf>
    <xf numFmtId="0" fontId="265" fillId="53" borderId="33" xfId="0" applyFont="1" applyFill="1" applyBorder="1" applyAlignment="1">
      <alignment horizontal="right"/>
    </xf>
    <xf numFmtId="0" fontId="265" fillId="0" borderId="33" xfId="4" applyFont="1" applyBorder="1" applyAlignment="1">
      <alignment horizontal="right"/>
    </xf>
    <xf numFmtId="0" fontId="265" fillId="0" borderId="33" xfId="0" applyFont="1" applyBorder="1" applyAlignment="1">
      <alignment horizontal="right"/>
    </xf>
    <xf numFmtId="0" fontId="262" fillId="56" borderId="0" xfId="0" applyFont="1" applyFill="1" applyAlignment="1">
      <alignment horizontal="left"/>
    </xf>
    <xf numFmtId="3" fontId="262" fillId="56" borderId="36" xfId="0" applyNumberFormat="1" applyFont="1" applyFill="1" applyBorder="1"/>
    <xf numFmtId="165" fontId="262" fillId="56" borderId="0" xfId="0" applyNumberFormat="1" applyFont="1" applyFill="1"/>
    <xf numFmtId="168" fontId="262" fillId="56" borderId="0" xfId="4" applyNumberFormat="1" applyFont="1" applyFill="1" applyAlignment="1">
      <alignment horizontal="right"/>
    </xf>
    <xf numFmtId="165" fontId="265" fillId="56" borderId="0" xfId="4" applyNumberFormat="1" applyFont="1" applyFill="1" applyAlignment="1">
      <alignment horizontal="right"/>
    </xf>
    <xf numFmtId="165" fontId="265" fillId="56" borderId="0" xfId="4" applyNumberFormat="1" applyFont="1" applyFill="1"/>
    <xf numFmtId="261" fontId="262" fillId="0" borderId="0" xfId="0" applyNumberFormat="1" applyFont="1"/>
    <xf numFmtId="1" fontId="0" fillId="77" borderId="0" xfId="0" applyNumberFormat="1" applyFill="1"/>
    <xf numFmtId="4" fontId="265" fillId="0" borderId="0" xfId="4" applyNumberFormat="1" applyFont="1"/>
    <xf numFmtId="0" fontId="320" fillId="0" borderId="0" xfId="1758" applyFont="1" applyAlignment="1" applyProtection="1"/>
    <xf numFmtId="0" fontId="322" fillId="0" borderId="62" xfId="2222" applyFont="1" applyBorder="1"/>
    <xf numFmtId="0" fontId="322" fillId="0" borderId="62" xfId="2222" applyFont="1" applyBorder="1" applyAlignment="1">
      <alignment horizontal="right"/>
    </xf>
    <xf numFmtId="0" fontId="323" fillId="0" borderId="62" xfId="2222" applyFont="1" applyBorder="1" applyAlignment="1">
      <alignment horizontal="right"/>
    </xf>
    <xf numFmtId="0" fontId="323" fillId="66" borderId="0" xfId="2222" applyFont="1" applyFill="1"/>
    <xf numFmtId="168" fontId="323" fillId="66" borderId="0" xfId="2222" applyNumberFormat="1" applyFont="1" applyFill="1"/>
    <xf numFmtId="0" fontId="323" fillId="66" borderId="0" xfId="2222" applyFont="1" applyFill="1" applyAlignment="1">
      <alignment horizontal="right"/>
    </xf>
    <xf numFmtId="165" fontId="323" fillId="66" borderId="0" xfId="2222" applyNumberFormat="1" applyFont="1" applyFill="1"/>
    <xf numFmtId="0" fontId="323" fillId="0" borderId="0" xfId="2222" applyFont="1"/>
    <xf numFmtId="3" fontId="323" fillId="66" borderId="0" xfId="2222" applyNumberFormat="1" applyFont="1" applyFill="1"/>
    <xf numFmtId="0" fontId="323" fillId="67" borderId="0" xfId="2222" applyFont="1" applyFill="1"/>
    <xf numFmtId="3" fontId="323" fillId="67" borderId="0" xfId="2222" applyNumberFormat="1" applyFont="1" applyFill="1"/>
    <xf numFmtId="0" fontId="323" fillId="67" borderId="0" xfId="2222" applyFont="1" applyFill="1" applyAlignment="1">
      <alignment horizontal="right"/>
    </xf>
    <xf numFmtId="164" fontId="323" fillId="67" borderId="0" xfId="2222" applyNumberFormat="1" applyFont="1" applyFill="1"/>
    <xf numFmtId="0" fontId="323" fillId="53" borderId="0" xfId="2222" applyFont="1" applyFill="1"/>
    <xf numFmtId="3" fontId="323" fillId="53" borderId="0" xfId="2222" applyNumberFormat="1" applyFont="1" applyFill="1"/>
    <xf numFmtId="0" fontId="323" fillId="53" borderId="0" xfId="2222" applyFont="1" applyFill="1" applyAlignment="1">
      <alignment horizontal="right"/>
    </xf>
    <xf numFmtId="165" fontId="323" fillId="53" borderId="0" xfId="2222" applyNumberFormat="1" applyFont="1" applyFill="1"/>
    <xf numFmtId="0" fontId="323" fillId="67" borderId="62" xfId="2222" applyFont="1" applyFill="1" applyBorder="1"/>
    <xf numFmtId="3" fontId="323" fillId="67" borderId="62" xfId="2222" applyNumberFormat="1" applyFont="1" applyFill="1" applyBorder="1"/>
    <xf numFmtId="0" fontId="323" fillId="56" borderId="0" xfId="2222" applyFont="1" applyFill="1"/>
    <xf numFmtId="3" fontId="323" fillId="56" borderId="0" xfId="2222" applyNumberFormat="1" applyFont="1" applyFill="1"/>
    <xf numFmtId="0" fontId="323" fillId="56" borderId="0" xfId="2222" applyFont="1" applyFill="1" applyAlignment="1">
      <alignment horizontal="right"/>
    </xf>
    <xf numFmtId="0" fontId="323" fillId="65" borderId="0" xfId="2222" applyFont="1" applyFill="1"/>
    <xf numFmtId="3" fontId="323" fillId="65" borderId="0" xfId="2222" applyNumberFormat="1" applyFont="1" applyFill="1"/>
    <xf numFmtId="0" fontId="323" fillId="65" borderId="0" xfId="2222" applyFont="1" applyFill="1" applyAlignment="1">
      <alignment horizontal="right"/>
    </xf>
    <xf numFmtId="164" fontId="323" fillId="65" borderId="0" xfId="2222" applyNumberFormat="1" applyFont="1" applyFill="1"/>
    <xf numFmtId="164" fontId="325" fillId="56" borderId="0" xfId="2222" applyNumberFormat="1" applyFont="1" applyFill="1" applyAlignment="1">
      <alignment horizontal="right"/>
    </xf>
    <xf numFmtId="164" fontId="325" fillId="53" borderId="0" xfId="2222" applyNumberFormat="1" applyFont="1" applyFill="1" applyAlignment="1">
      <alignment horizontal="right"/>
    </xf>
    <xf numFmtId="0" fontId="325" fillId="56" borderId="0" xfId="2222" applyFont="1" applyFill="1" applyAlignment="1">
      <alignment horizontal="right"/>
    </xf>
    <xf numFmtId="0" fontId="325" fillId="53" borderId="0" xfId="2222" applyFont="1" applyFill="1" applyAlignment="1">
      <alignment horizontal="right"/>
    </xf>
    <xf numFmtId="0" fontId="324" fillId="67" borderId="0" xfId="2222" applyFont="1" applyFill="1"/>
    <xf numFmtId="0" fontId="325" fillId="53" borderId="0" xfId="2222" applyFont="1" applyFill="1"/>
    <xf numFmtId="0" fontId="324" fillId="65" borderId="0" xfId="2222" applyFont="1" applyFill="1"/>
    <xf numFmtId="0" fontId="0" fillId="53" borderId="0" xfId="0" applyFill="1"/>
    <xf numFmtId="3" fontId="0" fillId="53" borderId="0" xfId="0" applyNumberFormat="1" applyFill="1"/>
    <xf numFmtId="325" fontId="323" fillId="67" borderId="0" xfId="2222" applyNumberFormat="1" applyFont="1" applyFill="1"/>
    <xf numFmtId="0" fontId="323" fillId="65" borderId="36" xfId="2222" applyFont="1" applyFill="1" applyBorder="1"/>
    <xf numFmtId="3" fontId="323" fillId="65" borderId="36" xfId="2222" applyNumberFormat="1" applyFont="1" applyFill="1" applyBorder="1"/>
    <xf numFmtId="164" fontId="323" fillId="67" borderId="0" xfId="2222" applyNumberFormat="1" applyFont="1" applyFill="1" applyAlignment="1">
      <alignment horizontal="right"/>
    </xf>
    <xf numFmtId="3" fontId="323" fillId="65" borderId="0" xfId="2222" applyNumberFormat="1" applyFont="1" applyFill="1" applyAlignment="1">
      <alignment horizontal="right"/>
    </xf>
    <xf numFmtId="164" fontId="323" fillId="65" borderId="0" xfId="2222" applyNumberFormat="1" applyFont="1" applyFill="1" applyAlignment="1">
      <alignment horizontal="right"/>
    </xf>
    <xf numFmtId="0" fontId="0" fillId="56" borderId="62" xfId="0" applyFill="1" applyBorder="1"/>
    <xf numFmtId="0" fontId="323" fillId="65" borderId="62" xfId="2222" applyFont="1" applyFill="1" applyBorder="1"/>
    <xf numFmtId="0" fontId="323" fillId="65" borderId="62" xfId="2222" applyFont="1" applyFill="1" applyBorder="1" applyAlignment="1">
      <alignment horizontal="right"/>
    </xf>
    <xf numFmtId="9" fontId="323" fillId="65" borderId="0" xfId="2222" applyNumberFormat="1" applyFont="1" applyFill="1"/>
    <xf numFmtId="9" fontId="323" fillId="67" borderId="0" xfId="2222" applyNumberFormat="1" applyFont="1" applyFill="1"/>
    <xf numFmtId="9" fontId="323" fillId="65" borderId="62" xfId="2222" applyNumberFormat="1" applyFont="1" applyFill="1" applyBorder="1"/>
    <xf numFmtId="165" fontId="323" fillId="67" borderId="0" xfId="2222" applyNumberFormat="1" applyFont="1" applyFill="1"/>
    <xf numFmtId="0" fontId="262" fillId="0" borderId="0" xfId="1896" applyFont="1"/>
    <xf numFmtId="0" fontId="265" fillId="0" borderId="33" xfId="1896" applyFont="1" applyBorder="1"/>
    <xf numFmtId="0" fontId="262" fillId="31" borderId="0" xfId="1896" applyFont="1" applyFill="1"/>
    <xf numFmtId="169" fontId="262" fillId="40" borderId="0" xfId="1541" applyNumberFormat="1" applyFont="1" applyFill="1"/>
    <xf numFmtId="0" fontId="262" fillId="40" borderId="0" xfId="1896" applyFont="1" applyFill="1"/>
    <xf numFmtId="0" fontId="262" fillId="40" borderId="0" xfId="1897" applyFont="1" applyFill="1"/>
    <xf numFmtId="169" fontId="262" fillId="40" borderId="0" xfId="1622" applyNumberFormat="1" applyFont="1" applyFill="1"/>
    <xf numFmtId="169" fontId="262" fillId="40" borderId="0" xfId="1897" applyNumberFormat="1" applyFont="1" applyFill="1"/>
    <xf numFmtId="169" fontId="262" fillId="31" borderId="0" xfId="1897" applyNumberFormat="1" applyFont="1" applyFill="1"/>
    <xf numFmtId="169" fontId="262" fillId="31" borderId="0" xfId="1622" applyNumberFormat="1" applyFont="1" applyFill="1"/>
    <xf numFmtId="172" fontId="262" fillId="40" borderId="0" xfId="1622" applyNumberFormat="1" applyFont="1" applyFill="1"/>
    <xf numFmtId="43" fontId="262" fillId="40" borderId="0" xfId="1897" applyNumberFormat="1" applyFont="1" applyFill="1"/>
    <xf numFmtId="43" fontId="262" fillId="31" borderId="0" xfId="1541" applyFont="1" applyFill="1"/>
    <xf numFmtId="172" fontId="262" fillId="40" borderId="0" xfId="1897" applyNumberFormat="1" applyFont="1" applyFill="1"/>
    <xf numFmtId="0" fontId="265" fillId="0" borderId="33" xfId="1897" applyFont="1" applyBorder="1"/>
    <xf numFmtId="169" fontId="262" fillId="31" borderId="0" xfId="1541" applyNumberFormat="1" applyFont="1" applyFill="1"/>
    <xf numFmtId="172" fontId="262" fillId="40" borderId="0" xfId="1541" applyNumberFormat="1" applyFont="1" applyFill="1"/>
    <xf numFmtId="164" fontId="262" fillId="40" borderId="0" xfId="1622" applyNumberFormat="1" applyFont="1" applyFill="1"/>
    <xf numFmtId="169" fontId="262" fillId="40" borderId="0" xfId="1622" applyNumberFormat="1" applyFont="1" applyFill="1" applyAlignment="1">
      <alignment horizontal="center"/>
    </xf>
    <xf numFmtId="0" fontId="262" fillId="0" borderId="0" xfId="1895" applyFont="1"/>
    <xf numFmtId="0" fontId="262" fillId="40" borderId="0" xfId="1895" applyFont="1" applyFill="1"/>
    <xf numFmtId="0" fontId="265" fillId="0" borderId="0" xfId="1895" applyFont="1" applyAlignment="1">
      <alignment horizontal="left"/>
    </xf>
    <xf numFmtId="0" fontId="262" fillId="0" borderId="0" xfId="1897" applyFont="1"/>
    <xf numFmtId="169" fontId="262" fillId="0" borderId="0" xfId="1897" applyNumberFormat="1" applyFont="1"/>
    <xf numFmtId="0" fontId="265" fillId="31" borderId="0" xfId="1896" applyFont="1" applyFill="1"/>
    <xf numFmtId="0" fontId="265" fillId="40" borderId="0" xfId="1897" applyFont="1" applyFill="1"/>
    <xf numFmtId="169" fontId="265" fillId="40" borderId="0" xfId="1541" applyNumberFormat="1" applyFont="1" applyFill="1"/>
    <xf numFmtId="0" fontId="265" fillId="0" borderId="0" xfId="1896" applyFont="1"/>
    <xf numFmtId="169" fontId="262" fillId="40" borderId="0" xfId="1622" applyNumberFormat="1" applyFont="1" applyFill="1" applyBorder="1"/>
    <xf numFmtId="0" fontId="262" fillId="40" borderId="0" xfId="4" applyFont="1" applyFill="1"/>
    <xf numFmtId="0" fontId="262" fillId="40" borderId="0" xfId="1903" applyFont="1" applyFill="1"/>
    <xf numFmtId="169" fontId="262" fillId="0" borderId="0" xfId="1622" applyNumberFormat="1" applyFont="1" applyFill="1"/>
    <xf numFmtId="38" fontId="262" fillId="40" borderId="0" xfId="1896" applyNumberFormat="1" applyFont="1" applyFill="1"/>
    <xf numFmtId="0" fontId="262" fillId="0" borderId="0" xfId="2133" applyFont="1"/>
    <xf numFmtId="0" fontId="265" fillId="0" borderId="33" xfId="2133" applyFont="1" applyBorder="1"/>
    <xf numFmtId="0" fontId="265" fillId="0" borderId="0" xfId="2133" applyFont="1" applyFill="1"/>
    <xf numFmtId="0" fontId="262" fillId="40" borderId="0" xfId="2133" applyFont="1" applyFill="1"/>
    <xf numFmtId="0" fontId="262" fillId="0" borderId="0" xfId="2133" applyFont="1" applyFill="1"/>
    <xf numFmtId="9" fontId="262" fillId="40" borderId="0" xfId="1941" applyFont="1" applyFill="1"/>
    <xf numFmtId="0" fontId="262" fillId="40" borderId="0" xfId="1838" applyFont="1" applyFill="1"/>
    <xf numFmtId="43" fontId="262" fillId="40" borderId="0" xfId="1838" applyNumberFormat="1" applyFont="1" applyFill="1"/>
    <xf numFmtId="0" fontId="262" fillId="0" borderId="0" xfId="1900" applyFont="1" applyAlignment="1">
      <alignment vertical="center"/>
    </xf>
    <xf numFmtId="0" fontId="262" fillId="40" borderId="0" xfId="1902" applyFont="1" applyFill="1"/>
    <xf numFmtId="9" fontId="262" fillId="40" borderId="0" xfId="1902" applyNumberFormat="1" applyFont="1" applyFill="1"/>
    <xf numFmtId="169" fontId="262" fillId="40" borderId="0" xfId="1838" applyNumberFormat="1" applyFont="1" applyFill="1"/>
    <xf numFmtId="169" fontId="262" fillId="79" borderId="0" xfId="1541" applyNumberFormat="1" applyFont="1" applyFill="1"/>
    <xf numFmtId="330" fontId="0" fillId="0" borderId="0" xfId="0" applyNumberFormat="1"/>
    <xf numFmtId="3" fontId="317" fillId="0" borderId="0" xfId="0" applyNumberFormat="1" applyFont="1"/>
    <xf numFmtId="164" fontId="294" fillId="0" borderId="36" xfId="0" applyNumberFormat="1" applyFont="1" applyBorder="1" applyAlignment="1">
      <alignment horizontal="right"/>
    </xf>
    <xf numFmtId="3" fontId="269" fillId="49" borderId="0" xfId="0" applyNumberFormat="1" applyFont="1" applyFill="1"/>
    <xf numFmtId="3" fontId="262" fillId="28" borderId="9" xfId="0" applyNumberFormat="1" applyFont="1" applyFill="1" applyBorder="1"/>
    <xf numFmtId="3" fontId="262" fillId="28" borderId="36" xfId="0" applyNumberFormat="1" applyFont="1" applyFill="1" applyBorder="1"/>
    <xf numFmtId="3" fontId="300" fillId="0" borderId="0" xfId="0" applyNumberFormat="1" applyFont="1"/>
    <xf numFmtId="3" fontId="297" fillId="28" borderId="0" xfId="0" applyNumberFormat="1" applyFont="1" applyFill="1"/>
    <xf numFmtId="3" fontId="297" fillId="0" borderId="0" xfId="0" applyNumberFormat="1" applyFont="1"/>
    <xf numFmtId="3" fontId="312" fillId="0" borderId="9" xfId="0" applyNumberFormat="1" applyFont="1" applyBorder="1"/>
    <xf numFmtId="3" fontId="297" fillId="28" borderId="9" xfId="0" applyNumberFormat="1" applyFont="1" applyFill="1" applyBorder="1"/>
    <xf numFmtId="3" fontId="309" fillId="0" borderId="36" xfId="0" applyNumberFormat="1" applyFont="1" applyBorder="1"/>
    <xf numFmtId="3" fontId="265" fillId="28" borderId="36" xfId="0" applyNumberFormat="1" applyFont="1" applyFill="1" applyBorder="1"/>
    <xf numFmtId="3" fontId="313" fillId="0" borderId="0" xfId="0" applyNumberFormat="1" applyFont="1"/>
    <xf numFmtId="3" fontId="297" fillId="0" borderId="9" xfId="0" applyNumberFormat="1" applyFont="1" applyBorder="1"/>
    <xf numFmtId="168" fontId="262" fillId="0" borderId="0" xfId="0" applyNumberFormat="1" applyFont="1"/>
    <xf numFmtId="168" fontId="262" fillId="28" borderId="0" xfId="0" applyNumberFormat="1" applyFont="1" applyFill="1"/>
    <xf numFmtId="168" fontId="265" fillId="0" borderId="36" xfId="0" applyNumberFormat="1" applyFont="1" applyBorder="1"/>
    <xf numFmtId="168" fontId="265" fillId="28" borderId="36" xfId="0" applyNumberFormat="1" applyFont="1" applyFill="1" applyBorder="1"/>
    <xf numFmtId="3" fontId="269" fillId="70" borderId="0" xfId="0" applyNumberFormat="1" applyFont="1" applyFill="1"/>
    <xf numFmtId="3" fontId="269" fillId="31" borderId="0" xfId="0" applyNumberFormat="1" applyFont="1" applyFill="1"/>
    <xf numFmtId="3" fontId="269" fillId="0" borderId="36" xfId="0" applyNumberFormat="1" applyFont="1" applyBorder="1"/>
    <xf numFmtId="3" fontId="265" fillId="28" borderId="0" xfId="0" applyNumberFormat="1" applyFont="1" applyFill="1"/>
    <xf numFmtId="3" fontId="309" fillId="0" borderId="0" xfId="0" applyNumberFormat="1" applyFont="1"/>
    <xf numFmtId="3" fontId="306" fillId="0" borderId="0" xfId="0" applyNumberFormat="1" applyFont="1"/>
    <xf numFmtId="3" fontId="265" fillId="31" borderId="0" xfId="0" applyNumberFormat="1" applyFont="1" applyFill="1"/>
    <xf numFmtId="3" fontId="309" fillId="73" borderId="0" xfId="0" applyNumberFormat="1" applyFont="1" applyFill="1"/>
    <xf numFmtId="3" fontId="262" fillId="31" borderId="62" xfId="0" applyNumberFormat="1" applyFont="1" applyFill="1" applyBorder="1"/>
    <xf numFmtId="164" fontId="262" fillId="0" borderId="62" xfId="0" applyNumberFormat="1" applyFont="1" applyBorder="1"/>
    <xf numFmtId="165" fontId="280" fillId="0" borderId="0" xfId="4" applyNumberFormat="1" applyFont="1"/>
    <xf numFmtId="3" fontId="326" fillId="0" borderId="0" xfId="0" applyNumberFormat="1" applyFont="1"/>
    <xf numFmtId="3" fontId="326" fillId="0" borderId="9" xfId="0" applyNumberFormat="1" applyFont="1" applyBorder="1"/>
    <xf numFmtId="3" fontId="327" fillId="0" borderId="36" xfId="0" applyNumberFormat="1" applyFont="1" applyBorder="1"/>
    <xf numFmtId="3" fontId="326" fillId="0" borderId="36" xfId="0" applyNumberFormat="1" applyFont="1" applyBorder="1"/>
    <xf numFmtId="3" fontId="262" fillId="80" borderId="0" xfId="0" applyNumberFormat="1" applyFont="1" applyFill="1"/>
    <xf numFmtId="3" fontId="262" fillId="80" borderId="9" xfId="0" applyNumberFormat="1" applyFont="1" applyFill="1" applyBorder="1"/>
    <xf numFmtId="3" fontId="265" fillId="80" borderId="0" xfId="0" applyNumberFormat="1" applyFont="1" applyFill="1"/>
    <xf numFmtId="206" fontId="262" fillId="80" borderId="0" xfId="4" applyNumberFormat="1" applyFont="1" applyFill="1"/>
    <xf numFmtId="3" fontId="269" fillId="0" borderId="0" xfId="4" applyNumberFormat="1" applyFont="1"/>
    <xf numFmtId="1" fontId="262" fillId="77" borderId="0" xfId="4" applyNumberFormat="1" applyFont="1" applyFill="1"/>
    <xf numFmtId="0" fontId="269" fillId="0" borderId="0" xfId="4" applyFont="1"/>
    <xf numFmtId="168" fontId="269" fillId="0" borderId="0" xfId="4" applyNumberFormat="1" applyFont="1"/>
    <xf numFmtId="4" fontId="269" fillId="0" borderId="0" xfId="4" applyNumberFormat="1" applyFont="1"/>
    <xf numFmtId="164" fontId="262" fillId="77" borderId="0" xfId="4" applyNumberFormat="1" applyFont="1" applyFill="1"/>
    <xf numFmtId="0" fontId="262" fillId="78" borderId="0" xfId="0" applyFont="1" applyFill="1"/>
    <xf numFmtId="9" fontId="262" fillId="77" borderId="0" xfId="0" applyNumberFormat="1" applyFont="1" applyFill="1"/>
    <xf numFmtId="3" fontId="262" fillId="77" borderId="0" xfId="0" applyNumberFormat="1" applyFont="1" applyFill="1"/>
    <xf numFmtId="3" fontId="262" fillId="0" borderId="33" xfId="0" applyNumberFormat="1" applyFont="1" applyBorder="1"/>
    <xf numFmtId="0" fontId="328" fillId="0" borderId="0" xfId="0" applyFont="1"/>
    <xf numFmtId="3" fontId="328" fillId="0" borderId="0" xfId="4" applyNumberFormat="1" applyFont="1"/>
    <xf numFmtId="9" fontId="1" fillId="0" borderId="0" xfId="1941" applyFont="1"/>
    <xf numFmtId="0" fontId="262" fillId="75" borderId="6" xfId="0" applyFont="1" applyFill="1" applyBorder="1"/>
    <xf numFmtId="164" fontId="306" fillId="0" borderId="0" xfId="0" applyNumberFormat="1" applyFont="1"/>
    <xf numFmtId="165" fontId="306" fillId="0" borderId="0" xfId="0" applyNumberFormat="1" applyFont="1"/>
    <xf numFmtId="0" fontId="262" fillId="75" borderId="0" xfId="0" applyFont="1" applyFill="1" applyAlignment="1">
      <alignment horizontal="left"/>
    </xf>
    <xf numFmtId="165" fontId="326" fillId="0" borderId="0" xfId="0" applyNumberFormat="1" applyFont="1"/>
    <xf numFmtId="165" fontId="326" fillId="0" borderId="9" xfId="0" applyNumberFormat="1" applyFont="1" applyBorder="1"/>
    <xf numFmtId="1" fontId="327" fillId="0" borderId="36" xfId="0" applyNumberFormat="1" applyFont="1" applyBorder="1"/>
    <xf numFmtId="1" fontId="327" fillId="0" borderId="0" xfId="0" applyNumberFormat="1" applyFont="1"/>
    <xf numFmtId="3" fontId="262" fillId="49" borderId="9" xfId="0" applyNumberFormat="1" applyFont="1" applyFill="1" applyBorder="1"/>
    <xf numFmtId="3" fontId="328" fillId="0" borderId="0" xfId="0" applyNumberFormat="1" applyFont="1"/>
    <xf numFmtId="0" fontId="262" fillId="57" borderId="0" xfId="0" applyFont="1" applyFill="1"/>
    <xf numFmtId="1" fontId="262" fillId="49" borderId="0" xfId="4" applyNumberFormat="1" applyFont="1" applyFill="1"/>
    <xf numFmtId="17" fontId="2" fillId="0" borderId="62" xfId="4" applyNumberFormat="1" applyFont="1" applyBorder="1" applyAlignment="1">
      <alignment horizontal="right"/>
    </xf>
    <xf numFmtId="3" fontId="0" fillId="0" borderId="62" xfId="4" applyNumberFormat="1" applyFont="1" applyBorder="1"/>
    <xf numFmtId="17" fontId="0" fillId="0" borderId="62" xfId="4" applyNumberFormat="1" applyFont="1" applyBorder="1" applyAlignment="1">
      <alignment horizontal="right"/>
    </xf>
    <xf numFmtId="1" fontId="0" fillId="0" borderId="62" xfId="4" applyNumberFormat="1" applyFont="1" applyBorder="1"/>
    <xf numFmtId="0" fontId="2" fillId="0" borderId="62" xfId="0" applyFont="1" applyBorder="1" applyAlignment="1">
      <alignment horizontal="right"/>
    </xf>
    <xf numFmtId="168" fontId="328" fillId="0" borderId="0" xfId="4" applyNumberFormat="1" applyFont="1"/>
    <xf numFmtId="0" fontId="265" fillId="0" borderId="36" xfId="4" applyFont="1" applyBorder="1"/>
    <xf numFmtId="3" fontId="265" fillId="0" borderId="36" xfId="4" applyNumberFormat="1" applyFont="1" applyBorder="1"/>
    <xf numFmtId="1" fontId="265" fillId="25" borderId="36" xfId="4" applyNumberFormat="1" applyFont="1" applyFill="1" applyBorder="1"/>
    <xf numFmtId="1" fontId="265" fillId="0" borderId="36" xfId="4" applyNumberFormat="1" applyFont="1" applyBorder="1"/>
    <xf numFmtId="166" fontId="265" fillId="56" borderId="0" xfId="1901" applyNumberFormat="1" applyFont="1" applyFill="1"/>
    <xf numFmtId="0" fontId="265" fillId="56" borderId="9" xfId="4" applyFont="1" applyFill="1" applyBorder="1"/>
    <xf numFmtId="166" fontId="265" fillId="56" borderId="9" xfId="1901" applyNumberFormat="1" applyFont="1" applyFill="1" applyBorder="1"/>
    <xf numFmtId="167" fontId="268" fillId="63" borderId="9" xfId="1901" applyNumberFormat="1" applyFont="1" applyFill="1" applyBorder="1"/>
    <xf numFmtId="0" fontId="268" fillId="63" borderId="9" xfId="4" applyFont="1" applyFill="1" applyBorder="1" applyAlignment="1">
      <alignment horizontal="right"/>
    </xf>
    <xf numFmtId="3" fontId="260" fillId="0" borderId="0" xfId="0" applyNumberFormat="1" applyFont="1" applyAlignment="1">
      <alignment horizontal="right" vertical="center"/>
    </xf>
    <xf numFmtId="164" fontId="255" fillId="0" borderId="0" xfId="1941" applyNumberFormat="1" applyFont="1" applyFill="1" applyAlignment="1">
      <alignment horizontal="right"/>
    </xf>
    <xf numFmtId="206" fontId="255" fillId="0" borderId="0" xfId="0" applyNumberFormat="1" applyFont="1" applyAlignment="1">
      <alignment horizontal="right" vertical="center"/>
    </xf>
    <xf numFmtId="206" fontId="260" fillId="0" borderId="0" xfId="0" applyNumberFormat="1" applyFont="1" applyAlignment="1">
      <alignment horizontal="right" vertical="center"/>
    </xf>
    <xf numFmtId="206" fontId="261" fillId="0" borderId="0" xfId="0" applyNumberFormat="1" applyFont="1" applyAlignment="1">
      <alignment horizontal="right" vertical="center"/>
    </xf>
    <xf numFmtId="238" fontId="261" fillId="0" borderId="0" xfId="0" applyNumberFormat="1" applyFont="1" applyAlignment="1">
      <alignment horizontal="right" vertical="center"/>
    </xf>
    <xf numFmtId="0" fontId="275" fillId="0" borderId="0" xfId="0" applyFont="1" applyAlignment="1">
      <alignment horizontal="right"/>
    </xf>
    <xf numFmtId="0" fontId="276" fillId="0" borderId="0" xfId="0" applyFont="1" applyAlignment="1">
      <alignment horizontal="right"/>
    </xf>
    <xf numFmtId="1" fontId="329" fillId="0" borderId="0" xfId="0" applyNumberFormat="1" applyFont="1"/>
    <xf numFmtId="0" fontId="306" fillId="0" borderId="0" xfId="0" applyFont="1"/>
    <xf numFmtId="0" fontId="275" fillId="68" borderId="0" xfId="0" applyFont="1" applyFill="1"/>
    <xf numFmtId="165" fontId="329" fillId="0" borderId="36" xfId="0" applyNumberFormat="1" applyFont="1" applyBorder="1"/>
    <xf numFmtId="0" fontId="262" fillId="0" borderId="0" xfId="0" applyFont="1" applyAlignment="1">
      <alignment horizontal="left" indent="1"/>
    </xf>
    <xf numFmtId="1" fontId="330" fillId="0" borderId="0" xfId="4" applyNumberFormat="1" applyFont="1"/>
    <xf numFmtId="3" fontId="262" fillId="0" borderId="0" xfId="4" applyNumberFormat="1" applyFont="1" applyAlignment="1">
      <alignment horizontal="left" indent="1"/>
    </xf>
    <xf numFmtId="3" fontId="265" fillId="80" borderId="33" xfId="0" applyNumberFormat="1" applyFont="1" applyFill="1" applyBorder="1"/>
    <xf numFmtId="330" fontId="293" fillId="0" borderId="0" xfId="0" applyNumberFormat="1" applyFont="1"/>
    <xf numFmtId="3" fontId="288" fillId="55" borderId="57" xfId="0" applyNumberFormat="1" applyFont="1" applyFill="1" applyBorder="1" applyAlignment="1">
      <alignment horizontal="right" vertical="center"/>
    </xf>
    <xf numFmtId="0" fontId="262" fillId="81" borderId="0" xfId="1896" applyFont="1" applyFill="1"/>
    <xf numFmtId="0" fontId="262" fillId="82" borderId="0" xfId="1896" applyFont="1" applyFill="1"/>
    <xf numFmtId="169" fontId="262" fillId="82" borderId="0" xfId="1622" applyNumberFormat="1" applyFont="1" applyFill="1" applyBorder="1"/>
    <xf numFmtId="3" fontId="262" fillId="82" borderId="0" xfId="1622" applyNumberFormat="1" applyFont="1" applyFill="1" applyBorder="1"/>
    <xf numFmtId="1" fontId="262" fillId="82" borderId="0" xfId="1896" applyNumberFormat="1" applyFont="1" applyFill="1"/>
    <xf numFmtId="0" fontId="265" fillId="81" borderId="36" xfId="8" applyFont="1" applyFill="1" applyBorder="1"/>
    <xf numFmtId="0" fontId="262" fillId="82" borderId="36" xfId="1896" applyFont="1" applyFill="1" applyBorder="1"/>
    <xf numFmtId="1" fontId="262" fillId="82" borderId="36" xfId="1896" applyNumberFormat="1" applyFont="1" applyFill="1" applyBorder="1"/>
    <xf numFmtId="169" fontId="265" fillId="82" borderId="36" xfId="1622" applyNumberFormat="1" applyFont="1" applyFill="1" applyBorder="1"/>
    <xf numFmtId="0" fontId="265" fillId="81" borderId="0" xfId="8" applyFont="1" applyFill="1"/>
    <xf numFmtId="0" fontId="262" fillId="81" borderId="36" xfId="1896" applyFont="1" applyFill="1" applyBorder="1"/>
    <xf numFmtId="169" fontId="262" fillId="82" borderId="36" xfId="1622" applyNumberFormat="1" applyFont="1" applyFill="1" applyBorder="1"/>
    <xf numFmtId="0" fontId="265" fillId="81" borderId="36" xfId="1896" applyFont="1" applyFill="1" applyBorder="1"/>
    <xf numFmtId="169" fontId="293" fillId="82" borderId="0" xfId="1622" applyNumberFormat="1" applyFont="1" applyFill="1" applyBorder="1"/>
    <xf numFmtId="0" fontId="1" fillId="0" borderId="0" xfId="1895" applyFont="1"/>
    <xf numFmtId="0" fontId="276" fillId="52" borderId="0" xfId="0" applyFont="1" applyFill="1" applyAlignment="1">
      <alignment horizontal="center" wrapText="1"/>
    </xf>
    <xf numFmtId="0" fontId="278" fillId="52" borderId="0" xfId="0" applyFont="1" applyFill="1" applyAlignment="1">
      <alignment horizontal="center" wrapText="1"/>
    </xf>
    <xf numFmtId="0" fontId="276" fillId="52" borderId="0" xfId="0" applyFont="1" applyFill="1" applyAlignment="1">
      <alignment horizontal="center" vertical="center" wrapText="1"/>
    </xf>
    <xf numFmtId="0" fontId="278" fillId="52" borderId="0" xfId="0" applyFont="1" applyFill="1" applyAlignment="1">
      <alignment horizontal="left"/>
    </xf>
    <xf numFmtId="0" fontId="276" fillId="52" borderId="0" xfId="0" applyFont="1" applyFill="1" applyAlignment="1">
      <alignment horizontal="center" vertical="center"/>
    </xf>
    <xf numFmtId="0" fontId="276" fillId="71" borderId="0" xfId="0" applyFont="1" applyFill="1" applyAlignment="1">
      <alignment horizontal="center" vertical="center"/>
    </xf>
    <xf numFmtId="0" fontId="276" fillId="71" borderId="0" xfId="0" applyFont="1" applyFill="1" applyAlignment="1">
      <alignment horizontal="center" vertical="center" wrapText="1"/>
    </xf>
    <xf numFmtId="0" fontId="276" fillId="72" borderId="0" xfId="0" applyFont="1" applyFill="1" applyAlignment="1">
      <alignment horizontal="center" vertical="center"/>
    </xf>
    <xf numFmtId="0" fontId="0" fillId="0" borderId="0" xfId="0"/>
    <xf numFmtId="0" fontId="273" fillId="0" borderId="0" xfId="0" applyFont="1" applyAlignment="1">
      <alignment horizontal="center"/>
    </xf>
  </cellXfs>
  <cellStyles count="2223">
    <cellStyle name="-" xfId="1" xr:uid="{00000000-0005-0000-0000-000000000000}"/>
    <cellStyle name="_x000a_386grabber=M" xfId="2" xr:uid="{00000000-0005-0000-0000-000001000000}"/>
    <cellStyle name="_x000a_386grabber=M 2" xfId="3" xr:uid="{00000000-0005-0000-0000-000002000000}"/>
    <cellStyle name="%" xfId="4" xr:uid="{00000000-0005-0000-0000-000003000000}"/>
    <cellStyle name="% 2" xfId="5" xr:uid="{00000000-0005-0000-0000-000004000000}"/>
    <cellStyle name="% 2 2" xfId="6" xr:uid="{00000000-0005-0000-0000-000005000000}"/>
    <cellStyle name="% 2 3" xfId="7" xr:uid="{00000000-0005-0000-0000-000006000000}"/>
    <cellStyle name="% 3" xfId="8" xr:uid="{00000000-0005-0000-0000-000007000000}"/>
    <cellStyle name="% 4" xfId="9" xr:uid="{00000000-0005-0000-0000-000008000000}"/>
    <cellStyle name="%_~4513605" xfId="10" xr:uid="{00000000-0005-0000-0000-000009000000}"/>
    <cellStyle name="%_~7459018" xfId="11" xr:uid="{00000000-0005-0000-0000-00000A000000}"/>
    <cellStyle name="%_081022 Millicom analyst estimates" xfId="12" xr:uid="{00000000-0005-0000-0000-00000B000000}"/>
    <cellStyle name="%_090407 Millicom analyst TEMPLATE" xfId="13" xr:uid="{00000000-0005-0000-0000-00000C000000}"/>
    <cellStyle name="%_MTN WIP 1" xfId="14" xr:uid="{00000000-0005-0000-0000-00000D000000}"/>
    <cellStyle name="%_MTN WIP 1 2" xfId="15" xr:uid="{00000000-0005-0000-0000-00000E000000}"/>
    <cellStyle name="%_VIP_WIP" xfId="16" xr:uid="{00000000-0005-0000-0000-00000F000000}"/>
    <cellStyle name="%_VIP_WIP 2" xfId="17" xr:uid="{00000000-0005-0000-0000-000010000000}"/>
    <cellStyle name="%_Vodacom WIP" xfId="18" xr:uid="{00000000-0005-0000-0000-000011000000}"/>
    <cellStyle name="%_Vodacom WIP 2" xfId="19" xr:uid="{00000000-0005-0000-0000-000012000000}"/>
    <cellStyle name="******************************************" xfId="20" xr:uid="{00000000-0005-0000-0000-000013000000}"/>
    <cellStyle name="?Q\?1@" xfId="21" xr:uid="{00000000-0005-0000-0000-000014000000}"/>
    <cellStyle name="?Q\?1@ 2" xfId="22" xr:uid="{00000000-0005-0000-0000-000015000000}"/>
    <cellStyle name="_Comma" xfId="23" xr:uid="{00000000-0005-0000-0000-000016000000}"/>
    <cellStyle name="_Comma_3G Models" xfId="24" xr:uid="{00000000-0005-0000-0000-000017000000}"/>
    <cellStyle name="_Comma_FT-6June2001" xfId="25" xr:uid="{00000000-0005-0000-0000-000018000000}"/>
    <cellStyle name="_Comma_FT-6June2001_Orange WIP Feb 04" xfId="26" xr:uid="{00000000-0005-0000-0000-000019000000}"/>
    <cellStyle name="_Comma_MIC-08Q4-SME" xfId="27" xr:uid="{00000000-0005-0000-0000-00001A000000}"/>
    <cellStyle name="_Comma_Orange WIP Feb 04" xfId="28" xr:uid="{00000000-0005-0000-0000-00001B000000}"/>
    <cellStyle name="_Comma_Orange-Mar01" xfId="29" xr:uid="{00000000-0005-0000-0000-00001C000000}"/>
    <cellStyle name="_Comma_Orange-Mar01_Telefonica Group August 12 2002" xfId="30" xr:uid="{00000000-0005-0000-0000-00001D000000}"/>
    <cellStyle name="_Comma_Orange-May01" xfId="31" xr:uid="{00000000-0005-0000-0000-00001E000000}"/>
    <cellStyle name="_Comma_Orange-May01_Telefonica Group August 12 2002" xfId="32" xr:uid="{00000000-0005-0000-0000-00001F000000}"/>
    <cellStyle name="_Comma_Telefonica Moviles" xfId="33" xr:uid="{00000000-0005-0000-0000-000020000000}"/>
    <cellStyle name="_Comma_TelenorInitiation-11Jan01" xfId="34" xr:uid="{00000000-0005-0000-0000-000021000000}"/>
    <cellStyle name="_Comma_TelenorInitiation-11Jan01_Telefonica Group August 12 2002" xfId="35" xr:uid="{00000000-0005-0000-0000-000022000000}"/>
    <cellStyle name="_Comma_TelenorWIPFeb01" xfId="36" xr:uid="{00000000-0005-0000-0000-000023000000}"/>
    <cellStyle name="_Comma_TelenorWIPFeb01_Telefonica Group August 12 2002" xfId="37" xr:uid="{00000000-0005-0000-0000-000024000000}"/>
    <cellStyle name="_Currency" xfId="38" xr:uid="{00000000-0005-0000-0000-000025000000}"/>
    <cellStyle name="_Currency_3G Models" xfId="39" xr:uid="{00000000-0005-0000-0000-000026000000}"/>
    <cellStyle name="_Currency_Book1" xfId="40" xr:uid="{00000000-0005-0000-0000-000027000000}"/>
    <cellStyle name="_Currency_Book1_3G Models" xfId="41" xr:uid="{00000000-0005-0000-0000-000028000000}"/>
    <cellStyle name="_Currency_Book1_FT-6June2001" xfId="42" xr:uid="{00000000-0005-0000-0000-000029000000}"/>
    <cellStyle name="_Currency_Book1_Jazztel model 16DP3-Exhibits" xfId="43" xr:uid="{00000000-0005-0000-0000-00002A000000}"/>
    <cellStyle name="_Currency_Book1_Jazztel model 16DP3-Exhibits_3G Models" xfId="44" xr:uid="{00000000-0005-0000-0000-00002B000000}"/>
    <cellStyle name="_Currency_Book1_Jazztel model 16DP3-Exhibits_Orange WIP Feb 04" xfId="45" xr:uid="{00000000-0005-0000-0000-00002C000000}"/>
    <cellStyle name="_Currency_Book1_Jazztel model 16DP3-Exhibits_Orange-Mar01" xfId="46" xr:uid="{00000000-0005-0000-0000-00002D000000}"/>
    <cellStyle name="_Currency_Book1_Jazztel model 16DP3-Exhibits_Orange-May01" xfId="47" xr:uid="{00000000-0005-0000-0000-00002E000000}"/>
    <cellStyle name="_Currency_Book1_Jazztel model 16DP3-Exhibits_Orange-May01_FT-6June2001" xfId="48" xr:uid="{00000000-0005-0000-0000-00002F000000}"/>
    <cellStyle name="_Currency_Book1_Jazztel model 16DP3-Exhibits_Orange-May01_FT-6June2001_Orange WIP Feb 04" xfId="49" xr:uid="{00000000-0005-0000-0000-000030000000}"/>
    <cellStyle name="_Currency_Book1_Jazztel model 16DP3-Exhibits_Orange-May01_Orange WIP Feb 04" xfId="50" xr:uid="{00000000-0005-0000-0000-000031000000}"/>
    <cellStyle name="_Currency_Book1_Jazztel model 16DP3-Exhibits_Orange-May01_Telefonica Moviles" xfId="51" xr:uid="{00000000-0005-0000-0000-000032000000}"/>
    <cellStyle name="_Currency_Book1_Jazztel model 16DP3-Exhibits_T_MOBIL2" xfId="52" xr:uid="{00000000-0005-0000-0000-000033000000}"/>
    <cellStyle name="_Currency_Book1_Jazztel model 16DP3-Exhibits_T_MOBIL2_Orange WIP Feb 04" xfId="53" xr:uid="{00000000-0005-0000-0000-000034000000}"/>
    <cellStyle name="_Currency_Book1_Jazztel model 16DP3-Exhibits_T_MOBIL2_Orange-May01" xfId="54" xr:uid="{00000000-0005-0000-0000-000035000000}"/>
    <cellStyle name="_Currency_Book1_Jazztel model 16DP3-Exhibits_T_MOBIL2_Orange-May01_Orange WIP Feb 04" xfId="55" xr:uid="{00000000-0005-0000-0000-000036000000}"/>
    <cellStyle name="_Currency_Book1_Jazztel model 16DP3-Exhibits_T_MOBIL2_Telefonica Moviles" xfId="56" xr:uid="{00000000-0005-0000-0000-000037000000}"/>
    <cellStyle name="_Currency_Book1_Jazztel model 16DP3-Exhibits_Telefonica Moviles" xfId="57" xr:uid="{00000000-0005-0000-0000-000038000000}"/>
    <cellStyle name="_Currency_Book1_Jazztel model 16DP3-Exhibits_TelenorInitiation-11Jan01" xfId="58" xr:uid="{00000000-0005-0000-0000-000039000000}"/>
    <cellStyle name="_Currency_Book1_Jazztel model 16DP3-Exhibits_TelenorWIPFeb01" xfId="59" xr:uid="{00000000-0005-0000-0000-00003A000000}"/>
    <cellStyle name="_Currency_Book1_Jazztel model 18DP-exhibits" xfId="60" xr:uid="{00000000-0005-0000-0000-00003B000000}"/>
    <cellStyle name="_Currency_Book1_Jazztel model 18DP-exhibits_3G Models" xfId="61" xr:uid="{00000000-0005-0000-0000-00003C000000}"/>
    <cellStyle name="_Currency_Book1_Orange WIP Feb 04" xfId="62" xr:uid="{00000000-0005-0000-0000-00003D000000}"/>
    <cellStyle name="_Currency_Book1_Orange WIP Feb 04 2" xfId="63" xr:uid="{00000000-0005-0000-0000-00003E000000}"/>
    <cellStyle name="_Currency_Book1_Orange-May01" xfId="64" xr:uid="{00000000-0005-0000-0000-00003F000000}"/>
    <cellStyle name="_Currency_Book1_Orange-Sep01" xfId="65" xr:uid="{00000000-0005-0000-0000-000040000000}"/>
    <cellStyle name="_Currency_Book1_Orange-Sep01 2" xfId="66" xr:uid="{00000000-0005-0000-0000-000041000000}"/>
    <cellStyle name="_Currency_Book1_Telefonica Moviles" xfId="67" xr:uid="{00000000-0005-0000-0000-000042000000}"/>
    <cellStyle name="_Currency_Book2" xfId="68" xr:uid="{00000000-0005-0000-0000-000043000000}"/>
    <cellStyle name="_Currency_Book2_3G Models" xfId="69" xr:uid="{00000000-0005-0000-0000-000044000000}"/>
    <cellStyle name="_Currency_Book2_FT-6June2001" xfId="70" xr:uid="{00000000-0005-0000-0000-000045000000}"/>
    <cellStyle name="_Currency_Book2_Jazztel model 16DP3-Exhibits" xfId="71" xr:uid="{00000000-0005-0000-0000-000046000000}"/>
    <cellStyle name="_Currency_Book2_Jazztel model 16DP3-Exhibits_3G Models" xfId="72" xr:uid="{00000000-0005-0000-0000-000047000000}"/>
    <cellStyle name="_Currency_Book2_Jazztel model 16DP3-Exhibits_Orange WIP Feb 04" xfId="73" xr:uid="{00000000-0005-0000-0000-000048000000}"/>
    <cellStyle name="_Currency_Book2_Jazztel model 16DP3-Exhibits_Orange-Mar01" xfId="74" xr:uid="{00000000-0005-0000-0000-000049000000}"/>
    <cellStyle name="_Currency_Book2_Jazztel model 16DP3-Exhibits_Orange-May01" xfId="75" xr:uid="{00000000-0005-0000-0000-00004A000000}"/>
    <cellStyle name="_Currency_Book2_Jazztel model 16DP3-Exhibits_Orange-May01_FT-6June2001" xfId="76" xr:uid="{00000000-0005-0000-0000-00004B000000}"/>
    <cellStyle name="_Currency_Book2_Jazztel model 16DP3-Exhibits_Orange-May01_FT-6June2001_Orange WIP Feb 04" xfId="77" xr:uid="{00000000-0005-0000-0000-00004C000000}"/>
    <cellStyle name="_Currency_Book2_Jazztel model 16DP3-Exhibits_Orange-May01_Orange WIP Feb 04" xfId="78" xr:uid="{00000000-0005-0000-0000-00004D000000}"/>
    <cellStyle name="_Currency_Book2_Jazztel model 16DP3-Exhibits_Orange-May01_Telefonica Moviles" xfId="79" xr:uid="{00000000-0005-0000-0000-00004E000000}"/>
    <cellStyle name="_Currency_Book2_Jazztel model 16DP3-Exhibits_T_MOBIL2" xfId="80" xr:uid="{00000000-0005-0000-0000-00004F000000}"/>
    <cellStyle name="_Currency_Book2_Jazztel model 16DP3-Exhibits_T_MOBIL2_Orange WIP Feb 04" xfId="81" xr:uid="{00000000-0005-0000-0000-000050000000}"/>
    <cellStyle name="_Currency_Book2_Jazztel model 16DP3-Exhibits_T_MOBIL2_Orange-May01" xfId="82" xr:uid="{00000000-0005-0000-0000-000051000000}"/>
    <cellStyle name="_Currency_Book2_Jazztel model 16DP3-Exhibits_T_MOBIL2_Orange-May01_Orange WIP Feb 04" xfId="83" xr:uid="{00000000-0005-0000-0000-000052000000}"/>
    <cellStyle name="_Currency_Book2_Jazztel model 16DP3-Exhibits_T_MOBIL2_Telefonica Moviles" xfId="84" xr:uid="{00000000-0005-0000-0000-000053000000}"/>
    <cellStyle name="_Currency_Book2_Jazztel model 16DP3-Exhibits_Telefonica Moviles" xfId="85" xr:uid="{00000000-0005-0000-0000-000054000000}"/>
    <cellStyle name="_Currency_Book2_Jazztel model 16DP3-Exhibits_TelenorInitiation-11Jan01" xfId="86" xr:uid="{00000000-0005-0000-0000-000055000000}"/>
    <cellStyle name="_Currency_Book2_Jazztel model 16DP3-Exhibits_TelenorWIPFeb01" xfId="87" xr:uid="{00000000-0005-0000-0000-000056000000}"/>
    <cellStyle name="_Currency_Book2_Jazztel model 18DP-exhibits" xfId="88" xr:uid="{00000000-0005-0000-0000-000057000000}"/>
    <cellStyle name="_Currency_Book2_Jazztel model 18DP-exhibits_3G Models" xfId="89" xr:uid="{00000000-0005-0000-0000-000058000000}"/>
    <cellStyle name="_Currency_Book2_Orange WIP Feb 04" xfId="90" xr:uid="{00000000-0005-0000-0000-000059000000}"/>
    <cellStyle name="_Currency_Book2_Orange WIP Feb 04 2" xfId="91" xr:uid="{00000000-0005-0000-0000-00005A000000}"/>
    <cellStyle name="_Currency_Book2_Orange-May01" xfId="92" xr:uid="{00000000-0005-0000-0000-00005B000000}"/>
    <cellStyle name="_Currency_Book2_Orange-Sep01" xfId="93" xr:uid="{00000000-0005-0000-0000-00005C000000}"/>
    <cellStyle name="_Currency_Book2_Orange-Sep01 2" xfId="94" xr:uid="{00000000-0005-0000-0000-00005D000000}"/>
    <cellStyle name="_Currency_Book2_Telefonica Moviles" xfId="95" xr:uid="{00000000-0005-0000-0000-00005E000000}"/>
    <cellStyle name="_Currency_FT-6June2001" xfId="96" xr:uid="{00000000-0005-0000-0000-00005F000000}"/>
    <cellStyle name="_Currency_FT-6June2001_Orange WIP Feb 04" xfId="97" xr:uid="{00000000-0005-0000-0000-000060000000}"/>
    <cellStyle name="_Currency_Jazztel model 15-exhibits" xfId="98" xr:uid="{00000000-0005-0000-0000-000061000000}"/>
    <cellStyle name="_Currency_Jazztel model 15-exhibits bis" xfId="99" xr:uid="{00000000-0005-0000-0000-000062000000}"/>
    <cellStyle name="_Currency_Jazztel model 15-exhibits bis_3G Models" xfId="100" xr:uid="{00000000-0005-0000-0000-000063000000}"/>
    <cellStyle name="_Currency_Jazztel model 15-exhibits bis_Orange WIP Feb 04" xfId="101" xr:uid="{00000000-0005-0000-0000-000064000000}"/>
    <cellStyle name="_Currency_Jazztel model 15-exhibits bis_Orange-Mar01" xfId="102" xr:uid="{00000000-0005-0000-0000-000065000000}"/>
    <cellStyle name="_Currency_Jazztel model 15-exhibits bis_Orange-May01" xfId="103" xr:uid="{00000000-0005-0000-0000-000066000000}"/>
    <cellStyle name="_Currency_Jazztel model 15-exhibits bis_Orange-May01_FT-6June2001" xfId="104" xr:uid="{00000000-0005-0000-0000-000067000000}"/>
    <cellStyle name="_Currency_Jazztel model 15-exhibits bis_Orange-May01_FT-6June2001_Orange WIP Feb 04" xfId="105" xr:uid="{00000000-0005-0000-0000-000068000000}"/>
    <cellStyle name="_Currency_Jazztel model 15-exhibits bis_Orange-May01_Orange WIP Feb 04" xfId="106" xr:uid="{00000000-0005-0000-0000-000069000000}"/>
    <cellStyle name="_Currency_Jazztel model 15-exhibits bis_Orange-May01_Telefonica Moviles" xfId="107" xr:uid="{00000000-0005-0000-0000-00006A000000}"/>
    <cellStyle name="_Currency_Jazztel model 15-exhibits bis_T_MOBIL2" xfId="108" xr:uid="{00000000-0005-0000-0000-00006B000000}"/>
    <cellStyle name="_Currency_Jazztel model 15-exhibits bis_T_MOBIL2_Orange WIP Feb 04" xfId="109" xr:uid="{00000000-0005-0000-0000-00006C000000}"/>
    <cellStyle name="_Currency_Jazztel model 15-exhibits bis_T_MOBIL2_Orange-May01" xfId="110" xr:uid="{00000000-0005-0000-0000-00006D000000}"/>
    <cellStyle name="_Currency_Jazztel model 15-exhibits bis_T_MOBIL2_Orange-May01_Orange WIP Feb 04" xfId="111" xr:uid="{00000000-0005-0000-0000-00006E000000}"/>
    <cellStyle name="_Currency_Jazztel model 15-exhibits bis_T_MOBIL2_Telefonica Moviles" xfId="112" xr:uid="{00000000-0005-0000-0000-00006F000000}"/>
    <cellStyle name="_Currency_Jazztel model 15-exhibits bis_Telefonica Moviles" xfId="113" xr:uid="{00000000-0005-0000-0000-000070000000}"/>
    <cellStyle name="_Currency_Jazztel model 15-exhibits bis_TelenorInitiation-11Jan01" xfId="114" xr:uid="{00000000-0005-0000-0000-000071000000}"/>
    <cellStyle name="_Currency_Jazztel model 15-exhibits bis_TelenorWIPFeb01" xfId="115" xr:uid="{00000000-0005-0000-0000-000072000000}"/>
    <cellStyle name="_Currency_Jazztel model 15-exhibits_3G Models" xfId="116" xr:uid="{00000000-0005-0000-0000-000073000000}"/>
    <cellStyle name="_Currency_Jazztel model 15-exhibits_FT-6June2001" xfId="117" xr:uid="{00000000-0005-0000-0000-000074000000}"/>
    <cellStyle name="_Currency_Jazztel model 15-exhibits_Jazztel model 16DP3-Exhibits" xfId="118" xr:uid="{00000000-0005-0000-0000-000075000000}"/>
    <cellStyle name="_Currency_Jazztel model 15-exhibits_Jazztel model 16DP3-Exhibits_3G Models" xfId="119" xr:uid="{00000000-0005-0000-0000-000076000000}"/>
    <cellStyle name="_Currency_Jazztel model 15-exhibits_Jazztel model 16DP3-Exhibits_Orange WIP Feb 04" xfId="120" xr:uid="{00000000-0005-0000-0000-000077000000}"/>
    <cellStyle name="_Currency_Jazztel model 15-exhibits_Jazztel model 16DP3-Exhibits_Orange-Mar01" xfId="121" xr:uid="{00000000-0005-0000-0000-000078000000}"/>
    <cellStyle name="_Currency_Jazztel model 15-exhibits_Jazztel model 16DP3-Exhibits_Orange-May01" xfId="122" xr:uid="{00000000-0005-0000-0000-000079000000}"/>
    <cellStyle name="_Currency_Jazztel model 15-exhibits_Jazztel model 16DP3-Exhibits_Orange-May01_FT-6June2001" xfId="123" xr:uid="{00000000-0005-0000-0000-00007A000000}"/>
    <cellStyle name="_Currency_Jazztel model 15-exhibits_Jazztel model 16DP3-Exhibits_Orange-May01_FT-6June2001_Orange WIP Feb 04" xfId="124" xr:uid="{00000000-0005-0000-0000-00007B000000}"/>
    <cellStyle name="_Currency_Jazztel model 15-exhibits_Jazztel model 16DP3-Exhibits_Orange-May01_Orange WIP Feb 04" xfId="125" xr:uid="{00000000-0005-0000-0000-00007C000000}"/>
    <cellStyle name="_Currency_Jazztel model 15-exhibits_Jazztel model 16DP3-Exhibits_Orange-May01_Telefonica Moviles" xfId="126" xr:uid="{00000000-0005-0000-0000-00007D000000}"/>
    <cellStyle name="_Currency_Jazztel model 15-exhibits_Jazztel model 16DP3-Exhibits_T_MOBIL2" xfId="127" xr:uid="{00000000-0005-0000-0000-00007E000000}"/>
    <cellStyle name="_Currency_Jazztel model 15-exhibits_Jazztel model 16DP3-Exhibits_T_MOBIL2_Orange WIP Feb 04" xfId="128" xr:uid="{00000000-0005-0000-0000-00007F000000}"/>
    <cellStyle name="_Currency_Jazztel model 15-exhibits_Jazztel model 16DP3-Exhibits_T_MOBIL2_Orange-May01" xfId="129" xr:uid="{00000000-0005-0000-0000-000080000000}"/>
    <cellStyle name="_Currency_Jazztel model 15-exhibits_Jazztel model 16DP3-Exhibits_T_MOBIL2_Orange-May01_Orange WIP Feb 04" xfId="130" xr:uid="{00000000-0005-0000-0000-000081000000}"/>
    <cellStyle name="_Currency_Jazztel model 15-exhibits_Jazztel model 16DP3-Exhibits_T_MOBIL2_Telefonica Moviles" xfId="131" xr:uid="{00000000-0005-0000-0000-000082000000}"/>
    <cellStyle name="_Currency_Jazztel model 15-exhibits_Jazztel model 16DP3-Exhibits_Telefonica Moviles" xfId="132" xr:uid="{00000000-0005-0000-0000-000083000000}"/>
    <cellStyle name="_Currency_Jazztel model 15-exhibits_Jazztel model 16DP3-Exhibits_TelenorInitiation-11Jan01" xfId="133" xr:uid="{00000000-0005-0000-0000-000084000000}"/>
    <cellStyle name="_Currency_Jazztel model 15-exhibits_Jazztel model 16DP3-Exhibits_TelenorWIPFeb01" xfId="134" xr:uid="{00000000-0005-0000-0000-000085000000}"/>
    <cellStyle name="_Currency_Jazztel model 15-exhibits_Jazztel model 18DP-exhibits" xfId="135" xr:uid="{00000000-0005-0000-0000-000086000000}"/>
    <cellStyle name="_Currency_Jazztel model 15-exhibits_Jazztel model 18DP-exhibits_3G Models" xfId="136" xr:uid="{00000000-0005-0000-0000-000087000000}"/>
    <cellStyle name="_Currency_Jazztel model 15-exhibits_Orange WIP Feb 04" xfId="137" xr:uid="{00000000-0005-0000-0000-000088000000}"/>
    <cellStyle name="_Currency_Jazztel model 15-exhibits_Orange WIP Feb 04 2" xfId="138" xr:uid="{00000000-0005-0000-0000-000089000000}"/>
    <cellStyle name="_Currency_Jazztel model 15-exhibits_Orange-May01" xfId="139" xr:uid="{00000000-0005-0000-0000-00008A000000}"/>
    <cellStyle name="_Currency_Jazztel model 15-exhibits_Orange-Sep01" xfId="140" xr:uid="{00000000-0005-0000-0000-00008B000000}"/>
    <cellStyle name="_Currency_Jazztel model 15-exhibits_Orange-Sep01 2" xfId="141" xr:uid="{00000000-0005-0000-0000-00008C000000}"/>
    <cellStyle name="_Currency_Jazztel model 15-exhibits_Telefonica Moviles" xfId="142" xr:uid="{00000000-0005-0000-0000-00008D000000}"/>
    <cellStyle name="_Currency_Jazztel model 15-exhibits-Friso2" xfId="143" xr:uid="{00000000-0005-0000-0000-00008E000000}"/>
    <cellStyle name="_Currency_Jazztel model 15-exhibits-Friso2_3G Models" xfId="144" xr:uid="{00000000-0005-0000-0000-00008F000000}"/>
    <cellStyle name="_Currency_Jazztel model 15-exhibits-Friso2_FT-6June2001" xfId="145" xr:uid="{00000000-0005-0000-0000-000090000000}"/>
    <cellStyle name="_Currency_Jazztel model 15-exhibits-Friso2_Jazztel model 16DP3-Exhibits" xfId="146" xr:uid="{00000000-0005-0000-0000-000091000000}"/>
    <cellStyle name="_Currency_Jazztel model 15-exhibits-Friso2_Jazztel model 16DP3-Exhibits_3G Models" xfId="147" xr:uid="{00000000-0005-0000-0000-000092000000}"/>
    <cellStyle name="_Currency_Jazztel model 15-exhibits-Friso2_Jazztel model 16DP3-Exhibits_Orange WIP Feb 04" xfId="148" xr:uid="{00000000-0005-0000-0000-000093000000}"/>
    <cellStyle name="_Currency_Jazztel model 15-exhibits-Friso2_Jazztel model 16DP3-Exhibits_Orange-Mar01" xfId="149" xr:uid="{00000000-0005-0000-0000-000094000000}"/>
    <cellStyle name="_Currency_Jazztel model 15-exhibits-Friso2_Jazztel model 16DP3-Exhibits_Orange-May01" xfId="150" xr:uid="{00000000-0005-0000-0000-000095000000}"/>
    <cellStyle name="_Currency_Jazztel model 15-exhibits-Friso2_Jazztel model 16DP3-Exhibits_Orange-May01_FT-6June2001" xfId="151" xr:uid="{00000000-0005-0000-0000-000096000000}"/>
    <cellStyle name="_Currency_Jazztel model 15-exhibits-Friso2_Jazztel model 16DP3-Exhibits_Orange-May01_FT-6June2001_Orange WIP Feb 04" xfId="152" xr:uid="{00000000-0005-0000-0000-000097000000}"/>
    <cellStyle name="_Currency_Jazztel model 15-exhibits-Friso2_Jazztel model 16DP3-Exhibits_Orange-May01_Orange WIP Feb 04" xfId="153" xr:uid="{00000000-0005-0000-0000-000098000000}"/>
    <cellStyle name="_Currency_Jazztel model 15-exhibits-Friso2_Jazztel model 16DP3-Exhibits_Orange-May01_Telefonica Moviles" xfId="154" xr:uid="{00000000-0005-0000-0000-000099000000}"/>
    <cellStyle name="_Currency_Jazztel model 15-exhibits-Friso2_Jazztel model 16DP3-Exhibits_T_MOBIL2" xfId="155" xr:uid="{00000000-0005-0000-0000-00009A000000}"/>
    <cellStyle name="_Currency_Jazztel model 15-exhibits-Friso2_Jazztel model 16DP3-Exhibits_T_MOBIL2_Orange WIP Feb 04" xfId="156" xr:uid="{00000000-0005-0000-0000-00009B000000}"/>
    <cellStyle name="_Currency_Jazztel model 15-exhibits-Friso2_Jazztel model 16DP3-Exhibits_T_MOBIL2_Orange-May01" xfId="157" xr:uid="{00000000-0005-0000-0000-00009C000000}"/>
    <cellStyle name="_Currency_Jazztel model 15-exhibits-Friso2_Jazztel model 16DP3-Exhibits_T_MOBIL2_Orange-May01_Orange WIP Feb 04" xfId="158" xr:uid="{00000000-0005-0000-0000-00009D000000}"/>
    <cellStyle name="_Currency_Jazztel model 15-exhibits-Friso2_Jazztel model 16DP3-Exhibits_T_MOBIL2_Telefonica Moviles" xfId="159" xr:uid="{00000000-0005-0000-0000-00009E000000}"/>
    <cellStyle name="_Currency_Jazztel model 15-exhibits-Friso2_Jazztel model 16DP3-Exhibits_Telefonica Moviles" xfId="160" xr:uid="{00000000-0005-0000-0000-00009F000000}"/>
    <cellStyle name="_Currency_Jazztel model 15-exhibits-Friso2_Jazztel model 16DP3-Exhibits_TelenorInitiation-11Jan01" xfId="161" xr:uid="{00000000-0005-0000-0000-0000A0000000}"/>
    <cellStyle name="_Currency_Jazztel model 15-exhibits-Friso2_Jazztel model 16DP3-Exhibits_TelenorWIPFeb01" xfId="162" xr:uid="{00000000-0005-0000-0000-0000A1000000}"/>
    <cellStyle name="_Currency_Jazztel model 15-exhibits-Friso2_Jazztel model 18DP-exhibits" xfId="163" xr:uid="{00000000-0005-0000-0000-0000A2000000}"/>
    <cellStyle name="_Currency_Jazztel model 15-exhibits-Friso2_Jazztel model 18DP-exhibits_3G Models" xfId="164" xr:uid="{00000000-0005-0000-0000-0000A3000000}"/>
    <cellStyle name="_Currency_Jazztel model 15-exhibits-Friso2_Orange WIP Feb 04" xfId="165" xr:uid="{00000000-0005-0000-0000-0000A4000000}"/>
    <cellStyle name="_Currency_Jazztel model 15-exhibits-Friso2_Orange WIP Feb 04 2" xfId="166" xr:uid="{00000000-0005-0000-0000-0000A5000000}"/>
    <cellStyle name="_Currency_Jazztel model 15-exhibits-Friso2_Orange-May01" xfId="167" xr:uid="{00000000-0005-0000-0000-0000A6000000}"/>
    <cellStyle name="_Currency_Jazztel model 15-exhibits-Friso2_Orange-Sep01" xfId="168" xr:uid="{00000000-0005-0000-0000-0000A7000000}"/>
    <cellStyle name="_Currency_Jazztel model 15-exhibits-Friso2_Orange-Sep01 2" xfId="169" xr:uid="{00000000-0005-0000-0000-0000A8000000}"/>
    <cellStyle name="_Currency_Jazztel model 15-exhibits-Friso2_Telefonica Moviles" xfId="170" xr:uid="{00000000-0005-0000-0000-0000A9000000}"/>
    <cellStyle name="_Currency_MIC-08Q4-SME" xfId="171" xr:uid="{00000000-0005-0000-0000-0000AA000000}"/>
    <cellStyle name="_Currency_Orange WIP Feb 04" xfId="172" xr:uid="{00000000-0005-0000-0000-0000AB000000}"/>
    <cellStyle name="_Currency_Orange-Mar01" xfId="173" xr:uid="{00000000-0005-0000-0000-0000AC000000}"/>
    <cellStyle name="_Currency_Orange-Mar01_Telefonica Group August 12 2002" xfId="174" xr:uid="{00000000-0005-0000-0000-0000AD000000}"/>
    <cellStyle name="_Currency_Orange-May01" xfId="175" xr:uid="{00000000-0005-0000-0000-0000AE000000}"/>
    <cellStyle name="_Currency_Orange-May01_Telefonica Group August 12 2002" xfId="176" xr:uid="{00000000-0005-0000-0000-0000AF000000}"/>
    <cellStyle name="_Currency_Telefonica Moviles" xfId="177" xr:uid="{00000000-0005-0000-0000-0000B0000000}"/>
    <cellStyle name="_Currency_TelenorInitiation-11Jan01" xfId="178" xr:uid="{00000000-0005-0000-0000-0000B1000000}"/>
    <cellStyle name="_Currency_TelenorInitiation-11Jan01_Telefonica Group August 12 2002" xfId="179" xr:uid="{00000000-0005-0000-0000-0000B2000000}"/>
    <cellStyle name="_Currency_TelenorWIPFeb01" xfId="180" xr:uid="{00000000-0005-0000-0000-0000B3000000}"/>
    <cellStyle name="_Currency_TelenorWIPFeb01_Telefonica Group August 12 2002" xfId="181" xr:uid="{00000000-0005-0000-0000-0000B4000000}"/>
    <cellStyle name="_CurrencySpace" xfId="182" xr:uid="{00000000-0005-0000-0000-0000B5000000}"/>
    <cellStyle name="_Dollar" xfId="183" xr:uid="{00000000-0005-0000-0000-0000B6000000}"/>
    <cellStyle name="_Dollar_3G Models" xfId="184" xr:uid="{00000000-0005-0000-0000-0000B7000000}"/>
    <cellStyle name="_Dollar_FT-6June2001" xfId="185" xr:uid="{00000000-0005-0000-0000-0000B8000000}"/>
    <cellStyle name="_Dollar_Jazztel model 16DP3-Exhibits" xfId="186" xr:uid="{00000000-0005-0000-0000-0000B9000000}"/>
    <cellStyle name="_Dollar_Jazztel model 16DP3-Exhibits_3G Models" xfId="187" xr:uid="{00000000-0005-0000-0000-0000BA000000}"/>
    <cellStyle name="_Dollar_Jazztel model 16DP3-Exhibits_FT-6June2001" xfId="188" xr:uid="{00000000-0005-0000-0000-0000BB000000}"/>
    <cellStyle name="_Dollar_Jazztel model 16DP3-Exhibits_FT-6June2001_1" xfId="189" xr:uid="{00000000-0005-0000-0000-0000BC000000}"/>
    <cellStyle name="_Dollar_Jazztel model 16DP3-Exhibits_FT-6June2001_1_Telefonica Moviles" xfId="190" xr:uid="{00000000-0005-0000-0000-0000BD000000}"/>
    <cellStyle name="_Dollar_Jazztel model 16DP3-Exhibits_FT-6June2001_Orange WIP Feb 04" xfId="191" xr:uid="{00000000-0005-0000-0000-0000BE000000}"/>
    <cellStyle name="_Dollar_Jazztel model 16DP3-Exhibits_Telefonica Group August 12 2002" xfId="192" xr:uid="{00000000-0005-0000-0000-0000BF000000}"/>
    <cellStyle name="_Dollar_Jazztel model 16DP3-Exhibits_Telefonica Moviles" xfId="193" xr:uid="{00000000-0005-0000-0000-0000C0000000}"/>
    <cellStyle name="_Dollar_Jazztel model 18DP-exhibits" xfId="194" xr:uid="{00000000-0005-0000-0000-0000C1000000}"/>
    <cellStyle name="_Dollar_Jazztel model 18DP-exhibits_3G Models" xfId="195" xr:uid="{00000000-0005-0000-0000-0000C2000000}"/>
    <cellStyle name="_Dollar_Jazztel model 18DP-exhibits_Orange WIP Feb 04" xfId="196" xr:uid="{00000000-0005-0000-0000-0000C3000000}"/>
    <cellStyle name="_Dollar_Jazztel model 18DP-exhibits_Orange-Mar01" xfId="197" xr:uid="{00000000-0005-0000-0000-0000C4000000}"/>
    <cellStyle name="_Dollar_Jazztel model 18DP-exhibits_Orange-Mar01_FT 22July 02_1.1" xfId="198" xr:uid="{00000000-0005-0000-0000-0000C5000000}"/>
    <cellStyle name="_Dollar_Jazztel model 18DP-exhibits_Orange-Mar01_Orange WIP Feb 04" xfId="199" xr:uid="{00000000-0005-0000-0000-0000C6000000}"/>
    <cellStyle name="_Dollar_Jazztel model 18DP-exhibits_Orange-May01" xfId="200" xr:uid="{00000000-0005-0000-0000-0000C7000000}"/>
    <cellStyle name="_Dollar_Jazztel model 18DP-exhibits_Orange-May01_Orange WIP Feb 04" xfId="201" xr:uid="{00000000-0005-0000-0000-0000C8000000}"/>
    <cellStyle name="_Dollar_Jazztel model 18DP-exhibits_Orange-May01_Telefonica Group August 12 2002" xfId="202" xr:uid="{00000000-0005-0000-0000-0000C9000000}"/>
    <cellStyle name="_Dollar_Jazztel model 18DP-exhibits_T_MOBIL2" xfId="203" xr:uid="{00000000-0005-0000-0000-0000CA000000}"/>
    <cellStyle name="_Dollar_Jazztel model 18DP-exhibits_T_MOBIL2_FT-6June2001" xfId="204" xr:uid="{00000000-0005-0000-0000-0000CB000000}"/>
    <cellStyle name="_Dollar_Jazztel model 18DP-exhibits_T_MOBIL2_FT-6June2001_Orange WIP Feb 04" xfId="205" xr:uid="{00000000-0005-0000-0000-0000CC000000}"/>
    <cellStyle name="_Dollar_Jazztel model 18DP-exhibits_T_MOBIL2_Orange WIP Feb 04" xfId="206" xr:uid="{00000000-0005-0000-0000-0000CD000000}"/>
    <cellStyle name="_Dollar_Jazztel model 18DP-exhibits_T_MOBIL2_Orange-May01" xfId="207" xr:uid="{00000000-0005-0000-0000-0000CE000000}"/>
    <cellStyle name="_Dollar_Jazztel model 18DP-exhibits_T_MOBIL2_Orange-May01_FT 22July 02_1.1" xfId="208" xr:uid="{00000000-0005-0000-0000-0000CF000000}"/>
    <cellStyle name="_Dollar_Jazztel model 18DP-exhibits_T_MOBIL2_Orange-May01_Orange WIP Feb 04" xfId="209" xr:uid="{00000000-0005-0000-0000-0000D0000000}"/>
    <cellStyle name="_Dollar_Jazztel model 18DP-exhibits_T_MOBIL2_Orange-May01_Telefonica Moviles" xfId="210" xr:uid="{00000000-0005-0000-0000-0000D1000000}"/>
    <cellStyle name="_Dollar_Jazztel model 18DP-exhibits_T_MOBIL2_Orange-May01_Telefonica Moviles_1" xfId="211" xr:uid="{00000000-0005-0000-0000-0000D2000000}"/>
    <cellStyle name="_Dollar_Jazztel model 18DP-exhibits_T_MOBIL2_Telefonica Group August 12 2002" xfId="212" xr:uid="{00000000-0005-0000-0000-0000D3000000}"/>
    <cellStyle name="_Dollar_Jazztel model 18DP-exhibits_T_MOBIL2_Telefonica Moviles" xfId="213" xr:uid="{00000000-0005-0000-0000-0000D4000000}"/>
    <cellStyle name="_Dollar_Jazztel model 18DP-exhibits_Telefonica Moviles" xfId="214" xr:uid="{00000000-0005-0000-0000-0000D5000000}"/>
    <cellStyle name="_Dollar_Jazztel model 18DP-exhibits_TelenorInitiation-11Jan01" xfId="215" xr:uid="{00000000-0005-0000-0000-0000D6000000}"/>
    <cellStyle name="_Dollar_Jazztel model 18DP-exhibits_TelenorInitiation-11Jan01_FT 22July 02_1.1" xfId="216" xr:uid="{00000000-0005-0000-0000-0000D7000000}"/>
    <cellStyle name="_Dollar_Jazztel model 18DP-exhibits_TelenorInitiation-11Jan01_Orange WIP Feb 04" xfId="217" xr:uid="{00000000-0005-0000-0000-0000D8000000}"/>
    <cellStyle name="_Dollar_Jazztel model 18DP-exhibits_TelenorWIPFeb01" xfId="218" xr:uid="{00000000-0005-0000-0000-0000D9000000}"/>
    <cellStyle name="_Dollar_Jazztel model 18DP-exhibits_TelenorWIPFeb01_FT 22July 02_1.1" xfId="219" xr:uid="{00000000-0005-0000-0000-0000DA000000}"/>
    <cellStyle name="_Dollar_Jazztel model 18DP-exhibits_TelenorWIPFeb01_Orange WIP Feb 04" xfId="220" xr:uid="{00000000-0005-0000-0000-0000DB000000}"/>
    <cellStyle name="_Dollar_Orange WIP Feb 04" xfId="221" xr:uid="{00000000-0005-0000-0000-0000DC000000}"/>
    <cellStyle name="_Dollar_Orange WIP Feb 04 2" xfId="222" xr:uid="{00000000-0005-0000-0000-0000DD000000}"/>
    <cellStyle name="_Dollar_Orange-May01" xfId="223" xr:uid="{00000000-0005-0000-0000-0000DE000000}"/>
    <cellStyle name="_Dollar_Orange-Sep01" xfId="224" xr:uid="{00000000-0005-0000-0000-0000DF000000}"/>
    <cellStyle name="_Dollar_Orange-Sep01 2" xfId="225" xr:uid="{00000000-0005-0000-0000-0000E0000000}"/>
    <cellStyle name="_Dollar_Telefonica Moviles" xfId="226" xr:uid="{00000000-0005-0000-0000-0000E1000000}"/>
    <cellStyle name="_Innsamling" xfId="227" xr:uid="{00000000-0005-0000-0000-0000E2000000}"/>
    <cellStyle name="_JP Morgan" xfId="228" xr:uid="{00000000-0005-0000-0000-0000E3000000}"/>
    <cellStyle name="_Mal for innhenting av estimater Q4- 2002" xfId="229" xr:uid="{00000000-0005-0000-0000-0000E4000000}"/>
    <cellStyle name="_Multiple" xfId="230" xr:uid="{00000000-0005-0000-0000-0000E5000000}"/>
    <cellStyle name="_Multiple_3G Models" xfId="231" xr:uid="{00000000-0005-0000-0000-0000E6000000}"/>
    <cellStyle name="_Multiple_Book1" xfId="232" xr:uid="{00000000-0005-0000-0000-0000E7000000}"/>
    <cellStyle name="_Multiple_Book1_3G Models" xfId="233" xr:uid="{00000000-0005-0000-0000-0000E8000000}"/>
    <cellStyle name="_Multiple_Book1_Jazztel model 16DP3-Exhibits" xfId="234" xr:uid="{00000000-0005-0000-0000-0000E9000000}"/>
    <cellStyle name="_Multiple_Book1_Jazztel model 16DP3-Exhibits_3G Models" xfId="235" xr:uid="{00000000-0005-0000-0000-0000EA000000}"/>
    <cellStyle name="_Multiple_Book1_Jazztel model 16DP3-Exhibits_FT-6June2001" xfId="236" xr:uid="{00000000-0005-0000-0000-0000EB000000}"/>
    <cellStyle name="_Multiple_Book1_Jazztel model 16DP3-Exhibits_FT-6June2001_1" xfId="237" xr:uid="{00000000-0005-0000-0000-0000EC000000}"/>
    <cellStyle name="_Multiple_Book1_Jazztel model 16DP3-Exhibits_FT-6June2001_1_Orange WIP Feb 04" xfId="238" xr:uid="{00000000-0005-0000-0000-0000ED000000}"/>
    <cellStyle name="_Multiple_Book1_Jazztel model 16DP3-Exhibits_FT-6June2001_1_Telefonica Moviles" xfId="239" xr:uid="{00000000-0005-0000-0000-0000EE000000}"/>
    <cellStyle name="_Multiple_Book1_Jazztel model 16DP3-Exhibits_FT-6June2001_Orange WIP Feb 04" xfId="240" xr:uid="{00000000-0005-0000-0000-0000EF000000}"/>
    <cellStyle name="_Multiple_Book1_Jazztel model 16DP3-Exhibits_Orange WIP Feb 04" xfId="241" xr:uid="{00000000-0005-0000-0000-0000F0000000}"/>
    <cellStyle name="_Multiple_Book1_Jazztel model 16DP3-Exhibits_Telefonica Moviles" xfId="242" xr:uid="{00000000-0005-0000-0000-0000F1000000}"/>
    <cellStyle name="_Multiple_Book1_Jazztel model 18DP-exhibits" xfId="243" xr:uid="{00000000-0005-0000-0000-0000F2000000}"/>
    <cellStyle name="_Multiple_Book1_Jazztel model 18DP-exhibits_FT-6June2001" xfId="244" xr:uid="{00000000-0005-0000-0000-0000F3000000}"/>
    <cellStyle name="_Multiple_Book1_Jazztel model 18DP-exhibits_FT-6June2001_Orange WIP Feb 04" xfId="245" xr:uid="{00000000-0005-0000-0000-0000F4000000}"/>
    <cellStyle name="_Multiple_Book1_Jazztel model 18DP-exhibits_Orange WIP Feb 04" xfId="246" xr:uid="{00000000-0005-0000-0000-0000F5000000}"/>
    <cellStyle name="_Multiple_Book1_Jazztel model 18DP-exhibits_Orange-Mar01" xfId="247" xr:uid="{00000000-0005-0000-0000-0000F6000000}"/>
    <cellStyle name="_Multiple_Book1_Jazztel model 18DP-exhibits_Orange-May01" xfId="248" xr:uid="{00000000-0005-0000-0000-0000F7000000}"/>
    <cellStyle name="_Multiple_Book1_Jazztel model 18DP-exhibits_T_MOBIL2" xfId="249" xr:uid="{00000000-0005-0000-0000-0000F8000000}"/>
    <cellStyle name="_Multiple_Book1_Jazztel model 18DP-exhibits_T_MOBIL2_FT-6June2001" xfId="250" xr:uid="{00000000-0005-0000-0000-0000F9000000}"/>
    <cellStyle name="_Multiple_Book1_Jazztel model 18DP-exhibits_T_MOBIL2_FT-6June2001_1" xfId="251" xr:uid="{00000000-0005-0000-0000-0000FA000000}"/>
    <cellStyle name="_Multiple_Book1_Jazztel model 18DP-exhibits_T_MOBIL2_Orange WIP Feb 04" xfId="252" xr:uid="{00000000-0005-0000-0000-0000FB000000}"/>
    <cellStyle name="_Multiple_Book1_Jazztel model 18DP-exhibits_T_MOBIL2_Orange-May01" xfId="253" xr:uid="{00000000-0005-0000-0000-0000FC000000}"/>
    <cellStyle name="_Multiple_Book1_Jazztel model 18DP-exhibits_T_MOBIL2_Orange-May01_Orange WIP Feb 04" xfId="254" xr:uid="{00000000-0005-0000-0000-0000FD000000}"/>
    <cellStyle name="_Multiple_Book1_Jazztel model 18DP-exhibits_T_MOBIL2_Orange-May01_Telefonica Group August 12 2002" xfId="255" xr:uid="{00000000-0005-0000-0000-0000FE000000}"/>
    <cellStyle name="_Multiple_Book1_Jazztel model 18DP-exhibits_T_MOBIL2_Telefonica Group August 12 2002" xfId="256" xr:uid="{00000000-0005-0000-0000-0000FF000000}"/>
    <cellStyle name="_Multiple_Book1_Jazztel model 18DP-exhibits_T_MOBIL2_Telefonica Moviles" xfId="257" xr:uid="{00000000-0005-0000-0000-000000010000}"/>
    <cellStyle name="_Multiple_Book1_Jazztel model 18DP-exhibits_Telefonica Group August 12 2002" xfId="258" xr:uid="{00000000-0005-0000-0000-000001010000}"/>
    <cellStyle name="_Multiple_Book1_Jazztel model 18DP-exhibits_Telefonica Moviles" xfId="259" xr:uid="{00000000-0005-0000-0000-000002010000}"/>
    <cellStyle name="_Multiple_Book1_Jazztel model 18DP-exhibits_TelenorInitiation-11Jan01" xfId="260" xr:uid="{00000000-0005-0000-0000-000003010000}"/>
    <cellStyle name="_Multiple_Book1_Jazztel model 18DP-exhibits_TelenorWIPFeb01" xfId="261" xr:uid="{00000000-0005-0000-0000-000004010000}"/>
    <cellStyle name="_Multiple_Book1_Jazztel model 18DP-exhibits_Telia-April01(new structure)" xfId="262" xr:uid="{00000000-0005-0000-0000-000005010000}"/>
    <cellStyle name="_Multiple_Book1_Jazztel model 18DP-exhibits_Telia-April01(new structure)_FT-6June2001" xfId="263" xr:uid="{00000000-0005-0000-0000-000006010000}"/>
    <cellStyle name="_Multiple_Book1_Jazztel model 18DP-exhibits_Telia-April01(new structure)_FT-6June2001_Orange WIP Feb 04" xfId="264" xr:uid="{00000000-0005-0000-0000-000007010000}"/>
    <cellStyle name="_Multiple_Book1_Jazztel model 18DP-exhibits_Telia-April01(new structure)_FT-6June2001_Telefonica Moviles" xfId="265" xr:uid="{00000000-0005-0000-0000-000008010000}"/>
    <cellStyle name="_Multiple_Book1_Jazztel model 18DP-exhibits_Telia-April01(new structure)_Telefonica Group August 12 2002" xfId="266" xr:uid="{00000000-0005-0000-0000-000009010000}"/>
    <cellStyle name="_Multiple_Book1_Jazztel model 18DP-exhibits_Telia-April01(new structure)_Telefonica Moviles" xfId="267" xr:uid="{00000000-0005-0000-0000-00000A010000}"/>
    <cellStyle name="_Multiple_Book1_Jazztel1" xfId="268" xr:uid="{00000000-0005-0000-0000-00000B010000}"/>
    <cellStyle name="_Multiple_Book1_Orange WIP Feb 04" xfId="269" xr:uid="{00000000-0005-0000-0000-00000C010000}"/>
    <cellStyle name="_Multiple_Book1_Orange-Mar01" xfId="270" xr:uid="{00000000-0005-0000-0000-00000D010000}"/>
    <cellStyle name="_Multiple_Book1_Orange-Mar01_FT 22July 02_1.1" xfId="271" xr:uid="{00000000-0005-0000-0000-00000E010000}"/>
    <cellStyle name="_Multiple_Book1_Orange-Mar01_FT-6June2001" xfId="272" xr:uid="{00000000-0005-0000-0000-00000F010000}"/>
    <cellStyle name="_Multiple_Book1_Orange-Mar01_Telefonica Moviles" xfId="273" xr:uid="{00000000-0005-0000-0000-000010010000}"/>
    <cellStyle name="_Multiple_Book1_Orange-Mar01_Telefonica Moviles_1" xfId="274" xr:uid="{00000000-0005-0000-0000-000011010000}"/>
    <cellStyle name="_Multiple_Book1_Orange-May01" xfId="275" xr:uid="{00000000-0005-0000-0000-000012010000}"/>
    <cellStyle name="_Multiple_Book1_Orange-May01_FT-6June2001" xfId="276" xr:uid="{00000000-0005-0000-0000-000013010000}"/>
    <cellStyle name="_Multiple_Book1_Orange-May01_FT-6June2001_Telefonica Moviles" xfId="277" xr:uid="{00000000-0005-0000-0000-000014010000}"/>
    <cellStyle name="_Multiple_Book1_Orange-May01_Orange WIP Feb 04" xfId="278" xr:uid="{00000000-0005-0000-0000-000015010000}"/>
    <cellStyle name="_Multiple_Book1_Orange-May01_Telefonica Group August 12 2002" xfId="279" xr:uid="{00000000-0005-0000-0000-000016010000}"/>
    <cellStyle name="_Multiple_Book1_Orange-May01_Telefonica Moviles" xfId="280" xr:uid="{00000000-0005-0000-0000-000017010000}"/>
    <cellStyle name="_Multiple_Book1_T_MOBIL2" xfId="281" xr:uid="{00000000-0005-0000-0000-000018010000}"/>
    <cellStyle name="_Multiple_Book1_Telefonica Moviles" xfId="282" xr:uid="{00000000-0005-0000-0000-000019010000}"/>
    <cellStyle name="_Multiple_Book1_TelenorInitiation-11Jan01" xfId="283" xr:uid="{00000000-0005-0000-0000-00001A010000}"/>
    <cellStyle name="_Multiple_Book1_TelenorInitiation-11Jan01_FT 22July 02_1.1" xfId="284" xr:uid="{00000000-0005-0000-0000-00001B010000}"/>
    <cellStyle name="_Multiple_Book1_TelenorInitiation-11Jan01_FT-6June2001" xfId="285" xr:uid="{00000000-0005-0000-0000-00001C010000}"/>
    <cellStyle name="_Multiple_Book1_TelenorInitiation-11Jan01_Telefonica Moviles" xfId="286" xr:uid="{00000000-0005-0000-0000-00001D010000}"/>
    <cellStyle name="_Multiple_Book1_TelenorInitiation-11Jan01_Telefonica Moviles_1" xfId="287" xr:uid="{00000000-0005-0000-0000-00001E010000}"/>
    <cellStyle name="_Multiple_Book1_TelenorWIPFeb01" xfId="288" xr:uid="{00000000-0005-0000-0000-00001F010000}"/>
    <cellStyle name="_Multiple_Book1_TelenorWIPFeb01_FT 22July 02_1.1" xfId="289" xr:uid="{00000000-0005-0000-0000-000020010000}"/>
    <cellStyle name="_Multiple_Book1_TelenorWIPFeb01_FT-6June2001" xfId="290" xr:uid="{00000000-0005-0000-0000-000021010000}"/>
    <cellStyle name="_Multiple_Book1_TelenorWIPFeb01_Telefonica Moviles" xfId="291" xr:uid="{00000000-0005-0000-0000-000022010000}"/>
    <cellStyle name="_Multiple_Book1_TelenorWIPFeb01_Telefonica Moviles_1" xfId="292" xr:uid="{00000000-0005-0000-0000-000023010000}"/>
    <cellStyle name="_Multiple_Book1_Telia-April01(new structure)" xfId="293" xr:uid="{00000000-0005-0000-0000-000024010000}"/>
    <cellStyle name="_Multiple_Book11" xfId="294" xr:uid="{00000000-0005-0000-0000-000025010000}"/>
    <cellStyle name="_Multiple_Book11_3G Models" xfId="295" xr:uid="{00000000-0005-0000-0000-000026010000}"/>
    <cellStyle name="_Multiple_Book11_Jazztel model 16DP3-Exhibits" xfId="296" xr:uid="{00000000-0005-0000-0000-000027010000}"/>
    <cellStyle name="_Multiple_Book11_Jazztel model 16DP3-Exhibits_3G Models" xfId="297" xr:uid="{00000000-0005-0000-0000-000028010000}"/>
    <cellStyle name="_Multiple_Book11_Jazztel model 16DP3-Exhibits_FT-6June2001" xfId="298" xr:uid="{00000000-0005-0000-0000-000029010000}"/>
    <cellStyle name="_Multiple_Book11_Jazztel model 16DP3-Exhibits_FT-6June2001_1" xfId="299" xr:uid="{00000000-0005-0000-0000-00002A010000}"/>
    <cellStyle name="_Multiple_Book11_Jazztel model 16DP3-Exhibits_FT-6June2001_1_Orange WIP Feb 04" xfId="300" xr:uid="{00000000-0005-0000-0000-00002B010000}"/>
    <cellStyle name="_Multiple_Book11_Jazztel model 16DP3-Exhibits_FT-6June2001_1_Telefonica Moviles" xfId="301" xr:uid="{00000000-0005-0000-0000-00002C010000}"/>
    <cellStyle name="_Multiple_Book11_Jazztel model 16DP3-Exhibits_FT-6June2001_Orange WIP Feb 04" xfId="302" xr:uid="{00000000-0005-0000-0000-00002D010000}"/>
    <cellStyle name="_Multiple_Book11_Jazztel model 16DP3-Exhibits_Orange WIP Feb 04" xfId="303" xr:uid="{00000000-0005-0000-0000-00002E010000}"/>
    <cellStyle name="_Multiple_Book11_Jazztel model 16DP3-Exhibits_Telefonica Moviles" xfId="304" xr:uid="{00000000-0005-0000-0000-00002F010000}"/>
    <cellStyle name="_Multiple_Book11_Jazztel model 18DP-exhibits" xfId="305" xr:uid="{00000000-0005-0000-0000-000030010000}"/>
    <cellStyle name="_Multiple_Book11_Jazztel model 18DP-exhibits_FT-6June2001" xfId="306" xr:uid="{00000000-0005-0000-0000-000031010000}"/>
    <cellStyle name="_Multiple_Book11_Jazztel model 18DP-exhibits_FT-6June2001_Orange WIP Feb 04" xfId="307" xr:uid="{00000000-0005-0000-0000-000032010000}"/>
    <cellStyle name="_Multiple_Book11_Jazztel model 18DP-exhibits_Orange WIP Feb 04" xfId="308" xr:uid="{00000000-0005-0000-0000-000033010000}"/>
    <cellStyle name="_Multiple_Book11_Jazztel model 18DP-exhibits_Orange-Mar01" xfId="309" xr:uid="{00000000-0005-0000-0000-000034010000}"/>
    <cellStyle name="_Multiple_Book11_Jazztel model 18DP-exhibits_Orange-May01" xfId="310" xr:uid="{00000000-0005-0000-0000-000035010000}"/>
    <cellStyle name="_Multiple_Book11_Jazztel model 18DP-exhibits_T_MOBIL2" xfId="311" xr:uid="{00000000-0005-0000-0000-000036010000}"/>
    <cellStyle name="_Multiple_Book11_Jazztel model 18DP-exhibits_T_MOBIL2_FT-6June2001" xfId="312" xr:uid="{00000000-0005-0000-0000-000037010000}"/>
    <cellStyle name="_Multiple_Book11_Jazztel model 18DP-exhibits_T_MOBIL2_FT-6June2001_1" xfId="313" xr:uid="{00000000-0005-0000-0000-000038010000}"/>
    <cellStyle name="_Multiple_Book11_Jazztel model 18DP-exhibits_T_MOBIL2_Orange WIP Feb 04" xfId="314" xr:uid="{00000000-0005-0000-0000-000039010000}"/>
    <cellStyle name="_Multiple_Book11_Jazztel model 18DP-exhibits_T_MOBIL2_Orange-May01" xfId="315" xr:uid="{00000000-0005-0000-0000-00003A010000}"/>
    <cellStyle name="_Multiple_Book11_Jazztel model 18DP-exhibits_T_MOBIL2_Orange-May01_Orange WIP Feb 04" xfId="316" xr:uid="{00000000-0005-0000-0000-00003B010000}"/>
    <cellStyle name="_Multiple_Book11_Jazztel model 18DP-exhibits_T_MOBIL2_Orange-May01_Telefonica Group August 12 2002" xfId="317" xr:uid="{00000000-0005-0000-0000-00003C010000}"/>
    <cellStyle name="_Multiple_Book11_Jazztel model 18DP-exhibits_T_MOBIL2_Telefonica Group August 12 2002" xfId="318" xr:uid="{00000000-0005-0000-0000-00003D010000}"/>
    <cellStyle name="_Multiple_Book11_Jazztel model 18DP-exhibits_T_MOBIL2_Telefonica Moviles" xfId="319" xr:uid="{00000000-0005-0000-0000-00003E010000}"/>
    <cellStyle name="_Multiple_Book11_Jazztel model 18DP-exhibits_Telefonica Group August 12 2002" xfId="320" xr:uid="{00000000-0005-0000-0000-00003F010000}"/>
    <cellStyle name="_Multiple_Book11_Jazztel model 18DP-exhibits_Telefonica Moviles" xfId="321" xr:uid="{00000000-0005-0000-0000-000040010000}"/>
    <cellStyle name="_Multiple_Book11_Jazztel model 18DP-exhibits_TelenorInitiation-11Jan01" xfId="322" xr:uid="{00000000-0005-0000-0000-000041010000}"/>
    <cellStyle name="_Multiple_Book11_Jazztel model 18DP-exhibits_TelenorWIPFeb01" xfId="323" xr:uid="{00000000-0005-0000-0000-000042010000}"/>
    <cellStyle name="_Multiple_Book11_Jazztel model 18DP-exhibits_Telia-April01(new structure)" xfId="324" xr:uid="{00000000-0005-0000-0000-000043010000}"/>
    <cellStyle name="_Multiple_Book11_Jazztel model 18DP-exhibits_Telia-April01(new structure)_FT-6June2001" xfId="325" xr:uid="{00000000-0005-0000-0000-000044010000}"/>
    <cellStyle name="_Multiple_Book11_Jazztel model 18DP-exhibits_Telia-April01(new structure)_FT-6June2001_Orange WIP Feb 04" xfId="326" xr:uid="{00000000-0005-0000-0000-000045010000}"/>
    <cellStyle name="_Multiple_Book11_Jazztel model 18DP-exhibits_Telia-April01(new structure)_FT-6June2001_Telefonica Moviles" xfId="327" xr:uid="{00000000-0005-0000-0000-000046010000}"/>
    <cellStyle name="_Multiple_Book11_Jazztel model 18DP-exhibits_Telia-April01(new structure)_Telefonica Group August 12 2002" xfId="328" xr:uid="{00000000-0005-0000-0000-000047010000}"/>
    <cellStyle name="_Multiple_Book11_Jazztel model 18DP-exhibits_Telia-April01(new structure)_Telefonica Moviles" xfId="329" xr:uid="{00000000-0005-0000-0000-000048010000}"/>
    <cellStyle name="_Multiple_Book11_Jazztel1" xfId="330" xr:uid="{00000000-0005-0000-0000-000049010000}"/>
    <cellStyle name="_Multiple_Book11_Orange WIP Feb 04" xfId="331" xr:uid="{00000000-0005-0000-0000-00004A010000}"/>
    <cellStyle name="_Multiple_Book11_Orange-Mar01" xfId="332" xr:uid="{00000000-0005-0000-0000-00004B010000}"/>
    <cellStyle name="_Multiple_Book11_Orange-Mar01_FT 22July 02_1.1" xfId="333" xr:uid="{00000000-0005-0000-0000-00004C010000}"/>
    <cellStyle name="_Multiple_Book11_Orange-Mar01_FT-6June2001" xfId="334" xr:uid="{00000000-0005-0000-0000-00004D010000}"/>
    <cellStyle name="_Multiple_Book11_Orange-Mar01_Telefonica Moviles" xfId="335" xr:uid="{00000000-0005-0000-0000-00004E010000}"/>
    <cellStyle name="_Multiple_Book11_Orange-Mar01_Telefonica Moviles_1" xfId="336" xr:uid="{00000000-0005-0000-0000-00004F010000}"/>
    <cellStyle name="_Multiple_Book11_Orange-May01" xfId="337" xr:uid="{00000000-0005-0000-0000-000050010000}"/>
    <cellStyle name="_Multiple_Book11_Orange-May01_FT-6June2001" xfId="338" xr:uid="{00000000-0005-0000-0000-000051010000}"/>
    <cellStyle name="_Multiple_Book11_Orange-May01_FT-6June2001_Telefonica Moviles" xfId="339" xr:uid="{00000000-0005-0000-0000-000052010000}"/>
    <cellStyle name="_Multiple_Book11_Orange-May01_Orange WIP Feb 04" xfId="340" xr:uid="{00000000-0005-0000-0000-000053010000}"/>
    <cellStyle name="_Multiple_Book11_Orange-May01_Telefonica Group August 12 2002" xfId="341" xr:uid="{00000000-0005-0000-0000-000054010000}"/>
    <cellStyle name="_Multiple_Book11_Orange-May01_Telefonica Moviles" xfId="342" xr:uid="{00000000-0005-0000-0000-000055010000}"/>
    <cellStyle name="_Multiple_Book11_T_MOBIL2" xfId="343" xr:uid="{00000000-0005-0000-0000-000056010000}"/>
    <cellStyle name="_Multiple_Book11_Telefonica Moviles" xfId="344" xr:uid="{00000000-0005-0000-0000-000057010000}"/>
    <cellStyle name="_Multiple_Book11_TelenorInitiation-11Jan01" xfId="345" xr:uid="{00000000-0005-0000-0000-000058010000}"/>
    <cellStyle name="_Multiple_Book11_TelenorInitiation-11Jan01_FT 22July 02_1.1" xfId="346" xr:uid="{00000000-0005-0000-0000-000059010000}"/>
    <cellStyle name="_Multiple_Book11_TelenorInitiation-11Jan01_FT-6June2001" xfId="347" xr:uid="{00000000-0005-0000-0000-00005A010000}"/>
    <cellStyle name="_Multiple_Book11_TelenorInitiation-11Jan01_Telefonica Moviles" xfId="348" xr:uid="{00000000-0005-0000-0000-00005B010000}"/>
    <cellStyle name="_Multiple_Book11_TelenorInitiation-11Jan01_Telefonica Moviles_1" xfId="349" xr:uid="{00000000-0005-0000-0000-00005C010000}"/>
    <cellStyle name="_Multiple_Book11_TelenorWIPFeb01" xfId="350" xr:uid="{00000000-0005-0000-0000-00005D010000}"/>
    <cellStyle name="_Multiple_Book11_TelenorWIPFeb01_FT 22July 02_1.1" xfId="351" xr:uid="{00000000-0005-0000-0000-00005E010000}"/>
    <cellStyle name="_Multiple_Book11_TelenorWIPFeb01_FT-6June2001" xfId="352" xr:uid="{00000000-0005-0000-0000-00005F010000}"/>
    <cellStyle name="_Multiple_Book11_TelenorWIPFeb01_Telefonica Moviles" xfId="353" xr:uid="{00000000-0005-0000-0000-000060010000}"/>
    <cellStyle name="_Multiple_Book11_TelenorWIPFeb01_Telefonica Moviles_1" xfId="354" xr:uid="{00000000-0005-0000-0000-000061010000}"/>
    <cellStyle name="_Multiple_Book11_Telia-April01(new structure)" xfId="355" xr:uid="{00000000-0005-0000-0000-000062010000}"/>
    <cellStyle name="_Multiple_Book12" xfId="356" xr:uid="{00000000-0005-0000-0000-000063010000}"/>
    <cellStyle name="_Multiple_Book12_3G Models" xfId="357" xr:uid="{00000000-0005-0000-0000-000064010000}"/>
    <cellStyle name="_Multiple_Book12_Jazztel model 16DP3-Exhibits" xfId="358" xr:uid="{00000000-0005-0000-0000-000065010000}"/>
    <cellStyle name="_Multiple_Book12_Jazztel model 16DP3-Exhibits_3G Models" xfId="359" xr:uid="{00000000-0005-0000-0000-000066010000}"/>
    <cellStyle name="_Multiple_Book12_Jazztel model 16DP3-Exhibits_FT-6June2001" xfId="360" xr:uid="{00000000-0005-0000-0000-000067010000}"/>
    <cellStyle name="_Multiple_Book12_Jazztel model 16DP3-Exhibits_FT-6June2001_1" xfId="361" xr:uid="{00000000-0005-0000-0000-000068010000}"/>
    <cellStyle name="_Multiple_Book12_Jazztel model 16DP3-Exhibits_FT-6June2001_1_Orange WIP Feb 04" xfId="362" xr:uid="{00000000-0005-0000-0000-000069010000}"/>
    <cellStyle name="_Multiple_Book12_Jazztel model 16DP3-Exhibits_FT-6June2001_1_Telefonica Moviles" xfId="363" xr:uid="{00000000-0005-0000-0000-00006A010000}"/>
    <cellStyle name="_Multiple_Book12_Jazztel model 16DP3-Exhibits_FT-6June2001_Orange WIP Feb 04" xfId="364" xr:uid="{00000000-0005-0000-0000-00006B010000}"/>
    <cellStyle name="_Multiple_Book12_Jazztel model 16DP3-Exhibits_Orange WIP Feb 04" xfId="365" xr:uid="{00000000-0005-0000-0000-00006C010000}"/>
    <cellStyle name="_Multiple_Book12_Jazztel model 16DP3-Exhibits_Telefonica Moviles" xfId="366" xr:uid="{00000000-0005-0000-0000-00006D010000}"/>
    <cellStyle name="_Multiple_Book12_Jazztel model 18DP-exhibits" xfId="367" xr:uid="{00000000-0005-0000-0000-00006E010000}"/>
    <cellStyle name="_Multiple_Book12_Jazztel model 18DP-exhibits_FT-6June2001" xfId="368" xr:uid="{00000000-0005-0000-0000-00006F010000}"/>
    <cellStyle name="_Multiple_Book12_Jazztel model 18DP-exhibits_FT-6June2001_Orange WIP Feb 04" xfId="369" xr:uid="{00000000-0005-0000-0000-000070010000}"/>
    <cellStyle name="_Multiple_Book12_Jazztel model 18DP-exhibits_Orange WIP Feb 04" xfId="370" xr:uid="{00000000-0005-0000-0000-000071010000}"/>
    <cellStyle name="_Multiple_Book12_Jazztel model 18DP-exhibits_Orange-Mar01" xfId="371" xr:uid="{00000000-0005-0000-0000-000072010000}"/>
    <cellStyle name="_Multiple_Book12_Jazztel model 18DP-exhibits_Orange-May01" xfId="372" xr:uid="{00000000-0005-0000-0000-000073010000}"/>
    <cellStyle name="_Multiple_Book12_Jazztel model 18DP-exhibits_T_MOBIL2" xfId="373" xr:uid="{00000000-0005-0000-0000-000074010000}"/>
    <cellStyle name="_Multiple_Book12_Jazztel model 18DP-exhibits_T_MOBIL2_FT-6June2001" xfId="374" xr:uid="{00000000-0005-0000-0000-000075010000}"/>
    <cellStyle name="_Multiple_Book12_Jazztel model 18DP-exhibits_T_MOBIL2_FT-6June2001_1" xfId="375" xr:uid="{00000000-0005-0000-0000-000076010000}"/>
    <cellStyle name="_Multiple_Book12_Jazztel model 18DP-exhibits_T_MOBIL2_Orange WIP Feb 04" xfId="376" xr:uid="{00000000-0005-0000-0000-000077010000}"/>
    <cellStyle name="_Multiple_Book12_Jazztel model 18DP-exhibits_T_MOBIL2_Orange-May01" xfId="377" xr:uid="{00000000-0005-0000-0000-000078010000}"/>
    <cellStyle name="_Multiple_Book12_Jazztel model 18DP-exhibits_T_MOBIL2_Orange-May01_Orange WIP Feb 04" xfId="378" xr:uid="{00000000-0005-0000-0000-000079010000}"/>
    <cellStyle name="_Multiple_Book12_Jazztel model 18DP-exhibits_T_MOBIL2_Orange-May01_Telefonica Group August 12 2002" xfId="379" xr:uid="{00000000-0005-0000-0000-00007A010000}"/>
    <cellStyle name="_Multiple_Book12_Jazztel model 18DP-exhibits_T_MOBIL2_Telefonica Group August 12 2002" xfId="380" xr:uid="{00000000-0005-0000-0000-00007B010000}"/>
    <cellStyle name="_Multiple_Book12_Jazztel model 18DP-exhibits_T_MOBIL2_Telefonica Moviles" xfId="381" xr:uid="{00000000-0005-0000-0000-00007C010000}"/>
    <cellStyle name="_Multiple_Book12_Jazztel model 18DP-exhibits_Telefonica Group August 12 2002" xfId="382" xr:uid="{00000000-0005-0000-0000-00007D010000}"/>
    <cellStyle name="_Multiple_Book12_Jazztel model 18DP-exhibits_Telefonica Moviles" xfId="383" xr:uid="{00000000-0005-0000-0000-00007E010000}"/>
    <cellStyle name="_Multiple_Book12_Jazztel model 18DP-exhibits_TelenorInitiation-11Jan01" xfId="384" xr:uid="{00000000-0005-0000-0000-00007F010000}"/>
    <cellStyle name="_Multiple_Book12_Jazztel model 18DP-exhibits_TelenorWIPFeb01" xfId="385" xr:uid="{00000000-0005-0000-0000-000080010000}"/>
    <cellStyle name="_Multiple_Book12_Jazztel model 18DP-exhibits_Telia-April01(new structure)" xfId="386" xr:uid="{00000000-0005-0000-0000-000081010000}"/>
    <cellStyle name="_Multiple_Book12_Jazztel model 18DP-exhibits_Telia-April01(new structure)_FT-6June2001" xfId="387" xr:uid="{00000000-0005-0000-0000-000082010000}"/>
    <cellStyle name="_Multiple_Book12_Jazztel model 18DP-exhibits_Telia-April01(new structure)_FT-6June2001_Orange WIP Feb 04" xfId="388" xr:uid="{00000000-0005-0000-0000-000083010000}"/>
    <cellStyle name="_Multiple_Book12_Jazztel model 18DP-exhibits_Telia-April01(new structure)_FT-6June2001_Telefonica Moviles" xfId="389" xr:uid="{00000000-0005-0000-0000-000084010000}"/>
    <cellStyle name="_Multiple_Book12_Jazztel model 18DP-exhibits_Telia-April01(new structure)_Telefonica Group August 12 2002" xfId="390" xr:uid="{00000000-0005-0000-0000-000085010000}"/>
    <cellStyle name="_Multiple_Book12_Jazztel model 18DP-exhibits_Telia-April01(new structure)_Telefonica Moviles" xfId="391" xr:uid="{00000000-0005-0000-0000-000086010000}"/>
    <cellStyle name="_Multiple_Book12_Jazztel1" xfId="392" xr:uid="{00000000-0005-0000-0000-000087010000}"/>
    <cellStyle name="_Multiple_Book12_Orange WIP Feb 04" xfId="393" xr:uid="{00000000-0005-0000-0000-000088010000}"/>
    <cellStyle name="_Multiple_Book12_Orange-Mar01" xfId="394" xr:uid="{00000000-0005-0000-0000-000089010000}"/>
    <cellStyle name="_Multiple_Book12_Orange-Mar01_FT 22July 02_1.1" xfId="395" xr:uid="{00000000-0005-0000-0000-00008A010000}"/>
    <cellStyle name="_Multiple_Book12_Orange-Mar01_FT-6June2001" xfId="396" xr:uid="{00000000-0005-0000-0000-00008B010000}"/>
    <cellStyle name="_Multiple_Book12_Orange-Mar01_Telefonica Moviles" xfId="397" xr:uid="{00000000-0005-0000-0000-00008C010000}"/>
    <cellStyle name="_Multiple_Book12_Orange-Mar01_Telefonica Moviles_1" xfId="398" xr:uid="{00000000-0005-0000-0000-00008D010000}"/>
    <cellStyle name="_Multiple_Book12_Orange-May01" xfId="399" xr:uid="{00000000-0005-0000-0000-00008E010000}"/>
    <cellStyle name="_Multiple_Book12_Orange-May01_FT-6June2001" xfId="400" xr:uid="{00000000-0005-0000-0000-00008F010000}"/>
    <cellStyle name="_Multiple_Book12_Orange-May01_FT-6June2001_Telefonica Moviles" xfId="401" xr:uid="{00000000-0005-0000-0000-000090010000}"/>
    <cellStyle name="_Multiple_Book12_Orange-May01_Orange WIP Feb 04" xfId="402" xr:uid="{00000000-0005-0000-0000-000091010000}"/>
    <cellStyle name="_Multiple_Book12_Orange-May01_Telefonica Group August 12 2002" xfId="403" xr:uid="{00000000-0005-0000-0000-000092010000}"/>
    <cellStyle name="_Multiple_Book12_Orange-May01_Telefonica Moviles" xfId="404" xr:uid="{00000000-0005-0000-0000-000093010000}"/>
    <cellStyle name="_Multiple_Book12_T_MOBIL2" xfId="405" xr:uid="{00000000-0005-0000-0000-000094010000}"/>
    <cellStyle name="_Multiple_Book12_Telefonica Moviles" xfId="406" xr:uid="{00000000-0005-0000-0000-000095010000}"/>
    <cellStyle name="_Multiple_Book12_TelenorInitiation-11Jan01" xfId="407" xr:uid="{00000000-0005-0000-0000-000096010000}"/>
    <cellStyle name="_Multiple_Book12_TelenorInitiation-11Jan01_FT 22July 02_1.1" xfId="408" xr:uid="{00000000-0005-0000-0000-000097010000}"/>
    <cellStyle name="_Multiple_Book12_TelenorInitiation-11Jan01_FT-6June2001" xfId="409" xr:uid="{00000000-0005-0000-0000-000098010000}"/>
    <cellStyle name="_Multiple_Book12_TelenorInitiation-11Jan01_Telefonica Moviles" xfId="410" xr:uid="{00000000-0005-0000-0000-000099010000}"/>
    <cellStyle name="_Multiple_Book12_TelenorInitiation-11Jan01_Telefonica Moviles_1" xfId="411" xr:uid="{00000000-0005-0000-0000-00009A010000}"/>
    <cellStyle name="_Multiple_Book12_TelenorWIPFeb01" xfId="412" xr:uid="{00000000-0005-0000-0000-00009B010000}"/>
    <cellStyle name="_Multiple_Book12_TelenorWIPFeb01_FT 22July 02_1.1" xfId="413" xr:uid="{00000000-0005-0000-0000-00009C010000}"/>
    <cellStyle name="_Multiple_Book12_TelenorWIPFeb01_FT-6June2001" xfId="414" xr:uid="{00000000-0005-0000-0000-00009D010000}"/>
    <cellStyle name="_Multiple_Book12_TelenorWIPFeb01_Telefonica Moviles" xfId="415" xr:uid="{00000000-0005-0000-0000-00009E010000}"/>
    <cellStyle name="_Multiple_Book12_TelenorWIPFeb01_Telefonica Moviles_1" xfId="416" xr:uid="{00000000-0005-0000-0000-00009F010000}"/>
    <cellStyle name="_Multiple_Book12_Telia-April01(new structure)" xfId="417" xr:uid="{00000000-0005-0000-0000-0000A0010000}"/>
    <cellStyle name="_Multiple_DCF Summary pages" xfId="418" xr:uid="{00000000-0005-0000-0000-0000A1010000}"/>
    <cellStyle name="_Multiple_DCF Summary pages_3G Models" xfId="419" xr:uid="{00000000-0005-0000-0000-0000A2010000}"/>
    <cellStyle name="_Multiple_DCF Summary pages_Jazztel model 16DP3-Exhibits" xfId="420" xr:uid="{00000000-0005-0000-0000-0000A3010000}"/>
    <cellStyle name="_Multiple_DCF Summary pages_Jazztel model 16DP3-Exhibits_3G Models" xfId="421" xr:uid="{00000000-0005-0000-0000-0000A4010000}"/>
    <cellStyle name="_Multiple_DCF Summary pages_Jazztel model 16DP3-Exhibits_FT-6June2001" xfId="422" xr:uid="{00000000-0005-0000-0000-0000A5010000}"/>
    <cellStyle name="_Multiple_DCF Summary pages_Jazztel model 16DP3-Exhibits_FT-6June2001_1" xfId="423" xr:uid="{00000000-0005-0000-0000-0000A6010000}"/>
    <cellStyle name="_Multiple_DCF Summary pages_Jazztel model 16DP3-Exhibits_FT-6June2001_1_Orange WIP Feb 04" xfId="424" xr:uid="{00000000-0005-0000-0000-0000A7010000}"/>
    <cellStyle name="_Multiple_DCF Summary pages_Jazztel model 16DP3-Exhibits_FT-6June2001_1_Telefonica Moviles" xfId="425" xr:uid="{00000000-0005-0000-0000-0000A8010000}"/>
    <cellStyle name="_Multiple_DCF Summary pages_Jazztel model 16DP3-Exhibits_FT-6June2001_Orange WIP Feb 04" xfId="426" xr:uid="{00000000-0005-0000-0000-0000A9010000}"/>
    <cellStyle name="_Multiple_DCF Summary pages_Jazztel model 16DP3-Exhibits_Orange WIP Feb 04" xfId="427" xr:uid="{00000000-0005-0000-0000-0000AA010000}"/>
    <cellStyle name="_Multiple_DCF Summary pages_Jazztel model 16DP3-Exhibits_Telefonica Moviles" xfId="428" xr:uid="{00000000-0005-0000-0000-0000AB010000}"/>
    <cellStyle name="_Multiple_DCF Summary pages_Jazztel model 18DP-exhibits" xfId="429" xr:uid="{00000000-0005-0000-0000-0000AC010000}"/>
    <cellStyle name="_Multiple_DCF Summary pages_Jazztel model 18DP-exhibits_FT-6June2001" xfId="430" xr:uid="{00000000-0005-0000-0000-0000AD010000}"/>
    <cellStyle name="_Multiple_DCF Summary pages_Jazztel model 18DP-exhibits_FT-6June2001_Orange WIP Feb 04" xfId="431" xr:uid="{00000000-0005-0000-0000-0000AE010000}"/>
    <cellStyle name="_Multiple_DCF Summary pages_Jazztel model 18DP-exhibits_Orange WIP Feb 04" xfId="432" xr:uid="{00000000-0005-0000-0000-0000AF010000}"/>
    <cellStyle name="_Multiple_DCF Summary pages_Jazztel model 18DP-exhibits_Orange-Mar01" xfId="433" xr:uid="{00000000-0005-0000-0000-0000B0010000}"/>
    <cellStyle name="_Multiple_DCF Summary pages_Jazztel model 18DP-exhibits_Orange-May01" xfId="434" xr:uid="{00000000-0005-0000-0000-0000B1010000}"/>
    <cellStyle name="_Multiple_DCF Summary pages_Jazztel model 18DP-exhibits_T_MOBIL2" xfId="435" xr:uid="{00000000-0005-0000-0000-0000B2010000}"/>
    <cellStyle name="_Multiple_DCF Summary pages_Jazztel model 18DP-exhibits_T_MOBIL2_FT-6June2001" xfId="436" xr:uid="{00000000-0005-0000-0000-0000B3010000}"/>
    <cellStyle name="_Multiple_DCF Summary pages_Jazztel model 18DP-exhibits_T_MOBIL2_FT-6June2001_1" xfId="437" xr:uid="{00000000-0005-0000-0000-0000B4010000}"/>
    <cellStyle name="_Multiple_DCF Summary pages_Jazztel model 18DP-exhibits_T_MOBIL2_Orange WIP Feb 04" xfId="438" xr:uid="{00000000-0005-0000-0000-0000B5010000}"/>
    <cellStyle name="_Multiple_DCF Summary pages_Jazztel model 18DP-exhibits_T_MOBIL2_Orange-May01" xfId="439" xr:uid="{00000000-0005-0000-0000-0000B6010000}"/>
    <cellStyle name="_Multiple_DCF Summary pages_Jazztel model 18DP-exhibits_T_MOBIL2_Orange-May01_Orange WIP Feb 04" xfId="440" xr:uid="{00000000-0005-0000-0000-0000B7010000}"/>
    <cellStyle name="_Multiple_DCF Summary pages_Jazztel model 18DP-exhibits_T_MOBIL2_Orange-May01_Telefonica Group August 12 2002" xfId="441" xr:uid="{00000000-0005-0000-0000-0000B8010000}"/>
    <cellStyle name="_Multiple_DCF Summary pages_Jazztel model 18DP-exhibits_T_MOBIL2_Telefonica Group August 12 2002" xfId="442" xr:uid="{00000000-0005-0000-0000-0000B9010000}"/>
    <cellStyle name="_Multiple_DCF Summary pages_Jazztel model 18DP-exhibits_T_MOBIL2_Telefonica Moviles" xfId="443" xr:uid="{00000000-0005-0000-0000-0000BA010000}"/>
    <cellStyle name="_Multiple_DCF Summary pages_Jazztel model 18DP-exhibits_Telefonica Group August 12 2002" xfId="444" xr:uid="{00000000-0005-0000-0000-0000BB010000}"/>
    <cellStyle name="_Multiple_DCF Summary pages_Jazztel model 18DP-exhibits_Telefonica Moviles" xfId="445" xr:uid="{00000000-0005-0000-0000-0000BC010000}"/>
    <cellStyle name="_Multiple_DCF Summary pages_Jazztel model 18DP-exhibits_TelenorInitiation-11Jan01" xfId="446" xr:uid="{00000000-0005-0000-0000-0000BD010000}"/>
    <cellStyle name="_Multiple_DCF Summary pages_Jazztel model 18DP-exhibits_TelenorWIPFeb01" xfId="447" xr:uid="{00000000-0005-0000-0000-0000BE010000}"/>
    <cellStyle name="_Multiple_DCF Summary pages_Jazztel model 18DP-exhibits_Telia-April01(new structure)" xfId="448" xr:uid="{00000000-0005-0000-0000-0000BF010000}"/>
    <cellStyle name="_Multiple_DCF Summary pages_Jazztel model 18DP-exhibits_Telia-April01(new structure)_FT-6June2001" xfId="449" xr:uid="{00000000-0005-0000-0000-0000C0010000}"/>
    <cellStyle name="_Multiple_DCF Summary pages_Jazztel model 18DP-exhibits_Telia-April01(new structure)_FT-6June2001_Orange WIP Feb 04" xfId="450" xr:uid="{00000000-0005-0000-0000-0000C1010000}"/>
    <cellStyle name="_Multiple_DCF Summary pages_Jazztel model 18DP-exhibits_Telia-April01(new structure)_FT-6June2001_Telefonica Moviles" xfId="451" xr:uid="{00000000-0005-0000-0000-0000C2010000}"/>
    <cellStyle name="_Multiple_DCF Summary pages_Jazztel model 18DP-exhibits_Telia-April01(new structure)_Telefonica Group August 12 2002" xfId="452" xr:uid="{00000000-0005-0000-0000-0000C3010000}"/>
    <cellStyle name="_Multiple_DCF Summary pages_Jazztel model 18DP-exhibits_Telia-April01(new structure)_Telefonica Moviles" xfId="453" xr:uid="{00000000-0005-0000-0000-0000C4010000}"/>
    <cellStyle name="_Multiple_DCF Summary pages_Jazztel1" xfId="454" xr:uid="{00000000-0005-0000-0000-0000C5010000}"/>
    <cellStyle name="_Multiple_DCF Summary pages_Orange WIP Feb 04" xfId="455" xr:uid="{00000000-0005-0000-0000-0000C6010000}"/>
    <cellStyle name="_Multiple_DCF Summary pages_Orange-Mar01" xfId="456" xr:uid="{00000000-0005-0000-0000-0000C7010000}"/>
    <cellStyle name="_Multiple_DCF Summary pages_Orange-Mar01_FT 22July 02_1.1" xfId="457" xr:uid="{00000000-0005-0000-0000-0000C8010000}"/>
    <cellStyle name="_Multiple_DCF Summary pages_Orange-Mar01_FT-6June2001" xfId="458" xr:uid="{00000000-0005-0000-0000-0000C9010000}"/>
    <cellStyle name="_Multiple_DCF Summary pages_Orange-Mar01_Telefonica Moviles" xfId="459" xr:uid="{00000000-0005-0000-0000-0000CA010000}"/>
    <cellStyle name="_Multiple_DCF Summary pages_Orange-Mar01_Telefonica Moviles_1" xfId="460" xr:uid="{00000000-0005-0000-0000-0000CB010000}"/>
    <cellStyle name="_Multiple_DCF Summary pages_Orange-May01" xfId="461" xr:uid="{00000000-0005-0000-0000-0000CC010000}"/>
    <cellStyle name="_Multiple_DCF Summary pages_Orange-May01_FT-6June2001" xfId="462" xr:uid="{00000000-0005-0000-0000-0000CD010000}"/>
    <cellStyle name="_Multiple_DCF Summary pages_Orange-May01_FT-6June2001_Telefonica Moviles" xfId="463" xr:uid="{00000000-0005-0000-0000-0000CE010000}"/>
    <cellStyle name="_Multiple_DCF Summary pages_Orange-May01_Orange WIP Feb 04" xfId="464" xr:uid="{00000000-0005-0000-0000-0000CF010000}"/>
    <cellStyle name="_Multiple_DCF Summary pages_Orange-May01_Telefonica Group August 12 2002" xfId="465" xr:uid="{00000000-0005-0000-0000-0000D0010000}"/>
    <cellStyle name="_Multiple_DCF Summary pages_Orange-May01_Telefonica Moviles" xfId="466" xr:uid="{00000000-0005-0000-0000-0000D1010000}"/>
    <cellStyle name="_Multiple_DCF Summary pages_T_MOBIL2" xfId="467" xr:uid="{00000000-0005-0000-0000-0000D2010000}"/>
    <cellStyle name="_Multiple_DCF Summary pages_Telefonica Moviles" xfId="468" xr:uid="{00000000-0005-0000-0000-0000D3010000}"/>
    <cellStyle name="_Multiple_DCF Summary pages_TelenorInitiation-11Jan01" xfId="469" xr:uid="{00000000-0005-0000-0000-0000D4010000}"/>
    <cellStyle name="_Multiple_DCF Summary pages_TelenorInitiation-11Jan01_FT 22July 02_1.1" xfId="470" xr:uid="{00000000-0005-0000-0000-0000D5010000}"/>
    <cellStyle name="_Multiple_DCF Summary pages_TelenorInitiation-11Jan01_FT-6June2001" xfId="471" xr:uid="{00000000-0005-0000-0000-0000D6010000}"/>
    <cellStyle name="_Multiple_DCF Summary pages_TelenorInitiation-11Jan01_Telefonica Moviles" xfId="472" xr:uid="{00000000-0005-0000-0000-0000D7010000}"/>
    <cellStyle name="_Multiple_DCF Summary pages_TelenorInitiation-11Jan01_Telefonica Moviles_1" xfId="473" xr:uid="{00000000-0005-0000-0000-0000D8010000}"/>
    <cellStyle name="_Multiple_DCF Summary pages_TelenorWIPFeb01" xfId="474" xr:uid="{00000000-0005-0000-0000-0000D9010000}"/>
    <cellStyle name="_Multiple_DCF Summary pages_TelenorWIPFeb01_FT 22July 02_1.1" xfId="475" xr:uid="{00000000-0005-0000-0000-0000DA010000}"/>
    <cellStyle name="_Multiple_DCF Summary pages_TelenorWIPFeb01_FT-6June2001" xfId="476" xr:uid="{00000000-0005-0000-0000-0000DB010000}"/>
    <cellStyle name="_Multiple_DCF Summary pages_TelenorWIPFeb01_Telefonica Moviles" xfId="477" xr:uid="{00000000-0005-0000-0000-0000DC010000}"/>
    <cellStyle name="_Multiple_DCF Summary pages_TelenorWIPFeb01_Telefonica Moviles_1" xfId="478" xr:uid="{00000000-0005-0000-0000-0000DD010000}"/>
    <cellStyle name="_Multiple_DCF Summary pages_Telia-April01(new structure)" xfId="479" xr:uid="{00000000-0005-0000-0000-0000DE010000}"/>
    <cellStyle name="_Multiple_FT-6June2001" xfId="480" xr:uid="{00000000-0005-0000-0000-0000DF010000}"/>
    <cellStyle name="_Multiple_FT-6June2001_Orange WIP Feb 04" xfId="481" xr:uid="{00000000-0005-0000-0000-0000E0010000}"/>
    <cellStyle name="_Multiple_Jazztel model 15-exhibits" xfId="482" xr:uid="{00000000-0005-0000-0000-0000E1010000}"/>
    <cellStyle name="_Multiple_Jazztel model 15-exhibits bis" xfId="483" xr:uid="{00000000-0005-0000-0000-0000E2010000}"/>
    <cellStyle name="_Multiple_Jazztel model 15-exhibits bis_3G Models" xfId="484" xr:uid="{00000000-0005-0000-0000-0000E3010000}"/>
    <cellStyle name="_Multiple_Jazztel model 15-exhibits bis_FT-6June2001" xfId="485" xr:uid="{00000000-0005-0000-0000-0000E4010000}"/>
    <cellStyle name="_Multiple_Jazztel model 15-exhibits bis_FT-6June2001_1" xfId="486" xr:uid="{00000000-0005-0000-0000-0000E5010000}"/>
    <cellStyle name="_Multiple_Jazztel model 15-exhibits bis_FT-6June2001_1_Orange WIP Feb 04" xfId="487" xr:uid="{00000000-0005-0000-0000-0000E6010000}"/>
    <cellStyle name="_Multiple_Jazztel model 15-exhibits bis_FT-6June2001_1_Telefonica Moviles" xfId="488" xr:uid="{00000000-0005-0000-0000-0000E7010000}"/>
    <cellStyle name="_Multiple_Jazztel model 15-exhibits bis_FT-6June2001_Orange WIP Feb 04" xfId="489" xr:uid="{00000000-0005-0000-0000-0000E8010000}"/>
    <cellStyle name="_Multiple_Jazztel model 15-exhibits bis_Orange WIP Feb 04" xfId="490" xr:uid="{00000000-0005-0000-0000-0000E9010000}"/>
    <cellStyle name="_Multiple_Jazztel model 15-exhibits bis_Telefonica Moviles" xfId="491" xr:uid="{00000000-0005-0000-0000-0000EA010000}"/>
    <cellStyle name="_Multiple_Jazztel model 15-exhibits_3G Models" xfId="492" xr:uid="{00000000-0005-0000-0000-0000EB010000}"/>
    <cellStyle name="_Multiple_Jazztel model 15-exhibits_Jazztel model 16DP3-Exhibits" xfId="493" xr:uid="{00000000-0005-0000-0000-0000EC010000}"/>
    <cellStyle name="_Multiple_Jazztel model 15-exhibits_Jazztel model 16DP3-Exhibits_3G Models" xfId="494" xr:uid="{00000000-0005-0000-0000-0000ED010000}"/>
    <cellStyle name="_Multiple_Jazztel model 15-exhibits_Jazztel model 16DP3-Exhibits_FT-6June2001" xfId="495" xr:uid="{00000000-0005-0000-0000-0000EE010000}"/>
    <cellStyle name="_Multiple_Jazztel model 15-exhibits_Jazztel model 16DP3-Exhibits_FT-6June2001_1" xfId="496" xr:uid="{00000000-0005-0000-0000-0000EF010000}"/>
    <cellStyle name="_Multiple_Jazztel model 15-exhibits_Jazztel model 16DP3-Exhibits_FT-6June2001_1_Orange WIP Feb 04" xfId="497" xr:uid="{00000000-0005-0000-0000-0000F0010000}"/>
    <cellStyle name="_Multiple_Jazztel model 15-exhibits_Jazztel model 16DP3-Exhibits_FT-6June2001_1_Telefonica Moviles" xfId="498" xr:uid="{00000000-0005-0000-0000-0000F1010000}"/>
    <cellStyle name="_Multiple_Jazztel model 15-exhibits_Jazztel model 16DP3-Exhibits_FT-6June2001_Orange WIP Feb 04" xfId="499" xr:uid="{00000000-0005-0000-0000-0000F2010000}"/>
    <cellStyle name="_Multiple_Jazztel model 15-exhibits_Jazztel model 16DP3-Exhibits_Orange WIP Feb 04" xfId="500" xr:uid="{00000000-0005-0000-0000-0000F3010000}"/>
    <cellStyle name="_Multiple_Jazztel model 15-exhibits_Jazztel model 16DP3-Exhibits_Telefonica Moviles" xfId="501" xr:uid="{00000000-0005-0000-0000-0000F4010000}"/>
    <cellStyle name="_Multiple_Jazztel model 15-exhibits_Jazztel model 18DP-exhibits" xfId="502" xr:uid="{00000000-0005-0000-0000-0000F5010000}"/>
    <cellStyle name="_Multiple_Jazztel model 15-exhibits_Jazztel model 18DP-exhibits_FT-6June2001" xfId="503" xr:uid="{00000000-0005-0000-0000-0000F6010000}"/>
    <cellStyle name="_Multiple_Jazztel model 15-exhibits_Jazztel model 18DP-exhibits_FT-6June2001_Orange WIP Feb 04" xfId="504" xr:uid="{00000000-0005-0000-0000-0000F7010000}"/>
    <cellStyle name="_Multiple_Jazztel model 15-exhibits_Jazztel model 18DP-exhibits_Orange WIP Feb 04" xfId="505" xr:uid="{00000000-0005-0000-0000-0000F8010000}"/>
    <cellStyle name="_Multiple_Jazztel model 15-exhibits_Jazztel model 18DP-exhibits_Orange-Mar01" xfId="506" xr:uid="{00000000-0005-0000-0000-0000F9010000}"/>
    <cellStyle name="_Multiple_Jazztel model 15-exhibits_Jazztel model 18DP-exhibits_Orange-May01" xfId="507" xr:uid="{00000000-0005-0000-0000-0000FA010000}"/>
    <cellStyle name="_Multiple_Jazztel model 15-exhibits_Jazztel model 18DP-exhibits_T_MOBIL2" xfId="508" xr:uid="{00000000-0005-0000-0000-0000FB010000}"/>
    <cellStyle name="_Multiple_Jazztel model 15-exhibits_Jazztel model 18DP-exhibits_T_MOBIL2_FT-6June2001" xfId="509" xr:uid="{00000000-0005-0000-0000-0000FC010000}"/>
    <cellStyle name="_Multiple_Jazztel model 15-exhibits_Jazztel model 18DP-exhibits_T_MOBIL2_FT-6June2001_1" xfId="510" xr:uid="{00000000-0005-0000-0000-0000FD010000}"/>
    <cellStyle name="_Multiple_Jazztel model 15-exhibits_Jazztel model 18DP-exhibits_T_MOBIL2_Orange WIP Feb 04" xfId="511" xr:uid="{00000000-0005-0000-0000-0000FE010000}"/>
    <cellStyle name="_Multiple_Jazztel model 15-exhibits_Jazztel model 18DP-exhibits_T_MOBIL2_Orange-May01" xfId="512" xr:uid="{00000000-0005-0000-0000-0000FF010000}"/>
    <cellStyle name="_Multiple_Jazztel model 15-exhibits_Jazztel model 18DP-exhibits_T_MOBIL2_Orange-May01_Orange WIP Feb 04" xfId="513" xr:uid="{00000000-0005-0000-0000-000000020000}"/>
    <cellStyle name="_Multiple_Jazztel model 15-exhibits_Jazztel model 18DP-exhibits_T_MOBIL2_Orange-May01_Telefonica Group August 12 2002" xfId="514" xr:uid="{00000000-0005-0000-0000-000001020000}"/>
    <cellStyle name="_Multiple_Jazztel model 15-exhibits_Jazztel model 18DP-exhibits_T_MOBIL2_Telefonica Group August 12 2002" xfId="515" xr:uid="{00000000-0005-0000-0000-000002020000}"/>
    <cellStyle name="_Multiple_Jazztel model 15-exhibits_Jazztel model 18DP-exhibits_T_MOBIL2_Telefonica Moviles" xfId="516" xr:uid="{00000000-0005-0000-0000-000003020000}"/>
    <cellStyle name="_Multiple_Jazztel model 15-exhibits_Jazztel model 18DP-exhibits_Telefonica Group August 12 2002" xfId="517" xr:uid="{00000000-0005-0000-0000-000004020000}"/>
    <cellStyle name="_Multiple_Jazztel model 15-exhibits_Jazztel model 18DP-exhibits_Telefonica Moviles" xfId="518" xr:uid="{00000000-0005-0000-0000-000005020000}"/>
    <cellStyle name="_Multiple_Jazztel model 15-exhibits_Jazztel model 18DP-exhibits_TelenorInitiation-11Jan01" xfId="519" xr:uid="{00000000-0005-0000-0000-000006020000}"/>
    <cellStyle name="_Multiple_Jazztel model 15-exhibits_Jazztel model 18DP-exhibits_TelenorWIPFeb01" xfId="520" xr:uid="{00000000-0005-0000-0000-000007020000}"/>
    <cellStyle name="_Multiple_Jazztel model 15-exhibits_Jazztel model 18DP-exhibits_Telia-April01(new structure)" xfId="521" xr:uid="{00000000-0005-0000-0000-000008020000}"/>
    <cellStyle name="_Multiple_Jazztel model 15-exhibits_Jazztel model 18DP-exhibits_Telia-April01(new structure)_FT-6June2001" xfId="522" xr:uid="{00000000-0005-0000-0000-000009020000}"/>
    <cellStyle name="_Multiple_Jazztel model 15-exhibits_Jazztel model 18DP-exhibits_Telia-April01(new structure)_FT-6June2001_Orange WIP Feb 04" xfId="523" xr:uid="{00000000-0005-0000-0000-00000A020000}"/>
    <cellStyle name="_Multiple_Jazztel model 15-exhibits_Jazztel model 18DP-exhibits_Telia-April01(new structure)_FT-6June2001_Telefonica Moviles" xfId="524" xr:uid="{00000000-0005-0000-0000-00000B020000}"/>
    <cellStyle name="_Multiple_Jazztel model 15-exhibits_Jazztel model 18DP-exhibits_Telia-April01(new structure)_Telefonica Group August 12 2002" xfId="525" xr:uid="{00000000-0005-0000-0000-00000C020000}"/>
    <cellStyle name="_Multiple_Jazztel model 15-exhibits_Jazztel model 18DP-exhibits_Telia-April01(new structure)_Telefonica Moviles" xfId="526" xr:uid="{00000000-0005-0000-0000-00000D020000}"/>
    <cellStyle name="_Multiple_Jazztel model 15-exhibits_Jazztel1" xfId="527" xr:uid="{00000000-0005-0000-0000-00000E020000}"/>
    <cellStyle name="_Multiple_Jazztel model 15-exhibits_Orange WIP Feb 04" xfId="528" xr:uid="{00000000-0005-0000-0000-00000F020000}"/>
    <cellStyle name="_Multiple_Jazztel model 15-exhibits_Orange-Mar01" xfId="529" xr:uid="{00000000-0005-0000-0000-000010020000}"/>
    <cellStyle name="_Multiple_Jazztel model 15-exhibits_Orange-Mar01_FT 22July 02_1.1" xfId="530" xr:uid="{00000000-0005-0000-0000-000011020000}"/>
    <cellStyle name="_Multiple_Jazztel model 15-exhibits_Orange-Mar01_FT-6June2001" xfId="531" xr:uid="{00000000-0005-0000-0000-000012020000}"/>
    <cellStyle name="_Multiple_Jazztel model 15-exhibits_Orange-Mar01_Telefonica Moviles" xfId="532" xr:uid="{00000000-0005-0000-0000-000013020000}"/>
    <cellStyle name="_Multiple_Jazztel model 15-exhibits_Orange-Mar01_Telefonica Moviles_1" xfId="533" xr:uid="{00000000-0005-0000-0000-000014020000}"/>
    <cellStyle name="_Multiple_Jazztel model 15-exhibits_Orange-May01" xfId="534" xr:uid="{00000000-0005-0000-0000-000015020000}"/>
    <cellStyle name="_Multiple_Jazztel model 15-exhibits_Orange-May01_FT-6June2001" xfId="535" xr:uid="{00000000-0005-0000-0000-000016020000}"/>
    <cellStyle name="_Multiple_Jazztel model 15-exhibits_Orange-May01_FT-6June2001_Telefonica Moviles" xfId="536" xr:uid="{00000000-0005-0000-0000-000017020000}"/>
    <cellStyle name="_Multiple_Jazztel model 15-exhibits_Orange-May01_Orange WIP Feb 04" xfId="537" xr:uid="{00000000-0005-0000-0000-000018020000}"/>
    <cellStyle name="_Multiple_Jazztel model 15-exhibits_Orange-May01_Telefonica Group August 12 2002" xfId="538" xr:uid="{00000000-0005-0000-0000-000019020000}"/>
    <cellStyle name="_Multiple_Jazztel model 15-exhibits_Orange-May01_Telefonica Moviles" xfId="539" xr:uid="{00000000-0005-0000-0000-00001A020000}"/>
    <cellStyle name="_Multiple_Jazztel model 15-exhibits_T_MOBIL2" xfId="540" xr:uid="{00000000-0005-0000-0000-00001B020000}"/>
    <cellStyle name="_Multiple_Jazztel model 15-exhibits_Telefonica Moviles" xfId="541" xr:uid="{00000000-0005-0000-0000-00001C020000}"/>
    <cellStyle name="_Multiple_Jazztel model 15-exhibits_TelenorInitiation-11Jan01" xfId="542" xr:uid="{00000000-0005-0000-0000-00001D020000}"/>
    <cellStyle name="_Multiple_Jazztel model 15-exhibits_TelenorInitiation-11Jan01_FT 22July 02_1.1" xfId="543" xr:uid="{00000000-0005-0000-0000-00001E020000}"/>
    <cellStyle name="_Multiple_Jazztel model 15-exhibits_TelenorInitiation-11Jan01_FT-6June2001" xfId="544" xr:uid="{00000000-0005-0000-0000-00001F020000}"/>
    <cellStyle name="_Multiple_Jazztel model 15-exhibits_TelenorInitiation-11Jan01_Telefonica Moviles" xfId="545" xr:uid="{00000000-0005-0000-0000-000020020000}"/>
    <cellStyle name="_Multiple_Jazztel model 15-exhibits_TelenorInitiation-11Jan01_Telefonica Moviles_1" xfId="546" xr:uid="{00000000-0005-0000-0000-000021020000}"/>
    <cellStyle name="_Multiple_Jazztel model 15-exhibits_TelenorWIPFeb01" xfId="547" xr:uid="{00000000-0005-0000-0000-000022020000}"/>
    <cellStyle name="_Multiple_Jazztel model 15-exhibits_TelenorWIPFeb01_FT 22July 02_1.1" xfId="548" xr:uid="{00000000-0005-0000-0000-000023020000}"/>
    <cellStyle name="_Multiple_Jazztel model 15-exhibits_TelenorWIPFeb01_FT-6June2001" xfId="549" xr:uid="{00000000-0005-0000-0000-000024020000}"/>
    <cellStyle name="_Multiple_Jazztel model 15-exhibits_TelenorWIPFeb01_Telefonica Moviles" xfId="550" xr:uid="{00000000-0005-0000-0000-000025020000}"/>
    <cellStyle name="_Multiple_Jazztel model 15-exhibits_TelenorWIPFeb01_Telefonica Moviles_1" xfId="551" xr:uid="{00000000-0005-0000-0000-000026020000}"/>
    <cellStyle name="_Multiple_Jazztel model 15-exhibits_Telia-April01(new structure)" xfId="552" xr:uid="{00000000-0005-0000-0000-000027020000}"/>
    <cellStyle name="_Multiple_Jazztel model 15-exhibits-Friso2" xfId="553" xr:uid="{00000000-0005-0000-0000-000028020000}"/>
    <cellStyle name="_Multiple_Jazztel model 15-exhibits-Friso2_3G Models" xfId="554" xr:uid="{00000000-0005-0000-0000-000029020000}"/>
    <cellStyle name="_Multiple_Jazztel model 15-exhibits-Friso2_Jazztel model 16DP3-Exhibits" xfId="555" xr:uid="{00000000-0005-0000-0000-00002A020000}"/>
    <cellStyle name="_Multiple_Jazztel model 15-exhibits-Friso2_Jazztel model 16DP3-Exhibits_3G Models" xfId="556" xr:uid="{00000000-0005-0000-0000-00002B020000}"/>
    <cellStyle name="_Multiple_Jazztel model 15-exhibits-Friso2_Jazztel model 16DP3-Exhibits_FT-6June2001" xfId="557" xr:uid="{00000000-0005-0000-0000-00002C020000}"/>
    <cellStyle name="_Multiple_Jazztel model 15-exhibits-Friso2_Jazztel model 16DP3-Exhibits_FT-6June2001_1" xfId="558" xr:uid="{00000000-0005-0000-0000-00002D020000}"/>
    <cellStyle name="_Multiple_Jazztel model 15-exhibits-Friso2_Jazztel model 16DP3-Exhibits_FT-6June2001_1_Orange WIP Feb 04" xfId="559" xr:uid="{00000000-0005-0000-0000-00002E020000}"/>
    <cellStyle name="_Multiple_Jazztel model 15-exhibits-Friso2_Jazztel model 16DP3-Exhibits_FT-6June2001_1_Telefonica Moviles" xfId="560" xr:uid="{00000000-0005-0000-0000-00002F020000}"/>
    <cellStyle name="_Multiple_Jazztel model 15-exhibits-Friso2_Jazztel model 16DP3-Exhibits_FT-6June2001_Orange WIP Feb 04" xfId="561" xr:uid="{00000000-0005-0000-0000-000030020000}"/>
    <cellStyle name="_Multiple_Jazztel model 15-exhibits-Friso2_Jazztel model 16DP3-Exhibits_Orange WIP Feb 04" xfId="562" xr:uid="{00000000-0005-0000-0000-000031020000}"/>
    <cellStyle name="_Multiple_Jazztel model 15-exhibits-Friso2_Jazztel model 16DP3-Exhibits_Telefonica Moviles" xfId="563" xr:uid="{00000000-0005-0000-0000-000032020000}"/>
    <cellStyle name="_Multiple_Jazztel model 15-exhibits-Friso2_Jazztel model 18DP-exhibits" xfId="564" xr:uid="{00000000-0005-0000-0000-000033020000}"/>
    <cellStyle name="_Multiple_Jazztel model 15-exhibits-Friso2_Jazztel model 18DP-exhibits_FT-6June2001" xfId="565" xr:uid="{00000000-0005-0000-0000-000034020000}"/>
    <cellStyle name="_Multiple_Jazztel model 15-exhibits-Friso2_Jazztel model 18DP-exhibits_FT-6June2001_Orange WIP Feb 04" xfId="566" xr:uid="{00000000-0005-0000-0000-000035020000}"/>
    <cellStyle name="_Multiple_Jazztel model 15-exhibits-Friso2_Jazztel model 18DP-exhibits_Orange WIP Feb 04" xfId="567" xr:uid="{00000000-0005-0000-0000-000036020000}"/>
    <cellStyle name="_Multiple_Jazztel model 15-exhibits-Friso2_Jazztel model 18DP-exhibits_Orange-Mar01" xfId="568" xr:uid="{00000000-0005-0000-0000-000037020000}"/>
    <cellStyle name="_Multiple_Jazztel model 15-exhibits-Friso2_Jazztel model 18DP-exhibits_Orange-May01" xfId="569" xr:uid="{00000000-0005-0000-0000-000038020000}"/>
    <cellStyle name="_Multiple_Jazztel model 15-exhibits-Friso2_Jazztel model 18DP-exhibits_T_MOBIL2" xfId="570" xr:uid="{00000000-0005-0000-0000-000039020000}"/>
    <cellStyle name="_Multiple_Jazztel model 15-exhibits-Friso2_Jazztel model 18DP-exhibits_T_MOBIL2_FT-6June2001" xfId="571" xr:uid="{00000000-0005-0000-0000-00003A020000}"/>
    <cellStyle name="_Multiple_Jazztel model 15-exhibits-Friso2_Jazztel model 18DP-exhibits_T_MOBIL2_FT-6June2001_1" xfId="572" xr:uid="{00000000-0005-0000-0000-00003B020000}"/>
    <cellStyle name="_Multiple_Jazztel model 15-exhibits-Friso2_Jazztel model 18DP-exhibits_T_MOBIL2_Orange WIP Feb 04" xfId="573" xr:uid="{00000000-0005-0000-0000-00003C020000}"/>
    <cellStyle name="_Multiple_Jazztel model 15-exhibits-Friso2_Jazztel model 18DP-exhibits_T_MOBIL2_Orange-May01" xfId="574" xr:uid="{00000000-0005-0000-0000-00003D020000}"/>
    <cellStyle name="_Multiple_Jazztel model 15-exhibits-Friso2_Jazztel model 18DP-exhibits_T_MOBIL2_Orange-May01_Orange WIP Feb 04" xfId="575" xr:uid="{00000000-0005-0000-0000-00003E020000}"/>
    <cellStyle name="_Multiple_Jazztel model 15-exhibits-Friso2_Jazztel model 18DP-exhibits_T_MOBIL2_Orange-May01_Telefonica Group August 12 2002" xfId="576" xr:uid="{00000000-0005-0000-0000-00003F020000}"/>
    <cellStyle name="_Multiple_Jazztel model 15-exhibits-Friso2_Jazztel model 18DP-exhibits_T_MOBIL2_Telefonica Group August 12 2002" xfId="577" xr:uid="{00000000-0005-0000-0000-000040020000}"/>
    <cellStyle name="_Multiple_Jazztel model 15-exhibits-Friso2_Jazztel model 18DP-exhibits_T_MOBIL2_Telefonica Moviles" xfId="578" xr:uid="{00000000-0005-0000-0000-000041020000}"/>
    <cellStyle name="_Multiple_Jazztel model 15-exhibits-Friso2_Jazztel model 18DP-exhibits_Telefonica Group August 12 2002" xfId="579" xr:uid="{00000000-0005-0000-0000-000042020000}"/>
    <cellStyle name="_Multiple_Jazztel model 15-exhibits-Friso2_Jazztel model 18DP-exhibits_Telefonica Moviles" xfId="580" xr:uid="{00000000-0005-0000-0000-000043020000}"/>
    <cellStyle name="_Multiple_Jazztel model 15-exhibits-Friso2_Jazztel model 18DP-exhibits_TelenorInitiation-11Jan01" xfId="581" xr:uid="{00000000-0005-0000-0000-000044020000}"/>
    <cellStyle name="_Multiple_Jazztel model 15-exhibits-Friso2_Jazztel model 18DP-exhibits_TelenorWIPFeb01" xfId="582" xr:uid="{00000000-0005-0000-0000-000045020000}"/>
    <cellStyle name="_Multiple_Jazztel model 15-exhibits-Friso2_Jazztel model 18DP-exhibits_Telia-April01(new structure)" xfId="583" xr:uid="{00000000-0005-0000-0000-000046020000}"/>
    <cellStyle name="_Multiple_Jazztel model 15-exhibits-Friso2_Jazztel model 18DP-exhibits_Telia-April01(new structure)_FT-6June2001" xfId="584" xr:uid="{00000000-0005-0000-0000-000047020000}"/>
    <cellStyle name="_Multiple_Jazztel model 15-exhibits-Friso2_Jazztel model 18DP-exhibits_Telia-April01(new structure)_FT-6June2001_Orange WIP Feb 04" xfId="585" xr:uid="{00000000-0005-0000-0000-000048020000}"/>
    <cellStyle name="_Multiple_Jazztel model 15-exhibits-Friso2_Jazztel model 18DP-exhibits_Telia-April01(new structure)_FT-6June2001_Telefonica Moviles" xfId="586" xr:uid="{00000000-0005-0000-0000-000049020000}"/>
    <cellStyle name="_Multiple_Jazztel model 15-exhibits-Friso2_Jazztel model 18DP-exhibits_Telia-April01(new structure)_Telefonica Group August 12 2002" xfId="587" xr:uid="{00000000-0005-0000-0000-00004A020000}"/>
    <cellStyle name="_Multiple_Jazztel model 15-exhibits-Friso2_Jazztel model 18DP-exhibits_Telia-April01(new structure)_Telefonica Moviles" xfId="588" xr:uid="{00000000-0005-0000-0000-00004B020000}"/>
    <cellStyle name="_Multiple_Jazztel model 15-exhibits-Friso2_Jazztel1" xfId="589" xr:uid="{00000000-0005-0000-0000-00004C020000}"/>
    <cellStyle name="_Multiple_Jazztel model 15-exhibits-Friso2_Orange WIP Feb 04" xfId="590" xr:uid="{00000000-0005-0000-0000-00004D020000}"/>
    <cellStyle name="_Multiple_Jazztel model 15-exhibits-Friso2_Orange-Mar01" xfId="591" xr:uid="{00000000-0005-0000-0000-00004E020000}"/>
    <cellStyle name="_Multiple_Jazztel model 15-exhibits-Friso2_Orange-Mar01_FT 22July 02_1.1" xfId="592" xr:uid="{00000000-0005-0000-0000-00004F020000}"/>
    <cellStyle name="_Multiple_Jazztel model 15-exhibits-Friso2_Orange-Mar01_FT-6June2001" xfId="593" xr:uid="{00000000-0005-0000-0000-000050020000}"/>
    <cellStyle name="_Multiple_Jazztel model 15-exhibits-Friso2_Orange-Mar01_Telefonica Moviles" xfId="594" xr:uid="{00000000-0005-0000-0000-000051020000}"/>
    <cellStyle name="_Multiple_Jazztel model 15-exhibits-Friso2_Orange-Mar01_Telefonica Moviles_1" xfId="595" xr:uid="{00000000-0005-0000-0000-000052020000}"/>
    <cellStyle name="_Multiple_Jazztel model 15-exhibits-Friso2_Orange-May01" xfId="596" xr:uid="{00000000-0005-0000-0000-000053020000}"/>
    <cellStyle name="_Multiple_Jazztel model 15-exhibits-Friso2_Orange-May01_FT-6June2001" xfId="597" xr:uid="{00000000-0005-0000-0000-000054020000}"/>
    <cellStyle name="_Multiple_Jazztel model 15-exhibits-Friso2_Orange-May01_FT-6June2001_Telefonica Moviles" xfId="598" xr:uid="{00000000-0005-0000-0000-000055020000}"/>
    <cellStyle name="_Multiple_Jazztel model 15-exhibits-Friso2_Orange-May01_Orange WIP Feb 04" xfId="599" xr:uid="{00000000-0005-0000-0000-000056020000}"/>
    <cellStyle name="_Multiple_Jazztel model 15-exhibits-Friso2_Orange-May01_Telefonica Group August 12 2002" xfId="600" xr:uid="{00000000-0005-0000-0000-000057020000}"/>
    <cellStyle name="_Multiple_Jazztel model 15-exhibits-Friso2_Orange-May01_Telefonica Moviles" xfId="601" xr:uid="{00000000-0005-0000-0000-000058020000}"/>
    <cellStyle name="_Multiple_Jazztel model 15-exhibits-Friso2_T_MOBIL2" xfId="602" xr:uid="{00000000-0005-0000-0000-000059020000}"/>
    <cellStyle name="_Multiple_Jazztel model 15-exhibits-Friso2_Telefonica Moviles" xfId="603" xr:uid="{00000000-0005-0000-0000-00005A020000}"/>
    <cellStyle name="_Multiple_Jazztel model 15-exhibits-Friso2_TelenorInitiation-11Jan01" xfId="604" xr:uid="{00000000-0005-0000-0000-00005B020000}"/>
    <cellStyle name="_Multiple_Jazztel model 15-exhibits-Friso2_TelenorInitiation-11Jan01_FT 22July 02_1.1" xfId="605" xr:uid="{00000000-0005-0000-0000-00005C020000}"/>
    <cellStyle name="_Multiple_Jazztel model 15-exhibits-Friso2_TelenorInitiation-11Jan01_FT-6June2001" xfId="606" xr:uid="{00000000-0005-0000-0000-00005D020000}"/>
    <cellStyle name="_Multiple_Jazztel model 15-exhibits-Friso2_TelenorInitiation-11Jan01_Telefonica Moviles" xfId="607" xr:uid="{00000000-0005-0000-0000-00005E020000}"/>
    <cellStyle name="_Multiple_Jazztel model 15-exhibits-Friso2_TelenorInitiation-11Jan01_Telefonica Moviles_1" xfId="608" xr:uid="{00000000-0005-0000-0000-00005F020000}"/>
    <cellStyle name="_Multiple_Jazztel model 15-exhibits-Friso2_TelenorWIPFeb01" xfId="609" xr:uid="{00000000-0005-0000-0000-000060020000}"/>
    <cellStyle name="_Multiple_Jazztel model 15-exhibits-Friso2_TelenorWIPFeb01_FT 22July 02_1.1" xfId="610" xr:uid="{00000000-0005-0000-0000-000061020000}"/>
    <cellStyle name="_Multiple_Jazztel model 15-exhibits-Friso2_TelenorWIPFeb01_FT-6June2001" xfId="611" xr:uid="{00000000-0005-0000-0000-000062020000}"/>
    <cellStyle name="_Multiple_Jazztel model 15-exhibits-Friso2_TelenorWIPFeb01_Telefonica Moviles" xfId="612" xr:uid="{00000000-0005-0000-0000-000063020000}"/>
    <cellStyle name="_Multiple_Jazztel model 15-exhibits-Friso2_TelenorWIPFeb01_Telefonica Moviles_1" xfId="613" xr:uid="{00000000-0005-0000-0000-000064020000}"/>
    <cellStyle name="_Multiple_Jazztel model 15-exhibits-Friso2_Telia-April01(new structure)" xfId="614" xr:uid="{00000000-0005-0000-0000-000065020000}"/>
    <cellStyle name="_Multiple_Jazztel model 16DP2-Exhibits" xfId="615" xr:uid="{00000000-0005-0000-0000-000066020000}"/>
    <cellStyle name="_Multiple_Jazztel model 16DP2-Exhibits_3G Models" xfId="616" xr:uid="{00000000-0005-0000-0000-000067020000}"/>
    <cellStyle name="_Multiple_Jazztel model 16DP2-Exhibits_FT-6June2001" xfId="617" xr:uid="{00000000-0005-0000-0000-000068020000}"/>
    <cellStyle name="_Multiple_Jazztel model 16DP2-Exhibits_FT-6June2001_Orange WIP Feb 04" xfId="618" xr:uid="{00000000-0005-0000-0000-000069020000}"/>
    <cellStyle name="_Multiple_Jazztel model 16DP2-Exhibits_Orange WIP Feb 04" xfId="619" xr:uid="{00000000-0005-0000-0000-00006A020000}"/>
    <cellStyle name="_Multiple_Jazztel model 16DP2-Exhibits_Orange-Mar01" xfId="620" xr:uid="{00000000-0005-0000-0000-00006B020000}"/>
    <cellStyle name="_Multiple_Jazztel model 16DP2-Exhibits_Orange-Mar01_Telefonica Group August 12 2002" xfId="621" xr:uid="{00000000-0005-0000-0000-00006C020000}"/>
    <cellStyle name="_Multiple_Jazztel model 16DP2-Exhibits_Orange-May01" xfId="622" xr:uid="{00000000-0005-0000-0000-00006D020000}"/>
    <cellStyle name="_Multiple_Jazztel model 16DP2-Exhibits_Orange-May01_Telefonica Group August 12 2002" xfId="623" xr:uid="{00000000-0005-0000-0000-00006E020000}"/>
    <cellStyle name="_Multiple_Jazztel model 16DP2-Exhibits_T_MOBIL2" xfId="624" xr:uid="{00000000-0005-0000-0000-00006F020000}"/>
    <cellStyle name="_Multiple_Jazztel model 16DP2-Exhibits_Telefonica Group August 12 2002" xfId="625" xr:uid="{00000000-0005-0000-0000-000070020000}"/>
    <cellStyle name="_Multiple_Jazztel model 16DP2-Exhibits_Telefonica Moviles" xfId="626" xr:uid="{00000000-0005-0000-0000-000071020000}"/>
    <cellStyle name="_Multiple_Jazztel model 16DP2-Exhibits_TelenorInitiation-11Jan01" xfId="627" xr:uid="{00000000-0005-0000-0000-000072020000}"/>
    <cellStyle name="_Multiple_Jazztel model 16DP2-Exhibits_TelenorInitiation-11Jan01_Telefonica Group August 12 2002" xfId="628" xr:uid="{00000000-0005-0000-0000-000073020000}"/>
    <cellStyle name="_Multiple_Jazztel model 16DP2-Exhibits_TelenorWIPFeb01" xfId="629" xr:uid="{00000000-0005-0000-0000-000074020000}"/>
    <cellStyle name="_Multiple_Jazztel model 16DP2-Exhibits_TelenorWIPFeb01_Telefonica Group August 12 2002" xfId="630" xr:uid="{00000000-0005-0000-0000-000075020000}"/>
    <cellStyle name="_Multiple_Jazztel model 16DP3-Exhibits" xfId="631" xr:uid="{00000000-0005-0000-0000-000076020000}"/>
    <cellStyle name="_Multiple_Jazztel model 16DP3-Exhibits_3G Models" xfId="632" xr:uid="{00000000-0005-0000-0000-000077020000}"/>
    <cellStyle name="_Multiple_Jazztel model 16DP3-Exhibits_FT-6June2001" xfId="633" xr:uid="{00000000-0005-0000-0000-000078020000}"/>
    <cellStyle name="_Multiple_Jazztel model 16DP3-Exhibits_FT-6June2001_Orange WIP Feb 04" xfId="634" xr:uid="{00000000-0005-0000-0000-000079020000}"/>
    <cellStyle name="_Multiple_Jazztel model 16DP3-Exhibits_Orange WIP Feb 04" xfId="635" xr:uid="{00000000-0005-0000-0000-00007A020000}"/>
    <cellStyle name="_Multiple_Jazztel model 16DP3-Exhibits_Orange-Mar01" xfId="636" xr:uid="{00000000-0005-0000-0000-00007B020000}"/>
    <cellStyle name="_Multiple_Jazztel model 16DP3-Exhibits_Orange-Mar01_Telefonica Group August 12 2002" xfId="637" xr:uid="{00000000-0005-0000-0000-00007C020000}"/>
    <cellStyle name="_Multiple_Jazztel model 16DP3-Exhibits_Orange-May01" xfId="638" xr:uid="{00000000-0005-0000-0000-00007D020000}"/>
    <cellStyle name="_Multiple_Jazztel model 16DP3-Exhibits_Orange-May01_Telefonica Group August 12 2002" xfId="639" xr:uid="{00000000-0005-0000-0000-00007E020000}"/>
    <cellStyle name="_Multiple_Jazztel model 16DP3-Exhibits_T_MOBIL2" xfId="640" xr:uid="{00000000-0005-0000-0000-00007F020000}"/>
    <cellStyle name="_Multiple_Jazztel model 16DP3-Exhibits_Telefonica Group August 12 2002" xfId="641" xr:uid="{00000000-0005-0000-0000-000080020000}"/>
    <cellStyle name="_Multiple_Jazztel model 16DP3-Exhibits_Telefonica Moviles" xfId="642" xr:uid="{00000000-0005-0000-0000-000081020000}"/>
    <cellStyle name="_Multiple_Jazztel model 16DP3-Exhibits_TelenorInitiation-11Jan01" xfId="643" xr:uid="{00000000-0005-0000-0000-000082020000}"/>
    <cellStyle name="_Multiple_Jazztel model 16DP3-Exhibits_TelenorInitiation-11Jan01_Telefonica Group August 12 2002" xfId="644" xr:uid="{00000000-0005-0000-0000-000083020000}"/>
    <cellStyle name="_Multiple_Jazztel model 16DP3-Exhibits_TelenorWIPFeb01" xfId="645" xr:uid="{00000000-0005-0000-0000-000084020000}"/>
    <cellStyle name="_Multiple_Jazztel model 16DP3-Exhibits_TelenorWIPFeb01_Telefonica Group August 12 2002" xfId="646" xr:uid="{00000000-0005-0000-0000-000085020000}"/>
    <cellStyle name="_Multiple_MIC-08Q4-SME" xfId="647" xr:uid="{00000000-0005-0000-0000-000086020000}"/>
    <cellStyle name="_Multiple_Orange WIP Feb 04" xfId="648" xr:uid="{00000000-0005-0000-0000-000087020000}"/>
    <cellStyle name="_Multiple_Orange-Mar01" xfId="649" xr:uid="{00000000-0005-0000-0000-000088020000}"/>
    <cellStyle name="_Multiple_Orange-Mar01_Telefonica Group August 12 2002" xfId="650" xr:uid="{00000000-0005-0000-0000-000089020000}"/>
    <cellStyle name="_Multiple_Orange-May01" xfId="651" xr:uid="{00000000-0005-0000-0000-00008A020000}"/>
    <cellStyle name="_Multiple_Orange-May01_Telefonica Group August 12 2002" xfId="652" xr:uid="{00000000-0005-0000-0000-00008B020000}"/>
    <cellStyle name="_Multiple_T_MOBIL2" xfId="653" xr:uid="{00000000-0005-0000-0000-00008C020000}"/>
    <cellStyle name="_Multiple_Telefonica Group August 12 2002" xfId="654" xr:uid="{00000000-0005-0000-0000-00008D020000}"/>
    <cellStyle name="_Multiple_Telefonica Moviles" xfId="655" xr:uid="{00000000-0005-0000-0000-00008E020000}"/>
    <cellStyle name="_Multiple_TelenorInitiation-11Jan01" xfId="656" xr:uid="{00000000-0005-0000-0000-00008F020000}"/>
    <cellStyle name="_Multiple_TelenorInitiation-11Jan01_Telefonica Group August 12 2002" xfId="657" xr:uid="{00000000-0005-0000-0000-000090020000}"/>
    <cellStyle name="_Multiple_TelenorWIPFeb01" xfId="658" xr:uid="{00000000-0005-0000-0000-000091020000}"/>
    <cellStyle name="_Multiple_TelenorWIPFeb01_Telefonica Group August 12 2002" xfId="659" xr:uid="{00000000-0005-0000-0000-000092020000}"/>
    <cellStyle name="_MultipleSpace" xfId="660" xr:uid="{00000000-0005-0000-0000-000093020000}"/>
    <cellStyle name="_MultipleSpace_3G Models" xfId="661" xr:uid="{00000000-0005-0000-0000-000094020000}"/>
    <cellStyle name="_MultipleSpace_Book1" xfId="662" xr:uid="{00000000-0005-0000-0000-000095020000}"/>
    <cellStyle name="_MultipleSpace_Book1_Jazztel" xfId="663" xr:uid="{00000000-0005-0000-0000-000096020000}"/>
    <cellStyle name="_MultipleSpace_Book1_Jazztel model 16DP3-Exhibits" xfId="664" xr:uid="{00000000-0005-0000-0000-000097020000}"/>
    <cellStyle name="_MultipleSpace_Book1_Jazztel model 16DP3-Exhibits_Orange WIP Feb 04" xfId="665" xr:uid="{00000000-0005-0000-0000-000098020000}"/>
    <cellStyle name="_MultipleSpace_Book1_Jazztel model 16DP3-Exhibits_Orange-Mar01" xfId="666" xr:uid="{00000000-0005-0000-0000-000099020000}"/>
    <cellStyle name="_MultipleSpace_Book1_Jazztel model 16DP3-Exhibits_Orange-May01" xfId="667" xr:uid="{00000000-0005-0000-0000-00009A020000}"/>
    <cellStyle name="_MultipleSpace_Book1_Jazztel model 16DP3-Exhibits_Orange-May01_Orange WIP Feb 04" xfId="668" xr:uid="{00000000-0005-0000-0000-00009B020000}"/>
    <cellStyle name="_MultipleSpace_Book1_Jazztel model 16DP3-Exhibits_Telefonica Moviles" xfId="669" xr:uid="{00000000-0005-0000-0000-00009C020000}"/>
    <cellStyle name="_MultipleSpace_Book1_Jazztel model 16DP3-Exhibits_TelenorInitiation-11Jan01" xfId="670" xr:uid="{00000000-0005-0000-0000-00009D020000}"/>
    <cellStyle name="_MultipleSpace_Book1_Jazztel model 16DP3-Exhibits_TelenorWIPFeb01" xfId="671" xr:uid="{00000000-0005-0000-0000-00009E020000}"/>
    <cellStyle name="_MultipleSpace_Book1_Jazztel model 18DP-exhibits" xfId="672" xr:uid="{00000000-0005-0000-0000-00009F020000}"/>
    <cellStyle name="_MultipleSpace_Book1_Jazztel model 18DP-exhibits_FT-6June2001" xfId="673" xr:uid="{00000000-0005-0000-0000-0000A0020000}"/>
    <cellStyle name="_MultipleSpace_Book1_Jazztel model 18DP-exhibits_FT-6June2001_Orange WIP Feb 04" xfId="674" xr:uid="{00000000-0005-0000-0000-0000A1020000}"/>
    <cellStyle name="_MultipleSpace_Book1_Jazztel model 18DP-exhibits_Orange WIP Feb 04" xfId="675" xr:uid="{00000000-0005-0000-0000-0000A2020000}"/>
    <cellStyle name="_MultipleSpace_Book1_Jazztel model 18DP-exhibits_Orange-Mar01" xfId="676" xr:uid="{00000000-0005-0000-0000-0000A3020000}"/>
    <cellStyle name="_MultipleSpace_Book1_Jazztel model 18DP-exhibits_Orange-May01" xfId="677" xr:uid="{00000000-0005-0000-0000-0000A4020000}"/>
    <cellStyle name="_MultipleSpace_Book1_Jazztel model 18DP-exhibits_T_MOBIL2" xfId="678" xr:uid="{00000000-0005-0000-0000-0000A5020000}"/>
    <cellStyle name="_MultipleSpace_Book1_Jazztel model 18DP-exhibits_T_MOBIL2_FT-6June2001" xfId="679" xr:uid="{00000000-0005-0000-0000-0000A6020000}"/>
    <cellStyle name="_MultipleSpace_Book1_Jazztel model 18DP-exhibits_T_MOBIL2_Orange WIP Feb 04" xfId="680" xr:uid="{00000000-0005-0000-0000-0000A7020000}"/>
    <cellStyle name="_MultipleSpace_Book1_Jazztel model 18DP-exhibits_T_MOBIL2_Orange-May01" xfId="681" xr:uid="{00000000-0005-0000-0000-0000A8020000}"/>
    <cellStyle name="_MultipleSpace_Book1_Jazztel model 18DP-exhibits_T_MOBIL2_Orange-May01_Orange WIP Feb 04" xfId="682" xr:uid="{00000000-0005-0000-0000-0000A9020000}"/>
    <cellStyle name="_MultipleSpace_Book1_Jazztel model 18DP-exhibits_T_MOBIL2_Orange-May01_Telefonica Group August 12 2002" xfId="683" xr:uid="{00000000-0005-0000-0000-0000AA020000}"/>
    <cellStyle name="_MultipleSpace_Book1_Jazztel model 18DP-exhibits_T_MOBIL2_Telefonica Moviles" xfId="684" xr:uid="{00000000-0005-0000-0000-0000AB020000}"/>
    <cellStyle name="_MultipleSpace_Book1_Jazztel model 18DP-exhibits_Telefonica Moviles" xfId="685" xr:uid="{00000000-0005-0000-0000-0000AC020000}"/>
    <cellStyle name="_MultipleSpace_Book1_Jazztel model 18DP-exhibits_TelenorInitiation-11Jan01" xfId="686" xr:uid="{00000000-0005-0000-0000-0000AD020000}"/>
    <cellStyle name="_MultipleSpace_Book1_Jazztel model 18DP-exhibits_TelenorWIPFeb01" xfId="687" xr:uid="{00000000-0005-0000-0000-0000AE020000}"/>
    <cellStyle name="_MultipleSpace_Book1_Jazztel model 18DP-exhibits_Telia-April01(new structure)" xfId="688" xr:uid="{00000000-0005-0000-0000-0000AF020000}"/>
    <cellStyle name="_MultipleSpace_Book1_Jazztel model 18DP-exhibits_Telia-April01(new structure)_Telefonica Group August 12 2002" xfId="689" xr:uid="{00000000-0005-0000-0000-0000B0020000}"/>
    <cellStyle name="_MultipleSpace_Book1_Jazztel1" xfId="690" xr:uid="{00000000-0005-0000-0000-0000B1020000}"/>
    <cellStyle name="_MultipleSpace_Book1_Jazztel1_Orange WIP Feb 04" xfId="691" xr:uid="{00000000-0005-0000-0000-0000B2020000}"/>
    <cellStyle name="_MultipleSpace_Book1_Jazztel1_Orange-Mar01" xfId="692" xr:uid="{00000000-0005-0000-0000-0000B3020000}"/>
    <cellStyle name="_MultipleSpace_Book1_Jazztel1_Orange-Mar01_FT-6June2001" xfId="693" xr:uid="{00000000-0005-0000-0000-0000B4020000}"/>
    <cellStyle name="_MultipleSpace_Book1_Jazztel1_Orange-Mar01_Orange WIP Feb 04" xfId="694" xr:uid="{00000000-0005-0000-0000-0000B5020000}"/>
    <cellStyle name="_MultipleSpace_Book1_Jazztel1_Orange-Mar01_Telefonica Moviles" xfId="695" xr:uid="{00000000-0005-0000-0000-0000B6020000}"/>
    <cellStyle name="_MultipleSpace_Book1_Jazztel1_Orange-Mar01_Telefonica Moviles_1" xfId="696" xr:uid="{00000000-0005-0000-0000-0000B7020000}"/>
    <cellStyle name="_MultipleSpace_Book1_Jazztel1_Orange-May01" xfId="697" xr:uid="{00000000-0005-0000-0000-0000B8020000}"/>
    <cellStyle name="_MultipleSpace_Book1_Jazztel1_Orange-May01_FT-6June2001" xfId="698" xr:uid="{00000000-0005-0000-0000-0000B9020000}"/>
    <cellStyle name="_MultipleSpace_Book1_Jazztel1_Orange-May01_FT-6June2001_Orange WIP Feb 04" xfId="699" xr:uid="{00000000-0005-0000-0000-0000BA020000}"/>
    <cellStyle name="_MultipleSpace_Book1_Jazztel1_Orange-May01_FT-6June2001_Telefonica Moviles" xfId="700" xr:uid="{00000000-0005-0000-0000-0000BB020000}"/>
    <cellStyle name="_MultipleSpace_Book1_Jazztel1_Orange-May01_Orange WIP Feb 04" xfId="701" xr:uid="{00000000-0005-0000-0000-0000BC020000}"/>
    <cellStyle name="_MultipleSpace_Book1_Jazztel1_Orange-May01_Telefonica Group August 12 2002" xfId="702" xr:uid="{00000000-0005-0000-0000-0000BD020000}"/>
    <cellStyle name="_MultipleSpace_Book1_Jazztel1_Orange-May01_Telefonica Moviles" xfId="703" xr:uid="{00000000-0005-0000-0000-0000BE020000}"/>
    <cellStyle name="_MultipleSpace_Book1_Jazztel1_Telefonica Moviles" xfId="704" xr:uid="{00000000-0005-0000-0000-0000BF020000}"/>
    <cellStyle name="_MultipleSpace_Book1_Jazztel1_TelenorInitiation-11Jan01" xfId="705" xr:uid="{00000000-0005-0000-0000-0000C0020000}"/>
    <cellStyle name="_MultipleSpace_Book1_Jazztel1_TelenorInitiation-11Jan01_FT-6June2001" xfId="706" xr:uid="{00000000-0005-0000-0000-0000C1020000}"/>
    <cellStyle name="_MultipleSpace_Book1_Jazztel1_TelenorInitiation-11Jan01_Orange WIP Feb 04" xfId="707" xr:uid="{00000000-0005-0000-0000-0000C2020000}"/>
    <cellStyle name="_MultipleSpace_Book1_Jazztel1_TelenorInitiation-11Jan01_Telefonica Moviles" xfId="708" xr:uid="{00000000-0005-0000-0000-0000C3020000}"/>
    <cellStyle name="_MultipleSpace_Book1_Jazztel1_TelenorInitiation-11Jan01_Telefonica Moviles_1" xfId="709" xr:uid="{00000000-0005-0000-0000-0000C4020000}"/>
    <cellStyle name="_MultipleSpace_Book1_Jazztel1_TelenorWIPFeb01" xfId="710" xr:uid="{00000000-0005-0000-0000-0000C5020000}"/>
    <cellStyle name="_MultipleSpace_Book1_Jazztel1_TelenorWIPFeb01_FT-6June2001" xfId="711" xr:uid="{00000000-0005-0000-0000-0000C6020000}"/>
    <cellStyle name="_MultipleSpace_Book1_Jazztel1_TelenorWIPFeb01_Orange WIP Feb 04" xfId="712" xr:uid="{00000000-0005-0000-0000-0000C7020000}"/>
    <cellStyle name="_MultipleSpace_Book1_Jazztel1_TelenorWIPFeb01_Telefonica Moviles" xfId="713" xr:uid="{00000000-0005-0000-0000-0000C8020000}"/>
    <cellStyle name="_MultipleSpace_Book1_Jazztel1_TelenorWIPFeb01_Telefonica Moviles_1" xfId="714" xr:uid="{00000000-0005-0000-0000-0000C9020000}"/>
    <cellStyle name="_MultipleSpace_Book11" xfId="715" xr:uid="{00000000-0005-0000-0000-0000CA020000}"/>
    <cellStyle name="_MultipleSpace_Book11_Jazztel" xfId="716" xr:uid="{00000000-0005-0000-0000-0000CB020000}"/>
    <cellStyle name="_MultipleSpace_Book11_Jazztel model 16DP3-Exhibits" xfId="717" xr:uid="{00000000-0005-0000-0000-0000CC020000}"/>
    <cellStyle name="_MultipleSpace_Book11_Jazztel model 16DP3-Exhibits_Orange WIP Feb 04" xfId="718" xr:uid="{00000000-0005-0000-0000-0000CD020000}"/>
    <cellStyle name="_MultipleSpace_Book11_Jazztel model 16DP3-Exhibits_Orange-Mar01" xfId="719" xr:uid="{00000000-0005-0000-0000-0000CE020000}"/>
    <cellStyle name="_MultipleSpace_Book11_Jazztel model 16DP3-Exhibits_Orange-May01" xfId="720" xr:uid="{00000000-0005-0000-0000-0000CF020000}"/>
    <cellStyle name="_MultipleSpace_Book11_Jazztel model 16DP3-Exhibits_Orange-May01_Orange WIP Feb 04" xfId="721" xr:uid="{00000000-0005-0000-0000-0000D0020000}"/>
    <cellStyle name="_MultipleSpace_Book11_Jazztel model 16DP3-Exhibits_Telefonica Moviles" xfId="722" xr:uid="{00000000-0005-0000-0000-0000D1020000}"/>
    <cellStyle name="_MultipleSpace_Book11_Jazztel model 16DP3-Exhibits_TelenorInitiation-11Jan01" xfId="723" xr:uid="{00000000-0005-0000-0000-0000D2020000}"/>
    <cellStyle name="_MultipleSpace_Book11_Jazztel model 16DP3-Exhibits_TelenorWIPFeb01" xfId="724" xr:uid="{00000000-0005-0000-0000-0000D3020000}"/>
    <cellStyle name="_MultipleSpace_Book11_Jazztel model 18DP-exhibits" xfId="725" xr:uid="{00000000-0005-0000-0000-0000D4020000}"/>
    <cellStyle name="_MultipleSpace_Book11_Jazztel model 18DP-exhibits_FT-6June2001" xfId="726" xr:uid="{00000000-0005-0000-0000-0000D5020000}"/>
    <cellStyle name="_MultipleSpace_Book11_Jazztel model 18DP-exhibits_FT-6June2001_Orange WIP Feb 04" xfId="727" xr:uid="{00000000-0005-0000-0000-0000D6020000}"/>
    <cellStyle name="_MultipleSpace_Book11_Jazztel model 18DP-exhibits_Orange WIP Feb 04" xfId="728" xr:uid="{00000000-0005-0000-0000-0000D7020000}"/>
    <cellStyle name="_MultipleSpace_Book11_Jazztel model 18DP-exhibits_Orange-Mar01" xfId="729" xr:uid="{00000000-0005-0000-0000-0000D8020000}"/>
    <cellStyle name="_MultipleSpace_Book11_Jazztel model 18DP-exhibits_Orange-May01" xfId="730" xr:uid="{00000000-0005-0000-0000-0000D9020000}"/>
    <cellStyle name="_MultipleSpace_Book11_Jazztel model 18DP-exhibits_T_MOBIL2" xfId="731" xr:uid="{00000000-0005-0000-0000-0000DA020000}"/>
    <cellStyle name="_MultipleSpace_Book11_Jazztel model 18DP-exhibits_T_MOBIL2_FT-6June2001" xfId="732" xr:uid="{00000000-0005-0000-0000-0000DB020000}"/>
    <cellStyle name="_MultipleSpace_Book11_Jazztel model 18DP-exhibits_T_MOBIL2_Orange WIP Feb 04" xfId="733" xr:uid="{00000000-0005-0000-0000-0000DC020000}"/>
    <cellStyle name="_MultipleSpace_Book11_Jazztel model 18DP-exhibits_T_MOBIL2_Orange-May01" xfId="734" xr:uid="{00000000-0005-0000-0000-0000DD020000}"/>
    <cellStyle name="_MultipleSpace_Book11_Jazztel model 18DP-exhibits_T_MOBIL2_Orange-May01_Orange WIP Feb 04" xfId="735" xr:uid="{00000000-0005-0000-0000-0000DE020000}"/>
    <cellStyle name="_MultipleSpace_Book11_Jazztel model 18DP-exhibits_T_MOBIL2_Orange-May01_Telefonica Group August 12 2002" xfId="736" xr:uid="{00000000-0005-0000-0000-0000DF020000}"/>
    <cellStyle name="_MultipleSpace_Book11_Jazztel model 18DP-exhibits_T_MOBIL2_Telefonica Moviles" xfId="737" xr:uid="{00000000-0005-0000-0000-0000E0020000}"/>
    <cellStyle name="_MultipleSpace_Book11_Jazztel model 18DP-exhibits_Telefonica Moviles" xfId="738" xr:uid="{00000000-0005-0000-0000-0000E1020000}"/>
    <cellStyle name="_MultipleSpace_Book11_Jazztel model 18DP-exhibits_TelenorInitiation-11Jan01" xfId="739" xr:uid="{00000000-0005-0000-0000-0000E2020000}"/>
    <cellStyle name="_MultipleSpace_Book11_Jazztel model 18DP-exhibits_TelenorWIPFeb01" xfId="740" xr:uid="{00000000-0005-0000-0000-0000E3020000}"/>
    <cellStyle name="_MultipleSpace_Book11_Jazztel model 18DP-exhibits_Telia-April01(new structure)" xfId="741" xr:uid="{00000000-0005-0000-0000-0000E4020000}"/>
    <cellStyle name="_MultipleSpace_Book11_Jazztel model 18DP-exhibits_Telia-April01(new structure)_Telefonica Group August 12 2002" xfId="742" xr:uid="{00000000-0005-0000-0000-0000E5020000}"/>
    <cellStyle name="_MultipleSpace_Book11_Jazztel1" xfId="743" xr:uid="{00000000-0005-0000-0000-0000E6020000}"/>
    <cellStyle name="_MultipleSpace_Book11_Jazztel1_Orange WIP Feb 04" xfId="744" xr:uid="{00000000-0005-0000-0000-0000E7020000}"/>
    <cellStyle name="_MultipleSpace_Book11_Jazztel1_Orange-Mar01" xfId="745" xr:uid="{00000000-0005-0000-0000-0000E8020000}"/>
    <cellStyle name="_MultipleSpace_Book11_Jazztel1_Orange-Mar01_FT-6June2001" xfId="746" xr:uid="{00000000-0005-0000-0000-0000E9020000}"/>
    <cellStyle name="_MultipleSpace_Book11_Jazztel1_Orange-Mar01_Orange WIP Feb 04" xfId="747" xr:uid="{00000000-0005-0000-0000-0000EA020000}"/>
    <cellStyle name="_MultipleSpace_Book11_Jazztel1_Orange-Mar01_Telefonica Moviles" xfId="748" xr:uid="{00000000-0005-0000-0000-0000EB020000}"/>
    <cellStyle name="_MultipleSpace_Book11_Jazztel1_Orange-Mar01_Telefonica Moviles_1" xfId="749" xr:uid="{00000000-0005-0000-0000-0000EC020000}"/>
    <cellStyle name="_MultipleSpace_Book11_Jazztel1_Orange-May01" xfId="750" xr:uid="{00000000-0005-0000-0000-0000ED020000}"/>
    <cellStyle name="_MultipleSpace_Book11_Jazztel1_Orange-May01_FT-6June2001" xfId="751" xr:uid="{00000000-0005-0000-0000-0000EE020000}"/>
    <cellStyle name="_MultipleSpace_Book11_Jazztel1_Orange-May01_FT-6June2001_Orange WIP Feb 04" xfId="752" xr:uid="{00000000-0005-0000-0000-0000EF020000}"/>
    <cellStyle name="_MultipleSpace_Book11_Jazztel1_Orange-May01_FT-6June2001_Telefonica Moviles" xfId="753" xr:uid="{00000000-0005-0000-0000-0000F0020000}"/>
    <cellStyle name="_MultipleSpace_Book11_Jazztel1_Orange-May01_Orange WIP Feb 04" xfId="754" xr:uid="{00000000-0005-0000-0000-0000F1020000}"/>
    <cellStyle name="_MultipleSpace_Book11_Jazztel1_Orange-May01_Telefonica Group August 12 2002" xfId="755" xr:uid="{00000000-0005-0000-0000-0000F2020000}"/>
    <cellStyle name="_MultipleSpace_Book11_Jazztel1_Orange-May01_Telefonica Moviles" xfId="756" xr:uid="{00000000-0005-0000-0000-0000F3020000}"/>
    <cellStyle name="_MultipleSpace_Book11_Jazztel1_Telefonica Moviles" xfId="757" xr:uid="{00000000-0005-0000-0000-0000F4020000}"/>
    <cellStyle name="_MultipleSpace_Book11_Jazztel1_TelenorInitiation-11Jan01" xfId="758" xr:uid="{00000000-0005-0000-0000-0000F5020000}"/>
    <cellStyle name="_MultipleSpace_Book11_Jazztel1_TelenorInitiation-11Jan01_FT-6June2001" xfId="759" xr:uid="{00000000-0005-0000-0000-0000F6020000}"/>
    <cellStyle name="_MultipleSpace_Book11_Jazztel1_TelenorInitiation-11Jan01_Orange WIP Feb 04" xfId="760" xr:uid="{00000000-0005-0000-0000-0000F7020000}"/>
    <cellStyle name="_MultipleSpace_Book11_Jazztel1_TelenorInitiation-11Jan01_Telefonica Moviles" xfId="761" xr:uid="{00000000-0005-0000-0000-0000F8020000}"/>
    <cellStyle name="_MultipleSpace_Book11_Jazztel1_TelenorInitiation-11Jan01_Telefonica Moviles_1" xfId="762" xr:uid="{00000000-0005-0000-0000-0000F9020000}"/>
    <cellStyle name="_MultipleSpace_Book11_Jazztel1_TelenorWIPFeb01" xfId="763" xr:uid="{00000000-0005-0000-0000-0000FA020000}"/>
    <cellStyle name="_MultipleSpace_Book11_Jazztel1_TelenorWIPFeb01_FT-6June2001" xfId="764" xr:uid="{00000000-0005-0000-0000-0000FB020000}"/>
    <cellStyle name="_MultipleSpace_Book11_Jazztel1_TelenorWIPFeb01_Orange WIP Feb 04" xfId="765" xr:uid="{00000000-0005-0000-0000-0000FC020000}"/>
    <cellStyle name="_MultipleSpace_Book11_Jazztel1_TelenorWIPFeb01_Telefonica Moviles" xfId="766" xr:uid="{00000000-0005-0000-0000-0000FD020000}"/>
    <cellStyle name="_MultipleSpace_Book11_Jazztel1_TelenorWIPFeb01_Telefonica Moviles_1" xfId="767" xr:uid="{00000000-0005-0000-0000-0000FE020000}"/>
    <cellStyle name="_MultipleSpace_Book12" xfId="768" xr:uid="{00000000-0005-0000-0000-0000FF020000}"/>
    <cellStyle name="_MultipleSpace_Book12_Jazztel" xfId="769" xr:uid="{00000000-0005-0000-0000-000000030000}"/>
    <cellStyle name="_MultipleSpace_Book12_Jazztel model 16DP3-Exhibits" xfId="770" xr:uid="{00000000-0005-0000-0000-000001030000}"/>
    <cellStyle name="_MultipleSpace_Book12_Jazztel model 16DP3-Exhibits_Orange WIP Feb 04" xfId="771" xr:uid="{00000000-0005-0000-0000-000002030000}"/>
    <cellStyle name="_MultipleSpace_Book12_Jazztel model 16DP3-Exhibits_Orange-Mar01" xfId="772" xr:uid="{00000000-0005-0000-0000-000003030000}"/>
    <cellStyle name="_MultipleSpace_Book12_Jazztel model 16DP3-Exhibits_Orange-May01" xfId="773" xr:uid="{00000000-0005-0000-0000-000004030000}"/>
    <cellStyle name="_MultipleSpace_Book12_Jazztel model 16DP3-Exhibits_Orange-May01_Orange WIP Feb 04" xfId="774" xr:uid="{00000000-0005-0000-0000-000005030000}"/>
    <cellStyle name="_MultipleSpace_Book12_Jazztel model 16DP3-Exhibits_Telefonica Moviles" xfId="775" xr:uid="{00000000-0005-0000-0000-000006030000}"/>
    <cellStyle name="_MultipleSpace_Book12_Jazztel model 16DP3-Exhibits_TelenorInitiation-11Jan01" xfId="776" xr:uid="{00000000-0005-0000-0000-000007030000}"/>
    <cellStyle name="_MultipleSpace_Book12_Jazztel model 16DP3-Exhibits_TelenorWIPFeb01" xfId="777" xr:uid="{00000000-0005-0000-0000-000008030000}"/>
    <cellStyle name="_MultipleSpace_Book12_Jazztel model 18DP-exhibits" xfId="778" xr:uid="{00000000-0005-0000-0000-000009030000}"/>
    <cellStyle name="_MultipleSpace_Book12_Jazztel model 18DP-exhibits_FT-6June2001" xfId="779" xr:uid="{00000000-0005-0000-0000-00000A030000}"/>
    <cellStyle name="_MultipleSpace_Book12_Jazztel model 18DP-exhibits_FT-6June2001_Orange WIP Feb 04" xfId="780" xr:uid="{00000000-0005-0000-0000-00000B030000}"/>
    <cellStyle name="_MultipleSpace_Book12_Jazztel model 18DP-exhibits_Orange WIP Feb 04" xfId="781" xr:uid="{00000000-0005-0000-0000-00000C030000}"/>
    <cellStyle name="_MultipleSpace_Book12_Jazztel model 18DP-exhibits_Orange-Mar01" xfId="782" xr:uid="{00000000-0005-0000-0000-00000D030000}"/>
    <cellStyle name="_MultipleSpace_Book12_Jazztel model 18DP-exhibits_Orange-May01" xfId="783" xr:uid="{00000000-0005-0000-0000-00000E030000}"/>
    <cellStyle name="_MultipleSpace_Book12_Jazztel model 18DP-exhibits_T_MOBIL2" xfId="784" xr:uid="{00000000-0005-0000-0000-00000F030000}"/>
    <cellStyle name="_MultipleSpace_Book12_Jazztel model 18DP-exhibits_T_MOBIL2_FT-6June2001" xfId="785" xr:uid="{00000000-0005-0000-0000-000010030000}"/>
    <cellStyle name="_MultipleSpace_Book12_Jazztel model 18DP-exhibits_T_MOBIL2_Orange WIP Feb 04" xfId="786" xr:uid="{00000000-0005-0000-0000-000011030000}"/>
    <cellStyle name="_MultipleSpace_Book12_Jazztel model 18DP-exhibits_T_MOBIL2_Orange-May01" xfId="787" xr:uid="{00000000-0005-0000-0000-000012030000}"/>
    <cellStyle name="_MultipleSpace_Book12_Jazztel model 18DP-exhibits_T_MOBIL2_Orange-May01_Orange WIP Feb 04" xfId="788" xr:uid="{00000000-0005-0000-0000-000013030000}"/>
    <cellStyle name="_MultipleSpace_Book12_Jazztel model 18DP-exhibits_T_MOBIL2_Orange-May01_Telefonica Group August 12 2002" xfId="789" xr:uid="{00000000-0005-0000-0000-000014030000}"/>
    <cellStyle name="_MultipleSpace_Book12_Jazztel model 18DP-exhibits_T_MOBIL2_Telefonica Moviles" xfId="790" xr:uid="{00000000-0005-0000-0000-000015030000}"/>
    <cellStyle name="_MultipleSpace_Book12_Jazztel model 18DP-exhibits_Telefonica Moviles" xfId="791" xr:uid="{00000000-0005-0000-0000-000016030000}"/>
    <cellStyle name="_MultipleSpace_Book12_Jazztel model 18DP-exhibits_TelenorInitiation-11Jan01" xfId="792" xr:uid="{00000000-0005-0000-0000-000017030000}"/>
    <cellStyle name="_MultipleSpace_Book12_Jazztel model 18DP-exhibits_TelenorWIPFeb01" xfId="793" xr:uid="{00000000-0005-0000-0000-000018030000}"/>
    <cellStyle name="_MultipleSpace_Book12_Jazztel model 18DP-exhibits_Telia-April01(new structure)" xfId="794" xr:uid="{00000000-0005-0000-0000-000019030000}"/>
    <cellStyle name="_MultipleSpace_Book12_Jazztel model 18DP-exhibits_Telia-April01(new structure)_Telefonica Group August 12 2002" xfId="795" xr:uid="{00000000-0005-0000-0000-00001A030000}"/>
    <cellStyle name="_MultipleSpace_Book12_Jazztel1" xfId="796" xr:uid="{00000000-0005-0000-0000-00001B030000}"/>
    <cellStyle name="_MultipleSpace_Book12_Jazztel1_Orange WIP Feb 04" xfId="797" xr:uid="{00000000-0005-0000-0000-00001C030000}"/>
    <cellStyle name="_MultipleSpace_Book12_Jazztel1_Orange-Mar01" xfId="798" xr:uid="{00000000-0005-0000-0000-00001D030000}"/>
    <cellStyle name="_MultipleSpace_Book12_Jazztel1_Orange-Mar01_FT-6June2001" xfId="799" xr:uid="{00000000-0005-0000-0000-00001E030000}"/>
    <cellStyle name="_MultipleSpace_Book12_Jazztel1_Orange-Mar01_Orange WIP Feb 04" xfId="800" xr:uid="{00000000-0005-0000-0000-00001F030000}"/>
    <cellStyle name="_MultipleSpace_Book12_Jazztel1_Orange-Mar01_Telefonica Moviles" xfId="801" xr:uid="{00000000-0005-0000-0000-000020030000}"/>
    <cellStyle name="_MultipleSpace_Book12_Jazztel1_Orange-Mar01_Telefonica Moviles_1" xfId="802" xr:uid="{00000000-0005-0000-0000-000021030000}"/>
    <cellStyle name="_MultipleSpace_Book12_Jazztel1_Orange-May01" xfId="803" xr:uid="{00000000-0005-0000-0000-000022030000}"/>
    <cellStyle name="_MultipleSpace_Book12_Jazztel1_Orange-May01_FT-6June2001" xfId="804" xr:uid="{00000000-0005-0000-0000-000023030000}"/>
    <cellStyle name="_MultipleSpace_Book12_Jazztel1_Orange-May01_FT-6June2001_Orange WIP Feb 04" xfId="805" xr:uid="{00000000-0005-0000-0000-000024030000}"/>
    <cellStyle name="_MultipleSpace_Book12_Jazztel1_Orange-May01_FT-6June2001_Telefonica Moviles" xfId="806" xr:uid="{00000000-0005-0000-0000-000025030000}"/>
    <cellStyle name="_MultipleSpace_Book12_Jazztel1_Orange-May01_Orange WIP Feb 04" xfId="807" xr:uid="{00000000-0005-0000-0000-000026030000}"/>
    <cellStyle name="_MultipleSpace_Book12_Jazztel1_Orange-May01_Telefonica Group August 12 2002" xfId="808" xr:uid="{00000000-0005-0000-0000-000027030000}"/>
    <cellStyle name="_MultipleSpace_Book12_Jazztel1_Orange-May01_Telefonica Moviles" xfId="809" xr:uid="{00000000-0005-0000-0000-000028030000}"/>
    <cellStyle name="_MultipleSpace_Book12_Jazztel1_Telefonica Moviles" xfId="810" xr:uid="{00000000-0005-0000-0000-000029030000}"/>
    <cellStyle name="_MultipleSpace_Book12_Jazztel1_TelenorInitiation-11Jan01" xfId="811" xr:uid="{00000000-0005-0000-0000-00002A030000}"/>
    <cellStyle name="_MultipleSpace_Book12_Jazztel1_TelenorInitiation-11Jan01_FT-6June2001" xfId="812" xr:uid="{00000000-0005-0000-0000-00002B030000}"/>
    <cellStyle name="_MultipleSpace_Book12_Jazztel1_TelenorInitiation-11Jan01_Orange WIP Feb 04" xfId="813" xr:uid="{00000000-0005-0000-0000-00002C030000}"/>
    <cellStyle name="_MultipleSpace_Book12_Jazztel1_TelenorInitiation-11Jan01_Telefonica Moviles" xfId="814" xr:uid="{00000000-0005-0000-0000-00002D030000}"/>
    <cellStyle name="_MultipleSpace_Book12_Jazztel1_TelenorInitiation-11Jan01_Telefonica Moviles_1" xfId="815" xr:uid="{00000000-0005-0000-0000-00002E030000}"/>
    <cellStyle name="_MultipleSpace_Book12_Jazztel1_TelenorWIPFeb01" xfId="816" xr:uid="{00000000-0005-0000-0000-00002F030000}"/>
    <cellStyle name="_MultipleSpace_Book12_Jazztel1_TelenorWIPFeb01_FT-6June2001" xfId="817" xr:uid="{00000000-0005-0000-0000-000030030000}"/>
    <cellStyle name="_MultipleSpace_Book12_Jazztel1_TelenorWIPFeb01_Orange WIP Feb 04" xfId="818" xr:uid="{00000000-0005-0000-0000-000031030000}"/>
    <cellStyle name="_MultipleSpace_Book12_Jazztel1_TelenorWIPFeb01_Telefonica Moviles" xfId="819" xr:uid="{00000000-0005-0000-0000-000032030000}"/>
    <cellStyle name="_MultipleSpace_Book12_Jazztel1_TelenorWIPFeb01_Telefonica Moviles_1" xfId="820" xr:uid="{00000000-0005-0000-0000-000033030000}"/>
    <cellStyle name="_MultipleSpace_DCF Summary pages" xfId="821" xr:uid="{00000000-0005-0000-0000-000034030000}"/>
    <cellStyle name="_MultipleSpace_DCF Summary pages_Jazztel" xfId="822" xr:uid="{00000000-0005-0000-0000-000035030000}"/>
    <cellStyle name="_MultipleSpace_DCF Summary pages_Jazztel model 16DP3-Exhibits" xfId="823" xr:uid="{00000000-0005-0000-0000-000036030000}"/>
    <cellStyle name="_MultipleSpace_DCF Summary pages_Jazztel model 16DP3-Exhibits_Orange WIP Feb 04" xfId="824" xr:uid="{00000000-0005-0000-0000-000037030000}"/>
    <cellStyle name="_MultipleSpace_DCF Summary pages_Jazztel model 16DP3-Exhibits_Orange-Mar01" xfId="825" xr:uid="{00000000-0005-0000-0000-000038030000}"/>
    <cellStyle name="_MultipleSpace_DCF Summary pages_Jazztel model 16DP3-Exhibits_Orange-May01" xfId="826" xr:uid="{00000000-0005-0000-0000-000039030000}"/>
    <cellStyle name="_MultipleSpace_DCF Summary pages_Jazztel model 16DP3-Exhibits_Orange-May01_Orange WIP Feb 04" xfId="827" xr:uid="{00000000-0005-0000-0000-00003A030000}"/>
    <cellStyle name="_MultipleSpace_DCF Summary pages_Jazztel model 16DP3-Exhibits_Telefonica Moviles" xfId="828" xr:uid="{00000000-0005-0000-0000-00003B030000}"/>
    <cellStyle name="_MultipleSpace_DCF Summary pages_Jazztel model 16DP3-Exhibits_TelenorInitiation-11Jan01" xfId="829" xr:uid="{00000000-0005-0000-0000-00003C030000}"/>
    <cellStyle name="_MultipleSpace_DCF Summary pages_Jazztel model 16DP3-Exhibits_TelenorWIPFeb01" xfId="830" xr:uid="{00000000-0005-0000-0000-00003D030000}"/>
    <cellStyle name="_MultipleSpace_DCF Summary pages_Jazztel model 18DP-exhibits" xfId="831" xr:uid="{00000000-0005-0000-0000-00003E030000}"/>
    <cellStyle name="_MultipleSpace_DCF Summary pages_Jazztel model 18DP-exhibits_FT-6June2001" xfId="832" xr:uid="{00000000-0005-0000-0000-00003F030000}"/>
    <cellStyle name="_MultipleSpace_DCF Summary pages_Jazztel model 18DP-exhibits_FT-6June2001_Orange WIP Feb 04" xfId="833" xr:uid="{00000000-0005-0000-0000-000040030000}"/>
    <cellStyle name="_MultipleSpace_DCF Summary pages_Jazztel model 18DP-exhibits_Orange WIP Feb 04" xfId="834" xr:uid="{00000000-0005-0000-0000-000041030000}"/>
    <cellStyle name="_MultipleSpace_DCF Summary pages_Jazztel model 18DP-exhibits_Orange-Mar01" xfId="835" xr:uid="{00000000-0005-0000-0000-000042030000}"/>
    <cellStyle name="_MultipleSpace_DCF Summary pages_Jazztel model 18DP-exhibits_Orange-May01" xfId="836" xr:uid="{00000000-0005-0000-0000-000043030000}"/>
    <cellStyle name="_MultipleSpace_DCF Summary pages_Jazztel model 18DP-exhibits_T_MOBIL2" xfId="837" xr:uid="{00000000-0005-0000-0000-000044030000}"/>
    <cellStyle name="_MultipleSpace_DCF Summary pages_Jazztel model 18DP-exhibits_T_MOBIL2_FT-6June2001" xfId="838" xr:uid="{00000000-0005-0000-0000-000045030000}"/>
    <cellStyle name="_MultipleSpace_DCF Summary pages_Jazztel model 18DP-exhibits_T_MOBIL2_Orange WIP Feb 04" xfId="839" xr:uid="{00000000-0005-0000-0000-000046030000}"/>
    <cellStyle name="_MultipleSpace_DCF Summary pages_Jazztel model 18DP-exhibits_T_MOBIL2_Orange-May01" xfId="840" xr:uid="{00000000-0005-0000-0000-000047030000}"/>
    <cellStyle name="_MultipleSpace_DCF Summary pages_Jazztel model 18DP-exhibits_T_MOBIL2_Orange-May01_Orange WIP Feb 04" xfId="841" xr:uid="{00000000-0005-0000-0000-000048030000}"/>
    <cellStyle name="_MultipleSpace_DCF Summary pages_Jazztel model 18DP-exhibits_T_MOBIL2_Orange-May01_Telefonica Group August 12 2002" xfId="842" xr:uid="{00000000-0005-0000-0000-000049030000}"/>
    <cellStyle name="_MultipleSpace_DCF Summary pages_Jazztel model 18DP-exhibits_T_MOBIL2_Telefonica Moviles" xfId="843" xr:uid="{00000000-0005-0000-0000-00004A030000}"/>
    <cellStyle name="_MultipleSpace_DCF Summary pages_Jazztel model 18DP-exhibits_Telefonica Moviles" xfId="844" xr:uid="{00000000-0005-0000-0000-00004B030000}"/>
    <cellStyle name="_MultipleSpace_DCF Summary pages_Jazztel model 18DP-exhibits_TelenorInitiation-11Jan01" xfId="845" xr:uid="{00000000-0005-0000-0000-00004C030000}"/>
    <cellStyle name="_MultipleSpace_DCF Summary pages_Jazztel model 18DP-exhibits_TelenorWIPFeb01" xfId="846" xr:uid="{00000000-0005-0000-0000-00004D030000}"/>
    <cellStyle name="_MultipleSpace_DCF Summary pages_Jazztel model 18DP-exhibits_Telia-April01(new structure)" xfId="847" xr:uid="{00000000-0005-0000-0000-00004E030000}"/>
    <cellStyle name="_MultipleSpace_DCF Summary pages_Jazztel model 18DP-exhibits_Telia-April01(new structure)_Telefonica Group August 12 2002" xfId="848" xr:uid="{00000000-0005-0000-0000-00004F030000}"/>
    <cellStyle name="_MultipleSpace_DCF Summary pages_Jazztel1" xfId="849" xr:uid="{00000000-0005-0000-0000-000050030000}"/>
    <cellStyle name="_MultipleSpace_DCF Summary pages_Jazztel1_Orange WIP Feb 04" xfId="850" xr:uid="{00000000-0005-0000-0000-000051030000}"/>
    <cellStyle name="_MultipleSpace_DCF Summary pages_Jazztel1_Orange-Mar01" xfId="851" xr:uid="{00000000-0005-0000-0000-000052030000}"/>
    <cellStyle name="_MultipleSpace_DCF Summary pages_Jazztel1_Orange-Mar01_FT-6June2001" xfId="852" xr:uid="{00000000-0005-0000-0000-000053030000}"/>
    <cellStyle name="_MultipleSpace_DCF Summary pages_Jazztel1_Orange-Mar01_Orange WIP Feb 04" xfId="853" xr:uid="{00000000-0005-0000-0000-000054030000}"/>
    <cellStyle name="_MultipleSpace_DCF Summary pages_Jazztel1_Orange-Mar01_Telefonica Moviles" xfId="854" xr:uid="{00000000-0005-0000-0000-000055030000}"/>
    <cellStyle name="_MultipleSpace_DCF Summary pages_Jazztel1_Orange-Mar01_Telefonica Moviles_1" xfId="855" xr:uid="{00000000-0005-0000-0000-000056030000}"/>
    <cellStyle name="_MultipleSpace_DCF Summary pages_Jazztel1_Orange-May01" xfId="856" xr:uid="{00000000-0005-0000-0000-000057030000}"/>
    <cellStyle name="_MultipleSpace_DCF Summary pages_Jazztel1_Orange-May01_FT-6June2001" xfId="857" xr:uid="{00000000-0005-0000-0000-000058030000}"/>
    <cellStyle name="_MultipleSpace_DCF Summary pages_Jazztel1_Orange-May01_FT-6June2001_Orange WIP Feb 04" xfId="858" xr:uid="{00000000-0005-0000-0000-000059030000}"/>
    <cellStyle name="_MultipleSpace_DCF Summary pages_Jazztel1_Orange-May01_FT-6June2001_Telefonica Moviles" xfId="859" xr:uid="{00000000-0005-0000-0000-00005A030000}"/>
    <cellStyle name="_MultipleSpace_DCF Summary pages_Jazztel1_Orange-May01_Orange WIP Feb 04" xfId="860" xr:uid="{00000000-0005-0000-0000-00005B030000}"/>
    <cellStyle name="_MultipleSpace_DCF Summary pages_Jazztel1_Orange-May01_Telefonica Group August 12 2002" xfId="861" xr:uid="{00000000-0005-0000-0000-00005C030000}"/>
    <cellStyle name="_MultipleSpace_DCF Summary pages_Jazztel1_Orange-May01_Telefonica Moviles" xfId="862" xr:uid="{00000000-0005-0000-0000-00005D030000}"/>
    <cellStyle name="_MultipleSpace_DCF Summary pages_Jazztel1_Telefonica Moviles" xfId="863" xr:uid="{00000000-0005-0000-0000-00005E030000}"/>
    <cellStyle name="_MultipleSpace_DCF Summary pages_Jazztel1_TelenorInitiation-11Jan01" xfId="864" xr:uid="{00000000-0005-0000-0000-00005F030000}"/>
    <cellStyle name="_MultipleSpace_DCF Summary pages_Jazztel1_TelenorInitiation-11Jan01_FT-6June2001" xfId="865" xr:uid="{00000000-0005-0000-0000-000060030000}"/>
    <cellStyle name="_MultipleSpace_DCF Summary pages_Jazztel1_TelenorInitiation-11Jan01_Orange WIP Feb 04" xfId="866" xr:uid="{00000000-0005-0000-0000-000061030000}"/>
    <cellStyle name="_MultipleSpace_DCF Summary pages_Jazztel1_TelenorInitiation-11Jan01_Telefonica Moviles" xfId="867" xr:uid="{00000000-0005-0000-0000-000062030000}"/>
    <cellStyle name="_MultipleSpace_DCF Summary pages_Jazztel1_TelenorInitiation-11Jan01_Telefonica Moviles_1" xfId="868" xr:uid="{00000000-0005-0000-0000-000063030000}"/>
    <cellStyle name="_MultipleSpace_DCF Summary pages_Jazztel1_TelenorWIPFeb01" xfId="869" xr:uid="{00000000-0005-0000-0000-000064030000}"/>
    <cellStyle name="_MultipleSpace_DCF Summary pages_Jazztel1_TelenorWIPFeb01_FT-6June2001" xfId="870" xr:uid="{00000000-0005-0000-0000-000065030000}"/>
    <cellStyle name="_MultipleSpace_DCF Summary pages_Jazztel1_TelenorWIPFeb01_Orange WIP Feb 04" xfId="871" xr:uid="{00000000-0005-0000-0000-000066030000}"/>
    <cellStyle name="_MultipleSpace_DCF Summary pages_Jazztel1_TelenorWIPFeb01_Telefonica Moviles" xfId="872" xr:uid="{00000000-0005-0000-0000-000067030000}"/>
    <cellStyle name="_MultipleSpace_DCF Summary pages_Jazztel1_TelenorWIPFeb01_Telefonica Moviles_1" xfId="873" xr:uid="{00000000-0005-0000-0000-000068030000}"/>
    <cellStyle name="_MultipleSpace_FT-6June2001" xfId="874" xr:uid="{00000000-0005-0000-0000-000069030000}"/>
    <cellStyle name="_MultipleSpace_FT-6June2001_Orange WIP Feb 04" xfId="875" xr:uid="{00000000-0005-0000-0000-00006A030000}"/>
    <cellStyle name="_MultipleSpace_FT-6June2001_Telefonica Moviles" xfId="876" xr:uid="{00000000-0005-0000-0000-00006B030000}"/>
    <cellStyle name="_MultipleSpace_Jazztel model 15-exhibits" xfId="877" xr:uid="{00000000-0005-0000-0000-00006C030000}"/>
    <cellStyle name="_MultipleSpace_Jazztel model 15-exhibits bis" xfId="878" xr:uid="{00000000-0005-0000-0000-00006D030000}"/>
    <cellStyle name="_MultipleSpace_Jazztel model 15-exhibits bis_Orange WIP Feb 04" xfId="879" xr:uid="{00000000-0005-0000-0000-00006E030000}"/>
    <cellStyle name="_MultipleSpace_Jazztel model 15-exhibits bis_Orange-Mar01" xfId="880" xr:uid="{00000000-0005-0000-0000-00006F030000}"/>
    <cellStyle name="_MultipleSpace_Jazztel model 15-exhibits bis_Orange-May01" xfId="881" xr:uid="{00000000-0005-0000-0000-000070030000}"/>
    <cellStyle name="_MultipleSpace_Jazztel model 15-exhibits bis_Orange-May01_Orange WIP Feb 04" xfId="882" xr:uid="{00000000-0005-0000-0000-000071030000}"/>
    <cellStyle name="_MultipleSpace_Jazztel model 15-exhibits bis_Telefonica Moviles" xfId="883" xr:uid="{00000000-0005-0000-0000-000072030000}"/>
    <cellStyle name="_MultipleSpace_Jazztel model 15-exhibits bis_TelenorInitiation-11Jan01" xfId="884" xr:uid="{00000000-0005-0000-0000-000073030000}"/>
    <cellStyle name="_MultipleSpace_Jazztel model 15-exhibits bis_TelenorWIPFeb01" xfId="885" xr:uid="{00000000-0005-0000-0000-000074030000}"/>
    <cellStyle name="_MultipleSpace_Jazztel model 15-exhibits_Jazztel" xfId="886" xr:uid="{00000000-0005-0000-0000-000075030000}"/>
    <cellStyle name="_MultipleSpace_Jazztel model 15-exhibits_Jazztel model 16DP3-Exhibits" xfId="887" xr:uid="{00000000-0005-0000-0000-000076030000}"/>
    <cellStyle name="_MultipleSpace_Jazztel model 15-exhibits_Jazztel model 16DP3-Exhibits_Orange WIP Feb 04" xfId="888" xr:uid="{00000000-0005-0000-0000-000077030000}"/>
    <cellStyle name="_MultipleSpace_Jazztel model 15-exhibits_Jazztel model 16DP3-Exhibits_Orange-Mar01" xfId="889" xr:uid="{00000000-0005-0000-0000-000078030000}"/>
    <cellStyle name="_MultipleSpace_Jazztel model 15-exhibits_Jazztel model 16DP3-Exhibits_Orange-May01" xfId="890" xr:uid="{00000000-0005-0000-0000-000079030000}"/>
    <cellStyle name="_MultipleSpace_Jazztel model 15-exhibits_Jazztel model 16DP3-Exhibits_Orange-May01_Orange WIP Feb 04" xfId="891" xr:uid="{00000000-0005-0000-0000-00007A030000}"/>
    <cellStyle name="_MultipleSpace_Jazztel model 15-exhibits_Jazztel model 16DP3-Exhibits_Telefonica Moviles" xfId="892" xr:uid="{00000000-0005-0000-0000-00007B030000}"/>
    <cellStyle name="_MultipleSpace_Jazztel model 15-exhibits_Jazztel model 16DP3-Exhibits_TelenorInitiation-11Jan01" xfId="893" xr:uid="{00000000-0005-0000-0000-00007C030000}"/>
    <cellStyle name="_MultipleSpace_Jazztel model 15-exhibits_Jazztel model 16DP3-Exhibits_TelenorWIPFeb01" xfId="894" xr:uid="{00000000-0005-0000-0000-00007D030000}"/>
    <cellStyle name="_MultipleSpace_Jazztel model 15-exhibits_Jazztel model 18DP-exhibits" xfId="895" xr:uid="{00000000-0005-0000-0000-00007E030000}"/>
    <cellStyle name="_MultipleSpace_Jazztel model 15-exhibits_Jazztel model 18DP-exhibits_FT-6June2001" xfId="896" xr:uid="{00000000-0005-0000-0000-00007F030000}"/>
    <cellStyle name="_MultipleSpace_Jazztel model 15-exhibits_Jazztel model 18DP-exhibits_FT-6June2001_Orange WIP Feb 04" xfId="897" xr:uid="{00000000-0005-0000-0000-000080030000}"/>
    <cellStyle name="_MultipleSpace_Jazztel model 15-exhibits_Jazztel model 18DP-exhibits_Orange WIP Feb 04" xfId="898" xr:uid="{00000000-0005-0000-0000-000081030000}"/>
    <cellStyle name="_MultipleSpace_Jazztel model 15-exhibits_Jazztel model 18DP-exhibits_Orange-Mar01" xfId="899" xr:uid="{00000000-0005-0000-0000-000082030000}"/>
    <cellStyle name="_MultipleSpace_Jazztel model 15-exhibits_Jazztel model 18DP-exhibits_Orange-May01" xfId="900" xr:uid="{00000000-0005-0000-0000-000083030000}"/>
    <cellStyle name="_MultipleSpace_Jazztel model 15-exhibits_Jazztel model 18DP-exhibits_T_MOBIL2" xfId="901" xr:uid="{00000000-0005-0000-0000-000084030000}"/>
    <cellStyle name="_MultipleSpace_Jazztel model 15-exhibits_Jazztel model 18DP-exhibits_T_MOBIL2_FT-6June2001" xfId="902" xr:uid="{00000000-0005-0000-0000-000085030000}"/>
    <cellStyle name="_MultipleSpace_Jazztel model 15-exhibits_Jazztel model 18DP-exhibits_T_MOBIL2_Orange WIP Feb 04" xfId="903" xr:uid="{00000000-0005-0000-0000-000086030000}"/>
    <cellStyle name="_MultipleSpace_Jazztel model 15-exhibits_Jazztel model 18DP-exhibits_T_MOBIL2_Orange-May01" xfId="904" xr:uid="{00000000-0005-0000-0000-000087030000}"/>
    <cellStyle name="_MultipleSpace_Jazztel model 15-exhibits_Jazztel model 18DP-exhibits_T_MOBIL2_Orange-May01_Orange WIP Feb 04" xfId="905" xr:uid="{00000000-0005-0000-0000-000088030000}"/>
    <cellStyle name="_MultipleSpace_Jazztel model 15-exhibits_Jazztel model 18DP-exhibits_T_MOBIL2_Orange-May01_Telefonica Group August 12 2002" xfId="906" xr:uid="{00000000-0005-0000-0000-000089030000}"/>
    <cellStyle name="_MultipleSpace_Jazztel model 15-exhibits_Jazztel model 18DP-exhibits_T_MOBIL2_Telefonica Moviles" xfId="907" xr:uid="{00000000-0005-0000-0000-00008A030000}"/>
    <cellStyle name="_MultipleSpace_Jazztel model 15-exhibits_Jazztel model 18DP-exhibits_Telefonica Moviles" xfId="908" xr:uid="{00000000-0005-0000-0000-00008B030000}"/>
    <cellStyle name="_MultipleSpace_Jazztel model 15-exhibits_Jazztel model 18DP-exhibits_TelenorInitiation-11Jan01" xfId="909" xr:uid="{00000000-0005-0000-0000-00008C030000}"/>
    <cellStyle name="_MultipleSpace_Jazztel model 15-exhibits_Jazztel model 18DP-exhibits_TelenorWIPFeb01" xfId="910" xr:uid="{00000000-0005-0000-0000-00008D030000}"/>
    <cellStyle name="_MultipleSpace_Jazztel model 15-exhibits_Jazztel model 18DP-exhibits_Telia-April01(new structure)" xfId="911" xr:uid="{00000000-0005-0000-0000-00008E030000}"/>
    <cellStyle name="_MultipleSpace_Jazztel model 15-exhibits_Jazztel model 18DP-exhibits_Telia-April01(new structure)_Telefonica Group August 12 2002" xfId="912" xr:uid="{00000000-0005-0000-0000-00008F030000}"/>
    <cellStyle name="_MultipleSpace_Jazztel model 15-exhibits_Jazztel1" xfId="913" xr:uid="{00000000-0005-0000-0000-000090030000}"/>
    <cellStyle name="_MultipleSpace_Jazztel model 15-exhibits_Jazztel1_Orange WIP Feb 04" xfId="914" xr:uid="{00000000-0005-0000-0000-000091030000}"/>
    <cellStyle name="_MultipleSpace_Jazztel model 15-exhibits_Jazztel1_Orange-Mar01" xfId="915" xr:uid="{00000000-0005-0000-0000-000092030000}"/>
    <cellStyle name="_MultipleSpace_Jazztel model 15-exhibits_Jazztel1_Orange-Mar01_FT-6June2001" xfId="916" xr:uid="{00000000-0005-0000-0000-000093030000}"/>
    <cellStyle name="_MultipleSpace_Jazztel model 15-exhibits_Jazztel1_Orange-Mar01_Orange WIP Feb 04" xfId="917" xr:uid="{00000000-0005-0000-0000-000094030000}"/>
    <cellStyle name="_MultipleSpace_Jazztel model 15-exhibits_Jazztel1_Orange-Mar01_Telefonica Moviles" xfId="918" xr:uid="{00000000-0005-0000-0000-000095030000}"/>
    <cellStyle name="_MultipleSpace_Jazztel model 15-exhibits_Jazztel1_Orange-Mar01_Telefonica Moviles_1" xfId="919" xr:uid="{00000000-0005-0000-0000-000096030000}"/>
    <cellStyle name="_MultipleSpace_Jazztel model 15-exhibits_Jazztel1_Orange-May01" xfId="920" xr:uid="{00000000-0005-0000-0000-000097030000}"/>
    <cellStyle name="_MultipleSpace_Jazztel model 15-exhibits_Jazztel1_Orange-May01_FT-6June2001" xfId="921" xr:uid="{00000000-0005-0000-0000-000098030000}"/>
    <cellStyle name="_MultipleSpace_Jazztel model 15-exhibits_Jazztel1_Orange-May01_FT-6June2001_Orange WIP Feb 04" xfId="922" xr:uid="{00000000-0005-0000-0000-000099030000}"/>
    <cellStyle name="_MultipleSpace_Jazztel model 15-exhibits_Jazztel1_Orange-May01_FT-6June2001_Telefonica Moviles" xfId="923" xr:uid="{00000000-0005-0000-0000-00009A030000}"/>
    <cellStyle name="_MultipleSpace_Jazztel model 15-exhibits_Jazztel1_Orange-May01_Orange WIP Feb 04" xfId="924" xr:uid="{00000000-0005-0000-0000-00009B030000}"/>
    <cellStyle name="_MultipleSpace_Jazztel model 15-exhibits_Jazztel1_Orange-May01_Telefonica Group August 12 2002" xfId="925" xr:uid="{00000000-0005-0000-0000-00009C030000}"/>
    <cellStyle name="_MultipleSpace_Jazztel model 15-exhibits_Jazztel1_Orange-May01_Telefonica Moviles" xfId="926" xr:uid="{00000000-0005-0000-0000-00009D030000}"/>
    <cellStyle name="_MultipleSpace_Jazztel model 15-exhibits_Jazztel1_Telefonica Moviles" xfId="927" xr:uid="{00000000-0005-0000-0000-00009E030000}"/>
    <cellStyle name="_MultipleSpace_Jazztel model 15-exhibits_Jazztel1_TelenorInitiation-11Jan01" xfId="928" xr:uid="{00000000-0005-0000-0000-00009F030000}"/>
    <cellStyle name="_MultipleSpace_Jazztel model 15-exhibits_Jazztel1_TelenorInitiation-11Jan01_FT-6June2001" xfId="929" xr:uid="{00000000-0005-0000-0000-0000A0030000}"/>
    <cellStyle name="_MultipleSpace_Jazztel model 15-exhibits_Jazztel1_TelenorInitiation-11Jan01_Orange WIP Feb 04" xfId="930" xr:uid="{00000000-0005-0000-0000-0000A1030000}"/>
    <cellStyle name="_MultipleSpace_Jazztel model 15-exhibits_Jazztel1_TelenorInitiation-11Jan01_Telefonica Moviles" xfId="931" xr:uid="{00000000-0005-0000-0000-0000A2030000}"/>
    <cellStyle name="_MultipleSpace_Jazztel model 15-exhibits_Jazztel1_TelenorInitiation-11Jan01_Telefonica Moviles_1" xfId="932" xr:uid="{00000000-0005-0000-0000-0000A3030000}"/>
    <cellStyle name="_MultipleSpace_Jazztel model 15-exhibits_Jazztel1_TelenorWIPFeb01" xfId="933" xr:uid="{00000000-0005-0000-0000-0000A4030000}"/>
    <cellStyle name="_MultipleSpace_Jazztel model 15-exhibits_Jazztel1_TelenorWIPFeb01_FT-6June2001" xfId="934" xr:uid="{00000000-0005-0000-0000-0000A5030000}"/>
    <cellStyle name="_MultipleSpace_Jazztel model 15-exhibits_Jazztel1_TelenorWIPFeb01_Orange WIP Feb 04" xfId="935" xr:uid="{00000000-0005-0000-0000-0000A6030000}"/>
    <cellStyle name="_MultipleSpace_Jazztel model 15-exhibits_Jazztel1_TelenorWIPFeb01_Telefonica Moviles" xfId="936" xr:uid="{00000000-0005-0000-0000-0000A7030000}"/>
    <cellStyle name="_MultipleSpace_Jazztel model 15-exhibits_Jazztel1_TelenorWIPFeb01_Telefonica Moviles_1" xfId="937" xr:uid="{00000000-0005-0000-0000-0000A8030000}"/>
    <cellStyle name="_MultipleSpace_Jazztel model 15-exhibits-Friso2" xfId="938" xr:uid="{00000000-0005-0000-0000-0000A9030000}"/>
    <cellStyle name="_MultipleSpace_Jazztel model 15-exhibits-Friso2_Jazztel" xfId="939" xr:uid="{00000000-0005-0000-0000-0000AA030000}"/>
    <cellStyle name="_MultipleSpace_Jazztel model 15-exhibits-Friso2_Jazztel model 16DP3-Exhibits" xfId="940" xr:uid="{00000000-0005-0000-0000-0000AB030000}"/>
    <cellStyle name="_MultipleSpace_Jazztel model 15-exhibits-Friso2_Jazztel model 16DP3-Exhibits_Orange WIP Feb 04" xfId="941" xr:uid="{00000000-0005-0000-0000-0000AC030000}"/>
    <cellStyle name="_MultipleSpace_Jazztel model 15-exhibits-Friso2_Jazztel model 16DP3-Exhibits_Orange-Mar01" xfId="942" xr:uid="{00000000-0005-0000-0000-0000AD030000}"/>
    <cellStyle name="_MultipleSpace_Jazztel model 15-exhibits-Friso2_Jazztel model 16DP3-Exhibits_Orange-May01" xfId="943" xr:uid="{00000000-0005-0000-0000-0000AE030000}"/>
    <cellStyle name="_MultipleSpace_Jazztel model 15-exhibits-Friso2_Jazztel model 16DP3-Exhibits_Orange-May01_Orange WIP Feb 04" xfId="944" xr:uid="{00000000-0005-0000-0000-0000AF030000}"/>
    <cellStyle name="_MultipleSpace_Jazztel model 15-exhibits-Friso2_Jazztel model 16DP3-Exhibits_Telefonica Moviles" xfId="945" xr:uid="{00000000-0005-0000-0000-0000B0030000}"/>
    <cellStyle name="_MultipleSpace_Jazztel model 15-exhibits-Friso2_Jazztel model 16DP3-Exhibits_TelenorInitiation-11Jan01" xfId="946" xr:uid="{00000000-0005-0000-0000-0000B1030000}"/>
    <cellStyle name="_MultipleSpace_Jazztel model 15-exhibits-Friso2_Jazztel model 16DP3-Exhibits_TelenorWIPFeb01" xfId="947" xr:uid="{00000000-0005-0000-0000-0000B2030000}"/>
    <cellStyle name="_MultipleSpace_Jazztel model 15-exhibits-Friso2_Jazztel model 18DP-exhibits" xfId="948" xr:uid="{00000000-0005-0000-0000-0000B3030000}"/>
    <cellStyle name="_MultipleSpace_Jazztel model 15-exhibits-Friso2_Jazztel model 18DP-exhibits_FT-6June2001" xfId="949" xr:uid="{00000000-0005-0000-0000-0000B4030000}"/>
    <cellStyle name="_MultipleSpace_Jazztel model 15-exhibits-Friso2_Jazztel model 18DP-exhibits_FT-6June2001_Orange WIP Feb 04" xfId="950" xr:uid="{00000000-0005-0000-0000-0000B5030000}"/>
    <cellStyle name="_MultipleSpace_Jazztel model 15-exhibits-Friso2_Jazztel model 18DP-exhibits_Orange WIP Feb 04" xfId="951" xr:uid="{00000000-0005-0000-0000-0000B6030000}"/>
    <cellStyle name="_MultipleSpace_Jazztel model 15-exhibits-Friso2_Jazztel model 18DP-exhibits_Orange-Mar01" xfId="952" xr:uid="{00000000-0005-0000-0000-0000B7030000}"/>
    <cellStyle name="_MultipleSpace_Jazztel model 15-exhibits-Friso2_Jazztel model 18DP-exhibits_Orange-May01" xfId="953" xr:uid="{00000000-0005-0000-0000-0000B8030000}"/>
    <cellStyle name="_MultipleSpace_Jazztel model 15-exhibits-Friso2_Jazztel model 18DP-exhibits_T_MOBIL2" xfId="954" xr:uid="{00000000-0005-0000-0000-0000B9030000}"/>
    <cellStyle name="_MultipleSpace_Jazztel model 15-exhibits-Friso2_Jazztel model 18DP-exhibits_T_MOBIL2_FT-6June2001" xfId="955" xr:uid="{00000000-0005-0000-0000-0000BA030000}"/>
    <cellStyle name="_MultipleSpace_Jazztel model 15-exhibits-Friso2_Jazztel model 18DP-exhibits_T_MOBIL2_Orange WIP Feb 04" xfId="956" xr:uid="{00000000-0005-0000-0000-0000BB030000}"/>
    <cellStyle name="_MultipleSpace_Jazztel model 15-exhibits-Friso2_Jazztel model 18DP-exhibits_T_MOBIL2_Orange-May01" xfId="957" xr:uid="{00000000-0005-0000-0000-0000BC030000}"/>
    <cellStyle name="_MultipleSpace_Jazztel model 15-exhibits-Friso2_Jazztel model 18DP-exhibits_T_MOBIL2_Orange-May01_Orange WIP Feb 04" xfId="958" xr:uid="{00000000-0005-0000-0000-0000BD030000}"/>
    <cellStyle name="_MultipleSpace_Jazztel model 15-exhibits-Friso2_Jazztel model 18DP-exhibits_T_MOBIL2_Orange-May01_Telefonica Group August 12 2002" xfId="959" xr:uid="{00000000-0005-0000-0000-0000BE030000}"/>
    <cellStyle name="_MultipleSpace_Jazztel model 15-exhibits-Friso2_Jazztel model 18DP-exhibits_T_MOBIL2_Telefonica Moviles" xfId="960" xr:uid="{00000000-0005-0000-0000-0000BF030000}"/>
    <cellStyle name="_MultipleSpace_Jazztel model 15-exhibits-Friso2_Jazztel model 18DP-exhibits_Telefonica Moviles" xfId="961" xr:uid="{00000000-0005-0000-0000-0000C0030000}"/>
    <cellStyle name="_MultipleSpace_Jazztel model 15-exhibits-Friso2_Jazztel model 18DP-exhibits_TelenorInitiation-11Jan01" xfId="962" xr:uid="{00000000-0005-0000-0000-0000C1030000}"/>
    <cellStyle name="_MultipleSpace_Jazztel model 15-exhibits-Friso2_Jazztel model 18DP-exhibits_TelenorWIPFeb01" xfId="963" xr:uid="{00000000-0005-0000-0000-0000C2030000}"/>
    <cellStyle name="_MultipleSpace_Jazztel model 15-exhibits-Friso2_Jazztel model 18DP-exhibits_Telia-April01(new structure)" xfId="964" xr:uid="{00000000-0005-0000-0000-0000C3030000}"/>
    <cellStyle name="_MultipleSpace_Jazztel model 15-exhibits-Friso2_Jazztel model 18DP-exhibits_Telia-April01(new structure)_Telefonica Group August 12 2002" xfId="965" xr:uid="{00000000-0005-0000-0000-0000C4030000}"/>
    <cellStyle name="_MultipleSpace_Jazztel model 15-exhibits-Friso2_Jazztel1" xfId="966" xr:uid="{00000000-0005-0000-0000-0000C5030000}"/>
    <cellStyle name="_MultipleSpace_Jazztel model 15-exhibits-Friso2_Jazztel1_Orange WIP Feb 04" xfId="967" xr:uid="{00000000-0005-0000-0000-0000C6030000}"/>
    <cellStyle name="_MultipleSpace_Jazztel model 15-exhibits-Friso2_Jazztel1_Orange-Mar01" xfId="968" xr:uid="{00000000-0005-0000-0000-0000C7030000}"/>
    <cellStyle name="_MultipleSpace_Jazztel model 15-exhibits-Friso2_Jazztel1_Orange-Mar01_FT-6June2001" xfId="969" xr:uid="{00000000-0005-0000-0000-0000C8030000}"/>
    <cellStyle name="_MultipleSpace_Jazztel model 15-exhibits-Friso2_Jazztel1_Orange-Mar01_Orange WIP Feb 04" xfId="970" xr:uid="{00000000-0005-0000-0000-0000C9030000}"/>
    <cellStyle name="_MultipleSpace_Jazztel model 15-exhibits-Friso2_Jazztel1_Orange-Mar01_Telefonica Moviles" xfId="971" xr:uid="{00000000-0005-0000-0000-0000CA030000}"/>
    <cellStyle name="_MultipleSpace_Jazztel model 15-exhibits-Friso2_Jazztel1_Orange-Mar01_Telefonica Moviles_1" xfId="972" xr:uid="{00000000-0005-0000-0000-0000CB030000}"/>
    <cellStyle name="_MultipleSpace_Jazztel model 15-exhibits-Friso2_Jazztel1_Orange-May01" xfId="973" xr:uid="{00000000-0005-0000-0000-0000CC030000}"/>
    <cellStyle name="_MultipleSpace_Jazztel model 15-exhibits-Friso2_Jazztel1_Orange-May01_FT-6June2001" xfId="974" xr:uid="{00000000-0005-0000-0000-0000CD030000}"/>
    <cellStyle name="_MultipleSpace_Jazztel model 15-exhibits-Friso2_Jazztel1_Orange-May01_FT-6June2001_Orange WIP Feb 04" xfId="975" xr:uid="{00000000-0005-0000-0000-0000CE030000}"/>
    <cellStyle name="_MultipleSpace_Jazztel model 15-exhibits-Friso2_Jazztel1_Orange-May01_FT-6June2001_Telefonica Moviles" xfId="976" xr:uid="{00000000-0005-0000-0000-0000CF030000}"/>
    <cellStyle name="_MultipleSpace_Jazztel model 15-exhibits-Friso2_Jazztel1_Orange-May01_Orange WIP Feb 04" xfId="977" xr:uid="{00000000-0005-0000-0000-0000D0030000}"/>
    <cellStyle name="_MultipleSpace_Jazztel model 15-exhibits-Friso2_Jazztel1_Orange-May01_Telefonica Group August 12 2002" xfId="978" xr:uid="{00000000-0005-0000-0000-0000D1030000}"/>
    <cellStyle name="_MultipleSpace_Jazztel model 15-exhibits-Friso2_Jazztel1_Orange-May01_Telefonica Moviles" xfId="979" xr:uid="{00000000-0005-0000-0000-0000D2030000}"/>
    <cellStyle name="_MultipleSpace_Jazztel model 15-exhibits-Friso2_Jazztel1_Telefonica Moviles" xfId="980" xr:uid="{00000000-0005-0000-0000-0000D3030000}"/>
    <cellStyle name="_MultipleSpace_Jazztel model 15-exhibits-Friso2_Jazztel1_TelenorInitiation-11Jan01" xfId="981" xr:uid="{00000000-0005-0000-0000-0000D4030000}"/>
    <cellStyle name="_MultipleSpace_Jazztel model 15-exhibits-Friso2_Jazztel1_TelenorInitiation-11Jan01_FT-6June2001" xfId="982" xr:uid="{00000000-0005-0000-0000-0000D5030000}"/>
    <cellStyle name="_MultipleSpace_Jazztel model 15-exhibits-Friso2_Jazztel1_TelenorInitiation-11Jan01_Orange WIP Feb 04" xfId="983" xr:uid="{00000000-0005-0000-0000-0000D6030000}"/>
    <cellStyle name="_MultipleSpace_Jazztel model 15-exhibits-Friso2_Jazztel1_TelenorInitiation-11Jan01_Telefonica Moviles" xfId="984" xr:uid="{00000000-0005-0000-0000-0000D7030000}"/>
    <cellStyle name="_MultipleSpace_Jazztel model 15-exhibits-Friso2_Jazztel1_TelenorInitiation-11Jan01_Telefonica Moviles_1" xfId="985" xr:uid="{00000000-0005-0000-0000-0000D8030000}"/>
    <cellStyle name="_MultipleSpace_Jazztel model 15-exhibits-Friso2_Jazztel1_TelenorWIPFeb01" xfId="986" xr:uid="{00000000-0005-0000-0000-0000D9030000}"/>
    <cellStyle name="_MultipleSpace_Jazztel model 15-exhibits-Friso2_Jazztel1_TelenorWIPFeb01_FT-6June2001" xfId="987" xr:uid="{00000000-0005-0000-0000-0000DA030000}"/>
    <cellStyle name="_MultipleSpace_Jazztel model 15-exhibits-Friso2_Jazztel1_TelenorWIPFeb01_Orange WIP Feb 04" xfId="988" xr:uid="{00000000-0005-0000-0000-0000DB030000}"/>
    <cellStyle name="_MultipleSpace_Jazztel model 15-exhibits-Friso2_Jazztel1_TelenorWIPFeb01_Telefonica Moviles" xfId="989" xr:uid="{00000000-0005-0000-0000-0000DC030000}"/>
    <cellStyle name="_MultipleSpace_Jazztel model 15-exhibits-Friso2_Jazztel1_TelenorWIPFeb01_Telefonica Moviles_1" xfId="990" xr:uid="{00000000-0005-0000-0000-0000DD030000}"/>
    <cellStyle name="_MultipleSpace_Jazztel model 16DP2-Exhibits" xfId="991" xr:uid="{00000000-0005-0000-0000-0000DE030000}"/>
    <cellStyle name="_MultipleSpace_Jazztel model 16DP2-Exhibits_3G Models" xfId="992" xr:uid="{00000000-0005-0000-0000-0000DF030000}"/>
    <cellStyle name="_MultipleSpace_Jazztel model 16DP2-Exhibits_FT-6June2001" xfId="993" xr:uid="{00000000-0005-0000-0000-0000E0030000}"/>
    <cellStyle name="_MultipleSpace_Jazztel model 16DP2-Exhibits_FT-6June2001_Orange WIP Feb 04" xfId="994" xr:uid="{00000000-0005-0000-0000-0000E1030000}"/>
    <cellStyle name="_MultipleSpace_Jazztel model 16DP2-Exhibits_FT-6June2001_Telefonica Moviles" xfId="995" xr:uid="{00000000-0005-0000-0000-0000E2030000}"/>
    <cellStyle name="_MultipleSpace_Jazztel model 16DP2-Exhibits_Orange WIP Feb 04" xfId="996" xr:uid="{00000000-0005-0000-0000-0000E3030000}"/>
    <cellStyle name="_MultipleSpace_Jazztel model 16DP2-Exhibits_Orange-Mar01" xfId="997" xr:uid="{00000000-0005-0000-0000-0000E4030000}"/>
    <cellStyle name="_MultipleSpace_Jazztel model 16DP2-Exhibits_Orange-Mar01_Telefonica Group August 12 2002" xfId="998" xr:uid="{00000000-0005-0000-0000-0000E5030000}"/>
    <cellStyle name="_MultipleSpace_Jazztel model 16DP2-Exhibits_Orange-Mar01_Telefonica Moviles" xfId="999" xr:uid="{00000000-0005-0000-0000-0000E6030000}"/>
    <cellStyle name="_MultipleSpace_Jazztel model 16DP2-Exhibits_Orange-May01" xfId="1000" xr:uid="{00000000-0005-0000-0000-0000E7030000}"/>
    <cellStyle name="_MultipleSpace_Jazztel model 16DP2-Exhibits_Orange-May01_FT 22July 02_1.1" xfId="1001" xr:uid="{00000000-0005-0000-0000-0000E8030000}"/>
    <cellStyle name="_MultipleSpace_Jazztel model 16DP2-Exhibits_Orange-May01_Orange WIP Feb 04" xfId="1002" xr:uid="{00000000-0005-0000-0000-0000E9030000}"/>
    <cellStyle name="_MultipleSpace_Jazztel model 16DP2-Exhibits_Orange-May01_Telefonica Moviles" xfId="1003" xr:uid="{00000000-0005-0000-0000-0000EA030000}"/>
    <cellStyle name="_MultipleSpace_Jazztel model 16DP2-Exhibits_Orange-May01_Telefonica Moviles_1" xfId="1004" xr:uid="{00000000-0005-0000-0000-0000EB030000}"/>
    <cellStyle name="_MultipleSpace_Jazztel model 16DP2-Exhibits_Telefonica Moviles" xfId="1005" xr:uid="{00000000-0005-0000-0000-0000EC030000}"/>
    <cellStyle name="_MultipleSpace_Jazztel model 16DP2-Exhibits_TelenorInitiation-11Jan01" xfId="1006" xr:uid="{00000000-0005-0000-0000-0000ED030000}"/>
    <cellStyle name="_MultipleSpace_Jazztel model 16DP2-Exhibits_TelenorInitiation-11Jan01_Telefonica Group August 12 2002" xfId="1007" xr:uid="{00000000-0005-0000-0000-0000EE030000}"/>
    <cellStyle name="_MultipleSpace_Jazztel model 16DP2-Exhibits_TelenorInitiation-11Jan01_Telefonica Moviles" xfId="1008" xr:uid="{00000000-0005-0000-0000-0000EF030000}"/>
    <cellStyle name="_MultipleSpace_Jazztel model 16DP2-Exhibits_TelenorWIPFeb01" xfId="1009" xr:uid="{00000000-0005-0000-0000-0000F0030000}"/>
    <cellStyle name="_MultipleSpace_Jazztel model 16DP2-Exhibits_TelenorWIPFeb01_Telefonica Group August 12 2002" xfId="1010" xr:uid="{00000000-0005-0000-0000-0000F1030000}"/>
    <cellStyle name="_MultipleSpace_Jazztel model 16DP2-Exhibits_TelenorWIPFeb01_Telefonica Moviles" xfId="1011" xr:uid="{00000000-0005-0000-0000-0000F2030000}"/>
    <cellStyle name="_MultipleSpace_Jazztel model 16DP3-Exhibits" xfId="1012" xr:uid="{00000000-0005-0000-0000-0000F3030000}"/>
    <cellStyle name="_MultipleSpace_Jazztel model 16DP3-Exhibits_3G Models" xfId="1013" xr:uid="{00000000-0005-0000-0000-0000F4030000}"/>
    <cellStyle name="_MultipleSpace_Jazztel model 16DP3-Exhibits_FT-6June2001" xfId="1014" xr:uid="{00000000-0005-0000-0000-0000F5030000}"/>
    <cellStyle name="_MultipleSpace_Jazztel model 16DP3-Exhibits_FT-6June2001_Orange WIP Feb 04" xfId="1015" xr:uid="{00000000-0005-0000-0000-0000F6030000}"/>
    <cellStyle name="_MultipleSpace_Jazztel model 16DP3-Exhibits_FT-6June2001_Telefonica Moviles" xfId="1016" xr:uid="{00000000-0005-0000-0000-0000F7030000}"/>
    <cellStyle name="_MultipleSpace_Jazztel model 16DP3-Exhibits_Orange WIP Feb 04" xfId="1017" xr:uid="{00000000-0005-0000-0000-0000F8030000}"/>
    <cellStyle name="_MultipleSpace_Jazztel model 16DP3-Exhibits_Orange-Mar01" xfId="1018" xr:uid="{00000000-0005-0000-0000-0000F9030000}"/>
    <cellStyle name="_MultipleSpace_Jazztel model 16DP3-Exhibits_Orange-Mar01_Telefonica Group August 12 2002" xfId="1019" xr:uid="{00000000-0005-0000-0000-0000FA030000}"/>
    <cellStyle name="_MultipleSpace_Jazztel model 16DP3-Exhibits_Orange-Mar01_Telefonica Moviles" xfId="1020" xr:uid="{00000000-0005-0000-0000-0000FB030000}"/>
    <cellStyle name="_MultipleSpace_Jazztel model 16DP3-Exhibits_Orange-May01" xfId="1021" xr:uid="{00000000-0005-0000-0000-0000FC030000}"/>
    <cellStyle name="_MultipleSpace_Jazztel model 16DP3-Exhibits_Orange-May01_FT 22July 02_1.1" xfId="1022" xr:uid="{00000000-0005-0000-0000-0000FD030000}"/>
    <cellStyle name="_MultipleSpace_Jazztel model 16DP3-Exhibits_Orange-May01_Orange WIP Feb 04" xfId="1023" xr:uid="{00000000-0005-0000-0000-0000FE030000}"/>
    <cellStyle name="_MultipleSpace_Jazztel model 16DP3-Exhibits_Orange-May01_Telefonica Moviles" xfId="1024" xr:uid="{00000000-0005-0000-0000-0000FF030000}"/>
    <cellStyle name="_MultipleSpace_Jazztel model 16DP3-Exhibits_Orange-May01_Telefonica Moviles_1" xfId="1025" xr:uid="{00000000-0005-0000-0000-000000040000}"/>
    <cellStyle name="_MultipleSpace_Jazztel model 16DP3-Exhibits_Telefonica Moviles" xfId="1026" xr:uid="{00000000-0005-0000-0000-000001040000}"/>
    <cellStyle name="_MultipleSpace_Jazztel model 16DP3-Exhibits_TelenorInitiation-11Jan01" xfId="1027" xr:uid="{00000000-0005-0000-0000-000002040000}"/>
    <cellStyle name="_MultipleSpace_Jazztel model 16DP3-Exhibits_TelenorInitiation-11Jan01_Telefonica Group August 12 2002" xfId="1028" xr:uid="{00000000-0005-0000-0000-000003040000}"/>
    <cellStyle name="_MultipleSpace_Jazztel model 16DP3-Exhibits_TelenorInitiation-11Jan01_Telefonica Moviles" xfId="1029" xr:uid="{00000000-0005-0000-0000-000004040000}"/>
    <cellStyle name="_MultipleSpace_Jazztel model 16DP3-Exhibits_TelenorWIPFeb01" xfId="1030" xr:uid="{00000000-0005-0000-0000-000005040000}"/>
    <cellStyle name="_MultipleSpace_Jazztel model 16DP3-Exhibits_TelenorWIPFeb01_Telefonica Group August 12 2002" xfId="1031" xr:uid="{00000000-0005-0000-0000-000006040000}"/>
    <cellStyle name="_MultipleSpace_Jazztel model 16DP3-Exhibits_TelenorWIPFeb01_Telefonica Moviles" xfId="1032" xr:uid="{00000000-0005-0000-0000-000007040000}"/>
    <cellStyle name="_MultipleSpace_MIC-08Q4-SME" xfId="1033" xr:uid="{00000000-0005-0000-0000-000008040000}"/>
    <cellStyle name="_MultipleSpace_Orange WIP Feb 04" xfId="1034" xr:uid="{00000000-0005-0000-0000-000009040000}"/>
    <cellStyle name="_MultipleSpace_Orange-Mar01" xfId="1035" xr:uid="{00000000-0005-0000-0000-00000A040000}"/>
    <cellStyle name="_MultipleSpace_Orange-Mar01_Telefonica Group August 12 2002" xfId="1036" xr:uid="{00000000-0005-0000-0000-00000B040000}"/>
    <cellStyle name="_MultipleSpace_Orange-Mar01_Telefonica Moviles" xfId="1037" xr:uid="{00000000-0005-0000-0000-00000C040000}"/>
    <cellStyle name="_MultipleSpace_Orange-May01" xfId="1038" xr:uid="{00000000-0005-0000-0000-00000D040000}"/>
    <cellStyle name="_MultipleSpace_Orange-May01_FT 22July 02_1.1" xfId="1039" xr:uid="{00000000-0005-0000-0000-00000E040000}"/>
    <cellStyle name="_MultipleSpace_Orange-May01_Orange WIP Feb 04" xfId="1040" xr:uid="{00000000-0005-0000-0000-00000F040000}"/>
    <cellStyle name="_MultipleSpace_Orange-May01_Telefonica Moviles" xfId="1041" xr:uid="{00000000-0005-0000-0000-000010040000}"/>
    <cellStyle name="_MultipleSpace_Orange-May01_Telefonica Moviles_1" xfId="1042" xr:uid="{00000000-0005-0000-0000-000011040000}"/>
    <cellStyle name="_MultipleSpace_Telefonica Moviles" xfId="1043" xr:uid="{00000000-0005-0000-0000-000012040000}"/>
    <cellStyle name="_MultipleSpace_TelenorInitiation-11Jan01" xfId="1044" xr:uid="{00000000-0005-0000-0000-000013040000}"/>
    <cellStyle name="_MultipleSpace_TelenorInitiation-11Jan01_Telefonica Group August 12 2002" xfId="1045" xr:uid="{00000000-0005-0000-0000-000014040000}"/>
    <cellStyle name="_MultipleSpace_TelenorInitiation-11Jan01_Telefonica Moviles" xfId="1046" xr:uid="{00000000-0005-0000-0000-000015040000}"/>
    <cellStyle name="_MultipleSpace_TelenorWIPFeb01" xfId="1047" xr:uid="{00000000-0005-0000-0000-000016040000}"/>
    <cellStyle name="_MultipleSpace_TelenorWIPFeb01_Telefonica Group August 12 2002" xfId="1048" xr:uid="{00000000-0005-0000-0000-000017040000}"/>
    <cellStyle name="_MultipleSpace_TelenorWIPFeb01_Telefonica Moviles" xfId="1049" xr:uid="{00000000-0005-0000-0000-000018040000}"/>
    <cellStyle name="_Percent" xfId="1050" xr:uid="{00000000-0005-0000-0000-000019040000}"/>
    <cellStyle name="_Percent_3G Models" xfId="1051" xr:uid="{00000000-0005-0000-0000-00001A040000}"/>
    <cellStyle name="_Percent_Book1" xfId="1052" xr:uid="{00000000-0005-0000-0000-00001B040000}"/>
    <cellStyle name="_Percent_Book1 2" xfId="1053" xr:uid="{00000000-0005-0000-0000-00001C040000}"/>
    <cellStyle name="_Percent_Book1_3G Models" xfId="1054" xr:uid="{00000000-0005-0000-0000-00001D040000}"/>
    <cellStyle name="_Percent_Book1_FT-Aug2001" xfId="1055" xr:uid="{00000000-0005-0000-0000-00001E040000}"/>
    <cellStyle name="_Percent_Book1_FT-Aug2001 2" xfId="1056" xr:uid="{00000000-0005-0000-0000-00001F040000}"/>
    <cellStyle name="_Percent_Book1_Jazztel model 16DP3-Exhibits" xfId="1057" xr:uid="{00000000-0005-0000-0000-000020040000}"/>
    <cellStyle name="_Percent_Book1_Jazztel model 16DP3-Exhibits_3G Models" xfId="1058" xr:uid="{00000000-0005-0000-0000-000021040000}"/>
    <cellStyle name="_Percent_Book1_Jazztel model 16DP3-Exhibits_Orange WIP Feb 04" xfId="1059" xr:uid="{00000000-0005-0000-0000-000022040000}"/>
    <cellStyle name="_Percent_Book1_Jazztel model 16DP3-Exhibits_Orange-Mar01" xfId="1060" xr:uid="{00000000-0005-0000-0000-000023040000}"/>
    <cellStyle name="_Percent_Book1_Jazztel model 16DP3-Exhibits_Orange-May01" xfId="1061" xr:uid="{00000000-0005-0000-0000-000024040000}"/>
    <cellStyle name="_Percent_Book1_Jazztel model 16DP3-Exhibits_Orange-May01_Orange WIP Feb 04" xfId="1062" xr:uid="{00000000-0005-0000-0000-000025040000}"/>
    <cellStyle name="_Percent_Book1_Jazztel model 16DP3-Exhibits_Orange-May01_Telefonica Group August 12 2002" xfId="1063" xr:uid="{00000000-0005-0000-0000-000026040000}"/>
    <cellStyle name="_Percent_Book1_Jazztel model 16DP3-Exhibits_T_MOBIL2" xfId="1064" xr:uid="{00000000-0005-0000-0000-000027040000}"/>
    <cellStyle name="_Percent_Book1_Jazztel model 16DP3-Exhibits_T_MOBIL2_FT-6June2001" xfId="1065" xr:uid="{00000000-0005-0000-0000-000028040000}"/>
    <cellStyle name="_Percent_Book1_Jazztel model 16DP3-Exhibits_T_MOBIL2_Orange WIP Feb 04" xfId="1066" xr:uid="{00000000-0005-0000-0000-000029040000}"/>
    <cellStyle name="_Percent_Book1_Jazztel model 16DP3-Exhibits_T_MOBIL2_Orange-May01" xfId="1067" xr:uid="{00000000-0005-0000-0000-00002A040000}"/>
    <cellStyle name="_Percent_Book1_Jazztel model 16DP3-Exhibits_T_MOBIL2_Telefonica Moviles" xfId="1068" xr:uid="{00000000-0005-0000-0000-00002B040000}"/>
    <cellStyle name="_Percent_Book1_Jazztel model 16DP3-Exhibits_Telefonica Moviles" xfId="1069" xr:uid="{00000000-0005-0000-0000-00002C040000}"/>
    <cellStyle name="_Percent_Book1_Jazztel model 16DP3-Exhibits_TelenorInitiation-11Jan01" xfId="1070" xr:uid="{00000000-0005-0000-0000-00002D040000}"/>
    <cellStyle name="_Percent_Book1_Jazztel model 16DP3-Exhibits_TelenorWIPFeb01" xfId="1071" xr:uid="{00000000-0005-0000-0000-00002E040000}"/>
    <cellStyle name="_Percent_Book1_Jazztel model 18DP-exhibits" xfId="1072" xr:uid="{00000000-0005-0000-0000-00002F040000}"/>
    <cellStyle name="_Percent_Book1_Jazztel model 18DP-exhibits_3G Models" xfId="1073" xr:uid="{00000000-0005-0000-0000-000030040000}"/>
    <cellStyle name="_Percent_Book1_Orange-Sep01" xfId="1074" xr:uid="{00000000-0005-0000-0000-000031040000}"/>
    <cellStyle name="_Percent_Book1_Orange-Sep01 2" xfId="1075" xr:uid="{00000000-0005-0000-0000-000032040000}"/>
    <cellStyle name="_Percent_Book1_Telefonica Group August 12 2002" xfId="1076" xr:uid="{00000000-0005-0000-0000-000033040000}"/>
    <cellStyle name="_Percent_Book1_Telefonica Moviles" xfId="1077" xr:uid="{00000000-0005-0000-0000-000034040000}"/>
    <cellStyle name="_Percent_Book11" xfId="1078" xr:uid="{00000000-0005-0000-0000-000035040000}"/>
    <cellStyle name="_Percent_Book11 2" xfId="1079" xr:uid="{00000000-0005-0000-0000-000036040000}"/>
    <cellStyle name="_Percent_Book11_3G Models" xfId="1080" xr:uid="{00000000-0005-0000-0000-000037040000}"/>
    <cellStyle name="_Percent_Book11_FT-Aug2001" xfId="1081" xr:uid="{00000000-0005-0000-0000-000038040000}"/>
    <cellStyle name="_Percent_Book11_FT-Aug2001 2" xfId="1082" xr:uid="{00000000-0005-0000-0000-000039040000}"/>
    <cellStyle name="_Percent_Book11_Jazztel model 16DP3-Exhibits" xfId="1083" xr:uid="{00000000-0005-0000-0000-00003A040000}"/>
    <cellStyle name="_Percent_Book11_Jazztel model 16DP3-Exhibits_3G Models" xfId="1084" xr:uid="{00000000-0005-0000-0000-00003B040000}"/>
    <cellStyle name="_Percent_Book11_Jazztel model 16DP3-Exhibits_Orange WIP Feb 04" xfId="1085" xr:uid="{00000000-0005-0000-0000-00003C040000}"/>
    <cellStyle name="_Percent_Book11_Jazztel model 16DP3-Exhibits_Orange-Mar01" xfId="1086" xr:uid="{00000000-0005-0000-0000-00003D040000}"/>
    <cellStyle name="_Percent_Book11_Jazztel model 16DP3-Exhibits_Orange-May01" xfId="1087" xr:uid="{00000000-0005-0000-0000-00003E040000}"/>
    <cellStyle name="_Percent_Book11_Jazztel model 16DP3-Exhibits_Orange-May01_Orange WIP Feb 04" xfId="1088" xr:uid="{00000000-0005-0000-0000-00003F040000}"/>
    <cellStyle name="_Percent_Book11_Jazztel model 16DP3-Exhibits_Orange-May01_Telefonica Group August 12 2002" xfId="1089" xr:uid="{00000000-0005-0000-0000-000040040000}"/>
    <cellStyle name="_Percent_Book11_Jazztel model 16DP3-Exhibits_T_MOBIL2" xfId="1090" xr:uid="{00000000-0005-0000-0000-000041040000}"/>
    <cellStyle name="_Percent_Book11_Jazztel model 16DP3-Exhibits_T_MOBIL2_FT-6June2001" xfId="1091" xr:uid="{00000000-0005-0000-0000-000042040000}"/>
    <cellStyle name="_Percent_Book11_Jazztel model 16DP3-Exhibits_T_MOBIL2_Orange WIP Feb 04" xfId="1092" xr:uid="{00000000-0005-0000-0000-000043040000}"/>
    <cellStyle name="_Percent_Book11_Jazztel model 16DP3-Exhibits_T_MOBIL2_Orange-May01" xfId="1093" xr:uid="{00000000-0005-0000-0000-000044040000}"/>
    <cellStyle name="_Percent_Book11_Jazztel model 16DP3-Exhibits_T_MOBIL2_Telefonica Moviles" xfId="1094" xr:uid="{00000000-0005-0000-0000-000045040000}"/>
    <cellStyle name="_Percent_Book11_Jazztel model 16DP3-Exhibits_Telefonica Moviles" xfId="1095" xr:uid="{00000000-0005-0000-0000-000046040000}"/>
    <cellStyle name="_Percent_Book11_Jazztel model 16DP3-Exhibits_TelenorInitiation-11Jan01" xfId="1096" xr:uid="{00000000-0005-0000-0000-000047040000}"/>
    <cellStyle name="_Percent_Book11_Jazztel model 16DP3-Exhibits_TelenorWIPFeb01" xfId="1097" xr:uid="{00000000-0005-0000-0000-000048040000}"/>
    <cellStyle name="_Percent_Book11_Jazztel model 18DP-exhibits" xfId="1098" xr:uid="{00000000-0005-0000-0000-000049040000}"/>
    <cellStyle name="_Percent_Book11_Jazztel model 18DP-exhibits_3G Models" xfId="1099" xr:uid="{00000000-0005-0000-0000-00004A040000}"/>
    <cellStyle name="_Percent_Book11_Orange-Sep01" xfId="1100" xr:uid="{00000000-0005-0000-0000-00004B040000}"/>
    <cellStyle name="_Percent_Book11_Orange-Sep01 2" xfId="1101" xr:uid="{00000000-0005-0000-0000-00004C040000}"/>
    <cellStyle name="_Percent_Book11_Telefonica Group August 12 2002" xfId="1102" xr:uid="{00000000-0005-0000-0000-00004D040000}"/>
    <cellStyle name="_Percent_Book11_Telefonica Moviles" xfId="1103" xr:uid="{00000000-0005-0000-0000-00004E040000}"/>
    <cellStyle name="_Percent_Book12" xfId="1104" xr:uid="{00000000-0005-0000-0000-00004F040000}"/>
    <cellStyle name="_Percent_Book12 2" xfId="1105" xr:uid="{00000000-0005-0000-0000-000050040000}"/>
    <cellStyle name="_Percent_Book12_3G Models" xfId="1106" xr:uid="{00000000-0005-0000-0000-000051040000}"/>
    <cellStyle name="_Percent_Book12_FT-Aug2001" xfId="1107" xr:uid="{00000000-0005-0000-0000-000052040000}"/>
    <cellStyle name="_Percent_Book12_FT-Aug2001 2" xfId="1108" xr:uid="{00000000-0005-0000-0000-000053040000}"/>
    <cellStyle name="_Percent_Book12_Jazztel model 16DP3-Exhibits" xfId="1109" xr:uid="{00000000-0005-0000-0000-000054040000}"/>
    <cellStyle name="_Percent_Book12_Jazztel model 16DP3-Exhibits_3G Models" xfId="1110" xr:uid="{00000000-0005-0000-0000-000055040000}"/>
    <cellStyle name="_Percent_Book12_Jazztel model 16DP3-Exhibits_Orange WIP Feb 04" xfId="1111" xr:uid="{00000000-0005-0000-0000-000056040000}"/>
    <cellStyle name="_Percent_Book12_Jazztel model 16DP3-Exhibits_Orange-Mar01" xfId="1112" xr:uid="{00000000-0005-0000-0000-000057040000}"/>
    <cellStyle name="_Percent_Book12_Jazztel model 16DP3-Exhibits_Orange-May01" xfId="1113" xr:uid="{00000000-0005-0000-0000-000058040000}"/>
    <cellStyle name="_Percent_Book12_Jazztel model 16DP3-Exhibits_Orange-May01_Orange WIP Feb 04" xfId="1114" xr:uid="{00000000-0005-0000-0000-000059040000}"/>
    <cellStyle name="_Percent_Book12_Jazztel model 16DP3-Exhibits_Orange-May01_Telefonica Group August 12 2002" xfId="1115" xr:uid="{00000000-0005-0000-0000-00005A040000}"/>
    <cellStyle name="_Percent_Book12_Jazztel model 16DP3-Exhibits_T_MOBIL2" xfId="1116" xr:uid="{00000000-0005-0000-0000-00005B040000}"/>
    <cellStyle name="_Percent_Book12_Jazztel model 16DP3-Exhibits_T_MOBIL2_FT-6June2001" xfId="1117" xr:uid="{00000000-0005-0000-0000-00005C040000}"/>
    <cellStyle name="_Percent_Book12_Jazztel model 16DP3-Exhibits_T_MOBIL2_Orange WIP Feb 04" xfId="1118" xr:uid="{00000000-0005-0000-0000-00005D040000}"/>
    <cellStyle name="_Percent_Book12_Jazztel model 16DP3-Exhibits_T_MOBIL2_Orange-May01" xfId="1119" xr:uid="{00000000-0005-0000-0000-00005E040000}"/>
    <cellStyle name="_Percent_Book12_Jazztel model 16DP3-Exhibits_T_MOBIL2_Telefonica Moviles" xfId="1120" xr:uid="{00000000-0005-0000-0000-00005F040000}"/>
    <cellStyle name="_Percent_Book12_Jazztel model 16DP3-Exhibits_Telefonica Moviles" xfId="1121" xr:uid="{00000000-0005-0000-0000-000060040000}"/>
    <cellStyle name="_Percent_Book12_Jazztel model 16DP3-Exhibits_TelenorInitiation-11Jan01" xfId="1122" xr:uid="{00000000-0005-0000-0000-000061040000}"/>
    <cellStyle name="_Percent_Book12_Jazztel model 16DP3-Exhibits_TelenorWIPFeb01" xfId="1123" xr:uid="{00000000-0005-0000-0000-000062040000}"/>
    <cellStyle name="_Percent_Book12_Jazztel model 18DP-exhibits" xfId="1124" xr:uid="{00000000-0005-0000-0000-000063040000}"/>
    <cellStyle name="_Percent_Book12_Jazztel model 18DP-exhibits_3G Models" xfId="1125" xr:uid="{00000000-0005-0000-0000-000064040000}"/>
    <cellStyle name="_Percent_Book12_Orange-Sep01" xfId="1126" xr:uid="{00000000-0005-0000-0000-000065040000}"/>
    <cellStyle name="_Percent_Book12_Orange-Sep01 2" xfId="1127" xr:uid="{00000000-0005-0000-0000-000066040000}"/>
    <cellStyle name="_Percent_Book12_Telefonica Group August 12 2002" xfId="1128" xr:uid="{00000000-0005-0000-0000-000067040000}"/>
    <cellStyle name="_Percent_Book12_Telefonica Moviles" xfId="1129" xr:uid="{00000000-0005-0000-0000-000068040000}"/>
    <cellStyle name="_Percent_DCF Summary pages" xfId="1130" xr:uid="{00000000-0005-0000-0000-000069040000}"/>
    <cellStyle name="_Percent_DCF Summary pages 2" xfId="1131" xr:uid="{00000000-0005-0000-0000-00006A040000}"/>
    <cellStyle name="_Percent_DCF Summary pages_3G Models" xfId="1132" xr:uid="{00000000-0005-0000-0000-00006B040000}"/>
    <cellStyle name="_Percent_DCF Summary pages_FT-Aug2001" xfId="1133" xr:uid="{00000000-0005-0000-0000-00006C040000}"/>
    <cellStyle name="_Percent_DCF Summary pages_FT-Aug2001 2" xfId="1134" xr:uid="{00000000-0005-0000-0000-00006D040000}"/>
    <cellStyle name="_Percent_DCF Summary pages_Jazztel model 16DP3-Exhibits" xfId="1135" xr:uid="{00000000-0005-0000-0000-00006E040000}"/>
    <cellStyle name="_Percent_DCF Summary pages_Jazztel model 16DP3-Exhibits_3G Models" xfId="1136" xr:uid="{00000000-0005-0000-0000-00006F040000}"/>
    <cellStyle name="_Percent_DCF Summary pages_Jazztel model 16DP3-Exhibits_Orange WIP Feb 04" xfId="1137" xr:uid="{00000000-0005-0000-0000-000070040000}"/>
    <cellStyle name="_Percent_DCF Summary pages_Jazztel model 16DP3-Exhibits_Orange-Mar01" xfId="1138" xr:uid="{00000000-0005-0000-0000-000071040000}"/>
    <cellStyle name="_Percent_DCF Summary pages_Jazztel model 16DP3-Exhibits_Orange-May01" xfId="1139" xr:uid="{00000000-0005-0000-0000-000072040000}"/>
    <cellStyle name="_Percent_DCF Summary pages_Jazztel model 16DP3-Exhibits_Orange-May01_Orange WIP Feb 04" xfId="1140" xr:uid="{00000000-0005-0000-0000-000073040000}"/>
    <cellStyle name="_Percent_DCF Summary pages_Jazztel model 16DP3-Exhibits_Orange-May01_Telefonica Group August 12 2002" xfId="1141" xr:uid="{00000000-0005-0000-0000-000074040000}"/>
    <cellStyle name="_Percent_DCF Summary pages_Jazztel model 16DP3-Exhibits_T_MOBIL2" xfId="1142" xr:uid="{00000000-0005-0000-0000-000075040000}"/>
    <cellStyle name="_Percent_DCF Summary pages_Jazztel model 16DP3-Exhibits_T_MOBIL2_FT-6June2001" xfId="1143" xr:uid="{00000000-0005-0000-0000-000076040000}"/>
    <cellStyle name="_Percent_DCF Summary pages_Jazztel model 16DP3-Exhibits_T_MOBIL2_Orange WIP Feb 04" xfId="1144" xr:uid="{00000000-0005-0000-0000-000077040000}"/>
    <cellStyle name="_Percent_DCF Summary pages_Jazztel model 16DP3-Exhibits_T_MOBIL2_Orange-May01" xfId="1145" xr:uid="{00000000-0005-0000-0000-000078040000}"/>
    <cellStyle name="_Percent_DCF Summary pages_Jazztel model 16DP3-Exhibits_T_MOBIL2_Telefonica Moviles" xfId="1146" xr:uid="{00000000-0005-0000-0000-000079040000}"/>
    <cellStyle name="_Percent_DCF Summary pages_Jazztel model 16DP3-Exhibits_Telefonica Moviles" xfId="1147" xr:uid="{00000000-0005-0000-0000-00007A040000}"/>
    <cellStyle name="_Percent_DCF Summary pages_Jazztel model 16DP3-Exhibits_TelenorInitiation-11Jan01" xfId="1148" xr:uid="{00000000-0005-0000-0000-00007B040000}"/>
    <cellStyle name="_Percent_DCF Summary pages_Jazztel model 16DP3-Exhibits_TelenorWIPFeb01" xfId="1149" xr:uid="{00000000-0005-0000-0000-00007C040000}"/>
    <cellStyle name="_Percent_DCF Summary pages_Jazztel model 18DP-exhibits" xfId="1150" xr:uid="{00000000-0005-0000-0000-00007D040000}"/>
    <cellStyle name="_Percent_DCF Summary pages_Jazztel model 18DP-exhibits_3G Models" xfId="1151" xr:uid="{00000000-0005-0000-0000-00007E040000}"/>
    <cellStyle name="_Percent_DCF Summary pages_Orange-Sep01" xfId="1152" xr:uid="{00000000-0005-0000-0000-00007F040000}"/>
    <cellStyle name="_Percent_DCF Summary pages_Orange-Sep01 2" xfId="1153" xr:uid="{00000000-0005-0000-0000-000080040000}"/>
    <cellStyle name="_Percent_DCF Summary pages_Telefonica Group August 12 2002" xfId="1154" xr:uid="{00000000-0005-0000-0000-000081040000}"/>
    <cellStyle name="_Percent_DCF Summary pages_Telefonica Moviles" xfId="1155" xr:uid="{00000000-0005-0000-0000-000082040000}"/>
    <cellStyle name="_Percent_Jazztel model 15-exhibits" xfId="1156" xr:uid="{00000000-0005-0000-0000-000083040000}"/>
    <cellStyle name="_Percent_Jazztel model 15-exhibits 2" xfId="1157" xr:uid="{00000000-0005-0000-0000-000084040000}"/>
    <cellStyle name="_Percent_Jazztel model 15-exhibits bis" xfId="1158" xr:uid="{00000000-0005-0000-0000-000085040000}"/>
    <cellStyle name="_Percent_Jazztel model 15-exhibits bis_3G Models" xfId="1159" xr:uid="{00000000-0005-0000-0000-000086040000}"/>
    <cellStyle name="_Percent_Jazztel model 15-exhibits bis_Orange WIP Feb 04" xfId="1160" xr:uid="{00000000-0005-0000-0000-000087040000}"/>
    <cellStyle name="_Percent_Jazztel model 15-exhibits bis_Orange-Mar01" xfId="1161" xr:uid="{00000000-0005-0000-0000-000088040000}"/>
    <cellStyle name="_Percent_Jazztel model 15-exhibits bis_Orange-May01" xfId="1162" xr:uid="{00000000-0005-0000-0000-000089040000}"/>
    <cellStyle name="_Percent_Jazztel model 15-exhibits bis_Orange-May01_Orange WIP Feb 04" xfId="1163" xr:uid="{00000000-0005-0000-0000-00008A040000}"/>
    <cellStyle name="_Percent_Jazztel model 15-exhibits bis_Orange-May01_Telefonica Group August 12 2002" xfId="1164" xr:uid="{00000000-0005-0000-0000-00008B040000}"/>
    <cellStyle name="_Percent_Jazztel model 15-exhibits bis_T_MOBIL2" xfId="1165" xr:uid="{00000000-0005-0000-0000-00008C040000}"/>
    <cellStyle name="_Percent_Jazztel model 15-exhibits bis_T_MOBIL2_FT-6June2001" xfId="1166" xr:uid="{00000000-0005-0000-0000-00008D040000}"/>
    <cellStyle name="_Percent_Jazztel model 15-exhibits bis_T_MOBIL2_Orange WIP Feb 04" xfId="1167" xr:uid="{00000000-0005-0000-0000-00008E040000}"/>
    <cellStyle name="_Percent_Jazztel model 15-exhibits bis_T_MOBIL2_Orange-May01" xfId="1168" xr:uid="{00000000-0005-0000-0000-00008F040000}"/>
    <cellStyle name="_Percent_Jazztel model 15-exhibits bis_T_MOBIL2_Telefonica Moviles" xfId="1169" xr:uid="{00000000-0005-0000-0000-000090040000}"/>
    <cellStyle name="_Percent_Jazztel model 15-exhibits bis_Telefonica Moviles" xfId="1170" xr:uid="{00000000-0005-0000-0000-000091040000}"/>
    <cellStyle name="_Percent_Jazztel model 15-exhibits bis_TelenorInitiation-11Jan01" xfId="1171" xr:uid="{00000000-0005-0000-0000-000092040000}"/>
    <cellStyle name="_Percent_Jazztel model 15-exhibits bis_TelenorWIPFeb01" xfId="1172" xr:uid="{00000000-0005-0000-0000-000093040000}"/>
    <cellStyle name="_Percent_Jazztel model 15-exhibits_3G Models" xfId="1173" xr:uid="{00000000-0005-0000-0000-000094040000}"/>
    <cellStyle name="_Percent_Jazztel model 15-exhibits_FT-Aug2001" xfId="1174" xr:uid="{00000000-0005-0000-0000-000095040000}"/>
    <cellStyle name="_Percent_Jazztel model 15-exhibits_FT-Aug2001 2" xfId="1175" xr:uid="{00000000-0005-0000-0000-000096040000}"/>
    <cellStyle name="_Percent_Jazztel model 15-exhibits_Jazztel model 16DP3-Exhibits" xfId="1176" xr:uid="{00000000-0005-0000-0000-000097040000}"/>
    <cellStyle name="_Percent_Jazztel model 15-exhibits_Jazztel model 16DP3-Exhibits_3G Models" xfId="1177" xr:uid="{00000000-0005-0000-0000-000098040000}"/>
    <cellStyle name="_Percent_Jazztel model 15-exhibits_Jazztel model 16DP3-Exhibits_Orange WIP Feb 04" xfId="1178" xr:uid="{00000000-0005-0000-0000-000099040000}"/>
    <cellStyle name="_Percent_Jazztel model 15-exhibits_Jazztel model 16DP3-Exhibits_Orange-Mar01" xfId="1179" xr:uid="{00000000-0005-0000-0000-00009A040000}"/>
    <cellStyle name="_Percent_Jazztel model 15-exhibits_Jazztel model 16DP3-Exhibits_Orange-May01" xfId="1180" xr:uid="{00000000-0005-0000-0000-00009B040000}"/>
    <cellStyle name="_Percent_Jazztel model 15-exhibits_Jazztel model 16DP3-Exhibits_Orange-May01_Orange WIP Feb 04" xfId="1181" xr:uid="{00000000-0005-0000-0000-00009C040000}"/>
    <cellStyle name="_Percent_Jazztel model 15-exhibits_Jazztel model 16DP3-Exhibits_Orange-May01_Telefonica Group August 12 2002" xfId="1182" xr:uid="{00000000-0005-0000-0000-00009D040000}"/>
    <cellStyle name="_Percent_Jazztel model 15-exhibits_Jazztel model 16DP3-Exhibits_T_MOBIL2" xfId="1183" xr:uid="{00000000-0005-0000-0000-00009E040000}"/>
    <cellStyle name="_Percent_Jazztel model 15-exhibits_Jazztel model 16DP3-Exhibits_T_MOBIL2_FT-6June2001" xfId="1184" xr:uid="{00000000-0005-0000-0000-00009F040000}"/>
    <cellStyle name="_Percent_Jazztel model 15-exhibits_Jazztel model 16DP3-Exhibits_T_MOBIL2_Orange WIP Feb 04" xfId="1185" xr:uid="{00000000-0005-0000-0000-0000A0040000}"/>
    <cellStyle name="_Percent_Jazztel model 15-exhibits_Jazztel model 16DP3-Exhibits_T_MOBIL2_Orange-May01" xfId="1186" xr:uid="{00000000-0005-0000-0000-0000A1040000}"/>
    <cellStyle name="_Percent_Jazztel model 15-exhibits_Jazztel model 16DP3-Exhibits_T_MOBIL2_Telefonica Moviles" xfId="1187" xr:uid="{00000000-0005-0000-0000-0000A2040000}"/>
    <cellStyle name="_Percent_Jazztel model 15-exhibits_Jazztel model 16DP3-Exhibits_Telefonica Moviles" xfId="1188" xr:uid="{00000000-0005-0000-0000-0000A3040000}"/>
    <cellStyle name="_Percent_Jazztel model 15-exhibits_Jazztel model 16DP3-Exhibits_TelenorInitiation-11Jan01" xfId="1189" xr:uid="{00000000-0005-0000-0000-0000A4040000}"/>
    <cellStyle name="_Percent_Jazztel model 15-exhibits_Jazztel model 16DP3-Exhibits_TelenorWIPFeb01" xfId="1190" xr:uid="{00000000-0005-0000-0000-0000A5040000}"/>
    <cellStyle name="_Percent_Jazztel model 15-exhibits_Jazztel model 18DP-exhibits" xfId="1191" xr:uid="{00000000-0005-0000-0000-0000A6040000}"/>
    <cellStyle name="_Percent_Jazztel model 15-exhibits_Jazztel model 18DP-exhibits_3G Models" xfId="1192" xr:uid="{00000000-0005-0000-0000-0000A7040000}"/>
    <cellStyle name="_Percent_Jazztel model 15-exhibits_Orange-Sep01" xfId="1193" xr:uid="{00000000-0005-0000-0000-0000A8040000}"/>
    <cellStyle name="_Percent_Jazztel model 15-exhibits_Orange-Sep01 2" xfId="1194" xr:uid="{00000000-0005-0000-0000-0000A9040000}"/>
    <cellStyle name="_Percent_Jazztel model 15-exhibits_Telefonica Group August 12 2002" xfId="1195" xr:uid="{00000000-0005-0000-0000-0000AA040000}"/>
    <cellStyle name="_Percent_Jazztel model 15-exhibits_Telefonica Moviles" xfId="1196" xr:uid="{00000000-0005-0000-0000-0000AB040000}"/>
    <cellStyle name="_Percent_Jazztel model 15-exhibits-Friso2" xfId="1197" xr:uid="{00000000-0005-0000-0000-0000AC040000}"/>
    <cellStyle name="_Percent_Jazztel model 15-exhibits-Friso2 2" xfId="1198" xr:uid="{00000000-0005-0000-0000-0000AD040000}"/>
    <cellStyle name="_Percent_Jazztel model 15-exhibits-Friso2_3G Models" xfId="1199" xr:uid="{00000000-0005-0000-0000-0000AE040000}"/>
    <cellStyle name="_Percent_Jazztel model 15-exhibits-Friso2_FT-Aug2001" xfId="1200" xr:uid="{00000000-0005-0000-0000-0000AF040000}"/>
    <cellStyle name="_Percent_Jazztel model 15-exhibits-Friso2_FT-Aug2001 2" xfId="1201" xr:uid="{00000000-0005-0000-0000-0000B0040000}"/>
    <cellStyle name="_Percent_Jazztel model 15-exhibits-Friso2_Jazztel model 16DP3-Exhibits" xfId="1202" xr:uid="{00000000-0005-0000-0000-0000B1040000}"/>
    <cellStyle name="_Percent_Jazztel model 15-exhibits-Friso2_Jazztel model 16DP3-Exhibits_3G Models" xfId="1203" xr:uid="{00000000-0005-0000-0000-0000B2040000}"/>
    <cellStyle name="_Percent_Jazztel model 15-exhibits-Friso2_Jazztel model 16DP3-Exhibits_Orange WIP Feb 04" xfId="1204" xr:uid="{00000000-0005-0000-0000-0000B3040000}"/>
    <cellStyle name="_Percent_Jazztel model 15-exhibits-Friso2_Jazztel model 16DP3-Exhibits_Orange-Mar01" xfId="1205" xr:uid="{00000000-0005-0000-0000-0000B4040000}"/>
    <cellStyle name="_Percent_Jazztel model 15-exhibits-Friso2_Jazztel model 16DP3-Exhibits_Orange-May01" xfId="1206" xr:uid="{00000000-0005-0000-0000-0000B5040000}"/>
    <cellStyle name="_Percent_Jazztel model 15-exhibits-Friso2_Jazztel model 16DP3-Exhibits_Orange-May01_Orange WIP Feb 04" xfId="1207" xr:uid="{00000000-0005-0000-0000-0000B6040000}"/>
    <cellStyle name="_Percent_Jazztel model 15-exhibits-Friso2_Jazztel model 16DP3-Exhibits_Orange-May01_Telefonica Group August 12 2002" xfId="1208" xr:uid="{00000000-0005-0000-0000-0000B7040000}"/>
    <cellStyle name="_Percent_Jazztel model 15-exhibits-Friso2_Jazztel model 16DP3-Exhibits_T_MOBIL2" xfId="1209" xr:uid="{00000000-0005-0000-0000-0000B8040000}"/>
    <cellStyle name="_Percent_Jazztel model 15-exhibits-Friso2_Jazztel model 16DP3-Exhibits_T_MOBIL2_FT-6June2001" xfId="1210" xr:uid="{00000000-0005-0000-0000-0000B9040000}"/>
    <cellStyle name="_Percent_Jazztel model 15-exhibits-Friso2_Jazztel model 16DP3-Exhibits_T_MOBIL2_Orange WIP Feb 04" xfId="1211" xr:uid="{00000000-0005-0000-0000-0000BA040000}"/>
    <cellStyle name="_Percent_Jazztel model 15-exhibits-Friso2_Jazztel model 16DP3-Exhibits_T_MOBIL2_Orange-May01" xfId="1212" xr:uid="{00000000-0005-0000-0000-0000BB040000}"/>
    <cellStyle name="_Percent_Jazztel model 15-exhibits-Friso2_Jazztel model 16DP3-Exhibits_T_MOBIL2_Telefonica Moviles" xfId="1213" xr:uid="{00000000-0005-0000-0000-0000BC040000}"/>
    <cellStyle name="_Percent_Jazztel model 15-exhibits-Friso2_Jazztel model 16DP3-Exhibits_Telefonica Moviles" xfId="1214" xr:uid="{00000000-0005-0000-0000-0000BD040000}"/>
    <cellStyle name="_Percent_Jazztel model 15-exhibits-Friso2_Jazztel model 16DP3-Exhibits_TelenorInitiation-11Jan01" xfId="1215" xr:uid="{00000000-0005-0000-0000-0000BE040000}"/>
    <cellStyle name="_Percent_Jazztel model 15-exhibits-Friso2_Jazztel model 16DP3-Exhibits_TelenorWIPFeb01" xfId="1216" xr:uid="{00000000-0005-0000-0000-0000BF040000}"/>
    <cellStyle name="_Percent_Jazztel model 15-exhibits-Friso2_Jazztel model 18DP-exhibits" xfId="1217" xr:uid="{00000000-0005-0000-0000-0000C0040000}"/>
    <cellStyle name="_Percent_Jazztel model 15-exhibits-Friso2_Jazztel model 18DP-exhibits_3G Models" xfId="1218" xr:uid="{00000000-0005-0000-0000-0000C1040000}"/>
    <cellStyle name="_Percent_Jazztel model 15-exhibits-Friso2_Orange-Sep01" xfId="1219" xr:uid="{00000000-0005-0000-0000-0000C2040000}"/>
    <cellStyle name="_Percent_Jazztel model 15-exhibits-Friso2_Orange-Sep01 2" xfId="1220" xr:uid="{00000000-0005-0000-0000-0000C3040000}"/>
    <cellStyle name="_Percent_Jazztel model 15-exhibits-Friso2_Telefonica Group August 12 2002" xfId="1221" xr:uid="{00000000-0005-0000-0000-0000C4040000}"/>
    <cellStyle name="_Percent_Jazztel model 15-exhibits-Friso2_Telefonica Moviles" xfId="1222" xr:uid="{00000000-0005-0000-0000-0000C5040000}"/>
    <cellStyle name="_Percent_Jazztel model 16DP2-Exhibits" xfId="1223" xr:uid="{00000000-0005-0000-0000-0000C6040000}"/>
    <cellStyle name="_Percent_Jazztel model 16DP2-Exhibits_3G Models" xfId="1224" xr:uid="{00000000-0005-0000-0000-0000C7040000}"/>
    <cellStyle name="_Percent_Jazztel model 16DP2-Exhibits_Telefonica Group August 12 2002" xfId="1225" xr:uid="{00000000-0005-0000-0000-0000C8040000}"/>
    <cellStyle name="_Percent_Jazztel model 16DP3-Exhibits" xfId="1226" xr:uid="{00000000-0005-0000-0000-0000C9040000}"/>
    <cellStyle name="_Percent_Jazztel model 16DP3-Exhibits_3G Models" xfId="1227" xr:uid="{00000000-0005-0000-0000-0000CA040000}"/>
    <cellStyle name="_Percent_Jazztel model 16DP3-Exhibits_Telefonica Group August 12 2002" xfId="1228" xr:uid="{00000000-0005-0000-0000-0000CB040000}"/>
    <cellStyle name="_Percent_MIC-08Q4-SME" xfId="1229" xr:uid="{00000000-0005-0000-0000-0000CC040000}"/>
    <cellStyle name="_Percent_Telefonica Group August 12 2002" xfId="1230" xr:uid="{00000000-0005-0000-0000-0000CD040000}"/>
    <cellStyle name="_PercentSpace" xfId="1231" xr:uid="{00000000-0005-0000-0000-0000CE040000}"/>
    <cellStyle name="_PercentSpace_3G Models" xfId="1232" xr:uid="{00000000-0005-0000-0000-0000CF040000}"/>
    <cellStyle name="_PercentSpace_Book1" xfId="1233" xr:uid="{00000000-0005-0000-0000-0000D0040000}"/>
    <cellStyle name="_PercentSpace_Book1_3G Models" xfId="1234" xr:uid="{00000000-0005-0000-0000-0000D1040000}"/>
    <cellStyle name="_PercentSpace_Book1_FT-6June2001" xfId="1235" xr:uid="{00000000-0005-0000-0000-0000D2040000}"/>
    <cellStyle name="_PercentSpace_Book1_Jazztel model 16DP3-Exhibits" xfId="1236" xr:uid="{00000000-0005-0000-0000-0000D3040000}"/>
    <cellStyle name="_PercentSpace_Book1_Jazztel model 16DP3-Exhibits_FT 22July 02_1.1" xfId="1237" xr:uid="{00000000-0005-0000-0000-0000D4040000}"/>
    <cellStyle name="_PercentSpace_Book1_Jazztel model 16DP3-Exhibits_FT-6June2001" xfId="1238" xr:uid="{00000000-0005-0000-0000-0000D5040000}"/>
    <cellStyle name="_PercentSpace_Book1_Jazztel model 16DP3-Exhibits_FT-6June2001_Telefonica Moviles" xfId="1239" xr:uid="{00000000-0005-0000-0000-0000D6040000}"/>
    <cellStyle name="_PercentSpace_Book1_Jazztel model 16DP3-Exhibits_Orange WIP Feb 04" xfId="1240" xr:uid="{00000000-0005-0000-0000-0000D7040000}"/>
    <cellStyle name="_PercentSpace_Book1_Jazztel model 16DP3-Exhibits_Orange-Mar01" xfId="1241" xr:uid="{00000000-0005-0000-0000-0000D8040000}"/>
    <cellStyle name="_PercentSpace_Book1_Jazztel model 16DP3-Exhibits_Orange-May01" xfId="1242" xr:uid="{00000000-0005-0000-0000-0000D9040000}"/>
    <cellStyle name="_PercentSpace_Book1_Jazztel model 16DP3-Exhibits_Orange-May01_Orange WIP Feb 04" xfId="1243" xr:uid="{00000000-0005-0000-0000-0000DA040000}"/>
    <cellStyle name="_PercentSpace_Book1_Jazztel model 16DP3-Exhibits_Orange-May01_Telefonica Group August 12 2002" xfId="1244" xr:uid="{00000000-0005-0000-0000-0000DB040000}"/>
    <cellStyle name="_PercentSpace_Book1_Jazztel model 16DP3-Exhibits_T_MOBIL2" xfId="1245" xr:uid="{00000000-0005-0000-0000-0000DC040000}"/>
    <cellStyle name="_PercentSpace_Book1_Jazztel model 16DP3-Exhibits_T_MOBIL2_FT-6June2001" xfId="1246" xr:uid="{00000000-0005-0000-0000-0000DD040000}"/>
    <cellStyle name="_PercentSpace_Book1_Jazztel model 16DP3-Exhibits_T_MOBIL2_FT-6June2001_1" xfId="1247" xr:uid="{00000000-0005-0000-0000-0000DE040000}"/>
    <cellStyle name="_PercentSpace_Book1_Jazztel model 16DP3-Exhibits_T_MOBIL2_FT-6June2001_1_Orange WIP Feb 04" xfId="1248" xr:uid="{00000000-0005-0000-0000-0000DF040000}"/>
    <cellStyle name="_PercentSpace_Book1_Jazztel model 16DP3-Exhibits_T_MOBIL2_FT-6June2001_1_Telefonica Moviles" xfId="1249" xr:uid="{00000000-0005-0000-0000-0000E0040000}"/>
    <cellStyle name="_PercentSpace_Book1_Jazztel model 16DP3-Exhibits_T_MOBIL2_Orange WIP Feb 04" xfId="1250" xr:uid="{00000000-0005-0000-0000-0000E1040000}"/>
    <cellStyle name="_PercentSpace_Book1_Jazztel model 16DP3-Exhibits_T_MOBIL2_Orange-May01" xfId="1251" xr:uid="{00000000-0005-0000-0000-0000E2040000}"/>
    <cellStyle name="_PercentSpace_Book1_Jazztel model 16DP3-Exhibits_T_MOBIL2_Orange-May01_Orange WIP Feb 04" xfId="1252" xr:uid="{00000000-0005-0000-0000-0000E3040000}"/>
    <cellStyle name="_PercentSpace_Book1_Jazztel model 16DP3-Exhibits_T_MOBIL2_Orange-May01_Telefonica Group August 12 2002" xfId="1253" xr:uid="{00000000-0005-0000-0000-0000E4040000}"/>
    <cellStyle name="_PercentSpace_Book1_Jazztel model 16DP3-Exhibits_T_MOBIL2_Telefonica Group August 12 2002" xfId="1254" xr:uid="{00000000-0005-0000-0000-0000E5040000}"/>
    <cellStyle name="_PercentSpace_Book1_Jazztel model 16DP3-Exhibits_T_MOBIL2_Telefonica Moviles" xfId="1255" xr:uid="{00000000-0005-0000-0000-0000E6040000}"/>
    <cellStyle name="_PercentSpace_Book1_Jazztel model 16DP3-Exhibits_Telefonica Moviles" xfId="1256" xr:uid="{00000000-0005-0000-0000-0000E7040000}"/>
    <cellStyle name="_PercentSpace_Book1_Jazztel model 16DP3-Exhibits_TelenorInitiation-11Jan01" xfId="1257" xr:uid="{00000000-0005-0000-0000-0000E8040000}"/>
    <cellStyle name="_PercentSpace_Book1_Jazztel model 16DP3-Exhibits_TelenorWIPFeb01" xfId="1258" xr:uid="{00000000-0005-0000-0000-0000E9040000}"/>
    <cellStyle name="_PercentSpace_Book1_Jazztel model 18DP-exhibits" xfId="1259" xr:uid="{00000000-0005-0000-0000-0000EA040000}"/>
    <cellStyle name="_PercentSpace_Book1_Jazztel model 18DP-exhibits_3G Models" xfId="1260" xr:uid="{00000000-0005-0000-0000-0000EB040000}"/>
    <cellStyle name="_PercentSpace_Book1_Jazztel model 18DP-exhibits_FT 22July 02_1.1" xfId="1261" xr:uid="{00000000-0005-0000-0000-0000EC040000}"/>
    <cellStyle name="_PercentSpace_Book1_Jazztel model 18DP-exhibits_Orange WIP Feb 04" xfId="1262" xr:uid="{00000000-0005-0000-0000-0000ED040000}"/>
    <cellStyle name="_PercentSpace_Book1_Orange WIP Feb 04" xfId="1263" xr:uid="{00000000-0005-0000-0000-0000EE040000}"/>
    <cellStyle name="_PercentSpace_Book1_Orange-May01" xfId="1264" xr:uid="{00000000-0005-0000-0000-0000EF040000}"/>
    <cellStyle name="_PercentSpace_Book1_Telefonica Moviles" xfId="1265" xr:uid="{00000000-0005-0000-0000-0000F0040000}"/>
    <cellStyle name="_PercentSpace_Book11" xfId="1266" xr:uid="{00000000-0005-0000-0000-0000F1040000}"/>
    <cellStyle name="_PercentSpace_Book11_3G Models" xfId="1267" xr:uid="{00000000-0005-0000-0000-0000F2040000}"/>
    <cellStyle name="_PercentSpace_Book11_FT-6June2001" xfId="1268" xr:uid="{00000000-0005-0000-0000-0000F3040000}"/>
    <cellStyle name="_PercentSpace_Book11_Jazztel model 16DP3-Exhibits" xfId="1269" xr:uid="{00000000-0005-0000-0000-0000F4040000}"/>
    <cellStyle name="_PercentSpace_Book11_Jazztel model 16DP3-Exhibits_FT 22July 02_1.1" xfId="1270" xr:uid="{00000000-0005-0000-0000-0000F5040000}"/>
    <cellStyle name="_PercentSpace_Book11_Jazztel model 16DP3-Exhibits_FT-6June2001" xfId="1271" xr:uid="{00000000-0005-0000-0000-0000F6040000}"/>
    <cellStyle name="_PercentSpace_Book11_Jazztel model 16DP3-Exhibits_FT-6June2001_Telefonica Moviles" xfId="1272" xr:uid="{00000000-0005-0000-0000-0000F7040000}"/>
    <cellStyle name="_PercentSpace_Book11_Jazztel model 16DP3-Exhibits_Orange WIP Feb 04" xfId="1273" xr:uid="{00000000-0005-0000-0000-0000F8040000}"/>
    <cellStyle name="_PercentSpace_Book11_Jazztel model 16DP3-Exhibits_Orange-Mar01" xfId="1274" xr:uid="{00000000-0005-0000-0000-0000F9040000}"/>
    <cellStyle name="_PercentSpace_Book11_Jazztel model 16DP3-Exhibits_Orange-May01" xfId="1275" xr:uid="{00000000-0005-0000-0000-0000FA040000}"/>
    <cellStyle name="_PercentSpace_Book11_Jazztel model 16DP3-Exhibits_Orange-May01_Orange WIP Feb 04" xfId="1276" xr:uid="{00000000-0005-0000-0000-0000FB040000}"/>
    <cellStyle name="_PercentSpace_Book11_Jazztel model 16DP3-Exhibits_Orange-May01_Telefonica Group August 12 2002" xfId="1277" xr:uid="{00000000-0005-0000-0000-0000FC040000}"/>
    <cellStyle name="_PercentSpace_Book11_Jazztel model 16DP3-Exhibits_T_MOBIL2" xfId="1278" xr:uid="{00000000-0005-0000-0000-0000FD040000}"/>
    <cellStyle name="_PercentSpace_Book11_Jazztel model 16DP3-Exhibits_T_MOBIL2_FT-6June2001" xfId="1279" xr:uid="{00000000-0005-0000-0000-0000FE040000}"/>
    <cellStyle name="_PercentSpace_Book11_Jazztel model 16DP3-Exhibits_T_MOBIL2_FT-6June2001_1" xfId="1280" xr:uid="{00000000-0005-0000-0000-0000FF040000}"/>
    <cellStyle name="_PercentSpace_Book11_Jazztel model 16DP3-Exhibits_T_MOBIL2_FT-6June2001_1_Orange WIP Feb 04" xfId="1281" xr:uid="{00000000-0005-0000-0000-000000050000}"/>
    <cellStyle name="_PercentSpace_Book11_Jazztel model 16DP3-Exhibits_T_MOBIL2_FT-6June2001_1_Telefonica Moviles" xfId="1282" xr:uid="{00000000-0005-0000-0000-000001050000}"/>
    <cellStyle name="_PercentSpace_Book11_Jazztel model 16DP3-Exhibits_T_MOBIL2_Orange WIP Feb 04" xfId="1283" xr:uid="{00000000-0005-0000-0000-000002050000}"/>
    <cellStyle name="_PercentSpace_Book11_Jazztel model 16DP3-Exhibits_T_MOBIL2_Orange-May01" xfId="1284" xr:uid="{00000000-0005-0000-0000-000003050000}"/>
    <cellStyle name="_PercentSpace_Book11_Jazztel model 16DP3-Exhibits_T_MOBIL2_Orange-May01_Orange WIP Feb 04" xfId="1285" xr:uid="{00000000-0005-0000-0000-000004050000}"/>
    <cellStyle name="_PercentSpace_Book11_Jazztel model 16DP3-Exhibits_T_MOBIL2_Orange-May01_Telefonica Group August 12 2002" xfId="1286" xr:uid="{00000000-0005-0000-0000-000005050000}"/>
    <cellStyle name="_PercentSpace_Book11_Jazztel model 16DP3-Exhibits_T_MOBIL2_Telefonica Group August 12 2002" xfId="1287" xr:uid="{00000000-0005-0000-0000-000006050000}"/>
    <cellStyle name="_PercentSpace_Book11_Jazztel model 16DP3-Exhibits_T_MOBIL2_Telefonica Moviles" xfId="1288" xr:uid="{00000000-0005-0000-0000-000007050000}"/>
    <cellStyle name="_PercentSpace_Book11_Jazztel model 16DP3-Exhibits_Telefonica Moviles" xfId="1289" xr:uid="{00000000-0005-0000-0000-000008050000}"/>
    <cellStyle name="_PercentSpace_Book11_Jazztel model 16DP3-Exhibits_TelenorInitiation-11Jan01" xfId="1290" xr:uid="{00000000-0005-0000-0000-000009050000}"/>
    <cellStyle name="_PercentSpace_Book11_Jazztel model 16DP3-Exhibits_TelenorWIPFeb01" xfId="1291" xr:uid="{00000000-0005-0000-0000-00000A050000}"/>
    <cellStyle name="_PercentSpace_Book11_Jazztel model 18DP-exhibits" xfId="1292" xr:uid="{00000000-0005-0000-0000-00000B050000}"/>
    <cellStyle name="_PercentSpace_Book11_Jazztel model 18DP-exhibits_3G Models" xfId="1293" xr:uid="{00000000-0005-0000-0000-00000C050000}"/>
    <cellStyle name="_PercentSpace_Book11_Jazztel model 18DP-exhibits_FT 22July 02_1.1" xfId="1294" xr:uid="{00000000-0005-0000-0000-00000D050000}"/>
    <cellStyle name="_PercentSpace_Book11_Jazztel model 18DP-exhibits_Orange WIP Feb 04" xfId="1295" xr:uid="{00000000-0005-0000-0000-00000E050000}"/>
    <cellStyle name="_PercentSpace_Book11_Orange WIP Feb 04" xfId="1296" xr:uid="{00000000-0005-0000-0000-00000F050000}"/>
    <cellStyle name="_PercentSpace_Book11_Orange-May01" xfId="1297" xr:uid="{00000000-0005-0000-0000-000010050000}"/>
    <cellStyle name="_PercentSpace_Book11_Telefonica Moviles" xfId="1298" xr:uid="{00000000-0005-0000-0000-000011050000}"/>
    <cellStyle name="_PercentSpace_Book12" xfId="1299" xr:uid="{00000000-0005-0000-0000-000012050000}"/>
    <cellStyle name="_PercentSpace_Book12_3G Models" xfId="1300" xr:uid="{00000000-0005-0000-0000-000013050000}"/>
    <cellStyle name="_PercentSpace_Book12_FT-6June2001" xfId="1301" xr:uid="{00000000-0005-0000-0000-000014050000}"/>
    <cellStyle name="_PercentSpace_Book12_Jazztel model 16DP3-Exhibits" xfId="1302" xr:uid="{00000000-0005-0000-0000-000015050000}"/>
    <cellStyle name="_PercentSpace_Book12_Jazztel model 16DP3-Exhibits_FT 22July 02_1.1" xfId="1303" xr:uid="{00000000-0005-0000-0000-000016050000}"/>
    <cellStyle name="_PercentSpace_Book12_Jazztel model 16DP3-Exhibits_FT-6June2001" xfId="1304" xr:uid="{00000000-0005-0000-0000-000017050000}"/>
    <cellStyle name="_PercentSpace_Book12_Jazztel model 16DP3-Exhibits_FT-6June2001_Telefonica Moviles" xfId="1305" xr:uid="{00000000-0005-0000-0000-000018050000}"/>
    <cellStyle name="_PercentSpace_Book12_Jazztel model 16DP3-Exhibits_Orange WIP Feb 04" xfId="1306" xr:uid="{00000000-0005-0000-0000-000019050000}"/>
    <cellStyle name="_PercentSpace_Book12_Jazztel model 16DP3-Exhibits_Orange-Mar01" xfId="1307" xr:uid="{00000000-0005-0000-0000-00001A050000}"/>
    <cellStyle name="_PercentSpace_Book12_Jazztel model 16DP3-Exhibits_Orange-May01" xfId="1308" xr:uid="{00000000-0005-0000-0000-00001B050000}"/>
    <cellStyle name="_PercentSpace_Book12_Jazztel model 16DP3-Exhibits_Orange-May01_Orange WIP Feb 04" xfId="1309" xr:uid="{00000000-0005-0000-0000-00001C050000}"/>
    <cellStyle name="_PercentSpace_Book12_Jazztel model 16DP3-Exhibits_Orange-May01_Telefonica Group August 12 2002" xfId="1310" xr:uid="{00000000-0005-0000-0000-00001D050000}"/>
    <cellStyle name="_PercentSpace_Book12_Jazztel model 16DP3-Exhibits_T_MOBIL2" xfId="1311" xr:uid="{00000000-0005-0000-0000-00001E050000}"/>
    <cellStyle name="_PercentSpace_Book12_Jazztel model 16DP3-Exhibits_T_MOBIL2_FT-6June2001" xfId="1312" xr:uid="{00000000-0005-0000-0000-00001F050000}"/>
    <cellStyle name="_PercentSpace_Book12_Jazztel model 16DP3-Exhibits_T_MOBIL2_FT-6June2001_1" xfId="1313" xr:uid="{00000000-0005-0000-0000-000020050000}"/>
    <cellStyle name="_PercentSpace_Book12_Jazztel model 16DP3-Exhibits_T_MOBIL2_FT-6June2001_1_Orange WIP Feb 04" xfId="1314" xr:uid="{00000000-0005-0000-0000-000021050000}"/>
    <cellStyle name="_PercentSpace_Book12_Jazztel model 16DP3-Exhibits_T_MOBIL2_FT-6June2001_1_Telefonica Moviles" xfId="1315" xr:uid="{00000000-0005-0000-0000-000022050000}"/>
    <cellStyle name="_PercentSpace_Book12_Jazztel model 16DP3-Exhibits_T_MOBIL2_Orange WIP Feb 04" xfId="1316" xr:uid="{00000000-0005-0000-0000-000023050000}"/>
    <cellStyle name="_PercentSpace_Book12_Jazztel model 16DP3-Exhibits_T_MOBIL2_Orange-May01" xfId="1317" xr:uid="{00000000-0005-0000-0000-000024050000}"/>
    <cellStyle name="_PercentSpace_Book12_Jazztel model 16DP3-Exhibits_T_MOBIL2_Orange-May01_Orange WIP Feb 04" xfId="1318" xr:uid="{00000000-0005-0000-0000-000025050000}"/>
    <cellStyle name="_PercentSpace_Book12_Jazztel model 16DP3-Exhibits_T_MOBIL2_Orange-May01_Telefonica Group August 12 2002" xfId="1319" xr:uid="{00000000-0005-0000-0000-000026050000}"/>
    <cellStyle name="_PercentSpace_Book12_Jazztel model 16DP3-Exhibits_T_MOBIL2_Telefonica Group August 12 2002" xfId="1320" xr:uid="{00000000-0005-0000-0000-000027050000}"/>
    <cellStyle name="_PercentSpace_Book12_Jazztel model 16DP3-Exhibits_T_MOBIL2_Telefonica Moviles" xfId="1321" xr:uid="{00000000-0005-0000-0000-000028050000}"/>
    <cellStyle name="_PercentSpace_Book12_Jazztel model 16DP3-Exhibits_Telefonica Moviles" xfId="1322" xr:uid="{00000000-0005-0000-0000-000029050000}"/>
    <cellStyle name="_PercentSpace_Book12_Jazztel model 16DP3-Exhibits_TelenorInitiation-11Jan01" xfId="1323" xr:uid="{00000000-0005-0000-0000-00002A050000}"/>
    <cellStyle name="_PercentSpace_Book12_Jazztel model 16DP3-Exhibits_TelenorWIPFeb01" xfId="1324" xr:uid="{00000000-0005-0000-0000-00002B050000}"/>
    <cellStyle name="_PercentSpace_Book12_Jazztel model 18DP-exhibits" xfId="1325" xr:uid="{00000000-0005-0000-0000-00002C050000}"/>
    <cellStyle name="_PercentSpace_Book12_Jazztel model 18DP-exhibits_3G Models" xfId="1326" xr:uid="{00000000-0005-0000-0000-00002D050000}"/>
    <cellStyle name="_PercentSpace_Book12_Jazztel model 18DP-exhibits_FT 22July 02_1.1" xfId="1327" xr:uid="{00000000-0005-0000-0000-00002E050000}"/>
    <cellStyle name="_PercentSpace_Book12_Jazztel model 18DP-exhibits_Orange WIP Feb 04" xfId="1328" xr:uid="{00000000-0005-0000-0000-00002F050000}"/>
    <cellStyle name="_PercentSpace_Book12_Orange WIP Feb 04" xfId="1329" xr:uid="{00000000-0005-0000-0000-000030050000}"/>
    <cellStyle name="_PercentSpace_Book12_Orange-May01" xfId="1330" xr:uid="{00000000-0005-0000-0000-000031050000}"/>
    <cellStyle name="_PercentSpace_Book12_Telefonica Moviles" xfId="1331" xr:uid="{00000000-0005-0000-0000-000032050000}"/>
    <cellStyle name="_PercentSpace_DCF Summary pages" xfId="1332" xr:uid="{00000000-0005-0000-0000-000033050000}"/>
    <cellStyle name="_PercentSpace_DCF Summary pages_3G Models" xfId="1333" xr:uid="{00000000-0005-0000-0000-000034050000}"/>
    <cellStyle name="_PercentSpace_DCF Summary pages_FT-6June2001" xfId="1334" xr:uid="{00000000-0005-0000-0000-000035050000}"/>
    <cellStyle name="_PercentSpace_DCF Summary pages_Jazztel model 16DP3-Exhibits" xfId="1335" xr:uid="{00000000-0005-0000-0000-000036050000}"/>
    <cellStyle name="_PercentSpace_DCF Summary pages_Jazztel model 16DP3-Exhibits_FT 22July 02_1.1" xfId="1336" xr:uid="{00000000-0005-0000-0000-000037050000}"/>
    <cellStyle name="_PercentSpace_DCF Summary pages_Jazztel model 16DP3-Exhibits_FT-6June2001" xfId="1337" xr:uid="{00000000-0005-0000-0000-000038050000}"/>
    <cellStyle name="_PercentSpace_DCF Summary pages_Jazztel model 16DP3-Exhibits_FT-6June2001_Telefonica Moviles" xfId="1338" xr:uid="{00000000-0005-0000-0000-000039050000}"/>
    <cellStyle name="_PercentSpace_DCF Summary pages_Jazztel model 16DP3-Exhibits_Orange WIP Feb 04" xfId="1339" xr:uid="{00000000-0005-0000-0000-00003A050000}"/>
    <cellStyle name="_PercentSpace_DCF Summary pages_Jazztel model 16DP3-Exhibits_Orange-Mar01" xfId="1340" xr:uid="{00000000-0005-0000-0000-00003B050000}"/>
    <cellStyle name="_PercentSpace_DCF Summary pages_Jazztel model 16DP3-Exhibits_Orange-May01" xfId="1341" xr:uid="{00000000-0005-0000-0000-00003C050000}"/>
    <cellStyle name="_PercentSpace_DCF Summary pages_Jazztel model 16DP3-Exhibits_Orange-May01_Orange WIP Feb 04" xfId="1342" xr:uid="{00000000-0005-0000-0000-00003D050000}"/>
    <cellStyle name="_PercentSpace_DCF Summary pages_Jazztel model 16DP3-Exhibits_Orange-May01_Telefonica Group August 12 2002" xfId="1343" xr:uid="{00000000-0005-0000-0000-00003E050000}"/>
    <cellStyle name="_PercentSpace_DCF Summary pages_Jazztel model 16DP3-Exhibits_T_MOBIL2" xfId="1344" xr:uid="{00000000-0005-0000-0000-00003F050000}"/>
    <cellStyle name="_PercentSpace_DCF Summary pages_Jazztel model 16DP3-Exhibits_T_MOBIL2_FT-6June2001" xfId="1345" xr:uid="{00000000-0005-0000-0000-000040050000}"/>
    <cellStyle name="_PercentSpace_DCF Summary pages_Jazztel model 16DP3-Exhibits_T_MOBIL2_FT-6June2001_1" xfId="1346" xr:uid="{00000000-0005-0000-0000-000041050000}"/>
    <cellStyle name="_PercentSpace_DCF Summary pages_Jazztel model 16DP3-Exhibits_T_MOBIL2_FT-6June2001_1_Orange WIP Feb 04" xfId="1347" xr:uid="{00000000-0005-0000-0000-000042050000}"/>
    <cellStyle name="_PercentSpace_DCF Summary pages_Jazztel model 16DP3-Exhibits_T_MOBIL2_FT-6June2001_1_Telefonica Moviles" xfId="1348" xr:uid="{00000000-0005-0000-0000-000043050000}"/>
    <cellStyle name="_PercentSpace_DCF Summary pages_Jazztel model 16DP3-Exhibits_T_MOBIL2_Orange WIP Feb 04" xfId="1349" xr:uid="{00000000-0005-0000-0000-000044050000}"/>
    <cellStyle name="_PercentSpace_DCF Summary pages_Jazztel model 16DP3-Exhibits_T_MOBIL2_Orange-May01" xfId="1350" xr:uid="{00000000-0005-0000-0000-000045050000}"/>
    <cellStyle name="_PercentSpace_DCF Summary pages_Jazztel model 16DP3-Exhibits_T_MOBIL2_Orange-May01_Orange WIP Feb 04" xfId="1351" xr:uid="{00000000-0005-0000-0000-000046050000}"/>
    <cellStyle name="_PercentSpace_DCF Summary pages_Jazztel model 16DP3-Exhibits_T_MOBIL2_Orange-May01_Telefonica Group August 12 2002" xfId="1352" xr:uid="{00000000-0005-0000-0000-000047050000}"/>
    <cellStyle name="_PercentSpace_DCF Summary pages_Jazztel model 16DP3-Exhibits_T_MOBIL2_Telefonica Group August 12 2002" xfId="1353" xr:uid="{00000000-0005-0000-0000-000048050000}"/>
    <cellStyle name="_PercentSpace_DCF Summary pages_Jazztel model 16DP3-Exhibits_T_MOBIL2_Telefonica Moviles" xfId="1354" xr:uid="{00000000-0005-0000-0000-000049050000}"/>
    <cellStyle name="_PercentSpace_DCF Summary pages_Jazztel model 16DP3-Exhibits_Telefonica Moviles" xfId="1355" xr:uid="{00000000-0005-0000-0000-00004A050000}"/>
    <cellStyle name="_PercentSpace_DCF Summary pages_Jazztel model 16DP3-Exhibits_TelenorInitiation-11Jan01" xfId="1356" xr:uid="{00000000-0005-0000-0000-00004B050000}"/>
    <cellStyle name="_PercentSpace_DCF Summary pages_Jazztel model 16DP3-Exhibits_TelenorWIPFeb01" xfId="1357" xr:uid="{00000000-0005-0000-0000-00004C050000}"/>
    <cellStyle name="_PercentSpace_DCF Summary pages_Jazztel model 18DP-exhibits" xfId="1358" xr:uid="{00000000-0005-0000-0000-00004D050000}"/>
    <cellStyle name="_PercentSpace_DCF Summary pages_Jazztel model 18DP-exhibits_3G Models" xfId="1359" xr:uid="{00000000-0005-0000-0000-00004E050000}"/>
    <cellStyle name="_PercentSpace_DCF Summary pages_Jazztel model 18DP-exhibits_FT 22July 02_1.1" xfId="1360" xr:uid="{00000000-0005-0000-0000-00004F050000}"/>
    <cellStyle name="_PercentSpace_DCF Summary pages_Jazztel model 18DP-exhibits_Orange WIP Feb 04" xfId="1361" xr:uid="{00000000-0005-0000-0000-000050050000}"/>
    <cellStyle name="_PercentSpace_DCF Summary pages_Orange WIP Feb 04" xfId="1362" xr:uid="{00000000-0005-0000-0000-000051050000}"/>
    <cellStyle name="_PercentSpace_DCF Summary pages_Orange-May01" xfId="1363" xr:uid="{00000000-0005-0000-0000-000052050000}"/>
    <cellStyle name="_PercentSpace_DCF Summary pages_Telefonica Moviles" xfId="1364" xr:uid="{00000000-0005-0000-0000-000053050000}"/>
    <cellStyle name="_PercentSpace_Jazztel model 15-exhibits" xfId="1365" xr:uid="{00000000-0005-0000-0000-000054050000}"/>
    <cellStyle name="_PercentSpace_Jazztel model 15-exhibits bis" xfId="1366" xr:uid="{00000000-0005-0000-0000-000055050000}"/>
    <cellStyle name="_PercentSpace_Jazztel model 15-exhibits bis_FT 22July 02_1.1" xfId="1367" xr:uid="{00000000-0005-0000-0000-000056050000}"/>
    <cellStyle name="_PercentSpace_Jazztel model 15-exhibits bis_FT-6June2001" xfId="1368" xr:uid="{00000000-0005-0000-0000-000057050000}"/>
    <cellStyle name="_PercentSpace_Jazztel model 15-exhibits bis_FT-6June2001_Telefonica Moviles" xfId="1369" xr:uid="{00000000-0005-0000-0000-000058050000}"/>
    <cellStyle name="_PercentSpace_Jazztel model 15-exhibits bis_Orange WIP Feb 04" xfId="1370" xr:uid="{00000000-0005-0000-0000-000059050000}"/>
    <cellStyle name="_PercentSpace_Jazztel model 15-exhibits bis_Orange-Mar01" xfId="1371" xr:uid="{00000000-0005-0000-0000-00005A050000}"/>
    <cellStyle name="_PercentSpace_Jazztel model 15-exhibits bis_Orange-May01" xfId="1372" xr:uid="{00000000-0005-0000-0000-00005B050000}"/>
    <cellStyle name="_PercentSpace_Jazztel model 15-exhibits bis_Orange-May01_Orange WIP Feb 04" xfId="1373" xr:uid="{00000000-0005-0000-0000-00005C050000}"/>
    <cellStyle name="_PercentSpace_Jazztel model 15-exhibits bis_Orange-May01_Telefonica Group August 12 2002" xfId="1374" xr:uid="{00000000-0005-0000-0000-00005D050000}"/>
    <cellStyle name="_PercentSpace_Jazztel model 15-exhibits bis_T_MOBIL2" xfId="1375" xr:uid="{00000000-0005-0000-0000-00005E050000}"/>
    <cellStyle name="_PercentSpace_Jazztel model 15-exhibits bis_T_MOBIL2_FT-6June2001" xfId="1376" xr:uid="{00000000-0005-0000-0000-00005F050000}"/>
    <cellStyle name="_PercentSpace_Jazztel model 15-exhibits bis_T_MOBIL2_FT-6June2001_1" xfId="1377" xr:uid="{00000000-0005-0000-0000-000060050000}"/>
    <cellStyle name="_PercentSpace_Jazztel model 15-exhibits bis_T_MOBIL2_FT-6June2001_1_Orange WIP Feb 04" xfId="1378" xr:uid="{00000000-0005-0000-0000-000061050000}"/>
    <cellStyle name="_PercentSpace_Jazztel model 15-exhibits bis_T_MOBIL2_FT-6June2001_1_Telefonica Moviles" xfId="1379" xr:uid="{00000000-0005-0000-0000-000062050000}"/>
    <cellStyle name="_PercentSpace_Jazztel model 15-exhibits bis_T_MOBIL2_Orange WIP Feb 04" xfId="1380" xr:uid="{00000000-0005-0000-0000-000063050000}"/>
    <cellStyle name="_PercentSpace_Jazztel model 15-exhibits bis_T_MOBIL2_Orange-May01" xfId="1381" xr:uid="{00000000-0005-0000-0000-000064050000}"/>
    <cellStyle name="_PercentSpace_Jazztel model 15-exhibits bis_T_MOBIL2_Orange-May01_Orange WIP Feb 04" xfId="1382" xr:uid="{00000000-0005-0000-0000-000065050000}"/>
    <cellStyle name="_PercentSpace_Jazztel model 15-exhibits bis_T_MOBIL2_Orange-May01_Telefonica Group August 12 2002" xfId="1383" xr:uid="{00000000-0005-0000-0000-000066050000}"/>
    <cellStyle name="_PercentSpace_Jazztel model 15-exhibits bis_T_MOBIL2_Telefonica Group August 12 2002" xfId="1384" xr:uid="{00000000-0005-0000-0000-000067050000}"/>
    <cellStyle name="_PercentSpace_Jazztel model 15-exhibits bis_T_MOBIL2_Telefonica Moviles" xfId="1385" xr:uid="{00000000-0005-0000-0000-000068050000}"/>
    <cellStyle name="_PercentSpace_Jazztel model 15-exhibits bis_Telefonica Moviles" xfId="1386" xr:uid="{00000000-0005-0000-0000-000069050000}"/>
    <cellStyle name="_PercentSpace_Jazztel model 15-exhibits bis_TelenorInitiation-11Jan01" xfId="1387" xr:uid="{00000000-0005-0000-0000-00006A050000}"/>
    <cellStyle name="_PercentSpace_Jazztel model 15-exhibits bis_TelenorWIPFeb01" xfId="1388" xr:uid="{00000000-0005-0000-0000-00006B050000}"/>
    <cellStyle name="_PercentSpace_Jazztel model 15-exhibits_3G Models" xfId="1389" xr:uid="{00000000-0005-0000-0000-00006C050000}"/>
    <cellStyle name="_PercentSpace_Jazztel model 15-exhibits_FT-6June2001" xfId="1390" xr:uid="{00000000-0005-0000-0000-00006D050000}"/>
    <cellStyle name="_PercentSpace_Jazztel model 15-exhibits_Jazztel model 16DP3-Exhibits" xfId="1391" xr:uid="{00000000-0005-0000-0000-00006E050000}"/>
    <cellStyle name="_PercentSpace_Jazztel model 15-exhibits_Jazztel model 16DP3-Exhibits_FT 22July 02_1.1" xfId="1392" xr:uid="{00000000-0005-0000-0000-00006F050000}"/>
    <cellStyle name="_PercentSpace_Jazztel model 15-exhibits_Jazztel model 16DP3-Exhibits_FT-6June2001" xfId="1393" xr:uid="{00000000-0005-0000-0000-000070050000}"/>
    <cellStyle name="_PercentSpace_Jazztel model 15-exhibits_Jazztel model 16DP3-Exhibits_FT-6June2001_Telefonica Moviles" xfId="1394" xr:uid="{00000000-0005-0000-0000-000071050000}"/>
    <cellStyle name="_PercentSpace_Jazztel model 15-exhibits_Jazztel model 16DP3-Exhibits_Orange WIP Feb 04" xfId="1395" xr:uid="{00000000-0005-0000-0000-000072050000}"/>
    <cellStyle name="_PercentSpace_Jazztel model 15-exhibits_Jazztel model 16DP3-Exhibits_Orange-Mar01" xfId="1396" xr:uid="{00000000-0005-0000-0000-000073050000}"/>
    <cellStyle name="_PercentSpace_Jazztel model 15-exhibits_Jazztel model 16DP3-Exhibits_Orange-May01" xfId="1397" xr:uid="{00000000-0005-0000-0000-000074050000}"/>
    <cellStyle name="_PercentSpace_Jazztel model 15-exhibits_Jazztel model 16DP3-Exhibits_Orange-May01_Orange WIP Feb 04" xfId="1398" xr:uid="{00000000-0005-0000-0000-000075050000}"/>
    <cellStyle name="_PercentSpace_Jazztel model 15-exhibits_Jazztel model 16DP3-Exhibits_Orange-May01_Telefonica Group August 12 2002" xfId="1399" xr:uid="{00000000-0005-0000-0000-000076050000}"/>
    <cellStyle name="_PercentSpace_Jazztel model 15-exhibits_Jazztel model 16DP3-Exhibits_T_MOBIL2" xfId="1400" xr:uid="{00000000-0005-0000-0000-000077050000}"/>
    <cellStyle name="_PercentSpace_Jazztel model 15-exhibits_Jazztel model 16DP3-Exhibits_T_MOBIL2_FT-6June2001" xfId="1401" xr:uid="{00000000-0005-0000-0000-000078050000}"/>
    <cellStyle name="_PercentSpace_Jazztel model 15-exhibits_Jazztel model 16DP3-Exhibits_T_MOBIL2_FT-6June2001_1" xfId="1402" xr:uid="{00000000-0005-0000-0000-000079050000}"/>
    <cellStyle name="_PercentSpace_Jazztel model 15-exhibits_Jazztel model 16DP3-Exhibits_T_MOBIL2_FT-6June2001_1_Orange WIP Feb 04" xfId="1403" xr:uid="{00000000-0005-0000-0000-00007A050000}"/>
    <cellStyle name="_PercentSpace_Jazztel model 15-exhibits_Jazztel model 16DP3-Exhibits_T_MOBIL2_FT-6June2001_1_Telefonica Moviles" xfId="1404" xr:uid="{00000000-0005-0000-0000-00007B050000}"/>
    <cellStyle name="_PercentSpace_Jazztel model 15-exhibits_Jazztel model 16DP3-Exhibits_T_MOBIL2_Orange WIP Feb 04" xfId="1405" xr:uid="{00000000-0005-0000-0000-00007C050000}"/>
    <cellStyle name="_PercentSpace_Jazztel model 15-exhibits_Jazztel model 16DP3-Exhibits_T_MOBIL2_Orange-May01" xfId="1406" xr:uid="{00000000-0005-0000-0000-00007D050000}"/>
    <cellStyle name="_PercentSpace_Jazztel model 15-exhibits_Jazztel model 16DP3-Exhibits_T_MOBIL2_Orange-May01_Orange WIP Feb 04" xfId="1407" xr:uid="{00000000-0005-0000-0000-00007E050000}"/>
    <cellStyle name="_PercentSpace_Jazztel model 15-exhibits_Jazztel model 16DP3-Exhibits_T_MOBIL2_Orange-May01_Telefonica Group August 12 2002" xfId="1408" xr:uid="{00000000-0005-0000-0000-00007F050000}"/>
    <cellStyle name="_PercentSpace_Jazztel model 15-exhibits_Jazztel model 16DP3-Exhibits_T_MOBIL2_Telefonica Group August 12 2002" xfId="1409" xr:uid="{00000000-0005-0000-0000-000080050000}"/>
    <cellStyle name="_PercentSpace_Jazztel model 15-exhibits_Jazztel model 16DP3-Exhibits_T_MOBIL2_Telefonica Moviles" xfId="1410" xr:uid="{00000000-0005-0000-0000-000081050000}"/>
    <cellStyle name="_PercentSpace_Jazztel model 15-exhibits_Jazztel model 16DP3-Exhibits_Telefonica Moviles" xfId="1411" xr:uid="{00000000-0005-0000-0000-000082050000}"/>
    <cellStyle name="_PercentSpace_Jazztel model 15-exhibits_Jazztel model 16DP3-Exhibits_TelenorInitiation-11Jan01" xfId="1412" xr:uid="{00000000-0005-0000-0000-000083050000}"/>
    <cellStyle name="_PercentSpace_Jazztel model 15-exhibits_Jazztel model 16DP3-Exhibits_TelenorWIPFeb01" xfId="1413" xr:uid="{00000000-0005-0000-0000-000084050000}"/>
    <cellStyle name="_PercentSpace_Jazztel model 15-exhibits_Jazztel model 18DP-exhibits" xfId="1414" xr:uid="{00000000-0005-0000-0000-000085050000}"/>
    <cellStyle name="_PercentSpace_Jazztel model 15-exhibits_Jazztel model 18DP-exhibits_3G Models" xfId="1415" xr:uid="{00000000-0005-0000-0000-000086050000}"/>
    <cellStyle name="_PercentSpace_Jazztel model 15-exhibits_Jazztel model 18DP-exhibits_FT 22July 02_1.1" xfId="1416" xr:uid="{00000000-0005-0000-0000-000087050000}"/>
    <cellStyle name="_PercentSpace_Jazztel model 15-exhibits_Jazztel model 18DP-exhibits_Orange WIP Feb 04" xfId="1417" xr:uid="{00000000-0005-0000-0000-000088050000}"/>
    <cellStyle name="_PercentSpace_Jazztel model 15-exhibits_Orange WIP Feb 04" xfId="1418" xr:uid="{00000000-0005-0000-0000-000089050000}"/>
    <cellStyle name="_PercentSpace_Jazztel model 15-exhibits_Orange-May01" xfId="1419" xr:uid="{00000000-0005-0000-0000-00008A050000}"/>
    <cellStyle name="_PercentSpace_Jazztel model 15-exhibits_Telefonica Moviles" xfId="1420" xr:uid="{00000000-0005-0000-0000-00008B050000}"/>
    <cellStyle name="_PercentSpace_Jazztel model 15-exhibits-Friso2" xfId="1421" xr:uid="{00000000-0005-0000-0000-00008C050000}"/>
    <cellStyle name="_PercentSpace_Jazztel model 15-exhibits-Friso2_3G Models" xfId="1422" xr:uid="{00000000-0005-0000-0000-00008D050000}"/>
    <cellStyle name="_PercentSpace_Jazztel model 15-exhibits-Friso2_FT-6June2001" xfId="1423" xr:uid="{00000000-0005-0000-0000-00008E050000}"/>
    <cellStyle name="_PercentSpace_Jazztel model 15-exhibits-Friso2_Jazztel model 16DP3-Exhibits" xfId="1424" xr:uid="{00000000-0005-0000-0000-00008F050000}"/>
    <cellStyle name="_PercentSpace_Jazztel model 15-exhibits-Friso2_Jazztel model 16DP3-Exhibits_FT 22July 02_1.1" xfId="1425" xr:uid="{00000000-0005-0000-0000-000090050000}"/>
    <cellStyle name="_PercentSpace_Jazztel model 15-exhibits-Friso2_Jazztel model 16DP3-Exhibits_FT-6June2001" xfId="1426" xr:uid="{00000000-0005-0000-0000-000091050000}"/>
    <cellStyle name="_PercentSpace_Jazztel model 15-exhibits-Friso2_Jazztel model 16DP3-Exhibits_FT-6June2001_Telefonica Moviles" xfId="1427" xr:uid="{00000000-0005-0000-0000-000092050000}"/>
    <cellStyle name="_PercentSpace_Jazztel model 15-exhibits-Friso2_Jazztel model 16DP3-Exhibits_Orange WIP Feb 04" xfId="1428" xr:uid="{00000000-0005-0000-0000-000093050000}"/>
    <cellStyle name="_PercentSpace_Jazztel model 15-exhibits-Friso2_Jazztel model 16DP3-Exhibits_Orange-Mar01" xfId="1429" xr:uid="{00000000-0005-0000-0000-000094050000}"/>
    <cellStyle name="_PercentSpace_Jazztel model 15-exhibits-Friso2_Jazztel model 16DP3-Exhibits_Orange-May01" xfId="1430" xr:uid="{00000000-0005-0000-0000-000095050000}"/>
    <cellStyle name="_PercentSpace_Jazztel model 15-exhibits-Friso2_Jazztel model 16DP3-Exhibits_Orange-May01_Orange WIP Feb 04" xfId="1431" xr:uid="{00000000-0005-0000-0000-000096050000}"/>
    <cellStyle name="_PercentSpace_Jazztel model 15-exhibits-Friso2_Jazztel model 16DP3-Exhibits_Orange-May01_Telefonica Group August 12 2002" xfId="1432" xr:uid="{00000000-0005-0000-0000-000097050000}"/>
    <cellStyle name="_PercentSpace_Jazztel model 15-exhibits-Friso2_Jazztel model 16DP3-Exhibits_T_MOBIL2" xfId="1433" xr:uid="{00000000-0005-0000-0000-000098050000}"/>
    <cellStyle name="_PercentSpace_Jazztel model 15-exhibits-Friso2_Jazztel model 16DP3-Exhibits_T_MOBIL2_FT-6June2001" xfId="1434" xr:uid="{00000000-0005-0000-0000-000099050000}"/>
    <cellStyle name="_PercentSpace_Jazztel model 15-exhibits-Friso2_Jazztel model 16DP3-Exhibits_T_MOBIL2_FT-6June2001_1" xfId="1435" xr:uid="{00000000-0005-0000-0000-00009A050000}"/>
    <cellStyle name="_PercentSpace_Jazztel model 15-exhibits-Friso2_Jazztel model 16DP3-Exhibits_T_MOBIL2_FT-6June2001_1_Orange WIP Feb 04" xfId="1436" xr:uid="{00000000-0005-0000-0000-00009B050000}"/>
    <cellStyle name="_PercentSpace_Jazztel model 15-exhibits-Friso2_Jazztel model 16DP3-Exhibits_T_MOBIL2_FT-6June2001_1_Telefonica Moviles" xfId="1437" xr:uid="{00000000-0005-0000-0000-00009C050000}"/>
    <cellStyle name="_PercentSpace_Jazztel model 15-exhibits-Friso2_Jazztel model 16DP3-Exhibits_T_MOBIL2_Orange WIP Feb 04" xfId="1438" xr:uid="{00000000-0005-0000-0000-00009D050000}"/>
    <cellStyle name="_PercentSpace_Jazztel model 15-exhibits-Friso2_Jazztel model 16DP3-Exhibits_T_MOBIL2_Orange-May01" xfId="1439" xr:uid="{00000000-0005-0000-0000-00009E050000}"/>
    <cellStyle name="_PercentSpace_Jazztel model 15-exhibits-Friso2_Jazztel model 16DP3-Exhibits_T_MOBIL2_Orange-May01_Orange WIP Feb 04" xfId="1440" xr:uid="{00000000-0005-0000-0000-00009F050000}"/>
    <cellStyle name="_PercentSpace_Jazztel model 15-exhibits-Friso2_Jazztel model 16DP3-Exhibits_T_MOBIL2_Orange-May01_Telefonica Group August 12 2002" xfId="1441" xr:uid="{00000000-0005-0000-0000-0000A0050000}"/>
    <cellStyle name="_PercentSpace_Jazztel model 15-exhibits-Friso2_Jazztel model 16DP3-Exhibits_T_MOBIL2_Telefonica Group August 12 2002" xfId="1442" xr:uid="{00000000-0005-0000-0000-0000A1050000}"/>
    <cellStyle name="_PercentSpace_Jazztel model 15-exhibits-Friso2_Jazztel model 16DP3-Exhibits_T_MOBIL2_Telefonica Moviles" xfId="1443" xr:uid="{00000000-0005-0000-0000-0000A2050000}"/>
    <cellStyle name="_PercentSpace_Jazztel model 15-exhibits-Friso2_Jazztel model 16DP3-Exhibits_Telefonica Moviles" xfId="1444" xr:uid="{00000000-0005-0000-0000-0000A3050000}"/>
    <cellStyle name="_PercentSpace_Jazztel model 15-exhibits-Friso2_Jazztel model 16DP3-Exhibits_TelenorInitiation-11Jan01" xfId="1445" xr:uid="{00000000-0005-0000-0000-0000A4050000}"/>
    <cellStyle name="_PercentSpace_Jazztel model 15-exhibits-Friso2_Jazztel model 16DP3-Exhibits_TelenorWIPFeb01" xfId="1446" xr:uid="{00000000-0005-0000-0000-0000A5050000}"/>
    <cellStyle name="_PercentSpace_Jazztel model 15-exhibits-Friso2_Jazztel model 18DP-exhibits" xfId="1447" xr:uid="{00000000-0005-0000-0000-0000A6050000}"/>
    <cellStyle name="_PercentSpace_Jazztel model 15-exhibits-Friso2_Jazztel model 18DP-exhibits_3G Models" xfId="1448" xr:uid="{00000000-0005-0000-0000-0000A7050000}"/>
    <cellStyle name="_PercentSpace_Jazztel model 15-exhibits-Friso2_Jazztel model 18DP-exhibits_FT 22July 02_1.1" xfId="1449" xr:uid="{00000000-0005-0000-0000-0000A8050000}"/>
    <cellStyle name="_PercentSpace_Jazztel model 15-exhibits-Friso2_Jazztel model 18DP-exhibits_Orange WIP Feb 04" xfId="1450" xr:uid="{00000000-0005-0000-0000-0000A9050000}"/>
    <cellStyle name="_PercentSpace_Jazztel model 15-exhibits-Friso2_Orange WIP Feb 04" xfId="1451" xr:uid="{00000000-0005-0000-0000-0000AA050000}"/>
    <cellStyle name="_PercentSpace_Jazztel model 15-exhibits-Friso2_Orange-May01" xfId="1452" xr:uid="{00000000-0005-0000-0000-0000AB050000}"/>
    <cellStyle name="_PercentSpace_Jazztel model 15-exhibits-Friso2_Telefonica Moviles" xfId="1453" xr:uid="{00000000-0005-0000-0000-0000AC050000}"/>
    <cellStyle name="_PercentSpace_Jazztel model 16DP2-Exhibits" xfId="1454" xr:uid="{00000000-0005-0000-0000-0000AD050000}"/>
    <cellStyle name="_PercentSpace_Jazztel model 16DP2-Exhibits_3G Models" xfId="1455" xr:uid="{00000000-0005-0000-0000-0000AE050000}"/>
    <cellStyle name="_PercentSpace_Jazztel model 16DP3-Exhibits" xfId="1456" xr:uid="{00000000-0005-0000-0000-0000AF050000}"/>
    <cellStyle name="_PercentSpace_Jazztel model 16DP3-Exhibits_3G Models" xfId="1457" xr:uid="{00000000-0005-0000-0000-0000B0050000}"/>
    <cellStyle name="_PercentSpace_MIC-08Q4-SME" xfId="1458" xr:uid="{00000000-0005-0000-0000-0000B1050000}"/>
    <cellStyle name="_Vodacom WIP" xfId="1459" xr:uid="{00000000-0005-0000-0000-0000B2050000}"/>
    <cellStyle name="¤@¯ë_Sheet1 (2)" xfId="1460" xr:uid="{00000000-0005-0000-0000-0000B3050000}"/>
    <cellStyle name="=C:\WINNT\SYSTEM32\COMMAND.COM" xfId="1461" xr:uid="{00000000-0005-0000-0000-0000B4050000}"/>
    <cellStyle name="=C:\WINNT35\SYSTEM32\COMMAND.COM" xfId="1462" xr:uid="{00000000-0005-0000-0000-0000B5050000}"/>
    <cellStyle name="§Q\òm1@À" xfId="1463" xr:uid="{00000000-0005-0000-0000-0000B6050000}"/>
    <cellStyle name="•W€_VALUE" xfId="1464" xr:uid="{00000000-0005-0000-0000-0000B7050000}"/>
    <cellStyle name="‰p•¶" xfId="1465" xr:uid="{00000000-0005-0000-0000-0000B8050000}"/>
    <cellStyle name="0" xfId="1466" xr:uid="{00000000-0005-0000-0000-0000B9050000}"/>
    <cellStyle name="20% - Accent1" xfId="1467" builtinId="30" customBuiltin="1"/>
    <cellStyle name="20% - Accent2" xfId="1468" builtinId="34" customBuiltin="1"/>
    <cellStyle name="20% - Accent3" xfId="1469" builtinId="38" customBuiltin="1"/>
    <cellStyle name="20% - Accent4" xfId="1470" builtinId="42" customBuiltin="1"/>
    <cellStyle name="20% - Accent5" xfId="1471" builtinId="46" customBuiltin="1"/>
    <cellStyle name="20% - Accent6" xfId="1472" builtinId="50" customBuiltin="1"/>
    <cellStyle name="3f1o [0]_J-Hwang242" xfId="1473" xr:uid="{00000000-0005-0000-0000-0000C0050000}"/>
    <cellStyle name="3f1o_J-Hwang2an" xfId="1474" xr:uid="{00000000-0005-0000-0000-0000C1050000}"/>
    <cellStyle name="40% - Accent1" xfId="1475" builtinId="31" customBuiltin="1"/>
    <cellStyle name="40% - Accent2" xfId="1476" builtinId="35" customBuiltin="1"/>
    <cellStyle name="40% - Accent3" xfId="1477" builtinId="39" customBuiltin="1"/>
    <cellStyle name="40% - Accent4" xfId="1478" builtinId="43" customBuiltin="1"/>
    <cellStyle name="40% - Accent5" xfId="1479" builtinId="47" customBuiltin="1"/>
    <cellStyle name="40% - Accent6" xfId="1480" builtinId="51" customBuiltin="1"/>
    <cellStyle name="60% - Accent1" xfId="1481" builtinId="32" customBuiltin="1"/>
    <cellStyle name="60% - Accent2" xfId="1482" builtinId="36" customBuiltin="1"/>
    <cellStyle name="60% - Accent3" xfId="1483" builtinId="40" customBuiltin="1"/>
    <cellStyle name="60% - Accent4" xfId="1484" builtinId="44" customBuiltin="1"/>
    <cellStyle name="60% - Accent5" xfId="1485" builtinId="48" customBuiltin="1"/>
    <cellStyle name="60% - Accent6" xfId="1486" builtinId="52" customBuiltin="1"/>
    <cellStyle name="6mal" xfId="1487" xr:uid="{00000000-0005-0000-0000-0000CE050000}"/>
    <cellStyle name="aaa" xfId="1488" xr:uid="{00000000-0005-0000-0000-0000CF050000}"/>
    <cellStyle name="Accent1" xfId="1489" builtinId="29" customBuiltin="1"/>
    <cellStyle name="Accent2" xfId="1490" builtinId="33" customBuiltin="1"/>
    <cellStyle name="Accent3" xfId="1491" builtinId="37" customBuiltin="1"/>
    <cellStyle name="Accent4" xfId="1492" builtinId="41" customBuiltin="1"/>
    <cellStyle name="Accent5" xfId="1493" builtinId="45" customBuiltin="1"/>
    <cellStyle name="Accent6" xfId="1494" builtinId="49" customBuiltin="1"/>
    <cellStyle name="Acquisition" xfId="1495" xr:uid="{00000000-0005-0000-0000-0000D6050000}"/>
    <cellStyle name="ÅëÈ­ [0]_TestResults" xfId="1496" xr:uid="{00000000-0005-0000-0000-0000D7050000}"/>
    <cellStyle name="ÅëÈ­_TestResults" xfId="1497" xr:uid="{00000000-0005-0000-0000-0000D8050000}"/>
    <cellStyle name="ANALYST" xfId="1498" xr:uid="{00000000-0005-0000-0000-0000D9050000}"/>
    <cellStyle name="Année" xfId="1499" xr:uid="{00000000-0005-0000-0000-0000DA050000}"/>
    <cellStyle name="Année (e)" xfId="1500" xr:uid="{00000000-0005-0000-0000-0000DB050000}"/>
    <cellStyle name="args.style" xfId="1501" xr:uid="{00000000-0005-0000-0000-0000DC050000}"/>
    <cellStyle name="Arial 10" xfId="1502" xr:uid="{00000000-0005-0000-0000-0000DD050000}"/>
    <cellStyle name="Arial 10 2" xfId="1503" xr:uid="{00000000-0005-0000-0000-0000DE050000}"/>
    <cellStyle name="Arial 12" xfId="1504" xr:uid="{00000000-0005-0000-0000-0000DF050000}"/>
    <cellStyle name="Arial6Bold" xfId="1505" xr:uid="{00000000-0005-0000-0000-0000E0050000}"/>
    <cellStyle name="Arial8Bold" xfId="1506" xr:uid="{00000000-0005-0000-0000-0000E1050000}"/>
    <cellStyle name="Arial8Italic" xfId="1507" xr:uid="{00000000-0005-0000-0000-0000E2050000}"/>
    <cellStyle name="ArialNormal" xfId="1508" xr:uid="{00000000-0005-0000-0000-0000E3050000}"/>
    <cellStyle name="Assumption" xfId="1509" xr:uid="{00000000-0005-0000-0000-0000E4050000}"/>
    <cellStyle name="Assumptions" xfId="1510" xr:uid="{00000000-0005-0000-0000-0000E5050000}"/>
    <cellStyle name="ÄÞ¸¶ [0]_TestResults" xfId="1511" xr:uid="{00000000-0005-0000-0000-0000E6050000}"/>
    <cellStyle name="ÄÞ¸¶_TestResults" xfId="1512" xr:uid="{00000000-0005-0000-0000-0000E7050000}"/>
    <cellStyle name="auf tausender" xfId="1513" xr:uid="{00000000-0005-0000-0000-0000E8050000}"/>
    <cellStyle name="Availability" xfId="1514" xr:uid="{00000000-0005-0000-0000-0000E9050000}"/>
    <cellStyle name="Bad" xfId="1515" builtinId="27" customBuiltin="1"/>
    <cellStyle name="BalanceSheet" xfId="1516" xr:uid="{00000000-0005-0000-0000-0000EB050000}"/>
    <cellStyle name="BlackTitle" xfId="1517" xr:uid="{00000000-0005-0000-0000-0000EC050000}"/>
    <cellStyle name="Blank" xfId="1518" xr:uid="{00000000-0005-0000-0000-0000ED050000}"/>
    <cellStyle name="Blank 2" xfId="1519" xr:uid="{00000000-0005-0000-0000-0000EE050000}"/>
    <cellStyle name="block" xfId="1520" xr:uid="{00000000-0005-0000-0000-0000EF050000}"/>
    <cellStyle name="Blue" xfId="1521" xr:uid="{00000000-0005-0000-0000-0000F0050000}"/>
    <cellStyle name="British Pound" xfId="1522" xr:uid="{00000000-0005-0000-0000-0000F1050000}"/>
    <cellStyle name="Ç¥ÁØ_TestResults" xfId="1523" xr:uid="{00000000-0005-0000-0000-0000F2050000}"/>
    <cellStyle name="Calcul" xfId="1524" xr:uid="{00000000-0005-0000-0000-0000F3050000}"/>
    <cellStyle name="Calculation" xfId="1525" builtinId="22" customBuiltin="1"/>
    <cellStyle name="CashFlow" xfId="1526" xr:uid="{00000000-0005-0000-0000-0000F5050000}"/>
    <cellStyle name="category" xfId="1527" xr:uid="{00000000-0005-0000-0000-0000F6050000}"/>
    <cellStyle name="Changeable" xfId="1528" xr:uid="{00000000-0005-0000-0000-0000F7050000}"/>
    <cellStyle name="Check Cell" xfId="1529" builtinId="23" customBuiltin="1"/>
    <cellStyle name="Checksum" xfId="1530" xr:uid="{00000000-0005-0000-0000-0000F9050000}"/>
    <cellStyle name="ColHeading" xfId="1531" xr:uid="{00000000-0005-0000-0000-0000FA050000}"/>
    <cellStyle name="Column Heading" xfId="1532" xr:uid="{00000000-0005-0000-0000-0000FB050000}"/>
    <cellStyle name="Column Heading (No Wrap)" xfId="1533" xr:uid="{00000000-0005-0000-0000-0000FC050000}"/>
    <cellStyle name="Column Heading_SHEET" xfId="1534" xr:uid="{00000000-0005-0000-0000-0000FD050000}"/>
    <cellStyle name="Column label" xfId="1535" xr:uid="{00000000-0005-0000-0000-0000FE050000}"/>
    <cellStyle name="Column label (left aligned)" xfId="1536" xr:uid="{00000000-0005-0000-0000-0000FF050000}"/>
    <cellStyle name="Column label (no wrap)" xfId="1537" xr:uid="{00000000-0005-0000-0000-000000060000}"/>
    <cellStyle name="Column label (not bold)" xfId="1538" xr:uid="{00000000-0005-0000-0000-000001060000}"/>
    <cellStyle name="Column label_sheet" xfId="1539" xr:uid="{00000000-0005-0000-0000-000002060000}"/>
    <cellStyle name="Column Total" xfId="1540" xr:uid="{00000000-0005-0000-0000-000003060000}"/>
    <cellStyle name="Comma" xfId="1541" builtinId="3"/>
    <cellStyle name="comma - number" xfId="1542" xr:uid="{00000000-0005-0000-0000-000005060000}"/>
    <cellStyle name="Comma [2]" xfId="1543" xr:uid="{00000000-0005-0000-0000-000006060000}"/>
    <cellStyle name="Comma 0" xfId="1544" xr:uid="{00000000-0005-0000-0000-000007060000}"/>
    <cellStyle name="Comma 10" xfId="1545" xr:uid="{00000000-0005-0000-0000-000008060000}"/>
    <cellStyle name="Comma 10 2" xfId="1546" xr:uid="{00000000-0005-0000-0000-000009060000}"/>
    <cellStyle name="Comma 11" xfId="1547" xr:uid="{00000000-0005-0000-0000-00000A060000}"/>
    <cellStyle name="Comma 11 2" xfId="1548" xr:uid="{00000000-0005-0000-0000-00000B060000}"/>
    <cellStyle name="Comma 12" xfId="1549" xr:uid="{00000000-0005-0000-0000-00000C060000}"/>
    <cellStyle name="Comma 12 2" xfId="1550" xr:uid="{00000000-0005-0000-0000-00000D060000}"/>
    <cellStyle name="Comma 13" xfId="1551" xr:uid="{00000000-0005-0000-0000-00000E060000}"/>
    <cellStyle name="Comma 13 2" xfId="1552" xr:uid="{00000000-0005-0000-0000-00000F060000}"/>
    <cellStyle name="Comma 14" xfId="1553" xr:uid="{00000000-0005-0000-0000-000010060000}"/>
    <cellStyle name="Comma 14 2" xfId="1554" xr:uid="{00000000-0005-0000-0000-000011060000}"/>
    <cellStyle name="Comma 15" xfId="1555" xr:uid="{00000000-0005-0000-0000-000012060000}"/>
    <cellStyle name="Comma 15 2" xfId="1556" xr:uid="{00000000-0005-0000-0000-000013060000}"/>
    <cellStyle name="Comma 16" xfId="1557" xr:uid="{00000000-0005-0000-0000-000014060000}"/>
    <cellStyle name="Comma 16 2" xfId="1558" xr:uid="{00000000-0005-0000-0000-000015060000}"/>
    <cellStyle name="Comma 17" xfId="1559" xr:uid="{00000000-0005-0000-0000-000016060000}"/>
    <cellStyle name="Comma 17 2" xfId="1560" xr:uid="{00000000-0005-0000-0000-000017060000}"/>
    <cellStyle name="Comma 18" xfId="1561" xr:uid="{00000000-0005-0000-0000-000018060000}"/>
    <cellStyle name="Comma 18 2" xfId="1562" xr:uid="{00000000-0005-0000-0000-000019060000}"/>
    <cellStyle name="Comma 19" xfId="1563" xr:uid="{00000000-0005-0000-0000-00001A060000}"/>
    <cellStyle name="Comma 19 2" xfId="1564" xr:uid="{00000000-0005-0000-0000-00001B060000}"/>
    <cellStyle name="Comma 2" xfId="1565" xr:uid="{00000000-0005-0000-0000-00001C060000}"/>
    <cellStyle name="Comma 2 2" xfId="1566" xr:uid="{00000000-0005-0000-0000-00001D060000}"/>
    <cellStyle name="Comma 20" xfId="1567" xr:uid="{00000000-0005-0000-0000-00001E060000}"/>
    <cellStyle name="Comma 20 2" xfId="1568" xr:uid="{00000000-0005-0000-0000-00001F060000}"/>
    <cellStyle name="Comma 21" xfId="1569" xr:uid="{00000000-0005-0000-0000-000020060000}"/>
    <cellStyle name="Comma 21 2" xfId="1570" xr:uid="{00000000-0005-0000-0000-000021060000}"/>
    <cellStyle name="Comma 22" xfId="1571" xr:uid="{00000000-0005-0000-0000-000022060000}"/>
    <cellStyle name="Comma 22 2" xfId="1572" xr:uid="{00000000-0005-0000-0000-000023060000}"/>
    <cellStyle name="Comma 23" xfId="1573" xr:uid="{00000000-0005-0000-0000-000024060000}"/>
    <cellStyle name="Comma 23 2" xfId="1574" xr:uid="{00000000-0005-0000-0000-000025060000}"/>
    <cellStyle name="Comma 24" xfId="1575" xr:uid="{00000000-0005-0000-0000-000026060000}"/>
    <cellStyle name="Comma 24 2" xfId="1576" xr:uid="{00000000-0005-0000-0000-000027060000}"/>
    <cellStyle name="Comma 25" xfId="1577" xr:uid="{00000000-0005-0000-0000-000028060000}"/>
    <cellStyle name="Comma 25 2" xfId="1578" xr:uid="{00000000-0005-0000-0000-000029060000}"/>
    <cellStyle name="Comma 26" xfId="1579" xr:uid="{00000000-0005-0000-0000-00002A060000}"/>
    <cellStyle name="Comma 26 2" xfId="1580" xr:uid="{00000000-0005-0000-0000-00002B060000}"/>
    <cellStyle name="Comma 27" xfId="1581" xr:uid="{00000000-0005-0000-0000-00002C060000}"/>
    <cellStyle name="Comma 27 2" xfId="1582" xr:uid="{00000000-0005-0000-0000-00002D060000}"/>
    <cellStyle name="Comma 28" xfId="1583" xr:uid="{00000000-0005-0000-0000-00002E060000}"/>
    <cellStyle name="Comma 28 2" xfId="1584" xr:uid="{00000000-0005-0000-0000-00002F060000}"/>
    <cellStyle name="Comma 29" xfId="1585" xr:uid="{00000000-0005-0000-0000-000030060000}"/>
    <cellStyle name="Comma 29 2" xfId="1586" xr:uid="{00000000-0005-0000-0000-000031060000}"/>
    <cellStyle name="Comma 3" xfId="1587" xr:uid="{00000000-0005-0000-0000-000032060000}"/>
    <cellStyle name="Comma 3 2" xfId="1588" xr:uid="{00000000-0005-0000-0000-000033060000}"/>
    <cellStyle name="Comma 3 3" xfId="1589" xr:uid="{00000000-0005-0000-0000-000034060000}"/>
    <cellStyle name="Comma 30" xfId="1590" xr:uid="{00000000-0005-0000-0000-000035060000}"/>
    <cellStyle name="Comma 30 2" xfId="1591" xr:uid="{00000000-0005-0000-0000-000036060000}"/>
    <cellStyle name="Comma 31" xfId="1592" xr:uid="{00000000-0005-0000-0000-000037060000}"/>
    <cellStyle name="Comma 31 2" xfId="1593" xr:uid="{00000000-0005-0000-0000-000038060000}"/>
    <cellStyle name="Comma 32" xfId="1594" xr:uid="{00000000-0005-0000-0000-000039060000}"/>
    <cellStyle name="Comma 32 2" xfId="1595" xr:uid="{00000000-0005-0000-0000-00003A060000}"/>
    <cellStyle name="Comma 33" xfId="1596" xr:uid="{00000000-0005-0000-0000-00003B060000}"/>
    <cellStyle name="Comma 33 2" xfId="1597" xr:uid="{00000000-0005-0000-0000-00003C060000}"/>
    <cellStyle name="Comma 34" xfId="1598" xr:uid="{00000000-0005-0000-0000-00003D060000}"/>
    <cellStyle name="Comma 34 2" xfId="1599" xr:uid="{00000000-0005-0000-0000-00003E060000}"/>
    <cellStyle name="Comma 35" xfId="1600" xr:uid="{00000000-0005-0000-0000-00003F060000}"/>
    <cellStyle name="Comma 35 2" xfId="1601" xr:uid="{00000000-0005-0000-0000-000040060000}"/>
    <cellStyle name="Comma 36" xfId="1602" xr:uid="{00000000-0005-0000-0000-000041060000}"/>
    <cellStyle name="Comma 36 2" xfId="1603" xr:uid="{00000000-0005-0000-0000-000042060000}"/>
    <cellStyle name="Comma 37" xfId="1604" xr:uid="{00000000-0005-0000-0000-000043060000}"/>
    <cellStyle name="Comma 38" xfId="1605" xr:uid="{00000000-0005-0000-0000-000044060000}"/>
    <cellStyle name="Comma 4" xfId="1606" xr:uid="{00000000-0005-0000-0000-000045060000}"/>
    <cellStyle name="Comma 4 2" xfId="1607" xr:uid="{00000000-0005-0000-0000-000046060000}"/>
    <cellStyle name="Comma 5" xfId="1608" xr:uid="{00000000-0005-0000-0000-000047060000}"/>
    <cellStyle name="Comma 5 2" xfId="1609" xr:uid="{00000000-0005-0000-0000-000048060000}"/>
    <cellStyle name="Comma 6" xfId="1610" xr:uid="{00000000-0005-0000-0000-000049060000}"/>
    <cellStyle name="Comma 6 2" xfId="1611" xr:uid="{00000000-0005-0000-0000-00004A060000}"/>
    <cellStyle name="Comma 7" xfId="1612" xr:uid="{00000000-0005-0000-0000-00004B060000}"/>
    <cellStyle name="Comma 7 2" xfId="1613" xr:uid="{00000000-0005-0000-0000-00004C060000}"/>
    <cellStyle name="Comma 8" xfId="1614" xr:uid="{00000000-0005-0000-0000-00004D060000}"/>
    <cellStyle name="Comma 8 2" xfId="1615" xr:uid="{00000000-0005-0000-0000-00004E060000}"/>
    <cellStyle name="Comma 9" xfId="1616" xr:uid="{00000000-0005-0000-0000-00004F060000}"/>
    <cellStyle name="Comma 9 2" xfId="1617" xr:uid="{00000000-0005-0000-0000-000050060000}"/>
    <cellStyle name="Comma(1)" xfId="1618" xr:uid="{00000000-0005-0000-0000-000051060000}"/>
    <cellStyle name="Comma(1) 2" xfId="1619" xr:uid="{00000000-0005-0000-0000-000052060000}"/>
    <cellStyle name="Comma, 1 dec" xfId="1620" xr:uid="{00000000-0005-0000-0000-000053060000}"/>
    <cellStyle name="Comma, 1 dec 2" xfId="1621" xr:uid="{00000000-0005-0000-0000-000054060000}"/>
    <cellStyle name="Comma_BT3" xfId="1622" xr:uid="{00000000-0005-0000-0000-000055060000}"/>
    <cellStyle name="Comma0" xfId="1623" xr:uid="{00000000-0005-0000-0000-000056060000}"/>
    <cellStyle name="Company" xfId="1624" xr:uid="{00000000-0005-0000-0000-000057060000}"/>
    <cellStyle name="Cover Date" xfId="1625" xr:uid="{00000000-0005-0000-0000-000058060000}"/>
    <cellStyle name="Cover Subtitle" xfId="1626" xr:uid="{00000000-0005-0000-0000-000059060000}"/>
    <cellStyle name="Cover Title" xfId="1627" xr:uid="{00000000-0005-0000-0000-00005A060000}"/>
    <cellStyle name="CurRatio" xfId="1628" xr:uid="{00000000-0005-0000-0000-00005B060000}"/>
    <cellStyle name="Currency - Euro" xfId="1629" xr:uid="{00000000-0005-0000-0000-00005D060000}"/>
    <cellStyle name="Currency (2dp)" xfId="1630" xr:uid="{00000000-0005-0000-0000-00005E060000}"/>
    <cellStyle name="Currency [0] - Euro" xfId="1631" xr:uid="{00000000-0005-0000-0000-00005F060000}"/>
    <cellStyle name="Currency [0] - Euro 2" xfId="1632" xr:uid="{00000000-0005-0000-0000-000060060000}"/>
    <cellStyle name="Currency [1]" xfId="1633" xr:uid="{00000000-0005-0000-0000-000061060000}"/>
    <cellStyle name="Currency [2]" xfId="1634" xr:uid="{00000000-0005-0000-0000-000062060000}"/>
    <cellStyle name="Currency 0" xfId="1635" xr:uid="{00000000-0005-0000-0000-000063060000}"/>
    <cellStyle name="Currency 2" xfId="1636" xr:uid="{00000000-0005-0000-0000-000064060000}"/>
    <cellStyle name="Currency 3" xfId="1637" xr:uid="{00000000-0005-0000-0000-000065060000}"/>
    <cellStyle name="Currency 3 2" xfId="1638" xr:uid="{00000000-0005-0000-0000-000066060000}"/>
    <cellStyle name="Currency 4" xfId="1639" xr:uid="{00000000-0005-0000-0000-000067060000}"/>
    <cellStyle name="Currency 4 2" xfId="1640" xr:uid="{00000000-0005-0000-0000-000068060000}"/>
    <cellStyle name="Currency 5" xfId="1641" xr:uid="{00000000-0005-0000-0000-000069060000}"/>
    <cellStyle name="Currency 5 2" xfId="1642" xr:uid="{00000000-0005-0000-0000-00006A060000}"/>
    <cellStyle name="Currency 6" xfId="1643" xr:uid="{00000000-0005-0000-0000-00006B060000}"/>
    <cellStyle name="Currency 6 2" xfId="1644" xr:uid="{00000000-0005-0000-0000-00006C060000}"/>
    <cellStyle name="Currency 7" xfId="1645" xr:uid="{00000000-0005-0000-0000-00006D060000}"/>
    <cellStyle name="Currency 7 2" xfId="1646" xr:uid="{00000000-0005-0000-0000-00006E060000}"/>
    <cellStyle name="Currency 8" xfId="1647" xr:uid="{00000000-0005-0000-0000-00006F060000}"/>
    <cellStyle name="Currency Dollar" xfId="1648" xr:uid="{00000000-0005-0000-0000-000070060000}"/>
    <cellStyle name="Currency Dollar (2dp)" xfId="1649" xr:uid="{00000000-0005-0000-0000-000071060000}"/>
    <cellStyle name="Currency EUR" xfId="1650" xr:uid="{00000000-0005-0000-0000-000072060000}"/>
    <cellStyle name="Currency EUR (2dp)" xfId="1651" xr:uid="{00000000-0005-0000-0000-000073060000}"/>
    <cellStyle name="Currency Euro" xfId="1652" xr:uid="{00000000-0005-0000-0000-000074060000}"/>
    <cellStyle name="Currency Euro (2dp)" xfId="1653" xr:uid="{00000000-0005-0000-0000-000075060000}"/>
    <cellStyle name="Currency GBP" xfId="1654" xr:uid="{00000000-0005-0000-0000-000076060000}"/>
    <cellStyle name="Currency GBP (2dp)" xfId="1655" xr:uid="{00000000-0005-0000-0000-000077060000}"/>
    <cellStyle name="Currency Pound" xfId="1656" xr:uid="{00000000-0005-0000-0000-000078060000}"/>
    <cellStyle name="Currency Pound (2dp)" xfId="1657" xr:uid="{00000000-0005-0000-0000-000079060000}"/>
    <cellStyle name="Currency USD" xfId="1658" xr:uid="{00000000-0005-0000-0000-00007A060000}"/>
    <cellStyle name="Currency USD (2dp)" xfId="1659" xr:uid="{00000000-0005-0000-0000-00007B060000}"/>
    <cellStyle name="Currency0" xfId="1660" xr:uid="{00000000-0005-0000-0000-00007C060000}"/>
    <cellStyle name="dani" xfId="1661" xr:uid="{00000000-0005-0000-0000-00007D060000}"/>
    <cellStyle name="Date" xfId="1662" xr:uid="{00000000-0005-0000-0000-00007E060000}"/>
    <cellStyle name="Date (Month)" xfId="1663" xr:uid="{00000000-0005-0000-0000-00007F060000}"/>
    <cellStyle name="Date (Year)" xfId="1664" xr:uid="{00000000-0005-0000-0000-000080060000}"/>
    <cellStyle name="Date [d-mmm-yy]" xfId="1665" xr:uid="{00000000-0005-0000-0000-000081060000}"/>
    <cellStyle name="Date [mm-d-yy]" xfId="1666" xr:uid="{00000000-0005-0000-0000-000082060000}"/>
    <cellStyle name="Date [mm-d-yyyy]" xfId="1667" xr:uid="{00000000-0005-0000-0000-000083060000}"/>
    <cellStyle name="Date [mmm-d-yyyy]" xfId="1668" xr:uid="{00000000-0005-0000-0000-000084060000}"/>
    <cellStyle name="Date [mmm-yy]" xfId="1669" xr:uid="{00000000-0005-0000-0000-000085060000}"/>
    <cellStyle name="Date [mmm-yyyy]" xfId="1670" xr:uid="{00000000-0005-0000-0000-000086060000}"/>
    <cellStyle name="date 2" xfId="1671" xr:uid="{00000000-0005-0000-0000-000087060000}"/>
    <cellStyle name="date 3" xfId="1672" xr:uid="{00000000-0005-0000-0000-000088060000}"/>
    <cellStyle name="date 4" xfId="1673" xr:uid="{00000000-0005-0000-0000-000089060000}"/>
    <cellStyle name="date 5" xfId="1674" xr:uid="{00000000-0005-0000-0000-00008A060000}"/>
    <cellStyle name="date 6" xfId="1675" xr:uid="{00000000-0005-0000-0000-00008B060000}"/>
    <cellStyle name="Date Aligned" xfId="1676" xr:uid="{00000000-0005-0000-0000-00008C060000}"/>
    <cellStyle name="Date_BT2" xfId="1677" xr:uid="{00000000-0005-0000-0000-00008D060000}"/>
    <cellStyle name="Date2" xfId="1678" xr:uid="{00000000-0005-0000-0000-00008E060000}"/>
    <cellStyle name="Dates" xfId="1679" xr:uid="{00000000-0005-0000-0000-00008F060000}"/>
    <cellStyle name="DateYear" xfId="1680" xr:uid="{00000000-0005-0000-0000-000090060000}"/>
    <cellStyle name="Déprotégée" xfId="1681" xr:uid="{00000000-0005-0000-0000-000091060000}"/>
    <cellStyle name="Devise" xfId="1682" xr:uid="{00000000-0005-0000-0000-000092060000}"/>
    <cellStyle name="Dezimal (0.0)" xfId="1683" xr:uid="{00000000-0005-0000-0000-000093060000}"/>
    <cellStyle name="Dezimal (0.0) 2" xfId="1684" xr:uid="{00000000-0005-0000-0000-000094060000}"/>
    <cellStyle name="Dollar" xfId="1685" xr:uid="{00000000-0005-0000-0000-000095060000}"/>
    <cellStyle name="dollars" xfId="1686" xr:uid="{00000000-0005-0000-0000-000096060000}"/>
    <cellStyle name="DollarWhole" xfId="1687" xr:uid="{00000000-0005-0000-0000-000097060000}"/>
    <cellStyle name="Dotted Line" xfId="1688" xr:uid="{00000000-0005-0000-0000-000098060000}"/>
    <cellStyle name="Double Accounting" xfId="1689" xr:uid="{00000000-0005-0000-0000-000099060000}"/>
    <cellStyle name="Driver" xfId="1690" xr:uid="{00000000-0005-0000-0000-00009A060000}"/>
    <cellStyle name="Driver Lable" xfId="1691" xr:uid="{00000000-0005-0000-0000-00009B060000}"/>
    <cellStyle name="drivers" xfId="1692" xr:uid="{00000000-0005-0000-0000-00009C060000}"/>
    <cellStyle name="Entités" xfId="1693" xr:uid="{00000000-0005-0000-0000-00009D060000}"/>
    <cellStyle name="EPS" xfId="1694" xr:uid="{00000000-0005-0000-0000-00009E060000}"/>
    <cellStyle name="EPSActual" xfId="1695" xr:uid="{00000000-0005-0000-0000-00009F060000}"/>
    <cellStyle name="EPSActual 2" xfId="1696" xr:uid="{00000000-0005-0000-0000-0000A0060000}"/>
    <cellStyle name="EPSEstimate" xfId="1697" xr:uid="{00000000-0005-0000-0000-0000A1060000}"/>
    <cellStyle name="EPSEstimate 2" xfId="1698" xr:uid="{00000000-0005-0000-0000-0000A2060000}"/>
    <cellStyle name="Est - $" xfId="1699" xr:uid="{00000000-0005-0000-0000-0000A3060000}"/>
    <cellStyle name="Est - %" xfId="1700" xr:uid="{00000000-0005-0000-0000-0000A4060000}"/>
    <cellStyle name="Est 0,000.0" xfId="1701" xr:uid="{00000000-0005-0000-0000-0000A5060000}"/>
    <cellStyle name="Euro" xfId="1702" xr:uid="{00000000-0005-0000-0000-0000A6060000}"/>
    <cellStyle name="Euro 2" xfId="1703" xr:uid="{00000000-0005-0000-0000-0000A7060000}"/>
    <cellStyle name="Euro 3" xfId="1704" xr:uid="{00000000-0005-0000-0000-0000A8060000}"/>
    <cellStyle name="Explanatory Text" xfId="1705" builtinId="53" customBuiltin="1"/>
    <cellStyle name="fact_Feuil1 (8)" xfId="1706" xr:uid="{00000000-0005-0000-0000-0000AA060000}"/>
    <cellStyle name="Fail" xfId="1707" xr:uid="{00000000-0005-0000-0000-0000AB060000}"/>
    <cellStyle name="FF_EURO" xfId="1708" xr:uid="{00000000-0005-0000-0000-0000AC060000}"/>
    <cellStyle name="FiscalPeriod" xfId="1709" xr:uid="{00000000-0005-0000-0000-0000AD060000}"/>
    <cellStyle name="Fixed" xfId="1710" xr:uid="{00000000-0005-0000-0000-0000AE060000}"/>
    <cellStyle name="Fixed [0]" xfId="1711" xr:uid="{00000000-0005-0000-0000-0000AF060000}"/>
    <cellStyle name="fo]_x000d__x000a_UserName=Murat Zelef_x000d__x000a_UserCompany=Bumerang_x000d__x000a__x000d__x000a_[File Paths]_x000d__x000a_WorkingDirectory=C:\EQUIS\DLWIN_x000d__x000a_DownLoader=C" xfId="1712" xr:uid="{00000000-0005-0000-0000-0000B0060000}"/>
    <cellStyle name="Följde hyperlänken" xfId="1713" xr:uid="{00000000-0005-0000-0000-0000B1060000}"/>
    <cellStyle name="Footer SBILogo1" xfId="1714" xr:uid="{00000000-0005-0000-0000-0000B2060000}"/>
    <cellStyle name="Footer SBILogo2" xfId="1715" xr:uid="{00000000-0005-0000-0000-0000B3060000}"/>
    <cellStyle name="Footnote" xfId="1716" xr:uid="{00000000-0005-0000-0000-0000B4060000}"/>
    <cellStyle name="Footnote 2" xfId="1717" xr:uid="{00000000-0005-0000-0000-0000B5060000}"/>
    <cellStyle name="Footnote Reference" xfId="1718" xr:uid="{00000000-0005-0000-0000-0000B6060000}"/>
    <cellStyle name="Footnote_Innsamling" xfId="1719" xr:uid="{00000000-0005-0000-0000-0000B7060000}"/>
    <cellStyle name="fourdecplace" xfId="1720" xr:uid="{00000000-0005-0000-0000-0000B8060000}"/>
    <cellStyle name="front page small" xfId="1721" xr:uid="{00000000-0005-0000-0000-0000B9060000}"/>
    <cellStyle name="General" xfId="1722" xr:uid="{00000000-0005-0000-0000-0000BA060000}"/>
    <cellStyle name="Good" xfId="1723" builtinId="26" customBuiltin="1"/>
    <cellStyle name="Grey" xfId="1724" xr:uid="{00000000-0005-0000-0000-0000BC060000}"/>
    <cellStyle name="GrowthRate" xfId="1725" xr:uid="{00000000-0005-0000-0000-0000BD060000}"/>
    <cellStyle name="GrowthSeq" xfId="1726" xr:uid="{00000000-0005-0000-0000-0000BE060000}"/>
    <cellStyle name="H0" xfId="1727" xr:uid="{00000000-0005-0000-0000-0000BF060000}"/>
    <cellStyle name="H1" xfId="1728" xr:uid="{00000000-0005-0000-0000-0000C0060000}"/>
    <cellStyle name="H2" xfId="1729" xr:uid="{00000000-0005-0000-0000-0000C1060000}"/>
    <cellStyle name="H3" xfId="1730" xr:uid="{00000000-0005-0000-0000-0000C2060000}"/>
    <cellStyle name="H4" xfId="1731" xr:uid="{00000000-0005-0000-0000-0000C3060000}"/>
    <cellStyle name="haeding 2" xfId="1732" xr:uid="{00000000-0005-0000-0000-0000C4060000}"/>
    <cellStyle name="Hard" xfId="1733" xr:uid="{00000000-0005-0000-0000-0000C5060000}"/>
    <cellStyle name="Hard input" xfId="1734" xr:uid="{00000000-0005-0000-0000-0000C6060000}"/>
    <cellStyle name="hard no." xfId="1735" xr:uid="{00000000-0005-0000-0000-0000C7060000}"/>
    <cellStyle name="Hard Percent" xfId="1736" xr:uid="{00000000-0005-0000-0000-0000C8060000}"/>
    <cellStyle name="head2" xfId="1737" xr:uid="{00000000-0005-0000-0000-0000C9060000}"/>
    <cellStyle name="Header" xfId="1738" xr:uid="{00000000-0005-0000-0000-0000CA060000}"/>
    <cellStyle name="Header 2" xfId="1739" xr:uid="{00000000-0005-0000-0000-0000CB060000}"/>
    <cellStyle name="Header Draft Stamp" xfId="1740" xr:uid="{00000000-0005-0000-0000-0000CC060000}"/>
    <cellStyle name="Header_Innsamling" xfId="1741" xr:uid="{00000000-0005-0000-0000-0000CD060000}"/>
    <cellStyle name="Heading" xfId="1742" xr:uid="{00000000-0005-0000-0000-0000CE060000}"/>
    <cellStyle name="heading 1" xfId="1743" xr:uid="{00000000-0005-0000-0000-0000CF060000}"/>
    <cellStyle name="Heading 1 Above" xfId="1744" xr:uid="{00000000-0005-0000-0000-0000D0060000}"/>
    <cellStyle name="Heading 1_Cmmast" xfId="1745" xr:uid="{00000000-0005-0000-0000-0000D1060000}"/>
    <cellStyle name="Heading 1+" xfId="1746" xr:uid="{00000000-0005-0000-0000-0000D2060000}"/>
    <cellStyle name="Heading 2" xfId="1747" builtinId="17" customBuiltin="1"/>
    <cellStyle name="Heading 2 Below" xfId="1748" xr:uid="{00000000-0005-0000-0000-0000D4060000}"/>
    <cellStyle name="Heading 2+" xfId="1749" xr:uid="{00000000-0005-0000-0000-0000D5060000}"/>
    <cellStyle name="Heading 3" xfId="1750" builtinId="18" customBuiltin="1"/>
    <cellStyle name="Heading 3+" xfId="1751" xr:uid="{00000000-0005-0000-0000-0000D7060000}"/>
    <cellStyle name="Heading 4" xfId="1752" builtinId="19" customBuiltin="1"/>
    <cellStyle name="Heading 5" xfId="1753" xr:uid="{00000000-0005-0000-0000-0000D9060000}"/>
    <cellStyle name="Hidden" xfId="1754" xr:uid="{00000000-0005-0000-0000-0000DA060000}"/>
    <cellStyle name="Highlight" xfId="1755" xr:uid="{00000000-0005-0000-0000-0000DB060000}"/>
    <cellStyle name="Hist inmatning" xfId="1756" xr:uid="{00000000-0005-0000-0000-0000DC060000}"/>
    <cellStyle name="Hyperlänk" xfId="1757" xr:uid="{00000000-0005-0000-0000-0000DD060000}"/>
    <cellStyle name="Hyperlink" xfId="1758" builtinId="8"/>
    <cellStyle name="Hyperlink 2" xfId="1759" xr:uid="{00000000-0005-0000-0000-0000DF060000}"/>
    <cellStyle name="Hyperlink 3" xfId="1760" xr:uid="{00000000-0005-0000-0000-0000E0060000}"/>
    <cellStyle name="Hyperlink 4" xfId="1761" xr:uid="{00000000-0005-0000-0000-0000E1060000}"/>
    <cellStyle name="IncomeStatement" xfId="1762" xr:uid="{00000000-0005-0000-0000-0000E2060000}"/>
    <cellStyle name="InLink" xfId="1763" xr:uid="{00000000-0005-0000-0000-0000E3060000}"/>
    <cellStyle name="Input" xfId="1764" builtinId="20" customBuiltin="1"/>
    <cellStyle name="Input [yellow]" xfId="1765" xr:uid="{00000000-0005-0000-0000-0000E5060000}"/>
    <cellStyle name="Input calculation" xfId="1766" xr:uid="{00000000-0005-0000-0000-0000E6060000}"/>
    <cellStyle name="Input Cells" xfId="1767" xr:uid="{00000000-0005-0000-0000-0000E7060000}"/>
    <cellStyle name="Input Currency" xfId="1768" xr:uid="{00000000-0005-0000-0000-0000E8060000}"/>
    <cellStyle name="Input data" xfId="1769" xr:uid="{00000000-0005-0000-0000-0000E9060000}"/>
    <cellStyle name="Input Date" xfId="1770" xr:uid="{00000000-0005-0000-0000-0000EA060000}"/>
    <cellStyle name="Input estimate" xfId="1771" xr:uid="{00000000-0005-0000-0000-0000EB060000}"/>
    <cellStyle name="Input Fixed [0]" xfId="1772" xr:uid="{00000000-0005-0000-0000-0000EC060000}"/>
    <cellStyle name="Input link" xfId="1773" xr:uid="{00000000-0005-0000-0000-0000ED060000}"/>
    <cellStyle name="Input link (different workbook)" xfId="1774" xr:uid="{00000000-0005-0000-0000-0000EE060000}"/>
    <cellStyle name="Input Link_Copy of ESA5 ForecastScaling" xfId="1775" xr:uid="{00000000-0005-0000-0000-0000EF060000}"/>
    <cellStyle name="Input Normal" xfId="1776" xr:uid="{00000000-0005-0000-0000-0000F0060000}"/>
    <cellStyle name="Input parameter" xfId="1777" xr:uid="{00000000-0005-0000-0000-0000F1060000}"/>
    <cellStyle name="Input Percent" xfId="1778" xr:uid="{00000000-0005-0000-0000-0000F2060000}"/>
    <cellStyle name="Input Percent [2]" xfId="1779" xr:uid="{00000000-0005-0000-0000-0000F3060000}"/>
    <cellStyle name="Input Percent_Book1" xfId="1780" xr:uid="{00000000-0005-0000-0000-0000F4060000}"/>
    <cellStyle name="Input Titles" xfId="1781" xr:uid="{00000000-0005-0000-0000-0000F5060000}"/>
    <cellStyle name="Input%" xfId="1782" xr:uid="{00000000-0005-0000-0000-0000F6060000}"/>
    <cellStyle name="Input% 2" xfId="1783" xr:uid="{00000000-0005-0000-0000-0000F7060000}"/>
    <cellStyle name="Input0dec" xfId="1784" xr:uid="{00000000-0005-0000-0000-0000F8060000}"/>
    <cellStyle name="Input2dec" xfId="1785" xr:uid="{00000000-0005-0000-0000-0000F9060000}"/>
    <cellStyle name="InputBlueFont" xfId="1786" xr:uid="{00000000-0005-0000-0000-0000FA060000}"/>
    <cellStyle name="InputBlueFont 2" xfId="1787" xr:uid="{00000000-0005-0000-0000-0000FB060000}"/>
    <cellStyle name="InputDate" xfId="1788" xr:uid="{00000000-0005-0000-0000-0000FC060000}"/>
    <cellStyle name="InputDecimal" xfId="1789" xr:uid="{00000000-0005-0000-0000-0000FD060000}"/>
    <cellStyle name="InputValue" xfId="1790" xr:uid="{00000000-0005-0000-0000-0000FE060000}"/>
    <cellStyle name="Integer" xfId="1791" xr:uid="{00000000-0005-0000-0000-0000FF060000}"/>
    <cellStyle name="Item" xfId="1792" xr:uid="{00000000-0005-0000-0000-000000070000}"/>
    <cellStyle name="Items_Optional" xfId="1793" xr:uid="{00000000-0005-0000-0000-000001070000}"/>
    <cellStyle name="ItemTypeClass" xfId="1794" xr:uid="{00000000-0005-0000-0000-000002070000}"/>
    <cellStyle name="James" xfId="1795" xr:uid="{00000000-0005-0000-0000-000003070000}"/>
    <cellStyle name="kopregel" xfId="1796" xr:uid="{00000000-0005-0000-0000-000004070000}"/>
    <cellStyle name="Libellés" xfId="1797" xr:uid="{00000000-0005-0000-0000-000005070000}"/>
    <cellStyle name="Linked" xfId="1798" xr:uid="{00000000-0005-0000-0000-000006070000}"/>
    <cellStyle name="Linked Cell" xfId="1799" builtinId="24" customBuiltin="1"/>
    <cellStyle name="Linked Cells" xfId="1800" xr:uid="{00000000-0005-0000-0000-000008070000}"/>
    <cellStyle name="Locked" xfId="1801" xr:uid="{00000000-0005-0000-0000-000009070000}"/>
    <cellStyle name="Main Title" xfId="1802" xr:uid="{00000000-0005-0000-0000-00000A070000}"/>
    <cellStyle name="margenta-f" xfId="1803" xr:uid="{00000000-0005-0000-0000-00000B070000}"/>
    <cellStyle name="Margin" xfId="1804" xr:uid="{00000000-0005-0000-0000-00000C070000}"/>
    <cellStyle name="Margins" xfId="1805" xr:uid="{00000000-0005-0000-0000-00000D070000}"/>
    <cellStyle name="MetricLabel" xfId="1806" xr:uid="{00000000-0005-0000-0000-00000E070000}"/>
    <cellStyle name="MetricLabelBlue" xfId="1807" xr:uid="{00000000-0005-0000-0000-00000F070000}"/>
    <cellStyle name="MetricValue" xfId="1808" xr:uid="{00000000-0005-0000-0000-000010070000}"/>
    <cellStyle name="Migliaia_Foglio1" xfId="1809" xr:uid="{00000000-0005-0000-0000-000011070000}"/>
    <cellStyle name="Millares [0]_96 Risk" xfId="1810" xr:uid="{00000000-0005-0000-0000-000012070000}"/>
    <cellStyle name="Millares 2" xfId="1811" xr:uid="{00000000-0005-0000-0000-000013070000}"/>
    <cellStyle name="Millares_96 Risk" xfId="1812" xr:uid="{00000000-0005-0000-0000-000014070000}"/>
    <cellStyle name="Milliers [0]_Aimants permanents" xfId="1813" xr:uid="{00000000-0005-0000-0000-000015070000}"/>
    <cellStyle name="Milliers [00]" xfId="1814" xr:uid="{00000000-0005-0000-0000-000016070000}"/>
    <cellStyle name="Milliers_Aimants permanents" xfId="1815" xr:uid="{00000000-0005-0000-0000-000017070000}"/>
    <cellStyle name="mine" xfId="1816" xr:uid="{00000000-0005-0000-0000-000018070000}"/>
    <cellStyle name="Model" xfId="1817" xr:uid="{00000000-0005-0000-0000-000019070000}"/>
    <cellStyle name="Moneda [0]_96 Risk" xfId="1818" xr:uid="{00000000-0005-0000-0000-00001A070000}"/>
    <cellStyle name="Moneda_96 Risk" xfId="1819" xr:uid="{00000000-0005-0000-0000-00001B070000}"/>
    <cellStyle name="Monétaire [0]_Aimants permanents" xfId="1820" xr:uid="{00000000-0005-0000-0000-00001C070000}"/>
    <cellStyle name="Monétaire [00]" xfId="1821" xr:uid="{00000000-0005-0000-0000-00001D070000}"/>
    <cellStyle name="Monétaire_Aimants permanents" xfId="1822" xr:uid="{00000000-0005-0000-0000-00001E070000}"/>
    <cellStyle name="Multiple" xfId="1823" xr:uid="{00000000-0005-0000-0000-00001F070000}"/>
    <cellStyle name="Multiple 2" xfId="1824" xr:uid="{00000000-0005-0000-0000-000020070000}"/>
    <cellStyle name="NA is zero" xfId="1825" xr:uid="{00000000-0005-0000-0000-000021070000}"/>
    <cellStyle name="Name" xfId="1826" xr:uid="{00000000-0005-0000-0000-000022070000}"/>
    <cellStyle name="neg0.0" xfId="1827" xr:uid="{00000000-0005-0000-0000-000023070000}"/>
    <cellStyle name="neg0.0 2" xfId="1828" xr:uid="{00000000-0005-0000-0000-000024070000}"/>
    <cellStyle name="Neutral" xfId="1829" builtinId="28" customBuiltin="1"/>
    <cellStyle name="no dec" xfId="1830" xr:uid="{00000000-0005-0000-0000-000026070000}"/>
    <cellStyle name="Normal" xfId="0" builtinId="0"/>
    <cellStyle name="Normal - Style1" xfId="1831" xr:uid="{00000000-0005-0000-0000-000028070000}"/>
    <cellStyle name="Normal - Style1 2" xfId="1832" xr:uid="{00000000-0005-0000-0000-000029070000}"/>
    <cellStyle name="Normal (no,)" xfId="1833" xr:uid="{00000000-0005-0000-0000-00002A070000}"/>
    <cellStyle name="Normal [0]" xfId="1834" xr:uid="{00000000-0005-0000-0000-00002B070000}"/>
    <cellStyle name="Normal [1]" xfId="1835" xr:uid="{00000000-0005-0000-0000-00002C070000}"/>
    <cellStyle name="Normal [2]" xfId="1836" xr:uid="{00000000-0005-0000-0000-00002D070000}"/>
    <cellStyle name="Normal [3]" xfId="1837" xr:uid="{00000000-0005-0000-0000-00002E070000}"/>
    <cellStyle name="Normal 1" xfId="1838" xr:uid="{00000000-0005-0000-0000-00002F070000}"/>
    <cellStyle name="Normal 10" xfId="1839" xr:uid="{00000000-0005-0000-0000-000030070000}"/>
    <cellStyle name="Normal 11" xfId="1840" xr:uid="{00000000-0005-0000-0000-000031070000}"/>
    <cellStyle name="Normal 11 2" xfId="2222" xr:uid="{79C73EEA-40B7-4887-86C6-4B4C7F5F30A7}"/>
    <cellStyle name="Normal 12" xfId="1841" xr:uid="{00000000-0005-0000-0000-000032070000}"/>
    <cellStyle name="Normal 13" xfId="1842" xr:uid="{00000000-0005-0000-0000-000033070000}"/>
    <cellStyle name="Normal 14" xfId="1843" xr:uid="{00000000-0005-0000-0000-000034070000}"/>
    <cellStyle name="Normal 15" xfId="1844" xr:uid="{00000000-0005-0000-0000-000035070000}"/>
    <cellStyle name="Normal 16" xfId="1845" xr:uid="{00000000-0005-0000-0000-000036070000}"/>
    <cellStyle name="Normal 17" xfId="1846" xr:uid="{00000000-0005-0000-0000-000037070000}"/>
    <cellStyle name="Normal 18" xfId="1847" xr:uid="{00000000-0005-0000-0000-000038070000}"/>
    <cellStyle name="Normal 19" xfId="1848" xr:uid="{00000000-0005-0000-0000-000039070000}"/>
    <cellStyle name="Normal 2" xfId="1849" xr:uid="{00000000-0005-0000-0000-00003A070000}"/>
    <cellStyle name="Normal 2 2" xfId="1850" xr:uid="{00000000-0005-0000-0000-00003B070000}"/>
    <cellStyle name="Normal 2 3" xfId="1851" xr:uid="{00000000-0005-0000-0000-00003C070000}"/>
    <cellStyle name="Normal 20" xfId="1852" xr:uid="{00000000-0005-0000-0000-00003D070000}"/>
    <cellStyle name="Normal 20 2 2" xfId="1853" xr:uid="{00000000-0005-0000-0000-00003E070000}"/>
    <cellStyle name="Normal 21" xfId="1854" xr:uid="{00000000-0005-0000-0000-00003F070000}"/>
    <cellStyle name="Normal 22" xfId="1855" xr:uid="{00000000-0005-0000-0000-000040070000}"/>
    <cellStyle name="Normal 23" xfId="1856" xr:uid="{00000000-0005-0000-0000-000041070000}"/>
    <cellStyle name="Normal 24" xfId="1857" xr:uid="{00000000-0005-0000-0000-000042070000}"/>
    <cellStyle name="Normal 25" xfId="1858" xr:uid="{00000000-0005-0000-0000-000043070000}"/>
    <cellStyle name="Normal 26" xfId="1859" xr:uid="{00000000-0005-0000-0000-000044070000}"/>
    <cellStyle name="Normal 27" xfId="1860" xr:uid="{00000000-0005-0000-0000-000045070000}"/>
    <cellStyle name="Normal 28" xfId="1861" xr:uid="{00000000-0005-0000-0000-000046070000}"/>
    <cellStyle name="Normal 29" xfId="1862" xr:uid="{00000000-0005-0000-0000-000047070000}"/>
    <cellStyle name="Normal 3" xfId="1863" xr:uid="{00000000-0005-0000-0000-000048070000}"/>
    <cellStyle name="Normal 3 2" xfId="1864" xr:uid="{00000000-0005-0000-0000-000049070000}"/>
    <cellStyle name="Normal 3 3" xfId="1865" xr:uid="{00000000-0005-0000-0000-00004A070000}"/>
    <cellStyle name="Normal 30" xfId="1866" xr:uid="{00000000-0005-0000-0000-00004B070000}"/>
    <cellStyle name="Normal 31" xfId="1867" xr:uid="{00000000-0005-0000-0000-00004C070000}"/>
    <cellStyle name="Normal 32" xfId="1868" xr:uid="{00000000-0005-0000-0000-00004D070000}"/>
    <cellStyle name="Normal 33" xfId="1869" xr:uid="{00000000-0005-0000-0000-00004E070000}"/>
    <cellStyle name="Normal 34" xfId="1870" xr:uid="{00000000-0005-0000-0000-00004F070000}"/>
    <cellStyle name="Normal 35" xfId="1871" xr:uid="{00000000-0005-0000-0000-000050070000}"/>
    <cellStyle name="Normal 36" xfId="1872" xr:uid="{00000000-0005-0000-0000-000051070000}"/>
    <cellStyle name="Normal 37" xfId="1873" xr:uid="{00000000-0005-0000-0000-000052070000}"/>
    <cellStyle name="Normal 38" xfId="1874" xr:uid="{00000000-0005-0000-0000-000053070000}"/>
    <cellStyle name="Normal 39" xfId="1875" xr:uid="{00000000-0005-0000-0000-000054070000}"/>
    <cellStyle name="Normal 4" xfId="1876" xr:uid="{00000000-0005-0000-0000-000055070000}"/>
    <cellStyle name="Normal 4 2" xfId="1877" xr:uid="{00000000-0005-0000-0000-000056070000}"/>
    <cellStyle name="Normal 40" xfId="1878" xr:uid="{00000000-0005-0000-0000-000057070000}"/>
    <cellStyle name="Normal 41" xfId="1879" xr:uid="{00000000-0005-0000-0000-000058070000}"/>
    <cellStyle name="Normal 42" xfId="1880" xr:uid="{00000000-0005-0000-0000-000059070000}"/>
    <cellStyle name="Normal 43" xfId="1881" xr:uid="{00000000-0005-0000-0000-00005A070000}"/>
    <cellStyle name="Normal 44" xfId="1882" xr:uid="{00000000-0005-0000-0000-00005B070000}"/>
    <cellStyle name="Normal 45" xfId="1883" xr:uid="{00000000-0005-0000-0000-00005C070000}"/>
    <cellStyle name="Normal 46" xfId="1884" xr:uid="{00000000-0005-0000-0000-00005D070000}"/>
    <cellStyle name="Normal 47" xfId="1885" xr:uid="{00000000-0005-0000-0000-00005E070000}"/>
    <cellStyle name="Normal 48" xfId="1886" xr:uid="{00000000-0005-0000-0000-00005F070000}"/>
    <cellStyle name="Normal 49" xfId="1887" xr:uid="{00000000-0005-0000-0000-000060070000}"/>
    <cellStyle name="Normal 5" xfId="1888" xr:uid="{00000000-0005-0000-0000-000061070000}"/>
    <cellStyle name="Normal 6" xfId="1889" xr:uid="{00000000-0005-0000-0000-000062070000}"/>
    <cellStyle name="Normal 7" xfId="1890" xr:uid="{00000000-0005-0000-0000-000063070000}"/>
    <cellStyle name="Normal 8" xfId="1891" xr:uid="{00000000-0005-0000-0000-000064070000}"/>
    <cellStyle name="Normal 9" xfId="1892" xr:uid="{00000000-0005-0000-0000-000065070000}"/>
    <cellStyle name="Normal Bold" xfId="1893" xr:uid="{00000000-0005-0000-0000-000066070000}"/>
    <cellStyle name="Normal Pct" xfId="1894" xr:uid="{00000000-0005-0000-0000-000067070000}"/>
    <cellStyle name="Normal_bt debt model" xfId="1895" xr:uid="{00000000-0005-0000-0000-000068070000}"/>
    <cellStyle name="Normal_BT3" xfId="1896" xr:uid="{00000000-0005-0000-0000-000069070000}"/>
    <cellStyle name="Normal_BT3 2" xfId="1897" xr:uid="{00000000-0005-0000-0000-00006A070000}"/>
    <cellStyle name="Normal_dt2" xfId="1898" xr:uid="{00000000-0005-0000-0000-00006B070000}"/>
    <cellStyle name="Normal_ft" xfId="1899" xr:uid="{00000000-0005-0000-0000-00006C070000}"/>
    <cellStyle name="Normal_FTsummod1" xfId="1900" xr:uid="{00000000-0005-0000-0000-00006D070000}"/>
    <cellStyle name="Normal_tdc_July03" xfId="1901" xr:uid="{00000000-0005-0000-0000-00006E070000}"/>
    <cellStyle name="Normal_telka_Q305" xfId="1902" xr:uid="{00000000-0005-0000-0000-00006F070000}"/>
    <cellStyle name="Normal_Vodafone(2sep03)" xfId="1903" xr:uid="{00000000-0005-0000-0000-000070070000}"/>
    <cellStyle name="NormalE" xfId="1904" xr:uid="{00000000-0005-0000-0000-000071070000}"/>
    <cellStyle name="NormalE 2" xfId="1905" xr:uid="{00000000-0005-0000-0000-000072070000}"/>
    <cellStyle name="NormalGB" xfId="1906" xr:uid="{00000000-0005-0000-0000-000073070000}"/>
    <cellStyle name="NormalMultiple" xfId="1907" xr:uid="{00000000-0005-0000-0000-000074070000}"/>
    <cellStyle name="NOT" xfId="1908" xr:uid="{00000000-0005-0000-0000-000075070000}"/>
    <cellStyle name="Note" xfId="1909" builtinId="10" customBuiltin="1"/>
    <cellStyle name="Notes" xfId="1910" xr:uid="{00000000-0005-0000-0000-000077070000}"/>
    <cellStyle name="NPPESalesPct" xfId="1911" xr:uid="{00000000-0005-0000-0000-000078070000}"/>
    <cellStyle name="Number" xfId="1912" xr:uid="{00000000-0005-0000-0000-000079070000}"/>
    <cellStyle name="Number (2dp)" xfId="1913" xr:uid="{00000000-0005-0000-0000-00007A070000}"/>
    <cellStyle name="Number_Copy of ESA5 ForecastScaling" xfId="1914" xr:uid="{00000000-0005-0000-0000-00007B070000}"/>
    <cellStyle name="NWI%S" xfId="1915" xr:uid="{00000000-0005-0000-0000-00007C070000}"/>
    <cellStyle name="Œ…‹æØ‚è [0.00]_GE 3 MINIMUM" xfId="1916" xr:uid="{00000000-0005-0000-0000-00007D070000}"/>
    <cellStyle name="Œ…‹æØ‚è_GE 3 MINIMUM" xfId="1917" xr:uid="{00000000-0005-0000-0000-00007E070000}"/>
    <cellStyle name="Ombrée" xfId="1918" xr:uid="{00000000-0005-0000-0000-00007F070000}"/>
    <cellStyle name="Onedec" xfId="1919" xr:uid="{00000000-0005-0000-0000-000080070000}"/>
    <cellStyle name="Option" xfId="1920" xr:uid="{00000000-0005-0000-0000-000081070000}"/>
    <cellStyle name="Output" xfId="1921" builtinId="21" customBuiltin="1"/>
    <cellStyle name="Page Number" xfId="1922" xr:uid="{00000000-0005-0000-0000-000083070000}"/>
    <cellStyle name="Pass" xfId="1923" xr:uid="{00000000-0005-0000-0000-000084070000}"/>
    <cellStyle name="PB Table Heading" xfId="1924" xr:uid="{00000000-0005-0000-0000-000085070000}"/>
    <cellStyle name="PB Table Heading 2" xfId="1925" xr:uid="{00000000-0005-0000-0000-000086070000}"/>
    <cellStyle name="PB Table Highlight1" xfId="1926" xr:uid="{00000000-0005-0000-0000-000087070000}"/>
    <cellStyle name="PB Table Highlight1 2" xfId="1927" xr:uid="{00000000-0005-0000-0000-000088070000}"/>
    <cellStyle name="PB Table Highlight2" xfId="1928" xr:uid="{00000000-0005-0000-0000-000089070000}"/>
    <cellStyle name="PB Table Highlight3" xfId="1929" xr:uid="{00000000-0005-0000-0000-00008A070000}"/>
    <cellStyle name="PB Table Standard Row" xfId="1930" xr:uid="{00000000-0005-0000-0000-00008B070000}"/>
    <cellStyle name="PB Table Standard Row 2" xfId="1931" xr:uid="{00000000-0005-0000-0000-00008C070000}"/>
    <cellStyle name="PB Table Subtotal Row" xfId="1932" xr:uid="{00000000-0005-0000-0000-00008D070000}"/>
    <cellStyle name="PB Table Subtotal Row 2" xfId="1933" xr:uid="{00000000-0005-0000-0000-00008E070000}"/>
    <cellStyle name="PB Table Total Row" xfId="1934" xr:uid="{00000000-0005-0000-0000-00008F070000}"/>
    <cellStyle name="PB Table Total Row 2" xfId="1935" xr:uid="{00000000-0005-0000-0000-000090070000}"/>
    <cellStyle name="pb_page_heading_LS" xfId="1936" xr:uid="{00000000-0005-0000-0000-000091070000}"/>
    <cellStyle name="pc1" xfId="1937" xr:uid="{00000000-0005-0000-0000-000092070000}"/>
    <cellStyle name="PctLine" xfId="1938" xr:uid="{00000000-0005-0000-0000-000093070000}"/>
    <cellStyle name="PctLine 2" xfId="1939" xr:uid="{00000000-0005-0000-0000-000094070000}"/>
    <cellStyle name="per.style" xfId="1940" xr:uid="{00000000-0005-0000-0000-000095070000}"/>
    <cellStyle name="Percent" xfId="1941" builtinId="5"/>
    <cellStyle name="Percent (0)" xfId="1942" xr:uid="{00000000-0005-0000-0000-000097070000}"/>
    <cellStyle name="Percent (0.0)" xfId="1943" xr:uid="{00000000-0005-0000-0000-000098070000}"/>
    <cellStyle name="Percent (0.00)" xfId="1944" xr:uid="{00000000-0005-0000-0000-000099070000}"/>
    <cellStyle name="Percent [0]" xfId="1945" xr:uid="{00000000-0005-0000-0000-00009A070000}"/>
    <cellStyle name="Percent [1]" xfId="1946" xr:uid="{00000000-0005-0000-0000-00009B070000}"/>
    <cellStyle name="Percent [2]" xfId="1947" xr:uid="{00000000-0005-0000-0000-00009C070000}"/>
    <cellStyle name="Percent 0" xfId="1948" xr:uid="{00000000-0005-0000-0000-00009D070000}"/>
    <cellStyle name="Percent 0.00" xfId="1949" xr:uid="{00000000-0005-0000-0000-00009E070000}"/>
    <cellStyle name="Percent 0_3q" xfId="1950" xr:uid="{00000000-0005-0000-0000-00009F070000}"/>
    <cellStyle name="Percent 10" xfId="1951" xr:uid="{00000000-0005-0000-0000-0000A0070000}"/>
    <cellStyle name="Percent 10 2" xfId="1952" xr:uid="{00000000-0005-0000-0000-0000A1070000}"/>
    <cellStyle name="Percent 11" xfId="1953" xr:uid="{00000000-0005-0000-0000-0000A2070000}"/>
    <cellStyle name="Percent 11 2" xfId="1954" xr:uid="{00000000-0005-0000-0000-0000A3070000}"/>
    <cellStyle name="Percent 12" xfId="1955" xr:uid="{00000000-0005-0000-0000-0000A4070000}"/>
    <cellStyle name="Percent 12 2" xfId="1956" xr:uid="{00000000-0005-0000-0000-0000A5070000}"/>
    <cellStyle name="Percent 13" xfId="1957" xr:uid="{00000000-0005-0000-0000-0000A6070000}"/>
    <cellStyle name="Percent 13 2" xfId="1958" xr:uid="{00000000-0005-0000-0000-0000A7070000}"/>
    <cellStyle name="Percent 14" xfId="1959" xr:uid="{00000000-0005-0000-0000-0000A8070000}"/>
    <cellStyle name="Percent 14 2" xfId="1960" xr:uid="{00000000-0005-0000-0000-0000A9070000}"/>
    <cellStyle name="Percent 15" xfId="1961" xr:uid="{00000000-0005-0000-0000-0000AA070000}"/>
    <cellStyle name="Percent 15 2" xfId="1962" xr:uid="{00000000-0005-0000-0000-0000AB070000}"/>
    <cellStyle name="Percent 16" xfId="1963" xr:uid="{00000000-0005-0000-0000-0000AC070000}"/>
    <cellStyle name="Percent 16 2" xfId="1964" xr:uid="{00000000-0005-0000-0000-0000AD070000}"/>
    <cellStyle name="Percent 17" xfId="1965" xr:uid="{00000000-0005-0000-0000-0000AE070000}"/>
    <cellStyle name="Percent 17 2" xfId="1966" xr:uid="{00000000-0005-0000-0000-0000AF070000}"/>
    <cellStyle name="Percent 18" xfId="1967" xr:uid="{00000000-0005-0000-0000-0000B0070000}"/>
    <cellStyle name="Percent 18 2" xfId="1968" xr:uid="{00000000-0005-0000-0000-0000B1070000}"/>
    <cellStyle name="Percent 19" xfId="1969" xr:uid="{00000000-0005-0000-0000-0000B2070000}"/>
    <cellStyle name="Percent 19 2" xfId="1970" xr:uid="{00000000-0005-0000-0000-0000B3070000}"/>
    <cellStyle name="Percent 2" xfId="1971" xr:uid="{00000000-0005-0000-0000-0000B4070000}"/>
    <cellStyle name="Percent 20" xfId="1972" xr:uid="{00000000-0005-0000-0000-0000B5070000}"/>
    <cellStyle name="Percent 20 2" xfId="1973" xr:uid="{00000000-0005-0000-0000-0000B6070000}"/>
    <cellStyle name="Percent 21" xfId="1974" xr:uid="{00000000-0005-0000-0000-0000B7070000}"/>
    <cellStyle name="Percent 21 2" xfId="1975" xr:uid="{00000000-0005-0000-0000-0000B8070000}"/>
    <cellStyle name="Percent 22" xfId="1976" xr:uid="{00000000-0005-0000-0000-0000B9070000}"/>
    <cellStyle name="Percent 22 2" xfId="1977" xr:uid="{00000000-0005-0000-0000-0000BA070000}"/>
    <cellStyle name="Percent 23" xfId="1978" xr:uid="{00000000-0005-0000-0000-0000BB070000}"/>
    <cellStyle name="Percent 23 2" xfId="1979" xr:uid="{00000000-0005-0000-0000-0000BC070000}"/>
    <cellStyle name="Percent 24" xfId="1980" xr:uid="{00000000-0005-0000-0000-0000BD070000}"/>
    <cellStyle name="Percent 24 2" xfId="1981" xr:uid="{00000000-0005-0000-0000-0000BE070000}"/>
    <cellStyle name="Percent 25" xfId="1982" xr:uid="{00000000-0005-0000-0000-0000BF070000}"/>
    <cellStyle name="Percent 25 2" xfId="1983" xr:uid="{00000000-0005-0000-0000-0000C0070000}"/>
    <cellStyle name="Percent 26" xfId="1984" xr:uid="{00000000-0005-0000-0000-0000C1070000}"/>
    <cellStyle name="Percent 26 2" xfId="1985" xr:uid="{00000000-0005-0000-0000-0000C2070000}"/>
    <cellStyle name="Percent 27" xfId="1986" xr:uid="{00000000-0005-0000-0000-0000C3070000}"/>
    <cellStyle name="Percent 27 2" xfId="1987" xr:uid="{00000000-0005-0000-0000-0000C4070000}"/>
    <cellStyle name="Percent 28" xfId="1988" xr:uid="{00000000-0005-0000-0000-0000C5070000}"/>
    <cellStyle name="Percent 28 2" xfId="1989" xr:uid="{00000000-0005-0000-0000-0000C6070000}"/>
    <cellStyle name="Percent 29" xfId="1990" xr:uid="{00000000-0005-0000-0000-0000C7070000}"/>
    <cellStyle name="Percent 29 2" xfId="1991" xr:uid="{00000000-0005-0000-0000-0000C8070000}"/>
    <cellStyle name="Percent 3" xfId="1992" xr:uid="{00000000-0005-0000-0000-0000C9070000}"/>
    <cellStyle name="Percent 30" xfId="1993" xr:uid="{00000000-0005-0000-0000-0000CA070000}"/>
    <cellStyle name="Percent 30 2" xfId="1994" xr:uid="{00000000-0005-0000-0000-0000CB070000}"/>
    <cellStyle name="Percent 31" xfId="1995" xr:uid="{00000000-0005-0000-0000-0000CC070000}"/>
    <cellStyle name="Percent 31 2" xfId="1996" xr:uid="{00000000-0005-0000-0000-0000CD070000}"/>
    <cellStyle name="Percent 32" xfId="1997" xr:uid="{00000000-0005-0000-0000-0000CE070000}"/>
    <cellStyle name="Percent 32 2" xfId="1998" xr:uid="{00000000-0005-0000-0000-0000CF070000}"/>
    <cellStyle name="Percent 33" xfId="1999" xr:uid="{00000000-0005-0000-0000-0000D0070000}"/>
    <cellStyle name="Percent 33 2" xfId="2000" xr:uid="{00000000-0005-0000-0000-0000D1070000}"/>
    <cellStyle name="Percent 34" xfId="2001" xr:uid="{00000000-0005-0000-0000-0000D2070000}"/>
    <cellStyle name="Percent 34 2" xfId="2002" xr:uid="{00000000-0005-0000-0000-0000D3070000}"/>
    <cellStyle name="Percent 35" xfId="2003" xr:uid="{00000000-0005-0000-0000-0000D4070000}"/>
    <cellStyle name="Percent 35 2" xfId="2004" xr:uid="{00000000-0005-0000-0000-0000D5070000}"/>
    <cellStyle name="Percent 36" xfId="2005" xr:uid="{00000000-0005-0000-0000-0000D6070000}"/>
    <cellStyle name="Percent 36 2" xfId="2006" xr:uid="{00000000-0005-0000-0000-0000D7070000}"/>
    <cellStyle name="Percent 37" xfId="2007" xr:uid="{00000000-0005-0000-0000-0000D8070000}"/>
    <cellStyle name="Percent 37 2" xfId="2008" xr:uid="{00000000-0005-0000-0000-0000D9070000}"/>
    <cellStyle name="Percent 38" xfId="2009" xr:uid="{00000000-0005-0000-0000-0000DA070000}"/>
    <cellStyle name="Percent 38 2" xfId="2010" xr:uid="{00000000-0005-0000-0000-0000DB070000}"/>
    <cellStyle name="Percent 39" xfId="2011" xr:uid="{00000000-0005-0000-0000-0000DC070000}"/>
    <cellStyle name="Percent 39 2" xfId="2012" xr:uid="{00000000-0005-0000-0000-0000DD070000}"/>
    <cellStyle name="Percent 4" xfId="2013" xr:uid="{00000000-0005-0000-0000-0000DE070000}"/>
    <cellStyle name="Percent 4 2" xfId="2014" xr:uid="{00000000-0005-0000-0000-0000DF070000}"/>
    <cellStyle name="Percent 40" xfId="2015" xr:uid="{00000000-0005-0000-0000-0000E0070000}"/>
    <cellStyle name="Percent 41" xfId="2016" xr:uid="{00000000-0005-0000-0000-0000E1070000}"/>
    <cellStyle name="Percent 41 2" xfId="2017" xr:uid="{00000000-0005-0000-0000-0000E2070000}"/>
    <cellStyle name="Percent 42" xfId="2018" xr:uid="{00000000-0005-0000-0000-0000E3070000}"/>
    <cellStyle name="Percent 42 2" xfId="2019" xr:uid="{00000000-0005-0000-0000-0000E4070000}"/>
    <cellStyle name="Percent 43" xfId="2020" xr:uid="{00000000-0005-0000-0000-0000E5070000}"/>
    <cellStyle name="Percent 43 2" xfId="2021" xr:uid="{00000000-0005-0000-0000-0000E6070000}"/>
    <cellStyle name="Percent 44" xfId="2022" xr:uid="{00000000-0005-0000-0000-0000E7070000}"/>
    <cellStyle name="Percent 44 2" xfId="2023" xr:uid="{00000000-0005-0000-0000-0000E8070000}"/>
    <cellStyle name="Percent 45" xfId="2024" xr:uid="{00000000-0005-0000-0000-0000E9070000}"/>
    <cellStyle name="Percent 45 2" xfId="2025" xr:uid="{00000000-0005-0000-0000-0000EA070000}"/>
    <cellStyle name="Percent 46" xfId="2026" xr:uid="{00000000-0005-0000-0000-0000EB070000}"/>
    <cellStyle name="Percent 47" xfId="2027" xr:uid="{00000000-0005-0000-0000-0000EC070000}"/>
    <cellStyle name="Percent 5" xfId="2028" xr:uid="{00000000-0005-0000-0000-0000ED070000}"/>
    <cellStyle name="Percent 5 2" xfId="2029" xr:uid="{00000000-0005-0000-0000-0000EE070000}"/>
    <cellStyle name="Percent 6" xfId="2030" xr:uid="{00000000-0005-0000-0000-0000EF070000}"/>
    <cellStyle name="Percent 6 2" xfId="2031" xr:uid="{00000000-0005-0000-0000-0000F0070000}"/>
    <cellStyle name="Percent 7" xfId="2032" xr:uid="{00000000-0005-0000-0000-0000F1070000}"/>
    <cellStyle name="Percent 7 2" xfId="2033" xr:uid="{00000000-0005-0000-0000-0000F2070000}"/>
    <cellStyle name="Percent 8" xfId="2034" xr:uid="{00000000-0005-0000-0000-0000F3070000}"/>
    <cellStyle name="Percent 8 2" xfId="2035" xr:uid="{00000000-0005-0000-0000-0000F4070000}"/>
    <cellStyle name="Percent 9" xfId="2036" xr:uid="{00000000-0005-0000-0000-0000F5070000}"/>
    <cellStyle name="Percent 9 2" xfId="2037" xr:uid="{00000000-0005-0000-0000-0000F6070000}"/>
    <cellStyle name="Percentage" xfId="2038" xr:uid="{00000000-0005-0000-0000-0000F7070000}"/>
    <cellStyle name="Percentage (2dp)" xfId="2039" xr:uid="{00000000-0005-0000-0000-0000F8070000}"/>
    <cellStyle name="Percentage_Copy of ESA5 ForecastScaling" xfId="2040" xr:uid="{00000000-0005-0000-0000-0000F9070000}"/>
    <cellStyle name="PercentChange" xfId="2041" xr:uid="{00000000-0005-0000-0000-0000FA070000}"/>
    <cellStyle name="PercentPresentation" xfId="2042" xr:uid="{00000000-0005-0000-0000-0000FB070000}"/>
    <cellStyle name="PercentSales" xfId="2043" xr:uid="{00000000-0005-0000-0000-0000FC070000}"/>
    <cellStyle name="PerShare" xfId="2044" xr:uid="{00000000-0005-0000-0000-0000FD070000}"/>
    <cellStyle name="POPS" xfId="2045" xr:uid="{00000000-0005-0000-0000-0000FE070000}"/>
    <cellStyle name="Porcentaje 2" xfId="2046" xr:uid="{00000000-0005-0000-0000-0000FF070000}"/>
    <cellStyle name="Porcentaje 3" xfId="2047" xr:uid="{00000000-0005-0000-0000-000000080000}"/>
    <cellStyle name="Porcentaje 4" xfId="2048" xr:uid="{00000000-0005-0000-0000-000001080000}"/>
    <cellStyle name="Porcentaje 5" xfId="2049" xr:uid="{00000000-0005-0000-0000-000002080000}"/>
    <cellStyle name="Porcentaje 5 2" xfId="2050" xr:uid="{00000000-0005-0000-0000-000003080000}"/>
    <cellStyle name="Pourcentage [0]" xfId="2051" xr:uid="{00000000-0005-0000-0000-000004080000}"/>
    <cellStyle name="Pourcentage [00]" xfId="2052" xr:uid="{00000000-0005-0000-0000-000005080000}"/>
    <cellStyle name="Pourcentage_BASCULER" xfId="2053" xr:uid="{00000000-0005-0000-0000-000006080000}"/>
    <cellStyle name="Presentation" xfId="2054" xr:uid="{00000000-0005-0000-0000-000007080000}"/>
    <cellStyle name="PresentationZero" xfId="2055" xr:uid="{00000000-0005-0000-0000-000008080000}"/>
    <cellStyle name="Price" xfId="2056" xr:uid="{00000000-0005-0000-0000-000009080000}"/>
    <cellStyle name="Pub percent" xfId="2057" xr:uid="{00000000-0005-0000-0000-00000A080000}"/>
    <cellStyle name="r" xfId="2058" xr:uid="{00000000-0005-0000-0000-00000B080000}"/>
    <cellStyle name="r_Canal Digital" xfId="2059" xr:uid="{00000000-0005-0000-0000-00000C080000}"/>
    <cellStyle name="r_Canal Digital_Deutsche" xfId="2060" xr:uid="{00000000-0005-0000-0000-00000D080000}"/>
    <cellStyle name="r_Canal Digital_Deutsche 2" xfId="2061" xr:uid="{00000000-0005-0000-0000-00000E080000}"/>
    <cellStyle name="r_Canal Digital_Deutsche 2 2" xfId="2062" xr:uid="{00000000-0005-0000-0000-00000F080000}"/>
    <cellStyle name="r_Canal Digital_Fixed" xfId="2063" xr:uid="{00000000-0005-0000-0000-000010080000}"/>
    <cellStyle name="r_Canal Digital_Fixed_Deutsche" xfId="2064" xr:uid="{00000000-0005-0000-0000-000011080000}"/>
    <cellStyle name="r_Canal Digital_Fixed_Deutsche 2" xfId="2065" xr:uid="{00000000-0005-0000-0000-000012080000}"/>
    <cellStyle name="r_Canal Digital_Fixed_Deutsche 2 2" xfId="2066" xr:uid="{00000000-0005-0000-0000-000013080000}"/>
    <cellStyle name="r_Canal Digital_Fixed_Innsamling" xfId="2067" xr:uid="{00000000-0005-0000-0000-000014080000}"/>
    <cellStyle name="r_Canal Digital_Fixed_Innsamling 2" xfId="2068" xr:uid="{00000000-0005-0000-0000-000015080000}"/>
    <cellStyle name="r_Canal Digital_Fixed_Innsamling 2 2" xfId="2069" xr:uid="{00000000-0005-0000-0000-000016080000}"/>
    <cellStyle name="r_Canal Digital_Group" xfId="2070" xr:uid="{00000000-0005-0000-0000-000017080000}"/>
    <cellStyle name="r_Canal Digital_Group_Deutsche" xfId="2071" xr:uid="{00000000-0005-0000-0000-000018080000}"/>
    <cellStyle name="r_Canal Digital_Group_Deutsche 2" xfId="2072" xr:uid="{00000000-0005-0000-0000-000019080000}"/>
    <cellStyle name="r_Canal Digital_Group_Deutsche 2 2" xfId="2073" xr:uid="{00000000-0005-0000-0000-00001A080000}"/>
    <cellStyle name="r_Canal Digital_Group_Innsamling" xfId="2074" xr:uid="{00000000-0005-0000-0000-00001B080000}"/>
    <cellStyle name="r_Canal Digital_Group_Innsamling 2" xfId="2075" xr:uid="{00000000-0005-0000-0000-00001C080000}"/>
    <cellStyle name="r_Canal Digital_Group_Innsamling 2 2" xfId="2076" xr:uid="{00000000-0005-0000-0000-00001D080000}"/>
    <cellStyle name="r_Canal Digital_Innsamling" xfId="2077" xr:uid="{00000000-0005-0000-0000-00001E080000}"/>
    <cellStyle name="r_Canal Digital_Innsamling 2" xfId="2078" xr:uid="{00000000-0005-0000-0000-00001F080000}"/>
    <cellStyle name="r_Canal Digital_Innsamling 2 2" xfId="2079" xr:uid="{00000000-0005-0000-0000-000020080000}"/>
    <cellStyle name="r_Canal Digital_Mobile" xfId="2080" xr:uid="{00000000-0005-0000-0000-000021080000}"/>
    <cellStyle name="r_Canal Digital_Mobile_Deutsche" xfId="2081" xr:uid="{00000000-0005-0000-0000-000022080000}"/>
    <cellStyle name="r_Canal Digital_Mobile_Deutsche 2" xfId="2082" xr:uid="{00000000-0005-0000-0000-000023080000}"/>
    <cellStyle name="r_Canal Digital_Mobile_Deutsche 2 2" xfId="2083" xr:uid="{00000000-0005-0000-0000-000024080000}"/>
    <cellStyle name="r_Canal Digital_Mobile_Innsamling" xfId="2084" xr:uid="{00000000-0005-0000-0000-000025080000}"/>
    <cellStyle name="r_Canal Digital_Mobile_Innsamling 2" xfId="2085" xr:uid="{00000000-0005-0000-0000-000026080000}"/>
    <cellStyle name="r_Canal Digital_Mobile_Innsamling 2 2" xfId="2086" xr:uid="{00000000-0005-0000-0000-000027080000}"/>
    <cellStyle name="r_Canal Digital_Special items" xfId="2087" xr:uid="{00000000-0005-0000-0000-000028080000}"/>
    <cellStyle name="r_Canal Digital_Special items_Deutsche" xfId="2088" xr:uid="{00000000-0005-0000-0000-000029080000}"/>
    <cellStyle name="r_Canal Digital_Special items_Deutsche 2" xfId="2089" xr:uid="{00000000-0005-0000-0000-00002A080000}"/>
    <cellStyle name="r_Canal Digital_Special items_Deutsche 2 2" xfId="2090" xr:uid="{00000000-0005-0000-0000-00002B080000}"/>
    <cellStyle name="r_Canal Digital_Special items_Innsamling" xfId="2091" xr:uid="{00000000-0005-0000-0000-00002C080000}"/>
    <cellStyle name="r_Canal Digital_Special items_Innsamling 2" xfId="2092" xr:uid="{00000000-0005-0000-0000-00002D080000}"/>
    <cellStyle name="r_Canal Digital_Special items_Innsamling 2 2" xfId="2093" xr:uid="{00000000-0005-0000-0000-00002E080000}"/>
    <cellStyle name="r_tel" xfId="2094" xr:uid="{00000000-0005-0000-0000-00002F080000}"/>
    <cellStyle name="r_tel.xls Chart 680" xfId="2095" xr:uid="{00000000-0005-0000-0000-000030080000}"/>
    <cellStyle name="r_Telenor" xfId="2096" xr:uid="{00000000-0005-0000-0000-000031080000}"/>
    <cellStyle name="RatioX" xfId="2097" xr:uid="{00000000-0005-0000-0000-000032080000}"/>
    <cellStyle name="Red font" xfId="2098" xr:uid="{00000000-0005-0000-0000-000033080000}"/>
    <cellStyle name="Report" xfId="2099" xr:uid="{00000000-0005-0000-0000-000034080000}"/>
    <cellStyle name="Right" xfId="2100" xr:uid="{00000000-0005-0000-0000-000035080000}"/>
    <cellStyle name="Right 2" xfId="2101" xr:uid="{00000000-0005-0000-0000-000036080000}"/>
    <cellStyle name="Rmess" xfId="2102" xr:uid="{00000000-0005-0000-0000-000037080000}"/>
    <cellStyle name="Rnumber" xfId="2103" xr:uid="{00000000-0005-0000-0000-000038080000}"/>
    <cellStyle name="Rnumber 0d" xfId="2104" xr:uid="{00000000-0005-0000-0000-000039080000}"/>
    <cellStyle name="Rnumber_eurosubs10" xfId="2105" xr:uid="{00000000-0005-0000-0000-00003A080000}"/>
    <cellStyle name="Row and Column Total" xfId="2106" xr:uid="{00000000-0005-0000-0000-00003B080000}"/>
    <cellStyle name="Row Heading" xfId="2107" xr:uid="{00000000-0005-0000-0000-00003C080000}"/>
    <cellStyle name="Row Heading (No Wrap)" xfId="2108" xr:uid="{00000000-0005-0000-0000-00003D080000}"/>
    <cellStyle name="Row Ignore" xfId="2109" xr:uid="{00000000-0005-0000-0000-00003E080000}"/>
    <cellStyle name="Row label" xfId="2110" xr:uid="{00000000-0005-0000-0000-00003F080000}"/>
    <cellStyle name="Row label (indent)" xfId="2111" xr:uid="{00000000-0005-0000-0000-000040080000}"/>
    <cellStyle name="Row Sub total" xfId="2112" xr:uid="{00000000-0005-0000-0000-000041080000}"/>
    <cellStyle name="Row Title 1" xfId="2113" xr:uid="{00000000-0005-0000-0000-000042080000}"/>
    <cellStyle name="Row Title 2" xfId="2114" xr:uid="{00000000-0005-0000-0000-000043080000}"/>
    <cellStyle name="Row Title 3" xfId="2115" xr:uid="{00000000-0005-0000-0000-000044080000}"/>
    <cellStyle name="Row Total" xfId="2116" xr:uid="{00000000-0005-0000-0000-000045080000}"/>
    <cellStyle name="Row Total 2" xfId="2117" xr:uid="{00000000-0005-0000-0000-000046080000}"/>
    <cellStyle name="Saisie" xfId="2118" xr:uid="{00000000-0005-0000-0000-000047080000}"/>
    <cellStyle name="Salomon Logo" xfId="2119" xr:uid="{00000000-0005-0000-0000-000048080000}"/>
    <cellStyle name="ScripFactor" xfId="2120" xr:uid="{00000000-0005-0000-0000-000049080000}"/>
    <cellStyle name="Section Title" xfId="2121" xr:uid="{00000000-0005-0000-0000-00004A080000}"/>
    <cellStyle name="SectionHeading" xfId="2122" xr:uid="{00000000-0005-0000-0000-00004B080000}"/>
    <cellStyle name="Separador de milhares_Projeção" xfId="2123" xr:uid="{00000000-0005-0000-0000-00004C080000}"/>
    <cellStyle name="Shares" xfId="2124" xr:uid="{00000000-0005-0000-0000-00004D080000}"/>
    <cellStyle name="Single Accounting" xfId="2125" xr:uid="{00000000-0005-0000-0000-00004E080000}"/>
    <cellStyle name="Small Number" xfId="2126" xr:uid="{00000000-0005-0000-0000-00004F080000}"/>
    <cellStyle name="Small Percentage" xfId="2127" xr:uid="{00000000-0005-0000-0000-000050080000}"/>
    <cellStyle name="Sous titre" xfId="2128" xr:uid="{00000000-0005-0000-0000-000051080000}"/>
    <cellStyle name="Standaard_KPN" xfId="2129" xr:uid="{00000000-0005-0000-0000-000052080000}"/>
    <cellStyle name="Standard" xfId="2130" xr:uid="{00000000-0005-0000-0000-000053080000}"/>
    <cellStyle name="Strange" xfId="2131" xr:uid="{00000000-0005-0000-0000-000054080000}"/>
    <cellStyle name="STYL1 - Style1" xfId="2132" xr:uid="{00000000-0005-0000-0000-000055080000}"/>
    <cellStyle name="Style 1" xfId="2133" xr:uid="{00000000-0005-0000-0000-000056080000}"/>
    <cellStyle name="Style 1 2" xfId="2134" xr:uid="{00000000-0005-0000-0000-000057080000}"/>
    <cellStyle name="Subhead" xfId="2135" xr:uid="{00000000-0005-0000-0000-000058080000}"/>
    <cellStyle name="Subhead 2" xfId="2136" xr:uid="{00000000-0005-0000-0000-000059080000}"/>
    <cellStyle name="Sub-total row" xfId="2137" xr:uid="{00000000-0005-0000-0000-00005A080000}"/>
    <cellStyle name="SymbolBlue" xfId="2138" xr:uid="{00000000-0005-0000-0000-00005B080000}"/>
    <cellStyle name="Table" xfId="2139" xr:uid="{00000000-0005-0000-0000-00005C080000}"/>
    <cellStyle name="Table finish row" xfId="2140" xr:uid="{00000000-0005-0000-0000-00005D080000}"/>
    <cellStyle name="Table Head" xfId="2141" xr:uid="{00000000-0005-0000-0000-00005E080000}"/>
    <cellStyle name="Table Head Aligned" xfId="2142" xr:uid="{00000000-0005-0000-0000-00005F080000}"/>
    <cellStyle name="Table Head Blue" xfId="2143" xr:uid="{00000000-0005-0000-0000-000060080000}"/>
    <cellStyle name="Table Head Green" xfId="2144" xr:uid="{00000000-0005-0000-0000-000061080000}"/>
    <cellStyle name="Table Head_NewAltCompsEurope1" xfId="2145" xr:uid="{00000000-0005-0000-0000-000062080000}"/>
    <cellStyle name="table numbers 1" xfId="2146" xr:uid="{00000000-0005-0000-0000-000063080000}"/>
    <cellStyle name="Table numbers 2" xfId="2147" xr:uid="{00000000-0005-0000-0000-000064080000}"/>
    <cellStyle name="Table shading" xfId="2148" xr:uid="{00000000-0005-0000-0000-000065080000}"/>
    <cellStyle name="Table Source" xfId="2149" xr:uid="{00000000-0005-0000-0000-000066080000}"/>
    <cellStyle name="Table Text" xfId="2150" xr:uid="{00000000-0005-0000-0000-000067080000}"/>
    <cellStyle name="Table Title" xfId="2151" xr:uid="{00000000-0005-0000-0000-000068080000}"/>
    <cellStyle name="Table unfinish row" xfId="2152" xr:uid="{00000000-0005-0000-0000-000069080000}"/>
    <cellStyle name="Table Units" xfId="2153" xr:uid="{00000000-0005-0000-0000-00006A080000}"/>
    <cellStyle name="Table unshading" xfId="2154" xr:uid="{00000000-0005-0000-0000-00006B080000}"/>
    <cellStyle name="TableBorder" xfId="2155" xr:uid="{00000000-0005-0000-0000-00006C080000}"/>
    <cellStyle name="TableFootnotes" xfId="2156" xr:uid="{00000000-0005-0000-0000-00006D080000}"/>
    <cellStyle name="TableTitleFormat" xfId="2157" xr:uid="{00000000-0005-0000-0000-00006E080000}"/>
    <cellStyle name="TableTitleFormat 2" xfId="2158" xr:uid="{00000000-0005-0000-0000-00006F080000}"/>
    <cellStyle name="Test [green]" xfId="2159" xr:uid="{00000000-0005-0000-0000-000070080000}"/>
    <cellStyle name="test a style" xfId="2160" xr:uid="{00000000-0005-0000-0000-000071080000}"/>
    <cellStyle name="Text" xfId="2161" xr:uid="{00000000-0005-0000-0000-000072080000}"/>
    <cellStyle name="Text 1" xfId="2162" xr:uid="{00000000-0005-0000-0000-000073080000}"/>
    <cellStyle name="Text 2" xfId="2163" xr:uid="{00000000-0005-0000-0000-000074080000}"/>
    <cellStyle name="Text Head 1" xfId="2164" xr:uid="{00000000-0005-0000-0000-000075080000}"/>
    <cellStyle name="Text Head 2" xfId="2165" xr:uid="{00000000-0005-0000-0000-000076080000}"/>
    <cellStyle name="Text Indent 1" xfId="2166" xr:uid="{00000000-0005-0000-0000-000077080000}"/>
    <cellStyle name="Text Indent 2" xfId="2167" xr:uid="{00000000-0005-0000-0000-000078080000}"/>
    <cellStyle name="TFCF" xfId="2168" xr:uid="{00000000-0005-0000-0000-000079080000}"/>
    <cellStyle name="threedecplace" xfId="2169" xr:uid="{00000000-0005-0000-0000-00007A080000}"/>
    <cellStyle name="Time Strip" xfId="2170" xr:uid="{00000000-0005-0000-0000-00007B080000}"/>
    <cellStyle name="times" xfId="2171" xr:uid="{00000000-0005-0000-0000-00007C080000}"/>
    <cellStyle name="Times 10" xfId="2172" xr:uid="{00000000-0005-0000-0000-00007D080000}"/>
    <cellStyle name="Times 10 2" xfId="2173" xr:uid="{00000000-0005-0000-0000-00007E080000}"/>
    <cellStyle name="Times 12" xfId="2174" xr:uid="{00000000-0005-0000-0000-00007F080000}"/>
    <cellStyle name="times_Deutsche" xfId="2175" xr:uid="{00000000-0005-0000-0000-000080080000}"/>
    <cellStyle name="Title" xfId="2176" builtinId="15" customBuiltin="1"/>
    <cellStyle name="Title Heading" xfId="2177" xr:uid="{00000000-0005-0000-0000-000082080000}"/>
    <cellStyle name="Title II" xfId="2178" xr:uid="{00000000-0005-0000-0000-000083080000}"/>
    <cellStyle name="title1" xfId="2179" xr:uid="{00000000-0005-0000-0000-000084080000}"/>
    <cellStyle name="Title2" xfId="2180" xr:uid="{00000000-0005-0000-0000-000085080000}"/>
    <cellStyle name="TitleII" xfId="2181" xr:uid="{00000000-0005-0000-0000-000086080000}"/>
    <cellStyle name="Titles" xfId="2182" xr:uid="{00000000-0005-0000-0000-000087080000}"/>
    <cellStyle name="Titre" xfId="2183" xr:uid="{00000000-0005-0000-0000-000088080000}"/>
    <cellStyle name="TOC 1" xfId="2184" xr:uid="{00000000-0005-0000-0000-000089080000}"/>
    <cellStyle name="TOC 2" xfId="2185" xr:uid="{00000000-0005-0000-0000-00008A080000}"/>
    <cellStyle name="tom" xfId="2186" xr:uid="{00000000-0005-0000-0000-00008B080000}"/>
    <cellStyle name="Topline" xfId="2187" xr:uid="{00000000-0005-0000-0000-00008C080000}"/>
    <cellStyle name="Topline 2" xfId="2188" xr:uid="{00000000-0005-0000-0000-00008D080000}"/>
    <cellStyle name="Total" xfId="2189" builtinId="25" customBuiltin="1"/>
    <cellStyle name="Total row" xfId="2190" xr:uid="{00000000-0005-0000-0000-00008F080000}"/>
    <cellStyle name="Tusenskille_Korrigeringer for å nettoføre VØT" xfId="2191" xr:uid="{00000000-0005-0000-0000-000090080000}"/>
    <cellStyle name="Tusental (0)_1998-Q2" xfId="2192" xr:uid="{00000000-0005-0000-0000-000091080000}"/>
    <cellStyle name="Tusental_1998-Q4-NORGE" xfId="2193" xr:uid="{00000000-0005-0000-0000-000092080000}"/>
    <cellStyle name="twodecplace" xfId="2194" xr:uid="{00000000-0005-0000-0000-000093080000}"/>
    <cellStyle name="ul" xfId="2195" xr:uid="{00000000-0005-0000-0000-000094080000}"/>
    <cellStyle name="Unhighlight" xfId="2196" xr:uid="{00000000-0005-0000-0000-000095080000}"/>
    <cellStyle name="Unit" xfId="2197" xr:uid="{00000000-0005-0000-0000-000096080000}"/>
    <cellStyle name="units" xfId="2198" xr:uid="{00000000-0005-0000-0000-000097080000}"/>
    <cellStyle name="Untotal row" xfId="2199" xr:uid="{00000000-0005-0000-0000-000098080000}"/>
    <cellStyle name="Upload Only" xfId="2200" xr:uid="{00000000-0005-0000-0000-000099080000}"/>
    <cellStyle name="Valuta (0)_1998-Q2" xfId="2201" xr:uid="{00000000-0005-0000-0000-00009A080000}"/>
    <cellStyle name="Warning Text" xfId="2202" builtinId="11" customBuiltin="1"/>
    <cellStyle name="web_ normal" xfId="2203" xr:uid="{00000000-0005-0000-0000-00009C080000}"/>
    <cellStyle name="White" xfId="2204" xr:uid="{00000000-0005-0000-0000-00009D080000}"/>
    <cellStyle name="WholeNumber" xfId="2205" xr:uid="{00000000-0005-0000-0000-00009E080000}"/>
    <cellStyle name="WingdingsBlack" xfId="2206" xr:uid="{00000000-0005-0000-0000-00009F080000}"/>
    <cellStyle name="WingdingsRed" xfId="2207" xr:uid="{00000000-0005-0000-0000-0000A0080000}"/>
    <cellStyle name="WingdingsWhite" xfId="2208" xr:uid="{00000000-0005-0000-0000-0000A1080000}"/>
    <cellStyle name="WP Header" xfId="2209" xr:uid="{00000000-0005-0000-0000-0000A2080000}"/>
    <cellStyle name="Year" xfId="2210" xr:uid="{00000000-0005-0000-0000-0000A3080000}"/>
    <cellStyle name="Yen" xfId="2211" xr:uid="{00000000-0005-0000-0000-0000A4080000}"/>
    <cellStyle name="똿뗦먛귟 [0.00]_PRODUCT DETAIL Q1_x0013_" xfId="2212" xr:uid="{00000000-0005-0000-0000-0000A5080000}"/>
    <cellStyle name="똿뗦먛귟_PRODUCT DETAIL Q1TAIL" xfId="2213" xr:uid="{00000000-0005-0000-0000-0000A6080000}"/>
    <cellStyle name="믅됞 [0.00]_PRODUCT DETAIL Q1Q3" xfId="2214" xr:uid="{00000000-0005-0000-0000-0000A7080000}"/>
    <cellStyle name="믅됞_PRODUCT DETAIL Q1TA" xfId="2215" xr:uid="{00000000-0005-0000-0000-0000A8080000}"/>
    <cellStyle name="뷭?_BOOKSHIP_상세일정 (2) (2) " xfId="2216" xr:uid="{00000000-0005-0000-0000-0000A9080000}"/>
    <cellStyle name="콤마 [0]_97년도 프로젝트 현황 (2)OMMENTS_총무" xfId="2217" xr:uid="{00000000-0005-0000-0000-0000AA080000}"/>
    <cellStyle name="콤마_97년도 프로젝트 현황 (2) (2)OMMENT" xfId="2218" xr:uid="{00000000-0005-0000-0000-0000AB080000}"/>
    <cellStyle name="통화 [0]_97년도 프로젝트 현황 (2)OMMENT" xfId="2219" xr:uid="{00000000-0005-0000-0000-0000AC080000}"/>
    <cellStyle name="통화_97년도 프로젝트 현황 (2) (2)OMMENT" xfId="2220" xr:uid="{00000000-0005-0000-0000-0000AD080000}"/>
    <cellStyle name="표준_97년 프로젝트 현황) (2) (2)" xfId="2221" xr:uid="{00000000-0005-0000-0000-0000AE080000}"/>
  </cellStyles>
  <dxfs count="0"/>
  <tableStyles count="0" defaultTableStyle="TableStyleMedium2" defaultPivotStyle="PivotStyleLight16"/>
  <colors>
    <mruColors>
      <color rgb="FF0000FF"/>
      <color rgb="FFABEC1A"/>
      <color rgb="FFFFFFCC"/>
      <color rgb="FF799098"/>
      <color rgb="FF263238"/>
      <color rgb="FFF96D3E"/>
      <color rgb="FFF945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10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charts/_rels/chart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charts/_rels/chart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charts/_rels/chart3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charts/_rels/chart3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charts/_rels/chart3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charts/_rels/chart34.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charts/_rels/chart3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6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1.xml"/><Relationship Id="rId1" Type="http://schemas.microsoft.com/office/2011/relationships/chartStyle" Target="style21.xml"/></Relationships>
</file>

<file path=xl/charts/_rels/chart6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3.xml"/><Relationship Id="rId1" Type="http://schemas.microsoft.com/office/2011/relationships/chartStyle" Target="style23.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4.xml"/><Relationship Id="rId1" Type="http://schemas.microsoft.com/office/2011/relationships/chartStyle" Target="style24.xml"/></Relationships>
</file>

<file path=xl/charts/_rels/chart7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6.xml"/><Relationship Id="rId1" Type="http://schemas.microsoft.com/office/2011/relationships/chartStyle" Target="style26.xml"/></Relationships>
</file>

<file path=xl/charts/_rels/chart7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5.xml"/><Relationship Id="rId1" Type="http://schemas.microsoft.com/office/2011/relationships/chartStyle" Target="style3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6.xml"/><Relationship Id="rId1" Type="http://schemas.microsoft.com/office/2011/relationships/chartStyle" Target="style36.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Valuation!$W$32</c:f>
              <c:strCache>
                <c:ptCount val="1"/>
                <c:pt idx="0">
                  <c:v>EFCF</c:v>
                </c:pt>
              </c:strCache>
            </c:strRef>
          </c:tx>
          <c:spPr>
            <a:solidFill>
              <a:schemeClr val="bg1">
                <a:lumMod val="65000"/>
              </a:schemeClr>
            </a:solidFill>
            <a:ln>
              <a:noFill/>
            </a:ln>
            <a:effectLst/>
            <a:extLst>
              <a:ext uri="{91240B29-F687-4F45-9708-019B960494DF}">
                <a14:hiddenLine xmlns:a14="http://schemas.microsoft.com/office/drawing/2010/main">
                  <a:noFill/>
                </a14:hiddenLine>
              </a:ext>
            </a:extLst>
          </c:spPr>
          <c:invertIfNegative val="0"/>
          <c:cat>
            <c:strRef>
              <c:f>Valuation!$X$31:$Z$31</c:f>
              <c:strCache>
                <c:ptCount val="3"/>
                <c:pt idx="0">
                  <c:v>2024A</c:v>
                </c:pt>
                <c:pt idx="1">
                  <c:v>2025E</c:v>
                </c:pt>
                <c:pt idx="2">
                  <c:v>2026E</c:v>
                </c:pt>
              </c:strCache>
            </c:strRef>
          </c:cat>
          <c:val>
            <c:numRef>
              <c:f>Valuation!$X$32:$Z$32</c:f>
              <c:numCache>
                <c:formatCode>#,##0</c:formatCode>
                <c:ptCount val="3"/>
                <c:pt idx="0">
                  <c:v>778.64580000000024</c:v>
                </c:pt>
                <c:pt idx="1">
                  <c:v>759.62092045878626</c:v>
                </c:pt>
                <c:pt idx="2">
                  <c:v>791.0777005844003</c:v>
                </c:pt>
              </c:numCache>
            </c:numRef>
          </c:val>
          <c:extLst>
            <c:ext xmlns:c16="http://schemas.microsoft.com/office/drawing/2014/chart" uri="{C3380CC4-5D6E-409C-BE32-E72D297353CC}">
              <c16:uniqueId val="{00000000-070F-4D12-9F7F-55C0E5EB3D99}"/>
            </c:ext>
          </c:extLst>
        </c:ser>
        <c:dLbls>
          <c:showLegendKey val="0"/>
          <c:showVal val="0"/>
          <c:showCatName val="0"/>
          <c:showSerName val="0"/>
          <c:showPercent val="0"/>
          <c:showBubbleSize val="0"/>
        </c:dLbls>
        <c:gapWidth val="30"/>
        <c:overlap val="-27"/>
        <c:axId val="152287887"/>
        <c:axId val="152286447"/>
      </c:barChart>
      <c:lineChart>
        <c:grouping val="standard"/>
        <c:varyColors val="0"/>
        <c:ser>
          <c:idx val="1"/>
          <c:order val="1"/>
          <c:tx>
            <c:strRef>
              <c:f>Valuation!$W$34</c:f>
              <c:strCache>
                <c:ptCount val="1"/>
                <c:pt idx="0">
                  <c:v>EFCF yield</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Valuation!$X$34:$Z$34</c:f>
              <c:numCache>
                <c:formatCode>0.0%</c:formatCode>
                <c:ptCount val="3"/>
                <c:pt idx="0">
                  <c:v>0.15365668352042813</c:v>
                </c:pt>
                <c:pt idx="1">
                  <c:v>0.15436257121302321</c:v>
                </c:pt>
                <c:pt idx="2">
                  <c:v>0.16573606117070405</c:v>
                </c:pt>
              </c:numCache>
            </c:numRef>
          </c:val>
          <c:smooth val="0"/>
          <c:extLst>
            <c:ext xmlns:c16="http://schemas.microsoft.com/office/drawing/2014/chart" uri="{C3380CC4-5D6E-409C-BE32-E72D297353CC}">
              <c16:uniqueId val="{00000001-070F-4D12-9F7F-55C0E5EB3D99}"/>
            </c:ext>
          </c:extLst>
        </c:ser>
        <c:dLbls>
          <c:showLegendKey val="0"/>
          <c:showVal val="0"/>
          <c:showCatName val="0"/>
          <c:showSerName val="0"/>
          <c:showPercent val="0"/>
          <c:showBubbleSize val="0"/>
        </c:dLbls>
        <c:marker val="1"/>
        <c:smooth val="0"/>
        <c:axId val="258909792"/>
        <c:axId val="258916032"/>
      </c:lineChart>
      <c:catAx>
        <c:axId val="152287887"/>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52286447"/>
        <c:crosses val="autoZero"/>
        <c:auto val="1"/>
        <c:lblAlgn val="ctr"/>
        <c:lblOffset val="100"/>
        <c:noMultiLvlLbl val="0"/>
      </c:catAx>
      <c:valAx>
        <c:axId val="152286447"/>
        <c:scaling>
          <c:orientation val="minMax"/>
        </c:scaling>
        <c:delete val="0"/>
        <c:axPos val="l"/>
        <c:numFmt formatCode="#,##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52287887"/>
        <c:crosses val="autoZero"/>
        <c:crossBetween val="between"/>
      </c:valAx>
      <c:valAx>
        <c:axId val="25891603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258909792"/>
        <c:crosses val="max"/>
        <c:crossBetween val="between"/>
      </c:valAx>
      <c:catAx>
        <c:axId val="258909792"/>
        <c:scaling>
          <c:orientation val="minMax"/>
        </c:scaling>
        <c:delete val="1"/>
        <c:axPos val="b"/>
        <c:majorTickMark val="out"/>
        <c:minorTickMark val="none"/>
        <c:tickLblPos val="nextTo"/>
        <c:crossAx val="25891603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35042370871669"/>
          <c:y val="8.8578290215003588E-2"/>
          <c:w val="0.73248464595305496"/>
          <c:h val="0.65035113078910523"/>
        </c:manualLayout>
      </c:layout>
      <c:lineChart>
        <c:grouping val="standard"/>
        <c:varyColors val="0"/>
        <c:ser>
          <c:idx val="1"/>
          <c:order val="0"/>
          <c:tx>
            <c:v>El Sal (LHS)</c:v>
          </c:tx>
          <c:spPr>
            <a:ln w="25400">
              <a:solidFill>
                <a:srgbClr val="000080"/>
              </a:solidFill>
              <a:prstDash val="solid"/>
            </a:ln>
          </c:spPr>
          <c:marker>
            <c:symbol val="none"/>
          </c:marker>
          <c:cat>
            <c:numRef>
              <c:f>Analysis!$Q$295:$AZ$295</c:f>
              <c:numCache>
                <c:formatCode>mmm\-yy</c:formatCode>
                <c:ptCount val="3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numCache>
            </c:numRef>
          </c:cat>
          <c:val>
            <c:numRef>
              <c:f>Analysis!$Q$292:$AZ$292</c:f>
              <c:numCache>
                <c:formatCode>General</c:formatCode>
                <c:ptCount val="36"/>
                <c:pt idx="0">
                  <c:v>275.5</c:v>
                </c:pt>
                <c:pt idx="1">
                  <c:v>298.3</c:v>
                </c:pt>
                <c:pt idx="2">
                  <c:v>338.4</c:v>
                </c:pt>
                <c:pt idx="3">
                  <c:v>338.5</c:v>
                </c:pt>
                <c:pt idx="4">
                  <c:v>353.4</c:v>
                </c:pt>
                <c:pt idx="5">
                  <c:v>334.4</c:v>
                </c:pt>
                <c:pt idx="6">
                  <c:v>332.1</c:v>
                </c:pt>
                <c:pt idx="7">
                  <c:v>305.7</c:v>
                </c:pt>
                <c:pt idx="8">
                  <c:v>304.7</c:v>
                </c:pt>
                <c:pt idx="9">
                  <c:v>304.3</c:v>
                </c:pt>
                <c:pt idx="10">
                  <c:v>264.8</c:v>
                </c:pt>
                <c:pt idx="11" formatCode="0">
                  <c:v>337.5</c:v>
                </c:pt>
                <c:pt idx="12" formatCode="#,##0">
                  <c:v>252.4</c:v>
                </c:pt>
                <c:pt idx="13" formatCode="#,##0">
                  <c:v>275.10000000000002</c:v>
                </c:pt>
                <c:pt idx="14">
                  <c:v>315.8</c:v>
                </c:pt>
                <c:pt idx="15">
                  <c:v>292.5</c:v>
                </c:pt>
                <c:pt idx="16">
                  <c:v>308.2</c:v>
                </c:pt>
                <c:pt idx="17">
                  <c:v>295.7</c:v>
                </c:pt>
                <c:pt idx="18">
                  <c:v>286.10000000000002</c:v>
                </c:pt>
                <c:pt idx="19">
                  <c:v>287.39999999999998</c:v>
                </c:pt>
                <c:pt idx="20">
                  <c:v>270.89999999999998</c:v>
                </c:pt>
                <c:pt idx="21">
                  <c:v>281.7</c:v>
                </c:pt>
                <c:pt idx="22">
                  <c:v>262.7</c:v>
                </c:pt>
                <c:pt idx="23">
                  <c:v>336.5</c:v>
                </c:pt>
                <c:pt idx="24">
                  <c:v>228.1</c:v>
                </c:pt>
                <c:pt idx="25">
                  <c:v>263.2</c:v>
                </c:pt>
                <c:pt idx="26">
                  <c:v>337</c:v>
                </c:pt>
                <c:pt idx="27">
                  <c:v>296.3</c:v>
                </c:pt>
                <c:pt idx="28">
                  <c:v>319.2</c:v>
                </c:pt>
                <c:pt idx="29" formatCode="0">
                  <c:v>294.2</c:v>
                </c:pt>
                <c:pt idx="30">
                  <c:v>286.8</c:v>
                </c:pt>
                <c:pt idx="31">
                  <c:v>287</c:v>
                </c:pt>
                <c:pt idx="32">
                  <c:v>270.7</c:v>
                </c:pt>
                <c:pt idx="33">
                  <c:v>280.89999999999998</c:v>
                </c:pt>
                <c:pt idx="34">
                  <c:v>273.2</c:v>
                </c:pt>
                <c:pt idx="35">
                  <c:v>340</c:v>
                </c:pt>
              </c:numCache>
            </c:numRef>
          </c:val>
          <c:smooth val="0"/>
          <c:extLst>
            <c:ext xmlns:c16="http://schemas.microsoft.com/office/drawing/2014/chart" uri="{C3380CC4-5D6E-409C-BE32-E72D297353CC}">
              <c16:uniqueId val="{00000000-AC1F-4E58-88AD-5B116F0028A1}"/>
            </c:ext>
          </c:extLst>
        </c:ser>
        <c:ser>
          <c:idx val="0"/>
          <c:order val="1"/>
          <c:tx>
            <c:v>El Sal 3 year av (LHS)</c:v>
          </c:tx>
          <c:spPr>
            <a:ln w="25400">
              <a:solidFill>
                <a:srgbClr val="000080"/>
              </a:solidFill>
              <a:prstDash val="lgDash"/>
            </a:ln>
          </c:spPr>
          <c:marker>
            <c:symbol val="none"/>
          </c:marker>
          <c:cat>
            <c:numRef>
              <c:f>Analysis!$Q$295:$AZ$295</c:f>
              <c:numCache>
                <c:formatCode>mmm\-yy</c:formatCode>
                <c:ptCount val="3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numCache>
            </c:numRef>
          </c:cat>
          <c:val>
            <c:numRef>
              <c:f>Analysis!$Q$302:$AZ$302</c:f>
              <c:numCache>
                <c:formatCode>0</c:formatCode>
                <c:ptCount val="36"/>
                <c:pt idx="0">
                  <c:v>297.52941176470586</c:v>
                </c:pt>
                <c:pt idx="1">
                  <c:v>297.52941176470586</c:v>
                </c:pt>
                <c:pt idx="2">
                  <c:v>297.52941176470586</c:v>
                </c:pt>
                <c:pt idx="3">
                  <c:v>297.52941176470586</c:v>
                </c:pt>
                <c:pt idx="4">
                  <c:v>297.52941176470586</c:v>
                </c:pt>
                <c:pt idx="5">
                  <c:v>297.52941176470586</c:v>
                </c:pt>
                <c:pt idx="6">
                  <c:v>297.52941176470586</c:v>
                </c:pt>
                <c:pt idx="7">
                  <c:v>297.52941176470586</c:v>
                </c:pt>
                <c:pt idx="8">
                  <c:v>297.52941176470586</c:v>
                </c:pt>
                <c:pt idx="9">
                  <c:v>297.52941176470586</c:v>
                </c:pt>
                <c:pt idx="10">
                  <c:v>297.52941176470586</c:v>
                </c:pt>
                <c:pt idx="11">
                  <c:v>297.52941176470586</c:v>
                </c:pt>
                <c:pt idx="12">
                  <c:v>297.52941176470586</c:v>
                </c:pt>
                <c:pt idx="13">
                  <c:v>297.52941176470586</c:v>
                </c:pt>
                <c:pt idx="14">
                  <c:v>297.52941176470586</c:v>
                </c:pt>
                <c:pt idx="15">
                  <c:v>297.52941176470586</c:v>
                </c:pt>
                <c:pt idx="16">
                  <c:v>297.52941176470586</c:v>
                </c:pt>
                <c:pt idx="17">
                  <c:v>297.52941176470586</c:v>
                </c:pt>
                <c:pt idx="18">
                  <c:v>297.52941176470586</c:v>
                </c:pt>
                <c:pt idx="19">
                  <c:v>297.52941176470586</c:v>
                </c:pt>
                <c:pt idx="20">
                  <c:v>297.52941176470586</c:v>
                </c:pt>
                <c:pt idx="21">
                  <c:v>297.52941176470586</c:v>
                </c:pt>
                <c:pt idx="22">
                  <c:v>297.52941176470586</c:v>
                </c:pt>
                <c:pt idx="23">
                  <c:v>297.52941176470586</c:v>
                </c:pt>
                <c:pt idx="24">
                  <c:v>297.52941176470586</c:v>
                </c:pt>
                <c:pt idx="25">
                  <c:v>297.52941176470586</c:v>
                </c:pt>
                <c:pt idx="26">
                  <c:v>297.52941176470586</c:v>
                </c:pt>
                <c:pt idx="27">
                  <c:v>297.52941176470586</c:v>
                </c:pt>
                <c:pt idx="28">
                  <c:v>297.52941176470586</c:v>
                </c:pt>
                <c:pt idx="29">
                  <c:v>297.52941176470586</c:v>
                </c:pt>
                <c:pt idx="30">
                  <c:v>297.52941176470586</c:v>
                </c:pt>
                <c:pt idx="31">
                  <c:v>297.52941176470586</c:v>
                </c:pt>
                <c:pt idx="32">
                  <c:v>297.52941176470586</c:v>
                </c:pt>
                <c:pt idx="33">
                  <c:v>297.52941176470586</c:v>
                </c:pt>
                <c:pt idx="34">
                  <c:v>297.46176470588239</c:v>
                </c:pt>
                <c:pt idx="35">
                  <c:v>298.68823529411765</c:v>
                </c:pt>
              </c:numCache>
            </c:numRef>
          </c:val>
          <c:smooth val="0"/>
          <c:extLst>
            <c:ext xmlns:c16="http://schemas.microsoft.com/office/drawing/2014/chart" uri="{C3380CC4-5D6E-409C-BE32-E72D297353CC}">
              <c16:uniqueId val="{00000001-AC1F-4E58-88AD-5B116F0028A1}"/>
            </c:ext>
          </c:extLst>
        </c:ser>
        <c:dLbls>
          <c:showLegendKey val="0"/>
          <c:showVal val="0"/>
          <c:showCatName val="0"/>
          <c:showSerName val="0"/>
          <c:showPercent val="0"/>
          <c:showBubbleSize val="0"/>
        </c:dLbls>
        <c:marker val="1"/>
        <c:smooth val="0"/>
        <c:axId val="1888803247"/>
        <c:axId val="1"/>
      </c:lineChart>
      <c:lineChart>
        <c:grouping val="standard"/>
        <c:varyColors val="0"/>
        <c:ser>
          <c:idx val="2"/>
          <c:order val="2"/>
          <c:tx>
            <c:v>Guat (RHS)</c:v>
          </c:tx>
          <c:spPr>
            <a:ln w="25400">
              <a:solidFill>
                <a:srgbClr val="3366FF"/>
              </a:solidFill>
              <a:prstDash val="solid"/>
            </a:ln>
          </c:spPr>
          <c:marker>
            <c:symbol val="none"/>
          </c:marker>
          <c:cat>
            <c:numRef>
              <c:f>Analysis!$Q$295:$AZ$295</c:f>
              <c:numCache>
                <c:formatCode>mmm\-yy</c:formatCode>
                <c:ptCount val="3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numCache>
            </c:numRef>
          </c:cat>
          <c:val>
            <c:numRef>
              <c:f>Analysis!$Q$299:$AZ$299</c:f>
              <c:numCache>
                <c:formatCode>0</c:formatCode>
                <c:ptCount val="36"/>
                <c:pt idx="0">
                  <c:v>2422.42</c:v>
                </c:pt>
                <c:pt idx="1">
                  <c:v>2460.4590000000003</c:v>
                </c:pt>
                <c:pt idx="2">
                  <c:v>2600.6559999999995</c:v>
                </c:pt>
                <c:pt idx="3">
                  <c:v>2908.2599999999998</c:v>
                </c:pt>
                <c:pt idx="4">
                  <c:v>2961.1200000000003</c:v>
                </c:pt>
                <c:pt idx="5">
                  <c:v>2882.25</c:v>
                </c:pt>
                <c:pt idx="6">
                  <c:v>3052.2649999999999</c:v>
                </c:pt>
                <c:pt idx="7">
                  <c:v>2763.9</c:v>
                </c:pt>
                <c:pt idx="8">
                  <c:v>2769.9100000000003</c:v>
                </c:pt>
                <c:pt idx="9">
                  <c:v>2768.7809999999999</c:v>
                </c:pt>
                <c:pt idx="10">
                  <c:v>2372.0369999999998</c:v>
                </c:pt>
                <c:pt idx="11">
                  <c:v>2609.2170000000001</c:v>
                </c:pt>
                <c:pt idx="12">
                  <c:v>2272.2660000000001</c:v>
                </c:pt>
                <c:pt idx="13">
                  <c:v>2233.0439999999999</c:v>
                </c:pt>
                <c:pt idx="14">
                  <c:v>2776.8870000000002</c:v>
                </c:pt>
                <c:pt idx="15">
                  <c:v>2744.7759999999998</c:v>
                </c:pt>
                <c:pt idx="16">
                  <c:v>2690.7339999999999</c:v>
                </c:pt>
                <c:pt idx="17">
                  <c:v>2830.6320000000001</c:v>
                </c:pt>
                <c:pt idx="18">
                  <c:v>2979.6400000000003</c:v>
                </c:pt>
                <c:pt idx="19">
                  <c:v>2780.1759999999999</c:v>
                </c:pt>
                <c:pt idx="20">
                  <c:v>2756.4300000000003</c:v>
                </c:pt>
                <c:pt idx="21">
                  <c:v>2728.2665900000002</c:v>
                </c:pt>
                <c:pt idx="22">
                  <c:v>2384.9636</c:v>
                </c:pt>
                <c:pt idx="23">
                  <c:v>2696.1869320000001</c:v>
                </c:pt>
                <c:pt idx="24">
                  <c:v>2054.9999235238097</c:v>
                </c:pt>
                <c:pt idx="25">
                  <c:v>2260.9871749999998</c:v>
                </c:pt>
                <c:pt idx="26">
                  <c:v>2970.7034565217391</c:v>
                </c:pt>
                <c:pt idx="27">
                  <c:v>2755.1555410909091</c:v>
                </c:pt>
                <c:pt idx="28">
                  <c:v>2856.7542899999999</c:v>
                </c:pt>
                <c:pt idx="29">
                  <c:v>3158.5224688531807</c:v>
                </c:pt>
                <c:pt idx="30">
                  <c:v>3080.7421199999999</c:v>
                </c:pt>
                <c:pt idx="31">
                  <c:v>3026.4111599999997</c:v>
                </c:pt>
                <c:pt idx="32">
                  <c:v>2899.6559099999999</c:v>
                </c:pt>
                <c:pt idx="33">
                  <c:v>2738.7481800000005</c:v>
                </c:pt>
                <c:pt idx="34">
                  <c:v>2647.886</c:v>
                </c:pt>
                <c:pt idx="35">
                  <c:v>2773.2639999999997</c:v>
                </c:pt>
              </c:numCache>
            </c:numRef>
          </c:val>
          <c:smooth val="0"/>
          <c:extLst>
            <c:ext xmlns:c16="http://schemas.microsoft.com/office/drawing/2014/chart" uri="{C3380CC4-5D6E-409C-BE32-E72D297353CC}">
              <c16:uniqueId val="{00000002-AC1F-4E58-88AD-5B116F0028A1}"/>
            </c:ext>
          </c:extLst>
        </c:ser>
        <c:ser>
          <c:idx val="3"/>
          <c:order val="3"/>
          <c:tx>
            <c:v>Guat 3 year av (RHS)</c:v>
          </c:tx>
          <c:spPr>
            <a:ln w="25400">
              <a:solidFill>
                <a:srgbClr val="3366FF"/>
              </a:solidFill>
              <a:prstDash val="lgDash"/>
            </a:ln>
          </c:spPr>
          <c:marker>
            <c:symbol val="none"/>
          </c:marker>
          <c:cat>
            <c:numRef>
              <c:f>Analysis!$Q$295:$AZ$295</c:f>
              <c:numCache>
                <c:formatCode>mmm\-yy</c:formatCode>
                <c:ptCount val="36"/>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numCache>
            </c:numRef>
          </c:cat>
          <c:val>
            <c:numRef>
              <c:f>Analysis!$Q$303:$AZ$303</c:f>
              <c:numCache>
                <c:formatCode>0</c:formatCode>
                <c:ptCount val="36"/>
                <c:pt idx="0">
                  <c:v>2713.1752160879296</c:v>
                </c:pt>
                <c:pt idx="1">
                  <c:v>2713.1752160879296</c:v>
                </c:pt>
                <c:pt idx="2">
                  <c:v>2713.1752160879296</c:v>
                </c:pt>
                <c:pt idx="3">
                  <c:v>2713.1752160879296</c:v>
                </c:pt>
                <c:pt idx="4">
                  <c:v>2713.1752160879296</c:v>
                </c:pt>
                <c:pt idx="5">
                  <c:v>2713.1752160879296</c:v>
                </c:pt>
                <c:pt idx="6">
                  <c:v>2713.1752160879296</c:v>
                </c:pt>
                <c:pt idx="7">
                  <c:v>2713.1752160879296</c:v>
                </c:pt>
                <c:pt idx="8">
                  <c:v>2713.1752160879296</c:v>
                </c:pt>
                <c:pt idx="9">
                  <c:v>2713.1752160879296</c:v>
                </c:pt>
                <c:pt idx="10">
                  <c:v>2713.1752160879296</c:v>
                </c:pt>
                <c:pt idx="11">
                  <c:v>2713.1752160879296</c:v>
                </c:pt>
                <c:pt idx="12">
                  <c:v>2713.1752160879296</c:v>
                </c:pt>
                <c:pt idx="13">
                  <c:v>2713.1752160879296</c:v>
                </c:pt>
                <c:pt idx="14">
                  <c:v>2713.1752160879296</c:v>
                </c:pt>
                <c:pt idx="15">
                  <c:v>2713.1752160879296</c:v>
                </c:pt>
                <c:pt idx="16">
                  <c:v>2713.1752160879296</c:v>
                </c:pt>
                <c:pt idx="17">
                  <c:v>2713.1752160879296</c:v>
                </c:pt>
                <c:pt idx="18">
                  <c:v>2713.1752160879296</c:v>
                </c:pt>
                <c:pt idx="19">
                  <c:v>2713.1752160879296</c:v>
                </c:pt>
                <c:pt idx="20">
                  <c:v>2713.1752160879296</c:v>
                </c:pt>
                <c:pt idx="21">
                  <c:v>2713.1752160879296</c:v>
                </c:pt>
                <c:pt idx="22">
                  <c:v>2713.1752160879296</c:v>
                </c:pt>
                <c:pt idx="23">
                  <c:v>2713.1752160879296</c:v>
                </c:pt>
                <c:pt idx="24">
                  <c:v>2713.1752160879296</c:v>
                </c:pt>
                <c:pt idx="25">
                  <c:v>2713.1752160879296</c:v>
                </c:pt>
                <c:pt idx="26">
                  <c:v>2713.1752160879296</c:v>
                </c:pt>
                <c:pt idx="27">
                  <c:v>2713.1752160879296</c:v>
                </c:pt>
                <c:pt idx="28">
                  <c:v>2713.1752160879296</c:v>
                </c:pt>
                <c:pt idx="29">
                  <c:v>2713.1752160879296</c:v>
                </c:pt>
                <c:pt idx="30">
                  <c:v>2713.1752160879296</c:v>
                </c:pt>
                <c:pt idx="31">
                  <c:v>2713.1752160879296</c:v>
                </c:pt>
                <c:pt idx="32">
                  <c:v>2713.1752160879296</c:v>
                </c:pt>
                <c:pt idx="33">
                  <c:v>2713.1752160879296</c:v>
                </c:pt>
                <c:pt idx="34">
                  <c:v>2719.806569029106</c:v>
                </c:pt>
                <c:pt idx="35">
                  <c:v>2729.0067160879298</c:v>
                </c:pt>
              </c:numCache>
            </c:numRef>
          </c:val>
          <c:smooth val="0"/>
          <c:extLst>
            <c:ext xmlns:c16="http://schemas.microsoft.com/office/drawing/2014/chart" uri="{C3380CC4-5D6E-409C-BE32-E72D297353CC}">
              <c16:uniqueId val="{00000003-AC1F-4E58-88AD-5B116F0028A1}"/>
            </c:ext>
          </c:extLst>
        </c:ser>
        <c:dLbls>
          <c:showLegendKey val="0"/>
          <c:showVal val="0"/>
          <c:showCatName val="0"/>
          <c:showSerName val="0"/>
          <c:showPercent val="0"/>
          <c:showBubbleSize val="0"/>
        </c:dLbls>
        <c:marker val="1"/>
        <c:smooth val="0"/>
        <c:axId val="3"/>
        <c:axId val="4"/>
      </c:lineChart>
      <c:catAx>
        <c:axId val="1888803247"/>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0"/>
        <c:lblAlgn val="ctr"/>
        <c:lblOffset val="100"/>
        <c:tickLblSkip val="1"/>
        <c:tickMarkSkip val="1"/>
        <c:noMultiLvlLbl val="0"/>
      </c:catAx>
      <c:valAx>
        <c:axId val="1"/>
        <c:scaling>
          <c:orientation val="minMax"/>
          <c:min val="200"/>
        </c:scaling>
        <c:delete val="0"/>
        <c:axPos val="l"/>
        <c:title>
          <c:tx>
            <c:rich>
              <a:bodyPr/>
              <a:lstStyle/>
              <a:p>
                <a:pPr>
                  <a:defRPr sz="800" b="1" i="0" u="none" strike="noStrike" baseline="0">
                    <a:solidFill>
                      <a:srgbClr val="000000"/>
                    </a:solidFill>
                    <a:latin typeface="Trebuchet MS"/>
                    <a:ea typeface="Trebuchet MS"/>
                    <a:cs typeface="Trebuchet MS"/>
                  </a:defRPr>
                </a:pPr>
                <a:r>
                  <a:rPr lang="en-GB"/>
                  <a:t>US$ mn/month</a:t>
                </a:r>
              </a:p>
            </c:rich>
          </c:tx>
          <c:layout>
            <c:manualLayout>
              <c:xMode val="edge"/>
              <c:yMode val="edge"/>
              <c:x val="4.2993553805774277E-2"/>
              <c:y val="0.31934818574218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888803247"/>
        <c:crosses val="autoZero"/>
        <c:crossBetween val="between"/>
      </c:valAx>
      <c:catAx>
        <c:axId val="3"/>
        <c:scaling>
          <c:orientation val="minMax"/>
        </c:scaling>
        <c:delete val="1"/>
        <c:axPos val="b"/>
        <c:numFmt formatCode="mmm\-yy"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rebuchet MS"/>
                    <a:ea typeface="Trebuchet MS"/>
                    <a:cs typeface="Trebuchet MS"/>
                  </a:defRPr>
                </a:pPr>
                <a:r>
                  <a:rPr lang="en-GB"/>
                  <a:t>quetzals mn/month</a:t>
                </a:r>
              </a:p>
            </c:rich>
          </c:tx>
          <c:layout>
            <c:manualLayout>
              <c:xMode val="edge"/>
              <c:yMode val="edge"/>
              <c:x val="0.92515964304461951"/>
              <c:y val="0.289045042355487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3"/>
        <c:crosses val="max"/>
        <c:crossBetween val="between"/>
      </c:valAx>
      <c:spPr>
        <a:noFill/>
        <a:ln w="25400">
          <a:noFill/>
        </a:ln>
      </c:spPr>
    </c:plotArea>
    <c:legend>
      <c:legendPos val="r"/>
      <c:layout>
        <c:manualLayout>
          <c:xMode val="edge"/>
          <c:yMode val="edge"/>
          <c:x val="0.91413148556430446"/>
          <c:y val="0.49445957880857316"/>
          <c:w val="8.0771863517060338E-2"/>
          <c:h val="7.4076451344055938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oddHeader>&amp;A</c:oddHeader>
      <c:oddFooter>Page &amp;P</c:oddFooter>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dPt>
            <c:idx val="0"/>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0-EDEB-4C28-8510-8781B337134C}"/>
              </c:ext>
            </c:extLst>
          </c:dPt>
          <c:dPt>
            <c:idx val="1"/>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1-EDEB-4C28-8510-8781B337134C}"/>
              </c:ext>
            </c:extLst>
          </c:dPt>
          <c:dPt>
            <c:idx val="2"/>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2-EDEB-4C28-8510-8781B337134C}"/>
              </c:ext>
            </c:extLst>
          </c:dPt>
          <c:cat>
            <c:strRef>
              <c:f>CA!$AG$147:$AG$153</c:f>
              <c:strCache>
                <c:ptCount val="7"/>
                <c:pt idx="0">
                  <c:v>Paraguay</c:v>
                </c:pt>
                <c:pt idx="1">
                  <c:v>Guatemala </c:v>
                </c:pt>
                <c:pt idx="2">
                  <c:v>Honduras *</c:v>
                </c:pt>
                <c:pt idx="3">
                  <c:v>Bolivia</c:v>
                </c:pt>
                <c:pt idx="4">
                  <c:v>El Salvador</c:v>
                </c:pt>
                <c:pt idx="5">
                  <c:v>Colombia </c:v>
                </c:pt>
                <c:pt idx="6">
                  <c:v>Africa/central</c:v>
                </c:pt>
              </c:strCache>
            </c:strRef>
          </c:cat>
          <c:val>
            <c:numRef>
              <c:f>CA!$AQ$147:$AQ$153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EDEB-4C28-8510-8781B337134C}"/>
            </c:ext>
          </c:extLst>
        </c:ser>
        <c:dLbls>
          <c:showLegendKey val="0"/>
          <c:showVal val="0"/>
          <c:showCatName val="0"/>
          <c:showSerName val="0"/>
          <c:showPercent val="0"/>
          <c:showBubbleSize val="0"/>
        </c:dLbls>
        <c:gapWidth val="150"/>
        <c:axId val="1115262447"/>
        <c:axId val="1"/>
      </c:barChart>
      <c:catAx>
        <c:axId val="1115262447"/>
        <c:scaling>
          <c:orientation val="minMax"/>
        </c:scaling>
        <c:delete val="0"/>
        <c:axPos val="b"/>
        <c:numFmt formatCode="General" sourceLinked="1"/>
        <c:majorTickMark val="out"/>
        <c:minorTickMark val="none"/>
        <c:tickLblPos val="low"/>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115262447"/>
        <c:crosses val="autoZero"/>
        <c:crossBetween val="between"/>
      </c:valAx>
      <c:spPr>
        <a:noFill/>
        <a:ln w="25400">
          <a:noFill/>
        </a:ln>
      </c:spPr>
    </c:plotArea>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06572178477693"/>
          <c:y val="7.9274133795476528E-2"/>
          <c:w val="0.5497268241469816"/>
          <c:h val="0.65756797146768142"/>
        </c:manualLayout>
      </c:layout>
      <c:pieChart>
        <c:varyColors val="1"/>
        <c:ser>
          <c:idx val="0"/>
          <c:order val="0"/>
          <c:spPr>
            <a:solidFill>
              <a:srgbClr val="9999FF"/>
            </a:solidFill>
            <a:ln w="12700">
              <a:solidFill>
                <a:srgbClr val="000000"/>
              </a:solidFill>
              <a:prstDash val="solid"/>
            </a:ln>
          </c:spPr>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1D73-4980-B97A-FD63996CA10C}"/>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1D73-4980-B97A-FD63996CA10C}"/>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1D73-4980-B97A-FD63996CA10C}"/>
              </c:ext>
            </c:extLst>
          </c:dPt>
          <c:dLbls>
            <c:dLbl>
              <c:idx val="0"/>
              <c:layout>
                <c:manualLayout>
                  <c:x val="2.0718320209973752E-2"/>
                  <c:y val="-7.4165442238380494E-2"/>
                </c:manualLayout>
              </c:layout>
              <c:spPr>
                <a:noFill/>
                <a:ln w="25400">
                  <a:noFill/>
                </a:ln>
              </c:spPr>
              <c:txPr>
                <a:bodyPr/>
                <a:lstStyle/>
                <a:p>
                  <a:pPr>
                    <a:defRPr sz="1000" b="0" i="0" u="none" strike="noStrike" baseline="0">
                      <a:solidFill>
                        <a:srgbClr val="000000"/>
                      </a:solidFill>
                      <a:latin typeface="Trebuchet MS"/>
                      <a:ea typeface="Trebuchet MS"/>
                      <a:cs typeface="Trebuchet M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73-4980-B97A-FD63996CA10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CA!$B$323:$B$325</c:f>
              <c:strCache>
                <c:ptCount val="3"/>
                <c:pt idx="0">
                  <c:v>Tigo (MIC)</c:v>
                </c:pt>
                <c:pt idx="1">
                  <c:v>Claro (AMX)</c:v>
                </c:pt>
                <c:pt idx="2">
                  <c:v>TEF</c:v>
                </c:pt>
              </c:strCache>
            </c:strRef>
          </c:cat>
          <c:val>
            <c:numRef>
              <c:f>CA!$C$323:$C$325</c:f>
              <c:numCache>
                <c:formatCode>0%</c:formatCode>
                <c:ptCount val="3"/>
                <c:pt idx="0">
                  <c:v>0.53800000000000003</c:v>
                </c:pt>
                <c:pt idx="1">
                  <c:v>0.26</c:v>
                </c:pt>
                <c:pt idx="2">
                  <c:v>0.20199999999999996</c:v>
                </c:pt>
              </c:numCache>
            </c:numRef>
          </c:val>
          <c:extLst>
            <c:ext xmlns:c16="http://schemas.microsoft.com/office/drawing/2014/chart" uri="{C3380CC4-5D6E-409C-BE32-E72D297353CC}">
              <c16:uniqueId val="{00000003-1D73-4980-B97A-FD63996CA10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9430183727034122"/>
          <c:y val="0.48668298815589228"/>
          <c:w val="6.8573678290213713E-2"/>
          <c:h val="3.0001102803326019E-2"/>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06572178477693"/>
          <c:y val="7.9274133795476528E-2"/>
          <c:w val="0.5497268241469816"/>
          <c:h val="0.65756797146768142"/>
        </c:manualLayout>
      </c:layout>
      <c:pieChart>
        <c:varyColors val="1"/>
        <c:ser>
          <c:idx val="0"/>
          <c:order val="0"/>
          <c:spPr>
            <a:solidFill>
              <a:srgbClr val="9999FF"/>
            </a:solidFill>
            <a:ln w="12700">
              <a:solidFill>
                <a:srgbClr val="000000"/>
              </a:solidFill>
              <a:prstDash val="solid"/>
            </a:ln>
          </c:spPr>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A731-41A0-A41B-7288082336DB}"/>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A731-41A0-A41B-7288082336DB}"/>
              </c:ext>
            </c:extLst>
          </c:dPt>
          <c:dLbls>
            <c:dLbl>
              <c:idx val="0"/>
              <c:layout>
                <c:manualLayout>
                  <c:x val="2.0718320209973752E-2"/>
                  <c:y val="-7.4165442238380494E-2"/>
                </c:manualLayout>
              </c:layout>
              <c:spPr>
                <a:noFill/>
                <a:ln w="25400">
                  <a:noFill/>
                </a:ln>
              </c:spPr>
              <c:txPr>
                <a:bodyPr/>
                <a:lstStyle/>
                <a:p>
                  <a:pPr>
                    <a:defRPr sz="1000" b="0" i="0" u="none" strike="noStrike" baseline="0">
                      <a:solidFill>
                        <a:srgbClr val="000000"/>
                      </a:solidFill>
                      <a:latin typeface="Trebuchet MS"/>
                      <a:ea typeface="Trebuchet MS"/>
                      <a:cs typeface="Trebuchet M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31-41A0-A41B-7288082336D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CA!$B$329:$B$330</c:f>
              <c:strCache>
                <c:ptCount val="2"/>
                <c:pt idx="0">
                  <c:v>Tigo (MIC)</c:v>
                </c:pt>
                <c:pt idx="1">
                  <c:v>Claro (AMX)</c:v>
                </c:pt>
              </c:strCache>
            </c:strRef>
          </c:cat>
          <c:val>
            <c:numRef>
              <c:f>CA!$C$329:$C$330</c:f>
              <c:numCache>
                <c:formatCode>0%</c:formatCode>
                <c:ptCount val="2"/>
                <c:pt idx="0">
                  <c:v>0.65400000000000003</c:v>
                </c:pt>
                <c:pt idx="1">
                  <c:v>0.34599999999999997</c:v>
                </c:pt>
              </c:numCache>
            </c:numRef>
          </c:val>
          <c:extLst>
            <c:ext xmlns:c16="http://schemas.microsoft.com/office/drawing/2014/chart" uri="{C3380CC4-5D6E-409C-BE32-E72D297353CC}">
              <c16:uniqueId val="{00000002-A731-41A0-A41B-7288082336D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573003374578178"/>
          <c:y val="0.48668298815589228"/>
          <c:w val="5.4287589051368601E-2"/>
          <c:h val="3.0001102803326019E-2"/>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CA!$AG$181</c:f>
              <c:strCache>
                <c:ptCount val="1"/>
                <c:pt idx="0">
                  <c:v>Central America</c:v>
                </c:pt>
              </c:strCache>
            </c:strRef>
          </c:tx>
          <c:spPr>
            <a:ln w="25400">
              <a:solidFill>
                <a:srgbClr val="333399"/>
              </a:solidFill>
              <a:prstDash val="solid"/>
            </a:ln>
          </c:spPr>
          <c:marker>
            <c:symbol val="none"/>
          </c:marker>
          <c:cat>
            <c:numRef>
              <c:f>CA!$AJ$180:$AO$180</c:f>
              <c:numCache>
                <c:formatCode>General</c:formatCode>
                <c:ptCount val="6"/>
                <c:pt idx="0">
                  <c:v>2013</c:v>
                </c:pt>
                <c:pt idx="1">
                  <c:v>2014</c:v>
                </c:pt>
                <c:pt idx="2">
                  <c:v>2015</c:v>
                </c:pt>
                <c:pt idx="3">
                  <c:v>2016</c:v>
                </c:pt>
                <c:pt idx="4">
                  <c:v>2017</c:v>
                </c:pt>
                <c:pt idx="5">
                  <c:v>2018</c:v>
                </c:pt>
              </c:numCache>
            </c:numRef>
          </c:cat>
          <c:val>
            <c:numRef>
              <c:f>CA!$AJ$181:$AO$181</c:f>
              <c:numCache>
                <c:formatCode>0%</c:formatCode>
                <c:ptCount val="6"/>
                <c:pt idx="0">
                  <c:v>0.54953938294472604</c:v>
                </c:pt>
                <c:pt idx="1">
                  <c:v>0.42940386272271525</c:v>
                </c:pt>
                <c:pt idx="2">
                  <c:v>0.37865715919882847</c:v>
                </c:pt>
                <c:pt idx="3">
                  <c:v>0.32120854630603557</c:v>
                </c:pt>
                <c:pt idx="4">
                  <c:v>0.30165275140039538</c:v>
                </c:pt>
                <c:pt idx="5">
                  <c:v>0.30771775907438431</c:v>
                </c:pt>
              </c:numCache>
            </c:numRef>
          </c:val>
          <c:smooth val="0"/>
          <c:extLst>
            <c:ext xmlns:c16="http://schemas.microsoft.com/office/drawing/2014/chart" uri="{C3380CC4-5D6E-409C-BE32-E72D297353CC}">
              <c16:uniqueId val="{00000000-DF48-452C-AEEA-F23DD31C10DB}"/>
            </c:ext>
          </c:extLst>
        </c:ser>
        <c:ser>
          <c:idx val="1"/>
          <c:order val="1"/>
          <c:tx>
            <c:strRef>
              <c:f>CA!$AG$182</c:f>
              <c:strCache>
                <c:ptCount val="1"/>
                <c:pt idx="0">
                  <c:v>South America ex-Colombia</c:v>
                </c:pt>
              </c:strCache>
            </c:strRef>
          </c:tx>
          <c:spPr>
            <a:ln w="25400">
              <a:solidFill>
                <a:srgbClr val="99CCFF"/>
              </a:solidFill>
              <a:prstDash val="solid"/>
            </a:ln>
          </c:spPr>
          <c:marker>
            <c:symbol val="none"/>
          </c:marker>
          <c:cat>
            <c:numRef>
              <c:f>CA!$AJ$180:$AO$180</c:f>
              <c:numCache>
                <c:formatCode>General</c:formatCode>
                <c:ptCount val="6"/>
                <c:pt idx="0">
                  <c:v>2013</c:v>
                </c:pt>
                <c:pt idx="1">
                  <c:v>2014</c:v>
                </c:pt>
                <c:pt idx="2">
                  <c:v>2015</c:v>
                </c:pt>
                <c:pt idx="3">
                  <c:v>2016</c:v>
                </c:pt>
                <c:pt idx="4">
                  <c:v>2017</c:v>
                </c:pt>
                <c:pt idx="5">
                  <c:v>2018</c:v>
                </c:pt>
              </c:numCache>
            </c:numRef>
          </c:cat>
          <c:val>
            <c:numRef>
              <c:f>CA!$AJ$182:$AO$182</c:f>
              <c:numCache>
                <c:formatCode>0%</c:formatCode>
                <c:ptCount val="6"/>
                <c:pt idx="0">
                  <c:v>0.63551553249961823</c:v>
                </c:pt>
                <c:pt idx="1">
                  <c:v>0.51842013728593217</c:v>
                </c:pt>
                <c:pt idx="2">
                  <c:v>0.39165926864726319</c:v>
                </c:pt>
                <c:pt idx="3">
                  <c:v>0.34763765260959967</c:v>
                </c:pt>
                <c:pt idx="4">
                  <c:v>0.38937043973198382</c:v>
                </c:pt>
                <c:pt idx="5">
                  <c:v>0.44955407762887784</c:v>
                </c:pt>
              </c:numCache>
            </c:numRef>
          </c:val>
          <c:smooth val="0"/>
          <c:extLst>
            <c:ext xmlns:c16="http://schemas.microsoft.com/office/drawing/2014/chart" uri="{C3380CC4-5D6E-409C-BE32-E72D297353CC}">
              <c16:uniqueId val="{00000001-DF48-452C-AEEA-F23DD31C10DB}"/>
            </c:ext>
          </c:extLst>
        </c:ser>
        <c:dLbls>
          <c:showLegendKey val="0"/>
          <c:showVal val="0"/>
          <c:showCatName val="0"/>
          <c:showSerName val="0"/>
          <c:showPercent val="0"/>
          <c:showBubbleSize val="0"/>
        </c:dLbls>
        <c:smooth val="0"/>
        <c:axId val="1115267247"/>
        <c:axId val="1"/>
      </c:lineChart>
      <c:catAx>
        <c:axId val="1115267247"/>
        <c:scaling>
          <c:orientation val="minMax"/>
        </c:scaling>
        <c:delete val="0"/>
        <c:axPos val="b"/>
        <c:numFmt formatCode="General" sourceLinked="1"/>
        <c:majorTickMark val="out"/>
        <c:minorTickMark val="none"/>
        <c:tickLblPos val="low"/>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115267247"/>
        <c:crosses val="autoZero"/>
        <c:crossBetween val="between"/>
      </c:valAx>
      <c:spPr>
        <a:noFill/>
        <a:ln w="25400">
          <a:noFill/>
        </a:ln>
      </c:spPr>
    </c:plotArea>
    <c:legend>
      <c:legendPos val="r"/>
      <c:layout>
        <c:manualLayout>
          <c:xMode val="edge"/>
          <c:yMode val="edge"/>
          <c:x val="0.16984939114370362"/>
          <c:y val="0.48197395780072944"/>
          <c:w val="0.23050972705665013"/>
          <c:h val="2.3196645873811261E-2"/>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000080"/>
            </a:solidFill>
            <a:ln w="25400">
              <a:noFill/>
            </a:ln>
          </c:spPr>
          <c:invertIfNegative val="0"/>
          <c:dPt>
            <c:idx val="0"/>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0-82B5-4257-BEB6-89F08DDA4B6C}"/>
              </c:ext>
            </c:extLst>
          </c:dPt>
          <c:dPt>
            <c:idx val="1"/>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1-82B5-4257-BEB6-89F08DDA4B6C}"/>
              </c:ext>
            </c:extLst>
          </c:dPt>
          <c:dPt>
            <c:idx val="2"/>
            <c:invertIfNegative val="0"/>
            <c:bubble3D val="0"/>
            <c:spPr>
              <a:solidFill>
                <a:schemeClr val="tx2">
                  <a:lumMod val="60000"/>
                  <a:lumOff val="40000"/>
                </a:schemeClr>
              </a:solidFill>
              <a:ln w="25400">
                <a:noFill/>
              </a:ln>
            </c:spPr>
            <c:extLst>
              <c:ext xmlns:c16="http://schemas.microsoft.com/office/drawing/2014/chart" uri="{C3380CC4-5D6E-409C-BE32-E72D297353CC}">
                <c16:uniqueId val="{00000002-82B5-4257-BEB6-89F08DDA4B6C}"/>
              </c:ext>
            </c:extLst>
          </c:dPt>
          <c:cat>
            <c:strRef>
              <c:f>CA!$AG$147:$AG$153</c:f>
              <c:strCache>
                <c:ptCount val="7"/>
                <c:pt idx="0">
                  <c:v>Paraguay</c:v>
                </c:pt>
                <c:pt idx="1">
                  <c:v>Guatemala </c:v>
                </c:pt>
                <c:pt idx="2">
                  <c:v>Honduras *</c:v>
                </c:pt>
                <c:pt idx="3">
                  <c:v>Bolivia</c:v>
                </c:pt>
                <c:pt idx="4">
                  <c:v>El Salvador</c:v>
                </c:pt>
                <c:pt idx="5">
                  <c:v>Colombia </c:v>
                </c:pt>
                <c:pt idx="6">
                  <c:v>Africa/central</c:v>
                </c:pt>
              </c:strCache>
            </c:strRef>
          </c:cat>
          <c:val>
            <c:numRef>
              <c:f>CA!$AQ$147:$AQ$153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2B5-4257-BEB6-89F08DDA4B6C}"/>
            </c:ext>
          </c:extLst>
        </c:ser>
        <c:dLbls>
          <c:showLegendKey val="0"/>
          <c:showVal val="0"/>
          <c:showCatName val="0"/>
          <c:showSerName val="0"/>
          <c:showPercent val="0"/>
          <c:showBubbleSize val="0"/>
        </c:dLbls>
        <c:gapWidth val="150"/>
        <c:axId val="1115267647"/>
        <c:axId val="1"/>
      </c:barChart>
      <c:catAx>
        <c:axId val="1115267647"/>
        <c:scaling>
          <c:orientation val="minMax"/>
        </c:scaling>
        <c:delete val="0"/>
        <c:axPos val="l"/>
        <c:numFmt formatCode="General" sourceLinked="1"/>
        <c:majorTickMark val="out"/>
        <c:minorTickMark val="none"/>
        <c:tickLblPos val="low"/>
        <c:txPr>
          <a:bodyPr rot="0" vert="horz"/>
          <a:lstStyle/>
          <a:p>
            <a:pPr>
              <a:defRPr sz="14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max val="0.5"/>
        </c:scaling>
        <c:delete val="0"/>
        <c:axPos val="b"/>
        <c:majorGridlines>
          <c:spPr>
            <a:ln w="3175">
              <a:solidFill>
                <a:srgbClr val="C0C0C0"/>
              </a:solidFill>
              <a:prstDash val="solid"/>
            </a:ln>
          </c:spPr>
        </c:majorGridlines>
        <c:numFmt formatCode="0%" sourceLinked="1"/>
        <c:majorTickMark val="out"/>
        <c:minorTickMark val="none"/>
        <c:tickLblPos val="nextTo"/>
        <c:txPr>
          <a:bodyPr rot="0" vert="horz"/>
          <a:lstStyle/>
          <a:p>
            <a:pPr>
              <a:defRPr sz="1400" b="0" i="0" u="none" strike="noStrike" baseline="0">
                <a:solidFill>
                  <a:srgbClr val="000000"/>
                </a:solidFill>
                <a:latin typeface="Trebuchet MS"/>
                <a:ea typeface="Trebuchet MS"/>
                <a:cs typeface="Trebuchet MS"/>
              </a:defRPr>
            </a:pPr>
            <a:endParaRPr lang="en-US"/>
          </a:p>
        </c:txPr>
        <c:crossAx val="1115267647"/>
        <c:crosses val="autoZero"/>
        <c:crossBetween val="between"/>
      </c:valAx>
      <c:spPr>
        <a:noFill/>
        <a:ln w="25400">
          <a:noFill/>
        </a:ln>
      </c:spPr>
    </c:plotArea>
    <c:plotVisOnly val="1"/>
    <c:dispBlanksAs val="gap"/>
    <c:showDLblsOverMax val="0"/>
  </c:chart>
  <c:spPr>
    <a:ln w="25400">
      <a:noFill/>
    </a:ln>
    <a:effectLst/>
  </c:spPr>
  <c:txPr>
    <a:bodyPr/>
    <a:lstStyle/>
    <a:p>
      <a:pPr>
        <a:defRPr sz="14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06572178477693"/>
          <c:y val="7.9274133795476528E-2"/>
          <c:w val="0.5497268241469816"/>
          <c:h val="0.65756797146768142"/>
        </c:manualLayout>
      </c:layout>
      <c:pieChart>
        <c:varyColors val="1"/>
        <c:ser>
          <c:idx val="0"/>
          <c:order val="0"/>
          <c:spPr>
            <a:solidFill>
              <a:srgbClr val="9999FF"/>
            </a:solidFill>
            <a:ln w="12700">
              <a:solidFill>
                <a:srgbClr val="000000"/>
              </a:solidFill>
              <a:prstDash val="solid"/>
            </a:ln>
          </c:spPr>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99F0-4AE6-A1E3-732E15107BDB}"/>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99F0-4AE6-A1E3-732E15107BDB}"/>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99F0-4AE6-A1E3-732E15107BDB}"/>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99F0-4AE6-A1E3-732E15107BDB}"/>
              </c:ext>
            </c:extLst>
          </c:dPt>
          <c:dLbls>
            <c:dLbl>
              <c:idx val="0"/>
              <c:layout>
                <c:manualLayout>
                  <c:x val="2.0718320209973752E-2"/>
                  <c:y val="-7.4165442238380494E-2"/>
                </c:manualLayout>
              </c:layout>
              <c:spPr>
                <a:noFill/>
                <a:ln w="25400">
                  <a:noFill/>
                </a:ln>
              </c:spPr>
              <c:txPr>
                <a:bodyPr/>
                <a:lstStyle/>
                <a:p>
                  <a:pPr>
                    <a:defRPr sz="1000" b="0" i="0" u="none" strike="noStrike" baseline="0">
                      <a:solidFill>
                        <a:srgbClr val="000000"/>
                      </a:solidFill>
                      <a:latin typeface="Trebuchet MS"/>
                      <a:ea typeface="Trebuchet MS"/>
                      <a:cs typeface="Trebuchet M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F0-4AE6-A1E3-732E15107BD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SA!$B$141:$B$144</c:f>
              <c:strCache>
                <c:ptCount val="4"/>
                <c:pt idx="0">
                  <c:v>Tigo (MIC)</c:v>
                </c:pt>
                <c:pt idx="1">
                  <c:v>CTI (AMX)</c:v>
                </c:pt>
                <c:pt idx="2">
                  <c:v>Nucleo (TEO)</c:v>
                </c:pt>
                <c:pt idx="3">
                  <c:v>VOX</c:v>
                </c:pt>
              </c:strCache>
            </c:strRef>
          </c:cat>
          <c:val>
            <c:numRef>
              <c:f>SA!$C$141:$C$144</c:f>
              <c:numCache>
                <c:formatCode>0%</c:formatCode>
                <c:ptCount val="4"/>
                <c:pt idx="0">
                  <c:v>0.57799999999999996</c:v>
                </c:pt>
                <c:pt idx="1">
                  <c:v>7.0000000000000007E-2</c:v>
                </c:pt>
                <c:pt idx="2">
                  <c:v>0.28999999999999998</c:v>
                </c:pt>
                <c:pt idx="3">
                  <c:v>7.0000000000000007E-2</c:v>
                </c:pt>
              </c:numCache>
            </c:numRef>
          </c:val>
          <c:extLst>
            <c:ext xmlns:c16="http://schemas.microsoft.com/office/drawing/2014/chart" uri="{C3380CC4-5D6E-409C-BE32-E72D297353CC}">
              <c16:uniqueId val="{00000004-99F0-4AE6-A1E3-732E15107BD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2817411264452154"/>
          <c:y val="0.4169626897903585"/>
          <c:w val="0.1005778041185712"/>
          <c:h val="3.0509097755185677E-2"/>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76624678956922"/>
          <c:y val="0.2"/>
          <c:w val="0.22876969099471522"/>
          <c:h val="0.66"/>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7785-43FF-9A0C-19BEC6AAB865}"/>
              </c:ext>
            </c:extLst>
          </c:dPt>
          <c:dPt>
            <c:idx val="1"/>
            <c:bubble3D val="0"/>
            <c:spPr>
              <a:solidFill>
                <a:srgbClr val="9999FF"/>
              </a:solidFill>
              <a:ln w="25400">
                <a:noFill/>
              </a:ln>
            </c:spPr>
            <c:extLst>
              <c:ext xmlns:c16="http://schemas.microsoft.com/office/drawing/2014/chart" uri="{C3380CC4-5D6E-409C-BE32-E72D297353CC}">
                <c16:uniqueId val="{00000001-7785-43FF-9A0C-19BEC6AAB865}"/>
              </c:ext>
            </c:extLst>
          </c:dPt>
          <c:dPt>
            <c:idx val="2"/>
            <c:bubble3D val="0"/>
            <c:spPr>
              <a:solidFill>
                <a:srgbClr val="3366FF"/>
              </a:solidFill>
              <a:ln w="25400">
                <a:noFill/>
              </a:ln>
            </c:spPr>
            <c:extLst>
              <c:ext xmlns:c16="http://schemas.microsoft.com/office/drawing/2014/chart" uri="{C3380CC4-5D6E-409C-BE32-E72D297353CC}">
                <c16:uniqueId val="{00000002-7785-43FF-9A0C-19BEC6AAB86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SA!$B$147:$B$149</c:f>
              <c:strCache>
                <c:ptCount val="3"/>
                <c:pt idx="0">
                  <c:v>Tigo (MIC)</c:v>
                </c:pt>
                <c:pt idx="1">
                  <c:v>Entel</c:v>
                </c:pt>
                <c:pt idx="2">
                  <c:v>Nuevatel</c:v>
                </c:pt>
              </c:strCache>
            </c:strRef>
          </c:cat>
          <c:val>
            <c:numRef>
              <c:f>SA!$C$147:$C$149</c:f>
              <c:numCache>
                <c:formatCode>0%</c:formatCode>
                <c:ptCount val="3"/>
                <c:pt idx="0">
                  <c:v>0.36672802468942395</c:v>
                </c:pt>
                <c:pt idx="1">
                  <c:v>0.45</c:v>
                </c:pt>
                <c:pt idx="2">
                  <c:v>0.18327197531057599</c:v>
                </c:pt>
              </c:numCache>
            </c:numRef>
          </c:val>
          <c:extLst>
            <c:ext xmlns:c16="http://schemas.microsoft.com/office/drawing/2014/chart" uri="{C3380CC4-5D6E-409C-BE32-E72D297353CC}">
              <c16:uniqueId val="{00000003-7785-43FF-9A0C-19BEC6AAB86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5273636600632254"/>
          <c:y val="0.39201364829396323"/>
          <c:w val="9.9227885810320049E-2"/>
          <c:h val="0.25600892388451435"/>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59221804617422"/>
          <c:y val="0.25233702435251248"/>
          <c:w val="0.20918402088651428"/>
          <c:h val="0.57476766658072287"/>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73DE-4235-877E-3597427C24D0}"/>
              </c:ext>
            </c:extLst>
          </c:dPt>
          <c:dPt>
            <c:idx val="1"/>
            <c:bubble3D val="0"/>
            <c:spPr>
              <a:solidFill>
                <a:srgbClr val="9999FF"/>
              </a:solidFill>
              <a:ln w="25400">
                <a:noFill/>
              </a:ln>
            </c:spPr>
            <c:extLst>
              <c:ext xmlns:c16="http://schemas.microsoft.com/office/drawing/2014/chart" uri="{C3380CC4-5D6E-409C-BE32-E72D297353CC}">
                <c16:uniqueId val="{00000001-73DE-4235-877E-3597427C24D0}"/>
              </c:ext>
            </c:extLst>
          </c:dPt>
          <c:dPt>
            <c:idx val="2"/>
            <c:bubble3D val="0"/>
            <c:spPr>
              <a:solidFill>
                <a:srgbClr val="3366FF"/>
              </a:solidFill>
              <a:ln w="25400">
                <a:noFill/>
              </a:ln>
            </c:spPr>
            <c:extLst>
              <c:ext xmlns:c16="http://schemas.microsoft.com/office/drawing/2014/chart" uri="{C3380CC4-5D6E-409C-BE32-E72D297353CC}">
                <c16:uniqueId val="{00000002-73DE-4235-877E-3597427C24D0}"/>
              </c:ext>
            </c:extLst>
          </c:dPt>
          <c:dPt>
            <c:idx val="3"/>
            <c:bubble3D val="0"/>
            <c:spPr>
              <a:solidFill>
                <a:srgbClr val="CCCCFF"/>
              </a:solidFill>
              <a:ln w="25400">
                <a:noFill/>
              </a:ln>
            </c:spPr>
            <c:extLst>
              <c:ext xmlns:c16="http://schemas.microsoft.com/office/drawing/2014/chart" uri="{C3380CC4-5D6E-409C-BE32-E72D297353CC}">
                <c16:uniqueId val="{00000003-73DE-4235-877E-3597427C24D0}"/>
              </c:ext>
            </c:extLst>
          </c:dPt>
          <c:dPt>
            <c:idx val="4"/>
            <c:bubble3D val="0"/>
            <c:spPr>
              <a:solidFill>
                <a:srgbClr val="969696"/>
              </a:solidFill>
              <a:ln w="25400">
                <a:noFill/>
              </a:ln>
            </c:spPr>
            <c:extLst>
              <c:ext xmlns:c16="http://schemas.microsoft.com/office/drawing/2014/chart" uri="{C3380CC4-5D6E-409C-BE32-E72D297353CC}">
                <c16:uniqueId val="{00000004-73DE-4235-877E-3597427C24D0}"/>
              </c:ext>
            </c:extLst>
          </c:dPt>
          <c:dPt>
            <c:idx val="5"/>
            <c:bubble3D val="0"/>
            <c:spPr>
              <a:solidFill>
                <a:srgbClr val="C0C0C0"/>
              </a:solidFill>
              <a:ln w="3175">
                <a:solidFill>
                  <a:srgbClr val="C0C0C0"/>
                </a:solidFill>
                <a:prstDash val="solid"/>
              </a:ln>
            </c:spPr>
            <c:extLst>
              <c:ext xmlns:c16="http://schemas.microsoft.com/office/drawing/2014/chart" uri="{C3380CC4-5D6E-409C-BE32-E72D297353CC}">
                <c16:uniqueId val="{00000005-73DE-4235-877E-3597427C24D0}"/>
              </c:ext>
            </c:extLst>
          </c:dPt>
          <c:dLbls>
            <c:dLbl>
              <c:idx val="3"/>
              <c:layout>
                <c:manualLayout>
                  <c:x val="-5.6034022216110223E-2"/>
                  <c:y val="-3.6748489124417562E-2"/>
                </c:manualLayout>
              </c:layout>
              <c:numFmt formatCode="0.0%" sourceLinked="0"/>
              <c:spPr>
                <a:noFill/>
                <a:ln w="25400">
                  <a:noFill/>
                </a:ln>
              </c:spPr>
              <c:txPr>
                <a:bodyPr/>
                <a:lstStyle/>
                <a:p>
                  <a:pPr>
                    <a:defRPr sz="800" b="0" i="0" u="none" strike="noStrike" baseline="0">
                      <a:solidFill>
                        <a:srgbClr val="000000"/>
                      </a:solidFill>
                      <a:latin typeface="Trebuchet MS"/>
                      <a:ea typeface="Trebuchet MS"/>
                      <a:cs typeface="Trebuchet M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E-4235-877E-3597427C24D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Africa!$B$185:$B$190</c:f>
              <c:strCache>
                <c:ptCount val="6"/>
                <c:pt idx="0">
                  <c:v>Tigo</c:v>
                </c:pt>
                <c:pt idx="1">
                  <c:v>Areeba (MTN)</c:v>
                </c:pt>
                <c:pt idx="2">
                  <c:v>Vodafone</c:v>
                </c:pt>
                <c:pt idx="3">
                  <c:v>Kasapa </c:v>
                </c:pt>
                <c:pt idx="4">
                  <c:v>Zain</c:v>
                </c:pt>
                <c:pt idx="5">
                  <c:v>Glo Mobile</c:v>
                </c:pt>
              </c:strCache>
            </c:strRef>
          </c:cat>
          <c:val>
            <c:numRef>
              <c:f>Africa!$C$185:$C$190</c:f>
              <c:numCache>
                <c:formatCode>0%</c:formatCode>
                <c:ptCount val="6"/>
                <c:pt idx="0">
                  <c:v>0.23146881287726359</c:v>
                </c:pt>
                <c:pt idx="1">
                  <c:v>0.54543259557344059</c:v>
                </c:pt>
                <c:pt idx="2">
                  <c:v>0.14374245472837022</c:v>
                </c:pt>
                <c:pt idx="3">
                  <c:v>2.3259557344064385E-2</c:v>
                </c:pt>
                <c:pt idx="4">
                  <c:v>5.6096579476861169E-2</c:v>
                </c:pt>
                <c:pt idx="5">
                  <c:v>0</c:v>
                </c:pt>
              </c:numCache>
            </c:numRef>
          </c:val>
          <c:extLst>
            <c:ext xmlns:c16="http://schemas.microsoft.com/office/drawing/2014/chart" uri="{C3380CC4-5D6E-409C-BE32-E72D297353CC}">
              <c16:uniqueId val="{00000006-73DE-4235-877E-3597427C24D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20124473077231"/>
          <c:y val="0.29589061832387231"/>
          <c:w val="0.13570200031814206"/>
          <c:h val="0.66669059390831964"/>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04332235545445E-2"/>
          <c:y val="0.17229729729729729"/>
          <c:w val="0.48177205854303623"/>
          <c:h val="0.625"/>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F1FB-4566-BBD9-D91D7F604019}"/>
              </c:ext>
            </c:extLst>
          </c:dPt>
          <c:dPt>
            <c:idx val="1"/>
            <c:bubble3D val="0"/>
            <c:spPr>
              <a:solidFill>
                <a:srgbClr val="9999FF"/>
              </a:solidFill>
              <a:ln w="25400">
                <a:noFill/>
              </a:ln>
            </c:spPr>
            <c:extLst>
              <c:ext xmlns:c16="http://schemas.microsoft.com/office/drawing/2014/chart" uri="{C3380CC4-5D6E-409C-BE32-E72D297353CC}">
                <c16:uniqueId val="{00000001-F1FB-4566-BBD9-D91D7F604019}"/>
              </c:ext>
            </c:extLst>
          </c:dPt>
          <c:dPt>
            <c:idx val="2"/>
            <c:bubble3D val="0"/>
            <c:spPr>
              <a:solidFill>
                <a:srgbClr val="3366FF"/>
              </a:solidFill>
              <a:ln w="25400">
                <a:noFill/>
              </a:ln>
            </c:spPr>
            <c:extLst>
              <c:ext xmlns:c16="http://schemas.microsoft.com/office/drawing/2014/chart" uri="{C3380CC4-5D6E-409C-BE32-E72D297353CC}">
                <c16:uniqueId val="{00000002-F1FB-4566-BBD9-D91D7F604019}"/>
              </c:ext>
            </c:extLst>
          </c:dPt>
          <c:dPt>
            <c:idx val="3"/>
            <c:bubble3D val="0"/>
            <c:spPr>
              <a:solidFill>
                <a:srgbClr val="CCCCFF"/>
              </a:solidFill>
              <a:ln w="3175">
                <a:solidFill>
                  <a:srgbClr val="C0C0C0"/>
                </a:solidFill>
                <a:prstDash val="solid"/>
              </a:ln>
            </c:spPr>
            <c:extLst>
              <c:ext xmlns:c16="http://schemas.microsoft.com/office/drawing/2014/chart" uri="{C3380CC4-5D6E-409C-BE32-E72D297353CC}">
                <c16:uniqueId val="{00000003-F1FB-4566-BBD9-D91D7F60401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F1FB-4566-BBD9-D91D7F604019}"/>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Africa!$B$193:$B$197</c:f>
              <c:strCache>
                <c:ptCount val="5"/>
                <c:pt idx="0">
                  <c:v>Tigo (MIC)</c:v>
                </c:pt>
                <c:pt idx="1">
                  <c:v>Celtel (MTC)</c:v>
                </c:pt>
                <c:pt idx="2">
                  <c:v>Africel (Lintel)</c:v>
                </c:pt>
                <c:pt idx="3">
                  <c:v>Comium</c:v>
                </c:pt>
                <c:pt idx="4">
                  <c:v>Datacell (Gateway)</c:v>
                </c:pt>
              </c:strCache>
            </c:strRef>
          </c:cat>
          <c:val>
            <c:numRef>
              <c:f>Africa!$C$193:$C$197</c:f>
              <c:numCache>
                <c:formatCode>0%</c:formatCode>
                <c:ptCount val="5"/>
                <c:pt idx="0">
                  <c:v>0</c:v>
                </c:pt>
                <c:pt idx="1">
                  <c:v>0.78</c:v>
                </c:pt>
                <c:pt idx="2">
                  <c:v>1.4999999999999999E-2</c:v>
                </c:pt>
                <c:pt idx="3">
                  <c:v>0</c:v>
                </c:pt>
                <c:pt idx="4">
                  <c:v>1.4999999999999999E-2</c:v>
                </c:pt>
              </c:numCache>
            </c:numRef>
          </c:val>
          <c:extLst>
            <c:ext xmlns:c16="http://schemas.microsoft.com/office/drawing/2014/chart" uri="{C3380CC4-5D6E-409C-BE32-E72D297353CC}">
              <c16:uniqueId val="{00000005-F1FB-4566-BBD9-D91D7F60401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768163000243526"/>
          <c:y val="0.20216287153295029"/>
          <c:w val="0.24274670563086834"/>
          <c:h val="0.27494112222458678"/>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33858267716534"/>
          <c:y val="0.15348837209302327"/>
          <c:w val="0.44488188976377951"/>
          <c:h val="0.52558139534883719"/>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DD25-448A-A510-EBF4B0B33984}"/>
              </c:ext>
            </c:extLst>
          </c:dPt>
          <c:dPt>
            <c:idx val="1"/>
            <c:bubble3D val="0"/>
            <c:spPr>
              <a:solidFill>
                <a:srgbClr val="9999FF"/>
              </a:solidFill>
              <a:ln w="25400">
                <a:noFill/>
              </a:ln>
            </c:spPr>
            <c:extLst>
              <c:ext xmlns:c16="http://schemas.microsoft.com/office/drawing/2014/chart" uri="{C3380CC4-5D6E-409C-BE32-E72D297353CC}">
                <c16:uniqueId val="{00000001-DD25-448A-A510-EBF4B0B33984}"/>
              </c:ext>
            </c:extLst>
          </c:dPt>
          <c:dPt>
            <c:idx val="2"/>
            <c:bubble3D val="0"/>
            <c:spPr>
              <a:solidFill>
                <a:srgbClr val="3366FF"/>
              </a:solidFill>
              <a:ln w="25400">
                <a:noFill/>
              </a:ln>
            </c:spPr>
            <c:extLst>
              <c:ext xmlns:c16="http://schemas.microsoft.com/office/drawing/2014/chart" uri="{C3380CC4-5D6E-409C-BE32-E72D297353CC}">
                <c16:uniqueId val="{00000002-DD25-448A-A510-EBF4B0B33984}"/>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Africa!$B$200:$B$202</c:f>
              <c:strCache>
                <c:ptCount val="3"/>
                <c:pt idx="0">
                  <c:v>Tigo (MIC)</c:v>
                </c:pt>
                <c:pt idx="1">
                  <c:v>Sonatel (Govt/Orange)</c:v>
                </c:pt>
                <c:pt idx="2">
                  <c:v>Expresso (Sudatel)</c:v>
                </c:pt>
              </c:strCache>
            </c:strRef>
          </c:cat>
          <c:val>
            <c:numRef>
              <c:f>Africa!$C$200:$C$202</c:f>
              <c:numCache>
                <c:formatCode>0%</c:formatCode>
                <c:ptCount val="3"/>
                <c:pt idx="0">
                  <c:v>0.3435355221665739</c:v>
                </c:pt>
                <c:pt idx="1">
                  <c:v>0.6564644778334261</c:v>
                </c:pt>
                <c:pt idx="2">
                  <c:v>0</c:v>
                </c:pt>
              </c:numCache>
            </c:numRef>
          </c:val>
          <c:extLst>
            <c:ext xmlns:c16="http://schemas.microsoft.com/office/drawing/2014/chart" uri="{C3380CC4-5D6E-409C-BE32-E72D297353CC}">
              <c16:uniqueId val="{00000003-DD25-448A-A510-EBF4B0B33984}"/>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8125942755179317"/>
          <c:y val="0.44075639382286519"/>
          <c:w val="0.50001680619962019"/>
          <c:h val="0.14815357382652755"/>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Analysis!$AE$306</c:f>
              <c:strCache>
                <c:ptCount val="1"/>
                <c:pt idx="0">
                  <c:v>El Sal</c:v>
                </c:pt>
              </c:strCache>
            </c:strRef>
          </c:tx>
          <c:spPr>
            <a:ln w="25400">
              <a:solidFill>
                <a:srgbClr val="000080"/>
              </a:solidFill>
              <a:prstDash val="solid"/>
            </a:ln>
          </c:spPr>
          <c:marker>
            <c:symbol val="none"/>
          </c:marker>
          <c:cat>
            <c:numRef>
              <c:f>Analysis!$AF$305:$BH$305</c:f>
              <c:numCache>
                <c:formatCode>mmm\-yy</c:formatCode>
                <c:ptCount val="29"/>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numCache>
            </c:numRef>
          </c:cat>
          <c:val>
            <c:numRef>
              <c:f>Analysis!$AF$306:$BH$306</c:f>
              <c:numCache>
                <c:formatCode>0%</c:formatCode>
                <c:ptCount val="29"/>
                <c:pt idx="0">
                  <c:v>-2.7331232288990703E-2</c:v>
                </c:pt>
                <c:pt idx="1">
                  <c:v>-4.3204177986442716E-2</c:v>
                </c:pt>
                <c:pt idx="2">
                  <c:v>-5.9464842623896175E-2</c:v>
                </c:pt>
                <c:pt idx="3">
                  <c:v>-7.3341703285206283E-2</c:v>
                </c:pt>
                <c:pt idx="4">
                  <c:v>-7.6558283333770016E-2</c:v>
                </c:pt>
                <c:pt idx="5">
                  <c:v>-9.0916193551747515E-2</c:v>
                </c:pt>
                <c:pt idx="6">
                  <c:v>-9.2191712692720418E-2</c:v>
                </c:pt>
                <c:pt idx="7">
                  <c:v>-8.8278619528619595E-2</c:v>
                </c:pt>
                <c:pt idx="8">
                  <c:v>-8.5172668708416888E-2</c:v>
                </c:pt>
                <c:pt idx="9">
                  <c:v>-8.6014078894939616E-2</c:v>
                </c:pt>
                <c:pt idx="10">
                  <c:v>-8.352711624301723E-2</c:v>
                </c:pt>
                <c:pt idx="11">
                  <c:v>-7.2256433699949052E-2</c:v>
                </c:pt>
                <c:pt idx="12">
                  <c:v>-5.9601927737087168E-2</c:v>
                </c:pt>
                <c:pt idx="13">
                  <c:v>-4.4851826326671285E-2</c:v>
                </c:pt>
                <c:pt idx="14">
                  <c:v>-3.4969906375390103E-2</c:v>
                </c:pt>
                <c:pt idx="15">
                  <c:v>-2.2242294230552018E-2</c:v>
                </c:pt>
                <c:pt idx="16">
                  <c:v>-1.7279046673287057E-2</c:v>
                </c:pt>
                <c:pt idx="17">
                  <c:v>-7.8207809321912958E-3</c:v>
                </c:pt>
                <c:pt idx="18">
                  <c:v>-1.5858827600127023E-3</c:v>
                </c:pt>
                <c:pt idx="19">
                  <c:v>2.048470859780771E-3</c:v>
                </c:pt>
                <c:pt idx="20">
                  <c:v>3.3477633477632107E-3</c:v>
                </c:pt>
                <c:pt idx="21">
                  <c:v>1.7002354172116041E-2</c:v>
                </c:pt>
                <c:pt idx="22">
                  <c:v>2.5314979001399784E-2</c:v>
                </c:pt>
                <c:pt idx="23">
                  <c:v>1.857971014492743E-2</c:v>
                </c:pt>
                <c:pt idx="24">
                  <c:v>2.1194047136487093E-2</c:v>
                </c:pt>
                <c:pt idx="25">
                  <c:v>2.3551142923112334E-2</c:v>
                </c:pt>
                <c:pt idx="26">
                  <c:v>2.564028527704787E-2</c:v>
                </c:pt>
                <c:pt idx="27">
                  <c:v>2.9647806004618804E-2</c:v>
                </c:pt>
                <c:pt idx="28">
                  <c:v>3.5541055549139555E-2</c:v>
                </c:pt>
              </c:numCache>
            </c:numRef>
          </c:val>
          <c:smooth val="0"/>
          <c:extLst>
            <c:ext xmlns:c16="http://schemas.microsoft.com/office/drawing/2014/chart" uri="{C3380CC4-5D6E-409C-BE32-E72D297353CC}">
              <c16:uniqueId val="{00000000-918B-4ED5-B85D-00F745EEA007}"/>
            </c:ext>
          </c:extLst>
        </c:ser>
        <c:ser>
          <c:idx val="1"/>
          <c:order val="1"/>
          <c:tx>
            <c:strRef>
              <c:f>Analysis!$AE$309</c:f>
              <c:strCache>
                <c:ptCount val="1"/>
                <c:pt idx="0">
                  <c:v>Guatemala (local fx)</c:v>
                </c:pt>
              </c:strCache>
            </c:strRef>
          </c:tx>
          <c:spPr>
            <a:ln w="25400">
              <a:solidFill>
                <a:srgbClr val="9999FF"/>
              </a:solidFill>
              <a:prstDash val="solid"/>
            </a:ln>
          </c:spPr>
          <c:marker>
            <c:symbol val="none"/>
          </c:marker>
          <c:cat>
            <c:numRef>
              <c:f>Analysis!$AF$305:$BH$305</c:f>
              <c:numCache>
                <c:formatCode>mmm\-yy</c:formatCode>
                <c:ptCount val="29"/>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numCache>
            </c:numRef>
          </c:cat>
          <c:val>
            <c:numRef>
              <c:f>Analysis!$AF$309:$BH$309</c:f>
              <c:numCache>
                <c:formatCode>0%</c:formatCode>
                <c:ptCount val="29"/>
                <c:pt idx="0">
                  <c:v>-1.5330380413681843E-2</c:v>
                </c:pt>
                <c:pt idx="1">
                  <c:v>-2.2288415862577904E-2</c:v>
                </c:pt>
                <c:pt idx="2">
                  <c:v>-2.8141734345107472E-2</c:v>
                </c:pt>
                <c:pt idx="3">
                  <c:v>-3.3958402429234424E-2</c:v>
                </c:pt>
                <c:pt idx="4">
                  <c:v>-2.8815444659058276E-2</c:v>
                </c:pt>
                <c:pt idx="5">
                  <c:v>-3.6679667452822917E-2</c:v>
                </c:pt>
                <c:pt idx="6">
                  <c:v>-3.0414331440435372E-2</c:v>
                </c:pt>
                <c:pt idx="7">
                  <c:v>-2.3072798757540092E-2</c:v>
                </c:pt>
                <c:pt idx="8">
                  <c:v>-2.1407601575314517E-2</c:v>
                </c:pt>
                <c:pt idx="9">
                  <c:v>-2.3576758942918552E-2</c:v>
                </c:pt>
                <c:pt idx="10">
                  <c:v>-1.5811375660701787E-2</c:v>
                </c:pt>
                <c:pt idx="11">
                  <c:v>-1.5182029021386545E-2</c:v>
                </c:pt>
                <c:pt idx="12">
                  <c:v>-9.860687914423294E-3</c:v>
                </c:pt>
                <c:pt idx="13">
                  <c:v>3.7208247382640725E-3</c:v>
                </c:pt>
                <c:pt idx="14">
                  <c:v>1.5629468051640005E-2</c:v>
                </c:pt>
                <c:pt idx="15">
                  <c:v>2.1126235860906339E-2</c:v>
                </c:pt>
                <c:pt idx="16">
                  <c:v>2.8340468233719385E-2</c:v>
                </c:pt>
                <c:pt idx="17">
                  <c:v>3.327807049053666E-2</c:v>
                </c:pt>
                <c:pt idx="18">
                  <c:v>3.492545726728169E-2</c:v>
                </c:pt>
                <c:pt idx="19">
                  <c:v>4.2775964703537284E-2</c:v>
                </c:pt>
                <c:pt idx="20">
                  <c:v>4.2348874101943101E-2</c:v>
                </c:pt>
                <c:pt idx="21">
                  <c:v>5.5912120990511793E-2</c:v>
                </c:pt>
                <c:pt idx="22">
                  <c:v>5.8799298328866545E-2</c:v>
                </c:pt>
                <c:pt idx="23">
                  <c:v>5.1949973100237079E-2</c:v>
                </c:pt>
                <c:pt idx="24">
                  <c:v>5.3977504660865705E-2</c:v>
                </c:pt>
                <c:pt idx="25">
                  <c:v>5.8439040309497425E-2</c:v>
                </c:pt>
                <c:pt idx="26">
                  <c:v>5.0386164864559824E-2</c:v>
                </c:pt>
                <c:pt idx="27">
                  <c:v>3.5996311448897034E-2</c:v>
                </c:pt>
                <c:pt idx="28">
                  <c:v>3.3820643580190657E-2</c:v>
                </c:pt>
              </c:numCache>
            </c:numRef>
          </c:val>
          <c:smooth val="0"/>
          <c:extLst>
            <c:ext xmlns:c16="http://schemas.microsoft.com/office/drawing/2014/chart" uri="{C3380CC4-5D6E-409C-BE32-E72D297353CC}">
              <c16:uniqueId val="{00000001-918B-4ED5-B85D-00F745EEA007}"/>
            </c:ext>
          </c:extLst>
        </c:ser>
        <c:dLbls>
          <c:showLegendKey val="0"/>
          <c:showVal val="0"/>
          <c:showCatName val="0"/>
          <c:showSerName val="0"/>
          <c:showPercent val="0"/>
          <c:showBubbleSize val="0"/>
        </c:dLbls>
        <c:smooth val="0"/>
        <c:axId val="1888808447"/>
        <c:axId val="1"/>
      </c:lineChart>
      <c:dateAx>
        <c:axId val="1888808447"/>
        <c:scaling>
          <c:orientation val="minMax"/>
        </c:scaling>
        <c:delete val="0"/>
        <c:axPos val="b"/>
        <c:numFmt formatCode="mmm\-yy" sourceLinked="0"/>
        <c:majorTickMark val="out"/>
        <c:minorTickMark val="none"/>
        <c:tickLblPos val="nextTo"/>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888808447"/>
        <c:crosses val="autoZero"/>
        <c:crossBetween val="between"/>
      </c:valAx>
      <c:spPr>
        <a:noFill/>
        <a:ln w="25400">
          <a:noFill/>
        </a:ln>
      </c:spPr>
    </c:plotArea>
    <c:legend>
      <c:legendPos val="r"/>
      <c:layout>
        <c:manualLayout>
          <c:xMode val="edge"/>
          <c:yMode val="edge"/>
          <c:x val="0.18425781270382954"/>
          <c:y val="0.44548997746963043"/>
          <c:w val="0.13858706031527371"/>
          <c:h val="2.0882478185802023E-2"/>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68627442769285"/>
          <c:y val="0.17676854861381694"/>
          <c:w val="0.21097787824449762"/>
          <c:h val="0.62121518512855667"/>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A43D-4497-80BE-248A2C098EFD}"/>
              </c:ext>
            </c:extLst>
          </c:dPt>
          <c:dPt>
            <c:idx val="1"/>
            <c:bubble3D val="0"/>
            <c:spPr>
              <a:solidFill>
                <a:srgbClr val="9999FF"/>
              </a:solidFill>
              <a:ln w="25400">
                <a:noFill/>
              </a:ln>
            </c:spPr>
            <c:extLst>
              <c:ext xmlns:c16="http://schemas.microsoft.com/office/drawing/2014/chart" uri="{C3380CC4-5D6E-409C-BE32-E72D297353CC}">
                <c16:uniqueId val="{00000001-A43D-4497-80BE-248A2C098EFD}"/>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Africa!$B$221:$B$222</c:f>
              <c:strCache>
                <c:ptCount val="2"/>
                <c:pt idx="0">
                  <c:v>Tigo (MIC)</c:v>
                </c:pt>
                <c:pt idx="1">
                  <c:v>Celtel (MTC)</c:v>
                </c:pt>
              </c:strCache>
            </c:strRef>
          </c:cat>
          <c:val>
            <c:numRef>
              <c:f>Africa!$C$221:$C$222</c:f>
              <c:numCache>
                <c:formatCode>0%</c:formatCode>
                <c:ptCount val="2"/>
                <c:pt idx="0">
                  <c:v>0.45</c:v>
                </c:pt>
                <c:pt idx="1">
                  <c:v>0.55000000000000004</c:v>
                </c:pt>
              </c:numCache>
            </c:numRef>
          </c:val>
          <c:extLst>
            <c:ext xmlns:c16="http://schemas.microsoft.com/office/drawing/2014/chart" uri="{C3380CC4-5D6E-409C-BE32-E72D297353CC}">
              <c16:uniqueId val="{00000002-A43D-4497-80BE-248A2C098EF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9185942536650602"/>
          <c:y val="0.26506894759982413"/>
          <c:w val="0.12433639711385891"/>
          <c:h val="0.16466365562172747"/>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30418795900014"/>
          <c:y val="0.15677966101694915"/>
          <c:w val="0.43319923693548545"/>
          <c:h val="0.45338983050847459"/>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1417-433D-98D6-E803477E593A}"/>
              </c:ext>
            </c:extLst>
          </c:dPt>
          <c:dPt>
            <c:idx val="1"/>
            <c:bubble3D val="0"/>
            <c:spPr>
              <a:solidFill>
                <a:srgbClr val="9999FF"/>
              </a:solidFill>
              <a:ln w="25400">
                <a:noFill/>
              </a:ln>
            </c:spPr>
            <c:extLst>
              <c:ext xmlns:c16="http://schemas.microsoft.com/office/drawing/2014/chart" uri="{C3380CC4-5D6E-409C-BE32-E72D297353CC}">
                <c16:uniqueId val="{00000001-1417-433D-98D6-E803477E593A}"/>
              </c:ext>
            </c:extLst>
          </c:dPt>
          <c:dPt>
            <c:idx val="2"/>
            <c:bubble3D val="0"/>
            <c:spPr>
              <a:solidFill>
                <a:srgbClr val="3366FF"/>
              </a:solidFill>
              <a:ln w="25400">
                <a:noFill/>
              </a:ln>
            </c:spPr>
            <c:extLst>
              <c:ext xmlns:c16="http://schemas.microsoft.com/office/drawing/2014/chart" uri="{C3380CC4-5D6E-409C-BE32-E72D297353CC}">
                <c16:uniqueId val="{00000002-1417-433D-98D6-E803477E593A}"/>
              </c:ext>
            </c:extLst>
          </c:dPt>
          <c:dPt>
            <c:idx val="3"/>
            <c:bubble3D val="0"/>
            <c:spPr>
              <a:solidFill>
                <a:srgbClr val="CCCCFF"/>
              </a:solidFill>
              <a:ln w="3175">
                <a:solidFill>
                  <a:srgbClr val="C0C0C0"/>
                </a:solidFill>
                <a:prstDash val="solid"/>
              </a:ln>
            </c:spPr>
            <c:extLst>
              <c:ext xmlns:c16="http://schemas.microsoft.com/office/drawing/2014/chart" uri="{C3380CC4-5D6E-409C-BE32-E72D297353CC}">
                <c16:uniqueId val="{00000003-1417-433D-98D6-E803477E593A}"/>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Africa!$B$206:$B$209</c:f>
              <c:strCache>
                <c:ptCount val="4"/>
                <c:pt idx="0">
                  <c:v>Tigo (MIC)</c:v>
                </c:pt>
                <c:pt idx="1">
                  <c:v>Zain</c:v>
                </c:pt>
                <c:pt idx="2">
                  <c:v>Vodacom</c:v>
                </c:pt>
                <c:pt idx="3">
                  <c:v>Zantel (Etisalat 51%)</c:v>
                </c:pt>
              </c:strCache>
            </c:strRef>
          </c:cat>
          <c:val>
            <c:numRef>
              <c:f>Africa!$C$206:$C$209</c:f>
              <c:numCache>
                <c:formatCode>0%</c:formatCode>
                <c:ptCount val="4"/>
                <c:pt idx="0">
                  <c:v>0.24182966530288144</c:v>
                </c:pt>
                <c:pt idx="1">
                  <c:v>0.28423251784796727</c:v>
                </c:pt>
                <c:pt idx="2">
                  <c:v>0.39238627981593921</c:v>
                </c:pt>
                <c:pt idx="3">
                  <c:v>7.4018163600359801E-2</c:v>
                </c:pt>
              </c:numCache>
            </c:numRef>
          </c:val>
          <c:extLst>
            <c:ext xmlns:c16="http://schemas.microsoft.com/office/drawing/2014/chart" uri="{C3380CC4-5D6E-409C-BE32-E72D297353CC}">
              <c16:uniqueId val="{00000004-1417-433D-98D6-E803477E593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6723987814776162"/>
          <c:y val="0.44258329996885981"/>
          <c:w val="7.5412621615069231E-2"/>
          <c:h val="0.11486898883402286"/>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81224260857808"/>
          <c:y val="0.20408231054126322"/>
          <c:w val="0.31282103502443082"/>
          <c:h val="0.62245104715085287"/>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7E75-422F-8FC6-22C0F5D07512}"/>
              </c:ext>
            </c:extLst>
          </c:dPt>
          <c:dPt>
            <c:idx val="1"/>
            <c:bubble3D val="0"/>
            <c:spPr>
              <a:solidFill>
                <a:srgbClr val="9999FF"/>
              </a:solidFill>
              <a:ln w="25400">
                <a:noFill/>
              </a:ln>
            </c:spPr>
            <c:extLst>
              <c:ext xmlns:c16="http://schemas.microsoft.com/office/drawing/2014/chart" uri="{C3380CC4-5D6E-409C-BE32-E72D297353CC}">
                <c16:uniqueId val="{00000001-7E75-422F-8FC6-22C0F5D07512}"/>
              </c:ext>
            </c:extLst>
          </c:dPt>
          <c:dPt>
            <c:idx val="2"/>
            <c:bubble3D val="0"/>
            <c:spPr>
              <a:solidFill>
                <a:srgbClr val="3366FF"/>
              </a:solidFill>
              <a:ln w="25400">
                <a:noFill/>
              </a:ln>
            </c:spPr>
            <c:extLst>
              <c:ext xmlns:c16="http://schemas.microsoft.com/office/drawing/2014/chart" uri="{C3380CC4-5D6E-409C-BE32-E72D297353CC}">
                <c16:uniqueId val="{00000002-7E75-422F-8FC6-22C0F5D07512}"/>
              </c:ext>
            </c:extLst>
          </c:dPt>
          <c:dPt>
            <c:idx val="3"/>
            <c:bubble3D val="0"/>
            <c:spPr>
              <a:solidFill>
                <a:srgbClr val="CCCCFF"/>
              </a:solidFill>
              <a:ln w="3175">
                <a:solidFill>
                  <a:srgbClr val="C0C0C0"/>
                </a:solidFill>
                <a:prstDash val="solid"/>
              </a:ln>
            </c:spPr>
            <c:extLst>
              <c:ext xmlns:c16="http://schemas.microsoft.com/office/drawing/2014/chart" uri="{C3380CC4-5D6E-409C-BE32-E72D297353CC}">
                <c16:uniqueId val="{00000003-7E75-422F-8FC6-22C0F5D07512}"/>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Africa!$B$215:$B$218</c:f>
              <c:strCache>
                <c:ptCount val="4"/>
                <c:pt idx="0">
                  <c:v>Tigo (MIC)</c:v>
                </c:pt>
                <c:pt idx="1">
                  <c:v>Vodacom</c:v>
                </c:pt>
                <c:pt idx="2">
                  <c:v>Celtel (MTC)</c:v>
                </c:pt>
                <c:pt idx="3">
                  <c:v>Supercell (MTN Rwanda)</c:v>
                </c:pt>
              </c:strCache>
            </c:strRef>
          </c:cat>
          <c:val>
            <c:numRef>
              <c:f>Africa!$C$215:$C$218</c:f>
              <c:numCache>
                <c:formatCode>0%</c:formatCode>
                <c:ptCount val="4"/>
                <c:pt idx="0">
                  <c:v>0.14000000000000001</c:v>
                </c:pt>
                <c:pt idx="1">
                  <c:v>0.33999999999999997</c:v>
                </c:pt>
                <c:pt idx="2">
                  <c:v>0.5</c:v>
                </c:pt>
                <c:pt idx="3">
                  <c:v>2.0000000000000018E-2</c:v>
                </c:pt>
              </c:numCache>
            </c:numRef>
          </c:val>
          <c:extLst>
            <c:ext xmlns:c16="http://schemas.microsoft.com/office/drawing/2014/chart" uri="{C3380CC4-5D6E-409C-BE32-E72D297353CC}">
              <c16:uniqueId val="{00000004-7E75-422F-8FC6-22C0F5D0751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1652147470170213"/>
          <c:y val="0.3099826807363365"/>
          <c:w val="0.15105049190788478"/>
          <c:h val="0.3881521952613066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23096338786566"/>
          <c:y val="0.14070386282943731"/>
          <c:w val="0.37846210706446376"/>
          <c:h val="0.61809196885788531"/>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E10B-4C28-BF93-23A6471ED60A}"/>
              </c:ext>
            </c:extLst>
          </c:dPt>
          <c:dPt>
            <c:idx val="1"/>
            <c:bubble3D val="0"/>
            <c:spPr>
              <a:solidFill>
                <a:srgbClr val="9999FF"/>
              </a:solidFill>
              <a:ln w="25400">
                <a:noFill/>
              </a:ln>
            </c:spPr>
            <c:extLst>
              <c:ext xmlns:c16="http://schemas.microsoft.com/office/drawing/2014/chart" uri="{C3380CC4-5D6E-409C-BE32-E72D297353CC}">
                <c16:uniqueId val="{00000001-E10B-4C28-BF93-23A6471ED60A}"/>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Africa!$B$225:$B$226</c:f>
              <c:strCache>
                <c:ptCount val="2"/>
                <c:pt idx="0">
                  <c:v>Tigo (MIC)</c:v>
                </c:pt>
                <c:pt idx="1">
                  <c:v>MTN</c:v>
                </c:pt>
              </c:strCache>
            </c:strRef>
          </c:cat>
          <c:val>
            <c:numRef>
              <c:f>Africa!$C$225:$C$226</c:f>
              <c:numCache>
                <c:formatCode>0%</c:formatCode>
                <c:ptCount val="2"/>
                <c:pt idx="0">
                  <c:v>0.42</c:v>
                </c:pt>
                <c:pt idx="1">
                  <c:v>0.58000000000000007</c:v>
                </c:pt>
              </c:numCache>
            </c:numRef>
          </c:val>
          <c:extLst>
            <c:ext xmlns:c16="http://schemas.microsoft.com/office/drawing/2014/chart" uri="{C3380CC4-5D6E-409C-BE32-E72D297353CC}">
              <c16:uniqueId val="{00000002-E10B-4C28-BF93-23A6471ED60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4570858090591435"/>
          <c:y val="0.24000839895013124"/>
          <c:w val="0.17445308600228654"/>
          <c:h val="0.17600629921259839"/>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4988864142539"/>
          <c:y val="9.1772293704716096E-2"/>
          <c:w val="0.86636971046770606"/>
          <c:h val="0.81962151963867136"/>
        </c:manualLayout>
      </c:layout>
      <c:barChart>
        <c:barDir val="col"/>
        <c:grouping val="clustered"/>
        <c:varyColors val="0"/>
        <c:ser>
          <c:idx val="0"/>
          <c:order val="0"/>
          <c:spPr>
            <a:solidFill>
              <a:srgbClr val="000080"/>
            </a:solidFill>
            <a:ln w="25400">
              <a:noFill/>
            </a:ln>
          </c:spPr>
          <c:invertIfNegative val="0"/>
          <c:cat>
            <c:strRef>
              <c:f>Africa!$AD$216:$AD$220</c:f>
              <c:strCache>
                <c:ptCount val="5"/>
                <c:pt idx="0">
                  <c:v>Zain</c:v>
                </c:pt>
                <c:pt idx="1">
                  <c:v>Areeba (MTN)</c:v>
                </c:pt>
                <c:pt idx="2">
                  <c:v>Vodafone</c:v>
                </c:pt>
                <c:pt idx="3">
                  <c:v>Kasapa </c:v>
                </c:pt>
                <c:pt idx="4">
                  <c:v>Tigo</c:v>
                </c:pt>
              </c:strCache>
            </c:strRef>
          </c:cat>
          <c:val>
            <c:numRef>
              <c:f>Africa!$AE$216:$AE$220</c:f>
              <c:numCache>
                <c:formatCode>0%</c:formatCode>
                <c:ptCount val="5"/>
                <c:pt idx="0">
                  <c:v>0.43794871794871792</c:v>
                </c:pt>
                <c:pt idx="1">
                  <c:v>0.38666666666666666</c:v>
                </c:pt>
                <c:pt idx="2">
                  <c:v>0.18871794871794872</c:v>
                </c:pt>
                <c:pt idx="3">
                  <c:v>0</c:v>
                </c:pt>
                <c:pt idx="4">
                  <c:v>-1.3333333333333334E-2</c:v>
                </c:pt>
              </c:numCache>
            </c:numRef>
          </c:val>
          <c:extLst>
            <c:ext xmlns:c16="http://schemas.microsoft.com/office/drawing/2014/chart" uri="{C3380CC4-5D6E-409C-BE32-E72D297353CC}">
              <c16:uniqueId val="{00000000-E15F-4BE3-BDF3-C92D1C8C48F8}"/>
            </c:ext>
          </c:extLst>
        </c:ser>
        <c:dLbls>
          <c:showLegendKey val="0"/>
          <c:showVal val="0"/>
          <c:showCatName val="0"/>
          <c:showSerName val="0"/>
          <c:showPercent val="0"/>
          <c:showBubbleSize val="0"/>
        </c:dLbls>
        <c:gapWidth val="150"/>
        <c:axId val="1888805247"/>
        <c:axId val="1"/>
      </c:barChart>
      <c:catAx>
        <c:axId val="188880524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888805247"/>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0577933466026"/>
          <c:y val="4.7030069619315655E-2"/>
          <c:w val="0.86080888114694798"/>
          <c:h val="0.64526361264403442"/>
        </c:manualLayout>
      </c:layout>
      <c:lineChart>
        <c:grouping val="standard"/>
        <c:varyColors val="0"/>
        <c:ser>
          <c:idx val="0"/>
          <c:order val="0"/>
          <c:tx>
            <c:strRef>
              <c:f>Africa!$B$108</c:f>
              <c:strCache>
                <c:ptCount val="1"/>
                <c:pt idx="0">
                  <c:v>Ghana</c:v>
                </c:pt>
              </c:strCache>
            </c:strRef>
          </c:tx>
          <c:spPr>
            <a:ln w="25400">
              <a:solidFill>
                <a:srgbClr val="333399"/>
              </a:solidFill>
              <a:prstDash val="solid"/>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Africa!$K$108:$S$108</c:f>
              <c:numCache>
                <c:formatCode>0%</c:formatCode>
                <c:ptCount val="9"/>
                <c:pt idx="0">
                  <c:v>0.10830324909747291</c:v>
                </c:pt>
                <c:pt idx="1">
                  <c:v>-4.5849894916902501E-2</c:v>
                </c:pt>
                <c:pt idx="2">
                  <c:v>3.4136636140506216E-2</c:v>
                </c:pt>
                <c:pt idx="3">
                  <c:v>0.11021420313419794</c:v>
                </c:pt>
                <c:pt idx="4">
                  <c:v>0.25027504385834476</c:v>
                </c:pt>
                <c:pt idx="5">
                  <c:v>0.25059414817047054</c:v>
                </c:pt>
                <c:pt idx="6">
                  <c:v>0.18</c:v>
                </c:pt>
                <c:pt idx="7">
                  <c:v>0.08</c:v>
                </c:pt>
                <c:pt idx="8">
                  <c:v>0.08</c:v>
                </c:pt>
              </c:numCache>
            </c:numRef>
          </c:val>
          <c:smooth val="0"/>
          <c:extLst>
            <c:ext xmlns:c16="http://schemas.microsoft.com/office/drawing/2014/chart" uri="{C3380CC4-5D6E-409C-BE32-E72D297353CC}">
              <c16:uniqueId val="{00000000-AE02-43D3-8604-213D5E129CC0}"/>
            </c:ext>
          </c:extLst>
        </c:ser>
        <c:ser>
          <c:idx val="1"/>
          <c:order val="1"/>
          <c:tx>
            <c:strRef>
              <c:f>Africa!$B$109</c:f>
              <c:strCache>
                <c:ptCount val="1"/>
                <c:pt idx="0">
                  <c:v>Mauritius</c:v>
                </c:pt>
              </c:strCache>
            </c:strRef>
          </c:tx>
          <c:spPr>
            <a:ln w="25400">
              <a:solidFill>
                <a:srgbClr val="99CCFF"/>
              </a:solidFill>
              <a:prstDash val="solid"/>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Africa!$K$109:$S$109</c:f>
              <c:numCache>
                <c:formatCode>0%</c:formatCode>
                <c:ptCount val="9"/>
                <c:pt idx="0">
                  <c:v>6.6788655077767656E-2</c:v>
                </c:pt>
                <c:pt idx="1">
                  <c:v>-5.8496647164090421E-2</c:v>
                </c:pt>
                <c:pt idx="2">
                  <c:v>-1</c:v>
                </c:pt>
              </c:numCache>
            </c:numRef>
          </c:val>
          <c:smooth val="0"/>
          <c:extLst>
            <c:ext xmlns:c16="http://schemas.microsoft.com/office/drawing/2014/chart" uri="{C3380CC4-5D6E-409C-BE32-E72D297353CC}">
              <c16:uniqueId val="{00000001-AE02-43D3-8604-213D5E129CC0}"/>
            </c:ext>
          </c:extLst>
        </c:ser>
        <c:ser>
          <c:idx val="2"/>
          <c:order val="2"/>
          <c:tx>
            <c:strRef>
              <c:f>Africa!$B$110</c:f>
              <c:strCache>
                <c:ptCount val="1"/>
                <c:pt idx="0">
                  <c:v>Senegal</c:v>
                </c:pt>
              </c:strCache>
            </c:strRef>
          </c:tx>
          <c:spPr>
            <a:ln w="25400">
              <a:solidFill>
                <a:srgbClr val="333399"/>
              </a:solidFill>
              <a:prstDash val="lgDash"/>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Africa!$K$110:$S$110</c:f>
              <c:numCache>
                <c:formatCode>0%</c:formatCode>
                <c:ptCount val="9"/>
                <c:pt idx="0">
                  <c:v>6.7849892861170602E-2</c:v>
                </c:pt>
                <c:pt idx="1">
                  <c:v>-0.15666200722458556</c:v>
                </c:pt>
                <c:pt idx="2">
                  <c:v>-5.7585926144855026E-2</c:v>
                </c:pt>
                <c:pt idx="3">
                  <c:v>-4.2259414225941483E-2</c:v>
                </c:pt>
                <c:pt idx="4">
                  <c:v>-1.5233102415277866E-2</c:v>
                </c:pt>
                <c:pt idx="5">
                  <c:v>0.18649281776299476</c:v>
                </c:pt>
                <c:pt idx="6">
                  <c:v>0.18</c:v>
                </c:pt>
                <c:pt idx="7">
                  <c:v>0.12</c:v>
                </c:pt>
                <c:pt idx="8">
                  <c:v>0.12</c:v>
                </c:pt>
              </c:numCache>
            </c:numRef>
          </c:val>
          <c:smooth val="0"/>
          <c:extLst>
            <c:ext xmlns:c16="http://schemas.microsoft.com/office/drawing/2014/chart" uri="{C3380CC4-5D6E-409C-BE32-E72D297353CC}">
              <c16:uniqueId val="{00000002-AE02-43D3-8604-213D5E129CC0}"/>
            </c:ext>
          </c:extLst>
        </c:ser>
        <c:ser>
          <c:idx val="3"/>
          <c:order val="3"/>
          <c:tx>
            <c:strRef>
              <c:f>Africa!$B$111</c:f>
              <c:strCache>
                <c:ptCount val="1"/>
                <c:pt idx="0">
                  <c:v>Tanzania</c:v>
                </c:pt>
              </c:strCache>
            </c:strRef>
          </c:tx>
          <c:spPr>
            <a:ln w="25400">
              <a:solidFill>
                <a:srgbClr val="99CCFF"/>
              </a:solidFill>
              <a:prstDash val="lgDash"/>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Africa!$K$111:$S$111</c:f>
              <c:numCache>
                <c:formatCode>0%</c:formatCode>
                <c:ptCount val="9"/>
                <c:pt idx="0">
                  <c:v>0.34092897449730986</c:v>
                </c:pt>
                <c:pt idx="1">
                  <c:v>0.29058139083376711</c:v>
                </c:pt>
                <c:pt idx="2">
                  <c:v>0.14742437832668687</c:v>
                </c:pt>
                <c:pt idx="3">
                  <c:v>4.4506339483731949E-2</c:v>
                </c:pt>
                <c:pt idx="4">
                  <c:v>4.3905576909895272E-2</c:v>
                </c:pt>
                <c:pt idx="5">
                  <c:v>0.22754027261462206</c:v>
                </c:pt>
                <c:pt idx="6">
                  <c:v>0.14000000000000001</c:v>
                </c:pt>
                <c:pt idx="7">
                  <c:v>0.08</c:v>
                </c:pt>
                <c:pt idx="8">
                  <c:v>0.15</c:v>
                </c:pt>
              </c:numCache>
            </c:numRef>
          </c:val>
          <c:smooth val="0"/>
          <c:extLst>
            <c:ext xmlns:c16="http://schemas.microsoft.com/office/drawing/2014/chart" uri="{C3380CC4-5D6E-409C-BE32-E72D297353CC}">
              <c16:uniqueId val="{00000003-AE02-43D3-8604-213D5E129CC0}"/>
            </c:ext>
          </c:extLst>
        </c:ser>
        <c:ser>
          <c:idx val="4"/>
          <c:order val="4"/>
          <c:tx>
            <c:strRef>
              <c:f>Africa!$B$112</c:f>
              <c:strCache>
                <c:ptCount val="1"/>
                <c:pt idx="0">
                  <c:v>Chad</c:v>
                </c:pt>
              </c:strCache>
            </c:strRef>
          </c:tx>
          <c:spPr>
            <a:ln w="25400">
              <a:solidFill>
                <a:srgbClr val="333399"/>
              </a:solidFill>
              <a:prstDash val="sysDash"/>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Africa!$K$112:$S$112</c:f>
              <c:numCache>
                <c:formatCode>0%</c:formatCode>
                <c:ptCount val="9"/>
                <c:pt idx="0">
                  <c:v>0.20063511056906824</c:v>
                </c:pt>
                <c:pt idx="1">
                  <c:v>2.272206068676863E-2</c:v>
                </c:pt>
                <c:pt idx="2">
                  <c:v>0.15689858666079792</c:v>
                </c:pt>
                <c:pt idx="3">
                  <c:v>0.19713808915933484</c:v>
                </c:pt>
                <c:pt idx="4">
                  <c:v>0.20318250703615504</c:v>
                </c:pt>
                <c:pt idx="5">
                  <c:v>1.8650585007942366E-2</c:v>
                </c:pt>
                <c:pt idx="6">
                  <c:v>0.05</c:v>
                </c:pt>
                <c:pt idx="7">
                  <c:v>0.05</c:v>
                </c:pt>
                <c:pt idx="8">
                  <c:v>0.05</c:v>
                </c:pt>
              </c:numCache>
            </c:numRef>
          </c:val>
          <c:smooth val="0"/>
          <c:extLst>
            <c:ext xmlns:c16="http://schemas.microsoft.com/office/drawing/2014/chart" uri="{C3380CC4-5D6E-409C-BE32-E72D297353CC}">
              <c16:uniqueId val="{00000004-AE02-43D3-8604-213D5E129CC0}"/>
            </c:ext>
          </c:extLst>
        </c:ser>
        <c:ser>
          <c:idx val="5"/>
          <c:order val="5"/>
          <c:tx>
            <c:strRef>
              <c:f>Africa!$B$113</c:f>
              <c:strCache>
                <c:ptCount val="1"/>
                <c:pt idx="0">
                  <c:v>Dem. Rep. Congo</c:v>
                </c:pt>
              </c:strCache>
            </c:strRef>
          </c:tx>
          <c:spPr>
            <a:ln w="25400">
              <a:solidFill>
                <a:srgbClr val="99CCFF"/>
              </a:solidFill>
              <a:prstDash val="sysDash"/>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Africa!$K$113:$S$113</c:f>
              <c:numCache>
                <c:formatCode>0%</c:formatCode>
                <c:ptCount val="9"/>
                <c:pt idx="0">
                  <c:v>0.43412158409571844</c:v>
                </c:pt>
                <c:pt idx="1">
                  <c:v>7.9993549180452206E-2</c:v>
                </c:pt>
                <c:pt idx="2">
                  <c:v>6.4051125956508415E-2</c:v>
                </c:pt>
                <c:pt idx="3">
                  <c:v>-0.10858257477243161</c:v>
                </c:pt>
                <c:pt idx="4">
                  <c:v>-2.3960612691465877E-2</c:v>
                </c:pt>
                <c:pt idx="5">
                  <c:v>0.18302183885267209</c:v>
                </c:pt>
                <c:pt idx="6">
                  <c:v>-1</c:v>
                </c:pt>
                <c:pt idx="7">
                  <c:v>-1</c:v>
                </c:pt>
                <c:pt idx="8">
                  <c:v>-1</c:v>
                </c:pt>
              </c:numCache>
            </c:numRef>
          </c:val>
          <c:smooth val="0"/>
          <c:extLst>
            <c:ext xmlns:c16="http://schemas.microsoft.com/office/drawing/2014/chart" uri="{C3380CC4-5D6E-409C-BE32-E72D297353CC}">
              <c16:uniqueId val="{00000005-AE02-43D3-8604-213D5E129CC0}"/>
            </c:ext>
          </c:extLst>
        </c:ser>
        <c:ser>
          <c:idx val="6"/>
          <c:order val="6"/>
          <c:tx>
            <c:strRef>
              <c:f>Africa!$B$114</c:f>
              <c:strCache>
                <c:ptCount val="1"/>
                <c:pt idx="0">
                  <c:v>Rwanda</c:v>
                </c:pt>
              </c:strCache>
            </c:strRef>
          </c:tx>
          <c:spPr>
            <a:ln w="25400">
              <a:solidFill>
                <a:srgbClr val="333399"/>
              </a:solidFill>
              <a:prstDash val="lgDashDotDot"/>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Africa!$K$114:$S$114</c:f>
              <c:numCache>
                <c:formatCode>0%</c:formatCode>
                <c:ptCount val="9"/>
                <c:pt idx="1">
                  <c:v>0.9401302740553501</c:v>
                </c:pt>
                <c:pt idx="2">
                  <c:v>0.50397263127306213</c:v>
                </c:pt>
                <c:pt idx="3">
                  <c:v>0.1171102485941824</c:v>
                </c:pt>
                <c:pt idx="4">
                  <c:v>0.66888550461767049</c:v>
                </c:pt>
                <c:pt idx="5">
                  <c:v>5.3919802444395426E-2</c:v>
                </c:pt>
                <c:pt idx="6">
                  <c:v>0.1</c:v>
                </c:pt>
                <c:pt idx="7">
                  <c:v>0.06</c:v>
                </c:pt>
                <c:pt idx="8">
                  <c:v>0.06</c:v>
                </c:pt>
              </c:numCache>
            </c:numRef>
          </c:val>
          <c:smooth val="0"/>
          <c:extLst>
            <c:ext xmlns:c16="http://schemas.microsoft.com/office/drawing/2014/chart" uri="{C3380CC4-5D6E-409C-BE32-E72D297353CC}">
              <c16:uniqueId val="{00000006-AE02-43D3-8604-213D5E129CC0}"/>
            </c:ext>
          </c:extLst>
        </c:ser>
        <c:ser>
          <c:idx val="7"/>
          <c:order val="7"/>
          <c:tx>
            <c:strRef>
              <c:f>Africa!$B$115</c:f>
              <c:strCache>
                <c:ptCount val="1"/>
                <c:pt idx="0">
                  <c:v>Weighted average growth</c:v>
                </c:pt>
              </c:strCache>
            </c:strRef>
          </c:tx>
          <c:spPr>
            <a:ln w="25400">
              <a:solidFill>
                <a:srgbClr val="FF0000"/>
              </a:solidFill>
              <a:prstDash val="solid"/>
            </a:ln>
          </c:spPr>
          <c:marker>
            <c:symbol val="none"/>
          </c:marker>
          <c:cat>
            <c:numRef>
              <c:f>Africa!$K$107:$S$107</c:f>
              <c:numCache>
                <c:formatCode>0"E"</c:formatCode>
                <c:ptCount val="9"/>
                <c:pt idx="0">
                  <c:v>2010</c:v>
                </c:pt>
                <c:pt idx="1">
                  <c:v>2011</c:v>
                </c:pt>
                <c:pt idx="2">
                  <c:v>2012</c:v>
                </c:pt>
                <c:pt idx="3">
                  <c:v>2013</c:v>
                </c:pt>
                <c:pt idx="4">
                  <c:v>2014</c:v>
                </c:pt>
                <c:pt idx="5">
                  <c:v>2015</c:v>
                </c:pt>
                <c:pt idx="6">
                  <c:v>2016</c:v>
                </c:pt>
                <c:pt idx="7">
                  <c:v>2017</c:v>
                </c:pt>
                <c:pt idx="8">
                  <c:v>2018</c:v>
                </c:pt>
              </c:numCache>
            </c:numRef>
          </c:cat>
          <c:val>
            <c:numRef>
              <c:f>Africa!$K$115:$S$115</c:f>
              <c:numCache>
                <c:formatCode>0%</c:formatCode>
                <c:ptCount val="9"/>
                <c:pt idx="1">
                  <c:v>9.7401927304225158E-2</c:v>
                </c:pt>
                <c:pt idx="2">
                  <c:v>0.10959273238401486</c:v>
                </c:pt>
                <c:pt idx="3">
                  <c:v>5.5749018767982862E-2</c:v>
                </c:pt>
                <c:pt idx="4">
                  <c:v>0.14188661716859802</c:v>
                </c:pt>
                <c:pt idx="5">
                  <c:v>0.20146015738147685</c:v>
                </c:pt>
                <c:pt idx="6">
                  <c:v>0.15441676343308225</c:v>
                </c:pt>
                <c:pt idx="7">
                  <c:v>9.1869377947921022E-2</c:v>
                </c:pt>
                <c:pt idx="8">
                  <c:v>0.11607524303800848</c:v>
                </c:pt>
              </c:numCache>
            </c:numRef>
          </c:val>
          <c:smooth val="0"/>
          <c:extLst>
            <c:ext xmlns:c16="http://schemas.microsoft.com/office/drawing/2014/chart" uri="{C3380CC4-5D6E-409C-BE32-E72D297353CC}">
              <c16:uniqueId val="{00000007-AE02-43D3-8604-213D5E129CC0}"/>
            </c:ext>
          </c:extLst>
        </c:ser>
        <c:dLbls>
          <c:showLegendKey val="0"/>
          <c:showVal val="0"/>
          <c:showCatName val="0"/>
          <c:showSerName val="0"/>
          <c:showPercent val="0"/>
          <c:showBubbleSize val="0"/>
        </c:dLbls>
        <c:smooth val="0"/>
        <c:axId val="1888802447"/>
        <c:axId val="1"/>
      </c:lineChart>
      <c:catAx>
        <c:axId val="1888802447"/>
        <c:scaling>
          <c:orientation val="minMax"/>
        </c:scaling>
        <c:delete val="0"/>
        <c:axPos val="b"/>
        <c:numFmt formatCode="0&quot;E&quot;" sourceLinked="1"/>
        <c:majorTickMark val="out"/>
        <c:minorTickMark val="none"/>
        <c:tickLblPos val="low"/>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888802447"/>
        <c:crosses val="autoZero"/>
        <c:crossBetween val="between"/>
      </c:valAx>
      <c:spPr>
        <a:noFill/>
        <a:ln w="25400">
          <a:noFill/>
        </a:ln>
      </c:spPr>
    </c:plotArea>
    <c:legend>
      <c:legendPos val="r"/>
      <c:layout>
        <c:manualLayout>
          <c:xMode val="edge"/>
          <c:yMode val="edge"/>
          <c:x val="0.90091726685823048"/>
          <c:y val="0.41572197270090638"/>
          <c:w val="8.6406687315744302E-2"/>
          <c:h val="0.14751407863993127"/>
        </c:manualLayout>
      </c:layout>
      <c:overlay val="0"/>
      <c:spPr>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8147127995424"/>
          <c:y val="7.3417721518987344E-2"/>
          <c:w val="0.83629352404910173"/>
          <c:h val="0.60253164556962024"/>
        </c:manualLayout>
      </c:layout>
      <c:areaChart>
        <c:grouping val="stacked"/>
        <c:varyColors val="0"/>
        <c:ser>
          <c:idx val="1"/>
          <c:order val="0"/>
          <c:tx>
            <c:strRef>
              <c:f>Voice_data!$B$128</c:f>
              <c:strCache>
                <c:ptCount val="1"/>
                <c:pt idx="0">
                  <c:v>Voice</c:v>
                </c:pt>
              </c:strCache>
            </c:strRef>
          </c:tx>
          <c:spPr>
            <a:solidFill>
              <a:srgbClr val="000080"/>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Voice_data!$C$128:$K$128</c:f>
              <c:numCache>
                <c:formatCode>#,##0</c:formatCode>
                <c:ptCount val="9"/>
                <c:pt idx="0">
                  <c:v>1985.4372384138323</c:v>
                </c:pt>
                <c:pt idx="1">
                  <c:v>2584.8946495319328</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05A-4E5D-91B6-E24B19ECB6E2}"/>
            </c:ext>
          </c:extLst>
        </c:ser>
        <c:ser>
          <c:idx val="2"/>
          <c:order val="1"/>
          <c:tx>
            <c:strRef>
              <c:f>Voice_data!$B$129</c:f>
              <c:strCache>
                <c:ptCount val="1"/>
                <c:pt idx="0">
                  <c:v>SMS</c:v>
                </c:pt>
              </c:strCache>
            </c:strRef>
          </c:tx>
          <c:spPr>
            <a:solidFill>
              <a:srgbClr val="9999FF"/>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Voice_data!$C$129:$K$129</c:f>
              <c:numCache>
                <c:formatCode>#,##0</c:formatCode>
                <c:ptCount val="9"/>
                <c:pt idx="0">
                  <c:v>320</c:v>
                </c:pt>
                <c:pt idx="1">
                  <c:v>447.96440049755881</c:v>
                </c:pt>
                <c:pt idx="2">
                  <c:v>456.92368850751001</c:v>
                </c:pt>
                <c:pt idx="3">
                  <c:v>466.06216227766021</c:v>
                </c:pt>
                <c:pt idx="4">
                  <c:v>466.06216227766021</c:v>
                </c:pt>
                <c:pt idx="5">
                  <c:v>456.740919032107</c:v>
                </c:pt>
                <c:pt idx="6">
                  <c:v>443.0386914611438</c:v>
                </c:pt>
                <c:pt idx="7">
                  <c:v>425.31714380269801</c:v>
                </c:pt>
                <c:pt idx="8">
                  <c:v>408.30445805059009</c:v>
                </c:pt>
              </c:numCache>
            </c:numRef>
          </c:val>
          <c:extLst>
            <c:ext xmlns:c16="http://schemas.microsoft.com/office/drawing/2014/chart" uri="{C3380CC4-5D6E-409C-BE32-E72D297353CC}">
              <c16:uniqueId val="{00000001-805A-4E5D-91B6-E24B19ECB6E2}"/>
            </c:ext>
          </c:extLst>
        </c:ser>
        <c:ser>
          <c:idx val="3"/>
          <c:order val="2"/>
          <c:tx>
            <c:strRef>
              <c:f>Voice_data!$B$130</c:f>
              <c:strCache>
                <c:ptCount val="1"/>
                <c:pt idx="0">
                  <c:v>Mobile internet - handset driven</c:v>
                </c:pt>
              </c:strCache>
            </c:strRef>
          </c:tx>
          <c:spPr>
            <a:solidFill>
              <a:srgbClr val="3366FF"/>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Voice_data!$C$130:$K$130</c:f>
              <c:numCache>
                <c:formatCode>#,##0</c:formatCode>
                <c:ptCount val="9"/>
                <c:pt idx="0">
                  <c:v>80</c:v>
                </c:pt>
                <c:pt idx="1">
                  <c:v>231.79999999999998</c:v>
                </c:pt>
                <c:pt idx="2">
                  <c:v>298.02234599999997</c:v>
                </c:pt>
                <c:pt idx="3">
                  <c:v>419.31879719999995</c:v>
                </c:pt>
                <c:pt idx="4">
                  <c:v>588.52450415999988</c:v>
                </c:pt>
                <c:pt idx="5">
                  <c:v>744.75678745716618</c:v>
                </c:pt>
                <c:pt idx="6">
                  <c:v>860.47076822025133</c:v>
                </c:pt>
                <c:pt idx="7">
                  <c:v>970.93438659923231</c:v>
                </c:pt>
                <c:pt idx="8">
                  <c:v>1128.7580316448884</c:v>
                </c:pt>
              </c:numCache>
            </c:numRef>
          </c:val>
          <c:extLst>
            <c:ext xmlns:c16="http://schemas.microsoft.com/office/drawing/2014/chart" uri="{C3380CC4-5D6E-409C-BE32-E72D297353CC}">
              <c16:uniqueId val="{00000002-805A-4E5D-91B6-E24B19ECB6E2}"/>
            </c:ext>
          </c:extLst>
        </c:ser>
        <c:ser>
          <c:idx val="4"/>
          <c:order val="3"/>
          <c:tx>
            <c:strRef>
              <c:f>Voice_data!$B$131</c:f>
              <c:strCache>
                <c:ptCount val="1"/>
                <c:pt idx="0">
                  <c:v>Mobile internet - dongles</c:v>
                </c:pt>
              </c:strCache>
            </c:strRef>
          </c:tx>
          <c:spPr>
            <a:solidFill>
              <a:srgbClr val="CCCCFF"/>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Voice_data!$C$131:$K$131</c:f>
              <c:numCache>
                <c:formatCode>#,##0</c:formatCode>
                <c:ptCount val="9"/>
                <c:pt idx="0">
                  <c:v>100</c:v>
                </c:pt>
                <c:pt idx="1">
                  <c:v>203.99999999999997</c:v>
                </c:pt>
                <c:pt idx="2">
                  <c:v>210.91200000000001</c:v>
                </c:pt>
                <c:pt idx="3">
                  <c:v>229.97520000000003</c:v>
                </c:pt>
                <c:pt idx="4">
                  <c:v>252.97272000000004</c:v>
                </c:pt>
                <c:pt idx="5">
                  <c:v>278.26999200000012</c:v>
                </c:pt>
                <c:pt idx="6">
                  <c:v>306.09699120000005</c:v>
                </c:pt>
                <c:pt idx="7">
                  <c:v>336.70669032000012</c:v>
                </c:pt>
                <c:pt idx="8">
                  <c:v>370.37735935200016</c:v>
                </c:pt>
              </c:numCache>
            </c:numRef>
          </c:val>
          <c:extLst>
            <c:ext xmlns:c16="http://schemas.microsoft.com/office/drawing/2014/chart" uri="{C3380CC4-5D6E-409C-BE32-E72D297353CC}">
              <c16:uniqueId val="{00000003-805A-4E5D-91B6-E24B19ECB6E2}"/>
            </c:ext>
          </c:extLst>
        </c:ser>
        <c:ser>
          <c:idx val="5"/>
          <c:order val="4"/>
          <c:tx>
            <c:strRef>
              <c:f>Voice_data!$B$132</c:f>
              <c:strCache>
                <c:ptCount val="1"/>
                <c:pt idx="0">
                  <c:v>Solutions</c:v>
                </c:pt>
              </c:strCache>
            </c:strRef>
          </c:tx>
          <c:spPr>
            <a:solidFill>
              <a:srgbClr val="969696"/>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Voice_data!$C$132:$K$132</c:f>
              <c:numCache>
                <c:formatCode>#,##0</c:formatCode>
                <c:ptCount val="9"/>
                <c:pt idx="0">
                  <c:v>0</c:v>
                </c:pt>
                <c:pt idx="1">
                  <c:v>85.449465027787738</c:v>
                </c:pt>
                <c:pt idx="2">
                  <c:v>118.09480985217402</c:v>
                </c:pt>
                <c:pt idx="3">
                  <c:v>192.58764368504146</c:v>
                </c:pt>
                <c:pt idx="4">
                  <c:v>279.29915338835559</c:v>
                </c:pt>
                <c:pt idx="5">
                  <c:v>361.71700168970915</c:v>
                </c:pt>
                <c:pt idx="6">
                  <c:v>442.11660134475994</c:v>
                </c:pt>
                <c:pt idx="7">
                  <c:v>531.67676504723386</c:v>
                </c:pt>
                <c:pt idx="8">
                  <c:v>645.65125703827789</c:v>
                </c:pt>
              </c:numCache>
            </c:numRef>
          </c:val>
          <c:extLst>
            <c:ext xmlns:c16="http://schemas.microsoft.com/office/drawing/2014/chart" uri="{C3380CC4-5D6E-409C-BE32-E72D297353CC}">
              <c16:uniqueId val="{00000004-805A-4E5D-91B6-E24B19ECB6E2}"/>
            </c:ext>
          </c:extLst>
        </c:ser>
        <c:ser>
          <c:idx val="6"/>
          <c:order val="5"/>
          <c:tx>
            <c:strRef>
              <c:f>Voice_data!$B$133</c:f>
              <c:strCache>
                <c:ptCount val="1"/>
                <c:pt idx="0">
                  <c:v>Entertainment</c:v>
                </c:pt>
              </c:strCache>
            </c:strRef>
          </c:tx>
          <c:spPr>
            <a:solidFill>
              <a:srgbClr val="C0C0C0"/>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Voice_data!$C$133:$K$133</c:f>
              <c:numCache>
                <c:formatCode>#,##0</c:formatCode>
                <c:ptCount val="9"/>
                <c:pt idx="0">
                  <c:v>202.34554588695812</c:v>
                </c:pt>
                <c:pt idx="1">
                  <c:v>248.39365540698159</c:v>
                </c:pt>
                <c:pt idx="2">
                  <c:v>286.51324379244352</c:v>
                </c:pt>
                <c:pt idx="3">
                  <c:v>338.77079501017664</c:v>
                </c:pt>
                <c:pt idx="4">
                  <c:v>387.39218091272085</c:v>
                </c:pt>
                <c:pt idx="5">
                  <c:v>437.26399799726499</c:v>
                </c:pt>
                <c:pt idx="6">
                  <c:v>463.85305601124503</c:v>
                </c:pt>
                <c:pt idx="7">
                  <c:v>488.47382595495083</c:v>
                </c:pt>
                <c:pt idx="8">
                  <c:v>523.94931288314115</c:v>
                </c:pt>
              </c:numCache>
            </c:numRef>
          </c:val>
          <c:extLst>
            <c:ext xmlns:c16="http://schemas.microsoft.com/office/drawing/2014/chart" uri="{C3380CC4-5D6E-409C-BE32-E72D297353CC}">
              <c16:uniqueId val="{00000005-805A-4E5D-91B6-E24B19ECB6E2}"/>
            </c:ext>
          </c:extLst>
        </c:ser>
        <c:ser>
          <c:idx val="7"/>
          <c:order val="6"/>
          <c:tx>
            <c:strRef>
              <c:f>Voice_data!$B$134</c:f>
              <c:strCache>
                <c:ptCount val="1"/>
                <c:pt idx="0">
                  <c:v>Other</c:v>
                </c:pt>
              </c:strCache>
            </c:strRef>
          </c:tx>
          <c:spPr>
            <a:solidFill>
              <a:srgbClr val="0000FF"/>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Voice_data!$C$134:$K$134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805A-4E5D-91B6-E24B19ECB6E2}"/>
            </c:ext>
          </c:extLst>
        </c:ser>
        <c:ser>
          <c:idx val="8"/>
          <c:order val="7"/>
          <c:tx>
            <c:strRef>
              <c:f>Voice_data!$B$135</c:f>
              <c:strCache>
                <c:ptCount val="1"/>
                <c:pt idx="0">
                  <c:v>Handsets</c:v>
                </c:pt>
              </c:strCache>
            </c:strRef>
          </c:tx>
          <c:spPr>
            <a:solidFill>
              <a:srgbClr val="333399"/>
            </a:solidFill>
            <a:ln w="25400">
              <a:noFill/>
            </a:ln>
          </c:spPr>
          <c:cat>
            <c:numRef>
              <c:f>Voice_data!$C$127:$K$127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Voice_data!$C$135:$K$135</c:f>
              <c:numCache>
                <c:formatCode>#,##0</c:formatCode>
                <c:ptCount val="9"/>
                <c:pt idx="0">
                  <c:v>168.54399999999998</c:v>
                </c:pt>
                <c:pt idx="1">
                  <c:v>275.86778060096958</c:v>
                </c:pt>
                <c:pt idx="2">
                  <c:v>301.74970499321341</c:v>
                </c:pt>
                <c:pt idx="3">
                  <c:v>367.7288509308591</c:v>
                </c:pt>
                <c:pt idx="4">
                  <c:v>439.96942349414041</c:v>
                </c:pt>
                <c:pt idx="5">
                  <c:v>422.95788919023738</c:v>
                </c:pt>
                <c:pt idx="6">
                  <c:v>391.64249975975179</c:v>
                </c:pt>
                <c:pt idx="7">
                  <c:v>394.74704785055155</c:v>
                </c:pt>
                <c:pt idx="8">
                  <c:v>409.6137540611515</c:v>
                </c:pt>
              </c:numCache>
            </c:numRef>
          </c:val>
          <c:extLst>
            <c:ext xmlns:c16="http://schemas.microsoft.com/office/drawing/2014/chart" uri="{C3380CC4-5D6E-409C-BE32-E72D297353CC}">
              <c16:uniqueId val="{00000007-805A-4E5D-91B6-E24B19ECB6E2}"/>
            </c:ext>
          </c:extLst>
        </c:ser>
        <c:dLbls>
          <c:showLegendKey val="0"/>
          <c:showVal val="0"/>
          <c:showCatName val="0"/>
          <c:showSerName val="0"/>
          <c:showPercent val="0"/>
          <c:showBubbleSize val="0"/>
        </c:dLbls>
        <c:axId val="1897165503"/>
        <c:axId val="1"/>
      </c:areaChart>
      <c:catAx>
        <c:axId val="1897165503"/>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897165503"/>
        <c:crosses val="autoZero"/>
        <c:crossBetween val="midCat"/>
      </c:valAx>
      <c:spPr>
        <a:noFill/>
        <a:ln w="25400">
          <a:noFill/>
        </a:ln>
      </c:spPr>
    </c:plotArea>
    <c:legend>
      <c:legendPos val="b"/>
      <c:layout>
        <c:manualLayout>
          <c:xMode val="edge"/>
          <c:yMode val="edge"/>
          <c:wMode val="edge"/>
          <c:hMode val="edge"/>
          <c:x val="0.21317286223308529"/>
          <c:y val="0.75553446958370707"/>
          <c:w val="0.81664011055592511"/>
          <c:h val="0.9198681683776869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2719557445819"/>
          <c:y val="6.3131468817739941E-2"/>
          <c:w val="0.83531907885176182"/>
          <c:h val="0.62626417067198026"/>
        </c:manualLayout>
      </c:layout>
      <c:areaChart>
        <c:grouping val="stacked"/>
        <c:varyColors val="0"/>
        <c:ser>
          <c:idx val="2"/>
          <c:order val="0"/>
          <c:tx>
            <c:strRef>
              <c:f>Voice_data!$B$116</c:f>
              <c:strCache>
                <c:ptCount val="1"/>
                <c:pt idx="0">
                  <c:v>Voice</c:v>
                </c:pt>
              </c:strCache>
            </c:strRef>
          </c:tx>
          <c:spPr>
            <a:solidFill>
              <a:srgbClr val="000080"/>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Voice_data!$C$116:$K$116</c:f>
              <c:numCache>
                <c:formatCode>#,##0</c:formatCode>
                <c:ptCount val="9"/>
                <c:pt idx="0">
                  <c:v>972.86424682277789</c:v>
                </c:pt>
                <c:pt idx="1">
                  <c:v>1266.5983782706471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8963-4EC6-9369-74082FD0091F}"/>
            </c:ext>
          </c:extLst>
        </c:ser>
        <c:ser>
          <c:idx val="3"/>
          <c:order val="1"/>
          <c:tx>
            <c:strRef>
              <c:f>Voice_data!$B$117</c:f>
              <c:strCache>
                <c:ptCount val="1"/>
                <c:pt idx="0">
                  <c:v>SMS</c:v>
                </c:pt>
              </c:strCache>
            </c:strRef>
          </c:tx>
          <c:spPr>
            <a:solidFill>
              <a:srgbClr val="9999FF"/>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Voice_data!$C$117:$K$117</c:f>
              <c:numCache>
                <c:formatCode>#,##0</c:formatCode>
                <c:ptCount val="9"/>
                <c:pt idx="0">
                  <c:v>256</c:v>
                </c:pt>
                <c:pt idx="1">
                  <c:v>358.3715203980471</c:v>
                </c:pt>
                <c:pt idx="2">
                  <c:v>365.53895080600802</c:v>
                </c:pt>
                <c:pt idx="3">
                  <c:v>372.84972982212821</c:v>
                </c:pt>
                <c:pt idx="4">
                  <c:v>372.84972982212821</c:v>
                </c:pt>
                <c:pt idx="5">
                  <c:v>365.39273522568561</c:v>
                </c:pt>
                <c:pt idx="6">
                  <c:v>354.43095316891504</c:v>
                </c:pt>
                <c:pt idx="7">
                  <c:v>340.25371504215843</c:v>
                </c:pt>
                <c:pt idx="8">
                  <c:v>326.64356644047211</c:v>
                </c:pt>
              </c:numCache>
            </c:numRef>
          </c:val>
          <c:extLst>
            <c:ext xmlns:c16="http://schemas.microsoft.com/office/drawing/2014/chart" uri="{C3380CC4-5D6E-409C-BE32-E72D297353CC}">
              <c16:uniqueId val="{00000001-8963-4EC6-9369-74082FD0091F}"/>
            </c:ext>
          </c:extLst>
        </c:ser>
        <c:ser>
          <c:idx val="4"/>
          <c:order val="2"/>
          <c:tx>
            <c:strRef>
              <c:f>Voice_data!$B$118</c:f>
              <c:strCache>
                <c:ptCount val="1"/>
                <c:pt idx="0">
                  <c:v>Mobile internet - handset driven</c:v>
                </c:pt>
              </c:strCache>
            </c:strRef>
          </c:tx>
          <c:spPr>
            <a:solidFill>
              <a:srgbClr val="3366FF"/>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Voice_data!$C$118:$K$118</c:f>
              <c:numCache>
                <c:formatCode>#,##0</c:formatCode>
                <c:ptCount val="9"/>
                <c:pt idx="0">
                  <c:v>49.6</c:v>
                </c:pt>
                <c:pt idx="1">
                  <c:v>143.71599999999998</c:v>
                </c:pt>
                <c:pt idx="2">
                  <c:v>178.81340759999998</c:v>
                </c:pt>
                <c:pt idx="3">
                  <c:v>255.78446629199996</c:v>
                </c:pt>
                <c:pt idx="4">
                  <c:v>358.99994753759989</c:v>
                </c:pt>
                <c:pt idx="5">
                  <c:v>454.30164034887139</c:v>
                </c:pt>
                <c:pt idx="6">
                  <c:v>524.8871686143533</c:v>
                </c:pt>
                <c:pt idx="7">
                  <c:v>592.26997582553167</c:v>
                </c:pt>
                <c:pt idx="8">
                  <c:v>688.5423993033819</c:v>
                </c:pt>
              </c:numCache>
            </c:numRef>
          </c:val>
          <c:extLst>
            <c:ext xmlns:c16="http://schemas.microsoft.com/office/drawing/2014/chart" uri="{C3380CC4-5D6E-409C-BE32-E72D297353CC}">
              <c16:uniqueId val="{00000002-8963-4EC6-9369-74082FD0091F}"/>
            </c:ext>
          </c:extLst>
        </c:ser>
        <c:ser>
          <c:idx val="5"/>
          <c:order val="3"/>
          <c:tx>
            <c:strRef>
              <c:f>Voice_data!$B$119</c:f>
              <c:strCache>
                <c:ptCount val="1"/>
                <c:pt idx="0">
                  <c:v>Mobile internet - dongles</c:v>
                </c:pt>
              </c:strCache>
            </c:strRef>
          </c:tx>
          <c:spPr>
            <a:solidFill>
              <a:srgbClr val="CCCCFF"/>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Voice_data!$C$119:$K$119</c:f>
              <c:numCache>
                <c:formatCode>#,##0</c:formatCode>
                <c:ptCount val="9"/>
                <c:pt idx="0">
                  <c:v>62</c:v>
                </c:pt>
                <c:pt idx="1">
                  <c:v>126.47999999999998</c:v>
                </c:pt>
                <c:pt idx="2">
                  <c:v>126.5472</c:v>
                </c:pt>
                <c:pt idx="3">
                  <c:v>140.28487200000001</c:v>
                </c:pt>
                <c:pt idx="4">
                  <c:v>154.31335920000001</c:v>
                </c:pt>
                <c:pt idx="5">
                  <c:v>169.74469512000007</c:v>
                </c:pt>
                <c:pt idx="6">
                  <c:v>186.71916463200003</c:v>
                </c:pt>
                <c:pt idx="7">
                  <c:v>205.39108109520006</c:v>
                </c:pt>
                <c:pt idx="8">
                  <c:v>225.93018920472008</c:v>
                </c:pt>
              </c:numCache>
            </c:numRef>
          </c:val>
          <c:extLst>
            <c:ext xmlns:c16="http://schemas.microsoft.com/office/drawing/2014/chart" uri="{C3380CC4-5D6E-409C-BE32-E72D297353CC}">
              <c16:uniqueId val="{00000003-8963-4EC6-9369-74082FD0091F}"/>
            </c:ext>
          </c:extLst>
        </c:ser>
        <c:ser>
          <c:idx val="6"/>
          <c:order val="4"/>
          <c:tx>
            <c:strRef>
              <c:f>Voice_data!$B$120</c:f>
              <c:strCache>
                <c:ptCount val="1"/>
                <c:pt idx="0">
                  <c:v>Solutions</c:v>
                </c:pt>
              </c:strCache>
            </c:strRef>
          </c:tx>
          <c:spPr>
            <a:solidFill>
              <a:srgbClr val="969696"/>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Voice_data!$C$120:$K$120</c:f>
              <c:numCache>
                <c:formatCode>#,##0</c:formatCode>
                <c:ptCount val="9"/>
                <c:pt idx="0">
                  <c:v>0</c:v>
                </c:pt>
                <c:pt idx="1">
                  <c:v>51.26967901667264</c:v>
                </c:pt>
                <c:pt idx="2">
                  <c:v>70.856885911304417</c:v>
                </c:pt>
                <c:pt idx="3">
                  <c:v>86.664439658268662</c:v>
                </c:pt>
                <c:pt idx="4">
                  <c:v>97.754703685924454</c:v>
                </c:pt>
                <c:pt idx="5">
                  <c:v>90.429250422427273</c:v>
                </c:pt>
                <c:pt idx="6">
                  <c:v>88.423320268951969</c:v>
                </c:pt>
                <c:pt idx="7">
                  <c:v>53.16767650472336</c:v>
                </c:pt>
                <c:pt idx="8">
                  <c:v>64.565125703827761</c:v>
                </c:pt>
              </c:numCache>
            </c:numRef>
          </c:val>
          <c:extLst>
            <c:ext xmlns:c16="http://schemas.microsoft.com/office/drawing/2014/chart" uri="{C3380CC4-5D6E-409C-BE32-E72D297353CC}">
              <c16:uniqueId val="{00000004-8963-4EC6-9369-74082FD0091F}"/>
            </c:ext>
          </c:extLst>
        </c:ser>
        <c:ser>
          <c:idx val="7"/>
          <c:order val="5"/>
          <c:tx>
            <c:strRef>
              <c:f>Voice_data!$B$121</c:f>
              <c:strCache>
                <c:ptCount val="1"/>
                <c:pt idx="0">
                  <c:v>Entertainment</c:v>
                </c:pt>
              </c:strCache>
            </c:strRef>
          </c:tx>
          <c:spPr>
            <a:solidFill>
              <a:srgbClr val="C0C0C0"/>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Voice_data!$C$121:$K$121</c:f>
              <c:numCache>
                <c:formatCode>#,##0</c:formatCode>
                <c:ptCount val="9"/>
                <c:pt idx="0">
                  <c:v>50.58638647173953</c:v>
                </c:pt>
                <c:pt idx="1">
                  <c:v>62.098413851745399</c:v>
                </c:pt>
                <c:pt idx="2">
                  <c:v>71.62831094811088</c:v>
                </c:pt>
                <c:pt idx="3">
                  <c:v>84.69269875254416</c:v>
                </c:pt>
                <c:pt idx="4">
                  <c:v>96.848045228180212</c:v>
                </c:pt>
                <c:pt idx="5">
                  <c:v>109.31599949931625</c:v>
                </c:pt>
                <c:pt idx="6">
                  <c:v>115.96326400281126</c:v>
                </c:pt>
                <c:pt idx="7">
                  <c:v>122.11845648873771</c:v>
                </c:pt>
                <c:pt idx="8">
                  <c:v>130.98732822078529</c:v>
                </c:pt>
              </c:numCache>
            </c:numRef>
          </c:val>
          <c:extLst>
            <c:ext xmlns:c16="http://schemas.microsoft.com/office/drawing/2014/chart" uri="{C3380CC4-5D6E-409C-BE32-E72D297353CC}">
              <c16:uniqueId val="{00000005-8963-4EC6-9369-74082FD0091F}"/>
            </c:ext>
          </c:extLst>
        </c:ser>
        <c:ser>
          <c:idx val="8"/>
          <c:order val="6"/>
          <c:tx>
            <c:strRef>
              <c:f>Voice_data!$B$122</c:f>
              <c:strCache>
                <c:ptCount val="1"/>
                <c:pt idx="0">
                  <c:v>Other</c:v>
                </c:pt>
              </c:strCache>
            </c:strRef>
          </c:tx>
          <c:spPr>
            <a:solidFill>
              <a:srgbClr val="0000FF"/>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Voice_data!$C$122:$K$122</c:f>
              <c:numCache>
                <c:formatCode>#,##0</c:formatCode>
                <c:ptCount val="9"/>
                <c:pt idx="0">
                  <c:v>76.591166705482578</c:v>
                </c:pt>
                <c:pt idx="1">
                  <c:v>-264.88443541691822</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8963-4EC6-9369-74082FD0091F}"/>
            </c:ext>
          </c:extLst>
        </c:ser>
        <c:ser>
          <c:idx val="0"/>
          <c:order val="7"/>
          <c:tx>
            <c:strRef>
              <c:f>Voice_data!$B$123</c:f>
              <c:strCache>
                <c:ptCount val="1"/>
                <c:pt idx="0">
                  <c:v>Handsets</c:v>
                </c:pt>
              </c:strCache>
            </c:strRef>
          </c:tx>
          <c:spPr>
            <a:solidFill>
              <a:srgbClr val="333399"/>
            </a:solidFill>
            <a:ln w="25400">
              <a:noFill/>
            </a:ln>
          </c:spPr>
          <c:cat>
            <c:numRef>
              <c:f>Voice_data!$C$115:$K$115</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Voice_data!$C$123:$K$123</c:f>
              <c:numCache>
                <c:formatCode>#,##0</c:formatCode>
                <c:ptCount val="9"/>
                <c:pt idx="0">
                  <c:v>-33.708799999999997</c:v>
                </c:pt>
                <c:pt idx="1">
                  <c:v>-55.173556120193922</c:v>
                </c:pt>
                <c:pt idx="2">
                  <c:v>-60.349940998642687</c:v>
                </c:pt>
                <c:pt idx="3">
                  <c:v>-73.545770186171822</c:v>
                </c:pt>
                <c:pt idx="4">
                  <c:v>-87.993884698828083</c:v>
                </c:pt>
                <c:pt idx="5">
                  <c:v>-84.591577838047485</c:v>
                </c:pt>
                <c:pt idx="6">
                  <c:v>-78.328499951950363</c:v>
                </c:pt>
                <c:pt idx="7">
                  <c:v>-78.949409570110319</c:v>
                </c:pt>
                <c:pt idx="8">
                  <c:v>-81.922750812230305</c:v>
                </c:pt>
              </c:numCache>
            </c:numRef>
          </c:val>
          <c:extLst>
            <c:ext xmlns:c16="http://schemas.microsoft.com/office/drawing/2014/chart" uri="{C3380CC4-5D6E-409C-BE32-E72D297353CC}">
              <c16:uniqueId val="{00000007-8963-4EC6-9369-74082FD0091F}"/>
            </c:ext>
          </c:extLst>
        </c:ser>
        <c:dLbls>
          <c:showLegendKey val="0"/>
          <c:showVal val="0"/>
          <c:showCatName val="0"/>
          <c:showSerName val="0"/>
          <c:showPercent val="0"/>
          <c:showBubbleSize val="0"/>
        </c:dLbls>
        <c:axId val="1897167103"/>
        <c:axId val="1"/>
      </c:areaChart>
      <c:catAx>
        <c:axId val="1897167103"/>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897167103"/>
        <c:crosses val="autoZero"/>
        <c:crossBetween val="midCat"/>
      </c:valAx>
      <c:spPr>
        <a:noFill/>
        <a:ln w="25400">
          <a:noFill/>
        </a:ln>
      </c:spPr>
    </c:plotArea>
    <c:legend>
      <c:legendPos val="b"/>
      <c:layout>
        <c:manualLayout>
          <c:xMode val="edge"/>
          <c:yMode val="edge"/>
          <c:wMode val="edge"/>
          <c:hMode val="edge"/>
          <c:x val="0.20970921124977954"/>
          <c:y val="0.79639571568705425"/>
          <c:w val="0.81536148890479598"/>
          <c:h val="0.96172353455818027"/>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51396743893135E-2"/>
          <c:y val="0.18800223247956074"/>
          <c:w val="0.56711623830995583"/>
          <c:h val="0.66614112891061028"/>
        </c:manualLayout>
      </c:layout>
      <c:pieChart>
        <c:varyColors val="1"/>
        <c:ser>
          <c:idx val="0"/>
          <c:order val="0"/>
          <c:dPt>
            <c:idx val="0"/>
            <c:bubble3D val="0"/>
            <c:spPr>
              <a:solidFill>
                <a:srgbClr val="000080"/>
              </a:solidFill>
              <a:ln w="25400">
                <a:noFill/>
              </a:ln>
            </c:spPr>
            <c:extLst>
              <c:ext xmlns:c16="http://schemas.microsoft.com/office/drawing/2014/chart" uri="{C3380CC4-5D6E-409C-BE32-E72D297353CC}">
                <c16:uniqueId val="{00000000-64EA-4AA6-9B01-6830292BB2CE}"/>
              </c:ext>
            </c:extLst>
          </c:dPt>
          <c:dPt>
            <c:idx val="1"/>
            <c:bubble3D val="0"/>
            <c:spPr>
              <a:solidFill>
                <a:srgbClr val="9999FF"/>
              </a:solidFill>
              <a:ln w="25400">
                <a:noFill/>
              </a:ln>
            </c:spPr>
            <c:extLst>
              <c:ext xmlns:c16="http://schemas.microsoft.com/office/drawing/2014/chart" uri="{C3380CC4-5D6E-409C-BE32-E72D297353CC}">
                <c16:uniqueId val="{00000001-64EA-4AA6-9B01-6830292BB2CE}"/>
              </c:ext>
            </c:extLst>
          </c:dPt>
          <c:dPt>
            <c:idx val="2"/>
            <c:bubble3D val="0"/>
            <c:spPr>
              <a:solidFill>
                <a:srgbClr val="3366FF"/>
              </a:solidFill>
              <a:ln w="25400">
                <a:noFill/>
              </a:ln>
            </c:spPr>
            <c:extLst>
              <c:ext xmlns:c16="http://schemas.microsoft.com/office/drawing/2014/chart" uri="{C3380CC4-5D6E-409C-BE32-E72D297353CC}">
                <c16:uniqueId val="{00000002-64EA-4AA6-9B01-6830292BB2CE}"/>
              </c:ext>
            </c:extLst>
          </c:dPt>
          <c:dPt>
            <c:idx val="3"/>
            <c:bubble3D val="0"/>
            <c:spPr>
              <a:solidFill>
                <a:srgbClr val="CCCCFF"/>
              </a:solidFill>
              <a:ln w="25400">
                <a:noFill/>
              </a:ln>
            </c:spPr>
            <c:extLst>
              <c:ext xmlns:c16="http://schemas.microsoft.com/office/drawing/2014/chart" uri="{C3380CC4-5D6E-409C-BE32-E72D297353CC}">
                <c16:uniqueId val="{00000003-64EA-4AA6-9B01-6830292BB2CE}"/>
              </c:ext>
            </c:extLst>
          </c:dPt>
          <c:dPt>
            <c:idx val="4"/>
            <c:bubble3D val="0"/>
            <c:spPr>
              <a:solidFill>
                <a:srgbClr val="969696"/>
              </a:solidFill>
              <a:ln w="25400">
                <a:noFill/>
              </a:ln>
            </c:spPr>
            <c:extLst>
              <c:ext xmlns:c16="http://schemas.microsoft.com/office/drawing/2014/chart" uri="{C3380CC4-5D6E-409C-BE32-E72D297353CC}">
                <c16:uniqueId val="{00000004-64EA-4AA6-9B01-6830292BB2CE}"/>
              </c:ext>
            </c:extLst>
          </c:dPt>
          <c:dPt>
            <c:idx val="5"/>
            <c:bubble3D val="0"/>
            <c:spPr>
              <a:solidFill>
                <a:srgbClr val="C0C0C0"/>
              </a:solidFill>
              <a:ln w="25400">
                <a:noFill/>
              </a:ln>
            </c:spPr>
            <c:extLst>
              <c:ext xmlns:c16="http://schemas.microsoft.com/office/drawing/2014/chart" uri="{C3380CC4-5D6E-409C-BE32-E72D297353CC}">
                <c16:uniqueId val="{00000005-64EA-4AA6-9B01-6830292BB2CE}"/>
              </c:ext>
            </c:extLst>
          </c:dPt>
          <c:dPt>
            <c:idx val="6"/>
            <c:bubble3D val="0"/>
            <c:spPr>
              <a:solidFill>
                <a:srgbClr val="0000FF"/>
              </a:solidFill>
              <a:ln w="25400">
                <a:noFill/>
              </a:ln>
            </c:spPr>
            <c:extLst>
              <c:ext xmlns:c16="http://schemas.microsoft.com/office/drawing/2014/chart" uri="{C3380CC4-5D6E-409C-BE32-E72D297353CC}">
                <c16:uniqueId val="{00000006-64EA-4AA6-9B01-6830292BB2CE}"/>
              </c:ext>
            </c:extLst>
          </c:dPt>
          <c:dPt>
            <c:idx val="7"/>
            <c:bubble3D val="0"/>
            <c:spPr>
              <a:solidFill>
                <a:srgbClr val="333399"/>
              </a:solidFill>
              <a:ln w="3175">
                <a:solidFill>
                  <a:srgbClr val="C0C0C0"/>
                </a:solidFill>
                <a:prstDash val="solid"/>
              </a:ln>
            </c:spPr>
            <c:extLst>
              <c:ext xmlns:c16="http://schemas.microsoft.com/office/drawing/2014/chart" uri="{C3380CC4-5D6E-409C-BE32-E72D297353CC}">
                <c16:uniqueId val="{00000007-64EA-4AA6-9B01-6830292BB2CE}"/>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Voice_data!$N$26:$N$33</c:f>
              <c:strCache>
                <c:ptCount val="8"/>
                <c:pt idx="0">
                  <c:v>Voice</c:v>
                </c:pt>
                <c:pt idx="1">
                  <c:v>SMS</c:v>
                </c:pt>
                <c:pt idx="2">
                  <c:v>MI: handset</c:v>
                </c:pt>
                <c:pt idx="3">
                  <c:v>MI: dongles</c:v>
                </c:pt>
                <c:pt idx="4">
                  <c:v>Solutions</c:v>
                </c:pt>
                <c:pt idx="5">
                  <c:v>Entertainment</c:v>
                </c:pt>
                <c:pt idx="6">
                  <c:v>Other VAS</c:v>
                </c:pt>
                <c:pt idx="7">
                  <c:v>Handsets/equipment</c:v>
                </c:pt>
              </c:strCache>
            </c:strRef>
          </c:cat>
          <c:val>
            <c:numRef>
              <c:f>Voice_data!$O$26:$O$33</c:f>
              <c:numCache>
                <c:formatCode>0</c:formatCode>
                <c:ptCount val="8"/>
                <c:pt idx="0">
                  <c:v>2584.8946495319328</c:v>
                </c:pt>
                <c:pt idx="1">
                  <c:v>447.96440049755881</c:v>
                </c:pt>
                <c:pt idx="2">
                  <c:v>231.79999999999998</c:v>
                </c:pt>
                <c:pt idx="3">
                  <c:v>203.99999999999997</c:v>
                </c:pt>
                <c:pt idx="4">
                  <c:v>85.449465027787738</c:v>
                </c:pt>
                <c:pt idx="5">
                  <c:v>248.39365540698159</c:v>
                </c:pt>
                <c:pt idx="6">
                  <c:v>0</c:v>
                </c:pt>
                <c:pt idx="7">
                  <c:v>275.86778060096958</c:v>
                </c:pt>
              </c:numCache>
            </c:numRef>
          </c:val>
          <c:extLst>
            <c:ext xmlns:c16="http://schemas.microsoft.com/office/drawing/2014/chart" uri="{C3380CC4-5D6E-409C-BE32-E72D297353CC}">
              <c16:uniqueId val="{00000008-64EA-4AA6-9B01-6830292BB2C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7062903368962936"/>
          <c:y val="0.37987510181916917"/>
          <c:w val="0.61452369178490374"/>
          <c:h val="0.54921682203517663"/>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000080"/>
              </a:solidFill>
              <a:ln w="25400">
                <a:noFill/>
              </a:ln>
            </c:spPr>
            <c:extLst>
              <c:ext xmlns:c16="http://schemas.microsoft.com/office/drawing/2014/chart" uri="{C3380CC4-5D6E-409C-BE32-E72D297353CC}">
                <c16:uniqueId val="{00000000-66AB-4B85-9D2E-423396EA7F46}"/>
              </c:ext>
            </c:extLst>
          </c:dPt>
          <c:dPt>
            <c:idx val="1"/>
            <c:bubble3D val="0"/>
            <c:spPr>
              <a:solidFill>
                <a:srgbClr val="9999FF"/>
              </a:solidFill>
              <a:ln w="25400">
                <a:noFill/>
              </a:ln>
            </c:spPr>
            <c:extLst>
              <c:ext xmlns:c16="http://schemas.microsoft.com/office/drawing/2014/chart" uri="{C3380CC4-5D6E-409C-BE32-E72D297353CC}">
                <c16:uniqueId val="{00000001-66AB-4B85-9D2E-423396EA7F46}"/>
              </c:ext>
            </c:extLst>
          </c:dPt>
          <c:dPt>
            <c:idx val="2"/>
            <c:bubble3D val="0"/>
            <c:spPr>
              <a:solidFill>
                <a:srgbClr val="3366FF"/>
              </a:solidFill>
              <a:ln w="25400">
                <a:noFill/>
              </a:ln>
            </c:spPr>
            <c:extLst>
              <c:ext xmlns:c16="http://schemas.microsoft.com/office/drawing/2014/chart" uri="{C3380CC4-5D6E-409C-BE32-E72D297353CC}">
                <c16:uniqueId val="{00000002-66AB-4B85-9D2E-423396EA7F46}"/>
              </c:ext>
            </c:extLst>
          </c:dPt>
          <c:dPt>
            <c:idx val="3"/>
            <c:bubble3D val="0"/>
            <c:spPr>
              <a:solidFill>
                <a:srgbClr val="CCCCFF"/>
              </a:solidFill>
              <a:ln w="25400">
                <a:noFill/>
              </a:ln>
            </c:spPr>
            <c:extLst>
              <c:ext xmlns:c16="http://schemas.microsoft.com/office/drawing/2014/chart" uri="{C3380CC4-5D6E-409C-BE32-E72D297353CC}">
                <c16:uniqueId val="{00000003-66AB-4B85-9D2E-423396EA7F46}"/>
              </c:ext>
            </c:extLst>
          </c:dPt>
          <c:dPt>
            <c:idx val="4"/>
            <c:bubble3D val="0"/>
            <c:spPr>
              <a:solidFill>
                <a:srgbClr val="969696"/>
              </a:solidFill>
              <a:ln w="25400">
                <a:noFill/>
              </a:ln>
            </c:spPr>
            <c:extLst>
              <c:ext xmlns:c16="http://schemas.microsoft.com/office/drawing/2014/chart" uri="{C3380CC4-5D6E-409C-BE32-E72D297353CC}">
                <c16:uniqueId val="{00000004-66AB-4B85-9D2E-423396EA7F46}"/>
              </c:ext>
            </c:extLst>
          </c:dPt>
          <c:dPt>
            <c:idx val="5"/>
            <c:bubble3D val="0"/>
            <c:spPr>
              <a:solidFill>
                <a:srgbClr val="C0C0C0"/>
              </a:solidFill>
              <a:ln w="25400">
                <a:noFill/>
              </a:ln>
            </c:spPr>
            <c:extLst>
              <c:ext xmlns:c16="http://schemas.microsoft.com/office/drawing/2014/chart" uri="{C3380CC4-5D6E-409C-BE32-E72D297353CC}">
                <c16:uniqueId val="{00000005-66AB-4B85-9D2E-423396EA7F46}"/>
              </c:ext>
            </c:extLst>
          </c:dPt>
          <c:dPt>
            <c:idx val="6"/>
            <c:bubble3D val="0"/>
            <c:spPr>
              <a:solidFill>
                <a:srgbClr val="0000FF"/>
              </a:solidFill>
              <a:ln w="25400">
                <a:noFill/>
              </a:ln>
            </c:spPr>
            <c:extLst>
              <c:ext xmlns:c16="http://schemas.microsoft.com/office/drawing/2014/chart" uri="{C3380CC4-5D6E-409C-BE32-E72D297353CC}">
                <c16:uniqueId val="{00000006-66AB-4B85-9D2E-423396EA7F46}"/>
              </c:ext>
            </c:extLst>
          </c:dPt>
          <c:dPt>
            <c:idx val="7"/>
            <c:bubble3D val="0"/>
            <c:spPr>
              <a:solidFill>
                <a:srgbClr val="333399"/>
              </a:solidFill>
              <a:ln w="3175">
                <a:solidFill>
                  <a:srgbClr val="C0C0C0"/>
                </a:solidFill>
                <a:prstDash val="solid"/>
              </a:ln>
            </c:spPr>
            <c:extLst>
              <c:ext xmlns:c16="http://schemas.microsoft.com/office/drawing/2014/chart" uri="{C3380CC4-5D6E-409C-BE32-E72D297353CC}">
                <c16:uniqueId val="{00000007-66AB-4B85-9D2E-423396EA7F46}"/>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Voice_data!$N$26:$N$33</c:f>
              <c:strCache>
                <c:ptCount val="8"/>
                <c:pt idx="0">
                  <c:v>Voice</c:v>
                </c:pt>
                <c:pt idx="1">
                  <c:v>SMS</c:v>
                </c:pt>
                <c:pt idx="2">
                  <c:v>MI: handset</c:v>
                </c:pt>
                <c:pt idx="3">
                  <c:v>MI: dongles</c:v>
                </c:pt>
                <c:pt idx="4">
                  <c:v>Solutions</c:v>
                </c:pt>
                <c:pt idx="5">
                  <c:v>Entertainment</c:v>
                </c:pt>
                <c:pt idx="6">
                  <c:v>Other VAS</c:v>
                </c:pt>
                <c:pt idx="7">
                  <c:v>Handsets/equipment</c:v>
                </c:pt>
              </c:strCache>
            </c:strRef>
          </c:cat>
          <c:val>
            <c:numRef>
              <c:f>Voice_data!$P$26:$P$33</c:f>
              <c:numCache>
                <c:formatCode>0</c:formatCode>
                <c:ptCount val="8"/>
                <c:pt idx="0">
                  <c:v>0</c:v>
                </c:pt>
                <c:pt idx="1">
                  <c:v>408.30445805059009</c:v>
                </c:pt>
                <c:pt idx="2">
                  <c:v>1128.7580316448884</c:v>
                </c:pt>
                <c:pt idx="3">
                  <c:v>370.37735935200016</c:v>
                </c:pt>
                <c:pt idx="4">
                  <c:v>645.65125703827789</c:v>
                </c:pt>
                <c:pt idx="5">
                  <c:v>523.94931288314115</c:v>
                </c:pt>
                <c:pt idx="6">
                  <c:v>0</c:v>
                </c:pt>
                <c:pt idx="7">
                  <c:v>409.6137540611515</c:v>
                </c:pt>
              </c:numCache>
            </c:numRef>
          </c:val>
          <c:extLst>
            <c:ext xmlns:c16="http://schemas.microsoft.com/office/drawing/2014/chart" uri="{C3380CC4-5D6E-409C-BE32-E72D297353CC}">
              <c16:uniqueId val="{00000008-66AB-4B85-9D2E-423396EA7F4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43552820743012827"/>
          <c:y val="0.22197514103840468"/>
          <c:w val="0.47478182804346608"/>
          <c:h val="0.39131686125441217"/>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dPt>
            <c:idx val="10"/>
            <c:invertIfNegative val="0"/>
            <c:bubble3D val="0"/>
            <c:spPr>
              <a:solidFill>
                <a:srgbClr val="00B0F0"/>
              </a:solidFill>
              <a:ln w="25400">
                <a:noFill/>
              </a:ln>
            </c:spPr>
            <c:extLst>
              <c:ext xmlns:c16="http://schemas.microsoft.com/office/drawing/2014/chart" uri="{C3380CC4-5D6E-409C-BE32-E72D297353CC}">
                <c16:uniqueId val="{00000000-943A-4FC3-9665-19054F90D1AF}"/>
              </c:ext>
            </c:extLst>
          </c:dPt>
          <c:cat>
            <c:strRef>
              <c:f>Analysis!$B$1858:$B$1889</c:f>
              <c:strCache>
                <c:ptCount val="32"/>
                <c:pt idx="0">
                  <c:v>Bangladesh</c:v>
                </c:pt>
                <c:pt idx="1">
                  <c:v>Ukraine</c:v>
                </c:pt>
                <c:pt idx="2">
                  <c:v>Pakistan</c:v>
                </c:pt>
                <c:pt idx="3">
                  <c:v>Indonesia</c:v>
                </c:pt>
                <c:pt idx="4">
                  <c:v>India</c:v>
                </c:pt>
                <c:pt idx="5">
                  <c:v>China</c:v>
                </c:pt>
                <c:pt idx="6">
                  <c:v>Malaysia</c:v>
                </c:pt>
                <c:pt idx="7">
                  <c:v>Thailand</c:v>
                </c:pt>
                <c:pt idx="8">
                  <c:v>Colombia</c:v>
                </c:pt>
                <c:pt idx="9">
                  <c:v>Algeria</c:v>
                </c:pt>
                <c:pt idx="10">
                  <c:v>Millicom LATAM</c:v>
                </c:pt>
                <c:pt idx="11">
                  <c:v>Turkey</c:v>
                </c:pt>
                <c:pt idx="12">
                  <c:v>Mexico</c:v>
                </c:pt>
                <c:pt idx="13">
                  <c:v>Hong Kong</c:v>
                </c:pt>
                <c:pt idx="14">
                  <c:v>Tunisia</c:v>
                </c:pt>
                <c:pt idx="15">
                  <c:v>Ghana</c:v>
                </c:pt>
                <c:pt idx="16">
                  <c:v>Russia</c:v>
                </c:pt>
                <c:pt idx="17">
                  <c:v>Egypt</c:v>
                </c:pt>
                <c:pt idx="18">
                  <c:v>US</c:v>
                </c:pt>
                <c:pt idx="19">
                  <c:v>Poland</c:v>
                </c:pt>
                <c:pt idx="20">
                  <c:v>Brazil</c:v>
                </c:pt>
                <c:pt idx="21">
                  <c:v>Iran</c:v>
                </c:pt>
                <c:pt idx="22">
                  <c:v>Hungary</c:v>
                </c:pt>
                <c:pt idx="23">
                  <c:v>Singapore</c:v>
                </c:pt>
                <c:pt idx="24">
                  <c:v>Syria</c:v>
                </c:pt>
                <c:pt idx="25">
                  <c:v>Korea</c:v>
                </c:pt>
                <c:pt idx="26">
                  <c:v>Czech Rep</c:v>
                </c:pt>
                <c:pt idx="27">
                  <c:v>W Europe</c:v>
                </c:pt>
                <c:pt idx="28">
                  <c:v>Morocco</c:v>
                </c:pt>
                <c:pt idx="29">
                  <c:v>Nigeria</c:v>
                </c:pt>
                <c:pt idx="30">
                  <c:v>Kuwait</c:v>
                </c:pt>
                <c:pt idx="31">
                  <c:v>South Africa</c:v>
                </c:pt>
              </c:strCache>
            </c:strRef>
          </c:cat>
          <c:val>
            <c:numRef>
              <c:f>Analysis!$D$1858:$D$1889</c:f>
              <c:numCache>
                <c:formatCode>0.0</c:formatCode>
                <c:ptCount val="32"/>
                <c:pt idx="0">
                  <c:v>1.0786697801431828</c:v>
                </c:pt>
                <c:pt idx="1">
                  <c:v>1.1774313890871342</c:v>
                </c:pt>
                <c:pt idx="2">
                  <c:v>1.5817685582269954</c:v>
                </c:pt>
                <c:pt idx="3">
                  <c:v>2.0910184620784675</c:v>
                </c:pt>
                <c:pt idx="4">
                  <c:v>2.3053782808240744</c:v>
                </c:pt>
                <c:pt idx="5">
                  <c:v>2.35</c:v>
                </c:pt>
                <c:pt idx="6">
                  <c:v>2.413496466749971</c:v>
                </c:pt>
                <c:pt idx="7">
                  <c:v>3.8998214277099597</c:v>
                </c:pt>
                <c:pt idx="8">
                  <c:v>4.292963801362232</c:v>
                </c:pt>
                <c:pt idx="9">
                  <c:v>4.7889555583226553</c:v>
                </c:pt>
                <c:pt idx="10">
                  <c:v>5</c:v>
                </c:pt>
                <c:pt idx="11">
                  <c:v>6.4706111085391154</c:v>
                </c:pt>
                <c:pt idx="12">
                  <c:v>7.0544506520793036</c:v>
                </c:pt>
                <c:pt idx="13">
                  <c:v>7.2013826409004231</c:v>
                </c:pt>
                <c:pt idx="14">
                  <c:v>7.2761503716035296</c:v>
                </c:pt>
                <c:pt idx="15">
                  <c:v>7.6190476190476186</c:v>
                </c:pt>
                <c:pt idx="16">
                  <c:v>8.0399657911205473</c:v>
                </c:pt>
                <c:pt idx="17">
                  <c:v>9.4432047548595488</c:v>
                </c:pt>
                <c:pt idx="18">
                  <c:v>10.549450549450549</c:v>
                </c:pt>
                <c:pt idx="19">
                  <c:v>11.088870237921471</c:v>
                </c:pt>
                <c:pt idx="20">
                  <c:v>12</c:v>
                </c:pt>
                <c:pt idx="21">
                  <c:v>13.037623762376237</c:v>
                </c:pt>
                <c:pt idx="22">
                  <c:v>13.598797930932333</c:v>
                </c:pt>
                <c:pt idx="23">
                  <c:v>15.513801038871337</c:v>
                </c:pt>
                <c:pt idx="24">
                  <c:v>15.788279773156901</c:v>
                </c:pt>
                <c:pt idx="25">
                  <c:v>17.082304295011546</c:v>
                </c:pt>
                <c:pt idx="26">
                  <c:v>17.209527352548978</c:v>
                </c:pt>
                <c:pt idx="27">
                  <c:v>18.695823895008594</c:v>
                </c:pt>
                <c:pt idx="28">
                  <c:v>21.587805092959734</c:v>
                </c:pt>
                <c:pt idx="29">
                  <c:v>22.641509433962263</c:v>
                </c:pt>
                <c:pt idx="30">
                  <c:v>24.553525343298055</c:v>
                </c:pt>
                <c:pt idx="31">
                  <c:v>27.00562854497414</c:v>
                </c:pt>
              </c:numCache>
            </c:numRef>
          </c:val>
          <c:extLst>
            <c:ext xmlns:c16="http://schemas.microsoft.com/office/drawing/2014/chart" uri="{C3380CC4-5D6E-409C-BE32-E72D297353CC}">
              <c16:uniqueId val="{00000001-943A-4FC3-9665-19054F90D1AF}"/>
            </c:ext>
          </c:extLst>
        </c:ser>
        <c:dLbls>
          <c:showLegendKey val="0"/>
          <c:showVal val="0"/>
          <c:showCatName val="0"/>
          <c:showSerName val="0"/>
          <c:showPercent val="0"/>
          <c:showBubbleSize val="0"/>
        </c:dLbls>
        <c:gapWidth val="150"/>
        <c:axId val="1888804047"/>
        <c:axId val="1"/>
      </c:barChart>
      <c:catAx>
        <c:axId val="1888804047"/>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888804047"/>
        <c:crosses val="autoZero"/>
        <c:crossBetween val="between"/>
      </c:valAx>
      <c:spPr>
        <a:noFill/>
        <a:ln w="25400">
          <a:noFill/>
        </a:ln>
      </c:spPr>
    </c:plotArea>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51396743893135E-2"/>
          <c:y val="0.18800223247956074"/>
          <c:w val="0.56711623830995583"/>
          <c:h val="0.66614112891061028"/>
        </c:manualLayout>
      </c:layout>
      <c:pieChart>
        <c:varyColors val="1"/>
        <c:ser>
          <c:idx val="0"/>
          <c:order val="0"/>
          <c:dPt>
            <c:idx val="0"/>
            <c:bubble3D val="0"/>
            <c:spPr>
              <a:solidFill>
                <a:srgbClr val="000080"/>
              </a:solidFill>
              <a:ln w="25400">
                <a:noFill/>
              </a:ln>
            </c:spPr>
            <c:extLst>
              <c:ext xmlns:c16="http://schemas.microsoft.com/office/drawing/2014/chart" uri="{C3380CC4-5D6E-409C-BE32-E72D297353CC}">
                <c16:uniqueId val="{00000000-BABC-473F-A6A8-69821104E17A}"/>
              </c:ext>
            </c:extLst>
          </c:dPt>
          <c:dPt>
            <c:idx val="1"/>
            <c:bubble3D val="0"/>
            <c:spPr>
              <a:solidFill>
                <a:srgbClr val="9999FF"/>
              </a:solidFill>
              <a:ln w="25400">
                <a:noFill/>
              </a:ln>
            </c:spPr>
            <c:extLst>
              <c:ext xmlns:c16="http://schemas.microsoft.com/office/drawing/2014/chart" uri="{C3380CC4-5D6E-409C-BE32-E72D297353CC}">
                <c16:uniqueId val="{00000001-BABC-473F-A6A8-69821104E17A}"/>
              </c:ext>
            </c:extLst>
          </c:dPt>
          <c:dPt>
            <c:idx val="2"/>
            <c:bubble3D val="0"/>
            <c:spPr>
              <a:solidFill>
                <a:srgbClr val="3366FF"/>
              </a:solidFill>
              <a:ln w="25400">
                <a:noFill/>
              </a:ln>
            </c:spPr>
            <c:extLst>
              <c:ext xmlns:c16="http://schemas.microsoft.com/office/drawing/2014/chart" uri="{C3380CC4-5D6E-409C-BE32-E72D297353CC}">
                <c16:uniqueId val="{00000002-BABC-473F-A6A8-69821104E17A}"/>
              </c:ext>
            </c:extLst>
          </c:dPt>
          <c:dPt>
            <c:idx val="3"/>
            <c:bubble3D val="0"/>
            <c:spPr>
              <a:solidFill>
                <a:srgbClr val="CCCCFF"/>
              </a:solidFill>
              <a:ln w="25400">
                <a:noFill/>
              </a:ln>
            </c:spPr>
            <c:extLst>
              <c:ext xmlns:c16="http://schemas.microsoft.com/office/drawing/2014/chart" uri="{C3380CC4-5D6E-409C-BE32-E72D297353CC}">
                <c16:uniqueId val="{00000003-BABC-473F-A6A8-69821104E17A}"/>
              </c:ext>
            </c:extLst>
          </c:dPt>
          <c:dPt>
            <c:idx val="4"/>
            <c:bubble3D val="0"/>
            <c:spPr>
              <a:solidFill>
                <a:srgbClr val="969696"/>
              </a:solidFill>
              <a:ln w="25400">
                <a:noFill/>
              </a:ln>
            </c:spPr>
            <c:extLst>
              <c:ext xmlns:c16="http://schemas.microsoft.com/office/drawing/2014/chart" uri="{C3380CC4-5D6E-409C-BE32-E72D297353CC}">
                <c16:uniqueId val="{00000004-BABC-473F-A6A8-69821104E17A}"/>
              </c:ext>
            </c:extLst>
          </c:dPt>
          <c:dPt>
            <c:idx val="5"/>
            <c:bubble3D val="0"/>
            <c:spPr>
              <a:solidFill>
                <a:srgbClr val="C0C0C0"/>
              </a:solidFill>
              <a:ln w="25400">
                <a:noFill/>
              </a:ln>
            </c:spPr>
            <c:extLst>
              <c:ext xmlns:c16="http://schemas.microsoft.com/office/drawing/2014/chart" uri="{C3380CC4-5D6E-409C-BE32-E72D297353CC}">
                <c16:uniqueId val="{00000005-BABC-473F-A6A8-69821104E17A}"/>
              </c:ext>
            </c:extLst>
          </c:dPt>
          <c:dPt>
            <c:idx val="6"/>
            <c:bubble3D val="0"/>
            <c:spPr>
              <a:solidFill>
                <a:srgbClr val="0000FF"/>
              </a:solidFill>
              <a:ln w="25400">
                <a:noFill/>
              </a:ln>
            </c:spPr>
            <c:extLst>
              <c:ext xmlns:c16="http://schemas.microsoft.com/office/drawing/2014/chart" uri="{C3380CC4-5D6E-409C-BE32-E72D297353CC}">
                <c16:uniqueId val="{00000006-BABC-473F-A6A8-69821104E17A}"/>
              </c:ext>
            </c:extLst>
          </c:dPt>
          <c:dPt>
            <c:idx val="7"/>
            <c:bubble3D val="0"/>
            <c:spPr>
              <a:solidFill>
                <a:srgbClr val="333399"/>
              </a:solidFill>
              <a:ln w="3175">
                <a:solidFill>
                  <a:srgbClr val="C0C0C0"/>
                </a:solidFill>
                <a:prstDash val="solid"/>
              </a:ln>
            </c:spPr>
            <c:extLst>
              <c:ext xmlns:c16="http://schemas.microsoft.com/office/drawing/2014/chart" uri="{C3380CC4-5D6E-409C-BE32-E72D297353CC}">
                <c16:uniqueId val="{00000007-BABC-473F-A6A8-69821104E17A}"/>
              </c:ext>
            </c:extLst>
          </c:dPt>
          <c:dLbls>
            <c:dLbl>
              <c:idx val="6"/>
              <c:layout>
                <c:manualLayout>
                  <c:x val="-9.7855802155601516E-3"/>
                  <c:y val="-3.4482758620689655E-2"/>
                </c:manualLayout>
              </c:layout>
              <c:numFmt formatCode="0.0%" sourceLinked="0"/>
              <c:spPr/>
              <c:txPr>
                <a:bodyPr/>
                <a:lstStyle/>
                <a:p>
                  <a:pPr>
                    <a:defRPr sz="800" b="0" i="0" u="none" strike="noStrike" baseline="0">
                      <a:solidFill>
                        <a:srgbClr val="000000"/>
                      </a:solidFill>
                      <a:latin typeface="Trebuchet MS"/>
                      <a:ea typeface="Trebuchet MS"/>
                      <a:cs typeface="Trebuchet M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BC-473F-A6A8-69821104E17A}"/>
                </c:ext>
              </c:extLst>
            </c:dLbl>
            <c:dLbl>
              <c:idx val="7"/>
              <c:layout>
                <c:manualLayout>
                  <c:x val="3.2618600718533834E-2"/>
                  <c:y val="-4.9808429118773957E-2"/>
                </c:manualLayout>
              </c:layout>
              <c:numFmt formatCode="0.0%" sourceLinked="0"/>
              <c:spPr/>
              <c:txPr>
                <a:bodyPr/>
                <a:lstStyle/>
                <a:p>
                  <a:pPr>
                    <a:defRPr sz="800" b="0" i="0" u="none" strike="noStrike" baseline="0">
                      <a:solidFill>
                        <a:srgbClr val="000000"/>
                      </a:solidFill>
                      <a:latin typeface="Trebuchet MS"/>
                      <a:ea typeface="Trebuchet MS"/>
                      <a:cs typeface="Trebuchet M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BC-473F-A6A8-69821104E17A}"/>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Voice_data!$N$54:$N$61</c:f>
              <c:strCache>
                <c:ptCount val="8"/>
                <c:pt idx="0">
                  <c:v>Voice</c:v>
                </c:pt>
                <c:pt idx="1">
                  <c:v>SMS</c:v>
                </c:pt>
                <c:pt idx="2">
                  <c:v>MI: handset</c:v>
                </c:pt>
                <c:pt idx="3">
                  <c:v>MI: dongles</c:v>
                </c:pt>
                <c:pt idx="4">
                  <c:v>Solutions</c:v>
                </c:pt>
                <c:pt idx="5">
                  <c:v>Entertainment</c:v>
                </c:pt>
                <c:pt idx="6">
                  <c:v>Other VAS</c:v>
                </c:pt>
                <c:pt idx="7">
                  <c:v>Handsets/equipment</c:v>
                </c:pt>
              </c:strCache>
            </c:strRef>
          </c:cat>
          <c:val>
            <c:numRef>
              <c:f>Voice_data!$O$54:$O$61</c:f>
              <c:numCache>
                <c:formatCode>#,##0</c:formatCode>
                <c:ptCount val="8"/>
                <c:pt idx="0">
                  <c:v>1266.5983782706471</c:v>
                </c:pt>
                <c:pt idx="1">
                  <c:v>358.3715203980471</c:v>
                </c:pt>
                <c:pt idx="2">
                  <c:v>143.71599999999998</c:v>
                </c:pt>
                <c:pt idx="3">
                  <c:v>126.47999999999998</c:v>
                </c:pt>
                <c:pt idx="4">
                  <c:v>51.26967901667264</c:v>
                </c:pt>
                <c:pt idx="5">
                  <c:v>62.098413851745399</c:v>
                </c:pt>
                <c:pt idx="6">
                  <c:v>-264.88443541691822</c:v>
                </c:pt>
                <c:pt idx="7">
                  <c:v>-55.173556120193922</c:v>
                </c:pt>
              </c:numCache>
            </c:numRef>
          </c:val>
          <c:extLst>
            <c:ext xmlns:c16="http://schemas.microsoft.com/office/drawing/2014/chart" uri="{C3380CC4-5D6E-409C-BE32-E72D297353CC}">
              <c16:uniqueId val="{00000008-BABC-473F-A6A8-69821104E17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0231452952438924"/>
          <c:y val="0.50782898461221759"/>
          <c:w val="0.646293126402678"/>
          <c:h val="0.65236503525294631"/>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51396743893135E-2"/>
          <c:y val="0.18800223247956074"/>
          <c:w val="0.56711623830995583"/>
          <c:h val="0.66614112891061028"/>
        </c:manualLayout>
      </c:layout>
      <c:pieChart>
        <c:varyColors val="1"/>
        <c:ser>
          <c:idx val="0"/>
          <c:order val="0"/>
          <c:dPt>
            <c:idx val="0"/>
            <c:bubble3D val="0"/>
            <c:spPr>
              <a:solidFill>
                <a:srgbClr val="000080"/>
              </a:solidFill>
              <a:ln w="25400">
                <a:noFill/>
              </a:ln>
            </c:spPr>
            <c:extLst>
              <c:ext xmlns:c16="http://schemas.microsoft.com/office/drawing/2014/chart" uri="{C3380CC4-5D6E-409C-BE32-E72D297353CC}">
                <c16:uniqueId val="{00000000-14B8-449F-B876-B5E6AAE1685D}"/>
              </c:ext>
            </c:extLst>
          </c:dPt>
          <c:dPt>
            <c:idx val="1"/>
            <c:bubble3D val="0"/>
            <c:spPr>
              <a:solidFill>
                <a:srgbClr val="9999FF"/>
              </a:solidFill>
              <a:ln w="25400">
                <a:noFill/>
              </a:ln>
            </c:spPr>
            <c:extLst>
              <c:ext xmlns:c16="http://schemas.microsoft.com/office/drawing/2014/chart" uri="{C3380CC4-5D6E-409C-BE32-E72D297353CC}">
                <c16:uniqueId val="{00000001-14B8-449F-B876-B5E6AAE1685D}"/>
              </c:ext>
            </c:extLst>
          </c:dPt>
          <c:dPt>
            <c:idx val="2"/>
            <c:bubble3D val="0"/>
            <c:spPr>
              <a:solidFill>
                <a:srgbClr val="3366FF"/>
              </a:solidFill>
              <a:ln w="25400">
                <a:noFill/>
              </a:ln>
            </c:spPr>
            <c:extLst>
              <c:ext xmlns:c16="http://schemas.microsoft.com/office/drawing/2014/chart" uri="{C3380CC4-5D6E-409C-BE32-E72D297353CC}">
                <c16:uniqueId val="{00000002-14B8-449F-B876-B5E6AAE1685D}"/>
              </c:ext>
            </c:extLst>
          </c:dPt>
          <c:dPt>
            <c:idx val="3"/>
            <c:bubble3D val="0"/>
            <c:spPr>
              <a:solidFill>
                <a:srgbClr val="CCCCFF"/>
              </a:solidFill>
              <a:ln w="25400">
                <a:noFill/>
              </a:ln>
            </c:spPr>
            <c:extLst>
              <c:ext xmlns:c16="http://schemas.microsoft.com/office/drawing/2014/chart" uri="{C3380CC4-5D6E-409C-BE32-E72D297353CC}">
                <c16:uniqueId val="{00000003-14B8-449F-B876-B5E6AAE1685D}"/>
              </c:ext>
            </c:extLst>
          </c:dPt>
          <c:dPt>
            <c:idx val="4"/>
            <c:bubble3D val="0"/>
            <c:spPr>
              <a:solidFill>
                <a:srgbClr val="969696"/>
              </a:solidFill>
              <a:ln w="25400">
                <a:noFill/>
              </a:ln>
            </c:spPr>
            <c:extLst>
              <c:ext xmlns:c16="http://schemas.microsoft.com/office/drawing/2014/chart" uri="{C3380CC4-5D6E-409C-BE32-E72D297353CC}">
                <c16:uniqueId val="{00000004-14B8-449F-B876-B5E6AAE1685D}"/>
              </c:ext>
            </c:extLst>
          </c:dPt>
          <c:dPt>
            <c:idx val="5"/>
            <c:bubble3D val="0"/>
            <c:spPr>
              <a:solidFill>
                <a:srgbClr val="C0C0C0"/>
              </a:solidFill>
              <a:ln w="25400">
                <a:noFill/>
              </a:ln>
            </c:spPr>
            <c:extLst>
              <c:ext xmlns:c16="http://schemas.microsoft.com/office/drawing/2014/chart" uri="{C3380CC4-5D6E-409C-BE32-E72D297353CC}">
                <c16:uniqueId val="{00000005-14B8-449F-B876-B5E6AAE1685D}"/>
              </c:ext>
            </c:extLst>
          </c:dPt>
          <c:dPt>
            <c:idx val="6"/>
            <c:bubble3D val="0"/>
            <c:spPr>
              <a:solidFill>
                <a:srgbClr val="0000FF"/>
              </a:solidFill>
              <a:ln w="25400">
                <a:noFill/>
              </a:ln>
            </c:spPr>
            <c:extLst>
              <c:ext xmlns:c16="http://schemas.microsoft.com/office/drawing/2014/chart" uri="{C3380CC4-5D6E-409C-BE32-E72D297353CC}">
                <c16:uniqueId val="{00000006-14B8-449F-B876-B5E6AAE1685D}"/>
              </c:ext>
            </c:extLst>
          </c:dPt>
          <c:dPt>
            <c:idx val="7"/>
            <c:bubble3D val="0"/>
            <c:spPr>
              <a:solidFill>
                <a:srgbClr val="333399"/>
              </a:solidFill>
              <a:ln w="3175">
                <a:solidFill>
                  <a:srgbClr val="C0C0C0"/>
                </a:solidFill>
                <a:prstDash val="solid"/>
              </a:ln>
            </c:spPr>
            <c:extLst>
              <c:ext xmlns:c16="http://schemas.microsoft.com/office/drawing/2014/chart" uri="{C3380CC4-5D6E-409C-BE32-E72D297353CC}">
                <c16:uniqueId val="{00000007-14B8-449F-B876-B5E6AAE1685D}"/>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Voice_data!$N$54:$N$61</c:f>
              <c:strCache>
                <c:ptCount val="8"/>
                <c:pt idx="0">
                  <c:v>Voice</c:v>
                </c:pt>
                <c:pt idx="1">
                  <c:v>SMS</c:v>
                </c:pt>
                <c:pt idx="2">
                  <c:v>MI: handset</c:v>
                </c:pt>
                <c:pt idx="3">
                  <c:v>MI: dongles</c:v>
                </c:pt>
                <c:pt idx="4">
                  <c:v>Solutions</c:v>
                </c:pt>
                <c:pt idx="5">
                  <c:v>Entertainment</c:v>
                </c:pt>
                <c:pt idx="6">
                  <c:v>Other VAS</c:v>
                </c:pt>
                <c:pt idx="7">
                  <c:v>Handsets/equipment</c:v>
                </c:pt>
              </c:strCache>
            </c:strRef>
          </c:cat>
          <c:val>
            <c:numRef>
              <c:f>Voice_data!$P$54:$P$61</c:f>
              <c:numCache>
                <c:formatCode>#,##0</c:formatCode>
                <c:ptCount val="8"/>
                <c:pt idx="0">
                  <c:v>0</c:v>
                </c:pt>
                <c:pt idx="1">
                  <c:v>326.64356644047211</c:v>
                </c:pt>
                <c:pt idx="2">
                  <c:v>688.5423993033819</c:v>
                </c:pt>
                <c:pt idx="3">
                  <c:v>225.93018920472008</c:v>
                </c:pt>
                <c:pt idx="4">
                  <c:v>64.565125703827761</c:v>
                </c:pt>
                <c:pt idx="5">
                  <c:v>130.98732822078529</c:v>
                </c:pt>
                <c:pt idx="6">
                  <c:v>0</c:v>
                </c:pt>
                <c:pt idx="7">
                  <c:v>-81.922750812230305</c:v>
                </c:pt>
              </c:numCache>
            </c:numRef>
          </c:val>
          <c:extLst>
            <c:ext xmlns:c16="http://schemas.microsoft.com/office/drawing/2014/chart" uri="{C3380CC4-5D6E-409C-BE32-E72D297353CC}">
              <c16:uniqueId val="{00000008-14B8-449F-B876-B5E6AAE1685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7745705515624113"/>
          <c:y val="0.50392259791055527"/>
          <c:w val="0.62143562563154187"/>
          <c:h val="0.64845864855128399"/>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EBITDA growth (y/y)</c:v>
          </c:tx>
          <c:spPr>
            <a:solidFill>
              <a:srgbClr val="002060"/>
            </a:solidFill>
          </c:spPr>
          <c:invertIfNegative val="0"/>
          <c:cat>
            <c:strRef>
              <c:f>'LatAm quarts'!$Z$33:$AD$33</c:f>
              <c:strCache>
                <c:ptCount val="5"/>
                <c:pt idx="0">
                  <c:v>Q1 14</c:v>
                </c:pt>
                <c:pt idx="1">
                  <c:v>Q2 14</c:v>
                </c:pt>
                <c:pt idx="2">
                  <c:v>Q3 14</c:v>
                </c:pt>
                <c:pt idx="3">
                  <c:v>Q4 14</c:v>
                </c:pt>
                <c:pt idx="4">
                  <c:v>Q1 15</c:v>
                </c:pt>
              </c:strCache>
            </c:strRef>
          </c:cat>
          <c:val>
            <c:numRef>
              <c:f>'LatAm quarts'!$Z$35:$AD$35</c:f>
              <c:numCache>
                <c:formatCode>0.0%</c:formatCode>
                <c:ptCount val="5"/>
                <c:pt idx="0">
                  <c:v>0.36501516683518709</c:v>
                </c:pt>
                <c:pt idx="1">
                  <c:v>0.38339920948616601</c:v>
                </c:pt>
                <c:pt idx="2">
                  <c:v>0.44362883493318273</c:v>
                </c:pt>
                <c:pt idx="3">
                  <c:v>0.57886050454592786</c:v>
                </c:pt>
                <c:pt idx="4">
                  <c:v>0.3732241111111112</c:v>
                </c:pt>
              </c:numCache>
            </c:numRef>
          </c:val>
          <c:extLst>
            <c:ext xmlns:c16="http://schemas.microsoft.com/office/drawing/2014/chart" uri="{C3380CC4-5D6E-409C-BE32-E72D297353CC}">
              <c16:uniqueId val="{00000000-7D8E-4AD1-8F5E-E1C1136AD700}"/>
            </c:ext>
          </c:extLst>
        </c:ser>
        <c:dLbls>
          <c:showLegendKey val="0"/>
          <c:showVal val="0"/>
          <c:showCatName val="0"/>
          <c:showSerName val="0"/>
          <c:showPercent val="0"/>
          <c:showBubbleSize val="0"/>
        </c:dLbls>
        <c:gapWidth val="150"/>
        <c:axId val="1114955055"/>
        <c:axId val="1"/>
      </c:barChart>
      <c:lineChart>
        <c:grouping val="standard"/>
        <c:varyColors val="0"/>
        <c:ser>
          <c:idx val="1"/>
          <c:order val="1"/>
          <c:tx>
            <c:v>EBITDA margin</c:v>
          </c:tx>
          <c:spPr>
            <a:ln>
              <a:solidFill>
                <a:schemeClr val="tx2">
                  <a:lumMod val="60000"/>
                  <a:lumOff val="40000"/>
                </a:schemeClr>
              </a:solidFill>
            </a:ln>
          </c:spPr>
          <c:marker>
            <c:symbol val="none"/>
          </c:marker>
          <c:dLbls>
            <c:numFmt formatCode="0.0%" sourceLinked="0"/>
            <c:spPr>
              <a:noFill/>
              <a:ln w="25400">
                <a:noFill/>
              </a:ln>
            </c:spPr>
            <c:txPr>
              <a:bodyPr wrap="square" lIns="38100" tIns="19050" rIns="38100" bIns="19050" anchor="ctr">
                <a:spAutoFit/>
              </a:bodyPr>
              <a:lstStyle/>
              <a:p>
                <a:pPr>
                  <a:defRPr sz="1000" b="0" i="0" u="none" strike="noStrike" baseline="0">
                    <a:solidFill>
                      <a:srgbClr val="FFFFFF"/>
                    </a:solidFill>
                    <a:latin typeface="Trebuchet MS"/>
                    <a:ea typeface="Trebuchet MS"/>
                    <a:cs typeface="Trebuchet M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'LatAm quarts'!$K$36:$O$36</c:f>
              <c:numCache>
                <c:formatCode>0%</c:formatCode>
                <c:ptCount val="5"/>
                <c:pt idx="0">
                  <c:v>0.25</c:v>
                </c:pt>
                <c:pt idx="1">
                  <c:v>0.25</c:v>
                </c:pt>
                <c:pt idx="2">
                  <c:v>0.26</c:v>
                </c:pt>
                <c:pt idx="3">
                  <c:v>0.26600000000000001</c:v>
                </c:pt>
                <c:pt idx="4">
                  <c:v>0.27700000000000002</c:v>
                </c:pt>
              </c:numCache>
            </c:numRef>
          </c:val>
          <c:smooth val="0"/>
          <c:extLst>
            <c:ext xmlns:c16="http://schemas.microsoft.com/office/drawing/2014/chart" uri="{C3380CC4-5D6E-409C-BE32-E72D297353CC}">
              <c16:uniqueId val="{00000001-7D8E-4AD1-8F5E-E1C1136AD700}"/>
            </c:ext>
          </c:extLst>
        </c:ser>
        <c:dLbls>
          <c:showLegendKey val="0"/>
          <c:showVal val="0"/>
          <c:showCatName val="0"/>
          <c:showSerName val="0"/>
          <c:showPercent val="0"/>
          <c:showBubbleSize val="0"/>
        </c:dLbls>
        <c:marker val="1"/>
        <c:smooth val="0"/>
        <c:axId val="1114955055"/>
        <c:axId val="1"/>
      </c:lineChart>
      <c:catAx>
        <c:axId val="1114955055"/>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114955055"/>
        <c:crosses val="autoZero"/>
        <c:crossBetween val="between"/>
      </c:valAx>
    </c:plotArea>
    <c:legend>
      <c:legendPos val="r"/>
      <c:layout>
        <c:manualLayout>
          <c:xMode val="edge"/>
          <c:yMode val="edge"/>
          <c:x val="0.15825415573053367"/>
          <c:y val="0.45557086614173231"/>
          <c:w val="0.23401421697287841"/>
          <c:h val="3.333442694663169E-2"/>
        </c:manualLayout>
      </c:layout>
      <c:overlay val="0"/>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43425034818109E-2"/>
          <c:y val="7.1782178217821777E-2"/>
          <c:w val="0.89826709766916446"/>
          <c:h val="0.74009900990099009"/>
        </c:manualLayout>
      </c:layout>
      <c:lineChart>
        <c:grouping val="standard"/>
        <c:varyColors val="0"/>
        <c:ser>
          <c:idx val="0"/>
          <c:order val="0"/>
          <c:tx>
            <c:strRef>
              <c:f>Notes!$C$849</c:f>
              <c:strCache>
                <c:ptCount val="1"/>
                <c:pt idx="0">
                  <c:v>Kyivstar</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cat>
            <c:numRef>
              <c:f>Notes!$D$848:$W$848</c:f>
              <c:numCache>
                <c:formatCode>0%</c:formatCode>
                <c:ptCount val="20"/>
                <c:pt idx="0">
                  <c:v>5.0000000000000017E-2</c:v>
                </c:pt>
                <c:pt idx="1">
                  <c:v>0.10000000000000002</c:v>
                </c:pt>
                <c:pt idx="2">
                  <c:v>0.15000000000000002</c:v>
                </c:pt>
                <c:pt idx="3">
                  <c:v>0.2</c:v>
                </c:pt>
                <c:pt idx="4">
                  <c:v>0.25</c:v>
                </c:pt>
                <c:pt idx="5">
                  <c:v>0.3</c:v>
                </c:pt>
                <c:pt idx="6">
                  <c:v>0.35</c:v>
                </c:pt>
                <c:pt idx="7">
                  <c:v>0.39999999999999997</c:v>
                </c:pt>
                <c:pt idx="8">
                  <c:v>0.44999999999999996</c:v>
                </c:pt>
                <c:pt idx="9">
                  <c:v>0.49999999999999994</c:v>
                </c:pt>
                <c:pt idx="10">
                  <c:v>0.54999999999999993</c:v>
                </c:pt>
                <c:pt idx="11">
                  <c:v>0.6</c:v>
                </c:pt>
                <c:pt idx="12">
                  <c:v>0.65</c:v>
                </c:pt>
                <c:pt idx="13">
                  <c:v>0.70000000000000007</c:v>
                </c:pt>
                <c:pt idx="14">
                  <c:v>0.75000000000000011</c:v>
                </c:pt>
                <c:pt idx="15">
                  <c:v>0.80000000000000016</c:v>
                </c:pt>
                <c:pt idx="16">
                  <c:v>0.8500000000000002</c:v>
                </c:pt>
                <c:pt idx="17">
                  <c:v>0.90000000000000024</c:v>
                </c:pt>
                <c:pt idx="18">
                  <c:v>0.95000000000000029</c:v>
                </c:pt>
                <c:pt idx="19">
                  <c:v>1.0000000000000002</c:v>
                </c:pt>
              </c:numCache>
            </c:numRef>
          </c:cat>
          <c:val>
            <c:numRef>
              <c:f>Notes!$D$849:$W$849</c:f>
              <c:numCache>
                <c:formatCode>0.0</c:formatCode>
                <c:ptCount val="20"/>
                <c:pt idx="0">
                  <c:v>12.5</c:v>
                </c:pt>
                <c:pt idx="1">
                  <c:v>12.5</c:v>
                </c:pt>
                <c:pt idx="2">
                  <c:v>12.5</c:v>
                </c:pt>
                <c:pt idx="3">
                  <c:v>12.592592592592593</c:v>
                </c:pt>
                <c:pt idx="4">
                  <c:v>12.592592592592593</c:v>
                </c:pt>
                <c:pt idx="5">
                  <c:v>12.592592592592593</c:v>
                </c:pt>
                <c:pt idx="6">
                  <c:v>9.1770674784373405</c:v>
                </c:pt>
                <c:pt idx="7">
                  <c:v>9.1770674784373405</c:v>
                </c:pt>
                <c:pt idx="8">
                  <c:v>9.1770674784373405</c:v>
                </c:pt>
                <c:pt idx="9">
                  <c:v>9.1770674784373405</c:v>
                </c:pt>
                <c:pt idx="10">
                  <c:v>9.1770674784373405</c:v>
                </c:pt>
                <c:pt idx="11">
                  <c:v>9.1770674784373405</c:v>
                </c:pt>
                <c:pt idx="12">
                  <c:v>7.8620498210241783</c:v>
                </c:pt>
                <c:pt idx="13">
                  <c:v>7.8620498210241783</c:v>
                </c:pt>
                <c:pt idx="14">
                  <c:v>7.8620498210241783</c:v>
                </c:pt>
                <c:pt idx="15">
                  <c:v>7.2330858353422443</c:v>
                </c:pt>
                <c:pt idx="16">
                  <c:v>7.2330858353422443</c:v>
                </c:pt>
                <c:pt idx="17">
                  <c:v>6.871431543575131</c:v>
                </c:pt>
              </c:numCache>
            </c:numRef>
          </c:val>
          <c:smooth val="0"/>
          <c:extLst>
            <c:ext xmlns:c16="http://schemas.microsoft.com/office/drawing/2014/chart" uri="{C3380CC4-5D6E-409C-BE32-E72D297353CC}">
              <c16:uniqueId val="{00000000-0FE9-4C34-93D0-5594AC1446C0}"/>
            </c:ext>
          </c:extLst>
        </c:ser>
        <c:ser>
          <c:idx val="2"/>
          <c:order val="1"/>
          <c:tx>
            <c:strRef>
              <c:f>Notes!$C$851</c:f>
              <c:strCache>
                <c:ptCount val="1"/>
                <c:pt idx="0">
                  <c:v>TAC</c:v>
                </c:pt>
              </c:strCache>
            </c:strRef>
          </c:tx>
          <c:spPr>
            <a:ln w="25400">
              <a:solidFill>
                <a:srgbClr val="3366FF"/>
              </a:solidFill>
              <a:prstDash val="solid"/>
            </a:ln>
          </c:spPr>
          <c:marker>
            <c:symbol val="triangle"/>
            <c:size val="6"/>
            <c:spPr>
              <a:solidFill>
                <a:srgbClr val="3366FF"/>
              </a:solidFill>
              <a:ln>
                <a:solidFill>
                  <a:srgbClr val="3366FF"/>
                </a:solidFill>
                <a:prstDash val="solid"/>
              </a:ln>
            </c:spPr>
          </c:marker>
          <c:val>
            <c:numRef>
              <c:f>Notes!$D$851:$W$851</c:f>
              <c:numCache>
                <c:formatCode>0.0</c:formatCode>
                <c:ptCount val="20"/>
                <c:pt idx="0">
                  <c:v>10.62233732810002</c:v>
                </c:pt>
                <c:pt idx="1">
                  <c:v>10.62233732810002</c:v>
                </c:pt>
                <c:pt idx="2">
                  <c:v>10.62233732810002</c:v>
                </c:pt>
                <c:pt idx="3">
                  <c:v>10.62233732810002</c:v>
                </c:pt>
                <c:pt idx="4">
                  <c:v>10.62233732810002</c:v>
                </c:pt>
                <c:pt idx="5">
                  <c:v>10.62233732810002</c:v>
                </c:pt>
                <c:pt idx="6">
                  <c:v>10.62233732810002</c:v>
                </c:pt>
                <c:pt idx="7">
                  <c:v>10.62233732810002</c:v>
                </c:pt>
                <c:pt idx="8">
                  <c:v>10.62233732810002</c:v>
                </c:pt>
                <c:pt idx="9">
                  <c:v>10.62233732810002</c:v>
                </c:pt>
                <c:pt idx="10">
                  <c:v>10.023341135354476</c:v>
                </c:pt>
                <c:pt idx="11">
                  <c:v>9.7226409012938415</c:v>
                </c:pt>
                <c:pt idx="12">
                  <c:v>9.5281880832679633</c:v>
                </c:pt>
                <c:pt idx="13">
                  <c:v>9.5281880832679633</c:v>
                </c:pt>
                <c:pt idx="14">
                  <c:v>9.4329062024352837</c:v>
                </c:pt>
              </c:numCache>
            </c:numRef>
          </c:val>
          <c:smooth val="0"/>
          <c:extLst>
            <c:ext xmlns:c16="http://schemas.microsoft.com/office/drawing/2014/chart" uri="{C3380CC4-5D6E-409C-BE32-E72D297353CC}">
              <c16:uniqueId val="{00000001-0FE9-4C34-93D0-5594AC1446C0}"/>
            </c:ext>
          </c:extLst>
        </c:ser>
        <c:ser>
          <c:idx val="3"/>
          <c:order val="2"/>
          <c:tx>
            <c:strRef>
              <c:f>Notes!$C$852</c:f>
              <c:strCache>
                <c:ptCount val="1"/>
                <c:pt idx="0">
                  <c:v>MIC</c:v>
                </c:pt>
              </c:strCache>
            </c:strRef>
          </c:tx>
          <c:spPr>
            <a:ln w="25400">
              <a:solidFill>
                <a:srgbClr val="CCCCFF"/>
              </a:solidFill>
              <a:prstDash val="solid"/>
            </a:ln>
          </c:spPr>
          <c:marker>
            <c:symbol val="square"/>
            <c:size val="5"/>
            <c:spPr>
              <a:noFill/>
              <a:ln>
                <a:solidFill>
                  <a:srgbClr val="00FFFF"/>
                </a:solidFill>
                <a:prstDash val="solid"/>
              </a:ln>
            </c:spPr>
          </c:marker>
          <c:val>
            <c:numRef>
              <c:f>Notes!$D$852:$W$852</c:f>
              <c:numCache>
                <c:formatCode>0.0</c:formatCode>
                <c:ptCount val="20"/>
                <c:pt idx="0">
                  <c:v>22.910393978637188</c:v>
                </c:pt>
                <c:pt idx="1">
                  <c:v>18.473925291286715</c:v>
                </c:pt>
                <c:pt idx="2">
                  <c:v>18.473925291286715</c:v>
                </c:pt>
                <c:pt idx="3">
                  <c:v>11.757903316202073</c:v>
                </c:pt>
                <c:pt idx="4">
                  <c:v>9.4541904037954723</c:v>
                </c:pt>
                <c:pt idx="5">
                  <c:v>9.2620579780309669</c:v>
                </c:pt>
              </c:numCache>
            </c:numRef>
          </c:val>
          <c:smooth val="0"/>
          <c:extLst>
            <c:ext xmlns:c16="http://schemas.microsoft.com/office/drawing/2014/chart" uri="{C3380CC4-5D6E-409C-BE32-E72D297353CC}">
              <c16:uniqueId val="{00000002-0FE9-4C34-93D0-5594AC1446C0}"/>
            </c:ext>
          </c:extLst>
        </c:ser>
        <c:dLbls>
          <c:showLegendKey val="0"/>
          <c:showVal val="0"/>
          <c:showCatName val="0"/>
          <c:showSerName val="0"/>
          <c:showPercent val="0"/>
          <c:showBubbleSize val="0"/>
        </c:dLbls>
        <c:marker val="1"/>
        <c:smooth val="0"/>
        <c:axId val="1476588575"/>
        <c:axId val="1"/>
      </c:lineChart>
      <c:lineChart>
        <c:grouping val="standard"/>
        <c:varyColors val="0"/>
        <c:ser>
          <c:idx val="5"/>
          <c:order val="3"/>
          <c:tx>
            <c:strRef>
              <c:f>Notes!$C$853</c:f>
              <c:strCache>
                <c:ptCount val="1"/>
                <c:pt idx="0">
                  <c:v>UK (RHS)</c:v>
                </c:pt>
              </c:strCache>
            </c:strRef>
          </c:tx>
          <c:spPr>
            <a:ln w="3175">
              <a:solidFill>
                <a:srgbClr val="C0C0C0"/>
              </a:solidFill>
              <a:prstDash val="solid"/>
            </a:ln>
          </c:spPr>
          <c:marker>
            <c:symbol val="circle"/>
            <c:size val="6"/>
            <c:spPr>
              <a:solidFill>
                <a:srgbClr val="C0C0C0"/>
              </a:solidFill>
              <a:ln>
                <a:solidFill>
                  <a:srgbClr val="C0C0C0"/>
                </a:solidFill>
                <a:prstDash val="solid"/>
              </a:ln>
            </c:spPr>
          </c:marker>
          <c:val>
            <c:numRef>
              <c:f>Notes!$D$853:$W$853</c:f>
              <c:numCache>
                <c:formatCode>0.0</c:formatCode>
                <c:ptCount val="20"/>
                <c:pt idx="0">
                  <c:v>68.904000000000011</c:v>
                </c:pt>
                <c:pt idx="1">
                  <c:v>68.904000000000011</c:v>
                </c:pt>
                <c:pt idx="2">
                  <c:v>68.904000000000011</c:v>
                </c:pt>
                <c:pt idx="3">
                  <c:v>68.904000000000011</c:v>
                </c:pt>
                <c:pt idx="4">
                  <c:v>59.958000000000006</c:v>
                </c:pt>
                <c:pt idx="5">
                  <c:v>59.958000000000006</c:v>
                </c:pt>
                <c:pt idx="6">
                  <c:v>59.958000000000006</c:v>
                </c:pt>
                <c:pt idx="7">
                  <c:v>59.958000000000006</c:v>
                </c:pt>
                <c:pt idx="8">
                  <c:v>48.293999999999997</c:v>
                </c:pt>
                <c:pt idx="9">
                  <c:v>48.293999999999997</c:v>
                </c:pt>
                <c:pt idx="10">
                  <c:v>48.293999999999997</c:v>
                </c:pt>
                <c:pt idx="11">
                  <c:v>48.293999999999997</c:v>
                </c:pt>
                <c:pt idx="12">
                  <c:v>48.293999999999997</c:v>
                </c:pt>
                <c:pt idx="13">
                  <c:v>48.293999999999997</c:v>
                </c:pt>
                <c:pt idx="14">
                  <c:v>39.330000000000005</c:v>
                </c:pt>
                <c:pt idx="15">
                  <c:v>39.330000000000005</c:v>
                </c:pt>
                <c:pt idx="16">
                  <c:v>39.06</c:v>
                </c:pt>
                <c:pt idx="17">
                  <c:v>40.86</c:v>
                </c:pt>
              </c:numCache>
            </c:numRef>
          </c:val>
          <c:smooth val="0"/>
          <c:extLst>
            <c:ext xmlns:c16="http://schemas.microsoft.com/office/drawing/2014/chart" uri="{C3380CC4-5D6E-409C-BE32-E72D297353CC}">
              <c16:uniqueId val="{00000003-0FE9-4C34-93D0-5594AC1446C0}"/>
            </c:ext>
          </c:extLst>
        </c:ser>
        <c:dLbls>
          <c:showLegendKey val="0"/>
          <c:showVal val="0"/>
          <c:showCatName val="0"/>
          <c:showSerName val="0"/>
          <c:showPercent val="0"/>
          <c:showBubbleSize val="0"/>
        </c:dLbls>
        <c:marker val="1"/>
        <c:smooth val="0"/>
        <c:axId val="3"/>
        <c:axId val="4"/>
      </c:lineChart>
      <c:catAx>
        <c:axId val="1476588575"/>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0"/>
        <c:lblAlgn val="ctr"/>
        <c:lblOffset val="100"/>
        <c:tickLblSkip val="1"/>
        <c:tickMarkSkip val="1"/>
        <c:noMultiLvlLbl val="0"/>
      </c:catAx>
      <c:valAx>
        <c:axId val="1"/>
        <c:scaling>
          <c:orientation val="minMax"/>
          <c:max val="13"/>
          <c:min val="5"/>
        </c:scaling>
        <c:delete val="0"/>
        <c:axPos val="l"/>
        <c:title>
          <c:tx>
            <c:rich>
              <a:bodyPr/>
              <a:lstStyle/>
              <a:p>
                <a:pPr>
                  <a:defRPr sz="800" b="1" i="0" u="none" strike="noStrike" baseline="0">
                    <a:solidFill>
                      <a:srgbClr val="000000"/>
                    </a:solidFill>
                    <a:latin typeface="Trebuchet MS"/>
                    <a:ea typeface="Trebuchet MS"/>
                    <a:cs typeface="Trebuchet MS"/>
                  </a:defRPr>
                </a:pPr>
                <a:r>
                  <a:rPr lang="en-GB"/>
                  <a:t>ARPU, $</a:t>
                </a:r>
              </a:p>
            </c:rich>
          </c:tx>
          <c:layout>
            <c:manualLayout>
              <c:xMode val="edge"/>
              <c:yMode val="edge"/>
              <c:x val="1.2057424220389338E-2"/>
              <c:y val="0.386138345610024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476588575"/>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rebuchet MS"/>
                    <a:ea typeface="Trebuchet MS"/>
                    <a:cs typeface="Trebuchet MS"/>
                  </a:defRPr>
                </a:pPr>
                <a:r>
                  <a:rPr lang="en-GB"/>
                  <a:t>ARPU, $ (UK at current exchange rate)</a:t>
                </a:r>
              </a:p>
            </c:rich>
          </c:tx>
          <c:layout>
            <c:manualLayout>
              <c:xMode val="edge"/>
              <c:yMode val="edge"/>
              <c:x val="0.96759617448874302"/>
              <c:y val="0.1806930957451658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3"/>
        <c:crosses val="max"/>
        <c:crossBetween val="between"/>
      </c:valAx>
      <c:spPr>
        <a:noFill/>
        <a:ln w="25400">
          <a:noFill/>
        </a:ln>
      </c:spPr>
    </c:plotArea>
    <c:legend>
      <c:legendPos val="r"/>
      <c:layout>
        <c:manualLayout>
          <c:xMode val="edge"/>
          <c:yMode val="edge"/>
          <c:x val="0.44277827408777071"/>
          <c:y val="0.94062301765629164"/>
          <c:w val="0.1684716653162418"/>
          <c:h val="4.3565646105651168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oddHeader>&amp;A</c:oddHeader>
      <c:oddFooter>Page &amp;P</c:oddFooter>
    </c:headerFooter>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76767305167931"/>
          <c:y val="3.5046728971962614E-2"/>
          <c:w val="0.58561741762330377"/>
          <c:h val="0.84813084112149528"/>
        </c:manualLayout>
      </c:layout>
      <c:barChart>
        <c:barDir val="bar"/>
        <c:grouping val="clustered"/>
        <c:varyColors val="0"/>
        <c:ser>
          <c:idx val="0"/>
          <c:order val="0"/>
          <c:spPr>
            <a:solidFill>
              <a:srgbClr val="000080"/>
            </a:solidFill>
            <a:ln w="25400">
              <a:noFill/>
            </a:ln>
          </c:spPr>
          <c:invertIfNegative val="0"/>
          <c:cat>
            <c:strRef>
              <c:f>Notes!$M$594:$M$609</c:f>
              <c:strCache>
                <c:ptCount val="16"/>
                <c:pt idx="0">
                  <c:v>DRC</c:v>
                </c:pt>
                <c:pt idx="1">
                  <c:v>PAKTEL</c:v>
                </c:pt>
                <c:pt idx="2">
                  <c:v>SIERRA LEONE</c:v>
                </c:pt>
                <c:pt idx="3">
                  <c:v>LAOS</c:v>
                </c:pt>
                <c:pt idx="4">
                  <c:v>TANZANIA</c:v>
                </c:pt>
                <c:pt idx="5">
                  <c:v>SRI LANKA</c:v>
                </c:pt>
                <c:pt idx="6">
                  <c:v>GHANA</c:v>
                </c:pt>
                <c:pt idx="7">
                  <c:v>MAURITIUS</c:v>
                </c:pt>
                <c:pt idx="8">
                  <c:v>GUATEMALA</c:v>
                </c:pt>
                <c:pt idx="9">
                  <c:v>BOLIVIA</c:v>
                </c:pt>
                <c:pt idx="10">
                  <c:v>CHAD</c:v>
                </c:pt>
                <c:pt idx="11">
                  <c:v>SENEGAL</c:v>
                </c:pt>
                <c:pt idx="12">
                  <c:v>EL SALVADOR</c:v>
                </c:pt>
                <c:pt idx="13">
                  <c:v>PARAGUAY</c:v>
                </c:pt>
                <c:pt idx="14">
                  <c:v>HONDURAS</c:v>
                </c:pt>
                <c:pt idx="15">
                  <c:v>CAMBODIA</c:v>
                </c:pt>
              </c:strCache>
            </c:strRef>
          </c:cat>
          <c:val>
            <c:numRef>
              <c:f>Notes!$N$594:$N$609</c:f>
              <c:numCache>
                <c:formatCode>0%</c:formatCode>
                <c:ptCount val="16"/>
                <c:pt idx="0">
                  <c:v>1.9199999999999998E-2</c:v>
                </c:pt>
                <c:pt idx="1">
                  <c:v>3.3300000000000003E-2</c:v>
                </c:pt>
                <c:pt idx="2">
                  <c:v>0.13</c:v>
                </c:pt>
                <c:pt idx="3">
                  <c:v>0.14000000000000001</c:v>
                </c:pt>
                <c:pt idx="4">
                  <c:v>0.19</c:v>
                </c:pt>
                <c:pt idx="5">
                  <c:v>0.23</c:v>
                </c:pt>
                <c:pt idx="6">
                  <c:v>0.26558999999999999</c:v>
                </c:pt>
                <c:pt idx="7">
                  <c:v>0.3</c:v>
                </c:pt>
                <c:pt idx="8">
                  <c:v>0.34</c:v>
                </c:pt>
                <c:pt idx="9">
                  <c:v>0.34</c:v>
                </c:pt>
                <c:pt idx="10">
                  <c:v>0.36</c:v>
                </c:pt>
                <c:pt idx="11">
                  <c:v>0.38649</c:v>
                </c:pt>
                <c:pt idx="12">
                  <c:v>0.4</c:v>
                </c:pt>
                <c:pt idx="13">
                  <c:v>0.44819999999999999</c:v>
                </c:pt>
                <c:pt idx="14">
                  <c:v>0.66</c:v>
                </c:pt>
                <c:pt idx="15">
                  <c:v>0.69819999999999993</c:v>
                </c:pt>
              </c:numCache>
            </c:numRef>
          </c:val>
          <c:extLst>
            <c:ext xmlns:c16="http://schemas.microsoft.com/office/drawing/2014/chart" uri="{C3380CC4-5D6E-409C-BE32-E72D297353CC}">
              <c16:uniqueId val="{00000000-C64F-4238-BDB3-DF1F32773486}"/>
            </c:ext>
          </c:extLst>
        </c:ser>
        <c:dLbls>
          <c:showLegendKey val="0"/>
          <c:showVal val="0"/>
          <c:showCatName val="0"/>
          <c:showSerName val="0"/>
          <c:showPercent val="0"/>
          <c:showBubbleSize val="0"/>
        </c:dLbls>
        <c:gapWidth val="150"/>
        <c:axId val="1476585375"/>
        <c:axId val="1"/>
      </c:barChart>
      <c:catAx>
        <c:axId val="1476585375"/>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2"/>
        <c:tickMarkSkip val="1"/>
        <c:noMultiLvlLbl val="0"/>
      </c:catAx>
      <c:valAx>
        <c:axId val="1"/>
        <c:scaling>
          <c:orientation val="minMax"/>
        </c:scaling>
        <c:delete val="0"/>
        <c:axPos val="b"/>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476585375"/>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32013769363169"/>
          <c:y val="0.15227272727272728"/>
          <c:w val="0.45611015490533563"/>
          <c:h val="0.60227272727272729"/>
        </c:manualLayout>
      </c:layout>
      <c:pieChart>
        <c:varyColors val="1"/>
        <c:ser>
          <c:idx val="0"/>
          <c:order val="0"/>
          <c:tx>
            <c:strRef>
              <c:f>Asia!$F$75</c:f>
              <c:strCache>
                <c:ptCount val="1"/>
                <c:pt idx="0">
                  <c:v>Q1 09</c:v>
                </c:pt>
              </c:strCache>
            </c:strRef>
          </c:tx>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D5B3-466C-AD24-C5A9DA38FCB6}"/>
              </c:ext>
            </c:extLst>
          </c:dPt>
          <c:dPt>
            <c:idx val="1"/>
            <c:bubble3D val="0"/>
            <c:spPr>
              <a:solidFill>
                <a:srgbClr val="9999FF"/>
              </a:solidFill>
              <a:ln w="25400">
                <a:noFill/>
              </a:ln>
            </c:spPr>
            <c:extLst>
              <c:ext xmlns:c16="http://schemas.microsoft.com/office/drawing/2014/chart" uri="{C3380CC4-5D6E-409C-BE32-E72D297353CC}">
                <c16:uniqueId val="{00000001-D5B3-466C-AD24-C5A9DA38FCB6}"/>
              </c:ext>
            </c:extLst>
          </c:dPt>
          <c:dPt>
            <c:idx val="2"/>
            <c:bubble3D val="0"/>
            <c:spPr>
              <a:solidFill>
                <a:srgbClr val="3366FF"/>
              </a:solidFill>
              <a:ln w="25400">
                <a:noFill/>
              </a:ln>
            </c:spPr>
            <c:extLst>
              <c:ext xmlns:c16="http://schemas.microsoft.com/office/drawing/2014/chart" uri="{C3380CC4-5D6E-409C-BE32-E72D297353CC}">
                <c16:uniqueId val="{00000002-D5B3-466C-AD24-C5A9DA38FCB6}"/>
              </c:ext>
            </c:extLst>
          </c:dPt>
          <c:dPt>
            <c:idx val="3"/>
            <c:bubble3D val="0"/>
            <c:spPr>
              <a:solidFill>
                <a:srgbClr val="CCCCFF"/>
              </a:solidFill>
              <a:ln w="25400">
                <a:noFill/>
              </a:ln>
            </c:spPr>
            <c:extLst>
              <c:ext xmlns:c16="http://schemas.microsoft.com/office/drawing/2014/chart" uri="{C3380CC4-5D6E-409C-BE32-E72D297353CC}">
                <c16:uniqueId val="{00000003-D5B3-466C-AD24-C5A9DA38FCB6}"/>
              </c:ext>
            </c:extLst>
          </c:dPt>
          <c:dPt>
            <c:idx val="4"/>
            <c:bubble3D val="0"/>
            <c:spPr>
              <a:solidFill>
                <a:srgbClr val="969696"/>
              </a:solidFill>
              <a:ln w="25400">
                <a:noFill/>
              </a:ln>
            </c:spPr>
            <c:extLst>
              <c:ext xmlns:c16="http://schemas.microsoft.com/office/drawing/2014/chart" uri="{C3380CC4-5D6E-409C-BE32-E72D297353CC}">
                <c16:uniqueId val="{00000004-D5B3-466C-AD24-C5A9DA38FCB6}"/>
              </c:ext>
            </c:extLst>
          </c:dPt>
          <c:dPt>
            <c:idx val="5"/>
            <c:bubble3D val="0"/>
            <c:spPr>
              <a:solidFill>
                <a:srgbClr val="C0C0C0"/>
              </a:solidFill>
              <a:ln w="3175">
                <a:solidFill>
                  <a:srgbClr val="C0C0C0"/>
                </a:solidFill>
                <a:prstDash val="solid"/>
              </a:ln>
            </c:spPr>
            <c:extLst>
              <c:ext xmlns:c16="http://schemas.microsoft.com/office/drawing/2014/chart" uri="{C3380CC4-5D6E-409C-BE32-E72D297353CC}">
                <c16:uniqueId val="{00000005-D5B3-466C-AD24-C5A9DA38FCB6}"/>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Asia!$B$76:$B$81</c:f>
              <c:strCache>
                <c:ptCount val="6"/>
                <c:pt idx="0">
                  <c:v>Mobitel - Millicom</c:v>
                </c:pt>
                <c:pt idx="1">
                  <c:v>Camshin - Shinawatra</c:v>
                </c:pt>
                <c:pt idx="2">
                  <c:v>Hello/Casacom - TMIC</c:v>
                </c:pt>
                <c:pt idx="3">
                  <c:v>Star-Cell/Applifone - TLSN</c:v>
                </c:pt>
                <c:pt idx="4">
                  <c:v>Cadcomms (QB/Cube)</c:v>
                </c:pt>
                <c:pt idx="5">
                  <c:v>Metfone - Viettel (Vietnam)</c:v>
                </c:pt>
              </c:strCache>
            </c:strRef>
          </c:cat>
          <c:val>
            <c:numRef>
              <c:f>Asia!$F$76:$F$81</c:f>
              <c:numCache>
                <c:formatCode>0%</c:formatCode>
                <c:ptCount val="6"/>
                <c:pt idx="0">
                  <c:v>0.51</c:v>
                </c:pt>
                <c:pt idx="1">
                  <c:v>0.21132596685082872</c:v>
                </c:pt>
                <c:pt idx="2">
                  <c:v>0.15732044198895026</c:v>
                </c:pt>
                <c:pt idx="3">
                  <c:v>2.3480662983425413E-2</c:v>
                </c:pt>
                <c:pt idx="4">
                  <c:v>1.5690607734806666E-2</c:v>
                </c:pt>
                <c:pt idx="5">
                  <c:v>8.2182320441988949E-2</c:v>
                </c:pt>
              </c:numCache>
            </c:numRef>
          </c:val>
          <c:extLst>
            <c:ext xmlns:c16="http://schemas.microsoft.com/office/drawing/2014/chart" uri="{C3380CC4-5D6E-409C-BE32-E72D297353CC}">
              <c16:uniqueId val="{00000006-D5B3-466C-AD24-C5A9DA38FCB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6436056938665797"/>
          <c:y val="0.44183225960391315"/>
          <c:w val="0.63419861673917266"/>
          <c:h val="8.3638988308279649E-2"/>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0844793713163"/>
          <c:y val="7.3033707865168537E-2"/>
          <c:w val="0.44990176817288802"/>
          <c:h val="0.6432584269662921"/>
        </c:manualLayout>
      </c:layout>
      <c:pieChart>
        <c:varyColors val="1"/>
        <c:ser>
          <c:idx val="0"/>
          <c:order val="0"/>
          <c:tx>
            <c:strRef>
              <c:f>Asia!$D$75</c:f>
              <c:strCache>
                <c:ptCount val="1"/>
                <c:pt idx="0">
                  <c:v>Subs</c:v>
                </c:pt>
              </c:strCache>
            </c:strRef>
          </c:tx>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8230-4484-9EB6-38FB97B5E47D}"/>
              </c:ext>
            </c:extLst>
          </c:dPt>
          <c:dPt>
            <c:idx val="1"/>
            <c:bubble3D val="0"/>
            <c:spPr>
              <a:solidFill>
                <a:srgbClr val="9999FF"/>
              </a:solidFill>
              <a:ln w="25400">
                <a:noFill/>
              </a:ln>
            </c:spPr>
            <c:extLst>
              <c:ext xmlns:c16="http://schemas.microsoft.com/office/drawing/2014/chart" uri="{C3380CC4-5D6E-409C-BE32-E72D297353CC}">
                <c16:uniqueId val="{00000001-8230-4484-9EB6-38FB97B5E47D}"/>
              </c:ext>
            </c:extLst>
          </c:dPt>
          <c:dPt>
            <c:idx val="2"/>
            <c:bubble3D val="0"/>
            <c:spPr>
              <a:solidFill>
                <a:srgbClr val="3366FF"/>
              </a:solidFill>
              <a:ln w="25400">
                <a:noFill/>
              </a:ln>
            </c:spPr>
            <c:extLst>
              <c:ext xmlns:c16="http://schemas.microsoft.com/office/drawing/2014/chart" uri="{C3380CC4-5D6E-409C-BE32-E72D297353CC}">
                <c16:uniqueId val="{00000002-8230-4484-9EB6-38FB97B5E47D}"/>
              </c:ext>
            </c:extLst>
          </c:dPt>
          <c:dPt>
            <c:idx val="3"/>
            <c:bubble3D val="0"/>
            <c:spPr>
              <a:solidFill>
                <a:srgbClr val="CCCCFF"/>
              </a:solidFill>
              <a:ln w="25400">
                <a:noFill/>
              </a:ln>
            </c:spPr>
            <c:extLst>
              <c:ext xmlns:c16="http://schemas.microsoft.com/office/drawing/2014/chart" uri="{C3380CC4-5D6E-409C-BE32-E72D297353CC}">
                <c16:uniqueId val="{00000003-8230-4484-9EB6-38FB97B5E47D}"/>
              </c:ext>
            </c:extLst>
          </c:dPt>
          <c:dPt>
            <c:idx val="4"/>
            <c:bubble3D val="0"/>
            <c:spPr>
              <a:solidFill>
                <a:srgbClr val="969696"/>
              </a:solidFill>
              <a:ln w="25400">
                <a:noFill/>
              </a:ln>
            </c:spPr>
            <c:extLst>
              <c:ext xmlns:c16="http://schemas.microsoft.com/office/drawing/2014/chart" uri="{C3380CC4-5D6E-409C-BE32-E72D297353CC}">
                <c16:uniqueId val="{00000004-8230-4484-9EB6-38FB97B5E47D}"/>
              </c:ext>
            </c:extLst>
          </c:dPt>
          <c:dPt>
            <c:idx val="5"/>
            <c:bubble3D val="0"/>
            <c:spPr>
              <a:solidFill>
                <a:srgbClr val="C0C0C0"/>
              </a:solidFill>
              <a:ln w="3175">
                <a:solidFill>
                  <a:srgbClr val="C0C0C0"/>
                </a:solidFill>
                <a:prstDash val="solid"/>
              </a:ln>
            </c:spPr>
            <c:extLst>
              <c:ext xmlns:c16="http://schemas.microsoft.com/office/drawing/2014/chart" uri="{C3380CC4-5D6E-409C-BE32-E72D297353CC}">
                <c16:uniqueId val="{00000005-8230-4484-9EB6-38FB97B5E47D}"/>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Asia!$B$94:$B$99</c:f>
              <c:strCache>
                <c:ptCount val="6"/>
                <c:pt idx="0">
                  <c:v>Tigo</c:v>
                </c:pt>
                <c:pt idx="1">
                  <c:v>Bharti</c:v>
                </c:pt>
                <c:pt idx="2">
                  <c:v>Dialog</c:v>
                </c:pt>
                <c:pt idx="3">
                  <c:v>Mobitel (Sri Lanka Tel)</c:v>
                </c:pt>
                <c:pt idx="4">
                  <c:v>Hutch Lanka (HTIL)</c:v>
                </c:pt>
                <c:pt idx="5">
                  <c:v>Total</c:v>
                </c:pt>
              </c:strCache>
            </c:strRef>
          </c:cat>
          <c:val>
            <c:numRef>
              <c:f>Asia!$D$94:$D$99</c:f>
              <c:numCache>
                <c:formatCode>0%</c:formatCode>
                <c:ptCount val="6"/>
                <c:pt idx="0">
                  <c:v>0.18780010670460609</c:v>
                </c:pt>
                <c:pt idx="1">
                  <c:v>3.5568202027387516E-2</c:v>
                </c:pt>
                <c:pt idx="2">
                  <c:v>0.51991819313533705</c:v>
                </c:pt>
                <c:pt idx="3">
                  <c:v>0.17784101013693757</c:v>
                </c:pt>
                <c:pt idx="4">
                  <c:v>7.8872487995731821E-2</c:v>
                </c:pt>
              </c:numCache>
            </c:numRef>
          </c:val>
          <c:extLst>
            <c:ext xmlns:c16="http://schemas.microsoft.com/office/drawing/2014/chart" uri="{C3380CC4-5D6E-409C-BE32-E72D297353CC}">
              <c16:uniqueId val="{00000006-8230-4484-9EB6-38FB97B5E47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39750816020296087"/>
          <c:y val="0.48668318145625056"/>
          <c:w val="0.8529212237468351"/>
          <c:h val="0.58446430151287265"/>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Analysis!$B$2169</c:f>
              <c:strCache>
                <c:ptCount val="1"/>
                <c:pt idx="0">
                  <c:v>AMX</c:v>
                </c:pt>
              </c:strCache>
            </c:strRef>
          </c:tx>
          <c:spPr>
            <a:ln w="25400">
              <a:solidFill>
                <a:srgbClr val="333399"/>
              </a:solidFill>
              <a:prstDash val="solid"/>
            </a:ln>
          </c:spPr>
          <c:marker>
            <c:symbol val="none"/>
          </c:marker>
          <c:cat>
            <c:numRef>
              <c:f>Analysis!$D$2168:$AU$2168</c:f>
              <c:numCache>
                <c:formatCode>mmm\-yy</c:formatCode>
                <c:ptCount val="44"/>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numCache>
            </c:numRef>
          </c:cat>
          <c:val>
            <c:numRef>
              <c:f>Analysis!$D$2169:$AU$2169</c:f>
              <c:numCache>
                <c:formatCode>#,##0.0</c:formatCode>
                <c:ptCount val="44"/>
                <c:pt idx="0">
                  <c:v>4.8477884315242896</c:v>
                </c:pt>
                <c:pt idx="1">
                  <c:v>5.0989039713383857</c:v>
                </c:pt>
                <c:pt idx="2">
                  <c:v>4.3464884367285759</c:v>
                </c:pt>
                <c:pt idx="3">
                  <c:v>4.9889449914330442</c:v>
                </c:pt>
                <c:pt idx="4">
                  <c:v>6.2318794385625278</c:v>
                </c:pt>
                <c:pt idx="5">
                  <c:v>6.0774270796093788</c:v>
                </c:pt>
                <c:pt idx="6">
                  <c:v>5.9087473276664912</c:v>
                </c:pt>
                <c:pt idx="7">
                  <c:v>6.5385243064150265</c:v>
                </c:pt>
                <c:pt idx="8">
                  <c:v>6.3921444177940643</c:v>
                </c:pt>
                <c:pt idx="9">
                  <c:v>6.7976206093188996</c:v>
                </c:pt>
                <c:pt idx="10">
                  <c:v>6.7847067863307071</c:v>
                </c:pt>
                <c:pt idx="11">
                  <c:v>6.4760882398159421</c:v>
                </c:pt>
                <c:pt idx="12">
                  <c:v>6.5147853248227623</c:v>
                </c:pt>
                <c:pt idx="13">
                  <c:v>5.8744880530983297</c:v>
                </c:pt>
                <c:pt idx="14">
                  <c:v>6.1470742788178834</c:v>
                </c:pt>
                <c:pt idx="15">
                  <c:v>6.5707782507918164</c:v>
                </c:pt>
                <c:pt idx="16">
                  <c:v>6.2846753640144231</c:v>
                </c:pt>
                <c:pt idx="17">
                  <c:v>6.5843985844394446</c:v>
                </c:pt>
                <c:pt idx="18">
                  <c:v>6.3575828570690458</c:v>
                </c:pt>
                <c:pt idx="19">
                  <c:v>6.3349793451434229</c:v>
                </c:pt>
                <c:pt idx="20">
                  <c:v>6.2485401896609556</c:v>
                </c:pt>
                <c:pt idx="21">
                  <c:v>6.6652006490985602</c:v>
                </c:pt>
                <c:pt idx="22">
                  <c:v>6.3128694540326604</c:v>
                </c:pt>
                <c:pt idx="23">
                  <c:v>6.1189134612167262</c:v>
                </c:pt>
                <c:pt idx="24">
                  <c:v>6.097016229071424</c:v>
                </c:pt>
                <c:pt idx="25">
                  <c:v>6.0022689923473767</c:v>
                </c:pt>
                <c:pt idx="26">
                  <c:v>5.5549856661723673</c:v>
                </c:pt>
                <c:pt idx="27">
                  <c:v>5.6879647443052015</c:v>
                </c:pt>
                <c:pt idx="28">
                  <c:v>5.0337085257193896</c:v>
                </c:pt>
                <c:pt idx="29">
                  <c:v>5.5096428409812974</c:v>
                </c:pt>
                <c:pt idx="30">
                  <c:v>3.4085373112929918</c:v>
                </c:pt>
                <c:pt idx="31">
                  <c:v>4.9883608583786163</c:v>
                </c:pt>
                <c:pt idx="32">
                  <c:v>5.608418896888069</c:v>
                </c:pt>
                <c:pt idx="33">
                  <c:v>5.575254597924685</c:v>
                </c:pt>
                <c:pt idx="34">
                  <c:v>5.7598205010980035</c:v>
                </c:pt>
                <c:pt idx="35">
                  <c:v>5.7218843341229135</c:v>
                </c:pt>
                <c:pt idx="36">
                  <c:v>5.6839481671478227</c:v>
                </c:pt>
                <c:pt idx="37">
                  <c:v>5.6441044296352709</c:v>
                </c:pt>
                <c:pt idx="38">
                  <c:v>5.2880402179743697</c:v>
                </c:pt>
                <c:pt idx="39">
                  <c:v>5.2417713547735891</c:v>
                </c:pt>
                <c:pt idx="40">
                  <c:v>5.2951199579220223</c:v>
                </c:pt>
                <c:pt idx="41">
                  <c:v>5.3474633456041438</c:v>
                </c:pt>
                <c:pt idx="42">
                  <c:v>5.3047415310838399</c:v>
                </c:pt>
                <c:pt idx="43">
                  <c:v>5.5356329801853352</c:v>
                </c:pt>
              </c:numCache>
            </c:numRef>
          </c:val>
          <c:smooth val="0"/>
          <c:extLst>
            <c:ext xmlns:c16="http://schemas.microsoft.com/office/drawing/2014/chart" uri="{C3380CC4-5D6E-409C-BE32-E72D297353CC}">
              <c16:uniqueId val="{00000000-67EC-4578-A78F-1F01244917A4}"/>
            </c:ext>
          </c:extLst>
        </c:ser>
        <c:ser>
          <c:idx val="1"/>
          <c:order val="1"/>
          <c:tx>
            <c:strRef>
              <c:f>Analysis!$B$2170</c:f>
              <c:strCache>
                <c:ptCount val="1"/>
                <c:pt idx="0">
                  <c:v>Millicom</c:v>
                </c:pt>
              </c:strCache>
            </c:strRef>
          </c:tx>
          <c:spPr>
            <a:ln w="25400">
              <a:solidFill>
                <a:srgbClr val="99CCFF"/>
              </a:solidFill>
              <a:prstDash val="solid"/>
            </a:ln>
          </c:spPr>
          <c:marker>
            <c:symbol val="none"/>
          </c:marker>
          <c:cat>
            <c:numRef>
              <c:f>Analysis!$D$2168:$AU$2168</c:f>
              <c:numCache>
                <c:formatCode>mmm\-yy</c:formatCode>
                <c:ptCount val="44"/>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numCache>
            </c:numRef>
          </c:cat>
          <c:val>
            <c:numRef>
              <c:f>Analysis!$D$2170:$AU$2170</c:f>
              <c:numCache>
                <c:formatCode>#,##0.0</c:formatCode>
                <c:ptCount val="44"/>
                <c:pt idx="0">
                  <c:v>4.5173432558264128</c:v>
                </c:pt>
                <c:pt idx="1">
                  <c:v>4.9403785624743861</c:v>
                </c:pt>
                <c:pt idx="2">
                  <c:v>3.9897673639490772</c:v>
                </c:pt>
                <c:pt idx="3">
                  <c:v>3.5803322609738197</c:v>
                </c:pt>
                <c:pt idx="4">
                  <c:v>4.7400902249217669</c:v>
                </c:pt>
                <c:pt idx="5">
                  <c:v>5.3492578065373415</c:v>
                </c:pt>
                <c:pt idx="6">
                  <c:v>4.7320959196810168</c:v>
                </c:pt>
                <c:pt idx="7">
                  <c:v>5.6858986619350933</c:v>
                </c:pt>
                <c:pt idx="8">
                  <c:v>5.6396900796480676</c:v>
                </c:pt>
                <c:pt idx="9">
                  <c:v>6.0067171732921283</c:v>
                </c:pt>
                <c:pt idx="10">
                  <c:v>5.9098906567673213</c:v>
                </c:pt>
                <c:pt idx="11">
                  <c:v>5.6622365783109228</c:v>
                </c:pt>
                <c:pt idx="12">
                  <c:v>5.862651894382358</c:v>
                </c:pt>
                <c:pt idx="13">
                  <c:v>5.040533355087355</c:v>
                </c:pt>
                <c:pt idx="14">
                  <c:v>5.8296334660066709</c:v>
                </c:pt>
                <c:pt idx="15">
                  <c:v>6.0400948642819827</c:v>
                </c:pt>
                <c:pt idx="16">
                  <c:v>5.3191368704113877</c:v>
                </c:pt>
                <c:pt idx="17">
                  <c:v>5.3300605588422973</c:v>
                </c:pt>
                <c:pt idx="18">
                  <c:v>5.3344198534354721</c:v>
                </c:pt>
                <c:pt idx="19">
                  <c:v>5.2877818742116958</c:v>
                </c:pt>
                <c:pt idx="20">
                  <c:v>6.1860021857440959</c:v>
                </c:pt>
                <c:pt idx="21">
                  <c:v>5.755404114990271</c:v>
                </c:pt>
                <c:pt idx="22">
                  <c:v>5.6639148942355293</c:v>
                </c:pt>
                <c:pt idx="23">
                  <c:v>5.4444718451284979</c:v>
                </c:pt>
                <c:pt idx="24">
                  <c:v>5.8356524687623734</c:v>
                </c:pt>
                <c:pt idx="25">
                  <c:v>5.6887756733129748</c:v>
                </c:pt>
                <c:pt idx="26">
                  <c:v>5.2259505849966601</c:v>
                </c:pt>
                <c:pt idx="27">
                  <c:v>5.5958950391093687</c:v>
                </c:pt>
                <c:pt idx="28">
                  <c:v>6.2309324593831512</c:v>
                </c:pt>
                <c:pt idx="29">
                  <c:v>5.9308679563467983</c:v>
                </c:pt>
                <c:pt idx="30">
                  <c:v>5.8749326560411959</c:v>
                </c:pt>
                <c:pt idx="31">
                  <c:v>5.4739559046344972</c:v>
                </c:pt>
                <c:pt idx="32">
                  <c:v>6.0939228059020358</c:v>
                </c:pt>
                <c:pt idx="33">
                  <c:v>5.3462609337230118</c:v>
                </c:pt>
                <c:pt idx="34">
                  <c:v>5.1350037507860389</c:v>
                </c:pt>
                <c:pt idx="35">
                  <c:v>5.3055756372146607</c:v>
                </c:pt>
                <c:pt idx="36">
                  <c:v>5.022405547556998</c:v>
                </c:pt>
                <c:pt idx="37">
                  <c:v>5.4028979281614964</c:v>
                </c:pt>
                <c:pt idx="38">
                  <c:v>5.681336305225674</c:v>
                </c:pt>
                <c:pt idx="39">
                  <c:v>5.3958152331949307</c:v>
                </c:pt>
                <c:pt idx="40">
                  <c:v>4.7762183087788088</c:v>
                </c:pt>
                <c:pt idx="41">
                  <c:v>5.2017877166102018</c:v>
                </c:pt>
                <c:pt idx="42">
                  <c:v>5.2679431690827929</c:v>
                </c:pt>
                <c:pt idx="43">
                  <c:v>0</c:v>
                </c:pt>
              </c:numCache>
            </c:numRef>
          </c:val>
          <c:smooth val="0"/>
          <c:extLst>
            <c:ext xmlns:c16="http://schemas.microsoft.com/office/drawing/2014/chart" uri="{C3380CC4-5D6E-409C-BE32-E72D297353CC}">
              <c16:uniqueId val="{00000001-67EC-4578-A78F-1F01244917A4}"/>
            </c:ext>
          </c:extLst>
        </c:ser>
        <c:ser>
          <c:idx val="2"/>
          <c:order val="2"/>
          <c:tx>
            <c:strRef>
              <c:f>Analysis!$B$2171</c:f>
              <c:strCache>
                <c:ptCount val="1"/>
                <c:pt idx="0">
                  <c:v>Aggregate EM Cellular</c:v>
                </c:pt>
              </c:strCache>
            </c:strRef>
          </c:tx>
          <c:spPr>
            <a:ln w="25400">
              <a:solidFill>
                <a:srgbClr val="333399"/>
              </a:solidFill>
              <a:prstDash val="lgDash"/>
            </a:ln>
          </c:spPr>
          <c:marker>
            <c:symbol val="none"/>
          </c:marker>
          <c:cat>
            <c:numRef>
              <c:f>Analysis!$D$2168:$AU$2168</c:f>
              <c:numCache>
                <c:formatCode>mmm\-yy</c:formatCode>
                <c:ptCount val="44"/>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numCache>
            </c:numRef>
          </c:cat>
          <c:val>
            <c:numRef>
              <c:f>Analysis!$D$2171:$AU$2171</c:f>
              <c:numCache>
                <c:formatCode>#,##0.0</c:formatCode>
                <c:ptCount val="44"/>
                <c:pt idx="0">
                  <c:v>4.7880273123598389</c:v>
                </c:pt>
                <c:pt idx="1">
                  <c:v>4.9130167505438385</c:v>
                </c:pt>
                <c:pt idx="2">
                  <c:v>4.2516465633753633</c:v>
                </c:pt>
                <c:pt idx="3">
                  <c:v>4.6599186946860058</c:v>
                </c:pt>
                <c:pt idx="4">
                  <c:v>5.2238416476763572</c:v>
                </c:pt>
                <c:pt idx="5">
                  <c:v>5.4529158980457062</c:v>
                </c:pt>
                <c:pt idx="6">
                  <c:v>5.0374589950075546</c:v>
                </c:pt>
                <c:pt idx="7">
                  <c:v>5.8974674002006342</c:v>
                </c:pt>
                <c:pt idx="8">
                  <c:v>5.5740820475381927</c:v>
                </c:pt>
                <c:pt idx="9">
                  <c:v>5.7564228914433748</c:v>
                </c:pt>
                <c:pt idx="10">
                  <c:v>5.3146559518967997</c:v>
                </c:pt>
                <c:pt idx="11">
                  <c:v>5.1580933188340836</c:v>
                </c:pt>
                <c:pt idx="12">
                  <c:v>5.2181129163986419</c:v>
                </c:pt>
                <c:pt idx="13">
                  <c:v>4.9906744120791604</c:v>
                </c:pt>
                <c:pt idx="14">
                  <c:v>4.9359446193744354</c:v>
                </c:pt>
                <c:pt idx="15">
                  <c:v>5.163871549214802</c:v>
                </c:pt>
                <c:pt idx="16">
                  <c:v>4.3965141678541109</c:v>
                </c:pt>
                <c:pt idx="17">
                  <c:v>4.3638035996707654</c:v>
                </c:pt>
                <c:pt idx="18">
                  <c:v>4.4536531933656036</c:v>
                </c:pt>
                <c:pt idx="19">
                  <c:v>4.6025294183422236</c:v>
                </c:pt>
                <c:pt idx="20">
                  <c:v>4.6506574468990465</c:v>
                </c:pt>
                <c:pt idx="21">
                  <c:v>4.6278960022378604</c:v>
                </c:pt>
                <c:pt idx="22">
                  <c:v>4.8518196581043131</c:v>
                </c:pt>
                <c:pt idx="23">
                  <c:v>4.7002155230545029</c:v>
                </c:pt>
                <c:pt idx="24">
                  <c:v>4.8197856006922777</c:v>
                </c:pt>
                <c:pt idx="25">
                  <c:v>4.643982003072507</c:v>
                </c:pt>
                <c:pt idx="26">
                  <c:v>4.483116446163022</c:v>
                </c:pt>
                <c:pt idx="27">
                  <c:v>4.3787664334711733</c:v>
                </c:pt>
                <c:pt idx="28">
                  <c:v>4.3326377970673935</c:v>
                </c:pt>
                <c:pt idx="29">
                  <c:v>4.3948787433010112</c:v>
                </c:pt>
                <c:pt idx="30">
                  <c:v>4.643902861899555</c:v>
                </c:pt>
                <c:pt idx="31">
                  <c:v>4.2647468360372516</c:v>
                </c:pt>
                <c:pt idx="32">
                  <c:v>4.5245889095770817</c:v>
                </c:pt>
                <c:pt idx="33">
                  <c:v>4.3233154564874665</c:v>
                </c:pt>
                <c:pt idx="34">
                  <c:v>4.4186886448302429</c:v>
                </c:pt>
                <c:pt idx="35">
                  <c:v>4.5440102927486734</c:v>
                </c:pt>
                <c:pt idx="36">
                  <c:v>4.7133578296281957</c:v>
                </c:pt>
                <c:pt idx="37">
                  <c:v>4.6837752559452293</c:v>
                </c:pt>
                <c:pt idx="38">
                  <c:v>5.0114358391436138</c:v>
                </c:pt>
                <c:pt idx="39">
                  <c:v>4.8974593331376237</c:v>
                </c:pt>
                <c:pt idx="40">
                  <c:v>4.4974922702779132</c:v>
                </c:pt>
                <c:pt idx="41">
                  <c:v>4.7083935300067044</c:v>
                </c:pt>
                <c:pt idx="42">
                  <c:v>4.8516132359610502</c:v>
                </c:pt>
                <c:pt idx="43">
                  <c:v>4.9599058017962543</c:v>
                </c:pt>
              </c:numCache>
            </c:numRef>
          </c:val>
          <c:smooth val="0"/>
          <c:extLst>
            <c:ext xmlns:c16="http://schemas.microsoft.com/office/drawing/2014/chart" uri="{C3380CC4-5D6E-409C-BE32-E72D297353CC}">
              <c16:uniqueId val="{00000002-67EC-4578-A78F-1F01244917A4}"/>
            </c:ext>
          </c:extLst>
        </c:ser>
        <c:dLbls>
          <c:showLegendKey val="0"/>
          <c:showVal val="0"/>
          <c:showCatName val="0"/>
          <c:showSerName val="0"/>
          <c:showPercent val="0"/>
          <c:showBubbleSize val="0"/>
        </c:dLbls>
        <c:smooth val="0"/>
        <c:axId val="1888804447"/>
        <c:axId val="1"/>
      </c:lineChart>
      <c:dateAx>
        <c:axId val="1888804447"/>
        <c:scaling>
          <c:orientation val="minMax"/>
        </c:scaling>
        <c:delete val="0"/>
        <c:axPos val="b"/>
        <c:numFmt formatCode="mmm\-yy" sourceLinked="0"/>
        <c:majorTickMark val="out"/>
        <c:minorTickMark val="none"/>
        <c:tickLblPos val="low"/>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min val="3"/>
        </c:scaling>
        <c:delete val="0"/>
        <c:axPos val="l"/>
        <c:majorGridlines>
          <c:spPr>
            <a:ln w="3175">
              <a:solidFill>
                <a:srgbClr val="C0C0C0"/>
              </a:solidFill>
              <a:prstDash val="solid"/>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888804447"/>
        <c:crosses val="autoZero"/>
        <c:crossBetween val="between"/>
      </c:valAx>
      <c:spPr>
        <a:noFill/>
        <a:ln w="25400">
          <a:noFill/>
        </a:ln>
      </c:spPr>
    </c:plotArea>
    <c:legend>
      <c:legendPos val="r"/>
      <c:layout>
        <c:manualLayout>
          <c:xMode val="edge"/>
          <c:yMode val="edge"/>
          <c:x val="0.18738281784255875"/>
          <c:y val="0.43596946933357472"/>
          <c:w val="0.3234817608096755"/>
          <c:h val="1.7978097565390538E-2"/>
        </c:manualLayout>
      </c:layout>
      <c:overlay val="0"/>
      <c:spPr>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Analysis!$B$2174</c:f>
              <c:strCache>
                <c:ptCount val="1"/>
                <c:pt idx="0">
                  <c:v>Millicom premium vs EM Cellular</c:v>
                </c:pt>
              </c:strCache>
            </c:strRef>
          </c:tx>
          <c:spPr>
            <a:ln w="25400">
              <a:solidFill>
                <a:srgbClr val="333399"/>
              </a:solidFill>
              <a:prstDash val="solid"/>
            </a:ln>
          </c:spPr>
          <c:marker>
            <c:symbol val="none"/>
          </c:marker>
          <c:cat>
            <c:numRef>
              <c:f>Analysis!$D$2173:$AU$2173</c:f>
              <c:numCache>
                <c:formatCode>mmm\-yy</c:formatCode>
                <c:ptCount val="44"/>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numCache>
            </c:numRef>
          </c:cat>
          <c:val>
            <c:numRef>
              <c:f>Analysis!$D$2174:$AU$2174</c:f>
              <c:numCache>
                <c:formatCode>0%</c:formatCode>
                <c:ptCount val="44"/>
                <c:pt idx="0">
                  <c:v>-5.6533523907576932E-2</c:v>
                </c:pt>
                <c:pt idx="1">
                  <c:v>5.5692486551197629E-3</c:v>
                </c:pt>
                <c:pt idx="2">
                  <c:v>-6.1594771701432682E-2</c:v>
                </c:pt>
                <c:pt idx="3">
                  <c:v>-0.23167495066884014</c:v>
                </c:pt>
                <c:pt idx="4">
                  <c:v>-9.2604534245361414E-2</c:v>
                </c:pt>
                <c:pt idx="5">
                  <c:v>-1.9009662618401091E-2</c:v>
                </c:pt>
                <c:pt idx="6">
                  <c:v>-6.0618473644980964E-2</c:v>
                </c:pt>
                <c:pt idx="7">
                  <c:v>-3.5874507463719674E-2</c:v>
                </c:pt>
                <c:pt idx="8">
                  <c:v>1.1770194903903741E-2</c:v>
                </c:pt>
                <c:pt idx="9">
                  <c:v>4.3480871118903197E-2</c:v>
                </c:pt>
                <c:pt idx="10">
                  <c:v>0.11199872771784647</c:v>
                </c:pt>
                <c:pt idx="11">
                  <c:v>9.7738297528667806E-2</c:v>
                </c:pt>
                <c:pt idx="12">
                  <c:v>0.12351955358385647</c:v>
                </c:pt>
                <c:pt idx="13">
                  <c:v>9.9904219132225247E-3</c:v>
                </c:pt>
                <c:pt idx="14">
                  <c:v>0.18105730828590594</c:v>
                </c:pt>
                <c:pt idx="15">
                  <c:v>0.16968340647443414</c:v>
                </c:pt>
                <c:pt idx="16">
                  <c:v>0.2098532308398311</c:v>
                </c:pt>
                <c:pt idx="17">
                  <c:v>0.22142540036504688</c:v>
                </c:pt>
                <c:pt idx="18">
                  <c:v>0.1977627403458142</c:v>
                </c:pt>
                <c:pt idx="19">
                  <c:v>0.14888605668408572</c:v>
                </c:pt>
                <c:pt idx="20">
                  <c:v>0.33013498766046134</c:v>
                </c:pt>
                <c:pt idx="21">
                  <c:v>0.24363298401848144</c:v>
                </c:pt>
                <c:pt idx="22">
                  <c:v>0.1673795180690032</c:v>
                </c:pt>
                <c:pt idx="23">
                  <c:v>0.15834514788171439</c:v>
                </c:pt>
                <c:pt idx="24">
                  <c:v>0.21077013631564534</c:v>
                </c:pt>
                <c:pt idx="25">
                  <c:v>0.22497797570042732</c:v>
                </c:pt>
                <c:pt idx="26">
                  <c:v>0.16569592776681263</c:v>
                </c:pt>
                <c:pt idx="27">
                  <c:v>0.27796152732296853</c:v>
                </c:pt>
                <c:pt idx="28">
                  <c:v>0.43813832386373153</c:v>
                </c:pt>
                <c:pt idx="29">
                  <c:v>0.34949524270426169</c:v>
                </c:pt>
                <c:pt idx="30">
                  <c:v>0.26508517312915902</c:v>
                </c:pt>
                <c:pt idx="31">
                  <c:v>0.28353595537709042</c:v>
                </c:pt>
                <c:pt idx="32">
                  <c:v>0.3468456312137409</c:v>
                </c:pt>
                <c:pt idx="33">
                  <c:v>0.236611343199705</c:v>
                </c:pt>
                <c:pt idx="34">
                  <c:v>0.16211033714581058</c:v>
                </c:pt>
                <c:pt idx="35">
                  <c:v>0.16759762751446505</c:v>
                </c:pt>
                <c:pt idx="36">
                  <c:v>6.5568481982447135E-2</c:v>
                </c:pt>
                <c:pt idx="37">
                  <c:v>0.15353483737364804</c:v>
                </c:pt>
                <c:pt idx="38">
                  <c:v>0.13367435752635259</c:v>
                </c:pt>
                <c:pt idx="39">
                  <c:v>0.10175804762385399</c:v>
                </c:pt>
                <c:pt idx="40">
                  <c:v>6.1973655928856619E-2</c:v>
                </c:pt>
                <c:pt idx="41">
                  <c:v>0.10479034589166858</c:v>
                </c:pt>
                <c:pt idx="42">
                  <c:v>8.5812679798098701E-2</c:v>
                </c:pt>
                <c:pt idx="43">
                  <c:v>0</c:v>
                </c:pt>
              </c:numCache>
            </c:numRef>
          </c:val>
          <c:smooth val="0"/>
          <c:extLst>
            <c:ext xmlns:c16="http://schemas.microsoft.com/office/drawing/2014/chart" uri="{C3380CC4-5D6E-409C-BE32-E72D297353CC}">
              <c16:uniqueId val="{00000000-F9E3-4D93-8422-486E9464A195}"/>
            </c:ext>
          </c:extLst>
        </c:ser>
        <c:ser>
          <c:idx val="1"/>
          <c:order val="1"/>
          <c:tx>
            <c:strRef>
              <c:f>Analysis!$B$2175</c:f>
              <c:strCache>
                <c:ptCount val="1"/>
                <c:pt idx="0">
                  <c:v>Average premium to sector</c:v>
                </c:pt>
              </c:strCache>
            </c:strRef>
          </c:tx>
          <c:spPr>
            <a:ln w="25400">
              <a:solidFill>
                <a:srgbClr val="99CCFF"/>
              </a:solidFill>
              <a:prstDash val="dash"/>
            </a:ln>
            <a:effectLst/>
          </c:spPr>
          <c:marker>
            <c:symbol val="none"/>
          </c:marker>
          <c:cat>
            <c:numRef>
              <c:f>Analysis!$D$2173:$AU$2173</c:f>
              <c:numCache>
                <c:formatCode>mmm\-yy</c:formatCode>
                <c:ptCount val="44"/>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numCache>
            </c:numRef>
          </c:cat>
          <c:val>
            <c:numRef>
              <c:f>Analysis!$D$2175:$AU$2175</c:f>
              <c:numCache>
                <c:formatCode>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val>
          <c:smooth val="0"/>
          <c:extLst>
            <c:ext xmlns:c16="http://schemas.microsoft.com/office/drawing/2014/chart" uri="{C3380CC4-5D6E-409C-BE32-E72D297353CC}">
              <c16:uniqueId val="{00000001-F9E3-4D93-8422-486E9464A195}"/>
            </c:ext>
          </c:extLst>
        </c:ser>
        <c:dLbls>
          <c:showLegendKey val="0"/>
          <c:showVal val="0"/>
          <c:showCatName val="0"/>
          <c:showSerName val="0"/>
          <c:showPercent val="0"/>
          <c:showBubbleSize val="0"/>
        </c:dLbls>
        <c:smooth val="0"/>
        <c:axId val="1888804847"/>
        <c:axId val="1"/>
      </c:lineChart>
      <c:dateAx>
        <c:axId val="1888804847"/>
        <c:scaling>
          <c:orientation val="minMax"/>
        </c:scaling>
        <c:delete val="0"/>
        <c:axPos val="b"/>
        <c:numFmt formatCode="mmm\-yy" sourceLinked="0"/>
        <c:majorTickMark val="out"/>
        <c:minorTickMark val="none"/>
        <c:tickLblPos val="low"/>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888804847"/>
        <c:crosses val="autoZero"/>
        <c:crossBetween val="between"/>
      </c:valAx>
      <c:spPr>
        <a:noFill/>
        <a:ln w="25400">
          <a:noFill/>
        </a:ln>
      </c:spPr>
    </c:plotArea>
    <c:legend>
      <c:legendPos val="r"/>
      <c:layout>
        <c:manualLayout>
          <c:xMode val="edge"/>
          <c:yMode val="edge"/>
          <c:x val="0.19223928692081807"/>
          <c:y val="0.47827613385061563"/>
          <c:w val="0.27185338218861266"/>
          <c:h val="2.0595486788641204E-2"/>
        </c:manualLayout>
      </c:layout>
      <c:overlay val="0"/>
      <c:spPr>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chemeClr val="tx2"/>
              </a:solidFill>
            </a:ln>
          </c:spPr>
          <c:marker>
            <c:symbol val="none"/>
          </c:marker>
          <c:cat>
            <c:numRef>
              <c:f>Analysis!$AN$2913:$BF$2913</c:f>
              <c:numCache>
                <c:formatCode>mmm\-yy</c:formatCode>
                <c:ptCount val="19"/>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numCache>
            </c:numRef>
          </c:cat>
          <c:val>
            <c:numRef>
              <c:f>Analysis!$AN$2914:$BF$2914</c:f>
              <c:numCache>
                <c:formatCode>General</c:formatCode>
                <c:ptCount val="19"/>
                <c:pt idx="0">
                  <c:v>8</c:v>
                </c:pt>
                <c:pt idx="1">
                  <c:v>7.6532056697112303</c:v>
                </c:pt>
                <c:pt idx="2">
                  <c:v>7.6532056697112303</c:v>
                </c:pt>
                <c:pt idx="3">
                  <c:v>7.5697415710976088</c:v>
                </c:pt>
                <c:pt idx="4">
                  <c:v>7.1056107621561209</c:v>
                </c:pt>
                <c:pt idx="5">
                  <c:v>6.8244899211152221</c:v>
                </c:pt>
                <c:pt idx="6">
                  <c:v>6.5484847247020177</c:v>
                </c:pt>
                <c:pt idx="7">
                  <c:v>6.6586960061252043</c:v>
                </c:pt>
                <c:pt idx="8">
                  <c:v>6.1404004176898335</c:v>
                </c:pt>
                <c:pt idx="9">
                  <c:v>6.2198946161715547</c:v>
                </c:pt>
                <c:pt idx="10">
                  <c:v>6.3303975345807295</c:v>
                </c:pt>
                <c:pt idx="11">
                  <c:v>6.124042535689048</c:v>
                </c:pt>
                <c:pt idx="12">
                  <c:v>5.7931550718910421</c:v>
                </c:pt>
                <c:pt idx="13">
                  <c:v>6.0121014300694888</c:v>
                </c:pt>
                <c:pt idx="14">
                  <c:v>6.0530559469374223</c:v>
                </c:pt>
                <c:pt idx="15" formatCode="0.0">
                  <c:v>6.3</c:v>
                </c:pt>
                <c:pt idx="16">
                  <c:v>5.8</c:v>
                </c:pt>
                <c:pt idx="17">
                  <c:v>5.8</c:v>
                </c:pt>
                <c:pt idx="18">
                  <c:v>4.2700805400524224</c:v>
                </c:pt>
              </c:numCache>
            </c:numRef>
          </c:val>
          <c:smooth val="0"/>
          <c:extLst>
            <c:ext xmlns:c16="http://schemas.microsoft.com/office/drawing/2014/chart" uri="{C3380CC4-5D6E-409C-BE32-E72D297353CC}">
              <c16:uniqueId val="{00000000-7E23-454F-9C0E-3C92053FFD8C}"/>
            </c:ext>
          </c:extLst>
        </c:ser>
        <c:dLbls>
          <c:showLegendKey val="0"/>
          <c:showVal val="0"/>
          <c:showCatName val="0"/>
          <c:showSerName val="0"/>
          <c:showPercent val="0"/>
          <c:showBubbleSize val="0"/>
        </c:dLbls>
        <c:smooth val="0"/>
        <c:axId val="1888807647"/>
        <c:axId val="1"/>
      </c:lineChart>
      <c:dateAx>
        <c:axId val="1888807647"/>
        <c:scaling>
          <c:orientation val="minMax"/>
        </c:scaling>
        <c:delete val="0"/>
        <c:axPos val="b"/>
        <c:numFmt formatCode="mmm\-yy" sourceLinked="0"/>
        <c:majorTickMark val="out"/>
        <c:minorTickMark val="none"/>
        <c:tickLblPos val="nextTo"/>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min val="5"/>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88880764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Guatemala</a:t>
            </a:r>
          </a:p>
        </c:rich>
      </c:tx>
      <c:overlay val="0"/>
      <c:spPr>
        <a:noFill/>
        <a:ln w="25400">
          <a:noFill/>
        </a:ln>
      </c:spPr>
    </c:title>
    <c:autoTitleDeleted val="0"/>
    <c:plotArea>
      <c:layout>
        <c:manualLayout>
          <c:layoutTarget val="inner"/>
          <c:xMode val="edge"/>
          <c:yMode val="edge"/>
          <c:x val="0.27801665283570137"/>
          <c:y val="0.20760436315483397"/>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8233-4B6C-B47F-AD1CF4F3A25B}"/>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8233-4B6C-B47F-AD1CF4F3A25B}"/>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8233-4B6C-B47F-AD1CF4F3A25B}"/>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Analysis!$B$3847:$B$3849</c:f>
              <c:strCache>
                <c:ptCount val="3"/>
                <c:pt idx="0">
                  <c:v>Tigo</c:v>
                </c:pt>
                <c:pt idx="1">
                  <c:v>TEF</c:v>
                </c:pt>
                <c:pt idx="2">
                  <c:v>AMX</c:v>
                </c:pt>
              </c:strCache>
            </c:strRef>
          </c:cat>
          <c:val>
            <c:numRef>
              <c:f>Analysis!$D$3847:$D$3849</c:f>
              <c:numCache>
                <c:formatCode>0%</c:formatCode>
                <c:ptCount val="3"/>
                <c:pt idx="0">
                  <c:v>0.59</c:v>
                </c:pt>
                <c:pt idx="1">
                  <c:v>0.26</c:v>
                </c:pt>
                <c:pt idx="2">
                  <c:v>0.15000000000000002</c:v>
                </c:pt>
              </c:numCache>
            </c:numRef>
          </c:val>
          <c:extLst>
            <c:ext xmlns:c16="http://schemas.microsoft.com/office/drawing/2014/chart" uri="{C3380CC4-5D6E-409C-BE32-E72D297353CC}">
              <c16:uniqueId val="{00000003-8233-4B6C-B47F-AD1CF4F3A25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9481127359080115"/>
          <c:y val="0.92085117138135519"/>
          <c:w val="0.34752843394575672"/>
          <c:h val="7.0383590940021445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El Salvador</a:t>
            </a:r>
          </a:p>
        </c:rich>
      </c:tx>
      <c:overlay val="0"/>
      <c:spPr>
        <a:noFill/>
        <a:ln w="25400">
          <a:noFill/>
        </a:ln>
      </c:spPr>
    </c:title>
    <c:autoTitleDeleted val="0"/>
    <c:plotArea>
      <c:layout>
        <c:manualLayout>
          <c:layoutTarget val="inner"/>
          <c:xMode val="edge"/>
          <c:yMode val="edge"/>
          <c:x val="0.28222559674207859"/>
          <c:y val="0.168258783270029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FEDE-4D78-978A-7CA20B0D3267}"/>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FEDE-4D78-978A-7CA20B0D3267}"/>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FEDE-4D78-978A-7CA20B0D326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FEDE-4D78-978A-7CA20B0D3267}"/>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Analysis!$B$3852:$B$3855</c:f>
              <c:strCache>
                <c:ptCount val="4"/>
                <c:pt idx="0">
                  <c:v>Tigo</c:v>
                </c:pt>
                <c:pt idx="1">
                  <c:v>TEF</c:v>
                </c:pt>
                <c:pt idx="2">
                  <c:v>AMX</c:v>
                </c:pt>
                <c:pt idx="3">
                  <c:v>Digicel</c:v>
                </c:pt>
              </c:strCache>
            </c:strRef>
          </c:cat>
          <c:val>
            <c:numRef>
              <c:f>Analysis!$D$3852:$D$3855</c:f>
              <c:numCache>
                <c:formatCode>0%</c:formatCode>
                <c:ptCount val="4"/>
                <c:pt idx="0">
                  <c:v>0.34</c:v>
                </c:pt>
                <c:pt idx="1">
                  <c:v>0.24</c:v>
                </c:pt>
                <c:pt idx="2">
                  <c:v>0.24</c:v>
                </c:pt>
                <c:pt idx="3">
                  <c:v>0.17999999999999994</c:v>
                </c:pt>
              </c:numCache>
            </c:numRef>
          </c:val>
          <c:extLst>
            <c:ext xmlns:c16="http://schemas.microsoft.com/office/drawing/2014/chart" uri="{C3380CC4-5D6E-409C-BE32-E72D297353CC}">
              <c16:uniqueId val="{00000004-FEDE-4D78-978A-7CA20B0D326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0923735479437309"/>
          <c:y val="0.92176740775050181"/>
          <c:w val="0.48879438966028299"/>
          <c:h val="6.9567315115022343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Nicaragua</a:t>
            </a:r>
          </a:p>
        </c:rich>
      </c:tx>
      <c:overlay val="0"/>
      <c:spPr>
        <a:noFill/>
        <a:ln w="25400">
          <a:noFill/>
        </a:ln>
      </c:spPr>
    </c:title>
    <c:autoTitleDeleted val="0"/>
    <c:plotArea>
      <c:layout>
        <c:manualLayout>
          <c:layoutTarget val="inner"/>
          <c:xMode val="edge"/>
          <c:yMode val="edge"/>
          <c:x val="0.28222559674207859"/>
          <c:y val="0.168258783270029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5FE7-4B59-81D4-DE0A55C14DE0}"/>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5FE7-4B59-81D4-DE0A55C14DE0}"/>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Analysis!$B$3862:$B$3863</c:f>
              <c:strCache>
                <c:ptCount val="2"/>
                <c:pt idx="0">
                  <c:v>TEF / Tigo</c:v>
                </c:pt>
                <c:pt idx="1">
                  <c:v>AMX</c:v>
                </c:pt>
              </c:strCache>
            </c:strRef>
          </c:cat>
          <c:val>
            <c:numRef>
              <c:f>Analysis!$D$3862:$D$3863</c:f>
              <c:numCache>
                <c:formatCode>0%</c:formatCode>
                <c:ptCount val="2"/>
                <c:pt idx="0">
                  <c:v>0.59</c:v>
                </c:pt>
                <c:pt idx="1">
                  <c:v>0.41000000000000003</c:v>
                </c:pt>
              </c:numCache>
            </c:numRef>
          </c:val>
          <c:extLst>
            <c:ext xmlns:c16="http://schemas.microsoft.com/office/drawing/2014/chart" uri="{C3380CC4-5D6E-409C-BE32-E72D297353CC}">
              <c16:uniqueId val="{00000002-5FE7-4B59-81D4-DE0A55C14DE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6793694556726403"/>
          <c:y val="0.92310919468399777"/>
          <c:w val="0.3490682804115362"/>
          <c:h val="6.7694454859809183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Costa Rica</a:t>
            </a:r>
          </a:p>
        </c:rich>
      </c:tx>
      <c:overlay val="0"/>
      <c:spPr>
        <a:noFill/>
        <a:ln w="25400">
          <a:noFill/>
        </a:ln>
      </c:spPr>
    </c:title>
    <c:autoTitleDeleted val="0"/>
    <c:plotArea>
      <c:layout>
        <c:manualLayout>
          <c:layoutTarget val="inner"/>
          <c:xMode val="edge"/>
          <c:yMode val="edge"/>
          <c:x val="0.28222559674207859"/>
          <c:y val="0.168258783270029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C27C-4AAD-B071-4CF5852F90A3}"/>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C27C-4AAD-B071-4CF5852F90A3}"/>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C27C-4AAD-B071-4CF5852F90A3}"/>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Analysis!$B$3866:$B$3868</c:f>
              <c:strCache>
                <c:ptCount val="3"/>
                <c:pt idx="0">
                  <c:v>Kolvi</c:v>
                </c:pt>
                <c:pt idx="1">
                  <c:v>TEF / Tigo</c:v>
                </c:pt>
                <c:pt idx="2">
                  <c:v>AMX</c:v>
                </c:pt>
              </c:strCache>
            </c:strRef>
          </c:cat>
          <c:val>
            <c:numRef>
              <c:f>Analysis!$D$3866:$D$3868</c:f>
              <c:numCache>
                <c:formatCode>0%</c:formatCode>
                <c:ptCount val="3"/>
                <c:pt idx="0">
                  <c:v>0.5</c:v>
                </c:pt>
                <c:pt idx="1">
                  <c:v>0.27</c:v>
                </c:pt>
                <c:pt idx="2">
                  <c:v>0.22999999999999998</c:v>
                </c:pt>
              </c:numCache>
            </c:numRef>
          </c:val>
          <c:extLst>
            <c:ext xmlns:c16="http://schemas.microsoft.com/office/drawing/2014/chart" uri="{C3380CC4-5D6E-409C-BE32-E72D297353CC}">
              <c16:uniqueId val="{00000003-C27C-4AAD-B071-4CF5852F90A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2507182658949968"/>
          <c:y val="0.91591759363412906"/>
          <c:w val="0.45658991364249818"/>
          <c:h val="7.4768987209932081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cat>
            <c:strRef>
              <c:f>Valuation!$AP$25:$AP$27</c:f>
              <c:strCache>
                <c:ptCount val="3"/>
                <c:pt idx="0">
                  <c:v>EFCF 25 guide</c:v>
                </c:pt>
                <c:pt idx="1">
                  <c:v>Consensus</c:v>
                </c:pt>
                <c:pt idx="2">
                  <c:v>NSRe</c:v>
                </c:pt>
              </c:strCache>
            </c:strRef>
          </c:cat>
          <c:val>
            <c:numRef>
              <c:f>Valuation!$AQ$25:$AQ$27</c:f>
              <c:numCache>
                <c:formatCode>General</c:formatCode>
                <c:ptCount val="3"/>
                <c:pt idx="0">
                  <c:v>750</c:v>
                </c:pt>
                <c:pt idx="1">
                  <c:v>721</c:v>
                </c:pt>
                <c:pt idx="2">
                  <c:v>750</c:v>
                </c:pt>
              </c:numCache>
            </c:numRef>
          </c:val>
          <c:extLst>
            <c:ext xmlns:c16="http://schemas.microsoft.com/office/drawing/2014/chart" uri="{C3380CC4-5D6E-409C-BE32-E72D297353CC}">
              <c16:uniqueId val="{00000000-3847-4986-8373-DD0E19E8F0E7}"/>
            </c:ext>
          </c:extLst>
        </c:ser>
        <c:dLbls>
          <c:showLegendKey val="0"/>
          <c:showVal val="0"/>
          <c:showCatName val="0"/>
          <c:showSerName val="0"/>
          <c:showPercent val="0"/>
          <c:showBubbleSize val="0"/>
        </c:dLbls>
        <c:gapWidth val="75"/>
        <c:overlap val="-25"/>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Panama</a:t>
            </a:r>
          </a:p>
        </c:rich>
      </c:tx>
      <c:overlay val="0"/>
      <c:spPr>
        <a:noFill/>
        <a:ln w="25400">
          <a:noFill/>
        </a:ln>
      </c:spPr>
    </c:title>
    <c:autoTitleDeleted val="0"/>
    <c:plotArea>
      <c:layout>
        <c:manualLayout>
          <c:layoutTarget val="inner"/>
          <c:xMode val="edge"/>
          <c:yMode val="edge"/>
          <c:x val="0.28643454064845575"/>
          <c:y val="0.1795003775228306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3135-481A-B220-852249BA64AB}"/>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3135-481A-B220-852249BA64AB}"/>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3135-481A-B220-852249BA64A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135-481A-B220-852249BA64AB}"/>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Analysis!$B$3871:$B$3874</c:f>
              <c:strCache>
                <c:ptCount val="4"/>
                <c:pt idx="0">
                  <c:v>CWC</c:v>
                </c:pt>
                <c:pt idx="1">
                  <c:v>TEF / Tigo</c:v>
                </c:pt>
                <c:pt idx="2">
                  <c:v>AMX</c:v>
                </c:pt>
                <c:pt idx="3">
                  <c:v>Digicel</c:v>
                </c:pt>
              </c:strCache>
            </c:strRef>
          </c:cat>
          <c:val>
            <c:numRef>
              <c:f>Analysis!$F$3871:$F$3874</c:f>
              <c:numCache>
                <c:formatCode>0</c:formatCode>
                <c:ptCount val="4"/>
                <c:pt idx="0">
                  <c:v>280</c:v>
                </c:pt>
                <c:pt idx="1">
                  <c:v>205.33333333333334</c:v>
                </c:pt>
                <c:pt idx="2">
                  <c:v>102.66666666666667</c:v>
                </c:pt>
                <c:pt idx="3">
                  <c:v>79.851851851851805</c:v>
                </c:pt>
              </c:numCache>
            </c:numRef>
          </c:val>
          <c:extLst>
            <c:ext xmlns:c16="http://schemas.microsoft.com/office/drawing/2014/chart" uri="{C3380CC4-5D6E-409C-BE32-E72D297353CC}">
              <c16:uniqueId val="{00000004-3135-481A-B220-852249BA64A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358569125446856"/>
          <c:y val="0.92860126060884729"/>
          <c:w val="0.64153087688964683"/>
          <c:h val="6.2859168151426337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Colombia</a:t>
            </a:r>
          </a:p>
        </c:rich>
      </c:tx>
      <c:overlay val="0"/>
      <c:spPr>
        <a:noFill/>
        <a:ln w="25400">
          <a:noFill/>
        </a:ln>
      </c:spPr>
    </c:title>
    <c:autoTitleDeleted val="0"/>
    <c:plotArea>
      <c:layout>
        <c:manualLayout>
          <c:layoutTarget val="inner"/>
          <c:xMode val="edge"/>
          <c:yMode val="edge"/>
          <c:x val="0.28643454064845575"/>
          <c:y val="0.1795003775228306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C136-49EE-82AA-E3D8BE12D412}"/>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C136-49EE-82AA-E3D8BE12D412}"/>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C136-49EE-82AA-E3D8BE12D412}"/>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Analysis!$B$3879:$B$3881</c:f>
              <c:strCache>
                <c:ptCount val="3"/>
                <c:pt idx="0">
                  <c:v>Claro</c:v>
                </c:pt>
                <c:pt idx="1">
                  <c:v>TEF</c:v>
                </c:pt>
                <c:pt idx="2">
                  <c:v>Tigo</c:v>
                </c:pt>
              </c:strCache>
            </c:strRef>
          </c:cat>
          <c:val>
            <c:numRef>
              <c:f>Analysis!$D$3879:$D$3881</c:f>
              <c:numCache>
                <c:formatCode>0%</c:formatCode>
                <c:ptCount val="3"/>
                <c:pt idx="0">
                  <c:v>0.55732311765685982</c:v>
                </c:pt>
                <c:pt idx="1">
                  <c:v>0.26553936115168514</c:v>
                </c:pt>
                <c:pt idx="2">
                  <c:v>0.17451803199071841</c:v>
                </c:pt>
              </c:numCache>
            </c:numRef>
          </c:val>
          <c:extLst>
            <c:ext xmlns:c16="http://schemas.microsoft.com/office/drawing/2014/chart" uri="{C3380CC4-5D6E-409C-BE32-E72D297353CC}">
              <c16:uniqueId val="{00000003-C136-49EE-82AA-E3D8BE12D41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8405292398387109"/>
          <c:y val="0.92777680567706811"/>
          <c:w val="0.34664513938912206"/>
          <c:h val="6.3585885097696138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Paraguay</a:t>
            </a:r>
          </a:p>
        </c:rich>
      </c:tx>
      <c:overlay val="0"/>
      <c:spPr>
        <a:noFill/>
        <a:ln w="25400">
          <a:noFill/>
        </a:ln>
      </c:spPr>
    </c:title>
    <c:autoTitleDeleted val="0"/>
    <c:plotArea>
      <c:layout>
        <c:manualLayout>
          <c:layoutTarget val="inner"/>
          <c:xMode val="edge"/>
          <c:yMode val="edge"/>
          <c:x val="0.28643454064845575"/>
          <c:y val="0.19636276890203264"/>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542E-4836-817E-BF5F7CE46424}"/>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542E-4836-817E-BF5F7CE46424}"/>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542E-4836-817E-BF5F7CE4642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542E-4836-817E-BF5F7CE46424}"/>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Analysis!$B$3885:$B$3888</c:f>
              <c:strCache>
                <c:ptCount val="4"/>
                <c:pt idx="0">
                  <c:v>Tigo</c:v>
                </c:pt>
                <c:pt idx="1">
                  <c:v>Claro</c:v>
                </c:pt>
                <c:pt idx="2">
                  <c:v>Nucleo</c:v>
                </c:pt>
                <c:pt idx="3">
                  <c:v>VOX</c:v>
                </c:pt>
              </c:strCache>
            </c:strRef>
          </c:cat>
          <c:val>
            <c:numRef>
              <c:f>Analysis!$G$3885:$G$3888</c:f>
              <c:numCache>
                <c:formatCode>0%</c:formatCode>
                <c:ptCount val="4"/>
                <c:pt idx="0">
                  <c:v>0.50384834677672108</c:v>
                </c:pt>
                <c:pt idx="1">
                  <c:v>0.16976157444392501</c:v>
                </c:pt>
                <c:pt idx="2">
                  <c:v>0.26980288729804547</c:v>
                </c:pt>
                <c:pt idx="3">
                  <c:v>5.6587191481308328E-2</c:v>
                </c:pt>
              </c:numCache>
            </c:numRef>
          </c:val>
          <c:extLst>
            <c:ext xmlns:c16="http://schemas.microsoft.com/office/drawing/2014/chart" uri="{C3380CC4-5D6E-409C-BE32-E72D297353CC}">
              <c16:uniqueId val="{00000004-542E-4836-817E-BF5F7CE46424}"/>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8302841966712622"/>
          <c:y val="0.91565570114012418"/>
          <c:w val="0.53539537528135395"/>
          <c:h val="7.5002541678337642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Bolivia</a:t>
            </a:r>
          </a:p>
        </c:rich>
      </c:tx>
      <c:overlay val="0"/>
      <c:spPr>
        <a:noFill/>
        <a:ln w="25400">
          <a:noFill/>
        </a:ln>
      </c:spPr>
    </c:title>
    <c:autoTitleDeleted val="0"/>
    <c:plotArea>
      <c:layout>
        <c:manualLayout>
          <c:layoutTarget val="inner"/>
          <c:xMode val="edge"/>
          <c:yMode val="edge"/>
          <c:x val="0.28643454064845575"/>
          <c:y val="0.19636276890203264"/>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01DB-405B-BE42-B106047B5D2A}"/>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01DB-405B-BE42-B106047B5D2A}"/>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01DB-405B-BE42-B106047B5D2A}"/>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Analysis!$B$3907:$B$3909</c:f>
              <c:strCache>
                <c:ptCount val="3"/>
                <c:pt idx="0">
                  <c:v>Tigo</c:v>
                </c:pt>
                <c:pt idx="1">
                  <c:v>Entel</c:v>
                </c:pt>
                <c:pt idx="2">
                  <c:v>NuevaTel</c:v>
                </c:pt>
              </c:strCache>
            </c:strRef>
          </c:cat>
          <c:val>
            <c:numRef>
              <c:f>Analysis!$D$3907:$D$3909</c:f>
              <c:numCache>
                <c:formatCode>0%</c:formatCode>
                <c:ptCount val="3"/>
                <c:pt idx="0">
                  <c:v>0.36672802468942395</c:v>
                </c:pt>
                <c:pt idx="1">
                  <c:v>0.45</c:v>
                </c:pt>
                <c:pt idx="2">
                  <c:v>0.18327197531057599</c:v>
                </c:pt>
              </c:numCache>
            </c:numRef>
          </c:val>
          <c:extLst>
            <c:ext xmlns:c16="http://schemas.microsoft.com/office/drawing/2014/chart" uri="{C3380CC4-5D6E-409C-BE32-E72D297353CC}">
              <c16:uniqueId val="{00000003-01DB-405B-BE42-B106047B5D2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2501013322701749"/>
          <c:y val="0.92131387988266167"/>
          <c:w val="0.44251370477424495"/>
          <c:h val="6.9973367299675737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Trebuchet MS"/>
                <a:ea typeface="Trebuchet MS"/>
                <a:cs typeface="Trebuchet MS"/>
              </a:defRPr>
            </a:pPr>
            <a:r>
              <a:rPr lang="en-GB"/>
              <a:t>Honduras</a:t>
            </a:r>
          </a:p>
        </c:rich>
      </c:tx>
      <c:overlay val="0"/>
      <c:spPr>
        <a:noFill/>
        <a:ln w="25400">
          <a:noFill/>
        </a:ln>
      </c:spPr>
    </c:title>
    <c:autoTitleDeleted val="0"/>
    <c:plotArea>
      <c:layout>
        <c:manualLayout>
          <c:layoutTarget val="inner"/>
          <c:xMode val="edge"/>
          <c:yMode val="edge"/>
          <c:x val="0.28222559674207859"/>
          <c:y val="0.1682587832700293"/>
          <c:w val="0.4776385769925206"/>
          <c:h val="0.6378582373003177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8F17-4335-987E-E05B623D4F66}"/>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8F17-4335-987E-E05B623D4F66}"/>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Analysis!$B$3858:$B$3859</c:f>
              <c:strCache>
                <c:ptCount val="2"/>
                <c:pt idx="0">
                  <c:v>Tigo</c:v>
                </c:pt>
                <c:pt idx="1">
                  <c:v>Claro</c:v>
                </c:pt>
              </c:strCache>
            </c:strRef>
          </c:cat>
          <c:val>
            <c:numRef>
              <c:f>Analysis!$D$3858:$D$3859</c:f>
              <c:numCache>
                <c:formatCode>0%</c:formatCode>
                <c:ptCount val="2"/>
                <c:pt idx="0">
                  <c:v>0.65400000000000003</c:v>
                </c:pt>
                <c:pt idx="1">
                  <c:v>0.34599999999999997</c:v>
                </c:pt>
              </c:numCache>
            </c:numRef>
          </c:val>
          <c:extLst>
            <c:ext xmlns:c16="http://schemas.microsoft.com/office/drawing/2014/chart" uri="{C3380CC4-5D6E-409C-BE32-E72D297353CC}">
              <c16:uniqueId val="{00000002-8F17-4335-987E-E05B623D4F6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378002278017136"/>
          <c:y val="0.92108124860776164"/>
          <c:w val="0.27273576651975107"/>
          <c:h val="7.0177722249663455E-2"/>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DE91-42E0-A9AD-40D0748C8210}"/>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DE91-42E0-A9AD-40D0748C8210}"/>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DE91-42E0-A9AD-40D0748C8210}"/>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DE91-42E0-A9AD-40D0748C8210}"/>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Analysis!$B$3930:$B$3933</c:f>
              <c:strCache>
                <c:ptCount val="4"/>
                <c:pt idx="0">
                  <c:v>Residential cable</c:v>
                </c:pt>
                <c:pt idx="1">
                  <c:v>Fixed B2B </c:v>
                </c:pt>
                <c:pt idx="2">
                  <c:v>Wireless</c:v>
                </c:pt>
                <c:pt idx="3">
                  <c:v>Other</c:v>
                </c:pt>
              </c:strCache>
            </c:strRef>
          </c:cat>
          <c:val>
            <c:numRef>
              <c:f>Analysis!$D$3930:$D$3933</c:f>
              <c:numCache>
                <c:formatCode>0</c:formatCode>
                <c:ptCount val="4"/>
                <c:pt idx="0">
                  <c:v>379</c:v>
                </c:pt>
                <c:pt idx="1">
                  <c:v>162</c:v>
                </c:pt>
                <c:pt idx="2">
                  <c:v>880</c:v>
                </c:pt>
                <c:pt idx="3">
                  <c:v>12</c:v>
                </c:pt>
              </c:numCache>
            </c:numRef>
          </c:val>
          <c:extLst>
            <c:ext xmlns:c16="http://schemas.microsoft.com/office/drawing/2014/chart" uri="{C3380CC4-5D6E-409C-BE32-E72D297353CC}">
              <c16:uniqueId val="{00000004-DE91-42E0-A9AD-40D0748C82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089259191438278"/>
          <c:y val="0.80859717445066659"/>
          <c:w val="0.5651073267004415"/>
          <c:h val="0.1085750021319537"/>
        </c:manualLayout>
      </c:layout>
      <c:overlay val="0"/>
      <c:spPr>
        <a:noFill/>
        <a:ln w="25400">
          <a:noFill/>
        </a:ln>
      </c:spPr>
      <c:txPr>
        <a:bodyPr/>
        <a:lstStyle/>
        <a:p>
          <a:pPr>
            <a:defRPr sz="38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1225016213762"/>
          <c:y val="4.7311827956989246E-2"/>
          <c:w val="0.77260417654373581"/>
          <c:h val="0.73174193548387101"/>
        </c:manualLayout>
      </c:layout>
      <c:lineChart>
        <c:grouping val="standard"/>
        <c:varyColors val="0"/>
        <c:ser>
          <c:idx val="0"/>
          <c:order val="0"/>
          <c:tx>
            <c:strRef>
              <c:f>Analysis!$B$4078</c:f>
              <c:strCache>
                <c:ptCount val="1"/>
                <c:pt idx="0">
                  <c:v>Leverage</c:v>
                </c:pt>
              </c:strCache>
            </c:strRef>
          </c:tx>
          <c:spPr>
            <a:ln w="25400">
              <a:solidFill>
                <a:srgbClr val="333399"/>
              </a:solidFill>
              <a:prstDash val="solid"/>
            </a:ln>
          </c:spPr>
          <c:marker>
            <c:symbol val="none"/>
          </c:marker>
          <c:cat>
            <c:numRef>
              <c:f>Analysis!$D$4077:$J$4077</c:f>
              <c:numCache>
                <c:formatCode>General</c:formatCode>
                <c:ptCount val="7"/>
                <c:pt idx="0">
                  <c:v>2019</c:v>
                </c:pt>
                <c:pt idx="1">
                  <c:v>2020</c:v>
                </c:pt>
                <c:pt idx="2">
                  <c:v>2021</c:v>
                </c:pt>
                <c:pt idx="3">
                  <c:v>2022</c:v>
                </c:pt>
                <c:pt idx="4">
                  <c:v>2023</c:v>
                </c:pt>
                <c:pt idx="5">
                  <c:v>2024</c:v>
                </c:pt>
                <c:pt idx="6">
                  <c:v>2025</c:v>
                </c:pt>
              </c:numCache>
            </c:numRef>
          </c:cat>
          <c:val>
            <c:numRef>
              <c:f>Analysis!$D$4078:$J$4078</c:f>
              <c:numCache>
                <c:formatCode>0.00\x</c:formatCode>
                <c:ptCount val="7"/>
                <c:pt idx="0">
                  <c:v>3.1992884155998818</c:v>
                </c:pt>
                <c:pt idx="1">
                  <c:v>2.9133473518498514</c:v>
                </c:pt>
                <c:pt idx="2">
                  <c:v>3.3618341823268256</c:v>
                </c:pt>
                <c:pt idx="3">
                  <c:v>2.978618591233877</c:v>
                </c:pt>
                <c:pt idx="4">
                  <c:v>3.1710925961532976</c:v>
                </c:pt>
                <c:pt idx="5">
                  <c:v>2.4327896581564543</c:v>
                </c:pt>
                <c:pt idx="6">
                  <c:v>2.2311753910726924</c:v>
                </c:pt>
              </c:numCache>
            </c:numRef>
          </c:val>
          <c:smooth val="0"/>
          <c:extLst>
            <c:ext xmlns:c16="http://schemas.microsoft.com/office/drawing/2014/chart" uri="{C3380CC4-5D6E-409C-BE32-E72D297353CC}">
              <c16:uniqueId val="{00000000-595E-4D9B-B422-E2C8FF21A82E}"/>
            </c:ext>
          </c:extLst>
        </c:ser>
        <c:ser>
          <c:idx val="1"/>
          <c:order val="1"/>
          <c:tx>
            <c:strRef>
              <c:f>Analysis!$B$4079</c:f>
              <c:strCache>
                <c:ptCount val="1"/>
                <c:pt idx="0">
                  <c:v>Leverage with dividend cut</c:v>
                </c:pt>
              </c:strCache>
            </c:strRef>
          </c:tx>
          <c:spPr>
            <a:ln w="25400">
              <a:solidFill>
                <a:srgbClr val="99CCFF"/>
              </a:solidFill>
              <a:prstDash val="sysDash"/>
            </a:ln>
          </c:spPr>
          <c:marker>
            <c:symbol val="none"/>
          </c:marker>
          <c:cat>
            <c:numRef>
              <c:f>Analysis!$D$4077:$J$4077</c:f>
              <c:numCache>
                <c:formatCode>General</c:formatCode>
                <c:ptCount val="7"/>
                <c:pt idx="0">
                  <c:v>2019</c:v>
                </c:pt>
                <c:pt idx="1">
                  <c:v>2020</c:v>
                </c:pt>
                <c:pt idx="2">
                  <c:v>2021</c:v>
                </c:pt>
                <c:pt idx="3">
                  <c:v>2022</c:v>
                </c:pt>
                <c:pt idx="4">
                  <c:v>2023</c:v>
                </c:pt>
                <c:pt idx="5">
                  <c:v>2024</c:v>
                </c:pt>
                <c:pt idx="6">
                  <c:v>2025</c:v>
                </c:pt>
              </c:numCache>
            </c:numRef>
          </c:cat>
          <c:val>
            <c:numRef>
              <c:f>Analysis!$D$4079:$J$4079</c:f>
              <c:numCache>
                <c:formatCode>0.00\x</c:formatCode>
                <c:ptCount val="7"/>
                <c:pt idx="1">
                  <c:v>2.7778817260714264</c:v>
                </c:pt>
                <c:pt idx="2">
                  <c:v>3.1271674436953987</c:v>
                </c:pt>
                <c:pt idx="3">
                  <c:v>2.6090479397383719</c:v>
                </c:pt>
                <c:pt idx="4">
                  <c:v>2.6600978047909516</c:v>
                </c:pt>
                <c:pt idx="5">
                  <c:v>1.8844883318304537</c:v>
                </c:pt>
                <c:pt idx="6">
                  <c:v>1.5443765185218354</c:v>
                </c:pt>
              </c:numCache>
            </c:numRef>
          </c:val>
          <c:smooth val="0"/>
          <c:extLst>
            <c:ext xmlns:c16="http://schemas.microsoft.com/office/drawing/2014/chart" uri="{C3380CC4-5D6E-409C-BE32-E72D297353CC}">
              <c16:uniqueId val="{00000001-595E-4D9B-B422-E2C8FF21A82E}"/>
            </c:ext>
          </c:extLst>
        </c:ser>
        <c:dLbls>
          <c:showLegendKey val="0"/>
          <c:showVal val="0"/>
          <c:showCatName val="0"/>
          <c:showSerName val="0"/>
          <c:showPercent val="0"/>
          <c:showBubbleSize val="0"/>
        </c:dLbls>
        <c:smooth val="0"/>
        <c:axId val="1448718959"/>
        <c:axId val="1"/>
      </c:lineChart>
      <c:catAx>
        <c:axId val="1448718959"/>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0\x"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18959"/>
        <c:crosses val="autoZero"/>
        <c:crossBetween val="between"/>
      </c:valAx>
      <c:spPr>
        <a:noFill/>
        <a:ln w="25400">
          <a:noFill/>
        </a:ln>
      </c:spPr>
    </c:plotArea>
    <c:legend>
      <c:legendPos val="r"/>
      <c:layout>
        <c:manualLayout>
          <c:xMode val="edge"/>
          <c:yMode val="edge"/>
          <c:x val="0.22086600850020652"/>
          <c:y val="0.89899470762875955"/>
          <c:w val="0.63601236393674143"/>
          <c:h val="5.6996514779914853E-2"/>
        </c:manualLayout>
      </c:layout>
      <c:overlay val="0"/>
      <c:spPr>
        <a:noFill/>
        <a:ln w="25400">
          <a:noFill/>
        </a:ln>
      </c:spPr>
      <c:txPr>
        <a:bodyPr/>
        <a:lstStyle/>
        <a:p>
          <a:pPr>
            <a:defRPr sz="54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21077339090905"/>
          <c:y val="3.9215686274509803E-2"/>
          <c:w val="0.72341929998818733"/>
          <c:h val="0.77764705882352925"/>
        </c:manualLayout>
      </c:layout>
      <c:barChart>
        <c:barDir val="col"/>
        <c:grouping val="clustered"/>
        <c:varyColors val="0"/>
        <c:ser>
          <c:idx val="0"/>
          <c:order val="0"/>
          <c:tx>
            <c:strRef>
              <c:f>Analysis!$B$4084</c:f>
              <c:strCache>
                <c:ptCount val="1"/>
                <c:pt idx="0">
                  <c:v>Base case</c:v>
                </c:pt>
              </c:strCache>
            </c:strRef>
          </c:tx>
          <c:spPr>
            <a:solidFill>
              <a:srgbClr val="000080"/>
            </a:solidFill>
            <a:ln w="25400">
              <a:noFill/>
            </a:ln>
          </c:spPr>
          <c:invertIfNegative val="0"/>
          <c:cat>
            <c:numRef>
              <c:f>Analysis!$E$4077:$J$4077</c:f>
              <c:numCache>
                <c:formatCode>General</c:formatCode>
                <c:ptCount val="6"/>
                <c:pt idx="0">
                  <c:v>2020</c:v>
                </c:pt>
                <c:pt idx="1">
                  <c:v>2021</c:v>
                </c:pt>
                <c:pt idx="2">
                  <c:v>2022</c:v>
                </c:pt>
                <c:pt idx="3">
                  <c:v>2023</c:v>
                </c:pt>
                <c:pt idx="4">
                  <c:v>2024</c:v>
                </c:pt>
                <c:pt idx="5">
                  <c:v>2025</c:v>
                </c:pt>
              </c:numCache>
            </c:numRef>
          </c:cat>
          <c:val>
            <c:numRef>
              <c:f>Analysis!$E$4084:$J$4084</c:f>
              <c:numCache>
                <c:formatCode>0.00</c:formatCode>
                <c:ptCount val="6"/>
                <c:pt idx="0">
                  <c:v>3.8357247312056808</c:v>
                </c:pt>
                <c:pt idx="1">
                  <c:v>4.1597164848935106</c:v>
                </c:pt>
                <c:pt idx="2">
                  <c:v>4.7888522145542538</c:v>
                </c:pt>
                <c:pt idx="3">
                  <c:v>5.2574756035378201</c:v>
                </c:pt>
                <c:pt idx="4">
                  <c:v>5.8494822983521724</c:v>
                </c:pt>
                <c:pt idx="5">
                  <c:v>6.2944116524097842</c:v>
                </c:pt>
              </c:numCache>
            </c:numRef>
          </c:val>
          <c:extLst>
            <c:ext xmlns:c16="http://schemas.microsoft.com/office/drawing/2014/chart" uri="{C3380CC4-5D6E-409C-BE32-E72D297353CC}">
              <c16:uniqueId val="{00000000-EA23-49C3-A278-9569179E75EE}"/>
            </c:ext>
          </c:extLst>
        </c:ser>
        <c:ser>
          <c:idx val="1"/>
          <c:order val="1"/>
          <c:tx>
            <c:strRef>
              <c:f>Analysis!$B$4085</c:f>
              <c:strCache>
                <c:ptCount val="1"/>
                <c:pt idx="0">
                  <c:v>Buy back for dividend (current price)</c:v>
                </c:pt>
              </c:strCache>
            </c:strRef>
          </c:tx>
          <c:spPr>
            <a:solidFill>
              <a:srgbClr val="9999FF"/>
            </a:solidFill>
            <a:ln w="25400">
              <a:noFill/>
            </a:ln>
          </c:spPr>
          <c:invertIfNegative val="0"/>
          <c:cat>
            <c:numRef>
              <c:f>Analysis!$E$4077:$J$4077</c:f>
              <c:numCache>
                <c:formatCode>General</c:formatCode>
                <c:ptCount val="6"/>
                <c:pt idx="0">
                  <c:v>2020</c:v>
                </c:pt>
                <c:pt idx="1">
                  <c:v>2021</c:v>
                </c:pt>
                <c:pt idx="2">
                  <c:v>2022</c:v>
                </c:pt>
                <c:pt idx="3">
                  <c:v>2023</c:v>
                </c:pt>
                <c:pt idx="4">
                  <c:v>2024</c:v>
                </c:pt>
                <c:pt idx="5">
                  <c:v>2025</c:v>
                </c:pt>
              </c:numCache>
            </c:numRef>
          </c:cat>
          <c:val>
            <c:numRef>
              <c:f>Analysis!$E$4085:$J$4085</c:f>
              <c:numCache>
                <c:formatCode>0.00</c:formatCode>
                <c:ptCount val="6"/>
                <c:pt idx="0">
                  <c:v>4.0840369873209612</c:v>
                </c:pt>
                <c:pt idx="1">
                  <c:v>4.7355352831961177</c:v>
                </c:pt>
                <c:pt idx="2">
                  <c:v>5.8571794513144431</c:v>
                </c:pt>
                <c:pt idx="3">
                  <c:v>6.9469827329808229</c:v>
                </c:pt>
                <c:pt idx="4">
                  <c:v>8.4045237129932566</c:v>
                </c:pt>
                <c:pt idx="5">
                  <c:v>9.9095974857128706</c:v>
                </c:pt>
              </c:numCache>
            </c:numRef>
          </c:val>
          <c:extLst>
            <c:ext xmlns:c16="http://schemas.microsoft.com/office/drawing/2014/chart" uri="{C3380CC4-5D6E-409C-BE32-E72D297353CC}">
              <c16:uniqueId val="{00000001-EA23-49C3-A278-9569179E75EE}"/>
            </c:ext>
          </c:extLst>
        </c:ser>
        <c:dLbls>
          <c:showLegendKey val="0"/>
          <c:showVal val="0"/>
          <c:showCatName val="0"/>
          <c:showSerName val="0"/>
          <c:showPercent val="0"/>
          <c:showBubbleSize val="0"/>
        </c:dLbls>
        <c:gapWidth val="219"/>
        <c:overlap val="-27"/>
        <c:axId val="1448715759"/>
        <c:axId val="1"/>
      </c:barChart>
      <c:catAx>
        <c:axId val="1448715759"/>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EFCF / share, US $</a:t>
                </a:r>
              </a:p>
            </c:rich>
          </c:tx>
          <c:overlay val="0"/>
          <c:spPr>
            <a:noFill/>
            <a:ln w="25400">
              <a:noFill/>
            </a:ln>
          </c:spPr>
        </c:title>
        <c:numFmt formatCode="0.00" sourceLinked="1"/>
        <c:majorTickMark val="out"/>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15759"/>
        <c:crosses val="autoZero"/>
        <c:crossBetween val="between"/>
      </c:valAx>
      <c:spPr>
        <a:noFill/>
        <a:ln w="25400">
          <a:noFill/>
        </a:ln>
      </c:spPr>
    </c:plotArea>
    <c:legend>
      <c:legendPos val="r"/>
      <c:layout>
        <c:manualLayout>
          <c:xMode val="edge"/>
          <c:yMode val="edge"/>
          <c:x val="0.11397428061218376"/>
          <c:y val="0.91651660390277312"/>
          <c:w val="0.65994774625774522"/>
          <c:h val="5.9958918178705911E-2"/>
        </c:manualLayout>
      </c:layout>
      <c:overlay val="0"/>
      <c:spPr>
        <a:noFill/>
        <a:ln w="25400">
          <a:noFill/>
        </a:ln>
      </c:spPr>
      <c:txPr>
        <a:bodyPr/>
        <a:lstStyle/>
        <a:p>
          <a:pPr>
            <a:defRPr sz="54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8782746529327"/>
          <c:y val="2.7965047360752782E-2"/>
          <c:w val="0.81381312775344683"/>
          <c:h val="0.7046424914581827"/>
        </c:manualLayout>
      </c:layout>
      <c:lineChart>
        <c:grouping val="standard"/>
        <c:varyColors val="0"/>
        <c:ser>
          <c:idx val="0"/>
          <c:order val="0"/>
          <c:tx>
            <c:v>Current net debt/EBITDA</c:v>
          </c:tx>
          <c:spPr>
            <a:ln w="25400">
              <a:solidFill>
                <a:srgbClr val="333399"/>
              </a:solidFill>
              <a:prstDash val="solid"/>
            </a:ln>
          </c:spPr>
          <c:marker>
            <c:symbol val="none"/>
          </c:marker>
          <c:cat>
            <c:numRef>
              <c:f>Analysis!$C$4157:$G$4157</c:f>
              <c:numCache>
                <c:formatCode>General</c:formatCode>
                <c:ptCount val="5"/>
                <c:pt idx="0">
                  <c:v>2019</c:v>
                </c:pt>
                <c:pt idx="1">
                  <c:v>2020</c:v>
                </c:pt>
                <c:pt idx="2">
                  <c:v>2021</c:v>
                </c:pt>
                <c:pt idx="3">
                  <c:v>2022</c:v>
                </c:pt>
                <c:pt idx="4">
                  <c:v>2023</c:v>
                </c:pt>
              </c:numCache>
            </c:numRef>
          </c:cat>
          <c:val>
            <c:numRef>
              <c:f>Analysis!$C$4158:$G$4158</c:f>
              <c:numCache>
                <c:formatCode>0.0</c:formatCode>
                <c:ptCount val="5"/>
                <c:pt idx="0">
                  <c:v>3.1992884155998818</c:v>
                </c:pt>
                <c:pt idx="1">
                  <c:v>2.9133473518498514</c:v>
                </c:pt>
                <c:pt idx="2">
                  <c:v>3.3618341823268256</c:v>
                </c:pt>
                <c:pt idx="3">
                  <c:v>2.978618591233877</c:v>
                </c:pt>
                <c:pt idx="4">
                  <c:v>3.1710925961532976</c:v>
                </c:pt>
              </c:numCache>
            </c:numRef>
          </c:val>
          <c:smooth val="0"/>
          <c:extLst>
            <c:ext xmlns:c16="http://schemas.microsoft.com/office/drawing/2014/chart" uri="{C3380CC4-5D6E-409C-BE32-E72D297353CC}">
              <c16:uniqueId val="{00000000-E763-4299-AD64-0DA85C3AEB0E}"/>
            </c:ext>
          </c:extLst>
        </c:ser>
        <c:ser>
          <c:idx val="1"/>
          <c:order val="1"/>
          <c:tx>
            <c:v>Leverage pre-TEF assets</c:v>
          </c:tx>
          <c:spPr>
            <a:ln w="25400">
              <a:solidFill>
                <a:srgbClr val="99CCFF"/>
              </a:solidFill>
              <a:prstDash val="solid"/>
            </a:ln>
          </c:spPr>
          <c:marker>
            <c:symbol val="none"/>
          </c:marker>
          <c:cat>
            <c:numRef>
              <c:f>Analysis!$C$4157:$G$4157</c:f>
              <c:numCache>
                <c:formatCode>General</c:formatCode>
                <c:ptCount val="5"/>
                <c:pt idx="0">
                  <c:v>2019</c:v>
                </c:pt>
                <c:pt idx="1">
                  <c:v>2020</c:v>
                </c:pt>
                <c:pt idx="2">
                  <c:v>2021</c:v>
                </c:pt>
                <c:pt idx="3">
                  <c:v>2022</c:v>
                </c:pt>
                <c:pt idx="4">
                  <c:v>2023</c:v>
                </c:pt>
              </c:numCache>
            </c:numRef>
          </c:cat>
          <c:val>
            <c:numRef>
              <c:f>Analysis!$C$4159:$G$4159</c:f>
              <c:numCache>
                <c:formatCode>0.0</c:formatCode>
                <c:ptCount val="5"/>
                <c:pt idx="0">
                  <c:v>2.6992884155998818</c:v>
                </c:pt>
                <c:pt idx="1">
                  <c:v>2.4133473518498514</c:v>
                </c:pt>
                <c:pt idx="2">
                  <c:v>2.8618341823268256</c:v>
                </c:pt>
                <c:pt idx="3">
                  <c:v>2.478618591233877</c:v>
                </c:pt>
                <c:pt idx="4">
                  <c:v>2.6710925961532976</c:v>
                </c:pt>
              </c:numCache>
            </c:numRef>
          </c:val>
          <c:smooth val="0"/>
          <c:extLst>
            <c:ext xmlns:c16="http://schemas.microsoft.com/office/drawing/2014/chart" uri="{C3380CC4-5D6E-409C-BE32-E72D297353CC}">
              <c16:uniqueId val="{00000001-E763-4299-AD64-0DA85C3AEB0E}"/>
            </c:ext>
          </c:extLst>
        </c:ser>
        <c:dLbls>
          <c:showLegendKey val="0"/>
          <c:showVal val="0"/>
          <c:showCatName val="0"/>
          <c:showSerName val="0"/>
          <c:showPercent val="0"/>
          <c:showBubbleSize val="0"/>
        </c:dLbls>
        <c:smooth val="0"/>
        <c:axId val="1448716159"/>
        <c:axId val="1"/>
      </c:lineChart>
      <c:catAx>
        <c:axId val="1448716159"/>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Net debt to EBITDA</a:t>
                </a:r>
              </a:p>
            </c:rich>
          </c:tx>
          <c:overlay val="0"/>
          <c:spPr>
            <a:noFill/>
            <a:ln w="25400">
              <a:noFill/>
            </a:ln>
          </c:spPr>
        </c:title>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16159"/>
        <c:crosses val="autoZero"/>
        <c:crossBetween val="between"/>
      </c:valAx>
      <c:spPr>
        <a:noFill/>
        <a:ln w="25400">
          <a:noFill/>
        </a:ln>
      </c:spPr>
    </c:plotArea>
    <c:legend>
      <c:legendPos val="r"/>
      <c:layout>
        <c:manualLayout>
          <c:xMode val="edge"/>
          <c:yMode val="edge"/>
          <c:x val="0.26957346190756992"/>
          <c:y val="0.86307770934573769"/>
          <c:w val="0.37044619422572178"/>
          <c:h val="0.10336287172024294"/>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dPt>
            <c:idx val="3"/>
            <c:invertIfNegative val="0"/>
            <c:bubble3D val="0"/>
            <c:spPr>
              <a:solidFill>
                <a:schemeClr val="tx2">
                  <a:lumMod val="20000"/>
                  <a:lumOff val="80000"/>
                </a:schemeClr>
              </a:solidFill>
              <a:ln w="25400">
                <a:solidFill>
                  <a:schemeClr val="tx1"/>
                </a:solidFill>
              </a:ln>
              <a:effectLst/>
            </c:spPr>
            <c:extLst>
              <c:ext xmlns:c16="http://schemas.microsoft.com/office/drawing/2014/chart" uri="{C3380CC4-5D6E-409C-BE32-E72D297353CC}">
                <c16:uniqueId val="{00000000-4B37-4C26-8909-0109FB867448}"/>
              </c:ext>
            </c:extLst>
          </c:dPt>
          <c:dPt>
            <c:idx val="6"/>
            <c:invertIfNegative val="0"/>
            <c:bubble3D val="0"/>
            <c:spPr>
              <a:solidFill>
                <a:schemeClr val="tx2">
                  <a:lumMod val="20000"/>
                  <a:lumOff val="80000"/>
                </a:schemeClr>
              </a:solidFill>
              <a:ln w="25400">
                <a:solidFill>
                  <a:schemeClr val="tx1"/>
                </a:solidFill>
              </a:ln>
              <a:effectLst/>
            </c:spPr>
            <c:extLst>
              <c:ext xmlns:c16="http://schemas.microsoft.com/office/drawing/2014/chart" uri="{C3380CC4-5D6E-409C-BE32-E72D297353CC}">
                <c16:uniqueId val="{00000001-4B37-4C26-8909-0109FB867448}"/>
              </c:ext>
            </c:extLst>
          </c:dPt>
          <c:cat>
            <c:strRef>
              <c:f>Analysis!$B$4203:$B$4209</c:f>
              <c:strCache>
                <c:ptCount val="7"/>
                <c:pt idx="0">
                  <c:v>Mexico </c:v>
                </c:pt>
                <c:pt idx="1">
                  <c:v>Brazil</c:v>
                </c:pt>
                <c:pt idx="2">
                  <c:v>Chile</c:v>
                </c:pt>
                <c:pt idx="3">
                  <c:v>Colombia - NEW</c:v>
                </c:pt>
                <c:pt idx="4">
                  <c:v>Peru</c:v>
                </c:pt>
                <c:pt idx="5">
                  <c:v>Argentina</c:v>
                </c:pt>
                <c:pt idx="6">
                  <c:v>Colombia - OLD</c:v>
                </c:pt>
              </c:strCache>
            </c:strRef>
          </c:cat>
          <c:val>
            <c:numRef>
              <c:f>Analysis!$C$4203:$C$4209</c:f>
              <c:numCache>
                <c:formatCode>General</c:formatCode>
                <c:ptCount val="7"/>
                <c:pt idx="0">
                  <c:v>579</c:v>
                </c:pt>
                <c:pt idx="1">
                  <c:v>578</c:v>
                </c:pt>
                <c:pt idx="2">
                  <c:v>485</c:v>
                </c:pt>
                <c:pt idx="3">
                  <c:v>425</c:v>
                </c:pt>
                <c:pt idx="4">
                  <c:v>401</c:v>
                </c:pt>
                <c:pt idx="5">
                  <c:v>310</c:v>
                </c:pt>
                <c:pt idx="6">
                  <c:v>285</c:v>
                </c:pt>
              </c:numCache>
            </c:numRef>
          </c:val>
          <c:extLst>
            <c:ext xmlns:c16="http://schemas.microsoft.com/office/drawing/2014/chart" uri="{C3380CC4-5D6E-409C-BE32-E72D297353CC}">
              <c16:uniqueId val="{00000002-4B37-4C26-8909-0109FB867448}"/>
            </c:ext>
          </c:extLst>
        </c:ser>
        <c:dLbls>
          <c:showLegendKey val="0"/>
          <c:showVal val="0"/>
          <c:showCatName val="0"/>
          <c:showSerName val="0"/>
          <c:showPercent val="0"/>
          <c:showBubbleSize val="0"/>
        </c:dLbls>
        <c:gapWidth val="219"/>
        <c:overlap val="-27"/>
        <c:axId val="1448718559"/>
        <c:axId val="1"/>
      </c:barChart>
      <c:catAx>
        <c:axId val="144871855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270000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max val="600"/>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MHz</a:t>
                </a:r>
              </a:p>
            </c:rich>
          </c:tx>
          <c:overlay val="0"/>
          <c:spPr>
            <a:noFill/>
            <a:ln w="25400">
              <a:noFill/>
            </a:ln>
          </c:spPr>
        </c:title>
        <c:numFmt formatCode="General"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18559"/>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'New (new) quarts'!$AY$329</c:f>
              <c:strCache>
                <c:ptCount val="1"/>
              </c:strCache>
            </c:strRef>
          </c:tx>
          <c:spPr>
            <a:ln w="25400">
              <a:solidFill>
                <a:srgbClr val="333399"/>
              </a:solidFill>
              <a:prstDash val="solid"/>
            </a:ln>
          </c:spPr>
          <c:marker>
            <c:symbol val="none"/>
          </c:marker>
          <c:cat>
            <c:strRef>
              <c:f>'New (new) quarts'!$BQ$328:$BX$328</c:f>
              <c:strCache>
                <c:ptCount val="8"/>
                <c:pt idx="0">
                  <c:v>Q1 18</c:v>
                </c:pt>
                <c:pt idx="1">
                  <c:v>Q2 18</c:v>
                </c:pt>
                <c:pt idx="2">
                  <c:v>Q3 18</c:v>
                </c:pt>
                <c:pt idx="3">
                  <c:v>Q4 18</c:v>
                </c:pt>
                <c:pt idx="4">
                  <c:v>Q3 19</c:v>
                </c:pt>
                <c:pt idx="5">
                  <c:v>#REF!</c:v>
                </c:pt>
                <c:pt idx="6">
                  <c:v>#REF!</c:v>
                </c:pt>
                <c:pt idx="7">
                  <c:v>#REF!</c:v>
                </c:pt>
              </c:strCache>
            </c:strRef>
          </c:cat>
          <c:val>
            <c:numRef>
              <c:f>'New (new) quarts'!$BQ$329:$BX$329</c:f>
              <c:numCache>
                <c:formatCode>0.0%</c:formatCode>
                <c:ptCount val="8"/>
                <c:pt idx="0">
                  <c:v>3.9E-2</c:v>
                </c:pt>
                <c:pt idx="1">
                  <c:v>5.5E-2</c:v>
                </c:pt>
                <c:pt idx="2">
                  <c:v>4.7E-2</c:v>
                </c:pt>
                <c:pt idx="3">
                  <c:v>3.6999999999999998E-2</c:v>
                </c:pt>
                <c:pt idx="4">
                  <c:v>0.01</c:v>
                </c:pt>
                <c:pt idx="5">
                  <c:v>0</c:v>
                </c:pt>
                <c:pt idx="6">
                  <c:v>0</c:v>
                </c:pt>
                <c:pt idx="7">
                  <c:v>0</c:v>
                </c:pt>
              </c:numCache>
            </c:numRef>
          </c:val>
          <c:smooth val="0"/>
          <c:extLst>
            <c:ext xmlns:c16="http://schemas.microsoft.com/office/drawing/2014/chart" uri="{C3380CC4-5D6E-409C-BE32-E72D297353CC}">
              <c16:uniqueId val="{00000000-209D-4832-A2D0-7A7186075E56}"/>
            </c:ext>
          </c:extLst>
        </c:ser>
        <c:ser>
          <c:idx val="1"/>
          <c:order val="1"/>
          <c:tx>
            <c:strRef>
              <c:f>'New (new) quarts'!$AY$333</c:f>
              <c:strCache>
                <c:ptCount val="1"/>
              </c:strCache>
            </c:strRef>
          </c:tx>
          <c:spPr>
            <a:ln w="25400">
              <a:solidFill>
                <a:srgbClr val="99CCFF"/>
              </a:solidFill>
              <a:prstDash val="solid"/>
            </a:ln>
          </c:spPr>
          <c:marker>
            <c:symbol val="none"/>
          </c:marker>
          <c:cat>
            <c:strRef>
              <c:f>'New (new) quarts'!$BQ$328:$BX$328</c:f>
              <c:strCache>
                <c:ptCount val="8"/>
                <c:pt idx="0">
                  <c:v>Q1 18</c:v>
                </c:pt>
                <c:pt idx="1">
                  <c:v>Q2 18</c:v>
                </c:pt>
                <c:pt idx="2">
                  <c:v>Q3 18</c:v>
                </c:pt>
                <c:pt idx="3">
                  <c:v>Q4 18</c:v>
                </c:pt>
                <c:pt idx="4">
                  <c:v>Q3 19</c:v>
                </c:pt>
                <c:pt idx="5">
                  <c:v>#REF!</c:v>
                </c:pt>
                <c:pt idx="6">
                  <c:v>#REF!</c:v>
                </c:pt>
                <c:pt idx="7">
                  <c:v>#REF!</c:v>
                </c:pt>
              </c:strCache>
            </c:strRef>
          </c:cat>
          <c:val>
            <c:numRef>
              <c:f>'New (new) quarts'!$BQ$333:$BX$333</c:f>
            </c:numRef>
          </c:val>
          <c:smooth val="0"/>
          <c:extLst>
            <c:ext xmlns:c16="http://schemas.microsoft.com/office/drawing/2014/chart" uri="{C3380CC4-5D6E-409C-BE32-E72D297353CC}">
              <c16:uniqueId val="{00000001-209D-4832-A2D0-7A7186075E56}"/>
            </c:ext>
          </c:extLst>
        </c:ser>
        <c:dLbls>
          <c:showLegendKey val="0"/>
          <c:showVal val="0"/>
          <c:showCatName val="0"/>
          <c:showSerName val="0"/>
          <c:showPercent val="0"/>
          <c:showBubbleSize val="0"/>
        </c:dLbls>
        <c:smooth val="0"/>
        <c:axId val="1114955455"/>
        <c:axId val="1"/>
      </c:lineChart>
      <c:catAx>
        <c:axId val="1114955455"/>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Trebuchet MS"/>
                    <a:ea typeface="Trebuchet MS"/>
                    <a:cs typeface="Trebuchet MS"/>
                  </a:defRPr>
                </a:pPr>
                <a:r>
                  <a:rPr lang="en-GB"/>
                  <a:t>y/y</a:t>
                </a:r>
              </a:p>
            </c:rich>
          </c:tx>
          <c:overlay val="0"/>
          <c:spPr>
            <a:noFill/>
            <a:ln w="25400">
              <a:noFill/>
            </a:ln>
          </c:spPr>
        </c:title>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114955455"/>
        <c:crosses val="autoZero"/>
        <c:crossBetween val="between"/>
      </c:valAx>
      <c:spPr>
        <a:noFill/>
        <a:ln w="25400">
          <a:noFill/>
        </a:ln>
      </c:spPr>
    </c:plotArea>
    <c:legend>
      <c:legendPos val="r"/>
      <c:layout>
        <c:manualLayout>
          <c:xMode val="edge"/>
          <c:yMode val="edge"/>
          <c:x val="1.6723036202753137E-2"/>
          <c:y val="0.4715745014631792"/>
          <c:w val="0.48998172696767334"/>
          <c:h val="3.6698343741515094E-2"/>
        </c:manualLayout>
      </c:layout>
      <c:overlay val="0"/>
      <c:spPr>
        <a:noFill/>
        <a:ln w="25400">
          <a:noFill/>
        </a:ln>
      </c:spPr>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chemeClr val="bg1"/>
    </a:solidFill>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Analysis!$C$4216</c:f>
              <c:strCache>
                <c:ptCount val="1"/>
                <c:pt idx="0">
                  <c:v>700 MHz</c:v>
                </c:pt>
              </c:strCache>
            </c:strRef>
          </c:tx>
          <c:spPr>
            <a:solidFill>
              <a:srgbClr val="000080"/>
            </a:solidFill>
            <a:ln w="25400">
              <a:noFill/>
            </a:ln>
          </c:spPr>
          <c:invertIfNegative val="0"/>
          <c:cat>
            <c:strRef>
              <c:f>Analysis!$B$4217:$B$4223</c:f>
              <c:strCache>
                <c:ptCount val="7"/>
                <c:pt idx="0">
                  <c:v>Europe</c:v>
                </c:pt>
                <c:pt idx="1">
                  <c:v>Brazil (700 MHz in 2012; 2.6 GHz in 2014)</c:v>
                </c:pt>
                <c:pt idx="2">
                  <c:v>Colombia</c:v>
                </c:pt>
                <c:pt idx="3">
                  <c:v>Peru (700 MHz in May 16)</c:v>
                </c:pt>
                <c:pt idx="4">
                  <c:v>EM average</c:v>
                </c:pt>
                <c:pt idx="5">
                  <c:v>Chile (700 MHz in Mar-14)</c:v>
                </c:pt>
                <c:pt idx="6">
                  <c:v>Mexico  (Aug-18) </c:v>
                </c:pt>
              </c:strCache>
            </c:strRef>
          </c:cat>
          <c:val>
            <c:numRef>
              <c:f>Analysis!$C$4217:$C$4223</c:f>
              <c:numCache>
                <c:formatCode>General</c:formatCode>
                <c:ptCount val="7"/>
                <c:pt idx="0">
                  <c:v>51</c:v>
                </c:pt>
                <c:pt idx="1">
                  <c:v>38</c:v>
                </c:pt>
                <c:pt idx="2" formatCode="0">
                  <c:v>32.569482408163267</c:v>
                </c:pt>
                <c:pt idx="3">
                  <c:v>32</c:v>
                </c:pt>
                <c:pt idx="4">
                  <c:v>30</c:v>
                </c:pt>
                <c:pt idx="5">
                  <c:v>2</c:v>
                </c:pt>
                <c:pt idx="6">
                  <c:v>1</c:v>
                </c:pt>
              </c:numCache>
            </c:numRef>
          </c:val>
          <c:extLst>
            <c:ext xmlns:c16="http://schemas.microsoft.com/office/drawing/2014/chart" uri="{C3380CC4-5D6E-409C-BE32-E72D297353CC}">
              <c16:uniqueId val="{00000000-A9FA-4A8F-853F-AC4E7F8CFD97}"/>
            </c:ext>
          </c:extLst>
        </c:ser>
        <c:ser>
          <c:idx val="1"/>
          <c:order val="1"/>
          <c:tx>
            <c:strRef>
              <c:f>Analysis!$D$4216</c:f>
              <c:strCache>
                <c:ptCount val="1"/>
                <c:pt idx="0">
                  <c:v>2.6 GHz</c:v>
                </c:pt>
              </c:strCache>
            </c:strRef>
          </c:tx>
          <c:spPr>
            <a:solidFill>
              <a:srgbClr val="9999FF"/>
            </a:solidFill>
            <a:ln w="25400">
              <a:noFill/>
            </a:ln>
          </c:spPr>
          <c:invertIfNegative val="0"/>
          <c:cat>
            <c:strRef>
              <c:f>Analysis!$B$4217:$B$4223</c:f>
              <c:strCache>
                <c:ptCount val="7"/>
                <c:pt idx="0">
                  <c:v>Europe</c:v>
                </c:pt>
                <c:pt idx="1">
                  <c:v>Brazil (700 MHz in 2012; 2.6 GHz in 2014)</c:v>
                </c:pt>
                <c:pt idx="2">
                  <c:v>Colombia</c:v>
                </c:pt>
                <c:pt idx="3">
                  <c:v>Peru (700 MHz in May 16)</c:v>
                </c:pt>
                <c:pt idx="4">
                  <c:v>EM average</c:v>
                </c:pt>
                <c:pt idx="5">
                  <c:v>Chile (700 MHz in Mar-14)</c:v>
                </c:pt>
                <c:pt idx="6">
                  <c:v>Mexico  (Aug-18) </c:v>
                </c:pt>
              </c:strCache>
            </c:strRef>
          </c:cat>
          <c:val>
            <c:numRef>
              <c:f>Analysis!$D$4217:$D$4223</c:f>
              <c:numCache>
                <c:formatCode>0</c:formatCode>
                <c:ptCount val="7"/>
                <c:pt idx="0" formatCode="General">
                  <c:v>7</c:v>
                </c:pt>
                <c:pt idx="1">
                  <c:v>5.3</c:v>
                </c:pt>
                <c:pt idx="2">
                  <c:v>13.237213648979594</c:v>
                </c:pt>
                <c:pt idx="4" formatCode="General">
                  <c:v>14</c:v>
                </c:pt>
                <c:pt idx="6" formatCode="General">
                  <c:v>7</c:v>
                </c:pt>
              </c:numCache>
            </c:numRef>
          </c:val>
          <c:extLst>
            <c:ext xmlns:c16="http://schemas.microsoft.com/office/drawing/2014/chart" uri="{C3380CC4-5D6E-409C-BE32-E72D297353CC}">
              <c16:uniqueId val="{00000001-A9FA-4A8F-853F-AC4E7F8CFD97}"/>
            </c:ext>
          </c:extLst>
        </c:ser>
        <c:dLbls>
          <c:showLegendKey val="0"/>
          <c:showVal val="0"/>
          <c:showCatName val="0"/>
          <c:showSerName val="0"/>
          <c:showPercent val="0"/>
          <c:showBubbleSize val="0"/>
        </c:dLbls>
        <c:gapWidth val="219"/>
        <c:overlap val="-27"/>
        <c:axId val="1448721359"/>
        <c:axId val="1"/>
      </c:barChart>
      <c:catAx>
        <c:axId val="144872135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270000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US cents/MHz/POP</a:t>
                </a:r>
              </a:p>
            </c:rich>
          </c:tx>
          <c:overlay val="0"/>
          <c:spPr>
            <a:noFill/>
            <a:ln w="25400">
              <a:noFill/>
            </a:ln>
          </c:spPr>
        </c:title>
        <c:numFmt formatCode="General"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21359"/>
        <c:crosses val="autoZero"/>
        <c:crossBetween val="between"/>
      </c:valAx>
      <c:spPr>
        <a:noFill/>
        <a:ln w="25400">
          <a:noFill/>
        </a:ln>
      </c:spPr>
    </c:plotArea>
    <c:legend>
      <c:legendPos val="r"/>
      <c:layout>
        <c:manualLayout>
          <c:xMode val="edge"/>
          <c:yMode val="edge"/>
          <c:x val="0.29791867519827997"/>
          <c:y val="0.38413247124597233"/>
          <c:w val="0.23171472846939889"/>
          <c:h val="5.1503887217349886E-2"/>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04FA-45AF-9501-DE31BD391C50}"/>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04FA-45AF-9501-DE31BD391C50}"/>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04FA-45AF-9501-DE31BD391C50}"/>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04FA-45AF-9501-DE31BD391C50}"/>
              </c:ext>
            </c:extLst>
          </c:dPt>
          <c:dPt>
            <c:idx val="4"/>
            <c:bubble3D val="0"/>
            <c:spPr>
              <a:blipFill dpi="0" rotWithShape="0">
                <a:blip xmlns:r="http://schemas.openxmlformats.org/officeDocument/2006/relationships" r:embed="rId5"/>
                <a:srcRect/>
                <a:tile tx="0" ty="0" sx="100000" sy="100000" flip="none" algn="tl"/>
              </a:blipFill>
              <a:ln w="25400">
                <a:noFill/>
              </a:ln>
            </c:spPr>
            <c:extLst>
              <c:ext xmlns:c16="http://schemas.microsoft.com/office/drawing/2014/chart" uri="{C3380CC4-5D6E-409C-BE32-E72D297353CC}">
                <c16:uniqueId val="{00000004-04FA-45AF-9501-DE31BD391C50}"/>
              </c:ext>
            </c:extLst>
          </c:dPt>
          <c:dPt>
            <c:idx val="5"/>
            <c:bubble3D val="0"/>
            <c:spPr>
              <a:blipFill dpi="0" rotWithShape="0">
                <a:blip xmlns:r="http://schemas.openxmlformats.org/officeDocument/2006/relationships" r:embed="rId6"/>
                <a:srcRect/>
                <a:tile tx="0" ty="0" sx="100000" sy="100000" flip="none" algn="tl"/>
              </a:blipFill>
              <a:ln w="25400">
                <a:noFill/>
              </a:ln>
            </c:spPr>
            <c:extLst>
              <c:ext xmlns:c16="http://schemas.microsoft.com/office/drawing/2014/chart" uri="{C3380CC4-5D6E-409C-BE32-E72D297353CC}">
                <c16:uniqueId val="{00000005-04FA-45AF-9501-DE31BD391C50}"/>
              </c:ext>
            </c:extLst>
          </c:dPt>
          <c:dPt>
            <c:idx val="6"/>
            <c:bubble3D val="0"/>
            <c:spPr>
              <a:blipFill dpi="0" rotWithShape="0">
                <a:blip xmlns:r="http://schemas.openxmlformats.org/officeDocument/2006/relationships" r:embed="rId7"/>
                <a:srcRect/>
                <a:tile tx="0" ty="0" sx="100000" sy="100000" flip="none" algn="tl"/>
              </a:blipFill>
              <a:ln w="25400">
                <a:noFill/>
              </a:ln>
            </c:spPr>
            <c:extLst>
              <c:ext xmlns:c16="http://schemas.microsoft.com/office/drawing/2014/chart" uri="{C3380CC4-5D6E-409C-BE32-E72D297353CC}">
                <c16:uniqueId val="{00000006-04FA-45AF-9501-DE31BD391C50}"/>
              </c:ext>
            </c:extLst>
          </c:dPt>
          <c:dPt>
            <c:idx val="7"/>
            <c:bubble3D val="0"/>
            <c:explosion val="19"/>
            <c:spPr>
              <a:blipFill dpi="0" rotWithShape="0">
                <a:blip xmlns:r="http://schemas.openxmlformats.org/officeDocument/2006/relationships" r:embed="rId8"/>
                <a:srcRect/>
                <a:tile tx="0" ty="0" sx="100000" sy="100000" flip="none" algn="tl"/>
              </a:blipFill>
              <a:ln w="25400">
                <a:noFill/>
              </a:ln>
            </c:spPr>
            <c:extLst>
              <c:ext xmlns:c16="http://schemas.microsoft.com/office/drawing/2014/chart" uri="{C3380CC4-5D6E-409C-BE32-E72D297353CC}">
                <c16:uniqueId val="{00000007-04FA-45AF-9501-DE31BD391C50}"/>
              </c:ext>
            </c:extLst>
          </c:dPt>
          <c:dPt>
            <c:idx val="8"/>
            <c:bubble3D val="0"/>
            <c:spPr>
              <a:blipFill dpi="0" rotWithShape="0">
                <a:blip xmlns:r="http://schemas.openxmlformats.org/officeDocument/2006/relationships" r:embed="rId9"/>
                <a:srcRect/>
                <a:tile tx="0" ty="0" sx="100000" sy="100000" flip="none" algn="tl"/>
              </a:blipFill>
              <a:ln w="25400">
                <a:noFill/>
              </a:ln>
            </c:spPr>
            <c:extLst>
              <c:ext xmlns:c16="http://schemas.microsoft.com/office/drawing/2014/chart" uri="{C3380CC4-5D6E-409C-BE32-E72D297353CC}">
                <c16:uniqueId val="{00000008-04FA-45AF-9501-DE31BD391C50}"/>
              </c:ext>
            </c:extLst>
          </c:dPt>
          <c:dPt>
            <c:idx val="9"/>
            <c:bubble3D val="0"/>
            <c:spPr>
              <a:blipFill dpi="0" rotWithShape="0">
                <a:blip xmlns:r="http://schemas.openxmlformats.org/officeDocument/2006/relationships" r:embed="rId10"/>
                <a:srcRect/>
                <a:tile tx="0" ty="0" sx="100000" sy="100000" flip="none" algn="tl"/>
              </a:blipFill>
              <a:ln w="25400">
                <a:noFill/>
              </a:ln>
            </c:spPr>
            <c:extLst>
              <c:ext xmlns:c16="http://schemas.microsoft.com/office/drawing/2014/chart" uri="{C3380CC4-5D6E-409C-BE32-E72D297353CC}">
                <c16:uniqueId val="{00000009-04FA-45AF-9501-DE31BD391C5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A-04FA-45AF-9501-DE31BD391C5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04FA-45AF-9501-DE31BD391C50}"/>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C-04FA-45AF-9501-DE31BD391C50}"/>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04FA-45AF-9501-DE31BD391C50}"/>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E-04FA-45AF-9501-DE31BD391C50}"/>
              </c:ext>
            </c:extLst>
          </c:dPt>
          <c:dLbls>
            <c:dLbl>
              <c:idx val="7"/>
              <c:spPr>
                <a:noFill/>
                <a:ln w="25400">
                  <a:noFill/>
                </a:ln>
              </c:spPr>
              <c:txPr>
                <a:bodyPr/>
                <a:lstStyle/>
                <a:p>
                  <a:pPr>
                    <a:defRPr sz="1000" b="0" i="0" u="none" strike="noStrike" baseline="0">
                      <a:solidFill>
                        <a:srgbClr val="333333"/>
                      </a:solidFill>
                      <a:latin typeface="Trebuchet MS"/>
                      <a:ea typeface="Trebuchet MS"/>
                      <a:cs typeface="Trebuchet M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4FA-45AF-9501-DE31BD391C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Analysis!$B$4236:$B$4250</c:f>
              <c:strCache>
                <c:ptCount val="15"/>
                <c:pt idx="0">
                  <c:v>Spain</c:v>
                </c:pt>
                <c:pt idx="1">
                  <c:v>Brazil</c:v>
                </c:pt>
                <c:pt idx="2">
                  <c:v>UK</c:v>
                </c:pt>
                <c:pt idx="3">
                  <c:v>Germany</c:v>
                </c:pt>
                <c:pt idx="4">
                  <c:v>Chile</c:v>
                </c:pt>
                <c:pt idx="5">
                  <c:v>Peru</c:v>
                </c:pt>
                <c:pt idx="6">
                  <c:v>Argentina</c:v>
                </c:pt>
                <c:pt idx="7">
                  <c:v>Colombia</c:v>
                </c:pt>
                <c:pt idx="8">
                  <c:v>Telxius</c:v>
                </c:pt>
                <c:pt idx="9">
                  <c:v>Mexico</c:v>
                </c:pt>
                <c:pt idx="10">
                  <c:v>Ecuador</c:v>
                </c:pt>
                <c:pt idx="11">
                  <c:v>Uruguay</c:v>
                </c:pt>
                <c:pt idx="12">
                  <c:v>Central America</c:v>
                </c:pt>
                <c:pt idx="13">
                  <c:v>Venezuela</c:v>
                </c:pt>
                <c:pt idx="14">
                  <c:v>Elims</c:v>
                </c:pt>
              </c:strCache>
            </c:strRef>
          </c:cat>
          <c:val>
            <c:numRef>
              <c:f>Analysis!$C$4236:$C$4250</c:f>
              <c:numCache>
                <c:formatCode>General</c:formatCode>
                <c:ptCount val="15"/>
                <c:pt idx="0" formatCode="#,##0">
                  <c:v>5292.487949406308</c:v>
                </c:pt>
                <c:pt idx="1">
                  <c:v>3025.6799397647974</c:v>
                </c:pt>
                <c:pt idx="2" formatCode="#,##0">
                  <c:v>2191.2680344591959</c:v>
                </c:pt>
                <c:pt idx="3">
                  <c:v>1700.1081688268127</c:v>
                </c:pt>
                <c:pt idx="4" formatCode="#,##0">
                  <c:v>575.80768485021963</c:v>
                </c:pt>
                <c:pt idx="5" formatCode="#,##0">
                  <c:v>482.64548467119306</c:v>
                </c:pt>
                <c:pt idx="6" formatCode="#,##0">
                  <c:v>425.3948962388547</c:v>
                </c:pt>
                <c:pt idx="7">
                  <c:v>306.81689185024067</c:v>
                </c:pt>
                <c:pt idx="8">
                  <c:v>274.57056</c:v>
                </c:pt>
                <c:pt idx="9" formatCode="#,##0">
                  <c:v>166.76023800129417</c:v>
                </c:pt>
                <c:pt idx="10" formatCode="#,##0">
                  <c:v>137.06156155268022</c:v>
                </c:pt>
                <c:pt idx="11" formatCode="#,##0">
                  <c:v>84.49467601809954</c:v>
                </c:pt>
                <c:pt idx="12">
                  <c:v>24</c:v>
                </c:pt>
                <c:pt idx="13" formatCode="#,##0">
                  <c:v>14.580000000000002</c:v>
                </c:pt>
                <c:pt idx="14" formatCode="#,##0">
                  <c:v>-300</c:v>
                </c:pt>
              </c:numCache>
            </c:numRef>
          </c:val>
          <c:extLst>
            <c:ext xmlns:c16="http://schemas.microsoft.com/office/drawing/2014/chart" uri="{C3380CC4-5D6E-409C-BE32-E72D297353CC}">
              <c16:uniqueId val="{0000000F-04FA-45AF-9501-DE31BD391C5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1.0753046113138298E-2"/>
          <c:y val="0.52812940367186934"/>
          <c:w val="0.70539971121495992"/>
          <c:h val="0.22691484175165133"/>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54639254373841"/>
          <c:y val="7.229735596615898E-2"/>
          <c:w val="0.65111403629145814"/>
          <c:h val="0.50394446912315627"/>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9532-432E-B6AA-71AA38F27238}"/>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9532-432E-B6AA-71AA38F27238}"/>
              </c:ext>
            </c:extLst>
          </c:dPt>
          <c:dPt>
            <c:idx val="2"/>
            <c:bubble3D val="0"/>
            <c:explosion val="15"/>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9532-432E-B6AA-71AA38F27238}"/>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9532-432E-B6AA-71AA38F27238}"/>
              </c:ext>
            </c:extLst>
          </c:dPt>
          <c:dPt>
            <c:idx val="4"/>
            <c:bubble3D val="0"/>
            <c:spPr>
              <a:blipFill dpi="0" rotWithShape="0">
                <a:blip xmlns:r="http://schemas.openxmlformats.org/officeDocument/2006/relationships" r:embed="rId5"/>
                <a:srcRect/>
                <a:tile tx="0" ty="0" sx="100000" sy="100000" flip="none" algn="tl"/>
              </a:blipFill>
              <a:ln w="25400">
                <a:noFill/>
              </a:ln>
            </c:spPr>
            <c:extLst>
              <c:ext xmlns:c16="http://schemas.microsoft.com/office/drawing/2014/chart" uri="{C3380CC4-5D6E-409C-BE32-E72D297353CC}">
                <c16:uniqueId val="{00000004-9532-432E-B6AA-71AA38F27238}"/>
              </c:ext>
            </c:extLst>
          </c:dPt>
          <c:dPt>
            <c:idx val="5"/>
            <c:bubble3D val="0"/>
            <c:spPr>
              <a:blipFill dpi="0" rotWithShape="0">
                <a:blip xmlns:r="http://schemas.openxmlformats.org/officeDocument/2006/relationships" r:embed="rId6"/>
                <a:srcRect/>
                <a:tile tx="0" ty="0" sx="100000" sy="100000" flip="none" algn="tl"/>
              </a:blipFill>
              <a:ln w="25400">
                <a:noFill/>
              </a:ln>
            </c:spPr>
            <c:extLst>
              <c:ext xmlns:c16="http://schemas.microsoft.com/office/drawing/2014/chart" uri="{C3380CC4-5D6E-409C-BE32-E72D297353CC}">
                <c16:uniqueId val="{00000005-9532-432E-B6AA-71AA38F27238}"/>
              </c:ext>
            </c:extLst>
          </c:dPt>
          <c:dPt>
            <c:idx val="6"/>
            <c:bubble3D val="0"/>
            <c:spPr>
              <a:blipFill dpi="0" rotWithShape="0">
                <a:blip xmlns:r="http://schemas.openxmlformats.org/officeDocument/2006/relationships" r:embed="rId7"/>
                <a:srcRect/>
                <a:tile tx="0" ty="0" sx="100000" sy="100000" flip="none" algn="tl"/>
              </a:blipFill>
              <a:ln w="25400">
                <a:noFill/>
              </a:ln>
            </c:spPr>
            <c:extLst>
              <c:ext xmlns:c16="http://schemas.microsoft.com/office/drawing/2014/chart" uri="{C3380CC4-5D6E-409C-BE32-E72D297353CC}">
                <c16:uniqueId val="{00000006-9532-432E-B6AA-71AA38F27238}"/>
              </c:ext>
            </c:extLst>
          </c:dPt>
          <c:dPt>
            <c:idx val="7"/>
            <c:bubble3D val="0"/>
            <c:spPr>
              <a:blipFill dpi="0" rotWithShape="0">
                <a:blip xmlns:r="http://schemas.openxmlformats.org/officeDocument/2006/relationships" r:embed="rId8"/>
                <a:srcRect/>
                <a:tile tx="0" ty="0" sx="100000" sy="100000" flip="none" algn="tl"/>
              </a:blipFill>
              <a:ln w="25400">
                <a:noFill/>
              </a:ln>
            </c:spPr>
            <c:extLst>
              <c:ext xmlns:c16="http://schemas.microsoft.com/office/drawing/2014/chart" uri="{C3380CC4-5D6E-409C-BE32-E72D297353CC}">
                <c16:uniqueId val="{00000007-9532-432E-B6AA-71AA38F27238}"/>
              </c:ext>
            </c:extLst>
          </c:dPt>
          <c:dPt>
            <c:idx val="8"/>
            <c:bubble3D val="0"/>
            <c:spPr>
              <a:blipFill dpi="0" rotWithShape="0">
                <a:blip xmlns:r="http://schemas.openxmlformats.org/officeDocument/2006/relationships" r:embed="rId9"/>
                <a:srcRect/>
                <a:tile tx="0" ty="0" sx="100000" sy="100000" flip="none" algn="tl"/>
              </a:blipFill>
              <a:ln w="25400">
                <a:noFill/>
              </a:ln>
            </c:spPr>
            <c:extLst>
              <c:ext xmlns:c16="http://schemas.microsoft.com/office/drawing/2014/chart" uri="{C3380CC4-5D6E-409C-BE32-E72D297353CC}">
                <c16:uniqueId val="{00000008-9532-432E-B6AA-71AA38F27238}"/>
              </c:ext>
            </c:extLst>
          </c:dPt>
          <c:dPt>
            <c:idx val="9"/>
            <c:bubble3D val="0"/>
            <c:spPr>
              <a:blipFill dpi="0" rotWithShape="0">
                <a:blip xmlns:r="http://schemas.openxmlformats.org/officeDocument/2006/relationships" r:embed="rId10"/>
                <a:srcRect/>
                <a:tile tx="0" ty="0" sx="100000" sy="100000" flip="none" algn="tl"/>
              </a:blipFill>
              <a:ln w="25400">
                <a:noFill/>
              </a:ln>
            </c:spPr>
            <c:extLst>
              <c:ext xmlns:c16="http://schemas.microsoft.com/office/drawing/2014/chart" uri="{C3380CC4-5D6E-409C-BE32-E72D297353CC}">
                <c16:uniqueId val="{00000009-9532-432E-B6AA-71AA38F2723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A-9532-432E-B6AA-71AA38F2723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9532-432E-B6AA-71AA38F27238}"/>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C-9532-432E-B6AA-71AA38F27238}"/>
              </c:ext>
            </c:extLst>
          </c:dPt>
          <c:dLbls>
            <c:dLbl>
              <c:idx val="2"/>
              <c:tx>
                <c:rich>
                  <a:bodyPr/>
                  <a:lstStyle/>
                  <a:p>
                    <a:pPr>
                      <a:defRPr sz="1000" b="0" i="0" u="none" strike="noStrike" baseline="0">
                        <a:solidFill>
                          <a:srgbClr val="333333"/>
                        </a:solidFill>
                        <a:latin typeface="Trebuchet MS"/>
                        <a:ea typeface="Trebuchet MS"/>
                        <a:cs typeface="Trebuchet MS"/>
                      </a:defRPr>
                    </a:pPr>
                    <a:r>
                      <a:rPr lang="en-US"/>
                      <a:t>13%</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32-432E-B6AA-71AA38F2723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Analysis!$B$4260:$B$4272</c:f>
              <c:strCache>
                <c:ptCount val="13"/>
                <c:pt idx="0">
                  <c:v>Guatemala</c:v>
                </c:pt>
                <c:pt idx="1">
                  <c:v>Paraguay</c:v>
                </c:pt>
                <c:pt idx="2">
                  <c:v>Colombia</c:v>
                </c:pt>
                <c:pt idx="3">
                  <c:v>Bolivia</c:v>
                </c:pt>
                <c:pt idx="4">
                  <c:v>Honduras (JV)</c:v>
                </c:pt>
                <c:pt idx="5">
                  <c:v>Panama - Onda</c:v>
                </c:pt>
                <c:pt idx="6">
                  <c:v>Africa</c:v>
                </c:pt>
                <c:pt idx="7">
                  <c:v>El Salvador</c:v>
                </c:pt>
                <c:pt idx="8">
                  <c:v>Panama wireless</c:v>
                </c:pt>
                <c:pt idx="9">
                  <c:v>CR wireless</c:v>
                </c:pt>
                <c:pt idx="10">
                  <c:v>Nicaragua wireless</c:v>
                </c:pt>
                <c:pt idx="11">
                  <c:v>CR/Nic fixed</c:v>
                </c:pt>
                <c:pt idx="12">
                  <c:v>Corporate costs</c:v>
                </c:pt>
              </c:strCache>
            </c:strRef>
          </c:cat>
          <c:val>
            <c:numRef>
              <c:f>Analysis!$C$4260:$C$4272</c:f>
              <c:numCache>
                <c:formatCode>#,##0</c:formatCode>
                <c:ptCount val="13"/>
                <c:pt idx="0">
                  <c:v>428.45000000000005</c:v>
                </c:pt>
                <c:pt idx="1">
                  <c:v>252</c:v>
                </c:pt>
                <c:pt idx="2">
                  <c:v>228.5</c:v>
                </c:pt>
                <c:pt idx="3">
                  <c:v>227</c:v>
                </c:pt>
                <c:pt idx="4">
                  <c:v>165.49</c:v>
                </c:pt>
                <c:pt idx="5">
                  <c:v>121.60000000000001</c:v>
                </c:pt>
                <c:pt idx="6">
                  <c:v>141</c:v>
                </c:pt>
                <c:pt idx="7">
                  <c:v>134</c:v>
                </c:pt>
                <c:pt idx="8">
                  <c:v>83.2</c:v>
                </c:pt>
                <c:pt idx="9">
                  <c:v>0</c:v>
                </c:pt>
                <c:pt idx="10">
                  <c:v>69</c:v>
                </c:pt>
                <c:pt idx="11">
                  <c:v>62</c:v>
                </c:pt>
                <c:pt idx="12">
                  <c:v>-139</c:v>
                </c:pt>
              </c:numCache>
            </c:numRef>
          </c:val>
          <c:extLst>
            <c:ext xmlns:c16="http://schemas.microsoft.com/office/drawing/2014/chart" uri="{C3380CC4-5D6E-409C-BE32-E72D297353CC}">
              <c16:uniqueId val="{0000000D-9532-432E-B6AA-71AA38F2723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385082055054536"/>
          <c:y val="0.51834134671219201"/>
          <c:w val="0.77210327947760848"/>
          <c:h val="0.2111762246533343"/>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90448838245481"/>
          <c:y val="6.1786072520651401E-2"/>
          <c:w val="0.59619102323509043"/>
          <c:h val="0.55486611825207521"/>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11E5-4E21-84E2-996476508222}"/>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11E5-4E21-84E2-996476508222}"/>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11E5-4E21-84E2-996476508222}"/>
              </c:ext>
            </c:extLst>
          </c:dPt>
          <c:dPt>
            <c:idx val="3"/>
            <c:bubble3D val="0"/>
            <c:explosion val="25"/>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11E5-4E21-84E2-996476508222}"/>
              </c:ext>
            </c:extLst>
          </c:dPt>
          <c:dPt>
            <c:idx val="4"/>
            <c:bubble3D val="0"/>
            <c:spPr>
              <a:blipFill dpi="0" rotWithShape="0">
                <a:blip xmlns:r="http://schemas.openxmlformats.org/officeDocument/2006/relationships" r:embed="rId5"/>
                <a:srcRect/>
                <a:tile tx="0" ty="0" sx="100000" sy="100000" flip="none" algn="tl"/>
              </a:blipFill>
              <a:ln w="25400">
                <a:noFill/>
              </a:ln>
            </c:spPr>
            <c:extLst>
              <c:ext xmlns:c16="http://schemas.microsoft.com/office/drawing/2014/chart" uri="{C3380CC4-5D6E-409C-BE32-E72D297353CC}">
                <c16:uniqueId val="{00000004-11E5-4E21-84E2-996476508222}"/>
              </c:ext>
            </c:extLst>
          </c:dPt>
          <c:dPt>
            <c:idx val="5"/>
            <c:bubble3D val="0"/>
            <c:spPr>
              <a:blipFill dpi="0" rotWithShape="0">
                <a:blip xmlns:r="http://schemas.openxmlformats.org/officeDocument/2006/relationships" r:embed="rId6"/>
                <a:srcRect/>
                <a:tile tx="0" ty="0" sx="100000" sy="100000" flip="none" algn="tl"/>
              </a:blipFill>
              <a:ln w="25400">
                <a:noFill/>
              </a:ln>
            </c:spPr>
            <c:extLst>
              <c:ext xmlns:c16="http://schemas.microsoft.com/office/drawing/2014/chart" uri="{C3380CC4-5D6E-409C-BE32-E72D297353CC}">
                <c16:uniqueId val="{00000005-11E5-4E21-84E2-996476508222}"/>
              </c:ext>
            </c:extLst>
          </c:dPt>
          <c:dPt>
            <c:idx val="6"/>
            <c:bubble3D val="0"/>
            <c:spPr>
              <a:blipFill dpi="0" rotWithShape="0">
                <a:blip xmlns:r="http://schemas.openxmlformats.org/officeDocument/2006/relationships" r:embed="rId7"/>
                <a:srcRect/>
                <a:tile tx="0" ty="0" sx="100000" sy="100000" flip="none" algn="tl"/>
              </a:blipFill>
              <a:ln w="25400">
                <a:noFill/>
              </a:ln>
            </c:spPr>
            <c:extLst>
              <c:ext xmlns:c16="http://schemas.microsoft.com/office/drawing/2014/chart" uri="{C3380CC4-5D6E-409C-BE32-E72D297353CC}">
                <c16:uniqueId val="{00000006-11E5-4E21-84E2-996476508222}"/>
              </c:ext>
            </c:extLst>
          </c:dPt>
          <c:dPt>
            <c:idx val="7"/>
            <c:bubble3D val="0"/>
            <c:spPr>
              <a:blipFill dpi="0" rotWithShape="0">
                <a:blip xmlns:r="http://schemas.openxmlformats.org/officeDocument/2006/relationships" r:embed="rId8"/>
                <a:srcRect/>
                <a:tile tx="0" ty="0" sx="100000" sy="100000" flip="none" algn="tl"/>
              </a:blipFill>
              <a:ln w="25400">
                <a:noFill/>
              </a:ln>
            </c:spPr>
            <c:extLst>
              <c:ext xmlns:c16="http://schemas.microsoft.com/office/drawing/2014/chart" uri="{C3380CC4-5D6E-409C-BE32-E72D297353CC}">
                <c16:uniqueId val="{00000007-11E5-4E21-84E2-996476508222}"/>
              </c:ext>
            </c:extLst>
          </c:dPt>
          <c:dPt>
            <c:idx val="8"/>
            <c:bubble3D val="0"/>
            <c:spPr>
              <a:blipFill dpi="0" rotWithShape="0">
                <a:blip xmlns:r="http://schemas.openxmlformats.org/officeDocument/2006/relationships" r:embed="rId9"/>
                <a:srcRect/>
                <a:tile tx="0" ty="0" sx="100000" sy="100000" flip="none" algn="tl"/>
              </a:blipFill>
              <a:ln w="25400">
                <a:noFill/>
              </a:ln>
            </c:spPr>
            <c:extLst>
              <c:ext xmlns:c16="http://schemas.microsoft.com/office/drawing/2014/chart" uri="{C3380CC4-5D6E-409C-BE32-E72D297353CC}">
                <c16:uniqueId val="{00000008-11E5-4E21-84E2-996476508222}"/>
              </c:ext>
            </c:extLst>
          </c:dPt>
          <c:dPt>
            <c:idx val="9"/>
            <c:bubble3D val="0"/>
            <c:spPr>
              <a:blipFill dpi="0" rotWithShape="0">
                <a:blip xmlns:r="http://schemas.openxmlformats.org/officeDocument/2006/relationships" r:embed="rId10"/>
                <a:srcRect/>
                <a:tile tx="0" ty="0" sx="100000" sy="100000" flip="none" algn="tl"/>
              </a:blipFill>
              <a:ln w="25400">
                <a:noFill/>
              </a:ln>
            </c:spPr>
            <c:extLst>
              <c:ext xmlns:c16="http://schemas.microsoft.com/office/drawing/2014/chart" uri="{C3380CC4-5D6E-409C-BE32-E72D297353CC}">
                <c16:uniqueId val="{00000009-11E5-4E21-84E2-99647650822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A-11E5-4E21-84E2-996476508222}"/>
              </c:ext>
            </c:extLst>
          </c:dPt>
          <c:dLbls>
            <c:dLbl>
              <c:idx val="3"/>
              <c:tx>
                <c:rich>
                  <a:bodyPr/>
                  <a:lstStyle/>
                  <a:p>
                    <a:pPr>
                      <a:defRPr sz="1000" b="0" i="0" u="none" strike="noStrike" baseline="0">
                        <a:solidFill>
                          <a:srgbClr val="333333"/>
                        </a:solidFill>
                        <a:latin typeface="Trebuchet MS"/>
                        <a:ea typeface="Trebuchet MS"/>
                        <a:cs typeface="Trebuchet MS"/>
                      </a:defRPr>
                    </a:pPr>
                    <a:r>
                      <a:rPr lang="en-US"/>
                      <a:t>10%</a:t>
                    </a:r>
                  </a:p>
                </c:rich>
              </c:tx>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E5-4E21-84E2-996476508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Analysis!$D$4277:$D$4287</c:f>
              <c:strCache>
                <c:ptCount val="11"/>
                <c:pt idx="0">
                  <c:v>Mexico</c:v>
                </c:pt>
                <c:pt idx="1">
                  <c:v>Brazil</c:v>
                </c:pt>
                <c:pt idx="2">
                  <c:v>Austria</c:v>
                </c:pt>
                <c:pt idx="3">
                  <c:v>Colombia</c:v>
                </c:pt>
                <c:pt idx="4">
                  <c:v>CA/Caribbean</c:v>
                </c:pt>
                <c:pt idx="5">
                  <c:v>Argentina</c:v>
                </c:pt>
                <c:pt idx="6">
                  <c:v>US</c:v>
                </c:pt>
                <c:pt idx="7">
                  <c:v>Ecuador</c:v>
                </c:pt>
                <c:pt idx="8">
                  <c:v>Peru</c:v>
                </c:pt>
                <c:pt idx="9">
                  <c:v>Chile</c:v>
                </c:pt>
                <c:pt idx="10">
                  <c:v>Other</c:v>
                </c:pt>
              </c:strCache>
            </c:strRef>
          </c:cat>
          <c:val>
            <c:numRef>
              <c:f>Analysis!$E$4277:$E$4287</c:f>
              <c:numCache>
                <c:formatCode>#,##0</c:formatCode>
                <c:ptCount val="11"/>
                <c:pt idx="0">
                  <c:v>113830.14191349206</c:v>
                </c:pt>
                <c:pt idx="1">
                  <c:v>66148.115867507149</c:v>
                </c:pt>
                <c:pt idx="2">
                  <c:v>32884.106939696831</c:v>
                </c:pt>
                <c:pt idx="3">
                  <c:v>31238.727900363876</c:v>
                </c:pt>
                <c:pt idx="4">
                  <c:v>29439.78385519853</c:v>
                </c:pt>
                <c:pt idx="5">
                  <c:v>13374.015674507362</c:v>
                </c:pt>
                <c:pt idx="6">
                  <c:v>11569.137838345401</c:v>
                </c:pt>
                <c:pt idx="7">
                  <c:v>11123.667813987704</c:v>
                </c:pt>
                <c:pt idx="8">
                  <c:v>9069.0185279033267</c:v>
                </c:pt>
                <c:pt idx="9">
                  <c:v>4912.7150287591521</c:v>
                </c:pt>
                <c:pt idx="10">
                  <c:v>-6750</c:v>
                </c:pt>
              </c:numCache>
            </c:numRef>
          </c:val>
          <c:extLst>
            <c:ext xmlns:c16="http://schemas.microsoft.com/office/drawing/2014/chart" uri="{C3380CC4-5D6E-409C-BE32-E72D297353CC}">
              <c16:uniqueId val="{0000000B-11E5-4E21-84E2-9964765082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0235942566002779"/>
          <c:y val="0.56062470091791006"/>
          <c:w val="0.62825567392311243"/>
          <c:h val="0.17533069416046754"/>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67339717077214"/>
          <c:y val="8.7939295561317812E-2"/>
          <c:w val="0.60553261531595182"/>
          <c:h val="0.5696379313719363"/>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58D2-4220-9C4A-1F97E16A9A4D}"/>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58D2-4220-9C4A-1F97E16A9A4D}"/>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58D2-4220-9C4A-1F97E16A9A4D}"/>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58D2-4220-9C4A-1F97E16A9A4D}"/>
              </c:ext>
            </c:extLst>
          </c:dPt>
          <c:dPt>
            <c:idx val="4"/>
            <c:bubble3D val="0"/>
            <c:spPr>
              <a:blipFill dpi="0" rotWithShape="0">
                <a:blip xmlns:r="http://schemas.openxmlformats.org/officeDocument/2006/relationships" r:embed="rId5"/>
                <a:srcRect/>
                <a:tile tx="0" ty="0" sx="100000" sy="100000" flip="none" algn="tl"/>
              </a:blipFill>
              <a:ln w="25400">
                <a:noFill/>
              </a:ln>
            </c:spPr>
            <c:extLst>
              <c:ext xmlns:c16="http://schemas.microsoft.com/office/drawing/2014/chart" uri="{C3380CC4-5D6E-409C-BE32-E72D297353CC}">
                <c16:uniqueId val="{00000004-58D2-4220-9C4A-1F97E16A9A4D}"/>
              </c:ext>
            </c:extLst>
          </c:dPt>
          <c:dPt>
            <c:idx val="5"/>
            <c:bubble3D val="0"/>
            <c:spPr>
              <a:blipFill dpi="0" rotWithShape="0">
                <a:blip xmlns:r="http://schemas.openxmlformats.org/officeDocument/2006/relationships" r:embed="rId6"/>
                <a:srcRect/>
                <a:tile tx="0" ty="0" sx="100000" sy="100000" flip="none" algn="tl"/>
              </a:blipFill>
              <a:ln w="25400">
                <a:noFill/>
              </a:ln>
            </c:spPr>
            <c:extLst>
              <c:ext xmlns:c16="http://schemas.microsoft.com/office/drawing/2014/chart" uri="{C3380CC4-5D6E-409C-BE32-E72D297353CC}">
                <c16:uniqueId val="{00000005-58D2-4220-9C4A-1F97E16A9A4D}"/>
              </c:ext>
            </c:extLst>
          </c:dPt>
          <c:dPt>
            <c:idx val="6"/>
            <c:bubble3D val="0"/>
            <c:spPr>
              <a:blipFill dpi="0" rotWithShape="0">
                <a:blip xmlns:r="http://schemas.openxmlformats.org/officeDocument/2006/relationships" r:embed="rId7"/>
                <a:srcRect/>
                <a:tile tx="0" ty="0" sx="100000" sy="100000" flip="none" algn="tl"/>
              </a:blipFill>
              <a:ln w="25400">
                <a:noFill/>
              </a:ln>
            </c:spPr>
            <c:extLst>
              <c:ext xmlns:c16="http://schemas.microsoft.com/office/drawing/2014/chart" uri="{C3380CC4-5D6E-409C-BE32-E72D297353CC}">
                <c16:uniqueId val="{00000006-58D2-4220-9C4A-1F97E16A9A4D}"/>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Analysis!$B$4299:$B$4305</c:f>
              <c:strCache>
                <c:ptCount val="7"/>
                <c:pt idx="0">
                  <c:v>Claro</c:v>
                </c:pt>
                <c:pt idx="1">
                  <c:v>Movistar</c:v>
                </c:pt>
                <c:pt idx="2">
                  <c:v>Tigo</c:v>
                </c:pt>
                <c:pt idx="3">
                  <c:v>Virgin (MVNO)</c:v>
                </c:pt>
                <c:pt idx="4">
                  <c:v>Avantel</c:v>
                </c:pt>
                <c:pt idx="5">
                  <c:v>ETB</c:v>
                </c:pt>
                <c:pt idx="6">
                  <c:v>Others</c:v>
                </c:pt>
              </c:strCache>
            </c:strRef>
          </c:cat>
          <c:val>
            <c:numRef>
              <c:f>Analysis!$C$4299:$C$4305</c:f>
              <c:numCache>
                <c:formatCode>0%</c:formatCode>
                <c:ptCount val="7"/>
                <c:pt idx="0">
                  <c:v>0.47</c:v>
                </c:pt>
                <c:pt idx="1">
                  <c:v>0.23</c:v>
                </c:pt>
                <c:pt idx="2">
                  <c:v>0.18</c:v>
                </c:pt>
                <c:pt idx="3">
                  <c:v>0.05</c:v>
                </c:pt>
                <c:pt idx="4">
                  <c:v>0.03</c:v>
                </c:pt>
                <c:pt idx="5">
                  <c:v>0.01</c:v>
                </c:pt>
                <c:pt idx="6">
                  <c:v>3.0000000000000027E-2</c:v>
                </c:pt>
              </c:numCache>
            </c:numRef>
          </c:val>
          <c:extLst>
            <c:ext xmlns:c16="http://schemas.microsoft.com/office/drawing/2014/chart" uri="{C3380CC4-5D6E-409C-BE32-E72D297353CC}">
              <c16:uniqueId val="{00000007-58D2-4220-9C4A-1F97E16A9A4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8334340056807966"/>
          <c:y val="0.55890382195376265"/>
          <c:w val="0.48890554776543343"/>
          <c:h val="0.16702865566461722"/>
        </c:manualLayout>
      </c:layout>
      <c:overlay val="0"/>
      <c:spPr>
        <a:noFill/>
        <a:ln w="25400">
          <a:noFill/>
        </a:ln>
      </c:spPr>
      <c:txPr>
        <a:bodyPr/>
        <a:lstStyle/>
        <a:p>
          <a:pPr>
            <a:defRPr sz="59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Analysis!$C$4496</c:f>
              <c:strCache>
                <c:ptCount val="1"/>
                <c:pt idx="0">
                  <c:v>Cash (ex $600m for CR)</c:v>
                </c:pt>
              </c:strCache>
            </c:strRef>
          </c:tx>
          <c:spPr>
            <a:solidFill>
              <a:srgbClr val="000080"/>
            </a:solidFill>
            <a:ln w="25400">
              <a:noFill/>
            </a:ln>
          </c:spPr>
          <c:invertIfNegative val="0"/>
          <c:cat>
            <c:strRef>
              <c:f>Analysis!$B$4497:$B$4508</c:f>
              <c:strCache>
                <c:ptCount val="12"/>
                <c:pt idx="0">
                  <c:v>Current</c:v>
                </c:pt>
                <c:pt idx="1">
                  <c:v>2020</c:v>
                </c:pt>
                <c:pt idx="2">
                  <c:v>2021</c:v>
                </c:pt>
                <c:pt idx="3">
                  <c:v>2022</c:v>
                </c:pt>
                <c:pt idx="4">
                  <c:v>2023</c:v>
                </c:pt>
                <c:pt idx="5">
                  <c:v>2024</c:v>
                </c:pt>
                <c:pt idx="6">
                  <c:v>2025</c:v>
                </c:pt>
                <c:pt idx="7">
                  <c:v>2026</c:v>
                </c:pt>
                <c:pt idx="8">
                  <c:v>2027</c:v>
                </c:pt>
                <c:pt idx="9">
                  <c:v>2028</c:v>
                </c:pt>
                <c:pt idx="10">
                  <c:v>2029</c:v>
                </c:pt>
                <c:pt idx="11">
                  <c:v>&gt;2030</c:v>
                </c:pt>
              </c:strCache>
            </c:strRef>
          </c:cat>
          <c:val>
            <c:numRef>
              <c:f>Analysis!$C$4497:$C$4508</c:f>
              <c:numCache>
                <c:formatCode>General</c:formatCode>
                <c:ptCount val="12"/>
                <c:pt idx="0" formatCode="#,##0">
                  <c:v>1100</c:v>
                </c:pt>
              </c:numCache>
            </c:numRef>
          </c:val>
          <c:extLst>
            <c:ext xmlns:c16="http://schemas.microsoft.com/office/drawing/2014/chart" uri="{C3380CC4-5D6E-409C-BE32-E72D297353CC}">
              <c16:uniqueId val="{00000000-1E40-48E6-AC3F-9DB62EDB3118}"/>
            </c:ext>
          </c:extLst>
        </c:ser>
        <c:ser>
          <c:idx val="1"/>
          <c:order val="1"/>
          <c:tx>
            <c:strRef>
              <c:f>Analysis!$D$4496</c:f>
              <c:strCache>
                <c:ptCount val="1"/>
                <c:pt idx="0">
                  <c:v>Unused borrowing</c:v>
                </c:pt>
              </c:strCache>
            </c:strRef>
          </c:tx>
          <c:spPr>
            <a:solidFill>
              <a:srgbClr val="9999FF"/>
            </a:solidFill>
            <a:ln w="25400">
              <a:noFill/>
            </a:ln>
          </c:spPr>
          <c:invertIfNegative val="0"/>
          <c:cat>
            <c:strRef>
              <c:f>Analysis!$B$4497:$B$4508</c:f>
              <c:strCache>
                <c:ptCount val="12"/>
                <c:pt idx="0">
                  <c:v>Current</c:v>
                </c:pt>
                <c:pt idx="1">
                  <c:v>2020</c:v>
                </c:pt>
                <c:pt idx="2">
                  <c:v>2021</c:v>
                </c:pt>
                <c:pt idx="3">
                  <c:v>2022</c:v>
                </c:pt>
                <c:pt idx="4">
                  <c:v>2023</c:v>
                </c:pt>
                <c:pt idx="5">
                  <c:v>2024</c:v>
                </c:pt>
                <c:pt idx="6">
                  <c:v>2025</c:v>
                </c:pt>
                <c:pt idx="7">
                  <c:v>2026</c:v>
                </c:pt>
                <c:pt idx="8">
                  <c:v>2027</c:v>
                </c:pt>
                <c:pt idx="9">
                  <c:v>2028</c:v>
                </c:pt>
                <c:pt idx="10">
                  <c:v>2029</c:v>
                </c:pt>
                <c:pt idx="11">
                  <c:v>&gt;2030</c:v>
                </c:pt>
              </c:strCache>
            </c:strRef>
          </c:cat>
          <c:val>
            <c:numRef>
              <c:f>Analysis!$D$4497:$D$4508</c:f>
              <c:numCache>
                <c:formatCode>#,##0</c:formatCode>
                <c:ptCount val="12"/>
                <c:pt idx="0" formatCode="General">
                  <c:v>200</c:v>
                </c:pt>
              </c:numCache>
            </c:numRef>
          </c:val>
          <c:extLst>
            <c:ext xmlns:c16="http://schemas.microsoft.com/office/drawing/2014/chart" uri="{C3380CC4-5D6E-409C-BE32-E72D297353CC}">
              <c16:uniqueId val="{00000001-1E40-48E6-AC3F-9DB62EDB3118}"/>
            </c:ext>
          </c:extLst>
        </c:ser>
        <c:ser>
          <c:idx val="2"/>
          <c:order val="2"/>
          <c:tx>
            <c:strRef>
              <c:f>Analysis!$E$4496</c:f>
              <c:strCache>
                <c:ptCount val="1"/>
                <c:pt idx="0">
                  <c:v>Repayments</c:v>
                </c:pt>
              </c:strCache>
            </c:strRef>
          </c:tx>
          <c:spPr>
            <a:solidFill>
              <a:srgbClr val="3366FF"/>
            </a:solidFill>
            <a:ln w="25400">
              <a:noFill/>
            </a:ln>
          </c:spPr>
          <c:invertIfNegative val="0"/>
          <c:cat>
            <c:strRef>
              <c:f>Analysis!$B$4497:$B$4508</c:f>
              <c:strCache>
                <c:ptCount val="12"/>
                <c:pt idx="0">
                  <c:v>Current</c:v>
                </c:pt>
                <c:pt idx="1">
                  <c:v>2020</c:v>
                </c:pt>
                <c:pt idx="2">
                  <c:v>2021</c:v>
                </c:pt>
                <c:pt idx="3">
                  <c:v>2022</c:v>
                </c:pt>
                <c:pt idx="4">
                  <c:v>2023</c:v>
                </c:pt>
                <c:pt idx="5">
                  <c:v>2024</c:v>
                </c:pt>
                <c:pt idx="6">
                  <c:v>2025</c:v>
                </c:pt>
                <c:pt idx="7">
                  <c:v>2026</c:v>
                </c:pt>
                <c:pt idx="8">
                  <c:v>2027</c:v>
                </c:pt>
                <c:pt idx="9">
                  <c:v>2028</c:v>
                </c:pt>
                <c:pt idx="10">
                  <c:v>2029</c:v>
                </c:pt>
                <c:pt idx="11">
                  <c:v>&gt;2030</c:v>
                </c:pt>
              </c:strCache>
            </c:strRef>
          </c:cat>
          <c:val>
            <c:numRef>
              <c:f>Analysis!$E$4497:$E$4508</c:f>
              <c:numCache>
                <c:formatCode>General</c:formatCode>
                <c:ptCount val="12"/>
                <c:pt idx="1">
                  <c:v>221</c:v>
                </c:pt>
                <c:pt idx="2">
                  <c:v>180</c:v>
                </c:pt>
                <c:pt idx="3">
                  <c:v>172</c:v>
                </c:pt>
                <c:pt idx="4">
                  <c:v>544</c:v>
                </c:pt>
                <c:pt idx="5">
                  <c:v>1899</c:v>
                </c:pt>
                <c:pt idx="6">
                  <c:v>1101</c:v>
                </c:pt>
                <c:pt idx="7">
                  <c:v>638</c:v>
                </c:pt>
                <c:pt idx="8">
                  <c:v>408</c:v>
                </c:pt>
                <c:pt idx="9">
                  <c:v>548</c:v>
                </c:pt>
                <c:pt idx="10">
                  <c:v>883</c:v>
                </c:pt>
                <c:pt idx="11">
                  <c:v>659</c:v>
                </c:pt>
              </c:numCache>
            </c:numRef>
          </c:val>
          <c:extLst>
            <c:ext xmlns:c16="http://schemas.microsoft.com/office/drawing/2014/chart" uri="{C3380CC4-5D6E-409C-BE32-E72D297353CC}">
              <c16:uniqueId val="{00000002-1E40-48E6-AC3F-9DB62EDB3118}"/>
            </c:ext>
          </c:extLst>
        </c:ser>
        <c:dLbls>
          <c:showLegendKey val="0"/>
          <c:showVal val="0"/>
          <c:showCatName val="0"/>
          <c:showSerName val="0"/>
          <c:showPercent val="0"/>
          <c:showBubbleSize val="0"/>
        </c:dLbls>
        <c:gapWidth val="150"/>
        <c:overlap val="100"/>
        <c:axId val="1448721759"/>
        <c:axId val="1"/>
      </c:barChart>
      <c:catAx>
        <c:axId val="144872175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270000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21759"/>
        <c:crosses val="autoZero"/>
        <c:crossBetween val="between"/>
      </c:valAx>
      <c:spPr>
        <a:noFill/>
        <a:ln w="25400">
          <a:noFill/>
        </a:ln>
      </c:spPr>
    </c:plotArea>
    <c:legend>
      <c:legendPos val="b"/>
      <c:layout>
        <c:manualLayout>
          <c:xMode val="edge"/>
          <c:yMode val="edge"/>
          <c:x val="8.3474555109786762E-3"/>
          <c:y val="0.55210145975847513"/>
          <c:w val="0.50252046189786526"/>
          <c:h val="4.1668216669766722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000080"/>
            </a:solidFill>
            <a:ln w="25400">
              <a:noFill/>
            </a:ln>
          </c:spPr>
          <c:invertIfNegative val="0"/>
          <c:cat>
            <c:strRef>
              <c:f>Analysis!$B$4134:$B$4137</c:f>
              <c:strCache>
                <c:ptCount val="4"/>
                <c:pt idx="0">
                  <c:v>Guatemala as % TIGO</c:v>
                </c:pt>
                <c:pt idx="1">
                  <c:v>Jamaica as % LLA</c:v>
                </c:pt>
                <c:pt idx="2">
                  <c:v>Honduras as % TIGO</c:v>
                </c:pt>
                <c:pt idx="3">
                  <c:v>El Salvador as % TIGO</c:v>
                </c:pt>
              </c:strCache>
            </c:strRef>
          </c:cat>
          <c:val>
            <c:numRef>
              <c:f>Analysis!$C$4134:$C$4137</c:f>
              <c:numCache>
                <c:formatCode>0%</c:formatCode>
                <c:ptCount val="4"/>
                <c:pt idx="0">
                  <c:v>0.17906543265673625</c:v>
                </c:pt>
                <c:pt idx="1">
                  <c:v>0.08</c:v>
                </c:pt>
                <c:pt idx="2">
                  <c:v>8.0113179233977302E-2</c:v>
                </c:pt>
                <c:pt idx="3">
                  <c:v>8.448015331292219E-2</c:v>
                </c:pt>
              </c:numCache>
            </c:numRef>
          </c:val>
          <c:extLst>
            <c:ext xmlns:c16="http://schemas.microsoft.com/office/drawing/2014/chart" uri="{C3380CC4-5D6E-409C-BE32-E72D297353CC}">
              <c16:uniqueId val="{00000000-3E5D-4E4C-B0BF-E8CC0F2D8EA6}"/>
            </c:ext>
          </c:extLst>
        </c:ser>
        <c:dLbls>
          <c:showLegendKey val="0"/>
          <c:showVal val="0"/>
          <c:showCatName val="0"/>
          <c:showSerName val="0"/>
          <c:showPercent val="0"/>
          <c:showBubbleSize val="0"/>
        </c:dLbls>
        <c:gapWidth val="182"/>
        <c:axId val="1448722159"/>
        <c:axId val="1"/>
      </c:barChart>
      <c:catAx>
        <c:axId val="1448722159"/>
        <c:scaling>
          <c:orientation val="minMax"/>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b"/>
        <c:majorGridlines>
          <c:spPr>
            <a:ln w="3175">
              <a:solidFill>
                <a:srgbClr val="C0C0C0"/>
              </a:solidFill>
              <a:prstDash val="solid"/>
            </a:ln>
          </c:spPr>
        </c:majorGridlines>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22159"/>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74131942997424"/>
          <c:y val="0.11277463128027157"/>
          <c:w val="0.53515857664104882"/>
          <c:h val="0.53156458673045215"/>
        </c:manualLayout>
      </c:layout>
      <c:pieChart>
        <c:varyColors val="1"/>
        <c:ser>
          <c:idx val="0"/>
          <c:order val="0"/>
          <c:dPt>
            <c:idx val="0"/>
            <c:bubble3D val="0"/>
            <c:spPr>
              <a:blipFill dpi="0" rotWithShape="0">
                <a:blip xmlns:r="http://schemas.openxmlformats.org/officeDocument/2006/relationships" r:embed="rId1"/>
                <a:srcRect/>
                <a:tile tx="0" ty="0" sx="100000" sy="100000" flip="none" algn="tl"/>
              </a:blipFill>
              <a:ln w="25400">
                <a:noFill/>
              </a:ln>
            </c:spPr>
            <c:extLst>
              <c:ext xmlns:c16="http://schemas.microsoft.com/office/drawing/2014/chart" uri="{C3380CC4-5D6E-409C-BE32-E72D297353CC}">
                <c16:uniqueId val="{00000000-8BE7-4ED0-8439-D39FF5ED41D5}"/>
              </c:ext>
            </c:extLst>
          </c:dPt>
          <c:dPt>
            <c:idx val="1"/>
            <c:bubble3D val="0"/>
            <c:spPr>
              <a:blipFill dpi="0" rotWithShape="0">
                <a:blip xmlns:r="http://schemas.openxmlformats.org/officeDocument/2006/relationships" r:embed="rId2"/>
                <a:srcRect/>
                <a:tile tx="0" ty="0" sx="100000" sy="100000" flip="none" algn="tl"/>
              </a:blipFill>
              <a:ln w="25400">
                <a:noFill/>
              </a:ln>
            </c:spPr>
            <c:extLst>
              <c:ext xmlns:c16="http://schemas.microsoft.com/office/drawing/2014/chart" uri="{C3380CC4-5D6E-409C-BE32-E72D297353CC}">
                <c16:uniqueId val="{00000001-8BE7-4ED0-8439-D39FF5ED41D5}"/>
              </c:ext>
            </c:extLst>
          </c:dPt>
          <c:dPt>
            <c:idx val="2"/>
            <c:bubble3D val="0"/>
            <c:spPr>
              <a:blipFill dpi="0" rotWithShape="0">
                <a:blip xmlns:r="http://schemas.openxmlformats.org/officeDocument/2006/relationships" r:embed="rId3"/>
                <a:srcRect/>
                <a:tile tx="0" ty="0" sx="100000" sy="100000" flip="none" algn="tl"/>
              </a:blipFill>
              <a:ln w="25400">
                <a:noFill/>
              </a:ln>
            </c:spPr>
            <c:extLst>
              <c:ext xmlns:c16="http://schemas.microsoft.com/office/drawing/2014/chart" uri="{C3380CC4-5D6E-409C-BE32-E72D297353CC}">
                <c16:uniqueId val="{00000002-8BE7-4ED0-8439-D39FF5ED41D5}"/>
              </c:ext>
            </c:extLst>
          </c:dPt>
          <c:dPt>
            <c:idx val="3"/>
            <c:bubble3D val="0"/>
            <c:spPr>
              <a:blipFill dpi="0" rotWithShape="0">
                <a:blip xmlns:r="http://schemas.openxmlformats.org/officeDocument/2006/relationships" r:embed="rId4"/>
                <a:srcRect/>
                <a:tile tx="0" ty="0" sx="100000" sy="100000" flip="none" algn="tl"/>
              </a:blipFill>
              <a:ln w="25400">
                <a:noFill/>
              </a:ln>
            </c:spPr>
            <c:extLst>
              <c:ext xmlns:c16="http://schemas.microsoft.com/office/drawing/2014/chart" uri="{C3380CC4-5D6E-409C-BE32-E72D297353CC}">
                <c16:uniqueId val="{00000003-8BE7-4ED0-8439-D39FF5ED41D5}"/>
              </c:ext>
            </c:extLst>
          </c:dPt>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Analysis!$B$4541:$B$4544</c:f>
              <c:strCache>
                <c:ptCount val="4"/>
                <c:pt idx="0">
                  <c:v>Dollarised (Pan, El Sal)</c:v>
                </c:pt>
                <c:pt idx="1">
                  <c:v>Crawling pegs (Nic, Hond, Bol)</c:v>
                </c:pt>
                <c:pt idx="2">
                  <c:v>Managed floating (Guat)</c:v>
                </c:pt>
                <c:pt idx="3">
                  <c:v>Local FX</c:v>
                </c:pt>
              </c:strCache>
            </c:strRef>
          </c:cat>
          <c:val>
            <c:numRef>
              <c:f>Analysis!$D$4541:$D$4544</c:f>
              <c:numCache>
                <c:formatCode>0%</c:formatCode>
                <c:ptCount val="4"/>
                <c:pt idx="0">
                  <c:v>0.16638254347084896</c:v>
                </c:pt>
                <c:pt idx="1">
                  <c:v>0.22758267984998296</c:v>
                </c:pt>
                <c:pt idx="2">
                  <c:v>0.25622229798840779</c:v>
                </c:pt>
                <c:pt idx="3">
                  <c:v>0.34981247869076032</c:v>
                </c:pt>
              </c:numCache>
            </c:numRef>
          </c:val>
          <c:extLst>
            <c:ext xmlns:c16="http://schemas.microsoft.com/office/drawing/2014/chart" uri="{C3380CC4-5D6E-409C-BE32-E72D297353CC}">
              <c16:uniqueId val="{00000004-8BE7-4ED0-8439-D39FF5ED41D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28606722032086418"/>
          <c:y val="0.56917825271841016"/>
          <c:w val="0.57453828909684168"/>
          <c:h val="0.16327019122609676"/>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strRef>
              <c:f>Analysis!$C$4583:$F$4583</c:f>
              <c:strCache>
                <c:ptCount val="4"/>
                <c:pt idx="0">
                  <c:v>1 month at April run-rate</c:v>
                </c:pt>
                <c:pt idx="1">
                  <c:v>2 months at April run-rate</c:v>
                </c:pt>
                <c:pt idx="2">
                  <c:v>1 quarter at April run-rate</c:v>
                </c:pt>
                <c:pt idx="3">
                  <c:v>Cash savings</c:v>
                </c:pt>
              </c:strCache>
            </c:strRef>
          </c:cat>
          <c:val>
            <c:numRef>
              <c:f>Analysis!$C$4584:$F$4584</c:f>
              <c:numCache>
                <c:formatCode>General</c:formatCode>
                <c:ptCount val="4"/>
                <c:pt idx="0">
                  <c:v>30</c:v>
                </c:pt>
                <c:pt idx="1">
                  <c:v>60</c:v>
                </c:pt>
                <c:pt idx="2">
                  <c:v>90</c:v>
                </c:pt>
                <c:pt idx="3">
                  <c:v>600</c:v>
                </c:pt>
              </c:numCache>
            </c:numRef>
          </c:val>
          <c:extLst>
            <c:ext xmlns:c16="http://schemas.microsoft.com/office/drawing/2014/chart" uri="{C3380CC4-5D6E-409C-BE32-E72D297353CC}">
              <c16:uniqueId val="{00000000-7DBF-4E43-8DA2-B7F605161D66}"/>
            </c:ext>
          </c:extLst>
        </c:ser>
        <c:dLbls>
          <c:showLegendKey val="0"/>
          <c:showVal val="0"/>
          <c:showCatName val="0"/>
          <c:showSerName val="0"/>
          <c:showPercent val="0"/>
          <c:showBubbleSize val="0"/>
        </c:dLbls>
        <c:gapWidth val="219"/>
        <c:overlap val="-27"/>
        <c:axId val="1448722959"/>
        <c:axId val="1"/>
      </c:barChart>
      <c:catAx>
        <c:axId val="144872295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 m</a:t>
                </a:r>
              </a:p>
            </c:rich>
          </c:tx>
          <c:overlay val="0"/>
          <c:spPr>
            <a:noFill/>
            <a:ln w="25400">
              <a:noFill/>
            </a:ln>
          </c:spPr>
        </c:title>
        <c:numFmt formatCode="General"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22959"/>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strRef>
              <c:f>Analysis!$M$4417:$M$4421</c:f>
              <c:strCache>
                <c:ptCount val="5"/>
                <c:pt idx="0">
                  <c:v>Wireless pre-paid</c:v>
                </c:pt>
                <c:pt idx="1">
                  <c:v>Fixed B2B</c:v>
                </c:pt>
                <c:pt idx="2">
                  <c:v>Wireless post-paid (B2B)</c:v>
                </c:pt>
                <c:pt idx="3">
                  <c:v>Wireless post-paid (res)</c:v>
                </c:pt>
                <c:pt idx="4">
                  <c:v>Residential fixed</c:v>
                </c:pt>
              </c:strCache>
            </c:strRef>
          </c:cat>
          <c:val>
            <c:numRef>
              <c:f>Analysis!$N$4417:$N$4421</c:f>
              <c:numCache>
                <c:formatCode>0%</c:formatCode>
                <c:ptCount val="5"/>
                <c:pt idx="0">
                  <c:v>-4.4743758884832063E-3</c:v>
                </c:pt>
                <c:pt idx="1">
                  <c:v>-0.11213517665130568</c:v>
                </c:pt>
                <c:pt idx="2">
                  <c:v>-5.0000000000000044E-2</c:v>
                </c:pt>
                <c:pt idx="3">
                  <c:v>0</c:v>
                </c:pt>
                <c:pt idx="4">
                  <c:v>-1.681759379042691E-2</c:v>
                </c:pt>
              </c:numCache>
            </c:numRef>
          </c:val>
          <c:extLst>
            <c:ext xmlns:c16="http://schemas.microsoft.com/office/drawing/2014/chart" uri="{C3380CC4-5D6E-409C-BE32-E72D297353CC}">
              <c16:uniqueId val="{00000000-4AAC-4279-B7E4-7906D3915ABB}"/>
            </c:ext>
          </c:extLst>
        </c:ser>
        <c:dLbls>
          <c:showLegendKey val="0"/>
          <c:showVal val="0"/>
          <c:showCatName val="0"/>
          <c:showSerName val="0"/>
          <c:showPercent val="0"/>
          <c:showBubbleSize val="0"/>
        </c:dLbls>
        <c:gapWidth val="219"/>
        <c:overlap val="-27"/>
        <c:axId val="1448715359"/>
        <c:axId val="1"/>
      </c:barChart>
      <c:catAx>
        <c:axId val="1448715359"/>
        <c:scaling>
          <c:orientation val="minMax"/>
        </c:scaling>
        <c:delete val="0"/>
        <c:axPos val="b"/>
        <c:title>
          <c:overlay val="0"/>
          <c:spPr>
            <a:noFill/>
            <a:ln w="25400">
              <a:noFill/>
            </a:ln>
          </c:spPr>
          <c:txPr>
            <a:bodyPr/>
            <a:lstStyle/>
            <a:p>
              <a:pPr>
                <a:defRPr sz="1000" b="0" i="0" u="none" strike="noStrike" baseline="0">
                  <a:solidFill>
                    <a:srgbClr val="333333"/>
                  </a:solidFill>
                  <a:latin typeface="Trebuchet MS"/>
                  <a:ea typeface="Trebuchet MS"/>
                  <a:cs typeface="Trebuchet MS"/>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y/y</a:t>
                </a:r>
              </a:p>
            </c:rich>
          </c:tx>
          <c:overlay val="0"/>
          <c:spPr>
            <a:noFill/>
            <a:ln w="25400">
              <a:noFill/>
            </a:ln>
          </c:spPr>
        </c:title>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448715359"/>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99"/>
              </a:solidFill>
              <a:prstDash val="solid"/>
            </a:ln>
          </c:spPr>
          <c:marker>
            <c:symbol val="none"/>
          </c:marker>
          <c:val>
            <c:numRef>
              <c:f>'New (new) quarts'!$BQ$368:$BW$368</c:f>
            </c:numRef>
          </c:val>
          <c:smooth val="0"/>
          <c:extLst>
            <c:ext xmlns:c15="http://schemas.microsoft.com/office/drawing/2012/chart" uri="{02D57815-91ED-43cb-92C2-25804820EDAC}">
              <c15:filteredCategoryTitle>
                <c15:cat>
                  <c:multiLvlStrRef>
                    <c:extLst>
                      <c:ext uri="{02D57815-91ED-43cb-92C2-25804820EDAC}">
                        <c15:formulaRef>
                          <c15:sqref>'New (new) quarts'!$BQ$367:$BW$367</c15:sqref>
                        </c15:formulaRef>
                      </c:ext>
                    </c:extLst>
                  </c:multiLvlStrRef>
                </c15:cat>
              </c15:filteredCategoryTitle>
            </c:ext>
            <c:ext xmlns:c16="http://schemas.microsoft.com/office/drawing/2014/chart" uri="{C3380CC4-5D6E-409C-BE32-E72D297353CC}">
              <c16:uniqueId val="{00000000-CD96-4410-BFE1-8699DD0E52A2}"/>
            </c:ext>
          </c:extLst>
        </c:ser>
        <c:dLbls>
          <c:showLegendKey val="0"/>
          <c:showVal val="0"/>
          <c:showCatName val="0"/>
          <c:showSerName val="0"/>
          <c:showPercent val="0"/>
          <c:showBubbleSize val="0"/>
        </c:dLbls>
        <c:marker val="1"/>
        <c:smooth val="0"/>
        <c:axId val="1114955855"/>
        <c:axId val="1"/>
      </c:lineChart>
      <c:catAx>
        <c:axId val="1114955855"/>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000000"/>
                    </a:solidFill>
                    <a:latin typeface="Trebuchet MS"/>
                    <a:ea typeface="Trebuchet MS"/>
                    <a:cs typeface="Trebuchet MS"/>
                  </a:defRPr>
                </a:pPr>
                <a:r>
                  <a:rPr lang="en-GB"/>
                  <a:t>y/y</a:t>
                </a:r>
              </a:p>
            </c:rich>
          </c:tx>
          <c:overlay val="0"/>
          <c:spPr>
            <a:noFill/>
            <a:ln w="25400">
              <a:noFill/>
            </a:ln>
          </c:spPr>
        </c:title>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114955855"/>
        <c:crosses val="autoZero"/>
        <c:crossBetween val="between"/>
      </c:valAx>
      <c:spPr>
        <a:noFill/>
        <a:ln w="25400">
          <a:noFill/>
        </a:ln>
      </c:spPr>
    </c:plotArea>
    <c:plotVisOnly val="1"/>
    <c:dispBlanksAs val="gap"/>
    <c:showDLblsOverMax val="0"/>
  </c:chart>
  <c:spPr>
    <a:solidFill>
      <a:schemeClr val="bg1"/>
    </a:solidFill>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Analysis!$W$4454</c:f>
              <c:strCache>
                <c:ptCount val="1"/>
                <c:pt idx="0">
                  <c:v>Service revs</c:v>
                </c:pt>
              </c:strCache>
            </c:strRef>
          </c:tx>
          <c:spPr>
            <a:solidFill>
              <a:srgbClr val="000080"/>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Analysis!$X$4453:$AB$4453</c:f>
              <c:numCache>
                <c:formatCode>General</c:formatCode>
                <c:ptCount val="5"/>
                <c:pt idx="0">
                  <c:v>2020</c:v>
                </c:pt>
                <c:pt idx="1">
                  <c:v>2021</c:v>
                </c:pt>
                <c:pt idx="2">
                  <c:v>2022</c:v>
                </c:pt>
                <c:pt idx="3">
                  <c:v>2023</c:v>
                </c:pt>
                <c:pt idx="4">
                  <c:v>2024</c:v>
                </c:pt>
              </c:numCache>
            </c:numRef>
          </c:cat>
          <c:val>
            <c:numRef>
              <c:f>Analysis!$X$4454:$AB$4454</c:f>
              <c:numCache>
                <c:formatCode>0.0%</c:formatCode>
                <c:ptCount val="5"/>
                <c:pt idx="0">
                  <c:v>-2.2592320711129932E-2</c:v>
                </c:pt>
                <c:pt idx="1">
                  <c:v>1.9375994900571181E-2</c:v>
                </c:pt>
                <c:pt idx="2">
                  <c:v>-9.9356307890697937E-2</c:v>
                </c:pt>
                <c:pt idx="3">
                  <c:v>-0.11143499583776573</c:v>
                </c:pt>
                <c:pt idx="4">
                  <c:v>-0.10999068147235758</c:v>
                </c:pt>
              </c:numCache>
            </c:numRef>
          </c:val>
          <c:extLst>
            <c:ext xmlns:c16="http://schemas.microsoft.com/office/drawing/2014/chart" uri="{C3380CC4-5D6E-409C-BE32-E72D297353CC}">
              <c16:uniqueId val="{00000000-ED98-44F1-B1C3-7E685E3020C3}"/>
            </c:ext>
          </c:extLst>
        </c:ser>
        <c:ser>
          <c:idx val="1"/>
          <c:order val="1"/>
          <c:tx>
            <c:strRef>
              <c:f>Analysis!$W$4455</c:f>
              <c:strCache>
                <c:ptCount val="1"/>
                <c:pt idx="0">
                  <c:v>EBITDA</c:v>
                </c:pt>
              </c:strCache>
            </c:strRef>
          </c:tx>
          <c:spPr>
            <a:solidFill>
              <a:srgbClr val="9999FF"/>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Analysis!$X$4453:$AB$4453</c:f>
              <c:numCache>
                <c:formatCode>General</c:formatCode>
                <c:ptCount val="5"/>
                <c:pt idx="0">
                  <c:v>2020</c:v>
                </c:pt>
                <c:pt idx="1">
                  <c:v>2021</c:v>
                </c:pt>
                <c:pt idx="2">
                  <c:v>2022</c:v>
                </c:pt>
                <c:pt idx="3">
                  <c:v>2023</c:v>
                </c:pt>
                <c:pt idx="4">
                  <c:v>2024</c:v>
                </c:pt>
              </c:numCache>
            </c:numRef>
          </c:cat>
          <c:val>
            <c:numRef>
              <c:f>Analysis!$X$4455:$AB$4455</c:f>
              <c:numCache>
                <c:formatCode>0.0%</c:formatCode>
                <c:ptCount val="5"/>
                <c:pt idx="0">
                  <c:v>-2.4175588188101949E-2</c:v>
                </c:pt>
                <c:pt idx="1">
                  <c:v>3.8552471646569053E-3</c:v>
                </c:pt>
                <c:pt idx="2">
                  <c:v>-3.2696826329496331E-2</c:v>
                </c:pt>
                <c:pt idx="3">
                  <c:v>-7.6395254825791237E-2</c:v>
                </c:pt>
                <c:pt idx="4">
                  <c:v>-3.330385308728312E-3</c:v>
                </c:pt>
              </c:numCache>
            </c:numRef>
          </c:val>
          <c:extLst>
            <c:ext xmlns:c16="http://schemas.microsoft.com/office/drawing/2014/chart" uri="{C3380CC4-5D6E-409C-BE32-E72D297353CC}">
              <c16:uniqueId val="{00000001-ED98-44F1-B1C3-7E685E3020C3}"/>
            </c:ext>
          </c:extLst>
        </c:ser>
        <c:dLbls>
          <c:showLegendKey val="0"/>
          <c:showVal val="0"/>
          <c:showCatName val="0"/>
          <c:showSerName val="0"/>
          <c:showPercent val="0"/>
          <c:showBubbleSize val="0"/>
        </c:dLbls>
        <c:gapWidth val="219"/>
        <c:overlap val="-27"/>
        <c:axId val="1115265647"/>
        <c:axId val="1"/>
      </c:barChart>
      <c:catAx>
        <c:axId val="1115265647"/>
        <c:scaling>
          <c:orientation val="minMax"/>
        </c:scaling>
        <c:delete val="0"/>
        <c:axPos val="b"/>
        <c:numFmt formatCode="General" sourceLinked="1"/>
        <c:majorTickMark val="none"/>
        <c:minorTickMark val="none"/>
        <c:tickLblPos val="high"/>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5647"/>
        <c:crosses val="autoZero"/>
        <c:crossBetween val="between"/>
      </c:valAx>
      <c:spPr>
        <a:noFill/>
        <a:ln w="25400">
          <a:noFill/>
        </a:ln>
      </c:spPr>
    </c:plotArea>
    <c:legend>
      <c:legendPos val="r"/>
      <c:layout>
        <c:manualLayout>
          <c:xMode val="edge"/>
          <c:yMode val="edge"/>
          <c:x val="0.20671039089951343"/>
          <c:y val="0.40690918021212258"/>
          <c:w val="0.21602158198902632"/>
          <c:h val="4.5978419364246126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Analysis!$W$4456</c:f>
              <c:strCache>
                <c:ptCount val="1"/>
                <c:pt idx="0">
                  <c:v>Capex</c:v>
                </c:pt>
              </c:strCache>
            </c:strRef>
          </c:tx>
          <c:spPr>
            <a:solidFill>
              <a:srgbClr val="000080"/>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Analysis!$X$4453:$AB$4453</c:f>
              <c:numCache>
                <c:formatCode>General</c:formatCode>
                <c:ptCount val="5"/>
                <c:pt idx="0">
                  <c:v>2020</c:v>
                </c:pt>
                <c:pt idx="1">
                  <c:v>2021</c:v>
                </c:pt>
                <c:pt idx="2">
                  <c:v>2022</c:v>
                </c:pt>
                <c:pt idx="3">
                  <c:v>2023</c:v>
                </c:pt>
                <c:pt idx="4">
                  <c:v>2024</c:v>
                </c:pt>
              </c:numCache>
            </c:numRef>
          </c:cat>
          <c:val>
            <c:numRef>
              <c:f>Analysis!$X$4456:$AB$4456</c:f>
              <c:numCache>
                <c:formatCode>0.0%</c:formatCode>
                <c:ptCount val="5"/>
                <c:pt idx="0">
                  <c:v>-2.9813235935363336E-2</c:v>
                </c:pt>
                <c:pt idx="1">
                  <c:v>0.11941775512274089</c:v>
                </c:pt>
                <c:pt idx="2">
                  <c:v>-8.7574469262152732E-3</c:v>
                </c:pt>
                <c:pt idx="3">
                  <c:v>-0.16334831209899103</c:v>
                </c:pt>
                <c:pt idx="4">
                  <c:v>-0.23847092171750861</c:v>
                </c:pt>
              </c:numCache>
            </c:numRef>
          </c:val>
          <c:extLst>
            <c:ext xmlns:c16="http://schemas.microsoft.com/office/drawing/2014/chart" uri="{C3380CC4-5D6E-409C-BE32-E72D297353CC}">
              <c16:uniqueId val="{00000000-A881-4FAC-8270-89434759FA0A}"/>
            </c:ext>
          </c:extLst>
        </c:ser>
        <c:ser>
          <c:idx val="1"/>
          <c:order val="1"/>
          <c:tx>
            <c:strRef>
              <c:f>Analysis!$W$4457</c:f>
              <c:strCache>
                <c:ptCount val="1"/>
                <c:pt idx="0">
                  <c:v>OpFCF</c:v>
                </c:pt>
              </c:strCache>
            </c:strRef>
          </c:tx>
          <c:spPr>
            <a:solidFill>
              <a:srgbClr val="9999FF"/>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Analysis!$X$4453:$AB$4453</c:f>
              <c:numCache>
                <c:formatCode>General</c:formatCode>
                <c:ptCount val="5"/>
                <c:pt idx="0">
                  <c:v>2020</c:v>
                </c:pt>
                <c:pt idx="1">
                  <c:v>2021</c:v>
                </c:pt>
                <c:pt idx="2">
                  <c:v>2022</c:v>
                </c:pt>
                <c:pt idx="3">
                  <c:v>2023</c:v>
                </c:pt>
                <c:pt idx="4">
                  <c:v>2024</c:v>
                </c:pt>
              </c:numCache>
            </c:numRef>
          </c:cat>
          <c:val>
            <c:numRef>
              <c:f>Analysis!$X$4457:$AB$4457</c:f>
              <c:numCache>
                <c:formatCode>0.0%</c:formatCode>
                <c:ptCount val="5"/>
                <c:pt idx="0">
                  <c:v>-2.0346863636544477E-2</c:v>
                </c:pt>
                <c:pt idx="1">
                  <c:v>-7.266244683602141E-2</c:v>
                </c:pt>
                <c:pt idx="2">
                  <c:v>-4.746765592085489E-2</c:v>
                </c:pt>
                <c:pt idx="3">
                  <c:v>-2.6807700322847405E-2</c:v>
                </c:pt>
                <c:pt idx="4">
                  <c:v>0.1256389027101894</c:v>
                </c:pt>
              </c:numCache>
            </c:numRef>
          </c:val>
          <c:extLst>
            <c:ext xmlns:c16="http://schemas.microsoft.com/office/drawing/2014/chart" uri="{C3380CC4-5D6E-409C-BE32-E72D297353CC}">
              <c16:uniqueId val="{00000001-A881-4FAC-8270-89434759FA0A}"/>
            </c:ext>
          </c:extLst>
        </c:ser>
        <c:dLbls>
          <c:showLegendKey val="0"/>
          <c:showVal val="0"/>
          <c:showCatName val="0"/>
          <c:showSerName val="0"/>
          <c:showPercent val="0"/>
          <c:showBubbleSize val="0"/>
        </c:dLbls>
        <c:gapWidth val="219"/>
        <c:overlap val="-27"/>
        <c:axId val="1115268847"/>
        <c:axId val="1"/>
      </c:barChart>
      <c:catAx>
        <c:axId val="1115268847"/>
        <c:scaling>
          <c:orientation val="minMax"/>
        </c:scaling>
        <c:delete val="0"/>
        <c:axPos val="b"/>
        <c:numFmt formatCode="General" sourceLinked="1"/>
        <c:majorTickMark val="none"/>
        <c:minorTickMark val="none"/>
        <c:tickLblPos val="high"/>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8847"/>
        <c:crosses val="autoZero"/>
        <c:crossBetween val="between"/>
      </c:valAx>
      <c:spPr>
        <a:noFill/>
        <a:ln w="25400">
          <a:noFill/>
        </a:ln>
      </c:spPr>
    </c:plotArea>
    <c:legend>
      <c:legendPos val="r"/>
      <c:layout>
        <c:manualLayout>
          <c:xMode val="edge"/>
          <c:yMode val="edge"/>
          <c:x val="0.20416545154077961"/>
          <c:y val="0.39584578320671793"/>
          <c:w val="0.17202828813065033"/>
          <c:h val="4.6297673201406986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Analysis!$B$4607</c:f>
              <c:strCache>
                <c:ptCount val="1"/>
                <c:pt idx="0">
                  <c:v>EFCF new</c:v>
                </c:pt>
              </c:strCache>
            </c:strRef>
          </c:tx>
          <c:spPr>
            <a:solidFill>
              <a:srgbClr val="000080"/>
            </a:solidFill>
            <a:ln w="25400">
              <a:noFill/>
            </a:ln>
          </c:spPr>
          <c:invertIfNegative val="0"/>
          <c:cat>
            <c:numRef>
              <c:f>Analysis!$C$4606:$G$4606</c:f>
              <c:numCache>
                <c:formatCode>General</c:formatCode>
                <c:ptCount val="5"/>
                <c:pt idx="0">
                  <c:v>2020</c:v>
                </c:pt>
                <c:pt idx="1">
                  <c:v>2021</c:v>
                </c:pt>
                <c:pt idx="2">
                  <c:v>2022</c:v>
                </c:pt>
                <c:pt idx="3">
                  <c:v>2023</c:v>
                </c:pt>
                <c:pt idx="4">
                  <c:v>2024</c:v>
                </c:pt>
              </c:numCache>
            </c:numRef>
          </c:cat>
          <c:val>
            <c:numRef>
              <c:f>Analysis!$C$4607:$G$4607</c:f>
              <c:numCache>
                <c:formatCode>#,##0</c:formatCode>
                <c:ptCount val="5"/>
                <c:pt idx="0">
                  <c:v>424.51142204733435</c:v>
                </c:pt>
                <c:pt idx="1">
                  <c:v>577.94706701228108</c:v>
                </c:pt>
                <c:pt idx="2">
                  <c:v>351.13499999999976</c:v>
                </c:pt>
                <c:pt idx="3">
                  <c:v>267.28549999999996</c:v>
                </c:pt>
                <c:pt idx="4">
                  <c:v>963.64580000000024</c:v>
                </c:pt>
              </c:numCache>
            </c:numRef>
          </c:val>
          <c:extLst>
            <c:ext xmlns:c16="http://schemas.microsoft.com/office/drawing/2014/chart" uri="{C3380CC4-5D6E-409C-BE32-E72D297353CC}">
              <c16:uniqueId val="{00000000-18FC-4EE6-BD19-0AE3852619A7}"/>
            </c:ext>
          </c:extLst>
        </c:ser>
        <c:ser>
          <c:idx val="1"/>
          <c:order val="1"/>
          <c:tx>
            <c:strRef>
              <c:f>Analysis!$B$4608</c:f>
              <c:strCache>
                <c:ptCount val="1"/>
                <c:pt idx="0">
                  <c:v>EFCF old</c:v>
                </c:pt>
              </c:strCache>
            </c:strRef>
          </c:tx>
          <c:spPr>
            <a:solidFill>
              <a:srgbClr val="9999FF"/>
            </a:solidFill>
            <a:ln w="25400">
              <a:noFill/>
            </a:ln>
          </c:spPr>
          <c:invertIfNegative val="0"/>
          <c:cat>
            <c:numRef>
              <c:f>Analysis!$C$4606:$G$4606</c:f>
              <c:numCache>
                <c:formatCode>General</c:formatCode>
                <c:ptCount val="5"/>
                <c:pt idx="0">
                  <c:v>2020</c:v>
                </c:pt>
                <c:pt idx="1">
                  <c:v>2021</c:v>
                </c:pt>
                <c:pt idx="2">
                  <c:v>2022</c:v>
                </c:pt>
                <c:pt idx="3">
                  <c:v>2023</c:v>
                </c:pt>
                <c:pt idx="4">
                  <c:v>2024</c:v>
                </c:pt>
              </c:numCache>
            </c:numRef>
          </c:cat>
          <c:val>
            <c:numRef>
              <c:f>Analysis!$C$4608:$G$4608</c:f>
              <c:numCache>
                <c:formatCode>0</c:formatCode>
                <c:ptCount val="5"/>
                <c:pt idx="0">
                  <c:v>334.16667712592897</c:v>
                </c:pt>
                <c:pt idx="1">
                  <c:v>390.4593177412907</c:v>
                </c:pt>
                <c:pt idx="2">
                  <c:v>435.67728386500454</c:v>
                </c:pt>
                <c:pt idx="3">
                  <c:v>502.77095018500819</c:v>
                </c:pt>
                <c:pt idx="4">
                  <c:v>576.16322551040344</c:v>
                </c:pt>
              </c:numCache>
            </c:numRef>
          </c:val>
          <c:extLst>
            <c:ext xmlns:c16="http://schemas.microsoft.com/office/drawing/2014/chart" uri="{C3380CC4-5D6E-409C-BE32-E72D297353CC}">
              <c16:uniqueId val="{00000001-18FC-4EE6-BD19-0AE3852619A7}"/>
            </c:ext>
          </c:extLst>
        </c:ser>
        <c:dLbls>
          <c:showLegendKey val="0"/>
          <c:showVal val="0"/>
          <c:showCatName val="0"/>
          <c:showSerName val="0"/>
          <c:showPercent val="0"/>
          <c:showBubbleSize val="0"/>
        </c:dLbls>
        <c:gapWidth val="219"/>
        <c:overlap val="-27"/>
        <c:axId val="1115261247"/>
        <c:axId val="1"/>
      </c:barChart>
      <c:catAx>
        <c:axId val="111526124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1247"/>
        <c:crosses val="autoZero"/>
        <c:crossBetween val="between"/>
      </c:valAx>
      <c:spPr>
        <a:noFill/>
        <a:ln w="25400">
          <a:noFill/>
        </a:ln>
      </c:spPr>
    </c:plotArea>
    <c:legend>
      <c:legendPos val="r"/>
      <c:layout>
        <c:manualLayout>
          <c:xMode val="edge"/>
          <c:yMode val="edge"/>
          <c:x val="0.18217626411156437"/>
          <c:y val="0.46381603161673757"/>
          <c:w val="0.23062732821047974"/>
          <c:h val="4.5250550577729531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strRef>
              <c:f>Analysis!$B$4619:$B$4625</c:f>
              <c:strCache>
                <c:ptCount val="7"/>
                <c:pt idx="0">
                  <c:v>Televisa</c:v>
                </c:pt>
                <c:pt idx="1">
                  <c:v>Millicom</c:v>
                </c:pt>
                <c:pt idx="2">
                  <c:v>MEGA</c:v>
                </c:pt>
                <c:pt idx="3">
                  <c:v>TIM</c:v>
                </c:pt>
                <c:pt idx="4">
                  <c:v>AMX</c:v>
                </c:pt>
                <c:pt idx="5">
                  <c:v>TEF (Parent)</c:v>
                </c:pt>
                <c:pt idx="6">
                  <c:v>Vivo</c:v>
                </c:pt>
              </c:strCache>
            </c:strRef>
          </c:cat>
          <c:val>
            <c:numRef>
              <c:f>Analysis!$C$4619:$C$4625</c:f>
              <c:numCache>
                <c:formatCode>0.0%</c:formatCode>
                <c:ptCount val="7"/>
                <c:pt idx="0">
                  <c:v>7.3999999999999996E-2</c:v>
                </c:pt>
                <c:pt idx="1">
                  <c:v>7.0000000000000007E-2</c:v>
                </c:pt>
                <c:pt idx="2">
                  <c:v>6.6000000000000003E-2</c:v>
                </c:pt>
                <c:pt idx="3">
                  <c:v>5.0999999999999997E-2</c:v>
                </c:pt>
                <c:pt idx="4">
                  <c:v>4.2000000000000003E-2</c:v>
                </c:pt>
                <c:pt idx="5">
                  <c:v>3.6999999999999998E-2</c:v>
                </c:pt>
                <c:pt idx="6">
                  <c:v>1.6E-2</c:v>
                </c:pt>
              </c:numCache>
            </c:numRef>
          </c:val>
          <c:extLst>
            <c:ext xmlns:c16="http://schemas.microsoft.com/office/drawing/2014/chart" uri="{C3380CC4-5D6E-409C-BE32-E72D297353CC}">
              <c16:uniqueId val="{00000000-DD15-4CD9-96C5-2FD5C1EDD2A4}"/>
            </c:ext>
          </c:extLst>
        </c:ser>
        <c:dLbls>
          <c:showLegendKey val="0"/>
          <c:showVal val="0"/>
          <c:showCatName val="0"/>
          <c:showSerName val="0"/>
          <c:showPercent val="0"/>
          <c:showBubbleSize val="0"/>
        </c:dLbls>
        <c:gapWidth val="219"/>
        <c:overlap val="-27"/>
        <c:axId val="1115266447"/>
        <c:axId val="1"/>
      </c:barChart>
      <c:catAx>
        <c:axId val="111526644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6447"/>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18364300741091"/>
          <c:y val="5.4825551140033957E-2"/>
          <c:w val="0.78024189550460321"/>
          <c:h val="0.64124152990366867"/>
        </c:manualLayout>
      </c:layout>
      <c:barChart>
        <c:barDir val="col"/>
        <c:grouping val="clustered"/>
        <c:varyColors val="0"/>
        <c:ser>
          <c:idx val="0"/>
          <c:order val="0"/>
          <c:tx>
            <c:strRef>
              <c:f>Analysis!$B$4643</c:f>
              <c:strCache>
                <c:ptCount val="1"/>
                <c:pt idx="0">
                  <c:v>HPs added</c:v>
                </c:pt>
              </c:strCache>
            </c:strRef>
          </c:tx>
          <c:spPr>
            <a:solidFill>
              <a:srgbClr val="000080"/>
            </a:solidFill>
            <a:ln w="25400">
              <a:noFill/>
            </a:ln>
          </c:spPr>
          <c:invertIfNegative val="0"/>
          <c:cat>
            <c:strRef>
              <c:f>Analysis!$I$4641:$V$4641</c:f>
              <c:strCache>
                <c:ptCount val="14"/>
                <c:pt idx="0">
                  <c:v>Q3 18</c:v>
                </c:pt>
                <c:pt idx="1">
                  <c:v>Q4 18</c:v>
                </c:pt>
                <c:pt idx="2">
                  <c:v>Q1 19</c:v>
                </c:pt>
                <c:pt idx="3">
                  <c:v>Q2 19</c:v>
                </c:pt>
                <c:pt idx="4">
                  <c:v>Q3 19</c:v>
                </c:pt>
                <c:pt idx="5">
                  <c:v>Q4 19</c:v>
                </c:pt>
                <c:pt idx="6">
                  <c:v>Q1 20</c:v>
                </c:pt>
                <c:pt idx="7">
                  <c:v>Q2 20</c:v>
                </c:pt>
                <c:pt idx="8">
                  <c:v>Q3 20</c:v>
                </c:pt>
                <c:pt idx="9">
                  <c:v>Q4 20</c:v>
                </c:pt>
                <c:pt idx="10">
                  <c:v>Q1 21</c:v>
                </c:pt>
                <c:pt idx="11">
                  <c:v>Q2 21</c:v>
                </c:pt>
                <c:pt idx="12">
                  <c:v>Q3 21</c:v>
                </c:pt>
                <c:pt idx="13">
                  <c:v>Q4 21</c:v>
                </c:pt>
              </c:strCache>
            </c:strRef>
          </c:cat>
          <c:val>
            <c:numRef>
              <c:f>Analysis!$I$4643:$V$4643</c:f>
              <c:numCache>
                <c:formatCode>#,##0</c:formatCode>
                <c:ptCount val="14"/>
                <c:pt idx="0">
                  <c:v>0</c:v>
                </c:pt>
                <c:pt idx="1">
                  <c:v>0</c:v>
                </c:pt>
                <c:pt idx="2">
                  <c:v>0</c:v>
                </c:pt>
                <c:pt idx="3">
                  <c:v>0</c:v>
                </c:pt>
                <c:pt idx="4">
                  <c:v>0</c:v>
                </c:pt>
                <c:pt idx="5">
                  <c:v>0</c:v>
                </c:pt>
                <c:pt idx="6">
                  <c:v>11570.433000000001</c:v>
                </c:pt>
                <c:pt idx="7">
                  <c:v>59.368999999998778</c:v>
                </c:pt>
                <c:pt idx="8">
                  <c:v>132.07899999999972</c:v>
                </c:pt>
                <c:pt idx="9">
                  <c:v>126.53200000000106</c:v>
                </c:pt>
                <c:pt idx="10">
                  <c:v>60.586999999999534</c:v>
                </c:pt>
                <c:pt idx="11">
                  <c:v>164</c:v>
                </c:pt>
                <c:pt idx="12">
                  <c:v>150</c:v>
                </c:pt>
                <c:pt idx="13">
                  <c:v>150</c:v>
                </c:pt>
              </c:numCache>
            </c:numRef>
          </c:val>
          <c:extLst>
            <c:ext xmlns:c16="http://schemas.microsoft.com/office/drawing/2014/chart" uri="{C3380CC4-5D6E-409C-BE32-E72D297353CC}">
              <c16:uniqueId val="{00000000-58A9-4C68-BEC2-29AE783E0EE2}"/>
            </c:ext>
          </c:extLst>
        </c:ser>
        <c:dLbls>
          <c:showLegendKey val="0"/>
          <c:showVal val="0"/>
          <c:showCatName val="0"/>
          <c:showSerName val="0"/>
          <c:showPercent val="0"/>
          <c:showBubbleSize val="0"/>
        </c:dLbls>
        <c:gapWidth val="219"/>
        <c:overlap val="-27"/>
        <c:axId val="1115263247"/>
        <c:axId val="1"/>
      </c:barChart>
      <c:lineChart>
        <c:grouping val="standard"/>
        <c:varyColors val="0"/>
        <c:ser>
          <c:idx val="1"/>
          <c:order val="1"/>
          <c:tx>
            <c:strRef>
              <c:f>Analysis!$B$4644</c:f>
              <c:strCache>
                <c:ptCount val="1"/>
                <c:pt idx="0">
                  <c:v>Old run rate and new target</c:v>
                </c:pt>
              </c:strCache>
            </c:strRef>
          </c:tx>
          <c:spPr>
            <a:ln w="28575" cap="rnd">
              <a:solidFill>
                <a:schemeClr val="accent2"/>
              </a:solidFill>
              <a:round/>
            </a:ln>
            <a:effectLst/>
          </c:spPr>
          <c:marker>
            <c:symbol val="none"/>
          </c:marker>
          <c:cat>
            <c:strRef>
              <c:f>Analysis!$I$4641:$V$4641</c:f>
              <c:strCache>
                <c:ptCount val="14"/>
                <c:pt idx="0">
                  <c:v>Q3 18</c:v>
                </c:pt>
                <c:pt idx="1">
                  <c:v>Q4 18</c:v>
                </c:pt>
                <c:pt idx="2">
                  <c:v>Q1 19</c:v>
                </c:pt>
                <c:pt idx="3">
                  <c:v>Q2 19</c:v>
                </c:pt>
                <c:pt idx="4">
                  <c:v>Q3 19</c:v>
                </c:pt>
                <c:pt idx="5">
                  <c:v>Q4 19</c:v>
                </c:pt>
                <c:pt idx="6">
                  <c:v>Q1 20</c:v>
                </c:pt>
                <c:pt idx="7">
                  <c:v>Q2 20</c:v>
                </c:pt>
                <c:pt idx="8">
                  <c:v>Q3 20</c:v>
                </c:pt>
                <c:pt idx="9">
                  <c:v>Q4 20</c:v>
                </c:pt>
                <c:pt idx="10">
                  <c:v>Q1 21</c:v>
                </c:pt>
                <c:pt idx="11">
                  <c:v>Q2 21</c:v>
                </c:pt>
                <c:pt idx="12">
                  <c:v>Q3 21</c:v>
                </c:pt>
                <c:pt idx="13">
                  <c:v>Q4 21</c:v>
                </c:pt>
              </c:strCache>
            </c:strRef>
          </c:cat>
          <c:val>
            <c:numRef>
              <c:f>Analysis!$I$4644:$V$4644</c:f>
              <c:numCache>
                <c:formatCode>General</c:formatCode>
                <c:ptCount val="14"/>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numCache>
            </c:numRef>
          </c:val>
          <c:smooth val="0"/>
          <c:extLst>
            <c:ext xmlns:c16="http://schemas.microsoft.com/office/drawing/2014/chart" uri="{C3380CC4-5D6E-409C-BE32-E72D297353CC}">
              <c16:uniqueId val="{00000001-58A9-4C68-BEC2-29AE783E0EE2}"/>
            </c:ext>
          </c:extLst>
        </c:ser>
        <c:dLbls>
          <c:showLegendKey val="0"/>
          <c:showVal val="0"/>
          <c:showCatName val="0"/>
          <c:showSerName val="0"/>
          <c:showPercent val="0"/>
          <c:showBubbleSize val="0"/>
        </c:dLbls>
        <c:marker val="1"/>
        <c:smooth val="0"/>
        <c:axId val="1115263247"/>
        <c:axId val="1"/>
      </c:lineChart>
      <c:catAx>
        <c:axId val="111526324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max val="400"/>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000s</a:t>
                </a:r>
              </a:p>
            </c:rich>
          </c:tx>
          <c:overlay val="0"/>
          <c:spPr>
            <a:noFill/>
            <a:ln w="25400">
              <a:noFill/>
            </a:ln>
          </c:spPr>
        </c:title>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3247"/>
        <c:crosses val="autoZero"/>
        <c:crossBetween val="between"/>
      </c:valAx>
      <c:spPr>
        <a:noFill/>
        <a:ln w="25400">
          <a:noFill/>
        </a:ln>
      </c:spPr>
    </c:plotArea>
    <c:legend>
      <c:legendPos val="b"/>
      <c:overlay val="0"/>
      <c:spPr>
        <a:noFill/>
        <a:ln w="25400">
          <a:noFill/>
        </a:ln>
      </c:spPr>
      <c:txPr>
        <a:bodyPr/>
        <a:lstStyle/>
        <a:p>
          <a:pPr>
            <a:defRPr sz="100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Analysis!$B$4683</c:f>
              <c:strCache>
                <c:ptCount val="1"/>
                <c:pt idx="0">
                  <c:v>El Salvador</c:v>
                </c:pt>
              </c:strCache>
            </c:strRef>
          </c:tx>
          <c:spPr>
            <a:solidFill>
              <a:srgbClr val="000080"/>
            </a:solidFill>
            <a:ln w="25400">
              <a:noFill/>
            </a:ln>
          </c:spPr>
          <c:invertIfNegative val="0"/>
          <c:cat>
            <c:numRef>
              <c:f>Analysis!$K$4682:$R$4682</c:f>
              <c:numCache>
                <c:formatCode>mmm\-yy</c:formatCode>
                <c:ptCount val="8"/>
                <c:pt idx="0">
                  <c:v>43831</c:v>
                </c:pt>
                <c:pt idx="1">
                  <c:v>43862</c:v>
                </c:pt>
                <c:pt idx="2">
                  <c:v>43891</c:v>
                </c:pt>
                <c:pt idx="3">
                  <c:v>43922</c:v>
                </c:pt>
                <c:pt idx="4">
                  <c:v>43952</c:v>
                </c:pt>
                <c:pt idx="5">
                  <c:v>43983</c:v>
                </c:pt>
                <c:pt idx="6">
                  <c:v>44013</c:v>
                </c:pt>
                <c:pt idx="7">
                  <c:v>44044</c:v>
                </c:pt>
              </c:numCache>
            </c:numRef>
          </c:cat>
          <c:val>
            <c:numRef>
              <c:f>Analysis!$K$4684:$R$4684</c:f>
              <c:numCache>
                <c:formatCode>0%</c:formatCode>
                <c:ptCount val="8"/>
                <c:pt idx="0">
                  <c:v>6.5326633165829096E-2</c:v>
                </c:pt>
                <c:pt idx="1">
                  <c:v>0.10864197530864206</c:v>
                </c:pt>
                <c:pt idx="2">
                  <c:v>-0.10569105691056913</c:v>
                </c:pt>
                <c:pt idx="3">
                  <c:v>-0.40083507306889354</c:v>
                </c:pt>
                <c:pt idx="4">
                  <c:v>-0.18181818181818177</c:v>
                </c:pt>
                <c:pt idx="5">
                  <c:v>9.7192224622030254E-2</c:v>
                </c:pt>
                <c:pt idx="6">
                  <c:v>0.14020618556701026</c:v>
                </c:pt>
                <c:pt idx="7">
                  <c:v>0.18683651804670909</c:v>
                </c:pt>
              </c:numCache>
            </c:numRef>
          </c:val>
          <c:extLst>
            <c:ext xmlns:c16="http://schemas.microsoft.com/office/drawing/2014/chart" uri="{C3380CC4-5D6E-409C-BE32-E72D297353CC}">
              <c16:uniqueId val="{00000000-EA35-46B8-B724-A4A6163A5965}"/>
            </c:ext>
          </c:extLst>
        </c:ser>
        <c:ser>
          <c:idx val="1"/>
          <c:order val="1"/>
          <c:tx>
            <c:strRef>
              <c:f>Analysis!$B$4685</c:f>
              <c:strCache>
                <c:ptCount val="1"/>
                <c:pt idx="0">
                  <c:v>Guatemala</c:v>
                </c:pt>
              </c:strCache>
            </c:strRef>
          </c:tx>
          <c:spPr>
            <a:solidFill>
              <a:srgbClr val="9999FF"/>
            </a:solidFill>
            <a:ln w="25400">
              <a:noFill/>
            </a:ln>
          </c:spPr>
          <c:invertIfNegative val="0"/>
          <c:val>
            <c:numRef>
              <c:f>Analysis!$K$4686:$R$4686</c:f>
              <c:numCache>
                <c:formatCode>0%</c:formatCode>
                <c:ptCount val="8"/>
                <c:pt idx="0">
                  <c:v>0.18741633199464536</c:v>
                </c:pt>
                <c:pt idx="1">
                  <c:v>0.16081081081081083</c:v>
                </c:pt>
                <c:pt idx="2">
                  <c:v>-9.9999999999999978E-2</c:v>
                </c:pt>
                <c:pt idx="3">
                  <c:v>-0.20633187772925765</c:v>
                </c:pt>
                <c:pt idx="4">
                  <c:v>-0.15718418514946964</c:v>
                </c:pt>
                <c:pt idx="5">
                  <c:v>9.061488673139162E-2</c:v>
                </c:pt>
                <c:pt idx="6">
                  <c:v>0.11210317460317465</c:v>
                </c:pt>
                <c:pt idx="7">
                  <c:v>6.0077519379845068E-2</c:v>
                </c:pt>
              </c:numCache>
            </c:numRef>
          </c:val>
          <c:extLst>
            <c:ext xmlns:c16="http://schemas.microsoft.com/office/drawing/2014/chart" uri="{C3380CC4-5D6E-409C-BE32-E72D297353CC}">
              <c16:uniqueId val="{00000001-EA35-46B8-B724-A4A6163A5965}"/>
            </c:ext>
          </c:extLst>
        </c:ser>
        <c:dLbls>
          <c:showLegendKey val="0"/>
          <c:showVal val="0"/>
          <c:showCatName val="0"/>
          <c:showSerName val="0"/>
          <c:showPercent val="0"/>
          <c:showBubbleSize val="0"/>
        </c:dLbls>
        <c:gapWidth val="219"/>
        <c:overlap val="-27"/>
        <c:axId val="1115261647"/>
        <c:axId val="1"/>
      </c:barChart>
      <c:dateAx>
        <c:axId val="1115261647"/>
        <c:scaling>
          <c:orientation val="minMax"/>
        </c:scaling>
        <c:delete val="0"/>
        <c:axPos val="b"/>
        <c:numFmt formatCode="mmm\-yy" sourceLinked="0"/>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y/y</a:t>
                </a:r>
              </a:p>
            </c:rich>
          </c:tx>
          <c:overlay val="0"/>
          <c:spPr>
            <a:noFill/>
            <a:ln w="25400">
              <a:noFill/>
            </a:ln>
          </c:spPr>
        </c:title>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1647"/>
        <c:crosses val="autoZero"/>
        <c:crossBetween val="between"/>
      </c:valAx>
      <c:spPr>
        <a:noFill/>
        <a:ln w="25400">
          <a:noFill/>
        </a:ln>
      </c:spPr>
    </c:plotArea>
    <c:legend>
      <c:legendPos val="r"/>
      <c:layout>
        <c:manualLayout>
          <c:xMode val="edge"/>
          <c:yMode val="edge"/>
          <c:x val="0.14070795204653472"/>
          <c:y val="0.46077532640688285"/>
          <c:w val="0.23283819252323193"/>
          <c:h val="5.0634533303145435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numRef>
              <c:f>Analysis!$K$4682:$R$4682</c:f>
              <c:numCache>
                <c:formatCode>mmm\-yy</c:formatCode>
                <c:ptCount val="8"/>
                <c:pt idx="0">
                  <c:v>43831</c:v>
                </c:pt>
                <c:pt idx="1">
                  <c:v>43862</c:v>
                </c:pt>
                <c:pt idx="2">
                  <c:v>43891</c:v>
                </c:pt>
                <c:pt idx="3">
                  <c:v>43922</c:v>
                </c:pt>
                <c:pt idx="4">
                  <c:v>43952</c:v>
                </c:pt>
                <c:pt idx="5">
                  <c:v>43983</c:v>
                </c:pt>
                <c:pt idx="6">
                  <c:v>44013</c:v>
                </c:pt>
                <c:pt idx="7">
                  <c:v>44044</c:v>
                </c:pt>
              </c:numCache>
            </c:numRef>
          </c:cat>
          <c:val>
            <c:numRef>
              <c:f>Analysis!$K$4686:$R$4686</c:f>
              <c:numCache>
                <c:formatCode>0%</c:formatCode>
                <c:ptCount val="8"/>
                <c:pt idx="0">
                  <c:v>0.18741633199464536</c:v>
                </c:pt>
                <c:pt idx="1">
                  <c:v>0.16081081081081083</c:v>
                </c:pt>
                <c:pt idx="2">
                  <c:v>-9.9999999999999978E-2</c:v>
                </c:pt>
                <c:pt idx="3">
                  <c:v>-0.20633187772925765</c:v>
                </c:pt>
                <c:pt idx="4">
                  <c:v>-0.15718418514946964</c:v>
                </c:pt>
                <c:pt idx="5">
                  <c:v>9.061488673139162E-2</c:v>
                </c:pt>
                <c:pt idx="6">
                  <c:v>0.11210317460317465</c:v>
                </c:pt>
                <c:pt idx="7">
                  <c:v>6.0077519379845068E-2</c:v>
                </c:pt>
              </c:numCache>
            </c:numRef>
          </c:val>
          <c:extLst>
            <c:ext xmlns:c16="http://schemas.microsoft.com/office/drawing/2014/chart" uri="{C3380CC4-5D6E-409C-BE32-E72D297353CC}">
              <c16:uniqueId val="{00000000-A770-480B-8AED-B9211A48C0AE}"/>
            </c:ext>
          </c:extLst>
        </c:ser>
        <c:dLbls>
          <c:showLegendKey val="0"/>
          <c:showVal val="0"/>
          <c:showCatName val="0"/>
          <c:showSerName val="0"/>
          <c:showPercent val="0"/>
          <c:showBubbleSize val="0"/>
        </c:dLbls>
        <c:gapWidth val="219"/>
        <c:overlap val="-27"/>
        <c:axId val="1115264447"/>
        <c:axId val="1"/>
      </c:barChart>
      <c:dateAx>
        <c:axId val="1115264447"/>
        <c:scaling>
          <c:orientation val="minMax"/>
        </c:scaling>
        <c:delete val="0"/>
        <c:axPos val="b"/>
        <c:numFmt formatCode="mmm\-yy" sourceLinked="0"/>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Offset val="100"/>
        <c:baseTimeUnit val="months"/>
      </c:date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y/y</a:t>
                </a:r>
              </a:p>
            </c:rich>
          </c:tx>
          <c:overlay val="0"/>
          <c:spPr>
            <a:noFill/>
            <a:ln w="25400">
              <a:noFill/>
            </a:ln>
          </c:spPr>
        </c:title>
        <c:numFmt formatCode="0%"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4447"/>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Analysis!$B$4710</c:f>
              <c:strCache>
                <c:ptCount val="1"/>
                <c:pt idx="0">
                  <c:v>Service revenue</c:v>
                </c:pt>
              </c:strCache>
            </c:strRef>
          </c:tx>
          <c:spPr>
            <a:solidFill>
              <a:srgbClr val="000080"/>
            </a:solidFill>
            <a:ln w="25400">
              <a:noFill/>
            </a:ln>
          </c:spPr>
          <c:invertIfNegative val="0"/>
          <c:cat>
            <c:strRef>
              <c:f>Analysis!$C$4709:$K$4709</c:f>
              <c:strCache>
                <c:ptCount val="9"/>
                <c:pt idx="0">
                  <c:v>Q4 19</c:v>
                </c:pt>
                <c:pt idx="1">
                  <c:v>Q1 20</c:v>
                </c:pt>
                <c:pt idx="2">
                  <c:v>Q2 20</c:v>
                </c:pt>
                <c:pt idx="3">
                  <c:v>Q3 20e</c:v>
                </c:pt>
                <c:pt idx="4">
                  <c:v>Q4 20e</c:v>
                </c:pt>
                <c:pt idx="5">
                  <c:v>Q1 21e</c:v>
                </c:pt>
                <c:pt idx="6">
                  <c:v>Q2 21e</c:v>
                </c:pt>
                <c:pt idx="7">
                  <c:v>Q3 21e</c:v>
                </c:pt>
                <c:pt idx="8">
                  <c:v>Q4 21e</c:v>
                </c:pt>
              </c:strCache>
            </c:strRef>
          </c:cat>
          <c:val>
            <c:numRef>
              <c:f>Analysis!$C$4710:$K$4710</c:f>
              <c:numCache>
                <c:formatCode>General</c:formatCode>
                <c:ptCount val="9"/>
                <c:pt idx="0">
                  <c:v>1442</c:v>
                </c:pt>
                <c:pt idx="1">
                  <c:v>1401</c:v>
                </c:pt>
                <c:pt idx="2">
                  <c:v>1276</c:v>
                </c:pt>
                <c:pt idx="3" formatCode="0">
                  <c:v>0</c:v>
                </c:pt>
                <c:pt idx="4" formatCode="0">
                  <c:v>0</c:v>
                </c:pt>
                <c:pt idx="5" formatCode="0">
                  <c:v>0</c:v>
                </c:pt>
                <c:pt idx="6" formatCode="0">
                  <c:v>0</c:v>
                </c:pt>
                <c:pt idx="7" formatCode="0">
                  <c:v>0</c:v>
                </c:pt>
                <c:pt idx="8" formatCode="0">
                  <c:v>0</c:v>
                </c:pt>
              </c:numCache>
            </c:numRef>
          </c:val>
          <c:extLst>
            <c:ext xmlns:c16="http://schemas.microsoft.com/office/drawing/2014/chart" uri="{C3380CC4-5D6E-409C-BE32-E72D297353CC}">
              <c16:uniqueId val="{00000000-5B65-4013-9419-F177132909C5}"/>
            </c:ext>
          </c:extLst>
        </c:ser>
        <c:ser>
          <c:idx val="1"/>
          <c:order val="1"/>
          <c:tx>
            <c:strRef>
              <c:f>Analysis!$B$4711</c:f>
              <c:strCache>
                <c:ptCount val="1"/>
                <c:pt idx="0">
                  <c:v>Service revenue in Q4 19 FX</c:v>
                </c:pt>
              </c:strCache>
            </c:strRef>
          </c:tx>
          <c:spPr>
            <a:solidFill>
              <a:srgbClr val="9999FF"/>
            </a:solidFill>
            <a:ln w="25400">
              <a:noFill/>
            </a:ln>
          </c:spPr>
          <c:invertIfNegative val="0"/>
          <c:cat>
            <c:strRef>
              <c:f>Analysis!$C$4709:$K$4709</c:f>
              <c:strCache>
                <c:ptCount val="9"/>
                <c:pt idx="0">
                  <c:v>Q4 19</c:v>
                </c:pt>
                <c:pt idx="1">
                  <c:v>Q1 20</c:v>
                </c:pt>
                <c:pt idx="2">
                  <c:v>Q2 20</c:v>
                </c:pt>
                <c:pt idx="3">
                  <c:v>Q3 20e</c:v>
                </c:pt>
                <c:pt idx="4">
                  <c:v>Q4 20e</c:v>
                </c:pt>
                <c:pt idx="5">
                  <c:v>Q1 21e</c:v>
                </c:pt>
                <c:pt idx="6">
                  <c:v>Q2 21e</c:v>
                </c:pt>
                <c:pt idx="7">
                  <c:v>Q3 21e</c:v>
                </c:pt>
                <c:pt idx="8">
                  <c:v>Q4 21e</c:v>
                </c:pt>
              </c:strCache>
            </c:strRef>
          </c:cat>
          <c:val>
            <c:numRef>
              <c:f>Analysis!$C$4711:$K$4711</c:f>
              <c:numCache>
                <c:formatCode>0</c:formatCode>
                <c:ptCount val="9"/>
                <c:pt idx="0" formatCode="General">
                  <c:v>1442</c:v>
                </c:pt>
                <c:pt idx="1">
                  <c:v>1418.2875096298726</c:v>
                </c:pt>
                <c:pt idx="2">
                  <c:v>1319.4398666109887</c:v>
                </c:pt>
                <c:pt idx="3">
                  <c:v>0</c:v>
                </c:pt>
                <c:pt idx="4">
                  <c:v>0</c:v>
                </c:pt>
                <c:pt idx="5">
                  <c:v>0</c:v>
                </c:pt>
                <c:pt idx="6">
                  <c:v>0</c:v>
                </c:pt>
                <c:pt idx="7">
                  <c:v>0</c:v>
                </c:pt>
                <c:pt idx="8">
                  <c:v>0</c:v>
                </c:pt>
              </c:numCache>
            </c:numRef>
          </c:val>
          <c:extLst>
            <c:ext xmlns:c16="http://schemas.microsoft.com/office/drawing/2014/chart" uri="{C3380CC4-5D6E-409C-BE32-E72D297353CC}">
              <c16:uniqueId val="{00000001-5B65-4013-9419-F177132909C5}"/>
            </c:ext>
          </c:extLst>
        </c:ser>
        <c:dLbls>
          <c:showLegendKey val="0"/>
          <c:showVal val="0"/>
          <c:showCatName val="0"/>
          <c:showSerName val="0"/>
          <c:showPercent val="0"/>
          <c:showBubbleSize val="0"/>
        </c:dLbls>
        <c:gapWidth val="219"/>
        <c:axId val="1115266847"/>
        <c:axId val="1"/>
      </c:barChart>
      <c:lineChart>
        <c:grouping val="standard"/>
        <c:varyColors val="0"/>
        <c:ser>
          <c:idx val="2"/>
          <c:order val="2"/>
          <c:tx>
            <c:strRef>
              <c:f>Analysis!$B$4712</c:f>
              <c:strCache>
                <c:ptCount val="1"/>
                <c:pt idx="0">
                  <c:v>y/y growth (constant FX)</c:v>
                </c:pt>
              </c:strCache>
            </c:strRef>
          </c:tx>
          <c:spPr>
            <a:ln w="25400">
              <a:solidFill>
                <a:srgbClr val="000080"/>
              </a:solidFill>
              <a:prstDash val="lgDash"/>
            </a:ln>
          </c:spPr>
          <c:marker>
            <c:symbol val="none"/>
          </c:marker>
          <c:cat>
            <c:strRef>
              <c:f>Analysis!$C$4709:$K$4709</c:f>
              <c:strCache>
                <c:ptCount val="9"/>
                <c:pt idx="0">
                  <c:v>Q4 19</c:v>
                </c:pt>
                <c:pt idx="1">
                  <c:v>Q1 20</c:v>
                </c:pt>
                <c:pt idx="2">
                  <c:v>Q2 20</c:v>
                </c:pt>
                <c:pt idx="3">
                  <c:v>Q3 20e</c:v>
                </c:pt>
                <c:pt idx="4">
                  <c:v>Q4 20e</c:v>
                </c:pt>
                <c:pt idx="5">
                  <c:v>Q1 21e</c:v>
                </c:pt>
                <c:pt idx="6">
                  <c:v>Q2 21e</c:v>
                </c:pt>
                <c:pt idx="7">
                  <c:v>Q3 21e</c:v>
                </c:pt>
                <c:pt idx="8">
                  <c:v>Q4 21e</c:v>
                </c:pt>
              </c:strCache>
            </c:strRef>
          </c:cat>
          <c:val>
            <c:numRef>
              <c:f>Analysis!$C$4712:$K$4712</c:f>
              <c:numCache>
                <c:formatCode>0.0%</c:formatCode>
                <c:ptCount val="9"/>
                <c:pt idx="0">
                  <c:v>2.3E-2</c:v>
                </c:pt>
                <c:pt idx="1">
                  <c:v>2E-3</c:v>
                </c:pt>
                <c:pt idx="2">
                  <c:v>-6.8000000000000005E-2</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5B65-4013-9419-F177132909C5}"/>
            </c:ext>
          </c:extLst>
        </c:ser>
        <c:dLbls>
          <c:showLegendKey val="0"/>
          <c:showVal val="0"/>
          <c:showCatName val="0"/>
          <c:showSerName val="0"/>
          <c:showPercent val="0"/>
          <c:showBubbleSize val="0"/>
        </c:dLbls>
        <c:marker val="1"/>
        <c:smooth val="0"/>
        <c:axId val="3"/>
        <c:axId val="4"/>
      </c:lineChart>
      <c:catAx>
        <c:axId val="111526684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US$ million</a:t>
                </a:r>
              </a:p>
            </c:rich>
          </c:tx>
          <c:overlay val="0"/>
          <c:spPr>
            <a:noFill/>
            <a:ln w="25400">
              <a:noFill/>
            </a:ln>
          </c:spPr>
        </c:title>
        <c:numFmt formatCode="General"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684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0" i="0" u="none" strike="noStrike" baseline="0">
                    <a:solidFill>
                      <a:srgbClr val="333333"/>
                    </a:solidFill>
                    <a:latin typeface="Trebuchet MS"/>
                    <a:ea typeface="Trebuchet MS"/>
                    <a:cs typeface="Trebuchet MS"/>
                  </a:defRPr>
                </a:pPr>
                <a:r>
                  <a:rPr lang="en-GB"/>
                  <a:t>y/y</a:t>
                </a:r>
              </a:p>
            </c:rich>
          </c:tx>
          <c:overlay val="0"/>
          <c:spPr>
            <a:noFill/>
            <a:ln w="25400">
              <a:noFill/>
            </a:ln>
          </c:spPr>
        </c:title>
        <c:numFmt formatCode="0.0%" sourceLinked="1"/>
        <c:majorTickMark val="none"/>
        <c:minorTickMark val="none"/>
        <c:tickLblPos val="none"/>
        <c:spPr>
          <a:noFill/>
          <a:ln>
            <a:solidFill>
              <a:schemeClr val="bg1">
                <a:lumMod val="50000"/>
              </a:schemeClr>
            </a:solidFill>
          </a:ln>
          <a:effectLst/>
        </c:spPr>
        <c:crossAx val="3"/>
        <c:crosses val="max"/>
        <c:crossBetween val="between"/>
      </c:valAx>
      <c:spPr>
        <a:noFill/>
        <a:ln w="25400">
          <a:noFill/>
        </a:ln>
      </c:spPr>
    </c:plotArea>
    <c:legend>
      <c:legendPos val="r"/>
      <c:layout>
        <c:manualLayout>
          <c:xMode val="edge"/>
          <c:yMode val="edge"/>
          <c:x val="7.3315185044248651E-3"/>
          <c:y val="0.50490780921711476"/>
          <c:w val="0.69796895276566262"/>
          <c:h val="3.9140207224720336E-2"/>
        </c:manualLayout>
      </c:layout>
      <c:overlay val="0"/>
      <c:spPr>
        <a:noFill/>
        <a:ln w="25400">
          <a:noFill/>
        </a:ln>
      </c:spPr>
      <c:txPr>
        <a:bodyPr/>
        <a:lstStyle/>
        <a:p>
          <a:pPr>
            <a:defRPr sz="650"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Analysis!$B$4749</c:f>
              <c:strCache>
                <c:ptCount val="1"/>
                <c:pt idx="0">
                  <c:v>EBITDA</c:v>
                </c:pt>
              </c:strCache>
            </c:strRef>
          </c:tx>
          <c:spPr>
            <a:solidFill>
              <a:srgbClr val="000080"/>
            </a:solidFill>
            <a:ln w="25400">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C1EA-4275-9FAF-C0C26134FD49}"/>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Analysis!$C$4744:$F$4744</c:f>
              <c:strCache>
                <c:ptCount val="4"/>
                <c:pt idx="0">
                  <c:v>2020</c:v>
                </c:pt>
                <c:pt idx="1">
                  <c:v>2021 guidance floor</c:v>
                </c:pt>
                <c:pt idx="2">
                  <c:v>2021 NSRe</c:v>
                </c:pt>
                <c:pt idx="3">
                  <c:v>2022 NSRe</c:v>
                </c:pt>
              </c:strCache>
            </c:strRef>
          </c:cat>
          <c:val>
            <c:numRef>
              <c:f>Analysis!$C$4749:$F$4749</c:f>
              <c:numCache>
                <c:formatCode>0.00</c:formatCode>
                <c:ptCount val="4"/>
                <c:pt idx="0">
                  <c:v>2.4870000000000001</c:v>
                </c:pt>
                <c:pt idx="1">
                  <c:v>0</c:v>
                </c:pt>
                <c:pt idx="2">
                  <c:v>2.613</c:v>
                </c:pt>
                <c:pt idx="3">
                  <c:v>2.228135</c:v>
                </c:pt>
              </c:numCache>
            </c:numRef>
          </c:val>
          <c:extLst>
            <c:ext xmlns:c16="http://schemas.microsoft.com/office/drawing/2014/chart" uri="{C3380CC4-5D6E-409C-BE32-E72D297353CC}">
              <c16:uniqueId val="{00000001-C1EA-4275-9FAF-C0C26134FD49}"/>
            </c:ext>
          </c:extLst>
        </c:ser>
        <c:ser>
          <c:idx val="1"/>
          <c:order val="1"/>
          <c:tx>
            <c:strRef>
              <c:f>Analysis!$B$4750</c:f>
              <c:strCache>
                <c:ptCount val="1"/>
                <c:pt idx="0">
                  <c:v>Capex</c:v>
                </c:pt>
              </c:strCache>
            </c:strRef>
          </c:tx>
          <c:spPr>
            <a:solidFill>
              <a:srgbClr val="9999FF"/>
            </a:solidFill>
            <a:ln w="25400">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C1EA-4275-9FAF-C0C26134FD49}"/>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Analysis!$C$4744:$F$4744</c:f>
              <c:strCache>
                <c:ptCount val="4"/>
                <c:pt idx="0">
                  <c:v>2020</c:v>
                </c:pt>
                <c:pt idx="1">
                  <c:v>2021 guidance floor</c:v>
                </c:pt>
                <c:pt idx="2">
                  <c:v>2021 NSRe</c:v>
                </c:pt>
                <c:pt idx="3">
                  <c:v>2022 NSRe</c:v>
                </c:pt>
              </c:strCache>
            </c:strRef>
          </c:cat>
          <c:val>
            <c:numRef>
              <c:f>Analysis!$C$4750:$F$4750</c:f>
              <c:numCache>
                <c:formatCode>0.00</c:formatCode>
                <c:ptCount val="4"/>
                <c:pt idx="0">
                  <c:v>-0.98199999999999998</c:v>
                </c:pt>
                <c:pt idx="1">
                  <c:v>0</c:v>
                </c:pt>
                <c:pt idx="2">
                  <c:v>-1.111</c:v>
                </c:pt>
                <c:pt idx="3">
                  <c:v>-0.97299999999999998</c:v>
                </c:pt>
              </c:numCache>
            </c:numRef>
          </c:val>
          <c:extLst>
            <c:ext xmlns:c16="http://schemas.microsoft.com/office/drawing/2014/chart" uri="{C3380CC4-5D6E-409C-BE32-E72D297353CC}">
              <c16:uniqueId val="{00000003-C1EA-4275-9FAF-C0C26134FD49}"/>
            </c:ext>
          </c:extLst>
        </c:ser>
        <c:ser>
          <c:idx val="2"/>
          <c:order val="2"/>
          <c:tx>
            <c:strRef>
              <c:f>Analysis!$B$4751</c:f>
              <c:strCache>
                <c:ptCount val="1"/>
                <c:pt idx="0">
                  <c:v>OpFCF</c:v>
                </c:pt>
              </c:strCache>
            </c:strRef>
          </c:tx>
          <c:spPr>
            <a:solidFill>
              <a:srgbClr val="3366FF"/>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333333"/>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Analysis!$C$4744:$F$4744</c:f>
              <c:strCache>
                <c:ptCount val="4"/>
                <c:pt idx="0">
                  <c:v>2020</c:v>
                </c:pt>
                <c:pt idx="1">
                  <c:v>2021 guidance floor</c:v>
                </c:pt>
                <c:pt idx="2">
                  <c:v>2021 NSRe</c:v>
                </c:pt>
                <c:pt idx="3">
                  <c:v>2022 NSRe</c:v>
                </c:pt>
              </c:strCache>
            </c:strRef>
          </c:cat>
          <c:val>
            <c:numRef>
              <c:f>Analysis!$C$4751:$F$4751</c:f>
              <c:numCache>
                <c:formatCode>0.00</c:formatCode>
                <c:ptCount val="4"/>
                <c:pt idx="0">
                  <c:v>1.5049999999999999</c:v>
                </c:pt>
                <c:pt idx="1">
                  <c:v>1.4</c:v>
                </c:pt>
                <c:pt idx="2">
                  <c:v>1.502</c:v>
                </c:pt>
                <c:pt idx="3">
                  <c:v>1.2551349999999997</c:v>
                </c:pt>
              </c:numCache>
            </c:numRef>
          </c:val>
          <c:extLst>
            <c:ext xmlns:c16="http://schemas.microsoft.com/office/drawing/2014/chart" uri="{C3380CC4-5D6E-409C-BE32-E72D297353CC}">
              <c16:uniqueId val="{00000004-C1EA-4275-9FAF-C0C26134FD49}"/>
            </c:ext>
          </c:extLst>
        </c:ser>
        <c:dLbls>
          <c:showLegendKey val="0"/>
          <c:showVal val="0"/>
          <c:showCatName val="0"/>
          <c:showSerName val="0"/>
          <c:showPercent val="0"/>
          <c:showBubbleSize val="0"/>
        </c:dLbls>
        <c:gapWidth val="219"/>
        <c:overlap val="-27"/>
        <c:axId val="1115264847"/>
        <c:axId val="1"/>
      </c:barChart>
      <c:catAx>
        <c:axId val="1115264847"/>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title>
          <c:tx>
            <c:rich>
              <a:bodyPr/>
              <a:lstStyle/>
              <a:p>
                <a:pPr>
                  <a:defRPr sz="1000" b="0" i="0" u="none" strike="noStrike" baseline="0">
                    <a:solidFill>
                      <a:srgbClr val="333333"/>
                    </a:solidFill>
                    <a:latin typeface="Trebuchet MS"/>
                    <a:ea typeface="Trebuchet MS"/>
                    <a:cs typeface="Trebuchet MS"/>
                  </a:defRPr>
                </a:pPr>
                <a:r>
                  <a:rPr lang="en-GB"/>
                  <a:t>USD billion</a:t>
                </a:r>
              </a:p>
            </c:rich>
          </c:tx>
          <c:overlay val="0"/>
          <c:spPr>
            <a:noFill/>
            <a:ln w="25400">
              <a:noFill/>
            </a:ln>
          </c:spPr>
        </c:title>
        <c:numFmt formatCode="#,##0.0" sourceLinked="0"/>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4847"/>
        <c:crosses val="autoZero"/>
        <c:crossBetween val="between"/>
      </c:valAx>
      <c:spPr>
        <a:noFill/>
        <a:ln w="25400">
          <a:noFill/>
        </a:ln>
      </c:spPr>
    </c:plotArea>
    <c:legend>
      <c:legendPos val="r"/>
      <c:layout>
        <c:manualLayout>
          <c:xMode val="edge"/>
          <c:yMode val="edge"/>
          <c:x val="0.14754585124712172"/>
          <c:y val="0.49776312149015556"/>
          <c:w val="0.27050072728638985"/>
          <c:h val="4.504654866859592E-2"/>
        </c:manualLayout>
      </c:layout>
      <c:overlay val="0"/>
      <c:spPr>
        <a:noFill/>
        <a:ln w="25400">
          <a:noFill/>
        </a:ln>
      </c:spPr>
      <c:txPr>
        <a:bodyPr/>
        <a:lstStyle/>
        <a:p>
          <a:pPr>
            <a:defRPr sz="77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Analysis!$B$4829</c:f>
              <c:strCache>
                <c:ptCount val="1"/>
                <c:pt idx="0">
                  <c:v>EV</c:v>
                </c:pt>
              </c:strCache>
            </c:strRef>
          </c:tx>
          <c:spPr>
            <a:solidFill>
              <a:srgbClr val="000080"/>
            </a:solidFill>
            <a:ln w="25400">
              <a:noFill/>
            </a:ln>
          </c:spPr>
          <c:invertIfNegative val="0"/>
          <c:cat>
            <c:strRef>
              <c:f>Analysis!$C$4828:$G$4828</c:f>
              <c:strCache>
                <c:ptCount val="5"/>
                <c:pt idx="0">
                  <c:v>Today</c:v>
                </c:pt>
                <c:pt idx="2">
                  <c:v>Op Co</c:v>
                </c:pt>
                <c:pt idx="3">
                  <c:v>Infra</c:v>
                </c:pt>
                <c:pt idx="4">
                  <c:v>Total</c:v>
                </c:pt>
              </c:strCache>
            </c:strRef>
          </c:cat>
          <c:val>
            <c:numRef>
              <c:f>Analysis!$C$4829:$G$4829</c:f>
              <c:numCache>
                <c:formatCode>General</c:formatCode>
                <c:ptCount val="5"/>
                <c:pt idx="0">
                  <c:v>100</c:v>
                </c:pt>
                <c:pt idx="2">
                  <c:v>90</c:v>
                </c:pt>
                <c:pt idx="3">
                  <c:v>40</c:v>
                </c:pt>
                <c:pt idx="4">
                  <c:v>130</c:v>
                </c:pt>
              </c:numCache>
            </c:numRef>
          </c:val>
          <c:extLst>
            <c:ext xmlns:c16="http://schemas.microsoft.com/office/drawing/2014/chart" uri="{C3380CC4-5D6E-409C-BE32-E72D297353CC}">
              <c16:uniqueId val="{00000000-F12A-447B-800C-95EAD331074D}"/>
            </c:ext>
          </c:extLst>
        </c:ser>
        <c:ser>
          <c:idx val="1"/>
          <c:order val="1"/>
          <c:tx>
            <c:strRef>
              <c:f>Analysis!$B$4830</c:f>
              <c:strCache>
                <c:ptCount val="1"/>
                <c:pt idx="0">
                  <c:v>EBITDA</c:v>
                </c:pt>
              </c:strCache>
            </c:strRef>
          </c:tx>
          <c:spPr>
            <a:solidFill>
              <a:srgbClr val="9999FF"/>
            </a:solidFill>
            <a:ln w="25400">
              <a:noFill/>
            </a:ln>
          </c:spPr>
          <c:invertIfNegative val="0"/>
          <c:cat>
            <c:strRef>
              <c:f>Analysis!$C$4828:$G$4828</c:f>
              <c:strCache>
                <c:ptCount val="5"/>
                <c:pt idx="0">
                  <c:v>Today</c:v>
                </c:pt>
                <c:pt idx="2">
                  <c:v>Op Co</c:v>
                </c:pt>
                <c:pt idx="3">
                  <c:v>Infra</c:v>
                </c:pt>
                <c:pt idx="4">
                  <c:v>Total</c:v>
                </c:pt>
              </c:strCache>
            </c:strRef>
          </c:cat>
          <c:val>
            <c:numRef>
              <c:f>Analysis!$C$4830:$G$4830</c:f>
              <c:numCache>
                <c:formatCode>General</c:formatCode>
                <c:ptCount val="5"/>
                <c:pt idx="0">
                  <c:v>20</c:v>
                </c:pt>
                <c:pt idx="2">
                  <c:v>18</c:v>
                </c:pt>
                <c:pt idx="3">
                  <c:v>2</c:v>
                </c:pt>
                <c:pt idx="4">
                  <c:v>20</c:v>
                </c:pt>
              </c:numCache>
            </c:numRef>
          </c:val>
          <c:extLst>
            <c:ext xmlns:c16="http://schemas.microsoft.com/office/drawing/2014/chart" uri="{C3380CC4-5D6E-409C-BE32-E72D297353CC}">
              <c16:uniqueId val="{00000001-F12A-447B-800C-95EAD331074D}"/>
            </c:ext>
          </c:extLst>
        </c:ser>
        <c:dLbls>
          <c:showLegendKey val="0"/>
          <c:showVal val="0"/>
          <c:showCatName val="0"/>
          <c:showSerName val="0"/>
          <c:showPercent val="0"/>
          <c:showBubbleSize val="0"/>
        </c:dLbls>
        <c:gapWidth val="219"/>
        <c:overlap val="-27"/>
        <c:axId val="1115264047"/>
        <c:axId val="1"/>
      </c:barChart>
      <c:lineChart>
        <c:grouping val="standard"/>
        <c:varyColors val="0"/>
        <c:ser>
          <c:idx val="2"/>
          <c:order val="2"/>
          <c:tx>
            <c:strRef>
              <c:f>Analysis!$B$4831</c:f>
              <c:strCache>
                <c:ptCount val="1"/>
                <c:pt idx="0">
                  <c:v>Multiple (RHS)</c:v>
                </c:pt>
              </c:strCache>
            </c:strRef>
          </c:tx>
          <c:spPr>
            <a:ln w="28575">
              <a:noFill/>
            </a:ln>
          </c:spPr>
          <c:marker>
            <c:symbol val="diamond"/>
            <c:size val="5"/>
            <c:spPr>
              <a:solidFill>
                <a:srgbClr val="FF0000"/>
              </a:solidFill>
              <a:ln>
                <a:solidFill>
                  <a:srgbClr val="FF0000"/>
                </a:solidFill>
                <a:prstDash val="solid"/>
              </a:ln>
            </c:spPr>
          </c:marker>
          <c:cat>
            <c:strRef>
              <c:f>Analysis!$C$4828:$G$4828</c:f>
              <c:strCache>
                <c:ptCount val="5"/>
                <c:pt idx="0">
                  <c:v>Today</c:v>
                </c:pt>
                <c:pt idx="2">
                  <c:v>Op Co</c:v>
                </c:pt>
                <c:pt idx="3">
                  <c:v>Infra</c:v>
                </c:pt>
                <c:pt idx="4">
                  <c:v>Total</c:v>
                </c:pt>
              </c:strCache>
            </c:strRef>
          </c:cat>
          <c:val>
            <c:numRef>
              <c:f>Analysis!$C$4831:$G$4831</c:f>
              <c:numCache>
                <c:formatCode>General</c:formatCode>
                <c:ptCount val="5"/>
                <c:pt idx="0" formatCode="0\x">
                  <c:v>5</c:v>
                </c:pt>
                <c:pt idx="2" formatCode="0\x">
                  <c:v>5</c:v>
                </c:pt>
                <c:pt idx="3" formatCode="0\x">
                  <c:v>20</c:v>
                </c:pt>
                <c:pt idx="4" formatCode="0\x">
                  <c:v>6.5</c:v>
                </c:pt>
              </c:numCache>
            </c:numRef>
          </c:val>
          <c:smooth val="0"/>
          <c:extLst>
            <c:ext xmlns:c16="http://schemas.microsoft.com/office/drawing/2014/chart" uri="{C3380CC4-5D6E-409C-BE32-E72D297353CC}">
              <c16:uniqueId val="{00000002-F12A-447B-800C-95EAD331074D}"/>
            </c:ext>
          </c:extLst>
        </c:ser>
        <c:dLbls>
          <c:showLegendKey val="0"/>
          <c:showVal val="0"/>
          <c:showCatName val="0"/>
          <c:showSerName val="0"/>
          <c:showPercent val="0"/>
          <c:showBubbleSize val="0"/>
        </c:dLbls>
        <c:marker val="1"/>
        <c:smooth val="0"/>
        <c:axId val="3"/>
        <c:axId val="4"/>
      </c:lineChart>
      <c:catAx>
        <c:axId val="111526404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General" sourceLinked="1"/>
        <c:majorTickMark val="none"/>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526404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x" sourceLinked="1"/>
        <c:majorTickMark val="out"/>
        <c:minorTickMark val="none"/>
        <c:tickLblPos val="nextTo"/>
        <c:spPr>
          <a:noFill/>
          <a:ln>
            <a:solidFill>
              <a:schemeClr val="bg1">
                <a:lumMod val="50000"/>
              </a:schemeClr>
            </a:solidFill>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3"/>
        <c:crosses val="max"/>
        <c:crossBetween val="between"/>
      </c:valAx>
      <c:spPr>
        <a:noFill/>
        <a:ln w="25400">
          <a:noFill/>
        </a:ln>
      </c:spPr>
    </c:plotArea>
    <c:legend>
      <c:legendPos val="r"/>
      <c:layout>
        <c:manualLayout>
          <c:xMode val="edge"/>
          <c:yMode val="edge"/>
          <c:x val="7.7195549671335337E-2"/>
          <c:y val="0.45517135144431731"/>
          <c:w val="0.35088843982997697"/>
          <c:h val="4.7086763727183678E-2"/>
        </c:manualLayout>
      </c:layout>
      <c:overlay val="0"/>
      <c:spPr>
        <a:noFill/>
        <a:ln w="25400">
          <a:noFill/>
        </a:ln>
      </c:spPr>
      <c:txPr>
        <a:bodyPr/>
        <a:lstStyle/>
        <a:p>
          <a:pPr>
            <a:defRPr sz="845" b="0" i="0" u="none" strike="noStrike" baseline="0">
              <a:solidFill>
                <a:srgbClr val="333333"/>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263238"/>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'Earning snaps'!$W$4:$AO$4</c:f>
              <c:numCache>
                <c:formatCode>General</c:formatCode>
                <c:ptCount val="19"/>
              </c:numCache>
            </c:numRef>
          </c:cat>
          <c:val>
            <c:numRef>
              <c:f>'Earning snaps'!$W$15:$AO$15</c:f>
              <c:numCache>
                <c:formatCode>General</c:formatCode>
                <c:ptCount val="19"/>
              </c:numCache>
            </c:numRef>
          </c:val>
          <c:extLst>
            <c:ext xmlns:c16="http://schemas.microsoft.com/office/drawing/2014/chart" uri="{C3380CC4-5D6E-409C-BE32-E72D297353CC}">
              <c16:uniqueId val="{00000000-F48E-47F3-A088-1EEB4EA9D37E}"/>
            </c:ext>
          </c:extLst>
        </c:ser>
        <c:dLbls>
          <c:showLegendKey val="0"/>
          <c:showVal val="0"/>
          <c:showCatName val="0"/>
          <c:showSerName val="0"/>
          <c:showPercent val="0"/>
          <c:showBubbleSize val="0"/>
        </c:dLbls>
        <c:gapWidth val="30"/>
        <c:overlap val="-27"/>
        <c:axId val="1901796495"/>
        <c:axId val="1"/>
      </c:barChart>
      <c:catAx>
        <c:axId val="190179649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5400000" vert="horz"/>
          <a:lstStyle/>
          <a:p>
            <a:pPr>
              <a:defRPr/>
            </a:pPr>
            <a:endParaRPr lang="en-US"/>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1901796495"/>
        <c:crosses val="autoZero"/>
        <c:crossBetween val="between"/>
      </c:valAx>
      <c:spPr>
        <a:noFill/>
        <a:ln w="25400">
          <a:noFill/>
        </a:ln>
      </c:spPr>
    </c:plotArea>
    <c:plotVisOnly val="1"/>
    <c:dispBlanksAs val="gap"/>
    <c:showDLblsOverMax val="0"/>
  </c:chart>
  <c:spPr>
    <a:solidFill>
      <a:schemeClr val="bg1"/>
    </a:solidFill>
    <a:ln w="25400">
      <a:noFill/>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Analysis!$B$4874</c:f>
              <c:strCache>
                <c:ptCount val="1"/>
                <c:pt idx="0">
                  <c:v>Millicom guide</c:v>
                </c:pt>
              </c:strCache>
            </c:strRef>
          </c:tx>
          <c:spPr>
            <a:solidFill>
              <a:srgbClr val="000080"/>
            </a:solidFill>
            <a:ln w="25400">
              <a:noFill/>
            </a:ln>
            <a:effectLst/>
          </c:spPr>
          <c:invertIfNegative val="0"/>
          <c:cat>
            <c:strRef>
              <c:f>Analysis!$C$4873:$E$4873</c:f>
              <c:strCache>
                <c:ptCount val="3"/>
                <c:pt idx="0">
                  <c:v>FY 20</c:v>
                </c:pt>
                <c:pt idx="1">
                  <c:v>FY 21</c:v>
                </c:pt>
                <c:pt idx="2">
                  <c:v>FY 22*</c:v>
                </c:pt>
              </c:strCache>
            </c:strRef>
          </c:cat>
          <c:val>
            <c:numRef>
              <c:f>Analysis!$C$4874:$E$4874</c:f>
              <c:numCache>
                <c:formatCode>0</c:formatCode>
                <c:ptCount val="3"/>
                <c:pt idx="1">
                  <c:v>1175</c:v>
                </c:pt>
                <c:pt idx="2">
                  <c:v>928.04745000000014</c:v>
                </c:pt>
              </c:numCache>
            </c:numRef>
          </c:val>
          <c:extLst>
            <c:ext xmlns:c16="http://schemas.microsoft.com/office/drawing/2014/chart" uri="{C3380CC4-5D6E-409C-BE32-E72D297353CC}">
              <c16:uniqueId val="{00000000-EC43-4B95-AB20-EDE4D50A6DB8}"/>
            </c:ext>
          </c:extLst>
        </c:ser>
        <c:ser>
          <c:idx val="1"/>
          <c:order val="1"/>
          <c:tx>
            <c:strRef>
              <c:f>Analysis!$B$4875</c:f>
              <c:strCache>
                <c:ptCount val="1"/>
                <c:pt idx="0">
                  <c:v>New Street</c:v>
                </c:pt>
              </c:strCache>
            </c:strRef>
          </c:tx>
          <c:spPr>
            <a:solidFill>
              <a:srgbClr val="9999FF"/>
            </a:solidFill>
            <a:ln w="25400">
              <a:noFill/>
            </a:ln>
            <a:effectLst/>
          </c:spPr>
          <c:invertIfNegative val="0"/>
          <c:dPt>
            <c:idx val="0"/>
            <c:invertIfNegative val="0"/>
            <c:bubble3D val="0"/>
            <c:spPr>
              <a:solidFill>
                <a:schemeClr val="tx2">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4-EC43-4B95-AB20-EDE4D50A6DB8}"/>
              </c:ext>
            </c:extLst>
          </c:dPt>
          <c:cat>
            <c:strRef>
              <c:f>Analysis!$C$4873:$E$4873</c:f>
              <c:strCache>
                <c:ptCount val="3"/>
                <c:pt idx="0">
                  <c:v>FY 20</c:v>
                </c:pt>
                <c:pt idx="1">
                  <c:v>FY 21</c:v>
                </c:pt>
                <c:pt idx="2">
                  <c:v>FY 22*</c:v>
                </c:pt>
              </c:strCache>
            </c:strRef>
          </c:cat>
          <c:val>
            <c:numRef>
              <c:f>Analysis!$C$4875:$E$4875</c:f>
              <c:numCache>
                <c:formatCode>0</c:formatCode>
                <c:ptCount val="3"/>
                <c:pt idx="0">
                  <c:v>990</c:v>
                </c:pt>
                <c:pt idx="1">
                  <c:v>1162</c:v>
                </c:pt>
                <c:pt idx="2">
                  <c:v>973</c:v>
                </c:pt>
              </c:numCache>
            </c:numRef>
          </c:val>
          <c:extLst>
            <c:ext xmlns:c16="http://schemas.microsoft.com/office/drawing/2014/chart" uri="{C3380CC4-5D6E-409C-BE32-E72D297353CC}">
              <c16:uniqueId val="{00000001-EC43-4B95-AB20-EDE4D50A6DB8}"/>
            </c:ext>
          </c:extLst>
        </c:ser>
        <c:ser>
          <c:idx val="2"/>
          <c:order val="2"/>
          <c:tx>
            <c:strRef>
              <c:f>Analysis!$B$4876</c:f>
              <c:strCache>
                <c:ptCount val="1"/>
                <c:pt idx="0">
                  <c:v>Consensus</c:v>
                </c:pt>
              </c:strCache>
            </c:strRef>
          </c:tx>
          <c:spPr>
            <a:solidFill>
              <a:srgbClr val="3366FF"/>
            </a:solidFill>
            <a:ln w="25400">
              <a:noFill/>
            </a:ln>
            <a:effectLst/>
          </c:spPr>
          <c:invertIfNegative val="0"/>
          <c:cat>
            <c:strRef>
              <c:f>Analysis!$C$4873:$E$4873</c:f>
              <c:strCache>
                <c:ptCount val="3"/>
                <c:pt idx="0">
                  <c:v>FY 20</c:v>
                </c:pt>
                <c:pt idx="1">
                  <c:v>FY 21</c:v>
                </c:pt>
                <c:pt idx="2">
                  <c:v>FY 22*</c:v>
                </c:pt>
              </c:strCache>
            </c:strRef>
          </c:cat>
          <c:val>
            <c:numRef>
              <c:f>Analysis!$C$4876:$E$4876</c:f>
              <c:numCache>
                <c:formatCode>General</c:formatCode>
                <c:ptCount val="3"/>
                <c:pt idx="1">
                  <c:v>1146</c:v>
                </c:pt>
                <c:pt idx="2">
                  <c:v>1128</c:v>
                </c:pt>
              </c:numCache>
            </c:numRef>
          </c:val>
          <c:extLst>
            <c:ext xmlns:c16="http://schemas.microsoft.com/office/drawing/2014/chart" uri="{C3380CC4-5D6E-409C-BE32-E72D297353CC}">
              <c16:uniqueId val="{00000002-EC43-4B95-AB20-EDE4D50A6DB8}"/>
            </c:ext>
          </c:extLst>
        </c:ser>
        <c:dLbls>
          <c:showLegendKey val="0"/>
          <c:showVal val="0"/>
          <c:showCatName val="0"/>
          <c:showSerName val="0"/>
          <c:showPercent val="0"/>
          <c:showBubbleSize val="0"/>
        </c:dLbls>
        <c:gapWidth val="150"/>
        <c:axId val="655988959"/>
        <c:axId val="655987295"/>
      </c:barChart>
      <c:catAx>
        <c:axId val="655988959"/>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55987295"/>
        <c:crosses val="autoZero"/>
        <c:auto val="1"/>
        <c:lblAlgn val="ctr"/>
        <c:lblOffset val="100"/>
        <c:noMultiLvlLbl val="0"/>
      </c:catAx>
      <c:valAx>
        <c:axId val="655987295"/>
        <c:scaling>
          <c:orientation val="minMax"/>
          <c:min val="800"/>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5598895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Analysis!$B$4882</c:f>
              <c:strCache>
                <c:ptCount val="1"/>
                <c:pt idx="0">
                  <c:v>Claro</c:v>
                </c:pt>
              </c:strCache>
            </c:strRef>
          </c:tx>
          <c:spPr>
            <a:solidFill>
              <a:srgbClr val="000080"/>
            </a:solidFill>
            <a:ln w="25400">
              <a:noFill/>
            </a:ln>
            <a:effectLst/>
          </c:spPr>
          <c:invertIfNegative val="0"/>
          <c:cat>
            <c:strRef>
              <c:f>Analysis!$C$4881:$F$4881</c:f>
              <c:strCache>
                <c:ptCount val="4"/>
                <c:pt idx="0">
                  <c:v>Q4 20</c:v>
                </c:pt>
                <c:pt idx="1">
                  <c:v>Q1 21</c:v>
                </c:pt>
                <c:pt idx="2">
                  <c:v>Q2 21</c:v>
                </c:pt>
                <c:pt idx="3">
                  <c:v>Q3 21</c:v>
                </c:pt>
              </c:strCache>
            </c:strRef>
          </c:cat>
          <c:val>
            <c:numRef>
              <c:f>Analysis!$C$4882:$F$4882</c:f>
              <c:numCache>
                <c:formatCode>0.0%</c:formatCode>
                <c:ptCount val="4"/>
                <c:pt idx="0">
                  <c:v>1.5114873035066534E-2</c:v>
                </c:pt>
                <c:pt idx="1">
                  <c:v>6.5515187611673298E-3</c:v>
                </c:pt>
                <c:pt idx="2">
                  <c:v>-1.6568047337278125E-2</c:v>
                </c:pt>
                <c:pt idx="3">
                  <c:v>7.821901323706415E-3</c:v>
                </c:pt>
              </c:numCache>
            </c:numRef>
          </c:val>
          <c:extLst>
            <c:ext xmlns:c16="http://schemas.microsoft.com/office/drawing/2014/chart" uri="{C3380CC4-5D6E-409C-BE32-E72D297353CC}">
              <c16:uniqueId val="{00000000-5651-4697-B77E-A04BC28A5507}"/>
            </c:ext>
          </c:extLst>
        </c:ser>
        <c:ser>
          <c:idx val="1"/>
          <c:order val="1"/>
          <c:tx>
            <c:strRef>
              <c:f>Analysis!$B$4883</c:f>
              <c:strCache>
                <c:ptCount val="1"/>
                <c:pt idx="0">
                  <c:v>TIGO</c:v>
                </c:pt>
              </c:strCache>
            </c:strRef>
          </c:tx>
          <c:spPr>
            <a:solidFill>
              <a:srgbClr val="9999FF"/>
            </a:solidFill>
            <a:ln w="25400">
              <a:noFill/>
            </a:ln>
            <a:effectLst/>
          </c:spPr>
          <c:invertIfNegative val="0"/>
          <c:cat>
            <c:strRef>
              <c:f>Analysis!$C$4881:$F$4881</c:f>
              <c:strCache>
                <c:ptCount val="4"/>
                <c:pt idx="0">
                  <c:v>Q4 20</c:v>
                </c:pt>
                <c:pt idx="1">
                  <c:v>Q1 21</c:v>
                </c:pt>
                <c:pt idx="2">
                  <c:v>Q2 21</c:v>
                </c:pt>
                <c:pt idx="3">
                  <c:v>Q3 21</c:v>
                </c:pt>
              </c:strCache>
            </c:strRef>
          </c:cat>
          <c:val>
            <c:numRef>
              <c:f>Analysis!$C$4883:$F$4883</c:f>
              <c:numCache>
                <c:formatCode>0.0%</c:formatCode>
                <c:ptCount val="4"/>
                <c:pt idx="0">
                  <c:v>0.01</c:v>
                </c:pt>
                <c:pt idx="1">
                  <c:v>-0.01</c:v>
                </c:pt>
                <c:pt idx="2">
                  <c:v>0.02</c:v>
                </c:pt>
                <c:pt idx="3">
                  <c:v>0.04</c:v>
                </c:pt>
              </c:numCache>
            </c:numRef>
          </c:val>
          <c:extLst>
            <c:ext xmlns:c16="http://schemas.microsoft.com/office/drawing/2014/chart" uri="{C3380CC4-5D6E-409C-BE32-E72D297353CC}">
              <c16:uniqueId val="{00000001-5651-4697-B77E-A04BC28A5507}"/>
            </c:ext>
          </c:extLst>
        </c:ser>
        <c:dLbls>
          <c:showLegendKey val="0"/>
          <c:showVal val="0"/>
          <c:showCatName val="0"/>
          <c:showSerName val="0"/>
          <c:showPercent val="0"/>
          <c:showBubbleSize val="0"/>
        </c:dLbls>
        <c:gapWidth val="219"/>
        <c:overlap val="-27"/>
        <c:axId val="933377231"/>
        <c:axId val="933386383"/>
      </c:barChart>
      <c:catAx>
        <c:axId val="933377231"/>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33386383"/>
        <c:crosses val="autoZero"/>
        <c:auto val="1"/>
        <c:lblAlgn val="ctr"/>
        <c:lblOffset val="100"/>
        <c:noMultiLvlLbl val="0"/>
      </c:catAx>
      <c:valAx>
        <c:axId val="933386383"/>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quarter on quarter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3337723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Analysis!$B$5013</c:f>
              <c:strCache>
                <c:ptCount val="1"/>
                <c:pt idx="0">
                  <c:v>Tigo Guatemala, USD revenue</c:v>
                </c:pt>
              </c:strCache>
            </c:strRef>
          </c:tx>
          <c:spPr>
            <a:solidFill>
              <a:srgbClr val="000080"/>
            </a:solidFill>
            <a:ln w="25400">
              <a:noFill/>
            </a:ln>
            <a:effectLst/>
          </c:spPr>
          <c:invertIfNegative val="0"/>
          <c:cat>
            <c:numRef>
              <c:f>Analysis!$E$5012:$P$5012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Analysis!$E$5013:$P$5013</c:f>
              <c:numCache>
                <c:formatCode>0</c:formatCode>
                <c:ptCount val="12"/>
                <c:pt idx="0">
                  <c:v>1038.181818181818</c:v>
                </c:pt>
                <c:pt idx="1">
                  <c:v>1098.181818181818</c:v>
                </c:pt>
                <c:pt idx="2">
                  <c:v>1129.090909090909</c:v>
                </c:pt>
                <c:pt idx="3">
                  <c:v>1167</c:v>
                </c:pt>
                <c:pt idx="4">
                  <c:v>1247.4242159372479</c:v>
                </c:pt>
                <c:pt idx="5">
                  <c:v>1305.7050205101259</c:v>
                </c:pt>
                <c:pt idx="6">
                  <c:v>1284.437421103871</c:v>
                </c:pt>
                <c:pt idx="7">
                  <c:v>1327</c:v>
                </c:pt>
                <c:pt idx="8">
                  <c:v>1373</c:v>
                </c:pt>
                <c:pt idx="9">
                  <c:v>1435</c:v>
                </c:pt>
                <c:pt idx="10">
                  <c:v>1503</c:v>
                </c:pt>
                <c:pt idx="11">
                  <c:v>1600</c:v>
                </c:pt>
              </c:numCache>
            </c:numRef>
          </c:val>
          <c:extLst>
            <c:ext xmlns:c16="http://schemas.microsoft.com/office/drawing/2014/chart" uri="{C3380CC4-5D6E-409C-BE32-E72D297353CC}">
              <c16:uniqueId val="{00000000-DEC3-4244-9943-C5D39B8F7D14}"/>
            </c:ext>
          </c:extLst>
        </c:ser>
        <c:ser>
          <c:idx val="1"/>
          <c:order val="1"/>
          <c:tx>
            <c:strRef>
              <c:f>Analysis!$B$5014</c:f>
              <c:strCache>
                <c:ptCount val="1"/>
                <c:pt idx="0">
                  <c:v>Mexico wireless market in USD (re-based to Guatemala 2010)</c:v>
                </c:pt>
              </c:strCache>
            </c:strRef>
          </c:tx>
          <c:spPr>
            <a:solidFill>
              <a:srgbClr val="9999FF"/>
            </a:solidFill>
            <a:ln w="25400">
              <a:noFill/>
            </a:ln>
            <a:effectLst/>
          </c:spPr>
          <c:invertIfNegative val="0"/>
          <c:cat>
            <c:numRef>
              <c:f>Analysis!$E$5012:$P$5012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Analysis!$E$5014:$P$5014</c:f>
              <c:numCache>
                <c:formatCode>0</c:formatCode>
                <c:ptCount val="12"/>
                <c:pt idx="0">
                  <c:v>1038.181818181818</c:v>
                </c:pt>
                <c:pt idx="1">
                  <c:v>1075.2519463492786</c:v>
                </c:pt>
                <c:pt idx="2">
                  <c:v>1097.9520576451116</c:v>
                </c:pt>
                <c:pt idx="3">
                  <c:v>1110.9942870673608</c:v>
                </c:pt>
                <c:pt idx="4">
                  <c:v>1052.9644441368755</c:v>
                </c:pt>
                <c:pt idx="5">
                  <c:v>845.92540683700781</c:v>
                </c:pt>
                <c:pt idx="6">
                  <c:v>654.01755089079938</c:v>
                </c:pt>
                <c:pt idx="7">
                  <c:v>680.56900225289428</c:v>
                </c:pt>
                <c:pt idx="8">
                  <c:v>686.38399275525194</c:v>
                </c:pt>
                <c:pt idx="9">
                  <c:v>732.58003788502538</c:v>
                </c:pt>
                <c:pt idx="10">
                  <c:v>678.60686567672565</c:v>
                </c:pt>
                <c:pt idx="11">
                  <c:v>754.45417832046166</c:v>
                </c:pt>
              </c:numCache>
            </c:numRef>
          </c:val>
          <c:extLst>
            <c:ext xmlns:c16="http://schemas.microsoft.com/office/drawing/2014/chart" uri="{C3380CC4-5D6E-409C-BE32-E72D297353CC}">
              <c16:uniqueId val="{00000003-DEC3-4244-9943-C5D39B8F7D14}"/>
            </c:ext>
          </c:extLst>
        </c:ser>
        <c:ser>
          <c:idx val="2"/>
          <c:order val="2"/>
          <c:tx>
            <c:strRef>
              <c:f>Analysis!$B$5015</c:f>
              <c:strCache>
                <c:ptCount val="1"/>
                <c:pt idx="0">
                  <c:v>Brazil wireless market in USD (re-based to Guatemala 2010)</c:v>
                </c:pt>
              </c:strCache>
            </c:strRef>
          </c:tx>
          <c:spPr>
            <a:solidFill>
              <a:srgbClr val="3366FF"/>
            </a:solidFill>
            <a:ln w="25400">
              <a:noFill/>
            </a:ln>
            <a:effectLst/>
          </c:spPr>
          <c:invertIfNegative val="0"/>
          <c:cat>
            <c:numRef>
              <c:f>Analysis!$E$5012:$P$5012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Analysis!$E$5015:$P$5015</c:f>
              <c:numCache>
                <c:formatCode>0</c:formatCode>
                <c:ptCount val="12"/>
                <c:pt idx="0">
                  <c:v>1038.181818181818</c:v>
                </c:pt>
                <c:pt idx="1">
                  <c:v>1290.6780240400526</c:v>
                </c:pt>
                <c:pt idx="2">
                  <c:v>1168.5338568811364</c:v>
                </c:pt>
                <c:pt idx="3">
                  <c:v>1062.9031196601038</c:v>
                </c:pt>
                <c:pt idx="4">
                  <c:v>945.01483429451002</c:v>
                </c:pt>
                <c:pt idx="5">
                  <c:v>664.67604464917144</c:v>
                </c:pt>
                <c:pt idx="6">
                  <c:v>622.4171475087644</c:v>
                </c:pt>
                <c:pt idx="7">
                  <c:v>688.53825741735909</c:v>
                </c:pt>
                <c:pt idx="8">
                  <c:v>603.63511157849791</c:v>
                </c:pt>
                <c:pt idx="9">
                  <c:v>617.9321448438892</c:v>
                </c:pt>
                <c:pt idx="10">
                  <c:v>587.14639839675328</c:v>
                </c:pt>
                <c:pt idx="11">
                  <c:v>469.902612403614</c:v>
                </c:pt>
              </c:numCache>
            </c:numRef>
          </c:val>
          <c:extLst>
            <c:ext xmlns:c16="http://schemas.microsoft.com/office/drawing/2014/chart" uri="{C3380CC4-5D6E-409C-BE32-E72D297353CC}">
              <c16:uniqueId val="{00000004-DEC3-4244-9943-C5D39B8F7D14}"/>
            </c:ext>
          </c:extLst>
        </c:ser>
        <c:dLbls>
          <c:showLegendKey val="0"/>
          <c:showVal val="0"/>
          <c:showCatName val="0"/>
          <c:showSerName val="0"/>
          <c:showPercent val="0"/>
          <c:showBubbleSize val="0"/>
        </c:dLbls>
        <c:gapWidth val="219"/>
        <c:overlap val="-27"/>
        <c:axId val="741447344"/>
        <c:axId val="741444016"/>
      </c:barChart>
      <c:catAx>
        <c:axId val="74144734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1444016"/>
        <c:crosses val="autoZero"/>
        <c:auto val="1"/>
        <c:lblAlgn val="ctr"/>
        <c:lblOffset val="100"/>
        <c:noMultiLvlLbl val="0"/>
      </c:catAx>
      <c:valAx>
        <c:axId val="741444016"/>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revenue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41447344"/>
        <c:crosses val="autoZero"/>
        <c:crossBetween val="between"/>
      </c:valAx>
      <c:spPr>
        <a:noFill/>
        <a:ln w="25400">
          <a:noFill/>
        </a:ln>
        <a:effectLst/>
      </c:spPr>
    </c:plotArea>
    <c:legend>
      <c:legendPos val="b"/>
      <c:layout>
        <c:manualLayout>
          <c:xMode val="edge"/>
          <c:yMode val="edge"/>
          <c:x val="0"/>
          <c:y val="0.83505334634977124"/>
          <c:w val="1"/>
          <c:h val="0.1475782336772751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22523301907074"/>
          <c:y val="0.10701996288776326"/>
          <c:w val="0.66562029211531581"/>
          <c:h val="0.6715810086906340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2-4213-42FC-806D-5ED7F8D456B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4213-42FC-806D-5ED7F8D456BA}"/>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4-4213-42FC-806D-5ED7F8D456BA}"/>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5-4213-42FC-806D-5ED7F8D456BA}"/>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6-4213-42FC-806D-5ED7F8D456BA}"/>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7-4213-42FC-806D-5ED7F8D456BA}"/>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8-4213-42FC-806D-5ED7F8D456BA}"/>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9-4213-42FC-806D-5ED7F8D456BA}"/>
              </c:ext>
            </c:extLst>
          </c:dPt>
          <c:dPt>
            <c:idx val="8"/>
            <c:bubble3D val="0"/>
            <c:spPr>
              <a:pattFill prst="wdDnDiag">
                <a:fgClr>
                  <a:srgbClr val="99CCFF"/>
                </a:fgClr>
                <a:bgClr>
                  <a:srgbClr val="000080"/>
                </a:bgClr>
              </a:pattFill>
              <a:ln w="25400">
                <a:noFill/>
              </a:ln>
              <a:effectLst/>
            </c:spPr>
            <c:extLst>
              <c:ext xmlns:c16="http://schemas.microsoft.com/office/drawing/2014/chart" uri="{C3380CC4-5D6E-409C-BE32-E72D297353CC}">
                <c16:uniqueId val="{0000000A-4213-42FC-806D-5ED7F8D456BA}"/>
              </c:ext>
            </c:extLst>
          </c:dPt>
          <c:dPt>
            <c:idx val="9"/>
            <c:bubble3D val="0"/>
            <c:spPr>
              <a:pattFill prst="wdDnDiag">
                <a:fgClr>
                  <a:srgbClr val="0000FF"/>
                </a:fgClr>
                <a:bgClr>
                  <a:srgbClr val="CCCCFF"/>
                </a:bgClr>
              </a:pattFill>
              <a:ln w="25400">
                <a:noFill/>
              </a:ln>
              <a:effectLst/>
            </c:spPr>
            <c:extLst>
              <c:ext xmlns:c16="http://schemas.microsoft.com/office/drawing/2014/chart" uri="{C3380CC4-5D6E-409C-BE32-E72D297353CC}">
                <c16:uniqueId val="{0000000B-4213-42FC-806D-5ED7F8D456B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Analysis!$B$5046:$B$5055</c:f>
              <c:strCache>
                <c:ptCount val="9"/>
                <c:pt idx="0">
                  <c:v>Guatemala</c:v>
                </c:pt>
                <c:pt idx="1">
                  <c:v>Bolivia</c:v>
                </c:pt>
                <c:pt idx="2">
                  <c:v>Paraguay</c:v>
                </c:pt>
                <c:pt idx="3">
                  <c:v>Colombia</c:v>
                </c:pt>
                <c:pt idx="4">
                  <c:v>Panama</c:v>
                </c:pt>
                <c:pt idx="5">
                  <c:v>Honduras (JV)</c:v>
                </c:pt>
                <c:pt idx="6">
                  <c:v>El Salvador</c:v>
                </c:pt>
                <c:pt idx="7">
                  <c:v>CR / Nic cable</c:v>
                </c:pt>
                <c:pt idx="8">
                  <c:v>Nicaragua wireless</c:v>
                </c:pt>
              </c:strCache>
            </c:strRef>
          </c:cat>
          <c:val>
            <c:numRef>
              <c:f>Analysis!$D$5046:$D$5055</c:f>
              <c:numCache>
                <c:formatCode>0%</c:formatCode>
                <c:ptCount val="10"/>
                <c:pt idx="0">
                  <c:v>0.36081092939160064</c:v>
                </c:pt>
                <c:pt idx="1">
                  <c:v>0.10182262455812167</c:v>
                </c:pt>
                <c:pt idx="2">
                  <c:v>0.10328933565320947</c:v>
                </c:pt>
                <c:pt idx="3">
                  <c:v>8.4944910246974759E-2</c:v>
                </c:pt>
                <c:pt idx="4">
                  <c:v>0.13686707306927082</c:v>
                </c:pt>
                <c:pt idx="5">
                  <c:v>7.2835861457167375E-2</c:v>
                </c:pt>
                <c:pt idx="6">
                  <c:v>7.4101616273479914E-2</c:v>
                </c:pt>
                <c:pt idx="7">
                  <c:v>3.5024049425803679E-2</c:v>
                </c:pt>
                <c:pt idx="8">
                  <c:v>3.0303599924371656E-2</c:v>
                </c:pt>
              </c:numCache>
            </c:numRef>
          </c:val>
          <c:extLst>
            <c:ext xmlns:c16="http://schemas.microsoft.com/office/drawing/2014/chart" uri="{C3380CC4-5D6E-409C-BE32-E72D297353CC}">
              <c16:uniqueId val="{00000000-4213-42FC-806D-5ED7F8D456B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5.116617803110577E-2"/>
          <c:y val="0.83578744309981123"/>
          <c:w val="0.94883382196889421"/>
          <c:h val="0.16421255690018877"/>
        </c:manualLayout>
      </c:layout>
      <c:overlay val="0"/>
      <c:spPr>
        <a:noFill/>
        <a:ln w="25400">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Analysis!$L$4913</c:f>
              <c:strCache>
                <c:ptCount val="1"/>
                <c:pt idx="0">
                  <c:v>Before IFRS 16</c:v>
                </c:pt>
              </c:strCache>
            </c:strRef>
          </c:tx>
          <c:spPr>
            <a:ln w="25400" cap="rnd">
              <a:solidFill>
                <a:srgbClr val="333399"/>
              </a:solidFill>
              <a:prstDash val="solid"/>
              <a:round/>
            </a:ln>
            <a:effectLst/>
          </c:spPr>
          <c:marker>
            <c:symbol val="none"/>
          </c:marker>
          <c:cat>
            <c:numRef>
              <c:f>Analysis!$M$4912:$Q$4912</c:f>
              <c:numCache>
                <c:formatCode>General</c:formatCode>
                <c:ptCount val="5"/>
                <c:pt idx="0">
                  <c:v>2021</c:v>
                </c:pt>
                <c:pt idx="1">
                  <c:v>2022</c:v>
                </c:pt>
                <c:pt idx="2">
                  <c:v>2023</c:v>
                </c:pt>
                <c:pt idx="3">
                  <c:v>2024</c:v>
                </c:pt>
                <c:pt idx="4">
                  <c:v>2025</c:v>
                </c:pt>
              </c:numCache>
            </c:numRef>
          </c:cat>
          <c:val>
            <c:numRef>
              <c:f>Analysis!$M$4913:$Q$4913</c:f>
              <c:numCache>
                <c:formatCode>0.00\x</c:formatCode>
                <c:ptCount val="5"/>
                <c:pt idx="0">
                  <c:v>2.6193513981997829</c:v>
                </c:pt>
                <c:pt idx="1">
                  <c:v>2.2744180441631987</c:v>
                </c:pt>
                <c:pt idx="2">
                  <c:v>1.9901600990403248</c:v>
                </c:pt>
                <c:pt idx="3">
                  <c:v>1.6998446420727966</c:v>
                </c:pt>
                <c:pt idx="4">
                  <c:v>1.4107668889467764</c:v>
                </c:pt>
              </c:numCache>
            </c:numRef>
          </c:val>
          <c:smooth val="0"/>
          <c:extLst>
            <c:ext xmlns:c16="http://schemas.microsoft.com/office/drawing/2014/chart" uri="{C3380CC4-5D6E-409C-BE32-E72D297353CC}">
              <c16:uniqueId val="{00000000-85AE-40CC-A31F-8C7323A7FC81}"/>
            </c:ext>
          </c:extLst>
        </c:ser>
        <c:ser>
          <c:idx val="1"/>
          <c:order val="1"/>
          <c:tx>
            <c:strRef>
              <c:f>Analysis!$L$4914</c:f>
              <c:strCache>
                <c:ptCount val="1"/>
                <c:pt idx="0">
                  <c:v>Before IAS 17</c:v>
                </c:pt>
              </c:strCache>
            </c:strRef>
          </c:tx>
          <c:spPr>
            <a:ln w="25400" cap="rnd">
              <a:solidFill>
                <a:srgbClr val="99CCFF"/>
              </a:solidFill>
              <a:prstDash val="solid"/>
              <a:round/>
            </a:ln>
            <a:effectLst/>
          </c:spPr>
          <c:marker>
            <c:symbol val="none"/>
          </c:marker>
          <c:cat>
            <c:numRef>
              <c:f>Analysis!$M$4912:$Q$4912</c:f>
              <c:numCache>
                <c:formatCode>General</c:formatCode>
                <c:ptCount val="5"/>
                <c:pt idx="0">
                  <c:v>2021</c:v>
                </c:pt>
                <c:pt idx="1">
                  <c:v>2022</c:v>
                </c:pt>
                <c:pt idx="2">
                  <c:v>2023</c:v>
                </c:pt>
                <c:pt idx="3">
                  <c:v>2024</c:v>
                </c:pt>
                <c:pt idx="4">
                  <c:v>2025</c:v>
                </c:pt>
              </c:numCache>
            </c:numRef>
          </c:cat>
          <c:val>
            <c:numRef>
              <c:f>Analysis!$M$4914:$Q$4914</c:f>
              <c:numCache>
                <c:formatCode>0.00\x</c:formatCode>
                <c:ptCount val="5"/>
                <c:pt idx="0">
                  <c:v>2.4793513981997828</c:v>
                </c:pt>
                <c:pt idx="1">
                  <c:v>2.1344180441631986</c:v>
                </c:pt>
                <c:pt idx="2">
                  <c:v>1.8501600990403246</c:v>
                </c:pt>
                <c:pt idx="3">
                  <c:v>1.5598446420727965</c:v>
                </c:pt>
                <c:pt idx="4">
                  <c:v>1.2707668889467763</c:v>
                </c:pt>
              </c:numCache>
            </c:numRef>
          </c:val>
          <c:smooth val="0"/>
          <c:extLst>
            <c:ext xmlns:c16="http://schemas.microsoft.com/office/drawing/2014/chart" uri="{C3380CC4-5D6E-409C-BE32-E72D297353CC}">
              <c16:uniqueId val="{00000001-85AE-40CC-A31F-8C7323A7FC81}"/>
            </c:ext>
          </c:extLst>
        </c:ser>
        <c:ser>
          <c:idx val="2"/>
          <c:order val="2"/>
          <c:tx>
            <c:strRef>
              <c:f>Analysis!$L$4915</c:f>
              <c:strCache>
                <c:ptCount val="1"/>
                <c:pt idx="0">
                  <c:v>New IFRS 16</c:v>
                </c:pt>
              </c:strCache>
            </c:strRef>
          </c:tx>
          <c:spPr>
            <a:ln w="25400" cap="rnd">
              <a:solidFill>
                <a:srgbClr val="333399"/>
              </a:solidFill>
              <a:prstDash val="lgDash"/>
              <a:round/>
            </a:ln>
            <a:effectLst/>
          </c:spPr>
          <c:marker>
            <c:symbol val="none"/>
          </c:marker>
          <c:cat>
            <c:numRef>
              <c:f>Analysis!$M$4912:$Q$4912</c:f>
              <c:numCache>
                <c:formatCode>General</c:formatCode>
                <c:ptCount val="5"/>
                <c:pt idx="0">
                  <c:v>2021</c:v>
                </c:pt>
                <c:pt idx="1">
                  <c:v>2022</c:v>
                </c:pt>
                <c:pt idx="2">
                  <c:v>2023</c:v>
                </c:pt>
                <c:pt idx="3">
                  <c:v>2024</c:v>
                </c:pt>
                <c:pt idx="4">
                  <c:v>2025</c:v>
                </c:pt>
              </c:numCache>
            </c:numRef>
          </c:cat>
          <c:val>
            <c:numRef>
              <c:f>Analysis!$M$4915:$Q$4915</c:f>
              <c:numCache>
                <c:formatCode>0.00\x</c:formatCode>
                <c:ptCount val="5"/>
                <c:pt idx="0">
                  <c:v>3.3618341823268256</c:v>
                </c:pt>
                <c:pt idx="1">
                  <c:v>2.8281884689185888</c:v>
                </c:pt>
                <c:pt idx="2">
                  <c:v>2.8175424630294943</c:v>
                </c:pt>
                <c:pt idx="3">
                  <c:v>2.4055310490137405</c:v>
                </c:pt>
                <c:pt idx="4">
                  <c:v>2.0585172672159535</c:v>
                </c:pt>
              </c:numCache>
            </c:numRef>
          </c:val>
          <c:smooth val="0"/>
          <c:extLst>
            <c:ext xmlns:c16="http://schemas.microsoft.com/office/drawing/2014/chart" uri="{C3380CC4-5D6E-409C-BE32-E72D297353CC}">
              <c16:uniqueId val="{00000002-85AE-40CC-A31F-8C7323A7FC81}"/>
            </c:ext>
          </c:extLst>
        </c:ser>
        <c:ser>
          <c:idx val="3"/>
          <c:order val="3"/>
          <c:tx>
            <c:strRef>
              <c:f>Analysis!$L$4916</c:f>
              <c:strCache>
                <c:ptCount val="1"/>
                <c:pt idx="0">
                  <c:v>New IAS 17</c:v>
                </c:pt>
              </c:strCache>
            </c:strRef>
          </c:tx>
          <c:spPr>
            <a:ln w="25400" cap="rnd">
              <a:solidFill>
                <a:srgbClr val="99CCFF"/>
              </a:solidFill>
              <a:prstDash val="lgDash"/>
              <a:round/>
            </a:ln>
            <a:effectLst/>
          </c:spPr>
          <c:marker>
            <c:symbol val="none"/>
          </c:marker>
          <c:cat>
            <c:numRef>
              <c:f>Analysis!$M$4912:$Q$4912</c:f>
              <c:numCache>
                <c:formatCode>General</c:formatCode>
                <c:ptCount val="5"/>
                <c:pt idx="0">
                  <c:v>2021</c:v>
                </c:pt>
                <c:pt idx="1">
                  <c:v>2022</c:v>
                </c:pt>
                <c:pt idx="2">
                  <c:v>2023</c:v>
                </c:pt>
                <c:pt idx="3">
                  <c:v>2024</c:v>
                </c:pt>
                <c:pt idx="4">
                  <c:v>2025</c:v>
                </c:pt>
              </c:numCache>
            </c:numRef>
          </c:cat>
          <c:val>
            <c:numRef>
              <c:f>Analysis!$M$4916:$Q$4916</c:f>
              <c:numCache>
                <c:formatCode>0.00\x</c:formatCode>
                <c:ptCount val="5"/>
                <c:pt idx="0">
                  <c:v>3.2218341823268255</c:v>
                </c:pt>
                <c:pt idx="1">
                  <c:v>2.6881884689185886</c:v>
                </c:pt>
                <c:pt idx="2">
                  <c:v>2.6775424630294942</c:v>
                </c:pt>
                <c:pt idx="3">
                  <c:v>2.2655310490137404</c:v>
                </c:pt>
                <c:pt idx="4">
                  <c:v>1.9185172672159534</c:v>
                </c:pt>
              </c:numCache>
            </c:numRef>
          </c:val>
          <c:smooth val="0"/>
          <c:extLst>
            <c:ext xmlns:c16="http://schemas.microsoft.com/office/drawing/2014/chart" uri="{C3380CC4-5D6E-409C-BE32-E72D297353CC}">
              <c16:uniqueId val="{00000003-85AE-40CC-A31F-8C7323A7FC81}"/>
            </c:ext>
          </c:extLst>
        </c:ser>
        <c:dLbls>
          <c:showLegendKey val="0"/>
          <c:showVal val="0"/>
          <c:showCatName val="0"/>
          <c:showSerName val="0"/>
          <c:showPercent val="0"/>
          <c:showBubbleSize val="0"/>
        </c:dLbls>
        <c:smooth val="0"/>
        <c:axId val="1017342256"/>
        <c:axId val="1017334352"/>
      </c:lineChart>
      <c:catAx>
        <c:axId val="101734225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17334352"/>
        <c:crosses val="autoZero"/>
        <c:auto val="1"/>
        <c:lblAlgn val="ctr"/>
        <c:lblOffset val="100"/>
        <c:noMultiLvlLbl val="0"/>
      </c:catAx>
      <c:valAx>
        <c:axId val="1017334352"/>
        <c:scaling>
          <c:orientation val="minMax"/>
          <c:min val="1"/>
        </c:scaling>
        <c:delete val="0"/>
        <c:axPos val="l"/>
        <c:majorGridlines>
          <c:spPr>
            <a:ln w="3175" cap="flat" cmpd="sng" algn="ctr">
              <a:solidFill>
                <a:srgbClr val="C0C0C0"/>
              </a:solidFill>
              <a:prstDash val="solid"/>
              <a:round/>
            </a:ln>
            <a:effectLst/>
          </c:spPr>
        </c:majorGridlines>
        <c:numFmt formatCode="0.00\x"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173422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Analysis!$D$5183:$L$5183</c:f>
              <c:strCache>
                <c:ptCount val="9"/>
                <c:pt idx="0">
                  <c:v>Q1 20</c:v>
                </c:pt>
                <c:pt idx="1">
                  <c:v>Q2 20</c:v>
                </c:pt>
                <c:pt idx="2">
                  <c:v>Q3 20</c:v>
                </c:pt>
                <c:pt idx="3">
                  <c:v>Q4 20</c:v>
                </c:pt>
                <c:pt idx="4">
                  <c:v>Q1 21</c:v>
                </c:pt>
                <c:pt idx="5">
                  <c:v>Q2 21</c:v>
                </c:pt>
                <c:pt idx="6">
                  <c:v>Q3 21</c:v>
                </c:pt>
                <c:pt idx="7">
                  <c:v>Q4 21</c:v>
                </c:pt>
                <c:pt idx="8">
                  <c:v>Q1 22</c:v>
                </c:pt>
              </c:strCache>
            </c:strRef>
          </c:cat>
          <c:val>
            <c:numRef>
              <c:f>Analysis!$D$5185:$L$5185</c:f>
              <c:numCache>
                <c:formatCode>General</c:formatCode>
                <c:ptCount val="9"/>
                <c:pt idx="0">
                  <c:v>36</c:v>
                </c:pt>
                <c:pt idx="1">
                  <c:v>27</c:v>
                </c:pt>
                <c:pt idx="2">
                  <c:v>27</c:v>
                </c:pt>
                <c:pt idx="3">
                  <c:v>33</c:v>
                </c:pt>
                <c:pt idx="4">
                  <c:v>29</c:v>
                </c:pt>
                <c:pt idx="5">
                  <c:v>30</c:v>
                </c:pt>
                <c:pt idx="6">
                  <c:v>30</c:v>
                </c:pt>
                <c:pt idx="7">
                  <c:v>50</c:v>
                </c:pt>
                <c:pt idx="8">
                  <c:v>36.328399999999988</c:v>
                </c:pt>
              </c:numCache>
            </c:numRef>
          </c:val>
          <c:extLst>
            <c:ext xmlns:c16="http://schemas.microsoft.com/office/drawing/2014/chart" uri="{C3380CC4-5D6E-409C-BE32-E72D297353CC}">
              <c16:uniqueId val="{00000000-D16F-477E-B244-E943E4B61052}"/>
            </c:ext>
          </c:extLst>
        </c:ser>
        <c:ser>
          <c:idx val="1"/>
          <c:order val="1"/>
          <c:spPr>
            <a:solidFill>
              <a:schemeClr val="accent2"/>
            </a:solidFill>
            <a:ln>
              <a:noFill/>
            </a:ln>
            <a:effectLst/>
          </c:spPr>
          <c:invertIfNegative val="0"/>
          <c:cat>
            <c:strRef>
              <c:f>Analysis!$D$5183:$L$5183</c:f>
              <c:strCache>
                <c:ptCount val="9"/>
                <c:pt idx="0">
                  <c:v>Q1 20</c:v>
                </c:pt>
                <c:pt idx="1">
                  <c:v>Q2 20</c:v>
                </c:pt>
                <c:pt idx="2">
                  <c:v>Q3 20</c:v>
                </c:pt>
                <c:pt idx="3">
                  <c:v>Q4 20</c:v>
                </c:pt>
                <c:pt idx="4">
                  <c:v>Q1 21</c:v>
                </c:pt>
                <c:pt idx="5">
                  <c:v>Q2 21</c:v>
                </c:pt>
                <c:pt idx="6">
                  <c:v>Q3 21</c:v>
                </c:pt>
                <c:pt idx="7">
                  <c:v>Q4 21</c:v>
                </c:pt>
                <c:pt idx="8">
                  <c:v>Q1 22</c:v>
                </c:pt>
              </c:strCache>
            </c:strRef>
          </c:cat>
          <c:val>
            <c:numRef>
              <c:f>Analysis!$D$5186:$L$5186</c:f>
              <c:numCache>
                <c:formatCode>General</c:formatCode>
                <c:ptCount val="9"/>
                <c:pt idx="7">
                  <c:v>50</c:v>
                </c:pt>
                <c:pt idx="8">
                  <c:v>50</c:v>
                </c:pt>
              </c:numCache>
            </c:numRef>
          </c:val>
          <c:extLst>
            <c:ext xmlns:c16="http://schemas.microsoft.com/office/drawing/2014/chart" uri="{C3380CC4-5D6E-409C-BE32-E72D297353CC}">
              <c16:uniqueId val="{00000002-D16F-477E-B244-E943E4B61052}"/>
            </c:ext>
          </c:extLst>
        </c:ser>
        <c:dLbls>
          <c:showLegendKey val="0"/>
          <c:showVal val="0"/>
          <c:showCatName val="0"/>
          <c:showSerName val="0"/>
          <c:showPercent val="0"/>
          <c:showBubbleSize val="0"/>
        </c:dLbls>
        <c:gapWidth val="219"/>
        <c:overlap val="-27"/>
        <c:axId val="635665615"/>
        <c:axId val="635666031"/>
      </c:barChart>
      <c:catAx>
        <c:axId val="635665615"/>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35666031"/>
        <c:crosses val="autoZero"/>
        <c:auto val="1"/>
        <c:lblAlgn val="ctr"/>
        <c:lblOffset val="100"/>
        <c:noMultiLvlLbl val="0"/>
      </c:catAx>
      <c:valAx>
        <c:axId val="635666031"/>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63566561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1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Analysis!$C$5349:$L$5349</c:f>
              <c:strCache>
                <c:ptCount val="10"/>
                <c:pt idx="0">
                  <c:v>Q1 22</c:v>
                </c:pt>
                <c:pt idx="1">
                  <c:v>Q2 22</c:v>
                </c:pt>
                <c:pt idx="2">
                  <c:v>Q3 22</c:v>
                </c:pt>
                <c:pt idx="3">
                  <c:v>#REF!</c:v>
                </c:pt>
                <c:pt idx="4">
                  <c:v>#REF!</c:v>
                </c:pt>
                <c:pt idx="5">
                  <c:v>#REF!</c:v>
                </c:pt>
                <c:pt idx="6">
                  <c:v>Q3 23e</c:v>
                </c:pt>
                <c:pt idx="7">
                  <c:v>Q4 23</c:v>
                </c:pt>
                <c:pt idx="8">
                  <c:v>2024</c:v>
                </c:pt>
                <c:pt idx="9">
                  <c:v>2024</c:v>
                </c:pt>
              </c:strCache>
            </c:strRef>
          </c:cat>
          <c:val>
            <c:numRef>
              <c:f>Analysis!$C$5353:$L$5353</c:f>
              <c:numCache>
                <c:formatCode>0.0%</c:formatCode>
                <c:ptCount val="10"/>
                <c:pt idx="0">
                  <c:v>8.0000000000000002E-3</c:v>
                </c:pt>
                <c:pt idx="1">
                  <c:v>1.1000000000000001E-2</c:v>
                </c:pt>
                <c:pt idx="2">
                  <c:v>-5.0000000000000001E-3</c:v>
                </c:pt>
                <c:pt idx="3">
                  <c:v>0</c:v>
                </c:pt>
                <c:pt idx="4">
                  <c:v>0</c:v>
                </c:pt>
                <c:pt idx="5">
                  <c:v>0</c:v>
                </c:pt>
                <c:pt idx="6">
                  <c:v>-0.01</c:v>
                </c:pt>
                <c:pt idx="7">
                  <c:v>-2.3E-2</c:v>
                </c:pt>
                <c:pt idx="8" formatCode="0%">
                  <c:v>2.8394473558837507E-2</c:v>
                </c:pt>
                <c:pt idx="9" formatCode="0%">
                  <c:v>2.5999999999999999E-2</c:v>
                </c:pt>
              </c:numCache>
            </c:numRef>
          </c:val>
          <c:smooth val="0"/>
          <c:extLst>
            <c:ext xmlns:c16="http://schemas.microsoft.com/office/drawing/2014/chart" uri="{C3380CC4-5D6E-409C-BE32-E72D297353CC}">
              <c16:uniqueId val="{00000000-07BA-4E04-8C35-AC1767993C31}"/>
            </c:ext>
          </c:extLst>
        </c:ser>
        <c:dLbls>
          <c:showLegendKey val="0"/>
          <c:showVal val="0"/>
          <c:showCatName val="0"/>
          <c:showSerName val="0"/>
          <c:showPercent val="0"/>
          <c:showBubbleSize val="0"/>
        </c:dLbls>
        <c:smooth val="0"/>
        <c:axId val="1460670192"/>
        <c:axId val="1460671856"/>
      </c:lineChart>
      <c:catAx>
        <c:axId val="1460670192"/>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100" b="0" i="0" u="none" strike="noStrike" kern="1200" baseline="0">
                <a:solidFill>
                  <a:srgbClr val="595959"/>
                </a:solidFill>
                <a:latin typeface="Helvetica Neue"/>
                <a:ea typeface="Helvetica Neue"/>
                <a:cs typeface="Helvetica Neue"/>
              </a:defRPr>
            </a:pPr>
            <a:endParaRPr lang="en-US"/>
          </a:p>
        </c:txPr>
        <c:crossAx val="1460671856"/>
        <c:crosses val="autoZero"/>
        <c:auto val="1"/>
        <c:lblAlgn val="ctr"/>
        <c:lblOffset val="100"/>
        <c:noMultiLvlLbl val="0"/>
      </c:catAx>
      <c:valAx>
        <c:axId val="1460671856"/>
        <c:scaling>
          <c:orientation val="minMax"/>
        </c:scaling>
        <c:delete val="1"/>
        <c:axPos val="l"/>
        <c:numFmt formatCode="0.0%" sourceLinked="1"/>
        <c:majorTickMark val="out"/>
        <c:minorTickMark val="none"/>
        <c:tickLblPos val="nextTo"/>
        <c:crossAx val="14606701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1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Analysis!$B$5525</c:f>
              <c:strCache>
                <c:ptCount val="1"/>
                <c:pt idx="0">
                  <c:v>New</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Analysis!$C$5524:$F$5524</c:f>
              <c:numCache>
                <c:formatCode>General</c:formatCode>
                <c:ptCount val="4"/>
                <c:pt idx="0">
                  <c:v>2023</c:v>
                </c:pt>
                <c:pt idx="1">
                  <c:v>2024</c:v>
                </c:pt>
                <c:pt idx="2">
                  <c:v>2025</c:v>
                </c:pt>
                <c:pt idx="3">
                  <c:v>2026</c:v>
                </c:pt>
              </c:numCache>
            </c:numRef>
          </c:cat>
          <c:val>
            <c:numRef>
              <c:f>Analysis!$C$5525:$F$5525</c:f>
              <c:numCache>
                <c:formatCode>0</c:formatCode>
                <c:ptCount val="4"/>
                <c:pt idx="0">
                  <c:v>809</c:v>
                </c:pt>
                <c:pt idx="1">
                  <c:v>743.43599501951292</c:v>
                </c:pt>
                <c:pt idx="2">
                  <c:v>642.75648302236209</c:v>
                </c:pt>
                <c:pt idx="3">
                  <c:v>662.07541764864868</c:v>
                </c:pt>
              </c:numCache>
            </c:numRef>
          </c:val>
          <c:extLst>
            <c:ext xmlns:c16="http://schemas.microsoft.com/office/drawing/2014/chart" uri="{C3380CC4-5D6E-409C-BE32-E72D297353CC}">
              <c16:uniqueId val="{00000000-42FA-4B3B-8E8C-BFC47202C8D2}"/>
            </c:ext>
          </c:extLst>
        </c:ser>
        <c:ser>
          <c:idx val="1"/>
          <c:order val="1"/>
          <c:tx>
            <c:strRef>
              <c:f>Analysis!$B$5526</c:f>
              <c:strCache>
                <c:ptCount val="1"/>
                <c:pt idx="0">
                  <c:v>Old</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Analysis!$C$5524:$F$5524</c:f>
              <c:numCache>
                <c:formatCode>General</c:formatCode>
                <c:ptCount val="4"/>
                <c:pt idx="0">
                  <c:v>2023</c:v>
                </c:pt>
                <c:pt idx="1">
                  <c:v>2024</c:v>
                </c:pt>
                <c:pt idx="2">
                  <c:v>2025</c:v>
                </c:pt>
                <c:pt idx="3">
                  <c:v>2026</c:v>
                </c:pt>
              </c:numCache>
            </c:numRef>
          </c:cat>
          <c:val>
            <c:numRef>
              <c:f>Analysis!$C$5526:$F$5526</c:f>
              <c:numCache>
                <c:formatCode>0</c:formatCode>
                <c:ptCount val="4"/>
                <c:pt idx="0">
                  <c:v>964.01643410227894</c:v>
                </c:pt>
                <c:pt idx="1">
                  <c:v>967.53657860763826</c:v>
                </c:pt>
                <c:pt idx="2">
                  <c:v>987.08569973185547</c:v>
                </c:pt>
                <c:pt idx="3">
                  <c:v>1008.8548587467662</c:v>
                </c:pt>
              </c:numCache>
            </c:numRef>
          </c:val>
          <c:extLst>
            <c:ext xmlns:c16="http://schemas.microsoft.com/office/drawing/2014/chart" uri="{C3380CC4-5D6E-409C-BE32-E72D297353CC}">
              <c16:uniqueId val="{00000001-42FA-4B3B-8E8C-BFC47202C8D2}"/>
            </c:ext>
          </c:extLst>
        </c:ser>
        <c:dLbls>
          <c:showLegendKey val="0"/>
          <c:showVal val="0"/>
          <c:showCatName val="0"/>
          <c:showSerName val="0"/>
          <c:showPercent val="0"/>
          <c:showBubbleSize val="0"/>
        </c:dLbls>
        <c:gapWidth val="30"/>
        <c:overlap val="-27"/>
        <c:axId val="237846000"/>
        <c:axId val="237846960"/>
      </c:barChart>
      <c:catAx>
        <c:axId val="23784600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237846960"/>
        <c:crosses val="autoZero"/>
        <c:auto val="1"/>
        <c:lblAlgn val="ctr"/>
        <c:lblOffset val="100"/>
        <c:noMultiLvlLbl val="0"/>
      </c:catAx>
      <c:valAx>
        <c:axId val="237846960"/>
        <c:scaling>
          <c:orientation val="minMax"/>
        </c:scaling>
        <c:delete val="1"/>
        <c:axPos val="l"/>
        <c:numFmt formatCode="0" sourceLinked="1"/>
        <c:majorTickMark val="out"/>
        <c:minorTickMark val="none"/>
        <c:tickLblPos val="nextTo"/>
        <c:crossAx val="2378460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Analysis!$B$5548</c:f>
              <c:strCache>
                <c:ptCount val="1"/>
                <c:pt idx="0">
                  <c:v>New</c:v>
                </c:pt>
              </c:strCache>
            </c:strRef>
          </c:tx>
          <c:spPr>
            <a:ln w="25400" cap="rnd">
              <a:solidFill>
                <a:srgbClr val="263238"/>
              </a:solidFill>
              <a:prstDash val="solid"/>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Analysis!$C$5547:$H$5547</c:f>
              <c:numCache>
                <c:formatCode>General</c:formatCode>
                <c:ptCount val="6"/>
                <c:pt idx="0">
                  <c:v>2023</c:v>
                </c:pt>
                <c:pt idx="1">
                  <c:v>2024</c:v>
                </c:pt>
                <c:pt idx="2">
                  <c:v>2025</c:v>
                </c:pt>
                <c:pt idx="3">
                  <c:v>2026</c:v>
                </c:pt>
                <c:pt idx="4">
                  <c:v>2027</c:v>
                </c:pt>
                <c:pt idx="5">
                  <c:v>2028</c:v>
                </c:pt>
              </c:numCache>
            </c:numRef>
          </c:cat>
          <c:val>
            <c:numRef>
              <c:f>Analysis!$C$5548:$H$5548</c:f>
              <c:numCache>
                <c:formatCode>0.0%</c:formatCode>
                <c:ptCount val="6"/>
                <c:pt idx="0">
                  <c:v>0.1429076134958488</c:v>
                </c:pt>
                <c:pt idx="1">
                  <c:v>0.12808456159564907</c:v>
                </c:pt>
                <c:pt idx="2">
                  <c:v>0.11635802951551297</c:v>
                </c:pt>
                <c:pt idx="3">
                  <c:v>0.1181633339455864</c:v>
                </c:pt>
                <c:pt idx="4">
                  <c:v>0.12151432745097397</c:v>
                </c:pt>
                <c:pt idx="5">
                  <c:v>0.1262620992090886</c:v>
                </c:pt>
              </c:numCache>
            </c:numRef>
          </c:val>
          <c:smooth val="0"/>
          <c:extLst>
            <c:ext xmlns:c16="http://schemas.microsoft.com/office/drawing/2014/chart" uri="{C3380CC4-5D6E-409C-BE32-E72D297353CC}">
              <c16:uniqueId val="{00000000-EB39-47D4-A911-1ADBCB31588D}"/>
            </c:ext>
          </c:extLst>
        </c:ser>
        <c:ser>
          <c:idx val="1"/>
          <c:order val="1"/>
          <c:tx>
            <c:strRef>
              <c:f>Analysis!$B$5549</c:f>
              <c:strCache>
                <c:ptCount val="1"/>
                <c:pt idx="0">
                  <c:v>Old</c:v>
                </c:pt>
              </c:strCache>
            </c:strRef>
          </c:tx>
          <c:spPr>
            <a:ln w="25400" cap="rnd">
              <a:solidFill>
                <a:srgbClr val="799098"/>
              </a:solidFill>
              <a:prstDash val="solid"/>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Analysis!$C$5547:$H$5547</c:f>
              <c:numCache>
                <c:formatCode>General</c:formatCode>
                <c:ptCount val="6"/>
                <c:pt idx="0">
                  <c:v>2023</c:v>
                </c:pt>
                <c:pt idx="1">
                  <c:v>2024</c:v>
                </c:pt>
                <c:pt idx="2">
                  <c:v>2025</c:v>
                </c:pt>
                <c:pt idx="3">
                  <c:v>2026</c:v>
                </c:pt>
                <c:pt idx="4">
                  <c:v>2027</c:v>
                </c:pt>
                <c:pt idx="5">
                  <c:v>2028</c:v>
                </c:pt>
              </c:numCache>
            </c:numRef>
          </c:cat>
          <c:val>
            <c:numRef>
              <c:f>Analysis!$C$5549:$H$5549</c:f>
              <c:numCache>
                <c:formatCode>0.0%</c:formatCode>
                <c:ptCount val="6"/>
                <c:pt idx="0">
                  <c:v>0.17087598097963522</c:v>
                </c:pt>
                <c:pt idx="1">
                  <c:v>0.16688129053599632</c:v>
                </c:pt>
                <c:pt idx="2">
                  <c:v>0.16510822275016671</c:v>
                </c:pt>
                <c:pt idx="3">
                  <c:v>0.16396403795150516</c:v>
                </c:pt>
                <c:pt idx="4">
                  <c:v>0.16282444294070833</c:v>
                </c:pt>
                <c:pt idx="5">
                  <c:v>0.16169021800972372</c:v>
                </c:pt>
              </c:numCache>
            </c:numRef>
          </c:val>
          <c:smooth val="0"/>
          <c:extLst>
            <c:ext xmlns:c16="http://schemas.microsoft.com/office/drawing/2014/chart" uri="{C3380CC4-5D6E-409C-BE32-E72D297353CC}">
              <c16:uniqueId val="{00000001-EB39-47D4-A911-1ADBCB31588D}"/>
            </c:ext>
          </c:extLst>
        </c:ser>
        <c:dLbls>
          <c:showLegendKey val="0"/>
          <c:showVal val="0"/>
          <c:showCatName val="0"/>
          <c:showSerName val="0"/>
          <c:showPercent val="0"/>
          <c:showBubbleSize val="0"/>
        </c:dLbls>
        <c:smooth val="0"/>
        <c:axId val="237867600"/>
        <c:axId val="237859920"/>
      </c:lineChart>
      <c:catAx>
        <c:axId val="23786760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237859920"/>
        <c:crosses val="autoZero"/>
        <c:auto val="1"/>
        <c:lblAlgn val="ctr"/>
        <c:lblOffset val="100"/>
        <c:noMultiLvlLbl val="0"/>
      </c:catAx>
      <c:valAx>
        <c:axId val="237859920"/>
        <c:scaling>
          <c:orientation val="minMax"/>
        </c:scaling>
        <c:delete val="1"/>
        <c:axPos val="l"/>
        <c:numFmt formatCode="0.0%" sourceLinked="1"/>
        <c:majorTickMark val="out"/>
        <c:minorTickMark val="none"/>
        <c:tickLblPos val="nextTo"/>
        <c:crossAx val="2378676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Analysis!$B$5555</c:f>
              <c:strCache>
                <c:ptCount val="1"/>
                <c:pt idx="0">
                  <c:v>New</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Analysis!$C$5554:$F$5554</c:f>
              <c:numCache>
                <c:formatCode>General</c:formatCode>
                <c:ptCount val="4"/>
                <c:pt idx="0">
                  <c:v>2023</c:v>
                </c:pt>
                <c:pt idx="1">
                  <c:v>2024</c:v>
                </c:pt>
                <c:pt idx="2">
                  <c:v>2025</c:v>
                </c:pt>
                <c:pt idx="3">
                  <c:v>2026</c:v>
                </c:pt>
              </c:numCache>
            </c:numRef>
          </c:cat>
          <c:val>
            <c:numRef>
              <c:f>Analysis!$C$5555:$F$5555</c:f>
              <c:numCache>
                <c:formatCode>#,##0</c:formatCode>
                <c:ptCount val="4"/>
                <c:pt idx="0">
                  <c:v>2111.2855</c:v>
                </c:pt>
                <c:pt idx="1">
                  <c:v>2468.6458000000002</c:v>
                </c:pt>
                <c:pt idx="2">
                  <c:v>2381.685419914671</c:v>
                </c:pt>
                <c:pt idx="3">
                  <c:v>2396.1990022089599</c:v>
                </c:pt>
              </c:numCache>
            </c:numRef>
          </c:val>
          <c:extLst>
            <c:ext xmlns:c16="http://schemas.microsoft.com/office/drawing/2014/chart" uri="{C3380CC4-5D6E-409C-BE32-E72D297353CC}">
              <c16:uniqueId val="{00000000-8C50-4BAB-BD92-2BCDF00257EF}"/>
            </c:ext>
          </c:extLst>
        </c:ser>
        <c:ser>
          <c:idx val="1"/>
          <c:order val="1"/>
          <c:tx>
            <c:strRef>
              <c:f>Analysis!$B$5556</c:f>
              <c:strCache>
                <c:ptCount val="1"/>
                <c:pt idx="0">
                  <c:v>Old</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Analysis!$C$5554:$F$5554</c:f>
              <c:numCache>
                <c:formatCode>General</c:formatCode>
                <c:ptCount val="4"/>
                <c:pt idx="0">
                  <c:v>2023</c:v>
                </c:pt>
                <c:pt idx="1">
                  <c:v>2024</c:v>
                </c:pt>
                <c:pt idx="2">
                  <c:v>2025</c:v>
                </c:pt>
                <c:pt idx="3">
                  <c:v>2026</c:v>
                </c:pt>
              </c:numCache>
            </c:numRef>
          </c:cat>
          <c:val>
            <c:numRef>
              <c:f>Analysis!$C$5556:$F$5556</c:f>
              <c:numCache>
                <c:formatCode>#,##0</c:formatCode>
                <c:ptCount val="4"/>
                <c:pt idx="0">
                  <c:v>2237.8243861473566</c:v>
                </c:pt>
                <c:pt idx="1">
                  <c:v>2303.177655485149</c:v>
                </c:pt>
                <c:pt idx="2">
                  <c:v>2389.9588964149434</c:v>
                </c:pt>
                <c:pt idx="3">
                  <c:v>2449.0369434391514</c:v>
                </c:pt>
              </c:numCache>
            </c:numRef>
          </c:val>
          <c:extLst>
            <c:ext xmlns:c16="http://schemas.microsoft.com/office/drawing/2014/chart" uri="{C3380CC4-5D6E-409C-BE32-E72D297353CC}">
              <c16:uniqueId val="{00000001-8C50-4BAB-BD92-2BCDF00257EF}"/>
            </c:ext>
          </c:extLst>
        </c:ser>
        <c:dLbls>
          <c:showLegendKey val="0"/>
          <c:showVal val="0"/>
          <c:showCatName val="0"/>
          <c:showSerName val="0"/>
          <c:showPercent val="0"/>
          <c:showBubbleSize val="0"/>
        </c:dLbls>
        <c:gapWidth val="30"/>
        <c:overlap val="-27"/>
        <c:axId val="237894960"/>
        <c:axId val="237891600"/>
      </c:barChart>
      <c:catAx>
        <c:axId val="23789496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237891600"/>
        <c:crosses val="autoZero"/>
        <c:auto val="1"/>
        <c:lblAlgn val="ctr"/>
        <c:lblOffset val="100"/>
        <c:noMultiLvlLbl val="0"/>
      </c:catAx>
      <c:valAx>
        <c:axId val="237891600"/>
        <c:scaling>
          <c:orientation val="minMax"/>
          <c:min val="2000"/>
        </c:scaling>
        <c:delete val="1"/>
        <c:axPos val="l"/>
        <c:numFmt formatCode="#,##0" sourceLinked="1"/>
        <c:majorTickMark val="out"/>
        <c:minorTickMark val="none"/>
        <c:tickLblPos val="nextTo"/>
        <c:crossAx val="2378949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'Earning snaps'!$B$153</c:f>
              <c:strCache>
                <c:ptCount val="1"/>
                <c:pt idx="0">
                  <c:v>IAS 17</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 snaps'!$Q$150:$AA$150</c:f>
              <c:strCache>
                <c:ptCount val="11"/>
                <c:pt idx="0">
                  <c:v>Q2 22</c:v>
                </c:pt>
                <c:pt idx="1">
                  <c:v>Q3 22</c:v>
                </c:pt>
                <c:pt idx="2">
                  <c:v>Q4 22</c:v>
                </c:pt>
                <c:pt idx="3">
                  <c:v>Q1 23</c:v>
                </c:pt>
                <c:pt idx="4">
                  <c:v>Q2 23</c:v>
                </c:pt>
                <c:pt idx="5">
                  <c:v>Q3 23</c:v>
                </c:pt>
                <c:pt idx="6">
                  <c:v>Q4 23</c:v>
                </c:pt>
                <c:pt idx="7">
                  <c:v>Q1 24</c:v>
                </c:pt>
                <c:pt idx="8">
                  <c:v>Q2 24</c:v>
                </c:pt>
                <c:pt idx="9">
                  <c:v>Q3 24</c:v>
                </c:pt>
                <c:pt idx="10">
                  <c:v>Q4 24</c:v>
                </c:pt>
              </c:strCache>
            </c:strRef>
          </c:cat>
          <c:val>
            <c:numRef>
              <c:f>'Earning snaps'!$Q$153:$AA$153</c:f>
              <c:numCache>
                <c:formatCode>0.00</c:formatCode>
                <c:ptCount val="11"/>
                <c:pt idx="0">
                  <c:v>3.04</c:v>
                </c:pt>
                <c:pt idx="1">
                  <c:v>3.03</c:v>
                </c:pt>
                <c:pt idx="2">
                  <c:v>2.99</c:v>
                </c:pt>
                <c:pt idx="3">
                  <c:v>3.18</c:v>
                </c:pt>
                <c:pt idx="4">
                  <c:v>3.34</c:v>
                </c:pt>
                <c:pt idx="5">
                  <c:v>3.32</c:v>
                </c:pt>
                <c:pt idx="6">
                  <c:v>3.29</c:v>
                </c:pt>
                <c:pt idx="7">
                  <c:v>3.1</c:v>
                </c:pt>
                <c:pt idx="8">
                  <c:v>2.77</c:v>
                </c:pt>
                <c:pt idx="9">
                  <c:v>2.59</c:v>
                </c:pt>
                <c:pt idx="10">
                  <c:v>2.42</c:v>
                </c:pt>
              </c:numCache>
            </c:numRef>
          </c:val>
          <c:smooth val="0"/>
          <c:extLst>
            <c:ext xmlns:c16="http://schemas.microsoft.com/office/drawing/2014/chart" uri="{C3380CC4-5D6E-409C-BE32-E72D297353CC}">
              <c16:uniqueId val="{00000000-96AF-4D4E-A9CA-D5AA75EDF64E}"/>
            </c:ext>
          </c:extLst>
        </c:ser>
        <c:ser>
          <c:idx val="1"/>
          <c:order val="1"/>
          <c:tx>
            <c:strRef>
              <c:f>'Earning snaps'!$B$155</c:f>
              <c:strCache>
                <c:ptCount val="1"/>
                <c:pt idx="0">
                  <c:v>IAS 17 2024 "target"</c:v>
                </c:pt>
              </c:strCache>
            </c:strRef>
          </c:tx>
          <c:spPr>
            <a:ln w="28575" cap="rnd">
              <a:solidFill>
                <a:srgbClr val="799098"/>
              </a:solidFill>
              <a:prstDash val="solid"/>
              <a:round/>
            </a:ln>
            <a:effectLst/>
          </c:spPr>
          <c:marker>
            <c:symbol val="none"/>
          </c:marker>
          <c:dLbls>
            <c:delete val="1"/>
          </c:dLbls>
          <c:cat>
            <c:strRef>
              <c:f>'Earning snaps'!$Q$150:$AA$150</c:f>
              <c:strCache>
                <c:ptCount val="11"/>
                <c:pt idx="0">
                  <c:v>Q2 22</c:v>
                </c:pt>
                <c:pt idx="1">
                  <c:v>Q3 22</c:v>
                </c:pt>
                <c:pt idx="2">
                  <c:v>Q4 22</c:v>
                </c:pt>
                <c:pt idx="3">
                  <c:v>Q1 23</c:v>
                </c:pt>
                <c:pt idx="4">
                  <c:v>Q2 23</c:v>
                </c:pt>
                <c:pt idx="5">
                  <c:v>Q3 23</c:v>
                </c:pt>
                <c:pt idx="6">
                  <c:v>Q4 23</c:v>
                </c:pt>
                <c:pt idx="7">
                  <c:v>Q1 24</c:v>
                </c:pt>
                <c:pt idx="8">
                  <c:v>Q2 24</c:v>
                </c:pt>
                <c:pt idx="9">
                  <c:v>Q3 24</c:v>
                </c:pt>
                <c:pt idx="10">
                  <c:v>Q4 24</c:v>
                </c:pt>
              </c:strCache>
            </c:strRef>
          </c:cat>
          <c:val>
            <c:numRef>
              <c:f>'Earning snaps'!$Q$155:$AA$155</c:f>
              <c:numCache>
                <c:formatCode>0.00</c:formatCode>
                <c:ptCount val="11"/>
                <c:pt idx="0">
                  <c:v>2.5</c:v>
                </c:pt>
                <c:pt idx="1">
                  <c:v>2.5</c:v>
                </c:pt>
                <c:pt idx="2">
                  <c:v>2.5</c:v>
                </c:pt>
                <c:pt idx="3">
                  <c:v>2.5</c:v>
                </c:pt>
                <c:pt idx="4">
                  <c:v>2.5</c:v>
                </c:pt>
                <c:pt idx="5">
                  <c:v>2.5</c:v>
                </c:pt>
                <c:pt idx="6">
                  <c:v>2.5</c:v>
                </c:pt>
                <c:pt idx="7">
                  <c:v>2.5</c:v>
                </c:pt>
                <c:pt idx="8">
                  <c:v>2.5</c:v>
                </c:pt>
                <c:pt idx="9">
                  <c:v>2.5</c:v>
                </c:pt>
                <c:pt idx="10">
                  <c:v>2.5</c:v>
                </c:pt>
              </c:numCache>
            </c:numRef>
          </c:val>
          <c:smooth val="0"/>
          <c:extLst>
            <c:ext xmlns:c16="http://schemas.microsoft.com/office/drawing/2014/chart" uri="{C3380CC4-5D6E-409C-BE32-E72D297353CC}">
              <c16:uniqueId val="{00000001-96AF-4D4E-A9CA-D5AA75EDF64E}"/>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Analysis!$B$5574</c:f>
              <c:strCache>
                <c:ptCount val="1"/>
                <c:pt idx="0">
                  <c:v>New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Analysis!$C$5573:$E$5573</c:f>
              <c:numCache>
                <c:formatCode>General</c:formatCode>
                <c:ptCount val="3"/>
                <c:pt idx="0">
                  <c:v>2022</c:v>
                </c:pt>
                <c:pt idx="1">
                  <c:v>2023</c:v>
                </c:pt>
                <c:pt idx="2">
                  <c:v>2024</c:v>
                </c:pt>
              </c:numCache>
            </c:numRef>
          </c:cat>
          <c:val>
            <c:numRef>
              <c:f>Analysis!$C$5574:$E$5574</c:f>
              <c:numCache>
                <c:formatCode>#,##0</c:formatCode>
                <c:ptCount val="3"/>
                <c:pt idx="0">
                  <c:v>160.20499999999976</c:v>
                </c:pt>
                <c:pt idx="1">
                  <c:v>-35.714500000000044</c:v>
                </c:pt>
                <c:pt idx="2">
                  <c:v>778.64580000000024</c:v>
                </c:pt>
              </c:numCache>
            </c:numRef>
          </c:val>
          <c:extLst>
            <c:ext xmlns:c16="http://schemas.microsoft.com/office/drawing/2014/chart" uri="{C3380CC4-5D6E-409C-BE32-E72D297353CC}">
              <c16:uniqueId val="{00000000-98E4-4E1C-B8E0-CD2F20F75BC0}"/>
            </c:ext>
          </c:extLst>
        </c:ser>
        <c:ser>
          <c:idx val="1"/>
          <c:order val="1"/>
          <c:tx>
            <c:strRef>
              <c:f>Analysis!$B$5575</c:f>
              <c:strCache>
                <c:ptCount val="1"/>
                <c:pt idx="0">
                  <c:v>Old</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Analysis!$C$5573:$E$5573</c:f>
              <c:numCache>
                <c:formatCode>General</c:formatCode>
                <c:ptCount val="3"/>
                <c:pt idx="0">
                  <c:v>2022</c:v>
                </c:pt>
                <c:pt idx="1">
                  <c:v>2023</c:v>
                </c:pt>
                <c:pt idx="2">
                  <c:v>2024</c:v>
                </c:pt>
              </c:numCache>
            </c:numRef>
          </c:cat>
          <c:val>
            <c:numRef>
              <c:f>Analysis!$C$5575:$E$5575</c:f>
              <c:numCache>
                <c:formatCode>0</c:formatCode>
                <c:ptCount val="3"/>
                <c:pt idx="0">
                  <c:v>2182.2049999999999</c:v>
                </c:pt>
                <c:pt idx="1">
                  <c:v>1987.2855</c:v>
                </c:pt>
                <c:pt idx="2">
                  <c:v>2802.6458000000002</c:v>
                </c:pt>
              </c:numCache>
            </c:numRef>
          </c:val>
          <c:extLst>
            <c:ext xmlns:c16="http://schemas.microsoft.com/office/drawing/2014/chart" uri="{C3380CC4-5D6E-409C-BE32-E72D297353CC}">
              <c16:uniqueId val="{00000001-98E4-4E1C-B8E0-CD2F20F75BC0}"/>
            </c:ext>
          </c:extLst>
        </c:ser>
        <c:dLbls>
          <c:showLegendKey val="0"/>
          <c:showVal val="0"/>
          <c:showCatName val="0"/>
          <c:showSerName val="0"/>
          <c:showPercent val="0"/>
          <c:showBubbleSize val="0"/>
        </c:dLbls>
        <c:gapWidth val="30"/>
        <c:overlap val="-27"/>
        <c:axId val="1082261215"/>
        <c:axId val="1082249695"/>
      </c:barChart>
      <c:catAx>
        <c:axId val="108226121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82249695"/>
        <c:crosses val="autoZero"/>
        <c:auto val="1"/>
        <c:lblAlgn val="ctr"/>
        <c:lblOffset val="100"/>
        <c:noMultiLvlLbl val="0"/>
      </c:catAx>
      <c:valAx>
        <c:axId val="1082249695"/>
        <c:scaling>
          <c:orientation val="minMax"/>
        </c:scaling>
        <c:delete val="1"/>
        <c:axPos val="l"/>
        <c:numFmt formatCode="#,##0" sourceLinked="1"/>
        <c:majorTickMark val="out"/>
        <c:minorTickMark val="none"/>
        <c:tickLblPos val="nextTo"/>
        <c:crossAx val="108226121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5400" cap="rnd">
              <a:solidFill>
                <a:srgbClr val="263238"/>
              </a:solidFill>
              <a:prstDash val="solid"/>
              <a:round/>
            </a:ln>
            <a:effectLst/>
          </c:spPr>
          <c:marker>
            <c:symbol val="none"/>
          </c:marker>
          <c:dLbls>
            <c:numFmt formatCode="0.00\x"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Analysis!$D$5597:$M$5597</c:f>
              <c:strCache>
                <c:ptCount val="10"/>
                <c:pt idx="0">
                  <c:v>Q1 22</c:v>
                </c:pt>
                <c:pt idx="1">
                  <c:v>Q2 22</c:v>
                </c:pt>
                <c:pt idx="2">
                  <c:v>Q3 22</c:v>
                </c:pt>
                <c:pt idx="3">
                  <c:v>Q4 22</c:v>
                </c:pt>
                <c:pt idx="4">
                  <c:v>Q1 23</c:v>
                </c:pt>
                <c:pt idx="5">
                  <c:v>#REF!</c:v>
                </c:pt>
                <c:pt idx="6">
                  <c:v>Q3 23e</c:v>
                </c:pt>
                <c:pt idx="7">
                  <c:v>Q4 23</c:v>
                </c:pt>
                <c:pt idx="8">
                  <c:v>2024</c:v>
                </c:pt>
                <c:pt idx="9">
                  <c:v>2025</c:v>
                </c:pt>
              </c:strCache>
            </c:strRef>
          </c:cat>
          <c:val>
            <c:numRef>
              <c:f>Analysis!$D$5598:$M$5598</c:f>
              <c:numCache>
                <c:formatCode>0.00\x</c:formatCode>
                <c:ptCount val="10"/>
                <c:pt idx="0">
                  <c:v>3.46</c:v>
                </c:pt>
                <c:pt idx="1">
                  <c:v>3.14</c:v>
                </c:pt>
                <c:pt idx="2">
                  <c:v>3.12</c:v>
                </c:pt>
                <c:pt idx="3">
                  <c:v>3.04</c:v>
                </c:pt>
                <c:pt idx="4">
                  <c:v>3.23</c:v>
                </c:pt>
                <c:pt idx="5">
                  <c:v>0</c:v>
                </c:pt>
                <c:pt idx="6">
                  <c:v>0</c:v>
                </c:pt>
                <c:pt idx="7">
                  <c:v>0</c:v>
                </c:pt>
                <c:pt idx="8">
                  <c:v>2.4827377017796555</c:v>
                </c:pt>
                <c:pt idx="9">
                  <c:v>2.2722745797198325</c:v>
                </c:pt>
              </c:numCache>
            </c:numRef>
          </c:val>
          <c:smooth val="0"/>
          <c:extLst>
            <c:ext xmlns:c16="http://schemas.microsoft.com/office/drawing/2014/chart" uri="{C3380CC4-5D6E-409C-BE32-E72D297353CC}">
              <c16:uniqueId val="{00000000-A98C-497D-950F-1C456F9619F2}"/>
            </c:ext>
          </c:extLst>
        </c:ser>
        <c:dLbls>
          <c:showLegendKey val="0"/>
          <c:showVal val="0"/>
          <c:showCatName val="0"/>
          <c:showSerName val="0"/>
          <c:showPercent val="0"/>
          <c:showBubbleSize val="0"/>
        </c:dLbls>
        <c:smooth val="0"/>
        <c:axId val="1082179615"/>
        <c:axId val="1082160415"/>
      </c:lineChart>
      <c:catAx>
        <c:axId val="108217961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82160415"/>
        <c:crosses val="autoZero"/>
        <c:auto val="1"/>
        <c:lblAlgn val="ctr"/>
        <c:lblOffset val="100"/>
        <c:noMultiLvlLbl val="0"/>
      </c:catAx>
      <c:valAx>
        <c:axId val="1082160415"/>
        <c:scaling>
          <c:orientation val="minMax"/>
        </c:scaling>
        <c:delete val="1"/>
        <c:axPos val="l"/>
        <c:numFmt formatCode="0.00\x" sourceLinked="1"/>
        <c:majorTickMark val="out"/>
        <c:minorTickMark val="none"/>
        <c:tickLblPos val="nextTo"/>
        <c:crossAx val="108217961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chemeClr val="bg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FFB2-455D-AAE9-17872101964E}"/>
              </c:ext>
            </c:extLst>
          </c:dPt>
          <c:dPt>
            <c:idx val="2"/>
            <c:invertIfNegative val="0"/>
            <c:bubble3D val="0"/>
            <c:spPr>
              <a:solidFill>
                <a:schemeClr val="bg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FFB2-455D-AAE9-17872101964E}"/>
              </c:ext>
            </c:extLst>
          </c:dPt>
          <c:dPt>
            <c:idx val="3"/>
            <c:invertIfNegative val="0"/>
            <c:bubble3D val="0"/>
            <c:spPr>
              <a:solidFill>
                <a:schemeClr val="bg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FFB2-455D-AAE9-17872101964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Analysis!$C$5602:$C$5606</c:f>
              <c:strCache>
                <c:ptCount val="5"/>
                <c:pt idx="0">
                  <c:v>Q2 23 net debt</c:v>
                </c:pt>
                <c:pt idx="1">
                  <c:v>700 MHz (50% deferred)</c:v>
                </c:pt>
                <c:pt idx="2">
                  <c:v>1.9 GHz</c:v>
                </c:pt>
                <c:pt idx="3">
                  <c:v>AWS</c:v>
                </c:pt>
                <c:pt idx="4">
                  <c:v>Adj for Colombia liabilities</c:v>
                </c:pt>
              </c:strCache>
            </c:strRef>
          </c:cat>
          <c:val>
            <c:numRef>
              <c:f>Analysis!$E$5602:$E$5606</c:f>
              <c:numCache>
                <c:formatCode>#,##0</c:formatCode>
                <c:ptCount val="5"/>
                <c:pt idx="0">
                  <c:v>0</c:v>
                </c:pt>
                <c:pt idx="1">
                  <c:v>7110</c:v>
                </c:pt>
                <c:pt idx="2">
                  <c:v>7393.5</c:v>
                </c:pt>
                <c:pt idx="3">
                  <c:v>7652.5</c:v>
                </c:pt>
                <c:pt idx="4">
                  <c:v>0</c:v>
                </c:pt>
              </c:numCache>
            </c:numRef>
          </c:val>
          <c:extLst>
            <c:ext xmlns:c16="http://schemas.microsoft.com/office/drawing/2014/chart" uri="{C3380CC4-5D6E-409C-BE32-E72D297353CC}">
              <c16:uniqueId val="{00000000-FFB2-455D-AAE9-17872101964E}"/>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FCB-4F7F-A99D-74C5B507AA7C}"/>
                </c:ext>
              </c:extLst>
            </c:dLbl>
            <c:dLbl>
              <c:idx val="4"/>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BFCB-4F7F-A99D-74C5B507AA7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 Neue"/>
                    <a:ea typeface="Helvetica Neue"/>
                    <a:cs typeface="Helvetica Neue"/>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Analysis!$C$5602:$C$5606</c:f>
              <c:strCache>
                <c:ptCount val="5"/>
                <c:pt idx="0">
                  <c:v>Q2 23 net debt</c:v>
                </c:pt>
                <c:pt idx="1">
                  <c:v>700 MHz (50% deferred)</c:v>
                </c:pt>
                <c:pt idx="2">
                  <c:v>1.9 GHz</c:v>
                </c:pt>
                <c:pt idx="3">
                  <c:v>AWS</c:v>
                </c:pt>
                <c:pt idx="4">
                  <c:v>Adj for Colombia liabilities</c:v>
                </c:pt>
              </c:strCache>
            </c:strRef>
          </c:cat>
          <c:val>
            <c:numRef>
              <c:f>Analysis!$F$5602:$F$5606</c:f>
              <c:numCache>
                <c:formatCode>#,##0</c:formatCode>
                <c:ptCount val="5"/>
                <c:pt idx="0">
                  <c:v>7110</c:v>
                </c:pt>
                <c:pt idx="1">
                  <c:v>283.5</c:v>
                </c:pt>
                <c:pt idx="2">
                  <c:v>259</c:v>
                </c:pt>
                <c:pt idx="3">
                  <c:v>194.25</c:v>
                </c:pt>
                <c:pt idx="4">
                  <c:v>7846.75</c:v>
                </c:pt>
              </c:numCache>
            </c:numRef>
          </c:val>
          <c:extLst>
            <c:ext xmlns:c16="http://schemas.microsoft.com/office/drawing/2014/chart" uri="{C3380CC4-5D6E-409C-BE32-E72D297353CC}">
              <c16:uniqueId val="{00000001-FFB2-455D-AAE9-17872101964E}"/>
            </c:ext>
          </c:extLst>
        </c:ser>
        <c:dLbls>
          <c:showLegendKey val="0"/>
          <c:showVal val="0"/>
          <c:showCatName val="0"/>
          <c:showSerName val="0"/>
          <c:showPercent val="0"/>
          <c:showBubbleSize val="0"/>
        </c:dLbls>
        <c:gapWidth val="30"/>
        <c:overlap val="100"/>
        <c:axId val="1300130256"/>
        <c:axId val="1300126896"/>
      </c:barChart>
      <c:catAx>
        <c:axId val="130013025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300126896"/>
        <c:crosses val="autoZero"/>
        <c:auto val="1"/>
        <c:lblAlgn val="ctr"/>
        <c:lblOffset val="100"/>
        <c:noMultiLvlLbl val="0"/>
      </c:catAx>
      <c:valAx>
        <c:axId val="1300126896"/>
        <c:scaling>
          <c:orientation val="minMax"/>
        </c:scaling>
        <c:delete val="1"/>
        <c:axPos val="l"/>
        <c:numFmt formatCode="#,##0" sourceLinked="1"/>
        <c:majorTickMark val="out"/>
        <c:minorTickMark val="none"/>
        <c:tickLblPos val="nextTo"/>
        <c:crossAx val="130013025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4.6296296296296294E-2"/>
          <c:w val="0.93888888888888888"/>
          <c:h val="0.725200860309128"/>
        </c:manualLayout>
      </c:layout>
      <c:barChart>
        <c:barDir val="col"/>
        <c:grouping val="stacked"/>
        <c:varyColors val="0"/>
        <c:ser>
          <c:idx val="0"/>
          <c:order val="0"/>
          <c:spPr>
            <a:no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Analysis!$C$5602:$C$5606</c:f>
              <c:strCache>
                <c:ptCount val="5"/>
                <c:pt idx="0">
                  <c:v>Q2 23 net debt</c:v>
                </c:pt>
                <c:pt idx="1">
                  <c:v>700 MHz (50% deferred)</c:v>
                </c:pt>
                <c:pt idx="2">
                  <c:v>1.9 GHz</c:v>
                </c:pt>
                <c:pt idx="3">
                  <c:v>AWS</c:v>
                </c:pt>
                <c:pt idx="4">
                  <c:v>Adj for Colombia liabilities</c:v>
                </c:pt>
              </c:strCache>
            </c:strRef>
          </c:cat>
          <c:val>
            <c:numRef>
              <c:f>Analysis!$E$5602:$E$5606</c:f>
              <c:numCache>
                <c:formatCode>#,##0</c:formatCode>
                <c:ptCount val="5"/>
                <c:pt idx="0">
                  <c:v>0</c:v>
                </c:pt>
                <c:pt idx="1">
                  <c:v>7110</c:v>
                </c:pt>
                <c:pt idx="2">
                  <c:v>7393.5</c:v>
                </c:pt>
                <c:pt idx="3">
                  <c:v>7652.5</c:v>
                </c:pt>
                <c:pt idx="4">
                  <c:v>0</c:v>
                </c:pt>
              </c:numCache>
            </c:numRef>
          </c:val>
          <c:extLst>
            <c:ext xmlns:c16="http://schemas.microsoft.com/office/drawing/2014/chart" uri="{C3380CC4-5D6E-409C-BE32-E72D297353CC}">
              <c16:uniqueId val="{00000000-FD99-4DCB-AA68-A97476117964}"/>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4-C811-48F6-B3A7-77EC0B2DF2E2}"/>
                </c:ext>
              </c:extLst>
            </c:dLbl>
            <c:dLbl>
              <c:idx val="1"/>
              <c:layout>
                <c:manualLayout>
                  <c:x val="0"/>
                  <c:y val="-3.7037037037037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1-48F6-B3A7-77EC0B2DF2E2}"/>
                </c:ext>
              </c:extLst>
            </c:dLbl>
            <c:dLbl>
              <c:idx val="2"/>
              <c:layout>
                <c:manualLayout>
                  <c:x val="-2.7777777777777779E-3"/>
                  <c:y val="-3.70370370370370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11-48F6-B3A7-77EC0B2DF2E2}"/>
                </c:ext>
              </c:extLst>
            </c:dLbl>
            <c:dLbl>
              <c:idx val="3"/>
              <c:layout>
                <c:manualLayout>
                  <c:x val="0"/>
                  <c:y val="-4.1666666666666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1-48F6-B3A7-77EC0B2DF2E2}"/>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C811-48F6-B3A7-77EC0B2DF2E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Analysis!$C$5602:$C$5606</c:f>
              <c:strCache>
                <c:ptCount val="5"/>
                <c:pt idx="0">
                  <c:v>Q2 23 net debt</c:v>
                </c:pt>
                <c:pt idx="1">
                  <c:v>700 MHz (50% deferred)</c:v>
                </c:pt>
                <c:pt idx="2">
                  <c:v>1.9 GHz</c:v>
                </c:pt>
                <c:pt idx="3">
                  <c:v>AWS</c:v>
                </c:pt>
                <c:pt idx="4">
                  <c:v>Adj for Colombia liabilities</c:v>
                </c:pt>
              </c:strCache>
            </c:strRef>
          </c:cat>
          <c:val>
            <c:numRef>
              <c:f>Analysis!$F$5602:$F$5606</c:f>
              <c:numCache>
                <c:formatCode>#,##0</c:formatCode>
                <c:ptCount val="5"/>
                <c:pt idx="0">
                  <c:v>7110</c:v>
                </c:pt>
                <c:pt idx="1">
                  <c:v>283.5</c:v>
                </c:pt>
                <c:pt idx="2">
                  <c:v>259</c:v>
                </c:pt>
                <c:pt idx="3">
                  <c:v>194.25</c:v>
                </c:pt>
                <c:pt idx="4">
                  <c:v>7846.75</c:v>
                </c:pt>
              </c:numCache>
            </c:numRef>
          </c:val>
          <c:extLst>
            <c:ext xmlns:c16="http://schemas.microsoft.com/office/drawing/2014/chart" uri="{C3380CC4-5D6E-409C-BE32-E72D297353CC}">
              <c16:uniqueId val="{00000001-FD99-4DCB-AA68-A97476117964}"/>
            </c:ext>
          </c:extLst>
        </c:ser>
        <c:dLbls>
          <c:showLegendKey val="0"/>
          <c:showVal val="0"/>
          <c:showCatName val="0"/>
          <c:showSerName val="0"/>
          <c:showPercent val="0"/>
          <c:showBubbleSize val="0"/>
        </c:dLbls>
        <c:gapWidth val="30"/>
        <c:overlap val="100"/>
        <c:axId val="1300265136"/>
        <c:axId val="1300266096"/>
      </c:barChart>
      <c:catAx>
        <c:axId val="130026513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300266096"/>
        <c:crosses val="autoZero"/>
        <c:auto val="1"/>
        <c:lblAlgn val="ctr"/>
        <c:lblOffset val="100"/>
        <c:noMultiLvlLbl val="0"/>
      </c:catAx>
      <c:valAx>
        <c:axId val="1300266096"/>
        <c:scaling>
          <c:orientation val="minMax"/>
        </c:scaling>
        <c:delete val="1"/>
        <c:axPos val="l"/>
        <c:numFmt formatCode="#,##0" sourceLinked="1"/>
        <c:majorTickMark val="out"/>
        <c:minorTickMark val="none"/>
        <c:tickLblPos val="nextTo"/>
        <c:crossAx val="13002651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D2AD-4744-A03C-9CA6E2268DEC}"/>
              </c:ext>
            </c:extLst>
          </c:dPt>
          <c:dPt>
            <c:idx val="1"/>
            <c:bubble3D val="0"/>
            <c:spPr>
              <a:solidFill>
                <a:srgbClr val="799098"/>
              </a:solidFill>
              <a:ln w="25400">
                <a:noFill/>
              </a:ln>
              <a:effectLst/>
            </c:spPr>
            <c:extLst>
              <c:ext xmlns:c16="http://schemas.microsoft.com/office/drawing/2014/chart" uri="{C3380CC4-5D6E-409C-BE32-E72D297353CC}">
                <c16:uniqueId val="{00000002-D2AD-4744-A03C-9CA6E2268DEC}"/>
              </c:ext>
            </c:extLst>
          </c:dPt>
          <c:dPt>
            <c:idx val="2"/>
            <c:bubble3D val="0"/>
            <c:spPr>
              <a:solidFill>
                <a:srgbClr val="F9663E"/>
              </a:solidFill>
              <a:ln w="25400">
                <a:noFill/>
              </a:ln>
              <a:effectLst/>
            </c:spPr>
            <c:extLst>
              <c:ext xmlns:c16="http://schemas.microsoft.com/office/drawing/2014/chart" uri="{C3380CC4-5D6E-409C-BE32-E72D297353CC}">
                <c16:uniqueId val="{00000003-D2AD-4744-A03C-9CA6E2268DEC}"/>
              </c:ext>
            </c:extLst>
          </c:dPt>
          <c:dPt>
            <c:idx val="3"/>
            <c:bubble3D val="0"/>
            <c:spPr>
              <a:solidFill>
                <a:srgbClr val="C7FE02"/>
              </a:solidFill>
              <a:ln w="25400">
                <a:noFill/>
              </a:ln>
              <a:effectLst/>
            </c:spPr>
            <c:extLst>
              <c:ext xmlns:c16="http://schemas.microsoft.com/office/drawing/2014/chart" uri="{C3380CC4-5D6E-409C-BE32-E72D297353CC}">
                <c16:uniqueId val="{00000004-D2AD-4744-A03C-9CA6E2268DEC}"/>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2AD-4744-A03C-9CA6E2268DEC}"/>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2AD-4744-A03C-9CA6E2268DE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Analysis!$K$5659:$K$5662</c:f>
              <c:strCache>
                <c:ptCount val="4"/>
                <c:pt idx="0">
                  <c:v>Claro</c:v>
                </c:pt>
                <c:pt idx="1">
                  <c:v>Tigo</c:v>
                </c:pt>
                <c:pt idx="2">
                  <c:v>Movistar</c:v>
                </c:pt>
                <c:pt idx="3">
                  <c:v>WOM</c:v>
                </c:pt>
              </c:strCache>
            </c:strRef>
          </c:cat>
          <c:val>
            <c:numRef>
              <c:f>Analysis!$N$5659:$N$5662</c:f>
              <c:numCache>
                <c:formatCode>0%</c:formatCode>
                <c:ptCount val="4"/>
                <c:pt idx="0">
                  <c:v>0.59696845323181003</c:v>
                </c:pt>
                <c:pt idx="1">
                  <c:v>0.17837935377952646</c:v>
                </c:pt>
                <c:pt idx="2">
                  <c:v>0.19177151591491287</c:v>
                </c:pt>
                <c:pt idx="3">
                  <c:v>3.2880677073750655E-2</c:v>
                </c:pt>
              </c:numCache>
            </c:numRef>
          </c:val>
          <c:extLst>
            <c:ext xmlns:c16="http://schemas.microsoft.com/office/drawing/2014/chart" uri="{C3380CC4-5D6E-409C-BE32-E72D297353CC}">
              <c16:uniqueId val="{00000000-D2AD-4744-A03C-9CA6E2268DEC}"/>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Analysis!$B$5733</c:f>
              <c:strCache>
                <c:ptCount val="1"/>
                <c:pt idx="0">
                  <c:v>FCF</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Analysis!$C$5733:$E$5733</c:f>
              <c:numCache>
                <c:formatCode>#,##0</c:formatCode>
                <c:ptCount val="3"/>
                <c:pt idx="0">
                  <c:v>160.20499999999976</c:v>
                </c:pt>
                <c:pt idx="1">
                  <c:v>-35.714500000000044</c:v>
                </c:pt>
                <c:pt idx="2">
                  <c:v>778.64580000000024</c:v>
                </c:pt>
              </c:numCache>
            </c:numRef>
          </c:val>
          <c:extLst>
            <c:ext xmlns:c16="http://schemas.microsoft.com/office/drawing/2014/chart" uri="{C3380CC4-5D6E-409C-BE32-E72D297353CC}">
              <c16:uniqueId val="{00000000-3AD3-418D-B131-E0905C4BA272}"/>
            </c:ext>
          </c:extLst>
        </c:ser>
        <c:ser>
          <c:idx val="1"/>
          <c:order val="1"/>
          <c:tx>
            <c:strRef>
              <c:f>Analysis!$B$5734</c:f>
              <c:strCache>
                <c:ptCount val="1"/>
                <c:pt idx="0">
                  <c:v>Spectrum drag</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Analysis!$C$5734:$E$5734</c:f>
              <c:numCache>
                <c:formatCode>#,##0</c:formatCode>
                <c:ptCount val="3"/>
                <c:pt idx="0">
                  <c:v>92.93</c:v>
                </c:pt>
                <c:pt idx="1">
                  <c:v>236</c:v>
                </c:pt>
                <c:pt idx="2">
                  <c:v>135</c:v>
                </c:pt>
              </c:numCache>
            </c:numRef>
          </c:val>
          <c:extLst>
            <c:ext xmlns:c16="http://schemas.microsoft.com/office/drawing/2014/chart" uri="{C3380CC4-5D6E-409C-BE32-E72D297353CC}">
              <c16:uniqueId val="{00000001-3AD3-418D-B131-E0905C4BA272}"/>
            </c:ext>
          </c:extLst>
        </c:ser>
        <c:dLbls>
          <c:showLegendKey val="0"/>
          <c:showVal val="0"/>
          <c:showCatName val="0"/>
          <c:showSerName val="0"/>
          <c:showPercent val="0"/>
          <c:showBubbleSize val="0"/>
        </c:dLbls>
        <c:gapWidth val="30"/>
        <c:overlap val="100"/>
        <c:axId val="1885020976"/>
        <c:axId val="1885037776"/>
      </c:barChart>
      <c:lineChart>
        <c:grouping val="standard"/>
        <c:varyColors val="0"/>
        <c:ser>
          <c:idx val="2"/>
          <c:order val="2"/>
          <c:tx>
            <c:strRef>
              <c:f>Analysis!$B$5735</c:f>
              <c:strCache>
                <c:ptCount val="1"/>
                <c:pt idx="0">
                  <c:v>FCF pre cash spectrum</c:v>
                </c:pt>
              </c:strCache>
            </c:strRef>
          </c:tx>
          <c:spPr>
            <a:ln w="28575" cap="rnd">
              <a:noFill/>
              <a:round/>
            </a:ln>
            <a:effectLst/>
          </c:spPr>
          <c:marker>
            <c:symbol val="square"/>
            <c:size val="6"/>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Analysis!$C$5735:$E$5735</c:f>
              <c:numCache>
                <c:formatCode>#,##0</c:formatCode>
                <c:ptCount val="3"/>
                <c:pt idx="0">
                  <c:v>253.13499999999976</c:v>
                </c:pt>
                <c:pt idx="1">
                  <c:v>200.28549999999996</c:v>
                </c:pt>
                <c:pt idx="2">
                  <c:v>913.64580000000024</c:v>
                </c:pt>
              </c:numCache>
            </c:numRef>
          </c:val>
          <c:smooth val="0"/>
          <c:extLst>
            <c:ext xmlns:c16="http://schemas.microsoft.com/office/drawing/2014/chart" uri="{C3380CC4-5D6E-409C-BE32-E72D297353CC}">
              <c16:uniqueId val="{00000002-3AD3-418D-B131-E0905C4BA272}"/>
            </c:ext>
          </c:extLst>
        </c:ser>
        <c:dLbls>
          <c:showLegendKey val="0"/>
          <c:showVal val="0"/>
          <c:showCatName val="0"/>
          <c:showSerName val="0"/>
          <c:showPercent val="0"/>
          <c:showBubbleSize val="0"/>
        </c:dLbls>
        <c:marker val="1"/>
        <c:smooth val="0"/>
        <c:axId val="1885020976"/>
        <c:axId val="1885037776"/>
      </c:lineChart>
      <c:catAx>
        <c:axId val="188502097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885037776"/>
        <c:crosses val="autoZero"/>
        <c:auto val="1"/>
        <c:lblAlgn val="ctr"/>
        <c:lblOffset val="100"/>
        <c:noMultiLvlLbl val="0"/>
      </c:catAx>
      <c:valAx>
        <c:axId val="1885037776"/>
        <c:scaling>
          <c:orientation val="minMax"/>
        </c:scaling>
        <c:delete val="1"/>
        <c:axPos val="l"/>
        <c:numFmt formatCode="#,##0" sourceLinked="1"/>
        <c:majorTickMark val="out"/>
        <c:minorTickMark val="none"/>
        <c:tickLblPos val="nextTo"/>
        <c:crossAx val="1885020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Analysis!$B$5757</c:f>
              <c:strCache>
                <c:ptCount val="1"/>
                <c:pt idx="0">
                  <c:v>FCF</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Analysis!$C$5757:$E$5757</c:f>
              <c:numCache>
                <c:formatCode>#,##0</c:formatCode>
                <c:ptCount val="3"/>
                <c:pt idx="0">
                  <c:v>161.30000000000013</c:v>
                </c:pt>
                <c:pt idx="1">
                  <c:v>137.42158034491649</c:v>
                </c:pt>
                <c:pt idx="2">
                  <c:v>240.03550133041955</c:v>
                </c:pt>
              </c:numCache>
            </c:numRef>
          </c:val>
          <c:extLst>
            <c:ext xmlns:c16="http://schemas.microsoft.com/office/drawing/2014/chart" uri="{C3380CC4-5D6E-409C-BE32-E72D297353CC}">
              <c16:uniqueId val="{00000000-EF08-4BD7-BB8C-5C09ECC22B84}"/>
            </c:ext>
          </c:extLst>
        </c:ser>
        <c:ser>
          <c:idx val="1"/>
          <c:order val="1"/>
          <c:tx>
            <c:strRef>
              <c:f>Analysis!$B$5758</c:f>
              <c:strCache>
                <c:ptCount val="1"/>
                <c:pt idx="0">
                  <c:v>Spectrum drag</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Analysis!$C$5758:$E$5758</c:f>
              <c:numCache>
                <c:formatCode>#,##0</c:formatCode>
                <c:ptCount val="3"/>
                <c:pt idx="0">
                  <c:v>92.93</c:v>
                </c:pt>
                <c:pt idx="1">
                  <c:v>150</c:v>
                </c:pt>
                <c:pt idx="2">
                  <c:v>207.07</c:v>
                </c:pt>
              </c:numCache>
            </c:numRef>
          </c:val>
          <c:extLst>
            <c:ext xmlns:c16="http://schemas.microsoft.com/office/drawing/2014/chart" uri="{C3380CC4-5D6E-409C-BE32-E72D297353CC}">
              <c16:uniqueId val="{00000001-EF08-4BD7-BB8C-5C09ECC22B84}"/>
            </c:ext>
          </c:extLst>
        </c:ser>
        <c:dLbls>
          <c:showLegendKey val="0"/>
          <c:showVal val="0"/>
          <c:showCatName val="0"/>
          <c:showSerName val="0"/>
          <c:showPercent val="0"/>
          <c:showBubbleSize val="0"/>
        </c:dLbls>
        <c:gapWidth val="30"/>
        <c:overlap val="100"/>
        <c:axId val="1885020976"/>
        <c:axId val="1885037776"/>
      </c:barChart>
      <c:lineChart>
        <c:grouping val="standard"/>
        <c:varyColors val="0"/>
        <c:ser>
          <c:idx val="2"/>
          <c:order val="2"/>
          <c:tx>
            <c:strRef>
              <c:f>Analysis!$B$5759</c:f>
              <c:strCache>
                <c:ptCount val="1"/>
                <c:pt idx="0">
                  <c:v>FCF pre cash spectrum</c:v>
                </c:pt>
              </c:strCache>
            </c:strRef>
          </c:tx>
          <c:spPr>
            <a:ln w="28575" cap="rnd">
              <a:noFill/>
              <a:round/>
            </a:ln>
            <a:effectLst/>
          </c:spPr>
          <c:marker>
            <c:symbol val="square"/>
            <c:size val="6"/>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Analysis!$C$5732:$E$5732</c:f>
              <c:numCache>
                <c:formatCode>General</c:formatCode>
                <c:ptCount val="3"/>
                <c:pt idx="0">
                  <c:v>2022</c:v>
                </c:pt>
                <c:pt idx="1">
                  <c:v>2023</c:v>
                </c:pt>
                <c:pt idx="2">
                  <c:v>2024</c:v>
                </c:pt>
              </c:numCache>
            </c:numRef>
          </c:cat>
          <c:val>
            <c:numRef>
              <c:f>Analysis!$C$5759:$E$5759</c:f>
              <c:numCache>
                <c:formatCode>#,##0</c:formatCode>
                <c:ptCount val="3"/>
                <c:pt idx="0">
                  <c:v>254.23000000000013</c:v>
                </c:pt>
                <c:pt idx="1">
                  <c:v>287.42158034491649</c:v>
                </c:pt>
                <c:pt idx="2">
                  <c:v>447.10550133041954</c:v>
                </c:pt>
              </c:numCache>
            </c:numRef>
          </c:val>
          <c:smooth val="0"/>
          <c:extLst>
            <c:ext xmlns:c16="http://schemas.microsoft.com/office/drawing/2014/chart" uri="{C3380CC4-5D6E-409C-BE32-E72D297353CC}">
              <c16:uniqueId val="{00000002-EF08-4BD7-BB8C-5C09ECC22B84}"/>
            </c:ext>
          </c:extLst>
        </c:ser>
        <c:dLbls>
          <c:showLegendKey val="0"/>
          <c:showVal val="0"/>
          <c:showCatName val="0"/>
          <c:showSerName val="0"/>
          <c:showPercent val="0"/>
          <c:showBubbleSize val="0"/>
        </c:dLbls>
        <c:marker val="1"/>
        <c:smooth val="0"/>
        <c:axId val="1885020976"/>
        <c:axId val="1885037776"/>
      </c:lineChart>
      <c:catAx>
        <c:axId val="188502097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885037776"/>
        <c:crosses val="autoZero"/>
        <c:auto val="1"/>
        <c:lblAlgn val="ctr"/>
        <c:lblOffset val="100"/>
        <c:noMultiLvlLbl val="0"/>
      </c:catAx>
      <c:valAx>
        <c:axId val="1885037776"/>
        <c:scaling>
          <c:orientation val="minMax"/>
        </c:scaling>
        <c:delete val="1"/>
        <c:axPos val="l"/>
        <c:numFmt formatCode="#,##0" sourceLinked="1"/>
        <c:majorTickMark val="out"/>
        <c:minorTickMark val="none"/>
        <c:tickLblPos val="nextTo"/>
        <c:crossAx val="1885020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Analysis!$B$5822:$B$5824</c:f>
              <c:strCache>
                <c:ptCount val="3"/>
                <c:pt idx="0">
                  <c:v>Brazil (3.3-3.5GHz - 2021)</c:v>
                </c:pt>
                <c:pt idx="1">
                  <c:v>Colombia (3.5GHz - 2023)</c:v>
                </c:pt>
                <c:pt idx="2">
                  <c:v>Chile (3.3-3.5-3.7GHz - 2021)</c:v>
                </c:pt>
              </c:strCache>
            </c:strRef>
          </c:cat>
          <c:val>
            <c:numRef>
              <c:f>Analysis!$C$5822:$C$5824</c:f>
              <c:numCache>
                <c:formatCode>0.0</c:formatCode>
                <c:ptCount val="3"/>
                <c:pt idx="0">
                  <c:v>0.32900000000000001</c:v>
                </c:pt>
                <c:pt idx="1">
                  <c:v>2.2809211404914533</c:v>
                </c:pt>
                <c:pt idx="2">
                  <c:v>9.6720000000000006</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 sourceLinked="1"/>
        <c:majorTickMark val="none"/>
        <c:minorTickMark val="none"/>
        <c:tickLblPos val="nextTo"/>
        <c:crossAx val="1495160607"/>
        <c:crosses val="autoZero"/>
        <c:crossBetween val="between"/>
      </c:valAx>
      <c:spPr>
        <a:noFill/>
        <a:ln w="25400">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Analysis!$B$5839:$B$5842</c:f>
              <c:strCache>
                <c:ptCount val="4"/>
                <c:pt idx="0">
                  <c:v>Movistar (Telefonica)</c:v>
                </c:pt>
                <c:pt idx="1">
                  <c:v>Claro (AMX)</c:v>
                </c:pt>
                <c:pt idx="2">
                  <c:v>Millicom (consol)</c:v>
                </c:pt>
                <c:pt idx="3">
                  <c:v>Millicom (prop)</c:v>
                </c:pt>
              </c:strCache>
            </c:strRef>
          </c:cat>
          <c:val>
            <c:numRef>
              <c:f>Analysis!$C$5839:$C$5842</c:f>
              <c:numCache>
                <c:formatCode>0%</c:formatCode>
                <c:ptCount val="4"/>
                <c:pt idx="0">
                  <c:v>0.02</c:v>
                </c:pt>
                <c:pt idx="1">
                  <c:v>0.08</c:v>
                </c:pt>
                <c:pt idx="2">
                  <c:v>0.22135263570232205</c:v>
                </c:pt>
                <c:pt idx="3">
                  <c:v>0.12359550561797752</c:v>
                </c:pt>
              </c:numCache>
            </c:numRef>
          </c:val>
          <c:extLst>
            <c:ext xmlns:c16="http://schemas.microsoft.com/office/drawing/2014/chart" uri="{C3380CC4-5D6E-409C-BE32-E72D297353CC}">
              <c16:uniqueId val="{00000000-D218-43A5-8607-9AD0AB4A9ED2}"/>
            </c:ext>
          </c:extLst>
        </c:ser>
        <c:dLbls>
          <c:showLegendKey val="0"/>
          <c:showVal val="0"/>
          <c:showCatName val="0"/>
          <c:showSerName val="0"/>
          <c:showPercent val="0"/>
          <c:showBubbleSize val="0"/>
        </c:dLbls>
        <c:gapWidth val="30"/>
        <c:overlap val="-27"/>
        <c:axId val="362774623"/>
        <c:axId val="353812527"/>
      </c:barChart>
      <c:catAx>
        <c:axId val="36277462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53812527"/>
        <c:crosses val="autoZero"/>
        <c:auto val="1"/>
        <c:lblAlgn val="ctr"/>
        <c:lblOffset val="100"/>
        <c:noMultiLvlLbl val="0"/>
      </c:catAx>
      <c:valAx>
        <c:axId val="353812527"/>
        <c:scaling>
          <c:orientation val="minMax"/>
        </c:scaling>
        <c:delete val="1"/>
        <c:axPos val="l"/>
        <c:numFmt formatCode="0%" sourceLinked="1"/>
        <c:majorTickMark val="out"/>
        <c:minorTickMark val="none"/>
        <c:tickLblPos val="nextTo"/>
        <c:crossAx val="36277462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Analysis!$C$5874</c:f>
              <c:strCache>
                <c:ptCount val="1"/>
                <c:pt idx="0">
                  <c:v>2022A</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Analysis!$B$5877</c:f>
              <c:strCache>
                <c:ptCount val="1"/>
                <c:pt idx="0">
                  <c:v>Capex to sales</c:v>
                </c:pt>
              </c:strCache>
            </c:strRef>
          </c:cat>
          <c:val>
            <c:numRef>
              <c:f>Analysis!$C$5877</c:f>
              <c:numCache>
                <c:formatCode>0%</c:formatCode>
                <c:ptCount val="1"/>
                <c:pt idx="0">
                  <c:v>0.17300853485064011</c:v>
                </c:pt>
              </c:numCache>
            </c:numRef>
          </c:val>
          <c:extLst>
            <c:ext xmlns:c16="http://schemas.microsoft.com/office/drawing/2014/chart" uri="{C3380CC4-5D6E-409C-BE32-E72D297353CC}">
              <c16:uniqueId val="{00000000-3847-4986-8373-DD0E19E8F0E7}"/>
            </c:ext>
          </c:extLst>
        </c:ser>
        <c:ser>
          <c:idx val="1"/>
          <c:order val="1"/>
          <c:tx>
            <c:strRef>
              <c:f>Analysis!$D$5874</c:f>
              <c:strCache>
                <c:ptCount val="1"/>
                <c:pt idx="0">
                  <c:v>2023A</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Analysis!$B$5877</c:f>
              <c:strCache>
                <c:ptCount val="1"/>
                <c:pt idx="0">
                  <c:v>Capex to sales</c:v>
                </c:pt>
              </c:strCache>
            </c:strRef>
          </c:cat>
          <c:val>
            <c:numRef>
              <c:f>Analysis!$D$5877</c:f>
              <c:numCache>
                <c:formatCode>0%</c:formatCode>
                <c:ptCount val="1"/>
                <c:pt idx="0">
                  <c:v>0.1429076134958488</c:v>
                </c:pt>
              </c:numCache>
            </c:numRef>
          </c:val>
          <c:extLst>
            <c:ext xmlns:c16="http://schemas.microsoft.com/office/drawing/2014/chart" uri="{C3380CC4-5D6E-409C-BE32-E72D297353CC}">
              <c16:uniqueId val="{00000002-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1"/>
        <c:axPos val="b"/>
        <c:numFmt formatCode="General" sourceLinked="1"/>
        <c:majorTickMark val="none"/>
        <c:minorTickMark val="none"/>
        <c:tickLblPos val="nextTo"/>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566952965687137E-2"/>
          <c:y val="3.0139934137124239E-2"/>
          <c:w val="0.94486609406862576"/>
          <c:h val="0.82132062155901187"/>
        </c:manualLayout>
      </c:layout>
      <c:lineChart>
        <c:grouping val="standard"/>
        <c:varyColors val="0"/>
        <c:ser>
          <c:idx val="0"/>
          <c:order val="0"/>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 snaps'!$C$108:$P$108</c:f>
              <c:strCache>
                <c:ptCount val="7"/>
                <c:pt idx="0">
                  <c:v>Q4 21</c:v>
                </c:pt>
                <c:pt idx="1">
                  <c:v>Q1 22</c:v>
                </c:pt>
                <c:pt idx="2">
                  <c:v>Q2 22</c:v>
                </c:pt>
                <c:pt idx="3">
                  <c:v>Q3 22</c:v>
                </c:pt>
                <c:pt idx="4">
                  <c:v>Q4 22</c:v>
                </c:pt>
                <c:pt idx="5">
                  <c:v>Q1 23</c:v>
                </c:pt>
                <c:pt idx="6">
                  <c:v>Q2 23</c:v>
                </c:pt>
              </c:strCache>
            </c:strRef>
          </c:cat>
          <c:val>
            <c:numRef>
              <c:f>'Earning snaps'!$C$121:$P$121</c:f>
              <c:numCache>
                <c:formatCode>0.0%</c:formatCode>
                <c:ptCount val="7"/>
                <c:pt idx="0">
                  <c:v>5.7000000000000002E-2</c:v>
                </c:pt>
                <c:pt idx="1">
                  <c:v>4.5999999999999999E-2</c:v>
                </c:pt>
                <c:pt idx="2">
                  <c:v>4.4999999999999998E-2</c:v>
                </c:pt>
                <c:pt idx="3">
                  <c:v>2.7E-2</c:v>
                </c:pt>
                <c:pt idx="4">
                  <c:v>2.3E-2</c:v>
                </c:pt>
                <c:pt idx="5">
                  <c:v>2.1999999999999999E-2</c:v>
                </c:pt>
                <c:pt idx="6">
                  <c:v>1.9E-2</c:v>
                </c:pt>
              </c:numCache>
            </c:numRef>
          </c:val>
          <c:smooth val="0"/>
          <c:extLst>
            <c:ext xmlns:c16="http://schemas.microsoft.com/office/drawing/2014/chart" uri="{C3380CC4-5D6E-409C-BE32-E72D297353CC}">
              <c16:uniqueId val="{00000000-AE39-4B2A-9362-FF8C64BFFF16}"/>
            </c:ext>
          </c:extLst>
        </c:ser>
        <c:dLbls>
          <c:showLegendKey val="0"/>
          <c:showVal val="0"/>
          <c:showCatName val="0"/>
          <c:showSerName val="0"/>
          <c:showPercent val="0"/>
          <c:showBubbleSize val="0"/>
        </c:dLbls>
        <c:smooth val="0"/>
        <c:axId val="697648287"/>
        <c:axId val="697630815"/>
      </c:lineChart>
      <c:catAx>
        <c:axId val="697648287"/>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697630815"/>
        <c:crosses val="autoZero"/>
        <c:auto val="1"/>
        <c:lblAlgn val="ctr"/>
        <c:lblOffset val="100"/>
        <c:noMultiLvlLbl val="0"/>
      </c:catAx>
      <c:valAx>
        <c:axId val="697630815"/>
        <c:scaling>
          <c:orientation val="minMax"/>
        </c:scaling>
        <c:delete val="1"/>
        <c:axPos val="l"/>
        <c:numFmt formatCode="0.0%" sourceLinked="1"/>
        <c:majorTickMark val="out"/>
        <c:minorTickMark val="none"/>
        <c:tickLblPos val="nextTo"/>
        <c:crossAx val="697648287"/>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Analysis!$C$5905:$E$5905</c:f>
              <c:strCache>
                <c:ptCount val="3"/>
                <c:pt idx="0">
                  <c:v>Phase 1 (completed)</c:v>
                </c:pt>
                <c:pt idx="1">
                  <c:v>Phase 2 HQ (completed)</c:v>
                </c:pt>
                <c:pt idx="2">
                  <c:v>Phase Others (ongoing)</c:v>
                </c:pt>
              </c:strCache>
            </c:strRef>
          </c:cat>
          <c:val>
            <c:numRef>
              <c:f>Analysis!$C$5906:$E$5906</c:f>
              <c:numCache>
                <c:formatCode>General</c:formatCode>
                <c:ptCount val="3"/>
                <c:pt idx="0">
                  <c:v>100</c:v>
                </c:pt>
                <c:pt idx="1">
                  <c:v>135</c:v>
                </c:pt>
                <c:pt idx="2">
                  <c:v>250</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General" sourceLinked="1"/>
        <c:majorTickMark val="none"/>
        <c:minorTickMark val="none"/>
        <c:tickLblPos val="nextTo"/>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Analysis!$B$5919</c:f>
              <c:strCache>
                <c:ptCount val="1"/>
                <c:pt idx="0">
                  <c:v>Reported EFCF</c:v>
                </c:pt>
              </c:strCache>
            </c:strRef>
          </c:tx>
          <c:spPr>
            <a:solidFill>
              <a:schemeClr val="accent1"/>
            </a:solidFill>
            <a:ln>
              <a:noFill/>
            </a:ln>
            <a:effectLst/>
          </c:spPr>
          <c:invertIfNegative val="0"/>
          <c:cat>
            <c:strRef>
              <c:f>Analysis!$C$5918:$I$5918</c:f>
              <c:strCache>
                <c:ptCount val="7"/>
                <c:pt idx="0">
                  <c:v>2022A</c:v>
                </c:pt>
                <c:pt idx="1">
                  <c:v>2023A</c:v>
                </c:pt>
                <c:pt idx="2">
                  <c:v>2024E</c:v>
                </c:pt>
                <c:pt idx="4">
                  <c:v>Cumul. 22-24</c:v>
                </c:pt>
                <c:pt idx="5">
                  <c:v>NSR 24E</c:v>
                </c:pt>
                <c:pt idx="6">
                  <c:v>Consensus 24E</c:v>
                </c:pt>
              </c:strCache>
            </c:strRef>
          </c:cat>
          <c:val>
            <c:numRef>
              <c:f>Analysis!$C$5919:$I$5919</c:f>
              <c:numCache>
                <c:formatCode>#,##0</c:formatCode>
                <c:ptCount val="7"/>
                <c:pt idx="0">
                  <c:v>171</c:v>
                </c:pt>
                <c:pt idx="1">
                  <c:v>-18</c:v>
                </c:pt>
                <c:pt idx="2">
                  <c:v>550</c:v>
                </c:pt>
                <c:pt idx="4">
                  <c:v>703</c:v>
                </c:pt>
                <c:pt idx="5">
                  <c:v>778.64580000000024</c:v>
                </c:pt>
                <c:pt idx="6" formatCode="General">
                  <c:v>370</c:v>
                </c:pt>
              </c:numCache>
            </c:numRef>
          </c:val>
          <c:extLst>
            <c:ext xmlns:c16="http://schemas.microsoft.com/office/drawing/2014/chart" uri="{C3380CC4-5D6E-409C-BE32-E72D297353CC}">
              <c16:uniqueId val="{00000000-6835-473A-9950-EBE1AA505E2B}"/>
            </c:ext>
          </c:extLst>
        </c:ser>
        <c:dLbls>
          <c:showLegendKey val="0"/>
          <c:showVal val="0"/>
          <c:showCatName val="0"/>
          <c:showSerName val="0"/>
          <c:showPercent val="0"/>
          <c:showBubbleSize val="0"/>
        </c:dLbls>
        <c:gapWidth val="219"/>
        <c:overlap val="-27"/>
        <c:axId val="755050591"/>
        <c:axId val="1111836287"/>
      </c:barChart>
      <c:catAx>
        <c:axId val="75505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1836287"/>
        <c:crosses val="autoZero"/>
        <c:auto val="1"/>
        <c:lblAlgn val="ctr"/>
        <c:lblOffset val="100"/>
        <c:noMultiLvlLbl val="0"/>
      </c:catAx>
      <c:valAx>
        <c:axId val="11118362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5050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Analysis!$B$5919</c:f>
              <c:strCache>
                <c:ptCount val="1"/>
                <c:pt idx="0">
                  <c:v>Reported EFCF</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Analysis!$C$5918:$G$5918</c:f>
              <c:strCache>
                <c:ptCount val="5"/>
                <c:pt idx="0">
                  <c:v>2022A</c:v>
                </c:pt>
                <c:pt idx="1">
                  <c:v>2023A</c:v>
                </c:pt>
                <c:pt idx="2">
                  <c:v>2024E</c:v>
                </c:pt>
                <c:pt idx="4">
                  <c:v>Cumul. 22-24</c:v>
                </c:pt>
              </c:strCache>
            </c:strRef>
          </c:cat>
          <c:val>
            <c:numRef>
              <c:f>Analysis!$C$5919:$G$5919</c:f>
              <c:numCache>
                <c:formatCode>#,##0</c:formatCode>
                <c:ptCount val="5"/>
                <c:pt idx="0">
                  <c:v>171</c:v>
                </c:pt>
                <c:pt idx="1">
                  <c:v>-18</c:v>
                </c:pt>
                <c:pt idx="2">
                  <c:v>550</c:v>
                </c:pt>
                <c:pt idx="4">
                  <c:v>703</c:v>
                </c:pt>
              </c:numCache>
            </c:numRef>
          </c:val>
          <c:extLst>
            <c:ext xmlns:c16="http://schemas.microsoft.com/office/drawing/2014/chart" uri="{C3380CC4-5D6E-409C-BE32-E72D297353CC}">
              <c16:uniqueId val="{00000000-3847-4986-8373-DD0E19E8F0E7}"/>
            </c:ext>
          </c:extLst>
        </c:ser>
        <c:ser>
          <c:idx val="1"/>
          <c:order val="1"/>
          <c:tx>
            <c:strRef>
              <c:f>Analysis!$B$5920</c:f>
              <c:strCache>
                <c:ptCount val="1"/>
                <c:pt idx="0">
                  <c:v>NSRe</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Analysis!$C$5918:$G$5918</c:f>
              <c:strCache>
                <c:ptCount val="5"/>
                <c:pt idx="0">
                  <c:v>2022A</c:v>
                </c:pt>
                <c:pt idx="1">
                  <c:v>2023A</c:v>
                </c:pt>
                <c:pt idx="2">
                  <c:v>2024E</c:v>
                </c:pt>
                <c:pt idx="4">
                  <c:v>Cumul. 22-24</c:v>
                </c:pt>
              </c:strCache>
            </c:strRef>
          </c:cat>
          <c:val>
            <c:numRef>
              <c:f>Analysis!$C$5920:$G$5920</c:f>
              <c:numCache>
                <c:formatCode>#,##0</c:formatCode>
                <c:ptCount val="5"/>
                <c:pt idx="1">
                  <c:v>-35.714500000000044</c:v>
                </c:pt>
                <c:pt idx="2">
                  <c:v>778.64580000000024</c:v>
                </c:pt>
                <c:pt idx="4">
                  <c:v>913.93130000000019</c:v>
                </c:pt>
              </c:numCache>
            </c:numRef>
          </c:val>
          <c:extLst>
            <c:ext xmlns:c16="http://schemas.microsoft.com/office/drawing/2014/chart" uri="{C3380CC4-5D6E-409C-BE32-E72D297353CC}">
              <c16:uniqueId val="{00000002-3847-4986-8373-DD0E19E8F0E7}"/>
            </c:ext>
          </c:extLst>
        </c:ser>
        <c:ser>
          <c:idx val="2"/>
          <c:order val="2"/>
          <c:tx>
            <c:strRef>
              <c:f>Analysis!$B$5921</c:f>
              <c:strCache>
                <c:ptCount val="1"/>
                <c:pt idx="0">
                  <c:v>Consensus</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Analysis!$C$5918:$G$5918</c:f>
              <c:strCache>
                <c:ptCount val="5"/>
                <c:pt idx="0">
                  <c:v>2022A</c:v>
                </c:pt>
                <c:pt idx="1">
                  <c:v>2023A</c:v>
                </c:pt>
                <c:pt idx="2">
                  <c:v>2024E</c:v>
                </c:pt>
                <c:pt idx="4">
                  <c:v>Cumul. 22-24</c:v>
                </c:pt>
              </c:strCache>
            </c:strRef>
          </c:cat>
          <c:val>
            <c:numRef>
              <c:f>Analysis!$C$5921:$G$5921</c:f>
              <c:numCache>
                <c:formatCode>General</c:formatCode>
                <c:ptCount val="5"/>
                <c:pt idx="1">
                  <c:v>62</c:v>
                </c:pt>
                <c:pt idx="2">
                  <c:v>370</c:v>
                </c:pt>
                <c:pt idx="4">
                  <c:v>603</c:v>
                </c:pt>
              </c:numCache>
            </c:numRef>
          </c:val>
          <c:extLst>
            <c:ext xmlns:c16="http://schemas.microsoft.com/office/drawing/2014/chart" uri="{C3380CC4-5D6E-409C-BE32-E72D297353CC}">
              <c16:uniqueId val="{00000004-3847-4986-8373-DD0E19E8F0E7}"/>
            </c:ext>
          </c:extLst>
        </c:ser>
        <c:dLbls>
          <c:dLblPos val="inEnd"/>
          <c:showLegendKey val="0"/>
          <c:showVal val="1"/>
          <c:showCatName val="0"/>
          <c:showSerName val="0"/>
          <c:showPercent val="0"/>
          <c:showBubbleSize val="0"/>
        </c:dLbls>
        <c:gapWidth val="30"/>
        <c:overlap val="-30"/>
        <c:axId val="1495160607"/>
        <c:axId val="1495161855"/>
      </c:barChart>
      <c:catAx>
        <c:axId val="1495160607"/>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out"/>
        <c:minorTickMark val="none"/>
        <c:tickLblPos val="nextTo"/>
        <c:crossAx val="149516060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showDLblsOverMax val="0"/>
    <c:extLst/>
  </c:chart>
  <c:spPr>
    <a:no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396D-4996-8913-3C40AAADA51B}"/>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396D-4996-8913-3C40AAADA51B}"/>
              </c:ext>
            </c:extLst>
          </c:dPt>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396D-4996-8913-3C40AAADA51B}"/>
              </c:ext>
            </c:extLst>
          </c:dPt>
          <c:dPt>
            <c:idx val="4"/>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396D-4996-8913-3C40AAADA51B}"/>
              </c:ext>
            </c:extLst>
          </c:dPt>
          <c:dPt>
            <c:idx val="5"/>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396D-4996-8913-3C40AAADA51B}"/>
              </c:ext>
            </c:extLst>
          </c:dPt>
          <c:dPt>
            <c:idx val="6"/>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EC35-4167-87EC-AA8D9E03E1EF}"/>
              </c:ext>
            </c:extLst>
          </c:dPt>
          <c:cat>
            <c:strRef>
              <c:f>Analysis!$B$5946:$B$5953</c:f>
              <c:strCache>
                <c:ptCount val="8"/>
                <c:pt idx="0">
                  <c:v>EFCF FY 23</c:v>
                </c:pt>
                <c:pt idx="1">
                  <c:v>Lower spectrum cost</c:v>
                </c:pt>
                <c:pt idx="2">
                  <c:v>Cash capex cut</c:v>
                </c:pt>
                <c:pt idx="3">
                  <c:v>Restructuring charges largely reduced</c:v>
                </c:pt>
                <c:pt idx="4">
                  <c:v>Additional revenue driven (3% growth)</c:v>
                </c:pt>
                <c:pt idx="5">
                  <c:v>Lower financial charges</c:v>
                </c:pt>
                <c:pt idx="6">
                  <c:v>Additional Everest opex / other</c:v>
                </c:pt>
                <c:pt idx="7">
                  <c:v>EFCF FY 24e</c:v>
                </c:pt>
              </c:strCache>
            </c:strRef>
          </c:cat>
          <c:val>
            <c:numRef>
              <c:f>Analysis!$C$5946:$C$5953</c:f>
              <c:numCache>
                <c:formatCode>#,##0</c:formatCode>
                <c:ptCount val="8"/>
                <c:pt idx="1">
                  <c:v>-18</c:v>
                </c:pt>
                <c:pt idx="2" formatCode="General">
                  <c:v>83</c:v>
                </c:pt>
                <c:pt idx="3" formatCode="0">
                  <c:v>439</c:v>
                </c:pt>
                <c:pt idx="4" formatCode="0">
                  <c:v>530</c:v>
                </c:pt>
                <c:pt idx="5" formatCode="0">
                  <c:v>577.24605199999996</c:v>
                </c:pt>
                <c:pt idx="6" formatCode="0">
                  <c:v>563.24605199999996</c:v>
                </c:pt>
              </c:numCache>
            </c:numRef>
          </c:val>
          <c:extLst>
            <c:ext xmlns:c16="http://schemas.microsoft.com/office/drawing/2014/chart" uri="{C3380CC4-5D6E-409C-BE32-E72D297353CC}">
              <c16:uniqueId val="{00000000-396D-4996-8913-3C40AAADA51B}"/>
            </c:ext>
          </c:extLst>
        </c:ser>
        <c:ser>
          <c:idx val="1"/>
          <c:order val="1"/>
          <c:spPr>
            <a:solidFill>
              <a:srgbClr val="F9663E"/>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chemeClr val="tx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96D-4996-8913-3C40AAADA51B}"/>
              </c:ext>
            </c:extLst>
          </c:dPt>
          <c:dPt>
            <c:idx val="1"/>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396D-4996-8913-3C40AAADA51B}"/>
              </c:ext>
            </c:extLst>
          </c:dPt>
          <c:dPt>
            <c:idx val="2"/>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396D-4996-8913-3C40AAADA51B}"/>
              </c:ext>
            </c:extLst>
          </c:dPt>
          <c:dPt>
            <c:idx val="3"/>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396D-4996-8913-3C40AAADA51B}"/>
              </c:ext>
            </c:extLst>
          </c:dPt>
          <c:dPt>
            <c:idx val="4"/>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396D-4996-8913-3C40AAADA51B}"/>
              </c:ext>
            </c:extLst>
          </c:dPt>
          <c:dPt>
            <c:idx val="5"/>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396D-4996-8913-3C40AAADA51B}"/>
              </c:ext>
            </c:extLst>
          </c:dPt>
          <c:dPt>
            <c:idx val="6"/>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96D-4996-8913-3C40AAADA51B}"/>
              </c:ext>
            </c:extLst>
          </c:dPt>
          <c:dPt>
            <c:idx val="7"/>
            <c:invertIfNegative val="0"/>
            <c:bubble3D val="0"/>
            <c:spPr>
              <a:solidFill>
                <a:schemeClr val="tx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EC35-4167-87EC-AA8D9E03E1EF}"/>
              </c:ext>
            </c:extLst>
          </c:dPt>
          <c:dLbls>
            <c:dLbl>
              <c:idx val="1"/>
              <c:delete val="1"/>
              <c:extLst>
                <c:ext xmlns:c15="http://schemas.microsoft.com/office/drawing/2012/chart" uri="{CE6537A1-D6FC-4f65-9D91-7224C49458BB}"/>
                <c:ext xmlns:c16="http://schemas.microsoft.com/office/drawing/2014/chart" uri="{C3380CC4-5D6E-409C-BE32-E72D297353CC}">
                  <c16:uniqueId val="{00000013-396D-4996-8913-3C40AAADA51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Analysis!$B$5946:$B$5953</c:f>
              <c:strCache>
                <c:ptCount val="8"/>
                <c:pt idx="0">
                  <c:v>EFCF FY 23</c:v>
                </c:pt>
                <c:pt idx="1">
                  <c:v>Lower spectrum cost</c:v>
                </c:pt>
                <c:pt idx="2">
                  <c:v>Cash capex cut</c:v>
                </c:pt>
                <c:pt idx="3">
                  <c:v>Restructuring charges largely reduced</c:v>
                </c:pt>
                <c:pt idx="4">
                  <c:v>Additional revenue driven (3% growth)</c:v>
                </c:pt>
                <c:pt idx="5">
                  <c:v>Lower financial charges</c:v>
                </c:pt>
                <c:pt idx="6">
                  <c:v>Additional Everest opex / other</c:v>
                </c:pt>
                <c:pt idx="7">
                  <c:v>EFCF FY 24e</c:v>
                </c:pt>
              </c:strCache>
            </c:strRef>
          </c:cat>
          <c:val>
            <c:numRef>
              <c:f>Analysis!$D$5946:$D$5953</c:f>
              <c:numCache>
                <c:formatCode>#,##0</c:formatCode>
                <c:ptCount val="8"/>
                <c:pt idx="0">
                  <c:v>-18</c:v>
                </c:pt>
                <c:pt idx="1">
                  <c:v>83</c:v>
                </c:pt>
                <c:pt idx="2">
                  <c:v>356</c:v>
                </c:pt>
                <c:pt idx="3" formatCode="General">
                  <c:v>91</c:v>
                </c:pt>
                <c:pt idx="4" formatCode="0">
                  <c:v>47.246052000000006</c:v>
                </c:pt>
                <c:pt idx="5" formatCode="0">
                  <c:v>-14</c:v>
                </c:pt>
                <c:pt idx="6" formatCode="0">
                  <c:v>215.39974800000027</c:v>
                </c:pt>
                <c:pt idx="7" formatCode="0">
                  <c:v>778.64580000000024</c:v>
                </c:pt>
              </c:numCache>
            </c:numRef>
          </c:val>
          <c:extLst>
            <c:ext xmlns:c16="http://schemas.microsoft.com/office/drawing/2014/chart" uri="{C3380CC4-5D6E-409C-BE32-E72D297353CC}">
              <c16:uniqueId val="{00000001-396D-4996-8913-3C40AAADA51B}"/>
            </c:ext>
          </c:extLst>
        </c:ser>
        <c:dLbls>
          <c:showLegendKey val="0"/>
          <c:showVal val="0"/>
          <c:showCatName val="0"/>
          <c:showSerName val="0"/>
          <c:showPercent val="0"/>
          <c:showBubbleSize val="0"/>
        </c:dLbls>
        <c:gapWidth val="30"/>
        <c:overlap val="100"/>
        <c:axId val="357165200"/>
        <c:axId val="393104912"/>
      </c:barChart>
      <c:catAx>
        <c:axId val="35716520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93104912"/>
        <c:crosses val="autoZero"/>
        <c:auto val="1"/>
        <c:lblAlgn val="ctr"/>
        <c:lblOffset val="100"/>
        <c:noMultiLvlLbl val="0"/>
      </c:catAx>
      <c:valAx>
        <c:axId val="393104912"/>
        <c:scaling>
          <c:orientation val="minMax"/>
        </c:scaling>
        <c:delete val="0"/>
        <c:axPos val="l"/>
        <c:numFmt formatCode="General"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571652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699-4EDC-8503-F7D5AF7D6CAB}"/>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699-4EDC-8503-F7D5AF7D6CAB}"/>
              </c:ext>
            </c:extLst>
          </c:dPt>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699-4EDC-8503-F7D5AF7D6CAB}"/>
              </c:ext>
            </c:extLst>
          </c:dPt>
          <c:dPt>
            <c:idx val="4"/>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699-4EDC-8503-F7D5AF7D6CAB}"/>
              </c:ext>
            </c:extLst>
          </c:dPt>
          <c:dPt>
            <c:idx val="5"/>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699-4EDC-8503-F7D5AF7D6CAB}"/>
              </c:ext>
            </c:extLst>
          </c:dPt>
          <c:dPt>
            <c:idx val="6"/>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699-4EDC-8503-F7D5AF7D6CAB}"/>
              </c:ext>
            </c:extLst>
          </c:dPt>
          <c:cat>
            <c:strRef>
              <c:f>Analysis!$B$5955:$B$5961</c:f>
              <c:strCache>
                <c:ptCount val="7"/>
                <c:pt idx="0">
                  <c:v>EFCF FY 24e</c:v>
                </c:pt>
                <c:pt idx="1">
                  <c:v>Spectrum cost</c:v>
                </c:pt>
                <c:pt idx="2">
                  <c:v>Cash taxes</c:v>
                </c:pt>
                <c:pt idx="3">
                  <c:v>Cash capex </c:v>
                </c:pt>
                <c:pt idx="4">
                  <c:v>Lower financial charges</c:v>
                </c:pt>
                <c:pt idx="5">
                  <c:v>Operational leverage</c:v>
                </c:pt>
                <c:pt idx="6">
                  <c:v>EFCF FY 24e</c:v>
                </c:pt>
              </c:strCache>
            </c:strRef>
          </c:cat>
          <c:val>
            <c:numRef>
              <c:f>Analysis!$C$5955:$C$5961</c:f>
              <c:numCache>
                <c:formatCode>#,##0</c:formatCode>
                <c:ptCount val="7"/>
                <c:pt idx="1">
                  <c:v>813.64580000000024</c:v>
                </c:pt>
                <c:pt idx="2">
                  <c:v>785.34364670248578</c:v>
                </c:pt>
                <c:pt idx="3">
                  <c:v>780.17518973709639</c:v>
                </c:pt>
                <c:pt idx="4" formatCode="0">
                  <c:v>785.34364670248578</c:v>
                </c:pt>
                <c:pt idx="5" formatCode="0">
                  <c:v>829.73009960564184</c:v>
                </c:pt>
              </c:numCache>
            </c:numRef>
          </c:val>
          <c:extLst>
            <c:ext xmlns:c16="http://schemas.microsoft.com/office/drawing/2014/chart" uri="{C3380CC4-5D6E-409C-BE32-E72D297353CC}">
              <c16:uniqueId val="{0000000C-7699-4EDC-8503-F7D5AF7D6CAB}"/>
            </c:ext>
          </c:extLst>
        </c:ser>
        <c:ser>
          <c:idx val="1"/>
          <c:order val="1"/>
          <c:spPr>
            <a:solidFill>
              <a:srgbClr val="F9663E"/>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chemeClr val="tx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7699-4EDC-8503-F7D5AF7D6CAB}"/>
              </c:ext>
            </c:extLst>
          </c:dPt>
          <c:dPt>
            <c:idx val="1"/>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7699-4EDC-8503-F7D5AF7D6CAB}"/>
              </c:ext>
            </c:extLst>
          </c:dPt>
          <c:dPt>
            <c:idx val="2"/>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7699-4EDC-8503-F7D5AF7D6CAB}"/>
              </c:ext>
            </c:extLst>
          </c:dPt>
          <c:dPt>
            <c:idx val="3"/>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7699-4EDC-8503-F7D5AF7D6CAB}"/>
              </c:ext>
            </c:extLst>
          </c:dPt>
          <c:dPt>
            <c:idx val="4"/>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7699-4EDC-8503-F7D5AF7D6CAB}"/>
              </c:ext>
            </c:extLst>
          </c:dPt>
          <c:dPt>
            <c:idx val="5"/>
            <c:invertIfNegative val="0"/>
            <c:bubble3D val="0"/>
            <c:spPr>
              <a:solidFill>
                <a:srgbClr val="79909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7699-4EDC-8503-F7D5AF7D6CAB}"/>
              </c:ext>
            </c:extLst>
          </c:dPt>
          <c:dPt>
            <c:idx val="6"/>
            <c:invertIfNegative val="0"/>
            <c:bubble3D val="0"/>
            <c:spPr>
              <a:solidFill>
                <a:srgbClr val="26323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7699-4EDC-8503-F7D5AF7D6CAB}"/>
              </c:ext>
            </c:extLst>
          </c:dPt>
          <c:dPt>
            <c:idx val="7"/>
            <c:invertIfNegative val="0"/>
            <c:bubble3D val="0"/>
            <c:spPr>
              <a:solidFill>
                <a:schemeClr val="tx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7699-4EDC-8503-F7D5AF7D6CAB}"/>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99-4EDC-8503-F7D5AF7D6CA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Analysis!$B$5955:$B$5961</c:f>
              <c:strCache>
                <c:ptCount val="7"/>
                <c:pt idx="0">
                  <c:v>EFCF FY 24e</c:v>
                </c:pt>
                <c:pt idx="1">
                  <c:v>Spectrum cost</c:v>
                </c:pt>
                <c:pt idx="2">
                  <c:v>Cash taxes</c:v>
                </c:pt>
                <c:pt idx="3">
                  <c:v>Cash capex </c:v>
                </c:pt>
                <c:pt idx="4">
                  <c:v>Lower financial charges</c:v>
                </c:pt>
                <c:pt idx="5">
                  <c:v>Operational leverage</c:v>
                </c:pt>
                <c:pt idx="6">
                  <c:v>EFCF FY 24e</c:v>
                </c:pt>
              </c:strCache>
            </c:strRef>
          </c:cat>
          <c:val>
            <c:numRef>
              <c:f>Analysis!$D$5955:$D$5961</c:f>
              <c:numCache>
                <c:formatCode>#,##0</c:formatCode>
                <c:ptCount val="7"/>
                <c:pt idx="0">
                  <c:v>778.64580000000024</c:v>
                </c:pt>
                <c:pt idx="1">
                  <c:v>-35</c:v>
                </c:pt>
                <c:pt idx="2">
                  <c:v>28.302153297514508</c:v>
                </c:pt>
                <c:pt idx="3">
                  <c:v>5.1684569653893959</c:v>
                </c:pt>
                <c:pt idx="4" formatCode="0">
                  <c:v>44.386452903156055</c:v>
                </c:pt>
                <c:pt idx="5" formatCode="0">
                  <c:v>-70.109179146855581</c:v>
                </c:pt>
                <c:pt idx="6" formatCode="0">
                  <c:v>759.62092045878626</c:v>
                </c:pt>
              </c:numCache>
            </c:numRef>
          </c:val>
          <c:extLst>
            <c:ext xmlns:c16="http://schemas.microsoft.com/office/drawing/2014/chart" uri="{C3380CC4-5D6E-409C-BE32-E72D297353CC}">
              <c16:uniqueId val="{0000001D-7699-4EDC-8503-F7D5AF7D6CAB}"/>
            </c:ext>
          </c:extLst>
        </c:ser>
        <c:dLbls>
          <c:showLegendKey val="0"/>
          <c:showVal val="0"/>
          <c:showCatName val="0"/>
          <c:showSerName val="0"/>
          <c:showPercent val="0"/>
          <c:showBubbleSize val="0"/>
        </c:dLbls>
        <c:gapWidth val="30"/>
        <c:overlap val="100"/>
        <c:axId val="357165200"/>
        <c:axId val="393104912"/>
      </c:barChart>
      <c:catAx>
        <c:axId val="35716520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93104912"/>
        <c:crosses val="autoZero"/>
        <c:auto val="1"/>
        <c:lblAlgn val="ctr"/>
        <c:lblOffset val="100"/>
        <c:noMultiLvlLbl val="0"/>
      </c:catAx>
      <c:valAx>
        <c:axId val="393104912"/>
        <c:scaling>
          <c:orientation val="minMax"/>
          <c:max val="600"/>
        </c:scaling>
        <c:delete val="0"/>
        <c:axPos val="l"/>
        <c:numFmt formatCode="General"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571652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Analysis!$C$5865:$D$5865</c:f>
              <c:strCache>
                <c:ptCount val="2"/>
                <c:pt idx="0">
                  <c:v>Pre-Niel</c:v>
                </c:pt>
                <c:pt idx="1">
                  <c:v>After Niel</c:v>
                </c:pt>
              </c:strCache>
            </c:strRef>
          </c:cat>
          <c:val>
            <c:numRef>
              <c:f>Analysis!$C$5866:$D$5866</c:f>
              <c:numCache>
                <c:formatCode>General</c:formatCode>
                <c:ptCount val="2"/>
                <c:pt idx="0">
                  <c:v>21000</c:v>
                </c:pt>
                <c:pt idx="1">
                  <c:v>16000</c:v>
                </c:pt>
              </c:numCache>
            </c:numRef>
          </c:val>
          <c:extLst>
            <c:ext xmlns:c16="http://schemas.microsoft.com/office/drawing/2014/chart" uri="{C3380CC4-5D6E-409C-BE32-E72D297353CC}">
              <c16:uniqueId val="{00000000-7EE3-4D50-ADBF-6AC7173A004C}"/>
            </c:ext>
          </c:extLst>
        </c:ser>
        <c:dLbls>
          <c:showLegendKey val="0"/>
          <c:showVal val="0"/>
          <c:showCatName val="0"/>
          <c:showSerName val="0"/>
          <c:showPercent val="0"/>
          <c:showBubbleSize val="0"/>
        </c:dLbls>
        <c:gapWidth val="30"/>
        <c:overlap val="-27"/>
        <c:axId val="1053015696"/>
        <c:axId val="1095539760"/>
      </c:barChart>
      <c:catAx>
        <c:axId val="105301569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95539760"/>
        <c:crosses val="autoZero"/>
        <c:auto val="1"/>
        <c:lblAlgn val="ctr"/>
        <c:lblOffset val="100"/>
        <c:noMultiLvlLbl val="0"/>
      </c:catAx>
      <c:valAx>
        <c:axId val="1095539760"/>
        <c:scaling>
          <c:orientation val="minMax"/>
        </c:scaling>
        <c:delete val="1"/>
        <c:axPos val="l"/>
        <c:numFmt formatCode="General" sourceLinked="1"/>
        <c:majorTickMark val="out"/>
        <c:minorTickMark val="none"/>
        <c:tickLblPos val="nextTo"/>
        <c:crossAx val="10530156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0-F9CF-4E65-97E7-B80A88A64FF5}"/>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F9CF-4E65-97E7-B80A88A64FF5}"/>
              </c:ext>
            </c:extLst>
          </c:dPt>
          <c:cat>
            <c:strRef>
              <c:f>Analysis!$F$6016:$F$6019</c:f>
              <c:strCache>
                <c:ptCount val="4"/>
                <c:pt idx="0">
                  <c:v>Base case 2024 EFCF</c:v>
                </c:pt>
                <c:pt idx="1">
                  <c:v>Bolivia</c:v>
                </c:pt>
                <c:pt idx="2">
                  <c:v>Honduras</c:v>
                </c:pt>
                <c:pt idx="3">
                  <c:v>Less exposed EFCF</c:v>
                </c:pt>
              </c:strCache>
            </c:strRef>
          </c:cat>
          <c:val>
            <c:numRef>
              <c:f>Analysis!$G$6016:$G$6019</c:f>
              <c:numCache>
                <c:formatCode>#,##0</c:formatCode>
                <c:ptCount val="4"/>
                <c:pt idx="0" formatCode="General">
                  <c:v>0</c:v>
                </c:pt>
                <c:pt idx="1">
                  <c:v>677.06875511250018</c:v>
                </c:pt>
                <c:pt idx="2">
                  <c:v>588.06875511250018</c:v>
                </c:pt>
                <c:pt idx="3">
                  <c:v>0</c:v>
                </c:pt>
              </c:numCache>
            </c:numRef>
          </c:val>
          <c:extLst>
            <c:ext xmlns:c16="http://schemas.microsoft.com/office/drawing/2014/chart" uri="{C3380CC4-5D6E-409C-BE32-E72D297353CC}">
              <c16:uniqueId val="{00000000-EB71-4DDB-9095-BC88547D4743}"/>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Analysis!$F$6016:$F$6019</c:f>
              <c:strCache>
                <c:ptCount val="4"/>
                <c:pt idx="0">
                  <c:v>Base case 2024 EFCF</c:v>
                </c:pt>
                <c:pt idx="1">
                  <c:v>Bolivia</c:v>
                </c:pt>
                <c:pt idx="2">
                  <c:v>Honduras</c:v>
                </c:pt>
                <c:pt idx="3">
                  <c:v>Less exposed EFCF</c:v>
                </c:pt>
              </c:strCache>
            </c:strRef>
          </c:cat>
          <c:val>
            <c:numRef>
              <c:f>Analysis!$H$6016:$H$6019</c:f>
              <c:numCache>
                <c:formatCode>#,##0</c:formatCode>
                <c:ptCount val="4"/>
                <c:pt idx="0">
                  <c:v>778.64580000000024</c:v>
                </c:pt>
                <c:pt idx="1">
                  <c:v>101.57704488750001</c:v>
                </c:pt>
                <c:pt idx="2">
                  <c:v>89</c:v>
                </c:pt>
                <c:pt idx="3">
                  <c:v>588.06875511250018</c:v>
                </c:pt>
              </c:numCache>
            </c:numRef>
          </c:val>
          <c:extLst>
            <c:ext xmlns:c16="http://schemas.microsoft.com/office/drawing/2014/chart" uri="{C3380CC4-5D6E-409C-BE32-E72D297353CC}">
              <c16:uniqueId val="{00000001-EB71-4DDB-9095-BC88547D4743}"/>
            </c:ext>
          </c:extLst>
        </c:ser>
        <c:dLbls>
          <c:showLegendKey val="0"/>
          <c:showVal val="0"/>
          <c:showCatName val="0"/>
          <c:showSerName val="0"/>
          <c:showPercent val="0"/>
          <c:showBubbleSize val="0"/>
        </c:dLbls>
        <c:gapWidth val="30"/>
        <c:overlap val="100"/>
        <c:axId val="641058111"/>
        <c:axId val="641057151"/>
      </c:barChart>
      <c:catAx>
        <c:axId val="641058111"/>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641057151"/>
        <c:crosses val="autoZero"/>
        <c:auto val="1"/>
        <c:lblAlgn val="ctr"/>
        <c:lblOffset val="100"/>
        <c:noMultiLvlLbl val="0"/>
      </c:catAx>
      <c:valAx>
        <c:axId val="641057151"/>
        <c:scaling>
          <c:orientation val="minMax"/>
        </c:scaling>
        <c:delete val="1"/>
        <c:axPos val="l"/>
        <c:numFmt formatCode="General" sourceLinked="1"/>
        <c:majorTickMark val="out"/>
        <c:minorTickMark val="none"/>
        <c:tickLblPos val="nextTo"/>
        <c:crossAx val="641058111"/>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6078762826849"/>
          <c:y val="9.3293846547624307E-2"/>
          <c:w val="0.54454672023686579"/>
          <c:h val="0.70222644398635747"/>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D02B-45C9-BAD2-481355768151}"/>
              </c:ext>
            </c:extLst>
          </c:dPt>
          <c:dPt>
            <c:idx val="1"/>
            <c:bubble3D val="0"/>
            <c:spPr>
              <a:solidFill>
                <a:srgbClr val="799098"/>
              </a:solidFill>
              <a:ln w="25400">
                <a:noFill/>
              </a:ln>
              <a:effectLst/>
            </c:spPr>
            <c:extLst>
              <c:ext xmlns:c16="http://schemas.microsoft.com/office/drawing/2014/chart" uri="{C3380CC4-5D6E-409C-BE32-E72D297353CC}">
                <c16:uniqueId val="{00000002-D02B-45C9-BAD2-481355768151}"/>
              </c:ext>
            </c:extLst>
          </c:dPt>
          <c:dPt>
            <c:idx val="2"/>
            <c:bubble3D val="0"/>
            <c:spPr>
              <a:solidFill>
                <a:srgbClr val="F9663E"/>
              </a:solidFill>
              <a:ln w="25400">
                <a:noFill/>
              </a:ln>
              <a:effectLst/>
            </c:spPr>
            <c:extLst>
              <c:ext xmlns:c16="http://schemas.microsoft.com/office/drawing/2014/chart" uri="{C3380CC4-5D6E-409C-BE32-E72D297353CC}">
                <c16:uniqueId val="{00000003-D02B-45C9-BAD2-481355768151}"/>
              </c:ext>
            </c:extLst>
          </c:dPt>
          <c:dPt>
            <c:idx val="3"/>
            <c:bubble3D val="0"/>
            <c:spPr>
              <a:solidFill>
                <a:srgbClr val="C7FE02"/>
              </a:solidFill>
              <a:ln w="25400">
                <a:noFill/>
              </a:ln>
              <a:effectLst/>
            </c:spPr>
            <c:extLst>
              <c:ext xmlns:c16="http://schemas.microsoft.com/office/drawing/2014/chart" uri="{C3380CC4-5D6E-409C-BE32-E72D297353CC}">
                <c16:uniqueId val="{00000004-D02B-45C9-BAD2-48135576815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02B-45C9-BAD2-48135576815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02B-45C9-BAD2-48135576815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Analysis!$B$6226:$B$6229</c:f>
              <c:strCache>
                <c:ptCount val="4"/>
                <c:pt idx="0">
                  <c:v>Claro</c:v>
                </c:pt>
                <c:pt idx="1">
                  <c:v>Movistar (Telefonica)</c:v>
                </c:pt>
                <c:pt idx="2">
                  <c:v>TIGO (Millicom)</c:v>
                </c:pt>
                <c:pt idx="3">
                  <c:v>WOM</c:v>
                </c:pt>
              </c:strCache>
            </c:strRef>
          </c:cat>
          <c:val>
            <c:numRef>
              <c:f>Analysis!$D$6226:$D$6229</c:f>
              <c:numCache>
                <c:formatCode>0.0%</c:formatCode>
                <c:ptCount val="4"/>
                <c:pt idx="0">
                  <c:v>0.53568000000000005</c:v>
                </c:pt>
                <c:pt idx="1">
                  <c:v>0.23615999999999998</c:v>
                </c:pt>
                <c:pt idx="2">
                  <c:v>0.18815999999999999</c:v>
                </c:pt>
                <c:pt idx="3">
                  <c:v>3.8399999999999997E-2</c:v>
                </c:pt>
              </c:numCache>
            </c:numRef>
          </c:val>
          <c:extLst>
            <c:ext xmlns:c16="http://schemas.microsoft.com/office/drawing/2014/chart" uri="{C3380CC4-5D6E-409C-BE32-E72D297353CC}">
              <c16:uniqueId val="{00000000-D02B-45C9-BAD2-48135576815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6078762826849"/>
          <c:y val="9.3293846547624307E-2"/>
          <c:w val="0.54454672023686579"/>
          <c:h val="0.70222644398635747"/>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276-458D-A81E-E187195D5F39}"/>
              </c:ext>
            </c:extLst>
          </c:dPt>
          <c:dPt>
            <c:idx val="1"/>
            <c:bubble3D val="0"/>
            <c:explosion val="11"/>
            <c:spPr>
              <a:solidFill>
                <a:srgbClr val="799098"/>
              </a:solidFill>
              <a:ln w="25400">
                <a:noFill/>
              </a:ln>
              <a:effectLst/>
            </c:spPr>
            <c:extLst>
              <c:ext xmlns:c16="http://schemas.microsoft.com/office/drawing/2014/chart" uri="{C3380CC4-5D6E-409C-BE32-E72D297353CC}">
                <c16:uniqueId val="{00000003-9276-458D-A81E-E187195D5F39}"/>
              </c:ext>
            </c:extLst>
          </c:dPt>
          <c:dPt>
            <c:idx val="2"/>
            <c:bubble3D val="0"/>
            <c:explosion val="10"/>
            <c:spPr>
              <a:solidFill>
                <a:srgbClr val="F9663E"/>
              </a:solidFill>
              <a:ln w="25400">
                <a:noFill/>
              </a:ln>
              <a:effectLst/>
            </c:spPr>
            <c:extLst>
              <c:ext xmlns:c16="http://schemas.microsoft.com/office/drawing/2014/chart" uri="{C3380CC4-5D6E-409C-BE32-E72D297353CC}">
                <c16:uniqueId val="{00000005-9276-458D-A81E-E187195D5F39}"/>
              </c:ext>
            </c:extLst>
          </c:dPt>
          <c:dPt>
            <c:idx val="3"/>
            <c:bubble3D val="0"/>
            <c:spPr>
              <a:solidFill>
                <a:srgbClr val="C7FE02"/>
              </a:solidFill>
              <a:ln w="25400">
                <a:noFill/>
              </a:ln>
              <a:effectLst/>
            </c:spPr>
            <c:extLst>
              <c:ext xmlns:c16="http://schemas.microsoft.com/office/drawing/2014/chart" uri="{C3380CC4-5D6E-409C-BE32-E72D297353CC}">
                <c16:uniqueId val="{00000007-9276-458D-A81E-E187195D5F39}"/>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9276-458D-A81E-E187195D5F39}"/>
              </c:ext>
            </c:extLst>
          </c:dPt>
          <c:dPt>
            <c:idx val="5"/>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A-9276-458D-A81E-E187195D5F39}"/>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276-458D-A81E-E187195D5F39}"/>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showLegendKey val="0"/>
              <c:showVal val="1"/>
              <c:showCatName val="0"/>
              <c:showSerName val="0"/>
              <c:showPercent val="0"/>
              <c:showBubbleSize val="0"/>
              <c:extLst>
                <c:ext xmlns:c16="http://schemas.microsoft.com/office/drawing/2014/chart" uri="{C3380CC4-5D6E-409C-BE32-E72D297353CC}">
                  <c16:uniqueId val="{00000003-9276-458D-A81E-E187195D5F3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Analysis!$B$6234:$B$6239</c:f>
              <c:strCache>
                <c:ptCount val="6"/>
                <c:pt idx="0">
                  <c:v>Claro</c:v>
                </c:pt>
                <c:pt idx="1">
                  <c:v>TIGO</c:v>
                </c:pt>
                <c:pt idx="2">
                  <c:v>Movistar</c:v>
                </c:pt>
                <c:pt idx="3">
                  <c:v>ETB</c:v>
                </c:pt>
                <c:pt idx="4">
                  <c:v>Others</c:v>
                </c:pt>
                <c:pt idx="5">
                  <c:v>EM Cali / HV / DirecTV</c:v>
                </c:pt>
              </c:strCache>
            </c:strRef>
          </c:cat>
          <c:val>
            <c:numRef>
              <c:f>Analysis!$D$6234:$D$6239</c:f>
              <c:numCache>
                <c:formatCode>0%</c:formatCode>
                <c:ptCount val="6"/>
                <c:pt idx="0">
                  <c:v>0.37432330867100877</c:v>
                </c:pt>
                <c:pt idx="1">
                  <c:v>0.20906462328630843</c:v>
                </c:pt>
                <c:pt idx="2">
                  <c:v>0.15784933918383978</c:v>
                </c:pt>
                <c:pt idx="3">
                  <c:v>7.5259229035669659E-2</c:v>
                </c:pt>
                <c:pt idx="4">
                  <c:v>0.15843950874129117</c:v>
                </c:pt>
                <c:pt idx="5">
                  <c:v>2.5030363186870772E-2</c:v>
                </c:pt>
              </c:numCache>
            </c:numRef>
          </c:val>
          <c:extLst>
            <c:ext xmlns:c16="http://schemas.microsoft.com/office/drawing/2014/chart" uri="{C3380CC4-5D6E-409C-BE32-E72D297353CC}">
              <c16:uniqueId val="{00000008-9276-458D-A81E-E187195D5F39}"/>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9.2420692569684326E-2"/>
          <c:y val="0.81552905024052047"/>
          <c:w val="0.8883290655203635"/>
          <c:h val="0.1561635011484577"/>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Analysis!$C$6263</c:f>
              <c:strCache>
                <c:ptCount val="1"/>
                <c:pt idx="0">
                  <c:v>Peak</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cat>
            <c:strRef>
              <c:f>Analysis!$B$6264:$B$6279</c:f>
              <c:strCache>
                <c:ptCount val="16"/>
                <c:pt idx="0">
                  <c:v>Brazil</c:v>
                </c:pt>
                <c:pt idx="1">
                  <c:v>Mexico</c:v>
                </c:pt>
                <c:pt idx="2">
                  <c:v>Colombia</c:v>
                </c:pt>
                <c:pt idx="3">
                  <c:v>Chile</c:v>
                </c:pt>
                <c:pt idx="4">
                  <c:v>Peru</c:v>
                </c:pt>
                <c:pt idx="5">
                  <c:v>Argentina</c:v>
                </c:pt>
                <c:pt idx="6">
                  <c:v>Costa Rica</c:v>
                </c:pt>
                <c:pt idx="7">
                  <c:v>Panama</c:v>
                </c:pt>
                <c:pt idx="8">
                  <c:v>El Salvador</c:v>
                </c:pt>
                <c:pt idx="9">
                  <c:v>Bolivia</c:v>
                </c:pt>
                <c:pt idx="10">
                  <c:v>Paraguay</c:v>
                </c:pt>
                <c:pt idx="11">
                  <c:v>Guatemala</c:v>
                </c:pt>
                <c:pt idx="12">
                  <c:v>Nicaragua</c:v>
                </c:pt>
                <c:pt idx="13">
                  <c:v>Honduras</c:v>
                </c:pt>
                <c:pt idx="14">
                  <c:v>Caribbean </c:v>
                </c:pt>
                <c:pt idx="15">
                  <c:v>Puerto Rico</c:v>
                </c:pt>
              </c:strCache>
            </c:strRef>
          </c:cat>
          <c:val>
            <c:numRef>
              <c:f>Analysis!$C$6264:$C$6279</c:f>
              <c:numCache>
                <c:formatCode>General</c:formatCode>
                <c:ptCount val="16"/>
                <c:pt idx="0">
                  <c:v>8</c:v>
                </c:pt>
                <c:pt idx="1">
                  <c:v>7</c:v>
                </c:pt>
                <c:pt idx="2">
                  <c:v>4</c:v>
                </c:pt>
                <c:pt idx="3">
                  <c:v>4</c:v>
                </c:pt>
                <c:pt idx="4">
                  <c:v>4</c:v>
                </c:pt>
                <c:pt idx="5">
                  <c:v>4</c:v>
                </c:pt>
                <c:pt idx="6">
                  <c:v>3</c:v>
                </c:pt>
                <c:pt idx="7">
                  <c:v>4</c:v>
                </c:pt>
                <c:pt idx="8">
                  <c:v>4</c:v>
                </c:pt>
                <c:pt idx="9">
                  <c:v>3</c:v>
                </c:pt>
                <c:pt idx="10">
                  <c:v>4</c:v>
                </c:pt>
                <c:pt idx="11">
                  <c:v>3</c:v>
                </c:pt>
                <c:pt idx="12">
                  <c:v>2</c:v>
                </c:pt>
                <c:pt idx="13">
                  <c:v>2</c:v>
                </c:pt>
                <c:pt idx="14">
                  <c:v>3</c:v>
                </c:pt>
                <c:pt idx="15">
                  <c:v>4</c:v>
                </c:pt>
              </c:numCache>
            </c:numRef>
          </c:val>
          <c:extLst>
            <c:ext xmlns:c16="http://schemas.microsoft.com/office/drawing/2014/chart" uri="{C3380CC4-5D6E-409C-BE32-E72D297353CC}">
              <c16:uniqueId val="{00000000-545C-4534-93A3-0C9B9008D054}"/>
            </c:ext>
          </c:extLst>
        </c:ser>
        <c:ser>
          <c:idx val="1"/>
          <c:order val="1"/>
          <c:tx>
            <c:strRef>
              <c:f>Analysis!$D$6263</c:f>
              <c:strCache>
                <c:ptCount val="1"/>
                <c:pt idx="0">
                  <c:v>2015</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Analysis!$B$6264:$B$6279</c:f>
              <c:strCache>
                <c:ptCount val="16"/>
                <c:pt idx="0">
                  <c:v>Brazil</c:v>
                </c:pt>
                <c:pt idx="1">
                  <c:v>Mexico</c:v>
                </c:pt>
                <c:pt idx="2">
                  <c:v>Colombia</c:v>
                </c:pt>
                <c:pt idx="3">
                  <c:v>Chile</c:v>
                </c:pt>
                <c:pt idx="4">
                  <c:v>Peru</c:v>
                </c:pt>
                <c:pt idx="5">
                  <c:v>Argentina</c:v>
                </c:pt>
                <c:pt idx="6">
                  <c:v>Costa Rica</c:v>
                </c:pt>
                <c:pt idx="7">
                  <c:v>Panama</c:v>
                </c:pt>
                <c:pt idx="8">
                  <c:v>El Salvador</c:v>
                </c:pt>
                <c:pt idx="9">
                  <c:v>Bolivia</c:v>
                </c:pt>
                <c:pt idx="10">
                  <c:v>Paraguay</c:v>
                </c:pt>
                <c:pt idx="11">
                  <c:v>Guatemala</c:v>
                </c:pt>
                <c:pt idx="12">
                  <c:v>Nicaragua</c:v>
                </c:pt>
                <c:pt idx="13">
                  <c:v>Honduras</c:v>
                </c:pt>
                <c:pt idx="14">
                  <c:v>Caribbean </c:v>
                </c:pt>
                <c:pt idx="15">
                  <c:v>Puerto Rico</c:v>
                </c:pt>
              </c:strCache>
            </c:strRef>
          </c:cat>
          <c:val>
            <c:numRef>
              <c:f>Analysis!$D$6264:$D$6279</c:f>
              <c:numCache>
                <c:formatCode>General</c:formatCode>
                <c:ptCount val="16"/>
                <c:pt idx="0">
                  <c:v>5</c:v>
                </c:pt>
                <c:pt idx="1">
                  <c:v>3</c:v>
                </c:pt>
                <c:pt idx="2">
                  <c:v>4</c:v>
                </c:pt>
                <c:pt idx="3">
                  <c:v>4</c:v>
                </c:pt>
                <c:pt idx="4">
                  <c:v>4</c:v>
                </c:pt>
                <c:pt idx="5">
                  <c:v>4</c:v>
                </c:pt>
                <c:pt idx="6">
                  <c:v>3</c:v>
                </c:pt>
                <c:pt idx="7">
                  <c:v>4</c:v>
                </c:pt>
                <c:pt idx="8">
                  <c:v>4</c:v>
                </c:pt>
                <c:pt idx="9">
                  <c:v>3</c:v>
                </c:pt>
                <c:pt idx="10">
                  <c:v>4</c:v>
                </c:pt>
                <c:pt idx="11">
                  <c:v>3</c:v>
                </c:pt>
                <c:pt idx="12">
                  <c:v>2</c:v>
                </c:pt>
                <c:pt idx="13">
                  <c:v>2</c:v>
                </c:pt>
                <c:pt idx="14">
                  <c:v>2</c:v>
                </c:pt>
                <c:pt idx="15">
                  <c:v>4</c:v>
                </c:pt>
              </c:numCache>
            </c:numRef>
          </c:val>
          <c:extLst>
            <c:ext xmlns:c16="http://schemas.microsoft.com/office/drawing/2014/chart" uri="{C3380CC4-5D6E-409C-BE32-E72D297353CC}">
              <c16:uniqueId val="{00000001-545C-4534-93A3-0C9B9008D054}"/>
            </c:ext>
          </c:extLst>
        </c:ser>
        <c:ser>
          <c:idx val="2"/>
          <c:order val="2"/>
          <c:tx>
            <c:strRef>
              <c:f>Analysis!$E$6263</c:f>
              <c:strCache>
                <c:ptCount val="1"/>
                <c:pt idx="0">
                  <c:v>2024</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cat>
            <c:strRef>
              <c:f>Analysis!$B$6264:$B$6279</c:f>
              <c:strCache>
                <c:ptCount val="16"/>
                <c:pt idx="0">
                  <c:v>Brazil</c:v>
                </c:pt>
                <c:pt idx="1">
                  <c:v>Mexico</c:v>
                </c:pt>
                <c:pt idx="2">
                  <c:v>Colombia</c:v>
                </c:pt>
                <c:pt idx="3">
                  <c:v>Chile</c:v>
                </c:pt>
                <c:pt idx="4">
                  <c:v>Peru</c:v>
                </c:pt>
                <c:pt idx="5">
                  <c:v>Argentina</c:v>
                </c:pt>
                <c:pt idx="6">
                  <c:v>Costa Rica</c:v>
                </c:pt>
                <c:pt idx="7">
                  <c:v>Panama</c:v>
                </c:pt>
                <c:pt idx="8">
                  <c:v>El Salvador</c:v>
                </c:pt>
                <c:pt idx="9">
                  <c:v>Bolivia</c:v>
                </c:pt>
                <c:pt idx="10">
                  <c:v>Paraguay</c:v>
                </c:pt>
                <c:pt idx="11">
                  <c:v>Guatemala</c:v>
                </c:pt>
                <c:pt idx="12">
                  <c:v>Nicaragua</c:v>
                </c:pt>
                <c:pt idx="13">
                  <c:v>Honduras</c:v>
                </c:pt>
                <c:pt idx="14">
                  <c:v>Caribbean </c:v>
                </c:pt>
                <c:pt idx="15">
                  <c:v>Puerto Rico</c:v>
                </c:pt>
              </c:strCache>
            </c:strRef>
          </c:cat>
          <c:val>
            <c:numRef>
              <c:f>Analysis!$E$6264:$E$6279</c:f>
              <c:numCache>
                <c:formatCode>General</c:formatCode>
                <c:ptCount val="16"/>
                <c:pt idx="0">
                  <c:v>3</c:v>
                </c:pt>
                <c:pt idx="1">
                  <c:v>2</c:v>
                </c:pt>
                <c:pt idx="2">
                  <c:v>4</c:v>
                </c:pt>
                <c:pt idx="3">
                  <c:v>4</c:v>
                </c:pt>
                <c:pt idx="4">
                  <c:v>4</c:v>
                </c:pt>
                <c:pt idx="5">
                  <c:v>3</c:v>
                </c:pt>
                <c:pt idx="6">
                  <c:v>3</c:v>
                </c:pt>
                <c:pt idx="7">
                  <c:v>2</c:v>
                </c:pt>
                <c:pt idx="8">
                  <c:v>4</c:v>
                </c:pt>
                <c:pt idx="9">
                  <c:v>3</c:v>
                </c:pt>
                <c:pt idx="10">
                  <c:v>3</c:v>
                </c:pt>
                <c:pt idx="11">
                  <c:v>2</c:v>
                </c:pt>
                <c:pt idx="12">
                  <c:v>2</c:v>
                </c:pt>
                <c:pt idx="13">
                  <c:v>2</c:v>
                </c:pt>
                <c:pt idx="14">
                  <c:v>2</c:v>
                </c:pt>
                <c:pt idx="15">
                  <c:v>3</c:v>
                </c:pt>
              </c:numCache>
            </c:numRef>
          </c:val>
          <c:extLst>
            <c:ext xmlns:c16="http://schemas.microsoft.com/office/drawing/2014/chart" uri="{C3380CC4-5D6E-409C-BE32-E72D297353CC}">
              <c16:uniqueId val="{00000002-545C-4534-93A3-0C9B9008D054}"/>
            </c:ext>
          </c:extLst>
        </c:ser>
        <c:ser>
          <c:idx val="3"/>
          <c:order val="3"/>
          <c:tx>
            <c:strRef>
              <c:f>Analysis!$F$6263</c:f>
              <c:strCache>
                <c:ptCount val="1"/>
                <c:pt idx="0">
                  <c:v>Future</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cat>
            <c:strRef>
              <c:f>Analysis!$B$6264:$B$6279</c:f>
              <c:strCache>
                <c:ptCount val="16"/>
                <c:pt idx="0">
                  <c:v>Brazil</c:v>
                </c:pt>
                <c:pt idx="1">
                  <c:v>Mexico</c:v>
                </c:pt>
                <c:pt idx="2">
                  <c:v>Colombia</c:v>
                </c:pt>
                <c:pt idx="3">
                  <c:v>Chile</c:v>
                </c:pt>
                <c:pt idx="4">
                  <c:v>Peru</c:v>
                </c:pt>
                <c:pt idx="5">
                  <c:v>Argentina</c:v>
                </c:pt>
                <c:pt idx="6">
                  <c:v>Costa Rica</c:v>
                </c:pt>
                <c:pt idx="7">
                  <c:v>Panama</c:v>
                </c:pt>
                <c:pt idx="8">
                  <c:v>El Salvador</c:v>
                </c:pt>
                <c:pt idx="9">
                  <c:v>Bolivia</c:v>
                </c:pt>
                <c:pt idx="10">
                  <c:v>Paraguay</c:v>
                </c:pt>
                <c:pt idx="11">
                  <c:v>Guatemala</c:v>
                </c:pt>
                <c:pt idx="12">
                  <c:v>Nicaragua</c:v>
                </c:pt>
                <c:pt idx="13">
                  <c:v>Honduras</c:v>
                </c:pt>
                <c:pt idx="14">
                  <c:v>Caribbean </c:v>
                </c:pt>
                <c:pt idx="15">
                  <c:v>Puerto Rico</c:v>
                </c:pt>
              </c:strCache>
            </c:strRef>
          </c:cat>
          <c:val>
            <c:numRef>
              <c:f>Analysis!$F$6264:$F$6279</c:f>
              <c:numCache>
                <c:formatCode>General</c:formatCode>
                <c:ptCount val="16"/>
                <c:pt idx="0">
                  <c:v>3</c:v>
                </c:pt>
                <c:pt idx="1">
                  <c:v>2</c:v>
                </c:pt>
                <c:pt idx="2">
                  <c:v>2</c:v>
                </c:pt>
                <c:pt idx="3">
                  <c:v>3</c:v>
                </c:pt>
                <c:pt idx="4">
                  <c:v>3</c:v>
                </c:pt>
                <c:pt idx="5">
                  <c:v>3</c:v>
                </c:pt>
                <c:pt idx="6">
                  <c:v>3</c:v>
                </c:pt>
                <c:pt idx="7">
                  <c:v>2</c:v>
                </c:pt>
                <c:pt idx="8">
                  <c:v>3</c:v>
                </c:pt>
                <c:pt idx="9">
                  <c:v>3</c:v>
                </c:pt>
                <c:pt idx="10">
                  <c:v>3</c:v>
                </c:pt>
                <c:pt idx="11">
                  <c:v>2</c:v>
                </c:pt>
                <c:pt idx="12">
                  <c:v>2</c:v>
                </c:pt>
                <c:pt idx="13">
                  <c:v>2</c:v>
                </c:pt>
                <c:pt idx="14">
                  <c:v>2</c:v>
                </c:pt>
                <c:pt idx="15">
                  <c:v>3</c:v>
                </c:pt>
              </c:numCache>
            </c:numRef>
          </c:val>
          <c:extLst>
            <c:ext xmlns:c16="http://schemas.microsoft.com/office/drawing/2014/chart" uri="{C3380CC4-5D6E-409C-BE32-E72D297353CC}">
              <c16:uniqueId val="{00000003-545C-4534-93A3-0C9B9008D054}"/>
            </c:ext>
          </c:extLst>
        </c:ser>
        <c:ser>
          <c:idx val="4"/>
          <c:order val="4"/>
          <c:tx>
            <c:strRef>
              <c:f>Analysis!$G$6263</c:f>
              <c:strCache>
                <c:ptCount val="1"/>
              </c:strCache>
            </c:strRef>
          </c:tx>
          <c:spPr>
            <a:solidFill>
              <a:schemeClr val="bg1"/>
            </a:solidFill>
            <a:ln>
              <a:noFill/>
            </a:ln>
            <a:effectLst/>
          </c:spPr>
          <c:invertIfNegative val="0"/>
          <c:cat>
            <c:strRef>
              <c:f>Analysis!$B$6264:$B$6279</c:f>
              <c:strCache>
                <c:ptCount val="16"/>
                <c:pt idx="0">
                  <c:v>Brazil</c:v>
                </c:pt>
                <c:pt idx="1">
                  <c:v>Mexico</c:v>
                </c:pt>
                <c:pt idx="2">
                  <c:v>Colombia</c:v>
                </c:pt>
                <c:pt idx="3">
                  <c:v>Chile</c:v>
                </c:pt>
                <c:pt idx="4">
                  <c:v>Peru</c:v>
                </c:pt>
                <c:pt idx="5">
                  <c:v>Argentina</c:v>
                </c:pt>
                <c:pt idx="6">
                  <c:v>Costa Rica</c:v>
                </c:pt>
                <c:pt idx="7">
                  <c:v>Panama</c:v>
                </c:pt>
                <c:pt idx="8">
                  <c:v>El Salvador</c:v>
                </c:pt>
                <c:pt idx="9">
                  <c:v>Bolivia</c:v>
                </c:pt>
                <c:pt idx="10">
                  <c:v>Paraguay</c:v>
                </c:pt>
                <c:pt idx="11">
                  <c:v>Guatemala</c:v>
                </c:pt>
                <c:pt idx="12">
                  <c:v>Nicaragua</c:v>
                </c:pt>
                <c:pt idx="13">
                  <c:v>Honduras</c:v>
                </c:pt>
                <c:pt idx="14">
                  <c:v>Caribbean </c:v>
                </c:pt>
                <c:pt idx="15">
                  <c:v>Puerto Rico</c:v>
                </c:pt>
              </c:strCache>
            </c:strRef>
          </c:cat>
          <c:val>
            <c:numRef>
              <c:f>Analysis!$G$6264:$G$6279</c:f>
              <c:numCache>
                <c:formatCode>General</c:formatCode>
                <c:ptCount val="16"/>
              </c:numCache>
            </c:numRef>
          </c:val>
          <c:extLst>
            <c:ext xmlns:c16="http://schemas.microsoft.com/office/drawing/2014/chart" uri="{C3380CC4-5D6E-409C-BE32-E72D297353CC}">
              <c16:uniqueId val="{00000004-545C-4534-93A3-0C9B9008D054}"/>
            </c:ext>
          </c:extLst>
        </c:ser>
        <c:dLbls>
          <c:showLegendKey val="0"/>
          <c:showVal val="0"/>
          <c:showCatName val="0"/>
          <c:showSerName val="0"/>
          <c:showPercent val="0"/>
          <c:showBubbleSize val="0"/>
        </c:dLbls>
        <c:gapWidth val="30"/>
        <c:overlap val="-27"/>
        <c:axId val="1575422543"/>
        <c:axId val="1575425903"/>
      </c:barChart>
      <c:catAx>
        <c:axId val="157542254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575425903"/>
        <c:crosses val="autoZero"/>
        <c:auto val="1"/>
        <c:lblAlgn val="ctr"/>
        <c:lblOffset val="100"/>
        <c:noMultiLvlLbl val="0"/>
      </c:catAx>
      <c:valAx>
        <c:axId val="1575425903"/>
        <c:scaling>
          <c:orientation val="minMax"/>
        </c:scaling>
        <c:delete val="0"/>
        <c:axPos val="l"/>
        <c:numFmt formatCode="General"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57542254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'Earning snaps'!$B$153</c:f>
              <c:strCache>
                <c:ptCount val="1"/>
                <c:pt idx="0">
                  <c:v>IAS 17</c:v>
                </c:pt>
              </c:strCache>
            </c:strRef>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Roboto" pitchFamily="2" charset="0"/>
                    <a:ea typeface="Roboto" pitchFamily="2"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 snaps'!$Q$150:$AA$150</c:f>
              <c:strCache>
                <c:ptCount val="11"/>
                <c:pt idx="0">
                  <c:v>Q2 22</c:v>
                </c:pt>
                <c:pt idx="1">
                  <c:v>Q3 22</c:v>
                </c:pt>
                <c:pt idx="2">
                  <c:v>Q4 22</c:v>
                </c:pt>
                <c:pt idx="3">
                  <c:v>Q1 23</c:v>
                </c:pt>
                <c:pt idx="4">
                  <c:v>Q2 23</c:v>
                </c:pt>
                <c:pt idx="5">
                  <c:v>Q3 23</c:v>
                </c:pt>
                <c:pt idx="6">
                  <c:v>Q4 23</c:v>
                </c:pt>
                <c:pt idx="7">
                  <c:v>Q1 24</c:v>
                </c:pt>
                <c:pt idx="8">
                  <c:v>Q2 24</c:v>
                </c:pt>
                <c:pt idx="9">
                  <c:v>Q3 24</c:v>
                </c:pt>
                <c:pt idx="10">
                  <c:v>Q4 24</c:v>
                </c:pt>
              </c:strCache>
            </c:strRef>
          </c:cat>
          <c:val>
            <c:numRef>
              <c:f>'Earning snaps'!$Q$153:$Z$153</c:f>
              <c:numCache>
                <c:formatCode>0.00</c:formatCode>
                <c:ptCount val="10"/>
                <c:pt idx="0">
                  <c:v>3.04</c:v>
                </c:pt>
                <c:pt idx="1">
                  <c:v>3.03</c:v>
                </c:pt>
                <c:pt idx="2">
                  <c:v>2.99</c:v>
                </c:pt>
                <c:pt idx="3">
                  <c:v>3.18</c:v>
                </c:pt>
                <c:pt idx="4">
                  <c:v>3.34</c:v>
                </c:pt>
                <c:pt idx="5">
                  <c:v>3.32</c:v>
                </c:pt>
                <c:pt idx="6">
                  <c:v>3.29</c:v>
                </c:pt>
                <c:pt idx="7">
                  <c:v>3.1</c:v>
                </c:pt>
                <c:pt idx="8">
                  <c:v>2.77</c:v>
                </c:pt>
                <c:pt idx="9">
                  <c:v>2.59</c:v>
                </c:pt>
              </c:numCache>
            </c:numRef>
          </c:val>
          <c:smooth val="0"/>
          <c:extLst>
            <c:ext xmlns:c16="http://schemas.microsoft.com/office/drawing/2014/chart" uri="{C3380CC4-5D6E-409C-BE32-E72D297353CC}">
              <c16:uniqueId val="{00000000-7E45-47D0-BEA6-31103A4DBF51}"/>
            </c:ext>
          </c:extLst>
        </c:ser>
        <c:ser>
          <c:idx val="1"/>
          <c:order val="1"/>
          <c:tx>
            <c:strRef>
              <c:f>'Earning snaps'!$B$155</c:f>
              <c:strCache>
                <c:ptCount val="1"/>
                <c:pt idx="0">
                  <c:v>IAS 17 2024 "target"</c:v>
                </c:pt>
              </c:strCache>
            </c:strRef>
          </c:tx>
          <c:spPr>
            <a:ln w="28575" cap="rnd">
              <a:solidFill>
                <a:srgbClr val="799098"/>
              </a:solidFill>
              <a:prstDash val="solid"/>
              <a:round/>
            </a:ln>
            <a:effectLst/>
          </c:spPr>
          <c:marker>
            <c:symbol val="none"/>
          </c:marker>
          <c:dLbls>
            <c:delete val="1"/>
          </c:dLbls>
          <c:cat>
            <c:strRef>
              <c:f>'Earning snaps'!$Q$150:$AA$150</c:f>
              <c:strCache>
                <c:ptCount val="11"/>
                <c:pt idx="0">
                  <c:v>Q2 22</c:v>
                </c:pt>
                <c:pt idx="1">
                  <c:v>Q3 22</c:v>
                </c:pt>
                <c:pt idx="2">
                  <c:v>Q4 22</c:v>
                </c:pt>
                <c:pt idx="3">
                  <c:v>Q1 23</c:v>
                </c:pt>
                <c:pt idx="4">
                  <c:v>Q2 23</c:v>
                </c:pt>
                <c:pt idx="5">
                  <c:v>Q3 23</c:v>
                </c:pt>
                <c:pt idx="6">
                  <c:v>Q4 23</c:v>
                </c:pt>
                <c:pt idx="7">
                  <c:v>Q1 24</c:v>
                </c:pt>
                <c:pt idx="8">
                  <c:v>Q2 24</c:v>
                </c:pt>
                <c:pt idx="9">
                  <c:v>Q3 24</c:v>
                </c:pt>
                <c:pt idx="10">
                  <c:v>Q4 24</c:v>
                </c:pt>
              </c:strCache>
            </c:strRef>
          </c:cat>
          <c:val>
            <c:numRef>
              <c:f>'Earning snaps'!$Q$155:$Z$155</c:f>
              <c:numCache>
                <c:formatCode>0.00</c:formatCode>
                <c:ptCount val="10"/>
                <c:pt idx="0">
                  <c:v>2.5</c:v>
                </c:pt>
                <c:pt idx="1">
                  <c:v>2.5</c:v>
                </c:pt>
                <c:pt idx="2">
                  <c:v>2.5</c:v>
                </c:pt>
                <c:pt idx="3">
                  <c:v>2.5</c:v>
                </c:pt>
                <c:pt idx="4">
                  <c:v>2.5</c:v>
                </c:pt>
                <c:pt idx="5">
                  <c:v>2.5</c:v>
                </c:pt>
                <c:pt idx="6">
                  <c:v>2.5</c:v>
                </c:pt>
                <c:pt idx="7">
                  <c:v>2.5</c:v>
                </c:pt>
                <c:pt idx="8">
                  <c:v>2.5</c:v>
                </c:pt>
                <c:pt idx="9">
                  <c:v>2.5</c:v>
                </c:pt>
              </c:numCache>
            </c:numRef>
          </c:val>
          <c:smooth val="0"/>
          <c:extLst>
            <c:ext xmlns:c16="http://schemas.microsoft.com/office/drawing/2014/chart" uri="{C3380CC4-5D6E-409C-BE32-E72D297353CC}">
              <c16:uniqueId val="{00000001-7E45-47D0-BEA6-31103A4DBF51}"/>
            </c:ext>
          </c:extLst>
        </c:ser>
        <c:dLbls>
          <c:showLegendKey val="0"/>
          <c:showVal val="1"/>
          <c:showCatName val="0"/>
          <c:showSerName val="0"/>
          <c:showPercent val="0"/>
          <c:showBubbleSize val="0"/>
        </c:dLbls>
        <c:smooth val="0"/>
        <c:axId val="1495160607"/>
        <c:axId val="1495161855"/>
      </c:line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0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Analysis!$C$6306</c:f>
              <c:strCache>
                <c:ptCount val="1"/>
                <c:pt idx="0">
                  <c:v>Peak</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cat>
            <c:strRef>
              <c:f>Analysis!$B$6307:$B$6312</c:f>
              <c:strCache>
                <c:ptCount val="6"/>
                <c:pt idx="0">
                  <c:v>AMX</c:v>
                </c:pt>
                <c:pt idx="1">
                  <c:v>TIM</c:v>
                </c:pt>
                <c:pt idx="2">
                  <c:v>Vivo</c:v>
                </c:pt>
                <c:pt idx="3">
                  <c:v>Millicom</c:v>
                </c:pt>
                <c:pt idx="4">
                  <c:v>Entel</c:v>
                </c:pt>
                <c:pt idx="5">
                  <c:v>Liberty Latin America</c:v>
                </c:pt>
              </c:strCache>
            </c:strRef>
          </c:cat>
          <c:val>
            <c:numRef>
              <c:f>Analysis!$C$6307:$C$6312</c:f>
              <c:numCache>
                <c:formatCode>0.0</c:formatCode>
                <c:ptCount val="6"/>
                <c:pt idx="0">
                  <c:v>6.1741472172351886</c:v>
                </c:pt>
                <c:pt idx="1">
                  <c:v>8</c:v>
                </c:pt>
                <c:pt idx="2">
                  <c:v>8</c:v>
                </c:pt>
                <c:pt idx="3">
                  <c:v>3.4406779661016951</c:v>
                </c:pt>
                <c:pt idx="4">
                  <c:v>4</c:v>
                </c:pt>
                <c:pt idx="5">
                  <c:v>3.347826086956522</c:v>
                </c:pt>
              </c:numCache>
            </c:numRef>
          </c:val>
          <c:extLst>
            <c:ext xmlns:c16="http://schemas.microsoft.com/office/drawing/2014/chart" uri="{C3380CC4-5D6E-409C-BE32-E72D297353CC}">
              <c16:uniqueId val="{00000000-EA39-4390-8867-8ECD009C5D62}"/>
            </c:ext>
          </c:extLst>
        </c:ser>
        <c:ser>
          <c:idx val="1"/>
          <c:order val="1"/>
          <c:tx>
            <c:strRef>
              <c:f>Analysis!$D$6306</c:f>
              <c:strCache>
                <c:ptCount val="1"/>
                <c:pt idx="0">
                  <c:v>2015</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Analysis!$B$6307:$B$6312</c:f>
              <c:strCache>
                <c:ptCount val="6"/>
                <c:pt idx="0">
                  <c:v>AMX</c:v>
                </c:pt>
                <c:pt idx="1">
                  <c:v>TIM</c:v>
                </c:pt>
                <c:pt idx="2">
                  <c:v>Vivo</c:v>
                </c:pt>
                <c:pt idx="3">
                  <c:v>Millicom</c:v>
                </c:pt>
                <c:pt idx="4">
                  <c:v>Entel</c:v>
                </c:pt>
                <c:pt idx="5">
                  <c:v>Liberty Latin America</c:v>
                </c:pt>
              </c:strCache>
            </c:strRef>
          </c:cat>
          <c:val>
            <c:numRef>
              <c:f>Analysis!$D$6307:$D$6312</c:f>
              <c:numCache>
                <c:formatCode>0.0</c:formatCode>
                <c:ptCount val="6"/>
                <c:pt idx="0">
                  <c:v>4.0556552962298023</c:v>
                </c:pt>
                <c:pt idx="1">
                  <c:v>5</c:v>
                </c:pt>
                <c:pt idx="2">
                  <c:v>5</c:v>
                </c:pt>
                <c:pt idx="3">
                  <c:v>3.4406779661016951</c:v>
                </c:pt>
                <c:pt idx="4">
                  <c:v>4</c:v>
                </c:pt>
                <c:pt idx="5">
                  <c:v>2.9130434782608696</c:v>
                </c:pt>
              </c:numCache>
            </c:numRef>
          </c:val>
          <c:extLst>
            <c:ext xmlns:c16="http://schemas.microsoft.com/office/drawing/2014/chart" uri="{C3380CC4-5D6E-409C-BE32-E72D297353CC}">
              <c16:uniqueId val="{00000001-EA39-4390-8867-8ECD009C5D62}"/>
            </c:ext>
          </c:extLst>
        </c:ser>
        <c:ser>
          <c:idx val="2"/>
          <c:order val="2"/>
          <c:tx>
            <c:strRef>
              <c:f>Analysis!$E$6306</c:f>
              <c:strCache>
                <c:ptCount val="1"/>
                <c:pt idx="0">
                  <c:v>2024</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cat>
            <c:strRef>
              <c:f>Analysis!$B$6307:$B$6312</c:f>
              <c:strCache>
                <c:ptCount val="6"/>
                <c:pt idx="0">
                  <c:v>AMX</c:v>
                </c:pt>
                <c:pt idx="1">
                  <c:v>TIM</c:v>
                </c:pt>
                <c:pt idx="2">
                  <c:v>Vivo</c:v>
                </c:pt>
                <c:pt idx="3">
                  <c:v>Millicom</c:v>
                </c:pt>
                <c:pt idx="4">
                  <c:v>Entel</c:v>
                </c:pt>
                <c:pt idx="5">
                  <c:v>Liberty Latin America</c:v>
                </c:pt>
              </c:strCache>
            </c:strRef>
          </c:cat>
          <c:val>
            <c:numRef>
              <c:f>Analysis!$E$6307:$E$6312</c:f>
              <c:numCache>
                <c:formatCode>0.0</c:formatCode>
                <c:ptCount val="6"/>
                <c:pt idx="0">
                  <c:v>2.9030520646319569</c:v>
                </c:pt>
                <c:pt idx="1">
                  <c:v>3</c:v>
                </c:pt>
                <c:pt idx="2">
                  <c:v>3</c:v>
                </c:pt>
                <c:pt idx="3">
                  <c:v>3.1440677966101696</c:v>
                </c:pt>
                <c:pt idx="4">
                  <c:v>4</c:v>
                </c:pt>
                <c:pt idx="5">
                  <c:v>2.347826086956522</c:v>
                </c:pt>
              </c:numCache>
            </c:numRef>
          </c:val>
          <c:extLst>
            <c:ext xmlns:c16="http://schemas.microsoft.com/office/drawing/2014/chart" uri="{C3380CC4-5D6E-409C-BE32-E72D297353CC}">
              <c16:uniqueId val="{00000002-EA39-4390-8867-8ECD009C5D62}"/>
            </c:ext>
          </c:extLst>
        </c:ser>
        <c:ser>
          <c:idx val="3"/>
          <c:order val="3"/>
          <c:tx>
            <c:strRef>
              <c:f>Analysis!$F$6306</c:f>
              <c:strCache>
                <c:ptCount val="1"/>
                <c:pt idx="0">
                  <c:v>Future</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cat>
            <c:strRef>
              <c:f>Analysis!$B$6307:$B$6312</c:f>
              <c:strCache>
                <c:ptCount val="6"/>
                <c:pt idx="0">
                  <c:v>AMX</c:v>
                </c:pt>
                <c:pt idx="1">
                  <c:v>TIM</c:v>
                </c:pt>
                <c:pt idx="2">
                  <c:v>Vivo</c:v>
                </c:pt>
                <c:pt idx="3">
                  <c:v>Millicom</c:v>
                </c:pt>
                <c:pt idx="4">
                  <c:v>Entel</c:v>
                </c:pt>
                <c:pt idx="5">
                  <c:v>Liberty Latin America</c:v>
                </c:pt>
              </c:strCache>
            </c:strRef>
          </c:cat>
          <c:val>
            <c:numRef>
              <c:f>Analysis!$F$6307:$F$6312</c:f>
              <c:numCache>
                <c:formatCode>0.0</c:formatCode>
                <c:ptCount val="6"/>
                <c:pt idx="0">
                  <c:v>2.608617594254937</c:v>
                </c:pt>
                <c:pt idx="1">
                  <c:v>3</c:v>
                </c:pt>
                <c:pt idx="2">
                  <c:v>3</c:v>
                </c:pt>
                <c:pt idx="3">
                  <c:v>2.2118644067796609</c:v>
                </c:pt>
                <c:pt idx="4">
                  <c:v>3</c:v>
                </c:pt>
                <c:pt idx="5">
                  <c:v>2.347826086956522</c:v>
                </c:pt>
              </c:numCache>
            </c:numRef>
          </c:val>
          <c:extLst>
            <c:ext xmlns:c16="http://schemas.microsoft.com/office/drawing/2014/chart" uri="{C3380CC4-5D6E-409C-BE32-E72D297353CC}">
              <c16:uniqueId val="{00000003-EA39-4390-8867-8ECD009C5D62}"/>
            </c:ext>
          </c:extLst>
        </c:ser>
        <c:ser>
          <c:idx val="4"/>
          <c:order val="4"/>
          <c:tx>
            <c:strRef>
              <c:f>Analysis!$G$6306</c:f>
              <c:strCache>
                <c:ptCount val="1"/>
              </c:strCache>
            </c:strRef>
          </c:tx>
          <c:spPr>
            <a:solidFill>
              <a:schemeClr val="bg1"/>
            </a:solidFill>
            <a:ln>
              <a:noFill/>
            </a:ln>
            <a:effectLst/>
          </c:spPr>
          <c:invertIfNegative val="0"/>
          <c:cat>
            <c:strRef>
              <c:f>Analysis!$B$6307:$B$6312</c:f>
              <c:strCache>
                <c:ptCount val="6"/>
                <c:pt idx="0">
                  <c:v>AMX</c:v>
                </c:pt>
                <c:pt idx="1">
                  <c:v>TIM</c:v>
                </c:pt>
                <c:pt idx="2">
                  <c:v>Vivo</c:v>
                </c:pt>
                <c:pt idx="3">
                  <c:v>Millicom</c:v>
                </c:pt>
                <c:pt idx="4">
                  <c:v>Entel</c:v>
                </c:pt>
                <c:pt idx="5">
                  <c:v>Liberty Latin America</c:v>
                </c:pt>
              </c:strCache>
            </c:strRef>
          </c:cat>
          <c:val>
            <c:numRef>
              <c:f>Analysis!$G$6307:$G$6312</c:f>
              <c:numCache>
                <c:formatCode>General</c:formatCode>
                <c:ptCount val="6"/>
              </c:numCache>
            </c:numRef>
          </c:val>
          <c:extLst>
            <c:ext xmlns:c16="http://schemas.microsoft.com/office/drawing/2014/chart" uri="{C3380CC4-5D6E-409C-BE32-E72D297353CC}">
              <c16:uniqueId val="{00000004-EA39-4390-8867-8ECD009C5D62}"/>
            </c:ext>
          </c:extLst>
        </c:ser>
        <c:dLbls>
          <c:showLegendKey val="0"/>
          <c:showVal val="0"/>
          <c:showCatName val="0"/>
          <c:showSerName val="0"/>
          <c:showPercent val="0"/>
          <c:showBubbleSize val="0"/>
        </c:dLbls>
        <c:gapWidth val="30"/>
        <c:overlap val="-27"/>
        <c:axId val="1247430416"/>
        <c:axId val="1247429936"/>
      </c:barChart>
      <c:catAx>
        <c:axId val="1247430416"/>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47429936"/>
        <c:crosses val="autoZero"/>
        <c:auto val="1"/>
        <c:lblAlgn val="ctr"/>
        <c:lblOffset val="100"/>
        <c:noMultiLvlLbl val="0"/>
      </c:catAx>
      <c:valAx>
        <c:axId val="1247429936"/>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2474304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Analysis!$B$6376</c:f>
              <c:strCache>
                <c:ptCount val="1"/>
                <c:pt idx="0">
                  <c:v>LT Plan</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Analysis!$C$6375:$E$6375</c:f>
              <c:strCache>
                <c:ptCount val="3"/>
                <c:pt idx="0">
                  <c:v>2024A</c:v>
                </c:pt>
                <c:pt idx="1">
                  <c:v>2025E</c:v>
                </c:pt>
                <c:pt idx="2">
                  <c:v>2026E</c:v>
                </c:pt>
              </c:strCache>
            </c:strRef>
          </c:cat>
          <c:val>
            <c:numRef>
              <c:f>Analysis!$C$6376:$E$6376</c:f>
              <c:numCache>
                <c:formatCode>General</c:formatCode>
                <c:ptCount val="3"/>
                <c:pt idx="0">
                  <c:v>0</c:v>
                </c:pt>
                <c:pt idx="1">
                  <c:v>0</c:v>
                </c:pt>
                <c:pt idx="2">
                  <c:v>833</c:v>
                </c:pt>
              </c:numCache>
            </c:numRef>
          </c:val>
          <c:extLst>
            <c:ext xmlns:c16="http://schemas.microsoft.com/office/drawing/2014/chart" uri="{C3380CC4-5D6E-409C-BE32-E72D297353CC}">
              <c16:uniqueId val="{00000000-3847-4986-8373-DD0E19E8F0E7}"/>
            </c:ext>
          </c:extLst>
        </c:ser>
        <c:ser>
          <c:idx val="1"/>
          <c:order val="1"/>
          <c:tx>
            <c:strRef>
              <c:f>Analysis!$B$6377</c:f>
              <c:strCache>
                <c:ptCount val="1"/>
                <c:pt idx="0">
                  <c:v>NSR</c:v>
                </c:pt>
              </c:strCache>
            </c:strRef>
          </c:tx>
          <c:spPr>
            <a:solidFill>
              <a:srgbClr val="79909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Analysis!$C$6375:$E$6375</c:f>
              <c:strCache>
                <c:ptCount val="3"/>
                <c:pt idx="0">
                  <c:v>2024A</c:v>
                </c:pt>
                <c:pt idx="1">
                  <c:v>2025E</c:v>
                </c:pt>
                <c:pt idx="2">
                  <c:v>2026E</c:v>
                </c:pt>
              </c:strCache>
            </c:strRef>
          </c:cat>
          <c:val>
            <c:numRef>
              <c:f>Analysis!$C$6377:$E$6377</c:f>
              <c:numCache>
                <c:formatCode>#,##0</c:formatCode>
                <c:ptCount val="3"/>
                <c:pt idx="0">
                  <c:v>778.64580000000024</c:v>
                </c:pt>
                <c:pt idx="1">
                  <c:v>759.62092045878626</c:v>
                </c:pt>
                <c:pt idx="2">
                  <c:v>791.0777005844003</c:v>
                </c:pt>
              </c:numCache>
            </c:numRef>
          </c:val>
          <c:extLst>
            <c:ext xmlns:c16="http://schemas.microsoft.com/office/drawing/2014/chart" uri="{C3380CC4-5D6E-409C-BE32-E72D297353CC}">
              <c16:uniqueId val="{00000002-3847-4986-8373-DD0E19E8F0E7}"/>
            </c:ext>
          </c:extLst>
        </c:ser>
        <c:ser>
          <c:idx val="2"/>
          <c:order val="2"/>
          <c:tx>
            <c:strRef>
              <c:f>Analysis!$B$6378</c:f>
              <c:strCache>
                <c:ptCount val="1"/>
                <c:pt idx="0">
                  <c:v>Consensus</c:v>
                </c:pt>
              </c:strCache>
            </c:strRef>
          </c:tx>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Analysis!$C$6375:$E$6375</c:f>
              <c:strCache>
                <c:ptCount val="3"/>
                <c:pt idx="0">
                  <c:v>2024A</c:v>
                </c:pt>
                <c:pt idx="1">
                  <c:v>2025E</c:v>
                </c:pt>
                <c:pt idx="2">
                  <c:v>2026E</c:v>
                </c:pt>
              </c:strCache>
            </c:strRef>
          </c:cat>
          <c:val>
            <c:numRef>
              <c:f>Analysis!$C$6378:$E$6378</c:f>
              <c:numCache>
                <c:formatCode>#,##0</c:formatCode>
                <c:ptCount val="3"/>
                <c:pt idx="0">
                  <c:v>0</c:v>
                </c:pt>
                <c:pt idx="1">
                  <c:v>677</c:v>
                </c:pt>
                <c:pt idx="2">
                  <c:v>766</c:v>
                </c:pt>
              </c:numCache>
            </c:numRef>
          </c:val>
          <c:extLst>
            <c:ext xmlns:c16="http://schemas.microsoft.com/office/drawing/2014/chart" uri="{C3380CC4-5D6E-409C-BE32-E72D297353CC}">
              <c16:uniqueId val="{00000004-3847-4986-8373-DD0E19E8F0E7}"/>
            </c:ext>
          </c:extLst>
        </c:ser>
        <c:dLbls>
          <c:dLblPos val="inEnd"/>
          <c:showLegendKey val="0"/>
          <c:showVal val="1"/>
          <c:showCatName val="0"/>
          <c:showSerName val="0"/>
          <c:showPercent val="0"/>
          <c:showBubbleSize val="0"/>
        </c:dLbls>
        <c:gapWidth val="200"/>
        <c:overlap val="-3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General"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59815635454481"/>
          <c:y val="7.6326183703738185E-2"/>
          <c:w val="0.532066719694827"/>
          <c:h val="0.70827857062547728"/>
        </c:manualLayout>
      </c:layout>
      <c:pieChart>
        <c:varyColors val="1"/>
        <c:ser>
          <c:idx val="0"/>
          <c:order val="0"/>
          <c:dPt>
            <c:idx val="0"/>
            <c:bubble3D val="0"/>
            <c:extLst>
              <c:ext xmlns:c16="http://schemas.microsoft.com/office/drawing/2014/chart" uri="{C3380CC4-5D6E-409C-BE32-E72D297353CC}">
                <c16:uniqueId val="{00000000-32FE-456A-9997-15A7038A3ED1}"/>
              </c:ext>
            </c:extLst>
          </c:dPt>
          <c:dPt>
            <c:idx val="1"/>
            <c:bubble3D val="0"/>
            <c:extLst>
              <c:ext xmlns:c16="http://schemas.microsoft.com/office/drawing/2014/chart" uri="{C3380CC4-5D6E-409C-BE32-E72D297353CC}">
                <c16:uniqueId val="{00000001-32FE-456A-9997-15A7038A3ED1}"/>
              </c:ext>
            </c:extLst>
          </c:dPt>
          <c:dLbls>
            <c:numFmt formatCode="0%" sourceLinked="0"/>
            <c:spPr>
              <a:noFill/>
              <a:ln w="25400">
                <a:noFill/>
              </a:ln>
            </c:spPr>
            <c:txPr>
              <a:bodyPr wrap="square" lIns="38100" tIns="19050" rIns="38100" bIns="19050" anchor="ctr">
                <a:spAutoFit/>
              </a:bodyPr>
              <a:lstStyle/>
              <a:p>
                <a:pPr>
                  <a:defRPr sz="9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Cable!$B$203:$B$204</c:f>
              <c:strCache>
                <c:ptCount val="2"/>
                <c:pt idx="0">
                  <c:v>Fixed service</c:v>
                </c:pt>
                <c:pt idx="1">
                  <c:v>Mobile/MFS other revs</c:v>
                </c:pt>
              </c:strCache>
            </c:strRef>
          </c:cat>
          <c:val>
            <c:numRef>
              <c:f>Cable!$I$203:$I$204</c:f>
              <c:numCache>
                <c:formatCode>General</c:formatCode>
                <c:ptCount val="2"/>
                <c:pt idx="0">
                  <c:v>376</c:v>
                </c:pt>
                <c:pt idx="1">
                  <c:v>1059</c:v>
                </c:pt>
              </c:numCache>
            </c:numRef>
          </c:val>
          <c:extLst>
            <c:ext xmlns:c16="http://schemas.microsoft.com/office/drawing/2014/chart" uri="{C3380CC4-5D6E-409C-BE32-E72D297353CC}">
              <c16:uniqueId val="{00000002-32FE-456A-9997-15A7038A3ED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705097048054176"/>
          <c:y val="0.56812416966397716"/>
          <c:w val="0.31359029195424648"/>
          <c:h val="4.6513074754544581E-2"/>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43982606750955"/>
          <c:y val="9.1447696342705997E-2"/>
          <c:w val="0.50973008913612494"/>
          <c:h val="0.69563200621819088"/>
        </c:manualLayout>
      </c:layout>
      <c:pieChart>
        <c:varyColors val="1"/>
        <c:ser>
          <c:idx val="0"/>
          <c:order val="0"/>
          <c:dPt>
            <c:idx val="0"/>
            <c:bubble3D val="0"/>
            <c:extLst>
              <c:ext xmlns:c16="http://schemas.microsoft.com/office/drawing/2014/chart" uri="{C3380CC4-5D6E-409C-BE32-E72D297353CC}">
                <c16:uniqueId val="{00000000-4A86-4C54-A41A-F9993CD76085}"/>
              </c:ext>
            </c:extLst>
          </c:dPt>
          <c:dPt>
            <c:idx val="1"/>
            <c:bubble3D val="0"/>
            <c:extLst>
              <c:ext xmlns:c16="http://schemas.microsoft.com/office/drawing/2014/chart" uri="{C3380CC4-5D6E-409C-BE32-E72D297353CC}">
                <c16:uniqueId val="{00000001-4A86-4C54-A41A-F9993CD76085}"/>
              </c:ext>
            </c:extLst>
          </c:dPt>
          <c:dPt>
            <c:idx val="2"/>
            <c:bubble3D val="0"/>
            <c:extLst>
              <c:ext xmlns:c16="http://schemas.microsoft.com/office/drawing/2014/chart" uri="{C3380CC4-5D6E-409C-BE32-E72D297353CC}">
                <c16:uniqueId val="{00000002-4A86-4C54-A41A-F9993CD76085}"/>
              </c:ext>
            </c:extLst>
          </c:dPt>
          <c:dPt>
            <c:idx val="3"/>
            <c:bubble3D val="0"/>
            <c:extLst>
              <c:ext xmlns:c16="http://schemas.microsoft.com/office/drawing/2014/chart" uri="{C3380CC4-5D6E-409C-BE32-E72D297353CC}">
                <c16:uniqueId val="{00000003-4A86-4C54-A41A-F9993CD76085}"/>
              </c:ext>
            </c:extLst>
          </c:dPt>
          <c:dPt>
            <c:idx val="4"/>
            <c:bubble3D val="0"/>
            <c:extLst>
              <c:ext xmlns:c16="http://schemas.microsoft.com/office/drawing/2014/chart" uri="{C3380CC4-5D6E-409C-BE32-E72D297353CC}">
                <c16:uniqueId val="{00000004-4A86-4C54-A41A-F9993CD76085}"/>
              </c:ext>
            </c:extLst>
          </c:dPt>
          <c:dPt>
            <c:idx val="5"/>
            <c:bubble3D val="0"/>
            <c:extLst>
              <c:ext xmlns:c16="http://schemas.microsoft.com/office/drawing/2014/chart" uri="{C3380CC4-5D6E-409C-BE32-E72D297353CC}">
                <c16:uniqueId val="{00000005-4A86-4C54-A41A-F9993CD76085}"/>
              </c:ext>
            </c:extLst>
          </c:dPt>
          <c:dLbls>
            <c:spPr>
              <a:noFill/>
              <a:ln w="25400">
                <a:noFill/>
              </a:ln>
            </c:spPr>
            <c:txPr>
              <a:bodyPr wrap="square" lIns="38100" tIns="19050" rIns="38100" bIns="19050" anchor="ctr">
                <a:spAutoFit/>
              </a:bodyPr>
              <a:lstStyle/>
              <a:p>
                <a:pPr>
                  <a:defRPr sz="900" b="0" i="0" u="none" strike="noStrike" baseline="0">
                    <a:solidFill>
                      <a:srgbClr val="000000"/>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Cable!$B$214:$B$219</c:f>
              <c:strCache>
                <c:ptCount val="6"/>
                <c:pt idx="0">
                  <c:v>UNE</c:v>
                </c:pt>
                <c:pt idx="1">
                  <c:v>Costa Rica</c:v>
                </c:pt>
                <c:pt idx="2">
                  <c:v>Guatemala</c:v>
                </c:pt>
                <c:pt idx="3">
                  <c:v>El Salvador/Honduras</c:v>
                </c:pt>
                <c:pt idx="4">
                  <c:v>Paraguay</c:v>
                </c:pt>
                <c:pt idx="5">
                  <c:v>Bolivia</c:v>
                </c:pt>
              </c:strCache>
            </c:strRef>
          </c:cat>
          <c:val>
            <c:numRef>
              <c:f>Cable!$I$214:$I$219</c:f>
              <c:numCache>
                <c:formatCode>0</c:formatCode>
                <c:ptCount val="6"/>
                <c:pt idx="0">
                  <c:v>1041.2126727509778</c:v>
                </c:pt>
                <c:pt idx="1">
                  <c:v>151</c:v>
                </c:pt>
                <c:pt idx="2">
                  <c:v>127.5</c:v>
                </c:pt>
                <c:pt idx="3">
                  <c:v>168.5</c:v>
                </c:pt>
                <c:pt idx="4">
                  <c:v>59.867948235382805</c:v>
                </c:pt>
                <c:pt idx="5">
                  <c:v>40.91937901363935</c:v>
                </c:pt>
              </c:numCache>
            </c:numRef>
          </c:val>
          <c:extLst>
            <c:ext xmlns:c16="http://schemas.microsoft.com/office/drawing/2014/chart" uri="{C3380CC4-5D6E-409C-BE32-E72D297353CC}">
              <c16:uniqueId val="{00000006-4A86-4C54-A41A-F9993CD7608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90387579196105017"/>
          <c:y val="0.45396151927290079"/>
          <c:w val="5.529033946285411E-2"/>
          <c:h val="0.19737446042385204"/>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strRef>
              <c:f>Cable!$B$149:$B$155</c:f>
              <c:strCache>
                <c:ptCount val="7"/>
                <c:pt idx="0">
                  <c:v>Costa Rica</c:v>
                </c:pt>
                <c:pt idx="1">
                  <c:v>Colombia</c:v>
                </c:pt>
                <c:pt idx="2">
                  <c:v>EL Salvador</c:v>
                </c:pt>
                <c:pt idx="3">
                  <c:v>Honduras</c:v>
                </c:pt>
                <c:pt idx="4">
                  <c:v>Paraguay</c:v>
                </c:pt>
                <c:pt idx="5">
                  <c:v>Guatemala</c:v>
                </c:pt>
                <c:pt idx="6">
                  <c:v>Bolivia</c:v>
                </c:pt>
              </c:strCache>
            </c:strRef>
          </c:cat>
          <c:val>
            <c:numRef>
              <c:f>Cable!$I$149:$I$155</c:f>
              <c:numCache>
                <c:formatCode>0%</c:formatCode>
                <c:ptCount val="7"/>
                <c:pt idx="0">
                  <c:v>0.52</c:v>
                </c:pt>
                <c:pt idx="1">
                  <c:v>0.45</c:v>
                </c:pt>
                <c:pt idx="2">
                  <c:v>0.34</c:v>
                </c:pt>
                <c:pt idx="3">
                  <c:v>0.32</c:v>
                </c:pt>
                <c:pt idx="4">
                  <c:v>0.31</c:v>
                </c:pt>
                <c:pt idx="5">
                  <c:v>0.3</c:v>
                </c:pt>
                <c:pt idx="6">
                  <c:v>0.12</c:v>
                </c:pt>
              </c:numCache>
            </c:numRef>
          </c:val>
          <c:extLst>
            <c:ext xmlns:c16="http://schemas.microsoft.com/office/drawing/2014/chart" uri="{C3380CC4-5D6E-409C-BE32-E72D297353CC}">
              <c16:uniqueId val="{00000000-DD6A-47FC-903F-A71692F96111}"/>
            </c:ext>
          </c:extLst>
        </c:ser>
        <c:dLbls>
          <c:showLegendKey val="0"/>
          <c:showVal val="0"/>
          <c:showCatName val="0"/>
          <c:showSerName val="0"/>
          <c:showPercent val="0"/>
          <c:showBubbleSize val="0"/>
        </c:dLbls>
        <c:gapWidth val="150"/>
        <c:axId val="1115268047"/>
        <c:axId val="1"/>
      </c:barChart>
      <c:catAx>
        <c:axId val="1115268047"/>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115268047"/>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cat>
            <c:strRef>
              <c:f>Cable!$B$158:$B$164</c:f>
              <c:strCache>
                <c:ptCount val="7"/>
                <c:pt idx="0">
                  <c:v>Colombia</c:v>
                </c:pt>
                <c:pt idx="1">
                  <c:v>Costa Rica</c:v>
                </c:pt>
                <c:pt idx="2">
                  <c:v>EL Salvador</c:v>
                </c:pt>
                <c:pt idx="3">
                  <c:v>Paraguay</c:v>
                </c:pt>
                <c:pt idx="4">
                  <c:v>Honduras</c:v>
                </c:pt>
                <c:pt idx="5">
                  <c:v>Guatemala</c:v>
                </c:pt>
                <c:pt idx="6">
                  <c:v>Bolivia</c:v>
                </c:pt>
              </c:strCache>
            </c:strRef>
          </c:cat>
          <c:val>
            <c:numRef>
              <c:f>Cable!$I$158:$I$164</c:f>
              <c:numCache>
                <c:formatCode>0%</c:formatCode>
                <c:ptCount val="7"/>
                <c:pt idx="0">
                  <c:v>0.45</c:v>
                </c:pt>
                <c:pt idx="1">
                  <c:v>0.37</c:v>
                </c:pt>
                <c:pt idx="2">
                  <c:v>0.22</c:v>
                </c:pt>
                <c:pt idx="3">
                  <c:v>0.12</c:v>
                </c:pt>
                <c:pt idx="4">
                  <c:v>0.12</c:v>
                </c:pt>
                <c:pt idx="5">
                  <c:v>7.0000000000000007E-2</c:v>
                </c:pt>
                <c:pt idx="6">
                  <c:v>0.08</c:v>
                </c:pt>
              </c:numCache>
            </c:numRef>
          </c:val>
          <c:extLst>
            <c:ext xmlns:c16="http://schemas.microsoft.com/office/drawing/2014/chart" uri="{C3380CC4-5D6E-409C-BE32-E72D297353CC}">
              <c16:uniqueId val="{00000000-FA39-4C7A-9C87-1E39C29C4E04}"/>
            </c:ext>
          </c:extLst>
        </c:ser>
        <c:dLbls>
          <c:showLegendKey val="0"/>
          <c:showVal val="0"/>
          <c:showCatName val="0"/>
          <c:showSerName val="0"/>
          <c:showPercent val="0"/>
          <c:showBubbleSize val="0"/>
        </c:dLbls>
        <c:gapWidth val="150"/>
        <c:axId val="1115268447"/>
        <c:axId val="1"/>
      </c:barChart>
      <c:catAx>
        <c:axId val="1115268447"/>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115268447"/>
        <c:crosses val="autoZero"/>
        <c:crossBetween val="between"/>
      </c:valAx>
      <c:spPr>
        <a:noFill/>
        <a:ln w="25400">
          <a:noFill/>
        </a:ln>
      </c:spPr>
    </c:plotArea>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0" i="0" u="none" strike="noStrike" baseline="0">
              <a:solidFill>
                <a:srgbClr val="000000"/>
              </a:solidFill>
              <a:latin typeface="Trebuchet MS"/>
              <a:ea typeface="Trebuchet MS"/>
              <a:cs typeface="Trebuchet MS"/>
            </a:defRPr>
          </a:pPr>
          <a:endParaRPr lang="en-US"/>
        </a:p>
      </c:txPr>
    </c:title>
    <c:autoTitleDeleted val="0"/>
    <c:plotArea>
      <c:layout>
        <c:manualLayout>
          <c:layoutTarget val="inner"/>
          <c:xMode val="edge"/>
          <c:yMode val="edge"/>
          <c:x val="0.17880794701986755"/>
          <c:y val="9.9125505542640685E-2"/>
          <c:w val="0.75827814569536423"/>
          <c:h val="0.62682304975493375"/>
        </c:manualLayout>
      </c:layout>
      <c:lineChart>
        <c:grouping val="standard"/>
        <c:varyColors val="0"/>
        <c:ser>
          <c:idx val="0"/>
          <c:order val="0"/>
          <c:tx>
            <c:v>Africa</c:v>
          </c:tx>
          <c:val>
            <c:numRef>
              <c:f>Quarts!$CF$257:$CJ$257</c:f>
            </c:numRef>
          </c:val>
          <c:smooth val="0"/>
          <c:extLst>
            <c:ext xmlns:c15="http://schemas.microsoft.com/office/drawing/2012/chart" uri="{02D57815-91ED-43cb-92C2-25804820EDAC}">
              <c15:filteredCategoryTitle>
                <c15:cat>
                  <c:multiLvlStrRef>
                    <c:extLst>
                      <c:ext uri="{02D57815-91ED-43cb-92C2-25804820EDAC}">
                        <c15:formulaRef>
                          <c15:sqref>Quarts!$CF$254:$CJ$254</c15:sqref>
                        </c15:formulaRef>
                      </c:ext>
                    </c:extLst>
                  </c:multiLvlStrRef>
                </c15:cat>
              </c15:filteredCategoryTitle>
            </c:ext>
            <c:ext xmlns:c16="http://schemas.microsoft.com/office/drawing/2014/chart" uri="{C3380CC4-5D6E-409C-BE32-E72D297353CC}">
              <c16:uniqueId val="{00000000-709E-47D0-94BC-BBB96C0B0699}"/>
            </c:ext>
          </c:extLst>
        </c:ser>
        <c:ser>
          <c:idx val="1"/>
          <c:order val="1"/>
          <c:tx>
            <c:v>Africa ex-Rwanda</c:v>
          </c:tx>
          <c:val>
            <c:numRef>
              <c:f>Quarts!#REF!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Quarts!$CF$254:$CJ$254</c15:sqref>
                        </c15:formulaRef>
                      </c:ext>
                    </c:extLst>
                  </c:multiLvlStrRef>
                </c15:cat>
              </c15:filteredCategoryTitle>
            </c:ext>
            <c:ext xmlns:c16="http://schemas.microsoft.com/office/drawing/2014/chart" uri="{C3380CC4-5D6E-409C-BE32-E72D297353CC}">
              <c16:uniqueId val="{00000001-709E-47D0-94BC-BBB96C0B0699}"/>
            </c:ext>
          </c:extLst>
        </c:ser>
        <c:dLbls>
          <c:showLegendKey val="0"/>
          <c:showVal val="0"/>
          <c:showCatName val="0"/>
          <c:showSerName val="0"/>
          <c:showPercent val="0"/>
          <c:showBubbleSize val="0"/>
        </c:dLbls>
        <c:marker val="1"/>
        <c:smooth val="0"/>
        <c:axId val="1888806847"/>
        <c:axId val="1"/>
      </c:lineChart>
      <c:catAx>
        <c:axId val="188880684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1"/>
        <c:tickMarkSkip val="1"/>
        <c:noMultiLvlLbl val="0"/>
      </c:catAx>
      <c:valAx>
        <c:axId val="1"/>
        <c:scaling>
          <c:orientation val="minMax"/>
          <c:min val="0.15"/>
        </c:scaling>
        <c:delete val="0"/>
        <c:axPos val="l"/>
        <c:majorGridlines>
          <c:spPr>
            <a:ln w="3175">
              <a:solidFill>
                <a:srgbClr val="C0C0C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rebuchet MS"/>
                <a:ea typeface="Trebuchet MS"/>
                <a:cs typeface="Trebuchet MS"/>
              </a:defRPr>
            </a:pPr>
            <a:endParaRPr lang="en-US"/>
          </a:p>
        </c:txPr>
        <c:crossAx val="1888806847"/>
        <c:crosses val="autoZero"/>
        <c:crossBetween val="between"/>
      </c:valAx>
      <c:spPr>
        <a:noFill/>
        <a:ln w="25400">
          <a:noFill/>
        </a:ln>
      </c:spPr>
    </c:plotArea>
    <c:legend>
      <c:legendPos val="r"/>
      <c:layout>
        <c:manualLayout>
          <c:xMode val="edge"/>
          <c:yMode val="edge"/>
          <c:wMode val="edge"/>
          <c:hMode val="edge"/>
          <c:x val="0.16113025475775924"/>
          <c:y val="0.3083432428089346"/>
          <c:w val="0.78263316095389057"/>
          <c:h val="0.36251165032942312"/>
        </c:manualLayout>
      </c:layout>
      <c:overlay val="0"/>
      <c:spPr>
        <a:solidFill>
          <a:srgbClr val="FFFFFF"/>
        </a:solidFill>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Quarts!$DE$141</c:f>
              <c:strCache>
                <c:ptCount val="1"/>
                <c:pt idx="0">
                  <c:v>DR Congo</c:v>
                </c:pt>
              </c:strCache>
            </c:strRef>
          </c:tx>
          <c:spPr>
            <a:ln w="25400">
              <a:solidFill>
                <a:srgbClr val="333399"/>
              </a:solidFill>
              <a:prstDash val="solid"/>
            </a:ln>
          </c:spPr>
          <c:marker>
            <c:symbol val="none"/>
          </c:marker>
          <c:cat>
            <c:strRef>
              <c:f>Quarts!$DF$140:$DL$140</c:f>
              <c:strCache>
                <c:ptCount val="7"/>
                <c:pt idx="0">
                  <c:v>Q1 12</c:v>
                </c:pt>
                <c:pt idx="1">
                  <c:v>Q2 12</c:v>
                </c:pt>
                <c:pt idx="2">
                  <c:v>Q3 12</c:v>
                </c:pt>
                <c:pt idx="3">
                  <c:v>0</c:v>
                </c:pt>
                <c:pt idx="4">
                  <c:v>Q1 13</c:v>
                </c:pt>
                <c:pt idx="5">
                  <c:v>Q2 13</c:v>
                </c:pt>
                <c:pt idx="6">
                  <c:v>Q3 13</c:v>
                </c:pt>
              </c:strCache>
            </c:strRef>
          </c:cat>
          <c:val>
            <c:numRef>
              <c:f>Quarts!$DF$141:$DL$141</c:f>
              <c:numCache>
                <c:formatCode>0</c:formatCode>
                <c:ptCount val="7"/>
                <c:pt idx="0">
                  <c:v>-75</c:v>
                </c:pt>
                <c:pt idx="1">
                  <c:v>247</c:v>
                </c:pt>
                <c:pt idx="2">
                  <c:v>274</c:v>
                </c:pt>
                <c:pt idx="3">
                  <c:v>0</c:v>
                </c:pt>
                <c:pt idx="4">
                  <c:v>-65</c:v>
                </c:pt>
                <c:pt idx="5">
                  <c:v>28</c:v>
                </c:pt>
                <c:pt idx="6">
                  <c:v>669</c:v>
                </c:pt>
              </c:numCache>
            </c:numRef>
          </c:val>
          <c:smooth val="0"/>
          <c:extLst>
            <c:ext xmlns:c16="http://schemas.microsoft.com/office/drawing/2014/chart" uri="{C3380CC4-5D6E-409C-BE32-E72D297353CC}">
              <c16:uniqueId val="{00000000-458A-43AB-9ACC-B6E549050FF1}"/>
            </c:ext>
          </c:extLst>
        </c:ser>
        <c:ser>
          <c:idx val="1"/>
          <c:order val="1"/>
          <c:tx>
            <c:strRef>
              <c:f>Quarts!$DE$142</c:f>
              <c:strCache>
                <c:ptCount val="1"/>
                <c:pt idx="0">
                  <c:v>Africa</c:v>
                </c:pt>
              </c:strCache>
            </c:strRef>
          </c:tx>
          <c:spPr>
            <a:ln w="25400">
              <a:solidFill>
                <a:srgbClr val="99CCFF"/>
              </a:solidFill>
              <a:prstDash val="solid"/>
            </a:ln>
          </c:spPr>
          <c:marker>
            <c:symbol val="none"/>
          </c:marker>
          <c:cat>
            <c:strRef>
              <c:f>Quarts!$DF$140:$DL$140</c:f>
              <c:strCache>
                <c:ptCount val="7"/>
                <c:pt idx="0">
                  <c:v>Q1 12</c:v>
                </c:pt>
                <c:pt idx="1">
                  <c:v>Q2 12</c:v>
                </c:pt>
                <c:pt idx="2">
                  <c:v>Q3 12</c:v>
                </c:pt>
                <c:pt idx="3">
                  <c:v>0</c:v>
                </c:pt>
                <c:pt idx="4">
                  <c:v>Q1 13</c:v>
                </c:pt>
                <c:pt idx="5">
                  <c:v>Q2 13</c:v>
                </c:pt>
                <c:pt idx="6">
                  <c:v>Q3 13</c:v>
                </c:pt>
              </c:strCache>
            </c:strRef>
          </c:cat>
          <c:val>
            <c:numRef>
              <c:f>Quarts!$DF$142:$DL$142</c:f>
              <c:numCache>
                <c:formatCode>0</c:formatCode>
                <c:ptCount val="7"/>
                <c:pt idx="0">
                  <c:v>-94</c:v>
                </c:pt>
                <c:pt idx="1">
                  <c:v>420</c:v>
                </c:pt>
                <c:pt idx="2">
                  <c:v>837</c:v>
                </c:pt>
                <c:pt idx="3">
                  <c:v>0</c:v>
                </c:pt>
                <c:pt idx="4">
                  <c:v>-106</c:v>
                </c:pt>
                <c:pt idx="5">
                  <c:v>200</c:v>
                </c:pt>
                <c:pt idx="6">
                  <c:v>1086</c:v>
                </c:pt>
              </c:numCache>
            </c:numRef>
          </c:val>
          <c:smooth val="0"/>
          <c:extLst>
            <c:ext xmlns:c16="http://schemas.microsoft.com/office/drawing/2014/chart" uri="{C3380CC4-5D6E-409C-BE32-E72D297353CC}">
              <c16:uniqueId val="{00000001-458A-43AB-9ACC-B6E549050FF1}"/>
            </c:ext>
          </c:extLst>
        </c:ser>
        <c:ser>
          <c:idx val="2"/>
          <c:order val="2"/>
          <c:tx>
            <c:strRef>
              <c:f>Quarts!$DE$143</c:f>
              <c:strCache>
                <c:ptCount val="1"/>
                <c:pt idx="0">
                  <c:v>Group</c:v>
                </c:pt>
              </c:strCache>
            </c:strRef>
          </c:tx>
          <c:spPr>
            <a:ln w="25400">
              <a:solidFill>
                <a:srgbClr val="333399"/>
              </a:solidFill>
              <a:prstDash val="lgDash"/>
            </a:ln>
          </c:spPr>
          <c:marker>
            <c:symbol val="none"/>
          </c:marker>
          <c:cat>
            <c:strRef>
              <c:f>Quarts!$DF$140:$DL$140</c:f>
              <c:strCache>
                <c:ptCount val="7"/>
                <c:pt idx="0">
                  <c:v>Q1 12</c:v>
                </c:pt>
                <c:pt idx="1">
                  <c:v>Q2 12</c:v>
                </c:pt>
                <c:pt idx="2">
                  <c:v>Q3 12</c:v>
                </c:pt>
                <c:pt idx="3">
                  <c:v>0</c:v>
                </c:pt>
                <c:pt idx="4">
                  <c:v>Q1 13</c:v>
                </c:pt>
                <c:pt idx="5">
                  <c:v>Q2 13</c:v>
                </c:pt>
                <c:pt idx="6">
                  <c:v>Q3 13</c:v>
                </c:pt>
              </c:strCache>
            </c:strRef>
          </c:cat>
          <c:val>
            <c:numRef>
              <c:f>Quarts!$DF$143:$DL$143</c:f>
              <c:numCache>
                <c:formatCode>0</c:formatCode>
                <c:ptCount val="7"/>
                <c:pt idx="0">
                  <c:v>713</c:v>
                </c:pt>
                <c:pt idx="1">
                  <c:v>753</c:v>
                </c:pt>
                <c:pt idx="2">
                  <c:v>1480</c:v>
                </c:pt>
                <c:pt idx="3">
                  <c:v>0</c:v>
                </c:pt>
                <c:pt idx="4">
                  <c:v>175</c:v>
                </c:pt>
                <c:pt idx="5">
                  <c:v>50</c:v>
                </c:pt>
                <c:pt idx="6">
                  <c:v>1465</c:v>
                </c:pt>
              </c:numCache>
            </c:numRef>
          </c:val>
          <c:smooth val="0"/>
          <c:extLst>
            <c:ext xmlns:c16="http://schemas.microsoft.com/office/drawing/2014/chart" uri="{C3380CC4-5D6E-409C-BE32-E72D297353CC}">
              <c16:uniqueId val="{00000002-458A-43AB-9ACC-B6E549050FF1}"/>
            </c:ext>
          </c:extLst>
        </c:ser>
        <c:dLbls>
          <c:showLegendKey val="0"/>
          <c:showVal val="0"/>
          <c:showCatName val="0"/>
          <c:showSerName val="0"/>
          <c:showPercent val="0"/>
          <c:showBubbleSize val="0"/>
        </c:dLbls>
        <c:smooth val="0"/>
        <c:axId val="1888807247"/>
        <c:axId val="1"/>
      </c:lineChart>
      <c:catAx>
        <c:axId val="1888807247"/>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888807247"/>
        <c:crosses val="autoZero"/>
        <c:crossBetween val="between"/>
      </c:valAx>
      <c:spPr>
        <a:noFill/>
        <a:ln w="25400">
          <a:noFill/>
        </a:ln>
      </c:spPr>
    </c:plotArea>
    <c:legend>
      <c:legendPos val="r"/>
      <c:layout>
        <c:manualLayout>
          <c:xMode val="edge"/>
          <c:yMode val="edge"/>
          <c:wMode val="edge"/>
          <c:hMode val="edge"/>
          <c:x val="0.15066688538932632"/>
          <c:y val="0.43632039970907249"/>
          <c:w val="0.46193482064741909"/>
          <c:h val="0.46498392520212078"/>
        </c:manualLayout>
      </c:layout>
      <c:overlay val="0"/>
      <c:spPr>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Quarts!$CZ$262</c:f>
              <c:strCache>
                <c:ptCount val="1"/>
                <c:pt idx="0">
                  <c:v>Group revs (all ex-Online, ex-UNE)</c:v>
                </c:pt>
              </c:strCache>
            </c:strRef>
          </c:tx>
          <c:cat>
            <c:strRef>
              <c:f>Quarts!$DE$261:$DL$261</c:f>
              <c:strCache>
                <c:ptCount val="8"/>
                <c:pt idx="0">
                  <c:v>Q1 12</c:v>
                </c:pt>
                <c:pt idx="1">
                  <c:v>Q2 12</c:v>
                </c:pt>
                <c:pt idx="2">
                  <c:v>Q3 12</c:v>
                </c:pt>
                <c:pt idx="3">
                  <c:v>Q4 12</c:v>
                </c:pt>
                <c:pt idx="4">
                  <c:v>Q1 13</c:v>
                </c:pt>
                <c:pt idx="5">
                  <c:v>Q2 13</c:v>
                </c:pt>
                <c:pt idx="6">
                  <c:v>Q3 13</c:v>
                </c:pt>
                <c:pt idx="7">
                  <c:v>Q4 13</c:v>
                </c:pt>
              </c:strCache>
            </c:strRef>
          </c:cat>
          <c:val>
            <c:numRef>
              <c:f>Quarts!$DA$262:$DH$262</c:f>
            </c:numRef>
          </c:val>
          <c:smooth val="0"/>
          <c:extLst>
            <c:ext xmlns:c16="http://schemas.microsoft.com/office/drawing/2014/chart" uri="{C3380CC4-5D6E-409C-BE32-E72D297353CC}">
              <c16:uniqueId val="{00000000-377C-449C-8EF1-8F16FEEA6AF8}"/>
            </c:ext>
          </c:extLst>
        </c:ser>
        <c:ser>
          <c:idx val="1"/>
          <c:order val="1"/>
          <c:tx>
            <c:strRef>
              <c:f>Quarts!$CZ$263</c:f>
              <c:strCache>
                <c:ptCount val="1"/>
                <c:pt idx="0">
                  <c:v>MTR/regs adj.</c:v>
                </c:pt>
              </c:strCache>
            </c:strRef>
          </c:tx>
          <c:cat>
            <c:strRef>
              <c:f>Quarts!$DE$261:$DL$261</c:f>
              <c:strCache>
                <c:ptCount val="8"/>
                <c:pt idx="0">
                  <c:v>Q1 12</c:v>
                </c:pt>
                <c:pt idx="1">
                  <c:v>Q2 12</c:v>
                </c:pt>
                <c:pt idx="2">
                  <c:v>Q3 12</c:v>
                </c:pt>
                <c:pt idx="3">
                  <c:v>Q4 12</c:v>
                </c:pt>
                <c:pt idx="4">
                  <c:v>Q1 13</c:v>
                </c:pt>
                <c:pt idx="5">
                  <c:v>Q2 13</c:v>
                </c:pt>
                <c:pt idx="6">
                  <c:v>Q3 13</c:v>
                </c:pt>
                <c:pt idx="7">
                  <c:v>Q4 13</c:v>
                </c:pt>
              </c:strCache>
            </c:strRef>
          </c:cat>
          <c:val>
            <c:numRef>
              <c:f>Quarts!$DA$263:$DH$263</c:f>
            </c:numRef>
          </c:val>
          <c:smooth val="0"/>
          <c:extLst>
            <c:ext xmlns:c16="http://schemas.microsoft.com/office/drawing/2014/chart" uri="{C3380CC4-5D6E-409C-BE32-E72D297353CC}">
              <c16:uniqueId val="{00000001-377C-449C-8EF1-8F16FEEA6AF8}"/>
            </c:ext>
          </c:extLst>
        </c:ser>
        <c:dLbls>
          <c:showLegendKey val="0"/>
          <c:showVal val="0"/>
          <c:showCatName val="0"/>
          <c:showSerName val="0"/>
          <c:showPercent val="0"/>
          <c:showBubbleSize val="0"/>
        </c:dLbls>
        <c:marker val="1"/>
        <c:smooth val="0"/>
        <c:axId val="1888808047"/>
        <c:axId val="1"/>
      </c:lineChart>
      <c:catAx>
        <c:axId val="1888808047"/>
        <c:scaling>
          <c:orientation val="minMax"/>
        </c:scaling>
        <c:delete val="0"/>
        <c:axPos val="b"/>
        <c:numFmt formatCode="General" sourceLinked="1"/>
        <c:majorTickMark val="out"/>
        <c:minorTickMark val="none"/>
        <c:tickLblPos val="low"/>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General"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888808047"/>
        <c:crosses val="autoZero"/>
        <c:crossBetween val="between"/>
      </c:valAx>
      <c:spPr>
        <a:noFill/>
        <a:ln w="25400">
          <a:noFill/>
        </a:ln>
      </c:spPr>
    </c:plotArea>
    <c:legend>
      <c:legendPos val="r"/>
      <c:layout>
        <c:manualLayout>
          <c:xMode val="edge"/>
          <c:yMode val="edge"/>
          <c:wMode val="edge"/>
          <c:hMode val="edge"/>
          <c:x val="0.12909199502463028"/>
          <c:y val="0.48486512102653834"/>
          <c:w val="0.12909199502463028"/>
          <c:h val="0.50690434529017203"/>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Quarts!$DD$265</c:f>
              <c:strCache>
                <c:ptCount val="1"/>
                <c:pt idx="0">
                  <c:v>Group revs (all ex-Online, ex-UNE)</c:v>
                </c:pt>
              </c:strCache>
            </c:strRef>
          </c:tx>
          <c:spPr>
            <a:ln w="25400">
              <a:solidFill>
                <a:srgbClr val="333399"/>
              </a:solidFill>
              <a:prstDash val="solid"/>
            </a:ln>
          </c:spPr>
          <c:marker>
            <c:symbol val="none"/>
          </c:marker>
          <c:cat>
            <c:strRef>
              <c:f>Quarts!$DE$261:$DL$261</c:f>
              <c:strCache>
                <c:ptCount val="8"/>
                <c:pt idx="0">
                  <c:v>Q1 12</c:v>
                </c:pt>
                <c:pt idx="1">
                  <c:v>Q2 12</c:v>
                </c:pt>
                <c:pt idx="2">
                  <c:v>Q3 12</c:v>
                </c:pt>
                <c:pt idx="3">
                  <c:v>Q4 12</c:v>
                </c:pt>
                <c:pt idx="4">
                  <c:v>Q1 13</c:v>
                </c:pt>
                <c:pt idx="5">
                  <c:v>Q2 13</c:v>
                </c:pt>
                <c:pt idx="6">
                  <c:v>Q3 13</c:v>
                </c:pt>
                <c:pt idx="7">
                  <c:v>Q4 13</c:v>
                </c:pt>
              </c:strCache>
            </c:strRef>
          </c:cat>
          <c:val>
            <c:numRef>
              <c:f>Quarts!$DE$265:$DL$265</c:f>
              <c:numCache>
                <c:formatCode>0.0%</c:formatCode>
                <c:ptCount val="8"/>
                <c:pt idx="0">
                  <c:v>8.4000000000000005E-2</c:v>
                </c:pt>
                <c:pt idx="1">
                  <c:v>8.8999999999999996E-2</c:v>
                </c:pt>
                <c:pt idx="2">
                  <c:v>8.4000000000000005E-2</c:v>
                </c:pt>
                <c:pt idx="3">
                  <c:v>5.5E-2</c:v>
                </c:pt>
                <c:pt idx="4">
                  <c:v>0.04</c:v>
                </c:pt>
                <c:pt idx="5">
                  <c:v>4.48E-2</c:v>
                </c:pt>
                <c:pt idx="6">
                  <c:v>6.4000000000000001E-2</c:v>
                </c:pt>
                <c:pt idx="7">
                  <c:v>8.1000000000000003E-2</c:v>
                </c:pt>
              </c:numCache>
            </c:numRef>
          </c:val>
          <c:smooth val="0"/>
          <c:extLst>
            <c:ext xmlns:c16="http://schemas.microsoft.com/office/drawing/2014/chart" uri="{C3380CC4-5D6E-409C-BE32-E72D297353CC}">
              <c16:uniqueId val="{00000000-BDCD-4A39-A1E8-5E80E1BE021C}"/>
            </c:ext>
          </c:extLst>
        </c:ser>
        <c:ser>
          <c:idx val="1"/>
          <c:order val="1"/>
          <c:tx>
            <c:strRef>
              <c:f>Quarts!$DD$266</c:f>
              <c:strCache>
                <c:ptCount val="1"/>
                <c:pt idx="0">
                  <c:v>African and SA voice adj</c:v>
                </c:pt>
              </c:strCache>
            </c:strRef>
          </c:tx>
          <c:spPr>
            <a:ln w="25400">
              <a:solidFill>
                <a:srgbClr val="99CCFF"/>
              </a:solidFill>
              <a:prstDash val="solid"/>
            </a:ln>
          </c:spPr>
          <c:marker>
            <c:symbol val="none"/>
          </c:marker>
          <c:cat>
            <c:strRef>
              <c:f>Quarts!$DE$261:$DL$261</c:f>
              <c:strCache>
                <c:ptCount val="8"/>
                <c:pt idx="0">
                  <c:v>Q1 12</c:v>
                </c:pt>
                <c:pt idx="1">
                  <c:v>Q2 12</c:v>
                </c:pt>
                <c:pt idx="2">
                  <c:v>Q3 12</c:v>
                </c:pt>
                <c:pt idx="3">
                  <c:v>Q4 12</c:v>
                </c:pt>
                <c:pt idx="4">
                  <c:v>Q1 13</c:v>
                </c:pt>
                <c:pt idx="5">
                  <c:v>Q2 13</c:v>
                </c:pt>
                <c:pt idx="6">
                  <c:v>Q3 13</c:v>
                </c:pt>
                <c:pt idx="7">
                  <c:v>Q4 13</c:v>
                </c:pt>
              </c:strCache>
            </c:strRef>
          </c:cat>
          <c:val>
            <c:numRef>
              <c:f>Quarts!$DE$266:$DL$266</c:f>
              <c:numCache>
                <c:formatCode>0.0%</c:formatCode>
                <c:ptCount val="8"/>
                <c:pt idx="0">
                  <c:v>7.6554646024039011E-2</c:v>
                </c:pt>
                <c:pt idx="1">
                  <c:v>9.8331309133880967E-2</c:v>
                </c:pt>
                <c:pt idx="2">
                  <c:v>9.29010539213381E-2</c:v>
                </c:pt>
                <c:pt idx="3">
                  <c:v>5.6389948113236443E-2</c:v>
                </c:pt>
                <c:pt idx="4">
                  <c:v>4.6055528107566052E-2</c:v>
                </c:pt>
                <c:pt idx="5">
                  <c:v>5.6117708201672417E-2</c:v>
                </c:pt>
                <c:pt idx="6">
                  <c:v>6.1532298964090425E-2</c:v>
                </c:pt>
                <c:pt idx="7">
                  <c:v>5.8218609544963801E-2</c:v>
                </c:pt>
              </c:numCache>
            </c:numRef>
          </c:val>
          <c:smooth val="0"/>
          <c:extLst>
            <c:ext xmlns:c16="http://schemas.microsoft.com/office/drawing/2014/chart" uri="{C3380CC4-5D6E-409C-BE32-E72D297353CC}">
              <c16:uniqueId val="{00000001-BDCD-4A39-A1E8-5E80E1BE021C}"/>
            </c:ext>
          </c:extLst>
        </c:ser>
        <c:dLbls>
          <c:showLegendKey val="0"/>
          <c:showVal val="0"/>
          <c:showCatName val="0"/>
          <c:showSerName val="0"/>
          <c:showPercent val="0"/>
          <c:showBubbleSize val="0"/>
        </c:dLbls>
        <c:smooth val="0"/>
        <c:axId val="1888801247"/>
        <c:axId val="1"/>
      </c:lineChart>
      <c:catAx>
        <c:axId val="1888801247"/>
        <c:scaling>
          <c:orientation val="minMax"/>
        </c:scaling>
        <c:delete val="0"/>
        <c:axPos val="b"/>
        <c:numFmt formatCode="General" sourceLinked="1"/>
        <c:majorTickMark val="out"/>
        <c:minorTickMark val="none"/>
        <c:tickLblPos val="low"/>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888801247"/>
        <c:crosses val="autoZero"/>
        <c:crossBetween val="between"/>
      </c:valAx>
      <c:spPr>
        <a:noFill/>
        <a:ln w="25400">
          <a:noFill/>
        </a:ln>
      </c:spPr>
    </c:plotArea>
    <c:legend>
      <c:legendPos val="r"/>
      <c:layout>
        <c:manualLayout>
          <c:xMode val="edge"/>
          <c:yMode val="edge"/>
          <c:wMode val="edge"/>
          <c:hMode val="edge"/>
          <c:x val="0.150666863107808"/>
          <c:y val="0.50139472149314668"/>
          <c:w val="0.38742907656293479"/>
          <c:h val="0.52618875765529305"/>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35807860262015E-2"/>
          <c:y val="4.6379243762783136E-2"/>
          <c:w val="0.89519650655021832"/>
          <c:h val="0.73474486171566966"/>
        </c:manualLayout>
      </c:layout>
      <c:barChart>
        <c:barDir val="col"/>
        <c:grouping val="clustered"/>
        <c:varyColors val="0"/>
        <c:ser>
          <c:idx val="0"/>
          <c:order val="0"/>
          <c:tx>
            <c:strRef>
              <c:f>Analysis!$D$292</c:f>
              <c:strCache>
                <c:ptCount val="1"/>
                <c:pt idx="0">
                  <c:v>El Salvador</c:v>
                </c:pt>
              </c:strCache>
            </c:strRef>
          </c:tx>
          <c:spPr>
            <a:solidFill>
              <a:srgbClr val="000080"/>
            </a:solidFill>
            <a:ln w="25400">
              <a:noFill/>
            </a:ln>
          </c:spPr>
          <c:invertIfNegative val="0"/>
          <c:cat>
            <c:numRef>
              <c:f>Analysis!$X$291:$BH$291</c:f>
              <c:numCache>
                <c:formatCode>mmm\-yy</c:formatCode>
                <c:ptCount val="37"/>
                <c:pt idx="0">
                  <c:v>39661</c:v>
                </c:pt>
                <c:pt idx="1">
                  <c:v>39692</c:v>
                </c:pt>
                <c:pt idx="2">
                  <c:v>39722</c:v>
                </c:pt>
                <c:pt idx="3">
                  <c:v>39753</c:v>
                </c:pt>
                <c:pt idx="4">
                  <c:v>39783</c:v>
                </c:pt>
                <c:pt idx="5">
                  <c:v>39814</c:v>
                </c:pt>
                <c:pt idx="6">
                  <c:v>39845</c:v>
                </c:pt>
                <c:pt idx="7">
                  <c:v>39873</c:v>
                </c:pt>
                <c:pt idx="8">
                  <c:v>39904</c:v>
                </c:pt>
                <c:pt idx="9">
                  <c:v>39934</c:v>
                </c:pt>
                <c:pt idx="10">
                  <c:v>39965</c:v>
                </c:pt>
                <c:pt idx="11">
                  <c:v>39995</c:v>
                </c:pt>
                <c:pt idx="12">
                  <c:v>40026</c:v>
                </c:pt>
                <c:pt idx="13">
                  <c:v>40057</c:v>
                </c:pt>
                <c:pt idx="14">
                  <c:v>40087</c:v>
                </c:pt>
                <c:pt idx="15">
                  <c:v>40118</c:v>
                </c:pt>
                <c:pt idx="16">
                  <c:v>40148</c:v>
                </c:pt>
                <c:pt idx="17">
                  <c:v>40179</c:v>
                </c:pt>
                <c:pt idx="18">
                  <c:v>40210</c:v>
                </c:pt>
                <c:pt idx="19">
                  <c:v>40238</c:v>
                </c:pt>
                <c:pt idx="20">
                  <c:v>40269</c:v>
                </c:pt>
                <c:pt idx="21">
                  <c:v>40299</c:v>
                </c:pt>
                <c:pt idx="22">
                  <c:v>40330</c:v>
                </c:pt>
                <c:pt idx="23">
                  <c:v>40360</c:v>
                </c:pt>
                <c:pt idx="24">
                  <c:v>40391</c:v>
                </c:pt>
                <c:pt idx="25">
                  <c:v>40422</c:v>
                </c:pt>
                <c:pt idx="26">
                  <c:v>40452</c:v>
                </c:pt>
                <c:pt idx="27">
                  <c:v>40483</c:v>
                </c:pt>
                <c:pt idx="28">
                  <c:v>40513</c:v>
                </c:pt>
                <c:pt idx="29">
                  <c:v>40544</c:v>
                </c:pt>
                <c:pt idx="30">
                  <c:v>40575</c:v>
                </c:pt>
                <c:pt idx="31">
                  <c:v>40603</c:v>
                </c:pt>
                <c:pt idx="32">
                  <c:v>40634</c:v>
                </c:pt>
                <c:pt idx="33">
                  <c:v>40664</c:v>
                </c:pt>
                <c:pt idx="34">
                  <c:v>40695</c:v>
                </c:pt>
                <c:pt idx="35">
                  <c:v>40725</c:v>
                </c:pt>
                <c:pt idx="36">
                  <c:v>40756</c:v>
                </c:pt>
              </c:numCache>
            </c:numRef>
          </c:cat>
          <c:val>
            <c:numRef>
              <c:f>Analysis!$X$293:$BH$293</c:f>
              <c:numCache>
                <c:formatCode>0%</c:formatCode>
                <c:ptCount val="37"/>
                <c:pt idx="0">
                  <c:v>-2.0819987187700173E-2</c:v>
                </c:pt>
                <c:pt idx="1">
                  <c:v>8.2031249999999778E-2</c:v>
                </c:pt>
                <c:pt idx="2">
                  <c:v>-6.022235948116117E-2</c:v>
                </c:pt>
                <c:pt idx="3">
                  <c:v>-6.5961199294532591E-2</c:v>
                </c:pt>
                <c:pt idx="4">
                  <c:v>-3.9829302987197779E-2</c:v>
                </c:pt>
                <c:pt idx="5">
                  <c:v>-8.3847549909255914E-2</c:v>
                </c:pt>
                <c:pt idx="6">
                  <c:v>-7.7774052966811946E-2</c:v>
                </c:pt>
                <c:pt idx="7">
                  <c:v>-6.678486997635924E-2</c:v>
                </c:pt>
                <c:pt idx="8">
                  <c:v>-0.13589364844903984</c:v>
                </c:pt>
                <c:pt idx="9">
                  <c:v>-0.12790039615166948</c:v>
                </c:pt>
                <c:pt idx="10">
                  <c:v>-0.11572966507177029</c:v>
                </c:pt>
                <c:pt idx="11">
                  <c:v>-0.13851249623607342</c:v>
                </c:pt>
                <c:pt idx="12">
                  <c:v>-5.9862610402355299E-2</c:v>
                </c:pt>
                <c:pt idx="13">
                  <c:v>-0.1109287824089269</c:v>
                </c:pt>
                <c:pt idx="14">
                  <c:v>-7.4268813670719802E-2</c:v>
                </c:pt>
                <c:pt idx="15">
                  <c:v>-7.9305135951662775E-3</c:v>
                </c:pt>
                <c:pt idx="16">
                  <c:v>-2.962962962962945E-3</c:v>
                </c:pt>
                <c:pt idx="17">
                  <c:v>-9.6275752773375634E-2</c:v>
                </c:pt>
                <c:pt idx="18">
                  <c:v>-4.3256997455470847E-2</c:v>
                </c:pt>
                <c:pt idx="19">
                  <c:v>6.7131095630145632E-2</c:v>
                </c:pt>
                <c:pt idx="20">
                  <c:v>1.299145299145299E-2</c:v>
                </c:pt>
                <c:pt idx="21">
                  <c:v>3.5691109669045984E-2</c:v>
                </c:pt>
                <c:pt idx="22">
                  <c:v>-5.0727088265133391E-3</c:v>
                </c:pt>
                <c:pt idx="23">
                  <c:v>2.4466969591052656E-3</c:v>
                </c:pt>
                <c:pt idx="24">
                  <c:v>-1.3917884481557952E-3</c:v>
                </c:pt>
                <c:pt idx="25">
                  <c:v>-7.3827980804719306E-4</c:v>
                </c:pt>
                <c:pt idx="26">
                  <c:v>-2.8399006034789398E-3</c:v>
                </c:pt>
                <c:pt idx="27">
                  <c:v>3.9969547011800444E-2</c:v>
                </c:pt>
                <c:pt idx="28">
                  <c:v>1.0401188707280795E-2</c:v>
                </c:pt>
                <c:pt idx="29">
                  <c:v>9.9079351161771134E-2</c:v>
                </c:pt>
                <c:pt idx="30">
                  <c:v>6.2310030395136939E-2</c:v>
                </c:pt>
                <c:pt idx="31">
                  <c:v>-4.4510385756676429E-3</c:v>
                </c:pt>
                <c:pt idx="32">
                  <c:v>4.35369557880525E-2</c:v>
                </c:pt>
                <c:pt idx="33">
                  <c:v>6.0776942355889929E-2</c:v>
                </c:pt>
                <c:pt idx="34">
                  <c:v>1.9374575118966675E-2</c:v>
                </c:pt>
                <c:pt idx="35">
                  <c:v>5.0906555090655337E-2</c:v>
                </c:pt>
                <c:pt idx="36">
                  <c:v>6.9686411149825878E-2</c:v>
                </c:pt>
              </c:numCache>
            </c:numRef>
          </c:val>
          <c:extLst>
            <c:ext xmlns:c16="http://schemas.microsoft.com/office/drawing/2014/chart" uri="{C3380CC4-5D6E-409C-BE32-E72D297353CC}">
              <c16:uniqueId val="{00000000-26A5-4387-AD29-C98D45B8BA43}"/>
            </c:ext>
          </c:extLst>
        </c:ser>
        <c:ser>
          <c:idx val="2"/>
          <c:order val="1"/>
          <c:tx>
            <c:v>Guatemala, local FX</c:v>
          </c:tx>
          <c:spPr>
            <a:solidFill>
              <a:srgbClr val="CCCCFF"/>
            </a:solidFill>
            <a:ln w="25400">
              <a:noFill/>
            </a:ln>
          </c:spPr>
          <c:invertIfNegative val="0"/>
          <c:cat>
            <c:numRef>
              <c:f>Analysis!$X$291:$BH$291</c:f>
              <c:numCache>
                <c:formatCode>mmm\-yy</c:formatCode>
                <c:ptCount val="37"/>
                <c:pt idx="0">
                  <c:v>39661</c:v>
                </c:pt>
                <c:pt idx="1">
                  <c:v>39692</c:v>
                </c:pt>
                <c:pt idx="2">
                  <c:v>39722</c:v>
                </c:pt>
                <c:pt idx="3">
                  <c:v>39753</c:v>
                </c:pt>
                <c:pt idx="4">
                  <c:v>39783</c:v>
                </c:pt>
                <c:pt idx="5">
                  <c:v>39814</c:v>
                </c:pt>
                <c:pt idx="6">
                  <c:v>39845</c:v>
                </c:pt>
                <c:pt idx="7">
                  <c:v>39873</c:v>
                </c:pt>
                <c:pt idx="8">
                  <c:v>39904</c:v>
                </c:pt>
                <c:pt idx="9">
                  <c:v>39934</c:v>
                </c:pt>
                <c:pt idx="10">
                  <c:v>39965</c:v>
                </c:pt>
                <c:pt idx="11">
                  <c:v>39995</c:v>
                </c:pt>
                <c:pt idx="12">
                  <c:v>40026</c:v>
                </c:pt>
                <c:pt idx="13">
                  <c:v>40057</c:v>
                </c:pt>
                <c:pt idx="14">
                  <c:v>40087</c:v>
                </c:pt>
                <c:pt idx="15">
                  <c:v>40118</c:v>
                </c:pt>
                <c:pt idx="16">
                  <c:v>40148</c:v>
                </c:pt>
                <c:pt idx="17">
                  <c:v>40179</c:v>
                </c:pt>
                <c:pt idx="18">
                  <c:v>40210</c:v>
                </c:pt>
                <c:pt idx="19">
                  <c:v>40238</c:v>
                </c:pt>
                <c:pt idx="20">
                  <c:v>40269</c:v>
                </c:pt>
                <c:pt idx="21">
                  <c:v>40299</c:v>
                </c:pt>
                <c:pt idx="22">
                  <c:v>40330</c:v>
                </c:pt>
                <c:pt idx="23">
                  <c:v>40360</c:v>
                </c:pt>
                <c:pt idx="24">
                  <c:v>40391</c:v>
                </c:pt>
                <c:pt idx="25">
                  <c:v>40422</c:v>
                </c:pt>
                <c:pt idx="26">
                  <c:v>40452</c:v>
                </c:pt>
                <c:pt idx="27">
                  <c:v>40483</c:v>
                </c:pt>
                <c:pt idx="28">
                  <c:v>40513</c:v>
                </c:pt>
                <c:pt idx="29">
                  <c:v>40544</c:v>
                </c:pt>
                <c:pt idx="30">
                  <c:v>40575</c:v>
                </c:pt>
                <c:pt idx="31">
                  <c:v>40603</c:v>
                </c:pt>
                <c:pt idx="32">
                  <c:v>40634</c:v>
                </c:pt>
                <c:pt idx="33">
                  <c:v>40664</c:v>
                </c:pt>
                <c:pt idx="34">
                  <c:v>40695</c:v>
                </c:pt>
                <c:pt idx="35">
                  <c:v>40725</c:v>
                </c:pt>
                <c:pt idx="36">
                  <c:v>40756</c:v>
                </c:pt>
              </c:numCache>
            </c:numRef>
          </c:cat>
          <c:val>
            <c:numRef>
              <c:f>Analysis!$X$300:$BH$300</c:f>
              <c:numCache>
                <c:formatCode>0%</c:formatCode>
                <c:ptCount val="37"/>
                <c:pt idx="0">
                  <c:v>-5.3952663062155182E-2</c:v>
                </c:pt>
                <c:pt idx="1">
                  <c:v>0.10076062248644879</c:v>
                </c:pt>
                <c:pt idx="2">
                  <c:v>-8.4390550718656532E-2</c:v>
                </c:pt>
                <c:pt idx="3">
                  <c:v>-8.9455459865419806E-2</c:v>
                </c:pt>
                <c:pt idx="4">
                  <c:v>1.3008211012444093E-2</c:v>
                </c:pt>
                <c:pt idx="5">
                  <c:v>-6.1985122315700858E-2</c:v>
                </c:pt>
                <c:pt idx="6">
                  <c:v>-9.2427876262112241E-2</c:v>
                </c:pt>
                <c:pt idx="7">
                  <c:v>6.7764056453448962E-2</c:v>
                </c:pt>
                <c:pt idx="8">
                  <c:v>-5.6213681032644902E-2</c:v>
                </c:pt>
                <c:pt idx="9">
                  <c:v>-9.1312071108229476E-2</c:v>
                </c:pt>
                <c:pt idx="10">
                  <c:v>-1.7908925318761315E-2</c:v>
                </c:pt>
                <c:pt idx="11">
                  <c:v>-2.3793805583722127E-2</c:v>
                </c:pt>
                <c:pt idx="12">
                  <c:v>5.8887803466116662E-3</c:v>
                </c:pt>
                <c:pt idx="13">
                  <c:v>-4.8665841128412435E-3</c:v>
                </c:pt>
                <c:pt idx="14">
                  <c:v>-1.4632580186009547E-2</c:v>
                </c:pt>
                <c:pt idx="15">
                  <c:v>5.4495777258112277E-3</c:v>
                </c:pt>
                <c:pt idx="16">
                  <c:v>3.3331812570591035E-2</c:v>
                </c:pt>
                <c:pt idx="17">
                  <c:v>-9.561647997029854E-2</c:v>
                </c:pt>
                <c:pt idx="18">
                  <c:v>1.2513490553701434E-2</c:v>
                </c:pt>
                <c:pt idx="19">
                  <c:v>6.979630662743519E-2</c:v>
                </c:pt>
                <c:pt idx="20">
                  <c:v>3.7815621715249215E-3</c:v>
                </c:pt>
                <c:pt idx="21">
                  <c:v>6.1700744109228101E-2</c:v>
                </c:pt>
                <c:pt idx="22">
                  <c:v>0.11583648770069033</c:v>
                </c:pt>
                <c:pt idx="23">
                  <c:v>3.3930984951201948E-2</c:v>
                </c:pt>
                <c:pt idx="24">
                  <c:v>8.8568191366301896E-2</c:v>
                </c:pt>
                <c:pt idx="25">
                  <c:v>5.1960655630652663E-2</c:v>
                </c:pt>
                <c:pt idx="26">
                  <c:v>3.8418496339098773E-3</c:v>
                </c:pt>
                <c:pt idx="27">
                  <c:v>0.11024168251456756</c:v>
                </c:pt>
                <c:pt idx="28">
                  <c:v>2.8587434752836094E-2</c:v>
                </c:pt>
                <c:pt idx="29">
                  <c:v>9.8735320694448347E-2</c:v>
                </c:pt>
                <c:pt idx="30">
                  <c:v>5.3509735189011254E-2</c:v>
                </c:pt>
                <c:pt idx="31">
                  <c:v>-4.4209921030341492E-3</c:v>
                </c:pt>
                <c:pt idx="32">
                  <c:v>2.74301968734465E-2</c:v>
                </c:pt>
                <c:pt idx="33">
                  <c:v>0.11131363698765995</c:v>
                </c:pt>
                <c:pt idx="34">
                  <c:v>2.7315788314827172E-2</c:v>
                </c:pt>
                <c:pt idx="35">
                  <c:v>-0.11725814947471158</c:v>
                </c:pt>
                <c:pt idx="36">
                  <c:v>6.0761354052104588E-2</c:v>
                </c:pt>
              </c:numCache>
            </c:numRef>
          </c:val>
          <c:extLst>
            <c:ext xmlns:c16="http://schemas.microsoft.com/office/drawing/2014/chart" uri="{C3380CC4-5D6E-409C-BE32-E72D297353CC}">
              <c16:uniqueId val="{00000001-26A5-4387-AD29-C98D45B8BA43}"/>
            </c:ext>
          </c:extLst>
        </c:ser>
        <c:dLbls>
          <c:showLegendKey val="0"/>
          <c:showVal val="0"/>
          <c:showCatName val="0"/>
          <c:showSerName val="0"/>
          <c:showPercent val="0"/>
          <c:showBubbleSize val="0"/>
        </c:dLbls>
        <c:gapWidth val="150"/>
        <c:axId val="1888806047"/>
        <c:axId val="1"/>
      </c:barChart>
      <c:dateAx>
        <c:axId val="1888806047"/>
        <c:scaling>
          <c:orientation val="minMax"/>
        </c:scaling>
        <c:delete val="0"/>
        <c:axPos val="b"/>
        <c:numFmt formatCode="mmm\-yy" sourceLinked="0"/>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Offset val="100"/>
        <c:baseTimeUnit val="months"/>
        <c:majorUnit val="2"/>
        <c:majorTimeUnit val="months"/>
        <c:minorUnit val="1"/>
        <c:minorTimeUnit val="months"/>
      </c:dateAx>
      <c:valAx>
        <c:axId val="1"/>
        <c:scaling>
          <c:orientation val="minMax"/>
          <c:min val="-0.15"/>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888806047"/>
        <c:crosses val="autoZero"/>
        <c:crossBetween val="between"/>
      </c:valAx>
      <c:spPr>
        <a:noFill/>
        <a:ln w="25400">
          <a:noFill/>
        </a:ln>
      </c:spPr>
    </c:plotArea>
    <c:legend>
      <c:legendPos val="r"/>
      <c:layout>
        <c:manualLayout>
          <c:xMode val="edge"/>
          <c:yMode val="edge"/>
          <c:x val="0.39056499516507803"/>
          <c:y val="0.94109168115772124"/>
          <c:w val="0.20277125447038413"/>
          <c:h val="4.322333157486824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99"/>
              </a:solidFill>
              <a:prstDash val="solid"/>
            </a:ln>
          </c:spPr>
          <c:marker>
            <c:symbol val="none"/>
          </c:marker>
          <c:dPt>
            <c:idx val="5"/>
            <c:bubble3D val="0"/>
            <c:spPr>
              <a:ln w="25400">
                <a:solidFill>
                  <a:srgbClr val="333399"/>
                </a:solidFill>
                <a:prstDash val="sysDash"/>
              </a:ln>
            </c:spPr>
            <c:extLst>
              <c:ext xmlns:c16="http://schemas.microsoft.com/office/drawing/2014/chart" uri="{C3380CC4-5D6E-409C-BE32-E72D297353CC}">
                <c16:uniqueId val="{00000001-A468-4F00-A924-340A80E5CB5D}"/>
              </c:ext>
            </c:extLst>
          </c:dPt>
          <c:dPt>
            <c:idx val="6"/>
            <c:bubble3D val="0"/>
            <c:spPr>
              <a:ln w="25400">
                <a:solidFill>
                  <a:srgbClr val="333399"/>
                </a:solidFill>
                <a:prstDash val="sysDash"/>
              </a:ln>
            </c:spPr>
            <c:extLst>
              <c:ext xmlns:c16="http://schemas.microsoft.com/office/drawing/2014/chart" uri="{C3380CC4-5D6E-409C-BE32-E72D297353CC}">
                <c16:uniqueId val="{00000003-A468-4F00-A924-340A80E5CB5D}"/>
              </c:ext>
            </c:extLst>
          </c:dPt>
          <c:dPt>
            <c:idx val="7"/>
            <c:bubble3D val="0"/>
            <c:spPr>
              <a:ln w="25400">
                <a:solidFill>
                  <a:srgbClr val="333399"/>
                </a:solidFill>
                <a:prstDash val="sysDash"/>
              </a:ln>
            </c:spPr>
            <c:extLst>
              <c:ext xmlns:c16="http://schemas.microsoft.com/office/drawing/2014/chart" uri="{C3380CC4-5D6E-409C-BE32-E72D297353CC}">
                <c16:uniqueId val="{00000005-A468-4F00-A924-340A80E5CB5D}"/>
              </c:ext>
            </c:extLst>
          </c:dPt>
          <c:cat>
            <c:strRef>
              <c:f>'Country quarts'!$S$2:$Z$2</c:f>
              <c:strCache>
                <c:ptCount val="8"/>
                <c:pt idx="0">
                  <c:v>Q1 15</c:v>
                </c:pt>
                <c:pt idx="1">
                  <c:v>Q2 15</c:v>
                </c:pt>
                <c:pt idx="2">
                  <c:v>Q3 15</c:v>
                </c:pt>
                <c:pt idx="3">
                  <c:v>Q4 15</c:v>
                </c:pt>
                <c:pt idx="4">
                  <c:v>Q1 16</c:v>
                </c:pt>
                <c:pt idx="5">
                  <c:v>Q2 16</c:v>
                </c:pt>
                <c:pt idx="6">
                  <c:v>Q3 16</c:v>
                </c:pt>
                <c:pt idx="7">
                  <c:v>Q4 16e</c:v>
                </c:pt>
              </c:strCache>
            </c:strRef>
          </c:cat>
          <c:val>
            <c:numRef>
              <c:f>'Country quarts'!$S$34:$Z$34</c:f>
              <c:numCache>
                <c:formatCode>0.0%</c:formatCode>
                <c:ptCount val="8"/>
                <c:pt idx="0">
                  <c:v>5.6000000000000001E-2</c:v>
                </c:pt>
                <c:pt idx="1">
                  <c:v>5.7000000000000002E-2</c:v>
                </c:pt>
                <c:pt idx="2">
                  <c:v>5.8000000000000003E-2</c:v>
                </c:pt>
                <c:pt idx="3">
                  <c:v>5.8999999999999997E-2</c:v>
                </c:pt>
                <c:pt idx="4">
                  <c:v>4.1000000000000002E-2</c:v>
                </c:pt>
                <c:pt idx="5">
                  <c:v>2.1000000000000001E-2</c:v>
                </c:pt>
                <c:pt idx="6">
                  <c:v>-2E-3</c:v>
                </c:pt>
                <c:pt idx="7">
                  <c:v>-3.6412316148392243E-2</c:v>
                </c:pt>
              </c:numCache>
            </c:numRef>
          </c:val>
          <c:smooth val="0"/>
          <c:extLst>
            <c:ext xmlns:c16="http://schemas.microsoft.com/office/drawing/2014/chart" uri="{C3380CC4-5D6E-409C-BE32-E72D297353CC}">
              <c16:uniqueId val="{00000006-A468-4F00-A924-340A80E5CB5D}"/>
            </c:ext>
          </c:extLst>
        </c:ser>
        <c:dLbls>
          <c:showLegendKey val="0"/>
          <c:showVal val="0"/>
          <c:showCatName val="0"/>
          <c:showSerName val="0"/>
          <c:showPercent val="0"/>
          <c:showBubbleSize val="0"/>
        </c:dLbls>
        <c:smooth val="0"/>
        <c:axId val="1114961055"/>
        <c:axId val="1"/>
      </c:lineChart>
      <c:catAx>
        <c:axId val="11149610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nextTo"/>
        <c:spPr>
          <a:ln w="9525">
            <a:noFill/>
          </a:ln>
        </c:spPr>
        <c:txPr>
          <a:bodyPr rot="0" vert="horz"/>
          <a:lstStyle/>
          <a:p>
            <a:pPr>
              <a:defRPr sz="1000" b="0" i="0" u="none" strike="noStrike" baseline="0">
                <a:solidFill>
                  <a:srgbClr val="333333"/>
                </a:solidFill>
                <a:latin typeface="Trebuchet MS"/>
                <a:ea typeface="Trebuchet MS"/>
                <a:cs typeface="Trebuchet MS"/>
              </a:defRPr>
            </a:pPr>
            <a:endParaRPr lang="en-US"/>
          </a:p>
        </c:txPr>
        <c:crossAx val="1114961055"/>
        <c:crosses val="autoZero"/>
        <c:crossBetween val="between"/>
      </c:valAx>
      <c:spPr>
        <a:noFill/>
        <a:ln w="25400">
          <a:noFill/>
        </a:ln>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Newquarts!$D$196</c:f>
              <c:strCache>
                <c:ptCount val="1"/>
                <c:pt idx="0">
                  <c:v>Q3 15</c:v>
                </c:pt>
              </c:strCache>
            </c:strRef>
          </c:tx>
          <c:spPr>
            <a:solidFill>
              <a:schemeClr val="tx2"/>
            </a:solidFill>
          </c:spPr>
          <c:invertIfNegative val="0"/>
          <c:cat>
            <c:strRef>
              <c:f>Newquarts!$A$197:$A$210</c:f>
              <c:strCache>
                <c:ptCount val="14"/>
                <c:pt idx="0">
                  <c:v>Ghana</c:v>
                </c:pt>
                <c:pt idx="1">
                  <c:v>Senegal</c:v>
                </c:pt>
                <c:pt idx="2">
                  <c:v>DRC</c:v>
                </c:pt>
                <c:pt idx="3">
                  <c:v>Tanzania</c:v>
                </c:pt>
                <c:pt idx="4">
                  <c:v>UNE service</c:v>
                </c:pt>
                <c:pt idx="5">
                  <c:v>Costa Rica </c:v>
                </c:pt>
                <c:pt idx="6">
                  <c:v>Honduras</c:v>
                </c:pt>
                <c:pt idx="7">
                  <c:v>Bolivia</c:v>
                </c:pt>
                <c:pt idx="8">
                  <c:v>Rwanda</c:v>
                </c:pt>
                <c:pt idx="9">
                  <c:v>Guatemala</c:v>
                </c:pt>
                <c:pt idx="10">
                  <c:v>Paraguay</c:v>
                </c:pt>
                <c:pt idx="11">
                  <c:v>Colombia mobile service</c:v>
                </c:pt>
                <c:pt idx="12">
                  <c:v>El Salvador</c:v>
                </c:pt>
                <c:pt idx="13">
                  <c:v>Chad</c:v>
                </c:pt>
              </c:strCache>
            </c:strRef>
          </c:cat>
          <c:val>
            <c:numRef>
              <c:f>Newquarts!$D$197:$D$210</c:f>
              <c:numCache>
                <c:formatCode>0%</c:formatCode>
                <c:ptCount val="14"/>
                <c:pt idx="0">
                  <c:v>0.19</c:v>
                </c:pt>
                <c:pt idx="1">
                  <c:v>0.17</c:v>
                </c:pt>
                <c:pt idx="2">
                  <c:v>0.16</c:v>
                </c:pt>
                <c:pt idx="3">
                  <c:v>0.14000000000000001</c:v>
                </c:pt>
                <c:pt idx="4">
                  <c:v>8.6999999999999994E-2</c:v>
                </c:pt>
                <c:pt idx="5">
                  <c:v>0.09</c:v>
                </c:pt>
                <c:pt idx="6">
                  <c:v>0.08</c:v>
                </c:pt>
                <c:pt idx="7">
                  <c:v>0.08</c:v>
                </c:pt>
                <c:pt idx="8">
                  <c:v>7.0000000000000007E-2</c:v>
                </c:pt>
                <c:pt idx="9">
                  <c:v>0.05</c:v>
                </c:pt>
                <c:pt idx="10">
                  <c:v>0.04</c:v>
                </c:pt>
                <c:pt idx="11">
                  <c:v>0.03</c:v>
                </c:pt>
                <c:pt idx="12">
                  <c:v>0.02</c:v>
                </c:pt>
                <c:pt idx="13">
                  <c:v>-0.01</c:v>
                </c:pt>
              </c:numCache>
            </c:numRef>
          </c:val>
          <c:extLst>
            <c:ext xmlns:c16="http://schemas.microsoft.com/office/drawing/2014/chart" uri="{C3380CC4-5D6E-409C-BE32-E72D297353CC}">
              <c16:uniqueId val="{00000000-14F8-41E0-9852-D3589187EE93}"/>
            </c:ext>
          </c:extLst>
        </c:ser>
        <c:ser>
          <c:idx val="1"/>
          <c:order val="1"/>
          <c:tx>
            <c:strRef>
              <c:f>Newquarts!$E$196</c:f>
              <c:strCache>
                <c:ptCount val="1"/>
                <c:pt idx="0">
                  <c:v>Q4 15</c:v>
                </c:pt>
              </c:strCache>
            </c:strRef>
          </c:tx>
          <c:spPr>
            <a:solidFill>
              <a:schemeClr val="tx2">
                <a:lumMod val="20000"/>
                <a:lumOff val="80000"/>
              </a:schemeClr>
            </a:solidFill>
          </c:spPr>
          <c:invertIfNegative val="0"/>
          <c:cat>
            <c:strRef>
              <c:f>Newquarts!$A$197:$A$210</c:f>
              <c:strCache>
                <c:ptCount val="14"/>
                <c:pt idx="0">
                  <c:v>Ghana</c:v>
                </c:pt>
                <c:pt idx="1">
                  <c:v>Senegal</c:v>
                </c:pt>
                <c:pt idx="2">
                  <c:v>DRC</c:v>
                </c:pt>
                <c:pt idx="3">
                  <c:v>Tanzania</c:v>
                </c:pt>
                <c:pt idx="4">
                  <c:v>UNE service</c:v>
                </c:pt>
                <c:pt idx="5">
                  <c:v>Costa Rica </c:v>
                </c:pt>
                <c:pt idx="6">
                  <c:v>Honduras</c:v>
                </c:pt>
                <c:pt idx="7">
                  <c:v>Bolivia</c:v>
                </c:pt>
                <c:pt idx="8">
                  <c:v>Rwanda</c:v>
                </c:pt>
                <c:pt idx="9">
                  <c:v>Guatemala</c:v>
                </c:pt>
                <c:pt idx="10">
                  <c:v>Paraguay</c:v>
                </c:pt>
                <c:pt idx="11">
                  <c:v>Colombia mobile service</c:v>
                </c:pt>
                <c:pt idx="12">
                  <c:v>El Salvador</c:v>
                </c:pt>
                <c:pt idx="13">
                  <c:v>Chad</c:v>
                </c:pt>
              </c:strCache>
            </c:strRef>
          </c:cat>
          <c:val>
            <c:numRef>
              <c:f>Newquarts!$E$197:$E$210</c:f>
              <c:numCache>
                <c:formatCode>General</c:formatCode>
                <c:ptCount val="14"/>
                <c:pt idx="0" formatCode="0%">
                  <c:v>0.15</c:v>
                </c:pt>
                <c:pt idx="3" formatCode="0%">
                  <c:v>0.13</c:v>
                </c:pt>
                <c:pt idx="4" formatCode="0%">
                  <c:v>0.12</c:v>
                </c:pt>
                <c:pt idx="5" formatCode="0%">
                  <c:v>0.18099999999999999</c:v>
                </c:pt>
                <c:pt idx="6" formatCode="0%">
                  <c:v>1.2E-2</c:v>
                </c:pt>
                <c:pt idx="7" formatCode="0%">
                  <c:v>8.4000000000000005E-2</c:v>
                </c:pt>
                <c:pt idx="9" formatCode="0%">
                  <c:v>3.6999999999999998E-2</c:v>
                </c:pt>
                <c:pt idx="10" formatCode="0%">
                  <c:v>0</c:v>
                </c:pt>
                <c:pt idx="11" formatCode="0%">
                  <c:v>-8.9999999999999993E-3</c:v>
                </c:pt>
                <c:pt idx="12" formatCode="0%">
                  <c:v>0</c:v>
                </c:pt>
                <c:pt idx="13" formatCode="0%">
                  <c:v>0.11</c:v>
                </c:pt>
              </c:numCache>
            </c:numRef>
          </c:val>
          <c:extLst>
            <c:ext xmlns:c16="http://schemas.microsoft.com/office/drawing/2014/chart" uri="{C3380CC4-5D6E-409C-BE32-E72D297353CC}">
              <c16:uniqueId val="{00000001-14F8-41E0-9852-D3589187EE93}"/>
            </c:ext>
          </c:extLst>
        </c:ser>
        <c:dLbls>
          <c:showLegendKey val="0"/>
          <c:showVal val="0"/>
          <c:showCatName val="0"/>
          <c:showSerName val="0"/>
          <c:showPercent val="0"/>
          <c:showBubbleSize val="0"/>
        </c:dLbls>
        <c:gapWidth val="150"/>
        <c:axId val="1901796895"/>
        <c:axId val="1"/>
      </c:barChart>
      <c:catAx>
        <c:axId val="1901796895"/>
        <c:scaling>
          <c:orientation val="minMax"/>
        </c:scaling>
        <c:delete val="0"/>
        <c:axPos val="b"/>
        <c:numFmt formatCode="General" sourceLinked="1"/>
        <c:majorTickMark val="out"/>
        <c:minorTickMark val="none"/>
        <c:tickLblPos val="low"/>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901796895"/>
        <c:crosses val="autoZero"/>
        <c:crossBetween val="between"/>
      </c:valAx>
    </c:plotArea>
    <c:legend>
      <c:legendPos val="r"/>
      <c:layout>
        <c:manualLayout>
          <c:xMode val="edge"/>
          <c:yMode val="edge"/>
          <c:wMode val="edge"/>
          <c:hMode val="edge"/>
          <c:x val="8.4461942257217856E-3"/>
          <c:y val="0.66513855826161261"/>
          <c:w val="9.7975940507436576E-2"/>
          <c:h val="0.70234908136482932"/>
        </c:manualLayout>
      </c:layout>
      <c:overlay val="0"/>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0080"/>
            </a:solidFill>
            <a:ln w="25400">
              <a:noFill/>
            </a:ln>
          </c:spPr>
          <c:invertIfNegative val="0"/>
          <c:dPt>
            <c:idx val="0"/>
            <c:invertIfNegative val="0"/>
            <c:bubble3D val="0"/>
            <c:spPr>
              <a:solidFill>
                <a:srgbClr val="FF0000"/>
              </a:solidFill>
              <a:ln w="25400">
                <a:noFill/>
              </a:ln>
            </c:spPr>
            <c:extLst>
              <c:ext xmlns:c16="http://schemas.microsoft.com/office/drawing/2014/chart" uri="{C3380CC4-5D6E-409C-BE32-E72D297353CC}">
                <c16:uniqueId val="{00000000-CD59-4739-A8C3-846BC1CD9A90}"/>
              </c:ext>
            </c:extLst>
          </c:dPt>
          <c:cat>
            <c:strRef>
              <c:f>Newquarts!$Y$197:$Y$211</c:f>
              <c:strCache>
                <c:ptCount val="15"/>
                <c:pt idx="0">
                  <c:v>Guatemala</c:v>
                </c:pt>
                <c:pt idx="1">
                  <c:v>Paraguay</c:v>
                </c:pt>
                <c:pt idx="2">
                  <c:v>Bolivia</c:v>
                </c:pt>
                <c:pt idx="3">
                  <c:v>Honduras</c:v>
                </c:pt>
                <c:pt idx="5">
                  <c:v>Senegal</c:v>
                </c:pt>
                <c:pt idx="6">
                  <c:v>El Salvador</c:v>
                </c:pt>
                <c:pt idx="7">
                  <c:v>UNE</c:v>
                </c:pt>
                <c:pt idx="8">
                  <c:v>Tanzania</c:v>
                </c:pt>
                <c:pt idx="9">
                  <c:v>Chad</c:v>
                </c:pt>
                <c:pt idx="10">
                  <c:v>Ghana</c:v>
                </c:pt>
                <c:pt idx="11">
                  <c:v>Colombia mobile</c:v>
                </c:pt>
                <c:pt idx="12">
                  <c:v>Costa Rica (cable)</c:v>
                </c:pt>
                <c:pt idx="13">
                  <c:v>DRC</c:v>
                </c:pt>
                <c:pt idx="14">
                  <c:v>Rwanda</c:v>
                </c:pt>
              </c:strCache>
            </c:strRef>
          </c:cat>
          <c:val>
            <c:numRef>
              <c:f>Newquarts!$Z$197:$Z$211</c:f>
              <c:numCache>
                <c:formatCode>0%</c:formatCode>
                <c:ptCount val="15"/>
                <c:pt idx="0">
                  <c:v>0.21251607786341142</c:v>
                </c:pt>
                <c:pt idx="1">
                  <c:v>0.17554325649292801</c:v>
                </c:pt>
                <c:pt idx="2">
                  <c:v>0.11264562032678722</c:v>
                </c:pt>
                <c:pt idx="3">
                  <c:v>0.10549515221526806</c:v>
                </c:pt>
                <c:pt idx="5">
                  <c:v>4.1380023793513689E-3</c:v>
                </c:pt>
                <c:pt idx="6">
                  <c:v>9.6553388851531904E-2</c:v>
                </c:pt>
                <c:pt idx="7">
                  <c:v>8.8507273113904245E-2</c:v>
                </c:pt>
                <c:pt idx="8">
                  <c:v>7.0805818491123398E-2</c:v>
                </c:pt>
                <c:pt idx="9">
                  <c:v>2.2988902107507599E-2</c:v>
                </c:pt>
                <c:pt idx="10">
                  <c:v>4.1380023793513689E-3</c:v>
                </c:pt>
                <c:pt idx="11">
                  <c:v>6.7817261217147415E-2</c:v>
                </c:pt>
                <c:pt idx="12">
                  <c:v>3.0575239802985103E-2</c:v>
                </c:pt>
                <c:pt idx="13">
                  <c:v>4.1380023793513689E-3</c:v>
                </c:pt>
                <c:pt idx="14">
                  <c:v>4.1380023793513689E-3</c:v>
                </c:pt>
              </c:numCache>
            </c:numRef>
          </c:val>
          <c:extLst>
            <c:ext xmlns:c16="http://schemas.microsoft.com/office/drawing/2014/chart" uri="{C3380CC4-5D6E-409C-BE32-E72D297353CC}">
              <c16:uniqueId val="{00000001-CD59-4739-A8C3-846BC1CD9A90}"/>
            </c:ext>
          </c:extLst>
        </c:ser>
        <c:dLbls>
          <c:showLegendKey val="0"/>
          <c:showVal val="0"/>
          <c:showCatName val="0"/>
          <c:showSerName val="0"/>
          <c:showPercent val="0"/>
          <c:showBubbleSize val="0"/>
        </c:dLbls>
        <c:gapWidth val="150"/>
        <c:axId val="1901797295"/>
        <c:axId val="1"/>
      </c:barChart>
      <c:catAx>
        <c:axId val="1901797295"/>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901797295"/>
        <c:crosses val="autoZero"/>
        <c:crossBetween val="between"/>
      </c:valAx>
      <c:spPr>
        <a:noFill/>
        <a:ln w="25400">
          <a:noFill/>
        </a:ln>
      </c:spPr>
    </c:plotArea>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Newquarts!$AE$196</c:f>
              <c:strCache>
                <c:ptCount val="1"/>
                <c:pt idx="0">
                  <c:v>Q2 15</c:v>
                </c:pt>
              </c:strCache>
            </c:strRef>
          </c:tx>
          <c:spPr>
            <a:solidFill>
              <a:srgbClr val="000080"/>
            </a:solidFill>
            <a:ln w="25400">
              <a:noFill/>
            </a:ln>
          </c:spPr>
          <c:invertIfNegative val="0"/>
          <c:cat>
            <c:strRef>
              <c:f>Newquarts!$AB$197:$AB$209</c:f>
              <c:strCache>
                <c:ptCount val="13"/>
                <c:pt idx="0">
                  <c:v>Ghana</c:v>
                </c:pt>
                <c:pt idx="1">
                  <c:v>Senegal</c:v>
                </c:pt>
                <c:pt idx="2">
                  <c:v>DRC</c:v>
                </c:pt>
                <c:pt idx="3">
                  <c:v>Rwanda</c:v>
                </c:pt>
                <c:pt idx="4">
                  <c:v>Tanzania</c:v>
                </c:pt>
                <c:pt idx="5">
                  <c:v>Costa Rica </c:v>
                </c:pt>
                <c:pt idx="6">
                  <c:v>Honduras</c:v>
                </c:pt>
                <c:pt idx="7">
                  <c:v>Bolivia</c:v>
                </c:pt>
                <c:pt idx="8">
                  <c:v>Guatemala</c:v>
                </c:pt>
                <c:pt idx="9">
                  <c:v>Paraguay</c:v>
                </c:pt>
                <c:pt idx="10">
                  <c:v>El Salvador</c:v>
                </c:pt>
                <c:pt idx="11">
                  <c:v>Chad</c:v>
                </c:pt>
                <c:pt idx="12">
                  <c:v>Colombia</c:v>
                </c:pt>
              </c:strCache>
            </c:strRef>
          </c:cat>
          <c:val>
            <c:numRef>
              <c:f>Newquarts!$AE$197:$AE$209</c:f>
              <c:numCache>
                <c:formatCode>0.0%</c:formatCode>
                <c:ptCount val="13"/>
                <c:pt idx="0">
                  <c:v>8.0522613065326654E-2</c:v>
                </c:pt>
                <c:pt idx="1">
                  <c:v>8.0522613065326654E-2</c:v>
                </c:pt>
                <c:pt idx="2">
                  <c:v>8.0522613065326654E-2</c:v>
                </c:pt>
                <c:pt idx="3">
                  <c:v>8.0522613065326654E-2</c:v>
                </c:pt>
                <c:pt idx="4">
                  <c:v>0.35</c:v>
                </c:pt>
                <c:pt idx="5">
                  <c:v>0.39</c:v>
                </c:pt>
                <c:pt idx="6">
                  <c:v>0.43</c:v>
                </c:pt>
                <c:pt idx="7">
                  <c:v>0.36</c:v>
                </c:pt>
                <c:pt idx="8">
                  <c:v>0.51700000000000002</c:v>
                </c:pt>
                <c:pt idx="9">
                  <c:v>0.45</c:v>
                </c:pt>
                <c:pt idx="10">
                  <c:v>0.37</c:v>
                </c:pt>
                <c:pt idx="11">
                  <c:v>0.28999999999999998</c:v>
                </c:pt>
                <c:pt idx="12">
                  <c:v>0.29831144465290804</c:v>
                </c:pt>
              </c:numCache>
            </c:numRef>
          </c:val>
          <c:extLst>
            <c:ext xmlns:c16="http://schemas.microsoft.com/office/drawing/2014/chart" uri="{C3380CC4-5D6E-409C-BE32-E72D297353CC}">
              <c16:uniqueId val="{00000000-A37A-4BE9-9F26-A7264AD06A7D}"/>
            </c:ext>
          </c:extLst>
        </c:ser>
        <c:ser>
          <c:idx val="1"/>
          <c:order val="1"/>
          <c:tx>
            <c:strRef>
              <c:f>Newquarts!$AF$196</c:f>
              <c:strCache>
                <c:ptCount val="1"/>
                <c:pt idx="0">
                  <c:v>Q3 15</c:v>
                </c:pt>
              </c:strCache>
            </c:strRef>
          </c:tx>
          <c:spPr>
            <a:solidFill>
              <a:srgbClr val="9999FF"/>
            </a:solidFill>
            <a:ln w="25400">
              <a:no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Newquarts!$AB$197:$AB$209</c:f>
              <c:strCache>
                <c:ptCount val="13"/>
                <c:pt idx="0">
                  <c:v>Ghana</c:v>
                </c:pt>
                <c:pt idx="1">
                  <c:v>Senegal</c:v>
                </c:pt>
                <c:pt idx="2">
                  <c:v>DRC</c:v>
                </c:pt>
                <c:pt idx="3">
                  <c:v>Rwanda</c:v>
                </c:pt>
                <c:pt idx="4">
                  <c:v>Tanzania</c:v>
                </c:pt>
                <c:pt idx="5">
                  <c:v>Costa Rica </c:v>
                </c:pt>
                <c:pt idx="6">
                  <c:v>Honduras</c:v>
                </c:pt>
                <c:pt idx="7">
                  <c:v>Bolivia</c:v>
                </c:pt>
                <c:pt idx="8">
                  <c:v>Guatemala</c:v>
                </c:pt>
                <c:pt idx="9">
                  <c:v>Paraguay</c:v>
                </c:pt>
                <c:pt idx="10">
                  <c:v>El Salvador</c:v>
                </c:pt>
                <c:pt idx="11">
                  <c:v>Chad</c:v>
                </c:pt>
                <c:pt idx="12">
                  <c:v>Colombia</c:v>
                </c:pt>
              </c:strCache>
            </c:strRef>
          </c:cat>
          <c:val>
            <c:numRef>
              <c:f>Newquarts!$AF$197:$AF$209</c:f>
              <c:numCache>
                <c:formatCode>0.0%</c:formatCode>
                <c:ptCount val="13"/>
                <c:pt idx="0">
                  <c:v>5.4522613065326651E-2</c:v>
                </c:pt>
                <c:pt idx="1">
                  <c:v>5.4522613065326651E-2</c:v>
                </c:pt>
                <c:pt idx="2">
                  <c:v>5.4522613065326651E-2</c:v>
                </c:pt>
                <c:pt idx="3">
                  <c:v>5.4522613065326651E-2</c:v>
                </c:pt>
                <c:pt idx="4">
                  <c:v>0.35</c:v>
                </c:pt>
                <c:pt idx="5">
                  <c:v>0.35</c:v>
                </c:pt>
                <c:pt idx="6">
                  <c:v>0.43</c:v>
                </c:pt>
                <c:pt idx="7">
                  <c:v>0.36842105263157893</c:v>
                </c:pt>
                <c:pt idx="8">
                  <c:v>0.52011620795107039</c:v>
                </c:pt>
                <c:pt idx="9">
                  <c:v>0.46</c:v>
                </c:pt>
                <c:pt idx="10">
                  <c:v>0.38</c:v>
                </c:pt>
                <c:pt idx="11">
                  <c:v>0.27999999999999997</c:v>
                </c:pt>
                <c:pt idx="12">
                  <c:v>0.2924731182795699</c:v>
                </c:pt>
              </c:numCache>
            </c:numRef>
          </c:val>
          <c:extLst>
            <c:ext xmlns:c16="http://schemas.microsoft.com/office/drawing/2014/chart" uri="{C3380CC4-5D6E-409C-BE32-E72D297353CC}">
              <c16:uniqueId val="{00000001-A37A-4BE9-9F26-A7264AD06A7D}"/>
            </c:ext>
          </c:extLst>
        </c:ser>
        <c:dLbls>
          <c:showLegendKey val="0"/>
          <c:showVal val="0"/>
          <c:showCatName val="0"/>
          <c:showSerName val="0"/>
          <c:showPercent val="0"/>
          <c:showBubbleSize val="0"/>
        </c:dLbls>
        <c:gapWidth val="150"/>
        <c:axId val="1476587775"/>
        <c:axId val="1"/>
      </c:barChart>
      <c:catAx>
        <c:axId val="1476587775"/>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rebuchet MS"/>
                <a:ea typeface="Trebuchet MS"/>
                <a:cs typeface="Trebuchet MS"/>
              </a:defRPr>
            </a:pPr>
            <a:endParaRPr lang="en-US"/>
          </a:p>
        </c:txPr>
        <c:crossAx val="1476587775"/>
        <c:crosses val="autoZero"/>
        <c:crossBetween val="between"/>
      </c:valAx>
      <c:spPr>
        <a:noFill/>
        <a:ln w="25400">
          <a:noFill/>
        </a:ln>
      </c:spPr>
    </c:plotArea>
    <c:legend>
      <c:legendPos val="r"/>
      <c:layout>
        <c:manualLayout>
          <c:xMode val="edge"/>
          <c:yMode val="edge"/>
          <c:wMode val="edge"/>
          <c:hMode val="edge"/>
          <c:x val="8.3894660226295249E-3"/>
          <c:y val="0.44034344953112015"/>
          <c:w val="6.879397428262643E-2"/>
          <c:h val="0.46503567707302917"/>
        </c:manualLayout>
      </c:layout>
      <c:overlay val="0"/>
      <c:spPr>
        <a:ln w="25400">
          <a:noFill/>
        </a:ln>
      </c:spPr>
      <c:txPr>
        <a:bodyPr/>
        <a:lstStyle/>
        <a:p>
          <a:pPr>
            <a:defRPr sz="11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10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HY!$A$117</c:f>
              <c:strCache>
                <c:ptCount val="1"/>
                <c:pt idx="0">
                  <c:v>Sum</c:v>
                </c:pt>
              </c:strCache>
            </c:strRef>
          </c:tx>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HY!$E$112:$O$112</c:f>
              <c:strCache>
                <c:ptCount val="11"/>
                <c:pt idx="0">
                  <c:v>2023</c:v>
                </c:pt>
                <c:pt idx="1">
                  <c:v>2024</c:v>
                </c:pt>
                <c:pt idx="2">
                  <c:v>2025</c:v>
                </c:pt>
                <c:pt idx="3">
                  <c:v>2026</c:v>
                </c:pt>
                <c:pt idx="4">
                  <c:v>2027</c:v>
                </c:pt>
                <c:pt idx="5">
                  <c:v>2028</c:v>
                </c:pt>
                <c:pt idx="6">
                  <c:v>2029</c:v>
                </c:pt>
                <c:pt idx="7">
                  <c:v>2030</c:v>
                </c:pt>
                <c:pt idx="8">
                  <c:v>2031</c:v>
                </c:pt>
                <c:pt idx="9">
                  <c:v>2032</c:v>
                </c:pt>
                <c:pt idx="10">
                  <c:v>&gt;</c:v>
                </c:pt>
              </c:strCache>
            </c:strRef>
          </c:cat>
          <c:val>
            <c:numRef>
              <c:f>HY!$E$117:$O$117</c:f>
              <c:numCache>
                <c:formatCode>#,##0</c:formatCode>
                <c:ptCount val="11"/>
                <c:pt idx="0">
                  <c:v>66</c:v>
                </c:pt>
                <c:pt idx="1">
                  <c:v>234</c:v>
                </c:pt>
                <c:pt idx="2">
                  <c:v>423</c:v>
                </c:pt>
                <c:pt idx="3">
                  <c:v>811</c:v>
                </c:pt>
                <c:pt idx="4">
                  <c:v>1127.0439560439561</c:v>
                </c:pt>
                <c:pt idx="5">
                  <c:v>825</c:v>
                </c:pt>
                <c:pt idx="6">
                  <c:v>733</c:v>
                </c:pt>
                <c:pt idx="7">
                  <c:v>703</c:v>
                </c:pt>
                <c:pt idx="8">
                  <c:v>876</c:v>
                </c:pt>
                <c:pt idx="9">
                  <c:v>881</c:v>
                </c:pt>
                <c:pt idx="10">
                  <c:v>52</c:v>
                </c:pt>
              </c:numCache>
            </c:numRef>
          </c:val>
          <c:extLst>
            <c:ext xmlns:c16="http://schemas.microsoft.com/office/drawing/2014/chart" uri="{C3380CC4-5D6E-409C-BE32-E72D297353CC}">
              <c16:uniqueId val="{00000000-3AC6-476A-8876-8B65B738C694}"/>
            </c:ext>
          </c:extLst>
        </c:ser>
        <c:dLbls>
          <c:showLegendKey val="0"/>
          <c:showVal val="0"/>
          <c:showCatName val="0"/>
          <c:showSerName val="0"/>
          <c:showPercent val="0"/>
          <c:showBubbleSize val="0"/>
        </c:dLbls>
        <c:gapWidth val="30"/>
        <c:overlap val="100"/>
        <c:axId val="1495160607"/>
        <c:axId val="1495161855"/>
      </c:barChart>
      <c:catAx>
        <c:axId val="1495160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1"/>
        <c:axPos val="l"/>
        <c:numFmt formatCode="#,##0" sourceLinked="1"/>
        <c:majorTickMark val="none"/>
        <c:minorTickMark val="none"/>
        <c:tickLblPos val="nextTo"/>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89534308191455"/>
          <c:y val="6.0509554140127389E-2"/>
          <c:w val="0.84738135252944424"/>
          <c:h val="0.69745222929936301"/>
        </c:manualLayout>
      </c:layout>
      <c:lineChart>
        <c:grouping val="standard"/>
        <c:varyColors val="0"/>
        <c:ser>
          <c:idx val="0"/>
          <c:order val="0"/>
          <c:tx>
            <c:strRef>
              <c:f>Colombia!$B$440</c:f>
              <c:strCache>
                <c:ptCount val="1"/>
                <c:pt idx="0">
                  <c:v>AMX</c:v>
                </c:pt>
              </c:strCache>
            </c:strRef>
          </c:tx>
          <c:spPr>
            <a:ln w="25400">
              <a:solidFill>
                <a:srgbClr val="000080"/>
              </a:solidFill>
              <a:prstDash val="solid"/>
            </a:ln>
          </c:spPr>
          <c:marker>
            <c:symbol val="none"/>
          </c:marker>
          <c:cat>
            <c:strRef>
              <c:f>Colombia!$D$434:$AR$434</c:f>
              <c:strCache>
                <c:ptCount val="41"/>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pt idx="37">
                  <c:v>Q2 10</c:v>
                </c:pt>
                <c:pt idx="38">
                  <c:v>Q3 10</c:v>
                </c:pt>
                <c:pt idx="39">
                  <c:v>Q4 10</c:v>
                </c:pt>
                <c:pt idx="40">
                  <c:v>Q1 11</c:v>
                </c:pt>
              </c:strCache>
            </c:strRef>
          </c:cat>
          <c:val>
            <c:numRef>
              <c:f>Colombia!$D$435:$AR$435</c:f>
              <c:numCache>
                <c:formatCode>0.0%</c:formatCode>
                <c:ptCount val="41"/>
                <c:pt idx="0">
                  <c:v>0.44709015172431466</c:v>
                </c:pt>
                <c:pt idx="1">
                  <c:v>0.50570617354153125</c:v>
                </c:pt>
                <c:pt idx="2">
                  <c:v>0.51213891782986243</c:v>
                </c:pt>
                <c:pt idx="3">
                  <c:v>0.55136080579712332</c:v>
                </c:pt>
                <c:pt idx="4">
                  <c:v>0.53926683872438574</c:v>
                </c:pt>
                <c:pt idx="5">
                  <c:v>0.56208090749988793</c:v>
                </c:pt>
                <c:pt idx="6">
                  <c:v>0.58746927624221135</c:v>
                </c:pt>
                <c:pt idx="7">
                  <c:v>0.60794457157032589</c:v>
                </c:pt>
                <c:pt idx="8">
                  <c:v>0.59020149355433849</c:v>
                </c:pt>
                <c:pt idx="9">
                  <c:v>0.58203932276961512</c:v>
                </c:pt>
                <c:pt idx="10">
                  <c:v>0.57409225300560929</c:v>
                </c:pt>
                <c:pt idx="11">
                  <c:v>0.60133093662265935</c:v>
                </c:pt>
                <c:pt idx="29">
                  <c:v>0.60760973593707635</c:v>
                </c:pt>
                <c:pt idx="30">
                  <c:v>0.61819573340580003</c:v>
                </c:pt>
                <c:pt idx="31">
                  <c:v>0.62456246759942002</c:v>
                </c:pt>
                <c:pt idx="32">
                  <c:v>0.6346508055839567</c:v>
                </c:pt>
                <c:pt idx="33">
                  <c:v>0.63096181078817581</c:v>
                </c:pt>
                <c:pt idx="34">
                  <c:v>0.63054625431822686</c:v>
                </c:pt>
                <c:pt idx="35">
                  <c:v>0.62908883039872854</c:v>
                </c:pt>
                <c:pt idx="36">
                  <c:v>0.64834663380970226</c:v>
                </c:pt>
                <c:pt idx="37">
                  <c:v>0.64615701209547804</c:v>
                </c:pt>
                <c:pt idx="38">
                  <c:v>0.62611078607814896</c:v>
                </c:pt>
                <c:pt idx="39">
                  <c:v>0.61486869972447245</c:v>
                </c:pt>
                <c:pt idx="40">
                  <c:v>0.63597493761180302</c:v>
                </c:pt>
              </c:numCache>
            </c:numRef>
          </c:val>
          <c:smooth val="0"/>
          <c:extLst>
            <c:ext xmlns:c16="http://schemas.microsoft.com/office/drawing/2014/chart" uri="{C3380CC4-5D6E-409C-BE32-E72D297353CC}">
              <c16:uniqueId val="{00000000-AE77-4D77-B7DE-3970B472A72F}"/>
            </c:ext>
          </c:extLst>
        </c:ser>
        <c:ser>
          <c:idx val="1"/>
          <c:order val="1"/>
          <c:tx>
            <c:strRef>
              <c:f>Colombia!$B$441</c:f>
              <c:strCache>
                <c:ptCount val="1"/>
                <c:pt idx="0">
                  <c:v>TEF</c:v>
                </c:pt>
              </c:strCache>
            </c:strRef>
          </c:tx>
          <c:spPr>
            <a:ln w="25400">
              <a:solidFill>
                <a:srgbClr val="9999FF"/>
              </a:solidFill>
              <a:prstDash val="solid"/>
            </a:ln>
          </c:spPr>
          <c:marker>
            <c:symbol val="none"/>
          </c:marker>
          <c:cat>
            <c:strRef>
              <c:f>Colombia!$D$434:$AR$434</c:f>
              <c:strCache>
                <c:ptCount val="41"/>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pt idx="37">
                  <c:v>Q2 10</c:v>
                </c:pt>
                <c:pt idx="38">
                  <c:v>Q3 10</c:v>
                </c:pt>
                <c:pt idx="39">
                  <c:v>Q4 10</c:v>
                </c:pt>
                <c:pt idx="40">
                  <c:v>Q1 11</c:v>
                </c:pt>
              </c:strCache>
            </c:strRef>
          </c:cat>
          <c:val>
            <c:numRef>
              <c:f>Colombia!$D$436:$AR$436</c:f>
              <c:numCache>
                <c:formatCode>0.0%</c:formatCode>
                <c:ptCount val="41"/>
                <c:pt idx="0">
                  <c:v>0.40676341302427349</c:v>
                </c:pt>
                <c:pt idx="1">
                  <c:v>0.36364091635210716</c:v>
                </c:pt>
                <c:pt idx="2">
                  <c:v>0.35890849020705978</c:v>
                </c:pt>
                <c:pt idx="3">
                  <c:v>0.33005382418044943</c:v>
                </c:pt>
                <c:pt idx="4">
                  <c:v>0.3389510853503338</c:v>
                </c:pt>
                <c:pt idx="5">
                  <c:v>0.32216728504539371</c:v>
                </c:pt>
                <c:pt idx="6">
                  <c:v>0.3034896298128954</c:v>
                </c:pt>
                <c:pt idx="7">
                  <c:v>0.2895491027525956</c:v>
                </c:pt>
                <c:pt idx="8">
                  <c:v>0.30159928829136434</c:v>
                </c:pt>
                <c:pt idx="9">
                  <c:v>0.30382981881658822</c:v>
                </c:pt>
                <c:pt idx="10">
                  <c:v>0.3058614353743499</c:v>
                </c:pt>
                <c:pt idx="11">
                  <c:v>0.29419293412485431</c:v>
                </c:pt>
                <c:pt idx="29">
                  <c:v>0.29191852512699362</c:v>
                </c:pt>
                <c:pt idx="30">
                  <c:v>0.27276398305734589</c:v>
                </c:pt>
                <c:pt idx="31">
                  <c:v>0.26791999381537357</c:v>
                </c:pt>
                <c:pt idx="32">
                  <c:v>0.25523299406869876</c:v>
                </c:pt>
                <c:pt idx="33">
                  <c:v>0.25236049710309216</c:v>
                </c:pt>
                <c:pt idx="34">
                  <c:v>0.25256452495389103</c:v>
                </c:pt>
                <c:pt idx="35">
                  <c:v>0.24239977329231097</c:v>
                </c:pt>
                <c:pt idx="36">
                  <c:v>0.22738342989100679</c:v>
                </c:pt>
                <c:pt idx="37">
                  <c:v>0.22670187076637024</c:v>
                </c:pt>
                <c:pt idx="38">
                  <c:v>0.23683130942914116</c:v>
                </c:pt>
                <c:pt idx="39">
                  <c:v>0.2426451749919111</c:v>
                </c:pt>
                <c:pt idx="40">
                  <c:v>0.22616508499310178</c:v>
                </c:pt>
              </c:numCache>
            </c:numRef>
          </c:val>
          <c:smooth val="0"/>
          <c:extLst>
            <c:ext xmlns:c16="http://schemas.microsoft.com/office/drawing/2014/chart" uri="{C3380CC4-5D6E-409C-BE32-E72D297353CC}">
              <c16:uniqueId val="{00000001-AE77-4D77-B7DE-3970B472A72F}"/>
            </c:ext>
          </c:extLst>
        </c:ser>
        <c:ser>
          <c:idx val="2"/>
          <c:order val="2"/>
          <c:tx>
            <c:strRef>
              <c:f>Colombia!$B$442</c:f>
              <c:strCache>
                <c:ptCount val="1"/>
                <c:pt idx="0">
                  <c:v>MICC</c:v>
                </c:pt>
              </c:strCache>
            </c:strRef>
          </c:tx>
          <c:spPr>
            <a:ln w="25400">
              <a:solidFill>
                <a:srgbClr val="3366FF"/>
              </a:solidFill>
              <a:prstDash val="solid"/>
            </a:ln>
          </c:spPr>
          <c:marker>
            <c:symbol val="none"/>
          </c:marker>
          <c:cat>
            <c:strRef>
              <c:f>Colombia!$D$434:$AR$434</c:f>
              <c:strCache>
                <c:ptCount val="41"/>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pt idx="37">
                  <c:v>Q2 10</c:v>
                </c:pt>
                <c:pt idx="38">
                  <c:v>Q3 10</c:v>
                </c:pt>
                <c:pt idx="39">
                  <c:v>Q4 10</c:v>
                </c:pt>
                <c:pt idx="40">
                  <c:v>Q1 11</c:v>
                </c:pt>
              </c:strCache>
            </c:strRef>
          </c:cat>
          <c:val>
            <c:numRef>
              <c:f>Colombia!$D$437:$AR$437</c:f>
              <c:numCache>
                <c:formatCode>0.0%</c:formatCode>
                <c:ptCount val="41"/>
                <c:pt idx="0">
                  <c:v>0.1461464352514118</c:v>
                </c:pt>
                <c:pt idx="1">
                  <c:v>0.13065291010636171</c:v>
                </c:pt>
                <c:pt idx="2">
                  <c:v>0.12895259196307782</c:v>
                </c:pt>
                <c:pt idx="3">
                  <c:v>0.11858537002242731</c:v>
                </c:pt>
                <c:pt idx="4">
                  <c:v>0.12178207592528049</c:v>
                </c:pt>
                <c:pt idx="5">
                  <c:v>0.11575180745471829</c:v>
                </c:pt>
                <c:pt idx="6">
                  <c:v>0.10904109394489331</c:v>
                </c:pt>
                <c:pt idx="7">
                  <c:v>0.1025063256770785</c:v>
                </c:pt>
                <c:pt idx="8">
                  <c:v>0.10819921815429707</c:v>
                </c:pt>
                <c:pt idx="9">
                  <c:v>0.11413085841379662</c:v>
                </c:pt>
                <c:pt idx="10">
                  <c:v>0.12004631162004079</c:v>
                </c:pt>
                <c:pt idx="11">
                  <c:v>0.10447612925248634</c:v>
                </c:pt>
                <c:pt idx="29">
                  <c:v>0.10047173893592988</c:v>
                </c:pt>
                <c:pt idx="30">
                  <c:v>0.10904028353685419</c:v>
                </c:pt>
                <c:pt idx="31">
                  <c:v>0.10751753858520631</c:v>
                </c:pt>
                <c:pt idx="32">
                  <c:v>0.11011620034734453</c:v>
                </c:pt>
                <c:pt idx="33">
                  <c:v>0.11667769210873202</c:v>
                </c:pt>
                <c:pt idx="34">
                  <c:v>0.11688922072788212</c:v>
                </c:pt>
                <c:pt idx="35">
                  <c:v>0.12851139630896055</c:v>
                </c:pt>
                <c:pt idx="36">
                  <c:v>0.12426993629929092</c:v>
                </c:pt>
                <c:pt idx="37">
                  <c:v>0.12714111713815182</c:v>
                </c:pt>
                <c:pt idx="38">
                  <c:v>0.13705790449271002</c:v>
                </c:pt>
                <c:pt idx="39">
                  <c:v>0.14248612528361657</c:v>
                </c:pt>
                <c:pt idx="40">
                  <c:v>0.13785997739509512</c:v>
                </c:pt>
              </c:numCache>
            </c:numRef>
          </c:val>
          <c:smooth val="0"/>
          <c:extLst>
            <c:ext xmlns:c16="http://schemas.microsoft.com/office/drawing/2014/chart" uri="{C3380CC4-5D6E-409C-BE32-E72D297353CC}">
              <c16:uniqueId val="{00000002-AE77-4D77-B7DE-3970B472A72F}"/>
            </c:ext>
          </c:extLst>
        </c:ser>
        <c:dLbls>
          <c:showLegendKey val="0"/>
          <c:showVal val="0"/>
          <c:showCatName val="0"/>
          <c:showSerName val="0"/>
          <c:showPercent val="0"/>
          <c:showBubbleSize val="0"/>
        </c:dLbls>
        <c:smooth val="0"/>
        <c:axId val="1115262847"/>
        <c:axId val="1"/>
      </c:lineChart>
      <c:catAx>
        <c:axId val="1115262847"/>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115262847"/>
        <c:crosses val="autoZero"/>
        <c:crossBetween val="between"/>
      </c:valAx>
      <c:spPr>
        <a:noFill/>
        <a:ln w="25400">
          <a:noFill/>
        </a:ln>
      </c:spPr>
    </c:plotArea>
    <c:legend>
      <c:legendPos val="r"/>
      <c:layout>
        <c:manualLayout>
          <c:xMode val="edge"/>
          <c:yMode val="edge"/>
          <c:x val="0.28340229062276306"/>
          <c:y val="0.93184856639755465"/>
          <c:w val="0.29603817704605101"/>
          <c:h val="5.3031994418419215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3354001354789"/>
          <c:y val="7.061511271078702E-2"/>
          <c:w val="0.84127114532357594"/>
          <c:h val="0.74259763689408287"/>
        </c:manualLayout>
      </c:layout>
      <c:lineChart>
        <c:grouping val="standard"/>
        <c:varyColors val="0"/>
        <c:ser>
          <c:idx val="0"/>
          <c:order val="0"/>
          <c:tx>
            <c:strRef>
              <c:f>Colombia!$B$452</c:f>
              <c:strCache>
                <c:ptCount val="1"/>
                <c:pt idx="0">
                  <c:v>Service revenue</c:v>
                </c:pt>
              </c:strCache>
            </c:strRef>
          </c:tx>
          <c:spPr>
            <a:ln w="25400">
              <a:solidFill>
                <a:srgbClr val="000080"/>
              </a:solidFill>
              <a:prstDash val="solid"/>
            </a:ln>
          </c:spPr>
          <c:marker>
            <c:symbol val="none"/>
          </c:marker>
          <c:cat>
            <c:strRef>
              <c:f>Colombia!$I$451:$AR$451</c:f>
              <c:strCache>
                <c:ptCount val="36"/>
                <c:pt idx="0">
                  <c:v>Q3 06</c:v>
                </c:pt>
                <c:pt idx="1">
                  <c:v>Q4 06</c:v>
                </c:pt>
                <c:pt idx="2">
                  <c:v>Q1 07</c:v>
                </c:pt>
                <c:pt idx="3">
                  <c:v>Q2 07</c:v>
                </c:pt>
                <c:pt idx="4">
                  <c:v>Q3 07</c:v>
                </c:pt>
                <c:pt idx="5">
                  <c:v>Q4 07</c:v>
                </c:pt>
                <c:pt idx="6">
                  <c:v>Q1 08</c:v>
                </c:pt>
                <c:pt idx="24">
                  <c:v>Q2 08</c:v>
                </c:pt>
                <c:pt idx="25">
                  <c:v>Q3 08</c:v>
                </c:pt>
                <c:pt idx="26">
                  <c:v>Q4 08</c:v>
                </c:pt>
                <c:pt idx="27">
                  <c:v>Q1 09</c:v>
                </c:pt>
                <c:pt idx="28">
                  <c:v>Q2 09</c:v>
                </c:pt>
                <c:pt idx="29">
                  <c:v>Q3 09</c:v>
                </c:pt>
                <c:pt idx="30">
                  <c:v>Q4 09</c:v>
                </c:pt>
                <c:pt idx="31">
                  <c:v>Q1 10</c:v>
                </c:pt>
                <c:pt idx="32">
                  <c:v>Q2 10</c:v>
                </c:pt>
                <c:pt idx="33">
                  <c:v>Q3 10</c:v>
                </c:pt>
                <c:pt idx="34">
                  <c:v>Q4 10</c:v>
                </c:pt>
                <c:pt idx="35">
                  <c:v>Q1 11</c:v>
                </c:pt>
              </c:strCache>
            </c:strRef>
          </c:cat>
          <c:val>
            <c:numRef>
              <c:f>Colombia!$I$452:$AR$452</c:f>
              <c:numCache>
                <c:formatCode>0%</c:formatCode>
                <c:ptCount val="36"/>
                <c:pt idx="0">
                  <c:v>0.25651433691001202</c:v>
                </c:pt>
                <c:pt idx="1">
                  <c:v>0.17853451892648864</c:v>
                </c:pt>
                <c:pt idx="2">
                  <c:v>0.20345153621625411</c:v>
                </c:pt>
                <c:pt idx="3">
                  <c:v>0.12570953071429836</c:v>
                </c:pt>
                <c:pt idx="4">
                  <c:v>0.13583725493048138</c:v>
                </c:pt>
                <c:pt idx="5">
                  <c:v>0.14476681747000031</c:v>
                </c:pt>
                <c:pt idx="6">
                  <c:v>6.7410617659326988E-3</c:v>
                </c:pt>
                <c:pt idx="24">
                  <c:v>3.6583619692386549E-2</c:v>
                </c:pt>
                <c:pt idx="25">
                  <c:v>1.0934697714763963E-3</c:v>
                </c:pt>
                <c:pt idx="26">
                  <c:v>-7.0685477286027698E-3</c:v>
                </c:pt>
                <c:pt idx="27">
                  <c:v>3.7578536017868647E-2</c:v>
                </c:pt>
                <c:pt idx="28">
                  <c:v>-4.3675276341268332E-2</c:v>
                </c:pt>
                <c:pt idx="29">
                  <c:v>-2.2696493180270338E-2</c:v>
                </c:pt>
                <c:pt idx="30">
                  <c:v>-4.3103936759969264E-2</c:v>
                </c:pt>
                <c:pt idx="31">
                  <c:v>5.1426855124497184E-2</c:v>
                </c:pt>
                <c:pt idx="32">
                  <c:v>9.7463125448828292E-2</c:v>
                </c:pt>
                <c:pt idx="33">
                  <c:v>6.1080745080836829E-2</c:v>
                </c:pt>
                <c:pt idx="34">
                  <c:v>9.3087523531915961E-2</c:v>
                </c:pt>
                <c:pt idx="35">
                  <c:v>8.1705701516056939E-2</c:v>
                </c:pt>
              </c:numCache>
            </c:numRef>
          </c:val>
          <c:smooth val="0"/>
          <c:extLst>
            <c:ext xmlns:c16="http://schemas.microsoft.com/office/drawing/2014/chart" uri="{C3380CC4-5D6E-409C-BE32-E72D297353CC}">
              <c16:uniqueId val="{00000000-B21C-496A-B993-9009757AB219}"/>
            </c:ext>
          </c:extLst>
        </c:ser>
        <c:ser>
          <c:idx val="1"/>
          <c:order val="1"/>
          <c:tx>
            <c:strRef>
              <c:f>Colombia!$B$453</c:f>
              <c:strCache>
                <c:ptCount val="1"/>
                <c:pt idx="0">
                  <c:v>EBITDA</c:v>
                </c:pt>
              </c:strCache>
            </c:strRef>
          </c:tx>
          <c:spPr>
            <a:ln w="25400">
              <a:solidFill>
                <a:srgbClr val="9999FF"/>
              </a:solidFill>
              <a:prstDash val="solid"/>
            </a:ln>
          </c:spPr>
          <c:marker>
            <c:symbol val="none"/>
          </c:marker>
          <c:cat>
            <c:strRef>
              <c:f>Colombia!$I$451:$AR$451</c:f>
              <c:strCache>
                <c:ptCount val="36"/>
                <c:pt idx="0">
                  <c:v>Q3 06</c:v>
                </c:pt>
                <c:pt idx="1">
                  <c:v>Q4 06</c:v>
                </c:pt>
                <c:pt idx="2">
                  <c:v>Q1 07</c:v>
                </c:pt>
                <c:pt idx="3">
                  <c:v>Q2 07</c:v>
                </c:pt>
                <c:pt idx="4">
                  <c:v>Q3 07</c:v>
                </c:pt>
                <c:pt idx="5">
                  <c:v>Q4 07</c:v>
                </c:pt>
                <c:pt idx="6">
                  <c:v>Q1 08</c:v>
                </c:pt>
                <c:pt idx="24">
                  <c:v>Q2 08</c:v>
                </c:pt>
                <c:pt idx="25">
                  <c:v>Q3 08</c:v>
                </c:pt>
                <c:pt idx="26">
                  <c:v>Q4 08</c:v>
                </c:pt>
                <c:pt idx="27">
                  <c:v>Q1 09</c:v>
                </c:pt>
                <c:pt idx="28">
                  <c:v>Q2 09</c:v>
                </c:pt>
                <c:pt idx="29">
                  <c:v>Q3 09</c:v>
                </c:pt>
                <c:pt idx="30">
                  <c:v>Q4 09</c:v>
                </c:pt>
                <c:pt idx="31">
                  <c:v>Q1 10</c:v>
                </c:pt>
                <c:pt idx="32">
                  <c:v>Q2 10</c:v>
                </c:pt>
                <c:pt idx="33">
                  <c:v>Q3 10</c:v>
                </c:pt>
                <c:pt idx="34">
                  <c:v>Q4 10</c:v>
                </c:pt>
                <c:pt idx="35">
                  <c:v>Q1 11</c:v>
                </c:pt>
              </c:strCache>
            </c:strRef>
          </c:cat>
          <c:val>
            <c:numRef>
              <c:f>Colombia!$I$453:$AR$453</c:f>
              <c:numCache>
                <c:formatCode>0%</c:formatCode>
                <c:ptCount val="36"/>
                <c:pt idx="0">
                  <c:v>0.90023114878660215</c:v>
                </c:pt>
                <c:pt idx="1">
                  <c:v>0.82515085328210303</c:v>
                </c:pt>
                <c:pt idx="2">
                  <c:v>0.83372210172515371</c:v>
                </c:pt>
                <c:pt idx="3">
                  <c:v>0.97766171306533978</c:v>
                </c:pt>
                <c:pt idx="4">
                  <c:v>0.51394173092074191</c:v>
                </c:pt>
                <c:pt idx="5">
                  <c:v>0.32962533898849911</c:v>
                </c:pt>
                <c:pt idx="6">
                  <c:v>4.6738572467474704E-2</c:v>
                </c:pt>
                <c:pt idx="24">
                  <c:v>6.0379152329917307E-2</c:v>
                </c:pt>
                <c:pt idx="25">
                  <c:v>1.0611918505588624E-2</c:v>
                </c:pt>
                <c:pt idx="26">
                  <c:v>-8.3356791584488388E-2</c:v>
                </c:pt>
                <c:pt idx="27">
                  <c:v>0.16131567035962147</c:v>
                </c:pt>
                <c:pt idx="28">
                  <c:v>-0.12435666896771091</c:v>
                </c:pt>
                <c:pt idx="29">
                  <c:v>0.10630473253699058</c:v>
                </c:pt>
                <c:pt idx="30">
                  <c:v>0.10030033703785968</c:v>
                </c:pt>
                <c:pt idx="31">
                  <c:v>5.4646055524775861E-2</c:v>
                </c:pt>
                <c:pt idx="32">
                  <c:v>0.32640280463766103</c:v>
                </c:pt>
                <c:pt idx="33">
                  <c:v>2.6646918650553131E-2</c:v>
                </c:pt>
                <c:pt idx="34">
                  <c:v>4.1679459752469228E-2</c:v>
                </c:pt>
                <c:pt idx="35">
                  <c:v>0.13416168703144615</c:v>
                </c:pt>
              </c:numCache>
            </c:numRef>
          </c:val>
          <c:smooth val="0"/>
          <c:extLst>
            <c:ext xmlns:c16="http://schemas.microsoft.com/office/drawing/2014/chart" uri="{C3380CC4-5D6E-409C-BE32-E72D297353CC}">
              <c16:uniqueId val="{00000001-B21C-496A-B993-9009757AB219}"/>
            </c:ext>
          </c:extLst>
        </c:ser>
        <c:dLbls>
          <c:showLegendKey val="0"/>
          <c:showVal val="0"/>
          <c:showCatName val="0"/>
          <c:showSerName val="0"/>
          <c:showPercent val="0"/>
          <c:showBubbleSize val="0"/>
        </c:dLbls>
        <c:smooth val="0"/>
        <c:axId val="1115263647"/>
        <c:axId val="1"/>
      </c:lineChart>
      <c:catAx>
        <c:axId val="1115263647"/>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2"/>
        <c:tickMarkSkip val="1"/>
        <c:noMultiLvlLbl val="0"/>
      </c:catAx>
      <c:valAx>
        <c:axId val="1"/>
        <c:scaling>
          <c:orientation val="minMax"/>
          <c:max val="1"/>
        </c:scaling>
        <c:delete val="0"/>
        <c:axPos val="l"/>
        <c:majorGridlines>
          <c:spPr>
            <a:ln w="3175">
              <a:solidFill>
                <a:srgbClr val="C0C0C0"/>
              </a:solidFill>
              <a:prstDash val="solid"/>
            </a:ln>
          </c:spPr>
        </c:majorGridlines>
        <c:title>
          <c:tx>
            <c:rich>
              <a:bodyPr/>
              <a:lstStyle/>
              <a:p>
                <a:pPr>
                  <a:defRPr sz="800" b="1" i="0" u="none" strike="noStrike" baseline="0">
                    <a:solidFill>
                      <a:srgbClr val="000000"/>
                    </a:solidFill>
                    <a:latin typeface="Trebuchet MS"/>
                    <a:ea typeface="Trebuchet MS"/>
                    <a:cs typeface="Trebuchet MS"/>
                  </a:defRPr>
                </a:pPr>
                <a:r>
                  <a:rPr lang="en-GB"/>
                  <a:t>y/y</a:t>
                </a:r>
              </a:p>
            </c:rich>
          </c:tx>
          <c:layout>
            <c:manualLayout>
              <c:xMode val="edge"/>
              <c:yMode val="edge"/>
              <c:x val="4.1095976598631796E-2"/>
              <c:y val="0.416856492027334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115263647"/>
        <c:crosses val="autoZero"/>
        <c:crossBetween val="between"/>
      </c:valAx>
      <c:spPr>
        <a:noFill/>
        <a:ln w="25400">
          <a:noFill/>
        </a:ln>
      </c:spPr>
    </c:plotArea>
    <c:legend>
      <c:legendPos val="r"/>
      <c:layout>
        <c:manualLayout>
          <c:xMode val="edge"/>
          <c:yMode val="edge"/>
          <c:x val="0.37016935942041235"/>
          <c:y val="0.9399219175051865"/>
          <c:w val="0.26471407979190437"/>
          <c:h val="4.0074375668872841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0742596255217"/>
          <c:y val="6.4684202730607376E-2"/>
          <c:w val="0.84312512524722716"/>
          <c:h val="0.7561360250233069"/>
        </c:manualLayout>
      </c:layout>
      <c:lineChart>
        <c:grouping val="standard"/>
        <c:varyColors val="0"/>
        <c:ser>
          <c:idx val="0"/>
          <c:order val="0"/>
          <c:tx>
            <c:strRef>
              <c:f>Colombia!$B$435</c:f>
              <c:strCache>
                <c:ptCount val="1"/>
                <c:pt idx="0">
                  <c:v>AMX</c:v>
                </c:pt>
              </c:strCache>
            </c:strRef>
          </c:tx>
          <c:spPr>
            <a:ln w="25400">
              <a:solidFill>
                <a:srgbClr val="000080"/>
              </a:solidFill>
              <a:prstDash val="solid"/>
            </a:ln>
          </c:spPr>
          <c:marker>
            <c:symbol val="none"/>
          </c:marker>
          <c:cat>
            <c:strRef>
              <c:f>Colombia!$D$434:$AN$434</c:f>
              <c:strCache>
                <c:ptCount val="37"/>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strCache>
            </c:strRef>
          </c:cat>
          <c:val>
            <c:numRef>
              <c:f>Colombia!$D$435:$AN$435</c:f>
              <c:numCache>
                <c:formatCode>0.0%</c:formatCode>
                <c:ptCount val="37"/>
                <c:pt idx="0">
                  <c:v>0.44709015172431466</c:v>
                </c:pt>
                <c:pt idx="1">
                  <c:v>0.50570617354153125</c:v>
                </c:pt>
                <c:pt idx="2">
                  <c:v>0.51213891782986243</c:v>
                </c:pt>
                <c:pt idx="3">
                  <c:v>0.55136080579712332</c:v>
                </c:pt>
                <c:pt idx="4">
                  <c:v>0.53926683872438574</c:v>
                </c:pt>
                <c:pt idx="5">
                  <c:v>0.56208090749988793</c:v>
                </c:pt>
                <c:pt idx="6">
                  <c:v>0.58746927624221135</c:v>
                </c:pt>
                <c:pt idx="7">
                  <c:v>0.60794457157032589</c:v>
                </c:pt>
                <c:pt idx="8">
                  <c:v>0.59020149355433849</c:v>
                </c:pt>
                <c:pt idx="9">
                  <c:v>0.58203932276961512</c:v>
                </c:pt>
                <c:pt idx="10">
                  <c:v>0.57409225300560929</c:v>
                </c:pt>
                <c:pt idx="11">
                  <c:v>0.60133093662265935</c:v>
                </c:pt>
                <c:pt idx="29">
                  <c:v>0.60760973593707635</c:v>
                </c:pt>
                <c:pt idx="30">
                  <c:v>0.61819573340580003</c:v>
                </c:pt>
                <c:pt idx="31">
                  <c:v>0.62456246759942002</c:v>
                </c:pt>
                <c:pt idx="32">
                  <c:v>0.6346508055839567</c:v>
                </c:pt>
                <c:pt idx="33">
                  <c:v>0.63096181078817581</c:v>
                </c:pt>
                <c:pt idx="34">
                  <c:v>0.63054625431822686</c:v>
                </c:pt>
                <c:pt idx="35">
                  <c:v>0.62908883039872854</c:v>
                </c:pt>
                <c:pt idx="36">
                  <c:v>0.64834663380970226</c:v>
                </c:pt>
              </c:numCache>
            </c:numRef>
          </c:val>
          <c:smooth val="0"/>
          <c:extLst>
            <c:ext xmlns:c16="http://schemas.microsoft.com/office/drawing/2014/chart" uri="{C3380CC4-5D6E-409C-BE32-E72D297353CC}">
              <c16:uniqueId val="{00000000-F107-4B30-95D5-1494F4A739B4}"/>
            </c:ext>
          </c:extLst>
        </c:ser>
        <c:ser>
          <c:idx val="1"/>
          <c:order val="1"/>
          <c:tx>
            <c:strRef>
              <c:f>Colombia!$B$436</c:f>
              <c:strCache>
                <c:ptCount val="1"/>
                <c:pt idx="0">
                  <c:v>TEF</c:v>
                </c:pt>
              </c:strCache>
            </c:strRef>
          </c:tx>
          <c:spPr>
            <a:ln w="25400">
              <a:solidFill>
                <a:srgbClr val="9999FF"/>
              </a:solidFill>
              <a:prstDash val="solid"/>
            </a:ln>
          </c:spPr>
          <c:marker>
            <c:symbol val="none"/>
          </c:marker>
          <c:cat>
            <c:strRef>
              <c:f>Colombia!$D$434:$AN$434</c:f>
              <c:strCache>
                <c:ptCount val="37"/>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strCache>
            </c:strRef>
          </c:cat>
          <c:val>
            <c:numRef>
              <c:f>Colombia!$D$436:$AN$436</c:f>
              <c:numCache>
                <c:formatCode>0.0%</c:formatCode>
                <c:ptCount val="37"/>
                <c:pt idx="0">
                  <c:v>0.40676341302427349</c:v>
                </c:pt>
                <c:pt idx="1">
                  <c:v>0.36364091635210716</c:v>
                </c:pt>
                <c:pt idx="2">
                  <c:v>0.35890849020705978</c:v>
                </c:pt>
                <c:pt idx="3">
                  <c:v>0.33005382418044943</c:v>
                </c:pt>
                <c:pt idx="4">
                  <c:v>0.3389510853503338</c:v>
                </c:pt>
                <c:pt idx="5">
                  <c:v>0.32216728504539371</c:v>
                </c:pt>
                <c:pt idx="6">
                  <c:v>0.3034896298128954</c:v>
                </c:pt>
                <c:pt idx="7">
                  <c:v>0.2895491027525956</c:v>
                </c:pt>
                <c:pt idx="8">
                  <c:v>0.30159928829136434</c:v>
                </c:pt>
                <c:pt idx="9">
                  <c:v>0.30382981881658822</c:v>
                </c:pt>
                <c:pt idx="10">
                  <c:v>0.3058614353743499</c:v>
                </c:pt>
                <c:pt idx="11">
                  <c:v>0.29419293412485431</c:v>
                </c:pt>
                <c:pt idx="29">
                  <c:v>0.29191852512699362</c:v>
                </c:pt>
                <c:pt idx="30">
                  <c:v>0.27276398305734589</c:v>
                </c:pt>
                <c:pt idx="31">
                  <c:v>0.26791999381537357</c:v>
                </c:pt>
                <c:pt idx="32">
                  <c:v>0.25523299406869876</c:v>
                </c:pt>
                <c:pt idx="33">
                  <c:v>0.25236049710309216</c:v>
                </c:pt>
                <c:pt idx="34">
                  <c:v>0.25256452495389103</c:v>
                </c:pt>
                <c:pt idx="35">
                  <c:v>0.24239977329231097</c:v>
                </c:pt>
                <c:pt idx="36">
                  <c:v>0.22738342989100679</c:v>
                </c:pt>
              </c:numCache>
            </c:numRef>
          </c:val>
          <c:smooth val="0"/>
          <c:extLst>
            <c:ext xmlns:c16="http://schemas.microsoft.com/office/drawing/2014/chart" uri="{C3380CC4-5D6E-409C-BE32-E72D297353CC}">
              <c16:uniqueId val="{00000001-F107-4B30-95D5-1494F4A739B4}"/>
            </c:ext>
          </c:extLst>
        </c:ser>
        <c:ser>
          <c:idx val="2"/>
          <c:order val="2"/>
          <c:tx>
            <c:strRef>
              <c:f>Colombia!$B$437</c:f>
              <c:strCache>
                <c:ptCount val="1"/>
                <c:pt idx="0">
                  <c:v>MICC</c:v>
                </c:pt>
              </c:strCache>
            </c:strRef>
          </c:tx>
          <c:spPr>
            <a:ln w="25400">
              <a:solidFill>
                <a:srgbClr val="3366FF"/>
              </a:solidFill>
              <a:prstDash val="solid"/>
            </a:ln>
          </c:spPr>
          <c:marker>
            <c:symbol val="none"/>
          </c:marker>
          <c:cat>
            <c:strRef>
              <c:f>Colombia!$D$434:$AN$434</c:f>
              <c:strCache>
                <c:ptCount val="37"/>
                <c:pt idx="0">
                  <c:v>Q2 05</c:v>
                </c:pt>
                <c:pt idx="1">
                  <c:v>Q3 05</c:v>
                </c:pt>
                <c:pt idx="2">
                  <c:v>Q4 05</c:v>
                </c:pt>
                <c:pt idx="3">
                  <c:v>Q1 06</c:v>
                </c:pt>
                <c:pt idx="4">
                  <c:v>Q2 06</c:v>
                </c:pt>
                <c:pt idx="5">
                  <c:v>Q3 06</c:v>
                </c:pt>
                <c:pt idx="6">
                  <c:v>Q4 06</c:v>
                </c:pt>
                <c:pt idx="7">
                  <c:v>Q1 07</c:v>
                </c:pt>
                <c:pt idx="8">
                  <c:v>Q2 07</c:v>
                </c:pt>
                <c:pt idx="9">
                  <c:v>Q3 07</c:v>
                </c:pt>
                <c:pt idx="10">
                  <c:v>Q4 07</c:v>
                </c:pt>
                <c:pt idx="11">
                  <c:v>Q1 08</c:v>
                </c:pt>
                <c:pt idx="29">
                  <c:v>Q2 08</c:v>
                </c:pt>
                <c:pt idx="30">
                  <c:v>Q3 08</c:v>
                </c:pt>
                <c:pt idx="31">
                  <c:v>Q4 08</c:v>
                </c:pt>
                <c:pt idx="32">
                  <c:v>Q1 09</c:v>
                </c:pt>
                <c:pt idx="33">
                  <c:v>Q2 09</c:v>
                </c:pt>
                <c:pt idx="34">
                  <c:v>Q3 09</c:v>
                </c:pt>
                <c:pt idx="35">
                  <c:v>Q4 09</c:v>
                </c:pt>
                <c:pt idx="36">
                  <c:v>Q1 10</c:v>
                </c:pt>
              </c:strCache>
            </c:strRef>
          </c:cat>
          <c:val>
            <c:numRef>
              <c:f>Colombia!$D$437:$AN$437</c:f>
              <c:numCache>
                <c:formatCode>0.0%</c:formatCode>
                <c:ptCount val="37"/>
                <c:pt idx="0">
                  <c:v>0.1461464352514118</c:v>
                </c:pt>
                <c:pt idx="1">
                  <c:v>0.13065291010636171</c:v>
                </c:pt>
                <c:pt idx="2">
                  <c:v>0.12895259196307782</c:v>
                </c:pt>
                <c:pt idx="3">
                  <c:v>0.11858537002242731</c:v>
                </c:pt>
                <c:pt idx="4">
                  <c:v>0.12178207592528049</c:v>
                </c:pt>
                <c:pt idx="5">
                  <c:v>0.11575180745471829</c:v>
                </c:pt>
                <c:pt idx="6">
                  <c:v>0.10904109394489331</c:v>
                </c:pt>
                <c:pt idx="7">
                  <c:v>0.1025063256770785</c:v>
                </c:pt>
                <c:pt idx="8">
                  <c:v>0.10819921815429707</c:v>
                </c:pt>
                <c:pt idx="9">
                  <c:v>0.11413085841379662</c:v>
                </c:pt>
                <c:pt idx="10">
                  <c:v>0.12004631162004079</c:v>
                </c:pt>
                <c:pt idx="11">
                  <c:v>0.10447612925248634</c:v>
                </c:pt>
                <c:pt idx="29">
                  <c:v>0.10047173893592988</c:v>
                </c:pt>
                <c:pt idx="30">
                  <c:v>0.10904028353685419</c:v>
                </c:pt>
                <c:pt idx="31">
                  <c:v>0.10751753858520631</c:v>
                </c:pt>
                <c:pt idx="32">
                  <c:v>0.11011620034734453</c:v>
                </c:pt>
                <c:pt idx="33">
                  <c:v>0.11667769210873202</c:v>
                </c:pt>
                <c:pt idx="34">
                  <c:v>0.11688922072788212</c:v>
                </c:pt>
                <c:pt idx="35">
                  <c:v>0.12851139630896055</c:v>
                </c:pt>
                <c:pt idx="36">
                  <c:v>0.12426993629929092</c:v>
                </c:pt>
              </c:numCache>
            </c:numRef>
          </c:val>
          <c:smooth val="0"/>
          <c:extLst>
            <c:ext xmlns:c16="http://schemas.microsoft.com/office/drawing/2014/chart" uri="{C3380CC4-5D6E-409C-BE32-E72D297353CC}">
              <c16:uniqueId val="{00000002-F107-4B30-95D5-1494F4A739B4}"/>
            </c:ext>
          </c:extLst>
        </c:ser>
        <c:dLbls>
          <c:showLegendKey val="0"/>
          <c:showVal val="0"/>
          <c:showCatName val="0"/>
          <c:showSerName val="0"/>
          <c:showPercent val="0"/>
          <c:showBubbleSize val="0"/>
        </c:dLbls>
        <c:smooth val="0"/>
        <c:axId val="1114962255"/>
        <c:axId val="1"/>
      </c:lineChart>
      <c:catAx>
        <c:axId val="1114962255"/>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rebuchet MS"/>
                <a:ea typeface="Trebuchet MS"/>
                <a:cs typeface="Trebuchet MS"/>
              </a:defRPr>
            </a:pPr>
            <a:endParaRPr lang="en-US"/>
          </a:p>
        </c:txPr>
        <c:crossAx val="1114962255"/>
        <c:crosses val="autoZero"/>
        <c:crossBetween val="between"/>
      </c:valAx>
      <c:spPr>
        <a:noFill/>
        <a:ln w="25400">
          <a:noFill/>
        </a:ln>
      </c:spPr>
    </c:plotArea>
    <c:legend>
      <c:legendPos val="r"/>
      <c:layout>
        <c:manualLayout>
          <c:xMode val="edge"/>
          <c:yMode val="edge"/>
          <c:x val="0.35715380577427824"/>
          <c:y val="0.94309055118110241"/>
          <c:w val="0.24921406824146985"/>
          <c:h val="3.7367829021372367E-2"/>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Colombia!$B$340</c:f>
              <c:strCache>
                <c:ptCount val="1"/>
                <c:pt idx="0">
                  <c:v>Fixed and mobile ROIC</c:v>
                </c:pt>
              </c:strCache>
            </c:strRef>
          </c:tx>
          <c:spPr>
            <a:ln w="25400">
              <a:solidFill>
                <a:srgbClr val="333399"/>
              </a:solidFill>
              <a:prstDash val="solid"/>
            </a:ln>
          </c:spPr>
          <c:marker>
            <c:symbol val="none"/>
          </c:marker>
          <c:cat>
            <c:numRef>
              <c:f>Colombia!$G$337:$O$337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Colombia!$G$340:$O$340</c:f>
              <c:numCache>
                <c:formatCode>General</c:formatCode>
                <c:ptCount val="9"/>
                <c:pt idx="3" formatCode="0.0%">
                  <c:v>-2.7608624681946012E-2</c:v>
                </c:pt>
                <c:pt idx="4" formatCode="0.0%">
                  <c:v>4.2896884081883836E-2</c:v>
                </c:pt>
                <c:pt idx="5" formatCode="0.0%">
                  <c:v>3.1571234361854439E-2</c:v>
                </c:pt>
                <c:pt idx="6" formatCode="0.0%">
                  <c:v>2.7312693607000511E-2</c:v>
                </c:pt>
                <c:pt idx="7" formatCode="0.0%">
                  <c:v>1.8507871628531739E-2</c:v>
                </c:pt>
                <c:pt idx="8" formatCode="0.0%">
                  <c:v>5.3435216450558647E-2</c:v>
                </c:pt>
              </c:numCache>
            </c:numRef>
          </c:val>
          <c:smooth val="0"/>
          <c:extLst>
            <c:ext xmlns:c16="http://schemas.microsoft.com/office/drawing/2014/chart" uri="{C3380CC4-5D6E-409C-BE32-E72D297353CC}">
              <c16:uniqueId val="{00000000-A976-481E-8A1C-B2232FFAF2E9}"/>
            </c:ext>
          </c:extLst>
        </c:ser>
        <c:ser>
          <c:idx val="1"/>
          <c:order val="1"/>
          <c:tx>
            <c:strRef>
              <c:f>Colombia!$B$341</c:f>
              <c:strCache>
                <c:ptCount val="1"/>
                <c:pt idx="0">
                  <c:v>Current WACC</c:v>
                </c:pt>
              </c:strCache>
            </c:strRef>
          </c:tx>
          <c:spPr>
            <a:ln w="25400">
              <a:solidFill>
                <a:srgbClr val="FF0000"/>
              </a:solidFill>
              <a:prstDash val="dash"/>
            </a:ln>
            <a:effectLst/>
          </c:spPr>
          <c:marker>
            <c:symbol val="none"/>
          </c:marker>
          <c:cat>
            <c:numRef>
              <c:f>Colombia!$G$337:$O$337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Colombia!$G$341:$O$341</c:f>
              <c:numCache>
                <c:formatCode>0.0%</c:formatCode>
                <c:ptCount val="9"/>
                <c:pt idx="0">
                  <c:v>8.4269999999999998E-2</c:v>
                </c:pt>
                <c:pt idx="1">
                  <c:v>8.4269999999999998E-2</c:v>
                </c:pt>
                <c:pt idx="2">
                  <c:v>8.4269999999999998E-2</c:v>
                </c:pt>
                <c:pt idx="3">
                  <c:v>8.4269999999999998E-2</c:v>
                </c:pt>
                <c:pt idx="4">
                  <c:v>8.4269999999999998E-2</c:v>
                </c:pt>
                <c:pt idx="5">
                  <c:v>8.4269999999999998E-2</c:v>
                </c:pt>
                <c:pt idx="6">
                  <c:v>8.4269999999999998E-2</c:v>
                </c:pt>
                <c:pt idx="7">
                  <c:v>8.4269999999999998E-2</c:v>
                </c:pt>
                <c:pt idx="8">
                  <c:v>8.4269999999999998E-2</c:v>
                </c:pt>
              </c:numCache>
            </c:numRef>
          </c:val>
          <c:smooth val="0"/>
          <c:extLst>
            <c:ext xmlns:c16="http://schemas.microsoft.com/office/drawing/2014/chart" uri="{C3380CC4-5D6E-409C-BE32-E72D297353CC}">
              <c16:uniqueId val="{00000001-A976-481E-8A1C-B2232FFAF2E9}"/>
            </c:ext>
          </c:extLst>
        </c:ser>
        <c:ser>
          <c:idx val="2"/>
          <c:order val="2"/>
          <c:tx>
            <c:v>Mobile-only ROIC</c:v>
          </c:tx>
          <c:spPr>
            <a:ln w="25400">
              <a:solidFill>
                <a:schemeClr val="tx2">
                  <a:lumMod val="60000"/>
                  <a:lumOff val="40000"/>
                </a:schemeClr>
              </a:solidFill>
              <a:prstDash val="solid"/>
            </a:ln>
            <a:effectLst/>
          </c:spPr>
          <c:marker>
            <c:symbol val="none"/>
          </c:marker>
          <c:cat>
            <c:numRef>
              <c:f>Colombia!$G$337:$O$337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Colombia!$G$90:$O$90</c:f>
              <c:numCache>
                <c:formatCode>0.0%</c:formatCode>
                <c:ptCount val="9"/>
                <c:pt idx="0">
                  <c:v>6.1619799096205526E-2</c:v>
                </c:pt>
                <c:pt idx="1">
                  <c:v>7.3175316344142011E-2</c:v>
                </c:pt>
                <c:pt idx="2">
                  <c:v>7.3301975729155042E-3</c:v>
                </c:pt>
                <c:pt idx="3">
                  <c:v>-5.3664953275661589E-3</c:v>
                </c:pt>
              </c:numCache>
            </c:numRef>
          </c:val>
          <c:smooth val="0"/>
          <c:extLst>
            <c:ext xmlns:c16="http://schemas.microsoft.com/office/drawing/2014/chart" uri="{C3380CC4-5D6E-409C-BE32-E72D297353CC}">
              <c16:uniqueId val="{00000002-A976-481E-8A1C-B2232FFAF2E9}"/>
            </c:ext>
          </c:extLst>
        </c:ser>
        <c:dLbls>
          <c:showLegendKey val="0"/>
          <c:showVal val="0"/>
          <c:showCatName val="0"/>
          <c:showSerName val="0"/>
          <c:showPercent val="0"/>
          <c:showBubbleSize val="0"/>
        </c:dLbls>
        <c:smooth val="0"/>
        <c:axId val="1114957855"/>
        <c:axId val="1"/>
      </c:lineChart>
      <c:catAx>
        <c:axId val="1114957855"/>
        <c:scaling>
          <c:orientation val="minMax"/>
        </c:scaling>
        <c:delete val="0"/>
        <c:axPos val="b"/>
        <c:numFmt formatCode="General" sourceLinked="1"/>
        <c:majorTickMark val="out"/>
        <c:minorTickMark val="none"/>
        <c:tickLblPos val="low"/>
        <c:txPr>
          <a:bodyPr rot="0" vert="horz"/>
          <a:lstStyle/>
          <a:p>
            <a:pPr>
              <a:defRPr sz="800" b="0" i="0" u="none" strike="noStrike" baseline="0">
                <a:solidFill>
                  <a:srgbClr val="000000"/>
                </a:solidFill>
                <a:latin typeface="Trebuchet MS"/>
                <a:ea typeface="Trebuchet MS"/>
                <a:cs typeface="Trebuchet MS"/>
              </a:defRPr>
            </a:pPr>
            <a:endParaRPr lang="en-US"/>
          </a:p>
        </c:txPr>
        <c:crossAx val="1"/>
        <c:crosses val="autoZero"/>
        <c:auto val="1"/>
        <c:lblAlgn val="ctr"/>
        <c:lblOffset val="100"/>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txPr>
          <a:bodyPr rot="0" vert="horz"/>
          <a:lstStyle/>
          <a:p>
            <a:pPr>
              <a:defRPr sz="800" b="0" i="0" u="none" strike="noStrike" baseline="0">
                <a:solidFill>
                  <a:srgbClr val="000000"/>
                </a:solidFill>
                <a:latin typeface="Trebuchet MS"/>
                <a:ea typeface="Trebuchet MS"/>
                <a:cs typeface="Trebuchet MS"/>
              </a:defRPr>
            </a:pPr>
            <a:endParaRPr lang="en-US"/>
          </a:p>
        </c:txPr>
        <c:crossAx val="1114957855"/>
        <c:crosses val="autoZero"/>
        <c:crossBetween val="between"/>
      </c:valAx>
      <c:spPr>
        <a:noFill/>
        <a:ln w="25400">
          <a:noFill/>
        </a:ln>
      </c:spPr>
    </c:plotArea>
    <c:legend>
      <c:legendPos val="r"/>
      <c:layout>
        <c:manualLayout>
          <c:xMode val="edge"/>
          <c:yMode val="edge"/>
          <c:x val="4.7986746517628461E-3"/>
          <c:y val="0.43387715149467704"/>
          <c:w val="0.18810576126593609"/>
          <c:h val="2.3810538534168368E-2"/>
        </c:manualLayout>
      </c:layout>
      <c:overlay val="0"/>
      <c:spPr>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w="25400">
      <a:noFill/>
    </a:ln>
    <a:effectLst/>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8014117718419"/>
          <c:y val="0.16363672682157054"/>
          <c:w val="0.43788886277304745"/>
          <c:h val="0.64091051338448457"/>
        </c:manualLayout>
      </c:layout>
      <c:pieChart>
        <c:varyColors val="1"/>
        <c:ser>
          <c:idx val="0"/>
          <c:order val="0"/>
          <c:spPr>
            <a:solidFill>
              <a:srgbClr val="9999FF"/>
            </a:solidFill>
            <a:ln w="12700">
              <a:solidFill>
                <a:srgbClr val="000000"/>
              </a:solidFill>
              <a:prstDash val="solid"/>
            </a:ln>
          </c:spPr>
          <c:dPt>
            <c:idx val="0"/>
            <c:bubble3D val="0"/>
            <c:spPr>
              <a:solidFill>
                <a:srgbClr val="000080"/>
              </a:solidFill>
              <a:ln w="25400">
                <a:noFill/>
              </a:ln>
            </c:spPr>
            <c:extLst>
              <c:ext xmlns:c16="http://schemas.microsoft.com/office/drawing/2014/chart" uri="{C3380CC4-5D6E-409C-BE32-E72D297353CC}">
                <c16:uniqueId val="{00000000-DA1B-4354-A016-EC2C4349D6FA}"/>
              </c:ext>
            </c:extLst>
          </c:dPt>
          <c:dPt>
            <c:idx val="1"/>
            <c:bubble3D val="0"/>
            <c:spPr>
              <a:solidFill>
                <a:srgbClr val="9999FF"/>
              </a:solidFill>
              <a:ln w="25400">
                <a:noFill/>
              </a:ln>
            </c:spPr>
            <c:extLst>
              <c:ext xmlns:c16="http://schemas.microsoft.com/office/drawing/2014/chart" uri="{C3380CC4-5D6E-409C-BE32-E72D297353CC}">
                <c16:uniqueId val="{00000001-DA1B-4354-A016-EC2C4349D6FA}"/>
              </c:ext>
            </c:extLst>
          </c:dPt>
          <c:dPt>
            <c:idx val="2"/>
            <c:bubble3D val="0"/>
            <c:spPr>
              <a:solidFill>
                <a:srgbClr val="3366FF"/>
              </a:solidFill>
              <a:ln w="25400">
                <a:noFill/>
              </a:ln>
            </c:spPr>
            <c:extLst>
              <c:ext xmlns:c16="http://schemas.microsoft.com/office/drawing/2014/chart" uri="{C3380CC4-5D6E-409C-BE32-E72D297353CC}">
                <c16:uniqueId val="{00000002-DA1B-4354-A016-EC2C4349D6FA}"/>
              </c:ext>
            </c:extLst>
          </c:dPt>
          <c:dPt>
            <c:idx val="3"/>
            <c:bubble3D val="0"/>
            <c:spPr>
              <a:solidFill>
                <a:srgbClr val="CCCCFF"/>
              </a:solidFill>
              <a:ln w="3175">
                <a:solidFill>
                  <a:srgbClr val="C0C0C0"/>
                </a:solidFill>
                <a:prstDash val="solid"/>
              </a:ln>
            </c:spPr>
            <c:extLst>
              <c:ext xmlns:c16="http://schemas.microsoft.com/office/drawing/2014/chart" uri="{C3380CC4-5D6E-409C-BE32-E72D297353CC}">
                <c16:uniqueId val="{00000003-DA1B-4354-A016-EC2C4349D6FA}"/>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Trebuchet MS"/>
                    <a:ea typeface="Trebuchet MS"/>
                    <a:cs typeface="Trebuchet MS"/>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CA!$B$316:$B$319</c:f>
              <c:strCache>
                <c:ptCount val="4"/>
                <c:pt idx="0">
                  <c:v>Tigo (MIC)</c:v>
                </c:pt>
                <c:pt idx="1">
                  <c:v>Claro (AMX)</c:v>
                </c:pt>
                <c:pt idx="2">
                  <c:v>TEF</c:v>
                </c:pt>
                <c:pt idx="3">
                  <c:v>Digicell</c:v>
                </c:pt>
              </c:strCache>
            </c:strRef>
          </c:cat>
          <c:val>
            <c:numRef>
              <c:f>CA!$C$316:$C$319</c:f>
              <c:numCache>
                <c:formatCode>0%</c:formatCode>
                <c:ptCount val="4"/>
                <c:pt idx="0">
                  <c:v>0.48689217462122808</c:v>
                </c:pt>
                <c:pt idx="1">
                  <c:v>0.35</c:v>
                </c:pt>
                <c:pt idx="2">
                  <c:v>0.1</c:v>
                </c:pt>
                <c:pt idx="3">
                  <c:v>6.310782537877202E-2</c:v>
                </c:pt>
              </c:numCache>
            </c:numRef>
          </c:val>
          <c:extLst>
            <c:ext xmlns:c16="http://schemas.microsoft.com/office/drawing/2014/chart" uri="{C3380CC4-5D6E-409C-BE32-E72D297353CC}">
              <c16:uniqueId val="{00000004-DA1B-4354-A016-EC2C4349D6F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9652376786235054"/>
          <c:y val="0.14182247673586257"/>
          <c:w val="0.19652376786235054"/>
          <c:h val="0.30910045335242187"/>
        </c:manualLayout>
      </c:layout>
      <c:overlay val="0"/>
      <c:spPr>
        <a:solidFill>
          <a:srgbClr val="FFFFFF"/>
        </a:solidFill>
        <a:ln w="25400">
          <a:noFill/>
        </a:ln>
      </c:spPr>
      <c:txPr>
        <a:bodyPr/>
        <a:lstStyle/>
        <a:p>
          <a:pPr>
            <a:defRPr sz="105" b="0" i="0" u="none" strike="noStrike" baseline="0">
              <a:solidFill>
                <a:srgbClr val="000000"/>
              </a:solidFill>
              <a:latin typeface="Trebuchet MS"/>
              <a:ea typeface="Trebuchet MS"/>
              <a:cs typeface="Trebuchet MS"/>
            </a:defRPr>
          </a:pPr>
          <a:endParaRPr lang="en-US"/>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Trebuchet MS"/>
          <a:ea typeface="Trebuchet MS"/>
          <a:cs typeface="Trebuchet MS"/>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New (new) quarts'!A1"/><Relationship Id="rId2" Type="http://schemas.openxmlformats.org/officeDocument/2006/relationships/hyperlink" Target="#'New split'!A1"/><Relationship Id="rId1" Type="http://schemas.openxmlformats.org/officeDocument/2006/relationships/image" Target="../media/image1.emf"/><Relationship Id="rId4" Type="http://schemas.openxmlformats.org/officeDocument/2006/relationships/hyperlink" Target="#Valuation!A1"/></Relationships>
</file>

<file path=xl/drawings/_rels/drawing10.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 Id="rId9" Type="http://schemas.openxmlformats.org/officeDocument/2006/relationships/chart" Target="../charts/chart11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1.xml"/><Relationship Id="rId5" Type="http://schemas.openxmlformats.org/officeDocument/2006/relationships/chart" Target="../charts/chart120.xml"/><Relationship Id="rId4" Type="http://schemas.openxmlformats.org/officeDocument/2006/relationships/chart" Target="../charts/chart1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6" Type="http://schemas.openxmlformats.org/officeDocument/2006/relationships/chart" Target="../charts/chart34.xml"/><Relationship Id="rId21" Type="http://schemas.openxmlformats.org/officeDocument/2006/relationships/chart" Target="../charts/chart29.xml"/><Relationship Id="rId42" Type="http://schemas.openxmlformats.org/officeDocument/2006/relationships/chart" Target="../charts/chart50.xml"/><Relationship Id="rId47" Type="http://schemas.openxmlformats.org/officeDocument/2006/relationships/chart" Target="../charts/chart55.xml"/><Relationship Id="rId63" Type="http://schemas.openxmlformats.org/officeDocument/2006/relationships/chart" Target="../charts/chart71.xml"/><Relationship Id="rId68" Type="http://schemas.openxmlformats.org/officeDocument/2006/relationships/chart" Target="../charts/chart76.xml"/><Relationship Id="rId2" Type="http://schemas.openxmlformats.org/officeDocument/2006/relationships/chart" Target="../charts/chart10.xml"/><Relationship Id="rId16" Type="http://schemas.openxmlformats.org/officeDocument/2006/relationships/chart" Target="../charts/chart24.xml"/><Relationship Id="rId29" Type="http://schemas.openxmlformats.org/officeDocument/2006/relationships/chart" Target="../charts/chart37.xml"/><Relationship Id="rId11" Type="http://schemas.openxmlformats.org/officeDocument/2006/relationships/chart" Target="../charts/chart19.xml"/><Relationship Id="rId24" Type="http://schemas.openxmlformats.org/officeDocument/2006/relationships/chart" Target="../charts/chart32.xml"/><Relationship Id="rId32" Type="http://schemas.openxmlformats.org/officeDocument/2006/relationships/chart" Target="../charts/chart40.xml"/><Relationship Id="rId37" Type="http://schemas.openxmlformats.org/officeDocument/2006/relationships/chart" Target="../charts/chart45.xml"/><Relationship Id="rId40" Type="http://schemas.openxmlformats.org/officeDocument/2006/relationships/chart" Target="../charts/chart48.xml"/><Relationship Id="rId45" Type="http://schemas.openxmlformats.org/officeDocument/2006/relationships/chart" Target="../charts/chart53.xml"/><Relationship Id="rId53" Type="http://schemas.openxmlformats.org/officeDocument/2006/relationships/chart" Target="../charts/chart61.xml"/><Relationship Id="rId58" Type="http://schemas.openxmlformats.org/officeDocument/2006/relationships/chart" Target="../charts/chart66.xml"/><Relationship Id="rId66" Type="http://schemas.openxmlformats.org/officeDocument/2006/relationships/chart" Target="../charts/chart74.xml"/><Relationship Id="rId5" Type="http://schemas.openxmlformats.org/officeDocument/2006/relationships/chart" Target="../charts/chart13.xml"/><Relationship Id="rId61" Type="http://schemas.openxmlformats.org/officeDocument/2006/relationships/chart" Target="../charts/chart69.xml"/><Relationship Id="rId19" Type="http://schemas.openxmlformats.org/officeDocument/2006/relationships/chart" Target="../charts/chart27.xml"/><Relationship Id="rId14" Type="http://schemas.openxmlformats.org/officeDocument/2006/relationships/chart" Target="../charts/chart22.xml"/><Relationship Id="rId22" Type="http://schemas.openxmlformats.org/officeDocument/2006/relationships/chart" Target="../charts/chart30.xml"/><Relationship Id="rId27" Type="http://schemas.openxmlformats.org/officeDocument/2006/relationships/chart" Target="../charts/chart35.xml"/><Relationship Id="rId30" Type="http://schemas.openxmlformats.org/officeDocument/2006/relationships/chart" Target="../charts/chart38.xml"/><Relationship Id="rId35" Type="http://schemas.openxmlformats.org/officeDocument/2006/relationships/chart" Target="../charts/chart43.xml"/><Relationship Id="rId43" Type="http://schemas.openxmlformats.org/officeDocument/2006/relationships/chart" Target="../charts/chart51.xml"/><Relationship Id="rId48" Type="http://schemas.openxmlformats.org/officeDocument/2006/relationships/chart" Target="../charts/chart56.xml"/><Relationship Id="rId56" Type="http://schemas.openxmlformats.org/officeDocument/2006/relationships/chart" Target="../charts/chart64.xml"/><Relationship Id="rId64" Type="http://schemas.openxmlformats.org/officeDocument/2006/relationships/chart" Target="../charts/chart72.xml"/><Relationship Id="rId69" Type="http://schemas.openxmlformats.org/officeDocument/2006/relationships/chart" Target="../charts/chart77.xml"/><Relationship Id="rId8" Type="http://schemas.openxmlformats.org/officeDocument/2006/relationships/chart" Target="../charts/chart16.xml"/><Relationship Id="rId51" Type="http://schemas.openxmlformats.org/officeDocument/2006/relationships/chart" Target="../charts/chart59.xml"/><Relationship Id="rId72" Type="http://schemas.openxmlformats.org/officeDocument/2006/relationships/chart" Target="../charts/chart80.xml"/><Relationship Id="rId3" Type="http://schemas.openxmlformats.org/officeDocument/2006/relationships/chart" Target="../charts/chart11.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3.xml"/><Relationship Id="rId33" Type="http://schemas.openxmlformats.org/officeDocument/2006/relationships/chart" Target="../charts/chart41.xml"/><Relationship Id="rId38" Type="http://schemas.openxmlformats.org/officeDocument/2006/relationships/chart" Target="../charts/chart46.xml"/><Relationship Id="rId46" Type="http://schemas.openxmlformats.org/officeDocument/2006/relationships/chart" Target="../charts/chart54.xml"/><Relationship Id="rId59" Type="http://schemas.openxmlformats.org/officeDocument/2006/relationships/chart" Target="../charts/chart67.xml"/><Relationship Id="rId67" Type="http://schemas.openxmlformats.org/officeDocument/2006/relationships/chart" Target="../charts/chart75.xml"/><Relationship Id="rId20" Type="http://schemas.openxmlformats.org/officeDocument/2006/relationships/chart" Target="../charts/chart28.xml"/><Relationship Id="rId41" Type="http://schemas.openxmlformats.org/officeDocument/2006/relationships/chart" Target="../charts/chart49.xml"/><Relationship Id="rId54" Type="http://schemas.openxmlformats.org/officeDocument/2006/relationships/chart" Target="../charts/chart62.xml"/><Relationship Id="rId62" Type="http://schemas.openxmlformats.org/officeDocument/2006/relationships/chart" Target="../charts/chart70.xml"/><Relationship Id="rId70" Type="http://schemas.openxmlformats.org/officeDocument/2006/relationships/chart" Target="../charts/chart78.xml"/><Relationship Id="rId1" Type="http://schemas.openxmlformats.org/officeDocument/2006/relationships/chart" Target="../charts/chart9.xml"/><Relationship Id="rId6" Type="http://schemas.openxmlformats.org/officeDocument/2006/relationships/chart" Target="../charts/chart14.xml"/><Relationship Id="rId15" Type="http://schemas.openxmlformats.org/officeDocument/2006/relationships/chart" Target="../charts/chart23.xml"/><Relationship Id="rId23" Type="http://schemas.openxmlformats.org/officeDocument/2006/relationships/chart" Target="../charts/chart31.xml"/><Relationship Id="rId28" Type="http://schemas.openxmlformats.org/officeDocument/2006/relationships/chart" Target="../charts/chart36.xml"/><Relationship Id="rId36" Type="http://schemas.openxmlformats.org/officeDocument/2006/relationships/chart" Target="../charts/chart44.xml"/><Relationship Id="rId49" Type="http://schemas.openxmlformats.org/officeDocument/2006/relationships/chart" Target="../charts/chart57.xml"/><Relationship Id="rId57" Type="http://schemas.openxmlformats.org/officeDocument/2006/relationships/chart" Target="../charts/chart65.xml"/><Relationship Id="rId10" Type="http://schemas.openxmlformats.org/officeDocument/2006/relationships/chart" Target="../charts/chart18.xml"/><Relationship Id="rId31" Type="http://schemas.openxmlformats.org/officeDocument/2006/relationships/chart" Target="../charts/chart39.xml"/><Relationship Id="rId44" Type="http://schemas.openxmlformats.org/officeDocument/2006/relationships/chart" Target="../charts/chart52.xml"/><Relationship Id="rId52" Type="http://schemas.openxmlformats.org/officeDocument/2006/relationships/chart" Target="../charts/chart60.xml"/><Relationship Id="rId60" Type="http://schemas.openxmlformats.org/officeDocument/2006/relationships/chart" Target="../charts/chart68.xml"/><Relationship Id="rId65" Type="http://schemas.openxmlformats.org/officeDocument/2006/relationships/chart" Target="../charts/chart73.xml"/><Relationship Id="rId73" Type="http://schemas.openxmlformats.org/officeDocument/2006/relationships/chart" Target="../charts/chart81.xml"/><Relationship Id="rId4" Type="http://schemas.openxmlformats.org/officeDocument/2006/relationships/chart" Target="../charts/chart12.xml"/><Relationship Id="rId9" Type="http://schemas.openxmlformats.org/officeDocument/2006/relationships/chart" Target="../charts/chart17.xml"/><Relationship Id="rId13" Type="http://schemas.openxmlformats.org/officeDocument/2006/relationships/chart" Target="../charts/chart21.xml"/><Relationship Id="rId18" Type="http://schemas.openxmlformats.org/officeDocument/2006/relationships/chart" Target="../charts/chart26.xml"/><Relationship Id="rId39" Type="http://schemas.openxmlformats.org/officeDocument/2006/relationships/chart" Target="../charts/chart47.xml"/><Relationship Id="rId34" Type="http://schemas.openxmlformats.org/officeDocument/2006/relationships/chart" Target="../charts/chart42.xml"/><Relationship Id="rId50" Type="http://schemas.openxmlformats.org/officeDocument/2006/relationships/chart" Target="../charts/chart58.xml"/><Relationship Id="rId55" Type="http://schemas.openxmlformats.org/officeDocument/2006/relationships/chart" Target="../charts/chart63.xml"/><Relationship Id="rId7" Type="http://schemas.openxmlformats.org/officeDocument/2006/relationships/chart" Target="../charts/chart15.xml"/><Relationship Id="rId71" Type="http://schemas.openxmlformats.org/officeDocument/2006/relationships/chart" Target="../charts/chart7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95250</xdr:colOff>
      <xdr:row>5</xdr:row>
      <xdr:rowOff>78634</xdr:rowOff>
    </xdr:to>
    <xdr:pic>
      <xdr:nvPicPr>
        <xdr:cNvPr id="3075" name="Picture 3">
          <a:extLst>
            <a:ext uri="{FF2B5EF4-FFF2-40B4-BE49-F238E27FC236}">
              <a16:creationId xmlns:a16="http://schemas.microsoft.com/office/drawing/2014/main" id="{66C7E5DA-BDCE-4BAC-BDB1-F24B751DB8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00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42333</xdr:colOff>
      <xdr:row>28</xdr:row>
      <xdr:rowOff>123613</xdr:rowOff>
    </xdr:from>
    <xdr:to>
      <xdr:col>3</xdr:col>
      <xdr:colOff>69349</xdr:colOff>
      <xdr:row>31</xdr:row>
      <xdr:rowOff>111491</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947F8EC5-27A1-4D23-BAE5-587EAD479641}"/>
            </a:ext>
          </a:extLst>
        </xdr:cNvPr>
        <xdr:cNvSpPr/>
      </xdr:nvSpPr>
      <xdr:spPr>
        <a:xfrm>
          <a:off x="1109133" y="5389880"/>
          <a:ext cx="1525616" cy="546678"/>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Main model</a:t>
          </a:r>
        </a:p>
      </xdr:txBody>
    </xdr:sp>
    <xdr:clientData/>
  </xdr:twoCellAnchor>
  <xdr:twoCellAnchor>
    <xdr:from>
      <xdr:col>3</xdr:col>
      <xdr:colOff>501784</xdr:colOff>
      <xdr:row>28</xdr:row>
      <xdr:rowOff>100753</xdr:rowOff>
    </xdr:from>
    <xdr:to>
      <xdr:col>6</xdr:col>
      <xdr:colOff>183822</xdr:colOff>
      <xdr:row>31</xdr:row>
      <xdr:rowOff>84206</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754BBDFD-CFA2-474E-B545-9A37F5642064}"/>
            </a:ext>
          </a:extLst>
        </xdr:cNvPr>
        <xdr:cNvSpPr/>
      </xdr:nvSpPr>
      <xdr:spPr>
        <a:xfrm>
          <a:off x="3067184" y="5367020"/>
          <a:ext cx="1510838" cy="542253"/>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Interims</a:t>
          </a:r>
        </a:p>
      </xdr:txBody>
    </xdr:sp>
    <xdr:clientData/>
  </xdr:twoCellAnchor>
  <xdr:twoCellAnchor>
    <xdr:from>
      <xdr:col>7</xdr:col>
      <xdr:colOff>148320</xdr:colOff>
      <xdr:row>28</xdr:row>
      <xdr:rowOff>93133</xdr:rowOff>
    </xdr:from>
    <xdr:to>
      <xdr:col>9</xdr:col>
      <xdr:colOff>435456</xdr:colOff>
      <xdr:row>31</xdr:row>
      <xdr:rowOff>76586</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E0F334C9-5F43-4198-AA70-6C88AD6A03E3}"/>
            </a:ext>
          </a:extLst>
        </xdr:cNvPr>
        <xdr:cNvSpPr/>
      </xdr:nvSpPr>
      <xdr:spPr>
        <a:xfrm>
          <a:off x="5152120" y="5359400"/>
          <a:ext cx="1506336" cy="542253"/>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Valuation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361950</xdr:colOff>
      <xdr:row>218</xdr:row>
      <xdr:rowOff>95250</xdr:rowOff>
    </xdr:from>
    <xdr:to>
      <xdr:col>4</xdr:col>
      <xdr:colOff>0</xdr:colOff>
      <xdr:row>235</xdr:row>
      <xdr:rowOff>133350</xdr:rowOff>
    </xdr:to>
    <xdr:graphicFrame macro="">
      <xdr:nvGraphicFramePr>
        <xdr:cNvPr id="2864630" name="Chart 1">
          <a:extLst>
            <a:ext uri="{FF2B5EF4-FFF2-40B4-BE49-F238E27FC236}">
              <a16:creationId xmlns:a16="http://schemas.microsoft.com/office/drawing/2014/main" id="{989E0EB3-7989-4D2A-86F4-73091D0B2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676275</xdr:colOff>
      <xdr:row>214</xdr:row>
      <xdr:rowOff>190500</xdr:rowOff>
    </xdr:from>
    <xdr:to>
      <xdr:col>23</xdr:col>
      <xdr:colOff>276225</xdr:colOff>
      <xdr:row>229</xdr:row>
      <xdr:rowOff>152400</xdr:rowOff>
    </xdr:to>
    <xdr:graphicFrame macro="">
      <xdr:nvGraphicFramePr>
        <xdr:cNvPr id="2864631" name="Chart 1">
          <a:extLst>
            <a:ext uri="{FF2B5EF4-FFF2-40B4-BE49-F238E27FC236}">
              <a16:creationId xmlns:a16="http://schemas.microsoft.com/office/drawing/2014/main" id="{B0853F89-5053-4515-B1B0-A5B242074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209550</xdr:colOff>
      <xdr:row>173</xdr:row>
      <xdr:rowOff>47625</xdr:rowOff>
    </xdr:from>
    <xdr:to>
      <xdr:col>35</xdr:col>
      <xdr:colOff>238125</xdr:colOff>
      <xdr:row>191</xdr:row>
      <xdr:rowOff>161925</xdr:rowOff>
    </xdr:to>
    <xdr:graphicFrame macro="">
      <xdr:nvGraphicFramePr>
        <xdr:cNvPr id="2864632" name="Chart 2">
          <a:extLst>
            <a:ext uri="{FF2B5EF4-FFF2-40B4-BE49-F238E27FC236}">
              <a16:creationId xmlns:a16="http://schemas.microsoft.com/office/drawing/2014/main" id="{94E75EAE-6E51-435E-8330-6E1FBC186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141551</xdr:colOff>
      <xdr:row>108</xdr:row>
      <xdr:rowOff>63764</xdr:rowOff>
    </xdr:from>
    <xdr:to>
      <xdr:col>28</xdr:col>
      <xdr:colOff>39688</xdr:colOff>
      <xdr:row>125</xdr:row>
      <xdr:rowOff>66145</xdr:rowOff>
    </xdr:to>
    <xdr:graphicFrame macro="">
      <xdr:nvGraphicFramePr>
        <xdr:cNvPr id="2" name="Chart 1">
          <a:extLst>
            <a:ext uri="{FF2B5EF4-FFF2-40B4-BE49-F238E27FC236}">
              <a16:creationId xmlns:a16="http://schemas.microsoft.com/office/drawing/2014/main" id="{0B14AEA7-24F2-1388-CAE5-843221F9F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1954</xdr:row>
      <xdr:rowOff>0</xdr:rowOff>
    </xdr:from>
    <xdr:to>
      <xdr:col>12</xdr:col>
      <xdr:colOff>530678</xdr:colOff>
      <xdr:row>1966</xdr:row>
      <xdr:rowOff>9525</xdr:rowOff>
    </xdr:to>
    <xdr:pic>
      <xdr:nvPicPr>
        <xdr:cNvPr id="2807119" name="Picture 1">
          <a:extLst>
            <a:ext uri="{FF2B5EF4-FFF2-40B4-BE49-F238E27FC236}">
              <a16:creationId xmlns:a16="http://schemas.microsoft.com/office/drawing/2014/main" id="{2329745A-C5BB-422E-8A11-8DE160760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72265575"/>
          <a:ext cx="78105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1969</xdr:row>
      <xdr:rowOff>0</xdr:rowOff>
    </xdr:from>
    <xdr:to>
      <xdr:col>10</xdr:col>
      <xdr:colOff>521154</xdr:colOff>
      <xdr:row>1988</xdr:row>
      <xdr:rowOff>544</xdr:rowOff>
    </xdr:to>
    <xdr:pic>
      <xdr:nvPicPr>
        <xdr:cNvPr id="2807120" name="Picture 1">
          <a:extLst>
            <a:ext uri="{FF2B5EF4-FFF2-40B4-BE49-F238E27FC236}">
              <a16:creationId xmlns:a16="http://schemas.microsoft.com/office/drawing/2014/main" id="{EC6708AC-A075-4726-A5CC-C3571DB2D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75123075"/>
          <a:ext cx="660082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347382</xdr:colOff>
      <xdr:row>4313</xdr:row>
      <xdr:rowOff>156882</xdr:rowOff>
    </xdr:from>
    <xdr:to>
      <xdr:col>37</xdr:col>
      <xdr:colOff>369794</xdr:colOff>
      <xdr:row>4355</xdr:row>
      <xdr:rowOff>56029</xdr:rowOff>
    </xdr:to>
    <xdr:sp macro="" textlink="">
      <xdr:nvSpPr>
        <xdr:cNvPr id="2" name="TextBox 1">
          <a:extLst>
            <a:ext uri="{FF2B5EF4-FFF2-40B4-BE49-F238E27FC236}">
              <a16:creationId xmlns:a16="http://schemas.microsoft.com/office/drawing/2014/main" id="{92A7DADB-DB51-D44C-6EC1-C3DD646CA5B5}"/>
            </a:ext>
          </a:extLst>
        </xdr:cNvPr>
        <xdr:cNvSpPr txBox="1"/>
      </xdr:nvSpPr>
      <xdr:spPr>
        <a:xfrm>
          <a:off x="952500" y="821861823"/>
          <a:ext cx="22467794" cy="7900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Bolivia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Anniversary-ing regulatory change, half Q impact. Half Q easier comps. Still challenging. Overall capex lower, don’t want to be spending too much capex there at the moment.</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Colombia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Currency will help? Significantly above consensus, maybe FX. Flat in U/L. Continue to do well in mobile, gaining share in postpaid, home business more challenging, similar to Bolivia, charging instal fee and not going to push customer growth as want to limit capex, so less revenue growth but this is good for CF. Softer top line but not softer EBITDA/CF, margins (ex one offs) trending higher every Q (step down when WOM launch). Last Q one off 10m court case, severance costs etc. Everest 2.0 accelerating. H1 took some actions in Columbia. Check table of one offs in earnings release, page 14. </a:t>
          </a:r>
        </a:p>
        <a:p>
          <a:r>
            <a:rPr lang="en-GB" sz="1100">
              <a:solidFill>
                <a:schemeClr val="dk1"/>
              </a:solidFill>
              <a:effectLst/>
              <a:latin typeface="+mn-lt"/>
              <a:ea typeface="+mn-ea"/>
              <a:cs typeface="+mn-cs"/>
            </a:rPr>
            <a:t>No change on Everest 1.0, on track for 2.0 is on top of that on some of that implemented this year, probably not in country level but in HQ. 50m run rate by YE this year and 100m next year, net positive. Some ops 50%+ lets see what can be done there, will review.</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El Salvador</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Several years of good g but g is slowing but still generally good outlook.</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Guatemala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Mauricio struck bullish tone, AMX had advantage on spectrum after buying TEF and trying to get subs lost during pandemic, giving TikTok etc but Milli responded and managed to defend share but at EBITDA cost, not cheap and also bought spectrum. Bought spectrum at the auction 2 weeks ago, both AMX and Milli got what wanted at minimum price, pay small fee and as long as compliant can keep it without renewing. That was for the 700MHz band which was important for AMX, and for Mili it enabled to rebalance and also this avoid new entrant, high IRR as spectrum is forever. AMX no longer spectrum advantage so hope they will be more rational. Also put px increase on prepaid, first time tried raising px on prepay in the last several years. AMX maybe picked up a bit more growth but at a cost, General manager was fired 3-4 months ago, thinks not happy with their results there... Spectrum $75m (for 2 auctions), this hurts CF but it is $ well spent. Comps getting easier</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Panama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Fixed business is losing a bit of subs, competition built a lot of fibre, we are deploying in some areas but competition is hard. Holding to base. Objective to cross sell mobile to fixed base. Mobile doing well, mkt share is around 50% (47-48%). Digicel #3 still manged by regulator, tried to sell, got a bid but will get a new bid because buyer did not meet all criteria to qualify to get the asset, need to show you have the expertise. Still opportunity in mobile for Milli to continue to consolidate position. </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Paraguay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Doing well, after a few years of challenges, business is clicking, growing all segments, mobile growing good, but g rate flattered as lot of piracy on home. Not all solved but easier comps in home business. Picking up mkt share in mobile. Still hopeful Claro will sell to make it a 2 pl mkt. Claro not making money in Paraguay.</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Nicaragua</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Steady grower, has been a bit softer. </a:t>
          </a:r>
        </a:p>
        <a:p>
          <a:r>
            <a:rPr lang="en-GB" sz="1100">
              <a:solidFill>
                <a:schemeClr val="dk1"/>
              </a:solidFill>
              <a:effectLst/>
              <a:latin typeface="+mn-lt"/>
              <a:ea typeface="+mn-ea"/>
              <a:cs typeface="+mn-cs"/>
            </a:rPr>
            <a:t>Costa Rica no chg in trends but currency distorts things, in USD looks good but in cst not that good. </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Atlas</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Keen to see us execute on the towers, this is coming to a conclusion soon. Keeping minorities is most likely outcome but have an opened mind. By keeping minorities you have an opport to crystalise value on day one and also participate to upside when you own one of the largest towerco in LatAm. Maybe we get an offer can’t refuse for the whole thing… </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CEO role</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Maxime COO could but also external option. He is based in Paris currently.</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Group</a:t>
          </a:r>
        </a:p>
        <a:p>
          <a:r>
            <a:rPr lang="en-GB" sz="1100">
              <a:solidFill>
                <a:schemeClr val="dk1"/>
              </a:solidFill>
              <a:effectLst/>
              <a:latin typeface="+mn-lt"/>
              <a:ea typeface="+mn-ea"/>
              <a:cs typeface="+mn-cs"/>
            </a:rPr>
            <a:t>1316 (1339 us) 1285 MS-1316</a:t>
          </a:r>
        </a:p>
        <a:p>
          <a:r>
            <a:rPr lang="en-GB" sz="1100">
              <a:solidFill>
                <a:schemeClr val="dk1"/>
              </a:solidFill>
              <a:effectLst/>
              <a:latin typeface="+mn-lt"/>
              <a:ea typeface="+mn-ea"/>
              <a:cs typeface="+mn-cs"/>
            </a:rPr>
            <a:t>535</a:t>
          </a:r>
        </a:p>
        <a:p>
          <a:r>
            <a:rPr lang="en-GB" sz="1100">
              <a:solidFill>
                <a:schemeClr val="dk1"/>
              </a:solidFill>
              <a:effectLst/>
              <a:latin typeface="+mn-lt"/>
              <a:ea typeface="+mn-ea"/>
              <a:cs typeface="+mn-cs"/>
            </a:rPr>
            <a:t>(538) 549 highest</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Colombia financing/capitalisation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Need to cure low equity balance in the Balance Sheet, need to cure that in Colombia anyway. Some maturity coming, also large spectrum financing on 1</a:t>
          </a:r>
          <a:r>
            <a:rPr lang="en-GB" sz="1100" baseline="30000">
              <a:solidFill>
                <a:schemeClr val="dk1"/>
              </a:solidFill>
              <a:effectLst/>
              <a:latin typeface="+mn-lt"/>
              <a:ea typeface="+mn-ea"/>
              <a:cs typeface="+mn-cs"/>
            </a:rPr>
            <a:t>st</a:t>
          </a:r>
          <a:r>
            <a:rPr lang="en-GB" sz="1100">
              <a:solidFill>
                <a:schemeClr val="dk1"/>
              </a:solidFill>
              <a:effectLst/>
              <a:latin typeface="+mn-lt"/>
              <a:ea typeface="+mn-ea"/>
              <a:cs typeface="+mn-cs"/>
            </a:rPr>
            <a:t> of Nov (some liquidity needs). Could borrow from banks but they  want to see a stronger situation and negative EFCF currently (in part bcs growing the business), cash need peaking this year. Necessary to put equity in in order to secure landing they are trying to secure</a:t>
          </a:r>
        </a:p>
        <a:p>
          <a:r>
            <a:rPr lang="en-GB" sz="1100">
              <a:solidFill>
                <a:schemeClr val="dk1"/>
              </a:solidFill>
              <a:effectLst/>
              <a:latin typeface="+mn-lt"/>
              <a:ea typeface="+mn-ea"/>
              <a:cs typeface="+mn-cs"/>
            </a:rPr>
            <a:t>Around 60m is the spectrum, 20m booked earlier this year is 20%. For spectrum renewal need performance bonds. </a:t>
          </a:r>
        </a:p>
        <a:p>
          <a:r>
            <a:rPr lang="en-GB" sz="1100">
              <a:solidFill>
                <a:schemeClr val="dk1"/>
              </a:solidFill>
              <a:effectLst/>
              <a:latin typeface="+mn-lt"/>
              <a:ea typeface="+mn-ea"/>
              <a:cs typeface="+mn-cs"/>
            </a:rPr>
            <a:t> </a:t>
          </a:r>
        </a:p>
        <a:p>
          <a:endParaRPr lang="en-GB" sz="1100"/>
        </a:p>
      </xdr:txBody>
    </xdr:sp>
    <xdr:clientData/>
  </xdr:twoCellAnchor>
  <xdr:twoCellAnchor>
    <xdr:from>
      <xdr:col>0</xdr:col>
      <xdr:colOff>537882</xdr:colOff>
      <xdr:row>4629</xdr:row>
      <xdr:rowOff>44824</xdr:rowOff>
    </xdr:from>
    <xdr:to>
      <xdr:col>25</xdr:col>
      <xdr:colOff>179294</xdr:colOff>
      <xdr:row>4667</xdr:row>
      <xdr:rowOff>100853</xdr:rowOff>
    </xdr:to>
    <xdr:sp macro="" textlink="">
      <xdr:nvSpPr>
        <xdr:cNvPr id="3" name="TextBox 2">
          <a:extLst>
            <a:ext uri="{FF2B5EF4-FFF2-40B4-BE49-F238E27FC236}">
              <a16:creationId xmlns:a16="http://schemas.microsoft.com/office/drawing/2014/main" id="{F3B5D230-FECB-633C-BD29-65400454ACB2}"/>
            </a:ext>
          </a:extLst>
        </xdr:cNvPr>
        <xdr:cNvSpPr txBox="1"/>
      </xdr:nvSpPr>
      <xdr:spPr>
        <a:xfrm>
          <a:off x="537882" y="881947765"/>
          <a:ext cx="15430500" cy="7295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mn-lt"/>
              <a:ea typeface="+mn-ea"/>
              <a:cs typeface="+mn-cs"/>
            </a:rPr>
            <a:t>Millicom Q2 24 call</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Highlight this quarter: EFCF</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B2B: Tougher comps as get to Q4 because of 2 contracts in Panama that will have lapped.</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Panama: Conso 3 to 2 helping SR trends.</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FY capex expected below $700m.</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Paraguay: Tougher comps.</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Other (Sal Nic CR): MSD growth in mobile and B2B more than offset MSD decline in Home. </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Guatemala: Price increases helping.</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Not expecting any more margins expansion in Colombia in H2. Will reinvest EBITDA into SR growth.</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Bolivia: Continue to focus on profitability given the macro and political situation, despite good perf, no longer able to access sufficient amount of $ to pay international vendors.</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Leases up bcs of Colombia tower sale, now paying rent</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EFCF – H2 usually stronger than H1 but do not take Q2 as reference bcs some seasonality effect.</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H2 25 Costa Rica deal: Probably H2 25 14%</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Q&amp;A</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LT plan</a:t>
          </a:r>
          <a:r>
            <a:rPr lang="en-US" sz="1200">
              <a:solidFill>
                <a:schemeClr val="dk1"/>
              </a:solidFill>
              <a:effectLst/>
              <a:latin typeface="+mn-lt"/>
              <a:ea typeface="+mn-ea"/>
              <a:cs typeface="+mn-cs"/>
            </a:rPr>
            <a:t>: No comment on 2025/2026. Evey y there is an internal update long range plan. Half year update with H1 numbers. Do believe all operational initiatives are sustainable. Benefits will be reflected on FY run rate in 2025 and 2026. Still some severance in H2. Capex grow a bit in line with revenue, to capture data growth.</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Deal Colombia</a:t>
          </a:r>
          <a:r>
            <a:rPr lang="en-US" sz="1200">
              <a:solidFill>
                <a:schemeClr val="dk1"/>
              </a:solidFill>
              <a:effectLst/>
              <a:latin typeface="+mn-lt"/>
              <a:ea typeface="+mn-ea"/>
              <a:cs typeface="+mn-cs"/>
            </a:rPr>
            <a:t>: Tough last year, launched transformation plan/ merged network initiative etc, deal makes sense, synergies of scale, rationalisation, create a strong #2. Still early early in process, non-biding agreement w/ TEF on their majority stake in Coltel, engaged to offer to La Nation and to EPM  buy out their minority in Coltel and then in UNE operation that we jointly own. Dependencies: Obviously would need to happen a merger between the two entities, we cannot sit where we own 50% of UNE and 2/3 of Coltel… Absolute condition that the merger is allowed and goes to regulatory approval. All 4 parties would need to agree to this transaction, that’s the dependencies. Partners have been good partners over the past years, good relations with TEF, they are happy to stay and drive with us the synergies, but at the same time it is a good liquidity option for minorities to exit, they said in the past they wanted to sell. </a:t>
          </a:r>
          <a:endParaRPr lang="en-GB" sz="1200">
            <a:solidFill>
              <a:schemeClr val="dk1"/>
            </a:solidFill>
            <a:effectLst/>
            <a:latin typeface="+mn-lt"/>
            <a:ea typeface="+mn-ea"/>
            <a:cs typeface="+mn-cs"/>
          </a:endParaRPr>
        </a:p>
        <a:p>
          <a:r>
            <a:rPr lang="en-US" sz="1200">
              <a:solidFill>
                <a:schemeClr val="dk1"/>
              </a:solidFill>
              <a:effectLst/>
              <a:latin typeface="+mn-lt"/>
              <a:ea typeface="+mn-ea"/>
              <a:cs typeface="+mn-cs"/>
            </a:rPr>
            <a:t>Next steps: Making long form agreement with all  the parties, Gov and EPM. This is a privatization technically, which is the 226 law (privation law). Number of steps needed: determine the min price and then auction and then present an offer. Will take a number of months and then another number of months for regulatory approval, so not for early next year. Synergies in-market mobile-mobile and fixed-fixed so as good as it gets.</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Customer growth</a:t>
          </a:r>
          <a:r>
            <a:rPr lang="en-US" sz="1200">
              <a:solidFill>
                <a:schemeClr val="dk1"/>
              </a:solidFill>
              <a:effectLst/>
              <a:latin typeface="+mn-lt"/>
              <a:ea typeface="+mn-ea"/>
              <a:cs typeface="+mn-cs"/>
            </a:rPr>
            <a:t>: Strengthening fixed and mobile to capture demand. At an inflection point in Colombia, in end Q2 positive net adds in Home.</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Capex</a:t>
          </a:r>
          <a:r>
            <a:rPr lang="en-US" sz="1200">
              <a:solidFill>
                <a:schemeClr val="dk1"/>
              </a:solidFill>
              <a:effectLst/>
              <a:latin typeface="+mn-lt"/>
              <a:ea typeface="+mn-ea"/>
              <a:cs typeface="+mn-cs"/>
            </a:rPr>
            <a:t>: Efficiencies reflected this year, not giving LT guidance, but sustainable and recurrent. Doing simple things, in Home focus on HFC upgrade, possible to get more from current footprint in term of bandwidth, we have partially done it and will try to finish it this year, provide good return in term of satisfaction and also acquisition. On mobile, focus on network quality, so very selective on payback and on new coverage.  </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Further margins improvement</a:t>
          </a:r>
          <a:r>
            <a:rPr lang="en-US" sz="1200">
              <a:solidFill>
                <a:schemeClr val="dk1"/>
              </a:solidFill>
              <a:effectLst/>
              <a:latin typeface="+mn-lt"/>
              <a:ea typeface="+mn-ea"/>
              <a:cs typeface="+mn-cs"/>
            </a:rPr>
            <a:t>: Many efficiencies are WIP, on employee will continue to reduce till early 2025. Full impact in 2025 and after. Contractors: All contracts… are starting work. On content locked till end of 2024. Also, will try to do better on top line (offer simplification etc), commercial initiatives. Also, believers in FMC, pushing that.</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Margins</a:t>
          </a:r>
          <a:r>
            <a:rPr lang="en-US" sz="1200">
              <a:solidFill>
                <a:schemeClr val="dk1"/>
              </a:solidFill>
              <a:effectLst/>
              <a:latin typeface="+mn-lt"/>
              <a:ea typeface="+mn-ea"/>
              <a:cs typeface="+mn-cs"/>
            </a:rPr>
            <a:t>: Want all countries in the 40s</a:t>
          </a:r>
          <a:endParaRPr lang="en-GB" sz="1200">
            <a:solidFill>
              <a:schemeClr val="dk1"/>
            </a:solidFill>
            <a:effectLst/>
            <a:latin typeface="+mn-lt"/>
            <a:ea typeface="+mn-ea"/>
            <a:cs typeface="+mn-cs"/>
          </a:endParaRPr>
        </a:p>
        <a:p>
          <a:r>
            <a:rPr lang="en-US" sz="1200" b="1">
              <a:solidFill>
                <a:schemeClr val="dk1"/>
              </a:solidFill>
              <a:effectLst/>
              <a:latin typeface="+mn-lt"/>
              <a:ea typeface="+mn-ea"/>
              <a:cs typeface="+mn-cs"/>
            </a:rPr>
            <a:t>Spectrum payments</a:t>
          </a:r>
          <a:r>
            <a:rPr lang="en-US" sz="1200">
              <a:solidFill>
                <a:schemeClr val="dk1"/>
              </a:solidFill>
              <a:effectLst/>
              <a:latin typeface="+mn-lt"/>
              <a:ea typeface="+mn-ea"/>
              <a:cs typeface="+mn-cs"/>
            </a:rPr>
            <a:t>: Done most of them. Some in Honduras, “organic spectrum”. 5G some auctions this year and next, think they will come with rationality. Only 2-3% total customer base have 5G handset so not lot of capex demand expected. </a:t>
          </a:r>
          <a:endParaRPr lang="en-GB" sz="1200">
            <a:solidFill>
              <a:schemeClr val="dk1"/>
            </a:solidFill>
            <a:effectLst/>
            <a:latin typeface="+mn-lt"/>
            <a:ea typeface="+mn-ea"/>
            <a:cs typeface="+mn-cs"/>
          </a:endParaRPr>
        </a:p>
        <a:p>
          <a:endParaRPr lang="en-GB" sz="1100"/>
        </a:p>
        <a:p>
          <a:endParaRPr lang="en-GB" sz="1100"/>
        </a:p>
      </xdr:txBody>
    </xdr:sp>
    <xdr:clientData/>
  </xdr:twoCellAnchor>
  <xdr:twoCellAnchor>
    <xdr:from>
      <xdr:col>0</xdr:col>
      <xdr:colOff>571500</xdr:colOff>
      <xdr:row>4669</xdr:row>
      <xdr:rowOff>100853</xdr:rowOff>
    </xdr:from>
    <xdr:to>
      <xdr:col>25</xdr:col>
      <xdr:colOff>212912</xdr:colOff>
      <xdr:row>4714</xdr:row>
      <xdr:rowOff>44824</xdr:rowOff>
    </xdr:to>
    <xdr:sp macro="" textlink="">
      <xdr:nvSpPr>
        <xdr:cNvPr id="4" name="TextBox 3">
          <a:extLst>
            <a:ext uri="{FF2B5EF4-FFF2-40B4-BE49-F238E27FC236}">
              <a16:creationId xmlns:a16="http://schemas.microsoft.com/office/drawing/2014/main" id="{7FB2FEAC-D2FF-4E91-B3C5-94457068B6C0}"/>
            </a:ext>
          </a:extLst>
        </xdr:cNvPr>
        <xdr:cNvSpPr txBox="1"/>
      </xdr:nvSpPr>
      <xdr:spPr>
        <a:xfrm>
          <a:off x="571500" y="889623794"/>
          <a:ext cx="15430500" cy="8516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mn-ea"/>
              <a:cs typeface="+mn-cs"/>
            </a:rPr>
            <a:t>Millicom CEO meeting – 2024 08 05 – Marcelo/Michel</a:t>
          </a:r>
          <a:endParaRPr lang="en-GB" sz="1200">
            <a:solidFill>
              <a:schemeClr val="dk1"/>
            </a:solidFill>
            <a:effectLst/>
            <a:latin typeface="+mn-lt"/>
            <a:ea typeface="+mn-ea"/>
            <a:cs typeface="+mn-cs"/>
          </a:endParaRPr>
        </a:p>
        <a:p>
          <a:r>
            <a:rPr lang="en-GB" sz="1200">
              <a:solidFill>
                <a:schemeClr val="dk1"/>
              </a:solidFill>
              <a:effectLst/>
              <a:latin typeface="+mn-lt"/>
              <a:ea typeface="+mn-ea"/>
              <a:cs typeface="+mn-cs"/>
            </a:rPr>
            <a:t> </a:t>
          </a:r>
        </a:p>
        <a:p>
          <a:r>
            <a:rPr lang="en-GB" sz="1200" b="1">
              <a:solidFill>
                <a:schemeClr val="dk1"/>
              </a:solidFill>
              <a:effectLst/>
              <a:latin typeface="+mn-lt"/>
              <a:ea typeface="+mn-ea"/>
              <a:cs typeface="+mn-cs"/>
            </a:rPr>
            <a:t>Intro</a:t>
          </a:r>
          <a:r>
            <a:rPr lang="en-GB" sz="1200">
              <a:solidFill>
                <a:schemeClr val="dk1"/>
              </a:solidFill>
              <a:effectLst/>
              <a:latin typeface="+mn-lt"/>
              <a:ea typeface="+mn-ea"/>
              <a:cs typeface="+mn-cs"/>
            </a:rPr>
            <a:t>: CEO knows Millicom well. Has been in many different positions at Millicom (started in call centre 27y ago in Panama, has been in technical, innovation, commercial etc.).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Priorities</a:t>
          </a:r>
          <a:r>
            <a:rPr lang="en-GB" sz="1200">
              <a:solidFill>
                <a:schemeClr val="dk1"/>
              </a:solidFill>
              <a:effectLst/>
              <a:latin typeface="+mn-lt"/>
              <a:ea typeface="+mn-ea"/>
              <a:cs typeface="+mn-cs"/>
            </a:rPr>
            <a:t>: Last year, working to evolve in a more efficient platform, focusing on translating top line growth in EFCF. At the same time keep up the customer experience, which is hard with all the other changes in the background. Also, why we are in inflection point in Home. Lot of change internally, changed many General Managers. Have some of best talents in their markets. 5 new GMs appointed. Colombia, Paraguay, Panama, Nicaragua and Salvador. These ppl coming form the bench, no transition in terms and culture, results coming.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Changes vs. Maurico</a:t>
          </a:r>
          <a:r>
            <a:rPr lang="en-GB" sz="1200">
              <a:solidFill>
                <a:schemeClr val="dk1"/>
              </a:solidFill>
              <a:effectLst/>
              <a:latin typeface="+mn-lt"/>
              <a:ea typeface="+mn-ea"/>
              <a:cs typeface="+mn-cs"/>
            </a:rPr>
            <a:t>: Done lot of inorganic growth, now time to monetise that, will be more operational. Will talk more about KPIs etc. Focus on network and customer XP. Demand for data not going to change. Some expansion but look at KPIs before taking decisions. In Panama will be building like did in 2023, with $37 ARPU and 2 players it makes sense. Guatemala: opportunities but market fragmented, hard to compete, will be careful where and how. Prioritise FMC.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Changes coming from Niel, the Board, track of management change</a:t>
          </a:r>
          <a:r>
            <a:rPr lang="en-GB" sz="1200">
              <a:solidFill>
                <a:schemeClr val="dk1"/>
              </a:solidFill>
              <a:effectLst/>
              <a:latin typeface="+mn-lt"/>
              <a:ea typeface="+mn-ea"/>
              <a:cs typeface="+mn-cs"/>
            </a:rPr>
            <a:t>: Strengthening leadership in countries, HQ more strategic, decentralizing towards countries. Maxime supporting, will stay until Dec and then will be part of the Board. Colombia GM left to be CEO somewhere else, Paraguay GM moved to Colombia, GM in Nicaragua was strong, he is Paraguayan, going to Paraguay. Promoted internally commercial head El Salvador to move to Nicargua. Also, promoted one woman that gone to work for WOM she is back to Tigo, will be GM in El Salvador, motivation for women to be promoted. And replaced Marcelo in Panama by internal promotion. Send message to organisation that you can progress.</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Return profile/capex</a:t>
          </a:r>
          <a:r>
            <a:rPr lang="en-GB" sz="1200">
              <a:solidFill>
                <a:schemeClr val="dk1"/>
              </a:solidFill>
              <a:effectLst/>
              <a:latin typeface="+mn-lt"/>
              <a:ea typeface="+mn-ea"/>
              <a:cs typeface="+mn-cs"/>
            </a:rPr>
            <a:t>: $700m capex ($1bn before), 1) keep network mobile and fixed strong at level of SLA think can monetise. Look at SLA need to have in each country. Have enough capex for that. 2) expansion of coverage, 3) IT. Inc B2B.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Use of cash</a:t>
          </a:r>
          <a:r>
            <a:rPr lang="en-GB" sz="1200">
              <a:solidFill>
                <a:schemeClr val="dk1"/>
              </a:solidFill>
              <a:effectLst/>
              <a:latin typeface="+mn-lt"/>
              <a:ea typeface="+mn-ea"/>
              <a:cs typeface="+mn-cs"/>
            </a:rPr>
            <a:t>:  1) Orga, 2) non-orga and then 3) shareholder return but not in a position where can say what will do. Conversation with Board around year end. Colombia deal will require resources.</a:t>
          </a:r>
        </a:p>
        <a:p>
          <a:r>
            <a:rPr lang="en-GB" sz="1200">
              <a:solidFill>
                <a:schemeClr val="dk1"/>
              </a:solidFill>
              <a:effectLst/>
              <a:latin typeface="+mn-lt"/>
              <a:ea typeface="+mn-ea"/>
              <a:cs typeface="+mn-cs"/>
            </a:rPr>
            <a:t>$1bn of cash potentially to buy equity of the 3 players. Probably will take 18m (inc regulatory).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Lati</a:t>
          </a:r>
          <a:r>
            <a:rPr lang="en-GB" sz="1200">
              <a:solidFill>
                <a:schemeClr val="dk1"/>
              </a:solidFill>
              <a:effectLst/>
              <a:latin typeface="+mn-lt"/>
              <a:ea typeface="+mn-ea"/>
              <a:cs typeface="+mn-cs"/>
            </a:rPr>
            <a:t>: Still negotiating. Plans in Colombia do not depend on that.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Colombia</a:t>
          </a:r>
          <a:r>
            <a:rPr lang="en-GB" sz="1200">
              <a:solidFill>
                <a:schemeClr val="dk1"/>
              </a:solidFill>
              <a:effectLst/>
              <a:latin typeface="+mn-lt"/>
              <a:ea typeface="+mn-ea"/>
              <a:cs typeface="+mn-cs"/>
            </a:rPr>
            <a:t>: Inflection point in June with positive net adds in June, continued in July. Increased speeds in Medellin, led to lower churn. Deal with ETB, expanded reach, from 37% of addressable mkt to 76% in Bogota, this has been a driver of the growth recently. Try to grow in new areas in the years to come. Think Colombia is a country that need 2 strong telcos.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B2B</a:t>
          </a:r>
          <a:r>
            <a:rPr lang="en-GB" sz="1200">
              <a:solidFill>
                <a:schemeClr val="dk1"/>
              </a:solidFill>
              <a:effectLst/>
              <a:latin typeface="+mn-lt"/>
              <a:ea typeface="+mn-ea"/>
              <a:cs typeface="+mn-cs"/>
            </a:rPr>
            <a:t>: Segmented the base by size (FTE), 3 verticals, connectivity, cloud/digital solutions, have 10 data centers in the region, and then have special projects. Panama great space to start to play.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WOM Colombia</a:t>
          </a:r>
          <a:r>
            <a:rPr lang="en-GB" sz="1200">
              <a:solidFill>
                <a:schemeClr val="dk1"/>
              </a:solidFill>
              <a:effectLst/>
              <a:latin typeface="+mn-lt"/>
              <a:ea typeface="+mn-ea"/>
              <a:cs typeface="+mn-cs"/>
            </a:rPr>
            <a:t>: Hard to operate in the country. Claro protect their base at all costs. Fragmented. Commercial operations are expensive bcs large country. TIGO start to receive loads of customer from them, 30% of portability to TIGO is from WOM, a big number given they are not that big. Even though their network is not that great the price is attractive so keeping these customers (in Panama they kept 300k customers), think will continue to gain subs from WOM but will stop at some point.</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Panama</a:t>
          </a:r>
          <a:r>
            <a:rPr lang="en-GB" sz="1200">
              <a:solidFill>
                <a:schemeClr val="dk1"/>
              </a:solidFill>
              <a:effectLst/>
              <a:latin typeface="+mn-lt"/>
              <a:ea typeface="+mn-ea"/>
              <a:cs typeface="+mn-cs"/>
            </a:rPr>
            <a:t>: Did not have a network there, fragmented market do not allow operators to invest in coverage, We are still ahead of LBTY but they are catching up. TIGO 60% mkt share in fixed. Law: needs to be 3 operators/availability for 3 operators. Close to Digicel process, they tried to bring someone but small country, difficult to operate, difficult to bring an new investor. Panama should do well. Internal contest to see which margin first to reach 50%, Panama well positioned.</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Colombia</a:t>
          </a:r>
          <a:r>
            <a:rPr lang="en-GB" sz="1200">
              <a:solidFill>
                <a:schemeClr val="dk1"/>
              </a:solidFill>
              <a:effectLst/>
              <a:latin typeface="+mn-lt"/>
              <a:ea typeface="+mn-ea"/>
              <a:cs typeface="+mn-cs"/>
            </a:rPr>
            <a:t>: All stakeholder realizing that adding more operators is not the best solution. TEF not investing a lot, like only one operator in Colombia, we want to change that. Feels Tigo in a good moment for this to happen. Need to let regulator do their work, haven’t filed yet. Will take some time, end of FY25 probably. </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Bolivia</a:t>
          </a:r>
          <a:r>
            <a:rPr lang="en-GB" sz="1200">
              <a:solidFill>
                <a:schemeClr val="dk1"/>
              </a:solidFill>
              <a:effectLst/>
              <a:latin typeface="+mn-lt"/>
              <a:ea typeface="+mn-ea"/>
              <a:cs typeface="+mn-cs"/>
            </a:rPr>
            <a:t>: LT view no change, problematic cycle but rich country, has loads of resources, gas, lithium, gold. Short term got all the $ need for the year. Localised most of the expenses, some limited in $. All operators are suffering, but we are doing well, mobile in Home and B2B. We are increasing prices. Elections coming next year. Capex lower bcs not growing home business.</a:t>
          </a:r>
        </a:p>
        <a:p>
          <a:r>
            <a:rPr lang="en-GB" sz="1200" b="1">
              <a:solidFill>
                <a:schemeClr val="dk1"/>
              </a:solidFill>
              <a:effectLst/>
              <a:latin typeface="+mn-lt"/>
              <a:ea typeface="+mn-ea"/>
              <a:cs typeface="+mn-cs"/>
            </a:rPr>
            <a:t> </a:t>
          </a:r>
          <a:endParaRPr lang="en-GB" sz="1200">
            <a:solidFill>
              <a:schemeClr val="dk1"/>
            </a:solidFill>
            <a:effectLst/>
            <a:latin typeface="+mn-lt"/>
            <a:ea typeface="+mn-ea"/>
            <a:cs typeface="+mn-cs"/>
          </a:endParaRPr>
        </a:p>
        <a:p>
          <a:r>
            <a:rPr lang="en-GB" sz="1200" b="1">
              <a:solidFill>
                <a:schemeClr val="dk1"/>
              </a:solidFill>
              <a:effectLst/>
              <a:latin typeface="+mn-lt"/>
              <a:ea typeface="+mn-ea"/>
              <a:cs typeface="+mn-cs"/>
            </a:rPr>
            <a:t>Costa Rica deal</a:t>
          </a:r>
          <a:r>
            <a:rPr lang="en-GB" sz="1200">
              <a:solidFill>
                <a:schemeClr val="dk1"/>
              </a:solidFill>
              <a:effectLst/>
              <a:latin typeface="+mn-lt"/>
              <a:ea typeface="+mn-ea"/>
              <a:cs typeface="+mn-cs"/>
            </a:rPr>
            <a:t>: Been discussing with them for a while. Prolonged process, probably same timetable than in Colombia i.e. 18 months, YE25. On fixed side, State-owned enterprise, Telecable fully fibre network, AMX building fibre on way to reach full country, LiLAC and us with HFC, both reluctant to deploy fibre bcs already 3 fibre network, doesn’t make sense, decided to merger with given not making cash there.  Help LBTY to protect their leadership in mobile. ROCE below WACC today for Tigo, will turn into a clear market leader that will have positive CF and returns. </a:t>
          </a:r>
        </a:p>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38</xdr:col>
      <xdr:colOff>38100</xdr:colOff>
      <xdr:row>461</xdr:row>
      <xdr:rowOff>19050</xdr:rowOff>
    </xdr:from>
    <xdr:to>
      <xdr:col>44</xdr:col>
      <xdr:colOff>552450</xdr:colOff>
      <xdr:row>476</xdr:row>
      <xdr:rowOff>171450</xdr:rowOff>
    </xdr:to>
    <xdr:graphicFrame macro="">
      <xdr:nvGraphicFramePr>
        <xdr:cNvPr id="3386741" name="Chart 69">
          <a:extLst>
            <a:ext uri="{FF2B5EF4-FFF2-40B4-BE49-F238E27FC236}">
              <a16:creationId xmlns:a16="http://schemas.microsoft.com/office/drawing/2014/main" id="{5ED1A0D6-C249-4CE2-9850-7E31E92F5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314325</xdr:colOff>
      <xdr:row>461</xdr:row>
      <xdr:rowOff>28575</xdr:rowOff>
    </xdr:from>
    <xdr:to>
      <xdr:col>37</xdr:col>
      <xdr:colOff>219075</xdr:colOff>
      <xdr:row>483</xdr:row>
      <xdr:rowOff>19050</xdr:rowOff>
    </xdr:to>
    <xdr:graphicFrame macro="">
      <xdr:nvGraphicFramePr>
        <xdr:cNvPr id="3386742" name="Chart 70">
          <a:extLst>
            <a:ext uri="{FF2B5EF4-FFF2-40B4-BE49-F238E27FC236}">
              <a16:creationId xmlns:a16="http://schemas.microsoft.com/office/drawing/2014/main" id="{382488A3-4D69-41EF-B67E-DAA6FC914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590550</xdr:colOff>
      <xdr:row>461</xdr:row>
      <xdr:rowOff>19050</xdr:rowOff>
    </xdr:from>
    <xdr:to>
      <xdr:col>9</xdr:col>
      <xdr:colOff>590550</xdr:colOff>
      <xdr:row>483</xdr:row>
      <xdr:rowOff>95250</xdr:rowOff>
    </xdr:to>
    <xdr:graphicFrame macro="">
      <xdr:nvGraphicFramePr>
        <xdr:cNvPr id="3386743" name="Chart 71">
          <a:extLst>
            <a:ext uri="{FF2B5EF4-FFF2-40B4-BE49-F238E27FC236}">
              <a16:creationId xmlns:a16="http://schemas.microsoft.com/office/drawing/2014/main" id="{EE1E2E1B-0016-493C-847D-9253E08C6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484143</xdr:colOff>
      <xdr:row>533</xdr:row>
      <xdr:rowOff>28838</xdr:rowOff>
    </xdr:from>
    <xdr:to>
      <xdr:col>7</xdr:col>
      <xdr:colOff>546276</xdr:colOff>
      <xdr:row>535</xdr:row>
      <xdr:rowOff>116564</xdr:rowOff>
    </xdr:to>
    <xdr:cxnSp macro="">
      <xdr:nvCxnSpPr>
        <xdr:cNvPr id="3" name="Straight Arrow Connector 2">
          <a:extLst>
            <a:ext uri="{FF2B5EF4-FFF2-40B4-BE49-F238E27FC236}">
              <a16:creationId xmlns:a16="http://schemas.microsoft.com/office/drawing/2014/main" id="{105356EC-3A25-4A0D-A278-791DF3B4F568}"/>
            </a:ext>
          </a:extLst>
        </xdr:cNvPr>
        <xdr:cNvCxnSpPr/>
      </xdr:nvCxnSpPr>
      <xdr:spPr>
        <a:xfrm flipH="1">
          <a:off x="4721679" y="42876107"/>
          <a:ext cx="1292678" cy="4762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243569</xdr:colOff>
      <xdr:row>533</xdr:row>
      <xdr:rowOff>28838</xdr:rowOff>
    </xdr:from>
    <xdr:to>
      <xdr:col>5</xdr:col>
      <xdr:colOff>243569</xdr:colOff>
      <xdr:row>535</xdr:row>
      <xdr:rowOff>145925</xdr:rowOff>
    </xdr:to>
    <xdr:cxnSp macro="">
      <xdr:nvCxnSpPr>
        <xdr:cNvPr id="7" name="Straight Arrow Connector 6">
          <a:extLst>
            <a:ext uri="{FF2B5EF4-FFF2-40B4-BE49-F238E27FC236}">
              <a16:creationId xmlns:a16="http://schemas.microsoft.com/office/drawing/2014/main" id="{5ECFA034-8BD9-4B33-BD54-DD8EC5C2A787}"/>
            </a:ext>
          </a:extLst>
        </xdr:cNvPr>
        <xdr:cNvCxnSpPr/>
      </xdr:nvCxnSpPr>
      <xdr:spPr>
        <a:xfrm flipH="1">
          <a:off x="4465865" y="42876107"/>
          <a:ext cx="10885" cy="50618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533</xdr:row>
      <xdr:rowOff>28838</xdr:rowOff>
    </xdr:from>
    <xdr:to>
      <xdr:col>4</xdr:col>
      <xdr:colOff>426632</xdr:colOff>
      <xdr:row>536</xdr:row>
      <xdr:rowOff>25459</xdr:rowOff>
    </xdr:to>
    <xdr:cxnSp macro="">
      <xdr:nvCxnSpPr>
        <xdr:cNvPr id="8" name="Straight Arrow Connector 7">
          <a:extLst>
            <a:ext uri="{FF2B5EF4-FFF2-40B4-BE49-F238E27FC236}">
              <a16:creationId xmlns:a16="http://schemas.microsoft.com/office/drawing/2014/main" id="{26AE8D37-EE49-4CA3-A744-890A9FFAA373}"/>
            </a:ext>
          </a:extLst>
        </xdr:cNvPr>
        <xdr:cNvCxnSpPr/>
      </xdr:nvCxnSpPr>
      <xdr:spPr>
        <a:xfrm>
          <a:off x="3007179" y="42876107"/>
          <a:ext cx="1025979" cy="4953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241119</xdr:colOff>
      <xdr:row>529</xdr:row>
      <xdr:rowOff>26388</xdr:rowOff>
    </xdr:from>
    <xdr:to>
      <xdr:col>8</xdr:col>
      <xdr:colOff>268992</xdr:colOff>
      <xdr:row>531</xdr:row>
      <xdr:rowOff>154769</xdr:rowOff>
    </xdr:to>
    <xdr:cxnSp macro="">
      <xdr:nvCxnSpPr>
        <xdr:cNvPr id="11" name="Straight Arrow Connector 10">
          <a:extLst>
            <a:ext uri="{FF2B5EF4-FFF2-40B4-BE49-F238E27FC236}">
              <a16:creationId xmlns:a16="http://schemas.microsoft.com/office/drawing/2014/main" id="{FFA04096-A267-435A-B515-23EFF60E882B}"/>
            </a:ext>
          </a:extLst>
        </xdr:cNvPr>
        <xdr:cNvCxnSpPr/>
      </xdr:nvCxnSpPr>
      <xdr:spPr>
        <a:xfrm flipH="1">
          <a:off x="6332765" y="42144043"/>
          <a:ext cx="10885" cy="50618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657225</xdr:colOff>
      <xdr:row>343</xdr:row>
      <xdr:rowOff>104775</xdr:rowOff>
    </xdr:from>
    <xdr:to>
      <xdr:col>35</xdr:col>
      <xdr:colOff>381000</xdr:colOff>
      <xdr:row>358</xdr:row>
      <xdr:rowOff>133350</xdr:rowOff>
    </xdr:to>
    <xdr:graphicFrame macro="">
      <xdr:nvGraphicFramePr>
        <xdr:cNvPr id="3386748" name="Chart 1">
          <a:extLst>
            <a:ext uri="{FF2B5EF4-FFF2-40B4-BE49-F238E27FC236}">
              <a16:creationId xmlns:a16="http://schemas.microsoft.com/office/drawing/2014/main" id="{FB636C88-48A9-426A-9263-9FA3813FD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0.3259</cdr:x>
      <cdr:y>0.1909</cdr:y>
    </cdr:from>
    <cdr:to>
      <cdr:x>0.32906</cdr:x>
      <cdr:y>0.72012</cdr:y>
    </cdr:to>
    <cdr:sp macro="" textlink="">
      <cdr:nvSpPr>
        <cdr:cNvPr id="100353" name="Line 1"/>
        <cdr:cNvSpPr>
          <a:spLocks xmlns:a="http://schemas.openxmlformats.org/drawingml/2006/main" noChangeShapeType="1"/>
        </cdr:cNvSpPr>
      </cdr:nvSpPr>
      <cdr:spPr bwMode="auto">
        <a:xfrm xmlns:a="http://schemas.openxmlformats.org/drawingml/2006/main" flipH="1" flipV="1">
          <a:off x="1727174" y="322143"/>
          <a:ext cx="15323" cy="3109699"/>
        </a:xfrm>
        <a:prstGeom xmlns:a="http://schemas.openxmlformats.org/drawingml/2006/main" prst="line">
          <a:avLst/>
        </a:prstGeom>
        <a:noFill xmlns:a="http://schemas.openxmlformats.org/drawingml/2006/main"/>
        <a:ln xmlns:a="http://schemas.openxmlformats.org/drawingml/2006/main" w="19050">
          <a:solidFill>
            <a:srgbClr xmlns:mc="http://schemas.openxmlformats.org/markup-compatibility/2006" xmlns:a14="http://schemas.microsoft.com/office/drawing/2010/main" val="000000" mc:Ignorable="a14" a14:legacySpreadsheetColorIndex="64"/>
          </a:solidFill>
          <a:prstDash val="dash"/>
          <a:round/>
          <a:headEnd/>
          <a:tailEnd/>
        </a:ln>
      </cdr:spPr>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15.xml><?xml version="1.0" encoding="utf-8"?>
<xdr:wsDr xmlns:xdr="http://schemas.openxmlformats.org/drawingml/2006/spreadsheetDrawing" xmlns:a="http://schemas.openxmlformats.org/drawingml/2006/main">
  <xdr:twoCellAnchor>
    <xdr:from>
      <xdr:col>20</xdr:col>
      <xdr:colOff>0</xdr:colOff>
      <xdr:row>78</xdr:row>
      <xdr:rowOff>0</xdr:rowOff>
    </xdr:from>
    <xdr:to>
      <xdr:col>27</xdr:col>
      <xdr:colOff>9525</xdr:colOff>
      <xdr:row>104</xdr:row>
      <xdr:rowOff>104775</xdr:rowOff>
    </xdr:to>
    <xdr:pic>
      <xdr:nvPicPr>
        <xdr:cNvPr id="3108956" name="Picture 1" descr="image001">
          <a:extLst>
            <a:ext uri="{FF2B5EF4-FFF2-40B4-BE49-F238E27FC236}">
              <a16:creationId xmlns:a16="http://schemas.microsoft.com/office/drawing/2014/main" id="{0B1A91DC-D88B-4DB1-A361-F83D6CE96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14878050"/>
          <a:ext cx="42767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3</xdr:col>
      <xdr:colOff>152400</xdr:colOff>
      <xdr:row>93</xdr:row>
      <xdr:rowOff>95250</xdr:rowOff>
    </xdr:from>
    <xdr:to>
      <xdr:col>5</xdr:col>
      <xdr:colOff>247650</xdr:colOff>
      <xdr:row>97</xdr:row>
      <xdr:rowOff>95250</xdr:rowOff>
    </xdr:to>
    <xdr:sp macro="" textlink="">
      <xdr:nvSpPr>
        <xdr:cNvPr id="11265" name="Text Box 1" hidden="1">
          <a:extLst>
            <a:ext uri="{FF2B5EF4-FFF2-40B4-BE49-F238E27FC236}">
              <a16:creationId xmlns:a16="http://schemas.microsoft.com/office/drawing/2014/main" id="{DB98F3F3-DDC2-4164-94F5-2F6AE9A615DF}"/>
            </a:ext>
          </a:extLst>
        </xdr:cNvPr>
        <xdr:cNvSpPr txBox="1">
          <a:spLocks noChangeArrowheads="1"/>
        </xdr:cNvSpPr>
      </xdr:nvSpPr>
      <xdr:spPr bwMode="auto">
        <a:xfrm>
          <a:off x="2948940" y="15331440"/>
          <a:ext cx="1314450" cy="655320"/>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314</xdr:row>
      <xdr:rowOff>0</xdr:rowOff>
    </xdr:from>
    <xdr:to>
      <xdr:col>9</xdr:col>
      <xdr:colOff>9525</xdr:colOff>
      <xdr:row>325</xdr:row>
      <xdr:rowOff>0</xdr:rowOff>
    </xdr:to>
    <xdr:graphicFrame macro="">
      <xdr:nvGraphicFramePr>
        <xdr:cNvPr id="2896877" name="Chart 4">
          <a:extLst>
            <a:ext uri="{FF2B5EF4-FFF2-40B4-BE49-F238E27FC236}">
              <a16:creationId xmlns:a16="http://schemas.microsoft.com/office/drawing/2014/main" id="{1E809D10-1DE1-4C0F-A461-B3B02083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409575</xdr:colOff>
      <xdr:row>112</xdr:row>
      <xdr:rowOff>9525</xdr:rowOff>
    </xdr:from>
    <xdr:to>
      <xdr:col>41</xdr:col>
      <xdr:colOff>600075</xdr:colOff>
      <xdr:row>126</xdr:row>
      <xdr:rowOff>95250</xdr:rowOff>
    </xdr:to>
    <xdr:graphicFrame macro="">
      <xdr:nvGraphicFramePr>
        <xdr:cNvPr id="2896878" name="Chart 1">
          <a:extLst>
            <a:ext uri="{FF2B5EF4-FFF2-40B4-BE49-F238E27FC236}">
              <a16:creationId xmlns:a16="http://schemas.microsoft.com/office/drawing/2014/main" id="{B6AD5C7E-9E01-43C5-B97B-45FBDB444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315</xdr:row>
      <xdr:rowOff>0</xdr:rowOff>
    </xdr:from>
    <xdr:to>
      <xdr:col>15</xdr:col>
      <xdr:colOff>161925</xdr:colOff>
      <xdr:row>326</xdr:row>
      <xdr:rowOff>171450</xdr:rowOff>
    </xdr:to>
    <xdr:graphicFrame macro="">
      <xdr:nvGraphicFramePr>
        <xdr:cNvPr id="2896879" name="Chart 5">
          <a:extLst>
            <a:ext uri="{FF2B5EF4-FFF2-40B4-BE49-F238E27FC236}">
              <a16:creationId xmlns:a16="http://schemas.microsoft.com/office/drawing/2014/main" id="{FD8606E3-749F-4DD9-BC55-A06D837F7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329</xdr:row>
      <xdr:rowOff>0</xdr:rowOff>
    </xdr:from>
    <xdr:to>
      <xdr:col>15</xdr:col>
      <xdr:colOff>161925</xdr:colOff>
      <xdr:row>340</xdr:row>
      <xdr:rowOff>171450</xdr:rowOff>
    </xdr:to>
    <xdr:graphicFrame macro="">
      <xdr:nvGraphicFramePr>
        <xdr:cNvPr id="2896880" name="Chart 6">
          <a:extLst>
            <a:ext uri="{FF2B5EF4-FFF2-40B4-BE49-F238E27FC236}">
              <a16:creationId xmlns:a16="http://schemas.microsoft.com/office/drawing/2014/main" id="{721BA24B-9422-492D-83B4-13577C7DD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161925</xdr:colOff>
      <xdr:row>160</xdr:row>
      <xdr:rowOff>28575</xdr:rowOff>
    </xdr:from>
    <xdr:to>
      <xdr:col>41</xdr:col>
      <xdr:colOff>219075</xdr:colOff>
      <xdr:row>175</xdr:row>
      <xdr:rowOff>104775</xdr:rowOff>
    </xdr:to>
    <xdr:graphicFrame macro="">
      <xdr:nvGraphicFramePr>
        <xdr:cNvPr id="2896881" name="Chart 1">
          <a:extLst>
            <a:ext uri="{FF2B5EF4-FFF2-40B4-BE49-F238E27FC236}">
              <a16:creationId xmlns:a16="http://schemas.microsoft.com/office/drawing/2014/main" id="{E30451D0-0437-43DE-B24D-F910A0118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0</xdr:colOff>
      <xdr:row>122</xdr:row>
      <xdr:rowOff>190500</xdr:rowOff>
    </xdr:from>
    <xdr:to>
      <xdr:col>49</xdr:col>
      <xdr:colOff>447675</xdr:colOff>
      <xdr:row>143</xdr:row>
      <xdr:rowOff>133350</xdr:rowOff>
    </xdr:to>
    <xdr:graphicFrame macro="">
      <xdr:nvGraphicFramePr>
        <xdr:cNvPr id="2896882" name="Chart 1">
          <a:extLst>
            <a:ext uri="{FF2B5EF4-FFF2-40B4-BE49-F238E27FC236}">
              <a16:creationId xmlns:a16="http://schemas.microsoft.com/office/drawing/2014/main" id="{257184B9-79DF-4FFF-81D9-FD06EAE33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314325</xdr:colOff>
      <xdr:row>140</xdr:row>
      <xdr:rowOff>95250</xdr:rowOff>
    </xdr:from>
    <xdr:to>
      <xdr:col>7</xdr:col>
      <xdr:colOff>533400</xdr:colOff>
      <xdr:row>152</xdr:row>
      <xdr:rowOff>66675</xdr:rowOff>
    </xdr:to>
    <xdr:graphicFrame macro="">
      <xdr:nvGraphicFramePr>
        <xdr:cNvPr id="2907471" name="Chart 5">
          <a:extLst>
            <a:ext uri="{FF2B5EF4-FFF2-40B4-BE49-F238E27FC236}">
              <a16:creationId xmlns:a16="http://schemas.microsoft.com/office/drawing/2014/main" id="{6F6B2B7E-419F-48BC-88A3-FC32FD9A0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295275</xdr:colOff>
      <xdr:row>145</xdr:row>
      <xdr:rowOff>19050</xdr:rowOff>
    </xdr:from>
    <xdr:to>
      <xdr:col>28</xdr:col>
      <xdr:colOff>304800</xdr:colOff>
      <xdr:row>155</xdr:row>
      <xdr:rowOff>19050</xdr:rowOff>
    </xdr:to>
    <xdr:graphicFrame macro="">
      <xdr:nvGraphicFramePr>
        <xdr:cNvPr id="2907472" name="Chart 6">
          <a:extLst>
            <a:ext uri="{FF2B5EF4-FFF2-40B4-BE49-F238E27FC236}">
              <a16:creationId xmlns:a16="http://schemas.microsoft.com/office/drawing/2014/main" id="{4E7E307A-7AED-4A4F-A16D-8A8B33791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371475</xdr:colOff>
      <xdr:row>184</xdr:row>
      <xdr:rowOff>95250</xdr:rowOff>
    </xdr:from>
    <xdr:to>
      <xdr:col>29</xdr:col>
      <xdr:colOff>38100</xdr:colOff>
      <xdr:row>195</xdr:row>
      <xdr:rowOff>47625</xdr:rowOff>
    </xdr:to>
    <xdr:graphicFrame macro="">
      <xdr:nvGraphicFramePr>
        <xdr:cNvPr id="3349996" name="Chart 8">
          <a:extLst>
            <a:ext uri="{FF2B5EF4-FFF2-40B4-BE49-F238E27FC236}">
              <a16:creationId xmlns:a16="http://schemas.microsoft.com/office/drawing/2014/main" id="{0A75CF63-E15A-4CC7-9673-C3C2407C9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161925</xdr:colOff>
      <xdr:row>198</xdr:row>
      <xdr:rowOff>19050</xdr:rowOff>
    </xdr:from>
    <xdr:to>
      <xdr:col>13</xdr:col>
      <xdr:colOff>95250</xdr:colOff>
      <xdr:row>212</xdr:row>
      <xdr:rowOff>171450</xdr:rowOff>
    </xdr:to>
    <xdr:graphicFrame macro="">
      <xdr:nvGraphicFramePr>
        <xdr:cNvPr id="3349997" name="Chart 9">
          <a:extLst>
            <a:ext uri="{FF2B5EF4-FFF2-40B4-BE49-F238E27FC236}">
              <a16:creationId xmlns:a16="http://schemas.microsoft.com/office/drawing/2014/main" id="{D154C16E-272C-4845-B11B-69A7A5086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38100</xdr:colOff>
      <xdr:row>214</xdr:row>
      <xdr:rowOff>28575</xdr:rowOff>
    </xdr:from>
    <xdr:to>
      <xdr:col>8</xdr:col>
      <xdr:colOff>600075</xdr:colOff>
      <xdr:row>224</xdr:row>
      <xdr:rowOff>171450</xdr:rowOff>
    </xdr:to>
    <xdr:graphicFrame macro="">
      <xdr:nvGraphicFramePr>
        <xdr:cNvPr id="3349998" name="Chart 10">
          <a:extLst>
            <a:ext uri="{FF2B5EF4-FFF2-40B4-BE49-F238E27FC236}">
              <a16:creationId xmlns:a16="http://schemas.microsoft.com/office/drawing/2014/main" id="{8EEA12BE-7E6E-41E2-B309-C04A00EC4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9525</xdr:colOff>
      <xdr:row>214</xdr:row>
      <xdr:rowOff>9525</xdr:rowOff>
    </xdr:from>
    <xdr:to>
      <xdr:col>27</xdr:col>
      <xdr:colOff>609600</xdr:colOff>
      <xdr:row>223</xdr:row>
      <xdr:rowOff>171450</xdr:rowOff>
    </xdr:to>
    <xdr:graphicFrame macro="">
      <xdr:nvGraphicFramePr>
        <xdr:cNvPr id="3349999" name="Chart 11">
          <a:extLst>
            <a:ext uri="{FF2B5EF4-FFF2-40B4-BE49-F238E27FC236}">
              <a16:creationId xmlns:a16="http://schemas.microsoft.com/office/drawing/2014/main" id="{6D88108A-99D7-40DC-9BF2-DC9380861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485775</xdr:colOff>
      <xdr:row>184</xdr:row>
      <xdr:rowOff>19050</xdr:rowOff>
    </xdr:from>
    <xdr:to>
      <xdr:col>33</xdr:col>
      <xdr:colOff>400050</xdr:colOff>
      <xdr:row>195</xdr:row>
      <xdr:rowOff>171450</xdr:rowOff>
    </xdr:to>
    <xdr:graphicFrame macro="">
      <xdr:nvGraphicFramePr>
        <xdr:cNvPr id="3350000" name="Chart 12">
          <a:extLst>
            <a:ext uri="{FF2B5EF4-FFF2-40B4-BE49-F238E27FC236}">
              <a16:creationId xmlns:a16="http://schemas.microsoft.com/office/drawing/2014/main" id="{C09FF08B-ACCE-4B44-A3B4-CEDF9802D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198</xdr:row>
      <xdr:rowOff>0</xdr:rowOff>
    </xdr:from>
    <xdr:to>
      <xdr:col>30</xdr:col>
      <xdr:colOff>38100</xdr:colOff>
      <xdr:row>212</xdr:row>
      <xdr:rowOff>133350</xdr:rowOff>
    </xdr:to>
    <xdr:graphicFrame macro="">
      <xdr:nvGraphicFramePr>
        <xdr:cNvPr id="3350001" name="Chart 13">
          <a:extLst>
            <a:ext uri="{FF2B5EF4-FFF2-40B4-BE49-F238E27FC236}">
              <a16:creationId xmlns:a16="http://schemas.microsoft.com/office/drawing/2014/main" id="{107FCF0D-488A-457F-B2DF-432799000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47625</xdr:colOff>
      <xdr:row>226</xdr:row>
      <xdr:rowOff>171450</xdr:rowOff>
    </xdr:from>
    <xdr:to>
      <xdr:col>10</xdr:col>
      <xdr:colOff>47625</xdr:colOff>
      <xdr:row>236</xdr:row>
      <xdr:rowOff>171450</xdr:rowOff>
    </xdr:to>
    <xdr:graphicFrame macro="">
      <xdr:nvGraphicFramePr>
        <xdr:cNvPr id="3350002" name="Chart 14">
          <a:extLst>
            <a:ext uri="{FF2B5EF4-FFF2-40B4-BE49-F238E27FC236}">
              <a16:creationId xmlns:a16="http://schemas.microsoft.com/office/drawing/2014/main" id="{4837FBCC-6E54-4C28-A8B4-3E4D73135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200</xdr:row>
      <xdr:rowOff>47625</xdr:rowOff>
    </xdr:from>
    <xdr:to>
      <xdr:col>38</xdr:col>
      <xdr:colOff>9525</xdr:colOff>
      <xdr:row>216</xdr:row>
      <xdr:rowOff>9525</xdr:rowOff>
    </xdr:to>
    <xdr:graphicFrame macro="">
      <xdr:nvGraphicFramePr>
        <xdr:cNvPr id="3350003" name="Chart 16">
          <a:extLst>
            <a:ext uri="{FF2B5EF4-FFF2-40B4-BE49-F238E27FC236}">
              <a16:creationId xmlns:a16="http://schemas.microsoft.com/office/drawing/2014/main" id="{F9734BE0-F680-4216-9985-64534B8ED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342900</xdr:colOff>
      <xdr:row>106</xdr:row>
      <xdr:rowOff>142875</xdr:rowOff>
    </xdr:from>
    <xdr:to>
      <xdr:col>43</xdr:col>
      <xdr:colOff>257175</xdr:colOff>
      <xdr:row>127</xdr:row>
      <xdr:rowOff>133350</xdr:rowOff>
    </xdr:to>
    <xdr:graphicFrame macro="">
      <xdr:nvGraphicFramePr>
        <xdr:cNvPr id="3350004" name="Chart 1">
          <a:extLst>
            <a:ext uri="{FF2B5EF4-FFF2-40B4-BE49-F238E27FC236}">
              <a16:creationId xmlns:a16="http://schemas.microsoft.com/office/drawing/2014/main" id="{540C9991-4D2B-46D1-80E0-CA692E8C5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23813</xdr:colOff>
      <xdr:row>37</xdr:row>
      <xdr:rowOff>20109</xdr:rowOff>
    </xdr:from>
    <xdr:to>
      <xdr:col>29</xdr:col>
      <xdr:colOff>423334</xdr:colOff>
      <xdr:row>53</xdr:row>
      <xdr:rowOff>158750</xdr:rowOff>
    </xdr:to>
    <xdr:graphicFrame macro="">
      <xdr:nvGraphicFramePr>
        <xdr:cNvPr id="2" name="Chart 1">
          <a:extLst>
            <a:ext uri="{FF2B5EF4-FFF2-40B4-BE49-F238E27FC236}">
              <a16:creationId xmlns:a16="http://schemas.microsoft.com/office/drawing/2014/main" id="{ABA1BCA5-ADA8-2BC9-F73F-758E2EB742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240926</xdr:colOff>
      <xdr:row>40</xdr:row>
      <xdr:rowOff>1121</xdr:rowOff>
    </xdr:from>
    <xdr:to>
      <xdr:col>39</xdr:col>
      <xdr:colOff>448236</xdr:colOff>
      <xdr:row>59</xdr:row>
      <xdr:rowOff>156882</xdr:rowOff>
    </xdr:to>
    <xdr:graphicFrame macro="">
      <xdr:nvGraphicFramePr>
        <xdr:cNvPr id="7" name="Chart 2">
          <a:extLst>
            <a:ext uri="{FF2B5EF4-FFF2-40B4-BE49-F238E27FC236}">
              <a16:creationId xmlns:a16="http://schemas.microsoft.com/office/drawing/2014/main" id="{AB6A4CD6-D638-0332-269F-3D10B9E20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38100</xdr:colOff>
      <xdr:row>137</xdr:row>
      <xdr:rowOff>9525</xdr:rowOff>
    </xdr:from>
    <xdr:to>
      <xdr:col>10</xdr:col>
      <xdr:colOff>571500</xdr:colOff>
      <xdr:row>156</xdr:row>
      <xdr:rowOff>152400</xdr:rowOff>
    </xdr:to>
    <xdr:graphicFrame macro="">
      <xdr:nvGraphicFramePr>
        <xdr:cNvPr id="2928619" name="Chart 3">
          <a:extLst>
            <a:ext uri="{FF2B5EF4-FFF2-40B4-BE49-F238E27FC236}">
              <a16:creationId xmlns:a16="http://schemas.microsoft.com/office/drawing/2014/main" id="{6CCAF941-82A1-4852-920C-29644A412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137</xdr:row>
      <xdr:rowOff>19050</xdr:rowOff>
    </xdr:from>
    <xdr:to>
      <xdr:col>19</xdr:col>
      <xdr:colOff>542925</xdr:colOff>
      <xdr:row>156</xdr:row>
      <xdr:rowOff>171450</xdr:rowOff>
    </xdr:to>
    <xdr:graphicFrame macro="">
      <xdr:nvGraphicFramePr>
        <xdr:cNvPr id="2928620" name="Chart 6">
          <a:extLst>
            <a:ext uri="{FF2B5EF4-FFF2-40B4-BE49-F238E27FC236}">
              <a16:creationId xmlns:a16="http://schemas.microsoft.com/office/drawing/2014/main" id="{CB1DEEE4-A89E-4439-8A44-3E5602533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28575</xdr:colOff>
      <xdr:row>34</xdr:row>
      <xdr:rowOff>19050</xdr:rowOff>
    </xdr:from>
    <xdr:to>
      <xdr:col>19</xdr:col>
      <xdr:colOff>295275</xdr:colOff>
      <xdr:row>51</xdr:row>
      <xdr:rowOff>95250</xdr:rowOff>
    </xdr:to>
    <xdr:graphicFrame macro="">
      <xdr:nvGraphicFramePr>
        <xdr:cNvPr id="2928621" name="Chart 1">
          <a:extLst>
            <a:ext uri="{FF2B5EF4-FFF2-40B4-BE49-F238E27FC236}">
              <a16:creationId xmlns:a16="http://schemas.microsoft.com/office/drawing/2014/main" id="{6374FDCC-9E17-48A9-A956-D6FC2D7F3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38100</xdr:colOff>
      <xdr:row>34</xdr:row>
      <xdr:rowOff>19050</xdr:rowOff>
    </xdr:from>
    <xdr:to>
      <xdr:col>26</xdr:col>
      <xdr:colOff>371475</xdr:colOff>
      <xdr:row>51</xdr:row>
      <xdr:rowOff>95250</xdr:rowOff>
    </xdr:to>
    <xdr:graphicFrame macro="">
      <xdr:nvGraphicFramePr>
        <xdr:cNvPr id="2928622" name="Chart 1">
          <a:extLst>
            <a:ext uri="{FF2B5EF4-FFF2-40B4-BE49-F238E27FC236}">
              <a16:creationId xmlns:a16="http://schemas.microsoft.com/office/drawing/2014/main" id="{55FE28D7-7A31-4BB5-B780-6B5318722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76200</xdr:colOff>
      <xdr:row>66</xdr:row>
      <xdr:rowOff>57150</xdr:rowOff>
    </xdr:from>
    <xdr:to>
      <xdr:col>19</xdr:col>
      <xdr:colOff>342900</xdr:colOff>
      <xdr:row>86</xdr:row>
      <xdr:rowOff>133350</xdr:rowOff>
    </xdr:to>
    <xdr:graphicFrame macro="">
      <xdr:nvGraphicFramePr>
        <xdr:cNvPr id="2928623" name="Chart 1">
          <a:extLst>
            <a:ext uri="{FF2B5EF4-FFF2-40B4-BE49-F238E27FC236}">
              <a16:creationId xmlns:a16="http://schemas.microsoft.com/office/drawing/2014/main" id="{E3A981C6-BEDF-4DB6-8FB4-EA803A12E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38100</xdr:colOff>
      <xdr:row>66</xdr:row>
      <xdr:rowOff>57150</xdr:rowOff>
    </xdr:from>
    <xdr:to>
      <xdr:col>26</xdr:col>
      <xdr:colOff>295275</xdr:colOff>
      <xdr:row>86</xdr:row>
      <xdr:rowOff>133350</xdr:rowOff>
    </xdr:to>
    <xdr:graphicFrame macro="">
      <xdr:nvGraphicFramePr>
        <xdr:cNvPr id="2928624" name="Chart 1">
          <a:extLst>
            <a:ext uri="{FF2B5EF4-FFF2-40B4-BE49-F238E27FC236}">
              <a16:creationId xmlns:a16="http://schemas.microsoft.com/office/drawing/2014/main" id="{DE5960CA-1C93-44CA-B282-0CF713997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285750</xdr:colOff>
      <xdr:row>40</xdr:row>
      <xdr:rowOff>95250</xdr:rowOff>
    </xdr:from>
    <xdr:to>
      <xdr:col>37</xdr:col>
      <xdr:colOff>571500</xdr:colOff>
      <xdr:row>54</xdr:row>
      <xdr:rowOff>171450</xdr:rowOff>
    </xdr:to>
    <xdr:graphicFrame macro="">
      <xdr:nvGraphicFramePr>
        <xdr:cNvPr id="2937000" name="Chart 1">
          <a:extLst>
            <a:ext uri="{FF2B5EF4-FFF2-40B4-BE49-F238E27FC236}">
              <a16:creationId xmlns:a16="http://schemas.microsoft.com/office/drawing/2014/main" id="{DAC56F99-1268-4F48-852C-468C89627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666750</xdr:colOff>
      <xdr:row>854</xdr:row>
      <xdr:rowOff>66675</xdr:rowOff>
    </xdr:from>
    <xdr:to>
      <xdr:col>11</xdr:col>
      <xdr:colOff>685800</xdr:colOff>
      <xdr:row>874</xdr:row>
      <xdr:rowOff>95250</xdr:rowOff>
    </xdr:to>
    <xdr:graphicFrame macro="">
      <xdr:nvGraphicFramePr>
        <xdr:cNvPr id="2940239" name="Chart 5">
          <a:extLst>
            <a:ext uri="{FF2B5EF4-FFF2-40B4-BE49-F238E27FC236}">
              <a16:creationId xmlns:a16="http://schemas.microsoft.com/office/drawing/2014/main" id="{0FA46AC0-FC85-4510-A37A-EA334888A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314325</xdr:colOff>
      <xdr:row>593</xdr:row>
      <xdr:rowOff>142875</xdr:rowOff>
    </xdr:from>
    <xdr:to>
      <xdr:col>21</xdr:col>
      <xdr:colOff>0</xdr:colOff>
      <xdr:row>615</xdr:row>
      <xdr:rowOff>19050</xdr:rowOff>
    </xdr:to>
    <xdr:graphicFrame macro="">
      <xdr:nvGraphicFramePr>
        <xdr:cNvPr id="2940240" name="Chart 7">
          <a:extLst>
            <a:ext uri="{FF2B5EF4-FFF2-40B4-BE49-F238E27FC236}">
              <a16:creationId xmlns:a16="http://schemas.microsoft.com/office/drawing/2014/main" id="{8B736A95-EA9C-4D1F-A0CB-3ACDE4E77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9525</xdr:colOff>
      <xdr:row>74</xdr:row>
      <xdr:rowOff>0</xdr:rowOff>
    </xdr:from>
    <xdr:to>
      <xdr:col>17</xdr:col>
      <xdr:colOff>676275</xdr:colOff>
      <xdr:row>96</xdr:row>
      <xdr:rowOff>0</xdr:rowOff>
    </xdr:to>
    <xdr:graphicFrame macro="">
      <xdr:nvGraphicFramePr>
        <xdr:cNvPr id="2944335" name="Chart 100">
          <a:extLst>
            <a:ext uri="{FF2B5EF4-FFF2-40B4-BE49-F238E27FC236}">
              <a16:creationId xmlns:a16="http://schemas.microsoft.com/office/drawing/2014/main" id="{BA7F72A8-2D14-4C5F-896B-DB6FBE0CB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98</xdr:row>
      <xdr:rowOff>0</xdr:rowOff>
    </xdr:from>
    <xdr:to>
      <xdr:col>16</xdr:col>
      <xdr:colOff>581025</xdr:colOff>
      <xdr:row>115</xdr:row>
      <xdr:rowOff>152400</xdr:rowOff>
    </xdr:to>
    <xdr:graphicFrame macro="">
      <xdr:nvGraphicFramePr>
        <xdr:cNvPr id="2944336" name="Chart 101">
          <a:extLst>
            <a:ext uri="{FF2B5EF4-FFF2-40B4-BE49-F238E27FC236}">
              <a16:creationId xmlns:a16="http://schemas.microsoft.com/office/drawing/2014/main" id="{EDF8A9AE-3B13-42B2-AFF7-8254EDF0B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77</xdr:col>
      <xdr:colOff>547159</xdr:colOff>
      <xdr:row>322</xdr:row>
      <xdr:rowOff>41805</xdr:rowOff>
    </xdr:from>
    <xdr:to>
      <xdr:col>83</xdr:col>
      <xdr:colOff>595313</xdr:colOff>
      <xdr:row>340</xdr:row>
      <xdr:rowOff>79376</xdr:rowOff>
    </xdr:to>
    <xdr:graphicFrame macro="">
      <xdr:nvGraphicFramePr>
        <xdr:cNvPr id="10629863" name="Chart 1">
          <a:extLst>
            <a:ext uri="{FF2B5EF4-FFF2-40B4-BE49-F238E27FC236}">
              <a16:creationId xmlns:a16="http://schemas.microsoft.com/office/drawing/2014/main" id="{72AAC8D8-6789-4438-91F5-0FF106338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71</xdr:col>
      <xdr:colOff>1</xdr:colOff>
      <xdr:row>366</xdr:row>
      <xdr:rowOff>66145</xdr:rowOff>
    </xdr:from>
    <xdr:to>
      <xdr:col>74</xdr:col>
      <xdr:colOff>595312</xdr:colOff>
      <xdr:row>370</xdr:row>
      <xdr:rowOff>132291</xdr:rowOff>
    </xdr:to>
    <xdr:graphicFrame macro="">
      <xdr:nvGraphicFramePr>
        <xdr:cNvPr id="10629864" name="Chart 1">
          <a:extLst>
            <a:ext uri="{FF2B5EF4-FFF2-40B4-BE49-F238E27FC236}">
              <a16:creationId xmlns:a16="http://schemas.microsoft.com/office/drawing/2014/main" id="{AF400A46-D6FD-4219-BD2F-432CEB0FD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46</xdr:col>
      <xdr:colOff>0</xdr:colOff>
      <xdr:row>4</xdr:row>
      <xdr:rowOff>95250</xdr:rowOff>
    </xdr:from>
    <xdr:to>
      <xdr:col>53</xdr:col>
      <xdr:colOff>314325</xdr:colOff>
      <xdr:row>23</xdr:row>
      <xdr:rowOff>66675</xdr:rowOff>
    </xdr:to>
    <xdr:graphicFrame macro="">
      <xdr:nvGraphicFramePr>
        <xdr:cNvPr id="2" name="Chart 1">
          <a:extLst>
            <a:ext uri="{FF2B5EF4-FFF2-40B4-BE49-F238E27FC236}">
              <a16:creationId xmlns:a16="http://schemas.microsoft.com/office/drawing/2014/main" id="{E247F595-9AE1-4DA7-9F2D-FB601C748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217714</xdr:colOff>
      <xdr:row>157</xdr:row>
      <xdr:rowOff>40821</xdr:rowOff>
    </xdr:from>
    <xdr:to>
      <xdr:col>14</xdr:col>
      <xdr:colOff>520700</xdr:colOff>
      <xdr:row>175</xdr:row>
      <xdr:rowOff>127000</xdr:rowOff>
    </xdr:to>
    <xdr:graphicFrame macro="">
      <xdr:nvGraphicFramePr>
        <xdr:cNvPr id="4" name="Chart 1">
          <a:extLst>
            <a:ext uri="{FF2B5EF4-FFF2-40B4-BE49-F238E27FC236}">
              <a16:creationId xmlns:a16="http://schemas.microsoft.com/office/drawing/2014/main" id="{99EA1D6C-84FD-40F5-BC90-BEF0B3600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246379</xdr:colOff>
      <xdr:row>86</xdr:row>
      <xdr:rowOff>31387</xdr:rowOff>
    </xdr:from>
    <xdr:to>
      <xdr:col>24</xdr:col>
      <xdr:colOff>627741</xdr:colOff>
      <xdr:row>104</xdr:row>
      <xdr:rowOff>189230</xdr:rowOff>
    </xdr:to>
    <xdr:graphicFrame macro="">
      <xdr:nvGraphicFramePr>
        <xdr:cNvPr id="3" name="Chart 2">
          <a:extLst>
            <a:ext uri="{FF2B5EF4-FFF2-40B4-BE49-F238E27FC236}">
              <a16:creationId xmlns:a16="http://schemas.microsoft.com/office/drawing/2014/main" id="{BF2B3320-2361-45B4-B5B7-947E6859D2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254000</xdr:colOff>
      <xdr:row>157</xdr:row>
      <xdr:rowOff>50800</xdr:rowOff>
    </xdr:from>
    <xdr:to>
      <xdr:col>24</xdr:col>
      <xdr:colOff>163286</xdr:colOff>
      <xdr:row>175</xdr:row>
      <xdr:rowOff>136979</xdr:rowOff>
    </xdr:to>
    <xdr:graphicFrame macro="">
      <xdr:nvGraphicFramePr>
        <xdr:cNvPr id="5" name="Chart 1">
          <a:extLst>
            <a:ext uri="{FF2B5EF4-FFF2-40B4-BE49-F238E27FC236}">
              <a16:creationId xmlns:a16="http://schemas.microsoft.com/office/drawing/2014/main" id="{EEF77752-7886-4798-BAB5-F6A608335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33</xdr:col>
      <xdr:colOff>38100</xdr:colOff>
      <xdr:row>321</xdr:row>
      <xdr:rowOff>152400</xdr:rowOff>
    </xdr:from>
    <xdr:to>
      <xdr:col>43</xdr:col>
      <xdr:colOff>533400</xdr:colOff>
      <xdr:row>342</xdr:row>
      <xdr:rowOff>57150</xdr:rowOff>
    </xdr:to>
    <xdr:graphicFrame macro="">
      <xdr:nvGraphicFramePr>
        <xdr:cNvPr id="24879513" name="Chart 44">
          <a:extLst>
            <a:ext uri="{FF2B5EF4-FFF2-40B4-BE49-F238E27FC236}">
              <a16:creationId xmlns:a16="http://schemas.microsoft.com/office/drawing/2014/main" id="{C5848D51-3D2A-47A2-863F-C8ADAEF2B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171450</xdr:colOff>
      <xdr:row>334</xdr:row>
      <xdr:rowOff>66675</xdr:rowOff>
    </xdr:from>
    <xdr:to>
      <xdr:col>29</xdr:col>
      <xdr:colOff>352425</xdr:colOff>
      <xdr:row>339</xdr:row>
      <xdr:rowOff>123825</xdr:rowOff>
    </xdr:to>
    <xdr:sp macro="" textlink="">
      <xdr:nvSpPr>
        <xdr:cNvPr id="24879514" name="Oval 125">
          <a:extLst>
            <a:ext uri="{FF2B5EF4-FFF2-40B4-BE49-F238E27FC236}">
              <a16:creationId xmlns:a16="http://schemas.microsoft.com/office/drawing/2014/main" id="{35985E94-CBFD-41CE-ADF8-6EFCC7DA3DFE}"/>
            </a:ext>
          </a:extLst>
        </xdr:cNvPr>
        <xdr:cNvSpPr>
          <a:spLocks noChangeArrowheads="1"/>
        </xdr:cNvSpPr>
      </xdr:nvSpPr>
      <xdr:spPr bwMode="auto">
        <a:xfrm>
          <a:off x="19783425" y="65122425"/>
          <a:ext cx="733425" cy="10096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476250</xdr:colOff>
      <xdr:row>321</xdr:row>
      <xdr:rowOff>9525</xdr:rowOff>
    </xdr:from>
    <xdr:to>
      <xdr:col>53</xdr:col>
      <xdr:colOff>361950</xdr:colOff>
      <xdr:row>342</xdr:row>
      <xdr:rowOff>95250</xdr:rowOff>
    </xdr:to>
    <xdr:graphicFrame macro="">
      <xdr:nvGraphicFramePr>
        <xdr:cNvPr id="24879515" name="Chart 158">
          <a:extLst>
            <a:ext uri="{FF2B5EF4-FFF2-40B4-BE49-F238E27FC236}">
              <a16:creationId xmlns:a16="http://schemas.microsoft.com/office/drawing/2014/main" id="{383B2B93-1B01-41E7-A3CE-741A03856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28575</xdr:colOff>
      <xdr:row>315</xdr:row>
      <xdr:rowOff>28575</xdr:rowOff>
    </xdr:from>
    <xdr:to>
      <xdr:col>61</xdr:col>
      <xdr:colOff>571500</xdr:colOff>
      <xdr:row>332</xdr:row>
      <xdr:rowOff>66675</xdr:rowOff>
    </xdr:to>
    <xdr:graphicFrame macro="">
      <xdr:nvGraphicFramePr>
        <xdr:cNvPr id="24879516" name="Chart 1">
          <a:extLst>
            <a:ext uri="{FF2B5EF4-FFF2-40B4-BE49-F238E27FC236}">
              <a16:creationId xmlns:a16="http://schemas.microsoft.com/office/drawing/2014/main" id="{0CB22851-C3BD-4E82-B540-BD2FE6702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1855</xdr:row>
      <xdr:rowOff>28575</xdr:rowOff>
    </xdr:from>
    <xdr:to>
      <xdr:col>15</xdr:col>
      <xdr:colOff>504825</xdr:colOff>
      <xdr:row>1870</xdr:row>
      <xdr:rowOff>142875</xdr:rowOff>
    </xdr:to>
    <xdr:graphicFrame macro="">
      <xdr:nvGraphicFramePr>
        <xdr:cNvPr id="24879517" name="Chart 2">
          <a:extLst>
            <a:ext uri="{FF2B5EF4-FFF2-40B4-BE49-F238E27FC236}">
              <a16:creationId xmlns:a16="http://schemas.microsoft.com/office/drawing/2014/main" id="{28CB33CE-F511-41D8-B911-889F31C8FC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38100</xdr:colOff>
      <xdr:row>2175</xdr:row>
      <xdr:rowOff>28575</xdr:rowOff>
    </xdr:from>
    <xdr:to>
      <xdr:col>34</xdr:col>
      <xdr:colOff>600075</xdr:colOff>
      <xdr:row>2192</xdr:row>
      <xdr:rowOff>152400</xdr:rowOff>
    </xdr:to>
    <xdr:graphicFrame macro="">
      <xdr:nvGraphicFramePr>
        <xdr:cNvPr id="24879518" name="Chart 1">
          <a:extLst>
            <a:ext uri="{FF2B5EF4-FFF2-40B4-BE49-F238E27FC236}">
              <a16:creationId xmlns:a16="http://schemas.microsoft.com/office/drawing/2014/main" id="{131F28E9-B8E3-406A-AC49-B6E70AB62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38100</xdr:colOff>
      <xdr:row>2175</xdr:row>
      <xdr:rowOff>19050</xdr:rowOff>
    </xdr:from>
    <xdr:to>
      <xdr:col>41</xdr:col>
      <xdr:colOff>247650</xdr:colOff>
      <xdr:row>2192</xdr:row>
      <xdr:rowOff>95250</xdr:rowOff>
    </xdr:to>
    <xdr:graphicFrame macro="">
      <xdr:nvGraphicFramePr>
        <xdr:cNvPr id="24879519" name="Chart 2">
          <a:extLst>
            <a:ext uri="{FF2B5EF4-FFF2-40B4-BE49-F238E27FC236}">
              <a16:creationId xmlns:a16="http://schemas.microsoft.com/office/drawing/2014/main" id="{70461B9D-3837-4978-8901-A38932B60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293641</xdr:colOff>
      <xdr:row>2508</xdr:row>
      <xdr:rowOff>59864</xdr:rowOff>
    </xdr:from>
    <xdr:to>
      <xdr:col>13</xdr:col>
      <xdr:colOff>293641</xdr:colOff>
      <xdr:row>2511</xdr:row>
      <xdr:rowOff>85413</xdr:rowOff>
    </xdr:to>
    <xdr:cxnSp macro="">
      <xdr:nvCxnSpPr>
        <xdr:cNvPr id="8" name="Straight Arrow Connector 7">
          <a:extLst>
            <a:ext uri="{FF2B5EF4-FFF2-40B4-BE49-F238E27FC236}">
              <a16:creationId xmlns:a16="http://schemas.microsoft.com/office/drawing/2014/main" id="{16D7F4AE-D4B2-4F03-87B9-72E5D06E0189}"/>
            </a:ext>
          </a:extLst>
        </xdr:cNvPr>
        <xdr:cNvCxnSpPr/>
      </xdr:nvCxnSpPr>
      <xdr:spPr>
        <a:xfrm>
          <a:off x="8504463" y="485040217"/>
          <a:ext cx="0" cy="61231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355690</xdr:colOff>
      <xdr:row>2508</xdr:row>
      <xdr:rowOff>87358</xdr:rowOff>
    </xdr:from>
    <xdr:to>
      <xdr:col>13</xdr:col>
      <xdr:colOff>131830</xdr:colOff>
      <xdr:row>2511</xdr:row>
      <xdr:rowOff>64572</xdr:rowOff>
    </xdr:to>
    <xdr:cxnSp macro="">
      <xdr:nvCxnSpPr>
        <xdr:cNvPr id="73" name="Straight Arrow Connector 72">
          <a:extLst>
            <a:ext uri="{FF2B5EF4-FFF2-40B4-BE49-F238E27FC236}">
              <a16:creationId xmlns:a16="http://schemas.microsoft.com/office/drawing/2014/main" id="{690ADB8A-D6D1-40EB-8E61-BF53DD389744}"/>
            </a:ext>
          </a:extLst>
        </xdr:cNvPr>
        <xdr:cNvCxnSpPr/>
      </xdr:nvCxnSpPr>
      <xdr:spPr>
        <a:xfrm>
          <a:off x="7456714" y="485081036"/>
          <a:ext cx="898072" cy="5442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7562</xdr:colOff>
      <xdr:row>2508</xdr:row>
      <xdr:rowOff>87358</xdr:rowOff>
    </xdr:from>
    <xdr:to>
      <xdr:col>15</xdr:col>
      <xdr:colOff>267556</xdr:colOff>
      <xdr:row>2511</xdr:row>
      <xdr:rowOff>61201</xdr:rowOff>
    </xdr:to>
    <xdr:cxnSp macro="">
      <xdr:nvCxnSpPr>
        <xdr:cNvPr id="75" name="Straight Arrow Connector 74">
          <a:extLst>
            <a:ext uri="{FF2B5EF4-FFF2-40B4-BE49-F238E27FC236}">
              <a16:creationId xmlns:a16="http://schemas.microsoft.com/office/drawing/2014/main" id="{FFD17FF2-24BB-4CF1-9185-E61555BEC12F}"/>
            </a:ext>
          </a:extLst>
        </xdr:cNvPr>
        <xdr:cNvCxnSpPr/>
      </xdr:nvCxnSpPr>
      <xdr:spPr>
        <a:xfrm flipH="1">
          <a:off x="8681357" y="485081036"/>
          <a:ext cx="925287" cy="53067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297179</xdr:colOff>
      <xdr:row>2508</xdr:row>
      <xdr:rowOff>64634</xdr:rowOff>
    </xdr:from>
    <xdr:to>
      <xdr:col>19</xdr:col>
      <xdr:colOff>174141</xdr:colOff>
      <xdr:row>2511</xdr:row>
      <xdr:rowOff>114702</xdr:rowOff>
    </xdr:to>
    <xdr:cxnSp macro="">
      <xdr:nvCxnSpPr>
        <xdr:cNvPr id="86" name="Straight Arrow Connector 85">
          <a:extLst>
            <a:ext uri="{FF2B5EF4-FFF2-40B4-BE49-F238E27FC236}">
              <a16:creationId xmlns:a16="http://schemas.microsoft.com/office/drawing/2014/main" id="{81DA9710-B37E-44BA-8430-BE5F4149DC47}"/>
            </a:ext>
          </a:extLst>
        </xdr:cNvPr>
        <xdr:cNvCxnSpPr/>
      </xdr:nvCxnSpPr>
      <xdr:spPr>
        <a:xfrm>
          <a:off x="11408228" y="485059265"/>
          <a:ext cx="484415" cy="63409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11973</xdr:colOff>
      <xdr:row>2508</xdr:row>
      <xdr:rowOff>62311</xdr:rowOff>
    </xdr:from>
    <xdr:to>
      <xdr:col>21</xdr:col>
      <xdr:colOff>400602</xdr:colOff>
      <xdr:row>2511</xdr:row>
      <xdr:rowOff>136597</xdr:rowOff>
    </xdr:to>
    <xdr:cxnSp macro="">
      <xdr:nvCxnSpPr>
        <xdr:cNvPr id="88" name="Straight Arrow Connector 87">
          <a:extLst>
            <a:ext uri="{FF2B5EF4-FFF2-40B4-BE49-F238E27FC236}">
              <a16:creationId xmlns:a16="http://schemas.microsoft.com/office/drawing/2014/main" id="{9E6069ED-F1C8-410D-84A6-069C8CF12EAC}"/>
            </a:ext>
          </a:extLst>
        </xdr:cNvPr>
        <xdr:cNvCxnSpPr/>
      </xdr:nvCxnSpPr>
      <xdr:spPr>
        <a:xfrm>
          <a:off x="12594770" y="485048379"/>
          <a:ext cx="400050" cy="6313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145052</xdr:colOff>
      <xdr:row>2508</xdr:row>
      <xdr:rowOff>61223</xdr:rowOff>
    </xdr:from>
    <xdr:to>
      <xdr:col>20</xdr:col>
      <xdr:colOff>432840</xdr:colOff>
      <xdr:row>2511</xdr:row>
      <xdr:rowOff>84449</xdr:rowOff>
    </xdr:to>
    <xdr:cxnSp macro="">
      <xdr:nvCxnSpPr>
        <xdr:cNvPr id="91" name="Straight Arrow Connector 90">
          <a:extLst>
            <a:ext uri="{FF2B5EF4-FFF2-40B4-BE49-F238E27FC236}">
              <a16:creationId xmlns:a16="http://schemas.microsoft.com/office/drawing/2014/main" id="{6F27A79E-AADC-4A3E-8F2A-A9A8C055E907}"/>
            </a:ext>
          </a:extLst>
        </xdr:cNvPr>
        <xdr:cNvCxnSpPr/>
      </xdr:nvCxnSpPr>
      <xdr:spPr>
        <a:xfrm flipH="1">
          <a:off x="12055928" y="485051101"/>
          <a:ext cx="500741" cy="6150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297180</xdr:colOff>
      <xdr:row>2504</xdr:row>
      <xdr:rowOff>59861</xdr:rowOff>
    </xdr:from>
    <xdr:to>
      <xdr:col>15</xdr:col>
      <xdr:colOff>297180</xdr:colOff>
      <xdr:row>2506</xdr:row>
      <xdr:rowOff>112693</xdr:rowOff>
    </xdr:to>
    <xdr:cxnSp macro="">
      <xdr:nvCxnSpPr>
        <xdr:cNvPr id="95" name="Straight Arrow Connector 94">
          <a:extLst>
            <a:ext uri="{FF2B5EF4-FFF2-40B4-BE49-F238E27FC236}">
              <a16:creationId xmlns:a16="http://schemas.microsoft.com/office/drawing/2014/main" id="{3B212B6C-7EF9-42EE-ADDD-F55A4E1D5D67}"/>
            </a:ext>
          </a:extLst>
        </xdr:cNvPr>
        <xdr:cNvCxnSpPr/>
      </xdr:nvCxnSpPr>
      <xdr:spPr>
        <a:xfrm>
          <a:off x="9620250" y="484278214"/>
          <a:ext cx="0" cy="46264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398415</xdr:colOff>
      <xdr:row>2504</xdr:row>
      <xdr:rowOff>60278</xdr:rowOff>
    </xdr:from>
    <xdr:to>
      <xdr:col>20</xdr:col>
      <xdr:colOff>400017</xdr:colOff>
      <xdr:row>2506</xdr:row>
      <xdr:rowOff>112339</xdr:rowOff>
    </xdr:to>
    <xdr:cxnSp macro="">
      <xdr:nvCxnSpPr>
        <xdr:cNvPr id="101" name="Straight Arrow Connector 100">
          <a:extLst>
            <a:ext uri="{FF2B5EF4-FFF2-40B4-BE49-F238E27FC236}">
              <a16:creationId xmlns:a16="http://schemas.microsoft.com/office/drawing/2014/main" id="{3E5A7D99-D411-4BD5-8E7A-8030976391E7}"/>
            </a:ext>
          </a:extLst>
        </xdr:cNvPr>
        <xdr:cNvCxnSpPr/>
      </xdr:nvCxnSpPr>
      <xdr:spPr>
        <a:xfrm>
          <a:off x="11854541" y="484308149"/>
          <a:ext cx="623209" cy="43270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146957</xdr:colOff>
      <xdr:row>2504</xdr:row>
      <xdr:rowOff>60135</xdr:rowOff>
    </xdr:from>
    <xdr:to>
      <xdr:col>21</xdr:col>
      <xdr:colOff>393442</xdr:colOff>
      <xdr:row>2506</xdr:row>
      <xdr:rowOff>111489</xdr:rowOff>
    </xdr:to>
    <xdr:cxnSp macro="">
      <xdr:nvCxnSpPr>
        <xdr:cNvPr id="105" name="Straight Arrow Connector 104">
          <a:extLst>
            <a:ext uri="{FF2B5EF4-FFF2-40B4-BE49-F238E27FC236}">
              <a16:creationId xmlns:a16="http://schemas.microsoft.com/office/drawing/2014/main" id="{C11C34A5-1456-47D6-87A3-7AD13BDA9970}"/>
            </a:ext>
          </a:extLst>
        </xdr:cNvPr>
        <xdr:cNvCxnSpPr/>
      </xdr:nvCxnSpPr>
      <xdr:spPr>
        <a:xfrm flipH="1">
          <a:off x="12600214" y="484291822"/>
          <a:ext cx="258534" cy="44903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227512</xdr:colOff>
      <xdr:row>2507</xdr:row>
      <xdr:rowOff>152263</xdr:rowOff>
    </xdr:from>
    <xdr:to>
      <xdr:col>17</xdr:col>
      <xdr:colOff>311631</xdr:colOff>
      <xdr:row>2509</xdr:row>
      <xdr:rowOff>61731</xdr:rowOff>
    </xdr:to>
    <xdr:sp macro="" textlink="">
      <xdr:nvSpPr>
        <xdr:cNvPr id="67" name="Right Arrow 66">
          <a:extLst>
            <a:ext uri="{FF2B5EF4-FFF2-40B4-BE49-F238E27FC236}">
              <a16:creationId xmlns:a16="http://schemas.microsoft.com/office/drawing/2014/main" id="{6D4A4E19-632A-4877-AC61-29580CDB818F}"/>
            </a:ext>
          </a:extLst>
        </xdr:cNvPr>
        <xdr:cNvSpPr/>
      </xdr:nvSpPr>
      <xdr:spPr>
        <a:xfrm>
          <a:off x="10178143" y="484944964"/>
          <a:ext cx="585107" cy="3129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36</xdr:col>
      <xdr:colOff>352425</xdr:colOff>
      <xdr:row>2918</xdr:row>
      <xdr:rowOff>19050</xdr:rowOff>
    </xdr:from>
    <xdr:to>
      <xdr:col>44</xdr:col>
      <xdr:colOff>28575</xdr:colOff>
      <xdr:row>2930</xdr:row>
      <xdr:rowOff>0</xdr:rowOff>
    </xdr:to>
    <xdr:graphicFrame macro="">
      <xdr:nvGraphicFramePr>
        <xdr:cNvPr id="24879530" name="Chart 1">
          <a:extLst>
            <a:ext uri="{FF2B5EF4-FFF2-40B4-BE49-F238E27FC236}">
              <a16:creationId xmlns:a16="http://schemas.microsoft.com/office/drawing/2014/main" id="{982459AD-3B55-4F11-A17B-B7B35765C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66675</xdr:colOff>
      <xdr:row>3845</xdr:row>
      <xdr:rowOff>76200</xdr:rowOff>
    </xdr:from>
    <xdr:to>
      <xdr:col>13</xdr:col>
      <xdr:colOff>104775</xdr:colOff>
      <xdr:row>3859</xdr:row>
      <xdr:rowOff>19050</xdr:rowOff>
    </xdr:to>
    <xdr:graphicFrame macro="">
      <xdr:nvGraphicFramePr>
        <xdr:cNvPr id="24879531" name="Chart 1">
          <a:extLst>
            <a:ext uri="{FF2B5EF4-FFF2-40B4-BE49-F238E27FC236}">
              <a16:creationId xmlns:a16="http://schemas.microsoft.com/office/drawing/2014/main" id="{3D9FCC83-F476-4A08-B145-FA4AF9F90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104775</xdr:colOff>
      <xdr:row>3845</xdr:row>
      <xdr:rowOff>57150</xdr:rowOff>
    </xdr:from>
    <xdr:to>
      <xdr:col>19</xdr:col>
      <xdr:colOff>266700</xdr:colOff>
      <xdr:row>3859</xdr:row>
      <xdr:rowOff>19050</xdr:rowOff>
    </xdr:to>
    <xdr:graphicFrame macro="">
      <xdr:nvGraphicFramePr>
        <xdr:cNvPr id="24879532" name="Chart 96">
          <a:extLst>
            <a:ext uri="{FF2B5EF4-FFF2-40B4-BE49-F238E27FC236}">
              <a16:creationId xmlns:a16="http://schemas.microsoft.com/office/drawing/2014/main" id="{0734B435-08BA-4E17-B444-2A2DF11FA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3862</xdr:row>
      <xdr:rowOff>0</xdr:rowOff>
    </xdr:from>
    <xdr:to>
      <xdr:col>13</xdr:col>
      <xdr:colOff>47625</xdr:colOff>
      <xdr:row>3874</xdr:row>
      <xdr:rowOff>152400</xdr:rowOff>
    </xdr:to>
    <xdr:graphicFrame macro="">
      <xdr:nvGraphicFramePr>
        <xdr:cNvPr id="24879533" name="Chart 97">
          <a:extLst>
            <a:ext uri="{FF2B5EF4-FFF2-40B4-BE49-F238E27FC236}">
              <a16:creationId xmlns:a16="http://schemas.microsoft.com/office/drawing/2014/main" id="{D91942F6-FE35-4275-B7DB-189BCC4F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9525</xdr:colOff>
      <xdr:row>3861</xdr:row>
      <xdr:rowOff>171450</xdr:rowOff>
    </xdr:from>
    <xdr:to>
      <xdr:col>19</xdr:col>
      <xdr:colOff>171450</xdr:colOff>
      <xdr:row>3874</xdr:row>
      <xdr:rowOff>133350</xdr:rowOff>
    </xdr:to>
    <xdr:graphicFrame macro="">
      <xdr:nvGraphicFramePr>
        <xdr:cNvPr id="24879534" name="Chart 98">
          <a:extLst>
            <a:ext uri="{FF2B5EF4-FFF2-40B4-BE49-F238E27FC236}">
              <a16:creationId xmlns:a16="http://schemas.microsoft.com/office/drawing/2014/main" id="{C0F50982-C49F-41B3-988D-F52C84ADAC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3877</xdr:row>
      <xdr:rowOff>0</xdr:rowOff>
    </xdr:from>
    <xdr:to>
      <xdr:col>13</xdr:col>
      <xdr:colOff>47625</xdr:colOff>
      <xdr:row>3890</xdr:row>
      <xdr:rowOff>171450</xdr:rowOff>
    </xdr:to>
    <xdr:graphicFrame macro="">
      <xdr:nvGraphicFramePr>
        <xdr:cNvPr id="24879535" name="Chart 99">
          <a:extLst>
            <a:ext uri="{FF2B5EF4-FFF2-40B4-BE49-F238E27FC236}">
              <a16:creationId xmlns:a16="http://schemas.microsoft.com/office/drawing/2014/main" id="{06DD7F0C-3EFC-43C3-975A-FFCB04728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3877</xdr:row>
      <xdr:rowOff>0</xdr:rowOff>
    </xdr:from>
    <xdr:to>
      <xdr:col>19</xdr:col>
      <xdr:colOff>161925</xdr:colOff>
      <xdr:row>3890</xdr:row>
      <xdr:rowOff>133350</xdr:rowOff>
    </xdr:to>
    <xdr:graphicFrame macro="">
      <xdr:nvGraphicFramePr>
        <xdr:cNvPr id="24879536" name="Chart 101">
          <a:extLst>
            <a:ext uri="{FF2B5EF4-FFF2-40B4-BE49-F238E27FC236}">
              <a16:creationId xmlns:a16="http://schemas.microsoft.com/office/drawing/2014/main" id="{682DC459-AE6A-466C-8030-221C92214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28575</xdr:colOff>
      <xdr:row>3893</xdr:row>
      <xdr:rowOff>104775</xdr:rowOff>
    </xdr:from>
    <xdr:to>
      <xdr:col>13</xdr:col>
      <xdr:colOff>76200</xdr:colOff>
      <xdr:row>3906</xdr:row>
      <xdr:rowOff>76200</xdr:rowOff>
    </xdr:to>
    <xdr:graphicFrame macro="">
      <xdr:nvGraphicFramePr>
        <xdr:cNvPr id="24879537" name="Chart 102">
          <a:extLst>
            <a:ext uri="{FF2B5EF4-FFF2-40B4-BE49-F238E27FC236}">
              <a16:creationId xmlns:a16="http://schemas.microsoft.com/office/drawing/2014/main" id="{44045ABA-7F71-4069-89B7-9AC6B30F8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3893</xdr:row>
      <xdr:rowOff>47625</xdr:rowOff>
    </xdr:from>
    <xdr:to>
      <xdr:col>19</xdr:col>
      <xdr:colOff>228600</xdr:colOff>
      <xdr:row>3907</xdr:row>
      <xdr:rowOff>9525</xdr:rowOff>
    </xdr:to>
    <xdr:graphicFrame macro="">
      <xdr:nvGraphicFramePr>
        <xdr:cNvPr id="24879538" name="Chart 103">
          <a:extLst>
            <a:ext uri="{FF2B5EF4-FFF2-40B4-BE49-F238E27FC236}">
              <a16:creationId xmlns:a16="http://schemas.microsoft.com/office/drawing/2014/main" id="{2776D691-68C1-4E9A-8915-C2B3DA877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409575</xdr:colOff>
      <xdr:row>3845</xdr:row>
      <xdr:rowOff>47625</xdr:rowOff>
    </xdr:from>
    <xdr:to>
      <xdr:col>26</xdr:col>
      <xdr:colOff>95250</xdr:colOff>
      <xdr:row>3859</xdr:row>
      <xdr:rowOff>0</xdr:rowOff>
    </xdr:to>
    <xdr:graphicFrame macro="">
      <xdr:nvGraphicFramePr>
        <xdr:cNvPr id="24879539" name="Chart 105">
          <a:extLst>
            <a:ext uri="{FF2B5EF4-FFF2-40B4-BE49-F238E27FC236}">
              <a16:creationId xmlns:a16="http://schemas.microsoft.com/office/drawing/2014/main" id="{D33B7F80-4646-401A-8D96-8E5378481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0</xdr:colOff>
      <xdr:row>3929</xdr:row>
      <xdr:rowOff>0</xdr:rowOff>
    </xdr:from>
    <xdr:to>
      <xdr:col>9</xdr:col>
      <xdr:colOff>428625</xdr:colOff>
      <xdr:row>3942</xdr:row>
      <xdr:rowOff>190500</xdr:rowOff>
    </xdr:to>
    <xdr:graphicFrame macro="">
      <xdr:nvGraphicFramePr>
        <xdr:cNvPr id="24879540" name="Chart 105">
          <a:extLst>
            <a:ext uri="{FF2B5EF4-FFF2-40B4-BE49-F238E27FC236}">
              <a16:creationId xmlns:a16="http://schemas.microsoft.com/office/drawing/2014/main" id="{D61204BD-D6A4-41B7-B358-D73A771B6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485775</xdr:colOff>
      <xdr:row>4058</xdr:row>
      <xdr:rowOff>95250</xdr:rowOff>
    </xdr:from>
    <xdr:to>
      <xdr:col>19</xdr:col>
      <xdr:colOff>228600</xdr:colOff>
      <xdr:row>4073</xdr:row>
      <xdr:rowOff>180975</xdr:rowOff>
    </xdr:to>
    <xdr:graphicFrame macro="">
      <xdr:nvGraphicFramePr>
        <xdr:cNvPr id="24879541" name="Chart 1">
          <a:extLst>
            <a:ext uri="{FF2B5EF4-FFF2-40B4-BE49-F238E27FC236}">
              <a16:creationId xmlns:a16="http://schemas.microsoft.com/office/drawing/2014/main" id="{99811678-91B0-4829-8EBF-0A8278877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295275</xdr:colOff>
      <xdr:row>4078</xdr:row>
      <xdr:rowOff>47625</xdr:rowOff>
    </xdr:from>
    <xdr:to>
      <xdr:col>20</xdr:col>
      <xdr:colOff>485775</xdr:colOff>
      <xdr:row>4096</xdr:row>
      <xdr:rowOff>171450</xdr:rowOff>
    </xdr:to>
    <xdr:graphicFrame macro="">
      <xdr:nvGraphicFramePr>
        <xdr:cNvPr id="24879542" name="Chart 2">
          <a:extLst>
            <a:ext uri="{FF2B5EF4-FFF2-40B4-BE49-F238E27FC236}">
              <a16:creationId xmlns:a16="http://schemas.microsoft.com/office/drawing/2014/main" id="{06DD545C-E9CC-484E-AB32-765161B14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47625</xdr:colOff>
      <xdr:row>4144</xdr:row>
      <xdr:rowOff>47625</xdr:rowOff>
    </xdr:from>
    <xdr:to>
      <xdr:col>17</xdr:col>
      <xdr:colOff>257175</xdr:colOff>
      <xdr:row>4159</xdr:row>
      <xdr:rowOff>123825</xdr:rowOff>
    </xdr:to>
    <xdr:graphicFrame macro="">
      <xdr:nvGraphicFramePr>
        <xdr:cNvPr id="24879543" name="Chart 1">
          <a:extLst>
            <a:ext uri="{FF2B5EF4-FFF2-40B4-BE49-F238E27FC236}">
              <a16:creationId xmlns:a16="http://schemas.microsoft.com/office/drawing/2014/main" id="{5813C347-EF42-4BA1-BE00-0FBC6AF44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161925</xdr:colOff>
      <xdr:row>4186</xdr:row>
      <xdr:rowOff>19050</xdr:rowOff>
    </xdr:from>
    <xdr:to>
      <xdr:col>21</xdr:col>
      <xdr:colOff>257175</xdr:colOff>
      <xdr:row>4205</xdr:row>
      <xdr:rowOff>57150</xdr:rowOff>
    </xdr:to>
    <xdr:graphicFrame macro="">
      <xdr:nvGraphicFramePr>
        <xdr:cNvPr id="24879544" name="Chart 1">
          <a:extLst>
            <a:ext uri="{FF2B5EF4-FFF2-40B4-BE49-F238E27FC236}">
              <a16:creationId xmlns:a16="http://schemas.microsoft.com/office/drawing/2014/main" id="{8E40729A-ADEF-4B89-A7FD-F86C1F309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409575</xdr:colOff>
      <xdr:row>4215</xdr:row>
      <xdr:rowOff>152400</xdr:rowOff>
    </xdr:from>
    <xdr:to>
      <xdr:col>14</xdr:col>
      <xdr:colOff>371475</xdr:colOff>
      <xdr:row>4234</xdr:row>
      <xdr:rowOff>95250</xdr:rowOff>
    </xdr:to>
    <xdr:graphicFrame macro="">
      <xdr:nvGraphicFramePr>
        <xdr:cNvPr id="24879545" name="Chart 2">
          <a:extLst>
            <a:ext uri="{FF2B5EF4-FFF2-40B4-BE49-F238E27FC236}">
              <a16:creationId xmlns:a16="http://schemas.microsoft.com/office/drawing/2014/main" id="{E78A68C0-478E-46A7-984B-DB9C90C30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381000</xdr:colOff>
      <xdr:row>4236</xdr:row>
      <xdr:rowOff>104775</xdr:rowOff>
    </xdr:from>
    <xdr:to>
      <xdr:col>9</xdr:col>
      <xdr:colOff>504825</xdr:colOff>
      <xdr:row>4256</xdr:row>
      <xdr:rowOff>95250</xdr:rowOff>
    </xdr:to>
    <xdr:graphicFrame macro="">
      <xdr:nvGraphicFramePr>
        <xdr:cNvPr id="24879546" name="Chart 3">
          <a:extLst>
            <a:ext uri="{FF2B5EF4-FFF2-40B4-BE49-F238E27FC236}">
              <a16:creationId xmlns:a16="http://schemas.microsoft.com/office/drawing/2014/main" id="{1C9E879F-2880-468A-9FB8-7534CD25A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466725</xdr:colOff>
      <xdr:row>4236</xdr:row>
      <xdr:rowOff>28575</xdr:rowOff>
    </xdr:from>
    <xdr:to>
      <xdr:col>14</xdr:col>
      <xdr:colOff>161925</xdr:colOff>
      <xdr:row>4259</xdr:row>
      <xdr:rowOff>19050</xdr:rowOff>
    </xdr:to>
    <xdr:graphicFrame macro="">
      <xdr:nvGraphicFramePr>
        <xdr:cNvPr id="24879547" name="Chart 4">
          <a:extLst>
            <a:ext uri="{FF2B5EF4-FFF2-40B4-BE49-F238E27FC236}">
              <a16:creationId xmlns:a16="http://schemas.microsoft.com/office/drawing/2014/main" id="{7B006CAA-B4F9-46B4-AA45-390DBEA7C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95250</xdr:colOff>
      <xdr:row>4237</xdr:row>
      <xdr:rowOff>19050</xdr:rowOff>
    </xdr:from>
    <xdr:to>
      <xdr:col>20</xdr:col>
      <xdr:colOff>504825</xdr:colOff>
      <xdr:row>4255</xdr:row>
      <xdr:rowOff>95250</xdr:rowOff>
    </xdr:to>
    <xdr:graphicFrame macro="">
      <xdr:nvGraphicFramePr>
        <xdr:cNvPr id="24879548" name="Chart 5">
          <a:extLst>
            <a:ext uri="{FF2B5EF4-FFF2-40B4-BE49-F238E27FC236}">
              <a16:creationId xmlns:a16="http://schemas.microsoft.com/office/drawing/2014/main" id="{425B3871-2268-46D3-89C2-DC3039E0A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342900</xdr:colOff>
      <xdr:row>4281</xdr:row>
      <xdr:rowOff>47625</xdr:rowOff>
    </xdr:from>
    <xdr:to>
      <xdr:col>12</xdr:col>
      <xdr:colOff>542925</xdr:colOff>
      <xdr:row>4299</xdr:row>
      <xdr:rowOff>152400</xdr:rowOff>
    </xdr:to>
    <xdr:graphicFrame macro="">
      <xdr:nvGraphicFramePr>
        <xdr:cNvPr id="24879549" name="Chart 6">
          <a:extLst>
            <a:ext uri="{FF2B5EF4-FFF2-40B4-BE49-F238E27FC236}">
              <a16:creationId xmlns:a16="http://schemas.microsoft.com/office/drawing/2014/main" id="{3D526C79-A71D-4A46-833C-B8F89FB91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142875</xdr:colOff>
      <xdr:row>4487</xdr:row>
      <xdr:rowOff>152400</xdr:rowOff>
    </xdr:from>
    <xdr:to>
      <xdr:col>15</xdr:col>
      <xdr:colOff>333375</xdr:colOff>
      <xdr:row>4507</xdr:row>
      <xdr:rowOff>28575</xdr:rowOff>
    </xdr:to>
    <xdr:graphicFrame macro="">
      <xdr:nvGraphicFramePr>
        <xdr:cNvPr id="24879550" name="Chart 1">
          <a:extLst>
            <a:ext uri="{FF2B5EF4-FFF2-40B4-BE49-F238E27FC236}">
              <a16:creationId xmlns:a16="http://schemas.microsoft.com/office/drawing/2014/main" id="{4E925712-6FFA-46EE-B0DF-F5FAC0F4C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447675</xdr:colOff>
      <xdr:row>4126</xdr:row>
      <xdr:rowOff>133350</xdr:rowOff>
    </xdr:from>
    <xdr:to>
      <xdr:col>15</xdr:col>
      <xdr:colOff>371475</xdr:colOff>
      <xdr:row>4142</xdr:row>
      <xdr:rowOff>28575</xdr:rowOff>
    </xdr:to>
    <xdr:graphicFrame macro="">
      <xdr:nvGraphicFramePr>
        <xdr:cNvPr id="24879551" name="Chart 2">
          <a:extLst>
            <a:ext uri="{FF2B5EF4-FFF2-40B4-BE49-F238E27FC236}">
              <a16:creationId xmlns:a16="http://schemas.microsoft.com/office/drawing/2014/main" id="{C12ECFC0-4C44-470C-A081-2BACEFE7D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4528</xdr:row>
      <xdr:rowOff>104775</xdr:rowOff>
    </xdr:from>
    <xdr:to>
      <xdr:col>12</xdr:col>
      <xdr:colOff>552450</xdr:colOff>
      <xdr:row>4546</xdr:row>
      <xdr:rowOff>57150</xdr:rowOff>
    </xdr:to>
    <xdr:graphicFrame macro="">
      <xdr:nvGraphicFramePr>
        <xdr:cNvPr id="24879552" name="Chart 1">
          <a:extLst>
            <a:ext uri="{FF2B5EF4-FFF2-40B4-BE49-F238E27FC236}">
              <a16:creationId xmlns:a16="http://schemas.microsoft.com/office/drawing/2014/main" id="{E2E5320A-5C61-481E-80FE-6E0915259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381000</xdr:colOff>
      <xdr:row>4565</xdr:row>
      <xdr:rowOff>190500</xdr:rowOff>
    </xdr:from>
    <xdr:to>
      <xdr:col>19</xdr:col>
      <xdr:colOff>381000</xdr:colOff>
      <xdr:row>4583</xdr:row>
      <xdr:rowOff>66675</xdr:rowOff>
    </xdr:to>
    <xdr:graphicFrame macro="">
      <xdr:nvGraphicFramePr>
        <xdr:cNvPr id="24879553" name="Chart 1">
          <a:extLst>
            <a:ext uri="{FF2B5EF4-FFF2-40B4-BE49-F238E27FC236}">
              <a16:creationId xmlns:a16="http://schemas.microsoft.com/office/drawing/2014/main" id="{BCCFDF12-4DBB-4D37-A6F5-3461063F2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552450</xdr:colOff>
      <xdr:row>4392</xdr:row>
      <xdr:rowOff>57150</xdr:rowOff>
    </xdr:from>
    <xdr:to>
      <xdr:col>21</xdr:col>
      <xdr:colOff>133350</xdr:colOff>
      <xdr:row>4410</xdr:row>
      <xdr:rowOff>19050</xdr:rowOff>
    </xdr:to>
    <xdr:graphicFrame macro="">
      <xdr:nvGraphicFramePr>
        <xdr:cNvPr id="24879554" name="Chart 1">
          <a:extLst>
            <a:ext uri="{FF2B5EF4-FFF2-40B4-BE49-F238E27FC236}">
              <a16:creationId xmlns:a16="http://schemas.microsoft.com/office/drawing/2014/main" id="{6494E7FF-74A0-4510-B7E5-339568F6E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295275</xdr:colOff>
      <xdr:row>4428</xdr:row>
      <xdr:rowOff>66675</xdr:rowOff>
    </xdr:from>
    <xdr:to>
      <xdr:col>30</xdr:col>
      <xdr:colOff>504825</xdr:colOff>
      <xdr:row>4445</xdr:row>
      <xdr:rowOff>123825</xdr:rowOff>
    </xdr:to>
    <xdr:graphicFrame macro="">
      <xdr:nvGraphicFramePr>
        <xdr:cNvPr id="24879555" name="Chart 2">
          <a:extLst>
            <a:ext uri="{FF2B5EF4-FFF2-40B4-BE49-F238E27FC236}">
              <a16:creationId xmlns:a16="http://schemas.microsoft.com/office/drawing/2014/main" id="{4002DD14-73B7-4774-A65B-ACD85DC7D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22</xdr:col>
      <xdr:colOff>381000</xdr:colOff>
      <xdr:row>4462</xdr:row>
      <xdr:rowOff>123825</xdr:rowOff>
    </xdr:from>
    <xdr:to>
      <xdr:col>30</xdr:col>
      <xdr:colOff>47625</xdr:colOff>
      <xdr:row>4479</xdr:row>
      <xdr:rowOff>152400</xdr:rowOff>
    </xdr:to>
    <xdr:graphicFrame macro="">
      <xdr:nvGraphicFramePr>
        <xdr:cNvPr id="24879556" name="Chart 44">
          <a:extLst>
            <a:ext uri="{FF2B5EF4-FFF2-40B4-BE49-F238E27FC236}">
              <a16:creationId xmlns:a16="http://schemas.microsoft.com/office/drawing/2014/main" id="{93873990-A530-4DDD-8FCB-5CC9A531C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342900</xdr:colOff>
      <xdr:row>4590</xdr:row>
      <xdr:rowOff>133350</xdr:rowOff>
    </xdr:from>
    <xdr:to>
      <xdr:col>17</xdr:col>
      <xdr:colOff>180975</xdr:colOff>
      <xdr:row>4608</xdr:row>
      <xdr:rowOff>76200</xdr:rowOff>
    </xdr:to>
    <xdr:graphicFrame macro="">
      <xdr:nvGraphicFramePr>
        <xdr:cNvPr id="24879557" name="Chart 3">
          <a:extLst>
            <a:ext uri="{FF2B5EF4-FFF2-40B4-BE49-F238E27FC236}">
              <a16:creationId xmlns:a16="http://schemas.microsoft.com/office/drawing/2014/main" id="{5200B024-6E00-4DA7-8F72-7BE76A5EF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438150</xdr:colOff>
      <xdr:row>4619</xdr:row>
      <xdr:rowOff>47625</xdr:rowOff>
    </xdr:from>
    <xdr:to>
      <xdr:col>14</xdr:col>
      <xdr:colOff>304800</xdr:colOff>
      <xdr:row>4638</xdr:row>
      <xdr:rowOff>95250</xdr:rowOff>
    </xdr:to>
    <xdr:graphicFrame macro="">
      <xdr:nvGraphicFramePr>
        <xdr:cNvPr id="24879558" name="Chart 1">
          <a:extLst>
            <a:ext uri="{FF2B5EF4-FFF2-40B4-BE49-F238E27FC236}">
              <a16:creationId xmlns:a16="http://schemas.microsoft.com/office/drawing/2014/main" id="{193755D1-527A-45AE-849D-093308E21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209550</xdr:colOff>
      <xdr:row>4645</xdr:row>
      <xdr:rowOff>28864</xdr:rowOff>
    </xdr:from>
    <xdr:to>
      <xdr:col>12</xdr:col>
      <xdr:colOff>265545</xdr:colOff>
      <xdr:row>4662</xdr:row>
      <xdr:rowOff>98136</xdr:rowOff>
    </xdr:to>
    <xdr:graphicFrame macro="">
      <xdr:nvGraphicFramePr>
        <xdr:cNvPr id="24879559" name="Chart 2">
          <a:extLst>
            <a:ext uri="{FF2B5EF4-FFF2-40B4-BE49-F238E27FC236}">
              <a16:creationId xmlns:a16="http://schemas.microsoft.com/office/drawing/2014/main" id="{097B1ECC-7593-470C-9453-3418CAA33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323850</xdr:colOff>
      <xdr:row>4690</xdr:row>
      <xdr:rowOff>104775</xdr:rowOff>
    </xdr:from>
    <xdr:to>
      <xdr:col>9</xdr:col>
      <xdr:colOff>228600</xdr:colOff>
      <xdr:row>4706</xdr:row>
      <xdr:rowOff>76200</xdr:rowOff>
    </xdr:to>
    <xdr:graphicFrame macro="">
      <xdr:nvGraphicFramePr>
        <xdr:cNvPr id="24879560" name="Chart 1">
          <a:extLst>
            <a:ext uri="{FF2B5EF4-FFF2-40B4-BE49-F238E27FC236}">
              <a16:creationId xmlns:a16="http://schemas.microsoft.com/office/drawing/2014/main" id="{905E4B67-64CC-44FD-AB27-49D8E686D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4691</xdr:row>
      <xdr:rowOff>0</xdr:rowOff>
    </xdr:from>
    <xdr:to>
      <xdr:col>18</xdr:col>
      <xdr:colOff>514350</xdr:colOff>
      <xdr:row>4706</xdr:row>
      <xdr:rowOff>152400</xdr:rowOff>
    </xdr:to>
    <xdr:graphicFrame macro="">
      <xdr:nvGraphicFramePr>
        <xdr:cNvPr id="24879561" name="Chart 50">
          <a:extLst>
            <a:ext uri="{FF2B5EF4-FFF2-40B4-BE49-F238E27FC236}">
              <a16:creationId xmlns:a16="http://schemas.microsoft.com/office/drawing/2014/main" id="{04F916CC-0FF2-4AAE-898F-0D1279CA1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66675</xdr:colOff>
      <xdr:row>4715</xdr:row>
      <xdr:rowOff>28575</xdr:rowOff>
    </xdr:from>
    <xdr:to>
      <xdr:col>16</xdr:col>
      <xdr:colOff>295275</xdr:colOff>
      <xdr:row>4735</xdr:row>
      <xdr:rowOff>95250</xdr:rowOff>
    </xdr:to>
    <xdr:graphicFrame macro="">
      <xdr:nvGraphicFramePr>
        <xdr:cNvPr id="24879562" name="Chart 2">
          <a:extLst>
            <a:ext uri="{FF2B5EF4-FFF2-40B4-BE49-F238E27FC236}">
              <a16:creationId xmlns:a16="http://schemas.microsoft.com/office/drawing/2014/main" id="{8898B5FD-8A6B-499E-AF22-8E1A632A7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xdr:col>
      <xdr:colOff>571500</xdr:colOff>
      <xdr:row>4740</xdr:row>
      <xdr:rowOff>66675</xdr:rowOff>
    </xdr:from>
    <xdr:to>
      <xdr:col>16</xdr:col>
      <xdr:colOff>333375</xdr:colOff>
      <xdr:row>4758</xdr:row>
      <xdr:rowOff>28575</xdr:rowOff>
    </xdr:to>
    <xdr:graphicFrame macro="">
      <xdr:nvGraphicFramePr>
        <xdr:cNvPr id="24879563" name="Chart 2">
          <a:extLst>
            <a:ext uri="{FF2B5EF4-FFF2-40B4-BE49-F238E27FC236}">
              <a16:creationId xmlns:a16="http://schemas.microsoft.com/office/drawing/2014/main" id="{1A534FA6-6F24-48FB-84E1-0A180CBDA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xdr:col>
      <xdr:colOff>47625</xdr:colOff>
      <xdr:row>4804</xdr:row>
      <xdr:rowOff>95250</xdr:rowOff>
    </xdr:from>
    <xdr:to>
      <xdr:col>16</xdr:col>
      <xdr:colOff>133350</xdr:colOff>
      <xdr:row>4822</xdr:row>
      <xdr:rowOff>66675</xdr:rowOff>
    </xdr:to>
    <xdr:graphicFrame macro="">
      <xdr:nvGraphicFramePr>
        <xdr:cNvPr id="24879564" name="Chart 1">
          <a:extLst>
            <a:ext uri="{FF2B5EF4-FFF2-40B4-BE49-F238E27FC236}">
              <a16:creationId xmlns:a16="http://schemas.microsoft.com/office/drawing/2014/main" id="{3703CCD3-DDEC-4CF5-8EDA-CBEC08649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352137</xdr:colOff>
      <xdr:row>4858</xdr:row>
      <xdr:rowOff>28286</xdr:rowOff>
    </xdr:from>
    <xdr:to>
      <xdr:col>14</xdr:col>
      <xdr:colOff>109681</xdr:colOff>
      <xdr:row>4878</xdr:row>
      <xdr:rowOff>126999</xdr:rowOff>
    </xdr:to>
    <xdr:graphicFrame macro="">
      <xdr:nvGraphicFramePr>
        <xdr:cNvPr id="2" name="Chart 1">
          <a:extLst>
            <a:ext uri="{FF2B5EF4-FFF2-40B4-BE49-F238E27FC236}">
              <a16:creationId xmlns:a16="http://schemas.microsoft.com/office/drawing/2014/main" id="{8661784A-4701-4F95-9EF6-14A3B8748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14</xdr:col>
      <xdr:colOff>438727</xdr:colOff>
      <xdr:row>4862</xdr:row>
      <xdr:rowOff>149513</xdr:rowOff>
    </xdr:from>
    <xdr:to>
      <xdr:col>22</xdr:col>
      <xdr:colOff>363682</xdr:colOff>
      <xdr:row>4884</xdr:row>
      <xdr:rowOff>75045</xdr:rowOff>
    </xdr:to>
    <xdr:graphicFrame macro="">
      <xdr:nvGraphicFramePr>
        <xdr:cNvPr id="3" name="Chart 2">
          <a:extLst>
            <a:ext uri="{FF2B5EF4-FFF2-40B4-BE49-F238E27FC236}">
              <a16:creationId xmlns:a16="http://schemas.microsoft.com/office/drawing/2014/main" id="{CE9C456E-AEE8-4A27-ABC0-8B9FFE61E5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121225</xdr:colOff>
      <xdr:row>5018</xdr:row>
      <xdr:rowOff>28863</xdr:rowOff>
    </xdr:from>
    <xdr:to>
      <xdr:col>15</xdr:col>
      <xdr:colOff>248226</xdr:colOff>
      <xdr:row>5045</xdr:row>
      <xdr:rowOff>51955</xdr:rowOff>
    </xdr:to>
    <xdr:graphicFrame macro="">
      <xdr:nvGraphicFramePr>
        <xdr:cNvPr id="4" name="Chart 3">
          <a:extLst>
            <a:ext uri="{FF2B5EF4-FFF2-40B4-BE49-F238E27FC236}">
              <a16:creationId xmlns:a16="http://schemas.microsoft.com/office/drawing/2014/main" id="{636FD736-76D4-432F-9F5E-035156C882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230910</xdr:colOff>
      <xdr:row>5045</xdr:row>
      <xdr:rowOff>40408</xdr:rowOff>
    </xdr:from>
    <xdr:to>
      <xdr:col>11</xdr:col>
      <xdr:colOff>254000</xdr:colOff>
      <xdr:row>5069</xdr:row>
      <xdr:rowOff>28862</xdr:rowOff>
    </xdr:to>
    <xdr:graphicFrame macro="">
      <xdr:nvGraphicFramePr>
        <xdr:cNvPr id="5" name="Chart 4">
          <a:extLst>
            <a:ext uri="{FF2B5EF4-FFF2-40B4-BE49-F238E27FC236}">
              <a16:creationId xmlns:a16="http://schemas.microsoft.com/office/drawing/2014/main" id="{F3C1BCA7-2A92-4984-991B-D55F8B29F9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69273</xdr:colOff>
      <xdr:row>4918</xdr:row>
      <xdr:rowOff>5195</xdr:rowOff>
    </xdr:from>
    <xdr:to>
      <xdr:col>20</xdr:col>
      <xdr:colOff>381001</xdr:colOff>
      <xdr:row>4937</xdr:row>
      <xdr:rowOff>126999</xdr:rowOff>
    </xdr:to>
    <xdr:graphicFrame macro="">
      <xdr:nvGraphicFramePr>
        <xdr:cNvPr id="6" name="Chart 5">
          <a:extLst>
            <a:ext uri="{FF2B5EF4-FFF2-40B4-BE49-F238E27FC236}">
              <a16:creationId xmlns:a16="http://schemas.microsoft.com/office/drawing/2014/main" id="{D4D4FF0F-01A5-4EA3-B67D-D142ED1F7B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473364</xdr:colOff>
      <xdr:row>5190</xdr:row>
      <xdr:rowOff>155284</xdr:rowOff>
    </xdr:from>
    <xdr:to>
      <xdr:col>9</xdr:col>
      <xdr:colOff>271319</xdr:colOff>
      <xdr:row>5210</xdr:row>
      <xdr:rowOff>161634</xdr:rowOff>
    </xdr:to>
    <xdr:graphicFrame macro="">
      <xdr:nvGraphicFramePr>
        <xdr:cNvPr id="7" name="Chart 6">
          <a:extLst>
            <a:ext uri="{FF2B5EF4-FFF2-40B4-BE49-F238E27FC236}">
              <a16:creationId xmlns:a16="http://schemas.microsoft.com/office/drawing/2014/main" id="{1D7E344C-103B-40E5-B0E0-CD9EB88267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184727</xdr:colOff>
      <xdr:row>5354</xdr:row>
      <xdr:rowOff>13854</xdr:rowOff>
    </xdr:from>
    <xdr:to>
      <xdr:col>12</xdr:col>
      <xdr:colOff>427181</xdr:colOff>
      <xdr:row>5373</xdr:row>
      <xdr:rowOff>138544</xdr:rowOff>
    </xdr:to>
    <xdr:graphicFrame macro="">
      <xdr:nvGraphicFramePr>
        <xdr:cNvPr id="9" name="Chart 8">
          <a:extLst>
            <a:ext uri="{FF2B5EF4-FFF2-40B4-BE49-F238E27FC236}">
              <a16:creationId xmlns:a16="http://schemas.microsoft.com/office/drawing/2014/main" id="{2E3223D5-F3CB-5F6A-482F-100397C375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381000</xdr:colOff>
      <xdr:row>5527</xdr:row>
      <xdr:rowOff>38594</xdr:rowOff>
    </xdr:from>
    <xdr:to>
      <xdr:col>6</xdr:col>
      <xdr:colOff>163286</xdr:colOff>
      <xdr:row>5544</xdr:row>
      <xdr:rowOff>5937</xdr:rowOff>
    </xdr:to>
    <xdr:graphicFrame macro="">
      <xdr:nvGraphicFramePr>
        <xdr:cNvPr id="10" name="Chart 9">
          <a:extLst>
            <a:ext uri="{FF2B5EF4-FFF2-40B4-BE49-F238E27FC236}">
              <a16:creationId xmlns:a16="http://schemas.microsoft.com/office/drawing/2014/main" id="{F0A5DC21-56AB-D679-12EF-A7A626FE34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549234</xdr:colOff>
      <xdr:row>5535</xdr:row>
      <xdr:rowOff>93024</xdr:rowOff>
    </xdr:from>
    <xdr:to>
      <xdr:col>18</xdr:col>
      <xdr:colOff>366156</xdr:colOff>
      <xdr:row>5552</xdr:row>
      <xdr:rowOff>60366</xdr:rowOff>
    </xdr:to>
    <xdr:graphicFrame macro="">
      <xdr:nvGraphicFramePr>
        <xdr:cNvPr id="11" name="Chart 10">
          <a:extLst>
            <a:ext uri="{FF2B5EF4-FFF2-40B4-BE49-F238E27FC236}">
              <a16:creationId xmlns:a16="http://schemas.microsoft.com/office/drawing/2014/main" id="{741EDACE-A95B-C9C7-2CBD-92FEB11D1D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xdr:col>
      <xdr:colOff>113805</xdr:colOff>
      <xdr:row>5555</xdr:row>
      <xdr:rowOff>33647</xdr:rowOff>
    </xdr:from>
    <xdr:to>
      <xdr:col>17</xdr:col>
      <xdr:colOff>484908</xdr:colOff>
      <xdr:row>5572</xdr:row>
      <xdr:rowOff>990</xdr:rowOff>
    </xdr:to>
    <xdr:graphicFrame macro="">
      <xdr:nvGraphicFramePr>
        <xdr:cNvPr id="12" name="Chart 11">
          <a:extLst>
            <a:ext uri="{FF2B5EF4-FFF2-40B4-BE49-F238E27FC236}">
              <a16:creationId xmlns:a16="http://schemas.microsoft.com/office/drawing/2014/main" id="{B7AC966E-C829-1B4C-22B2-A874F1AC32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xdr:col>
      <xdr:colOff>445325</xdr:colOff>
      <xdr:row>5576</xdr:row>
      <xdr:rowOff>110341</xdr:rowOff>
    </xdr:from>
    <xdr:to>
      <xdr:col>15</xdr:col>
      <xdr:colOff>138545</xdr:colOff>
      <xdr:row>5593</xdr:row>
      <xdr:rowOff>77684</xdr:rowOff>
    </xdr:to>
    <xdr:graphicFrame macro="">
      <xdr:nvGraphicFramePr>
        <xdr:cNvPr id="13" name="Chart 12">
          <a:extLst>
            <a:ext uri="{FF2B5EF4-FFF2-40B4-BE49-F238E27FC236}">
              <a16:creationId xmlns:a16="http://schemas.microsoft.com/office/drawing/2014/main" id="{4C14C59E-038B-0C0F-9C5B-372B499CC6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14</xdr:col>
      <xdr:colOff>390896</xdr:colOff>
      <xdr:row>5591</xdr:row>
      <xdr:rowOff>135081</xdr:rowOff>
    </xdr:from>
    <xdr:to>
      <xdr:col>23</xdr:col>
      <xdr:colOff>252350</xdr:colOff>
      <xdr:row>5608</xdr:row>
      <xdr:rowOff>102423</xdr:rowOff>
    </xdr:to>
    <xdr:graphicFrame macro="">
      <xdr:nvGraphicFramePr>
        <xdr:cNvPr id="14" name="Chart 13">
          <a:extLst>
            <a:ext uri="{FF2B5EF4-FFF2-40B4-BE49-F238E27FC236}">
              <a16:creationId xmlns:a16="http://schemas.microsoft.com/office/drawing/2014/main" id="{106008BC-9109-E1EB-C0AB-83690D68FF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712520</xdr:colOff>
      <xdr:row>5610</xdr:row>
      <xdr:rowOff>73231</xdr:rowOff>
    </xdr:from>
    <xdr:to>
      <xdr:col>13</xdr:col>
      <xdr:colOff>44533</xdr:colOff>
      <xdr:row>5627</xdr:row>
      <xdr:rowOff>40574</xdr:rowOff>
    </xdr:to>
    <xdr:graphicFrame macro="">
      <xdr:nvGraphicFramePr>
        <xdr:cNvPr id="17" name="Chart 16">
          <a:extLst>
            <a:ext uri="{FF2B5EF4-FFF2-40B4-BE49-F238E27FC236}">
              <a16:creationId xmlns:a16="http://schemas.microsoft.com/office/drawing/2014/main" id="{1A51CD38-E312-FD05-3AB7-D4BE390DE7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xdr:col>
      <xdr:colOff>170708</xdr:colOff>
      <xdr:row>5615</xdr:row>
      <xdr:rowOff>117763</xdr:rowOff>
    </xdr:from>
    <xdr:to>
      <xdr:col>22</xdr:col>
      <xdr:colOff>66799</xdr:colOff>
      <xdr:row>5632</xdr:row>
      <xdr:rowOff>85106</xdr:rowOff>
    </xdr:to>
    <xdr:graphicFrame macro="">
      <xdr:nvGraphicFramePr>
        <xdr:cNvPr id="18" name="Chart 17">
          <a:extLst>
            <a:ext uri="{FF2B5EF4-FFF2-40B4-BE49-F238E27FC236}">
              <a16:creationId xmlns:a16="http://schemas.microsoft.com/office/drawing/2014/main" id="{67CF7736-3631-1DC5-9DFB-930EC4C832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1333500</xdr:colOff>
      <xdr:row>5665</xdr:row>
      <xdr:rowOff>51708</xdr:rowOff>
    </xdr:from>
    <xdr:to>
      <xdr:col>12</xdr:col>
      <xdr:colOff>206828</xdr:colOff>
      <xdr:row>5682</xdr:row>
      <xdr:rowOff>19050</xdr:rowOff>
    </xdr:to>
    <xdr:graphicFrame macro="">
      <xdr:nvGraphicFramePr>
        <xdr:cNvPr id="15" name="Chart 14">
          <a:extLst>
            <a:ext uri="{FF2B5EF4-FFF2-40B4-BE49-F238E27FC236}">
              <a16:creationId xmlns:a16="http://schemas.microsoft.com/office/drawing/2014/main" id="{02D5A2AA-9F71-8A28-F4EA-819080102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266701</xdr:colOff>
      <xdr:row>5736</xdr:row>
      <xdr:rowOff>48986</xdr:rowOff>
    </xdr:from>
    <xdr:to>
      <xdr:col>10</xdr:col>
      <xdr:colOff>419101</xdr:colOff>
      <xdr:row>5753</xdr:row>
      <xdr:rowOff>16329</xdr:rowOff>
    </xdr:to>
    <xdr:graphicFrame macro="">
      <xdr:nvGraphicFramePr>
        <xdr:cNvPr id="16" name="Chart 15">
          <a:extLst>
            <a:ext uri="{FF2B5EF4-FFF2-40B4-BE49-F238E27FC236}">
              <a16:creationId xmlns:a16="http://schemas.microsoft.com/office/drawing/2014/main" id="{6AD8E46F-00D1-E3F9-6848-FB2068F1EC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xdr:col>
      <xdr:colOff>228601</xdr:colOff>
      <xdr:row>5758</xdr:row>
      <xdr:rowOff>59870</xdr:rowOff>
    </xdr:from>
    <xdr:to>
      <xdr:col>14</xdr:col>
      <xdr:colOff>81643</xdr:colOff>
      <xdr:row>5775</xdr:row>
      <xdr:rowOff>27213</xdr:rowOff>
    </xdr:to>
    <xdr:graphicFrame macro="">
      <xdr:nvGraphicFramePr>
        <xdr:cNvPr id="19" name="Chart 18">
          <a:extLst>
            <a:ext uri="{FF2B5EF4-FFF2-40B4-BE49-F238E27FC236}">
              <a16:creationId xmlns:a16="http://schemas.microsoft.com/office/drawing/2014/main" id="{5929D583-CC74-42E0-91A3-8F7234C16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xdr:col>
      <xdr:colOff>632732</xdr:colOff>
      <xdr:row>5817</xdr:row>
      <xdr:rowOff>138793</xdr:rowOff>
    </xdr:from>
    <xdr:to>
      <xdr:col>16</xdr:col>
      <xdr:colOff>557893</xdr:colOff>
      <xdr:row>5835</xdr:row>
      <xdr:rowOff>108857</xdr:rowOff>
    </xdr:to>
    <xdr:graphicFrame macro="">
      <xdr:nvGraphicFramePr>
        <xdr:cNvPr id="21" name="Chart 20">
          <a:extLst>
            <a:ext uri="{FF2B5EF4-FFF2-40B4-BE49-F238E27FC236}">
              <a16:creationId xmlns:a16="http://schemas.microsoft.com/office/drawing/2014/main" id="{CD2F1172-A272-489A-C9D8-6DD1448E80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xdr:col>
      <xdr:colOff>489857</xdr:colOff>
      <xdr:row>5845</xdr:row>
      <xdr:rowOff>29936</xdr:rowOff>
    </xdr:from>
    <xdr:to>
      <xdr:col>10</xdr:col>
      <xdr:colOff>566057</xdr:colOff>
      <xdr:row>5861</xdr:row>
      <xdr:rowOff>160564</xdr:rowOff>
    </xdr:to>
    <xdr:graphicFrame macro="">
      <xdr:nvGraphicFramePr>
        <xdr:cNvPr id="20" name="Chart 19">
          <a:extLst>
            <a:ext uri="{FF2B5EF4-FFF2-40B4-BE49-F238E27FC236}">
              <a16:creationId xmlns:a16="http://schemas.microsoft.com/office/drawing/2014/main" id="{85E45404-FADA-23BB-B981-961E7B46D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9</xdr:col>
      <xdr:colOff>2646</xdr:colOff>
      <xdr:row>5868</xdr:row>
      <xdr:rowOff>143138</xdr:rowOff>
    </xdr:from>
    <xdr:to>
      <xdr:col>14</xdr:col>
      <xdr:colOff>661458</xdr:colOff>
      <xdr:row>5884</xdr:row>
      <xdr:rowOff>119061</xdr:rowOff>
    </xdr:to>
    <xdr:graphicFrame macro="">
      <xdr:nvGraphicFramePr>
        <xdr:cNvPr id="22" name="Chart 21">
          <a:extLst>
            <a:ext uri="{FF2B5EF4-FFF2-40B4-BE49-F238E27FC236}">
              <a16:creationId xmlns:a16="http://schemas.microsoft.com/office/drawing/2014/main" id="{8FB763DE-4967-15D3-3915-18808DA75F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9</xdr:col>
      <xdr:colOff>161397</xdr:colOff>
      <xdr:row>5893</xdr:row>
      <xdr:rowOff>37305</xdr:rowOff>
    </xdr:from>
    <xdr:to>
      <xdr:col>15</xdr:col>
      <xdr:colOff>291042</xdr:colOff>
      <xdr:row>5911</xdr:row>
      <xdr:rowOff>52917</xdr:rowOff>
    </xdr:to>
    <xdr:graphicFrame macro="">
      <xdr:nvGraphicFramePr>
        <xdr:cNvPr id="23" name="Chart 22">
          <a:extLst>
            <a:ext uri="{FF2B5EF4-FFF2-40B4-BE49-F238E27FC236}">
              <a16:creationId xmlns:a16="http://schemas.microsoft.com/office/drawing/2014/main" id="{F58711DB-D78C-124F-33D0-28A4D5383E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16</xdr:col>
      <xdr:colOff>558271</xdr:colOff>
      <xdr:row>5913</xdr:row>
      <xdr:rowOff>182825</xdr:rowOff>
    </xdr:from>
    <xdr:to>
      <xdr:col>22</xdr:col>
      <xdr:colOff>449792</xdr:colOff>
      <xdr:row>5930</xdr:row>
      <xdr:rowOff>39686</xdr:rowOff>
    </xdr:to>
    <xdr:graphicFrame macro="">
      <xdr:nvGraphicFramePr>
        <xdr:cNvPr id="24" name="Chart 23">
          <a:extLst>
            <a:ext uri="{FF2B5EF4-FFF2-40B4-BE49-F238E27FC236}">
              <a16:creationId xmlns:a16="http://schemas.microsoft.com/office/drawing/2014/main" id="{F23CD8B4-E23D-B0A3-EC76-942876B49B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8</xdr:col>
      <xdr:colOff>452438</xdr:colOff>
      <xdr:row>5921</xdr:row>
      <xdr:rowOff>151394</xdr:rowOff>
    </xdr:from>
    <xdr:to>
      <xdr:col>12</xdr:col>
      <xdr:colOff>402166</xdr:colOff>
      <xdr:row>5940</xdr:row>
      <xdr:rowOff>148167</xdr:rowOff>
    </xdr:to>
    <xdr:graphicFrame macro="">
      <xdr:nvGraphicFramePr>
        <xdr:cNvPr id="25" name="Chart 24">
          <a:extLst>
            <a:ext uri="{FF2B5EF4-FFF2-40B4-BE49-F238E27FC236}">
              <a16:creationId xmlns:a16="http://schemas.microsoft.com/office/drawing/2014/main" id="{45998278-6C97-832C-1252-0783E29F4B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582083</xdr:colOff>
      <xdr:row>5942</xdr:row>
      <xdr:rowOff>59795</xdr:rowOff>
    </xdr:from>
    <xdr:to>
      <xdr:col>17</xdr:col>
      <xdr:colOff>756708</xdr:colOff>
      <xdr:row>5969</xdr:row>
      <xdr:rowOff>42333</xdr:rowOff>
    </xdr:to>
    <xdr:graphicFrame macro="">
      <xdr:nvGraphicFramePr>
        <xdr:cNvPr id="27" name="Chart 26">
          <a:extLst>
            <a:ext uri="{FF2B5EF4-FFF2-40B4-BE49-F238E27FC236}">
              <a16:creationId xmlns:a16="http://schemas.microsoft.com/office/drawing/2014/main" id="{9BB02044-8B81-B0F4-F3B9-08AFB10E90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809625</xdr:colOff>
      <xdr:row>5985</xdr:row>
      <xdr:rowOff>74083</xdr:rowOff>
    </xdr:from>
    <xdr:to>
      <xdr:col>27</xdr:col>
      <xdr:colOff>386291</xdr:colOff>
      <xdr:row>6010</xdr:row>
      <xdr:rowOff>135997</xdr:rowOff>
    </xdr:to>
    <xdr:graphicFrame macro="">
      <xdr:nvGraphicFramePr>
        <xdr:cNvPr id="26" name="Chart 25">
          <a:extLst>
            <a:ext uri="{FF2B5EF4-FFF2-40B4-BE49-F238E27FC236}">
              <a16:creationId xmlns:a16="http://schemas.microsoft.com/office/drawing/2014/main" id="{0409077C-1E73-4D07-BC80-8CB559201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14</xdr:col>
      <xdr:colOff>624418</xdr:colOff>
      <xdr:row>5861</xdr:row>
      <xdr:rowOff>118005</xdr:rowOff>
    </xdr:from>
    <xdr:to>
      <xdr:col>20</xdr:col>
      <xdr:colOff>624417</xdr:colOff>
      <xdr:row>5880</xdr:row>
      <xdr:rowOff>105833</xdr:rowOff>
    </xdr:to>
    <xdr:graphicFrame macro="">
      <xdr:nvGraphicFramePr>
        <xdr:cNvPr id="28" name="Chart 27">
          <a:extLst>
            <a:ext uri="{FF2B5EF4-FFF2-40B4-BE49-F238E27FC236}">
              <a16:creationId xmlns:a16="http://schemas.microsoft.com/office/drawing/2014/main" id="{1C2DA618-6C46-3900-58BA-2F258B8C03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9</xdr:col>
      <xdr:colOff>254000</xdr:colOff>
      <xdr:row>5996</xdr:row>
      <xdr:rowOff>96836</xdr:rowOff>
    </xdr:from>
    <xdr:to>
      <xdr:col>16</xdr:col>
      <xdr:colOff>89958</xdr:colOff>
      <xdr:row>6014</xdr:row>
      <xdr:rowOff>63499</xdr:rowOff>
    </xdr:to>
    <xdr:graphicFrame macro="">
      <xdr:nvGraphicFramePr>
        <xdr:cNvPr id="30" name="Chart 29">
          <a:extLst>
            <a:ext uri="{FF2B5EF4-FFF2-40B4-BE49-F238E27FC236}">
              <a16:creationId xmlns:a16="http://schemas.microsoft.com/office/drawing/2014/main" id="{A5AA4F7A-DC8A-B9E2-A162-4E10BCE075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6</xdr:col>
      <xdr:colOff>84667</xdr:colOff>
      <xdr:row>6224</xdr:row>
      <xdr:rowOff>170921</xdr:rowOff>
    </xdr:from>
    <xdr:to>
      <xdr:col>11</xdr:col>
      <xdr:colOff>37042</xdr:colOff>
      <xdr:row>6240</xdr:row>
      <xdr:rowOff>79375</xdr:rowOff>
    </xdr:to>
    <xdr:graphicFrame macro="">
      <xdr:nvGraphicFramePr>
        <xdr:cNvPr id="29" name="Chart 28">
          <a:extLst>
            <a:ext uri="{FF2B5EF4-FFF2-40B4-BE49-F238E27FC236}">
              <a16:creationId xmlns:a16="http://schemas.microsoft.com/office/drawing/2014/main" id="{9B89BC86-D802-77EE-1839-7A895B58E4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12</xdr:col>
      <xdr:colOff>0</xdr:colOff>
      <xdr:row>6225</xdr:row>
      <xdr:rowOff>0</xdr:rowOff>
    </xdr:from>
    <xdr:to>
      <xdr:col>17</xdr:col>
      <xdr:colOff>169333</xdr:colOff>
      <xdr:row>6240</xdr:row>
      <xdr:rowOff>98954</xdr:rowOff>
    </xdr:to>
    <xdr:graphicFrame macro="">
      <xdr:nvGraphicFramePr>
        <xdr:cNvPr id="31" name="Chart 30">
          <a:extLst>
            <a:ext uri="{FF2B5EF4-FFF2-40B4-BE49-F238E27FC236}">
              <a16:creationId xmlns:a16="http://schemas.microsoft.com/office/drawing/2014/main" id="{9596BF3B-87AD-4092-9F2C-5F2DCD1D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8</xdr:col>
      <xdr:colOff>306915</xdr:colOff>
      <xdr:row>6290</xdr:row>
      <xdr:rowOff>137584</xdr:rowOff>
    </xdr:from>
    <xdr:to>
      <xdr:col>19</xdr:col>
      <xdr:colOff>328082</xdr:colOff>
      <xdr:row>6321</xdr:row>
      <xdr:rowOff>158749</xdr:rowOff>
    </xdr:to>
    <xdr:graphicFrame macro="">
      <xdr:nvGraphicFramePr>
        <xdr:cNvPr id="32" name="Chart 31">
          <a:extLst>
            <a:ext uri="{FF2B5EF4-FFF2-40B4-BE49-F238E27FC236}">
              <a16:creationId xmlns:a16="http://schemas.microsoft.com/office/drawing/2014/main" id="{21CDBA05-A0BD-9E1E-36B8-45FA8E0A1D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597957</xdr:colOff>
      <xdr:row>6319</xdr:row>
      <xdr:rowOff>65088</xdr:rowOff>
    </xdr:from>
    <xdr:to>
      <xdr:col>8</xdr:col>
      <xdr:colOff>79374</xdr:colOff>
      <xdr:row>6337</xdr:row>
      <xdr:rowOff>42334</xdr:rowOff>
    </xdr:to>
    <xdr:graphicFrame macro="">
      <xdr:nvGraphicFramePr>
        <xdr:cNvPr id="33" name="Chart 32">
          <a:extLst>
            <a:ext uri="{FF2B5EF4-FFF2-40B4-BE49-F238E27FC236}">
              <a16:creationId xmlns:a16="http://schemas.microsoft.com/office/drawing/2014/main" id="{D327D03A-968E-989E-DB8F-59008C5154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6</xdr:col>
      <xdr:colOff>29105</xdr:colOff>
      <xdr:row>6373</xdr:row>
      <xdr:rowOff>129908</xdr:rowOff>
    </xdr:from>
    <xdr:to>
      <xdr:col>11</xdr:col>
      <xdr:colOff>198438</xdr:colOff>
      <xdr:row>6389</xdr:row>
      <xdr:rowOff>145520</xdr:rowOff>
    </xdr:to>
    <xdr:graphicFrame macro="">
      <xdr:nvGraphicFramePr>
        <xdr:cNvPr id="34" name="Chart 33">
          <a:extLst>
            <a:ext uri="{FF2B5EF4-FFF2-40B4-BE49-F238E27FC236}">
              <a16:creationId xmlns:a16="http://schemas.microsoft.com/office/drawing/2014/main" id="{5421B444-32C1-0967-02C1-B19FCB372B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0.4344</cdr:x>
      <cdr:y>0.39425</cdr:y>
    </cdr:from>
    <cdr:to>
      <cdr:x>0.45118</cdr:x>
      <cdr:y>0.44387</cdr:y>
    </cdr:to>
    <cdr:sp macro="" textlink="">
      <cdr:nvSpPr>
        <cdr:cNvPr id="31745" name="Text Box 1"/>
        <cdr:cNvSpPr txBox="1">
          <a:spLocks xmlns:a="http://schemas.openxmlformats.org/drawingml/2006/main" noChangeArrowheads="1"/>
        </cdr:cNvSpPr>
      </cdr:nvSpPr>
      <cdr:spPr bwMode="auto">
        <a:xfrm xmlns:a="http://schemas.openxmlformats.org/drawingml/2006/main">
          <a:off x="3236184" y="1998758"/>
          <a:ext cx="127544" cy="24635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32004" rIns="27432" bIns="32004" anchor="ctr" upright="1"/>
        <a:lstStyle xmlns:a="http://schemas.openxmlformats.org/drawingml/2006/main"/>
        <a:p xmlns:a="http://schemas.openxmlformats.org/drawingml/2006/main">
          <a:pPr algn="ctr" rtl="0">
            <a:defRPr sz="1000"/>
          </a:pPr>
          <a:r>
            <a:rPr lang="en-GB" sz="800" b="0" i="0" u="none" strike="noStrike" baseline="0">
              <a:solidFill>
                <a:srgbClr val="000000"/>
              </a:solidFill>
              <a:latin typeface="Trebuchet MS"/>
            </a:rPr>
            <a:t> </a:t>
          </a: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38100</xdr:colOff>
      <xdr:row>201</xdr:row>
      <xdr:rowOff>142875</xdr:rowOff>
    </xdr:from>
    <xdr:to>
      <xdr:col>15</xdr:col>
      <xdr:colOff>66675</xdr:colOff>
      <xdr:row>213</xdr:row>
      <xdr:rowOff>171450</xdr:rowOff>
    </xdr:to>
    <xdr:graphicFrame macro="">
      <xdr:nvGraphicFramePr>
        <xdr:cNvPr id="10821276" name="Chart 1">
          <a:extLst>
            <a:ext uri="{FF2B5EF4-FFF2-40B4-BE49-F238E27FC236}">
              <a16:creationId xmlns:a16="http://schemas.microsoft.com/office/drawing/2014/main" id="{D7245029-2C2C-44ED-8E16-42643A0FE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381000</xdr:colOff>
      <xdr:row>200</xdr:row>
      <xdr:rowOff>190500</xdr:rowOff>
    </xdr:from>
    <xdr:to>
      <xdr:col>21</xdr:col>
      <xdr:colOff>476250</xdr:colOff>
      <xdr:row>213</xdr:row>
      <xdr:rowOff>19050</xdr:rowOff>
    </xdr:to>
    <xdr:graphicFrame macro="">
      <xdr:nvGraphicFramePr>
        <xdr:cNvPr id="10821277" name="Chart 2">
          <a:extLst>
            <a:ext uri="{FF2B5EF4-FFF2-40B4-BE49-F238E27FC236}">
              <a16:creationId xmlns:a16="http://schemas.microsoft.com/office/drawing/2014/main" id="{7CC2190E-CA04-47FD-9733-06DDE430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95250</xdr:colOff>
      <xdr:row>167</xdr:row>
      <xdr:rowOff>171450</xdr:rowOff>
    </xdr:from>
    <xdr:to>
      <xdr:col>27</xdr:col>
      <xdr:colOff>419100</xdr:colOff>
      <xdr:row>182</xdr:row>
      <xdr:rowOff>57150</xdr:rowOff>
    </xdr:to>
    <xdr:graphicFrame macro="">
      <xdr:nvGraphicFramePr>
        <xdr:cNvPr id="10821278" name="Chart 1">
          <a:extLst>
            <a:ext uri="{FF2B5EF4-FFF2-40B4-BE49-F238E27FC236}">
              <a16:creationId xmlns:a16="http://schemas.microsoft.com/office/drawing/2014/main" id="{8ECACBAC-E7FD-471E-8D0B-FB29F7E67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95250</xdr:colOff>
      <xdr:row>150</xdr:row>
      <xdr:rowOff>152400</xdr:rowOff>
    </xdr:from>
    <xdr:to>
      <xdr:col>25</xdr:col>
      <xdr:colOff>409575</xdr:colOff>
      <xdr:row>165</xdr:row>
      <xdr:rowOff>28575</xdr:rowOff>
    </xdr:to>
    <xdr:graphicFrame macro="">
      <xdr:nvGraphicFramePr>
        <xdr:cNvPr id="10821279" name="Chart 4">
          <a:extLst>
            <a:ext uri="{FF2B5EF4-FFF2-40B4-BE49-F238E27FC236}">
              <a16:creationId xmlns:a16="http://schemas.microsoft.com/office/drawing/2014/main" id="{BED559A9-0590-488F-BB22-BBD0D4D08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108</xdr:col>
      <xdr:colOff>57150</xdr:colOff>
      <xdr:row>238</xdr:row>
      <xdr:rowOff>76200</xdr:rowOff>
    </xdr:from>
    <xdr:to>
      <xdr:col>112</xdr:col>
      <xdr:colOff>485775</xdr:colOff>
      <xdr:row>256</xdr:row>
      <xdr:rowOff>0</xdr:rowOff>
    </xdr:to>
    <xdr:graphicFrame macro="">
      <xdr:nvGraphicFramePr>
        <xdr:cNvPr id="2838175" name="Chart 785">
          <a:extLst>
            <a:ext uri="{FF2B5EF4-FFF2-40B4-BE49-F238E27FC236}">
              <a16:creationId xmlns:a16="http://schemas.microsoft.com/office/drawing/2014/main" id="{0F964CAF-F515-4405-A3D6-69F5DB19D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118</xdr:col>
      <xdr:colOff>28575</xdr:colOff>
      <xdr:row>127</xdr:row>
      <xdr:rowOff>9525</xdr:rowOff>
    </xdr:from>
    <xdr:to>
      <xdr:col>125</xdr:col>
      <xdr:colOff>295275</xdr:colOff>
      <xdr:row>141</xdr:row>
      <xdr:rowOff>95250</xdr:rowOff>
    </xdr:to>
    <xdr:graphicFrame macro="">
      <xdr:nvGraphicFramePr>
        <xdr:cNvPr id="2838176" name="Chart 1">
          <a:extLst>
            <a:ext uri="{FF2B5EF4-FFF2-40B4-BE49-F238E27FC236}">
              <a16:creationId xmlns:a16="http://schemas.microsoft.com/office/drawing/2014/main" id="{7E2AC09E-35F2-4B7A-A4CA-457A1A467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106</xdr:col>
      <xdr:colOff>457200</xdr:colOff>
      <xdr:row>268</xdr:row>
      <xdr:rowOff>190500</xdr:rowOff>
    </xdr:from>
    <xdr:to>
      <xdr:col>114</xdr:col>
      <xdr:colOff>95250</xdr:colOff>
      <xdr:row>283</xdr:row>
      <xdr:rowOff>76200</xdr:rowOff>
    </xdr:to>
    <xdr:graphicFrame macro="">
      <xdr:nvGraphicFramePr>
        <xdr:cNvPr id="2838177" name="Chart 1">
          <a:extLst>
            <a:ext uri="{FF2B5EF4-FFF2-40B4-BE49-F238E27FC236}">
              <a16:creationId xmlns:a16="http://schemas.microsoft.com/office/drawing/2014/main" id="{C83F3306-EAA2-48DB-8E94-5C582CE38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107</xdr:col>
      <xdr:colOff>0</xdr:colOff>
      <xdr:row>285</xdr:row>
      <xdr:rowOff>0</xdr:rowOff>
    </xdr:from>
    <xdr:to>
      <xdr:col>114</xdr:col>
      <xdr:colOff>266700</xdr:colOff>
      <xdr:row>299</xdr:row>
      <xdr:rowOff>76200</xdr:rowOff>
    </xdr:to>
    <xdr:graphicFrame macro="">
      <xdr:nvGraphicFramePr>
        <xdr:cNvPr id="2838178" name="Chart 6">
          <a:extLst>
            <a:ext uri="{FF2B5EF4-FFF2-40B4-BE49-F238E27FC236}">
              <a16:creationId xmlns:a16="http://schemas.microsoft.com/office/drawing/2014/main" id="{8215C804-91CF-465C-B780-7E037BA7E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133350</xdr:colOff>
      <xdr:row>11</xdr:row>
      <xdr:rowOff>142875</xdr:rowOff>
    </xdr:from>
    <xdr:to>
      <xdr:col>34</xdr:col>
      <xdr:colOff>419100</xdr:colOff>
      <xdr:row>26</xdr:row>
      <xdr:rowOff>19050</xdr:rowOff>
    </xdr:to>
    <xdr:graphicFrame macro="">
      <xdr:nvGraphicFramePr>
        <xdr:cNvPr id="2861240" name="Chart 1">
          <a:extLst>
            <a:ext uri="{FF2B5EF4-FFF2-40B4-BE49-F238E27FC236}">
              <a16:creationId xmlns:a16="http://schemas.microsoft.com/office/drawing/2014/main" id="{2BE8A23D-FFB8-40DC-9EDA-7A0FC117F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chris@newstreetresearch.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imf.org/external/pubs/ft/survey/so/2011/CAR100511A.htm" TargetMode="External"/><Relationship Id="rId1" Type="http://schemas.openxmlformats.org/officeDocument/2006/relationships/hyperlink" Target="http://colombiareports.com/2008/03/26/colombian-broadband-internet-sees-massive-growth/"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9"/>
  <sheetViews>
    <sheetView showGridLines="0" tabSelected="1" zoomScale="72" zoomScaleNormal="72" workbookViewId="0">
      <selection activeCell="M40" sqref="M40"/>
    </sheetView>
  </sheetViews>
  <sheetFormatPr defaultColWidth="8.85546875" defaultRowHeight="15"/>
  <cols>
    <col min="1" max="1" width="15.42578125" customWidth="1"/>
    <col min="2" max="2" width="13" customWidth="1"/>
    <col min="10" max="10" width="9.85546875" bestFit="1" customWidth="1"/>
    <col min="13" max="13" width="10.5703125" bestFit="1" customWidth="1"/>
    <col min="21" max="21" width="7.42578125" bestFit="1" customWidth="1"/>
  </cols>
  <sheetData>
    <row r="1" spans="1:12" ht="15.75">
      <c r="A1" s="1293"/>
      <c r="B1" s="1293"/>
      <c r="C1" s="1293"/>
      <c r="D1" s="1293"/>
      <c r="E1" s="1293"/>
      <c r="F1" s="1293"/>
      <c r="G1" s="1293"/>
      <c r="H1" s="1293"/>
      <c r="I1" s="1293"/>
      <c r="J1" s="1293"/>
      <c r="K1" s="1293"/>
      <c r="L1" s="1293"/>
    </row>
    <row r="2" spans="1:12" ht="15.75">
      <c r="A2" s="1293"/>
      <c r="B2" s="1293"/>
      <c r="C2" s="1293"/>
      <c r="D2" s="1293"/>
      <c r="E2" s="1293"/>
      <c r="F2" s="1293"/>
      <c r="G2" s="1293"/>
      <c r="H2" s="1293"/>
      <c r="I2" s="1293"/>
      <c r="J2" s="1293"/>
      <c r="K2" s="1293"/>
      <c r="L2" s="1293"/>
    </row>
    <row r="3" spans="1:12" ht="15.75">
      <c r="A3" s="1293"/>
      <c r="B3" s="1293"/>
      <c r="C3" s="1293"/>
      <c r="D3" s="1293"/>
      <c r="E3" s="1293"/>
      <c r="F3" s="1293"/>
      <c r="G3" s="1293"/>
      <c r="H3" s="1293"/>
      <c r="I3" s="1293"/>
      <c r="J3" s="1293"/>
      <c r="K3" s="1293"/>
      <c r="L3" s="1293"/>
    </row>
    <row r="4" spans="1:12" ht="15.75">
      <c r="A4" s="1293"/>
      <c r="B4" s="1293"/>
      <c r="C4" s="1293"/>
      <c r="D4" s="1293"/>
      <c r="E4" s="1293"/>
      <c r="F4" s="1293"/>
      <c r="G4" s="1293"/>
      <c r="H4" s="1293"/>
      <c r="I4" s="1293"/>
      <c r="J4" s="1293"/>
      <c r="K4" s="1293"/>
      <c r="L4" s="1293"/>
    </row>
    <row r="5" spans="1:12" ht="15.75">
      <c r="A5" s="1293"/>
      <c r="B5" s="1293"/>
      <c r="C5" s="1293"/>
      <c r="D5" s="1293"/>
      <c r="E5" s="1293"/>
      <c r="F5" s="1293"/>
      <c r="G5" s="1293"/>
      <c r="H5" s="1293"/>
      <c r="I5" s="1293"/>
      <c r="J5" s="1293"/>
      <c r="K5" s="1293"/>
      <c r="L5" s="1293"/>
    </row>
    <row r="6" spans="1:12" ht="15.75">
      <c r="A6" s="1293"/>
      <c r="B6" s="1293"/>
      <c r="C6" s="1293"/>
      <c r="D6" s="1293"/>
      <c r="E6" s="1293"/>
      <c r="F6" s="1293"/>
      <c r="G6" s="1293"/>
      <c r="H6" s="1293"/>
      <c r="I6" s="1293"/>
      <c r="J6" s="1293"/>
      <c r="K6" s="1293"/>
      <c r="L6" s="1293"/>
    </row>
    <row r="7" spans="1:12" ht="15.75">
      <c r="A7" s="1293"/>
      <c r="B7" s="1293"/>
      <c r="C7" s="1293"/>
      <c r="D7" s="1293"/>
      <c r="E7" s="1293"/>
      <c r="F7" s="1293"/>
      <c r="G7" s="1293"/>
      <c r="H7" s="1293"/>
      <c r="I7" s="1293"/>
      <c r="J7" s="1293"/>
      <c r="K7" s="1293"/>
      <c r="L7" s="1293"/>
    </row>
    <row r="8" spans="1:12" ht="16.5" thickBot="1">
      <c r="A8" s="1293"/>
      <c r="B8" s="1293"/>
      <c r="C8" s="1293"/>
      <c r="D8" s="1293"/>
      <c r="E8" s="1293"/>
      <c r="F8" s="1293"/>
      <c r="G8" s="1293"/>
      <c r="H8" s="1293"/>
      <c r="I8" s="1293"/>
      <c r="J8" s="1293"/>
      <c r="K8" s="1293"/>
      <c r="L8" s="1293"/>
    </row>
    <row r="9" spans="1:12" ht="15.75">
      <c r="A9" s="1293"/>
      <c r="B9" s="1293"/>
      <c r="C9" s="1293"/>
      <c r="D9" s="1293"/>
      <c r="E9" s="1293"/>
      <c r="F9" s="1293"/>
      <c r="G9" s="1293"/>
      <c r="H9" s="1293"/>
      <c r="I9" s="1293"/>
      <c r="J9" s="1293"/>
      <c r="K9" s="1293"/>
      <c r="L9" s="1293"/>
    </row>
    <row r="10" spans="1:12" ht="15.75">
      <c r="A10" s="1293"/>
      <c r="B10" s="1293"/>
      <c r="C10" s="1293"/>
      <c r="D10" s="1293"/>
      <c r="E10" s="1293"/>
      <c r="F10" s="1293"/>
      <c r="G10" s="1293"/>
      <c r="H10" s="1293"/>
      <c r="I10" s="1293"/>
      <c r="J10" s="1293"/>
      <c r="K10" s="1293"/>
      <c r="L10" s="1293"/>
    </row>
    <row r="11" spans="1:12" ht="15.75">
      <c r="A11" s="1293"/>
      <c r="B11" s="1293"/>
      <c r="C11" s="1293"/>
      <c r="D11" s="1293"/>
      <c r="E11" s="1293"/>
      <c r="F11" s="1293"/>
      <c r="G11" s="1293"/>
      <c r="H11" s="1293"/>
      <c r="I11" s="1293"/>
      <c r="J11" s="1293"/>
      <c r="K11" s="1293"/>
      <c r="L11" s="1293"/>
    </row>
    <row r="12" spans="1:12" ht="15.75">
      <c r="A12" s="1293"/>
      <c r="B12" s="1293"/>
      <c r="C12" s="1293"/>
      <c r="D12" s="1293"/>
      <c r="E12" s="1293"/>
      <c r="F12" s="1293"/>
      <c r="G12" s="1293"/>
      <c r="H12" s="1293"/>
      <c r="I12" s="1293"/>
      <c r="J12" s="1293"/>
      <c r="K12" s="1293"/>
      <c r="L12" s="1293"/>
    </row>
    <row r="13" spans="1:12" ht="18.75">
      <c r="A13" s="1293"/>
      <c r="B13" s="1866" t="s">
        <v>7234</v>
      </c>
      <c r="C13" s="1293"/>
      <c r="D13" s="1293"/>
      <c r="E13" s="1293"/>
      <c r="F13" s="1293"/>
      <c r="G13" s="1293"/>
      <c r="H13" s="1293"/>
      <c r="I13" s="1293"/>
      <c r="J13" s="1293"/>
      <c r="K13" s="1293"/>
      <c r="L13" s="1293"/>
    </row>
    <row r="14" spans="1:12" ht="15.75">
      <c r="A14" s="1293"/>
      <c r="B14" s="1293"/>
      <c r="C14" s="1293"/>
      <c r="D14" s="1293"/>
      <c r="E14" s="1293"/>
      <c r="F14" s="1293"/>
      <c r="G14" s="1293"/>
      <c r="H14" s="1293"/>
      <c r="I14" s="1293"/>
      <c r="J14" s="1293"/>
      <c r="K14" s="1293"/>
      <c r="L14" s="1293"/>
    </row>
    <row r="15" spans="1:12" ht="15.75">
      <c r="A15" s="1293"/>
      <c r="B15" s="1293"/>
      <c r="C15" s="1293"/>
      <c r="D15" s="1293"/>
      <c r="E15" s="1293"/>
      <c r="F15" s="1293"/>
      <c r="G15" s="1293"/>
      <c r="H15" s="1293"/>
      <c r="I15" s="1293"/>
      <c r="J15" s="1293"/>
      <c r="K15" s="1293"/>
      <c r="L15" s="1293"/>
    </row>
    <row r="16" spans="1:12" ht="15.75">
      <c r="A16" s="1293"/>
      <c r="B16" s="1720">
        <f ca="1">+TODAY()</f>
        <v>45750</v>
      </c>
      <c r="C16" s="1293"/>
      <c r="D16" s="1293"/>
      <c r="E16" s="1293"/>
      <c r="F16" s="1293"/>
      <c r="G16" s="1293"/>
      <c r="H16" s="1293"/>
      <c r="I16" s="1293"/>
      <c r="J16" s="1293"/>
      <c r="K16" s="1293"/>
      <c r="L16" s="1293"/>
    </row>
    <row r="17" spans="1:12" ht="15.75">
      <c r="A17" s="1293"/>
      <c r="B17" s="1293"/>
      <c r="C17" s="1293"/>
      <c r="D17" s="1293"/>
      <c r="E17" s="1293"/>
      <c r="F17" s="1293"/>
      <c r="G17" s="1293"/>
      <c r="H17" s="1293"/>
      <c r="I17" s="1293"/>
      <c r="J17" s="1293"/>
      <c r="K17" s="1293"/>
      <c r="L17" s="1293"/>
    </row>
    <row r="18" spans="1:12" ht="15.75">
      <c r="A18" s="1293"/>
      <c r="B18" s="1293"/>
      <c r="C18" s="1293"/>
      <c r="D18" s="1293"/>
      <c r="E18" s="1293"/>
      <c r="F18" s="1293"/>
      <c r="G18" s="1293"/>
      <c r="H18" s="1293"/>
      <c r="I18" s="1293"/>
      <c r="J18" s="1293"/>
      <c r="K18" s="1293"/>
      <c r="L18" s="1293"/>
    </row>
    <row r="19" spans="1:12" ht="15.75">
      <c r="A19" s="1293"/>
      <c r="B19" s="1334" t="s">
        <v>9086</v>
      </c>
      <c r="C19" s="1293"/>
      <c r="D19" s="1293"/>
      <c r="E19" s="1293"/>
      <c r="F19" s="1293"/>
      <c r="G19" s="1293"/>
      <c r="H19" s="1293"/>
      <c r="I19" s="1293"/>
      <c r="J19" s="1293"/>
      <c r="K19" s="1293"/>
      <c r="L19" s="1293"/>
    </row>
    <row r="20" spans="1:12" ht="15.75">
      <c r="A20" s="1293"/>
      <c r="B20" s="1867" t="s">
        <v>7231</v>
      </c>
      <c r="C20" s="1293"/>
      <c r="D20" s="1293"/>
      <c r="E20" s="1293"/>
      <c r="F20" s="1293"/>
      <c r="G20" s="1293"/>
      <c r="H20" s="1293"/>
      <c r="I20" s="1293"/>
      <c r="J20" s="1293"/>
      <c r="K20" s="1293"/>
      <c r="L20" s="1293"/>
    </row>
    <row r="21" spans="1:12" ht="15.75">
      <c r="A21" s="1293"/>
      <c r="B21" s="1870" t="s">
        <v>9087</v>
      </c>
      <c r="C21" s="1293"/>
      <c r="D21" s="1293"/>
      <c r="E21" s="1293"/>
      <c r="F21" s="1293"/>
      <c r="G21" s="1293"/>
      <c r="H21" s="1293"/>
      <c r="I21" s="1293"/>
      <c r="J21" s="1293"/>
      <c r="K21" s="1293"/>
      <c r="L21" s="1293"/>
    </row>
    <row r="22" spans="1:12" ht="15.75">
      <c r="A22" s="1293"/>
      <c r="B22" s="2365" t="s">
        <v>9088</v>
      </c>
      <c r="C22" s="1293"/>
      <c r="D22" s="1293"/>
      <c r="E22" s="1293"/>
      <c r="F22" s="1293"/>
      <c r="G22" s="1293"/>
      <c r="H22" s="1293"/>
      <c r="I22" s="1293"/>
      <c r="J22" s="1293"/>
      <c r="K22" s="1293"/>
      <c r="L22" s="1293"/>
    </row>
    <row r="23" spans="1:12" ht="15.75">
      <c r="A23" s="1293"/>
      <c r="B23" s="1293"/>
      <c r="C23" s="1293"/>
      <c r="D23" s="1293"/>
      <c r="E23" s="1293"/>
      <c r="F23" s="1293"/>
      <c r="G23" s="1293"/>
      <c r="H23" s="1293"/>
      <c r="I23" s="1293"/>
      <c r="J23" s="1293"/>
      <c r="K23" s="1293"/>
      <c r="L23" s="1293"/>
    </row>
    <row r="24" spans="1:12" ht="15.75">
      <c r="A24" s="1293"/>
      <c r="B24" s="1293"/>
      <c r="C24" s="1293"/>
      <c r="D24" s="1293"/>
      <c r="E24" s="1293"/>
      <c r="F24" s="1293"/>
      <c r="G24" s="1293"/>
      <c r="H24" s="1293"/>
      <c r="I24" s="1293"/>
      <c r="J24" s="1293"/>
      <c r="K24" s="1293"/>
      <c r="L24" s="1293"/>
    </row>
    <row r="25" spans="1:12" ht="15.75">
      <c r="A25" s="1293"/>
      <c r="B25" s="1293" t="s">
        <v>7232</v>
      </c>
      <c r="C25" s="1671" t="s">
        <v>5960</v>
      </c>
      <c r="D25" s="1293"/>
      <c r="E25" s="1293"/>
      <c r="F25" s="1293"/>
      <c r="G25" s="1293"/>
      <c r="H25" s="1293"/>
      <c r="I25" s="1293"/>
      <c r="J25" s="1293"/>
      <c r="K25" s="1293"/>
      <c r="L25" s="1293"/>
    </row>
    <row r="26" spans="1:12" ht="15.75">
      <c r="A26" s="1293"/>
      <c r="B26" s="1293" t="s">
        <v>7233</v>
      </c>
      <c r="C26" s="1671" t="s">
        <v>8636</v>
      </c>
      <c r="D26" s="1293"/>
      <c r="E26" s="1293"/>
      <c r="F26" s="1293"/>
      <c r="G26" s="1293"/>
      <c r="H26" s="1293"/>
      <c r="I26" s="1293"/>
      <c r="J26" s="1293"/>
      <c r="K26" s="1293"/>
      <c r="L26" s="1293"/>
    </row>
    <row r="27" spans="1:12" ht="15.75">
      <c r="A27" s="1293"/>
      <c r="B27" s="1293" t="s">
        <v>7575</v>
      </c>
      <c r="C27" s="1868">
        <v>36</v>
      </c>
      <c r="D27" s="1293"/>
      <c r="E27" s="1293"/>
      <c r="F27" s="1293"/>
      <c r="G27" s="1293"/>
      <c r="H27" s="1293"/>
      <c r="I27" s="1293"/>
      <c r="J27" s="1293"/>
      <c r="K27" s="1293"/>
      <c r="L27" s="1293"/>
    </row>
    <row r="28" spans="1:12" ht="15.75">
      <c r="A28" s="1293"/>
      <c r="B28" s="1293"/>
      <c r="C28" s="1293"/>
      <c r="D28" s="1293"/>
      <c r="E28" s="1293"/>
      <c r="F28" s="1293"/>
      <c r="G28" s="1293"/>
      <c r="H28" s="1293"/>
      <c r="I28" s="1293"/>
      <c r="J28" s="1293"/>
      <c r="K28" s="1293"/>
      <c r="L28" s="1293"/>
    </row>
    <row r="29" spans="1:12" ht="15.75">
      <c r="A29" s="1293"/>
      <c r="B29" s="1293"/>
      <c r="C29" s="1293"/>
      <c r="D29" s="1293"/>
      <c r="E29" s="1293"/>
      <c r="F29" s="1293"/>
      <c r="G29" s="1293"/>
      <c r="H29" s="1293"/>
      <c r="I29" s="1293"/>
      <c r="J29" s="1293"/>
      <c r="K29" s="1293"/>
      <c r="L29" s="1293"/>
    </row>
    <row r="30" spans="1:12" ht="15.75">
      <c r="A30" s="1293"/>
      <c r="B30" s="1293"/>
      <c r="C30" s="1293"/>
      <c r="D30" s="1293"/>
      <c r="E30" s="1293"/>
      <c r="F30" s="1293"/>
      <c r="G30" s="1293"/>
      <c r="H30" s="1293"/>
      <c r="I30" s="1293"/>
      <c r="J30" s="1293"/>
      <c r="K30" s="1293"/>
      <c r="L30" s="1293"/>
    </row>
    <row r="31" spans="1:12" ht="15.75">
      <c r="A31" s="1293"/>
      <c r="B31" s="1293"/>
      <c r="C31" s="1293"/>
      <c r="D31" s="1293"/>
      <c r="E31" s="1293"/>
      <c r="F31" s="1293"/>
      <c r="G31" s="1293"/>
      <c r="H31" s="1293"/>
      <c r="I31" s="1293"/>
      <c r="J31" s="1293"/>
      <c r="K31" s="1293"/>
      <c r="L31" s="1293"/>
    </row>
    <row r="32" spans="1:12" ht="15.75">
      <c r="A32" s="1293"/>
      <c r="B32" s="1293"/>
      <c r="C32" s="1293"/>
      <c r="D32" s="1293"/>
      <c r="E32" s="1293"/>
      <c r="F32" s="1293"/>
      <c r="G32" s="1293"/>
      <c r="H32" s="1293"/>
      <c r="I32" s="1293"/>
      <c r="J32" s="1293"/>
      <c r="K32" s="1293"/>
      <c r="L32" s="1293"/>
    </row>
    <row r="33" spans="1:12" ht="15.75">
      <c r="A33" s="1293"/>
      <c r="B33" s="1293"/>
      <c r="C33" s="1293"/>
      <c r="D33" s="1293"/>
      <c r="E33" s="1293"/>
      <c r="F33" s="1293"/>
      <c r="G33" s="1293"/>
      <c r="H33" s="1293"/>
      <c r="I33" s="1293"/>
      <c r="J33" s="1293"/>
      <c r="K33" s="1293"/>
      <c r="L33" s="1293"/>
    </row>
    <row r="34" spans="1:12" ht="15.75">
      <c r="A34" s="1293"/>
      <c r="B34" s="1293"/>
      <c r="C34" s="1293"/>
      <c r="D34" s="1293"/>
      <c r="E34" s="1293"/>
      <c r="F34" s="1293"/>
      <c r="G34" s="1293"/>
      <c r="H34" s="1293"/>
      <c r="I34" s="1293"/>
      <c r="J34" s="1293"/>
      <c r="K34" s="1293"/>
      <c r="L34" s="1293"/>
    </row>
    <row r="35" spans="1:12" ht="15.75">
      <c r="A35" s="1293"/>
      <c r="B35" s="1293"/>
      <c r="C35" s="1293"/>
      <c r="D35" s="1293"/>
      <c r="E35" s="1293"/>
      <c r="F35" s="1293"/>
      <c r="G35" s="1293"/>
      <c r="H35" s="1293"/>
      <c r="I35" s="1293"/>
      <c r="J35" s="1293"/>
      <c r="K35" s="1293"/>
      <c r="L35" s="1293"/>
    </row>
    <row r="36" spans="1:12" ht="15.75">
      <c r="A36" s="1293"/>
      <c r="B36" s="1293"/>
      <c r="C36" s="1293"/>
      <c r="D36" s="1293"/>
      <c r="E36" s="1293"/>
      <c r="F36" s="1293"/>
      <c r="G36" s="1293"/>
      <c r="H36" s="1293"/>
      <c r="I36" s="1293"/>
      <c r="J36" s="1293"/>
      <c r="K36" s="1293"/>
      <c r="L36" s="1293"/>
    </row>
    <row r="37" spans="1:12" ht="15.75">
      <c r="A37" s="1293"/>
      <c r="B37" s="1293"/>
      <c r="C37" s="1293"/>
      <c r="D37" s="1293"/>
      <c r="E37" s="1293"/>
      <c r="F37" s="1293"/>
      <c r="G37" s="1293"/>
      <c r="H37" s="1293"/>
      <c r="I37" s="1293"/>
      <c r="J37" s="1293"/>
      <c r="K37" s="1293"/>
      <c r="L37" s="1293"/>
    </row>
    <row r="38" spans="1:12" ht="15.75">
      <c r="A38" s="1293"/>
      <c r="B38" s="1293"/>
      <c r="C38" s="1293"/>
      <c r="D38" s="1293"/>
      <c r="E38" s="1293"/>
      <c r="F38" s="1293"/>
      <c r="G38" s="1293"/>
      <c r="H38" s="1293"/>
      <c r="I38" s="1293"/>
      <c r="J38" s="1293"/>
      <c r="K38" s="1293"/>
      <c r="L38" s="1293"/>
    </row>
    <row r="39" spans="1:12" ht="16.5" thickBot="1">
      <c r="A39" s="1293"/>
      <c r="B39" s="1293"/>
      <c r="C39" s="1293"/>
      <c r="D39" s="1293"/>
      <c r="E39" s="1293"/>
      <c r="F39" s="1293"/>
      <c r="G39" s="1293"/>
      <c r="H39" s="1293"/>
      <c r="I39" s="1293"/>
      <c r="J39" s="1293"/>
      <c r="K39" s="1293"/>
      <c r="L39" s="1293"/>
    </row>
  </sheetData>
  <hyperlinks>
    <hyperlink ref="B22" r:id="rId1" xr:uid="{F733F5E3-15BD-4C69-BDFA-4CA9E5A167B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pageSetUpPr fitToPage="1"/>
  </sheetPr>
  <dimension ref="A3:IV6440"/>
  <sheetViews>
    <sheetView topLeftCell="A6397" zoomScale="72" zoomScaleNormal="72" workbookViewId="0">
      <selection activeCell="N6369" sqref="N6369"/>
    </sheetView>
  </sheetViews>
  <sheetFormatPr defaultRowHeight="15" outlineLevelRow="1" outlineLevelCol="1"/>
  <cols>
    <col min="2" max="2" width="30" customWidth="1"/>
    <col min="3" max="3" width="10" customWidth="1" outlineLevel="1"/>
    <col min="4" max="4" width="13.7109375" customWidth="1" outlineLevel="1"/>
    <col min="5" max="5" width="15" customWidth="1" outlineLevel="1"/>
    <col min="6" max="6" width="15.28515625" customWidth="1"/>
    <col min="7" max="7" width="18.5703125" customWidth="1"/>
    <col min="8" max="9" width="17.5703125" customWidth="1"/>
    <col min="10" max="11" width="12.5703125" customWidth="1"/>
    <col min="12" max="13" width="10.7109375" customWidth="1"/>
    <col min="14" max="14" width="9.5703125" customWidth="1"/>
    <col min="15" max="15" width="14.42578125" bestFit="1" customWidth="1"/>
    <col min="16" max="17" width="11.28515625" customWidth="1"/>
    <col min="18" max="18" width="14.42578125" bestFit="1" customWidth="1"/>
    <col min="19" max="19" width="11.7109375" customWidth="1"/>
    <col min="20" max="20" width="11.28515625" customWidth="1"/>
    <col min="21" max="21" width="12.85546875" customWidth="1"/>
    <col min="22" max="23" width="8.140625" customWidth="1"/>
    <col min="24" max="28" width="8.42578125" customWidth="1"/>
    <col min="29" max="29" width="8.28515625" customWidth="1"/>
    <col min="30" max="30" width="7.85546875" customWidth="1"/>
    <col min="31" max="31" width="8.28515625" customWidth="1"/>
    <col min="32" max="32" width="8" customWidth="1"/>
    <col min="33" max="34" width="8.42578125" customWidth="1"/>
  </cols>
  <sheetData>
    <row r="3" spans="4:72">
      <c r="D3" t="s">
        <v>2376</v>
      </c>
      <c r="E3" s="5">
        <v>6.6000000000000003E-2</v>
      </c>
    </row>
    <row r="4" spans="4:72">
      <c r="D4" t="s">
        <v>2379</v>
      </c>
      <c r="E4" s="5">
        <v>0.04</v>
      </c>
    </row>
    <row r="5" spans="4:72">
      <c r="D5" t="s">
        <v>2380</v>
      </c>
      <c r="E5" s="5">
        <v>5.6000000000000001E-2</v>
      </c>
    </row>
    <row r="6" spans="4:72">
      <c r="D6" t="s">
        <v>2377</v>
      </c>
      <c r="E6" s="5">
        <v>4.2999999999999997E-2</v>
      </c>
    </row>
    <row r="7" spans="4:72">
      <c r="D7" t="s">
        <v>2378</v>
      </c>
      <c r="E7" s="5">
        <v>9.6000000000000002E-2</v>
      </c>
    </row>
    <row r="9" spans="4:72">
      <c r="D9" s="175" t="s">
        <v>199</v>
      </c>
      <c r="E9" s="175"/>
      <c r="F9" s="175"/>
      <c r="G9" s="175"/>
      <c r="H9" s="175"/>
      <c r="I9" s="175"/>
      <c r="J9" s="175"/>
      <c r="K9" s="175"/>
      <c r="L9" s="175"/>
      <c r="M9" s="175"/>
      <c r="N9" s="175"/>
      <c r="O9" s="175"/>
      <c r="P9" s="175"/>
      <c r="Q9" s="175"/>
      <c r="R9" s="175"/>
      <c r="S9" s="175"/>
      <c r="T9" s="175"/>
      <c r="U9" s="175"/>
      <c r="V9" s="175"/>
      <c r="W9" s="4"/>
      <c r="X9" s="4"/>
      <c r="Y9" s="4"/>
      <c r="Z9" s="4"/>
      <c r="AA9" s="4"/>
      <c r="AB9" s="4"/>
      <c r="AC9" s="4"/>
      <c r="AD9" s="4"/>
      <c r="AE9" s="4"/>
      <c r="AF9" s="4"/>
      <c r="AG9" s="4"/>
      <c r="AH9" s="4"/>
      <c r="AI9" s="4"/>
      <c r="AJ9" s="4"/>
      <c r="AK9" s="4"/>
      <c r="AL9" s="4"/>
      <c r="AM9" s="4"/>
      <c r="AN9" s="4"/>
      <c r="AO9" s="4"/>
      <c r="AP9" s="4"/>
      <c r="AQ9" s="4"/>
      <c r="AR9" s="4"/>
      <c r="AS9" s="4"/>
      <c r="AT9" s="4" t="s">
        <v>1722</v>
      </c>
      <c r="AU9" s="4"/>
      <c r="AV9" s="4"/>
      <c r="AW9" s="4"/>
      <c r="AX9" s="4"/>
      <c r="AY9" s="4"/>
      <c r="AZ9" s="4"/>
      <c r="BA9" s="4"/>
      <c r="BB9" s="4"/>
      <c r="BC9" s="4"/>
      <c r="BD9" s="4"/>
      <c r="BE9" s="4"/>
      <c r="BF9" s="4"/>
      <c r="BG9" s="4"/>
      <c r="BH9" s="4"/>
      <c r="BI9" s="4"/>
      <c r="BJ9" s="4"/>
      <c r="BK9" s="4"/>
      <c r="BL9" s="4"/>
      <c r="BM9" s="4" t="s">
        <v>1722</v>
      </c>
      <c r="BN9" s="4" t="s">
        <v>1722</v>
      </c>
      <c r="BO9" s="4">
        <v>2012</v>
      </c>
      <c r="BP9" s="4">
        <v>2006</v>
      </c>
      <c r="BQ9" s="4"/>
      <c r="BR9" s="4"/>
      <c r="BS9" s="4"/>
      <c r="BT9" s="4"/>
    </row>
    <row r="10" spans="4:72">
      <c r="D10" s="4"/>
      <c r="E10" s="4"/>
      <c r="F10" s="4"/>
      <c r="G10" s="4"/>
      <c r="H10" s="4"/>
      <c r="I10" s="4"/>
      <c r="J10" s="4"/>
      <c r="K10" s="4"/>
      <c r="L10" s="4"/>
      <c r="M10" s="4"/>
      <c r="N10" s="4"/>
      <c r="O10" s="4"/>
      <c r="P10" s="4"/>
      <c r="Q10" s="4"/>
      <c r="R10" s="4"/>
      <c r="S10" s="4"/>
      <c r="T10" s="4"/>
      <c r="U10" s="4"/>
      <c r="V10" s="4"/>
      <c r="W10" s="4"/>
      <c r="X10" s="4"/>
      <c r="Y10" s="4"/>
      <c r="Z10" s="4"/>
      <c r="AA10" s="4"/>
      <c r="AB10" s="4"/>
      <c r="AC10" s="4" t="s">
        <v>200</v>
      </c>
      <c r="AD10" s="4"/>
      <c r="AE10" s="4"/>
      <c r="AF10" s="4"/>
      <c r="AG10" s="4"/>
      <c r="AH10" s="4"/>
      <c r="AI10" s="4"/>
      <c r="AJ10" s="4"/>
      <c r="AK10" s="4"/>
      <c r="AL10" s="4"/>
      <c r="AM10" s="4"/>
      <c r="AN10" s="4"/>
      <c r="AO10" s="4"/>
      <c r="AP10" s="4"/>
      <c r="AQ10" s="4"/>
      <c r="AR10" s="4"/>
      <c r="AS10" s="4"/>
      <c r="AT10" s="4" t="s">
        <v>201</v>
      </c>
      <c r="AU10" s="4" t="s">
        <v>202</v>
      </c>
      <c r="AV10" s="4"/>
      <c r="AW10" s="4"/>
      <c r="AX10" s="4" t="s">
        <v>203</v>
      </c>
      <c r="AY10" s="4"/>
      <c r="AZ10" s="4"/>
      <c r="BA10" s="4"/>
      <c r="BB10" s="4"/>
      <c r="BC10" s="4"/>
      <c r="BD10" s="4"/>
      <c r="BE10" s="4"/>
      <c r="BF10" s="237" t="s">
        <v>204</v>
      </c>
      <c r="BG10" s="4"/>
      <c r="BH10" s="4"/>
      <c r="BI10" s="4"/>
      <c r="BJ10" s="4"/>
      <c r="BK10" s="4"/>
      <c r="BL10" s="4"/>
      <c r="BM10" s="4" t="s">
        <v>201</v>
      </c>
      <c r="BN10" s="4" t="s">
        <v>201</v>
      </c>
      <c r="BO10" s="4" t="s">
        <v>202</v>
      </c>
      <c r="BP10" s="4" t="s">
        <v>202</v>
      </c>
      <c r="BQ10" s="4"/>
      <c r="BR10" s="4"/>
      <c r="BS10" s="4" t="s">
        <v>205</v>
      </c>
      <c r="BT10" s="4"/>
    </row>
    <row r="11" spans="4:72">
      <c r="D11" s="4"/>
      <c r="E11" s="4"/>
      <c r="F11" s="4"/>
      <c r="G11" s="4"/>
      <c r="H11" s="4"/>
      <c r="I11" s="4" t="s">
        <v>206</v>
      </c>
      <c r="J11" s="4"/>
      <c r="K11" s="4"/>
      <c r="L11" s="4"/>
      <c r="M11" s="4"/>
      <c r="N11" s="4"/>
      <c r="O11" s="4"/>
      <c r="P11" s="4" t="s">
        <v>207</v>
      </c>
      <c r="Q11" s="4" t="s">
        <v>208</v>
      </c>
      <c r="R11" s="4" t="s">
        <v>209</v>
      </c>
      <c r="S11" s="4"/>
      <c r="T11" s="4" t="s">
        <v>1889</v>
      </c>
      <c r="U11" s="4"/>
      <c r="V11" s="4"/>
      <c r="W11" s="4"/>
      <c r="X11" s="4"/>
      <c r="Y11" s="4"/>
      <c r="Z11" s="4"/>
      <c r="AA11" s="4"/>
      <c r="AB11" s="4"/>
      <c r="AC11" s="4">
        <v>2006</v>
      </c>
      <c r="AD11" s="4"/>
      <c r="AE11" s="4"/>
      <c r="AF11" s="4"/>
      <c r="AG11" s="4"/>
      <c r="AH11" s="4"/>
      <c r="AI11" s="4" t="s">
        <v>210</v>
      </c>
      <c r="AJ11" s="4"/>
      <c r="AK11" s="4"/>
      <c r="AL11" s="4"/>
      <c r="AM11" s="4" t="s">
        <v>211</v>
      </c>
      <c r="AN11" s="4" t="s">
        <v>212</v>
      </c>
      <c r="AO11" s="4" t="s">
        <v>213</v>
      </c>
      <c r="AP11" s="4"/>
      <c r="AQ11" s="4"/>
      <c r="AR11" s="4"/>
      <c r="AS11" s="4"/>
      <c r="AT11" s="4" t="s">
        <v>1440</v>
      </c>
      <c r="AU11" s="4" t="s">
        <v>1441</v>
      </c>
      <c r="AV11" s="4"/>
      <c r="AW11" s="4"/>
      <c r="AX11" s="4"/>
      <c r="AY11" s="4"/>
      <c r="AZ11" s="4"/>
      <c r="BA11" s="4"/>
      <c r="BB11" s="4"/>
      <c r="BC11" s="4" t="s">
        <v>210</v>
      </c>
      <c r="BD11" s="4"/>
      <c r="BE11" s="4" t="s">
        <v>216</v>
      </c>
      <c r="BF11" s="98" t="s">
        <v>217</v>
      </c>
      <c r="BG11" s="4" t="s">
        <v>212</v>
      </c>
      <c r="BH11" s="4" t="s">
        <v>218</v>
      </c>
      <c r="BI11" s="4"/>
      <c r="BJ11" s="4"/>
      <c r="BK11" s="4"/>
      <c r="BL11" s="4"/>
      <c r="BM11" s="4">
        <v>2012</v>
      </c>
      <c r="BN11" s="4">
        <v>2006</v>
      </c>
      <c r="BO11" s="4" t="s">
        <v>1441</v>
      </c>
      <c r="BP11" s="4" t="s">
        <v>1441</v>
      </c>
      <c r="BQ11" s="4"/>
      <c r="BR11" s="4"/>
      <c r="BS11" s="4" t="s">
        <v>2353</v>
      </c>
      <c r="BT11" s="4"/>
    </row>
    <row r="12" spans="4:72">
      <c r="D12" s="4"/>
      <c r="E12" s="12"/>
      <c r="F12" s="12"/>
      <c r="G12" s="12"/>
      <c r="H12" s="12"/>
      <c r="I12" s="12" t="s">
        <v>219</v>
      </c>
      <c r="J12" s="4"/>
      <c r="K12" s="12" t="s">
        <v>1888</v>
      </c>
      <c r="L12" s="12" t="s">
        <v>220</v>
      </c>
      <c r="M12" s="12"/>
      <c r="N12" s="12"/>
      <c r="O12" s="12"/>
      <c r="P12" s="12" t="s">
        <v>221</v>
      </c>
      <c r="Q12" s="12" t="s">
        <v>222</v>
      </c>
      <c r="R12" s="12" t="s">
        <v>223</v>
      </c>
      <c r="S12" s="12"/>
      <c r="T12" s="12" t="s">
        <v>224</v>
      </c>
      <c r="U12" s="12"/>
      <c r="V12" s="12"/>
      <c r="W12" s="12">
        <v>2</v>
      </c>
      <c r="X12" s="12">
        <v>3</v>
      </c>
      <c r="Y12" s="12">
        <v>4</v>
      </c>
      <c r="Z12" s="12"/>
      <c r="AA12" s="12" t="s">
        <v>225</v>
      </c>
      <c r="AB12" s="12"/>
      <c r="AC12" s="12" t="s">
        <v>224</v>
      </c>
      <c r="AD12" s="12">
        <v>2</v>
      </c>
      <c r="AE12" s="12">
        <v>3</v>
      </c>
      <c r="AF12" s="12">
        <v>4</v>
      </c>
      <c r="AG12" s="12" t="s">
        <v>225</v>
      </c>
      <c r="AH12" s="12"/>
      <c r="AI12" s="12">
        <v>2006</v>
      </c>
      <c r="AJ12" s="12" t="s">
        <v>226</v>
      </c>
      <c r="AK12" s="12" t="s">
        <v>227</v>
      </c>
      <c r="AL12" s="12" t="s">
        <v>228</v>
      </c>
      <c r="AM12" s="12" t="s">
        <v>229</v>
      </c>
      <c r="AN12" s="12" t="s">
        <v>229</v>
      </c>
      <c r="AO12" s="12" t="s">
        <v>230</v>
      </c>
      <c r="AP12" s="12">
        <v>2</v>
      </c>
      <c r="AQ12" s="12">
        <v>3</v>
      </c>
      <c r="AR12" s="12">
        <v>4</v>
      </c>
      <c r="AS12" s="12">
        <v>5</v>
      </c>
      <c r="AT12" s="12" t="s">
        <v>231</v>
      </c>
      <c r="AU12" s="12" t="s">
        <v>232</v>
      </c>
      <c r="AV12" s="4"/>
      <c r="AW12" s="12" t="s">
        <v>224</v>
      </c>
      <c r="AX12" s="12">
        <v>2</v>
      </c>
      <c r="AY12" s="12">
        <v>3</v>
      </c>
      <c r="AZ12" s="12">
        <v>4</v>
      </c>
      <c r="BA12" s="12" t="s">
        <v>225</v>
      </c>
      <c r="BB12" s="12"/>
      <c r="BC12" s="12">
        <v>2012</v>
      </c>
      <c r="BD12" s="12" t="s">
        <v>233</v>
      </c>
      <c r="BE12" s="12">
        <v>2012</v>
      </c>
      <c r="BF12" s="99" t="s">
        <v>234</v>
      </c>
      <c r="BG12" s="12" t="s">
        <v>2171</v>
      </c>
      <c r="BH12" s="12" t="s">
        <v>230</v>
      </c>
      <c r="BI12" s="12">
        <v>2</v>
      </c>
      <c r="BJ12" s="12">
        <v>3</v>
      </c>
      <c r="BK12" s="12">
        <v>4</v>
      </c>
      <c r="BL12" s="12">
        <v>5</v>
      </c>
      <c r="BM12" s="12" t="s">
        <v>231</v>
      </c>
      <c r="BN12" s="12" t="s">
        <v>231</v>
      </c>
      <c r="BO12" s="12" t="s">
        <v>232</v>
      </c>
      <c r="BP12" s="12" t="s">
        <v>232</v>
      </c>
      <c r="BQ12" s="12" t="s">
        <v>619</v>
      </c>
      <c r="BR12" s="4"/>
      <c r="BS12" s="4" t="s">
        <v>235</v>
      </c>
      <c r="BT12" s="4" t="s">
        <v>236</v>
      </c>
    </row>
    <row r="13" spans="4:72">
      <c r="D13" s="4" t="str">
        <f>D3</f>
        <v>El Salvador</v>
      </c>
      <c r="E13" s="131"/>
      <c r="F13" s="36"/>
      <c r="G13" s="36"/>
      <c r="H13" s="36"/>
      <c r="I13" s="131" t="e">
        <v>#REF!</v>
      </c>
      <c r="J13" s="4"/>
      <c r="K13" s="36">
        <f>X197</f>
        <v>0</v>
      </c>
      <c r="L13" s="238">
        <v>0.05</v>
      </c>
      <c r="M13" s="238"/>
      <c r="N13" s="238"/>
      <c r="O13" s="238"/>
      <c r="P13" s="131" t="e">
        <f>I13*(1+K13+L13)^6</f>
        <v>#REF!</v>
      </c>
      <c r="Q13" s="238">
        <v>0.37</v>
      </c>
      <c r="R13" s="131" t="e">
        <f>P13*(1+Q13)</f>
        <v>#REF!</v>
      </c>
      <c r="S13" s="4"/>
      <c r="T13" s="36">
        <v>0.45</v>
      </c>
      <c r="U13" s="36"/>
      <c r="V13" s="36"/>
      <c r="W13" s="36">
        <v>0.22</v>
      </c>
      <c r="X13" s="36">
        <v>0.15</v>
      </c>
      <c r="Y13" s="36">
        <v>0.11</v>
      </c>
      <c r="Z13" s="36"/>
      <c r="AA13" s="36">
        <f>100%-T13-W13-X13-Y13</f>
        <v>7.0000000000000076E-2</v>
      </c>
      <c r="AB13" s="4"/>
      <c r="AC13" s="131" t="e">
        <f>$H13*(1+$P13)/0.2*T13</f>
        <v>#REF!</v>
      </c>
      <c r="AD13" s="131" t="e">
        <f t="shared" ref="AD13:AF16" si="0">$H13*(1+$P13)/0.2*W13</f>
        <v>#REF!</v>
      </c>
      <c r="AE13" s="131" t="e">
        <f t="shared" si="0"/>
        <v>#REF!</v>
      </c>
      <c r="AF13" s="131" t="e">
        <f t="shared" si="0"/>
        <v>#REF!</v>
      </c>
      <c r="AG13" s="131" t="e">
        <f>$H13*(1+$P13)/0.2*AA13</f>
        <v>#REF!</v>
      </c>
      <c r="AH13" s="131"/>
      <c r="AI13" s="36" t="e">
        <v>#REF!</v>
      </c>
      <c r="AJ13" s="239">
        <v>1.6</v>
      </c>
      <c r="AK13" s="36" t="e">
        <f>AI13/AJ13</f>
        <v>#REF!</v>
      </c>
      <c r="AL13" s="238">
        <v>0.18</v>
      </c>
      <c r="AM13" s="240" t="e">
        <v>#REF!</v>
      </c>
      <c r="AN13" s="240" t="e">
        <f>AM13*AJ13*(1+AL13)</f>
        <v>#REF!</v>
      </c>
      <c r="AO13" s="36" t="e">
        <f>IF(AK13&gt;0.2,0.2,AK13)</f>
        <v>#REF!</v>
      </c>
      <c r="AP13" s="36" t="e">
        <f>IF(AK13&gt;0.4,0.2,IF(AK13&lt;0.2,0,AK13-0.2))</f>
        <v>#REF!</v>
      </c>
      <c r="AQ13" s="36" t="e">
        <f>AK13-AO13-AP13-AR13-AS13</f>
        <v>#REF!</v>
      </c>
      <c r="AR13" s="36" t="e">
        <f>IF(AK13&gt;0.6,IF(AK13&gt;0.8,0.2,AK13-0.6),0)</f>
        <v>#REF!</v>
      </c>
      <c r="AS13" s="36" t="e">
        <f>IF(AK13&gt;0.8,AK13-0.8,0)</f>
        <v>#REF!</v>
      </c>
      <c r="AT13" s="131" t="e">
        <f>(AO13*AC13+AP13*AD13+AQ13*AE13+AR13*AF13+AS13*AG13)/AK13</f>
        <v>#REF!</v>
      </c>
      <c r="AU13" s="29" t="e">
        <f>AN13*12/AT13</f>
        <v>#REF!</v>
      </c>
      <c r="AV13" s="4"/>
      <c r="AW13" s="131">
        <f>$Q13/0.2*T13</f>
        <v>0.83249999999999991</v>
      </c>
      <c r="AX13" s="131">
        <f t="shared" ref="AX13:AZ16" si="1">$Q13/0.2*W13</f>
        <v>0.40699999999999997</v>
      </c>
      <c r="AY13" s="131">
        <f t="shared" si="1"/>
        <v>0.27749999999999997</v>
      </c>
      <c r="AZ13" s="131">
        <f t="shared" si="1"/>
        <v>0.20349999999999999</v>
      </c>
      <c r="BA13" s="131">
        <f>$Q13/0.2*AA13</f>
        <v>0.12950000000000014</v>
      </c>
      <c r="BB13" s="4"/>
      <c r="BC13" s="36" t="e">
        <v>#REF!</v>
      </c>
      <c r="BD13" s="204">
        <f>AJ13</f>
        <v>1.6</v>
      </c>
      <c r="BE13" s="36" t="e">
        <f>BC13/BD13</f>
        <v>#REF!</v>
      </c>
      <c r="BF13" s="240" t="e">
        <v>#REF!</v>
      </c>
      <c r="BG13" s="240" t="e">
        <f>BF13*BD13*(1+AL13)</f>
        <v>#REF!</v>
      </c>
      <c r="BH13" s="36" t="e">
        <f>IF(BE13&gt;0.2,0.2,BE13)</f>
        <v>#REF!</v>
      </c>
      <c r="BI13" s="36" t="e">
        <f>IF(BE13&gt;0.4,0.2,IF(BE13&lt;0.2,0,BE13-0.2))</f>
        <v>#REF!</v>
      </c>
      <c r="BJ13" s="36" t="e">
        <f>BE13-BH13-BI13-BK13-BL13</f>
        <v>#REF!</v>
      </c>
      <c r="BK13" s="36" t="e">
        <f>IF(BE13&gt;0.6,IF(BE13&gt;0.8,0.2,BE13-0.6),0)</f>
        <v>#REF!</v>
      </c>
      <c r="BL13" s="36" t="e">
        <f>IF(BE13&gt;0.8,BE13-0.8,0)</f>
        <v>#REF!</v>
      </c>
      <c r="BM13" s="131" t="e">
        <f>(BH13*AW13+BI13*AX13+BJ13*AY13+BK13*AZ13+BL13*BA13)/BE13</f>
        <v>#REF!</v>
      </c>
      <c r="BN13" s="131" t="e">
        <f>AT13</f>
        <v>#REF!</v>
      </c>
      <c r="BO13" s="29" t="e">
        <f>BG13*12/BM13</f>
        <v>#REF!</v>
      </c>
      <c r="BP13" s="29" t="e">
        <f>AU13</f>
        <v>#REF!</v>
      </c>
      <c r="BQ13" s="29" t="e">
        <f>BO13-BP13</f>
        <v>#REF!</v>
      </c>
      <c r="BR13" s="4"/>
      <c r="BS13" s="36" t="e">
        <f>(BM13/((1+L13)^6))/BN13-1</f>
        <v>#REF!</v>
      </c>
      <c r="BT13" s="36" t="e">
        <f>BM13/BN13-1</f>
        <v>#REF!</v>
      </c>
    </row>
    <row r="14" spans="4:72">
      <c r="D14" s="4" t="str">
        <f>D4</f>
        <v>Guatemala</v>
      </c>
      <c r="E14" s="131"/>
      <c r="F14" s="36"/>
      <c r="G14" s="36"/>
      <c r="H14" s="36"/>
      <c r="I14" s="131" t="e">
        <v>#REF!</v>
      </c>
      <c r="J14" s="4"/>
      <c r="K14" s="36">
        <f>X196</f>
        <v>0</v>
      </c>
      <c r="L14" s="238">
        <v>0.05</v>
      </c>
      <c r="M14" s="238"/>
      <c r="N14" s="238"/>
      <c r="O14" s="238"/>
      <c r="P14" s="131" t="e">
        <f>I14*(1+K14+L14)^6</f>
        <v>#REF!</v>
      </c>
      <c r="Q14" s="238">
        <v>0.37</v>
      </c>
      <c r="R14" s="131" t="e">
        <f>P14*(1+Q14)</f>
        <v>#REF!</v>
      </c>
      <c r="S14" s="4"/>
      <c r="T14" s="36">
        <v>0.4</v>
      </c>
      <c r="U14" s="36"/>
      <c r="V14" s="36"/>
      <c r="W14" s="36">
        <v>0.22500000000000001</v>
      </c>
      <c r="X14" s="36">
        <v>0.17</v>
      </c>
      <c r="Y14" s="36">
        <v>0.13</v>
      </c>
      <c r="Z14" s="36"/>
      <c r="AA14" s="36">
        <f>100%-T14-W14-X14-Y14</f>
        <v>7.4999999999999983E-2</v>
      </c>
      <c r="AB14" s="4"/>
      <c r="AC14" s="131" t="e">
        <f>$H14*(1+$P14)/0.2*T14</f>
        <v>#REF!</v>
      </c>
      <c r="AD14" s="131" t="e">
        <f t="shared" si="0"/>
        <v>#REF!</v>
      </c>
      <c r="AE14" s="131" t="e">
        <f t="shared" si="0"/>
        <v>#REF!</v>
      </c>
      <c r="AF14" s="131" t="e">
        <f t="shared" si="0"/>
        <v>#REF!</v>
      </c>
      <c r="AG14" s="131" t="e">
        <f>$H14*(1+$P14)/0.2*AA14</f>
        <v>#REF!</v>
      </c>
      <c r="AH14" s="131"/>
      <c r="AI14" s="36" t="e">
        <v>#REF!</v>
      </c>
      <c r="AJ14" s="239">
        <v>1.6</v>
      </c>
      <c r="AK14" s="36" t="e">
        <f>AI14/AJ14</f>
        <v>#REF!</v>
      </c>
      <c r="AL14" s="238">
        <v>0.18</v>
      </c>
      <c r="AM14" s="240" t="e">
        <v>#REF!</v>
      </c>
      <c r="AN14" s="240" t="e">
        <f>AM14*AJ14*(1+AL14)</f>
        <v>#REF!</v>
      </c>
      <c r="AO14" s="36" t="e">
        <f>IF(AK14&gt;0.2,0.2,AK14)</f>
        <v>#REF!</v>
      </c>
      <c r="AP14" s="36" t="e">
        <f>IF(AK14&gt;0.4,0.2,IF(AK14&lt;0.2,0,AK14-0.2))</f>
        <v>#REF!</v>
      </c>
      <c r="AQ14" s="36" t="e">
        <f>AK14-AO14-AP14-AR14-AS14</f>
        <v>#REF!</v>
      </c>
      <c r="AR14" s="36" t="e">
        <f>IF(AK14&gt;0.6,IF(AK14&gt;0.8,0.2,AK14-0.6),0)</f>
        <v>#REF!</v>
      </c>
      <c r="AS14" s="36" t="e">
        <f>IF(AK14&gt;0.8,AK14-0.8,0)</f>
        <v>#REF!</v>
      </c>
      <c r="AT14" s="131" t="e">
        <f>(AO14*AC14+AP14*AD14+AQ14*AE14+AR14*AF14+AS14*AG14)/AK14</f>
        <v>#REF!</v>
      </c>
      <c r="AU14" s="29" t="e">
        <f>AN14*12/AT14</f>
        <v>#REF!</v>
      </c>
      <c r="AV14" s="4"/>
      <c r="AW14" s="131">
        <f>$Q14/0.2*T14</f>
        <v>0.74</v>
      </c>
      <c r="AX14" s="131">
        <f t="shared" si="1"/>
        <v>0.41624999999999995</v>
      </c>
      <c r="AY14" s="131">
        <f t="shared" si="1"/>
        <v>0.3145</v>
      </c>
      <c r="AZ14" s="131">
        <f t="shared" si="1"/>
        <v>0.24049999999999999</v>
      </c>
      <c r="BA14" s="131">
        <f>$Q14/0.2*AA14</f>
        <v>0.13874999999999996</v>
      </c>
      <c r="BB14" s="4"/>
      <c r="BC14" s="36" t="e">
        <v>#REF!</v>
      </c>
      <c r="BD14" s="204">
        <f>AJ14</f>
        <v>1.6</v>
      </c>
      <c r="BE14" s="36" t="e">
        <f>BC14/BD14</f>
        <v>#REF!</v>
      </c>
      <c r="BF14" s="240" t="e">
        <v>#REF!</v>
      </c>
      <c r="BG14" s="240" t="e">
        <f>BF14*BD14*(1+AL14)</f>
        <v>#REF!</v>
      </c>
      <c r="BH14" s="36" t="e">
        <f>IF(BE14&gt;0.2,0.2,BE14)</f>
        <v>#REF!</v>
      </c>
      <c r="BI14" s="36" t="e">
        <f>IF(BE14&gt;0.4,0.2,IF(BE14&lt;0.2,0,BE14-0.2))</f>
        <v>#REF!</v>
      </c>
      <c r="BJ14" s="36" t="e">
        <f>BE14-BH14-BI14-BK14-BL14</f>
        <v>#REF!</v>
      </c>
      <c r="BK14" s="36" t="e">
        <f>IF(BE14&gt;0.6,IF(BE14&gt;0.8,0.2,BE14-0.6),0)</f>
        <v>#REF!</v>
      </c>
      <c r="BL14" s="36" t="e">
        <f>IF(BE14&gt;0.8,BE14-0.8,0)</f>
        <v>#REF!</v>
      </c>
      <c r="BM14" s="131" t="e">
        <f>(BH14*AW14+BI14*AX14+BJ14*AY14+BK14*AZ14+BL14*BA14)/BE14</f>
        <v>#REF!</v>
      </c>
      <c r="BN14" s="131" t="e">
        <f>AT14</f>
        <v>#REF!</v>
      </c>
      <c r="BO14" s="29" t="e">
        <f>BG14*12/BM14</f>
        <v>#REF!</v>
      </c>
      <c r="BP14" s="29" t="e">
        <f>AU14</f>
        <v>#REF!</v>
      </c>
      <c r="BQ14" s="29" t="e">
        <f>BO14-BP14</f>
        <v>#REF!</v>
      </c>
      <c r="BR14" s="4"/>
      <c r="BS14" s="36" t="e">
        <f>(BM14/((1+L14)^6))/BN14-1</f>
        <v>#REF!</v>
      </c>
      <c r="BT14" s="36" t="e">
        <f>BM14/BN14-1</f>
        <v>#REF!</v>
      </c>
    </row>
    <row r="15" spans="4:72">
      <c r="D15" s="4" t="str">
        <f>D5</f>
        <v>Honduras</v>
      </c>
      <c r="E15" s="131"/>
      <c r="F15" s="36"/>
      <c r="G15" s="36"/>
      <c r="H15" s="36"/>
      <c r="I15" s="131">
        <v>0.6</v>
      </c>
      <c r="J15" s="4"/>
      <c r="K15" s="36">
        <f>X195</f>
        <v>0</v>
      </c>
      <c r="L15" s="238">
        <v>0.05</v>
      </c>
      <c r="M15" s="238"/>
      <c r="N15" s="238"/>
      <c r="O15" s="238"/>
      <c r="P15" s="131">
        <f>I15*(1+K15+L15)^6</f>
        <v>0.80405738437499996</v>
      </c>
      <c r="Q15" s="238">
        <v>0.37</v>
      </c>
      <c r="R15" s="131">
        <f>P15*(1+Q15)</f>
        <v>1.1015586165937501</v>
      </c>
      <c r="S15" s="4"/>
      <c r="T15" s="36">
        <v>0.4</v>
      </c>
      <c r="U15" s="36"/>
      <c r="V15" s="36"/>
      <c r="W15" s="36">
        <v>0.22</v>
      </c>
      <c r="X15" s="36">
        <v>0.17</v>
      </c>
      <c r="Y15" s="36">
        <v>0.13</v>
      </c>
      <c r="Z15" s="36"/>
      <c r="AA15" s="36">
        <f>100%-T15-W15-X15-Y15</f>
        <v>7.9999999999999988E-2</v>
      </c>
      <c r="AB15" s="4"/>
      <c r="AC15" s="131">
        <f>$H15*(1+$P15)/0.2*T15</f>
        <v>0</v>
      </c>
      <c r="AD15" s="131">
        <f t="shared" si="0"/>
        <v>0</v>
      </c>
      <c r="AE15" s="131">
        <f t="shared" si="0"/>
        <v>0</v>
      </c>
      <c r="AF15" s="131">
        <f t="shared" si="0"/>
        <v>0</v>
      </c>
      <c r="AG15" s="131">
        <f>$H15*(1+$P15)/0.2*AA15</f>
        <v>0</v>
      </c>
      <c r="AH15" s="131"/>
      <c r="AI15" s="36">
        <v>0</v>
      </c>
      <c r="AJ15" s="239">
        <v>1.1000000000000001</v>
      </c>
      <c r="AK15" s="36">
        <f>AI15/AJ15</f>
        <v>0</v>
      </c>
      <c r="AL15" s="238">
        <v>0.18</v>
      </c>
      <c r="AM15" s="240" t="e">
        <v>#REF!</v>
      </c>
      <c r="AN15" s="240" t="e">
        <f>AM15*AJ15*(1+AL15)</f>
        <v>#REF!</v>
      </c>
      <c r="AO15" s="36">
        <f>IF(AK15&gt;0.2,0.2,AK15)</f>
        <v>0</v>
      </c>
      <c r="AP15" s="36">
        <f>IF(AK15&gt;0.4,0.2,IF(AK15&lt;0.2,0,AK15-0.2))</f>
        <v>0</v>
      </c>
      <c r="AQ15" s="36">
        <f>AK15-AO15-AP15-AR15-AS15</f>
        <v>0</v>
      </c>
      <c r="AR15" s="36">
        <f>IF(AK15&gt;0.6,IF(AK15&gt;0.8,0.2,AK15-0.6),0)</f>
        <v>0</v>
      </c>
      <c r="AS15" s="36">
        <f>IF(AK15&gt;0.8,AK15-0.8,0)</f>
        <v>0</v>
      </c>
      <c r="AT15" s="131" t="e">
        <f>(AO15*AC15+AP15*AD15+AQ15*AE15+AR15*AF15+AS15*AG15)/AK15</f>
        <v>#DIV/0!</v>
      </c>
      <c r="AU15" s="29" t="e">
        <f>AN15*12/AT15</f>
        <v>#REF!</v>
      </c>
      <c r="AV15" s="4"/>
      <c r="AW15" s="131">
        <f>$Q15/0.2*T15</f>
        <v>0.74</v>
      </c>
      <c r="AX15" s="131">
        <f t="shared" si="1"/>
        <v>0.40699999999999997</v>
      </c>
      <c r="AY15" s="131">
        <f t="shared" si="1"/>
        <v>0.3145</v>
      </c>
      <c r="AZ15" s="131">
        <f t="shared" si="1"/>
        <v>0.24049999999999999</v>
      </c>
      <c r="BA15" s="131">
        <f>$Q15/0.2*AA15</f>
        <v>0.14799999999999996</v>
      </c>
      <c r="BB15" s="4"/>
      <c r="BC15" s="36">
        <v>0</v>
      </c>
      <c r="BD15" s="241">
        <v>1.2</v>
      </c>
      <c r="BE15" s="36">
        <f>BC15/BD15</f>
        <v>0</v>
      </c>
      <c r="BF15" s="240" t="e">
        <v>#DIV/0!</v>
      </c>
      <c r="BG15" s="240" t="e">
        <f>BF15*BD15*(1+AL15)</f>
        <v>#DIV/0!</v>
      </c>
      <c r="BH15" s="36">
        <f>IF(BE15&gt;0.2,0.2,BE15)</f>
        <v>0</v>
      </c>
      <c r="BI15" s="36">
        <f>IF(BE15&gt;0.4,0.2,IF(BE15&lt;0.2,0,BE15-0.2))</f>
        <v>0</v>
      </c>
      <c r="BJ15" s="36">
        <f>BE15-BH15-BI15-BK15-BL15</f>
        <v>0</v>
      </c>
      <c r="BK15" s="36">
        <f>IF(BE15&gt;0.6,IF(BE15&gt;0.8,0.2,BE15-0.6),0)</f>
        <v>0</v>
      </c>
      <c r="BL15" s="36">
        <f>IF(BE15&gt;0.8,BE15-0.8,0)</f>
        <v>0</v>
      </c>
      <c r="BM15" s="131" t="e">
        <f>(BH15*AW15+BI15*AX15+BJ15*AY15+BK15*AZ15+BL15*BA15)/BE15</f>
        <v>#DIV/0!</v>
      </c>
      <c r="BN15" s="131" t="e">
        <f>AT15</f>
        <v>#DIV/0!</v>
      </c>
      <c r="BO15" s="29" t="e">
        <f>BG15*12/BM15</f>
        <v>#DIV/0!</v>
      </c>
      <c r="BP15" s="29" t="e">
        <f>AU15</f>
        <v>#REF!</v>
      </c>
      <c r="BQ15" s="29" t="e">
        <f>BO15-BP15</f>
        <v>#DIV/0!</v>
      </c>
      <c r="BR15" s="4"/>
      <c r="BS15" s="36" t="e">
        <f>(BM15/((1+L15)^6))/BN15-1</f>
        <v>#DIV/0!</v>
      </c>
      <c r="BT15" s="36" t="e">
        <f>BM15/BN15-1</f>
        <v>#DIV/0!</v>
      </c>
    </row>
    <row r="16" spans="4:72">
      <c r="D16" s="4" t="str">
        <f>D6</f>
        <v>Bolivia</v>
      </c>
      <c r="E16" s="131"/>
      <c r="F16" s="131"/>
      <c r="G16" s="131"/>
      <c r="H16" s="36"/>
      <c r="I16" s="131">
        <v>5780</v>
      </c>
      <c r="J16" s="4"/>
      <c r="K16" s="36">
        <f>X198</f>
        <v>0</v>
      </c>
      <c r="L16" s="238">
        <v>0.05</v>
      </c>
      <c r="M16" s="238"/>
      <c r="N16" s="238"/>
      <c r="O16" s="238"/>
      <c r="P16" s="131">
        <f>I16*(1+K16+L16)^6</f>
        <v>7745.7528028124998</v>
      </c>
      <c r="Q16" s="238">
        <v>0.36699999999999999</v>
      </c>
      <c r="R16" s="131">
        <f>P16*(1+Q16)</f>
        <v>10588.444081444688</v>
      </c>
      <c r="S16" s="4"/>
      <c r="T16" s="36">
        <v>0.53</v>
      </c>
      <c r="U16" s="36"/>
      <c r="V16" s="36"/>
      <c r="W16" s="36">
        <v>0.21</v>
      </c>
      <c r="X16" s="36">
        <v>0.14000000000000001</v>
      </c>
      <c r="Y16" s="36">
        <v>0.09</v>
      </c>
      <c r="Z16" s="36"/>
      <c r="AA16" s="36">
        <v>0.03</v>
      </c>
      <c r="AB16" s="4"/>
      <c r="AC16" s="131">
        <f>$H16*(1+$P16)/0.2*T16</f>
        <v>0</v>
      </c>
      <c r="AD16" s="131">
        <f t="shared" si="0"/>
        <v>0</v>
      </c>
      <c r="AE16" s="131">
        <f t="shared" si="0"/>
        <v>0</v>
      </c>
      <c r="AF16" s="131">
        <f t="shared" si="0"/>
        <v>0</v>
      </c>
      <c r="AG16" s="131">
        <f>$H16*(1+$P16)/0.2*AA16</f>
        <v>0</v>
      </c>
      <c r="AH16" s="131"/>
      <c r="AI16" s="238">
        <v>1.0680000000000001</v>
      </c>
      <c r="AJ16" s="239">
        <v>1.35</v>
      </c>
      <c r="AK16" s="36">
        <f>AI16/AJ16</f>
        <v>0.7911111111111111</v>
      </c>
      <c r="AL16" s="238">
        <v>0.18</v>
      </c>
      <c r="AM16" s="240">
        <v>8.5500000000000007</v>
      </c>
      <c r="AN16" s="240">
        <f>AM16*AJ16*(1+AL16)</f>
        <v>13.620150000000002</v>
      </c>
      <c r="AO16" s="36">
        <f>IF(AK16&gt;0.2,0.2,AK16)</f>
        <v>0.2</v>
      </c>
      <c r="AP16" s="36">
        <f>IF(AK16&gt;0.4,0.2,IF(AK16&lt;0.2,0,AK16-0.2))</f>
        <v>0.2</v>
      </c>
      <c r="AQ16" s="36">
        <f>AK16-AO16-AP16-AR16-AS16</f>
        <v>0.2</v>
      </c>
      <c r="AR16" s="36">
        <f>IF(AK16&gt;0.6,IF(AK16&gt;0.8,0.2,AK16-0.6),0)</f>
        <v>0.19111111111111112</v>
      </c>
      <c r="AS16" s="36">
        <f>IF(AK16&gt;0.8,AK16-0.8,0)</f>
        <v>0</v>
      </c>
      <c r="AT16" s="131">
        <f>(AO16*AC16+AP16*AD16+AQ16*AE16+AR16*AF16+AS16*AG16)/AK16</f>
        <v>0</v>
      </c>
      <c r="AU16" s="29" t="e">
        <f>AN16*12/AT16</f>
        <v>#DIV/0!</v>
      </c>
      <c r="AV16" s="4"/>
      <c r="AW16" s="131">
        <f>$Q16/0.2*T16</f>
        <v>0.97255000000000003</v>
      </c>
      <c r="AX16" s="131">
        <f t="shared" si="1"/>
        <v>0.38534999999999997</v>
      </c>
      <c r="AY16" s="131">
        <f t="shared" si="1"/>
        <v>0.25690000000000002</v>
      </c>
      <c r="AZ16" s="131">
        <f t="shared" si="1"/>
        <v>0.16514999999999999</v>
      </c>
      <c r="BA16" s="131">
        <f>$Q16/0.2*AA16</f>
        <v>5.5049999999999995E-2</v>
      </c>
      <c r="BB16" s="4"/>
      <c r="BC16" s="36">
        <v>0</v>
      </c>
      <c r="BD16" s="204">
        <f>AJ16</f>
        <v>1.35</v>
      </c>
      <c r="BE16" s="36">
        <f>BC16/BD16</f>
        <v>0</v>
      </c>
      <c r="BF16" s="240">
        <v>0</v>
      </c>
      <c r="BG16" s="240">
        <f>BF16*BD16*(1+AL16)</f>
        <v>0</v>
      </c>
      <c r="BH16" s="36">
        <f>IF(BE16&gt;0.2,0.2,BE16)</f>
        <v>0</v>
      </c>
      <c r="BI16" s="36">
        <f>IF(BE16&gt;0.4,0.2,IF(BE16&lt;0.2,0,BE16-0.2))</f>
        <v>0</v>
      </c>
      <c r="BJ16" s="36">
        <f>BE16-BH16-BI16-BK16-BL16</f>
        <v>0</v>
      </c>
      <c r="BK16" s="36">
        <f>IF(BE16&gt;0.6,IF(BE16&gt;0.8,0.2,BE16-0.6),0)</f>
        <v>0</v>
      </c>
      <c r="BL16" s="36">
        <f>IF(BE16&gt;0.8,BE16-0.8,0)</f>
        <v>0</v>
      </c>
      <c r="BM16" s="131" t="e">
        <f>(BH16*AW16+BI16*AX16+BJ16*AY16+BK16*AZ16+BL16*BA16)/BE16</f>
        <v>#DIV/0!</v>
      </c>
      <c r="BN16" s="131">
        <f>AT16</f>
        <v>0</v>
      </c>
      <c r="BO16" s="242">
        <v>1.7000000000000001E-2</v>
      </c>
      <c r="BP16" s="242">
        <v>1.7000000000000001E-2</v>
      </c>
      <c r="BQ16" s="29">
        <f>BO16-BP16</f>
        <v>0</v>
      </c>
      <c r="BR16" s="4"/>
      <c r="BS16" s="36" t="e">
        <f>(BM16/((1+L16)^6))/BN16-1</f>
        <v>#DIV/0!</v>
      </c>
      <c r="BT16" s="36" t="e">
        <f>BM16/BN16-1</f>
        <v>#DIV/0!</v>
      </c>
    </row>
    <row r="17" spans="4:72">
      <c r="D17" s="4" t="str">
        <f>D7</f>
        <v>Paraguay</v>
      </c>
      <c r="E17" s="131"/>
      <c r="F17" s="131"/>
      <c r="G17" s="131"/>
      <c r="H17" s="36"/>
      <c r="I17" s="131"/>
      <c r="J17" s="4"/>
      <c r="K17" s="36"/>
      <c r="L17" s="238"/>
      <c r="M17" s="238"/>
      <c r="N17" s="238"/>
      <c r="O17" s="238"/>
      <c r="P17" s="131"/>
      <c r="Q17" s="238"/>
      <c r="R17" s="131"/>
      <c r="S17" s="4"/>
      <c r="T17" s="36"/>
      <c r="U17" s="36"/>
      <c r="V17" s="36"/>
      <c r="W17" s="36"/>
      <c r="X17" s="36"/>
      <c r="Y17" s="36"/>
      <c r="Z17" s="36"/>
      <c r="AA17" s="36"/>
      <c r="AB17" s="4"/>
      <c r="AC17" s="131"/>
      <c r="AD17" s="131"/>
      <c r="AE17" s="131"/>
      <c r="AF17" s="131"/>
      <c r="AG17" s="131"/>
      <c r="AH17" s="131"/>
      <c r="AI17" s="238"/>
      <c r="AJ17" s="239"/>
      <c r="AK17" s="36"/>
      <c r="AL17" s="238"/>
      <c r="AM17" s="240"/>
      <c r="AN17" s="240"/>
      <c r="AO17" s="36"/>
      <c r="AP17" s="36"/>
      <c r="AQ17" s="36"/>
      <c r="AR17" s="36"/>
      <c r="AS17" s="36"/>
      <c r="AT17" s="131"/>
      <c r="AU17" s="29"/>
      <c r="AV17" s="4"/>
      <c r="AW17" s="131"/>
      <c r="AX17" s="131"/>
      <c r="AY17" s="131"/>
      <c r="AZ17" s="131"/>
      <c r="BA17" s="131"/>
      <c r="BB17" s="4"/>
      <c r="BC17" s="36"/>
      <c r="BD17" s="204"/>
      <c r="BE17" s="36"/>
      <c r="BF17" s="240"/>
      <c r="BG17" s="240"/>
      <c r="BH17" s="36"/>
      <c r="BI17" s="36"/>
      <c r="BJ17" s="36"/>
      <c r="BK17" s="36"/>
      <c r="BL17" s="36"/>
      <c r="BM17" s="131"/>
      <c r="BN17" s="131"/>
      <c r="BO17" s="242"/>
      <c r="BP17" s="242"/>
      <c r="BQ17" s="29"/>
      <c r="BR17" s="4"/>
      <c r="BS17" s="36"/>
      <c r="BT17" s="36"/>
    </row>
    <row r="18" spans="4:72">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row>
    <row r="19" spans="4:72">
      <c r="D19" s="4"/>
      <c r="E19" s="4" t="s">
        <v>207</v>
      </c>
      <c r="F19" s="4" t="s">
        <v>237</v>
      </c>
      <c r="G19" s="4"/>
      <c r="H19" s="4" t="s">
        <v>238</v>
      </c>
      <c r="I19" s="4"/>
      <c r="J19" s="4"/>
      <c r="K19" s="4" t="s">
        <v>212</v>
      </c>
      <c r="L19" s="4" t="s">
        <v>212</v>
      </c>
      <c r="M19" s="4"/>
      <c r="N19" s="4"/>
      <c r="O19" s="4"/>
      <c r="P19" s="4" t="s">
        <v>239</v>
      </c>
      <c r="Q19" s="4" t="s">
        <v>240</v>
      </c>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36"/>
      <c r="BG19" s="4"/>
      <c r="BH19" s="4"/>
      <c r="BI19" s="4"/>
      <c r="BJ19" s="4"/>
      <c r="BK19" s="4"/>
      <c r="BL19" s="4"/>
      <c r="BM19" s="4"/>
      <c r="BN19" s="4"/>
      <c r="BO19" s="4"/>
      <c r="BP19" s="4"/>
      <c r="BQ19" s="4"/>
      <c r="BR19" s="4"/>
      <c r="BS19" s="4"/>
      <c r="BT19" s="4"/>
    </row>
    <row r="20" spans="4:72">
      <c r="D20" s="4"/>
      <c r="E20" s="12" t="s">
        <v>137</v>
      </c>
      <c r="F20" s="12" t="s">
        <v>138</v>
      </c>
      <c r="G20" s="12"/>
      <c r="H20" s="12" t="s">
        <v>139</v>
      </c>
      <c r="I20" s="12" t="s">
        <v>53</v>
      </c>
      <c r="J20" s="12" t="s">
        <v>226</v>
      </c>
      <c r="K20" s="12" t="s">
        <v>54</v>
      </c>
      <c r="L20" s="12" t="s">
        <v>55</v>
      </c>
      <c r="M20" s="12"/>
      <c r="N20" s="12"/>
      <c r="O20" s="12"/>
      <c r="P20" s="12" t="s">
        <v>56</v>
      </c>
      <c r="Q20" s="12" t="s">
        <v>57</v>
      </c>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row>
    <row r="21" spans="4:72">
      <c r="D21" s="4" t="str">
        <f>D13</f>
        <v>El Salvador</v>
      </c>
      <c r="E21" s="27" t="e">
        <f>I13</f>
        <v>#REF!</v>
      </c>
      <c r="F21" s="36">
        <f>Q13</f>
        <v>0.37</v>
      </c>
      <c r="G21" s="36"/>
      <c r="H21" s="27" t="e">
        <f>E21*(1+F21)</f>
        <v>#REF!</v>
      </c>
      <c r="I21" s="36" t="e">
        <f t="shared" ref="I21:K24" si="2">AI13</f>
        <v>#REF!</v>
      </c>
      <c r="J21" s="97">
        <f t="shared" si="2"/>
        <v>1.6</v>
      </c>
      <c r="K21" s="36" t="e">
        <f t="shared" si="2"/>
        <v>#REF!</v>
      </c>
      <c r="L21" s="39" t="e">
        <f>AN13</f>
        <v>#REF!</v>
      </c>
      <c r="M21" s="39"/>
      <c r="N21" s="39"/>
      <c r="O21" s="39"/>
      <c r="P21" s="27" t="e">
        <f t="shared" ref="P21:Q24" si="3">AT13</f>
        <v>#REF!</v>
      </c>
      <c r="Q21" s="29" t="e">
        <f t="shared" si="3"/>
        <v>#REF!</v>
      </c>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row>
    <row r="22" spans="4:72">
      <c r="D22" s="4" t="str">
        <f>D14</f>
        <v>Guatemala</v>
      </c>
      <c r="E22" s="27" t="e">
        <f>I14</f>
        <v>#REF!</v>
      </c>
      <c r="F22" s="36">
        <f>Q14</f>
        <v>0.37</v>
      </c>
      <c r="G22" s="36"/>
      <c r="H22" s="27" t="e">
        <f>E22*(1+F22)</f>
        <v>#REF!</v>
      </c>
      <c r="I22" s="36" t="e">
        <f t="shared" si="2"/>
        <v>#REF!</v>
      </c>
      <c r="J22" s="97">
        <f t="shared" si="2"/>
        <v>1.6</v>
      </c>
      <c r="K22" s="36" t="e">
        <f t="shared" si="2"/>
        <v>#REF!</v>
      </c>
      <c r="L22" s="39" t="e">
        <f>AN14</f>
        <v>#REF!</v>
      </c>
      <c r="M22" s="39"/>
      <c r="N22" s="39"/>
      <c r="O22" s="39"/>
      <c r="P22" s="27" t="e">
        <f t="shared" si="3"/>
        <v>#REF!</v>
      </c>
      <c r="Q22" s="29" t="e">
        <f t="shared" si="3"/>
        <v>#REF!</v>
      </c>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row>
    <row r="23" spans="4:72">
      <c r="D23" s="4" t="str">
        <f>D15</f>
        <v>Honduras</v>
      </c>
      <c r="E23" s="27">
        <f>I15</f>
        <v>0.6</v>
      </c>
      <c r="F23" s="36">
        <f>Q15</f>
        <v>0.37</v>
      </c>
      <c r="G23" s="36"/>
      <c r="H23" s="27">
        <f>E23*(1+F23)</f>
        <v>0.82200000000000006</v>
      </c>
      <c r="I23" s="36">
        <f t="shared" si="2"/>
        <v>0</v>
      </c>
      <c r="J23" s="97">
        <f t="shared" si="2"/>
        <v>1.1000000000000001</v>
      </c>
      <c r="K23" s="36">
        <f t="shared" si="2"/>
        <v>0</v>
      </c>
      <c r="L23" s="39" t="e">
        <f>AN15</f>
        <v>#REF!</v>
      </c>
      <c r="M23" s="39"/>
      <c r="N23" s="39"/>
      <c r="O23" s="39"/>
      <c r="P23" s="27" t="e">
        <f t="shared" si="3"/>
        <v>#DIV/0!</v>
      </c>
      <c r="Q23" s="29" t="e">
        <f t="shared" si="3"/>
        <v>#REF!</v>
      </c>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row>
    <row r="24" spans="4:72">
      <c r="D24" s="4" t="str">
        <f>D16</f>
        <v>Bolivia</v>
      </c>
      <c r="E24" s="27">
        <f>I16</f>
        <v>5780</v>
      </c>
      <c r="F24" s="36">
        <f>Q16</f>
        <v>0.36699999999999999</v>
      </c>
      <c r="G24" s="36"/>
      <c r="H24" s="27">
        <f>E24*(1+F24)</f>
        <v>7901.26</v>
      </c>
      <c r="I24" s="36">
        <f t="shared" si="2"/>
        <v>1.0680000000000001</v>
      </c>
      <c r="J24" s="97">
        <f t="shared" si="2"/>
        <v>1.35</v>
      </c>
      <c r="K24" s="36">
        <f t="shared" si="2"/>
        <v>0.7911111111111111</v>
      </c>
      <c r="L24" s="39">
        <f>AN16</f>
        <v>13.620150000000002</v>
      </c>
      <c r="M24" s="39"/>
      <c r="N24" s="39"/>
      <c r="O24" s="39"/>
      <c r="P24" s="27">
        <f t="shared" si="3"/>
        <v>0</v>
      </c>
      <c r="Q24" s="29" t="e">
        <f t="shared" si="3"/>
        <v>#DIV/0!</v>
      </c>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row>
    <row r="25" spans="4:72">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row>
    <row r="26" spans="4:72">
      <c r="D26" s="4"/>
      <c r="E26" s="98" t="s">
        <v>58</v>
      </c>
      <c r="F26" s="98" t="s">
        <v>1722</v>
      </c>
      <c r="G26" s="98"/>
      <c r="H26" s="98" t="s">
        <v>240</v>
      </c>
      <c r="I26" s="98" t="s">
        <v>240</v>
      </c>
      <c r="J26" s="98"/>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row>
    <row r="27" spans="4:72">
      <c r="D27" s="4"/>
      <c r="E27" s="99" t="s">
        <v>2016</v>
      </c>
      <c r="F27" s="99" t="s">
        <v>59</v>
      </c>
      <c r="G27" s="99"/>
      <c r="H27" s="99" t="s">
        <v>60</v>
      </c>
      <c r="I27" s="99" t="s">
        <v>61</v>
      </c>
      <c r="J27" s="99" t="s">
        <v>619</v>
      </c>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row>
    <row r="28" spans="4:72">
      <c r="D28" s="4" t="str">
        <f>D21</f>
        <v>El Salvador</v>
      </c>
      <c r="E28" s="36">
        <f t="shared" ref="E28:F31" si="4">K13</f>
        <v>0</v>
      </c>
      <c r="F28" s="36">
        <f t="shared" si="4"/>
        <v>0.05</v>
      </c>
      <c r="G28" s="36"/>
      <c r="H28" s="29" t="e">
        <f t="shared" ref="H28:I31" si="5">BO13</f>
        <v>#REF!</v>
      </c>
      <c r="I28" s="29" t="e">
        <f t="shared" si="5"/>
        <v>#REF!</v>
      </c>
      <c r="J28" s="29" t="e">
        <f>H28-I28</f>
        <v>#REF!</v>
      </c>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row>
    <row r="29" spans="4:72">
      <c r="D29" s="4" t="str">
        <f>D22</f>
        <v>Guatemala</v>
      </c>
      <c r="E29" s="36">
        <f t="shared" si="4"/>
        <v>0</v>
      </c>
      <c r="F29" s="36">
        <f t="shared" si="4"/>
        <v>0.05</v>
      </c>
      <c r="G29" s="36"/>
      <c r="H29" s="29" t="e">
        <f t="shared" si="5"/>
        <v>#REF!</v>
      </c>
      <c r="I29" s="29" t="e">
        <f t="shared" si="5"/>
        <v>#REF!</v>
      </c>
      <c r="J29" s="29" t="e">
        <f>H29-I29</f>
        <v>#REF!</v>
      </c>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row>
    <row r="30" spans="4:72">
      <c r="D30" s="4" t="str">
        <f>D23</f>
        <v>Honduras</v>
      </c>
      <c r="E30" s="36">
        <f t="shared" si="4"/>
        <v>0</v>
      </c>
      <c r="F30" s="36">
        <f t="shared" si="4"/>
        <v>0.05</v>
      </c>
      <c r="G30" s="36"/>
      <c r="H30" s="29" t="e">
        <f t="shared" si="5"/>
        <v>#DIV/0!</v>
      </c>
      <c r="I30" s="29" t="e">
        <f t="shared" si="5"/>
        <v>#REF!</v>
      </c>
      <c r="J30" s="29" t="e">
        <f>H30-I30</f>
        <v>#DIV/0!</v>
      </c>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row>
    <row r="31" spans="4:72">
      <c r="D31" s="4" t="str">
        <f>D24</f>
        <v>Bolivia</v>
      </c>
      <c r="E31" s="36">
        <f t="shared" si="4"/>
        <v>0</v>
      </c>
      <c r="F31" s="36">
        <f t="shared" si="4"/>
        <v>0.05</v>
      </c>
      <c r="G31" s="36"/>
      <c r="H31" s="29">
        <f t="shared" si="5"/>
        <v>1.7000000000000001E-2</v>
      </c>
      <c r="I31" s="29">
        <f t="shared" si="5"/>
        <v>1.7000000000000001E-2</v>
      </c>
      <c r="J31" s="29">
        <f>H31-I31</f>
        <v>0</v>
      </c>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row>
    <row r="33" spans="4:25">
      <c r="D33" s="175" t="s">
        <v>1172</v>
      </c>
      <c r="E33" s="175"/>
      <c r="F33" s="175"/>
      <c r="G33" s="175"/>
      <c r="H33" s="175"/>
      <c r="I33" s="175"/>
      <c r="J33" s="175"/>
      <c r="K33" s="175"/>
      <c r="L33" s="175"/>
      <c r="M33" s="175"/>
      <c r="N33" s="175"/>
      <c r="O33" s="175"/>
      <c r="P33" s="175"/>
      <c r="Q33" s="175"/>
      <c r="R33" s="175"/>
      <c r="S33" s="175"/>
      <c r="T33" s="175"/>
      <c r="U33" s="175"/>
      <c r="V33" s="175"/>
    </row>
    <row r="34" spans="4:25" ht="15.75">
      <c r="D34" s="230"/>
      <c r="E34" s="230"/>
      <c r="F34" s="230"/>
      <c r="G34" s="230"/>
      <c r="H34" s="230"/>
      <c r="I34" s="230"/>
      <c r="J34" s="230"/>
      <c r="K34" s="230"/>
      <c r="L34" s="230"/>
      <c r="M34" s="230"/>
      <c r="N34" s="230"/>
      <c r="O34" s="230"/>
      <c r="P34" s="230"/>
      <c r="T34" s="231" t="s">
        <v>2296</v>
      </c>
      <c r="U34" s="231" t="s">
        <v>2296</v>
      </c>
      <c r="V34" s="231" t="s">
        <v>2296</v>
      </c>
      <c r="W34" s="231" t="s">
        <v>2296</v>
      </c>
      <c r="X34" s="231" t="s">
        <v>2296</v>
      </c>
      <c r="Y34" s="231" t="s">
        <v>2296</v>
      </c>
    </row>
    <row r="35" spans="4:25" ht="15.75">
      <c r="D35" s="230"/>
      <c r="E35" s="246" t="s">
        <v>1102</v>
      </c>
      <c r="F35" s="246" t="s">
        <v>1104</v>
      </c>
      <c r="G35" s="246"/>
      <c r="H35" s="246" t="s">
        <v>1650</v>
      </c>
      <c r="I35" s="246" t="s">
        <v>2356</v>
      </c>
      <c r="J35" s="246" t="s">
        <v>499</v>
      </c>
      <c r="K35" s="246" t="s">
        <v>740</v>
      </c>
      <c r="L35" s="246" t="s">
        <v>558</v>
      </c>
      <c r="M35" s="246" t="s">
        <v>423</v>
      </c>
      <c r="N35" s="246" t="s">
        <v>106</v>
      </c>
      <c r="O35" s="246" t="s">
        <v>613</v>
      </c>
      <c r="P35" s="246" t="s">
        <v>2043</v>
      </c>
      <c r="Q35" s="246" t="s">
        <v>96</v>
      </c>
      <c r="T35" s="246" t="str">
        <f t="shared" ref="T35:Y35" si="6">J35</f>
        <v>Q1 07</v>
      </c>
      <c r="U35" s="246" t="str">
        <f t="shared" si="6"/>
        <v>Q2 07</v>
      </c>
      <c r="V35" s="246" t="str">
        <f t="shared" si="6"/>
        <v>Q3 07</v>
      </c>
      <c r="W35" s="246" t="str">
        <f t="shared" si="6"/>
        <v>Q4 07</v>
      </c>
      <c r="X35" s="246" t="str">
        <f t="shared" si="6"/>
        <v>Q1 08</v>
      </c>
      <c r="Y35" s="246" t="str">
        <f t="shared" si="6"/>
        <v>Q2 08</v>
      </c>
    </row>
    <row r="36" spans="4:25" ht="15.75">
      <c r="D36" s="230" t="s">
        <v>1373</v>
      </c>
      <c r="E36" s="253">
        <v>2264.1616923076926</v>
      </c>
      <c r="F36" s="253">
        <v>2442.3232307692306</v>
      </c>
      <c r="G36" s="253"/>
      <c r="H36" s="253">
        <v>2429.2106153846148</v>
      </c>
      <c r="I36" s="253">
        <v>2303.4633846153843</v>
      </c>
      <c r="J36" s="253">
        <v>2220.5775384615386</v>
      </c>
      <c r="K36" s="253">
        <v>2022.8269230769231</v>
      </c>
      <c r="L36" s="253">
        <v>2041.6072307692311</v>
      </c>
      <c r="M36" s="253">
        <v>2020</v>
      </c>
      <c r="N36" s="253">
        <v>1892.9296363636363</v>
      </c>
      <c r="O36" s="253">
        <v>1767.5547692307694</v>
      </c>
      <c r="P36" s="253">
        <v>1902.8969696969698</v>
      </c>
      <c r="Q36" s="9">
        <v>2313.1097368421056</v>
      </c>
      <c r="T36" s="254">
        <f>J36/E36-1</f>
        <v>-1.9249576562587301E-2</v>
      </c>
      <c r="U36" s="254">
        <f>K36/F36-1</f>
        <v>-0.17176117493677667</v>
      </c>
      <c r="V36" s="254">
        <f t="shared" ref="V36:Y37" si="7">L36/H36-1</f>
        <v>-0.15955939849785927</v>
      </c>
      <c r="W36" s="254">
        <f t="shared" si="7"/>
        <v>-0.12305964423337901</v>
      </c>
      <c r="X36" s="254">
        <f t="shared" si="7"/>
        <v>-0.14755075939609086</v>
      </c>
      <c r="Y36" s="254">
        <f t="shared" si="7"/>
        <v>-0.1261957466226814</v>
      </c>
    </row>
    <row r="37" spans="4:25" ht="15.75">
      <c r="D37" s="230" t="s">
        <v>1372</v>
      </c>
      <c r="E37" s="253">
        <v>2724.1278817628408</v>
      </c>
      <c r="F37" s="253">
        <v>3072.8859999095848</v>
      </c>
      <c r="G37" s="253"/>
      <c r="H37" s="253">
        <v>3095.8794394236679</v>
      </c>
      <c r="I37" s="253">
        <v>2970.9928983176319</v>
      </c>
      <c r="J37" s="253">
        <v>2910.8013628781064</v>
      </c>
      <c r="K37" s="253">
        <v>2727.4273330473375</v>
      </c>
      <c r="L37" s="253">
        <v>2806.4278496915986</v>
      </c>
      <c r="M37" s="253">
        <v>2925.0448118133609</v>
      </c>
      <c r="N37" s="253">
        <v>2846.3225770145468</v>
      </c>
      <c r="O37" s="253">
        <v>2761.9674858248513</v>
      </c>
      <c r="P37" s="253">
        <v>2860.7316921028469</v>
      </c>
      <c r="Q37" s="9">
        <v>2995.4497171215417</v>
      </c>
      <c r="T37" s="254">
        <f>J37/E37-1</f>
        <v>6.8525961047931849E-2</v>
      </c>
      <c r="U37" s="254">
        <f>K37/F37-1</f>
        <v>-0.11242156945373571</v>
      </c>
      <c r="V37" s="254">
        <f t="shared" si="7"/>
        <v>-9.3495756341840597E-2</v>
      </c>
      <c r="W37" s="254">
        <f t="shared" si="7"/>
        <v>-1.5465565915788515E-2</v>
      </c>
      <c r="X37" s="254">
        <f t="shared" si="7"/>
        <v>-2.2151558222373913E-2</v>
      </c>
      <c r="Y37" s="254">
        <f t="shared" si="7"/>
        <v>1.2664004778056626E-2</v>
      </c>
    </row>
    <row r="38" spans="4:25" ht="15.75">
      <c r="D38" s="230"/>
      <c r="E38" s="253"/>
      <c r="F38" s="253"/>
      <c r="G38" s="253"/>
      <c r="H38" s="253"/>
      <c r="I38" s="253"/>
      <c r="J38" s="253"/>
      <c r="K38" s="253"/>
      <c r="L38" s="253"/>
      <c r="M38" s="253"/>
      <c r="N38" s="253"/>
      <c r="O38" s="253"/>
      <c r="P38" s="230"/>
      <c r="Q38" s="230"/>
      <c r="R38" s="230"/>
      <c r="S38" s="230"/>
      <c r="T38" s="230"/>
      <c r="U38" s="230"/>
      <c r="V38" s="230"/>
      <c r="W38" s="230"/>
    </row>
    <row r="39" spans="4:25" ht="15.75">
      <c r="D39" s="255" t="s">
        <v>1374</v>
      </c>
      <c r="E39" s="253"/>
      <c r="F39" s="253"/>
      <c r="G39" s="253"/>
      <c r="H39" s="253"/>
      <c r="I39" s="253"/>
      <c r="J39" s="253"/>
      <c r="K39" s="253"/>
      <c r="L39" s="253"/>
      <c r="M39" s="253"/>
      <c r="N39" s="253"/>
      <c r="O39" s="253"/>
      <c r="P39" s="230"/>
      <c r="Q39" s="230"/>
      <c r="R39" s="230"/>
      <c r="S39" s="230"/>
      <c r="T39" s="230"/>
      <c r="U39" s="230"/>
      <c r="V39" s="230"/>
      <c r="W39" s="230"/>
    </row>
    <row r="40" spans="4:25" ht="15.75">
      <c r="D40" s="230" t="s">
        <v>1371</v>
      </c>
      <c r="E40" s="230">
        <v>197</v>
      </c>
      <c r="F40" s="230">
        <v>195</v>
      </c>
      <c r="G40" s="230"/>
      <c r="H40" s="230">
        <v>192</v>
      </c>
      <c r="I40" s="230">
        <v>195</v>
      </c>
      <c r="J40" s="230">
        <v>195</v>
      </c>
      <c r="K40" s="230">
        <v>222</v>
      </c>
      <c r="L40" s="230">
        <v>224</v>
      </c>
      <c r="M40" s="230">
        <v>228</v>
      </c>
      <c r="N40" s="230">
        <v>203</v>
      </c>
      <c r="O40" s="230">
        <f>423-N40</f>
        <v>220</v>
      </c>
      <c r="P40" s="230">
        <v>200</v>
      </c>
      <c r="Q40" s="230"/>
      <c r="R40" s="230"/>
      <c r="S40" s="230"/>
      <c r="T40" s="230"/>
      <c r="U40" s="230"/>
      <c r="V40" s="230"/>
      <c r="W40" s="230"/>
    </row>
    <row r="41" spans="4:25" ht="15.75">
      <c r="D41" s="230" t="s">
        <v>2223</v>
      </c>
      <c r="E41" s="230">
        <v>37</v>
      </c>
      <c r="F41" s="230">
        <v>13</v>
      </c>
      <c r="G41" s="230"/>
      <c r="H41" s="230">
        <v>35</v>
      </c>
      <c r="I41" s="230">
        <v>53</v>
      </c>
      <c r="J41" s="230">
        <v>23</v>
      </c>
      <c r="K41" s="230">
        <v>35</v>
      </c>
      <c r="L41" s="253">
        <v>50</v>
      </c>
      <c r="M41" s="230">
        <v>78</v>
      </c>
      <c r="N41" s="230">
        <v>44</v>
      </c>
      <c r="O41" s="230">
        <f>92-N41</f>
        <v>48</v>
      </c>
      <c r="P41" s="230">
        <v>57</v>
      </c>
      <c r="Q41" s="230"/>
      <c r="R41" s="230"/>
      <c r="S41" s="230"/>
      <c r="T41" s="230"/>
      <c r="U41" s="230"/>
      <c r="V41" s="230"/>
      <c r="W41" s="230"/>
    </row>
    <row r="42" spans="4:25" ht="15.75">
      <c r="D42" s="230"/>
      <c r="E42" s="230"/>
      <c r="F42" s="230"/>
      <c r="G42" s="230"/>
      <c r="H42" s="230"/>
      <c r="I42" s="230"/>
      <c r="J42" s="230"/>
      <c r="K42" s="230"/>
      <c r="L42" s="230"/>
      <c r="M42" s="230"/>
      <c r="N42" s="230"/>
      <c r="O42" s="230"/>
      <c r="P42" s="230"/>
      <c r="Q42" s="230"/>
      <c r="R42" s="230"/>
      <c r="S42" s="230"/>
      <c r="T42" s="230"/>
      <c r="U42" s="230"/>
      <c r="V42" s="230"/>
      <c r="W42" s="230"/>
    </row>
    <row r="43" spans="4:25" ht="15.75">
      <c r="D43" s="255" t="s">
        <v>1654</v>
      </c>
      <c r="E43" s="230"/>
      <c r="F43" s="230"/>
      <c r="G43" s="230"/>
      <c r="H43" s="230"/>
      <c r="I43" s="230"/>
      <c r="J43" s="230"/>
      <c r="K43" s="230"/>
      <c r="L43" s="230"/>
      <c r="M43" s="230"/>
      <c r="N43" s="230"/>
      <c r="O43" s="230"/>
      <c r="P43" s="230"/>
      <c r="Q43" s="230"/>
      <c r="R43" s="230"/>
      <c r="S43" s="230"/>
      <c r="T43" s="230"/>
      <c r="U43" s="230"/>
      <c r="V43" s="230"/>
      <c r="W43" s="230"/>
    </row>
    <row r="44" spans="4:25" ht="15.75">
      <c r="D44" s="230" t="s">
        <v>1254</v>
      </c>
      <c r="E44" s="230"/>
      <c r="F44" s="230"/>
      <c r="G44" s="230"/>
      <c r="H44" s="230"/>
      <c r="I44" s="256">
        <f>Quarts!V222</f>
        <v>90.311599999999984</v>
      </c>
      <c r="J44" s="256">
        <f>Quarts!X222</f>
        <v>90.554666666666648</v>
      </c>
      <c r="K44" s="256">
        <f>Quarts!Y222</f>
        <v>107.12036000000001</v>
      </c>
      <c r="L44" s="256">
        <f>Quarts!Z222</f>
        <v>116.28335999999999</v>
      </c>
      <c r="M44" s="256">
        <f>Quarts!AA222</f>
        <v>129.81075199999998</v>
      </c>
      <c r="N44" s="256">
        <f>Quarts!AC222</f>
        <v>109</v>
      </c>
      <c r="O44" s="256">
        <f>Quarts!AD222</f>
        <v>118</v>
      </c>
      <c r="P44" s="256">
        <f>Quarts!AE222</f>
        <v>119.32543044417125</v>
      </c>
      <c r="Q44" s="256" t="e">
        <f>Quarts!#REF!</f>
        <v>#REF!</v>
      </c>
      <c r="R44" s="230"/>
      <c r="S44" s="230"/>
      <c r="T44" s="230"/>
      <c r="U44" s="230"/>
      <c r="V44" s="230"/>
      <c r="W44" s="230"/>
    </row>
    <row r="45" spans="4:25" ht="15.75">
      <c r="D45" s="230" t="s">
        <v>1255</v>
      </c>
      <c r="E45" s="230"/>
      <c r="F45" s="230"/>
      <c r="G45" s="230"/>
      <c r="H45" s="230"/>
      <c r="I45" s="256">
        <f>Quarts!V303</f>
        <v>13.82094</v>
      </c>
      <c r="J45" s="256">
        <f>Quarts!X303</f>
        <v>19.016479999999994</v>
      </c>
      <c r="K45" s="256">
        <f>Quarts!Y303</f>
        <v>26.780090000000001</v>
      </c>
      <c r="L45" s="256">
        <f>Quarts!Z303</f>
        <v>29.070839999999997</v>
      </c>
      <c r="M45" s="256">
        <f>Quarts!AA303</f>
        <v>20.023554599999997</v>
      </c>
      <c r="N45" s="256">
        <f>Quarts!AC303</f>
        <v>13.08</v>
      </c>
      <c r="O45" s="256">
        <f>Quarts!AD303</f>
        <v>14.16</v>
      </c>
      <c r="P45" s="256">
        <f>Quarts!AE303</f>
        <v>16.705560262183976</v>
      </c>
      <c r="Q45" s="256" t="e">
        <f>Quarts!#REF!</f>
        <v>#REF!</v>
      </c>
      <c r="R45" s="230"/>
      <c r="S45" s="230"/>
      <c r="T45" s="230"/>
      <c r="U45" s="230"/>
      <c r="V45" s="230"/>
      <c r="W45" s="230"/>
    </row>
    <row r="46" spans="4:25" ht="15.75">
      <c r="D46" s="230"/>
      <c r="E46" s="230"/>
      <c r="F46" s="230"/>
      <c r="G46" s="230"/>
      <c r="H46" s="230"/>
      <c r="I46" s="230"/>
      <c r="J46" s="230"/>
      <c r="K46" s="230"/>
      <c r="L46" s="230"/>
      <c r="M46" s="230"/>
      <c r="N46" s="230"/>
      <c r="O46" s="230"/>
      <c r="P46" s="230"/>
      <c r="Q46" s="230"/>
      <c r="R46" s="230"/>
      <c r="S46" s="230"/>
      <c r="T46" s="230"/>
      <c r="U46" s="230"/>
      <c r="V46" s="230"/>
      <c r="W46" s="230"/>
    </row>
    <row r="47" spans="4:25" ht="15.75">
      <c r="D47" s="245" t="s">
        <v>1250</v>
      </c>
      <c r="E47" s="246" t="str">
        <f>E35</f>
        <v>Q1 06</v>
      </c>
      <c r="F47" s="246" t="str">
        <f>F35</f>
        <v>Q2 06</v>
      </c>
      <c r="G47" s="246"/>
      <c r="H47" s="246" t="str">
        <f t="shared" ref="H47:P47" si="8">H35</f>
        <v>Q3 06</v>
      </c>
      <c r="I47" s="246" t="str">
        <f t="shared" si="8"/>
        <v>Q4 06</v>
      </c>
      <c r="J47" s="246" t="str">
        <f t="shared" si="8"/>
        <v>Q1 07</v>
      </c>
      <c r="K47" s="246" t="str">
        <f t="shared" si="8"/>
        <v>Q2 07</v>
      </c>
      <c r="L47" s="246" t="str">
        <f t="shared" si="8"/>
        <v>Q3 07</v>
      </c>
      <c r="M47" s="246" t="str">
        <f t="shared" si="8"/>
        <v>Q4 07</v>
      </c>
      <c r="N47" s="246" t="str">
        <f t="shared" si="8"/>
        <v>Q1 08</v>
      </c>
      <c r="O47" s="246" t="str">
        <f t="shared" si="8"/>
        <v>Q2 08</v>
      </c>
      <c r="P47" s="246" t="str">
        <f t="shared" si="8"/>
        <v>Q3 08</v>
      </c>
      <c r="Q47" s="230"/>
      <c r="R47" s="230"/>
      <c r="S47" s="230"/>
      <c r="T47" s="230"/>
      <c r="U47" s="230"/>
      <c r="V47" s="230"/>
      <c r="W47" s="230"/>
    </row>
    <row r="48" spans="4:25" ht="15.75">
      <c r="D48" s="230" t="s">
        <v>1257</v>
      </c>
      <c r="E48" s="230"/>
      <c r="F48" s="230"/>
      <c r="G48" s="230"/>
      <c r="H48" s="230"/>
      <c r="I48" s="230"/>
      <c r="J48" s="230"/>
      <c r="K48" s="230"/>
      <c r="L48" s="230"/>
      <c r="M48" s="230"/>
      <c r="N48" s="230"/>
      <c r="O48" s="230"/>
      <c r="P48" s="230"/>
      <c r="Q48" s="230"/>
      <c r="R48" s="230"/>
      <c r="S48" s="230"/>
      <c r="T48" s="230"/>
      <c r="U48" s="230"/>
      <c r="V48" s="230"/>
      <c r="W48" s="230"/>
    </row>
    <row r="49" spans="4:27" ht="15.75">
      <c r="D49" s="230" t="str">
        <f>D44</f>
        <v>MIC revs</v>
      </c>
      <c r="E49" s="230"/>
      <c r="F49" s="230"/>
      <c r="G49" s="230"/>
      <c r="H49" s="230"/>
      <c r="I49" s="256">
        <f t="shared" ref="I49:P50" si="9">I44*I$36/1000</f>
        <v>208.02946380603069</v>
      </c>
      <c r="J49" s="256">
        <f t="shared" si="9"/>
        <v>201.08365880287175</v>
      </c>
      <c r="K49" s="256">
        <f t="shared" si="9"/>
        <v>216.68594821769233</v>
      </c>
      <c r="L49" s="256">
        <f t="shared" si="9"/>
        <v>237.40494859414156</v>
      </c>
      <c r="M49" s="256">
        <f t="shared" si="9"/>
        <v>262.21771903999996</v>
      </c>
      <c r="N49" s="256">
        <f t="shared" si="9"/>
        <v>206.32933036363633</v>
      </c>
      <c r="O49" s="256">
        <f t="shared" si="9"/>
        <v>208.57146276923078</v>
      </c>
      <c r="P49" s="256">
        <f t="shared" si="9"/>
        <v>227.06399999999999</v>
      </c>
      <c r="Q49" s="230"/>
      <c r="R49" s="230"/>
      <c r="S49" s="230"/>
      <c r="T49" s="230"/>
      <c r="U49" s="230"/>
      <c r="V49" s="230"/>
      <c r="W49" s="230"/>
    </row>
    <row r="50" spans="4:27" ht="15.75">
      <c r="D50" s="249" t="str">
        <f>D45</f>
        <v>MIC EBITDA</v>
      </c>
      <c r="E50" s="249"/>
      <c r="F50" s="249"/>
      <c r="G50" s="249"/>
      <c r="H50" s="249"/>
      <c r="I50" s="257">
        <f t="shared" si="9"/>
        <v>31.836029230966147</v>
      </c>
      <c r="J50" s="257">
        <f t="shared" si="9"/>
        <v>42.227568348603072</v>
      </c>
      <c r="K50" s="257">
        <f t="shared" si="9"/>
        <v>54.171487054423082</v>
      </c>
      <c r="L50" s="257">
        <f t="shared" si="9"/>
        <v>59.35123714853539</v>
      </c>
      <c r="M50" s="257">
        <f t="shared" si="9"/>
        <v>40.447580291999991</v>
      </c>
      <c r="N50" s="257">
        <f t="shared" si="9"/>
        <v>24.759519643636363</v>
      </c>
      <c r="O50" s="257">
        <f t="shared" si="9"/>
        <v>25.028575532307695</v>
      </c>
      <c r="P50" s="257">
        <f t="shared" si="9"/>
        <v>31.788960000000003</v>
      </c>
      <c r="Q50" s="230"/>
      <c r="R50" s="230"/>
      <c r="S50" s="230"/>
      <c r="T50" s="230"/>
      <c r="U50" s="230"/>
      <c r="V50" s="230"/>
      <c r="W50" s="230"/>
    </row>
    <row r="51" spans="4:27" ht="15.75">
      <c r="D51" s="230" t="s">
        <v>1434</v>
      </c>
      <c r="E51" s="254"/>
      <c r="F51" s="254"/>
      <c r="G51" s="254"/>
      <c r="H51" s="254"/>
      <c r="I51" s="248">
        <f t="shared" ref="I51:P51" si="10">I50/I49</f>
        <v>0.15303615482396504</v>
      </c>
      <c r="J51" s="248">
        <f t="shared" si="10"/>
        <v>0.21000000000000002</v>
      </c>
      <c r="K51" s="248">
        <f t="shared" si="10"/>
        <v>0.25</v>
      </c>
      <c r="L51" s="248">
        <f t="shared" si="10"/>
        <v>0.25</v>
      </c>
      <c r="M51" s="248">
        <f t="shared" si="10"/>
        <v>0.15425189586760885</v>
      </c>
      <c r="N51" s="248">
        <f t="shared" si="10"/>
        <v>0.12000000000000001</v>
      </c>
      <c r="O51" s="248">
        <f t="shared" si="10"/>
        <v>0.12000000000000001</v>
      </c>
      <c r="P51" s="248">
        <f t="shared" si="10"/>
        <v>0.14000000000000001</v>
      </c>
      <c r="Q51" s="230"/>
      <c r="R51" s="230"/>
      <c r="S51" s="230"/>
      <c r="T51" s="230"/>
      <c r="U51" s="230"/>
      <c r="V51" s="230"/>
      <c r="W51" s="230"/>
    </row>
    <row r="52" spans="4:27" ht="15.75">
      <c r="D52" s="230"/>
      <c r="E52" s="254"/>
      <c r="F52" s="254"/>
      <c r="G52" s="254"/>
      <c r="H52" s="254"/>
      <c r="I52" s="254"/>
      <c r="J52" s="254"/>
      <c r="K52" s="254"/>
      <c r="L52" s="254"/>
      <c r="M52" s="254"/>
      <c r="N52" s="254"/>
      <c r="O52" s="254"/>
      <c r="P52" s="254"/>
      <c r="Q52" s="230"/>
      <c r="R52" s="230"/>
      <c r="S52" s="230"/>
      <c r="T52" s="230"/>
      <c r="U52" s="230"/>
      <c r="V52" s="230"/>
      <c r="W52" s="230"/>
    </row>
    <row r="53" spans="4:27" ht="15.75">
      <c r="D53" s="230" t="s">
        <v>366</v>
      </c>
      <c r="E53" s="254"/>
      <c r="F53" s="254"/>
      <c r="G53" s="254"/>
      <c r="H53" s="230"/>
      <c r="I53" s="247">
        <f>Quarts!V284</f>
        <v>14.975990087599115</v>
      </c>
      <c r="J53" s="247">
        <f>Quarts!X284</f>
        <v>13.978190464319308</v>
      </c>
      <c r="K53" s="247">
        <f>Quarts!Y284</f>
        <v>15.903203381646279</v>
      </c>
      <c r="L53" s="247">
        <f>Quarts!Z284</f>
        <v>16.168966659352744</v>
      </c>
      <c r="M53" s="247">
        <f>Quarts!AA284</f>
        <v>16.412838986190334</v>
      </c>
      <c r="N53" s="247">
        <f>Quarts!AC284</f>
        <v>12.464265294453972</v>
      </c>
      <c r="O53" s="247">
        <f>Quarts!AD284</f>
        <v>12.442335574008171</v>
      </c>
      <c r="P53" s="247">
        <f>Quarts!AE284</f>
        <v>12.167177945716814</v>
      </c>
      <c r="Q53" s="230"/>
      <c r="R53" s="230"/>
      <c r="S53" s="230"/>
      <c r="T53" s="230"/>
      <c r="U53" s="230"/>
      <c r="V53" s="230"/>
      <c r="W53" s="230"/>
    </row>
    <row r="54" spans="4:27" ht="15.75">
      <c r="D54" s="230" t="s">
        <v>1256</v>
      </c>
      <c r="E54" s="254"/>
      <c r="F54" s="254"/>
      <c r="G54" s="254"/>
      <c r="H54" s="254"/>
      <c r="I54" s="256">
        <f t="shared" ref="I54:P54" si="11">I53*I36</f>
        <v>34496.644815147505</v>
      </c>
      <c r="J54" s="256">
        <f t="shared" si="11"/>
        <v>31039.65577340472</v>
      </c>
      <c r="K54" s="256">
        <f t="shared" si="11"/>
        <v>32169.427963562059</v>
      </c>
      <c r="L54" s="256">
        <f t="shared" si="11"/>
        <v>33010.679245801184</v>
      </c>
      <c r="M54" s="256">
        <f t="shared" si="11"/>
        <v>33153.934752104477</v>
      </c>
      <c r="N54" s="256">
        <f t="shared" si="11"/>
        <v>23593.977171370647</v>
      </c>
      <c r="O54" s="256">
        <f t="shared" si="11"/>
        <v>21992.509584207804</v>
      </c>
      <c r="P54" s="256">
        <f t="shared" si="11"/>
        <v>23152.886042668328</v>
      </c>
      <c r="Q54" s="230"/>
      <c r="R54" s="230"/>
      <c r="S54" s="230"/>
      <c r="T54" s="230"/>
      <c r="U54" s="230"/>
      <c r="V54" s="230"/>
      <c r="W54" s="230"/>
    </row>
    <row r="55" spans="4:27" ht="15.75">
      <c r="D55" s="230" t="s">
        <v>1259</v>
      </c>
      <c r="E55" s="254"/>
      <c r="F55" s="254"/>
      <c r="G55" s="254"/>
      <c r="H55" s="256">
        <f>Quarts!U128</f>
        <v>1900</v>
      </c>
      <c r="I55" s="256">
        <f>Quarts!V128</f>
        <v>2120.2840000000001</v>
      </c>
      <c r="J55" s="256">
        <f>Quarts!X128</f>
        <v>2198.855</v>
      </c>
      <c r="K55" s="256">
        <f>Quarts!Y128</f>
        <v>2291.66</v>
      </c>
      <c r="L55" s="256">
        <f>Quarts!Z128</f>
        <v>2502.848</v>
      </c>
      <c r="M55" s="256">
        <f>Quarts!AA128</f>
        <v>2769.884</v>
      </c>
      <c r="N55" s="256">
        <f>Quarts!AC128</f>
        <v>3060</v>
      </c>
      <c r="O55" s="256">
        <f>Quarts!AD128</f>
        <v>3262.5</v>
      </c>
      <c r="P55" s="256">
        <f>Quarts!AE128</f>
        <v>3275.605</v>
      </c>
      <c r="T55" s="230"/>
      <c r="U55" s="230"/>
      <c r="V55" s="230"/>
      <c r="W55" s="230"/>
      <c r="X55" s="230"/>
      <c r="Y55" s="230"/>
      <c r="Z55" s="230" t="s">
        <v>1823</v>
      </c>
    </row>
    <row r="56" spans="4:27">
      <c r="D56" s="259"/>
      <c r="E56" s="259"/>
      <c r="F56" s="259"/>
      <c r="G56" s="259"/>
      <c r="H56" s="259"/>
      <c r="I56" s="259"/>
      <c r="J56" s="259"/>
      <c r="K56" s="259"/>
      <c r="L56" s="259"/>
      <c r="M56" s="259"/>
      <c r="N56" s="259"/>
      <c r="O56" s="259"/>
      <c r="P56" s="259"/>
      <c r="T56" s="260" t="s">
        <v>2296</v>
      </c>
      <c r="U56" s="260" t="s">
        <v>2296</v>
      </c>
      <c r="V56" s="260" t="s">
        <v>2296</v>
      </c>
      <c r="W56" s="260" t="s">
        <v>2296</v>
      </c>
      <c r="X56" s="260" t="s">
        <v>2296</v>
      </c>
      <c r="Y56" s="260" t="s">
        <v>2296</v>
      </c>
    </row>
    <row r="57" spans="4:27" ht="15.75">
      <c r="D57" s="224" t="s">
        <v>955</v>
      </c>
      <c r="E57" s="271" t="str">
        <f>E35</f>
        <v>Q1 06</v>
      </c>
      <c r="F57" s="271" t="str">
        <f>F35</f>
        <v>Q2 06</v>
      </c>
      <c r="G57" s="271"/>
      <c r="H57" s="271" t="str">
        <f t="shared" ref="H57:P57" si="12">H35</f>
        <v>Q3 06</v>
      </c>
      <c r="I57" s="271" t="str">
        <f t="shared" si="12"/>
        <v>Q4 06</v>
      </c>
      <c r="J57" s="271" t="str">
        <f t="shared" si="12"/>
        <v>Q1 07</v>
      </c>
      <c r="K57" s="271" t="str">
        <f t="shared" si="12"/>
        <v>Q2 07</v>
      </c>
      <c r="L57" s="271" t="str">
        <f t="shared" si="12"/>
        <v>Q3 07</v>
      </c>
      <c r="M57" s="271" t="str">
        <f t="shared" si="12"/>
        <v>Q4 07</v>
      </c>
      <c r="N57" s="271" t="str">
        <f t="shared" si="12"/>
        <v>Q1 08</v>
      </c>
      <c r="O57" s="271" t="str">
        <f t="shared" si="12"/>
        <v>Q2 08</v>
      </c>
      <c r="P57" s="271" t="str">
        <f t="shared" si="12"/>
        <v>Q3 08</v>
      </c>
      <c r="T57" s="271" t="str">
        <f t="shared" ref="T57:Y57" si="13">T35</f>
        <v>Q1 07</v>
      </c>
      <c r="U57" s="271" t="str">
        <f t="shared" si="13"/>
        <v>Q2 07</v>
      </c>
      <c r="V57" s="271" t="str">
        <f t="shared" si="13"/>
        <v>Q3 07</v>
      </c>
      <c r="W57" s="271" t="str">
        <f t="shared" si="13"/>
        <v>Q4 07</v>
      </c>
      <c r="X57" s="271" t="str">
        <f t="shared" si="13"/>
        <v>Q1 08</v>
      </c>
      <c r="Y57" s="271" t="str">
        <f t="shared" si="13"/>
        <v>Q2 08</v>
      </c>
      <c r="AA57" s="258" t="s">
        <v>438</v>
      </c>
    </row>
    <row r="58" spans="4:27" ht="15.75">
      <c r="D58" s="223" t="s">
        <v>1257</v>
      </c>
      <c r="E58" s="223"/>
      <c r="F58" s="223"/>
      <c r="G58" s="223"/>
      <c r="H58" s="223"/>
      <c r="I58" s="223"/>
      <c r="J58" s="223"/>
      <c r="K58" s="223"/>
      <c r="L58" s="223"/>
      <c r="M58" s="223"/>
      <c r="N58" s="223"/>
      <c r="O58" s="223"/>
      <c r="P58" s="223"/>
      <c r="T58" s="223"/>
      <c r="U58" s="223"/>
      <c r="V58" s="223"/>
      <c r="W58" s="223"/>
      <c r="X58" s="223"/>
      <c r="Y58" s="223"/>
      <c r="AA58" s="230" t="s">
        <v>434</v>
      </c>
    </row>
    <row r="59" spans="4:27" ht="15.75">
      <c r="D59" s="223" t="s">
        <v>435</v>
      </c>
      <c r="E59" s="227"/>
      <c r="F59" s="227">
        <f>F65*AVERAGE(E70,F70)*3/1000000</f>
        <v>959.36528250000003</v>
      </c>
      <c r="G59" s="227"/>
      <c r="H59" s="227">
        <f>H65*AVERAGE(F70,H70)*3/1000000</f>
        <v>1030.026075</v>
      </c>
      <c r="I59" s="227">
        <f t="shared" ref="I59:O59" si="14">I65*AVERAGE(H70,I70)*3/1000000</f>
        <v>1122.2140440000001</v>
      </c>
      <c r="J59" s="227">
        <f t="shared" si="14"/>
        <v>1192.587072</v>
      </c>
      <c r="K59" s="227">
        <f t="shared" si="14"/>
        <v>1181.9712975</v>
      </c>
      <c r="L59" s="227">
        <f t="shared" si="14"/>
        <v>1210.70688</v>
      </c>
      <c r="M59" s="227">
        <f t="shared" si="14"/>
        <v>1253.8149000000001</v>
      </c>
      <c r="N59" s="227">
        <f t="shared" si="14"/>
        <v>1187.5651439999999</v>
      </c>
      <c r="O59" s="227">
        <f t="shared" si="14"/>
        <v>1261.350234</v>
      </c>
      <c r="P59" s="223">
        <v>1287</v>
      </c>
      <c r="T59" s="228"/>
      <c r="U59" s="228">
        <f>K59/F59-1</f>
        <v>0.23203467861575433</v>
      </c>
      <c r="V59" s="228">
        <f t="shared" ref="V59:Y61" si="15">L59/H59-1</f>
        <v>0.17541381658711885</v>
      </c>
      <c r="W59" s="228">
        <f t="shared" si="15"/>
        <v>0.11726894410528343</v>
      </c>
      <c r="X59" s="228">
        <f t="shared" si="15"/>
        <v>-4.210952908937915E-3</v>
      </c>
      <c r="Y59" s="228">
        <f t="shared" si="15"/>
        <v>6.7158091459492475E-2</v>
      </c>
      <c r="AA59" s="230" t="s">
        <v>1463</v>
      </c>
    </row>
    <row r="60" spans="4:27" ht="15.75">
      <c r="D60" s="223" t="s">
        <v>1375</v>
      </c>
      <c r="E60" s="227">
        <f>3292-F60-H60</f>
        <v>1037</v>
      </c>
      <c r="F60" s="227">
        <v>1106</v>
      </c>
      <c r="G60" s="227"/>
      <c r="H60" s="227">
        <v>1149</v>
      </c>
      <c r="I60" s="227">
        <v>1281</v>
      </c>
      <c r="J60" s="227">
        <f>4074-K60-L60</f>
        <v>1349</v>
      </c>
      <c r="K60" s="227">
        <v>1349</v>
      </c>
      <c r="L60" s="223">
        <v>1376</v>
      </c>
      <c r="M60" s="223">
        <v>1434</v>
      </c>
      <c r="N60" s="223">
        <v>1335</v>
      </c>
      <c r="O60" s="223">
        <v>1410</v>
      </c>
      <c r="P60" s="223">
        <v>1444</v>
      </c>
      <c r="T60" s="228">
        <f>J60/E60-1</f>
        <v>0.30086788813886201</v>
      </c>
      <c r="U60" s="228">
        <f>K60/F60-1</f>
        <v>0.21971066907775771</v>
      </c>
      <c r="V60" s="228">
        <f t="shared" si="15"/>
        <v>0.19756309834638808</v>
      </c>
      <c r="W60" s="228">
        <f t="shared" si="15"/>
        <v>0.11943793911007017</v>
      </c>
      <c r="X60" s="228">
        <f t="shared" si="15"/>
        <v>-1.0378057820607856E-2</v>
      </c>
      <c r="Y60" s="228">
        <f t="shared" si="15"/>
        <v>4.5218680504077069E-2</v>
      </c>
      <c r="AA60" s="230" t="s">
        <v>1464</v>
      </c>
    </row>
    <row r="61" spans="4:27" ht="15.75">
      <c r="D61" s="225" t="s">
        <v>1253</v>
      </c>
      <c r="E61" s="279">
        <f>1067-F61-H61</f>
        <v>284</v>
      </c>
      <c r="F61" s="279">
        <v>336</v>
      </c>
      <c r="G61" s="279"/>
      <c r="H61" s="279">
        <v>447</v>
      </c>
      <c r="I61" s="279">
        <v>531</v>
      </c>
      <c r="J61" s="279">
        <f>2000-K61-L61</f>
        <v>651</v>
      </c>
      <c r="K61" s="279">
        <v>660</v>
      </c>
      <c r="L61" s="225">
        <v>689</v>
      </c>
      <c r="M61" s="225">
        <v>689</v>
      </c>
      <c r="N61" s="225">
        <v>645</v>
      </c>
      <c r="O61" s="225">
        <v>700</v>
      </c>
      <c r="P61" s="225">
        <v>705</v>
      </c>
      <c r="T61" s="228">
        <f>J61/E61-1</f>
        <v>1.2922535211267605</v>
      </c>
      <c r="U61" s="228">
        <f>K61/F61-1</f>
        <v>0.96428571428571419</v>
      </c>
      <c r="V61" s="228">
        <f t="shared" si="15"/>
        <v>0.54138702460850108</v>
      </c>
      <c r="W61" s="228">
        <f t="shared" si="15"/>
        <v>0.2975517890772128</v>
      </c>
      <c r="X61" s="228">
        <f t="shared" si="15"/>
        <v>-9.2165898617511122E-3</v>
      </c>
      <c r="Y61" s="228">
        <f t="shared" si="15"/>
        <v>6.0606060606060552E-2</v>
      </c>
      <c r="Z61" s="16"/>
      <c r="AA61" s="230" t="s">
        <v>436</v>
      </c>
    </row>
    <row r="62" spans="4:27" ht="15.75">
      <c r="D62" s="223" t="s">
        <v>1434</v>
      </c>
      <c r="E62" s="280">
        <f>E61/E60</f>
        <v>0.27386692381870781</v>
      </c>
      <c r="F62" s="280">
        <f>F61/F60</f>
        <v>0.30379746835443039</v>
      </c>
      <c r="G62" s="280"/>
      <c r="H62" s="280">
        <f t="shared" ref="H62:P62" si="16">H61/H60</f>
        <v>0.38903394255874674</v>
      </c>
      <c r="I62" s="280">
        <f t="shared" si="16"/>
        <v>0.41451990632318503</v>
      </c>
      <c r="J62" s="280">
        <f t="shared" si="16"/>
        <v>0.48257968865826539</v>
      </c>
      <c r="K62" s="280">
        <f t="shared" si="16"/>
        <v>0.4892512972572276</v>
      </c>
      <c r="L62" s="280">
        <f t="shared" si="16"/>
        <v>0.50072674418604646</v>
      </c>
      <c r="M62" s="280">
        <f t="shared" si="16"/>
        <v>0.48047419804741981</v>
      </c>
      <c r="N62" s="280">
        <f t="shared" si="16"/>
        <v>0.48314606741573035</v>
      </c>
      <c r="O62" s="280">
        <f t="shared" si="16"/>
        <v>0.49645390070921985</v>
      </c>
      <c r="P62" s="280">
        <f t="shared" si="16"/>
        <v>0.48822714681440443</v>
      </c>
      <c r="T62" s="223"/>
      <c r="U62" s="223"/>
      <c r="V62" s="223"/>
      <c r="W62" s="223"/>
      <c r="X62" s="223"/>
      <c r="Y62" s="223"/>
      <c r="AA62" s="230" t="s">
        <v>437</v>
      </c>
    </row>
    <row r="63" spans="4:27" ht="15.75">
      <c r="D63" s="223"/>
      <c r="E63" s="223"/>
      <c r="F63" s="223"/>
      <c r="G63" s="223"/>
      <c r="H63" s="223"/>
      <c r="I63" s="223"/>
      <c r="J63" s="223"/>
      <c r="K63" s="223"/>
      <c r="L63" s="223"/>
      <c r="M63" s="223"/>
      <c r="N63" s="223"/>
      <c r="O63" s="223"/>
      <c r="P63" s="223"/>
      <c r="T63" s="223"/>
      <c r="U63" s="223"/>
      <c r="V63" s="223"/>
      <c r="W63" s="223"/>
      <c r="X63" s="223"/>
      <c r="Y63" s="223"/>
      <c r="AA63" s="230" t="s">
        <v>1451</v>
      </c>
    </row>
    <row r="64" spans="4:27" ht="15.75">
      <c r="D64" s="223" t="s">
        <v>515</v>
      </c>
      <c r="E64" s="223">
        <v>107</v>
      </c>
      <c r="F64" s="223">
        <v>107</v>
      </c>
      <c r="G64" s="223"/>
      <c r="H64" s="223">
        <v>109</v>
      </c>
      <c r="I64" s="223">
        <v>116</v>
      </c>
      <c r="J64" s="223">
        <v>117</v>
      </c>
      <c r="K64" s="223">
        <v>117</v>
      </c>
      <c r="L64" s="223">
        <v>122</v>
      </c>
      <c r="M64" s="223">
        <v>131</v>
      </c>
      <c r="N64" s="223">
        <v>144</v>
      </c>
      <c r="O64" s="223">
        <v>157</v>
      </c>
      <c r="P64" s="223">
        <v>162</v>
      </c>
      <c r="T64" s="228">
        <f>J64/E64-1</f>
        <v>9.3457943925233655E-2</v>
      </c>
      <c r="U64" s="228">
        <f>K64/F64-1</f>
        <v>9.3457943925233655E-2</v>
      </c>
      <c r="V64" s="228">
        <f t="shared" ref="V64:Y65" si="17">L64/H64-1</f>
        <v>0.11926605504587151</v>
      </c>
      <c r="W64" s="228">
        <f t="shared" si="17"/>
        <v>0.1293103448275863</v>
      </c>
      <c r="X64" s="228">
        <f t="shared" si="17"/>
        <v>0.23076923076923084</v>
      </c>
      <c r="Y64" s="228">
        <f t="shared" si="17"/>
        <v>0.34188034188034178</v>
      </c>
      <c r="AA64" s="230" t="s">
        <v>959</v>
      </c>
    </row>
    <row r="65" spans="1:35" ht="15.75">
      <c r="D65" s="223" t="s">
        <v>1256</v>
      </c>
      <c r="E65" s="223">
        <v>20205</v>
      </c>
      <c r="F65" s="223">
        <v>18895</v>
      </c>
      <c r="G65" s="223"/>
      <c r="H65" s="223">
        <v>18698</v>
      </c>
      <c r="I65" s="223">
        <v>19546</v>
      </c>
      <c r="J65" s="223">
        <v>20096</v>
      </c>
      <c r="K65" s="223">
        <v>19385</v>
      </c>
      <c r="L65" s="223">
        <v>19280</v>
      </c>
      <c r="M65" s="223">
        <v>19175</v>
      </c>
      <c r="N65" s="223">
        <v>17414</v>
      </c>
      <c r="O65" s="223">
        <v>17769</v>
      </c>
      <c r="P65" s="223">
        <v>18484</v>
      </c>
      <c r="T65" s="228">
        <f>J65/E65-1</f>
        <v>-5.3947042811185453E-3</v>
      </c>
      <c r="U65" s="228">
        <f>K65/F65-1</f>
        <v>2.5932786451442258E-2</v>
      </c>
      <c r="V65" s="228">
        <f t="shared" si="17"/>
        <v>3.1126323670980893E-2</v>
      </c>
      <c r="W65" s="228">
        <f t="shared" si="17"/>
        <v>-1.8980865650260914E-2</v>
      </c>
      <c r="X65" s="228">
        <f t="shared" si="17"/>
        <v>-0.13345939490445857</v>
      </c>
      <c r="Y65" s="228">
        <f t="shared" si="17"/>
        <v>-8.3363425328862539E-2</v>
      </c>
    </row>
    <row r="66" spans="1:35" ht="15.75">
      <c r="A66" t="s">
        <v>5887</v>
      </c>
      <c r="D66" s="223"/>
      <c r="E66" s="223"/>
      <c r="F66" s="223"/>
      <c r="G66" s="223"/>
      <c r="H66" s="223"/>
      <c r="I66" s="223"/>
      <c r="J66" s="223">
        <f ca="1">0.5*Colombia!P310+0.45*CA!T190+0.33*CA!T168</f>
        <v>699.5792347733784</v>
      </c>
      <c r="K66" s="223"/>
      <c r="L66" s="223"/>
      <c r="M66" s="223"/>
      <c r="N66" s="223"/>
      <c r="O66" s="223"/>
      <c r="P66" s="223"/>
      <c r="T66" s="228"/>
      <c r="U66" s="228"/>
      <c r="V66" s="228"/>
      <c r="W66" s="228"/>
      <c r="X66" s="228"/>
      <c r="Y66" s="228"/>
    </row>
    <row r="67" spans="1:35" ht="15.75">
      <c r="D67" s="223" t="s">
        <v>1258</v>
      </c>
      <c r="E67" s="269" t="e">
        <f>#REF!*100/E64</f>
        <v>#REF!</v>
      </c>
      <c r="F67" s="269" t="e">
        <f>#REF!*100/F64</f>
        <v>#REF!</v>
      </c>
      <c r="G67" s="269"/>
      <c r="H67" s="269" t="e">
        <f>#REF!*100/H64</f>
        <v>#REF!</v>
      </c>
      <c r="I67" s="269" t="e">
        <f>#REF!*100/I64</f>
        <v>#REF!</v>
      </c>
      <c r="J67" s="269" t="e">
        <f>#REF!*100/J64</f>
        <v>#REF!</v>
      </c>
      <c r="K67" s="269" t="e">
        <f>#REF!*100/K64</f>
        <v>#REF!</v>
      </c>
      <c r="L67" s="269" t="e">
        <f>#REF!*100/L64</f>
        <v>#REF!</v>
      </c>
      <c r="M67" s="269" t="e">
        <f>#REF!*100/M64</f>
        <v>#REF!</v>
      </c>
      <c r="N67" s="269" t="e">
        <f>#REF!*100/N64</f>
        <v>#REF!</v>
      </c>
      <c r="O67" s="269" t="e">
        <f>#REF!*100/O64</f>
        <v>#REF!</v>
      </c>
      <c r="P67" s="269" t="e">
        <f>#REF!*100/P64</f>
        <v>#REF!</v>
      </c>
      <c r="T67" s="228" t="e">
        <f>J67/E67-1</f>
        <v>#REF!</v>
      </c>
      <c r="U67" s="228" t="e">
        <f>K67/F67-1</f>
        <v>#REF!</v>
      </c>
      <c r="V67" s="228" t="e">
        <f>L67/H67-1</f>
        <v>#REF!</v>
      </c>
      <c r="W67" s="228" t="e">
        <f>M67/I67-1</f>
        <v>#REF!</v>
      </c>
      <c r="X67" s="228" t="e">
        <f>N67/J67-1</f>
        <v>#REF!</v>
      </c>
      <c r="Y67" s="228" t="e">
        <f>O67/K67-1</f>
        <v>#REF!</v>
      </c>
    </row>
    <row r="68" spans="1:35" ht="15.75">
      <c r="A68" t="s">
        <v>5886</v>
      </c>
      <c r="D68" s="223"/>
      <c r="E68" s="269"/>
      <c r="F68" s="269"/>
      <c r="G68" s="269"/>
      <c r="H68" s="269"/>
      <c r="I68" s="269"/>
      <c r="J68" s="269" t="e">
        <f>J15-J65-J67</f>
        <v>#REF!</v>
      </c>
      <c r="K68" s="269"/>
      <c r="L68" s="269"/>
      <c r="M68" s="269"/>
      <c r="N68" s="269"/>
      <c r="O68" s="269"/>
      <c r="P68" s="269"/>
      <c r="T68" s="228"/>
      <c r="U68" s="228"/>
      <c r="V68" s="228"/>
      <c r="W68" s="228"/>
      <c r="X68" s="228"/>
      <c r="Y68" s="228"/>
    </row>
    <row r="69" spans="1:35" ht="15.75">
      <c r="D69" s="223"/>
      <c r="E69" s="269"/>
      <c r="F69" s="269"/>
      <c r="G69" s="269"/>
      <c r="H69" s="269"/>
      <c r="I69" s="269"/>
      <c r="J69" s="269"/>
      <c r="K69" s="269"/>
      <c r="L69" s="269"/>
      <c r="M69" s="269"/>
      <c r="N69" s="269"/>
      <c r="O69" s="269"/>
      <c r="P69" s="269"/>
      <c r="T69" s="228"/>
      <c r="U69" s="228"/>
      <c r="V69" s="228"/>
      <c r="W69" s="228"/>
      <c r="X69" s="228"/>
      <c r="Y69" s="228"/>
    </row>
    <row r="70" spans="1:35" ht="15.75">
      <c r="D70" s="223" t="s">
        <v>1259</v>
      </c>
      <c r="E70" s="223">
        <v>15879</v>
      </c>
      <c r="F70" s="223">
        <v>17970</v>
      </c>
      <c r="G70" s="223"/>
      <c r="H70" s="223">
        <v>18755</v>
      </c>
      <c r="I70" s="223">
        <v>19521</v>
      </c>
      <c r="J70">
        <v>20042</v>
      </c>
      <c r="K70" s="223">
        <v>20607</v>
      </c>
      <c r="L70" s="223">
        <v>21257</v>
      </c>
      <c r="M70" s="223">
        <v>22335</v>
      </c>
      <c r="N70" s="223">
        <v>23129</v>
      </c>
      <c r="O70" s="223">
        <v>24195</v>
      </c>
      <c r="P70" s="223">
        <v>25373</v>
      </c>
      <c r="T70" s="228">
        <f>J70/E70-1</f>
        <v>0.2621701618489829</v>
      </c>
      <c r="U70" s="228">
        <f>K70/F70-1</f>
        <v>0.14674457429048404</v>
      </c>
      <c r="V70" s="228">
        <f>L70/H70-1</f>
        <v>0.13340442548653697</v>
      </c>
      <c r="W70" s="228">
        <f>M70/I70-1</f>
        <v>0.1441524512063932</v>
      </c>
      <c r="X70" s="228">
        <f>N70/J70-1</f>
        <v>0.15402654425706008</v>
      </c>
      <c r="Y70" s="228">
        <f>O70/K70-1</f>
        <v>0.17411559178919789</v>
      </c>
    </row>
    <row r="71" spans="1:35" ht="15.75">
      <c r="D71" s="225" t="s">
        <v>433</v>
      </c>
      <c r="E71" s="225"/>
      <c r="F71" s="225">
        <f>F70-E70</f>
        <v>2091</v>
      </c>
      <c r="G71" s="225"/>
      <c r="H71" s="225">
        <f>H70-F70</f>
        <v>785</v>
      </c>
      <c r="I71" s="225">
        <f t="shared" ref="I71:P71" si="18">I70-H70</f>
        <v>766</v>
      </c>
      <c r="J71" s="225">
        <f t="shared" si="18"/>
        <v>521</v>
      </c>
      <c r="K71" s="225">
        <f t="shared" si="18"/>
        <v>565</v>
      </c>
      <c r="L71" s="225">
        <f t="shared" si="18"/>
        <v>650</v>
      </c>
      <c r="M71" s="225">
        <f t="shared" si="18"/>
        <v>1078</v>
      </c>
      <c r="N71" s="225">
        <f t="shared" si="18"/>
        <v>794</v>
      </c>
      <c r="O71" s="225">
        <f t="shared" si="18"/>
        <v>1066</v>
      </c>
      <c r="P71" s="225">
        <f t="shared" si="18"/>
        <v>1178</v>
      </c>
      <c r="T71" s="225"/>
      <c r="U71" s="225"/>
      <c r="V71" s="225"/>
      <c r="W71" s="225"/>
      <c r="X71" s="225"/>
      <c r="Y71" s="225"/>
    </row>
    <row r="72" spans="1:35" ht="15.75">
      <c r="D72" s="223"/>
      <c r="E72" s="223"/>
      <c r="F72" s="223"/>
      <c r="G72" s="223"/>
      <c r="H72" s="223"/>
      <c r="I72" s="223"/>
      <c r="J72" s="223"/>
      <c r="K72" s="223"/>
      <c r="L72" s="223"/>
      <c r="M72" s="223"/>
      <c r="N72" s="223"/>
      <c r="O72" s="223"/>
      <c r="P72" s="223"/>
      <c r="T72" s="232" t="s">
        <v>2296</v>
      </c>
      <c r="U72" s="232" t="s">
        <v>2296</v>
      </c>
      <c r="V72" s="232" t="s">
        <v>2296</v>
      </c>
      <c r="W72" s="232" t="s">
        <v>2296</v>
      </c>
      <c r="X72" s="232" t="s">
        <v>2296</v>
      </c>
      <c r="Y72" s="232" t="s">
        <v>2296</v>
      </c>
      <c r="Z72" s="223"/>
      <c r="AA72" s="223"/>
      <c r="AB72" s="223"/>
      <c r="AC72" s="223"/>
      <c r="AD72" s="223"/>
      <c r="AE72" s="223"/>
      <c r="AF72" s="223"/>
      <c r="AG72" s="223"/>
      <c r="AH72" s="223"/>
      <c r="AI72" s="223"/>
    </row>
    <row r="73" spans="1:35" ht="15.75">
      <c r="D73" s="224" t="s">
        <v>1606</v>
      </c>
      <c r="E73" s="271" t="str">
        <f>E35</f>
        <v>Q1 06</v>
      </c>
      <c r="F73" s="271" t="str">
        <f>F35</f>
        <v>Q2 06</v>
      </c>
      <c r="G73" s="271"/>
      <c r="H73" s="271" t="str">
        <f t="shared" ref="H73:Q73" si="19">H35</f>
        <v>Q3 06</v>
      </c>
      <c r="I73" s="271" t="str">
        <f t="shared" si="19"/>
        <v>Q4 06</v>
      </c>
      <c r="J73" s="271" t="str">
        <f t="shared" si="19"/>
        <v>Q1 07</v>
      </c>
      <c r="K73" s="271" t="str">
        <f t="shared" si="19"/>
        <v>Q2 07</v>
      </c>
      <c r="L73" s="271" t="str">
        <f t="shared" si="19"/>
        <v>Q3 07</v>
      </c>
      <c r="M73" s="271" t="str">
        <f t="shared" si="19"/>
        <v>Q4 07</v>
      </c>
      <c r="N73" s="271" t="str">
        <f t="shared" si="19"/>
        <v>Q1 08</v>
      </c>
      <c r="O73" s="271" t="str">
        <f t="shared" si="19"/>
        <v>Q2 08</v>
      </c>
      <c r="P73" s="271" t="str">
        <f t="shared" si="19"/>
        <v>Q3 08</v>
      </c>
      <c r="Q73" s="271" t="str">
        <f t="shared" si="19"/>
        <v>Q4 08</v>
      </c>
      <c r="T73" s="271" t="str">
        <f t="shared" ref="T73:Y73" si="20">T35</f>
        <v>Q1 07</v>
      </c>
      <c r="U73" s="271" t="str">
        <f t="shared" si="20"/>
        <v>Q2 07</v>
      </c>
      <c r="V73" s="271" t="str">
        <f t="shared" si="20"/>
        <v>Q3 07</v>
      </c>
      <c r="W73" s="271" t="str">
        <f t="shared" si="20"/>
        <v>Q4 07</v>
      </c>
      <c r="X73" s="271" t="str">
        <f t="shared" si="20"/>
        <v>Q1 08</v>
      </c>
      <c r="Y73" s="271" t="str">
        <f t="shared" si="20"/>
        <v>Q2 08</v>
      </c>
      <c r="Z73" s="223"/>
      <c r="AA73" s="223"/>
      <c r="AB73" s="223"/>
      <c r="AC73" s="223"/>
      <c r="AD73" s="223"/>
      <c r="AE73" s="223"/>
      <c r="AF73" s="223"/>
      <c r="AG73" s="223"/>
      <c r="AH73" s="223"/>
      <c r="AI73" s="223"/>
    </row>
    <row r="74" spans="1:35" ht="15.75">
      <c r="D74" s="223" t="s">
        <v>1257</v>
      </c>
      <c r="E74" s="223"/>
      <c r="F74" s="223"/>
      <c r="G74" s="223"/>
      <c r="H74" s="223"/>
      <c r="I74" s="223"/>
      <c r="J74" s="223"/>
      <c r="K74" s="223"/>
      <c r="L74" s="223"/>
      <c r="M74" s="223"/>
      <c r="N74" s="223"/>
      <c r="O74" s="223"/>
      <c r="P74" s="223"/>
      <c r="T74" s="223"/>
      <c r="U74" s="223"/>
      <c r="V74" s="223"/>
      <c r="W74" s="223"/>
      <c r="X74" s="223"/>
      <c r="Y74" s="223"/>
      <c r="Z74" s="223"/>
      <c r="AA74" s="223"/>
      <c r="AB74" s="223"/>
      <c r="AC74" s="223"/>
      <c r="AD74" s="223"/>
      <c r="AE74" s="223"/>
      <c r="AF74" s="223"/>
      <c r="AG74" s="223"/>
      <c r="AH74" s="223"/>
      <c r="AI74" s="223"/>
    </row>
    <row r="75" spans="1:35" ht="15.75">
      <c r="D75" s="223" t="s">
        <v>1371</v>
      </c>
      <c r="E75" s="227">
        <f>E40*E$37/1000</f>
        <v>536.65319270727969</v>
      </c>
      <c r="F75" s="227">
        <f>F40*F$37/1000</f>
        <v>599.21276998236908</v>
      </c>
      <c r="G75" s="227"/>
      <c r="H75" s="227">
        <f t="shared" ref="H75:P75" si="21">H40*H$37/1000</f>
        <v>594.40885236934423</v>
      </c>
      <c r="I75" s="227">
        <f t="shared" si="21"/>
        <v>579.34361517193815</v>
      </c>
      <c r="J75" s="227">
        <f t="shared" si="21"/>
        <v>567.6062657612307</v>
      </c>
      <c r="K75" s="227">
        <f t="shared" si="21"/>
        <v>605.488867936509</v>
      </c>
      <c r="L75" s="227">
        <f t="shared" si="21"/>
        <v>628.63983833091811</v>
      </c>
      <c r="M75" s="227">
        <f t="shared" si="21"/>
        <v>666.91021709344625</v>
      </c>
      <c r="N75" s="227">
        <f t="shared" si="21"/>
        <v>577.80348313395291</v>
      </c>
      <c r="O75" s="227">
        <f t="shared" si="21"/>
        <v>607.63284688146723</v>
      </c>
      <c r="P75" s="227">
        <f t="shared" si="21"/>
        <v>572.14633842056946</v>
      </c>
      <c r="T75" s="228">
        <f>J75/E75-1</f>
        <v>5.7677981747952689E-2</v>
      </c>
      <c r="U75" s="228">
        <f>K75/F75-1</f>
        <v>1.0473905544977846E-2</v>
      </c>
      <c r="V75" s="228">
        <f>L75/H75-1</f>
        <v>5.7588284267852785E-2</v>
      </c>
      <c r="W75" s="223"/>
      <c r="X75" s="223"/>
      <c r="Y75" s="223"/>
      <c r="Z75" s="223"/>
      <c r="AA75" s="223"/>
      <c r="AB75" s="223"/>
      <c r="AC75" s="223"/>
      <c r="AD75" s="223"/>
      <c r="AE75" s="223"/>
      <c r="AF75" s="223"/>
      <c r="AG75" s="223"/>
      <c r="AH75" s="223"/>
      <c r="AI75" s="223"/>
    </row>
    <row r="76" spans="1:35" ht="15.75">
      <c r="D76" s="225" t="s">
        <v>2223</v>
      </c>
      <c r="E76" s="279">
        <f>E41*E$37/1000</f>
        <v>100.7927316252251</v>
      </c>
      <c r="F76" s="279">
        <f>F41*F$37/1000</f>
        <v>39.947517998824601</v>
      </c>
      <c r="G76" s="279"/>
      <c r="H76" s="279">
        <f t="shared" ref="H76:P76" si="22">H41*H$37/1000</f>
        <v>108.35578037982837</v>
      </c>
      <c r="I76" s="279">
        <f t="shared" si="22"/>
        <v>157.4626236108345</v>
      </c>
      <c r="J76" s="279">
        <f t="shared" si="22"/>
        <v>66.948431346196443</v>
      </c>
      <c r="K76" s="279">
        <f t="shared" si="22"/>
        <v>95.459956656656814</v>
      </c>
      <c r="L76" s="279">
        <f t="shared" si="22"/>
        <v>140.32139248457995</v>
      </c>
      <c r="M76" s="279">
        <f t="shared" si="22"/>
        <v>228.15349532144214</v>
      </c>
      <c r="N76" s="279">
        <f t="shared" si="22"/>
        <v>125.23819338864007</v>
      </c>
      <c r="O76" s="279">
        <f t="shared" si="22"/>
        <v>132.57443931959287</v>
      </c>
      <c r="P76" s="279">
        <f t="shared" si="22"/>
        <v>163.06170644986227</v>
      </c>
      <c r="T76" s="228">
        <f>J76/E76-1</f>
        <v>-0.33578115934858288</v>
      </c>
      <c r="U76" s="228">
        <f>K76/F76-1</f>
        <v>1.3896342360860965</v>
      </c>
      <c r="V76" s="228">
        <f>L76/H76-1</f>
        <v>0.29500606236879934</v>
      </c>
      <c r="W76" s="223"/>
      <c r="X76" s="223"/>
      <c r="Y76" s="223"/>
      <c r="Z76" s="223"/>
      <c r="AA76" s="223"/>
      <c r="AB76" s="223"/>
      <c r="AC76" s="223"/>
      <c r="AD76" s="223"/>
      <c r="AE76" s="223"/>
      <c r="AF76" s="223"/>
      <c r="AG76" s="223"/>
      <c r="AH76" s="223"/>
      <c r="AI76" s="223"/>
    </row>
    <row r="77" spans="1:35" ht="15.75">
      <c r="D77" s="223" t="s">
        <v>1434</v>
      </c>
      <c r="E77" s="228">
        <f>E76/E75</f>
        <v>0.18781725888324871</v>
      </c>
      <c r="F77" s="228">
        <f>F76/F75</f>
        <v>6.6666666666666666E-2</v>
      </c>
      <c r="G77" s="228"/>
      <c r="H77" s="228">
        <f t="shared" ref="H77:P77" si="23">H76/H75</f>
        <v>0.18229166666666666</v>
      </c>
      <c r="I77" s="228">
        <f t="shared" si="23"/>
        <v>0.27179487179487183</v>
      </c>
      <c r="J77" s="228">
        <f t="shared" si="23"/>
        <v>0.11794871794871795</v>
      </c>
      <c r="K77" s="228">
        <f t="shared" si="23"/>
        <v>0.15765765765765763</v>
      </c>
      <c r="L77" s="228">
        <f t="shared" si="23"/>
        <v>0.22321428571428573</v>
      </c>
      <c r="M77" s="228">
        <f t="shared" si="23"/>
        <v>0.34210526315789475</v>
      </c>
      <c r="N77" s="228">
        <f t="shared" si="23"/>
        <v>0.21674876847290644</v>
      </c>
      <c r="O77" s="228">
        <f t="shared" si="23"/>
        <v>0.21818181818181823</v>
      </c>
      <c r="P77" s="228">
        <f t="shared" si="23"/>
        <v>0.28499999999999998</v>
      </c>
      <c r="T77" s="223"/>
      <c r="U77" s="223"/>
      <c r="V77" s="223"/>
      <c r="W77" s="223"/>
      <c r="X77" s="223"/>
      <c r="Y77" s="223"/>
      <c r="Z77" s="223"/>
      <c r="AA77" s="223"/>
      <c r="AB77" s="223"/>
      <c r="AC77" s="223"/>
      <c r="AD77" s="223"/>
      <c r="AE77" s="223"/>
      <c r="AF77" s="223"/>
      <c r="AG77" s="223"/>
      <c r="AH77" s="223"/>
      <c r="AI77" s="223"/>
    </row>
    <row r="78" spans="1:35" ht="15.75">
      <c r="D78" s="223"/>
      <c r="E78" s="223"/>
      <c r="F78" s="223"/>
      <c r="G78" s="223"/>
      <c r="H78" s="223"/>
      <c r="I78" s="223"/>
      <c r="J78" s="223"/>
      <c r="K78" s="223"/>
      <c r="L78" s="223"/>
      <c r="M78" s="223"/>
      <c r="N78" s="223"/>
      <c r="O78" s="223"/>
      <c r="P78" s="223"/>
      <c r="T78" s="223"/>
      <c r="U78" s="223"/>
      <c r="V78" s="223"/>
      <c r="W78" s="223"/>
      <c r="X78" s="223"/>
      <c r="Y78" s="223"/>
      <c r="Z78" s="223"/>
      <c r="AA78" s="223"/>
      <c r="AB78" s="223"/>
      <c r="AC78" s="223"/>
      <c r="AD78" s="223"/>
      <c r="AE78" s="223"/>
      <c r="AF78" s="223"/>
      <c r="AG78" s="223"/>
      <c r="AH78" s="223"/>
      <c r="AI78" s="223"/>
    </row>
    <row r="79" spans="1:35" ht="15.75">
      <c r="D79" s="223" t="s">
        <v>1259</v>
      </c>
      <c r="E79" s="223">
        <v>6818</v>
      </c>
      <c r="F79" s="223">
        <v>7474</v>
      </c>
      <c r="G79" s="223"/>
      <c r="H79" s="223">
        <v>7687</v>
      </c>
      <c r="I79" s="223">
        <v>7760</v>
      </c>
      <c r="J79" s="223">
        <v>7545</v>
      </c>
      <c r="K79" s="223">
        <v>7612</v>
      </c>
      <c r="L79" s="227">
        <f>K79-60.317</f>
        <v>7551.683</v>
      </c>
      <c r="M79" s="223">
        <v>8372</v>
      </c>
      <c r="N79" s="223">
        <v>8754</v>
      </c>
      <c r="O79" s="223">
        <v>9355</v>
      </c>
      <c r="P79" s="223">
        <v>9702</v>
      </c>
      <c r="T79" s="223"/>
      <c r="U79" s="223"/>
      <c r="V79" s="223"/>
      <c r="W79" s="223"/>
      <c r="X79" s="223"/>
      <c r="Y79" s="223"/>
      <c r="Z79" s="223"/>
      <c r="AA79" s="223"/>
      <c r="AB79" s="223"/>
      <c r="AC79" s="223"/>
      <c r="AD79" s="223"/>
      <c r="AE79" s="223"/>
      <c r="AF79" s="223"/>
      <c r="AG79" s="223"/>
      <c r="AH79" s="223"/>
      <c r="AI79" s="223"/>
    </row>
    <row r="80" spans="1:35" ht="15.75">
      <c r="D80" s="223" t="s">
        <v>1256</v>
      </c>
      <c r="E80" s="227">
        <f>E75*1000000/AVERAGE(6033,E79)/3</f>
        <v>27839.763064211846</v>
      </c>
      <c r="F80" s="227">
        <f>F75*1000000/AVERAGE(E79:F79)/3</f>
        <v>27950.964174940251</v>
      </c>
      <c r="G80" s="227"/>
      <c r="H80" s="227">
        <f>H75*1000000/AVERAGE(F79:H79)/3</f>
        <v>26137.627349530343</v>
      </c>
      <c r="I80" s="227">
        <f t="shared" ref="I80:P80" si="24">I75*1000000/AVERAGE(H79:I79)/3</f>
        <v>25003.500795060023</v>
      </c>
      <c r="J80" s="227">
        <f t="shared" si="24"/>
        <v>24724.21935146382</v>
      </c>
      <c r="K80" s="227">
        <f t="shared" si="24"/>
        <v>26631.869452464602</v>
      </c>
      <c r="L80" s="227">
        <f t="shared" si="24"/>
        <v>27637.957450966587</v>
      </c>
      <c r="M80" s="227">
        <f t="shared" si="24"/>
        <v>27921.10414378576</v>
      </c>
      <c r="N80" s="227">
        <f t="shared" si="24"/>
        <v>22492.252837165826</v>
      </c>
      <c r="O80" s="227">
        <f t="shared" si="24"/>
        <v>22369.460742594558</v>
      </c>
      <c r="P80" s="227">
        <f t="shared" si="24"/>
        <v>20015.264327038862</v>
      </c>
      <c r="T80" s="228">
        <f>J80/E80-1</f>
        <v>-0.11190985015073895</v>
      </c>
      <c r="U80" s="228">
        <f>K80/F80-1</f>
        <v>-4.7193174239702929E-2</v>
      </c>
      <c r="V80" s="228">
        <f>L80/H80-1</f>
        <v>5.7401158925896256E-2</v>
      </c>
      <c r="W80" s="223"/>
      <c r="X80" s="223"/>
      <c r="Y80" s="223"/>
      <c r="Z80" s="223"/>
      <c r="AA80" s="223"/>
      <c r="AB80" s="223"/>
      <c r="AC80" s="223"/>
      <c r="AD80" s="223"/>
      <c r="AE80" s="223"/>
      <c r="AF80" s="223"/>
      <c r="AG80" s="223"/>
      <c r="AH80" s="223"/>
      <c r="AI80" s="223"/>
    </row>
    <row r="81" spans="4:35" ht="15.75">
      <c r="D81" s="223" t="s">
        <v>366</v>
      </c>
      <c r="E81" s="269">
        <f>E80/E36</f>
        <v>12.295836979662363</v>
      </c>
      <c r="F81" s="269">
        <f>F80/F36</f>
        <v>11.444416456759024</v>
      </c>
      <c r="G81" s="269"/>
      <c r="H81" s="269">
        <f t="shared" ref="H81:P81" si="25">H80/H36</f>
        <v>10.759720538020124</v>
      </c>
      <c r="I81" s="269">
        <f t="shared" si="25"/>
        <v>10.854742021104419</v>
      </c>
      <c r="J81" s="269">
        <f t="shared" si="25"/>
        <v>11.134139170205813</v>
      </c>
      <c r="K81" s="269">
        <f t="shared" si="25"/>
        <v>13.165668870945643</v>
      </c>
      <c r="L81" s="269">
        <f t="shared" si="25"/>
        <v>13.537352843599223</v>
      </c>
      <c r="M81" s="269">
        <f t="shared" si="25"/>
        <v>13.822328784052356</v>
      </c>
      <c r="N81" s="269">
        <f t="shared" si="25"/>
        <v>11.882244540464795</v>
      </c>
      <c r="O81" s="269">
        <f t="shared" si="25"/>
        <v>12.655596947827325</v>
      </c>
      <c r="P81" s="269">
        <f t="shared" si="25"/>
        <v>10.518312155505837</v>
      </c>
      <c r="T81" s="223"/>
      <c r="U81" s="223"/>
      <c r="V81" s="223"/>
      <c r="W81" s="223"/>
      <c r="X81" s="223"/>
      <c r="Y81" s="223"/>
      <c r="Z81" s="223"/>
      <c r="AA81" s="223"/>
      <c r="AB81" s="223"/>
      <c r="AC81" s="223"/>
      <c r="AD81" s="223"/>
      <c r="AE81" s="223"/>
      <c r="AF81" s="223"/>
      <c r="AG81" s="223"/>
      <c r="AH81" s="223"/>
      <c r="AI81" s="223"/>
    </row>
    <row r="82" spans="4:35" ht="15.75">
      <c r="D82" s="223"/>
      <c r="E82" s="269"/>
      <c r="F82" s="269"/>
      <c r="G82" s="269"/>
      <c r="H82" s="269"/>
      <c r="I82" s="269"/>
      <c r="J82" s="269"/>
      <c r="K82" s="269"/>
      <c r="L82" s="269"/>
      <c r="M82" s="223"/>
      <c r="N82" s="223"/>
      <c r="O82" s="223"/>
      <c r="P82" s="223"/>
      <c r="T82" s="223"/>
      <c r="U82" s="223"/>
      <c r="V82" s="223"/>
      <c r="W82" s="223"/>
      <c r="X82" s="223"/>
      <c r="Y82" s="223"/>
      <c r="Z82" s="223"/>
      <c r="AA82" s="223"/>
      <c r="AB82" s="223"/>
      <c r="AC82" s="223"/>
      <c r="AD82" s="223"/>
      <c r="AE82" s="223"/>
      <c r="AF82" s="223"/>
      <c r="AG82" s="223"/>
      <c r="AH82" s="223"/>
      <c r="AI82" s="223"/>
    </row>
    <row r="83" spans="4:35" ht="15.75">
      <c r="D83" s="224" t="s">
        <v>1081</v>
      </c>
      <c r="E83" s="281" t="str">
        <f>E73</f>
        <v>Q1 06</v>
      </c>
      <c r="F83" s="281" t="str">
        <f>F73</f>
        <v>Q2 06</v>
      </c>
      <c r="G83" s="281"/>
      <c r="H83" s="281" t="str">
        <f t="shared" ref="H83:Q83" si="26">H73</f>
        <v>Q3 06</v>
      </c>
      <c r="I83" s="281" t="str">
        <f t="shared" si="26"/>
        <v>Q4 06</v>
      </c>
      <c r="J83" s="281" t="str">
        <f t="shared" si="26"/>
        <v>Q1 07</v>
      </c>
      <c r="K83" s="281" t="str">
        <f t="shared" si="26"/>
        <v>Q2 07</v>
      </c>
      <c r="L83" s="281" t="str">
        <f t="shared" si="26"/>
        <v>Q3 07</v>
      </c>
      <c r="M83" s="281" t="str">
        <f t="shared" si="26"/>
        <v>Q4 07</v>
      </c>
      <c r="N83" s="281" t="str">
        <f t="shared" si="26"/>
        <v>Q1 08</v>
      </c>
      <c r="O83" s="281" t="str">
        <f t="shared" si="26"/>
        <v>Q2 08</v>
      </c>
      <c r="P83" s="281" t="str">
        <f t="shared" si="26"/>
        <v>Q3 08</v>
      </c>
      <c r="Q83" s="281" t="str">
        <f t="shared" si="26"/>
        <v>Q4 08</v>
      </c>
      <c r="T83" s="223"/>
      <c r="U83" s="223"/>
      <c r="V83" s="223"/>
      <c r="W83" s="223"/>
      <c r="X83" s="223"/>
      <c r="Y83" s="223"/>
      <c r="Z83" s="223"/>
      <c r="AA83" s="223"/>
      <c r="AB83" s="223"/>
      <c r="AC83" s="223"/>
      <c r="AD83" s="223"/>
      <c r="AE83" s="223"/>
      <c r="AF83" s="223"/>
      <c r="AG83" s="223"/>
      <c r="AH83" s="223"/>
      <c r="AI83" s="223"/>
    </row>
    <row r="84" spans="4:35" ht="15.75">
      <c r="D84" s="223" t="s">
        <v>567</v>
      </c>
      <c r="E84" s="282">
        <f>E60</f>
        <v>1037</v>
      </c>
      <c r="F84" s="282">
        <f>F60</f>
        <v>1106</v>
      </c>
      <c r="G84" s="282"/>
      <c r="H84" s="282">
        <f t="shared" ref="H84:P84" si="27">H60</f>
        <v>1149</v>
      </c>
      <c r="I84" s="282">
        <f t="shared" si="27"/>
        <v>1281</v>
      </c>
      <c r="J84" s="282">
        <f t="shared" si="27"/>
        <v>1349</v>
      </c>
      <c r="K84" s="282">
        <f t="shared" si="27"/>
        <v>1349</v>
      </c>
      <c r="L84" s="282">
        <f t="shared" si="27"/>
        <v>1376</v>
      </c>
      <c r="M84" s="282">
        <f t="shared" si="27"/>
        <v>1434</v>
      </c>
      <c r="N84" s="282">
        <f t="shared" si="27"/>
        <v>1335</v>
      </c>
      <c r="O84" s="282">
        <f t="shared" si="27"/>
        <v>1410</v>
      </c>
      <c r="P84" s="282">
        <f t="shared" si="27"/>
        <v>1444</v>
      </c>
      <c r="T84" s="228">
        <f>J84/E84-1</f>
        <v>0.30086788813886201</v>
      </c>
      <c r="U84" s="228">
        <f>K84/F84-1</f>
        <v>0.21971066907775771</v>
      </c>
      <c r="V84" s="228">
        <f t="shared" ref="V84:Y85" si="28">L84/H84-1</f>
        <v>0.19756309834638808</v>
      </c>
      <c r="W84" s="228">
        <f t="shared" si="28"/>
        <v>0.11943793911007017</v>
      </c>
      <c r="X84" s="228">
        <f t="shared" si="28"/>
        <v>-1.0378057820607856E-2</v>
      </c>
      <c r="Y84" s="228">
        <f t="shared" si="28"/>
        <v>4.5218680504077069E-2</v>
      </c>
      <c r="Z84" s="223"/>
      <c r="AA84" s="223"/>
      <c r="AB84" s="223"/>
      <c r="AC84" s="223"/>
      <c r="AD84" s="223"/>
      <c r="AE84" s="223"/>
      <c r="AF84" s="223"/>
      <c r="AG84" s="223"/>
      <c r="AH84" s="223"/>
      <c r="AI84" s="223"/>
    </row>
    <row r="85" spans="4:35" ht="15.75">
      <c r="D85" s="223" t="s">
        <v>1943</v>
      </c>
      <c r="E85" s="282">
        <f>E75</f>
        <v>536.65319270727969</v>
      </c>
      <c r="F85" s="282">
        <f>F75</f>
        <v>599.21276998236908</v>
      </c>
      <c r="G85" s="282"/>
      <c r="H85" s="282">
        <f t="shared" ref="H85:P85" si="29">H75</f>
        <v>594.40885236934423</v>
      </c>
      <c r="I85" s="282">
        <f t="shared" si="29"/>
        <v>579.34361517193815</v>
      </c>
      <c r="J85" s="282">
        <f t="shared" si="29"/>
        <v>567.6062657612307</v>
      </c>
      <c r="K85" s="282">
        <f t="shared" si="29"/>
        <v>605.488867936509</v>
      </c>
      <c r="L85" s="282">
        <f t="shared" si="29"/>
        <v>628.63983833091811</v>
      </c>
      <c r="M85" s="282">
        <f t="shared" si="29"/>
        <v>666.91021709344625</v>
      </c>
      <c r="N85" s="282">
        <f t="shared" si="29"/>
        <v>577.80348313395291</v>
      </c>
      <c r="O85" s="282">
        <f t="shared" si="29"/>
        <v>607.63284688146723</v>
      </c>
      <c r="P85" s="282">
        <f t="shared" si="29"/>
        <v>572.14633842056946</v>
      </c>
      <c r="T85" s="228">
        <f>J85/E85-1</f>
        <v>5.7677981747952689E-2</v>
      </c>
      <c r="U85" s="228">
        <f>K85/F85-1</f>
        <v>1.0473905544977846E-2</v>
      </c>
      <c r="V85" s="228">
        <f t="shared" si="28"/>
        <v>5.7588284267852785E-2</v>
      </c>
      <c r="W85" s="228">
        <f t="shared" si="28"/>
        <v>0.15114795369846279</v>
      </c>
      <c r="X85" s="228">
        <f t="shared" si="28"/>
        <v>1.796530092747739E-2</v>
      </c>
      <c r="Y85" s="228">
        <f t="shared" si="28"/>
        <v>3.5409056359116953E-3</v>
      </c>
      <c r="Z85" s="223"/>
      <c r="AA85" s="223"/>
      <c r="AB85" s="223"/>
      <c r="AC85" s="223"/>
      <c r="AD85" s="223"/>
      <c r="AE85" s="223"/>
      <c r="AF85" s="223"/>
      <c r="AG85" s="223"/>
      <c r="AH85" s="223"/>
      <c r="AI85" s="223"/>
    </row>
    <row r="86" spans="4:35" ht="15.75">
      <c r="D86" s="225" t="s">
        <v>568</v>
      </c>
      <c r="E86" s="283"/>
      <c r="F86" s="283"/>
      <c r="G86" s="283"/>
      <c r="H86" s="283"/>
      <c r="I86" s="283">
        <f t="shared" ref="I86:P86" si="30">I49</f>
        <v>208.02946380603069</v>
      </c>
      <c r="J86" s="283">
        <f t="shared" si="30"/>
        <v>201.08365880287175</v>
      </c>
      <c r="K86" s="283">
        <f t="shared" si="30"/>
        <v>216.68594821769233</v>
      </c>
      <c r="L86" s="283">
        <f t="shared" si="30"/>
        <v>237.40494859414156</v>
      </c>
      <c r="M86" s="283">
        <f t="shared" si="30"/>
        <v>262.21771903999996</v>
      </c>
      <c r="N86" s="283">
        <f t="shared" si="30"/>
        <v>206.32933036363633</v>
      </c>
      <c r="O86" s="283">
        <f t="shared" si="30"/>
        <v>208.57146276923078</v>
      </c>
      <c r="P86" s="283">
        <f t="shared" si="30"/>
        <v>227.06399999999999</v>
      </c>
      <c r="T86" s="270"/>
      <c r="U86" s="270"/>
      <c r="V86" s="270"/>
      <c r="W86" s="270">
        <f t="shared" ref="W86:Y87" si="31">M86/I86-1</f>
        <v>0.26048355960045688</v>
      </c>
      <c r="X86" s="270">
        <f t="shared" si="31"/>
        <v>2.6087010709841207E-2</v>
      </c>
      <c r="Y86" s="270">
        <f t="shared" si="31"/>
        <v>-3.7448138724294977E-2</v>
      </c>
      <c r="Z86" s="223"/>
      <c r="AA86" s="223"/>
      <c r="AB86" s="223"/>
      <c r="AC86" s="223"/>
      <c r="AD86" s="223"/>
      <c r="AE86" s="223"/>
      <c r="AF86" s="223"/>
      <c r="AG86" s="223"/>
      <c r="AH86" s="223"/>
      <c r="AI86" s="223"/>
    </row>
    <row r="87" spans="4:35" ht="15.75">
      <c r="D87" s="223" t="s">
        <v>424</v>
      </c>
      <c r="E87" s="227"/>
      <c r="F87" s="227"/>
      <c r="G87" s="227"/>
      <c r="H87" s="227"/>
      <c r="I87" s="227">
        <f t="shared" ref="I87:P87" si="32">I84+I85+I86</f>
        <v>2068.3730789779688</v>
      </c>
      <c r="J87" s="227">
        <f t="shared" si="32"/>
        <v>2117.6899245641025</v>
      </c>
      <c r="K87" s="227">
        <f t="shared" si="32"/>
        <v>2171.1748161542014</v>
      </c>
      <c r="L87" s="227">
        <f t="shared" si="32"/>
        <v>2242.0447869250597</v>
      </c>
      <c r="M87" s="227">
        <f t="shared" si="32"/>
        <v>2363.1279361334459</v>
      </c>
      <c r="N87" s="227">
        <f t="shared" si="32"/>
        <v>2119.1328134975893</v>
      </c>
      <c r="O87" s="227">
        <f t="shared" si="32"/>
        <v>2226.2043096506982</v>
      </c>
      <c r="P87" s="227">
        <f t="shared" si="32"/>
        <v>2243.2103384205693</v>
      </c>
      <c r="T87" s="228"/>
      <c r="U87" s="228"/>
      <c r="V87" s="228"/>
      <c r="W87" s="228">
        <f t="shared" si="31"/>
        <v>0.14250565342937183</v>
      </c>
      <c r="X87" s="228">
        <f t="shared" si="31"/>
        <v>6.8135042658989953E-4</v>
      </c>
      <c r="Y87" s="228">
        <f t="shared" si="31"/>
        <v>2.5345491798753672E-2</v>
      </c>
      <c r="Z87" s="223"/>
      <c r="AA87" s="223"/>
      <c r="AB87" s="223"/>
      <c r="AC87" s="223"/>
      <c r="AD87" s="223"/>
      <c r="AE87" s="223"/>
      <c r="AF87" s="223"/>
      <c r="AG87" s="223"/>
      <c r="AH87" s="223"/>
      <c r="AI87" s="223"/>
    </row>
    <row r="88" spans="4:35" ht="15.75">
      <c r="D88" s="223"/>
      <c r="E88" s="269"/>
      <c r="F88" s="269"/>
      <c r="G88" s="269"/>
      <c r="H88" s="269"/>
      <c r="I88" s="269"/>
      <c r="J88" s="269"/>
      <c r="K88" s="269"/>
      <c r="L88" s="269"/>
      <c r="M88" s="223"/>
      <c r="N88" s="223"/>
      <c r="O88" s="223"/>
      <c r="P88" s="223"/>
      <c r="Q88" s="223"/>
      <c r="R88" s="223"/>
      <c r="S88" s="223"/>
      <c r="T88" s="223"/>
      <c r="U88" s="223"/>
      <c r="V88" s="223"/>
      <c r="W88" s="223"/>
      <c r="X88" s="223"/>
      <c r="Y88" s="223"/>
      <c r="Z88" s="223"/>
      <c r="AA88" s="223"/>
      <c r="AB88" s="223"/>
      <c r="AC88" s="223"/>
      <c r="AD88" s="223"/>
      <c r="AE88" s="223"/>
      <c r="AF88" s="223"/>
      <c r="AG88" s="223"/>
      <c r="AH88" s="223"/>
    </row>
    <row r="89" spans="4:35" ht="15.75">
      <c r="D89" s="223" t="s">
        <v>518</v>
      </c>
      <c r="E89" s="269"/>
      <c r="F89" s="269"/>
      <c r="G89" s="269"/>
      <c r="H89" s="269"/>
      <c r="I89" s="269"/>
      <c r="J89" s="269"/>
      <c r="K89" s="269"/>
      <c r="L89" s="269"/>
      <c r="M89" s="223"/>
      <c r="N89" s="223"/>
      <c r="O89" s="223"/>
      <c r="P89" s="223"/>
      <c r="Q89" s="223"/>
      <c r="R89" s="223"/>
      <c r="S89" s="223"/>
      <c r="T89" s="223"/>
      <c r="U89" s="223"/>
      <c r="V89" s="223"/>
      <c r="W89" s="223"/>
      <c r="X89" s="223"/>
      <c r="Y89" s="223"/>
      <c r="Z89" s="223"/>
      <c r="AA89" s="223"/>
      <c r="AB89" s="223"/>
      <c r="AC89" s="223"/>
      <c r="AD89" s="223"/>
      <c r="AE89" s="223"/>
      <c r="AF89" s="223"/>
      <c r="AG89" s="223"/>
      <c r="AH89" s="223"/>
    </row>
    <row r="90" spans="4:35" ht="15.75">
      <c r="D90" s="223" t="str">
        <f>D84</f>
        <v>amx</v>
      </c>
      <c r="E90" s="228"/>
      <c r="F90" s="228"/>
      <c r="G90" s="228"/>
      <c r="H90" s="228"/>
      <c r="I90" s="280">
        <f t="shared" ref="I90:P92" si="33">I84/I$87</f>
        <v>0.61932734138706347</v>
      </c>
      <c r="J90" s="280">
        <f t="shared" si="33"/>
        <v>0.63701488322360189</v>
      </c>
      <c r="K90" s="280">
        <f t="shared" si="33"/>
        <v>0.62132260836991549</v>
      </c>
      <c r="L90" s="280">
        <f t="shared" si="33"/>
        <v>0.61372547418518308</v>
      </c>
      <c r="M90" s="280">
        <f t="shared" si="33"/>
        <v>0.6068228376777236</v>
      </c>
      <c r="N90" s="280">
        <f t="shared" si="33"/>
        <v>0.62997467242112459</v>
      </c>
      <c r="O90" s="280">
        <f t="shared" si="33"/>
        <v>0.63336504825167439</v>
      </c>
      <c r="P90" s="280">
        <f t="shared" si="33"/>
        <v>0.64372028572974194</v>
      </c>
      <c r="Q90" s="223"/>
      <c r="R90" s="223"/>
      <c r="S90" s="223"/>
      <c r="T90" s="223"/>
      <c r="U90" s="223"/>
      <c r="V90" s="223"/>
      <c r="W90" s="223"/>
      <c r="X90" s="223"/>
      <c r="Y90" s="223"/>
      <c r="Z90" s="223"/>
      <c r="AA90" s="223"/>
      <c r="AB90" s="223"/>
      <c r="AC90" s="223"/>
      <c r="AD90" s="223"/>
      <c r="AE90" s="223"/>
      <c r="AF90" s="223"/>
      <c r="AG90" s="223"/>
      <c r="AH90" s="223"/>
    </row>
    <row r="91" spans="4:35" ht="15.75">
      <c r="D91" s="223" t="str">
        <f>D85</f>
        <v>tef</v>
      </c>
      <c r="E91" s="228"/>
      <c r="F91" s="228"/>
      <c r="G91" s="228"/>
      <c r="H91" s="228"/>
      <c r="I91" s="280">
        <f t="shared" si="33"/>
        <v>0.28009628488212834</v>
      </c>
      <c r="J91" s="280">
        <f t="shared" si="33"/>
        <v>0.26803086664260573</v>
      </c>
      <c r="K91" s="280">
        <f t="shared" si="33"/>
        <v>0.27887614734266791</v>
      </c>
      <c r="L91" s="280">
        <f t="shared" si="33"/>
        <v>0.28038683348207816</v>
      </c>
      <c r="M91" s="280">
        <f t="shared" si="33"/>
        <v>0.28221502818194683</v>
      </c>
      <c r="N91" s="280">
        <f t="shared" si="33"/>
        <v>0.27266034457760058</v>
      </c>
      <c r="O91" s="280">
        <f t="shared" si="33"/>
        <v>0.27294567899601618</v>
      </c>
      <c r="P91" s="280">
        <f t="shared" si="33"/>
        <v>0.255056928287614</v>
      </c>
      <c r="Q91" s="223"/>
      <c r="R91" s="223"/>
      <c r="S91" s="223"/>
      <c r="T91" s="223"/>
      <c r="U91" s="223"/>
      <c r="V91" s="223"/>
      <c r="W91" s="223"/>
      <c r="X91" s="223"/>
      <c r="Y91" s="223"/>
      <c r="Z91" s="223"/>
      <c r="AA91" s="223"/>
      <c r="AB91" s="223"/>
      <c r="AC91" s="223"/>
      <c r="AD91" s="223"/>
      <c r="AE91" s="223"/>
      <c r="AF91" s="223"/>
      <c r="AG91" s="223"/>
      <c r="AH91" s="223"/>
    </row>
    <row r="92" spans="4:35" ht="15.75">
      <c r="D92" s="225" t="str">
        <f>D86</f>
        <v>tigo</v>
      </c>
      <c r="E92" s="270"/>
      <c r="F92" s="270"/>
      <c r="G92" s="270"/>
      <c r="H92" s="270"/>
      <c r="I92" s="229">
        <f t="shared" si="33"/>
        <v>0.10057637373080822</v>
      </c>
      <c r="J92" s="229">
        <f t="shared" si="33"/>
        <v>9.4954250133792398E-2</v>
      </c>
      <c r="K92" s="229">
        <f t="shared" si="33"/>
        <v>9.9801244287416629E-2</v>
      </c>
      <c r="L92" s="229">
        <f t="shared" si="33"/>
        <v>0.10588769233273876</v>
      </c>
      <c r="M92" s="229">
        <f t="shared" si="33"/>
        <v>0.11096213414032972</v>
      </c>
      <c r="N92" s="229">
        <f t="shared" si="33"/>
        <v>9.736498300127476E-2</v>
      </c>
      <c r="O92" s="229">
        <f t="shared" si="33"/>
        <v>9.3689272752309344E-2</v>
      </c>
      <c r="P92" s="229">
        <f t="shared" si="33"/>
        <v>0.10122278598264413</v>
      </c>
      <c r="Q92" s="223"/>
      <c r="R92" s="223"/>
      <c r="S92" s="223"/>
      <c r="T92" s="223"/>
      <c r="U92" s="223"/>
      <c r="V92" s="223"/>
      <c r="W92" s="223"/>
      <c r="X92" s="223"/>
      <c r="Y92" s="223"/>
      <c r="Z92" s="223"/>
      <c r="AA92" s="223"/>
      <c r="AB92" s="223"/>
      <c r="AC92" s="223"/>
      <c r="AD92" s="223"/>
      <c r="AE92" s="223"/>
      <c r="AF92" s="223"/>
      <c r="AG92" s="223"/>
      <c r="AH92" s="223"/>
    </row>
    <row r="93" spans="4:35" ht="15.75">
      <c r="D93" s="223" t="s">
        <v>1107</v>
      </c>
      <c r="E93" s="228"/>
      <c r="F93" s="228"/>
      <c r="G93" s="228"/>
      <c r="H93" s="228"/>
      <c r="I93" s="280">
        <f t="shared" ref="I93:P93" si="34">SUM(I90:I92)</f>
        <v>1</v>
      </c>
      <c r="J93" s="280">
        <f t="shared" si="34"/>
        <v>1</v>
      </c>
      <c r="K93" s="280">
        <f t="shared" si="34"/>
        <v>1</v>
      </c>
      <c r="L93" s="280">
        <f t="shared" si="34"/>
        <v>1</v>
      </c>
      <c r="M93" s="280">
        <f t="shared" si="34"/>
        <v>1.0000000000000002</v>
      </c>
      <c r="N93" s="280">
        <f t="shared" si="34"/>
        <v>0.99999999999999989</v>
      </c>
      <c r="O93" s="280">
        <f t="shared" si="34"/>
        <v>0.99999999999999989</v>
      </c>
      <c r="P93" s="280">
        <f t="shared" si="34"/>
        <v>1.0000000000000002</v>
      </c>
      <c r="Q93" s="223"/>
      <c r="R93" s="223"/>
      <c r="S93" s="223"/>
      <c r="T93" s="223"/>
      <c r="U93" s="223"/>
      <c r="V93" s="223"/>
      <c r="W93" s="223"/>
      <c r="X93" s="223"/>
      <c r="Y93" s="223"/>
      <c r="Z93" s="223"/>
      <c r="AA93" s="223"/>
      <c r="AB93" s="223"/>
      <c r="AC93" s="223"/>
      <c r="AD93" s="223"/>
      <c r="AE93" s="223"/>
      <c r="AF93" s="223"/>
      <c r="AG93" s="223"/>
      <c r="AH93" s="223"/>
    </row>
    <row r="94" spans="4:35" ht="15.75">
      <c r="D94" s="223"/>
      <c r="E94" s="228"/>
      <c r="F94" s="228"/>
      <c r="G94" s="228"/>
      <c r="H94" s="228"/>
      <c r="I94" s="228"/>
      <c r="J94" s="228"/>
      <c r="K94" s="228"/>
      <c r="L94" s="228"/>
      <c r="M94" s="228"/>
      <c r="N94" s="228"/>
      <c r="O94" s="228"/>
      <c r="P94" s="228"/>
      <c r="Q94" s="223"/>
      <c r="R94" s="223"/>
      <c r="S94" s="223"/>
      <c r="T94" s="223"/>
      <c r="U94" s="223"/>
      <c r="V94" s="223"/>
      <c r="W94" s="223"/>
      <c r="X94" s="223"/>
      <c r="Y94" s="223"/>
      <c r="Z94" s="223"/>
      <c r="AA94" s="223"/>
      <c r="AB94" s="223"/>
      <c r="AC94" s="223"/>
      <c r="AD94" s="223"/>
      <c r="AE94" s="223"/>
      <c r="AF94" s="223"/>
      <c r="AG94" s="223"/>
      <c r="AH94" s="223"/>
    </row>
    <row r="95" spans="4:35" ht="15.75">
      <c r="D95" s="224" t="s">
        <v>590</v>
      </c>
      <c r="E95" s="284" t="str">
        <f>E83</f>
        <v>Q1 06</v>
      </c>
      <c r="F95" s="284" t="str">
        <f>F83</f>
        <v>Q2 06</v>
      </c>
      <c r="G95" s="284"/>
      <c r="H95" s="284" t="str">
        <f t="shared" ref="H95:Q95" si="35">H83</f>
        <v>Q3 06</v>
      </c>
      <c r="I95" s="284" t="str">
        <f t="shared" si="35"/>
        <v>Q4 06</v>
      </c>
      <c r="J95" s="284" t="str">
        <f t="shared" si="35"/>
        <v>Q1 07</v>
      </c>
      <c r="K95" s="284" t="str">
        <f t="shared" si="35"/>
        <v>Q2 07</v>
      </c>
      <c r="L95" s="284" t="str">
        <f t="shared" si="35"/>
        <v>Q3 07</v>
      </c>
      <c r="M95" s="284" t="str">
        <f t="shared" si="35"/>
        <v>Q4 07</v>
      </c>
      <c r="N95" s="284" t="str">
        <f t="shared" si="35"/>
        <v>Q1 08</v>
      </c>
      <c r="O95" s="284" t="str">
        <f t="shared" si="35"/>
        <v>Q2 08</v>
      </c>
      <c r="P95" s="284" t="str">
        <f t="shared" si="35"/>
        <v>Q3 08</v>
      </c>
      <c r="Q95" s="284" t="str">
        <f t="shared" si="35"/>
        <v>Q4 08</v>
      </c>
      <c r="R95" s="223"/>
      <c r="S95" s="223"/>
      <c r="T95" s="223"/>
      <c r="U95" s="223"/>
      <c r="V95" s="223"/>
      <c r="W95" s="223"/>
      <c r="X95" s="223"/>
      <c r="Y95" s="223"/>
      <c r="Z95" s="223"/>
      <c r="AA95" s="223"/>
      <c r="AB95" s="223"/>
      <c r="AC95" s="223"/>
      <c r="AD95" s="223"/>
      <c r="AE95" s="223"/>
      <c r="AF95" s="223"/>
      <c r="AG95" s="223"/>
      <c r="AH95" s="223"/>
    </row>
    <row r="96" spans="4:35" ht="15.75">
      <c r="D96" s="223" t="str">
        <f>D84</f>
        <v>amx</v>
      </c>
      <c r="E96" s="282">
        <f>E70</f>
        <v>15879</v>
      </c>
      <c r="F96" s="282">
        <f>F70</f>
        <v>17970</v>
      </c>
      <c r="G96" s="282"/>
      <c r="H96" s="282">
        <f t="shared" ref="H96:P96" si="36">H70</f>
        <v>18755</v>
      </c>
      <c r="I96" s="282">
        <f t="shared" si="36"/>
        <v>19521</v>
      </c>
      <c r="J96" s="282">
        <f t="shared" si="36"/>
        <v>20042</v>
      </c>
      <c r="K96" s="282">
        <f t="shared" si="36"/>
        <v>20607</v>
      </c>
      <c r="L96" s="282">
        <f t="shared" si="36"/>
        <v>21257</v>
      </c>
      <c r="M96" s="282">
        <f t="shared" si="36"/>
        <v>22335</v>
      </c>
      <c r="N96" s="282">
        <f t="shared" si="36"/>
        <v>23129</v>
      </c>
      <c r="O96" s="282">
        <f t="shared" si="36"/>
        <v>24195</v>
      </c>
      <c r="P96" s="282">
        <f t="shared" si="36"/>
        <v>25373</v>
      </c>
      <c r="Q96" s="223"/>
      <c r="R96" s="223"/>
      <c r="S96" s="223"/>
      <c r="T96" s="223"/>
      <c r="U96" s="223"/>
      <c r="V96" s="223"/>
      <c r="W96" s="223"/>
      <c r="X96" s="223"/>
      <c r="Y96" s="223"/>
      <c r="Z96" s="223"/>
      <c r="AA96" s="223"/>
      <c r="AB96" s="223"/>
      <c r="AC96" s="223"/>
      <c r="AD96" s="223"/>
      <c r="AE96" s="223"/>
      <c r="AF96" s="223"/>
      <c r="AG96" s="223"/>
      <c r="AH96" s="223"/>
    </row>
    <row r="97" spans="4:34" ht="15.75">
      <c r="D97" s="223" t="str">
        <f>D85</f>
        <v>tef</v>
      </c>
      <c r="E97" s="282">
        <f>E79</f>
        <v>6818</v>
      </c>
      <c r="F97" s="282">
        <f>F79</f>
        <v>7474</v>
      </c>
      <c r="G97" s="282"/>
      <c r="H97" s="282">
        <f t="shared" ref="H97:P97" si="37">H79</f>
        <v>7687</v>
      </c>
      <c r="I97" s="282">
        <f t="shared" si="37"/>
        <v>7760</v>
      </c>
      <c r="J97" s="282">
        <f t="shared" si="37"/>
        <v>7545</v>
      </c>
      <c r="K97" s="282">
        <f t="shared" si="37"/>
        <v>7612</v>
      </c>
      <c r="L97" s="282">
        <f t="shared" si="37"/>
        <v>7551.683</v>
      </c>
      <c r="M97" s="282">
        <f t="shared" si="37"/>
        <v>8372</v>
      </c>
      <c r="N97" s="282">
        <f t="shared" si="37"/>
        <v>8754</v>
      </c>
      <c r="O97" s="282">
        <f t="shared" si="37"/>
        <v>9355</v>
      </c>
      <c r="P97" s="282">
        <f t="shared" si="37"/>
        <v>9702</v>
      </c>
      <c r="Q97" s="223"/>
      <c r="R97" s="223"/>
      <c r="S97" s="223"/>
      <c r="T97" s="223"/>
      <c r="U97" s="223"/>
      <c r="V97" s="223"/>
      <c r="W97" s="223"/>
      <c r="X97" s="223"/>
      <c r="Y97" s="223"/>
      <c r="Z97" s="223"/>
      <c r="AA97" s="223"/>
      <c r="AB97" s="223"/>
      <c r="AC97" s="223"/>
      <c r="AD97" s="223"/>
      <c r="AE97" s="223"/>
      <c r="AF97" s="223"/>
      <c r="AG97" s="223"/>
      <c r="AH97" s="223"/>
    </row>
    <row r="98" spans="4:34" ht="15.75">
      <c r="D98" s="225" t="str">
        <f>D86</f>
        <v>tigo</v>
      </c>
      <c r="E98" s="283"/>
      <c r="F98" s="283"/>
      <c r="G98" s="283"/>
      <c r="H98" s="283"/>
      <c r="I98" s="283">
        <f t="shared" ref="I98:P98" si="38">I55</f>
        <v>2120.2840000000001</v>
      </c>
      <c r="J98" s="283">
        <f t="shared" si="38"/>
        <v>2198.855</v>
      </c>
      <c r="K98" s="283">
        <f t="shared" si="38"/>
        <v>2291.66</v>
      </c>
      <c r="L98" s="283">
        <f t="shared" si="38"/>
        <v>2502.848</v>
      </c>
      <c r="M98" s="283">
        <f t="shared" si="38"/>
        <v>2769.884</v>
      </c>
      <c r="N98" s="283">
        <f t="shared" si="38"/>
        <v>3060</v>
      </c>
      <c r="O98" s="283">
        <f t="shared" si="38"/>
        <v>3262.5</v>
      </c>
      <c r="P98" s="283">
        <f t="shared" si="38"/>
        <v>3275.605</v>
      </c>
      <c r="Q98" s="223"/>
      <c r="R98" s="223"/>
      <c r="S98" s="223"/>
      <c r="T98" s="223"/>
      <c r="U98" s="223"/>
      <c r="V98" s="223"/>
      <c r="W98" s="223"/>
      <c r="X98" s="223"/>
      <c r="Y98" s="223"/>
      <c r="Z98" s="223"/>
      <c r="AA98" s="223"/>
      <c r="AB98" s="223"/>
      <c r="AC98" s="223"/>
      <c r="AD98" s="223"/>
      <c r="AE98" s="223"/>
      <c r="AF98" s="223"/>
      <c r="AG98" s="223"/>
      <c r="AH98" s="223"/>
    </row>
    <row r="99" spans="4:34" ht="15.75">
      <c r="D99" s="223" t="s">
        <v>569</v>
      </c>
      <c r="E99" s="282"/>
      <c r="F99" s="282"/>
      <c r="G99" s="282"/>
      <c r="H99" s="282"/>
      <c r="I99" s="282">
        <f t="shared" ref="I99:P99" si="39">I96+I97+I98</f>
        <v>29401.284</v>
      </c>
      <c r="J99" s="282">
        <f t="shared" si="39"/>
        <v>29785.855</v>
      </c>
      <c r="K99" s="282">
        <f t="shared" si="39"/>
        <v>30510.66</v>
      </c>
      <c r="L99" s="282">
        <f t="shared" si="39"/>
        <v>31311.531000000003</v>
      </c>
      <c r="M99" s="282">
        <f t="shared" si="39"/>
        <v>33476.883999999998</v>
      </c>
      <c r="N99" s="282">
        <f t="shared" si="39"/>
        <v>34943</v>
      </c>
      <c r="O99" s="282">
        <f t="shared" si="39"/>
        <v>36812.5</v>
      </c>
      <c r="P99" s="282">
        <f t="shared" si="39"/>
        <v>38350.605000000003</v>
      </c>
      <c r="Q99" s="223"/>
      <c r="R99" s="223"/>
      <c r="S99" s="223"/>
      <c r="T99" s="223"/>
      <c r="U99" s="223"/>
      <c r="V99" s="223"/>
      <c r="W99" s="223"/>
      <c r="X99" s="223"/>
      <c r="Y99" s="223"/>
      <c r="Z99" s="223"/>
      <c r="AA99" s="223"/>
      <c r="AB99" s="223"/>
      <c r="AC99" s="223"/>
      <c r="AD99" s="223"/>
      <c r="AE99" s="223"/>
      <c r="AF99" s="223"/>
      <c r="AG99" s="223"/>
      <c r="AH99" s="223"/>
    </row>
    <row r="100" spans="4:34" ht="15.75">
      <c r="D100" s="223" t="s">
        <v>1171</v>
      </c>
      <c r="E100" s="282"/>
      <c r="F100" s="282"/>
      <c r="G100" s="282"/>
      <c r="H100" s="282"/>
      <c r="I100" s="285">
        <f>I99/Colombia!$D$12</f>
        <v>0.67364609920953156</v>
      </c>
      <c r="J100" s="285">
        <f>J99/Colombia!$D$12</f>
        <v>0.68245744071485859</v>
      </c>
      <c r="K100" s="285">
        <f>K99/Colombia!$D$12</f>
        <v>0.69906426853018688</v>
      </c>
      <c r="L100" s="285">
        <f>L99/Colombia!$D$12</f>
        <v>0.71741393057624026</v>
      </c>
      <c r="M100" s="285">
        <f>M99/Colombia!$D$12</f>
        <v>0.76702678428227755</v>
      </c>
      <c r="N100" s="285">
        <f>N99/Colombia!$E$12</f>
        <v>0.78878682518551224</v>
      </c>
      <c r="O100" s="285">
        <f>O99/Colombia!$E$12</f>
        <v>0.83098803772262464</v>
      </c>
      <c r="P100" s="285">
        <f>P99/Colombia!$E$12</f>
        <v>0.86570849560408769</v>
      </c>
      <c r="Q100" s="223"/>
      <c r="R100" s="223"/>
      <c r="S100" s="223"/>
      <c r="T100" s="223"/>
      <c r="U100" s="223"/>
      <c r="V100" s="223"/>
      <c r="W100" s="223"/>
      <c r="X100" s="223"/>
      <c r="Y100" s="223"/>
      <c r="Z100" s="223"/>
      <c r="AA100" s="223"/>
      <c r="AB100" s="223"/>
      <c r="AC100" s="223"/>
      <c r="AD100" s="223"/>
      <c r="AE100" s="223"/>
      <c r="AF100" s="223"/>
      <c r="AG100" s="223"/>
      <c r="AH100" s="223"/>
    </row>
    <row r="101" spans="4:34" ht="15.75">
      <c r="D101" s="223"/>
      <c r="E101" s="282"/>
      <c r="F101" s="282"/>
      <c r="G101" s="282"/>
      <c r="H101" s="282"/>
      <c r="I101" s="285"/>
      <c r="J101" s="285"/>
      <c r="K101" s="285"/>
      <c r="L101" s="285"/>
      <c r="M101" s="282"/>
      <c r="N101" s="282"/>
      <c r="O101" s="282"/>
      <c r="P101" s="282"/>
      <c r="Q101" s="223"/>
      <c r="R101" s="223"/>
      <c r="S101" s="223"/>
      <c r="T101" s="223"/>
      <c r="U101" s="223"/>
      <c r="V101" s="223"/>
      <c r="W101" s="223"/>
      <c r="X101" s="223"/>
      <c r="Y101" s="223"/>
      <c r="Z101" s="223"/>
      <c r="AA101" s="223"/>
      <c r="AB101" s="223"/>
      <c r="AC101" s="223"/>
      <c r="AD101" s="223"/>
      <c r="AE101" s="223"/>
      <c r="AF101" s="223"/>
      <c r="AG101" s="223"/>
      <c r="AH101" s="223"/>
    </row>
    <row r="102" spans="4:34" ht="15.75">
      <c r="D102" s="223" t="s">
        <v>518</v>
      </c>
      <c r="E102" s="269"/>
      <c r="F102" s="269"/>
      <c r="G102" s="269"/>
      <c r="H102" s="269"/>
      <c r="I102" s="269"/>
      <c r="J102" s="269"/>
      <c r="K102" s="269"/>
      <c r="L102" s="269"/>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row>
    <row r="103" spans="4:34" ht="15.75">
      <c r="D103" s="223" t="str">
        <f>D96</f>
        <v>amx</v>
      </c>
      <c r="E103" s="228"/>
      <c r="F103" s="228"/>
      <c r="G103" s="228"/>
      <c r="H103" s="228"/>
      <c r="I103" s="280">
        <f t="shared" ref="I103:P105" si="40">I96/I$99</f>
        <v>0.66395059481075724</v>
      </c>
      <c r="J103" s="280">
        <f t="shared" si="40"/>
        <v>0.67286972289363522</v>
      </c>
      <c r="K103" s="280">
        <f t="shared" si="40"/>
        <v>0.67540328527799798</v>
      </c>
      <c r="L103" s="280">
        <f t="shared" si="40"/>
        <v>0.67888727638389823</v>
      </c>
      <c r="M103" s="280">
        <f t="shared" si="40"/>
        <v>0.66717678981114259</v>
      </c>
      <c r="N103" s="280">
        <f t="shared" si="40"/>
        <v>0.66190653349741002</v>
      </c>
      <c r="O103" s="280">
        <f t="shared" si="40"/>
        <v>0.65724957555178265</v>
      </c>
      <c r="P103" s="280">
        <f t="shared" si="40"/>
        <v>0.66160625106174986</v>
      </c>
      <c r="Q103" s="223"/>
      <c r="R103" s="223"/>
      <c r="S103" s="223"/>
      <c r="T103" s="223"/>
      <c r="U103" s="223"/>
      <c r="V103" s="223"/>
      <c r="W103" s="223"/>
      <c r="X103" s="223"/>
      <c r="Y103" s="223"/>
      <c r="Z103" s="223"/>
      <c r="AA103" s="223"/>
      <c r="AB103" s="223"/>
      <c r="AC103" s="223"/>
      <c r="AD103" s="223"/>
      <c r="AE103" s="223"/>
      <c r="AF103" s="223"/>
      <c r="AG103" s="223"/>
      <c r="AH103" s="223"/>
    </row>
    <row r="104" spans="4:34" ht="15.75">
      <c r="D104" s="223" t="str">
        <f>D97</f>
        <v>tef</v>
      </c>
      <c r="E104" s="228"/>
      <c r="F104" s="228"/>
      <c r="G104" s="228"/>
      <c r="H104" s="228"/>
      <c r="I104" s="280">
        <f t="shared" si="40"/>
        <v>0.26393405131558201</v>
      </c>
      <c r="J104" s="280">
        <f t="shared" si="40"/>
        <v>0.25330815583437172</v>
      </c>
      <c r="K104" s="280">
        <f t="shared" si="40"/>
        <v>0.24948657288960646</v>
      </c>
      <c r="L104" s="280">
        <f t="shared" si="40"/>
        <v>0.24117897652465475</v>
      </c>
      <c r="M104" s="280">
        <f t="shared" si="40"/>
        <v>0.25008301250498705</v>
      </c>
      <c r="N104" s="280">
        <f t="shared" si="40"/>
        <v>0.25052227914031422</v>
      </c>
      <c r="O104" s="280">
        <f t="shared" si="40"/>
        <v>0.25412563667232596</v>
      </c>
      <c r="P104" s="280">
        <f t="shared" si="40"/>
        <v>0.25298166743392964</v>
      </c>
      <c r="Q104" s="223"/>
      <c r="R104" s="223"/>
      <c r="S104" s="223"/>
      <c r="T104" s="223"/>
      <c r="U104" s="223"/>
      <c r="V104" s="223"/>
      <c r="W104" s="223"/>
      <c r="X104" s="223"/>
      <c r="Y104" s="223"/>
      <c r="Z104" s="223"/>
      <c r="AA104" s="223"/>
      <c r="AB104" s="223"/>
      <c r="AC104" s="223"/>
      <c r="AD104" s="223"/>
      <c r="AE104" s="223"/>
      <c r="AF104" s="223"/>
      <c r="AG104" s="223"/>
      <c r="AH104" s="223"/>
    </row>
    <row r="105" spans="4:34" ht="15.75">
      <c r="D105" s="225" t="str">
        <f>D98</f>
        <v>tigo</v>
      </c>
      <c r="E105" s="270"/>
      <c r="F105" s="270"/>
      <c r="G105" s="270"/>
      <c r="H105" s="270"/>
      <c r="I105" s="229">
        <f t="shared" si="40"/>
        <v>7.2115353873660762E-2</v>
      </c>
      <c r="J105" s="229">
        <f t="shared" si="40"/>
        <v>7.382212127199303E-2</v>
      </c>
      <c r="K105" s="229">
        <f t="shared" si="40"/>
        <v>7.511014183239563E-2</v>
      </c>
      <c r="L105" s="229">
        <f t="shared" si="40"/>
        <v>7.9933747091446905E-2</v>
      </c>
      <c r="M105" s="229">
        <f t="shared" si="40"/>
        <v>8.2740197683870462E-2</v>
      </c>
      <c r="N105" s="229">
        <f t="shared" si="40"/>
        <v>8.7571187362275704E-2</v>
      </c>
      <c r="O105" s="229">
        <f t="shared" si="40"/>
        <v>8.8624787775891348E-2</v>
      </c>
      <c r="P105" s="229">
        <f t="shared" si="40"/>
        <v>8.5412081504320461E-2</v>
      </c>
      <c r="Q105" s="223"/>
      <c r="R105" s="223"/>
      <c r="S105" s="223"/>
      <c r="T105" s="223"/>
      <c r="U105" s="223"/>
      <c r="V105" s="223"/>
      <c r="W105" s="223"/>
      <c r="X105" s="223"/>
      <c r="Y105" s="223"/>
      <c r="Z105" s="223"/>
      <c r="AA105" s="223"/>
      <c r="AB105" s="223"/>
      <c r="AC105" s="223"/>
      <c r="AD105" s="223"/>
      <c r="AE105" s="223"/>
      <c r="AF105" s="223"/>
      <c r="AG105" s="223"/>
      <c r="AH105" s="223"/>
    </row>
    <row r="106" spans="4:34" ht="15.75">
      <c r="D106" s="223" t="s">
        <v>429</v>
      </c>
      <c r="E106" s="228"/>
      <c r="F106" s="228"/>
      <c r="G106" s="228"/>
      <c r="H106" s="228"/>
      <c r="I106" s="228"/>
      <c r="J106" s="228">
        <f t="shared" ref="J106:P106" si="41">(J98-I98)/(J99-I99)</f>
        <v>0.20430817716364449</v>
      </c>
      <c r="K106" s="228">
        <f t="shared" si="41"/>
        <v>0.12804133525568917</v>
      </c>
      <c r="L106" s="228">
        <f t="shared" si="41"/>
        <v>0.26369789891255813</v>
      </c>
      <c r="M106" s="228">
        <f t="shared" si="41"/>
        <v>0.12332215578707056</v>
      </c>
      <c r="N106" s="228">
        <f t="shared" si="41"/>
        <v>0.19788065882917835</v>
      </c>
      <c r="O106" s="228">
        <f t="shared" si="41"/>
        <v>0.10831773201390746</v>
      </c>
      <c r="P106" s="228">
        <f t="shared" si="41"/>
        <v>8.5202245620422477E-3</v>
      </c>
      <c r="Q106" s="223"/>
      <c r="R106" s="223"/>
      <c r="S106" s="223"/>
      <c r="T106" s="223"/>
      <c r="U106" s="223"/>
      <c r="V106" s="223"/>
      <c r="W106" s="223"/>
      <c r="X106" s="223"/>
      <c r="Y106" s="223"/>
      <c r="Z106" s="223"/>
      <c r="AA106" s="223"/>
      <c r="AB106" s="223"/>
      <c r="AC106" s="223"/>
      <c r="AD106" s="223"/>
      <c r="AE106" s="223"/>
      <c r="AF106" s="223"/>
      <c r="AG106" s="223"/>
      <c r="AH106" s="223"/>
    </row>
    <row r="107" spans="4:34" ht="15.75">
      <c r="D107" s="223"/>
      <c r="E107" s="228"/>
      <c r="F107" s="228"/>
      <c r="G107" s="228"/>
      <c r="H107" s="228"/>
      <c r="I107" s="228"/>
      <c r="J107" s="228"/>
      <c r="K107" s="228"/>
      <c r="L107" s="228"/>
      <c r="M107" s="228"/>
      <c r="N107" s="228"/>
      <c r="O107" s="228"/>
      <c r="P107" s="223"/>
      <c r="Q107" s="223"/>
      <c r="R107" s="223"/>
      <c r="S107" s="223"/>
      <c r="T107" s="223"/>
      <c r="U107" s="223"/>
      <c r="V107" s="223"/>
      <c r="W107" s="223"/>
      <c r="X107" s="223"/>
      <c r="Y107" s="223"/>
      <c r="Z107" s="223"/>
      <c r="AA107" s="223"/>
      <c r="AB107" s="223"/>
      <c r="AC107" s="223"/>
      <c r="AD107" s="223"/>
      <c r="AE107" s="223"/>
      <c r="AF107" s="223"/>
      <c r="AG107" s="223"/>
      <c r="AH107" s="223"/>
    </row>
    <row r="108" spans="4:34" ht="15.75">
      <c r="D108" s="223" t="s">
        <v>428</v>
      </c>
      <c r="E108" s="228"/>
      <c r="F108" s="228"/>
      <c r="G108" s="228"/>
      <c r="H108" s="228"/>
      <c r="I108" s="228"/>
      <c r="J108" s="228"/>
      <c r="K108" s="228"/>
      <c r="L108" s="228"/>
      <c r="M108" s="228"/>
      <c r="N108" s="228"/>
      <c r="O108" s="228"/>
      <c r="P108" s="223"/>
      <c r="Q108" s="223"/>
      <c r="R108" s="223"/>
      <c r="S108" s="223"/>
      <c r="T108" s="223"/>
      <c r="U108" s="223"/>
      <c r="V108" s="223"/>
      <c r="W108" s="223"/>
      <c r="X108" s="223"/>
      <c r="Y108" s="223"/>
      <c r="Z108" s="223"/>
      <c r="AA108" s="223"/>
      <c r="AB108" s="223"/>
      <c r="AC108" s="223"/>
      <c r="AD108" s="223"/>
      <c r="AE108" s="223"/>
      <c r="AF108" s="223"/>
      <c r="AG108" s="223"/>
      <c r="AH108" s="223"/>
    </row>
    <row r="109" spans="4:34" ht="15.75">
      <c r="D109" s="223"/>
      <c r="E109" s="228"/>
      <c r="F109" s="228"/>
      <c r="G109" s="228"/>
      <c r="H109" s="228"/>
      <c r="I109" s="228"/>
      <c r="J109" s="228"/>
      <c r="K109" s="228"/>
      <c r="L109" s="228"/>
      <c r="M109" s="228"/>
      <c r="N109" s="228"/>
      <c r="O109" s="228"/>
      <c r="P109" s="223"/>
      <c r="Q109" s="223"/>
      <c r="R109" s="223"/>
      <c r="S109" s="223"/>
      <c r="T109" s="223"/>
      <c r="U109" s="223"/>
      <c r="V109" s="223"/>
      <c r="W109" s="223"/>
      <c r="X109" s="223"/>
      <c r="Y109" s="223"/>
      <c r="Z109" s="223"/>
      <c r="AA109" s="223"/>
      <c r="AB109" s="223"/>
      <c r="AC109" s="223"/>
      <c r="AD109" s="223"/>
      <c r="AE109" s="223"/>
      <c r="AF109" s="223"/>
      <c r="AG109" s="223"/>
      <c r="AH109" s="223"/>
    </row>
    <row r="110" spans="4:34" ht="15.75">
      <c r="D110" s="223" t="s">
        <v>425</v>
      </c>
      <c r="E110" s="282"/>
      <c r="F110" s="282"/>
      <c r="G110" s="282"/>
      <c r="H110" s="282"/>
      <c r="I110" s="285"/>
      <c r="J110" s="285"/>
      <c r="K110" s="282">
        <v>18500</v>
      </c>
      <c r="L110" s="282">
        <v>19240</v>
      </c>
      <c r="M110" s="282">
        <v>20910</v>
      </c>
      <c r="O110" s="282">
        <v>22720</v>
      </c>
      <c r="P110" s="282">
        <v>24180</v>
      </c>
      <c r="Q110" s="223">
        <v>27020</v>
      </c>
      <c r="R110" s="223"/>
      <c r="S110" s="223"/>
      <c r="T110" s="223"/>
      <c r="U110" s="223"/>
      <c r="V110" s="223"/>
      <c r="W110" s="223"/>
      <c r="X110" s="223"/>
      <c r="Y110" s="223"/>
      <c r="Z110" s="223"/>
      <c r="AA110" s="223"/>
      <c r="AB110" s="223"/>
      <c r="AC110" s="223"/>
      <c r="AD110" s="223"/>
      <c r="AE110" s="223"/>
      <c r="AF110" s="223"/>
      <c r="AG110" s="223"/>
      <c r="AH110" s="223"/>
    </row>
    <row r="111" spans="4:34" ht="15.75">
      <c r="D111" s="223" t="s">
        <v>426</v>
      </c>
      <c r="E111" s="282"/>
      <c r="F111" s="282"/>
      <c r="G111" s="282"/>
      <c r="H111" s="282"/>
      <c r="I111" s="285"/>
      <c r="J111" s="285"/>
      <c r="K111" s="282">
        <v>7600</v>
      </c>
      <c r="L111" s="282">
        <v>7550</v>
      </c>
      <c r="M111" s="282">
        <v>8370</v>
      </c>
      <c r="O111" s="282"/>
      <c r="P111" s="282">
        <v>9700</v>
      </c>
      <c r="Q111" s="223">
        <v>9960</v>
      </c>
      <c r="R111" s="223"/>
      <c r="S111" s="223"/>
      <c r="T111" s="223"/>
      <c r="U111" s="223"/>
      <c r="V111" s="223"/>
      <c r="W111" s="223"/>
      <c r="X111" s="223"/>
      <c r="Y111" s="223"/>
      <c r="Z111" s="223"/>
      <c r="AA111" s="223"/>
      <c r="AB111" s="223"/>
      <c r="AC111" s="223"/>
      <c r="AD111" s="223"/>
      <c r="AE111" s="223"/>
      <c r="AF111" s="223"/>
      <c r="AG111" s="223"/>
      <c r="AH111" s="223"/>
    </row>
    <row r="112" spans="4:34" ht="15.75">
      <c r="D112" s="225" t="s">
        <v>427</v>
      </c>
      <c r="E112" s="283"/>
      <c r="F112" s="283"/>
      <c r="G112" s="283"/>
      <c r="H112" s="283"/>
      <c r="I112" s="226"/>
      <c r="J112" s="226"/>
      <c r="K112" s="283">
        <v>2400</v>
      </c>
      <c r="L112" s="283">
        <v>2670</v>
      </c>
      <c r="M112" s="283">
        <v>3010</v>
      </c>
      <c r="O112" s="283"/>
      <c r="P112" s="283">
        <v>3710</v>
      </c>
      <c r="Q112" s="225">
        <v>3750</v>
      </c>
      <c r="R112" s="223"/>
      <c r="S112" s="223"/>
      <c r="T112" s="223"/>
      <c r="U112" s="223"/>
      <c r="V112" s="223"/>
      <c r="W112" s="223"/>
      <c r="X112" s="223"/>
      <c r="Y112" s="223"/>
      <c r="Z112" s="223"/>
      <c r="AA112" s="223"/>
      <c r="AB112" s="223"/>
      <c r="AC112" s="223"/>
      <c r="AD112" s="223"/>
      <c r="AE112" s="223"/>
      <c r="AF112" s="223"/>
      <c r="AG112" s="223"/>
      <c r="AH112" s="223"/>
    </row>
    <row r="113" spans="4:34" ht="15.75">
      <c r="D113" s="223" t="s">
        <v>1173</v>
      </c>
      <c r="E113" s="282"/>
      <c r="F113" s="282"/>
      <c r="G113" s="282"/>
      <c r="H113" s="282"/>
      <c r="I113" s="285"/>
      <c r="J113" s="285"/>
      <c r="K113" s="282">
        <f>SUM(K110:K112)</f>
        <v>28500</v>
      </c>
      <c r="L113" s="282">
        <f>SUM(L110:L112)</f>
        <v>29460</v>
      </c>
      <c r="M113" s="282">
        <f>SUM(M110:M112)</f>
        <v>32290</v>
      </c>
      <c r="O113" s="282">
        <v>35740</v>
      </c>
      <c r="P113" s="282">
        <v>37590</v>
      </c>
      <c r="Q113" s="282">
        <f>SUM(Q110:Q112)</f>
        <v>40730</v>
      </c>
      <c r="R113" s="223"/>
      <c r="S113" s="223"/>
      <c r="T113" s="223"/>
      <c r="U113" s="223"/>
      <c r="V113" s="223"/>
      <c r="W113" s="223"/>
      <c r="X113" s="223"/>
      <c r="Y113" s="223"/>
      <c r="Z113" s="223"/>
      <c r="AA113" s="223"/>
      <c r="AB113" s="223"/>
      <c r="AC113" s="223"/>
      <c r="AD113" s="223"/>
      <c r="AE113" s="223"/>
      <c r="AF113" s="223"/>
      <c r="AG113" s="223"/>
      <c r="AH113" s="223"/>
    </row>
    <row r="114" spans="4:34" ht="15.75">
      <c r="D114" s="223"/>
      <c r="E114" s="282"/>
      <c r="F114" s="282"/>
      <c r="G114" s="282"/>
      <c r="H114" s="282"/>
      <c r="I114" s="285"/>
      <c r="J114" s="285"/>
      <c r="K114" s="285"/>
      <c r="L114" s="282">
        <f>L113-K113</f>
        <v>960</v>
      </c>
      <c r="M114" s="282">
        <f>M113-L113</f>
        <v>2830</v>
      </c>
      <c r="O114" s="282">
        <f>O113-M113</f>
        <v>3450</v>
      </c>
      <c r="P114" s="282">
        <f>P113-O113</f>
        <v>1850</v>
      </c>
      <c r="Q114" s="282">
        <f>Q113-P113</f>
        <v>3140</v>
      </c>
      <c r="R114" s="223"/>
      <c r="S114" s="223"/>
      <c r="T114" s="223"/>
      <c r="U114" s="223"/>
      <c r="V114" s="223"/>
      <c r="W114" s="223"/>
      <c r="X114" s="223"/>
      <c r="Y114" s="223"/>
      <c r="Z114" s="223"/>
      <c r="AA114" s="223"/>
      <c r="AB114" s="223"/>
      <c r="AC114" s="223"/>
      <c r="AD114" s="223"/>
      <c r="AE114" s="223"/>
      <c r="AF114" s="223"/>
      <c r="AG114" s="223"/>
      <c r="AH114" s="223"/>
    </row>
    <row r="115" spans="4:34" ht="15.75">
      <c r="D115" s="223" t="str">
        <f>D102</f>
        <v>% share</v>
      </c>
      <c r="E115" s="282"/>
      <c r="F115" s="282"/>
      <c r="G115" s="282"/>
      <c r="H115" s="282"/>
      <c r="I115" s="285"/>
      <c r="J115" s="285"/>
      <c r="K115" s="285"/>
      <c r="L115" s="285"/>
      <c r="M115" s="223"/>
      <c r="O115" s="223"/>
      <c r="P115" s="223"/>
      <c r="Q115" s="223"/>
      <c r="R115" s="223"/>
      <c r="S115" s="223"/>
      <c r="T115" s="223"/>
      <c r="U115" s="223"/>
      <c r="V115" s="223"/>
      <c r="W115" s="223"/>
      <c r="X115" s="223"/>
      <c r="Y115" s="223"/>
      <c r="Z115" s="223"/>
      <c r="AA115" s="223"/>
      <c r="AB115" s="223"/>
      <c r="AC115" s="223"/>
      <c r="AD115" s="223"/>
      <c r="AE115" s="223"/>
      <c r="AF115" s="223"/>
      <c r="AG115" s="223"/>
      <c r="AH115" s="223"/>
    </row>
    <row r="116" spans="4:34" ht="15.75">
      <c r="D116" s="223" t="str">
        <f>D103</f>
        <v>amx</v>
      </c>
      <c r="E116" s="282"/>
      <c r="F116" s="282"/>
      <c r="G116" s="282"/>
      <c r="H116" s="282"/>
      <c r="I116" s="285"/>
      <c r="J116" s="285"/>
      <c r="K116" s="280">
        <f t="shared" ref="K116:M118" si="42">K110/K$113</f>
        <v>0.64912280701754388</v>
      </c>
      <c r="L116" s="280">
        <f t="shared" si="42"/>
        <v>0.65308893414799729</v>
      </c>
      <c r="M116" s="280">
        <f t="shared" si="42"/>
        <v>0.64756890678228551</v>
      </c>
      <c r="O116" s="280">
        <f t="shared" ref="O116:Q118" si="43">O110/O$113</f>
        <v>0.63570229434806935</v>
      </c>
      <c r="P116" s="280">
        <f t="shared" si="43"/>
        <v>0.64325618515562655</v>
      </c>
      <c r="Q116" s="280">
        <f t="shared" si="43"/>
        <v>0.66339307635649403</v>
      </c>
      <c r="R116" s="223"/>
      <c r="S116" s="223"/>
      <c r="T116" s="223"/>
      <c r="U116" s="223"/>
      <c r="V116" s="223"/>
      <c r="W116" s="223"/>
      <c r="X116" s="223"/>
      <c r="Y116" s="223"/>
      <c r="Z116" s="223"/>
      <c r="AA116" s="223"/>
      <c r="AB116" s="223"/>
      <c r="AC116" s="223"/>
      <c r="AD116" s="223"/>
      <c r="AE116" s="223"/>
      <c r="AF116" s="223"/>
      <c r="AG116" s="223"/>
      <c r="AH116" s="223"/>
    </row>
    <row r="117" spans="4:34" ht="15.75">
      <c r="D117" s="223" t="str">
        <f>D104</f>
        <v>tef</v>
      </c>
      <c r="E117" s="282"/>
      <c r="F117" s="282"/>
      <c r="G117" s="282"/>
      <c r="H117" s="282"/>
      <c r="I117" s="285"/>
      <c r="J117" s="285"/>
      <c r="K117" s="280">
        <f t="shared" si="42"/>
        <v>0.26666666666666666</v>
      </c>
      <c r="L117" s="280">
        <f t="shared" si="42"/>
        <v>0.25627970128988459</v>
      </c>
      <c r="M117" s="280">
        <f t="shared" si="42"/>
        <v>0.25921337875503253</v>
      </c>
      <c r="O117" s="280">
        <f t="shared" si="43"/>
        <v>0</v>
      </c>
      <c r="P117" s="280">
        <f t="shared" si="43"/>
        <v>0.25804735301942006</v>
      </c>
      <c r="Q117" s="280">
        <f t="shared" si="43"/>
        <v>0.24453719616989933</v>
      </c>
      <c r="R117" s="223"/>
      <c r="S117" s="223"/>
      <c r="T117" s="223"/>
      <c r="U117" s="223"/>
      <c r="V117" s="223"/>
      <c r="W117" s="223"/>
      <c r="X117" s="223"/>
      <c r="Y117" s="223"/>
      <c r="Z117" s="223"/>
      <c r="AA117" s="223"/>
      <c r="AB117" s="223"/>
      <c r="AC117" s="223"/>
      <c r="AD117" s="223"/>
      <c r="AE117" s="223"/>
      <c r="AF117" s="223"/>
      <c r="AG117" s="223"/>
      <c r="AH117" s="223"/>
    </row>
    <row r="118" spans="4:34" ht="15.75">
      <c r="D118" s="225" t="str">
        <f>D105</f>
        <v>tigo</v>
      </c>
      <c r="E118" s="270"/>
      <c r="F118" s="270"/>
      <c r="G118" s="270"/>
      <c r="H118" s="270"/>
      <c r="I118" s="270"/>
      <c r="J118" s="270"/>
      <c r="K118" s="229">
        <f t="shared" si="42"/>
        <v>8.4210526315789472E-2</v>
      </c>
      <c r="L118" s="229">
        <f t="shared" si="42"/>
        <v>9.0631364562118122E-2</v>
      </c>
      <c r="M118" s="229">
        <f t="shared" si="42"/>
        <v>9.3217714462681942E-2</v>
      </c>
      <c r="O118" s="229">
        <f t="shared" si="43"/>
        <v>0</v>
      </c>
      <c r="P118" s="229">
        <f t="shared" si="43"/>
        <v>9.8696461824953452E-2</v>
      </c>
      <c r="Q118" s="229">
        <f t="shared" si="43"/>
        <v>9.2069727473606672E-2</v>
      </c>
      <c r="R118" s="223"/>
      <c r="S118" s="223"/>
      <c r="T118" s="223"/>
      <c r="U118" s="223"/>
      <c r="V118" s="223"/>
      <c r="W118" s="223"/>
      <c r="X118" s="223"/>
      <c r="Y118" s="223"/>
      <c r="Z118" s="223"/>
      <c r="AA118" s="223"/>
      <c r="AB118" s="223"/>
      <c r="AC118" s="223"/>
      <c r="AD118" s="223"/>
      <c r="AE118" s="223"/>
      <c r="AF118" s="223"/>
      <c r="AG118" s="223"/>
      <c r="AH118" s="223"/>
    </row>
    <row r="119" spans="4:34" ht="15.75">
      <c r="D119" s="223" t="s">
        <v>1946</v>
      </c>
      <c r="E119" s="228"/>
      <c r="F119" s="228"/>
      <c r="G119" s="228"/>
      <c r="H119" s="228"/>
      <c r="I119" s="228"/>
      <c r="J119" s="228"/>
      <c r="K119" s="280"/>
      <c r="L119" s="228">
        <f t="shared" ref="L119:M121" si="44">(L110-K110)/(L$113-K$113)</f>
        <v>0.77083333333333337</v>
      </c>
      <c r="M119" s="228">
        <f t="shared" si="44"/>
        <v>0.59010600706713778</v>
      </c>
      <c r="O119" s="228">
        <f>(O110-M110)/(O$113-M$113)</f>
        <v>0.52463768115942033</v>
      </c>
      <c r="P119" s="228">
        <f t="shared" ref="P119:Q121" si="45">(P110-O110)/(P$113-O$113)</f>
        <v>0.78918918918918923</v>
      </c>
      <c r="Q119" s="228">
        <f t="shared" si="45"/>
        <v>0.90445859872611467</v>
      </c>
      <c r="R119" s="223"/>
      <c r="S119" s="223"/>
      <c r="T119" s="223"/>
      <c r="U119" s="223"/>
      <c r="V119" s="223"/>
      <c r="W119" s="223"/>
      <c r="X119" s="223"/>
      <c r="Y119" s="223"/>
      <c r="Z119" s="223"/>
      <c r="AA119" s="223"/>
      <c r="AB119" s="223"/>
      <c r="AC119" s="223"/>
      <c r="AD119" s="223"/>
      <c r="AE119" s="223"/>
      <c r="AF119" s="223"/>
      <c r="AG119" s="223"/>
      <c r="AH119" s="223"/>
    </row>
    <row r="120" spans="4:34" ht="15.75">
      <c r="D120" s="223" t="s">
        <v>1947</v>
      </c>
      <c r="E120" s="228"/>
      <c r="F120" s="228"/>
      <c r="G120" s="228"/>
      <c r="H120" s="228"/>
      <c r="I120" s="228"/>
      <c r="J120" s="228"/>
      <c r="K120" s="280"/>
      <c r="L120" s="228">
        <f t="shared" si="44"/>
        <v>-5.2083333333333336E-2</v>
      </c>
      <c r="M120" s="228">
        <f t="shared" si="44"/>
        <v>0.28975265017667845</v>
      </c>
      <c r="O120" s="228">
        <f>(O111-M111)/(O$113-M$113)</f>
        <v>-2.4260869565217393</v>
      </c>
      <c r="P120" s="228">
        <f t="shared" si="45"/>
        <v>5.243243243243243</v>
      </c>
      <c r="Q120" s="228">
        <f t="shared" si="45"/>
        <v>8.2802547770700632E-2</v>
      </c>
      <c r="R120" s="223"/>
      <c r="S120" s="223"/>
      <c r="T120" s="223"/>
      <c r="U120" s="223"/>
      <c r="V120" s="223"/>
      <c r="W120" s="223"/>
      <c r="X120" s="223"/>
      <c r="Y120" s="223"/>
      <c r="Z120" s="223"/>
      <c r="AA120" s="223"/>
      <c r="AB120" s="223"/>
      <c r="AC120" s="223"/>
      <c r="AD120" s="223"/>
      <c r="AE120" s="223"/>
      <c r="AF120" s="223"/>
      <c r="AG120" s="223"/>
      <c r="AH120" s="223"/>
    </row>
    <row r="121" spans="4:34" ht="15.75">
      <c r="D121" s="223" t="s">
        <v>429</v>
      </c>
      <c r="E121" s="228"/>
      <c r="F121" s="228"/>
      <c r="G121" s="228"/>
      <c r="H121" s="228"/>
      <c r="I121" s="228"/>
      <c r="J121" s="228"/>
      <c r="K121" s="228"/>
      <c r="L121" s="228">
        <f t="shared" si="44"/>
        <v>0.28125</v>
      </c>
      <c r="M121" s="228">
        <f t="shared" si="44"/>
        <v>0.12014134275618374</v>
      </c>
      <c r="O121" s="228">
        <f>(O112-M112)/(O$113-M$113)</f>
        <v>-0.87246376811594206</v>
      </c>
      <c r="P121" s="228">
        <f t="shared" si="45"/>
        <v>2.0054054054054054</v>
      </c>
      <c r="Q121" s="228">
        <f t="shared" si="45"/>
        <v>1.2738853503184714E-2</v>
      </c>
      <c r="R121" s="223"/>
      <c r="S121" s="223"/>
      <c r="T121" s="223"/>
      <c r="U121" s="223"/>
      <c r="V121" s="223"/>
      <c r="W121" s="223"/>
      <c r="X121" s="223"/>
      <c r="Y121" s="223"/>
      <c r="Z121" s="223"/>
      <c r="AA121" s="223"/>
      <c r="AB121" s="223"/>
      <c r="AC121" s="223"/>
      <c r="AD121" s="223"/>
      <c r="AE121" s="223"/>
      <c r="AF121" s="223"/>
      <c r="AG121" s="223"/>
      <c r="AH121" s="223"/>
    </row>
    <row r="122" spans="4:34" ht="15.75">
      <c r="D122" s="223"/>
      <c r="E122" s="228"/>
      <c r="F122" s="228"/>
      <c r="G122" s="228"/>
      <c r="H122" s="228"/>
      <c r="I122" s="228"/>
      <c r="J122" s="228"/>
      <c r="K122" s="228"/>
      <c r="L122" s="228"/>
      <c r="M122" s="228"/>
      <c r="N122" s="228"/>
      <c r="O122" s="228"/>
      <c r="P122" s="223"/>
      <c r="Q122" s="223"/>
      <c r="R122" s="223"/>
      <c r="S122" s="223"/>
      <c r="T122" s="223"/>
      <c r="U122" s="223"/>
      <c r="V122" s="223"/>
      <c r="W122" s="223"/>
      <c r="X122" s="223"/>
      <c r="Y122" s="223"/>
      <c r="Z122" s="223"/>
      <c r="AA122" s="223"/>
      <c r="AB122" s="223"/>
      <c r="AC122" s="223"/>
      <c r="AD122" s="223"/>
      <c r="AE122" s="223"/>
      <c r="AF122" s="223"/>
      <c r="AG122" s="223"/>
      <c r="AH122" s="223"/>
    </row>
    <row r="123" spans="4:34" ht="15.75">
      <c r="D123" s="223"/>
      <c r="E123" s="228"/>
      <c r="F123" s="228"/>
      <c r="G123" s="228"/>
      <c r="H123" s="228"/>
      <c r="J123" s="228"/>
      <c r="K123" s="284" t="str">
        <f t="shared" ref="K123:Q123" si="46">K95</f>
        <v>Q2 07</v>
      </c>
      <c r="L123" s="284" t="str">
        <f t="shared" si="46"/>
        <v>Q3 07</v>
      </c>
      <c r="M123" s="284" t="str">
        <f t="shared" si="46"/>
        <v>Q4 07</v>
      </c>
      <c r="N123" s="284" t="str">
        <f t="shared" si="46"/>
        <v>Q1 08</v>
      </c>
      <c r="O123" s="284" t="str">
        <f t="shared" si="46"/>
        <v>Q2 08</v>
      </c>
      <c r="P123" s="284" t="str">
        <f t="shared" si="46"/>
        <v>Q3 08</v>
      </c>
      <c r="Q123" s="284" t="str">
        <f t="shared" si="46"/>
        <v>Q4 08</v>
      </c>
      <c r="R123" s="223"/>
      <c r="S123" s="223"/>
      <c r="T123" s="223"/>
      <c r="U123" s="223"/>
      <c r="V123" s="223"/>
      <c r="W123" s="223"/>
      <c r="X123" s="223"/>
      <c r="Y123" s="223"/>
      <c r="Z123" s="223"/>
      <c r="AA123" s="223"/>
      <c r="AB123" s="223"/>
      <c r="AC123" s="223"/>
      <c r="AD123" s="223"/>
      <c r="AE123" s="223"/>
      <c r="AF123" s="223"/>
      <c r="AG123" s="223"/>
      <c r="AH123" s="223"/>
    </row>
    <row r="124" spans="4:34" ht="15.75">
      <c r="D124" s="223"/>
      <c r="E124" s="228"/>
      <c r="F124" s="228"/>
      <c r="G124" s="228"/>
      <c r="H124" s="228"/>
      <c r="J124" s="228" t="s">
        <v>567</v>
      </c>
      <c r="K124" s="228">
        <f t="shared" ref="K124:P124" si="47">100%-K125-K126</f>
        <v>0.77952000882996153</v>
      </c>
      <c r="L124" s="228">
        <f t="shared" si="47"/>
        <v>0.81161635269600285</v>
      </c>
      <c r="M124" s="228">
        <f t="shared" si="47"/>
        <v>0.49784030594549605</v>
      </c>
      <c r="N124" s="228">
        <f t="shared" si="47"/>
        <v>0.5415669701442456</v>
      </c>
      <c r="O124" s="228">
        <f t="shared" si="47"/>
        <v>0.57020593741642145</v>
      </c>
      <c r="P124" s="228">
        <f t="shared" si="47"/>
        <v>0.76587749210879663</v>
      </c>
      <c r="Q124" s="228">
        <f>Q119</f>
        <v>0.90445859872611467</v>
      </c>
      <c r="R124" s="223"/>
      <c r="S124" s="223"/>
      <c r="T124" s="223"/>
      <c r="U124" s="223"/>
      <c r="V124" s="223"/>
      <c r="W124" s="223"/>
      <c r="X124" s="223"/>
      <c r="Y124" s="223"/>
      <c r="Z124" s="223"/>
      <c r="AA124" s="223"/>
      <c r="AB124" s="223"/>
      <c r="AC124" s="223"/>
      <c r="AD124" s="223"/>
      <c r="AE124" s="223"/>
      <c r="AF124" s="223"/>
      <c r="AG124" s="223"/>
      <c r="AH124" s="223"/>
    </row>
    <row r="125" spans="4:34" ht="15.75">
      <c r="D125" s="223"/>
      <c r="E125" s="228"/>
      <c r="F125" s="228"/>
      <c r="G125" s="228"/>
      <c r="H125" s="228"/>
      <c r="J125" s="228" t="s">
        <v>1943</v>
      </c>
      <c r="K125" s="228">
        <f t="shared" ref="K125:P125" si="48">(K97-J97)/(K99-J99)</f>
        <v>9.2438655914349341E-2</v>
      </c>
      <c r="L125" s="228">
        <f t="shared" si="48"/>
        <v>-7.5314251608560923E-2</v>
      </c>
      <c r="M125" s="228">
        <f t="shared" si="48"/>
        <v>0.37883753826743338</v>
      </c>
      <c r="N125" s="228">
        <f t="shared" si="48"/>
        <v>0.26055237102657602</v>
      </c>
      <c r="O125" s="228">
        <f t="shared" si="48"/>
        <v>0.32147633056967101</v>
      </c>
      <c r="P125" s="228">
        <f t="shared" si="48"/>
        <v>0.22560228332916107</v>
      </c>
      <c r="Q125" s="228">
        <f>Q120</f>
        <v>8.2802547770700632E-2</v>
      </c>
      <c r="R125" s="223"/>
      <c r="S125" s="223"/>
      <c r="T125" s="223"/>
      <c r="U125" s="223"/>
      <c r="V125" s="223"/>
      <c r="W125" s="223"/>
      <c r="X125" s="223"/>
      <c r="Y125" s="223"/>
      <c r="Z125" s="223"/>
      <c r="AA125" s="223"/>
      <c r="AB125" s="223"/>
      <c r="AC125" s="223"/>
      <c r="AD125" s="223"/>
      <c r="AE125" s="223"/>
      <c r="AF125" s="223"/>
      <c r="AG125" s="223"/>
      <c r="AH125" s="223"/>
    </row>
    <row r="126" spans="4:34" ht="15.75">
      <c r="D126" s="223"/>
      <c r="E126" s="228"/>
      <c r="F126" s="228"/>
      <c r="G126" s="228"/>
      <c r="H126" s="228"/>
      <c r="J126" s="228" t="s">
        <v>568</v>
      </c>
      <c r="K126" s="228">
        <f t="shared" ref="K126:P126" si="49">K106</f>
        <v>0.12804133525568917</v>
      </c>
      <c r="L126" s="228">
        <f t="shared" si="49"/>
        <v>0.26369789891255813</v>
      </c>
      <c r="M126" s="228">
        <f t="shared" si="49"/>
        <v>0.12332215578707056</v>
      </c>
      <c r="N126" s="228">
        <f t="shared" si="49"/>
        <v>0.19788065882917835</v>
      </c>
      <c r="O126" s="228">
        <f t="shared" si="49"/>
        <v>0.10831773201390746</v>
      </c>
      <c r="P126" s="228">
        <f t="shared" si="49"/>
        <v>8.5202245620422477E-3</v>
      </c>
      <c r="Q126" s="228">
        <f>Q121</f>
        <v>1.2738853503184714E-2</v>
      </c>
      <c r="R126" s="223"/>
      <c r="S126" s="223"/>
      <c r="T126" s="223"/>
      <c r="U126" s="223"/>
      <c r="V126" s="223"/>
      <c r="W126" s="223"/>
      <c r="X126" s="223"/>
      <c r="Y126" s="223"/>
      <c r="Z126" s="223"/>
      <c r="AA126" s="223"/>
      <c r="AB126" s="223"/>
      <c r="AC126" s="223"/>
      <c r="AD126" s="223"/>
      <c r="AE126" s="223"/>
      <c r="AF126" s="223"/>
      <c r="AG126" s="223"/>
      <c r="AH126" s="223"/>
    </row>
    <row r="127" spans="4:34" ht="15.75">
      <c r="D127" s="223"/>
      <c r="E127" s="228"/>
      <c r="F127" s="228"/>
      <c r="G127" s="228"/>
      <c r="H127" s="228"/>
      <c r="I127" s="228"/>
      <c r="J127" s="228"/>
      <c r="K127" s="228"/>
      <c r="L127" s="228"/>
      <c r="M127" s="228"/>
      <c r="N127" s="228"/>
      <c r="O127" s="228"/>
      <c r="P127" s="223"/>
      <c r="Q127" s="223"/>
      <c r="R127" s="223"/>
      <c r="S127" s="223"/>
      <c r="T127" s="223"/>
      <c r="U127" s="223"/>
      <c r="V127" s="223"/>
      <c r="W127" s="223"/>
      <c r="X127" s="223"/>
      <c r="Y127" s="223"/>
      <c r="Z127" s="223"/>
      <c r="AA127" s="223"/>
      <c r="AB127" s="223"/>
      <c r="AC127" s="223"/>
      <c r="AD127" s="223"/>
      <c r="AE127" s="223"/>
      <c r="AF127" s="223"/>
      <c r="AG127" s="223"/>
      <c r="AH127" s="223"/>
    </row>
    <row r="128" spans="4:34" ht="15.75">
      <c r="D128" s="223"/>
      <c r="E128" s="228"/>
      <c r="F128" s="228"/>
      <c r="G128" s="228"/>
      <c r="H128" s="228"/>
      <c r="I128" s="228"/>
      <c r="J128" s="228"/>
      <c r="K128" s="228"/>
      <c r="L128" s="228"/>
      <c r="M128" s="228"/>
      <c r="N128" s="228"/>
      <c r="O128" s="228"/>
      <c r="P128" s="223"/>
      <c r="Q128" s="223"/>
      <c r="R128" s="223"/>
      <c r="S128" s="223"/>
      <c r="T128" s="223"/>
      <c r="U128" s="223"/>
      <c r="V128" s="223"/>
      <c r="W128" s="223"/>
      <c r="X128" s="223"/>
      <c r="Y128" s="223"/>
      <c r="Z128" s="223"/>
      <c r="AA128" s="223"/>
      <c r="AB128" s="223"/>
      <c r="AC128" s="223"/>
      <c r="AD128" s="223"/>
      <c r="AE128" s="223"/>
      <c r="AF128" s="223"/>
      <c r="AG128" s="223"/>
      <c r="AH128" s="223"/>
    </row>
    <row r="129" spans="4:34" ht="15.75">
      <c r="D129" s="223"/>
      <c r="E129" s="228"/>
      <c r="F129" s="228"/>
      <c r="G129" s="228"/>
      <c r="H129" s="228"/>
      <c r="I129" s="228"/>
      <c r="J129" s="228"/>
      <c r="K129" s="228"/>
      <c r="L129" s="228"/>
      <c r="M129" s="228"/>
      <c r="N129" s="228"/>
      <c r="O129" s="228"/>
      <c r="P129" s="223"/>
      <c r="Q129" s="223"/>
      <c r="R129" s="223"/>
      <c r="S129" s="223"/>
      <c r="T129" s="223"/>
      <c r="U129" s="223"/>
      <c r="V129" s="223"/>
      <c r="W129" s="223"/>
      <c r="X129" s="223"/>
      <c r="Y129" s="223"/>
      <c r="Z129" s="223"/>
      <c r="AA129" s="223"/>
      <c r="AB129" s="223"/>
      <c r="AC129" s="223"/>
      <c r="AD129" s="223"/>
      <c r="AE129" s="223"/>
      <c r="AF129" s="223"/>
      <c r="AG129" s="223"/>
      <c r="AH129" s="223"/>
    </row>
    <row r="130" spans="4:34" ht="15.75">
      <c r="D130" s="223"/>
      <c r="E130" s="228"/>
      <c r="F130" s="228"/>
      <c r="G130" s="228"/>
      <c r="H130" s="228"/>
      <c r="I130" s="228"/>
      <c r="J130" s="228"/>
      <c r="K130" s="228"/>
      <c r="L130" s="228"/>
      <c r="M130" s="228"/>
      <c r="N130" s="228"/>
      <c r="O130" s="228"/>
      <c r="P130" s="223"/>
      <c r="Q130" s="223"/>
      <c r="R130" s="223"/>
      <c r="S130" s="223"/>
      <c r="T130" s="223"/>
      <c r="U130" s="223"/>
      <c r="V130" s="223"/>
      <c r="W130" s="223"/>
      <c r="X130" s="223"/>
      <c r="Y130" s="223"/>
      <c r="Z130" s="223"/>
      <c r="AA130" s="223"/>
      <c r="AB130" s="223"/>
      <c r="AC130" s="223"/>
      <c r="AD130" s="223"/>
      <c r="AE130" s="223"/>
      <c r="AF130" s="223"/>
      <c r="AG130" s="223"/>
      <c r="AH130" s="223"/>
    </row>
    <row r="131" spans="4:34" ht="15.75">
      <c r="D131" s="223"/>
      <c r="E131" s="228"/>
      <c r="F131" s="228"/>
      <c r="G131" s="228"/>
      <c r="H131" s="228"/>
      <c r="I131" s="228"/>
      <c r="J131" s="228"/>
      <c r="K131" s="228"/>
      <c r="L131" s="228"/>
      <c r="M131" s="228"/>
      <c r="N131" s="228"/>
      <c r="O131" s="228"/>
      <c r="P131" s="223"/>
      <c r="Q131" s="223"/>
      <c r="R131" s="223"/>
      <c r="S131" s="223"/>
      <c r="T131" s="223"/>
      <c r="U131" s="223"/>
      <c r="V131" s="223"/>
      <c r="W131" s="223"/>
      <c r="X131" s="223"/>
      <c r="Y131" s="223"/>
      <c r="Z131" s="223"/>
      <c r="AA131" s="223"/>
      <c r="AB131" s="223"/>
      <c r="AC131" s="223"/>
      <c r="AD131" s="223"/>
      <c r="AE131" s="223"/>
      <c r="AF131" s="223"/>
      <c r="AG131" s="223"/>
      <c r="AH131" s="223"/>
    </row>
    <row r="132" spans="4:34" ht="15.75">
      <c r="D132" s="223"/>
      <c r="E132" s="228"/>
      <c r="F132" s="228"/>
      <c r="G132" s="228"/>
      <c r="H132" s="228"/>
      <c r="I132" s="228"/>
      <c r="J132" s="228"/>
      <c r="K132" s="228"/>
      <c r="L132" s="228"/>
      <c r="M132" s="228"/>
      <c r="N132" s="228"/>
      <c r="O132" s="228"/>
      <c r="P132" s="223"/>
      <c r="Q132" s="223"/>
      <c r="R132" s="223"/>
      <c r="S132" s="223"/>
      <c r="T132" s="223"/>
      <c r="U132" s="223"/>
      <c r="V132" s="223"/>
      <c r="W132" s="223"/>
      <c r="X132" s="223"/>
      <c r="Y132" s="223"/>
      <c r="Z132" s="223"/>
      <c r="AA132" s="223"/>
      <c r="AB132" s="223"/>
      <c r="AC132" s="223"/>
      <c r="AD132" s="223"/>
      <c r="AE132" s="223"/>
      <c r="AF132" s="223"/>
      <c r="AG132" s="223"/>
      <c r="AH132" s="223"/>
    </row>
    <row r="133" spans="4:34" ht="15.75">
      <c r="D133" s="223"/>
      <c r="E133" s="228"/>
      <c r="F133" s="228"/>
      <c r="G133" s="228"/>
      <c r="H133" s="228"/>
      <c r="I133" s="228"/>
      <c r="J133" s="228"/>
      <c r="K133" s="228"/>
      <c r="L133" s="228"/>
      <c r="M133" s="228"/>
      <c r="N133" s="228"/>
      <c r="O133" s="228"/>
      <c r="P133" s="223"/>
      <c r="Q133" s="223"/>
      <c r="R133" s="223"/>
      <c r="S133" s="223"/>
      <c r="T133" s="223"/>
      <c r="U133" s="223"/>
      <c r="V133" s="223"/>
      <c r="W133" s="223"/>
      <c r="X133" s="223"/>
      <c r="Y133" s="223"/>
      <c r="Z133" s="223"/>
      <c r="AA133" s="223"/>
      <c r="AB133" s="223"/>
      <c r="AC133" s="223"/>
      <c r="AD133" s="223"/>
      <c r="AE133" s="223"/>
      <c r="AF133" s="223"/>
      <c r="AG133" s="223"/>
      <c r="AH133" s="223"/>
    </row>
    <row r="134" spans="4:34" ht="15.75">
      <c r="D134" s="223"/>
      <c r="E134" s="228"/>
      <c r="F134" s="228"/>
      <c r="G134" s="228"/>
      <c r="H134" s="228"/>
      <c r="I134" s="228"/>
      <c r="J134" s="228"/>
      <c r="K134" s="228"/>
      <c r="L134" s="228"/>
      <c r="M134" s="228"/>
      <c r="N134" s="228"/>
      <c r="O134" s="228"/>
      <c r="P134" s="223"/>
      <c r="Q134" s="223"/>
      <c r="R134" s="223"/>
      <c r="S134" s="223"/>
      <c r="T134" s="223"/>
      <c r="U134" s="223"/>
      <c r="V134" s="223"/>
      <c r="W134" s="223"/>
      <c r="X134" s="223"/>
      <c r="Y134" s="223"/>
      <c r="Z134" s="223"/>
      <c r="AA134" s="223"/>
      <c r="AB134" s="223"/>
      <c r="AC134" s="223"/>
      <c r="AD134" s="223"/>
      <c r="AE134" s="223"/>
      <c r="AF134" s="223"/>
      <c r="AG134" s="223"/>
      <c r="AH134" s="223"/>
    </row>
    <row r="135" spans="4:34" ht="15.75">
      <c r="D135" s="223"/>
      <c r="E135" s="228"/>
      <c r="F135" s="228"/>
      <c r="G135" s="228"/>
      <c r="H135" s="228"/>
      <c r="I135" s="228"/>
      <c r="J135" s="228"/>
      <c r="K135" s="228"/>
      <c r="L135" s="228"/>
      <c r="M135" s="228"/>
      <c r="N135" s="228"/>
      <c r="O135" s="228"/>
      <c r="P135" s="223"/>
      <c r="Q135" s="223"/>
      <c r="R135" s="223"/>
      <c r="S135" s="223"/>
      <c r="T135" s="223"/>
      <c r="U135" s="223"/>
      <c r="V135" s="223"/>
      <c r="W135" s="223"/>
      <c r="X135" s="223"/>
      <c r="Y135" s="223"/>
      <c r="Z135" s="223"/>
      <c r="AA135" s="223"/>
      <c r="AB135" s="223"/>
      <c r="AC135" s="223"/>
      <c r="AD135" s="223"/>
      <c r="AE135" s="223"/>
      <c r="AF135" s="223"/>
      <c r="AG135" s="223"/>
      <c r="AH135" s="223"/>
    </row>
    <row r="136" spans="4:34" ht="15.75">
      <c r="D136" s="223"/>
      <c r="E136" s="228"/>
      <c r="F136" s="228"/>
      <c r="G136" s="228"/>
      <c r="H136" s="228"/>
      <c r="I136" s="228"/>
      <c r="J136" s="228"/>
      <c r="K136" s="228"/>
      <c r="L136" s="228"/>
      <c r="M136" s="228"/>
      <c r="N136" s="228"/>
      <c r="O136" s="228"/>
      <c r="P136" s="223"/>
      <c r="Q136" s="223"/>
      <c r="R136" s="223"/>
      <c r="S136" s="223"/>
      <c r="T136" s="223"/>
      <c r="U136" s="223"/>
      <c r="V136" s="223"/>
      <c r="W136" s="223"/>
      <c r="X136" s="223"/>
      <c r="Y136" s="223"/>
      <c r="Z136" s="223"/>
      <c r="AA136" s="223"/>
      <c r="AB136" s="223"/>
      <c r="AC136" s="223"/>
      <c r="AD136" s="223"/>
      <c r="AE136" s="223"/>
      <c r="AF136" s="223"/>
      <c r="AG136" s="223"/>
      <c r="AH136" s="223"/>
    </row>
    <row r="137" spans="4:34" ht="15.75">
      <c r="D137" s="223"/>
      <c r="E137" s="228"/>
      <c r="F137" s="228"/>
      <c r="G137" s="228"/>
      <c r="H137" s="228"/>
      <c r="I137" s="228"/>
      <c r="J137" s="228"/>
      <c r="K137" s="228"/>
      <c r="L137" s="228"/>
      <c r="M137" s="228"/>
      <c r="N137" s="228"/>
      <c r="O137" s="228"/>
      <c r="P137" s="223"/>
      <c r="Q137" s="223"/>
      <c r="R137" s="223"/>
      <c r="S137" s="223"/>
      <c r="T137" s="223"/>
      <c r="U137" s="223"/>
      <c r="V137" s="223"/>
      <c r="W137" s="223"/>
      <c r="X137" s="223"/>
      <c r="Y137" s="223"/>
      <c r="Z137" s="223"/>
      <c r="AA137" s="223"/>
      <c r="AB137" s="223"/>
      <c r="AC137" s="223"/>
      <c r="AD137" s="223"/>
      <c r="AE137" s="223"/>
      <c r="AF137" s="223"/>
      <c r="AG137" s="223"/>
      <c r="AH137" s="223"/>
    </row>
    <row r="138" spans="4:34" ht="15.75">
      <c r="D138" s="223"/>
      <c r="E138" s="228"/>
      <c r="F138" s="228"/>
      <c r="G138" s="228"/>
      <c r="H138" s="228"/>
      <c r="I138" s="228"/>
      <c r="J138" s="228"/>
      <c r="K138" s="228"/>
      <c r="L138" s="228"/>
      <c r="M138" s="228"/>
      <c r="N138" s="228"/>
      <c r="O138" s="228"/>
      <c r="P138" s="223"/>
      <c r="Q138" s="223"/>
      <c r="R138" s="223"/>
      <c r="S138" s="223"/>
      <c r="T138" s="223"/>
      <c r="U138" s="223"/>
      <c r="V138" s="223"/>
      <c r="W138" s="223"/>
      <c r="X138" s="223"/>
      <c r="Y138" s="223"/>
      <c r="Z138" s="223"/>
      <c r="AA138" s="223"/>
      <c r="AB138" s="223"/>
      <c r="AC138" s="223"/>
      <c r="AD138" s="223"/>
      <c r="AE138" s="223"/>
      <c r="AF138" s="223"/>
      <c r="AG138" s="223"/>
      <c r="AH138" s="223"/>
    </row>
    <row r="139" spans="4:34" ht="15.75">
      <c r="D139" s="223"/>
      <c r="E139" s="228"/>
      <c r="F139" s="228"/>
      <c r="G139" s="228"/>
      <c r="H139" s="228"/>
      <c r="I139" s="228"/>
      <c r="J139" s="228"/>
      <c r="K139" s="228"/>
      <c r="L139" s="228"/>
      <c r="M139" s="228"/>
      <c r="N139" s="228"/>
      <c r="O139" s="228"/>
      <c r="P139" s="223"/>
      <c r="Q139" s="223"/>
      <c r="R139" s="223"/>
      <c r="S139" s="223"/>
      <c r="T139" s="223"/>
      <c r="U139" s="223"/>
      <c r="V139" s="223"/>
      <c r="W139" s="223"/>
      <c r="X139" s="223"/>
      <c r="Y139" s="223"/>
      <c r="Z139" s="223"/>
      <c r="AA139" s="223"/>
      <c r="AB139" s="223"/>
      <c r="AC139" s="223"/>
      <c r="AD139" s="223"/>
      <c r="AE139" s="223"/>
      <c r="AF139" s="223"/>
      <c r="AG139" s="223"/>
      <c r="AH139" s="223"/>
    </row>
    <row r="140" spans="4:34" ht="15.75">
      <c r="D140" s="223"/>
      <c r="E140" s="228"/>
      <c r="F140" s="228"/>
      <c r="G140" s="228"/>
      <c r="H140" s="228"/>
      <c r="I140" s="228"/>
      <c r="J140" s="228"/>
      <c r="K140" s="228"/>
      <c r="L140" s="228"/>
      <c r="M140" s="228"/>
      <c r="N140" s="228"/>
      <c r="O140" s="228"/>
      <c r="P140" s="223"/>
      <c r="Q140" s="223"/>
      <c r="R140" s="223"/>
      <c r="S140" s="223"/>
      <c r="T140" s="223"/>
      <c r="U140" s="223"/>
      <c r="V140" s="223"/>
      <c r="W140" s="223"/>
      <c r="X140" s="223"/>
      <c r="Y140" s="223"/>
      <c r="Z140" s="223"/>
      <c r="AA140" s="223"/>
      <c r="AB140" s="223"/>
      <c r="AC140" s="223"/>
      <c r="AD140" s="223"/>
      <c r="AE140" s="223"/>
      <c r="AF140" s="223"/>
      <c r="AG140" s="223"/>
      <c r="AH140" s="223"/>
    </row>
    <row r="141" spans="4:34" ht="15.75">
      <c r="D141" s="223"/>
      <c r="E141" s="228"/>
      <c r="F141" s="228"/>
      <c r="G141" s="228"/>
      <c r="H141" s="228"/>
      <c r="I141" s="228"/>
      <c r="J141" s="228"/>
      <c r="K141" s="228"/>
      <c r="L141" s="228"/>
      <c r="M141" s="228"/>
      <c r="N141" s="228"/>
      <c r="O141" s="228"/>
      <c r="P141" s="223"/>
      <c r="Q141" s="223"/>
      <c r="R141" s="223"/>
      <c r="S141" s="223"/>
      <c r="T141" s="223"/>
      <c r="U141" s="223"/>
      <c r="V141" s="223"/>
      <c r="W141" s="223"/>
      <c r="X141" s="223"/>
      <c r="Y141" s="223"/>
      <c r="Z141" s="223"/>
      <c r="AA141" s="223"/>
      <c r="AB141" s="223"/>
      <c r="AC141" s="223"/>
      <c r="AD141" s="223"/>
      <c r="AE141" s="223"/>
      <c r="AF141" s="223"/>
      <c r="AG141" s="223"/>
      <c r="AH141" s="223"/>
    </row>
    <row r="142" spans="4:34" ht="15.75">
      <c r="D142" s="223"/>
      <c r="E142" s="228"/>
      <c r="F142" s="228"/>
      <c r="G142" s="228"/>
      <c r="H142" s="228"/>
      <c r="I142" s="228"/>
      <c r="J142" s="228"/>
      <c r="K142" s="228"/>
      <c r="L142" s="228"/>
      <c r="M142" s="228"/>
      <c r="N142" s="228"/>
      <c r="O142" s="228"/>
      <c r="P142" s="223"/>
      <c r="Q142" s="223"/>
      <c r="R142" s="223"/>
      <c r="S142" s="223"/>
      <c r="T142" s="223"/>
      <c r="U142" s="223"/>
      <c r="V142" s="223"/>
      <c r="W142" s="223"/>
      <c r="X142" s="223"/>
      <c r="Y142" s="223"/>
      <c r="Z142" s="223"/>
      <c r="AA142" s="223"/>
      <c r="AB142" s="223"/>
      <c r="AC142" s="223"/>
      <c r="AD142" s="223"/>
      <c r="AE142" s="223"/>
      <c r="AF142" s="223"/>
      <c r="AG142" s="223"/>
      <c r="AH142" s="223"/>
    </row>
    <row r="143" spans="4:34" ht="15.75">
      <c r="D143" s="223"/>
      <c r="E143" s="228"/>
      <c r="F143" s="228"/>
      <c r="G143" s="228"/>
      <c r="H143" s="228"/>
      <c r="I143" s="228"/>
      <c r="J143" s="228"/>
      <c r="K143" s="228"/>
      <c r="L143" s="228"/>
      <c r="M143" s="228"/>
      <c r="N143" s="228"/>
      <c r="O143" s="228"/>
      <c r="P143" s="223"/>
      <c r="Q143" s="223"/>
      <c r="R143" s="223"/>
      <c r="S143" s="223"/>
      <c r="T143" s="223"/>
      <c r="U143" s="223"/>
      <c r="V143" s="223"/>
      <c r="W143" s="223"/>
      <c r="X143" s="223"/>
      <c r="Y143" s="223"/>
      <c r="Z143" s="223"/>
      <c r="AA143" s="223"/>
      <c r="AB143" s="223"/>
      <c r="AC143" s="223"/>
      <c r="AD143" s="223"/>
      <c r="AE143" s="223"/>
      <c r="AF143" s="223"/>
      <c r="AG143" s="223"/>
      <c r="AH143" s="223"/>
    </row>
    <row r="144" spans="4:34" ht="15.75">
      <c r="D144" s="223"/>
      <c r="E144" s="228"/>
      <c r="F144" s="228"/>
      <c r="G144" s="228"/>
      <c r="H144" s="228"/>
      <c r="I144" s="228"/>
      <c r="J144" s="228"/>
      <c r="K144" s="228"/>
      <c r="L144" s="228"/>
      <c r="M144" s="228"/>
      <c r="N144" s="228"/>
      <c r="O144" s="228"/>
      <c r="P144" s="223"/>
      <c r="Q144" s="223"/>
      <c r="R144" s="223"/>
      <c r="S144" s="223"/>
      <c r="T144" s="223"/>
      <c r="U144" s="223"/>
      <c r="V144" s="223"/>
      <c r="W144" s="223"/>
      <c r="X144" s="223"/>
      <c r="Y144" s="223"/>
      <c r="Z144" s="223"/>
      <c r="AA144" s="223"/>
      <c r="AB144" s="223"/>
      <c r="AC144" s="223"/>
      <c r="AD144" s="223"/>
      <c r="AE144" s="223"/>
      <c r="AF144" s="223"/>
      <c r="AG144" s="223"/>
      <c r="AH144" s="223"/>
    </row>
    <row r="145" spans="4:41" ht="15.75">
      <c r="D145" s="223"/>
      <c r="E145" s="228"/>
      <c r="F145" s="228"/>
      <c r="G145" s="228"/>
      <c r="H145" s="228"/>
      <c r="I145" s="228"/>
      <c r="J145" s="228"/>
      <c r="K145" s="228"/>
      <c r="L145" s="228"/>
      <c r="M145" s="228"/>
      <c r="N145" s="228"/>
      <c r="O145" s="228"/>
      <c r="P145" s="223"/>
      <c r="Q145" s="223"/>
      <c r="R145" s="223"/>
      <c r="S145" s="223"/>
      <c r="T145" s="223"/>
      <c r="U145" s="223"/>
      <c r="V145" s="223"/>
      <c r="W145" s="223"/>
      <c r="X145" s="223"/>
      <c r="Y145" s="223"/>
      <c r="Z145" s="223"/>
      <c r="AA145" s="223"/>
      <c r="AB145" s="223"/>
      <c r="AC145" s="223"/>
      <c r="AD145" s="223"/>
      <c r="AE145" s="223"/>
      <c r="AF145" s="223"/>
      <c r="AG145" s="223"/>
      <c r="AH145" s="223"/>
    </row>
    <row r="146" spans="4:41" ht="15.75">
      <c r="D146" s="223"/>
      <c r="E146" s="228"/>
      <c r="F146" s="228"/>
      <c r="G146" s="228"/>
      <c r="H146" s="228"/>
      <c r="I146" s="228"/>
      <c r="J146" s="228"/>
      <c r="K146" s="228"/>
      <c r="L146" s="228"/>
      <c r="M146" s="228"/>
      <c r="N146" s="228"/>
      <c r="O146" s="228"/>
      <c r="P146" s="223"/>
      <c r="Q146" s="223"/>
      <c r="R146" s="223"/>
      <c r="S146" s="223"/>
      <c r="T146" s="223"/>
      <c r="U146" s="223"/>
      <c r="V146" s="223"/>
      <c r="W146" s="223"/>
      <c r="X146" s="223"/>
      <c r="Y146" s="223"/>
      <c r="Z146" s="223"/>
      <c r="AA146" s="223"/>
      <c r="AB146" s="223"/>
      <c r="AC146" s="223"/>
      <c r="AD146" s="223"/>
      <c r="AE146" s="223"/>
      <c r="AF146" s="223"/>
      <c r="AG146" s="223"/>
      <c r="AH146" s="223"/>
    </row>
    <row r="147" spans="4:41" ht="15.75">
      <c r="D147" s="223"/>
      <c r="E147" s="228"/>
      <c r="F147" s="228"/>
      <c r="G147" s="228"/>
      <c r="H147" s="228"/>
      <c r="I147" s="228"/>
      <c r="J147" s="228"/>
      <c r="K147" s="228"/>
      <c r="L147" s="228"/>
      <c r="M147" s="228"/>
      <c r="N147" s="228"/>
      <c r="O147" s="228"/>
      <c r="P147" s="223"/>
      <c r="Q147" s="223"/>
      <c r="R147" s="223"/>
      <c r="S147" s="223"/>
      <c r="T147" s="223"/>
      <c r="U147" s="223"/>
      <c r="V147" s="223"/>
      <c r="W147" s="223"/>
      <c r="X147" s="223"/>
      <c r="Y147" s="223"/>
      <c r="Z147" s="223"/>
      <c r="AA147" s="223"/>
      <c r="AB147" s="223"/>
      <c r="AC147" s="223"/>
      <c r="AD147" s="223"/>
      <c r="AE147" s="223"/>
      <c r="AF147" s="223"/>
      <c r="AG147" s="223"/>
      <c r="AH147" s="223"/>
    </row>
    <row r="148" spans="4:41" ht="15.75">
      <c r="D148" s="223" t="s">
        <v>1823</v>
      </c>
      <c r="E148" s="228"/>
      <c r="F148" s="228"/>
      <c r="G148" s="228"/>
      <c r="H148" s="228"/>
      <c r="I148" s="228"/>
      <c r="J148" s="228"/>
      <c r="K148" s="228"/>
      <c r="L148" s="228"/>
      <c r="M148" s="228"/>
      <c r="N148" s="228"/>
      <c r="O148" s="228"/>
      <c r="P148" s="223"/>
      <c r="Q148" s="223"/>
      <c r="R148" s="223"/>
      <c r="S148" s="223"/>
      <c r="T148" s="223"/>
      <c r="U148" s="223"/>
      <c r="V148" s="223"/>
      <c r="W148" s="223"/>
      <c r="X148" s="223"/>
      <c r="Y148" s="223"/>
      <c r="Z148" s="223"/>
      <c r="AA148" s="223"/>
      <c r="AB148" s="223"/>
      <c r="AC148" s="223"/>
      <c r="AD148" s="223"/>
      <c r="AE148" s="223"/>
      <c r="AF148" s="223"/>
      <c r="AG148" s="223"/>
      <c r="AH148" s="223"/>
    </row>
    <row r="149" spans="4:41" ht="15.75">
      <c r="D149" s="286" t="s">
        <v>430</v>
      </c>
      <c r="E149" s="286"/>
      <c r="F149" s="286"/>
      <c r="G149" s="286"/>
      <c r="H149" s="286"/>
      <c r="I149" s="286"/>
      <c r="J149" s="286"/>
      <c r="K149" s="286"/>
      <c r="L149" s="286"/>
      <c r="M149" s="286"/>
      <c r="N149" s="286"/>
      <c r="O149" s="286"/>
      <c r="P149" s="286"/>
      <c r="Q149" s="286"/>
      <c r="R149" s="286"/>
      <c r="S149" s="286"/>
      <c r="T149" s="286"/>
      <c r="U149" s="286"/>
      <c r="V149" s="286"/>
      <c r="W149" s="223"/>
      <c r="X149" s="223"/>
      <c r="Y149" s="223"/>
      <c r="Z149" s="223"/>
      <c r="AA149" s="223"/>
      <c r="AB149" s="223"/>
      <c r="AC149" s="223"/>
      <c r="AD149" s="223"/>
      <c r="AE149" s="223"/>
      <c r="AF149" s="223"/>
      <c r="AG149" s="223"/>
      <c r="AH149" s="223"/>
    </row>
    <row r="150" spans="4:41" ht="15.75">
      <c r="D150" s="223" t="s">
        <v>431</v>
      </c>
      <c r="E150" s="228"/>
      <c r="F150" s="228"/>
      <c r="G150" s="228"/>
      <c r="H150" s="228"/>
      <c r="I150" s="228"/>
      <c r="J150" s="223" t="s">
        <v>432</v>
      </c>
      <c r="K150" s="228"/>
      <c r="L150" s="228"/>
      <c r="M150" s="228"/>
      <c r="N150" s="228"/>
      <c r="O150" s="228"/>
      <c r="P150" s="223"/>
      <c r="Q150" s="223"/>
      <c r="R150" s="223"/>
      <c r="S150" s="223"/>
      <c r="T150" s="223"/>
      <c r="U150" s="223"/>
      <c r="V150" s="223"/>
      <c r="W150" s="223"/>
      <c r="X150" s="223"/>
      <c r="Y150" s="223"/>
      <c r="Z150" s="223"/>
      <c r="AA150" s="223"/>
      <c r="AB150" s="223"/>
      <c r="AC150" s="223"/>
      <c r="AD150" s="223"/>
      <c r="AE150" s="223"/>
      <c r="AF150" s="223"/>
      <c r="AG150" s="223"/>
      <c r="AH150" s="223"/>
    </row>
    <row r="151" spans="4:41" ht="15.75">
      <c r="D151" s="223"/>
      <c r="E151" s="228"/>
      <c r="F151" s="228"/>
      <c r="G151" s="228"/>
      <c r="H151" s="228"/>
      <c r="I151" s="228"/>
      <c r="J151" s="223"/>
      <c r="K151" s="228"/>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row>
    <row r="152" spans="4:41" ht="15.75">
      <c r="D152" s="223"/>
      <c r="E152" s="223"/>
      <c r="F152" s="228"/>
      <c r="G152" s="228"/>
      <c r="H152" s="287"/>
      <c r="I152" s="287" t="s">
        <v>2186</v>
      </c>
      <c r="J152" s="287" t="s">
        <v>2186</v>
      </c>
      <c r="K152" s="287" t="s">
        <v>2186</v>
      </c>
      <c r="L152" s="287" t="s">
        <v>2186</v>
      </c>
      <c r="M152" s="287" t="s">
        <v>2186</v>
      </c>
      <c r="N152" s="287"/>
      <c r="O152" s="287"/>
      <c r="P152" s="287" t="s">
        <v>2186</v>
      </c>
      <c r="Q152" s="287" t="s">
        <v>2186</v>
      </c>
      <c r="R152" s="287" t="s">
        <v>2186</v>
      </c>
      <c r="S152" s="287" t="s">
        <v>2186</v>
      </c>
      <c r="T152" s="287" t="s">
        <v>2186</v>
      </c>
      <c r="U152" s="287"/>
      <c r="V152" s="287"/>
      <c r="W152" s="287" t="s">
        <v>2186</v>
      </c>
      <c r="X152" s="287" t="s">
        <v>2186</v>
      </c>
      <c r="Y152" s="287" t="s">
        <v>2186</v>
      </c>
      <c r="Z152" s="287"/>
      <c r="AA152" s="287" t="s">
        <v>2186</v>
      </c>
      <c r="AB152" s="287" t="s">
        <v>2186</v>
      </c>
      <c r="AC152" s="287" t="s">
        <v>2186</v>
      </c>
      <c r="AD152" s="287" t="s">
        <v>2186</v>
      </c>
      <c r="AE152" s="287" t="s">
        <v>2186</v>
      </c>
      <c r="AF152" s="223"/>
      <c r="AG152" s="223"/>
      <c r="AH152" s="223"/>
    </row>
    <row r="153" spans="4:41" ht="15.75">
      <c r="D153" s="223"/>
      <c r="E153" s="223"/>
      <c r="F153" s="228"/>
      <c r="G153" s="228"/>
      <c r="H153" s="287"/>
      <c r="I153" s="228"/>
      <c r="J153" s="287" t="s">
        <v>2184</v>
      </c>
      <c r="K153" s="287" t="s">
        <v>2184</v>
      </c>
      <c r="L153" s="287" t="s">
        <v>2184</v>
      </c>
      <c r="M153" s="287" t="s">
        <v>2184</v>
      </c>
      <c r="N153" s="287"/>
      <c r="O153" s="287"/>
      <c r="P153" s="287" t="s">
        <v>2184</v>
      </c>
      <c r="Q153" s="287" t="s">
        <v>2184</v>
      </c>
      <c r="R153" s="287" t="s">
        <v>2184</v>
      </c>
      <c r="S153" s="287" t="s">
        <v>2184</v>
      </c>
      <c r="T153" s="287" t="s">
        <v>2184</v>
      </c>
      <c r="U153" s="287"/>
      <c r="V153" s="287"/>
      <c r="W153" s="287" t="s">
        <v>2184</v>
      </c>
      <c r="X153" s="287" t="s">
        <v>2184</v>
      </c>
      <c r="Y153" s="287" t="s">
        <v>2184</v>
      </c>
      <c r="Z153" s="287"/>
      <c r="AA153" s="287" t="s">
        <v>2184</v>
      </c>
      <c r="AB153" s="287" t="s">
        <v>2184</v>
      </c>
      <c r="AC153" s="287" t="s">
        <v>2184</v>
      </c>
      <c r="AD153" s="287" t="s">
        <v>2184</v>
      </c>
      <c r="AE153" s="287" t="s">
        <v>2184</v>
      </c>
      <c r="AF153" s="223"/>
      <c r="AG153" s="223"/>
      <c r="AH153" s="223"/>
    </row>
    <row r="154" spans="4:41" ht="15.75">
      <c r="D154" s="223"/>
      <c r="E154" s="223"/>
      <c r="F154" s="228"/>
      <c r="G154" s="228"/>
      <c r="H154" s="287"/>
      <c r="I154" s="228"/>
      <c r="J154" s="287"/>
      <c r="K154" s="228"/>
      <c r="L154" s="287"/>
      <c r="M154" s="287" t="s">
        <v>2185</v>
      </c>
      <c r="N154" s="287"/>
      <c r="O154" s="287"/>
      <c r="P154" s="287" t="s">
        <v>2185</v>
      </c>
      <c r="Q154" s="287" t="s">
        <v>2185</v>
      </c>
      <c r="R154" s="287" t="s">
        <v>2185</v>
      </c>
      <c r="S154" s="287" t="s">
        <v>2185</v>
      </c>
      <c r="T154" s="287" t="s">
        <v>2185</v>
      </c>
      <c r="U154" s="287"/>
      <c r="V154" s="287"/>
      <c r="W154" s="287" t="s">
        <v>2185</v>
      </c>
      <c r="X154" s="287" t="s">
        <v>2185</v>
      </c>
      <c r="Y154" s="287" t="s">
        <v>2185</v>
      </c>
      <c r="Z154" s="287"/>
      <c r="AA154" s="287" t="s">
        <v>2185</v>
      </c>
      <c r="AB154" s="287" t="s">
        <v>2185</v>
      </c>
      <c r="AC154" s="287" t="s">
        <v>2185</v>
      </c>
      <c r="AD154" s="287" t="s">
        <v>2185</v>
      </c>
      <c r="AE154" s="287" t="s">
        <v>2185</v>
      </c>
      <c r="AF154" s="223"/>
      <c r="AG154" s="223"/>
      <c r="AH154" s="223"/>
    </row>
    <row r="155" spans="4:41" ht="15.75">
      <c r="D155" s="223"/>
      <c r="E155" s="223"/>
      <c r="F155" s="223"/>
      <c r="G155" s="223"/>
      <c r="H155" s="223"/>
      <c r="I155" s="223"/>
      <c r="J155" s="223"/>
      <c r="K155" s="223"/>
      <c r="L155" s="287"/>
      <c r="M155" s="288"/>
      <c r="N155" s="288"/>
      <c r="O155" s="288"/>
      <c r="P155" s="223"/>
      <c r="Q155" s="223"/>
      <c r="R155" s="287" t="s">
        <v>2187</v>
      </c>
      <c r="S155" s="287" t="s">
        <v>2187</v>
      </c>
      <c r="T155" s="287" t="s">
        <v>2187</v>
      </c>
      <c r="U155" s="287"/>
      <c r="V155" s="287"/>
      <c r="W155" s="287" t="s">
        <v>2187</v>
      </c>
      <c r="X155" s="287" t="s">
        <v>2187</v>
      </c>
      <c r="Y155" s="287" t="s">
        <v>2187</v>
      </c>
      <c r="Z155" s="287"/>
      <c r="AA155" s="287" t="s">
        <v>2187</v>
      </c>
      <c r="AB155" s="287" t="s">
        <v>2187</v>
      </c>
      <c r="AC155" s="287" t="s">
        <v>2187</v>
      </c>
      <c r="AD155" s="287" t="s">
        <v>2187</v>
      </c>
      <c r="AE155" s="287" t="s">
        <v>2187</v>
      </c>
      <c r="AF155" s="223"/>
      <c r="AG155" s="223"/>
      <c r="AH155" s="223"/>
      <c r="AI155" s="259"/>
      <c r="AJ155" s="260" t="s">
        <v>2296</v>
      </c>
      <c r="AK155" s="260" t="s">
        <v>2296</v>
      </c>
      <c r="AL155" s="260" t="s">
        <v>2296</v>
      </c>
      <c r="AM155" s="260" t="s">
        <v>2296</v>
      </c>
    </row>
    <row r="156" spans="4:41" ht="15.75">
      <c r="D156" s="224"/>
      <c r="E156" s="271" t="s">
        <v>2181</v>
      </c>
      <c r="F156" s="271" t="s">
        <v>2182</v>
      </c>
      <c r="G156" s="271"/>
      <c r="H156" s="271" t="s">
        <v>2183</v>
      </c>
      <c r="I156" s="271" t="s">
        <v>367</v>
      </c>
      <c r="J156" s="271" t="s">
        <v>364</v>
      </c>
      <c r="K156" s="271" t="s">
        <v>363</v>
      </c>
      <c r="L156" s="271" t="s">
        <v>362</v>
      </c>
      <c r="M156" s="271" t="s">
        <v>589</v>
      </c>
      <c r="N156" s="271"/>
      <c r="O156" s="271"/>
      <c r="P156" s="271" t="s">
        <v>585</v>
      </c>
      <c r="Q156" s="271" t="s">
        <v>586</v>
      </c>
      <c r="R156" s="271" t="s">
        <v>587</v>
      </c>
      <c r="S156" s="271" t="s">
        <v>588</v>
      </c>
      <c r="T156" s="271" t="s">
        <v>580</v>
      </c>
      <c r="U156" s="271"/>
      <c r="V156" s="271"/>
      <c r="W156" s="271" t="s">
        <v>582</v>
      </c>
      <c r="X156" s="271" t="s">
        <v>581</v>
      </c>
      <c r="Y156" s="271" t="s">
        <v>488</v>
      </c>
      <c r="Z156" s="271"/>
      <c r="AA156" s="271" t="str">
        <f>E35</f>
        <v>Q1 06</v>
      </c>
      <c r="AB156" s="271" t="str">
        <f>F35</f>
        <v>Q2 06</v>
      </c>
      <c r="AC156" s="271" t="str">
        <f t="shared" ref="AC156:AH156" si="50">H35</f>
        <v>Q3 06</v>
      </c>
      <c r="AD156" s="271" t="str">
        <f t="shared" si="50"/>
        <v>Q4 06</v>
      </c>
      <c r="AE156" s="271" t="str">
        <f t="shared" si="50"/>
        <v>Q1 07</v>
      </c>
      <c r="AF156" s="271" t="str">
        <f t="shared" si="50"/>
        <v>Q2 07</v>
      </c>
      <c r="AG156" s="271" t="str">
        <f t="shared" si="50"/>
        <v>Q3 07</v>
      </c>
      <c r="AH156" s="271" t="str">
        <f t="shared" si="50"/>
        <v>Q4 07</v>
      </c>
      <c r="AI156" s="259"/>
      <c r="AJ156" s="261" t="str">
        <f>AE156</f>
        <v>Q1 07</v>
      </c>
      <c r="AK156" s="261" t="str">
        <f>AF156</f>
        <v>Q2 07</v>
      </c>
      <c r="AL156" s="261" t="str">
        <f>AG156</f>
        <v>Q3 07</v>
      </c>
      <c r="AM156" s="261" t="str">
        <f>AH156</f>
        <v>Q4 07</v>
      </c>
      <c r="AO156" s="235" t="s">
        <v>438</v>
      </c>
    </row>
    <row r="157" spans="4:41" ht="15.75">
      <c r="D157" s="223" t="s">
        <v>1426</v>
      </c>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59"/>
      <c r="AJ157" s="259"/>
      <c r="AK157" s="259"/>
      <c r="AL157" s="259"/>
      <c r="AM157" s="259"/>
      <c r="AO157" s="223" t="s">
        <v>960</v>
      </c>
    </row>
    <row r="158" spans="4:41" ht="15.75">
      <c r="D158" s="223" t="s">
        <v>1375</v>
      </c>
      <c r="E158" s="227"/>
      <c r="F158" s="227">
        <v>114</v>
      </c>
      <c r="G158" s="227"/>
      <c r="H158" s="227"/>
      <c r="I158" s="227">
        <v>218</v>
      </c>
      <c r="J158" s="227"/>
      <c r="K158" s="227">
        <v>121</v>
      </c>
      <c r="L158" s="227">
        <v>131</v>
      </c>
      <c r="M158" s="227">
        <v>234</v>
      </c>
      <c r="N158" s="227"/>
      <c r="O158" s="227"/>
      <c r="P158" s="227">
        <v>231</v>
      </c>
      <c r="Q158" s="227">
        <v>243</v>
      </c>
      <c r="R158" s="227">
        <v>293</v>
      </c>
      <c r="S158" s="227">
        <v>314</v>
      </c>
      <c r="T158" s="227">
        <v>314</v>
      </c>
      <c r="U158" s="227"/>
      <c r="V158" s="227"/>
      <c r="W158" s="227">
        <v>329</v>
      </c>
      <c r="X158" s="227">
        <v>341</v>
      </c>
      <c r="Y158" s="227">
        <v>360</v>
      </c>
      <c r="Z158" s="227"/>
      <c r="AA158" s="227">
        <v>360</v>
      </c>
      <c r="AB158" s="227">
        <v>368</v>
      </c>
      <c r="AC158" s="227">
        <v>372</v>
      </c>
      <c r="AD158" s="227">
        <v>389</v>
      </c>
      <c r="AE158" s="227">
        <v>376</v>
      </c>
      <c r="AF158" s="227">
        <v>369</v>
      </c>
      <c r="AG158" s="223">
        <v>374</v>
      </c>
      <c r="AH158" s="223">
        <v>383</v>
      </c>
      <c r="AI158" s="259"/>
      <c r="AJ158" s="262">
        <f t="shared" ref="AJ158:AM159" si="51">AE158/AA158-1</f>
        <v>4.4444444444444509E-2</v>
      </c>
      <c r="AK158" s="262">
        <f t="shared" si="51"/>
        <v>2.7173913043478937E-3</v>
      </c>
      <c r="AL158" s="262">
        <f t="shared" si="51"/>
        <v>5.3763440860215006E-3</v>
      </c>
      <c r="AM158" s="262">
        <f t="shared" si="51"/>
        <v>-1.5424164524421635E-2</v>
      </c>
      <c r="AO158" s="223" t="s">
        <v>1462</v>
      </c>
    </row>
    <row r="159" spans="4:41" ht="15.75">
      <c r="D159" s="225" t="s">
        <v>1253</v>
      </c>
      <c r="E159" s="279"/>
      <c r="F159" s="279">
        <v>63</v>
      </c>
      <c r="G159" s="279"/>
      <c r="H159" s="279"/>
      <c r="I159" s="279">
        <v>86</v>
      </c>
      <c r="J159" s="279"/>
      <c r="K159" s="279">
        <v>67</v>
      </c>
      <c r="L159" s="279">
        <v>69</v>
      </c>
      <c r="M159" s="279">
        <v>122</v>
      </c>
      <c r="N159" s="279"/>
      <c r="O159" s="279"/>
      <c r="P159" s="279">
        <v>125</v>
      </c>
      <c r="Q159" s="279">
        <v>127</v>
      </c>
      <c r="R159" s="279">
        <v>153</v>
      </c>
      <c r="S159" s="279">
        <v>150</v>
      </c>
      <c r="T159" s="279">
        <v>166</v>
      </c>
      <c r="U159" s="279"/>
      <c r="V159" s="279"/>
      <c r="W159" s="279">
        <v>172</v>
      </c>
      <c r="X159" s="279">
        <v>181</v>
      </c>
      <c r="Y159" s="279">
        <v>180</v>
      </c>
      <c r="Z159" s="279"/>
      <c r="AA159" s="279">
        <v>176</v>
      </c>
      <c r="AB159" s="279">
        <v>189</v>
      </c>
      <c r="AC159" s="279">
        <v>177</v>
      </c>
      <c r="AD159" s="279">
        <v>176</v>
      </c>
      <c r="AE159" s="279">
        <v>199</v>
      </c>
      <c r="AF159" s="279">
        <v>191</v>
      </c>
      <c r="AG159" s="225">
        <v>186</v>
      </c>
      <c r="AH159" s="225">
        <v>177</v>
      </c>
      <c r="AI159" s="259"/>
      <c r="AJ159" s="262">
        <f t="shared" si="51"/>
        <v>0.13068181818181812</v>
      </c>
      <c r="AK159" s="262">
        <f t="shared" si="51"/>
        <v>1.0582010582010692E-2</v>
      </c>
      <c r="AL159" s="262">
        <f t="shared" si="51"/>
        <v>5.0847457627118731E-2</v>
      </c>
      <c r="AM159" s="262">
        <f t="shared" si="51"/>
        <v>5.6818181818181213E-3</v>
      </c>
      <c r="AO159" s="223" t="s">
        <v>1461</v>
      </c>
    </row>
    <row r="160" spans="4:41" ht="15.75">
      <c r="D160" s="223" t="s">
        <v>1434</v>
      </c>
      <c r="E160" s="280"/>
      <c r="F160" s="280"/>
      <c r="G160" s="280"/>
      <c r="H160" s="280"/>
      <c r="I160" s="280"/>
      <c r="J160" s="280"/>
      <c r="K160" s="280">
        <f>K159/K158</f>
        <v>0.55371900826446285</v>
      </c>
      <c r="L160" s="280">
        <f>L159/L158</f>
        <v>0.52671755725190839</v>
      </c>
      <c r="M160" s="280">
        <f>M159/M158</f>
        <v>0.5213675213675214</v>
      </c>
      <c r="N160" s="280"/>
      <c r="O160" s="280"/>
      <c r="P160" s="280">
        <f>P159/P158</f>
        <v>0.54112554112554112</v>
      </c>
      <c r="Q160" s="280">
        <f>Q159/Q158</f>
        <v>0.52263374485596703</v>
      </c>
      <c r="R160" s="280">
        <f>R159/R158</f>
        <v>0.52218430034129693</v>
      </c>
      <c r="S160" s="280">
        <f>S159/S158</f>
        <v>0.47770700636942676</v>
      </c>
      <c r="T160" s="280">
        <f>T159/T158</f>
        <v>0.5286624203821656</v>
      </c>
      <c r="U160" s="280"/>
      <c r="V160" s="280"/>
      <c r="W160" s="280">
        <f>W159/W158</f>
        <v>0.52279635258358659</v>
      </c>
      <c r="X160" s="280">
        <f>X159/X158</f>
        <v>0.53079178885630496</v>
      </c>
      <c r="Y160" s="280">
        <f>Y159/Y158</f>
        <v>0.5</v>
      </c>
      <c r="Z160" s="280"/>
      <c r="AA160" s="280">
        <f t="shared" ref="AA160:AH160" si="52">AA159/AA158</f>
        <v>0.48888888888888887</v>
      </c>
      <c r="AB160" s="280">
        <f t="shared" si="52"/>
        <v>0.51358695652173914</v>
      </c>
      <c r="AC160" s="280">
        <f t="shared" si="52"/>
        <v>0.47580645161290325</v>
      </c>
      <c r="AD160" s="280">
        <f t="shared" si="52"/>
        <v>0.45244215938303339</v>
      </c>
      <c r="AE160" s="280">
        <f t="shared" si="52"/>
        <v>0.5292553191489362</v>
      </c>
      <c r="AF160" s="280">
        <f t="shared" si="52"/>
        <v>0.51761517615176156</v>
      </c>
      <c r="AG160" s="280">
        <f t="shared" si="52"/>
        <v>0.49732620320855614</v>
      </c>
      <c r="AH160" s="280">
        <f t="shared" si="52"/>
        <v>0.46214099216710181</v>
      </c>
      <c r="AI160" s="259"/>
      <c r="AJ160" s="259"/>
      <c r="AK160" s="259"/>
      <c r="AL160" s="259"/>
      <c r="AM160" s="259"/>
      <c r="AO160" s="223"/>
    </row>
    <row r="161" spans="4:39" ht="15.75">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59"/>
      <c r="AJ161" s="259"/>
      <c r="AK161" s="259"/>
      <c r="AL161" s="259"/>
      <c r="AM161" s="259"/>
    </row>
    <row r="162" spans="4:39" ht="15.75">
      <c r="D162" s="223" t="s">
        <v>515</v>
      </c>
      <c r="E162" s="223"/>
      <c r="F162" s="223"/>
      <c r="G162" s="223"/>
      <c r="H162" s="223"/>
      <c r="I162" s="223"/>
      <c r="J162" s="223"/>
      <c r="K162" s="223"/>
      <c r="L162" s="223">
        <v>193</v>
      </c>
      <c r="M162" s="223">
        <v>195</v>
      </c>
      <c r="N162" s="223"/>
      <c r="O162" s="223"/>
      <c r="P162" s="223">
        <v>204</v>
      </c>
      <c r="Q162" s="223">
        <v>177</v>
      </c>
      <c r="R162" s="223">
        <v>178</v>
      </c>
      <c r="S162" s="223">
        <v>176</v>
      </c>
      <c r="T162" s="223">
        <v>162</v>
      </c>
      <c r="U162" s="223"/>
      <c r="V162" s="223"/>
      <c r="W162" s="223">
        <v>159</v>
      </c>
      <c r="X162" s="223">
        <v>179</v>
      </c>
      <c r="Y162" s="223">
        <v>166</v>
      </c>
      <c r="Z162" s="223"/>
      <c r="AA162" s="223">
        <v>158</v>
      </c>
      <c r="AB162" s="223">
        <v>156</v>
      </c>
      <c r="AC162" s="223">
        <v>148</v>
      </c>
      <c r="AD162" s="223">
        <v>141</v>
      </c>
      <c r="AE162" s="223">
        <v>129</v>
      </c>
      <c r="AF162" s="223">
        <v>133</v>
      </c>
      <c r="AG162" s="223">
        <v>131</v>
      </c>
      <c r="AH162" s="223">
        <v>138</v>
      </c>
      <c r="AI162" s="259"/>
      <c r="AJ162" s="262">
        <f>AE162/AA162-1</f>
        <v>-0.18354430379746833</v>
      </c>
      <c r="AK162" s="262">
        <f>AF162/AB162-1</f>
        <v>-0.14743589743589747</v>
      </c>
      <c r="AL162" s="262">
        <f>AG162/AC162-1</f>
        <v>-0.11486486486486491</v>
      </c>
      <c r="AM162" s="262">
        <f>AH162/AD162-1</f>
        <v>-2.1276595744680882E-2</v>
      </c>
    </row>
    <row r="163" spans="4:39" ht="15.75">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59"/>
      <c r="AJ163" s="262"/>
      <c r="AK163" s="262"/>
      <c r="AL163" s="262"/>
      <c r="AM163" s="262"/>
    </row>
    <row r="164" spans="4:39" ht="15.75">
      <c r="D164" s="223" t="s">
        <v>366</v>
      </c>
      <c r="E164" s="269"/>
      <c r="F164" s="269"/>
      <c r="G164" s="269"/>
      <c r="H164" s="269"/>
      <c r="I164" s="269"/>
      <c r="J164" s="269"/>
      <c r="K164" s="269"/>
      <c r="L164" s="269">
        <v>17</v>
      </c>
      <c r="M164" s="269">
        <v>17</v>
      </c>
      <c r="N164" s="269"/>
      <c r="O164" s="269"/>
      <c r="P164" s="269">
        <v>16</v>
      </c>
      <c r="Q164" s="269">
        <v>17</v>
      </c>
      <c r="R164" s="269">
        <v>17</v>
      </c>
      <c r="S164" s="269">
        <v>16</v>
      </c>
      <c r="T164" s="269">
        <v>14</v>
      </c>
      <c r="U164" s="269"/>
      <c r="V164" s="269"/>
      <c r="W164" s="269">
        <v>13</v>
      </c>
      <c r="X164" s="269">
        <v>13</v>
      </c>
      <c r="Y164" s="269">
        <v>12</v>
      </c>
      <c r="Z164" s="269"/>
      <c r="AA164" s="269">
        <v>14</v>
      </c>
      <c r="AB164" s="269">
        <v>11</v>
      </c>
      <c r="AC164" s="269">
        <v>9</v>
      </c>
      <c r="AD164" s="269">
        <v>9</v>
      </c>
      <c r="AE164" s="269">
        <v>11</v>
      </c>
      <c r="AF164" s="269">
        <v>8</v>
      </c>
      <c r="AG164" s="269">
        <v>8</v>
      </c>
      <c r="AH164" s="269">
        <v>7</v>
      </c>
      <c r="AI164" s="259"/>
      <c r="AJ164" s="262">
        <f>AE164/AA164-1</f>
        <v>-0.2142857142857143</v>
      </c>
      <c r="AK164" s="262">
        <f>AF164/AB164-1</f>
        <v>-0.27272727272727271</v>
      </c>
      <c r="AL164" s="262">
        <f>AG164/AC164-1</f>
        <v>-0.11111111111111116</v>
      </c>
      <c r="AM164" s="262">
        <f>AH164/AD164-1</f>
        <v>-0.22222222222222221</v>
      </c>
    </row>
    <row r="165" spans="4:39" ht="15.75">
      <c r="D165" s="223"/>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59"/>
      <c r="AJ165" s="262"/>
      <c r="AK165" s="262"/>
      <c r="AL165" s="262"/>
      <c r="AM165" s="262"/>
    </row>
    <row r="166" spans="4:39" ht="15.75">
      <c r="D166" s="223" t="s">
        <v>1258</v>
      </c>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f t="shared" ref="AA166:AH166" si="53">AA164*100/AA162</f>
        <v>8.8607594936708853</v>
      </c>
      <c r="AB166" s="269">
        <f t="shared" si="53"/>
        <v>7.0512820512820511</v>
      </c>
      <c r="AC166" s="269">
        <f t="shared" si="53"/>
        <v>6.0810810810810807</v>
      </c>
      <c r="AD166" s="269">
        <f t="shared" si="53"/>
        <v>6.3829787234042552</v>
      </c>
      <c r="AE166" s="269">
        <f t="shared" si="53"/>
        <v>8.5271317829457356</v>
      </c>
      <c r="AF166" s="269">
        <f t="shared" si="53"/>
        <v>6.0150375939849621</v>
      </c>
      <c r="AG166" s="269">
        <f t="shared" si="53"/>
        <v>6.106870229007634</v>
      </c>
      <c r="AH166" s="269">
        <f t="shared" si="53"/>
        <v>5.0724637681159424</v>
      </c>
      <c r="AI166" s="259"/>
      <c r="AJ166" s="262">
        <f>AE166/AA166-1</f>
        <v>-3.7652270210409733E-2</v>
      </c>
      <c r="AK166" s="262">
        <f>AF166/AB166-1</f>
        <v>-0.14695830485304173</v>
      </c>
      <c r="AL166" s="262">
        <f>AG166/AC166-1</f>
        <v>4.2408821034776167E-3</v>
      </c>
      <c r="AM166" s="262">
        <f>AH166/AD166-1</f>
        <v>-0.20531400966183566</v>
      </c>
    </row>
    <row r="167" spans="4:39" ht="15.75">
      <c r="D167" s="223" t="s">
        <v>1259</v>
      </c>
      <c r="E167" s="223"/>
      <c r="F167" s="223"/>
      <c r="G167" s="223"/>
      <c r="H167" s="223"/>
      <c r="I167" s="223"/>
      <c r="J167" s="223"/>
      <c r="K167" s="223"/>
      <c r="L167" s="223"/>
      <c r="M167" s="223">
        <v>1186</v>
      </c>
      <c r="N167" s="223"/>
      <c r="O167" s="223"/>
      <c r="P167" s="223">
        <v>1366</v>
      </c>
      <c r="Q167" s="223">
        <v>1564</v>
      </c>
      <c r="R167" s="223">
        <v>2111</v>
      </c>
      <c r="S167" s="223">
        <v>2468</v>
      </c>
      <c r="T167" s="223">
        <v>2783</v>
      </c>
      <c r="U167" s="223"/>
      <c r="V167" s="223"/>
      <c r="W167" s="223">
        <v>3105</v>
      </c>
      <c r="X167" s="223">
        <v>3478</v>
      </c>
      <c r="Y167" s="223">
        <v>3946</v>
      </c>
      <c r="Z167" s="223"/>
      <c r="AA167" s="223">
        <v>4382</v>
      </c>
      <c r="AB167" s="223">
        <v>4822</v>
      </c>
      <c r="AC167" s="223">
        <v>5250</v>
      </c>
      <c r="AD167" s="223">
        <v>5875</v>
      </c>
      <c r="AE167" s="223">
        <v>6318</v>
      </c>
      <c r="AF167" s="223">
        <v>6771</v>
      </c>
      <c r="AG167" s="223">
        <v>7345</v>
      </c>
      <c r="AH167" s="223">
        <v>8157</v>
      </c>
      <c r="AI167" s="259"/>
      <c r="AJ167" s="259"/>
      <c r="AK167" s="259"/>
      <c r="AL167" s="259"/>
      <c r="AM167" s="259"/>
    </row>
    <row r="168" spans="4:39" ht="15.75">
      <c r="D168" s="223"/>
      <c r="E168" s="223"/>
      <c r="F168" s="223"/>
      <c r="G168" s="223"/>
      <c r="H168" s="223"/>
      <c r="I168" s="223"/>
      <c r="J168" s="223"/>
      <c r="K168" s="223"/>
      <c r="L168" s="223"/>
      <c r="M168" s="223"/>
      <c r="N168" s="223"/>
      <c r="O168" s="223"/>
      <c r="P168" s="223">
        <f>P167-M167</f>
        <v>180</v>
      </c>
      <c r="Q168" s="223">
        <f>Q167-P167</f>
        <v>198</v>
      </c>
      <c r="R168" s="223">
        <f>R167-Q167</f>
        <v>547</v>
      </c>
      <c r="S168" s="223">
        <f>S167-R167</f>
        <v>357</v>
      </c>
      <c r="T168" s="223">
        <f>T167-S167</f>
        <v>315</v>
      </c>
      <c r="U168" s="223"/>
      <c r="V168" s="223"/>
      <c r="W168" s="223">
        <f>W167-T167</f>
        <v>322</v>
      </c>
      <c r="X168" s="223">
        <f>X167-W167</f>
        <v>373</v>
      </c>
      <c r="Y168" s="223">
        <f>Y167-X167</f>
        <v>468</v>
      </c>
      <c r="Z168" s="223"/>
      <c r="AA168" s="223">
        <f>AA167-Y167</f>
        <v>436</v>
      </c>
      <c r="AB168" s="223">
        <f t="shared" ref="AB168:AH168" si="54">AB167-AA167</f>
        <v>440</v>
      </c>
      <c r="AC168" s="223">
        <f t="shared" si="54"/>
        <v>428</v>
      </c>
      <c r="AD168" s="223">
        <f t="shared" si="54"/>
        <v>625</v>
      </c>
      <c r="AE168" s="223">
        <f t="shared" si="54"/>
        <v>443</v>
      </c>
      <c r="AF168" s="223">
        <f t="shared" si="54"/>
        <v>453</v>
      </c>
      <c r="AG168" s="223">
        <f t="shared" si="54"/>
        <v>574</v>
      </c>
      <c r="AH168" s="223">
        <f t="shared" si="54"/>
        <v>812</v>
      </c>
      <c r="AI168" s="259"/>
      <c r="AJ168" s="259"/>
      <c r="AK168" s="259"/>
      <c r="AL168" s="259"/>
      <c r="AM168" s="259"/>
    </row>
    <row r="169" spans="4:39">
      <c r="D169" s="243"/>
      <c r="E169" s="244"/>
      <c r="F169" s="244"/>
      <c r="G169" s="244"/>
      <c r="H169" s="244"/>
      <c r="I169" s="244"/>
      <c r="J169" s="244"/>
      <c r="K169" s="244"/>
      <c r="L169" s="244"/>
      <c r="M169" s="244"/>
      <c r="N169" s="244"/>
      <c r="O169" s="244"/>
    </row>
    <row r="170" spans="4:39">
      <c r="D170" s="243"/>
      <c r="E170" s="244"/>
      <c r="F170" s="244"/>
      <c r="G170" s="244"/>
      <c r="H170" s="244"/>
      <c r="I170" s="244"/>
      <c r="J170" s="244"/>
      <c r="K170" s="244"/>
      <c r="L170" s="244"/>
      <c r="M170" s="244"/>
      <c r="N170" s="244"/>
      <c r="O170" s="244"/>
    </row>
    <row r="171" spans="4:39">
      <c r="D171" s="243"/>
      <c r="E171" s="244"/>
      <c r="F171" s="244"/>
      <c r="G171" s="244"/>
      <c r="H171" s="244"/>
      <c r="I171" s="244"/>
      <c r="J171" s="244"/>
      <c r="K171" s="244"/>
      <c r="L171" s="244"/>
      <c r="M171" s="244"/>
      <c r="N171" s="244"/>
      <c r="O171" s="244"/>
    </row>
    <row r="172" spans="4:39">
      <c r="D172" s="175" t="s">
        <v>2081</v>
      </c>
      <c r="E172" s="175"/>
      <c r="F172" s="175"/>
      <c r="G172" s="175"/>
      <c r="H172" s="175"/>
      <c r="I172" s="175"/>
      <c r="J172" s="175"/>
      <c r="K172" s="175"/>
      <c r="L172" s="175"/>
      <c r="M172" s="175"/>
      <c r="N172" s="175"/>
      <c r="O172" s="175"/>
      <c r="P172" s="175"/>
      <c r="Q172" s="175"/>
      <c r="R172" s="175"/>
      <c r="S172" s="175"/>
      <c r="T172" s="175"/>
      <c r="U172" s="175"/>
      <c r="V172" s="175"/>
    </row>
    <row r="174" spans="4:39">
      <c r="D174" t="str">
        <f>Quarts!D118</f>
        <v>Cambodia</v>
      </c>
      <c r="E174" s="36"/>
    </row>
    <row r="175" spans="4:39">
      <c r="D175" t="str">
        <f>Quarts!D119</f>
        <v>Laos</v>
      </c>
      <c r="E175" s="36"/>
    </row>
    <row r="176" spans="4:39">
      <c r="D176" t="e">
        <f>Quarts!#REF!</f>
        <v>#REF!</v>
      </c>
      <c r="E176" s="36">
        <v>0.35</v>
      </c>
    </row>
    <row r="177" spans="4:12">
      <c r="D177" t="str">
        <f>Quarts!D122</f>
        <v>El Salvador</v>
      </c>
      <c r="E177" s="36">
        <v>0.25</v>
      </c>
    </row>
    <row r="178" spans="4:12">
      <c r="D178" t="str">
        <f>Quarts!D123</f>
        <v>Guatemala</v>
      </c>
      <c r="E178" s="36">
        <v>0.31</v>
      </c>
    </row>
    <row r="179" spans="4:12">
      <c r="D179" t="str">
        <f>Quarts!D124</f>
        <v>Honduras</v>
      </c>
      <c r="E179" s="36">
        <v>0.25</v>
      </c>
    </row>
    <row r="180" spans="4:12">
      <c r="D180" t="str">
        <f>Quarts!D128</f>
        <v>Colombia</v>
      </c>
      <c r="E180" s="36">
        <f>Colombia!C94</f>
        <v>0.3</v>
      </c>
    </row>
    <row r="181" spans="4:12">
      <c r="D181" t="str">
        <f>Quarts!D129</f>
        <v>Bolivia</v>
      </c>
      <c r="E181" s="36">
        <v>0.25</v>
      </c>
    </row>
    <row r="182" spans="4:12">
      <c r="D182" t="str">
        <f>Quarts!D130</f>
        <v>Paraguay</v>
      </c>
      <c r="E182" s="36">
        <v>0.3</v>
      </c>
    </row>
    <row r="183" spans="4:12">
      <c r="D183" t="str">
        <f>Quarts!D134</f>
        <v>Ghana</v>
      </c>
      <c r="E183" s="36">
        <v>0.28000000000000003</v>
      </c>
    </row>
    <row r="184" spans="4:12">
      <c r="D184" t="str">
        <f>Quarts!D135</f>
        <v>Mauritius</v>
      </c>
      <c r="E184" s="36"/>
    </row>
    <row r="185" spans="4:12">
      <c r="D185" t="str">
        <f>Quarts!D136</f>
        <v>Senegal</v>
      </c>
      <c r="E185" s="36">
        <v>0.33</v>
      </c>
    </row>
    <row r="186" spans="4:12">
      <c r="D186" t="str">
        <f>Quarts!D137</f>
        <v>Sierra Leone</v>
      </c>
      <c r="E186" s="36"/>
    </row>
    <row r="187" spans="4:12">
      <c r="D187" t="str">
        <f>Quarts!D138</f>
        <v>Tanzania</v>
      </c>
      <c r="E187" s="36">
        <v>0.35</v>
      </c>
    </row>
    <row r="188" spans="4:12">
      <c r="D188" t="str">
        <f>Quarts!D139</f>
        <v>Chad</v>
      </c>
      <c r="E188" s="36">
        <v>0.4</v>
      </c>
    </row>
    <row r="189" spans="4:12">
      <c r="D189" t="str">
        <f>Quarts!D140</f>
        <v>DR Congo</v>
      </c>
      <c r="E189" s="36"/>
    </row>
    <row r="191" spans="4:12">
      <c r="D191" s="175" t="s">
        <v>220</v>
      </c>
      <c r="E191" s="175" t="s">
        <v>90</v>
      </c>
      <c r="I191" s="175" t="s">
        <v>499</v>
      </c>
      <c r="J191" s="175" t="s">
        <v>740</v>
      </c>
      <c r="K191" s="175" t="s">
        <v>558</v>
      </c>
      <c r="L191" s="175" t="s">
        <v>423</v>
      </c>
    </row>
    <row r="193" spans="2:35">
      <c r="D193" s="4" t="str">
        <f>D13</f>
        <v>El Salvador</v>
      </c>
      <c r="E193" s="29">
        <v>4.2999999999999997E-2</v>
      </c>
      <c r="I193" s="29">
        <v>0.05</v>
      </c>
      <c r="J193" s="29">
        <v>5.0000000000000001E-3</v>
      </c>
      <c r="K193" s="29">
        <v>0.04</v>
      </c>
      <c r="L193" s="29"/>
    </row>
    <row r="194" spans="2:35">
      <c r="D194" s="4" t="str">
        <f>D14</f>
        <v>Guatemala</v>
      </c>
      <c r="E194" s="29">
        <v>6.6000000000000003E-2</v>
      </c>
      <c r="I194" s="29">
        <v>7.0000000000000007E-2</v>
      </c>
      <c r="J194" s="29">
        <v>5.5E-2</v>
      </c>
      <c r="K194" s="29">
        <v>7.4999999999999997E-2</v>
      </c>
      <c r="L194" s="29">
        <v>0.09</v>
      </c>
    </row>
    <row r="195" spans="2:35">
      <c r="D195" s="4" t="str">
        <f>D15</f>
        <v>Honduras</v>
      </c>
      <c r="E195" s="29">
        <v>6.4000000000000001E-2</v>
      </c>
      <c r="I195" s="29"/>
      <c r="J195" s="29"/>
      <c r="K195" s="29"/>
      <c r="L195" s="29"/>
    </row>
    <row r="196" spans="2:35">
      <c r="D196" s="4" t="str">
        <f>D16</f>
        <v>Bolivia</v>
      </c>
      <c r="E196" s="29">
        <v>0.12</v>
      </c>
      <c r="I196" s="29">
        <v>7.0000000000000007E-2</v>
      </c>
      <c r="J196" s="29">
        <v>6.5000000000000002E-2</v>
      </c>
      <c r="K196" s="29">
        <v>0.105</v>
      </c>
      <c r="L196" s="29">
        <v>0.115</v>
      </c>
    </row>
    <row r="197" spans="2:35">
      <c r="D197" s="4" t="str">
        <f>D17</f>
        <v>Paraguay</v>
      </c>
      <c r="E197" s="5">
        <v>8.5999999999999993E-2</v>
      </c>
      <c r="I197" s="29"/>
      <c r="J197" s="29"/>
      <c r="K197" s="29"/>
      <c r="L197" s="29"/>
    </row>
    <row r="198" spans="2:35">
      <c r="D198" s="4" t="s">
        <v>1665</v>
      </c>
      <c r="E198" s="5">
        <v>5.5E-2</v>
      </c>
      <c r="I198" s="29">
        <v>5.7500000000000002E-2</v>
      </c>
      <c r="J198" s="29">
        <v>0.06</v>
      </c>
      <c r="K198" s="29">
        <v>0.05</v>
      </c>
      <c r="L198" s="29">
        <v>0.06</v>
      </c>
    </row>
    <row r="200" spans="2:35">
      <c r="D200" s="175" t="s">
        <v>1209</v>
      </c>
      <c r="E200" s="175"/>
    </row>
    <row r="201" spans="2:35">
      <c r="F201" s="6" t="s">
        <v>1210</v>
      </c>
      <c r="H201" s="6" t="s">
        <v>1212</v>
      </c>
      <c r="I201" s="6" t="s">
        <v>1212</v>
      </c>
      <c r="J201" s="6" t="s">
        <v>576</v>
      </c>
      <c r="K201" t="s">
        <v>1206</v>
      </c>
      <c r="L201" t="s">
        <v>1206</v>
      </c>
      <c r="M201" s="1" t="s">
        <v>1222</v>
      </c>
      <c r="N201" s="6" t="s">
        <v>1207</v>
      </c>
      <c r="O201" s="6" t="s">
        <v>1207</v>
      </c>
      <c r="R201" s="6" t="s">
        <v>2176</v>
      </c>
      <c r="S201" s="6" t="s">
        <v>2177</v>
      </c>
      <c r="T201" s="6" t="s">
        <v>2178</v>
      </c>
      <c r="U201" s="6" t="s">
        <v>2176</v>
      </c>
      <c r="V201" s="6" t="s">
        <v>2177</v>
      </c>
      <c r="W201" s="6" t="s">
        <v>2178</v>
      </c>
      <c r="X201" s="6" t="s">
        <v>1219</v>
      </c>
      <c r="Y201" s="6" t="s">
        <v>1211</v>
      </c>
      <c r="Z201" s="6" t="s">
        <v>576</v>
      </c>
    </row>
    <row r="202" spans="2:35">
      <c r="D202" s="11"/>
      <c r="E202" s="104" t="s">
        <v>2174</v>
      </c>
      <c r="F202" s="104" t="s">
        <v>1217</v>
      </c>
      <c r="G202" s="104" t="s">
        <v>1216</v>
      </c>
      <c r="H202" s="104" t="s">
        <v>1213</v>
      </c>
      <c r="I202" s="104" t="s">
        <v>1214</v>
      </c>
      <c r="J202" s="104" t="s">
        <v>1205</v>
      </c>
      <c r="K202" s="104" t="s">
        <v>2173</v>
      </c>
      <c r="L202" s="104" t="s">
        <v>1208</v>
      </c>
      <c r="M202" s="104" t="s">
        <v>1221</v>
      </c>
      <c r="N202" s="104" t="s">
        <v>1213</v>
      </c>
      <c r="O202" s="104" t="s">
        <v>1214</v>
      </c>
      <c r="R202" s="104" t="s">
        <v>1227</v>
      </c>
      <c r="S202" s="104" t="s">
        <v>1227</v>
      </c>
      <c r="T202" s="104" t="s">
        <v>1227</v>
      </c>
      <c r="U202" s="104" t="s">
        <v>2175</v>
      </c>
      <c r="V202" s="104" t="s">
        <v>2175</v>
      </c>
      <c r="W202" s="104" t="s">
        <v>2175</v>
      </c>
      <c r="X202" s="104" t="s">
        <v>1220</v>
      </c>
      <c r="Y202" s="104" t="s">
        <v>1215</v>
      </c>
      <c r="Z202" s="104" t="s">
        <v>1204</v>
      </c>
    </row>
    <row r="203" spans="2:35">
      <c r="B203" s="88"/>
      <c r="C203" s="88"/>
      <c r="D203" t="s">
        <v>738</v>
      </c>
      <c r="E203" s="88">
        <f>Asia!H6</f>
        <v>13995</v>
      </c>
      <c r="F203" s="9">
        <v>42</v>
      </c>
      <c r="G203" s="88">
        <v>1959</v>
      </c>
      <c r="H203" s="5">
        <f t="shared" ref="H203:H219" si="55">F203/G203</f>
        <v>2.1439509954058193E-2</v>
      </c>
      <c r="I203" s="5">
        <f t="shared" ref="I203:I219" si="56">F203/E203</f>
        <v>3.0010718113612006E-3</v>
      </c>
      <c r="J203" s="88">
        <v>44</v>
      </c>
      <c r="K203" s="16">
        <f t="shared" ref="K203:K219" si="57">J203/G203</f>
        <v>2.2460438999489536E-2</v>
      </c>
      <c r="L203" s="16">
        <f t="shared" ref="L203:L219" si="58">J203/E203</f>
        <v>3.1439799928545909E-3</v>
      </c>
      <c r="M203" s="88">
        <v>5</v>
      </c>
      <c r="N203" s="5">
        <f t="shared" ref="N203:N219" si="59">M203/G203</f>
        <v>2.5523226135783562E-3</v>
      </c>
      <c r="O203" s="5">
        <f t="shared" ref="O203:O219" si="60">M203/E203</f>
        <v>3.5727045373347622E-4</v>
      </c>
      <c r="R203" s="88">
        <f>Asia!F30</f>
        <v>1152.158441</v>
      </c>
      <c r="S203" s="88">
        <f>Asia!G30</f>
        <v>1539.45</v>
      </c>
      <c r="T203" s="88">
        <f>Asia!H30</f>
        <v>2395.6521739130435</v>
      </c>
      <c r="U203" s="5">
        <f>Asia!F14</f>
        <v>8.3000000000000004E-2</v>
      </c>
      <c r="V203" s="5">
        <f>Asia!G14</f>
        <v>0.11</v>
      </c>
      <c r="W203" s="5">
        <f>Asia!H14</f>
        <v>0.17117914783230034</v>
      </c>
      <c r="X203" s="7">
        <f t="shared" ref="X203:X219" si="61">E203/G203</f>
        <v>7.1439509954058193</v>
      </c>
      <c r="Y203" s="88">
        <v>33.494</v>
      </c>
      <c r="Z203" s="88">
        <v>6</v>
      </c>
      <c r="AI203" s="5"/>
    </row>
    <row r="204" spans="2:35">
      <c r="B204" s="88"/>
      <c r="C204" s="88"/>
      <c r="D204" t="s">
        <v>739</v>
      </c>
      <c r="E204" s="88">
        <f>Asia!H7</f>
        <v>6522</v>
      </c>
      <c r="F204" s="9">
        <v>120</v>
      </c>
      <c r="G204" s="88">
        <v>1016</v>
      </c>
      <c r="H204" s="5">
        <f t="shared" si="55"/>
        <v>0.11811023622047244</v>
      </c>
      <c r="I204" s="5">
        <f t="shared" si="56"/>
        <v>1.8399264029438821E-2</v>
      </c>
      <c r="J204" s="88">
        <v>25</v>
      </c>
      <c r="K204" s="16">
        <f t="shared" si="57"/>
        <v>2.4606299212598427E-2</v>
      </c>
      <c r="L204" s="16">
        <f t="shared" si="58"/>
        <v>3.8331800061330878E-3</v>
      </c>
      <c r="M204" s="88">
        <v>3.6</v>
      </c>
      <c r="N204" s="5">
        <f t="shared" si="59"/>
        <v>3.5433070866141732E-3</v>
      </c>
      <c r="O204" s="5">
        <f t="shared" si="60"/>
        <v>5.5197792088316469E-4</v>
      </c>
      <c r="R204" s="88">
        <f>Asia!F31</f>
        <v>490.37303699999995</v>
      </c>
      <c r="S204" s="88">
        <f>Asia!G31</f>
        <v>652.20000000000005</v>
      </c>
      <c r="T204" s="88">
        <f>Asia!H31</f>
        <v>873.33333333333337</v>
      </c>
      <c r="U204" s="5">
        <f>Asia!F15</f>
        <v>7.6999999999999999E-2</v>
      </c>
      <c r="V204" s="5">
        <f>Asia!G15</f>
        <v>0.1</v>
      </c>
      <c r="W204" s="5">
        <f>Asia!H15</f>
        <v>0.13390575488091588</v>
      </c>
      <c r="X204" s="7">
        <f t="shared" si="61"/>
        <v>6.4192913385826769</v>
      </c>
      <c r="Y204" s="88">
        <v>52.625</v>
      </c>
      <c r="Z204" s="88">
        <v>6</v>
      </c>
      <c r="AI204" s="5"/>
    </row>
    <row r="205" spans="2:35">
      <c r="B205" s="88"/>
      <c r="C205" s="88"/>
      <c r="D205" t="s">
        <v>730</v>
      </c>
      <c r="E205" s="88">
        <f>Asia!H5</f>
        <v>20459.212553239999</v>
      </c>
      <c r="F205" s="9">
        <f>Y205*(1.03)^6</f>
        <v>988.67530152601194</v>
      </c>
      <c r="G205" s="88">
        <v>3503</v>
      </c>
      <c r="H205" s="5">
        <f t="shared" si="55"/>
        <v>0.2822367403728267</v>
      </c>
      <c r="I205" s="5">
        <f t="shared" si="56"/>
        <v>4.8324210863601474E-2</v>
      </c>
      <c r="J205" s="88">
        <v>428</v>
      </c>
      <c r="K205" s="16">
        <f t="shared" si="57"/>
        <v>0.1221809877248073</v>
      </c>
      <c r="L205" s="16">
        <f t="shared" si="58"/>
        <v>2.0919671218344142E-2</v>
      </c>
      <c r="M205" s="88">
        <v>63.3</v>
      </c>
      <c r="N205" s="5">
        <f t="shared" si="59"/>
        <v>1.8070225520982013E-2</v>
      </c>
      <c r="O205" s="5">
        <f t="shared" si="60"/>
        <v>3.093960719909309E-3</v>
      </c>
      <c r="R205" s="88">
        <f>Asia!F29</f>
        <v>3437.7400000000002</v>
      </c>
      <c r="S205" s="88">
        <f>Asia!G29</f>
        <v>3857.1645020000001</v>
      </c>
      <c r="T205" s="88">
        <f>Asia!H29</f>
        <v>4925</v>
      </c>
      <c r="U205" s="5">
        <f>Asia!F13</f>
        <v>0.17</v>
      </c>
      <c r="V205" s="5">
        <f>Asia!G13</f>
        <v>0.19</v>
      </c>
      <c r="W205" s="5">
        <f>Asia!H13</f>
        <v>0.24072285222043202</v>
      </c>
      <c r="X205" s="7">
        <f t="shared" si="61"/>
        <v>5.8404831724921493</v>
      </c>
      <c r="Y205" s="88">
        <v>828</v>
      </c>
      <c r="Z205" s="88">
        <v>121.5</v>
      </c>
      <c r="AI205" s="5"/>
    </row>
    <row r="206" spans="2:35">
      <c r="B206" s="88"/>
      <c r="C206" s="88"/>
      <c r="D206" t="s">
        <v>2376</v>
      </c>
      <c r="E206" s="88">
        <f>CA!H5</f>
        <v>6948</v>
      </c>
      <c r="F206" s="9">
        <f>Y206*(1.03)^6</f>
        <v>714.04327332434195</v>
      </c>
      <c r="G206" s="88">
        <v>1447</v>
      </c>
      <c r="H206" s="5">
        <f t="shared" si="55"/>
        <v>0.49346459801267584</v>
      </c>
      <c r="I206" s="5">
        <f t="shared" si="56"/>
        <v>0.1027696133166871</v>
      </c>
      <c r="J206" s="88">
        <v>700</v>
      </c>
      <c r="K206" s="16">
        <f t="shared" si="57"/>
        <v>0.4837595024187975</v>
      </c>
      <c r="L206" s="16">
        <f t="shared" si="58"/>
        <v>0.10074841681059298</v>
      </c>
      <c r="M206" s="88">
        <v>42.3</v>
      </c>
      <c r="N206" s="5">
        <f t="shared" si="59"/>
        <v>2.9232895646164478E-2</v>
      </c>
      <c r="O206" s="5">
        <f t="shared" si="60"/>
        <v>6.0880829015544039E-3</v>
      </c>
      <c r="R206" s="88">
        <f>CA!F32</f>
        <v>2299.1413860000002</v>
      </c>
      <c r="S206" s="88">
        <f>CA!G32</f>
        <v>2848.68</v>
      </c>
      <c r="T206" s="88">
        <f>CA!H32</f>
        <v>5040.909090909091</v>
      </c>
      <c r="U206" s="5">
        <f>CA!F14</f>
        <v>0.33700000000000002</v>
      </c>
      <c r="V206" s="5">
        <f>CA!G14</f>
        <v>0.41</v>
      </c>
      <c r="W206" s="5">
        <f>CA!H14</f>
        <v>0.72551944313602346</v>
      </c>
      <c r="X206" s="7">
        <f t="shared" si="61"/>
        <v>4.8016586040082929</v>
      </c>
      <c r="Y206" s="88">
        <v>598</v>
      </c>
      <c r="Z206" s="88">
        <v>40</v>
      </c>
      <c r="AI206" s="5"/>
    </row>
    <row r="207" spans="2:35">
      <c r="B207" s="88"/>
      <c r="C207" s="88"/>
      <c r="D207" t="s">
        <v>2379</v>
      </c>
      <c r="E207" s="88">
        <f>CA!H6</f>
        <v>12728</v>
      </c>
      <c r="F207" s="9">
        <f>Y207*(1.12)^6</f>
        <v>1492.2099499991045</v>
      </c>
      <c r="G207" s="88">
        <v>2410</v>
      </c>
      <c r="H207" s="5">
        <f t="shared" si="55"/>
        <v>0.61917425311166163</v>
      </c>
      <c r="I207" s="5">
        <f t="shared" si="56"/>
        <v>0.11723836816460595</v>
      </c>
      <c r="J207" s="88">
        <v>1320</v>
      </c>
      <c r="K207" s="16">
        <f t="shared" si="57"/>
        <v>0.5477178423236515</v>
      </c>
      <c r="L207" s="16">
        <f t="shared" si="58"/>
        <v>0.10370835952231301</v>
      </c>
      <c r="M207" s="88">
        <v>27.1</v>
      </c>
      <c r="N207" s="5">
        <f t="shared" si="59"/>
        <v>1.12448132780083E-2</v>
      </c>
      <c r="O207" s="5">
        <f t="shared" si="60"/>
        <v>2.1291640477686989E-3</v>
      </c>
      <c r="R207" s="88">
        <f>CA!F33</f>
        <v>3995.4021250000001</v>
      </c>
      <c r="S207" s="88">
        <f>CA!G33</f>
        <v>5727.6</v>
      </c>
      <c r="T207" s="88">
        <f>CA!H33</f>
        <v>8765.25</v>
      </c>
      <c r="U207" s="5">
        <f>CA!F15</f>
        <v>0.32500000000000001</v>
      </c>
      <c r="V207" s="5">
        <f>CA!G15</f>
        <v>0.45</v>
      </c>
      <c r="W207" s="5">
        <f>CA!H15</f>
        <v>0.68865886235072282</v>
      </c>
      <c r="X207" s="7">
        <f t="shared" si="61"/>
        <v>5.2813278008298754</v>
      </c>
      <c r="Y207" s="88">
        <v>756</v>
      </c>
      <c r="Z207" s="88">
        <v>65</v>
      </c>
      <c r="AI207" s="5"/>
    </row>
    <row r="208" spans="2:35">
      <c r="B208" s="88"/>
      <c r="C208" s="88"/>
      <c r="D208" t="s">
        <v>2380</v>
      </c>
      <c r="E208" s="88">
        <f>CA!H7</f>
        <v>7484</v>
      </c>
      <c r="F208" s="9">
        <f>Y208*(1.05)^6</f>
        <v>415.42964859375002</v>
      </c>
      <c r="G208" s="88">
        <v>1345</v>
      </c>
      <c r="H208" s="5">
        <f t="shared" si="55"/>
        <v>0.30886962720724909</v>
      </c>
      <c r="I208" s="5">
        <f t="shared" si="56"/>
        <v>5.55090390959046E-2</v>
      </c>
      <c r="J208" s="88">
        <v>344.1</v>
      </c>
      <c r="K208" s="16">
        <f t="shared" si="57"/>
        <v>0.2558364312267658</v>
      </c>
      <c r="L208" s="16">
        <f t="shared" si="58"/>
        <v>4.5978086584714056E-2</v>
      </c>
      <c r="M208" s="88">
        <v>0</v>
      </c>
      <c r="N208" s="5">
        <f t="shared" si="59"/>
        <v>0</v>
      </c>
      <c r="O208" s="5">
        <f t="shared" si="60"/>
        <v>0</v>
      </c>
      <c r="R208" s="88">
        <f>CA!F34</f>
        <v>1186.8923520000001</v>
      </c>
      <c r="S208" s="88">
        <f>CA!G34</f>
        <v>2245.1999999999998</v>
      </c>
      <c r="T208" s="88">
        <f>CA!H34</f>
        <v>4180</v>
      </c>
      <c r="U208" s="5">
        <f>CA!F16</f>
        <v>0.16200000000000001</v>
      </c>
      <c r="V208" s="5">
        <f>CA!G16</f>
        <v>0.3</v>
      </c>
      <c r="W208" s="5">
        <f>CA!H16</f>
        <v>0.5585248530197755</v>
      </c>
      <c r="X208" s="7">
        <f t="shared" si="61"/>
        <v>5.5643122676579928</v>
      </c>
      <c r="Y208" s="88">
        <v>310</v>
      </c>
      <c r="Z208" s="88">
        <v>40</v>
      </c>
      <c r="AI208" s="5"/>
    </row>
    <row r="209" spans="2:35">
      <c r="B209" s="88"/>
      <c r="C209" s="88"/>
      <c r="D209" t="s">
        <v>1665</v>
      </c>
      <c r="E209" s="88">
        <f>SA!H7</f>
        <v>43644.999999999993</v>
      </c>
      <c r="F209" s="9">
        <v>7700</v>
      </c>
      <c r="G209" s="88">
        <v>9167</v>
      </c>
      <c r="H209" s="5">
        <f t="shared" si="55"/>
        <v>0.83996945565615799</v>
      </c>
      <c r="I209" s="5">
        <f t="shared" si="56"/>
        <v>0.17642341619887733</v>
      </c>
      <c r="J209" s="88">
        <v>1400</v>
      </c>
      <c r="K209" s="16">
        <f t="shared" si="57"/>
        <v>0.15272171921021055</v>
      </c>
      <c r="L209" s="16">
        <f t="shared" si="58"/>
        <v>3.2076984763432244E-2</v>
      </c>
      <c r="M209" s="88">
        <v>1200</v>
      </c>
      <c r="N209" s="5">
        <f t="shared" si="59"/>
        <v>0.13090433075160904</v>
      </c>
      <c r="O209" s="5">
        <f t="shared" si="60"/>
        <v>2.7494558368656209E-2</v>
      </c>
      <c r="R209" s="88"/>
      <c r="S209" s="88">
        <f>Colombia!C8</f>
        <v>29401</v>
      </c>
      <c r="T209" s="88">
        <f>Colombia!D8</f>
        <v>33477</v>
      </c>
      <c r="U209" s="5"/>
      <c r="V209" s="5">
        <f>Colombia!C14</f>
        <v>0.68374418604651166</v>
      </c>
      <c r="W209" s="5">
        <f>Colombia!D14</f>
        <v>0.76702944208958657</v>
      </c>
      <c r="X209" s="7">
        <f t="shared" si="61"/>
        <v>4.7610995963783127</v>
      </c>
      <c r="Y209" s="88">
        <v>7900</v>
      </c>
      <c r="Z209" s="88">
        <v>878</v>
      </c>
      <c r="AI209" s="5"/>
    </row>
    <row r="210" spans="2:35">
      <c r="B210" s="88"/>
      <c r="C210" s="88"/>
      <c r="D210" t="s">
        <v>2377</v>
      </c>
      <c r="E210" s="88">
        <f>SA!H5</f>
        <v>9119</v>
      </c>
      <c r="F210" s="9">
        <f>Y210*(1.05)^6</f>
        <v>690.14925492187501</v>
      </c>
      <c r="G210" s="88">
        <v>2071</v>
      </c>
      <c r="H210" s="5">
        <f t="shared" si="55"/>
        <v>0.33324444950356108</v>
      </c>
      <c r="I210" s="5">
        <f t="shared" si="56"/>
        <v>7.568255893429926E-2</v>
      </c>
      <c r="J210" s="88">
        <v>580</v>
      </c>
      <c r="K210" s="16">
        <f t="shared" si="57"/>
        <v>0.28005794302269438</v>
      </c>
      <c r="L210" s="16">
        <f t="shared" si="58"/>
        <v>6.3603465292246961E-2</v>
      </c>
      <c r="M210" s="88">
        <v>10.8</v>
      </c>
      <c r="N210" s="5">
        <f t="shared" si="59"/>
        <v>5.2148720424915499E-3</v>
      </c>
      <c r="O210" s="5">
        <f t="shared" si="60"/>
        <v>1.1843403882004606E-3</v>
      </c>
      <c r="R210" s="88">
        <f>SA!F32</f>
        <v>2480.9766960000002</v>
      </c>
      <c r="S210" s="88">
        <f>SA!G32</f>
        <v>2553.3200000000002</v>
      </c>
      <c r="T210" s="88">
        <f>SA!H32</f>
        <v>3017.1428571428573</v>
      </c>
      <c r="U210" s="5">
        <f>SA!F14</f>
        <v>0.27600000000000002</v>
      </c>
      <c r="V210" s="5">
        <f>SA!G14</f>
        <v>0.28000000000000003</v>
      </c>
      <c r="W210" s="5">
        <f>SA!H14</f>
        <v>0.33086334654489058</v>
      </c>
      <c r="X210" s="7">
        <f t="shared" si="61"/>
        <v>4.4031868662481894</v>
      </c>
      <c r="Y210" s="88">
        <v>515</v>
      </c>
      <c r="Z210" s="88">
        <v>120</v>
      </c>
      <c r="AI210" s="5"/>
    </row>
    <row r="211" spans="2:35">
      <c r="B211" s="88"/>
      <c r="C211" s="88"/>
      <c r="D211" t="s">
        <v>2378</v>
      </c>
      <c r="E211" s="88">
        <f>SA!H6</f>
        <v>6669</v>
      </c>
      <c r="F211" s="9">
        <f>Y211*(1.05)^6</f>
        <v>387.287640140625</v>
      </c>
      <c r="G211" s="88">
        <v>1192</v>
      </c>
      <c r="H211" s="5">
        <f t="shared" si="55"/>
        <v>0.32490573837300757</v>
      </c>
      <c r="I211" s="5">
        <f t="shared" si="56"/>
        <v>5.8072820533906881E-2</v>
      </c>
      <c r="J211" s="88">
        <v>260</v>
      </c>
      <c r="K211" s="16">
        <f t="shared" si="57"/>
        <v>0.21812080536912751</v>
      </c>
      <c r="L211" s="16">
        <f t="shared" si="58"/>
        <v>3.8986354775828458E-2</v>
      </c>
      <c r="M211" s="88">
        <v>16</v>
      </c>
      <c r="N211" s="5">
        <f t="shared" si="59"/>
        <v>1.3422818791946308E-2</v>
      </c>
      <c r="O211" s="5">
        <f t="shared" si="60"/>
        <v>2.3991602938971358E-3</v>
      </c>
      <c r="R211" s="88">
        <f>SA!F33</f>
        <v>1574.564288</v>
      </c>
      <c r="S211" s="88">
        <f>SA!G33</f>
        <v>3134.43</v>
      </c>
      <c r="T211" s="88">
        <f>SA!H33</f>
        <v>4134</v>
      </c>
      <c r="U211" s="5">
        <f>SA!F15</f>
        <v>0.24199999999999999</v>
      </c>
      <c r="V211" s="5">
        <f>SA!G15</f>
        <v>0.47</v>
      </c>
      <c r="W211" s="5">
        <f>SA!H15</f>
        <v>0.61988304093567248</v>
      </c>
      <c r="X211" s="7">
        <f t="shared" si="61"/>
        <v>5.5947986577181208</v>
      </c>
      <c r="Y211" s="88">
        <v>289</v>
      </c>
      <c r="Z211" s="88">
        <v>20</v>
      </c>
      <c r="AI211" s="5"/>
    </row>
    <row r="212" spans="2:35">
      <c r="B212" s="88"/>
      <c r="C212" s="88"/>
      <c r="D212" t="s">
        <v>2382</v>
      </c>
      <c r="E212" s="88">
        <f>Africa!H5</f>
        <v>22931</v>
      </c>
      <c r="F212" s="9">
        <f>Y212*(1.05)^6</f>
        <v>324.30314503124998</v>
      </c>
      <c r="G212" s="88">
        <v>3589</v>
      </c>
      <c r="H212" s="5">
        <f t="shared" si="55"/>
        <v>9.0360307893911945E-2</v>
      </c>
      <c r="I212" s="5">
        <f t="shared" si="56"/>
        <v>1.4142564433790502E-2</v>
      </c>
      <c r="J212" s="88">
        <v>650</v>
      </c>
      <c r="K212" s="16">
        <f t="shared" si="57"/>
        <v>0.18110894399554192</v>
      </c>
      <c r="L212" s="16">
        <f t="shared" si="58"/>
        <v>2.8345907287078628E-2</v>
      </c>
      <c r="M212" s="88">
        <v>12.7</v>
      </c>
      <c r="N212" s="5">
        <f t="shared" si="59"/>
        <v>3.5385901365282807E-3</v>
      </c>
      <c r="O212" s="5">
        <f t="shared" si="60"/>
        <v>5.5383541930138238E-4</v>
      </c>
      <c r="R212" s="88">
        <f>Africa!F37</f>
        <v>2733.8980000000001</v>
      </c>
      <c r="S212" s="88">
        <f>Africa!G37</f>
        <v>4356.8900000000003</v>
      </c>
      <c r="T212" s="88">
        <f>Africa!H37</f>
        <v>6976.1758620689652</v>
      </c>
      <c r="U212" s="5">
        <f>Africa!F16</f>
        <v>0.122</v>
      </c>
      <c r="V212" s="5">
        <f>Africa!G16</f>
        <v>0.19</v>
      </c>
      <c r="W212" s="5">
        <f>Africa!H16</f>
        <v>0.30422466800701953</v>
      </c>
      <c r="X212" s="7">
        <f t="shared" si="61"/>
        <v>6.3892449150181108</v>
      </c>
      <c r="Y212" s="88">
        <v>242</v>
      </c>
      <c r="Z212" s="88">
        <v>30</v>
      </c>
      <c r="AI212" s="5"/>
    </row>
    <row r="213" spans="2:35">
      <c r="B213" s="88"/>
      <c r="C213" s="88"/>
      <c r="D213" t="s">
        <v>2383</v>
      </c>
      <c r="E213" s="88">
        <f>Africa!H6</f>
        <v>1251</v>
      </c>
      <c r="F213" s="9">
        <f>Y213*(1.05)^6</f>
        <v>411.40936167187499</v>
      </c>
      <c r="G213" s="88">
        <v>232</v>
      </c>
      <c r="H213" s="5">
        <f t="shared" si="55"/>
        <v>1.7733162141029095</v>
      </c>
      <c r="I213" s="5">
        <f t="shared" si="56"/>
        <v>0.32886439781924459</v>
      </c>
      <c r="J213" s="88">
        <v>340</v>
      </c>
      <c r="K213" s="16">
        <f t="shared" si="57"/>
        <v>1.4655172413793103</v>
      </c>
      <c r="L213" s="16">
        <f t="shared" si="58"/>
        <v>0.27178257394084732</v>
      </c>
      <c r="M213" s="88">
        <v>21.9</v>
      </c>
      <c r="N213" s="5">
        <f t="shared" si="59"/>
        <v>9.4396551724137925E-2</v>
      </c>
      <c r="O213" s="5">
        <f t="shared" si="60"/>
        <v>1.750599520383693E-2</v>
      </c>
      <c r="R213" s="88">
        <f>Africa!F38</f>
        <v>606.36</v>
      </c>
      <c r="S213" s="88">
        <f>Africa!G38</f>
        <v>763.11</v>
      </c>
      <c r="T213" s="88">
        <f>Africa!H38</f>
        <v>869.09047619047612</v>
      </c>
      <c r="U213" s="5">
        <f>Africa!F17</f>
        <v>0.48899999999999999</v>
      </c>
      <c r="V213" s="5">
        <f>Africa!G17</f>
        <v>0.61</v>
      </c>
      <c r="W213" s="5">
        <f>Africa!H17</f>
        <v>0.69471660766624788</v>
      </c>
      <c r="X213" s="7">
        <f t="shared" si="61"/>
        <v>5.3922413793103452</v>
      </c>
      <c r="Y213" s="88">
        <v>307</v>
      </c>
      <c r="Z213" s="88">
        <v>87</v>
      </c>
      <c r="AI213" s="5"/>
    </row>
    <row r="214" spans="2:35">
      <c r="B214" s="88"/>
      <c r="C214" s="88"/>
      <c r="D214" t="s">
        <v>2384</v>
      </c>
      <c r="E214" s="88">
        <f>Africa!H7</f>
        <v>12522</v>
      </c>
      <c r="F214" s="9">
        <v>260.49299999999999</v>
      </c>
      <c r="G214" s="88">
        <v>1671</v>
      </c>
      <c r="H214" s="5">
        <f t="shared" si="55"/>
        <v>0.15589048473967684</v>
      </c>
      <c r="I214" s="5">
        <f t="shared" si="56"/>
        <v>2.080282702443699E-2</v>
      </c>
      <c r="J214" s="88">
        <v>41.098999999999997</v>
      </c>
      <c r="K214" s="16">
        <f t="shared" si="57"/>
        <v>2.4595451825254338E-2</v>
      </c>
      <c r="L214" s="16">
        <f t="shared" si="58"/>
        <v>3.2821434275674809E-3</v>
      </c>
      <c r="M214" s="88">
        <v>0.25</v>
      </c>
      <c r="N214" s="5">
        <f t="shared" si="59"/>
        <v>1.4961101137043686E-4</v>
      </c>
      <c r="O214" s="5">
        <f t="shared" si="60"/>
        <v>1.9964861843156046E-5</v>
      </c>
      <c r="R214" s="88">
        <f>Africa!F39</f>
        <v>1690.1669999999999</v>
      </c>
      <c r="S214" s="88">
        <f>Africa!G39</f>
        <v>2754.84</v>
      </c>
      <c r="T214" s="88">
        <f>Africa!H39</f>
        <v>3608.0806451612907</v>
      </c>
      <c r="U214" s="5">
        <f>Africa!F18</f>
        <v>0.14099999999999999</v>
      </c>
      <c r="V214" s="5">
        <f>Africa!G18</f>
        <v>0.22</v>
      </c>
      <c r="W214" s="5">
        <f>Africa!H18</f>
        <v>0.28813932639844198</v>
      </c>
      <c r="X214" s="7">
        <f t="shared" si="61"/>
        <v>7.493716337522442</v>
      </c>
      <c r="Y214" s="88">
        <v>237</v>
      </c>
      <c r="Z214" s="88">
        <v>40</v>
      </c>
      <c r="AI214" s="5"/>
    </row>
    <row r="215" spans="2:35">
      <c r="B215" s="88"/>
      <c r="C215" s="88"/>
      <c r="D215" t="s">
        <v>577</v>
      </c>
      <c r="E215" s="88" t="e">
        <f>Africa!#REF!</f>
        <v>#REF!</v>
      </c>
      <c r="F215" s="9">
        <f>Y215*(1.05)^6</f>
        <v>30.55418060625</v>
      </c>
      <c r="G215" s="88">
        <v>870</v>
      </c>
      <c r="H215" s="5">
        <f t="shared" si="55"/>
        <v>3.5119747823275864E-2</v>
      </c>
      <c r="I215" s="5" t="e">
        <f t="shared" si="56"/>
        <v>#REF!</v>
      </c>
      <c r="J215" s="88">
        <v>13</v>
      </c>
      <c r="K215" s="16">
        <f t="shared" si="57"/>
        <v>1.4942528735632184E-2</v>
      </c>
      <c r="L215" s="16" t="e">
        <f t="shared" si="58"/>
        <v>#REF!</v>
      </c>
      <c r="M215" s="88">
        <v>0</v>
      </c>
      <c r="N215" s="5">
        <f t="shared" si="59"/>
        <v>0</v>
      </c>
      <c r="O215" s="5" t="e">
        <f t="shared" si="60"/>
        <v>#REF!</v>
      </c>
      <c r="R215" s="88" t="e">
        <f>Africa!#REF!</f>
        <v>#REF!</v>
      </c>
      <c r="S215" s="88" t="e">
        <f>Africa!#REF!</f>
        <v>#REF!</v>
      </c>
      <c r="T215" s="88" t="e">
        <f>Africa!#REF!</f>
        <v>#REF!</v>
      </c>
      <c r="U215" s="5" t="e">
        <f>Africa!#REF!</f>
        <v>#REF!</v>
      </c>
      <c r="V215" s="5" t="e">
        <f>Africa!#REF!</f>
        <v>#REF!</v>
      </c>
      <c r="W215" s="5" t="e">
        <f>Africa!#REF!</f>
        <v>#REF!</v>
      </c>
      <c r="X215" s="7" t="e">
        <f t="shared" si="61"/>
        <v>#REF!</v>
      </c>
      <c r="Y215" s="88">
        <v>22.8</v>
      </c>
      <c r="Z215" s="88">
        <v>5</v>
      </c>
      <c r="AI215" s="5"/>
    </row>
    <row r="216" spans="2:35">
      <c r="B216" s="88"/>
      <c r="C216" s="88"/>
      <c r="D216" t="s">
        <v>578</v>
      </c>
      <c r="E216" s="88">
        <f>Africa!H8</f>
        <v>39384</v>
      </c>
      <c r="F216" s="9">
        <f>Y216*(1.05)^6</f>
        <v>199.00420263281251</v>
      </c>
      <c r="G216" s="88">
        <v>6401</v>
      </c>
      <c r="H216" s="5">
        <f t="shared" si="55"/>
        <v>3.1089548919358303E-2</v>
      </c>
      <c r="I216" s="5">
        <f t="shared" si="56"/>
        <v>5.0529200343492914E-3</v>
      </c>
      <c r="J216" s="88">
        <v>400</v>
      </c>
      <c r="K216" s="16">
        <f t="shared" si="57"/>
        <v>6.2490235900640526E-2</v>
      </c>
      <c r="L216" s="16">
        <f t="shared" si="58"/>
        <v>1.0156408693885842E-2</v>
      </c>
      <c r="M216" s="88">
        <v>0</v>
      </c>
      <c r="N216" s="5">
        <f t="shared" si="59"/>
        <v>0</v>
      </c>
      <c r="O216" s="5">
        <f t="shared" si="60"/>
        <v>0</v>
      </c>
      <c r="R216" s="88">
        <f>Africa!F40</f>
        <v>2962.5</v>
      </c>
      <c r="S216" s="88">
        <f>Africa!G40</f>
        <v>3544.56</v>
      </c>
      <c r="T216" s="88">
        <f>Africa!H40</f>
        <v>7447.9875000000002</v>
      </c>
      <c r="U216" s="5">
        <f>Africa!F19</f>
        <v>7.9000000000000001E-2</v>
      </c>
      <c r="V216" s="5">
        <f>Africa!G19</f>
        <v>0.09</v>
      </c>
      <c r="W216" s="5">
        <f>Africa!H19</f>
        <v>0.18911201249238269</v>
      </c>
      <c r="X216" s="7">
        <f t="shared" si="61"/>
        <v>6.152788626777066</v>
      </c>
      <c r="Y216" s="88">
        <v>148.5</v>
      </c>
      <c r="Z216" s="88">
        <v>115</v>
      </c>
      <c r="AI216" s="5"/>
    </row>
    <row r="217" spans="2:35">
      <c r="B217" s="88"/>
      <c r="C217" s="88"/>
      <c r="D217" t="s">
        <v>579</v>
      </c>
      <c r="E217" s="88">
        <f>Africa!H9</f>
        <v>9886</v>
      </c>
      <c r="F217" s="9">
        <f>Y217*(1.05)^6</f>
        <v>14.741052046875</v>
      </c>
      <c r="G217" s="88">
        <v>1519</v>
      </c>
      <c r="H217" s="5">
        <f t="shared" si="55"/>
        <v>9.7044450604838704E-3</v>
      </c>
      <c r="I217" s="5">
        <f t="shared" si="56"/>
        <v>1.491103787869209E-3</v>
      </c>
      <c r="J217" s="88">
        <v>60</v>
      </c>
      <c r="K217" s="16">
        <f t="shared" si="57"/>
        <v>3.9499670836076368E-2</v>
      </c>
      <c r="L217" s="16">
        <f t="shared" si="58"/>
        <v>6.0691887517701796E-3</v>
      </c>
      <c r="M217" s="88">
        <v>0</v>
      </c>
      <c r="N217" s="5">
        <f t="shared" si="59"/>
        <v>0</v>
      </c>
      <c r="O217" s="5">
        <f t="shared" si="60"/>
        <v>0</v>
      </c>
      <c r="R217" s="88">
        <f>Africa!F41</f>
        <v>338.096</v>
      </c>
      <c r="S217" s="88">
        <f>Africa!G41</f>
        <v>494.3</v>
      </c>
      <c r="T217" s="88">
        <f>Africa!H41</f>
        <v>718.56888888888886</v>
      </c>
      <c r="U217" s="5">
        <f>Africa!F20</f>
        <v>3.4000000000000002E-2</v>
      </c>
      <c r="V217" s="5">
        <f>Africa!G20</f>
        <v>0.05</v>
      </c>
      <c r="W217" s="5">
        <f>Africa!H20</f>
        <v>7.2685503630274012E-2</v>
      </c>
      <c r="X217" s="7">
        <f t="shared" si="61"/>
        <v>6.5082290980908493</v>
      </c>
      <c r="Y217" s="88">
        <v>11</v>
      </c>
      <c r="Z217" s="88">
        <v>1</v>
      </c>
      <c r="AI217" s="5"/>
    </row>
    <row r="218" spans="2:35">
      <c r="B218" s="88"/>
      <c r="C218" s="88"/>
      <c r="D218" t="s">
        <v>827</v>
      </c>
      <c r="E218" s="88">
        <f>Africa!H10</f>
        <v>65752</v>
      </c>
      <c r="F218" s="9">
        <f>Y218</f>
        <v>1100</v>
      </c>
      <c r="G218" s="88">
        <v>4006</v>
      </c>
      <c r="H218" s="5">
        <f t="shared" si="55"/>
        <v>0.27458811782326509</v>
      </c>
      <c r="I218" s="5">
        <f t="shared" si="56"/>
        <v>1.6729529139798027E-2</v>
      </c>
      <c r="J218" s="88">
        <v>230.4</v>
      </c>
      <c r="K218" s="16">
        <f t="shared" si="57"/>
        <v>5.7513729405891167E-2</v>
      </c>
      <c r="L218" s="16">
        <f t="shared" si="58"/>
        <v>3.5040759216449693E-3</v>
      </c>
      <c r="M218" s="88">
        <v>1.5</v>
      </c>
      <c r="N218" s="5">
        <f t="shared" si="59"/>
        <v>3.7443834248627057E-4</v>
      </c>
      <c r="O218" s="5">
        <f t="shared" si="60"/>
        <v>2.2812994281542768E-5</v>
      </c>
      <c r="R218" s="88">
        <f>Africa!F42</f>
        <v>2945.02</v>
      </c>
      <c r="S218" s="88">
        <f>Africa!G42</f>
        <v>3287.6000000000004</v>
      </c>
      <c r="T218" s="88">
        <f>Africa!H42</f>
        <v>3903.571428571428</v>
      </c>
      <c r="U218" s="5">
        <f>Africa!F21</f>
        <v>4.7E-2</v>
      </c>
      <c r="V218" s="5">
        <f>Africa!G21</f>
        <v>0.05</v>
      </c>
      <c r="W218" s="5">
        <f>Africa!H21</f>
        <v>5.936810178506248E-2</v>
      </c>
      <c r="X218" s="7">
        <f t="shared" si="61"/>
        <v>16.413379930104842</v>
      </c>
      <c r="Y218" s="88">
        <v>1100</v>
      </c>
      <c r="Z218" s="88">
        <v>0.5</v>
      </c>
      <c r="AI218" s="5"/>
    </row>
    <row r="219" spans="2:35">
      <c r="B219" s="88"/>
      <c r="C219" s="88"/>
      <c r="D219" s="11" t="s">
        <v>2172</v>
      </c>
      <c r="E219" s="11">
        <v>4504</v>
      </c>
      <c r="F219" s="13">
        <f>Y219*(1.05)^6</f>
        <v>1266.3903803906251</v>
      </c>
      <c r="G219" s="89">
        <v>966.51700000000005</v>
      </c>
      <c r="H219" s="17">
        <f t="shared" si="55"/>
        <v>1.3102618788812044</v>
      </c>
      <c r="I219" s="17">
        <f t="shared" si="56"/>
        <v>0.28117015550413521</v>
      </c>
      <c r="J219" s="89">
        <v>1214.4000000000001</v>
      </c>
      <c r="K219" s="20">
        <f t="shared" si="57"/>
        <v>1.2564703983478822</v>
      </c>
      <c r="L219" s="20">
        <f t="shared" si="58"/>
        <v>0.2696269982238011</v>
      </c>
      <c r="M219" s="89">
        <v>59.1</v>
      </c>
      <c r="N219" s="17">
        <f t="shared" si="59"/>
        <v>6.1147398338570351E-2</v>
      </c>
      <c r="O219" s="17">
        <f t="shared" si="60"/>
        <v>1.3121669626998225E-2</v>
      </c>
      <c r="S219" s="89"/>
      <c r="T219" s="17"/>
      <c r="U219" s="17"/>
      <c r="V219" s="11"/>
      <c r="W219" s="11"/>
      <c r="X219" s="14">
        <f t="shared" si="61"/>
        <v>4.6600318463099972</v>
      </c>
      <c r="Y219" s="89">
        <v>945</v>
      </c>
      <c r="Z219" s="89">
        <v>250</v>
      </c>
    </row>
    <row r="220" spans="2:35">
      <c r="B220" s="88"/>
      <c r="C220" s="88"/>
      <c r="D220" s="21" t="s">
        <v>1070</v>
      </c>
      <c r="E220" s="88">
        <f>E206+E207+E208+E209+E210+E211+E219</f>
        <v>91097</v>
      </c>
      <c r="F220" s="88">
        <f>F206+F207+F208+F209+F210+F211+F219</f>
        <v>12665.510147370322</v>
      </c>
      <c r="G220" s="88">
        <f>G206+G207+G208+G209+G210+G211+G219</f>
        <v>18598.517</v>
      </c>
      <c r="H220" s="5">
        <f>AVERAGE(H206,H207,H208,H209,H210,H211,H219)</f>
        <v>0.60427000010650256</v>
      </c>
      <c r="I220" s="5">
        <f>AVERAGE(I206,I207,I208,I209,I210,I211,I219)</f>
        <v>0.12383799596405945</v>
      </c>
      <c r="J220" s="88">
        <f>J206+J207+J208+J209+J210+J211+J219</f>
        <v>5818.5</v>
      </c>
      <c r="K220" s="5">
        <f>AVERAGE(K206,K207,K208,K209,K210,K211,K219)</f>
        <v>0.45638352027416135</v>
      </c>
      <c r="L220" s="5">
        <f>AVERAGE(L206,L207,L208,L209,L210,L211,L219)</f>
        <v>9.3532666567561248E-2</v>
      </c>
      <c r="M220" s="88">
        <f>M206+M207+M208+M209+M210+M211+M219</f>
        <v>1355.3</v>
      </c>
      <c r="N220" s="5">
        <f>AVERAGE(N206,N207,N208,N209,N210,N211,N219)</f>
        <v>3.588101840697E-2</v>
      </c>
      <c r="O220" s="5">
        <f>AVERAGE(O206,O207,O208,O209,O210,O211,O219)</f>
        <v>7.4881393752964471E-3</v>
      </c>
      <c r="S220" s="88"/>
      <c r="T220" s="5"/>
      <c r="U220" s="5"/>
      <c r="V220" s="21"/>
      <c r="W220" s="21"/>
      <c r="X220" s="7"/>
      <c r="Y220" s="88"/>
      <c r="Z220" s="88"/>
    </row>
    <row r="221" spans="2:35">
      <c r="B221" s="88"/>
      <c r="C221" s="88"/>
      <c r="D221" s="21" t="s">
        <v>1071</v>
      </c>
      <c r="E221" s="88" t="e">
        <f>SUM(E203:E219)</f>
        <v>#REF!</v>
      </c>
      <c r="F221" s="88">
        <f>SUM(F203:F219)</f>
        <v>16156.690390885395</v>
      </c>
      <c r="G221" s="88">
        <f>SUM(G203:G219)</f>
        <v>43364.517</v>
      </c>
      <c r="H221" s="5">
        <f>AVERAGE(H203:H220)</f>
        <v>0.42366751965345895</v>
      </c>
      <c r="I221" s="5" t="e">
        <f>AVERAGE(I203:I220)</f>
        <v>#REF!</v>
      </c>
      <c r="J221" s="88">
        <f>SUM(J203:J219)</f>
        <v>8049.9989999999998</v>
      </c>
      <c r="K221" s="5">
        <f>AVERAGE(K203:K220)</f>
        <v>0.3147768716782518</v>
      </c>
      <c r="L221" s="5" t="e">
        <f>AVERAGE(L203:L220)</f>
        <v>#REF!</v>
      </c>
      <c r="M221" s="88">
        <f>SUM(M203:M219)</f>
        <v>1463.55</v>
      </c>
      <c r="N221" s="5">
        <f>AVERAGE(N203:N220)</f>
        <v>2.275962187174764E-2</v>
      </c>
      <c r="O221" s="5" t="e">
        <f>AVERAGE(O203:O220)</f>
        <v>#REF!</v>
      </c>
      <c r="S221" s="88"/>
      <c r="T221" s="5"/>
      <c r="U221" s="5"/>
      <c r="V221" s="21"/>
      <c r="W221" s="21"/>
      <c r="X221" s="7"/>
      <c r="Y221" s="88"/>
      <c r="Z221" s="88"/>
    </row>
    <row r="222" spans="2:35">
      <c r="B222" s="88"/>
      <c r="C222" s="88"/>
      <c r="D222" s="21"/>
      <c r="E222" s="21"/>
      <c r="F222" s="9"/>
      <c r="G222" s="88"/>
      <c r="H222" s="5"/>
      <c r="I222" s="5"/>
      <c r="J222" s="88"/>
      <c r="K222" s="16"/>
      <c r="L222" s="16"/>
      <c r="M222" s="88"/>
      <c r="N222" s="5"/>
      <c r="O222" s="5"/>
      <c r="S222" s="88"/>
      <c r="T222" s="5"/>
      <c r="U222" s="5"/>
      <c r="V222" s="21"/>
      <c r="W222" s="21" t="str">
        <f t="shared" ref="W222:W231" si="62">D203</f>
        <v>Cambodia</v>
      </c>
      <c r="X222" s="16">
        <f t="shared" ref="X222:X231" si="63">H203</f>
        <v>2.1439509954058193E-2</v>
      </c>
      <c r="Y222" s="5">
        <f t="shared" ref="Y222:Y231" si="64">O203</f>
        <v>3.5727045373347622E-4</v>
      </c>
      <c r="Z222" s="88"/>
      <c r="AA222" t="s">
        <v>1823</v>
      </c>
    </row>
    <row r="223" spans="2:35">
      <c r="D223" t="s">
        <v>2</v>
      </c>
      <c r="W223" s="21" t="str">
        <f t="shared" si="62"/>
        <v>Laos</v>
      </c>
      <c r="X223" s="16">
        <f t="shared" si="63"/>
        <v>0.11811023622047244</v>
      </c>
      <c r="Y223" s="5">
        <f t="shared" si="64"/>
        <v>5.5197792088316469E-4</v>
      </c>
    </row>
    <row r="224" spans="2:35">
      <c r="D224" t="s">
        <v>1</v>
      </c>
      <c r="W224" s="21" t="str">
        <f t="shared" si="62"/>
        <v>Sri Lanka</v>
      </c>
      <c r="X224" s="16">
        <f t="shared" si="63"/>
        <v>0.2822367403728267</v>
      </c>
      <c r="Y224" s="5">
        <f t="shared" si="64"/>
        <v>3.093960719909309E-3</v>
      </c>
    </row>
    <row r="225" spans="4:30">
      <c r="D225" t="s">
        <v>2042</v>
      </c>
      <c r="W225" s="21" t="str">
        <f t="shared" si="62"/>
        <v>El Salvador</v>
      </c>
      <c r="X225" s="16">
        <f t="shared" si="63"/>
        <v>0.49346459801267584</v>
      </c>
      <c r="Y225" s="5">
        <f t="shared" si="64"/>
        <v>6.0880829015544039E-3</v>
      </c>
    </row>
    <row r="226" spans="4:30">
      <c r="D226" t="s">
        <v>1417</v>
      </c>
      <c r="W226" s="21" t="str">
        <f t="shared" si="62"/>
        <v>Guatemala</v>
      </c>
      <c r="X226" s="16">
        <f t="shared" si="63"/>
        <v>0.61917425311166163</v>
      </c>
      <c r="Y226" s="5">
        <f t="shared" si="64"/>
        <v>2.1291640477686989E-3</v>
      </c>
    </row>
    <row r="227" spans="4:30">
      <c r="D227" t="s">
        <v>1218</v>
      </c>
      <c r="W227" s="21" t="str">
        <f t="shared" si="62"/>
        <v>Honduras</v>
      </c>
      <c r="X227" s="16">
        <f t="shared" si="63"/>
        <v>0.30886962720724909</v>
      </c>
      <c r="Y227" s="5">
        <f t="shared" si="64"/>
        <v>0</v>
      </c>
    </row>
    <row r="228" spans="4:30">
      <c r="W228" s="21" t="str">
        <f t="shared" si="62"/>
        <v>Colombia</v>
      </c>
      <c r="X228" s="16">
        <f t="shared" si="63"/>
        <v>0.83996945565615799</v>
      </c>
      <c r="Y228" s="5">
        <f t="shared" si="64"/>
        <v>2.7494558368656209E-2</v>
      </c>
    </row>
    <row r="229" spans="4:30">
      <c r="D229" s="192" t="s">
        <v>0</v>
      </c>
      <c r="W229" s="21" t="str">
        <f t="shared" si="62"/>
        <v>Bolivia</v>
      </c>
      <c r="X229" s="16">
        <f t="shared" si="63"/>
        <v>0.33324444950356108</v>
      </c>
      <c r="Y229" s="5">
        <f t="shared" si="64"/>
        <v>1.1843403882004606E-3</v>
      </c>
    </row>
    <row r="230" spans="4:30">
      <c r="W230" s="21" t="str">
        <f t="shared" si="62"/>
        <v>Paraguay</v>
      </c>
      <c r="X230" s="16">
        <f t="shared" si="63"/>
        <v>0.32490573837300757</v>
      </c>
      <c r="Y230" s="5">
        <f t="shared" si="64"/>
        <v>2.3991602938971358E-3</v>
      </c>
    </row>
    <row r="231" spans="4:30">
      <c r="D231" s="11"/>
      <c r="E231" s="11"/>
      <c r="F231" s="11"/>
      <c r="G231" s="11"/>
      <c r="H231" s="11"/>
      <c r="I231" s="23">
        <f>CA!G2</f>
        <v>2006</v>
      </c>
      <c r="J231" s="23">
        <f>CA!H2</f>
        <v>2007</v>
      </c>
      <c r="K231" s="23">
        <f>CA!I2</f>
        <v>2008</v>
      </c>
      <c r="L231" s="23">
        <f>CA!J2</f>
        <v>2009</v>
      </c>
      <c r="M231" s="23">
        <f>CA!K2</f>
        <v>2010</v>
      </c>
      <c r="N231" s="23">
        <f>CA!L2</f>
        <v>2011</v>
      </c>
      <c r="O231" s="23">
        <f>CA!M2</f>
        <v>2012</v>
      </c>
      <c r="P231" s="23">
        <f>CA!N2</f>
        <v>2013</v>
      </c>
      <c r="Q231" s="23">
        <f>CA!O2</f>
        <v>2014</v>
      </c>
      <c r="W231" s="21" t="str">
        <f t="shared" si="62"/>
        <v>Ghana</v>
      </c>
      <c r="X231" s="16">
        <f t="shared" si="63"/>
        <v>9.0360307893911945E-2</v>
      </c>
      <c r="Y231" s="5">
        <f t="shared" si="64"/>
        <v>5.5383541930138238E-4</v>
      </c>
    </row>
    <row r="232" spans="4:30">
      <c r="D232" s="50" t="str">
        <f>CA!B52</f>
        <v>El Salvador</v>
      </c>
      <c r="E232" s="26"/>
      <c r="F232" s="26"/>
      <c r="G232" s="26"/>
      <c r="H232" s="26"/>
      <c r="I232" s="52">
        <f>CA!G41/CA!G$46*CA!G$61</f>
        <v>213.82764465530599</v>
      </c>
      <c r="J232" s="52">
        <f>CA!H41/CA!H$46*CA!H$61</f>
        <v>288.85554509962998</v>
      </c>
      <c r="K232" s="52">
        <f>CA!I41/CA!I$46*CA!I$61</f>
        <v>311.29509855124303</v>
      </c>
      <c r="L232" s="52">
        <f>CA!J41/CA!J$46*CA!J$61</f>
        <v>327.60299150973299</v>
      </c>
      <c r="M232" s="52">
        <f>CA!K41/CA!K$46*CA!K$61</f>
        <v>307.32926232335251</v>
      </c>
      <c r="N232" s="52">
        <f>CA!L41/CA!L$46*CA!L$61</f>
        <v>329.85822979760275</v>
      </c>
      <c r="O232" s="52">
        <f>CA!M41/CA!M$46*CA!M$61</f>
        <v>398.04755943129248</v>
      </c>
      <c r="P232" s="52">
        <f>CA!N41/CA!N$46*CA!N$61</f>
        <v>339.96260353714626</v>
      </c>
      <c r="Q232" s="52">
        <f>CA!O41/CA!O$46*CA!O$61</f>
        <v>372.98574144571865</v>
      </c>
      <c r="R232" s="21"/>
      <c r="S232" s="21"/>
      <c r="T232" s="21"/>
      <c r="U232" s="21"/>
      <c r="V232" s="21"/>
      <c r="W232" s="21" t="str">
        <f>D214</f>
        <v>Senegal</v>
      </c>
      <c r="X232" s="16">
        <f t="shared" ref="X232:X237" si="65">H214</f>
        <v>0.15589048473967684</v>
      </c>
      <c r="Y232" s="5">
        <f t="shared" ref="Y232:Y237" si="66">O214</f>
        <v>1.9964861843156046E-5</v>
      </c>
      <c r="Z232" s="21"/>
      <c r="AA232" s="21"/>
    </row>
    <row r="233" spans="4:30">
      <c r="D233" s="50" t="str">
        <f>CA!B53</f>
        <v>Guatemala</v>
      </c>
      <c r="E233" s="26"/>
      <c r="F233" s="26"/>
      <c r="G233" s="26"/>
      <c r="H233" s="26"/>
      <c r="I233" s="52">
        <f>CA!G42/CA!G$46*CA!G$61</f>
        <v>342.71006061192872</v>
      </c>
      <c r="J233" s="52">
        <f>CA!H42/CA!H$46*CA!H$61</f>
        <v>479.43834445784643</v>
      </c>
      <c r="K233" s="52">
        <f>CA!I42/CA!I$46*CA!I$61</f>
        <v>543.5350336254694</v>
      </c>
      <c r="L233" s="52">
        <f>CA!J42/CA!J$46*CA!J$61</f>
        <v>633.87643573052287</v>
      </c>
      <c r="M233" s="52">
        <f>CA!K42/CA!K$46*CA!K$61</f>
        <v>710.66833417584348</v>
      </c>
      <c r="N233" s="52">
        <f>CA!L42/CA!L$46*CA!L$61</f>
        <v>776.20752257955894</v>
      </c>
      <c r="O233" s="52">
        <f>CA!M42/CA!M$46*CA!M$61</f>
        <v>1058.5205658995299</v>
      </c>
      <c r="P233" s="52">
        <f>CA!N42/CA!N$46*CA!N$61</f>
        <v>1083.8012996982848</v>
      </c>
      <c r="Q233" s="52">
        <f>CA!O42/CA!O$46*CA!O$61</f>
        <v>1090.8689811109462</v>
      </c>
      <c r="R233" s="21"/>
      <c r="S233" s="21"/>
      <c r="T233" s="21"/>
      <c r="U233" s="21"/>
      <c r="V233" s="21"/>
      <c r="W233" s="21" t="str">
        <f>D215</f>
        <v>Sierra Leone</v>
      </c>
      <c r="X233" s="16">
        <f t="shared" si="65"/>
        <v>3.5119747823275864E-2</v>
      </c>
      <c r="Y233" s="5" t="e">
        <f t="shared" si="66"/>
        <v>#REF!</v>
      </c>
      <c r="Z233" s="21"/>
      <c r="AA233" s="21"/>
    </row>
    <row r="234" spans="4:30">
      <c r="D234" s="57" t="str">
        <f>CA!B54</f>
        <v>Honduras</v>
      </c>
      <c r="E234" s="293"/>
      <c r="F234" s="293"/>
      <c r="G234" s="293"/>
      <c r="H234" s="293"/>
      <c r="I234" s="61">
        <f>CA!G43/CA!G$46*CA!G$61</f>
        <v>239.57329473276528</v>
      </c>
      <c r="J234" s="61">
        <f>CA!H43/CA!H$46*CA!H$61</f>
        <v>381.06011044252358</v>
      </c>
      <c r="K234" s="61">
        <f>CA!I43/CA!I$46*CA!I$61</f>
        <v>522.10886782328737</v>
      </c>
      <c r="L234" s="61">
        <f>CA!J43/CA!J$46*CA!J$61</f>
        <v>558.81057040976748</v>
      </c>
      <c r="M234" s="61">
        <f>CA!K43/CA!K$46*CA!K$61</f>
        <v>501.11064191463635</v>
      </c>
      <c r="N234" s="61">
        <f>CA!L43/CA!L$46*CA!L$61</f>
        <v>487.86762299434014</v>
      </c>
      <c r="O234" s="61">
        <f>CA!M43/CA!M$46*CA!M$61</f>
        <v>627.4693988215339</v>
      </c>
      <c r="P234" s="61">
        <f>CA!N43/CA!N$46*CA!N$61</f>
        <v>632.63961758727635</v>
      </c>
      <c r="Q234" s="61">
        <f>CA!O43/CA!O$46*CA!O$61</f>
        <v>627.08636039910664</v>
      </c>
      <c r="R234" s="21"/>
      <c r="S234" s="21"/>
      <c r="T234" s="21"/>
      <c r="U234" s="21"/>
      <c r="V234" s="21"/>
      <c r="W234" s="21" t="str">
        <f>D216</f>
        <v>Tanzania</v>
      </c>
      <c r="X234" s="16">
        <f t="shared" si="65"/>
        <v>3.1089548919358303E-2</v>
      </c>
      <c r="Y234" s="5">
        <f t="shared" si="66"/>
        <v>0</v>
      </c>
      <c r="Z234" s="21"/>
      <c r="AA234" s="21"/>
    </row>
    <row r="235" spans="4:30">
      <c r="D235" t="s">
        <v>1828</v>
      </c>
      <c r="I235" s="72">
        <f>CA!G61</f>
        <v>796.11099999999999</v>
      </c>
      <c r="J235" s="72">
        <f>CA!H61</f>
        <v>1149.354</v>
      </c>
      <c r="K235" s="72">
        <f>CA!I61</f>
        <v>1376.9389999999999</v>
      </c>
      <c r="L235" s="72">
        <f>CA!J61</f>
        <v>1520.2899976500235</v>
      </c>
      <c r="M235" s="72">
        <f>CA!K61</f>
        <v>1519.1082384138324</v>
      </c>
      <c r="N235" s="72">
        <f>CA!L61</f>
        <v>1593.9333753715018</v>
      </c>
      <c r="O235" s="72">
        <f>CA!M61</f>
        <v>2084.0375241523561</v>
      </c>
      <c r="P235" s="72">
        <f>CA!N61</f>
        <v>2056.4035208227074</v>
      </c>
      <c r="Q235" s="72">
        <f>CA!O61</f>
        <v>2090.9410829557714</v>
      </c>
      <c r="W235" s="21" t="str">
        <f>D217</f>
        <v>Chad</v>
      </c>
      <c r="X235" s="16">
        <f t="shared" si="65"/>
        <v>9.7044450604838704E-3</v>
      </c>
      <c r="Y235" s="5">
        <f t="shared" si="66"/>
        <v>0</v>
      </c>
    </row>
    <row r="236" spans="4:30">
      <c r="W236" s="21" t="s">
        <v>1961</v>
      </c>
      <c r="X236" s="16">
        <f t="shared" si="65"/>
        <v>0.27458811782326509</v>
      </c>
      <c r="Y236" s="5">
        <f t="shared" si="66"/>
        <v>2.2812994281542768E-5</v>
      </c>
    </row>
    <row r="237" spans="4:30">
      <c r="D237" s="299" t="s">
        <v>220</v>
      </c>
      <c r="E237" s="96" t="s">
        <v>2356</v>
      </c>
      <c r="F237" s="96" t="s">
        <v>499</v>
      </c>
      <c r="G237" s="96" t="s">
        <v>740</v>
      </c>
      <c r="H237" s="96" t="s">
        <v>558</v>
      </c>
      <c r="I237" s="96" t="s">
        <v>423</v>
      </c>
      <c r="J237" s="96" t="s">
        <v>106</v>
      </c>
      <c r="K237" s="306">
        <v>39600</v>
      </c>
      <c r="L237" s="306">
        <v>39630</v>
      </c>
      <c r="M237" s="306">
        <v>39661</v>
      </c>
      <c r="N237" s="306">
        <v>39692</v>
      </c>
      <c r="O237" s="4"/>
      <c r="P237" s="4"/>
      <c r="Q237" s="4"/>
      <c r="R237" s="21"/>
      <c r="S237" s="194"/>
      <c r="T237" s="16"/>
      <c r="U237" s="16"/>
      <c r="V237" s="16"/>
      <c r="W237" s="21" t="str">
        <f>D219</f>
        <v>Costa Rica</v>
      </c>
      <c r="X237" s="16">
        <f t="shared" si="65"/>
        <v>1.3102618788812044</v>
      </c>
      <c r="Y237" s="5">
        <f t="shared" si="66"/>
        <v>1.3121669626998225E-2</v>
      </c>
      <c r="Z237" s="16"/>
      <c r="AA237" s="16"/>
      <c r="AB237" s="16"/>
      <c r="AC237" s="16"/>
      <c r="AD237" s="16"/>
    </row>
    <row r="238" spans="4:30">
      <c r="D238" s="50" t="str">
        <f>Analysis!D232</f>
        <v>El Salvador</v>
      </c>
      <c r="E238" s="36">
        <v>4.24E-2</v>
      </c>
      <c r="F238" s="36">
        <v>4.1200000000000001E-2</v>
      </c>
      <c r="G238" s="36">
        <v>3.5499999999999997E-2</v>
      </c>
      <c r="H238" s="36">
        <v>3.4200000000000001E-2</v>
      </c>
      <c r="I238" s="36">
        <v>4.4200000000000003E-2</v>
      </c>
      <c r="J238" s="36">
        <v>6.1600000000000002E-2</v>
      </c>
      <c r="K238" s="36">
        <v>0.09</v>
      </c>
      <c r="L238" s="36">
        <v>9.6000000000000002E-2</v>
      </c>
      <c r="M238" s="36">
        <v>9.9000000000000005E-2</v>
      </c>
      <c r="N238" s="36">
        <v>8.6999999999999994E-2</v>
      </c>
      <c r="O238" s="4"/>
      <c r="P238" s="4"/>
      <c r="Q238" s="4"/>
      <c r="R238" s="21"/>
      <c r="S238" s="194"/>
      <c r="T238" s="16"/>
      <c r="U238" s="16"/>
      <c r="V238" s="16"/>
      <c r="Z238" s="16"/>
      <c r="AA238" s="16"/>
      <c r="AB238" s="16"/>
      <c r="AC238" s="16"/>
      <c r="AD238" s="16"/>
    </row>
    <row r="239" spans="4:30">
      <c r="D239" s="50" t="str">
        <f>Analysis!D233</f>
        <v>Guatemala</v>
      </c>
      <c r="E239" s="36">
        <v>0.06</v>
      </c>
      <c r="F239" s="36">
        <v>7.0000000000000007E-2</v>
      </c>
      <c r="G239" s="36">
        <v>0.05</v>
      </c>
      <c r="H239" s="36">
        <v>7.3999999999999996E-2</v>
      </c>
      <c r="I239" s="36">
        <v>0.09</v>
      </c>
      <c r="J239" s="36">
        <v>9.0999999999999998E-2</v>
      </c>
      <c r="K239" s="36">
        <v>0.1356</v>
      </c>
      <c r="L239" s="36">
        <v>0.1416</v>
      </c>
      <c r="M239" s="36">
        <v>0.13689999999999999</v>
      </c>
      <c r="N239" s="36">
        <v>0.1275</v>
      </c>
      <c r="O239" s="4"/>
      <c r="P239" s="4"/>
      <c r="Q239" s="4"/>
      <c r="R239" s="21"/>
      <c r="S239" s="194"/>
      <c r="T239" s="16"/>
      <c r="U239" s="16"/>
      <c r="V239" s="16"/>
      <c r="W239" s="21"/>
      <c r="X239" s="16"/>
      <c r="Y239" s="16"/>
      <c r="Z239" s="16"/>
      <c r="AA239" s="16"/>
      <c r="AB239" s="16"/>
      <c r="AC239" s="16"/>
      <c r="AD239" s="16"/>
    </row>
    <row r="240" spans="4:30">
      <c r="D240" s="50" t="str">
        <f>Analysis!D234</f>
        <v>Honduras</v>
      </c>
      <c r="E240" s="36">
        <v>5.2999999999999999E-2</v>
      </c>
      <c r="F240" s="36">
        <v>6.2E-2</v>
      </c>
      <c r="G240" s="36">
        <v>5.7000000000000002E-2</v>
      </c>
      <c r="H240" s="36">
        <v>4.4999999999999998E-2</v>
      </c>
      <c r="I240" s="36">
        <v>8.8999999999999996E-2</v>
      </c>
      <c r="J240" s="36">
        <v>9.1999999999999998E-2</v>
      </c>
      <c r="K240" s="36">
        <v>0.122</v>
      </c>
      <c r="L240" s="36">
        <v>0.13800000000000001</v>
      </c>
      <c r="M240" s="36">
        <v>0.14000000000000001</v>
      </c>
      <c r="N240" s="4"/>
      <c r="O240" s="4"/>
      <c r="P240" s="4"/>
      <c r="Q240" s="4"/>
      <c r="R240" s="21"/>
      <c r="S240" s="194"/>
      <c r="T240" s="16"/>
      <c r="U240" s="16"/>
      <c r="V240" s="16"/>
      <c r="W240" s="21"/>
      <c r="X240" s="16"/>
      <c r="Y240" s="16"/>
      <c r="Z240" s="16"/>
      <c r="AA240" s="16"/>
      <c r="AB240" s="16"/>
      <c r="AC240" s="16"/>
      <c r="AD240" s="16"/>
    </row>
    <row r="241" spans="4:30">
      <c r="D241" s="50" t="s">
        <v>2378</v>
      </c>
      <c r="E241" s="36">
        <v>9.8000000000000004E-2</v>
      </c>
      <c r="F241" s="36">
        <v>5.6000000000000001E-2</v>
      </c>
      <c r="G241" s="36">
        <v>6.8000000000000005E-2</v>
      </c>
      <c r="H241" s="36">
        <v>0.10100000000000001</v>
      </c>
      <c r="I241" s="36">
        <v>0.06</v>
      </c>
      <c r="J241" s="36">
        <v>0.123</v>
      </c>
      <c r="K241" s="36">
        <v>0.13400000000000001</v>
      </c>
      <c r="L241" s="36">
        <v>0.13400000000000001</v>
      </c>
      <c r="M241" s="36">
        <v>0.104</v>
      </c>
      <c r="N241" s="36">
        <v>9.0999999999999998E-2</v>
      </c>
      <c r="O241" s="4"/>
      <c r="P241" s="4"/>
      <c r="Q241" s="4"/>
      <c r="R241" s="21"/>
      <c r="S241" s="194"/>
      <c r="T241" s="16"/>
      <c r="U241" s="16"/>
      <c r="V241" s="16"/>
      <c r="W241" s="21"/>
      <c r="X241" s="16"/>
      <c r="Y241" s="16"/>
      <c r="Z241" s="16"/>
      <c r="AA241" s="16"/>
      <c r="AB241" s="16"/>
      <c r="AC241" s="16"/>
      <c r="AD241" s="16"/>
    </row>
    <row r="242" spans="4:30">
      <c r="D242" s="50" t="s">
        <v>2377</v>
      </c>
      <c r="E242" s="36">
        <v>0.06</v>
      </c>
      <c r="F242" s="36">
        <v>7.0000000000000007E-2</v>
      </c>
      <c r="G242" s="36">
        <v>6.5000000000000002E-2</v>
      </c>
      <c r="H242" s="36">
        <v>0.105</v>
      </c>
      <c r="I242" s="36">
        <v>0.12</v>
      </c>
      <c r="J242" s="36">
        <v>0.14000000000000001</v>
      </c>
      <c r="K242" s="36">
        <v>0.17</v>
      </c>
      <c r="L242" s="36">
        <v>0.1479</v>
      </c>
      <c r="M242" s="36">
        <v>0.13730000000000001</v>
      </c>
      <c r="N242" s="36">
        <v>0.14499999999999999</v>
      </c>
      <c r="O242" s="4"/>
      <c r="P242" s="4"/>
      <c r="Q242" s="4"/>
      <c r="R242" s="21"/>
      <c r="S242" s="194"/>
      <c r="T242" s="16"/>
      <c r="U242" s="16"/>
      <c r="V242" s="16"/>
      <c r="W242" s="16"/>
      <c r="X242" s="16"/>
      <c r="Y242" s="16"/>
      <c r="Z242" s="16"/>
      <c r="AA242" s="16"/>
      <c r="AB242" s="16"/>
      <c r="AC242" s="16"/>
      <c r="AD242" s="16"/>
    </row>
    <row r="243" spans="4:30">
      <c r="D243" t="s">
        <v>1665</v>
      </c>
      <c r="E243" s="36">
        <v>4.4999999999999998E-2</v>
      </c>
      <c r="F243" s="36">
        <v>5.7500000000000002E-2</v>
      </c>
      <c r="G243" s="36">
        <v>0.06</v>
      </c>
      <c r="H243" s="36">
        <v>0.05</v>
      </c>
      <c r="I243" s="36">
        <v>5.7500000000000002E-2</v>
      </c>
      <c r="J243" s="36">
        <v>0.06</v>
      </c>
      <c r="K243" s="36">
        <v>7.2499999999999995E-2</v>
      </c>
      <c r="L243" s="36">
        <v>7.5200000000000003E-2</v>
      </c>
      <c r="M243" s="36">
        <v>7.7499999999999999E-2</v>
      </c>
      <c r="N243" s="36">
        <v>7.4999999999999997E-2</v>
      </c>
    </row>
    <row r="244" spans="4:30">
      <c r="D244" t="s">
        <v>62</v>
      </c>
      <c r="E244" s="36">
        <v>0.03</v>
      </c>
      <c r="F244" s="36">
        <v>0.03</v>
      </c>
      <c r="G244" s="36">
        <v>4.2000000000000003E-2</v>
      </c>
      <c r="H244" s="36">
        <v>4.2500000000000003E-2</v>
      </c>
      <c r="I244" s="36">
        <v>4.4999999999999998E-2</v>
      </c>
      <c r="J244" s="36">
        <v>4.7500000000000001E-2</v>
      </c>
      <c r="K244" s="36">
        <v>0.06</v>
      </c>
    </row>
    <row r="245" spans="4:30">
      <c r="D245" t="s">
        <v>2035</v>
      </c>
      <c r="E245" s="36">
        <v>3.7999999999999999E-2</v>
      </c>
      <c r="F245" s="36">
        <v>4.2000000000000003E-2</v>
      </c>
      <c r="G245" s="36">
        <v>0.05</v>
      </c>
      <c r="H245" s="36">
        <v>3.7999999999999999E-2</v>
      </c>
      <c r="I245" s="36">
        <v>3.7999999999999999E-2</v>
      </c>
      <c r="J245" s="36">
        <v>4.2000000000000003E-2</v>
      </c>
      <c r="K245" s="36">
        <v>5.2999999999999999E-2</v>
      </c>
    </row>
    <row r="247" spans="4:30">
      <c r="D247" s="23"/>
      <c r="E247" s="96" t="str">
        <f>Quarts!BW208</f>
        <v>Q2 06</v>
      </c>
      <c r="F247" s="96" t="str">
        <f>Quarts!BX208</f>
        <v>Q3 06</v>
      </c>
      <c r="G247" s="96" t="str">
        <f>Quarts!BY208</f>
        <v>Q4 06</v>
      </c>
      <c r="H247" s="96" t="str">
        <f>Quarts!BZ208</f>
        <v>Q1 07</v>
      </c>
      <c r="I247" s="96" t="str">
        <f>Quarts!CA208</f>
        <v>Q2 07</v>
      </c>
      <c r="J247" s="96" t="str">
        <f>Quarts!CB208</f>
        <v>Q3 07</v>
      </c>
      <c r="K247" s="96" t="str">
        <f>Quarts!CC208</f>
        <v>Q4 07A</v>
      </c>
      <c r="L247" s="96" t="str">
        <f>Quarts!CD208</f>
        <v>Q1 08</v>
      </c>
      <c r="M247" s="96" t="str">
        <f>Quarts!CE208</f>
        <v>Q2 08</v>
      </c>
      <c r="N247" s="96" t="str">
        <f>Quarts!CF208</f>
        <v>Q3 08</v>
      </c>
      <c r="O247" s="96" t="e">
        <f>Quarts!#REF!</f>
        <v>#REF!</v>
      </c>
    </row>
    <row r="248" spans="4:30">
      <c r="D248" s="4" t="s">
        <v>519</v>
      </c>
      <c r="E248" s="300">
        <f>Quarts!T217</f>
        <v>181.42</v>
      </c>
      <c r="F248" s="300">
        <f>Quarts!U217</f>
        <v>207.25800000000001</v>
      </c>
      <c r="G248" s="300">
        <f>Quarts!V217</f>
        <v>250.86600000000001</v>
      </c>
      <c r="H248" s="300">
        <f>Quarts!X217</f>
        <v>249.47499999999999</v>
      </c>
      <c r="I248" s="300">
        <f>Quarts!Y217</f>
        <v>270.52</v>
      </c>
      <c r="J248" s="300">
        <f>Quarts!Z217</f>
        <v>300.15899999999999</v>
      </c>
      <c r="K248" s="300">
        <f>Quarts!AA217</f>
        <v>329.2</v>
      </c>
      <c r="L248" s="300">
        <f>Quarts!AC217</f>
        <v>340.12700000000001</v>
      </c>
      <c r="M248" s="300">
        <f>Quarts!AD217</f>
        <v>342.03899999999999</v>
      </c>
      <c r="N248" s="300">
        <f>Quarts!AE217</f>
        <v>339.77300000000002</v>
      </c>
      <c r="O248" s="300" t="e">
        <f>Quarts!#REF!</f>
        <v>#REF!</v>
      </c>
    </row>
    <row r="249" spans="4:30">
      <c r="D249" t="s">
        <v>63</v>
      </c>
      <c r="E249" s="16">
        <f>Quarts!BW217</f>
        <v>0.78471648368945024</v>
      </c>
      <c r="F249" s="16">
        <f>Quarts!BX217</f>
        <v>0.72184099027997006</v>
      </c>
      <c r="G249" s="16">
        <f>Quarts!BY217</f>
        <v>0.76683616694603707</v>
      </c>
      <c r="H249" s="16">
        <f>Quarts!BZ217</f>
        <v>0.59340729527933722</v>
      </c>
      <c r="I249" s="16">
        <f>Quarts!CA217</f>
        <v>0.49112556498732229</v>
      </c>
      <c r="J249" s="16">
        <f>Quarts!CB217</f>
        <v>0.44823842746721465</v>
      </c>
      <c r="K249" s="16">
        <f>Quarts!CC217</f>
        <v>0.31225435092838394</v>
      </c>
      <c r="L249" s="16">
        <f>Quarts!CD217</f>
        <v>0.36337107926645973</v>
      </c>
      <c r="M249" s="16">
        <f>Quarts!CE217</f>
        <v>0.26437601656069787</v>
      </c>
      <c r="N249" s="16">
        <f>Quarts!CF217</f>
        <v>0.13197671900559382</v>
      </c>
      <c r="O249" s="16" t="e">
        <f>Quarts!#REF!</f>
        <v>#REF!</v>
      </c>
    </row>
    <row r="250" spans="4:30">
      <c r="D250" t="s">
        <v>64</v>
      </c>
      <c r="E250" s="16">
        <f>Quarts!BW283</f>
        <v>2.6764354342045715E-2</v>
      </c>
      <c r="F250" s="16">
        <f>Quarts!BX283</f>
        <v>-4.54204502850164E-2</v>
      </c>
      <c r="G250" s="16">
        <f>Quarts!BY283</f>
        <v>-5.1795225584075344E-2</v>
      </c>
      <c r="H250" s="16">
        <f>Quarts!BZ283</f>
        <v>-0.15112400825989891</v>
      </c>
      <c r="I250" s="16">
        <f>Quarts!CA283</f>
        <v>-0.19509782338508985</v>
      </c>
      <c r="J250" s="16">
        <f>Quarts!CB283</f>
        <v>-0.18961616212866905</v>
      </c>
      <c r="K250" s="16">
        <f>Quarts!CC283</f>
        <v>-0.23895637848795692</v>
      </c>
      <c r="L250" s="16">
        <f>Quarts!CD283</f>
        <v>-0.18828628183635476</v>
      </c>
      <c r="M250" s="16">
        <f>Quarts!CE283</f>
        <v>-0.21232322088240885</v>
      </c>
      <c r="N250" s="16">
        <f>Quarts!CF283</f>
        <v>-0.25089232406508466</v>
      </c>
      <c r="O250" s="16" t="e">
        <f>Quarts!#REF!</f>
        <v>#REF!</v>
      </c>
    </row>
    <row r="251" spans="4:30">
      <c r="D251" s="11" t="s">
        <v>65</v>
      </c>
      <c r="E251" s="13">
        <f>Quarts!BW125</f>
        <v>481.01500000000033</v>
      </c>
      <c r="F251" s="13">
        <f>Quarts!BX125</f>
        <v>600.24399999999969</v>
      </c>
      <c r="G251" s="13">
        <f>Quarts!BY125</f>
        <v>916.22600000000057</v>
      </c>
      <c r="H251" s="13">
        <f>Quarts!BZ125</f>
        <v>753.91400000000067</v>
      </c>
      <c r="I251" s="13">
        <f>Quarts!CA125</f>
        <v>788.18399999999929</v>
      </c>
      <c r="J251" s="13">
        <f>Quarts!CB125</f>
        <v>698.11299999999937</v>
      </c>
      <c r="K251" s="13">
        <f>Quarts!CC125</f>
        <v>1420.7129999999997</v>
      </c>
      <c r="L251" s="13">
        <f>Quarts!CD125</f>
        <v>963.08200000000033</v>
      </c>
      <c r="M251" s="13">
        <f>Quarts!CE125+200</f>
        <v>688.00799999999981</v>
      </c>
      <c r="N251" s="13">
        <f>Quarts!CF125+200</f>
        <v>770.06200000000172</v>
      </c>
      <c r="O251" s="13" t="e">
        <f>Quarts!#REF!+200</f>
        <v>#REF!</v>
      </c>
    </row>
    <row r="253" spans="4:30">
      <c r="D253" s="2" t="s">
        <v>1035</v>
      </c>
    </row>
    <row r="254" spans="4:30">
      <c r="E254" s="8" t="s">
        <v>581</v>
      </c>
      <c r="F254" s="8" t="s">
        <v>488</v>
      </c>
      <c r="G254" s="8" t="s">
        <v>1102</v>
      </c>
      <c r="H254" s="8" t="s">
        <v>1104</v>
      </c>
      <c r="I254" s="8" t="s">
        <v>1650</v>
      </c>
      <c r="J254" s="8" t="s">
        <v>2356</v>
      </c>
      <c r="K254" s="8" t="s">
        <v>499</v>
      </c>
      <c r="L254" s="8" t="s">
        <v>740</v>
      </c>
      <c r="M254" s="8" t="s">
        <v>558</v>
      </c>
      <c r="N254" s="8" t="s">
        <v>423</v>
      </c>
      <c r="O254" s="8" t="s">
        <v>1036</v>
      </c>
      <c r="P254" s="8" t="s">
        <v>1037</v>
      </c>
      <c r="Q254" s="8" t="str">
        <f>L254</f>
        <v>Q2 07</v>
      </c>
      <c r="R254" s="8" t="str">
        <f>M254</f>
        <v>Q3 07</v>
      </c>
      <c r="S254" s="8" t="str">
        <f>N254</f>
        <v>Q4 07</v>
      </c>
      <c r="T254" s="8" t="str">
        <f>O254</f>
        <v xml:space="preserve">Q1 08 </v>
      </c>
      <c r="U254" s="8" t="str">
        <f>P254</f>
        <v xml:space="preserve">Q2 08 </v>
      </c>
    </row>
    <row r="255" spans="4:30">
      <c r="D255" t="s">
        <v>863</v>
      </c>
      <c r="H255" s="130">
        <f t="shared" ref="H255:P255" si="67">H269*AVERAGE(G264,H264)*3/1000</f>
        <v>155.46299999999999</v>
      </c>
      <c r="I255" s="130">
        <f t="shared" si="67"/>
        <v>140.50440000000003</v>
      </c>
      <c r="J255" s="130">
        <f t="shared" si="67"/>
        <v>151.02187500000002</v>
      </c>
      <c r="K255" s="130">
        <f t="shared" si="67"/>
        <v>170.09235000000001</v>
      </c>
      <c r="L255" s="130">
        <f t="shared" si="67"/>
        <v>172.77480000000003</v>
      </c>
      <c r="M255" s="130">
        <f t="shared" si="67"/>
        <v>163.03979999999999</v>
      </c>
      <c r="N255" s="130">
        <f t="shared" si="67"/>
        <v>172.07220000000001</v>
      </c>
      <c r="O255" s="130">
        <f t="shared" si="67"/>
        <v>180.6516</v>
      </c>
      <c r="P255" s="130">
        <f t="shared" si="67"/>
        <v>185.78925000000001</v>
      </c>
      <c r="Q255" s="16">
        <f t="shared" ref="Q255:U258" si="68">L255/H255-1</f>
        <v>0.11135639991509261</v>
      </c>
      <c r="R255" s="16">
        <f t="shared" si="68"/>
        <v>0.16038928318259038</v>
      </c>
      <c r="S255" s="16">
        <f t="shared" si="68"/>
        <v>0.13938593332919469</v>
      </c>
      <c r="T255" s="16">
        <f t="shared" si="68"/>
        <v>6.2079511512422414E-2</v>
      </c>
      <c r="U255" s="16">
        <f t="shared" si="68"/>
        <v>7.5326089221344761E-2</v>
      </c>
    </row>
    <row r="256" spans="4:30">
      <c r="D256" t="s">
        <v>864</v>
      </c>
      <c r="H256" s="130">
        <v>216.13399999999999</v>
      </c>
      <c r="I256" s="130">
        <v>236.02799999999999</v>
      </c>
      <c r="J256" s="130">
        <v>238.8125</v>
      </c>
      <c r="K256" s="130">
        <v>174.81549999999999</v>
      </c>
      <c r="L256" s="130">
        <v>211.93199999999999</v>
      </c>
      <c r="M256" s="130">
        <v>204.608</v>
      </c>
      <c r="N256" s="130">
        <v>220.22900000000001</v>
      </c>
      <c r="O256" s="130">
        <v>190.3665</v>
      </c>
      <c r="P256" s="130">
        <v>181.82749999999999</v>
      </c>
      <c r="Q256" s="16">
        <f t="shared" si="68"/>
        <v>-1.9441642684630778E-2</v>
      </c>
      <c r="R256" s="16">
        <f t="shared" si="68"/>
        <v>-0.13311979934584028</v>
      </c>
      <c r="S256" s="16">
        <f t="shared" si="68"/>
        <v>-7.7816278461135813E-2</v>
      </c>
      <c r="T256" s="16">
        <f t="shared" si="68"/>
        <v>8.8956642860616109E-2</v>
      </c>
      <c r="U256" s="16">
        <f t="shared" si="68"/>
        <v>-0.14204792103127417</v>
      </c>
    </row>
    <row r="257" spans="4:21">
      <c r="D257" t="s">
        <v>1425</v>
      </c>
      <c r="H257" s="294">
        <v>368</v>
      </c>
      <c r="I257" s="294">
        <v>372</v>
      </c>
      <c r="J257" s="294">
        <v>389</v>
      </c>
      <c r="K257" s="294">
        <v>376</v>
      </c>
      <c r="L257" s="294">
        <v>369</v>
      </c>
      <c r="M257" s="294">
        <v>374</v>
      </c>
      <c r="N257" s="294">
        <v>383</v>
      </c>
      <c r="O257" s="294">
        <v>366</v>
      </c>
      <c r="P257" s="294">
        <v>365</v>
      </c>
      <c r="Q257" s="16">
        <f t="shared" si="68"/>
        <v>2.7173913043478937E-3</v>
      </c>
      <c r="R257" s="16">
        <f t="shared" si="68"/>
        <v>5.3763440860215006E-3</v>
      </c>
      <c r="S257" s="16">
        <f t="shared" si="68"/>
        <v>-1.5424164524421635E-2</v>
      </c>
      <c r="T257" s="16">
        <f t="shared" si="68"/>
        <v>-2.6595744680851019E-2</v>
      </c>
      <c r="U257" s="16">
        <f t="shared" si="68"/>
        <v>-1.0840108401083959E-2</v>
      </c>
    </row>
    <row r="258" spans="4:21">
      <c r="D258" t="s">
        <v>360</v>
      </c>
      <c r="H258" s="294">
        <v>189</v>
      </c>
      <c r="I258" s="294">
        <v>177</v>
      </c>
      <c r="J258" s="294">
        <v>176</v>
      </c>
      <c r="K258" s="294">
        <v>199</v>
      </c>
      <c r="L258" s="294">
        <v>191</v>
      </c>
      <c r="M258" s="294">
        <v>186</v>
      </c>
      <c r="N258" s="294">
        <v>177</v>
      </c>
      <c r="O258" s="294">
        <v>179</v>
      </c>
      <c r="P258" s="294">
        <v>175</v>
      </c>
      <c r="Q258" s="16">
        <f t="shared" si="68"/>
        <v>1.0582010582010692E-2</v>
      </c>
      <c r="R258" s="16">
        <f t="shared" si="68"/>
        <v>5.0847457627118731E-2</v>
      </c>
      <c r="S258" s="16">
        <f t="shared" si="68"/>
        <v>5.6818181818181213E-3</v>
      </c>
      <c r="T258" s="16">
        <f t="shared" si="68"/>
        <v>-0.10050251256281406</v>
      </c>
      <c r="U258" s="16">
        <f t="shared" si="68"/>
        <v>-8.376963350785338E-2</v>
      </c>
    </row>
    <row r="259" spans="4:21">
      <c r="D259" t="s">
        <v>865</v>
      </c>
      <c r="H259" s="295">
        <v>57</v>
      </c>
      <c r="I259" s="295">
        <v>62</v>
      </c>
      <c r="J259" s="295">
        <v>63</v>
      </c>
      <c r="K259" s="295">
        <v>66</v>
      </c>
      <c r="L259" s="295">
        <v>66</v>
      </c>
      <c r="M259" s="295">
        <v>68</v>
      </c>
      <c r="N259" s="295">
        <v>73</v>
      </c>
      <c r="O259" s="295">
        <v>69</v>
      </c>
      <c r="P259" s="295">
        <v>73</v>
      </c>
      <c r="Q259" s="16"/>
      <c r="R259" s="16"/>
      <c r="S259" s="16"/>
      <c r="T259" s="16"/>
      <c r="U259" s="16"/>
    </row>
    <row r="260" spans="4:21">
      <c r="D260" t="s">
        <v>392</v>
      </c>
      <c r="H260" s="294">
        <v>132</v>
      </c>
      <c r="I260" s="294">
        <v>115</v>
      </c>
      <c r="J260" s="294">
        <v>113</v>
      </c>
      <c r="K260" s="294">
        <v>133</v>
      </c>
      <c r="L260" s="294">
        <v>125</v>
      </c>
      <c r="M260" s="294">
        <v>118</v>
      </c>
      <c r="N260" s="294">
        <v>104</v>
      </c>
      <c r="O260" s="294">
        <v>110</v>
      </c>
      <c r="P260" s="294">
        <v>102</v>
      </c>
      <c r="Q260" s="16"/>
      <c r="R260" s="16"/>
      <c r="S260" s="16"/>
      <c r="T260" s="16"/>
      <c r="U260" s="16"/>
    </row>
    <row r="261" spans="4:21">
      <c r="D261" t="s">
        <v>1542</v>
      </c>
      <c r="H261" s="296">
        <v>0.51358695652173914</v>
      </c>
      <c r="I261" s="296">
        <v>0.47580645161290325</v>
      </c>
      <c r="J261" s="296">
        <v>0.45244215938303339</v>
      </c>
      <c r="K261" s="296">
        <v>0.5292553191489362</v>
      </c>
      <c r="L261" s="296">
        <v>0.51761517615176156</v>
      </c>
      <c r="M261" s="296">
        <v>0.49732620320855614</v>
      </c>
      <c r="N261" s="296">
        <v>0.46214099216710181</v>
      </c>
      <c r="O261" s="296">
        <v>0.48907103825136611</v>
      </c>
      <c r="P261" s="296">
        <v>0.47945205479452052</v>
      </c>
      <c r="Q261" s="16"/>
      <c r="R261" s="16"/>
      <c r="S261" s="16"/>
      <c r="T261" s="16"/>
      <c r="U261" s="16"/>
    </row>
    <row r="262" spans="4:21">
      <c r="D262" t="s">
        <v>866</v>
      </c>
      <c r="H262" s="296">
        <v>0.35869565217391303</v>
      </c>
      <c r="I262" s="296">
        <v>0.30913978494623656</v>
      </c>
      <c r="J262" s="296">
        <v>0.29048843187660667</v>
      </c>
      <c r="K262" s="296">
        <v>0.35372340425531917</v>
      </c>
      <c r="L262" s="296">
        <v>0.33875338753387535</v>
      </c>
      <c r="M262" s="296">
        <v>0.31550802139037432</v>
      </c>
      <c r="N262" s="296">
        <v>0.27154046997389036</v>
      </c>
      <c r="O262" s="296">
        <v>0.30054644808743169</v>
      </c>
      <c r="P262" s="296">
        <v>0.27945205479452057</v>
      </c>
      <c r="Q262" s="16"/>
      <c r="R262" s="16"/>
      <c r="S262" s="16"/>
      <c r="T262" s="16"/>
      <c r="U262" s="16"/>
    </row>
    <row r="263" spans="4:21">
      <c r="H263" s="21"/>
      <c r="I263" s="21"/>
      <c r="J263" s="21"/>
      <c r="K263" s="21"/>
      <c r="L263" s="21"/>
      <c r="M263" s="21"/>
      <c r="N263" s="21"/>
      <c r="O263" s="21"/>
      <c r="P263" s="21"/>
      <c r="Q263" s="16"/>
      <c r="R263" s="16"/>
      <c r="S263" s="16"/>
      <c r="T263" s="16"/>
      <c r="U263" s="16"/>
    </row>
    <row r="264" spans="4:21">
      <c r="D264" t="s">
        <v>867</v>
      </c>
      <c r="G264" s="301">
        <v>4600</v>
      </c>
      <c r="H264" s="294">
        <v>4822</v>
      </c>
      <c r="I264" s="294">
        <v>5250</v>
      </c>
      <c r="J264" s="294">
        <v>5875</v>
      </c>
      <c r="K264" s="294">
        <v>6318</v>
      </c>
      <c r="L264" s="294">
        <v>6771</v>
      </c>
      <c r="M264" s="294">
        <v>7345</v>
      </c>
      <c r="N264" s="294">
        <v>8157</v>
      </c>
      <c r="O264" s="294">
        <v>8570</v>
      </c>
      <c r="P264" s="294">
        <v>8875</v>
      </c>
      <c r="Q264" s="16">
        <f t="shared" ref="Q264:U271" si="69">L264/H264-1</f>
        <v>0.404189133139776</v>
      </c>
      <c r="R264" s="16">
        <f t="shared" si="69"/>
        <v>0.3990476190476191</v>
      </c>
      <c r="S264" s="16">
        <f t="shared" si="69"/>
        <v>0.38842553191489371</v>
      </c>
      <c r="T264" s="16">
        <f t="shared" si="69"/>
        <v>0.35644191199746755</v>
      </c>
      <c r="U264" s="16">
        <f t="shared" si="69"/>
        <v>0.31073696647467131</v>
      </c>
    </row>
    <row r="265" spans="4:21">
      <c r="D265" t="s">
        <v>991</v>
      </c>
      <c r="H265" s="294">
        <v>6867</v>
      </c>
      <c r="I265" s="294">
        <v>7322</v>
      </c>
      <c r="J265" s="294">
        <v>8035</v>
      </c>
      <c r="K265" s="294">
        <v>8496</v>
      </c>
      <c r="L265" s="294">
        <v>8950</v>
      </c>
      <c r="M265" s="294">
        <v>9459</v>
      </c>
      <c r="N265" s="294">
        <v>10284</v>
      </c>
      <c r="O265" s="294">
        <v>10782</v>
      </c>
      <c r="P265" s="294">
        <v>11054</v>
      </c>
      <c r="Q265" s="16">
        <f t="shared" si="69"/>
        <v>0.30333478957332161</v>
      </c>
      <c r="R265" s="16">
        <f t="shared" si="69"/>
        <v>0.29186014750068279</v>
      </c>
      <c r="S265" s="16">
        <f t="shared" si="69"/>
        <v>0.27990043559427513</v>
      </c>
      <c r="T265" s="16">
        <f t="shared" si="69"/>
        <v>0.26906779661016955</v>
      </c>
      <c r="U265" s="16">
        <f t="shared" si="69"/>
        <v>0.23508379888268149</v>
      </c>
    </row>
    <row r="266" spans="4:21">
      <c r="D266" t="s">
        <v>992</v>
      </c>
      <c r="H266" s="295">
        <v>2045</v>
      </c>
      <c r="I266" s="295">
        <v>2072</v>
      </c>
      <c r="J266" s="295">
        <v>2160</v>
      </c>
      <c r="K266" s="295">
        <v>2178</v>
      </c>
      <c r="L266" s="295">
        <v>2179</v>
      </c>
      <c r="M266" s="295">
        <v>2114</v>
      </c>
      <c r="N266" s="295">
        <v>2127</v>
      </c>
      <c r="O266" s="295">
        <v>2212</v>
      </c>
      <c r="P266" s="295">
        <v>2179</v>
      </c>
      <c r="Q266" s="16">
        <f t="shared" si="69"/>
        <v>6.5525672371638199E-2</v>
      </c>
      <c r="R266" s="16">
        <f t="shared" si="69"/>
        <v>2.0270270270270174E-2</v>
      </c>
      <c r="S266" s="16">
        <f t="shared" si="69"/>
        <v>-1.5277777777777724E-2</v>
      </c>
      <c r="T266" s="16">
        <f t="shared" si="69"/>
        <v>1.5610651974288237E-2</v>
      </c>
      <c r="U266" s="16">
        <f t="shared" si="69"/>
        <v>0</v>
      </c>
    </row>
    <row r="267" spans="4:21">
      <c r="D267" t="s">
        <v>584</v>
      </c>
      <c r="H267" s="191">
        <v>440</v>
      </c>
      <c r="I267" s="191">
        <v>428</v>
      </c>
      <c r="J267" s="191">
        <v>625</v>
      </c>
      <c r="K267" s="191">
        <v>443</v>
      </c>
      <c r="L267" s="191">
        <v>453</v>
      </c>
      <c r="M267" s="191">
        <v>574</v>
      </c>
      <c r="N267" s="191">
        <v>812</v>
      </c>
      <c r="O267" s="191">
        <v>413</v>
      </c>
      <c r="P267" s="191">
        <v>305</v>
      </c>
      <c r="Q267" s="16">
        <f t="shared" si="69"/>
        <v>2.9545454545454541E-2</v>
      </c>
      <c r="R267" s="16">
        <f t="shared" si="69"/>
        <v>0.3411214953271029</v>
      </c>
      <c r="S267" s="16">
        <f t="shared" si="69"/>
        <v>0.29919999999999991</v>
      </c>
      <c r="T267" s="16">
        <f t="shared" si="69"/>
        <v>-6.7720090293453716E-2</v>
      </c>
      <c r="U267" s="16">
        <f t="shared" si="69"/>
        <v>-0.32671081677704195</v>
      </c>
    </row>
    <row r="268" spans="4:21">
      <c r="D268" t="s">
        <v>993</v>
      </c>
      <c r="H268" s="191">
        <v>488.55200000000002</v>
      </c>
      <c r="I268" s="191">
        <v>477.08</v>
      </c>
      <c r="J268" s="191">
        <v>674.72799999999995</v>
      </c>
      <c r="K268" s="191">
        <v>520.76</v>
      </c>
      <c r="L268" s="191">
        <v>524.87400000000002</v>
      </c>
      <c r="M268" s="191">
        <v>645.90700000000004</v>
      </c>
      <c r="N268" s="191">
        <v>913.47199999999998</v>
      </c>
      <c r="O268" s="191">
        <v>515.096</v>
      </c>
      <c r="P268" s="191">
        <v>424.44799999999998</v>
      </c>
      <c r="Q268" s="16">
        <f t="shared" si="69"/>
        <v>7.4346231312122368E-2</v>
      </c>
      <c r="R268" s="16">
        <f t="shared" si="69"/>
        <v>0.35387566026662198</v>
      </c>
      <c r="S268" s="16">
        <f t="shared" si="69"/>
        <v>0.35383739818119309</v>
      </c>
      <c r="T268" s="16">
        <f t="shared" si="69"/>
        <v>-1.0876411398724861E-2</v>
      </c>
      <c r="U268" s="16">
        <f t="shared" si="69"/>
        <v>-0.19133353909700246</v>
      </c>
    </row>
    <row r="269" spans="4:21">
      <c r="D269" t="s">
        <v>994</v>
      </c>
      <c r="E269" s="297">
        <v>13.1</v>
      </c>
      <c r="F269" s="297">
        <v>11.75</v>
      </c>
      <c r="G269" s="297">
        <v>14</v>
      </c>
      <c r="H269" s="297">
        <v>11</v>
      </c>
      <c r="I269" s="297">
        <v>9.3000000000000007</v>
      </c>
      <c r="J269" s="297">
        <v>9.0500000000000007</v>
      </c>
      <c r="K269" s="297">
        <v>9.3000000000000007</v>
      </c>
      <c r="L269" s="297">
        <v>8.8000000000000007</v>
      </c>
      <c r="M269" s="297">
        <v>7.7</v>
      </c>
      <c r="N269" s="297">
        <v>7.4</v>
      </c>
      <c r="O269" s="297">
        <v>7.2</v>
      </c>
      <c r="P269" s="297">
        <v>7.1</v>
      </c>
      <c r="Q269" s="16">
        <f t="shared" si="69"/>
        <v>-0.19999999999999996</v>
      </c>
      <c r="R269" s="16">
        <f t="shared" si="69"/>
        <v>-0.17204301075268824</v>
      </c>
      <c r="S269" s="16">
        <f t="shared" si="69"/>
        <v>-0.18232044198895025</v>
      </c>
      <c r="T269" s="16">
        <f t="shared" si="69"/>
        <v>-0.22580645161290325</v>
      </c>
      <c r="U269" s="16">
        <f t="shared" si="69"/>
        <v>-0.19318181818181823</v>
      </c>
    </row>
    <row r="270" spans="4:21">
      <c r="D270" t="s">
        <v>995</v>
      </c>
      <c r="E270" s="297">
        <v>179</v>
      </c>
      <c r="F270" s="297">
        <v>166</v>
      </c>
      <c r="G270" s="297">
        <v>158</v>
      </c>
      <c r="H270" s="294">
        <v>156</v>
      </c>
      <c r="I270" s="294">
        <v>148</v>
      </c>
      <c r="J270" s="294">
        <v>141</v>
      </c>
      <c r="K270" s="294">
        <v>134</v>
      </c>
      <c r="L270" s="294">
        <v>133</v>
      </c>
      <c r="M270" s="294">
        <v>131</v>
      </c>
      <c r="N270" s="294">
        <v>138</v>
      </c>
      <c r="O270" s="294">
        <v>122</v>
      </c>
      <c r="P270" s="294">
        <v>120</v>
      </c>
      <c r="Q270" s="16">
        <f t="shared" si="69"/>
        <v>-0.14743589743589747</v>
      </c>
      <c r="R270" s="16">
        <f t="shared" si="69"/>
        <v>-0.11486486486486491</v>
      </c>
      <c r="S270" s="16">
        <f t="shared" si="69"/>
        <v>-2.1276595744680882E-2</v>
      </c>
      <c r="T270" s="16">
        <f t="shared" si="69"/>
        <v>-8.9552238805970186E-2</v>
      </c>
      <c r="U270" s="16">
        <f t="shared" si="69"/>
        <v>-9.7744360902255689E-2</v>
      </c>
    </row>
    <row r="271" spans="4:21">
      <c r="D271" t="s">
        <v>996</v>
      </c>
      <c r="E271" s="298">
        <f t="shared" ref="E271:P271" si="70">E269*100/E270</f>
        <v>7.3184357541899443</v>
      </c>
      <c r="F271" s="298">
        <f t="shared" si="70"/>
        <v>7.0783132530120483</v>
      </c>
      <c r="G271" s="298">
        <f t="shared" si="70"/>
        <v>8.8607594936708853</v>
      </c>
      <c r="H271" s="298">
        <f t="shared" si="70"/>
        <v>7.0512820512820511</v>
      </c>
      <c r="I271" s="298">
        <f t="shared" si="70"/>
        <v>6.2837837837837842</v>
      </c>
      <c r="J271" s="298">
        <f t="shared" si="70"/>
        <v>6.4184397163120579</v>
      </c>
      <c r="K271" s="298">
        <f t="shared" si="70"/>
        <v>6.9402985074626873</v>
      </c>
      <c r="L271" s="298">
        <f t="shared" si="70"/>
        <v>6.6165413533834592</v>
      </c>
      <c r="M271" s="298">
        <f t="shared" si="70"/>
        <v>5.8778625954198471</v>
      </c>
      <c r="N271" s="298">
        <f t="shared" si="70"/>
        <v>5.36231884057971</v>
      </c>
      <c r="O271" s="298">
        <f t="shared" si="70"/>
        <v>5.9016393442622954</v>
      </c>
      <c r="P271" s="298">
        <f t="shared" si="70"/>
        <v>5.916666666666667</v>
      </c>
      <c r="Q271" s="16">
        <f t="shared" si="69"/>
        <v>-6.1654135338345739E-2</v>
      </c>
      <c r="R271" s="16">
        <f t="shared" si="69"/>
        <v>-6.4598210621357732E-2</v>
      </c>
      <c r="S271" s="16">
        <f t="shared" si="69"/>
        <v>-0.16454479942349287</v>
      </c>
      <c r="T271" s="16">
        <f t="shared" si="69"/>
        <v>-0.1496562665256479</v>
      </c>
      <c r="U271" s="16">
        <f t="shared" si="69"/>
        <v>-0.1057765151515152</v>
      </c>
    </row>
    <row r="272" spans="4:21">
      <c r="D272" t="s">
        <v>516</v>
      </c>
      <c r="H272" s="103">
        <v>8.0000000000000002E-3</v>
      </c>
      <c r="I272" s="103">
        <v>8.0000000000000002E-3</v>
      </c>
      <c r="J272" s="103">
        <v>8.0000000000000002E-3</v>
      </c>
      <c r="K272" s="103">
        <v>1.2E-2</v>
      </c>
      <c r="L272" s="103">
        <v>1.0999999999999999E-2</v>
      </c>
      <c r="M272" s="103">
        <v>1.0999999999999999E-2</v>
      </c>
      <c r="N272" s="103">
        <v>1.6E-2</v>
      </c>
      <c r="O272" s="103">
        <v>1.6E-2</v>
      </c>
      <c r="P272" s="103">
        <v>1.7999999999999999E-2</v>
      </c>
    </row>
    <row r="273" spans="1:20">
      <c r="H273" s="5"/>
      <c r="I273" s="5">
        <f t="shared" ref="I273:P273" si="71">I269/E269-1</f>
        <v>-0.29007633587786252</v>
      </c>
      <c r="J273" s="5">
        <f t="shared" si="71"/>
        <v>-0.22978723404255308</v>
      </c>
      <c r="K273" s="5">
        <f t="shared" si="71"/>
        <v>-0.33571428571428563</v>
      </c>
      <c r="L273" s="5">
        <f t="shared" si="71"/>
        <v>-0.19999999999999996</v>
      </c>
      <c r="M273" s="5">
        <f t="shared" si="71"/>
        <v>-0.17204301075268824</v>
      </c>
      <c r="N273" s="5">
        <f t="shared" si="71"/>
        <v>-0.18232044198895025</v>
      </c>
      <c r="O273" s="5">
        <f t="shared" si="71"/>
        <v>-0.22580645161290325</v>
      </c>
      <c r="P273" s="5">
        <f t="shared" si="71"/>
        <v>-0.19318181818181823</v>
      </c>
    </row>
    <row r="274" spans="1:20">
      <c r="M274" s="103">
        <v>-0.17100000000000001</v>
      </c>
      <c r="N274" s="103">
        <v>-0.185</v>
      </c>
      <c r="O274" s="103">
        <v>-0.223</v>
      </c>
      <c r="P274" s="103">
        <v>-0.19700000000000001</v>
      </c>
    </row>
    <row r="276" spans="1:20">
      <c r="E276" s="96" t="str">
        <f t="shared" ref="E276:L276" si="72">I254</f>
        <v>Q3 06</v>
      </c>
      <c r="F276" s="96" t="str">
        <f t="shared" si="72"/>
        <v>Q4 06</v>
      </c>
      <c r="G276" s="96" t="str">
        <f t="shared" si="72"/>
        <v>Q1 07</v>
      </c>
      <c r="H276" s="96" t="str">
        <f t="shared" si="72"/>
        <v>Q2 07</v>
      </c>
      <c r="I276" s="96" t="str">
        <f t="shared" si="72"/>
        <v>Q3 07</v>
      </c>
      <c r="J276" s="96" t="str">
        <f t="shared" si="72"/>
        <v>Q4 07</v>
      </c>
      <c r="K276" s="96" t="str">
        <f t="shared" si="72"/>
        <v xml:space="preserve">Q1 08 </v>
      </c>
      <c r="L276" s="96" t="str">
        <f t="shared" si="72"/>
        <v xml:space="preserve">Q2 08 </v>
      </c>
    </row>
    <row r="277" spans="1:20">
      <c r="D277" t="s">
        <v>2050</v>
      </c>
      <c r="E277" s="73">
        <v>-0.29199999999999998</v>
      </c>
      <c r="F277" s="73">
        <v>-0.23</v>
      </c>
      <c r="G277" s="73">
        <v>-0.22600000000000001</v>
      </c>
      <c r="H277" s="16">
        <f>Q269</f>
        <v>-0.19999999999999996</v>
      </c>
      <c r="I277" s="16">
        <f>R269</f>
        <v>-0.17204301075268824</v>
      </c>
      <c r="J277" s="16">
        <f>S269</f>
        <v>-0.18232044198895025</v>
      </c>
      <c r="K277" s="16">
        <f>T269</f>
        <v>-0.22580645161290325</v>
      </c>
      <c r="L277" s="16">
        <f>U269</f>
        <v>-0.19318181818181823</v>
      </c>
    </row>
    <row r="278" spans="1:20">
      <c r="D278" t="s">
        <v>2051</v>
      </c>
      <c r="E278" s="16">
        <f>Quarts!BX283</f>
        <v>-4.54204502850164E-2</v>
      </c>
      <c r="F278" s="16">
        <f>Quarts!BY283</f>
        <v>-5.1795225584075344E-2</v>
      </c>
      <c r="G278" s="16">
        <f>Quarts!BZ283</f>
        <v>-0.15112400825989891</v>
      </c>
      <c r="H278" s="16">
        <f>Quarts!CA283</f>
        <v>-0.19509782338508985</v>
      </c>
      <c r="I278" s="16">
        <f>Quarts!CB283</f>
        <v>-0.18961616212866905</v>
      </c>
      <c r="J278" s="16">
        <f>Quarts!CC283</f>
        <v>-0.23895637848795692</v>
      </c>
      <c r="K278" s="16">
        <f>Quarts!CD283</f>
        <v>-0.18828628183635476</v>
      </c>
      <c r="L278" s="16">
        <f>Quarts!CE283</f>
        <v>-0.21232322088240885</v>
      </c>
    </row>
    <row r="279" spans="1:20">
      <c r="E279" s="16"/>
      <c r="F279" s="16"/>
      <c r="G279" s="16"/>
      <c r="H279" s="16"/>
      <c r="I279" s="16"/>
      <c r="J279" s="16"/>
      <c r="K279" s="16"/>
      <c r="L279" s="16"/>
    </row>
    <row r="280" spans="1:20">
      <c r="D280" s="11"/>
      <c r="E280" s="96" t="str">
        <f>Q254</f>
        <v>Q2 07</v>
      </c>
      <c r="F280" s="96" t="str">
        <f>R254</f>
        <v>Q3 07</v>
      </c>
      <c r="G280" s="96" t="str">
        <f>S254</f>
        <v>Q4 07</v>
      </c>
      <c r="H280" s="96" t="str">
        <f>T254</f>
        <v xml:space="preserve">Q1 08 </v>
      </c>
      <c r="I280" s="96" t="str">
        <f>U254</f>
        <v xml:space="preserve">Q2 08 </v>
      </c>
      <c r="J280" s="8"/>
      <c r="K280" s="8"/>
      <c r="L280" s="8"/>
    </row>
    <row r="281" spans="1:20">
      <c r="D281" t="s">
        <v>1922</v>
      </c>
      <c r="E281" s="16">
        <f>Quarts!CA217</f>
        <v>0.49112556498732229</v>
      </c>
      <c r="F281" s="16">
        <f>Quarts!CB217</f>
        <v>0.44823842746721465</v>
      </c>
      <c r="G281" s="16">
        <f>Quarts!CC217</f>
        <v>0.31225435092838394</v>
      </c>
      <c r="H281" s="16">
        <f>Quarts!CD217</f>
        <v>0.36337107926645973</v>
      </c>
      <c r="I281" s="16">
        <f>Quarts!CE217</f>
        <v>0.26437601656069787</v>
      </c>
      <c r="J281" s="16"/>
      <c r="K281" s="16"/>
      <c r="L281" s="16"/>
    </row>
    <row r="282" spans="1:20">
      <c r="D282" t="s">
        <v>1921</v>
      </c>
      <c r="E282" s="16">
        <f>Q255</f>
        <v>0.11135639991509261</v>
      </c>
      <c r="F282" s="16">
        <f>R255</f>
        <v>0.16038928318259038</v>
      </c>
      <c r="G282" s="16">
        <f>S255</f>
        <v>0.13938593332919469</v>
      </c>
      <c r="H282" s="16">
        <f>T255</f>
        <v>6.2079511512422414E-2</v>
      </c>
      <c r="I282" s="16">
        <f>U255</f>
        <v>7.5326089221344761E-2</v>
      </c>
      <c r="J282" s="16"/>
      <c r="K282" s="16"/>
      <c r="L282" s="16"/>
    </row>
    <row r="285" spans="1:20" ht="15.75">
      <c r="A285" s="230"/>
      <c r="B285" s="230"/>
      <c r="C285" s="230"/>
      <c r="D285" s="230"/>
      <c r="E285" s="2579" t="s">
        <v>1039</v>
      </c>
      <c r="F285" s="2579"/>
      <c r="G285" s="230" t="s">
        <v>1042</v>
      </c>
      <c r="H285" s="230"/>
      <c r="I285" s="230"/>
      <c r="J285" s="230" t="s">
        <v>1419</v>
      </c>
      <c r="K285" s="230"/>
      <c r="L285" s="230"/>
      <c r="M285" s="230"/>
      <c r="N285" s="230"/>
      <c r="O285" s="230" t="s">
        <v>1038</v>
      </c>
      <c r="P285" s="230"/>
      <c r="Q285" s="230"/>
      <c r="R285" s="230"/>
      <c r="S285" s="230"/>
      <c r="T285" s="230"/>
    </row>
    <row r="286" spans="1:20" ht="15.75">
      <c r="A286" s="230" t="s">
        <v>1040</v>
      </c>
      <c r="B286" s="230"/>
      <c r="C286" s="230"/>
      <c r="D286" s="249"/>
      <c r="E286" s="305" t="s">
        <v>1040</v>
      </c>
      <c r="F286" s="305" t="s">
        <v>1041</v>
      </c>
      <c r="G286" s="305">
        <v>2006</v>
      </c>
      <c r="H286" s="305">
        <v>2007</v>
      </c>
      <c r="I286" s="305">
        <v>2008</v>
      </c>
      <c r="J286" s="249" t="s">
        <v>1420</v>
      </c>
      <c r="K286" s="230"/>
      <c r="L286" s="305">
        <v>2003</v>
      </c>
      <c r="M286" s="305">
        <v>2004</v>
      </c>
      <c r="N286" s="305">
        <v>2005</v>
      </c>
      <c r="O286" s="305">
        <v>2006</v>
      </c>
      <c r="P286" s="305">
        <v>2007</v>
      </c>
      <c r="Q286" s="230"/>
      <c r="R286" s="230"/>
      <c r="S286" s="230"/>
      <c r="T286" s="230"/>
    </row>
    <row r="287" spans="1:20" ht="15.75">
      <c r="A287" s="230">
        <v>4000</v>
      </c>
      <c r="B287" s="230">
        <f>CA!H5</f>
        <v>6948</v>
      </c>
      <c r="C287" s="230"/>
      <c r="D287" s="230" t="s">
        <v>2376</v>
      </c>
      <c r="E287" s="254">
        <f>P287/A287</f>
        <v>0.92500000000000004</v>
      </c>
      <c r="F287" s="254">
        <v>0.25</v>
      </c>
      <c r="G287" s="254">
        <f t="shared" ref="G287:H289" si="73">O287/N287-1</f>
        <v>0.17314487632508824</v>
      </c>
      <c r="H287" s="254">
        <f t="shared" si="73"/>
        <v>0.1144578313253013</v>
      </c>
      <c r="I287" s="308" t="s">
        <v>1043</v>
      </c>
      <c r="J287" s="256">
        <f>(P287-O287)/(B287/1000)</f>
        <v>54.69199769717904</v>
      </c>
      <c r="K287" s="230"/>
      <c r="L287" s="256">
        <v>2316</v>
      </c>
      <c r="M287" s="256">
        <v>2548</v>
      </c>
      <c r="N287" s="256">
        <v>2830</v>
      </c>
      <c r="O287" s="256">
        <v>3320</v>
      </c>
      <c r="P287" s="230">
        <v>3700</v>
      </c>
      <c r="Q287" s="230"/>
      <c r="R287" s="230"/>
      <c r="S287" s="230">
        <v>6948000</v>
      </c>
      <c r="T287" s="230">
        <v>490000000</v>
      </c>
    </row>
    <row r="288" spans="1:20" ht="15.75">
      <c r="A288" s="230">
        <v>6000</v>
      </c>
      <c r="B288" s="230">
        <f>CA!H6</f>
        <v>12728</v>
      </c>
      <c r="C288" s="230"/>
      <c r="D288" s="230" t="s">
        <v>2379</v>
      </c>
      <c r="E288" s="254">
        <f>P288/A288</f>
        <v>0.67033333333333334</v>
      </c>
      <c r="F288" s="254">
        <v>0.18</v>
      </c>
      <c r="G288" s="254">
        <f t="shared" si="73"/>
        <v>0.20735785953177266</v>
      </c>
      <c r="H288" s="254">
        <f t="shared" si="73"/>
        <v>0.11412742382271479</v>
      </c>
      <c r="I288" s="308" t="s">
        <v>1043</v>
      </c>
      <c r="J288" s="256">
        <f>(P288-O288)/(B288/1000)</f>
        <v>32.369578881206792</v>
      </c>
      <c r="K288" s="230"/>
      <c r="L288" s="230">
        <v>2106</v>
      </c>
      <c r="M288" s="230">
        <v>2681</v>
      </c>
      <c r="N288" s="230">
        <v>2990</v>
      </c>
      <c r="O288" s="230">
        <v>3610</v>
      </c>
      <c r="P288" s="230">
        <v>4022</v>
      </c>
      <c r="Q288" s="230"/>
      <c r="R288" s="230"/>
      <c r="S288" s="230"/>
      <c r="T288" s="230">
        <f>T287/S287</f>
        <v>70.52389176741508</v>
      </c>
    </row>
    <row r="289" spans="1:61" ht="15.75">
      <c r="A289" s="230">
        <v>5590</v>
      </c>
      <c r="B289" s="230">
        <f>CA!H7</f>
        <v>7484</v>
      </c>
      <c r="C289" s="230"/>
      <c r="D289" s="249" t="s">
        <v>2380</v>
      </c>
      <c r="E289" s="278">
        <f>P289/A289</f>
        <v>0.45796064400715564</v>
      </c>
      <c r="F289" s="278">
        <v>0.12</v>
      </c>
      <c r="G289" s="278">
        <f t="shared" si="73"/>
        <v>0.31000000000000005</v>
      </c>
      <c r="H289" s="278">
        <f t="shared" si="73"/>
        <v>0.10000000000000009</v>
      </c>
      <c r="I289" s="309" t="s">
        <v>1043</v>
      </c>
      <c r="J289" s="257">
        <f>(P289-O289)/(B289/1000)</f>
        <v>31.0966425343764</v>
      </c>
      <c r="K289" s="249"/>
      <c r="L289" s="257">
        <v>862</v>
      </c>
      <c r="M289" s="257">
        <v>1134</v>
      </c>
      <c r="N289" s="257">
        <f>O289/1.31</f>
        <v>1776.5440666204022</v>
      </c>
      <c r="O289" s="257">
        <f>P289/1.1</f>
        <v>2327.272727272727</v>
      </c>
      <c r="P289" s="249">
        <v>2560</v>
      </c>
      <c r="Q289" s="230"/>
      <c r="R289" s="230"/>
      <c r="S289" s="230"/>
      <c r="T289" s="230"/>
    </row>
    <row r="290" spans="1:61">
      <c r="M290">
        <f>SUM(E292:M292)</f>
        <v>2736.7999999999997</v>
      </c>
      <c r="AA290" s="16"/>
    </row>
    <row r="291" spans="1:61" ht="15.75">
      <c r="D291" s="224" t="s">
        <v>1130</v>
      </c>
      <c r="E291" s="310">
        <v>39083</v>
      </c>
      <c r="F291" s="310">
        <v>39114</v>
      </c>
      <c r="G291" s="310">
        <v>39142</v>
      </c>
      <c r="H291" s="310">
        <v>39173</v>
      </c>
      <c r="I291" s="310">
        <v>39203</v>
      </c>
      <c r="J291" s="310">
        <v>39234</v>
      </c>
      <c r="K291" s="310">
        <v>39264</v>
      </c>
      <c r="L291" s="310">
        <v>39295</v>
      </c>
      <c r="M291" s="310">
        <v>39326</v>
      </c>
      <c r="N291" s="310">
        <v>39356</v>
      </c>
      <c r="O291" s="310">
        <v>39387</v>
      </c>
      <c r="P291" s="310">
        <v>39417</v>
      </c>
      <c r="Q291" s="310">
        <v>39448</v>
      </c>
      <c r="R291" s="310">
        <v>39479</v>
      </c>
      <c r="S291" s="310">
        <v>39508</v>
      </c>
      <c r="T291" s="310">
        <v>39539</v>
      </c>
      <c r="U291" s="310">
        <v>39569</v>
      </c>
      <c r="V291" s="310">
        <v>39600</v>
      </c>
      <c r="W291" s="310">
        <v>39630</v>
      </c>
      <c r="X291" s="310">
        <v>39661</v>
      </c>
      <c r="Y291" s="310">
        <v>39692</v>
      </c>
      <c r="Z291" s="311">
        <v>39722</v>
      </c>
      <c r="AA291" s="310">
        <v>39753</v>
      </c>
      <c r="AB291" s="310">
        <v>39783</v>
      </c>
      <c r="AC291" s="310">
        <v>39814</v>
      </c>
      <c r="AD291" s="310">
        <v>39845</v>
      </c>
      <c r="AE291" s="310">
        <v>39873</v>
      </c>
      <c r="AF291" s="310">
        <v>39904</v>
      </c>
      <c r="AG291" s="310">
        <v>39934</v>
      </c>
      <c r="AH291" s="310">
        <v>39965</v>
      </c>
      <c r="AI291" s="310">
        <v>39995</v>
      </c>
      <c r="AJ291" s="310">
        <v>40026</v>
      </c>
      <c r="AK291" s="310">
        <v>40057</v>
      </c>
      <c r="AL291" s="310">
        <v>40087</v>
      </c>
      <c r="AM291" s="310">
        <v>40118</v>
      </c>
      <c r="AN291" s="310">
        <v>40148</v>
      </c>
      <c r="AO291" s="310">
        <v>40179</v>
      </c>
      <c r="AP291" s="310">
        <v>40210</v>
      </c>
      <c r="AQ291" s="310">
        <v>40238</v>
      </c>
      <c r="AR291" s="310">
        <v>40269</v>
      </c>
      <c r="AS291" s="310">
        <v>40299</v>
      </c>
      <c r="AT291" s="310">
        <v>40330</v>
      </c>
      <c r="AU291" s="310">
        <v>40360</v>
      </c>
      <c r="AV291" s="310">
        <v>40391</v>
      </c>
      <c r="AW291" s="310">
        <v>40422</v>
      </c>
      <c r="AX291" s="310">
        <v>40452</v>
      </c>
      <c r="AY291" s="310">
        <v>40483</v>
      </c>
      <c r="AZ291" s="310">
        <v>40513</v>
      </c>
      <c r="BA291" s="310">
        <v>40544</v>
      </c>
      <c r="BB291" s="310">
        <v>40575</v>
      </c>
      <c r="BC291" s="310">
        <v>40603</v>
      </c>
      <c r="BD291" s="310">
        <v>40634</v>
      </c>
      <c r="BE291" s="310">
        <v>40664</v>
      </c>
      <c r="BF291" s="310">
        <v>40695</v>
      </c>
      <c r="BG291" s="310">
        <v>40725</v>
      </c>
      <c r="BH291" s="310">
        <v>40756</v>
      </c>
      <c r="BI291" s="310">
        <v>40787</v>
      </c>
    </row>
    <row r="292" spans="1:61" ht="15.75">
      <c r="A292" t="s">
        <v>250</v>
      </c>
      <c r="D292" s="223" t="s">
        <v>2376</v>
      </c>
      <c r="E292" s="223">
        <v>270.89999999999998</v>
      </c>
      <c r="F292" s="223">
        <v>269</v>
      </c>
      <c r="G292" s="223">
        <v>320.2</v>
      </c>
      <c r="H292" s="223">
        <v>310.3</v>
      </c>
      <c r="I292" s="223">
        <v>338</v>
      </c>
      <c r="J292" s="223">
        <v>310</v>
      </c>
      <c r="K292" s="223">
        <v>324.60000000000002</v>
      </c>
      <c r="L292" s="223">
        <v>312.2</v>
      </c>
      <c r="M292" s="223">
        <v>281.60000000000002</v>
      </c>
      <c r="N292" s="223">
        <v>323.8</v>
      </c>
      <c r="O292" s="223">
        <v>283.5</v>
      </c>
      <c r="P292" s="223">
        <v>351.5</v>
      </c>
      <c r="Q292" s="223">
        <v>275.5</v>
      </c>
      <c r="R292" s="223">
        <v>298.3</v>
      </c>
      <c r="S292" s="223">
        <v>338.4</v>
      </c>
      <c r="T292" s="223">
        <v>338.5</v>
      </c>
      <c r="U292" s="223">
        <v>353.4</v>
      </c>
      <c r="V292" s="223">
        <v>334.4</v>
      </c>
      <c r="W292" s="223">
        <v>332.1</v>
      </c>
      <c r="X292" s="223">
        <v>305.7</v>
      </c>
      <c r="Y292" s="223">
        <v>304.7</v>
      </c>
      <c r="Z292" s="223">
        <v>304.3</v>
      </c>
      <c r="AA292" s="223">
        <v>264.8</v>
      </c>
      <c r="AB292" s="227">
        <v>337.5</v>
      </c>
      <c r="AC292" s="274">
        <v>252.4</v>
      </c>
      <c r="AD292" s="274">
        <v>275.10000000000002</v>
      </c>
      <c r="AE292">
        <v>315.8</v>
      </c>
      <c r="AF292">
        <v>292.5</v>
      </c>
      <c r="AG292">
        <v>308.2</v>
      </c>
      <c r="AH292">
        <v>295.7</v>
      </c>
      <c r="AI292">
        <v>286.10000000000002</v>
      </c>
      <c r="AJ292">
        <v>287.39999999999998</v>
      </c>
      <c r="AK292">
        <v>270.89999999999998</v>
      </c>
      <c r="AL292">
        <v>281.7</v>
      </c>
      <c r="AM292">
        <v>262.7</v>
      </c>
      <c r="AN292">
        <v>336.5</v>
      </c>
      <c r="AO292">
        <v>228.1</v>
      </c>
      <c r="AP292">
        <v>263.2</v>
      </c>
      <c r="AQ292">
        <v>337</v>
      </c>
      <c r="AR292">
        <v>296.3</v>
      </c>
      <c r="AS292">
        <v>319.2</v>
      </c>
      <c r="AT292" s="9">
        <v>294.2</v>
      </c>
      <c r="AU292">
        <v>286.8</v>
      </c>
      <c r="AV292">
        <v>287</v>
      </c>
      <c r="AW292">
        <v>270.7</v>
      </c>
      <c r="AX292">
        <v>280.89999999999998</v>
      </c>
      <c r="AY292">
        <v>273.2</v>
      </c>
      <c r="AZ292">
        <v>340</v>
      </c>
      <c r="BA292">
        <v>250.7</v>
      </c>
      <c r="BB292">
        <v>279.60000000000002</v>
      </c>
      <c r="BC292">
        <v>335.5</v>
      </c>
      <c r="BD292">
        <v>309.2</v>
      </c>
      <c r="BE292">
        <v>338.6</v>
      </c>
      <c r="BF292">
        <v>299.89999999999998</v>
      </c>
      <c r="BG292">
        <v>301.39999999999998</v>
      </c>
      <c r="BH292">
        <v>307</v>
      </c>
    </row>
    <row r="293" spans="1:61" ht="15.75">
      <c r="D293" s="223" t="s">
        <v>945</v>
      </c>
      <c r="E293" s="223"/>
      <c r="F293" s="223"/>
      <c r="G293" s="223"/>
      <c r="H293" s="223"/>
      <c r="I293" s="223"/>
      <c r="J293" s="223"/>
      <c r="K293" s="223"/>
      <c r="L293" s="223"/>
      <c r="M293" s="227">
        <f>SUM(E296:L296)</f>
        <v>2732.2</v>
      </c>
      <c r="N293" s="223"/>
      <c r="O293" s="223"/>
      <c r="P293" s="223"/>
      <c r="Q293" s="228">
        <f t="shared" ref="Q293:BH293" si="74">Q292/E292-1</f>
        <v>1.6980435585086884E-2</v>
      </c>
      <c r="R293" s="228">
        <f t="shared" si="74"/>
        <v>0.1089219330855018</v>
      </c>
      <c r="S293" s="228">
        <f t="shared" si="74"/>
        <v>5.6839475327919997E-2</v>
      </c>
      <c r="T293" s="228">
        <f t="shared" si="74"/>
        <v>9.0879793747985715E-2</v>
      </c>
      <c r="U293" s="228">
        <f t="shared" si="74"/>
        <v>4.5562130177514648E-2</v>
      </c>
      <c r="V293" s="228">
        <f t="shared" si="74"/>
        <v>7.8709677419354751E-2</v>
      </c>
      <c r="W293" s="228">
        <f t="shared" si="74"/>
        <v>2.310536044362288E-2</v>
      </c>
      <c r="X293" s="228">
        <f t="shared" si="74"/>
        <v>-2.0819987187700173E-2</v>
      </c>
      <c r="Y293" s="228">
        <f t="shared" si="74"/>
        <v>8.2031249999999778E-2</v>
      </c>
      <c r="Z293" s="228">
        <f t="shared" si="74"/>
        <v>-6.022235948116117E-2</v>
      </c>
      <c r="AA293" s="228">
        <f t="shared" si="74"/>
        <v>-6.5961199294532591E-2</v>
      </c>
      <c r="AB293" s="228">
        <f t="shared" si="74"/>
        <v>-3.9829302987197779E-2</v>
      </c>
      <c r="AC293" s="228">
        <f t="shared" si="74"/>
        <v>-8.3847549909255914E-2</v>
      </c>
      <c r="AD293" s="228">
        <f t="shared" si="74"/>
        <v>-7.7774052966811946E-2</v>
      </c>
      <c r="AE293" s="228">
        <f t="shared" si="74"/>
        <v>-6.678486997635924E-2</v>
      </c>
      <c r="AF293" s="228">
        <f t="shared" si="74"/>
        <v>-0.13589364844903984</v>
      </c>
      <c r="AG293" s="228">
        <f t="shared" si="74"/>
        <v>-0.12790039615166948</v>
      </c>
      <c r="AH293" s="228">
        <f t="shared" si="74"/>
        <v>-0.11572966507177029</v>
      </c>
      <c r="AI293" s="228">
        <f t="shared" si="74"/>
        <v>-0.13851249623607342</v>
      </c>
      <c r="AJ293" s="228">
        <f t="shared" si="74"/>
        <v>-5.9862610402355299E-2</v>
      </c>
      <c r="AK293" s="228">
        <f t="shared" si="74"/>
        <v>-0.1109287824089269</v>
      </c>
      <c r="AL293" s="228">
        <f t="shared" si="74"/>
        <v>-7.4268813670719802E-2</v>
      </c>
      <c r="AM293" s="228">
        <f t="shared" si="74"/>
        <v>-7.9305135951662775E-3</v>
      </c>
      <c r="AN293" s="228">
        <f t="shared" si="74"/>
        <v>-2.962962962962945E-3</v>
      </c>
      <c r="AO293" s="228">
        <f t="shared" si="74"/>
        <v>-9.6275752773375634E-2</v>
      </c>
      <c r="AP293" s="228">
        <f t="shared" si="74"/>
        <v>-4.3256997455470847E-2</v>
      </c>
      <c r="AQ293" s="228">
        <f t="shared" si="74"/>
        <v>6.7131095630145632E-2</v>
      </c>
      <c r="AR293" s="228">
        <f t="shared" si="74"/>
        <v>1.299145299145299E-2</v>
      </c>
      <c r="AS293" s="228">
        <f t="shared" si="74"/>
        <v>3.5691109669045984E-2</v>
      </c>
      <c r="AT293" s="228">
        <f t="shared" si="74"/>
        <v>-5.0727088265133391E-3</v>
      </c>
      <c r="AU293" s="228">
        <f t="shared" si="74"/>
        <v>2.4466969591052656E-3</v>
      </c>
      <c r="AV293" s="228">
        <f t="shared" si="74"/>
        <v>-1.3917884481557952E-3</v>
      </c>
      <c r="AW293" s="228">
        <f t="shared" si="74"/>
        <v>-7.3827980804719306E-4</v>
      </c>
      <c r="AX293" s="228">
        <f t="shared" si="74"/>
        <v>-2.8399006034789398E-3</v>
      </c>
      <c r="AY293" s="228">
        <f t="shared" si="74"/>
        <v>3.9969547011800444E-2</v>
      </c>
      <c r="AZ293" s="228">
        <f t="shared" si="74"/>
        <v>1.0401188707280795E-2</v>
      </c>
      <c r="BA293" s="228">
        <f t="shared" si="74"/>
        <v>9.9079351161771134E-2</v>
      </c>
      <c r="BB293" s="228">
        <f t="shared" si="74"/>
        <v>6.2310030395136939E-2</v>
      </c>
      <c r="BC293" s="228">
        <f t="shared" si="74"/>
        <v>-4.4510385756676429E-3</v>
      </c>
      <c r="BD293" s="228">
        <f t="shared" si="74"/>
        <v>4.35369557880525E-2</v>
      </c>
      <c r="BE293" s="228">
        <f t="shared" si="74"/>
        <v>6.0776942355889929E-2</v>
      </c>
      <c r="BF293" s="228">
        <f t="shared" si="74"/>
        <v>1.9374575118966675E-2</v>
      </c>
      <c r="BG293" s="228">
        <f t="shared" si="74"/>
        <v>5.0906555090655337E-2</v>
      </c>
      <c r="BH293" s="228">
        <f t="shared" si="74"/>
        <v>6.9686411149825878E-2</v>
      </c>
    </row>
    <row r="294" spans="1:61" ht="15.75">
      <c r="D294" s="223" t="s">
        <v>2390</v>
      </c>
      <c r="E294" s="223"/>
      <c r="F294" s="223"/>
      <c r="G294" s="223"/>
      <c r="H294" s="223"/>
      <c r="I294" s="223"/>
      <c r="J294" s="223"/>
      <c r="K294" s="223"/>
      <c r="L294" s="223"/>
      <c r="M294" s="227"/>
      <c r="N294" s="223"/>
      <c r="O294" s="223"/>
      <c r="P294" s="223"/>
      <c r="Q294" s="228"/>
      <c r="R294" s="228"/>
      <c r="S294" s="228"/>
      <c r="T294" s="228"/>
      <c r="U294" s="228"/>
      <c r="V294" s="228"/>
      <c r="W294" s="228"/>
      <c r="X294" s="228"/>
      <c r="Y294" s="228"/>
      <c r="Z294" s="228"/>
      <c r="AA294" s="228"/>
      <c r="AB294" s="228">
        <f t="shared" ref="AB294:BH294" si="75">SUM(Q292:AB292)/SUM(E292:P292)-1</f>
        <v>2.4894469098387217E-2</v>
      </c>
      <c r="AC294" s="228">
        <f t="shared" si="75"/>
        <v>1.7377439057348232E-2</v>
      </c>
      <c r="AD294" s="228">
        <f t="shared" si="75"/>
        <v>3.163962997720704E-3</v>
      </c>
      <c r="AE294" s="228">
        <f t="shared" si="75"/>
        <v>-7.7380793553379901E-3</v>
      </c>
      <c r="AF294" s="228">
        <f t="shared" si="75"/>
        <v>-2.7331232288990703E-2</v>
      </c>
      <c r="AG294" s="228">
        <f t="shared" si="75"/>
        <v>-4.3204177986442716E-2</v>
      </c>
      <c r="AH294" s="228">
        <f t="shared" si="75"/>
        <v>-5.9464842623896175E-2</v>
      </c>
      <c r="AI294" s="228">
        <f t="shared" si="75"/>
        <v>-7.3341703285206283E-2</v>
      </c>
      <c r="AJ294" s="228">
        <f t="shared" si="75"/>
        <v>-7.6558283333770016E-2</v>
      </c>
      <c r="AK294" s="228">
        <f t="shared" si="75"/>
        <v>-9.0916193551747515E-2</v>
      </c>
      <c r="AL294" s="228">
        <f t="shared" si="75"/>
        <v>-9.2191712692720418E-2</v>
      </c>
      <c r="AM294" s="228">
        <f t="shared" si="75"/>
        <v>-8.8278619528619595E-2</v>
      </c>
      <c r="AN294" s="228">
        <f t="shared" si="75"/>
        <v>-8.5172668708416888E-2</v>
      </c>
      <c r="AO294" s="228">
        <f t="shared" si="75"/>
        <v>-8.6014078894939616E-2</v>
      </c>
      <c r="AP294" s="228">
        <f t="shared" si="75"/>
        <v>-8.352711624301723E-2</v>
      </c>
      <c r="AQ294" s="228">
        <f t="shared" si="75"/>
        <v>-7.2256433699949052E-2</v>
      </c>
      <c r="AR294" s="228">
        <f t="shared" si="75"/>
        <v>-5.9601927737087168E-2</v>
      </c>
      <c r="AS294" s="228">
        <f t="shared" si="75"/>
        <v>-4.4851826326671285E-2</v>
      </c>
      <c r="AT294" s="228">
        <f t="shared" si="75"/>
        <v>-3.4969906375390103E-2</v>
      </c>
      <c r="AU294" s="228">
        <f t="shared" si="75"/>
        <v>-2.2242294230552018E-2</v>
      </c>
      <c r="AV294" s="228">
        <f t="shared" si="75"/>
        <v>-1.7279046673287057E-2</v>
      </c>
      <c r="AW294" s="228">
        <f t="shared" si="75"/>
        <v>-7.8207809321912958E-3</v>
      </c>
      <c r="AX294" s="228">
        <f t="shared" si="75"/>
        <v>-1.5858827600127023E-3</v>
      </c>
      <c r="AY294" s="228">
        <f t="shared" si="75"/>
        <v>2.048470859780771E-3</v>
      </c>
      <c r="AZ294" s="228">
        <f t="shared" si="75"/>
        <v>3.3477633477632107E-3</v>
      </c>
      <c r="BA294" s="228">
        <f t="shared" si="75"/>
        <v>1.7002354172116041E-2</v>
      </c>
      <c r="BB294" s="228">
        <f t="shared" si="75"/>
        <v>2.5314979001399784E-2</v>
      </c>
      <c r="BC294" s="228">
        <f t="shared" si="75"/>
        <v>1.857971014492743E-2</v>
      </c>
      <c r="BD294" s="228">
        <f t="shared" si="75"/>
        <v>2.1194047136487093E-2</v>
      </c>
      <c r="BE294" s="228">
        <f t="shared" si="75"/>
        <v>2.3551142923112334E-2</v>
      </c>
      <c r="BF294" s="228">
        <f t="shared" si="75"/>
        <v>2.564028527704787E-2</v>
      </c>
      <c r="BG294" s="228">
        <f t="shared" si="75"/>
        <v>2.9647806004618804E-2</v>
      </c>
      <c r="BH294" s="228">
        <f t="shared" si="75"/>
        <v>3.5541055549139555E-2</v>
      </c>
    </row>
    <row r="295" spans="1:61" ht="15.75">
      <c r="D295" s="225"/>
      <c r="E295" s="225"/>
      <c r="F295" s="225"/>
      <c r="G295" s="225"/>
      <c r="H295" s="225"/>
      <c r="I295" s="225"/>
      <c r="J295" s="225"/>
      <c r="K295" s="225"/>
      <c r="L295" s="225"/>
      <c r="M295" s="279"/>
      <c r="N295" s="225"/>
      <c r="O295" s="225"/>
      <c r="P295" s="225"/>
      <c r="Q295" s="310">
        <f t="shared" ref="Q295:AB295" si="76">Q291</f>
        <v>39448</v>
      </c>
      <c r="R295" s="310">
        <f t="shared" si="76"/>
        <v>39479</v>
      </c>
      <c r="S295" s="310">
        <f t="shared" si="76"/>
        <v>39508</v>
      </c>
      <c r="T295" s="310">
        <f t="shared" si="76"/>
        <v>39539</v>
      </c>
      <c r="U295" s="310">
        <f t="shared" si="76"/>
        <v>39569</v>
      </c>
      <c r="V295" s="310">
        <f t="shared" si="76"/>
        <v>39600</v>
      </c>
      <c r="W295" s="310">
        <f t="shared" si="76"/>
        <v>39630</v>
      </c>
      <c r="X295" s="310">
        <f t="shared" si="76"/>
        <v>39661</v>
      </c>
      <c r="Y295" s="310">
        <f t="shared" si="76"/>
        <v>39692</v>
      </c>
      <c r="Z295" s="310">
        <f t="shared" si="76"/>
        <v>39722</v>
      </c>
      <c r="AA295" s="310">
        <f t="shared" si="76"/>
        <v>39753</v>
      </c>
      <c r="AB295" s="310">
        <f t="shared" si="76"/>
        <v>39783</v>
      </c>
      <c r="AC295" s="310">
        <v>39814</v>
      </c>
      <c r="AD295" s="310">
        <v>39845</v>
      </c>
      <c r="AE295" s="310">
        <v>39873</v>
      </c>
      <c r="AF295" s="310">
        <v>39904</v>
      </c>
      <c r="AG295" s="310">
        <v>39934</v>
      </c>
      <c r="AH295" s="310">
        <v>39965</v>
      </c>
      <c r="AI295" s="310">
        <v>39995</v>
      </c>
      <c r="AJ295" s="310">
        <v>40026</v>
      </c>
      <c r="AK295" s="310">
        <v>40057</v>
      </c>
      <c r="AL295" s="310">
        <v>40087</v>
      </c>
      <c r="AM295" s="310">
        <v>40118</v>
      </c>
      <c r="AN295" s="310">
        <v>40148</v>
      </c>
      <c r="AO295" s="310">
        <v>40179</v>
      </c>
      <c r="AP295" s="310">
        <v>40210</v>
      </c>
      <c r="AQ295" s="310">
        <v>40238</v>
      </c>
      <c r="AR295" s="310">
        <v>40269</v>
      </c>
      <c r="AS295" s="310">
        <v>40299</v>
      </c>
      <c r="AT295" s="310">
        <v>40330</v>
      </c>
      <c r="AU295" s="310">
        <v>40360</v>
      </c>
      <c r="AV295" s="310">
        <v>40391</v>
      </c>
      <c r="AW295" s="310">
        <v>40422</v>
      </c>
      <c r="AX295" s="310">
        <v>40452</v>
      </c>
      <c r="AY295" s="310">
        <v>40483</v>
      </c>
      <c r="AZ295" s="310">
        <v>40513</v>
      </c>
      <c r="BA295" s="310">
        <v>40544</v>
      </c>
      <c r="BB295" s="310">
        <v>40575</v>
      </c>
      <c r="BC295" s="310">
        <v>40603</v>
      </c>
      <c r="BD295" s="310">
        <v>40634</v>
      </c>
      <c r="BE295" s="310">
        <v>40664</v>
      </c>
      <c r="BF295" s="310">
        <v>40695</v>
      </c>
      <c r="BG295" s="310">
        <v>40725</v>
      </c>
      <c r="BH295" s="310">
        <v>40756</v>
      </c>
      <c r="BI295" s="310">
        <v>40756</v>
      </c>
    </row>
    <row r="296" spans="1:61" ht="15.75">
      <c r="A296" t="s">
        <v>248</v>
      </c>
      <c r="D296" s="223" t="s">
        <v>1234</v>
      </c>
      <c r="E296" s="223">
        <v>287.10000000000002</v>
      </c>
      <c r="F296" s="223">
        <v>271.89999999999998</v>
      </c>
      <c r="G296" s="223">
        <v>327.60000000000002</v>
      </c>
      <c r="H296" s="223">
        <v>333.6</v>
      </c>
      <c r="I296" s="223">
        <v>392.9</v>
      </c>
      <c r="J296" s="223">
        <v>356.5</v>
      </c>
      <c r="K296" s="223">
        <v>381.2</v>
      </c>
      <c r="L296" s="223">
        <v>381.4</v>
      </c>
      <c r="M296" s="223">
        <v>326.8</v>
      </c>
      <c r="N296" s="223">
        <v>391.2</v>
      </c>
      <c r="O296" s="223">
        <v>340.8</v>
      </c>
      <c r="P296" s="223">
        <v>337.4</v>
      </c>
      <c r="Q296" s="223">
        <v>314.60000000000002</v>
      </c>
      <c r="R296" s="223">
        <v>318.3</v>
      </c>
      <c r="S296" s="223">
        <v>340.4</v>
      </c>
      <c r="T296" s="223">
        <v>385.2</v>
      </c>
      <c r="U296" s="223">
        <v>398</v>
      </c>
      <c r="V296" s="223">
        <v>384.3</v>
      </c>
      <c r="W296" s="223">
        <v>409.7</v>
      </c>
      <c r="X296" s="223">
        <v>373.5</v>
      </c>
      <c r="Y296" s="223">
        <v>371.8</v>
      </c>
      <c r="Z296" s="223">
        <v>367.7</v>
      </c>
      <c r="AA296" s="223">
        <v>311.7</v>
      </c>
      <c r="AB296" s="274">
        <v>339.3</v>
      </c>
      <c r="AC296" s="274">
        <v>290.2</v>
      </c>
      <c r="AD296" s="274">
        <v>281.95</v>
      </c>
      <c r="AE296" s="274">
        <v>344.1</v>
      </c>
      <c r="AF296" s="274">
        <v>339.7</v>
      </c>
      <c r="AG296" s="274">
        <v>332.6</v>
      </c>
      <c r="AH296" s="274">
        <v>348.6</v>
      </c>
      <c r="AI296" s="274">
        <v>365.6</v>
      </c>
      <c r="AJ296">
        <v>337.4</v>
      </c>
      <c r="AK296">
        <v>332.1</v>
      </c>
      <c r="AL296" s="7">
        <v>327.52300000000002</v>
      </c>
      <c r="AM296">
        <v>287.89999999999998</v>
      </c>
      <c r="AN296" s="9">
        <v>324.529</v>
      </c>
      <c r="AO296" s="9">
        <v>246.1</v>
      </c>
      <c r="AP296" s="9">
        <v>275.5</v>
      </c>
      <c r="AQ296" s="9">
        <v>370</v>
      </c>
      <c r="AR296" s="9">
        <v>344.4</v>
      </c>
      <c r="AS296" s="9">
        <v>357</v>
      </c>
      <c r="AT296" s="9">
        <v>394.28899999999999</v>
      </c>
      <c r="AU296" s="9">
        <v>384.61200000000002</v>
      </c>
      <c r="AV296" s="9">
        <v>377.358</v>
      </c>
      <c r="AW296" s="9">
        <v>359.31299999999999</v>
      </c>
      <c r="AX296" s="9">
        <v>339.37400000000002</v>
      </c>
      <c r="AY296">
        <v>331.4</v>
      </c>
      <c r="AZ296">
        <v>348.4</v>
      </c>
      <c r="BA296">
        <v>283.3</v>
      </c>
      <c r="BB296">
        <v>304.60000000000002</v>
      </c>
      <c r="BC296">
        <v>384.1</v>
      </c>
      <c r="BD296">
        <v>371</v>
      </c>
      <c r="BE296">
        <v>415</v>
      </c>
      <c r="BF296">
        <v>416</v>
      </c>
      <c r="BG296">
        <v>350</v>
      </c>
      <c r="BH296">
        <v>410</v>
      </c>
    </row>
    <row r="297" spans="1:61" ht="15.75">
      <c r="A297" t="s">
        <v>249</v>
      </c>
      <c r="D297" s="223" t="s">
        <v>945</v>
      </c>
      <c r="E297" s="223"/>
      <c r="F297" s="223"/>
      <c r="G297" s="223"/>
      <c r="H297" s="223"/>
      <c r="I297" s="223"/>
      <c r="J297" s="223"/>
      <c r="K297" s="223"/>
      <c r="L297" s="223"/>
      <c r="M297" s="223"/>
      <c r="N297" s="223"/>
      <c r="O297" s="223"/>
      <c r="P297" s="223"/>
      <c r="Q297" s="228">
        <f t="shared" ref="Q297:BH297" si="77">Q296/E296-1</f>
        <v>9.578544061302674E-2</v>
      </c>
      <c r="R297" s="228">
        <f t="shared" si="77"/>
        <v>0.17065097462302337</v>
      </c>
      <c r="S297" s="228">
        <f t="shared" si="77"/>
        <v>3.9072039072038933E-2</v>
      </c>
      <c r="T297" s="228">
        <f t="shared" si="77"/>
        <v>0.15467625899280568</v>
      </c>
      <c r="U297" s="228">
        <f t="shared" si="77"/>
        <v>1.298040213794871E-2</v>
      </c>
      <c r="V297" s="228">
        <f t="shared" si="77"/>
        <v>7.7980364656381473E-2</v>
      </c>
      <c r="W297" s="228">
        <f t="shared" si="77"/>
        <v>7.4763903462749193E-2</v>
      </c>
      <c r="X297" s="228">
        <f t="shared" si="77"/>
        <v>-2.0713162034609267E-2</v>
      </c>
      <c r="Y297" s="228">
        <f t="shared" si="77"/>
        <v>0.13769889840881278</v>
      </c>
      <c r="Z297" s="228">
        <f t="shared" si="77"/>
        <v>-6.0071574642126757E-2</v>
      </c>
      <c r="AA297" s="228">
        <f t="shared" si="77"/>
        <v>-8.5387323943661997E-2</v>
      </c>
      <c r="AB297" s="228">
        <f t="shared" si="77"/>
        <v>5.6312981624186964E-3</v>
      </c>
      <c r="AC297" s="228">
        <f t="shared" si="77"/>
        <v>-7.7558804831532213E-2</v>
      </c>
      <c r="AD297" s="228">
        <f t="shared" si="77"/>
        <v>-0.11420043983663219</v>
      </c>
      <c r="AE297" s="228">
        <f t="shared" si="77"/>
        <v>1.0869565217391353E-2</v>
      </c>
      <c r="AF297" s="228">
        <f t="shared" si="77"/>
        <v>-0.11812045690550366</v>
      </c>
      <c r="AG297" s="228">
        <f t="shared" si="77"/>
        <v>-0.16432160804020091</v>
      </c>
      <c r="AH297" s="228">
        <f t="shared" si="77"/>
        <v>-9.289617486338797E-2</v>
      </c>
      <c r="AI297" s="228">
        <f t="shared" si="77"/>
        <v>-0.10763973639248225</v>
      </c>
      <c r="AJ297" s="228">
        <f t="shared" si="77"/>
        <v>-9.6653279785809953E-2</v>
      </c>
      <c r="AK297" s="228">
        <f t="shared" si="77"/>
        <v>-0.10677783754706827</v>
      </c>
      <c r="AL297" s="228">
        <f t="shared" si="77"/>
        <v>-0.10926570573837358</v>
      </c>
      <c r="AM297" s="228">
        <f t="shared" si="77"/>
        <v>-7.6355470003208303E-2</v>
      </c>
      <c r="AN297" s="228">
        <f t="shared" si="77"/>
        <v>-4.3533745947539115E-2</v>
      </c>
      <c r="AO297" s="228">
        <f t="shared" si="77"/>
        <v>-0.15196416264645074</v>
      </c>
      <c r="AP297" s="228">
        <f t="shared" si="77"/>
        <v>-2.2876396524206366E-2</v>
      </c>
      <c r="AQ297" s="228">
        <f t="shared" si="77"/>
        <v>7.5268817204301008E-2</v>
      </c>
      <c r="AR297" s="228">
        <f t="shared" si="77"/>
        <v>1.3835737415366367E-2</v>
      </c>
      <c r="AS297" s="228">
        <f t="shared" si="77"/>
        <v>7.3361395069152069E-2</v>
      </c>
      <c r="AT297" s="228">
        <f t="shared" si="77"/>
        <v>0.13106425702811242</v>
      </c>
      <c r="AU297" s="228">
        <f t="shared" si="77"/>
        <v>5.2002188183807529E-2</v>
      </c>
      <c r="AV297" s="228">
        <f t="shared" si="77"/>
        <v>0.11842916419679916</v>
      </c>
      <c r="AW297" s="228">
        <f t="shared" si="77"/>
        <v>8.1942186088527436E-2</v>
      </c>
      <c r="AX297" s="228">
        <f t="shared" si="77"/>
        <v>3.6183718395349285E-2</v>
      </c>
      <c r="AY297" s="228">
        <f t="shared" si="77"/>
        <v>0.1510941299062174</v>
      </c>
      <c r="AZ297" s="228">
        <f t="shared" si="77"/>
        <v>7.3555830141528222E-2</v>
      </c>
      <c r="BA297" s="228">
        <f t="shared" si="77"/>
        <v>0.15115806582689961</v>
      </c>
      <c r="BB297" s="228">
        <f t="shared" si="77"/>
        <v>0.10562613430127055</v>
      </c>
      <c r="BC297" s="228">
        <f t="shared" si="77"/>
        <v>3.8108108108108274E-2</v>
      </c>
      <c r="BD297" s="228">
        <f t="shared" si="77"/>
        <v>7.723577235772372E-2</v>
      </c>
      <c r="BE297" s="228">
        <f t="shared" si="77"/>
        <v>0.16246498599439785</v>
      </c>
      <c r="BF297" s="228">
        <f t="shared" si="77"/>
        <v>5.506367157085279E-2</v>
      </c>
      <c r="BG297" s="228">
        <f t="shared" si="77"/>
        <v>-8.9991991929529003E-2</v>
      </c>
      <c r="BH297" s="228">
        <f t="shared" si="77"/>
        <v>8.6501412451836179E-2</v>
      </c>
    </row>
    <row r="298" spans="1:61" ht="15.75">
      <c r="D298" s="223" t="s">
        <v>1236</v>
      </c>
      <c r="E298" s="223"/>
      <c r="F298" s="223"/>
      <c r="G298" s="223"/>
      <c r="H298" s="223"/>
      <c r="I298" s="269">
        <v>7.6479999999999997</v>
      </c>
      <c r="J298" s="269">
        <v>7.6820000000000004</v>
      </c>
      <c r="K298" s="269">
        <v>7.6859999999999999</v>
      </c>
      <c r="L298" s="269">
        <v>7.66</v>
      </c>
      <c r="M298" s="269">
        <v>7.7</v>
      </c>
      <c r="N298" s="269">
        <v>7.73</v>
      </c>
      <c r="O298" s="269">
        <v>7.6440000000000001</v>
      </c>
      <c r="P298" s="269">
        <v>7.6340000000000003</v>
      </c>
      <c r="Q298" s="223">
        <v>7.7</v>
      </c>
      <c r="R298" s="223">
        <v>7.73</v>
      </c>
      <c r="S298" s="223">
        <v>7.64</v>
      </c>
      <c r="T298" s="223">
        <v>7.55</v>
      </c>
      <c r="U298" s="223">
        <v>7.44</v>
      </c>
      <c r="V298" s="223">
        <v>7.5</v>
      </c>
      <c r="W298" s="223">
        <v>7.45</v>
      </c>
      <c r="X298" s="223">
        <v>7.4</v>
      </c>
      <c r="Y298" s="223">
        <v>7.45</v>
      </c>
      <c r="Z298" s="223">
        <v>7.53</v>
      </c>
      <c r="AA298" s="223">
        <v>7.61</v>
      </c>
      <c r="AB298" s="370">
        <v>7.69</v>
      </c>
      <c r="AC298" s="370">
        <v>7.83</v>
      </c>
      <c r="AD298" s="370">
        <v>7.92</v>
      </c>
      <c r="AE298" s="370">
        <v>8.07</v>
      </c>
      <c r="AF298" s="370">
        <v>8.08</v>
      </c>
      <c r="AG298" s="370">
        <v>8.09</v>
      </c>
      <c r="AH298" s="370">
        <v>8.1199999999999992</v>
      </c>
      <c r="AI298" s="370">
        <v>8.15</v>
      </c>
      <c r="AJ298" s="371">
        <v>8.24</v>
      </c>
      <c r="AK298" s="371">
        <v>8.3000000000000007</v>
      </c>
      <c r="AL298" s="371">
        <v>8.33</v>
      </c>
      <c r="AM298" s="101">
        <v>8.2840000000000007</v>
      </c>
      <c r="AN298" s="101">
        <v>8.3079999999999998</v>
      </c>
      <c r="AO298" s="101">
        <v>8.3502638095238098</v>
      </c>
      <c r="AP298" s="101">
        <v>8.2068499999999993</v>
      </c>
      <c r="AQ298" s="101">
        <v>8.0289282608695647</v>
      </c>
      <c r="AR298" s="101">
        <v>7.9998709090909097</v>
      </c>
      <c r="AS298" s="101">
        <v>8.0021128571428566</v>
      </c>
      <c r="AT298" s="101">
        <v>8.0106786363636342</v>
      </c>
      <c r="AU298">
        <v>8.01</v>
      </c>
      <c r="AV298">
        <v>8.02</v>
      </c>
      <c r="AW298" s="101">
        <v>8.07</v>
      </c>
      <c r="AX298" s="101">
        <v>8.07</v>
      </c>
      <c r="AY298" s="101">
        <v>7.99</v>
      </c>
      <c r="AZ298" s="101">
        <v>7.96</v>
      </c>
      <c r="BA298" s="101">
        <v>7.97</v>
      </c>
      <c r="BB298">
        <v>7.82</v>
      </c>
      <c r="BC298">
        <v>7.7</v>
      </c>
      <c r="BD298">
        <v>7.63</v>
      </c>
      <c r="BE298">
        <v>7.65</v>
      </c>
      <c r="BF298">
        <v>7.8</v>
      </c>
      <c r="BG298">
        <v>7.77</v>
      </c>
      <c r="BH298">
        <v>7.83</v>
      </c>
      <c r="BI298">
        <v>7.85</v>
      </c>
    </row>
    <row r="299" spans="1:61" ht="15.75">
      <c r="D299" s="223" t="s">
        <v>1235</v>
      </c>
      <c r="E299" s="223"/>
      <c r="F299" s="223"/>
      <c r="G299" s="223"/>
      <c r="H299" s="223"/>
      <c r="I299" s="227">
        <f t="shared" ref="I299:AN299" si="78">I296*I298</f>
        <v>3004.8991999999998</v>
      </c>
      <c r="J299" s="227">
        <f t="shared" si="78"/>
        <v>2738.6330000000003</v>
      </c>
      <c r="K299" s="227">
        <f t="shared" si="78"/>
        <v>2929.9031999999997</v>
      </c>
      <c r="L299" s="227">
        <f t="shared" si="78"/>
        <v>2921.5239999999999</v>
      </c>
      <c r="M299" s="227">
        <f t="shared" si="78"/>
        <v>2516.36</v>
      </c>
      <c r="N299" s="227">
        <f t="shared" si="78"/>
        <v>3023.9760000000001</v>
      </c>
      <c r="O299" s="227">
        <f t="shared" si="78"/>
        <v>2605.0752000000002</v>
      </c>
      <c r="P299" s="227">
        <f t="shared" si="78"/>
        <v>2575.7116000000001</v>
      </c>
      <c r="Q299" s="227">
        <f t="shared" si="78"/>
        <v>2422.42</v>
      </c>
      <c r="R299" s="227">
        <f t="shared" si="78"/>
        <v>2460.4590000000003</v>
      </c>
      <c r="S299" s="227">
        <f t="shared" si="78"/>
        <v>2600.6559999999995</v>
      </c>
      <c r="T299" s="227">
        <f t="shared" si="78"/>
        <v>2908.2599999999998</v>
      </c>
      <c r="U299" s="227">
        <f t="shared" si="78"/>
        <v>2961.1200000000003</v>
      </c>
      <c r="V299" s="227">
        <f t="shared" si="78"/>
        <v>2882.25</v>
      </c>
      <c r="W299" s="227">
        <f t="shared" si="78"/>
        <v>3052.2649999999999</v>
      </c>
      <c r="X299" s="227">
        <f t="shared" si="78"/>
        <v>2763.9</v>
      </c>
      <c r="Y299" s="227">
        <f t="shared" si="78"/>
        <v>2769.9100000000003</v>
      </c>
      <c r="Z299" s="227">
        <f t="shared" si="78"/>
        <v>2768.7809999999999</v>
      </c>
      <c r="AA299" s="227">
        <f t="shared" si="78"/>
        <v>2372.0369999999998</v>
      </c>
      <c r="AB299" s="227">
        <f t="shared" si="78"/>
        <v>2609.2170000000001</v>
      </c>
      <c r="AC299" s="227">
        <f t="shared" si="78"/>
        <v>2272.2660000000001</v>
      </c>
      <c r="AD299" s="227">
        <f t="shared" si="78"/>
        <v>2233.0439999999999</v>
      </c>
      <c r="AE299" s="227">
        <f t="shared" si="78"/>
        <v>2776.8870000000002</v>
      </c>
      <c r="AF299" s="227">
        <f t="shared" si="78"/>
        <v>2744.7759999999998</v>
      </c>
      <c r="AG299" s="227">
        <f t="shared" si="78"/>
        <v>2690.7339999999999</v>
      </c>
      <c r="AH299" s="227">
        <f t="shared" si="78"/>
        <v>2830.6320000000001</v>
      </c>
      <c r="AI299" s="227">
        <f t="shared" si="78"/>
        <v>2979.6400000000003</v>
      </c>
      <c r="AJ299" s="227">
        <f t="shared" si="78"/>
        <v>2780.1759999999999</v>
      </c>
      <c r="AK299" s="227">
        <f t="shared" si="78"/>
        <v>2756.4300000000003</v>
      </c>
      <c r="AL299" s="227">
        <f t="shared" si="78"/>
        <v>2728.2665900000002</v>
      </c>
      <c r="AM299" s="227">
        <f t="shared" si="78"/>
        <v>2384.9636</v>
      </c>
      <c r="AN299" s="227">
        <f t="shared" si="78"/>
        <v>2696.1869320000001</v>
      </c>
      <c r="AO299" s="227">
        <f t="shared" ref="AO299:BH299" si="79">AO296*AO298</f>
        <v>2054.9999235238097</v>
      </c>
      <c r="AP299" s="227">
        <f t="shared" si="79"/>
        <v>2260.9871749999998</v>
      </c>
      <c r="AQ299" s="227">
        <f t="shared" si="79"/>
        <v>2970.7034565217391</v>
      </c>
      <c r="AR299" s="227">
        <f t="shared" si="79"/>
        <v>2755.1555410909091</v>
      </c>
      <c r="AS299" s="227">
        <f t="shared" si="79"/>
        <v>2856.7542899999999</v>
      </c>
      <c r="AT299" s="227">
        <f t="shared" si="79"/>
        <v>3158.5224688531807</v>
      </c>
      <c r="AU299" s="227">
        <f t="shared" si="79"/>
        <v>3080.7421199999999</v>
      </c>
      <c r="AV299" s="227">
        <f t="shared" si="79"/>
        <v>3026.4111599999997</v>
      </c>
      <c r="AW299" s="227">
        <f t="shared" si="79"/>
        <v>2899.6559099999999</v>
      </c>
      <c r="AX299" s="227">
        <f t="shared" si="79"/>
        <v>2738.7481800000005</v>
      </c>
      <c r="AY299" s="227">
        <f t="shared" si="79"/>
        <v>2647.886</v>
      </c>
      <c r="AZ299" s="227">
        <f t="shared" si="79"/>
        <v>2773.2639999999997</v>
      </c>
      <c r="BA299" s="227">
        <f t="shared" si="79"/>
        <v>2257.9009999999998</v>
      </c>
      <c r="BB299" s="227">
        <f t="shared" si="79"/>
        <v>2381.9720000000002</v>
      </c>
      <c r="BC299" s="227">
        <f t="shared" si="79"/>
        <v>2957.57</v>
      </c>
      <c r="BD299" s="227">
        <f t="shared" si="79"/>
        <v>2830.73</v>
      </c>
      <c r="BE299" s="227">
        <f t="shared" si="79"/>
        <v>3174.75</v>
      </c>
      <c r="BF299" s="227">
        <f t="shared" si="79"/>
        <v>3244.7999999999997</v>
      </c>
      <c r="BG299" s="227">
        <f t="shared" si="79"/>
        <v>2719.5</v>
      </c>
      <c r="BH299" s="227">
        <f t="shared" si="79"/>
        <v>3210.3</v>
      </c>
    </row>
    <row r="300" spans="1:61" ht="15.75">
      <c r="D300" s="223"/>
      <c r="E300" s="223"/>
      <c r="F300" s="223"/>
      <c r="G300" s="223"/>
      <c r="H300" s="223"/>
      <c r="I300" s="223"/>
      <c r="J300" s="223"/>
      <c r="K300" s="223"/>
      <c r="L300" s="223"/>
      <c r="M300" s="223"/>
      <c r="N300" s="223"/>
      <c r="O300" s="223"/>
      <c r="P300" s="223"/>
      <c r="Q300" s="228"/>
      <c r="R300" s="228"/>
      <c r="S300" s="228"/>
      <c r="T300" s="228"/>
      <c r="U300" s="228">
        <f t="shared" ref="U300:BH300" si="80">U299/I299-1</f>
        <v>-1.4569274070823868E-2</v>
      </c>
      <c r="V300" s="228">
        <f t="shared" si="80"/>
        <v>5.2441126649682479E-2</v>
      </c>
      <c r="W300" s="228">
        <f t="shared" si="80"/>
        <v>4.1763086234384961E-2</v>
      </c>
      <c r="X300" s="228">
        <f t="shared" si="80"/>
        <v>-5.3952663062155182E-2</v>
      </c>
      <c r="Y300" s="228">
        <f t="shared" si="80"/>
        <v>0.10076062248644879</v>
      </c>
      <c r="Z300" s="228">
        <f t="shared" si="80"/>
        <v>-8.4390550718656532E-2</v>
      </c>
      <c r="AA300" s="228">
        <f t="shared" si="80"/>
        <v>-8.9455459865419806E-2</v>
      </c>
      <c r="AB300" s="228">
        <f t="shared" si="80"/>
        <v>1.3008211012444093E-2</v>
      </c>
      <c r="AC300" s="228">
        <f t="shared" si="80"/>
        <v>-6.1985122315700858E-2</v>
      </c>
      <c r="AD300" s="228">
        <f t="shared" si="80"/>
        <v>-9.2427876262112241E-2</v>
      </c>
      <c r="AE300" s="228">
        <f t="shared" si="80"/>
        <v>6.7764056453448962E-2</v>
      </c>
      <c r="AF300" s="228">
        <f t="shared" si="80"/>
        <v>-5.6213681032644902E-2</v>
      </c>
      <c r="AG300" s="228">
        <f t="shared" si="80"/>
        <v>-9.1312071108229476E-2</v>
      </c>
      <c r="AH300" s="228">
        <f t="shared" si="80"/>
        <v>-1.7908925318761315E-2</v>
      </c>
      <c r="AI300" s="228">
        <f t="shared" si="80"/>
        <v>-2.3793805583722127E-2</v>
      </c>
      <c r="AJ300" s="228">
        <f t="shared" si="80"/>
        <v>5.8887803466116662E-3</v>
      </c>
      <c r="AK300" s="228">
        <f t="shared" si="80"/>
        <v>-4.8665841128412435E-3</v>
      </c>
      <c r="AL300" s="228">
        <f t="shared" si="80"/>
        <v>-1.4632580186009547E-2</v>
      </c>
      <c r="AM300" s="228">
        <f t="shared" si="80"/>
        <v>5.4495777258112277E-3</v>
      </c>
      <c r="AN300" s="228">
        <f t="shared" si="80"/>
        <v>3.3331812570591035E-2</v>
      </c>
      <c r="AO300" s="228">
        <f t="shared" si="80"/>
        <v>-9.561647997029854E-2</v>
      </c>
      <c r="AP300" s="228">
        <f t="shared" si="80"/>
        <v>1.2513490553701434E-2</v>
      </c>
      <c r="AQ300" s="228">
        <f t="shared" si="80"/>
        <v>6.979630662743519E-2</v>
      </c>
      <c r="AR300" s="228">
        <f t="shared" si="80"/>
        <v>3.7815621715249215E-3</v>
      </c>
      <c r="AS300" s="228">
        <f t="shared" si="80"/>
        <v>6.1700744109228101E-2</v>
      </c>
      <c r="AT300" s="228">
        <f t="shared" si="80"/>
        <v>0.11583648770069033</v>
      </c>
      <c r="AU300" s="228">
        <f t="shared" si="80"/>
        <v>3.3930984951201948E-2</v>
      </c>
      <c r="AV300" s="228">
        <f t="shared" si="80"/>
        <v>8.8568191366301896E-2</v>
      </c>
      <c r="AW300" s="228">
        <f t="shared" si="80"/>
        <v>5.1960655630652663E-2</v>
      </c>
      <c r="AX300" s="228">
        <f t="shared" si="80"/>
        <v>3.8418496339098773E-3</v>
      </c>
      <c r="AY300" s="228">
        <f t="shared" si="80"/>
        <v>0.11024168251456756</v>
      </c>
      <c r="AZ300" s="228">
        <f t="shared" si="80"/>
        <v>2.8587434752836094E-2</v>
      </c>
      <c r="BA300" s="228">
        <f t="shared" si="80"/>
        <v>9.8735320694448347E-2</v>
      </c>
      <c r="BB300" s="228">
        <f t="shared" si="80"/>
        <v>5.3509735189011254E-2</v>
      </c>
      <c r="BC300" s="228">
        <f t="shared" si="80"/>
        <v>-4.4209921030341492E-3</v>
      </c>
      <c r="BD300" s="228">
        <f t="shared" si="80"/>
        <v>2.74301968734465E-2</v>
      </c>
      <c r="BE300" s="228">
        <f t="shared" si="80"/>
        <v>0.11131363698765995</v>
      </c>
      <c r="BF300" s="228">
        <f t="shared" si="80"/>
        <v>2.7315788314827172E-2</v>
      </c>
      <c r="BG300" s="228">
        <f t="shared" si="80"/>
        <v>-0.11725814947471158</v>
      </c>
      <c r="BH300" s="228">
        <f t="shared" si="80"/>
        <v>6.0761354052104588E-2</v>
      </c>
    </row>
    <row r="301" spans="1:61" ht="15.75">
      <c r="D301" s="223" t="s">
        <v>2390</v>
      </c>
      <c r="E301" s="223"/>
      <c r="F301" s="223"/>
      <c r="G301" s="223"/>
      <c r="H301" s="223"/>
      <c r="I301" s="223"/>
      <c r="J301" s="223"/>
      <c r="K301" s="223"/>
      <c r="L301" s="223"/>
      <c r="M301" s="223"/>
      <c r="N301" s="223"/>
      <c r="O301" s="223"/>
      <c r="P301" s="223"/>
      <c r="Q301" s="228"/>
      <c r="R301" s="228"/>
      <c r="S301" s="228"/>
      <c r="T301" s="228"/>
      <c r="U301" s="228"/>
      <c r="V301" s="228"/>
      <c r="W301" s="228"/>
      <c r="X301" s="228"/>
      <c r="Y301" s="228"/>
      <c r="Z301" s="228"/>
      <c r="AA301" s="228"/>
      <c r="AB301" s="228"/>
      <c r="AC301" s="228"/>
      <c r="AD301" s="228"/>
      <c r="AE301" s="228"/>
      <c r="AF301" s="228">
        <f t="shared" ref="AF301:BH301" si="81">SUM(U299:AF299)/SUM(I299:T299)-1</f>
        <v>-1.5330380413681843E-2</v>
      </c>
      <c r="AG301" s="228">
        <f t="shared" si="81"/>
        <v>-2.2288415862577904E-2</v>
      </c>
      <c r="AH301" s="228">
        <f t="shared" si="81"/>
        <v>-2.8141734345107472E-2</v>
      </c>
      <c r="AI301" s="228">
        <f t="shared" si="81"/>
        <v>-3.3958402429234424E-2</v>
      </c>
      <c r="AJ301" s="228">
        <f t="shared" si="81"/>
        <v>-2.8815444659058276E-2</v>
      </c>
      <c r="AK301" s="228">
        <f t="shared" si="81"/>
        <v>-3.6679667452822917E-2</v>
      </c>
      <c r="AL301" s="228">
        <f t="shared" si="81"/>
        <v>-3.0414331440435372E-2</v>
      </c>
      <c r="AM301" s="228">
        <f t="shared" si="81"/>
        <v>-2.3072798757540092E-2</v>
      </c>
      <c r="AN301" s="228">
        <f t="shared" si="81"/>
        <v>-2.1407601575314517E-2</v>
      </c>
      <c r="AO301" s="228">
        <f t="shared" si="81"/>
        <v>-2.3576758942918552E-2</v>
      </c>
      <c r="AP301" s="228">
        <f t="shared" si="81"/>
        <v>-1.5811375660701787E-2</v>
      </c>
      <c r="AQ301" s="228">
        <f t="shared" si="81"/>
        <v>-1.5182029021386545E-2</v>
      </c>
      <c r="AR301" s="228">
        <f t="shared" si="81"/>
        <v>-9.860687914423294E-3</v>
      </c>
      <c r="AS301" s="228">
        <f t="shared" si="81"/>
        <v>3.7208247382640725E-3</v>
      </c>
      <c r="AT301" s="228">
        <f t="shared" si="81"/>
        <v>1.5629468051640005E-2</v>
      </c>
      <c r="AU301" s="228">
        <f t="shared" si="81"/>
        <v>2.1126235860906339E-2</v>
      </c>
      <c r="AV301" s="228">
        <f t="shared" si="81"/>
        <v>2.8340468233719385E-2</v>
      </c>
      <c r="AW301" s="228">
        <f t="shared" si="81"/>
        <v>3.327807049053666E-2</v>
      </c>
      <c r="AX301" s="228">
        <f t="shared" si="81"/>
        <v>3.492545726728169E-2</v>
      </c>
      <c r="AY301" s="228">
        <f t="shared" si="81"/>
        <v>4.2775964703537284E-2</v>
      </c>
      <c r="AZ301" s="228">
        <f t="shared" si="81"/>
        <v>4.2348874101943101E-2</v>
      </c>
      <c r="BA301" s="228">
        <f t="shared" si="81"/>
        <v>5.5912120990511793E-2</v>
      </c>
      <c r="BB301" s="228">
        <f t="shared" si="81"/>
        <v>5.8799298328866545E-2</v>
      </c>
      <c r="BC301" s="228">
        <f t="shared" si="81"/>
        <v>5.1949973100237079E-2</v>
      </c>
      <c r="BD301" s="228">
        <f t="shared" si="81"/>
        <v>5.3977504660865705E-2</v>
      </c>
      <c r="BE301" s="228">
        <f t="shared" si="81"/>
        <v>5.8439040309497425E-2</v>
      </c>
      <c r="BF301" s="228">
        <f t="shared" si="81"/>
        <v>5.0386164864559824E-2</v>
      </c>
      <c r="BG301" s="228">
        <f t="shared" si="81"/>
        <v>3.5996311448897034E-2</v>
      </c>
      <c r="BH301" s="228">
        <f t="shared" si="81"/>
        <v>3.3820643580190657E-2</v>
      </c>
    </row>
    <row r="302" spans="1:61">
      <c r="Q302" s="9">
        <f t="shared" ref="Q302:AW302" si="82">R302</f>
        <v>297.52941176470586</v>
      </c>
      <c r="R302" s="9">
        <f t="shared" si="82"/>
        <v>297.52941176470586</v>
      </c>
      <c r="S302" s="9">
        <f t="shared" si="82"/>
        <v>297.52941176470586</v>
      </c>
      <c r="T302" s="9">
        <f t="shared" si="82"/>
        <v>297.52941176470586</v>
      </c>
      <c r="U302" s="9">
        <f t="shared" si="82"/>
        <v>297.52941176470586</v>
      </c>
      <c r="V302" s="9">
        <f t="shared" si="82"/>
        <v>297.52941176470586</v>
      </c>
      <c r="W302" s="9">
        <f t="shared" si="82"/>
        <v>297.52941176470586</v>
      </c>
      <c r="X302" s="9">
        <f t="shared" si="82"/>
        <v>297.52941176470586</v>
      </c>
      <c r="Y302" s="9">
        <f t="shared" si="82"/>
        <v>297.52941176470586</v>
      </c>
      <c r="Z302" s="9">
        <f t="shared" si="82"/>
        <v>297.52941176470586</v>
      </c>
      <c r="AA302" s="9">
        <f t="shared" si="82"/>
        <v>297.52941176470586</v>
      </c>
      <c r="AB302" s="9">
        <f t="shared" si="82"/>
        <v>297.52941176470586</v>
      </c>
      <c r="AC302" s="9">
        <f t="shared" si="82"/>
        <v>297.52941176470586</v>
      </c>
      <c r="AD302" s="9">
        <f t="shared" si="82"/>
        <v>297.52941176470586</v>
      </c>
      <c r="AE302" s="9">
        <f t="shared" si="82"/>
        <v>297.52941176470586</v>
      </c>
      <c r="AF302" s="9">
        <f t="shared" si="82"/>
        <v>297.52941176470586</v>
      </c>
      <c r="AG302" s="9">
        <f t="shared" si="82"/>
        <v>297.52941176470586</v>
      </c>
      <c r="AH302" s="9">
        <f t="shared" si="82"/>
        <v>297.52941176470586</v>
      </c>
      <c r="AI302" s="9">
        <f t="shared" si="82"/>
        <v>297.52941176470586</v>
      </c>
      <c r="AJ302" s="9">
        <f t="shared" si="82"/>
        <v>297.52941176470586</v>
      </c>
      <c r="AK302" s="9">
        <f t="shared" si="82"/>
        <v>297.52941176470586</v>
      </c>
      <c r="AL302" s="9">
        <f t="shared" si="82"/>
        <v>297.52941176470586</v>
      </c>
      <c r="AM302" s="9">
        <f t="shared" si="82"/>
        <v>297.52941176470586</v>
      </c>
      <c r="AN302" s="9">
        <f t="shared" si="82"/>
        <v>297.52941176470586</v>
      </c>
      <c r="AO302" s="9">
        <f t="shared" si="82"/>
        <v>297.52941176470586</v>
      </c>
      <c r="AP302" s="9">
        <f t="shared" si="82"/>
        <v>297.52941176470586</v>
      </c>
      <c r="AQ302" s="9">
        <f t="shared" si="82"/>
        <v>297.52941176470586</v>
      </c>
      <c r="AR302" s="9">
        <f t="shared" si="82"/>
        <v>297.52941176470586</v>
      </c>
      <c r="AS302" s="9">
        <f t="shared" si="82"/>
        <v>297.52941176470586</v>
      </c>
      <c r="AT302" s="9">
        <f t="shared" si="82"/>
        <v>297.52941176470586</v>
      </c>
      <c r="AU302" s="9">
        <f t="shared" si="82"/>
        <v>297.52941176470586</v>
      </c>
      <c r="AV302" s="9">
        <f t="shared" si="82"/>
        <v>297.52941176470586</v>
      </c>
      <c r="AW302" s="9">
        <f t="shared" si="82"/>
        <v>297.52941176470586</v>
      </c>
      <c r="AX302" s="9">
        <f t="shared" ref="AX302:BH302" si="83">AVERAGE(Q292:AX292)</f>
        <v>297.52941176470586</v>
      </c>
      <c r="AY302" s="9">
        <f t="shared" si="83"/>
        <v>297.46176470588239</v>
      </c>
      <c r="AZ302" s="9">
        <f t="shared" si="83"/>
        <v>298.68823529411765</v>
      </c>
      <c r="BA302" s="9">
        <f t="shared" si="83"/>
        <v>296.10882352941178</v>
      </c>
      <c r="BB302" s="9">
        <f t="shared" si="83"/>
        <v>294.37647058823541</v>
      </c>
      <c r="BC302" s="9">
        <f t="shared" si="83"/>
        <v>293.85000000000002</v>
      </c>
      <c r="BD302" s="9">
        <f t="shared" si="83"/>
        <v>293.10882352941178</v>
      </c>
      <c r="BE302" s="9">
        <f t="shared" si="83"/>
        <v>293.3</v>
      </c>
      <c r="BF302" s="9">
        <f t="shared" si="83"/>
        <v>293.12941176470594</v>
      </c>
      <c r="BG302" s="9">
        <f t="shared" si="83"/>
        <v>293.03235294117644</v>
      </c>
      <c r="BH302" s="9">
        <f t="shared" si="83"/>
        <v>293.11176470588231</v>
      </c>
    </row>
    <row r="303" spans="1:61">
      <c r="Q303" s="9">
        <f t="shared" ref="Q303:AW303" si="84">R303</f>
        <v>2713.1752160879296</v>
      </c>
      <c r="R303" s="9">
        <f t="shared" si="84"/>
        <v>2713.1752160879296</v>
      </c>
      <c r="S303" s="9">
        <f t="shared" si="84"/>
        <v>2713.1752160879296</v>
      </c>
      <c r="T303" s="9">
        <f t="shared" si="84"/>
        <v>2713.1752160879296</v>
      </c>
      <c r="U303" s="9">
        <f t="shared" si="84"/>
        <v>2713.1752160879296</v>
      </c>
      <c r="V303" s="9">
        <f t="shared" si="84"/>
        <v>2713.1752160879296</v>
      </c>
      <c r="W303" s="9">
        <f t="shared" si="84"/>
        <v>2713.1752160879296</v>
      </c>
      <c r="X303" s="9">
        <f t="shared" si="84"/>
        <v>2713.1752160879296</v>
      </c>
      <c r="Y303" s="9">
        <f t="shared" si="84"/>
        <v>2713.1752160879296</v>
      </c>
      <c r="Z303" s="9">
        <f t="shared" si="84"/>
        <v>2713.1752160879296</v>
      </c>
      <c r="AA303" s="9">
        <f t="shared" si="84"/>
        <v>2713.1752160879296</v>
      </c>
      <c r="AB303" s="9">
        <f t="shared" si="84"/>
        <v>2713.1752160879296</v>
      </c>
      <c r="AC303" s="9">
        <f t="shared" si="84"/>
        <v>2713.1752160879296</v>
      </c>
      <c r="AD303" s="9">
        <f t="shared" si="84"/>
        <v>2713.1752160879296</v>
      </c>
      <c r="AE303" s="9">
        <f t="shared" si="84"/>
        <v>2713.1752160879296</v>
      </c>
      <c r="AF303" s="9">
        <f t="shared" si="84"/>
        <v>2713.1752160879296</v>
      </c>
      <c r="AG303" s="9">
        <f t="shared" si="84"/>
        <v>2713.1752160879296</v>
      </c>
      <c r="AH303" s="9">
        <f t="shared" si="84"/>
        <v>2713.1752160879296</v>
      </c>
      <c r="AI303" s="9">
        <f t="shared" si="84"/>
        <v>2713.1752160879296</v>
      </c>
      <c r="AJ303" s="9">
        <f t="shared" si="84"/>
        <v>2713.1752160879296</v>
      </c>
      <c r="AK303" s="9">
        <f t="shared" si="84"/>
        <v>2713.1752160879296</v>
      </c>
      <c r="AL303" s="9">
        <f t="shared" si="84"/>
        <v>2713.1752160879296</v>
      </c>
      <c r="AM303" s="9">
        <f t="shared" si="84"/>
        <v>2713.1752160879296</v>
      </c>
      <c r="AN303" s="9">
        <f t="shared" si="84"/>
        <v>2713.1752160879296</v>
      </c>
      <c r="AO303" s="9">
        <f t="shared" si="84"/>
        <v>2713.1752160879296</v>
      </c>
      <c r="AP303" s="9">
        <f t="shared" si="84"/>
        <v>2713.1752160879296</v>
      </c>
      <c r="AQ303" s="9">
        <f t="shared" si="84"/>
        <v>2713.1752160879296</v>
      </c>
      <c r="AR303" s="9">
        <f t="shared" si="84"/>
        <v>2713.1752160879296</v>
      </c>
      <c r="AS303" s="9">
        <f t="shared" si="84"/>
        <v>2713.1752160879296</v>
      </c>
      <c r="AT303" s="9">
        <f t="shared" si="84"/>
        <v>2713.1752160879296</v>
      </c>
      <c r="AU303" s="9">
        <f t="shared" si="84"/>
        <v>2713.1752160879296</v>
      </c>
      <c r="AV303" s="9">
        <f t="shared" si="84"/>
        <v>2713.1752160879296</v>
      </c>
      <c r="AW303" s="9">
        <f t="shared" si="84"/>
        <v>2713.1752160879296</v>
      </c>
      <c r="AX303" s="9">
        <f t="shared" ref="AX303:BH303" si="85">AVERAGE(Q299:AX299)</f>
        <v>2713.1752160879296</v>
      </c>
      <c r="AY303" s="9">
        <f t="shared" si="85"/>
        <v>2719.806569029106</v>
      </c>
      <c r="AZ303" s="9">
        <f t="shared" si="85"/>
        <v>2729.0067160879298</v>
      </c>
      <c r="BA303" s="9">
        <f t="shared" si="85"/>
        <v>2718.9256866761652</v>
      </c>
      <c r="BB303" s="9">
        <f t="shared" si="85"/>
        <v>2703.4466278526352</v>
      </c>
      <c r="BC303" s="9">
        <f t="shared" si="85"/>
        <v>2703.34221608793</v>
      </c>
      <c r="BD303" s="9">
        <f t="shared" si="85"/>
        <v>2701.8269219702829</v>
      </c>
      <c r="BE303" s="9">
        <f t="shared" si="85"/>
        <v>2705.4294219702829</v>
      </c>
      <c r="BF303" s="9">
        <f t="shared" si="85"/>
        <v>2719.5735396173418</v>
      </c>
      <c r="BG303" s="9">
        <f t="shared" si="85"/>
        <v>2718.0908925585186</v>
      </c>
      <c r="BH303" s="9">
        <f t="shared" si="85"/>
        <v>2731.0767454996953</v>
      </c>
    </row>
    <row r="304" spans="1:61">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row>
    <row r="305" spans="4:60">
      <c r="E305" s="306" t="s">
        <v>106</v>
      </c>
      <c r="F305" s="306" t="s">
        <v>613</v>
      </c>
      <c r="G305" s="306" t="s">
        <v>2043</v>
      </c>
      <c r="H305" s="306" t="s">
        <v>96</v>
      </c>
      <c r="I305" s="306" t="s">
        <v>1100</v>
      </c>
      <c r="J305" s="306" t="s">
        <v>2047</v>
      </c>
      <c r="K305" s="306" t="s">
        <v>179</v>
      </c>
      <c r="L305" s="306" t="s">
        <v>2362</v>
      </c>
      <c r="M305" s="306" t="s">
        <v>833</v>
      </c>
      <c r="N305" s="306" t="s">
        <v>851</v>
      </c>
      <c r="O305" s="306" t="s">
        <v>1072</v>
      </c>
      <c r="P305" s="306" t="s">
        <v>1073</v>
      </c>
      <c r="Q305" s="306" t="s">
        <v>2257</v>
      </c>
      <c r="R305" s="306" t="s">
        <v>981</v>
      </c>
      <c r="U305" s="494"/>
      <c r="V305" s="494"/>
      <c r="W305" s="494"/>
      <c r="X305" s="494"/>
      <c r="Y305" s="494"/>
      <c r="Z305" s="494"/>
      <c r="AA305" s="494"/>
      <c r="AB305" s="494"/>
      <c r="AC305" s="494"/>
      <c r="AD305" s="494"/>
      <c r="AF305" s="494">
        <f t="shared" ref="AF305:BH305" si="86">AF295</f>
        <v>39904</v>
      </c>
      <c r="AG305" s="494">
        <f t="shared" si="86"/>
        <v>39934</v>
      </c>
      <c r="AH305" s="494">
        <f t="shared" si="86"/>
        <v>39965</v>
      </c>
      <c r="AI305" s="494">
        <f t="shared" si="86"/>
        <v>39995</v>
      </c>
      <c r="AJ305" s="494">
        <f t="shared" si="86"/>
        <v>40026</v>
      </c>
      <c r="AK305" s="494">
        <f t="shared" si="86"/>
        <v>40057</v>
      </c>
      <c r="AL305" s="494">
        <f t="shared" si="86"/>
        <v>40087</v>
      </c>
      <c r="AM305" s="494">
        <f t="shared" si="86"/>
        <v>40118</v>
      </c>
      <c r="AN305" s="494">
        <f t="shared" si="86"/>
        <v>40148</v>
      </c>
      <c r="AO305" s="494">
        <f t="shared" si="86"/>
        <v>40179</v>
      </c>
      <c r="AP305" s="494">
        <f t="shared" si="86"/>
        <v>40210</v>
      </c>
      <c r="AQ305" s="494">
        <f t="shared" si="86"/>
        <v>40238</v>
      </c>
      <c r="AR305" s="494">
        <f t="shared" si="86"/>
        <v>40269</v>
      </c>
      <c r="AS305" s="494">
        <f t="shared" si="86"/>
        <v>40299</v>
      </c>
      <c r="AT305" s="494">
        <f t="shared" si="86"/>
        <v>40330</v>
      </c>
      <c r="AU305" s="494">
        <f t="shared" si="86"/>
        <v>40360</v>
      </c>
      <c r="AV305" s="494">
        <f t="shared" si="86"/>
        <v>40391</v>
      </c>
      <c r="AW305" s="494">
        <f t="shared" si="86"/>
        <v>40422</v>
      </c>
      <c r="AX305" s="494">
        <f t="shared" si="86"/>
        <v>40452</v>
      </c>
      <c r="AY305" s="494">
        <f t="shared" si="86"/>
        <v>40483</v>
      </c>
      <c r="AZ305" s="494">
        <f t="shared" si="86"/>
        <v>40513</v>
      </c>
      <c r="BA305" s="494">
        <f t="shared" si="86"/>
        <v>40544</v>
      </c>
      <c r="BB305" s="494">
        <f t="shared" si="86"/>
        <v>40575</v>
      </c>
      <c r="BC305" s="494">
        <f t="shared" si="86"/>
        <v>40603</v>
      </c>
      <c r="BD305" s="494">
        <f t="shared" si="86"/>
        <v>40634</v>
      </c>
      <c r="BE305" s="494">
        <f t="shared" si="86"/>
        <v>40664</v>
      </c>
      <c r="BF305" s="494">
        <f t="shared" si="86"/>
        <v>40695</v>
      </c>
      <c r="BG305" s="494">
        <f t="shared" si="86"/>
        <v>40725</v>
      </c>
      <c r="BH305" s="494">
        <f t="shared" si="86"/>
        <v>40756</v>
      </c>
    </row>
    <row r="306" spans="4:60">
      <c r="D306" t="s">
        <v>2380</v>
      </c>
      <c r="E306" s="454">
        <v>644.32733109173057</v>
      </c>
      <c r="F306" s="454">
        <v>730.65073688977634</v>
      </c>
      <c r="G306" s="454">
        <v>732.59518621141137</v>
      </c>
      <c r="H306" s="454">
        <v>699.91586899209858</v>
      </c>
      <c r="I306" s="454">
        <v>626.11746171933351</v>
      </c>
      <c r="J306" s="454">
        <v>623.98654026268764</v>
      </c>
      <c r="K306" s="454">
        <v>611.9579885474169</v>
      </c>
      <c r="L306" s="454">
        <v>605.84897368604175</v>
      </c>
      <c r="M306" s="454">
        <v>587.8424807626252</v>
      </c>
      <c r="N306" s="454">
        <v>684.54595783012519</v>
      </c>
      <c r="O306" s="454">
        <v>662.37228396077103</v>
      </c>
      <c r="P306" s="454">
        <v>659.3783239656043</v>
      </c>
      <c r="Q306" s="454">
        <v>654.1</v>
      </c>
      <c r="R306" s="454">
        <f>SUM(R307:R308)/SUM(N307:N308)*N306</f>
        <v>722.37693435777487</v>
      </c>
      <c r="U306" s="449"/>
      <c r="V306" s="449"/>
      <c r="W306" s="449"/>
      <c r="X306" s="449"/>
      <c r="Y306" s="449"/>
      <c r="Z306" s="449"/>
      <c r="AA306" s="449"/>
      <c r="AB306" s="449"/>
      <c r="AC306" s="449"/>
      <c r="AD306" s="449"/>
      <c r="AE306" t="s">
        <v>1719</v>
      </c>
      <c r="AF306" s="449">
        <f t="shared" ref="AF306:BH306" si="87">AF294</f>
        <v>-2.7331232288990703E-2</v>
      </c>
      <c r="AG306" s="449">
        <f t="shared" si="87"/>
        <v>-4.3204177986442716E-2</v>
      </c>
      <c r="AH306" s="449">
        <f t="shared" si="87"/>
        <v>-5.9464842623896175E-2</v>
      </c>
      <c r="AI306" s="449">
        <f t="shared" si="87"/>
        <v>-7.3341703285206283E-2</v>
      </c>
      <c r="AJ306" s="449">
        <f t="shared" si="87"/>
        <v>-7.6558283333770016E-2</v>
      </c>
      <c r="AK306" s="449">
        <f t="shared" si="87"/>
        <v>-9.0916193551747515E-2</v>
      </c>
      <c r="AL306" s="449">
        <f t="shared" si="87"/>
        <v>-9.2191712692720418E-2</v>
      </c>
      <c r="AM306" s="449">
        <f t="shared" si="87"/>
        <v>-8.8278619528619595E-2</v>
      </c>
      <c r="AN306" s="449">
        <f t="shared" si="87"/>
        <v>-8.5172668708416888E-2</v>
      </c>
      <c r="AO306" s="449">
        <f t="shared" si="87"/>
        <v>-8.6014078894939616E-2</v>
      </c>
      <c r="AP306" s="449">
        <f t="shared" si="87"/>
        <v>-8.352711624301723E-2</v>
      </c>
      <c r="AQ306" s="449">
        <f t="shared" si="87"/>
        <v>-7.2256433699949052E-2</v>
      </c>
      <c r="AR306" s="449">
        <f t="shared" si="87"/>
        <v>-5.9601927737087168E-2</v>
      </c>
      <c r="AS306" s="449">
        <f t="shared" si="87"/>
        <v>-4.4851826326671285E-2</v>
      </c>
      <c r="AT306" s="449">
        <f t="shared" si="87"/>
        <v>-3.4969906375390103E-2</v>
      </c>
      <c r="AU306" s="449">
        <f t="shared" si="87"/>
        <v>-2.2242294230552018E-2</v>
      </c>
      <c r="AV306" s="449">
        <f t="shared" si="87"/>
        <v>-1.7279046673287057E-2</v>
      </c>
      <c r="AW306" s="449">
        <f t="shared" si="87"/>
        <v>-7.8207809321912958E-3</v>
      </c>
      <c r="AX306" s="449">
        <f t="shared" si="87"/>
        <v>-1.5858827600127023E-3</v>
      </c>
      <c r="AY306" s="449">
        <f t="shared" si="87"/>
        <v>2.048470859780771E-3</v>
      </c>
      <c r="AZ306" s="449">
        <f t="shared" si="87"/>
        <v>3.3477633477632107E-3</v>
      </c>
      <c r="BA306" s="449">
        <f t="shared" si="87"/>
        <v>1.7002354172116041E-2</v>
      </c>
      <c r="BB306" s="449">
        <f t="shared" si="87"/>
        <v>2.5314979001399784E-2</v>
      </c>
      <c r="BC306" s="449">
        <f t="shared" si="87"/>
        <v>1.857971014492743E-2</v>
      </c>
      <c r="BD306" s="449">
        <f t="shared" si="87"/>
        <v>2.1194047136487093E-2</v>
      </c>
      <c r="BE306" s="449">
        <f t="shared" si="87"/>
        <v>2.3551142923112334E-2</v>
      </c>
      <c r="BF306" s="449">
        <f t="shared" si="87"/>
        <v>2.564028527704787E-2</v>
      </c>
      <c r="BG306" s="449">
        <f t="shared" si="87"/>
        <v>2.9647806004618804E-2</v>
      </c>
      <c r="BH306" s="449">
        <f t="shared" si="87"/>
        <v>3.5541055549139555E-2</v>
      </c>
    </row>
    <row r="307" spans="4:60">
      <c r="D307" t="s">
        <v>2376</v>
      </c>
      <c r="E307" s="454">
        <f>SUM(Q292:S292)</f>
        <v>912.19999999999993</v>
      </c>
      <c r="F307" s="454">
        <f>SUM(T292:V292)</f>
        <v>1026.3</v>
      </c>
      <c r="G307" s="454">
        <f>SUM(W292:Y292)</f>
        <v>942.5</v>
      </c>
      <c r="H307" s="454">
        <f>SUM(Z292:AB292)</f>
        <v>906.6</v>
      </c>
      <c r="I307" s="454">
        <f>SUM(AC292:AE292)</f>
        <v>843.3</v>
      </c>
      <c r="J307" s="454">
        <f>SUM(AF292:AH292)</f>
        <v>896.40000000000009</v>
      </c>
      <c r="K307" s="454">
        <f>SUM(AI292:AK292)</f>
        <v>844.4</v>
      </c>
      <c r="L307" s="454">
        <f>SUM(AL292:AN292)</f>
        <v>880.9</v>
      </c>
      <c r="M307" s="454">
        <f>SUM(AO292:AQ292)</f>
        <v>828.3</v>
      </c>
      <c r="N307" s="454">
        <f>SUM(AR292:AT292)</f>
        <v>909.7</v>
      </c>
      <c r="O307" s="454">
        <f>SUM(AU292:AW292)</f>
        <v>844.5</v>
      </c>
      <c r="P307" s="454">
        <f>SUM(AX292:AZ292)</f>
        <v>894.09999999999991</v>
      </c>
      <c r="Q307" s="454">
        <f>SUM(BA292:BC292)</f>
        <v>865.8</v>
      </c>
      <c r="R307" s="454">
        <f>SUM(BD292:BF292)</f>
        <v>947.69999999999993</v>
      </c>
      <c r="U307" s="449"/>
      <c r="V307" s="449"/>
      <c r="W307" s="449"/>
      <c r="X307" s="449"/>
      <c r="Y307" s="449"/>
      <c r="Z307" s="449"/>
      <c r="AA307" s="449"/>
      <c r="AB307" s="449"/>
      <c r="AC307" s="449"/>
      <c r="AD307" s="449"/>
      <c r="AF307" s="449"/>
      <c r="AG307" s="449"/>
      <c r="AH307" s="449"/>
      <c r="AI307" s="449"/>
      <c r="AJ307" s="449"/>
      <c r="AK307" s="449"/>
      <c r="AL307" s="449"/>
      <c r="AM307" s="449"/>
      <c r="AN307" s="449"/>
      <c r="AO307" s="449"/>
      <c r="AP307" s="449"/>
      <c r="AQ307" s="449"/>
      <c r="AR307" s="449"/>
      <c r="AS307" s="449"/>
      <c r="AT307" s="449"/>
      <c r="AU307" s="449"/>
      <c r="AV307" s="449"/>
      <c r="AW307" s="449"/>
      <c r="AX307" s="449"/>
      <c r="AY307" s="449"/>
      <c r="AZ307" s="449"/>
      <c r="BA307" s="449"/>
      <c r="BB307" s="449"/>
      <c r="BC307" s="449"/>
      <c r="BD307" s="449"/>
      <c r="BE307" s="449"/>
      <c r="BF307" s="449"/>
      <c r="BG307" s="449"/>
      <c r="BH307" s="449"/>
    </row>
    <row r="308" spans="4:60">
      <c r="D308" s="455" t="s">
        <v>2429</v>
      </c>
      <c r="E308" s="462">
        <f>SUM(Q296:S296)</f>
        <v>973.30000000000007</v>
      </c>
      <c r="F308" s="462">
        <f>SUM(T296:V296)</f>
        <v>1167.5</v>
      </c>
      <c r="G308" s="462">
        <f>SUM(W296:Y296)*AVERAGE(W298:Y298)/AVERAGE(K298:M298)</f>
        <v>1117.6126008851861</v>
      </c>
      <c r="H308" s="462">
        <f>SUM(Z296:AB296)*AVERAGE(Z298:AB298)/AVERAGE(N298:P298)</f>
        <v>1010.8188890820584</v>
      </c>
      <c r="I308" s="462">
        <f>SUM(AC296:AE296)*AVERAGE(AC298:AE298)/AVERAGE(Q298:S298)</f>
        <v>946.03706111833549</v>
      </c>
      <c r="J308" s="462">
        <f>SUM(AF296:AH296)*AVERAGE(AF298:AH298)/AVERAGE(T298:V298)</f>
        <v>1102.6083148065804</v>
      </c>
      <c r="K308" s="462">
        <f>SUM(AI296:AK296)*AVERAGE(AI298:AK298)/AVERAGE(W298:Y298)</f>
        <v>1146.036726457399</v>
      </c>
      <c r="L308" s="462">
        <f>SUM(AL296:AN296)*AVERAGE(AL298:AN298)/AVERAGE(Z298:AB298)</f>
        <v>1026.0833878230399</v>
      </c>
      <c r="M308" s="462">
        <f>SUM(AO296:AQ296)*AVERAGE(AO298:AQ298)/AVERAGE(AC298:AE298)</f>
        <v>920.27351427215501</v>
      </c>
      <c r="N308" s="462">
        <f>SUM(AR296:AT296)*AVERAGE(AR298:AT298)/AVERAGE(AF298:AH298)</f>
        <v>1083.1786766257533</v>
      </c>
      <c r="O308" s="462">
        <f>SUM(AU296:AW296)*AVERAGE(AU298:AW298)/AVERAGE(AI298:AK298)</f>
        <v>1094.4884690157955</v>
      </c>
      <c r="P308" s="462">
        <f>SUM(AX296:AZ296)*AVERAGE(AX298:AZ298)/AVERAGE(AL298:AN298)</f>
        <v>982.28711499879626</v>
      </c>
      <c r="Q308" s="462">
        <f>SUM(BA296:BC296)*AVERAGE(BA298:BC298)/AVERAGE(AO298:AQ298)</f>
        <v>928.66838568924186</v>
      </c>
      <c r="R308" s="462">
        <f>SUM(BD296:BF296)*AVERAGE(BD298:BF298)/AVERAGE(AR298:AT298)</f>
        <v>1155.3137896528785</v>
      </c>
      <c r="U308" s="449"/>
      <c r="V308" s="449"/>
      <c r="W308" s="449"/>
      <c r="X308" s="449"/>
      <c r="Y308" s="449"/>
      <c r="Z308" s="449"/>
      <c r="AA308" s="449"/>
      <c r="AB308" s="449"/>
      <c r="AC308" s="449"/>
      <c r="AD308" s="449"/>
      <c r="AF308" s="449"/>
      <c r="AG308" s="449"/>
      <c r="AH308" s="449"/>
      <c r="AI308" s="449"/>
      <c r="AJ308" s="449"/>
      <c r="AK308" s="449"/>
      <c r="AL308" s="449"/>
      <c r="AM308" s="449"/>
      <c r="AN308" s="449"/>
      <c r="AO308" s="449"/>
      <c r="AP308" s="449"/>
      <c r="AQ308" s="449"/>
      <c r="AR308" s="449"/>
      <c r="AS308" s="449"/>
      <c r="AT308" s="449"/>
      <c r="AU308" s="449"/>
      <c r="AV308" s="449"/>
      <c r="AW308" s="449"/>
      <c r="AX308" s="449"/>
      <c r="AY308" s="449"/>
      <c r="AZ308" s="449"/>
      <c r="BA308" s="449"/>
      <c r="BB308" s="449"/>
      <c r="BC308" s="449"/>
      <c r="BD308" s="449"/>
      <c r="BE308" s="449"/>
      <c r="BF308" s="449"/>
      <c r="BG308" s="449"/>
      <c r="BH308" s="449"/>
    </row>
    <row r="309" spans="4:60">
      <c r="D309" t="s">
        <v>2324</v>
      </c>
      <c r="E309" s="454">
        <f t="shared" ref="E309:R309" si="88">SUM(E306:E308)</f>
        <v>2529.8273310917307</v>
      </c>
      <c r="F309" s="454">
        <f t="shared" si="88"/>
        <v>2924.4507368897762</v>
      </c>
      <c r="G309" s="454">
        <f t="shared" si="88"/>
        <v>2792.7077870965977</v>
      </c>
      <c r="H309" s="454">
        <f t="shared" si="88"/>
        <v>2617.334758074157</v>
      </c>
      <c r="I309" s="454">
        <f t="shared" si="88"/>
        <v>2415.4545228376692</v>
      </c>
      <c r="J309" s="454">
        <f t="shared" si="88"/>
        <v>2622.9948550692679</v>
      </c>
      <c r="K309" s="454">
        <f t="shared" si="88"/>
        <v>2602.3947150048161</v>
      </c>
      <c r="L309" s="454">
        <f t="shared" si="88"/>
        <v>2512.8323615090812</v>
      </c>
      <c r="M309" s="454">
        <f t="shared" si="88"/>
        <v>2336.4159950347803</v>
      </c>
      <c r="N309" s="454">
        <f t="shared" si="88"/>
        <v>2677.4246344558787</v>
      </c>
      <c r="O309" s="454">
        <f t="shared" si="88"/>
        <v>2601.3607529765668</v>
      </c>
      <c r="P309" s="454">
        <f t="shared" si="88"/>
        <v>2535.7654389644003</v>
      </c>
      <c r="Q309" s="454">
        <f t="shared" si="88"/>
        <v>2448.5683856892419</v>
      </c>
      <c r="R309" s="454">
        <f t="shared" si="88"/>
        <v>2825.3907240106537</v>
      </c>
      <c r="U309" s="449"/>
      <c r="V309" s="449"/>
      <c r="W309" s="449"/>
      <c r="X309" s="449"/>
      <c r="Y309" s="449"/>
      <c r="Z309" s="449"/>
      <c r="AA309" s="449"/>
      <c r="AB309" s="449"/>
      <c r="AC309" s="449"/>
      <c r="AD309" s="449"/>
      <c r="AE309" t="s">
        <v>2391</v>
      </c>
      <c r="AF309" s="449">
        <f t="shared" ref="AF309:BH309" si="89">AF301</f>
        <v>-1.5330380413681843E-2</v>
      </c>
      <c r="AG309" s="449">
        <f t="shared" si="89"/>
        <v>-2.2288415862577904E-2</v>
      </c>
      <c r="AH309" s="449">
        <f t="shared" si="89"/>
        <v>-2.8141734345107472E-2</v>
      </c>
      <c r="AI309" s="449">
        <f t="shared" si="89"/>
        <v>-3.3958402429234424E-2</v>
      </c>
      <c r="AJ309" s="449">
        <f t="shared" si="89"/>
        <v>-2.8815444659058276E-2</v>
      </c>
      <c r="AK309" s="449">
        <f t="shared" si="89"/>
        <v>-3.6679667452822917E-2</v>
      </c>
      <c r="AL309" s="449">
        <f t="shared" si="89"/>
        <v>-3.0414331440435372E-2</v>
      </c>
      <c r="AM309" s="449">
        <f t="shared" si="89"/>
        <v>-2.3072798757540092E-2</v>
      </c>
      <c r="AN309" s="449">
        <f t="shared" si="89"/>
        <v>-2.1407601575314517E-2</v>
      </c>
      <c r="AO309" s="449">
        <f t="shared" si="89"/>
        <v>-2.3576758942918552E-2</v>
      </c>
      <c r="AP309" s="449">
        <f t="shared" si="89"/>
        <v>-1.5811375660701787E-2</v>
      </c>
      <c r="AQ309" s="449">
        <f t="shared" si="89"/>
        <v>-1.5182029021386545E-2</v>
      </c>
      <c r="AR309" s="449">
        <f t="shared" si="89"/>
        <v>-9.860687914423294E-3</v>
      </c>
      <c r="AS309" s="449">
        <f t="shared" si="89"/>
        <v>3.7208247382640725E-3</v>
      </c>
      <c r="AT309" s="449">
        <f t="shared" si="89"/>
        <v>1.5629468051640005E-2</v>
      </c>
      <c r="AU309" s="449">
        <f t="shared" si="89"/>
        <v>2.1126235860906339E-2</v>
      </c>
      <c r="AV309" s="449">
        <f t="shared" si="89"/>
        <v>2.8340468233719385E-2</v>
      </c>
      <c r="AW309" s="449">
        <f t="shared" si="89"/>
        <v>3.327807049053666E-2</v>
      </c>
      <c r="AX309" s="449">
        <f t="shared" si="89"/>
        <v>3.492545726728169E-2</v>
      </c>
      <c r="AY309" s="449">
        <f t="shared" si="89"/>
        <v>4.2775964703537284E-2</v>
      </c>
      <c r="AZ309" s="449">
        <f t="shared" si="89"/>
        <v>4.2348874101943101E-2</v>
      </c>
      <c r="BA309" s="449">
        <f t="shared" si="89"/>
        <v>5.5912120990511793E-2</v>
      </c>
      <c r="BB309" s="449">
        <f t="shared" si="89"/>
        <v>5.8799298328866545E-2</v>
      </c>
      <c r="BC309" s="449">
        <f t="shared" si="89"/>
        <v>5.1949973100237079E-2</v>
      </c>
      <c r="BD309" s="449">
        <f t="shared" si="89"/>
        <v>5.3977504660865705E-2</v>
      </c>
      <c r="BE309" s="449">
        <f t="shared" si="89"/>
        <v>5.8439040309497425E-2</v>
      </c>
      <c r="BF309" s="449">
        <f t="shared" si="89"/>
        <v>5.0386164864559824E-2</v>
      </c>
      <c r="BG309" s="449">
        <f t="shared" si="89"/>
        <v>3.5996311448897034E-2</v>
      </c>
      <c r="BH309" s="449">
        <f t="shared" si="89"/>
        <v>3.3820643580190657E-2</v>
      </c>
    </row>
    <row r="310" spans="4:60">
      <c r="E310" s="454"/>
      <c r="F310" s="454"/>
      <c r="G310" s="454"/>
      <c r="H310" s="454"/>
      <c r="I310" s="454" t="str">
        <f t="shared" ref="I310:R310" si="90">I305</f>
        <v>Q1 09</v>
      </c>
      <c r="J310" s="454" t="str">
        <f t="shared" si="90"/>
        <v>Q2 09</v>
      </c>
      <c r="K310" s="454" t="str">
        <f t="shared" si="90"/>
        <v>Q3 09</v>
      </c>
      <c r="L310" s="454" t="str">
        <f t="shared" si="90"/>
        <v>Q4 09</v>
      </c>
      <c r="M310" s="454" t="str">
        <f t="shared" si="90"/>
        <v>Q1 10</v>
      </c>
      <c r="N310" s="454" t="str">
        <f t="shared" si="90"/>
        <v>Q2 10</v>
      </c>
      <c r="O310" s="454" t="str">
        <f t="shared" si="90"/>
        <v>Q3 10</v>
      </c>
      <c r="P310" s="454" t="str">
        <f t="shared" si="90"/>
        <v>Q4 10</v>
      </c>
      <c r="Q310" s="454" t="str">
        <f t="shared" si="90"/>
        <v>Q1 11</v>
      </c>
      <c r="R310" s="454" t="str">
        <f t="shared" si="90"/>
        <v>Q2 11</v>
      </c>
      <c r="U310" s="449"/>
      <c r="V310" s="449"/>
      <c r="W310" s="449"/>
      <c r="X310" s="449"/>
      <c r="Y310" s="449"/>
      <c r="Z310" s="449"/>
      <c r="AA310" s="449"/>
      <c r="AB310" s="449"/>
      <c r="AC310" s="449"/>
      <c r="AD310" s="449"/>
      <c r="AF310" s="449"/>
      <c r="AG310" s="449"/>
      <c r="AH310" s="449"/>
      <c r="AI310" s="449"/>
      <c r="AJ310" s="449"/>
      <c r="AK310" s="449"/>
      <c r="AL310" s="449"/>
      <c r="AM310" s="449"/>
      <c r="AN310" s="449"/>
      <c r="AO310" s="449"/>
      <c r="AP310" s="449"/>
      <c r="AQ310" s="449"/>
      <c r="AR310" s="449"/>
      <c r="AS310" s="449"/>
      <c r="AT310" s="449"/>
      <c r="AU310" s="449"/>
      <c r="AV310" s="449"/>
      <c r="AW310" s="449"/>
      <c r="AX310" s="449"/>
      <c r="AY310" s="449"/>
      <c r="AZ310" s="449"/>
      <c r="BA310" s="449"/>
      <c r="BB310" s="449"/>
      <c r="BC310" s="449"/>
      <c r="BD310" s="449"/>
      <c r="BE310" s="449"/>
      <c r="BF310" s="449"/>
      <c r="BG310" s="449"/>
      <c r="BH310" s="449"/>
    </row>
    <row r="311" spans="4:60">
      <c r="E311" s="454"/>
      <c r="F311" s="454"/>
      <c r="G311" s="454"/>
      <c r="H311" s="454" t="s">
        <v>2430</v>
      </c>
      <c r="I311" s="449">
        <f t="shared" ref="I311:R311" si="91">I309/E309-1</f>
        <v>-4.5209729078507732E-2</v>
      </c>
      <c r="J311" s="449">
        <f t="shared" si="91"/>
        <v>-0.10308119675871641</v>
      </c>
      <c r="K311" s="449">
        <f t="shared" si="91"/>
        <v>-6.8146432280205782E-2</v>
      </c>
      <c r="L311" s="449">
        <f t="shared" si="91"/>
        <v>-3.9927027386427616E-2</v>
      </c>
      <c r="M311" s="449">
        <f t="shared" si="91"/>
        <v>-3.2722010311349026E-2</v>
      </c>
      <c r="N311" s="449">
        <f t="shared" si="91"/>
        <v>2.0751005012998203E-2</v>
      </c>
      <c r="O311" s="449">
        <f t="shared" si="91"/>
        <v>-3.9731176146640124E-4</v>
      </c>
      <c r="P311" s="449">
        <f t="shared" si="91"/>
        <v>9.1263857496433065E-3</v>
      </c>
      <c r="Q311" s="449">
        <f t="shared" si="91"/>
        <v>4.8001893024530506E-2</v>
      </c>
      <c r="R311" s="449">
        <f t="shared" si="91"/>
        <v>5.5264334110694868E-2</v>
      </c>
      <c r="U311" s="449"/>
      <c r="V311" s="449"/>
      <c r="W311" s="449"/>
      <c r="X311" s="449"/>
      <c r="Y311" s="449"/>
      <c r="Z311" s="449"/>
      <c r="AA311" s="449"/>
      <c r="AB311" s="449"/>
      <c r="AC311" s="449"/>
      <c r="AD311" s="449"/>
      <c r="AF311" s="449"/>
      <c r="AG311" s="449"/>
      <c r="AH311" s="449"/>
      <c r="AI311" s="449"/>
      <c r="AJ311" s="449"/>
      <c r="AK311" s="449"/>
      <c r="AL311" s="449"/>
      <c r="AM311" s="449"/>
      <c r="AN311" s="449"/>
      <c r="AO311" s="449"/>
      <c r="AP311" s="449"/>
      <c r="AQ311" s="449"/>
      <c r="AR311" s="449"/>
      <c r="AS311" s="449"/>
      <c r="AT311" s="449"/>
      <c r="AU311" s="449"/>
      <c r="AV311" s="449"/>
      <c r="AW311" s="449"/>
      <c r="AX311" s="449"/>
      <c r="AY311" s="449"/>
      <c r="AZ311" s="449"/>
      <c r="BA311" s="449"/>
      <c r="BB311" s="449"/>
      <c r="BC311" s="449"/>
      <c r="BD311" s="449"/>
      <c r="BE311" s="449"/>
      <c r="BF311" s="449"/>
      <c r="BG311" s="449"/>
      <c r="BH311" s="449"/>
    </row>
    <row r="312" spans="4:60">
      <c r="E312" s="454"/>
      <c r="F312" s="454"/>
      <c r="G312" s="454"/>
      <c r="H312" s="454" t="s">
        <v>2428</v>
      </c>
      <c r="I312" s="449">
        <f>I319</f>
        <v>0.11473689063535009</v>
      </c>
      <c r="J312" s="449">
        <f>J319</f>
        <v>0.12493769692074208</v>
      </c>
      <c r="K312" s="449">
        <f>K319</f>
        <v>0</v>
      </c>
      <c r="L312" s="449">
        <f>Quarts!CG255</f>
        <v>-0.04</v>
      </c>
      <c r="M312" s="449">
        <f>Quarts!CH255</f>
        <v>0</v>
      </c>
      <c r="N312" s="449">
        <f>Quarts!CI255</f>
        <v>-0.01</v>
      </c>
      <c r="O312" s="449">
        <f>Quarts!CJ255</f>
        <v>-0.01</v>
      </c>
      <c r="P312" s="449">
        <f>Quarts!CK255</f>
        <v>0.01</v>
      </c>
      <c r="Q312" s="449">
        <f>Quarts!CL255</f>
        <v>0.04</v>
      </c>
      <c r="R312" s="449">
        <f>Quarts!CM255</f>
        <v>3.4000000000000002E-2</v>
      </c>
      <c r="U312" s="449"/>
      <c r="V312" s="449"/>
      <c r="W312" s="449"/>
      <c r="X312" s="449"/>
      <c r="Y312" s="449"/>
      <c r="Z312" s="449"/>
      <c r="AA312" s="449"/>
      <c r="AB312" s="449"/>
      <c r="AC312" s="449"/>
      <c r="AD312" s="449"/>
      <c r="AF312" s="449"/>
      <c r="AG312" s="449"/>
      <c r="AH312" s="449"/>
      <c r="AI312" s="449"/>
      <c r="AJ312" s="449"/>
      <c r="AK312" s="449"/>
      <c r="AL312" s="449"/>
      <c r="AM312" s="449"/>
      <c r="AN312" s="449"/>
      <c r="AO312" s="449"/>
      <c r="AP312" s="449"/>
      <c r="AQ312" s="449"/>
      <c r="AR312" s="449"/>
      <c r="AS312" s="449"/>
      <c r="AT312" s="449"/>
      <c r="AU312" s="449"/>
      <c r="AV312" s="449"/>
      <c r="AW312" s="449"/>
      <c r="AX312" s="449"/>
      <c r="AY312" s="449"/>
      <c r="AZ312" s="449"/>
      <c r="BA312" s="449"/>
      <c r="BB312" s="449"/>
      <c r="BC312" s="449"/>
      <c r="BD312" s="449"/>
      <c r="BE312" s="449"/>
      <c r="BF312" s="449"/>
      <c r="BG312" s="449"/>
      <c r="BH312" s="449"/>
    </row>
    <row r="313" spans="4:60">
      <c r="U313" s="449"/>
      <c r="V313" s="449"/>
      <c r="W313" s="449"/>
      <c r="X313" s="449"/>
      <c r="Y313" s="449"/>
      <c r="Z313" s="449"/>
      <c r="AA313" s="449"/>
      <c r="AB313" s="449"/>
      <c r="AC313" s="449"/>
      <c r="AD313" s="449"/>
      <c r="AF313" s="449"/>
      <c r="AG313" s="449"/>
      <c r="AH313" s="449"/>
      <c r="AI313" s="449"/>
      <c r="AJ313" s="449"/>
      <c r="AK313" s="449"/>
      <c r="AL313" s="449"/>
      <c r="AM313" s="449"/>
      <c r="AN313" s="449"/>
      <c r="AO313" s="449"/>
      <c r="AP313" s="449"/>
      <c r="AQ313" s="449"/>
      <c r="AR313" s="449"/>
      <c r="AS313" s="449"/>
      <c r="AT313" s="449"/>
      <c r="AU313" s="449"/>
      <c r="AV313" s="449"/>
      <c r="AW313" s="449"/>
      <c r="AX313" s="449"/>
      <c r="AY313" s="449"/>
      <c r="AZ313" s="449"/>
      <c r="BA313" s="449"/>
      <c r="BB313" s="449"/>
      <c r="BC313" s="449"/>
      <c r="BD313" s="449"/>
      <c r="BE313" s="449"/>
      <c r="BF313" s="449"/>
      <c r="BG313" s="449"/>
      <c r="BH313" s="449"/>
    </row>
    <row r="314" spans="4:60">
      <c r="D314" s="23" t="s">
        <v>945</v>
      </c>
      <c r="E314" s="306" t="s">
        <v>106</v>
      </c>
      <c r="F314" s="306" t="s">
        <v>613</v>
      </c>
      <c r="G314" s="306" t="s">
        <v>2043</v>
      </c>
      <c r="H314" s="306" t="s">
        <v>96</v>
      </c>
      <c r="I314" s="306" t="s">
        <v>1100</v>
      </c>
      <c r="J314" s="306" t="s">
        <v>2047</v>
      </c>
      <c r="K314" s="306" t="s">
        <v>179</v>
      </c>
      <c r="L314" s="306" t="s">
        <v>2362</v>
      </c>
      <c r="M314" s="306" t="s">
        <v>833</v>
      </c>
      <c r="N314" s="306" t="s">
        <v>851</v>
      </c>
      <c r="O314" s="306" t="s">
        <v>1072</v>
      </c>
      <c r="P314" s="306" t="s">
        <v>1073</v>
      </c>
      <c r="Q314" s="306" t="s">
        <v>2257</v>
      </c>
      <c r="R314" s="306" t="s">
        <v>981</v>
      </c>
    </row>
    <row r="315" spans="4:60">
      <c r="D315" t="s">
        <v>608</v>
      </c>
      <c r="E315" s="16">
        <f>SUM(Q292:S292)/SUM(E292:G292)-1</f>
        <v>6.0574351819555838E-2</v>
      </c>
      <c r="F315" s="16">
        <f>SUM(T292:V292)/SUM(H292:J292)-1</f>
        <v>7.0958989877908829E-2</v>
      </c>
      <c r="G315" s="16">
        <f>SUM(W292:Y292)/SUM(K292:M292)-1</f>
        <v>2.6241289198606355E-2</v>
      </c>
      <c r="H315" s="16">
        <f>SUM(Z292:AB292)/SUM(N292:P292)-1</f>
        <v>-5.4443053817271547E-2</v>
      </c>
      <c r="I315" s="16">
        <f>SUM(AC292:AE292)/SUM(Q292:S292)-1</f>
        <v>-7.5531681648761229E-2</v>
      </c>
      <c r="J315" s="16">
        <f>SUM(AF292:AH292)/SUM(T292:V292)-1</f>
        <v>-0.12657117801812323</v>
      </c>
      <c r="K315" s="16">
        <f>SUM(AI292:AK292)/SUM(W292:Y292)-1</f>
        <v>-0.10408488063660482</v>
      </c>
      <c r="L315" s="16">
        <f>SUM(AL292:AN292)/SUM(Z292:AB292)-1</f>
        <v>-2.8347672622986986E-2</v>
      </c>
      <c r="M315" s="16">
        <f>SUM(AO292:AQ292)/SUM(AA292:AC292)-1</f>
        <v>-3.0888030888030826E-2</v>
      </c>
      <c r="N315" s="16">
        <f>SUM(AR292:AT292)/SUM(AF292:AH292)-1</f>
        <v>1.4837126282909452E-2</v>
      </c>
      <c r="O315" s="16">
        <f>SUM(AU292:AW292)/SUM(AI292:AK292)-1</f>
        <v>1.1842728564670502E-4</v>
      </c>
      <c r="P315" s="16">
        <f>SUM(AX292:AZ292)/SUM(AL292:AN292)-1</f>
        <v>1.4984674764445316E-2</v>
      </c>
      <c r="Q315" s="16"/>
      <c r="R315" s="16"/>
    </row>
    <row r="316" spans="4:60">
      <c r="D316" t="s">
        <v>1705</v>
      </c>
      <c r="E316" s="16">
        <f>SUM(Q296:S296)/SUM(E296:G296)-1</f>
        <v>9.7789307466726871E-2</v>
      </c>
      <c r="F316" s="16">
        <f>SUM(T296:V296)/SUM(H296:J296)-1</f>
        <v>7.8024007386888306E-2</v>
      </c>
      <c r="G316" s="16">
        <f>SUM(W296:Y296)/SUM(K296:M296)-1</f>
        <v>6.0216633008995935E-2</v>
      </c>
      <c r="H316" s="16">
        <f>SUM(Z296:AB296)/SUM(N296:P296)-1</f>
        <v>-4.7409762483635709E-2</v>
      </c>
      <c r="I316" s="16">
        <f>SUM(AC296:AE296)/SUM(Q296:S296)-1</f>
        <v>-5.8615021062365269E-2</v>
      </c>
      <c r="J316" s="16">
        <f>SUM(AF296:AH296)/SUM(T296:V296)-1</f>
        <v>-0.12556745182012852</v>
      </c>
      <c r="K316" s="16">
        <f>SUM(AI296:AK296)/SUM(W296:Y296)-1</f>
        <v>-0.10380952380952391</v>
      </c>
      <c r="L316" s="16">
        <f>SUM(AL296:AN296)/SUM(Z296:AB296)-1</f>
        <v>-7.7302444291744377E-2</v>
      </c>
      <c r="M316" s="16">
        <f>SUM(AO296:AQ296)/SUM(AC296:AE296)-1</f>
        <v>-2.6903137789904497E-2</v>
      </c>
      <c r="N316" s="16">
        <f>SUM(AR296:AT296)/SUM(AF296:AH296)-1</f>
        <v>7.3257909687530542E-2</v>
      </c>
      <c r="O316" s="16">
        <f>SUM(AU296:AW296)/SUM(AI296:AK296)-1</f>
        <v>8.3260554535793618E-2</v>
      </c>
      <c r="P316" s="16">
        <f>SUM(AX296:AZ296)/SUM(AL296:AN296)-1</f>
        <v>8.4283027218411188E-2</v>
      </c>
      <c r="Q316" s="16"/>
      <c r="R316" s="16"/>
    </row>
    <row r="317" spans="4:60">
      <c r="D317" t="s">
        <v>1077</v>
      </c>
      <c r="E317" s="16">
        <v>8.9476717636038927E-4</v>
      </c>
      <c r="F317" s="16">
        <v>-2.2182593327452538E-2</v>
      </c>
      <c r="G317" s="16">
        <v>-3.2109015512313488E-2</v>
      </c>
      <c r="H317" s="16">
        <v>-7.874964753438074E-3</v>
      </c>
      <c r="I317" s="16">
        <v>3.1614650827082924E-2</v>
      </c>
      <c r="J317" s="16">
        <v>8.0286704403808695E-2</v>
      </c>
      <c r="K317" s="16">
        <v>0.10651628383332534</v>
      </c>
      <c r="L317" s="16">
        <v>9.1590064572513397E-2</v>
      </c>
      <c r="M317" s="16">
        <v>3.160988945024279E-2</v>
      </c>
      <c r="N317" s="16">
        <v>-1.1381221447305911E-2</v>
      </c>
      <c r="O317" s="16">
        <v>-2.3826459228710406E-2</v>
      </c>
      <c r="P317" s="16">
        <v>-3.6399624000684971E-2</v>
      </c>
      <c r="Q317" s="16"/>
      <c r="R317" s="16"/>
    </row>
    <row r="318" spans="4:60">
      <c r="D318" t="s">
        <v>102</v>
      </c>
      <c r="E318" s="16">
        <f t="shared" ref="E318:P318" si="92">E316+E317</f>
        <v>9.8684074643087261E-2</v>
      </c>
      <c r="F318" s="16">
        <f t="shared" si="92"/>
        <v>5.5841414059435768E-2</v>
      </c>
      <c r="G318" s="16">
        <f t="shared" si="92"/>
        <v>2.8107617496682447E-2</v>
      </c>
      <c r="H318" s="16">
        <f t="shared" si="92"/>
        <v>-5.5284727237073783E-2</v>
      </c>
      <c r="I318" s="16">
        <f t="shared" si="92"/>
        <v>-2.7000370235282345E-2</v>
      </c>
      <c r="J318" s="16">
        <f t="shared" si="92"/>
        <v>-4.5280747416319822E-2</v>
      </c>
      <c r="K318" s="16">
        <f t="shared" si="92"/>
        <v>2.7067600238014355E-3</v>
      </c>
      <c r="L318" s="16">
        <f t="shared" si="92"/>
        <v>1.428762028076902E-2</v>
      </c>
      <c r="M318" s="16">
        <f t="shared" si="92"/>
        <v>4.7067516603382931E-3</v>
      </c>
      <c r="N318" s="16">
        <f t="shared" si="92"/>
        <v>6.1876688240224631E-2</v>
      </c>
      <c r="O318" s="16">
        <f t="shared" si="92"/>
        <v>5.9434095307083212E-2</v>
      </c>
      <c r="P318" s="16">
        <f t="shared" si="92"/>
        <v>4.7883403217726217E-2</v>
      </c>
      <c r="Q318" s="16"/>
      <c r="R318" s="16"/>
    </row>
    <row r="319" spans="4:60">
      <c r="D319" t="s">
        <v>828</v>
      </c>
      <c r="E319" s="16">
        <f>Quarts!CD217</f>
        <v>0.36337107926645973</v>
      </c>
      <c r="F319" s="16">
        <f>Quarts!CE217</f>
        <v>0.26437601656069787</v>
      </c>
      <c r="G319" s="16">
        <f>Quarts!CF217</f>
        <v>0.13197671900559382</v>
      </c>
      <c r="H319" s="16">
        <f>Quarts!CG217</f>
        <v>7.8371810449574753E-2</v>
      </c>
      <c r="I319" s="16">
        <f>Quarts!CH217</f>
        <v>0.11473689063535009</v>
      </c>
      <c r="J319" s="16">
        <f>Quarts!CI217</f>
        <v>0.12493769692074208</v>
      </c>
      <c r="K319" s="36">
        <f>Quarts!CF255</f>
        <v>0</v>
      </c>
      <c r="L319" s="36">
        <f>Quarts!CG255</f>
        <v>-0.04</v>
      </c>
      <c r="M319" s="36">
        <f>Quarts!CH255</f>
        <v>0</v>
      </c>
      <c r="N319" s="36">
        <f>Quarts!CI255</f>
        <v>-0.01</v>
      </c>
      <c r="O319" s="36">
        <f>Quarts!CJ255</f>
        <v>-0.01</v>
      </c>
      <c r="P319" s="36">
        <f>Quarts!CL255</f>
        <v>0.04</v>
      </c>
      <c r="Q319" s="36"/>
      <c r="R319" s="36"/>
    </row>
    <row r="320" spans="4:60">
      <c r="E320" s="454"/>
      <c r="F320" s="454"/>
      <c r="G320" s="454"/>
      <c r="H320" s="454"/>
      <c r="I320" s="454"/>
      <c r="J320" s="454"/>
      <c r="K320" s="454"/>
      <c r="L320" s="454"/>
      <c r="M320" s="454"/>
      <c r="N320" s="454"/>
      <c r="O320" s="454"/>
      <c r="P320" s="454"/>
      <c r="Q320" s="454"/>
      <c r="R320" s="454"/>
    </row>
    <row r="321" spans="4:21">
      <c r="R321" s="6" t="s">
        <v>945</v>
      </c>
      <c r="S321" s="6" t="s">
        <v>945</v>
      </c>
      <c r="T321" s="6" t="s">
        <v>945</v>
      </c>
      <c r="U321" s="6" t="s">
        <v>945</v>
      </c>
    </row>
    <row r="322" spans="4:21">
      <c r="D322" s="23" t="s">
        <v>1130</v>
      </c>
      <c r="E322" s="96" t="s">
        <v>1102</v>
      </c>
      <c r="F322" s="96" t="s">
        <v>1104</v>
      </c>
      <c r="G322" s="96" t="s">
        <v>1650</v>
      </c>
      <c r="H322" s="96" t="s">
        <v>2356</v>
      </c>
      <c r="I322" s="96" t="s">
        <v>499</v>
      </c>
      <c r="J322" s="96" t="s">
        <v>740</v>
      </c>
      <c r="K322" s="96" t="s">
        <v>558</v>
      </c>
      <c r="L322" s="96" t="s">
        <v>423</v>
      </c>
      <c r="M322" s="96" t="s">
        <v>106</v>
      </c>
      <c r="N322" s="96" t="s">
        <v>613</v>
      </c>
      <c r="O322" s="96" t="s">
        <v>2043</v>
      </c>
      <c r="P322" s="96" t="s">
        <v>1066</v>
      </c>
      <c r="R322" s="96" t="str">
        <f>M322</f>
        <v>Q1 08</v>
      </c>
      <c r="S322" s="96" t="str">
        <f>N322</f>
        <v>Q2 08</v>
      </c>
      <c r="T322" s="96" t="str">
        <f>O322</f>
        <v>Q3 08</v>
      </c>
      <c r="U322" s="96" t="str">
        <f>P322</f>
        <v>Q4 08e</v>
      </c>
    </row>
    <row r="323" spans="4:21">
      <c r="D323" t="s">
        <v>952</v>
      </c>
      <c r="E323" s="9">
        <f>Quarts!S226*(Quarts!S129/(Quarts!S129+Quarts!S130))</f>
        <v>21.243697747272826</v>
      </c>
      <c r="F323" s="9">
        <f>Quarts!T226*(Quarts!T129/(Quarts!T129+Quarts!T130))</f>
        <v>22.97580394404164</v>
      </c>
      <c r="G323" s="9">
        <f>Quarts!U226*(Quarts!U129/(Quarts!U129+Quarts!U130))</f>
        <v>27.374580646735964</v>
      </c>
      <c r="H323" s="9">
        <f>Quarts!V226*(Quarts!V129/(Quarts!V129+Quarts!V130))</f>
        <v>30.524325603105233</v>
      </c>
      <c r="I323" s="9">
        <f>Quarts!X226*(Quarts!X129/(Quarts!X129+Quarts!X130))</f>
        <v>29.652338083256861</v>
      </c>
      <c r="J323" s="9">
        <f>Quarts!Y226*(Quarts!Y129/(Quarts!Y129+Quarts!Y130))</f>
        <v>29.449976839876651</v>
      </c>
      <c r="K323" s="9">
        <f>Quarts!Z226*(Quarts!Z129/(Quarts!Z129+Quarts!Z130))</f>
        <v>33.840619650546927</v>
      </c>
      <c r="L323" s="9">
        <f>Quarts!AA226*(Quarts!AA129/(Quarts!AA129+Quarts!AA130))</f>
        <v>37.017968341371116</v>
      </c>
      <c r="M323" s="9">
        <f>Quarts!AC226*(Quarts!AC129/(Quarts!AC129+Quarts!AC130))</f>
        <v>40.358836320893332</v>
      </c>
      <c r="N323" s="9">
        <f>Quarts!AD226*(Quarts!AD129/(Quarts!AD129+Quarts!AD130))</f>
        <v>44.529497107224373</v>
      </c>
      <c r="O323" s="31">
        <f>Quarts!AE226*(Quarts!AE129/(Quarts!AE129+Quarts!AE130))</f>
        <v>51.656602816755012</v>
      </c>
      <c r="P323" s="9" t="e">
        <f>Quarts!#REF!*(Quarts!#REF!/(Quarts!#REF!+Quarts!#REF!))</f>
        <v>#REF!</v>
      </c>
      <c r="R323" s="16">
        <f t="shared" ref="R323:U326" si="93">M323/I323-1</f>
        <v>0.36106758959698615</v>
      </c>
      <c r="S323" s="16">
        <f t="shared" si="93"/>
        <v>0.51203844231650941</v>
      </c>
      <c r="T323" s="16">
        <f t="shared" si="93"/>
        <v>0.52646740367592959</v>
      </c>
      <c r="U323" s="16" t="e">
        <f t="shared" si="93"/>
        <v>#REF!</v>
      </c>
    </row>
    <row r="324" spans="4:21">
      <c r="D324" t="s">
        <v>953</v>
      </c>
      <c r="E324" s="9">
        <f>Quarts!S226-E323</f>
        <v>23.446302252727172</v>
      </c>
      <c r="F324" s="9">
        <f>Quarts!T226-F323</f>
        <v>28.482196055958358</v>
      </c>
      <c r="G324" s="9">
        <f>Quarts!U226-G323</f>
        <v>34.933419353264036</v>
      </c>
      <c r="H324" s="9">
        <f>Quarts!V226-H323</f>
        <v>41.508074396894777</v>
      </c>
      <c r="I324" s="9">
        <f>Quarts!X226-I323</f>
        <v>47.201995250076479</v>
      </c>
      <c r="J324" s="9">
        <f>Quarts!Y226-J323</f>
        <v>51.853663160123347</v>
      </c>
      <c r="K324" s="9">
        <f>Quarts!Z226-K323</f>
        <v>64.606020349453075</v>
      </c>
      <c r="L324" s="9">
        <f>Quarts!AA226-L323</f>
        <v>72.471279658628902</v>
      </c>
      <c r="M324" s="9">
        <f>Quarts!AC226-M323</f>
        <v>82.267163679106673</v>
      </c>
      <c r="N324" s="9">
        <f>Quarts!AD226-N323</f>
        <v>91.574502892775641</v>
      </c>
      <c r="O324" s="31">
        <f>Quarts!AE226-O323</f>
        <v>102.43596673907375</v>
      </c>
      <c r="P324" s="9" t="e">
        <f>Quarts!#REF!-P323</f>
        <v>#REF!</v>
      </c>
      <c r="R324" s="16">
        <f t="shared" si="93"/>
        <v>0.74287470780111531</v>
      </c>
      <c r="S324" s="16">
        <f t="shared" si="93"/>
        <v>0.76601800744520077</v>
      </c>
      <c r="T324" s="16">
        <f t="shared" si="93"/>
        <v>0.58554831554395426</v>
      </c>
      <c r="U324" s="16" t="e">
        <f t="shared" si="93"/>
        <v>#REF!</v>
      </c>
    </row>
    <row r="325" spans="4:21">
      <c r="D325" s="11" t="s">
        <v>1665</v>
      </c>
      <c r="E325" s="13">
        <f>Quarts!S222</f>
        <v>0</v>
      </c>
      <c r="F325" s="13">
        <f>Quarts!T222</f>
        <v>0</v>
      </c>
      <c r="G325" s="13">
        <f>Quarts!U222</f>
        <v>0</v>
      </c>
      <c r="H325" s="13">
        <f>Quarts!V222</f>
        <v>90.311599999999984</v>
      </c>
      <c r="I325" s="13">
        <f>Quarts!X222</f>
        <v>90.554666666666648</v>
      </c>
      <c r="J325" s="13">
        <f>Quarts!Y222</f>
        <v>107.12036000000001</v>
      </c>
      <c r="K325" s="13">
        <f>Quarts!Z222</f>
        <v>116.28335999999999</v>
      </c>
      <c r="L325" s="13">
        <f>Quarts!AA222</f>
        <v>129.81075199999998</v>
      </c>
      <c r="M325" s="13">
        <f>Quarts!AC222</f>
        <v>109</v>
      </c>
      <c r="N325" s="13">
        <f>Quarts!AD222</f>
        <v>118</v>
      </c>
      <c r="O325" s="93">
        <f>Quarts!AE222</f>
        <v>119.32543044417125</v>
      </c>
      <c r="P325" s="13" t="e">
        <f>Quarts!#REF!</f>
        <v>#REF!</v>
      </c>
      <c r="Q325" s="11"/>
      <c r="R325" s="20">
        <f t="shared" si="93"/>
        <v>0.20369279698451059</v>
      </c>
      <c r="S325" s="20">
        <f t="shared" si="93"/>
        <v>0.10156463253110792</v>
      </c>
      <c r="T325" s="20">
        <f t="shared" si="93"/>
        <v>2.6160840589498413E-2</v>
      </c>
      <c r="U325" s="20" t="e">
        <f t="shared" si="93"/>
        <v>#REF!</v>
      </c>
    </row>
    <row r="326" spans="4:21">
      <c r="D326" s="2" t="s">
        <v>947</v>
      </c>
      <c r="E326" s="10">
        <f t="shared" ref="E326:P326" si="94">SUM(E323:E325)</f>
        <v>44.69</v>
      </c>
      <c r="F326" s="10">
        <f t="shared" si="94"/>
        <v>51.457999999999998</v>
      </c>
      <c r="G326" s="10">
        <f t="shared" si="94"/>
        <v>62.308</v>
      </c>
      <c r="H326" s="10">
        <f t="shared" si="94"/>
        <v>162.34399999999999</v>
      </c>
      <c r="I326" s="10">
        <f t="shared" si="94"/>
        <v>167.40899999999999</v>
      </c>
      <c r="J326" s="10">
        <f t="shared" si="94"/>
        <v>188.42400000000001</v>
      </c>
      <c r="K326" s="10">
        <f t="shared" si="94"/>
        <v>214.73</v>
      </c>
      <c r="L326" s="10">
        <f t="shared" si="94"/>
        <v>239.3</v>
      </c>
      <c r="M326" s="10">
        <f t="shared" si="94"/>
        <v>231.626</v>
      </c>
      <c r="N326" s="10">
        <f t="shared" si="94"/>
        <v>254.10400000000001</v>
      </c>
      <c r="O326" s="10">
        <f t="shared" si="94"/>
        <v>273.41800000000001</v>
      </c>
      <c r="P326" s="10" t="e">
        <f t="shared" si="94"/>
        <v>#REF!</v>
      </c>
      <c r="R326" s="16">
        <f t="shared" si="93"/>
        <v>0.38359347466384741</v>
      </c>
      <c r="S326" s="16">
        <f t="shared" si="93"/>
        <v>0.34857555300810938</v>
      </c>
      <c r="T326" s="16">
        <f t="shared" si="93"/>
        <v>0.27331066921249958</v>
      </c>
      <c r="U326" s="16" t="e">
        <f t="shared" si="93"/>
        <v>#REF!</v>
      </c>
    </row>
    <row r="328" spans="4:21">
      <c r="D328" s="2" t="s">
        <v>951</v>
      </c>
    </row>
    <row r="329" spans="4:21">
      <c r="D329" t="str">
        <f>D343</f>
        <v xml:space="preserve">Bolivia* </v>
      </c>
      <c r="I329" s="9">
        <f t="shared" ref="I329:P331" si="95">I343/E338</f>
        <v>29.63095624154699</v>
      </c>
      <c r="J329" s="9">
        <f t="shared" si="95"/>
        <v>29.345734898276579</v>
      </c>
      <c r="K329" s="9">
        <f t="shared" si="95"/>
        <v>32.983814733888671</v>
      </c>
      <c r="L329" s="9">
        <f t="shared" si="95"/>
        <v>35.389527099450788</v>
      </c>
      <c r="M329" s="9">
        <f t="shared" si="95"/>
        <v>38.103293873713923</v>
      </c>
      <c r="N329" s="9">
        <f t="shared" si="95"/>
        <v>40.835435162748311</v>
      </c>
      <c r="O329" s="9">
        <f t="shared" si="95"/>
        <v>47.153460683726756</v>
      </c>
      <c r="P329" s="9" t="e">
        <f t="shared" si="95"/>
        <v>#REF!</v>
      </c>
      <c r="R329" s="16"/>
      <c r="S329" s="16"/>
      <c r="T329" s="16"/>
      <c r="U329" s="16"/>
    </row>
    <row r="330" spans="4:21">
      <c r="D330" t="str">
        <f>D344</f>
        <v>Paraguay*</v>
      </c>
      <c r="I330" s="9">
        <f t="shared" si="95"/>
        <v>40.396739511505785</v>
      </c>
      <c r="J330" s="9">
        <f t="shared" si="95"/>
        <v>46.17033433316908</v>
      </c>
      <c r="K330" s="9">
        <f t="shared" si="95"/>
        <v>60.291167130935136</v>
      </c>
      <c r="L330" s="9">
        <f t="shared" si="95"/>
        <v>64.870271934844141</v>
      </c>
      <c r="M330" s="9">
        <f t="shared" si="95"/>
        <v>73.579339213942148</v>
      </c>
      <c r="N330" s="9">
        <f t="shared" si="95"/>
        <v>74.174867017132911</v>
      </c>
      <c r="O330" s="9">
        <f t="shared" si="95"/>
        <v>79.790415225053351</v>
      </c>
      <c r="P330" s="9" t="e">
        <f t="shared" si="95"/>
        <v>#REF!</v>
      </c>
      <c r="R330" s="16"/>
      <c r="S330" s="16"/>
      <c r="T330" s="16"/>
      <c r="U330" s="16"/>
    </row>
    <row r="331" spans="4:21">
      <c r="D331" s="11" t="str">
        <f>D345</f>
        <v>Colombia</v>
      </c>
      <c r="E331" s="11"/>
      <c r="F331" s="11"/>
      <c r="G331" s="11"/>
      <c r="H331" s="11"/>
      <c r="I331" s="13">
        <f t="shared" si="95"/>
        <v>88.811527677567085</v>
      </c>
      <c r="J331" s="13">
        <f t="shared" si="95"/>
        <v>88.721241106749503</v>
      </c>
      <c r="K331" s="13">
        <f t="shared" si="95"/>
        <v>97.729257023089957</v>
      </c>
      <c r="L331" s="13">
        <f t="shared" si="95"/>
        <v>113.82017474945991</v>
      </c>
      <c r="M331" s="13">
        <f t="shared" si="95"/>
        <v>92.916967225826085</v>
      </c>
      <c r="N331" s="13">
        <f t="shared" si="95"/>
        <v>103.10890189852358</v>
      </c>
      <c r="O331" s="13">
        <f t="shared" si="95"/>
        <v>103.97382028007337</v>
      </c>
      <c r="P331" s="13" t="e">
        <f t="shared" si="95"/>
        <v>#REF!</v>
      </c>
      <c r="R331" s="16"/>
      <c r="S331" s="16"/>
      <c r="T331" s="16"/>
      <c r="U331" s="16"/>
    </row>
    <row r="332" spans="4:21">
      <c r="D332" s="2" t="s">
        <v>947</v>
      </c>
      <c r="I332" s="10">
        <f t="shared" ref="I332:P332" si="96">SUM(I329:I331)</f>
        <v>158.83922343061985</v>
      </c>
      <c r="J332" s="10">
        <f t="shared" si="96"/>
        <v>164.23731033819516</v>
      </c>
      <c r="K332" s="10">
        <f t="shared" si="96"/>
        <v>191.00423888791377</v>
      </c>
      <c r="L332" s="10">
        <f t="shared" si="96"/>
        <v>214.07997378375484</v>
      </c>
      <c r="M332" s="10">
        <f t="shared" si="96"/>
        <v>204.59960031348214</v>
      </c>
      <c r="N332" s="10">
        <f t="shared" si="96"/>
        <v>218.11920407840481</v>
      </c>
      <c r="O332" s="10">
        <f t="shared" si="96"/>
        <v>230.91769618885348</v>
      </c>
      <c r="P332" s="10" t="e">
        <f t="shared" si="96"/>
        <v>#REF!</v>
      </c>
    </row>
    <row r="333" spans="4:21">
      <c r="I333" s="9"/>
      <c r="J333" s="9"/>
      <c r="K333" s="9"/>
      <c r="L333" s="9"/>
      <c r="M333" s="9"/>
      <c r="N333" s="9"/>
      <c r="O333" s="9"/>
      <c r="P333" s="9"/>
    </row>
    <row r="334" spans="4:21">
      <c r="D334" s="2" t="s">
        <v>948</v>
      </c>
      <c r="I334" s="18">
        <f t="shared" ref="I334:P334" si="97">I326/I332-1</f>
        <v>5.3952521199043479E-2</v>
      </c>
      <c r="J334" s="18">
        <f t="shared" si="97"/>
        <v>0.14726671797047786</v>
      </c>
      <c r="K334" s="18">
        <f t="shared" si="97"/>
        <v>0.1242158878264954</v>
      </c>
      <c r="L334" s="18">
        <f t="shared" si="97"/>
        <v>0.11780656439037251</v>
      </c>
      <c r="M334" s="18">
        <f t="shared" si="97"/>
        <v>0.13209409815614848</v>
      </c>
      <c r="N334" s="18">
        <f t="shared" si="97"/>
        <v>0.16497766014523041</v>
      </c>
      <c r="O334" s="18">
        <f t="shared" si="97"/>
        <v>0.18404957485972884</v>
      </c>
      <c r="P334" s="18" t="e">
        <f t="shared" si="97"/>
        <v>#REF!</v>
      </c>
    </row>
    <row r="335" spans="4:21">
      <c r="D335" s="2" t="s">
        <v>949</v>
      </c>
      <c r="I335" s="16"/>
      <c r="J335" s="16"/>
      <c r="K335" s="16"/>
      <c r="L335" s="16"/>
    </row>
    <row r="336" spans="4:21">
      <c r="J336" s="16"/>
    </row>
    <row r="337" spans="4:21">
      <c r="D337" s="2" t="s">
        <v>950</v>
      </c>
      <c r="E337" s="8" t="str">
        <f t="shared" ref="E337:P337" si="98">E322</f>
        <v>Q1 06</v>
      </c>
      <c r="F337" s="8" t="str">
        <f t="shared" si="98"/>
        <v>Q2 06</v>
      </c>
      <c r="G337" s="8" t="str">
        <f t="shared" si="98"/>
        <v>Q3 06</v>
      </c>
      <c r="H337" s="8" t="str">
        <f t="shared" si="98"/>
        <v>Q4 06</v>
      </c>
      <c r="I337" s="8" t="str">
        <f t="shared" si="98"/>
        <v>Q1 07</v>
      </c>
      <c r="J337" s="8" t="str">
        <f t="shared" si="98"/>
        <v>Q2 07</v>
      </c>
      <c r="K337" s="8" t="str">
        <f t="shared" si="98"/>
        <v>Q3 07</v>
      </c>
      <c r="L337" s="8" t="str">
        <f t="shared" si="98"/>
        <v>Q4 07</v>
      </c>
      <c r="M337" s="8" t="str">
        <f t="shared" si="98"/>
        <v>Q1 08</v>
      </c>
      <c r="N337" s="8" t="str">
        <f t="shared" si="98"/>
        <v>Q2 08</v>
      </c>
      <c r="O337" s="8" t="str">
        <f t="shared" si="98"/>
        <v>Q3 08</v>
      </c>
      <c r="P337" s="8" t="str">
        <f t="shared" si="98"/>
        <v>Q4 08e</v>
      </c>
    </row>
    <row r="338" spans="4:21">
      <c r="D338" t="str">
        <f>D323</f>
        <v xml:space="preserve">Bolivia* </v>
      </c>
      <c r="E338" s="7">
        <v>8.0007692307692295</v>
      </c>
      <c r="F338" s="7">
        <v>7.9995384615384619</v>
      </c>
      <c r="G338" s="7">
        <v>7.994961538461542</v>
      </c>
      <c r="H338" s="7">
        <v>7.9950000000000001</v>
      </c>
      <c r="I338" s="7">
        <v>7.9950000000000001</v>
      </c>
      <c r="J338" s="7">
        <v>7.9712230769230787</v>
      </c>
      <c r="K338" s="7">
        <v>7.7925384615384585</v>
      </c>
      <c r="L338" s="7">
        <v>7.643295454545445</v>
      </c>
      <c r="M338" s="7">
        <v>7.5481818181818134</v>
      </c>
      <c r="N338" s="7">
        <v>7.30994923076923</v>
      </c>
      <c r="O338" s="7">
        <v>7.1132272727272747</v>
      </c>
      <c r="P338" s="7">
        <v>7.09</v>
      </c>
      <c r="R338" s="16">
        <f t="shared" ref="R338:U340" si="99">M338/I338-1</f>
        <v>-5.5887202228666277E-2</v>
      </c>
      <c r="S338" s="16">
        <f t="shared" si="99"/>
        <v>-8.2957638968636505E-2</v>
      </c>
      <c r="T338" s="16">
        <f t="shared" si="99"/>
        <v>-8.7174569899661325E-2</v>
      </c>
      <c r="U338" s="16">
        <f t="shared" si="99"/>
        <v>-7.2389646303205768E-2</v>
      </c>
    </row>
    <row r="339" spans="4:21">
      <c r="D339" t="str">
        <f>D324</f>
        <v>Paraguay*</v>
      </c>
      <c r="E339" s="9">
        <v>6041.0307692307688</v>
      </c>
      <c r="F339" s="9">
        <v>5682.3846153846152</v>
      </c>
      <c r="G339" s="9">
        <v>5447.2692307692305</v>
      </c>
      <c r="H339" s="9">
        <v>5359</v>
      </c>
      <c r="I339" s="9">
        <v>5170.0769230769201</v>
      </c>
      <c r="J339" s="9">
        <v>5059.5769230769229</v>
      </c>
      <c r="K339" s="9">
        <v>5083.4615384615381</v>
      </c>
      <c r="L339" s="9">
        <v>4796.931818181818</v>
      </c>
      <c r="M339" s="9">
        <v>4624.090909090909</v>
      </c>
      <c r="N339" s="9">
        <v>4098.2307692307695</v>
      </c>
      <c r="O339" s="9">
        <v>3959.659090909091</v>
      </c>
      <c r="P339" s="9">
        <v>4000</v>
      </c>
      <c r="R339" s="16">
        <f t="shared" si="99"/>
        <v>-0.10560500783827276</v>
      </c>
      <c r="S339" s="16">
        <f t="shared" si="99"/>
        <v>-0.19000524519380602</v>
      </c>
      <c r="T339" s="16">
        <f t="shared" si="99"/>
        <v>-0.22107031577788927</v>
      </c>
      <c r="U339" s="16">
        <f t="shared" si="99"/>
        <v>-0.16613365550896642</v>
      </c>
    </row>
    <row r="340" spans="4:21">
      <c r="D340" t="str">
        <f>D325</f>
        <v>Colombia</v>
      </c>
      <c r="E340" s="9">
        <v>2264.1616923076926</v>
      </c>
      <c r="F340" s="9">
        <v>2442.3232307692306</v>
      </c>
      <c r="G340" s="9">
        <v>2429.2106153846148</v>
      </c>
      <c r="H340" s="9">
        <v>2303.4633846153843</v>
      </c>
      <c r="I340" s="9">
        <v>2220.5775384615386</v>
      </c>
      <c r="J340" s="9">
        <v>2022.8269230769231</v>
      </c>
      <c r="K340" s="9">
        <v>2041.6072307692311</v>
      </c>
      <c r="L340" s="9">
        <v>2019.7140909090911</v>
      </c>
      <c r="M340" s="9">
        <v>1892.9296363636363</v>
      </c>
      <c r="N340" s="9">
        <v>1767.5547692307694</v>
      </c>
      <c r="O340" s="9">
        <v>1778.9477272727272</v>
      </c>
      <c r="P340" s="9">
        <v>1786</v>
      </c>
      <c r="R340" s="16">
        <f t="shared" si="99"/>
        <v>-0.14755075939609086</v>
      </c>
      <c r="S340" s="16">
        <f t="shared" si="99"/>
        <v>-0.1261957466226814</v>
      </c>
      <c r="T340" s="16">
        <f t="shared" si="99"/>
        <v>-0.1286532980183166</v>
      </c>
      <c r="U340" s="16">
        <f t="shared" si="99"/>
        <v>-0.11571642340916399</v>
      </c>
    </row>
    <row r="342" spans="4:21">
      <c r="D342" s="2" t="s">
        <v>946</v>
      </c>
    </row>
    <row r="343" spans="4:21">
      <c r="D343" t="str">
        <f>D338</f>
        <v xml:space="preserve">Bolivia* </v>
      </c>
      <c r="E343" s="9">
        <f t="shared" ref="E343:P343" si="100">E323*E338</f>
        <v>169.96592328414201</v>
      </c>
      <c r="F343" s="9">
        <f t="shared" si="100"/>
        <v>183.79582733512819</v>
      </c>
      <c r="G343" s="9">
        <f t="shared" si="100"/>
        <v>218.85871940216771</v>
      </c>
      <c r="H343" s="9">
        <f t="shared" si="100"/>
        <v>244.04198319682635</v>
      </c>
      <c r="I343" s="9">
        <f t="shared" si="100"/>
        <v>237.0704429756386</v>
      </c>
      <c r="J343" s="9">
        <f t="shared" si="100"/>
        <v>234.75233500087498</v>
      </c>
      <c r="K343" s="9">
        <f t="shared" si="100"/>
        <v>263.70433018918106</v>
      </c>
      <c r="L343" s="9">
        <f t="shared" si="100"/>
        <v>282.93926916010906</v>
      </c>
      <c r="M343" s="9">
        <f t="shared" si="100"/>
        <v>304.63583452034283</v>
      </c>
      <c r="N343" s="9">
        <f t="shared" si="100"/>
        <v>325.50836312549546</v>
      </c>
      <c r="O343" s="9">
        <f t="shared" si="100"/>
        <v>367.44515597258231</v>
      </c>
      <c r="P343" s="9" t="e">
        <f t="shared" si="100"/>
        <v>#REF!</v>
      </c>
      <c r="R343" s="16">
        <f>N343/J343-1</f>
        <v>0.38660330311211699</v>
      </c>
    </row>
    <row r="344" spans="4:21">
      <c r="D344" t="str">
        <f>D339</f>
        <v>Paraguay*</v>
      </c>
      <c r="E344" s="9">
        <f t="shared" ref="E344:P344" si="101">E324*E339</f>
        <v>141639.83333340954</v>
      </c>
      <c r="F344" s="9">
        <f t="shared" si="101"/>
        <v>161846.79268074615</v>
      </c>
      <c r="G344" s="9">
        <f t="shared" si="101"/>
        <v>190291.74036859354</v>
      </c>
      <c r="H344" s="9">
        <f t="shared" si="101"/>
        <v>222441.77069295911</v>
      </c>
      <c r="I344" s="9">
        <f t="shared" si="101"/>
        <v>244037.9463656068</v>
      </c>
      <c r="J344" s="9">
        <f t="shared" si="101"/>
        <v>262357.59750196408</v>
      </c>
      <c r="K344" s="9">
        <f t="shared" si="101"/>
        <v>328422.21959950816</v>
      </c>
      <c r="L344" s="9">
        <f t="shared" si="101"/>
        <v>347639.78729882976</v>
      </c>
      <c r="M344" s="9">
        <f t="shared" si="101"/>
        <v>380410.84368525096</v>
      </c>
      <c r="N344" s="9">
        <f t="shared" si="101"/>
        <v>375293.44543218525</v>
      </c>
      <c r="O344" s="9">
        <f t="shared" si="101"/>
        <v>405611.50693443464</v>
      </c>
      <c r="P344" s="9" t="e">
        <f t="shared" si="101"/>
        <v>#REF!</v>
      </c>
      <c r="R344" s="16">
        <f>N344/J344-1</f>
        <v>0.43046532292389861</v>
      </c>
    </row>
    <row r="345" spans="4:21">
      <c r="D345" t="str">
        <f>D340</f>
        <v>Colombia</v>
      </c>
      <c r="E345" s="9">
        <f t="shared" ref="E345:P345" si="102">E325*E340</f>
        <v>0</v>
      </c>
      <c r="F345" s="9">
        <f t="shared" si="102"/>
        <v>0</v>
      </c>
      <c r="G345" s="9">
        <f t="shared" si="102"/>
        <v>0</v>
      </c>
      <c r="H345" s="9">
        <f t="shared" si="102"/>
        <v>208029.46380603069</v>
      </c>
      <c r="I345" s="9">
        <f t="shared" si="102"/>
        <v>201083.65880287177</v>
      </c>
      <c r="J345" s="9">
        <f t="shared" si="102"/>
        <v>216685.94821769232</v>
      </c>
      <c r="K345" s="9">
        <f t="shared" si="102"/>
        <v>237404.94859414155</v>
      </c>
      <c r="L345" s="9">
        <f t="shared" si="102"/>
        <v>262180.60496590543</v>
      </c>
      <c r="M345" s="9">
        <f t="shared" si="102"/>
        <v>206329.33036363634</v>
      </c>
      <c r="N345" s="9">
        <f t="shared" si="102"/>
        <v>208571.46276923077</v>
      </c>
      <c r="O345" s="9">
        <f t="shared" si="102"/>
        <v>212273.70329449832</v>
      </c>
      <c r="P345" s="9" t="e">
        <f t="shared" si="102"/>
        <v>#REF!</v>
      </c>
      <c r="R345" s="16">
        <f>N345/J345-1</f>
        <v>-3.7448138724294977E-2</v>
      </c>
    </row>
    <row r="347" spans="4:21">
      <c r="D347" s="23" t="s">
        <v>945</v>
      </c>
      <c r="E347" s="96" t="str">
        <f t="shared" ref="E347:L347" si="103">I322</f>
        <v>Q1 07</v>
      </c>
      <c r="F347" s="96" t="str">
        <f t="shared" si="103"/>
        <v>Q2 07</v>
      </c>
      <c r="G347" s="96" t="str">
        <f t="shared" si="103"/>
        <v>Q3 07</v>
      </c>
      <c r="H347" s="96" t="str">
        <f t="shared" si="103"/>
        <v>Q4 07</v>
      </c>
      <c r="I347" s="96" t="str">
        <f t="shared" si="103"/>
        <v>Q1 08</v>
      </c>
      <c r="J347" s="96" t="str">
        <f t="shared" si="103"/>
        <v>Q2 08</v>
      </c>
      <c r="K347" s="96" t="str">
        <f t="shared" si="103"/>
        <v>Q3 08</v>
      </c>
      <c r="L347" s="96" t="str">
        <f t="shared" si="103"/>
        <v>Q4 08e</v>
      </c>
      <c r="M347" s="96">
        <f>SA!I2</f>
        <v>2008</v>
      </c>
      <c r="N347" s="96">
        <f>SA!J2</f>
        <v>2009</v>
      </c>
      <c r="O347" s="96">
        <f>SA!K2</f>
        <v>2010</v>
      </c>
    </row>
    <row r="348" spans="4:21">
      <c r="D348" t="s">
        <v>2343</v>
      </c>
      <c r="E348" s="16">
        <f t="shared" ref="E348:L348" si="104">SUM(I323:I324)/SUM(E323:E324)-1</f>
        <v>0.71972104124711</v>
      </c>
      <c r="F348" s="16">
        <f t="shared" si="104"/>
        <v>0.58000000000000007</v>
      </c>
      <c r="G348" s="16">
        <f t="shared" si="104"/>
        <v>0.58000000000000007</v>
      </c>
      <c r="H348" s="16">
        <f t="shared" si="104"/>
        <v>0.52</v>
      </c>
      <c r="I348" s="16">
        <f t="shared" si="104"/>
        <v>0.59556390227399869</v>
      </c>
      <c r="J348" s="16">
        <f t="shared" si="104"/>
        <v>0.6740209909421031</v>
      </c>
      <c r="K348" s="16">
        <f t="shared" si="104"/>
        <v>0.56523949985320732</v>
      </c>
      <c r="L348" s="16" t="e">
        <f t="shared" si="104"/>
        <v>#REF!</v>
      </c>
      <c r="M348" s="16">
        <f>SA!I60/SA!H60-1</f>
        <v>0.52371462204858932</v>
      </c>
      <c r="N348" s="16">
        <f>SA!J60/SA!I60-1</f>
        <v>0.11880917625558052</v>
      </c>
      <c r="O348" s="16">
        <f>SA!K60/SA!J60-1</f>
        <v>0.21702620826866803</v>
      </c>
    </row>
    <row r="350" spans="4:21">
      <c r="M350" t="s">
        <v>1823</v>
      </c>
    </row>
    <row r="351" spans="4:21">
      <c r="D351" s="23" t="s">
        <v>1918</v>
      </c>
      <c r="E351" s="23">
        <v>2004</v>
      </c>
      <c r="F351" s="23">
        <v>2005</v>
      </c>
      <c r="G351" s="23">
        <v>2006</v>
      </c>
      <c r="H351" s="23">
        <v>2007</v>
      </c>
    </row>
    <row r="352" spans="4:21">
      <c r="D352" t="s">
        <v>1917</v>
      </c>
      <c r="F352">
        <v>10.71</v>
      </c>
      <c r="G352">
        <v>10.88</v>
      </c>
      <c r="H352">
        <v>10.87</v>
      </c>
    </row>
    <row r="353" spans="2:18">
      <c r="D353" t="s">
        <v>1912</v>
      </c>
      <c r="E353">
        <v>172</v>
      </c>
      <c r="F353">
        <v>162</v>
      </c>
      <c r="G353">
        <v>120</v>
      </c>
      <c r="H353">
        <v>94</v>
      </c>
      <c r="I353" s="5">
        <f t="shared" ref="I353:K356" si="105">F353/E353-1</f>
        <v>-5.8139534883720922E-2</v>
      </c>
      <c r="J353" s="5">
        <f t="shared" si="105"/>
        <v>-0.2592592592592593</v>
      </c>
      <c r="K353" s="5">
        <f t="shared" si="105"/>
        <v>-0.21666666666666667</v>
      </c>
    </row>
    <row r="354" spans="2:18">
      <c r="D354" t="s">
        <v>366</v>
      </c>
      <c r="E354" s="7">
        <f>E353/G352</f>
        <v>15.808823529411763</v>
      </c>
      <c r="F354" s="7">
        <f>F353/H352</f>
        <v>14.903403863845448</v>
      </c>
      <c r="G354" s="7">
        <f>G353/H352</f>
        <v>11.039558417663294</v>
      </c>
      <c r="H354" s="7">
        <f>H353/H352</f>
        <v>8.6476540938362465</v>
      </c>
      <c r="I354" s="5">
        <f t="shared" si="105"/>
        <v>-5.7273057914892456E-2</v>
      </c>
      <c r="J354" s="5">
        <f t="shared" si="105"/>
        <v>-0.2592592592592593</v>
      </c>
      <c r="K354" s="5">
        <f t="shared" si="105"/>
        <v>-0.21666666666666667</v>
      </c>
    </row>
    <row r="355" spans="2:18">
      <c r="D355" t="s">
        <v>1913</v>
      </c>
      <c r="E355">
        <v>167</v>
      </c>
      <c r="F355">
        <v>166</v>
      </c>
      <c r="G355">
        <v>149</v>
      </c>
      <c r="H355">
        <v>138</v>
      </c>
      <c r="I355" s="5">
        <f t="shared" si="105"/>
        <v>-5.9880239520958556E-3</v>
      </c>
      <c r="J355" s="5">
        <f t="shared" si="105"/>
        <v>-0.10240963855421692</v>
      </c>
      <c r="K355" s="5">
        <f t="shared" si="105"/>
        <v>-7.3825503355704702E-2</v>
      </c>
    </row>
    <row r="356" spans="2:18">
      <c r="D356" t="s">
        <v>1914</v>
      </c>
      <c r="E356" s="7">
        <f>E354*100/E355</f>
        <v>9.4663613948573442</v>
      </c>
      <c r="F356" s="7">
        <f>F354*100/F355</f>
        <v>8.9779541348466552</v>
      </c>
      <c r="G356" s="7">
        <f>G354*100/G355</f>
        <v>7.4090996091699948</v>
      </c>
      <c r="H356" s="7">
        <f>H354*100/H355</f>
        <v>6.2664160100262656</v>
      </c>
      <c r="I356" s="5">
        <f t="shared" si="105"/>
        <v>-5.1593979950524504E-2</v>
      </c>
      <c r="J356" s="5">
        <f t="shared" si="105"/>
        <v>-0.17474521501367157</v>
      </c>
      <c r="K356" s="5">
        <f t="shared" si="105"/>
        <v>-0.15422705314009655</v>
      </c>
    </row>
    <row r="357" spans="2:18">
      <c r="D357" t="s">
        <v>1915</v>
      </c>
      <c r="E357" s="5">
        <f>1.2%*12</f>
        <v>0.14400000000000002</v>
      </c>
      <c r="F357" s="5">
        <f>1.1%*12</f>
        <v>0.13200000000000001</v>
      </c>
      <c r="G357" s="5">
        <f>0.8%*12</f>
        <v>9.6000000000000002E-2</v>
      </c>
      <c r="H357" s="5">
        <f>1.6%*12</f>
        <v>0.192</v>
      </c>
    </row>
    <row r="359" spans="2:18">
      <c r="B359" t="s">
        <v>1823</v>
      </c>
      <c r="D359" s="2"/>
      <c r="E359" s="8" t="s">
        <v>2185</v>
      </c>
      <c r="F359" s="8" t="s">
        <v>2185</v>
      </c>
      <c r="G359" s="8" t="s">
        <v>2185</v>
      </c>
      <c r="H359" s="8" t="s">
        <v>2185</v>
      </c>
      <c r="I359" s="21"/>
      <c r="J359" s="8" t="s">
        <v>2186</v>
      </c>
      <c r="K359" s="8" t="s">
        <v>2186</v>
      </c>
      <c r="L359" s="8" t="s">
        <v>2186</v>
      </c>
      <c r="M359" s="8" t="s">
        <v>2186</v>
      </c>
      <c r="N359" s="21"/>
      <c r="O359" s="8" t="s">
        <v>2187</v>
      </c>
      <c r="P359" s="8" t="s">
        <v>2187</v>
      </c>
      <c r="Q359" s="8" t="s">
        <v>2187</v>
      </c>
      <c r="R359" s="8" t="s">
        <v>2187</v>
      </c>
    </row>
    <row r="360" spans="2:18">
      <c r="D360" s="23"/>
      <c r="E360" s="23">
        <v>2004</v>
      </c>
      <c r="F360" s="23">
        <v>2005</v>
      </c>
      <c r="G360" s="23">
        <v>2006</v>
      </c>
      <c r="H360" s="23">
        <v>2007</v>
      </c>
      <c r="I360" s="23"/>
      <c r="J360" s="23">
        <v>2004</v>
      </c>
      <c r="K360" s="23">
        <v>2005</v>
      </c>
      <c r="L360" s="23">
        <v>2006</v>
      </c>
      <c r="M360" s="23">
        <v>2007</v>
      </c>
      <c r="N360" s="23"/>
      <c r="O360" s="23">
        <v>2004</v>
      </c>
      <c r="P360" s="23">
        <v>2005</v>
      </c>
      <c r="Q360" s="23">
        <v>2006</v>
      </c>
      <c r="R360" s="23">
        <v>2007</v>
      </c>
    </row>
    <row r="361" spans="2:18">
      <c r="D361" t="s">
        <v>955</v>
      </c>
      <c r="E361" s="5">
        <v>0.33</v>
      </c>
      <c r="F361" s="5">
        <v>0.33</v>
      </c>
      <c r="G361" s="5">
        <v>0.34300000000000003</v>
      </c>
      <c r="H361" s="5">
        <v>0.28000000000000003</v>
      </c>
      <c r="I361" s="5"/>
      <c r="J361" s="5">
        <v>0.48</v>
      </c>
      <c r="K361" s="5">
        <v>0.48</v>
      </c>
      <c r="L361" s="5">
        <v>0.442</v>
      </c>
      <c r="M361" s="5">
        <v>0.376</v>
      </c>
      <c r="N361" s="5"/>
      <c r="O361" s="5">
        <v>0.28000000000000003</v>
      </c>
      <c r="P361" s="5">
        <v>0.36</v>
      </c>
      <c r="Q361" s="5">
        <v>0.4</v>
      </c>
      <c r="R361" s="5">
        <v>0.3</v>
      </c>
    </row>
    <row r="362" spans="2:18">
      <c r="D362" t="s">
        <v>2229</v>
      </c>
      <c r="E362" s="5">
        <f>CA!E52</f>
        <v>0.38189219922963702</v>
      </c>
      <c r="F362" s="5">
        <f>CA!F52</f>
        <v>0.32141563998622219</v>
      </c>
      <c r="G362" s="5">
        <f>CA!G52</f>
        <v>0.48689217462122808</v>
      </c>
      <c r="H362" s="5">
        <f>CA!H52</f>
        <v>0.44</v>
      </c>
      <c r="J362" s="5">
        <f>CA!E53</f>
        <v>0.26702469268110679</v>
      </c>
      <c r="K362" s="5">
        <f>CA!F53</f>
        <v>0.29134739472563104</v>
      </c>
      <c r="L362" s="5">
        <f>CA!G53</f>
        <v>0.38812067881835322</v>
      </c>
      <c r="M362" s="5">
        <f>CA!H53</f>
        <v>0.42</v>
      </c>
      <c r="O362" s="5">
        <f>100%-O361</f>
        <v>0.72</v>
      </c>
      <c r="P362" s="5">
        <f>100%-P361</f>
        <v>0.64</v>
      </c>
      <c r="Q362" s="5">
        <f>100%-Q361</f>
        <v>0.6</v>
      </c>
      <c r="R362" s="5">
        <f>100%-R361</f>
        <v>0.7</v>
      </c>
    </row>
    <row r="363" spans="2:18">
      <c r="D363" t="s">
        <v>1540</v>
      </c>
      <c r="E363" s="5">
        <f>100%-E361-E362</f>
        <v>0.28810780077036291</v>
      </c>
      <c r="F363" s="5">
        <f>100%-F361-F362</f>
        <v>0.34858436001377774</v>
      </c>
      <c r="G363" s="5">
        <f>100%-G361-G362</f>
        <v>0.17010782537877195</v>
      </c>
      <c r="H363" s="5">
        <f>100%-H361-H362</f>
        <v>0.27999999999999997</v>
      </c>
      <c r="J363" s="5">
        <f>100%-J361-J362</f>
        <v>0.25297530731889323</v>
      </c>
      <c r="K363" s="5">
        <f>100%-K361-K362</f>
        <v>0.22865260527436898</v>
      </c>
      <c r="L363" s="5">
        <f>100%-L361-L362</f>
        <v>0.16987932118164684</v>
      </c>
      <c r="M363" s="5">
        <f>100%-M361-M362</f>
        <v>0.20400000000000001</v>
      </c>
      <c r="O363" s="5">
        <f>100%-O362-O361</f>
        <v>0</v>
      </c>
      <c r="P363" s="5">
        <f>100%-P362-P361</f>
        <v>0</v>
      </c>
      <c r="Q363" s="5">
        <f>100%-Q362-Q361</f>
        <v>0</v>
      </c>
      <c r="R363" s="5">
        <f>100%-R362-R361</f>
        <v>0</v>
      </c>
    </row>
    <row r="364" spans="2:18">
      <c r="D364" s="2"/>
    </row>
    <row r="368" spans="2:18">
      <c r="D368" s="2"/>
    </row>
    <row r="371" spans="4:8">
      <c r="E371" s="5"/>
      <c r="F371" s="5"/>
      <c r="G371" s="5"/>
      <c r="H371" s="5"/>
    </row>
    <row r="373" spans="4:8">
      <c r="D373" t="s">
        <v>1919</v>
      </c>
    </row>
    <row r="374" spans="4:8">
      <c r="D374" t="s">
        <v>1920</v>
      </c>
    </row>
    <row r="376" spans="4:8">
      <c r="D376" s="220"/>
      <c r="E376" s="96" t="s">
        <v>1916</v>
      </c>
    </row>
    <row r="377" spans="4:8">
      <c r="D377" t="s">
        <v>1719</v>
      </c>
      <c r="E377" s="5">
        <v>0.92300000000000004</v>
      </c>
    </row>
    <row r="378" spans="4:8">
      <c r="D378" t="s">
        <v>1720</v>
      </c>
      <c r="E378" s="5">
        <v>0.8</v>
      </c>
    </row>
    <row r="379" spans="4:8">
      <c r="D379" t="s">
        <v>1721</v>
      </c>
    </row>
    <row r="392" spans="4:10">
      <c r="D392" s="23" t="s">
        <v>490</v>
      </c>
      <c r="E392" s="23">
        <v>2007</v>
      </c>
      <c r="F392" s="23">
        <f>E392+1</f>
        <v>2008</v>
      </c>
      <c r="G392" s="23">
        <f>F392+1</f>
        <v>2009</v>
      </c>
      <c r="H392" s="23">
        <f>G392+1</f>
        <v>2010</v>
      </c>
      <c r="I392" s="23">
        <f>H392+1</f>
        <v>2011</v>
      </c>
      <c r="J392" s="23">
        <f>I392+1</f>
        <v>2012</v>
      </c>
    </row>
    <row r="393" spans="4:10">
      <c r="D393" t="str">
        <f>CA!B74</f>
        <v>El Salvador ($)</v>
      </c>
      <c r="E393" s="88">
        <f>CA!H74</f>
        <v>0</v>
      </c>
      <c r="F393" s="88">
        <f>CA!I74</f>
        <v>0</v>
      </c>
      <c r="G393" s="88">
        <f>CA!J74</f>
        <v>424</v>
      </c>
      <c r="H393" s="88">
        <f>CA!K74</f>
        <v>389</v>
      </c>
      <c r="I393" s="88">
        <f>CA!L74</f>
        <v>414</v>
      </c>
      <c r="J393" s="88">
        <f>CA!M74</f>
        <v>443</v>
      </c>
    </row>
    <row r="394" spans="4:10">
      <c r="D394" t="str">
        <f>CA!B75</f>
        <v>% change</v>
      </c>
      <c r="E394" s="16">
        <f>CA!H75</f>
        <v>0</v>
      </c>
      <c r="F394" s="16">
        <f>CA!I75</f>
        <v>0</v>
      </c>
      <c r="G394" s="16">
        <f>CA!J75</f>
        <v>0</v>
      </c>
      <c r="H394" s="16">
        <f>CA!K75</f>
        <v>-8.2547169811320709E-2</v>
      </c>
      <c r="I394" s="16">
        <f>CA!L75</f>
        <v>6.4267352185090054E-2</v>
      </c>
      <c r="J394" s="16">
        <f>CA!M75</f>
        <v>7.004830917874405E-2</v>
      </c>
    </row>
    <row r="395" spans="4:10">
      <c r="D395" t="str">
        <f>CA!B76</f>
        <v>Guatemala</v>
      </c>
      <c r="E395" s="88">
        <f>CA!H76</f>
        <v>0</v>
      </c>
      <c r="F395" s="88">
        <f>CA!I76</f>
        <v>0</v>
      </c>
      <c r="G395" s="88">
        <f>CA!J76</f>
        <v>4045.8</v>
      </c>
      <c r="H395" s="88">
        <f>CA!K76</f>
        <v>4371.9500000000007</v>
      </c>
      <c r="I395" s="88">
        <f>CA!L76</f>
        <v>8554.8363636363629</v>
      </c>
      <c r="J395" s="88">
        <f>CA!M76</f>
        <v>8716.5818181818177</v>
      </c>
    </row>
    <row r="396" spans="4:10">
      <c r="D396" t="str">
        <f>CA!B77</f>
        <v>% change</v>
      </c>
      <c r="E396" s="16">
        <f>CA!H77</f>
        <v>0</v>
      </c>
      <c r="F396" s="16">
        <f>CA!I77</f>
        <v>0</v>
      </c>
      <c r="G396" s="16">
        <f>CA!J77</f>
        <v>0</v>
      </c>
      <c r="H396" s="16">
        <f>CA!K77</f>
        <v>8.0614464382816831E-2</v>
      </c>
      <c r="I396" s="16">
        <f>CA!L77</f>
        <v>0.95675530681649179</v>
      </c>
      <c r="J396" s="16">
        <f>CA!M77</f>
        <v>1.8906902209489207E-2</v>
      </c>
    </row>
    <row r="397" spans="4:10">
      <c r="D397" t="str">
        <f>CA!B78</f>
        <v>Honduras</v>
      </c>
      <c r="E397" s="88">
        <f>CA!H78</f>
        <v>0</v>
      </c>
      <c r="F397" s="88">
        <f>CA!I78</f>
        <v>0</v>
      </c>
      <c r="G397" s="88">
        <f>CA!J78</f>
        <v>11241</v>
      </c>
      <c r="H397" s="88">
        <f>CA!K78</f>
        <v>11148</v>
      </c>
      <c r="I397" s="88">
        <f>CA!L78</f>
        <v>12712.970000000001</v>
      </c>
      <c r="J397" s="88">
        <f>CA!M78</f>
        <v>13437.3</v>
      </c>
    </row>
    <row r="398" spans="4:10">
      <c r="D398" t="str">
        <f>CA!B79</f>
        <v>% change</v>
      </c>
      <c r="E398" s="16">
        <f>CA!H79</f>
        <v>0</v>
      </c>
      <c r="F398" s="16">
        <f>CA!I79</f>
        <v>0</v>
      </c>
      <c r="G398" s="16">
        <f>CA!J79</f>
        <v>0</v>
      </c>
      <c r="H398" s="16">
        <f>CA!K79</f>
        <v>-8.2732852949025659E-3</v>
      </c>
      <c r="I398" s="16">
        <f>CA!L79</f>
        <v>0.14038123430211713</v>
      </c>
      <c r="J398" s="16">
        <f>CA!M79</f>
        <v>5.6975671302614384E-2</v>
      </c>
    </row>
    <row r="400" spans="4:10">
      <c r="D400" s="4" t="s">
        <v>1136</v>
      </c>
      <c r="E400" s="27">
        <f>CA!H61</f>
        <v>1149.354</v>
      </c>
      <c r="F400" s="27">
        <f>CA!I61</f>
        <v>1376.9389999999999</v>
      </c>
      <c r="G400" s="27">
        <f>CA!J61</f>
        <v>1520.2899976500235</v>
      </c>
      <c r="H400" s="27">
        <f>CA!K61</f>
        <v>1519.1082384138324</v>
      </c>
      <c r="I400" s="27">
        <f>CA!L61</f>
        <v>1593.9333753715018</v>
      </c>
      <c r="J400" s="27">
        <f>CA!M61</f>
        <v>2084.0375241523561</v>
      </c>
    </row>
    <row r="401" spans="4:16">
      <c r="D401" t="s">
        <v>1139</v>
      </c>
      <c r="E401" s="16">
        <f>CA!H61/CA!G61-1</f>
        <v>0.44371073882913326</v>
      </c>
      <c r="F401" s="16">
        <f>CA!I61/CA!H61-1</f>
        <v>0.19801123065652515</v>
      </c>
      <c r="G401" s="16">
        <f>CA!J61/CA!I61-1</f>
        <v>0.10410845916196987</v>
      </c>
      <c r="H401" s="16">
        <f>CA!K61/CA!J61-1</f>
        <v>-7.7732487750215018E-4</v>
      </c>
      <c r="I401" s="16">
        <f>CA!L61/CA!K61-1</f>
        <v>4.9255961534246939E-2</v>
      </c>
      <c r="J401" s="16">
        <f>CA!M61/CA!L61-1</f>
        <v>0.30748095017875166</v>
      </c>
    </row>
    <row r="403" spans="4:16">
      <c r="D403" s="4" t="s">
        <v>1137</v>
      </c>
      <c r="E403" s="88"/>
      <c r="F403" s="88">
        <v>1515.1735252516896</v>
      </c>
      <c r="G403" s="88">
        <v>1691.6866457291251</v>
      </c>
      <c r="H403" s="88">
        <v>1663.0255628226571</v>
      </c>
      <c r="I403" s="88">
        <v>1634.2385566758744</v>
      </c>
      <c r="J403" s="88">
        <v>1620.6341903158384</v>
      </c>
    </row>
    <row r="404" spans="4:16">
      <c r="D404" t="s">
        <v>1138</v>
      </c>
      <c r="F404" s="16">
        <f>F400/F403-1</f>
        <v>-9.1233461348083744E-2</v>
      </c>
      <c r="G404" s="16">
        <f>G400/G403-1</f>
        <v>-0.10131701903057166</v>
      </c>
      <c r="H404" s="16">
        <f>H400/H403-1</f>
        <v>-8.6539454128746862E-2</v>
      </c>
      <c r="I404" s="16">
        <f>I400/I403-1</f>
        <v>-2.4662972942185002E-2</v>
      </c>
      <c r="J404" s="16">
        <f>J400/J403-1</f>
        <v>0.28593950232915111</v>
      </c>
    </row>
    <row r="406" spans="4:16">
      <c r="D406" s="23" t="s">
        <v>914</v>
      </c>
      <c r="E406" s="23">
        <f>F392</f>
        <v>2008</v>
      </c>
      <c r="F406" s="23">
        <f>G392</f>
        <v>2009</v>
      </c>
      <c r="G406" s="23">
        <f>H392</f>
        <v>2010</v>
      </c>
      <c r="H406" s="23">
        <f>I392</f>
        <v>2011</v>
      </c>
      <c r="I406" s="23">
        <f>J392</f>
        <v>2012</v>
      </c>
    </row>
    <row r="407" spans="4:16">
      <c r="D407" t="s">
        <v>1140</v>
      </c>
      <c r="E407" s="27">
        <f>F400</f>
        <v>1376.9389999999999</v>
      </c>
      <c r="F407" s="27">
        <f>G400</f>
        <v>1520.2899976500235</v>
      </c>
      <c r="G407" s="27">
        <f>H400</f>
        <v>1519.1082384138324</v>
      </c>
      <c r="H407" s="27">
        <f>I400</f>
        <v>1593.9333753715018</v>
      </c>
      <c r="I407" s="27">
        <f>J400</f>
        <v>2084.0375241523561</v>
      </c>
    </row>
    <row r="408" spans="4:16">
      <c r="D408" t="s">
        <v>1141</v>
      </c>
      <c r="E408" s="27">
        <v>1411.1002978545271</v>
      </c>
      <c r="F408" s="27">
        <v>1620.5256901085156</v>
      </c>
      <c r="G408" s="27">
        <v>1697.213263823691</v>
      </c>
      <c r="H408" s="27">
        <v>1732.1210586771265</v>
      </c>
      <c r="I408" s="27">
        <v>1752.1957117128684</v>
      </c>
    </row>
    <row r="409" spans="4:16">
      <c r="D409" t="s">
        <v>1142</v>
      </c>
      <c r="E409" s="16">
        <f>E408/E407-1</f>
        <v>2.4809594219153741E-2</v>
      </c>
      <c r="F409" s="16">
        <f>F408/F407-1</f>
        <v>6.5931955491012051E-2</v>
      </c>
      <c r="G409" s="16">
        <f>G408/G407-1</f>
        <v>0.11724314364579169</v>
      </c>
      <c r="H409" s="16">
        <f>H408/H407-1</f>
        <v>8.6696022205706713E-2</v>
      </c>
      <c r="I409" s="16">
        <f>I408/I407-1</f>
        <v>-0.15923024830105126</v>
      </c>
    </row>
    <row r="411" spans="4:16">
      <c r="D411" s="23" t="s">
        <v>560</v>
      </c>
      <c r="E411" s="304" t="str">
        <f t="shared" ref="E411:K411" si="106">I83</f>
        <v>Q4 06</v>
      </c>
      <c r="F411" s="304" t="str">
        <f t="shared" si="106"/>
        <v>Q1 07</v>
      </c>
      <c r="G411" s="304" t="str">
        <f t="shared" si="106"/>
        <v>Q2 07</v>
      </c>
      <c r="H411" s="304" t="str">
        <f t="shared" si="106"/>
        <v>Q3 07</v>
      </c>
      <c r="I411" s="304" t="str">
        <f t="shared" si="106"/>
        <v>Q4 07</v>
      </c>
      <c r="J411" s="304" t="str">
        <f t="shared" si="106"/>
        <v>Q1 08</v>
      </c>
      <c r="K411" s="304" t="str">
        <f t="shared" si="106"/>
        <v>Q2 08</v>
      </c>
      <c r="L411" s="96" t="s">
        <v>1128</v>
      </c>
      <c r="M411" s="96" t="s">
        <v>1129</v>
      </c>
      <c r="N411" s="96" t="s">
        <v>1067</v>
      </c>
      <c r="O411" s="96" t="s">
        <v>1068</v>
      </c>
      <c r="P411" s="96" t="s">
        <v>1069</v>
      </c>
    </row>
    <row r="412" spans="4:16">
      <c r="D412" t="s">
        <v>955</v>
      </c>
      <c r="E412" s="5">
        <f t="shared" ref="E412:K414" si="107">I103</f>
        <v>0.66395059481075724</v>
      </c>
      <c r="F412" s="5">
        <f t="shared" si="107"/>
        <v>0.67286972289363522</v>
      </c>
      <c r="G412" s="5">
        <f t="shared" si="107"/>
        <v>0.67540328527799798</v>
      </c>
      <c r="H412" s="5">
        <f t="shared" si="107"/>
        <v>0.67888727638389823</v>
      </c>
      <c r="I412" s="5">
        <f t="shared" si="107"/>
        <v>0.66717678981114259</v>
      </c>
      <c r="J412" s="5">
        <f t="shared" si="107"/>
        <v>0.66190653349741002</v>
      </c>
      <c r="K412" s="5">
        <f t="shared" si="107"/>
        <v>0.65724957555178265</v>
      </c>
      <c r="L412" s="5">
        <f>K412-(L414-K414)/2</f>
        <v>0.66081640178044687</v>
      </c>
      <c r="M412" s="5">
        <f>L412-(M414-L414)/2</f>
        <v>0.65534545296028135</v>
      </c>
      <c r="N412" s="5">
        <f>M412-(N414-M414)/2</f>
        <v>0.6524509738997295</v>
      </c>
      <c r="O412" s="5">
        <f>N412-(O414-N414)/2</f>
        <v>0.64770523235469368</v>
      </c>
      <c r="P412" s="5">
        <f>O412-(P414-O414)/2</f>
        <v>0.64166782496576336</v>
      </c>
    </row>
    <row r="413" spans="4:16">
      <c r="D413" t="s">
        <v>1606</v>
      </c>
      <c r="E413" s="5">
        <f t="shared" si="107"/>
        <v>0.26393405131558201</v>
      </c>
      <c r="F413" s="5">
        <f t="shared" si="107"/>
        <v>0.25330815583437172</v>
      </c>
      <c r="G413" s="5">
        <f t="shared" si="107"/>
        <v>0.24948657288960646</v>
      </c>
      <c r="H413" s="5">
        <f t="shared" si="107"/>
        <v>0.24117897652465475</v>
      </c>
      <c r="I413" s="5">
        <f t="shared" si="107"/>
        <v>0.25008301250498705</v>
      </c>
      <c r="J413" s="5">
        <f t="shared" si="107"/>
        <v>0.25052227914031422</v>
      </c>
      <c r="K413" s="5">
        <f t="shared" si="107"/>
        <v>0.25412563667232596</v>
      </c>
      <c r="L413" s="5">
        <f>K413-(L414-K414)/2</f>
        <v>0.25769246290099013</v>
      </c>
      <c r="M413" s="5">
        <f>L413-(M414-L414)/2</f>
        <v>0.2522215140808246</v>
      </c>
      <c r="N413" s="5">
        <f>M413-(N414-M414)/2</f>
        <v>0.24932703502027281</v>
      </c>
      <c r="O413" s="5">
        <f>N413-(O414-N414)/2</f>
        <v>0.24458129347523697</v>
      </c>
      <c r="P413" s="5">
        <f>O413-(P414-O414)/2</f>
        <v>0.23854388608630661</v>
      </c>
    </row>
    <row r="414" spans="4:16">
      <c r="D414" t="s">
        <v>1250</v>
      </c>
      <c r="E414" s="5">
        <f t="shared" si="107"/>
        <v>7.2115353873660762E-2</v>
      </c>
      <c r="F414" s="5">
        <f t="shared" si="107"/>
        <v>7.382212127199303E-2</v>
      </c>
      <c r="G414" s="5">
        <f t="shared" si="107"/>
        <v>7.511014183239563E-2</v>
      </c>
      <c r="H414" s="5">
        <f t="shared" si="107"/>
        <v>7.9933747091446905E-2</v>
      </c>
      <c r="I414" s="5">
        <f t="shared" si="107"/>
        <v>8.2740197683870462E-2</v>
      </c>
      <c r="J414" s="5">
        <f t="shared" si="107"/>
        <v>8.7571187362275704E-2</v>
      </c>
      <c r="K414" s="5">
        <f t="shared" si="107"/>
        <v>8.8624787775891348E-2</v>
      </c>
      <c r="L414" s="5">
        <f>Colombia!E23</f>
        <v>8.149113531856296E-2</v>
      </c>
      <c r="M414" s="5">
        <f>Colombia!F23</f>
        <v>9.2433032958893963E-2</v>
      </c>
      <c r="N414" s="5">
        <f>Colombia!G23</f>
        <v>9.8221991079997545E-2</v>
      </c>
      <c r="O414" s="5">
        <f>Colombia!H23</f>
        <v>0.10771347417006924</v>
      </c>
      <c r="P414" s="5">
        <f>Colombia!I23</f>
        <v>0.11978828894792996</v>
      </c>
    </row>
    <row r="416" spans="4:16">
      <c r="D416" s="23" t="s">
        <v>647</v>
      </c>
      <c r="E416" s="304" t="str">
        <f t="shared" ref="E416:K416" si="108">E411</f>
        <v>Q4 06</v>
      </c>
      <c r="F416" s="304" t="str">
        <f t="shared" si="108"/>
        <v>Q1 07</v>
      </c>
      <c r="G416" s="304" t="str">
        <f t="shared" si="108"/>
        <v>Q2 07</v>
      </c>
      <c r="H416" s="304" t="str">
        <f t="shared" si="108"/>
        <v>Q3 07</v>
      </c>
      <c r="I416" s="304" t="str">
        <f t="shared" si="108"/>
        <v>Q4 07</v>
      </c>
      <c r="J416" s="304" t="str">
        <f t="shared" si="108"/>
        <v>Q1 08</v>
      </c>
      <c r="K416" s="304" t="str">
        <f t="shared" si="108"/>
        <v>Q2 08</v>
      </c>
    </row>
    <row r="417" spans="4:11">
      <c r="D417" t="s">
        <v>955</v>
      </c>
      <c r="E417" s="5">
        <f t="shared" ref="E417:K419" si="109">I90</f>
        <v>0.61932734138706347</v>
      </c>
      <c r="F417" s="5">
        <f t="shared" si="109"/>
        <v>0.63701488322360189</v>
      </c>
      <c r="G417" s="5">
        <f t="shared" si="109"/>
        <v>0.62132260836991549</v>
      </c>
      <c r="H417" s="5">
        <f t="shared" si="109"/>
        <v>0.61372547418518308</v>
      </c>
      <c r="I417" s="5">
        <f t="shared" si="109"/>
        <v>0.6068228376777236</v>
      </c>
      <c r="J417" s="5">
        <f t="shared" si="109"/>
        <v>0.62997467242112459</v>
      </c>
      <c r="K417" s="5">
        <f t="shared" si="109"/>
        <v>0.63336504825167439</v>
      </c>
    </row>
    <row r="418" spans="4:11">
      <c r="D418" t="s">
        <v>1606</v>
      </c>
      <c r="E418" s="5">
        <f t="shared" si="109"/>
        <v>0.28009628488212834</v>
      </c>
      <c r="F418" s="5">
        <f t="shared" si="109"/>
        <v>0.26803086664260573</v>
      </c>
      <c r="G418" s="5">
        <f t="shared" si="109"/>
        <v>0.27887614734266791</v>
      </c>
      <c r="H418" s="5">
        <f t="shared" si="109"/>
        <v>0.28038683348207816</v>
      </c>
      <c r="I418" s="5">
        <f t="shared" si="109"/>
        <v>0.28221502818194683</v>
      </c>
      <c r="J418" s="5">
        <f t="shared" si="109"/>
        <v>0.27266034457760058</v>
      </c>
      <c r="K418" s="5">
        <f t="shared" si="109"/>
        <v>0.27294567899601618</v>
      </c>
    </row>
    <row r="419" spans="4:11">
      <c r="D419" t="s">
        <v>1250</v>
      </c>
      <c r="E419" s="5">
        <f t="shared" si="109"/>
        <v>0.10057637373080822</v>
      </c>
      <c r="F419" s="5">
        <f t="shared" si="109"/>
        <v>9.4954250133792398E-2</v>
      </c>
      <c r="G419" s="5">
        <f t="shared" si="109"/>
        <v>9.9801244287416629E-2</v>
      </c>
      <c r="H419" s="5">
        <f t="shared" si="109"/>
        <v>0.10588769233273876</v>
      </c>
      <c r="I419" s="5">
        <f t="shared" si="109"/>
        <v>0.11096213414032972</v>
      </c>
      <c r="J419" s="5">
        <f t="shared" si="109"/>
        <v>9.736498300127476E-2</v>
      </c>
      <c r="K419" s="5">
        <f t="shared" si="109"/>
        <v>9.3689272752309344E-2</v>
      </c>
    </row>
    <row r="421" spans="4:11">
      <c r="E421" s="8" t="s">
        <v>886</v>
      </c>
      <c r="F421" s="8" t="s">
        <v>886</v>
      </c>
      <c r="G421" s="8" t="s">
        <v>885</v>
      </c>
      <c r="H421" s="8" t="s">
        <v>885</v>
      </c>
      <c r="I421" s="8" t="s">
        <v>495</v>
      </c>
      <c r="J421" s="8" t="s">
        <v>495</v>
      </c>
    </row>
    <row r="422" spans="4:11">
      <c r="D422" s="23" t="s">
        <v>494</v>
      </c>
      <c r="E422" s="23">
        <v>2008</v>
      </c>
      <c r="F422" s="23">
        <f>E422+1</f>
        <v>2009</v>
      </c>
      <c r="G422" s="23">
        <v>2008</v>
      </c>
      <c r="H422" s="23">
        <f>G422+1</f>
        <v>2009</v>
      </c>
      <c r="I422" s="23">
        <v>2008</v>
      </c>
      <c r="J422" s="23">
        <f>I422+1</f>
        <v>2009</v>
      </c>
    </row>
    <row r="423" spans="4:11">
      <c r="D423" t="s">
        <v>758</v>
      </c>
      <c r="E423" s="88">
        <f>Master!K5</f>
        <v>3397.9075695558286</v>
      </c>
      <c r="F423" s="88">
        <f>Master!L5</f>
        <v>3576.5649976500235</v>
      </c>
      <c r="G423" s="88">
        <v>3631.5445318217776</v>
      </c>
      <c r="H423" s="88">
        <v>4441.9356568887815</v>
      </c>
      <c r="I423" s="16">
        <f t="shared" ref="I423:J425" si="110">E423/G423-1</f>
        <v>-6.433542538682413E-2</v>
      </c>
      <c r="J423" s="16">
        <f t="shared" si="110"/>
        <v>-0.19481836885608572</v>
      </c>
    </row>
    <row r="424" spans="4:11">
      <c r="D424" t="s">
        <v>944</v>
      </c>
      <c r="E424" s="88" t="e">
        <f>Master!K14</f>
        <v>#REF!</v>
      </c>
      <c r="F424" s="88" t="e">
        <f>Master!L14</f>
        <v>#REF!</v>
      </c>
      <c r="G424" s="88">
        <v>1454.2484093028525</v>
      </c>
      <c r="H424" s="88">
        <v>1825.0796848554476</v>
      </c>
      <c r="I424" s="16" t="e">
        <f t="shared" si="110"/>
        <v>#REF!</v>
      </c>
      <c r="J424" s="16" t="e">
        <f t="shared" si="110"/>
        <v>#REF!</v>
      </c>
    </row>
    <row r="425" spans="4:11">
      <c r="D425" t="s">
        <v>1545</v>
      </c>
      <c r="E425" s="9">
        <f>Div!H83</f>
        <v>1431</v>
      </c>
      <c r="F425" s="9">
        <f>Div!I83</f>
        <v>737</v>
      </c>
      <c r="G425" s="88">
        <v>1312.2708316303324</v>
      </c>
      <c r="H425" s="88">
        <v>1070.5482930485748</v>
      </c>
      <c r="I425" s="16">
        <f t="shared" si="110"/>
        <v>9.0476116292367292E-2</v>
      </c>
      <c r="J425" s="16">
        <f t="shared" si="110"/>
        <v>-0.31156772208635009</v>
      </c>
    </row>
    <row r="426" spans="4:11">
      <c r="D426" t="s">
        <v>1552</v>
      </c>
      <c r="E426" s="88" t="e">
        <f>E424-E425</f>
        <v>#REF!</v>
      </c>
      <c r="F426" s="88" t="e">
        <f>F424-F425</f>
        <v>#REF!</v>
      </c>
      <c r="G426" s="88">
        <f>G424-G425</f>
        <v>141.97757767252006</v>
      </c>
      <c r="H426" s="88">
        <f>H424-H425</f>
        <v>754.53139180687276</v>
      </c>
      <c r="I426" s="16"/>
      <c r="J426" s="16" t="e">
        <f>F426/H426-1</f>
        <v>#REF!</v>
      </c>
    </row>
    <row r="427" spans="4:11">
      <c r="D427" t="s">
        <v>574</v>
      </c>
      <c r="E427" s="88" t="e">
        <f>Valuation!#REF!</f>
        <v>#REF!</v>
      </c>
      <c r="F427" s="88" t="e">
        <f>Valuation!#REF!</f>
        <v>#REF!</v>
      </c>
      <c r="G427" s="88">
        <v>-167.00367604853142</v>
      </c>
      <c r="H427" s="88">
        <v>365.02971478428236</v>
      </c>
      <c r="J427" s="16" t="e">
        <f>F427/H427-1</f>
        <v>#REF!</v>
      </c>
    </row>
    <row r="430" spans="4:11">
      <c r="D430" s="11"/>
      <c r="E430" s="96">
        <v>2005</v>
      </c>
      <c r="F430" s="96">
        <v>2006</v>
      </c>
      <c r="G430" s="96">
        <v>2007</v>
      </c>
      <c r="H430" s="304" t="str">
        <f>K416</f>
        <v>Q2 08</v>
      </c>
      <c r="I430" s="304" t="s">
        <v>2043</v>
      </c>
      <c r="J430" s="304"/>
    </row>
    <row r="431" spans="4:11">
      <c r="D431" t="s">
        <v>2376</v>
      </c>
      <c r="E431" s="16">
        <f>CA!F14</f>
        <v>0.33700000000000002</v>
      </c>
      <c r="F431" s="16">
        <f>CA!G14</f>
        <v>0.41</v>
      </c>
      <c r="G431" s="16">
        <f>CA!H14</f>
        <v>0.72551944313602346</v>
      </c>
      <c r="H431" s="16">
        <v>0.87</v>
      </c>
      <c r="I431" s="16">
        <v>0.9</v>
      </c>
    </row>
    <row r="432" spans="4:11">
      <c r="D432" t="s">
        <v>2379</v>
      </c>
      <c r="E432" s="16">
        <f>CA!F15</f>
        <v>0.32500000000000001</v>
      </c>
      <c r="F432" s="16">
        <f>CA!G15</f>
        <v>0.45</v>
      </c>
      <c r="G432" s="16">
        <f>CA!H15</f>
        <v>0.68865886235072282</v>
      </c>
      <c r="H432" s="16">
        <v>0.72</v>
      </c>
      <c r="I432" s="16">
        <v>0.72</v>
      </c>
    </row>
    <row r="433" spans="4:9">
      <c r="D433" t="s">
        <v>2380</v>
      </c>
      <c r="E433" s="16">
        <f>CA!F16</f>
        <v>0.16200000000000001</v>
      </c>
      <c r="F433" s="16">
        <f>CA!G16</f>
        <v>0.3</v>
      </c>
      <c r="G433" s="16">
        <f>CA!H16</f>
        <v>0.5585248530197755</v>
      </c>
      <c r="H433" s="16">
        <v>0.67</v>
      </c>
      <c r="I433" s="16">
        <v>0.73</v>
      </c>
    </row>
    <row r="444" spans="4:9">
      <c r="D444" s="23" t="s">
        <v>1545</v>
      </c>
      <c r="E444" s="23">
        <v>2008</v>
      </c>
      <c r="F444" s="23">
        <v>2009</v>
      </c>
      <c r="G444" s="11" t="s">
        <v>1223</v>
      </c>
    </row>
    <row r="445" spans="4:9">
      <c r="D445" s="9" t="str">
        <f>Div!B75</f>
        <v>Asia</v>
      </c>
      <c r="E445" s="16">
        <f>Div!H75/Div!H$83</f>
        <v>0.10831586303284417</v>
      </c>
      <c r="F445" s="16">
        <f>Div!I75/Div!I$83</f>
        <v>0</v>
      </c>
      <c r="G445" s="16">
        <v>0.11</v>
      </c>
    </row>
    <row r="446" spans="4:9">
      <c r="D446" s="9" t="str">
        <f>Div!B76</f>
        <v>Central America</v>
      </c>
      <c r="E446" s="16">
        <f>Div!H76/Div!H$83</f>
        <v>0.20545073375262055</v>
      </c>
      <c r="F446" s="16">
        <f>Div!I76/Div!I$83</f>
        <v>0.23880597014925373</v>
      </c>
      <c r="G446" s="16">
        <v>0.14000000000000001</v>
      </c>
    </row>
    <row r="447" spans="4:9">
      <c r="D447" s="9" t="str">
        <f>Div!B77</f>
        <v>Colombia mobile</v>
      </c>
      <c r="E447" s="16">
        <f>Div!H77/Div!H$83</f>
        <v>0.12159329140461216</v>
      </c>
      <c r="F447" s="16">
        <f>Div!I77/Div!I$83</f>
        <v>0.11031484163164854</v>
      </c>
      <c r="G447" s="16">
        <v>0.11</v>
      </c>
    </row>
    <row r="448" spans="4:9">
      <c r="D448" s="9" t="str">
        <f>Div!B79</f>
        <v>SA ex Colombia</v>
      </c>
      <c r="E448" s="16">
        <f>Div!H79/Div!H$83</f>
        <v>0.13626834381551362</v>
      </c>
      <c r="F448" s="16">
        <f>Div!I79/Div!I$83</f>
        <v>0.11085205117703531</v>
      </c>
      <c r="G448" s="16">
        <f>27%-G447</f>
        <v>0.16000000000000003</v>
      </c>
    </row>
    <row r="449" spans="4:7">
      <c r="D449" s="9" t="str">
        <f>Div!B80</f>
        <v>Africa</v>
      </c>
      <c r="E449" s="16">
        <f>Div!H80/Div!H$83</f>
        <v>0.41998602375960864</v>
      </c>
      <c r="F449" s="16">
        <f>Div!I80/Div!I$83</f>
        <v>0.5400271370420624</v>
      </c>
      <c r="G449" s="16">
        <v>0.48</v>
      </c>
    </row>
    <row r="450" spans="4:7">
      <c r="D450" s="9" t="str">
        <f>Div!B81</f>
        <v>Amnet</v>
      </c>
      <c r="E450" s="16">
        <f>Div!H81/Div!H$83</f>
        <v>8.385744234800839E-3</v>
      </c>
      <c r="F450" s="16">
        <f>Div!I81/Div!I$83</f>
        <v>0</v>
      </c>
    </row>
    <row r="453" spans="4:7">
      <c r="D453" t="s">
        <v>2382</v>
      </c>
      <c r="E453" s="16">
        <v>0.45</v>
      </c>
      <c r="F453" s="16">
        <v>2.0119607160077688E-2</v>
      </c>
    </row>
    <row r="454" spans="4:7">
      <c r="D454" t="s">
        <v>579</v>
      </c>
      <c r="E454" s="16">
        <v>0.45</v>
      </c>
      <c r="F454" s="16">
        <v>1.1769703790780312E-2</v>
      </c>
    </row>
    <row r="455" spans="4:7">
      <c r="D455" t="s">
        <v>1961</v>
      </c>
      <c r="E455" s="16">
        <v>0.42399999999999999</v>
      </c>
      <c r="F455" s="16">
        <v>9.9693112442778287E-3</v>
      </c>
    </row>
    <row r="456" spans="4:7">
      <c r="D456" t="s">
        <v>577</v>
      </c>
      <c r="E456" s="16">
        <v>0.58799999999999997</v>
      </c>
      <c r="F456" s="16">
        <v>2.2905869576440121E-3</v>
      </c>
    </row>
    <row r="457" spans="4:7">
      <c r="D457" t="s">
        <v>578</v>
      </c>
      <c r="E457" s="16">
        <v>0.69799999999999995</v>
      </c>
      <c r="F457" s="16">
        <v>3.784864877306008E-2</v>
      </c>
    </row>
    <row r="458" spans="4:7">
      <c r="D458" t="s">
        <v>2384</v>
      </c>
      <c r="E458" s="16">
        <v>0.499</v>
      </c>
      <c r="F458" s="16">
        <v>2.5071014424215762E-2</v>
      </c>
    </row>
    <row r="459" spans="4:7">
      <c r="D459" t="s">
        <v>2227</v>
      </c>
      <c r="E459" s="16">
        <v>0.45</v>
      </c>
      <c r="F459" s="16">
        <v>0</v>
      </c>
    </row>
    <row r="460" spans="4:7">
      <c r="D460" t="s">
        <v>2378</v>
      </c>
      <c r="E460" s="16">
        <v>0.24299999999999999</v>
      </c>
      <c r="F460" s="16">
        <v>1.7266266797687675E-2</v>
      </c>
    </row>
    <row r="461" spans="4:7">
      <c r="D461" t="s">
        <v>2377</v>
      </c>
      <c r="E461" s="16">
        <v>0.36799999999999999</v>
      </c>
      <c r="F461" s="16">
        <v>1.909127181575904E-2</v>
      </c>
    </row>
    <row r="462" spans="4:7">
      <c r="D462" t="s">
        <v>2376</v>
      </c>
      <c r="E462" s="16">
        <v>0.2</v>
      </c>
      <c r="F462" s="16">
        <v>2.4593327078790327E-2</v>
      </c>
    </row>
    <row r="463" spans="4:7">
      <c r="D463" t="s">
        <v>2379</v>
      </c>
      <c r="E463" s="16">
        <v>0.25</v>
      </c>
      <c r="F463" s="16">
        <v>5.3203106909221212E-2</v>
      </c>
    </row>
    <row r="464" spans="4:7">
      <c r="D464" t="s">
        <v>2380</v>
      </c>
      <c r="E464" s="16">
        <v>0.25</v>
      </c>
      <c r="F464" s="16">
        <v>2.4999185081899106E-2</v>
      </c>
    </row>
    <row r="465" spans="4:6">
      <c r="D465" t="s">
        <v>1665</v>
      </c>
      <c r="E465" s="16">
        <v>0.25</v>
      </c>
      <c r="F465" s="16">
        <v>1.7956165286907185E-2</v>
      </c>
    </row>
    <row r="466" spans="4:6">
      <c r="D466" t="s">
        <v>730</v>
      </c>
      <c r="E466" s="16">
        <v>0.54100000000000004</v>
      </c>
      <c r="F466" s="16">
        <v>5.7243086899219281E-2</v>
      </c>
    </row>
    <row r="467" spans="4:6">
      <c r="D467" t="s">
        <v>738</v>
      </c>
      <c r="E467" s="16">
        <v>0.45</v>
      </c>
      <c r="F467" s="16">
        <v>2.39664098967554E-2</v>
      </c>
    </row>
    <row r="468" spans="4:6">
      <c r="D468" s="11" t="s">
        <v>739</v>
      </c>
      <c r="E468" s="20">
        <v>0.45</v>
      </c>
      <c r="F468" s="20">
        <v>3.4460394355778851E-3</v>
      </c>
    </row>
    <row r="469" spans="4:6">
      <c r="F469" s="16">
        <f>SUM(F453:F468)</f>
        <v>0.34883373155187275</v>
      </c>
    </row>
    <row r="471" spans="4:6">
      <c r="D471" t="s">
        <v>2376</v>
      </c>
      <c r="E471" s="16">
        <v>0.2</v>
      </c>
    </row>
    <row r="472" spans="4:6">
      <c r="D472" t="s">
        <v>2378</v>
      </c>
      <c r="E472" s="16">
        <v>0.24299999999999999</v>
      </c>
    </row>
    <row r="473" spans="4:6">
      <c r="D473" t="s">
        <v>2379</v>
      </c>
      <c r="E473" s="16">
        <v>0.25</v>
      </c>
    </row>
    <row r="474" spans="4:6">
      <c r="D474" t="s">
        <v>2380</v>
      </c>
      <c r="E474" s="16">
        <v>0.25</v>
      </c>
    </row>
    <row r="475" spans="4:6">
      <c r="D475" t="s">
        <v>1665</v>
      </c>
      <c r="E475" s="16">
        <v>0.25</v>
      </c>
    </row>
    <row r="476" spans="4:6">
      <c r="D476" s="2" t="s">
        <v>659</v>
      </c>
      <c r="E476" s="19">
        <f>F469</f>
        <v>0.34883373155187275</v>
      </c>
    </row>
    <row r="477" spans="4:6">
      <c r="D477" t="s">
        <v>2377</v>
      </c>
      <c r="E477" s="16">
        <v>0.36799999999999999</v>
      </c>
    </row>
    <row r="478" spans="4:6">
      <c r="D478" t="s">
        <v>1961</v>
      </c>
      <c r="E478" s="16">
        <v>0.42399999999999999</v>
      </c>
    </row>
    <row r="479" spans="4:6">
      <c r="D479" t="s">
        <v>2382</v>
      </c>
      <c r="E479" s="16">
        <v>0.45</v>
      </c>
    </row>
    <row r="480" spans="4:6">
      <c r="D480" t="s">
        <v>579</v>
      </c>
      <c r="E480" s="16">
        <v>0.45</v>
      </c>
    </row>
    <row r="481" spans="4:9">
      <c r="D481" t="s">
        <v>2227</v>
      </c>
      <c r="E481" s="16">
        <v>0.45</v>
      </c>
    </row>
    <row r="482" spans="4:9">
      <c r="D482" t="s">
        <v>738</v>
      </c>
      <c r="E482" s="16">
        <v>0.45</v>
      </c>
    </row>
    <row r="483" spans="4:9">
      <c r="D483" t="s">
        <v>739</v>
      </c>
      <c r="E483" s="16">
        <v>0.45</v>
      </c>
    </row>
    <row r="484" spans="4:9">
      <c r="D484" t="s">
        <v>2384</v>
      </c>
      <c r="E484" s="16">
        <v>0.499</v>
      </c>
    </row>
    <row r="485" spans="4:9">
      <c r="D485" t="s">
        <v>730</v>
      </c>
      <c r="E485" s="16">
        <v>0.54100000000000004</v>
      </c>
    </row>
    <row r="486" spans="4:9">
      <c r="D486" t="s">
        <v>577</v>
      </c>
      <c r="E486" s="16">
        <v>0.58799999999999997</v>
      </c>
    </row>
    <row r="487" spans="4:9">
      <c r="D487" t="s">
        <v>578</v>
      </c>
      <c r="E487" s="16">
        <v>0.69799999999999995</v>
      </c>
    </row>
    <row r="490" spans="4:9">
      <c r="D490" t="s">
        <v>1288</v>
      </c>
      <c r="E490" s="16">
        <v>0.11216880925319986</v>
      </c>
      <c r="H490" t="s">
        <v>669</v>
      </c>
      <c r="I490" s="16">
        <v>9.5829151233827681E-2</v>
      </c>
    </row>
    <row r="491" spans="4:9">
      <c r="D491" t="s">
        <v>1225</v>
      </c>
      <c r="E491" s="16">
        <v>0.2</v>
      </c>
      <c r="H491" t="s">
        <v>466</v>
      </c>
      <c r="I491" s="16">
        <v>0.11491835122194938</v>
      </c>
    </row>
    <row r="492" spans="4:9">
      <c r="D492" t="s">
        <v>1226</v>
      </c>
      <c r="E492" s="16">
        <v>0.20399999999999999</v>
      </c>
      <c r="H492" t="s">
        <v>842</v>
      </c>
      <c r="I492" s="16">
        <v>0.12</v>
      </c>
    </row>
    <row r="493" spans="4:9">
      <c r="D493" t="s">
        <v>955</v>
      </c>
      <c r="E493" s="16">
        <v>0.22035404493301045</v>
      </c>
      <c r="H493" t="s">
        <v>1706</v>
      </c>
      <c r="I493" s="16">
        <v>0.14000000000000001</v>
      </c>
    </row>
    <row r="494" spans="4:9">
      <c r="D494" t="s">
        <v>1706</v>
      </c>
      <c r="E494" s="16">
        <v>0.253992</v>
      </c>
      <c r="H494" t="s">
        <v>844</v>
      </c>
      <c r="I494" s="16">
        <v>0.16192294542490057</v>
      </c>
    </row>
    <row r="495" spans="4:9">
      <c r="D495" t="s">
        <v>1707</v>
      </c>
      <c r="E495" s="16">
        <v>0.26</v>
      </c>
      <c r="H495" t="s">
        <v>666</v>
      </c>
      <c r="I495" s="16">
        <v>0.17</v>
      </c>
    </row>
    <row r="496" spans="4:9">
      <c r="D496" t="s">
        <v>842</v>
      </c>
      <c r="E496" s="16">
        <v>0.26</v>
      </c>
      <c r="H496" t="s">
        <v>665</v>
      </c>
      <c r="I496" s="16">
        <v>0.18</v>
      </c>
    </row>
    <row r="497" spans="4:9">
      <c r="D497" t="s">
        <v>843</v>
      </c>
      <c r="E497" s="16">
        <v>0.2707546272040065</v>
      </c>
      <c r="H497" t="s">
        <v>1290</v>
      </c>
      <c r="I497" s="16">
        <v>0.22319601433387878</v>
      </c>
    </row>
    <row r="498" spans="4:9">
      <c r="D498" t="s">
        <v>844</v>
      </c>
      <c r="E498" s="16">
        <v>0.31295673774870886</v>
      </c>
      <c r="H498" t="s">
        <v>846</v>
      </c>
      <c r="I498" s="16">
        <v>0.22833864654729746</v>
      </c>
    </row>
    <row r="499" spans="4:9">
      <c r="D499" t="s">
        <v>845</v>
      </c>
      <c r="E499" s="16">
        <v>0.32493021708068998</v>
      </c>
      <c r="H499" s="2" t="s">
        <v>1722</v>
      </c>
      <c r="I499" s="19">
        <v>0.23435396435128017</v>
      </c>
    </row>
    <row r="500" spans="4:9">
      <c r="D500" t="s">
        <v>1289</v>
      </c>
      <c r="E500" s="16">
        <v>0.33</v>
      </c>
      <c r="H500" t="s">
        <v>668</v>
      </c>
      <c r="I500" s="16">
        <v>0.24</v>
      </c>
    </row>
    <row r="501" spans="4:9">
      <c r="D501" t="s">
        <v>1250</v>
      </c>
      <c r="E501" s="16">
        <v>0.34253681870010244</v>
      </c>
      <c r="H501" t="s">
        <v>1284</v>
      </c>
      <c r="I501" s="16">
        <v>0.24606096461198224</v>
      </c>
    </row>
    <row r="502" spans="4:9">
      <c r="D502" t="s">
        <v>846</v>
      </c>
      <c r="E502" s="16">
        <v>0.34368081848526993</v>
      </c>
      <c r="H502" t="s">
        <v>1285</v>
      </c>
      <c r="I502" s="16">
        <v>0.25027750057394166</v>
      </c>
    </row>
    <row r="503" spans="4:9">
      <c r="D503" t="s">
        <v>847</v>
      </c>
      <c r="E503" s="16">
        <v>0.35493199553612531</v>
      </c>
      <c r="H503" t="s">
        <v>1288</v>
      </c>
      <c r="I503" s="16">
        <v>0.2503242040994324</v>
      </c>
    </row>
    <row r="504" spans="4:9">
      <c r="D504" t="s">
        <v>1285</v>
      </c>
      <c r="E504" s="16">
        <v>0.35991285670970097</v>
      </c>
      <c r="H504" t="s">
        <v>667</v>
      </c>
      <c r="I504" s="16">
        <v>0.25250597726028901</v>
      </c>
    </row>
    <row r="505" spans="4:9">
      <c r="D505" t="s">
        <v>848</v>
      </c>
      <c r="E505" s="16">
        <v>0.40200000000000002</v>
      </c>
      <c r="H505" t="s">
        <v>1289</v>
      </c>
      <c r="I505" s="16">
        <v>0.26438253310472565</v>
      </c>
    </row>
    <row r="506" spans="4:9">
      <c r="D506" t="s">
        <v>849</v>
      </c>
      <c r="E506" s="16">
        <v>0.40844323479368227</v>
      </c>
      <c r="H506" t="s">
        <v>1250</v>
      </c>
      <c r="I506" s="73">
        <f>Div!I95</f>
        <v>0.20606363940938993</v>
      </c>
    </row>
    <row r="507" spans="4:9">
      <c r="D507" t="s">
        <v>1284</v>
      </c>
      <c r="E507" s="16">
        <v>0.41596444926591597</v>
      </c>
      <c r="H507" t="s">
        <v>657</v>
      </c>
      <c r="I507" s="16">
        <v>0.32207488834515263</v>
      </c>
    </row>
    <row r="508" spans="4:9">
      <c r="D508" t="s">
        <v>850</v>
      </c>
      <c r="E508" s="16">
        <v>0.436</v>
      </c>
      <c r="H508" t="s">
        <v>658</v>
      </c>
      <c r="I508" s="16">
        <v>0.47250471284641937</v>
      </c>
    </row>
    <row r="509" spans="4:9">
      <c r="D509" t="s">
        <v>654</v>
      </c>
      <c r="E509" s="16">
        <v>0.44900000000000001</v>
      </c>
      <c r="H509" t="s">
        <v>654</v>
      </c>
      <c r="I509" s="16">
        <v>0.47921743894540841</v>
      </c>
    </row>
    <row r="510" spans="4:9">
      <c r="D510" t="s">
        <v>655</v>
      </c>
      <c r="E510" s="16">
        <v>0.44900000000000001</v>
      </c>
      <c r="H510" t="s">
        <v>656</v>
      </c>
      <c r="I510" s="16">
        <v>0.52216760083098146</v>
      </c>
    </row>
    <row r="511" spans="4:9">
      <c r="D511" t="s">
        <v>656</v>
      </c>
      <c r="E511" s="16">
        <v>0.45</v>
      </c>
    </row>
    <row r="512" spans="4:9">
      <c r="D512" t="s">
        <v>657</v>
      </c>
      <c r="E512" s="16">
        <v>0.45</v>
      </c>
    </row>
    <row r="513" spans="2:11">
      <c r="D513" t="s">
        <v>658</v>
      </c>
      <c r="E513" s="16">
        <v>0.45</v>
      </c>
    </row>
    <row r="515" spans="2:11">
      <c r="D515" s="6"/>
      <c r="E515" s="6">
        <v>2009</v>
      </c>
      <c r="F515" s="6"/>
    </row>
    <row r="516" spans="2:11">
      <c r="B516" s="11" t="s">
        <v>663</v>
      </c>
      <c r="C516" s="11"/>
      <c r="D516" s="104">
        <v>2008</v>
      </c>
      <c r="E516" s="11"/>
      <c r="F516" s="104" t="s">
        <v>664</v>
      </c>
    </row>
    <row r="517" spans="2:11">
      <c r="B517" t="s">
        <v>660</v>
      </c>
      <c r="D517">
        <v>70</v>
      </c>
      <c r="E517">
        <f>D517*0.9</f>
        <v>63</v>
      </c>
    </row>
    <row r="518" spans="2:11">
      <c r="B518" t="s">
        <v>661</v>
      </c>
      <c r="D518">
        <v>30</v>
      </c>
    </row>
    <row r="519" spans="2:11">
      <c r="B519" t="s">
        <v>662</v>
      </c>
      <c r="D519" s="6">
        <v>100</v>
      </c>
      <c r="E519">
        <f>D518</f>
        <v>30</v>
      </c>
      <c r="F519" t="e">
        <f>#REF!+E519</f>
        <v>#REF!</v>
      </c>
    </row>
    <row r="521" spans="2:11">
      <c r="B521" s="2"/>
      <c r="C521" s="2"/>
      <c r="D521" s="8" t="s">
        <v>1646</v>
      </c>
      <c r="E521" s="8" t="s">
        <v>1646</v>
      </c>
      <c r="F521" s="8" t="s">
        <v>1646</v>
      </c>
      <c r="H521" s="8" t="s">
        <v>1647</v>
      </c>
      <c r="I521" s="8" t="s">
        <v>1647</v>
      </c>
      <c r="J521" s="8" t="s">
        <v>1647</v>
      </c>
    </row>
    <row r="522" spans="2:11">
      <c r="B522" s="23" t="s">
        <v>1831</v>
      </c>
      <c r="C522" s="23"/>
      <c r="D522" s="23">
        <v>2009</v>
      </c>
      <c r="E522" s="23">
        <v>2010</v>
      </c>
      <c r="F522" s="23">
        <v>2011</v>
      </c>
      <c r="H522" s="23">
        <f>D522</f>
        <v>2009</v>
      </c>
      <c r="I522" s="23">
        <f>E522</f>
        <v>2010</v>
      </c>
      <c r="J522" s="23">
        <f>F522</f>
        <v>2011</v>
      </c>
      <c r="K522" s="23"/>
    </row>
    <row r="523" spans="2:11">
      <c r="B523" t="s">
        <v>758</v>
      </c>
      <c r="D523" s="88">
        <f>Africa!J80</f>
        <v>781.5</v>
      </c>
      <c r="E523" s="88">
        <f>Africa!K80</f>
        <v>909.14187722222471</v>
      </c>
      <c r="F523" s="88">
        <f>Africa!L80</f>
        <v>976.54217733834935</v>
      </c>
      <c r="H523">
        <v>1012.7731432464525</v>
      </c>
      <c r="I523">
        <v>1246.7863274038557</v>
      </c>
      <c r="J523">
        <v>1534</v>
      </c>
    </row>
    <row r="524" spans="2:11">
      <c r="B524" t="s">
        <v>360</v>
      </c>
      <c r="D524" s="88">
        <f>Africa!J160</f>
        <v>284.81899999999996</v>
      </c>
      <c r="E524" s="88">
        <f>Africa!K160</f>
        <v>363.03800000000001</v>
      </c>
      <c r="F524" s="88">
        <f>Africa!L160</f>
        <v>402.96000000000004</v>
      </c>
      <c r="H524">
        <v>358.46574245220188</v>
      </c>
      <c r="I524">
        <v>467.27712186163319</v>
      </c>
      <c r="J524">
        <v>614</v>
      </c>
    </row>
    <row r="525" spans="2:11">
      <c r="B525" s="2" t="s">
        <v>1163</v>
      </c>
      <c r="C525" s="2"/>
    </row>
    <row r="526" spans="2:11">
      <c r="B526" t="str">
        <f>B523</f>
        <v>Revenue</v>
      </c>
      <c r="D526" s="88">
        <f>Asia!J53</f>
        <v>271.30350691261947</v>
      </c>
      <c r="E526" s="88">
        <f>Asia!K53</f>
        <v>294.81427359711466</v>
      </c>
      <c r="F526" s="88">
        <f>Asia!L53</f>
        <v>319.02795597445709</v>
      </c>
    </row>
    <row r="527" spans="2:11">
      <c r="B527" t="str">
        <f>B524</f>
        <v>EBITDA</v>
      </c>
      <c r="D527" s="88">
        <f>Asia!J59</f>
        <v>99.169067141929133</v>
      </c>
      <c r="E527" s="88">
        <f>Asia!K59</f>
        <v>109.84126247433366</v>
      </c>
      <c r="F527" s="88">
        <f>Asia!L59</f>
        <v>116.6386858104128</v>
      </c>
    </row>
    <row r="530" spans="2:8">
      <c r="D530" s="11">
        <v>2006</v>
      </c>
      <c r="E530" s="11">
        <f>D530+1</f>
        <v>2007</v>
      </c>
      <c r="F530" s="104" t="s">
        <v>1128</v>
      </c>
      <c r="G530" s="104" t="s">
        <v>1129</v>
      </c>
      <c r="H530" s="104" t="s">
        <v>1067</v>
      </c>
    </row>
    <row r="531" spans="2:8">
      <c r="D531" s="16">
        <v>0.18</v>
      </c>
    </row>
    <row r="533" spans="2:8">
      <c r="B533" s="11" t="s">
        <v>821</v>
      </c>
      <c r="C533" s="11"/>
      <c r="D533" s="11">
        <v>2009</v>
      </c>
    </row>
    <row r="534" spans="2:8">
      <c r="B534" t="s">
        <v>798</v>
      </c>
      <c r="D534" s="88">
        <f>Master!L7</f>
        <v>3576.5649976500235</v>
      </c>
      <c r="E534" s="16">
        <f>D534/D537-1</f>
        <v>-0.12809239452705423</v>
      </c>
    </row>
    <row r="535" spans="2:8">
      <c r="B535" t="s">
        <v>15</v>
      </c>
      <c r="D535" s="88" t="e">
        <f>Master!#REF!</f>
        <v>#REF!</v>
      </c>
      <c r="E535" s="16" t="e">
        <f>D535/D538-1</f>
        <v>#REF!</v>
      </c>
    </row>
    <row r="536" spans="2:8">
      <c r="B536" s="11" t="s">
        <v>1644</v>
      </c>
      <c r="C536" s="11"/>
      <c r="D536" s="11"/>
    </row>
    <row r="537" spans="2:8">
      <c r="B537" t="str">
        <f>B534</f>
        <v>Revs</v>
      </c>
      <c r="D537">
        <v>4102</v>
      </c>
    </row>
    <row r="538" spans="2:8">
      <c r="B538" t="str">
        <f>B535</f>
        <v>EBITDA*</v>
      </c>
      <c r="D538">
        <v>1724</v>
      </c>
    </row>
    <row r="539" spans="2:8">
      <c r="E539" t="s">
        <v>1823</v>
      </c>
    </row>
    <row r="541" spans="2:8">
      <c r="B541" t="s">
        <v>2229</v>
      </c>
      <c r="D541">
        <v>3.6</v>
      </c>
    </row>
    <row r="542" spans="2:8">
      <c r="B542" s="11" t="s">
        <v>16</v>
      </c>
      <c r="C542" s="11"/>
      <c r="D542" s="11">
        <v>4.0999999999999996</v>
      </c>
    </row>
    <row r="543" spans="2:8">
      <c r="B543" t="s">
        <v>17</v>
      </c>
      <c r="D543" s="16">
        <f>D541/D542-1</f>
        <v>-0.12195121951219501</v>
      </c>
    </row>
    <row r="545" spans="2:37">
      <c r="B545" s="11"/>
      <c r="C545" s="11"/>
      <c r="D545" s="11">
        <v>2008</v>
      </c>
      <c r="E545" s="11">
        <f>D522</f>
        <v>2009</v>
      </c>
      <c r="F545" s="11">
        <f>E545+1</f>
        <v>2010</v>
      </c>
      <c r="G545" s="11">
        <f>F545+1</f>
        <v>2011</v>
      </c>
      <c r="H545" s="11">
        <f>G545+1</f>
        <v>2012</v>
      </c>
    </row>
    <row r="546" spans="2:37">
      <c r="B546" t="s">
        <v>2062</v>
      </c>
      <c r="D546" s="16">
        <f>Div!H95</f>
        <v>0.45620298778482937</v>
      </c>
      <c r="E546" s="16">
        <f>Div!I95</f>
        <v>0.20606363940938993</v>
      </c>
      <c r="F546" s="16">
        <f>Div!J95</f>
        <v>0.17092112310638696</v>
      </c>
      <c r="G546" s="16">
        <f>Div!K95</f>
        <v>0.17764709302352436</v>
      </c>
      <c r="H546" s="16">
        <f>Div!L95</f>
        <v>0.17624357687832073</v>
      </c>
    </row>
    <row r="547" spans="2:37">
      <c r="B547" t="s">
        <v>2063</v>
      </c>
      <c r="D547" s="16">
        <v>0.27319257938639901</v>
      </c>
      <c r="E547" s="16">
        <v>0.23355931630606858</v>
      </c>
      <c r="F547" s="16">
        <v>0.20452869419054084</v>
      </c>
      <c r="G547" s="16">
        <v>0.18269494162997268</v>
      </c>
      <c r="H547" s="16">
        <v>0.1709679399528321</v>
      </c>
    </row>
    <row r="550" spans="2:37">
      <c r="D550" s="11" t="s">
        <v>122</v>
      </c>
      <c r="E550" s="104" t="str">
        <f>Quarts!O115</f>
        <v>Q1 05</v>
      </c>
      <c r="F550" s="104" t="str">
        <f>Quarts!P115</f>
        <v>Q2 05</v>
      </c>
      <c r="G550" s="104" t="str">
        <f>Quarts!Q115</f>
        <v>Q3 05</v>
      </c>
      <c r="H550" s="104" t="str">
        <f>Quarts!R115</f>
        <v>Q4 05</v>
      </c>
      <c r="J550" s="104" t="str">
        <f>Quarts!S115</f>
        <v>Q1 06</v>
      </c>
      <c r="K550" s="104" t="str">
        <f>Quarts!T115</f>
        <v>Q2 06</v>
      </c>
      <c r="L550" s="104" t="str">
        <f>Quarts!U115</f>
        <v>Q3 06</v>
      </c>
      <c r="M550" s="104" t="str">
        <f>Quarts!V115</f>
        <v>Q4 06</v>
      </c>
      <c r="N550" s="104"/>
      <c r="O550" s="104" t="str">
        <f>Quarts!X115</f>
        <v>Q1 07</v>
      </c>
      <c r="P550" s="104" t="str">
        <f>Quarts!Y115</f>
        <v>Q2 07</v>
      </c>
      <c r="Q550" s="104" t="str">
        <f>Quarts!Z115</f>
        <v>Q3 07</v>
      </c>
      <c r="R550" s="104" t="str">
        <f>Quarts!AA115</f>
        <v>Q4 07</v>
      </c>
      <c r="S550" s="104"/>
      <c r="T550" s="104" t="str">
        <f>Quarts!AC115</f>
        <v>Q1 08</v>
      </c>
      <c r="U550" s="104" t="str">
        <f>Quarts!AD115</f>
        <v>Q2 08</v>
      </c>
      <c r="V550" s="104" t="str">
        <f>Quarts!AE115</f>
        <v>Q3 08</v>
      </c>
      <c r="W550" s="104"/>
      <c r="X550" s="105" t="str">
        <f>D550</f>
        <v>Central America, local</v>
      </c>
      <c r="Y550" s="104" t="str">
        <f>J550</f>
        <v>Q1 06</v>
      </c>
      <c r="Z550" s="104" t="str">
        <f>K550</f>
        <v>Q2 06</v>
      </c>
      <c r="AA550" s="104" t="str">
        <f>L550</f>
        <v>Q3 06</v>
      </c>
      <c r="AB550" s="104" t="str">
        <f>M550</f>
        <v>Q4 06</v>
      </c>
      <c r="AC550" s="104"/>
      <c r="AD550" s="104" t="str">
        <f>O550</f>
        <v>Q1 07</v>
      </c>
      <c r="AE550" s="104" t="str">
        <f>P550</f>
        <v>Q2 07</v>
      </c>
      <c r="AF550" s="104" t="str">
        <f>Q550</f>
        <v>Q3 07</v>
      </c>
      <c r="AG550" s="104" t="str">
        <f>R550</f>
        <v>Q4 07</v>
      </c>
      <c r="AH550" s="104"/>
      <c r="AI550" s="104" t="str">
        <f>T550</f>
        <v>Q1 08</v>
      </c>
      <c r="AJ550" s="104" t="str">
        <f>U550</f>
        <v>Q2 08</v>
      </c>
      <c r="AK550" s="104" t="str">
        <f>V550</f>
        <v>Q3 08</v>
      </c>
    </row>
    <row r="551" spans="2:37">
      <c r="D551" t="s">
        <v>798</v>
      </c>
      <c r="E551" s="9">
        <f>Quarts!O217</f>
        <v>88.591999999999999</v>
      </c>
      <c r="F551" s="9">
        <f>Quarts!P217</f>
        <v>101.652</v>
      </c>
      <c r="G551" s="9">
        <f>Quarts!Q217</f>
        <v>120.37</v>
      </c>
      <c r="H551" s="9">
        <f>Quarts!R217</f>
        <v>141.98599999999999</v>
      </c>
      <c r="J551" s="9">
        <f>Quarts!S217</f>
        <v>156.56700000000001</v>
      </c>
      <c r="K551" s="9">
        <f>Quarts!T217</f>
        <v>181.42</v>
      </c>
      <c r="L551" s="9">
        <f>Quarts!U217</f>
        <v>207.25800000000001</v>
      </c>
      <c r="M551" s="9">
        <f>Quarts!V217</f>
        <v>250.86600000000001</v>
      </c>
      <c r="N551" s="9"/>
      <c r="O551" s="9">
        <f>Quarts!X217</f>
        <v>249.47499999999999</v>
      </c>
      <c r="P551" s="9">
        <f>Quarts!Y217</f>
        <v>270.52</v>
      </c>
      <c r="Q551" s="9">
        <f>Quarts!Z217</f>
        <v>300.15899999999999</v>
      </c>
      <c r="R551" s="9">
        <f>Quarts!AA217</f>
        <v>329.2</v>
      </c>
      <c r="S551" s="9"/>
      <c r="T551" s="9">
        <f>Quarts!AC217</f>
        <v>340.12700000000001</v>
      </c>
      <c r="U551" s="9">
        <f>Quarts!AD217</f>
        <v>342.03899999999999</v>
      </c>
      <c r="V551" s="9">
        <f>Quarts!AE217</f>
        <v>339.77300000000002</v>
      </c>
      <c r="W551" s="9"/>
      <c r="X551" s="163" t="str">
        <f>D551</f>
        <v>Revs</v>
      </c>
      <c r="Y551" s="16">
        <f t="shared" ref="Y551:AB552" si="111">J551/E551-1</f>
        <v>0.76728147011016801</v>
      </c>
      <c r="Z551" s="16">
        <f t="shared" si="111"/>
        <v>0.78471648368945024</v>
      </c>
      <c r="AA551" s="16">
        <f t="shared" si="111"/>
        <v>0.72184099027997006</v>
      </c>
      <c r="AB551" s="16">
        <f t="shared" si="111"/>
        <v>0.76683616694603707</v>
      </c>
      <c r="AC551" s="16"/>
      <c r="AD551" s="16">
        <f t="shared" ref="AD551:AG552" si="112">O551/J551-1</f>
        <v>0.59340729527933722</v>
      </c>
      <c r="AE551" s="16">
        <f t="shared" si="112"/>
        <v>0.49112556498732229</v>
      </c>
      <c r="AF551" s="16">
        <f t="shared" si="112"/>
        <v>0.44823842746721465</v>
      </c>
      <c r="AG551" s="16">
        <f t="shared" si="112"/>
        <v>0.31225435092838394</v>
      </c>
      <c r="AH551" s="16"/>
      <c r="AI551" s="16">
        <f t="shared" ref="AI551:AK552" si="113">T551/O551-1</f>
        <v>0.36337107926645973</v>
      </c>
      <c r="AJ551" s="16">
        <f t="shared" si="113"/>
        <v>0.26437601656069787</v>
      </c>
      <c r="AK551" s="16">
        <f t="shared" si="113"/>
        <v>0.13197671900559382</v>
      </c>
    </row>
    <row r="552" spans="2:37">
      <c r="D552" t="s">
        <v>360</v>
      </c>
      <c r="E552" s="9">
        <f>Quarts!O300</f>
        <v>44.331000000000003</v>
      </c>
      <c r="F552" s="9">
        <f>Quarts!P300</f>
        <v>51.136000000000003</v>
      </c>
      <c r="G552" s="9">
        <f>Quarts!Q300</f>
        <v>62.47</v>
      </c>
      <c r="H552" s="9">
        <f>Quarts!R300</f>
        <v>75.070999999999998</v>
      </c>
      <c r="J552" s="9">
        <f>Quarts!S300</f>
        <v>79.015000000000001</v>
      </c>
      <c r="K552" s="9">
        <f>Quarts!T300</f>
        <v>94.11</v>
      </c>
      <c r="L552" s="9">
        <f>Quarts!U300</f>
        <v>110.874</v>
      </c>
      <c r="M552" s="9">
        <f>Quarts!V300</f>
        <v>131.43100000000001</v>
      </c>
      <c r="N552" s="9"/>
      <c r="O552" s="9">
        <f>Quarts!X300</f>
        <v>136.32599999999999</v>
      </c>
      <c r="P552" s="9">
        <f>Quarts!Y300</f>
        <v>143.053</v>
      </c>
      <c r="Q552" s="9">
        <f>Quarts!Z300</f>
        <v>161.1</v>
      </c>
      <c r="R552" s="9">
        <f>Quarts!AA300</f>
        <v>167.7</v>
      </c>
      <c r="S552" s="9"/>
      <c r="T552" s="9">
        <f>Quarts!AC300</f>
        <v>187.45</v>
      </c>
      <c r="U552" s="9">
        <f>Quarts!AD300</f>
        <v>187.5</v>
      </c>
      <c r="V552" s="9">
        <f>Quarts!AE300</f>
        <v>184.876</v>
      </c>
      <c r="W552" s="9"/>
      <c r="X552" s="163" t="str">
        <f>D552</f>
        <v>EBITDA</v>
      </c>
      <c r="Y552" s="16">
        <f t="shared" si="111"/>
        <v>0.78238704292707117</v>
      </c>
      <c r="Z552" s="16">
        <f t="shared" si="111"/>
        <v>0.84038642052565704</v>
      </c>
      <c r="AA552" s="16">
        <f t="shared" si="111"/>
        <v>0.77483592124219625</v>
      </c>
      <c r="AB552" s="16">
        <f t="shared" si="111"/>
        <v>0.75075595103302217</v>
      </c>
      <c r="AC552" s="16"/>
      <c r="AD552" s="16">
        <f t="shared" si="112"/>
        <v>0.72531797759919003</v>
      </c>
      <c r="AE552" s="16">
        <f t="shared" si="112"/>
        <v>0.5200616300074381</v>
      </c>
      <c r="AF552" s="16">
        <f t="shared" si="112"/>
        <v>0.45300070350127175</v>
      </c>
      <c r="AG552" s="16">
        <f t="shared" si="112"/>
        <v>0.27595468344606666</v>
      </c>
      <c r="AH552" s="16"/>
      <c r="AI552" s="16">
        <f t="shared" si="113"/>
        <v>0.37501283687631126</v>
      </c>
      <c r="AJ552" s="16">
        <f t="shared" si="113"/>
        <v>0.31070302615114676</v>
      </c>
      <c r="AK552" s="16">
        <f t="shared" si="113"/>
        <v>0.14758535071384249</v>
      </c>
    </row>
    <row r="553" spans="2:37">
      <c r="X553" s="163"/>
    </row>
    <row r="554" spans="2:37">
      <c r="D554" t="s">
        <v>123</v>
      </c>
      <c r="E554" s="9"/>
      <c r="F554" s="9"/>
      <c r="G554" s="9"/>
      <c r="H554" s="9"/>
      <c r="J554" s="9">
        <v>2264.1616923076926</v>
      </c>
      <c r="K554" s="9">
        <v>2442.3232307692306</v>
      </c>
      <c r="L554" s="9">
        <v>2429.2106153846148</v>
      </c>
      <c r="M554" s="9">
        <v>2303.4633846153843</v>
      </c>
      <c r="N554" s="9"/>
      <c r="O554" s="9">
        <v>2220.5775384615386</v>
      </c>
      <c r="P554" s="9">
        <v>2022.8269230769231</v>
      </c>
      <c r="Q554" s="9">
        <v>2041.6072307692311</v>
      </c>
      <c r="R554" s="9">
        <v>2019.7140909090911</v>
      </c>
      <c r="S554" s="9"/>
      <c r="T554" s="9">
        <v>1892.9296363636363</v>
      </c>
      <c r="U554" s="9">
        <v>1767.5547692307694</v>
      </c>
      <c r="V554" s="9">
        <v>1902.8969696969698</v>
      </c>
      <c r="W554" s="9"/>
      <c r="X554" s="105" t="str">
        <f>D556</f>
        <v>Colombia, local*</v>
      </c>
      <c r="Y554" s="11"/>
      <c r="Z554" s="11"/>
      <c r="AA554" s="11"/>
      <c r="AB554" s="11"/>
      <c r="AC554" s="11"/>
      <c r="AD554" s="11"/>
      <c r="AE554" s="11"/>
      <c r="AF554" s="11"/>
      <c r="AG554" s="11"/>
      <c r="AH554" s="11"/>
      <c r="AI554" s="11"/>
      <c r="AJ554" s="11"/>
      <c r="AK554" s="11"/>
    </row>
    <row r="555" spans="2:37">
      <c r="D555" t="s">
        <v>1823</v>
      </c>
      <c r="E555" s="9"/>
      <c r="F555" s="9"/>
      <c r="G555" s="9"/>
      <c r="H555" s="9"/>
      <c r="J555" s="9"/>
      <c r="K555" s="9"/>
      <c r="L555" s="9"/>
      <c r="M555" s="9"/>
      <c r="N555" s="9"/>
      <c r="O555" s="9"/>
      <c r="P555" s="9"/>
      <c r="Q555" s="9"/>
      <c r="R555" s="9"/>
      <c r="S555" s="9"/>
      <c r="T555" s="9"/>
      <c r="U555" s="9"/>
      <c r="V555" s="9"/>
      <c r="W555" s="9"/>
      <c r="X555" s="163" t="str">
        <f>D557</f>
        <v>Revs</v>
      </c>
      <c r="Y555" s="16"/>
      <c r="Z555" s="16"/>
      <c r="AA555" s="16"/>
      <c r="AB555" s="16"/>
      <c r="AC555" s="16"/>
      <c r="AD555" s="16"/>
      <c r="AE555" s="16"/>
      <c r="AF555" s="16"/>
      <c r="AG555" s="16">
        <f>R557/M557-1</f>
        <v>0.26030515182390679</v>
      </c>
      <c r="AH555" s="16"/>
      <c r="AI555" s="16">
        <f t="shared" ref="AI555:AK556" si="114">T557/O557-1</f>
        <v>2.6087010709841207E-2</v>
      </c>
      <c r="AJ555" s="16">
        <f t="shared" si="114"/>
        <v>-3.7448138724294977E-2</v>
      </c>
      <c r="AK555" s="16">
        <f t="shared" si="114"/>
        <v>-4.3558268921428556E-2</v>
      </c>
    </row>
    <row r="556" spans="2:37">
      <c r="D556" s="11" t="s">
        <v>124</v>
      </c>
      <c r="E556" s="104" t="str">
        <f>E550</f>
        <v>Q1 05</v>
      </c>
      <c r="F556" s="104" t="str">
        <f>F550</f>
        <v>Q2 05</v>
      </c>
      <c r="G556" s="104" t="str">
        <f>G550</f>
        <v>Q3 05</v>
      </c>
      <c r="H556" s="104" t="str">
        <f>H550</f>
        <v>Q4 05</v>
      </c>
      <c r="J556" s="104" t="str">
        <f>J550</f>
        <v>Q1 06</v>
      </c>
      <c r="K556" s="104" t="str">
        <f>K550</f>
        <v>Q2 06</v>
      </c>
      <c r="L556" s="104" t="str">
        <f>L550</f>
        <v>Q3 06</v>
      </c>
      <c r="M556" s="104" t="str">
        <f>M550</f>
        <v>Q4 06</v>
      </c>
      <c r="N556" s="104"/>
      <c r="O556" s="104" t="str">
        <f>O550</f>
        <v>Q1 07</v>
      </c>
      <c r="P556" s="104" t="str">
        <f>P550</f>
        <v>Q2 07</v>
      </c>
      <c r="Q556" s="104" t="str">
        <f>Q550</f>
        <v>Q3 07</v>
      </c>
      <c r="R556" s="104" t="str">
        <f>R550</f>
        <v>Q4 07</v>
      </c>
      <c r="S556" s="104"/>
      <c r="T556" s="104" t="str">
        <f>T550</f>
        <v>Q1 08</v>
      </c>
      <c r="U556" s="104" t="str">
        <f>U550</f>
        <v>Q2 08</v>
      </c>
      <c r="V556" s="104" t="str">
        <f>V550</f>
        <v>Q3 08</v>
      </c>
      <c r="W556" s="104"/>
      <c r="X556" s="163" t="str">
        <f>D558</f>
        <v>EBITDA</v>
      </c>
      <c r="Y556" s="16"/>
      <c r="Z556" s="16"/>
      <c r="AA556" s="16"/>
      <c r="AB556" s="16"/>
      <c r="AC556" s="16"/>
      <c r="AD556" s="16"/>
      <c r="AE556" s="16"/>
      <c r="AF556" s="16"/>
      <c r="AG556" s="16">
        <f>R558/M558-1</f>
        <v>0.27031719572523549</v>
      </c>
      <c r="AH556" s="16"/>
      <c r="AI556" s="16">
        <f t="shared" si="114"/>
        <v>-0.41366456530866214</v>
      </c>
      <c r="AJ556" s="16">
        <f t="shared" si="114"/>
        <v>-0.53797510658766157</v>
      </c>
      <c r="AK556" s="16">
        <f t="shared" si="114"/>
        <v>-0.464392630596</v>
      </c>
    </row>
    <row r="557" spans="2:37">
      <c r="D557" t="s">
        <v>798</v>
      </c>
      <c r="E557" s="9"/>
      <c r="F557" s="9"/>
      <c r="G557" s="9"/>
      <c r="H557" s="9"/>
      <c r="J557" s="9">
        <f>Quarts!S222*J554</f>
        <v>0</v>
      </c>
      <c r="K557" s="9">
        <f>Quarts!T222*K554</f>
        <v>0</v>
      </c>
      <c r="L557" s="9">
        <f>Quarts!U222*L554</f>
        <v>0</v>
      </c>
      <c r="M557" s="9">
        <f>Quarts!V222*M554</f>
        <v>208029.46380603069</v>
      </c>
      <c r="N557" s="9"/>
      <c r="O557" s="9">
        <f>Quarts!X222*O554</f>
        <v>201083.65880287177</v>
      </c>
      <c r="P557" s="9">
        <f>Quarts!Y222*P554</f>
        <v>216685.94821769232</v>
      </c>
      <c r="Q557" s="9">
        <f>Quarts!Z222*Q554</f>
        <v>237404.94859414155</v>
      </c>
      <c r="R557" s="9">
        <f>Quarts!AA222*R554</f>
        <v>262180.60496590543</v>
      </c>
      <c r="S557" s="9"/>
      <c r="T557" s="9">
        <f>Quarts!AC222*T554</f>
        <v>206329.33036363634</v>
      </c>
      <c r="U557" s="9">
        <f>Quarts!AD222*U554</f>
        <v>208571.46276923077</v>
      </c>
      <c r="V557" s="9">
        <f>Quarts!AE222*V554</f>
        <v>227064</v>
      </c>
      <c r="W557" s="9"/>
      <c r="X557" s="315" t="s">
        <v>830</v>
      </c>
    </row>
    <row r="558" spans="2:37">
      <c r="D558" t="s">
        <v>360</v>
      </c>
      <c r="E558" s="9"/>
      <c r="F558" s="9"/>
      <c r="G558" s="9"/>
      <c r="H558" s="9"/>
      <c r="J558" s="9">
        <f>Quarts!S303*J554</f>
        <v>0</v>
      </c>
      <c r="K558" s="9">
        <f>Quarts!T303*K554</f>
        <v>0</v>
      </c>
      <c r="L558" s="9">
        <f>Quarts!U303*L554</f>
        <v>0</v>
      </c>
      <c r="M558" s="9">
        <f>Quarts!V303*M554</f>
        <v>31836.029230966149</v>
      </c>
      <c r="N558" s="9"/>
      <c r="O558" s="9">
        <f>Quarts!X303*O554</f>
        <v>42227.568348603068</v>
      </c>
      <c r="P558" s="9">
        <f>Quarts!Y303*P554</f>
        <v>54171.48705442308</v>
      </c>
      <c r="Q558" s="9">
        <f>Quarts!Z303*Q554</f>
        <v>59351.237148535387</v>
      </c>
      <c r="R558" s="9">
        <f>Quarts!AA303*R554</f>
        <v>40441.855375707542</v>
      </c>
      <c r="S558" s="9"/>
      <c r="T558" s="9">
        <f>Quarts!AC303*T554</f>
        <v>24759.519643636362</v>
      </c>
      <c r="U558" s="9">
        <f>Quarts!AD303*U554</f>
        <v>25028.575532307696</v>
      </c>
      <c r="V558" s="9">
        <f>Quarts!AE303*V554</f>
        <v>31788.960000000003</v>
      </c>
      <c r="W558" s="9"/>
      <c r="X558" s="105" t="str">
        <f>D560</f>
        <v>Bolivia/Paraguay, $**</v>
      </c>
      <c r="Y558" s="11"/>
      <c r="Z558" s="11"/>
      <c r="AA558" s="11"/>
      <c r="AB558" s="11"/>
      <c r="AC558" s="11"/>
      <c r="AD558" s="11"/>
      <c r="AE558" s="11"/>
      <c r="AF558" s="11"/>
      <c r="AG558" s="11"/>
      <c r="AH558" s="11"/>
      <c r="AI558" s="11"/>
      <c r="AJ558" s="11"/>
      <c r="AK558" s="11"/>
    </row>
    <row r="559" spans="2:37">
      <c r="X559" s="163" t="str">
        <f>D561</f>
        <v>Revs</v>
      </c>
      <c r="Y559" s="16">
        <f t="shared" ref="Y559:AB560" si="115">J561/E561-1</f>
        <v>0.43186696997853313</v>
      </c>
      <c r="Z559" s="16">
        <f t="shared" si="115"/>
        <v>0.54144324955815826</v>
      </c>
      <c r="AA559" s="16">
        <f t="shared" si="115"/>
        <v>0.70324203160024057</v>
      </c>
      <c r="AB559" s="16">
        <f t="shared" si="115"/>
        <v>0.80000000000000027</v>
      </c>
      <c r="AC559" s="16"/>
      <c r="AD559" s="16">
        <f t="shared" ref="AD559:AG560" si="116">O561/J561-1</f>
        <v>0.71972104124711</v>
      </c>
      <c r="AE559" s="16">
        <f t="shared" si="116"/>
        <v>0.58000000000000007</v>
      </c>
      <c r="AF559" s="16">
        <f t="shared" si="116"/>
        <v>0.58000000000000007</v>
      </c>
      <c r="AG559" s="16">
        <f t="shared" si="116"/>
        <v>0.52</v>
      </c>
      <c r="AH559" s="16"/>
      <c r="AI559" s="16">
        <f t="shared" ref="AI559:AK560" si="117">T561/O561-1</f>
        <v>0.59556390227399869</v>
      </c>
      <c r="AJ559" s="16">
        <f t="shared" si="117"/>
        <v>0.6740209909421031</v>
      </c>
      <c r="AK559" s="16">
        <f t="shared" si="117"/>
        <v>0.56523949985320732</v>
      </c>
    </row>
    <row r="560" spans="2:37">
      <c r="D560" s="11" t="s">
        <v>831</v>
      </c>
      <c r="E560" s="11"/>
      <c r="F560" s="11"/>
      <c r="G560" s="11"/>
      <c r="H560" s="11"/>
      <c r="J560" s="11"/>
      <c r="K560" s="11"/>
      <c r="L560" s="11"/>
      <c r="M560" s="11"/>
      <c r="N560" s="11"/>
      <c r="O560" s="11"/>
      <c r="P560" s="11"/>
      <c r="Q560" s="11"/>
      <c r="R560" s="11"/>
      <c r="S560" s="11"/>
      <c r="T560" s="11"/>
      <c r="U560" s="11"/>
      <c r="V560" s="11"/>
      <c r="W560" s="11"/>
      <c r="X560" s="163" t="str">
        <f>D562</f>
        <v>EBITDA</v>
      </c>
      <c r="Y560" s="16">
        <f t="shared" si="115"/>
        <v>0.500929292929293</v>
      </c>
      <c r="Z560" s="16">
        <f t="shared" si="115"/>
        <v>0.6227016070652962</v>
      </c>
      <c r="AA560" s="16">
        <f t="shared" si="115"/>
        <v>1.0088439224564878</v>
      </c>
      <c r="AB560" s="16">
        <f t="shared" si="115"/>
        <v>1.0899999999999999</v>
      </c>
      <c r="AC560" s="16"/>
      <c r="AD560" s="16">
        <f t="shared" si="116"/>
        <v>0.9800000000000002</v>
      </c>
      <c r="AE560" s="16">
        <f t="shared" si="116"/>
        <v>0.73701418629550308</v>
      </c>
      <c r="AF560" s="16">
        <f t="shared" si="116"/>
        <v>0.78667840664952626</v>
      </c>
      <c r="AG560" s="16">
        <f t="shared" si="116"/>
        <v>0.59000000000000008</v>
      </c>
      <c r="AH560" s="16"/>
      <c r="AI560" s="16">
        <f t="shared" si="117"/>
        <v>0.6129856767306967</v>
      </c>
      <c r="AJ560" s="16">
        <f t="shared" si="117"/>
        <v>0.74813563788189685</v>
      </c>
      <c r="AK560" s="16">
        <f t="shared" si="117"/>
        <v>0.57484255086849512</v>
      </c>
    </row>
    <row r="561" spans="1:24">
      <c r="D561" t="str">
        <f>D557</f>
        <v>Revs</v>
      </c>
      <c r="E561" s="9">
        <f>Quarts!O226</f>
        <v>31.210999999999999</v>
      </c>
      <c r="F561" s="9">
        <f>Quarts!P226</f>
        <v>33.383000000000003</v>
      </c>
      <c r="G561" s="9">
        <f>Quarts!Q226</f>
        <v>36.582000000000001</v>
      </c>
      <c r="H561" s="9">
        <f>Quarts!R226</f>
        <v>40.018000000000001</v>
      </c>
      <c r="J561" s="9">
        <f>Quarts!S226</f>
        <v>44.69</v>
      </c>
      <c r="K561" s="9">
        <f>Quarts!T226</f>
        <v>51.457999999999998</v>
      </c>
      <c r="L561" s="9">
        <f>Quarts!U226</f>
        <v>62.308</v>
      </c>
      <c r="M561" s="9">
        <f>Quarts!V226</f>
        <v>72.03240000000001</v>
      </c>
      <c r="N561" s="9"/>
      <c r="O561" s="9">
        <f>Quarts!X226</f>
        <v>76.854333333333344</v>
      </c>
      <c r="P561" s="9">
        <f>Quarts!Y226</f>
        <v>81.303640000000001</v>
      </c>
      <c r="Q561" s="9">
        <f>Quarts!Z226</f>
        <v>98.446640000000002</v>
      </c>
      <c r="R561" s="9">
        <f>Quarts!AA226</f>
        <v>109.48924800000002</v>
      </c>
      <c r="S561" s="9"/>
      <c r="T561" s="9">
        <f>Quarts!AC226</f>
        <v>122.626</v>
      </c>
      <c r="U561" s="9">
        <f>Quarts!AD226</f>
        <v>136.10400000000001</v>
      </c>
      <c r="V561" s="9">
        <f>Quarts!AE226</f>
        <v>154.09256955582876</v>
      </c>
      <c r="W561" s="9"/>
      <c r="X561" t="s">
        <v>832</v>
      </c>
    </row>
    <row r="562" spans="1:24">
      <c r="D562" t="str">
        <f>D558</f>
        <v>EBITDA</v>
      </c>
      <c r="E562" s="9">
        <f>Quarts!O304</f>
        <v>12.375</v>
      </c>
      <c r="F562" s="9">
        <f>Quarts!P304</f>
        <v>13.814</v>
      </c>
      <c r="G562" s="9">
        <f>Quarts!Q304</f>
        <v>14.134</v>
      </c>
      <c r="H562" s="9">
        <f>Quarts!R304</f>
        <v>16.634</v>
      </c>
      <c r="J562" s="9">
        <f>Quarts!S304</f>
        <v>18.574000000000002</v>
      </c>
      <c r="K562" s="9">
        <f>Quarts!T304</f>
        <v>22.416</v>
      </c>
      <c r="L562" s="9">
        <f>Quarts!U304</f>
        <v>28.393000000000001</v>
      </c>
      <c r="M562" s="9">
        <f>Quarts!V304</f>
        <v>34.765059999999998</v>
      </c>
      <c r="N562" s="9"/>
      <c r="O562" s="9">
        <f>Quarts!X304</f>
        <v>36.776520000000005</v>
      </c>
      <c r="P562" s="9">
        <f>Quarts!Y304</f>
        <v>38.936909999999997</v>
      </c>
      <c r="Q562" s="9">
        <f>Quarts!Z304</f>
        <v>50.72916</v>
      </c>
      <c r="R562" s="9">
        <f>Quarts!AA304</f>
        <v>55.2764454</v>
      </c>
      <c r="S562" s="9"/>
      <c r="T562" s="9">
        <f>Quarts!AC304</f>
        <v>59.320000000000007</v>
      </c>
      <c r="U562" s="9">
        <f>Quarts!AD304</f>
        <v>68.067000000000007</v>
      </c>
      <c r="V562" s="9">
        <f>Quarts!AE304</f>
        <v>79.890439737816024</v>
      </c>
      <c r="W562" s="9"/>
    </row>
    <row r="564" spans="1:24">
      <c r="D564" s="2" t="s">
        <v>2382</v>
      </c>
    </row>
    <row r="565" spans="1:24">
      <c r="A565" t="s">
        <v>1823</v>
      </c>
      <c r="B565" t="s">
        <v>1823</v>
      </c>
    </row>
    <row r="566" spans="1:24">
      <c r="B566">
        <v>1.43</v>
      </c>
      <c r="D566" t="s">
        <v>1624</v>
      </c>
      <c r="G566" t="s">
        <v>327</v>
      </c>
    </row>
    <row r="567" spans="1:24">
      <c r="D567" s="11" t="s">
        <v>1626</v>
      </c>
      <c r="E567" s="104" t="s">
        <v>1619</v>
      </c>
      <c r="F567" s="104" t="s">
        <v>1620</v>
      </c>
      <c r="G567" s="104" t="str">
        <f>E567</f>
        <v>peak</v>
      </c>
      <c r="H567" s="104" t="str">
        <f>F567</f>
        <v>off-peak</v>
      </c>
    </row>
    <row r="568" spans="1:24">
      <c r="D568" t="s">
        <v>1621</v>
      </c>
      <c r="E568">
        <f>0.15/60</f>
        <v>2.5000000000000001E-3</v>
      </c>
      <c r="F568">
        <f>0.102/60</f>
        <v>1.6999999999999999E-3</v>
      </c>
      <c r="G568" s="7">
        <f>E568*100*60/$B$566</f>
        <v>10.48951048951049</v>
      </c>
      <c r="H568" s="7">
        <f>F568*100*60/$B$566</f>
        <v>7.1328671328671325</v>
      </c>
      <c r="J568" t="s">
        <v>1628</v>
      </c>
      <c r="W568" t="s">
        <v>1823</v>
      </c>
    </row>
    <row r="569" spans="1:24">
      <c r="D569" t="s">
        <v>1622</v>
      </c>
      <c r="E569">
        <f>0.192/60</f>
        <v>3.2000000000000002E-3</v>
      </c>
      <c r="F569">
        <f>0.192/60</f>
        <v>3.2000000000000002E-3</v>
      </c>
      <c r="G569" s="7">
        <f>E569*100*60/$B$566</f>
        <v>13.426573426573427</v>
      </c>
      <c r="H569" s="7">
        <f>F569*100*60/$B$566</f>
        <v>13.426573426573427</v>
      </c>
      <c r="J569" t="s">
        <v>1629</v>
      </c>
      <c r="O569" s="6" t="s">
        <v>1619</v>
      </c>
      <c r="Q569" s="6" t="s">
        <v>1620</v>
      </c>
    </row>
    <row r="570" spans="1:24">
      <c r="D570" t="s">
        <v>1618</v>
      </c>
      <c r="G570" s="101"/>
      <c r="H570" s="101"/>
      <c r="N570" s="11"/>
      <c r="O570" s="104" t="s">
        <v>1621</v>
      </c>
      <c r="P570" s="104" t="s">
        <v>1622</v>
      </c>
      <c r="Q570" s="104" t="s">
        <v>1621</v>
      </c>
      <c r="R570" s="104" t="s">
        <v>1622</v>
      </c>
    </row>
    <row r="571" spans="1:24">
      <c r="G571" s="101"/>
      <c r="H571" s="101"/>
      <c r="N571" t="s">
        <v>887</v>
      </c>
      <c r="O571" s="7">
        <f>G568</f>
        <v>10.48951048951049</v>
      </c>
      <c r="P571" s="7">
        <f>G569</f>
        <v>13.426573426573427</v>
      </c>
      <c r="Q571" s="7">
        <f>H568</f>
        <v>7.1328671328671325</v>
      </c>
      <c r="R571" s="7">
        <f>H569</f>
        <v>13.426573426573427</v>
      </c>
    </row>
    <row r="572" spans="1:24">
      <c r="D572" t="s">
        <v>1623</v>
      </c>
      <c r="E572">
        <v>4.0300000000000002E-2</v>
      </c>
      <c r="F572">
        <v>4.0300000000000002E-2</v>
      </c>
      <c r="G572" s="7">
        <f>E572*100/$B$566</f>
        <v>2.8181818181818183</v>
      </c>
      <c r="H572" s="7">
        <f>F572*100/$B$566</f>
        <v>2.8181818181818183</v>
      </c>
      <c r="N572" t="s">
        <v>849</v>
      </c>
      <c r="O572" s="7">
        <f>G575</f>
        <v>5.594405594405595</v>
      </c>
      <c r="P572" s="7">
        <f>G576</f>
        <v>5.594405594405595</v>
      </c>
      <c r="Q572" s="7">
        <f>H575</f>
        <v>0.69930069930069938</v>
      </c>
      <c r="R572" s="7">
        <f>H576</f>
        <v>5.594405594405595</v>
      </c>
      <c r="S572" s="16">
        <f>Q572/Q573-1</f>
        <v>-0.90196078431372551</v>
      </c>
      <c r="T572" s="16">
        <f>R572/R573-1</f>
        <v>-0.42028985507246364</v>
      </c>
    </row>
    <row r="573" spans="1:24">
      <c r="N573" t="s">
        <v>1284</v>
      </c>
      <c r="O573" s="7">
        <f>G583</f>
        <v>9.65034965034965</v>
      </c>
      <c r="P573" s="7">
        <f>G584</f>
        <v>9.65034965034965</v>
      </c>
      <c r="Q573" s="7">
        <f>H583</f>
        <v>7.1328671328671325</v>
      </c>
      <c r="R573" s="7">
        <f>H584</f>
        <v>9.65034965034965</v>
      </c>
    </row>
    <row r="574" spans="1:24">
      <c r="D574" s="11" t="s">
        <v>1630</v>
      </c>
      <c r="E574" s="104" t="s">
        <v>1619</v>
      </c>
      <c r="F574" s="104" t="s">
        <v>1620</v>
      </c>
      <c r="G574" s="104" t="s">
        <v>1631</v>
      </c>
      <c r="H574" s="104"/>
      <c r="J574" s="163" t="s">
        <v>1633</v>
      </c>
      <c r="N574" s="11" t="s">
        <v>1725</v>
      </c>
      <c r="O574" s="14">
        <f>G589</f>
        <v>5.594405594405595</v>
      </c>
      <c r="P574" s="14">
        <f>G590</f>
        <v>5.594405594405595</v>
      </c>
      <c r="Q574" s="14">
        <f>H589</f>
        <v>5.594405594405595</v>
      </c>
      <c r="R574" s="14">
        <f>H590</f>
        <v>5.594405594405595</v>
      </c>
    </row>
    <row r="575" spans="1:24">
      <c r="D575" s="21" t="s">
        <v>1621</v>
      </c>
      <c r="E575" s="21">
        <v>8</v>
      </c>
      <c r="F575" s="21">
        <v>1</v>
      </c>
      <c r="G575" s="7">
        <f>E575/$B$566</f>
        <v>5.594405594405595</v>
      </c>
      <c r="H575" s="7">
        <f>F575/$B$566</f>
        <v>0.69930069930069938</v>
      </c>
      <c r="N575" t="s">
        <v>1722</v>
      </c>
      <c r="O575" s="7">
        <f>AVERAGE(O571:O574)</f>
        <v>7.8321678321678334</v>
      </c>
      <c r="P575" s="7">
        <f>AVERAGE(P571:P574)</f>
        <v>8.5664335664335667</v>
      </c>
      <c r="Q575" s="7">
        <f>AVERAGE(Q571:Q574)</f>
        <v>5.13986013986014</v>
      </c>
      <c r="R575" s="7">
        <f>AVERAGE(R571:R574)</f>
        <v>8.5664335664335667</v>
      </c>
      <c r="S575" s="7"/>
    </row>
    <row r="576" spans="1:24">
      <c r="D576" s="21" t="s">
        <v>1622</v>
      </c>
      <c r="E576" s="21">
        <v>8</v>
      </c>
      <c r="F576" s="21">
        <v>8</v>
      </c>
      <c r="G576" s="7">
        <f>E576/$B$566</f>
        <v>5.594405594405595</v>
      </c>
      <c r="H576" s="7">
        <f>F576/$B$566</f>
        <v>5.594405594405595</v>
      </c>
    </row>
    <row r="578" spans="4:8">
      <c r="D578" t="s">
        <v>1623</v>
      </c>
    </row>
    <row r="579" spans="4:8">
      <c r="D579" t="s">
        <v>1621</v>
      </c>
      <c r="E579">
        <v>4</v>
      </c>
      <c r="F579">
        <v>4</v>
      </c>
      <c r="G579" s="7">
        <f>E579/$B$566</f>
        <v>2.7972027972027975</v>
      </c>
      <c r="H579" s="7">
        <f>F579/$B$566</f>
        <v>2.7972027972027975</v>
      </c>
    </row>
    <row r="580" spans="4:8">
      <c r="D580" t="s">
        <v>1622</v>
      </c>
      <c r="E580">
        <v>5</v>
      </c>
      <c r="F580">
        <v>5</v>
      </c>
      <c r="G580" s="7">
        <f>E580/$B$566</f>
        <v>3.4965034965034967</v>
      </c>
      <c r="H580" s="7">
        <f>F580/$B$566</f>
        <v>3.4965034965034967</v>
      </c>
    </row>
    <row r="582" spans="4:8">
      <c r="D582" s="11" t="s">
        <v>1632</v>
      </c>
      <c r="E582" s="104" t="s">
        <v>1619</v>
      </c>
      <c r="F582" s="104" t="s">
        <v>1620</v>
      </c>
      <c r="G582" s="104" t="s">
        <v>1631</v>
      </c>
      <c r="H582" s="104"/>
    </row>
    <row r="583" spans="4:8">
      <c r="D583" s="21" t="s">
        <v>1621</v>
      </c>
      <c r="E583">
        <v>2.3E-3</v>
      </c>
      <c r="F583">
        <v>1.6999999999999999E-3</v>
      </c>
      <c r="G583" s="7">
        <f>E583*100*60/$B$566</f>
        <v>9.65034965034965</v>
      </c>
      <c r="H583" s="7">
        <f>F583*100*60/$B$566</f>
        <v>7.1328671328671325</v>
      </c>
    </row>
    <row r="584" spans="4:8">
      <c r="D584" s="21" t="s">
        <v>1622</v>
      </c>
      <c r="E584">
        <v>2.3E-3</v>
      </c>
      <c r="F584">
        <v>2.3E-3</v>
      </c>
      <c r="G584" s="7">
        <f>E584*100*60/$B$566</f>
        <v>9.65034965034965</v>
      </c>
      <c r="H584" s="7">
        <f>F584*100*60/$B$566</f>
        <v>9.65034965034965</v>
      </c>
    </row>
    <row r="586" spans="4:8">
      <c r="D586" t="s">
        <v>1623</v>
      </c>
      <c r="E586">
        <v>4.0000000000000001E-3</v>
      </c>
      <c r="F586">
        <v>5.0000000000000001E-3</v>
      </c>
      <c r="G586" s="7"/>
      <c r="H586" s="7"/>
    </row>
    <row r="588" spans="4:8">
      <c r="D588" s="11" t="s">
        <v>1725</v>
      </c>
      <c r="E588" s="104" t="str">
        <f>E582</f>
        <v>peak</v>
      </c>
      <c r="F588" s="104" t="str">
        <f>F582</f>
        <v>off-peak</v>
      </c>
      <c r="G588" s="104" t="str">
        <f>G582</f>
        <v>per min, $</v>
      </c>
      <c r="H588" s="104"/>
    </row>
    <row r="589" spans="4:8">
      <c r="D589" s="21" t="s">
        <v>1621</v>
      </c>
      <c r="E589" s="21">
        <v>8</v>
      </c>
      <c r="F589" s="21">
        <v>8</v>
      </c>
      <c r="G589" s="7">
        <f>E589/$B$566</f>
        <v>5.594405594405595</v>
      </c>
      <c r="H589" s="7">
        <f>F589/$B$566</f>
        <v>5.594405594405595</v>
      </c>
    </row>
    <row r="590" spans="4:8">
      <c r="D590" s="21" t="s">
        <v>1622</v>
      </c>
      <c r="E590" s="21">
        <v>8</v>
      </c>
      <c r="F590" s="21">
        <v>8</v>
      </c>
      <c r="G590" s="7">
        <f>E590/$B$566</f>
        <v>5.594405594405595</v>
      </c>
      <c r="H590" s="7">
        <f>F590/$B$566</f>
        <v>5.594405594405595</v>
      </c>
    </row>
    <row r="592" spans="4:8">
      <c r="E592" t="s">
        <v>1970</v>
      </c>
      <c r="H592" t="s">
        <v>1971</v>
      </c>
    </row>
    <row r="593" spans="2:19">
      <c r="D593" s="11"/>
      <c r="E593" s="423" t="s">
        <v>329</v>
      </c>
      <c r="F593" s="423" t="s">
        <v>330</v>
      </c>
      <c r="H593" s="423" t="s">
        <v>329</v>
      </c>
      <c r="I593" s="423" t="s">
        <v>330</v>
      </c>
    </row>
    <row r="594" spans="2:19">
      <c r="D594" t="s">
        <v>887</v>
      </c>
      <c r="E594" s="101">
        <v>0.114</v>
      </c>
      <c r="F594" s="101">
        <f>AVERAGE(E568:F568)*60</f>
        <v>0.126</v>
      </c>
      <c r="H594" s="101">
        <v>0.16200000000000001</v>
      </c>
      <c r="I594" s="101">
        <f>AVERAGE(E569:F569)*60</f>
        <v>0.192</v>
      </c>
    </row>
    <row r="595" spans="2:19">
      <c r="D595" t="s">
        <v>849</v>
      </c>
      <c r="E595" s="101">
        <f>F595</f>
        <v>4.4999999999999998E-2</v>
      </c>
      <c r="F595" s="101">
        <f>AVERAGE(E575:F575)/100</f>
        <v>4.4999999999999998E-2</v>
      </c>
      <c r="H595" s="101">
        <f>I595</f>
        <v>0.08</v>
      </c>
      <c r="I595" s="101">
        <f>AVERAGE(E576:F576)/100</f>
        <v>0.08</v>
      </c>
    </row>
    <row r="596" spans="2:19">
      <c r="D596" t="s">
        <v>1284</v>
      </c>
      <c r="E596" s="101">
        <v>0.11699999999999999</v>
      </c>
      <c r="F596" s="101">
        <f>AVERAGE(E583:F583)*60</f>
        <v>0.12</v>
      </c>
      <c r="H596" s="101">
        <v>0.16200000000000001</v>
      </c>
      <c r="I596" s="101">
        <f>AVERAGE(E584:F584)*60</f>
        <v>0.13800000000000001</v>
      </c>
    </row>
    <row r="597" spans="2:19">
      <c r="D597" t="s">
        <v>1725</v>
      </c>
      <c r="E597" s="101">
        <v>0.11699999999999999</v>
      </c>
      <c r="F597" s="101">
        <f>AVERAGE(E589:F589)/100</f>
        <v>0.08</v>
      </c>
      <c r="H597" s="101">
        <v>0.15240000000000001</v>
      </c>
      <c r="I597" s="101">
        <f>AVERAGE(E590:F590)*60</f>
        <v>480</v>
      </c>
    </row>
    <row r="598" spans="2:19">
      <c r="E598" t="s">
        <v>328</v>
      </c>
    </row>
    <row r="602" spans="2:19">
      <c r="B602">
        <v>1455</v>
      </c>
      <c r="D602" s="2" t="s">
        <v>578</v>
      </c>
      <c r="N602" s="2" t="s">
        <v>713</v>
      </c>
    </row>
    <row r="603" spans="2:19">
      <c r="D603" t="s">
        <v>1624</v>
      </c>
      <c r="G603" t="s">
        <v>1625</v>
      </c>
      <c r="N603" s="23" t="s">
        <v>1130</v>
      </c>
      <c r="O603" s="23">
        <v>2005</v>
      </c>
      <c r="P603" s="23">
        <f>O603+1</f>
        <v>2006</v>
      </c>
      <c r="Q603" s="23">
        <f>P603+1</f>
        <v>2007</v>
      </c>
      <c r="R603" s="23">
        <f>Q603+1</f>
        <v>2008</v>
      </c>
      <c r="S603" s="96" t="s">
        <v>1129</v>
      </c>
    </row>
    <row r="604" spans="2:19">
      <c r="D604" s="11" t="s">
        <v>1626</v>
      </c>
      <c r="E604" s="104" t="s">
        <v>1619</v>
      </c>
      <c r="F604" s="104" t="s">
        <v>1620</v>
      </c>
      <c r="G604" s="104" t="s">
        <v>1627</v>
      </c>
      <c r="H604" s="104"/>
      <c r="N604" t="str">
        <f>N571</f>
        <v>Tigo</v>
      </c>
      <c r="O604" t="e">
        <f>#REF!</f>
        <v>#REF!</v>
      </c>
      <c r="P604" t="e">
        <f>#REF!</f>
        <v>#REF!</v>
      </c>
      <c r="Q604" t="e">
        <f>#REF!</f>
        <v>#REF!</v>
      </c>
      <c r="R604" t="e">
        <f>#REF!</f>
        <v>#REF!</v>
      </c>
    </row>
    <row r="605" spans="2:19">
      <c r="D605" t="s">
        <v>1621</v>
      </c>
      <c r="E605">
        <v>1.25</v>
      </c>
      <c r="F605" s="7">
        <f>((1*1)+(0.5*9))/10</f>
        <v>0.55000000000000004</v>
      </c>
      <c r="G605" s="7">
        <f>E605*60*100/$B$602</f>
        <v>5.1546391752577323</v>
      </c>
      <c r="H605" s="7">
        <f>F605*60*100/$B$602</f>
        <v>2.268041237113402</v>
      </c>
      <c r="N605" t="str">
        <f>N572</f>
        <v>Zain</v>
      </c>
      <c r="R605" s="9">
        <v>133.5</v>
      </c>
    </row>
    <row r="606" spans="2:19">
      <c r="D606" t="s">
        <v>1622</v>
      </c>
      <c r="E606">
        <v>6</v>
      </c>
      <c r="F606">
        <v>6</v>
      </c>
      <c r="G606" s="7">
        <f>E606*60*100/$B$602</f>
        <v>24.742268041237114</v>
      </c>
      <c r="H606" s="7">
        <f>F606*60*100/$B$602</f>
        <v>24.742268041237114</v>
      </c>
      <c r="I606" s="7"/>
      <c r="N606" t="str">
        <f>N573</f>
        <v>MTN</v>
      </c>
      <c r="O606" s="9" t="e">
        <f>#REF!</f>
        <v>#REF!</v>
      </c>
      <c r="P606" s="9" t="e">
        <f>#REF!</f>
        <v>#REF!</v>
      </c>
      <c r="Q606" s="9" t="e">
        <f>#REF!</f>
        <v>#REF!</v>
      </c>
      <c r="R606" s="9" t="e">
        <f>#REF!</f>
        <v>#REF!</v>
      </c>
    </row>
    <row r="607" spans="2:19">
      <c r="G607" s="101"/>
      <c r="H607" s="101"/>
      <c r="N607" t="str">
        <f>N574</f>
        <v>Vodafone</v>
      </c>
    </row>
    <row r="608" spans="2:19">
      <c r="D608" t="s">
        <v>1623</v>
      </c>
      <c r="E608">
        <v>37</v>
      </c>
      <c r="F608">
        <v>37</v>
      </c>
      <c r="G608" s="7">
        <f>E608*100/$B$602</f>
        <v>2.5429553264604809</v>
      </c>
      <c r="H608" s="7">
        <f>F608*100/$B$602</f>
        <v>2.5429553264604809</v>
      </c>
      <c r="O608">
        <v>50</v>
      </c>
      <c r="Q608">
        <v>50</v>
      </c>
    </row>
    <row r="609" spans="2:19">
      <c r="G609" s="7"/>
      <c r="H609" s="7"/>
      <c r="O609" s="6" t="s">
        <v>1619</v>
      </c>
      <c r="Q609" s="6" t="s">
        <v>1620</v>
      </c>
    </row>
    <row r="610" spans="2:19">
      <c r="D610" s="11" t="s">
        <v>1880</v>
      </c>
      <c r="E610" s="104" t="str">
        <f>E604</f>
        <v>peak</v>
      </c>
      <c r="F610" s="104" t="str">
        <f>F604</f>
        <v>off-peak</v>
      </c>
      <c r="G610" s="104" t="str">
        <f>G604</f>
        <v>per min</v>
      </c>
      <c r="H610" s="11"/>
      <c r="N610" s="23" t="s">
        <v>578</v>
      </c>
      <c r="O610" s="104" t="s">
        <v>1621</v>
      </c>
      <c r="P610" s="104" t="s">
        <v>1622</v>
      </c>
      <c r="Q610" s="104" t="s">
        <v>1621</v>
      </c>
      <c r="R610" s="104" t="s">
        <v>1622</v>
      </c>
    </row>
    <row r="611" spans="2:19">
      <c r="D611" t="str">
        <f>D605</f>
        <v>on-net</v>
      </c>
      <c r="E611">
        <v>1</v>
      </c>
      <c r="F611" s="101">
        <f>1/60</f>
        <v>1.6666666666666666E-2</v>
      </c>
      <c r="G611" s="7">
        <f>E611*60*100/$B$602</f>
        <v>4.1237113402061851</v>
      </c>
      <c r="H611" s="7">
        <f>F611*60*100/$B$602</f>
        <v>6.8728522336769765E-2</v>
      </c>
      <c r="J611" t="s">
        <v>1635</v>
      </c>
      <c r="N611" t="s">
        <v>887</v>
      </c>
      <c r="O611" s="7">
        <f>G605</f>
        <v>5.1546391752577323</v>
      </c>
      <c r="P611" s="7">
        <f>G606</f>
        <v>24.742268041237114</v>
      </c>
      <c r="Q611" s="7">
        <f>H605</f>
        <v>2.268041237113402</v>
      </c>
      <c r="R611" s="7">
        <f>H606</f>
        <v>24.742268041237114</v>
      </c>
      <c r="S611" s="7" t="e">
        <v>#NAME?</v>
      </c>
    </row>
    <row r="612" spans="2:19">
      <c r="D612" t="str">
        <f>D606</f>
        <v>off-net</v>
      </c>
      <c r="E612">
        <v>6</v>
      </c>
      <c r="F612">
        <v>6</v>
      </c>
      <c r="G612" s="7">
        <f>E612*60*100/$B$602</f>
        <v>24.742268041237114</v>
      </c>
      <c r="H612" s="7">
        <f>F612*60*100/$B$602</f>
        <v>24.742268041237114</v>
      </c>
      <c r="N612" t="s">
        <v>849</v>
      </c>
      <c r="O612" s="7">
        <f>G611</f>
        <v>4.1237113402061851</v>
      </c>
      <c r="P612" s="7">
        <f>G612</f>
        <v>24.742268041237114</v>
      </c>
      <c r="Q612" s="101">
        <f>H611</f>
        <v>6.8728522336769765E-2</v>
      </c>
      <c r="R612" s="7">
        <f>H612</f>
        <v>24.742268041237114</v>
      </c>
      <c r="S612" s="7" t="e">
        <v>#NAME?</v>
      </c>
    </row>
    <row r="613" spans="2:19">
      <c r="N613" s="21" t="s">
        <v>922</v>
      </c>
      <c r="O613" s="7">
        <f>G615</f>
        <v>4.1237113402061851</v>
      </c>
      <c r="P613" s="7">
        <f>G616</f>
        <v>12.371134020618557</v>
      </c>
      <c r="Q613" s="7">
        <f>H615</f>
        <v>4.1237113402061851</v>
      </c>
      <c r="R613" s="7">
        <f>H616</f>
        <v>12.371134020618557</v>
      </c>
      <c r="S613" s="7" t="e">
        <v>#NAME?</v>
      </c>
    </row>
    <row r="614" spans="2:19">
      <c r="D614" s="11" t="s">
        <v>922</v>
      </c>
      <c r="E614" s="104" t="str">
        <f>E610</f>
        <v>peak</v>
      </c>
      <c r="F614" s="104" t="str">
        <f>F610</f>
        <v>off-peak</v>
      </c>
      <c r="G614" s="104" t="str">
        <f>G610</f>
        <v>per min</v>
      </c>
      <c r="H614" s="11"/>
      <c r="N614" s="11" t="s">
        <v>781</v>
      </c>
      <c r="O614" s="14">
        <f>G619</f>
        <v>14.845360824742269</v>
      </c>
      <c r="P614" s="14">
        <f>G620</f>
        <v>17.319587628865978</v>
      </c>
      <c r="Q614" s="14">
        <f>H619</f>
        <v>14.845360824742269</v>
      </c>
      <c r="R614" s="14">
        <f>H620</f>
        <v>17.319587628865978</v>
      </c>
      <c r="S614" s="14" t="e">
        <v>#NAME?</v>
      </c>
    </row>
    <row r="615" spans="2:19">
      <c r="D615" t="s">
        <v>1621</v>
      </c>
      <c r="E615">
        <v>1</v>
      </c>
      <c r="F615">
        <v>1</v>
      </c>
      <c r="G615" s="7">
        <f>E615*60*100/$B$602</f>
        <v>4.1237113402061851</v>
      </c>
      <c r="H615" s="7">
        <f>F615*60*100/$B$602</f>
        <v>4.1237113402061851</v>
      </c>
      <c r="J615" t="s">
        <v>1634</v>
      </c>
      <c r="N615" s="21" t="s">
        <v>1722</v>
      </c>
      <c r="O615" s="7">
        <f>AVERAGE(O611:O613)</f>
        <v>4.4673539518900336</v>
      </c>
      <c r="P615" s="7">
        <f>AVERAGE(P611:P613)</f>
        <v>20.618556701030929</v>
      </c>
      <c r="Q615" s="7">
        <f>AVERAGE(Q611:Q613)</f>
        <v>2.1534936998854524</v>
      </c>
      <c r="R615" s="7">
        <f>AVERAGE(R611:R613)</f>
        <v>20.618556701030929</v>
      </c>
      <c r="S615" s="7" t="e">
        <v>#NAME?</v>
      </c>
    </row>
    <row r="616" spans="2:19">
      <c r="D616" t="s">
        <v>1622</v>
      </c>
      <c r="E616">
        <v>3</v>
      </c>
      <c r="F616">
        <v>3</v>
      </c>
      <c r="G616" s="7">
        <f>E616*60*100/$B$602</f>
        <v>12.371134020618557</v>
      </c>
      <c r="H616" s="7">
        <f>F616*60*100/$B$602</f>
        <v>12.371134020618557</v>
      </c>
      <c r="N616" s="21"/>
      <c r="O616">
        <f>70%*O608</f>
        <v>35</v>
      </c>
      <c r="P616">
        <f>30%*O608</f>
        <v>15</v>
      </c>
      <c r="Q616">
        <f>70%*Q608</f>
        <v>35</v>
      </c>
      <c r="R616">
        <f>30%*Q608</f>
        <v>15</v>
      </c>
    </row>
    <row r="618" spans="2:19">
      <c r="D618" s="11" t="s">
        <v>1201</v>
      </c>
      <c r="E618" s="104" t="str">
        <f>E614</f>
        <v>peak</v>
      </c>
      <c r="F618" s="104" t="str">
        <f>F614</f>
        <v>off-peak</v>
      </c>
      <c r="G618" s="104" t="str">
        <f>G614</f>
        <v>per min</v>
      </c>
      <c r="H618" s="11"/>
    </row>
    <row r="619" spans="2:19">
      <c r="D619" t="s">
        <v>1621</v>
      </c>
      <c r="E619">
        <v>3.6</v>
      </c>
      <c r="F619">
        <v>3.6</v>
      </c>
      <c r="G619" s="7">
        <f>E619*60*100/$B$602</f>
        <v>14.845360824742269</v>
      </c>
      <c r="H619" s="7">
        <f>F619*60*100/$B$602</f>
        <v>14.845360824742269</v>
      </c>
    </row>
    <row r="620" spans="2:19">
      <c r="D620" t="s">
        <v>1622</v>
      </c>
      <c r="E620">
        <v>4.2</v>
      </c>
      <c r="F620">
        <v>4.2</v>
      </c>
      <c r="G620" s="7">
        <f>E620*60*100/$B$602</f>
        <v>17.319587628865978</v>
      </c>
      <c r="H620" s="7">
        <f>F620*60*100/$B$602</f>
        <v>17.319587628865978</v>
      </c>
    </row>
    <row r="621" spans="2:19">
      <c r="E621" t="s">
        <v>780</v>
      </c>
    </row>
    <row r="623" spans="2:19">
      <c r="D623" s="2" t="s">
        <v>2384</v>
      </c>
    </row>
    <row r="624" spans="2:19">
      <c r="B624">
        <v>492</v>
      </c>
      <c r="D624" t="s">
        <v>1624</v>
      </c>
      <c r="G624" t="s">
        <v>1625</v>
      </c>
    </row>
    <row r="625" spans="4:18">
      <c r="D625" s="11" t="s">
        <v>1626</v>
      </c>
      <c r="E625" s="104" t="s">
        <v>1619</v>
      </c>
      <c r="F625" s="104" t="s">
        <v>1620</v>
      </c>
      <c r="G625" s="104" t="s">
        <v>1627</v>
      </c>
      <c r="H625" s="104"/>
    </row>
    <row r="626" spans="4:18">
      <c r="D626" t="s">
        <v>1621</v>
      </c>
      <c r="E626">
        <v>1.5</v>
      </c>
      <c r="F626">
        <v>1</v>
      </c>
      <c r="G626" s="7">
        <f>E626*60*100/$B$624</f>
        <v>18.292682926829269</v>
      </c>
      <c r="H626" s="7">
        <f>F626*60*100/$B$624</f>
        <v>12.195121951219512</v>
      </c>
      <c r="J626" t="s">
        <v>1636</v>
      </c>
    </row>
    <row r="627" spans="4:18">
      <c r="D627" t="s">
        <v>1622</v>
      </c>
      <c r="E627" s="7">
        <v>1.7</v>
      </c>
      <c r="F627">
        <v>1.7</v>
      </c>
      <c r="G627" s="7">
        <f>E627*60*100/$B$624</f>
        <v>20.73170731707317</v>
      </c>
      <c r="H627" s="7">
        <f>F627*60*100/$B$624</f>
        <v>20.73170731707317</v>
      </c>
    </row>
    <row r="629" spans="4:18">
      <c r="D629" t="s">
        <v>1637</v>
      </c>
    </row>
    <row r="630" spans="4:18">
      <c r="D630" s="11" t="s">
        <v>1638</v>
      </c>
      <c r="E630" s="104" t="s">
        <v>1619</v>
      </c>
      <c r="F630" s="104" t="s">
        <v>1620</v>
      </c>
      <c r="G630" s="104" t="s">
        <v>1627</v>
      </c>
      <c r="H630" s="104"/>
    </row>
    <row r="631" spans="4:18">
      <c r="D631" s="21" t="s">
        <v>1621</v>
      </c>
      <c r="E631">
        <v>85</v>
      </c>
      <c r="F631">
        <v>50</v>
      </c>
      <c r="G631" s="7">
        <f>E631*100/$B$624</f>
        <v>17.276422764227643</v>
      </c>
      <c r="H631" s="7">
        <f>F631*100/$B$624</f>
        <v>10.16260162601626</v>
      </c>
    </row>
    <row r="632" spans="4:18">
      <c r="D632" s="21" t="s">
        <v>1622</v>
      </c>
      <c r="E632">
        <v>85</v>
      </c>
      <c r="F632">
        <v>85</v>
      </c>
      <c r="G632" s="7">
        <f>E632*100/$B$624</f>
        <v>17.276422764227643</v>
      </c>
      <c r="H632" s="7">
        <f>F632*100/$B$624</f>
        <v>17.276422764227643</v>
      </c>
    </row>
    <row r="634" spans="4:18">
      <c r="D634" s="11" t="s">
        <v>1639</v>
      </c>
      <c r="E634" s="11"/>
      <c r="F634" s="11"/>
      <c r="G634" s="11"/>
      <c r="H634" s="11"/>
      <c r="J634" t="s">
        <v>1640</v>
      </c>
    </row>
    <row r="635" spans="4:18">
      <c r="D635" s="21"/>
      <c r="J635" t="s">
        <v>1641</v>
      </c>
    </row>
    <row r="636" spans="4:18">
      <c r="D636" s="2" t="s">
        <v>827</v>
      </c>
      <c r="J636" t="s">
        <v>478</v>
      </c>
      <c r="O636" s="6" t="s">
        <v>1619</v>
      </c>
      <c r="Q636" s="6" t="s">
        <v>1620</v>
      </c>
    </row>
    <row r="637" spans="4:18">
      <c r="D637" t="str">
        <f>D624</f>
        <v>Tigo, local</v>
      </c>
      <c r="E637" t="s">
        <v>526</v>
      </c>
      <c r="G637" t="s">
        <v>1625</v>
      </c>
      <c r="N637" s="23" t="s">
        <v>2384</v>
      </c>
      <c r="O637" s="104" t="s">
        <v>1621</v>
      </c>
      <c r="P637" s="104" t="s">
        <v>1622</v>
      </c>
      <c r="Q637" s="104" t="s">
        <v>1621</v>
      </c>
      <c r="R637" s="104" t="s">
        <v>1622</v>
      </c>
    </row>
    <row r="638" spans="4:18">
      <c r="D638" s="11" t="str">
        <f>D625</f>
        <v>prepay per sec</v>
      </c>
      <c r="E638" s="104" t="str">
        <f>E625</f>
        <v>peak</v>
      </c>
      <c r="F638" s="104" t="str">
        <f>F625</f>
        <v>off-peak</v>
      </c>
      <c r="G638" s="104" t="str">
        <f>G625</f>
        <v>per min</v>
      </c>
      <c r="H638" s="104"/>
      <c r="N638" t="s">
        <v>887</v>
      </c>
      <c r="O638" s="7">
        <f>G626</f>
        <v>18.292682926829269</v>
      </c>
      <c r="P638" s="7">
        <f>G627</f>
        <v>20.73170731707317</v>
      </c>
      <c r="Q638" s="7">
        <f>H626</f>
        <v>12.195121951219512</v>
      </c>
      <c r="R638" s="7">
        <f>H627</f>
        <v>20.73170731707317</v>
      </c>
    </row>
    <row r="639" spans="4:18">
      <c r="D639" t="str">
        <f>D626</f>
        <v>on-net</v>
      </c>
      <c r="E639">
        <v>0.33</v>
      </c>
      <c r="F639">
        <v>0.22</v>
      </c>
      <c r="G639">
        <f>E639*60</f>
        <v>19.8</v>
      </c>
      <c r="H639">
        <f>F639*60</f>
        <v>13.2</v>
      </c>
      <c r="N639" s="11" t="s">
        <v>849</v>
      </c>
      <c r="O639" s="14">
        <f>G631</f>
        <v>17.276422764227643</v>
      </c>
      <c r="P639" s="14">
        <f>G632</f>
        <v>17.276422764227643</v>
      </c>
      <c r="Q639" s="14">
        <f>H631</f>
        <v>10.16260162601626</v>
      </c>
      <c r="R639" s="14">
        <f>H632</f>
        <v>17.276422764227643</v>
      </c>
    </row>
    <row r="640" spans="4:18">
      <c r="D640" t="str">
        <f>D627</f>
        <v>off-net</v>
      </c>
      <c r="E640" s="101">
        <v>0.5</v>
      </c>
      <c r="F640" s="101">
        <v>0.5</v>
      </c>
      <c r="G640" s="7">
        <f>E640*60</f>
        <v>30</v>
      </c>
      <c r="H640" s="7">
        <f>F640*60</f>
        <v>30</v>
      </c>
      <c r="N640" s="21" t="s">
        <v>1722</v>
      </c>
      <c r="O640" s="7">
        <f ca="1">AVERAGE(O638:O640)</f>
        <v>17.784552845528456</v>
      </c>
      <c r="P640" s="7">
        <f ca="1">AVERAGE(P638:P640)</f>
        <v>19.004065040650406</v>
      </c>
      <c r="Q640" s="7">
        <f ca="1">AVERAGE(Q638:Q640)</f>
        <v>11.178861788617887</v>
      </c>
      <c r="R640" s="7">
        <f ca="1">AVERAGE(R638:R640)</f>
        <v>19.004065040650406</v>
      </c>
    </row>
    <row r="641" spans="2:19">
      <c r="E641" s="101"/>
      <c r="F641" s="101"/>
      <c r="G641" s="7"/>
      <c r="H641" s="7"/>
      <c r="N641" s="21"/>
      <c r="O641" s="7"/>
      <c r="P641" s="7"/>
      <c r="Q641" s="7"/>
      <c r="R641" s="7"/>
    </row>
    <row r="642" spans="2:19">
      <c r="D642" t="s">
        <v>889</v>
      </c>
      <c r="E642" t="s">
        <v>526</v>
      </c>
      <c r="G642" t="s">
        <v>1625</v>
      </c>
      <c r="N642" s="21"/>
      <c r="O642" s="7"/>
      <c r="P642" s="7"/>
      <c r="Q642" s="7"/>
      <c r="R642" s="7"/>
    </row>
    <row r="643" spans="2:19">
      <c r="D643" s="11" t="str">
        <f>D630</f>
        <v>prepay per min</v>
      </c>
      <c r="E643" s="104" t="str">
        <f>E630</f>
        <v>peak</v>
      </c>
      <c r="F643" s="104" t="str">
        <f>F630</f>
        <v>off-peak</v>
      </c>
      <c r="G643" s="104" t="str">
        <f>G630</f>
        <v>per min</v>
      </c>
      <c r="H643" s="104"/>
      <c r="N643" s="21"/>
      <c r="O643" s="7"/>
      <c r="P643" s="7"/>
      <c r="Q643" s="7"/>
      <c r="R643" s="7"/>
    </row>
    <row r="644" spans="2:19">
      <c r="D644" t="str">
        <f>D631</f>
        <v>on-net</v>
      </c>
      <c r="E644">
        <v>0.42</v>
      </c>
      <c r="F644">
        <v>0.3</v>
      </c>
      <c r="G644">
        <f>E644*60</f>
        <v>25.2</v>
      </c>
      <c r="H644">
        <f>F644*60</f>
        <v>18</v>
      </c>
      <c r="N644" s="21"/>
      <c r="O644" s="7"/>
      <c r="P644" s="7"/>
      <c r="Q644" s="7"/>
      <c r="R644" s="7"/>
    </row>
    <row r="645" spans="2:19">
      <c r="D645" t="str">
        <f>D632</f>
        <v>off-net</v>
      </c>
      <c r="E645" s="101">
        <v>0.5</v>
      </c>
      <c r="F645" s="101">
        <v>0.5</v>
      </c>
      <c r="G645" s="7">
        <f>E645*60</f>
        <v>30</v>
      </c>
      <c r="H645" s="7">
        <f>F645*60</f>
        <v>30</v>
      </c>
    </row>
    <row r="646" spans="2:19">
      <c r="E646" s="101"/>
      <c r="F646" s="101"/>
      <c r="G646" s="7"/>
      <c r="H646" s="7"/>
    </row>
    <row r="647" spans="2:19">
      <c r="D647" s="2" t="s">
        <v>2227</v>
      </c>
      <c r="O647" s="6" t="s">
        <v>1619</v>
      </c>
      <c r="Q647" s="6" t="s">
        <v>1620</v>
      </c>
    </row>
    <row r="648" spans="2:19">
      <c r="D648" t="s">
        <v>1624</v>
      </c>
      <c r="G648" t="s">
        <v>1625</v>
      </c>
      <c r="N648" t="s">
        <v>1722</v>
      </c>
      <c r="O648" s="104" t="s">
        <v>1621</v>
      </c>
      <c r="P648" s="104" t="s">
        <v>1622</v>
      </c>
      <c r="Q648" s="104" t="s">
        <v>1621</v>
      </c>
      <c r="R648" s="104" t="s">
        <v>1622</v>
      </c>
      <c r="S648" s="6" t="s">
        <v>768</v>
      </c>
    </row>
    <row r="649" spans="2:19">
      <c r="B649">
        <v>588</v>
      </c>
      <c r="D649" s="11" t="s">
        <v>1626</v>
      </c>
      <c r="E649" s="104" t="str">
        <f>E638</f>
        <v>peak</v>
      </c>
      <c r="F649" s="104" t="str">
        <f>F638</f>
        <v>off-peak</v>
      </c>
      <c r="G649" s="104" t="s">
        <v>1627</v>
      </c>
      <c r="H649" s="104"/>
      <c r="N649" t="s">
        <v>2382</v>
      </c>
      <c r="O649" s="7">
        <f>O575</f>
        <v>7.8321678321678334</v>
      </c>
      <c r="P649" s="7">
        <f>P575</f>
        <v>8.5664335664335667</v>
      </c>
      <c r="Q649" s="7">
        <f>Q575</f>
        <v>5.13986013986014</v>
      </c>
      <c r="R649" s="7">
        <f>R575</f>
        <v>8.5664335664335667</v>
      </c>
      <c r="S649" s="7" t="e">
        <v>#NAME?</v>
      </c>
    </row>
    <row r="650" spans="2:19">
      <c r="D650" t="s">
        <v>1621</v>
      </c>
      <c r="E650">
        <v>1.5</v>
      </c>
      <c r="F650" s="7">
        <v>1</v>
      </c>
      <c r="G650" s="101">
        <f>E650*60/$B$649</f>
        <v>0.15306122448979592</v>
      </c>
      <c r="H650" s="101">
        <f>F650*60/$B$649</f>
        <v>0.10204081632653061</v>
      </c>
      <c r="N650" t="s">
        <v>578</v>
      </c>
      <c r="O650" s="7">
        <f>O615</f>
        <v>4.4673539518900336</v>
      </c>
      <c r="P650" s="7">
        <f>P615</f>
        <v>20.618556701030929</v>
      </c>
      <c r="Q650" s="7">
        <f>Q615</f>
        <v>2.1534936998854524</v>
      </c>
      <c r="R650" s="7">
        <f>R615</f>
        <v>20.618556701030929</v>
      </c>
      <c r="S650" s="7" t="e">
        <v>#NAME?</v>
      </c>
    </row>
    <row r="651" spans="2:19">
      <c r="D651" t="s">
        <v>1622</v>
      </c>
      <c r="E651">
        <v>1.5</v>
      </c>
      <c r="F651" s="7">
        <v>1.5</v>
      </c>
      <c r="G651" s="101">
        <f>E651*60/$B$649</f>
        <v>0.15306122448979592</v>
      </c>
      <c r="H651" s="101">
        <f>F651*60/$B$649</f>
        <v>0.15306122448979592</v>
      </c>
      <c r="N651" s="11" t="s">
        <v>2384</v>
      </c>
      <c r="O651" s="14">
        <f ca="1">O640</f>
        <v>17.784552845528456</v>
      </c>
      <c r="P651" s="14">
        <f ca="1">P640</f>
        <v>19.004065040650406</v>
      </c>
      <c r="Q651" s="14">
        <f ca="1">Q640</f>
        <v>11.178861788617887</v>
      </c>
      <c r="R651" s="14">
        <f ca="1">R640</f>
        <v>19.004065040650406</v>
      </c>
      <c r="S651" s="7" t="e">
        <v>#NAME?</v>
      </c>
    </row>
    <row r="652" spans="2:19">
      <c r="O652">
        <f>80%*O608</f>
        <v>40</v>
      </c>
      <c r="P652">
        <f>20%*O608</f>
        <v>10</v>
      </c>
      <c r="Q652">
        <f>80%*Q608</f>
        <v>40</v>
      </c>
      <c r="R652">
        <f>20%*Q608</f>
        <v>10</v>
      </c>
      <c r="S652" s="7"/>
    </row>
    <row r="663" spans="2:10">
      <c r="D663" s="11" t="s">
        <v>942</v>
      </c>
      <c r="E663" s="11">
        <v>2008</v>
      </c>
      <c r="F663" s="104" t="s">
        <v>778</v>
      </c>
      <c r="H663" t="s">
        <v>942</v>
      </c>
      <c r="I663" t="s">
        <v>779</v>
      </c>
      <c r="J663" t="s">
        <v>2300</v>
      </c>
    </row>
    <row r="664" spans="2:10">
      <c r="B664" t="s">
        <v>777</v>
      </c>
      <c r="D664" t="s">
        <v>1075</v>
      </c>
      <c r="E664" s="7">
        <v>1.8</v>
      </c>
      <c r="F664">
        <v>2370</v>
      </c>
      <c r="H664" t="s">
        <v>578</v>
      </c>
      <c r="I664" s="7">
        <v>17.93519216277317</v>
      </c>
      <c r="J664">
        <v>410</v>
      </c>
    </row>
    <row r="665" spans="2:10">
      <c r="B665" t="s">
        <v>776</v>
      </c>
      <c r="D665" t="s">
        <v>254</v>
      </c>
      <c r="E665">
        <v>1.3</v>
      </c>
      <c r="F665">
        <v>950</v>
      </c>
      <c r="H665" t="s">
        <v>2274</v>
      </c>
      <c r="I665">
        <v>17</v>
      </c>
      <c r="J665">
        <v>5720</v>
      </c>
    </row>
    <row r="666" spans="2:10">
      <c r="B666" t="s">
        <v>775</v>
      </c>
      <c r="D666" t="s">
        <v>729</v>
      </c>
      <c r="E666">
        <v>2.1</v>
      </c>
      <c r="F666">
        <v>860</v>
      </c>
      <c r="H666" t="s">
        <v>2384</v>
      </c>
      <c r="I666" s="7">
        <v>15.838414634146341</v>
      </c>
      <c r="J666">
        <v>830</v>
      </c>
    </row>
    <row r="667" spans="2:10">
      <c r="B667" t="s">
        <v>774</v>
      </c>
      <c r="D667" t="s">
        <v>2272</v>
      </c>
      <c r="E667">
        <v>1.3</v>
      </c>
      <c r="F667">
        <v>470</v>
      </c>
      <c r="H667" t="s">
        <v>62</v>
      </c>
      <c r="I667" s="7">
        <v>15</v>
      </c>
      <c r="J667">
        <v>5860</v>
      </c>
    </row>
    <row r="668" spans="2:10">
      <c r="B668" t="s">
        <v>773</v>
      </c>
      <c r="D668" t="s">
        <v>257</v>
      </c>
      <c r="E668">
        <v>3.4</v>
      </c>
      <c r="F668">
        <v>1650</v>
      </c>
      <c r="H668" t="s">
        <v>1292</v>
      </c>
      <c r="I668" s="7">
        <v>10</v>
      </c>
      <c r="J668">
        <v>920</v>
      </c>
    </row>
    <row r="669" spans="2:10">
      <c r="B669" t="s">
        <v>772</v>
      </c>
      <c r="D669" t="s">
        <v>256</v>
      </c>
      <c r="E669">
        <v>2.8</v>
      </c>
      <c r="F669">
        <v>3400</v>
      </c>
      <c r="H669" t="s">
        <v>2037</v>
      </c>
      <c r="I669" s="7">
        <v>8.75</v>
      </c>
      <c r="J669">
        <v>6040</v>
      </c>
    </row>
    <row r="670" spans="2:10">
      <c r="B670" t="s">
        <v>567</v>
      </c>
      <c r="D670" t="s">
        <v>2035</v>
      </c>
      <c r="E670" s="7">
        <v>8.5</v>
      </c>
      <c r="F670">
        <v>9400</v>
      </c>
      <c r="H670" t="s">
        <v>2035</v>
      </c>
      <c r="I670" s="7">
        <v>8.5</v>
      </c>
      <c r="J670">
        <v>9400</v>
      </c>
    </row>
    <row r="671" spans="2:10">
      <c r="B671" t="s">
        <v>567</v>
      </c>
      <c r="D671" t="s">
        <v>62</v>
      </c>
      <c r="E671" s="7">
        <v>15</v>
      </c>
      <c r="F671">
        <v>5860</v>
      </c>
      <c r="H671" t="s">
        <v>2382</v>
      </c>
      <c r="I671" s="7">
        <v>8.0693103448275867</v>
      </c>
      <c r="J671">
        <v>590</v>
      </c>
    </row>
    <row r="672" spans="2:10">
      <c r="B672" t="s">
        <v>567</v>
      </c>
      <c r="D672" t="s">
        <v>1665</v>
      </c>
      <c r="E672" s="7">
        <v>5.5</v>
      </c>
      <c r="F672">
        <v>4100</v>
      </c>
      <c r="H672" t="s">
        <v>2025</v>
      </c>
      <c r="I672" s="7">
        <v>6.3</v>
      </c>
      <c r="J672">
        <v>7530</v>
      </c>
    </row>
    <row r="673" spans="2:10">
      <c r="B673" t="s">
        <v>567</v>
      </c>
      <c r="D673" t="s">
        <v>2037</v>
      </c>
      <c r="E673" s="7">
        <v>8.75</v>
      </c>
      <c r="F673">
        <v>6040</v>
      </c>
      <c r="H673" t="s">
        <v>1665</v>
      </c>
      <c r="I673" s="7">
        <v>5.5</v>
      </c>
      <c r="J673">
        <v>4100</v>
      </c>
    </row>
    <row r="674" spans="2:10">
      <c r="B674" t="s">
        <v>769</v>
      </c>
      <c r="D674" t="s">
        <v>2025</v>
      </c>
      <c r="E674" s="7">
        <v>6.3</v>
      </c>
      <c r="F674">
        <v>7530</v>
      </c>
      <c r="H674" t="s">
        <v>2023</v>
      </c>
      <c r="I674" s="7">
        <v>5.3</v>
      </c>
      <c r="J674">
        <v>2560</v>
      </c>
    </row>
    <row r="675" spans="2:10">
      <c r="B675" t="s">
        <v>770</v>
      </c>
      <c r="D675" t="s">
        <v>2023</v>
      </c>
      <c r="E675" s="7">
        <v>5.3</v>
      </c>
      <c r="F675">
        <v>2560</v>
      </c>
      <c r="H675" t="s">
        <v>257</v>
      </c>
      <c r="I675" s="7">
        <v>3.4</v>
      </c>
      <c r="J675">
        <v>1650</v>
      </c>
    </row>
    <row r="676" spans="2:10">
      <c r="B676" t="s">
        <v>771</v>
      </c>
      <c r="D676" t="s">
        <v>2382</v>
      </c>
      <c r="E676" s="7" t="e">
        <f>S649</f>
        <v>#NAME?</v>
      </c>
      <c r="F676">
        <v>590</v>
      </c>
      <c r="H676" t="s">
        <v>256</v>
      </c>
      <c r="I676" s="7">
        <v>2.8</v>
      </c>
      <c r="J676">
        <v>3400</v>
      </c>
    </row>
    <row r="677" spans="2:10">
      <c r="D677" t="s">
        <v>578</v>
      </c>
      <c r="E677" s="7" t="e">
        <f>S650</f>
        <v>#NAME?</v>
      </c>
      <c r="F677">
        <v>410</v>
      </c>
      <c r="H677" t="s">
        <v>729</v>
      </c>
      <c r="I677" s="7">
        <v>2.1</v>
      </c>
      <c r="J677">
        <v>860</v>
      </c>
    </row>
    <row r="678" spans="2:10">
      <c r="D678" t="s">
        <v>2384</v>
      </c>
      <c r="E678" s="7" t="e">
        <f>S651</f>
        <v>#NAME?</v>
      </c>
      <c r="F678">
        <v>830</v>
      </c>
      <c r="H678" t="s">
        <v>1075</v>
      </c>
      <c r="I678" s="7">
        <v>1.8</v>
      </c>
      <c r="J678">
        <v>2370</v>
      </c>
    </row>
    <row r="679" spans="2:10">
      <c r="D679" t="s">
        <v>1292</v>
      </c>
      <c r="E679">
        <v>10</v>
      </c>
      <c r="F679">
        <v>920</v>
      </c>
      <c r="H679" t="s">
        <v>254</v>
      </c>
      <c r="I679" s="7">
        <v>1.3</v>
      </c>
      <c r="J679">
        <v>950</v>
      </c>
    </row>
    <row r="680" spans="2:10">
      <c r="D680" t="s">
        <v>2274</v>
      </c>
      <c r="E680" s="7">
        <v>17</v>
      </c>
      <c r="F680">
        <v>5720</v>
      </c>
      <c r="H680" t="s">
        <v>2272</v>
      </c>
      <c r="I680" s="7">
        <v>1.3</v>
      </c>
      <c r="J680">
        <v>470</v>
      </c>
    </row>
    <row r="682" spans="2:10">
      <c r="D682" t="s">
        <v>1828</v>
      </c>
      <c r="E682" s="7">
        <v>5.9</v>
      </c>
      <c r="F682" s="9">
        <f>(2850+1590+2450)/3</f>
        <v>2296.6666666666665</v>
      </c>
    </row>
    <row r="693" spans="1:10">
      <c r="D693" s="2" t="s">
        <v>2380</v>
      </c>
    </row>
    <row r="694" spans="1:10">
      <c r="E694" s="6"/>
      <c r="F694" s="6"/>
      <c r="H694" s="6" t="s">
        <v>2170</v>
      </c>
      <c r="I694" s="6"/>
    </row>
    <row r="695" spans="1:10">
      <c r="B695">
        <v>18.899999999999999</v>
      </c>
      <c r="D695" s="12" t="s">
        <v>2040</v>
      </c>
      <c r="E695" s="104" t="str">
        <f>H695</f>
        <v>On-net</v>
      </c>
      <c r="F695" s="104" t="str">
        <f>I695</f>
        <v>Off-net</v>
      </c>
      <c r="G695" s="104" t="str">
        <f>J695</f>
        <v>to US</v>
      </c>
      <c r="H695" s="104" t="s">
        <v>1970</v>
      </c>
      <c r="I695" s="104" t="s">
        <v>1971</v>
      </c>
      <c r="J695" s="104" t="s">
        <v>1973</v>
      </c>
    </row>
    <row r="696" spans="1:10">
      <c r="A696">
        <v>94</v>
      </c>
      <c r="B696">
        <v>5</v>
      </c>
      <c r="D696" t="s">
        <v>887</v>
      </c>
      <c r="E696" s="9">
        <f>H696*100/$B$695</f>
        <v>16.886187098953059</v>
      </c>
      <c r="F696" s="9">
        <f>I696*100/$B$695</f>
        <v>16.886187098953059</v>
      </c>
      <c r="G696" s="9">
        <f>J696*100/$B$695</f>
        <v>16.886187098953059</v>
      </c>
      <c r="H696" s="9">
        <f>B696/(A696/60)</f>
        <v>3.1914893617021276</v>
      </c>
      <c r="I696" s="9">
        <f>H696</f>
        <v>3.1914893617021276</v>
      </c>
      <c r="J696" s="9">
        <f>I696</f>
        <v>3.1914893617021276</v>
      </c>
    </row>
    <row r="697" spans="1:10">
      <c r="D697" t="s">
        <v>1610</v>
      </c>
      <c r="E697" s="9">
        <v>15</v>
      </c>
      <c r="F697" s="9">
        <v>18</v>
      </c>
      <c r="G697" s="9">
        <v>10</v>
      </c>
      <c r="H697" s="9">
        <f>E697*$B$695/100</f>
        <v>2.835</v>
      </c>
      <c r="I697" s="9">
        <f>F697*$B$695/100</f>
        <v>3.4019999999999997</v>
      </c>
      <c r="J697" s="9">
        <f>G697*$B$695/100</f>
        <v>1.89</v>
      </c>
    </row>
    <row r="698" spans="1:10">
      <c r="D698" t="s">
        <v>1969</v>
      </c>
      <c r="E698" s="9">
        <f>H698*100/$B$695</f>
        <v>5.2910052910052912</v>
      </c>
      <c r="F698" s="9">
        <f>I698*100/$B$695</f>
        <v>15.873015873015873</v>
      </c>
      <c r="G698" s="9">
        <f>J698*100/$B$695</f>
        <v>10.582010582010582</v>
      </c>
      <c r="H698">
        <v>1</v>
      </c>
      <c r="I698">
        <v>3</v>
      </c>
      <c r="J698">
        <v>2</v>
      </c>
    </row>
    <row r="699" spans="1:10">
      <c r="D699" t="s">
        <v>1975</v>
      </c>
    </row>
    <row r="700" spans="1:10">
      <c r="E700" s="9"/>
      <c r="F700" s="9"/>
      <c r="G700" s="9"/>
      <c r="H700" s="9"/>
      <c r="I700" s="9"/>
    </row>
    <row r="701" spans="1:10">
      <c r="D701" s="2" t="s">
        <v>1974</v>
      </c>
      <c r="G701" t="s">
        <v>1823</v>
      </c>
    </row>
    <row r="702" spans="1:10">
      <c r="D702" s="325">
        <v>15</v>
      </c>
      <c r="E702" s="23" t="s">
        <v>1976</v>
      </c>
      <c r="F702" s="23" t="s">
        <v>1977</v>
      </c>
      <c r="G702" s="96" t="s">
        <v>1621</v>
      </c>
      <c r="H702" s="96" t="s">
        <v>1622</v>
      </c>
      <c r="I702" s="96" t="s">
        <v>1620</v>
      </c>
      <c r="J702" s="96" t="s">
        <v>1973</v>
      </c>
    </row>
    <row r="703" spans="1:10">
      <c r="D703" s="21" t="s">
        <v>1610</v>
      </c>
      <c r="G703">
        <v>14</v>
      </c>
      <c r="H703">
        <v>17</v>
      </c>
      <c r="I703">
        <v>10</v>
      </c>
    </row>
    <row r="704" spans="1:10">
      <c r="D704" s="21" t="s">
        <v>887</v>
      </c>
      <c r="E704">
        <v>125</v>
      </c>
      <c r="F704">
        <f>$D$702*100/E704</f>
        <v>12</v>
      </c>
      <c r="G704">
        <v>12</v>
      </c>
      <c r="H704">
        <v>18</v>
      </c>
    </row>
    <row r="705" spans="4:10">
      <c r="D705" s="21" t="s">
        <v>1975</v>
      </c>
      <c r="G705">
        <v>12</v>
      </c>
      <c r="H705">
        <v>16</v>
      </c>
      <c r="J705">
        <v>10</v>
      </c>
    </row>
    <row r="706" spans="4:10">
      <c r="D706" s="325">
        <v>25</v>
      </c>
    </row>
    <row r="707" spans="4:10">
      <c r="D707" s="21" t="s">
        <v>1610</v>
      </c>
      <c r="G707">
        <v>11</v>
      </c>
      <c r="H707">
        <v>15</v>
      </c>
      <c r="J707">
        <v>10</v>
      </c>
    </row>
    <row r="708" spans="4:10">
      <c r="D708" s="21" t="s">
        <v>887</v>
      </c>
      <c r="E708">
        <v>167</v>
      </c>
      <c r="F708" s="9">
        <f>20*100/E708</f>
        <v>11.976047904191617</v>
      </c>
      <c r="G708">
        <v>12</v>
      </c>
      <c r="H708">
        <v>18</v>
      </c>
    </row>
    <row r="709" spans="4:10">
      <c r="D709" s="21" t="s">
        <v>1975</v>
      </c>
    </row>
    <row r="710" spans="4:10">
      <c r="D710" s="21" t="s">
        <v>1975</v>
      </c>
    </row>
    <row r="711" spans="4:10">
      <c r="D711" s="21"/>
    </row>
    <row r="712" spans="4:10">
      <c r="D712" t="s">
        <v>1823</v>
      </c>
      <c r="E712" s="6" t="s">
        <v>2039</v>
      </c>
      <c r="F712" s="6"/>
    </row>
    <row r="713" spans="4:10">
      <c r="D713" s="23" t="s">
        <v>2376</v>
      </c>
      <c r="E713" s="104" t="s">
        <v>1970</v>
      </c>
      <c r="F713" s="104" t="s">
        <v>1971</v>
      </c>
      <c r="G713" s="104" t="s">
        <v>1973</v>
      </c>
    </row>
    <row r="714" spans="4:10">
      <c r="D714" t="s">
        <v>887</v>
      </c>
      <c r="E714">
        <v>15</v>
      </c>
      <c r="F714">
        <v>35</v>
      </c>
      <c r="G714">
        <v>10</v>
      </c>
    </row>
    <row r="715" spans="4:10">
      <c r="D715" t="s">
        <v>1975</v>
      </c>
      <c r="E715">
        <v>15</v>
      </c>
      <c r="F715">
        <v>35</v>
      </c>
      <c r="G715">
        <v>10</v>
      </c>
    </row>
    <row r="716" spans="4:10">
      <c r="D716" t="s">
        <v>1610</v>
      </c>
      <c r="E716">
        <v>15</v>
      </c>
      <c r="F716">
        <v>35</v>
      </c>
      <c r="G716">
        <v>10</v>
      </c>
    </row>
    <row r="717" spans="4:10">
      <c r="D717" t="s">
        <v>1606</v>
      </c>
      <c r="E717">
        <v>25</v>
      </c>
      <c r="F717">
        <v>25</v>
      </c>
      <c r="G717">
        <v>15</v>
      </c>
    </row>
    <row r="718" spans="4:10">
      <c r="D718" t="s">
        <v>1823</v>
      </c>
    </row>
    <row r="719" spans="4:10">
      <c r="E719" s="6" t="s">
        <v>2170</v>
      </c>
      <c r="F719" s="6"/>
      <c r="H719" s="6" t="s">
        <v>1972</v>
      </c>
      <c r="I719" s="6"/>
    </row>
    <row r="720" spans="4:10">
      <c r="D720" s="23" t="s">
        <v>2379</v>
      </c>
      <c r="E720" s="104" t="s">
        <v>1970</v>
      </c>
      <c r="F720" s="104" t="s">
        <v>1971</v>
      </c>
      <c r="G720" s="104" t="s">
        <v>1973</v>
      </c>
      <c r="H720" s="104" t="str">
        <f>E720</f>
        <v>On-net</v>
      </c>
      <c r="I720" s="104" t="str">
        <f>F720</f>
        <v>Off-net</v>
      </c>
      <c r="J720" s="104" t="str">
        <f>G720</f>
        <v>to US</v>
      </c>
    </row>
    <row r="721" spans="2:60">
      <c r="D721" t="s">
        <v>887</v>
      </c>
    </row>
    <row r="722" spans="2:60">
      <c r="D722" t="s">
        <v>1975</v>
      </c>
    </row>
    <row r="723" spans="2:60">
      <c r="D723" t="s">
        <v>1610</v>
      </c>
    </row>
    <row r="724" spans="2:60">
      <c r="D724" t="s">
        <v>1606</v>
      </c>
    </row>
    <row r="725" spans="2:60">
      <c r="D725" t="s">
        <v>1823</v>
      </c>
    </row>
    <row r="726" spans="2:60" s="328" customFormat="1">
      <c r="B726" s="329" t="s">
        <v>2145</v>
      </c>
      <c r="C726" s="329"/>
      <c r="D726" s="332" t="s">
        <v>2146</v>
      </c>
      <c r="E726" s="330"/>
      <c r="F726" s="330"/>
      <c r="G726" s="330"/>
      <c r="H726" s="330" t="s">
        <v>219</v>
      </c>
      <c r="I726" s="330" t="s">
        <v>208</v>
      </c>
      <c r="J726" s="330" t="s">
        <v>209</v>
      </c>
      <c r="K726" s="330"/>
      <c r="L726" s="330" t="s">
        <v>1889</v>
      </c>
      <c r="M726" s="330"/>
      <c r="N726" s="330"/>
      <c r="O726" s="330"/>
      <c r="P726" s="330"/>
      <c r="Q726" s="330"/>
      <c r="R726" s="31">
        <v>2008</v>
      </c>
      <c r="S726" s="330"/>
      <c r="T726" s="330"/>
      <c r="U726" s="330"/>
      <c r="V726" s="330"/>
      <c r="W726" s="330"/>
      <c r="X726" s="330" t="s">
        <v>210</v>
      </c>
      <c r="Y726" s="330"/>
      <c r="Z726" s="330"/>
      <c r="AA726" s="330"/>
      <c r="AB726" s="330" t="s">
        <v>211</v>
      </c>
      <c r="AC726" s="330" t="s">
        <v>212</v>
      </c>
      <c r="AD726" s="330" t="s">
        <v>213</v>
      </c>
      <c r="AE726" s="330"/>
      <c r="AF726" s="330"/>
      <c r="AG726" s="330"/>
      <c r="AH726" s="330"/>
      <c r="AI726" s="330" t="s">
        <v>1440</v>
      </c>
      <c r="AJ726" s="330" t="s">
        <v>1441</v>
      </c>
      <c r="AK726" s="330"/>
      <c r="AL726" s="330"/>
      <c r="AM726" s="330"/>
      <c r="AN726" s="330"/>
      <c r="AO726" s="330"/>
      <c r="AP726" s="330"/>
      <c r="AQ726" s="330"/>
      <c r="AR726" s="330" t="s">
        <v>210</v>
      </c>
      <c r="AS726" s="330"/>
      <c r="AT726" s="330" t="s">
        <v>216</v>
      </c>
      <c r="AU726" s="331" t="s">
        <v>2147</v>
      </c>
      <c r="AV726" s="330" t="s">
        <v>212</v>
      </c>
      <c r="AW726" s="330" t="s">
        <v>218</v>
      </c>
      <c r="AX726" s="330"/>
      <c r="AY726" s="330"/>
      <c r="AZ726" s="330"/>
      <c r="BA726" s="330"/>
      <c r="BB726" s="31">
        <v>2015</v>
      </c>
      <c r="BC726" s="31">
        <v>2008</v>
      </c>
      <c r="BD726" s="332" t="s">
        <v>1441</v>
      </c>
      <c r="BE726" s="332" t="s">
        <v>1441</v>
      </c>
      <c r="BF726" s="330"/>
    </row>
    <row r="727" spans="2:60" s="328" customFormat="1">
      <c r="B727" s="333"/>
      <c r="C727" s="333"/>
      <c r="D727" s="334" t="s">
        <v>137</v>
      </c>
      <c r="E727" s="333"/>
      <c r="F727" s="333" t="s">
        <v>1888</v>
      </c>
      <c r="G727" s="333" t="s">
        <v>220</v>
      </c>
      <c r="H727" s="333" t="s">
        <v>2148</v>
      </c>
      <c r="I727" s="333" t="s">
        <v>222</v>
      </c>
      <c r="J727" s="333" t="s">
        <v>223</v>
      </c>
      <c r="K727" s="333"/>
      <c r="L727" s="333" t="s">
        <v>224</v>
      </c>
      <c r="M727" s="93">
        <v>2</v>
      </c>
      <c r="N727" s="93">
        <v>3</v>
      </c>
      <c r="O727" s="93">
        <v>4</v>
      </c>
      <c r="P727" s="333" t="s">
        <v>225</v>
      </c>
      <c r="Q727" s="333"/>
      <c r="R727" s="333" t="s">
        <v>224</v>
      </c>
      <c r="S727" s="93">
        <v>2</v>
      </c>
      <c r="T727" s="93">
        <v>3</v>
      </c>
      <c r="U727" s="93">
        <v>4</v>
      </c>
      <c r="V727" s="333" t="s">
        <v>225</v>
      </c>
      <c r="W727" s="333"/>
      <c r="X727" s="93">
        <v>2008</v>
      </c>
      <c r="Y727" s="333" t="s">
        <v>226</v>
      </c>
      <c r="Z727" s="333" t="s">
        <v>227</v>
      </c>
      <c r="AA727" s="334" t="s">
        <v>395</v>
      </c>
      <c r="AB727" s="333" t="s">
        <v>2149</v>
      </c>
      <c r="AC727" s="333" t="s">
        <v>2149</v>
      </c>
      <c r="AD727" s="333" t="s">
        <v>230</v>
      </c>
      <c r="AE727" s="93">
        <v>2</v>
      </c>
      <c r="AF727" s="93">
        <v>3</v>
      </c>
      <c r="AG727" s="93">
        <v>4</v>
      </c>
      <c r="AH727" s="93">
        <v>5</v>
      </c>
      <c r="AI727" s="333" t="s">
        <v>231</v>
      </c>
      <c r="AJ727" s="333" t="s">
        <v>232</v>
      </c>
      <c r="AK727" s="330"/>
      <c r="AL727" s="333" t="s">
        <v>224</v>
      </c>
      <c r="AM727" s="93">
        <v>2</v>
      </c>
      <c r="AN727" s="93">
        <v>3</v>
      </c>
      <c r="AO727" s="93">
        <v>4</v>
      </c>
      <c r="AP727" s="333" t="s">
        <v>225</v>
      </c>
      <c r="AQ727" s="333"/>
      <c r="AR727" s="93">
        <v>2015</v>
      </c>
      <c r="AS727" s="333" t="s">
        <v>233</v>
      </c>
      <c r="AT727" s="93">
        <v>2015</v>
      </c>
      <c r="AU727" s="335" t="s">
        <v>2150</v>
      </c>
      <c r="AV727" s="333" t="s">
        <v>2171</v>
      </c>
      <c r="AW727" s="333" t="s">
        <v>230</v>
      </c>
      <c r="AX727" s="93">
        <v>2</v>
      </c>
      <c r="AY727" s="93">
        <v>3</v>
      </c>
      <c r="AZ727" s="93">
        <v>4</v>
      </c>
      <c r="BA727" s="93">
        <v>5</v>
      </c>
      <c r="BB727" s="333" t="s">
        <v>231</v>
      </c>
      <c r="BC727" s="333" t="s">
        <v>231</v>
      </c>
      <c r="BD727" s="334" t="s">
        <v>232</v>
      </c>
      <c r="BE727" s="334" t="s">
        <v>232</v>
      </c>
      <c r="BF727" s="334" t="s">
        <v>619</v>
      </c>
    </row>
    <row r="728" spans="2:60" s="328" customFormat="1">
      <c r="B728" s="330" t="s">
        <v>2376</v>
      </c>
      <c r="C728" s="330"/>
      <c r="D728" s="131">
        <v>3480</v>
      </c>
      <c r="E728" s="330"/>
      <c r="F728" s="29">
        <f>AVERAGE(G733:M733)</f>
        <v>2.7142857142857146E-2</v>
      </c>
      <c r="G728" s="29">
        <f>AVERAGE(G738:M738)</f>
        <v>3.0000000000000002E-2</v>
      </c>
      <c r="H728" s="131">
        <f>D728*(1+F728+G728)^7</f>
        <v>5134.6991414077384</v>
      </c>
      <c r="I728" s="336">
        <v>0.39500000000000002</v>
      </c>
      <c r="J728" s="131">
        <f>H728*(1+I728)</f>
        <v>7162.9053022637954</v>
      </c>
      <c r="K728" s="330"/>
      <c r="L728" s="341">
        <v>0.41</v>
      </c>
      <c r="M728" s="341">
        <v>0.21</v>
      </c>
      <c r="N728" s="341">
        <v>0.16</v>
      </c>
      <c r="O728" s="341">
        <v>0.13</v>
      </c>
      <c r="P728" s="341">
        <v>0.09</v>
      </c>
      <c r="Q728" s="330"/>
      <c r="R728" s="131">
        <f t="shared" ref="R728:V730" si="118">$D728*(1+$I728)/0.2*L728</f>
        <v>9951.93</v>
      </c>
      <c r="S728" s="131">
        <f t="shared" si="118"/>
        <v>5097.33</v>
      </c>
      <c r="T728" s="131">
        <f t="shared" si="118"/>
        <v>3883.6800000000003</v>
      </c>
      <c r="U728" s="131">
        <f t="shared" si="118"/>
        <v>3155.4900000000002</v>
      </c>
      <c r="V728" s="131">
        <f t="shared" si="118"/>
        <v>2184.5699999999997</v>
      </c>
      <c r="W728" s="330"/>
      <c r="X728" s="36">
        <f>CA!I14</f>
        <v>0.96</v>
      </c>
      <c r="Y728" s="239">
        <v>1.3</v>
      </c>
      <c r="Z728" s="36">
        <f>X728/Y728</f>
        <v>0.73846153846153839</v>
      </c>
      <c r="AA728" s="238">
        <v>0.13</v>
      </c>
      <c r="AB728" s="240">
        <f>CA!I92</f>
        <v>0</v>
      </c>
      <c r="AC728" s="240">
        <f>AB728*Y728*(1+AA728)</f>
        <v>0</v>
      </c>
      <c r="AD728" s="36">
        <f>IF(Z728&gt;0.2,0.2,Z728)</f>
        <v>0.2</v>
      </c>
      <c r="AE728" s="36">
        <f>IF(Z728&gt;0.4,0.2,IF(Z728&lt;0.2,0,Z728-0.2))</f>
        <v>0.2</v>
      </c>
      <c r="AF728" s="36">
        <f>Z728-AD728-AE728-AG728-AH728</f>
        <v>0.1999999999999999</v>
      </c>
      <c r="AG728" s="36">
        <f>IF(Z728&gt;0.6,IF(Z728&gt;0.8,0.2,Z728-0.6),0)</f>
        <v>0.13846153846153841</v>
      </c>
      <c r="AH728" s="36">
        <f>IF(Z728&gt;0.8,Z728-0.8,0)</f>
        <v>0</v>
      </c>
      <c r="AI728" s="131">
        <f>(AD728*R728+AE728*S728+AF728*T728+AG728*U728+AH728*V728)/Z728</f>
        <v>5719.3256249999995</v>
      </c>
      <c r="AJ728" s="29">
        <f>AC728*12/AI728</f>
        <v>0</v>
      </c>
      <c r="AK728" s="330"/>
      <c r="AL728" s="131">
        <f t="shared" ref="AL728:AP730" si="119">$J728/0.2*L728</f>
        <v>14683.955869640778</v>
      </c>
      <c r="AM728" s="131">
        <f t="shared" si="119"/>
        <v>7521.050567376984</v>
      </c>
      <c r="AN728" s="131">
        <f t="shared" si="119"/>
        <v>5730.3242418110358</v>
      </c>
      <c r="AO728" s="131">
        <f t="shared" si="119"/>
        <v>4655.8884464714665</v>
      </c>
      <c r="AP728" s="131">
        <f t="shared" si="119"/>
        <v>3223.3073860187073</v>
      </c>
      <c r="AQ728" s="330"/>
      <c r="AR728" s="36">
        <f>CA!P14</f>
        <v>1.202</v>
      </c>
      <c r="AS728" s="337">
        <f>Y728</f>
        <v>1.3</v>
      </c>
      <c r="AT728" s="36">
        <f>AR728/AS728</f>
        <v>0.92461538461538451</v>
      </c>
      <c r="AU728" s="240">
        <f>CA!P92*(CA!P69/CA!I69)</f>
        <v>12.895035677355429</v>
      </c>
      <c r="AV728" s="240">
        <f>AU728*AS728*(1+AA728)</f>
        <v>18.942807410035122</v>
      </c>
      <c r="AW728" s="36">
        <f>IF(AT728&gt;0.2,0.2,AT728)</f>
        <v>0.2</v>
      </c>
      <c r="AX728" s="36">
        <f>IF(AT728&gt;0.4,0.2,IF(AT728&lt;0.2,0,AT728-0.2))</f>
        <v>0.2</v>
      </c>
      <c r="AY728" s="36">
        <f>AT728-AW728-AX728-AZ728-BA728</f>
        <v>0.2</v>
      </c>
      <c r="AZ728" s="36">
        <f>IF(AT728&gt;0.6,IF(AT728&gt;0.8,0.2,AT728-0.6),0)</f>
        <v>0.2</v>
      </c>
      <c r="BA728" s="36">
        <f>IF(AT728&gt;0.8,AT728-0.8,0)</f>
        <v>0.12461538461538446</v>
      </c>
      <c r="BB728" s="131">
        <f>(AW728*AL728+AX728*AM728+AY728*AN728+AZ728*AO728+BA728*AP728)/AT728</f>
        <v>7484.1038012588197</v>
      </c>
      <c r="BC728" s="131">
        <f>AI728</f>
        <v>5719.3256249999995</v>
      </c>
      <c r="BD728" s="29">
        <f>AV728*12/BB728</f>
        <v>3.0372866939951781E-2</v>
      </c>
      <c r="BE728" s="29">
        <f>AJ728</f>
        <v>0</v>
      </c>
      <c r="BF728" s="29">
        <f>BD728-BE728</f>
        <v>3.0372866939951781E-2</v>
      </c>
      <c r="BH728" s="338" t="e">
        <f>AV728/AC728-1</f>
        <v>#DIV/0!</v>
      </c>
    </row>
    <row r="729" spans="2:60" s="328" customFormat="1">
      <c r="B729" s="330" t="s">
        <v>2379</v>
      </c>
      <c r="C729" s="330"/>
      <c r="D729" s="131">
        <v>2680</v>
      </c>
      <c r="E729" s="330"/>
      <c r="F729" s="29">
        <f>AVERAGE(G734:M734)</f>
        <v>3.1000000000000003E-2</v>
      </c>
      <c r="G729" s="29">
        <f>AVERAGE(G739:M739)</f>
        <v>3.0000000000000002E-2</v>
      </c>
      <c r="H729" s="131">
        <f>D729*(1+F729+G729)^7</f>
        <v>4056.415946510393</v>
      </c>
      <c r="I729" s="336">
        <v>0.38</v>
      </c>
      <c r="J729" s="131">
        <f>H729*(1+I729)</f>
        <v>5597.8540061843423</v>
      </c>
      <c r="K729" s="330"/>
      <c r="L729" s="341">
        <v>0.43</v>
      </c>
      <c r="M729" s="341">
        <v>0.21</v>
      </c>
      <c r="N729" s="341">
        <v>0.16</v>
      </c>
      <c r="O729" s="341">
        <v>0.12</v>
      </c>
      <c r="P729" s="341">
        <v>0.08</v>
      </c>
      <c r="Q729" s="330"/>
      <c r="R729" s="131">
        <f t="shared" si="118"/>
        <v>7951.5599999999986</v>
      </c>
      <c r="S729" s="131">
        <f t="shared" si="118"/>
        <v>3883.3199999999993</v>
      </c>
      <c r="T729" s="131">
        <f t="shared" si="118"/>
        <v>2958.7199999999993</v>
      </c>
      <c r="U729" s="131">
        <f t="shared" si="118"/>
        <v>2219.0399999999995</v>
      </c>
      <c r="V729" s="131">
        <f t="shared" si="118"/>
        <v>1479.3599999999997</v>
      </c>
      <c r="W729" s="330"/>
      <c r="X729" s="36">
        <f>CA!I15</f>
        <v>0.72</v>
      </c>
      <c r="Y729" s="239">
        <v>1.1000000000000001</v>
      </c>
      <c r="Z729" s="36">
        <f>X729/Y729</f>
        <v>0.65454545454545443</v>
      </c>
      <c r="AA729" s="238">
        <v>0.12</v>
      </c>
      <c r="AB729" s="240">
        <f>CA!I93</f>
        <v>0</v>
      </c>
      <c r="AC729" s="240">
        <f>AB729*Y729*(1+AA729)</f>
        <v>0</v>
      </c>
      <c r="AD729" s="36">
        <f>IF(Z729&gt;0.2,0.2,Z729)</f>
        <v>0.2</v>
      </c>
      <c r="AE729" s="36">
        <f>IF(Z729&gt;0.4,0.2,IF(Z729&lt;0.2,0,Z729-0.2))</f>
        <v>0.2</v>
      </c>
      <c r="AF729" s="36">
        <f>Z729-AD729-AE729-AG729-AH729</f>
        <v>0.19999999999999996</v>
      </c>
      <c r="AG729" s="36">
        <f>IF(Z729&gt;0.6,IF(Z729&gt;0.8,0.2,Z729-0.6),0)</f>
        <v>5.4545454545454453E-2</v>
      </c>
      <c r="AH729" s="36">
        <f>IF(Z729&gt;0.8,Z729-0.8,0)</f>
        <v>0</v>
      </c>
      <c r="AI729" s="131">
        <f>(AD729*R729+AE729*S729+AF729*T729+AG729*U729+AH729*V729)/Z729</f>
        <v>4705.1866666666665</v>
      </c>
      <c r="AJ729" s="29">
        <f>AC729*12/AI729</f>
        <v>0</v>
      </c>
      <c r="AK729" s="330"/>
      <c r="AL729" s="131">
        <f t="shared" si="119"/>
        <v>12035.386113296336</v>
      </c>
      <c r="AM729" s="131">
        <f t="shared" si="119"/>
        <v>5877.746706493559</v>
      </c>
      <c r="AN729" s="131">
        <f t="shared" si="119"/>
        <v>4478.2832049474737</v>
      </c>
      <c r="AO729" s="131">
        <f t="shared" si="119"/>
        <v>3358.712403710605</v>
      </c>
      <c r="AP729" s="131">
        <f t="shared" si="119"/>
        <v>2239.1416024737368</v>
      </c>
      <c r="AQ729" s="330"/>
      <c r="AR729" s="36">
        <f>CA!P15</f>
        <v>0.96399999999999997</v>
      </c>
      <c r="AS729" s="337">
        <f>Y729</f>
        <v>1.1000000000000001</v>
      </c>
      <c r="AT729" s="36">
        <f>AR729/AS729</f>
        <v>0.87636363636363623</v>
      </c>
      <c r="AU729" s="240">
        <f>CA!P93*(CA!P70/CA!I70)</f>
        <v>12.657262657655174</v>
      </c>
      <c r="AV729" s="240">
        <f>AU729*AS729*(1+AA729)</f>
        <v>15.593747594231177</v>
      </c>
      <c r="AW729" s="36">
        <f>IF(AT729&gt;0.2,0.2,AT729)</f>
        <v>0.2</v>
      </c>
      <c r="AX729" s="36">
        <f>IF(AT729&gt;0.4,0.2,IF(AT729&lt;0.2,0,AT729-0.2))</f>
        <v>0.2</v>
      </c>
      <c r="AY729" s="36">
        <f>AT729-AW729-AX729-AZ729-BA729</f>
        <v>0.20000000000000007</v>
      </c>
      <c r="AZ729" s="36">
        <f>IF(AT729&gt;0.6,IF(AT729&gt;0.8,0.2,AT729-0.6),0)</f>
        <v>0.2</v>
      </c>
      <c r="BA729" s="36">
        <f>IF(AT729&gt;0.8,AT729-0.8,0)</f>
        <v>7.6363636363636189E-2</v>
      </c>
      <c r="BB729" s="131">
        <f>(AW729*AL729+AX729*AM729+AY729*AN729+AZ729*AO729+BA729*AP729)/AT729</f>
        <v>6071.6972498613577</v>
      </c>
      <c r="BC729" s="131">
        <f>AI729</f>
        <v>4705.1866666666665</v>
      </c>
      <c r="BD729" s="29">
        <f>AV729*12/BB729</f>
        <v>3.0819219639952728E-2</v>
      </c>
      <c r="BE729" s="29">
        <f>AJ729</f>
        <v>0</v>
      </c>
      <c r="BF729" s="29">
        <f>BD729-BE729</f>
        <v>3.0819219639952728E-2</v>
      </c>
      <c r="BH729" s="338" t="e">
        <f>AV729/AC729-1</f>
        <v>#DIV/0!</v>
      </c>
    </row>
    <row r="730" spans="2:60" s="328" customFormat="1">
      <c r="B730" s="330" t="s">
        <v>2380</v>
      </c>
      <c r="C730" s="330"/>
      <c r="D730" s="131">
        <v>1800</v>
      </c>
      <c r="E730" s="330"/>
      <c r="F730" s="29">
        <f>AVERAGE(G735:M735)</f>
        <v>2.7142857142857146E-2</v>
      </c>
      <c r="G730" s="29">
        <f>AVERAGE(G740:M740)</f>
        <v>3.0000000000000002E-2</v>
      </c>
      <c r="H730" s="131">
        <f>D730*(1+F730+G730)^7</f>
        <v>2655.8788662453817</v>
      </c>
      <c r="I730" s="336">
        <v>0.53600000000000003</v>
      </c>
      <c r="J730" s="131">
        <f>H730*(1+I730)</f>
        <v>4079.4299385529062</v>
      </c>
      <c r="K730" s="330"/>
      <c r="L730" s="341">
        <v>0.49</v>
      </c>
      <c r="M730" s="341">
        <v>0.21</v>
      </c>
      <c r="N730" s="341">
        <v>0.14000000000000001</v>
      </c>
      <c r="O730" s="341">
        <v>0.1</v>
      </c>
      <c r="P730" s="341">
        <v>0.06</v>
      </c>
      <c r="Q730" s="330"/>
      <c r="R730" s="131">
        <f t="shared" si="118"/>
        <v>6773.76</v>
      </c>
      <c r="S730" s="131">
        <f t="shared" si="118"/>
        <v>2903.04</v>
      </c>
      <c r="T730" s="131">
        <f t="shared" si="118"/>
        <v>1935.3600000000001</v>
      </c>
      <c r="U730" s="131">
        <f t="shared" si="118"/>
        <v>1382.4</v>
      </c>
      <c r="V730" s="131">
        <f t="shared" si="118"/>
        <v>829.43999999999994</v>
      </c>
      <c r="W730" s="330"/>
      <c r="X730" s="36">
        <f>CA!I16</f>
        <v>0.78</v>
      </c>
      <c r="Y730" s="239">
        <v>1.2</v>
      </c>
      <c r="Z730" s="36">
        <f>X730/Y730</f>
        <v>0.65</v>
      </c>
      <c r="AA730" s="238">
        <v>0.12</v>
      </c>
      <c r="AB730" s="240">
        <f>CA!I94</f>
        <v>0</v>
      </c>
      <c r="AC730" s="240">
        <f>AB730*Y730*(1+AA730)</f>
        <v>0</v>
      </c>
      <c r="AD730" s="36">
        <f>IF(Z730&gt;0.2,0.2,Z730)</f>
        <v>0.2</v>
      </c>
      <c r="AE730" s="36">
        <f>IF(Z730&gt;0.4,0.2,IF(Z730&lt;0.2,0,Z730-0.2))</f>
        <v>0.2</v>
      </c>
      <c r="AF730" s="36">
        <f>Z730-AD730-AE730-AG730-AH730</f>
        <v>0.19999999999999996</v>
      </c>
      <c r="AG730" s="36">
        <f>IF(Z730&gt;0.6,IF(Z730&gt;0.8,0.2,Z730-0.6),0)</f>
        <v>5.0000000000000044E-2</v>
      </c>
      <c r="AH730" s="36">
        <f>IF(Z730&gt;0.8,Z730-0.8,0)</f>
        <v>0</v>
      </c>
      <c r="AI730" s="131">
        <f>(AD730*R730+AE730*S730+AF730*T730+AG730*U730+AH730*V730)/Z730</f>
        <v>3679.3107692307694</v>
      </c>
      <c r="AJ730" s="29">
        <f>AC730*12/AI730</f>
        <v>0</v>
      </c>
      <c r="AK730" s="330"/>
      <c r="AL730" s="131">
        <f t="shared" si="119"/>
        <v>9994.6033494546209</v>
      </c>
      <c r="AM730" s="131">
        <f t="shared" si="119"/>
        <v>4283.4014354805513</v>
      </c>
      <c r="AN730" s="131">
        <f t="shared" si="119"/>
        <v>2855.6009569870348</v>
      </c>
      <c r="AO730" s="131">
        <f t="shared" si="119"/>
        <v>2039.7149692764533</v>
      </c>
      <c r="AP730" s="131">
        <f t="shared" si="119"/>
        <v>1223.8289815658718</v>
      </c>
      <c r="AQ730" s="330"/>
      <c r="AR730" s="36">
        <f>CA!P16</f>
        <v>0.82500000000000007</v>
      </c>
      <c r="AS730" s="337">
        <f>Y730</f>
        <v>1.2</v>
      </c>
      <c r="AT730" s="36">
        <f>AR730/AS730</f>
        <v>0.68750000000000011</v>
      </c>
      <c r="AU730" s="240">
        <f>CA!P94*(CA!P71/CA!I71)</f>
        <v>13.070235311766028</v>
      </c>
      <c r="AV730" s="240">
        <f>AU730*AS730*(1+AA730)</f>
        <v>17.566396259013544</v>
      </c>
      <c r="AW730" s="36">
        <f>IF(AT730&gt;0.2,0.2,AT730)</f>
        <v>0.2</v>
      </c>
      <c r="AX730" s="36">
        <f>IF(AT730&gt;0.4,0.2,IF(AT730&lt;0.2,0,AT730-0.2))</f>
        <v>0.2</v>
      </c>
      <c r="AY730" s="36">
        <f>AT730-AW730-AX730-AZ730-BA730</f>
        <v>0.19999999999999996</v>
      </c>
      <c r="AZ730" s="36">
        <f>IF(AT730&gt;0.6,IF(AT730&gt;0.8,0.2,AT730-0.6),0)</f>
        <v>8.7500000000000133E-2</v>
      </c>
      <c r="BA730" s="36">
        <f>IF(AT730&gt;0.8,AT730-0.8,0)</f>
        <v>0</v>
      </c>
      <c r="BB730" s="131">
        <f>(AW730*AL730+AX730*AM730+AY730*AN730+AZ730*AO730+BA730*AP730)/AT730</f>
        <v>5243.9217573761907</v>
      </c>
      <c r="BC730" s="131">
        <f>AI730</f>
        <v>3679.3107692307694</v>
      </c>
      <c r="BD730" s="29">
        <f>AV730*12/BB730</f>
        <v>4.0198302884983397E-2</v>
      </c>
      <c r="BE730" s="29">
        <f>AJ730</f>
        <v>0</v>
      </c>
      <c r="BF730" s="29">
        <f>BD730-BE730</f>
        <v>4.0198302884983397E-2</v>
      </c>
      <c r="BH730" s="338" t="e">
        <f>AV730/AC730-1</f>
        <v>#DIV/0!</v>
      </c>
    </row>
    <row r="731" spans="2:60">
      <c r="B731" s="330"/>
      <c r="C731" s="330"/>
      <c r="D731" s="131"/>
    </row>
    <row r="732" spans="2:60">
      <c r="B732" s="11" t="s">
        <v>2151</v>
      </c>
      <c r="C732" s="11"/>
      <c r="D732" s="11"/>
      <c r="E732" s="11">
        <v>2007</v>
      </c>
      <c r="F732" s="11">
        <v>2008</v>
      </c>
      <c r="G732" s="11">
        <f t="shared" ref="G732:M732" si="120">F732+1</f>
        <v>2009</v>
      </c>
      <c r="H732" s="11">
        <f t="shared" si="120"/>
        <v>2010</v>
      </c>
      <c r="I732" s="11">
        <f t="shared" si="120"/>
        <v>2011</v>
      </c>
      <c r="J732" s="11">
        <f t="shared" si="120"/>
        <v>2012</v>
      </c>
      <c r="K732" s="11">
        <f t="shared" si="120"/>
        <v>2013</v>
      </c>
      <c r="L732" s="11">
        <f t="shared" si="120"/>
        <v>2014</v>
      </c>
      <c r="M732" s="11">
        <f t="shared" si="120"/>
        <v>2015</v>
      </c>
    </row>
    <row r="733" spans="2:60">
      <c r="B733" s="339" t="str">
        <f>B728</f>
        <v>El Salvador</v>
      </c>
      <c r="C733" s="339"/>
      <c r="E733" s="340">
        <v>4.7E-2</v>
      </c>
      <c r="F733" s="340">
        <v>3.2000000000000001E-2</v>
      </c>
      <c r="G733" s="340">
        <v>-0.02</v>
      </c>
      <c r="H733" s="340">
        <v>0.01</v>
      </c>
      <c r="I733" s="340">
        <v>0.04</v>
      </c>
      <c r="J733" s="5">
        <v>0.04</v>
      </c>
      <c r="K733" s="5">
        <v>0.04</v>
      </c>
      <c r="L733" s="5">
        <v>0.04</v>
      </c>
      <c r="M733" s="5">
        <v>0.04</v>
      </c>
    </row>
    <row r="734" spans="2:60">
      <c r="B734" s="339" t="str">
        <f>B729</f>
        <v>Guatemala</v>
      </c>
      <c r="C734" s="339"/>
      <c r="F734" s="340">
        <v>3.2000000000000001E-2</v>
      </c>
      <c r="G734" s="340">
        <v>4.0000000000000001E-3</v>
      </c>
      <c r="H734" s="340">
        <v>1.2999999999999999E-2</v>
      </c>
      <c r="I734" s="340">
        <v>0.04</v>
      </c>
      <c r="J734" s="16">
        <v>0.04</v>
      </c>
      <c r="K734" s="16">
        <v>0.04</v>
      </c>
      <c r="L734" s="16">
        <v>0.04</v>
      </c>
      <c r="M734" s="16">
        <v>0.04</v>
      </c>
    </row>
    <row r="735" spans="2:60">
      <c r="B735" s="339" t="str">
        <f>B730</f>
        <v>Honduras</v>
      </c>
      <c r="C735" s="339"/>
      <c r="F735" s="16"/>
      <c r="G735" s="340">
        <v>-0.02</v>
      </c>
      <c r="H735" s="340">
        <v>0.01</v>
      </c>
      <c r="I735" s="340">
        <v>0.04</v>
      </c>
      <c r="J735" s="16">
        <v>0.04</v>
      </c>
      <c r="K735" s="16">
        <v>0.04</v>
      </c>
      <c r="L735" s="16">
        <v>0.04</v>
      </c>
      <c r="M735" s="16">
        <v>0.04</v>
      </c>
    </row>
    <row r="737" spans="2:13">
      <c r="B737" s="11" t="s">
        <v>220</v>
      </c>
      <c r="C737" s="11"/>
      <c r="D737" s="11"/>
      <c r="E737" s="11">
        <f>E732</f>
        <v>2007</v>
      </c>
      <c r="F737" s="11">
        <v>2008</v>
      </c>
      <c r="G737" s="11">
        <f t="shared" ref="G737:M737" si="121">F737+1</f>
        <v>2009</v>
      </c>
      <c r="H737" s="11">
        <f t="shared" si="121"/>
        <v>2010</v>
      </c>
      <c r="I737" s="11">
        <f t="shared" si="121"/>
        <v>2011</v>
      </c>
      <c r="J737" s="11">
        <f t="shared" si="121"/>
        <v>2012</v>
      </c>
      <c r="K737" s="11">
        <f t="shared" si="121"/>
        <v>2013</v>
      </c>
      <c r="L737" s="11">
        <f t="shared" si="121"/>
        <v>2014</v>
      </c>
      <c r="M737" s="11">
        <f t="shared" si="121"/>
        <v>2015</v>
      </c>
    </row>
    <row r="738" spans="2:13">
      <c r="B738" s="339" t="str">
        <f>B733</f>
        <v>El Salvador</v>
      </c>
      <c r="C738" s="339"/>
      <c r="E738" s="340">
        <v>0.04</v>
      </c>
      <c r="F738" s="340">
        <v>5.5E-2</v>
      </c>
      <c r="G738" s="340">
        <v>-0.01</v>
      </c>
      <c r="H738" s="340">
        <v>0.02</v>
      </c>
      <c r="I738" s="340">
        <v>0.04</v>
      </c>
      <c r="J738" s="5">
        <v>0.04</v>
      </c>
      <c r="K738" s="5">
        <v>0.04</v>
      </c>
      <c r="L738" s="5">
        <v>0.04</v>
      </c>
      <c r="M738" s="5">
        <v>0.04</v>
      </c>
    </row>
    <row r="739" spans="2:13">
      <c r="B739" s="339" t="str">
        <f>B734</f>
        <v>Guatemala</v>
      </c>
      <c r="C739" s="339"/>
      <c r="G739" s="340">
        <v>-0.01</v>
      </c>
      <c r="H739" s="340">
        <v>0.02</v>
      </c>
      <c r="I739" s="340">
        <v>0.04</v>
      </c>
      <c r="J739" s="5">
        <v>0.04</v>
      </c>
      <c r="K739" s="5">
        <v>0.04</v>
      </c>
      <c r="L739" s="5">
        <v>0.04</v>
      </c>
      <c r="M739" s="5">
        <v>0.04</v>
      </c>
    </row>
    <row r="740" spans="2:13">
      <c r="B740" s="339" t="str">
        <f>B735</f>
        <v>Honduras</v>
      </c>
      <c r="C740" s="339"/>
      <c r="G740" s="340">
        <v>-0.01</v>
      </c>
      <c r="H740" s="340">
        <v>0.02</v>
      </c>
      <c r="I740" s="340">
        <v>0.04</v>
      </c>
      <c r="J740" s="5">
        <v>0.04</v>
      </c>
      <c r="K740" s="5">
        <v>0.04</v>
      </c>
      <c r="L740" s="5">
        <v>0.04</v>
      </c>
      <c r="M740" s="5">
        <v>0.04</v>
      </c>
    </row>
    <row r="742" spans="2:13">
      <c r="B742" s="329" t="s">
        <v>2251</v>
      </c>
      <c r="C742" s="329"/>
    </row>
    <row r="743" spans="2:13">
      <c r="B743" s="11"/>
      <c r="C743" s="11"/>
      <c r="D743" s="11"/>
      <c r="E743" s="11" t="s">
        <v>109</v>
      </c>
      <c r="F743" s="11" t="s">
        <v>1381</v>
      </c>
      <c r="G743" s="11" t="s">
        <v>245</v>
      </c>
      <c r="H743" s="11" t="s">
        <v>2255</v>
      </c>
      <c r="I743" s="104" t="s">
        <v>2254</v>
      </c>
    </row>
    <row r="744" spans="2:13">
      <c r="B744" t="s">
        <v>730</v>
      </c>
      <c r="D744" s="16">
        <v>1</v>
      </c>
      <c r="E744">
        <v>155</v>
      </c>
      <c r="F744">
        <f>G744-E744</f>
        <v>52</v>
      </c>
      <c r="G744">
        <v>207</v>
      </c>
      <c r="H744" s="9">
        <f>G744/I744</f>
        <v>27.972972972972972</v>
      </c>
      <c r="I744">
        <v>7.4</v>
      </c>
    </row>
    <row r="745" spans="2:13">
      <c r="B745" t="s">
        <v>738</v>
      </c>
      <c r="D745" s="16">
        <v>1</v>
      </c>
      <c r="E745">
        <f>G745-F745</f>
        <v>593</v>
      </c>
      <c r="F745">
        <v>12</v>
      </c>
      <c r="G745">
        <v>605</v>
      </c>
      <c r="H745" s="9">
        <f>G745/I745</f>
        <v>85.211267605633807</v>
      </c>
      <c r="I745">
        <v>7.1</v>
      </c>
    </row>
    <row r="746" spans="2:13">
      <c r="B746" s="315" t="s">
        <v>2252</v>
      </c>
      <c r="C746" s="315"/>
      <c r="D746" s="342">
        <v>0.58399999999999996</v>
      </c>
      <c r="E746" s="9">
        <f>E745*$D$746</f>
        <v>346.31199999999995</v>
      </c>
      <c r="F746" s="9">
        <f>F745*$D$746</f>
        <v>7.0079999999999991</v>
      </c>
      <c r="G746" s="9">
        <f>G745*$D$746</f>
        <v>353.32</v>
      </c>
      <c r="H746" s="9">
        <f>D746*H745</f>
        <v>49.763380281690139</v>
      </c>
    </row>
    <row r="747" spans="2:13">
      <c r="B747" s="11" t="s">
        <v>739</v>
      </c>
      <c r="C747" s="11"/>
      <c r="D747" s="11"/>
      <c r="E747" s="11">
        <v>65</v>
      </c>
      <c r="F747" s="11">
        <f>G747-E747</f>
        <v>37</v>
      </c>
      <c r="G747" s="11">
        <v>102</v>
      </c>
      <c r="H747" s="13">
        <f>G747/I747</f>
        <v>13.6</v>
      </c>
      <c r="I747" s="11">
        <v>7.5</v>
      </c>
    </row>
    <row r="748" spans="2:13">
      <c r="B748" t="s">
        <v>2253</v>
      </c>
      <c r="E748" s="9">
        <f>E744+E746+E747</f>
        <v>566.3119999999999</v>
      </c>
      <c r="F748" s="9">
        <f>F744+F746+F747</f>
        <v>96.007999999999996</v>
      </c>
      <c r="G748" s="9">
        <f>G744+G746+G747</f>
        <v>662.31999999999994</v>
      </c>
      <c r="H748" s="9">
        <f>H744+H746+H747</f>
        <v>91.336353254663109</v>
      </c>
      <c r="I748" s="7">
        <f>G748/H748</f>
        <v>7.2514390645017972</v>
      </c>
    </row>
    <row r="750" spans="2:13">
      <c r="B750" s="329" t="s">
        <v>1751</v>
      </c>
      <c r="C750" s="329"/>
    </row>
    <row r="751" spans="2:13">
      <c r="B751" s="2"/>
      <c r="C751" s="2"/>
    </row>
    <row r="752" spans="2:13">
      <c r="B752" s="23" t="s">
        <v>1752</v>
      </c>
      <c r="C752" s="23"/>
      <c r="D752" s="23">
        <v>2009</v>
      </c>
      <c r="E752" s="23">
        <f t="shared" ref="E752:J752" si="122">D752+1</f>
        <v>2010</v>
      </c>
      <c r="F752" s="23">
        <f t="shared" si="122"/>
        <v>2011</v>
      </c>
      <c r="G752" s="23">
        <f t="shared" si="122"/>
        <v>2012</v>
      </c>
      <c r="H752" s="23">
        <f t="shared" si="122"/>
        <v>2013</v>
      </c>
      <c r="I752" s="23">
        <f t="shared" si="122"/>
        <v>2014</v>
      </c>
      <c r="J752" s="23">
        <f t="shared" si="122"/>
        <v>2015</v>
      </c>
      <c r="K752" s="96" t="s">
        <v>1322</v>
      </c>
    </row>
    <row r="753" spans="2:17">
      <c r="B753" t="s">
        <v>758</v>
      </c>
      <c r="D753" s="88">
        <f>Master!L5</f>
        <v>3576.5649976500235</v>
      </c>
      <c r="E753" s="88">
        <f>Master!M5</f>
        <v>4025.2485327501977</v>
      </c>
      <c r="F753" s="88">
        <f>Master!N5</f>
        <v>0</v>
      </c>
      <c r="G753" s="88">
        <f>Master!O5</f>
        <v>0</v>
      </c>
      <c r="H753" s="88">
        <f>Master!P5</f>
        <v>0</v>
      </c>
      <c r="I753" s="88">
        <f>Master!Q5</f>
        <v>6386.0109430529701</v>
      </c>
      <c r="J753" s="88">
        <f>Master!R5</f>
        <v>6730.1365449983496</v>
      </c>
      <c r="K753" s="5">
        <f>(J753/D753)^(1/6)-1</f>
        <v>0.11111657345256032</v>
      </c>
    </row>
    <row r="754" spans="2:17">
      <c r="B754" t="s">
        <v>360</v>
      </c>
      <c r="D754" s="88" t="e">
        <f>Master!L14</f>
        <v>#REF!</v>
      </c>
      <c r="E754" s="88" t="e">
        <f>Master!M14</f>
        <v>#REF!</v>
      </c>
      <c r="F754" s="88">
        <f>Master!N14</f>
        <v>0</v>
      </c>
      <c r="G754" s="88">
        <f>Master!O14</f>
        <v>0</v>
      </c>
      <c r="H754" s="88">
        <f>Master!P14</f>
        <v>0</v>
      </c>
      <c r="I754" s="88">
        <f>Master!Q14</f>
        <v>2109.5211117787239</v>
      </c>
      <c r="J754" s="88">
        <f>Master!R14</f>
        <v>2265.6309442315396</v>
      </c>
      <c r="K754" s="5" t="e">
        <f>(J754/D754)^(1/6)-1</f>
        <v>#REF!</v>
      </c>
    </row>
    <row r="756" spans="2:17">
      <c r="B756" s="2" t="s">
        <v>1753</v>
      </c>
      <c r="C756" s="2"/>
    </row>
    <row r="757" spans="2:17">
      <c r="B757" s="23" t="s">
        <v>519</v>
      </c>
      <c r="C757" s="23"/>
      <c r="D757" s="23">
        <v>2009</v>
      </c>
      <c r="E757" s="23">
        <f t="shared" ref="E757:J757" si="123">D757+1</f>
        <v>2010</v>
      </c>
      <c r="F757" s="23">
        <f t="shared" si="123"/>
        <v>2011</v>
      </c>
      <c r="G757" s="23">
        <f t="shared" si="123"/>
        <v>2012</v>
      </c>
      <c r="H757" s="23">
        <f t="shared" si="123"/>
        <v>2013</v>
      </c>
      <c r="I757" s="23">
        <f t="shared" si="123"/>
        <v>2014</v>
      </c>
      <c r="J757" s="23">
        <f t="shared" si="123"/>
        <v>2015</v>
      </c>
      <c r="K757" s="96" t="str">
        <f>K752</f>
        <v>09-15e</v>
      </c>
      <c r="M757" s="96" t="s">
        <v>2085</v>
      </c>
      <c r="N757" s="96" t="s">
        <v>395</v>
      </c>
      <c r="O757" s="23" t="s">
        <v>2126</v>
      </c>
      <c r="P757" s="96" t="s">
        <v>2127</v>
      </c>
      <c r="Q757" s="96" t="s">
        <v>2125</v>
      </c>
    </row>
    <row r="758" spans="2:17">
      <c r="B758" t="s">
        <v>826</v>
      </c>
      <c r="D758" s="88">
        <v>127.28459802754723</v>
      </c>
      <c r="E758" s="88">
        <v>133.71577190250179</v>
      </c>
      <c r="F758" s="88">
        <v>144.62483500473118</v>
      </c>
      <c r="G758" s="88">
        <v>150.39737565104127</v>
      </c>
      <c r="H758" s="88">
        <v>154.14672867021602</v>
      </c>
      <c r="I758" s="88">
        <v>168.12419905810111</v>
      </c>
      <c r="J758" s="88">
        <v>181.56125807784659</v>
      </c>
      <c r="K758" s="5">
        <f t="shared" ref="K758:K773" si="124">(J758/D758)^(1/6)-1</f>
        <v>6.0981687363266701E-2</v>
      </c>
      <c r="M758" s="29">
        <v>1</v>
      </c>
      <c r="N758" s="16">
        <v>0.3</v>
      </c>
      <c r="O758" s="9">
        <v>321.4861328617302</v>
      </c>
      <c r="P758" s="16">
        <f>(D758*M758)/D$775</f>
        <v>9.0346654685214731E-2</v>
      </c>
      <c r="Q758" s="5">
        <v>0.2</v>
      </c>
    </row>
    <row r="759" spans="2:17">
      <c r="B759" t="s">
        <v>579</v>
      </c>
      <c r="D759" s="88">
        <v>151.2204165287977</v>
      </c>
      <c r="E759" s="88">
        <v>188.63026199118332</v>
      </c>
      <c r="F759" s="88">
        <v>230.48365024749384</v>
      </c>
      <c r="G759" s="88">
        <v>273.7425764160979</v>
      </c>
      <c r="H759" s="88">
        <v>311.33256369600355</v>
      </c>
      <c r="I759" s="88">
        <v>349.61089780667612</v>
      </c>
      <c r="J759" s="88">
        <v>392.5706139322611</v>
      </c>
      <c r="K759" s="5">
        <f t="shared" si="124"/>
        <v>0.1723336372850417</v>
      </c>
      <c r="M759" s="29">
        <v>1</v>
      </c>
      <c r="N759" s="16">
        <v>0.4</v>
      </c>
      <c r="O759" s="9">
        <v>563.59058726609783</v>
      </c>
      <c r="P759" s="16"/>
      <c r="Q759" s="5"/>
    </row>
    <row r="760" spans="2:17">
      <c r="B760" t="s">
        <v>709</v>
      </c>
      <c r="D760" s="88">
        <v>191.45505893103797</v>
      </c>
      <c r="E760" s="88">
        <v>189.31477200430729</v>
      </c>
      <c r="F760" s="88">
        <v>204.47208064759752</v>
      </c>
      <c r="G760" s="88">
        <v>215.96263276063144</v>
      </c>
      <c r="H760" s="88">
        <v>229.59775339946094</v>
      </c>
      <c r="I760" s="88">
        <v>241.80403183612933</v>
      </c>
      <c r="J760" s="88">
        <v>256.02640993107451</v>
      </c>
      <c r="K760" s="5">
        <f t="shared" si="124"/>
        <v>4.963020544516783E-2</v>
      </c>
      <c r="M760" s="29">
        <v>0.9</v>
      </c>
      <c r="N760" s="16">
        <v>0.4</v>
      </c>
      <c r="O760" s="9">
        <v>284.19401278890507</v>
      </c>
      <c r="P760" s="16">
        <f>(D760*M760)/D$775</f>
        <v>0.12230538437897062</v>
      </c>
      <c r="Q760" s="5">
        <v>0.72</v>
      </c>
    </row>
    <row r="761" spans="2:17">
      <c r="B761" t="s">
        <v>1307</v>
      </c>
      <c r="D761" s="88">
        <v>337.74974523101935</v>
      </c>
      <c r="E761" s="88">
        <v>368.25778336739967</v>
      </c>
      <c r="F761" s="88">
        <v>431.71067809716209</v>
      </c>
      <c r="G761" s="88">
        <v>493.00553604968229</v>
      </c>
      <c r="H761" s="88">
        <v>542.94396732832456</v>
      </c>
      <c r="I761" s="88">
        <v>597.2018787878867</v>
      </c>
      <c r="J761" s="88">
        <v>648.29363963865205</v>
      </c>
      <c r="K761" s="5">
        <f t="shared" si="124"/>
        <v>0.11479784825613515</v>
      </c>
      <c r="M761" s="29">
        <v>0.98499999999999999</v>
      </c>
      <c r="N761" s="16">
        <v>0.4</v>
      </c>
      <c r="O761" s="9">
        <v>596.89940932019431</v>
      </c>
      <c r="P761" s="16"/>
      <c r="Q761" s="5"/>
    </row>
    <row r="762" spans="2:17">
      <c r="B762" t="s">
        <v>2240</v>
      </c>
      <c r="D762" s="88">
        <v>282.57075485634886</v>
      </c>
      <c r="E762" s="88">
        <v>313.70430150282766</v>
      </c>
      <c r="F762" s="88">
        <v>322.75080444835532</v>
      </c>
      <c r="G762" s="88">
        <v>328.76812672922938</v>
      </c>
      <c r="H762" s="88">
        <v>331.54620961237316</v>
      </c>
      <c r="I762" s="88">
        <v>339.29417718205866</v>
      </c>
      <c r="J762" s="88">
        <v>345.50632700460926</v>
      </c>
      <c r="K762" s="5">
        <f t="shared" si="124"/>
        <v>3.4081572070613131E-2</v>
      </c>
      <c r="M762" s="29">
        <v>0.9</v>
      </c>
      <c r="N762" s="16">
        <v>0.35</v>
      </c>
      <c r="O762" s="9">
        <v>454.23441760467472</v>
      </c>
      <c r="P762" s="16">
        <f>(D762*M762)/D$775</f>
        <v>0.18051194353349576</v>
      </c>
      <c r="Q762" s="5">
        <v>1.17</v>
      </c>
    </row>
    <row r="763" spans="2:17">
      <c r="B763" t="s">
        <v>2241</v>
      </c>
      <c r="D763" s="88">
        <v>133.49690938806506</v>
      </c>
      <c r="E763" s="88">
        <v>135.59471543625571</v>
      </c>
      <c r="F763" s="88">
        <v>172.78333517832692</v>
      </c>
      <c r="G763" s="88">
        <v>227.61847354513392</v>
      </c>
      <c r="H763" s="88">
        <v>292.15857567765812</v>
      </c>
      <c r="I763" s="88">
        <v>367.01174182943157</v>
      </c>
      <c r="J763" s="88">
        <v>445.94739341878676</v>
      </c>
      <c r="K763" s="5">
        <f t="shared" si="124"/>
        <v>0.22264976786109236</v>
      </c>
      <c r="M763" s="29">
        <v>0.95</v>
      </c>
      <c r="N763" s="16">
        <v>0.3</v>
      </c>
      <c r="O763" s="9">
        <v>110.9771156884382</v>
      </c>
      <c r="P763" s="16">
        <f>(D763*M763)/D$775</f>
        <v>9.0018347803917417E-2</v>
      </c>
      <c r="Q763" s="5">
        <v>0.52</v>
      </c>
    </row>
    <row r="764" spans="2:17">
      <c r="B764" t="s">
        <v>1308</v>
      </c>
      <c r="D764" s="88">
        <v>80.316397362314959</v>
      </c>
      <c r="E764" s="88">
        <v>93.961854163211413</v>
      </c>
      <c r="F764" s="88">
        <v>110.1369247465437</v>
      </c>
      <c r="G764" s="88">
        <v>129.77138421417095</v>
      </c>
      <c r="H764" s="88">
        <v>149.49008098672999</v>
      </c>
      <c r="I764" s="88">
        <v>162.01135755498177</v>
      </c>
      <c r="J764" s="88">
        <v>168.54041526444752</v>
      </c>
      <c r="K764" s="5">
        <f t="shared" si="124"/>
        <v>0.13148805449778345</v>
      </c>
      <c r="M764" s="29">
        <v>1</v>
      </c>
      <c r="N764" s="16">
        <v>0.25</v>
      </c>
      <c r="O764" s="9">
        <v>8.5684696158758484</v>
      </c>
      <c r="P764" s="16">
        <f>(D764*M764)/D$775</f>
        <v>5.7008608508023341E-2</v>
      </c>
      <c r="Q764" s="5">
        <v>0.22500000000000001</v>
      </c>
    </row>
    <row r="765" spans="2:17">
      <c r="B765" t="s">
        <v>2242</v>
      </c>
      <c r="D765" s="88">
        <v>163.31126709422429</v>
      </c>
      <c r="E765" s="88">
        <v>216.59369993692764</v>
      </c>
      <c r="F765" s="88">
        <v>263.86470906253493</v>
      </c>
      <c r="G765" s="88">
        <v>299.70044210621887</v>
      </c>
      <c r="H765" s="88">
        <v>339.62150012864271</v>
      </c>
      <c r="I765" s="88">
        <v>370.69347342376938</v>
      </c>
      <c r="J765" s="88">
        <v>393.87248853101147</v>
      </c>
      <c r="K765" s="5">
        <f t="shared" si="124"/>
        <v>0.15803917096897591</v>
      </c>
      <c r="M765" s="29">
        <v>1</v>
      </c>
      <c r="N765" s="16">
        <v>0.3</v>
      </c>
      <c r="O765" s="9">
        <v>613.05413225471955</v>
      </c>
      <c r="P765" s="16">
        <f>(D765*M765)/D$775</f>
        <v>0.11591839769312483</v>
      </c>
      <c r="Q765" s="5">
        <v>0.21299999999999999</v>
      </c>
    </row>
    <row r="766" spans="2:17">
      <c r="B766" s="4" t="s">
        <v>2243</v>
      </c>
      <c r="C766" s="4"/>
      <c r="D766" s="88">
        <v>167.03276522430639</v>
      </c>
      <c r="E766" s="88">
        <v>200.21529793579253</v>
      </c>
      <c r="F766" s="88">
        <v>233.64698395661114</v>
      </c>
      <c r="G766" s="88">
        <v>269.00292225082751</v>
      </c>
      <c r="H766" s="88">
        <v>307.54164025072271</v>
      </c>
      <c r="I766" s="88">
        <v>346.12396165599921</v>
      </c>
      <c r="J766" s="88">
        <v>384.09124903753781</v>
      </c>
      <c r="K766" s="5">
        <f t="shared" si="124"/>
        <v>0.14887326592071681</v>
      </c>
      <c r="M766" s="29">
        <v>0.9</v>
      </c>
      <c r="N766" s="16">
        <v>0.35</v>
      </c>
      <c r="O766" s="9">
        <v>642.3439339796837</v>
      </c>
      <c r="P766" s="16">
        <f>(D766*M766)/D$775</f>
        <v>0.10670392659616099</v>
      </c>
      <c r="Q766" s="5">
        <v>0.15</v>
      </c>
    </row>
    <row r="767" spans="2:17">
      <c r="B767" t="s">
        <v>1309</v>
      </c>
      <c r="D767" s="88">
        <v>1322.7331817069569</v>
      </c>
      <c r="E767" s="88">
        <v>1342.3265466365772</v>
      </c>
      <c r="F767" s="88">
        <v>1606.036046434393</v>
      </c>
      <c r="G767" s="88">
        <v>1848.1365452958057</v>
      </c>
      <c r="H767" s="88">
        <v>2106.9465216701592</v>
      </c>
      <c r="I767" s="88">
        <v>2360.4894968681842</v>
      </c>
      <c r="J767" s="88">
        <v>2530.3900412273915</v>
      </c>
      <c r="K767" s="5">
        <f t="shared" si="124"/>
        <v>0.11417276141936039</v>
      </c>
      <c r="M767" s="29">
        <v>0.65700000000000003</v>
      </c>
      <c r="N767" s="16">
        <v>0.3</v>
      </c>
      <c r="O767" s="9">
        <v>2982.1987190098289</v>
      </c>
      <c r="P767" s="16"/>
      <c r="Q767" s="5"/>
    </row>
    <row r="768" spans="2:17">
      <c r="B768" t="s">
        <v>577</v>
      </c>
      <c r="D768" s="88">
        <v>43.060219841337329</v>
      </c>
      <c r="E768" s="88">
        <v>46.916768404670371</v>
      </c>
      <c r="F768" s="88">
        <v>50.212963229407151</v>
      </c>
      <c r="G768" s="88">
        <v>53.648781608811774</v>
      </c>
      <c r="H768" s="88">
        <v>61.501472858640497</v>
      </c>
      <c r="I768" s="88">
        <v>69.543847128508759</v>
      </c>
      <c r="J768" s="88">
        <v>77.566763123942465</v>
      </c>
      <c r="K768" s="5">
        <f t="shared" si="124"/>
        <v>0.10306195102932603</v>
      </c>
      <c r="M768" s="29">
        <v>1</v>
      </c>
      <c r="N768" s="16">
        <v>0.3</v>
      </c>
      <c r="O768" s="9">
        <v>69.571400104374618</v>
      </c>
      <c r="P768" s="16"/>
      <c r="Q768" s="5"/>
    </row>
    <row r="769" spans="2:17">
      <c r="B769" t="s">
        <v>578</v>
      </c>
      <c r="D769" s="88">
        <v>351.00796794775511</v>
      </c>
      <c r="E769" s="88">
        <v>411.40030859477451</v>
      </c>
      <c r="F769" s="88">
        <v>472.03125899727735</v>
      </c>
      <c r="G769" s="88">
        <v>522.29472705873661</v>
      </c>
      <c r="H769" s="88">
        <v>568.64355045531886</v>
      </c>
      <c r="I769" s="88">
        <v>624.79219511842484</v>
      </c>
      <c r="J769" s="88">
        <v>693.28191554730677</v>
      </c>
      <c r="K769" s="5">
        <f t="shared" si="124"/>
        <v>0.12012240126847007</v>
      </c>
      <c r="M769" s="29">
        <v>0.6</v>
      </c>
      <c r="N769" s="16">
        <v>0.3</v>
      </c>
      <c r="O769" s="9">
        <v>1435.7642690435075</v>
      </c>
      <c r="P769" s="16"/>
      <c r="Q769" s="5"/>
    </row>
    <row r="770" spans="2:17">
      <c r="B770" t="s">
        <v>2245</v>
      </c>
      <c r="D770" s="88">
        <v>107.57695561226275</v>
      </c>
      <c r="E770" s="88">
        <v>144.95671636703685</v>
      </c>
      <c r="F770" s="88">
        <v>186.69563304553631</v>
      </c>
      <c r="G770" s="88">
        <v>224.46076401603418</v>
      </c>
      <c r="H770" s="88">
        <v>241.09766509105941</v>
      </c>
      <c r="I770" s="88">
        <v>264.04548129966827</v>
      </c>
      <c r="J770" s="88">
        <v>286.39693129168512</v>
      </c>
      <c r="K770" s="5">
        <f t="shared" si="124"/>
        <v>0.17726667817923869</v>
      </c>
      <c r="M770" s="29">
        <v>1</v>
      </c>
      <c r="N770" s="16">
        <v>0.3</v>
      </c>
      <c r="O770" s="9">
        <v>178.5063121196381</v>
      </c>
      <c r="P770" s="16">
        <f>(D770*M770)/D$775</f>
        <v>7.6358162820959058E-2</v>
      </c>
      <c r="Q770" s="5">
        <v>0.22</v>
      </c>
    </row>
    <row r="771" spans="2:17">
      <c r="B771" t="s">
        <v>2246</v>
      </c>
      <c r="D771" s="88">
        <v>287.25003369369227</v>
      </c>
      <c r="E771" s="88">
        <v>369.22238958542232</v>
      </c>
      <c r="F771" s="88">
        <v>389.56476997513494</v>
      </c>
      <c r="G771" s="88">
        <v>386.88295388406686</v>
      </c>
      <c r="H771" s="88">
        <v>390.99953600126003</v>
      </c>
      <c r="I771" s="88">
        <v>388.47646990222887</v>
      </c>
      <c r="J771" s="88">
        <v>379.35497883671957</v>
      </c>
      <c r="K771" s="5">
        <f t="shared" si="124"/>
        <v>4.7444329549718223E-2</v>
      </c>
      <c r="M771" s="29">
        <v>0.78879999999999995</v>
      </c>
      <c r="N771" s="16">
        <v>0.35</v>
      </c>
      <c r="O771" s="9">
        <v>751.21840477009982</v>
      </c>
      <c r="P771" s="16">
        <f>(D771*M771)/D$775</f>
        <v>0.16082857398013337</v>
      </c>
      <c r="Q771" s="5">
        <v>0.35</v>
      </c>
    </row>
    <row r="772" spans="2:17">
      <c r="B772" s="11" t="s">
        <v>2382</v>
      </c>
      <c r="C772" s="11"/>
      <c r="D772" s="89">
        <v>88.373479666034456</v>
      </c>
      <c r="E772" s="89">
        <v>150.85984500424868</v>
      </c>
      <c r="F772" s="89">
        <v>175.56930294340637</v>
      </c>
      <c r="G772" s="89">
        <v>227.99664323454547</v>
      </c>
      <c r="H772" s="89">
        <v>276.07405987870931</v>
      </c>
      <c r="I772" s="89">
        <v>310.80185304648666</v>
      </c>
      <c r="J772" s="89">
        <v>347.08600368487072</v>
      </c>
      <c r="K772" s="17">
        <f t="shared" si="124"/>
        <v>0.25608546728995596</v>
      </c>
      <c r="M772" s="150">
        <v>0.75</v>
      </c>
      <c r="N772" s="20">
        <v>0.3</v>
      </c>
      <c r="O772" s="13">
        <v>163.95410373742484</v>
      </c>
      <c r="P772" s="20"/>
      <c r="Q772" s="17"/>
    </row>
    <row r="773" spans="2:17">
      <c r="B773" s="2" t="s">
        <v>1831</v>
      </c>
      <c r="C773" s="2"/>
      <c r="D773" s="28">
        <f t="shared" ref="D773:J773" si="125">SUM(D758:D772)</f>
        <v>3834.4397511117004</v>
      </c>
      <c r="E773" s="28">
        <f t="shared" si="125"/>
        <v>4305.6710328331374</v>
      </c>
      <c r="F773" s="28">
        <f t="shared" si="125"/>
        <v>4994.5839760145118</v>
      </c>
      <c r="G773" s="28">
        <f t="shared" si="125"/>
        <v>5651.3898848210329</v>
      </c>
      <c r="H773" s="28">
        <f t="shared" si="125"/>
        <v>6303.6418257052792</v>
      </c>
      <c r="I773" s="28">
        <f t="shared" si="125"/>
        <v>6960.0250624985365</v>
      </c>
      <c r="J773" s="28">
        <f t="shared" si="125"/>
        <v>7530.4864285481435</v>
      </c>
      <c r="K773" s="18">
        <f t="shared" si="124"/>
        <v>0.11906037666045366</v>
      </c>
      <c r="O773" s="9">
        <f>SUM(O758:O772)</f>
        <v>9176.5614201651933</v>
      </c>
      <c r="Q773" s="5"/>
    </row>
    <row r="774" spans="2:17">
      <c r="B774" s="4" t="s">
        <v>2089</v>
      </c>
      <c r="C774" s="4"/>
      <c r="D774" s="27">
        <f t="shared" ref="D774:J774" si="126">D773-D759-D769-D772-D761-D767</f>
        <v>1583.3549600311369</v>
      </c>
      <c r="E774" s="27">
        <f t="shared" si="126"/>
        <v>1844.1962872389547</v>
      </c>
      <c r="F774" s="27">
        <f t="shared" si="126"/>
        <v>2078.7530392947797</v>
      </c>
      <c r="G774" s="27">
        <f t="shared" si="126"/>
        <v>2286.2138567661646</v>
      </c>
      <c r="H774" s="27">
        <f t="shared" si="126"/>
        <v>2497.7011626767635</v>
      </c>
      <c r="I774" s="27">
        <f t="shared" si="126"/>
        <v>2717.1287408708781</v>
      </c>
      <c r="J774" s="27">
        <f t="shared" si="126"/>
        <v>2918.8642145176609</v>
      </c>
      <c r="M774" s="98" t="s">
        <v>659</v>
      </c>
      <c r="N774" s="36">
        <f>((M758*N758)+(M760*N760)+(M762*N762)+(M763*N763)+(M764*N764)+(M765*N765)+(M766*N766)+(M770*N770)+(M771*N771))/9</f>
        <v>0.30011999999999994</v>
      </c>
      <c r="O774" s="31">
        <f>O758+O760+O762+O763+O764+O765+O766+O770+O771</f>
        <v>3364.5829316837653</v>
      </c>
      <c r="Q774" s="16">
        <v>0.49074966380815199</v>
      </c>
    </row>
    <row r="775" spans="2:17">
      <c r="B775" s="4" t="s">
        <v>2088</v>
      </c>
      <c r="C775" s="4"/>
      <c r="D775" s="27">
        <f t="shared" ref="D775:J775" si="127">$M$758*D758+$M$760*D760+D762*$M$762+D763*$M$763+D764*$M$764++$M$765*D765+$M$766*D766+$M$770*D770+$M$771*D771</f>
        <v>1408.8468297031193</v>
      </c>
      <c r="E775" s="27">
        <f t="shared" si="127"/>
        <v>1642.1965772377364</v>
      </c>
      <c r="F775" s="27">
        <f t="shared" si="127"/>
        <v>1861.5378429824507</v>
      </c>
      <c r="G775" s="27">
        <f t="shared" si="127"/>
        <v>2058.1011034457138</v>
      </c>
      <c r="H775" s="27">
        <f t="shared" si="127"/>
        <v>2252.144098704518</v>
      </c>
      <c r="I775" s="27">
        <f t="shared" si="127"/>
        <v>2454.4658591401271</v>
      </c>
      <c r="J775" s="27">
        <f t="shared" si="127"/>
        <v>2640.317911595142</v>
      </c>
    </row>
    <row r="776" spans="2:17">
      <c r="B776" t="s">
        <v>1310</v>
      </c>
    </row>
    <row r="777" spans="2:17">
      <c r="B777" s="2" t="s">
        <v>1311</v>
      </c>
      <c r="C777" s="2"/>
      <c r="D777" s="28">
        <f t="shared" ref="D777:J777" si="128">D773+D776</f>
        <v>3834.4397511117004</v>
      </c>
      <c r="E777" s="28">
        <f t="shared" si="128"/>
        <v>4305.6710328331374</v>
      </c>
      <c r="F777" s="28">
        <f t="shared" si="128"/>
        <v>4994.5839760145118</v>
      </c>
      <c r="G777" s="28">
        <f t="shared" si="128"/>
        <v>5651.3898848210329</v>
      </c>
      <c r="H777" s="28">
        <f t="shared" si="128"/>
        <v>6303.6418257052792</v>
      </c>
      <c r="I777" s="28">
        <f t="shared" si="128"/>
        <v>6960.0250624985365</v>
      </c>
      <c r="J777" s="28">
        <f t="shared" si="128"/>
        <v>7530.4864285481435</v>
      </c>
    </row>
    <row r="779" spans="2:17">
      <c r="B779" s="23" t="s">
        <v>954</v>
      </c>
      <c r="C779" s="23"/>
      <c r="D779" s="23">
        <v>2009</v>
      </c>
      <c r="E779" s="23">
        <f t="shared" ref="E779:J779" si="129">D779+1</f>
        <v>2010</v>
      </c>
      <c r="F779" s="23">
        <f t="shared" si="129"/>
        <v>2011</v>
      </c>
      <c r="G779" s="23">
        <f t="shared" si="129"/>
        <v>2012</v>
      </c>
      <c r="H779" s="23">
        <f t="shared" si="129"/>
        <v>2013</v>
      </c>
      <c r="I779" s="23">
        <f t="shared" si="129"/>
        <v>2014</v>
      </c>
      <c r="J779" s="23">
        <f t="shared" si="129"/>
        <v>2015</v>
      </c>
      <c r="K779" s="96" t="str">
        <f>K757</f>
        <v>09-15e</v>
      </c>
    </row>
    <row r="780" spans="2:17">
      <c r="B780" t="str">
        <f t="shared" ref="B780:B794" si="130">B758</f>
        <v>Burkina Faso</v>
      </c>
      <c r="D780" s="356">
        <v>53.459531171569836</v>
      </c>
      <c r="E780" s="356">
        <v>56.160624199050751</v>
      </c>
      <c r="F780" s="356">
        <v>62.188679052034409</v>
      </c>
      <c r="G780" s="356">
        <v>66.174845286458165</v>
      </c>
      <c r="H780" s="9">
        <v>67.05382697154397</v>
      </c>
      <c r="I780" s="9">
        <v>71.452784599692976</v>
      </c>
      <c r="J780" s="9">
        <v>76.255728392695559</v>
      </c>
      <c r="K780" s="5">
        <f t="shared" ref="K780:K793" si="131">(J780/D780)^(1/6)-1</f>
        <v>6.0981687363266701E-2</v>
      </c>
    </row>
    <row r="781" spans="2:17">
      <c r="B781" t="str">
        <f t="shared" si="130"/>
        <v>Chad</v>
      </c>
      <c r="D781" s="356">
        <v>62.793717538071078</v>
      </c>
      <c r="E781" s="356">
        <v>75.452104796473336</v>
      </c>
      <c r="F781" s="356">
        <v>96.803133103947417</v>
      </c>
      <c r="G781" s="356">
        <v>117.7093078589221</v>
      </c>
      <c r="H781" s="9">
        <v>127.64635111536144</v>
      </c>
      <c r="I781" s="9">
        <v>139.84435912267045</v>
      </c>
      <c r="J781" s="9">
        <v>153.10253943358182</v>
      </c>
      <c r="K781" s="5">
        <f t="shared" si="131"/>
        <v>0.16014168898655234</v>
      </c>
    </row>
    <row r="782" spans="2:17">
      <c r="B782" t="str">
        <f t="shared" si="130"/>
        <v>Congo Brazzaville</v>
      </c>
      <c r="D782" s="356">
        <v>55.521967090001006</v>
      </c>
      <c r="E782" s="356">
        <v>60.580727041378331</v>
      </c>
      <c r="F782" s="356">
        <v>69.520507420183165</v>
      </c>
      <c r="G782" s="356">
        <v>75.586921466221</v>
      </c>
      <c r="H782" s="9">
        <v>79.785219306312669</v>
      </c>
      <c r="I782" s="9">
        <v>83.422390983464609</v>
      </c>
      <c r="J782" s="9">
        <v>87.689045401393017</v>
      </c>
      <c r="K782" s="5">
        <f t="shared" si="131"/>
        <v>7.9145696082942862E-2</v>
      </c>
    </row>
    <row r="783" spans="2:17">
      <c r="B783" t="str">
        <f t="shared" si="130"/>
        <v>Democratic Republic of the Congo</v>
      </c>
      <c r="D783" s="356">
        <v>72.616195224669156</v>
      </c>
      <c r="E783" s="356">
        <v>84.699290174501925</v>
      </c>
      <c r="F783" s="356">
        <v>103.61056274331889</v>
      </c>
      <c r="G783" s="356">
        <v>123.25138401242057</v>
      </c>
      <c r="H783" s="9">
        <v>135.73599183208114</v>
      </c>
      <c r="I783" s="9">
        <v>149.30046969697167</v>
      </c>
      <c r="J783" s="9">
        <v>181.5222190988226</v>
      </c>
      <c r="K783" s="5">
        <f t="shared" si="131"/>
        <v>0.1649735104749126</v>
      </c>
    </row>
    <row r="784" spans="2:17">
      <c r="B784" t="str">
        <f t="shared" si="130"/>
        <v>Gabon</v>
      </c>
      <c r="D784" s="356">
        <v>113.02830194253954</v>
      </c>
      <c r="E784" s="356">
        <v>119.20763457107451</v>
      </c>
      <c r="F784" s="356">
        <v>119.41779764589147</v>
      </c>
      <c r="G784" s="356">
        <v>118.35652562252257</v>
      </c>
      <c r="H784" s="9">
        <v>117.69890441239247</v>
      </c>
      <c r="I784" s="9">
        <v>118.75296201372052</v>
      </c>
      <c r="J784" s="9">
        <v>120.92721445161324</v>
      </c>
      <c r="K784" s="5">
        <f t="shared" si="131"/>
        <v>1.1322045327648134E-2</v>
      </c>
    </row>
    <row r="785" spans="2:11">
      <c r="B785" t="str">
        <f t="shared" si="130"/>
        <v>Kenya</v>
      </c>
      <c r="D785" s="356">
        <v>4.0049072816419518</v>
      </c>
      <c r="E785" s="356">
        <v>8.1356829261753418</v>
      </c>
      <c r="F785" s="356">
        <v>17.278333517832692</v>
      </c>
      <c r="G785" s="356">
        <v>34.142771031770089</v>
      </c>
      <c r="H785" s="9">
        <v>58.431715135531626</v>
      </c>
      <c r="I785" s="9">
        <v>91.752935457357893</v>
      </c>
      <c r="J785" s="9">
        <v>111.48684835469669</v>
      </c>
      <c r="K785" s="5">
        <f t="shared" si="131"/>
        <v>0.74089213029997358</v>
      </c>
    </row>
    <row r="786" spans="2:11">
      <c r="B786" t="str">
        <f t="shared" si="130"/>
        <v>Madagascar</v>
      </c>
      <c r="D786" s="356">
        <v>14.456951525216692</v>
      </c>
      <c r="E786" s="356">
        <v>17.852752291010169</v>
      </c>
      <c r="F786" s="356">
        <v>22.02738494930874</v>
      </c>
      <c r="G786" s="356">
        <v>28.549704527117608</v>
      </c>
      <c r="H786" s="9">
        <v>35.877619436815195</v>
      </c>
      <c r="I786" s="9">
        <v>40.502839388745443</v>
      </c>
      <c r="J786" s="9">
        <v>42.135103816111879</v>
      </c>
      <c r="K786" s="5">
        <f t="shared" si="131"/>
        <v>0.19516506629790231</v>
      </c>
    </row>
    <row r="787" spans="2:11">
      <c r="B787" t="str">
        <f t="shared" si="130"/>
        <v>Malawi</v>
      </c>
      <c r="D787" s="356">
        <v>65.324506837689725</v>
      </c>
      <c r="E787" s="356">
        <v>90.969353973509598</v>
      </c>
      <c r="F787" s="356">
        <v>113.46182489689002</v>
      </c>
      <c r="G787" s="356">
        <v>127.37268789514302</v>
      </c>
      <c r="H787" s="9">
        <v>142.64103005402993</v>
      </c>
      <c r="I787" s="9">
        <v>151.98432410374542</v>
      </c>
      <c r="J787" s="9">
        <v>157.54899541240459</v>
      </c>
      <c r="K787" s="5">
        <f t="shared" si="131"/>
        <v>0.15803917096897591</v>
      </c>
    </row>
    <row r="788" spans="2:11">
      <c r="B788" t="str">
        <f t="shared" si="130"/>
        <v>Niger</v>
      </c>
      <c r="D788" s="356">
        <v>80.17572730766706</v>
      </c>
      <c r="E788" s="356">
        <v>97.104419498859372</v>
      </c>
      <c r="F788" s="356">
        <v>112.15055229917334</v>
      </c>
      <c r="G788" s="356">
        <v>128.44889537477013</v>
      </c>
      <c r="H788" s="9">
        <v>146.08227911909327</v>
      </c>
      <c r="I788" s="9">
        <v>159.21702236175963</v>
      </c>
      <c r="J788" s="9">
        <v>172.84106206689202</v>
      </c>
      <c r="K788" s="5">
        <f t="shared" si="131"/>
        <v>0.13658172731616358</v>
      </c>
    </row>
    <row r="789" spans="2:11">
      <c r="B789" t="str">
        <f t="shared" si="130"/>
        <v>Nigeria - Vmnbile</v>
      </c>
      <c r="D789" s="356">
        <v>462.95661359743485</v>
      </c>
      <c r="E789" s="356">
        <v>463.10265858961907</v>
      </c>
      <c r="F789" s="356">
        <v>562.11284509425877</v>
      </c>
      <c r="G789" s="356">
        <v>646.84805419237364</v>
      </c>
      <c r="H789" s="9">
        <v>758.50014079721905</v>
      </c>
      <c r="I789" s="9">
        <v>849.77553882364998</v>
      </c>
      <c r="J789" s="9">
        <v>910.93968584520246</v>
      </c>
      <c r="K789" s="5">
        <f t="shared" si="131"/>
        <v>0.11941611595334112</v>
      </c>
    </row>
    <row r="790" spans="2:11">
      <c r="B790" t="str">
        <f t="shared" si="130"/>
        <v>Sierra Leone</v>
      </c>
      <c r="D790" s="356">
        <v>4.7366241825471063</v>
      </c>
      <c r="E790" s="356">
        <v>5.6300122085604443</v>
      </c>
      <c r="F790" s="356">
        <v>6.5276852198229296</v>
      </c>
      <c r="G790" s="356">
        <v>9.120292873498002</v>
      </c>
      <c r="H790" s="9">
        <v>12.3002945717281</v>
      </c>
      <c r="I790" s="9">
        <v>17.38596178212719</v>
      </c>
      <c r="J790" s="9">
        <v>19.391690780985616</v>
      </c>
      <c r="K790" s="5">
        <f t="shared" si="131"/>
        <v>0.26480757583366077</v>
      </c>
    </row>
    <row r="791" spans="2:11">
      <c r="B791" t="str">
        <f t="shared" si="130"/>
        <v>Tanzania</v>
      </c>
      <c r="D791" s="356">
        <v>147.42334653805713</v>
      </c>
      <c r="E791" s="356">
        <v>168.67412652385755</v>
      </c>
      <c r="F791" s="356">
        <v>195.8929724838701</v>
      </c>
      <c r="G791" s="356">
        <v>214.140838094082</v>
      </c>
      <c r="H791" s="9">
        <v>230.30063793440411</v>
      </c>
      <c r="I791" s="9">
        <v>249.91687804736992</v>
      </c>
      <c r="J791" s="9">
        <v>273.84635664118616</v>
      </c>
      <c r="K791" s="5">
        <f t="shared" si="131"/>
        <v>0.10872400434319007</v>
      </c>
    </row>
    <row r="792" spans="2:11">
      <c r="B792" t="str">
        <f t="shared" si="130"/>
        <v>Uganda</v>
      </c>
      <c r="D792" s="356">
        <v>13.985004229594159</v>
      </c>
      <c r="E792" s="356">
        <v>26.092208946066631</v>
      </c>
      <c r="F792" s="356">
        <v>41.073039270017986</v>
      </c>
      <c r="G792" s="356">
        <v>56.115191004008544</v>
      </c>
      <c r="H792" s="9">
        <v>60.274416272764853</v>
      </c>
      <c r="I792" s="9">
        <v>79.21364438990048</v>
      </c>
      <c r="J792" s="9">
        <v>85.919079387505533</v>
      </c>
      <c r="K792" s="5">
        <f t="shared" si="131"/>
        <v>0.35333247107407995</v>
      </c>
    </row>
    <row r="793" spans="2:11">
      <c r="B793" t="str">
        <f t="shared" si="130"/>
        <v>Zambia</v>
      </c>
      <c r="D793" s="356">
        <v>123.51751448828767</v>
      </c>
      <c r="E793" s="356">
        <v>155.07340362587738</v>
      </c>
      <c r="F793" s="356">
        <v>171.40849878905937</v>
      </c>
      <c r="G793" s="356">
        <v>174.09732924783009</v>
      </c>
      <c r="H793" s="9">
        <v>173.01729468055757</v>
      </c>
      <c r="I793" s="9">
        <v>168.01607323271398</v>
      </c>
      <c r="J793" s="9">
        <v>164.07102834688121</v>
      </c>
      <c r="K793" s="5">
        <f t="shared" si="131"/>
        <v>4.8456844951226596E-2</v>
      </c>
    </row>
    <row r="794" spans="2:11">
      <c r="B794" s="11" t="str">
        <f t="shared" si="130"/>
        <v>Ghana</v>
      </c>
      <c r="C794" s="11"/>
      <c r="D794" s="357">
        <v>-61.861435766224112</v>
      </c>
      <c r="E794" s="357">
        <v>-15.085984500424869</v>
      </c>
      <c r="F794" s="357">
        <v>17.556930294340638</v>
      </c>
      <c r="G794" s="357">
        <v>45.5993286469091</v>
      </c>
      <c r="H794" s="13">
        <v>69.018514969677327</v>
      </c>
      <c r="I794" s="13">
        <v>93.240555913945997</v>
      </c>
      <c r="J794" s="13">
        <v>104.12580110546121</v>
      </c>
      <c r="K794" s="5"/>
    </row>
    <row r="795" spans="2:11">
      <c r="B795" s="2" t="s">
        <v>1831</v>
      </c>
      <c r="C795" s="2"/>
      <c r="D795" s="28">
        <f t="shared" ref="D795:J795" si="132">SUM(D780:D794)</f>
        <v>1212.1394731887628</v>
      </c>
      <c r="E795" s="28">
        <f t="shared" si="132"/>
        <v>1413.6490148655892</v>
      </c>
      <c r="F795" s="28">
        <f t="shared" si="132"/>
        <v>1711.0307467799498</v>
      </c>
      <c r="G795" s="28">
        <f t="shared" si="132"/>
        <v>1965.5140771340464</v>
      </c>
      <c r="H795" s="28">
        <f t="shared" si="132"/>
        <v>2214.3642366095123</v>
      </c>
      <c r="I795" s="28">
        <f t="shared" si="132"/>
        <v>2463.7787399178364</v>
      </c>
      <c r="J795" s="28">
        <f t="shared" si="132"/>
        <v>2661.8023985354334</v>
      </c>
      <c r="K795" s="18">
        <f>(J795/D795)^(1/6)-1</f>
        <v>0.14008492450136933</v>
      </c>
    </row>
    <row r="796" spans="2:11">
      <c r="B796" s="4" t="str">
        <f>B774</f>
        <v>ex-overlap, SL, Nigeria, Sudantel</v>
      </c>
      <c r="C796" s="4"/>
      <c r="D796" s="27">
        <f t="shared" ref="D796:J796" si="133">D795-D781-D791-D794-D783-D789</f>
        <v>528.21103605675466</v>
      </c>
      <c r="E796" s="27">
        <f t="shared" si="133"/>
        <v>636.80681928156241</v>
      </c>
      <c r="F796" s="27">
        <f t="shared" si="133"/>
        <v>735.0543030602139</v>
      </c>
      <c r="G796" s="27">
        <f t="shared" si="133"/>
        <v>817.9651643293389</v>
      </c>
      <c r="H796" s="27">
        <f t="shared" si="133"/>
        <v>893.16259996076906</v>
      </c>
      <c r="I796" s="27">
        <f t="shared" si="133"/>
        <v>981.70093831322799</v>
      </c>
      <c r="J796" s="27">
        <f t="shared" si="133"/>
        <v>1038.2657964111791</v>
      </c>
      <c r="K796" s="5">
        <f>(J796/D796)^(1/6)-1</f>
        <v>0.11922356636306963</v>
      </c>
    </row>
    <row r="797" spans="2:11">
      <c r="B797" s="4" t="s">
        <v>2087</v>
      </c>
      <c r="C797" s="4"/>
      <c r="D797" s="27">
        <f t="shared" ref="D797:J797" si="134">$M$758*D780+$M$760*D782+D784*$M$762+D785*$M$763+D786*$M$764++$M$765*D787+$M$766*D788+$M$770*D792+$M$771*D793</f>
        <v>472.31466781617843</v>
      </c>
      <c r="E797" s="27">
        <f t="shared" si="134"/>
        <v>570.32924196977683</v>
      </c>
      <c r="F797" s="27">
        <f t="shared" si="134"/>
        <v>661.35234048372536</v>
      </c>
      <c r="G797" s="27">
        <f t="shared" si="134"/>
        <v>738.12914272075977</v>
      </c>
      <c r="H797" s="27">
        <f t="shared" si="134"/>
        <v>807.04282671195142</v>
      </c>
      <c r="I797" s="27">
        <f t="shared" si="134"/>
        <v>888.10309755558944</v>
      </c>
      <c r="J797" s="27">
        <f t="shared" si="134"/>
        <v>940.50222983360777</v>
      </c>
      <c r="K797" s="5">
        <f>(J797/D797)^(1/6)-1</f>
        <v>0.12164321295657743</v>
      </c>
    </row>
    <row r="798" spans="2:11">
      <c r="B798" s="4" t="str">
        <f>B776</f>
        <v>Sudantel</v>
      </c>
      <c r="C798" s="4"/>
    </row>
    <row r="799" spans="2:11">
      <c r="B799" s="2" t="s">
        <v>1311</v>
      </c>
      <c r="C799" s="2"/>
      <c r="D799" s="28">
        <f t="shared" ref="D799:J799" si="135">D795+D798</f>
        <v>1212.1394731887628</v>
      </c>
      <c r="E799" s="28">
        <f t="shared" si="135"/>
        <v>1413.6490148655892</v>
      </c>
      <c r="F799" s="28">
        <f t="shared" si="135"/>
        <v>1711.0307467799498</v>
      </c>
      <c r="G799" s="28">
        <f t="shared" si="135"/>
        <v>1965.5140771340464</v>
      </c>
      <c r="H799" s="28">
        <f t="shared" si="135"/>
        <v>2214.3642366095123</v>
      </c>
      <c r="I799" s="28">
        <f t="shared" si="135"/>
        <v>2463.7787399178364</v>
      </c>
      <c r="J799" s="28">
        <f t="shared" si="135"/>
        <v>2661.8023985354334</v>
      </c>
    </row>
    <row r="801" spans="2:10">
      <c r="B801" s="23" t="s">
        <v>1542</v>
      </c>
      <c r="C801" s="23"/>
      <c r="D801" s="23">
        <f t="shared" ref="D801:J801" si="136">D779</f>
        <v>2009</v>
      </c>
      <c r="E801" s="23">
        <f t="shared" si="136"/>
        <v>2010</v>
      </c>
      <c r="F801" s="23">
        <f t="shared" si="136"/>
        <v>2011</v>
      </c>
      <c r="G801" s="23">
        <f t="shared" si="136"/>
        <v>2012</v>
      </c>
      <c r="H801" s="23">
        <f t="shared" si="136"/>
        <v>2013</v>
      </c>
      <c r="I801" s="23">
        <f t="shared" si="136"/>
        <v>2014</v>
      </c>
      <c r="J801" s="23">
        <f t="shared" si="136"/>
        <v>2015</v>
      </c>
    </row>
    <row r="802" spans="2:10">
      <c r="B802" t="str">
        <f t="shared" ref="B802:B818" si="137">B780</f>
        <v>Burkina Faso</v>
      </c>
      <c r="D802" s="16">
        <f t="shared" ref="D802:J811" si="138">D780/D758</f>
        <v>0.42</v>
      </c>
      <c r="E802" s="16">
        <f t="shared" si="138"/>
        <v>0.42</v>
      </c>
      <c r="F802" s="16">
        <f t="shared" si="138"/>
        <v>0.43</v>
      </c>
      <c r="G802" s="16">
        <f t="shared" si="138"/>
        <v>0.44000000000000006</v>
      </c>
      <c r="H802" s="16">
        <f t="shared" si="138"/>
        <v>0.435</v>
      </c>
      <c r="I802" s="16">
        <f t="shared" si="138"/>
        <v>0.42500000000000004</v>
      </c>
      <c r="J802" s="16">
        <f t="shared" si="138"/>
        <v>0.41999999999999993</v>
      </c>
    </row>
    <row r="803" spans="2:10">
      <c r="B803" t="str">
        <f t="shared" si="137"/>
        <v>Chad</v>
      </c>
      <c r="D803" s="16">
        <f t="shared" si="138"/>
        <v>0.41524629398248575</v>
      </c>
      <c r="E803" s="16">
        <f t="shared" si="138"/>
        <v>0.4</v>
      </c>
      <c r="F803" s="16">
        <f t="shared" si="138"/>
        <v>0.42000000000000004</v>
      </c>
      <c r="G803" s="16">
        <f t="shared" si="138"/>
        <v>0.43</v>
      </c>
      <c r="H803" s="16">
        <f t="shared" si="138"/>
        <v>0.41</v>
      </c>
      <c r="I803" s="16">
        <f t="shared" si="138"/>
        <v>0.4</v>
      </c>
      <c r="J803" s="16">
        <f t="shared" si="138"/>
        <v>0.39</v>
      </c>
    </row>
    <row r="804" spans="2:10">
      <c r="B804" t="str">
        <f t="shared" si="137"/>
        <v>Congo Brazzaville</v>
      </c>
      <c r="D804" s="16">
        <f t="shared" si="138"/>
        <v>0.28999999999999998</v>
      </c>
      <c r="E804" s="16">
        <f t="shared" si="138"/>
        <v>0.32</v>
      </c>
      <c r="F804" s="16">
        <f t="shared" si="138"/>
        <v>0.34</v>
      </c>
      <c r="G804" s="16">
        <f t="shared" si="138"/>
        <v>0.35</v>
      </c>
      <c r="H804" s="16">
        <f t="shared" si="138"/>
        <v>0.34749999999999998</v>
      </c>
      <c r="I804" s="16">
        <f t="shared" si="138"/>
        <v>0.34499999999999997</v>
      </c>
      <c r="J804" s="16">
        <f t="shared" si="138"/>
        <v>0.34249999999999997</v>
      </c>
    </row>
    <row r="805" spans="2:10">
      <c r="B805" t="str">
        <f t="shared" si="137"/>
        <v>Democratic Republic of the Congo</v>
      </c>
      <c r="D805" s="16">
        <f t="shared" si="138"/>
        <v>0.215</v>
      </c>
      <c r="E805" s="16">
        <f t="shared" si="138"/>
        <v>0.23</v>
      </c>
      <c r="F805" s="16">
        <f t="shared" si="138"/>
        <v>0.24</v>
      </c>
      <c r="G805" s="16">
        <f t="shared" si="138"/>
        <v>0.25</v>
      </c>
      <c r="H805" s="16">
        <f t="shared" si="138"/>
        <v>0.25</v>
      </c>
      <c r="I805" s="16">
        <f t="shared" si="138"/>
        <v>0.25</v>
      </c>
      <c r="J805" s="16">
        <f t="shared" si="138"/>
        <v>0.28000000000000003</v>
      </c>
    </row>
    <row r="806" spans="2:10">
      <c r="B806" t="str">
        <f t="shared" si="137"/>
        <v>Gabon</v>
      </c>
      <c r="D806" s="16">
        <f t="shared" si="138"/>
        <v>0.4</v>
      </c>
      <c r="E806" s="16">
        <f t="shared" si="138"/>
        <v>0.38</v>
      </c>
      <c r="F806" s="16">
        <f t="shared" si="138"/>
        <v>0.37</v>
      </c>
      <c r="G806" s="16">
        <f t="shared" si="138"/>
        <v>0.36</v>
      </c>
      <c r="H806" s="16">
        <f t="shared" si="138"/>
        <v>0.35499999999999998</v>
      </c>
      <c r="I806" s="16">
        <f t="shared" si="138"/>
        <v>0.35</v>
      </c>
      <c r="J806" s="16">
        <f t="shared" si="138"/>
        <v>0.35</v>
      </c>
    </row>
    <row r="807" spans="2:10">
      <c r="B807" t="str">
        <f t="shared" si="137"/>
        <v>Kenya</v>
      </c>
      <c r="D807" s="16">
        <f t="shared" si="138"/>
        <v>0.03</v>
      </c>
      <c r="E807" s="16">
        <f t="shared" si="138"/>
        <v>5.9999999999999991E-2</v>
      </c>
      <c r="F807" s="16">
        <f t="shared" si="138"/>
        <v>0.1</v>
      </c>
      <c r="G807" s="16">
        <f t="shared" si="138"/>
        <v>0.15</v>
      </c>
      <c r="H807" s="16">
        <f t="shared" si="138"/>
        <v>0.2</v>
      </c>
      <c r="I807" s="16">
        <f t="shared" si="138"/>
        <v>0.25</v>
      </c>
      <c r="J807" s="16">
        <f t="shared" si="138"/>
        <v>0.25</v>
      </c>
    </row>
    <row r="808" spans="2:10">
      <c r="B808" t="str">
        <f t="shared" si="137"/>
        <v>Madagascar</v>
      </c>
      <c r="D808" s="16">
        <f t="shared" si="138"/>
        <v>0.18</v>
      </c>
      <c r="E808" s="16">
        <f t="shared" si="138"/>
        <v>0.19</v>
      </c>
      <c r="F808" s="16">
        <f t="shared" si="138"/>
        <v>0.2</v>
      </c>
      <c r="G808" s="16">
        <f t="shared" si="138"/>
        <v>0.22</v>
      </c>
      <c r="H808" s="16">
        <f t="shared" si="138"/>
        <v>0.23999999999999996</v>
      </c>
      <c r="I808" s="16">
        <f t="shared" si="138"/>
        <v>0.25</v>
      </c>
      <c r="J808" s="16">
        <f t="shared" si="138"/>
        <v>0.25</v>
      </c>
    </row>
    <row r="809" spans="2:10">
      <c r="B809" t="str">
        <f t="shared" si="137"/>
        <v>Malawi</v>
      </c>
      <c r="D809" s="16">
        <f t="shared" si="138"/>
        <v>0.40000000000000008</v>
      </c>
      <c r="E809" s="16">
        <f t="shared" si="138"/>
        <v>0.42</v>
      </c>
      <c r="F809" s="16">
        <f t="shared" si="138"/>
        <v>0.43</v>
      </c>
      <c r="G809" s="16">
        <f t="shared" si="138"/>
        <v>0.42499999999999999</v>
      </c>
      <c r="H809" s="16">
        <f t="shared" si="138"/>
        <v>0.42</v>
      </c>
      <c r="I809" s="16">
        <f t="shared" si="138"/>
        <v>0.40999999999999992</v>
      </c>
      <c r="J809" s="16">
        <f t="shared" si="138"/>
        <v>0.4</v>
      </c>
    </row>
    <row r="810" spans="2:10">
      <c r="B810" t="str">
        <f t="shared" si="137"/>
        <v>Niger</v>
      </c>
      <c r="D810" s="16">
        <f t="shared" si="138"/>
        <v>0.48</v>
      </c>
      <c r="E810" s="16">
        <f t="shared" si="138"/>
        <v>0.48499999999999999</v>
      </c>
      <c r="F810" s="16">
        <f t="shared" si="138"/>
        <v>0.48</v>
      </c>
      <c r="G810" s="16">
        <f t="shared" si="138"/>
        <v>0.47749999999999998</v>
      </c>
      <c r="H810" s="16">
        <f t="shared" si="138"/>
        <v>0.47499999999999998</v>
      </c>
      <c r="I810" s="16">
        <f t="shared" si="138"/>
        <v>0.45999999999999996</v>
      </c>
      <c r="J810" s="16">
        <f t="shared" si="138"/>
        <v>0.45</v>
      </c>
    </row>
    <row r="811" spans="2:10">
      <c r="B811" t="str">
        <f t="shared" si="137"/>
        <v>Nigeria - Vmnbile</v>
      </c>
      <c r="D811" s="16">
        <f t="shared" si="138"/>
        <v>0.35</v>
      </c>
      <c r="E811" s="16">
        <f t="shared" si="138"/>
        <v>0.34499999999999997</v>
      </c>
      <c r="F811" s="16">
        <f t="shared" si="138"/>
        <v>0.35000014248884498</v>
      </c>
      <c r="G811" s="16">
        <f t="shared" si="138"/>
        <v>0.35000014248884492</v>
      </c>
      <c r="H811" s="16">
        <f t="shared" si="138"/>
        <v>0.35999971190344321</v>
      </c>
      <c r="I811" s="16">
        <f t="shared" si="138"/>
        <v>0.35999971190344321</v>
      </c>
      <c r="J811" s="16">
        <f t="shared" si="138"/>
        <v>0.3599997119034431</v>
      </c>
    </row>
    <row r="812" spans="2:10">
      <c r="B812" t="str">
        <f t="shared" si="137"/>
        <v>Sierra Leone</v>
      </c>
      <c r="D812" s="16">
        <f t="shared" ref="D812:J818" si="139">D790/D768</f>
        <v>0.11</v>
      </c>
      <c r="E812" s="16">
        <f t="shared" si="139"/>
        <v>0.12</v>
      </c>
      <c r="F812" s="16">
        <f t="shared" si="139"/>
        <v>0.13</v>
      </c>
      <c r="G812" s="16">
        <f t="shared" si="139"/>
        <v>0.17</v>
      </c>
      <c r="H812" s="16">
        <f t="shared" si="139"/>
        <v>0.2</v>
      </c>
      <c r="I812" s="16">
        <f t="shared" si="139"/>
        <v>0.25</v>
      </c>
      <c r="J812" s="16">
        <f t="shared" si="139"/>
        <v>0.25</v>
      </c>
    </row>
    <row r="813" spans="2:10">
      <c r="B813" t="str">
        <f t="shared" si="137"/>
        <v>Tanzania</v>
      </c>
      <c r="D813" s="16">
        <f t="shared" si="139"/>
        <v>0.42</v>
      </c>
      <c r="E813" s="16">
        <f t="shared" si="139"/>
        <v>0.41</v>
      </c>
      <c r="F813" s="16">
        <f t="shared" si="139"/>
        <v>0.41499999999999998</v>
      </c>
      <c r="G813" s="16">
        <f t="shared" si="139"/>
        <v>0.41</v>
      </c>
      <c r="H813" s="16">
        <f t="shared" si="139"/>
        <v>0.40499999999999997</v>
      </c>
      <c r="I813" s="16">
        <f t="shared" si="139"/>
        <v>0.39999999999999997</v>
      </c>
      <c r="J813" s="16">
        <f t="shared" si="139"/>
        <v>0.39499999999999996</v>
      </c>
    </row>
    <row r="814" spans="2:10">
      <c r="B814" t="str">
        <f t="shared" si="137"/>
        <v>Uganda</v>
      </c>
      <c r="D814" s="16">
        <f t="shared" si="139"/>
        <v>0.13</v>
      </c>
      <c r="E814" s="16">
        <f t="shared" si="139"/>
        <v>0.18</v>
      </c>
      <c r="F814" s="16">
        <f t="shared" si="139"/>
        <v>0.22</v>
      </c>
      <c r="G814" s="16">
        <f t="shared" si="139"/>
        <v>0.25</v>
      </c>
      <c r="H814" s="16">
        <f t="shared" si="139"/>
        <v>0.25</v>
      </c>
      <c r="I814" s="16">
        <f t="shared" si="139"/>
        <v>0.3</v>
      </c>
      <c r="J814" s="16">
        <f t="shared" si="139"/>
        <v>0.3</v>
      </c>
    </row>
    <row r="815" spans="2:10">
      <c r="B815" t="str">
        <f t="shared" si="137"/>
        <v>Zambia</v>
      </c>
      <c r="D815" s="16">
        <f t="shared" si="139"/>
        <v>0.43</v>
      </c>
      <c r="E815" s="16">
        <f t="shared" si="139"/>
        <v>0.42</v>
      </c>
      <c r="F815" s="16">
        <f t="shared" si="139"/>
        <v>0.44</v>
      </c>
      <c r="G815" s="16">
        <f t="shared" si="139"/>
        <v>0.45</v>
      </c>
      <c r="H815" s="16">
        <f t="shared" si="139"/>
        <v>0.4425</v>
      </c>
      <c r="I815" s="16">
        <f t="shared" si="139"/>
        <v>0.4325</v>
      </c>
      <c r="J815" s="16">
        <f t="shared" si="139"/>
        <v>0.4325</v>
      </c>
    </row>
    <row r="816" spans="2:10">
      <c r="B816" t="str">
        <f t="shared" si="137"/>
        <v>Ghana</v>
      </c>
      <c r="D816" s="16">
        <f t="shared" si="139"/>
        <v>-0.7</v>
      </c>
      <c r="E816" s="16">
        <f t="shared" si="139"/>
        <v>-0.1</v>
      </c>
      <c r="F816" s="16">
        <f t="shared" si="139"/>
        <v>0.1</v>
      </c>
      <c r="G816" s="16">
        <f t="shared" si="139"/>
        <v>0.2</v>
      </c>
      <c r="H816" s="16">
        <f t="shared" si="139"/>
        <v>0.25</v>
      </c>
      <c r="I816" s="16">
        <f t="shared" si="139"/>
        <v>0.3</v>
      </c>
      <c r="J816" s="16">
        <f t="shared" si="139"/>
        <v>0.3</v>
      </c>
    </row>
    <row r="817" spans="2:11">
      <c r="B817" s="23" t="str">
        <f t="shared" si="137"/>
        <v>Africa</v>
      </c>
      <c r="C817" s="23"/>
      <c r="D817" s="127">
        <f t="shared" si="139"/>
        <v>0.31611905568142862</v>
      </c>
      <c r="E817" s="127">
        <f t="shared" si="139"/>
        <v>0.3283225783125856</v>
      </c>
      <c r="F817" s="127">
        <f t="shared" si="139"/>
        <v>0.34257723065561257</v>
      </c>
      <c r="G817" s="127">
        <f t="shared" si="139"/>
        <v>0.347793041568975</v>
      </c>
      <c r="H817" s="127">
        <f t="shared" si="139"/>
        <v>0.3512833212667123</v>
      </c>
      <c r="I817" s="127">
        <f t="shared" si="139"/>
        <v>0.35398992356981251</v>
      </c>
      <c r="J817" s="127">
        <f t="shared" si="139"/>
        <v>0.35347018068374919</v>
      </c>
    </row>
    <row r="818" spans="2:11">
      <c r="B818" s="4" t="str">
        <f t="shared" si="137"/>
        <v>ex-overlap, SL, Nigeria, Sudantel</v>
      </c>
      <c r="C818" s="4"/>
      <c r="D818" s="36">
        <f t="shared" si="139"/>
        <v>0.33360241347674013</v>
      </c>
      <c r="E818" s="36">
        <f t="shared" si="139"/>
        <v>0.34530316739491984</v>
      </c>
      <c r="F818" s="36">
        <f t="shared" si="139"/>
        <v>0.35360347726037827</v>
      </c>
      <c r="G818" s="36">
        <f t="shared" si="139"/>
        <v>0.35778156182044385</v>
      </c>
      <c r="H818" s="36">
        <f t="shared" si="139"/>
        <v>0.35759386002910565</v>
      </c>
      <c r="I818" s="36">
        <f t="shared" si="139"/>
        <v>0.36130085540171314</v>
      </c>
      <c r="J818" s="36">
        <f t="shared" si="139"/>
        <v>0.35570883744681192</v>
      </c>
    </row>
    <row r="820" spans="2:11">
      <c r="B820" s="23" t="s">
        <v>1312</v>
      </c>
      <c r="C820" s="23"/>
      <c r="D820" s="23">
        <v>2009</v>
      </c>
      <c r="E820" s="23">
        <f t="shared" ref="E820:J820" si="140">D820+1</f>
        <v>2010</v>
      </c>
      <c r="F820" s="23">
        <f t="shared" si="140"/>
        <v>2011</v>
      </c>
      <c r="G820" s="23">
        <f t="shared" si="140"/>
        <v>2012</v>
      </c>
      <c r="H820" s="23">
        <f t="shared" si="140"/>
        <v>2013</v>
      </c>
      <c r="I820" s="23">
        <f t="shared" si="140"/>
        <v>2014</v>
      </c>
      <c r="J820" s="23">
        <f t="shared" si="140"/>
        <v>2015</v>
      </c>
      <c r="K820" s="2"/>
    </row>
    <row r="821" spans="2:11">
      <c r="B821" t="str">
        <f t="shared" ref="B821:B835" si="141">B780</f>
        <v>Burkina Faso</v>
      </c>
      <c r="D821" s="9">
        <v>10.182767842203779</v>
      </c>
      <c r="E821" s="9">
        <v>20.057365785375268</v>
      </c>
      <c r="F821" s="9">
        <v>26.03247030085161</v>
      </c>
      <c r="G821" s="9">
        <v>24.063580104166601</v>
      </c>
      <c r="H821" s="9">
        <v>21.580542013830247</v>
      </c>
      <c r="I821" s="9">
        <v>23.537387868134157</v>
      </c>
      <c r="J821" s="9">
        <v>25.418576130898526</v>
      </c>
    </row>
    <row r="822" spans="2:11">
      <c r="B822" t="str">
        <f t="shared" si="141"/>
        <v>Chad</v>
      </c>
      <c r="D822" s="9">
        <v>57.463758280943125</v>
      </c>
      <c r="E822" s="9">
        <v>52.816473357531336</v>
      </c>
      <c r="F822" s="9">
        <v>55.316076059398519</v>
      </c>
      <c r="G822" s="9">
        <v>54.748515283219582</v>
      </c>
      <c r="H822" s="9">
        <v>56.039861465280637</v>
      </c>
      <c r="I822" s="9">
        <v>55.937743649068182</v>
      </c>
      <c r="J822" s="9">
        <v>54.959885950516558</v>
      </c>
    </row>
    <row r="823" spans="2:11">
      <c r="B823" t="str">
        <f t="shared" si="141"/>
        <v>Congo Brazzaville</v>
      </c>
      <c r="D823" s="9">
        <v>65.094720036552914</v>
      </c>
      <c r="E823" s="9">
        <v>53.008136161206046</v>
      </c>
      <c r="F823" s="9">
        <v>49.073299355423401</v>
      </c>
      <c r="G823" s="9">
        <v>43.192526552126289</v>
      </c>
      <c r="H823" s="9">
        <v>41.327595611902971</v>
      </c>
      <c r="I823" s="9">
        <v>38.688645093780693</v>
      </c>
      <c r="J823" s="9">
        <v>38.403961489661178</v>
      </c>
    </row>
    <row r="824" spans="2:11">
      <c r="B824" t="str">
        <f t="shared" si="141"/>
        <v>Democratic Republic of the Congo</v>
      </c>
      <c r="D824" s="9">
        <v>84.437436307754837</v>
      </c>
      <c r="E824" s="9">
        <v>117.84249067756789</v>
      </c>
      <c r="F824" s="9">
        <v>120.87898986720539</v>
      </c>
      <c r="G824" s="9">
        <v>123.25138401242057</v>
      </c>
      <c r="H824" s="9">
        <v>108.58879346566492</v>
      </c>
      <c r="I824" s="9">
        <v>107.4963381818196</v>
      </c>
      <c r="J824" s="9">
        <v>90.761109549411302</v>
      </c>
    </row>
    <row r="825" spans="2:11">
      <c r="B825" t="str">
        <f t="shared" si="141"/>
        <v>Gabon</v>
      </c>
      <c r="D825" s="9">
        <v>28.257075485634886</v>
      </c>
      <c r="E825" s="9">
        <v>56.466774270508978</v>
      </c>
      <c r="F825" s="9">
        <v>71.005176978638175</v>
      </c>
      <c r="G825" s="9">
        <v>65.753625345845876</v>
      </c>
      <c r="H825" s="9">
        <v>59.678317730227164</v>
      </c>
      <c r="I825" s="9">
        <v>61.072951892770554</v>
      </c>
      <c r="J825" s="9">
        <v>55.281012320737482</v>
      </c>
    </row>
    <row r="826" spans="2:11">
      <c r="B826" t="str">
        <f t="shared" si="141"/>
        <v>Kenya</v>
      </c>
      <c r="D826" s="9">
        <v>53.398763755226028</v>
      </c>
      <c r="E826" s="9">
        <v>6.0991808761738424</v>
      </c>
      <c r="F826" s="9">
        <v>48.379333849931541</v>
      </c>
      <c r="G826" s="9">
        <v>56.904618386283481</v>
      </c>
      <c r="H826" s="9">
        <v>58.431715135531626</v>
      </c>
      <c r="I826" s="9">
        <v>66.062113529297676</v>
      </c>
      <c r="J826" s="9">
        <v>71.35158294700588</v>
      </c>
    </row>
    <row r="827" spans="2:11">
      <c r="B827" t="str">
        <f t="shared" si="141"/>
        <v>Madagascar</v>
      </c>
      <c r="D827" s="9">
        <v>20.07909934057874</v>
      </c>
      <c r="E827" s="9">
        <v>3.208629054147099</v>
      </c>
      <c r="F827" s="9">
        <v>35.243815918893986</v>
      </c>
      <c r="G827" s="9">
        <v>36.33598757996787</v>
      </c>
      <c r="H827" s="9">
        <v>38.867421056549802</v>
      </c>
      <c r="I827" s="9">
        <v>35.642498662095988</v>
      </c>
      <c r="J827" s="9">
        <v>33.708083052889506</v>
      </c>
    </row>
    <row r="828" spans="2:11">
      <c r="B828" t="str">
        <f t="shared" si="141"/>
        <v>Malawi</v>
      </c>
      <c r="D828" s="9">
        <v>57.158943482978501</v>
      </c>
      <c r="E828" s="9">
        <v>64.978109981078291</v>
      </c>
      <c r="F828" s="9">
        <v>73.882118537509783</v>
      </c>
      <c r="G828" s="9">
        <v>65.934097263368159</v>
      </c>
      <c r="H828" s="9">
        <v>61.131870023155685</v>
      </c>
      <c r="I828" s="9">
        <v>59.310955747803099</v>
      </c>
      <c r="J828" s="9">
        <v>59.080873279651719</v>
      </c>
    </row>
    <row r="829" spans="2:11">
      <c r="B829" t="str">
        <f t="shared" si="141"/>
        <v>Niger</v>
      </c>
      <c r="D829" s="9">
        <v>83.516382612153194</v>
      </c>
      <c r="E829" s="9">
        <v>90.096884071106643</v>
      </c>
      <c r="F829" s="9">
        <v>81.7764443848139</v>
      </c>
      <c r="G829" s="9">
        <v>67.250730562706877</v>
      </c>
      <c r="H829" s="9">
        <v>61.508328050144542</v>
      </c>
      <c r="I829" s="9">
        <v>62.302313098079857</v>
      </c>
      <c r="J829" s="9">
        <v>61.454599846006047</v>
      </c>
    </row>
    <row r="830" spans="2:11">
      <c r="B830" t="str">
        <f t="shared" si="141"/>
        <v>Nigeria - Vmnbile</v>
      </c>
      <c r="D830" s="9">
        <v>661.36659085347844</v>
      </c>
      <c r="E830" s="9">
        <v>429.54449492370469</v>
      </c>
      <c r="F830" s="9">
        <v>481.81147252777782</v>
      </c>
      <c r="G830" s="9">
        <v>462.03476788824969</v>
      </c>
      <c r="H830" s="9">
        <v>421.38845350649245</v>
      </c>
      <c r="I830" s="9">
        <v>424.88725154429301</v>
      </c>
      <c r="J830" s="9">
        <v>379.55773981717306</v>
      </c>
    </row>
    <row r="831" spans="2:11">
      <c r="B831" t="str">
        <f t="shared" si="141"/>
        <v>Sierra Leone</v>
      </c>
      <c r="D831" s="9">
        <v>21.530109920668664</v>
      </c>
      <c r="E831" s="9">
        <v>2.2520048834241777</v>
      </c>
      <c r="F831" s="9">
        <v>1.9583055659468789</v>
      </c>
      <c r="G831" s="9">
        <v>2.2800732183745005</v>
      </c>
      <c r="H831" s="9">
        <v>3.0750736429320251</v>
      </c>
      <c r="I831" s="9">
        <v>3.4771923564254381</v>
      </c>
      <c r="J831" s="9">
        <v>3.4905043405774108</v>
      </c>
    </row>
    <row r="832" spans="2:11">
      <c r="B832" t="str">
        <f t="shared" si="141"/>
        <v>Tanzania</v>
      </c>
      <c r="D832" s="9">
        <v>175.50398397387755</v>
      </c>
      <c r="E832" s="9">
        <v>67.469650609543024</v>
      </c>
      <c r="F832" s="9">
        <v>58.767891745161023</v>
      </c>
      <c r="G832" s="9">
        <v>53.5352095235205</v>
      </c>
      <c r="H832" s="9">
        <v>57.575159483601027</v>
      </c>
      <c r="I832" s="9">
        <v>49.983375609473988</v>
      </c>
      <c r="J832" s="9">
        <v>49.292344195413506</v>
      </c>
    </row>
    <row r="833" spans="2:11">
      <c r="B833" t="str">
        <f t="shared" si="141"/>
        <v>Uganda</v>
      </c>
      <c r="D833" s="9">
        <v>35.500395352046709</v>
      </c>
      <c r="E833" s="9">
        <v>40.587880582770325</v>
      </c>
      <c r="F833" s="9">
        <v>46.673908261384078</v>
      </c>
      <c r="G833" s="9">
        <v>44.892152803206841</v>
      </c>
      <c r="H833" s="9">
        <v>36.164649763658907</v>
      </c>
      <c r="I833" s="9">
        <v>36.96636738195356</v>
      </c>
      <c r="J833" s="9">
        <v>40.095570380835923</v>
      </c>
    </row>
    <row r="834" spans="2:11">
      <c r="B834" t="str">
        <f t="shared" si="141"/>
        <v>Zambia</v>
      </c>
      <c r="D834" s="9">
        <v>94.792511118918455</v>
      </c>
      <c r="E834" s="9">
        <v>103.38226908391826</v>
      </c>
      <c r="F834" s="9">
        <v>97.391192493783734</v>
      </c>
      <c r="G834" s="9">
        <v>77.376590776813373</v>
      </c>
      <c r="H834" s="9">
        <v>58.649930400189</v>
      </c>
      <c r="I834" s="9">
        <v>54.386705786312049</v>
      </c>
      <c r="J834" s="9">
        <v>53.109697037140748</v>
      </c>
    </row>
    <row r="835" spans="2:11">
      <c r="B835" s="11" t="str">
        <f t="shared" si="141"/>
        <v>Ghana</v>
      </c>
      <c r="C835" s="11"/>
      <c r="D835" s="13">
        <v>97.210827632637915</v>
      </c>
      <c r="E835" s="13">
        <v>120.68787600339896</v>
      </c>
      <c r="F835" s="13">
        <v>87.784651471703185</v>
      </c>
      <c r="G835" s="13">
        <v>79.798825132090911</v>
      </c>
      <c r="H835" s="13">
        <v>82.822217963612786</v>
      </c>
      <c r="I835" s="13">
        <v>77.700463261621664</v>
      </c>
      <c r="J835" s="13">
        <v>69.417200736974152</v>
      </c>
    </row>
    <row r="836" spans="2:11">
      <c r="B836" s="2" t="s">
        <v>1831</v>
      </c>
      <c r="C836" s="2"/>
      <c r="D836" s="28">
        <v>1545.4933659956537</v>
      </c>
      <c r="E836" s="28">
        <v>1228.4982203214547</v>
      </c>
      <c r="F836" s="28">
        <v>1335.9755580955623</v>
      </c>
      <c r="G836" s="28">
        <v>1257.353078348511</v>
      </c>
      <c r="H836" s="28">
        <v>1166.8299293127739</v>
      </c>
      <c r="I836" s="28">
        <v>1157.4523036629296</v>
      </c>
      <c r="J836" s="28">
        <v>1085.3827410748931</v>
      </c>
      <c r="K836" s="16"/>
    </row>
    <row r="837" spans="2:11">
      <c r="B837" s="4" t="str">
        <f>B796</f>
        <v>ex-overlap, SL, Nigeria, Sudantel</v>
      </c>
      <c r="C837" s="4"/>
      <c r="D837" s="27">
        <f t="shared" ref="D837:J837" si="142">D836-D822-D832-D835-D824-D830</f>
        <v>469.51076894696178</v>
      </c>
      <c r="E837" s="27">
        <f t="shared" si="142"/>
        <v>440.13723474970874</v>
      </c>
      <c r="F837" s="27">
        <f t="shared" si="142"/>
        <v>531.41647642431633</v>
      </c>
      <c r="G837" s="27">
        <f t="shared" si="142"/>
        <v>483.98437650900962</v>
      </c>
      <c r="H837" s="27">
        <f t="shared" si="142"/>
        <v>440.41544342812205</v>
      </c>
      <c r="I837" s="27">
        <f t="shared" si="142"/>
        <v>441.44713141665318</v>
      </c>
      <c r="J837" s="27">
        <f t="shared" si="142"/>
        <v>441.39446082540456</v>
      </c>
    </row>
    <row r="838" spans="2:11">
      <c r="B838" s="4" t="s">
        <v>2090</v>
      </c>
      <c r="C838" s="4"/>
      <c r="D838" s="27">
        <f t="shared" ref="D838:J838" si="143">$M$758*D821+$M$760*D823+D825*$M$762+D826*$M$763+D827*$M$764++$M$765*D828+$M$766*D829+$M$770*D833+$M$771*D834</f>
        <v>407.60372467678224</v>
      </c>
      <c r="E838" s="27">
        <f t="shared" si="143"/>
        <v>395.78875614167038</v>
      </c>
      <c r="F838" s="27">
        <f t="shared" si="143"/>
        <v>486.28428146215896</v>
      </c>
      <c r="G838" s="27">
        <f t="shared" si="143"/>
        <v>444.89705423704032</v>
      </c>
      <c r="H838" s="27">
        <f t="shared" si="143"/>
        <v>405.78049458866599</v>
      </c>
      <c r="I838" s="27">
        <f t="shared" si="143"/>
        <v>406.97397011323051</v>
      </c>
      <c r="J838" s="27">
        <f t="shared" si="143"/>
        <v>407.6056519575921</v>
      </c>
    </row>
    <row r="839" spans="2:11">
      <c r="B839" s="4" t="str">
        <f>B798</f>
        <v>Sudantel</v>
      </c>
      <c r="C839" s="4"/>
    </row>
    <row r="840" spans="2:11">
      <c r="B840" s="2" t="s">
        <v>1311</v>
      </c>
      <c r="C840" s="2"/>
      <c r="D840" s="28">
        <f t="shared" ref="D840:J840" si="144">D836+D839</f>
        <v>1545.4933659956537</v>
      </c>
      <c r="E840" s="28">
        <f t="shared" si="144"/>
        <v>1228.4982203214547</v>
      </c>
      <c r="F840" s="28">
        <f t="shared" si="144"/>
        <v>1335.9755580955623</v>
      </c>
      <c r="G840" s="28">
        <f t="shared" si="144"/>
        <v>1257.353078348511</v>
      </c>
      <c r="H840" s="28">
        <f t="shared" si="144"/>
        <v>1166.8299293127739</v>
      </c>
      <c r="I840" s="28">
        <f t="shared" si="144"/>
        <v>1157.4523036629296</v>
      </c>
      <c r="J840" s="28">
        <f t="shared" si="144"/>
        <v>1085.3827410748931</v>
      </c>
    </row>
    <row r="842" spans="2:11">
      <c r="B842" s="4" t="s">
        <v>1313</v>
      </c>
      <c r="C842" s="4"/>
      <c r="D842" s="27">
        <f t="shared" ref="D842:J842" si="145">D796-D837</f>
        <v>58.70026710979289</v>
      </c>
      <c r="E842" s="27">
        <f t="shared" si="145"/>
        <v>196.66958453185367</v>
      </c>
      <c r="F842" s="27">
        <f t="shared" si="145"/>
        <v>203.63782663589757</v>
      </c>
      <c r="G842" s="27">
        <f t="shared" si="145"/>
        <v>333.98078782032928</v>
      </c>
      <c r="H842" s="27">
        <f t="shared" si="145"/>
        <v>452.74715653264701</v>
      </c>
      <c r="I842" s="27">
        <f t="shared" si="145"/>
        <v>540.25380689657482</v>
      </c>
      <c r="J842" s="27">
        <f t="shared" si="145"/>
        <v>596.87133558577443</v>
      </c>
    </row>
    <row r="843" spans="2:11">
      <c r="B843" s="4"/>
      <c r="C843" s="4"/>
      <c r="D843" s="27"/>
      <c r="E843" s="27"/>
      <c r="F843" s="27"/>
      <c r="G843" s="27"/>
    </row>
    <row r="845" spans="2:11">
      <c r="B845" s="2" t="s">
        <v>1318</v>
      </c>
      <c r="C845" s="2"/>
      <c r="F845" s="2" t="s">
        <v>2123</v>
      </c>
    </row>
    <row r="846" spans="2:11">
      <c r="B846" s="32" t="s">
        <v>2124</v>
      </c>
      <c r="C846" s="32"/>
      <c r="D846" s="358">
        <f>D848/$D$796</f>
        <v>8.4391416132622723</v>
      </c>
      <c r="F846" s="7">
        <f>F848/$D$796</f>
        <v>6.3697702282052493</v>
      </c>
    </row>
    <row r="847" spans="2:11">
      <c r="B847" t="s">
        <v>1314</v>
      </c>
      <c r="D847" s="211">
        <v>7</v>
      </c>
      <c r="F847" s="7">
        <f>F848/E796</f>
        <v>5.283522144878483</v>
      </c>
    </row>
    <row r="848" spans="2:11">
      <c r="B848" t="s">
        <v>2084</v>
      </c>
      <c r="D848" s="88">
        <f>D847*$E$796</f>
        <v>4457.6477349709367</v>
      </c>
      <c r="E848" s="88"/>
      <c r="F848" s="9">
        <f>O774</f>
        <v>3364.5829316837653</v>
      </c>
    </row>
    <row r="849" spans="2:11">
      <c r="B849" t="s">
        <v>2086</v>
      </c>
      <c r="D849" s="16">
        <f>E797/E796</f>
        <v>0.89560793744830691</v>
      </c>
      <c r="E849" s="88"/>
    </row>
    <row r="850" spans="2:11">
      <c r="B850" t="s">
        <v>2091</v>
      </c>
      <c r="D850" s="88">
        <f>D848*D849</f>
        <v>3992.3046937884378</v>
      </c>
      <c r="E850" s="88"/>
    </row>
    <row r="851" spans="2:11">
      <c r="D851" s="7"/>
      <c r="E851" s="88"/>
    </row>
    <row r="852" spans="2:11">
      <c r="B852" t="s">
        <v>1315</v>
      </c>
      <c r="D852" s="88" t="e">
        <f>Valuation!#REF!</f>
        <v>#REF!</v>
      </c>
      <c r="E852" s="88" t="e">
        <f>Valuation!#REF!</f>
        <v>#REF!</v>
      </c>
      <c r="F852" s="88" t="e">
        <f>Valuation!#REF!</f>
        <v>#REF!</v>
      </c>
      <c r="G852" s="88" t="e">
        <f>Valuation!#REF!</f>
        <v>#REF!</v>
      </c>
      <c r="H852" s="88" t="e">
        <f>Valuation!#REF!</f>
        <v>#REF!</v>
      </c>
      <c r="I852" s="88">
        <f>Valuation!D16</f>
        <v>3998</v>
      </c>
      <c r="J852" s="88">
        <f>Valuation!E16</f>
        <v>4295</v>
      </c>
    </row>
    <row r="853" spans="2:11">
      <c r="B853" t="s">
        <v>1316</v>
      </c>
      <c r="D853" s="190">
        <v>0.09</v>
      </c>
      <c r="E853" s="88"/>
    </row>
    <row r="854" spans="2:11">
      <c r="B854" t="s">
        <v>2122</v>
      </c>
      <c r="D854" s="16">
        <f>N774</f>
        <v>0.30011999999999994</v>
      </c>
      <c r="E854" s="88"/>
    </row>
    <row r="855" spans="2:11">
      <c r="B855" t="s">
        <v>2083</v>
      </c>
      <c r="D855" s="88">
        <f t="shared" ref="D855:J855" si="146">$D$853*$D$848*(1-$D$854)</f>
        <v>280.78366470763132</v>
      </c>
      <c r="E855" s="88">
        <f t="shared" si="146"/>
        <v>280.78366470763132</v>
      </c>
      <c r="F855" s="88">
        <f t="shared" si="146"/>
        <v>280.78366470763132</v>
      </c>
      <c r="G855" s="88">
        <f t="shared" si="146"/>
        <v>280.78366470763132</v>
      </c>
      <c r="H855" s="88">
        <f t="shared" si="146"/>
        <v>280.78366470763132</v>
      </c>
      <c r="I855" s="88">
        <f t="shared" si="146"/>
        <v>280.78366470763132</v>
      </c>
      <c r="J855" s="88">
        <f t="shared" si="146"/>
        <v>280.78366470763132</v>
      </c>
    </row>
    <row r="856" spans="2:11">
      <c r="B856" t="s">
        <v>1317</v>
      </c>
      <c r="D856" s="88" t="e">
        <f t="shared" ref="D856:J856" si="147">D852+$D$850+D855</f>
        <v>#REF!</v>
      </c>
      <c r="E856" s="88" t="e">
        <f t="shared" si="147"/>
        <v>#REF!</v>
      </c>
      <c r="F856" s="88" t="e">
        <f t="shared" si="147"/>
        <v>#REF!</v>
      </c>
      <c r="G856" s="88" t="e">
        <f t="shared" si="147"/>
        <v>#REF!</v>
      </c>
      <c r="H856" s="88" t="e">
        <f t="shared" si="147"/>
        <v>#REF!</v>
      </c>
      <c r="I856" s="88">
        <f t="shared" si="147"/>
        <v>8271.0883584960684</v>
      </c>
      <c r="J856" s="88">
        <f t="shared" si="147"/>
        <v>8568.0883584960684</v>
      </c>
    </row>
    <row r="857" spans="2:11">
      <c r="D857" s="88"/>
      <c r="E857" s="88"/>
      <c r="F857" s="88"/>
      <c r="G857" s="88"/>
      <c r="H857" s="88"/>
      <c r="I857" s="88"/>
      <c r="J857" s="88"/>
    </row>
    <row r="858" spans="2:11">
      <c r="B858" s="23" t="s">
        <v>1319</v>
      </c>
      <c r="C858" s="23"/>
      <c r="D858" s="23">
        <f t="shared" ref="D858:J858" si="148">D820</f>
        <v>2009</v>
      </c>
      <c r="E858" s="23">
        <f t="shared" si="148"/>
        <v>2010</v>
      </c>
      <c r="F858" s="23">
        <f t="shared" si="148"/>
        <v>2011</v>
      </c>
      <c r="G858" s="23">
        <f t="shared" si="148"/>
        <v>2012</v>
      </c>
      <c r="H858" s="23">
        <f t="shared" si="148"/>
        <v>2013</v>
      </c>
      <c r="I858" s="23">
        <f t="shared" si="148"/>
        <v>2014</v>
      </c>
      <c r="J858" s="23">
        <f t="shared" si="148"/>
        <v>2015</v>
      </c>
    </row>
    <row r="859" spans="2:11">
      <c r="B859" s="4" t="s">
        <v>1320</v>
      </c>
      <c r="C859" s="4"/>
      <c r="D859" s="27" t="e">
        <f>Valuation!#REF!+(D856-Valuation!#REF!)</f>
        <v>#REF!</v>
      </c>
      <c r="E859" s="27" t="e">
        <f>Valuation!#REF!+(E856-Valuation!#REF!)</f>
        <v>#REF!</v>
      </c>
      <c r="F859" s="27" t="e">
        <f>Valuation!#REF!+(F856-Valuation!#REF!)</f>
        <v>#REF!</v>
      </c>
      <c r="G859" s="27" t="e">
        <f>Valuation!#REF!+(G856-Valuation!#REF!)</f>
        <v>#REF!</v>
      </c>
      <c r="H859" s="27" t="e">
        <f>Valuation!#REF!+(H856-Valuation!#REF!)</f>
        <v>#REF!</v>
      </c>
      <c r="I859" s="27">
        <f>Valuation!D18+(I856-Valuation!D16)</f>
        <v>13624.897765525397</v>
      </c>
      <c r="J859" s="27">
        <f>Valuation!E18+(J856-Valuation!E16)</f>
        <v>13921.897765525397</v>
      </c>
      <c r="K859" s="5"/>
    </row>
    <row r="860" spans="2:11">
      <c r="B860" t="s">
        <v>360</v>
      </c>
      <c r="D860" s="88" t="e">
        <f>Master!L14+Analysis!D796</f>
        <v>#REF!</v>
      </c>
      <c r="E860" s="88" t="e">
        <f>Master!M14+Analysis!E796</f>
        <v>#REF!</v>
      </c>
      <c r="F860" s="88">
        <f>Master!N14+Analysis!F796</f>
        <v>735.0543030602139</v>
      </c>
      <c r="G860" s="88">
        <f>Master!O14+Analysis!G796</f>
        <v>817.9651643293389</v>
      </c>
      <c r="H860" s="88">
        <f>Master!P14+Analysis!H796</f>
        <v>893.16259996076906</v>
      </c>
      <c r="I860" s="88">
        <f>Master!Q14+Analysis!I796</f>
        <v>3091.222050091952</v>
      </c>
      <c r="J860" s="88">
        <f>Master!R14+Analysis!J796</f>
        <v>3303.8967406427187</v>
      </c>
      <c r="K860" s="5" t="e">
        <f>(J860/D860)^(1/6)-1</f>
        <v>#REF!</v>
      </c>
    </row>
    <row r="861" spans="2:11">
      <c r="B861" t="s">
        <v>1243</v>
      </c>
      <c r="D861" s="172" t="e">
        <f t="shared" ref="D861:H861" si="149">D859/D860</f>
        <v>#REF!</v>
      </c>
      <c r="E861" s="172" t="e">
        <f t="shared" si="149"/>
        <v>#REF!</v>
      </c>
      <c r="F861" s="172" t="e">
        <f t="shared" si="149"/>
        <v>#REF!</v>
      </c>
      <c r="G861" s="172" t="e">
        <f t="shared" si="149"/>
        <v>#REF!</v>
      </c>
      <c r="H861" s="172" t="e">
        <f t="shared" si="149"/>
        <v>#REF!</v>
      </c>
      <c r="I861" s="172">
        <f>I859/I860</f>
        <v>4.4076088824224415</v>
      </c>
      <c r="J861" s="172">
        <f>J859/J860</f>
        <v>4.2137811373660305</v>
      </c>
      <c r="K861" s="5"/>
    </row>
    <row r="862" spans="2:11">
      <c r="B862" t="s">
        <v>1321</v>
      </c>
      <c r="D862" s="16" t="e">
        <f>D861/Valuation!#REF!-1</f>
        <v>#REF!</v>
      </c>
      <c r="E862" s="16" t="e">
        <f>E861/Valuation!#REF!-1</f>
        <v>#REF!</v>
      </c>
      <c r="F862" s="16" t="e">
        <f>F861/Valuation!#REF!-1</f>
        <v>#REF!</v>
      </c>
      <c r="G862" s="16" t="e">
        <f>G861/Valuation!#REF!-1</f>
        <v>#REF!</v>
      </c>
      <c r="H862" s="16" t="e">
        <f>H861/Valuation!#REF!-1</f>
        <v>#REF!</v>
      </c>
      <c r="I862" s="16">
        <f>I861/Valuation!D62-1</f>
        <v>6.8235904911076339E-2</v>
      </c>
      <c r="J862" s="16">
        <f>J861/Valuation!E62-1</f>
        <v>-1.0564668208640882E-2</v>
      </c>
    </row>
    <row r="863" spans="2:11">
      <c r="B863" t="s">
        <v>614</v>
      </c>
      <c r="D863" s="7" t="e">
        <f t="shared" ref="D863:J863" si="150">D856/D860</f>
        <v>#REF!</v>
      </c>
      <c r="E863" s="7" t="e">
        <f t="shared" si="150"/>
        <v>#REF!</v>
      </c>
      <c r="F863" s="7" t="e">
        <f t="shared" si="150"/>
        <v>#REF!</v>
      </c>
      <c r="G863" s="7" t="e">
        <f t="shared" si="150"/>
        <v>#REF!</v>
      </c>
      <c r="H863" s="7" t="e">
        <f t="shared" si="150"/>
        <v>#REF!</v>
      </c>
      <c r="I863" s="7">
        <f t="shared" si="150"/>
        <v>2.6756694357333646</v>
      </c>
      <c r="J863" s="7">
        <f t="shared" si="150"/>
        <v>2.5933281307179374</v>
      </c>
    </row>
    <row r="865" spans="2:21">
      <c r="B865" s="329" t="s">
        <v>2128</v>
      </c>
      <c r="C865" s="329"/>
    </row>
    <row r="866" spans="2:21">
      <c r="D866" s="8" t="s">
        <v>560</v>
      </c>
      <c r="H866" s="2" t="s">
        <v>2131</v>
      </c>
      <c r="L866" s="359" t="s">
        <v>1655</v>
      </c>
      <c r="M866" s="359" t="s">
        <v>1655</v>
      </c>
      <c r="N866" s="2" t="s">
        <v>1930</v>
      </c>
      <c r="R866" s="2" t="s">
        <v>2132</v>
      </c>
    </row>
    <row r="867" spans="2:21">
      <c r="B867" s="23" t="s">
        <v>922</v>
      </c>
      <c r="C867" s="23"/>
      <c r="D867" s="104" t="s">
        <v>179</v>
      </c>
      <c r="E867" s="104" t="s">
        <v>1100</v>
      </c>
      <c r="F867" s="104" t="s">
        <v>2043</v>
      </c>
      <c r="G867" s="104" t="s">
        <v>106</v>
      </c>
      <c r="H867" s="104" t="s">
        <v>179</v>
      </c>
      <c r="I867" s="104" t="s">
        <v>1100</v>
      </c>
      <c r="J867" s="104" t="s">
        <v>2043</v>
      </c>
      <c r="K867" s="104" t="s">
        <v>106</v>
      </c>
      <c r="L867" s="104" t="s">
        <v>179</v>
      </c>
      <c r="M867" s="104" t="s">
        <v>106</v>
      </c>
      <c r="N867" s="104" t="s">
        <v>179</v>
      </c>
      <c r="O867" s="104" t="s">
        <v>1100</v>
      </c>
      <c r="P867" s="104" t="s">
        <v>2043</v>
      </c>
      <c r="Q867" s="104" t="s">
        <v>106</v>
      </c>
      <c r="R867" s="104" t="s">
        <v>179</v>
      </c>
      <c r="S867" s="104" t="s">
        <v>1100</v>
      </c>
      <c r="T867" s="104" t="s">
        <v>2043</v>
      </c>
      <c r="U867" s="104" t="s">
        <v>106</v>
      </c>
    </row>
    <row r="868" spans="2:21">
      <c r="B868" t="s">
        <v>2129</v>
      </c>
      <c r="D868">
        <v>6620</v>
      </c>
      <c r="E868">
        <v>5667</v>
      </c>
      <c r="F868">
        <v>4931</v>
      </c>
      <c r="G868">
        <v>4207</v>
      </c>
      <c r="H868">
        <v>5375</v>
      </c>
      <c r="I868">
        <v>6943</v>
      </c>
      <c r="J868">
        <v>7541</v>
      </c>
      <c r="K868">
        <v>8756</v>
      </c>
      <c r="L868" s="16">
        <f>H868/J868-1</f>
        <v>-0.28722981036997741</v>
      </c>
      <c r="M868" s="16">
        <f>I868/K868-1</f>
        <v>-0.20705801735952489</v>
      </c>
      <c r="N868" s="16">
        <v>0.47</v>
      </c>
      <c r="O868" s="16">
        <v>0.46</v>
      </c>
      <c r="P868" s="16">
        <v>0.46</v>
      </c>
      <c r="Q868" s="16">
        <v>0.52</v>
      </c>
      <c r="R868" s="16">
        <v>0.48199999999999998</v>
      </c>
      <c r="S868" s="16">
        <v>0.43099999999999999</v>
      </c>
      <c r="T868" s="16">
        <v>0.442</v>
      </c>
      <c r="U868" s="16">
        <v>0.45500000000000002</v>
      </c>
    </row>
    <row r="869" spans="2:21">
      <c r="B869" s="11" t="s">
        <v>2130</v>
      </c>
      <c r="C869" s="11"/>
      <c r="D869" s="11">
        <v>4404</v>
      </c>
      <c r="E869" s="11">
        <v>4170</v>
      </c>
      <c r="F869" s="11">
        <v>3776</v>
      </c>
      <c r="G869" s="11">
        <v>3289</v>
      </c>
      <c r="H869" s="11">
        <v>4.8</v>
      </c>
      <c r="I869" s="11">
        <v>7.2</v>
      </c>
      <c r="J869" s="11">
        <v>8.5</v>
      </c>
      <c r="K869" s="11">
        <v>8.4</v>
      </c>
      <c r="L869" s="20">
        <f>H869/J869-1</f>
        <v>-0.43529411764705883</v>
      </c>
      <c r="M869" s="20">
        <f>I869/K869-1</f>
        <v>-0.1428571428571429</v>
      </c>
      <c r="N869" s="20">
        <v>0.36</v>
      </c>
      <c r="O869" s="20">
        <v>0.37</v>
      </c>
      <c r="P869" s="20">
        <v>0.39</v>
      </c>
      <c r="Q869" s="20">
        <v>0.41</v>
      </c>
      <c r="R869" s="20">
        <v>0.58399999999999996</v>
      </c>
      <c r="S869" s="20">
        <v>0.505</v>
      </c>
      <c r="T869" s="20">
        <v>0.53900000000000003</v>
      </c>
      <c r="U869" s="20">
        <v>0.48</v>
      </c>
    </row>
    <row r="870" spans="2:21">
      <c r="B870" t="s">
        <v>1982</v>
      </c>
    </row>
    <row r="872" spans="2:21">
      <c r="B872" t="s">
        <v>1901</v>
      </c>
      <c r="D872" s="213">
        <v>40057</v>
      </c>
      <c r="E872" s="213">
        <v>39692</v>
      </c>
    </row>
    <row r="873" spans="2:21">
      <c r="B873" t="s">
        <v>1902</v>
      </c>
      <c r="D873" s="5">
        <v>0.20200000000000001</v>
      </c>
      <c r="E873" s="5">
        <v>0.253</v>
      </c>
    </row>
    <row r="875" spans="2:21">
      <c r="B875" s="12" t="s">
        <v>1983</v>
      </c>
      <c r="C875" s="12"/>
      <c r="D875" s="12" t="s">
        <v>1985</v>
      </c>
      <c r="E875" s="12"/>
      <c r="F875" s="12" t="s">
        <v>1986</v>
      </c>
      <c r="G875" s="11"/>
    </row>
    <row r="876" spans="2:21">
      <c r="B876" t="s">
        <v>922</v>
      </c>
    </row>
    <row r="877" spans="2:21">
      <c r="B877" t="s">
        <v>1984</v>
      </c>
      <c r="D877">
        <v>59</v>
      </c>
      <c r="F877">
        <v>53</v>
      </c>
    </row>
    <row r="878" spans="2:21">
      <c r="B878" t="s">
        <v>1582</v>
      </c>
      <c r="D878">
        <v>2785</v>
      </c>
      <c r="E878" s="5">
        <f>$D$877/D878</f>
        <v>2.118491921005386E-2</v>
      </c>
      <c r="F878">
        <v>3220</v>
      </c>
      <c r="G878" s="5">
        <f>$F$877/F878</f>
        <v>1.6459627329192546E-2</v>
      </c>
    </row>
    <row r="879" spans="2:21">
      <c r="B879" t="s">
        <v>1096</v>
      </c>
      <c r="D879">
        <v>2965</v>
      </c>
      <c r="E879" s="5">
        <f>$D$877/D879</f>
        <v>1.9898819561551432E-2</v>
      </c>
      <c r="F879">
        <v>3333</v>
      </c>
      <c r="G879" s="5">
        <f>$F$877/F879</f>
        <v>1.5901590159015901E-2</v>
      </c>
    </row>
    <row r="881" spans="2:12">
      <c r="B881" s="329" t="s">
        <v>1828</v>
      </c>
      <c r="C881" s="329"/>
    </row>
    <row r="882" spans="2:12">
      <c r="B882" s="23"/>
      <c r="C882" s="23"/>
      <c r="D882" s="96" t="str">
        <f>Quarts!Z320</f>
        <v>Q3 07</v>
      </c>
      <c r="E882" s="96" t="str">
        <f>Quarts!AA320</f>
        <v>Q4 07</v>
      </c>
      <c r="F882" s="96" t="str">
        <f>Quarts!AC320</f>
        <v>Q1 08</v>
      </c>
      <c r="G882" s="96" t="str">
        <f>Quarts!AD320</f>
        <v>Q2 08</v>
      </c>
      <c r="H882" s="96" t="str">
        <f>Quarts!AE320</f>
        <v>Q3 08</v>
      </c>
      <c r="I882" s="96" t="str">
        <f>Quarts!AF320</f>
        <v>Q4 08</v>
      </c>
      <c r="J882" s="96" t="str">
        <f>Quarts!AH320</f>
        <v>Q1 09</v>
      </c>
      <c r="K882" s="96" t="str">
        <f>Quarts!AI320</f>
        <v>Q2 09</v>
      </c>
      <c r="L882" s="96" t="str">
        <f>Quarts!AJ320</f>
        <v>Q3 09</v>
      </c>
    </row>
    <row r="883" spans="2:12">
      <c r="B883" s="4" t="s">
        <v>46</v>
      </c>
      <c r="C883" s="4"/>
      <c r="D883" s="161">
        <f>Quarts!CB217</f>
        <v>0.44823842746721465</v>
      </c>
      <c r="E883" s="161">
        <f>Quarts!CC217</f>
        <v>0.31225435092838394</v>
      </c>
      <c r="F883" s="161">
        <f>Quarts!CD217</f>
        <v>0.36337107926645973</v>
      </c>
      <c r="G883" s="161">
        <f>Quarts!CE217</f>
        <v>0.26437601656069787</v>
      </c>
      <c r="H883" s="161">
        <v>0.12</v>
      </c>
      <c r="I883" s="161">
        <v>7.0000000000000007E-2</v>
      </c>
      <c r="J883" s="161">
        <v>-0.03</v>
      </c>
      <c r="K883" s="161">
        <v>0</v>
      </c>
      <c r="L883" s="161">
        <v>0</v>
      </c>
    </row>
    <row r="884" spans="2:12">
      <c r="B884" t="s">
        <v>1542</v>
      </c>
      <c r="D884" s="5">
        <f>Quarts!Z325</f>
        <v>0.53671554076339545</v>
      </c>
      <c r="E884" s="5">
        <f>Quarts!AA325</f>
        <v>0.50941676792223567</v>
      </c>
      <c r="F884" s="5">
        <f>Quarts!AC325</f>
        <v>0.55111767075239537</v>
      </c>
      <c r="G884" s="5">
        <f>Quarts!AD325</f>
        <v>0.54818310192697328</v>
      </c>
      <c r="H884" s="5">
        <f>Quarts!AE325</f>
        <v>0.54411621876959027</v>
      </c>
      <c r="I884" s="5">
        <f>Quarts!AF325</f>
        <v>0.56056338028169017</v>
      </c>
      <c r="J884" s="5">
        <f>Quarts!AH325</f>
        <v>0.54781970642066158</v>
      </c>
      <c r="K884" s="5">
        <f>Quarts!AI325</f>
        <v>0.55981382156605508</v>
      </c>
      <c r="L884" s="5">
        <f>Quarts!AJ325</f>
        <v>0.55018704634044058</v>
      </c>
    </row>
    <row r="886" spans="2:12">
      <c r="B886" s="106" t="s">
        <v>1930</v>
      </c>
      <c r="C886" s="106"/>
    </row>
    <row r="887" spans="2:12">
      <c r="B887" t="s">
        <v>2376</v>
      </c>
      <c r="D887" s="16">
        <v>0.45</v>
      </c>
      <c r="E887" s="16">
        <f>CA!I52</f>
        <v>0.45</v>
      </c>
      <c r="F887" s="16">
        <v>0.46</v>
      </c>
      <c r="G887" s="16">
        <v>0.46</v>
      </c>
      <c r="H887" s="16">
        <v>0.46</v>
      </c>
      <c r="I887" s="16">
        <v>0.45</v>
      </c>
      <c r="J887" s="16">
        <v>0.46</v>
      </c>
      <c r="K887" s="16">
        <v>0.47</v>
      </c>
      <c r="L887" s="16">
        <v>0.47</v>
      </c>
    </row>
    <row r="888" spans="2:12">
      <c r="B888" t="s">
        <v>2379</v>
      </c>
      <c r="D888" s="16">
        <v>0.45</v>
      </c>
      <c r="E888" s="16">
        <f>CA!I53</f>
        <v>0.45</v>
      </c>
      <c r="F888" s="16">
        <v>0.44</v>
      </c>
      <c r="G888" s="16">
        <v>0.43</v>
      </c>
      <c r="H888" s="16">
        <v>0.43</v>
      </c>
      <c r="I888" s="16">
        <v>0.45</v>
      </c>
      <c r="J888" s="16">
        <v>0.48</v>
      </c>
      <c r="K888" s="16">
        <v>0.48</v>
      </c>
      <c r="L888" s="16">
        <v>0.49</v>
      </c>
    </row>
    <row r="889" spans="2:12">
      <c r="B889" s="11" t="s">
        <v>2380</v>
      </c>
      <c r="C889" s="11"/>
      <c r="D889" s="20">
        <v>0.72</v>
      </c>
      <c r="E889" s="20">
        <f>CA!I54</f>
        <v>0.71</v>
      </c>
      <c r="F889" s="20">
        <v>0.72</v>
      </c>
      <c r="G889" s="20">
        <v>0.72</v>
      </c>
      <c r="H889" s="20">
        <v>0.72</v>
      </c>
      <c r="I889" s="20">
        <v>0.71</v>
      </c>
      <c r="J889" s="20">
        <v>0.66</v>
      </c>
      <c r="K889" s="20">
        <v>0.63</v>
      </c>
      <c r="L889" s="20">
        <v>0.65</v>
      </c>
    </row>
    <row r="890" spans="2:12">
      <c r="B890" t="s">
        <v>45</v>
      </c>
      <c r="D890" s="16">
        <f>((D887*Quarts!Z122)+(Analysis!D888*Quarts!Z123)+(Analysis!D889*Quarts!Z124))/Quarts!Z125</f>
        <v>0.53825885837127019</v>
      </c>
      <c r="E890" s="16">
        <f>((E887*Quarts!AA122)+(Analysis!E888*Quarts!AA123)+(Analysis!E889*Quarts!AA124))/Quarts!AA125</f>
        <v>0.53620463360364357</v>
      </c>
      <c r="F890" s="16">
        <f>((F887*Quarts!AC122)+(Analysis!F888*Quarts!AC123)+(Analysis!F889*Quarts!AC124))/Quarts!AC125</f>
        <v>0.54332851451051423</v>
      </c>
      <c r="G890" s="16">
        <f>((G887*Quarts!AD122)+(Analysis!G888*Quarts!AD123)+(Analysis!G889*Quarts!AD124))/Quarts!AD125</f>
        <v>0.54371827442041243</v>
      </c>
      <c r="H890" s="16">
        <f>((H887*Quarts!AE122)+(Analysis!H888*Quarts!AE123)+(Analysis!H889*Quarts!AE124))/Quarts!AE125</f>
        <v>0.54722489405384944</v>
      </c>
      <c r="I890" s="16">
        <f>((I887*Quarts!AF122)+(Analysis!I888*Quarts!AF123)+(Analysis!I889*Quarts!AF124))/Quarts!AF125</f>
        <v>0.54858701484528705</v>
      </c>
      <c r="J890" s="16">
        <f>((J887*Quarts!AH122)+(Analysis!J888*Quarts!AH123)+(Analysis!J889*Quarts!AH124))/Quarts!AH125</f>
        <v>0.54203763114540882</v>
      </c>
      <c r="K890" s="16">
        <f>((K887*Quarts!AI122)+(Analysis!K888*Quarts!AI123)+(Analysis!K889*Quarts!AI124))/Quarts!AI125</f>
        <v>0.53354973355550794</v>
      </c>
      <c r="L890" s="16">
        <f>((L887*Quarts!AJ122)+(Analysis!L888*Quarts!AJ123)+(Analysis!L889*Quarts!AJ124))/Quarts!AJ125</f>
        <v>0.54502157014899688</v>
      </c>
    </row>
    <row r="891" spans="2:12">
      <c r="D891" s="16"/>
      <c r="E891" s="16"/>
      <c r="F891" s="16"/>
      <c r="G891" s="16"/>
      <c r="H891" s="16"/>
      <c r="I891" s="16"/>
      <c r="J891" s="16"/>
      <c r="K891" s="16"/>
      <c r="L891" s="16"/>
    </row>
    <row r="892" spans="2:12">
      <c r="D892" s="16"/>
      <c r="E892" s="16"/>
      <c r="F892" s="16"/>
      <c r="G892" s="16"/>
      <c r="H892" s="16"/>
      <c r="I892" s="16"/>
      <c r="J892" s="16"/>
      <c r="K892" s="16"/>
      <c r="L892" s="16"/>
    </row>
    <row r="893" spans="2:12">
      <c r="D893" s="16"/>
      <c r="E893" s="16"/>
      <c r="F893" s="16"/>
      <c r="G893" s="16"/>
      <c r="H893" s="16"/>
      <c r="I893" s="16"/>
      <c r="J893" s="16"/>
      <c r="K893" s="16"/>
      <c r="L893" s="16"/>
    </row>
    <row r="894" spans="2:12">
      <c r="D894" s="16"/>
      <c r="E894" s="16"/>
      <c r="F894" s="16"/>
      <c r="G894" s="16"/>
      <c r="H894" s="16"/>
      <c r="I894" s="16"/>
      <c r="J894" s="16"/>
      <c r="K894" s="16"/>
      <c r="L894" s="16"/>
    </row>
    <row r="895" spans="2:12">
      <c r="B895" s="329" t="s">
        <v>1697</v>
      </c>
      <c r="C895" s="329"/>
      <c r="D895" s="16"/>
      <c r="E895" s="16"/>
      <c r="F895" s="16"/>
      <c r="G895" s="16"/>
      <c r="H895" s="16"/>
      <c r="I895" s="16"/>
      <c r="J895" s="16"/>
      <c r="K895" s="16"/>
      <c r="L895" s="16"/>
    </row>
    <row r="896" spans="2:12">
      <c r="B896" s="23"/>
      <c r="C896" s="23"/>
      <c r="D896" s="96" t="str">
        <f t="shared" ref="D896:L896" si="151">D882</f>
        <v>Q3 07</v>
      </c>
      <c r="E896" s="96" t="str">
        <f t="shared" si="151"/>
        <v>Q4 07</v>
      </c>
      <c r="F896" s="96" t="str">
        <f t="shared" si="151"/>
        <v>Q1 08</v>
      </c>
      <c r="G896" s="96" t="str">
        <f t="shared" si="151"/>
        <v>Q2 08</v>
      </c>
      <c r="H896" s="96" t="str">
        <f t="shared" si="151"/>
        <v>Q3 08</v>
      </c>
      <c r="I896" s="96" t="str">
        <f t="shared" si="151"/>
        <v>Q4 08</v>
      </c>
      <c r="J896" s="96" t="str">
        <f t="shared" si="151"/>
        <v>Q1 09</v>
      </c>
      <c r="K896" s="96" t="str">
        <f t="shared" si="151"/>
        <v>Q2 09</v>
      </c>
      <c r="L896" s="96" t="str">
        <f t="shared" si="151"/>
        <v>Q3 09</v>
      </c>
    </row>
    <row r="897" spans="2:13">
      <c r="B897" s="4" t="s">
        <v>46</v>
      </c>
      <c r="C897" s="4"/>
      <c r="D897" s="161"/>
      <c r="E897" s="161">
        <f>E906++E910</f>
        <v>0.37460546189369887</v>
      </c>
      <c r="F897" s="161">
        <f>F906++F910</f>
        <v>0.27080427319914596</v>
      </c>
      <c r="G897" s="161">
        <f>G906++G910</f>
        <v>0.209070410535456</v>
      </c>
      <c r="H897" s="161">
        <v>0.1</v>
      </c>
      <c r="I897" s="161">
        <v>0.11</v>
      </c>
      <c r="J897" s="161">
        <v>0.16</v>
      </c>
      <c r="K897" s="161">
        <v>0.16</v>
      </c>
      <c r="L897" s="161">
        <v>0.13</v>
      </c>
    </row>
    <row r="898" spans="2:13">
      <c r="B898" t="s">
        <v>1542</v>
      </c>
      <c r="D898" s="5"/>
      <c r="E898" s="5">
        <f>Quarts!AA330</f>
        <v>0.31466778102799831</v>
      </c>
      <c r="F898" s="5">
        <f>Quarts!AC330</f>
        <v>0.3125728545154689</v>
      </c>
      <c r="G898" s="5">
        <f>Quarts!AD330</f>
        <v>0.32359585051789819</v>
      </c>
      <c r="H898" s="5">
        <f>Quarts!AE330</f>
        <v>0.35329056609294196</v>
      </c>
      <c r="I898" s="5">
        <f>Quarts!AF330</f>
        <v>0.38461538461538464</v>
      </c>
      <c r="J898" s="5">
        <f>Quarts!AH330</f>
        <v>0.3953120050681026</v>
      </c>
      <c r="K898" s="5">
        <f>Quarts!AI330</f>
        <v>0.391653290529695</v>
      </c>
      <c r="L898" s="5">
        <f>Quarts!AJ330</f>
        <v>0.40715523465703968</v>
      </c>
    </row>
    <row r="900" spans="2:13">
      <c r="B900" s="106" t="s">
        <v>1930</v>
      </c>
      <c r="C900" s="106"/>
    </row>
    <row r="901" spans="2:13">
      <c r="B901" t="s">
        <v>2378</v>
      </c>
      <c r="D901" s="16"/>
      <c r="E901" s="16">
        <f>SA!H51</f>
        <v>0.5</v>
      </c>
      <c r="F901" s="16">
        <v>0.5</v>
      </c>
      <c r="G901" s="16">
        <v>0.52</v>
      </c>
      <c r="H901" s="16">
        <v>0.54</v>
      </c>
      <c r="I901" s="16">
        <v>0.54900000000000004</v>
      </c>
      <c r="J901" s="16">
        <v>0.55000000000000004</v>
      </c>
      <c r="K901" s="16">
        <v>0.55000000000000004</v>
      </c>
      <c r="L901" s="16">
        <v>0.56000000000000005</v>
      </c>
    </row>
    <row r="902" spans="2:13">
      <c r="B902" t="s">
        <v>2377</v>
      </c>
      <c r="D902" s="16"/>
      <c r="E902" s="16">
        <f>SA!H50</f>
        <v>0.35</v>
      </c>
      <c r="F902" s="16">
        <v>0.35</v>
      </c>
      <c r="G902" s="16">
        <v>0.35</v>
      </c>
      <c r="H902" s="16">
        <v>0.33</v>
      </c>
      <c r="I902" s="16">
        <v>0.33600000000000002</v>
      </c>
      <c r="J902" s="16">
        <v>0.35</v>
      </c>
      <c r="K902" s="16">
        <v>0.36</v>
      </c>
      <c r="L902" s="16">
        <v>0.36</v>
      </c>
    </row>
    <row r="903" spans="2:13">
      <c r="B903" s="11" t="s">
        <v>1665</v>
      </c>
      <c r="C903" s="11"/>
      <c r="D903" s="20"/>
      <c r="E903" s="20">
        <v>0.09</v>
      </c>
      <c r="F903" s="20">
        <v>0.09</v>
      </c>
      <c r="G903" s="20">
        <v>0.1</v>
      </c>
      <c r="H903" s="20">
        <v>0.09</v>
      </c>
      <c r="I903" s="20">
        <v>8.5000000000000006E-2</v>
      </c>
      <c r="J903" s="20">
        <v>0.08</v>
      </c>
      <c r="K903" s="20">
        <v>0.08</v>
      </c>
      <c r="L903" s="20">
        <v>0.09</v>
      </c>
    </row>
    <row r="904" spans="2:13">
      <c r="B904" t="s">
        <v>45</v>
      </c>
      <c r="D904" s="16"/>
      <c r="E904" s="16">
        <f>((E901*Quarts!AA130)+(Analysis!E902*Quarts!AA129)+(Analysis!E903*Quarts!AA128))/Quarts!AA131</f>
        <v>0.28040284072261284</v>
      </c>
      <c r="F904" s="16">
        <f>((F901*Quarts!AC130)+(Analysis!F902*Quarts!AC129)+(Analysis!F903*Quarts!AC128))/Quarts!AC131</f>
        <v>0.27988550208881324</v>
      </c>
      <c r="G904" s="16">
        <f>((G901*Quarts!AD130)+(Analysis!G902*Quarts!AD129)+(Analysis!G903*Quarts!AD128))/Quarts!AD131</f>
        <v>0.29239380339632953</v>
      </c>
      <c r="H904" s="16">
        <f>((H901*Quarts!AE130)+(Analysis!H902*Quarts!AE129)+(Analysis!H903*Quarts!AE128))/Quarts!AE131</f>
        <v>0.29670824652805544</v>
      </c>
      <c r="I904" s="16">
        <f>((I901*Quarts!AF130)+(Analysis!I902*Quarts!AF129)+(Analysis!I903*Quarts!AF128))/Quarts!AF131</f>
        <v>0.30296287360943575</v>
      </c>
      <c r="J904" s="16">
        <f>((J901*Quarts!AH130)+(Analysis!J902*Quarts!AH129)+(Analysis!J903*Quarts!AH128))/Quarts!AH131</f>
        <v>0.3061163542340013</v>
      </c>
      <c r="K904" s="16">
        <f>((K901*Quarts!AI130)+(Analysis!K902*Quarts!AI129)+(Analysis!K903*Quarts!AI128))/Quarts!AI131</f>
        <v>0.3070324093604983</v>
      </c>
      <c r="L904" s="16">
        <f>((L901*Quarts!AJ130)+(Analysis!L902*Quarts!AJ129)+(Analysis!L903*Quarts!AJ128))/Quarts!AJ131</f>
        <v>0.31459807192040662</v>
      </c>
    </row>
    <row r="905" spans="2:13">
      <c r="D905" s="16"/>
      <c r="E905" s="16"/>
      <c r="F905" s="16"/>
      <c r="G905" s="16"/>
      <c r="H905" s="16"/>
      <c r="I905" s="16"/>
      <c r="J905" s="16"/>
      <c r="K905" s="16"/>
      <c r="L905" s="16"/>
    </row>
    <row r="906" spans="2:13">
      <c r="B906" t="s">
        <v>47</v>
      </c>
      <c r="D906" s="16"/>
      <c r="E906" s="16">
        <f>Quarts!CC227</f>
        <v>0.47403045385108178</v>
      </c>
      <c r="F906" s="16">
        <f>Quarts!CD227</f>
        <v>0.38359347466384741</v>
      </c>
      <c r="G906" s="16">
        <f>Quarts!CE227</f>
        <v>0.34857555300810938</v>
      </c>
      <c r="H906" s="16">
        <f>Quarts!CF227</f>
        <v>0.27331066921249958</v>
      </c>
      <c r="I906" s="16">
        <f>Quarts!CG227</f>
        <v>8.6502298370246589E-2</v>
      </c>
      <c r="J906" s="16">
        <f>Quarts!CH227</f>
        <v>2.222980149033349E-2</v>
      </c>
      <c r="K906" s="16">
        <f>Quarts!CI227</f>
        <v>-1.9299184585839013E-2</v>
      </c>
      <c r="L906" s="16">
        <f>Quarts!CJ227</f>
        <v>1.3100819989905643E-2</v>
      </c>
      <c r="M906" t="s">
        <v>1823</v>
      </c>
    </row>
    <row r="907" spans="2:13">
      <c r="B907" t="s">
        <v>48</v>
      </c>
      <c r="D907" s="16"/>
      <c r="E907" s="16">
        <v>-0.1048830344874383</v>
      </c>
      <c r="F907" s="16">
        <v>-0.1056050078382732</v>
      </c>
      <c r="G907" s="16">
        <v>-0.19000524519380602</v>
      </c>
      <c r="H907" s="16">
        <v>-0.21822388980216012</v>
      </c>
      <c r="I907" s="16">
        <v>-2.5434818657759317E-2</v>
      </c>
      <c r="J907" s="16">
        <v>9.7217358448835167E-2</v>
      </c>
      <c r="K907" s="16">
        <v>0.23011806220320197</v>
      </c>
      <c r="L907" s="16">
        <v>0.25120809782971287</v>
      </c>
    </row>
    <row r="908" spans="2:13">
      <c r="B908" t="s">
        <v>49</v>
      </c>
      <c r="D908" s="16"/>
      <c r="E908" s="16">
        <v>-4.3990562283246715E-2</v>
      </c>
      <c r="F908" s="16">
        <v>-5.588720222866661E-2</v>
      </c>
      <c r="G908" s="16">
        <v>-8.2957638968636505E-2</v>
      </c>
      <c r="H908" s="16">
        <v>-9.431660015453136E-2</v>
      </c>
      <c r="I908" s="16">
        <v>-8.2677133356129251E-2</v>
      </c>
      <c r="J908" s="16">
        <v>-7.0488697609297657E-2</v>
      </c>
      <c r="K908" s="16">
        <v>-3.9597875771841151E-2</v>
      </c>
      <c r="L908" s="16">
        <v>-5.6567220509764482E-3</v>
      </c>
    </row>
    <row r="909" spans="2:13">
      <c r="B909" s="11" t="s">
        <v>1106</v>
      </c>
      <c r="C909" s="11"/>
      <c r="D909" s="20"/>
      <c r="E909" s="20">
        <v>-0.12318376562936839</v>
      </c>
      <c r="F909" s="20">
        <v>-0.14755075939609086</v>
      </c>
      <c r="G909" s="20">
        <v>-0.1261957466226814</v>
      </c>
      <c r="H909" s="20">
        <v>-6.7941697590872319E-2</v>
      </c>
      <c r="I909" s="20">
        <v>0.1345657759990484</v>
      </c>
      <c r="J909" s="20">
        <v>0.27589611156367266</v>
      </c>
      <c r="K909" s="20">
        <v>0.26024148441140671</v>
      </c>
      <c r="L909" s="20">
        <v>5.8074052959124378E-2</v>
      </c>
    </row>
    <row r="910" spans="2:13">
      <c r="B910" t="s">
        <v>50</v>
      </c>
      <c r="D910" s="16"/>
      <c r="E910" s="16">
        <f>((E907*Quarts!$AJ$224)+(Analysis!E908*Quarts!$AJ$223)+(Analysis!E909*Quarts!$AJ$222))/Quarts!$AJ$227</f>
        <v>-9.9424991957382899E-2</v>
      </c>
      <c r="F910" s="16">
        <f>((F907*Quarts!$AJ$224)+(Analysis!F908*Quarts!$AJ$223)+(Analysis!F909*Quarts!$AJ$222))/Quarts!$AJ$227</f>
        <v>-0.11278920146470144</v>
      </c>
      <c r="G910" s="16">
        <f>((G907*Quarts!$AJ$224)+(Analysis!G908*Quarts!$AJ$223)+(Analysis!G909*Quarts!$AJ$222))/Quarts!$AJ$227</f>
        <v>-0.13950514247265339</v>
      </c>
      <c r="H910" s="16">
        <f>((H907*Quarts!$AJ$224)+(Analysis!H908*Quarts!$AJ$223)+(Analysis!H909*Quarts!$AJ$222))/Quarts!$AJ$227</f>
        <v>-0.12716268975708525</v>
      </c>
      <c r="I910" s="16">
        <f>((I907*Quarts!$AJ$224)+(Analysis!I908*Quarts!$AJ$223)+(Analysis!I909*Quarts!$AJ$222))/Quarts!$AJ$227</f>
        <v>2.9580069604769242E-2</v>
      </c>
      <c r="J910" s="16">
        <f>((J907*Quarts!$AJ$224)+(Analysis!J908*Quarts!$AJ$223)+(Analysis!J909*Quarts!$AJ$222))/Quarts!$AJ$227</f>
        <v>0.13572188381536465</v>
      </c>
      <c r="K910" s="16">
        <f>((K907*Quarts!$AJ$224)+(Analysis!K908*Quarts!$AJ$223)+(Analysis!K909*Quarts!$AJ$222))/Quarts!$AJ$227</f>
        <v>0.18277527511890521</v>
      </c>
      <c r="L910" s="16">
        <f>((L907*Quarts!$AJ$224)+(Analysis!L908*Quarts!$AJ$223)+(Analysis!L909*Quarts!$AJ$222))/Quarts!$AJ$227</f>
        <v>0.1117031835113752</v>
      </c>
    </row>
    <row r="911" spans="2:13">
      <c r="B911" t="s">
        <v>51</v>
      </c>
      <c r="D911" s="16"/>
      <c r="E911" s="16"/>
      <c r="F911" s="16"/>
      <c r="G911" s="16"/>
      <c r="H911" s="16">
        <f>H897-H906</f>
        <v>-0.17331066921249957</v>
      </c>
      <c r="I911" s="16">
        <f>I897-I906</f>
        <v>2.3497701629753412E-2</v>
      </c>
      <c r="J911" s="16">
        <f>J897-J906</f>
        <v>0.13777019850966651</v>
      </c>
      <c r="K911" s="16">
        <f>K897-K906</f>
        <v>0.17929918458583902</v>
      </c>
      <c r="L911" s="16">
        <f>L897-L906</f>
        <v>0.11689918001009436</v>
      </c>
    </row>
    <row r="912" spans="2:13">
      <c r="D912" s="16"/>
      <c r="E912" s="16"/>
      <c r="F912" s="16"/>
      <c r="G912" s="16"/>
      <c r="H912" s="16"/>
      <c r="I912" s="16"/>
      <c r="J912" s="16"/>
      <c r="K912" s="16"/>
      <c r="L912" s="16"/>
    </row>
    <row r="913" spans="1:18">
      <c r="B913" s="329" t="s">
        <v>1144</v>
      </c>
      <c r="C913" s="329"/>
    </row>
    <row r="914" spans="1:18">
      <c r="B914" t="s">
        <v>1763</v>
      </c>
      <c r="D914" s="101">
        <v>1.5625923076923072</v>
      </c>
      <c r="E914" s="101">
        <v>1.5033560606060608</v>
      </c>
      <c r="F914" s="101">
        <v>1.3628446153846154</v>
      </c>
      <c r="G914" s="101">
        <v>1.4305363636363635</v>
      </c>
    </row>
    <row r="916" spans="1:18">
      <c r="A916" s="8" t="s">
        <v>1145</v>
      </c>
      <c r="B916" s="2" t="s">
        <v>1147</v>
      </c>
      <c r="C916" s="2"/>
      <c r="E916">
        <v>553</v>
      </c>
      <c r="F916">
        <v>796</v>
      </c>
      <c r="G916">
        <v>802</v>
      </c>
      <c r="L916" s="2"/>
    </row>
    <row r="917" spans="1:18">
      <c r="A917" s="88">
        <f>Africa!J10</f>
        <v>72644.230769230766</v>
      </c>
      <c r="B917" s="23" t="s">
        <v>827</v>
      </c>
      <c r="C917" s="23"/>
      <c r="D917" s="96" t="s">
        <v>613</v>
      </c>
      <c r="E917" s="96" t="s">
        <v>2043</v>
      </c>
      <c r="F917" s="96" t="s">
        <v>96</v>
      </c>
      <c r="G917" s="96" t="s">
        <v>1100</v>
      </c>
      <c r="H917" s="96" t="s">
        <v>2047</v>
      </c>
      <c r="I917" s="96" t="s">
        <v>179</v>
      </c>
      <c r="J917" s="96" t="s">
        <v>2362</v>
      </c>
      <c r="K917" s="96" t="s">
        <v>1766</v>
      </c>
      <c r="L917" s="96" t="s">
        <v>1765</v>
      </c>
      <c r="M917" s="96" t="s">
        <v>2361</v>
      </c>
      <c r="O917" s="96" t="str">
        <f>E917</f>
        <v>Q3 08</v>
      </c>
      <c r="P917" s="96" t="str">
        <f>H917</f>
        <v>Q2 09</v>
      </c>
      <c r="Q917" s="96" t="str">
        <f>I917</f>
        <v>Q3 09</v>
      </c>
      <c r="R917" s="96"/>
    </row>
    <row r="918" spans="1:18">
      <c r="B918" t="s">
        <v>887</v>
      </c>
      <c r="E918" s="88">
        <f>Quarts!AE159*E916</f>
        <v>11613</v>
      </c>
      <c r="H918" s="88">
        <f>Quarts!AI159*F916</f>
        <v>18308</v>
      </c>
      <c r="I918" s="88">
        <f>Quarts!AJ159*G916</f>
        <v>22456</v>
      </c>
      <c r="K918" s="16"/>
      <c r="L918" s="16">
        <f t="shared" ref="L918:L923" si="152">I918/E918-1</f>
        <v>0.93369499698613612</v>
      </c>
      <c r="O918" s="16">
        <f>E918/E$925</f>
        <v>9.6055471386174554E-2</v>
      </c>
      <c r="P918" s="16">
        <f>H918/H$925</f>
        <v>0.1452966084592327</v>
      </c>
      <c r="Q918" s="16">
        <f>I918/I$925</f>
        <v>0.15934908705614137</v>
      </c>
    </row>
    <row r="919" spans="1:18">
      <c r="B919" t="s">
        <v>849</v>
      </c>
      <c r="D919">
        <v>49482</v>
      </c>
      <c r="E919" s="88">
        <v>57720.545454545456</v>
      </c>
      <c r="H919">
        <v>61813</v>
      </c>
      <c r="I919" s="88">
        <v>67849</v>
      </c>
      <c r="K919" s="16">
        <f>H919/D919-1</f>
        <v>0.24920172992199174</v>
      </c>
      <c r="L919" s="16">
        <f t="shared" si="152"/>
        <v>0.17547399224476545</v>
      </c>
      <c r="O919" s="16">
        <f>E919/E$925</f>
        <v>0.47742824440742954</v>
      </c>
      <c r="P919" s="16">
        <f>H919/H$925</f>
        <v>0.49056255509561669</v>
      </c>
      <c r="Q919" s="16">
        <f>I919/I$925</f>
        <v>0.4814604652508076</v>
      </c>
    </row>
    <row r="920" spans="1:18">
      <c r="B920" s="32" t="s">
        <v>1227</v>
      </c>
      <c r="C920" s="32"/>
      <c r="D920" s="32">
        <v>3454</v>
      </c>
      <c r="E920" s="32">
        <v>3776</v>
      </c>
      <c r="F920" s="32">
        <v>4042</v>
      </c>
      <c r="G920" s="33">
        <v>4170</v>
      </c>
      <c r="H920" s="32">
        <v>4182</v>
      </c>
      <c r="I920" s="33">
        <v>4404</v>
      </c>
      <c r="J920" s="32">
        <v>3522</v>
      </c>
      <c r="K920" s="16">
        <f>H920/D920-1</f>
        <v>0.21077012159814701</v>
      </c>
      <c r="L920" s="16">
        <f t="shared" si="152"/>
        <v>0.16631355932203395</v>
      </c>
      <c r="M920" s="16">
        <f>J920/F920-1</f>
        <v>-0.12864918357248889</v>
      </c>
      <c r="O920" s="16"/>
      <c r="P920" s="16"/>
      <c r="Q920" s="16"/>
    </row>
    <row r="921" spans="1:18">
      <c r="B921" s="32" t="s">
        <v>2363</v>
      </c>
      <c r="C921" s="32"/>
      <c r="D921" s="32">
        <v>8.1999999999999993</v>
      </c>
      <c r="E921" s="32">
        <v>8.6</v>
      </c>
      <c r="F921" s="32">
        <v>7.1</v>
      </c>
      <c r="G921" s="373">
        <v>5.2</v>
      </c>
      <c r="H921" s="32">
        <v>4.5999999999999996</v>
      </c>
      <c r="I921" s="373">
        <v>4.9000000000000004</v>
      </c>
      <c r="J921" s="32">
        <v>4.7</v>
      </c>
      <c r="K921" s="16">
        <f>H921/D921-1</f>
        <v>-0.43902439024390238</v>
      </c>
      <c r="L921" s="16">
        <f t="shared" si="152"/>
        <v>-0.43023255813953487</v>
      </c>
      <c r="M921" s="16">
        <f>J921/F921-1</f>
        <v>-0.3380281690140845</v>
      </c>
      <c r="O921" s="16"/>
      <c r="P921" s="16"/>
      <c r="Q921" s="16"/>
    </row>
    <row r="922" spans="1:18">
      <c r="B922" s="32" t="s">
        <v>2364</v>
      </c>
      <c r="C922" s="32"/>
      <c r="D922" s="358">
        <v>551.63876923076919</v>
      </c>
      <c r="E922" s="358">
        <v>552.87878787878788</v>
      </c>
      <c r="F922" s="358">
        <v>582.21903484848542</v>
      </c>
      <c r="G922" s="358">
        <v>731.02945624999984</v>
      </c>
      <c r="H922" s="358">
        <v>796.18728153846132</v>
      </c>
      <c r="I922" s="358">
        <v>802.10158636363667</v>
      </c>
      <c r="J922" s="358">
        <v>891.00559848484795</v>
      </c>
      <c r="K922" s="16">
        <f>H922/D922-1</f>
        <v>0.44331277268401936</v>
      </c>
      <c r="L922" s="16">
        <f t="shared" si="152"/>
        <v>0.45077294327212991</v>
      </c>
      <c r="M922" s="16">
        <f>J922/F922-1</f>
        <v>0.53036150512791114</v>
      </c>
      <c r="O922" s="16"/>
      <c r="P922" s="16"/>
      <c r="Q922" s="16"/>
    </row>
    <row r="923" spans="1:18">
      <c r="B923" t="s">
        <v>922</v>
      </c>
      <c r="D923" s="88">
        <f>D921*D922*3*AVERAGE(3289,D920)/1000</f>
        <v>45752.312717353838</v>
      </c>
      <c r="E923" s="88">
        <f t="shared" ref="E923:J923" si="153">E921*E922*3*AVERAGE(D920,E920)/1000</f>
        <v>51565.345909090916</v>
      </c>
      <c r="F923" s="88">
        <f t="shared" si="153"/>
        <v>48476.546613844133</v>
      </c>
      <c r="G923" s="88">
        <f t="shared" si="153"/>
        <v>46825.068378854987</v>
      </c>
      <c r="H923" s="88">
        <f t="shared" si="153"/>
        <v>45883.317610323684</v>
      </c>
      <c r="I923" s="88">
        <f t="shared" si="153"/>
        <v>50618.305020808657</v>
      </c>
      <c r="J923" s="88">
        <f t="shared" si="153"/>
        <v>49787.878133815881</v>
      </c>
      <c r="K923" s="16">
        <f>H923/D923-1</f>
        <v>2.8633501825177099E-3</v>
      </c>
      <c r="L923" s="16">
        <f t="shared" si="152"/>
        <v>-1.8365839917992233E-2</v>
      </c>
      <c r="M923" s="16">
        <f>J923/F923-1</f>
        <v>2.7050844409722385E-2</v>
      </c>
      <c r="O923" s="16">
        <f>E923/E$925</f>
        <v>0.42651628420639592</v>
      </c>
      <c r="P923" s="16">
        <f>H923/H$925</f>
        <v>0.36414083644515055</v>
      </c>
      <c r="Q923" s="16">
        <f>I923/I$925</f>
        <v>0.35919044769305114</v>
      </c>
    </row>
    <row r="924" spans="1:18">
      <c r="B924" s="11" t="s">
        <v>1149</v>
      </c>
      <c r="C924" s="11"/>
      <c r="D924" s="11"/>
      <c r="E924" s="89"/>
      <c r="F924" s="11"/>
      <c r="G924" s="11"/>
      <c r="H924" s="11"/>
      <c r="I924" s="20"/>
      <c r="J924" s="11"/>
      <c r="K924" s="11"/>
      <c r="L924" s="11"/>
      <c r="O924" s="20"/>
      <c r="P924" s="20"/>
      <c r="Q924" s="20"/>
    </row>
    <row r="925" spans="1:18">
      <c r="B925" t="s">
        <v>1151</v>
      </c>
      <c r="E925" s="88">
        <f>E918+E919+E923+E924</f>
        <v>120898.89136363637</v>
      </c>
      <c r="H925" s="88">
        <f>H918+H919+H923+H924</f>
        <v>126004.31761032369</v>
      </c>
      <c r="I925" s="88">
        <f>I918+I919+I923+I924</f>
        <v>140923.30502080865</v>
      </c>
      <c r="K925" s="16"/>
      <c r="L925" s="16">
        <f>I925/E925-1</f>
        <v>0.16562942332484587</v>
      </c>
      <c r="O925" s="16">
        <f>E925/E$925</f>
        <v>1</v>
      </c>
      <c r="P925" s="16">
        <f>H925/H$925</f>
        <v>1</v>
      </c>
      <c r="Q925" s="16">
        <f>I925/I$925</f>
        <v>1</v>
      </c>
    </row>
    <row r="927" spans="1:18">
      <c r="A927" s="88">
        <f>Africa!J8</f>
        <v>44397.321428571428</v>
      </c>
      <c r="B927" s="23" t="s">
        <v>578</v>
      </c>
      <c r="C927" s="23"/>
      <c r="D927" s="96" t="str">
        <f t="shared" ref="D927:M927" si="154">D917</f>
        <v>Q2 08</v>
      </c>
      <c r="E927" s="96" t="str">
        <f t="shared" si="154"/>
        <v>Q3 08</v>
      </c>
      <c r="F927" s="96" t="str">
        <f t="shared" si="154"/>
        <v>Q4 08</v>
      </c>
      <c r="G927" s="96" t="str">
        <f t="shared" si="154"/>
        <v>Q1 09</v>
      </c>
      <c r="H927" s="96" t="str">
        <f t="shared" si="154"/>
        <v>Q2 09</v>
      </c>
      <c r="I927" s="96" t="str">
        <f t="shared" si="154"/>
        <v>Q3 09</v>
      </c>
      <c r="J927" s="96" t="str">
        <f t="shared" si="154"/>
        <v>Q4 09</v>
      </c>
      <c r="K927" s="96" t="str">
        <f t="shared" si="154"/>
        <v>Q2 y/y</v>
      </c>
      <c r="L927" s="96" t="str">
        <f t="shared" si="154"/>
        <v>Q3 y/y</v>
      </c>
      <c r="M927" s="96" t="str">
        <f t="shared" si="154"/>
        <v>Q4 y/y</v>
      </c>
      <c r="O927" s="96" t="str">
        <f>E927</f>
        <v>Q3 08</v>
      </c>
      <c r="P927" s="96" t="str">
        <f>H927</f>
        <v>Q2 09</v>
      </c>
      <c r="Q927" s="96" t="str">
        <f>I927</f>
        <v>Q3 09</v>
      </c>
      <c r="R927" s="96" t="str">
        <f>J927</f>
        <v>Q4 09</v>
      </c>
    </row>
    <row r="928" spans="1:18">
      <c r="B928" t="s">
        <v>887</v>
      </c>
      <c r="E928" s="88">
        <f>Quarts!AE157</f>
        <v>57217</v>
      </c>
      <c r="F928" s="88">
        <f>Quarts!AF157</f>
        <v>56972</v>
      </c>
      <c r="H928" s="88">
        <f>Quarts!AI157</f>
        <v>61711</v>
      </c>
      <c r="I928" s="88">
        <f>Quarts!AJ157</f>
        <v>72980</v>
      </c>
      <c r="J928" s="88">
        <f>Quarts!AK157</f>
        <v>83619</v>
      </c>
      <c r="K928" s="16"/>
      <c r="L928" s="16">
        <f>I928/E928-1</f>
        <v>0.27549504517888046</v>
      </c>
      <c r="M928" s="16">
        <f>J928/F928-1</f>
        <v>0.46772098574738474</v>
      </c>
      <c r="O928" s="16">
        <f>E928/E$934</f>
        <v>0.21529081480027293</v>
      </c>
      <c r="P928" s="16">
        <f t="shared" ref="P928:R929" si="155">H928/H$934</f>
        <v>0.24879441285260381</v>
      </c>
      <c r="Q928" s="5">
        <f t="shared" si="155"/>
        <v>0.28436187408938596</v>
      </c>
      <c r="R928" s="5">
        <f t="shared" si="155"/>
        <v>0.30886254750015218</v>
      </c>
    </row>
    <row r="929" spans="1:18">
      <c r="B929" t="s">
        <v>849</v>
      </c>
      <c r="D929">
        <v>97234</v>
      </c>
      <c r="E929" s="88">
        <v>100513</v>
      </c>
      <c r="F929" s="118">
        <v>100000</v>
      </c>
      <c r="H929">
        <v>90570</v>
      </c>
      <c r="I929" s="88">
        <v>87844</v>
      </c>
      <c r="J929" s="118">
        <f>(1+M929)*F929</f>
        <v>87395.660262851568</v>
      </c>
      <c r="K929" s="16">
        <f>H929/D929-1</f>
        <v>-6.8535697389801919E-2</v>
      </c>
      <c r="L929" s="16">
        <f>I929/E929-1</f>
        <v>-0.12604339737148429</v>
      </c>
      <c r="M929" s="190">
        <f>L929</f>
        <v>-0.12604339737148429</v>
      </c>
      <c r="O929" s="16">
        <f>E929/E$934</f>
        <v>0.37820098341436698</v>
      </c>
      <c r="P929" s="16">
        <f t="shared" si="155"/>
        <v>0.36514251870914954</v>
      </c>
      <c r="Q929" s="5">
        <f t="shared" si="155"/>
        <v>0.3422784936627572</v>
      </c>
      <c r="R929" s="5">
        <f t="shared" si="155"/>
        <v>0.32281235447974926</v>
      </c>
    </row>
    <row r="930" spans="1:18">
      <c r="B930" s="32" t="s">
        <v>1227</v>
      </c>
      <c r="C930" s="32"/>
      <c r="D930" s="32">
        <v>4495</v>
      </c>
      <c r="E930" s="32">
        <v>4931</v>
      </c>
      <c r="F930" s="32">
        <v>5355</v>
      </c>
      <c r="G930" s="33">
        <v>5667</v>
      </c>
      <c r="H930" s="32">
        <v>5917</v>
      </c>
      <c r="I930" s="33">
        <v>6260</v>
      </c>
      <c r="J930" s="32">
        <v>6878</v>
      </c>
      <c r="K930" s="16">
        <f>H930/D930-1</f>
        <v>0.31635150166852055</v>
      </c>
      <c r="L930" s="16">
        <f>I930/E930-1</f>
        <v>0.2695193672683025</v>
      </c>
      <c r="M930" s="16"/>
      <c r="O930" s="16"/>
      <c r="P930" s="16"/>
      <c r="Q930" s="5"/>
      <c r="R930" s="5"/>
    </row>
    <row r="931" spans="1:18">
      <c r="B931" s="32" t="s">
        <v>1240</v>
      </c>
      <c r="C931" s="32"/>
      <c r="D931" s="32">
        <v>7432</v>
      </c>
      <c r="E931" s="32">
        <v>7641</v>
      </c>
      <c r="F931" s="32">
        <v>7191</v>
      </c>
      <c r="G931" s="33">
        <v>5729</v>
      </c>
      <c r="H931" s="32">
        <v>5511</v>
      </c>
      <c r="I931" s="33">
        <v>5246</v>
      </c>
      <c r="J931" s="32">
        <v>5060</v>
      </c>
      <c r="K931" s="16"/>
      <c r="L931" s="16"/>
      <c r="O931" s="16"/>
      <c r="P931" s="16"/>
      <c r="Q931" s="5"/>
      <c r="R931" s="5"/>
    </row>
    <row r="932" spans="1:18">
      <c r="B932" t="s">
        <v>922</v>
      </c>
      <c r="D932" s="88">
        <f>D931*3*AVERAGE(4207,D930)/1000</f>
        <v>97009.895999999993</v>
      </c>
      <c r="E932" s="88">
        <f t="shared" ref="E932:J932" si="156">E931*3*AVERAGE(D930,E930)/1000</f>
        <v>108036.099</v>
      </c>
      <c r="F932" s="88">
        <f t="shared" si="156"/>
        <v>110949.939</v>
      </c>
      <c r="G932" s="88">
        <f t="shared" si="156"/>
        <v>94717.557000000001</v>
      </c>
      <c r="H932" s="88">
        <f t="shared" si="156"/>
        <v>95759.135999999999</v>
      </c>
      <c r="I932" s="88">
        <f t="shared" si="156"/>
        <v>95820.812999999995</v>
      </c>
      <c r="J932" s="88">
        <f t="shared" si="156"/>
        <v>99717.42</v>
      </c>
      <c r="K932" s="16">
        <f>H932/D932-1</f>
        <v>-1.2893117625855322E-2</v>
      </c>
      <c r="L932" s="16">
        <f>I932/E932-1</f>
        <v>-0.11306670745303393</v>
      </c>
      <c r="M932" s="16">
        <f>J932/F932-1</f>
        <v>-0.10123952389013935</v>
      </c>
      <c r="O932" s="16">
        <f>E932/E$934</f>
        <v>0.40650820178536018</v>
      </c>
      <c r="P932" s="16">
        <f>H932/H$934</f>
        <v>0.38606306843824661</v>
      </c>
      <c r="Q932" s="5">
        <f>I932/I$934</f>
        <v>0.3733596322478569</v>
      </c>
      <c r="R932" s="5">
        <f>J932/J$934</f>
        <v>0.36832509802009861</v>
      </c>
    </row>
    <row r="933" spans="1:18">
      <c r="B933" s="11" t="s">
        <v>1148</v>
      </c>
      <c r="C933" s="11"/>
      <c r="D933" s="11"/>
      <c r="E933" s="11"/>
      <c r="F933" s="11"/>
      <c r="G933" s="11"/>
      <c r="H933" s="11"/>
      <c r="I933" s="11"/>
      <c r="J933" s="11"/>
      <c r="K933" s="11"/>
      <c r="L933" s="11"/>
      <c r="O933" s="11"/>
      <c r="P933" s="11"/>
      <c r="Q933" s="17"/>
      <c r="R933" s="17"/>
    </row>
    <row r="934" spans="1:18">
      <c r="B934" t="s">
        <v>1151</v>
      </c>
      <c r="E934" s="88">
        <f>E928+E929+E932</f>
        <v>265766.09899999999</v>
      </c>
      <c r="F934" s="88">
        <f>F928+F929+F932</f>
        <v>267921.93900000001</v>
      </c>
      <c r="H934" s="88">
        <f>H928+H929+H932</f>
        <v>248040.136</v>
      </c>
      <c r="I934" s="88">
        <f>I928+I929+I932</f>
        <v>256644.81299999999</v>
      </c>
      <c r="J934" s="88">
        <f>J928+J929+J932</f>
        <v>270732.08026285155</v>
      </c>
      <c r="K934" s="16"/>
      <c r="L934" s="16">
        <f>I934/E934-1</f>
        <v>-3.4320728017308122E-2</v>
      </c>
      <c r="O934" s="16">
        <f>E934/E$934</f>
        <v>1</v>
      </c>
      <c r="P934" s="16">
        <f>H934/H$934</f>
        <v>1</v>
      </c>
      <c r="Q934" s="5">
        <f>I934/I$934</f>
        <v>1</v>
      </c>
      <c r="R934" s="5">
        <f>J934/J$934</f>
        <v>1</v>
      </c>
    </row>
    <row r="936" spans="1:18">
      <c r="D936">
        <v>62.7</v>
      </c>
      <c r="E936">
        <v>68.7</v>
      </c>
      <c r="H936">
        <v>78.45</v>
      </c>
      <c r="I936">
        <v>76.17</v>
      </c>
    </row>
    <row r="937" spans="1:18">
      <c r="A937">
        <v>39300</v>
      </c>
      <c r="B937" s="23" t="s">
        <v>2241</v>
      </c>
      <c r="C937" s="23"/>
      <c r="D937" s="96" t="str">
        <f>D927</f>
        <v>Q2 08</v>
      </c>
      <c r="E937" s="96" t="str">
        <f>E927</f>
        <v>Q3 08</v>
      </c>
      <c r="H937" s="96" t="str">
        <f>H927</f>
        <v>Q2 09</v>
      </c>
      <c r="I937" s="96" t="str">
        <f>I927</f>
        <v>Q3 09</v>
      </c>
      <c r="K937" s="96" t="str">
        <f>K927</f>
        <v>Q2 y/y</v>
      </c>
      <c r="L937" s="96" t="str">
        <f>L927</f>
        <v>Q3 y/y</v>
      </c>
      <c r="O937" s="96" t="str">
        <f>E937</f>
        <v>Q3 08</v>
      </c>
      <c r="P937" s="96" t="str">
        <f>H937</f>
        <v>Q2 09</v>
      </c>
      <c r="Q937" s="96" t="str">
        <f>I937</f>
        <v>Q3 09</v>
      </c>
      <c r="R937" s="96"/>
    </row>
    <row r="938" spans="1:18">
      <c r="B938" t="s">
        <v>849</v>
      </c>
      <c r="D938">
        <v>2521</v>
      </c>
      <c r="E938" s="88">
        <v>2871.66</v>
      </c>
      <c r="H938">
        <v>2683</v>
      </c>
      <c r="I938" s="88">
        <v>3664</v>
      </c>
      <c r="K938" s="16">
        <f t="shared" ref="K938:L940" si="157">H938/D938-1</f>
        <v>6.4260214200714039E-2</v>
      </c>
      <c r="L938" s="16">
        <f t="shared" si="157"/>
        <v>0.27591706539074967</v>
      </c>
      <c r="O938" s="16">
        <f>E938/E$941</f>
        <v>0.13652531515805705</v>
      </c>
      <c r="P938" s="16">
        <f t="shared" ref="P938:Q941" si="158">H938/H$941</f>
        <v>0.1188487513123217</v>
      </c>
      <c r="Q938" s="16">
        <f t="shared" si="158"/>
        <v>0.14729221099174389</v>
      </c>
    </row>
    <row r="939" spans="1:18">
      <c r="B939" t="s">
        <v>1637</v>
      </c>
      <c r="D939" s="9">
        <f>79*D914*D936</f>
        <v>7739.9884776923054</v>
      </c>
      <c r="E939" s="9">
        <f>79*E914*E936</f>
        <v>8159.1643477272737</v>
      </c>
      <c r="H939" s="9">
        <f>76*F914*H936</f>
        <v>8125.5521658461548</v>
      </c>
      <c r="I939" s="9">
        <f>81*G914*I936</f>
        <v>8826.080340272727</v>
      </c>
      <c r="K939" s="16">
        <f t="shared" si="157"/>
        <v>4.9814504151407535E-2</v>
      </c>
      <c r="L939" s="16">
        <f t="shared" si="157"/>
        <v>8.173827173014625E-2</v>
      </c>
      <c r="O939" s="16">
        <f>E939/E$941</f>
        <v>0.38790542195101407</v>
      </c>
      <c r="P939" s="16">
        <f t="shared" si="158"/>
        <v>0.35993728238313333</v>
      </c>
      <c r="Q939" s="16">
        <f t="shared" si="158"/>
        <v>0.35480701083775468</v>
      </c>
    </row>
    <row r="940" spans="1:18">
      <c r="B940" s="11" t="s">
        <v>1764</v>
      </c>
      <c r="C940" s="11"/>
      <c r="D940" s="13">
        <f>19506-E940</f>
        <v>9502.9230769230762</v>
      </c>
      <c r="E940" s="13">
        <f>19506/1.95</f>
        <v>10003.076923076924</v>
      </c>
      <c r="H940" s="13">
        <f>24152-I940</f>
        <v>11766.358974358975</v>
      </c>
      <c r="I940" s="13">
        <f>24152/1.95</f>
        <v>12385.641025641025</v>
      </c>
      <c r="K940" s="20">
        <f t="shared" si="157"/>
        <v>0.23818312314159762</v>
      </c>
      <c r="L940" s="20">
        <f t="shared" si="157"/>
        <v>0.2381831231415974</v>
      </c>
      <c r="O940" s="20">
        <f>E940/E$941</f>
        <v>0.47556926289092882</v>
      </c>
      <c r="P940" s="20">
        <f t="shared" si="158"/>
        <v>0.52121396630454508</v>
      </c>
      <c r="Q940" s="20">
        <f t="shared" si="158"/>
        <v>0.49790077817050138</v>
      </c>
    </row>
    <row r="941" spans="1:18">
      <c r="B941" t="s">
        <v>1151</v>
      </c>
      <c r="D941" s="9">
        <f>SUM(D938:D940)</f>
        <v>19763.911554615384</v>
      </c>
      <c r="E941" s="9">
        <f>SUM(E938:E940)</f>
        <v>21033.901270804199</v>
      </c>
      <c r="H941" s="9">
        <f>SUM(H938:H940)</f>
        <v>22574.911140205128</v>
      </c>
      <c r="I941" s="9">
        <f>SUM(I938:I940)</f>
        <v>24875.721365913752</v>
      </c>
      <c r="K941" s="16"/>
      <c r="L941" s="16"/>
      <c r="O941" s="16">
        <f>E941/E$941</f>
        <v>1</v>
      </c>
      <c r="P941" s="16">
        <f t="shared" si="158"/>
        <v>1</v>
      </c>
      <c r="Q941" s="16">
        <f t="shared" si="158"/>
        <v>1</v>
      </c>
    </row>
    <row r="943" spans="1:18">
      <c r="A943">
        <v>30500</v>
      </c>
      <c r="B943" s="23" t="s">
        <v>2245</v>
      </c>
      <c r="C943" s="23"/>
      <c r="D943" s="96" t="str">
        <f>D937</f>
        <v>Q2 08</v>
      </c>
      <c r="E943" s="96" t="str">
        <f>E937</f>
        <v>Q3 08</v>
      </c>
      <c r="H943" s="96" t="str">
        <f>H937</f>
        <v>Q2 09</v>
      </c>
      <c r="I943" s="96" t="str">
        <f>I937</f>
        <v>Q3 09</v>
      </c>
      <c r="K943" s="96" t="str">
        <f>K937</f>
        <v>Q2 y/y</v>
      </c>
      <c r="L943" s="96" t="str">
        <f>L937</f>
        <v>Q3 y/y</v>
      </c>
      <c r="O943" s="96" t="str">
        <f>E943</f>
        <v>Q3 08</v>
      </c>
      <c r="P943" s="96" t="str">
        <f>H943</f>
        <v>Q2 09</v>
      </c>
      <c r="Q943" s="96" t="str">
        <f>I943</f>
        <v>Q3 09</v>
      </c>
      <c r="R943" s="96"/>
    </row>
    <row r="944" spans="1:18">
      <c r="B944" t="s">
        <v>1284</v>
      </c>
      <c r="E944">
        <v>132487.67536363637</v>
      </c>
      <c r="H944">
        <v>191879</v>
      </c>
      <c r="I944">
        <v>113357.277687273</v>
      </c>
      <c r="K944" s="16"/>
      <c r="L944" s="16">
        <f>I944/E944-1</f>
        <v>-0.14439379077228531</v>
      </c>
      <c r="O944" s="16">
        <f>E944/E$947</f>
        <v>0.69901857633199382</v>
      </c>
      <c r="P944" s="16">
        <f>H944/H$947</f>
        <v>0.797193935843585</v>
      </c>
      <c r="Q944" s="16">
        <f>I944/I$947</f>
        <v>0.69227814864845805</v>
      </c>
    </row>
    <row r="945" spans="1:18">
      <c r="B945" t="s">
        <v>849</v>
      </c>
      <c r="D945">
        <v>59434</v>
      </c>
      <c r="E945" s="9">
        <v>57046.165151515146</v>
      </c>
      <c r="H945">
        <v>48814</v>
      </c>
      <c r="I945" s="9">
        <v>50388</v>
      </c>
      <c r="K945" s="16">
        <f>H945/D945-1</f>
        <v>-0.1786856008345391</v>
      </c>
      <c r="L945" s="16">
        <f>I945/E945-1</f>
        <v>-0.11671538540462789</v>
      </c>
      <c r="O945" s="16">
        <f>E945/E$947</f>
        <v>0.30098142366800629</v>
      </c>
      <c r="P945" s="16">
        <f>H945/H$947</f>
        <v>0.20280606415641503</v>
      </c>
      <c r="Q945" s="16">
        <f>I945/I$947</f>
        <v>0.30772185135154206</v>
      </c>
    </row>
    <row r="946" spans="1:18">
      <c r="B946" s="11" t="s">
        <v>1152</v>
      </c>
      <c r="C946" s="21"/>
      <c r="E946" s="13"/>
      <c r="H946" s="11"/>
      <c r="I946" s="13"/>
      <c r="K946" s="20"/>
      <c r="L946" s="20"/>
      <c r="O946" s="20"/>
      <c r="P946" s="20"/>
      <c r="Q946" s="20"/>
    </row>
    <row r="947" spans="1:18">
      <c r="B947" t="s">
        <v>1151</v>
      </c>
      <c r="E947" s="9">
        <f>SUM(E944:E946)</f>
        <v>189533.8405151515</v>
      </c>
      <c r="H947" s="9">
        <f>SUM(H944:H946)</f>
        <v>240693</v>
      </c>
      <c r="I947" s="9">
        <f>SUM(I944:I946)</f>
        <v>163745.27768727299</v>
      </c>
      <c r="K947" s="16"/>
      <c r="L947" s="16">
        <f>I947/E947-1</f>
        <v>-0.13606310491986762</v>
      </c>
      <c r="O947" s="16">
        <f>E947/E$947</f>
        <v>1</v>
      </c>
      <c r="P947" s="16">
        <f>H947/H$947</f>
        <v>1</v>
      </c>
      <c r="Q947" s="16">
        <f>I947/I$947</f>
        <v>1</v>
      </c>
    </row>
    <row r="948" spans="1:18">
      <c r="O948" s="8"/>
      <c r="P948" s="8"/>
    </row>
    <row r="949" spans="1:18">
      <c r="A949" s="88">
        <f>Africa!J5</f>
        <v>24266.666666666668</v>
      </c>
      <c r="B949" s="23" t="s">
        <v>2382</v>
      </c>
      <c r="C949" s="23"/>
      <c r="D949" s="96" t="str">
        <f>D943</f>
        <v>Q2 08</v>
      </c>
      <c r="E949" s="96" t="str">
        <f>E943</f>
        <v>Q3 08</v>
      </c>
      <c r="H949" s="96" t="str">
        <f>H943</f>
        <v>Q2 09</v>
      </c>
      <c r="I949" s="96" t="str">
        <f>I943</f>
        <v>Q3 09</v>
      </c>
      <c r="K949" s="96" t="str">
        <f>K943</f>
        <v>Q2 y/y</v>
      </c>
      <c r="L949" s="96" t="str">
        <f>L943</f>
        <v>Q3 y/y</v>
      </c>
      <c r="O949" s="96" t="str">
        <f>E949</f>
        <v>Q3 08</v>
      </c>
      <c r="P949" s="96" t="str">
        <f>H949</f>
        <v>Q2 09</v>
      </c>
      <c r="Q949" s="96" t="str">
        <f>I949</f>
        <v>Q3 09</v>
      </c>
      <c r="R949" s="96"/>
    </row>
    <row r="950" spans="1:18">
      <c r="A950" s="88"/>
      <c r="B950" s="4" t="s">
        <v>1284</v>
      </c>
      <c r="C950" s="4"/>
      <c r="E950" s="300">
        <v>201.975606</v>
      </c>
      <c r="H950">
        <v>245</v>
      </c>
      <c r="I950" s="300">
        <v>258.95507827272701</v>
      </c>
      <c r="K950" s="16"/>
      <c r="L950" s="16">
        <f>I950/E950-1</f>
        <v>0.28211066376365768</v>
      </c>
      <c r="O950" s="16">
        <f>E950/E$954</f>
        <v>0.76803932148748433</v>
      </c>
      <c r="P950" s="16">
        <f t="shared" ref="P950:Q954" si="159">H950/H$954</f>
        <v>0.74923547400611623</v>
      </c>
      <c r="Q950" s="16">
        <f t="shared" si="159"/>
        <v>0.73160435933397949</v>
      </c>
    </row>
    <row r="951" spans="1:18">
      <c r="B951" t="s">
        <v>887</v>
      </c>
      <c r="E951" s="300">
        <f>Quarts!AE154</f>
        <v>61</v>
      </c>
      <c r="H951" s="300">
        <f>Quarts!AI154</f>
        <v>68</v>
      </c>
      <c r="I951" s="300">
        <f>Quarts!AJ154</f>
        <v>71</v>
      </c>
      <c r="K951" s="16"/>
      <c r="L951" s="16">
        <f>I951/E951-1</f>
        <v>0.16393442622950816</v>
      </c>
      <c r="O951" s="16">
        <f>E951/E$954</f>
        <v>0.23196067851251576</v>
      </c>
      <c r="P951" s="16">
        <f t="shared" si="159"/>
        <v>0.20795107033639143</v>
      </c>
      <c r="Q951" s="16">
        <f t="shared" si="159"/>
        <v>0.20059042618197323</v>
      </c>
    </row>
    <row r="952" spans="1:18">
      <c r="B952" t="s">
        <v>849</v>
      </c>
      <c r="D952">
        <v>0</v>
      </c>
      <c r="E952" s="170" t="s">
        <v>1611</v>
      </c>
      <c r="H952">
        <v>14</v>
      </c>
      <c r="I952" s="300">
        <v>24</v>
      </c>
      <c r="O952" s="16"/>
      <c r="P952" s="16">
        <f t="shared" si="159"/>
        <v>4.2813455657492352E-2</v>
      </c>
      <c r="Q952" s="16">
        <f t="shared" si="159"/>
        <v>6.7805214484047291E-2</v>
      </c>
    </row>
    <row r="953" spans="1:18">
      <c r="B953" s="11" t="s">
        <v>1150</v>
      </c>
      <c r="C953" s="21"/>
      <c r="E953" s="11"/>
      <c r="H953" s="11"/>
      <c r="I953" s="11"/>
      <c r="K953" s="11"/>
      <c r="L953" s="11"/>
      <c r="O953" s="20">
        <f>E953/E$954</f>
        <v>0</v>
      </c>
      <c r="P953" s="20">
        <f t="shared" si="159"/>
        <v>0</v>
      </c>
      <c r="Q953" s="20">
        <f t="shared" si="159"/>
        <v>0</v>
      </c>
    </row>
    <row r="954" spans="1:18">
      <c r="B954" t="s">
        <v>1151</v>
      </c>
      <c r="E954" s="9">
        <f>SUM(E950:E953)</f>
        <v>262.97560599999997</v>
      </c>
      <c r="H954" s="9">
        <f>SUM(H950:H953)</f>
        <v>327</v>
      </c>
      <c r="I954" s="9">
        <f>SUM(I950:I953)</f>
        <v>353.95507827272701</v>
      </c>
      <c r="K954" s="16"/>
      <c r="L954" s="16">
        <f>I954/E954-1</f>
        <v>0.34596164129659623</v>
      </c>
      <c r="O954" s="16">
        <f>E954/E$954</f>
        <v>1</v>
      </c>
      <c r="P954" s="16">
        <f t="shared" si="159"/>
        <v>1</v>
      </c>
      <c r="Q954" s="16">
        <f t="shared" si="159"/>
        <v>1</v>
      </c>
    </row>
    <row r="956" spans="1:18">
      <c r="B956" t="s">
        <v>752</v>
      </c>
    </row>
    <row r="957" spans="1:18">
      <c r="A957">
        <v>22400</v>
      </c>
      <c r="B957" s="23" t="s">
        <v>2029</v>
      </c>
      <c r="C957" s="23"/>
      <c r="D957" s="96" t="str">
        <f>D949</f>
        <v>Q2 08</v>
      </c>
      <c r="E957" s="96" t="str">
        <f>E949</f>
        <v>Q3 08</v>
      </c>
      <c r="H957" s="96" t="str">
        <f>H949</f>
        <v>Q2 09</v>
      </c>
      <c r="I957" s="96" t="str">
        <f>I949</f>
        <v>Q3 09</v>
      </c>
      <c r="K957" s="96" t="str">
        <f>K949</f>
        <v>Q2 y/y</v>
      </c>
      <c r="L957" s="96" t="str">
        <f>L949</f>
        <v>Q3 y/y</v>
      </c>
      <c r="R957" s="96"/>
    </row>
    <row r="958" spans="1:18">
      <c r="B958" t="s">
        <v>1284</v>
      </c>
      <c r="E958" s="9">
        <v>45223.716835800005</v>
      </c>
      <c r="H958">
        <v>50886</v>
      </c>
      <c r="I958" s="9">
        <v>50895.283663350019</v>
      </c>
      <c r="K958" s="16"/>
      <c r="L958" s="16">
        <f>I958/E958-1</f>
        <v>0.12541133777532165</v>
      </c>
    </row>
    <row r="959" spans="1:18">
      <c r="B959" t="s">
        <v>1637</v>
      </c>
      <c r="E959">
        <v>3</v>
      </c>
      <c r="H959">
        <v>3</v>
      </c>
      <c r="I959">
        <v>3</v>
      </c>
    </row>
    <row r="961" spans="1:18">
      <c r="A961">
        <v>20000</v>
      </c>
      <c r="B961" s="23" t="s">
        <v>1308</v>
      </c>
      <c r="C961" s="23"/>
      <c r="D961" s="96" t="str">
        <f>D957</f>
        <v>Q2 08</v>
      </c>
      <c r="E961" s="96" t="str">
        <f>E957</f>
        <v>Q3 08</v>
      </c>
      <c r="H961" s="96" t="str">
        <f>H957</f>
        <v>Q2 09</v>
      </c>
      <c r="I961" s="96" t="str">
        <f>I957</f>
        <v>Q3 09</v>
      </c>
      <c r="K961" s="96" t="str">
        <f>K957</f>
        <v>Q2 y/y</v>
      </c>
      <c r="L961" s="96" t="str">
        <f>L957</f>
        <v>Q3 y/y</v>
      </c>
      <c r="R961" s="96"/>
    </row>
    <row r="962" spans="1:18">
      <c r="B962" t="s">
        <v>849</v>
      </c>
      <c r="D962">
        <v>33191</v>
      </c>
      <c r="E962" s="372">
        <v>37537.599999999999</v>
      </c>
      <c r="H962" s="9">
        <v>36727.599999999999</v>
      </c>
      <c r="I962" s="9">
        <v>40643.199999999997</v>
      </c>
      <c r="K962" s="16">
        <f>H962/D962-1</f>
        <v>0.10655298122985135</v>
      </c>
      <c r="L962" s="16">
        <f>I962/E962-1</f>
        <v>8.2733046332210902E-2</v>
      </c>
    </row>
    <row r="965" spans="1:18">
      <c r="A965">
        <v>18100</v>
      </c>
      <c r="B965" s="23" t="s">
        <v>1293</v>
      </c>
      <c r="C965" s="23"/>
      <c r="D965" s="96" t="str">
        <f>D957</f>
        <v>Q2 08</v>
      </c>
      <c r="E965" s="96" t="str">
        <f>E957</f>
        <v>Q3 08</v>
      </c>
      <c r="H965" s="96" t="str">
        <f>H957</f>
        <v>Q2 09</v>
      </c>
      <c r="I965" s="96" t="str">
        <f>I957</f>
        <v>Q3 09</v>
      </c>
      <c r="K965" s="96" t="str">
        <f>K957</f>
        <v>Q2 y/y</v>
      </c>
      <c r="L965" s="96" t="str">
        <f>L957</f>
        <v>Q3 y/y</v>
      </c>
      <c r="R965" s="96"/>
    </row>
    <row r="966" spans="1:18">
      <c r="B966" t="s">
        <v>1284</v>
      </c>
      <c r="E966" s="9">
        <v>50483.203055345468</v>
      </c>
      <c r="H966">
        <v>50977</v>
      </c>
      <c r="I966" s="9">
        <v>50746.738508550021</v>
      </c>
      <c r="K966" s="16"/>
      <c r="L966" s="16">
        <f>I966/E966-1</f>
        <v>5.2202601509978575E-3</v>
      </c>
    </row>
    <row r="967" spans="1:18">
      <c r="B967" t="s">
        <v>1637</v>
      </c>
      <c r="E967">
        <v>53</v>
      </c>
      <c r="H967">
        <v>51</v>
      </c>
      <c r="I967">
        <v>59</v>
      </c>
    </row>
    <row r="969" spans="1:18">
      <c r="A969">
        <v>14800</v>
      </c>
      <c r="B969" s="23" t="s">
        <v>826</v>
      </c>
      <c r="C969" s="23"/>
      <c r="D969" s="96" t="str">
        <f>D965</f>
        <v>Q2 08</v>
      </c>
      <c r="E969" s="96" t="str">
        <f>E965</f>
        <v>Q3 08</v>
      </c>
      <c r="H969" s="96" t="str">
        <f>H965</f>
        <v>Q2 09</v>
      </c>
      <c r="I969" s="96" t="str">
        <f>I965</f>
        <v>Q3 09</v>
      </c>
      <c r="K969" s="96" t="str">
        <f>K965</f>
        <v>Q2 y/y</v>
      </c>
      <c r="L969" s="96" t="str">
        <f>L965</f>
        <v>Q3 y/y</v>
      </c>
      <c r="R969" s="96"/>
    </row>
    <row r="970" spans="1:18">
      <c r="B970" t="s">
        <v>849</v>
      </c>
      <c r="D970">
        <v>14395</v>
      </c>
      <c r="E970" s="9">
        <v>14287.451661818186</v>
      </c>
      <c r="H970">
        <v>15724</v>
      </c>
      <c r="I970" s="9">
        <v>13800</v>
      </c>
      <c r="K970" s="16">
        <f>H970/D970-1</f>
        <v>9.2323723515109313E-2</v>
      </c>
      <c r="L970" s="16">
        <f>I970/E970-1</f>
        <v>-3.4117467086230091E-2</v>
      </c>
    </row>
    <row r="972" spans="1:18">
      <c r="A972">
        <v>14800</v>
      </c>
      <c r="B972" s="23" t="s">
        <v>2243</v>
      </c>
      <c r="C972" s="23"/>
      <c r="D972" s="96" t="str">
        <f>D969</f>
        <v>Q2 08</v>
      </c>
      <c r="E972" s="96" t="str">
        <f>E969</f>
        <v>Q3 08</v>
      </c>
      <c r="H972" s="96" t="str">
        <f>H969</f>
        <v>Q2 09</v>
      </c>
      <c r="I972" s="96" t="str">
        <f>I969</f>
        <v>Q3 09</v>
      </c>
      <c r="K972" s="96" t="str">
        <f>K969</f>
        <v>Q2 y/y</v>
      </c>
      <c r="L972" s="96" t="str">
        <f>L969</f>
        <v>Q3 y/y</v>
      </c>
      <c r="R972" s="96"/>
    </row>
    <row r="973" spans="1:18">
      <c r="B973" t="s">
        <v>849</v>
      </c>
      <c r="D973">
        <v>13850</v>
      </c>
      <c r="E973" s="9">
        <v>14899.146840000003</v>
      </c>
      <c r="H973">
        <v>17972</v>
      </c>
      <c r="I973" s="9">
        <v>18339</v>
      </c>
      <c r="K973" s="16">
        <f>H973/D973-1</f>
        <v>0.29761732851985556</v>
      </c>
      <c r="L973" s="16">
        <f>I973/E973-1</f>
        <v>0.23087584792204097</v>
      </c>
    </row>
    <row r="976" spans="1:18">
      <c r="A976">
        <v>14700</v>
      </c>
      <c r="B976" s="23" t="s">
        <v>2242</v>
      </c>
      <c r="C976" s="23"/>
      <c r="D976" s="96" t="str">
        <f>D972</f>
        <v>Q2 08</v>
      </c>
      <c r="E976" s="96" t="str">
        <f>E972</f>
        <v>Q3 08</v>
      </c>
      <c r="H976" s="96" t="str">
        <f>H972</f>
        <v>Q2 09</v>
      </c>
      <c r="I976" s="96" t="str">
        <f>I972</f>
        <v>Q3 09</v>
      </c>
      <c r="K976" s="96" t="str">
        <f>K972</f>
        <v>Q2 y/y</v>
      </c>
      <c r="L976" s="96" t="str">
        <f>L972</f>
        <v>Q3 y/y</v>
      </c>
      <c r="R976" s="96"/>
    </row>
    <row r="977" spans="1:18">
      <c r="B977" t="s">
        <v>849</v>
      </c>
      <c r="D977">
        <v>4510</v>
      </c>
      <c r="E977" s="9">
        <v>5130.0750000000007</v>
      </c>
      <c r="H977">
        <v>5231</v>
      </c>
      <c r="I977" s="9">
        <v>5807</v>
      </c>
      <c r="K977" s="16">
        <f>H977/D977-1</f>
        <v>0.15986696230598674</v>
      </c>
      <c r="L977" s="16">
        <f>I977/E977-1</f>
        <v>0.13195226190650211</v>
      </c>
    </row>
    <row r="981" spans="1:18">
      <c r="A981">
        <v>13100</v>
      </c>
      <c r="B981" s="23" t="s">
        <v>2246</v>
      </c>
      <c r="C981" s="23"/>
      <c r="D981" s="96" t="str">
        <f>D976</f>
        <v>Q2 08</v>
      </c>
      <c r="E981" s="96" t="str">
        <f>E976</f>
        <v>Q3 08</v>
      </c>
      <c r="H981" s="96" t="str">
        <f>H976</f>
        <v>Q2 09</v>
      </c>
      <c r="I981" s="96" t="str">
        <f>I976</f>
        <v>Q3 09</v>
      </c>
      <c r="K981" s="96" t="str">
        <f>K976</f>
        <v>Q2 y/y</v>
      </c>
      <c r="L981" s="96" t="str">
        <f>L976</f>
        <v>Q3 y/y</v>
      </c>
      <c r="R981" s="96"/>
    </row>
    <row r="982" spans="1:18">
      <c r="B982" t="s">
        <v>1284</v>
      </c>
      <c r="E982" s="9">
        <v>59382.337090909095</v>
      </c>
      <c r="H982">
        <v>78259</v>
      </c>
      <c r="I982" s="9">
        <v>79289.474727272725</v>
      </c>
      <c r="K982" s="16"/>
      <c r="L982" s="16">
        <f>I982/E982-1</f>
        <v>0.33523668167333276</v>
      </c>
    </row>
    <row r="983" spans="1:18">
      <c r="B983" t="s">
        <v>849</v>
      </c>
      <c r="D983">
        <v>307878</v>
      </c>
      <c r="E983">
        <v>338897</v>
      </c>
      <c r="H983">
        <v>359758</v>
      </c>
      <c r="I983">
        <v>389752</v>
      </c>
      <c r="K983" s="16">
        <f>H983/D983-1</f>
        <v>0.16850830523778892</v>
      </c>
      <c r="L983" s="16">
        <f>I983/E983-1</f>
        <v>0.15006034281802427</v>
      </c>
    </row>
    <row r="985" spans="1:18">
      <c r="B985" t="s">
        <v>1762</v>
      </c>
      <c r="D985" s="9">
        <v>419.68556307692319</v>
      </c>
      <c r="E985" s="9">
        <v>436.94854090909092</v>
      </c>
      <c r="H985" s="9">
        <v>481.53104307692286</v>
      </c>
      <c r="I985" s="9">
        <v>458.44934393939405</v>
      </c>
    </row>
    <row r="986" spans="1:18">
      <c r="A986" s="88">
        <f>Africa!J7</f>
        <v>13822.751322751323</v>
      </c>
      <c r="B986" s="23" t="s">
        <v>2384</v>
      </c>
      <c r="C986" s="23"/>
      <c r="D986" s="96" t="str">
        <f>D981</f>
        <v>Q2 08</v>
      </c>
      <c r="E986" s="96" t="str">
        <f>E981</f>
        <v>Q3 08</v>
      </c>
      <c r="H986" s="96" t="str">
        <f>H981</f>
        <v>Q2 09</v>
      </c>
      <c r="I986" s="96" t="str">
        <f>I981</f>
        <v>Q3 09</v>
      </c>
      <c r="K986" s="96" t="str">
        <f>K981</f>
        <v>Q2 y/y</v>
      </c>
      <c r="L986" s="96" t="str">
        <f>L981</f>
        <v>Q3 y/y</v>
      </c>
      <c r="O986" s="96" t="str">
        <f>O949</f>
        <v>Q3 08</v>
      </c>
      <c r="P986" s="96" t="str">
        <f>P949</f>
        <v>Q2 09</v>
      </c>
      <c r="Q986" s="11"/>
      <c r="R986" s="96"/>
    </row>
    <row r="987" spans="1:18">
      <c r="B987" t="s">
        <v>887</v>
      </c>
      <c r="E987" s="300">
        <f>Quarts!AE156</f>
        <v>18643</v>
      </c>
      <c r="H987" s="300">
        <f>Quarts!AI156</f>
        <v>17988</v>
      </c>
      <c r="I987" s="300">
        <f>Quarts!AJ156</f>
        <v>16774</v>
      </c>
      <c r="K987" s="16"/>
      <c r="L987" s="16">
        <f>I987/E987-1</f>
        <v>-0.10025210534785178</v>
      </c>
      <c r="O987" s="16">
        <f>E987/E$989</f>
        <v>0.21601900582461739</v>
      </c>
      <c r="P987" s="16">
        <f>H987/H$989</f>
        <v>0.19247358773093459</v>
      </c>
    </row>
    <row r="988" spans="1:18">
      <c r="B988" s="11" t="s">
        <v>1637</v>
      </c>
      <c r="C988" s="11"/>
      <c r="D988" s="13">
        <f>105*D914*D985</f>
        <v>68858.730413919053</v>
      </c>
      <c r="E988" s="368">
        <f>103*E914*E985</f>
        <v>67659.591426311687</v>
      </c>
      <c r="H988" s="11">
        <f>115*F914*H985</f>
        <v>75468.978757760982</v>
      </c>
      <c r="I988" s="368"/>
      <c r="K988" s="11"/>
      <c r="L988" s="11"/>
      <c r="O988" s="20">
        <f>E988/E$989</f>
        <v>0.78398099417538258</v>
      </c>
      <c r="P988" s="20">
        <f>H988/H$989</f>
        <v>0.80752641226906541</v>
      </c>
      <c r="Q988" s="11"/>
      <c r="R988" s="11"/>
    </row>
    <row r="989" spans="1:18">
      <c r="B989" t="s">
        <v>1151</v>
      </c>
      <c r="E989" s="300">
        <f>SUM(E987:E988)</f>
        <v>86302.591426311687</v>
      </c>
      <c r="H989" s="300">
        <f>SUM(H987:H988)</f>
        <v>93456.978757760982</v>
      </c>
      <c r="I989" s="300"/>
      <c r="O989" s="16">
        <f>E989/E$989</f>
        <v>1</v>
      </c>
      <c r="P989" s="16">
        <f>H989/H$989</f>
        <v>1</v>
      </c>
    </row>
    <row r="990" spans="1:18">
      <c r="O990" s="8"/>
      <c r="P990" s="8"/>
    </row>
    <row r="991" spans="1:18">
      <c r="A991" s="88">
        <f>Africa!J9</f>
        <v>11964.705882352941</v>
      </c>
      <c r="B991" s="23" t="s">
        <v>579</v>
      </c>
      <c r="C991" s="23"/>
      <c r="D991" s="96" t="str">
        <f>D986</f>
        <v>Q2 08</v>
      </c>
      <c r="E991" s="96" t="str">
        <f>E986</f>
        <v>Q3 08</v>
      </c>
      <c r="H991" s="96" t="str">
        <f>H986</f>
        <v>Q2 09</v>
      </c>
      <c r="I991" s="96" t="str">
        <f>I986</f>
        <v>Q3 09</v>
      </c>
      <c r="K991" s="96" t="str">
        <f>K986</f>
        <v>Q2 y/y</v>
      </c>
      <c r="L991" s="96" t="str">
        <f>L986</f>
        <v>Q3 y/y</v>
      </c>
      <c r="O991" s="96" t="str">
        <f>E991</f>
        <v>Q3 08</v>
      </c>
      <c r="P991" s="96" t="str">
        <f>H991</f>
        <v>Q2 09</v>
      </c>
      <c r="Q991" s="96" t="str">
        <f>I991</f>
        <v>Q3 09</v>
      </c>
      <c r="R991" s="96"/>
    </row>
    <row r="992" spans="1:18">
      <c r="B992" t="s">
        <v>887</v>
      </c>
      <c r="E992" s="300">
        <f>Quarts!AE158</f>
        <v>5128</v>
      </c>
      <c r="H992" s="300">
        <f>Quarts!AI158</f>
        <v>10527</v>
      </c>
      <c r="I992" s="300">
        <f>Quarts!AJ158</f>
        <v>10842</v>
      </c>
      <c r="K992" s="16"/>
      <c r="L992" s="16">
        <f>I992/E992-1</f>
        <v>1.1142745709828392</v>
      </c>
      <c r="O992" s="16">
        <f>E992/E$994</f>
        <v>0.25773935153771216</v>
      </c>
      <c r="P992" s="16">
        <f>H992/H$994</f>
        <v>0.39051081351782468</v>
      </c>
      <c r="Q992" s="16">
        <f>I992/I$994</f>
        <v>0.40808491418247517</v>
      </c>
    </row>
    <row r="993" spans="1:18">
      <c r="B993" s="11" t="s">
        <v>849</v>
      </c>
      <c r="C993" s="21"/>
      <c r="D993">
        <v>14185</v>
      </c>
      <c r="E993" s="368">
        <v>14768.069301818185</v>
      </c>
      <c r="H993" s="11">
        <v>16430</v>
      </c>
      <c r="I993" s="368">
        <v>15726</v>
      </c>
      <c r="K993" s="20">
        <f>H993/D993-1</f>
        <v>0.15826577370461758</v>
      </c>
      <c r="L993" s="20">
        <f>I993/E993-1</f>
        <v>6.4864992072042771E-2</v>
      </c>
      <c r="O993" s="20">
        <f>E993/E$994</f>
        <v>0.7422606484622879</v>
      </c>
      <c r="P993" s="20">
        <f>H993/H$994</f>
        <v>0.60948918648217532</v>
      </c>
      <c r="Q993" s="20">
        <f>I993/I$994</f>
        <v>0.59191508581752483</v>
      </c>
    </row>
    <row r="994" spans="1:18">
      <c r="B994" t="s">
        <v>1151</v>
      </c>
      <c r="E994" s="9">
        <f>E992+E993</f>
        <v>19896.069301818185</v>
      </c>
      <c r="H994" s="9">
        <f>H992+H993</f>
        <v>26957</v>
      </c>
      <c r="I994" s="9">
        <f>I992+I993</f>
        <v>26568</v>
      </c>
      <c r="K994" s="16"/>
      <c r="L994" s="16">
        <f>I994/E994-1</f>
        <v>0.33533913643797497</v>
      </c>
      <c r="O994" s="16">
        <f>SUM(O992:O993)</f>
        <v>1</v>
      </c>
      <c r="P994" s="16">
        <f>SUM(P992:P993)</f>
        <v>1</v>
      </c>
      <c r="Q994" s="16">
        <f>SUM(Q992:Q993)</f>
        <v>1</v>
      </c>
    </row>
    <row r="996" spans="1:18">
      <c r="A996" s="88">
        <f ca="1">Africa!J11</f>
        <v>10100.249999999996</v>
      </c>
      <c r="B996" s="23" t="s">
        <v>2227</v>
      </c>
      <c r="C996" s="23"/>
      <c r="D996" s="96" t="str">
        <f>D991</f>
        <v>Q2 08</v>
      </c>
      <c r="E996" s="96" t="str">
        <f>E991</f>
        <v>Q3 08</v>
      </c>
      <c r="H996" s="96" t="str">
        <f>H991</f>
        <v>Q2 09</v>
      </c>
      <c r="I996" s="96" t="str">
        <f>I991</f>
        <v>Q3 09</v>
      </c>
      <c r="K996" s="96" t="str">
        <f>K991</f>
        <v>Q2 y/y</v>
      </c>
      <c r="L996" s="96" t="str">
        <f>L991</f>
        <v>Q3 y/y</v>
      </c>
    </row>
    <row r="997" spans="1:18">
      <c r="B997" t="s">
        <v>887</v>
      </c>
      <c r="E997">
        <v>0</v>
      </c>
      <c r="H997">
        <v>0</v>
      </c>
      <c r="I997">
        <v>0</v>
      </c>
    </row>
    <row r="998" spans="1:18">
      <c r="B998" t="s">
        <v>1284</v>
      </c>
      <c r="E998" s="9">
        <v>16437.181153450005</v>
      </c>
      <c r="H998">
        <v>18299</v>
      </c>
      <c r="I998" s="9">
        <v>18130.084532699992</v>
      </c>
      <c r="K998" s="16"/>
      <c r="L998" s="16">
        <f>I998/E998-1</f>
        <v>0.10299231744456749</v>
      </c>
    </row>
    <row r="1000" spans="1:18">
      <c r="A1000">
        <v>10000</v>
      </c>
      <c r="B1000" s="23" t="s">
        <v>1146</v>
      </c>
      <c r="C1000" s="23"/>
      <c r="D1000" s="96" t="str">
        <f>D996</f>
        <v>Q2 08</v>
      </c>
      <c r="E1000" s="96" t="str">
        <f>E996</f>
        <v>Q3 08</v>
      </c>
      <c r="H1000" s="96" t="str">
        <f>H996</f>
        <v>Q2 09</v>
      </c>
      <c r="I1000" s="96" t="str">
        <f>I996</f>
        <v>Q3 09</v>
      </c>
      <c r="K1000" s="96" t="str">
        <f>K996</f>
        <v>Q2 y/y</v>
      </c>
      <c r="L1000" s="96" t="str">
        <f>L996</f>
        <v>Q3 y/y</v>
      </c>
      <c r="R1000" s="96"/>
    </row>
    <row r="1001" spans="1:18">
      <c r="B1001" t="s">
        <v>1284</v>
      </c>
      <c r="E1001">
        <v>117397.74622036364</v>
      </c>
      <c r="H1001">
        <v>127028</v>
      </c>
      <c r="I1001">
        <v>136701.66436363637</v>
      </c>
      <c r="K1001" s="16"/>
      <c r="L1001" s="16">
        <f>I1001/E1001-1</f>
        <v>0.16443176095593826</v>
      </c>
    </row>
    <row r="1003" spans="1:18">
      <c r="A1003">
        <v>8400</v>
      </c>
      <c r="B1003" s="23" t="s">
        <v>264</v>
      </c>
      <c r="C1003" s="23"/>
      <c r="D1003" s="96" t="str">
        <f>D1000</f>
        <v>Q2 08</v>
      </c>
      <c r="E1003" s="96" t="str">
        <f>E1000</f>
        <v>Q3 08</v>
      </c>
      <c r="H1003" s="96" t="str">
        <f>H1000</f>
        <v>Q2 09</v>
      </c>
      <c r="I1003" s="96" t="str">
        <f>I1000</f>
        <v>Q3 09</v>
      </c>
      <c r="K1003" s="96" t="str">
        <f>K1000</f>
        <v>Q2 y/y</v>
      </c>
      <c r="L1003" s="96" t="str">
        <f>L1000</f>
        <v>Q3 y/y</v>
      </c>
      <c r="R1003" s="96"/>
    </row>
    <row r="1004" spans="1:18">
      <c r="B1004" t="s">
        <v>1284</v>
      </c>
      <c r="E1004">
        <v>20010.952366527275</v>
      </c>
      <c r="H1004">
        <v>19096</v>
      </c>
      <c r="I1004" s="9">
        <v>22067.207996400011</v>
      </c>
      <c r="K1004" s="16"/>
      <c r="L1004" s="16">
        <f>I1004/E1004-1</f>
        <v>0.10275651014552789</v>
      </c>
    </row>
    <row r="1006" spans="1:18">
      <c r="A1006">
        <v>6000</v>
      </c>
      <c r="B1006" s="23" t="s">
        <v>577</v>
      </c>
      <c r="C1006" s="23"/>
      <c r="D1006" s="96" t="str">
        <f>D1003</f>
        <v>Q2 08</v>
      </c>
      <c r="E1006" s="96" t="str">
        <f>E1003</f>
        <v>Q3 08</v>
      </c>
      <c r="H1006" s="96" t="str">
        <f>H1003</f>
        <v>Q2 09</v>
      </c>
      <c r="I1006" s="96" t="str">
        <f>I1003</f>
        <v>Q3 09</v>
      </c>
      <c r="K1006" s="96" t="str">
        <f>K1003</f>
        <v>Q2 y/y</v>
      </c>
      <c r="L1006" s="96" t="str">
        <f>L1003</f>
        <v>Q3 y/y</v>
      </c>
      <c r="R1006" s="96"/>
    </row>
    <row r="1007" spans="1:18">
      <c r="B1007" t="s">
        <v>849</v>
      </c>
      <c r="D1007">
        <v>38597</v>
      </c>
      <c r="E1007">
        <v>36531</v>
      </c>
      <c r="H1007">
        <v>37428.300000000003</v>
      </c>
      <c r="I1007" s="9">
        <v>33120</v>
      </c>
      <c r="K1007" s="16">
        <f>H1007/D1007-1</f>
        <v>-3.027955540586047E-2</v>
      </c>
      <c r="L1007" s="16">
        <f>I1007/E1007-1</f>
        <v>-9.3372751909337248E-2</v>
      </c>
    </row>
    <row r="1010" spans="1:18">
      <c r="A1010">
        <v>4000</v>
      </c>
      <c r="B1010" s="23" t="s">
        <v>709</v>
      </c>
      <c r="C1010" s="23"/>
      <c r="D1010" s="96" t="str">
        <f>D1000</f>
        <v>Q2 08</v>
      </c>
      <c r="E1010" s="96" t="str">
        <f>E1000</f>
        <v>Q3 08</v>
      </c>
      <c r="H1010" s="96" t="str">
        <f>H1000</f>
        <v>Q2 09</v>
      </c>
      <c r="I1010" s="96" t="str">
        <f>I1000</f>
        <v>Q3 09</v>
      </c>
      <c r="K1010" s="96" t="str">
        <f>K1000</f>
        <v>Q2 y/y</v>
      </c>
      <c r="L1010" s="96" t="str">
        <f>L1000</f>
        <v>Q3 y/y</v>
      </c>
      <c r="R1010" s="96"/>
    </row>
    <row r="1011" spans="1:18">
      <c r="B1011" t="s">
        <v>849</v>
      </c>
      <c r="D1011">
        <v>31940</v>
      </c>
      <c r="E1011" s="9">
        <v>31375</v>
      </c>
      <c r="H1011" s="9">
        <v>41978.591428787862</v>
      </c>
      <c r="I1011" s="9">
        <v>41864.400000000001</v>
      </c>
      <c r="K1011" s="16">
        <f>H1011/D1011-1</f>
        <v>0.31429528581051547</v>
      </c>
      <c r="L1011" s="16">
        <f>I1011/E1011-1</f>
        <v>0.33432350597609561</v>
      </c>
    </row>
    <row r="1012" spans="1:18">
      <c r="B1012" t="s">
        <v>1284</v>
      </c>
      <c r="E1012" s="9">
        <v>15616.061363636363</v>
      </c>
      <c r="H1012" s="9">
        <v>29048.86664563635</v>
      </c>
      <c r="I1012" s="9">
        <v>32874.935618700016</v>
      </c>
      <c r="K1012" s="16"/>
      <c r="L1012" s="16">
        <f>I1012/E1012-1</f>
        <v>1.1052002072208009</v>
      </c>
    </row>
    <row r="1014" spans="1:18">
      <c r="A1014">
        <v>1500</v>
      </c>
      <c r="B1014" s="23" t="s">
        <v>2240</v>
      </c>
      <c r="C1014" s="23"/>
      <c r="D1014" s="96" t="str">
        <f>D972</f>
        <v>Q2 08</v>
      </c>
      <c r="E1014" s="96" t="str">
        <f>E972</f>
        <v>Q3 08</v>
      </c>
      <c r="H1014" s="96" t="str">
        <f>H972</f>
        <v>Q2 09</v>
      </c>
      <c r="I1014" s="96" t="str">
        <f>I972</f>
        <v>Q3 09</v>
      </c>
      <c r="K1014" s="96" t="str">
        <f>K972</f>
        <v>Q2 y/y</v>
      </c>
      <c r="L1014" s="96" t="str">
        <f>L972</f>
        <v>Q3 y/y</v>
      </c>
      <c r="R1014" s="96"/>
    </row>
    <row r="1015" spans="1:18">
      <c r="B1015" t="s">
        <v>849</v>
      </c>
      <c r="D1015">
        <v>28706</v>
      </c>
      <c r="E1015" s="9">
        <v>25779</v>
      </c>
      <c r="H1015">
        <v>31704.244315757576</v>
      </c>
      <c r="I1015" s="9">
        <v>30488.25499999999</v>
      </c>
      <c r="K1015" s="16">
        <f>H1015/D1015-1</f>
        <v>0.10444660753004853</v>
      </c>
      <c r="L1015" s="16">
        <f>I1015/E1015-1</f>
        <v>0.18267795492455052</v>
      </c>
    </row>
    <row r="1017" spans="1:18">
      <c r="B1017" s="23" t="s">
        <v>753</v>
      </c>
      <c r="C1017" s="23"/>
      <c r="D1017" s="96" t="str">
        <f>D1014</f>
        <v>Q2 08</v>
      </c>
      <c r="E1017" s="96" t="str">
        <f>E1014</f>
        <v>Q3 08</v>
      </c>
      <c r="H1017" s="96" t="str">
        <f>H1014</f>
        <v>Q2 09</v>
      </c>
      <c r="I1017" s="96" t="str">
        <f>I1014</f>
        <v>Q3 09</v>
      </c>
      <c r="K1017" s="96" t="str">
        <f>K1014</f>
        <v>Q2 y/y</v>
      </c>
      <c r="L1017" s="96" t="str">
        <f>L1014</f>
        <v>Q3 y/y</v>
      </c>
      <c r="R1017" s="96">
        <f>R1014</f>
        <v>0</v>
      </c>
    </row>
    <row r="1018" spans="1:18">
      <c r="B1018" t="str">
        <f>B821</f>
        <v>Burkina Faso</v>
      </c>
      <c r="D1018" s="9">
        <f>D970</f>
        <v>14395</v>
      </c>
      <c r="E1018" s="9">
        <f>E970</f>
        <v>14287.451661818186</v>
      </c>
      <c r="H1018" s="9">
        <f>H970</f>
        <v>15724</v>
      </c>
      <c r="I1018" s="9">
        <f>I970</f>
        <v>13800</v>
      </c>
      <c r="K1018" s="16">
        <f>K970</f>
        <v>9.2323723515109313E-2</v>
      </c>
      <c r="L1018" s="16">
        <f>L970</f>
        <v>-3.4117467086230091E-2</v>
      </c>
      <c r="R1018" s="9">
        <f>R970</f>
        <v>0</v>
      </c>
    </row>
    <row r="1019" spans="1:18">
      <c r="B1019" t="str">
        <f>B823</f>
        <v>Congo Brazzaville</v>
      </c>
      <c r="D1019" s="9">
        <f>D1011</f>
        <v>31940</v>
      </c>
      <c r="E1019" s="9">
        <f>E1011</f>
        <v>31375</v>
      </c>
      <c r="H1019" s="9">
        <f>H1011</f>
        <v>41978.591428787862</v>
      </c>
      <c r="I1019" s="9">
        <f>I1011</f>
        <v>41864.400000000001</v>
      </c>
      <c r="K1019" s="16">
        <f>K1011</f>
        <v>0.31429528581051547</v>
      </c>
      <c r="L1019" s="16">
        <f>L1011</f>
        <v>0.33432350597609561</v>
      </c>
      <c r="R1019" s="9">
        <f>R1011</f>
        <v>0</v>
      </c>
    </row>
    <row r="1020" spans="1:18">
      <c r="B1020" t="str">
        <f>B825</f>
        <v>Gabon</v>
      </c>
      <c r="D1020" s="9">
        <f>D1015</f>
        <v>28706</v>
      </c>
      <c r="E1020" s="9">
        <f>E1015</f>
        <v>25779</v>
      </c>
      <c r="H1020" s="9">
        <f>H1015</f>
        <v>31704.244315757576</v>
      </c>
      <c r="I1020" s="9">
        <f>I1015</f>
        <v>30488.25499999999</v>
      </c>
      <c r="K1020" s="16">
        <f>K1015</f>
        <v>0.10444660753004853</v>
      </c>
      <c r="L1020" s="16">
        <f>L1015</f>
        <v>0.18267795492455052</v>
      </c>
      <c r="R1020" s="9">
        <f>R1015</f>
        <v>0</v>
      </c>
    </row>
    <row r="1021" spans="1:18">
      <c r="B1021" t="str">
        <f>B826</f>
        <v>Kenya</v>
      </c>
      <c r="D1021" s="88">
        <f>D938</f>
        <v>2521</v>
      </c>
      <c r="E1021" s="88">
        <f>E938</f>
        <v>2871.66</v>
      </c>
      <c r="H1021" s="88">
        <f>H938</f>
        <v>2683</v>
      </c>
      <c r="I1021" s="88">
        <f>I938</f>
        <v>3664</v>
      </c>
      <c r="K1021" s="16">
        <f>K938</f>
        <v>6.4260214200714039E-2</v>
      </c>
      <c r="L1021" s="16">
        <f>L938</f>
        <v>0.27591706539074967</v>
      </c>
      <c r="R1021" s="9">
        <f>R938</f>
        <v>0</v>
      </c>
    </row>
    <row r="1022" spans="1:18">
      <c r="B1022" t="str">
        <f>B827</f>
        <v>Madagascar</v>
      </c>
      <c r="D1022" s="9">
        <f>D962</f>
        <v>33191</v>
      </c>
      <c r="E1022" s="9">
        <f>E962</f>
        <v>37537.599999999999</v>
      </c>
      <c r="H1022" s="9">
        <f>H962</f>
        <v>36727.599999999999</v>
      </c>
      <c r="I1022" s="9">
        <f>I962</f>
        <v>40643.199999999997</v>
      </c>
      <c r="K1022" s="16">
        <f>K962</f>
        <v>0.10655298122985135</v>
      </c>
      <c r="L1022" s="16">
        <f>L962</f>
        <v>8.2733046332210902E-2</v>
      </c>
      <c r="R1022" s="9">
        <f>R962</f>
        <v>0</v>
      </c>
    </row>
    <row r="1023" spans="1:18">
      <c r="B1023" t="str">
        <f>B828</f>
        <v>Malawi</v>
      </c>
      <c r="D1023" s="9">
        <f>D977</f>
        <v>4510</v>
      </c>
      <c r="E1023" s="9">
        <f>E977</f>
        <v>5130.0750000000007</v>
      </c>
      <c r="H1023" s="9">
        <f>H977</f>
        <v>5231</v>
      </c>
      <c r="I1023" s="9">
        <f>I977</f>
        <v>5807</v>
      </c>
      <c r="K1023" s="16">
        <f>K977</f>
        <v>0.15986696230598674</v>
      </c>
      <c r="L1023" s="16">
        <f>L977</f>
        <v>0.13195226190650211</v>
      </c>
      <c r="R1023" s="9">
        <f>R977</f>
        <v>0</v>
      </c>
    </row>
    <row r="1024" spans="1:18">
      <c r="B1024" t="str">
        <f>B829</f>
        <v>Niger</v>
      </c>
      <c r="D1024" s="9">
        <f>D973</f>
        <v>13850</v>
      </c>
      <c r="E1024" s="9">
        <f>E973</f>
        <v>14899.146840000003</v>
      </c>
      <c r="H1024" s="9">
        <f>H973</f>
        <v>17972</v>
      </c>
      <c r="I1024" s="9">
        <f>I973</f>
        <v>18339</v>
      </c>
      <c r="K1024" s="16">
        <f>K973</f>
        <v>0.29761732851985556</v>
      </c>
      <c r="L1024" s="16">
        <f>L973</f>
        <v>0.23087584792204097</v>
      </c>
      <c r="R1024" s="9">
        <f>R973</f>
        <v>0</v>
      </c>
    </row>
    <row r="1025" spans="2:18">
      <c r="B1025" t="str">
        <f>B831</f>
        <v>Sierra Leone</v>
      </c>
      <c r="D1025" s="9">
        <f>D1007</f>
        <v>38597</v>
      </c>
      <c r="E1025" s="9">
        <f>E1007</f>
        <v>36531</v>
      </c>
      <c r="H1025" s="9">
        <f>H1007</f>
        <v>37428.300000000003</v>
      </c>
      <c r="I1025" s="9">
        <f>I1007</f>
        <v>33120</v>
      </c>
      <c r="K1025" s="16">
        <f>K1007</f>
        <v>-3.027955540586047E-2</v>
      </c>
      <c r="L1025" s="16">
        <f>L1007</f>
        <v>-9.3372751909337248E-2</v>
      </c>
      <c r="R1025" s="9">
        <f>R1007</f>
        <v>0</v>
      </c>
    </row>
    <row r="1026" spans="2:18">
      <c r="B1026" t="str">
        <f>B833</f>
        <v>Uganda</v>
      </c>
      <c r="D1026" s="9">
        <f>D945</f>
        <v>59434</v>
      </c>
      <c r="E1026" s="9">
        <f>E945</f>
        <v>57046.165151515146</v>
      </c>
      <c r="H1026" s="9">
        <f>H945</f>
        <v>48814</v>
      </c>
      <c r="I1026" s="9">
        <f>I945</f>
        <v>50388</v>
      </c>
      <c r="K1026" s="16">
        <f>K945</f>
        <v>-0.1786856008345391</v>
      </c>
      <c r="L1026" s="16">
        <f>L945</f>
        <v>-0.11671538540462789</v>
      </c>
      <c r="R1026" s="9">
        <f>R945</f>
        <v>0</v>
      </c>
    </row>
    <row r="1027" spans="2:18">
      <c r="B1027" s="11" t="str">
        <f>B834</f>
        <v>Zambia</v>
      </c>
      <c r="C1027" s="11"/>
      <c r="D1027" s="11">
        <f>D983</f>
        <v>307878</v>
      </c>
      <c r="E1027" s="11">
        <f>E983</f>
        <v>338897</v>
      </c>
      <c r="H1027" s="11">
        <f>H983</f>
        <v>359758</v>
      </c>
      <c r="I1027" s="11">
        <f>I983</f>
        <v>389752</v>
      </c>
      <c r="K1027" s="20">
        <f>K983</f>
        <v>0.16850830523778892</v>
      </c>
      <c r="L1027" s="20">
        <f>L983</f>
        <v>0.15006034281802427</v>
      </c>
      <c r="R1027" s="13">
        <f>R983</f>
        <v>0</v>
      </c>
    </row>
    <row r="1028" spans="2:18">
      <c r="B1028" s="2" t="s">
        <v>659</v>
      </c>
      <c r="C1028" s="2"/>
      <c r="E1028" s="2"/>
      <c r="H1028" s="2"/>
      <c r="I1028" s="2"/>
      <c r="K1028" s="19" t="e">
        <v>#NAME?</v>
      </c>
      <c r="L1028" s="19" t="e">
        <v>#NAME?</v>
      </c>
      <c r="O1028" s="2"/>
      <c r="P1028" s="2"/>
      <c r="Q1028" s="2"/>
      <c r="R1028" s="10">
        <f>SUM(R1018:R1027)</f>
        <v>0</v>
      </c>
    </row>
    <row r="1029" spans="2:18">
      <c r="D1029" t="s">
        <v>1823</v>
      </c>
    </row>
    <row r="1030" spans="2:18" ht="15.75">
      <c r="B1030" s="225"/>
      <c r="C1030" s="225"/>
      <c r="D1030" s="369" t="s">
        <v>2038</v>
      </c>
      <c r="E1030" s="225" t="s">
        <v>2022</v>
      </c>
    </row>
    <row r="1031" spans="2:18" ht="15.75">
      <c r="B1031" s="223" t="s">
        <v>2376</v>
      </c>
      <c r="C1031" s="223"/>
      <c r="D1031" s="280">
        <v>1.7000000000000001E-2</v>
      </c>
      <c r="E1031" s="228">
        <v>0.5</v>
      </c>
    </row>
    <row r="1032" spans="2:18" ht="15.75">
      <c r="B1032" s="223" t="s">
        <v>2379</v>
      </c>
      <c r="C1032" s="223"/>
      <c r="D1032" s="280">
        <v>1.0999999999999999E-2</v>
      </c>
      <c r="E1032" s="228">
        <v>0.62</v>
      </c>
    </row>
    <row r="1033" spans="2:18" ht="15.75">
      <c r="B1033" s="223" t="s">
        <v>2380</v>
      </c>
      <c r="C1033" s="223"/>
      <c r="D1033" s="280">
        <v>1.4999999999999999E-2</v>
      </c>
      <c r="E1033" s="228">
        <v>0.3</v>
      </c>
    </row>
    <row r="1034" spans="2:18" ht="15.75">
      <c r="B1034" s="223" t="s">
        <v>1665</v>
      </c>
      <c r="C1034" s="223"/>
      <c r="D1034" s="280">
        <v>4.8000000000000001E-2</v>
      </c>
      <c r="E1034" s="228">
        <v>0.82</v>
      </c>
    </row>
    <row r="1035" spans="2:18" ht="15.75">
      <c r="B1035" s="223" t="s">
        <v>2377</v>
      </c>
      <c r="C1035" s="223"/>
      <c r="D1035" s="280">
        <v>5.0000000000000001E-3</v>
      </c>
      <c r="E1035" s="228">
        <v>0.33</v>
      </c>
    </row>
    <row r="1036" spans="2:18" ht="15.75">
      <c r="B1036" s="223" t="s">
        <v>2378</v>
      </c>
      <c r="C1036" s="223"/>
      <c r="D1036" s="280">
        <v>2.5999999999999999E-2</v>
      </c>
      <c r="E1036" s="228">
        <v>0.31</v>
      </c>
    </row>
    <row r="1037" spans="2:18" ht="15.75">
      <c r="B1037" s="223" t="s">
        <v>2035</v>
      </c>
      <c r="C1037" s="223"/>
      <c r="D1037" s="280">
        <v>5.2410901467505246E-2</v>
      </c>
      <c r="E1037" s="228">
        <f>17.5/(106/2.2)</f>
        <v>0.36320754716981135</v>
      </c>
    </row>
    <row r="1038" spans="2:18" ht="15.75">
      <c r="B1038" s="223" t="s">
        <v>2382</v>
      </c>
      <c r="C1038" s="223"/>
      <c r="D1038" s="280">
        <v>1E-3</v>
      </c>
      <c r="E1038" s="228">
        <v>0.14000000000000001</v>
      </c>
    </row>
    <row r="1039" spans="2:18" ht="15.75">
      <c r="B1039" s="223" t="s">
        <v>579</v>
      </c>
      <c r="C1039" s="223"/>
      <c r="D1039" s="280">
        <v>5.0000000000000001E-4</v>
      </c>
      <c r="E1039" s="228">
        <v>0.04</v>
      </c>
    </row>
    <row r="1040" spans="2:18" ht="15.75">
      <c r="B1040" s="225" t="s">
        <v>578</v>
      </c>
      <c r="C1040" s="225"/>
      <c r="D1040" s="229">
        <v>1E-3</v>
      </c>
      <c r="E1040" s="270">
        <v>0.08</v>
      </c>
    </row>
    <row r="1048" spans="2:9">
      <c r="B1048" s="21"/>
      <c r="C1048" s="21"/>
      <c r="D1048" s="21"/>
      <c r="E1048" s="21"/>
      <c r="F1048" s="21"/>
      <c r="G1048" s="21"/>
    </row>
    <row r="1049" spans="2:9">
      <c r="D1049" s="8"/>
      <c r="E1049" s="8"/>
      <c r="F1049" s="8"/>
      <c r="G1049" s="8"/>
    </row>
    <row r="1050" spans="2:9" ht="15.75">
      <c r="B1050" s="224" t="s">
        <v>829</v>
      </c>
      <c r="C1050" s="224"/>
      <c r="D1050" s="271" t="s">
        <v>179</v>
      </c>
      <c r="E1050" s="271" t="s">
        <v>2362</v>
      </c>
      <c r="F1050" s="271" t="s">
        <v>833</v>
      </c>
      <c r="G1050" s="271" t="s">
        <v>851</v>
      </c>
      <c r="H1050" s="271" t="s">
        <v>1072</v>
      </c>
      <c r="I1050" s="271" t="s">
        <v>1073</v>
      </c>
    </row>
    <row r="1051" spans="2:9" ht="15.75">
      <c r="B1051" s="378" t="s">
        <v>2376</v>
      </c>
      <c r="C1051" s="378"/>
      <c r="D1051" s="379">
        <f>Quarts!CJ148</f>
        <v>-1.851851851851849E-2</v>
      </c>
      <c r="E1051" s="379">
        <f>Quarts!CK148</f>
        <v>-7.7586206896551713E-2</v>
      </c>
      <c r="F1051" s="379">
        <f>Quarts!CL148</f>
        <v>-4.8543689320388328E-2</v>
      </c>
      <c r="G1051" s="379">
        <f>Quarts!CM148</f>
        <v>-7.407407407407407E-2</v>
      </c>
      <c r="H1051" s="379">
        <f>Quarts!CN148</f>
        <v>-0.10377358490566035</v>
      </c>
      <c r="I1051" s="379">
        <f>Quarts!CO148</f>
        <v>-0.10280373831775702</v>
      </c>
    </row>
    <row r="1052" spans="2:9" ht="15.75">
      <c r="B1052" s="230" t="str">
        <f>Quarts!D149</f>
        <v>Guatemala</v>
      </c>
      <c r="C1052" s="230"/>
      <c r="D1052" s="254">
        <f>Quarts!CJ149</f>
        <v>9.011627906976738E-2</v>
      </c>
      <c r="E1052" s="254">
        <f>Quarts!CK149</f>
        <v>6.8068622025456493E-2</v>
      </c>
      <c r="F1052" s="254">
        <f>Quarts!CL149</f>
        <v>7.3212258796821805E-2</v>
      </c>
      <c r="G1052" s="254">
        <f>Quarts!CM149</f>
        <v>8.5522638345444379E-2</v>
      </c>
      <c r="H1052" s="254">
        <f>Quarts!CN149</f>
        <v>5.9199999999999919E-2</v>
      </c>
      <c r="I1052" s="254">
        <f>Quarts!CO149</f>
        <v>0.10362694300518127</v>
      </c>
    </row>
    <row r="1053" spans="2:9" ht="15.75">
      <c r="B1053" s="380" t="str">
        <f>Quarts!D150</f>
        <v>Honduras</v>
      </c>
      <c r="C1053" s="380"/>
      <c r="D1053" s="381">
        <f>Quarts!CJ150</f>
        <v>-9.6231493943472413E-2</v>
      </c>
      <c r="E1053" s="381">
        <f>Quarts!CK150</f>
        <v>-9.6784670347515478E-2</v>
      </c>
      <c r="F1053" s="381">
        <f>Quarts!CL150</f>
        <v>-3.7191518943343715E-2</v>
      </c>
      <c r="G1053" s="381">
        <f>Quarts!CM150</f>
        <v>-4.556437694166382E-2</v>
      </c>
      <c r="H1053" s="381">
        <f>Quarts!CN150</f>
        <v>2.7177959791511608E-2</v>
      </c>
      <c r="I1053" s="381">
        <f>Quarts!CO150</f>
        <v>2.6249550521395104E-2</v>
      </c>
    </row>
    <row r="1054" spans="2:9" ht="15.75">
      <c r="B1054" s="393" t="s">
        <v>1828</v>
      </c>
      <c r="C1054" s="393"/>
      <c r="D1054" s="392">
        <f>Quarts!CF255</f>
        <v>0</v>
      </c>
      <c r="E1054" s="392">
        <f>Quarts!CG255</f>
        <v>-0.04</v>
      </c>
      <c r="F1054" s="392">
        <f>Quarts!CH255</f>
        <v>0</v>
      </c>
      <c r="G1054" s="392">
        <f>Quarts!CI255</f>
        <v>-0.01</v>
      </c>
      <c r="H1054" s="392">
        <f>Quarts!CJ255</f>
        <v>-0.01</v>
      </c>
      <c r="I1054" s="392">
        <f>Quarts!CK255</f>
        <v>0.01</v>
      </c>
    </row>
    <row r="1055" spans="2:9" ht="15.75">
      <c r="B1055" s="378" t="str">
        <f>Quarts!D151</f>
        <v>Colombia</v>
      </c>
      <c r="C1055" s="378"/>
      <c r="D1055" s="379">
        <f>Quarts!CJ151</f>
        <v>4.7651763379487733E-2</v>
      </c>
      <c r="E1055" s="379">
        <f>Quarts!CK151</f>
        <v>0.14373943849235293</v>
      </c>
      <c r="F1055" s="379">
        <f>Quarts!CL151</f>
        <v>0.18657152987059034</v>
      </c>
      <c r="G1055" s="379">
        <f>Quarts!CM151</f>
        <v>0.19588145142141733</v>
      </c>
      <c r="H1055" s="379">
        <f>Quarts!CN151</f>
        <v>0.24416522338618818</v>
      </c>
      <c r="I1055" s="379">
        <f>Quarts!CO151</f>
        <v>0.2119532609347814</v>
      </c>
    </row>
    <row r="1056" spans="2:9" ht="15.75">
      <c r="B1056" s="382" t="str">
        <f>Quarts!D152</f>
        <v>Bolivia</v>
      </c>
      <c r="C1056" s="382"/>
      <c r="D1056" s="383">
        <f>Quarts!CJ152</f>
        <v>0.30588235294117649</v>
      </c>
      <c r="E1056" s="383">
        <f>Quarts!CK152</f>
        <v>0.2734375</v>
      </c>
      <c r="F1056" s="383">
        <f>Quarts!CL152</f>
        <v>0.28116710875331563</v>
      </c>
      <c r="G1056" s="383">
        <f>Quarts!CM152</f>
        <v>0.27594936708860751</v>
      </c>
      <c r="H1056" s="383">
        <f>Quarts!CN152</f>
        <v>0.20495495495495497</v>
      </c>
      <c r="I1056" s="383">
        <f>Quarts!CO152</f>
        <v>0.1799591002044989</v>
      </c>
    </row>
    <row r="1057" spans="2:9" ht="15.75">
      <c r="B1057" s="380" t="str">
        <f>Quarts!D153</f>
        <v>Paraguay</v>
      </c>
      <c r="C1057" s="380"/>
      <c r="D1057" s="381">
        <f>Quarts!CJ153</f>
        <v>0.13482755951138148</v>
      </c>
      <c r="E1057" s="381">
        <f>Quarts!CK153</f>
        <v>8.8388579634314013E-2</v>
      </c>
      <c r="F1057" s="381">
        <f>Quarts!CL153</f>
        <v>9.3650042871551653E-2</v>
      </c>
      <c r="G1057" s="381">
        <f>Quarts!CM153</f>
        <v>0.13373902204588251</v>
      </c>
      <c r="H1057" s="381">
        <f>Quarts!CN153</f>
        <v>0.1687122081304846</v>
      </c>
      <c r="I1057" s="381">
        <f>Quarts!CO153</f>
        <v>0.19161810592245199</v>
      </c>
    </row>
    <row r="1058" spans="2:9" ht="15.75">
      <c r="B1058" s="391" t="s">
        <v>1697</v>
      </c>
      <c r="C1058" s="391"/>
      <c r="D1058" s="392">
        <f>Quarts!CF256</f>
        <v>0.13</v>
      </c>
      <c r="E1058" s="392">
        <f>Quarts!CG256</f>
        <v>0.15</v>
      </c>
      <c r="F1058" s="392">
        <f>Quarts!CH256</f>
        <v>0.17</v>
      </c>
      <c r="G1058" s="392">
        <f>Quarts!CI256</f>
        <v>0.19</v>
      </c>
      <c r="H1058" s="392">
        <f>Quarts!CJ256</f>
        <v>0.21</v>
      </c>
      <c r="I1058" s="392">
        <f>Quarts!CK256</f>
        <v>0.19</v>
      </c>
    </row>
    <row r="1059" spans="2:9" ht="15.75">
      <c r="B1059" s="378" t="str">
        <f>Quarts!D154</f>
        <v>Ghana</v>
      </c>
      <c r="C1059" s="378"/>
      <c r="D1059" s="379">
        <f>Quarts!CJ154</f>
        <v>0.16393442622950816</v>
      </c>
      <c r="E1059" s="379">
        <f>Quarts!CK154</f>
        <v>0.11764705882352944</v>
      </c>
      <c r="F1059" s="379">
        <f>Quarts!CL154</f>
        <v>0.16129032258064524</v>
      </c>
      <c r="G1059" s="379">
        <f>Quarts!CM154</f>
        <v>4.4117647058823595E-2</v>
      </c>
      <c r="H1059" s="379">
        <f>Quarts!CN154</f>
        <v>0.11267605633802824</v>
      </c>
      <c r="I1059" s="379">
        <f>Quarts!CO154</f>
        <v>0.11842105263157898</v>
      </c>
    </row>
    <row r="1060" spans="2:9" ht="15.75">
      <c r="B1060" s="384" t="str">
        <f>Quarts!D155</f>
        <v>Mauritius</v>
      </c>
      <c r="C1060" s="384"/>
      <c r="D1060" s="383">
        <f>Quarts!CJ155</f>
        <v>8.7301587301587213E-2</v>
      </c>
      <c r="E1060" s="383">
        <f>Quarts!CK155</f>
        <v>0.15019011406844096</v>
      </c>
      <c r="F1060" s="383">
        <f>Quarts!CL155</f>
        <v>0.15047619047619043</v>
      </c>
      <c r="G1060" s="383">
        <f>Quarts!CM155</f>
        <v>0.13779527559055116</v>
      </c>
      <c r="H1060" s="383">
        <f>Quarts!CN155</f>
        <v>3.6496350364962904E-3</v>
      </c>
      <c r="I1060" s="383">
        <f>Quarts!CO155</f>
        <v>-8.2644628099173278E-3</v>
      </c>
    </row>
    <row r="1061" spans="2:9" ht="15.75">
      <c r="B1061" s="378" t="str">
        <f>Quarts!D156</f>
        <v>Senegal</v>
      </c>
      <c r="C1061" s="378"/>
      <c r="D1061" s="379">
        <f>Quarts!CJ156</f>
        <v>-0.10025210534785178</v>
      </c>
      <c r="E1061" s="379">
        <f>Quarts!CK156</f>
        <v>4.2720090293453694E-2</v>
      </c>
      <c r="F1061" s="379">
        <f>Quarts!CL156</f>
        <v>0.10691077583771258</v>
      </c>
      <c r="G1061" s="379">
        <f>Quarts!CM156</f>
        <v>4.4529686457638329E-2</v>
      </c>
      <c r="H1061" s="379">
        <f>Quarts!CN156</f>
        <v>0.14623822582568269</v>
      </c>
      <c r="I1061" s="379">
        <f>Quarts!CO156</f>
        <v>-1.8022406234778354E-2</v>
      </c>
    </row>
    <row r="1062" spans="2:9" ht="15.75">
      <c r="B1062" s="384" t="str">
        <f>Quarts!D157</f>
        <v>Tanzania</v>
      </c>
      <c r="C1062" s="384"/>
      <c r="D1062" s="383">
        <f>Quarts!CJ157</f>
        <v>0.27549504517888046</v>
      </c>
      <c r="E1062" s="383">
        <f>Quarts!CK157</f>
        <v>0.46772098574738474</v>
      </c>
      <c r="F1062" s="383">
        <f>Quarts!CL157</f>
        <v>0.45135144785232262</v>
      </c>
      <c r="G1062" s="383">
        <f>Quarts!CM157</f>
        <v>0.41538785629790476</v>
      </c>
      <c r="H1062" s="383">
        <f>Quarts!CN157</f>
        <v>0.35679638257056734</v>
      </c>
      <c r="I1062" s="383">
        <f>Quarts!CO157</f>
        <v>0.19816070510290729</v>
      </c>
    </row>
    <row r="1063" spans="2:9" ht="15.75">
      <c r="B1063" s="378" t="str">
        <f>Quarts!D158</f>
        <v>Chad</v>
      </c>
      <c r="C1063" s="378"/>
      <c r="D1063" s="379">
        <f>Quarts!CJ158</f>
        <v>1.1142745709828392</v>
      </c>
      <c r="E1063" s="379">
        <f>Quarts!CK158</f>
        <v>0.97317784256559769</v>
      </c>
      <c r="F1063" s="379">
        <f>Quarts!CL158</f>
        <v>0.57904583723105696</v>
      </c>
      <c r="G1063" s="379">
        <f>Quarts!CM158</f>
        <v>0.28393654412463198</v>
      </c>
      <c r="H1063" s="379">
        <f>Quarts!CN158</f>
        <v>4.9068437557646227E-2</v>
      </c>
      <c r="I1063" s="379">
        <f>Quarts!CO158</f>
        <v>1.8173758865248191E-2</v>
      </c>
    </row>
    <row r="1064" spans="2:9" ht="15.75">
      <c r="B1064" s="385" t="str">
        <f>Quarts!D159</f>
        <v>DRC (in $)</v>
      </c>
      <c r="C1064" s="385"/>
      <c r="D1064" s="386">
        <f>Quarts!CJ159</f>
        <v>0.33333333333333326</v>
      </c>
      <c r="E1064" s="386">
        <f>Quarts!CK159</f>
        <v>0.16666666666666674</v>
      </c>
      <c r="F1064" s="386">
        <f>Quarts!CL159</f>
        <v>0.26086956521739135</v>
      </c>
      <c r="G1064" s="386">
        <f>Quarts!CM159</f>
        <v>0.39130434782608692</v>
      </c>
      <c r="H1064" s="386">
        <f>Quarts!CN159</f>
        <v>0.25</v>
      </c>
      <c r="I1064" s="386">
        <f>Quarts!CO159</f>
        <v>0.21428571428571419</v>
      </c>
    </row>
    <row r="1065" spans="2:9" ht="15.75">
      <c r="B1065" s="389" t="s">
        <v>1831</v>
      </c>
      <c r="C1065" s="389"/>
      <c r="D1065" s="390">
        <f>Quarts!CF257</f>
        <v>0.21</v>
      </c>
      <c r="E1065" s="390">
        <f>Quarts!CG257</f>
        <v>0.27</v>
      </c>
      <c r="F1065" s="390">
        <f>Quarts!CH257</f>
        <v>0.26</v>
      </c>
      <c r="G1065" s="390">
        <f>Quarts!CI257</f>
        <v>0.23</v>
      </c>
      <c r="H1065" s="390">
        <f>Quarts!CJ257</f>
        <v>0.24</v>
      </c>
      <c r="I1065" s="390">
        <f>Quarts!CK257</f>
        <v>0.12</v>
      </c>
    </row>
    <row r="1066" spans="2:9" ht="15.75">
      <c r="B1066" s="387" t="s">
        <v>884</v>
      </c>
      <c r="C1066" s="387"/>
      <c r="D1066" s="388">
        <f>Quarts!CF249</f>
        <v>0.15492718152915458</v>
      </c>
      <c r="E1066" s="388">
        <f>Quarts!CG249</f>
        <v>0.15364467540644966</v>
      </c>
      <c r="F1066" s="388">
        <f>Quarts!CH249</f>
        <v>0.11</v>
      </c>
      <c r="G1066" s="388">
        <f>Quarts!CI249</f>
        <v>0.11</v>
      </c>
      <c r="H1066" s="388" t="e">
        <f>Quarts!CJ249</f>
        <v>#REF!</v>
      </c>
      <c r="I1066" s="388">
        <f>Quarts!CK249</f>
        <v>0.1</v>
      </c>
    </row>
    <row r="1069" spans="2:9" ht="15.75">
      <c r="B1069" s="224" t="s">
        <v>932</v>
      </c>
      <c r="C1069" s="224"/>
      <c r="D1069" s="271" t="str">
        <f>Quarts!CH208</f>
        <v>Q1 09</v>
      </c>
      <c r="E1069" s="271" t="str">
        <f>Quarts!CI208</f>
        <v>Q2 09</v>
      </c>
      <c r="F1069" s="271" t="str">
        <f>Quarts!CJ208</f>
        <v>Q3 09</v>
      </c>
      <c r="G1069" s="271" t="str">
        <f>Quarts!CK208</f>
        <v>Q4 09</v>
      </c>
    </row>
    <row r="1070" spans="2:9" ht="15.75">
      <c r="B1070" s="395" t="s">
        <v>887</v>
      </c>
      <c r="C1070" s="395"/>
      <c r="D1070" s="396">
        <f>Quarts!AH217/Quarts!AC217-1</f>
        <v>0.11473689063535009</v>
      </c>
      <c r="E1070" s="396">
        <f>Quarts!AI217/Quarts!AD217-1</f>
        <v>0.12493769692074208</v>
      </c>
      <c r="F1070" s="396">
        <f>Quarts!AJ217/Quarts!AE217-1</f>
        <v>0.10410523000649197</v>
      </c>
      <c r="G1070" s="396">
        <f>Quarts!AK217/Quarts!AF217-1</f>
        <v>7.3859639484011863E-2</v>
      </c>
    </row>
    <row r="1071" spans="2:9" ht="15.75">
      <c r="B1071" s="225" t="s">
        <v>955</v>
      </c>
      <c r="C1071" s="225"/>
      <c r="D1071" s="270">
        <v>-0.12</v>
      </c>
      <c r="E1071" s="270">
        <v>-0.16</v>
      </c>
      <c r="F1071" s="270">
        <v>-0.16</v>
      </c>
      <c r="G1071" s="270">
        <v>-0.03</v>
      </c>
    </row>
    <row r="1074" spans="2:28">
      <c r="B1074" s="23" t="s">
        <v>494</v>
      </c>
      <c r="C1074" s="23"/>
      <c r="D1074" s="218" t="e">
        <f>#REF!</f>
        <v>#REF!</v>
      </c>
      <c r="E1074" s="218" t="e">
        <f>#REF!</f>
        <v>#REF!</v>
      </c>
      <c r="F1074" s="218" t="e">
        <f>#REF!</f>
        <v>#REF!</v>
      </c>
      <c r="G1074" s="218" t="e">
        <f>#REF!</f>
        <v>#REF!</v>
      </c>
      <c r="H1074" s="96" t="s">
        <v>1080</v>
      </c>
    </row>
    <row r="1075" spans="2:28">
      <c r="B1075" t="s">
        <v>1828</v>
      </c>
      <c r="D1075" s="88" t="e">
        <f>#REF!</f>
        <v>#REF!</v>
      </c>
      <c r="E1075" s="88" t="e">
        <f>#REF!</f>
        <v>#REF!</v>
      </c>
      <c r="F1075" s="88" t="e">
        <f>#REF!</f>
        <v>#REF!</v>
      </c>
      <c r="G1075" s="88" t="e">
        <f>#REF!</f>
        <v>#REF!</v>
      </c>
      <c r="H1075" s="16" t="e">
        <f>(G1075/D1075)^(1/3)-1</f>
        <v>#REF!</v>
      </c>
    </row>
    <row r="1076" spans="2:28">
      <c r="B1076" t="s">
        <v>1697</v>
      </c>
      <c r="D1076" s="88" t="e">
        <f>#REF!</f>
        <v>#REF!</v>
      </c>
      <c r="E1076" s="88" t="e">
        <f>#REF!</f>
        <v>#REF!</v>
      </c>
      <c r="F1076" s="88" t="e">
        <f>#REF!</f>
        <v>#REF!</v>
      </c>
      <c r="G1076" s="88" t="e">
        <f>#REF!</f>
        <v>#REF!</v>
      </c>
      <c r="H1076" s="16" t="e">
        <f>(G1076/D1076)^(1/3)-1</f>
        <v>#REF!</v>
      </c>
    </row>
    <row r="1077" spans="2:28">
      <c r="B1077" t="s">
        <v>1831</v>
      </c>
      <c r="D1077" s="88" t="e">
        <f>#REF!</f>
        <v>#REF!</v>
      </c>
      <c r="E1077" s="88" t="e">
        <f>#REF!</f>
        <v>#REF!</v>
      </c>
      <c r="F1077" s="88" t="e">
        <f>#REF!</f>
        <v>#REF!</v>
      </c>
      <c r="G1077" s="88" t="e">
        <f>#REF!</f>
        <v>#REF!</v>
      </c>
      <c r="H1077" s="16" t="e">
        <f>(G1077/D1077)^(1/3)-1</f>
        <v>#REF!</v>
      </c>
    </row>
    <row r="1080" spans="2:28">
      <c r="B1080" s="23" t="s">
        <v>2382</v>
      </c>
      <c r="C1080" s="23"/>
      <c r="D1080" s="96" t="s">
        <v>179</v>
      </c>
      <c r="E1080" s="96" t="s">
        <v>2362</v>
      </c>
      <c r="F1080" s="96" t="s">
        <v>833</v>
      </c>
    </row>
    <row r="1081" spans="2:28">
      <c r="B1081" t="s">
        <v>1096</v>
      </c>
      <c r="D1081" s="9">
        <f>Quarts!AJ154</f>
        <v>71</v>
      </c>
      <c r="E1081" s="9">
        <f>Quarts!AK154</f>
        <v>76</v>
      </c>
      <c r="F1081" s="9">
        <f>Quarts!AM154-6</f>
        <v>66</v>
      </c>
    </row>
    <row r="1082" spans="2:28">
      <c r="B1082" t="s">
        <v>1988</v>
      </c>
      <c r="D1082" s="5">
        <v>7.0999999999999994E-2</v>
      </c>
      <c r="E1082" s="5">
        <v>8.3000000000000004E-2</v>
      </c>
      <c r="F1082" s="5">
        <v>9.4E-2</v>
      </c>
    </row>
    <row r="1083" spans="2:28">
      <c r="B1083" t="s">
        <v>1989</v>
      </c>
      <c r="D1083" s="9">
        <f>D1082*D1081</f>
        <v>5.0409999999999995</v>
      </c>
      <c r="E1083" s="9">
        <f>E1082*E1081</f>
        <v>6.3080000000000007</v>
      </c>
      <c r="F1083" s="9">
        <f>F1082*F1081</f>
        <v>6.2039999999999997</v>
      </c>
      <c r="P1083" s="417">
        <f t="shared" ref="P1083:S1086" si="160">T1083/(1+Y1083)</f>
        <v>96.474953617810755</v>
      </c>
      <c r="Q1083" s="417">
        <f t="shared" si="160"/>
        <v>96.330275229357795</v>
      </c>
      <c r="R1083" s="417">
        <f t="shared" si="160"/>
        <v>98.491570541259989</v>
      </c>
      <c r="S1083" s="417">
        <f t="shared" si="160"/>
        <v>104.5045045045045</v>
      </c>
      <c r="T1083">
        <v>104</v>
      </c>
      <c r="U1083">
        <v>105</v>
      </c>
      <c r="V1083">
        <v>111</v>
      </c>
      <c r="W1083">
        <v>116</v>
      </c>
      <c r="Y1083" s="583">
        <v>7.8E-2</v>
      </c>
      <c r="Z1083" s="583">
        <v>0.09</v>
      </c>
      <c r="AA1083" s="583">
        <v>0.127</v>
      </c>
      <c r="AB1083" s="583">
        <v>0.11</v>
      </c>
    </row>
    <row r="1084" spans="2:28">
      <c r="B1084" t="s">
        <v>1990</v>
      </c>
      <c r="D1084" s="9">
        <f>D1081-D1083</f>
        <v>65.959000000000003</v>
      </c>
      <c r="E1084" s="9">
        <f>E1081-E1083</f>
        <v>69.691999999999993</v>
      </c>
      <c r="F1084" s="9">
        <f>F1081-F1083</f>
        <v>59.795999999999999</v>
      </c>
      <c r="P1084" s="417">
        <f t="shared" si="160"/>
        <v>108.06916426512969</v>
      </c>
      <c r="Q1084" s="417">
        <f t="shared" si="160"/>
        <v>118.99482631189949</v>
      </c>
      <c r="R1084" s="417">
        <f t="shared" si="160"/>
        <v>125.82297000731529</v>
      </c>
      <c r="S1084" s="417">
        <f t="shared" si="160"/>
        <v>138.63636363636363</v>
      </c>
      <c r="T1084">
        <v>150</v>
      </c>
      <c r="U1084">
        <v>161</v>
      </c>
      <c r="V1084">
        <v>172</v>
      </c>
      <c r="W1084">
        <v>183</v>
      </c>
      <c r="Y1084" s="583">
        <v>0.38800000000000001</v>
      </c>
      <c r="Z1084" s="583">
        <v>0.35299999999999998</v>
      </c>
      <c r="AA1084" s="583">
        <v>0.36699999999999999</v>
      </c>
      <c r="AB1084" s="583">
        <v>0.32</v>
      </c>
    </row>
    <row r="1085" spans="2:28">
      <c r="P1085" s="417">
        <f t="shared" si="160"/>
        <v>77.333333333333329</v>
      </c>
      <c r="Q1085" s="417">
        <f t="shared" si="160"/>
        <v>79.378774805867124</v>
      </c>
      <c r="R1085" s="417">
        <f t="shared" si="160"/>
        <v>83.712465878070972</v>
      </c>
      <c r="S1085" s="417">
        <f t="shared" si="160"/>
        <v>97.247706422018339</v>
      </c>
      <c r="T1085">
        <v>87</v>
      </c>
      <c r="U1085">
        <v>92</v>
      </c>
      <c r="V1085">
        <v>92</v>
      </c>
      <c r="W1085">
        <v>106</v>
      </c>
      <c r="Y1085" s="583">
        <v>0.125</v>
      </c>
      <c r="Z1085" s="583">
        <v>0.159</v>
      </c>
      <c r="AA1085" s="583">
        <v>9.9000000000000005E-2</v>
      </c>
      <c r="AB1085" s="583">
        <v>0.09</v>
      </c>
    </row>
    <row r="1086" spans="2:28">
      <c r="B1086" s="420" t="s">
        <v>2059</v>
      </c>
      <c r="C1086" s="420"/>
      <c r="P1086" s="417">
        <f t="shared" si="160"/>
        <v>23.571428571428573</v>
      </c>
      <c r="Q1086" s="417">
        <f t="shared" si="160"/>
        <v>25.96439169139466</v>
      </c>
      <c r="R1086" s="417">
        <f t="shared" si="160"/>
        <v>27.201145311381531</v>
      </c>
      <c r="S1086" s="417">
        <f t="shared" si="160"/>
        <v>28.859060402684563</v>
      </c>
      <c r="T1086">
        <v>33</v>
      </c>
      <c r="U1086">
        <v>35</v>
      </c>
      <c r="V1086">
        <v>38</v>
      </c>
      <c r="W1086">
        <v>43</v>
      </c>
      <c r="Y1086" s="583">
        <v>0.4</v>
      </c>
      <c r="Z1086" s="583">
        <v>0.34799999999999998</v>
      </c>
      <c r="AA1086" s="583">
        <v>0.39700000000000002</v>
      </c>
      <c r="AB1086" s="583">
        <v>0.49</v>
      </c>
    </row>
    <row r="1087" spans="2:28">
      <c r="P1087" s="419">
        <v>0.5</v>
      </c>
      <c r="Q1087" s="419">
        <f>U1087/(1+Z1087)</f>
        <v>1.4150943396226414</v>
      </c>
      <c r="R1087" s="419">
        <f>V1087/(1+AA1087)</f>
        <v>2.6378896882494005</v>
      </c>
      <c r="S1087" s="419">
        <f>W1087/(1+AB1087)</f>
        <v>4.7619047619047619</v>
      </c>
      <c r="T1087" s="455">
        <v>6.4</v>
      </c>
      <c r="U1087" s="455">
        <v>9</v>
      </c>
      <c r="V1087" s="455">
        <v>11</v>
      </c>
      <c r="W1087" s="455">
        <v>14</v>
      </c>
      <c r="X1087" s="449"/>
      <c r="Y1087" s="476"/>
      <c r="Z1087" s="476">
        <v>5.36</v>
      </c>
      <c r="AA1087" s="476">
        <v>3.17</v>
      </c>
      <c r="AB1087" s="476">
        <v>1.94</v>
      </c>
    </row>
    <row r="1088" spans="2:28">
      <c r="H1088" s="9"/>
      <c r="O1088" s="478" t="s">
        <v>2640</v>
      </c>
      <c r="P1088" s="454">
        <f t="shared" ref="P1088:W1088" si="161">SUM(P1084:P1087)</f>
        <v>209.4739261698916</v>
      </c>
      <c r="Q1088" s="454">
        <f t="shared" si="161"/>
        <v>225.75308714878392</v>
      </c>
      <c r="R1088" s="454">
        <f t="shared" si="161"/>
        <v>239.37447088501722</v>
      </c>
      <c r="S1088" s="454">
        <f t="shared" si="161"/>
        <v>269.50503522297129</v>
      </c>
      <c r="T1088" s="454">
        <f t="shared" si="161"/>
        <v>276.39999999999998</v>
      </c>
      <c r="U1088">
        <f t="shared" si="161"/>
        <v>297</v>
      </c>
      <c r="V1088">
        <f t="shared" si="161"/>
        <v>313</v>
      </c>
      <c r="W1088">
        <f t="shared" si="161"/>
        <v>346</v>
      </c>
      <c r="Y1088" s="449">
        <f>T1088/P1088-1</f>
        <v>0.31949596331062557</v>
      </c>
      <c r="Z1088" s="449">
        <f>U1088/Q1088-1</f>
        <v>0.31559662705414238</v>
      </c>
      <c r="AA1088" s="449">
        <f>V1088/R1088-1</f>
        <v>0.30757469183231567</v>
      </c>
      <c r="AB1088" s="449">
        <f>W1088/S1088-1</f>
        <v>0.28383501151932711</v>
      </c>
    </row>
    <row r="1089" spans="2:28">
      <c r="H1089" s="9"/>
      <c r="P1089" s="454"/>
      <c r="Q1089" s="454"/>
      <c r="R1089" s="454"/>
      <c r="S1089" s="454"/>
      <c r="T1089" s="454"/>
      <c r="Y1089" s="449"/>
      <c r="Z1089" s="449"/>
      <c r="AA1089" s="449"/>
      <c r="AB1089" s="449"/>
    </row>
    <row r="1090" spans="2:28">
      <c r="B1090" s="11" t="s">
        <v>2057</v>
      </c>
      <c r="C1090" s="11"/>
      <c r="D1090" s="104" t="str">
        <f t="shared" ref="D1090:S1090" si="162">D1097</f>
        <v>Q1 08</v>
      </c>
      <c r="E1090" s="104" t="str">
        <f t="shared" si="162"/>
        <v>Q2 08</v>
      </c>
      <c r="F1090" s="104" t="str">
        <f t="shared" si="162"/>
        <v>Q3 08</v>
      </c>
      <c r="G1090" s="104" t="str">
        <f t="shared" si="162"/>
        <v>Q4 08</v>
      </c>
      <c r="H1090" s="104" t="str">
        <f t="shared" si="162"/>
        <v>Q1 09</v>
      </c>
      <c r="I1090" s="104" t="str">
        <f t="shared" si="162"/>
        <v>Q2 09</v>
      </c>
      <c r="J1090" s="104" t="str">
        <f t="shared" si="162"/>
        <v>Q3 09</v>
      </c>
      <c r="K1090" s="104" t="str">
        <f t="shared" si="162"/>
        <v>Q4 09</v>
      </c>
      <c r="L1090" s="104" t="str">
        <f t="shared" si="162"/>
        <v>Q1 10</v>
      </c>
      <c r="M1090" s="104" t="str">
        <f t="shared" si="162"/>
        <v>Q2 10</v>
      </c>
      <c r="N1090" s="104" t="str">
        <f t="shared" si="162"/>
        <v>Q3 10</v>
      </c>
      <c r="O1090" s="104" t="str">
        <f t="shared" si="162"/>
        <v>Q4 10</v>
      </c>
      <c r="P1090" s="104" t="str">
        <f t="shared" si="162"/>
        <v>Q1 11</v>
      </c>
      <c r="Q1090" s="104" t="str">
        <f t="shared" si="162"/>
        <v>Q2 11</v>
      </c>
      <c r="R1090" s="104" t="str">
        <f t="shared" si="162"/>
        <v>Q3 11</v>
      </c>
      <c r="S1090" s="104" t="str">
        <f t="shared" si="162"/>
        <v>Q4 11</v>
      </c>
      <c r="T1090" s="104" t="s">
        <v>2531</v>
      </c>
      <c r="U1090" s="99" t="s">
        <v>2549</v>
      </c>
      <c r="V1090" s="99" t="s">
        <v>2635</v>
      </c>
      <c r="W1090" s="99" t="s">
        <v>2639</v>
      </c>
    </row>
    <row r="1091" spans="2:28">
      <c r="B1091" t="s">
        <v>1990</v>
      </c>
      <c r="D1091" s="289">
        <f t="shared" ref="D1091:S1091" si="163">H1091/(1+H1098)</f>
        <v>594.88125904717822</v>
      </c>
      <c r="E1091" s="417">
        <f t="shared" si="163"/>
        <v>592.144886824899</v>
      </c>
      <c r="F1091" s="417">
        <f t="shared" si="163"/>
        <v>598.64477013739111</v>
      </c>
      <c r="G1091" s="417">
        <f t="shared" si="163"/>
        <v>642.56990158191752</v>
      </c>
      <c r="H1091" s="417">
        <f t="shared" si="163"/>
        <v>636.52294718048074</v>
      </c>
      <c r="I1091" s="417">
        <f t="shared" si="163"/>
        <v>633.59502890264196</v>
      </c>
      <c r="J1091" s="417">
        <f t="shared" si="163"/>
        <v>634.56345634563456</v>
      </c>
      <c r="K1091" s="417">
        <f t="shared" si="163"/>
        <v>674.69839666101348</v>
      </c>
      <c r="L1091" s="417">
        <f t="shared" si="163"/>
        <v>668.34909453950479</v>
      </c>
      <c r="M1091" s="417">
        <f t="shared" si="163"/>
        <v>677.94668092582697</v>
      </c>
      <c r="N1091" s="417">
        <f t="shared" si="163"/>
        <v>698.01980198019805</v>
      </c>
      <c r="O1091" s="417">
        <f t="shared" si="163"/>
        <v>721.92728442728446</v>
      </c>
      <c r="P1091" s="417">
        <f t="shared" si="163"/>
        <v>715.13353115727011</v>
      </c>
      <c r="Q1091" s="417">
        <f t="shared" si="163"/>
        <v>705.06454816286009</v>
      </c>
      <c r="R1091" s="417">
        <f t="shared" si="163"/>
        <v>705</v>
      </c>
      <c r="S1091" s="417">
        <f t="shared" si="163"/>
        <v>747.91666666666674</v>
      </c>
      <c r="T1091" s="9">
        <f>Quarts!AW267</f>
        <v>723</v>
      </c>
      <c r="U1091" s="9">
        <f>Quarts!AX267</f>
        <v>710</v>
      </c>
      <c r="V1091" s="9">
        <f>Quarts!AY267</f>
        <v>705</v>
      </c>
      <c r="W1091" s="9">
        <f>Quarts!AZ267</f>
        <v>718</v>
      </c>
    </row>
    <row r="1092" spans="2:28">
      <c r="B1092" s="11" t="str">
        <f>B1099</f>
        <v>Data revs (RHS)</v>
      </c>
      <c r="C1092" s="11"/>
      <c r="D1092" s="418">
        <f t="shared" ref="D1092:O1092" si="164">H1092/(1+H1099)</f>
        <v>112.9788110086714</v>
      </c>
      <c r="E1092" s="419">
        <f t="shared" si="164"/>
        <v>126.73898425043019</v>
      </c>
      <c r="F1092" s="419">
        <f t="shared" si="164"/>
        <v>142.82475661034476</v>
      </c>
      <c r="G1092" s="419">
        <f t="shared" si="164"/>
        <v>163.61945872540883</v>
      </c>
      <c r="H1092" s="419">
        <f t="shared" si="164"/>
        <v>163.81927596257353</v>
      </c>
      <c r="I1092" s="419">
        <f t="shared" si="164"/>
        <v>186.30630684813238</v>
      </c>
      <c r="J1092" s="419">
        <f t="shared" si="164"/>
        <v>208.52414465110337</v>
      </c>
      <c r="K1092" s="419">
        <f t="shared" si="164"/>
        <v>240.52060432635099</v>
      </c>
      <c r="L1092" s="419">
        <f t="shared" si="164"/>
        <v>229.34698634760292</v>
      </c>
      <c r="M1092" s="419">
        <f t="shared" si="164"/>
        <v>241.0803610614833</v>
      </c>
      <c r="N1092" s="419">
        <f t="shared" si="164"/>
        <v>262.11484982643697</v>
      </c>
      <c r="O1092" s="419">
        <f t="shared" si="164"/>
        <v>300.65075540793873</v>
      </c>
      <c r="P1092" s="13">
        <f>SUM(P1083:P1087)</f>
        <v>305.94887978770231</v>
      </c>
      <c r="Q1092" s="13">
        <f>SUM(Q1083:Q1087)</f>
        <v>322.08336237814171</v>
      </c>
      <c r="R1092" s="13">
        <f>SUM(R1083:R1087)</f>
        <v>337.86604142627721</v>
      </c>
      <c r="S1092" s="13">
        <f>SUM(S1083:S1087)</f>
        <v>374.00953972747578</v>
      </c>
      <c r="T1092" s="13">
        <f>Quarts!AW270</f>
        <v>380.4</v>
      </c>
      <c r="U1092" s="13">
        <f>Quarts!AX270</f>
        <v>402</v>
      </c>
      <c r="V1092" s="13">
        <f>Quarts!AY270</f>
        <v>424</v>
      </c>
      <c r="W1092" s="13">
        <f>Quarts!AZ270</f>
        <v>462</v>
      </c>
    </row>
    <row r="1093" spans="2:28">
      <c r="B1093" t="s">
        <v>2058</v>
      </c>
      <c r="D1093" s="9">
        <f>SUM(D1091:D1092)</f>
        <v>707.86007005584963</v>
      </c>
      <c r="E1093" s="9">
        <f t="shared" ref="E1093:W1093" si="165">E1091+E1092</f>
        <v>718.88387107532924</v>
      </c>
      <c r="F1093" s="9">
        <f t="shared" si="165"/>
        <v>741.46952674773593</v>
      </c>
      <c r="G1093" s="9">
        <f t="shared" si="165"/>
        <v>806.1893603073263</v>
      </c>
      <c r="H1093" s="9">
        <f t="shared" si="165"/>
        <v>800.3422231430543</v>
      </c>
      <c r="I1093" s="9">
        <f t="shared" si="165"/>
        <v>819.90133575077436</v>
      </c>
      <c r="J1093" s="9">
        <f t="shared" si="165"/>
        <v>843.08760099673793</v>
      </c>
      <c r="K1093" s="9">
        <f t="shared" si="165"/>
        <v>915.21900098736444</v>
      </c>
      <c r="L1093" s="9">
        <f t="shared" si="165"/>
        <v>897.69608088710766</v>
      </c>
      <c r="M1093" s="9">
        <f t="shared" si="165"/>
        <v>919.02704198731021</v>
      </c>
      <c r="N1093" s="9">
        <f t="shared" si="165"/>
        <v>960.13465180663502</v>
      </c>
      <c r="O1093" s="9">
        <f t="shared" si="165"/>
        <v>1022.5780398352232</v>
      </c>
      <c r="P1093" s="9">
        <f t="shared" si="165"/>
        <v>1021.0824109449725</v>
      </c>
      <c r="Q1093" s="9">
        <f t="shared" si="165"/>
        <v>1027.1479105410017</v>
      </c>
      <c r="R1093" s="9">
        <f t="shared" si="165"/>
        <v>1042.8660414262772</v>
      </c>
      <c r="S1093" s="9">
        <f t="shared" si="165"/>
        <v>1121.9262063941426</v>
      </c>
      <c r="T1093" s="9">
        <f t="shared" si="165"/>
        <v>1103.4000000000001</v>
      </c>
      <c r="U1093" s="9">
        <f t="shared" si="165"/>
        <v>1112</v>
      </c>
      <c r="V1093" s="9">
        <f t="shared" si="165"/>
        <v>1129</v>
      </c>
      <c r="W1093" s="9">
        <f t="shared" si="165"/>
        <v>1180</v>
      </c>
    </row>
    <row r="1094" spans="2:28">
      <c r="B1094" t="s">
        <v>2053</v>
      </c>
      <c r="D1094" s="289">
        <f t="shared" ref="D1094:R1094" si="166">H1094/(1+H1101)</f>
        <v>0</v>
      </c>
      <c r="E1094" s="417">
        <f t="shared" si="166"/>
        <v>0</v>
      </c>
      <c r="F1094" s="417">
        <f t="shared" si="166"/>
        <v>0</v>
      </c>
      <c r="G1094" s="417">
        <f t="shared" si="166"/>
        <v>0</v>
      </c>
      <c r="H1094" s="417">
        <f t="shared" si="166"/>
        <v>0</v>
      </c>
      <c r="I1094" s="417">
        <f t="shared" si="166"/>
        <v>0</v>
      </c>
      <c r="J1094" s="417">
        <f t="shared" si="166"/>
        <v>0</v>
      </c>
      <c r="K1094" s="417">
        <f t="shared" si="166"/>
        <v>0</v>
      </c>
      <c r="L1094" s="417">
        <f t="shared" si="166"/>
        <v>0</v>
      </c>
      <c r="M1094" s="417">
        <f t="shared" si="166"/>
        <v>0</v>
      </c>
      <c r="N1094" s="417">
        <f t="shared" si="166"/>
        <v>0</v>
      </c>
      <c r="O1094" s="417">
        <f t="shared" si="166"/>
        <v>0</v>
      </c>
      <c r="P1094" s="417">
        <f t="shared" si="166"/>
        <v>0</v>
      </c>
      <c r="Q1094" s="417">
        <f t="shared" si="166"/>
        <v>0</v>
      </c>
      <c r="R1094" s="417">
        <f t="shared" si="166"/>
        <v>0</v>
      </c>
      <c r="S1094" s="417">
        <v>0</v>
      </c>
      <c r="T1094" s="9"/>
      <c r="U1094" s="9"/>
      <c r="V1094" s="9"/>
      <c r="W1094" s="16"/>
    </row>
    <row r="1095" spans="2:28">
      <c r="K1095" s="9"/>
    </row>
    <row r="1096" spans="2:28">
      <c r="K1096" s="9"/>
    </row>
    <row r="1097" spans="2:28">
      <c r="B1097" s="11" t="s">
        <v>2056</v>
      </c>
      <c r="C1097" s="11"/>
      <c r="D1097" s="104" t="s">
        <v>106</v>
      </c>
      <c r="E1097" s="104" t="s">
        <v>613</v>
      </c>
      <c r="F1097" s="104" t="s">
        <v>2043</v>
      </c>
      <c r="G1097" s="104" t="s">
        <v>96</v>
      </c>
      <c r="H1097" s="104" t="s">
        <v>1100</v>
      </c>
      <c r="I1097" s="104" t="s">
        <v>2047</v>
      </c>
      <c r="J1097" s="104" t="s">
        <v>179</v>
      </c>
      <c r="K1097" s="104" t="s">
        <v>2362</v>
      </c>
      <c r="L1097" s="104" t="s">
        <v>833</v>
      </c>
      <c r="M1097" s="104" t="s">
        <v>851</v>
      </c>
      <c r="N1097" s="104" t="s">
        <v>1072</v>
      </c>
      <c r="O1097" s="104" t="s">
        <v>1073</v>
      </c>
      <c r="P1097" s="99" t="s">
        <v>2257</v>
      </c>
      <c r="Q1097" s="99" t="s">
        <v>981</v>
      </c>
      <c r="R1097" s="99" t="s">
        <v>2432</v>
      </c>
      <c r="S1097" s="104" t="s">
        <v>241</v>
      </c>
      <c r="T1097" s="99" t="str">
        <f>T1090</f>
        <v>Q1 12</v>
      </c>
      <c r="U1097" s="99" t="str">
        <f>U1090</f>
        <v>Q2 12</v>
      </c>
      <c r="V1097" s="99" t="str">
        <f>V1090</f>
        <v>Q3 12</v>
      </c>
      <c r="W1097" s="99" t="str">
        <f>W1090</f>
        <v>Q4 12</v>
      </c>
    </row>
    <row r="1098" spans="2:28">
      <c r="B1098" t="s">
        <v>1990</v>
      </c>
      <c r="H1098" s="16">
        <v>7.0000000000000007E-2</v>
      </c>
      <c r="I1098" s="16">
        <v>7.0000000000000007E-2</v>
      </c>
      <c r="J1098" s="16">
        <v>0.06</v>
      </c>
      <c r="K1098" s="16">
        <v>0.05</v>
      </c>
      <c r="L1098" s="16">
        <v>0.05</v>
      </c>
      <c r="M1098" s="16">
        <v>7.0000000000000007E-2</v>
      </c>
      <c r="N1098" s="16">
        <v>0.1</v>
      </c>
      <c r="O1098" s="16">
        <v>7.0000000000000007E-2</v>
      </c>
      <c r="P1098" s="16">
        <v>7.0000000000000007E-2</v>
      </c>
      <c r="Q1098" s="449">
        <v>0.04</v>
      </c>
      <c r="R1098" s="449">
        <v>0.01</v>
      </c>
      <c r="S1098" s="449">
        <v>3.5999999999999997E-2</v>
      </c>
      <c r="T1098" s="449">
        <v>1.0999999999999999E-2</v>
      </c>
      <c r="U1098" s="449">
        <v>7.0000000000000001E-3</v>
      </c>
      <c r="V1098" s="449">
        <v>0</v>
      </c>
      <c r="W1098" s="449">
        <v>-0.04</v>
      </c>
    </row>
    <row r="1099" spans="2:28">
      <c r="B1099" s="11" t="s">
        <v>1398</v>
      </c>
      <c r="C1099" s="11"/>
      <c r="D1099" s="11"/>
      <c r="E1099" s="11"/>
      <c r="F1099" s="11"/>
      <c r="G1099" s="11"/>
      <c r="H1099" s="20">
        <v>0.45</v>
      </c>
      <c r="I1099" s="20">
        <v>0.47</v>
      </c>
      <c r="J1099" s="20">
        <v>0.46</v>
      </c>
      <c r="K1099" s="20">
        <v>0.47</v>
      </c>
      <c r="L1099" s="20">
        <v>0.4</v>
      </c>
      <c r="M1099" s="20">
        <v>0.29399999999999998</v>
      </c>
      <c r="N1099" s="20">
        <v>0.25700000000000001</v>
      </c>
      <c r="O1099" s="20">
        <v>0.25</v>
      </c>
      <c r="P1099" s="20">
        <v>0.33400000000000002</v>
      </c>
      <c r="Q1099" s="20">
        <v>0.33600000000000002</v>
      </c>
      <c r="R1099" s="20">
        <v>0.28899999999999998</v>
      </c>
      <c r="S1099" s="20">
        <v>0.24399999999999999</v>
      </c>
      <c r="T1099" s="476">
        <f>Y1088</f>
        <v>0.31949596331062557</v>
      </c>
      <c r="U1099" s="476">
        <f>Z1088</f>
        <v>0.31559662705414238</v>
      </c>
      <c r="V1099" s="476">
        <f>AA1088</f>
        <v>0.30757469183231567</v>
      </c>
      <c r="W1099" s="476">
        <f>AB1088</f>
        <v>0.28383501151932711</v>
      </c>
    </row>
    <row r="1100" spans="2:28">
      <c r="B1100" s="21" t="s">
        <v>1194</v>
      </c>
      <c r="C1100" s="21"/>
      <c r="D1100" s="21"/>
      <c r="E1100" s="21"/>
      <c r="F1100" s="21"/>
      <c r="G1100" s="21"/>
      <c r="H1100" s="16">
        <f t="shared" ref="H1100:W1100" si="167">H1093/D1093-1</f>
        <v>0.13065033189385566</v>
      </c>
      <c r="I1100" s="16">
        <f t="shared" si="167"/>
        <v>0.14051986522432336</v>
      </c>
      <c r="J1100" s="16">
        <f t="shared" si="167"/>
        <v>0.1370495625015411</v>
      </c>
      <c r="K1100" s="16">
        <f t="shared" si="167"/>
        <v>0.13524073381280433</v>
      </c>
      <c r="L1100" s="16">
        <f t="shared" si="167"/>
        <v>0.12164028702838059</v>
      </c>
      <c r="M1100" s="16">
        <f t="shared" si="167"/>
        <v>0.1208995545125775</v>
      </c>
      <c r="N1100" s="16">
        <f t="shared" si="167"/>
        <v>0.13883142234747448</v>
      </c>
      <c r="O1100" s="16">
        <f t="shared" si="167"/>
        <v>0.11730420667844177</v>
      </c>
      <c r="P1100" s="16">
        <f t="shared" si="167"/>
        <v>0.13744777624063342</v>
      </c>
      <c r="Q1100" s="16">
        <f t="shared" si="167"/>
        <v>0.11764710243986976</v>
      </c>
      <c r="R1100" s="16">
        <f t="shared" si="167"/>
        <v>8.61664449501649E-2</v>
      </c>
      <c r="S1100" s="16">
        <f t="shared" si="167"/>
        <v>9.715460599459802E-2</v>
      </c>
      <c r="T1100" s="5">
        <f t="shared" si="167"/>
        <v>8.0617967925669998E-2</v>
      </c>
      <c r="U1100" s="5">
        <f t="shared" si="167"/>
        <v>8.260941641239028E-2</v>
      </c>
      <c r="V1100" s="5">
        <f t="shared" si="167"/>
        <v>8.259350209152605E-2</v>
      </c>
      <c r="W1100" s="5">
        <f t="shared" si="167"/>
        <v>5.1762578746159971E-2</v>
      </c>
    </row>
    <row r="1101" spans="2:28">
      <c r="B1101" s="11" t="s">
        <v>2053</v>
      </c>
      <c r="C1101" s="11"/>
      <c r="D1101" s="11"/>
      <c r="E1101" s="11"/>
      <c r="F1101" s="11"/>
      <c r="G1101" s="11"/>
      <c r="H1101" s="20">
        <v>0.66</v>
      </c>
      <c r="I1101" s="20">
        <v>0.63</v>
      </c>
      <c r="J1101" s="20">
        <v>0.31</v>
      </c>
      <c r="K1101" s="20">
        <v>0.03</v>
      </c>
      <c r="L1101" s="20">
        <v>0.18</v>
      </c>
      <c r="M1101" s="20">
        <v>0.14000000000000001</v>
      </c>
      <c r="N1101" s="20">
        <v>0.14000000000000001</v>
      </c>
      <c r="O1101" s="20">
        <v>0</v>
      </c>
      <c r="P1101" s="20">
        <v>0</v>
      </c>
      <c r="Q1101" s="20">
        <v>0.18</v>
      </c>
      <c r="R1101" s="20">
        <v>0.24</v>
      </c>
      <c r="S1101" s="20">
        <v>0.23</v>
      </c>
      <c r="T1101" s="476">
        <v>0.14000000000000001</v>
      </c>
      <c r="U1101" s="476">
        <v>0.17</v>
      </c>
      <c r="V1101" s="476">
        <v>0.11</v>
      </c>
      <c r="W1101" s="476">
        <v>0.11</v>
      </c>
    </row>
    <row r="1102" spans="2:28">
      <c r="B1102" t="s">
        <v>1096</v>
      </c>
      <c r="H1102" s="5">
        <v>0.15</v>
      </c>
      <c r="I1102" s="5">
        <v>0.11</v>
      </c>
      <c r="J1102" s="5">
        <v>0.09</v>
      </c>
      <c r="K1102" s="5">
        <v>0.1</v>
      </c>
      <c r="L1102" s="5">
        <v>0.11</v>
      </c>
      <c r="M1102" s="5">
        <v>0.11</v>
      </c>
      <c r="N1102" s="5">
        <v>0.12</v>
      </c>
      <c r="O1102" s="5">
        <v>0.1</v>
      </c>
      <c r="P1102" s="5">
        <f>Quarts!CL249</f>
        <v>0.11899999999999999</v>
      </c>
      <c r="Q1102" s="5">
        <f>Quarts!CM249</f>
        <v>0.11</v>
      </c>
      <c r="R1102" s="5">
        <f>Quarts!CN249</f>
        <v>9.0999999999999998E-2</v>
      </c>
      <c r="S1102" s="5">
        <f>Quarts!CO249</f>
        <v>0.10100000000000001</v>
      </c>
      <c r="T1102" s="5">
        <f>Quarts!CP249</f>
        <v>8.4000000000000005E-2</v>
      </c>
      <c r="U1102" s="5">
        <f>Quarts!CQ249</f>
        <v>8.8999999999999996E-2</v>
      </c>
      <c r="V1102" s="5">
        <f>Quarts!CR249</f>
        <v>8.4000000000000005E-2</v>
      </c>
      <c r="W1102" s="5">
        <v>5.5E-2</v>
      </c>
    </row>
    <row r="1103" spans="2:28">
      <c r="H1103" s="9"/>
    </row>
    <row r="1104" spans="2:28">
      <c r="B1104" t="s">
        <v>1906</v>
      </c>
      <c r="H1104" s="16"/>
      <c r="I1104" s="16"/>
      <c r="J1104" s="16"/>
      <c r="K1104" s="16"/>
      <c r="L1104" s="16"/>
      <c r="M1104" s="16">
        <v>0.09</v>
      </c>
      <c r="N1104" s="16">
        <v>0.06</v>
      </c>
      <c r="O1104" s="16">
        <v>0.04</v>
      </c>
      <c r="P1104" s="16">
        <v>0.04</v>
      </c>
      <c r="Q1104" s="16">
        <v>0.12</v>
      </c>
      <c r="R1104" s="16">
        <v>0.06</v>
      </c>
      <c r="S1104" s="16">
        <v>0.08</v>
      </c>
      <c r="T1104" s="16">
        <f>Y1083</f>
        <v>7.8E-2</v>
      </c>
      <c r="U1104" s="16">
        <f>Z1083</f>
        <v>0.09</v>
      </c>
      <c r="V1104" s="16">
        <f>AA1083</f>
        <v>0.127</v>
      </c>
      <c r="W1104" s="16">
        <f>AB1083</f>
        <v>0.11</v>
      </c>
    </row>
    <row r="1105" spans="2:23">
      <c r="B1105" t="s">
        <v>2076</v>
      </c>
      <c r="H1105" s="16"/>
      <c r="I1105" s="16"/>
      <c r="J1105" s="16"/>
      <c r="K1105" s="16"/>
      <c r="L1105" s="16"/>
      <c r="M1105" s="16">
        <v>0.5</v>
      </c>
      <c r="N1105" s="16">
        <v>0.46</v>
      </c>
      <c r="O1105" s="16">
        <v>0.45</v>
      </c>
      <c r="P1105" s="16">
        <v>0.45</v>
      </c>
      <c r="Q1105" s="16">
        <v>0.5</v>
      </c>
      <c r="R1105" s="16">
        <v>0.46</v>
      </c>
      <c r="S1105" s="16">
        <v>0.35499999999999998</v>
      </c>
      <c r="T1105" s="16">
        <f>Y1088</f>
        <v>0.31949596331062557</v>
      </c>
      <c r="U1105" s="16">
        <f>Z1088</f>
        <v>0.31559662705414238</v>
      </c>
      <c r="V1105" s="16">
        <f>AA1088</f>
        <v>0.30757469183231567</v>
      </c>
      <c r="W1105" s="16">
        <f>AB1088</f>
        <v>0.28383501151932711</v>
      </c>
    </row>
    <row r="1106" spans="2:23">
      <c r="H1106" s="9"/>
    </row>
    <row r="1107" spans="2:23">
      <c r="B1107" t="s">
        <v>2060</v>
      </c>
      <c r="H1107" s="5">
        <f>Quarts!AH333-Quarts!AC333</f>
        <v>3.2383539080168389E-2</v>
      </c>
      <c r="I1107" s="5">
        <f>Quarts!AI333-Quarts!AD333</f>
        <v>3.9766748328634194E-2</v>
      </c>
      <c r="J1107" s="5">
        <f>Quarts!AJ333-Quarts!AE333</f>
        <v>3.4827320722276123E-2</v>
      </c>
      <c r="K1107" s="5">
        <f>Quarts!AK333-Quarts!AF333</f>
        <v>1.5415048278040799E-2</v>
      </c>
      <c r="L1107" s="5">
        <f>Quarts!AM333-Quarts!AH333</f>
        <v>1.4849225945135103E-2</v>
      </c>
      <c r="M1107" s="5">
        <f>Quarts!AN333-Quarts!AI333</f>
        <v>1.9080763272339041E-2</v>
      </c>
      <c r="N1107" s="5">
        <f>Quarts!AO333-Quarts!AJ333</f>
        <v>1.3058554467265504E-2</v>
      </c>
    </row>
    <row r="1108" spans="2:23">
      <c r="H1108" s="9"/>
    </row>
    <row r="1109" spans="2:23">
      <c r="B1109" s="11" t="s">
        <v>2061</v>
      </c>
      <c r="C1109" s="11"/>
      <c r="D1109" s="104" t="str">
        <f t="shared" ref="D1109:Q1109" si="168">D1097</f>
        <v>Q1 08</v>
      </c>
      <c r="E1109" s="104" t="str">
        <f t="shared" si="168"/>
        <v>Q2 08</v>
      </c>
      <c r="F1109" s="104" t="str">
        <f t="shared" si="168"/>
        <v>Q3 08</v>
      </c>
      <c r="G1109" s="104" t="str">
        <f t="shared" si="168"/>
        <v>Q4 08</v>
      </c>
      <c r="H1109" s="104" t="str">
        <f t="shared" si="168"/>
        <v>Q1 09</v>
      </c>
      <c r="I1109" s="104" t="str">
        <f t="shared" si="168"/>
        <v>Q2 09</v>
      </c>
      <c r="J1109" s="104" t="str">
        <f t="shared" si="168"/>
        <v>Q3 09</v>
      </c>
      <c r="K1109" s="104" t="str">
        <f t="shared" si="168"/>
        <v>Q4 09</v>
      </c>
      <c r="L1109" s="104" t="str">
        <f t="shared" si="168"/>
        <v>Q1 10</v>
      </c>
      <c r="M1109" s="104" t="str">
        <f t="shared" si="168"/>
        <v>Q2 10</v>
      </c>
      <c r="N1109" s="104" t="str">
        <f t="shared" si="168"/>
        <v>Q3 10</v>
      </c>
      <c r="O1109" s="104" t="str">
        <f t="shared" si="168"/>
        <v>Q4 10</v>
      </c>
      <c r="P1109" s="104" t="str">
        <f t="shared" si="168"/>
        <v>Q1 11</v>
      </c>
      <c r="Q1109" s="104" t="str">
        <f t="shared" si="168"/>
        <v>Q2 11</v>
      </c>
    </row>
    <row r="1110" spans="2:23">
      <c r="B1110" t="str">
        <f>B1098</f>
        <v>Voice revs</v>
      </c>
      <c r="H1110" s="16">
        <f t="shared" ref="H1110:P1111" si="169">(H1091-D1091)/(H$1093-D$1093)</f>
        <v>0.45026728664110055</v>
      </c>
      <c r="I1110" s="16">
        <f t="shared" si="169"/>
        <v>0.41032649365054269</v>
      </c>
      <c r="J1110" s="16">
        <f t="shared" si="169"/>
        <v>0.35346749555821477</v>
      </c>
      <c r="K1110" s="16">
        <f t="shared" si="169"/>
        <v>0.29467670331392964</v>
      </c>
      <c r="L1110" s="16">
        <f t="shared" si="169"/>
        <v>0.32691203098182392</v>
      </c>
      <c r="M1110" s="16">
        <f t="shared" si="169"/>
        <v>0.44742835846588741</v>
      </c>
      <c r="N1110" s="16">
        <f t="shared" si="169"/>
        <v>0.5421439087570572</v>
      </c>
      <c r="O1110" s="16">
        <f t="shared" si="169"/>
        <v>0.43991533710729519</v>
      </c>
      <c r="P1110" s="16">
        <f t="shared" si="169"/>
        <v>0.37917033917634713</v>
      </c>
    </row>
    <row r="1111" spans="2:23">
      <c r="B1111" t="str">
        <f>B1099</f>
        <v>Data revs (RHS)</v>
      </c>
      <c r="H1111" s="16">
        <f t="shared" si="169"/>
        <v>0.54973271335889928</v>
      </c>
      <c r="I1111" s="16">
        <f t="shared" si="169"/>
        <v>0.58967350634945748</v>
      </c>
      <c r="J1111" s="16">
        <f t="shared" si="169"/>
        <v>0.64653250444178578</v>
      </c>
      <c r="K1111" s="16">
        <f t="shared" si="169"/>
        <v>0.70532329668607008</v>
      </c>
      <c r="L1111" s="16">
        <f t="shared" si="169"/>
        <v>0.67308796901817702</v>
      </c>
      <c r="M1111" s="16">
        <f t="shared" si="169"/>
        <v>0.55257164153411342</v>
      </c>
      <c r="N1111" s="16">
        <f t="shared" si="169"/>
        <v>0.45785609124294274</v>
      </c>
      <c r="O1111" s="16">
        <f t="shared" si="169"/>
        <v>0.56008466289270453</v>
      </c>
      <c r="P1111" s="16">
        <f t="shared" si="169"/>
        <v>0.62082966082365199</v>
      </c>
    </row>
    <row r="1112" spans="2:23">
      <c r="B1112" t="s">
        <v>1906</v>
      </c>
      <c r="H1112" s="16"/>
      <c r="I1112" s="16"/>
      <c r="J1112" s="16"/>
      <c r="K1112" s="16"/>
      <c r="L1112" s="16">
        <f>Quarts!AM274/Quarts!AM276*Analysis!L1111</f>
        <v>0.22037434164593764</v>
      </c>
      <c r="M1112" s="16">
        <f>Quarts!AN274/Quarts!AN276*Analysis!M1111</f>
        <v>0.10345324418865316</v>
      </c>
      <c r="N1112" s="16">
        <f>Quarts!AO274/Quarts!AO276*Analysis!N1111</f>
        <v>0.10548864418637317</v>
      </c>
      <c r="O1112" s="16">
        <f>Quarts!AP274/Quarts!AP276*Analysis!O1111</f>
        <v>2.8592337052955219E-2</v>
      </c>
      <c r="P1112" s="16" t="e">
        <f>Quarts!AQ274/Quarts!AQ276*Analysis!P1111</f>
        <v>#DIV/0!</v>
      </c>
    </row>
    <row r="1113" spans="2:23">
      <c r="B1113" t="s">
        <v>1907</v>
      </c>
      <c r="H1113" s="16"/>
      <c r="I1113" s="16"/>
      <c r="J1113" s="16"/>
      <c r="K1113" s="16"/>
      <c r="L1113" s="16">
        <f>L1111-L1112</f>
        <v>0.45271362737223941</v>
      </c>
      <c r="M1113" s="16">
        <f>M1111-M1112</f>
        <v>0.44911839734546027</v>
      </c>
      <c r="N1113" s="16">
        <f>N1111-N1112</f>
        <v>0.35236744705656958</v>
      </c>
      <c r="O1113" s="16">
        <f>O1111-O1112</f>
        <v>0.53149232583974926</v>
      </c>
      <c r="P1113" s="16" t="e">
        <f>P1111-P1112</f>
        <v>#DIV/0!</v>
      </c>
    </row>
    <row r="1114" spans="2:23">
      <c r="I1114" s="562"/>
      <c r="J1114" s="562"/>
      <c r="K1114" s="562"/>
      <c r="L1114" s="562"/>
      <c r="M1114" s="562"/>
      <c r="N1114" s="562"/>
      <c r="O1114" s="562"/>
      <c r="P1114" s="562"/>
      <c r="Q1114" s="562"/>
    </row>
    <row r="1115" spans="2:23">
      <c r="B1115" t="s">
        <v>1908</v>
      </c>
      <c r="D1115" s="16">
        <f>L1110</f>
        <v>0.32691203098182392</v>
      </c>
      <c r="I1115" s="562"/>
      <c r="Q1115" s="562"/>
    </row>
    <row r="1116" spans="2:23">
      <c r="B1116" t="s">
        <v>1906</v>
      </c>
      <c r="D1116" s="16">
        <f>L1112</f>
        <v>0.22037434164593764</v>
      </c>
      <c r="I1116" s="562"/>
      <c r="Q1116" s="562"/>
    </row>
    <row r="1117" spans="2:23">
      <c r="B1117" t="s">
        <v>1907</v>
      </c>
      <c r="D1117" s="16">
        <f>L1113</f>
        <v>0.45271362737223941</v>
      </c>
      <c r="I1117" s="562"/>
      <c r="Q1117" s="562"/>
    </row>
    <row r="1118" spans="2:23">
      <c r="I1118" s="562"/>
      <c r="Q1118" s="562"/>
    </row>
    <row r="1119" spans="2:23">
      <c r="I1119" s="562"/>
      <c r="Q1119" s="562"/>
    </row>
    <row r="1120" spans="2:23">
      <c r="I1120" s="562"/>
      <c r="Q1120" s="562"/>
    </row>
    <row r="1121" spans="2:17">
      <c r="I1121" s="562"/>
      <c r="Q1121" s="562"/>
    </row>
    <row r="1122" spans="2:17">
      <c r="I1122" s="562"/>
      <c r="Q1122" s="562"/>
    </row>
    <row r="1123" spans="2:17">
      <c r="I1123" s="562"/>
      <c r="Q1123" s="562"/>
    </row>
    <row r="1124" spans="2:17">
      <c r="I1124" s="562"/>
      <c r="Q1124" s="562"/>
    </row>
    <row r="1125" spans="2:17">
      <c r="I1125" s="562"/>
      <c r="Q1125" s="562"/>
    </row>
    <row r="1126" spans="2:17">
      <c r="I1126" s="562"/>
      <c r="Q1126" s="562"/>
    </row>
    <row r="1127" spans="2:17">
      <c r="I1127" s="562"/>
      <c r="Q1127" s="562"/>
    </row>
    <row r="1128" spans="2:17">
      <c r="I1128" s="562"/>
      <c r="Q1128" s="562"/>
    </row>
    <row r="1129" spans="2:17">
      <c r="I1129" s="562"/>
      <c r="Q1129" s="562"/>
    </row>
    <row r="1130" spans="2:17">
      <c r="I1130" s="562"/>
      <c r="Q1130" s="562"/>
    </row>
    <row r="1131" spans="2:17">
      <c r="I1131" s="562"/>
      <c r="Q1131" s="562"/>
    </row>
    <row r="1132" spans="2:17">
      <c r="B1132" s="11" t="s">
        <v>1403</v>
      </c>
      <c r="C1132" s="11"/>
      <c r="D1132" s="104" t="s">
        <v>1100</v>
      </c>
      <c r="E1132" s="104" t="s">
        <v>2047</v>
      </c>
      <c r="F1132" s="104" t="s">
        <v>179</v>
      </c>
      <c r="G1132" s="104" t="s">
        <v>2362</v>
      </c>
      <c r="H1132" s="104" t="s">
        <v>833</v>
      </c>
      <c r="I1132" s="562"/>
      <c r="Q1132" s="562"/>
    </row>
    <row r="1133" spans="2:17">
      <c r="B1133" t="s">
        <v>1399</v>
      </c>
      <c r="D1133" s="16">
        <v>0.10283743338521967</v>
      </c>
      <c r="E1133" s="16">
        <v>6.7388597973946127E-2</v>
      </c>
      <c r="F1133" s="16">
        <v>5.5678178577221286E-2</v>
      </c>
      <c r="G1133" s="16">
        <v>4.9091078558542438E-2</v>
      </c>
      <c r="H1133" s="16">
        <v>8.628822997709451E-2</v>
      </c>
      <c r="I1133" s="562"/>
      <c r="Q1133" s="562"/>
    </row>
    <row r="1134" spans="2:17">
      <c r="B1134" t="s">
        <v>1400</v>
      </c>
      <c r="D1134" s="16">
        <v>6.2468440491059485E-2</v>
      </c>
      <c r="E1134" s="16">
        <v>9.0330506129445348E-2</v>
      </c>
      <c r="F1134" s="16">
        <v>8.661797942330729E-2</v>
      </c>
      <c r="G1134" s="16">
        <v>8.1019986931066795E-2</v>
      </c>
      <c r="H1134" s="16">
        <v>0.10510416666666667</v>
      </c>
      <c r="I1134" s="562"/>
      <c r="Q1134" s="562"/>
    </row>
    <row r="1135" spans="2:17">
      <c r="B1135" t="s">
        <v>1401</v>
      </c>
      <c r="D1135" s="16">
        <v>4.2718797176466698E-2</v>
      </c>
      <c r="E1135" s="16">
        <v>7.1949149862223255E-2</v>
      </c>
      <c r="F1135" s="16">
        <v>8.6991976483779779E-2</v>
      </c>
      <c r="G1135" s="16">
        <v>8.9022842206933489E-2</v>
      </c>
      <c r="H1135" s="16">
        <v>0.11726190476190476</v>
      </c>
      <c r="I1135" s="562"/>
      <c r="Q1135" s="562"/>
    </row>
    <row r="1136" spans="2:17">
      <c r="B1136" t="s">
        <v>1402</v>
      </c>
      <c r="D1136" s="16">
        <v>8.4518988715071297E-2</v>
      </c>
      <c r="E1136" s="16">
        <v>4.1895248728570207E-2</v>
      </c>
      <c r="F1136" s="16">
        <v>1.4428636460089508E-2</v>
      </c>
      <c r="G1136" s="16">
        <v>3.4996061557684741E-2</v>
      </c>
      <c r="H1136" s="16">
        <v>4.4091312754997905E-2</v>
      </c>
      <c r="I1136" s="562"/>
      <c r="Q1136" s="562"/>
    </row>
    <row r="1137" spans="2:17">
      <c r="B1137" t="s">
        <v>1250</v>
      </c>
      <c r="D1137" s="16">
        <f>H1100</f>
        <v>0.13065033189385566</v>
      </c>
      <c r="E1137" s="16">
        <f>I1100</f>
        <v>0.14051986522432336</v>
      </c>
      <c r="F1137" s="16">
        <f>J1100</f>
        <v>0.1370495625015411</v>
      </c>
      <c r="G1137" s="16">
        <f>K1100</f>
        <v>0.13524073381280433</v>
      </c>
      <c r="H1137" s="16">
        <f>L1100</f>
        <v>0.12164028702838059</v>
      </c>
      <c r="I1137" s="562"/>
      <c r="Q1137" s="562"/>
    </row>
    <row r="1138" spans="2:17">
      <c r="I1138" s="562"/>
      <c r="Q1138" s="562"/>
    </row>
    <row r="1139" spans="2:17">
      <c r="I1139" s="562"/>
      <c r="Q1139" s="562"/>
    </row>
    <row r="1140" spans="2:17">
      <c r="I1140" s="562"/>
      <c r="Q1140" s="562"/>
    </row>
    <row r="1141" spans="2:17">
      <c r="I1141" s="562"/>
      <c r="Q1141" s="562"/>
    </row>
    <row r="1142" spans="2:17">
      <c r="I1142" s="562"/>
      <c r="Q1142" s="562"/>
    </row>
    <row r="1143" spans="2:17">
      <c r="I1143" s="562"/>
      <c r="Q1143" s="562"/>
    </row>
    <row r="1144" spans="2:17">
      <c r="I1144" s="562"/>
      <c r="Q1144" s="562"/>
    </row>
    <row r="1145" spans="2:17">
      <c r="I1145" s="562"/>
      <c r="J1145" s="562"/>
      <c r="K1145" s="562"/>
      <c r="L1145" s="562"/>
      <c r="M1145" s="562"/>
      <c r="N1145" s="562"/>
      <c r="O1145" s="562"/>
      <c r="P1145" s="562"/>
      <c r="Q1145" s="562"/>
    </row>
    <row r="1155" spans="2:14">
      <c r="B1155" s="11" t="s">
        <v>1404</v>
      </c>
      <c r="C1155" s="11"/>
      <c r="D1155" s="104" t="str">
        <f>Quarts!AE461</f>
        <v>Q3 08</v>
      </c>
      <c r="E1155" s="104" t="str">
        <f>Quarts!AF461</f>
        <v>Q4 08</v>
      </c>
      <c r="F1155" s="104" t="str">
        <f>Quarts!AH461</f>
        <v>Q1 09</v>
      </c>
      <c r="G1155" s="104" t="str">
        <f>Quarts!AI461</f>
        <v>Q2 09</v>
      </c>
      <c r="H1155" s="104" t="str">
        <f>Quarts!AJ461</f>
        <v>Q3 09</v>
      </c>
      <c r="I1155" s="104" t="str">
        <f>Quarts!AK461</f>
        <v>Q4 09</v>
      </c>
      <c r="J1155" s="104" t="str">
        <f>Quarts!AM461</f>
        <v>Q1 10</v>
      </c>
      <c r="M1155" s="104"/>
      <c r="N1155" s="104"/>
    </row>
    <row r="1156" spans="2:14">
      <c r="B1156" t="s">
        <v>1828</v>
      </c>
      <c r="D1156" s="16">
        <f>Quarts!AE466</f>
        <v>0.51691631718918796</v>
      </c>
      <c r="E1156" s="16">
        <f>Quarts!AF466</f>
        <v>0.52284992614147663</v>
      </c>
      <c r="F1156" s="16">
        <f>Quarts!AH466</f>
        <v>0.52807266351836668</v>
      </c>
      <c r="G1156" s="16">
        <f>Quarts!AI466</f>
        <v>0.52390024299427917</v>
      </c>
      <c r="H1156" s="16">
        <f>Quarts!AJ466</f>
        <v>0.53381854526236927</v>
      </c>
      <c r="I1156" s="16">
        <f>Quarts!AK466</f>
        <v>0.53054698175584125</v>
      </c>
      <c r="J1156" s="16">
        <f>Quarts!AM466</f>
        <v>0.53376295338693147</v>
      </c>
      <c r="M1156" s="16"/>
      <c r="N1156" s="16"/>
    </row>
    <row r="1157" spans="2:14">
      <c r="B1157" t="s">
        <v>1697</v>
      </c>
      <c r="D1157" s="16">
        <f>Quarts!AE470</f>
        <v>0.1591293641881075</v>
      </c>
      <c r="E1157" s="16">
        <f>Quarts!AF470</f>
        <v>0.15492949184090818</v>
      </c>
      <c r="F1157" s="16">
        <f>Quarts!AH470</f>
        <v>0.15072134789947439</v>
      </c>
      <c r="G1157" s="16">
        <f>Quarts!AI470</f>
        <v>0.15180223639297397</v>
      </c>
      <c r="H1157" s="16">
        <f>Quarts!AJ470</f>
        <v>0.16743801784658646</v>
      </c>
      <c r="I1157" s="16">
        <f>Quarts!AK470</f>
        <v>0.16738729099006094</v>
      </c>
      <c r="J1157" s="16">
        <f>Quarts!AM470</f>
        <v>0.16702396999284735</v>
      </c>
      <c r="M1157" s="16"/>
      <c r="N1157" s="16"/>
    </row>
    <row r="1158" spans="2:14">
      <c r="B1158" t="s">
        <v>1831</v>
      </c>
      <c r="D1158" s="16">
        <f>Quarts!AE479</f>
        <v>0.29514299271594352</v>
      </c>
      <c r="E1158" s="16">
        <f>Quarts!AF479</f>
        <v>0.2800174048944043</v>
      </c>
      <c r="F1158" s="16">
        <f>Quarts!AH479</f>
        <v>0.29416749789758179</v>
      </c>
      <c r="G1158" s="16">
        <f>Quarts!AI479</f>
        <v>0.30502512741871063</v>
      </c>
      <c r="H1158" s="16">
        <f>Quarts!AJ479</f>
        <v>0.30288536587608517</v>
      </c>
      <c r="I1158" s="16">
        <f>Quarts!AK479</f>
        <v>0.30721002638366651</v>
      </c>
      <c r="J1158" s="16">
        <f>Quarts!AM479</f>
        <v>0.29798367615092203</v>
      </c>
      <c r="M1158" s="16"/>
      <c r="N1158" s="16"/>
    </row>
    <row r="1174" spans="2:8">
      <c r="D1174" t="str">
        <f>H1097</f>
        <v>Q1 09</v>
      </c>
      <c r="E1174" t="str">
        <f>I1097</f>
        <v>Q2 09</v>
      </c>
      <c r="F1174" t="str">
        <f>J1097</f>
        <v>Q3 09</v>
      </c>
      <c r="G1174" t="str">
        <f>K1097</f>
        <v>Q4 09</v>
      </c>
      <c r="H1174" t="str">
        <f>L1097</f>
        <v>Q1 10</v>
      </c>
    </row>
    <row r="1175" spans="2:8">
      <c r="B1175" t="s">
        <v>1250</v>
      </c>
      <c r="D1175" s="16">
        <f>H1099</f>
        <v>0.45</v>
      </c>
      <c r="E1175" s="16">
        <f>I1099</f>
        <v>0.47</v>
      </c>
      <c r="F1175" s="16">
        <f>J1099</f>
        <v>0.46</v>
      </c>
      <c r="G1175" s="16">
        <f>K1099</f>
        <v>0.47</v>
      </c>
      <c r="H1175" s="16">
        <f>L1099</f>
        <v>0.4</v>
      </c>
    </row>
    <row r="1176" spans="2:8">
      <c r="B1176" t="s">
        <v>1972</v>
      </c>
      <c r="D1176" s="16">
        <v>0.27373043155687027</v>
      </c>
      <c r="E1176" s="16">
        <v>0.25362840944172138</v>
      </c>
      <c r="F1176" s="16">
        <v>0.21059185765429711</v>
      </c>
      <c r="G1176" s="16">
        <v>0.19584160917136328</v>
      </c>
      <c r="H1176" s="16">
        <v>0.24177955208171786</v>
      </c>
    </row>
    <row r="1177" spans="2:8">
      <c r="B1177" t="s">
        <v>444</v>
      </c>
      <c r="D1177" s="16">
        <v>0.10190300212465764</v>
      </c>
      <c r="E1177" s="16">
        <v>0.10102141466436731</v>
      </c>
      <c r="F1177" s="16">
        <v>9.475601328754979E-2</v>
      </c>
      <c r="G1177" s="16">
        <v>0.10327189645789958</v>
      </c>
      <c r="H1177" s="16">
        <v>0.10390259741037777</v>
      </c>
    </row>
    <row r="1178" spans="2:8">
      <c r="B1178" t="s">
        <v>445</v>
      </c>
      <c r="D1178" s="16">
        <v>0.30336386051426545</v>
      </c>
      <c r="E1178" s="16">
        <v>0.24854536581703512</v>
      </c>
      <c r="F1178" s="16">
        <v>0.17314756174794166</v>
      </c>
      <c r="G1178" s="16">
        <v>0.36120943464884681</v>
      </c>
      <c r="H1178" s="16">
        <v>0.40017566380649949</v>
      </c>
    </row>
    <row r="1182" spans="2:8">
      <c r="B1182" s="11" t="s">
        <v>2293</v>
      </c>
      <c r="C1182" s="11"/>
      <c r="D1182" s="104" t="s">
        <v>2294</v>
      </c>
    </row>
    <row r="1183" spans="2:8">
      <c r="B1183" t="s">
        <v>1828</v>
      </c>
      <c r="D1183" s="88" t="e">
        <f>#REF!</f>
        <v>#REF!</v>
      </c>
    </row>
    <row r="1184" spans="2:8">
      <c r="B1184" t="s">
        <v>1697</v>
      </c>
      <c r="D1184" s="88" t="e">
        <f>#REF!</f>
        <v>#REF!</v>
      </c>
    </row>
    <row r="1185" spans="2:5">
      <c r="B1185" t="s">
        <v>1831</v>
      </c>
      <c r="D1185" s="88" t="e">
        <f>#REF!</f>
        <v>#REF!</v>
      </c>
    </row>
    <row r="1188" spans="2:5">
      <c r="B1188" t="s">
        <v>758</v>
      </c>
      <c r="D1188">
        <v>100</v>
      </c>
      <c r="E1188" s="9">
        <f>E1193+E1196</f>
        <v>88.75</v>
      </c>
    </row>
    <row r="1189" spans="2:5">
      <c r="B1189" t="s">
        <v>1992</v>
      </c>
      <c r="D1189">
        <v>80</v>
      </c>
      <c r="E1189">
        <v>20</v>
      </c>
    </row>
    <row r="1190" spans="2:5">
      <c r="B1190" s="129" t="s">
        <v>1999</v>
      </c>
      <c r="C1190" s="129"/>
      <c r="D1190">
        <v>15</v>
      </c>
      <c r="E1190" s="9">
        <f>D1190/D1189*E1189</f>
        <v>3.75</v>
      </c>
    </row>
    <row r="1191" spans="2:5">
      <c r="B1191" t="s">
        <v>1997</v>
      </c>
      <c r="D1191">
        <v>20</v>
      </c>
      <c r="E1191" s="9">
        <f>E1188-E1189</f>
        <v>68.75</v>
      </c>
    </row>
    <row r="1193" spans="2:5">
      <c r="B1193" t="s">
        <v>1934</v>
      </c>
      <c r="D1193">
        <f>D1188-D1196</f>
        <v>55</v>
      </c>
      <c r="E1193" s="9">
        <f>E1194+E1195</f>
        <v>43.75</v>
      </c>
    </row>
    <row r="1194" spans="2:5">
      <c r="B1194" s="129" t="s">
        <v>1998</v>
      </c>
      <c r="C1194" s="129"/>
      <c r="D1194">
        <f>D1190</f>
        <v>15</v>
      </c>
      <c r="E1194" s="9">
        <f>E1190</f>
        <v>3.75</v>
      </c>
    </row>
    <row r="1195" spans="2:5">
      <c r="B1195" s="129" t="s">
        <v>2000</v>
      </c>
      <c r="C1195" s="129"/>
      <c r="D1195">
        <f>D1193-D1194</f>
        <v>40</v>
      </c>
      <c r="E1195">
        <f>D1195</f>
        <v>40</v>
      </c>
    </row>
    <row r="1196" spans="2:5">
      <c r="B1196" t="s">
        <v>360</v>
      </c>
      <c r="D1196">
        <v>45</v>
      </c>
      <c r="E1196" s="9">
        <f>D1196</f>
        <v>45</v>
      </c>
    </row>
    <row r="1197" spans="2:5">
      <c r="B1197" t="s">
        <v>1434</v>
      </c>
      <c r="D1197" s="16">
        <f>D1196/D1188</f>
        <v>0.45</v>
      </c>
      <c r="E1197" s="16">
        <f>E1196/E1188</f>
        <v>0.50704225352112675</v>
      </c>
    </row>
    <row r="1199" spans="2:5">
      <c r="D1199" t="s">
        <v>833</v>
      </c>
    </row>
    <row r="1200" spans="2:5">
      <c r="B1200" s="12" t="s">
        <v>2001</v>
      </c>
      <c r="C1200" s="12"/>
      <c r="D1200" s="99" t="s">
        <v>2002</v>
      </c>
      <c r="E1200" s="99" t="s">
        <v>2003</v>
      </c>
    </row>
    <row r="1201" spans="2:5">
      <c r="B1201" s="4" t="s">
        <v>1250</v>
      </c>
      <c r="C1201" s="4"/>
      <c r="D1201" s="161">
        <f>Analysis!L1092/Analysis!L1093</f>
        <v>0.25548400091149009</v>
      </c>
      <c r="E1201" s="161">
        <f>Analysis!L1099</f>
        <v>0.4</v>
      </c>
    </row>
    <row r="1202" spans="2:5">
      <c r="B1202" s="4" t="str">
        <f>B1205</f>
        <v xml:space="preserve"> - of which SMS</v>
      </c>
      <c r="C1202" s="4"/>
      <c r="D1202" s="161">
        <f>Quarts!AM264</f>
        <v>0.114</v>
      </c>
      <c r="E1202" s="161">
        <f>Quarts!CH268</f>
        <v>0.25929783518342342</v>
      </c>
    </row>
    <row r="1203" spans="2:5">
      <c r="B1203" s="4" t="str">
        <f>B1206</f>
        <v xml:space="preserve"> - of which non-SMS</v>
      </c>
      <c r="C1203" s="4"/>
      <c r="D1203" s="161">
        <f>Quarts!AM265</f>
        <v>0.1</v>
      </c>
      <c r="E1203" s="161">
        <f>Quarts!CH270</f>
        <v>0.93129156302253069</v>
      </c>
    </row>
    <row r="1204" spans="2:5">
      <c r="B1204" t="s">
        <v>2004</v>
      </c>
      <c r="D1204" s="16">
        <v>0.35</v>
      </c>
      <c r="E1204" s="16">
        <v>0.7</v>
      </c>
    </row>
    <row r="1205" spans="2:5">
      <c r="B1205" s="129" t="s">
        <v>2005</v>
      </c>
      <c r="C1205" s="129"/>
      <c r="D1205" s="16">
        <v>0.2</v>
      </c>
      <c r="E1205" s="16">
        <v>0.55000000000000004</v>
      </c>
    </row>
    <row r="1206" spans="2:5">
      <c r="B1206" s="129" t="s">
        <v>2006</v>
      </c>
      <c r="C1206" s="129"/>
      <c r="D1206" s="16">
        <f>D1204-D1205</f>
        <v>0.14999999999999997</v>
      </c>
      <c r="E1206" s="16">
        <v>0.97</v>
      </c>
    </row>
    <row r="1207" spans="2:5">
      <c r="B1207" t="s">
        <v>1226</v>
      </c>
      <c r="D1207" s="16">
        <v>0.104</v>
      </c>
      <c r="E1207" s="16">
        <v>9.5000000000000001E-2</v>
      </c>
    </row>
    <row r="1208" spans="2:5">
      <c r="B1208" t="s">
        <v>2007</v>
      </c>
      <c r="D1208" s="16">
        <v>0.20599999999999999</v>
      </c>
      <c r="E1208" s="16">
        <v>0.38</v>
      </c>
    </row>
    <row r="1209" spans="2:5">
      <c r="B1209" t="s">
        <v>657</v>
      </c>
    </row>
    <row r="1211" spans="2:5">
      <c r="B1211" s="11" t="s">
        <v>2015</v>
      </c>
      <c r="C1211" s="11"/>
      <c r="D1211" s="104" t="s">
        <v>2008</v>
      </c>
      <c r="E1211" s="104" t="s">
        <v>2008</v>
      </c>
    </row>
    <row r="1212" spans="2:5">
      <c r="B1212" t="s">
        <v>1906</v>
      </c>
      <c r="D1212" s="16">
        <v>0.11</v>
      </c>
      <c r="E1212" s="5">
        <v>0.09</v>
      </c>
    </row>
    <row r="1213" spans="2:5">
      <c r="B1213" t="s">
        <v>2009</v>
      </c>
      <c r="D1213" s="135">
        <v>0.1</v>
      </c>
      <c r="E1213" s="342">
        <f>22%-E1212</f>
        <v>0.13</v>
      </c>
    </row>
    <row r="1214" spans="2:5">
      <c r="B1214" s="129" t="s">
        <v>2013</v>
      </c>
      <c r="C1214" s="129"/>
      <c r="D1214" s="135"/>
      <c r="E1214" s="342"/>
    </row>
    <row r="1215" spans="2:5">
      <c r="B1215" t="s">
        <v>142</v>
      </c>
      <c r="D1215" s="135" t="s">
        <v>2011</v>
      </c>
      <c r="E1215" s="342">
        <v>1.4999999999999999E-2</v>
      </c>
    </row>
    <row r="1216" spans="2:5">
      <c r="B1216" t="s">
        <v>143</v>
      </c>
      <c r="D1216" s="135" t="s">
        <v>2012</v>
      </c>
      <c r="E1216" s="342">
        <v>1.2999999999999999E-2</v>
      </c>
    </row>
    <row r="1217" spans="2:9">
      <c r="B1217" t="s">
        <v>144</v>
      </c>
      <c r="D1217" s="135"/>
      <c r="E1217" s="342">
        <v>2E-3</v>
      </c>
    </row>
    <row r="1218" spans="2:9">
      <c r="B1218" t="s">
        <v>2010</v>
      </c>
      <c r="E1218" s="5"/>
    </row>
    <row r="1219" spans="2:9">
      <c r="B1219" t="s">
        <v>140</v>
      </c>
      <c r="D1219" s="16">
        <v>0.02</v>
      </c>
      <c r="E1219" s="5">
        <v>0.04</v>
      </c>
    </row>
    <row r="1220" spans="2:9">
      <c r="B1220" t="s">
        <v>141</v>
      </c>
      <c r="D1220" s="16"/>
      <c r="E1220" s="5">
        <v>0.04</v>
      </c>
    </row>
    <row r="1221" spans="2:9">
      <c r="B1221" s="11" t="s">
        <v>1540</v>
      </c>
      <c r="C1221" s="11"/>
      <c r="D1221" s="104" t="s">
        <v>2014</v>
      </c>
      <c r="E1221" s="425">
        <f>E1213-E1215-E1216-E1219-E1220-E1217</f>
        <v>2.0000000000000004E-2</v>
      </c>
    </row>
    <row r="1223" spans="2:9">
      <c r="B1223" t="str">
        <f>B1212</f>
        <v>SMS</v>
      </c>
      <c r="D1223" s="5">
        <f>E1212</f>
        <v>0.09</v>
      </c>
    </row>
    <row r="1224" spans="2:9">
      <c r="B1224" t="str">
        <f>B1216</f>
        <v>Airtime transfers (premium SMS)</v>
      </c>
      <c r="D1224" s="5">
        <f>E1216</f>
        <v>1.2999999999999999E-2</v>
      </c>
    </row>
    <row r="1225" spans="2:9">
      <c r="B1225" t="str">
        <f>B1217</f>
        <v>Balance transfers (premium SMS)</v>
      </c>
      <c r="D1225" s="5">
        <f>E1217</f>
        <v>2E-3</v>
      </c>
    </row>
    <row r="1226" spans="2:9">
      <c r="B1226" t="str">
        <f>B1219</f>
        <v>Internet (2G/3G)</v>
      </c>
      <c r="D1226" s="5">
        <f>E1219</f>
        <v>0.04</v>
      </c>
    </row>
    <row r="1227" spans="2:9">
      <c r="B1227" t="str">
        <f>B1220</f>
        <v>Content (gaming, lotteries, horoscopes)</v>
      </c>
      <c r="D1227" s="5">
        <f>E1220</f>
        <v>0.04</v>
      </c>
    </row>
    <row r="1228" spans="2:9">
      <c r="B1228" t="str">
        <f>B1221</f>
        <v>Other</v>
      </c>
      <c r="D1228" s="5">
        <f>E1221</f>
        <v>2.0000000000000004E-2</v>
      </c>
    </row>
    <row r="1229" spans="2:9">
      <c r="B1229" t="str">
        <f>B1215</f>
        <v>Ring back tones</v>
      </c>
      <c r="D1229" s="5">
        <f>E1215</f>
        <v>1.4999999999999999E-2</v>
      </c>
    </row>
    <row r="1231" spans="2:9">
      <c r="B1231" s="12" t="s">
        <v>886</v>
      </c>
      <c r="C1231" s="12"/>
      <c r="D1231" s="11">
        <v>2010</v>
      </c>
      <c r="E1231" s="11">
        <f>D1231+1</f>
        <v>2011</v>
      </c>
      <c r="F1231" s="11">
        <f>E1231+1</f>
        <v>2012</v>
      </c>
      <c r="G1231" s="11">
        <f>F1231+1</f>
        <v>2013</v>
      </c>
      <c r="H1231" s="11">
        <f>G1231+1</f>
        <v>2014</v>
      </c>
      <c r="I1231" s="11">
        <f>H1231+1</f>
        <v>2015</v>
      </c>
    </row>
    <row r="1232" spans="2:9">
      <c r="B1232" t="s">
        <v>798</v>
      </c>
      <c r="D1232" s="88">
        <f>Master!M5</f>
        <v>4025.2485327501977</v>
      </c>
      <c r="E1232" s="88">
        <f>Master!N5</f>
        <v>0</v>
      </c>
      <c r="F1232" s="88">
        <f>Master!O5</f>
        <v>0</v>
      </c>
      <c r="G1232" s="88">
        <f>Master!P5</f>
        <v>0</v>
      </c>
      <c r="H1232" s="88">
        <f>Master!Q5</f>
        <v>6386.0109430529701</v>
      </c>
      <c r="I1232" s="88">
        <f>Master!R5</f>
        <v>6730.1365449983496</v>
      </c>
    </row>
    <row r="1233" spans="2:9">
      <c r="B1233" t="s">
        <v>360</v>
      </c>
      <c r="D1233" s="88" t="e">
        <f>Master!M14</f>
        <v>#REF!</v>
      </c>
      <c r="E1233" s="88">
        <f>Master!N14</f>
        <v>0</v>
      </c>
      <c r="F1233" s="88">
        <f>Master!O14</f>
        <v>0</v>
      </c>
      <c r="G1233" s="88">
        <f>Master!P14</f>
        <v>0</v>
      </c>
      <c r="H1233" s="88">
        <f>Master!Q14</f>
        <v>2109.5211117787239</v>
      </c>
      <c r="I1233" s="88">
        <f>Master!R14</f>
        <v>2265.6309442315396</v>
      </c>
    </row>
    <row r="1234" spans="2:9">
      <c r="B1234" t="s">
        <v>1545</v>
      </c>
      <c r="D1234" s="88">
        <f>Div!J83</f>
        <v>688</v>
      </c>
      <c r="E1234" s="88">
        <f>Div!K83</f>
        <v>804</v>
      </c>
      <c r="F1234" s="88">
        <f>Div!L83</f>
        <v>922</v>
      </c>
      <c r="G1234" s="88">
        <f>Div!M83</f>
        <v>1083</v>
      </c>
      <c r="H1234" s="88">
        <f>Div!N83</f>
        <v>1293</v>
      </c>
      <c r="I1234" s="88">
        <f ca="1">Div!O83</f>
        <v>1286</v>
      </c>
    </row>
    <row r="1235" spans="2:9">
      <c r="B1235" t="s">
        <v>1552</v>
      </c>
      <c r="D1235" s="88" t="e">
        <f t="shared" ref="D1235:H1235" si="170">D1233-D1234</f>
        <v>#REF!</v>
      </c>
      <c r="E1235" s="88">
        <f t="shared" si="170"/>
        <v>-804</v>
      </c>
      <c r="F1235" s="88">
        <f t="shared" si="170"/>
        <v>-922</v>
      </c>
      <c r="G1235" s="88">
        <f t="shared" si="170"/>
        <v>-1083</v>
      </c>
      <c r="H1235" s="88">
        <f t="shared" si="170"/>
        <v>816.52111177872393</v>
      </c>
      <c r="I1235" s="88">
        <f ca="1">I1233-I1234</f>
        <v>979.63094423153962</v>
      </c>
    </row>
    <row r="1236" spans="2:9">
      <c r="B1236" t="s">
        <v>885</v>
      </c>
    </row>
    <row r="1237" spans="2:9">
      <c r="B1237" t="str">
        <f>B1232</f>
        <v>Revs</v>
      </c>
      <c r="D1237" s="88">
        <v>3914.8878806687103</v>
      </c>
      <c r="E1237" s="88">
        <v>4292.3476998036349</v>
      </c>
      <c r="F1237" s="88">
        <v>4655.8641572949864</v>
      </c>
      <c r="G1237" s="88">
        <v>4978.1767313876835</v>
      </c>
      <c r="H1237" s="88">
        <v>5260.2519447202849</v>
      </c>
      <c r="I1237" s="88">
        <v>5513.1270535215353</v>
      </c>
    </row>
    <row r="1238" spans="2:9">
      <c r="B1238" t="str">
        <f>B1233</f>
        <v>EBITDA</v>
      </c>
      <c r="D1238" s="88">
        <v>1746.1882803211358</v>
      </c>
      <c r="E1238" s="88">
        <v>1898.4431371047901</v>
      </c>
      <c r="F1238" s="88">
        <v>2054.0650332648192</v>
      </c>
      <c r="G1238" s="88">
        <v>2164.539934264099</v>
      </c>
      <c r="H1238" s="88">
        <v>2272.3456912560378</v>
      </c>
      <c r="I1238" s="88">
        <v>2372.6751781565067</v>
      </c>
    </row>
    <row r="1239" spans="2:9">
      <c r="B1239" t="str">
        <f>B1234</f>
        <v>Capex</v>
      </c>
      <c r="D1239" s="88">
        <v>718.44711326808169</v>
      </c>
      <c r="E1239" s="88">
        <v>781.21350747086751</v>
      </c>
      <c r="F1239" s="88">
        <v>736.96017116432313</v>
      </c>
      <c r="G1239" s="88">
        <v>714.0032804631328</v>
      </c>
      <c r="H1239" s="88">
        <v>737.8558375814406</v>
      </c>
      <c r="I1239" s="88">
        <v>773.91204529197557</v>
      </c>
    </row>
    <row r="1240" spans="2:9">
      <c r="B1240" t="str">
        <f>B1235</f>
        <v>OpFCF</v>
      </c>
      <c r="D1240" s="88">
        <f t="shared" ref="D1240:I1240" si="171">D1238-D1239</f>
        <v>1027.7411670530541</v>
      </c>
      <c r="E1240" s="88">
        <f t="shared" si="171"/>
        <v>1117.2296296339227</v>
      </c>
      <c r="F1240" s="88">
        <f t="shared" si="171"/>
        <v>1317.1048621004961</v>
      </c>
      <c r="G1240" s="88">
        <f t="shared" si="171"/>
        <v>1450.5366538009662</v>
      </c>
      <c r="H1240" s="88">
        <f t="shared" si="171"/>
        <v>1534.4898536745973</v>
      </c>
      <c r="I1240" s="88">
        <f t="shared" si="171"/>
        <v>1598.7631328645311</v>
      </c>
    </row>
    <row r="1241" spans="2:9">
      <c r="B1241" t="s">
        <v>36</v>
      </c>
    </row>
    <row r="1242" spans="2:9">
      <c r="B1242" t="str">
        <f>B1237</f>
        <v>Revs</v>
      </c>
      <c r="D1242" s="5">
        <f t="shared" ref="D1242:I1245" si="172">D1232/D1237-1</f>
        <v>2.8189990478765914E-2</v>
      </c>
      <c r="E1242" s="5">
        <f t="shared" si="172"/>
        <v>-1</v>
      </c>
      <c r="F1242" s="5">
        <f t="shared" si="172"/>
        <v>-1</v>
      </c>
      <c r="G1242" s="5">
        <f t="shared" si="172"/>
        <v>-1</v>
      </c>
      <c r="H1242" s="5">
        <f t="shared" si="172"/>
        <v>0.21401237244208615</v>
      </c>
      <c r="I1242" s="5">
        <f t="shared" si="172"/>
        <v>0.22074758656241089</v>
      </c>
    </row>
    <row r="1243" spans="2:9">
      <c r="B1243" t="str">
        <f>B1238</f>
        <v>EBITDA</v>
      </c>
      <c r="D1243" s="5" t="e">
        <f t="shared" si="172"/>
        <v>#REF!</v>
      </c>
      <c r="E1243" s="5">
        <f t="shared" si="172"/>
        <v>-1</v>
      </c>
      <c r="F1243" s="5">
        <f t="shared" si="172"/>
        <v>-1</v>
      </c>
      <c r="G1243" s="5">
        <f t="shared" si="172"/>
        <v>-1</v>
      </c>
      <c r="H1243" s="5">
        <f t="shared" si="172"/>
        <v>-7.1654845521023081E-2</v>
      </c>
      <c r="I1243" s="5">
        <f t="shared" si="172"/>
        <v>-4.511541862554358E-2</v>
      </c>
    </row>
    <row r="1244" spans="2:9">
      <c r="B1244" t="str">
        <f>B1239</f>
        <v>Capex</v>
      </c>
      <c r="D1244" s="5">
        <f t="shared" si="172"/>
        <v>-4.2379059927714735E-2</v>
      </c>
      <c r="E1244" s="5">
        <f t="shared" si="172"/>
        <v>2.9168072890729313E-2</v>
      </c>
      <c r="F1244" s="5">
        <f t="shared" si="172"/>
        <v>0.25108525002556448</v>
      </c>
      <c r="G1244" s="5">
        <f t="shared" si="172"/>
        <v>0.51679975377356846</v>
      </c>
      <c r="H1244" s="5">
        <f t="shared" si="172"/>
        <v>0.75237483278335593</v>
      </c>
      <c r="I1244" s="5">
        <f ca="1">I1234/I1239-1</f>
        <v>0.66168753648850087</v>
      </c>
    </row>
    <row r="1245" spans="2:9">
      <c r="B1245" t="str">
        <f>B1240</f>
        <v>OpFCF</v>
      </c>
      <c r="D1245" s="5" t="e">
        <f t="shared" si="172"/>
        <v>#REF!</v>
      </c>
      <c r="E1245" s="5">
        <f t="shared" si="172"/>
        <v>-1.7196371978278475</v>
      </c>
      <c r="F1245" s="5">
        <f t="shared" si="172"/>
        <v>-1.7000201931755154</v>
      </c>
      <c r="G1245" s="5">
        <f t="shared" si="172"/>
        <v>-1.746620223047878</v>
      </c>
      <c r="H1245" s="5">
        <f t="shared" si="172"/>
        <v>-0.4678875785177562</v>
      </c>
      <c r="I1245" s="5">
        <f ca="1">I1235/I1240-1</f>
        <v>-0.38725698379326634</v>
      </c>
    </row>
    <row r="1247" spans="2:9">
      <c r="B1247" s="420" t="s">
        <v>30</v>
      </c>
      <c r="C1247" s="420"/>
    </row>
    <row r="1249" spans="2:10">
      <c r="B1249" s="23" t="s">
        <v>1828</v>
      </c>
      <c r="C1249" s="23"/>
      <c r="D1249" s="23">
        <f>E1249-1</f>
        <v>2009</v>
      </c>
      <c r="E1249" s="23">
        <f t="shared" ref="E1249:J1249" si="173">D1231</f>
        <v>2010</v>
      </c>
      <c r="F1249" s="23">
        <f t="shared" si="173"/>
        <v>2011</v>
      </c>
      <c r="G1249" s="23">
        <f t="shared" si="173"/>
        <v>2012</v>
      </c>
      <c r="H1249" s="23">
        <f t="shared" si="173"/>
        <v>2013</v>
      </c>
      <c r="I1249" s="23">
        <f t="shared" si="173"/>
        <v>2014</v>
      </c>
      <c r="J1249" s="23">
        <f t="shared" si="173"/>
        <v>2015</v>
      </c>
    </row>
    <row r="1250" spans="2:10">
      <c r="B1250" s="21" t="s">
        <v>758</v>
      </c>
      <c r="C1250" s="21"/>
      <c r="D1250" s="21"/>
      <c r="E1250" s="21"/>
      <c r="F1250" s="21"/>
      <c r="G1250" s="21"/>
      <c r="H1250" s="21"/>
      <c r="I1250" s="21"/>
      <c r="J1250" s="21"/>
    </row>
    <row r="1251" spans="2:10">
      <c r="B1251" t="s">
        <v>2064</v>
      </c>
      <c r="D1251" s="88">
        <f>CA!J74</f>
        <v>424</v>
      </c>
      <c r="E1251" s="88">
        <f>CA!K74</f>
        <v>389</v>
      </c>
      <c r="F1251" s="88">
        <f>CA!L74</f>
        <v>414</v>
      </c>
      <c r="G1251" s="88">
        <f>CA!M74</f>
        <v>443</v>
      </c>
      <c r="H1251" s="88">
        <f>CA!N74</f>
        <v>443</v>
      </c>
      <c r="I1251" s="88">
        <f>CA!O74</f>
        <v>443</v>
      </c>
      <c r="J1251" s="88">
        <f>CA!P74</f>
        <v>449.7425320056899</v>
      </c>
    </row>
    <row r="1252" spans="2:10">
      <c r="B1252" t="s">
        <v>2353</v>
      </c>
      <c r="D1252" s="16"/>
      <c r="E1252" s="16">
        <f>CA!K75</f>
        <v>-8.2547169811320709E-2</v>
      </c>
      <c r="F1252" s="16">
        <f>CA!L75</f>
        <v>6.4267352185090054E-2</v>
      </c>
      <c r="G1252" s="16">
        <f>CA!M75</f>
        <v>7.004830917874405E-2</v>
      </c>
      <c r="H1252" s="16">
        <f>CA!N75</f>
        <v>0</v>
      </c>
      <c r="I1252" s="16">
        <f>CA!O75</f>
        <v>0</v>
      </c>
      <c r="J1252" s="16">
        <f>CA!P75</f>
        <v>1.5220162541060622E-2</v>
      </c>
    </row>
    <row r="1253" spans="2:10">
      <c r="B1253" t="s">
        <v>2065</v>
      </c>
      <c r="D1253" s="88">
        <f>CA!J76</f>
        <v>4045.8</v>
      </c>
      <c r="E1253" s="88">
        <f>CA!K76</f>
        <v>4371.9500000000007</v>
      </c>
      <c r="F1253" s="88">
        <f>CA!L76</f>
        <v>8554.8363636363629</v>
      </c>
      <c r="G1253" s="88">
        <f>CA!M76</f>
        <v>8716.5818181818177</v>
      </c>
      <c r="H1253" s="88">
        <f>CA!N76</f>
        <v>9172.6200000000008</v>
      </c>
      <c r="I1253" s="88">
        <f>CA!O76</f>
        <v>9600.66</v>
      </c>
      <c r="J1253" s="88">
        <f>CA!P76</f>
        <v>10001.370302984777</v>
      </c>
    </row>
    <row r="1254" spans="2:10">
      <c r="B1254" t="s">
        <v>2353</v>
      </c>
      <c r="D1254" s="16"/>
      <c r="E1254" s="16">
        <f>CA!K77</f>
        <v>8.0614464382816831E-2</v>
      </c>
      <c r="F1254" s="16">
        <f>CA!L77</f>
        <v>0.95675530681649179</v>
      </c>
      <c r="G1254" s="16">
        <f>CA!M77</f>
        <v>1.8906902209489207E-2</v>
      </c>
      <c r="H1254" s="16">
        <f>CA!N77</f>
        <v>5.2318465119771895E-2</v>
      </c>
      <c r="I1254" s="16">
        <f>CA!O77</f>
        <v>4.6664965953020943E-2</v>
      </c>
      <c r="J1254" s="16">
        <f>CA!P77</f>
        <v>4.1737787088051981E-2</v>
      </c>
    </row>
    <row r="1255" spans="2:10">
      <c r="B1255" t="s">
        <v>2066</v>
      </c>
      <c r="D1255" s="88">
        <f>CA!J78</f>
        <v>11241</v>
      </c>
      <c r="E1255" s="88">
        <f>CA!K78</f>
        <v>11148</v>
      </c>
      <c r="F1255" s="88">
        <f>CA!L78</f>
        <v>12712.970000000001</v>
      </c>
      <c r="G1255" s="88">
        <f>CA!M78</f>
        <v>13437.3</v>
      </c>
      <c r="H1255" s="88">
        <f>CA!N78</f>
        <v>13395.52</v>
      </c>
      <c r="I1255" s="88">
        <f>CA!O78</f>
        <v>13246.74</v>
      </c>
      <c r="J1255" s="88">
        <f>CA!P78</f>
        <v>14289.357500000002</v>
      </c>
    </row>
    <row r="1256" spans="2:10">
      <c r="B1256" t="s">
        <v>2353</v>
      </c>
      <c r="D1256" s="16"/>
      <c r="E1256" s="16">
        <f>CA!K79</f>
        <v>-8.2732852949025659E-3</v>
      </c>
      <c r="F1256" s="16">
        <f>CA!L79</f>
        <v>0.14038123430211713</v>
      </c>
      <c r="G1256" s="16">
        <f>CA!M79</f>
        <v>5.6975671302614384E-2</v>
      </c>
      <c r="H1256" s="16">
        <f>CA!N79</f>
        <v>-3.1092555796178312E-3</v>
      </c>
      <c r="I1256" s="16">
        <f>CA!O79</f>
        <v>-1.1106698358854361E-2</v>
      </c>
      <c r="J1256" s="16">
        <f>CA!P79</f>
        <v>7.8707478217282301E-2</v>
      </c>
    </row>
    <row r="1258" spans="2:10">
      <c r="B1258" t="s">
        <v>2067</v>
      </c>
      <c r="D1258" s="88">
        <f>CA!J61</f>
        <v>1520.2899976500235</v>
      </c>
      <c r="E1258" s="88">
        <f>CA!K61</f>
        <v>1519.1082384138324</v>
      </c>
      <c r="F1258" s="88">
        <f>CA!L61</f>
        <v>1593.9333753715018</v>
      </c>
      <c r="G1258" s="88">
        <f>CA!M61</f>
        <v>2084.0375241523561</v>
      </c>
      <c r="H1258" s="88">
        <f>CA!N61</f>
        <v>2056.4035208227074</v>
      </c>
      <c r="I1258" s="88">
        <f>CA!O61</f>
        <v>2090.9410829557714</v>
      </c>
      <c r="J1258" s="88">
        <f>CA!P61</f>
        <v>2100.8702045237287</v>
      </c>
    </row>
    <row r="1259" spans="2:10">
      <c r="D1259" s="88"/>
      <c r="E1259" s="88"/>
      <c r="F1259" s="88"/>
      <c r="G1259" s="88"/>
      <c r="H1259" s="88"/>
      <c r="I1259" s="88"/>
      <c r="J1259" s="88"/>
    </row>
    <row r="1260" spans="2:10">
      <c r="B1260" t="s">
        <v>2069</v>
      </c>
      <c r="D1260" s="88">
        <f>CA!J143</f>
        <v>837.73099999999999</v>
      </c>
      <c r="E1260" s="88">
        <f>CA!K143</f>
        <v>844.18799999999999</v>
      </c>
      <c r="F1260" s="88">
        <f>CA!L143</f>
        <v>965.00800000000004</v>
      </c>
      <c r="G1260" s="88">
        <f>CA!M143</f>
        <v>958</v>
      </c>
      <c r="H1260" s="88">
        <f>CA!N143</f>
        <v>1173.2</v>
      </c>
      <c r="I1260" s="88">
        <f>CA!O143</f>
        <v>1153.0110656430443</v>
      </c>
      <c r="J1260" s="88">
        <f>CA!P143</f>
        <v>1172</v>
      </c>
    </row>
    <row r="1261" spans="2:10">
      <c r="B1261" t="s">
        <v>1434</v>
      </c>
      <c r="D1261" s="5">
        <f t="shared" ref="D1261:J1261" si="174">D1260/D1258</f>
        <v>0.55103368521460794</v>
      </c>
      <c r="E1261" s="5">
        <f t="shared" si="174"/>
        <v>0.55571287065196473</v>
      </c>
      <c r="F1261" s="5">
        <f t="shared" si="174"/>
        <v>0.60542555599294312</v>
      </c>
      <c r="G1261" s="5">
        <f t="shared" si="174"/>
        <v>0.45968462126882714</v>
      </c>
      <c r="H1261" s="5">
        <f t="shared" si="174"/>
        <v>0.57051059683589567</v>
      </c>
      <c r="I1261" s="5">
        <f t="shared" si="174"/>
        <v>0.55143163766868952</v>
      </c>
      <c r="J1261" s="5">
        <f t="shared" si="174"/>
        <v>0.55786406864944549</v>
      </c>
    </row>
    <row r="1262" spans="2:10">
      <c r="D1262" s="5"/>
      <c r="E1262" s="5"/>
      <c r="F1262" s="5"/>
      <c r="G1262" s="5"/>
      <c r="H1262" s="5"/>
      <c r="I1262" s="5"/>
      <c r="J1262" s="5"/>
    </row>
    <row r="1263" spans="2:10">
      <c r="B1263" t="s">
        <v>2071</v>
      </c>
      <c r="D1263" s="88">
        <f>CA!J154</f>
        <v>176</v>
      </c>
      <c r="E1263" s="88">
        <f>CA!K154</f>
        <v>158</v>
      </c>
      <c r="F1263" s="88">
        <f>CA!L154</f>
        <v>221</v>
      </c>
      <c r="G1263" s="88">
        <f>CA!M154</f>
        <v>296</v>
      </c>
      <c r="H1263" s="88">
        <f>CA!N154</f>
        <v>360.65</v>
      </c>
      <c r="I1263" s="88">
        <f>CA!O154</f>
        <v>432</v>
      </c>
      <c r="J1263" s="88">
        <f>CA!P154</f>
        <v>368</v>
      </c>
    </row>
    <row r="1264" spans="2:10">
      <c r="B1264" t="s">
        <v>1431</v>
      </c>
      <c r="D1264" s="16">
        <f t="shared" ref="D1264:J1264" si="175">D1263/D1258</f>
        <v>0.11576738666441971</v>
      </c>
      <c r="E1264" s="16">
        <f t="shared" si="175"/>
        <v>0.1040083886089478</v>
      </c>
      <c r="F1264" s="16">
        <f t="shared" si="175"/>
        <v>0.13865071364635365</v>
      </c>
      <c r="G1264" s="16">
        <f t="shared" si="175"/>
        <v>0.14203199154026391</v>
      </c>
      <c r="H1264" s="16">
        <f t="shared" si="175"/>
        <v>0.17537900336589307</v>
      </c>
      <c r="I1264" s="16">
        <f t="shared" si="175"/>
        <v>0.2066055344750897</v>
      </c>
      <c r="J1264" s="16">
        <f t="shared" si="175"/>
        <v>0.1751655096100648</v>
      </c>
    </row>
    <row r="1265" spans="2:10">
      <c r="B1265" t="s">
        <v>2072</v>
      </c>
      <c r="D1265" s="88">
        <f t="shared" ref="D1265:J1265" si="176">D1260-D1263</f>
        <v>661.73099999999999</v>
      </c>
      <c r="E1265" s="88">
        <f t="shared" si="176"/>
        <v>686.18799999999999</v>
      </c>
      <c r="F1265" s="88">
        <f t="shared" si="176"/>
        <v>744.00800000000004</v>
      </c>
      <c r="G1265" s="88">
        <f t="shared" si="176"/>
        <v>662</v>
      </c>
      <c r="H1265" s="88">
        <f t="shared" si="176"/>
        <v>812.55000000000007</v>
      </c>
      <c r="I1265" s="88">
        <f t="shared" si="176"/>
        <v>721.01106564304428</v>
      </c>
      <c r="J1265" s="88">
        <f t="shared" si="176"/>
        <v>804</v>
      </c>
    </row>
    <row r="1267" spans="2:10">
      <c r="B1267" s="23" t="s">
        <v>1697</v>
      </c>
      <c r="C1267" s="23"/>
      <c r="D1267" s="23">
        <f t="shared" ref="D1267:J1267" si="177">D1249</f>
        <v>2009</v>
      </c>
      <c r="E1267" s="23">
        <f t="shared" si="177"/>
        <v>2010</v>
      </c>
      <c r="F1267" s="23">
        <f t="shared" si="177"/>
        <v>2011</v>
      </c>
      <c r="G1267" s="23">
        <f t="shared" si="177"/>
        <v>2012</v>
      </c>
      <c r="H1267" s="23">
        <f t="shared" si="177"/>
        <v>2013</v>
      </c>
      <c r="I1267" s="23">
        <f t="shared" si="177"/>
        <v>2014</v>
      </c>
      <c r="J1267" s="23">
        <f t="shared" si="177"/>
        <v>2015</v>
      </c>
    </row>
    <row r="1268" spans="2:10">
      <c r="B1268" s="21" t="s">
        <v>758</v>
      </c>
      <c r="C1268" s="21"/>
      <c r="D1268" s="21"/>
      <c r="E1268" s="21"/>
      <c r="F1268" s="21"/>
      <c r="G1268" s="21"/>
      <c r="H1268" s="21"/>
      <c r="I1268" s="21"/>
      <c r="J1268" s="21"/>
    </row>
    <row r="1269" spans="2:10">
      <c r="B1269" t="s">
        <v>2377</v>
      </c>
      <c r="D1269" s="9">
        <f>SA!J75</f>
        <v>1705</v>
      </c>
      <c r="E1269" s="9">
        <f>SA!K75</f>
        <v>2099</v>
      </c>
      <c r="F1269" s="9">
        <f>SA!L75</f>
        <v>2488.29</v>
      </c>
      <c r="G1269" s="9">
        <f>SA!M75</f>
        <v>2964.39</v>
      </c>
      <c r="H1269" s="9">
        <f>SA!N75</f>
        <v>3026.58</v>
      </c>
      <c r="I1269" s="9">
        <f>SA!O75</f>
        <v>3372.08</v>
      </c>
      <c r="J1269" s="9">
        <f>SA!P75</f>
        <v>3657</v>
      </c>
    </row>
    <row r="1270" spans="2:10">
      <c r="B1270" t="s">
        <v>2353</v>
      </c>
      <c r="D1270" s="16"/>
      <c r="E1270" s="16">
        <f>SA!K76</f>
        <v>0</v>
      </c>
      <c r="F1270" s="16">
        <f>SA!L76</f>
        <v>0.18546450690805139</v>
      </c>
      <c r="G1270" s="16">
        <f>SA!M76</f>
        <v>0.19133621884908902</v>
      </c>
      <c r="H1270" s="16">
        <f>SA!N76</f>
        <v>2.0979020979021046E-2</v>
      </c>
      <c r="I1270" s="16">
        <f>SA!O76</f>
        <v>0.11415525114155245</v>
      </c>
      <c r="J1270" s="16">
        <f>SA!P76</f>
        <v>8.4493843562430282E-2</v>
      </c>
    </row>
    <row r="1271" spans="2:10">
      <c r="B1271" t="s">
        <v>2378</v>
      </c>
      <c r="D1271" s="9">
        <f>SA!J77</f>
        <v>1929.95</v>
      </c>
      <c r="E1271" s="9">
        <f>SA!K77</f>
        <v>2216.9479999999999</v>
      </c>
      <c r="F1271" s="9">
        <f>SA!L77</f>
        <v>2488.2280000000001</v>
      </c>
      <c r="G1271" s="9">
        <f>SA!M77</f>
        <v>2867.2820000000002</v>
      </c>
      <c r="H1271" s="9">
        <f>SA!N77</f>
        <v>3375.904</v>
      </c>
      <c r="I1271" s="9">
        <f>SA!O77</f>
        <v>3439.2280000000001</v>
      </c>
      <c r="J1271" s="9">
        <f>SA!P77</f>
        <v>3502.1076582692308</v>
      </c>
    </row>
    <row r="1272" spans="2:10">
      <c r="B1272" t="s">
        <v>2353</v>
      </c>
      <c r="D1272" s="16"/>
      <c r="E1272" s="16">
        <f>SA!K78</f>
        <v>0.14870747946837981</v>
      </c>
      <c r="F1272" s="16">
        <f>SA!L78</f>
        <v>0.12236642447184165</v>
      </c>
      <c r="G1272" s="16">
        <f>SA!M78</f>
        <v>0.15233893357039641</v>
      </c>
      <c r="H1272" s="16">
        <f>SA!N78</f>
        <v>0.17738820248583842</v>
      </c>
      <c r="I1272" s="16">
        <f>SA!O78</f>
        <v>1.8757642397414065E-2</v>
      </c>
      <c r="J1272" s="16">
        <f>SA!P78</f>
        <v>1.828307348894298E-2</v>
      </c>
    </row>
    <row r="1274" spans="2:10">
      <c r="B1274" t="s">
        <v>2068</v>
      </c>
      <c r="D1274" s="9">
        <f>Div!I32</f>
        <v>624.097009541528</v>
      </c>
      <c r="E1274" s="9">
        <f>Div!J32</f>
        <v>759.54241711414056</v>
      </c>
      <c r="F1274" s="9">
        <f>Div!K32</f>
        <v>950.34741615680662</v>
      </c>
      <c r="G1274" s="9">
        <f>Div!L32</f>
        <v>1077.6725471792633</v>
      </c>
      <c r="H1274" s="9">
        <f>Div!M32</f>
        <v>1222.2071158130318</v>
      </c>
      <c r="I1274" s="9">
        <f>Div!N32</f>
        <v>1260.6080669791227</v>
      </c>
      <c r="J1274" s="9">
        <f>Div!O32</f>
        <v>1202.8745703409977</v>
      </c>
    </row>
    <row r="1275" spans="2:10">
      <c r="D1275" s="9"/>
      <c r="E1275" s="9"/>
      <c r="F1275" s="9"/>
      <c r="G1275" s="9"/>
      <c r="H1275" s="9"/>
      <c r="I1275" s="9"/>
      <c r="J1275" s="9"/>
    </row>
    <row r="1276" spans="2:10">
      <c r="B1276" t="s">
        <v>2070</v>
      </c>
      <c r="D1276" s="9">
        <f>Div!I48</f>
        <v>339.10633557453383</v>
      </c>
      <c r="E1276" s="9">
        <f>Div!J48</f>
        <v>413.34508563310351</v>
      </c>
      <c r="F1276" s="9">
        <f>Div!K48</f>
        <v>507.94040684198399</v>
      </c>
      <c r="G1276" s="9">
        <f>Div!L48</f>
        <v>556.57029983000393</v>
      </c>
      <c r="H1276" s="9">
        <f>Div!M48</f>
        <v>568.56399999999996</v>
      </c>
      <c r="I1276" s="9">
        <f>Div!N48</f>
        <v>544.67743937578575</v>
      </c>
      <c r="J1276" s="9">
        <f>Div!O48</f>
        <v>496.03714036951055</v>
      </c>
    </row>
    <row r="1277" spans="2:10">
      <c r="B1277" t="s">
        <v>1434</v>
      </c>
      <c r="D1277" s="5">
        <f t="shared" ref="D1277:J1277" si="178">D1276/D1274</f>
        <v>0.54335516817112606</v>
      </c>
      <c r="E1277" s="5">
        <f t="shared" si="178"/>
        <v>0.54420276777114862</v>
      </c>
      <c r="F1277" s="5">
        <f t="shared" si="178"/>
        <v>0.53447865297102481</v>
      </c>
      <c r="G1277" s="5">
        <f t="shared" si="178"/>
        <v>0.51645585784549297</v>
      </c>
      <c r="H1277" s="5">
        <f t="shared" si="178"/>
        <v>0.46519447697846372</v>
      </c>
      <c r="I1277" s="5">
        <f t="shared" si="178"/>
        <v>0.43207516566273596</v>
      </c>
      <c r="J1277" s="5">
        <f t="shared" si="178"/>
        <v>0.41237644605695767</v>
      </c>
    </row>
    <row r="1278" spans="2:10">
      <c r="D1278" s="5"/>
      <c r="E1278" s="5"/>
      <c r="F1278" s="5"/>
      <c r="G1278" s="5"/>
      <c r="H1278" s="5"/>
      <c r="I1278" s="5"/>
      <c r="J1278" s="5"/>
    </row>
    <row r="1279" spans="2:10">
      <c r="B1279" t="s">
        <v>2073</v>
      </c>
      <c r="D1279" s="9">
        <f>Div!I79</f>
        <v>81.697961717475025</v>
      </c>
      <c r="E1279" s="9">
        <f>Div!J79</f>
        <v>111</v>
      </c>
      <c r="F1279" s="9">
        <f>Div!K79</f>
        <v>128.79999999999998</v>
      </c>
      <c r="G1279" s="9">
        <f>Div!L79</f>
        <v>150</v>
      </c>
      <c r="H1279" s="9">
        <f>Div!M79</f>
        <v>185.13</v>
      </c>
      <c r="I1279" s="9">
        <f>Div!N79</f>
        <v>177.60000000000002</v>
      </c>
      <c r="J1279" s="9">
        <f ca="1">Div!O79</f>
        <v>245.35085945241201</v>
      </c>
    </row>
    <row r="1280" spans="2:10">
      <c r="B1280" t="s">
        <v>1431</v>
      </c>
      <c r="D1280" s="5">
        <f t="shared" ref="D1280:I1280" si="179">D1279/D1274</f>
        <v>0.13090586954981839</v>
      </c>
      <c r="E1280" s="5">
        <f t="shared" si="179"/>
        <v>0.146140620324723</v>
      </c>
      <c r="F1280" s="5">
        <f t="shared" si="179"/>
        <v>0.13552938410761994</v>
      </c>
      <c r="G1280" s="5">
        <f t="shared" si="179"/>
        <v>0.13918884766306341</v>
      </c>
      <c r="H1280" s="5">
        <f t="shared" si="179"/>
        <v>0.15147187216043048</v>
      </c>
      <c r="I1280" s="5">
        <f t="shared" si="179"/>
        <v>0.14088439115386156</v>
      </c>
      <c r="J1280" s="5">
        <f ca="1">J1279/J1274</f>
        <v>0.20397044338784098</v>
      </c>
    </row>
    <row r="1281" spans="2:10">
      <c r="B1281" t="s">
        <v>2074</v>
      </c>
      <c r="D1281" s="9">
        <f t="shared" ref="D1281:I1281" si="180">D1276-D1279</f>
        <v>257.40837385705879</v>
      </c>
      <c r="E1281" s="9">
        <f t="shared" si="180"/>
        <v>302.34508563310351</v>
      </c>
      <c r="F1281" s="9">
        <f t="shared" si="180"/>
        <v>379.14040684198403</v>
      </c>
      <c r="G1281" s="9">
        <f t="shared" si="180"/>
        <v>406.57029983000393</v>
      </c>
      <c r="H1281" s="9">
        <f t="shared" si="180"/>
        <v>383.43399999999997</v>
      </c>
      <c r="I1281" s="9">
        <f t="shared" si="180"/>
        <v>367.07743937578573</v>
      </c>
      <c r="J1281" s="9">
        <f ca="1">J1276-J1279</f>
        <v>250.68628091709854</v>
      </c>
    </row>
    <row r="1283" spans="2:10">
      <c r="B1283" s="23" t="s">
        <v>21</v>
      </c>
      <c r="C1283" s="23"/>
      <c r="D1283" s="23">
        <f t="shared" ref="D1283:J1283" si="181">D1267</f>
        <v>2009</v>
      </c>
      <c r="E1283" s="23">
        <f t="shared" si="181"/>
        <v>2010</v>
      </c>
      <c r="F1283" s="23">
        <f t="shared" si="181"/>
        <v>2011</v>
      </c>
      <c r="G1283" s="23">
        <f t="shared" si="181"/>
        <v>2012</v>
      </c>
      <c r="H1283" s="23">
        <f t="shared" si="181"/>
        <v>2013</v>
      </c>
      <c r="I1283" s="23">
        <f t="shared" si="181"/>
        <v>2014</v>
      </c>
      <c r="J1283" s="23">
        <f t="shared" si="181"/>
        <v>2015</v>
      </c>
    </row>
    <row r="1284" spans="2:10">
      <c r="B1284" t="s">
        <v>2075</v>
      </c>
      <c r="D1284" s="9">
        <f>Colombia!F56</f>
        <v>973.81774742846585</v>
      </c>
      <c r="E1284" s="9">
        <f>Colombia!G56</f>
        <v>1161.9280211584353</v>
      </c>
      <c r="F1284" s="9">
        <f>Colombia!H56</f>
        <v>1407.672</v>
      </c>
      <c r="G1284" s="9">
        <f>Colombia!I56</f>
        <v>1536.69</v>
      </c>
      <c r="H1284" s="9">
        <f>Colombia!J56</f>
        <v>1812.999</v>
      </c>
      <c r="I1284" s="9">
        <f>Colombia!K56</f>
        <v>2346.6502799999998</v>
      </c>
      <c r="J1284" s="9">
        <f ca="1">Colombia!L56</f>
        <v>2609.1719390822755</v>
      </c>
    </row>
    <row r="1285" spans="2:10">
      <c r="B1285" t="s">
        <v>2353</v>
      </c>
      <c r="D1285" s="16">
        <f>Colombia!F57</f>
        <v>0.10677206165040576</v>
      </c>
      <c r="E1285" s="16">
        <f>Colombia!G57</f>
        <v>0.19316784298366629</v>
      </c>
      <c r="F1285" s="16">
        <f>Colombia!H57</f>
        <v>0.21149673161041371</v>
      </c>
      <c r="G1285" s="16">
        <f>Colombia!I57</f>
        <v>9.165345336129449E-2</v>
      </c>
      <c r="H1285" s="16">
        <f>Colombia!J57</f>
        <v>0.17980789879546299</v>
      </c>
      <c r="I1285" s="16">
        <f>Colombia!K57</f>
        <v>0.29434725556936314</v>
      </c>
      <c r="J1285" s="16">
        <f ca="1">Colombia!L57</f>
        <v>0.111870806365862</v>
      </c>
    </row>
    <row r="1287" spans="2:10">
      <c r="B1287" t="s">
        <v>1054</v>
      </c>
      <c r="D1287" s="9">
        <f t="shared" ref="D1287:I1287" si="182">D1288*D1284</f>
        <v>214.469532501305</v>
      </c>
      <c r="E1287" s="9">
        <f t="shared" si="182"/>
        <v>334.90850234125071</v>
      </c>
      <c r="F1287" s="9">
        <f t="shared" si="182"/>
        <v>401.31237846022572</v>
      </c>
      <c r="G1287" s="9">
        <f t="shared" si="182"/>
        <v>375.44775730769271</v>
      </c>
      <c r="H1287" s="9">
        <f t="shared" si="182"/>
        <v>442.371756</v>
      </c>
      <c r="I1287" s="9">
        <f t="shared" si="182"/>
        <v>607.78242251999995</v>
      </c>
      <c r="J1287" s="9">
        <f ca="1">J1288*J1284</f>
        <v>722.1945320769388</v>
      </c>
    </row>
    <row r="1288" spans="2:10">
      <c r="B1288" t="s">
        <v>361</v>
      </c>
      <c r="D1288" s="16">
        <f>Colombia!F60</f>
        <v>0.22023580189172859</v>
      </c>
      <c r="E1288" s="16">
        <f>Colombia!G60</f>
        <v>0.28823515419427526</v>
      </c>
      <c r="F1288" s="16">
        <f>Colombia!H60</f>
        <v>0.28508940893917456</v>
      </c>
      <c r="G1288" s="16">
        <f>Colombia!I60</f>
        <v>0.24432237946995991</v>
      </c>
      <c r="H1288" s="16">
        <f>Colombia!J60</f>
        <v>0.24399999999999999</v>
      </c>
      <c r="I1288" s="16">
        <f>Colombia!K60</f>
        <v>0.25900000000000001</v>
      </c>
      <c r="J1288" s="16">
        <f>Colombia!L60</f>
        <v>0.27679070177757487</v>
      </c>
    </row>
    <row r="1290" spans="2:10">
      <c r="B1290" t="s">
        <v>1545</v>
      </c>
      <c r="D1290" s="9">
        <f t="shared" ref="D1290:I1290" si="183">D1291*D1284</f>
        <v>175.28719453712384</v>
      </c>
      <c r="E1290" s="9">
        <f t="shared" si="183"/>
        <v>252.51050133018285</v>
      </c>
      <c r="F1290" s="9">
        <f t="shared" si="183"/>
        <v>281.53440000000001</v>
      </c>
      <c r="G1290" s="9">
        <f t="shared" si="183"/>
        <v>307.70000000000005</v>
      </c>
      <c r="H1290" s="9">
        <f t="shared" si="183"/>
        <v>416.98977000000002</v>
      </c>
      <c r="I1290" s="9">
        <f t="shared" si="183"/>
        <v>469.33005600000001</v>
      </c>
      <c r="J1290" s="9">
        <f ca="1">J1291*J1284</f>
        <v>443.55922964398684</v>
      </c>
    </row>
    <row r="1291" spans="2:10">
      <c r="B1291" t="s">
        <v>1431</v>
      </c>
      <c r="D1291" s="16">
        <f>Colombia!F63</f>
        <v>0.18</v>
      </c>
      <c r="E1291" s="16">
        <f>Colombia!G63</f>
        <v>0.2173202614379085</v>
      </c>
      <c r="F1291" s="16">
        <f>Colombia!H63</f>
        <v>0.2</v>
      </c>
      <c r="G1291" s="16">
        <f>Colombia!I63</f>
        <v>0.20023557126030625</v>
      </c>
      <c r="H1291" s="16">
        <f>Colombia!J63</f>
        <v>0.23</v>
      </c>
      <c r="I1291" s="16">
        <f>Colombia!K63</f>
        <v>0.2</v>
      </c>
      <c r="J1291" s="16">
        <f ca="1">Colombia!L63</f>
        <v>0.17</v>
      </c>
    </row>
    <row r="1293" spans="2:10">
      <c r="B1293" t="s">
        <v>1552</v>
      </c>
      <c r="D1293" s="9">
        <f t="shared" ref="D1293:I1293" si="184">D1287-D1290</f>
        <v>39.182337964181158</v>
      </c>
      <c r="E1293" s="9">
        <f t="shared" si="184"/>
        <v>82.398001011067862</v>
      </c>
      <c r="F1293" s="9">
        <f t="shared" si="184"/>
        <v>119.77797846022571</v>
      </c>
      <c r="G1293" s="9">
        <f t="shared" si="184"/>
        <v>67.747757307692666</v>
      </c>
      <c r="H1293" s="9">
        <f t="shared" si="184"/>
        <v>25.381985999999984</v>
      </c>
      <c r="I1293" s="9">
        <f t="shared" si="184"/>
        <v>138.45236651999994</v>
      </c>
      <c r="J1293" s="9">
        <f ca="1">J1287-J1290</f>
        <v>278.63530243295196</v>
      </c>
    </row>
    <row r="1295" spans="2:10">
      <c r="B1295" s="23" t="s">
        <v>1831</v>
      </c>
      <c r="C1295" s="23"/>
      <c r="D1295" s="23">
        <f t="shared" ref="D1295:J1295" si="185">D1283</f>
        <v>2009</v>
      </c>
      <c r="E1295" s="23">
        <f t="shared" si="185"/>
        <v>2010</v>
      </c>
      <c r="F1295" s="23">
        <f t="shared" si="185"/>
        <v>2011</v>
      </c>
      <c r="G1295" s="23">
        <f t="shared" si="185"/>
        <v>2012</v>
      </c>
      <c r="H1295" s="23">
        <f t="shared" si="185"/>
        <v>2013</v>
      </c>
      <c r="I1295" s="23">
        <f t="shared" si="185"/>
        <v>2014</v>
      </c>
      <c r="J1295" s="23">
        <f t="shared" si="185"/>
        <v>2015</v>
      </c>
    </row>
    <row r="1296" spans="2:10">
      <c r="B1296" t="str">
        <f>Africa!B99</f>
        <v>Ghana</v>
      </c>
      <c r="D1296" s="88">
        <f>Africa!J99</f>
        <v>277</v>
      </c>
      <c r="E1296" s="88">
        <f>Africa!K99</f>
        <v>307</v>
      </c>
      <c r="F1296" s="88">
        <f>Africa!L99</f>
        <v>292.92408226051094</v>
      </c>
      <c r="G1296" s="88">
        <f>Africa!M99</f>
        <v>302.92352507342974</v>
      </c>
      <c r="H1296" s="88">
        <f>Africa!N99</f>
        <v>336.31</v>
      </c>
      <c r="I1296" s="88">
        <f>Africa!O99</f>
        <v>420.47999999999996</v>
      </c>
      <c r="J1296" s="88">
        <f>Africa!P99</f>
        <v>525.84982742271939</v>
      </c>
    </row>
    <row r="1297" spans="2:10">
      <c r="B1297" t="s">
        <v>2353</v>
      </c>
      <c r="E1297" s="16">
        <f>Africa!K108</f>
        <v>0.10830324909747291</v>
      </c>
      <c r="F1297" s="16">
        <f>Africa!L108</f>
        <v>-4.5849894916902501E-2</v>
      </c>
      <c r="G1297" s="16">
        <f>Africa!M108</f>
        <v>3.4136636140506216E-2</v>
      </c>
      <c r="H1297" s="16">
        <f>Africa!N108</f>
        <v>0.11021420313419794</v>
      </c>
      <c r="I1297" s="16">
        <f>Africa!O108</f>
        <v>0.25027504385834476</v>
      </c>
      <c r="J1297" s="16">
        <f>Africa!P108</f>
        <v>0.25059414817047054</v>
      </c>
    </row>
    <row r="1298" spans="2:10">
      <c r="B1298" t="str">
        <f>Africa!B100</f>
        <v>Mauritius</v>
      </c>
      <c r="D1298" s="88">
        <f>Africa!J100</f>
        <v>1093</v>
      </c>
      <c r="E1298" s="88">
        <f>Africa!K100</f>
        <v>1166</v>
      </c>
      <c r="F1298" s="88">
        <f>Africa!L100</f>
        <v>1097.7929094066706</v>
      </c>
      <c r="G1298" s="88">
        <f>Africa!M100</f>
        <v>0</v>
      </c>
      <c r="H1298" s="88">
        <f>Africa!N100</f>
        <v>0</v>
      </c>
      <c r="I1298" s="88">
        <f>Africa!O100</f>
        <v>0</v>
      </c>
      <c r="J1298" s="88">
        <f>Africa!P100</f>
        <v>0</v>
      </c>
    </row>
    <row r="1299" spans="2:10">
      <c r="B1299" t="s">
        <v>2353</v>
      </c>
      <c r="E1299" s="16">
        <f>Africa!K109</f>
        <v>6.6788655077767656E-2</v>
      </c>
      <c r="F1299" s="16">
        <f>Africa!L109</f>
        <v>-5.8496647164090421E-2</v>
      </c>
      <c r="G1299" s="16">
        <f>Africa!M109</f>
        <v>-1</v>
      </c>
      <c r="H1299" s="16">
        <f>Africa!N109</f>
        <v>0</v>
      </c>
      <c r="I1299" s="16">
        <f>Africa!O109</f>
        <v>0</v>
      </c>
      <c r="J1299" s="16">
        <f>Africa!P109</f>
        <v>0</v>
      </c>
    </row>
    <row r="1300" spans="2:10">
      <c r="B1300" t="str">
        <f>Africa!B101</f>
        <v>Senegal</v>
      </c>
      <c r="D1300" s="88">
        <f>Africa!J101</f>
        <v>70936</v>
      </c>
      <c r="E1300" s="88">
        <f>Africa!K101</f>
        <v>75749</v>
      </c>
      <c r="F1300" s="88">
        <f>Africa!L101</f>
        <v>63882.009614744864</v>
      </c>
      <c r="G1300" s="88">
        <f>Africa!M101</f>
        <v>60203.30492708525</v>
      </c>
      <c r="H1300" s="88">
        <f>Africa!N101</f>
        <v>57659.148526400888</v>
      </c>
      <c r="I1300" s="88">
        <f>Africa!O101</f>
        <v>56780.820811720507</v>
      </c>
      <c r="J1300" s="88">
        <f ca="1">Africa!P101</f>
        <v>67370.036079793965</v>
      </c>
    </row>
    <row r="1301" spans="2:10">
      <c r="B1301" t="s">
        <v>2353</v>
      </c>
      <c r="E1301" s="16">
        <f>Africa!K110</f>
        <v>6.7849892861170602E-2</v>
      </c>
      <c r="F1301" s="16">
        <f>Africa!L110</f>
        <v>-0.15666200722458556</v>
      </c>
      <c r="G1301" s="16">
        <f>Africa!M110</f>
        <v>-5.7585926144855026E-2</v>
      </c>
      <c r="H1301" s="16">
        <f>Africa!N110</f>
        <v>-4.2259414225941483E-2</v>
      </c>
      <c r="I1301" s="16">
        <f>Africa!O110</f>
        <v>-1.5233102415277866E-2</v>
      </c>
      <c r="J1301" s="16">
        <f ca="1">Africa!P110</f>
        <v>0.18649281776299476</v>
      </c>
    </row>
    <row r="1302" spans="2:10">
      <c r="B1302" t="str">
        <f>Africa!B102</f>
        <v>Tanzania</v>
      </c>
      <c r="D1302" s="88">
        <f>Africa!J102</f>
        <v>274324</v>
      </c>
      <c r="E1302" s="88">
        <f>Africa!K102</f>
        <v>367849</v>
      </c>
      <c r="F1302" s="88">
        <f>Africa!L102</f>
        <v>474739.07403681037</v>
      </c>
      <c r="G1302" s="88">
        <f>Africa!M102</f>
        <v>544727.18689407408</v>
      </c>
      <c r="H1302" s="88">
        <f>Africa!N102</f>
        <v>568971</v>
      </c>
      <c r="I1302" s="88">
        <f>Africa!O102</f>
        <v>593952</v>
      </c>
      <c r="J1302" s="88">
        <f>Africa!P102</f>
        <v>729100</v>
      </c>
    </row>
    <row r="1303" spans="2:10">
      <c r="B1303" t="s">
        <v>2353</v>
      </c>
      <c r="E1303" s="16">
        <f>Africa!K111</f>
        <v>0.34092897449730986</v>
      </c>
      <c r="F1303" s="16">
        <f>Africa!L111</f>
        <v>0.29058139083376711</v>
      </c>
      <c r="G1303" s="16">
        <f>Africa!M111</f>
        <v>0.14742437832668687</v>
      </c>
      <c r="H1303" s="16">
        <f>Africa!N111</f>
        <v>4.4506339483731949E-2</v>
      </c>
      <c r="I1303" s="16">
        <f>Africa!O111</f>
        <v>4.3905576909895272E-2</v>
      </c>
      <c r="J1303" s="16">
        <f>Africa!P111</f>
        <v>0.22754027261462206</v>
      </c>
    </row>
    <row r="1304" spans="2:10">
      <c r="B1304" t="str">
        <f>Africa!B103</f>
        <v>Chad</v>
      </c>
      <c r="D1304" s="88">
        <f>Africa!J103</f>
        <v>43457</v>
      </c>
      <c r="E1304" s="88">
        <f>Africa!K103</f>
        <v>52176</v>
      </c>
      <c r="F1304" s="88">
        <f>Africa!L103</f>
        <v>53361.546238392839</v>
      </c>
      <c r="G1304" s="88">
        <f>Africa!M103</f>
        <v>61733.897425231487</v>
      </c>
      <c r="H1304" s="88">
        <f>Africa!N103</f>
        <v>73904</v>
      </c>
      <c r="I1304" s="88">
        <f>Africa!O103</f>
        <v>88920</v>
      </c>
      <c r="J1304" s="88">
        <f ca="1">Africa!P103</f>
        <v>90578.41001890623</v>
      </c>
    </row>
    <row r="1305" spans="2:10">
      <c r="B1305" t="s">
        <v>2353</v>
      </c>
      <c r="E1305" s="16">
        <f>Africa!K112</f>
        <v>0.20063511056906824</v>
      </c>
      <c r="F1305" s="16">
        <f>Africa!L112</f>
        <v>2.272206068676863E-2</v>
      </c>
      <c r="G1305" s="16">
        <f>Africa!M112</f>
        <v>0.15689858666079792</v>
      </c>
      <c r="H1305" s="16">
        <f>Africa!N112</f>
        <v>0.19713808915933484</v>
      </c>
      <c r="I1305" s="16">
        <f>Africa!O112</f>
        <v>0.20318250703615504</v>
      </c>
      <c r="J1305" s="16">
        <f ca="1">Africa!P112</f>
        <v>1.8650585007942366E-2</v>
      </c>
    </row>
    <row r="1306" spans="2:10">
      <c r="B1306" t="str">
        <f>Africa!B104</f>
        <v>Dem. Rep. Congo</v>
      </c>
      <c r="D1306" s="88">
        <f>Africa!J104</f>
        <v>82110</v>
      </c>
      <c r="E1306" s="88">
        <f>Africa!K104</f>
        <v>117755.72327009944</v>
      </c>
      <c r="F1306" s="88">
        <f>Africa!L104</f>
        <v>127175.42151078585</v>
      </c>
      <c r="G1306" s="88">
        <f>Africa!M104</f>
        <v>135321.15045254523</v>
      </c>
      <c r="H1306" s="88">
        <f>Africa!N104</f>
        <v>120627.63151524027</v>
      </c>
      <c r="I1306" s="88">
        <f>Africa!O104</f>
        <v>117737.31955661473</v>
      </c>
      <c r="J1306" s="88">
        <f>Africa!P104</f>
        <v>139285.82028345103</v>
      </c>
    </row>
    <row r="1307" spans="2:10">
      <c r="B1307" t="s">
        <v>2353</v>
      </c>
      <c r="E1307" s="16">
        <f>Africa!K113</f>
        <v>0.43412158409571844</v>
      </c>
      <c r="F1307" s="16">
        <f>Africa!L113</f>
        <v>7.9993549180452206E-2</v>
      </c>
      <c r="G1307" s="16">
        <f>Africa!M113</f>
        <v>6.4051125956508415E-2</v>
      </c>
      <c r="H1307" s="16">
        <f>Africa!N113</f>
        <v>-0.10858257477243161</v>
      </c>
      <c r="I1307" s="16">
        <f>Africa!O113</f>
        <v>-2.3960612691465877E-2</v>
      </c>
      <c r="J1307" s="16">
        <f>Africa!P113</f>
        <v>0.18302183885267209</v>
      </c>
    </row>
    <row r="1308" spans="2:10">
      <c r="B1308" t="str">
        <f>Africa!B105</f>
        <v>Rwanda</v>
      </c>
      <c r="D1308" s="88">
        <f>Africa!J105</f>
        <v>0</v>
      </c>
      <c r="E1308" s="88">
        <f>Africa!K105</f>
        <v>7983.5962885331865</v>
      </c>
      <c r="F1308" s="88">
        <f>Africa!L105</f>
        <v>15489.216855219167</v>
      </c>
      <c r="G1308" s="88">
        <f>Africa!M105</f>
        <v>23295.358230103036</v>
      </c>
      <c r="H1308" s="88">
        <f>Africa!N105</f>
        <v>26023.483423520935</v>
      </c>
      <c r="I1308" s="88">
        <f>Africa!O105</f>
        <v>43430.214265172319</v>
      </c>
      <c r="J1308" s="88">
        <f>Africa!P105</f>
        <v>45771.962838468178</v>
      </c>
    </row>
    <row r="1309" spans="2:10">
      <c r="B1309" t="s">
        <v>2353</v>
      </c>
      <c r="D1309" s="9"/>
      <c r="E1309" s="16"/>
      <c r="F1309" s="16">
        <f>Africa!L114</f>
        <v>0.9401302740553501</v>
      </c>
      <c r="G1309" s="16">
        <f>Africa!M114</f>
        <v>0.50397263127306213</v>
      </c>
      <c r="H1309" s="16">
        <f>Africa!N114</f>
        <v>0.1171102485941824</v>
      </c>
      <c r="I1309" s="16">
        <f>Africa!O114</f>
        <v>0.66888550461767049</v>
      </c>
      <c r="J1309" s="16">
        <f>Africa!P114</f>
        <v>5.3919802444395426E-2</v>
      </c>
    </row>
    <row r="1311" spans="2:10">
      <c r="B1311" t="s">
        <v>22</v>
      </c>
      <c r="D1311" s="88">
        <f>Africa!J80</f>
        <v>781.5</v>
      </c>
      <c r="E1311" s="88">
        <f>Africa!K80</f>
        <v>909.14187722222471</v>
      </c>
      <c r="F1311" s="88">
        <f>Africa!L80</f>
        <v>976.54217733834935</v>
      </c>
      <c r="G1311" s="88">
        <f>Africa!M80</f>
        <v>906.26077441759242</v>
      </c>
      <c r="H1311" s="88">
        <f>Africa!N80</f>
        <v>904.50279449502159</v>
      </c>
      <c r="I1311" s="88">
        <f>Africa!O80</f>
        <v>924.26890597417787</v>
      </c>
      <c r="J1311" s="88">
        <f>Africa!P80</f>
        <v>897.13223529075731</v>
      </c>
    </row>
    <row r="1313" spans="2:10">
      <c r="B1313" t="s">
        <v>23</v>
      </c>
      <c r="D1313" s="88">
        <f>Africa!J160</f>
        <v>284.81899999999996</v>
      </c>
      <c r="E1313" s="88">
        <f>Africa!K160</f>
        <v>363.03800000000001</v>
      </c>
      <c r="F1313" s="88">
        <f>Africa!L160</f>
        <v>402.96000000000004</v>
      </c>
      <c r="G1313" s="88">
        <f>Africa!M160</f>
        <v>367.08600000000001</v>
      </c>
      <c r="H1313" s="88">
        <f>Africa!N160</f>
        <v>262.2</v>
      </c>
      <c r="I1313" s="88">
        <f>Africa!O160</f>
        <v>226.47706314004341</v>
      </c>
      <c r="J1313" s="88">
        <f>Africa!P160</f>
        <v>200</v>
      </c>
    </row>
    <row r="1314" spans="2:10">
      <c r="B1314" t="s">
        <v>1434</v>
      </c>
      <c r="D1314" s="5">
        <f t="shared" ref="D1314:J1314" si="186">D1313/D1311</f>
        <v>0.36445169545745354</v>
      </c>
      <c r="E1314" s="5">
        <f t="shared" si="186"/>
        <v>0.39931941217933947</v>
      </c>
      <c r="F1314" s="5">
        <f t="shared" si="186"/>
        <v>0.41263962719797986</v>
      </c>
      <c r="G1314" s="5">
        <f t="shared" si="186"/>
        <v>0.40505559808202829</v>
      </c>
      <c r="H1314" s="5">
        <f t="shared" si="186"/>
        <v>0.28988301815737855</v>
      </c>
      <c r="I1314" s="5">
        <f t="shared" si="186"/>
        <v>0.24503373604388104</v>
      </c>
      <c r="J1314" s="5">
        <f t="shared" si="186"/>
        <v>0.22293257574807879</v>
      </c>
    </row>
    <row r="1316" spans="2:10">
      <c r="B1316" t="s">
        <v>24</v>
      </c>
      <c r="D1316" s="88">
        <f>Africa!J178</f>
        <v>398</v>
      </c>
      <c r="E1316" s="88">
        <f>Africa!K178</f>
        <v>236</v>
      </c>
      <c r="F1316" s="88">
        <f>Africa!L178</f>
        <v>291</v>
      </c>
      <c r="G1316" s="88">
        <f>Africa!M178</f>
        <v>306</v>
      </c>
      <c r="H1316" s="88">
        <f>Africa!N178</f>
        <v>325.5</v>
      </c>
      <c r="I1316" s="88">
        <f>Africa!O178</f>
        <v>361</v>
      </c>
      <c r="J1316" s="88">
        <f>Africa!P178</f>
        <v>242</v>
      </c>
    </row>
    <row r="1317" spans="2:10">
      <c r="B1317" t="s">
        <v>1431</v>
      </c>
      <c r="D1317" s="16">
        <f t="shared" ref="D1317:J1317" si="187">D1316/D1311</f>
        <v>0.50927703134996805</v>
      </c>
      <c r="E1317" s="16">
        <f t="shared" si="187"/>
        <v>0.25958544635637071</v>
      </c>
      <c r="F1317" s="16">
        <f t="shared" si="187"/>
        <v>0.29799020129693304</v>
      </c>
      <c r="G1317" s="16">
        <f t="shared" si="187"/>
        <v>0.33765115807494878</v>
      </c>
      <c r="H1317" s="16">
        <f t="shared" si="187"/>
        <v>0.3598662181930844</v>
      </c>
      <c r="I1317" s="16">
        <f t="shared" si="187"/>
        <v>0.39057897292293592</v>
      </c>
      <c r="J1317" s="16">
        <f t="shared" si="187"/>
        <v>0.26974841665517535</v>
      </c>
    </row>
    <row r="1319" spans="2:10">
      <c r="B1319" t="s">
        <v>25</v>
      </c>
      <c r="D1319" s="88">
        <f t="shared" ref="D1319:J1319" si="188">D1313-D1316</f>
        <v>-113.18100000000004</v>
      </c>
      <c r="E1319" s="88">
        <f t="shared" si="188"/>
        <v>127.03800000000001</v>
      </c>
      <c r="F1319" s="88">
        <f t="shared" si="188"/>
        <v>111.96000000000004</v>
      </c>
      <c r="G1319" s="88">
        <f t="shared" si="188"/>
        <v>61.086000000000013</v>
      </c>
      <c r="H1319" s="88">
        <f t="shared" si="188"/>
        <v>-63.300000000000011</v>
      </c>
      <c r="I1319" s="88">
        <f t="shared" si="188"/>
        <v>-134.52293685995659</v>
      </c>
      <c r="J1319" s="88">
        <f t="shared" si="188"/>
        <v>-42</v>
      </c>
    </row>
    <row r="1321" spans="2:10">
      <c r="B1321" s="23" t="s">
        <v>26</v>
      </c>
      <c r="C1321" s="23"/>
      <c r="D1321" s="23">
        <f t="shared" ref="D1321:J1321" si="189">D1295</f>
        <v>2009</v>
      </c>
      <c r="E1321" s="23">
        <f t="shared" si="189"/>
        <v>2010</v>
      </c>
      <c r="F1321" s="23">
        <f t="shared" si="189"/>
        <v>2011</v>
      </c>
      <c r="G1321" s="23">
        <f t="shared" si="189"/>
        <v>2012</v>
      </c>
      <c r="H1321" s="23">
        <f t="shared" si="189"/>
        <v>2013</v>
      </c>
      <c r="I1321" s="23">
        <f t="shared" si="189"/>
        <v>2014</v>
      </c>
      <c r="J1321" s="23">
        <f t="shared" si="189"/>
        <v>2015</v>
      </c>
    </row>
    <row r="1322" spans="2:10">
      <c r="B1322" s="88" t="s">
        <v>2376</v>
      </c>
      <c r="C1322" s="88"/>
      <c r="D1322" s="88" t="e">
        <f>'Full div'!F146</f>
        <v>#REF!</v>
      </c>
      <c r="E1322" s="88" t="e">
        <f>'Full div'!G146</f>
        <v>#REF!</v>
      </c>
      <c r="F1322" s="88">
        <f>'Full div'!H146</f>
        <v>414</v>
      </c>
      <c r="G1322" s="88">
        <f>'Full div'!I146</f>
        <v>443</v>
      </c>
      <c r="H1322" s="88">
        <f>'Full div'!J146</f>
        <v>443</v>
      </c>
      <c r="I1322" s="88">
        <f>'Full div'!K146</f>
        <v>443</v>
      </c>
      <c r="J1322" s="88">
        <f>'Full div'!L146</f>
        <v>449.7425320056899</v>
      </c>
    </row>
    <row r="1323" spans="2:10">
      <c r="B1323" s="88" t="s">
        <v>27</v>
      </c>
      <c r="C1323" s="88"/>
      <c r="D1323" s="88" t="e">
        <f>'Full div'!F147</f>
        <v>#REF!</v>
      </c>
      <c r="E1323" s="88" t="e">
        <f>'Full div'!G147</f>
        <v>#REF!</v>
      </c>
      <c r="F1323" s="88">
        <f>'Full div'!H147</f>
        <v>604</v>
      </c>
      <c r="G1323" s="88">
        <f>'Full div'!I147</f>
        <v>621</v>
      </c>
      <c r="H1323" s="88">
        <f>'Full div'!J147</f>
        <v>641.85</v>
      </c>
      <c r="I1323" s="88">
        <f>'Full div'!K147</f>
        <v>683.1</v>
      </c>
      <c r="J1323" s="88">
        <f>'Full div'!L147</f>
        <v>718.30000000000007</v>
      </c>
    </row>
    <row r="1324" spans="2:10">
      <c r="B1324" s="89" t="s">
        <v>28</v>
      </c>
      <c r="C1324" s="89"/>
      <c r="D1324" s="89" t="e">
        <f>'Full div'!F148</f>
        <v>#REF!</v>
      </c>
      <c r="E1324" s="89" t="e">
        <f>'Full div'!G148</f>
        <v>#REF!</v>
      </c>
      <c r="F1324" s="89">
        <f>'Full div'!H148</f>
        <v>450.91</v>
      </c>
      <c r="G1324" s="89">
        <f>'Full div'!I148</f>
        <v>472.35</v>
      </c>
      <c r="H1324" s="89">
        <f>'Full div'!J148</f>
        <v>439.52000000000004</v>
      </c>
      <c r="I1324" s="89">
        <f>'Full div'!K148</f>
        <v>421.43</v>
      </c>
      <c r="J1324" s="89">
        <f>'Full div'!L148</f>
        <v>434.83000000000004</v>
      </c>
    </row>
    <row r="1325" spans="2:10">
      <c r="B1325" s="88" t="s">
        <v>1828</v>
      </c>
      <c r="C1325" s="88"/>
      <c r="D1325" s="88" t="e">
        <f>'Full div'!F150</f>
        <v>#REF!</v>
      </c>
      <c r="E1325" s="88" t="e">
        <f>'Full div'!G150</f>
        <v>#REF!</v>
      </c>
      <c r="F1325" s="88">
        <f>'Full div'!H150</f>
        <v>1603.91</v>
      </c>
      <c r="G1325" s="88">
        <f>'Full div'!I150</f>
        <v>1671.35</v>
      </c>
      <c r="H1325" s="88">
        <f>'Full div'!J150</f>
        <v>1659.37</v>
      </c>
      <c r="I1325" s="88">
        <f>'Full div'!K150</f>
        <v>1682.53</v>
      </c>
      <c r="J1325" s="88">
        <f>'Full div'!L150</f>
        <v>1737.8725320056901</v>
      </c>
    </row>
    <row r="1326" spans="2:10">
      <c r="B1326" s="88"/>
      <c r="C1326" s="88"/>
      <c r="D1326" s="88"/>
      <c r="E1326" s="88"/>
      <c r="F1326" s="88"/>
      <c r="G1326" s="88"/>
      <c r="H1326" s="88"/>
      <c r="I1326" s="88"/>
      <c r="J1326" s="88"/>
    </row>
    <row r="1327" spans="2:10">
      <c r="B1327" s="88" t="s">
        <v>2377</v>
      </c>
      <c r="C1327" s="88"/>
      <c r="D1327" s="88" t="e">
        <f>'Full div'!F152</f>
        <v>#REF!</v>
      </c>
      <c r="E1327" s="88" t="e">
        <f>'Full div'!G152</f>
        <v>#REF!</v>
      </c>
      <c r="F1327" s="88">
        <f>'Full div'!H152</f>
        <v>357</v>
      </c>
      <c r="G1327" s="88">
        <f>'Full div'!I152</f>
        <v>429</v>
      </c>
      <c r="H1327" s="88">
        <f>'Full div'!J152</f>
        <v>438</v>
      </c>
      <c r="I1327" s="88">
        <f>'Full div'!K152</f>
        <v>488</v>
      </c>
      <c r="J1327" s="88">
        <f>'Full div'!L152</f>
        <v>530</v>
      </c>
    </row>
    <row r="1328" spans="2:10">
      <c r="B1328" s="88" t="s">
        <v>2378</v>
      </c>
      <c r="C1328" s="88"/>
      <c r="D1328" s="88" t="e">
        <f>'Full div'!F153</f>
        <v>#REF!</v>
      </c>
      <c r="E1328" s="88" t="e">
        <f>'Full div'!G153</f>
        <v>#REF!</v>
      </c>
      <c r="F1328" s="88">
        <f>'Full div'!H153</f>
        <v>593</v>
      </c>
      <c r="G1328" s="88">
        <f>'Full div'!I153</f>
        <v>649</v>
      </c>
      <c r="H1328" s="88">
        <f>'Full div'!J153</f>
        <v>784</v>
      </c>
      <c r="I1328" s="88">
        <f>'Full div'!K153</f>
        <v>767</v>
      </c>
      <c r="J1328" s="88">
        <f>'Full div'!L153</f>
        <v>672</v>
      </c>
    </row>
    <row r="1329" spans="2:10">
      <c r="B1329" s="89" t="s">
        <v>1665</v>
      </c>
      <c r="C1329" s="89"/>
      <c r="D1329" s="89">
        <f>'Full div'!F154</f>
        <v>451.6779904584721</v>
      </c>
      <c r="E1329" s="89">
        <f>'Full div'!G154</f>
        <v>612</v>
      </c>
      <c r="F1329" s="89">
        <f>'Full div'!H154</f>
        <v>378</v>
      </c>
      <c r="G1329" s="89">
        <f>'Full div'!I154</f>
        <v>424.5</v>
      </c>
      <c r="H1329" s="89">
        <f>'Full div'!J154</f>
        <v>484.5</v>
      </c>
      <c r="I1329" s="89">
        <f>'Full div'!K154</f>
        <v>583.5</v>
      </c>
      <c r="J1329" s="89">
        <f>'Full div'!L154</f>
        <v>470.39366362451108</v>
      </c>
    </row>
    <row r="1330" spans="2:10">
      <c r="B1330" s="88" t="s">
        <v>1697</v>
      </c>
      <c r="C1330" s="88"/>
      <c r="D1330" s="88" t="e">
        <f>'Full div'!F155</f>
        <v>#REF!</v>
      </c>
      <c r="E1330" s="88" t="e">
        <f>'Full div'!G155</f>
        <v>#REF!</v>
      </c>
      <c r="F1330" s="88">
        <f>'Full div'!H155</f>
        <v>1328</v>
      </c>
      <c r="G1330" s="88">
        <f>'Full div'!I155</f>
        <v>1502.5</v>
      </c>
      <c r="H1330" s="88">
        <f>'Full div'!J155</f>
        <v>1706.5</v>
      </c>
      <c r="I1330" s="88">
        <f>'Full div'!K155</f>
        <v>1838.5</v>
      </c>
      <c r="J1330" s="88">
        <f>'Full div'!L155</f>
        <v>1672.3936636245112</v>
      </c>
    </row>
    <row r="1331" spans="2:10">
      <c r="B1331" s="88"/>
      <c r="C1331" s="88"/>
      <c r="D1331" s="88"/>
      <c r="E1331" s="88"/>
      <c r="F1331" s="88"/>
      <c r="G1331" s="88"/>
      <c r="H1331" s="88"/>
      <c r="I1331" s="88"/>
      <c r="J1331" s="88"/>
    </row>
    <row r="1332" spans="2:10">
      <c r="B1332" s="88" t="s">
        <v>2382</v>
      </c>
      <c r="C1332" s="88"/>
      <c r="D1332" s="88">
        <f>'Full div'!F157</f>
        <v>193.70629370629371</v>
      </c>
      <c r="E1332" s="88">
        <f>'Full div'!G157</f>
        <v>214.22411176986026</v>
      </c>
      <c r="F1332" s="88">
        <f>'Full div'!H157</f>
        <v>188.98327887774897</v>
      </c>
      <c r="G1332" s="88">
        <f>'Full div'!I157</f>
        <v>163.74244598563769</v>
      </c>
      <c r="H1332" s="88">
        <f>'Full div'!J157</f>
        <v>169</v>
      </c>
      <c r="I1332" s="88">
        <f>'Full div'!K157</f>
        <v>146</v>
      </c>
      <c r="J1332" s="88">
        <f>'Full div'!L157</f>
        <v>139.22824284744019</v>
      </c>
    </row>
    <row r="1333" spans="2:10">
      <c r="B1333" s="88" t="s">
        <v>29</v>
      </c>
      <c r="C1333" s="88"/>
      <c r="D1333" s="88">
        <f>'Full div'!F158</f>
        <v>34.15625</v>
      </c>
      <c r="E1333" s="88">
        <f>'Full div'!G158</f>
        <v>37.854927910574844</v>
      </c>
      <c r="F1333" s="88">
        <f>'Full div'!H158</f>
        <v>37.854927910574844</v>
      </c>
      <c r="G1333" s="88">
        <f>'Full div'!I158</f>
        <v>0</v>
      </c>
      <c r="H1333" s="88">
        <f>'Full div'!J158</f>
        <v>0</v>
      </c>
      <c r="I1333" s="88">
        <f>'Full div'!K158</f>
        <v>0</v>
      </c>
      <c r="J1333" s="88">
        <f>'Full div'!L158</f>
        <v>0</v>
      </c>
    </row>
    <row r="1334" spans="2:10">
      <c r="B1334" s="88" t="s">
        <v>2384</v>
      </c>
      <c r="C1334" s="88"/>
      <c r="D1334" s="88">
        <f>'Full div'!F159</f>
        <v>150.28813559322035</v>
      </c>
      <c r="E1334" s="88">
        <f>'Full div'!G159</f>
        <v>152.87179467264676</v>
      </c>
      <c r="F1334" s="88">
        <f>'Full div'!H159</f>
        <v>135.34324070920522</v>
      </c>
      <c r="G1334" s="88">
        <f>'Full div'!I159</f>
        <v>117.81468674576369</v>
      </c>
      <c r="H1334" s="88">
        <f>'Full div'!J159</f>
        <v>116.24828331935663</v>
      </c>
      <c r="I1334" s="88">
        <f>'Full div'!K159</f>
        <v>114.94093281724798</v>
      </c>
      <c r="J1334" s="88">
        <f ca="1">'Full div'!L159</f>
        <v>113.26644024469326</v>
      </c>
    </row>
    <row r="1335" spans="2:10">
      <c r="B1335" s="88" t="s">
        <v>578</v>
      </c>
      <c r="C1335" s="88"/>
      <c r="D1335" s="88">
        <f>'Full div'!F160</f>
        <v>207.03698113207548</v>
      </c>
      <c r="E1335" s="88">
        <f>'Full div'!G160</f>
        <v>255.20237148773441</v>
      </c>
      <c r="F1335" s="88">
        <f>'Full div'!H160</f>
        <v>299.33106811904815</v>
      </c>
      <c r="G1335" s="88">
        <f>'Full div'!I160</f>
        <v>343.45976475036196</v>
      </c>
      <c r="H1335" s="88">
        <f>'Full div'!J160</f>
        <v>351</v>
      </c>
      <c r="I1335" s="88">
        <f>'Full div'!K160</f>
        <v>368</v>
      </c>
      <c r="J1335" s="88">
        <f>'Full div'!L160</f>
        <v>368</v>
      </c>
    </row>
    <row r="1336" spans="2:10">
      <c r="B1336" s="88" t="s">
        <v>579</v>
      </c>
      <c r="C1336" s="88"/>
      <c r="D1336" s="88">
        <f>'Full div'!F161</f>
        <v>92.069915254237287</v>
      </c>
      <c r="E1336" s="88">
        <f>'Full div'!G161</f>
        <v>105.29827138100856</v>
      </c>
      <c r="F1336" s="88">
        <f>'Full div'!H161</f>
        <v>113.0541233864255</v>
      </c>
      <c r="G1336" s="88">
        <f>'Full div'!I161</f>
        <v>120.80997539184244</v>
      </c>
      <c r="H1336" s="88">
        <f>'Full div'!J161</f>
        <v>149</v>
      </c>
      <c r="I1336" s="88">
        <f>'Full div'!K161</f>
        <v>180</v>
      </c>
      <c r="J1336" s="88">
        <f>'Full div'!L161</f>
        <v>152.28571428571428</v>
      </c>
    </row>
    <row r="1337" spans="2:10">
      <c r="B1337" s="88" t="s">
        <v>676</v>
      </c>
      <c r="C1337" s="88"/>
      <c r="D1337" s="88">
        <f>'Full div'!F162</f>
        <v>102</v>
      </c>
      <c r="E1337" s="88">
        <f>'Full div'!G162</f>
        <v>130</v>
      </c>
      <c r="F1337" s="88">
        <f>'Full div'!H162</f>
        <v>138.3845718289291</v>
      </c>
      <c r="G1337" s="88">
        <f>'Full div'!I162</f>
        <v>146.76914365785817</v>
      </c>
      <c r="H1337" s="88">
        <f>'Full div'!J162</f>
        <v>131.25966432561509</v>
      </c>
      <c r="I1337" s="88">
        <f>'Full div'!K162</f>
        <v>127.5593928023995</v>
      </c>
      <c r="J1337" s="88">
        <f>'Full div'!L162</f>
        <v>151.17681667701501</v>
      </c>
    </row>
    <row r="1338" spans="2:10">
      <c r="B1338" s="89" t="s">
        <v>2227</v>
      </c>
      <c r="C1338" s="89"/>
      <c r="D1338" s="89">
        <f>'Full div'!F163</f>
        <v>0</v>
      </c>
      <c r="E1338" s="89">
        <f>'Full div'!G163</f>
        <v>13.690400000399876</v>
      </c>
      <c r="F1338" s="89">
        <f>'Full div'!H163</f>
        <v>25.815361425365278</v>
      </c>
      <c r="G1338" s="89">
        <f>'Full div'!I163</f>
        <v>37.940322850330681</v>
      </c>
      <c r="H1338" s="89">
        <f>'Full div'!J163</f>
        <v>40.084846850049956</v>
      </c>
      <c r="I1338" s="89">
        <f>'Full div'!K163</f>
        <v>63.318580354530283</v>
      </c>
      <c r="J1338" s="89">
        <f>'Full div'!L163</f>
        <v>63.694865494453467</v>
      </c>
    </row>
    <row r="1339" spans="2:10">
      <c r="B1339" s="88" t="s">
        <v>1831</v>
      </c>
      <c r="C1339" s="88"/>
      <c r="D1339" s="88">
        <f>'Full div'!F164</f>
        <v>779.25757568582685</v>
      </c>
      <c r="E1339" s="88">
        <f>'Full div'!G164</f>
        <v>909.14187722222482</v>
      </c>
      <c r="F1339" s="88">
        <f>'Full div'!H164</f>
        <v>938.76657225729707</v>
      </c>
      <c r="G1339" s="88">
        <f>'Full div'!I164</f>
        <v>930.53633938179473</v>
      </c>
      <c r="H1339" s="88">
        <f>'Full div'!J164</f>
        <v>956.59279449502174</v>
      </c>
      <c r="I1339" s="88">
        <f>'Full div'!K164</f>
        <v>999.81890597417782</v>
      </c>
      <c r="J1339" s="88">
        <f ca="1">'Full div'!L164</f>
        <v>987.65207954931623</v>
      </c>
    </row>
    <row r="1340" spans="2:10">
      <c r="B1340" s="88" t="s">
        <v>1193</v>
      </c>
      <c r="C1340" s="88"/>
      <c r="D1340" s="88">
        <f>'Full div'!F166</f>
        <v>199</v>
      </c>
      <c r="E1340" s="88">
        <f>'Full div'!G166</f>
        <v>225.45600000000002</v>
      </c>
      <c r="F1340" s="88">
        <f>'Full div'!H166</f>
        <v>0</v>
      </c>
      <c r="G1340" s="88">
        <f>'Full div'!I166</f>
        <v>0</v>
      </c>
      <c r="H1340" s="88">
        <f>'Full div'!J166</f>
        <v>0</v>
      </c>
      <c r="I1340" s="88">
        <f>'Full div'!K166</f>
        <v>0</v>
      </c>
      <c r="J1340" s="88">
        <f>'Full div'!L166</f>
        <v>0</v>
      </c>
    </row>
    <row r="1341" spans="2:10">
      <c r="B1341" s="89" t="s">
        <v>523</v>
      </c>
      <c r="C1341" s="89"/>
      <c r="D1341" s="89" t="e">
        <f t="shared" ref="D1341:I1341" si="190">D1325+D1330+D1339+D1340</f>
        <v>#REF!</v>
      </c>
      <c r="E1341" s="89" t="e">
        <f t="shared" si="190"/>
        <v>#REF!</v>
      </c>
      <c r="F1341" s="89">
        <f t="shared" si="190"/>
        <v>3870.6765722572968</v>
      </c>
      <c r="G1341" s="89">
        <f t="shared" si="190"/>
        <v>4104.3863393817946</v>
      </c>
      <c r="H1341" s="89">
        <f t="shared" si="190"/>
        <v>4322.4627944950216</v>
      </c>
      <c r="I1341" s="89">
        <f t="shared" si="190"/>
        <v>4520.8489059741778</v>
      </c>
      <c r="J1341" s="89">
        <f ca="1">J1325+J1330+J1339+J1340</f>
        <v>4397.9182751795179</v>
      </c>
    </row>
    <row r="1344" spans="2:10">
      <c r="B1344" s="420" t="s">
        <v>1643</v>
      </c>
      <c r="C1344" s="420"/>
      <c r="H1344" t="s">
        <v>1823</v>
      </c>
    </row>
    <row r="1345" spans="2:14">
      <c r="D1345" s="6" t="s">
        <v>821</v>
      </c>
      <c r="E1345" s="6"/>
      <c r="F1345" s="6" t="s">
        <v>1644</v>
      </c>
      <c r="G1345" s="6"/>
      <c r="H1345" t="s">
        <v>1645</v>
      </c>
    </row>
    <row r="1346" spans="2:14">
      <c r="B1346" s="11" t="s">
        <v>103</v>
      </c>
      <c r="C1346" s="11"/>
      <c r="D1346" s="11">
        <v>2010</v>
      </c>
      <c r="E1346" s="11">
        <f>D1346+1</f>
        <v>2011</v>
      </c>
      <c r="F1346" s="11">
        <v>2010</v>
      </c>
      <c r="G1346" s="11">
        <f>F1346+1</f>
        <v>2011</v>
      </c>
      <c r="H1346" s="11">
        <v>2010</v>
      </c>
      <c r="I1346" s="11">
        <f>H1346+1</f>
        <v>2011</v>
      </c>
    </row>
    <row r="1347" spans="2:14">
      <c r="B1347" t="s">
        <v>758</v>
      </c>
      <c r="D1347" s="88">
        <f>Div!J37</f>
        <v>4025.2485327501977</v>
      </c>
      <c r="E1347" s="88">
        <f>Div!K37</f>
        <v>4525.8269432730476</v>
      </c>
      <c r="F1347" s="88" t="e">
        <f>Master!#REF!</f>
        <v>#REF!</v>
      </c>
      <c r="G1347" s="88" t="e">
        <f>Master!#REF!</f>
        <v>#REF!</v>
      </c>
      <c r="H1347" s="16" t="e">
        <f>D1347/F1347-1</f>
        <v>#REF!</v>
      </c>
      <c r="I1347" s="16" t="e">
        <f>E1347/G1347-1</f>
        <v>#REF!</v>
      </c>
    </row>
    <row r="1349" spans="2:14">
      <c r="B1349" t="s">
        <v>1928</v>
      </c>
      <c r="D1349" s="88">
        <f>Div!J53</f>
        <v>1795.971</v>
      </c>
      <c r="E1349" s="88">
        <f>Div!K53</f>
        <v>2090.4360000000001</v>
      </c>
      <c r="F1349" s="88" t="e">
        <f>Master!#REF!</f>
        <v>#REF!</v>
      </c>
      <c r="G1349" s="88" t="e">
        <f>Master!#REF!</f>
        <v>#REF!</v>
      </c>
      <c r="H1349" s="16" t="e">
        <f>D1349/F1349-1</f>
        <v>#REF!</v>
      </c>
      <c r="I1349" s="16" t="e">
        <f>E1349/G1349-1</f>
        <v>#REF!</v>
      </c>
    </row>
    <row r="1350" spans="2:14">
      <c r="B1350" t="s">
        <v>1434</v>
      </c>
      <c r="D1350" s="5">
        <f>D1349/D1347</f>
        <v>0.44617642498037918</v>
      </c>
      <c r="E1350" s="5">
        <f>E1349/E1347</f>
        <v>0.46189039620861216</v>
      </c>
      <c r="F1350" s="5" t="e">
        <f>F1349/F1347</f>
        <v>#REF!</v>
      </c>
      <c r="G1350" s="5" t="e">
        <f>G1349/G1347</f>
        <v>#REF!</v>
      </c>
    </row>
    <row r="1351" spans="2:14">
      <c r="D1351" s="5"/>
      <c r="E1351" s="5"/>
    </row>
    <row r="1352" spans="2:14">
      <c r="B1352" t="s">
        <v>1433</v>
      </c>
      <c r="D1352" s="88" t="e">
        <f>Master!M14</f>
        <v>#REF!</v>
      </c>
      <c r="E1352" s="88">
        <f>Master!N14</f>
        <v>0</v>
      </c>
      <c r="F1352" s="88" t="e">
        <f>Master!#REF!</f>
        <v>#REF!</v>
      </c>
      <c r="G1352" s="88" t="e">
        <f>Master!#REF!</f>
        <v>#REF!</v>
      </c>
      <c r="H1352" s="16" t="e">
        <f>D1352/F1352-1</f>
        <v>#REF!</v>
      </c>
      <c r="I1352" s="16" t="e">
        <f>E1352/G1352-1</f>
        <v>#REF!</v>
      </c>
    </row>
    <row r="1353" spans="2:14">
      <c r="B1353" t="s">
        <v>1434</v>
      </c>
      <c r="D1353" s="5" t="e">
        <f>D1352/D1347</f>
        <v>#REF!</v>
      </c>
      <c r="E1353" s="5">
        <f>E1352/E1347</f>
        <v>0</v>
      </c>
      <c r="F1353" s="5" t="e">
        <f>F1352/F1347</f>
        <v>#REF!</v>
      </c>
      <c r="G1353" s="5" t="e">
        <f>G1352/G1347</f>
        <v>#REF!</v>
      </c>
    </row>
    <row r="1355" spans="2:14">
      <c r="B1355" t="s">
        <v>1545</v>
      </c>
      <c r="D1355" s="88">
        <f>Div!J83</f>
        <v>688</v>
      </c>
      <c r="E1355" s="88">
        <f>Div!K83</f>
        <v>804</v>
      </c>
      <c r="F1355" s="88">
        <v>700</v>
      </c>
      <c r="G1355" s="88">
        <v>700</v>
      </c>
      <c r="H1355" s="16">
        <f>D1355/F1355-1</f>
        <v>-1.7142857142857126E-2</v>
      </c>
      <c r="I1355" s="16">
        <f>E1355/G1355-1</f>
        <v>0.14857142857142858</v>
      </c>
    </row>
    <row r="1356" spans="2:14">
      <c r="B1356" t="s">
        <v>101</v>
      </c>
      <c r="D1356" s="88" t="e">
        <f>D1352-D1355</f>
        <v>#REF!</v>
      </c>
      <c r="E1356" s="88">
        <f>E1352-E1355</f>
        <v>-804</v>
      </c>
      <c r="F1356" s="88" t="e">
        <f>F1352-F1355</f>
        <v>#REF!</v>
      </c>
      <c r="G1356" s="88" t="e">
        <f>G1352-G1355</f>
        <v>#REF!</v>
      </c>
      <c r="H1356" s="16" t="e">
        <f>D1356/F1356-1</f>
        <v>#REF!</v>
      </c>
      <c r="I1356" s="16" t="e">
        <f>E1356/G1356-1</f>
        <v>#REF!</v>
      </c>
    </row>
    <row r="1358" spans="2:14">
      <c r="B1358" s="420" t="s">
        <v>145</v>
      </c>
      <c r="C1358" s="420"/>
    </row>
    <row r="1359" spans="2:14">
      <c r="E1359" s="5"/>
    </row>
    <row r="1360" spans="2:14">
      <c r="B1360" s="11" t="s">
        <v>494</v>
      </c>
      <c r="C1360" s="11"/>
      <c r="D1360" s="104" t="s">
        <v>530</v>
      </c>
      <c r="E1360" s="104" t="s">
        <v>532</v>
      </c>
      <c r="F1360" s="104" t="s">
        <v>534</v>
      </c>
      <c r="G1360" s="104" t="s">
        <v>341</v>
      </c>
      <c r="H1360" s="104" t="s">
        <v>146</v>
      </c>
      <c r="I1360" s="104" t="s">
        <v>148</v>
      </c>
      <c r="J1360" s="104" t="s">
        <v>147</v>
      </c>
      <c r="K1360" s="104" t="s">
        <v>528</v>
      </c>
      <c r="L1360" s="104" t="s">
        <v>529</v>
      </c>
      <c r="M1360" s="104" t="s">
        <v>498</v>
      </c>
      <c r="N1360" s="104" t="s">
        <v>149</v>
      </c>
    </row>
    <row r="1361" spans="1:14">
      <c r="A1361" s="9">
        <f>Africa!K94</f>
        <v>105.29827138100856</v>
      </c>
      <c r="B1361" t="s">
        <v>579</v>
      </c>
      <c r="D1361">
        <v>0.05</v>
      </c>
      <c r="E1361" s="101">
        <f>0.5*(1-0.18)</f>
        <v>0.41000000000000003</v>
      </c>
      <c r="F1361" s="7">
        <f>Quarts!AN203</f>
        <v>7.4012305970672356</v>
      </c>
      <c r="G1361" s="16">
        <v>0.34</v>
      </c>
      <c r="H1361" s="7">
        <f t="shared" ref="H1361:H1366" si="191">G1361*F1361</f>
        <v>2.5164184030028602</v>
      </c>
      <c r="I1361" s="7">
        <f t="shared" ref="I1361:I1366" si="192">F1361-H1361</f>
        <v>4.8848121940643754</v>
      </c>
      <c r="J1361" s="9">
        <f t="shared" ref="J1361:K1366" si="193">H1361/D1361</f>
        <v>50.328368060057201</v>
      </c>
      <c r="K1361" s="9">
        <f t="shared" si="193"/>
        <v>11.914176083083841</v>
      </c>
      <c r="L1361" s="9">
        <f t="shared" ref="L1361:L1366" si="194">J1361+K1361</f>
        <v>62.242544143141046</v>
      </c>
      <c r="M1361" s="101">
        <f t="shared" ref="M1361:M1366" si="195">F1361/L1361</f>
        <v>0.11890951276102088</v>
      </c>
      <c r="N1361" s="16">
        <f t="shared" ref="N1361:N1366" si="196">J1361/L1361</f>
        <v>0.808584686774942</v>
      </c>
    </row>
    <row r="1362" spans="1:14">
      <c r="A1362" s="9">
        <f>Africa!K95</f>
        <v>130</v>
      </c>
      <c r="B1362" t="s">
        <v>1961</v>
      </c>
      <c r="D1362">
        <v>0.03</v>
      </c>
      <c r="E1362" s="101" t="e">
        <f>G640/100*(1-#REF!)</f>
        <v>#REF!</v>
      </c>
      <c r="F1362" s="7">
        <f>Quarts!AN204</f>
        <v>6</v>
      </c>
      <c r="G1362" s="16">
        <v>0.46</v>
      </c>
      <c r="H1362" s="7">
        <f t="shared" si="191"/>
        <v>2.7600000000000002</v>
      </c>
      <c r="I1362" s="7">
        <f t="shared" si="192"/>
        <v>3.2399999999999998</v>
      </c>
      <c r="J1362" s="9">
        <f t="shared" si="193"/>
        <v>92.000000000000014</v>
      </c>
      <c r="K1362" s="9" t="e">
        <f t="shared" si="193"/>
        <v>#REF!</v>
      </c>
      <c r="L1362" s="9" t="e">
        <f t="shared" si="194"/>
        <v>#REF!</v>
      </c>
      <c r="M1362" s="101" t="e">
        <f t="shared" si="195"/>
        <v>#REF!</v>
      </c>
      <c r="N1362" s="16" t="e">
        <f t="shared" si="196"/>
        <v>#REF!</v>
      </c>
    </row>
    <row r="1363" spans="1:14">
      <c r="A1363" s="9">
        <f>Africa!K90</f>
        <v>214.22411176986026</v>
      </c>
      <c r="B1363" t="s">
        <v>2382</v>
      </c>
      <c r="D1363">
        <v>0.02</v>
      </c>
      <c r="E1363" s="101" t="e">
        <f>(Analysis!G569/100)*(1-#REF!)</f>
        <v>#REF!</v>
      </c>
      <c r="F1363" s="7">
        <f>Quarts!AN199</f>
        <v>4.9143499017130035</v>
      </c>
      <c r="G1363" s="16">
        <v>0.38</v>
      </c>
      <c r="H1363" s="7">
        <f t="shared" si="191"/>
        <v>1.8674529626509413</v>
      </c>
      <c r="I1363" s="7">
        <f t="shared" si="192"/>
        <v>3.0468969390620622</v>
      </c>
      <c r="J1363" s="9">
        <f t="shared" si="193"/>
        <v>93.372648132547056</v>
      </c>
      <c r="K1363" s="9" t="e">
        <f t="shared" si="193"/>
        <v>#REF!</v>
      </c>
      <c r="L1363" s="9" t="e">
        <f t="shared" si="194"/>
        <v>#REF!</v>
      </c>
      <c r="M1363" s="101" t="e">
        <f t="shared" si="195"/>
        <v>#REF!</v>
      </c>
      <c r="N1363" s="16" t="e">
        <f t="shared" si="196"/>
        <v>#REF!</v>
      </c>
    </row>
    <row r="1364" spans="1:14">
      <c r="A1364" s="9">
        <f>Africa!K96</f>
        <v>13.690400000399876</v>
      </c>
      <c r="B1364" t="s">
        <v>2227</v>
      </c>
      <c r="D1364">
        <v>0.02</v>
      </c>
      <c r="E1364" s="101">
        <f>G651*(1-0.18)</f>
        <v>0.12551020408163266</v>
      </c>
      <c r="F1364" s="7">
        <v>4</v>
      </c>
      <c r="G1364" s="16">
        <v>0.22500000000000001</v>
      </c>
      <c r="H1364" s="7">
        <f t="shared" si="191"/>
        <v>0.9</v>
      </c>
      <c r="I1364" s="7">
        <f t="shared" si="192"/>
        <v>3.1</v>
      </c>
      <c r="J1364" s="9">
        <f t="shared" si="193"/>
        <v>45</v>
      </c>
      <c r="K1364" s="9">
        <f t="shared" si="193"/>
        <v>24.699186991869919</v>
      </c>
      <c r="L1364" s="9">
        <f t="shared" si="194"/>
        <v>69.699186991869922</v>
      </c>
      <c r="M1364" s="101">
        <f t="shared" si="195"/>
        <v>5.7389478595590807E-2</v>
      </c>
      <c r="N1364" s="16">
        <f t="shared" si="196"/>
        <v>0.6456316342003966</v>
      </c>
    </row>
    <row r="1365" spans="1:14">
      <c r="A1365" s="9">
        <f>Africa!K92</f>
        <v>152.87179467264676</v>
      </c>
      <c r="B1365" t="s">
        <v>2384</v>
      </c>
      <c r="D1365">
        <v>0.02</v>
      </c>
      <c r="E1365" s="101" t="e">
        <f>(G627/100)*(1-#REF!)</f>
        <v>#REF!</v>
      </c>
      <c r="F1365" s="7">
        <f>Quarts!AN201</f>
        <v>4.8637212069255353</v>
      </c>
      <c r="G1365" s="16">
        <v>0.45</v>
      </c>
      <c r="H1365" s="7">
        <f t="shared" si="191"/>
        <v>2.1886745431164911</v>
      </c>
      <c r="I1365" s="7">
        <f t="shared" si="192"/>
        <v>2.6750466638090442</v>
      </c>
      <c r="J1365" s="9">
        <f t="shared" si="193"/>
        <v>109.43372715582456</v>
      </c>
      <c r="K1365" s="9" t="e">
        <f t="shared" si="193"/>
        <v>#REF!</v>
      </c>
      <c r="L1365" s="9" t="e">
        <f t="shared" si="194"/>
        <v>#REF!</v>
      </c>
      <c r="M1365" s="101" t="e">
        <f t="shared" si="195"/>
        <v>#REF!</v>
      </c>
      <c r="N1365" s="16" t="e">
        <f t="shared" si="196"/>
        <v>#REF!</v>
      </c>
    </row>
    <row r="1366" spans="1:14">
      <c r="A1366" s="9">
        <f>Africa!K93</f>
        <v>255.20237148773441</v>
      </c>
      <c r="B1366" s="11" t="s">
        <v>578</v>
      </c>
      <c r="C1366" s="11"/>
      <c r="D1366" s="11">
        <v>0.04</v>
      </c>
      <c r="E1366" s="426" t="e">
        <f>(P611/100)*(1-#REF!)</f>
        <v>#REF!</v>
      </c>
      <c r="F1366" s="14">
        <f>Quarts!AN202</f>
        <v>4.8170592890517439</v>
      </c>
      <c r="G1366" s="20">
        <v>0.63</v>
      </c>
      <c r="H1366" s="14">
        <f t="shared" si="191"/>
        <v>3.0347473521025985</v>
      </c>
      <c r="I1366" s="14">
        <f t="shared" si="192"/>
        <v>1.7823119369491454</v>
      </c>
      <c r="J1366" s="13">
        <f t="shared" si="193"/>
        <v>75.868683802564959</v>
      </c>
      <c r="K1366" s="13" t="e">
        <f t="shared" si="193"/>
        <v>#REF!</v>
      </c>
      <c r="L1366" s="13" t="e">
        <f t="shared" si="194"/>
        <v>#REF!</v>
      </c>
      <c r="M1366" s="426" t="e">
        <f t="shared" si="195"/>
        <v>#REF!</v>
      </c>
      <c r="N1366" s="20" t="e">
        <f t="shared" si="196"/>
        <v>#REF!</v>
      </c>
    </row>
    <row r="1367" spans="1:14">
      <c r="B1367" s="2" t="s">
        <v>527</v>
      </c>
      <c r="C1367" s="2"/>
      <c r="D1367" s="189" t="e">
        <v>#NAME?</v>
      </c>
      <c r="E1367" s="189" t="e">
        <v>#NAME?</v>
      </c>
      <c r="F1367" s="15" t="e">
        <v>#NAME?</v>
      </c>
      <c r="G1367" s="19" t="e">
        <v>#NAME?</v>
      </c>
      <c r="H1367" s="15" t="e">
        <v>#NAME?</v>
      </c>
      <c r="I1367" s="15" t="e">
        <v>#NAME?</v>
      </c>
      <c r="J1367" s="10" t="e">
        <v>#NAME?</v>
      </c>
      <c r="K1367" s="10" t="e">
        <v>#NAME?</v>
      </c>
      <c r="L1367" s="10" t="e">
        <v>#NAME?</v>
      </c>
      <c r="M1367" s="189" t="e">
        <v>#NAME?</v>
      </c>
      <c r="N1367" s="19" t="e">
        <v>#NAME?</v>
      </c>
    </row>
    <row r="1368" spans="1:14">
      <c r="B1368" t="s">
        <v>531</v>
      </c>
    </row>
    <row r="1369" spans="1:14">
      <c r="B1369" t="s">
        <v>533</v>
      </c>
    </row>
    <row r="1370" spans="1:14">
      <c r="B1370" t="s">
        <v>535</v>
      </c>
    </row>
    <row r="1372" spans="1:14">
      <c r="B1372" s="11" t="s">
        <v>1284</v>
      </c>
      <c r="C1372" s="11"/>
      <c r="D1372" s="104" t="s">
        <v>2171</v>
      </c>
      <c r="E1372" s="104" t="s">
        <v>536</v>
      </c>
      <c r="F1372" s="104" t="s">
        <v>515</v>
      </c>
      <c r="G1372" s="104" t="s">
        <v>537</v>
      </c>
    </row>
    <row r="1373" spans="1:14">
      <c r="B1373" t="s">
        <v>2382</v>
      </c>
      <c r="D1373">
        <v>7</v>
      </c>
      <c r="E1373">
        <v>113</v>
      </c>
      <c r="F1373" s="9">
        <f>E1373/0.6</f>
        <v>188.33333333333334</v>
      </c>
      <c r="G1373" s="101">
        <f>D1373/F1373</f>
        <v>3.7168141592920353E-2</v>
      </c>
    </row>
    <row r="1375" spans="1:14">
      <c r="B1375" s="11" t="s">
        <v>922</v>
      </c>
      <c r="C1375" s="11"/>
      <c r="D1375" s="11"/>
      <c r="E1375" s="11"/>
      <c r="F1375" s="11"/>
      <c r="G1375" s="11"/>
    </row>
    <row r="1376" spans="1:14">
      <c r="B1376" t="s">
        <v>578</v>
      </c>
      <c r="D1376" s="7">
        <f>5044/B602</f>
        <v>3.4666666666666668</v>
      </c>
      <c r="F1376">
        <v>69</v>
      </c>
      <c r="G1376" s="101">
        <f>D1376/F1376</f>
        <v>5.0241545893719805E-2</v>
      </c>
    </row>
    <row r="1377" spans="2:8">
      <c r="B1377" t="s">
        <v>827</v>
      </c>
      <c r="D1377">
        <v>4.7</v>
      </c>
      <c r="F1377">
        <v>44</v>
      </c>
      <c r="G1377" s="101">
        <f>D1377/F1377</f>
        <v>0.10681818181818183</v>
      </c>
    </row>
    <row r="1379" spans="2:8">
      <c r="D1379" t="str">
        <f t="shared" ref="D1379:D1385" si="197">M1360</f>
        <v>Blended ARPU yield/min</v>
      </c>
      <c r="E1379" t="str">
        <f t="shared" ref="E1379:F1385" si="198">D1360</f>
        <v>On-net price*</v>
      </c>
      <c r="F1379" t="str">
        <f t="shared" si="198"/>
        <v>Off-net**</v>
      </c>
      <c r="G1379" t="s">
        <v>2077</v>
      </c>
    </row>
    <row r="1380" spans="2:8">
      <c r="B1380" t="str">
        <f t="shared" ref="B1380:B1386" si="199">B1361</f>
        <v>Chad</v>
      </c>
      <c r="D1380" s="101">
        <f t="shared" si="197"/>
        <v>0.11890951276102088</v>
      </c>
      <c r="E1380">
        <f t="shared" si="198"/>
        <v>0.05</v>
      </c>
      <c r="F1380" s="101">
        <f t="shared" si="198"/>
        <v>0.41000000000000003</v>
      </c>
      <c r="G1380" s="439">
        <f>F1380</f>
        <v>0.41000000000000003</v>
      </c>
      <c r="H1380" s="436">
        <f t="shared" ref="H1380:H1385" si="200">G1380/D1380</f>
        <v>3.4480000000000004</v>
      </c>
    </row>
    <row r="1381" spans="2:8">
      <c r="B1381" t="str">
        <f t="shared" si="199"/>
        <v>DRC</v>
      </c>
      <c r="D1381" s="101" t="e">
        <f t="shared" si="197"/>
        <v>#REF!</v>
      </c>
      <c r="E1381">
        <f t="shared" si="198"/>
        <v>0.03</v>
      </c>
      <c r="F1381" s="101" t="e">
        <f t="shared" si="198"/>
        <v>#REF!</v>
      </c>
      <c r="G1381" s="439" t="e">
        <f>F1381</f>
        <v>#REF!</v>
      </c>
      <c r="H1381" s="436" t="e">
        <f t="shared" si="200"/>
        <v>#REF!</v>
      </c>
    </row>
    <row r="1382" spans="2:8">
      <c r="B1382" t="str">
        <f t="shared" si="199"/>
        <v>Ghana</v>
      </c>
      <c r="D1382" s="101" t="e">
        <f t="shared" si="197"/>
        <v>#REF!</v>
      </c>
      <c r="E1382">
        <f t="shared" si="198"/>
        <v>0.02</v>
      </c>
      <c r="F1382" s="101" t="e">
        <f t="shared" si="198"/>
        <v>#REF!</v>
      </c>
      <c r="G1382" s="439" t="e">
        <f>(8/100)*(1-#REF!)</f>
        <v>#REF!</v>
      </c>
      <c r="H1382" s="436" t="e">
        <f t="shared" si="200"/>
        <v>#REF!</v>
      </c>
    </row>
    <row r="1383" spans="2:8">
      <c r="B1383" t="str">
        <f t="shared" si="199"/>
        <v>Rwanda</v>
      </c>
      <c r="D1383" s="101">
        <f t="shared" si="197"/>
        <v>5.7389478595590807E-2</v>
      </c>
      <c r="E1383">
        <f t="shared" si="198"/>
        <v>0.02</v>
      </c>
      <c r="F1383" s="101">
        <f t="shared" si="198"/>
        <v>0.12551020408163266</v>
      </c>
      <c r="G1383" s="101">
        <f>F1383</f>
        <v>0.12551020408163266</v>
      </c>
      <c r="H1383" s="436">
        <f t="shared" si="200"/>
        <v>2.1869897959183677</v>
      </c>
    </row>
    <row r="1384" spans="2:8">
      <c r="B1384" t="str">
        <f t="shared" si="199"/>
        <v>Senegal</v>
      </c>
      <c r="D1384" s="101" t="e">
        <f t="shared" si="197"/>
        <v>#REF!</v>
      </c>
      <c r="E1384">
        <f t="shared" si="198"/>
        <v>0.02</v>
      </c>
      <c r="F1384" s="101" t="e">
        <f t="shared" si="198"/>
        <v>#REF!</v>
      </c>
      <c r="G1384" s="439" t="e">
        <f>(G632/100)*(1-#REF!)</f>
        <v>#REF!</v>
      </c>
      <c r="H1384" s="436" t="e">
        <f t="shared" si="200"/>
        <v>#REF!</v>
      </c>
    </row>
    <row r="1385" spans="2:8">
      <c r="B1385" t="str">
        <f t="shared" si="199"/>
        <v>Tanzania</v>
      </c>
      <c r="D1385" s="101" t="e">
        <f t="shared" si="197"/>
        <v>#REF!</v>
      </c>
      <c r="E1385">
        <f t="shared" si="198"/>
        <v>0.04</v>
      </c>
      <c r="F1385" s="101" t="e">
        <f t="shared" si="198"/>
        <v>#REF!</v>
      </c>
      <c r="G1385" s="439" t="e">
        <f>(P613/100)*(1-#REF!)</f>
        <v>#REF!</v>
      </c>
      <c r="H1385" s="436" t="e">
        <f t="shared" si="200"/>
        <v>#REF!</v>
      </c>
    </row>
    <row r="1386" spans="2:8">
      <c r="B1386" t="str">
        <f t="shared" si="199"/>
        <v>Africa average (ex Chad)</v>
      </c>
      <c r="D1386" s="101" t="e">
        <f>M1367</f>
        <v>#NAME?</v>
      </c>
      <c r="E1386" s="101" t="e">
        <f>D1367</f>
        <v>#NAME?</v>
      </c>
      <c r="F1386" s="101" t="e">
        <f>E1367</f>
        <v>#NAME?</v>
      </c>
      <c r="G1386" s="101" t="e">
        <f>AVERAGE(G1380:G1385)</f>
        <v>#REF!</v>
      </c>
      <c r="H1386" s="436" t="e">
        <f>G1386/D1386</f>
        <v>#REF!</v>
      </c>
    </row>
    <row r="1388" spans="2:8">
      <c r="B1388" s="11"/>
      <c r="C1388" s="11"/>
      <c r="D1388" s="11" t="str">
        <f>D1379</f>
        <v>Blended ARPU yield/min</v>
      </c>
      <c r="E1388" s="11" t="str">
        <f>E1379</f>
        <v>On-net price*</v>
      </c>
      <c r="F1388" s="11" t="str">
        <f>F1379</f>
        <v>Off-net**</v>
      </c>
      <c r="G1388" s="11" t="s">
        <v>2078</v>
      </c>
    </row>
    <row r="1389" spans="2:8">
      <c r="B1389" t="s">
        <v>579</v>
      </c>
      <c r="D1389" s="275">
        <v>0.12315270935960591</v>
      </c>
      <c r="E1389">
        <v>0.05</v>
      </c>
      <c r="F1389">
        <v>0.5</v>
      </c>
      <c r="G1389" s="101">
        <f>G1380</f>
        <v>0.41000000000000003</v>
      </c>
    </row>
    <row r="1390" spans="2:8">
      <c r="B1390" t="s">
        <v>2227</v>
      </c>
      <c r="D1390" s="275">
        <v>5.7389478595590807E-2</v>
      </c>
      <c r="E1390" s="275">
        <v>0.02</v>
      </c>
      <c r="F1390" s="275">
        <v>0.12551020408163266</v>
      </c>
      <c r="G1390" s="101">
        <f>G1383</f>
        <v>0.12551020408163266</v>
      </c>
    </row>
    <row r="1391" spans="2:8">
      <c r="B1391" t="s">
        <v>1961</v>
      </c>
      <c r="D1391" s="275">
        <v>5.7050092764378467E-2</v>
      </c>
      <c r="E1391" s="275">
        <v>0.03</v>
      </c>
      <c r="F1391" s="275">
        <v>0.246</v>
      </c>
      <c r="G1391" s="101" t="e">
        <f>G1381</f>
        <v>#REF!</v>
      </c>
    </row>
    <row r="1392" spans="2:8">
      <c r="B1392" t="s">
        <v>578</v>
      </c>
      <c r="D1392" s="275">
        <v>5.6756037719116748E-2</v>
      </c>
      <c r="E1392" s="275">
        <v>0.04</v>
      </c>
      <c r="F1392" s="275">
        <v>0.19793814432989693</v>
      </c>
      <c r="G1392" s="101" t="e">
        <f>G1385</f>
        <v>#REF!</v>
      </c>
    </row>
    <row r="1393" spans="2:7">
      <c r="B1393" t="s">
        <v>1832</v>
      </c>
      <c r="D1393" s="275">
        <v>5.0196335610699659E-2</v>
      </c>
      <c r="E1393" s="275">
        <v>2.6000000000000002E-2</v>
      </c>
      <c r="F1393" s="275">
        <v>0.17071484450748073</v>
      </c>
      <c r="G1393" s="101" t="e">
        <f>G1386</f>
        <v>#REF!</v>
      </c>
    </row>
    <row r="1394" spans="2:7">
      <c r="B1394" t="s">
        <v>2382</v>
      </c>
      <c r="D1394" s="275">
        <v>4.0928926117269393E-2</v>
      </c>
      <c r="E1394" s="275">
        <v>0.02</v>
      </c>
      <c r="F1394" s="275">
        <v>0.11412587412587412</v>
      </c>
      <c r="G1394" s="101" t="e">
        <f>G1382</f>
        <v>#REF!</v>
      </c>
    </row>
    <row r="1395" spans="2:7">
      <c r="B1395" t="s">
        <v>2384</v>
      </c>
      <c r="D1395" s="275">
        <v>3.8857142857142854E-2</v>
      </c>
      <c r="E1395" s="275">
        <v>0.02</v>
      </c>
      <c r="F1395" s="275">
        <v>0.17</v>
      </c>
      <c r="G1395" s="101" t="e">
        <f>G1384</f>
        <v>#REF!</v>
      </c>
    </row>
    <row r="1397" spans="2:7">
      <c r="B1397" s="11"/>
      <c r="C1397" s="11"/>
      <c r="D1397" s="104" t="s">
        <v>336</v>
      </c>
      <c r="E1397" s="104" t="s">
        <v>337</v>
      </c>
      <c r="F1397" s="11" t="s">
        <v>2078</v>
      </c>
    </row>
    <row r="1398" spans="2:7">
      <c r="B1398" s="21" t="s">
        <v>579</v>
      </c>
      <c r="C1398" s="21"/>
      <c r="D1398" s="275">
        <f>M1361</f>
        <v>0.11890951276102088</v>
      </c>
      <c r="E1398" s="6">
        <v>0.14000000000000001</v>
      </c>
      <c r="F1398" s="101">
        <f>G1389</f>
        <v>0.41000000000000003</v>
      </c>
    </row>
    <row r="1399" spans="2:7">
      <c r="B1399" t="str">
        <f>B1364</f>
        <v>Rwanda</v>
      </c>
      <c r="D1399" s="275">
        <f>M1364</f>
        <v>5.7389478595590807E-2</v>
      </c>
      <c r="E1399" s="118">
        <v>0.08</v>
      </c>
      <c r="F1399" s="101">
        <f>G1390</f>
        <v>0.12551020408163266</v>
      </c>
    </row>
    <row r="1400" spans="2:7">
      <c r="B1400" t="str">
        <f>B1362</f>
        <v>DRC</v>
      </c>
      <c r="D1400" s="275" t="e">
        <f>M1362</f>
        <v>#REF!</v>
      </c>
      <c r="E1400">
        <v>0.15</v>
      </c>
      <c r="F1400" s="101" t="e">
        <f>G1391</f>
        <v>#REF!</v>
      </c>
    </row>
    <row r="1401" spans="2:7">
      <c r="B1401" s="21" t="str">
        <f>B1366</f>
        <v>Tanzania</v>
      </c>
      <c r="C1401" s="21"/>
      <c r="D1401" s="275" t="e">
        <f>M1366</f>
        <v>#REF!</v>
      </c>
      <c r="E1401" s="21">
        <v>7.0000000000000007E-2</v>
      </c>
      <c r="F1401" s="101" t="e">
        <f>G1392</f>
        <v>#REF!</v>
      </c>
    </row>
    <row r="1402" spans="2:7">
      <c r="B1402" t="str">
        <f>B1363</f>
        <v>Ghana</v>
      </c>
      <c r="D1402" s="275" t="e">
        <f>M1363</f>
        <v>#REF!</v>
      </c>
      <c r="E1402" s="326">
        <v>3.5000000000000003E-2</v>
      </c>
      <c r="F1402" s="101" t="e">
        <f>G1394</f>
        <v>#REF!</v>
      </c>
    </row>
    <row r="1403" spans="2:7">
      <c r="B1403" s="11" t="str">
        <f>B1365</f>
        <v>Senegal</v>
      </c>
      <c r="C1403" s="11"/>
      <c r="D1403" s="428" t="e">
        <f>M1365</f>
        <v>#REF!</v>
      </c>
      <c r="E1403" s="11">
        <v>0.05</v>
      </c>
      <c r="F1403" s="426" t="e">
        <f>G1395</f>
        <v>#REF!</v>
      </c>
    </row>
    <row r="1404" spans="2:7">
      <c r="B1404" t="str">
        <f>B1367</f>
        <v>Africa average (ex Chad)</v>
      </c>
      <c r="D1404" s="275" t="e">
        <f>M1367</f>
        <v>#NAME?</v>
      </c>
      <c r="E1404" s="101">
        <f>AVERAGE(E1398:E1403)</f>
        <v>8.7500000000000008E-2</v>
      </c>
      <c r="F1404" s="101" t="e">
        <f>AVERAGE(F1398:F1403)</f>
        <v>#REF!</v>
      </c>
    </row>
    <row r="1407" spans="2:7">
      <c r="D1407" s="101"/>
      <c r="E1407" s="101"/>
    </row>
    <row r="1408" spans="2:7">
      <c r="B1408" s="105" t="s">
        <v>1930</v>
      </c>
      <c r="C1408" s="105"/>
      <c r="D1408" s="427" t="s">
        <v>1250</v>
      </c>
      <c r="E1408" s="427" t="s">
        <v>340</v>
      </c>
    </row>
    <row r="1409" spans="2:5">
      <c r="B1409" s="21" t="s">
        <v>579</v>
      </c>
      <c r="C1409" s="21"/>
      <c r="D1409" s="16">
        <v>0.54500000000000004</v>
      </c>
      <c r="E1409" s="16">
        <f>100%-D1409</f>
        <v>0.45499999999999996</v>
      </c>
    </row>
    <row r="1410" spans="2:5">
      <c r="B1410" t="s">
        <v>578</v>
      </c>
      <c r="D1410" s="16">
        <v>0.32</v>
      </c>
      <c r="E1410" s="16">
        <v>0.28000000000000003</v>
      </c>
    </row>
    <row r="1411" spans="2:5">
      <c r="B1411" t="s">
        <v>2382</v>
      </c>
      <c r="D1411" s="16">
        <v>0.26400000000000001</v>
      </c>
      <c r="E1411" s="16">
        <f>1300/Quarts!AK490</f>
        <v>0.10504201680672269</v>
      </c>
    </row>
    <row r="1412" spans="2:5">
      <c r="B1412" s="11" t="s">
        <v>338</v>
      </c>
      <c r="C1412" s="11"/>
      <c r="D1412" s="20">
        <v>0.41</v>
      </c>
      <c r="E1412" s="20">
        <v>0.28000000000000003</v>
      </c>
    </row>
    <row r="1413" spans="2:5">
      <c r="B1413" t="s">
        <v>339</v>
      </c>
    </row>
    <row r="1448" spans="1:10">
      <c r="B1448" s="420" t="s">
        <v>2241</v>
      </c>
      <c r="C1448" s="420"/>
    </row>
    <row r="1449" spans="1:10">
      <c r="E1449" s="11">
        <v>2007</v>
      </c>
      <c r="F1449" s="11">
        <v>2008</v>
      </c>
      <c r="G1449" s="11">
        <v>2009</v>
      </c>
      <c r="H1449" s="11">
        <v>2010</v>
      </c>
      <c r="I1449" s="268">
        <v>40422</v>
      </c>
      <c r="J1449" s="11">
        <v>2013</v>
      </c>
    </row>
    <row r="1450" spans="1:10">
      <c r="A1450">
        <v>80</v>
      </c>
      <c r="B1450" t="s">
        <v>1881</v>
      </c>
      <c r="E1450">
        <v>6.4</v>
      </c>
      <c r="F1450">
        <v>5.6</v>
      </c>
      <c r="G1450" s="7">
        <v>4.72</v>
      </c>
      <c r="H1450" s="7">
        <v>4.21</v>
      </c>
      <c r="I1450" s="7">
        <v>2.21</v>
      </c>
      <c r="J1450">
        <v>0.99</v>
      </c>
    </row>
    <row r="1451" spans="1:10">
      <c r="B1451" t="s">
        <v>153</v>
      </c>
      <c r="F1451" s="16">
        <f>F1450/E1450-1</f>
        <v>-0.12500000000000011</v>
      </c>
      <c r="G1451" s="16">
        <f>G1450/F1450-1</f>
        <v>-0.15714285714285714</v>
      </c>
      <c r="H1451" s="16">
        <f>H1450/G1450-1</f>
        <v>-0.10805084745762705</v>
      </c>
      <c r="I1451" s="16">
        <f>I1450/H1450-1</f>
        <v>-0.47505938242280288</v>
      </c>
    </row>
    <row r="1452" spans="1:10">
      <c r="B1452" t="s">
        <v>1654</v>
      </c>
      <c r="F1452" s="16"/>
      <c r="G1452" s="16"/>
      <c r="H1452" s="16"/>
      <c r="I1452" s="275">
        <f>I1450/$A$1450</f>
        <v>2.7625E-2</v>
      </c>
      <c r="J1452" s="101">
        <f>J1450/$A$1450</f>
        <v>1.2375000000000001E-2</v>
      </c>
    </row>
    <row r="1453" spans="1:10">
      <c r="F1453" s="16"/>
      <c r="G1453" s="16"/>
      <c r="H1453" s="16"/>
      <c r="I1453" s="16"/>
    </row>
    <row r="1454" spans="1:10">
      <c r="B1454" s="2" t="s">
        <v>889</v>
      </c>
      <c r="C1454" s="2"/>
      <c r="D1454" s="6"/>
      <c r="E1454" s="6"/>
      <c r="F1454" s="6" t="s">
        <v>890</v>
      </c>
      <c r="G1454" s="21"/>
      <c r="H1454" s="7"/>
      <c r="I1454" s="7"/>
      <c r="J1454" t="s">
        <v>1823</v>
      </c>
    </row>
    <row r="1455" spans="1:10">
      <c r="B1455" s="11" t="s">
        <v>1626</v>
      </c>
      <c r="C1455" s="11"/>
      <c r="D1455" s="11" t="s">
        <v>1619</v>
      </c>
      <c r="E1455" s="11" t="s">
        <v>1620</v>
      </c>
      <c r="F1455" s="426" t="s">
        <v>1627</v>
      </c>
      <c r="G1455" s="426"/>
      <c r="I1455" s="16"/>
    </row>
    <row r="1456" spans="1:10">
      <c r="B1456" t="s">
        <v>1621</v>
      </c>
      <c r="D1456">
        <v>3</v>
      </c>
      <c r="E1456">
        <v>3</v>
      </c>
      <c r="F1456" s="275">
        <f>D1456/$A$1450</f>
        <v>3.7499999999999999E-2</v>
      </c>
      <c r="G1456" s="275">
        <f>E1456/$A$1450</f>
        <v>3.7499999999999999E-2</v>
      </c>
    </row>
    <row r="1457" spans="2:9">
      <c r="B1457" t="s">
        <v>1622</v>
      </c>
      <c r="D1457">
        <v>3</v>
      </c>
      <c r="E1457">
        <v>3</v>
      </c>
      <c r="F1457" s="275">
        <f>D1457/$A$1450</f>
        <v>3.7499999999999999E-2</v>
      </c>
      <c r="G1457" s="275">
        <f>E1457/$A$1450</f>
        <v>3.7499999999999999E-2</v>
      </c>
    </row>
    <row r="1459" spans="2:9">
      <c r="B1459" s="21" t="s">
        <v>891</v>
      </c>
      <c r="C1459" s="21"/>
      <c r="D1459" s="6"/>
      <c r="E1459" s="6"/>
      <c r="F1459" s="6" t="s">
        <v>890</v>
      </c>
      <c r="G1459" s="21"/>
    </row>
    <row r="1460" spans="2:9">
      <c r="B1460" s="11" t="s">
        <v>1626</v>
      </c>
      <c r="C1460" s="11"/>
      <c r="D1460" s="11" t="s">
        <v>1619</v>
      </c>
      <c r="E1460" s="11" t="s">
        <v>1620</v>
      </c>
      <c r="F1460" s="426" t="s">
        <v>1627</v>
      </c>
      <c r="G1460" s="426"/>
    </row>
    <row r="1461" spans="2:9">
      <c r="B1461" t="s">
        <v>1621</v>
      </c>
      <c r="D1461">
        <v>8</v>
      </c>
      <c r="E1461">
        <v>8</v>
      </c>
      <c r="F1461" s="101">
        <f>D1461/$A$1450</f>
        <v>0.1</v>
      </c>
      <c r="G1461" s="101">
        <f>E1461/$A$1450</f>
        <v>0.1</v>
      </c>
    </row>
    <row r="1462" spans="2:9">
      <c r="B1462" t="s">
        <v>1622</v>
      </c>
      <c r="D1462">
        <v>12</v>
      </c>
      <c r="E1462">
        <v>12</v>
      </c>
      <c r="F1462" s="101">
        <f>D1462/$A$1450</f>
        <v>0.15</v>
      </c>
      <c r="G1462" s="101">
        <f>E1462/$A$1450</f>
        <v>0.15</v>
      </c>
    </row>
    <row r="1464" spans="2:9">
      <c r="B1464" s="21" t="s">
        <v>892</v>
      </c>
      <c r="C1464" s="21"/>
      <c r="D1464" s="6"/>
      <c r="E1464" s="6"/>
      <c r="F1464" s="6" t="s">
        <v>890</v>
      </c>
      <c r="G1464" s="21"/>
    </row>
    <row r="1465" spans="2:9">
      <c r="B1465" s="11" t="s">
        <v>1626</v>
      </c>
      <c r="C1465" s="11"/>
      <c r="D1465" s="11" t="s">
        <v>1619</v>
      </c>
      <c r="E1465" s="11" t="s">
        <v>1620</v>
      </c>
      <c r="F1465" s="426" t="s">
        <v>1627</v>
      </c>
      <c r="G1465" s="426"/>
    </row>
    <row r="1466" spans="2:9">
      <c r="B1466" t="s">
        <v>1621</v>
      </c>
      <c r="D1466" s="6" t="s">
        <v>893</v>
      </c>
      <c r="E1466" s="6" t="s">
        <v>893</v>
      </c>
      <c r="F1466" s="429" t="s">
        <v>894</v>
      </c>
      <c r="G1466" s="429" t="s">
        <v>894</v>
      </c>
      <c r="I1466">
        <f>0.8/A1450</f>
        <v>0.01</v>
      </c>
    </row>
    <row r="1467" spans="2:9">
      <c r="B1467" t="s">
        <v>1622</v>
      </c>
      <c r="D1467">
        <v>12</v>
      </c>
      <c r="E1467">
        <v>12</v>
      </c>
      <c r="F1467" s="101">
        <f>D1467/$A$1450</f>
        <v>0.15</v>
      </c>
      <c r="G1467" s="101">
        <f>E1467/$A$1450</f>
        <v>0.15</v>
      </c>
    </row>
    <row r="1469" spans="2:9">
      <c r="B1469" s="2" t="s">
        <v>1764</v>
      </c>
      <c r="C1469" s="2"/>
    </row>
    <row r="1470" spans="2:9">
      <c r="B1470" s="11"/>
      <c r="C1470" s="11"/>
      <c r="D1470" s="268">
        <v>40238</v>
      </c>
      <c r="E1470" s="268">
        <v>39873</v>
      </c>
      <c r="F1470" s="268">
        <v>39508</v>
      </c>
      <c r="G1470" s="268">
        <f>D1470</f>
        <v>40238</v>
      </c>
      <c r="H1470" s="268">
        <f>E1470</f>
        <v>39873</v>
      </c>
      <c r="I1470" s="268">
        <f>F1470</f>
        <v>39508</v>
      </c>
    </row>
    <row r="1471" spans="2:9">
      <c r="B1471" t="s">
        <v>1906</v>
      </c>
      <c r="D1471" s="5">
        <v>6.2E-2</v>
      </c>
      <c r="E1471" s="5">
        <f>H1471/H$1474*E$1474</f>
        <v>6.6128430296377619E-2</v>
      </c>
      <c r="F1471" s="5"/>
      <c r="G1471">
        <v>5.19</v>
      </c>
      <c r="H1471">
        <v>4.67</v>
      </c>
      <c r="I1471">
        <v>4.26</v>
      </c>
    </row>
    <row r="1472" spans="2:9">
      <c r="B1472" t="s">
        <v>895</v>
      </c>
      <c r="D1472" s="5">
        <v>0.09</v>
      </c>
      <c r="E1472" s="5">
        <f>H1472/H$1474*E$1474</f>
        <v>4.1489571899012083E-2</v>
      </c>
      <c r="F1472" s="5"/>
      <c r="G1472">
        <v>7.56</v>
      </c>
      <c r="H1472">
        <v>2.93</v>
      </c>
      <c r="I1472">
        <v>0.37</v>
      </c>
    </row>
    <row r="1473" spans="1:9">
      <c r="A1473" s="11"/>
      <c r="B1473" s="11" t="s">
        <v>1984</v>
      </c>
      <c r="C1473" s="11"/>
      <c r="D1473" s="17">
        <v>3.5999999999999997E-2</v>
      </c>
      <c r="E1473" s="17">
        <f>H1473/H$1474*E$1474</f>
        <v>2.1381997804610319E-2</v>
      </c>
      <c r="F1473" s="17"/>
      <c r="G1473" s="11">
        <v>2.98</v>
      </c>
      <c r="H1473" s="11">
        <v>1.51</v>
      </c>
      <c r="I1473" s="11">
        <v>0.34</v>
      </c>
    </row>
    <row r="1474" spans="1:9">
      <c r="B1474" t="s">
        <v>896</v>
      </c>
      <c r="D1474" s="5">
        <v>0.187</v>
      </c>
      <c r="E1474" s="5">
        <v>0.129</v>
      </c>
      <c r="F1474" s="5"/>
      <c r="G1474">
        <f>SUM(G1471:G1473)</f>
        <v>15.73</v>
      </c>
      <c r="H1474">
        <f>SUM(H1471:H1473)</f>
        <v>9.11</v>
      </c>
      <c r="I1474">
        <f>SUM(I1471:I1473)</f>
        <v>4.97</v>
      </c>
    </row>
    <row r="1475" spans="1:9">
      <c r="B1475" t="s">
        <v>898</v>
      </c>
      <c r="D1475" s="7">
        <f>G1474/D1474</f>
        <v>84.117647058823536</v>
      </c>
      <c r="E1475" s="7">
        <f>H1474/E1474</f>
        <v>70.620155038759677</v>
      </c>
    </row>
    <row r="1477" spans="1:9">
      <c r="B1477" t="s">
        <v>897</v>
      </c>
    </row>
    <row r="1478" spans="1:9">
      <c r="B1478" t="str">
        <f>B1471</f>
        <v>SMS</v>
      </c>
      <c r="D1478" s="16">
        <f>(G1471-H1471)/(D$1475-E$1475)</f>
        <v>3.8525675675675657E-2</v>
      </c>
    </row>
    <row r="1479" spans="1:9">
      <c r="B1479" t="str">
        <f>B1472</f>
        <v>M-PESA</v>
      </c>
      <c r="D1479" s="16">
        <f>(G1472-H1472)/(D$1475-E$1475)</f>
        <v>0.3430266891891886</v>
      </c>
    </row>
    <row r="1480" spans="1:9">
      <c r="B1480" s="11" t="str">
        <f>B1473</f>
        <v>Data</v>
      </c>
      <c r="C1480" s="11"/>
      <c r="D1480" s="20">
        <f>(G1473-H1473)/(D$1475-E$1475)</f>
        <v>0.10890912162162146</v>
      </c>
    </row>
    <row r="1481" spans="1:9">
      <c r="B1481" t="s">
        <v>896</v>
      </c>
      <c r="D1481" s="16">
        <f>SUM(D1478:D1480)</f>
        <v>0.49046148648648574</v>
      </c>
    </row>
    <row r="1483" spans="1:9">
      <c r="B1483" s="106" t="s">
        <v>895</v>
      </c>
      <c r="C1483" s="106"/>
    </row>
    <row r="1484" spans="1:9">
      <c r="B1484" t="s">
        <v>899</v>
      </c>
      <c r="D1484">
        <v>17652</v>
      </c>
    </row>
    <row r="1485" spans="1:9">
      <c r="B1485" t="s">
        <v>560</v>
      </c>
      <c r="D1485">
        <v>9.48</v>
      </c>
    </row>
    <row r="1487" spans="1:9">
      <c r="B1487" t="s">
        <v>900</v>
      </c>
    </row>
    <row r="1489" spans="1:7">
      <c r="B1489" s="11" t="s">
        <v>2171</v>
      </c>
      <c r="C1489" s="11"/>
      <c r="D1489" s="268">
        <v>40238</v>
      </c>
      <c r="E1489" s="268">
        <v>39873</v>
      </c>
    </row>
    <row r="1490" spans="1:7">
      <c r="B1490" t="s">
        <v>1908</v>
      </c>
      <c r="D1490">
        <v>356</v>
      </c>
    </row>
    <row r="1491" spans="1:7">
      <c r="B1491" t="s">
        <v>1984</v>
      </c>
      <c r="D1491">
        <v>126</v>
      </c>
    </row>
    <row r="1492" spans="1:7">
      <c r="B1492" s="11" t="s">
        <v>895</v>
      </c>
      <c r="C1492" s="11"/>
      <c r="D1492" s="11">
        <v>79</v>
      </c>
      <c r="E1492" s="11"/>
    </row>
    <row r="1493" spans="1:7">
      <c r="B1493" t="s">
        <v>901</v>
      </c>
      <c r="D1493" s="9">
        <v>458.5</v>
      </c>
      <c r="E1493">
        <v>475</v>
      </c>
    </row>
    <row r="1494" spans="1:7">
      <c r="B1494" t="s">
        <v>1654</v>
      </c>
      <c r="D1494" s="7">
        <f>D1493/$A$1450</f>
        <v>5.7312500000000002</v>
      </c>
      <c r="E1494" s="7">
        <f>E1493/$A$1450</f>
        <v>5.9375</v>
      </c>
    </row>
    <row r="1496" spans="1:7">
      <c r="B1496" s="420" t="s">
        <v>2245</v>
      </c>
      <c r="C1496" s="420"/>
    </row>
    <row r="1498" spans="1:7">
      <c r="B1498" s="11"/>
      <c r="C1498" s="11"/>
      <c r="D1498" s="104" t="s">
        <v>2286</v>
      </c>
      <c r="E1498" s="268">
        <v>40360</v>
      </c>
      <c r="G1498" s="104" t="s">
        <v>1906</v>
      </c>
    </row>
    <row r="1499" spans="1:7">
      <c r="A1499">
        <v>2600</v>
      </c>
      <c r="B1499" t="s">
        <v>2285</v>
      </c>
      <c r="D1499">
        <v>480</v>
      </c>
      <c r="E1499">
        <v>131</v>
      </c>
      <c r="G1499">
        <v>30</v>
      </c>
    </row>
    <row r="1500" spans="1:7">
      <c r="B1500" t="s">
        <v>494</v>
      </c>
      <c r="D1500" s="101">
        <f>D1499/$A$1499</f>
        <v>0.18461538461538463</v>
      </c>
      <c r="E1500" s="101">
        <f>E1499/$A$1499</f>
        <v>5.0384615384615382E-2</v>
      </c>
      <c r="G1500" s="101">
        <f>G1499/$A$1499</f>
        <v>1.1538461538461539E-2</v>
      </c>
    </row>
    <row r="1502" spans="1:7">
      <c r="B1502" t="s">
        <v>2287</v>
      </c>
    </row>
    <row r="1504" spans="1:7">
      <c r="B1504" s="420" t="s">
        <v>2242</v>
      </c>
      <c r="C1504" s="420"/>
    </row>
    <row r="1506" spans="2:3">
      <c r="B1506" s="420" t="s">
        <v>2382</v>
      </c>
      <c r="C1506" s="420"/>
    </row>
    <row r="1508" spans="2:3">
      <c r="B1508" s="430">
        <v>40435</v>
      </c>
      <c r="C1508" s="430"/>
    </row>
    <row r="1509" spans="2:3">
      <c r="B1509" t="s">
        <v>1882</v>
      </c>
    </row>
    <row r="1510" spans="2:3">
      <c r="B1510" t="s">
        <v>1883</v>
      </c>
    </row>
    <row r="1512" spans="2:3">
      <c r="B1512" s="420" t="s">
        <v>578</v>
      </c>
      <c r="C1512" s="420"/>
    </row>
    <row r="1514" spans="2:3">
      <c r="B1514" s="430">
        <v>40441</v>
      </c>
      <c r="C1514" s="430"/>
    </row>
    <row r="1515" spans="2:3">
      <c r="B1515" s="431" t="s">
        <v>1884</v>
      </c>
      <c r="C1515" s="431"/>
    </row>
    <row r="1516" spans="2:3">
      <c r="B1516" s="431" t="s">
        <v>1885</v>
      </c>
      <c r="C1516" s="431"/>
    </row>
    <row r="1517" spans="2:3">
      <c r="B1517" s="430"/>
      <c r="C1517" s="430"/>
    </row>
    <row r="1518" spans="2:3">
      <c r="B1518" s="430"/>
      <c r="C1518" s="430"/>
    </row>
    <row r="1519" spans="2:3">
      <c r="B1519" s="431" t="s">
        <v>578</v>
      </c>
      <c r="C1519" s="431"/>
    </row>
    <row r="1520" spans="2:3">
      <c r="B1520" s="430"/>
      <c r="C1520" s="430"/>
    </row>
    <row r="1522" spans="2:13">
      <c r="B1522" s="420" t="s">
        <v>624</v>
      </c>
      <c r="C1522" s="420"/>
    </row>
    <row r="1524" spans="2:13">
      <c r="B1524" s="23"/>
      <c r="C1524" s="23"/>
      <c r="D1524" s="23">
        <v>2007</v>
      </c>
      <c r="E1524" s="312">
        <v>40269</v>
      </c>
    </row>
    <row r="1525" spans="2:13">
      <c r="B1525" t="s">
        <v>625</v>
      </c>
      <c r="D1525">
        <v>14</v>
      </c>
      <c r="E1525" s="9">
        <v>3.13</v>
      </c>
      <c r="F1525" s="16">
        <f>(E1525/D1525)^(1/3)-1</f>
        <v>-0.39306977292500467</v>
      </c>
      <c r="G1525" s="16">
        <v>0.25</v>
      </c>
      <c r="H1525" s="9">
        <v>33</v>
      </c>
      <c r="I1525" t="s">
        <v>630</v>
      </c>
      <c r="J1525" s="16">
        <v>0.75</v>
      </c>
      <c r="K1525">
        <f>K1526/J1525</f>
        <v>3.6666666666666665</v>
      </c>
      <c r="M1525" s="9">
        <v>11</v>
      </c>
    </row>
    <row r="1526" spans="2:13">
      <c r="B1526" t="s">
        <v>627</v>
      </c>
      <c r="D1526" s="9">
        <v>65.8</v>
      </c>
      <c r="E1526" s="9">
        <v>32.5</v>
      </c>
      <c r="F1526" s="16">
        <f>(E1526/D1526)^(1/3)-1</f>
        <v>-0.20952921686646608</v>
      </c>
      <c r="H1526">
        <f>G1525*H1525</f>
        <v>8.25</v>
      </c>
      <c r="K1526">
        <f>M1526-H1526</f>
        <v>2.75</v>
      </c>
      <c r="M1526" s="9">
        <v>11</v>
      </c>
    </row>
    <row r="1527" spans="2:13">
      <c r="B1527" t="s">
        <v>629</v>
      </c>
      <c r="D1527" s="9">
        <v>24.2</v>
      </c>
      <c r="E1527" s="9">
        <v>11.3</v>
      </c>
      <c r="F1527" s="16">
        <f>(E1527/D1527)^(1/3)-1</f>
        <v>-0.22419181152110335</v>
      </c>
    </row>
    <row r="1528" spans="2:13">
      <c r="B1528" t="s">
        <v>631</v>
      </c>
      <c r="D1528" s="9">
        <v>10.333</v>
      </c>
      <c r="E1528" s="9">
        <v>3.6669999999999998</v>
      </c>
      <c r="F1528" s="16">
        <f>(E1528/D1528)^(1/3)-1</f>
        <v>-0.29200831004878602</v>
      </c>
    </row>
    <row r="1529" spans="2:13">
      <c r="B1529" t="s">
        <v>632</v>
      </c>
      <c r="D1529" s="16">
        <v>0.8</v>
      </c>
      <c r="E1529" s="16">
        <v>0.75</v>
      </c>
    </row>
    <row r="1530" spans="2:13">
      <c r="D1530" s="16"/>
    </row>
    <row r="1531" spans="2:13">
      <c r="B1531" t="s">
        <v>626</v>
      </c>
    </row>
    <row r="1532" spans="2:13">
      <c r="B1532" t="s">
        <v>628</v>
      </c>
    </row>
    <row r="1534" spans="2:13">
      <c r="B1534" s="420" t="s">
        <v>1261</v>
      </c>
      <c r="C1534" s="420"/>
    </row>
    <row r="1536" spans="2:13">
      <c r="B1536" s="328"/>
      <c r="C1536" s="328"/>
      <c r="D1536" s="328" t="s">
        <v>1250</v>
      </c>
      <c r="E1536" s="328"/>
      <c r="F1536" s="328"/>
    </row>
    <row r="1537" spans="2:6">
      <c r="B1537" s="432" t="s">
        <v>1262</v>
      </c>
      <c r="C1537" s="432"/>
      <c r="D1537" s="432" t="s">
        <v>1263</v>
      </c>
      <c r="E1537" s="432" t="s">
        <v>1264</v>
      </c>
      <c r="F1537" s="432" t="s">
        <v>245</v>
      </c>
    </row>
    <row r="1538" spans="2:6">
      <c r="B1538" s="328" t="s">
        <v>2025</v>
      </c>
      <c r="C1538" s="328"/>
      <c r="D1538" s="328"/>
      <c r="E1538" s="328"/>
      <c r="F1538" s="338"/>
    </row>
    <row r="1539" spans="2:6">
      <c r="B1539" s="328"/>
      <c r="C1539" s="328"/>
      <c r="D1539" s="328"/>
      <c r="E1539" s="328"/>
      <c r="F1539" s="328"/>
    </row>
    <row r="1540" spans="2:6">
      <c r="B1540" s="328" t="s">
        <v>254</v>
      </c>
      <c r="C1540" s="328"/>
      <c r="D1540" s="328"/>
      <c r="E1540" s="328"/>
      <c r="F1540" s="328"/>
    </row>
    <row r="1541" spans="2:6">
      <c r="B1541" s="328" t="s">
        <v>729</v>
      </c>
      <c r="C1541" s="328"/>
      <c r="D1541" s="328"/>
      <c r="E1541" s="328"/>
      <c r="F1541" s="328"/>
    </row>
    <row r="1542" spans="2:6">
      <c r="B1542" s="328" t="s">
        <v>2272</v>
      </c>
      <c r="C1542" s="328"/>
      <c r="D1542" s="328"/>
      <c r="E1542" s="328"/>
      <c r="F1542" s="328"/>
    </row>
    <row r="1543" spans="2:6">
      <c r="B1543" s="328" t="s">
        <v>256</v>
      </c>
      <c r="C1543" s="328"/>
      <c r="D1543" s="328"/>
      <c r="E1543" s="328"/>
      <c r="F1543" s="328"/>
    </row>
    <row r="1544" spans="2:6">
      <c r="B1544" s="432" t="s">
        <v>2024</v>
      </c>
      <c r="C1544" s="432"/>
      <c r="D1544" s="432"/>
      <c r="E1544" s="432"/>
      <c r="F1544" s="432"/>
    </row>
    <row r="1545" spans="2:6">
      <c r="B1545" s="328" t="s">
        <v>1163</v>
      </c>
      <c r="C1545" s="328"/>
      <c r="D1545" s="328"/>
      <c r="E1545" s="328"/>
      <c r="F1545" s="328"/>
    </row>
    <row r="1546" spans="2:6">
      <c r="B1546" s="328"/>
      <c r="C1546" s="328"/>
      <c r="D1546" s="328"/>
      <c r="E1546" s="328"/>
      <c r="F1546" s="328"/>
    </row>
    <row r="1547" spans="2:6">
      <c r="B1547" s="328" t="s">
        <v>1265</v>
      </c>
      <c r="C1547" s="328"/>
      <c r="D1547" s="328"/>
      <c r="E1547" s="328"/>
      <c r="F1547" s="328"/>
    </row>
    <row r="1548" spans="2:6">
      <c r="B1548" s="432" t="s">
        <v>1266</v>
      </c>
      <c r="C1548" s="432"/>
      <c r="D1548" s="432"/>
      <c r="E1548" s="432"/>
      <c r="F1548" s="432"/>
    </row>
    <row r="1549" spans="2:6">
      <c r="B1549" s="328" t="s">
        <v>1267</v>
      </c>
      <c r="C1549" s="328"/>
      <c r="D1549" s="328"/>
      <c r="E1549" s="328"/>
      <c r="F1549" s="328"/>
    </row>
    <row r="1550" spans="2:6">
      <c r="B1550" s="328"/>
      <c r="C1550" s="328"/>
      <c r="D1550" s="328"/>
      <c r="E1550" s="328"/>
      <c r="F1550" s="328"/>
    </row>
    <row r="1551" spans="2:6">
      <c r="B1551" s="328" t="s">
        <v>624</v>
      </c>
      <c r="C1551" s="328"/>
      <c r="D1551" s="328"/>
      <c r="E1551" s="328"/>
      <c r="F1551" s="338"/>
    </row>
    <row r="1552" spans="2:6">
      <c r="B1552" s="432" t="s">
        <v>1268</v>
      </c>
      <c r="C1552" s="432"/>
      <c r="D1552" s="433"/>
      <c r="E1552" s="433"/>
      <c r="F1552" s="433"/>
    </row>
    <row r="1553" spans="2:6">
      <c r="B1553" s="328" t="s">
        <v>1269</v>
      </c>
      <c r="C1553" s="328"/>
      <c r="D1553" s="338"/>
      <c r="E1553" s="338"/>
      <c r="F1553" s="338"/>
    </row>
    <row r="1554" spans="2:6">
      <c r="B1554" s="328"/>
      <c r="C1554" s="328"/>
      <c r="D1554" s="328"/>
      <c r="E1554" s="328"/>
      <c r="F1554" s="328"/>
    </row>
    <row r="1555" spans="2:6">
      <c r="B1555" s="328" t="s">
        <v>1270</v>
      </c>
      <c r="C1555" s="328"/>
      <c r="D1555" s="338"/>
      <c r="E1555" s="338"/>
      <c r="F1555" s="338"/>
    </row>
    <row r="1556" spans="2:6">
      <c r="B1556" s="328"/>
      <c r="C1556" s="328"/>
      <c r="D1556" s="328"/>
      <c r="E1556" s="328"/>
      <c r="F1556" s="328"/>
    </row>
    <row r="1557" spans="2:6">
      <c r="B1557" s="434" t="s">
        <v>2382</v>
      </c>
      <c r="C1557" s="434"/>
      <c r="E1557" s="338" t="e">
        <f>'Full div'!G157/'Full div'!G$168</f>
        <v>#REF!</v>
      </c>
      <c r="F1557" s="328"/>
    </row>
    <row r="1558" spans="2:6">
      <c r="B1558" s="434" t="s">
        <v>2383</v>
      </c>
      <c r="C1558" s="434"/>
      <c r="E1558" s="338" t="e">
        <f>'Full div'!G158/'Full div'!G$168</f>
        <v>#REF!</v>
      </c>
      <c r="F1558" s="328"/>
    </row>
    <row r="1559" spans="2:6">
      <c r="B1559" s="434" t="s">
        <v>2384</v>
      </c>
      <c r="C1559" s="434"/>
      <c r="E1559" s="338" t="e">
        <f>'Full div'!G159/'Full div'!G$168</f>
        <v>#REF!</v>
      </c>
      <c r="F1559" s="328"/>
    </row>
    <row r="1560" spans="2:6">
      <c r="B1560" s="434" t="s">
        <v>578</v>
      </c>
      <c r="C1560" s="434"/>
      <c r="E1560" s="338" t="e">
        <f>'Full div'!G160/'Full div'!G$168</f>
        <v>#REF!</v>
      </c>
      <c r="F1560" s="328"/>
    </row>
    <row r="1561" spans="2:6">
      <c r="B1561" s="434" t="s">
        <v>579</v>
      </c>
      <c r="C1561" s="434"/>
      <c r="E1561" s="338" t="e">
        <f>'Full div'!G161/'Full div'!G$168</f>
        <v>#REF!</v>
      </c>
      <c r="F1561" s="328"/>
    </row>
    <row r="1562" spans="2:6">
      <c r="B1562" s="434" t="s">
        <v>676</v>
      </c>
      <c r="C1562" s="434"/>
      <c r="E1562" s="338" t="e">
        <f>'Full div'!G162/'Full div'!G$168</f>
        <v>#REF!</v>
      </c>
      <c r="F1562" s="328"/>
    </row>
    <row r="1563" spans="2:6">
      <c r="B1563" s="435" t="s">
        <v>2227</v>
      </c>
      <c r="C1563" s="435"/>
      <c r="D1563" s="11"/>
      <c r="E1563" s="433" t="e">
        <f>'Full div'!G163/'Full div'!G$168</f>
        <v>#REF!</v>
      </c>
      <c r="F1563" s="432"/>
    </row>
    <row r="1564" spans="2:6">
      <c r="B1564" s="328" t="s">
        <v>1831</v>
      </c>
      <c r="C1564" s="328"/>
      <c r="D1564" s="338">
        <f>'Full div'!G173/'Full div'!G$176</f>
        <v>0.2021402350037946</v>
      </c>
      <c r="E1564" s="338" t="e">
        <f>SUM(E1557:E1563)</f>
        <v>#REF!</v>
      </c>
      <c r="F1564" s="338" t="e">
        <f>SOP!#REF!</f>
        <v>#REF!</v>
      </c>
    </row>
    <row r="1566" spans="2:6">
      <c r="B1566" t="str">
        <f>'Full div'!B146</f>
        <v>El Salvador</v>
      </c>
      <c r="E1566" s="338" t="e">
        <f>'Full div'!G146/'Full div'!G$168</f>
        <v>#REF!</v>
      </c>
    </row>
    <row r="1567" spans="2:6">
      <c r="B1567" t="s">
        <v>2379</v>
      </c>
      <c r="D1567" s="9"/>
      <c r="E1567" s="338" t="e">
        <f>'Full div'!G147/'Full div'!G$168</f>
        <v>#REF!</v>
      </c>
    </row>
    <row r="1568" spans="2:6">
      <c r="B1568" s="21" t="s">
        <v>28</v>
      </c>
      <c r="C1568" s="21"/>
      <c r="D1568" s="9"/>
      <c r="E1568" s="338" t="e">
        <f>'Full div'!G148/'Full div'!G$168</f>
        <v>#REF!</v>
      </c>
      <c r="F1568" s="21"/>
    </row>
    <row r="1569" spans="2:8">
      <c r="B1569" s="11" t="s">
        <v>1271</v>
      </c>
      <c r="C1569" s="11"/>
      <c r="D1569" s="20">
        <f>'Full div'!G174/'Full div'!G$176</f>
        <v>-5.5680186372719827E-4</v>
      </c>
      <c r="E1569" s="433" t="e">
        <f>'Full div'!G166/'Full div'!G$168</f>
        <v>#REF!</v>
      </c>
      <c r="F1569" s="20" t="e">
        <f>SOP!#REF!</f>
        <v>#REF!</v>
      </c>
    </row>
    <row r="1570" spans="2:8">
      <c r="B1570" t="s">
        <v>1828</v>
      </c>
      <c r="D1570" s="16">
        <f>('Full div'!G171+'Full div'!G174)/'Full div'!G$176</f>
        <v>0.46948864987240885</v>
      </c>
      <c r="E1570" s="16" t="e">
        <f>SUM(E1566:E1569)</f>
        <v>#REF!</v>
      </c>
      <c r="F1570" s="16" t="e">
        <f>SOP!J15+SOP!J22+SOP!#REF!</f>
        <v>#REF!</v>
      </c>
    </row>
    <row r="1572" spans="2:8">
      <c r="B1572" t="str">
        <f>'Full div'!B152</f>
        <v>Bolivia</v>
      </c>
      <c r="E1572" s="16" t="e">
        <f>'Full div'!G152/'Full div'!G$168</f>
        <v>#REF!</v>
      </c>
    </row>
    <row r="1573" spans="2:8">
      <c r="B1573" t="str">
        <f>'Full div'!B153</f>
        <v>Paraguay</v>
      </c>
      <c r="D1573" s="9"/>
      <c r="E1573" s="16" t="e">
        <f>'Full div'!G153/'Full div'!G$168</f>
        <v>#REF!</v>
      </c>
    </row>
    <row r="1574" spans="2:8">
      <c r="B1574" s="11" t="str">
        <f>'Full div'!B154</f>
        <v>Colombia</v>
      </c>
      <c r="C1574" s="11"/>
      <c r="D1574" s="13"/>
      <c r="E1574" s="20" t="e">
        <f>'Full div'!G154/'Full div'!G$168</f>
        <v>#REF!</v>
      </c>
      <c r="F1574" s="11"/>
    </row>
    <row r="1575" spans="2:8">
      <c r="B1575" t="s">
        <v>1697</v>
      </c>
      <c r="D1575" s="16">
        <f>'Full div'!G172/'Full div'!G$176</f>
        <v>0.32837111512379652</v>
      </c>
      <c r="E1575" s="16" t="e">
        <f>SUM(E1572:E1574)</f>
        <v>#REF!</v>
      </c>
      <c r="F1575" s="16" t="e">
        <f ca="1">SOP!#REF!+SOP!J16+SOP!#REF!</f>
        <v>#REF!</v>
      </c>
    </row>
    <row r="1577" spans="2:8">
      <c r="B1577" s="420" t="s">
        <v>500</v>
      </c>
      <c r="C1577" s="420"/>
    </row>
    <row r="1579" spans="2:8">
      <c r="B1579" s="11"/>
      <c r="C1579" s="11"/>
      <c r="D1579" s="11">
        <f>Africa!K107</f>
        <v>2010</v>
      </c>
      <c r="E1579" s="11">
        <f>Africa!L107</f>
        <v>2011</v>
      </c>
      <c r="F1579" s="11">
        <f>Africa!M107</f>
        <v>2012</v>
      </c>
      <c r="G1579" s="11">
        <f>Africa!N107</f>
        <v>2013</v>
      </c>
      <c r="H1579" s="11">
        <f>Africa!O107</f>
        <v>2014</v>
      </c>
    </row>
    <row r="1580" spans="2:8">
      <c r="B1580" t="str">
        <f>Africa!B108</f>
        <v>Ghana</v>
      </c>
      <c r="D1580" s="16">
        <f>Africa!K108</f>
        <v>0.10830324909747291</v>
      </c>
      <c r="E1580" s="16">
        <f>Africa!L108</f>
        <v>-4.5849894916902501E-2</v>
      </c>
      <c r="F1580" s="16">
        <f>Africa!M108</f>
        <v>3.4136636140506216E-2</v>
      </c>
      <c r="G1580" s="16">
        <f>Africa!N108</f>
        <v>0.11021420313419794</v>
      </c>
      <c r="H1580" s="16">
        <f>Africa!O108</f>
        <v>0.25027504385834476</v>
      </c>
    </row>
    <row r="1581" spans="2:8">
      <c r="B1581" t="str">
        <f>Africa!B109</f>
        <v>Mauritius</v>
      </c>
      <c r="D1581" s="16">
        <f>Africa!K109</f>
        <v>6.6788655077767656E-2</v>
      </c>
      <c r="E1581" s="16">
        <f>Africa!L109</f>
        <v>-5.8496647164090421E-2</v>
      </c>
      <c r="F1581" s="16">
        <f>Africa!M109</f>
        <v>-1</v>
      </c>
      <c r="G1581" s="16">
        <f>Africa!N109</f>
        <v>0</v>
      </c>
      <c r="H1581" s="16">
        <f>Africa!O109</f>
        <v>0</v>
      </c>
    </row>
    <row r="1582" spans="2:8">
      <c r="B1582" t="str">
        <f>Africa!B110</f>
        <v>Senegal</v>
      </c>
      <c r="D1582" s="16">
        <f>Africa!K110</f>
        <v>6.7849892861170602E-2</v>
      </c>
      <c r="E1582" s="16">
        <f>Africa!L110</f>
        <v>-0.15666200722458556</v>
      </c>
      <c r="F1582" s="16">
        <f>Africa!M110</f>
        <v>-5.7585926144855026E-2</v>
      </c>
      <c r="G1582" s="16">
        <f>Africa!N110</f>
        <v>-4.2259414225941483E-2</v>
      </c>
      <c r="H1582" s="16">
        <f>Africa!O110</f>
        <v>-1.5233102415277866E-2</v>
      </c>
    </row>
    <row r="1583" spans="2:8">
      <c r="B1583" t="str">
        <f>Africa!B111</f>
        <v>Tanzania</v>
      </c>
      <c r="D1583" s="16">
        <f>Africa!K111</f>
        <v>0.34092897449730986</v>
      </c>
      <c r="E1583" s="16">
        <f>Africa!L111</f>
        <v>0.29058139083376711</v>
      </c>
      <c r="F1583" s="16">
        <f>Africa!M111</f>
        <v>0.14742437832668687</v>
      </c>
      <c r="G1583" s="16">
        <f>Africa!N111</f>
        <v>4.4506339483731949E-2</v>
      </c>
      <c r="H1583" s="16">
        <f>Africa!O111</f>
        <v>4.3905576909895272E-2</v>
      </c>
    </row>
    <row r="1584" spans="2:8">
      <c r="B1584" t="str">
        <f>Africa!B112</f>
        <v>Chad</v>
      </c>
      <c r="D1584" s="16">
        <f>Africa!K112</f>
        <v>0.20063511056906824</v>
      </c>
      <c r="E1584" s="16">
        <f>Africa!L112</f>
        <v>2.272206068676863E-2</v>
      </c>
      <c r="F1584" s="16">
        <f>Africa!M112</f>
        <v>0.15689858666079792</v>
      </c>
      <c r="G1584" s="16">
        <f>Africa!N112</f>
        <v>0.19713808915933484</v>
      </c>
      <c r="H1584" s="16">
        <f>Africa!O112</f>
        <v>0.20318250703615504</v>
      </c>
    </row>
    <row r="1585" spans="2:8">
      <c r="B1585" t="s">
        <v>1961</v>
      </c>
      <c r="D1585" s="16">
        <f>Africa!K113</f>
        <v>0.43412158409571844</v>
      </c>
      <c r="E1585" s="16">
        <f>Africa!L113</f>
        <v>7.9993549180452206E-2</v>
      </c>
      <c r="F1585" s="16">
        <f>Africa!M113</f>
        <v>6.4051125956508415E-2</v>
      </c>
      <c r="G1585" s="16">
        <f>Africa!N113</f>
        <v>-0.10858257477243161</v>
      </c>
      <c r="H1585" s="16">
        <f>Africa!O113</f>
        <v>-2.3960612691465877E-2</v>
      </c>
    </row>
    <row r="1595" spans="2:8">
      <c r="B1595" s="420" t="s">
        <v>1643</v>
      </c>
      <c r="C1595" s="420"/>
    </row>
    <row r="1597" spans="2:8">
      <c r="B1597" s="220">
        <v>2011</v>
      </c>
      <c r="C1597" s="220"/>
      <c r="D1597" s="96" t="s">
        <v>821</v>
      </c>
      <c r="E1597" s="96" t="s">
        <v>1644</v>
      </c>
      <c r="F1597" s="96" t="s">
        <v>1833</v>
      </c>
    </row>
    <row r="1598" spans="2:8">
      <c r="B1598" s="440" t="s">
        <v>758</v>
      </c>
      <c r="C1598" s="440"/>
      <c r="D1598" s="441">
        <f>Master!N7</f>
        <v>0</v>
      </c>
      <c r="E1598" s="441" t="e">
        <f>Master!#REF!</f>
        <v>#REF!</v>
      </c>
      <c r="F1598" s="442" t="e">
        <f>D1598/E1598-1</f>
        <v>#REF!</v>
      </c>
    </row>
    <row r="1599" spans="2:8">
      <c r="B1599" t="s">
        <v>360</v>
      </c>
      <c r="D1599" s="88">
        <f>Master!N14</f>
        <v>0</v>
      </c>
      <c r="E1599" s="88" t="e">
        <f>Master!#REF!</f>
        <v>#REF!</v>
      </c>
      <c r="F1599" s="16" t="e">
        <f>D1599/E1599-1</f>
        <v>#REF!</v>
      </c>
    </row>
    <row r="1600" spans="2:8">
      <c r="B1600" s="443" t="s">
        <v>1434</v>
      </c>
      <c r="C1600" s="443"/>
      <c r="D1600" s="444" t="e">
        <f>D1599/D1598</f>
        <v>#DIV/0!</v>
      </c>
      <c r="E1600" s="444" t="e">
        <f>E1599/E1598</f>
        <v>#REF!</v>
      </c>
      <c r="F1600" s="443"/>
    </row>
    <row r="1602" spans="2:4">
      <c r="B1602" s="420" t="s">
        <v>1930</v>
      </c>
      <c r="C1602" s="420"/>
    </row>
    <row r="1604" spans="2:4">
      <c r="B1604" s="220" t="s">
        <v>2376</v>
      </c>
      <c r="C1604" s="220"/>
      <c r="D1604" s="96" t="s">
        <v>518</v>
      </c>
    </row>
    <row r="1605" spans="2:4">
      <c r="B1605" s="328" t="s">
        <v>1166</v>
      </c>
      <c r="C1605" s="328"/>
      <c r="D1605" s="338">
        <v>0.45200000000000001</v>
      </c>
    </row>
    <row r="1606" spans="2:4">
      <c r="B1606" s="328" t="s">
        <v>880</v>
      </c>
      <c r="C1606" s="328"/>
      <c r="D1606" s="338">
        <v>0.35</v>
      </c>
    </row>
    <row r="1607" spans="2:4">
      <c r="B1607" s="328" t="s">
        <v>1606</v>
      </c>
      <c r="C1607" s="328"/>
      <c r="D1607" s="338">
        <v>0.1</v>
      </c>
    </row>
    <row r="1608" spans="2:4">
      <c r="B1608" s="328" t="s">
        <v>881</v>
      </c>
      <c r="C1608" s="328"/>
      <c r="D1608" s="338">
        <v>9.8000000000000032E-2</v>
      </c>
    </row>
    <row r="1609" spans="2:4">
      <c r="B1609" s="328"/>
      <c r="C1609" s="328"/>
      <c r="D1609" s="328"/>
    </row>
    <row r="1610" spans="2:4">
      <c r="B1610" s="220" t="s">
        <v>2379</v>
      </c>
      <c r="C1610" s="220"/>
      <c r="D1610" s="96" t="s">
        <v>518</v>
      </c>
    </row>
    <row r="1611" spans="2:4">
      <c r="B1611" s="328" t="s">
        <v>1166</v>
      </c>
      <c r="C1611" s="328"/>
      <c r="D1611" s="338">
        <v>0.51500000000000001</v>
      </c>
    </row>
    <row r="1612" spans="2:4">
      <c r="B1612" s="328" t="s">
        <v>880</v>
      </c>
      <c r="C1612" s="328"/>
      <c r="D1612" s="338">
        <v>0.38</v>
      </c>
    </row>
    <row r="1613" spans="2:4">
      <c r="B1613" s="328" t="s">
        <v>1606</v>
      </c>
      <c r="C1613" s="328"/>
      <c r="D1613" s="338">
        <v>0.105</v>
      </c>
    </row>
    <row r="1614" spans="2:4">
      <c r="B1614" s="328"/>
      <c r="C1614" s="328"/>
      <c r="D1614" s="328"/>
    </row>
    <row r="1615" spans="2:4">
      <c r="B1615" s="220" t="s">
        <v>2380</v>
      </c>
      <c r="C1615" s="220"/>
      <c r="D1615" s="96" t="s">
        <v>518</v>
      </c>
    </row>
    <row r="1616" spans="2:4">
      <c r="B1616" s="328" t="s">
        <v>1166</v>
      </c>
      <c r="C1616" s="328"/>
      <c r="D1616" s="338">
        <v>0.65</v>
      </c>
    </row>
    <row r="1617" spans="2:4">
      <c r="B1617" s="328" t="s">
        <v>880</v>
      </c>
      <c r="C1617" s="328"/>
      <c r="D1617" s="338">
        <v>0.3</v>
      </c>
    </row>
    <row r="1618" spans="2:4">
      <c r="B1618" s="328" t="s">
        <v>1969</v>
      </c>
      <c r="C1618" s="328"/>
      <c r="D1618" s="338">
        <v>0.05</v>
      </c>
    </row>
    <row r="1619" spans="2:4">
      <c r="B1619" s="328"/>
      <c r="C1619" s="328"/>
      <c r="D1619" s="328"/>
    </row>
    <row r="1620" spans="2:4">
      <c r="B1620" s="220" t="s">
        <v>2378</v>
      </c>
      <c r="C1620" s="220"/>
      <c r="D1620" s="96" t="s">
        <v>518</v>
      </c>
    </row>
    <row r="1621" spans="2:4">
      <c r="B1621" s="328" t="s">
        <v>1166</v>
      </c>
      <c r="C1621" s="328"/>
      <c r="D1621" s="338">
        <v>0.56999999999999995</v>
      </c>
    </row>
    <row r="1622" spans="2:4">
      <c r="B1622" s="328" t="s">
        <v>67</v>
      </c>
      <c r="C1622" s="328"/>
      <c r="D1622" s="338">
        <v>0.1</v>
      </c>
    </row>
    <row r="1623" spans="2:4">
      <c r="B1623" s="328" t="s">
        <v>68</v>
      </c>
      <c r="C1623" s="328"/>
      <c r="D1623" s="338">
        <v>0.3</v>
      </c>
    </row>
    <row r="1624" spans="2:4">
      <c r="B1624" s="328" t="s">
        <v>69</v>
      </c>
      <c r="C1624" s="328"/>
      <c r="D1624" s="338">
        <v>0.03</v>
      </c>
    </row>
    <row r="1625" spans="2:4">
      <c r="B1625" s="328"/>
      <c r="C1625" s="328"/>
      <c r="D1625" s="328"/>
    </row>
    <row r="1626" spans="2:4">
      <c r="B1626" s="220" t="s">
        <v>2377</v>
      </c>
      <c r="C1626" s="220"/>
      <c r="D1626" s="96" t="s">
        <v>518</v>
      </c>
    </row>
    <row r="1627" spans="2:4">
      <c r="B1627" s="328" t="s">
        <v>1166</v>
      </c>
      <c r="C1627" s="328"/>
      <c r="D1627" s="338">
        <v>0.36</v>
      </c>
    </row>
    <row r="1628" spans="2:4">
      <c r="B1628" s="328" t="s">
        <v>861</v>
      </c>
      <c r="C1628" s="328"/>
      <c r="D1628" s="338">
        <v>0.45</v>
      </c>
    </row>
    <row r="1629" spans="2:4">
      <c r="B1629" s="328" t="s">
        <v>862</v>
      </c>
      <c r="C1629" s="328"/>
      <c r="D1629" s="338">
        <v>0.19</v>
      </c>
    </row>
    <row r="1630" spans="2:4">
      <c r="B1630" s="328"/>
      <c r="C1630" s="328"/>
      <c r="D1630" s="328"/>
    </row>
    <row r="1631" spans="2:4">
      <c r="B1631" s="220" t="s">
        <v>1665</v>
      </c>
      <c r="C1631" s="220"/>
      <c r="D1631" s="96" t="s">
        <v>518</v>
      </c>
    </row>
    <row r="1632" spans="2:4">
      <c r="B1632" s="328" t="s">
        <v>1166</v>
      </c>
      <c r="C1632" s="328"/>
      <c r="D1632" s="338">
        <v>9.5000000000000001E-2</v>
      </c>
    </row>
    <row r="1633" spans="2:4">
      <c r="B1633" s="328" t="s">
        <v>955</v>
      </c>
      <c r="C1633" s="328"/>
      <c r="D1633" s="338">
        <v>0.65</v>
      </c>
    </row>
    <row r="1634" spans="2:4">
      <c r="B1634" s="328" t="s">
        <v>1606</v>
      </c>
      <c r="C1634" s="328"/>
      <c r="D1634" s="338">
        <v>0.255</v>
      </c>
    </row>
    <row r="1635" spans="2:4">
      <c r="B1635" s="328"/>
      <c r="C1635" s="328"/>
      <c r="D1635" s="328"/>
    </row>
    <row r="1636" spans="2:4">
      <c r="B1636" s="220" t="s">
        <v>2382</v>
      </c>
      <c r="C1636" s="220"/>
      <c r="D1636" s="96" t="s">
        <v>518</v>
      </c>
    </row>
    <row r="1637" spans="2:4">
      <c r="B1637" s="328" t="s">
        <v>887</v>
      </c>
      <c r="C1637" s="328"/>
      <c r="D1637" s="338">
        <v>0.26</v>
      </c>
    </row>
    <row r="1638" spans="2:4">
      <c r="B1638" s="328" t="s">
        <v>1167</v>
      </c>
      <c r="C1638" s="328"/>
      <c r="D1638" s="338">
        <v>0.42</v>
      </c>
    </row>
    <row r="1639" spans="2:4">
      <c r="B1639" s="328" t="s">
        <v>1725</v>
      </c>
      <c r="C1639" s="328"/>
      <c r="D1639" s="338">
        <v>0.14442797133679269</v>
      </c>
    </row>
    <row r="1640" spans="2:4">
      <c r="B1640" s="328" t="s">
        <v>1726</v>
      </c>
      <c r="C1640" s="328"/>
      <c r="D1640" s="338">
        <v>2.7118853471707439E-2</v>
      </c>
    </row>
    <row r="1641" spans="2:4">
      <c r="B1641" s="328" t="s">
        <v>849</v>
      </c>
      <c r="C1641" s="328"/>
      <c r="D1641" s="338">
        <v>0.1221892760069187</v>
      </c>
    </row>
    <row r="1642" spans="2:4">
      <c r="B1642" s="328" t="s">
        <v>712</v>
      </c>
      <c r="C1642" s="328"/>
      <c r="D1642" s="338">
        <v>3.0887076847047196E-2</v>
      </c>
    </row>
    <row r="1643" spans="2:4">
      <c r="B1643" s="328"/>
      <c r="C1643" s="328"/>
      <c r="D1643" s="328"/>
    </row>
    <row r="1644" spans="2:4">
      <c r="B1644" s="220" t="s">
        <v>578</v>
      </c>
      <c r="C1644" s="220"/>
      <c r="D1644" s="96" t="s">
        <v>518</v>
      </c>
    </row>
    <row r="1645" spans="2:4">
      <c r="B1645" s="328" t="s">
        <v>1166</v>
      </c>
      <c r="C1645" s="328"/>
      <c r="D1645" s="338">
        <v>0.33</v>
      </c>
    </row>
    <row r="1646" spans="2:4">
      <c r="B1646" s="328" t="s">
        <v>849</v>
      </c>
      <c r="C1646" s="328"/>
      <c r="D1646" s="338">
        <v>0.26300000000000001</v>
      </c>
    </row>
    <row r="1647" spans="2:4">
      <c r="B1647" s="328" t="s">
        <v>922</v>
      </c>
      <c r="C1647" s="328"/>
      <c r="D1647" s="338">
        <v>0.34799999999999998</v>
      </c>
    </row>
    <row r="1648" spans="2:4">
      <c r="B1648" s="328" t="s">
        <v>1376</v>
      </c>
      <c r="C1648" s="328"/>
      <c r="D1648" s="338">
        <v>0.05</v>
      </c>
    </row>
    <row r="1649" spans="2:4">
      <c r="B1649" s="328" t="s">
        <v>782</v>
      </c>
      <c r="C1649" s="328"/>
      <c r="D1649" s="338">
        <v>8.0000000000000002E-3</v>
      </c>
    </row>
    <row r="1650" spans="2:4">
      <c r="B1650" s="328" t="s">
        <v>1377</v>
      </c>
      <c r="C1650" s="328"/>
      <c r="D1650" s="338">
        <v>1E-3</v>
      </c>
    </row>
    <row r="1651" spans="2:4">
      <c r="B1651" s="328"/>
      <c r="C1651" s="328"/>
      <c r="D1651" s="328"/>
    </row>
    <row r="1652" spans="2:4">
      <c r="B1652" s="220" t="s">
        <v>2384</v>
      </c>
      <c r="C1652" s="220"/>
      <c r="D1652" s="96" t="s">
        <v>518</v>
      </c>
    </row>
    <row r="1653" spans="2:4">
      <c r="B1653" s="328" t="s">
        <v>1166</v>
      </c>
      <c r="C1653" s="328"/>
      <c r="D1653" s="338">
        <v>0.33900000000000002</v>
      </c>
    </row>
    <row r="1654" spans="2:4">
      <c r="B1654" s="328" t="s">
        <v>786</v>
      </c>
      <c r="C1654" s="328"/>
      <c r="D1654" s="338">
        <v>0.62870847397406293</v>
      </c>
    </row>
    <row r="1655" spans="2:4">
      <c r="B1655" s="328" t="s">
        <v>1639</v>
      </c>
      <c r="C1655" s="328"/>
      <c r="D1655" s="338">
        <v>3.2291526025937045E-2</v>
      </c>
    </row>
    <row r="1656" spans="2:4">
      <c r="B1656" s="328"/>
      <c r="C1656" s="328"/>
      <c r="D1656" s="328"/>
    </row>
    <row r="1657" spans="2:4">
      <c r="B1657" s="220" t="s">
        <v>1961</v>
      </c>
      <c r="C1657" s="220"/>
      <c r="D1657" s="96" t="s">
        <v>518</v>
      </c>
    </row>
    <row r="1658" spans="2:4">
      <c r="B1658" s="328" t="s">
        <v>1166</v>
      </c>
      <c r="C1658" s="328"/>
      <c r="D1658" s="338">
        <v>0.27600000000000002</v>
      </c>
    </row>
    <row r="1659" spans="2:4">
      <c r="B1659" s="328" t="s">
        <v>922</v>
      </c>
      <c r="C1659" s="328"/>
      <c r="D1659" s="338">
        <v>0.34</v>
      </c>
    </row>
    <row r="1660" spans="2:4">
      <c r="B1660" s="328" t="s">
        <v>1168</v>
      </c>
      <c r="C1660" s="328"/>
      <c r="D1660" s="338">
        <v>0.38</v>
      </c>
    </row>
    <row r="1661" spans="2:4">
      <c r="B1661" s="328" t="s">
        <v>502</v>
      </c>
      <c r="C1661" s="328"/>
      <c r="D1661" s="338">
        <v>3.999999999999948E-3</v>
      </c>
    </row>
    <row r="1662" spans="2:4">
      <c r="B1662" s="328"/>
      <c r="C1662" s="328"/>
      <c r="D1662" s="328"/>
    </row>
    <row r="1663" spans="2:4">
      <c r="B1663" s="220" t="s">
        <v>579</v>
      </c>
      <c r="C1663" s="220"/>
      <c r="D1663" s="96" t="s">
        <v>518</v>
      </c>
    </row>
    <row r="1664" spans="2:4">
      <c r="B1664" s="328" t="s">
        <v>1166</v>
      </c>
      <c r="C1664" s="328"/>
      <c r="D1664" s="338">
        <v>0.55600000000000005</v>
      </c>
    </row>
    <row r="1665" spans="2:11">
      <c r="B1665" s="328" t="s">
        <v>1168</v>
      </c>
      <c r="C1665" s="328"/>
      <c r="D1665" s="338">
        <v>0.44399999999999995</v>
      </c>
    </row>
    <row r="1666" spans="2:11">
      <c r="B1666" s="328"/>
      <c r="C1666" s="328"/>
      <c r="D1666" s="328"/>
    </row>
    <row r="1667" spans="2:11">
      <c r="B1667" s="220" t="s">
        <v>2383</v>
      </c>
      <c r="C1667" s="220"/>
      <c r="D1667" s="96" t="s">
        <v>518</v>
      </c>
    </row>
    <row r="1668" spans="2:11">
      <c r="B1668" s="328" t="s">
        <v>1166</v>
      </c>
      <c r="C1668" s="328"/>
      <c r="D1668" s="338">
        <v>0.42</v>
      </c>
    </row>
    <row r="1669" spans="2:11">
      <c r="B1669" s="328" t="s">
        <v>1284</v>
      </c>
      <c r="C1669" s="328"/>
      <c r="D1669" s="338">
        <v>0.57999999999999996</v>
      </c>
    </row>
    <row r="1670" spans="2:11">
      <c r="B1670" s="328"/>
      <c r="C1670" s="328"/>
      <c r="D1670" s="328"/>
    </row>
    <row r="1671" spans="2:11">
      <c r="B1671" s="220" t="s">
        <v>2227</v>
      </c>
      <c r="C1671" s="220"/>
      <c r="D1671" s="96" t="s">
        <v>518</v>
      </c>
    </row>
    <row r="1672" spans="2:11">
      <c r="B1672" s="328" t="s">
        <v>1166</v>
      </c>
      <c r="C1672" s="328"/>
      <c r="D1672" s="338">
        <v>0.153</v>
      </c>
    </row>
    <row r="1673" spans="2:11">
      <c r="B1673" s="328" t="s">
        <v>1284</v>
      </c>
      <c r="C1673" s="328"/>
      <c r="D1673" s="338">
        <v>0.79</v>
      </c>
    </row>
    <row r="1674" spans="2:11">
      <c r="B1674" s="328" t="s">
        <v>1378</v>
      </c>
      <c r="C1674" s="328"/>
      <c r="D1674" s="338">
        <v>5.699999999999994E-2</v>
      </c>
    </row>
    <row r="1677" spans="2:11">
      <c r="B1677" t="s">
        <v>745</v>
      </c>
    </row>
    <row r="1678" spans="2:11">
      <c r="D1678" s="104" t="str">
        <f>Quarts!AH115</f>
        <v>Q1 09</v>
      </c>
      <c r="E1678" s="104" t="str">
        <f>Quarts!AI115</f>
        <v>Q2 09</v>
      </c>
      <c r="F1678" s="104" t="str">
        <f>Quarts!AJ115</f>
        <v>Q3 09</v>
      </c>
      <c r="G1678" s="104" t="str">
        <f>Quarts!AK115</f>
        <v>Q4 09</v>
      </c>
      <c r="H1678" s="104" t="str">
        <f>Quarts!AM115</f>
        <v>Q1 10</v>
      </c>
      <c r="I1678" s="104" t="str">
        <f>Quarts!AN115</f>
        <v>Q2 10</v>
      </c>
      <c r="J1678" s="104" t="str">
        <f>Quarts!AO115</f>
        <v>Q3 10</v>
      </c>
      <c r="K1678" s="104" t="str">
        <f>Quarts!AP115</f>
        <v>Q4 10</v>
      </c>
    </row>
    <row r="1679" spans="2:11">
      <c r="B1679" t="s">
        <v>746</v>
      </c>
      <c r="D1679" s="9">
        <f>Quarts!AH158</f>
        <v>8552</v>
      </c>
      <c r="E1679" s="9">
        <f>Quarts!AI158</f>
        <v>10527</v>
      </c>
      <c r="F1679" s="9">
        <f>Quarts!AJ158</f>
        <v>10842</v>
      </c>
      <c r="G1679" s="9">
        <f>Quarts!AK158</f>
        <v>13536</v>
      </c>
      <c r="H1679" s="9">
        <f>Quarts!AM158</f>
        <v>13504</v>
      </c>
      <c r="I1679" s="9">
        <f>Quarts!AN158</f>
        <v>13516</v>
      </c>
      <c r="J1679" s="9">
        <f>Quarts!AO158</f>
        <v>11374</v>
      </c>
      <c r="K1679" s="9">
        <f>Quarts!AP158</f>
        <v>13782</v>
      </c>
    </row>
    <row r="1681" spans="2:5">
      <c r="B1681" s="394" t="s">
        <v>1563</v>
      </c>
      <c r="C1681" s="394"/>
    </row>
    <row r="1683" spans="2:5">
      <c r="B1683" s="12" t="s">
        <v>791</v>
      </c>
      <c r="C1683" s="12"/>
      <c r="D1683" s="11" t="s">
        <v>1564</v>
      </c>
      <c r="E1683" s="104" t="s">
        <v>1565</v>
      </c>
    </row>
    <row r="1684" spans="2:5">
      <c r="B1684" t="s">
        <v>2378</v>
      </c>
      <c r="D1684" s="478" t="s">
        <v>2507</v>
      </c>
      <c r="E1684" s="478">
        <v>2012</v>
      </c>
    </row>
    <row r="1685" spans="2:5">
      <c r="D1685" s="478"/>
      <c r="E1685" s="506"/>
    </row>
    <row r="1686" spans="2:5">
      <c r="B1686" t="s">
        <v>2377</v>
      </c>
      <c r="D1686" t="s">
        <v>1571</v>
      </c>
      <c r="E1686" s="506" t="s">
        <v>2505</v>
      </c>
    </row>
    <row r="1687" spans="2:5">
      <c r="D1687" s="478" t="s">
        <v>2504</v>
      </c>
      <c r="E1687" s="506" t="s">
        <v>2526</v>
      </c>
    </row>
    <row r="1688" spans="2:5">
      <c r="E1688" s="493"/>
    </row>
    <row r="1689" spans="2:5">
      <c r="B1689" s="478" t="s">
        <v>1961</v>
      </c>
      <c r="C1689" s="478"/>
      <c r="D1689" t="s">
        <v>1569</v>
      </c>
      <c r="E1689" s="532" t="s">
        <v>1567</v>
      </c>
    </row>
    <row r="1690" spans="2:5">
      <c r="D1690" t="s">
        <v>1570</v>
      </c>
      <c r="E1690" s="493"/>
    </row>
    <row r="1691" spans="2:5">
      <c r="D1691" t="s">
        <v>1566</v>
      </c>
      <c r="E1691" s="493"/>
    </row>
    <row r="1692" spans="2:5">
      <c r="E1692" s="493"/>
    </row>
    <row r="1693" spans="2:5">
      <c r="B1693" s="478" t="s">
        <v>2376</v>
      </c>
      <c r="C1693" s="478"/>
      <c r="D1693" s="478" t="s">
        <v>2525</v>
      </c>
      <c r="E1693" s="533">
        <v>40909</v>
      </c>
    </row>
    <row r="1694" spans="2:5">
      <c r="E1694" s="493"/>
    </row>
    <row r="1695" spans="2:5">
      <c r="B1695" t="s">
        <v>2380</v>
      </c>
      <c r="D1695" t="s">
        <v>1568</v>
      </c>
      <c r="E1695" s="522" t="s">
        <v>2526</v>
      </c>
    </row>
    <row r="1696" spans="2:5">
      <c r="D1696" s="478" t="s">
        <v>2515</v>
      </c>
      <c r="E1696" s="493"/>
    </row>
    <row r="1697" spans="1:35">
      <c r="B1697" s="478"/>
      <c r="C1697" s="478"/>
      <c r="D1697" s="478"/>
      <c r="E1697" s="493"/>
    </row>
    <row r="1698" spans="1:35">
      <c r="B1698" s="478" t="s">
        <v>1665</v>
      </c>
      <c r="C1698" s="478"/>
      <c r="D1698" s="478" t="s">
        <v>2511</v>
      </c>
      <c r="E1698" s="506" t="s">
        <v>2506</v>
      </c>
    </row>
    <row r="1699" spans="1:35">
      <c r="B1699" s="478"/>
      <c r="C1699" s="478"/>
      <c r="D1699" s="478" t="s">
        <v>2513</v>
      </c>
      <c r="E1699" s="493"/>
    </row>
    <row r="1700" spans="1:35">
      <c r="D1700" s="478" t="s">
        <v>2512</v>
      </c>
      <c r="E1700" s="493"/>
    </row>
    <row r="1701" spans="1:35">
      <c r="D1701" s="478" t="s">
        <v>2514</v>
      </c>
      <c r="E1701" s="493"/>
    </row>
    <row r="1702" spans="1:35">
      <c r="D1702" s="478"/>
      <c r="E1702" s="493"/>
    </row>
    <row r="1703" spans="1:35">
      <c r="B1703" s="478" t="s">
        <v>2377</v>
      </c>
      <c r="C1703" s="478"/>
      <c r="D1703" s="478" t="s">
        <v>2508</v>
      </c>
      <c r="E1703" s="506" t="s">
        <v>2509</v>
      </c>
    </row>
    <row r="1704" spans="1:35">
      <c r="D1704" s="478" t="s">
        <v>2510</v>
      </c>
    </row>
    <row r="1705" spans="1:35">
      <c r="D1705" s="478"/>
    </row>
    <row r="1706" spans="1:35">
      <c r="D1706" s="478"/>
    </row>
    <row r="1707" spans="1:35">
      <c r="B1707" s="394" t="s">
        <v>999</v>
      </c>
      <c r="C1707" s="394"/>
    </row>
    <row r="1708" spans="1:35">
      <c r="B1708" s="129"/>
      <c r="C1708" s="129"/>
      <c r="I1708" s="5"/>
      <c r="J1708" s="5"/>
      <c r="S1708" s="6" t="s">
        <v>945</v>
      </c>
      <c r="T1708" s="6" t="s">
        <v>945</v>
      </c>
      <c r="U1708" s="6" t="s">
        <v>945</v>
      </c>
      <c r="V1708" s="6" t="s">
        <v>945</v>
      </c>
      <c r="W1708" s="6" t="s">
        <v>945</v>
      </c>
      <c r="X1708" s="6" t="s">
        <v>945</v>
      </c>
      <c r="Y1708" s="6" t="s">
        <v>945</v>
      </c>
      <c r="Z1708" s="6" t="s">
        <v>945</v>
      </c>
      <c r="AA1708" s="6" t="s">
        <v>945</v>
      </c>
      <c r="AC1708" s="6" t="s">
        <v>1002</v>
      </c>
      <c r="AD1708" s="6" t="s">
        <v>2016</v>
      </c>
    </row>
    <row r="1709" spans="1:35">
      <c r="B1709" s="11" t="s">
        <v>1005</v>
      </c>
      <c r="C1709" s="11"/>
      <c r="D1709" s="104" t="str">
        <f t="shared" ref="D1709:L1709" si="201">D1751</f>
        <v>Q4 09</v>
      </c>
      <c r="E1709" s="104" t="str">
        <f t="shared" si="201"/>
        <v>Q1 10</v>
      </c>
      <c r="F1709" s="104" t="str">
        <f t="shared" si="201"/>
        <v>Q2 10</v>
      </c>
      <c r="G1709" s="104" t="str">
        <f t="shared" si="201"/>
        <v>Q3 10</v>
      </c>
      <c r="H1709" s="104" t="str">
        <f t="shared" si="201"/>
        <v>Q4 10</v>
      </c>
      <c r="I1709" s="104" t="str">
        <f t="shared" si="201"/>
        <v>Q1 11</v>
      </c>
      <c r="J1709" s="104" t="str">
        <f t="shared" si="201"/>
        <v>Q2 11</v>
      </c>
      <c r="K1709" s="104" t="str">
        <f t="shared" si="201"/>
        <v>Q3 11</v>
      </c>
      <c r="L1709" s="104" t="str">
        <f t="shared" si="201"/>
        <v>Q4 11</v>
      </c>
      <c r="M1709" s="99" t="s">
        <v>2531</v>
      </c>
      <c r="N1709" s="99" t="s">
        <v>2549</v>
      </c>
      <c r="O1709" s="99" t="s">
        <v>2635</v>
      </c>
      <c r="P1709" s="99" t="s">
        <v>2639</v>
      </c>
      <c r="S1709" s="104" t="str">
        <f t="shared" ref="S1709:AA1709" si="202">H1709</f>
        <v>Q4 10</v>
      </c>
      <c r="T1709" s="104" t="str">
        <f t="shared" si="202"/>
        <v>Q1 11</v>
      </c>
      <c r="U1709" s="104" t="str">
        <f t="shared" si="202"/>
        <v>Q2 11</v>
      </c>
      <c r="V1709" s="104" t="str">
        <f t="shared" si="202"/>
        <v>Q3 11</v>
      </c>
      <c r="W1709" s="104" t="str">
        <f t="shared" si="202"/>
        <v>Q4 11</v>
      </c>
      <c r="X1709" s="104" t="str">
        <f t="shared" si="202"/>
        <v>Q1 12</v>
      </c>
      <c r="Y1709" s="104" t="str">
        <f t="shared" si="202"/>
        <v>Q2 12</v>
      </c>
      <c r="Z1709" s="104" t="str">
        <f t="shared" si="202"/>
        <v>Q3 12</v>
      </c>
      <c r="AA1709" s="104" t="str">
        <f t="shared" si="202"/>
        <v>Q4 12</v>
      </c>
      <c r="AC1709" s="104" t="str">
        <f t="shared" ref="AC1709:AI1709" si="203">S1709</f>
        <v>Q4 10</v>
      </c>
      <c r="AD1709" s="104" t="str">
        <f t="shared" si="203"/>
        <v>Q1 11</v>
      </c>
      <c r="AE1709" s="104" t="str">
        <f t="shared" si="203"/>
        <v>Q2 11</v>
      </c>
      <c r="AF1709" s="104" t="str">
        <f t="shared" si="203"/>
        <v>Q3 11</v>
      </c>
      <c r="AG1709" s="104" t="str">
        <f t="shared" si="203"/>
        <v>Q4 11</v>
      </c>
      <c r="AH1709" s="104" t="str">
        <f t="shared" si="203"/>
        <v>Q1 12</v>
      </c>
      <c r="AI1709" s="104" t="str">
        <f t="shared" si="203"/>
        <v>Q2 12</v>
      </c>
    </row>
    <row r="1710" spans="1:35">
      <c r="A1710" t="s">
        <v>1823</v>
      </c>
      <c r="B1710" t="s">
        <v>1801</v>
      </c>
      <c r="D1710" s="9">
        <f>Quarts!AK217+Quarts!AK227+Quarts!AK218</f>
        <v>747.22017201682434</v>
      </c>
      <c r="E1710" s="9">
        <f>Quarts!AM217+Quarts!AM227+Quarts!AM218</f>
        <v>737.58713958639214</v>
      </c>
      <c r="F1710" s="9">
        <f>Quarts!AN217+Quarts!AN227+Quarts!AN218</f>
        <v>758.74309882744035</v>
      </c>
      <c r="G1710" s="9">
        <f>Quarts!AO217+Quarts!AO227+Quarts!AO218</f>
        <v>788.01699999999994</v>
      </c>
      <c r="H1710" s="9">
        <f>Quarts!AP217+Quarts!AP227+Quarts!AP218</f>
        <v>834.09</v>
      </c>
      <c r="I1710" s="555">
        <f>M1710/(1+X1710)</f>
        <v>851.64835164835154</v>
      </c>
      <c r="J1710" s="555">
        <f>N1710/(1+Y1710)</f>
        <v>857.92349726775944</v>
      </c>
      <c r="K1710" s="555">
        <f>O1710/(1+Z1710)</f>
        <v>871.44168962350784</v>
      </c>
      <c r="L1710" s="555">
        <f>P1710/(1+AA1710)</f>
        <v>941.12149532710271</v>
      </c>
      <c r="M1710" s="9">
        <f>Quarts!AW217+Quarts!AW227+Quarts!AW218</f>
        <v>930</v>
      </c>
      <c r="N1710" s="9">
        <f>Quarts!AX217+Quarts!AX227+Quarts!AX218</f>
        <v>942</v>
      </c>
      <c r="O1710" s="9">
        <f>Quarts!AY217+Quarts!AY227+Quarts!AY218</f>
        <v>949</v>
      </c>
      <c r="P1710" s="9">
        <f>Quarts!AZ217+Quarts!AZ227+Quarts!AZ218</f>
        <v>1007</v>
      </c>
      <c r="S1710" s="16">
        <f t="shared" ref="S1710:W1713" si="204">H1710/D1710-1</f>
        <v>0.11625733784555781</v>
      </c>
      <c r="T1710" s="16">
        <f t="shared" si="204"/>
        <v>0.15464099892782857</v>
      </c>
      <c r="U1710" s="16">
        <f t="shared" si="204"/>
        <v>0.13071670581728156</v>
      </c>
      <c r="V1710" s="16">
        <f t="shared" si="204"/>
        <v>0.10586661153694399</v>
      </c>
      <c r="W1710" s="16">
        <f t="shared" si="204"/>
        <v>0.12832127867148957</v>
      </c>
      <c r="X1710" s="556">
        <v>9.1999999999999998E-2</v>
      </c>
      <c r="Y1710" s="556">
        <v>9.8000000000000004E-2</v>
      </c>
      <c r="Z1710" s="556">
        <v>8.8999999999999996E-2</v>
      </c>
      <c r="AA1710" s="556">
        <v>7.0000000000000007E-2</v>
      </c>
      <c r="AC1710" s="16">
        <f t="shared" ref="AC1710:AI1713" si="205">(H1710-D1710)/(H$1710-D$1710)</f>
        <v>1</v>
      </c>
      <c r="AD1710" s="16">
        <f t="shared" si="205"/>
        <v>1</v>
      </c>
      <c r="AE1710" s="16">
        <f t="shared" si="205"/>
        <v>1</v>
      </c>
      <c r="AF1710" s="16">
        <f t="shared" si="205"/>
        <v>1</v>
      </c>
      <c r="AG1710" s="16">
        <f t="shared" si="205"/>
        <v>1</v>
      </c>
      <c r="AH1710" s="16">
        <f t="shared" si="205"/>
        <v>1</v>
      </c>
      <c r="AI1710" s="16">
        <f t="shared" si="205"/>
        <v>1</v>
      </c>
    </row>
    <row r="1711" spans="1:35">
      <c r="B1711" t="s">
        <v>1531</v>
      </c>
      <c r="D1711" s="9">
        <f>D1710-D1712-D1713</f>
        <v>670.22017201682434</v>
      </c>
      <c r="E1711" s="9">
        <f>E1710-E1712-E1713</f>
        <v>649.58713958639214</v>
      </c>
      <c r="F1711" s="9">
        <f>F1710-F1712-F1713</f>
        <v>666.74309882744035</v>
      </c>
      <c r="G1711" s="9">
        <f>G1710-G1712-G1713</f>
        <v>703.01699999999994</v>
      </c>
      <c r="H1711" s="9">
        <f>H1710-H1712-H1713</f>
        <v>705.09</v>
      </c>
      <c r="I1711" s="9">
        <f t="shared" ref="I1711:P1711" si="206">I1715+I1716</f>
        <v>799.55875129527362</v>
      </c>
      <c r="J1711" s="9">
        <f t="shared" si="206"/>
        <v>807.27701371716068</v>
      </c>
      <c r="K1711" s="9">
        <f t="shared" si="206"/>
        <v>817.80999292621493</v>
      </c>
      <c r="L1711" s="9">
        <f t="shared" si="206"/>
        <v>878.2816451761355</v>
      </c>
      <c r="M1711" s="9">
        <f t="shared" si="206"/>
        <v>870.5</v>
      </c>
      <c r="N1711" s="9">
        <f t="shared" si="206"/>
        <v>880.2</v>
      </c>
      <c r="O1711" s="9">
        <f t="shared" si="206"/>
        <v>892.1</v>
      </c>
      <c r="P1711" s="9">
        <f t="shared" si="206"/>
        <v>937</v>
      </c>
      <c r="S1711" s="16">
        <f t="shared" si="204"/>
        <v>5.2027422389042011E-2</v>
      </c>
      <c r="T1711" s="16">
        <f t="shared" si="204"/>
        <v>0.23087219953949822</v>
      </c>
      <c r="U1711" s="16">
        <f t="shared" si="204"/>
        <v>0.21077670715582753</v>
      </c>
      <c r="V1711" s="16">
        <f t="shared" si="204"/>
        <v>0.1632862262594148</v>
      </c>
      <c r="W1711" s="16">
        <f t="shared" si="204"/>
        <v>0.24563055095964414</v>
      </c>
      <c r="X1711" s="5">
        <f t="shared" ref="X1711:AA1712" si="207">M1711/I1711-1</f>
        <v>8.8725498394961688E-2</v>
      </c>
      <c r="Y1711" s="5">
        <f t="shared" si="207"/>
        <v>9.0332048409331733E-2</v>
      </c>
      <c r="Z1711" s="5">
        <f t="shared" si="207"/>
        <v>9.0840180135201232E-2</v>
      </c>
      <c r="AA1711" s="5">
        <f t="shared" si="207"/>
        <v>6.685595121606891E-2</v>
      </c>
      <c r="AC1711" s="16">
        <f t="shared" si="205"/>
        <v>0.40140321205573271</v>
      </c>
      <c r="AD1711" s="16">
        <f t="shared" si="205"/>
        <v>1.3148344559710197</v>
      </c>
      <c r="AE1711" s="16">
        <f t="shared" si="205"/>
        <v>1.4169525138002479</v>
      </c>
      <c r="AF1711" s="16">
        <f t="shared" si="205"/>
        <v>1.3760074319038036</v>
      </c>
      <c r="AG1711" s="16">
        <f t="shared" si="205"/>
        <v>1.6181372094899587</v>
      </c>
      <c r="AH1711" s="16">
        <f t="shared" si="205"/>
        <v>0.90542126677841384</v>
      </c>
      <c r="AI1711" s="16">
        <f t="shared" si="205"/>
        <v>0.86734086115686881</v>
      </c>
    </row>
    <row r="1712" spans="1:35">
      <c r="B1712" t="s">
        <v>1540</v>
      </c>
      <c r="D1712" s="9">
        <f>77-D1713</f>
        <v>23.799999999999997</v>
      </c>
      <c r="E1712" s="9">
        <f>88-E1713</f>
        <v>34.1</v>
      </c>
      <c r="F1712" s="9">
        <f>92-F1713</f>
        <v>36.445999999999998</v>
      </c>
      <c r="G1712" s="458">
        <f>85-G1713</f>
        <v>28.402000000000001</v>
      </c>
      <c r="H1712" s="9">
        <f>129-H1713</f>
        <v>69.596000000000004</v>
      </c>
      <c r="I1712" s="9">
        <f>I1710-I1711</f>
        <v>52.089600353077913</v>
      </c>
      <c r="J1712" s="9">
        <f>J1710-J1711</f>
        <v>50.646483550598759</v>
      </c>
      <c r="K1712" s="9">
        <f>K1710-K1711</f>
        <v>53.631696697292909</v>
      </c>
      <c r="L1712" s="9">
        <f>127-L1713</f>
        <v>60</v>
      </c>
      <c r="M1712" s="9">
        <f>M1710-M1711</f>
        <v>59.5</v>
      </c>
      <c r="N1712" s="9">
        <f>N1710-N1711</f>
        <v>61.799999999999955</v>
      </c>
      <c r="O1712" s="9">
        <f>O1710-O1711</f>
        <v>56.899999999999977</v>
      </c>
      <c r="P1712" s="9">
        <f>P1710-P1711</f>
        <v>70</v>
      </c>
      <c r="S1712" s="16">
        <f t="shared" si="204"/>
        <v>1.9242016806722693</v>
      </c>
      <c r="T1712" s="16">
        <f t="shared" si="204"/>
        <v>0.52755426255360449</v>
      </c>
      <c r="U1712" s="16">
        <f t="shared" si="204"/>
        <v>0.38963078391589656</v>
      </c>
      <c r="V1712" s="16">
        <f t="shared" si="204"/>
        <v>0.88830704518318804</v>
      </c>
      <c r="W1712" s="16">
        <f t="shared" si="204"/>
        <v>-0.13788148744180706</v>
      </c>
      <c r="X1712" s="5">
        <f t="shared" si="207"/>
        <v>0.14226255522584785</v>
      </c>
      <c r="Y1712" s="5">
        <f t="shared" si="207"/>
        <v>0.22022291909483083</v>
      </c>
      <c r="Z1712" s="5">
        <f t="shared" si="207"/>
        <v>6.0939770769401047E-2</v>
      </c>
      <c r="AA1712" s="5">
        <f t="shared" si="207"/>
        <v>0.16666666666666674</v>
      </c>
      <c r="AC1712" s="16">
        <f t="shared" si="205"/>
        <v>0.52717958655183983</v>
      </c>
      <c r="AD1712" s="16">
        <f t="shared" si="205"/>
        <v>0.1577188250753091</v>
      </c>
      <c r="AE1712" s="16">
        <f t="shared" si="205"/>
        <v>0.14317832730974331</v>
      </c>
      <c r="AF1712" s="16">
        <f t="shared" si="205"/>
        <v>0.30242481945277189</v>
      </c>
      <c r="AG1712" s="16">
        <f t="shared" si="205"/>
        <v>-8.9655852893331389E-2</v>
      </c>
      <c r="AH1712" s="16">
        <f t="shared" si="205"/>
        <v>9.4578733221586109E-2</v>
      </c>
      <c r="AI1712" s="16">
        <f t="shared" si="205"/>
        <v>0.13265913884313116</v>
      </c>
    </row>
    <row r="1713" spans="2:35">
      <c r="B1713" t="s">
        <v>1193</v>
      </c>
      <c r="D1713" s="9">
        <f>Quarts!AK218</f>
        <v>53.2</v>
      </c>
      <c r="E1713" s="31">
        <f>Quarts!AM218</f>
        <v>53.9</v>
      </c>
      <c r="F1713" s="31">
        <f>Quarts!AN218</f>
        <v>55.554000000000002</v>
      </c>
      <c r="G1713" s="31">
        <f>Quarts!AO218</f>
        <v>56.597999999999999</v>
      </c>
      <c r="H1713" s="31">
        <f>Quarts!AP218</f>
        <v>59.404000000000003</v>
      </c>
      <c r="I1713" s="31"/>
      <c r="J1713" s="31"/>
      <c r="K1713" s="31">
        <f>Quarts!AT218</f>
        <v>62</v>
      </c>
      <c r="L1713" s="31">
        <f>Quarts!AU218</f>
        <v>67</v>
      </c>
      <c r="M1713" s="31"/>
      <c r="S1713" s="16">
        <f t="shared" si="204"/>
        <v>0.11661654135338351</v>
      </c>
      <c r="T1713" s="16">
        <f t="shared" si="204"/>
        <v>-1</v>
      </c>
      <c r="U1713" s="16">
        <f t="shared" si="204"/>
        <v>-1</v>
      </c>
      <c r="V1713" s="16">
        <f t="shared" si="204"/>
        <v>9.5445068730343863E-2</v>
      </c>
      <c r="W1713" s="16">
        <f t="shared" si="204"/>
        <v>0.12787017709245152</v>
      </c>
      <c r="X1713" s="16"/>
      <c r="Y1713" s="16"/>
      <c r="AC1713" s="16">
        <f t="shared" si="205"/>
        <v>7.141720139242759E-2</v>
      </c>
      <c r="AD1713" s="16">
        <f t="shared" si="205"/>
        <v>-0.47255328104632871</v>
      </c>
      <c r="AE1713" s="16">
        <f t="shared" si="205"/>
        <v>-0.56013084110999123</v>
      </c>
      <c r="AF1713" s="16">
        <f t="shared" si="205"/>
        <v>6.4753012859610257E-2</v>
      </c>
      <c r="AG1713" s="16">
        <f t="shared" si="205"/>
        <v>7.0969764336988816E-2</v>
      </c>
      <c r="AH1713" s="16">
        <f t="shared" si="205"/>
        <v>0</v>
      </c>
      <c r="AI1713" s="16">
        <f t="shared" si="205"/>
        <v>0</v>
      </c>
    </row>
    <row r="1714" spans="2:35">
      <c r="D1714" s="9"/>
      <c r="E1714" s="9"/>
      <c r="F1714" s="9"/>
      <c r="G1714" s="9"/>
      <c r="H1714" s="9"/>
      <c r="I1714" s="9"/>
      <c r="J1714" s="9"/>
      <c r="S1714" s="16"/>
      <c r="T1714" s="16"/>
      <c r="U1714" s="16"/>
      <c r="V1714" s="16"/>
      <c r="W1714" s="16"/>
      <c r="X1714" s="16"/>
      <c r="Y1714" s="16"/>
    </row>
    <row r="1715" spans="2:35">
      <c r="B1715" t="s">
        <v>1908</v>
      </c>
      <c r="D1715" s="9">
        <f>D1711-D1716</f>
        <v>507.22017201682434</v>
      </c>
      <c r="E1715" s="9">
        <f>E1711-E1716</f>
        <v>482.58713958639214</v>
      </c>
      <c r="F1715" s="9">
        <f>F1711-F1716</f>
        <v>489.74309882744035</v>
      </c>
      <c r="G1715" s="9">
        <f>G1711-G1716</f>
        <v>512.01699999999994</v>
      </c>
      <c r="H1715" s="9">
        <f>H1711-H1716</f>
        <v>501.09000000000003</v>
      </c>
      <c r="I1715" s="555">
        <f>M1715/(1+X1715)</f>
        <v>514.25762045231079</v>
      </c>
      <c r="J1715" s="555">
        <f>N1715/(1+Y1715)</f>
        <v>509.39663699307619</v>
      </c>
      <c r="K1715" s="555">
        <f>O1715/(1+Z1715)</f>
        <v>505.91715976331358</v>
      </c>
      <c r="L1715" s="555">
        <f>P1715/(1+AA1715)</f>
        <v>532.32323232323233</v>
      </c>
      <c r="M1715" s="555">
        <v>523</v>
      </c>
      <c r="N1715" s="523">
        <v>515</v>
      </c>
      <c r="O1715" s="523">
        <v>513</v>
      </c>
      <c r="P1715" s="523">
        <v>527</v>
      </c>
      <c r="S1715" s="16">
        <f t="shared" ref="S1715:W1718" si="208">H1715/D1715-1</f>
        <v>-1.2085820625881927E-2</v>
      </c>
      <c r="T1715" s="16">
        <f t="shared" si="208"/>
        <v>6.5626450164134598E-2</v>
      </c>
      <c r="U1715" s="16">
        <f t="shared" si="208"/>
        <v>4.0130301402288238E-2</v>
      </c>
      <c r="V1715" s="16">
        <f t="shared" si="208"/>
        <v>-1.1913354901666118E-2</v>
      </c>
      <c r="W1715" s="16">
        <f t="shared" si="208"/>
        <v>6.233058397340252E-2</v>
      </c>
      <c r="X1715" s="556">
        <v>1.7000000000000001E-2</v>
      </c>
      <c r="Y1715" s="556">
        <v>1.0999999999999999E-2</v>
      </c>
      <c r="Z1715" s="556">
        <v>1.4E-2</v>
      </c>
      <c r="AA1715" s="556">
        <v>-0.01</v>
      </c>
      <c r="AC1715" s="16">
        <f t="shared" ref="AC1715:AI1718" si="209">(H1715-D1715)/(H$1710-D$1710)</f>
        <v>-7.0567332284939596E-2</v>
      </c>
      <c r="AD1715" s="16">
        <f t="shared" si="209"/>
        <v>0.2776621455566759</v>
      </c>
      <c r="AE1715" s="16">
        <f t="shared" si="209"/>
        <v>0.19815950000908875</v>
      </c>
      <c r="AF1715" s="16">
        <f t="shared" si="209"/>
        <v>-7.3117925451262486E-2</v>
      </c>
      <c r="AG1715" s="16">
        <f t="shared" si="209"/>
        <v>0.29181347254636902</v>
      </c>
      <c r="AH1715" s="16">
        <f t="shared" si="209"/>
        <v>0.11157875720052132</v>
      </c>
      <c r="AI1715" s="16">
        <f t="shared" si="209"/>
        <v>6.664600482692426E-2</v>
      </c>
    </row>
    <row r="1716" spans="2:35">
      <c r="B1716" t="s">
        <v>896</v>
      </c>
      <c r="D1716" s="9">
        <f t="shared" ref="D1716:P1716" si="210">D1717+D1718</f>
        <v>163</v>
      </c>
      <c r="E1716" s="9">
        <f t="shared" si="210"/>
        <v>167</v>
      </c>
      <c r="F1716" s="9">
        <f t="shared" si="210"/>
        <v>177</v>
      </c>
      <c r="G1716" s="9">
        <f t="shared" si="210"/>
        <v>191</v>
      </c>
      <c r="H1716" s="9">
        <f t="shared" si="210"/>
        <v>204</v>
      </c>
      <c r="I1716" s="9">
        <f t="shared" si="210"/>
        <v>285.30113084296283</v>
      </c>
      <c r="J1716" s="9">
        <f t="shared" si="210"/>
        <v>297.8803767240845</v>
      </c>
      <c r="K1716" s="9">
        <f t="shared" si="210"/>
        <v>311.89283316290135</v>
      </c>
      <c r="L1716" s="9">
        <f t="shared" si="210"/>
        <v>345.95841285290322</v>
      </c>
      <c r="M1716" s="9">
        <f t="shared" si="210"/>
        <v>347.5</v>
      </c>
      <c r="N1716" s="9">
        <f t="shared" si="210"/>
        <v>365.2</v>
      </c>
      <c r="O1716" s="9">
        <f t="shared" si="210"/>
        <v>379.1</v>
      </c>
      <c r="P1716" s="9">
        <f t="shared" si="210"/>
        <v>410</v>
      </c>
      <c r="Q1716" s="16">
        <f>P1716/P1711</f>
        <v>0.43756670224119532</v>
      </c>
      <c r="S1716" s="16">
        <f t="shared" si="208"/>
        <v>0.25153374233128845</v>
      </c>
      <c r="T1716" s="16">
        <f t="shared" si="208"/>
        <v>0.70839000504768168</v>
      </c>
      <c r="U1716" s="16">
        <f t="shared" si="208"/>
        <v>0.68293998149200275</v>
      </c>
      <c r="V1716" s="16">
        <f t="shared" si="208"/>
        <v>0.63294677048639447</v>
      </c>
      <c r="W1716" s="16">
        <f t="shared" si="208"/>
        <v>0.69587457280834908</v>
      </c>
      <c r="X1716" s="16">
        <f>M1716/I1716-1</f>
        <v>0.2180112955502902</v>
      </c>
      <c r="Y1716" s="16">
        <f>N1716/J1716-1</f>
        <v>0.22599549529330409</v>
      </c>
      <c r="Z1716" s="16">
        <f>O1716/K1716-1</f>
        <v>0.21548160038033459</v>
      </c>
      <c r="AA1716" s="16">
        <f>P1716/L1716-1</f>
        <v>0.18511354188205953</v>
      </c>
      <c r="AC1716" s="16">
        <f t="shared" si="209"/>
        <v>0.47197054434067232</v>
      </c>
      <c r="AD1716" s="16">
        <f t="shared" si="209"/>
        <v>1.0371723104143438</v>
      </c>
      <c r="AE1716" s="16">
        <f t="shared" si="209"/>
        <v>1.2187930137911593</v>
      </c>
      <c r="AF1716" s="16">
        <f t="shared" si="209"/>
        <v>1.449125357355066</v>
      </c>
      <c r="AG1716" s="16">
        <f t="shared" si="209"/>
        <v>1.3263237369435901</v>
      </c>
      <c r="AH1716" s="16">
        <f t="shared" si="209"/>
        <v>0.7938425095778926</v>
      </c>
      <c r="AI1716" s="16">
        <f t="shared" si="209"/>
        <v>0.80069485632994397</v>
      </c>
    </row>
    <row r="1717" spans="2:35">
      <c r="B1717" s="129" t="s">
        <v>2005</v>
      </c>
      <c r="C1717" s="129"/>
      <c r="D1717">
        <v>82</v>
      </c>
      <c r="E1717" s="9">
        <v>82</v>
      </c>
      <c r="F1717" s="9">
        <v>74</v>
      </c>
      <c r="G1717" s="458">
        <v>81</v>
      </c>
      <c r="H1717" s="9">
        <v>83</v>
      </c>
      <c r="I1717" s="555">
        <f>M1717/(1+X1717)</f>
        <v>86.190917516218718</v>
      </c>
      <c r="J1717" s="555">
        <f>N1717/(1+Y1717)</f>
        <v>86.67287977632806</v>
      </c>
      <c r="K1717" s="555">
        <f>O1717/(1+Z1717)</f>
        <v>88.6426592797784</v>
      </c>
      <c r="L1717" s="555">
        <f>P1717/(1+AA1717)</f>
        <v>93.457943925233636</v>
      </c>
      <c r="M1717" s="555">
        <v>93</v>
      </c>
      <c r="N1717" s="555">
        <v>93</v>
      </c>
      <c r="O1717" s="555">
        <v>96</v>
      </c>
      <c r="P1717" s="555">
        <v>100</v>
      </c>
      <c r="S1717" s="16">
        <f t="shared" si="208"/>
        <v>1.2195121951219523E-2</v>
      </c>
      <c r="T1717" s="16">
        <f t="shared" si="208"/>
        <v>5.1108750197789155E-2</v>
      </c>
      <c r="U1717" s="16">
        <f t="shared" si="208"/>
        <v>0.17125513211254129</v>
      </c>
      <c r="V1717" s="16">
        <f t="shared" si="208"/>
        <v>9.4353818268869238E-2</v>
      </c>
      <c r="W1717" s="16">
        <f t="shared" si="208"/>
        <v>0.12599932440040518</v>
      </c>
      <c r="X1717" s="556">
        <v>7.9000000000000001E-2</v>
      </c>
      <c r="Y1717" s="556">
        <v>7.2999999999999995E-2</v>
      </c>
      <c r="Z1717" s="556">
        <v>8.3000000000000004E-2</v>
      </c>
      <c r="AA1717" s="556">
        <v>7.0000000000000007E-2</v>
      </c>
      <c r="AC1717" s="16">
        <f t="shared" si="209"/>
        <v>1.151147669123591E-2</v>
      </c>
      <c r="AD1717" s="16">
        <f t="shared" si="209"/>
        <v>3.6742705433834622E-2</v>
      </c>
      <c r="AE1717" s="16">
        <f t="shared" si="209"/>
        <v>0.12777605228067168</v>
      </c>
      <c r="AF1717" s="16">
        <f t="shared" si="209"/>
        <v>9.1611479938006335E-2</v>
      </c>
      <c r="AG1717" s="16">
        <f t="shared" si="209"/>
        <v>9.7709033152089952E-2</v>
      </c>
      <c r="AH1717" s="16">
        <f t="shared" si="209"/>
        <v>8.6904138292299551E-2</v>
      </c>
      <c r="AI1717" s="16">
        <f t="shared" si="209"/>
        <v>7.5254322171582178E-2</v>
      </c>
    </row>
    <row r="1718" spans="2:35">
      <c r="B1718" s="165" t="s">
        <v>2006</v>
      </c>
      <c r="C1718" s="165"/>
      <c r="D1718" s="455">
        <v>81</v>
      </c>
      <c r="E1718" s="13">
        <v>85</v>
      </c>
      <c r="F1718" s="13">
        <v>103</v>
      </c>
      <c r="G1718" s="457">
        <v>110</v>
      </c>
      <c r="H1718" s="13">
        <v>121</v>
      </c>
      <c r="I1718" s="13">
        <f t="shared" ref="I1718:P1718" si="211">SUM(I1723:I1726)</f>
        <v>199.11021332674409</v>
      </c>
      <c r="J1718" s="13">
        <f t="shared" si="211"/>
        <v>211.20749694775643</v>
      </c>
      <c r="K1718" s="13">
        <f t="shared" si="211"/>
        <v>223.25017388312295</v>
      </c>
      <c r="L1718" s="13">
        <f t="shared" si="211"/>
        <v>252.50046892766957</v>
      </c>
      <c r="M1718" s="13">
        <f t="shared" si="211"/>
        <v>254.5</v>
      </c>
      <c r="N1718" s="13">
        <f t="shared" si="211"/>
        <v>272.2</v>
      </c>
      <c r="O1718" s="13">
        <f t="shared" si="211"/>
        <v>283.10000000000002</v>
      </c>
      <c r="P1718" s="13">
        <f t="shared" si="211"/>
        <v>310</v>
      </c>
      <c r="S1718" s="20">
        <f t="shared" si="208"/>
        <v>0.49382716049382713</v>
      </c>
      <c r="T1718" s="20">
        <f t="shared" si="208"/>
        <v>1.3424730979616952</v>
      </c>
      <c r="U1718" s="20">
        <f t="shared" si="208"/>
        <v>1.0505582227937516</v>
      </c>
      <c r="V1718" s="20">
        <f t="shared" si="208"/>
        <v>1.0295470353011176</v>
      </c>
      <c r="W1718" s="20">
        <f t="shared" si="208"/>
        <v>1.0867807349394178</v>
      </c>
      <c r="X1718" s="20">
        <f t="shared" ref="X1718:AA1719" si="212">M1718/I1718-1</f>
        <v>0.2781865668656589</v>
      </c>
      <c r="Y1718" s="20">
        <f t="shared" si="212"/>
        <v>0.28878000986551378</v>
      </c>
      <c r="Z1718" s="20">
        <f t="shared" si="212"/>
        <v>0.26808411870805515</v>
      </c>
      <c r="AA1718" s="20">
        <f t="shared" si="212"/>
        <v>0.22772049222927015</v>
      </c>
      <c r="AC1718" s="20">
        <f t="shared" si="209"/>
        <v>0.46045906764943639</v>
      </c>
      <c r="AD1718" s="20">
        <f t="shared" si="209"/>
        <v>1.0004296049805088</v>
      </c>
      <c r="AE1718" s="20">
        <f t="shared" si="209"/>
        <v>1.0910169615104874</v>
      </c>
      <c r="AF1718" s="20">
        <f t="shared" si="209"/>
        <v>1.3575138774170596</v>
      </c>
      <c r="AG1718" s="20">
        <f t="shared" si="209"/>
        <v>1.2286147037915001</v>
      </c>
      <c r="AH1718" s="20">
        <f t="shared" si="209"/>
        <v>0.70693837128559334</v>
      </c>
      <c r="AI1718" s="20">
        <f t="shared" si="209"/>
        <v>0.72544053415836196</v>
      </c>
    </row>
    <row r="1719" spans="2:35">
      <c r="B1719" s="137" t="s">
        <v>2550</v>
      </c>
      <c r="C1719" s="137"/>
      <c r="E1719" s="461">
        <v>38</v>
      </c>
      <c r="F1719" s="461">
        <v>42</v>
      </c>
      <c r="G1719" s="461">
        <v>47</v>
      </c>
      <c r="H1719" s="461">
        <v>53</v>
      </c>
      <c r="I1719" s="9">
        <v>68.400000000000006</v>
      </c>
      <c r="J1719" s="9">
        <v>81.2</v>
      </c>
      <c r="K1719" s="454">
        <f>K1720+K1721</f>
        <v>89.1</v>
      </c>
      <c r="L1719" s="454">
        <f>L1720+L1721</f>
        <v>93</v>
      </c>
      <c r="M1719" s="454">
        <f>M1720+M1721</f>
        <v>104</v>
      </c>
      <c r="N1719" s="454">
        <f>N1720+N1721</f>
        <v>113.60000000000001</v>
      </c>
      <c r="O1719" s="454">
        <f>O1720+O1721</f>
        <v>120.6</v>
      </c>
      <c r="P1719" s="535">
        <v>128</v>
      </c>
      <c r="X1719" s="16">
        <f t="shared" si="212"/>
        <v>0.52046783625730986</v>
      </c>
      <c r="Y1719" s="16">
        <f t="shared" si="212"/>
        <v>0.39901477832512322</v>
      </c>
      <c r="Z1719" s="16">
        <f t="shared" si="212"/>
        <v>0.35353535353535359</v>
      </c>
      <c r="AA1719" s="16">
        <f t="shared" si="212"/>
        <v>0.37634408602150549</v>
      </c>
    </row>
    <row r="1720" spans="2:35">
      <c r="B1720" s="129" t="s">
        <v>1000</v>
      </c>
      <c r="C1720" s="129"/>
      <c r="I1720" s="9">
        <v>34.299999999999997</v>
      </c>
      <c r="J1720" s="9">
        <v>41.3</v>
      </c>
      <c r="K1720" s="454">
        <v>45.8</v>
      </c>
      <c r="L1720" s="454">
        <v>50.5</v>
      </c>
      <c r="M1720" s="454">
        <v>59.9</v>
      </c>
      <c r="N1720" s="454">
        <v>67.400000000000006</v>
      </c>
      <c r="O1720" s="454">
        <v>75.8</v>
      </c>
      <c r="S1720" s="16"/>
      <c r="X1720" s="16">
        <f t="shared" ref="X1720:Z1721" si="213">M1720/I1720-1</f>
        <v>0.74635568513119543</v>
      </c>
      <c r="Y1720" s="16">
        <f t="shared" si="213"/>
        <v>0.6319612590799033</v>
      </c>
      <c r="Z1720" s="16">
        <f t="shared" si="213"/>
        <v>0.65502183406113534</v>
      </c>
    </row>
    <row r="1721" spans="2:35">
      <c r="B1721" s="129" t="s">
        <v>1001</v>
      </c>
      <c r="C1721" s="129"/>
      <c r="E1721" s="21"/>
      <c r="F1721" s="21"/>
      <c r="G1721" s="21"/>
      <c r="H1721" s="21"/>
      <c r="I1721" s="9">
        <v>34.200000000000003</v>
      </c>
      <c r="J1721" s="9">
        <v>39.9</v>
      </c>
      <c r="K1721" s="454">
        <v>43.3</v>
      </c>
      <c r="L1721" s="454">
        <v>42.5</v>
      </c>
      <c r="M1721" s="454">
        <v>44.1</v>
      </c>
      <c r="N1721" s="454">
        <v>46.2</v>
      </c>
      <c r="O1721" s="454">
        <v>44.8</v>
      </c>
      <c r="X1721" s="16">
        <f t="shared" si="213"/>
        <v>0.28947368421052633</v>
      </c>
      <c r="Y1721" s="16">
        <f t="shared" si="213"/>
        <v>0.15789473684210531</v>
      </c>
      <c r="Z1721" s="16">
        <f t="shared" si="213"/>
        <v>3.4642032332563577E-2</v>
      </c>
    </row>
    <row r="1722" spans="2:35">
      <c r="B1722" s="137" t="s">
        <v>2551</v>
      </c>
      <c r="C1722" s="137"/>
      <c r="E1722" s="21"/>
      <c r="F1722" s="21"/>
      <c r="G1722" s="21"/>
      <c r="H1722" s="21"/>
      <c r="I1722" s="9">
        <f>I1723-I1719</f>
        <v>38.345737583395106</v>
      </c>
      <c r="J1722" s="9">
        <f>J1723-J1719</f>
        <v>31.363543936092952</v>
      </c>
      <c r="K1722" s="454"/>
      <c r="L1722" s="454"/>
      <c r="M1722" s="9">
        <f>M1723-M1719</f>
        <v>40</v>
      </c>
      <c r="N1722" s="9">
        <f>N1723-N1719</f>
        <v>41.399999999999991</v>
      </c>
      <c r="O1722" s="9">
        <f>O1723-O1719</f>
        <v>43.400000000000006</v>
      </c>
      <c r="X1722" s="16"/>
      <c r="Y1722" s="16"/>
    </row>
    <row r="1723" spans="2:35">
      <c r="B1723" s="137" t="s">
        <v>2552</v>
      </c>
      <c r="C1723" s="137"/>
      <c r="E1723" s="21"/>
      <c r="F1723" s="21"/>
      <c r="G1723" s="21"/>
      <c r="H1723" s="21"/>
      <c r="I1723" s="555">
        <f t="shared" ref="I1723:L1725" si="214">M1723/(1+X1723)</f>
        <v>106.74573758339511</v>
      </c>
      <c r="J1723" s="555">
        <f t="shared" si="214"/>
        <v>112.56354393609296</v>
      </c>
      <c r="K1723" s="555">
        <f t="shared" si="214"/>
        <v>121.57153446997776</v>
      </c>
      <c r="L1723" s="555">
        <f t="shared" si="214"/>
        <v>134.375</v>
      </c>
      <c r="M1723" s="535">
        <v>144</v>
      </c>
      <c r="N1723" s="535">
        <v>155</v>
      </c>
      <c r="O1723" s="535">
        <v>164</v>
      </c>
      <c r="P1723" s="535">
        <v>172</v>
      </c>
      <c r="X1723" s="556">
        <v>0.34899999999999998</v>
      </c>
      <c r="Y1723" s="556">
        <v>0.377</v>
      </c>
      <c r="Z1723" s="556">
        <v>0.34899999999999998</v>
      </c>
      <c r="AA1723" s="556">
        <v>0.28000000000000003</v>
      </c>
    </row>
    <row r="1724" spans="2:35">
      <c r="B1724" s="137" t="s">
        <v>1785</v>
      </c>
      <c r="C1724" s="137"/>
      <c r="E1724" s="21"/>
      <c r="F1724" s="21"/>
      <c r="G1724" s="21"/>
      <c r="H1724" s="21"/>
      <c r="I1724" s="555">
        <f t="shared" si="214"/>
        <v>69.542253521126753</v>
      </c>
      <c r="J1724" s="555">
        <f t="shared" si="214"/>
        <v>74.239713774597504</v>
      </c>
      <c r="K1724" s="555">
        <f t="shared" si="214"/>
        <v>76.350093109869647</v>
      </c>
      <c r="L1724" s="555">
        <f t="shared" si="214"/>
        <v>90.476190476190467</v>
      </c>
      <c r="M1724" s="535">
        <v>79</v>
      </c>
      <c r="N1724" s="535">
        <v>83</v>
      </c>
      <c r="O1724" s="535">
        <v>82</v>
      </c>
      <c r="P1724" s="535">
        <v>95</v>
      </c>
      <c r="X1724" s="556">
        <v>0.13600000000000001</v>
      </c>
      <c r="Y1724" s="556">
        <v>0.11799999999999999</v>
      </c>
      <c r="Z1724" s="556">
        <v>7.3999999999999996E-2</v>
      </c>
      <c r="AA1724" s="556">
        <v>0.05</v>
      </c>
    </row>
    <row r="1725" spans="2:35">
      <c r="B1725" s="137" t="s">
        <v>1781</v>
      </c>
      <c r="C1725" s="137"/>
      <c r="E1725" s="21"/>
      <c r="F1725" s="21"/>
      <c r="G1725" s="21"/>
      <c r="H1725" s="21"/>
      <c r="I1725" s="555">
        <f t="shared" si="214"/>
        <v>22.222222222222225</v>
      </c>
      <c r="J1725" s="555">
        <f t="shared" si="214"/>
        <v>23.431594860166289</v>
      </c>
      <c r="K1725" s="555">
        <f t="shared" si="214"/>
        <v>23.826714801444044</v>
      </c>
      <c r="L1725" s="555">
        <f t="shared" si="214"/>
        <v>25.503355704697988</v>
      </c>
      <c r="M1725" s="535">
        <v>29</v>
      </c>
      <c r="N1725" s="535">
        <v>31</v>
      </c>
      <c r="O1725" s="535">
        <v>33</v>
      </c>
      <c r="P1725" s="535">
        <v>38</v>
      </c>
      <c r="X1725" s="556">
        <v>0.30499999999999999</v>
      </c>
      <c r="Y1725" s="556">
        <v>0.32300000000000001</v>
      </c>
      <c r="Z1725" s="556">
        <v>0.38500000000000001</v>
      </c>
      <c r="AA1725" s="556">
        <v>0.49</v>
      </c>
    </row>
    <row r="1726" spans="2:35">
      <c r="B1726" s="137" t="s">
        <v>2553</v>
      </c>
      <c r="C1726" s="137"/>
      <c r="E1726" s="21"/>
      <c r="F1726" s="21"/>
      <c r="G1726" s="21"/>
      <c r="H1726" s="21"/>
      <c r="I1726" s="535">
        <v>0.6</v>
      </c>
      <c r="J1726" s="555">
        <f>N1726/(1+Y1726)</f>
        <v>0.97264437689969607</v>
      </c>
      <c r="K1726" s="555">
        <f>O1726/(1+Z1726)</f>
        <v>1.5018315018315016</v>
      </c>
      <c r="L1726" s="555">
        <f>P1726/(1+AA1726)</f>
        <v>2.1459227467811157</v>
      </c>
      <c r="M1726" s="535">
        <v>2.5</v>
      </c>
      <c r="N1726" s="535">
        <v>3.2</v>
      </c>
      <c r="O1726" s="535">
        <v>4.0999999999999996</v>
      </c>
      <c r="P1726" s="535">
        <v>5</v>
      </c>
      <c r="Q1726" s="449"/>
      <c r="X1726" s="16"/>
      <c r="Y1726" s="556">
        <v>2.29</v>
      </c>
      <c r="Z1726" s="556">
        <v>1.73</v>
      </c>
      <c r="AA1726" s="556">
        <v>1.33</v>
      </c>
    </row>
    <row r="1727" spans="2:35">
      <c r="B1727" s="129"/>
      <c r="C1727" s="129"/>
      <c r="E1727" s="21"/>
      <c r="F1727" s="21"/>
      <c r="G1727" s="21"/>
      <c r="H1727" s="21"/>
      <c r="I1727" s="9"/>
      <c r="J1727" s="9"/>
      <c r="K1727" s="454"/>
      <c r="L1727" s="454"/>
      <c r="M1727" s="454"/>
      <c r="N1727" s="454"/>
      <c r="X1727" s="16"/>
      <c r="Y1727" s="16"/>
    </row>
    <row r="1728" spans="2:35">
      <c r="B1728" s="137" t="s">
        <v>360</v>
      </c>
      <c r="C1728" s="137"/>
      <c r="E1728" s="21"/>
      <c r="F1728" s="21"/>
      <c r="G1728" s="21"/>
      <c r="H1728" s="21"/>
      <c r="I1728" s="9"/>
      <c r="J1728" s="454">
        <f>Quarts!AT302+Quarts!AT305</f>
        <v>424.77800000000002</v>
      </c>
      <c r="K1728" s="454"/>
      <c r="L1728" s="454"/>
      <c r="M1728" s="454"/>
      <c r="N1728" s="454">
        <f>Quarts!AX302+Quarts!AX305</f>
        <v>422</v>
      </c>
      <c r="X1728" s="16"/>
      <c r="Y1728" s="16"/>
    </row>
    <row r="1729" spans="2:25">
      <c r="B1729" s="21" t="s">
        <v>2559</v>
      </c>
      <c r="C1729" s="21"/>
      <c r="H1729" s="9"/>
      <c r="I1729" s="9"/>
    </row>
    <row r="1730" spans="2:25">
      <c r="B1730" s="21" t="s">
        <v>2560</v>
      </c>
      <c r="C1730" s="21"/>
      <c r="H1730" s="9"/>
      <c r="I1730" s="9"/>
      <c r="J1730" s="454">
        <f>J1712</f>
        <v>50.646483550598759</v>
      </c>
      <c r="N1730" s="454">
        <f>N1712</f>
        <v>61.799999999999955</v>
      </c>
      <c r="Y1730" s="449">
        <f>N1730/J1730-1</f>
        <v>0.22022291909483083</v>
      </c>
    </row>
    <row r="1731" spans="2:25">
      <c r="B1731" s="21" t="s">
        <v>2559</v>
      </c>
      <c r="C1731" s="21"/>
      <c r="H1731" s="9"/>
      <c r="I1731" s="9"/>
      <c r="J1731">
        <v>77</v>
      </c>
      <c r="N1731">
        <v>87</v>
      </c>
      <c r="Y1731" s="449">
        <f>N1731/J1731-1</f>
        <v>0.12987012987012991</v>
      </c>
    </row>
    <row r="1732" spans="2:25">
      <c r="B1732" s="4" t="s">
        <v>1431</v>
      </c>
      <c r="C1732" s="4"/>
      <c r="H1732" s="9"/>
      <c r="I1732" s="9"/>
      <c r="J1732" s="456">
        <f>J1731/J1710</f>
        <v>8.9751592356687906E-2</v>
      </c>
      <c r="N1732" s="456">
        <f>N1731/N1710</f>
        <v>9.2356687898089165E-2</v>
      </c>
      <c r="Y1732" s="449"/>
    </row>
    <row r="1733" spans="2:25">
      <c r="B1733" s="4" t="s">
        <v>2561</v>
      </c>
      <c r="C1733" s="4"/>
      <c r="H1733" s="9"/>
      <c r="I1733" s="9"/>
      <c r="J1733" s="454">
        <f>J1730+J1731</f>
        <v>127.64648355059876</v>
      </c>
      <c r="N1733" s="454">
        <f>N1730+N1731</f>
        <v>148.79999999999995</v>
      </c>
      <c r="Y1733" s="449">
        <f>N1733/J1733-1</f>
        <v>0.16571953931669414</v>
      </c>
    </row>
    <row r="1734" spans="2:25">
      <c r="H1734" s="9"/>
      <c r="I1734" s="9"/>
    </row>
    <row r="1735" spans="2:25">
      <c r="B1735" t="s">
        <v>1730</v>
      </c>
      <c r="H1735" s="9"/>
      <c r="I1735" s="9"/>
    </row>
    <row r="1736" spans="2:25">
      <c r="B1736" t="s">
        <v>1493</v>
      </c>
      <c r="G1736" s="526">
        <v>1.7</v>
      </c>
      <c r="H1736" s="526">
        <v>2</v>
      </c>
      <c r="I1736" s="526">
        <v>2.4</v>
      </c>
      <c r="J1736" s="7">
        <v>6.8</v>
      </c>
      <c r="K1736" s="7">
        <v>6.5</v>
      </c>
      <c r="L1736" s="7">
        <v>6.4</v>
      </c>
    </row>
    <row r="1737" spans="2:25">
      <c r="B1737" t="s">
        <v>1494</v>
      </c>
      <c r="G1737" s="526">
        <v>12.6</v>
      </c>
      <c r="H1737" s="526">
        <v>12.5</v>
      </c>
      <c r="I1737" s="526">
        <v>13</v>
      </c>
      <c r="J1737" s="7">
        <v>15.5</v>
      </c>
      <c r="K1737" s="7">
        <v>16.2</v>
      </c>
      <c r="L1737" s="7">
        <v>16.600000000000001</v>
      </c>
    </row>
    <row r="1738" spans="2:25">
      <c r="H1738" s="9"/>
      <c r="I1738" s="9"/>
      <c r="W1738" s="455"/>
      <c r="X1738" s="495" t="s">
        <v>851</v>
      </c>
      <c r="Y1738" s="495" t="s">
        <v>981</v>
      </c>
    </row>
    <row r="1739" spans="2:25">
      <c r="B1739" t="s">
        <v>1495</v>
      </c>
      <c r="H1739" s="9"/>
      <c r="I1739" s="9"/>
      <c r="W1739" t="s">
        <v>480</v>
      </c>
      <c r="X1739" s="449">
        <f>F1716/F1711</f>
        <v>0.26546956438136204</v>
      </c>
      <c r="Y1739" s="449">
        <f>J1716/J1711</f>
        <v>0.36899400287947565</v>
      </c>
    </row>
    <row r="1740" spans="2:25">
      <c r="B1740" t="str">
        <f>B1736</f>
        <v>Handsets</v>
      </c>
      <c r="G1740" s="526">
        <f>G1748-G1742</f>
        <v>6</v>
      </c>
      <c r="H1740" s="526">
        <f>H1748-H1742</f>
        <v>5.8</v>
      </c>
      <c r="I1740" s="526">
        <f>I1748-I1742</f>
        <v>6.1999999999999993</v>
      </c>
      <c r="J1740" s="531">
        <f>J1720/J1736/3</f>
        <v>2.0245098039215685</v>
      </c>
      <c r="K1740" s="531">
        <f>K1720/K1736/3</f>
        <v>2.3487179487179488</v>
      </c>
      <c r="L1740" s="531">
        <f>L1720/L1736/3</f>
        <v>2.6302083333333335</v>
      </c>
      <c r="Q1740">
        <v>5600000</v>
      </c>
      <c r="R1740">
        <v>2.4</v>
      </c>
      <c r="S1740">
        <f>R1740*3</f>
        <v>7.1999999999999993</v>
      </c>
      <c r="T1740">
        <f>S1740*Q1740</f>
        <v>40319999.999999993</v>
      </c>
      <c r="W1740" t="s">
        <v>2414</v>
      </c>
      <c r="X1740" s="449">
        <f>F1775/F1772</f>
        <v>8.8658687384802037E-2</v>
      </c>
      <c r="Y1740" s="449">
        <f>J1775/J1772</f>
        <v>0.10568038864312931</v>
      </c>
    </row>
    <row r="1741" spans="2:25">
      <c r="B1741" t="s">
        <v>1496</v>
      </c>
      <c r="G1741" s="5">
        <f>G1740*1000/(Quarts!AP$131+Quarts!AP$125)</f>
        <v>0.25397633820979193</v>
      </c>
      <c r="H1741" s="5">
        <f>H1740*1000/(Quarts!AQ$131+Quarts!AQ$125)</f>
        <v>0.24551046026946552</v>
      </c>
      <c r="I1741" s="5">
        <f>I1740*1000/(Quarts!AR$131+Quarts!AR$125)</f>
        <v>0.25564696308932033</v>
      </c>
      <c r="J1741" s="5">
        <f>J1740*1000/(Quarts!AS$131+Quarts!AS$125)</f>
        <v>8.177100988471489E-2</v>
      </c>
      <c r="K1741" s="5">
        <f>K1740*1000/(Quarts!AT$131+Quarts!AT$125)</f>
        <v>9.3742484482855673E-2</v>
      </c>
      <c r="L1741" s="5">
        <f>L1740*1000/(Quarts!AU$131+Quarts!AU$125)</f>
        <v>0.10201723424611486</v>
      </c>
      <c r="W1741" t="s">
        <v>62</v>
      </c>
      <c r="X1741" s="449">
        <v>0.16</v>
      </c>
      <c r="Y1741" s="449">
        <v>0.18099999999999999</v>
      </c>
    </row>
    <row r="1742" spans="2:25">
      <c r="B1742" t="str">
        <f>B1737</f>
        <v>Dongles</v>
      </c>
      <c r="G1742" s="527">
        <v>0.9</v>
      </c>
      <c r="H1742" s="526">
        <v>1.2</v>
      </c>
      <c r="I1742" s="526">
        <v>1.1000000000000001</v>
      </c>
      <c r="J1742" s="531">
        <f>J1721/J1737/3</f>
        <v>0.85806451612903223</v>
      </c>
      <c r="K1742" s="531">
        <f>K1721/K1737/3</f>
        <v>0.89094650205761317</v>
      </c>
      <c r="L1742" s="531">
        <f>L1721/L1737/3</f>
        <v>0.85341365461847385</v>
      </c>
      <c r="T1742">
        <f>T1740/1000000</f>
        <v>40.319999999999993</v>
      </c>
      <c r="W1742" t="s">
        <v>2415</v>
      </c>
      <c r="X1742" s="449">
        <v>0.28199999999999997</v>
      </c>
      <c r="Y1742" s="449">
        <v>0.33200000000000002</v>
      </c>
    </row>
    <row r="1743" spans="2:25">
      <c r="B1743" t="s">
        <v>1496</v>
      </c>
      <c r="G1743" s="5">
        <f>G1742*1000/(Quarts!AP$131+Quarts!AP$125)</f>
        <v>3.8096450731468785E-2</v>
      </c>
      <c r="H1743" s="5">
        <f>H1742*1000/(Quarts!AQ$131+Quarts!AQ$125)</f>
        <v>5.079526764195838E-2</v>
      </c>
      <c r="I1743" s="5">
        <f>I1742*1000/(Quarts!AR$131+Quarts!AR$125)</f>
        <v>4.5356719257782646E-2</v>
      </c>
      <c r="J1743" s="5">
        <f>J1742*1000/(Quarts!AS$131+Quarts!AS$125)</f>
        <v>3.4657674610514479E-2</v>
      </c>
      <c r="K1743" s="5">
        <f>K1742*1000/(Quarts!AT$131+Quarts!AT$125)</f>
        <v>3.5559628898727325E-2</v>
      </c>
      <c r="L1743" s="5">
        <f>L1742*1000/(Quarts!AU$131+Quarts!AU$125)</f>
        <v>3.3101142448936229E-2</v>
      </c>
      <c r="W1743" t="s">
        <v>1972</v>
      </c>
      <c r="X1743" s="449">
        <v>0.31862688414496093</v>
      </c>
      <c r="Y1743" s="449">
        <v>0.33435279039646804</v>
      </c>
    </row>
    <row r="1744" spans="2:25">
      <c r="H1744" s="9"/>
      <c r="I1744" s="9"/>
      <c r="K1744" s="531">
        <f>K1740-J1740</f>
        <v>0.32420814479638027</v>
      </c>
      <c r="L1744" s="531">
        <f>L1740-K1740</f>
        <v>0.28149038461538467</v>
      </c>
    </row>
    <row r="1745" spans="2:23">
      <c r="B1745" t="s">
        <v>560</v>
      </c>
      <c r="H1745" s="9"/>
      <c r="I1745" s="9"/>
      <c r="K1745" s="531">
        <f>K1742-J1742</f>
        <v>3.2881985928580937E-2</v>
      </c>
      <c r="L1745" s="531">
        <f>L1742-K1742</f>
        <v>-3.7532847439139316E-2</v>
      </c>
    </row>
    <row r="1746" spans="2:23">
      <c r="B1746" t="s">
        <v>1481</v>
      </c>
      <c r="G1746" s="528">
        <v>1.8</v>
      </c>
      <c r="H1746" s="526">
        <v>1.9</v>
      </c>
      <c r="I1746" s="526">
        <v>2</v>
      </c>
      <c r="J1746">
        <v>1.4</v>
      </c>
      <c r="K1746">
        <v>1.7</v>
      </c>
      <c r="L1746">
        <v>1.9</v>
      </c>
      <c r="Q1746" s="455"/>
      <c r="R1746" s="455"/>
      <c r="S1746" s="455"/>
      <c r="T1746" s="495" t="str">
        <f>S1709</f>
        <v>Q4 10</v>
      </c>
      <c r="U1746" s="495" t="str">
        <f>T1709</f>
        <v>Q1 11</v>
      </c>
      <c r="V1746" s="495" t="str">
        <f>U1709</f>
        <v>Q2 11</v>
      </c>
      <c r="W1746" s="495" t="str">
        <f>V1709</f>
        <v>Q3 11</v>
      </c>
    </row>
    <row r="1747" spans="2:23">
      <c r="B1747" s="11" t="s">
        <v>1482</v>
      </c>
      <c r="C1747" s="11"/>
      <c r="D1747" s="11"/>
      <c r="E1747" s="11"/>
      <c r="F1747" s="11"/>
      <c r="G1747" s="529">
        <f t="shared" ref="G1747:L1747" si="215">G1748-G1746</f>
        <v>5.1000000000000005</v>
      </c>
      <c r="H1747" s="529">
        <f t="shared" si="215"/>
        <v>5.0999999999999996</v>
      </c>
      <c r="I1747" s="529">
        <f t="shared" si="215"/>
        <v>5.3</v>
      </c>
      <c r="J1747" s="455">
        <f t="shared" si="215"/>
        <v>1.9</v>
      </c>
      <c r="K1747" s="483">
        <f t="shared" si="215"/>
        <v>2</v>
      </c>
      <c r="L1747" s="483">
        <f t="shared" si="215"/>
        <v>2</v>
      </c>
      <c r="Q1747" t="str">
        <f>B1715</f>
        <v>Voice</v>
      </c>
      <c r="T1747" s="449">
        <f t="shared" ref="T1747:W1749" si="216">S1715</f>
        <v>-1.2085820625881927E-2</v>
      </c>
      <c r="U1747" s="449">
        <f t="shared" si="216"/>
        <v>6.5626450164134598E-2</v>
      </c>
      <c r="V1747" s="449">
        <f t="shared" si="216"/>
        <v>4.0130301402288238E-2</v>
      </c>
      <c r="W1747" s="449">
        <f t="shared" si="216"/>
        <v>-1.1913354901666118E-2</v>
      </c>
    </row>
    <row r="1748" spans="2:23">
      <c r="B1748" t="s">
        <v>1490</v>
      </c>
      <c r="G1748" s="528">
        <v>6.9</v>
      </c>
      <c r="H1748" s="526">
        <v>7</v>
      </c>
      <c r="I1748" s="526">
        <v>7.3</v>
      </c>
      <c r="J1748">
        <v>3.3</v>
      </c>
      <c r="K1748">
        <v>3.7</v>
      </c>
      <c r="L1748">
        <v>3.9</v>
      </c>
      <c r="Q1748" t="str">
        <f>B1716</f>
        <v>VAS</v>
      </c>
      <c r="T1748" s="449">
        <f t="shared" si="216"/>
        <v>0.25153374233128845</v>
      </c>
      <c r="U1748" s="449">
        <f t="shared" si="216"/>
        <v>0.70839000504768168</v>
      </c>
      <c r="V1748" s="449">
        <f t="shared" si="216"/>
        <v>0.68293998149200275</v>
      </c>
      <c r="W1748" s="449">
        <f t="shared" si="216"/>
        <v>0.63294677048639447</v>
      </c>
    </row>
    <row r="1749" spans="2:23">
      <c r="B1749" s="478" t="s">
        <v>2524</v>
      </c>
      <c r="C1749" s="478"/>
      <c r="H1749" s="9"/>
      <c r="I1749" s="9"/>
      <c r="J1749" s="5">
        <f>J1748*1000/(Quarts!AS$131+Quarts!AS$125)</f>
        <v>0.13328872603968539</v>
      </c>
      <c r="K1749" s="5">
        <f>K1748*1000/(Quarts!AT$131+Quarts!AT$125)</f>
        <v>0.14767511474755537</v>
      </c>
      <c r="L1749" s="5">
        <f>L1748*1000/(Quarts!AU$131+Quarts!AU$125)</f>
        <v>0.15126832673958576</v>
      </c>
      <c r="Q1749" t="str">
        <f>B1717</f>
        <v xml:space="preserve"> - of which SMS</v>
      </c>
      <c r="T1749" s="449">
        <f t="shared" si="216"/>
        <v>1.2195121951219523E-2</v>
      </c>
      <c r="U1749" s="449">
        <f t="shared" si="216"/>
        <v>5.1108750197789155E-2</v>
      </c>
      <c r="V1749" s="449">
        <f t="shared" si="216"/>
        <v>0.17125513211254129</v>
      </c>
      <c r="W1749" s="449">
        <f t="shared" si="216"/>
        <v>9.4353818268869238E-2</v>
      </c>
    </row>
    <row r="1750" spans="2:23">
      <c r="H1750" s="9"/>
      <c r="I1750" s="9"/>
      <c r="K1750" s="5"/>
      <c r="T1750" s="449"/>
      <c r="U1750" s="449"/>
      <c r="V1750" s="449"/>
      <c r="W1750" s="449"/>
    </row>
    <row r="1751" spans="2:23">
      <c r="B1751" s="105" t="s">
        <v>1004</v>
      </c>
      <c r="C1751" s="105"/>
      <c r="D1751" s="99" t="s">
        <v>2362</v>
      </c>
      <c r="E1751" s="99" t="s">
        <v>833</v>
      </c>
      <c r="F1751" s="99" t="s">
        <v>851</v>
      </c>
      <c r="G1751" s="99" t="s">
        <v>1072</v>
      </c>
      <c r="H1751" s="99" t="s">
        <v>1073</v>
      </c>
      <c r="I1751" s="99" t="s">
        <v>2257</v>
      </c>
      <c r="J1751" s="99" t="s">
        <v>981</v>
      </c>
      <c r="K1751" s="99" t="s">
        <v>2432</v>
      </c>
      <c r="L1751" s="99" t="s">
        <v>241</v>
      </c>
      <c r="M1751" s="104" t="str">
        <f>M1709</f>
        <v>Q1 12</v>
      </c>
      <c r="P1751" t="str">
        <f>B1718</f>
        <v xml:space="preserve"> - of which non-SMS</v>
      </c>
      <c r="S1751" s="449">
        <f>S1718</f>
        <v>0.49382716049382713</v>
      </c>
      <c r="T1751" s="449">
        <f>T1718</f>
        <v>1.3424730979616952</v>
      </c>
      <c r="U1751" s="449">
        <f>U1718</f>
        <v>1.0505582227937516</v>
      </c>
      <c r="V1751" s="449">
        <f>V1718</f>
        <v>1.0295470353011176</v>
      </c>
    </row>
    <row r="1752" spans="2:23">
      <c r="B1752" t="str">
        <f>B1710</f>
        <v>Total revenue (inc Amnet)</v>
      </c>
      <c r="D1752" s="16">
        <f t="shared" ref="D1752:M1752" si="217">D1710/D$1710</f>
        <v>1</v>
      </c>
      <c r="E1752" s="16">
        <f t="shared" si="217"/>
        <v>1</v>
      </c>
      <c r="F1752" s="16">
        <f t="shared" si="217"/>
        <v>1</v>
      </c>
      <c r="G1752" s="16">
        <f t="shared" si="217"/>
        <v>1</v>
      </c>
      <c r="H1752" s="16">
        <f t="shared" si="217"/>
        <v>1</v>
      </c>
      <c r="I1752" s="16">
        <f t="shared" si="217"/>
        <v>1</v>
      </c>
      <c r="J1752" s="16">
        <f t="shared" si="217"/>
        <v>1</v>
      </c>
      <c r="K1752" s="16">
        <f t="shared" si="217"/>
        <v>1</v>
      </c>
      <c r="L1752" s="16">
        <f t="shared" si="217"/>
        <v>1</v>
      </c>
      <c r="M1752" s="16">
        <f t="shared" si="217"/>
        <v>1</v>
      </c>
    </row>
    <row r="1753" spans="2:23">
      <c r="B1753" t="str">
        <f>B1711</f>
        <v>Service revenue</v>
      </c>
      <c r="D1753" s="16">
        <f t="shared" ref="D1753:M1753" si="218">D1711/D$1710</f>
        <v>0.8969513901208408</v>
      </c>
      <c r="E1753" s="16">
        <f t="shared" si="218"/>
        <v>0.88069206297530256</v>
      </c>
      <c r="F1753" s="16">
        <f t="shared" si="218"/>
        <v>0.87874683783987417</v>
      </c>
      <c r="G1753" s="16">
        <f t="shared" si="218"/>
        <v>0.89213430674718941</v>
      </c>
      <c r="H1753" s="16">
        <f t="shared" si="218"/>
        <v>0.84534043088875299</v>
      </c>
      <c r="I1753" s="16">
        <f t="shared" si="218"/>
        <v>0.93883672732735368</v>
      </c>
      <c r="J1753" s="16">
        <f t="shared" si="218"/>
        <v>0.9409662007021683</v>
      </c>
      <c r="K1753" s="16">
        <f t="shared" si="218"/>
        <v>0.93845635647697367</v>
      </c>
      <c r="L1753" s="16">
        <f t="shared" si="218"/>
        <v>0.93322875902528801</v>
      </c>
      <c r="M1753" s="16">
        <f t="shared" si="218"/>
        <v>0.9360215053763441</v>
      </c>
    </row>
    <row r="1754" spans="2:23">
      <c r="B1754" t="str">
        <f>B1712</f>
        <v>Other</v>
      </c>
      <c r="D1754" s="16">
        <f t="shared" ref="D1754:M1754" si="219">D1712/D$1710</f>
        <v>3.1851388508103762E-2</v>
      </c>
      <c r="E1754" s="16">
        <f t="shared" si="219"/>
        <v>4.6231825597070265E-2</v>
      </c>
      <c r="F1754" s="16">
        <f t="shared" si="219"/>
        <v>4.8034703783564628E-2</v>
      </c>
      <c r="G1754" s="16">
        <f t="shared" si="219"/>
        <v>3.6042369644309707E-2</v>
      </c>
      <c r="H1754" s="16">
        <f t="shared" si="219"/>
        <v>8.3439436991211979E-2</v>
      </c>
      <c r="I1754" s="16">
        <f t="shared" si="219"/>
        <v>6.1163272672646332E-2</v>
      </c>
      <c r="J1754" s="16">
        <f t="shared" si="219"/>
        <v>5.9033799297831681E-2</v>
      </c>
      <c r="K1754" s="16">
        <f t="shared" si="219"/>
        <v>6.1543643523026319E-2</v>
      </c>
      <c r="L1754" s="16">
        <f t="shared" si="219"/>
        <v>6.3753723932472695E-2</v>
      </c>
      <c r="M1754" s="16">
        <f t="shared" si="219"/>
        <v>6.3978494623655915E-2</v>
      </c>
    </row>
    <row r="1755" spans="2:23">
      <c r="B1755" t="str">
        <f>B1713</f>
        <v>Amnet</v>
      </c>
      <c r="D1755" s="16">
        <f t="shared" ref="D1755:M1755" si="220">D1713/D$1710</f>
        <v>7.1197221371055483E-2</v>
      </c>
      <c r="E1755" s="16">
        <f t="shared" si="220"/>
        <v>7.3076111427627183E-2</v>
      </c>
      <c r="F1755" s="16">
        <f t="shared" si="220"/>
        <v>7.3218458376561199E-2</v>
      </c>
      <c r="G1755" s="16">
        <f t="shared" si="220"/>
        <v>7.1823323608500841E-2</v>
      </c>
      <c r="H1755" s="16">
        <f t="shared" si="220"/>
        <v>7.1220132120035015E-2</v>
      </c>
      <c r="I1755" s="16">
        <f t="shared" si="220"/>
        <v>0</v>
      </c>
      <c r="J1755" s="16">
        <f t="shared" si="220"/>
        <v>0</v>
      </c>
      <c r="K1755" s="16">
        <f t="shared" si="220"/>
        <v>7.1146469968387777E-2</v>
      </c>
      <c r="L1755" s="16">
        <f t="shared" si="220"/>
        <v>7.1191658391261181E-2</v>
      </c>
      <c r="M1755" s="16">
        <f t="shared" si="220"/>
        <v>0</v>
      </c>
    </row>
    <row r="1756" spans="2:23">
      <c r="D1756" s="16"/>
      <c r="E1756" s="16"/>
      <c r="F1756" s="16"/>
      <c r="G1756" s="16"/>
      <c r="H1756" s="16"/>
      <c r="I1756" s="16"/>
      <c r="J1756" s="16"/>
      <c r="K1756" s="16"/>
      <c r="L1756" s="16"/>
      <c r="M1756" s="16"/>
    </row>
    <row r="1757" spans="2:23">
      <c r="B1757" t="str">
        <f t="shared" ref="B1757:B1763" si="221">B1715</f>
        <v>Voice</v>
      </c>
      <c r="D1757" s="16">
        <f t="shared" ref="D1757:M1757" si="222">D1715/D$1710</f>
        <v>0.67880952764937375</v>
      </c>
      <c r="E1757" s="16">
        <f t="shared" si="222"/>
        <v>0.65427813703070625</v>
      </c>
      <c r="F1757" s="16">
        <f t="shared" si="222"/>
        <v>0.64546629759702345</v>
      </c>
      <c r="G1757" s="16">
        <f t="shared" si="222"/>
        <v>0.64975374896734461</v>
      </c>
      <c r="H1757" s="16">
        <f t="shared" si="222"/>
        <v>0.60076250764306016</v>
      </c>
      <c r="I1757" s="16">
        <f t="shared" si="222"/>
        <v>0.60383798014400369</v>
      </c>
      <c r="J1757" s="16">
        <f t="shared" si="222"/>
        <v>0.59375531573078311</v>
      </c>
      <c r="K1757" s="16">
        <f t="shared" si="222"/>
        <v>0.58055193570310692</v>
      </c>
      <c r="L1757" s="16">
        <f t="shared" si="222"/>
        <v>0.56562647327294802</v>
      </c>
      <c r="M1757" s="16">
        <f t="shared" si="222"/>
        <v>0.56236559139784947</v>
      </c>
    </row>
    <row r="1758" spans="2:23">
      <c r="B1758" t="str">
        <f t="shared" si="221"/>
        <v>VAS</v>
      </c>
      <c r="D1758" s="16">
        <f t="shared" ref="D1758:M1758" si="223">D1716/D$1710</f>
        <v>0.218141862471467</v>
      </c>
      <c r="E1758" s="16">
        <f t="shared" si="223"/>
        <v>0.22641392594459631</v>
      </c>
      <c r="F1758" s="16">
        <f t="shared" si="223"/>
        <v>0.23328054024285078</v>
      </c>
      <c r="G1758" s="16">
        <f t="shared" si="223"/>
        <v>0.24238055777984488</v>
      </c>
      <c r="H1758" s="16">
        <f t="shared" si="223"/>
        <v>0.24457792324569291</v>
      </c>
      <c r="I1758" s="16">
        <f t="shared" si="223"/>
        <v>0.33499874718334993</v>
      </c>
      <c r="J1758" s="16">
        <f t="shared" si="223"/>
        <v>0.34721088497138519</v>
      </c>
      <c r="K1758" s="16">
        <f t="shared" si="223"/>
        <v>0.35790442077386675</v>
      </c>
      <c r="L1758" s="16">
        <f t="shared" si="223"/>
        <v>0.36760228575234011</v>
      </c>
      <c r="M1758" s="16">
        <f t="shared" si="223"/>
        <v>0.37365591397849462</v>
      </c>
    </row>
    <row r="1759" spans="2:23">
      <c r="B1759" t="str">
        <f t="shared" si="221"/>
        <v xml:space="preserve"> - of which SMS</v>
      </c>
      <c r="D1759" s="16">
        <f t="shared" ref="D1759:M1759" si="224">D1717/D$1710</f>
        <v>0.10974007805313063</v>
      </c>
      <c r="E1759" s="16">
        <f t="shared" si="224"/>
        <v>0.11117330495483171</v>
      </c>
      <c r="F1759" s="16">
        <f t="shared" si="224"/>
        <v>9.7529717389666426E-2</v>
      </c>
      <c r="G1759" s="16">
        <f t="shared" si="224"/>
        <v>0.10278966062914888</v>
      </c>
      <c r="H1759" s="16">
        <f t="shared" si="224"/>
        <v>9.9509645242120151E-2</v>
      </c>
      <c r="I1759" s="16">
        <f t="shared" si="224"/>
        <v>0.10120481927710845</v>
      </c>
      <c r="J1759" s="16">
        <f t="shared" si="224"/>
        <v>0.10102635031253526</v>
      </c>
      <c r="K1759" s="16">
        <f t="shared" si="224"/>
        <v>0.10171955316720618</v>
      </c>
      <c r="L1759" s="16">
        <f t="shared" si="224"/>
        <v>9.9304865938430978E-2</v>
      </c>
      <c r="M1759" s="16">
        <f t="shared" si="224"/>
        <v>0.1</v>
      </c>
    </row>
    <row r="1760" spans="2:23">
      <c r="B1760" s="11" t="str">
        <f t="shared" si="221"/>
        <v xml:space="preserve"> - of which non-SMS</v>
      </c>
      <c r="C1760" s="21"/>
      <c r="D1760" s="16">
        <f t="shared" ref="D1760:M1760" si="225">D1718/D$1710</f>
        <v>0.10840178441833635</v>
      </c>
      <c r="E1760" s="16">
        <f t="shared" si="225"/>
        <v>0.11524062098976458</v>
      </c>
      <c r="F1760" s="16">
        <f t="shared" si="225"/>
        <v>0.13575082285318435</v>
      </c>
      <c r="G1760" s="16">
        <f t="shared" si="225"/>
        <v>0.139590897150696</v>
      </c>
      <c r="H1760" s="16">
        <f t="shared" si="225"/>
        <v>0.14506827800357275</v>
      </c>
      <c r="I1760" s="16">
        <f t="shared" si="225"/>
        <v>0.23379392790624148</v>
      </c>
      <c r="J1760" s="16">
        <f t="shared" si="225"/>
        <v>0.24618453465884987</v>
      </c>
      <c r="K1760" s="16">
        <f t="shared" si="225"/>
        <v>0.25618486760666059</v>
      </c>
      <c r="L1760" s="16">
        <f t="shared" si="225"/>
        <v>0.26829741981390909</v>
      </c>
      <c r="M1760" s="16">
        <f t="shared" si="225"/>
        <v>0.27365591397849465</v>
      </c>
    </row>
    <row r="1761" spans="2:35">
      <c r="B1761" t="str">
        <f t="shared" si="221"/>
        <v xml:space="preserve">    - Mobile internet (2G/3G)</v>
      </c>
      <c r="D1761" s="21"/>
      <c r="E1761" s="21"/>
      <c r="F1761" s="21"/>
      <c r="G1761" s="21"/>
      <c r="H1761" s="21"/>
      <c r="I1761" s="16">
        <f t="shared" ref="I1761:K1763" si="226">I1719/I$1710</f>
        <v>8.0314838709677441E-2</v>
      </c>
      <c r="J1761" s="16">
        <f t="shared" si="226"/>
        <v>9.4647133757961799E-2</v>
      </c>
      <c r="K1761" s="16">
        <f t="shared" si="226"/>
        <v>0.10224436248682824</v>
      </c>
      <c r="L1761" s="16">
        <f>L1719/L$1711</f>
        <v>0.1058885842722459</v>
      </c>
      <c r="M1761" s="16">
        <f>M1719/M$1710</f>
        <v>0.11182795698924732</v>
      </c>
    </row>
    <row r="1762" spans="2:35">
      <c r="B1762" t="str">
        <f t="shared" si="221"/>
        <v xml:space="preserve">         - of which handsets</v>
      </c>
      <c r="D1762" s="21"/>
      <c r="E1762" s="21"/>
      <c r="F1762" s="21"/>
      <c r="G1762" s="21"/>
      <c r="H1762" s="21"/>
      <c r="I1762" s="16">
        <f t="shared" si="226"/>
        <v>4.0274838709677421E-2</v>
      </c>
      <c r="J1762" s="16">
        <f t="shared" si="226"/>
        <v>4.8139490445859877E-2</v>
      </c>
      <c r="K1762" s="16">
        <f t="shared" si="226"/>
        <v>5.2556585879873545E-2</v>
      </c>
      <c r="L1762" s="16">
        <f>L1720/L$1710</f>
        <v>5.3659384309831186E-2</v>
      </c>
      <c r="M1762" s="16">
        <f>M1720/M$1710</f>
        <v>6.4408602150537633E-2</v>
      </c>
    </row>
    <row r="1763" spans="2:35">
      <c r="B1763" s="11" t="str">
        <f t="shared" si="221"/>
        <v xml:space="preserve">         - of which dongles</v>
      </c>
      <c r="C1763" s="21"/>
      <c r="D1763" s="21"/>
      <c r="E1763" s="21"/>
      <c r="F1763" s="21"/>
      <c r="G1763" s="21"/>
      <c r="H1763" s="21"/>
      <c r="I1763" s="16">
        <f t="shared" si="226"/>
        <v>4.0157419354838721E-2</v>
      </c>
      <c r="J1763" s="16">
        <f t="shared" si="226"/>
        <v>4.6507643312101915E-2</v>
      </c>
      <c r="K1763" s="16">
        <f t="shared" si="226"/>
        <v>4.9687776606954684E-2</v>
      </c>
      <c r="L1763" s="16">
        <f>L1721/L$1710</f>
        <v>4.5158887785501492E-2</v>
      </c>
      <c r="M1763" s="16">
        <f>M1721/M$1710</f>
        <v>4.7419354838709682E-2</v>
      </c>
    </row>
    <row r="1764" spans="2:35">
      <c r="B1764" t="e">
        <f>#REF!</f>
        <v>#REF!</v>
      </c>
      <c r="I1764" s="16" t="e">
        <f>#REF!/I$1710</f>
        <v>#REF!</v>
      </c>
      <c r="J1764" s="16" t="e">
        <f>#REF!/J$1710</f>
        <v>#REF!</v>
      </c>
      <c r="K1764" s="16" t="e">
        <f>#REF!/K$1710</f>
        <v>#REF!</v>
      </c>
      <c r="L1764" s="16" t="e">
        <f>#REF!/L$1710</f>
        <v>#REF!</v>
      </c>
      <c r="M1764" s="16" t="e">
        <f>#REF!/M$1710</f>
        <v>#REF!</v>
      </c>
    </row>
    <row r="1765" spans="2:35">
      <c r="H1765" s="5"/>
      <c r="I1765" s="16"/>
    </row>
    <row r="1766" spans="2:35">
      <c r="B1766" t="s">
        <v>1006</v>
      </c>
      <c r="H1766" s="5"/>
      <c r="I1766" s="16"/>
    </row>
    <row r="1767" spans="2:35">
      <c r="H1767" s="5"/>
      <c r="I1767" s="16"/>
    </row>
    <row r="1768" spans="2:35">
      <c r="B1768" s="129"/>
      <c r="C1768" s="129"/>
      <c r="I1768" s="5"/>
      <c r="J1768" s="5"/>
      <c r="O1768" s="456"/>
      <c r="S1768" s="6" t="s">
        <v>945</v>
      </c>
      <c r="T1768" s="6" t="s">
        <v>945</v>
      </c>
      <c r="U1768" s="6" t="s">
        <v>945</v>
      </c>
      <c r="V1768" s="6" t="s">
        <v>945</v>
      </c>
      <c r="W1768" s="6" t="s">
        <v>945</v>
      </c>
      <c r="X1768" s="6" t="s">
        <v>945</v>
      </c>
      <c r="Y1768" s="6" t="s">
        <v>945</v>
      </c>
      <c r="Z1768" s="6" t="s">
        <v>945</v>
      </c>
      <c r="AA1768" s="6" t="s">
        <v>945</v>
      </c>
      <c r="AC1768" s="6" t="s">
        <v>1002</v>
      </c>
      <c r="AD1768" s="6" t="s">
        <v>1002</v>
      </c>
      <c r="AE1768" s="6" t="s">
        <v>2016</v>
      </c>
    </row>
    <row r="1769" spans="2:35">
      <c r="B1769" s="11" t="s">
        <v>1767</v>
      </c>
      <c r="C1769" s="11"/>
      <c r="D1769" s="104" t="str">
        <f t="shared" ref="D1769:P1769" si="227">D1709</f>
        <v>Q4 09</v>
      </c>
      <c r="E1769" s="104" t="str">
        <f t="shared" si="227"/>
        <v>Q1 10</v>
      </c>
      <c r="F1769" s="104" t="str">
        <f t="shared" si="227"/>
        <v>Q2 10</v>
      </c>
      <c r="G1769" s="104" t="str">
        <f t="shared" si="227"/>
        <v>Q3 10</v>
      </c>
      <c r="H1769" s="104" t="str">
        <f t="shared" si="227"/>
        <v>Q4 10</v>
      </c>
      <c r="I1769" s="104" t="str">
        <f t="shared" si="227"/>
        <v>Q1 11</v>
      </c>
      <c r="J1769" s="104" t="str">
        <f t="shared" si="227"/>
        <v>Q2 11</v>
      </c>
      <c r="K1769" s="104" t="str">
        <f t="shared" si="227"/>
        <v>Q3 11</v>
      </c>
      <c r="L1769" s="104" t="str">
        <f t="shared" si="227"/>
        <v>Q4 11</v>
      </c>
      <c r="M1769" s="104" t="str">
        <f t="shared" si="227"/>
        <v>Q1 12</v>
      </c>
      <c r="N1769" s="104" t="str">
        <f t="shared" si="227"/>
        <v>Q2 12</v>
      </c>
      <c r="O1769" s="104" t="str">
        <f t="shared" si="227"/>
        <v>Q3 12</v>
      </c>
      <c r="P1769" s="104" t="str">
        <f t="shared" si="227"/>
        <v>Q4 12</v>
      </c>
      <c r="S1769" s="104" t="str">
        <f t="shared" ref="S1769:AA1769" si="228">H1769</f>
        <v>Q4 10</v>
      </c>
      <c r="T1769" s="104" t="str">
        <f t="shared" si="228"/>
        <v>Q1 11</v>
      </c>
      <c r="U1769" s="104" t="str">
        <f t="shared" si="228"/>
        <v>Q2 11</v>
      </c>
      <c r="V1769" s="104" t="str">
        <f t="shared" si="228"/>
        <v>Q3 11</v>
      </c>
      <c r="W1769" s="104" t="str">
        <f t="shared" si="228"/>
        <v>Q4 11</v>
      </c>
      <c r="X1769" s="104" t="str">
        <f t="shared" si="228"/>
        <v>Q1 12</v>
      </c>
      <c r="Y1769" s="104" t="str">
        <f t="shared" si="228"/>
        <v>Q2 12</v>
      </c>
      <c r="Z1769" s="104" t="str">
        <f t="shared" si="228"/>
        <v>Q3 12</v>
      </c>
      <c r="AA1769" s="104" t="str">
        <f t="shared" si="228"/>
        <v>Q4 12</v>
      </c>
      <c r="AC1769" s="104" t="str">
        <f t="shared" ref="AC1769:AI1769" si="229">S1769</f>
        <v>Q4 10</v>
      </c>
      <c r="AD1769" s="104" t="str">
        <f t="shared" si="229"/>
        <v>Q1 11</v>
      </c>
      <c r="AE1769" s="104" t="str">
        <f t="shared" si="229"/>
        <v>Q2 11</v>
      </c>
      <c r="AF1769" s="104" t="str">
        <f t="shared" si="229"/>
        <v>Q3 11</v>
      </c>
      <c r="AG1769" s="104" t="str">
        <f t="shared" si="229"/>
        <v>Q4 11</v>
      </c>
      <c r="AH1769" s="104" t="str">
        <f t="shared" si="229"/>
        <v>Q1 12</v>
      </c>
      <c r="AI1769" s="104" t="str">
        <f t="shared" si="229"/>
        <v>Q2 12</v>
      </c>
    </row>
    <row r="1770" spans="2:35">
      <c r="B1770" t="s">
        <v>523</v>
      </c>
      <c r="D1770" s="9">
        <f>Quarts!AK239</f>
        <v>227.2</v>
      </c>
      <c r="E1770" s="9">
        <f>Quarts!AM239</f>
        <v>221.27587722222466</v>
      </c>
      <c r="F1770" s="9">
        <f>Quarts!AN239</f>
        <v>219.30500000000001</v>
      </c>
      <c r="G1770" s="9">
        <f>Quarts!AO239</f>
        <v>229.71600000000001</v>
      </c>
      <c r="H1770" s="9">
        <f>Quarts!AP239</f>
        <v>238.845</v>
      </c>
      <c r="I1770" s="454">
        <f>M1770/(1+X1770)</f>
        <v>226.75521821631878</v>
      </c>
      <c r="J1770" s="454">
        <f>N1770/(1+Y1770)</f>
        <v>226.11163670766322</v>
      </c>
      <c r="K1770" s="454">
        <f>O1770/(1+Z1770)</f>
        <v>231.27340823970036</v>
      </c>
      <c r="L1770" s="454">
        <f>P1770/(1+AA1770)</f>
        <v>244.35721295387637</v>
      </c>
      <c r="M1770" s="454">
        <f>Quarts!AW239</f>
        <v>239</v>
      </c>
      <c r="N1770" s="454">
        <f>Quarts!AX239</f>
        <v>239</v>
      </c>
      <c r="O1770" s="454">
        <f>Quarts!AY239</f>
        <v>247</v>
      </c>
      <c r="P1770" s="454">
        <f>Quarts!AZ239</f>
        <v>249</v>
      </c>
      <c r="S1770" s="16">
        <f t="shared" ref="S1770:V1772" si="230">H1770/D1770-1</f>
        <v>5.1254401408450834E-2</v>
      </c>
      <c r="T1770" s="16">
        <f t="shared" si="230"/>
        <v>2.4762486823592056E-2</v>
      </c>
      <c r="U1770" s="16">
        <f t="shared" si="230"/>
        <v>3.1037307437875139E-2</v>
      </c>
      <c r="V1770" s="16">
        <f t="shared" si="230"/>
        <v>6.779711642638464E-3</v>
      </c>
      <c r="X1770" s="556">
        <v>5.3999999999999999E-2</v>
      </c>
      <c r="Y1770" s="556">
        <v>5.7000000000000002E-2</v>
      </c>
      <c r="Z1770" s="556">
        <v>6.8000000000000005E-2</v>
      </c>
      <c r="AA1770" s="556">
        <v>1.9E-2</v>
      </c>
      <c r="AC1770" s="16">
        <f t="shared" ref="AC1770:AF1772" si="231">(H1770-D1770)/(H$1770-D$1770)</f>
        <v>1</v>
      </c>
      <c r="AD1770" s="16">
        <f t="shared" si="231"/>
        <v>1</v>
      </c>
      <c r="AE1770" s="16">
        <f t="shared" si="231"/>
        <v>1</v>
      </c>
      <c r="AF1770" s="16">
        <f t="shared" si="231"/>
        <v>1</v>
      </c>
    </row>
    <row r="1771" spans="2:35">
      <c r="B1771" t="s">
        <v>1003</v>
      </c>
      <c r="D1771">
        <v>5</v>
      </c>
      <c r="E1771" s="9">
        <v>6</v>
      </c>
      <c r="F1771" s="9">
        <v>5</v>
      </c>
      <c r="G1771" s="9">
        <v>1</v>
      </c>
      <c r="H1771" s="9">
        <v>6</v>
      </c>
      <c r="I1771" s="9">
        <v>6</v>
      </c>
      <c r="J1771" s="9">
        <v>5</v>
      </c>
      <c r="K1771" s="478">
        <v>6</v>
      </c>
      <c r="L1771" s="478">
        <v>6</v>
      </c>
      <c r="M1771" s="454">
        <f>M1770-M1772</f>
        <v>5.1999999999999886</v>
      </c>
      <c r="N1771" s="454">
        <f>N1770-N1772</f>
        <v>7.5999999999999943</v>
      </c>
      <c r="O1771" s="454">
        <f>O1770-O1772</f>
        <v>8.5999999999999943</v>
      </c>
      <c r="P1771" s="454">
        <f>P1770-P1772</f>
        <v>7</v>
      </c>
      <c r="S1771" s="16">
        <f t="shared" si="230"/>
        <v>0.19999999999999996</v>
      </c>
      <c r="T1771" s="16">
        <f t="shared" si="230"/>
        <v>0</v>
      </c>
      <c r="U1771" s="16">
        <f t="shared" si="230"/>
        <v>0</v>
      </c>
      <c r="V1771" s="16">
        <f t="shared" si="230"/>
        <v>5</v>
      </c>
      <c r="AC1771" s="16">
        <f t="shared" si="231"/>
        <v>8.5873765564619939E-2</v>
      </c>
      <c r="AD1771" s="16">
        <f t="shared" si="231"/>
        <v>0</v>
      </c>
      <c r="AE1771" s="16">
        <f t="shared" si="231"/>
        <v>0</v>
      </c>
      <c r="AF1771" s="16">
        <f t="shared" si="231"/>
        <v>3.2104620179497783</v>
      </c>
    </row>
    <row r="1772" spans="2:35">
      <c r="B1772" t="s">
        <v>1531</v>
      </c>
      <c r="D1772" s="9">
        <f>D1770-D1771</f>
        <v>222.2</v>
      </c>
      <c r="E1772" s="9">
        <f>E1770-E1771</f>
        <v>215.27587722222466</v>
      </c>
      <c r="F1772" s="9">
        <f>F1770-F1771</f>
        <v>214.30500000000001</v>
      </c>
      <c r="G1772" s="9">
        <f>G1770-G1771</f>
        <v>228.71600000000001</v>
      </c>
      <c r="H1772" s="9">
        <f>H1770-H1771</f>
        <v>232.845</v>
      </c>
      <c r="I1772" s="9">
        <f>I1774+I1775</f>
        <v>218.89954655041339</v>
      </c>
      <c r="J1772" s="9">
        <f>J1774+J1775</f>
        <v>221.36330304425144</v>
      </c>
      <c r="K1772" s="9">
        <f>K1770-K1771</f>
        <v>225.27340823970036</v>
      </c>
      <c r="L1772" s="9">
        <f>L1770-L1771</f>
        <v>238.35721295387637</v>
      </c>
      <c r="M1772" s="9">
        <f>M1774+M1775</f>
        <v>233.8</v>
      </c>
      <c r="N1772" s="9">
        <f>N1774+N1775</f>
        <v>231.4</v>
      </c>
      <c r="O1772" s="9">
        <f>O1774+O1775</f>
        <v>238.4</v>
      </c>
      <c r="P1772" s="9">
        <f>P1774+P1775</f>
        <v>242</v>
      </c>
      <c r="S1772" s="16">
        <f t="shared" si="230"/>
        <v>4.790729072907296E-2</v>
      </c>
      <c r="T1772" s="16">
        <f t="shared" si="230"/>
        <v>1.6832677097620596E-2</v>
      </c>
      <c r="U1772" s="16">
        <f t="shared" si="230"/>
        <v>3.2935783319341327E-2</v>
      </c>
      <c r="V1772" s="16">
        <f t="shared" si="230"/>
        <v>-1.5051818675998363E-2</v>
      </c>
      <c r="X1772" s="449">
        <f>M1772/I1772-1</f>
        <v>6.8069823279213626E-2</v>
      </c>
      <c r="Y1772" s="449">
        <f>N1772/J1772-1</f>
        <v>4.5340383061334144E-2</v>
      </c>
      <c r="Z1772" s="449">
        <f>O1772/K1772-1</f>
        <v>5.8269601649265201E-2</v>
      </c>
      <c r="AA1772" s="449">
        <f>P1772/L1772-1</f>
        <v>1.5282889915433584E-2</v>
      </c>
      <c r="AC1772" s="16">
        <f t="shared" si="231"/>
        <v>0.9141262344353801</v>
      </c>
      <c r="AD1772" s="16">
        <f t="shared" si="231"/>
        <v>0.66133305667496911</v>
      </c>
      <c r="AE1772" s="16">
        <f t="shared" si="231"/>
        <v>1.0369736695811718</v>
      </c>
      <c r="AF1772" s="16">
        <f t="shared" si="231"/>
        <v>-2.2104620179497783</v>
      </c>
    </row>
    <row r="1773" spans="2:35">
      <c r="N1773" s="558"/>
    </row>
    <row r="1774" spans="2:35">
      <c r="B1774" t="s">
        <v>1908</v>
      </c>
      <c r="D1774" s="454">
        <f>D1772-D1775</f>
        <v>204.2</v>
      </c>
      <c r="E1774" s="454">
        <f>E1772-E1775</f>
        <v>196.27587722222466</v>
      </c>
      <c r="F1774" s="454">
        <f>F1772-F1775</f>
        <v>195.30500000000001</v>
      </c>
      <c r="G1774" s="454">
        <f>G1772-G1775</f>
        <v>206.71600000000001</v>
      </c>
      <c r="H1774" s="454">
        <f>H1772-H1775</f>
        <v>208.845</v>
      </c>
      <c r="I1774" s="454">
        <f>M1774/(1+X1774)</f>
        <v>197.05882352941177</v>
      </c>
      <c r="J1774" s="454">
        <f>N1774/(1+Y1774)</f>
        <v>197.96954314720813</v>
      </c>
      <c r="K1774" s="454">
        <f>O1774/(1+Z1774)</f>
        <v>199.58634953464323</v>
      </c>
      <c r="L1774" s="454">
        <f>P1774/(1+AA1774)</f>
        <v>208.79120879120879</v>
      </c>
      <c r="M1774" s="523">
        <v>201</v>
      </c>
      <c r="N1774" s="523">
        <v>195</v>
      </c>
      <c r="O1774" s="523">
        <v>193</v>
      </c>
      <c r="P1774" s="523">
        <v>190</v>
      </c>
      <c r="S1774" s="16">
        <f t="shared" ref="S1774:V1777" si="232">H1774/D1774-1</f>
        <v>2.2747306562193925E-2</v>
      </c>
      <c r="T1774" s="16">
        <f t="shared" si="232"/>
        <v>3.9890093386292236E-3</v>
      </c>
      <c r="U1774" s="16">
        <f t="shared" si="232"/>
        <v>1.3642984804322023E-2</v>
      </c>
      <c r="V1774" s="16">
        <f t="shared" si="232"/>
        <v>-3.4490075588521352E-2</v>
      </c>
      <c r="X1774" s="557">
        <v>0.02</v>
      </c>
      <c r="Y1774" s="557">
        <v>-1.4999999999999999E-2</v>
      </c>
      <c r="Z1774" s="557">
        <v>-3.3000000000000002E-2</v>
      </c>
      <c r="AA1774" s="557">
        <v>-0.09</v>
      </c>
      <c r="AC1774" s="16">
        <f t="shared" ref="AC1774:AF1777" si="233">(H1774-D1774)/(H$1770-D$1770)</f>
        <v>0.39888364104766044</v>
      </c>
      <c r="AD1774" s="16">
        <f t="shared" si="233"/>
        <v>0.142890597250837</v>
      </c>
      <c r="AE1774" s="16">
        <f t="shared" si="233"/>
        <v>0.39146251836949952</v>
      </c>
      <c r="AF1774" s="16">
        <f t="shared" si="233"/>
        <v>-4.5778944040571776</v>
      </c>
    </row>
    <row r="1775" spans="2:35">
      <c r="B1775" t="s">
        <v>896</v>
      </c>
      <c r="D1775">
        <f t="shared" ref="D1775:P1775" si="234">D1776+D1777</f>
        <v>18</v>
      </c>
      <c r="E1775">
        <f t="shared" si="234"/>
        <v>19</v>
      </c>
      <c r="F1775">
        <f t="shared" si="234"/>
        <v>19</v>
      </c>
      <c r="G1775">
        <f t="shared" si="234"/>
        <v>22</v>
      </c>
      <c r="H1775">
        <f t="shared" si="234"/>
        <v>24</v>
      </c>
      <c r="I1775" s="454">
        <f t="shared" si="234"/>
        <v>21.840723021001608</v>
      </c>
      <c r="J1775" s="454">
        <f t="shared" si="234"/>
        <v>23.393759897043303</v>
      </c>
      <c r="K1775" s="454">
        <f t="shared" si="234"/>
        <v>25.73504593879823</v>
      </c>
      <c r="L1775" s="454">
        <f t="shared" si="234"/>
        <v>26.760291147951179</v>
      </c>
      <c r="M1775" s="454">
        <f t="shared" si="234"/>
        <v>32.799999999999997</v>
      </c>
      <c r="N1775" s="454">
        <f t="shared" si="234"/>
        <v>36.4</v>
      </c>
      <c r="O1775" s="454">
        <f t="shared" si="234"/>
        <v>45.4</v>
      </c>
      <c r="P1775" s="454">
        <f t="shared" si="234"/>
        <v>52</v>
      </c>
      <c r="Q1775" s="16">
        <f>P1775/P1772</f>
        <v>0.21487603305785125</v>
      </c>
      <c r="S1775" s="16">
        <f t="shared" si="232"/>
        <v>0.33333333333333326</v>
      </c>
      <c r="T1775" s="16">
        <f t="shared" si="232"/>
        <v>0.14951173794745309</v>
      </c>
      <c r="U1775" s="16">
        <f t="shared" si="232"/>
        <v>0.23125052089701592</v>
      </c>
      <c r="V1775" s="16">
        <f t="shared" si="232"/>
        <v>0.16977481539991945</v>
      </c>
      <c r="AC1775" s="16">
        <f t="shared" si="233"/>
        <v>0.51524259338771961</v>
      </c>
      <c r="AD1775" s="16">
        <f t="shared" si="233"/>
        <v>0.51844245942412948</v>
      </c>
      <c r="AE1775" s="16">
        <f t="shared" si="233"/>
        <v>0.64551115121167135</v>
      </c>
      <c r="AF1775" s="16">
        <f t="shared" si="233"/>
        <v>2.3982446243618578</v>
      </c>
    </row>
    <row r="1776" spans="2:35">
      <c r="B1776" s="129" t="s">
        <v>2005</v>
      </c>
      <c r="C1776" s="129"/>
      <c r="D1776">
        <v>9</v>
      </c>
      <c r="E1776">
        <v>10</v>
      </c>
      <c r="F1776">
        <v>10</v>
      </c>
      <c r="G1776" s="459">
        <v>11</v>
      </c>
      <c r="H1776">
        <v>12</v>
      </c>
      <c r="I1776" s="454">
        <f>M1776/(1+X1776)</f>
        <v>9.8214285714285712</v>
      </c>
      <c r="J1776" s="454">
        <f>N1776/(1+Y1776)</f>
        <v>10.118043844856661</v>
      </c>
      <c r="K1776" s="454">
        <f>O1776/(1+Z1776)</f>
        <v>9.8103335513407455</v>
      </c>
      <c r="L1776" s="454">
        <f>P1776/(1+AA1776)</f>
        <v>10.884353741496598</v>
      </c>
      <c r="M1776" s="523">
        <v>11</v>
      </c>
      <c r="N1776" s="523">
        <v>12</v>
      </c>
      <c r="O1776" s="523">
        <v>15</v>
      </c>
      <c r="P1776" s="523">
        <v>16</v>
      </c>
      <c r="S1776" s="16">
        <f t="shared" si="232"/>
        <v>0.33333333333333326</v>
      </c>
      <c r="T1776" s="16">
        <f t="shared" si="232"/>
        <v>-1.7857142857142905E-2</v>
      </c>
      <c r="U1776" s="16">
        <f t="shared" si="232"/>
        <v>1.180438448566612E-2</v>
      </c>
      <c r="V1776" s="16">
        <f t="shared" si="232"/>
        <v>-0.10815149533265955</v>
      </c>
      <c r="X1776" s="557">
        <v>0.12</v>
      </c>
      <c r="Y1776" s="557">
        <v>0.186</v>
      </c>
      <c r="Z1776" s="557">
        <v>0.52900000000000003</v>
      </c>
      <c r="AA1776" s="557">
        <v>0.47</v>
      </c>
      <c r="AC1776" s="16">
        <f t="shared" si="233"/>
        <v>0.2576212966938598</v>
      </c>
      <c r="AD1776" s="16">
        <f t="shared" si="233"/>
        <v>-3.2589946266147932E-2</v>
      </c>
      <c r="AE1776" s="16">
        <f t="shared" si="233"/>
        <v>1.7342462941170658E-2</v>
      </c>
      <c r="AF1776" s="16">
        <f t="shared" si="233"/>
        <v>-0.76387578948994728</v>
      </c>
    </row>
    <row r="1777" spans="1:32">
      <c r="B1777" s="165" t="s">
        <v>2006</v>
      </c>
      <c r="C1777" s="165"/>
      <c r="D1777" s="455">
        <v>9</v>
      </c>
      <c r="E1777" s="455">
        <v>9</v>
      </c>
      <c r="F1777" s="455">
        <v>9</v>
      </c>
      <c r="G1777" s="460">
        <v>11</v>
      </c>
      <c r="H1777" s="455">
        <v>12</v>
      </c>
      <c r="I1777" s="462">
        <f t="shared" ref="I1777:P1777" si="235">SUM(I1779:I1782)</f>
        <v>12.019294449573037</v>
      </c>
      <c r="J1777" s="462">
        <f t="shared" si="235"/>
        <v>13.27571605218664</v>
      </c>
      <c r="K1777" s="462">
        <f t="shared" si="235"/>
        <v>15.924712387457486</v>
      </c>
      <c r="L1777" s="462">
        <f t="shared" si="235"/>
        <v>15.875937406454581</v>
      </c>
      <c r="M1777" s="454">
        <f t="shared" si="235"/>
        <v>21.8</v>
      </c>
      <c r="N1777" s="454">
        <f t="shared" si="235"/>
        <v>24.4</v>
      </c>
      <c r="O1777" s="454">
        <f t="shared" si="235"/>
        <v>30.4</v>
      </c>
      <c r="P1777" s="454">
        <f t="shared" si="235"/>
        <v>36</v>
      </c>
      <c r="S1777" s="16">
        <f t="shared" si="232"/>
        <v>0.33333333333333326</v>
      </c>
      <c r="T1777" s="16">
        <f t="shared" si="232"/>
        <v>0.33547716106367087</v>
      </c>
      <c r="U1777" s="16">
        <f t="shared" si="232"/>
        <v>0.47507956135407103</v>
      </c>
      <c r="V1777" s="16">
        <f t="shared" si="232"/>
        <v>0.44770112613249879</v>
      </c>
      <c r="X1777" s="449">
        <f>M1777/I1777-1</f>
        <v>0.81375039037956221</v>
      </c>
      <c r="Y1777" s="449">
        <f>N1777/J1777-1</f>
        <v>0.83794229283633115</v>
      </c>
      <c r="Z1777" s="449">
        <f>O1777/K1777-1</f>
        <v>0.90898267173374125</v>
      </c>
      <c r="AA1777" s="449">
        <f>P1777/L1777-1</f>
        <v>1.2675826364346654</v>
      </c>
      <c r="AC1777" s="16">
        <f t="shared" si="233"/>
        <v>0.2576212966938598</v>
      </c>
      <c r="AD1777" s="16">
        <f t="shared" si="233"/>
        <v>0.55103240569027745</v>
      </c>
      <c r="AE1777" s="16">
        <f t="shared" si="233"/>
        <v>0.62816868827050043</v>
      </c>
      <c r="AF1777" s="16">
        <f t="shared" si="233"/>
        <v>3.162120413851806</v>
      </c>
    </row>
    <row r="1778" spans="1:32">
      <c r="B1778" s="129"/>
      <c r="C1778" s="129"/>
    </row>
    <row r="1779" spans="1:32">
      <c r="B1779" s="129" t="str">
        <f>B1723</f>
        <v>Total information</v>
      </c>
      <c r="C1779" s="129"/>
      <c r="I1779" s="454">
        <f t="shared" ref="I1779:L1781" si="236">M1779/(1+X1779)</f>
        <v>3.4502587694077058</v>
      </c>
      <c r="J1779" s="454">
        <f t="shared" si="236"/>
        <v>4.0540540540540544</v>
      </c>
      <c r="K1779" s="454">
        <f t="shared" si="236"/>
        <v>5.4054054054054053</v>
      </c>
      <c r="L1779" s="454">
        <f t="shared" si="236"/>
        <v>4.9773755656108598</v>
      </c>
      <c r="M1779" s="523">
        <v>6</v>
      </c>
      <c r="N1779" s="523">
        <v>6</v>
      </c>
      <c r="O1779" s="523">
        <v>8</v>
      </c>
      <c r="P1779" s="523">
        <v>11</v>
      </c>
      <c r="X1779" s="557">
        <v>0.73899999999999999</v>
      </c>
      <c r="Y1779" s="557">
        <v>0.48</v>
      </c>
      <c r="Z1779" s="557">
        <v>0.48</v>
      </c>
      <c r="AA1779" s="557">
        <v>1.21</v>
      </c>
    </row>
    <row r="1780" spans="1:32">
      <c r="B1780" s="129" t="str">
        <f>B1724</f>
        <v>Entertainment</v>
      </c>
      <c r="C1780" s="129"/>
      <c r="I1780" s="454">
        <f t="shared" si="236"/>
        <v>6.7396798652064023</v>
      </c>
      <c r="J1780" s="454">
        <f t="shared" si="236"/>
        <v>6.5359477124183005</v>
      </c>
      <c r="K1780" s="454">
        <f t="shared" si="236"/>
        <v>7.2621641249092228</v>
      </c>
      <c r="L1780" s="454">
        <f t="shared" si="236"/>
        <v>7.1428571428571423</v>
      </c>
      <c r="M1780" s="523">
        <v>8</v>
      </c>
      <c r="N1780" s="523">
        <v>9</v>
      </c>
      <c r="O1780" s="523">
        <v>10</v>
      </c>
      <c r="P1780" s="523">
        <v>11</v>
      </c>
      <c r="X1780" s="557">
        <v>0.187</v>
      </c>
      <c r="Y1780" s="557">
        <v>0.377</v>
      </c>
      <c r="Z1780" s="557">
        <v>0.377</v>
      </c>
      <c r="AA1780" s="557">
        <v>0.54</v>
      </c>
    </row>
    <row r="1781" spans="1:32">
      <c r="B1781" s="129" t="str">
        <f>B1725</f>
        <v>Solutions</v>
      </c>
      <c r="C1781" s="129"/>
      <c r="I1781" s="454">
        <f t="shared" si="236"/>
        <v>1.7293558149589281</v>
      </c>
      <c r="J1781" s="454">
        <f t="shared" si="236"/>
        <v>2.2857142857142856</v>
      </c>
      <c r="K1781" s="454">
        <f t="shared" si="236"/>
        <v>2.8571428571428572</v>
      </c>
      <c r="L1781" s="454">
        <f t="shared" si="236"/>
        <v>3.3557046979865772</v>
      </c>
      <c r="M1781" s="523">
        <v>4</v>
      </c>
      <c r="N1781" s="523">
        <v>4</v>
      </c>
      <c r="O1781" s="523">
        <v>5</v>
      </c>
      <c r="P1781" s="523">
        <v>5</v>
      </c>
      <c r="X1781" s="557">
        <v>1.3129999999999999</v>
      </c>
      <c r="Y1781" s="557">
        <v>0.75</v>
      </c>
      <c r="Z1781" s="557">
        <v>0.75</v>
      </c>
      <c r="AA1781" s="557">
        <v>0.49</v>
      </c>
    </row>
    <row r="1782" spans="1:32">
      <c r="B1782" s="129" t="str">
        <f>B1726</f>
        <v>MFS (Tigo Cash)</v>
      </c>
      <c r="C1782" s="129"/>
      <c r="I1782" s="535">
        <v>0.1</v>
      </c>
      <c r="J1782" s="535">
        <v>0.4</v>
      </c>
      <c r="K1782" s="535">
        <v>0.4</v>
      </c>
      <c r="L1782" s="535">
        <v>0.4</v>
      </c>
      <c r="M1782" s="535">
        <v>3.8</v>
      </c>
      <c r="N1782" s="535">
        <v>5.4</v>
      </c>
      <c r="O1782" s="535">
        <v>7.4</v>
      </c>
      <c r="P1782" s="535">
        <v>9</v>
      </c>
      <c r="Q1782" s="449"/>
    </row>
    <row r="1783" spans="1:32">
      <c r="A1783" s="562"/>
      <c r="B1783" s="563"/>
      <c r="C1783" s="563"/>
      <c r="D1783" s="562"/>
      <c r="E1783" s="562"/>
      <c r="F1783" s="562"/>
      <c r="G1783" s="562"/>
      <c r="H1783" s="562"/>
      <c r="I1783" s="562"/>
    </row>
    <row r="1784" spans="1:32">
      <c r="A1784" s="562"/>
      <c r="B1784" s="559" t="s">
        <v>2554</v>
      </c>
      <c r="C1784" s="559"/>
      <c r="D1784" s="560" t="str">
        <f>M1709</f>
        <v>Q1 12</v>
      </c>
      <c r="E1784" s="560" t="str">
        <f>N1709</f>
        <v>Q2 12</v>
      </c>
      <c r="F1784" s="560" t="str">
        <f>O1709</f>
        <v>Q3 12</v>
      </c>
      <c r="G1784" s="560" t="str">
        <f>P1709</f>
        <v>Q4 12</v>
      </c>
      <c r="I1784" s="562"/>
    </row>
    <row r="1785" spans="1:32">
      <c r="A1785" s="562"/>
      <c r="B1785" s="137" t="s">
        <v>1908</v>
      </c>
      <c r="C1785" s="137"/>
      <c r="D1785" s="456">
        <f>X1715</f>
        <v>1.7000000000000001E-2</v>
      </c>
      <c r="E1785" s="456">
        <f>Y1715</f>
        <v>1.0999999999999999E-2</v>
      </c>
      <c r="F1785" s="456">
        <f>Z1715</f>
        <v>1.4E-2</v>
      </c>
      <c r="G1785" s="456">
        <f>AA1715</f>
        <v>-0.01</v>
      </c>
      <c r="I1785" s="562"/>
    </row>
    <row r="1786" spans="1:32">
      <c r="A1786" s="562"/>
      <c r="B1786" s="137" t="s">
        <v>1906</v>
      </c>
      <c r="C1786" s="137"/>
      <c r="D1786" s="456">
        <f t="shared" ref="D1786:G1787" si="237">X1717</f>
        <v>7.9000000000000001E-2</v>
      </c>
      <c r="E1786" s="456">
        <f t="shared" si="237"/>
        <v>7.2999999999999995E-2</v>
      </c>
      <c r="F1786" s="456">
        <f t="shared" si="237"/>
        <v>8.3000000000000004E-2</v>
      </c>
      <c r="G1786" s="456">
        <f t="shared" si="237"/>
        <v>7.0000000000000007E-2</v>
      </c>
      <c r="I1786" s="562"/>
    </row>
    <row r="1787" spans="1:32">
      <c r="A1787" s="562"/>
      <c r="B1787" s="413" t="s">
        <v>896</v>
      </c>
      <c r="C1787" s="413"/>
      <c r="D1787" s="561">
        <f t="shared" si="237"/>
        <v>0.2781865668656589</v>
      </c>
      <c r="E1787" s="561">
        <f t="shared" si="237"/>
        <v>0.28878000986551378</v>
      </c>
      <c r="F1787" s="561">
        <f t="shared" si="237"/>
        <v>0.26808411870805515</v>
      </c>
      <c r="G1787" s="561">
        <f t="shared" si="237"/>
        <v>0.22772049222927015</v>
      </c>
      <c r="I1787" s="562"/>
    </row>
    <row r="1788" spans="1:32">
      <c r="A1788" s="562"/>
      <c r="B1788" s="137" t="s">
        <v>2058</v>
      </c>
      <c r="C1788" s="137"/>
      <c r="D1788" s="456">
        <f>X1711</f>
        <v>8.8725498394961688E-2</v>
      </c>
      <c r="E1788" s="456">
        <f>Y1711</f>
        <v>9.0332048409331733E-2</v>
      </c>
      <c r="F1788" s="456">
        <f>Z1711</f>
        <v>9.0840180135201232E-2</v>
      </c>
      <c r="G1788" s="456">
        <f>AA1711</f>
        <v>6.685595121606891E-2</v>
      </c>
      <c r="I1788" s="562"/>
    </row>
    <row r="1789" spans="1:32">
      <c r="A1789" s="562"/>
      <c r="B1789" s="137" t="s">
        <v>523</v>
      </c>
      <c r="C1789" s="137"/>
      <c r="D1789" s="456">
        <f>X1710</f>
        <v>9.1999999999999998E-2</v>
      </c>
      <c r="E1789" s="456">
        <f>Y1710</f>
        <v>9.8000000000000004E-2</v>
      </c>
      <c r="F1789" s="456">
        <f>Z1710</f>
        <v>8.8999999999999996E-2</v>
      </c>
      <c r="G1789" s="456">
        <f>AA1710</f>
        <v>7.0000000000000007E-2</v>
      </c>
      <c r="I1789" s="562"/>
    </row>
    <row r="1790" spans="1:32">
      <c r="A1790" s="562"/>
      <c r="B1790" s="129"/>
      <c r="C1790" s="129"/>
      <c r="I1790" s="562"/>
    </row>
    <row r="1791" spans="1:32">
      <c r="A1791" s="562"/>
      <c r="B1791" s="559" t="s">
        <v>1831</v>
      </c>
      <c r="C1791" s="559"/>
      <c r="D1791" s="560" t="str">
        <f>D1784</f>
        <v>Q1 12</v>
      </c>
      <c r="E1791" s="560" t="str">
        <f>E1784</f>
        <v>Q2 12</v>
      </c>
      <c r="F1791" s="560" t="str">
        <f>F1784</f>
        <v>Q3 12</v>
      </c>
      <c r="G1791" s="560" t="str">
        <f>G1784</f>
        <v>Q4 12</v>
      </c>
      <c r="I1791" s="562"/>
    </row>
    <row r="1792" spans="1:32">
      <c r="A1792" s="562"/>
      <c r="B1792" s="137" t="s">
        <v>1908</v>
      </c>
      <c r="C1792" s="137"/>
      <c r="D1792" s="456">
        <f>X1774</f>
        <v>0.02</v>
      </c>
      <c r="E1792" s="456">
        <f>Y1774</f>
        <v>-1.4999999999999999E-2</v>
      </c>
      <c r="F1792" s="456">
        <f>Z1774</f>
        <v>-3.3000000000000002E-2</v>
      </c>
      <c r="G1792" s="456">
        <f>AA1774</f>
        <v>-0.09</v>
      </c>
      <c r="I1792" s="562"/>
    </row>
    <row r="1793" spans="1:22">
      <c r="A1793" s="562"/>
      <c r="B1793" s="137" t="s">
        <v>1906</v>
      </c>
      <c r="C1793" s="137"/>
      <c r="D1793" s="456">
        <f t="shared" ref="D1793:G1794" si="238">X1776</f>
        <v>0.12</v>
      </c>
      <c r="E1793" s="456">
        <f t="shared" si="238"/>
        <v>0.186</v>
      </c>
      <c r="F1793" s="456">
        <f t="shared" si="238"/>
        <v>0.52900000000000003</v>
      </c>
      <c r="G1793" s="456">
        <f t="shared" si="238"/>
        <v>0.47</v>
      </c>
      <c r="I1793" s="562"/>
    </row>
    <row r="1794" spans="1:22">
      <c r="A1794" s="562"/>
      <c r="B1794" s="413" t="s">
        <v>896</v>
      </c>
      <c r="C1794" s="413"/>
      <c r="D1794" s="561">
        <f t="shared" si="238"/>
        <v>0.81375039037956221</v>
      </c>
      <c r="E1794" s="561">
        <f t="shared" si="238"/>
        <v>0.83794229283633115</v>
      </c>
      <c r="F1794" s="561">
        <f t="shared" si="238"/>
        <v>0.90898267173374125</v>
      </c>
      <c r="G1794" s="561">
        <f t="shared" si="238"/>
        <v>1.2675826364346654</v>
      </c>
      <c r="I1794" s="562"/>
    </row>
    <row r="1795" spans="1:22">
      <c r="A1795" s="562"/>
      <c r="B1795" s="137" t="s">
        <v>2058</v>
      </c>
      <c r="C1795" s="137"/>
      <c r="D1795" s="456">
        <f>X1772</f>
        <v>6.8069823279213626E-2</v>
      </c>
      <c r="E1795" s="456">
        <f>Y1772</f>
        <v>4.5340383061334144E-2</v>
      </c>
      <c r="F1795" s="456">
        <f>Z1772</f>
        <v>5.8269601649265201E-2</v>
      </c>
      <c r="G1795" s="456">
        <f>AA1772</f>
        <v>1.5282889915433584E-2</v>
      </c>
      <c r="I1795" s="562"/>
    </row>
    <row r="1796" spans="1:22">
      <c r="A1796" s="562"/>
      <c r="B1796" s="137" t="s">
        <v>523</v>
      </c>
      <c r="C1796" s="137"/>
      <c r="D1796" s="456">
        <f>X1770</f>
        <v>5.3999999999999999E-2</v>
      </c>
      <c r="E1796" s="456">
        <f>Y1770</f>
        <v>5.7000000000000002E-2</v>
      </c>
      <c r="F1796" s="456">
        <f>Z1770</f>
        <v>6.8000000000000005E-2</v>
      </c>
      <c r="G1796" s="456">
        <f>AA1770</f>
        <v>1.9E-2</v>
      </c>
      <c r="I1796" s="562"/>
    </row>
    <row r="1797" spans="1:22">
      <c r="A1797" s="562"/>
      <c r="B1797" s="563"/>
      <c r="C1797" s="563"/>
      <c r="D1797" s="562"/>
      <c r="E1797" s="562"/>
      <c r="F1797" s="562"/>
      <c r="G1797" s="562"/>
      <c r="H1797" s="562"/>
      <c r="I1797" s="562"/>
    </row>
    <row r="1798" spans="1:22">
      <c r="B1798" s="129" t="str">
        <f>B1770</f>
        <v>Total revenue</v>
      </c>
      <c r="C1798" s="129"/>
      <c r="D1798" s="449">
        <f t="shared" ref="D1798:K1800" si="239">D1770/D$1770</f>
        <v>1</v>
      </c>
      <c r="E1798" s="449">
        <f t="shared" si="239"/>
        <v>1</v>
      </c>
      <c r="F1798" s="449">
        <f t="shared" si="239"/>
        <v>1</v>
      </c>
      <c r="G1798" s="449">
        <f t="shared" si="239"/>
        <v>1</v>
      </c>
      <c r="H1798" s="449">
        <f t="shared" si="239"/>
        <v>1</v>
      </c>
      <c r="I1798" s="449">
        <f t="shared" si="239"/>
        <v>1</v>
      </c>
      <c r="J1798" s="449">
        <f t="shared" si="239"/>
        <v>1</v>
      </c>
      <c r="K1798" s="449">
        <f t="shared" si="239"/>
        <v>1</v>
      </c>
    </row>
    <row r="1799" spans="1:22">
      <c r="B1799" s="129" t="str">
        <f>B1771</f>
        <v>Handsets/equipment</v>
      </c>
      <c r="C1799" s="129"/>
      <c r="D1799" s="449">
        <f t="shared" si="239"/>
        <v>2.2007042253521129E-2</v>
      </c>
      <c r="E1799" s="449">
        <f t="shared" si="239"/>
        <v>2.7115472663901241E-2</v>
      </c>
      <c r="F1799" s="449">
        <f t="shared" si="239"/>
        <v>2.2799297781628324E-2</v>
      </c>
      <c r="G1799" s="449">
        <f t="shared" si="239"/>
        <v>4.3532013442685747E-3</v>
      </c>
      <c r="H1799" s="449">
        <f t="shared" si="239"/>
        <v>2.5120894303837217E-2</v>
      </c>
      <c r="I1799" s="449">
        <f t="shared" si="239"/>
        <v>2.6460251046025104E-2</v>
      </c>
      <c r="J1799" s="449">
        <f t="shared" si="239"/>
        <v>2.2112970711297069E-2</v>
      </c>
      <c r="K1799" s="449">
        <f t="shared" si="239"/>
        <v>2.5943319838056682E-2</v>
      </c>
    </row>
    <row r="1800" spans="1:22">
      <c r="B1800" s="129" t="str">
        <f>B1772</f>
        <v>Service revenue</v>
      </c>
      <c r="C1800" s="129"/>
      <c r="D1800" s="449">
        <f t="shared" si="239"/>
        <v>0.97799295774647887</v>
      </c>
      <c r="E1800" s="449">
        <f t="shared" si="239"/>
        <v>0.97288452733609876</v>
      </c>
      <c r="F1800" s="449">
        <f t="shared" si="239"/>
        <v>0.97720070221837163</v>
      </c>
      <c r="G1800" s="449">
        <f t="shared" si="239"/>
        <v>0.99564679865573147</v>
      </c>
      <c r="H1800" s="449">
        <f t="shared" si="239"/>
        <v>0.97487910569616276</v>
      </c>
      <c r="I1800" s="449">
        <f t="shared" si="239"/>
        <v>0.96535615926416618</v>
      </c>
      <c r="J1800" s="449">
        <f t="shared" si="239"/>
        <v>0.97900004735470181</v>
      </c>
      <c r="K1800" s="449">
        <f t="shared" si="239"/>
        <v>0.97405668016194336</v>
      </c>
    </row>
    <row r="1801" spans="1:22">
      <c r="B1801" s="129"/>
      <c r="C1801" s="129"/>
      <c r="D1801" s="449"/>
      <c r="E1801" s="449"/>
      <c r="F1801" s="449"/>
      <c r="G1801" s="449"/>
      <c r="H1801" s="449"/>
      <c r="I1801" s="449"/>
      <c r="J1801" s="449"/>
      <c r="K1801" s="449"/>
    </row>
    <row r="1802" spans="1:22">
      <c r="B1802" s="129" t="str">
        <f>B1774</f>
        <v>Voice</v>
      </c>
      <c r="C1802" s="129"/>
      <c r="D1802" s="449">
        <f t="shared" ref="D1802:K1805" si="240">D1774/D$1770</f>
        <v>0.89876760563380276</v>
      </c>
      <c r="E1802" s="449">
        <f t="shared" si="240"/>
        <v>0.88701886390041151</v>
      </c>
      <c r="F1802" s="449">
        <f t="shared" si="240"/>
        <v>0.89056337064818403</v>
      </c>
      <c r="G1802" s="449">
        <f t="shared" si="240"/>
        <v>0.89987636908182278</v>
      </c>
      <c r="H1802" s="449">
        <f t="shared" si="240"/>
        <v>0.87439552848081392</v>
      </c>
      <c r="I1802" s="449">
        <f t="shared" si="240"/>
        <v>0.86903765690376578</v>
      </c>
      <c r="J1802" s="449">
        <f t="shared" si="240"/>
        <v>0.87553894186861492</v>
      </c>
      <c r="K1802" s="449">
        <f t="shared" si="240"/>
        <v>0.86298875021457078</v>
      </c>
    </row>
    <row r="1803" spans="1:22">
      <c r="B1803" s="129" t="str">
        <f>B1775</f>
        <v>VAS</v>
      </c>
      <c r="C1803" s="129"/>
      <c r="D1803" s="449">
        <f t="shared" si="240"/>
        <v>7.9225352112676062E-2</v>
      </c>
      <c r="E1803" s="449">
        <f t="shared" si="240"/>
        <v>8.5865663435687259E-2</v>
      </c>
      <c r="F1803" s="449">
        <f t="shared" si="240"/>
        <v>8.6637331570187631E-2</v>
      </c>
      <c r="G1803" s="449">
        <f t="shared" si="240"/>
        <v>9.5770429573908647E-2</v>
      </c>
      <c r="H1803" s="449">
        <f t="shared" si="240"/>
        <v>0.10048357721534887</v>
      </c>
      <c r="I1803" s="449">
        <f t="shared" si="240"/>
        <v>9.6318502360400404E-2</v>
      </c>
      <c r="J1803" s="449">
        <f t="shared" si="240"/>
        <v>0.10346110548608689</v>
      </c>
      <c r="K1803" s="449">
        <f t="shared" si="240"/>
        <v>0.11127542130622069</v>
      </c>
    </row>
    <row r="1804" spans="1:22">
      <c r="B1804" s="129" t="str">
        <f>B1776</f>
        <v xml:space="preserve"> - of which SMS</v>
      </c>
      <c r="C1804" s="129"/>
      <c r="D1804" s="449">
        <f t="shared" si="240"/>
        <v>3.9612676056338031E-2</v>
      </c>
      <c r="E1804" s="449">
        <f t="shared" si="240"/>
        <v>4.5192454439835397E-2</v>
      </c>
      <c r="F1804" s="449">
        <f t="shared" si="240"/>
        <v>4.5598595563256648E-2</v>
      </c>
      <c r="G1804" s="449">
        <f t="shared" si="240"/>
        <v>4.7885214786954323E-2</v>
      </c>
      <c r="H1804" s="449">
        <f t="shared" si="240"/>
        <v>5.0241788607674434E-2</v>
      </c>
      <c r="I1804" s="449">
        <f t="shared" si="240"/>
        <v>4.3312910938433952E-2</v>
      </c>
      <c r="J1804" s="449">
        <f t="shared" si="240"/>
        <v>4.4748001439386988E-2</v>
      </c>
      <c r="K1804" s="449">
        <f t="shared" si="240"/>
        <v>4.2418770173408574E-2</v>
      </c>
    </row>
    <row r="1805" spans="1:22">
      <c r="B1805" s="129" t="str">
        <f>B1777</f>
        <v xml:space="preserve"> - of which non-SMS</v>
      </c>
      <c r="C1805" s="129"/>
      <c r="D1805" s="449">
        <f t="shared" si="240"/>
        <v>3.9612676056338031E-2</v>
      </c>
      <c r="E1805" s="449">
        <f t="shared" si="240"/>
        <v>4.0673208995851862E-2</v>
      </c>
      <c r="F1805" s="449">
        <f t="shared" si="240"/>
        <v>4.1038736006930983E-2</v>
      </c>
      <c r="G1805" s="449">
        <f t="shared" si="240"/>
        <v>4.7885214786954323E-2</v>
      </c>
      <c r="H1805" s="449">
        <f t="shared" si="240"/>
        <v>5.0241788607674434E-2</v>
      </c>
      <c r="I1805" s="449">
        <f t="shared" si="240"/>
        <v>5.3005591421966446E-2</v>
      </c>
      <c r="J1805" s="449">
        <f t="shared" si="240"/>
        <v>5.8713104046699903E-2</v>
      </c>
      <c r="K1805" s="449">
        <f t="shared" si="240"/>
        <v>6.8856651132812127E-2</v>
      </c>
    </row>
    <row r="1806" spans="1:22">
      <c r="B1806" s="129"/>
      <c r="C1806" s="129"/>
      <c r="N1806" s="6" t="s">
        <v>945</v>
      </c>
      <c r="O1806" s="6" t="s">
        <v>945</v>
      </c>
      <c r="P1806" s="6" t="s">
        <v>945</v>
      </c>
      <c r="Q1806" s="6" t="s">
        <v>945</v>
      </c>
    </row>
    <row r="1807" spans="1:22">
      <c r="B1807" s="413" t="s">
        <v>607</v>
      </c>
      <c r="C1807" s="413"/>
      <c r="D1807" s="525" t="str">
        <f t="shared" ref="D1807:K1807" si="241">D1769</f>
        <v>Q4 09</v>
      </c>
      <c r="E1807" s="525" t="str">
        <f t="shared" si="241"/>
        <v>Q1 10</v>
      </c>
      <c r="F1807" s="525" t="str">
        <f t="shared" si="241"/>
        <v>Q2 10</v>
      </c>
      <c r="G1807" s="525" t="str">
        <f t="shared" si="241"/>
        <v>Q3 10</v>
      </c>
      <c r="H1807" s="525" t="str">
        <f t="shared" si="241"/>
        <v>Q4 10</v>
      </c>
      <c r="I1807" s="525" t="str">
        <f t="shared" si="241"/>
        <v>Q1 11</v>
      </c>
      <c r="J1807" s="525" t="str">
        <f t="shared" si="241"/>
        <v>Q2 11</v>
      </c>
      <c r="K1807" s="525" t="str">
        <f t="shared" si="241"/>
        <v>Q3 11</v>
      </c>
      <c r="N1807" s="104" t="str">
        <f>H1807</f>
        <v>Q4 10</v>
      </c>
      <c r="O1807" s="104" t="str">
        <f>I1807</f>
        <v>Q1 11</v>
      </c>
      <c r="P1807" s="104" t="str">
        <f>J1807</f>
        <v>Q2 11</v>
      </c>
      <c r="Q1807" s="104" t="str">
        <f>K1807</f>
        <v>Q3 11</v>
      </c>
      <c r="S1807" s="495" t="str">
        <f>AC1769</f>
        <v>Q4 10</v>
      </c>
      <c r="T1807" s="495" t="str">
        <f>AD1769</f>
        <v>Q1 11</v>
      </c>
      <c r="U1807" s="495" t="str">
        <f>AE1769</f>
        <v>Q2 11</v>
      </c>
      <c r="V1807" s="495" t="str">
        <f>AF1769</f>
        <v>Q3 11</v>
      </c>
    </row>
    <row r="1808" spans="1:22">
      <c r="B1808" s="137" t="str">
        <f>B1770</f>
        <v>Total revenue</v>
      </c>
      <c r="C1808" s="137"/>
      <c r="D1808" s="454">
        <f t="shared" ref="D1808:K1808" si="242">D1810+D1712+D1771</f>
        <v>921.22017201682434</v>
      </c>
      <c r="E1808" s="454">
        <f t="shared" si="242"/>
        <v>904.96301680861677</v>
      </c>
      <c r="F1808" s="454">
        <f t="shared" si="242"/>
        <v>922.49409882744033</v>
      </c>
      <c r="G1808" s="454">
        <f t="shared" si="242"/>
        <v>961.13499999999999</v>
      </c>
      <c r="H1808" s="454">
        <f t="shared" si="242"/>
        <v>1013.5310000000001</v>
      </c>
      <c r="I1808" s="454">
        <f t="shared" si="242"/>
        <v>1076.5478981987649</v>
      </c>
      <c r="J1808" s="454">
        <f t="shared" si="242"/>
        <v>1084.2868003120109</v>
      </c>
      <c r="K1808" s="454">
        <f t="shared" si="242"/>
        <v>1102.7150978632083</v>
      </c>
      <c r="N1808" s="16">
        <f>H1808/D1808-1</f>
        <v>0.10020495728082013</v>
      </c>
      <c r="O1808" s="16">
        <f>I1808/E1808-1</f>
        <v>0.18960430227883585</v>
      </c>
      <c r="P1808" s="16">
        <f>J1808/F1808-1</f>
        <v>0.17538616419359365</v>
      </c>
      <c r="Q1808" s="16">
        <f>K1808/G1808-1</f>
        <v>0.14730511100231314</v>
      </c>
    </row>
    <row r="1809" spans="2:22">
      <c r="B1809" s="137" t="str">
        <f>B1771</f>
        <v>Handsets/equipment</v>
      </c>
      <c r="C1809" s="137"/>
      <c r="N1809" s="16"/>
      <c r="O1809" s="16"/>
      <c r="P1809" s="16"/>
      <c r="Q1809" s="16"/>
    </row>
    <row r="1810" spans="2:22">
      <c r="B1810" s="137" t="str">
        <f>B1772</f>
        <v>Service revenue</v>
      </c>
      <c r="C1810" s="137"/>
      <c r="D1810" s="454">
        <f t="shared" ref="D1810:K1810" si="243">D1711+D1772</f>
        <v>892.42017201682438</v>
      </c>
      <c r="E1810" s="454">
        <f t="shared" si="243"/>
        <v>864.86301680861675</v>
      </c>
      <c r="F1810" s="454">
        <f t="shared" si="243"/>
        <v>881.0480988274403</v>
      </c>
      <c r="G1810" s="454">
        <f t="shared" si="243"/>
        <v>931.73299999999995</v>
      </c>
      <c r="H1810" s="454">
        <f t="shared" si="243"/>
        <v>937.93500000000006</v>
      </c>
      <c r="I1810" s="454">
        <f t="shared" si="243"/>
        <v>1018.458297845687</v>
      </c>
      <c r="J1810" s="454">
        <f t="shared" si="243"/>
        <v>1028.6403167614121</v>
      </c>
      <c r="K1810" s="454">
        <f t="shared" si="243"/>
        <v>1043.0834011659153</v>
      </c>
      <c r="N1810" s="16">
        <f>H1810/D1810-1</f>
        <v>5.1001567882889232E-2</v>
      </c>
      <c r="O1810" s="16">
        <f>I1810/E1810-1</f>
        <v>0.17759492318661474</v>
      </c>
      <c r="P1810" s="16">
        <f>J1810/F1810-1</f>
        <v>0.16751891086354731</v>
      </c>
      <c r="Q1810" s="16">
        <f>K1810/G1810-1</f>
        <v>0.11950891635899485</v>
      </c>
    </row>
    <row r="1811" spans="2:22">
      <c r="B1811" s="137"/>
      <c r="C1811" s="137"/>
    </row>
    <row r="1812" spans="2:22">
      <c r="B1812" s="137" t="s">
        <v>1908</v>
      </c>
      <c r="C1812" s="137"/>
      <c r="D1812" s="454">
        <f t="shared" ref="D1812:K1815" si="244">D1715+D1774</f>
        <v>711.42017201682438</v>
      </c>
      <c r="E1812" s="454">
        <f t="shared" si="244"/>
        <v>678.86301680861675</v>
      </c>
      <c r="F1812" s="454">
        <f t="shared" si="244"/>
        <v>685.0480988274403</v>
      </c>
      <c r="G1812" s="454">
        <f t="shared" si="244"/>
        <v>718.73299999999995</v>
      </c>
      <c r="H1812" s="454">
        <f t="shared" si="244"/>
        <v>709.93500000000006</v>
      </c>
      <c r="I1812" s="454">
        <f t="shared" si="244"/>
        <v>711.31644398172261</v>
      </c>
      <c r="J1812" s="454">
        <f t="shared" si="244"/>
        <v>707.36618014028431</v>
      </c>
      <c r="K1812" s="454">
        <f t="shared" si="244"/>
        <v>705.50350929795684</v>
      </c>
      <c r="N1812" s="16">
        <f t="shared" ref="N1812:Q1815" si="245">H1812/D1812-1</f>
        <v>-2.0876158355391805E-3</v>
      </c>
      <c r="O1812" s="16">
        <f t="shared" si="245"/>
        <v>4.7805560723681362E-2</v>
      </c>
      <c r="P1812" s="16">
        <f t="shared" si="245"/>
        <v>3.2578853004693542E-2</v>
      </c>
      <c r="Q1812" s="16">
        <f t="shared" si="245"/>
        <v>-1.8406683291351755E-2</v>
      </c>
      <c r="S1812" s="16">
        <f t="shared" ref="S1812:V1815" si="246">(H1812-D1812)/(H$1810-D$1810)</f>
        <v>-3.2630509278719189E-2</v>
      </c>
      <c r="T1812" s="16">
        <f t="shared" si="246"/>
        <v>0.21129182455334181</v>
      </c>
      <c r="U1812" s="16">
        <f t="shared" si="246"/>
        <v>0.15121448559590339</v>
      </c>
      <c r="V1812" s="16">
        <f t="shared" si="246"/>
        <v>-0.11880954683163444</v>
      </c>
    </row>
    <row r="1813" spans="2:22">
      <c r="B1813" s="137" t="s">
        <v>896</v>
      </c>
      <c r="C1813" s="137"/>
      <c r="D1813" s="454">
        <f t="shared" si="244"/>
        <v>181</v>
      </c>
      <c r="E1813" s="454">
        <f t="shared" si="244"/>
        <v>186</v>
      </c>
      <c r="F1813" s="454">
        <f t="shared" si="244"/>
        <v>196</v>
      </c>
      <c r="G1813" s="454">
        <f t="shared" si="244"/>
        <v>213</v>
      </c>
      <c r="H1813" s="454">
        <f t="shared" si="244"/>
        <v>228</v>
      </c>
      <c r="I1813" s="454">
        <f t="shared" si="244"/>
        <v>307.14185386396446</v>
      </c>
      <c r="J1813" s="454">
        <f t="shared" si="244"/>
        <v>321.27413662112781</v>
      </c>
      <c r="K1813" s="454">
        <f t="shared" si="244"/>
        <v>337.62787910169959</v>
      </c>
      <c r="N1813" s="16">
        <f t="shared" si="245"/>
        <v>0.25966850828729271</v>
      </c>
      <c r="O1813" s="16">
        <f t="shared" si="245"/>
        <v>0.65130028959120678</v>
      </c>
      <c r="P1813" s="16">
        <f t="shared" si="245"/>
        <v>0.63915375827106025</v>
      </c>
      <c r="Q1813" s="16">
        <f t="shared" si="245"/>
        <v>0.58510741362300278</v>
      </c>
      <c r="S1813" s="16">
        <f t="shared" si="246"/>
        <v>1.0326305092787191</v>
      </c>
      <c r="T1813" s="16">
        <f t="shared" si="246"/>
        <v>0.78870817544665894</v>
      </c>
      <c r="U1813" s="16">
        <f t="shared" si="246"/>
        <v>0.84878551440409666</v>
      </c>
      <c r="V1813" s="16">
        <f t="shared" si="246"/>
        <v>1.1192405038218081</v>
      </c>
    </row>
    <row r="1814" spans="2:22">
      <c r="B1814" s="137" t="str">
        <f>B1804</f>
        <v xml:space="preserve"> - of which SMS</v>
      </c>
      <c r="C1814" s="137"/>
      <c r="D1814" s="454">
        <f t="shared" si="244"/>
        <v>91</v>
      </c>
      <c r="E1814" s="454">
        <f t="shared" si="244"/>
        <v>92</v>
      </c>
      <c r="F1814" s="454">
        <f t="shared" si="244"/>
        <v>84</v>
      </c>
      <c r="G1814" s="454">
        <f t="shared" si="244"/>
        <v>92</v>
      </c>
      <c r="H1814" s="454">
        <f t="shared" si="244"/>
        <v>95</v>
      </c>
      <c r="I1814" s="454">
        <f t="shared" si="244"/>
        <v>96.012346087647288</v>
      </c>
      <c r="J1814" s="454">
        <f t="shared" si="244"/>
        <v>96.790923621184717</v>
      </c>
      <c r="K1814" s="454">
        <f t="shared" si="244"/>
        <v>98.452992831119147</v>
      </c>
      <c r="N1814" s="16">
        <f t="shared" si="245"/>
        <v>4.3956043956044022E-2</v>
      </c>
      <c r="O1814" s="16">
        <f t="shared" si="245"/>
        <v>4.3612457474426991E-2</v>
      </c>
      <c r="P1814" s="16">
        <f t="shared" si="245"/>
        <v>0.15227290025219897</v>
      </c>
      <c r="Q1814" s="16">
        <f t="shared" si="245"/>
        <v>7.0141226425208147E-2</v>
      </c>
      <c r="S1814" s="16">
        <f t="shared" si="246"/>
        <v>8.7883447598188863E-2</v>
      </c>
      <c r="T1814" s="16">
        <f t="shared" si="246"/>
        <v>2.6122847398410035E-2</v>
      </c>
      <c r="U1814" s="16">
        <f t="shared" si="246"/>
        <v>8.6663943399149804E-2</v>
      </c>
      <c r="V1814" s="16">
        <f t="shared" si="246"/>
        <v>5.7952129166593626E-2</v>
      </c>
    </row>
    <row r="1815" spans="2:22">
      <c r="B1815" s="137" t="str">
        <f>B1805</f>
        <v xml:space="preserve"> - of which non-SMS</v>
      </c>
      <c r="C1815" s="137"/>
      <c r="D1815" s="454">
        <f t="shared" si="244"/>
        <v>90</v>
      </c>
      <c r="E1815" s="454">
        <f t="shared" si="244"/>
        <v>94</v>
      </c>
      <c r="F1815" s="454">
        <f t="shared" si="244"/>
        <v>112</v>
      </c>
      <c r="G1815" s="454">
        <f t="shared" si="244"/>
        <v>121</v>
      </c>
      <c r="H1815" s="454">
        <f t="shared" si="244"/>
        <v>133</v>
      </c>
      <c r="I1815" s="454">
        <f t="shared" si="244"/>
        <v>211.12950777631713</v>
      </c>
      <c r="J1815" s="454">
        <f t="shared" si="244"/>
        <v>224.48321299994308</v>
      </c>
      <c r="K1815" s="454">
        <f t="shared" si="244"/>
        <v>239.17488627058043</v>
      </c>
      <c r="N1815" s="16">
        <f t="shared" si="245"/>
        <v>0.47777777777777786</v>
      </c>
      <c r="O1815" s="16">
        <f t="shared" si="245"/>
        <v>1.2460585933650759</v>
      </c>
      <c r="P1815" s="16">
        <f t="shared" si="245"/>
        <v>1.0043144017852059</v>
      </c>
      <c r="Q1815" s="16">
        <f t="shared" si="245"/>
        <v>0.97665195264942506</v>
      </c>
      <c r="S1815" s="16">
        <f t="shared" si="246"/>
        <v>0.94474706168053035</v>
      </c>
      <c r="T1815" s="16">
        <f t="shared" si="246"/>
        <v>0.76258532804824863</v>
      </c>
      <c r="U1815" s="16">
        <f t="shared" si="246"/>
        <v>0.76212157100494671</v>
      </c>
      <c r="V1815" s="16">
        <f t="shared" si="246"/>
        <v>1.0612883746552142</v>
      </c>
    </row>
    <row r="1816" spans="2:22">
      <c r="B1816" s="137"/>
      <c r="C1816" s="137"/>
      <c r="D1816" s="454"/>
      <c r="E1816" s="454"/>
      <c r="F1816" s="454"/>
      <c r="G1816" s="454"/>
      <c r="H1816" s="454"/>
      <c r="I1816" s="454"/>
      <c r="J1816" s="454"/>
      <c r="N1816" s="16"/>
      <c r="O1816" s="16"/>
      <c r="P1816" s="16"/>
      <c r="Q1816" s="16"/>
    </row>
    <row r="1817" spans="2:22">
      <c r="B1817" s="137" t="str">
        <f>B1812</f>
        <v>Voice</v>
      </c>
      <c r="C1817" s="137"/>
      <c r="D1817" s="449">
        <f t="shared" ref="D1817:K1820" si="247">D1812/D$1810</f>
        <v>0.79718073876462348</v>
      </c>
      <c r="E1817" s="449">
        <f t="shared" si="247"/>
        <v>0.78493704045023416</v>
      </c>
      <c r="F1817" s="449">
        <f t="shared" si="247"/>
        <v>0.77753768464985018</v>
      </c>
      <c r="G1817" s="449">
        <f t="shared" si="247"/>
        <v>0.77139373618837159</v>
      </c>
      <c r="H1817" s="449">
        <f t="shared" si="247"/>
        <v>0.75691279246429655</v>
      </c>
      <c r="I1817" s="449">
        <f t="shared" si="247"/>
        <v>0.69842471261351402</v>
      </c>
      <c r="J1817" s="449">
        <f t="shared" si="247"/>
        <v>0.68767106306640546</v>
      </c>
      <c r="K1817" s="449">
        <f t="shared" si="247"/>
        <v>0.67636347056177315</v>
      </c>
    </row>
    <row r="1818" spans="2:22">
      <c r="B1818" s="137" t="str">
        <f>B1813</f>
        <v>VAS</v>
      </c>
      <c r="C1818" s="137"/>
      <c r="D1818" s="449">
        <f t="shared" si="247"/>
        <v>0.20281926123537658</v>
      </c>
      <c r="E1818" s="449">
        <f t="shared" si="247"/>
        <v>0.21506295954976584</v>
      </c>
      <c r="F1818" s="449">
        <f t="shared" si="247"/>
        <v>0.22246231535014985</v>
      </c>
      <c r="G1818" s="449">
        <f t="shared" si="247"/>
        <v>0.22860626381162846</v>
      </c>
      <c r="H1818" s="449">
        <f t="shared" si="247"/>
        <v>0.24308720753570343</v>
      </c>
      <c r="I1818" s="449">
        <f t="shared" si="247"/>
        <v>0.30157528738648604</v>
      </c>
      <c r="J1818" s="449">
        <f t="shared" si="247"/>
        <v>0.31232893693359454</v>
      </c>
      <c r="K1818" s="449">
        <f t="shared" si="247"/>
        <v>0.32368253461258528</v>
      </c>
    </row>
    <row r="1819" spans="2:22">
      <c r="B1819" s="137" t="str">
        <f>B1814</f>
        <v xml:space="preserve"> - of which SMS</v>
      </c>
      <c r="C1819" s="137"/>
      <c r="D1819" s="449">
        <f t="shared" si="247"/>
        <v>0.10196990481999596</v>
      </c>
      <c r="E1819" s="449">
        <f t="shared" si="247"/>
        <v>0.10637522730418525</v>
      </c>
      <c r="F1819" s="449">
        <f t="shared" si="247"/>
        <v>9.5340992292921353E-2</v>
      </c>
      <c r="G1819" s="449">
        <f t="shared" si="247"/>
        <v>9.8740733665116515E-2</v>
      </c>
      <c r="H1819" s="449">
        <f t="shared" si="247"/>
        <v>0.10128633647320975</v>
      </c>
      <c r="I1819" s="449">
        <f t="shared" si="247"/>
        <v>9.4272240984966407E-2</v>
      </c>
      <c r="J1819" s="449">
        <f t="shared" si="247"/>
        <v>9.4095984810242353E-2</v>
      </c>
      <c r="K1819" s="449">
        <f t="shared" si="247"/>
        <v>9.4386501329685124E-2</v>
      </c>
    </row>
    <row r="1820" spans="2:22">
      <c r="B1820" s="137" t="str">
        <f>B1815</f>
        <v xml:space="preserve"> - of which non-SMS</v>
      </c>
      <c r="C1820" s="137"/>
      <c r="D1820" s="449">
        <f t="shared" si="247"/>
        <v>0.10084935641538062</v>
      </c>
      <c r="E1820" s="449">
        <f t="shared" si="247"/>
        <v>0.10868773224558059</v>
      </c>
      <c r="F1820" s="449">
        <f t="shared" si="247"/>
        <v>0.12712132305722848</v>
      </c>
      <c r="G1820" s="449">
        <f t="shared" si="247"/>
        <v>0.12986553014651195</v>
      </c>
      <c r="H1820" s="449">
        <f t="shared" si="247"/>
        <v>0.14180087106249367</v>
      </c>
      <c r="I1820" s="449">
        <f t="shared" si="247"/>
        <v>0.20730304640151961</v>
      </c>
      <c r="J1820" s="449">
        <f t="shared" si="247"/>
        <v>0.2182329521233522</v>
      </c>
      <c r="K1820" s="449">
        <f t="shared" si="247"/>
        <v>0.22929603328290016</v>
      </c>
    </row>
    <row r="1821" spans="2:22">
      <c r="B1821" s="137"/>
      <c r="C1821" s="137"/>
      <c r="D1821" s="454"/>
      <c r="E1821" s="454"/>
      <c r="F1821" s="454"/>
      <c r="G1821" s="454"/>
      <c r="H1821" s="454"/>
      <c r="I1821" s="454"/>
      <c r="J1821" s="454"/>
    </row>
    <row r="1822" spans="2:22">
      <c r="B1822" s="137"/>
      <c r="C1822" s="137"/>
      <c r="D1822" s="454"/>
      <c r="E1822" s="454"/>
      <c r="F1822" s="454"/>
      <c r="G1822" s="454"/>
      <c r="H1822" s="454"/>
      <c r="I1822" s="454"/>
      <c r="J1822" s="454"/>
    </row>
    <row r="1823" spans="2:22">
      <c r="B1823" s="137"/>
      <c r="C1823" s="137"/>
      <c r="D1823" s="454"/>
      <c r="E1823" s="454"/>
      <c r="F1823" s="454"/>
      <c r="G1823" s="454"/>
      <c r="H1823" s="454"/>
      <c r="I1823" s="454"/>
      <c r="J1823" s="454"/>
    </row>
    <row r="1825" spans="2:11">
      <c r="B1825" s="394" t="s">
        <v>1007</v>
      </c>
      <c r="C1825" s="394"/>
    </row>
    <row r="1827" spans="2:11">
      <c r="B1827" s="11" t="s">
        <v>1010</v>
      </c>
      <c r="C1827" s="11"/>
      <c r="D1827" s="104" t="str">
        <f t="shared" ref="D1827:I1827" si="248">E1769</f>
        <v>Q1 10</v>
      </c>
      <c r="E1827" s="104" t="str">
        <f t="shared" si="248"/>
        <v>Q2 10</v>
      </c>
      <c r="F1827" s="104" t="str">
        <f t="shared" si="248"/>
        <v>Q3 10</v>
      </c>
      <c r="G1827" s="104" t="str">
        <f t="shared" si="248"/>
        <v>Q4 10</v>
      </c>
      <c r="H1827" s="104" t="str">
        <f t="shared" si="248"/>
        <v>Q1 11</v>
      </c>
      <c r="I1827" s="104" t="str">
        <f t="shared" si="248"/>
        <v>Q2 11</v>
      </c>
    </row>
    <row r="1828" spans="2:11">
      <c r="B1828" t="s">
        <v>182</v>
      </c>
      <c r="D1828" s="9">
        <v>251.21100000000001</v>
      </c>
      <c r="E1828" s="9"/>
      <c r="F1828" s="9"/>
      <c r="G1828" s="9"/>
      <c r="H1828" s="9">
        <v>294.11799999999999</v>
      </c>
      <c r="I1828" s="9"/>
      <c r="J1828" s="16">
        <f>H1828/D1828-1</f>
        <v>0.17080064169164566</v>
      </c>
      <c r="K1828" s="16"/>
    </row>
    <row r="1829" spans="2:11">
      <c r="B1829" t="s">
        <v>1009</v>
      </c>
      <c r="D1829" s="9">
        <v>195.215</v>
      </c>
      <c r="E1829" s="9"/>
      <c r="F1829" s="9"/>
      <c r="G1829" s="9"/>
      <c r="H1829" s="9">
        <v>233.62299999999999</v>
      </c>
      <c r="I1829" s="9"/>
      <c r="J1829" s="16">
        <f>H1829/D1829-1</f>
        <v>0.19674717619035409</v>
      </c>
    </row>
    <row r="1830" spans="2:11">
      <c r="B1830" s="129" t="s">
        <v>1011</v>
      </c>
      <c r="C1830" s="129"/>
      <c r="D1830" s="9">
        <v>193.68799999999999</v>
      </c>
      <c r="E1830" s="9"/>
      <c r="F1830" s="9"/>
      <c r="G1830" s="9"/>
      <c r="H1830" s="9">
        <v>230.60400000000001</v>
      </c>
      <c r="I1830" s="9"/>
      <c r="J1830" s="16">
        <f>H1830/D1830-1</f>
        <v>0.19059518400726949</v>
      </c>
    </row>
    <row r="1831" spans="2:11">
      <c r="B1831" s="129" t="s">
        <v>1012</v>
      </c>
      <c r="C1831" s="129"/>
      <c r="D1831" s="9">
        <v>1.5269999999999999</v>
      </c>
      <c r="E1831" s="9"/>
      <c r="F1831" s="9"/>
      <c r="G1831" s="9"/>
      <c r="H1831" s="9">
        <v>3.0190000000000001</v>
      </c>
      <c r="I1831" s="9"/>
      <c r="J1831" s="16">
        <f>H1831/D1831-1</f>
        <v>0.97707924034053728</v>
      </c>
    </row>
    <row r="1833" spans="2:11">
      <c r="B1833" t="s">
        <v>360</v>
      </c>
      <c r="D1833" s="9">
        <v>76.066000000000003</v>
      </c>
      <c r="E1833" s="9"/>
      <c r="F1833" s="9"/>
      <c r="G1833" s="9"/>
      <c r="H1833" s="9">
        <v>103.646</v>
      </c>
      <c r="J1833" s="16">
        <f>H1833/D1833-1</f>
        <v>0.36257986485420557</v>
      </c>
    </row>
    <row r="1834" spans="2:11">
      <c r="B1834" t="s">
        <v>1434</v>
      </c>
      <c r="D1834" s="16">
        <f>D1833/D1829</f>
        <v>0.38965243449530007</v>
      </c>
      <c r="H1834" s="16">
        <f>H1833/H1829</f>
        <v>0.44364638755601976</v>
      </c>
    </row>
    <row r="1836" spans="2:11">
      <c r="B1836" t="s">
        <v>590</v>
      </c>
      <c r="D1836" s="9">
        <f>H1836/1.19</f>
        <v>6580.2537815126061</v>
      </c>
      <c r="H1836" s="9">
        <v>7830.5020000000004</v>
      </c>
      <c r="J1836" s="16">
        <f>H1836/D1836-1</f>
        <v>0.18999999999999995</v>
      </c>
    </row>
    <row r="1837" spans="2:11">
      <c r="B1837" t="s">
        <v>1008</v>
      </c>
      <c r="D1837" s="9">
        <f>H1837/2.23</f>
        <v>298.65470852017938</v>
      </c>
      <c r="H1837">
        <v>666</v>
      </c>
      <c r="J1837" s="16">
        <f>H1837/D1837-1</f>
        <v>1.23</v>
      </c>
    </row>
    <row r="1838" spans="2:11">
      <c r="B1838" t="s">
        <v>70</v>
      </c>
      <c r="D1838" s="16">
        <f>D1837/D1836</f>
        <v>4.5386503079753178E-2</v>
      </c>
      <c r="H1838" s="16">
        <f>H1837/H1836</f>
        <v>8.5052018376344199E-2</v>
      </c>
      <c r="J1838" s="16"/>
    </row>
    <row r="1841" spans="2:4">
      <c r="B1841" t="s">
        <v>134</v>
      </c>
      <c r="D1841" s="493" t="s">
        <v>2389</v>
      </c>
    </row>
    <row r="1842" spans="2:4">
      <c r="B1842" t="s">
        <v>967</v>
      </c>
      <c r="D1842" s="464">
        <f ca="1">D1844-D1843</f>
        <v>1686.1279092036821</v>
      </c>
    </row>
    <row r="1843" spans="2:4">
      <c r="B1843" t="s">
        <v>946</v>
      </c>
      <c r="D1843" s="464">
        <f>Master!M706</f>
        <v>665.90809079631799</v>
      </c>
    </row>
    <row r="1844" spans="2:4">
      <c r="B1844" t="s">
        <v>2324</v>
      </c>
      <c r="D1844" s="464">
        <f ca="1">Master!M689</f>
        <v>2352.0360000000001</v>
      </c>
    </row>
    <row r="1846" spans="2:4">
      <c r="B1846" t="s">
        <v>2222</v>
      </c>
    </row>
    <row r="1847" spans="2:4">
      <c r="B1847" t="str">
        <f>B1842</f>
        <v>USD</v>
      </c>
      <c r="D1847" s="464">
        <f>Master!M725</f>
        <v>571</v>
      </c>
    </row>
    <row r="1848" spans="2:4">
      <c r="B1848" t="str">
        <f>B1843</f>
        <v>Local</v>
      </c>
      <c r="D1848" s="464">
        <f>Master!M726</f>
        <v>0</v>
      </c>
    </row>
    <row r="1849" spans="2:4">
      <c r="B1849" t="str">
        <f>B1844</f>
        <v>Total</v>
      </c>
      <c r="D1849" s="464">
        <f>Master!M727</f>
        <v>0</v>
      </c>
    </row>
    <row r="1851" spans="2:4">
      <c r="B1851" t="s">
        <v>150</v>
      </c>
    </row>
    <row r="1852" spans="2:4">
      <c r="B1852" t="str">
        <f>B1847</f>
        <v>USD</v>
      </c>
      <c r="D1852" s="464">
        <f ca="1">D1842-D1847</f>
        <v>1115.1279092036821</v>
      </c>
    </row>
    <row r="1853" spans="2:4">
      <c r="B1853" s="455" t="str">
        <f>B1848</f>
        <v>Local</v>
      </c>
      <c r="C1853" s="455"/>
      <c r="D1853" s="490">
        <f>D1843-D1848</f>
        <v>665.90809079631799</v>
      </c>
    </row>
    <row r="1854" spans="2:4">
      <c r="B1854" t="str">
        <f>B1849</f>
        <v>Total</v>
      </c>
      <c r="D1854" s="464">
        <f ca="1">D1844-D1849</f>
        <v>2352.0360000000001</v>
      </c>
    </row>
    <row r="1856" spans="2:4">
      <c r="B1856" s="394" t="s">
        <v>1191</v>
      </c>
      <c r="C1856" s="394"/>
    </row>
    <row r="1858" spans="2:4">
      <c r="B1858" t="s">
        <v>2272</v>
      </c>
      <c r="D1858" s="468">
        <v>1.0786697801431828</v>
      </c>
    </row>
    <row r="1859" spans="2:4">
      <c r="B1859" t="s">
        <v>2023</v>
      </c>
      <c r="D1859" s="468">
        <v>1.1774313890871342</v>
      </c>
    </row>
    <row r="1860" spans="2:4">
      <c r="B1860" t="s">
        <v>729</v>
      </c>
      <c r="D1860" s="468">
        <v>1.5817685582269954</v>
      </c>
    </row>
    <row r="1861" spans="2:4">
      <c r="B1861" t="s">
        <v>257</v>
      </c>
      <c r="D1861" s="468">
        <v>2.0910184620784675</v>
      </c>
    </row>
    <row r="1862" spans="2:4">
      <c r="B1862" t="s">
        <v>254</v>
      </c>
      <c r="D1862" s="468">
        <v>2.3053782808240744</v>
      </c>
    </row>
    <row r="1863" spans="2:4">
      <c r="B1863" t="s">
        <v>1075</v>
      </c>
      <c r="D1863" s="468">
        <v>2.35</v>
      </c>
    </row>
    <row r="1864" spans="2:4">
      <c r="B1864" t="s">
        <v>2024</v>
      </c>
      <c r="D1864" s="468">
        <v>2.413496466749971</v>
      </c>
    </row>
    <row r="1865" spans="2:4">
      <c r="B1865" t="s">
        <v>256</v>
      </c>
      <c r="D1865" s="468">
        <v>3.8998214277099597</v>
      </c>
    </row>
    <row r="1866" spans="2:4">
      <c r="B1866" t="s">
        <v>1665</v>
      </c>
      <c r="D1866" s="468">
        <v>4.292963801362232</v>
      </c>
    </row>
    <row r="1867" spans="2:4">
      <c r="B1867" t="s">
        <v>2028</v>
      </c>
      <c r="D1867" s="468">
        <v>4.7889555583226553</v>
      </c>
    </row>
    <row r="1868" spans="2:4">
      <c r="B1868" t="s">
        <v>2427</v>
      </c>
      <c r="D1868" s="468">
        <v>5</v>
      </c>
    </row>
    <row r="1869" spans="2:4">
      <c r="B1869" t="s">
        <v>624</v>
      </c>
      <c r="D1869" s="468">
        <v>6.4706111085391154</v>
      </c>
    </row>
    <row r="1870" spans="2:4">
      <c r="B1870" t="s">
        <v>2035</v>
      </c>
      <c r="D1870" s="468">
        <v>7.0544506520793036</v>
      </c>
    </row>
    <row r="1871" spans="2:4">
      <c r="B1871" t="s">
        <v>2423</v>
      </c>
      <c r="D1871" s="468">
        <v>7.2013826409004231</v>
      </c>
    </row>
    <row r="1872" spans="2:4">
      <c r="B1872" t="s">
        <v>2027</v>
      </c>
      <c r="D1872" s="468">
        <v>7.2761503716035296</v>
      </c>
    </row>
    <row r="1873" spans="2:4">
      <c r="B1873" t="s">
        <v>2382</v>
      </c>
      <c r="D1873" s="468">
        <v>7.6190476190476186</v>
      </c>
    </row>
    <row r="1874" spans="2:4">
      <c r="B1874" t="s">
        <v>2025</v>
      </c>
      <c r="D1874" s="468">
        <v>8.0399657911205473</v>
      </c>
    </row>
    <row r="1875" spans="2:4">
      <c r="B1875" t="s">
        <v>2026</v>
      </c>
      <c r="D1875" s="468">
        <v>9.4432047548595488</v>
      </c>
    </row>
    <row r="1876" spans="2:4">
      <c r="B1876" t="s">
        <v>1972</v>
      </c>
      <c r="D1876" s="468">
        <v>10.549450549450549</v>
      </c>
    </row>
    <row r="1877" spans="2:4">
      <c r="B1877" t="s">
        <v>2425</v>
      </c>
      <c r="D1877" s="468">
        <v>11.088870237921471</v>
      </c>
    </row>
    <row r="1878" spans="2:4">
      <c r="B1878" t="s">
        <v>62</v>
      </c>
      <c r="D1878" s="468">
        <v>12</v>
      </c>
    </row>
    <row r="1879" spans="2:4">
      <c r="B1879" t="s">
        <v>2375</v>
      </c>
      <c r="D1879" s="468">
        <v>13.037623762376237</v>
      </c>
    </row>
    <row r="1880" spans="2:4">
      <c r="B1880" t="s">
        <v>1265</v>
      </c>
      <c r="D1880" s="468">
        <v>13.598797930932333</v>
      </c>
    </row>
    <row r="1881" spans="2:4">
      <c r="B1881" t="s">
        <v>2422</v>
      </c>
      <c r="D1881" s="468">
        <v>15.513801038871337</v>
      </c>
    </row>
    <row r="1882" spans="2:4">
      <c r="B1882" t="s">
        <v>262</v>
      </c>
      <c r="D1882" s="468">
        <v>15.788279773156901</v>
      </c>
    </row>
    <row r="1883" spans="2:4">
      <c r="B1883" t="s">
        <v>2421</v>
      </c>
      <c r="D1883" s="468">
        <v>17.082304295011546</v>
      </c>
    </row>
    <row r="1884" spans="2:4">
      <c r="B1884" t="s">
        <v>2426</v>
      </c>
      <c r="D1884" s="468">
        <v>17.209527352548978</v>
      </c>
    </row>
    <row r="1885" spans="2:4">
      <c r="B1885" t="s">
        <v>2419</v>
      </c>
      <c r="D1885" s="468">
        <v>18.695823895008594</v>
      </c>
    </row>
    <row r="1886" spans="2:4">
      <c r="B1886" t="s">
        <v>2424</v>
      </c>
      <c r="D1886" s="468">
        <v>21.587805092959734</v>
      </c>
    </row>
    <row r="1887" spans="2:4">
      <c r="B1887" t="s">
        <v>1292</v>
      </c>
      <c r="D1887" s="468">
        <v>22.641509433962263</v>
      </c>
    </row>
    <row r="1888" spans="2:4">
      <c r="B1888" t="s">
        <v>2247</v>
      </c>
      <c r="D1888" s="468">
        <v>24.553525343298055</v>
      </c>
    </row>
    <row r="1889" spans="2:7">
      <c r="B1889" t="s">
        <v>2274</v>
      </c>
      <c r="D1889" s="468">
        <v>27.00562854497414</v>
      </c>
    </row>
    <row r="1890" spans="2:7">
      <c r="B1890" t="s">
        <v>2420</v>
      </c>
      <c r="D1890" s="468">
        <v>41.614457831325311</v>
      </c>
    </row>
    <row r="1893" spans="2:7">
      <c r="B1893" s="394" t="s">
        <v>1191</v>
      </c>
      <c r="C1893" s="394"/>
      <c r="E1893" s="192" t="s">
        <v>2431</v>
      </c>
    </row>
    <row r="1894" spans="2:7">
      <c r="B1894" s="455" t="s">
        <v>2151</v>
      </c>
    </row>
    <row r="1895" spans="2:7">
      <c r="D1895" s="455">
        <v>2009</v>
      </c>
      <c r="E1895" s="455">
        <v>2010</v>
      </c>
      <c r="F1895" s="455">
        <v>2011</v>
      </c>
      <c r="G1895" s="455">
        <v>2012</v>
      </c>
    </row>
    <row r="1896" spans="2:7">
      <c r="B1896" t="s">
        <v>2376</v>
      </c>
      <c r="D1896" s="456">
        <v>-3.1E-2</v>
      </c>
      <c r="E1896" s="456">
        <v>1.4E-2</v>
      </c>
      <c r="F1896" s="456">
        <v>0.02</v>
      </c>
      <c r="G1896" s="456">
        <v>0.02</v>
      </c>
    </row>
    <row r="1897" spans="2:7">
      <c r="B1897" t="s">
        <v>2379</v>
      </c>
      <c r="D1897" s="456">
        <v>5.0000000000000001E-3</v>
      </c>
      <c r="E1897" s="456">
        <v>2.8000000000000001E-2</v>
      </c>
      <c r="F1897" s="456">
        <v>2.8000000000000001E-2</v>
      </c>
      <c r="G1897" s="456">
        <v>0.03</v>
      </c>
    </row>
    <row r="1898" spans="2:7">
      <c r="B1898" t="s">
        <v>2380</v>
      </c>
      <c r="D1898" s="456">
        <v>2.1000000000000001E-2</v>
      </c>
      <c r="E1898" s="456">
        <v>2.8000000000000001E-2</v>
      </c>
      <c r="F1898" s="456">
        <v>3.5000000000000003E-2</v>
      </c>
      <c r="G1898" s="456">
        <v>3.5000000000000003E-2</v>
      </c>
    </row>
    <row r="1899" spans="2:7">
      <c r="B1899" t="s">
        <v>1665</v>
      </c>
      <c r="D1899" s="456">
        <v>1.4999999999999999E-2</v>
      </c>
      <c r="E1899" s="456">
        <v>4.2999999999999997E-2</v>
      </c>
      <c r="F1899" s="456">
        <v>4.9000000000000002E-2</v>
      </c>
      <c r="G1899" s="456">
        <v>4.4999999999999998E-2</v>
      </c>
    </row>
    <row r="1900" spans="2:7">
      <c r="B1900" t="s">
        <v>2377</v>
      </c>
      <c r="D1900" s="456">
        <v>3.4000000000000002E-2</v>
      </c>
      <c r="E1900" s="456">
        <v>4.1000000000000002E-2</v>
      </c>
      <c r="F1900" s="456">
        <v>0.05</v>
      </c>
      <c r="G1900" s="456">
        <v>4.4999999999999998E-2</v>
      </c>
    </row>
    <row r="1901" spans="2:7">
      <c r="B1901" t="s">
        <v>2378</v>
      </c>
      <c r="D1901" s="456">
        <v>-3.7999999999999999E-2</v>
      </c>
      <c r="E1901" s="456">
        <v>0.15</v>
      </c>
      <c r="F1901" s="456">
        <v>6.4000000000000001E-2</v>
      </c>
      <c r="G1901" s="456">
        <v>0.05</v>
      </c>
    </row>
    <row r="1902" spans="2:7">
      <c r="B1902" t="s">
        <v>1070</v>
      </c>
      <c r="D1902" s="456">
        <v>-1.7000000000000001E-2</v>
      </c>
      <c r="E1902" s="456">
        <v>6.0999999999999999E-2</v>
      </c>
      <c r="F1902" s="456">
        <v>4.4999999999999998E-2</v>
      </c>
      <c r="G1902" s="456">
        <v>0.04</v>
      </c>
    </row>
    <row r="1903" spans="2:7">
      <c r="B1903" t="s">
        <v>2035</v>
      </c>
      <c r="D1903" s="456">
        <v>-6.2E-2</v>
      </c>
      <c r="E1903" s="456">
        <v>5.3999999999999999E-2</v>
      </c>
      <c r="F1903" s="456">
        <v>3.7999999999999999E-2</v>
      </c>
      <c r="G1903" s="456">
        <v>3.5999999999999997E-2</v>
      </c>
    </row>
    <row r="1904" spans="2:7">
      <c r="B1904" t="s">
        <v>62</v>
      </c>
      <c r="D1904" s="456">
        <v>-6.0000000000000001E-3</v>
      </c>
      <c r="E1904" s="456">
        <v>7.4999999999999997E-2</v>
      </c>
      <c r="F1904" s="456">
        <v>3.7999999999999999E-2</v>
      </c>
      <c r="G1904" s="456">
        <v>3.5999999999999997E-2</v>
      </c>
    </row>
    <row r="1905" spans="2:22">
      <c r="B1905" t="s">
        <v>1972</v>
      </c>
      <c r="D1905" s="456">
        <v>3.5000000000000003E-2</v>
      </c>
      <c r="E1905" s="456">
        <v>0.03</v>
      </c>
      <c r="F1905" s="456">
        <v>1.4999999999999999E-2</v>
      </c>
      <c r="G1905" s="456">
        <v>1.7999999999999999E-2</v>
      </c>
    </row>
    <row r="1906" spans="2:22">
      <c r="D1906" s="449"/>
      <c r="E1906" s="449"/>
      <c r="F1906" s="449"/>
    </row>
    <row r="1907" spans="2:22">
      <c r="B1907" s="394" t="s">
        <v>220</v>
      </c>
      <c r="C1907" s="394"/>
      <c r="D1907" s="449"/>
      <c r="E1907" s="449"/>
      <c r="F1907" s="449"/>
    </row>
    <row r="1908" spans="2:22">
      <c r="D1908" s="449"/>
      <c r="E1908" s="449"/>
      <c r="F1908" s="449"/>
    </row>
    <row r="1909" spans="2:22">
      <c r="B1909" s="455"/>
      <c r="C1909" s="455"/>
      <c r="D1909" s="476" t="s">
        <v>499</v>
      </c>
      <c r="E1909" s="476" t="s">
        <v>740</v>
      </c>
      <c r="F1909" s="476" t="s">
        <v>558</v>
      </c>
      <c r="G1909" s="476" t="s">
        <v>423</v>
      </c>
      <c r="H1909" s="476" t="s">
        <v>106</v>
      </c>
      <c r="I1909" s="476" t="s">
        <v>613</v>
      </c>
      <c r="J1909" s="476" t="s">
        <v>2043</v>
      </c>
      <c r="K1909" s="476" t="s">
        <v>96</v>
      </c>
      <c r="L1909" s="476" t="s">
        <v>1100</v>
      </c>
      <c r="M1909" s="476" t="s">
        <v>2047</v>
      </c>
      <c r="N1909" s="476" t="s">
        <v>179</v>
      </c>
      <c r="O1909" s="476" t="s">
        <v>2362</v>
      </c>
      <c r="P1909" s="476" t="s">
        <v>833</v>
      </c>
      <c r="Q1909" s="476" t="s">
        <v>851</v>
      </c>
      <c r="R1909" s="476" t="s">
        <v>1072</v>
      </c>
      <c r="S1909" s="476" t="s">
        <v>1073</v>
      </c>
      <c r="T1909" s="476" t="s">
        <v>2257</v>
      </c>
      <c r="U1909" s="476" t="s">
        <v>981</v>
      </c>
      <c r="V1909" s="476" t="s">
        <v>2432</v>
      </c>
    </row>
    <row r="1910" spans="2:22">
      <c r="B1910" t="s">
        <v>1828</v>
      </c>
      <c r="D1910" s="449">
        <v>0.06</v>
      </c>
      <c r="E1910" s="449">
        <v>7.0000000000000007E-2</v>
      </c>
      <c r="F1910" s="449">
        <v>6.2E-2</v>
      </c>
      <c r="G1910" s="449">
        <v>0.09</v>
      </c>
      <c r="H1910" s="449">
        <v>9.1999999999999998E-2</v>
      </c>
      <c r="I1910" s="449">
        <v>0.12</v>
      </c>
      <c r="J1910" s="449">
        <v>0.14000000000000001</v>
      </c>
      <c r="K1910" s="449">
        <v>0.12</v>
      </c>
      <c r="L1910" s="449">
        <v>0.09</v>
      </c>
      <c r="M1910" s="449">
        <v>0.06</v>
      </c>
      <c r="N1910" s="449">
        <v>1.4999999999999999E-2</v>
      </c>
      <c r="O1910" s="449">
        <v>0.03</v>
      </c>
      <c r="P1910" s="449">
        <v>4.4999999999999998E-2</v>
      </c>
      <c r="Q1910" s="449">
        <v>0.05</v>
      </c>
      <c r="R1910" s="449">
        <v>0.06</v>
      </c>
      <c r="S1910" s="449">
        <v>5.7500000000000002E-2</v>
      </c>
      <c r="T1910" s="449">
        <v>0.06</v>
      </c>
      <c r="U1910" s="449">
        <v>7.0000000000000007E-2</v>
      </c>
      <c r="V1910" s="449">
        <v>0.08</v>
      </c>
    </row>
    <row r="1911" spans="2:22">
      <c r="B1911" t="s">
        <v>1697</v>
      </c>
      <c r="D1911" s="449">
        <v>3.5000000000000003E-2</v>
      </c>
      <c r="E1911" s="449">
        <v>0.04</v>
      </c>
      <c r="F1911" s="449">
        <v>0.05</v>
      </c>
      <c r="G1911" s="449">
        <v>0.06</v>
      </c>
      <c r="H1911" s="449">
        <v>6.5000000000000002E-2</v>
      </c>
      <c r="I1911" s="449">
        <v>7.0000000000000007E-2</v>
      </c>
      <c r="J1911" s="449">
        <v>7.4999999999999997E-2</v>
      </c>
      <c r="K1911" s="449">
        <v>0.08</v>
      </c>
      <c r="L1911" s="449">
        <v>7.7499999999999999E-2</v>
      </c>
      <c r="M1911" s="449">
        <v>0.06</v>
      </c>
      <c r="N1911" s="449">
        <v>0.04</v>
      </c>
      <c r="O1911" s="449">
        <v>0.02</v>
      </c>
      <c r="P1911" s="449">
        <v>0.03</v>
      </c>
      <c r="Q1911" s="449">
        <v>3.5000000000000003E-2</v>
      </c>
      <c r="R1911" s="449">
        <v>3.7499999999999999E-2</v>
      </c>
      <c r="S1911" s="449">
        <v>0.04</v>
      </c>
      <c r="T1911" s="449">
        <v>4.2500000000000003E-2</v>
      </c>
      <c r="U1911" s="449">
        <v>0.05</v>
      </c>
      <c r="V1911" s="449"/>
    </row>
    <row r="1925" spans="2:11">
      <c r="B1925" t="s">
        <v>1823</v>
      </c>
    </row>
    <row r="1929" spans="2:11">
      <c r="B1929" s="394" t="s">
        <v>1990</v>
      </c>
      <c r="C1929" s="394"/>
    </row>
    <row r="1931" spans="2:11">
      <c r="B1931" s="455"/>
      <c r="C1931" s="455"/>
      <c r="D1931" s="455">
        <f>Voice_data!E3</f>
        <v>2011</v>
      </c>
      <c r="E1931" s="455">
        <f>Voice_data!F3</f>
        <v>2012</v>
      </c>
      <c r="F1931" s="455">
        <f>Voice_data!G3</f>
        <v>2013</v>
      </c>
      <c r="G1931" s="455">
        <f>Voice_data!H3</f>
        <v>2014</v>
      </c>
      <c r="H1931" s="455">
        <f>Voice_data!I3</f>
        <v>2015</v>
      </c>
      <c r="I1931" s="455">
        <f>Voice_data!J3</f>
        <v>2016</v>
      </c>
      <c r="J1931" s="455">
        <f>Voice_data!K3</f>
        <v>2017</v>
      </c>
      <c r="K1931" s="455">
        <f>Voice_data!L3</f>
        <v>2018</v>
      </c>
    </row>
    <row r="1932" spans="2:11">
      <c r="B1932" t="s">
        <v>2433</v>
      </c>
      <c r="D1932" s="449">
        <f>Voice_data!E12</f>
        <v>0.30192715212544696</v>
      </c>
      <c r="E1932" s="449" t="e">
        <f>Voice_data!F12</f>
        <v>#REF!</v>
      </c>
      <c r="F1932" s="449" t="e">
        <f>Voice_data!G12</f>
        <v>#REF!</v>
      </c>
      <c r="G1932" s="449" t="e">
        <f>Voice_data!H12</f>
        <v>#REF!</v>
      </c>
      <c r="H1932" s="449" t="e">
        <f>Voice_data!I12</f>
        <v>#REF!</v>
      </c>
      <c r="I1932" s="449" t="e">
        <f ca="1">Voice_data!J12</f>
        <v>#REF!</v>
      </c>
      <c r="J1932" s="449" t="e">
        <f ca="1">Voice_data!K12</f>
        <v>#REF!</v>
      </c>
      <c r="K1932" s="449" t="e">
        <f ca="1">Voice_data!L12</f>
        <v>#REF!</v>
      </c>
    </row>
    <row r="1933" spans="2:11">
      <c r="B1933" t="s">
        <v>2434</v>
      </c>
      <c r="D1933" s="449" t="e">
        <f>D1932-Voice_data!E88</f>
        <v>#REF!</v>
      </c>
      <c r="E1933" s="449" t="e">
        <f>E1932-Voice_data!F88</f>
        <v>#REF!</v>
      </c>
      <c r="F1933" s="449" t="e">
        <f>F1932-Voice_data!G88</f>
        <v>#REF!</v>
      </c>
      <c r="G1933" s="449" t="e">
        <f>G1932-Voice_data!H88</f>
        <v>#REF!</v>
      </c>
      <c r="H1933" s="449" t="e">
        <f ca="1">H1932-Voice_data!I88</f>
        <v>#REF!</v>
      </c>
      <c r="I1933" s="449" t="e">
        <f ca="1">I1932-Voice_data!J88</f>
        <v>#REF!</v>
      </c>
      <c r="J1933" s="449" t="e">
        <f ca="1">J1932-Voice_data!K88</f>
        <v>#REF!</v>
      </c>
      <c r="K1933" s="449" t="e">
        <f ca="1">K1932-Voice_data!L88</f>
        <v>#REF!</v>
      </c>
    </row>
    <row r="1934" spans="2:11">
      <c r="B1934" t="s">
        <v>2435</v>
      </c>
      <c r="D1934" s="449">
        <f>AVERAGE(F1896:F1898)</f>
        <v>2.7666666666666669E-2</v>
      </c>
      <c r="E1934" s="449">
        <f>AVERAGE(G1896:G1898)</f>
        <v>2.8333333333333335E-2</v>
      </c>
      <c r="F1934" s="501">
        <f t="shared" ref="F1934:K1935" si="249">E1934</f>
        <v>2.8333333333333335E-2</v>
      </c>
      <c r="G1934" s="501">
        <f t="shared" si="249"/>
        <v>2.8333333333333335E-2</v>
      </c>
      <c r="H1934" s="501">
        <f t="shared" si="249"/>
        <v>2.8333333333333335E-2</v>
      </c>
      <c r="I1934" s="501">
        <f t="shared" si="249"/>
        <v>2.8333333333333335E-2</v>
      </c>
      <c r="J1934" s="501">
        <f t="shared" si="249"/>
        <v>2.8333333333333335E-2</v>
      </c>
      <c r="K1934" s="501">
        <f t="shared" si="249"/>
        <v>2.8333333333333335E-2</v>
      </c>
    </row>
    <row r="1935" spans="2:11">
      <c r="B1935" t="s">
        <v>2436</v>
      </c>
      <c r="D1935" s="449">
        <f>AVERAGE(F1899:F1901)</f>
        <v>5.4333333333333338E-2</v>
      </c>
      <c r="E1935" s="449">
        <f>AVERAGE(G1899:G1901)</f>
        <v>4.6666666666666669E-2</v>
      </c>
      <c r="F1935" s="501">
        <f t="shared" si="249"/>
        <v>4.6666666666666669E-2</v>
      </c>
      <c r="G1935" s="501">
        <f t="shared" si="249"/>
        <v>4.6666666666666669E-2</v>
      </c>
      <c r="H1935" s="501">
        <f t="shared" si="249"/>
        <v>4.6666666666666669E-2</v>
      </c>
      <c r="I1935" s="501">
        <f t="shared" si="249"/>
        <v>4.6666666666666669E-2</v>
      </c>
      <c r="J1935" s="501">
        <f t="shared" si="249"/>
        <v>4.6666666666666669E-2</v>
      </c>
      <c r="K1935" s="501">
        <f t="shared" si="249"/>
        <v>4.6666666666666669E-2</v>
      </c>
    </row>
    <row r="1937" spans="2:11">
      <c r="B1937" t="s">
        <v>1989</v>
      </c>
    </row>
    <row r="1938" spans="2:11">
      <c r="B1938" s="499" t="s">
        <v>967</v>
      </c>
      <c r="C1938" s="499"/>
      <c r="D1938">
        <f>D1931</f>
        <v>2011</v>
      </c>
      <c r="E1938">
        <f t="shared" ref="E1938:K1938" si="250">D1938+1</f>
        <v>2012</v>
      </c>
      <c r="F1938">
        <f t="shared" si="250"/>
        <v>2013</v>
      </c>
      <c r="G1938">
        <f t="shared" si="250"/>
        <v>2014</v>
      </c>
      <c r="H1938">
        <f t="shared" si="250"/>
        <v>2015</v>
      </c>
      <c r="I1938">
        <f t="shared" si="250"/>
        <v>2016</v>
      </c>
      <c r="J1938">
        <f t="shared" si="250"/>
        <v>2017</v>
      </c>
      <c r="K1938">
        <f t="shared" si="250"/>
        <v>2018</v>
      </c>
    </row>
    <row r="1939" spans="2:11">
      <c r="B1939" t="s">
        <v>1907</v>
      </c>
      <c r="D1939" s="449">
        <f>Voice_data!E17</f>
        <v>1.7221201744279071</v>
      </c>
      <c r="E1939" s="449" t="e">
        <f>Voice_data!F17</f>
        <v>#REF!</v>
      </c>
      <c r="F1939" s="449" t="e">
        <f>Voice_data!G17</f>
        <v>#REF!</v>
      </c>
      <c r="G1939" s="449" t="e">
        <f>Voice_data!H17</f>
        <v>#REF!</v>
      </c>
      <c r="H1939" s="449" t="e">
        <f>Voice_data!I17</f>
        <v>#REF!</v>
      </c>
      <c r="I1939" s="449" t="e">
        <f>Voice_data!J17</f>
        <v>#REF!</v>
      </c>
      <c r="J1939" s="449" t="e">
        <f>Voice_data!K17</f>
        <v>#REF!</v>
      </c>
      <c r="K1939" s="449" t="e">
        <f>Voice_data!L17</f>
        <v>#REF!</v>
      </c>
    </row>
    <row r="1940" spans="2:11">
      <c r="B1940" s="455" t="s">
        <v>1906</v>
      </c>
      <c r="C1940" s="455"/>
      <c r="D1940" s="476">
        <f>Voice_data!E15</f>
        <v>0.39988875155487125</v>
      </c>
      <c r="E1940" s="476">
        <f>Voice_data!F15</f>
        <v>0.02</v>
      </c>
      <c r="F1940" s="476">
        <f>Voice_data!G15</f>
        <v>0.02</v>
      </c>
      <c r="G1940" s="476">
        <f>Voice_data!H15</f>
        <v>0</v>
      </c>
      <c r="H1940" s="476">
        <f>Voice_data!I15</f>
        <v>-0.02</v>
      </c>
      <c r="I1940" s="476">
        <f>Voice_data!J15</f>
        <v>-0.03</v>
      </c>
      <c r="J1940" s="476">
        <f>Voice_data!K15</f>
        <v>-0.04</v>
      </c>
      <c r="K1940" s="476">
        <f>Voice_data!L15</f>
        <v>-0.04</v>
      </c>
    </row>
    <row r="1941" spans="2:11">
      <c r="B1941" t="s">
        <v>2500</v>
      </c>
      <c r="D1941" s="449">
        <f>Voice_data!E83</f>
        <v>1.1495707085018294</v>
      </c>
      <c r="E1941" s="449" t="e">
        <f>Voice_data!F83</f>
        <v>#REF!</v>
      </c>
      <c r="F1941" s="449" t="e">
        <f>Voice_data!G83</f>
        <v>#REF!</v>
      </c>
      <c r="G1941" s="449" t="e">
        <f>Voice_data!H83</f>
        <v>#REF!</v>
      </c>
      <c r="H1941" s="449" t="e">
        <f>Voice_data!I83</f>
        <v>#REF!</v>
      </c>
      <c r="I1941" s="449" t="e">
        <f>Voice_data!J83</f>
        <v>#REF!</v>
      </c>
      <c r="J1941" s="449" t="e">
        <f>Voice_data!K83</f>
        <v>#REF!</v>
      </c>
      <c r="K1941" s="449" t="e">
        <f>Voice_data!L83</f>
        <v>#REF!</v>
      </c>
    </row>
    <row r="1943" spans="2:11">
      <c r="B1943" s="487"/>
      <c r="C1943" s="487"/>
      <c r="D1943" s="455">
        <f t="shared" ref="D1943:K1943" si="251">D1938</f>
        <v>2011</v>
      </c>
      <c r="E1943" s="455">
        <f t="shared" si="251"/>
        <v>2012</v>
      </c>
      <c r="F1943" s="455">
        <f t="shared" si="251"/>
        <v>2013</v>
      </c>
      <c r="G1943" s="455">
        <f t="shared" si="251"/>
        <v>2014</v>
      </c>
      <c r="H1943" s="455">
        <f t="shared" si="251"/>
        <v>2015</v>
      </c>
      <c r="I1943" s="455">
        <f t="shared" si="251"/>
        <v>2016</v>
      </c>
      <c r="J1943" s="455">
        <f t="shared" si="251"/>
        <v>2017</v>
      </c>
      <c r="K1943" s="455">
        <f t="shared" si="251"/>
        <v>2018</v>
      </c>
    </row>
    <row r="1944" spans="2:11">
      <c r="B1944" t="str">
        <f>B1939</f>
        <v>Non-SMS data</v>
      </c>
      <c r="D1944" s="449" t="e">
        <f t="shared" ref="D1944:G1946" si="252">+D1939-(D$1932-D$1933)</f>
        <v>#REF!</v>
      </c>
      <c r="E1944" s="449" t="e">
        <f t="shared" si="252"/>
        <v>#REF!</v>
      </c>
      <c r="F1944" s="449" t="e">
        <f t="shared" si="252"/>
        <v>#REF!</v>
      </c>
      <c r="G1944" s="449" t="e">
        <f t="shared" si="252"/>
        <v>#REF!</v>
      </c>
      <c r="H1944" s="449" t="e">
        <f t="shared" ref="H1944:K1946" ca="1" si="253">+H1939-(H$1932-H$1933)</f>
        <v>#REF!</v>
      </c>
      <c r="I1944" s="449" t="e">
        <f t="shared" ca="1" si="253"/>
        <v>#REF!</v>
      </c>
      <c r="J1944" s="449" t="e">
        <f t="shared" ca="1" si="253"/>
        <v>#REF!</v>
      </c>
      <c r="K1944" s="449" t="e">
        <f t="shared" ca="1" si="253"/>
        <v>#REF!</v>
      </c>
    </row>
    <row r="1945" spans="2:11">
      <c r="B1945" t="str">
        <f>B1940</f>
        <v>SMS</v>
      </c>
      <c r="D1945" s="449" t="e">
        <f t="shared" si="252"/>
        <v>#REF!</v>
      </c>
      <c r="E1945" s="449" t="e">
        <f t="shared" si="252"/>
        <v>#REF!</v>
      </c>
      <c r="F1945" s="449" t="e">
        <f t="shared" si="252"/>
        <v>#REF!</v>
      </c>
      <c r="G1945" s="449" t="e">
        <f t="shared" si="252"/>
        <v>#REF!</v>
      </c>
      <c r="H1945" s="449" t="e">
        <f t="shared" ca="1" si="253"/>
        <v>#REF!</v>
      </c>
      <c r="I1945" s="449" t="e">
        <f t="shared" ca="1" si="253"/>
        <v>#REF!</v>
      </c>
      <c r="J1945" s="449" t="e">
        <f t="shared" ca="1" si="253"/>
        <v>#REF!</v>
      </c>
      <c r="K1945" s="449" t="e">
        <f t="shared" ca="1" si="253"/>
        <v>#REF!</v>
      </c>
    </row>
    <row r="1946" spans="2:11">
      <c r="B1946" t="str">
        <f>B1941</f>
        <v>Total VAS</v>
      </c>
      <c r="D1946" s="449" t="e">
        <f t="shared" si="252"/>
        <v>#REF!</v>
      </c>
      <c r="E1946" s="449" t="e">
        <f t="shared" si="252"/>
        <v>#REF!</v>
      </c>
      <c r="F1946" s="449" t="e">
        <f t="shared" si="252"/>
        <v>#REF!</v>
      </c>
      <c r="G1946" s="449" t="e">
        <f t="shared" si="252"/>
        <v>#REF!</v>
      </c>
      <c r="H1946" s="449" t="e">
        <f t="shared" ca="1" si="253"/>
        <v>#REF!</v>
      </c>
      <c r="I1946" s="449" t="e">
        <f t="shared" ca="1" si="253"/>
        <v>#REF!</v>
      </c>
      <c r="J1946" s="449" t="e">
        <f t="shared" ca="1" si="253"/>
        <v>#REF!</v>
      </c>
      <c r="K1946" s="449" t="e">
        <f t="shared" ca="1" si="253"/>
        <v>#REF!</v>
      </c>
    </row>
    <row r="1953" spans="2:12">
      <c r="D1953" s="455">
        <f>Voice_data!E3</f>
        <v>2011</v>
      </c>
      <c r="E1953" s="455">
        <f>Voice_data!F3</f>
        <v>2012</v>
      </c>
      <c r="F1953" s="455">
        <f>Voice_data!G3</f>
        <v>2013</v>
      </c>
      <c r="G1953" s="455">
        <f>Voice_data!H3</f>
        <v>2014</v>
      </c>
      <c r="H1953" s="455">
        <f>Voice_data!I3</f>
        <v>2015</v>
      </c>
      <c r="I1953" s="455">
        <f>Voice_data!J3</f>
        <v>2016</v>
      </c>
      <c r="J1953" s="455">
        <f>Voice_data!K3</f>
        <v>2017</v>
      </c>
      <c r="K1953" s="455">
        <f>Voice_data!L3</f>
        <v>2018</v>
      </c>
    </row>
    <row r="1954" spans="2:12">
      <c r="B1954" t="str">
        <f>Voice_data!B41</f>
        <v>Unbanked population across MIC LATAM</v>
      </c>
      <c r="D1954" s="464">
        <f>Voice_data!E41</f>
        <v>60572.594927021237</v>
      </c>
      <c r="E1954" s="464"/>
      <c r="F1954" s="464"/>
      <c r="G1954" s="464"/>
      <c r="H1954" s="464"/>
      <c r="I1954" s="464"/>
      <c r="J1954" s="464"/>
      <c r="K1954" s="464"/>
    </row>
    <row r="1955" spans="2:12">
      <c r="B1955" t="str">
        <f>Voice_data!B42</f>
        <v>as a % total POP</v>
      </c>
      <c r="D1955" s="449">
        <f>Voice_data!E42</f>
        <v>0.65</v>
      </c>
      <c r="E1955" s="464"/>
      <c r="F1955" s="464"/>
      <c r="G1955" s="464"/>
      <c r="H1955" s="464"/>
      <c r="I1955" s="464"/>
      <c r="J1955" s="464"/>
      <c r="K1955" s="464"/>
    </row>
    <row r="1956" spans="2:12">
      <c r="D1956" s="464"/>
      <c r="E1956" s="464"/>
      <c r="F1956" s="464"/>
      <c r="G1956" s="464"/>
      <c r="H1956" s="464"/>
      <c r="I1956" s="464"/>
      <c r="J1956" s="464"/>
      <c r="K1956" s="464"/>
    </row>
    <row r="1957" spans="2:12">
      <c r="B1957" t="str">
        <f>Voice_data!B44</f>
        <v>% penetration of Millicom LATAM subs base</v>
      </c>
      <c r="D1957" s="449">
        <f>Voice_data!E44</f>
        <v>1E-3</v>
      </c>
      <c r="E1957" s="449">
        <f>Voice_data!F44</f>
        <v>0.05</v>
      </c>
      <c r="F1957" s="449">
        <f>Voice_data!G44</f>
        <v>0.08</v>
      </c>
      <c r="G1957" s="449">
        <f>Voice_data!H44</f>
        <v>0.1</v>
      </c>
      <c r="H1957" s="449">
        <f>Voice_data!I44</f>
        <v>0.14000000000000001</v>
      </c>
      <c r="I1957" s="449">
        <f>Voice_data!J44</f>
        <v>0.18</v>
      </c>
      <c r="J1957" s="449">
        <f>Voice_data!K44</f>
        <v>0.22</v>
      </c>
      <c r="K1957" s="449">
        <f>Voice_data!L44</f>
        <v>0.27</v>
      </c>
    </row>
    <row r="1958" spans="2:12">
      <c r="B1958" t="str">
        <f>Voice_data!B45</f>
        <v>Subs taking financial services</v>
      </c>
      <c r="D1958" s="464">
        <f>Voice_data!E45</f>
        <v>22.576650000000001</v>
      </c>
      <c r="E1958" s="464">
        <f>Voice_data!F45</f>
        <v>1237.405</v>
      </c>
      <c r="F1958" s="464">
        <f>Voice_data!G45</f>
        <v>2072.3720000000003</v>
      </c>
      <c r="G1958" s="464">
        <f>Voice_data!H45</f>
        <v>2737.65</v>
      </c>
      <c r="H1958" s="464">
        <f>Voice_data!I45</f>
        <v>4007.5873180000008</v>
      </c>
      <c r="I1958" s="464">
        <f>Voice_data!J45</f>
        <v>4955.2325459660769</v>
      </c>
      <c r="J1958" s="464">
        <f>Voice_data!K45</f>
        <v>6157.5023993298373</v>
      </c>
      <c r="K1958" s="464">
        <f>Voice_data!L45</f>
        <v>7738.055854191758</v>
      </c>
    </row>
    <row r="1959" spans="2:12">
      <c r="B1959" t="str">
        <f>Voice_data!B46</f>
        <v>Spend per sub/month</v>
      </c>
      <c r="D1959" s="503">
        <f>Voice_data!E46</f>
        <v>0.5</v>
      </c>
      <c r="E1959" s="503">
        <f>Voice_data!F46</f>
        <v>3</v>
      </c>
      <c r="F1959" s="503">
        <f>Voice_data!G46</f>
        <v>4</v>
      </c>
      <c r="G1959" s="503">
        <f>Voice_data!H46</f>
        <v>5</v>
      </c>
      <c r="H1959" s="503">
        <f>Voice_data!I46</f>
        <v>5</v>
      </c>
      <c r="I1959" s="503">
        <f>Voice_data!J46</f>
        <v>5</v>
      </c>
      <c r="J1959" s="503">
        <f>Voice_data!K46</f>
        <v>5</v>
      </c>
      <c r="K1959" s="503">
        <f>Voice_data!L46</f>
        <v>5</v>
      </c>
    </row>
    <row r="1960" spans="2:12">
      <c r="B1960" t="str">
        <f>Voice_data!B47</f>
        <v>Revenue from financial service, USDm</v>
      </c>
      <c r="D1960" s="464">
        <f>Voice_data!E47</f>
        <v>0.81710316815030382</v>
      </c>
      <c r="E1960" s="464">
        <f>Voice_data!F47</f>
        <v>22.679669699999998</v>
      </c>
      <c r="F1960" s="464">
        <f>Voice_data!G47</f>
        <v>79.434647999999996</v>
      </c>
      <c r="G1960" s="464">
        <f>Voice_data!H47</f>
        <v>144.30066000000002</v>
      </c>
      <c r="H1960" s="464">
        <f>Voice_data!I47</f>
        <v>202.35711954000004</v>
      </c>
      <c r="I1960" s="464">
        <f>Voice_data!J47</f>
        <v>268.88459591898231</v>
      </c>
      <c r="J1960" s="464">
        <f>Voice_data!K47</f>
        <v>333.3820483588774</v>
      </c>
      <c r="K1960" s="464">
        <f>Voice_data!L47</f>
        <v>416.86674760564784</v>
      </c>
    </row>
    <row r="1962" spans="2:12">
      <c r="B1962" s="394" t="s">
        <v>2444</v>
      </c>
      <c r="C1962" s="394"/>
    </row>
    <row r="1964" spans="2:12">
      <c r="B1964" s="455"/>
      <c r="C1964" s="455"/>
      <c r="D1964" s="455">
        <v>2011</v>
      </c>
      <c r="E1964" s="455">
        <f t="shared" ref="E1964:K1964" si="254">D1964+1</f>
        <v>2012</v>
      </c>
      <c r="F1964" s="455">
        <f t="shared" si="254"/>
        <v>2013</v>
      </c>
      <c r="G1964" s="455">
        <f t="shared" si="254"/>
        <v>2014</v>
      </c>
      <c r="H1964" s="455">
        <f t="shared" si="254"/>
        <v>2015</v>
      </c>
      <c r="I1964" s="455">
        <f t="shared" si="254"/>
        <v>2016</v>
      </c>
      <c r="J1964" s="455">
        <f t="shared" si="254"/>
        <v>2017</v>
      </c>
      <c r="K1964" s="455">
        <f t="shared" si="254"/>
        <v>2018</v>
      </c>
      <c r="L1964" s="455" t="s">
        <v>2445</v>
      </c>
    </row>
    <row r="1965" spans="2:12">
      <c r="B1965" t="s">
        <v>2379</v>
      </c>
      <c r="D1965" s="468">
        <f>CA!L70</f>
        <v>7.79</v>
      </c>
      <c r="E1965" s="468">
        <f>CA!M70</f>
        <v>7.72</v>
      </c>
      <c r="F1965" s="468">
        <f>CA!N70</f>
        <v>7.86</v>
      </c>
      <c r="G1965" s="468">
        <f>CA!O70</f>
        <v>7.73</v>
      </c>
      <c r="H1965" s="468">
        <f>CA!P70</f>
        <v>7.6580170773237182</v>
      </c>
      <c r="I1965" s="468">
        <f>CA!Q70</f>
        <v>7.52</v>
      </c>
      <c r="J1965" s="468">
        <f>CA!R70</f>
        <v>7.35</v>
      </c>
      <c r="K1965" s="468">
        <f>CA!S70</f>
        <v>7.34</v>
      </c>
      <c r="L1965" s="449">
        <f>CA!AF70</f>
        <v>-4.9222797927461093E-2</v>
      </c>
    </row>
    <row r="1966" spans="2:12">
      <c r="B1966" t="s">
        <v>2380</v>
      </c>
      <c r="D1966" s="468">
        <f>CA!L71</f>
        <v>18.89</v>
      </c>
      <c r="E1966" s="468">
        <f>CA!M71</f>
        <v>19.059999999999999</v>
      </c>
      <c r="F1966" s="468">
        <f>CA!N71</f>
        <v>20.420000000000002</v>
      </c>
      <c r="G1966" s="468">
        <f>CA!O71</f>
        <v>21.06</v>
      </c>
      <c r="H1966" s="468">
        <f>CA!P71</f>
        <v>22.017500000000002</v>
      </c>
      <c r="I1966" s="468">
        <f>CA!Q71</f>
        <v>23.1</v>
      </c>
      <c r="J1966" s="468">
        <f>CA!R71</f>
        <v>23.45</v>
      </c>
      <c r="K1966" s="468">
        <f>CA!S71</f>
        <v>23.47</v>
      </c>
      <c r="L1966" s="449">
        <f>CA!AF71</f>
        <v>0.23137460650577135</v>
      </c>
    </row>
    <row r="1967" spans="2:12">
      <c r="B1967" t="s">
        <v>1665</v>
      </c>
      <c r="D1967" s="454">
        <f>Colombia!H34</f>
        <v>1862</v>
      </c>
      <c r="E1967" s="454">
        <f>Colombia!I34</f>
        <v>1810</v>
      </c>
      <c r="F1967" s="454">
        <f>Colombia!J34</f>
        <v>1871</v>
      </c>
      <c r="G1967" s="454">
        <f>Colombia!K34</f>
        <v>2010.84</v>
      </c>
      <c r="H1967" s="454">
        <f>Colombia!L34</f>
        <v>2746</v>
      </c>
      <c r="I1967" s="454">
        <f>Colombia!M34</f>
        <v>3043</v>
      </c>
      <c r="J1967" s="454">
        <f>Colombia!N34</f>
        <v>2951</v>
      </c>
      <c r="K1967" s="454">
        <f>Colombia!O34</f>
        <v>2919</v>
      </c>
      <c r="L1967" s="449">
        <f>Colombia!AG34</f>
        <v>3991.0692527994288</v>
      </c>
    </row>
    <row r="1968" spans="2:12">
      <c r="B1968" t="s">
        <v>2378</v>
      </c>
      <c r="D1968" s="454">
        <f>SA!L72</f>
        <v>4196</v>
      </c>
      <c r="E1968" s="454">
        <f>SA!M72</f>
        <v>4418</v>
      </c>
      <c r="F1968" s="454">
        <f>SA!N72</f>
        <v>4306</v>
      </c>
      <c r="G1968" s="454">
        <f>SA!O72</f>
        <v>4484</v>
      </c>
      <c r="H1968" s="454">
        <f>SA!P72</f>
        <v>5211.4697295673077</v>
      </c>
      <c r="I1968" s="454">
        <f>SA!Q72</f>
        <v>5628</v>
      </c>
      <c r="J1968" s="454">
        <f>SA!R72</f>
        <v>5586</v>
      </c>
      <c r="K1968" s="454">
        <f>SA!S72</f>
        <v>5550</v>
      </c>
      <c r="L1968" s="449">
        <f>SA!AC72</f>
        <v>-0.18690848865664622</v>
      </c>
    </row>
    <row r="1969" spans="2:12">
      <c r="B1969" t="s">
        <v>2377</v>
      </c>
      <c r="D1969" s="468">
        <f>SA!L71</f>
        <v>6.97</v>
      </c>
      <c r="E1969" s="468">
        <f>SA!M71</f>
        <v>6.91</v>
      </c>
      <c r="F1969" s="468">
        <f>SA!N71</f>
        <v>6.91</v>
      </c>
      <c r="G1969" s="468">
        <f>SA!O71</f>
        <v>6.91</v>
      </c>
      <c r="H1969" s="468">
        <f>SA!P71</f>
        <v>6.9</v>
      </c>
      <c r="I1969" s="468">
        <f>SA!Q71</f>
        <v>6.91</v>
      </c>
      <c r="J1969" s="468">
        <f>SA!R71</f>
        <v>6.9</v>
      </c>
      <c r="K1969" s="468">
        <f>SA!S71</f>
        <v>6.9</v>
      </c>
      <c r="L1969" s="449">
        <f>SA!AC71</f>
        <v>-0.25119947022362521</v>
      </c>
    </row>
    <row r="1971" spans="2:12">
      <c r="B1971" s="394" t="s">
        <v>2488</v>
      </c>
      <c r="C1971" s="394"/>
    </row>
    <row r="1973" spans="2:12">
      <c r="B1973" t="s">
        <v>791</v>
      </c>
      <c r="D1973" s="493" t="s">
        <v>1145</v>
      </c>
      <c r="E1973" t="s">
        <v>1442</v>
      </c>
    </row>
    <row r="1974" spans="2:12">
      <c r="B1974" t="s">
        <v>2382</v>
      </c>
      <c r="D1974" s="454">
        <f>Africa!K5/1000</f>
        <v>24.413044682678194</v>
      </c>
      <c r="E1974">
        <v>6</v>
      </c>
    </row>
    <row r="1975" spans="2:12">
      <c r="B1975" t="s">
        <v>578</v>
      </c>
      <c r="D1975" s="454">
        <f>Africa!K8/1000</f>
        <v>39.660483985260768</v>
      </c>
      <c r="E1975">
        <v>6</v>
      </c>
    </row>
    <row r="1976" spans="2:12">
      <c r="B1976" t="s">
        <v>2489</v>
      </c>
      <c r="D1976" s="454">
        <f>Africa!K10/1000</f>
        <v>13.380108721283804</v>
      </c>
      <c r="E1976">
        <v>4</v>
      </c>
    </row>
    <row r="1977" spans="2:12">
      <c r="B1977" t="s">
        <v>1665</v>
      </c>
      <c r="D1977" s="454">
        <f>Colombia!G12/1000</f>
        <v>45.638632676874977</v>
      </c>
      <c r="E1977">
        <v>3</v>
      </c>
    </row>
    <row r="1980" spans="2:12">
      <c r="B1980" s="394" t="s">
        <v>2493</v>
      </c>
      <c r="C1980" s="394"/>
    </row>
    <row r="1982" spans="2:12">
      <c r="B1982" s="478" t="s">
        <v>2499</v>
      </c>
      <c r="C1982" s="478"/>
      <c r="D1982">
        <v>770</v>
      </c>
    </row>
    <row r="1983" spans="2:12">
      <c r="B1983" s="499" t="s">
        <v>2496</v>
      </c>
      <c r="C1983" s="499"/>
    </row>
    <row r="1984" spans="2:12">
      <c r="B1984" t="s">
        <v>1474</v>
      </c>
      <c r="D1984" s="464">
        <f>Notes!E88+Notes!E114</f>
        <v>20.619751266808123</v>
      </c>
    </row>
    <row r="1985" spans="2:7">
      <c r="B1985" s="455" t="s">
        <v>2494</v>
      </c>
      <c r="C1985" s="455"/>
      <c r="D1985" s="462">
        <v>55</v>
      </c>
    </row>
    <row r="1986" spans="2:7">
      <c r="D1986" s="464">
        <f>D1982+D1984+D1985</f>
        <v>845.61975126680818</v>
      </c>
    </row>
    <row r="1987" spans="2:7">
      <c r="B1987" s="499" t="s">
        <v>2495</v>
      </c>
      <c r="C1987" s="499"/>
    </row>
    <row r="1988" spans="2:7">
      <c r="B1988" s="478" t="s">
        <v>2497</v>
      </c>
      <c r="C1988" s="478"/>
      <c r="D1988" s="454">
        <f ca="1">D1989-D1986</f>
        <v>-442.11777663616533</v>
      </c>
    </row>
    <row r="1989" spans="2:7">
      <c r="B1989" s="478" t="s">
        <v>2498</v>
      </c>
      <c r="C1989" s="478"/>
      <c r="D1989" s="454">
        <f ca="1">SOP!I43</f>
        <v>403.50197463064285</v>
      </c>
    </row>
    <row r="1991" spans="2:7">
      <c r="B1991" s="394" t="s">
        <v>2502</v>
      </c>
      <c r="C1991" s="394"/>
    </row>
    <row r="1993" spans="2:7">
      <c r="B1993" s="478"/>
      <c r="C1993" s="478"/>
      <c r="D1993" s="506" t="s">
        <v>886</v>
      </c>
      <c r="E1993" s="506" t="s">
        <v>886</v>
      </c>
      <c r="F1993" s="506" t="s">
        <v>886</v>
      </c>
      <c r="G1993" s="506" t="s">
        <v>886</v>
      </c>
    </row>
    <row r="1994" spans="2:7">
      <c r="B1994" s="487" t="s">
        <v>1426</v>
      </c>
      <c r="C1994" s="487"/>
      <c r="D1994" s="455">
        <v>2011</v>
      </c>
      <c r="E1994" s="455">
        <f>D1994+1</f>
        <v>2012</v>
      </c>
      <c r="F1994" s="455">
        <f>E1994+1</f>
        <v>2013</v>
      </c>
      <c r="G1994" s="455">
        <f>F1994+1</f>
        <v>2014</v>
      </c>
    </row>
    <row r="1995" spans="2:7">
      <c r="B1995" s="478" t="s">
        <v>758</v>
      </c>
      <c r="C1995" s="478"/>
      <c r="D1995" s="464">
        <f>Master!N5</f>
        <v>0</v>
      </c>
      <c r="E1995" s="464">
        <f>Master!O5</f>
        <v>0</v>
      </c>
      <c r="F1995" s="464">
        <f>Master!P5</f>
        <v>0</v>
      </c>
      <c r="G1995" s="464">
        <f>Master!Q5</f>
        <v>6386.0109430529701</v>
      </c>
    </row>
    <row r="1996" spans="2:7">
      <c r="B1996" s="478" t="s">
        <v>360</v>
      </c>
      <c r="C1996" s="478"/>
      <c r="D1996" s="464">
        <f>Master!N14</f>
        <v>0</v>
      </c>
      <c r="E1996" s="464">
        <f>Master!O14</f>
        <v>0</v>
      </c>
      <c r="F1996" s="464">
        <f>Master!P14</f>
        <v>0</v>
      </c>
      <c r="G1996" s="464">
        <f>Master!Q14</f>
        <v>2109.5211117787239</v>
      </c>
    </row>
    <row r="1997" spans="2:7">
      <c r="B1997" s="478" t="s">
        <v>1545</v>
      </c>
      <c r="C1997" s="478"/>
      <c r="D1997" s="454">
        <f>Div!K83</f>
        <v>804</v>
      </c>
      <c r="E1997" s="454">
        <f>Div!L83</f>
        <v>922</v>
      </c>
      <c r="F1997" s="454">
        <f>Div!M83</f>
        <v>1083</v>
      </c>
      <c r="G1997" s="454">
        <f>Div!N83</f>
        <v>1293</v>
      </c>
    </row>
    <row r="1998" spans="2:7">
      <c r="B1998" s="478" t="s">
        <v>1552</v>
      </c>
      <c r="C1998" s="478"/>
      <c r="D1998" s="464">
        <f>D1996-D1997</f>
        <v>-804</v>
      </c>
      <c r="E1998" s="464">
        <f>E1996-E1997</f>
        <v>-922</v>
      </c>
      <c r="F1998" s="464">
        <f>F1996-F1997</f>
        <v>-1083</v>
      </c>
      <c r="G1998" s="464">
        <f>G1996-G1997</f>
        <v>816.52111177872393</v>
      </c>
    </row>
    <row r="2000" spans="2:7">
      <c r="B2000" s="455"/>
      <c r="C2000" s="455"/>
      <c r="D2000" s="508" t="s">
        <v>2503</v>
      </c>
      <c r="E2000" s="508" t="s">
        <v>885</v>
      </c>
      <c r="F2000" s="508" t="s">
        <v>885</v>
      </c>
      <c r="G2000" s="508" t="s">
        <v>885</v>
      </c>
    </row>
    <row r="2001" spans="2:9">
      <c r="B2001" t="str">
        <f>B1995</f>
        <v>Revenue</v>
      </c>
      <c r="D2001" s="464">
        <v>4619.7463696583109</v>
      </c>
      <c r="E2001" s="464">
        <v>5089.0880409372949</v>
      </c>
      <c r="F2001" s="464">
        <v>5511.9283923189741</v>
      </c>
      <c r="G2001" s="464">
        <v>5889.7480246992509</v>
      </c>
    </row>
    <row r="2002" spans="2:9">
      <c r="B2002" t="str">
        <f>B1996</f>
        <v>EBITDA</v>
      </c>
      <c r="D2002" s="464">
        <v>2024.5399883075524</v>
      </c>
      <c r="E2002" s="464">
        <v>2239.439647280994</v>
      </c>
      <c r="F2002" s="464">
        <v>2451.0179856720456</v>
      </c>
      <c r="G2002" s="464">
        <v>2597.3939838527754</v>
      </c>
    </row>
    <row r="2003" spans="2:9">
      <c r="B2003" t="str">
        <f>B1997</f>
        <v>Capex</v>
      </c>
      <c r="D2003" s="454">
        <v>833.12688218858216</v>
      </c>
      <c r="E2003" s="454">
        <v>830.67230627953063</v>
      </c>
      <c r="F2003" s="454">
        <v>772.88369331780746</v>
      </c>
      <c r="G2003" s="454">
        <v>742.66598799313999</v>
      </c>
    </row>
    <row r="2004" spans="2:9">
      <c r="B2004" t="str">
        <f>B1998</f>
        <v>OpFCF</v>
      </c>
      <c r="D2004" s="464">
        <f>D2002-D2003</f>
        <v>1191.4131061189703</v>
      </c>
      <c r="E2004" s="464">
        <f>E2002-E2003</f>
        <v>1408.7673410014634</v>
      </c>
      <c r="F2004" s="464">
        <f>F2002-F2003</f>
        <v>1678.1342923542381</v>
      </c>
      <c r="G2004" s="464">
        <f>G2002-G2003</f>
        <v>1854.7279958596355</v>
      </c>
    </row>
    <row r="2006" spans="2:9">
      <c r="B2006" s="455"/>
      <c r="C2006" s="455"/>
      <c r="D2006" s="508" t="s">
        <v>2353</v>
      </c>
      <c r="E2006" s="508" t="s">
        <v>2353</v>
      </c>
      <c r="F2006" s="508" t="s">
        <v>2353</v>
      </c>
      <c r="G2006" s="508" t="s">
        <v>2353</v>
      </c>
    </row>
    <row r="2007" spans="2:9">
      <c r="B2007" t="str">
        <f>B2001</f>
        <v>Revenue</v>
      </c>
      <c r="D2007" s="449">
        <f t="shared" ref="D2007:G2010" si="255">D1995/D2001-1</f>
        <v>-1</v>
      </c>
      <c r="E2007" s="449">
        <f t="shared" si="255"/>
        <v>-1</v>
      </c>
      <c r="F2007" s="449">
        <f t="shared" si="255"/>
        <v>-1</v>
      </c>
      <c r="G2007" s="449">
        <f t="shared" si="255"/>
        <v>8.4258769012288903E-2</v>
      </c>
    </row>
    <row r="2008" spans="2:9">
      <c r="B2008" t="str">
        <f>B2002</f>
        <v>EBITDA</v>
      </c>
      <c r="D2008" s="449">
        <f t="shared" si="255"/>
        <v>-1</v>
      </c>
      <c r="E2008" s="449">
        <f t="shared" si="255"/>
        <v>-1</v>
      </c>
      <c r="F2008" s="449">
        <f t="shared" si="255"/>
        <v>-1</v>
      </c>
      <c r="G2008" s="449">
        <f t="shared" si="255"/>
        <v>-0.18783167863905581</v>
      </c>
    </row>
    <row r="2009" spans="2:9">
      <c r="B2009" t="str">
        <f>B2003</f>
        <v>Capex</v>
      </c>
      <c r="D2009" s="449">
        <f t="shared" si="255"/>
        <v>-3.4960919892618625E-2</v>
      </c>
      <c r="E2009" s="449">
        <f t="shared" si="255"/>
        <v>0.10994431020520445</v>
      </c>
      <c r="F2009" s="449">
        <f t="shared" si="255"/>
        <v>0.4012457622840202</v>
      </c>
      <c r="G2009" s="449">
        <f t="shared" si="255"/>
        <v>0.74102493032432148</v>
      </c>
    </row>
    <row r="2010" spans="2:9">
      <c r="B2010" t="str">
        <f>B2004</f>
        <v>OpFCF</v>
      </c>
      <c r="D2010" s="449">
        <f t="shared" si="255"/>
        <v>-1.6748289034850647</v>
      </c>
      <c r="E2010" s="449">
        <f t="shared" si="255"/>
        <v>-1.654472866573248</v>
      </c>
      <c r="F2010" s="449">
        <f t="shared" si="255"/>
        <v>-1.6453595549142077</v>
      </c>
      <c r="G2010" s="449">
        <f t="shared" si="255"/>
        <v>-0.55976234056882279</v>
      </c>
    </row>
    <row r="2013" spans="2:9" ht="15.75">
      <c r="B2013" s="545"/>
      <c r="C2013" s="545"/>
      <c r="D2013" s="2579" t="s">
        <v>821</v>
      </c>
      <c r="E2013" s="2579"/>
      <c r="F2013" s="2579"/>
      <c r="G2013" s="2579" t="s">
        <v>1643</v>
      </c>
      <c r="H2013" s="2579"/>
      <c r="I2013" s="2579"/>
    </row>
    <row r="2014" spans="2:9" ht="15.75">
      <c r="B2014" s="543"/>
      <c r="C2014" s="543"/>
      <c r="D2014" s="544" t="s">
        <v>2533</v>
      </c>
      <c r="E2014" s="544" t="s">
        <v>1069</v>
      </c>
      <c r="F2014" s="544" t="s">
        <v>2547</v>
      </c>
      <c r="G2014" s="544" t="s">
        <v>2533</v>
      </c>
      <c r="H2014" s="544" t="s">
        <v>1069</v>
      </c>
      <c r="I2014" s="544" t="s">
        <v>2547</v>
      </c>
    </row>
    <row r="2015" spans="2:9" ht="15.75">
      <c r="B2015" s="545" t="s">
        <v>2548</v>
      </c>
      <c r="C2015" s="545"/>
      <c r="D2015" s="554" t="e">
        <f>Quarts!#REF!</f>
        <v>#REF!</v>
      </c>
      <c r="E2015" s="548">
        <f>Master!O5</f>
        <v>0</v>
      </c>
      <c r="F2015" s="548">
        <f>Master!P5</f>
        <v>0</v>
      </c>
      <c r="G2015" s="554">
        <v>1191</v>
      </c>
      <c r="H2015" s="548">
        <v>4846.3357421697983</v>
      </c>
      <c r="I2015" s="548">
        <v>5218.8935896634812</v>
      </c>
    </row>
    <row r="2016" spans="2:9" ht="15.75">
      <c r="B2016" s="545" t="s">
        <v>1433</v>
      </c>
      <c r="C2016" s="545"/>
      <c r="D2016" s="553" t="e">
        <f>Quarts!#REF!</f>
        <v>#REF!</v>
      </c>
      <c r="E2016" s="548">
        <f>Master!O14</f>
        <v>0</v>
      </c>
      <c r="F2016" s="548">
        <f>Master!P14</f>
        <v>0</v>
      </c>
      <c r="G2016" s="553">
        <v>499.6</v>
      </c>
      <c r="H2016" s="548">
        <v>2042.9257905458721</v>
      </c>
      <c r="I2016" s="548">
        <v>2194.1781910693549</v>
      </c>
    </row>
    <row r="2017" spans="2:17" ht="15.75">
      <c r="B2017" s="545" t="s">
        <v>761</v>
      </c>
      <c r="C2017" s="545"/>
      <c r="D2017" s="553" t="e">
        <f>Quarts!#REF!</f>
        <v>#REF!</v>
      </c>
      <c r="E2017" s="548" t="e">
        <f>Master!#REF!</f>
        <v>#REF!</v>
      </c>
      <c r="F2017" s="548" t="e">
        <f>Master!#REF!</f>
        <v>#REF!</v>
      </c>
      <c r="G2017" s="553">
        <v>529.1</v>
      </c>
      <c r="H2017" s="548">
        <v>2159.2060891687029</v>
      </c>
      <c r="I2017" s="548">
        <v>2320.8163905601095</v>
      </c>
    </row>
    <row r="2018" spans="2:17" ht="15.75">
      <c r="B2018" s="545" t="s">
        <v>1545</v>
      </c>
      <c r="C2018" s="545"/>
      <c r="D2018" s="553" t="e">
        <f>Quarts!#REF!</f>
        <v>#REF!</v>
      </c>
      <c r="E2018" s="548">
        <f>Div!L83</f>
        <v>922</v>
      </c>
      <c r="F2018" s="548">
        <f>Div!M83</f>
        <v>1083</v>
      </c>
      <c r="G2018" s="553">
        <v>209.6</v>
      </c>
      <c r="H2018" s="548">
        <v>922.24872781388069</v>
      </c>
      <c r="I2018" s="548">
        <v>921.57125073916882</v>
      </c>
    </row>
    <row r="2019" spans="2:17" ht="15.75">
      <c r="B2019" s="545" t="s">
        <v>407</v>
      </c>
      <c r="C2019" s="545"/>
      <c r="D2019" s="552" t="e">
        <f>Quarts!#REF!</f>
        <v>#REF!</v>
      </c>
      <c r="E2019" s="548">
        <f>Master!O47</f>
        <v>-596</v>
      </c>
      <c r="F2019" s="548">
        <f>Master!P47</f>
        <v>-806</v>
      </c>
      <c r="G2019" s="552">
        <v>171</v>
      </c>
      <c r="H2019" s="548">
        <v>663.94214765837125</v>
      </c>
      <c r="I2019" s="548">
        <v>748.59719763997498</v>
      </c>
    </row>
    <row r="2021" spans="2:17">
      <c r="B2021" s="394" t="s">
        <v>2555</v>
      </c>
      <c r="C2021" s="394"/>
    </row>
    <row r="2023" spans="2:17">
      <c r="B2023" s="455"/>
      <c r="C2023" s="455"/>
      <c r="D2023" s="495" t="str">
        <f>Quarts!AH461</f>
        <v>Q1 09</v>
      </c>
      <c r="E2023" s="495" t="str">
        <f>Quarts!AI461</f>
        <v>Q2 09</v>
      </c>
      <c r="F2023" s="495" t="str">
        <f>Quarts!AJ461</f>
        <v>Q3 09</v>
      </c>
      <c r="G2023" s="495" t="str">
        <f>Quarts!AK461</f>
        <v>Q4 09</v>
      </c>
      <c r="H2023" s="495" t="str">
        <f>Quarts!AM461</f>
        <v>Q1 10</v>
      </c>
      <c r="I2023" s="495" t="str">
        <f>Quarts!AN461</f>
        <v>Q2 10</v>
      </c>
      <c r="J2023" s="495" t="str">
        <f>Quarts!AO461</f>
        <v>Q3 10</v>
      </c>
      <c r="K2023" s="495" t="str">
        <f>Quarts!AP461</f>
        <v>Q4 10</v>
      </c>
      <c r="L2023" s="495" t="str">
        <f>Quarts!AR461</f>
        <v>Q1 11</v>
      </c>
      <c r="M2023" s="495" t="str">
        <f>Quarts!AS461</f>
        <v>Q2 11</v>
      </c>
      <c r="N2023" s="495" t="str">
        <f>Quarts!AT461</f>
        <v>Q3 11</v>
      </c>
      <c r="O2023" s="495" t="str">
        <f>Quarts!AU461</f>
        <v>Q4 11</v>
      </c>
      <c r="P2023" s="495" t="str">
        <f>Quarts!AW461</f>
        <v>Q1 12</v>
      </c>
      <c r="Q2023" s="495" t="str">
        <f>Quarts!AX461</f>
        <v>Q2 12</v>
      </c>
    </row>
    <row r="2024" spans="2:17">
      <c r="B2024" s="478" t="s">
        <v>1828</v>
      </c>
      <c r="C2024" s="478"/>
      <c r="D2024" s="456">
        <f>Quarts!AH466</f>
        <v>0.52807266351836668</v>
      </c>
      <c r="E2024" s="456">
        <f>Quarts!AI466</f>
        <v>0.52390024299427917</v>
      </c>
      <c r="F2024" s="456">
        <f>Quarts!AJ466</f>
        <v>0.53381854526236927</v>
      </c>
      <c r="G2024" s="456">
        <f>Quarts!AK466</f>
        <v>0.53054698175584125</v>
      </c>
      <c r="H2024" s="456">
        <f>Quarts!AM466</f>
        <v>0.53376295338693147</v>
      </c>
      <c r="I2024" s="456">
        <f>Quarts!AN466</f>
        <v>0.53676506903860721</v>
      </c>
      <c r="J2024" s="456">
        <f>Quarts!AO466</f>
        <v>0.53816487119174472</v>
      </c>
      <c r="K2024" s="456">
        <f>Quarts!AP466</f>
        <v>0.53770521458138054</v>
      </c>
      <c r="L2024" s="456">
        <f>Quarts!AR466</f>
        <v>0.5444250298026565</v>
      </c>
      <c r="M2024" s="456">
        <f>Quarts!AS466</f>
        <v>0.5443393522968184</v>
      </c>
      <c r="N2024" s="456">
        <f>Quarts!AT466</f>
        <v>0.54325545371213513</v>
      </c>
      <c r="O2024" s="456">
        <f>Quarts!AU466</f>
        <v>0.54066637798000472</v>
      </c>
      <c r="P2024" s="456">
        <f>Quarts!AW466</f>
        <v>0.55039188965568431</v>
      </c>
      <c r="Q2024" s="456">
        <f>Quarts!AX466</f>
        <v>0.54854475895032395</v>
      </c>
    </row>
    <row r="2025" spans="2:17">
      <c r="B2025" s="478" t="s">
        <v>870</v>
      </c>
      <c r="C2025" s="478"/>
      <c r="D2025" s="456">
        <f>Quarts!AH471</f>
        <v>0.45533186494399541</v>
      </c>
      <c r="E2025" s="456">
        <f>Quarts!AI471</f>
        <v>0.45598435077068067</v>
      </c>
      <c r="F2025" s="456">
        <f>Quarts!AJ471</f>
        <v>0.45849943162124923</v>
      </c>
      <c r="G2025" s="456">
        <f>Quarts!AK471</f>
        <v>0.45840370197653968</v>
      </c>
      <c r="H2025" s="456">
        <f>Quarts!AM471</f>
        <v>0.46598606644114049</v>
      </c>
      <c r="I2025" s="456">
        <f>Quarts!AN471</f>
        <v>0.46658594751254878</v>
      </c>
      <c r="J2025" s="456">
        <f>Quarts!AO471</f>
        <v>0.46416896868968899</v>
      </c>
      <c r="K2025" s="456">
        <f>Quarts!AP471</f>
        <v>0.46144534482883165</v>
      </c>
      <c r="L2025" s="456">
        <f>Quarts!AR471</f>
        <v>0.46147478569911754</v>
      </c>
      <c r="M2025" s="456">
        <f>Quarts!AS471</f>
        <v>0.46008007553425107</v>
      </c>
      <c r="N2025" s="456">
        <f>Quarts!AT471</f>
        <v>0.45543028143055631</v>
      </c>
      <c r="O2025" s="456">
        <f>Quarts!AU471</f>
        <v>0.45198998401235546</v>
      </c>
      <c r="P2025" s="456">
        <f>Quarts!AW471</f>
        <v>0.46164175554162318</v>
      </c>
      <c r="Q2025" s="456">
        <f>Quarts!AX471</f>
        <v>0.45847637607885744</v>
      </c>
    </row>
    <row r="2026" spans="2:17">
      <c r="B2026" s="478" t="s">
        <v>2558</v>
      </c>
      <c r="C2026" s="478"/>
      <c r="D2026" s="456">
        <f>Quarts!AH480</f>
        <v>0.29416749789758179</v>
      </c>
      <c r="E2026" s="456">
        <f>Quarts!AI480</f>
        <v>0.30502512741871063</v>
      </c>
      <c r="F2026" s="456">
        <f>Quarts!AJ480</f>
        <v>0.30288536587608517</v>
      </c>
      <c r="G2026" s="456">
        <f>Quarts!AK480</f>
        <v>0.30721002638366651</v>
      </c>
      <c r="H2026" s="456">
        <f>Quarts!AM480</f>
        <v>0.30900649972887462</v>
      </c>
      <c r="I2026" s="456">
        <f>Quarts!AN480</f>
        <v>0.31655325136828261</v>
      </c>
      <c r="J2026" s="456">
        <f>Quarts!AO480</f>
        <v>0.31655334988605133</v>
      </c>
      <c r="K2026" s="456">
        <f>Quarts!AP480</f>
        <v>0.33055283851785844</v>
      </c>
      <c r="L2026" s="456">
        <f>Quarts!AR480</f>
        <v>0.3208836165504661</v>
      </c>
      <c r="M2026" s="456">
        <f>Quarts!AS480</f>
        <v>0.31748035404560193</v>
      </c>
      <c r="N2026" s="456">
        <f>Quarts!AT480</f>
        <v>0.3115444569366646</v>
      </c>
      <c r="O2026" s="456">
        <f>Quarts!AU480</f>
        <v>0.30308261089650868</v>
      </c>
      <c r="P2026" s="456">
        <f>Quarts!AW480</f>
        <v>0.29481752970554037</v>
      </c>
      <c r="Q2026" s="456">
        <f>Quarts!AX480</f>
        <v>0.29457338341040001</v>
      </c>
    </row>
    <row r="2027" spans="2:17">
      <c r="B2027" s="478" t="s">
        <v>1665</v>
      </c>
      <c r="C2027" s="478"/>
      <c r="D2027" s="456">
        <f>Quarts!AH467</f>
        <v>0.08</v>
      </c>
      <c r="E2027" s="456">
        <f>Quarts!AI467</f>
        <v>0.08</v>
      </c>
      <c r="F2027" s="456">
        <f>Quarts!AJ467</f>
        <v>0.09</v>
      </c>
      <c r="G2027" s="456">
        <f>Quarts!AK467</f>
        <v>0.09</v>
      </c>
      <c r="H2027" s="456">
        <f>Quarts!AM467</f>
        <v>8.8999999999999996E-2</v>
      </c>
      <c r="I2027" s="456">
        <f>Quarts!AN467</f>
        <v>9.4E-2</v>
      </c>
      <c r="J2027" s="456">
        <f>Quarts!AO467</f>
        <v>9.5000000000000001E-2</v>
      </c>
      <c r="K2027" s="456">
        <f>Quarts!AP467</f>
        <v>9.8221991079997545E-2</v>
      </c>
      <c r="L2027" s="456">
        <f>Quarts!AR467</f>
        <v>0.1</v>
      </c>
      <c r="M2027" s="456">
        <f>Quarts!AS467</f>
        <v>0.104</v>
      </c>
      <c r="N2027" s="456">
        <f>Quarts!AT467</f>
        <v>0.106</v>
      </c>
      <c r="O2027" s="456">
        <f>Quarts!AU467</f>
        <v>0.10771347417006924</v>
      </c>
      <c r="P2027" s="456">
        <f>Quarts!AW467</f>
        <v>0.10100000000000001</v>
      </c>
      <c r="Q2027" s="456">
        <f>Quarts!AX467</f>
        <v>0.107</v>
      </c>
    </row>
    <row r="2029" spans="2:17">
      <c r="B2029" s="394" t="s">
        <v>2562</v>
      </c>
      <c r="C2029" s="394"/>
    </row>
    <row r="2031" spans="2:17">
      <c r="B2031" s="487" t="s">
        <v>2563</v>
      </c>
      <c r="C2031" s="487"/>
      <c r="D2031" s="455">
        <v>2012</v>
      </c>
      <c r="E2031" s="455">
        <f>D2031+1</f>
        <v>2013</v>
      </c>
      <c r="F2031" s="455">
        <f>E2031+1</f>
        <v>2014</v>
      </c>
      <c r="G2031" s="455">
        <f>F2031+1</f>
        <v>2015</v>
      </c>
    </row>
    <row r="2032" spans="2:17">
      <c r="B2032" s="478" t="s">
        <v>758</v>
      </c>
      <c r="C2032" s="478"/>
      <c r="D2032" s="464">
        <f>Master!O5</f>
        <v>0</v>
      </c>
      <c r="E2032" s="464">
        <f>Master!P5</f>
        <v>0</v>
      </c>
      <c r="F2032" s="464">
        <f>Master!Q5</f>
        <v>6386.0109430529701</v>
      </c>
      <c r="G2032" s="464">
        <f>Master!R5</f>
        <v>6730.1365449983496</v>
      </c>
    </row>
    <row r="2033" spans="2:7">
      <c r="B2033" s="478" t="s">
        <v>1928</v>
      </c>
      <c r="C2033" s="478"/>
      <c r="D2033" s="464" t="e">
        <f>Master!#REF!</f>
        <v>#REF!</v>
      </c>
      <c r="E2033" s="464" t="e">
        <f>Master!#REF!</f>
        <v>#REF!</v>
      </c>
      <c r="F2033" s="464" t="e">
        <f>Master!#REF!</f>
        <v>#REF!</v>
      </c>
      <c r="G2033" s="464" t="e">
        <f>Master!#REF!</f>
        <v>#REF!</v>
      </c>
    </row>
    <row r="2034" spans="2:7">
      <c r="B2034" s="478" t="s">
        <v>1434</v>
      </c>
      <c r="C2034" s="478"/>
      <c r="D2034" s="456" t="e">
        <f>D2033/D2032</f>
        <v>#REF!</v>
      </c>
      <c r="E2034" s="456" t="e">
        <f>E2033/E2032</f>
        <v>#REF!</v>
      </c>
      <c r="F2034" s="456" t="e">
        <f>F2033/F2032</f>
        <v>#REF!</v>
      </c>
      <c r="G2034" s="456" t="e">
        <f>G2033/G2032</f>
        <v>#REF!</v>
      </c>
    </row>
    <row r="2035" spans="2:7">
      <c r="B2035" s="478" t="s">
        <v>1433</v>
      </c>
      <c r="C2035" s="478"/>
      <c r="D2035" s="464">
        <f>Master!O14</f>
        <v>0</v>
      </c>
      <c r="E2035" s="464">
        <f>Master!P14</f>
        <v>0</v>
      </c>
      <c r="F2035" s="464">
        <f>Master!Q14</f>
        <v>2109.5211117787239</v>
      </c>
      <c r="G2035" s="464">
        <f>Master!R14</f>
        <v>2265.6309442315396</v>
      </c>
    </row>
    <row r="2036" spans="2:7">
      <c r="B2036" s="478" t="s">
        <v>1434</v>
      </c>
      <c r="C2036" s="478"/>
      <c r="D2036" s="456" t="e">
        <f>D2035/D2032</f>
        <v>#DIV/0!</v>
      </c>
      <c r="E2036" s="456" t="e">
        <f>E2035/E2032</f>
        <v>#DIV/0!</v>
      </c>
      <c r="F2036" s="456">
        <f>F2035/F2032</f>
        <v>0.33033471608337422</v>
      </c>
      <c r="G2036" s="456">
        <f>G2035/G2032</f>
        <v>0.336639669802137</v>
      </c>
    </row>
    <row r="2037" spans="2:7">
      <c r="B2037" s="478" t="s">
        <v>1545</v>
      </c>
      <c r="C2037" s="478"/>
      <c r="D2037" s="454">
        <f>Div!L83</f>
        <v>922</v>
      </c>
      <c r="E2037" s="454">
        <f>Div!M83</f>
        <v>1083</v>
      </c>
      <c r="F2037" s="454">
        <f>Div!N83</f>
        <v>1293</v>
      </c>
      <c r="G2037" s="454">
        <f ca="1">Div!O83</f>
        <v>1286</v>
      </c>
    </row>
    <row r="2038" spans="2:7">
      <c r="B2038" s="478" t="s">
        <v>1431</v>
      </c>
      <c r="C2038" s="478"/>
      <c r="D2038" s="449" t="e">
        <f>D2037/D2032</f>
        <v>#DIV/0!</v>
      </c>
      <c r="E2038" s="449" t="e">
        <f>E2037/E2032</f>
        <v>#DIV/0!</v>
      </c>
      <c r="F2038" s="449">
        <f>F2037/F2032</f>
        <v>0.20247381527064115</v>
      </c>
      <c r="G2038" s="449">
        <f ca="1">G2037/G2032</f>
        <v>0.19108081855422673</v>
      </c>
    </row>
    <row r="2039" spans="2:7">
      <c r="B2039" s="478" t="s">
        <v>1552</v>
      </c>
      <c r="C2039" s="478"/>
      <c r="D2039" s="464">
        <f>D2035-D2037</f>
        <v>-922</v>
      </c>
      <c r="E2039" s="464">
        <f>E2035-E2037</f>
        <v>-1083</v>
      </c>
      <c r="F2039" s="464">
        <f>F2035-F2037</f>
        <v>816.52111177872393</v>
      </c>
      <c r="G2039" s="464">
        <f ca="1">G2035-G2037</f>
        <v>979.63094423153962</v>
      </c>
    </row>
    <row r="2041" spans="2:7">
      <c r="B2041" s="487" t="s">
        <v>885</v>
      </c>
      <c r="C2041" s="487"/>
      <c r="D2041" s="455">
        <v>2012</v>
      </c>
      <c r="E2041" s="455">
        <f>D2041+1</f>
        <v>2013</v>
      </c>
      <c r="F2041" s="455">
        <f>E2041+1</f>
        <v>2014</v>
      </c>
      <c r="G2041" s="455">
        <f>F2041+1</f>
        <v>2015</v>
      </c>
    </row>
    <row r="2042" spans="2:7">
      <c r="B2042" t="str">
        <f t="shared" ref="B2042:B2049" si="256">B2032</f>
        <v>Revenue</v>
      </c>
      <c r="D2042" s="464">
        <v>4827.7588746551792</v>
      </c>
      <c r="E2042" s="464">
        <v>5099.1538851194573</v>
      </c>
      <c r="F2042" s="464">
        <v>5412.8473914499</v>
      </c>
      <c r="G2042" s="464">
        <v>5719.1682080065566</v>
      </c>
    </row>
    <row r="2043" spans="2:7">
      <c r="B2043" t="str">
        <f t="shared" si="256"/>
        <v>Rep EBITDA</v>
      </c>
      <c r="D2043" s="464">
        <v>2142.5570924307513</v>
      </c>
      <c r="E2043" s="464">
        <v>2213.2786637210529</v>
      </c>
      <c r="F2043" s="464">
        <v>2334.9959975173047</v>
      </c>
      <c r="G2043" s="464">
        <v>2459.9915024824395</v>
      </c>
    </row>
    <row r="2044" spans="2:7">
      <c r="B2044" t="str">
        <f t="shared" si="256"/>
        <v>% margin</v>
      </c>
      <c r="D2044" s="456">
        <f>D2043/D2042</f>
        <v>0.44379952438775905</v>
      </c>
      <c r="E2044" s="456">
        <f>E2043/E2042</f>
        <v>0.43404821928985632</v>
      </c>
      <c r="F2044" s="456">
        <f>F2043/F2042</f>
        <v>0.43138034913115225</v>
      </c>
      <c r="G2044" s="456">
        <f>G2043/G2042</f>
        <v>0.43013099335644145</v>
      </c>
    </row>
    <row r="2045" spans="2:7">
      <c r="B2045" t="str">
        <f t="shared" si="256"/>
        <v>Clean EBITDA</v>
      </c>
      <c r="D2045" s="464">
        <v>2040.8570924307512</v>
      </c>
      <c r="E2045" s="464">
        <v>2121.7486637210527</v>
      </c>
      <c r="F2045" s="464">
        <v>2252.6189975173047</v>
      </c>
      <c r="G2045" s="464">
        <v>2385.8522024824397</v>
      </c>
    </row>
    <row r="2046" spans="2:7">
      <c r="B2046" t="str">
        <f t="shared" si="256"/>
        <v>% margin</v>
      </c>
      <c r="D2046" s="456">
        <f>D2045/D2042</f>
        <v>0.42273384927007535</v>
      </c>
      <c r="E2046" s="456">
        <f>E2045/E2042</f>
        <v>0.41609818246764813</v>
      </c>
      <c r="F2046" s="456">
        <f>F2045/F2042</f>
        <v>0.41616155686848433</v>
      </c>
      <c r="G2046" s="456">
        <f>G2045/G2042</f>
        <v>0.41716769217285182</v>
      </c>
    </row>
    <row r="2047" spans="2:7">
      <c r="B2047" t="str">
        <f t="shared" si="256"/>
        <v>Capex</v>
      </c>
      <c r="D2047" s="454">
        <v>972.48822697476578</v>
      </c>
      <c r="E2047" s="454">
        <v>908.2516963891261</v>
      </c>
      <c r="F2047" s="454">
        <v>835.61397072838565</v>
      </c>
      <c r="G2047" s="454">
        <v>823.93764763738</v>
      </c>
    </row>
    <row r="2048" spans="2:7">
      <c r="B2048" t="str">
        <f t="shared" si="256"/>
        <v>as % sales</v>
      </c>
      <c r="D2048" s="449">
        <f>D2047/D2042</f>
        <v>0.2014367851054337</v>
      </c>
      <c r="E2048" s="449">
        <f>E2047/E2042</f>
        <v>0.1781181185842656</v>
      </c>
      <c r="F2048" s="449">
        <f>F2047/F2042</f>
        <v>0.15437604467628557</v>
      </c>
      <c r="G2048" s="449">
        <f>G2047/G2042</f>
        <v>0.14406599310786269</v>
      </c>
    </row>
    <row r="2049" spans="1:11">
      <c r="B2049" t="str">
        <f t="shared" si="256"/>
        <v>OpFCF</v>
      </c>
      <c r="D2049" s="464">
        <f>D2045-D2047</f>
        <v>1068.3688654559855</v>
      </c>
      <c r="E2049" s="464">
        <f>E2045-E2047</f>
        <v>1213.4969673319265</v>
      </c>
      <c r="F2049" s="464">
        <f>F2045-F2047</f>
        <v>1417.0050267889192</v>
      </c>
      <c r="G2049" s="464">
        <f>G2045-G2047</f>
        <v>1561.9145548450597</v>
      </c>
    </row>
    <row r="2051" spans="1:11">
      <c r="B2051" s="487" t="s">
        <v>619</v>
      </c>
      <c r="C2051" s="487"/>
      <c r="D2051" s="455">
        <f>D2041</f>
        <v>2012</v>
      </c>
      <c r="E2051" s="455">
        <f>E2041</f>
        <v>2013</v>
      </c>
      <c r="F2051" s="455">
        <f>F2041</f>
        <v>2014</v>
      </c>
      <c r="G2051" s="455">
        <f>G2041</f>
        <v>2015</v>
      </c>
    </row>
    <row r="2052" spans="1:11">
      <c r="B2052" t="str">
        <f>B2042</f>
        <v>Revenue</v>
      </c>
      <c r="D2052" s="456">
        <f t="shared" ref="D2052:G2053" si="257">D2032/D2042-1</f>
        <v>-1</v>
      </c>
      <c r="E2052" s="456">
        <f t="shared" si="257"/>
        <v>-1</v>
      </c>
      <c r="F2052" s="456">
        <f t="shared" si="257"/>
        <v>0.17978773115611446</v>
      </c>
      <c r="G2052" s="456">
        <f t="shared" si="257"/>
        <v>0.17676842159957573</v>
      </c>
    </row>
    <row r="2053" spans="1:11">
      <c r="B2053" t="str">
        <f>B2043</f>
        <v>Rep EBITDA</v>
      </c>
      <c r="D2053" s="456" t="e">
        <f t="shared" si="257"/>
        <v>#REF!</v>
      </c>
      <c r="E2053" s="456" t="e">
        <f t="shared" si="257"/>
        <v>#REF!</v>
      </c>
      <c r="F2053" s="456" t="e">
        <f t="shared" si="257"/>
        <v>#REF!</v>
      </c>
      <c r="G2053" s="456" t="e">
        <f t="shared" si="257"/>
        <v>#REF!</v>
      </c>
    </row>
    <row r="2054" spans="1:11">
      <c r="B2054" t="str">
        <f>B2045</f>
        <v>Clean EBITDA</v>
      </c>
      <c r="D2054" s="456">
        <f>D2035/D2045-1</f>
        <v>-1</v>
      </c>
      <c r="E2054" s="456">
        <f>E2035/E2045-1</f>
        <v>-1</v>
      </c>
      <c r="F2054" s="456">
        <f>F2035/F2045-1</f>
        <v>-6.3525117161976508E-2</v>
      </c>
      <c r="G2054" s="456">
        <f>G2035/G2045-1</f>
        <v>-5.038923120460348E-2</v>
      </c>
    </row>
    <row r="2055" spans="1:11">
      <c r="B2055" t="str">
        <f>B2047</f>
        <v>Capex</v>
      </c>
      <c r="D2055" s="456">
        <f>D2037/D2047-1</f>
        <v>-5.191654312548899E-2</v>
      </c>
      <c r="E2055" s="456">
        <f>E2037/E2047-1</f>
        <v>0.19240074563648912</v>
      </c>
      <c r="F2055" s="456">
        <f>F2037/F2047-1</f>
        <v>0.54736522520431463</v>
      </c>
      <c r="G2055" s="456">
        <f ca="1">G2037/G2047-1</f>
        <v>0.56079771774911835</v>
      </c>
    </row>
    <row r="2056" spans="1:11">
      <c r="B2056" t="str">
        <f>B2049</f>
        <v>OpFCF</v>
      </c>
      <c r="D2056" s="456">
        <f>D2039/D2049-1</f>
        <v>-1.8629978182736404</v>
      </c>
      <c r="E2056" s="456">
        <f>E2039/E2049-1</f>
        <v>-1.8924620573062942</v>
      </c>
      <c r="F2056" s="456">
        <f>F2039/F2049-1</f>
        <v>-0.42376978462169201</v>
      </c>
      <c r="G2056" s="456">
        <f ca="1">G2039/G2049-1</f>
        <v>-0.37280119377034804</v>
      </c>
    </row>
    <row r="2057" spans="1:11">
      <c r="D2057" s="456"/>
      <c r="E2057" s="456"/>
      <c r="F2057" s="456"/>
      <c r="G2057" s="456"/>
    </row>
    <row r="2058" spans="1:11">
      <c r="A2058" s="454">
        <f>Colombia!$K$12</f>
        <v>48439.181223598156</v>
      </c>
    </row>
    <row r="2059" spans="1:11">
      <c r="A2059" s="454"/>
    </row>
    <row r="2061" spans="1:11">
      <c r="B2061" s="567"/>
      <c r="C2061" s="567"/>
      <c r="I2061" s="454"/>
    </row>
    <row r="2062" spans="1:11">
      <c r="A2062">
        <v>1836</v>
      </c>
      <c r="B2062" s="567" t="s">
        <v>2866</v>
      </c>
      <c r="C2062" s="567"/>
      <c r="I2062" s="454"/>
      <c r="J2062" s="478" t="s">
        <v>2876</v>
      </c>
    </row>
    <row r="2063" spans="1:11">
      <c r="B2063" s="567"/>
      <c r="C2063" s="567"/>
      <c r="E2063" s="478" t="s">
        <v>2871</v>
      </c>
      <c r="F2063" s="478" t="s">
        <v>2868</v>
      </c>
      <c r="G2063" s="478" t="s">
        <v>2868</v>
      </c>
      <c r="H2063" s="478" t="s">
        <v>2873</v>
      </c>
      <c r="I2063" s="478" t="s">
        <v>2875</v>
      </c>
      <c r="J2063" t="str">
        <f>H2063</f>
        <v>Total for incumbents</v>
      </c>
      <c r="K2063" t="str">
        <f>I2063</f>
        <v>Total for new entrants</v>
      </c>
    </row>
    <row r="2064" spans="1:11">
      <c r="B2064" s="638"/>
      <c r="C2064" s="638"/>
      <c r="D2064" s="455"/>
      <c r="E2064" s="487" t="s">
        <v>2872</v>
      </c>
      <c r="F2064" s="487" t="s">
        <v>2869</v>
      </c>
      <c r="G2064" s="487" t="s">
        <v>2870</v>
      </c>
      <c r="H2064" s="487" t="s">
        <v>2874</v>
      </c>
      <c r="I2064" s="487" t="s">
        <v>2874</v>
      </c>
      <c r="J2064" s="455" t="str">
        <f>H2064</f>
        <v>on open</v>
      </c>
      <c r="K2064" s="455" t="str">
        <f>I2064</f>
        <v>on open</v>
      </c>
    </row>
    <row r="2065" spans="2:11">
      <c r="B2065" s="567" t="s">
        <v>2867</v>
      </c>
      <c r="C2065" s="567"/>
      <c r="D2065">
        <v>10</v>
      </c>
      <c r="E2065">
        <v>35119</v>
      </c>
      <c r="F2065">
        <v>29429</v>
      </c>
      <c r="G2065">
        <v>19353</v>
      </c>
      <c r="H2065">
        <f>E2065+F2065</f>
        <v>64548</v>
      </c>
      <c r="I2065" s="454">
        <f>E2065+G2065</f>
        <v>54472</v>
      </c>
      <c r="J2065">
        <f t="shared" ref="J2065:K2067" si="258">H2065*1.2</f>
        <v>77457.599999999991</v>
      </c>
      <c r="K2065">
        <f t="shared" si="258"/>
        <v>65366.399999999994</v>
      </c>
    </row>
    <row r="2066" spans="2:11">
      <c r="B2066" s="567">
        <v>2.5</v>
      </c>
      <c r="C2066" s="567"/>
      <c r="D2066">
        <v>10</v>
      </c>
      <c r="E2066">
        <v>19011</v>
      </c>
      <c r="F2066">
        <v>20607</v>
      </c>
      <c r="G2066">
        <v>4560</v>
      </c>
      <c r="H2066">
        <f>E2066+F2066</f>
        <v>39618</v>
      </c>
      <c r="I2066" s="454">
        <f>E2066+G2066</f>
        <v>23571</v>
      </c>
      <c r="J2066">
        <f t="shared" si="258"/>
        <v>47541.599999999999</v>
      </c>
      <c r="K2066">
        <f t="shared" si="258"/>
        <v>28285.200000000001</v>
      </c>
    </row>
    <row r="2067" spans="2:11">
      <c r="B2067" s="567">
        <v>1.9</v>
      </c>
      <c r="C2067" s="567"/>
      <c r="D2067">
        <v>5</v>
      </c>
      <c r="E2067" s="454">
        <v>34988</v>
      </c>
      <c r="F2067">
        <v>0</v>
      </c>
      <c r="G2067">
        <v>0</v>
      </c>
      <c r="H2067">
        <f>E2067+F2067</f>
        <v>34988</v>
      </c>
      <c r="I2067" s="454">
        <f>E2067+G2067</f>
        <v>34988</v>
      </c>
      <c r="J2067">
        <f t="shared" si="258"/>
        <v>41985.599999999999</v>
      </c>
      <c r="K2067">
        <f t="shared" si="258"/>
        <v>41985.599999999999</v>
      </c>
    </row>
    <row r="2068" spans="2:11">
      <c r="B2068" s="567"/>
      <c r="C2068" s="567"/>
      <c r="I2068" s="454"/>
    </row>
    <row r="2069" spans="2:11">
      <c r="B2069" s="567"/>
      <c r="C2069" s="567"/>
      <c r="D2069" s="478" t="s">
        <v>2881</v>
      </c>
      <c r="E2069" s="478" t="s">
        <v>2877</v>
      </c>
      <c r="F2069" s="478" t="s">
        <v>2878</v>
      </c>
      <c r="G2069" s="478" t="s">
        <v>2878</v>
      </c>
      <c r="I2069" s="454"/>
    </row>
    <row r="2070" spans="2:11">
      <c r="B2070" s="638" t="s">
        <v>2883</v>
      </c>
      <c r="C2070" s="638"/>
      <c r="D2070" s="508" t="s">
        <v>2882</v>
      </c>
      <c r="E2070" s="455"/>
      <c r="F2070" s="487" t="s">
        <v>2880</v>
      </c>
      <c r="G2070" s="487" t="s">
        <v>2879</v>
      </c>
      <c r="H2070" s="455"/>
      <c r="I2070" s="462"/>
      <c r="J2070" s="455"/>
      <c r="K2070" s="455"/>
    </row>
    <row r="2071" spans="2:11">
      <c r="B2071" s="567" t="str">
        <f>B2065</f>
        <v>AWS</v>
      </c>
      <c r="C2071" s="567"/>
      <c r="D2071">
        <v>10</v>
      </c>
      <c r="E2071" s="454">
        <f>E2065/$A$2062*D2071/D2065*1.2</f>
        <v>22.953594771241828</v>
      </c>
      <c r="F2071" s="454">
        <f>J2065/$A$2062*D2071/D2065</f>
        <v>42.188235294117639</v>
      </c>
      <c r="G2071" s="454">
        <f>K2065/$A$2062*D2071/D2065</f>
        <v>35.602614379084962</v>
      </c>
      <c r="I2071" s="454">
        <f>F2071*3</f>
        <v>126.56470588235291</v>
      </c>
    </row>
    <row r="2072" spans="2:11">
      <c r="B2072" s="567">
        <f>B2066</f>
        <v>2.5</v>
      </c>
      <c r="C2072" s="567"/>
      <c r="D2072">
        <v>10</v>
      </c>
      <c r="E2072" s="454">
        <f>E2066/$A$2062*D2072/D2066*1.2</f>
        <v>12.42549019607843</v>
      </c>
      <c r="F2072" s="454">
        <f>J2066/$A$2062*D2072/D2066</f>
        <v>25.894117647058824</v>
      </c>
      <c r="G2072" s="454">
        <f>K2066/$A$2062*D2072/D2066</f>
        <v>15.405882352941177</v>
      </c>
      <c r="I2072" s="454">
        <f>F2072*3</f>
        <v>77.682352941176475</v>
      </c>
    </row>
    <row r="2073" spans="2:11">
      <c r="B2073" s="567">
        <f>B2067</f>
        <v>1.9</v>
      </c>
      <c r="C2073" s="567"/>
      <c r="D2073">
        <v>5</v>
      </c>
      <c r="E2073" s="454">
        <f>E2067/$A$2062*D2073/D2067*1.2</f>
        <v>22.867973856209151</v>
      </c>
      <c r="F2073" s="454">
        <f>J2067/$A$2062*D2073/D2067</f>
        <v>22.867973856209151</v>
      </c>
      <c r="G2073" s="454">
        <f>K2067/$A$2062*D2073/D2067</f>
        <v>22.867973856209151</v>
      </c>
      <c r="I2073" s="454"/>
    </row>
    <row r="2074" spans="2:11">
      <c r="B2074" s="567"/>
      <c r="C2074" s="567"/>
      <c r="I2074" s="454"/>
    </row>
    <row r="2075" spans="2:11">
      <c r="B2075" s="567" t="s">
        <v>2585</v>
      </c>
      <c r="C2075" s="567"/>
      <c r="I2075" s="454"/>
    </row>
    <row r="2076" spans="2:11">
      <c r="B2076" s="567" t="s">
        <v>2586</v>
      </c>
      <c r="C2076" s="567"/>
      <c r="I2076" s="454"/>
    </row>
    <row r="2077" spans="2:11">
      <c r="B2077" s="567"/>
      <c r="C2077" s="567"/>
      <c r="I2077" s="454"/>
    </row>
    <row r="2078" spans="2:11">
      <c r="B2078" s="567" t="s">
        <v>2576</v>
      </c>
      <c r="C2078" s="567"/>
      <c r="I2078" s="454"/>
    </row>
    <row r="2079" spans="2:11">
      <c r="B2079" s="567" t="s">
        <v>2575</v>
      </c>
      <c r="C2079" s="567"/>
      <c r="I2079" s="454"/>
    </row>
    <row r="2081" spans="2:10">
      <c r="B2081" s="565" t="s">
        <v>2571</v>
      </c>
      <c r="C2081" s="565"/>
      <c r="D2081">
        <v>45</v>
      </c>
    </row>
    <row r="2082" spans="2:10">
      <c r="B2082" s="565" t="s">
        <v>2574</v>
      </c>
      <c r="C2082" s="565"/>
      <c r="D2082">
        <v>40</v>
      </c>
    </row>
    <row r="2083" spans="2:10">
      <c r="B2083" s="565" t="s">
        <v>2573</v>
      </c>
      <c r="C2083" s="565"/>
      <c r="D2083">
        <v>45</v>
      </c>
    </row>
    <row r="2084" spans="2:10">
      <c r="B2084" s="566" t="s">
        <v>2572</v>
      </c>
      <c r="C2084" s="566"/>
      <c r="D2084" s="455">
        <v>90</v>
      </c>
    </row>
    <row r="2085" spans="2:10">
      <c r="D2085">
        <f>SUM(D2081:D2084)</f>
        <v>220</v>
      </c>
    </row>
    <row r="2086" spans="2:10">
      <c r="B2086" s="565" t="s">
        <v>2570</v>
      </c>
      <c r="C2086" s="565"/>
    </row>
    <row r="2088" spans="2:10">
      <c r="B2088" s="565" t="s">
        <v>955</v>
      </c>
      <c r="C2088" s="565"/>
      <c r="D2088">
        <v>90</v>
      </c>
    </row>
    <row r="2089" spans="2:10">
      <c r="B2089" s="478" t="s">
        <v>1606</v>
      </c>
      <c r="C2089" s="478"/>
      <c r="D2089">
        <v>50</v>
      </c>
    </row>
    <row r="2090" spans="2:10">
      <c r="B2090" s="565" t="s">
        <v>2229</v>
      </c>
      <c r="C2090" s="565"/>
      <c r="D2090">
        <f>D2085-D2088-D2089-D2091</f>
        <v>50</v>
      </c>
    </row>
    <row r="2091" spans="2:10">
      <c r="B2091" s="478" t="s">
        <v>1941</v>
      </c>
      <c r="C2091" s="478"/>
      <c r="D2091">
        <v>30</v>
      </c>
    </row>
    <row r="2093" spans="2:10">
      <c r="B2093" s="478" t="s">
        <v>1069</v>
      </c>
      <c r="C2093" s="478"/>
      <c r="D2093" s="478" t="s">
        <v>2584</v>
      </c>
      <c r="E2093" s="478" t="s">
        <v>2583</v>
      </c>
      <c r="F2093" s="478" t="s">
        <v>2582</v>
      </c>
      <c r="G2093" s="478" t="s">
        <v>2581</v>
      </c>
      <c r="H2093" s="478" t="s">
        <v>2534</v>
      </c>
      <c r="I2093" s="506" t="s">
        <v>2580</v>
      </c>
      <c r="J2093" s="506" t="s">
        <v>2579</v>
      </c>
    </row>
    <row r="2094" spans="2:10">
      <c r="B2094" s="478" t="s">
        <v>758</v>
      </c>
      <c r="C2094" s="478"/>
      <c r="D2094">
        <v>5071</v>
      </c>
      <c r="E2094">
        <v>5107</v>
      </c>
      <c r="F2094">
        <v>5059</v>
      </c>
      <c r="G2094">
        <v>4888</v>
      </c>
      <c r="H2094">
        <v>4833</v>
      </c>
      <c r="I2094" s="454" t="e">
        <f>Master!#REF!</f>
        <v>#REF!</v>
      </c>
      <c r="J2094" s="464">
        <f>Master!O5</f>
        <v>0</v>
      </c>
    </row>
    <row r="2095" spans="2:10">
      <c r="B2095" s="478" t="s">
        <v>360</v>
      </c>
      <c r="C2095" s="478"/>
      <c r="D2095">
        <v>2319</v>
      </c>
      <c r="E2095">
        <v>2354</v>
      </c>
      <c r="F2095">
        <v>2303</v>
      </c>
      <c r="G2095">
        <v>2234</v>
      </c>
      <c r="H2095">
        <v>2188</v>
      </c>
      <c r="I2095" s="454" t="e">
        <f>Master!#REF!</f>
        <v>#REF!</v>
      </c>
      <c r="J2095" s="464" t="e">
        <f>Master!#REF!</f>
        <v>#REF!</v>
      </c>
    </row>
    <row r="2098" spans="2:10">
      <c r="B2098" s="487" t="s">
        <v>2593</v>
      </c>
      <c r="C2098" s="487"/>
      <c r="D2098" s="455">
        <v>2012</v>
      </c>
      <c r="E2098" s="455">
        <f t="shared" ref="E2098:J2098" si="259">D2098+1</f>
        <v>2013</v>
      </c>
      <c r="F2098" s="455">
        <f t="shared" si="259"/>
        <v>2014</v>
      </c>
      <c r="G2098" s="455">
        <f t="shared" si="259"/>
        <v>2015</v>
      </c>
      <c r="H2098" s="455">
        <f t="shared" si="259"/>
        <v>2016</v>
      </c>
      <c r="I2098" s="455">
        <f t="shared" si="259"/>
        <v>2017</v>
      </c>
      <c r="J2098" s="455">
        <f t="shared" si="259"/>
        <v>2018</v>
      </c>
    </row>
    <row r="2099" spans="2:10">
      <c r="B2099" s="478" t="s">
        <v>2589</v>
      </c>
      <c r="C2099" s="478"/>
      <c r="D2099" s="464">
        <f t="shared" ref="D2099:G2099" si="260">D2101-D2100</f>
        <v>5218.3963228092698</v>
      </c>
      <c r="E2099" s="464">
        <f t="shared" si="260"/>
        <v>5553.2034311307607</v>
      </c>
      <c r="F2099" s="464">
        <f t="shared" si="260"/>
        <v>6386.3680559090717</v>
      </c>
      <c r="G2099" s="464">
        <f t="shared" si="260"/>
        <v>6728.8770101554837</v>
      </c>
      <c r="H2099" s="464">
        <f ca="1">H2101-H2100</f>
        <v>6200.0693455538021</v>
      </c>
      <c r="I2099" s="464">
        <f ca="1">I2101-I2100</f>
        <v>6355.3589027815187</v>
      </c>
      <c r="J2099" s="464">
        <f ca="1">J2101-J2100</f>
        <v>6348.251016326808</v>
      </c>
    </row>
    <row r="2100" spans="2:10">
      <c r="B2100" s="487" t="s">
        <v>2566</v>
      </c>
      <c r="C2100" s="487"/>
      <c r="D2100" s="490">
        <f>Div!L35</f>
        <v>13</v>
      </c>
      <c r="E2100" s="490">
        <f>Div!M35</f>
        <v>0</v>
      </c>
      <c r="F2100" s="490">
        <f>Div!N35</f>
        <v>0</v>
      </c>
      <c r="G2100" s="490">
        <f>Div!O35</f>
        <v>0</v>
      </c>
      <c r="H2100" s="490">
        <f>Div!P35</f>
        <v>0</v>
      </c>
      <c r="I2100" s="490">
        <f>Div!Q35</f>
        <v>0</v>
      </c>
      <c r="J2100" s="490">
        <f>Div!R35</f>
        <v>0</v>
      </c>
    </row>
    <row r="2101" spans="2:10">
      <c r="B2101" s="478" t="s">
        <v>884</v>
      </c>
      <c r="C2101" s="478"/>
      <c r="D2101" s="464">
        <f>Div!L37</f>
        <v>5231.3963228092698</v>
      </c>
      <c r="E2101" s="464">
        <f>Div!M37</f>
        <v>5553.2034311307607</v>
      </c>
      <c r="F2101" s="464">
        <f>Div!N37</f>
        <v>6386.3680559090717</v>
      </c>
      <c r="G2101" s="464">
        <f>Div!O37</f>
        <v>6728.8770101554837</v>
      </c>
      <c r="H2101" s="464">
        <f ca="1">Div!P37</f>
        <v>6200.0693455538021</v>
      </c>
      <c r="I2101" s="464">
        <f ca="1">Div!Q37</f>
        <v>6355.3589027815187</v>
      </c>
      <c r="J2101" s="464">
        <f ca="1">Div!R37</f>
        <v>6348.251016326808</v>
      </c>
    </row>
    <row r="2102" spans="2:10">
      <c r="B2102" s="478" t="s">
        <v>2592</v>
      </c>
      <c r="C2102" s="478"/>
      <c r="D2102" s="449">
        <f t="shared" ref="D2102:G2102" si="261">D2100/D2099</f>
        <v>2.4911867929957423E-3</v>
      </c>
      <c r="E2102" s="449">
        <f t="shared" si="261"/>
        <v>0</v>
      </c>
      <c r="F2102" s="449">
        <f t="shared" si="261"/>
        <v>0</v>
      </c>
      <c r="G2102" s="449">
        <f t="shared" si="261"/>
        <v>0</v>
      </c>
      <c r="H2102" s="449">
        <f ca="1">H2100/H2099</f>
        <v>0</v>
      </c>
      <c r="I2102" s="449">
        <f ca="1">I2100/I2099</f>
        <v>0</v>
      </c>
      <c r="J2102" s="449">
        <f ca="1">J2100/J2099</f>
        <v>0</v>
      </c>
    </row>
    <row r="2104" spans="2:10">
      <c r="B2104" s="478" t="s">
        <v>2590</v>
      </c>
      <c r="C2104" s="478"/>
      <c r="D2104" s="449">
        <f>Div!L42</f>
        <v>0</v>
      </c>
      <c r="E2104" s="449">
        <f>Div!M42</f>
        <v>0</v>
      </c>
      <c r="F2104" s="449">
        <f>Div!N42</f>
        <v>0</v>
      </c>
      <c r="G2104" s="449">
        <f>Div!O42</f>
        <v>0</v>
      </c>
      <c r="H2104" s="449">
        <f>Div!P42</f>
        <v>0</v>
      </c>
      <c r="I2104" s="449">
        <f>Div!Q42</f>
        <v>0</v>
      </c>
      <c r="J2104" s="449">
        <f>Div!R42</f>
        <v>0</v>
      </c>
    </row>
    <row r="2105" spans="2:10">
      <c r="B2105" s="478" t="s">
        <v>2591</v>
      </c>
      <c r="C2105" s="478"/>
      <c r="D2105" s="449" t="e">
        <f>Div!#REF!</f>
        <v>#REF!</v>
      </c>
      <c r="E2105" s="449" t="e">
        <f>Div!#REF!</f>
        <v>#REF!</v>
      </c>
      <c r="F2105" s="449" t="e">
        <f>Div!#REF!</f>
        <v>#REF!</v>
      </c>
      <c r="G2105" s="449" t="e">
        <f>Div!#REF!</f>
        <v>#REF!</v>
      </c>
      <c r="H2105" s="449" t="e">
        <f>Div!#REF!</f>
        <v>#REF!</v>
      </c>
      <c r="I2105" s="449" t="e">
        <f>Div!#REF!</f>
        <v>#REF!</v>
      </c>
      <c r="J2105" s="449" t="e">
        <f>Div!#REF!</f>
        <v>#REF!</v>
      </c>
    </row>
    <row r="2107" spans="2:10">
      <c r="B2107" s="478" t="s">
        <v>2594</v>
      </c>
      <c r="C2107" s="478"/>
      <c r="D2107" s="464">
        <f t="shared" ref="D2107:G2107" si="262">D2109-D2108</f>
        <v>2088.0860000000002</v>
      </c>
      <c r="E2107" s="464">
        <f t="shared" si="262"/>
        <v>2239.3999999999996</v>
      </c>
      <c r="F2107" s="464">
        <f t="shared" si="262"/>
        <v>2355.4185681588733</v>
      </c>
      <c r="G2107" s="464">
        <f t="shared" si="262"/>
        <v>2442.5</v>
      </c>
      <c r="H2107" s="464">
        <f ca="1">H2109-H2108</f>
        <v>2334.7044926796475</v>
      </c>
      <c r="I2107" s="464">
        <f ca="1">I2109-I2108</f>
        <v>2354.0998861207117</v>
      </c>
      <c r="J2107" s="464">
        <f ca="1">J2109-J2108</f>
        <v>2351.7951047496122</v>
      </c>
    </row>
    <row r="2108" spans="2:10">
      <c r="B2108" s="487" t="s">
        <v>2566</v>
      </c>
      <c r="C2108" s="487"/>
      <c r="D2108" s="490">
        <f>Div!L51</f>
        <v>-9</v>
      </c>
      <c r="E2108" s="490">
        <f>Div!M51</f>
        <v>0</v>
      </c>
      <c r="F2108" s="490">
        <f>Div!N51</f>
        <v>0</v>
      </c>
      <c r="G2108" s="490">
        <f>Div!O51</f>
        <v>0</v>
      </c>
      <c r="H2108" s="490">
        <f>Div!P51</f>
        <v>0</v>
      </c>
      <c r="I2108" s="490">
        <f>Div!Q51</f>
        <v>0</v>
      </c>
      <c r="J2108" s="490">
        <f>Div!R51</f>
        <v>0</v>
      </c>
    </row>
    <row r="2109" spans="2:10">
      <c r="B2109" s="478" t="s">
        <v>2595</v>
      </c>
      <c r="C2109" s="478"/>
      <c r="D2109" s="464">
        <f>Div!L53</f>
        <v>2079.0860000000002</v>
      </c>
      <c r="E2109" s="464">
        <f>Div!M53</f>
        <v>2239.3999999999996</v>
      </c>
      <c r="F2109" s="464">
        <f>Div!N53</f>
        <v>2355.4185681588733</v>
      </c>
      <c r="G2109" s="464">
        <f>Div!O53</f>
        <v>2442.5</v>
      </c>
      <c r="H2109" s="464">
        <f ca="1">Div!P53</f>
        <v>2334.7044926796475</v>
      </c>
      <c r="I2109" s="464">
        <f ca="1">Div!Q53</f>
        <v>2354.0998861207117</v>
      </c>
      <c r="J2109" s="464">
        <f ca="1">Div!R53</f>
        <v>2351.7951047496122</v>
      </c>
    </row>
    <row r="2110" spans="2:10">
      <c r="B2110" s="478" t="s">
        <v>2592</v>
      </c>
      <c r="C2110" s="478"/>
      <c r="D2110" s="449">
        <f t="shared" ref="D2110:G2110" si="263">D2108/D2109</f>
        <v>-4.3288252626394481E-3</v>
      </c>
      <c r="E2110" s="449">
        <f t="shared" si="263"/>
        <v>0</v>
      </c>
      <c r="F2110" s="449">
        <f t="shared" si="263"/>
        <v>0</v>
      </c>
      <c r="G2110" s="449">
        <f t="shared" si="263"/>
        <v>0</v>
      </c>
      <c r="H2110" s="449">
        <f ca="1">H2108/H2109</f>
        <v>0</v>
      </c>
      <c r="I2110" s="449">
        <f ca="1">I2108/I2109</f>
        <v>0</v>
      </c>
      <c r="J2110" s="449">
        <f ca="1">J2108/J2109</f>
        <v>0</v>
      </c>
    </row>
    <row r="2112" spans="2:10">
      <c r="B2112" s="478" t="s">
        <v>2596</v>
      </c>
      <c r="C2112" s="478"/>
      <c r="D2112" s="464">
        <f>Master!O345+Master!O349</f>
        <v>12.445149915002023</v>
      </c>
      <c r="E2112" s="464">
        <f>Master!P345+Master!P349</f>
        <v>25.706999999999997</v>
      </c>
      <c r="F2112" s="464">
        <f>Master!Q345+Master!Q349</f>
        <v>-144</v>
      </c>
      <c r="G2112" s="464">
        <f>Master!R345+Master!R349</f>
        <v>-98</v>
      </c>
      <c r="H2112" s="464" t="e">
        <f ca="1">Master!S345+Master!S349</f>
        <v>#REF!</v>
      </c>
      <c r="I2112" s="464" t="e">
        <f ca="1">Master!T345+Master!T349</f>
        <v>#REF!</v>
      </c>
      <c r="J2112" s="464" t="e">
        <f ca="1">Master!U345+Master!U349</f>
        <v>#REF!</v>
      </c>
    </row>
    <row r="2113" spans="1:10">
      <c r="B2113" s="478" t="s">
        <v>2598</v>
      </c>
      <c r="C2113" s="478"/>
      <c r="D2113" s="449" t="e">
        <f>Master!#REF!</f>
        <v>#REF!</v>
      </c>
      <c r="E2113" s="449" t="e">
        <f>Master!#REF!</f>
        <v>#REF!</v>
      </c>
      <c r="F2113" s="449" t="e">
        <f>Master!#REF!</f>
        <v>#REF!</v>
      </c>
      <c r="G2113" s="449" t="e">
        <f>Master!#REF!</f>
        <v>#REF!</v>
      </c>
      <c r="H2113" s="449" t="e">
        <f>Master!#REF!</f>
        <v>#REF!</v>
      </c>
      <c r="I2113" s="449" t="e">
        <f>Master!#REF!</f>
        <v>#REF!</v>
      </c>
      <c r="J2113" s="449" t="e">
        <f>Master!#REF!</f>
        <v>#REF!</v>
      </c>
    </row>
    <row r="2114" spans="1:10">
      <c r="B2114" s="478" t="s">
        <v>2568</v>
      </c>
      <c r="C2114" s="478"/>
      <c r="D2114" s="449" t="e">
        <f>Master!#REF!</f>
        <v>#REF!</v>
      </c>
      <c r="E2114" s="449" t="e">
        <f>Master!#REF!</f>
        <v>#REF!</v>
      </c>
      <c r="F2114" s="449" t="e">
        <f>Master!#REF!</f>
        <v>#REF!</v>
      </c>
      <c r="G2114" s="449" t="e">
        <f>Master!#REF!</f>
        <v>#REF!</v>
      </c>
      <c r="H2114" s="449" t="e">
        <f>Master!#REF!</f>
        <v>#REF!</v>
      </c>
      <c r="I2114" s="449" t="e">
        <f>Master!#REF!</f>
        <v>#REF!</v>
      </c>
      <c r="J2114" s="449" t="e">
        <f>Master!#REF!</f>
        <v>#REF!</v>
      </c>
    </row>
    <row r="2115" spans="1:10">
      <c r="B2115" s="487" t="s">
        <v>2597</v>
      </c>
      <c r="C2115" s="487"/>
      <c r="D2115" s="490" t="e">
        <f>Master!#REF!</f>
        <v>#REF!</v>
      </c>
      <c r="E2115" s="490" t="e">
        <f>Master!#REF!</f>
        <v>#REF!</v>
      </c>
      <c r="F2115" s="490" t="e">
        <f>Master!#REF!</f>
        <v>#REF!</v>
      </c>
      <c r="G2115" s="490" t="e">
        <f>Master!#REF!</f>
        <v>#REF!</v>
      </c>
      <c r="H2115" s="490" t="e">
        <f>Master!#REF!</f>
        <v>#REF!</v>
      </c>
      <c r="I2115" s="490" t="e">
        <f>Master!#REF!</f>
        <v>#REF!</v>
      </c>
      <c r="J2115" s="490" t="e">
        <f>Master!#REF!</f>
        <v>#REF!</v>
      </c>
    </row>
    <row r="2116" spans="1:10">
      <c r="B2116" s="478" t="s">
        <v>396</v>
      </c>
      <c r="C2116" s="478"/>
      <c r="D2116" s="464">
        <f>Master!O343</f>
        <v>4</v>
      </c>
      <c r="E2116" s="464">
        <f>Master!P343</f>
        <v>-204</v>
      </c>
      <c r="F2116" s="464">
        <f>Master!Q343</f>
        <v>-157</v>
      </c>
      <c r="G2116" s="464">
        <f>Master!R343</f>
        <v>-115</v>
      </c>
      <c r="H2116" s="464">
        <f>Master!S343</f>
        <v>-38</v>
      </c>
      <c r="I2116" s="464">
        <f>Master!T343</f>
        <v>-102</v>
      </c>
      <c r="J2116" s="464">
        <f>Master!U343</f>
        <v>-113</v>
      </c>
    </row>
    <row r="2118" spans="1:10">
      <c r="B2118" t="s">
        <v>2600</v>
      </c>
      <c r="D2118" s="464">
        <f>Master!O66</f>
        <v>-1353</v>
      </c>
      <c r="E2118" s="464">
        <f>Master!P66</f>
        <v>-1656</v>
      </c>
      <c r="F2118" s="464">
        <f>Master!Q66</f>
        <v>174.52111177872393</v>
      </c>
      <c r="G2118" s="464">
        <f>Master!R66</f>
        <v>240.63094423153962</v>
      </c>
      <c r="H2118" s="464">
        <f>Master!S66</f>
        <v>127.5</v>
      </c>
      <c r="I2118" s="464">
        <f>Master!T66</f>
        <v>29</v>
      </c>
      <c r="J2118" s="464">
        <f>Master!U66</f>
        <v>149</v>
      </c>
    </row>
    <row r="2119" spans="1:10">
      <c r="B2119" t="s">
        <v>2601</v>
      </c>
      <c r="D2119" s="464">
        <v>638.58737101898851</v>
      </c>
      <c r="E2119" s="464">
        <v>735.92092054687646</v>
      </c>
      <c r="F2119" s="464">
        <v>784.364688888876</v>
      </c>
      <c r="G2119" s="464">
        <v>874.19648206928514</v>
      </c>
      <c r="H2119" s="464">
        <v>989.68218038278201</v>
      </c>
      <c r="I2119" s="464">
        <v>1114.9879229215912</v>
      </c>
      <c r="J2119" s="464">
        <v>1219.651010461165</v>
      </c>
    </row>
    <row r="2120" spans="1:10">
      <c r="B2120" t="s">
        <v>2353</v>
      </c>
      <c r="D2120" s="449">
        <f t="shared" ref="D2120:J2120" si="264">D2118/D2119-1</f>
        <v>-3.1187390502900634</v>
      </c>
      <c r="E2120" s="449">
        <f t="shared" si="264"/>
        <v>-3.2502417770232648</v>
      </c>
      <c r="F2120" s="449">
        <f t="shared" si="264"/>
        <v>-0.77750004015868057</v>
      </c>
      <c r="G2120" s="449">
        <f t="shared" si="264"/>
        <v>-0.72474043402468391</v>
      </c>
      <c r="H2120" s="449">
        <f t="shared" si="264"/>
        <v>-0.87117076317299513</v>
      </c>
      <c r="I2120" s="449">
        <f t="shared" si="264"/>
        <v>-0.97399074967196808</v>
      </c>
      <c r="J2120" s="449">
        <f t="shared" si="264"/>
        <v>-0.87783390599277966</v>
      </c>
    </row>
    <row r="2122" spans="1:10">
      <c r="B2122" t="s">
        <v>1643</v>
      </c>
      <c r="D2122">
        <v>673</v>
      </c>
      <c r="E2122">
        <v>736</v>
      </c>
      <c r="F2122">
        <v>817</v>
      </c>
    </row>
    <row r="2123" spans="1:10">
      <c r="B2123" s="478" t="s">
        <v>2599</v>
      </c>
      <c r="C2123" s="478"/>
    </row>
    <row r="2124" spans="1:10">
      <c r="A2124" t="s">
        <v>1823</v>
      </c>
    </row>
    <row r="2125" spans="1:10">
      <c r="B2125" s="455" t="s">
        <v>2602</v>
      </c>
      <c r="C2125" s="455"/>
      <c r="D2125" s="455">
        <f>E2125-1</f>
        <v>2011</v>
      </c>
      <c r="E2125" s="455">
        <v>2012</v>
      </c>
      <c r="F2125" s="455">
        <f>E2125+1</f>
        <v>2013</v>
      </c>
      <c r="G2125" s="455">
        <f>F2125+1</f>
        <v>2014</v>
      </c>
      <c r="H2125" s="455">
        <f>G2125+1</f>
        <v>2015</v>
      </c>
      <c r="I2125" s="455">
        <f>H2125+1</f>
        <v>2016</v>
      </c>
    </row>
    <row r="2126" spans="1:10">
      <c r="B2126" s="478" t="s">
        <v>2663</v>
      </c>
      <c r="C2126" s="478"/>
      <c r="E2126" s="464">
        <f ca="1">Master!O88+Master!O90+Master!O97+Master!O95-37</f>
        <v>-590</v>
      </c>
      <c r="F2126" s="464" t="e">
        <f>Analysis!D2228+Valuation!#REF!+Valuation!#REF!+Valuation!#REF!</f>
        <v>#REF!</v>
      </c>
      <c r="G2126" s="464">
        <f>Master!Q88+Master!Q90+Master!Q97+Master!Q95</f>
        <v>2308.3133207730734</v>
      </c>
      <c r="H2126" s="464">
        <f ca="1">Master!R88+Master!R90+Master!R97+Master!R95</f>
        <v>-1735.7927576733609</v>
      </c>
      <c r="I2126" s="464">
        <f ca="1">Master!S88+Master!S90+Master!S97+Master!S95</f>
        <v>330.65580811880091</v>
      </c>
    </row>
    <row r="2127" spans="1:10">
      <c r="B2127" t="s">
        <v>2603</v>
      </c>
      <c r="E2127" s="464">
        <f>-Master!O205</f>
        <v>140</v>
      </c>
      <c r="F2127" s="464">
        <f>-Master!P205</f>
        <v>30</v>
      </c>
      <c r="G2127" s="464">
        <f>-Master!Q205</f>
        <v>110</v>
      </c>
      <c r="H2127" s="464">
        <f>-Master!R205</f>
        <v>0</v>
      </c>
      <c r="I2127" s="464">
        <f>-Master!S205</f>
        <v>0</v>
      </c>
    </row>
    <row r="2128" spans="1:10">
      <c r="B2128" t="str">
        <f>Master!A206</f>
        <v>Cablevision Paraguay</v>
      </c>
      <c r="E2128" s="464">
        <f>-Master!O206</f>
        <v>-150</v>
      </c>
      <c r="F2128" s="464">
        <f>-Master!P206</f>
        <v>0</v>
      </c>
      <c r="G2128" s="464">
        <f>-Master!Q206</f>
        <v>0</v>
      </c>
      <c r="H2128" s="464">
        <f>-Master!R206</f>
        <v>0</v>
      </c>
      <c r="I2128" s="464">
        <f>-Master!S206</f>
        <v>0</v>
      </c>
    </row>
    <row r="2129" spans="2:17">
      <c r="B2129" t="str">
        <f>Master!A207</f>
        <v>Rocket Internet</v>
      </c>
      <c r="E2129" s="464">
        <f>-Master!O207</f>
        <v>0</v>
      </c>
      <c r="F2129" s="464">
        <f>-Master!P207</f>
        <v>0</v>
      </c>
      <c r="G2129" s="464">
        <f>-Master!Q207</f>
        <v>0</v>
      </c>
      <c r="H2129" s="464">
        <f>-Master!R207</f>
        <v>0</v>
      </c>
      <c r="I2129" s="464">
        <f>-Master!S207</f>
        <v>0</v>
      </c>
    </row>
    <row r="2130" spans="2:17">
      <c r="B2130" t="str">
        <f>Master!A208</f>
        <v>Colombian spectrum</v>
      </c>
      <c r="E2130" s="464">
        <f>-Master!O208</f>
        <v>0</v>
      </c>
      <c r="F2130" s="464">
        <f>-Master!P208-53</f>
        <v>-160.71241968911917</v>
      </c>
      <c r="G2130" s="464">
        <f>-Master!Q208</f>
        <v>0</v>
      </c>
      <c r="H2130" s="464">
        <f>-Master!R208</f>
        <v>0</v>
      </c>
      <c r="I2130" s="464">
        <f>-Master!S208</f>
        <v>0</v>
      </c>
    </row>
    <row r="2131" spans="2:17">
      <c r="B2131" s="487" t="s">
        <v>2637</v>
      </c>
      <c r="C2131" s="487"/>
      <c r="D2131" s="455"/>
      <c r="E2131" s="490">
        <v>-103</v>
      </c>
      <c r="F2131" s="490">
        <v>0</v>
      </c>
      <c r="G2131" s="490">
        <f>-Master!Q211</f>
        <v>0</v>
      </c>
      <c r="H2131" s="490">
        <f>-Master!R211</f>
        <v>0</v>
      </c>
      <c r="I2131" s="490">
        <f>-Master!S211</f>
        <v>-42</v>
      </c>
    </row>
    <row r="2132" spans="2:17">
      <c r="B2132" t="s">
        <v>2604</v>
      </c>
      <c r="E2132" s="464">
        <f ca="1">SUM(E2126:E2131)</f>
        <v>-703</v>
      </c>
      <c r="F2132" s="464" t="e">
        <f>SUM(F2126:F2131)</f>
        <v>#REF!</v>
      </c>
      <c r="G2132" s="464">
        <f>SUM(G2126:G2131)</f>
        <v>2418.3133207730734</v>
      </c>
      <c r="H2132" s="464">
        <f ca="1">SUM(H2126:H2131)</f>
        <v>-1735.7927576733609</v>
      </c>
      <c r="I2132" s="464">
        <f ca="1">SUM(I2126:I2131)</f>
        <v>288.65580811880091</v>
      </c>
    </row>
    <row r="2133" spans="2:17">
      <c r="B2133" t="s">
        <v>2605</v>
      </c>
      <c r="D2133" s="454">
        <f>-Master!M389*Master!M374</f>
        <v>-190.44</v>
      </c>
      <c r="E2133" s="454">
        <f>-Master!N389*Master!O$368</f>
        <v>-241.92</v>
      </c>
      <c r="F2133" s="454">
        <f>-Master!O389*Master!O368</f>
        <v>-266.11200000000002</v>
      </c>
      <c r="G2133" s="454">
        <f>-Master!P389*Master!P368</f>
        <v>-263.73599999999999</v>
      </c>
      <c r="H2133" s="454">
        <f>-Master!Q389*Master!Q368</f>
        <v>-263.73599999999999</v>
      </c>
      <c r="I2133" s="454">
        <f>-Master!R389*Master!R368</f>
        <v>-263.73599999999999</v>
      </c>
    </row>
    <row r="2134" spans="2:17">
      <c r="B2134" t="s">
        <v>2606</v>
      </c>
      <c r="D2134" s="454">
        <f>Master!N103</f>
        <v>-308.81017257039053</v>
      </c>
      <c r="E2134" s="454">
        <f>Master!O103</f>
        <v>-26.622000000000003</v>
      </c>
      <c r="F2134" s="454">
        <v>0</v>
      </c>
      <c r="G2134" s="454">
        <f>Master!Q103</f>
        <v>0</v>
      </c>
      <c r="H2134" s="454">
        <f>Master!R103</f>
        <v>0</v>
      </c>
      <c r="I2134" s="454">
        <f>Master!S103</f>
        <v>0</v>
      </c>
    </row>
    <row r="2135" spans="2:17">
      <c r="B2135" s="487" t="s">
        <v>2636</v>
      </c>
      <c r="C2135" s="487"/>
      <c r="D2135" s="462">
        <f>Master!N103+Master!N109-D2134-D2133</f>
        <v>-333.01440000000008</v>
      </c>
      <c r="E2135" s="462">
        <f>-Master!N392*Master!O$368</f>
        <v>-302.39999999999998</v>
      </c>
      <c r="F2135" s="462">
        <v>0</v>
      </c>
      <c r="G2135" s="462">
        <f>Master!Q103+Master!Q109-G2134-G2133</f>
        <v>0</v>
      </c>
      <c r="H2135" s="462">
        <f>Master!R103+Master!R109-H2134-H2133</f>
        <v>0</v>
      </c>
      <c r="I2135" s="462">
        <f>Master!S103+Master!S109-I2134-I2133</f>
        <v>0</v>
      </c>
    </row>
    <row r="2136" spans="2:17">
      <c r="B2136" t="s">
        <v>2609</v>
      </c>
      <c r="D2136" s="454">
        <f t="shared" ref="D2136:I2136" si="265">SUM(D2133:D2135)</f>
        <v>-832.26457257039056</v>
      </c>
      <c r="E2136" s="454">
        <f t="shared" si="265"/>
        <v>-570.94200000000001</v>
      </c>
      <c r="F2136" s="454">
        <f t="shared" si="265"/>
        <v>-266.11200000000002</v>
      </c>
      <c r="G2136" s="454">
        <f t="shared" si="265"/>
        <v>-263.73599999999999</v>
      </c>
      <c r="H2136" s="454">
        <f t="shared" si="265"/>
        <v>-263.73599999999999</v>
      </c>
      <c r="I2136" s="454">
        <f t="shared" si="265"/>
        <v>-263.73599999999999</v>
      </c>
    </row>
    <row r="2137" spans="2:17">
      <c r="B2137" s="455" t="s">
        <v>2607</v>
      </c>
      <c r="C2137" s="455"/>
      <c r="D2137" s="455"/>
      <c r="E2137" s="490">
        <f ca="1">E2132+E2136</f>
        <v>-1273.942</v>
      </c>
      <c r="F2137" s="490" t="e">
        <f>F2132+F2136</f>
        <v>#REF!</v>
      </c>
      <c r="G2137" s="490">
        <f>G2132+G2136</f>
        <v>2154.5773207730736</v>
      </c>
      <c r="H2137" s="490">
        <f ca="1">H2132+H2136</f>
        <v>-1999.5287576733608</v>
      </c>
      <c r="I2137" s="490">
        <f ca="1">I2132+I2136</f>
        <v>24.919808118800916</v>
      </c>
    </row>
    <row r="2138" spans="2:17">
      <c r="B2138" t="s">
        <v>150</v>
      </c>
      <c r="D2138" s="464" t="e">
        <f>Valuation!#REF!</f>
        <v>#REF!</v>
      </c>
      <c r="E2138" s="464" t="e">
        <f ca="1">D2138-E2137</f>
        <v>#REF!</v>
      </c>
      <c r="F2138" s="464" t="e">
        <f ca="1">E2138-F2137</f>
        <v>#REF!</v>
      </c>
      <c r="G2138" s="464" t="e">
        <f ca="1">F2138-G2137</f>
        <v>#REF!</v>
      </c>
      <c r="H2138" s="464" t="e">
        <f ca="1">G2138-H2137</f>
        <v>#REF!</v>
      </c>
      <c r="I2138" s="464" t="e">
        <f ca="1">H2138-I2137</f>
        <v>#REF!</v>
      </c>
    </row>
    <row r="2139" spans="2:17">
      <c r="D2139" s="464"/>
      <c r="E2139" s="464"/>
      <c r="F2139" s="464"/>
      <c r="G2139" s="464"/>
      <c r="H2139" s="464"/>
      <c r="I2139" s="464"/>
      <c r="N2139">
        <f>D2125</f>
        <v>2011</v>
      </c>
      <c r="O2139">
        <f>E2125</f>
        <v>2012</v>
      </c>
      <c r="P2139">
        <f>F2125</f>
        <v>2013</v>
      </c>
      <c r="Q2139">
        <f>G2125</f>
        <v>2014</v>
      </c>
    </row>
    <row r="2140" spans="2:17">
      <c r="B2140" s="478" t="s">
        <v>1433</v>
      </c>
      <c r="C2140" s="478"/>
      <c r="D2140" s="464">
        <f>Master!N14</f>
        <v>0</v>
      </c>
      <c r="E2140" s="464">
        <v>1936</v>
      </c>
      <c r="F2140" s="464">
        <f>Analysis!D2223</f>
        <v>2021.2813724523044</v>
      </c>
      <c r="G2140" s="464">
        <f>Master!Q14</f>
        <v>2109.5211117787239</v>
      </c>
      <c r="H2140" s="464">
        <f>Master!R14</f>
        <v>2265.6309442315396</v>
      </c>
      <c r="I2140" s="464">
        <f>Master!S14</f>
        <v>2225.5</v>
      </c>
      <c r="N2140" s="456" t="e">
        <f>D2145</f>
        <v>#REF!</v>
      </c>
      <c r="O2140" s="456" t="e">
        <f>E2145</f>
        <v>#REF!</v>
      </c>
      <c r="P2140" s="456" t="e">
        <f>F2145</f>
        <v>#REF!</v>
      </c>
      <c r="Q2140" s="456">
        <f>G2145</f>
        <v>8.9249492900608532E-2</v>
      </c>
    </row>
    <row r="2141" spans="2:17">
      <c r="B2141" s="478" t="s">
        <v>2664</v>
      </c>
      <c r="C2141" s="478"/>
      <c r="D2141" s="468" t="e">
        <f t="shared" ref="D2141" si="266">D2138/D2140</f>
        <v>#REF!</v>
      </c>
      <c r="E2141" s="468" t="e">
        <f ca="1">E2138/E2140</f>
        <v>#REF!</v>
      </c>
      <c r="F2141" s="468" t="e">
        <f ca="1">F2138/F2140</f>
        <v>#REF!</v>
      </c>
      <c r="G2141" s="531" t="e">
        <f ca="1">G2138/G2140</f>
        <v>#REF!</v>
      </c>
      <c r="H2141" s="531" t="e">
        <f ca="1">H2138/H2140</f>
        <v>#REF!</v>
      </c>
      <c r="I2141" s="531" t="e">
        <f ca="1">I2138/I2140</f>
        <v>#REF!</v>
      </c>
    </row>
    <row r="2142" spans="2:17">
      <c r="B2142" s="478" t="s">
        <v>761</v>
      </c>
      <c r="C2142" s="478"/>
      <c r="D2142" s="464" t="e">
        <f>Master!#REF!</f>
        <v>#REF!</v>
      </c>
      <c r="E2142" s="464">
        <v>2072</v>
      </c>
      <c r="F2142" s="464">
        <f>D2220</f>
        <v>2021.2813724523044</v>
      </c>
      <c r="G2142" s="531"/>
      <c r="H2142" s="531"/>
      <c r="I2142" s="531"/>
    </row>
    <row r="2143" spans="2:17">
      <c r="B2143" s="478" t="s">
        <v>2665</v>
      </c>
      <c r="C2143" s="478"/>
      <c r="D2143" s="570" t="e">
        <f>D2138/D2142</f>
        <v>#REF!</v>
      </c>
      <c r="E2143" s="570" t="e">
        <f ca="1">E2138/E2142</f>
        <v>#REF!</v>
      </c>
      <c r="F2143" s="570" t="e">
        <f ca="1">F2138/F2142</f>
        <v>#REF!</v>
      </c>
      <c r="G2143" s="531"/>
      <c r="H2143" s="531"/>
      <c r="I2143" s="531"/>
    </row>
    <row r="2144" spans="2:17">
      <c r="D2144" s="468"/>
      <c r="E2144" s="468"/>
      <c r="F2144" s="468"/>
      <c r="G2144" s="531"/>
      <c r="H2144" s="531"/>
      <c r="I2144" s="531"/>
    </row>
    <row r="2145" spans="2:47">
      <c r="B2145" t="s">
        <v>2608</v>
      </c>
      <c r="D2145" s="456" t="e">
        <f>-D2136/Valuation!#REF!</f>
        <v>#REF!</v>
      </c>
      <c r="E2145" s="456" t="e">
        <f>-E2136/Valuation!#REF!</f>
        <v>#REF!</v>
      </c>
      <c r="F2145" s="456" t="e">
        <f>-F2136/Valuation!#REF!</f>
        <v>#REF!</v>
      </c>
      <c r="G2145" s="456">
        <f>-G2136/Valuation!D10</f>
        <v>8.9249492900608532E-2</v>
      </c>
      <c r="H2145" s="456">
        <f>-H2136/Valuation!E10</f>
        <v>8.9249492900608532E-2</v>
      </c>
      <c r="I2145" s="456">
        <f>-I2136/Valuation!F10</f>
        <v>8.9249492900608532E-2</v>
      </c>
    </row>
    <row r="2146" spans="2:47">
      <c r="D2146" s="456"/>
      <c r="E2146" s="456"/>
      <c r="F2146" s="456"/>
      <c r="G2146" s="456"/>
      <c r="H2146" s="456"/>
      <c r="I2146" s="456"/>
    </row>
    <row r="2147" spans="2:47">
      <c r="B2147" s="487" t="s">
        <v>2613</v>
      </c>
      <c r="C2147" s="487"/>
      <c r="D2147" s="455">
        <f>D2125</f>
        <v>2011</v>
      </c>
      <c r="E2147" s="455">
        <f>E2125</f>
        <v>2012</v>
      </c>
      <c r="F2147" s="455">
        <f>F2125</f>
        <v>2013</v>
      </c>
      <c r="G2147" s="455">
        <f>G2125</f>
        <v>2014</v>
      </c>
      <c r="H2147" s="456"/>
      <c r="I2147" s="456"/>
    </row>
    <row r="2148" spans="2:47">
      <c r="B2148" s="478" t="s">
        <v>176</v>
      </c>
      <c r="C2148" s="478"/>
      <c r="D2148" s="456">
        <v>4.9000000000000002E-2</v>
      </c>
      <c r="E2148" s="456">
        <v>4.7948802037969182E-2</v>
      </c>
      <c r="F2148" s="456">
        <v>5.3607428498727898E-2</v>
      </c>
      <c r="G2148" s="456">
        <v>6.0711355724195171E-2</v>
      </c>
    </row>
    <row r="2149" spans="2:47">
      <c r="B2149" s="478" t="s">
        <v>2612</v>
      </c>
      <c r="C2149" s="478"/>
      <c r="D2149" s="456">
        <v>6.3E-2</v>
      </c>
      <c r="E2149" s="456">
        <v>4.9333514337176719E-2</v>
      </c>
      <c r="F2149" s="456">
        <v>5.5160113908635393E-2</v>
      </c>
      <c r="G2149" s="456">
        <v>5.8903833284082101E-2</v>
      </c>
    </row>
    <row r="2150" spans="2:47">
      <c r="B2150" s="478"/>
      <c r="C2150" s="478"/>
      <c r="E2150" s="456"/>
      <c r="F2150" s="456"/>
      <c r="G2150" s="456"/>
    </row>
    <row r="2151" spans="2:47">
      <c r="B2151" s="478"/>
      <c r="C2151" s="478"/>
      <c r="E2151" s="456"/>
      <c r="F2151" s="456"/>
      <c r="G2151" s="456"/>
    </row>
    <row r="2152" spans="2:47">
      <c r="B2152" t="s">
        <v>2384</v>
      </c>
      <c r="D2152" t="s">
        <v>2610</v>
      </c>
    </row>
    <row r="2153" spans="2:47">
      <c r="B2153" t="s">
        <v>579</v>
      </c>
    </row>
    <row r="2154" spans="2:47">
      <c r="B2154" t="s">
        <v>2378</v>
      </c>
    </row>
    <row r="2156" spans="2:47">
      <c r="B2156" s="572" t="s">
        <v>2614</v>
      </c>
      <c r="C2156" s="572"/>
      <c r="D2156" s="573">
        <v>39814</v>
      </c>
      <c r="E2156" s="573">
        <v>39845</v>
      </c>
      <c r="F2156" s="573">
        <v>39873</v>
      </c>
      <c r="G2156" s="573">
        <v>39904</v>
      </c>
      <c r="H2156" s="573">
        <v>39934</v>
      </c>
      <c r="I2156" s="573">
        <v>39965</v>
      </c>
      <c r="J2156" s="573">
        <v>39995</v>
      </c>
      <c r="K2156" s="573">
        <v>40026</v>
      </c>
      <c r="L2156" s="573">
        <v>40057</v>
      </c>
      <c r="M2156" s="573">
        <v>40087</v>
      </c>
      <c r="N2156" s="573">
        <v>40118</v>
      </c>
      <c r="O2156" s="573">
        <v>40148</v>
      </c>
      <c r="P2156" s="573">
        <v>40179</v>
      </c>
      <c r="Q2156" s="573">
        <v>40210</v>
      </c>
      <c r="R2156" s="573">
        <v>40238</v>
      </c>
      <c r="S2156" s="573">
        <v>40269</v>
      </c>
      <c r="T2156" s="573">
        <v>40299</v>
      </c>
      <c r="U2156" s="573">
        <v>40330</v>
      </c>
      <c r="V2156" s="573">
        <v>40360</v>
      </c>
      <c r="W2156" s="573">
        <v>40391</v>
      </c>
      <c r="X2156" s="573">
        <v>40422</v>
      </c>
      <c r="Y2156" s="573">
        <v>40452</v>
      </c>
      <c r="Z2156" s="573">
        <v>40483</v>
      </c>
      <c r="AA2156" s="573">
        <v>40513</v>
      </c>
      <c r="AB2156" s="573">
        <v>40544</v>
      </c>
      <c r="AC2156" s="573">
        <v>40575</v>
      </c>
      <c r="AD2156" s="573">
        <v>40603</v>
      </c>
      <c r="AE2156" s="573">
        <v>40634</v>
      </c>
      <c r="AF2156" s="573">
        <v>40664</v>
      </c>
      <c r="AG2156" s="573">
        <v>40695</v>
      </c>
      <c r="AH2156" s="573">
        <v>40725</v>
      </c>
      <c r="AI2156" s="573">
        <v>40756</v>
      </c>
      <c r="AJ2156" s="573">
        <v>40787</v>
      </c>
      <c r="AK2156" s="573">
        <v>40817</v>
      </c>
      <c r="AL2156" s="573">
        <v>40848</v>
      </c>
      <c r="AM2156" s="573">
        <v>40878</v>
      </c>
      <c r="AN2156" s="573">
        <v>40909</v>
      </c>
      <c r="AO2156" s="573">
        <v>40940</v>
      </c>
      <c r="AP2156" s="573">
        <v>40969</v>
      </c>
      <c r="AQ2156" s="573">
        <v>41000</v>
      </c>
      <c r="AR2156" s="573">
        <v>41030</v>
      </c>
      <c r="AS2156" s="573">
        <v>41061</v>
      </c>
      <c r="AT2156" s="573">
        <v>41091</v>
      </c>
      <c r="AU2156" s="573">
        <v>41122</v>
      </c>
    </row>
    <row r="2157" spans="2:47">
      <c r="B2157" s="4" t="s">
        <v>466</v>
      </c>
      <c r="C2157" s="4"/>
      <c r="D2157" s="574">
        <v>4.8477884315242896</v>
      </c>
      <c r="E2157" s="574">
        <v>5.0989039713383857</v>
      </c>
      <c r="F2157" s="574">
        <v>4.3464884367285759</v>
      </c>
      <c r="G2157" s="574">
        <v>4.9889449914330442</v>
      </c>
      <c r="H2157" s="574">
        <v>6.2318794385625278</v>
      </c>
      <c r="I2157" s="574">
        <v>6.0774270796093788</v>
      </c>
      <c r="J2157" s="574">
        <v>5.9087473276664912</v>
      </c>
      <c r="K2157" s="574">
        <v>6.5385243064150265</v>
      </c>
      <c r="L2157" s="574">
        <v>6.3921444177940643</v>
      </c>
      <c r="M2157" s="574">
        <v>6.7976206093188996</v>
      </c>
      <c r="N2157" s="574">
        <v>6.7847067863307071</v>
      </c>
      <c r="O2157" s="574">
        <v>6.4760882398159421</v>
      </c>
      <c r="P2157" s="574">
        <v>6.5147853248227623</v>
      </c>
      <c r="Q2157" s="574">
        <v>5.8744880530983297</v>
      </c>
      <c r="R2157" s="574">
        <v>6.1470742788178834</v>
      </c>
      <c r="S2157" s="574">
        <v>6.5707782507918164</v>
      </c>
      <c r="T2157" s="574">
        <v>6.2846753640144231</v>
      </c>
      <c r="U2157" s="574">
        <v>6.5843985844394446</v>
      </c>
      <c r="V2157" s="574">
        <v>6.3575828570690458</v>
      </c>
      <c r="W2157" s="574">
        <v>6.3349793451434229</v>
      </c>
      <c r="X2157" s="574">
        <v>6.2485401896609556</v>
      </c>
      <c r="Y2157" s="574">
        <v>6.6652006490985602</v>
      </c>
      <c r="Z2157" s="574">
        <v>6.3128694540326604</v>
      </c>
      <c r="AA2157" s="574">
        <v>6.1189134612167262</v>
      </c>
      <c r="AB2157" s="574">
        <v>6.097016229071424</v>
      </c>
      <c r="AC2157" s="574">
        <v>6.0022689923473767</v>
      </c>
      <c r="AD2157" s="574">
        <v>5.5549856661723673</v>
      </c>
      <c r="AE2157" s="574">
        <v>5.6879647443052015</v>
      </c>
      <c r="AF2157" s="574">
        <v>5.0337085257193896</v>
      </c>
      <c r="AG2157" s="574">
        <v>5.5096428409812974</v>
      </c>
      <c r="AH2157" s="574">
        <v>3.4085373112929918</v>
      </c>
      <c r="AI2157" s="574">
        <v>4.9883608583786163</v>
      </c>
      <c r="AJ2157" s="574">
        <v>5.608418896888069</v>
      </c>
      <c r="AK2157" s="574">
        <v>5.575254597924685</v>
      </c>
      <c r="AL2157" s="574">
        <v>5.7598205010980035</v>
      </c>
      <c r="AM2157" s="574">
        <v>5.7218843341229135</v>
      </c>
      <c r="AN2157" s="574">
        <v>5.6839481671478227</v>
      </c>
      <c r="AO2157" s="574">
        <v>5.6441044296352709</v>
      </c>
      <c r="AP2157" s="574">
        <v>5.2880402179743697</v>
      </c>
      <c r="AQ2157" s="574">
        <v>5.2417713547735891</v>
      </c>
      <c r="AR2157" s="574">
        <v>5.2951199579220223</v>
      </c>
      <c r="AS2157" s="574">
        <v>5.3474633456041438</v>
      </c>
      <c r="AT2157" s="574">
        <v>5.3047415310838399</v>
      </c>
      <c r="AU2157" s="574">
        <v>5.5356329801853352</v>
      </c>
    </row>
    <row r="2158" spans="2:47">
      <c r="B2158" s="4" t="s">
        <v>1250</v>
      </c>
      <c r="C2158" s="4"/>
      <c r="D2158" s="574">
        <v>4.5173432558264128</v>
      </c>
      <c r="E2158" s="574">
        <v>4.9403785624743861</v>
      </c>
      <c r="F2158" s="574">
        <v>3.9897673639490772</v>
      </c>
      <c r="G2158" s="574">
        <v>3.5803322609738197</v>
      </c>
      <c r="H2158" s="574">
        <v>4.7400902249217669</v>
      </c>
      <c r="I2158" s="574">
        <v>5.3492578065373415</v>
      </c>
      <c r="J2158" s="574">
        <v>4.7320959196810168</v>
      </c>
      <c r="K2158" s="574">
        <v>5.6858986619350933</v>
      </c>
      <c r="L2158" s="574">
        <v>5.6396900796480676</v>
      </c>
      <c r="M2158" s="574">
        <v>6.0067171732921283</v>
      </c>
      <c r="N2158" s="574">
        <v>5.9098906567673213</v>
      </c>
      <c r="O2158" s="574">
        <v>5.6622365783109228</v>
      </c>
      <c r="P2158" s="574">
        <v>5.862651894382358</v>
      </c>
      <c r="Q2158" s="574">
        <v>5.040533355087355</v>
      </c>
      <c r="R2158" s="574">
        <v>5.8296334660066709</v>
      </c>
      <c r="S2158" s="574">
        <v>6.0400948642819827</v>
      </c>
      <c r="T2158" s="574">
        <v>5.3191368704113877</v>
      </c>
      <c r="U2158" s="574">
        <v>5.3300605588422973</v>
      </c>
      <c r="V2158" s="574">
        <v>5.3344198534354721</v>
      </c>
      <c r="W2158" s="574">
        <v>5.2877818742116958</v>
      </c>
      <c r="X2158" s="574">
        <v>6.1860021857440959</v>
      </c>
      <c r="Y2158" s="574">
        <v>5.755404114990271</v>
      </c>
      <c r="Z2158" s="574">
        <v>5.6639148942355293</v>
      </c>
      <c r="AA2158" s="574">
        <v>5.4444718451284979</v>
      </c>
      <c r="AB2158" s="574">
        <v>5.8356524687623734</v>
      </c>
      <c r="AC2158" s="574">
        <v>5.6887756733129748</v>
      </c>
      <c r="AD2158" s="574">
        <v>5.2259505849966601</v>
      </c>
      <c r="AE2158" s="574">
        <v>5.5958950391093687</v>
      </c>
      <c r="AF2158" s="574">
        <v>6.2309324593831512</v>
      </c>
      <c r="AG2158" s="574">
        <v>5.9308679563467983</v>
      </c>
      <c r="AH2158" s="574">
        <v>5.8749326560411959</v>
      </c>
      <c r="AI2158" s="574">
        <v>5.4739559046344972</v>
      </c>
      <c r="AJ2158" s="574">
        <v>6.0939228059020358</v>
      </c>
      <c r="AK2158" s="574">
        <v>5.3462609337230118</v>
      </c>
      <c r="AL2158" s="574">
        <v>5.1350037507860389</v>
      </c>
      <c r="AM2158" s="574">
        <v>5.3055756372146607</v>
      </c>
      <c r="AN2158" s="574">
        <v>5.022405547556998</v>
      </c>
      <c r="AO2158" s="574">
        <v>5.4028979281614964</v>
      </c>
      <c r="AP2158" s="574">
        <v>5.681336305225674</v>
      </c>
      <c r="AQ2158" s="574">
        <v>5.3958152331949307</v>
      </c>
      <c r="AR2158" s="574">
        <v>4.7762183087788088</v>
      </c>
      <c r="AS2158" s="574">
        <v>5.2017877166102018</v>
      </c>
      <c r="AT2158" s="574">
        <v>5.2679431690827929</v>
      </c>
      <c r="AU2158" s="574">
        <v>5.2279711965488165</v>
      </c>
    </row>
    <row r="2159" spans="2:47">
      <c r="B2159" s="4" t="s">
        <v>2615</v>
      </c>
      <c r="C2159" s="4"/>
      <c r="D2159" s="575"/>
      <c r="E2159" s="575"/>
      <c r="F2159" s="575"/>
      <c r="G2159" s="575"/>
      <c r="H2159" s="575"/>
      <c r="I2159" s="575"/>
      <c r="J2159" s="574"/>
      <c r="K2159" s="574">
        <v>3.8194766991918505</v>
      </c>
      <c r="L2159" s="574">
        <v>3.8518393694339217</v>
      </c>
      <c r="M2159" s="574">
        <v>4.8074033671047172</v>
      </c>
      <c r="N2159" s="574">
        <v>4.4880417520787965</v>
      </c>
      <c r="O2159" s="574">
        <v>4.5012557071094523</v>
      </c>
      <c r="P2159" s="574">
        <v>5.9718557155201717</v>
      </c>
      <c r="Q2159" s="574">
        <v>4.6509755037858929</v>
      </c>
      <c r="R2159" s="574">
        <v>5.3975938124538478</v>
      </c>
      <c r="S2159" s="574">
        <v>5.4</v>
      </c>
      <c r="T2159" s="574">
        <v>5.3506434332458435</v>
      </c>
      <c r="U2159" s="574">
        <v>5.4059259450235739</v>
      </c>
      <c r="V2159" s="574">
        <v>5.2037109289907999</v>
      </c>
      <c r="W2159" s="574">
        <v>5.4473104553792258</v>
      </c>
      <c r="X2159" s="574">
        <v>5.5433067715428725</v>
      </c>
      <c r="Y2159" s="574">
        <v>5.178725522228798</v>
      </c>
      <c r="Z2159" s="574">
        <v>5.8142873170638349</v>
      </c>
      <c r="AA2159" s="574">
        <v>5.7774138947647753</v>
      </c>
      <c r="AB2159" s="574">
        <v>5.997213844382558</v>
      </c>
      <c r="AC2159" s="574">
        <v>5.8373049835473916</v>
      </c>
      <c r="AD2159" s="574">
        <v>5.387206548647856</v>
      </c>
      <c r="AE2159" s="574">
        <v>5.4516660950658249</v>
      </c>
      <c r="AF2159" s="574">
        <v>5.8107962199070711</v>
      </c>
      <c r="AG2159" s="574">
        <v>5.5494438111067659</v>
      </c>
      <c r="AH2159" s="574">
        <v>5.82816706179878</v>
      </c>
      <c r="AI2159" s="574">
        <v>5.1507982916304513</v>
      </c>
      <c r="AJ2159" s="574">
        <v>4.9769024793625434</v>
      </c>
      <c r="AK2159" s="574">
        <v>4.0907094884286099</v>
      </c>
      <c r="AL2159" s="574">
        <v>4.3569837591677016</v>
      </c>
      <c r="AM2159" s="574">
        <v>4.6390085845753068</v>
      </c>
      <c r="AN2159" s="574">
        <v>4.5026162318658391</v>
      </c>
      <c r="AO2159" s="574">
        <v>4.6607233141099567</v>
      </c>
      <c r="AP2159" s="574">
        <v>4.5168466746110383</v>
      </c>
      <c r="AQ2159" s="574">
        <v>3.9361488042278134</v>
      </c>
      <c r="AR2159" s="574">
        <v>4.402197126446489</v>
      </c>
      <c r="AS2159" s="574">
        <v>4.2555445284011766</v>
      </c>
      <c r="AT2159" s="574">
        <v>3.9673016273626116</v>
      </c>
      <c r="AU2159" s="574">
        <v>3.7923106037179659</v>
      </c>
    </row>
    <row r="2160" spans="2:47">
      <c r="B2160" s="4" t="s">
        <v>2616</v>
      </c>
      <c r="C2160" s="4"/>
      <c r="D2160" s="574"/>
      <c r="E2160" s="574"/>
      <c r="F2160" s="574"/>
      <c r="G2160" s="574"/>
      <c r="H2160" s="574"/>
      <c r="I2160" s="574"/>
      <c r="J2160" s="574"/>
      <c r="K2160" s="574"/>
      <c r="L2160" s="574"/>
      <c r="M2160" s="574"/>
      <c r="N2160" s="574"/>
      <c r="O2160" s="574"/>
      <c r="P2160" s="574"/>
      <c r="Q2160" s="574"/>
      <c r="R2160" s="574"/>
      <c r="S2160" s="574"/>
      <c r="T2160" s="574"/>
      <c r="U2160" s="574">
        <v>3.5598312378696324</v>
      </c>
      <c r="V2160" s="574">
        <v>3.5847966189143081</v>
      </c>
      <c r="W2160" s="574">
        <v>2.9497186597749128</v>
      </c>
      <c r="X2160" s="574">
        <v>2.9986894135631337</v>
      </c>
      <c r="Y2160" s="574">
        <v>3.1225603110496456</v>
      </c>
      <c r="Z2160" s="574">
        <v>3.0132845706329454</v>
      </c>
      <c r="AA2160" s="574">
        <v>3.0015656338537697</v>
      </c>
      <c r="AB2160" s="574">
        <v>3.036635684065601</v>
      </c>
      <c r="AC2160" s="574">
        <v>3.1715863958228465</v>
      </c>
      <c r="AD2160" s="574">
        <v>3.1126315998150931</v>
      </c>
      <c r="AE2160" s="574">
        <v>3.2356668947786535</v>
      </c>
      <c r="AF2160" s="574">
        <v>3.035495885796176</v>
      </c>
      <c r="AG2160" s="574">
        <v>3.3051461656115571</v>
      </c>
      <c r="AH2160" s="574">
        <v>3.2219577681333327</v>
      </c>
      <c r="AI2160" s="574">
        <v>2.9407710541425356</v>
      </c>
      <c r="AJ2160" s="574">
        <v>3.2204713728605912</v>
      </c>
      <c r="AK2160" s="574">
        <v>3.1281406724078828</v>
      </c>
      <c r="AL2160" s="574">
        <v>3.0539806910067084</v>
      </c>
      <c r="AM2160" s="574">
        <v>3.1880323242578106</v>
      </c>
      <c r="AN2160" s="574">
        <v>4.9340604553057359</v>
      </c>
      <c r="AO2160" s="574">
        <v>4.847446905224964</v>
      </c>
      <c r="AP2160" s="574">
        <v>4.2351062727685935</v>
      </c>
      <c r="AQ2160" s="574">
        <v>3.9400817557174839</v>
      </c>
      <c r="AR2160" s="574">
        <v>4.3488129949577461</v>
      </c>
      <c r="AS2160" s="574">
        <v>4.4709647169576128</v>
      </c>
      <c r="AT2160" s="574">
        <v>4.6258993513557041</v>
      </c>
      <c r="AU2160" s="574">
        <v>4.6976671147311411</v>
      </c>
    </row>
    <row r="2161" spans="2:47">
      <c r="B2161" s="4" t="s">
        <v>2617</v>
      </c>
      <c r="C2161" s="4"/>
      <c r="D2161" s="574"/>
      <c r="E2161" s="574"/>
      <c r="F2161" s="574"/>
      <c r="G2161" s="574"/>
      <c r="H2161" s="574"/>
      <c r="I2161" s="574"/>
      <c r="J2161" s="574"/>
      <c r="K2161" s="574"/>
      <c r="L2161" s="574"/>
      <c r="M2161" s="574"/>
      <c r="N2161" s="574"/>
      <c r="O2161" s="574"/>
      <c r="P2161" s="574"/>
      <c r="Q2161" s="574"/>
      <c r="R2161" s="574"/>
      <c r="S2161" s="574"/>
      <c r="T2161" s="574"/>
      <c r="U2161" s="574"/>
      <c r="V2161" s="574"/>
      <c r="W2161" s="574"/>
      <c r="X2161" s="574"/>
      <c r="Y2161" s="574"/>
      <c r="Z2161" s="574"/>
      <c r="AA2161" s="574"/>
      <c r="AB2161" s="574"/>
      <c r="AC2161" s="574"/>
      <c r="AD2161" s="574"/>
      <c r="AE2161" s="574"/>
      <c r="AF2161" s="574"/>
      <c r="AG2161" s="574"/>
      <c r="AH2161" s="574"/>
      <c r="AI2161" s="574"/>
      <c r="AJ2161" s="574">
        <v>2.4975506379383368</v>
      </c>
      <c r="AK2161" s="574">
        <v>2.2151129230308761</v>
      </c>
      <c r="AL2161" s="574">
        <v>1.8911026604321322</v>
      </c>
      <c r="AM2161" s="574">
        <v>1.9038274413051397</v>
      </c>
      <c r="AN2161" s="574">
        <v>2.3450715830806823</v>
      </c>
      <c r="AO2161" s="574">
        <v>2.0741069610942193</v>
      </c>
      <c r="AP2161" s="574">
        <v>1.7561023131466937</v>
      </c>
      <c r="AQ2161" s="574">
        <v>1.3408067854250136</v>
      </c>
      <c r="AR2161" s="574">
        <v>0.97714276342309425</v>
      </c>
      <c r="AS2161" s="574">
        <v>0.92189988335976314</v>
      </c>
      <c r="AT2161" s="574">
        <v>0.83034634154837028</v>
      </c>
      <c r="AU2161" s="574">
        <v>0.91096137596560589</v>
      </c>
    </row>
    <row r="2162" spans="2:47">
      <c r="B2162" s="4" t="s">
        <v>2618</v>
      </c>
      <c r="C2162" s="4"/>
      <c r="D2162" s="574"/>
      <c r="E2162" s="574"/>
      <c r="F2162" s="574"/>
      <c r="G2162" s="574"/>
      <c r="H2162" s="574"/>
      <c r="I2162" s="574"/>
      <c r="J2162" s="574"/>
      <c r="K2162" s="574"/>
      <c r="L2162" s="574"/>
      <c r="M2162" s="574"/>
      <c r="N2162" s="574"/>
      <c r="O2162" s="574"/>
      <c r="P2162" s="574"/>
      <c r="Q2162" s="574"/>
      <c r="R2162" s="574"/>
      <c r="S2162" s="574"/>
      <c r="T2162" s="574"/>
      <c r="U2162" s="574">
        <v>5.034431706956715</v>
      </c>
      <c r="V2162" s="574">
        <v>5.0836660394569684</v>
      </c>
      <c r="W2162" s="574">
        <v>5.1091312603212558</v>
      </c>
      <c r="X2162" s="574">
        <v>5.0942385627674778</v>
      </c>
      <c r="Y2162" s="574">
        <v>5.293005984187328</v>
      </c>
      <c r="Z2162" s="574">
        <v>5.22497927283192</v>
      </c>
      <c r="AA2162" s="574">
        <v>5.456271091376335</v>
      </c>
      <c r="AB2162" s="574">
        <v>5.5538990041440108</v>
      </c>
      <c r="AC2162" s="574">
        <v>5.7847809578930303</v>
      </c>
      <c r="AD2162" s="574">
        <v>5.7301986293806237</v>
      </c>
      <c r="AE2162" s="574">
        <v>5.9649301444453258</v>
      </c>
      <c r="AF2162" s="574">
        <v>5.9961768597457068</v>
      </c>
      <c r="AG2162" s="574">
        <v>5.5461804600145213</v>
      </c>
      <c r="AH2162" s="574">
        <v>5.443153459855619</v>
      </c>
      <c r="AI2162" s="574">
        <v>5.8098917456734647</v>
      </c>
      <c r="AJ2162" s="574">
        <v>5.6864258866225228</v>
      </c>
      <c r="AK2162" s="574">
        <v>5.6471090918251958</v>
      </c>
      <c r="AL2162" s="574">
        <v>5.5522063281238081</v>
      </c>
      <c r="AM2162" s="574">
        <v>5.5498035915878541</v>
      </c>
      <c r="AN2162" s="574">
        <v>5.5430181524173765</v>
      </c>
      <c r="AO2162" s="574">
        <v>5.5029053975271705</v>
      </c>
      <c r="AP2162" s="574">
        <v>5.5099578602401182</v>
      </c>
      <c r="AQ2162" s="574">
        <v>5.5518888191005864</v>
      </c>
      <c r="AR2162" s="574" t="s">
        <v>2619</v>
      </c>
      <c r="AS2162" s="574" t="s">
        <v>2619</v>
      </c>
      <c r="AT2162" s="574" t="s">
        <v>2619</v>
      </c>
      <c r="AU2162" s="574" t="s">
        <v>2619</v>
      </c>
    </row>
    <row r="2163" spans="2:47">
      <c r="B2163" s="4" t="s">
        <v>2620</v>
      </c>
      <c r="C2163" s="4"/>
      <c r="D2163" s="574"/>
      <c r="E2163" s="574"/>
      <c r="F2163" s="574"/>
      <c r="G2163" s="574"/>
      <c r="H2163" s="574"/>
      <c r="I2163" s="574"/>
      <c r="J2163" s="574"/>
      <c r="K2163" s="574"/>
      <c r="L2163" s="574"/>
      <c r="M2163" s="574"/>
      <c r="N2163" s="574"/>
      <c r="O2163" s="574"/>
      <c r="P2163" s="574"/>
      <c r="Q2163" s="574"/>
      <c r="R2163" s="574"/>
      <c r="S2163" s="574"/>
      <c r="T2163" s="574"/>
      <c r="U2163" s="576"/>
      <c r="V2163" s="576"/>
      <c r="W2163" s="576"/>
      <c r="X2163" s="576"/>
      <c r="Y2163" s="576"/>
      <c r="Z2163" s="576"/>
      <c r="AA2163" s="576"/>
      <c r="AB2163" s="576"/>
      <c r="AC2163" s="576"/>
      <c r="AD2163" s="576"/>
      <c r="AE2163" s="576"/>
      <c r="AF2163" s="576"/>
      <c r="AG2163" s="576"/>
      <c r="AH2163" s="574">
        <v>4.2245193548730704</v>
      </c>
      <c r="AI2163" s="574">
        <v>3.7139057364700978</v>
      </c>
      <c r="AJ2163" s="574">
        <v>4.3828096092569133</v>
      </c>
      <c r="AK2163" s="574">
        <v>4.1284871173276692</v>
      </c>
      <c r="AL2163" s="574">
        <v>3.6562428715242818</v>
      </c>
      <c r="AM2163" s="574">
        <v>4.1767300923869817</v>
      </c>
      <c r="AN2163" s="574">
        <v>4.301461929075395</v>
      </c>
      <c r="AO2163" s="574">
        <v>4.1283789382815534</v>
      </c>
      <c r="AP2163" s="574">
        <v>4.8368869513545487</v>
      </c>
      <c r="AQ2163" s="574">
        <v>4.9944868485244402</v>
      </c>
      <c r="AR2163" s="574">
        <v>4.2192383870703143</v>
      </c>
      <c r="AS2163" s="574">
        <v>4.6648256132838997</v>
      </c>
      <c r="AT2163" s="574">
        <v>3.4697539762607805</v>
      </c>
      <c r="AU2163" s="574">
        <v>3.8646300854681765</v>
      </c>
    </row>
    <row r="2164" spans="2:47">
      <c r="B2164" s="4" t="s">
        <v>2621</v>
      </c>
      <c r="C2164" s="4"/>
      <c r="D2164" s="574"/>
      <c r="E2164" s="574"/>
      <c r="F2164" s="574"/>
      <c r="G2164" s="574"/>
      <c r="H2164" s="574"/>
      <c r="I2164" s="574"/>
      <c r="J2164" s="574"/>
      <c r="K2164" s="574"/>
      <c r="L2164" s="574"/>
      <c r="M2164" s="574"/>
      <c r="N2164" s="574"/>
      <c r="O2164" s="574"/>
      <c r="P2164" s="574"/>
      <c r="Q2164" s="574"/>
      <c r="R2164" s="574"/>
      <c r="S2164" s="574"/>
      <c r="T2164" s="574"/>
      <c r="U2164" s="574">
        <v>3.6332026874856123</v>
      </c>
      <c r="V2164" s="574">
        <v>3.5945174443250716</v>
      </c>
      <c r="W2164" s="574">
        <v>3.1461370417777563</v>
      </c>
      <c r="X2164" s="574">
        <v>3.3678069648709856</v>
      </c>
      <c r="Y2164" s="574">
        <v>3.5124574664067607</v>
      </c>
      <c r="Z2164" s="574">
        <v>3.7084161238048798</v>
      </c>
      <c r="AA2164" s="574">
        <v>3.43606238016765</v>
      </c>
      <c r="AB2164" s="574">
        <v>3.778407139277951</v>
      </c>
      <c r="AC2164" s="574">
        <v>3.753824280925393</v>
      </c>
      <c r="AD2164" s="574">
        <v>3.5645182145033858</v>
      </c>
      <c r="AE2164" s="574">
        <v>3.671540993708978</v>
      </c>
      <c r="AF2164" s="574">
        <v>3.6164026539471621</v>
      </c>
      <c r="AG2164" s="574">
        <v>3.8859527569195262</v>
      </c>
      <c r="AH2164" s="574">
        <v>5.6808714927391755</v>
      </c>
      <c r="AI2164" s="574">
        <v>3.2959761322834762</v>
      </c>
      <c r="AJ2164" s="574">
        <v>3.6750583658956169</v>
      </c>
      <c r="AK2164" s="574">
        <v>4.161222945458352</v>
      </c>
      <c r="AL2164" s="574">
        <v>4.0892454104121709</v>
      </c>
      <c r="AM2164" s="574">
        <v>4.1850925851972587</v>
      </c>
      <c r="AN2164" s="574">
        <v>4.0035856256097722</v>
      </c>
      <c r="AO2164" s="574">
        <v>3.9661792127700091</v>
      </c>
      <c r="AP2164" s="574">
        <v>4.9081216572700725</v>
      </c>
      <c r="AQ2164" s="574">
        <v>4.8740067711246509</v>
      </c>
      <c r="AR2164" s="574">
        <v>4.2647738646287756</v>
      </c>
      <c r="AS2164" s="574">
        <v>4.4260826315159338</v>
      </c>
      <c r="AT2164" s="574">
        <v>4.0425683637032899</v>
      </c>
      <c r="AU2164" s="574">
        <v>4.1053279007103356</v>
      </c>
    </row>
    <row r="2165" spans="2:47">
      <c r="B2165" s="577" t="s">
        <v>2622</v>
      </c>
      <c r="C2165" s="577"/>
      <c r="D2165" s="578">
        <v>4.0514539451745231</v>
      </c>
      <c r="E2165" s="578">
        <v>3.9236173743231397</v>
      </c>
      <c r="F2165" s="578">
        <v>3.7861651001630765</v>
      </c>
      <c r="G2165" s="578">
        <v>4.0290379326645267</v>
      </c>
      <c r="H2165" s="578">
        <v>4.0346365619161331</v>
      </c>
      <c r="I2165" s="578">
        <v>4.0445017787127373</v>
      </c>
      <c r="J2165" s="578">
        <v>4.0447837862480878</v>
      </c>
      <c r="K2165" s="578">
        <v>4.8738724344891917</v>
      </c>
      <c r="L2165" s="578">
        <v>4.819856276121401</v>
      </c>
      <c r="M2165" s="578">
        <v>4.8044332918891959</v>
      </c>
      <c r="N2165" s="578">
        <v>4.5124722403974395</v>
      </c>
      <c r="O2165" s="578">
        <v>4.4370239380603609</v>
      </c>
      <c r="P2165" s="578">
        <v>4.4908195173365906</v>
      </c>
      <c r="Q2165" s="578">
        <v>4.1964641199643209</v>
      </c>
      <c r="R2165" s="578">
        <v>4.5933878861615129</v>
      </c>
      <c r="S2165" s="578">
        <v>4.5381748813554577</v>
      </c>
      <c r="T2165" s="578">
        <v>4.7261331088439036</v>
      </c>
      <c r="U2165" s="578">
        <v>4.7845956157452152</v>
      </c>
      <c r="V2165" s="578">
        <v>4.8245042860555598</v>
      </c>
      <c r="W2165" s="578">
        <v>4.7725222407459853</v>
      </c>
      <c r="X2165" s="578">
        <v>4.8631101661934668</v>
      </c>
      <c r="Y2165" s="578">
        <v>4.9838428231966416</v>
      </c>
      <c r="Z2165" s="578">
        <v>4.792075595423019</v>
      </c>
      <c r="AA2165" s="578">
        <v>4.8305455725830519</v>
      </c>
      <c r="AB2165" s="578">
        <v>4.870894050141489</v>
      </c>
      <c r="AC2165" s="578">
        <v>5.0707259928873851</v>
      </c>
      <c r="AD2165" s="578">
        <v>4.8455224324370487</v>
      </c>
      <c r="AE2165" s="578">
        <v>4.9800845434321737</v>
      </c>
      <c r="AF2165" s="578">
        <v>4.7794019352907142</v>
      </c>
      <c r="AG2165" s="578">
        <v>4.8507591727844952</v>
      </c>
      <c r="AH2165" s="578">
        <v>4.4499829274031821</v>
      </c>
      <c r="AI2165" s="578">
        <v>4.4433782286014374</v>
      </c>
      <c r="AJ2165" s="578">
        <v>4.8161675039299494</v>
      </c>
      <c r="AK2165" s="578">
        <v>4.7179783108753703</v>
      </c>
      <c r="AL2165" s="578">
        <v>4.7731633065512016</v>
      </c>
      <c r="AM2165" s="578">
        <v>4.7831440350907704</v>
      </c>
      <c r="AN2165" s="578">
        <v>4.7376973555492397</v>
      </c>
      <c r="AO2165" s="578">
        <v>4.6122948818284222</v>
      </c>
      <c r="AP2165" s="578">
        <v>4.5041646224393173</v>
      </c>
      <c r="AQ2165" s="578">
        <v>4.5270719493935667</v>
      </c>
      <c r="AR2165" s="578">
        <v>4.2484722738940333</v>
      </c>
      <c r="AS2165" s="578">
        <v>4.2661619515579368</v>
      </c>
      <c r="AT2165" s="578">
        <v>4.3420615448966409</v>
      </c>
      <c r="AU2165" s="578">
        <v>4.5413530227833823</v>
      </c>
    </row>
    <row r="2166" spans="2:47">
      <c r="B2166" s="579" t="s">
        <v>2623</v>
      </c>
      <c r="C2166" s="579"/>
      <c r="D2166" s="580">
        <v>4.7880273123598389</v>
      </c>
      <c r="E2166" s="580">
        <v>4.9130167505438385</v>
      </c>
      <c r="F2166" s="580">
        <v>4.2516465633753633</v>
      </c>
      <c r="G2166" s="580">
        <v>4.6599186946860058</v>
      </c>
      <c r="H2166" s="580">
        <v>5.2238416476763572</v>
      </c>
      <c r="I2166" s="580">
        <v>5.4529158980457062</v>
      </c>
      <c r="J2166" s="580">
        <v>5.0374589950075546</v>
      </c>
      <c r="K2166" s="580">
        <v>5.8974674002006342</v>
      </c>
      <c r="L2166" s="580">
        <v>5.5740820475381927</v>
      </c>
      <c r="M2166" s="580">
        <v>5.7564228914433748</v>
      </c>
      <c r="N2166" s="580">
        <v>5.3146559518967997</v>
      </c>
      <c r="O2166" s="580">
        <v>5.1580933188340836</v>
      </c>
      <c r="P2166" s="580">
        <v>5.2181129163986419</v>
      </c>
      <c r="Q2166" s="580">
        <v>4.9906744120791604</v>
      </c>
      <c r="R2166" s="580">
        <v>4.9359446193744354</v>
      </c>
      <c r="S2166" s="580">
        <v>5.163871549214802</v>
      </c>
      <c r="T2166" s="580">
        <v>4.3965141678541109</v>
      </c>
      <c r="U2166" s="580">
        <v>4.3638035996707654</v>
      </c>
      <c r="V2166" s="580">
        <v>4.4536531933656036</v>
      </c>
      <c r="W2166" s="580">
        <v>4.6025294183422236</v>
      </c>
      <c r="X2166" s="580">
        <v>4.6506574468990465</v>
      </c>
      <c r="Y2166" s="580">
        <v>4.6278960022378604</v>
      </c>
      <c r="Z2166" s="580">
        <v>4.8518196581043131</v>
      </c>
      <c r="AA2166" s="580">
        <v>4.7002155230545029</v>
      </c>
      <c r="AB2166" s="580">
        <v>4.8197856006922777</v>
      </c>
      <c r="AC2166" s="580">
        <v>4.643982003072507</v>
      </c>
      <c r="AD2166" s="580">
        <v>4.483116446163022</v>
      </c>
      <c r="AE2166" s="580">
        <v>4.3787664334711733</v>
      </c>
      <c r="AF2166" s="580">
        <v>4.3326377970673935</v>
      </c>
      <c r="AG2166" s="580">
        <v>4.3948787433010112</v>
      </c>
      <c r="AH2166" s="580">
        <v>4.643902861899555</v>
      </c>
      <c r="AI2166" s="580">
        <v>4.2647468360372516</v>
      </c>
      <c r="AJ2166" s="580">
        <v>4.5245889095770817</v>
      </c>
      <c r="AK2166" s="580">
        <v>4.3233154564874665</v>
      </c>
      <c r="AL2166" s="580">
        <v>4.4186886448302429</v>
      </c>
      <c r="AM2166" s="580">
        <v>4.5440102927486734</v>
      </c>
      <c r="AN2166" s="580">
        <v>4.7133578296281957</v>
      </c>
      <c r="AO2166" s="580">
        <v>4.6837752559452293</v>
      </c>
      <c r="AP2166" s="580">
        <v>5.0114358391436138</v>
      </c>
      <c r="AQ2166" s="580">
        <v>4.8974593331376237</v>
      </c>
      <c r="AR2166" s="580">
        <v>4.4974922702779132</v>
      </c>
      <c r="AS2166" s="580">
        <v>4.7083935300067044</v>
      </c>
      <c r="AT2166" s="580">
        <v>4.8516132359610502</v>
      </c>
      <c r="AU2166" s="580">
        <v>4.9599058017962543</v>
      </c>
    </row>
    <row r="2168" spans="2:47">
      <c r="D2168" s="494">
        <f t="shared" ref="D2168:AU2168" si="267">D2156</f>
        <v>39814</v>
      </c>
      <c r="E2168" s="494">
        <f t="shared" si="267"/>
        <v>39845</v>
      </c>
      <c r="F2168" s="494">
        <f t="shared" si="267"/>
        <v>39873</v>
      </c>
      <c r="G2168" s="494">
        <f t="shared" si="267"/>
        <v>39904</v>
      </c>
      <c r="H2168" s="494">
        <f t="shared" si="267"/>
        <v>39934</v>
      </c>
      <c r="I2168" s="494">
        <f t="shared" si="267"/>
        <v>39965</v>
      </c>
      <c r="J2168" s="494">
        <f t="shared" si="267"/>
        <v>39995</v>
      </c>
      <c r="K2168" s="494">
        <f t="shared" si="267"/>
        <v>40026</v>
      </c>
      <c r="L2168" s="494">
        <f t="shared" si="267"/>
        <v>40057</v>
      </c>
      <c r="M2168" s="494">
        <f t="shared" si="267"/>
        <v>40087</v>
      </c>
      <c r="N2168" s="494">
        <f t="shared" si="267"/>
        <v>40118</v>
      </c>
      <c r="O2168" s="494">
        <f t="shared" si="267"/>
        <v>40148</v>
      </c>
      <c r="P2168" s="494">
        <f t="shared" si="267"/>
        <v>40179</v>
      </c>
      <c r="Q2168" s="494">
        <f t="shared" si="267"/>
        <v>40210</v>
      </c>
      <c r="R2168" s="494">
        <f t="shared" si="267"/>
        <v>40238</v>
      </c>
      <c r="S2168" s="494">
        <f t="shared" si="267"/>
        <v>40269</v>
      </c>
      <c r="T2168" s="494">
        <f t="shared" si="267"/>
        <v>40299</v>
      </c>
      <c r="U2168" s="494">
        <f t="shared" si="267"/>
        <v>40330</v>
      </c>
      <c r="V2168" s="494">
        <f t="shared" si="267"/>
        <v>40360</v>
      </c>
      <c r="W2168" s="494">
        <f t="shared" si="267"/>
        <v>40391</v>
      </c>
      <c r="X2168" s="494">
        <f t="shared" si="267"/>
        <v>40422</v>
      </c>
      <c r="Y2168" s="494">
        <f t="shared" si="267"/>
        <v>40452</v>
      </c>
      <c r="Z2168" s="494">
        <f t="shared" si="267"/>
        <v>40483</v>
      </c>
      <c r="AA2168" s="494">
        <f t="shared" si="267"/>
        <v>40513</v>
      </c>
      <c r="AB2168" s="494">
        <f t="shared" si="267"/>
        <v>40544</v>
      </c>
      <c r="AC2168" s="494">
        <f t="shared" si="267"/>
        <v>40575</v>
      </c>
      <c r="AD2168" s="494">
        <f t="shared" si="267"/>
        <v>40603</v>
      </c>
      <c r="AE2168" s="494">
        <f t="shared" si="267"/>
        <v>40634</v>
      </c>
      <c r="AF2168" s="494">
        <f t="shared" si="267"/>
        <v>40664</v>
      </c>
      <c r="AG2168" s="494">
        <f t="shared" si="267"/>
        <v>40695</v>
      </c>
      <c r="AH2168" s="494">
        <f t="shared" si="267"/>
        <v>40725</v>
      </c>
      <c r="AI2168" s="494">
        <f t="shared" si="267"/>
        <v>40756</v>
      </c>
      <c r="AJ2168" s="494">
        <f t="shared" si="267"/>
        <v>40787</v>
      </c>
      <c r="AK2168" s="494">
        <f t="shared" si="267"/>
        <v>40817</v>
      </c>
      <c r="AL2168" s="494">
        <f t="shared" si="267"/>
        <v>40848</v>
      </c>
      <c r="AM2168" s="494">
        <f t="shared" si="267"/>
        <v>40878</v>
      </c>
      <c r="AN2168" s="494">
        <f t="shared" si="267"/>
        <v>40909</v>
      </c>
      <c r="AO2168" s="494">
        <f t="shared" si="267"/>
        <v>40940</v>
      </c>
      <c r="AP2168" s="494">
        <f t="shared" si="267"/>
        <v>40969</v>
      </c>
      <c r="AQ2168" s="494">
        <f t="shared" si="267"/>
        <v>41000</v>
      </c>
      <c r="AR2168" s="494">
        <f t="shared" si="267"/>
        <v>41030</v>
      </c>
      <c r="AS2168" s="494">
        <f t="shared" si="267"/>
        <v>41061</v>
      </c>
      <c r="AT2168" s="494">
        <f t="shared" si="267"/>
        <v>41091</v>
      </c>
      <c r="AU2168" s="494">
        <f t="shared" si="267"/>
        <v>41122</v>
      </c>
    </row>
    <row r="2169" spans="2:47">
      <c r="B2169" s="478" t="s">
        <v>955</v>
      </c>
      <c r="C2169" s="478"/>
      <c r="D2169" s="570">
        <f t="shared" ref="D2169:AU2169" si="268">D2157</f>
        <v>4.8477884315242896</v>
      </c>
      <c r="E2169" s="570">
        <f t="shared" si="268"/>
        <v>5.0989039713383857</v>
      </c>
      <c r="F2169" s="570">
        <f t="shared" si="268"/>
        <v>4.3464884367285759</v>
      </c>
      <c r="G2169" s="570">
        <f t="shared" si="268"/>
        <v>4.9889449914330442</v>
      </c>
      <c r="H2169" s="570">
        <f t="shared" si="268"/>
        <v>6.2318794385625278</v>
      </c>
      <c r="I2169" s="570">
        <f t="shared" si="268"/>
        <v>6.0774270796093788</v>
      </c>
      <c r="J2169" s="570">
        <f t="shared" si="268"/>
        <v>5.9087473276664912</v>
      </c>
      <c r="K2169" s="570">
        <f t="shared" si="268"/>
        <v>6.5385243064150265</v>
      </c>
      <c r="L2169" s="570">
        <f t="shared" si="268"/>
        <v>6.3921444177940643</v>
      </c>
      <c r="M2169" s="570">
        <f t="shared" si="268"/>
        <v>6.7976206093188996</v>
      </c>
      <c r="N2169" s="570">
        <f t="shared" si="268"/>
        <v>6.7847067863307071</v>
      </c>
      <c r="O2169" s="570">
        <f t="shared" si="268"/>
        <v>6.4760882398159421</v>
      </c>
      <c r="P2169" s="570">
        <f t="shared" si="268"/>
        <v>6.5147853248227623</v>
      </c>
      <c r="Q2169" s="570">
        <f t="shared" si="268"/>
        <v>5.8744880530983297</v>
      </c>
      <c r="R2169" s="570">
        <f t="shared" si="268"/>
        <v>6.1470742788178834</v>
      </c>
      <c r="S2169" s="570">
        <f t="shared" si="268"/>
        <v>6.5707782507918164</v>
      </c>
      <c r="T2169" s="570">
        <f t="shared" si="268"/>
        <v>6.2846753640144231</v>
      </c>
      <c r="U2169" s="570">
        <f t="shared" si="268"/>
        <v>6.5843985844394446</v>
      </c>
      <c r="V2169" s="570">
        <f t="shared" si="268"/>
        <v>6.3575828570690458</v>
      </c>
      <c r="W2169" s="570">
        <f t="shared" si="268"/>
        <v>6.3349793451434229</v>
      </c>
      <c r="X2169" s="570">
        <f t="shared" si="268"/>
        <v>6.2485401896609556</v>
      </c>
      <c r="Y2169" s="570">
        <f t="shared" si="268"/>
        <v>6.6652006490985602</v>
      </c>
      <c r="Z2169" s="570">
        <f t="shared" si="268"/>
        <v>6.3128694540326604</v>
      </c>
      <c r="AA2169" s="570">
        <f t="shared" si="268"/>
        <v>6.1189134612167262</v>
      </c>
      <c r="AB2169" s="570">
        <f t="shared" si="268"/>
        <v>6.097016229071424</v>
      </c>
      <c r="AC2169" s="570">
        <f t="shared" si="268"/>
        <v>6.0022689923473767</v>
      </c>
      <c r="AD2169" s="570">
        <f t="shared" si="268"/>
        <v>5.5549856661723673</v>
      </c>
      <c r="AE2169" s="570">
        <f t="shared" si="268"/>
        <v>5.6879647443052015</v>
      </c>
      <c r="AF2169" s="570">
        <f t="shared" si="268"/>
        <v>5.0337085257193896</v>
      </c>
      <c r="AG2169" s="570">
        <f t="shared" si="268"/>
        <v>5.5096428409812974</v>
      </c>
      <c r="AH2169" s="570">
        <f t="shared" si="268"/>
        <v>3.4085373112929918</v>
      </c>
      <c r="AI2169" s="570">
        <f t="shared" si="268"/>
        <v>4.9883608583786163</v>
      </c>
      <c r="AJ2169" s="570">
        <f t="shared" si="268"/>
        <v>5.608418896888069</v>
      </c>
      <c r="AK2169" s="570">
        <f t="shared" si="268"/>
        <v>5.575254597924685</v>
      </c>
      <c r="AL2169" s="570">
        <f t="shared" si="268"/>
        <v>5.7598205010980035</v>
      </c>
      <c r="AM2169" s="570">
        <f t="shared" si="268"/>
        <v>5.7218843341229135</v>
      </c>
      <c r="AN2169" s="570">
        <f t="shared" si="268"/>
        <v>5.6839481671478227</v>
      </c>
      <c r="AO2169" s="570">
        <f t="shared" si="268"/>
        <v>5.6441044296352709</v>
      </c>
      <c r="AP2169" s="570">
        <f t="shared" si="268"/>
        <v>5.2880402179743697</v>
      </c>
      <c r="AQ2169" s="570">
        <f t="shared" si="268"/>
        <v>5.2417713547735891</v>
      </c>
      <c r="AR2169" s="570">
        <f t="shared" si="268"/>
        <v>5.2951199579220223</v>
      </c>
      <c r="AS2169" s="570">
        <f t="shared" si="268"/>
        <v>5.3474633456041438</v>
      </c>
      <c r="AT2169" s="570">
        <f t="shared" si="268"/>
        <v>5.3047415310838399</v>
      </c>
      <c r="AU2169" s="570">
        <f t="shared" si="268"/>
        <v>5.5356329801853352</v>
      </c>
    </row>
    <row r="2170" spans="2:47">
      <c r="B2170" t="str">
        <f>B2158</f>
        <v>Millicom</v>
      </c>
      <c r="D2170" s="570">
        <f t="shared" ref="D2170:AT2170" si="269">D2158</f>
        <v>4.5173432558264128</v>
      </c>
      <c r="E2170" s="570">
        <f t="shared" si="269"/>
        <v>4.9403785624743861</v>
      </c>
      <c r="F2170" s="570">
        <f t="shared" si="269"/>
        <v>3.9897673639490772</v>
      </c>
      <c r="G2170" s="570">
        <f t="shared" si="269"/>
        <v>3.5803322609738197</v>
      </c>
      <c r="H2170" s="570">
        <f t="shared" si="269"/>
        <v>4.7400902249217669</v>
      </c>
      <c r="I2170" s="570">
        <f t="shared" si="269"/>
        <v>5.3492578065373415</v>
      </c>
      <c r="J2170" s="570">
        <f t="shared" si="269"/>
        <v>4.7320959196810168</v>
      </c>
      <c r="K2170" s="570">
        <f t="shared" si="269"/>
        <v>5.6858986619350933</v>
      </c>
      <c r="L2170" s="570">
        <f t="shared" si="269"/>
        <v>5.6396900796480676</v>
      </c>
      <c r="M2170" s="570">
        <f t="shared" si="269"/>
        <v>6.0067171732921283</v>
      </c>
      <c r="N2170" s="570">
        <f t="shared" si="269"/>
        <v>5.9098906567673213</v>
      </c>
      <c r="O2170" s="570">
        <f t="shared" si="269"/>
        <v>5.6622365783109228</v>
      </c>
      <c r="P2170" s="570">
        <f t="shared" si="269"/>
        <v>5.862651894382358</v>
      </c>
      <c r="Q2170" s="570">
        <f t="shared" si="269"/>
        <v>5.040533355087355</v>
      </c>
      <c r="R2170" s="570">
        <f t="shared" si="269"/>
        <v>5.8296334660066709</v>
      </c>
      <c r="S2170" s="570">
        <f t="shared" si="269"/>
        <v>6.0400948642819827</v>
      </c>
      <c r="T2170" s="570">
        <f t="shared" si="269"/>
        <v>5.3191368704113877</v>
      </c>
      <c r="U2170" s="570">
        <f t="shared" si="269"/>
        <v>5.3300605588422973</v>
      </c>
      <c r="V2170" s="570">
        <f t="shared" si="269"/>
        <v>5.3344198534354721</v>
      </c>
      <c r="W2170" s="570">
        <f t="shared" si="269"/>
        <v>5.2877818742116958</v>
      </c>
      <c r="X2170" s="570">
        <f t="shared" si="269"/>
        <v>6.1860021857440959</v>
      </c>
      <c r="Y2170" s="570">
        <f t="shared" si="269"/>
        <v>5.755404114990271</v>
      </c>
      <c r="Z2170" s="570">
        <f t="shared" si="269"/>
        <v>5.6639148942355293</v>
      </c>
      <c r="AA2170" s="570">
        <f t="shared" si="269"/>
        <v>5.4444718451284979</v>
      </c>
      <c r="AB2170" s="570">
        <f t="shared" si="269"/>
        <v>5.8356524687623734</v>
      </c>
      <c r="AC2170" s="570">
        <f t="shared" si="269"/>
        <v>5.6887756733129748</v>
      </c>
      <c r="AD2170" s="570">
        <f t="shared" si="269"/>
        <v>5.2259505849966601</v>
      </c>
      <c r="AE2170" s="570">
        <f t="shared" si="269"/>
        <v>5.5958950391093687</v>
      </c>
      <c r="AF2170" s="570">
        <f t="shared" si="269"/>
        <v>6.2309324593831512</v>
      </c>
      <c r="AG2170" s="570">
        <f t="shared" si="269"/>
        <v>5.9308679563467983</v>
      </c>
      <c r="AH2170" s="570">
        <f t="shared" si="269"/>
        <v>5.8749326560411959</v>
      </c>
      <c r="AI2170" s="570">
        <f t="shared" si="269"/>
        <v>5.4739559046344972</v>
      </c>
      <c r="AJ2170" s="570">
        <f t="shared" si="269"/>
        <v>6.0939228059020358</v>
      </c>
      <c r="AK2170" s="570">
        <f t="shared" si="269"/>
        <v>5.3462609337230118</v>
      </c>
      <c r="AL2170" s="570">
        <f t="shared" si="269"/>
        <v>5.1350037507860389</v>
      </c>
      <c r="AM2170" s="570">
        <f t="shared" si="269"/>
        <v>5.3055756372146607</v>
      </c>
      <c r="AN2170" s="570">
        <f t="shared" si="269"/>
        <v>5.022405547556998</v>
      </c>
      <c r="AO2170" s="570">
        <f t="shared" si="269"/>
        <v>5.4028979281614964</v>
      </c>
      <c r="AP2170" s="570">
        <f t="shared" si="269"/>
        <v>5.681336305225674</v>
      </c>
      <c r="AQ2170" s="570">
        <f t="shared" si="269"/>
        <v>5.3958152331949307</v>
      </c>
      <c r="AR2170" s="570">
        <f t="shared" si="269"/>
        <v>4.7762183087788088</v>
      </c>
      <c r="AS2170" s="570">
        <f t="shared" si="269"/>
        <v>5.2017877166102018</v>
      </c>
      <c r="AT2170" s="570">
        <f t="shared" si="269"/>
        <v>5.2679431690827929</v>
      </c>
      <c r="AU2170" s="570" t="e">
        <f>(4*Valuation!#REF!+8*Valuation!#REF!)/12</f>
        <v>#REF!</v>
      </c>
    </row>
    <row r="2171" spans="2:47">
      <c r="B2171" t="str">
        <f>B2166</f>
        <v>Aggregate EM Cellular</v>
      </c>
      <c r="D2171" s="570">
        <f t="shared" ref="D2171:AU2171" si="270">D2166</f>
        <v>4.7880273123598389</v>
      </c>
      <c r="E2171" s="570">
        <f t="shared" si="270"/>
        <v>4.9130167505438385</v>
      </c>
      <c r="F2171" s="570">
        <f t="shared" si="270"/>
        <v>4.2516465633753633</v>
      </c>
      <c r="G2171" s="570">
        <f t="shared" si="270"/>
        <v>4.6599186946860058</v>
      </c>
      <c r="H2171" s="570">
        <f t="shared" si="270"/>
        <v>5.2238416476763572</v>
      </c>
      <c r="I2171" s="570">
        <f t="shared" si="270"/>
        <v>5.4529158980457062</v>
      </c>
      <c r="J2171" s="570">
        <f t="shared" si="270"/>
        <v>5.0374589950075546</v>
      </c>
      <c r="K2171" s="570">
        <f t="shared" si="270"/>
        <v>5.8974674002006342</v>
      </c>
      <c r="L2171" s="570">
        <f t="shared" si="270"/>
        <v>5.5740820475381927</v>
      </c>
      <c r="M2171" s="570">
        <f t="shared" si="270"/>
        <v>5.7564228914433748</v>
      </c>
      <c r="N2171" s="570">
        <f t="shared" si="270"/>
        <v>5.3146559518967997</v>
      </c>
      <c r="O2171" s="570">
        <f t="shared" si="270"/>
        <v>5.1580933188340836</v>
      </c>
      <c r="P2171" s="570">
        <f t="shared" si="270"/>
        <v>5.2181129163986419</v>
      </c>
      <c r="Q2171" s="570">
        <f t="shared" si="270"/>
        <v>4.9906744120791604</v>
      </c>
      <c r="R2171" s="570">
        <f t="shared" si="270"/>
        <v>4.9359446193744354</v>
      </c>
      <c r="S2171" s="570">
        <f t="shared" si="270"/>
        <v>5.163871549214802</v>
      </c>
      <c r="T2171" s="570">
        <f t="shared" si="270"/>
        <v>4.3965141678541109</v>
      </c>
      <c r="U2171" s="570">
        <f t="shared" si="270"/>
        <v>4.3638035996707654</v>
      </c>
      <c r="V2171" s="570">
        <f t="shared" si="270"/>
        <v>4.4536531933656036</v>
      </c>
      <c r="W2171" s="570">
        <f t="shared" si="270"/>
        <v>4.6025294183422236</v>
      </c>
      <c r="X2171" s="570">
        <f t="shared" si="270"/>
        <v>4.6506574468990465</v>
      </c>
      <c r="Y2171" s="570">
        <f t="shared" si="270"/>
        <v>4.6278960022378604</v>
      </c>
      <c r="Z2171" s="570">
        <f t="shared" si="270"/>
        <v>4.8518196581043131</v>
      </c>
      <c r="AA2171" s="570">
        <f t="shared" si="270"/>
        <v>4.7002155230545029</v>
      </c>
      <c r="AB2171" s="570">
        <f t="shared" si="270"/>
        <v>4.8197856006922777</v>
      </c>
      <c r="AC2171" s="570">
        <f t="shared" si="270"/>
        <v>4.643982003072507</v>
      </c>
      <c r="AD2171" s="570">
        <f t="shared" si="270"/>
        <v>4.483116446163022</v>
      </c>
      <c r="AE2171" s="570">
        <f t="shared" si="270"/>
        <v>4.3787664334711733</v>
      </c>
      <c r="AF2171" s="570">
        <f t="shared" si="270"/>
        <v>4.3326377970673935</v>
      </c>
      <c r="AG2171" s="570">
        <f t="shared" si="270"/>
        <v>4.3948787433010112</v>
      </c>
      <c r="AH2171" s="570">
        <f t="shared" si="270"/>
        <v>4.643902861899555</v>
      </c>
      <c r="AI2171" s="570">
        <f t="shared" si="270"/>
        <v>4.2647468360372516</v>
      </c>
      <c r="AJ2171" s="570">
        <f t="shared" si="270"/>
        <v>4.5245889095770817</v>
      </c>
      <c r="AK2171" s="570">
        <f t="shared" si="270"/>
        <v>4.3233154564874665</v>
      </c>
      <c r="AL2171" s="570">
        <f t="shared" si="270"/>
        <v>4.4186886448302429</v>
      </c>
      <c r="AM2171" s="570">
        <f t="shared" si="270"/>
        <v>4.5440102927486734</v>
      </c>
      <c r="AN2171" s="570">
        <f t="shared" si="270"/>
        <v>4.7133578296281957</v>
      </c>
      <c r="AO2171" s="570">
        <f t="shared" si="270"/>
        <v>4.6837752559452293</v>
      </c>
      <c r="AP2171" s="570">
        <f t="shared" si="270"/>
        <v>5.0114358391436138</v>
      </c>
      <c r="AQ2171" s="570">
        <f t="shared" si="270"/>
        <v>4.8974593331376237</v>
      </c>
      <c r="AR2171" s="570">
        <f t="shared" si="270"/>
        <v>4.4974922702779132</v>
      </c>
      <c r="AS2171" s="570">
        <f t="shared" si="270"/>
        <v>4.7083935300067044</v>
      </c>
      <c r="AT2171" s="570">
        <f t="shared" si="270"/>
        <v>4.8516132359610502</v>
      </c>
      <c r="AU2171" s="570">
        <f t="shared" si="270"/>
        <v>4.9599058017962543</v>
      </c>
    </row>
    <row r="2172" spans="2:47">
      <c r="D2172" s="570"/>
      <c r="E2172" s="570"/>
      <c r="F2172" s="570"/>
      <c r="G2172" s="570"/>
      <c r="H2172" s="570"/>
      <c r="I2172" s="570"/>
      <c r="J2172" s="570"/>
      <c r="K2172" s="570"/>
      <c r="L2172" s="570"/>
      <c r="M2172" s="570"/>
      <c r="N2172" s="570"/>
      <c r="O2172" s="570"/>
      <c r="P2172" s="570"/>
      <c r="Q2172" s="570"/>
      <c r="R2172" s="570"/>
      <c r="S2172" s="570"/>
      <c r="T2172" s="570"/>
      <c r="U2172" s="570"/>
      <c r="V2172" s="570"/>
      <c r="W2172" s="570"/>
      <c r="X2172" s="570"/>
      <c r="Y2172" s="570"/>
      <c r="Z2172" s="570"/>
      <c r="AA2172" s="570"/>
      <c r="AB2172" s="570"/>
      <c r="AC2172" s="570"/>
      <c r="AD2172" s="570"/>
      <c r="AE2172" s="570"/>
      <c r="AF2172" s="570"/>
      <c r="AG2172" s="570"/>
      <c r="AH2172" s="570"/>
      <c r="AI2172" s="570"/>
      <c r="AJ2172" s="570"/>
      <c r="AK2172" s="570"/>
      <c r="AL2172" s="570"/>
      <c r="AM2172" s="570"/>
      <c r="AN2172" s="570"/>
      <c r="AO2172" s="570"/>
      <c r="AP2172" s="570"/>
      <c r="AQ2172" s="570"/>
      <c r="AR2172" s="570"/>
      <c r="AS2172" s="570"/>
      <c r="AT2172" s="570"/>
      <c r="AU2172" s="570"/>
    </row>
    <row r="2173" spans="2:47">
      <c r="D2173" s="494">
        <f t="shared" ref="D2173:AU2173" si="271">D2168</f>
        <v>39814</v>
      </c>
      <c r="E2173" s="494">
        <f t="shared" si="271"/>
        <v>39845</v>
      </c>
      <c r="F2173" s="494">
        <f t="shared" si="271"/>
        <v>39873</v>
      </c>
      <c r="G2173" s="494">
        <f t="shared" si="271"/>
        <v>39904</v>
      </c>
      <c r="H2173" s="494">
        <f t="shared" si="271"/>
        <v>39934</v>
      </c>
      <c r="I2173" s="494">
        <f t="shared" si="271"/>
        <v>39965</v>
      </c>
      <c r="J2173" s="494">
        <f t="shared" si="271"/>
        <v>39995</v>
      </c>
      <c r="K2173" s="494">
        <f t="shared" si="271"/>
        <v>40026</v>
      </c>
      <c r="L2173" s="494">
        <f t="shared" si="271"/>
        <v>40057</v>
      </c>
      <c r="M2173" s="494">
        <f t="shared" si="271"/>
        <v>40087</v>
      </c>
      <c r="N2173" s="494">
        <f t="shared" si="271"/>
        <v>40118</v>
      </c>
      <c r="O2173" s="494">
        <f t="shared" si="271"/>
        <v>40148</v>
      </c>
      <c r="P2173" s="494">
        <f t="shared" si="271"/>
        <v>40179</v>
      </c>
      <c r="Q2173" s="494">
        <f t="shared" si="271"/>
        <v>40210</v>
      </c>
      <c r="R2173" s="494">
        <f t="shared" si="271"/>
        <v>40238</v>
      </c>
      <c r="S2173" s="494">
        <f t="shared" si="271"/>
        <v>40269</v>
      </c>
      <c r="T2173" s="494">
        <f t="shared" si="271"/>
        <v>40299</v>
      </c>
      <c r="U2173" s="494">
        <f t="shared" si="271"/>
        <v>40330</v>
      </c>
      <c r="V2173" s="494">
        <f t="shared" si="271"/>
        <v>40360</v>
      </c>
      <c r="W2173" s="494">
        <f t="shared" si="271"/>
        <v>40391</v>
      </c>
      <c r="X2173" s="494">
        <f t="shared" si="271"/>
        <v>40422</v>
      </c>
      <c r="Y2173" s="494">
        <f t="shared" si="271"/>
        <v>40452</v>
      </c>
      <c r="Z2173" s="494">
        <f t="shared" si="271"/>
        <v>40483</v>
      </c>
      <c r="AA2173" s="494">
        <f t="shared" si="271"/>
        <v>40513</v>
      </c>
      <c r="AB2173" s="494">
        <f t="shared" si="271"/>
        <v>40544</v>
      </c>
      <c r="AC2173" s="494">
        <f t="shared" si="271"/>
        <v>40575</v>
      </c>
      <c r="AD2173" s="494">
        <f t="shared" si="271"/>
        <v>40603</v>
      </c>
      <c r="AE2173" s="494">
        <f t="shared" si="271"/>
        <v>40634</v>
      </c>
      <c r="AF2173" s="494">
        <f t="shared" si="271"/>
        <v>40664</v>
      </c>
      <c r="AG2173" s="494">
        <f t="shared" si="271"/>
        <v>40695</v>
      </c>
      <c r="AH2173" s="494">
        <f t="shared" si="271"/>
        <v>40725</v>
      </c>
      <c r="AI2173" s="494">
        <f t="shared" si="271"/>
        <v>40756</v>
      </c>
      <c r="AJ2173" s="494">
        <f t="shared" si="271"/>
        <v>40787</v>
      </c>
      <c r="AK2173" s="494">
        <f t="shared" si="271"/>
        <v>40817</v>
      </c>
      <c r="AL2173" s="494">
        <f t="shared" si="271"/>
        <v>40848</v>
      </c>
      <c r="AM2173" s="494">
        <f t="shared" si="271"/>
        <v>40878</v>
      </c>
      <c r="AN2173" s="494">
        <f t="shared" si="271"/>
        <v>40909</v>
      </c>
      <c r="AO2173" s="494">
        <f t="shared" si="271"/>
        <v>40940</v>
      </c>
      <c r="AP2173" s="494">
        <f t="shared" si="271"/>
        <v>40969</v>
      </c>
      <c r="AQ2173" s="494">
        <f t="shared" si="271"/>
        <v>41000</v>
      </c>
      <c r="AR2173" s="494">
        <f t="shared" si="271"/>
        <v>41030</v>
      </c>
      <c r="AS2173" s="494">
        <f t="shared" si="271"/>
        <v>41061</v>
      </c>
      <c r="AT2173" s="494">
        <f t="shared" si="271"/>
        <v>41091</v>
      </c>
      <c r="AU2173" s="494">
        <f t="shared" si="271"/>
        <v>41122</v>
      </c>
    </row>
    <row r="2174" spans="2:47">
      <c r="B2174" s="478" t="s">
        <v>2625</v>
      </c>
      <c r="C2174" s="478"/>
      <c r="D2174" s="449">
        <f t="shared" ref="D2174:AU2174" si="272">D2170/D2171-1</f>
        <v>-5.6533523907576932E-2</v>
      </c>
      <c r="E2174" s="449">
        <f t="shared" si="272"/>
        <v>5.5692486551197629E-3</v>
      </c>
      <c r="F2174" s="449">
        <f t="shared" si="272"/>
        <v>-6.1594771701432682E-2</v>
      </c>
      <c r="G2174" s="449">
        <f t="shared" si="272"/>
        <v>-0.23167495066884014</v>
      </c>
      <c r="H2174" s="449">
        <f t="shared" si="272"/>
        <v>-9.2604534245361414E-2</v>
      </c>
      <c r="I2174" s="449">
        <f t="shared" si="272"/>
        <v>-1.9009662618401091E-2</v>
      </c>
      <c r="J2174" s="449">
        <f t="shared" si="272"/>
        <v>-6.0618473644980964E-2</v>
      </c>
      <c r="K2174" s="449">
        <f t="shared" si="272"/>
        <v>-3.5874507463719674E-2</v>
      </c>
      <c r="L2174" s="449">
        <f t="shared" si="272"/>
        <v>1.1770194903903741E-2</v>
      </c>
      <c r="M2174" s="449">
        <f t="shared" si="272"/>
        <v>4.3480871118903197E-2</v>
      </c>
      <c r="N2174" s="449">
        <f t="shared" si="272"/>
        <v>0.11199872771784647</v>
      </c>
      <c r="O2174" s="449">
        <f t="shared" si="272"/>
        <v>9.7738297528667806E-2</v>
      </c>
      <c r="P2174" s="449">
        <f t="shared" si="272"/>
        <v>0.12351955358385647</v>
      </c>
      <c r="Q2174" s="449">
        <f t="shared" si="272"/>
        <v>9.9904219132225247E-3</v>
      </c>
      <c r="R2174" s="449">
        <f t="shared" si="272"/>
        <v>0.18105730828590594</v>
      </c>
      <c r="S2174" s="449">
        <f t="shared" si="272"/>
        <v>0.16968340647443414</v>
      </c>
      <c r="T2174" s="449">
        <f t="shared" si="272"/>
        <v>0.2098532308398311</v>
      </c>
      <c r="U2174" s="449">
        <f t="shared" si="272"/>
        <v>0.22142540036504688</v>
      </c>
      <c r="V2174" s="449">
        <f t="shared" si="272"/>
        <v>0.1977627403458142</v>
      </c>
      <c r="W2174" s="449">
        <f t="shared" si="272"/>
        <v>0.14888605668408572</v>
      </c>
      <c r="X2174" s="449">
        <f t="shared" si="272"/>
        <v>0.33013498766046134</v>
      </c>
      <c r="Y2174" s="449">
        <f t="shared" si="272"/>
        <v>0.24363298401848144</v>
      </c>
      <c r="Z2174" s="449">
        <f t="shared" si="272"/>
        <v>0.1673795180690032</v>
      </c>
      <c r="AA2174" s="449">
        <f t="shared" si="272"/>
        <v>0.15834514788171439</v>
      </c>
      <c r="AB2174" s="449">
        <f t="shared" si="272"/>
        <v>0.21077013631564534</v>
      </c>
      <c r="AC2174" s="449">
        <f t="shared" si="272"/>
        <v>0.22497797570042732</v>
      </c>
      <c r="AD2174" s="449">
        <f t="shared" si="272"/>
        <v>0.16569592776681263</v>
      </c>
      <c r="AE2174" s="449">
        <f t="shared" si="272"/>
        <v>0.27796152732296853</v>
      </c>
      <c r="AF2174" s="449">
        <f t="shared" si="272"/>
        <v>0.43813832386373153</v>
      </c>
      <c r="AG2174" s="449">
        <f t="shared" si="272"/>
        <v>0.34949524270426169</v>
      </c>
      <c r="AH2174" s="449">
        <f t="shared" si="272"/>
        <v>0.26508517312915902</v>
      </c>
      <c r="AI2174" s="449">
        <f t="shared" si="272"/>
        <v>0.28353595537709042</v>
      </c>
      <c r="AJ2174" s="449">
        <f t="shared" si="272"/>
        <v>0.3468456312137409</v>
      </c>
      <c r="AK2174" s="449">
        <f t="shared" si="272"/>
        <v>0.236611343199705</v>
      </c>
      <c r="AL2174" s="449">
        <f t="shared" si="272"/>
        <v>0.16211033714581058</v>
      </c>
      <c r="AM2174" s="449">
        <f t="shared" si="272"/>
        <v>0.16759762751446505</v>
      </c>
      <c r="AN2174" s="449">
        <f t="shared" si="272"/>
        <v>6.5568481982447135E-2</v>
      </c>
      <c r="AO2174" s="449">
        <f t="shared" si="272"/>
        <v>0.15353483737364804</v>
      </c>
      <c r="AP2174" s="449">
        <f t="shared" si="272"/>
        <v>0.13367435752635259</v>
      </c>
      <c r="AQ2174" s="449">
        <f t="shared" si="272"/>
        <v>0.10175804762385399</v>
      </c>
      <c r="AR2174" s="449">
        <f t="shared" si="272"/>
        <v>6.1973655928856619E-2</v>
      </c>
      <c r="AS2174" s="449">
        <f t="shared" si="272"/>
        <v>0.10479034589166858</v>
      </c>
      <c r="AT2174" s="449">
        <f t="shared" si="272"/>
        <v>8.5812679798098701E-2</v>
      </c>
      <c r="AU2174" s="449" t="e">
        <f t="shared" si="272"/>
        <v>#REF!</v>
      </c>
    </row>
    <row r="2175" spans="2:47">
      <c r="B2175" s="478" t="s">
        <v>2624</v>
      </c>
      <c r="C2175" s="478"/>
      <c r="D2175" s="449" t="e">
        <f t="shared" ref="D2175:AT2175" si="273">E2175</f>
        <v>#REF!</v>
      </c>
      <c r="E2175" s="449" t="e">
        <f t="shared" si="273"/>
        <v>#REF!</v>
      </c>
      <c r="F2175" s="449" t="e">
        <f t="shared" si="273"/>
        <v>#REF!</v>
      </c>
      <c r="G2175" s="449" t="e">
        <f t="shared" si="273"/>
        <v>#REF!</v>
      </c>
      <c r="H2175" s="449" t="e">
        <f t="shared" si="273"/>
        <v>#REF!</v>
      </c>
      <c r="I2175" s="449" t="e">
        <f t="shared" si="273"/>
        <v>#REF!</v>
      </c>
      <c r="J2175" s="449" t="e">
        <f t="shared" si="273"/>
        <v>#REF!</v>
      </c>
      <c r="K2175" s="449" t="e">
        <f t="shared" si="273"/>
        <v>#REF!</v>
      </c>
      <c r="L2175" s="449" t="e">
        <f t="shared" si="273"/>
        <v>#REF!</v>
      </c>
      <c r="M2175" s="449" t="e">
        <f t="shared" si="273"/>
        <v>#REF!</v>
      </c>
      <c r="N2175" s="449" t="e">
        <f t="shared" si="273"/>
        <v>#REF!</v>
      </c>
      <c r="O2175" s="449" t="e">
        <f t="shared" si="273"/>
        <v>#REF!</v>
      </c>
      <c r="P2175" s="449" t="e">
        <f t="shared" si="273"/>
        <v>#REF!</v>
      </c>
      <c r="Q2175" s="449" t="e">
        <f t="shared" si="273"/>
        <v>#REF!</v>
      </c>
      <c r="R2175" s="449" t="e">
        <f t="shared" si="273"/>
        <v>#REF!</v>
      </c>
      <c r="S2175" s="449" t="e">
        <f t="shared" si="273"/>
        <v>#REF!</v>
      </c>
      <c r="T2175" s="449" t="e">
        <f t="shared" si="273"/>
        <v>#REF!</v>
      </c>
      <c r="U2175" s="449" t="e">
        <f t="shared" si="273"/>
        <v>#REF!</v>
      </c>
      <c r="V2175" s="449" t="e">
        <f t="shared" si="273"/>
        <v>#REF!</v>
      </c>
      <c r="W2175" s="449" t="e">
        <f t="shared" si="273"/>
        <v>#REF!</v>
      </c>
      <c r="X2175" s="449" t="e">
        <f t="shared" si="273"/>
        <v>#REF!</v>
      </c>
      <c r="Y2175" s="449" t="e">
        <f t="shared" si="273"/>
        <v>#REF!</v>
      </c>
      <c r="Z2175" s="449" t="e">
        <f t="shared" si="273"/>
        <v>#REF!</v>
      </c>
      <c r="AA2175" s="449" t="e">
        <f t="shared" si="273"/>
        <v>#REF!</v>
      </c>
      <c r="AB2175" s="449" t="e">
        <f t="shared" si="273"/>
        <v>#REF!</v>
      </c>
      <c r="AC2175" s="449" t="e">
        <f t="shared" si="273"/>
        <v>#REF!</v>
      </c>
      <c r="AD2175" s="449" t="e">
        <f t="shared" si="273"/>
        <v>#REF!</v>
      </c>
      <c r="AE2175" s="449" t="e">
        <f t="shared" si="273"/>
        <v>#REF!</v>
      </c>
      <c r="AF2175" s="449" t="e">
        <f t="shared" si="273"/>
        <v>#REF!</v>
      </c>
      <c r="AG2175" s="449" t="e">
        <f t="shared" si="273"/>
        <v>#REF!</v>
      </c>
      <c r="AH2175" s="449" t="e">
        <f t="shared" si="273"/>
        <v>#REF!</v>
      </c>
      <c r="AI2175" s="449" t="e">
        <f t="shared" si="273"/>
        <v>#REF!</v>
      </c>
      <c r="AJ2175" s="449" t="e">
        <f t="shared" si="273"/>
        <v>#REF!</v>
      </c>
      <c r="AK2175" s="449" t="e">
        <f t="shared" si="273"/>
        <v>#REF!</v>
      </c>
      <c r="AL2175" s="449" t="e">
        <f t="shared" si="273"/>
        <v>#REF!</v>
      </c>
      <c r="AM2175" s="449" t="e">
        <f t="shared" si="273"/>
        <v>#REF!</v>
      </c>
      <c r="AN2175" s="449" t="e">
        <f t="shared" si="273"/>
        <v>#REF!</v>
      </c>
      <c r="AO2175" s="449" t="e">
        <f t="shared" si="273"/>
        <v>#REF!</v>
      </c>
      <c r="AP2175" s="449" t="e">
        <f t="shared" si="273"/>
        <v>#REF!</v>
      </c>
      <c r="AQ2175" s="449" t="e">
        <f t="shared" si="273"/>
        <v>#REF!</v>
      </c>
      <c r="AR2175" s="449" t="e">
        <f t="shared" si="273"/>
        <v>#REF!</v>
      </c>
      <c r="AS2175" s="449" t="e">
        <f t="shared" si="273"/>
        <v>#REF!</v>
      </c>
      <c r="AT2175" s="449" t="e">
        <f t="shared" si="273"/>
        <v>#REF!</v>
      </c>
      <c r="AU2175" s="449" t="e">
        <f>AVERAGE(D2174:AU2174)</f>
        <v>#REF!</v>
      </c>
    </row>
    <row r="2192" spans="2:5">
      <c r="B2192" s="581">
        <f>Valuation!L9</f>
        <v>0</v>
      </c>
      <c r="C2192" s="581"/>
      <c r="D2192" s="483">
        <f>Valuation!M9</f>
        <v>0</v>
      </c>
      <c r="E2192" s="508" t="s">
        <v>2626</v>
      </c>
    </row>
    <row r="2193" spans="2:6">
      <c r="B2193" s="454">
        <f>Valuation!L10</f>
        <v>4997.8367999999991</v>
      </c>
      <c r="C2193" s="454"/>
      <c r="D2193" s="468">
        <f>Valuation!M10</f>
        <v>5069.9232599999996</v>
      </c>
      <c r="E2193" s="506" t="s">
        <v>2628</v>
      </c>
    </row>
    <row r="2194" spans="2:6">
      <c r="B2194" s="454">
        <f>Valuation!L11</f>
        <v>-1031.3794800703261</v>
      </c>
      <c r="C2194" s="454"/>
      <c r="D2194" s="468">
        <f>Valuation!M11</f>
        <v>-1031.3794800703261</v>
      </c>
      <c r="E2194" s="506" t="s">
        <v>2629</v>
      </c>
    </row>
    <row r="2195" spans="2:6">
      <c r="B2195" s="454">
        <f>Valuation!L12</f>
        <v>0</v>
      </c>
      <c r="C2195" s="454"/>
      <c r="D2195" s="468">
        <f>Valuation!M12</f>
        <v>0</v>
      </c>
      <c r="E2195" s="506" t="s">
        <v>2627</v>
      </c>
    </row>
    <row r="2196" spans="2:6">
      <c r="B2196" s="462">
        <f>Valuation!L13</f>
        <v>887.38393981123295</v>
      </c>
      <c r="C2196" s="462"/>
      <c r="D2196" s="483">
        <f>Valuation!M13</f>
        <v>887.38393981123295</v>
      </c>
      <c r="E2196" s="508" t="s">
        <v>2630</v>
      </c>
    </row>
    <row r="2197" spans="2:6">
      <c r="B2197" s="569">
        <f>Valuation!L14</f>
        <v>1471.8324594835435</v>
      </c>
      <c r="C2197" s="569"/>
      <c r="D2197" s="468">
        <f>Valuation!M14</f>
        <v>1471.8324594835435</v>
      </c>
    </row>
    <row r="2199" spans="2:6">
      <c r="B2199" s="592" t="s">
        <v>565</v>
      </c>
      <c r="C2199" s="592"/>
    </row>
    <row r="2201" spans="2:6">
      <c r="B2201" s="487" t="s">
        <v>2648</v>
      </c>
      <c r="C2201" s="487"/>
      <c r="D2201" s="508" t="s">
        <v>565</v>
      </c>
      <c r="E2201" s="508" t="s">
        <v>821</v>
      </c>
      <c r="F2201" s="508" t="s">
        <v>1644</v>
      </c>
    </row>
    <row r="2202" spans="2:6">
      <c r="B2202" s="478" t="s">
        <v>1542</v>
      </c>
      <c r="C2202" s="478"/>
      <c r="D2202" s="506" t="s">
        <v>2642</v>
      </c>
      <c r="E2202" s="456">
        <f>Div!M67</f>
        <v>0.4032627343428703</v>
      </c>
      <c r="F2202" s="456">
        <v>0.40899999999999997</v>
      </c>
    </row>
    <row r="2203" spans="2:6">
      <c r="B2203" s="478" t="s">
        <v>2646</v>
      </c>
      <c r="C2203" s="478"/>
      <c r="D2203" s="506" t="s">
        <v>2647</v>
      </c>
      <c r="E2203" s="456">
        <f>Div!M71</f>
        <v>0.4032627343428703</v>
      </c>
      <c r="F2203" s="456">
        <v>0.39500000000000002</v>
      </c>
    </row>
    <row r="2205" spans="2:6">
      <c r="B2205" s="487" t="s">
        <v>2649</v>
      </c>
      <c r="C2205" s="487"/>
      <c r="D2205" s="455"/>
      <c r="E2205" s="455"/>
      <c r="F2205" s="455"/>
    </row>
    <row r="2206" spans="2:6">
      <c r="B2206" s="478" t="s">
        <v>798</v>
      </c>
      <c r="C2206" s="478"/>
      <c r="D2206" s="506" t="s">
        <v>2644</v>
      </c>
      <c r="E2206" s="505" t="e">
        <f>#REF!</f>
        <v>#REF!</v>
      </c>
      <c r="F2206" s="505">
        <v>120</v>
      </c>
    </row>
    <row r="2207" spans="2:6">
      <c r="B2207" s="478" t="s">
        <v>360</v>
      </c>
      <c r="C2207" s="478"/>
      <c r="D2207" s="591" t="s">
        <v>2643</v>
      </c>
      <c r="E2207" s="505" t="e">
        <f>#REF!</f>
        <v>#REF!</v>
      </c>
      <c r="F2207" s="505">
        <v>-110</v>
      </c>
    </row>
    <row r="2209" spans="2:7">
      <c r="B2209" s="478" t="s">
        <v>2650</v>
      </c>
      <c r="C2209" s="478"/>
      <c r="D2209" s="449">
        <v>0.2</v>
      </c>
      <c r="E2209" s="456">
        <f>Div!M95</f>
        <v>0.19502256912267954</v>
      </c>
      <c r="F2209" s="456">
        <v>0.18099999999999999</v>
      </c>
    </row>
    <row r="2210" spans="2:7">
      <c r="B2210" s="478" t="s">
        <v>2645</v>
      </c>
      <c r="C2210" s="478"/>
      <c r="D2210" s="568" t="s">
        <v>2651</v>
      </c>
      <c r="E2210" s="456">
        <f>E2203-E2209</f>
        <v>0.20824016522019076</v>
      </c>
      <c r="F2210" s="456">
        <f>F2203-F2209</f>
        <v>0.21400000000000002</v>
      </c>
    </row>
    <row r="2212" spans="2:7">
      <c r="B2212" s="478" t="s">
        <v>2652</v>
      </c>
      <c r="C2212" s="478"/>
      <c r="D2212" s="464">
        <f>Div!M37-Div!M35</f>
        <v>5553.2034311307607</v>
      </c>
      <c r="E2212" s="464">
        <f>Master!P5</f>
        <v>0</v>
      </c>
    </row>
    <row r="2213" spans="2:7">
      <c r="B2213" s="478"/>
      <c r="C2213" s="478"/>
      <c r="D2213" s="464"/>
      <c r="E2213" s="464"/>
    </row>
    <row r="2214" spans="2:7">
      <c r="B2214" s="478"/>
      <c r="C2214" s="478"/>
      <c r="D2214" s="593" t="s">
        <v>565</v>
      </c>
      <c r="E2214" s="593" t="s">
        <v>565</v>
      </c>
    </row>
    <row r="2215" spans="2:7">
      <c r="B2215" s="487"/>
      <c r="C2215" s="487"/>
      <c r="D2215" s="594" t="s">
        <v>2657</v>
      </c>
      <c r="E2215" s="594" t="s">
        <v>2658</v>
      </c>
      <c r="F2215" s="508" t="s">
        <v>821</v>
      </c>
      <c r="G2215" s="508" t="s">
        <v>1644</v>
      </c>
    </row>
    <row r="2216" spans="2:7">
      <c r="B2216" s="478" t="s">
        <v>2594</v>
      </c>
      <c r="C2216" s="478"/>
      <c r="D2216" s="464">
        <f>0.4*D2212</f>
        <v>2221.2813724523044</v>
      </c>
      <c r="E2216" s="464">
        <f>0.4*E2212</f>
        <v>0</v>
      </c>
      <c r="F2216" s="464">
        <f>Div!M53-Div!M51</f>
        <v>2239.3999999999996</v>
      </c>
      <c r="G2216" s="464">
        <v>2066</v>
      </c>
    </row>
    <row r="2217" spans="2:7">
      <c r="B2217" s="478" t="s">
        <v>1434</v>
      </c>
      <c r="C2217" s="478"/>
      <c r="D2217" s="449">
        <v>0.4</v>
      </c>
      <c r="E2217" s="449">
        <v>0.42</v>
      </c>
      <c r="F2217" s="449">
        <f>Div!M67</f>
        <v>0.4032627343428703</v>
      </c>
      <c r="G2217" s="449">
        <f>Div!N67</f>
        <v>0.36881973408649554</v>
      </c>
    </row>
    <row r="2218" spans="2:7">
      <c r="B2218" s="478"/>
      <c r="C2218" s="478"/>
      <c r="D2218" s="449"/>
      <c r="E2218" s="449"/>
      <c r="F2218" s="449"/>
      <c r="G2218" s="449"/>
    </row>
    <row r="2219" spans="2:7">
      <c r="B2219" s="478" t="s">
        <v>2653</v>
      </c>
      <c r="C2219" s="478"/>
      <c r="D2219">
        <v>-200</v>
      </c>
      <c r="E2219">
        <v>-125</v>
      </c>
      <c r="F2219" s="454">
        <f>Div!M51</f>
        <v>0</v>
      </c>
      <c r="G2219" s="454">
        <v>-110</v>
      </c>
    </row>
    <row r="2220" spans="2:7">
      <c r="B2220" s="478" t="s">
        <v>2595</v>
      </c>
      <c r="C2220" s="478"/>
      <c r="D2220" s="464">
        <f>D2216+D2219</f>
        <v>2021.2813724523044</v>
      </c>
      <c r="E2220" s="464">
        <f>E2216+E2219</f>
        <v>-125</v>
      </c>
      <c r="F2220" s="464">
        <f>F2216+F2219</f>
        <v>2239.3999999999996</v>
      </c>
      <c r="G2220" s="464">
        <f>G2216+G2219</f>
        <v>1956</v>
      </c>
    </row>
    <row r="2221" spans="2:7">
      <c r="B2221" s="478" t="s">
        <v>2655</v>
      </c>
      <c r="C2221" s="478"/>
      <c r="D2221" s="464">
        <f>-0.037*Master!P5</f>
        <v>0</v>
      </c>
      <c r="E2221" s="464">
        <f>-0.025*Master!P5</f>
        <v>0</v>
      </c>
      <c r="F2221" s="464">
        <f>Master!P11</f>
        <v>0</v>
      </c>
      <c r="G2221" s="464">
        <v>-122</v>
      </c>
    </row>
    <row r="2222" spans="2:7">
      <c r="B2222" s="478" t="s">
        <v>2660</v>
      </c>
      <c r="C2222" s="478"/>
      <c r="D2222" s="456">
        <f>3.7%</f>
        <v>3.7000000000000005E-2</v>
      </c>
      <c r="E2222" s="456">
        <v>2.5000000000000001E-2</v>
      </c>
      <c r="F2222" s="456" t="e">
        <f>-F2221/Master!P5</f>
        <v>#DIV/0!</v>
      </c>
      <c r="G2222" s="456">
        <f>-G2221/Master!Q5</f>
        <v>1.9104257898699319E-2</v>
      </c>
    </row>
    <row r="2223" spans="2:7">
      <c r="B2223" s="478" t="s">
        <v>2656</v>
      </c>
      <c r="C2223" s="478"/>
      <c r="D2223" s="464">
        <f>D2220+D2221</f>
        <v>2021.2813724523044</v>
      </c>
      <c r="E2223" s="464">
        <f>E2220+E2221</f>
        <v>-125</v>
      </c>
      <c r="F2223" s="464">
        <f>F2220+F2221</f>
        <v>2239.3999999999996</v>
      </c>
      <c r="G2223" s="464">
        <f>G2220+G2221</f>
        <v>1834</v>
      </c>
    </row>
    <row r="2225" spans="2:7">
      <c r="B2225" s="478" t="s">
        <v>2654</v>
      </c>
      <c r="C2225" s="478"/>
      <c r="D2225" s="454">
        <f>0.2*Master!P5</f>
        <v>0</v>
      </c>
      <c r="E2225" s="454">
        <f>0.2*Master!P5</f>
        <v>0</v>
      </c>
      <c r="F2225" s="454">
        <f>Div!M83</f>
        <v>1083</v>
      </c>
      <c r="G2225" s="454">
        <v>963</v>
      </c>
    </row>
    <row r="2226" spans="2:7">
      <c r="B2226" s="478" t="s">
        <v>2662</v>
      </c>
      <c r="C2226" s="478"/>
      <c r="D2226" s="449">
        <v>0.2</v>
      </c>
      <c r="E2226" s="449">
        <v>0.2</v>
      </c>
      <c r="F2226" s="449">
        <f>Div!M95</f>
        <v>0.19502256912267954</v>
      </c>
      <c r="G2226" s="449">
        <v>0.18</v>
      </c>
    </row>
    <row r="2227" spans="2:7">
      <c r="B2227" s="478"/>
      <c r="C2227" s="478"/>
      <c r="D2227" s="449"/>
      <c r="E2227" s="449"/>
      <c r="F2227" s="449"/>
      <c r="G2227" s="449"/>
    </row>
    <row r="2228" spans="2:7">
      <c r="B2228" s="478" t="s">
        <v>2661</v>
      </c>
      <c r="C2228" s="478"/>
      <c r="D2228" s="464">
        <f>D2223-D2225</f>
        <v>2021.2813724523044</v>
      </c>
      <c r="E2228" s="464">
        <f>E2223-E2225</f>
        <v>-125</v>
      </c>
      <c r="F2228" s="464">
        <f>F2223-F2225</f>
        <v>1156.3999999999996</v>
      </c>
      <c r="G2228" s="464">
        <f>G2223-G2225</f>
        <v>871</v>
      </c>
    </row>
    <row r="2229" spans="2:7">
      <c r="B2229" s="478" t="s">
        <v>1434</v>
      </c>
      <c r="C2229" s="478"/>
      <c r="D2229" s="456" t="e">
        <f>D2228/Master!$P$5</f>
        <v>#DIV/0!</v>
      </c>
      <c r="E2229" s="456" t="e">
        <f>E2228/Master!$P$5</f>
        <v>#DIV/0!</v>
      </c>
      <c r="F2229" s="456" t="e">
        <f>F2228/Master!$P$5</f>
        <v>#DIV/0!</v>
      </c>
      <c r="G2229" s="456" t="e">
        <f>G2228/Master!$P$5</f>
        <v>#DIV/0!</v>
      </c>
    </row>
    <row r="2230" spans="2:7">
      <c r="B2230" s="478" t="s">
        <v>2659</v>
      </c>
      <c r="C2230" s="478"/>
      <c r="D2230" s="449">
        <f>D2228/G2228-1</f>
        <v>1.3206445148706134</v>
      </c>
      <c r="E2230" s="449">
        <f>E2228/G2228-1</f>
        <v>-1.1435132032146957</v>
      </c>
    </row>
    <row r="2232" spans="2:7">
      <c r="B2232" s="487" t="s">
        <v>2666</v>
      </c>
      <c r="C2232" s="487"/>
      <c r="D2232" s="508" t="s">
        <v>2668</v>
      </c>
      <c r="E2232" s="508" t="s">
        <v>2669</v>
      </c>
    </row>
    <row r="2233" spans="2:7">
      <c r="B2233" s="478" t="s">
        <v>758</v>
      </c>
      <c r="C2233" s="478"/>
      <c r="D2233" s="454">
        <f>Quarts!AT222+Quarts!AS222+Quarts!AR222</f>
        <v>552.3804295700503</v>
      </c>
      <c r="E2233" s="454">
        <f>Quarts!AY222+Quarts!AX222+Quarts!AW222</f>
        <v>616.52564239668652</v>
      </c>
      <c r="F2233" s="449"/>
    </row>
    <row r="2234" spans="2:7">
      <c r="B2234" s="478" t="s">
        <v>360</v>
      </c>
      <c r="C2234" s="478"/>
      <c r="D2234" s="454">
        <f>Quarts!AT303+Quarts!AS303+Quarts!AR303</f>
        <v>162.83401647920286</v>
      </c>
      <c r="E2234" s="454">
        <f>Quarts!AY303+Quarts!AX303+Quarts!AW303</f>
        <v>153.96059792123387</v>
      </c>
    </row>
    <row r="2235" spans="2:7">
      <c r="B2235" s="478" t="s">
        <v>361</v>
      </c>
      <c r="C2235" s="478"/>
      <c r="D2235" s="449">
        <f>D2234/D2233</f>
        <v>0.29478599849373016</v>
      </c>
      <c r="E2235" s="449">
        <f>E2234/E2233</f>
        <v>0.24972294310862117</v>
      </c>
    </row>
    <row r="2236" spans="2:7">
      <c r="B2236" s="478" t="s">
        <v>407</v>
      </c>
      <c r="C2236" s="478"/>
      <c r="D2236" s="449"/>
      <c r="E2236" s="454">
        <v>-75</v>
      </c>
    </row>
    <row r="2237" spans="2:7">
      <c r="B2237" s="478"/>
      <c r="C2237" s="478"/>
    </row>
    <row r="2238" spans="2:7">
      <c r="B2238" s="478" t="s">
        <v>2667</v>
      </c>
      <c r="C2238" s="478"/>
      <c r="F2238">
        <v>2011</v>
      </c>
      <c r="G2238">
        <v>2012</v>
      </c>
    </row>
    <row r="2239" spans="2:7">
      <c r="B2239" t="str">
        <f>B2233</f>
        <v>Revenue</v>
      </c>
      <c r="D2239" s="454">
        <f>E2239/1.11</f>
        <v>855.85585585585579</v>
      </c>
      <c r="E2239">
        <v>950</v>
      </c>
      <c r="F2239" s="449"/>
    </row>
    <row r="2240" spans="2:7">
      <c r="B2240" t="str">
        <f>B2234</f>
        <v>EBITDA</v>
      </c>
      <c r="D2240" s="454">
        <f>E2240/1.12</f>
        <v>222.32142857142856</v>
      </c>
      <c r="E2240">
        <v>249</v>
      </c>
    </row>
    <row r="2241" spans="2:5">
      <c r="B2241" s="478" t="s">
        <v>361</v>
      </c>
      <c r="C2241" s="478"/>
      <c r="D2241" s="449">
        <f>D2240/D2239</f>
        <v>0.25976503759398495</v>
      </c>
      <c r="E2241" s="449">
        <f>E2240/E2239</f>
        <v>0.26210526315789473</v>
      </c>
    </row>
    <row r="2242" spans="2:5">
      <c r="B2242" s="478"/>
      <c r="C2242" s="478"/>
      <c r="D2242" s="449"/>
      <c r="E2242" s="449"/>
    </row>
    <row r="2243" spans="2:5">
      <c r="B2243" s="478"/>
      <c r="C2243" s="478"/>
      <c r="D2243" s="449"/>
      <c r="E2243">
        <f>Colombia!I34</f>
        <v>1810</v>
      </c>
    </row>
    <row r="2244" spans="2:5">
      <c r="B2244" s="478"/>
      <c r="C2244" s="478"/>
      <c r="D2244" s="568" t="s">
        <v>2731</v>
      </c>
      <c r="E2244" s="568" t="s">
        <v>2602</v>
      </c>
    </row>
    <row r="2245" spans="2:5">
      <c r="B2245" s="487"/>
      <c r="C2245" s="487"/>
      <c r="D2245" s="607">
        <v>41214</v>
      </c>
      <c r="E2245" s="607">
        <v>41214</v>
      </c>
    </row>
    <row r="2246" spans="2:5">
      <c r="B2246" s="478" t="s">
        <v>798</v>
      </c>
      <c r="C2246" s="478"/>
      <c r="D2246" s="464">
        <v>1687</v>
      </c>
      <c r="E2246" s="464">
        <f>D2246*1000/$E$2243</f>
        <v>932.04419889502765</v>
      </c>
    </row>
    <row r="2247" spans="2:5">
      <c r="B2247" s="478"/>
      <c r="C2247" s="478"/>
      <c r="D2247" s="464"/>
      <c r="E2247" s="449"/>
    </row>
    <row r="2248" spans="2:5">
      <c r="B2248" s="478" t="s">
        <v>360</v>
      </c>
      <c r="C2248" s="478"/>
      <c r="D2248" s="464">
        <f>D2251+D2249</f>
        <v>403</v>
      </c>
      <c r="E2248" s="464">
        <f>D2248*1000/$E$2243</f>
        <v>222.65193370165747</v>
      </c>
    </row>
    <row r="2249" spans="2:5">
      <c r="B2249" s="478" t="s">
        <v>1453</v>
      </c>
      <c r="C2249" s="478"/>
      <c r="D2249" s="464">
        <f>476+99</f>
        <v>575</v>
      </c>
      <c r="E2249" s="464">
        <f>D2249*1000/$E$2243</f>
        <v>317.67955801104972</v>
      </c>
    </row>
    <row r="2250" spans="2:5">
      <c r="B2250" s="478"/>
      <c r="C2250" s="478"/>
      <c r="D2250" s="464"/>
      <c r="E2250" s="449"/>
    </row>
    <row r="2251" spans="2:5">
      <c r="B2251" s="478" t="s">
        <v>2732</v>
      </c>
      <c r="C2251" s="478"/>
      <c r="D2251" s="464">
        <v>-172</v>
      </c>
      <c r="E2251" s="464">
        <f>D2251*1000/$E$2243</f>
        <v>-95.027624309392266</v>
      </c>
    </row>
    <row r="2252" spans="2:5">
      <c r="B2252" s="478"/>
      <c r="C2252" s="478"/>
      <c r="D2252" s="464"/>
      <c r="E2252" s="449"/>
    </row>
    <row r="2253" spans="2:5">
      <c r="B2253" s="478" t="s">
        <v>2733</v>
      </c>
      <c r="C2253" s="478"/>
      <c r="D2253" s="464">
        <f>39-67</f>
        <v>-28</v>
      </c>
      <c r="E2253" s="464">
        <f>D2253*1000/$E$2243</f>
        <v>-15.469613259668508</v>
      </c>
    </row>
    <row r="2254" spans="2:5">
      <c r="B2254" s="478" t="s">
        <v>1540</v>
      </c>
      <c r="C2254" s="478"/>
      <c r="D2254" s="464">
        <f>90-117-D2253</f>
        <v>1</v>
      </c>
      <c r="E2254" s="464">
        <f>D2254*1000/$E$2243</f>
        <v>0.5524861878453039</v>
      </c>
    </row>
    <row r="2255" spans="2:5">
      <c r="B2255" s="487" t="s">
        <v>395</v>
      </c>
      <c r="C2255" s="487"/>
      <c r="D2255" s="490">
        <v>17</v>
      </c>
      <c r="E2255" s="490">
        <f>D2255*1000/$E$2243</f>
        <v>9.3922651933701662</v>
      </c>
    </row>
    <row r="2256" spans="2:5">
      <c r="B2256" s="478" t="s">
        <v>407</v>
      </c>
      <c r="C2256" s="478"/>
      <c r="D2256" s="464">
        <f>D2251+D2253+D2254+D2255</f>
        <v>-182</v>
      </c>
      <c r="E2256" s="464">
        <f>D2256*1000/$E$2243</f>
        <v>-100.5524861878453</v>
      </c>
    </row>
    <row r="2257" spans="2:21">
      <c r="B2257" s="478"/>
      <c r="C2257" s="478"/>
      <c r="D2257" s="464"/>
      <c r="E2257" s="449"/>
    </row>
    <row r="2258" spans="2:21">
      <c r="B2258" s="478"/>
      <c r="C2258" s="478"/>
      <c r="D2258" s="449"/>
      <c r="E2258" s="449"/>
    </row>
    <row r="2259" spans="2:21">
      <c r="B2259" s="478"/>
      <c r="C2259" s="478"/>
      <c r="D2259" s="449"/>
      <c r="E2259" s="449"/>
    </row>
    <row r="2260" spans="2:21">
      <c r="B2260" s="451" t="s">
        <v>1831</v>
      </c>
      <c r="C2260" s="451"/>
      <c r="D2260" s="451">
        <f>Africa!H89</f>
        <v>2007</v>
      </c>
      <c r="E2260" s="451">
        <f>Africa!I89</f>
        <v>2008</v>
      </c>
      <c r="F2260" s="451">
        <f>Africa!J89</f>
        <v>2009</v>
      </c>
      <c r="G2260" s="451">
        <f>Africa!K89</f>
        <v>2010</v>
      </c>
      <c r="H2260" s="451">
        <f>Africa!L89</f>
        <v>2011</v>
      </c>
      <c r="I2260" s="451">
        <f>Africa!M89</f>
        <v>2012</v>
      </c>
    </row>
    <row r="2261" spans="2:21">
      <c r="B2261" s="478" t="s">
        <v>1312</v>
      </c>
      <c r="C2261" s="478"/>
      <c r="D2261" s="464">
        <f>Africa!H178</f>
        <v>343</v>
      </c>
      <c r="E2261" s="464">
        <f>Africa!I178</f>
        <v>601</v>
      </c>
      <c r="F2261" s="464">
        <f>Africa!J178</f>
        <v>398</v>
      </c>
      <c r="G2261" s="464">
        <f>Africa!K178</f>
        <v>236</v>
      </c>
      <c r="H2261" s="464">
        <f>Africa!L178</f>
        <v>291</v>
      </c>
      <c r="I2261" s="464">
        <f>Africa!M178</f>
        <v>306</v>
      </c>
    </row>
    <row r="2262" spans="2:21">
      <c r="B2262" s="478" t="s">
        <v>2750</v>
      </c>
      <c r="C2262" s="478"/>
      <c r="D2262" s="464">
        <f>AVERAGE(Africa!G55,Africa!H55)</f>
        <v>4475.8864999999996</v>
      </c>
      <c r="E2262" s="464">
        <f>AVERAGE(Africa!H55,Africa!I55)</f>
        <v>7308.5740000000005</v>
      </c>
      <c r="F2262" s="464">
        <f>AVERAGE(Africa!I55,Africa!J55)</f>
        <v>10588</v>
      </c>
      <c r="G2262" s="464">
        <f>AVERAGE(Africa!J55,Africa!K55)</f>
        <v>13546.166000000001</v>
      </c>
      <c r="H2262" s="464">
        <f>AVERAGE(Africa!K55,Africa!L55)</f>
        <v>16134.166000000001</v>
      </c>
      <c r="I2262" s="464">
        <f>AVERAGE(Africa!L55,Africa!M55)</f>
        <v>18109.5</v>
      </c>
    </row>
    <row r="2263" spans="2:21">
      <c r="B2263" s="478"/>
      <c r="C2263" s="478"/>
      <c r="D2263" s="464"/>
      <c r="E2263" s="464"/>
      <c r="F2263" s="464"/>
      <c r="G2263" s="464"/>
      <c r="H2263" s="464"/>
      <c r="I2263" s="464"/>
    </row>
    <row r="2264" spans="2:21">
      <c r="B2264" s="451" t="s">
        <v>291</v>
      </c>
      <c r="C2264" s="451"/>
      <c r="D2264" s="451">
        <f t="shared" ref="D2264:I2264" si="274">D2260</f>
        <v>2007</v>
      </c>
      <c r="E2264" s="451">
        <f t="shared" si="274"/>
        <v>2008</v>
      </c>
      <c r="F2264" s="451">
        <f t="shared" si="274"/>
        <v>2009</v>
      </c>
      <c r="G2264" s="451">
        <f t="shared" si="274"/>
        <v>2010</v>
      </c>
      <c r="H2264" s="451">
        <f t="shared" si="274"/>
        <v>2011</v>
      </c>
      <c r="I2264" s="451">
        <f t="shared" si="274"/>
        <v>2012</v>
      </c>
    </row>
    <row r="2265" spans="2:21">
      <c r="B2265" s="478" t="s">
        <v>2414</v>
      </c>
      <c r="C2265" s="478"/>
      <c r="D2265" s="570">
        <f t="shared" ref="D2265:I2265" si="275">D2261*1000/D2262</f>
        <v>76.632863679630844</v>
      </c>
      <c r="E2265" s="570">
        <f t="shared" si="275"/>
        <v>82.232183733789924</v>
      </c>
      <c r="F2265" s="570">
        <f t="shared" si="275"/>
        <v>37.589724216093693</v>
      </c>
      <c r="G2265" s="570">
        <f t="shared" si="275"/>
        <v>17.421903732760988</v>
      </c>
      <c r="H2265" s="570">
        <f t="shared" si="275"/>
        <v>18.036259202985761</v>
      </c>
      <c r="I2265" s="570">
        <f t="shared" si="275"/>
        <v>16.897208647395015</v>
      </c>
    </row>
    <row r="2266" spans="2:21">
      <c r="B2266" s="478" t="s">
        <v>2751</v>
      </c>
      <c r="C2266" s="478"/>
      <c r="D2266" s="570"/>
      <c r="E2266" s="570">
        <v>25.843145986543412</v>
      </c>
      <c r="F2266" s="570">
        <v>22.712781928449239</v>
      </c>
      <c r="G2266" s="570">
        <v>13.305704170798538</v>
      </c>
      <c r="H2266" s="570">
        <v>13.72862618888758</v>
      </c>
      <c r="I2266" s="570">
        <v>8.187645023254154</v>
      </c>
    </row>
    <row r="2267" spans="2:21">
      <c r="B2267" s="478" t="s">
        <v>1284</v>
      </c>
      <c r="C2267" s="478"/>
      <c r="D2267" s="570"/>
      <c r="E2267" s="570">
        <v>46.25069269605374</v>
      </c>
      <c r="F2267" s="570">
        <v>34.852371665652051</v>
      </c>
      <c r="G2267" s="570">
        <v>20.771039276259678</v>
      </c>
      <c r="H2267" s="570">
        <v>11.202438987942141</v>
      </c>
      <c r="I2267" s="570">
        <v>10.928504383721984</v>
      </c>
    </row>
    <row r="2268" spans="2:21">
      <c r="B2268" s="487" t="s">
        <v>657</v>
      </c>
      <c r="C2268" s="487"/>
      <c r="D2268" s="571"/>
      <c r="E2268" s="571"/>
      <c r="F2268" s="571"/>
      <c r="G2268" s="571"/>
      <c r="H2268" s="571">
        <v>31.1</v>
      </c>
      <c r="I2268" s="571"/>
    </row>
    <row r="2269" spans="2:21">
      <c r="J2269" s="599" t="s">
        <v>821</v>
      </c>
      <c r="K2269" s="599" t="s">
        <v>2690</v>
      </c>
    </row>
    <row r="2270" spans="2:21" ht="15.75" thickBot="1">
      <c r="B2270" s="451" t="s">
        <v>520</v>
      </c>
      <c r="C2270" s="451"/>
      <c r="D2270" s="451">
        <v>2012</v>
      </c>
      <c r="E2270" s="451">
        <v>2013</v>
      </c>
      <c r="F2270" s="451">
        <f>E2270+1</f>
        <v>2014</v>
      </c>
      <c r="G2270" s="451">
        <f>F2270+1</f>
        <v>2015</v>
      </c>
      <c r="H2270" s="451">
        <f>G2270+1</f>
        <v>2016</v>
      </c>
      <c r="I2270" s="451">
        <f>H2270+1</f>
        <v>2017</v>
      </c>
      <c r="J2270" s="451">
        <v>2017</v>
      </c>
      <c r="K2270" s="599" t="s">
        <v>821</v>
      </c>
      <c r="L2270" s="451" t="s">
        <v>2626</v>
      </c>
      <c r="M2270" s="455"/>
      <c r="N2270" s="455"/>
      <c r="O2270" s="455"/>
    </row>
    <row r="2271" spans="2:21" ht="15.75" thickBot="1">
      <c r="B2271" s="478" t="s">
        <v>2674</v>
      </c>
      <c r="C2271" s="478"/>
      <c r="D2271" s="464">
        <f>Div!L37-Div!L35</f>
        <v>5218.3963228092698</v>
      </c>
      <c r="E2271" s="464">
        <f>(1+E2272)*D2271</f>
        <v>5740.2359550901974</v>
      </c>
      <c r="F2271" s="464">
        <f>(1+F2272)*E2271</f>
        <v>6314.2595505992176</v>
      </c>
      <c r="G2271" s="464">
        <f>(1+G2272)*F2271</f>
        <v>6945.6855056591403</v>
      </c>
      <c r="H2271" s="464">
        <f>(1+H2272)*G2271</f>
        <v>7640.2540562250551</v>
      </c>
      <c r="I2271" s="464">
        <f>(1+I2272)*H2271</f>
        <v>8404.2794618475618</v>
      </c>
      <c r="J2271" s="464">
        <v>6298</v>
      </c>
      <c r="K2271" s="600">
        <f>I2271/J2271-1</f>
        <v>0.33443624354518287</v>
      </c>
      <c r="L2271" s="478" t="s">
        <v>2695</v>
      </c>
      <c r="S2271" s="449">
        <f>(I2271/D2271)^(1/5)-1</f>
        <v>0.10000000000000009</v>
      </c>
      <c r="T2271" s="478" t="s">
        <v>2691</v>
      </c>
      <c r="U2271" s="449">
        <f>(J2271/D2271)^(1/5)-1</f>
        <v>3.8324542421362295E-2</v>
      </c>
    </row>
    <row r="2272" spans="2:21">
      <c r="B2272" s="478" t="s">
        <v>2673</v>
      </c>
      <c r="C2272" s="478"/>
      <c r="D2272" s="449">
        <v>0.08</v>
      </c>
      <c r="E2272" s="595">
        <v>0.1</v>
      </c>
      <c r="F2272" s="595">
        <v>0.1</v>
      </c>
      <c r="G2272" s="595">
        <v>0.1</v>
      </c>
      <c r="H2272" s="595">
        <v>0.1</v>
      </c>
      <c r="I2272" s="595">
        <v>0.1</v>
      </c>
      <c r="J2272" s="449"/>
      <c r="L2272" s="478" t="s">
        <v>2672</v>
      </c>
    </row>
    <row r="2273" spans="1:12">
      <c r="B2273" s="487" t="s">
        <v>2671</v>
      </c>
      <c r="C2273" s="487"/>
      <c r="D2273" s="597"/>
      <c r="E2273" s="597">
        <f>F2273</f>
        <v>1250</v>
      </c>
      <c r="F2273" s="597">
        <f>G2273</f>
        <v>1250</v>
      </c>
      <c r="G2273" s="597">
        <f>H2273</f>
        <v>1250</v>
      </c>
      <c r="H2273" s="597">
        <f>I2273</f>
        <v>1250</v>
      </c>
      <c r="I2273" s="596">
        <v>1250</v>
      </c>
      <c r="J2273" s="455"/>
      <c r="K2273" s="455"/>
      <c r="L2273" s="478" t="s">
        <v>2676</v>
      </c>
    </row>
    <row r="2274" spans="1:12">
      <c r="B2274" s="478" t="s">
        <v>2670</v>
      </c>
      <c r="C2274" s="478"/>
      <c r="D2274" s="491">
        <f t="shared" ref="D2274:I2274" si="276">D2271+D2273</f>
        <v>5218.3963228092698</v>
      </c>
      <c r="E2274" s="491">
        <f t="shared" si="276"/>
        <v>6990.2359550901974</v>
      </c>
      <c r="F2274" s="491">
        <f t="shared" si="276"/>
        <v>7564.2595505992176</v>
      </c>
      <c r="G2274" s="491">
        <f t="shared" si="276"/>
        <v>8195.6855056591412</v>
      </c>
      <c r="H2274" s="491">
        <f t="shared" si="276"/>
        <v>8890.2540562250542</v>
      </c>
      <c r="I2274" s="491">
        <f t="shared" si="276"/>
        <v>9654.2794618475618</v>
      </c>
      <c r="J2274" s="486"/>
    </row>
    <row r="2275" spans="1:12">
      <c r="B2275" s="487" t="s">
        <v>2631</v>
      </c>
      <c r="C2275" s="487"/>
      <c r="D2275" s="490">
        <f>Div!L35</f>
        <v>13</v>
      </c>
      <c r="E2275" s="490">
        <f>Div!M35</f>
        <v>0</v>
      </c>
      <c r="F2275" s="490">
        <f>Div!N35</f>
        <v>0</v>
      </c>
      <c r="G2275" s="490">
        <f>Div!O35</f>
        <v>0</v>
      </c>
      <c r="H2275" s="490">
        <f>Div!P35</f>
        <v>0</v>
      </c>
      <c r="I2275" s="596">
        <v>1000</v>
      </c>
      <c r="J2275" s="455">
        <v>978</v>
      </c>
      <c r="K2275" s="455"/>
      <c r="L2275" s="478" t="s">
        <v>2700</v>
      </c>
    </row>
    <row r="2276" spans="1:12">
      <c r="B2276" s="478" t="s">
        <v>2548</v>
      </c>
      <c r="C2276" s="478"/>
      <c r="D2276" s="464">
        <f t="shared" ref="D2276:I2276" si="277">D2274+D2275</f>
        <v>5231.3963228092698</v>
      </c>
      <c r="E2276" s="464">
        <f t="shared" si="277"/>
        <v>6990.2359550901974</v>
      </c>
      <c r="F2276" s="464">
        <f t="shared" si="277"/>
        <v>7564.2595505992176</v>
      </c>
      <c r="G2276" s="464">
        <f t="shared" si="277"/>
        <v>8195.6855056591412</v>
      </c>
      <c r="H2276" s="464">
        <f t="shared" si="277"/>
        <v>8890.2540562250542</v>
      </c>
      <c r="I2276" s="464">
        <f t="shared" si="277"/>
        <v>10654.279461847562</v>
      </c>
    </row>
    <row r="2277" spans="1:12">
      <c r="B2277" s="478" t="s">
        <v>401</v>
      </c>
      <c r="C2277" s="478"/>
      <c r="D2277" s="464"/>
      <c r="E2277" s="449">
        <f>E2276/D2276-1</f>
        <v>0.33620844679885153</v>
      </c>
      <c r="F2277" s="449">
        <f>F2276/E2276-1</f>
        <v>8.2117914072846743E-2</v>
      </c>
      <c r="G2277" s="449">
        <f>G2276/F2276-1</f>
        <v>8.3474919235142275E-2</v>
      </c>
      <c r="H2277" s="449">
        <f>H2276/G2276-1</f>
        <v>8.4748072639721395E-2</v>
      </c>
      <c r="I2277" s="449">
        <f>I2276/H2276-1</f>
        <v>0.19842238415980007</v>
      </c>
    </row>
    <row r="2278" spans="1:12">
      <c r="B2278" s="450"/>
      <c r="C2278" s="450"/>
      <c r="D2278" s="464"/>
      <c r="E2278" s="464"/>
      <c r="F2278" s="464"/>
      <c r="G2278" s="464"/>
      <c r="H2278" s="464"/>
      <c r="I2278" s="464"/>
    </row>
    <row r="2279" spans="1:12">
      <c r="B2279" s="450" t="s">
        <v>360</v>
      </c>
      <c r="C2279" s="450"/>
      <c r="D2279" s="464"/>
      <c r="E2279" s="598"/>
      <c r="F2279" s="464"/>
      <c r="G2279" s="464"/>
      <c r="H2279" s="464"/>
      <c r="I2279" s="464"/>
    </row>
    <row r="2280" spans="1:12">
      <c r="B2280" s="478" t="s">
        <v>2678</v>
      </c>
      <c r="C2280" s="478"/>
      <c r="D2280" s="464">
        <f>Div!L53-Div!L51</f>
        <v>2088.0860000000002</v>
      </c>
      <c r="E2280" s="464">
        <f>Div!M53-Div!M51</f>
        <v>2239.3999999999996</v>
      </c>
      <c r="F2280" s="464">
        <f>Div!N53-Div!N51</f>
        <v>2355.4185681588733</v>
      </c>
      <c r="G2280" s="464">
        <f>Div!O53-Div!O51</f>
        <v>2442.5</v>
      </c>
      <c r="H2280" s="464">
        <f ca="1">Div!P53-Div!P51</f>
        <v>2334.7044926796475</v>
      </c>
      <c r="I2280" s="464">
        <f ca="1">Div!Q53-Div!Q51</f>
        <v>2354.0998861207117</v>
      </c>
      <c r="J2280" s="464">
        <v>2616</v>
      </c>
      <c r="K2280" s="449">
        <f ca="1">I2280/J2280-1</f>
        <v>-0.10011472243092057</v>
      </c>
    </row>
    <row r="2281" spans="1:12">
      <c r="B2281" s="478" t="s">
        <v>1434</v>
      </c>
      <c r="C2281" s="478"/>
      <c r="D2281" s="456">
        <f t="shared" ref="D2281:J2281" si="278">D2280/D2271</f>
        <v>0.40013940506456219</v>
      </c>
      <c r="E2281" s="456">
        <f t="shared" si="278"/>
        <v>0.390123335960466</v>
      </c>
      <c r="F2281" s="456">
        <f t="shared" si="278"/>
        <v>0.37303163566270353</v>
      </c>
      <c r="G2281" s="456">
        <f t="shared" si="278"/>
        <v>0.3516571543600589</v>
      </c>
      <c r="H2281" s="456">
        <f ca="1">H2280/H2271</f>
        <v>0.30557943171764018</v>
      </c>
      <c r="I2281" s="456">
        <f ca="1">I2280/I2271</f>
        <v>0.28010728305829041</v>
      </c>
      <c r="J2281" s="456">
        <f t="shared" si="278"/>
        <v>0.41536995871705301</v>
      </c>
    </row>
    <row r="2282" spans="1:12" ht="15.75" thickBot="1">
      <c r="B2282" s="455" t="s">
        <v>2655</v>
      </c>
      <c r="C2282" s="455"/>
      <c r="D2282" s="490">
        <f>-Master!O11</f>
        <v>0</v>
      </c>
      <c r="E2282" s="490">
        <f>-Master!P11</f>
        <v>0</v>
      </c>
      <c r="F2282" s="490">
        <f>-Master!Q11</f>
        <v>258</v>
      </c>
      <c r="G2282" s="490">
        <f>-Master!R11</f>
        <v>204</v>
      </c>
      <c r="H2282" s="490">
        <f>-Master!S11</f>
        <v>165</v>
      </c>
      <c r="I2282" s="490">
        <f>-Master!T11</f>
        <v>147.67599999999999</v>
      </c>
      <c r="J2282" s="455">
        <v>138</v>
      </c>
      <c r="K2282" s="449"/>
      <c r="L2282" s="478" t="s">
        <v>2675</v>
      </c>
    </row>
    <row r="2283" spans="1:12" ht="15.75" thickBot="1">
      <c r="B2283" s="478" t="s">
        <v>2680</v>
      </c>
      <c r="C2283" s="478"/>
      <c r="D2283" s="464">
        <f>D2280-D2282</f>
        <v>2088.0860000000002</v>
      </c>
      <c r="E2283" s="464">
        <f>E2280-E2282</f>
        <v>2239.3999999999996</v>
      </c>
      <c r="F2283" s="464">
        <f>F2287-F2285</f>
        <v>2309.9908427097262</v>
      </c>
      <c r="G2283" s="464">
        <f>G2287-G2285</f>
        <v>2468.4899269806992</v>
      </c>
      <c r="H2283" s="464">
        <f>H2287-H2285</f>
        <v>2674.0889196787689</v>
      </c>
      <c r="I2283" s="464">
        <f>I2287-I2285</f>
        <v>2941.4978116466464</v>
      </c>
      <c r="J2283" s="464">
        <f>J2280-J2282</f>
        <v>2478</v>
      </c>
      <c r="K2283" s="600">
        <f>I2283/J2283-1</f>
        <v>0.18704512172988141</v>
      </c>
      <c r="L2283" s="478"/>
    </row>
    <row r="2284" spans="1:12">
      <c r="B2284" t="s">
        <v>1434</v>
      </c>
      <c r="D2284" s="456">
        <f t="shared" ref="D2284:J2284" si="279">D2283/D2271</f>
        <v>0.40013940506456219</v>
      </c>
      <c r="E2284" s="456">
        <f t="shared" si="279"/>
        <v>0.390123335960466</v>
      </c>
      <c r="F2284" s="449">
        <f t="shared" si="279"/>
        <v>0.36583716969482355</v>
      </c>
      <c r="G2284" s="449">
        <f t="shared" si="279"/>
        <v>0.35539903512323534</v>
      </c>
      <c r="H2284" s="449">
        <f t="shared" si="279"/>
        <v>0.34999999999999992</v>
      </c>
      <c r="I2284" s="449">
        <f t="shared" si="279"/>
        <v>0.35</v>
      </c>
      <c r="J2284" s="449">
        <f t="shared" si="279"/>
        <v>0.39345824071133695</v>
      </c>
      <c r="L2284" s="478"/>
    </row>
    <row r="2285" spans="1:12">
      <c r="A2285" s="478" t="s">
        <v>1823</v>
      </c>
      <c r="B2285" s="478" t="s">
        <v>2671</v>
      </c>
      <c r="C2285" s="478"/>
      <c r="D2285" s="464">
        <v>0</v>
      </c>
      <c r="E2285" s="491">
        <f>E2286*E2273</f>
        <v>281.25</v>
      </c>
      <c r="F2285" s="491">
        <f>F2286*F2273</f>
        <v>337.5</v>
      </c>
      <c r="G2285" s="491">
        <f>G2286*G2273</f>
        <v>400</v>
      </c>
      <c r="H2285" s="491">
        <f>H2286*H2273</f>
        <v>437.5</v>
      </c>
      <c r="I2285" s="491">
        <f>I2286*I2273</f>
        <v>437.5</v>
      </c>
    </row>
    <row r="2286" spans="1:12">
      <c r="B2286" s="487" t="s">
        <v>361</v>
      </c>
      <c r="C2286" s="487"/>
      <c r="D2286" s="488"/>
      <c r="E2286" s="476">
        <v>0.22500000000000001</v>
      </c>
      <c r="F2286" s="476">
        <v>0.27</v>
      </c>
      <c r="G2286" s="476">
        <v>0.32</v>
      </c>
      <c r="H2286" s="476">
        <v>0.35</v>
      </c>
      <c r="I2286" s="476">
        <v>0.35</v>
      </c>
      <c r="J2286" s="455"/>
      <c r="K2286" s="455"/>
      <c r="L2286" s="478" t="s">
        <v>2689</v>
      </c>
    </row>
    <row r="2287" spans="1:12">
      <c r="B2287" s="478" t="s">
        <v>2679</v>
      </c>
      <c r="C2287" s="478"/>
      <c r="D2287" s="464">
        <f>D2283+D2285</f>
        <v>2088.0860000000002</v>
      </c>
      <c r="E2287" s="464">
        <f>E2283+E2285</f>
        <v>2520.6499999999996</v>
      </c>
      <c r="F2287" s="464">
        <f>F2288*F2274</f>
        <v>2647.4908427097262</v>
      </c>
      <c r="G2287" s="464">
        <f>G2288*G2274</f>
        <v>2868.4899269806992</v>
      </c>
      <c r="H2287" s="464">
        <f>H2288*H2274</f>
        <v>3111.5889196787689</v>
      </c>
      <c r="I2287" s="464">
        <f>I2288*I2274</f>
        <v>3378.9978116466464</v>
      </c>
    </row>
    <row r="2288" spans="1:12">
      <c r="B2288" s="478" t="s">
        <v>1434</v>
      </c>
      <c r="C2288" s="478"/>
      <c r="E2288" s="449"/>
      <c r="F2288" s="595">
        <v>0.35</v>
      </c>
      <c r="G2288" s="595">
        <v>0.35</v>
      </c>
      <c r="H2288" s="595">
        <v>0.35</v>
      </c>
      <c r="I2288" s="595">
        <v>0.35</v>
      </c>
      <c r="L2288" s="478" t="s">
        <v>2696</v>
      </c>
    </row>
    <row r="2289" spans="2:12">
      <c r="B2289" s="455" t="s">
        <v>2631</v>
      </c>
      <c r="C2289" s="455"/>
      <c r="D2289" s="490">
        <f>Div!L51</f>
        <v>-9</v>
      </c>
      <c r="E2289" s="490">
        <f>Div!M51</f>
        <v>0</v>
      </c>
      <c r="F2289" s="490">
        <f>Div!N51</f>
        <v>0</v>
      </c>
      <c r="G2289" s="490">
        <f>Div!O51</f>
        <v>0</v>
      </c>
      <c r="H2289" s="490">
        <f>Div!P51</f>
        <v>0</v>
      </c>
      <c r="I2289" s="490">
        <f>Div!Q51</f>
        <v>0</v>
      </c>
      <c r="J2289" s="455"/>
      <c r="K2289" s="455"/>
      <c r="L2289" s="478" t="s">
        <v>2699</v>
      </c>
    </row>
    <row r="2290" spans="2:12">
      <c r="B2290" t="s">
        <v>2595</v>
      </c>
      <c r="D2290" s="464">
        <f t="shared" ref="D2290:I2290" si="280">D2287+D2289</f>
        <v>2079.0860000000002</v>
      </c>
      <c r="E2290" s="464">
        <f t="shared" si="280"/>
        <v>2520.6499999999996</v>
      </c>
      <c r="F2290" s="464">
        <f t="shared" si="280"/>
        <v>2647.4908427097262</v>
      </c>
      <c r="G2290" s="464">
        <f t="shared" si="280"/>
        <v>2868.4899269806992</v>
      </c>
      <c r="H2290" s="464">
        <f t="shared" si="280"/>
        <v>3111.5889196787689</v>
      </c>
      <c r="I2290" s="464">
        <f t="shared" si="280"/>
        <v>3378.9978116466464</v>
      </c>
      <c r="L2290" s="478"/>
    </row>
    <row r="2291" spans="2:12">
      <c r="B2291" s="478" t="s">
        <v>1434</v>
      </c>
      <c r="C2291" s="478"/>
      <c r="D2291" s="456">
        <f t="shared" ref="D2291:I2291" si="281">D2290/D2276</f>
        <v>0.39742467817531496</v>
      </c>
      <c r="E2291" s="456">
        <f t="shared" si="281"/>
        <v>0.36059583913823334</v>
      </c>
      <c r="F2291" s="456">
        <f t="shared" si="281"/>
        <v>0.35</v>
      </c>
      <c r="G2291" s="456">
        <f t="shared" si="281"/>
        <v>0.35</v>
      </c>
      <c r="H2291" s="456">
        <f t="shared" si="281"/>
        <v>0.35</v>
      </c>
      <c r="I2291" s="456">
        <f t="shared" si="281"/>
        <v>0.31714935052592408</v>
      </c>
      <c r="L2291" s="478"/>
    </row>
    <row r="2292" spans="2:12">
      <c r="D2292" s="464"/>
      <c r="E2292" s="464"/>
      <c r="F2292" s="464"/>
      <c r="G2292" s="464"/>
      <c r="H2292" s="464"/>
      <c r="I2292" s="464"/>
    </row>
    <row r="2293" spans="2:12" ht="15.75" thickBot="1">
      <c r="B2293" s="450" t="s">
        <v>1545</v>
      </c>
      <c r="C2293" s="450"/>
      <c r="D2293" s="464"/>
      <c r="E2293" s="464"/>
      <c r="F2293" s="464"/>
      <c r="G2293" s="464"/>
      <c r="H2293" s="464"/>
      <c r="I2293" s="464"/>
    </row>
    <row r="2294" spans="2:12" ht="15.75" thickBot="1">
      <c r="B2294" s="478" t="s">
        <v>2684</v>
      </c>
      <c r="C2294" s="478"/>
      <c r="D2294" s="464">
        <f>Div!L83</f>
        <v>922</v>
      </c>
      <c r="E2294" s="464">
        <f>Div!M83</f>
        <v>1083</v>
      </c>
      <c r="F2294" s="464">
        <f>Div!N83</f>
        <v>1293</v>
      </c>
      <c r="G2294" s="464">
        <f ca="1">Div!O83</f>
        <v>1286</v>
      </c>
      <c r="H2294" s="464">
        <f ca="1">Div!P83</f>
        <v>1082.1195656627342</v>
      </c>
      <c r="I2294" s="464">
        <f ca="1">Div!Q83</f>
        <v>1043.7486197549406</v>
      </c>
      <c r="J2294">
        <v>840</v>
      </c>
      <c r="K2294" s="600">
        <f ca="1">I2294/J2294-1</f>
        <v>0.24255788066064365</v>
      </c>
    </row>
    <row r="2295" spans="2:12">
      <c r="B2295" s="478" t="s">
        <v>1431</v>
      </c>
      <c r="C2295" s="478"/>
      <c r="D2295" s="449">
        <f t="shared" ref="D2295:J2295" si="282">D2294/D2271</f>
        <v>0.17668263254939034</v>
      </c>
      <c r="E2295" s="538">
        <f t="shared" si="282"/>
        <v>0.18866820257443279</v>
      </c>
      <c r="F2295" s="449">
        <f t="shared" si="282"/>
        <v>0.20477460415406831</v>
      </c>
      <c r="G2295" s="449">
        <f ca="1">G2294/G2271</f>
        <v>0.1851509111594824</v>
      </c>
      <c r="H2295" s="449">
        <f ca="1">H2294/H2271</f>
        <v>0.14163397678916906</v>
      </c>
      <c r="I2295" s="449">
        <f ca="1">I2294/I2271</f>
        <v>0.12419251697818806</v>
      </c>
      <c r="J2295" s="449">
        <f t="shared" si="282"/>
        <v>0.13337567481740234</v>
      </c>
    </row>
    <row r="2296" spans="2:12">
      <c r="B2296" s="478" t="s">
        <v>2682</v>
      </c>
      <c r="C2296" s="478"/>
      <c r="D2296" s="464"/>
      <c r="E2296" s="454">
        <f>E2297*E2273</f>
        <v>312.5</v>
      </c>
      <c r="F2296" s="454">
        <f>F2297*F2273</f>
        <v>300</v>
      </c>
      <c r="G2296" s="454">
        <f>G2297*G2273</f>
        <v>287.5</v>
      </c>
      <c r="H2296" s="454">
        <f>H2297*H2273</f>
        <v>262.5</v>
      </c>
      <c r="I2296" s="454">
        <f>I2297*I2273</f>
        <v>250</v>
      </c>
      <c r="L2296" s="478" t="s">
        <v>2701</v>
      </c>
    </row>
    <row r="2297" spans="2:12">
      <c r="B2297" s="487" t="s">
        <v>2683</v>
      </c>
      <c r="C2297" s="487"/>
      <c r="D2297" s="490"/>
      <c r="E2297" s="476">
        <v>0.25</v>
      </c>
      <c r="F2297" s="476">
        <v>0.24</v>
      </c>
      <c r="G2297" s="476">
        <v>0.23</v>
      </c>
      <c r="H2297" s="476">
        <v>0.21</v>
      </c>
      <c r="I2297" s="476">
        <v>0.2</v>
      </c>
      <c r="J2297" s="455"/>
      <c r="K2297" s="455"/>
    </row>
    <row r="2298" spans="2:12">
      <c r="B2298" s="478" t="s">
        <v>2681</v>
      </c>
      <c r="C2298" s="478"/>
      <c r="E2298" s="464">
        <f>E2294+E2296</f>
        <v>1395.5</v>
      </c>
      <c r="F2298" s="464">
        <f>F2299*F2274</f>
        <v>1361.5667191078592</v>
      </c>
      <c r="G2298" s="464">
        <f>G2299*G2274</f>
        <v>1393.2665359620541</v>
      </c>
      <c r="H2298" s="464">
        <f>0.15*H2274</f>
        <v>1333.538108433758</v>
      </c>
      <c r="I2298" s="464">
        <f>0.15*I2274</f>
        <v>1448.1419192771343</v>
      </c>
    </row>
    <row r="2299" spans="2:12">
      <c r="B2299" s="478" t="s">
        <v>1431</v>
      </c>
      <c r="C2299" s="478"/>
      <c r="E2299" s="449">
        <f>E2298/E2274</f>
        <v>0.19963560729074037</v>
      </c>
      <c r="F2299" s="449">
        <v>0.18</v>
      </c>
      <c r="G2299" s="449">
        <v>0.17</v>
      </c>
      <c r="H2299" s="538">
        <v>0.15</v>
      </c>
      <c r="I2299" s="538">
        <v>0.15</v>
      </c>
      <c r="L2299" s="478" t="s">
        <v>2677</v>
      </c>
    </row>
    <row r="2300" spans="2:12">
      <c r="B2300" s="487" t="s">
        <v>2631</v>
      </c>
      <c r="C2300" s="487"/>
      <c r="D2300" s="455"/>
      <c r="E2300" s="490" t="e">
        <f>#REF!</f>
        <v>#REF!</v>
      </c>
      <c r="F2300" s="490" t="e">
        <f>#REF!</f>
        <v>#REF!</v>
      </c>
      <c r="G2300" s="490" t="e">
        <f>#REF!</f>
        <v>#REF!</v>
      </c>
      <c r="H2300" s="490" t="e">
        <f>#REF!</f>
        <v>#REF!</v>
      </c>
      <c r="I2300" s="490" t="e">
        <f>#REF!</f>
        <v>#REF!</v>
      </c>
      <c r="J2300" s="455"/>
      <c r="K2300" s="455"/>
      <c r="L2300" s="478" t="s">
        <v>2686</v>
      </c>
    </row>
    <row r="2301" spans="2:12">
      <c r="B2301" s="478" t="s">
        <v>2654</v>
      </c>
      <c r="C2301" s="478"/>
      <c r="E2301" s="464" t="e">
        <f>E2298+E2300</f>
        <v>#REF!</v>
      </c>
      <c r="F2301" s="464" t="e">
        <f>F2298+F2300</f>
        <v>#REF!</v>
      </c>
      <c r="G2301" s="464" t="e">
        <f>G2298+G2300</f>
        <v>#REF!</v>
      </c>
      <c r="H2301" s="464" t="e">
        <f>H2298+H2300</f>
        <v>#REF!</v>
      </c>
      <c r="I2301" s="464" t="e">
        <f>I2298+I2300</f>
        <v>#REF!</v>
      </c>
      <c r="L2301" s="478"/>
    </row>
    <row r="2302" spans="2:12">
      <c r="B2302" s="478"/>
      <c r="C2302" s="478"/>
      <c r="E2302" s="464"/>
      <c r="F2302" s="464"/>
      <c r="G2302" s="464"/>
      <c r="H2302" s="464"/>
      <c r="I2302" s="464"/>
      <c r="L2302" s="478"/>
    </row>
    <row r="2303" spans="2:12" ht="15.75" thickBot="1">
      <c r="B2303" s="450" t="s">
        <v>1552</v>
      </c>
      <c r="C2303" s="450"/>
      <c r="E2303" s="464"/>
      <c r="F2303" s="464"/>
      <c r="G2303" s="464"/>
      <c r="H2303" s="464"/>
      <c r="I2303" s="464"/>
      <c r="L2303" s="478"/>
    </row>
    <row r="2304" spans="2:12" ht="15.75" thickBot="1">
      <c r="B2304" s="478" t="s">
        <v>2685</v>
      </c>
      <c r="C2304" s="478"/>
      <c r="D2304" s="464">
        <f t="shared" ref="D2304:J2304" si="283">D2283-D2294</f>
        <v>1166.0860000000002</v>
      </c>
      <c r="E2304" s="464">
        <f t="shared" si="283"/>
        <v>1156.3999999999996</v>
      </c>
      <c r="F2304" s="464">
        <f t="shared" si="283"/>
        <v>1016.9908427097262</v>
      </c>
      <c r="G2304" s="464">
        <f ca="1">G2283-G2294</f>
        <v>1182.4899269806992</v>
      </c>
      <c r="H2304" s="464">
        <f ca="1">H2283-H2294</f>
        <v>1591.9693540160347</v>
      </c>
      <c r="I2304" s="464">
        <f ca="1">I2283-I2294</f>
        <v>1897.7491918917058</v>
      </c>
      <c r="J2304" s="464">
        <f t="shared" si="283"/>
        <v>1638</v>
      </c>
      <c r="K2304" s="600">
        <f ca="1">I2304/J2304-1</f>
        <v>0.15857704022692665</v>
      </c>
    </row>
    <row r="2305" spans="2:12">
      <c r="B2305" s="478" t="s">
        <v>2687</v>
      </c>
      <c r="C2305" s="478"/>
      <c r="D2305" s="602">
        <f>-(D2306-D2304)</f>
        <v>413.08600000000024</v>
      </c>
      <c r="I2305" s="464">
        <f ca="1">-(I2306-I2304)</f>
        <v>697.74919189170578</v>
      </c>
    </row>
    <row r="2306" spans="2:12">
      <c r="B2306" s="478" t="s">
        <v>1936</v>
      </c>
      <c r="C2306" s="478"/>
      <c r="D2306" s="464">
        <v>753</v>
      </c>
      <c r="I2306" s="489">
        <v>1200</v>
      </c>
      <c r="L2306" s="478" t="s">
        <v>2688</v>
      </c>
    </row>
    <row r="2307" spans="2:12">
      <c r="B2307" s="487" t="s">
        <v>1434</v>
      </c>
      <c r="C2307" s="487"/>
      <c r="D2307" s="455"/>
      <c r="E2307" s="455"/>
      <c r="F2307" s="455"/>
      <c r="G2307" s="455"/>
      <c r="H2307" s="455"/>
      <c r="I2307" s="476">
        <f>I2306/I2274</f>
        <v>0.12429720982723171</v>
      </c>
      <c r="J2307" s="455"/>
      <c r="K2307" s="455"/>
    </row>
    <row r="2309" spans="2:12">
      <c r="B2309" s="451" t="s">
        <v>2720</v>
      </c>
      <c r="C2309" s="451"/>
      <c r="D2309" s="451">
        <f t="shared" ref="D2309:I2309" si="284">D2270</f>
        <v>2012</v>
      </c>
      <c r="E2309" s="451">
        <f t="shared" si="284"/>
        <v>2013</v>
      </c>
      <c r="F2309" s="451">
        <f t="shared" si="284"/>
        <v>2014</v>
      </c>
      <c r="G2309" s="451">
        <f t="shared" si="284"/>
        <v>2015</v>
      </c>
      <c r="H2309" s="451">
        <f t="shared" si="284"/>
        <v>2016</v>
      </c>
      <c r="I2309" s="451">
        <f t="shared" si="284"/>
        <v>2017</v>
      </c>
      <c r="J2309" s="451">
        <v>2018</v>
      </c>
    </row>
    <row r="2310" spans="2:12">
      <c r="B2310" s="478" t="s">
        <v>2589</v>
      </c>
      <c r="C2310" s="478"/>
      <c r="E2310" s="464">
        <v>5058.777291862144</v>
      </c>
      <c r="F2310" s="464">
        <v>5397.6164369330636</v>
      </c>
      <c r="G2310" s="464">
        <v>5709.3579759353015</v>
      </c>
      <c r="H2310" s="464">
        <v>6006.6495625852704</v>
      </c>
      <c r="I2310" s="464">
        <v>6298.1307638228718</v>
      </c>
      <c r="J2310" s="464">
        <v>6596</v>
      </c>
    </row>
    <row r="2311" spans="2:12">
      <c r="B2311" s="478" t="s">
        <v>2716</v>
      </c>
      <c r="C2311" s="478"/>
      <c r="E2311" s="449">
        <f>E2310/E$2271-1</f>
        <v>-0.11871614138505315</v>
      </c>
      <c r="F2311" s="449">
        <f>F2310/F$2271-1</f>
        <v>-0.14517032540722297</v>
      </c>
      <c r="G2311" s="449">
        <f>G2310/G$2271-1</f>
        <v>-0.17799935351471285</v>
      </c>
      <c r="H2311" s="449">
        <f>H2310/H$2271-1</f>
        <v>-0.21381546760330195</v>
      </c>
      <c r="I2311" s="449">
        <f>I2310/I$2271-1</f>
        <v>-0.25060431504995229</v>
      </c>
    </row>
    <row r="2312" spans="2:12">
      <c r="B2312" s="478" t="s">
        <v>2715</v>
      </c>
      <c r="C2312" s="478"/>
      <c r="E2312" s="464">
        <v>1986.8114570345999</v>
      </c>
      <c r="F2312" s="464">
        <v>2126.6103399088179</v>
      </c>
      <c r="G2312" s="464">
        <v>2253.0200371273099</v>
      </c>
      <c r="H2312" s="464">
        <v>2373.8244538502449</v>
      </c>
      <c r="I2312" s="464">
        <v>2477.7419050068652</v>
      </c>
      <c r="J2312" s="464">
        <v>2612</v>
      </c>
    </row>
    <row r="2313" spans="2:12">
      <c r="B2313" s="478" t="s">
        <v>1434</v>
      </c>
      <c r="C2313" s="478"/>
      <c r="E2313" s="456">
        <f>E2312/E2310</f>
        <v>0.39274538933166819</v>
      </c>
      <c r="F2313" s="456">
        <f>F2312/F2310</f>
        <v>0.39399063730381739</v>
      </c>
      <c r="G2313" s="456">
        <f>G2312/G2310</f>
        <v>0.39461880768795593</v>
      </c>
      <c r="H2313" s="456">
        <f>H2312/H2310</f>
        <v>0.3951994250899078</v>
      </c>
      <c r="I2313" s="456">
        <f>I2312/I2310</f>
        <v>0.39340909198635193</v>
      </c>
    </row>
    <row r="2314" spans="2:12">
      <c r="B2314" s="478" t="s">
        <v>2716</v>
      </c>
      <c r="C2314" s="478"/>
      <c r="E2314" s="449">
        <f>E2312/E$2283-1</f>
        <v>-0.1127929547938733</v>
      </c>
      <c r="F2314" s="449">
        <f>F2312/F$2283-1</f>
        <v>-7.9385813748852119E-2</v>
      </c>
      <c r="G2314" s="449">
        <f>G2312/G$2283-1</f>
        <v>-8.7288138184520969E-2</v>
      </c>
      <c r="H2314" s="449">
        <f>H2312/H$2283-1</f>
        <v>-0.11228664223499119</v>
      </c>
      <c r="I2314" s="449">
        <f>I2312/I$2283-1</f>
        <v>-0.1576597829866041</v>
      </c>
    </row>
    <row r="2315" spans="2:12">
      <c r="B2315" s="478" t="s">
        <v>2713</v>
      </c>
      <c r="C2315" s="478"/>
      <c r="E2315" s="464">
        <v>918.43669610532095</v>
      </c>
      <c r="F2315" s="464">
        <v>853.13455900905205</v>
      </c>
      <c r="G2315" s="464">
        <v>844.46204916262627</v>
      </c>
      <c r="H2315" s="464">
        <v>800.45992127396323</v>
      </c>
      <c r="I2315" s="464">
        <v>839.74762013493876</v>
      </c>
      <c r="J2315" s="464">
        <v>878</v>
      </c>
    </row>
    <row r="2316" spans="2:12">
      <c r="B2316" s="478" t="s">
        <v>2714</v>
      </c>
      <c r="C2316" s="478"/>
      <c r="E2316" s="464">
        <f t="shared" ref="E2316:J2316" si="285">E2312-E2315</f>
        <v>1068.3747609292791</v>
      </c>
      <c r="F2316" s="464">
        <f t="shared" si="285"/>
        <v>1273.4757808997658</v>
      </c>
      <c r="G2316" s="464">
        <f t="shared" si="285"/>
        <v>1408.5579879646837</v>
      </c>
      <c r="H2316" s="464">
        <f t="shared" si="285"/>
        <v>1573.3645325762818</v>
      </c>
      <c r="I2316" s="464">
        <f t="shared" si="285"/>
        <v>1637.9942848719265</v>
      </c>
      <c r="J2316" s="464">
        <f t="shared" si="285"/>
        <v>1734</v>
      </c>
    </row>
    <row r="2317" spans="2:12">
      <c r="B2317" s="478" t="s">
        <v>2716</v>
      </c>
      <c r="C2317" s="478"/>
      <c r="E2317" s="449">
        <f>E2316/E$2304-1</f>
        <v>-7.6120061458596178E-2</v>
      </c>
      <c r="F2317" s="449">
        <f>F2316/F$2304-1</f>
        <v>0.25219985020381031</v>
      </c>
      <c r="G2317" s="449">
        <f ca="1">G2316/G$2304-1</f>
        <v>0.1911796928039915</v>
      </c>
      <c r="H2317" s="449">
        <f ca="1">H2316/H$2304-1</f>
        <v>-1.1686670596276705E-2</v>
      </c>
      <c r="I2317" s="449">
        <f ca="1">I2316/I$2304-1</f>
        <v>-0.136875256292878</v>
      </c>
    </row>
    <row r="2319" spans="2:12">
      <c r="B2319" s="450" t="s">
        <v>2717</v>
      </c>
      <c r="C2319" s="450"/>
    </row>
    <row r="2320" spans="2:12">
      <c r="B2320" t="str">
        <f>B2310</f>
        <v>Core revenue</v>
      </c>
      <c r="E2320" s="464">
        <f>Div!M37-Div!M35</f>
        <v>5553.2034311307607</v>
      </c>
      <c r="F2320" s="464">
        <f>Div!N37-Div!N35</f>
        <v>6386.3680559090717</v>
      </c>
      <c r="G2320" s="464">
        <f>Div!O37-Div!O35</f>
        <v>6728.8770101554837</v>
      </c>
      <c r="H2320" s="464">
        <f ca="1">Div!P37-Div!P35</f>
        <v>6200.0693455538021</v>
      </c>
      <c r="I2320" s="464">
        <f ca="1">Div!Q37-Div!Q35</f>
        <v>6355.3589027815187</v>
      </c>
      <c r="J2320" s="464">
        <f ca="1">Div!R37-Div!R35</f>
        <v>6348.251016326808</v>
      </c>
    </row>
    <row r="2321" spans="2:10">
      <c r="B2321" s="478" t="s">
        <v>2734</v>
      </c>
      <c r="C2321" s="478"/>
      <c r="E2321" s="449">
        <f>E2320/E$2271-1</f>
        <v>-3.258272402436424E-2</v>
      </c>
      <c r="F2321" s="449">
        <f>F2320/F$2271-1</f>
        <v>1.1419946350322396E-2</v>
      </c>
      <c r="G2321" s="449">
        <f>G2320/G$2271-1</f>
        <v>-3.121484485973447E-2</v>
      </c>
      <c r="H2321" s="449">
        <f ca="1">H2320/H$2271-1</f>
        <v>-0.18849958392389221</v>
      </c>
      <c r="I2321" s="449">
        <f ca="1">I2320/I$2271-1</f>
        <v>-0.24379491048190549</v>
      </c>
    </row>
    <row r="2322" spans="2:10">
      <c r="B2322" t="str">
        <f>B2312</f>
        <v>Core EBITDA, ex corp costs</v>
      </c>
      <c r="E2322" s="464">
        <f>Div!M70</f>
        <v>2239.3999999999996</v>
      </c>
      <c r="F2322" s="464">
        <f>Div!N70</f>
        <v>1968.4185681588733</v>
      </c>
      <c r="G2322" s="464">
        <f>Div!O70</f>
        <v>1924.4383249022164</v>
      </c>
      <c r="H2322" s="464">
        <f ca="1">Div!P70</f>
        <v>1870.8069761328745</v>
      </c>
      <c r="I2322" s="464">
        <f ca="1">Div!Q70</f>
        <v>1910.6010134179908</v>
      </c>
      <c r="J2322" s="464">
        <f ca="1">Div!R70</f>
        <v>1910.5973447368392</v>
      </c>
    </row>
    <row r="2323" spans="2:10">
      <c r="B2323" s="478" t="s">
        <v>1434</v>
      </c>
      <c r="C2323" s="478"/>
      <c r="E2323" s="456">
        <f>E2322/E2320</f>
        <v>0.4032627343428703</v>
      </c>
      <c r="F2323" s="456">
        <f>F2322/F2320</f>
        <v>0.30822191125323067</v>
      </c>
      <c r="G2323" s="456">
        <f>G2322/G2320</f>
        <v>0.28599695342889742</v>
      </c>
      <c r="H2323" s="456">
        <f ca="1">H2322/H2320</f>
        <v>0.30173968577859034</v>
      </c>
      <c r="I2323" s="456">
        <f ca="1">I2322/I2320</f>
        <v>0.30062834257586735</v>
      </c>
    </row>
    <row r="2324" spans="2:10">
      <c r="B2324" t="str">
        <f>B2314</f>
        <v>% difference</v>
      </c>
      <c r="E2324" s="449">
        <f>E2322/E$2283-1</f>
        <v>0</v>
      </c>
      <c r="F2324" s="449">
        <f>F2322/F$2283-1</f>
        <v>-0.14786737169493402</v>
      </c>
      <c r="G2324" s="449">
        <f>G2322/G$2283-1</f>
        <v>-0.22039855060050106</v>
      </c>
      <c r="H2324" s="449">
        <f ca="1">H2322/H$2283-1</f>
        <v>-0.30039462698285679</v>
      </c>
      <c r="I2324" s="449">
        <f ca="1">I2322/I$2283-1</f>
        <v>-0.35046662083068525</v>
      </c>
    </row>
    <row r="2325" spans="2:10">
      <c r="B2325" t="str">
        <f>B2315</f>
        <v>Core capex</v>
      </c>
      <c r="E2325" s="464">
        <f>Div!M83-Div!M82</f>
        <v>1083</v>
      </c>
      <c r="F2325" s="464">
        <f>Div!N83-Div!N82</f>
        <v>1293</v>
      </c>
      <c r="G2325" s="464">
        <f ca="1">Div!O83-Div!O82</f>
        <v>1286</v>
      </c>
      <c r="H2325" s="464">
        <f ca="1">Div!P83-Div!P82</f>
        <v>1082.1195656627342</v>
      </c>
      <c r="I2325" s="464">
        <f ca="1">Div!Q83-Div!Q82</f>
        <v>1043.7486197549406</v>
      </c>
      <c r="J2325" s="464">
        <f ca="1">Div!R83-Div!R82</f>
        <v>969.54378268352377</v>
      </c>
    </row>
    <row r="2326" spans="2:10">
      <c r="B2326" t="str">
        <f>B2316</f>
        <v>Core OpFCF</v>
      </c>
      <c r="E2326" s="464">
        <f t="shared" ref="E2326:F2326" si="286">E2322-E2325</f>
        <v>1156.3999999999996</v>
      </c>
      <c r="F2326" s="464">
        <f t="shared" si="286"/>
        <v>675.41856815887331</v>
      </c>
      <c r="G2326" s="464">
        <f ca="1">G2322-G2325</f>
        <v>638.43832490221644</v>
      </c>
      <c r="H2326" s="464">
        <f ca="1">H2322-H2325</f>
        <v>788.68741047014032</v>
      </c>
      <c r="I2326" s="464">
        <f ca="1">I2322-I2325</f>
        <v>866.85239366305018</v>
      </c>
      <c r="J2326" s="464">
        <f ca="1">J2322-J2325</f>
        <v>941.05356205331543</v>
      </c>
    </row>
    <row r="2327" spans="2:10">
      <c r="B2327" t="str">
        <f>B2317</f>
        <v>% difference</v>
      </c>
      <c r="E2327" s="449">
        <f t="shared" ref="E2327:F2327" si="287">E2326/E$2304-1</f>
        <v>0</v>
      </c>
      <c r="F2327" s="449">
        <f t="shared" si="287"/>
        <v>-0.33586563438540795</v>
      </c>
      <c r="G2327" s="449">
        <f ca="1">G2326/G$2304-1</f>
        <v>-0.4600898406531313</v>
      </c>
      <c r="H2327" s="449">
        <f ca="1">H2326/H$2304-1</f>
        <v>-0.50458379837492995</v>
      </c>
      <c r="I2327" s="449">
        <f ca="1">I2326/I$2304-1</f>
        <v>-0.54322078103537041</v>
      </c>
      <c r="J2327" s="449">
        <f ca="1">J2326/J$2304-1</f>
        <v>-0.42548622585267681</v>
      </c>
    </row>
    <row r="2329" spans="2:10">
      <c r="B2329" s="451" t="s">
        <v>2718</v>
      </c>
      <c r="C2329" s="451"/>
      <c r="D2329" s="451"/>
      <c r="E2329" s="451">
        <f t="shared" ref="E2329:J2329" si="288">E2309</f>
        <v>2013</v>
      </c>
      <c r="F2329" s="451">
        <f t="shared" si="288"/>
        <v>2014</v>
      </c>
      <c r="G2329" s="451">
        <f t="shared" si="288"/>
        <v>2015</v>
      </c>
      <c r="H2329" s="451">
        <f t="shared" si="288"/>
        <v>2016</v>
      </c>
      <c r="I2329" s="451">
        <f t="shared" si="288"/>
        <v>2017</v>
      </c>
      <c r="J2329" s="451">
        <f t="shared" si="288"/>
        <v>2018</v>
      </c>
    </row>
    <row r="2330" spans="2:10">
      <c r="B2330" s="478" t="s">
        <v>758</v>
      </c>
      <c r="C2330" s="478"/>
      <c r="E2330" s="456">
        <f t="shared" ref="E2330:G2330" si="289">E2320/E2310-1</f>
        <v>9.7736292930701074E-2</v>
      </c>
      <c r="F2330" s="456">
        <f t="shared" si="289"/>
        <v>0.18318300874632332</v>
      </c>
      <c r="G2330" s="456">
        <f t="shared" si="289"/>
        <v>0.1785698214260536</v>
      </c>
      <c r="H2330" s="456">
        <f ca="1">H2320/H2310-1</f>
        <v>3.2200943463277953E-2</v>
      </c>
      <c r="I2330" s="456">
        <f ca="1">I2320/I2310-1</f>
        <v>9.0865275912292987E-3</v>
      </c>
      <c r="J2330" s="456">
        <f ca="1">J2320/J2310-1</f>
        <v>-3.7560488731533059E-2</v>
      </c>
    </row>
    <row r="2331" spans="2:10">
      <c r="B2331" s="478" t="s">
        <v>360</v>
      </c>
      <c r="C2331" s="478"/>
      <c r="E2331" s="456">
        <f t="shared" ref="E2331:G2331" si="290">E2322/E2312-1</f>
        <v>0.12713261848328528</v>
      </c>
      <c r="F2331" s="456">
        <f t="shared" si="290"/>
        <v>-7.4386815854909916E-2</v>
      </c>
      <c r="G2331" s="456">
        <f t="shared" si="290"/>
        <v>-0.14584056369247755</v>
      </c>
      <c r="H2331" s="456">
        <f ca="1">H2322/H2312-1</f>
        <v>-0.21190171703787819</v>
      </c>
      <c r="I2331" s="456">
        <f ca="1">I2322/I2312-1</f>
        <v>-0.22889425667896712</v>
      </c>
      <c r="J2331" s="456">
        <f ca="1">J2322/J2312-1</f>
        <v>-0.26853087873781045</v>
      </c>
    </row>
    <row r="2332" spans="2:10">
      <c r="B2332" s="478" t="s">
        <v>1545</v>
      </c>
      <c r="C2332" s="478"/>
      <c r="E2332" s="456">
        <f t="shared" ref="E2332:F2333" si="291">E2325/E2315-1</f>
        <v>0.17917762279373028</v>
      </c>
      <c r="F2332" s="456">
        <f t="shared" si="291"/>
        <v>0.51558741390322793</v>
      </c>
      <c r="G2332" s="456">
        <f t="shared" ref="G2332:J2333" ca="1" si="292">G2325/G2315-1</f>
        <v>0.52286298866267056</v>
      </c>
      <c r="H2332" s="456">
        <f t="shared" ca="1" si="292"/>
        <v>0.35187226356130186</v>
      </c>
      <c r="I2332" s="456">
        <f t="shared" ca="1" si="292"/>
        <v>0.24293132213607338</v>
      </c>
      <c r="J2332" s="456">
        <f t="shared" ca="1" si="292"/>
        <v>0.10426398938897918</v>
      </c>
    </row>
    <row r="2333" spans="2:10">
      <c r="B2333" s="478" t="s">
        <v>1552</v>
      </c>
      <c r="C2333" s="478"/>
      <c r="E2333" s="456">
        <f t="shared" si="291"/>
        <v>8.2391724598731342E-2</v>
      </c>
      <c r="F2333" s="456">
        <f t="shared" si="291"/>
        <v>-0.4696259023617545</v>
      </c>
      <c r="G2333" s="456">
        <f t="shared" ca="1" si="292"/>
        <v>-0.54674331454061242</v>
      </c>
      <c r="H2333" s="456">
        <f t="shared" ca="1" si="292"/>
        <v>-0.49872556922411604</v>
      </c>
      <c r="I2333" s="456">
        <f t="shared" ca="1" si="292"/>
        <v>-0.4707842379738042</v>
      </c>
      <c r="J2333" s="456">
        <f t="shared" ca="1" si="292"/>
        <v>-0.45729321680892998</v>
      </c>
    </row>
    <row r="2335" spans="2:10">
      <c r="B2335" s="450"/>
      <c r="C2335" s="450"/>
      <c r="D2335" s="618"/>
      <c r="E2335" s="599" t="s">
        <v>821</v>
      </c>
      <c r="F2335" s="599"/>
      <c r="G2335" s="450" t="s">
        <v>1643</v>
      </c>
      <c r="H2335" s="450"/>
      <c r="I2335" s="450" t="s">
        <v>2777</v>
      </c>
      <c r="J2335" s="450"/>
    </row>
    <row r="2336" spans="2:10">
      <c r="B2336" s="616" t="s">
        <v>2602</v>
      </c>
      <c r="C2336" s="616"/>
      <c r="D2336" s="619" t="s">
        <v>2765</v>
      </c>
      <c r="E2336" s="560">
        <v>2013</v>
      </c>
      <c r="F2336" s="560">
        <v>2014</v>
      </c>
      <c r="G2336" s="560">
        <v>2013</v>
      </c>
      <c r="H2336" s="560">
        <v>2014</v>
      </c>
      <c r="I2336" s="451">
        <f>G2336</f>
        <v>2013</v>
      </c>
      <c r="J2336" s="451">
        <f>H2336</f>
        <v>2014</v>
      </c>
    </row>
    <row r="2337" spans="2:10">
      <c r="B2337" s="567" t="s">
        <v>2589</v>
      </c>
      <c r="C2337" s="567"/>
      <c r="D2337" s="620">
        <f>D2339-D2338</f>
        <v>5218.3963228092698</v>
      </c>
      <c r="E2337" s="593">
        <f>E2339-E2338</f>
        <v>5553.2034311307607</v>
      </c>
      <c r="F2337" s="593">
        <f>F2339-F2338</f>
        <v>6386.3680559090717</v>
      </c>
      <c r="G2337" s="593">
        <f>G2339-G2338</f>
        <v>-120</v>
      </c>
      <c r="H2337" s="593">
        <f>H2339-H2338</f>
        <v>-289</v>
      </c>
      <c r="I2337" s="456">
        <f t="shared" ref="I2337:J2339" si="293">E2337/G2337-1</f>
        <v>-47.276695259423008</v>
      </c>
      <c r="J2337" s="456">
        <f t="shared" si="293"/>
        <v>-23.09815936300717</v>
      </c>
    </row>
    <row r="2338" spans="2:10">
      <c r="B2338" s="615" t="s">
        <v>2758</v>
      </c>
      <c r="C2338" s="615"/>
      <c r="D2338" s="621">
        <f>Div!L35</f>
        <v>13</v>
      </c>
      <c r="E2338" s="594">
        <f>Div!M35</f>
        <v>0</v>
      </c>
      <c r="F2338" s="594">
        <f>Div!N35</f>
        <v>0</v>
      </c>
      <c r="G2338" s="594">
        <v>120</v>
      </c>
      <c r="H2338" s="594">
        <v>289</v>
      </c>
      <c r="I2338" s="561">
        <f t="shared" si="293"/>
        <v>-1</v>
      </c>
      <c r="J2338" s="561">
        <f t="shared" si="293"/>
        <v>-1</v>
      </c>
    </row>
    <row r="2339" spans="2:10" ht="15.75" thickBot="1">
      <c r="B2339" s="478" t="s">
        <v>2766</v>
      </c>
      <c r="C2339" s="478"/>
      <c r="D2339" s="622">
        <f>Div!L37</f>
        <v>5231.3963228092698</v>
      </c>
      <c r="E2339" s="464">
        <f>Div!M37</f>
        <v>5553.2034311307607</v>
      </c>
      <c r="F2339" s="464">
        <f>Div!N37</f>
        <v>6386.3680559090717</v>
      </c>
      <c r="G2339" s="464">
        <f>Master!P9</f>
        <v>0</v>
      </c>
      <c r="H2339" s="464">
        <f>Master!Q9</f>
        <v>0</v>
      </c>
      <c r="I2339" s="456" t="e">
        <f t="shared" si="293"/>
        <v>#DIV/0!</v>
      </c>
      <c r="J2339" s="456" t="e">
        <f t="shared" si="293"/>
        <v>#DIV/0!</v>
      </c>
    </row>
    <row r="2340" spans="2:10" ht="15.75" thickBot="1">
      <c r="B2340" s="478" t="s">
        <v>2764</v>
      </c>
      <c r="C2340" s="478"/>
      <c r="D2340" s="623">
        <f>Div!L42</f>
        <v>0</v>
      </c>
      <c r="E2340" s="617">
        <f>Div!M42</f>
        <v>0</v>
      </c>
      <c r="F2340" s="456">
        <f>Div!N42</f>
        <v>0</v>
      </c>
      <c r="I2340" s="456"/>
      <c r="J2340" s="456"/>
    </row>
    <row r="2341" spans="2:10">
      <c r="B2341" s="478"/>
      <c r="C2341" s="478"/>
      <c r="D2341" s="618"/>
      <c r="E2341" s="464"/>
      <c r="I2341" s="456"/>
      <c r="J2341" s="456"/>
    </row>
    <row r="2342" spans="2:10">
      <c r="B2342" s="478" t="s">
        <v>360</v>
      </c>
      <c r="C2342" s="478"/>
      <c r="D2342" s="622" t="e">
        <f>Master!#REF!</f>
        <v>#REF!</v>
      </c>
      <c r="E2342" s="464" t="e">
        <f>Master!#REF!</f>
        <v>#REF!</v>
      </c>
      <c r="F2342" s="464" t="e">
        <f>Master!#REF!</f>
        <v>#REF!</v>
      </c>
      <c r="G2342" s="464" t="e">
        <f>Master!#REF!</f>
        <v>#REF!</v>
      </c>
      <c r="H2342" s="464" t="e">
        <f>Master!#REF!</f>
        <v>#REF!</v>
      </c>
      <c r="I2342" s="456" t="e">
        <f>E2342/G2342-1</f>
        <v>#REF!</v>
      </c>
      <c r="J2342" s="456" t="e">
        <f>F2342/H2342-1</f>
        <v>#REF!</v>
      </c>
    </row>
    <row r="2343" spans="2:10">
      <c r="B2343" s="478" t="s">
        <v>1434</v>
      </c>
      <c r="C2343" s="478"/>
      <c r="D2343" s="623" t="e">
        <f>D2342/D2339</f>
        <v>#REF!</v>
      </c>
      <c r="E2343" s="456" t="e">
        <f>E2342/E2339</f>
        <v>#REF!</v>
      </c>
      <c r="F2343" s="456" t="e">
        <f>F2342/F2339</f>
        <v>#REF!</v>
      </c>
      <c r="G2343" s="456" t="e">
        <f>G2342/G2339</f>
        <v>#REF!</v>
      </c>
      <c r="H2343" s="456" t="e">
        <f>H2342/H2339</f>
        <v>#REF!</v>
      </c>
      <c r="I2343" s="456"/>
      <c r="J2343" s="456"/>
    </row>
    <row r="2344" spans="2:10">
      <c r="B2344" s="478" t="s">
        <v>2762</v>
      </c>
      <c r="C2344" s="478"/>
      <c r="D2344" s="622">
        <f>Master!O14</f>
        <v>0</v>
      </c>
      <c r="E2344" s="464">
        <f>Master!P14</f>
        <v>0</v>
      </c>
      <c r="F2344" s="464">
        <f>Master!Q14</f>
        <v>2109.5211117787239</v>
      </c>
      <c r="G2344" s="464">
        <v>1790</v>
      </c>
      <c r="H2344" s="464">
        <v>1931</v>
      </c>
      <c r="I2344" s="456">
        <f>E2344/G2344-1</f>
        <v>-1</v>
      </c>
      <c r="J2344" s="456">
        <f>F2344/H2344-1</f>
        <v>9.2450083779763714E-2</v>
      </c>
    </row>
    <row r="2345" spans="2:10">
      <c r="B2345" s="478" t="s">
        <v>1434</v>
      </c>
      <c r="C2345" s="478"/>
      <c r="D2345" s="623">
        <f>D2344/D2339</f>
        <v>0</v>
      </c>
      <c r="E2345" s="456">
        <f>E2344/E2339</f>
        <v>0</v>
      </c>
      <c r="F2345" s="456">
        <f>F2344/F2339</f>
        <v>0.3303162444304884</v>
      </c>
      <c r="G2345" s="456" t="e">
        <f>G2344/G2339</f>
        <v>#DIV/0!</v>
      </c>
      <c r="H2345" s="456" t="e">
        <f>H2344/H2339</f>
        <v>#DIV/0!</v>
      </c>
      <c r="I2345" s="456"/>
      <c r="J2345" s="456"/>
    </row>
    <row r="2346" spans="2:10">
      <c r="B2346" s="478"/>
      <c r="C2346" s="478"/>
      <c r="D2346" s="618"/>
      <c r="I2346" s="456"/>
      <c r="J2346" s="456"/>
    </row>
    <row r="2347" spans="2:10">
      <c r="B2347" s="478" t="s">
        <v>2763</v>
      </c>
      <c r="C2347" s="478"/>
      <c r="D2347" s="618"/>
      <c r="I2347" s="456"/>
      <c r="J2347" s="456"/>
    </row>
    <row r="2348" spans="2:10" ht="15.75" thickBot="1">
      <c r="B2348" s="478" t="str">
        <f>B2342</f>
        <v>EBITDA</v>
      </c>
      <c r="C2348" s="478"/>
      <c r="D2348" s="622">
        <f>Div!L53-Div!L51</f>
        <v>2088.0860000000002</v>
      </c>
      <c r="E2348" s="464">
        <f>Div!M53-Div!M51</f>
        <v>2239.3999999999996</v>
      </c>
      <c r="F2348" s="464">
        <f>Div!N53-Div!N51</f>
        <v>2355.4185681588733</v>
      </c>
      <c r="G2348" s="464" t="e">
        <f>G2342+180</f>
        <v>#REF!</v>
      </c>
      <c r="H2348" s="464" t="e">
        <f>H2342+121</f>
        <v>#REF!</v>
      </c>
      <c r="I2348" s="456" t="e">
        <f>E2348/G2348-1</f>
        <v>#REF!</v>
      </c>
      <c r="J2348" s="456" t="e">
        <f>F2348/H2348-1</f>
        <v>#REF!</v>
      </c>
    </row>
    <row r="2349" spans="2:10" ht="15.75" thickBot="1">
      <c r="B2349" s="478" t="s">
        <v>1434</v>
      </c>
      <c r="C2349" s="478"/>
      <c r="D2349" s="623">
        <f>D2348/D2337</f>
        <v>0.40013940506456219</v>
      </c>
      <c r="E2349" s="617">
        <f>E2348/E2337</f>
        <v>0.4032627343428703</v>
      </c>
      <c r="F2349" s="456">
        <f>F2348/F2337</f>
        <v>0.36881973408649554</v>
      </c>
      <c r="G2349" s="456" t="e">
        <f>G2348/G2337</f>
        <v>#REF!</v>
      </c>
      <c r="H2349" s="456" t="e">
        <f>H2348/H2337</f>
        <v>#REF!</v>
      </c>
      <c r="I2349" s="456"/>
      <c r="J2349" s="456"/>
    </row>
    <row r="2350" spans="2:10">
      <c r="B2350" s="478" t="str">
        <f>B2344</f>
        <v>EBITDA less corporate costs</v>
      </c>
      <c r="C2350" s="478"/>
      <c r="D2350" s="622">
        <f>D2348+Master!O11</f>
        <v>2088.0860000000002</v>
      </c>
      <c r="E2350" s="464">
        <f>E2348+Master!P11</f>
        <v>2239.3999999999996</v>
      </c>
      <c r="F2350" s="464">
        <f>F2348+Master!Q11</f>
        <v>2097.4185681588733</v>
      </c>
      <c r="G2350" s="464" t="e">
        <f>G2348-153</f>
        <v>#REF!</v>
      </c>
      <c r="H2350" s="464" t="e">
        <f>H2348-154</f>
        <v>#REF!</v>
      </c>
      <c r="I2350" s="456" t="e">
        <f>E2350/G2350-1</f>
        <v>#REF!</v>
      </c>
      <c r="J2350" s="456" t="e">
        <f>F2350/H2350-1</f>
        <v>#REF!</v>
      </c>
    </row>
    <row r="2351" spans="2:10">
      <c r="B2351" s="478" t="s">
        <v>1434</v>
      </c>
      <c r="C2351" s="478"/>
      <c r="D2351" s="623">
        <f>D2350/D2337</f>
        <v>0.40013940506456219</v>
      </c>
      <c r="E2351" s="456">
        <f>E2350/E2337</f>
        <v>0.4032627343428703</v>
      </c>
      <c r="F2351" s="456">
        <f>F2350/F2337</f>
        <v>0.32842118553098565</v>
      </c>
      <c r="G2351" s="456" t="e">
        <f>G2350/G2337</f>
        <v>#REF!</v>
      </c>
      <c r="H2351" s="456" t="e">
        <f>H2350/H2337</f>
        <v>#REF!</v>
      </c>
    </row>
    <row r="2352" spans="2:10">
      <c r="B2352" s="478"/>
      <c r="C2352" s="478"/>
      <c r="F2352" s="464"/>
    </row>
    <row r="2353" spans="2:9">
      <c r="B2353" s="450"/>
      <c r="C2353" s="450"/>
      <c r="D2353" s="450" t="s">
        <v>2756</v>
      </c>
      <c r="E2353" s="450"/>
      <c r="F2353" s="599" t="s">
        <v>821</v>
      </c>
      <c r="G2353" s="450"/>
      <c r="H2353" s="450" t="s">
        <v>2772</v>
      </c>
    </row>
    <row r="2354" spans="2:9">
      <c r="B2354" s="451" t="s">
        <v>2602</v>
      </c>
      <c r="C2354" s="451"/>
      <c r="D2354" s="560">
        <v>2017</v>
      </c>
      <c r="E2354" s="560" t="s">
        <v>2703</v>
      </c>
      <c r="F2354" s="560">
        <v>2017</v>
      </c>
      <c r="G2354" s="560" t="s">
        <v>2703</v>
      </c>
      <c r="H2354" s="560" t="s">
        <v>2773</v>
      </c>
    </row>
    <row r="2355" spans="2:9">
      <c r="B2355" s="567" t="s">
        <v>2589</v>
      </c>
      <c r="C2355" s="567"/>
      <c r="D2355" s="464">
        <f>D2360-D2358</f>
        <v>7750</v>
      </c>
      <c r="E2355" s="456">
        <f>(D2355/(Div!L37-Div!L35))^(1/5)-1</f>
        <v>8.2313133774948533E-2</v>
      </c>
      <c r="F2355" s="593">
        <f ca="1">Div!Q37-Div!Q35</f>
        <v>6355.3589027815187</v>
      </c>
      <c r="G2355" s="456">
        <f ca="1">Div!AA38</f>
        <v>-3.1679991754638759E-2</v>
      </c>
      <c r="H2355" s="449">
        <f ca="1">F2355/D2355-1</f>
        <v>-0.179953689963675</v>
      </c>
    </row>
    <row r="2356" spans="2:9">
      <c r="B2356" s="487" t="s">
        <v>2758</v>
      </c>
      <c r="C2356" s="487"/>
      <c r="D2356" s="594">
        <v>1000</v>
      </c>
      <c r="E2356" s="455"/>
      <c r="F2356" s="594" t="e">
        <f>#REF!</f>
        <v>#REF!</v>
      </c>
      <c r="G2356" s="455"/>
      <c r="H2356" s="476" t="e">
        <f>F2356/D2356-1</f>
        <v>#REF!</v>
      </c>
      <c r="I2356" s="464"/>
    </row>
    <row r="2357" spans="2:9">
      <c r="B2357" s="478" t="s">
        <v>2766</v>
      </c>
      <c r="C2357" s="478"/>
      <c r="D2357" s="593">
        <f>D2355+D2356</f>
        <v>8750</v>
      </c>
      <c r="E2357" s="456">
        <f ca="1">G2357-G2355+E2355</f>
        <v>0.15262389413277899</v>
      </c>
      <c r="F2357" s="593" t="e">
        <f ca="1">F2355+F2356</f>
        <v>#REF!</v>
      </c>
      <c r="G2357" s="456">
        <f ca="1">((Div!Q39+Div!Q35)/Div!L37)^(1/5)-1</f>
        <v>3.8630768603191701E-2</v>
      </c>
      <c r="H2357" s="449" t="e">
        <f ca="1">F2357/D2357-1</f>
        <v>#REF!</v>
      </c>
    </row>
    <row r="2358" spans="2:9">
      <c r="B2358" s="478" t="s">
        <v>2757</v>
      </c>
      <c r="C2358" s="478"/>
      <c r="D2358" s="491">
        <v>1250</v>
      </c>
      <c r="E2358" s="464"/>
    </row>
    <row r="2359" spans="2:9">
      <c r="B2359" s="478" t="s">
        <v>2759</v>
      </c>
      <c r="C2359" s="478"/>
      <c r="D2359" s="464">
        <v>10000</v>
      </c>
      <c r="E2359" s="464"/>
    </row>
    <row r="2360" spans="2:9">
      <c r="B2360" s="613" t="s">
        <v>2760</v>
      </c>
      <c r="C2360" s="613"/>
      <c r="D2360" s="614">
        <f>D2359-D2356</f>
        <v>9000</v>
      </c>
      <c r="E2360" s="624" t="s">
        <v>2761</v>
      </c>
    </row>
    <row r="2362" spans="2:9">
      <c r="B2362" s="478" t="s">
        <v>2768</v>
      </c>
      <c r="C2362" s="478"/>
      <c r="D2362" s="491">
        <f>0.35*D2355</f>
        <v>2712.5</v>
      </c>
      <c r="F2362" s="491">
        <f ca="1">F2363*F2355</f>
        <v>2280.7278673017222</v>
      </c>
      <c r="H2362" s="449">
        <f ca="1">F2362/D2362-1</f>
        <v>-0.15917866643254486</v>
      </c>
    </row>
    <row r="2363" spans="2:9">
      <c r="B2363" s="478" t="s">
        <v>1434</v>
      </c>
      <c r="C2363" s="478"/>
      <c r="D2363" s="506" t="s">
        <v>2767</v>
      </c>
      <c r="F2363" s="449">
        <f ca="1">Div!Q71</f>
        <v>0.35886688732929423</v>
      </c>
    </row>
    <row r="2364" spans="2:9">
      <c r="B2364" s="478"/>
      <c r="C2364" s="478"/>
      <c r="D2364" s="506"/>
      <c r="F2364" s="449"/>
    </row>
    <row r="2365" spans="2:9">
      <c r="B2365" s="478" t="s">
        <v>681</v>
      </c>
      <c r="C2365" s="478"/>
      <c r="D2365" s="506" t="s">
        <v>2769</v>
      </c>
      <c r="F2365" s="449">
        <f ca="1">Div!Q95</f>
        <v>0.16423126305237118</v>
      </c>
    </row>
    <row r="2366" spans="2:9">
      <c r="B2366" s="478"/>
      <c r="C2366" s="478"/>
      <c r="D2366" s="506"/>
      <c r="F2366" s="449"/>
    </row>
    <row r="2367" spans="2:9">
      <c r="B2367" s="478" t="s">
        <v>2770</v>
      </c>
      <c r="C2367" s="478"/>
      <c r="D2367" s="506" t="s">
        <v>2771</v>
      </c>
      <c r="F2367" s="593">
        <f ca="1">Div!Q109+Master!T44</f>
        <v>910.67526636577122</v>
      </c>
      <c r="H2367" s="449">
        <f ca="1">F2367/1200-1</f>
        <v>-0.2411039446951907</v>
      </c>
    </row>
    <row r="2369" spans="2:9">
      <c r="B2369" s="478" t="s">
        <v>2719</v>
      </c>
      <c r="C2369" s="478"/>
    </row>
    <row r="2370" spans="2:9">
      <c r="B2370" t="str">
        <f>B2330</f>
        <v>Revenue</v>
      </c>
      <c r="E2370" s="449">
        <f>E2321</f>
        <v>-3.258272402436424E-2</v>
      </c>
      <c r="F2370" s="449">
        <f>F2321</f>
        <v>1.1419946350322396E-2</v>
      </c>
      <c r="G2370" s="449">
        <f>G2321</f>
        <v>-3.121484485973447E-2</v>
      </c>
      <c r="H2370" s="449">
        <f ca="1">H2321</f>
        <v>-0.18849958392389221</v>
      </c>
      <c r="I2370" s="449">
        <f ca="1">I2321</f>
        <v>-0.24379491048190549</v>
      </c>
    </row>
    <row r="2371" spans="2:9">
      <c r="B2371" t="str">
        <f>B2331</f>
        <v>EBITDA</v>
      </c>
      <c r="E2371" s="449">
        <f>E2324</f>
        <v>0</v>
      </c>
      <c r="F2371" s="449">
        <f>F2324</f>
        <v>-0.14786737169493402</v>
      </c>
      <c r="G2371" s="449">
        <f>G2324</f>
        <v>-0.22039855060050106</v>
      </c>
      <c r="H2371" s="449">
        <f ca="1">H2324</f>
        <v>-0.30039462698285679</v>
      </c>
      <c r="I2371" s="449">
        <f ca="1">I2324</f>
        <v>-0.35046662083068525</v>
      </c>
    </row>
    <row r="2372" spans="2:9">
      <c r="B2372" t="str">
        <f>B2332</f>
        <v>Capex</v>
      </c>
      <c r="E2372" s="449">
        <f>E2325/E2294-1</f>
        <v>0</v>
      </c>
      <c r="F2372" s="449">
        <f>F2325/F2294-1</f>
        <v>0</v>
      </c>
      <c r="G2372" s="449">
        <f ca="1">G2325/G2294-1</f>
        <v>0</v>
      </c>
      <c r="H2372" s="449">
        <f ca="1">H2325/H2294-1</f>
        <v>0</v>
      </c>
      <c r="I2372" s="449">
        <f ca="1">I2325/I2294-1</f>
        <v>0</v>
      </c>
    </row>
    <row r="2373" spans="2:9">
      <c r="B2373" t="str">
        <f>B2333</f>
        <v>OpFCF</v>
      </c>
      <c r="E2373" s="449">
        <f>E2327</f>
        <v>0</v>
      </c>
      <c r="F2373" s="449">
        <f>F2327</f>
        <v>-0.33586563438540795</v>
      </c>
      <c r="G2373" s="449">
        <f ca="1">G2327</f>
        <v>-0.4600898406531313</v>
      </c>
      <c r="H2373" s="449">
        <f ca="1">H2327</f>
        <v>-0.50458379837492995</v>
      </c>
      <c r="I2373" s="449">
        <f ca="1">I2327</f>
        <v>-0.54322078103537041</v>
      </c>
    </row>
    <row r="2378" spans="2:9">
      <c r="B2378" s="499" t="s">
        <v>2692</v>
      </c>
      <c r="C2378" s="499"/>
    </row>
    <row r="2380" spans="2:9">
      <c r="B2380" s="478" t="s">
        <v>2693</v>
      </c>
      <c r="C2380" s="478"/>
    </row>
    <row r="2381" spans="2:9">
      <c r="B2381" s="478" t="s">
        <v>2694</v>
      </c>
      <c r="C2381" s="478"/>
    </row>
    <row r="2383" spans="2:9">
      <c r="B2383" s="499" t="s">
        <v>2697</v>
      </c>
      <c r="C2383" s="499"/>
    </row>
    <row r="2384" spans="2:9">
      <c r="B2384" s="478" t="s">
        <v>2698</v>
      </c>
      <c r="C2384" s="478"/>
    </row>
    <row r="2385" spans="2:6">
      <c r="B2385" s="478" t="s">
        <v>2704</v>
      </c>
      <c r="C2385" s="478"/>
    </row>
    <row r="2386" spans="2:6">
      <c r="B2386" s="478" t="s">
        <v>2735</v>
      </c>
      <c r="C2386" s="478"/>
    </row>
    <row r="2387" spans="2:6">
      <c r="B2387" s="478" t="s">
        <v>2708</v>
      </c>
      <c r="C2387" s="478"/>
    </row>
    <row r="2388" spans="2:6">
      <c r="B2388" s="478" t="s">
        <v>2709</v>
      </c>
      <c r="C2388" s="478"/>
    </row>
    <row r="2389" spans="2:6">
      <c r="B2389" s="608" t="s">
        <v>2752</v>
      </c>
      <c r="C2389" s="608"/>
    </row>
    <row r="2390" spans="2:6">
      <c r="B2390" s="478" t="s">
        <v>2712</v>
      </c>
      <c r="C2390" s="478"/>
    </row>
    <row r="2391" spans="2:6">
      <c r="B2391" s="478" t="s">
        <v>2730</v>
      </c>
      <c r="C2391" s="478"/>
    </row>
    <row r="2393" spans="2:6">
      <c r="B2393" s="487" t="s">
        <v>2602</v>
      </c>
      <c r="C2393" s="487"/>
      <c r="D2393" s="455">
        <v>2012</v>
      </c>
      <c r="E2393" s="455">
        <v>2017</v>
      </c>
      <c r="F2393" s="487" t="s">
        <v>2703</v>
      </c>
    </row>
    <row r="2394" spans="2:6">
      <c r="B2394" s="478" t="s">
        <v>1908</v>
      </c>
      <c r="C2394" s="478"/>
      <c r="D2394" s="464">
        <f>SUM(T1091:W1091)</f>
        <v>2856</v>
      </c>
      <c r="E2394" s="464">
        <f>D2394*(1-0.04)^5</f>
        <v>2328.7044243455998</v>
      </c>
      <c r="F2394" s="601" t="s">
        <v>2707</v>
      </c>
    </row>
    <row r="2395" spans="2:6">
      <c r="B2395" s="478" t="s">
        <v>1984</v>
      </c>
      <c r="C2395" s="478"/>
      <c r="D2395" s="464">
        <f>SUM(T1092:W1092)-D2396</f>
        <v>1628</v>
      </c>
      <c r="E2395" s="464">
        <f>(D2394+D2395)+1100-E2394</f>
        <v>3255.2955756544002</v>
      </c>
      <c r="F2395" s="449">
        <f>(E2395/D2395)^(1/5)-1</f>
        <v>0.14864864731149141</v>
      </c>
    </row>
    <row r="2396" spans="2:6">
      <c r="B2396" s="478" t="s">
        <v>2702</v>
      </c>
      <c r="C2396" s="478"/>
      <c r="D2396" s="464">
        <f>SUM(M1782:P1782)+SUM(M1726:P1726)</f>
        <v>40.400000000000006</v>
      </c>
      <c r="E2396" s="464">
        <v>800</v>
      </c>
      <c r="F2396" s="449">
        <f>(E2396/D2396)^(1/5)-1</f>
        <v>0.81694476245181802</v>
      </c>
    </row>
    <row r="2397" spans="2:6">
      <c r="B2397" s="478" t="s">
        <v>1195</v>
      </c>
      <c r="C2397" s="478"/>
      <c r="D2397" s="464">
        <v>231</v>
      </c>
      <c r="E2397" s="464">
        <f>D2397+725</f>
        <v>956</v>
      </c>
      <c r="F2397" s="449">
        <f>(E2397/D2397)^(1/5)-1</f>
        <v>0.3285233210765528</v>
      </c>
    </row>
    <row r="2398" spans="2:6">
      <c r="B2398" s="487" t="s">
        <v>2706</v>
      </c>
      <c r="C2398" s="487"/>
      <c r="D2398" s="490">
        <f>D2399-SUM(D2394:D2397)</f>
        <v>475.99632280927017</v>
      </c>
      <c r="E2398" s="490">
        <f>E2399-SUM(E2394:E2397)</f>
        <v>1064.2794618475618</v>
      </c>
      <c r="F2398" s="455"/>
    </row>
    <row r="2399" spans="2:6">
      <c r="B2399" s="478" t="s">
        <v>2589</v>
      </c>
      <c r="C2399" s="478"/>
      <c r="D2399" s="464">
        <f>D2276</f>
        <v>5231.3963228092698</v>
      </c>
      <c r="E2399" s="464">
        <f>I2271</f>
        <v>8404.2794618475618</v>
      </c>
      <c r="F2399" s="449">
        <f>(E2399/D2399)^(1/5)-1</f>
        <v>9.9452756605493242E-2</v>
      </c>
    </row>
    <row r="2400" spans="2:6">
      <c r="B2400" s="478" t="s">
        <v>2710</v>
      </c>
      <c r="C2400" s="478"/>
      <c r="D2400" s="464"/>
      <c r="E2400" s="464">
        <f>J2271</f>
        <v>6298</v>
      </c>
      <c r="F2400" s="449"/>
    </row>
    <row r="2401" spans="2:7">
      <c r="B2401" s="478" t="s">
        <v>2711</v>
      </c>
      <c r="C2401" s="478"/>
      <c r="D2401" s="464"/>
      <c r="E2401" s="464">
        <f>E2399-E2400</f>
        <v>2106.2794618475618</v>
      </c>
      <c r="F2401" s="449"/>
    </row>
    <row r="2402" spans="2:7">
      <c r="B2402" s="478"/>
      <c r="C2402" s="478"/>
      <c r="D2402" s="464"/>
      <c r="E2402" s="464"/>
      <c r="F2402" s="449"/>
    </row>
    <row r="2403" spans="2:7">
      <c r="B2403" s="478"/>
      <c r="C2403" s="478"/>
      <c r="E2403" s="464"/>
    </row>
    <row r="2404" spans="2:7">
      <c r="B2404" s="478"/>
      <c r="C2404" s="478"/>
      <c r="E2404" s="603" t="s">
        <v>887</v>
      </c>
      <c r="G2404" s="605" t="s">
        <v>2705</v>
      </c>
    </row>
    <row r="2405" spans="2:7">
      <c r="B2405" s="478"/>
      <c r="C2405" s="478"/>
      <c r="D2405" s="478" t="s">
        <v>2723</v>
      </c>
      <c r="E2405" s="606" t="e">
        <f>SOP!#REF!</f>
        <v>#REF!</v>
      </c>
      <c r="G2405" s="606">
        <v>5</v>
      </c>
    </row>
    <row r="2406" spans="2:7">
      <c r="B2406" s="478"/>
      <c r="C2406" s="478"/>
      <c r="D2406" s="478" t="s">
        <v>2722</v>
      </c>
      <c r="E2406" s="604" t="e">
        <f>SOP!#REF!</f>
        <v>#REF!</v>
      </c>
      <c r="G2406" s="604" t="e">
        <f>G2405*225+0.25*E2406</f>
        <v>#REF!</v>
      </c>
    </row>
    <row r="2407" spans="2:7">
      <c r="D2407" s="478" t="s">
        <v>2721</v>
      </c>
      <c r="E2407" s="604">
        <f>Colombia!J81</f>
        <v>550</v>
      </c>
    </row>
    <row r="2408" spans="2:7">
      <c r="D2408" s="478" t="s">
        <v>2724</v>
      </c>
      <c r="E2408" s="604" t="e">
        <f>E2406-E2407</f>
        <v>#REF!</v>
      </c>
    </row>
    <row r="2410" spans="2:7">
      <c r="F2410" s="605" t="s">
        <v>2725</v>
      </c>
    </row>
    <row r="2411" spans="2:7">
      <c r="F2411" s="604" t="e">
        <f>E2406+G2406</f>
        <v>#REF!</v>
      </c>
    </row>
    <row r="2412" spans="2:7">
      <c r="D2412" s="478" t="s">
        <v>2726</v>
      </c>
      <c r="F2412" s="604" t="e">
        <f>F2411*0.5</f>
        <v>#REF!</v>
      </c>
    </row>
    <row r="2413" spans="2:7">
      <c r="D2413" s="478" t="s">
        <v>2727</v>
      </c>
      <c r="F2413" s="604" t="e">
        <f>F2412</f>
        <v>#REF!</v>
      </c>
    </row>
    <row r="2415" spans="2:7">
      <c r="B2415" s="478" t="s">
        <v>2728</v>
      </c>
      <c r="C2415" s="478"/>
      <c r="D2415" s="454" t="e">
        <f>F2412-0.5*E2406</f>
        <v>#REF!</v>
      </c>
    </row>
    <row r="2416" spans="2:7">
      <c r="B2416" s="478" t="s">
        <v>2729</v>
      </c>
      <c r="C2416" s="478"/>
      <c r="D2416">
        <f>225</f>
        <v>225</v>
      </c>
    </row>
    <row r="2418" spans="2:6">
      <c r="B2418" s="498">
        <v>2013</v>
      </c>
      <c r="C2418" s="498"/>
    </row>
    <row r="2419" spans="2:6">
      <c r="B2419" s="478" t="s">
        <v>150</v>
      </c>
      <c r="C2419" s="478"/>
      <c r="D2419" s="464" t="e">
        <f>Valuation!#REF!</f>
        <v>#REF!</v>
      </c>
      <c r="E2419" s="464" t="e">
        <f>D2419+D2415</f>
        <v>#REF!</v>
      </c>
    </row>
    <row r="2420" spans="2:6">
      <c r="B2420" s="478" t="s">
        <v>1928</v>
      </c>
      <c r="C2420" s="478"/>
      <c r="D2420" s="464" t="e">
        <f>Master!#REF!</f>
        <v>#REF!</v>
      </c>
      <c r="E2420" s="464" t="e">
        <f>D2420+D2416</f>
        <v>#REF!</v>
      </c>
    </row>
    <row r="2421" spans="2:6">
      <c r="D2421" s="531" t="e">
        <f>D2419/D2420</f>
        <v>#REF!</v>
      </c>
      <c r="E2421" s="531" t="e">
        <f>E2419/E2420</f>
        <v>#REF!</v>
      </c>
    </row>
    <row r="2423" spans="2:6">
      <c r="B2423" s="455" t="s">
        <v>2702</v>
      </c>
      <c r="C2423" s="455"/>
      <c r="D2423" s="495" t="s">
        <v>2736</v>
      </c>
      <c r="E2423" s="495" t="s">
        <v>794</v>
      </c>
      <c r="F2423" s="495" t="s">
        <v>560</v>
      </c>
    </row>
    <row r="2424" spans="2:6">
      <c r="B2424" t="str">
        <f>Quarts!D130</f>
        <v>Paraguay</v>
      </c>
      <c r="D2424" s="506" t="s">
        <v>1072</v>
      </c>
      <c r="E2424" s="449">
        <v>0.24</v>
      </c>
      <c r="F2424" s="464">
        <f>E2424*Quarts!AZ130</f>
        <v>947.76</v>
      </c>
    </row>
    <row r="2425" spans="2:6">
      <c r="B2425" t="str">
        <f>Quarts!D138</f>
        <v>Tanzania</v>
      </c>
      <c r="D2425" s="494">
        <v>40422</v>
      </c>
      <c r="E2425" s="449">
        <v>0.37</v>
      </c>
      <c r="F2425" s="464">
        <f>E2425*Quarts!AZ138</f>
        <v>2235.91</v>
      </c>
    </row>
    <row r="2426" spans="2:6">
      <c r="B2426" t="str">
        <f>Quarts!D134</f>
        <v>Ghana</v>
      </c>
      <c r="D2426" s="506" t="s">
        <v>1073</v>
      </c>
      <c r="E2426" s="449"/>
      <c r="F2426" s="464"/>
    </row>
    <row r="2427" spans="2:6">
      <c r="B2427" t="str">
        <f>Quarts!D141</f>
        <v>Rwanda</v>
      </c>
      <c r="D2427" s="506" t="s">
        <v>2257</v>
      </c>
      <c r="E2427" s="449">
        <v>0.22</v>
      </c>
      <c r="F2427" s="464">
        <f>E2427*Quarts!AZ141</f>
        <v>330.44</v>
      </c>
    </row>
    <row r="2428" spans="2:6">
      <c r="B2428" t="str">
        <f>Quarts!D122</f>
        <v>El Salvador</v>
      </c>
      <c r="D2428">
        <v>2011</v>
      </c>
      <c r="E2428" s="449"/>
      <c r="F2428" s="464"/>
    </row>
    <row r="2429" spans="2:6">
      <c r="B2429" t="str">
        <f>Quarts!D123</f>
        <v>Guatemala</v>
      </c>
      <c r="D2429">
        <v>2011</v>
      </c>
      <c r="E2429" s="449"/>
      <c r="F2429" s="464"/>
    </row>
    <row r="2430" spans="2:6">
      <c r="B2430" t="str">
        <f>Quarts!D124</f>
        <v>Honduras</v>
      </c>
      <c r="D2430">
        <v>2011</v>
      </c>
      <c r="E2430" s="449"/>
      <c r="F2430" s="464"/>
    </row>
    <row r="2431" spans="2:6">
      <c r="B2431" t="str">
        <f>Quarts!D128</f>
        <v>Colombia</v>
      </c>
      <c r="D2431">
        <v>2012</v>
      </c>
      <c r="E2431" s="449"/>
      <c r="F2431" s="464"/>
    </row>
    <row r="2432" spans="2:6">
      <c r="B2432" t="str">
        <f>Quarts!D140</f>
        <v>DR Congo</v>
      </c>
      <c r="D2432" s="494">
        <v>41091</v>
      </c>
      <c r="E2432" s="449"/>
      <c r="F2432" s="464"/>
    </row>
    <row r="2433" spans="2:6">
      <c r="B2433" s="455" t="str">
        <f>Quarts!D139</f>
        <v>Chad</v>
      </c>
      <c r="C2433" s="455"/>
      <c r="D2433" s="607">
        <v>41244</v>
      </c>
      <c r="E2433" s="476"/>
      <c r="F2433" s="490"/>
    </row>
    <row r="2434" spans="2:6">
      <c r="B2434" t="str">
        <f>Quarts!D129</f>
        <v>Bolivia</v>
      </c>
      <c r="D2434" s="506" t="s">
        <v>2747</v>
      </c>
      <c r="E2434" s="449"/>
      <c r="F2434" s="464"/>
    </row>
    <row r="2435" spans="2:6">
      <c r="B2435" s="455" t="str">
        <f>Quarts!D136</f>
        <v>Senegal</v>
      </c>
      <c r="C2435" s="455"/>
      <c r="D2435" s="508" t="s">
        <v>2747</v>
      </c>
      <c r="E2435" s="476"/>
      <c r="F2435" s="490"/>
    </row>
    <row r="2436" spans="2:6">
      <c r="B2436" t="s">
        <v>2324</v>
      </c>
      <c r="E2436" s="456">
        <v>8.4000000000000005E-2</v>
      </c>
      <c r="F2436" s="464">
        <f>E2436*Quarts!AZ143</f>
        <v>3967.2360000000003</v>
      </c>
    </row>
    <row r="2437" spans="2:6">
      <c r="B2437" s="608" t="s">
        <v>2746</v>
      </c>
      <c r="C2437" s="608"/>
      <c r="E2437" s="456"/>
      <c r="F2437" s="464">
        <f>F2424+F2425+F2427</f>
        <v>3514.11</v>
      </c>
    </row>
    <row r="2438" spans="2:6">
      <c r="E2438" s="456"/>
      <c r="F2438" s="464"/>
    </row>
    <row r="2439" spans="2:6">
      <c r="B2439" t="s">
        <v>2737</v>
      </c>
      <c r="E2439" s="456">
        <v>1.2E-2</v>
      </c>
    </row>
    <row r="2440" spans="2:6">
      <c r="B2440" t="s">
        <v>2738</v>
      </c>
      <c r="E2440" s="456">
        <v>0.15</v>
      </c>
    </row>
    <row r="2442" spans="2:6">
      <c r="B2442" t="s">
        <v>2739</v>
      </c>
      <c r="E2442" s="478" t="s">
        <v>2745</v>
      </c>
    </row>
    <row r="2443" spans="2:6">
      <c r="B2443" t="s">
        <v>2740</v>
      </c>
    </row>
    <row r="2444" spans="2:6">
      <c r="B2444" t="s">
        <v>2741</v>
      </c>
    </row>
    <row r="2445" spans="2:6">
      <c r="B2445" t="s">
        <v>2742</v>
      </c>
    </row>
    <row r="2446" spans="2:6">
      <c r="B2446" t="s">
        <v>2743</v>
      </c>
    </row>
    <row r="2447" spans="2:6">
      <c r="B2447" t="s">
        <v>2744</v>
      </c>
    </row>
    <row r="2449" spans="2:9" ht="15.75">
      <c r="B2449" s="585" t="s">
        <v>4383</v>
      </c>
      <c r="C2449" s="585"/>
      <c r="D2449" s="1096" t="s">
        <v>955</v>
      </c>
      <c r="E2449" s="1096" t="s">
        <v>1606</v>
      </c>
      <c r="F2449" s="1096" t="s">
        <v>4381</v>
      </c>
      <c r="G2449" s="1096" t="s">
        <v>3261</v>
      </c>
      <c r="H2449" s="1096" t="s">
        <v>3262</v>
      </c>
      <c r="I2449" s="1097" t="s">
        <v>2324</v>
      </c>
    </row>
    <row r="2450" spans="2:9" ht="15.75">
      <c r="B2450" s="965">
        <v>850</v>
      </c>
      <c r="C2450" s="965"/>
      <c r="D2450" s="963">
        <v>25</v>
      </c>
      <c r="E2450" s="963">
        <v>25</v>
      </c>
      <c r="F2450" s="963"/>
      <c r="G2450" s="963">
        <v>7.5</v>
      </c>
      <c r="H2450" s="963"/>
      <c r="I2450" s="966">
        <f>SUM(D2450:H2450)</f>
        <v>57.5</v>
      </c>
    </row>
    <row r="2451" spans="2:9" ht="15.75">
      <c r="B2451" s="586">
        <v>1900</v>
      </c>
      <c r="C2451" s="586"/>
      <c r="D2451" s="545">
        <v>35</v>
      </c>
      <c r="E2451" s="545">
        <v>30</v>
      </c>
      <c r="F2451" s="545">
        <v>55</v>
      </c>
      <c r="G2451" s="545"/>
      <c r="H2451" s="545"/>
      <c r="I2451" s="587">
        <f>SUM(D2451:H2451)</f>
        <v>120</v>
      </c>
    </row>
    <row r="2452" spans="2:9" ht="15.75">
      <c r="B2452" s="961">
        <v>2500</v>
      </c>
      <c r="C2452" s="961"/>
      <c r="D2452" s="962"/>
      <c r="E2452" s="962"/>
      <c r="F2452" s="962"/>
      <c r="G2452" s="962"/>
      <c r="H2452" s="962"/>
      <c r="I2452" s="967">
        <f>SUM(D2452:H2452)</f>
        <v>0</v>
      </c>
    </row>
    <row r="2453" spans="2:9" ht="15.75">
      <c r="B2453" s="586" t="s">
        <v>2324</v>
      </c>
      <c r="C2453" s="586"/>
      <c r="D2453" s="545">
        <f t="shared" ref="D2453:I2453" si="294">SUM(D2450:D2452)</f>
        <v>60</v>
      </c>
      <c r="E2453" s="545">
        <f t="shared" si="294"/>
        <v>55</v>
      </c>
      <c r="F2453" s="545">
        <f t="shared" si="294"/>
        <v>55</v>
      </c>
      <c r="G2453" s="545">
        <f t="shared" si="294"/>
        <v>7.5</v>
      </c>
      <c r="H2453" s="545">
        <f t="shared" si="294"/>
        <v>0</v>
      </c>
      <c r="I2453" s="587">
        <f t="shared" si="294"/>
        <v>177.5</v>
      </c>
    </row>
    <row r="2454" spans="2:9" ht="15.75">
      <c r="B2454" s="965"/>
      <c r="C2454" s="965"/>
      <c r="D2454" s="963"/>
      <c r="E2454" s="963"/>
      <c r="F2454" s="963"/>
      <c r="G2454" s="963"/>
      <c r="H2454" s="963"/>
      <c r="I2454" s="966"/>
    </row>
    <row r="2455" spans="2:9" ht="15.75">
      <c r="B2455" s="1094" t="s">
        <v>2956</v>
      </c>
      <c r="C2455" s="1094"/>
      <c r="D2455" s="545"/>
      <c r="E2455" s="545"/>
      <c r="F2455" s="545"/>
      <c r="G2455" s="545"/>
      <c r="H2455" s="545"/>
      <c r="I2455" s="587"/>
    </row>
    <row r="2456" spans="2:9" ht="15.75">
      <c r="B2456" s="965">
        <v>2500</v>
      </c>
      <c r="C2456" s="965"/>
      <c r="D2456" s="963">
        <v>30</v>
      </c>
      <c r="E2456" s="963"/>
      <c r="F2456" s="963"/>
      <c r="G2456" s="963"/>
      <c r="H2456" s="963">
        <v>70</v>
      </c>
      <c r="I2456" s="966">
        <f>SUM(D2456:H2456)</f>
        <v>100</v>
      </c>
    </row>
    <row r="2457" spans="2:9" ht="15.75">
      <c r="B2457" s="588" t="s">
        <v>3263</v>
      </c>
      <c r="C2457" s="588"/>
      <c r="D2457" s="543"/>
      <c r="E2457" s="543">
        <v>30</v>
      </c>
      <c r="F2457" s="543">
        <v>30</v>
      </c>
      <c r="G2457" s="543">
        <v>30</v>
      </c>
      <c r="H2457" s="590"/>
      <c r="I2457" s="662">
        <f>SUM(D2457:H2457)</f>
        <v>90</v>
      </c>
    </row>
    <row r="2458" spans="2:9" ht="15.75">
      <c r="B2458" s="961" t="s">
        <v>2324</v>
      </c>
      <c r="C2458" s="961"/>
      <c r="D2458" s="962">
        <f t="shared" ref="D2458:I2458" si="295">SUM(D2456:D2457)</f>
        <v>30</v>
      </c>
      <c r="E2458" s="962">
        <f t="shared" si="295"/>
        <v>30</v>
      </c>
      <c r="F2458" s="962">
        <f t="shared" si="295"/>
        <v>30</v>
      </c>
      <c r="G2458" s="962">
        <f t="shared" si="295"/>
        <v>30</v>
      </c>
      <c r="H2458" s="962">
        <f t="shared" si="295"/>
        <v>70</v>
      </c>
      <c r="I2458" s="967">
        <f t="shared" si="295"/>
        <v>190</v>
      </c>
    </row>
    <row r="2459" spans="2:9" ht="15.75">
      <c r="B2459" s="969" t="s">
        <v>4380</v>
      </c>
      <c r="C2459" s="969"/>
      <c r="D2459" s="1093">
        <f t="shared" ref="D2459:I2459" si="296">D2453+D2458</f>
        <v>90</v>
      </c>
      <c r="E2459" s="1093">
        <f t="shared" si="296"/>
        <v>85</v>
      </c>
      <c r="F2459" s="1093">
        <f t="shared" si="296"/>
        <v>85</v>
      </c>
      <c r="G2459" s="970">
        <f t="shared" si="296"/>
        <v>37.5</v>
      </c>
      <c r="H2459" s="1093">
        <f t="shared" si="296"/>
        <v>70</v>
      </c>
      <c r="I2459" s="971">
        <f t="shared" si="296"/>
        <v>367.5</v>
      </c>
    </row>
    <row r="2460" spans="2:9" ht="15.75">
      <c r="B2460" s="965"/>
      <c r="C2460" s="965"/>
      <c r="D2460" s="963"/>
      <c r="E2460" s="963"/>
      <c r="F2460" s="963"/>
      <c r="G2460" s="968"/>
      <c r="H2460" s="963"/>
      <c r="I2460" s="966"/>
    </row>
    <row r="2461" spans="2:9" ht="15.75" hidden="1" outlineLevel="1">
      <c r="B2461" s="664" t="s">
        <v>3808</v>
      </c>
      <c r="C2461" s="664"/>
      <c r="D2461" s="545"/>
      <c r="E2461" s="545"/>
      <c r="F2461" s="545"/>
      <c r="G2461" s="545"/>
      <c r="H2461" s="545"/>
      <c r="I2461" s="587"/>
    </row>
    <row r="2462" spans="2:9" ht="15.75" hidden="1" outlineLevel="1">
      <c r="B2462" s="965">
        <v>700</v>
      </c>
      <c r="C2462" s="965"/>
      <c r="D2462" s="963">
        <v>30</v>
      </c>
      <c r="E2462" s="963">
        <v>30</v>
      </c>
      <c r="F2462" s="963">
        <v>30</v>
      </c>
      <c r="G2462" s="963">
        <v>0</v>
      </c>
      <c r="H2462" s="963">
        <v>0</v>
      </c>
      <c r="I2462" s="966">
        <f>SUM(D2462:H2462)</f>
        <v>90</v>
      </c>
    </row>
    <row r="2463" spans="2:9" ht="15.75" hidden="1" outlineLevel="1">
      <c r="B2463" s="586">
        <v>900</v>
      </c>
      <c r="C2463" s="586"/>
      <c r="D2463" s="545"/>
      <c r="E2463" s="545"/>
      <c r="F2463" s="545"/>
      <c r="G2463" s="545"/>
      <c r="H2463" s="545"/>
      <c r="I2463" s="587">
        <v>22</v>
      </c>
    </row>
    <row r="2464" spans="2:9" ht="15.75" hidden="1" outlineLevel="1">
      <c r="B2464" s="965">
        <v>1900</v>
      </c>
      <c r="C2464" s="965"/>
      <c r="D2464" s="963"/>
      <c r="E2464" s="963"/>
      <c r="F2464" s="963"/>
      <c r="G2464" s="963"/>
      <c r="H2464" s="963"/>
      <c r="I2464" s="966">
        <v>5</v>
      </c>
    </row>
    <row r="2465" spans="1:14" ht="15.75" hidden="1" outlineLevel="1">
      <c r="B2465" s="586" t="s">
        <v>2867</v>
      </c>
      <c r="C2465" s="586"/>
      <c r="D2465" s="545"/>
      <c r="E2465" s="545"/>
      <c r="F2465" s="545"/>
      <c r="G2465" s="545"/>
      <c r="H2465" s="545"/>
      <c r="I2465" s="587">
        <v>50</v>
      </c>
    </row>
    <row r="2466" spans="1:14" ht="15.75" hidden="1" outlineLevel="1">
      <c r="B2466" s="961">
        <v>2500</v>
      </c>
      <c r="C2466" s="961"/>
      <c r="D2466" s="962">
        <v>0</v>
      </c>
      <c r="E2466" s="962">
        <v>30</v>
      </c>
      <c r="F2466" s="962">
        <v>30</v>
      </c>
      <c r="G2466" s="962">
        <v>0</v>
      </c>
      <c r="H2466" s="963">
        <v>0</v>
      </c>
      <c r="I2466" s="964">
        <f>SUM(D2466:H2466)</f>
        <v>60</v>
      </c>
    </row>
    <row r="2467" spans="1:14" ht="15.75" hidden="1" outlineLevel="1">
      <c r="B2467" s="969" t="s">
        <v>2324</v>
      </c>
      <c r="C2467" s="969"/>
      <c r="D2467" s="970">
        <f t="shared" ref="D2467:I2467" si="297">D2459+D2462+D2466</f>
        <v>120</v>
      </c>
      <c r="E2467" s="970">
        <f t="shared" si="297"/>
        <v>145</v>
      </c>
      <c r="F2467" s="970">
        <f t="shared" si="297"/>
        <v>145</v>
      </c>
      <c r="G2467" s="970">
        <f t="shared" si="297"/>
        <v>37.5</v>
      </c>
      <c r="H2467" s="970">
        <f t="shared" si="297"/>
        <v>70</v>
      </c>
      <c r="I2467" s="971">
        <f t="shared" si="297"/>
        <v>517.5</v>
      </c>
    </row>
    <row r="2468" spans="1:14" ht="15.75" hidden="1" outlineLevel="1">
      <c r="B2468" s="545" t="s">
        <v>2958</v>
      </c>
      <c r="C2468" s="545"/>
      <c r="D2468" s="545"/>
      <c r="E2468" s="545"/>
      <c r="F2468" s="545"/>
      <c r="G2468" s="545"/>
      <c r="H2468" s="545"/>
      <c r="K2468" s="589"/>
    </row>
    <row r="2469" spans="1:14" ht="15.75" hidden="1" outlineLevel="1">
      <c r="B2469" s="545" t="s">
        <v>3807</v>
      </c>
      <c r="C2469" s="545"/>
      <c r="D2469" s="545"/>
      <c r="E2469" s="545"/>
      <c r="F2469" s="545"/>
      <c r="G2469" s="545"/>
      <c r="H2469" s="545"/>
      <c r="K2469" s="589"/>
    </row>
    <row r="2470" spans="1:14" ht="15.75" hidden="1" outlineLevel="1">
      <c r="B2470" s="545"/>
      <c r="C2470" s="545"/>
      <c r="D2470" s="545"/>
      <c r="E2470" s="545"/>
      <c r="F2470" s="545"/>
      <c r="G2470" s="545"/>
      <c r="H2470" s="545"/>
      <c r="K2470" s="589"/>
    </row>
    <row r="2471" spans="1:14" ht="15.75" collapsed="1">
      <c r="B2471" s="1095" t="s">
        <v>2959</v>
      </c>
      <c r="C2471" s="1095"/>
      <c r="D2471" s="544" t="str">
        <f t="shared" ref="D2471:I2471" si="298">D2449</f>
        <v>AMX</v>
      </c>
      <c r="E2471" s="544" t="str">
        <f t="shared" si="298"/>
        <v>TEF</v>
      </c>
      <c r="F2471" s="544" t="str">
        <f t="shared" si="298"/>
        <v>Tigo *</v>
      </c>
      <c r="G2471" s="544" t="str">
        <f t="shared" si="298"/>
        <v>Avantel</v>
      </c>
      <c r="H2471" s="1098" t="str">
        <f t="shared" si="298"/>
        <v>DTV</v>
      </c>
      <c r="I2471" s="544" t="str">
        <f t="shared" si="298"/>
        <v>Total</v>
      </c>
    </row>
    <row r="2472" spans="1:14" ht="15.75">
      <c r="A2472">
        <v>1930</v>
      </c>
      <c r="B2472" s="965">
        <f>B2456</f>
        <v>2500</v>
      </c>
      <c r="C2472" s="965"/>
      <c r="D2472" s="968">
        <v>119.99586600000001</v>
      </c>
      <c r="E2472" s="968"/>
      <c r="F2472" s="968"/>
      <c r="G2472" s="968"/>
      <c r="H2472" s="968">
        <v>71.856365999999994</v>
      </c>
      <c r="I2472" s="966"/>
    </row>
    <row r="2473" spans="1:14" ht="15.75">
      <c r="B2473" s="586"/>
      <c r="C2473" s="586"/>
      <c r="D2473" s="589"/>
      <c r="E2473" s="589"/>
      <c r="F2473" s="589"/>
      <c r="G2473" s="589"/>
      <c r="H2473" s="589">
        <v>77.565287999999995</v>
      </c>
      <c r="I2473" s="587"/>
    </row>
    <row r="2474" spans="1:14" ht="15.75">
      <c r="B2474" s="961" t="str">
        <f>B2457</f>
        <v>1.7/2.1 (AWS)</v>
      </c>
      <c r="C2474" s="961"/>
      <c r="D2474" s="1089"/>
      <c r="E2474" s="1089">
        <v>197.899</v>
      </c>
      <c r="F2474" s="1089">
        <v>195.74994000000001</v>
      </c>
      <c r="G2474" s="1089">
        <v>107.46414</v>
      </c>
      <c r="H2474" s="1089"/>
      <c r="I2474" s="967"/>
    </row>
    <row r="2475" spans="1:14" ht="15.75">
      <c r="B2475" s="586" t="s">
        <v>4385</v>
      </c>
      <c r="C2475" s="586"/>
      <c r="D2475" s="589">
        <f>SUM(D2472:D2474)</f>
        <v>119.99586600000001</v>
      </c>
      <c r="E2475" s="589">
        <f>SUM(E2472:E2474)</f>
        <v>197.899</v>
      </c>
      <c r="F2475" s="589">
        <f>SUM(F2472:F2474)</f>
        <v>195.74994000000001</v>
      </c>
      <c r="G2475" s="589">
        <f>SUM(G2472:G2474)</f>
        <v>107.46414</v>
      </c>
      <c r="H2475" s="589">
        <f>SUM(H2472:H2474)</f>
        <v>149.42165399999999</v>
      </c>
      <c r="I2475" s="587">
        <f>SUM(D2475:H2475)</f>
        <v>770.53060000000005</v>
      </c>
    </row>
    <row r="2476" spans="1:14" ht="15.75">
      <c r="B2476" s="965"/>
      <c r="C2476" s="965"/>
      <c r="D2476" s="968"/>
      <c r="E2476" s="968"/>
      <c r="F2476" s="968"/>
      <c r="G2476" s="968"/>
      <c r="H2476" s="968"/>
      <c r="I2476" s="966"/>
    </row>
    <row r="2477" spans="1:14" ht="15.75">
      <c r="B2477" s="586" t="s">
        <v>4384</v>
      </c>
      <c r="C2477" s="586"/>
      <c r="D2477" s="589">
        <f>D2475*1000/$A$2472</f>
        <v>62.174023834196895</v>
      </c>
      <c r="E2477" s="589">
        <f>E2475*1000/$A$2472</f>
        <v>102.53834196891192</v>
      </c>
      <c r="F2477" s="589">
        <f>F2475*1000/$A$2472</f>
        <v>101.42483937823835</v>
      </c>
      <c r="G2477" s="589">
        <f>G2475*1000/$A$2472</f>
        <v>55.680901554404144</v>
      </c>
      <c r="H2477" s="589">
        <f>H2475*1000/$A$2472</f>
        <v>77.42054611398963</v>
      </c>
      <c r="I2477" s="587">
        <f>SUM(D2477:H2477)</f>
        <v>399.23865284974096</v>
      </c>
      <c r="N2477">
        <f>F2459*0.175*50</f>
        <v>743.74999999999989</v>
      </c>
    </row>
    <row r="2478" spans="1:14" ht="15.75">
      <c r="B2478" s="1090" t="s">
        <v>2955</v>
      </c>
      <c r="D2478" s="1091">
        <f>D2477*100000/Colombia!$I$12/D2458</f>
        <v>4.4078114786809968</v>
      </c>
      <c r="E2478" s="1091">
        <f>E2477*100000/Colombia!$I$12/E2458</f>
        <v>7.2694294636741112</v>
      </c>
      <c r="F2478" s="1091">
        <f>F2477*100000/Colombia!$I$12/F2458</f>
        <v>7.1904879830036501</v>
      </c>
      <c r="G2478" s="1091">
        <f>G2477*100000/Colombia!$I$12/G2458</f>
        <v>3.9474832394524455</v>
      </c>
      <c r="H2478" s="1091">
        <f>H2477*100000/Colombia!$I$12/H2458</f>
        <v>2.3523041856816969</v>
      </c>
      <c r="I2478" s="1092">
        <f>I2477*100000/Colombia!$I$12/I2458</f>
        <v>4.4690403049581837</v>
      </c>
    </row>
    <row r="2479" spans="1:14" ht="15.75">
      <c r="B2479" s="586" t="s">
        <v>4382</v>
      </c>
      <c r="C2479" s="586"/>
      <c r="D2479" s="661"/>
      <c r="E2479" s="661"/>
      <c r="F2479" s="661"/>
      <c r="G2479" s="661"/>
      <c r="H2479" s="661"/>
      <c r="I2479" s="669"/>
    </row>
    <row r="2480" spans="1:14" ht="15.75">
      <c r="B2480" s="586"/>
      <c r="C2480" s="586"/>
      <c r="D2480" s="661"/>
      <c r="E2480" s="661"/>
      <c r="F2480" s="661"/>
      <c r="G2480" s="661"/>
      <c r="H2480" s="661"/>
      <c r="I2480" s="669"/>
      <c r="K2480" s="589"/>
    </row>
    <row r="2481" spans="1:12" ht="15.75">
      <c r="B2481" s="664" t="s">
        <v>2960</v>
      </c>
      <c r="C2481" s="664"/>
      <c r="D2481" s="545"/>
      <c r="E2481" s="545"/>
      <c r="F2481" s="545"/>
      <c r="G2481" s="545"/>
      <c r="H2481" s="545"/>
      <c r="I2481" s="587"/>
    </row>
    <row r="2482" spans="1:12" ht="15.75">
      <c r="A2482">
        <f>A2472</f>
        <v>1930</v>
      </c>
      <c r="B2482" s="586">
        <f>B2456</f>
        <v>2500</v>
      </c>
      <c r="C2482" s="586"/>
      <c r="D2482" s="589">
        <f>D2472*1000/$A$2482</f>
        <v>62.174023834196895</v>
      </c>
      <c r="E2482" s="589"/>
      <c r="F2482" s="589"/>
      <c r="G2482" s="589"/>
      <c r="H2482" s="589">
        <f>(H2472+H2473)*1000/$A$2482</f>
        <v>77.42054611398963</v>
      </c>
      <c r="I2482" s="587">
        <f>SUM(D2482:H2482)</f>
        <v>139.59456994818652</v>
      </c>
    </row>
    <row r="2483" spans="1:12" ht="15.75">
      <c r="B2483" s="588" t="str">
        <f>B2457</f>
        <v>1.7/2.1 (AWS)</v>
      </c>
      <c r="C2483" s="588"/>
      <c r="D2483" s="590"/>
      <c r="E2483" s="590">
        <f>E2474*1000/$A$2482</f>
        <v>102.53834196891192</v>
      </c>
      <c r="F2483" s="590">
        <f>F2474*1000/$A$2482</f>
        <v>101.42483937823835</v>
      </c>
      <c r="G2483" s="590">
        <f>G2474*1000/$A$2482</f>
        <v>55.680901554404144</v>
      </c>
      <c r="H2483" s="666"/>
      <c r="I2483" s="662">
        <f>SUM(D2483:H2483)</f>
        <v>259.64408290155444</v>
      </c>
      <c r="K2483" s="478" t="s">
        <v>4386</v>
      </c>
    </row>
    <row r="2484" spans="1:12" ht="15.75">
      <c r="B2484" s="588" t="s">
        <v>2324</v>
      </c>
      <c r="C2484" s="588"/>
      <c r="D2484" s="590">
        <f t="shared" ref="D2484:I2484" si="299">SUM(D2482:D2483)</f>
        <v>62.174023834196895</v>
      </c>
      <c r="E2484" s="590">
        <f t="shared" si="299"/>
        <v>102.53834196891192</v>
      </c>
      <c r="F2484" s="590">
        <f t="shared" si="299"/>
        <v>101.42483937823835</v>
      </c>
      <c r="G2484" s="590">
        <f t="shared" si="299"/>
        <v>55.680901554404144</v>
      </c>
      <c r="H2484" s="590">
        <f t="shared" si="299"/>
        <v>77.42054611398963</v>
      </c>
      <c r="I2484" s="662">
        <f t="shared" si="299"/>
        <v>399.23865284974096</v>
      </c>
      <c r="K2484">
        <v>50</v>
      </c>
      <c r="L2484">
        <f>108*1.4</f>
        <v>151.19999999999999</v>
      </c>
    </row>
    <row r="2485" spans="1:12" ht="15.75">
      <c r="B2485" s="585" t="s">
        <v>2957</v>
      </c>
      <c r="C2485" s="585"/>
      <c r="D2485" s="667">
        <f>D2484*100000/D2458/Colombia!$I$12</f>
        <v>4.4078114786809959</v>
      </c>
      <c r="E2485" s="667">
        <f>E2484*100000/E2458/Colombia!$I$12</f>
        <v>7.2694294636741104</v>
      </c>
      <c r="F2485" s="667">
        <f>F2484*100000/F2458/Colombia!$I$12</f>
        <v>7.1904879830036501</v>
      </c>
      <c r="G2485" s="667">
        <f>G2484*100000/G2458/Colombia!$I$12</f>
        <v>3.9474832394524451</v>
      </c>
      <c r="H2485" s="667">
        <f>H2484*100000/H2458/Colombia!$I$12</f>
        <v>2.3523041856816973</v>
      </c>
      <c r="I2485" s="668">
        <f>I2484*100000/I2458/Colombia!$I$12</f>
        <v>4.4690403049581846</v>
      </c>
      <c r="K2485" s="667">
        <f>K2484*100000/50/Colombia!$I$12</f>
        <v>2.1268423081810974</v>
      </c>
      <c r="L2485" s="667">
        <f>L2484*100000/55/Colombia!$I$12</f>
        <v>5.8468828544905804</v>
      </c>
    </row>
    <row r="2486" spans="1:12" ht="15.75">
      <c r="B2486" s="545"/>
      <c r="C2486" s="545"/>
    </row>
    <row r="2487" spans="1:12" ht="15.75">
      <c r="B2487" s="585" t="s">
        <v>2577</v>
      </c>
      <c r="C2487" s="585"/>
      <c r="D2487" s="544" t="str">
        <f t="shared" ref="D2487:I2487" si="300">D2471</f>
        <v>AMX</v>
      </c>
      <c r="E2487" s="544" t="str">
        <f t="shared" si="300"/>
        <v>TEF</v>
      </c>
      <c r="F2487" s="544" t="str">
        <f t="shared" si="300"/>
        <v>Tigo *</v>
      </c>
      <c r="G2487" s="544" t="str">
        <f t="shared" si="300"/>
        <v>Avantel</v>
      </c>
      <c r="H2487" s="544" t="str">
        <f t="shared" si="300"/>
        <v>DTV</v>
      </c>
      <c r="I2487" s="544" t="str">
        <f t="shared" si="300"/>
        <v>Total</v>
      </c>
    </row>
    <row r="2488" spans="1:12" ht="15.75">
      <c r="A2488">
        <v>0.125</v>
      </c>
      <c r="B2488" s="586" t="s">
        <v>4052</v>
      </c>
      <c r="C2488" s="586"/>
      <c r="D2488" s="589">
        <f>D2462*$A$2488*$A$2058/1000</f>
        <v>181.64692958849307</v>
      </c>
      <c r="E2488" s="589">
        <f>E2462*$A$2488*$A$2058/1000</f>
        <v>181.64692958849307</v>
      </c>
      <c r="F2488" s="589">
        <f>F2462*$A$2488*$A$2058/1000</f>
        <v>181.64692958849307</v>
      </c>
      <c r="G2488" s="589">
        <f>G2462*0.1*$A$2058/1000</f>
        <v>0</v>
      </c>
      <c r="H2488" s="589">
        <f>H2462*0.1*$A$2058/1000</f>
        <v>0</v>
      </c>
      <c r="I2488" s="589">
        <f>SUM(D2488:H2488)</f>
        <v>544.94078876547917</v>
      </c>
    </row>
    <row r="2489" spans="1:12" ht="15.75">
      <c r="B2489" s="588"/>
      <c r="C2489" s="588"/>
      <c r="D2489" s="590"/>
      <c r="E2489" s="590"/>
      <c r="F2489" s="590"/>
      <c r="G2489" s="590"/>
      <c r="H2489" s="590"/>
      <c r="I2489" s="590"/>
    </row>
    <row r="2490" spans="1:12" ht="15.75">
      <c r="B2490" s="586" t="s">
        <v>2324</v>
      </c>
      <c r="C2490" s="586"/>
      <c r="D2490" s="589">
        <f t="shared" ref="D2490:I2490" si="301">SUM(D2488:D2489)</f>
        <v>181.64692958849307</v>
      </c>
      <c r="E2490" s="589">
        <f t="shared" si="301"/>
        <v>181.64692958849307</v>
      </c>
      <c r="F2490" s="589">
        <f t="shared" si="301"/>
        <v>181.64692958849307</v>
      </c>
      <c r="G2490" s="589">
        <f t="shared" si="301"/>
        <v>0</v>
      </c>
      <c r="H2490" s="589">
        <f t="shared" si="301"/>
        <v>0</v>
      </c>
      <c r="I2490" s="589">
        <f t="shared" si="301"/>
        <v>544.94078876547917</v>
      </c>
    </row>
    <row r="2493" spans="1:12">
      <c r="B2493" s="451" t="s">
        <v>2942</v>
      </c>
      <c r="C2493" s="451"/>
      <c r="D2493" s="455"/>
    </row>
    <row r="2494" spans="1:12">
      <c r="B2494" t="s">
        <v>109</v>
      </c>
      <c r="D2494" s="454">
        <f>D2496-D2495</f>
        <v>1197.5999999999999</v>
      </c>
      <c r="G2494" s="450" t="s">
        <v>2705</v>
      </c>
    </row>
    <row r="2495" spans="1:12">
      <c r="B2495" t="s">
        <v>1381</v>
      </c>
      <c r="D2495" s="535">
        <v>900</v>
      </c>
      <c r="G2495" s="478" t="s">
        <v>3039</v>
      </c>
      <c r="H2495">
        <v>256</v>
      </c>
    </row>
    <row r="2496" spans="1:12">
      <c r="B2496" t="s">
        <v>245</v>
      </c>
      <c r="D2496" s="454">
        <f>D2497*D2498</f>
        <v>2097.6</v>
      </c>
      <c r="G2496" s="676" t="s">
        <v>3040</v>
      </c>
      <c r="H2496" s="455">
        <v>48</v>
      </c>
    </row>
    <row r="2497" spans="2:25">
      <c r="B2497" t="s">
        <v>2206</v>
      </c>
      <c r="D2497" s="656">
        <v>6.9</v>
      </c>
      <c r="G2497" s="478" t="s">
        <v>3041</v>
      </c>
      <c r="H2497" s="454">
        <f>SUM(H2495:H2496)</f>
        <v>304</v>
      </c>
    </row>
    <row r="2498" spans="2:25">
      <c r="B2498" t="s">
        <v>360</v>
      </c>
      <c r="D2498" s="535">
        <f>256+48</f>
        <v>304</v>
      </c>
    </row>
    <row r="2499" spans="2:25">
      <c r="G2499" s="478" t="s">
        <v>245</v>
      </c>
      <c r="H2499">
        <v>2100</v>
      </c>
    </row>
    <row r="2500" spans="2:25">
      <c r="B2500" t="s">
        <v>2933</v>
      </c>
      <c r="D2500" s="464" t="e">
        <f>SOP!#REF!</f>
        <v>#REF!</v>
      </c>
      <c r="G2500" s="478" t="s">
        <v>1243</v>
      </c>
      <c r="H2500" s="468">
        <f>H2499/H2497</f>
        <v>6.9078947368421053</v>
      </c>
    </row>
    <row r="2502" spans="2:25" ht="15.75">
      <c r="B2502" t="s">
        <v>2934</v>
      </c>
      <c r="D2502" s="454" t="e">
        <f>D2496+D2500</f>
        <v>#REF!</v>
      </c>
      <c r="G2502" s="478" t="s">
        <v>3044</v>
      </c>
      <c r="L2502" s="545"/>
      <c r="M2502" s="695" t="s">
        <v>3042</v>
      </c>
      <c r="N2502" s="695"/>
      <c r="O2502" s="695"/>
      <c r="P2502" s="695"/>
      <c r="Q2502" s="695"/>
      <c r="R2502" s="695"/>
      <c r="S2502" s="695"/>
      <c r="T2502" s="695" t="s">
        <v>3043</v>
      </c>
      <c r="U2502" s="545"/>
      <c r="V2502" s="545"/>
    </row>
    <row r="2503" spans="2:25" ht="15.75">
      <c r="B2503" t="s">
        <v>2935</v>
      </c>
      <c r="D2503" s="449">
        <v>0.5</v>
      </c>
      <c r="G2503" s="478" t="s">
        <v>360</v>
      </c>
      <c r="H2503" s="454">
        <f>H2497-Colombia!I235/(Colombia!I215/1000)</f>
        <v>348.75138121546962</v>
      </c>
      <c r="L2503" s="545"/>
      <c r="M2503" s="545"/>
      <c r="N2503" s="545"/>
      <c r="O2503" s="545"/>
      <c r="P2503" s="545"/>
      <c r="Q2503" s="545"/>
      <c r="R2503" s="545"/>
      <c r="S2503" s="545"/>
      <c r="T2503" s="545"/>
      <c r="U2503" s="545"/>
      <c r="V2503" s="545"/>
    </row>
    <row r="2504" spans="2:25" ht="15.75">
      <c r="B2504" t="s">
        <v>2936</v>
      </c>
      <c r="D2504" s="454" t="e">
        <f>D2502*D2503</f>
        <v>#REF!</v>
      </c>
      <c r="G2504" s="478" t="s">
        <v>3045</v>
      </c>
      <c r="H2504" s="468">
        <f>H2499/H2503</f>
        <v>6.0214815284202521</v>
      </c>
      <c r="L2504" s="545"/>
      <c r="M2504" s="545"/>
      <c r="N2504" s="545"/>
      <c r="O2504" s="545"/>
      <c r="P2504" s="696" t="s">
        <v>3034</v>
      </c>
      <c r="Q2504" s="545"/>
      <c r="R2504" s="545"/>
      <c r="S2504" s="545"/>
      <c r="T2504" s="697" t="s">
        <v>1250</v>
      </c>
      <c r="U2504" s="545"/>
      <c r="V2504" s="696" t="s">
        <v>3034</v>
      </c>
      <c r="X2504" t="s">
        <v>3077</v>
      </c>
      <c r="Y2504" t="s">
        <v>3079</v>
      </c>
    </row>
    <row r="2505" spans="2:25" ht="15.75">
      <c r="D2505" s="454"/>
      <c r="L2505" s="545"/>
      <c r="M2505" s="545"/>
      <c r="N2505" s="545"/>
      <c r="O2505" s="545"/>
      <c r="P2505" s="545"/>
      <c r="Q2505" s="545"/>
      <c r="R2505" s="545"/>
      <c r="S2505" s="545"/>
      <c r="T2505" s="545"/>
      <c r="U2505" s="545"/>
      <c r="V2505" s="545"/>
      <c r="X2505" t="s">
        <v>3078</v>
      </c>
    </row>
    <row r="2506" spans="2:25" ht="15.75">
      <c r="B2506" t="s">
        <v>2937</v>
      </c>
      <c r="D2506" s="454" t="e">
        <f>D2500*0.5</f>
        <v>#REF!</v>
      </c>
      <c r="L2506" s="545"/>
      <c r="M2506" s="545"/>
      <c r="N2506" s="545"/>
      <c r="O2506" s="545"/>
      <c r="P2506" s="698">
        <v>1</v>
      </c>
      <c r="Q2506" s="545"/>
      <c r="R2506" s="545"/>
      <c r="S2506" s="545"/>
      <c r="T2506" s="698">
        <v>0.5</v>
      </c>
      <c r="U2506" s="545"/>
      <c r="V2506" s="698">
        <v>0.5</v>
      </c>
    </row>
    <row r="2507" spans="2:25" ht="15.75">
      <c r="B2507" s="659" t="s">
        <v>2953</v>
      </c>
      <c r="C2507" s="1112"/>
      <c r="D2507" s="660">
        <v>1100</v>
      </c>
      <c r="E2507" s="478" t="s">
        <v>3051</v>
      </c>
      <c r="L2507" s="545"/>
      <c r="M2507" s="545"/>
      <c r="N2507" s="545"/>
      <c r="O2507" s="545"/>
      <c r="P2507" s="545"/>
      <c r="Q2507" s="545"/>
      <c r="R2507" s="545"/>
      <c r="S2507" s="545"/>
      <c r="T2507" s="545"/>
      <c r="U2507" s="545"/>
      <c r="V2507" s="545"/>
    </row>
    <row r="2508" spans="2:25" ht="15.75">
      <c r="E2508" s="478" t="s">
        <v>3053</v>
      </c>
      <c r="L2508" s="696" t="s">
        <v>2803</v>
      </c>
      <c r="M2508" s="545"/>
      <c r="N2508" s="697" t="s">
        <v>1250</v>
      </c>
      <c r="O2508" s="545"/>
      <c r="P2508" s="696" t="s">
        <v>2705</v>
      </c>
      <c r="Q2508" s="545"/>
      <c r="R2508" s="545"/>
      <c r="S2508" s="696" t="str">
        <f>L2508</f>
        <v>ETB</v>
      </c>
      <c r="T2508" s="545"/>
      <c r="U2508" s="2579" t="s">
        <v>2725</v>
      </c>
      <c r="V2508" s="2579"/>
    </row>
    <row r="2509" spans="2:25" ht="15.75">
      <c r="B2509" s="478" t="s">
        <v>682</v>
      </c>
      <c r="C2509" s="478"/>
      <c r="D2509" s="538">
        <v>0.25</v>
      </c>
      <c r="L2509" s="545"/>
      <c r="M2509" s="545"/>
      <c r="N2509" s="545"/>
      <c r="O2509" s="545"/>
      <c r="P2509" s="545"/>
      <c r="Q2509" s="545"/>
      <c r="R2509" s="545"/>
      <c r="S2509" s="545"/>
      <c r="T2509" s="545"/>
      <c r="U2509" s="545"/>
      <c r="V2509" s="545"/>
    </row>
    <row r="2510" spans="2:25" ht="15.75">
      <c r="B2510" t="s">
        <v>2938</v>
      </c>
      <c r="D2510" s="538">
        <v>0.06</v>
      </c>
      <c r="L2510" s="545"/>
      <c r="M2510" s="698">
        <v>0.25</v>
      </c>
      <c r="N2510" s="698">
        <v>0.5</v>
      </c>
      <c r="O2510" s="545"/>
      <c r="P2510" s="699">
        <v>0.25</v>
      </c>
      <c r="Q2510" s="545"/>
      <c r="R2510" s="545"/>
      <c r="S2510" s="699">
        <v>0.25</v>
      </c>
      <c r="T2510" s="545"/>
      <c r="U2510" s="699">
        <v>0.75</v>
      </c>
      <c r="V2510" s="700">
        <v>1</v>
      </c>
    </row>
    <row r="2511" spans="2:25" ht="15.75">
      <c r="L2511" s="545"/>
      <c r="M2511" s="545"/>
      <c r="N2511" s="545"/>
      <c r="O2511" s="545"/>
      <c r="P2511" s="545"/>
      <c r="Q2511" s="545"/>
      <c r="R2511" s="545"/>
      <c r="S2511" s="545"/>
      <c r="T2511" s="545"/>
      <c r="U2511" s="545"/>
      <c r="V2511" s="545"/>
    </row>
    <row r="2512" spans="2:25" ht="15.75">
      <c r="B2512" s="451" t="s">
        <v>2602</v>
      </c>
      <c r="C2512" s="451"/>
      <c r="D2512" s="451">
        <v>2013</v>
      </c>
      <c r="E2512" s="451">
        <f>D2512+1</f>
        <v>2014</v>
      </c>
      <c r="F2512" s="451">
        <f>E2512+1</f>
        <v>2015</v>
      </c>
      <c r="G2512" s="451">
        <f>F2512+1</f>
        <v>2016</v>
      </c>
      <c r="L2512" s="545"/>
      <c r="M2512" s="545"/>
      <c r="N2512" s="545"/>
      <c r="O2512" s="545"/>
      <c r="P2512" s="545"/>
      <c r="Q2512" s="545"/>
      <c r="R2512" s="545"/>
      <c r="S2512" s="545"/>
      <c r="T2512" s="545"/>
      <c r="U2512" s="545"/>
      <c r="V2512" s="545"/>
    </row>
    <row r="2513" spans="2:22" ht="15.75">
      <c r="B2513" t="s">
        <v>2939</v>
      </c>
      <c r="D2513" s="454">
        <f>$D$2510*(1-$D$2509)*$D$2507*0.5</f>
        <v>24.75</v>
      </c>
      <c r="E2513" s="454">
        <f>$D$2510*(1-$D$2509)*$D$2507</f>
        <v>49.5</v>
      </c>
      <c r="F2513" s="454">
        <f>$D$2510*(1-$D$2509)*$D$2507</f>
        <v>49.5</v>
      </c>
      <c r="G2513" s="454">
        <f>$D$2510*(1-$D$2509)*$D$2507</f>
        <v>49.5</v>
      </c>
      <c r="L2513" s="545"/>
      <c r="M2513" s="545"/>
      <c r="N2513" s="701" t="s">
        <v>887</v>
      </c>
      <c r="O2513" s="545"/>
      <c r="P2513" s="545"/>
      <c r="Q2513" s="545"/>
      <c r="R2513" s="545"/>
      <c r="S2513" s="545"/>
      <c r="T2513" s="701" t="s">
        <v>887</v>
      </c>
      <c r="U2513" s="545"/>
      <c r="V2513" s="701" t="s">
        <v>2705</v>
      </c>
    </row>
    <row r="2514" spans="2:22" ht="15.75">
      <c r="B2514" s="478" t="s">
        <v>2940</v>
      </c>
      <c r="C2514" s="478"/>
      <c r="D2514" s="454">
        <f>D2513</f>
        <v>24.75</v>
      </c>
      <c r="E2514" s="454">
        <f>D2514+E2513</f>
        <v>74.25</v>
      </c>
      <c r="F2514" s="454">
        <f>E2514+F2513</f>
        <v>123.75</v>
      </c>
      <c r="G2514" s="454">
        <f>F2514+G2513</f>
        <v>173.25</v>
      </c>
      <c r="L2514" s="545"/>
      <c r="M2514" s="545"/>
      <c r="N2514" s="665"/>
      <c r="O2514" s="545"/>
      <c r="P2514" s="545"/>
      <c r="Q2514" s="545"/>
      <c r="R2514" s="545"/>
      <c r="S2514" s="545"/>
      <c r="T2514" s="665"/>
      <c r="U2514" s="545"/>
      <c r="V2514" s="665"/>
    </row>
    <row r="2515" spans="2:22" ht="15.75">
      <c r="B2515" s="478" t="s">
        <v>2954</v>
      </c>
      <c r="C2515" s="478"/>
      <c r="D2515" s="464" t="e">
        <f>Valuation!#REF!+$D$2507+D2514</f>
        <v>#REF!</v>
      </c>
      <c r="E2515" s="464">
        <f>Valuation!D16+$D$2507+E2514</f>
        <v>5172.25</v>
      </c>
      <c r="F2515" s="464">
        <f>Valuation!E16+$D$2507+F2514</f>
        <v>5518.75</v>
      </c>
      <c r="G2515" s="464">
        <f>Valuation!F16+$D$2507+G2514</f>
        <v>5460.25</v>
      </c>
      <c r="L2515" s="545"/>
      <c r="M2515" s="545"/>
      <c r="N2515" s="545"/>
      <c r="O2515" s="545"/>
      <c r="P2515" s="545"/>
      <c r="Q2515" s="545"/>
      <c r="R2515" s="545"/>
      <c r="S2515" s="545"/>
      <c r="T2515" s="545"/>
      <c r="U2515" s="545"/>
      <c r="V2515" s="545"/>
    </row>
    <row r="2516" spans="2:22" ht="15.75">
      <c r="L2516" s="695" t="s">
        <v>3046</v>
      </c>
      <c r="M2516" s="695"/>
      <c r="N2516" s="695"/>
      <c r="O2516" s="695"/>
      <c r="P2516" s="695"/>
      <c r="Q2516" s="695"/>
      <c r="R2516" s="695"/>
      <c r="S2516" s="695" t="s">
        <v>3047</v>
      </c>
      <c r="T2516" s="695"/>
      <c r="U2516" s="695"/>
      <c r="V2516" s="545"/>
    </row>
    <row r="2517" spans="2:22" ht="15.75">
      <c r="B2517" s="478" t="s">
        <v>2949</v>
      </c>
      <c r="C2517" s="478"/>
      <c r="D2517" s="464" t="e">
        <f>Master!#REF!+Colombia!J240</f>
        <v>#REF!</v>
      </c>
      <c r="E2517" s="464" t="e">
        <f ca="1">Master!#REF!+Colombia!K240</f>
        <v>#REF!</v>
      </c>
      <c r="F2517" s="464" t="e">
        <f>Master!#REF!+Colombia!L240</f>
        <v>#REF!</v>
      </c>
      <c r="G2517" s="464" t="e">
        <f ca="1">Master!#REF!+Colombia!M240</f>
        <v>#REF!</v>
      </c>
      <c r="L2517" s="543"/>
      <c r="M2517" s="544" t="s">
        <v>1250</v>
      </c>
      <c r="N2517" s="544" t="s">
        <v>3034</v>
      </c>
      <c r="O2517" s="545"/>
      <c r="P2517" s="545"/>
      <c r="Q2517" s="545"/>
      <c r="R2517" s="545"/>
      <c r="S2517" s="543"/>
      <c r="T2517" s="544" t="s">
        <v>1250</v>
      </c>
      <c r="U2517" s="544" t="s">
        <v>3034</v>
      </c>
      <c r="V2517" s="545"/>
    </row>
    <row r="2518" spans="2:22" ht="15.75">
      <c r="B2518" s="478" t="s">
        <v>2950</v>
      </c>
      <c r="C2518" s="478"/>
      <c r="D2518" s="464">
        <f>Master!P14+Colombia!J240</f>
        <v>314</v>
      </c>
      <c r="E2518" s="464">
        <f ca="1">Master!Q14+Colombia!K240</f>
        <v>2484.6576976280908</v>
      </c>
      <c r="F2518" s="464">
        <f>Master!R14+Colombia!L240</f>
        <v>2579.692619329323</v>
      </c>
      <c r="G2518" s="464">
        <f ca="1">Master!S14+Colombia!M240</f>
        <v>2524.3975165467732</v>
      </c>
      <c r="L2518" s="545" t="s">
        <v>887</v>
      </c>
      <c r="M2518" s="694">
        <f>N2510</f>
        <v>0.5</v>
      </c>
      <c r="N2518" s="694">
        <f>P2510*P2506</f>
        <v>0.25</v>
      </c>
      <c r="O2518" s="545"/>
      <c r="P2518" s="545"/>
      <c r="Q2518" s="545"/>
      <c r="R2518" s="545"/>
      <c r="S2518" s="545" t="s">
        <v>887</v>
      </c>
      <c r="T2518" s="694">
        <f>T2506*U2510</f>
        <v>0.375</v>
      </c>
      <c r="U2518" s="694">
        <f>U2510*V2506</f>
        <v>0.375</v>
      </c>
      <c r="V2518" s="545"/>
    </row>
    <row r="2519" spans="2:22" ht="15.75">
      <c r="B2519" s="478"/>
      <c r="C2519" s="478"/>
      <c r="D2519" s="464"/>
      <c r="E2519" s="464"/>
      <c r="F2519" s="464"/>
      <c r="G2519" s="464"/>
      <c r="L2519" s="545" t="s">
        <v>2705</v>
      </c>
      <c r="M2519" s="694">
        <v>0</v>
      </c>
      <c r="N2519" s="694">
        <f>P2506</f>
        <v>1</v>
      </c>
      <c r="O2519" s="545"/>
      <c r="P2519" s="545"/>
      <c r="Q2519" s="545"/>
      <c r="R2519" s="545"/>
      <c r="S2519" s="545" t="s">
        <v>2705</v>
      </c>
      <c r="T2519" s="694">
        <f>V2510*T2506</f>
        <v>0.5</v>
      </c>
      <c r="U2519" s="694">
        <f>V2506*V2510</f>
        <v>0.5</v>
      </c>
      <c r="V2519" s="545"/>
    </row>
    <row r="2520" spans="2:22">
      <c r="B2520" s="478" t="s">
        <v>3028</v>
      </c>
      <c r="C2520" s="478"/>
      <c r="D2520" s="464" t="e">
        <f>Valuation!#REF!+0.5*Colombia!J216</f>
        <v>#REF!</v>
      </c>
      <c r="E2520" s="464" t="e">
        <f ca="1">Valuation!#REF!+0.5*Colombia!K216</f>
        <v>#REF!</v>
      </c>
      <c r="F2520" s="464" t="e">
        <f>Valuation!#REF!+0.5*Colombia!L216</f>
        <v>#REF!</v>
      </c>
      <c r="G2520" s="464" t="e">
        <f ca="1">Valuation!#REF!+0.5*Colombia!M216</f>
        <v>#REF!</v>
      </c>
      <c r="H2520" s="456" t="e">
        <f ca="1">(G2520/D2520)^(1/3)-1</f>
        <v>#REF!</v>
      </c>
    </row>
    <row r="2521" spans="2:22">
      <c r="B2521" s="478" t="s">
        <v>2945</v>
      </c>
      <c r="C2521" s="478"/>
      <c r="D2521" s="464" t="e">
        <f>Valuation!#REF!+0.5*Colombia!J240</f>
        <v>#REF!</v>
      </c>
      <c r="E2521" s="464">
        <f ca="1">Valuation!D85+0.5*Colombia!K240</f>
        <v>1575.717211778724</v>
      </c>
      <c r="F2521" s="464">
        <f>Valuation!E85+0.5*Colombia!L240</f>
        <v>1752.8195317804311</v>
      </c>
      <c r="G2521" s="464">
        <f ca="1">Valuation!F85+0.5*Colombia!M240</f>
        <v>1748.6991722551784</v>
      </c>
      <c r="H2521" s="456" t="e">
        <f ca="1">(G2521/D2521)^(1/3)-1</f>
        <v>#REF!</v>
      </c>
      <c r="L2521" s="478" t="s">
        <v>3054</v>
      </c>
      <c r="S2521" s="478" t="s">
        <v>3054</v>
      </c>
    </row>
    <row r="2522" spans="2:22">
      <c r="B2522" s="478" t="s">
        <v>2946</v>
      </c>
      <c r="C2522" s="478"/>
      <c r="D2522" s="464" t="e">
        <f>Valuation!#REF!+0.5*Colombia!J257</f>
        <v>#REF!</v>
      </c>
      <c r="E2522" s="464" t="e">
        <f ca="1">Valuation!#REF!+0.5*Colombia!K257</f>
        <v>#REF!</v>
      </c>
      <c r="F2522" s="464" t="e">
        <f>Valuation!#REF!+0.5*Colombia!L257</f>
        <v>#REF!</v>
      </c>
      <c r="G2522" s="464" t="e">
        <f ca="1">Valuation!#REF!+0.5*Colombia!M257</f>
        <v>#REF!</v>
      </c>
      <c r="H2522" s="456" t="e">
        <f ca="1">(G2522/D2522)^(1/3)-1</f>
        <v>#REF!</v>
      </c>
      <c r="S2522" t="str">
        <f>S2518</f>
        <v>Tigo</v>
      </c>
      <c r="T2522" s="468"/>
    </row>
    <row r="2523" spans="2:22">
      <c r="B2523" s="478" t="s">
        <v>2943</v>
      </c>
      <c r="C2523" s="478"/>
      <c r="D2523" s="464">
        <f>Master!P66+Colombia!AK323*0.5-D2513</f>
        <v>-1680.75</v>
      </c>
      <c r="E2523" s="464">
        <f>Master!Q66+Colombia!AL323*0.5-E2513</f>
        <v>125.02111177872393</v>
      </c>
      <c r="F2523" s="464">
        <f>Master!R66+Colombia!AM323*0.5-F2513</f>
        <v>191.13094423153962</v>
      </c>
      <c r="G2523" s="464">
        <f>Master!S66+Colombia!AN323*0.5-G2513</f>
        <v>78</v>
      </c>
      <c r="H2523" s="456">
        <f>(G2523/D2523)^(1/3)-1</f>
        <v>-1.3593606285974487</v>
      </c>
      <c r="S2523" t="str">
        <f>S2519</f>
        <v>UNE</v>
      </c>
    </row>
    <row r="2524" spans="2:22">
      <c r="B2524" s="478"/>
      <c r="C2524" s="478"/>
      <c r="D2524" s="464"/>
      <c r="E2524" s="464"/>
      <c r="F2524" s="464"/>
      <c r="G2524" s="464"/>
    </row>
    <row r="2525" spans="2:22">
      <c r="B2525" s="478" t="s">
        <v>2951</v>
      </c>
      <c r="C2525" s="478"/>
      <c r="D2525" s="531" t="e">
        <f>D2515/D2517</f>
        <v>#REF!</v>
      </c>
      <c r="E2525" s="531" t="e">
        <f ca="1">E2515/E2517</f>
        <v>#REF!</v>
      </c>
      <c r="F2525" s="531" t="e">
        <f>F2515/F2517</f>
        <v>#REF!</v>
      </c>
      <c r="G2525" s="531" t="e">
        <f ca="1">G2515/G2517</f>
        <v>#REF!</v>
      </c>
      <c r="M2525" s="478" t="s">
        <v>150</v>
      </c>
      <c r="N2525" s="478" t="s">
        <v>360</v>
      </c>
      <c r="O2525" t="s">
        <v>3054</v>
      </c>
    </row>
    <row r="2526" spans="2:22">
      <c r="B2526" s="478" t="s">
        <v>2952</v>
      </c>
      <c r="C2526" s="478"/>
      <c r="D2526" s="531" t="e">
        <f>D2515/D2518</f>
        <v>#REF!</v>
      </c>
      <c r="E2526" s="531">
        <f ca="1">E2515/E2518</f>
        <v>2.0816750753786102</v>
      </c>
      <c r="F2526" s="531">
        <f>F2515/F2518</f>
        <v>2.1393052639871422</v>
      </c>
      <c r="G2526" s="531">
        <f ca="1">G2515/G2518</f>
        <v>2.1629913530691867</v>
      </c>
      <c r="L2526" s="478" t="s">
        <v>887</v>
      </c>
      <c r="M2526">
        <v>570</v>
      </c>
      <c r="N2526" s="454">
        <f>Colombia!I59</f>
        <v>207.42970016999595</v>
      </c>
      <c r="O2526" s="468">
        <f>M2526/N2526</f>
        <v>2.747918931246899</v>
      </c>
    </row>
    <row r="2527" spans="2:22">
      <c r="B2527" s="478"/>
      <c r="C2527" s="478"/>
      <c r="D2527" s="531"/>
      <c r="E2527" s="531"/>
      <c r="F2527" s="531"/>
      <c r="G2527" s="531"/>
      <c r="L2527" s="487" t="s">
        <v>3061</v>
      </c>
      <c r="M2527" s="455">
        <f>400-1000+680</f>
        <v>80</v>
      </c>
      <c r="N2527" s="455">
        <f>Colombia!I237</f>
        <v>546.88</v>
      </c>
      <c r="O2527" s="483">
        <f>M2527/N2527</f>
        <v>0.14628437682855472</v>
      </c>
    </row>
    <row r="2528" spans="2:22">
      <c r="B2528" s="478" t="s">
        <v>2948</v>
      </c>
      <c r="C2528" s="478"/>
      <c r="D2528" s="454" t="e">
        <f>Valuation!#REF!+$D$2507+0.5*D2514</f>
        <v>#REF!</v>
      </c>
      <c r="E2528" s="454">
        <f>Valuation!D94+$D$2507+0.5*E2514</f>
        <v>4335.665</v>
      </c>
      <c r="F2528" s="454">
        <f>Valuation!E94+$D$2507+0.5*F2514</f>
        <v>4659.6919291338581</v>
      </c>
      <c r="G2528" s="454">
        <f>Valuation!F94+$D$2507+0.5*G2514</f>
        <v>4543.8149999999996</v>
      </c>
      <c r="M2528">
        <f>M2526+M2527</f>
        <v>650</v>
      </c>
      <c r="N2528" s="454">
        <f>N2526+N2527</f>
        <v>754.30970016999595</v>
      </c>
      <c r="O2528" s="468">
        <f>M2528/N2528</f>
        <v>0.86171502216332618</v>
      </c>
    </row>
    <row r="2529" spans="2:17">
      <c r="B2529" s="478" t="s">
        <v>2947</v>
      </c>
      <c r="C2529" s="478"/>
      <c r="D2529" s="464" t="e">
        <f>Valuation!#REF!-Valuation!#REF!+D2528</f>
        <v>#REF!</v>
      </c>
      <c r="E2529" s="464">
        <f>Valuation!D99-Valuation!D94+E2528</f>
        <v>1137.125</v>
      </c>
      <c r="F2529" s="464">
        <f>Valuation!E99-Valuation!E94+F2528</f>
        <v>8541.6688766796433</v>
      </c>
      <c r="G2529" s="464">
        <f>Valuation!F99-Valuation!F94+G2528</f>
        <v>8425.7919475457838</v>
      </c>
    </row>
    <row r="2531" spans="2:17">
      <c r="B2531" s="478" t="s">
        <v>2748</v>
      </c>
      <c r="C2531" s="478"/>
      <c r="D2531" s="468" t="e">
        <f>D2529/D2521</f>
        <v>#REF!</v>
      </c>
      <c r="E2531" s="468">
        <f ca="1">E2529/E2521</f>
        <v>0.72165550487093688</v>
      </c>
      <c r="F2531" s="468">
        <f>F2529/F2521</f>
        <v>4.8731022913713318</v>
      </c>
      <c r="G2531" s="468">
        <f ca="1">G2529/G2521</f>
        <v>4.8183198581146538</v>
      </c>
      <c r="L2531">
        <v>1000</v>
      </c>
      <c r="M2531">
        <v>0</v>
      </c>
      <c r="O2531" t="s">
        <v>2724</v>
      </c>
      <c r="P2531" t="s">
        <v>2721</v>
      </c>
      <c r="Q2531" t="s">
        <v>2722</v>
      </c>
    </row>
    <row r="2532" spans="2:17">
      <c r="B2532" s="478" t="s">
        <v>2944</v>
      </c>
      <c r="C2532" s="478"/>
      <c r="D2532" s="449" t="e">
        <f>D2531/Valuation!#REF!-1</f>
        <v>#REF!</v>
      </c>
      <c r="E2532" s="449" t="e">
        <f ca="1">E2531/Valuation!D100-1</f>
        <v>#DIV/0!</v>
      </c>
      <c r="F2532" s="449">
        <f>F2531/Valuation!E100-1</f>
        <v>5.3747797344036341E-2</v>
      </c>
      <c r="G2532" s="449">
        <f ca="1">G2531/Valuation!F100-1</f>
        <v>6.4445686032828409E-2</v>
      </c>
      <c r="P2532">
        <v>-1000</v>
      </c>
    </row>
    <row r="2533" spans="2:17">
      <c r="B2533" s="478" t="s">
        <v>2749</v>
      </c>
      <c r="C2533" s="478"/>
      <c r="D2533" s="468" t="e">
        <f>D2529/D2522</f>
        <v>#REF!</v>
      </c>
      <c r="E2533" s="468" t="e">
        <f ca="1">E2529/E2522</f>
        <v>#REF!</v>
      </c>
      <c r="F2533" s="468" t="e">
        <f>F2529/F2522</f>
        <v>#REF!</v>
      </c>
      <c r="G2533" s="468" t="e">
        <f ca="1">G2529/G2522</f>
        <v>#REF!</v>
      </c>
    </row>
    <row r="2534" spans="2:17">
      <c r="B2534" s="478"/>
      <c r="C2534" s="478"/>
      <c r="D2534" s="468"/>
      <c r="E2534" s="468"/>
      <c r="F2534" s="468"/>
      <c r="G2534" s="468"/>
    </row>
    <row r="2535" spans="2:17">
      <c r="B2535" s="478" t="s">
        <v>2944</v>
      </c>
      <c r="C2535" s="478"/>
      <c r="D2535" s="449" t="e">
        <f>D2533/Valuation!#REF!-1</f>
        <v>#REF!</v>
      </c>
      <c r="E2535" s="449" t="e">
        <f ca="1">E2533/Valuation!D64-1</f>
        <v>#REF!</v>
      </c>
      <c r="F2535" s="449" t="e">
        <f ca="1">F2533/Valuation!E64-1</f>
        <v>#REF!</v>
      </c>
      <c r="G2535" s="449" t="e">
        <f ca="1">G2533/Valuation!F64-1</f>
        <v>#REF!</v>
      </c>
      <c r="K2535" s="616" t="s">
        <v>2602</v>
      </c>
      <c r="L2535" s="495"/>
      <c r="M2535" s="495"/>
      <c r="N2535" s="455"/>
      <c r="P2535" s="487" t="s">
        <v>3069</v>
      </c>
    </row>
    <row r="2536" spans="2:17">
      <c r="B2536" s="478" t="s">
        <v>1649</v>
      </c>
      <c r="C2536" s="478"/>
      <c r="D2536" s="570" t="e">
        <f>Valuation!#REF!/D2523</f>
        <v>#REF!</v>
      </c>
      <c r="E2536" s="570">
        <f>Valuation!D10/E2523</f>
        <v>23.636343957892141</v>
      </c>
      <c r="F2536" s="570">
        <f>Valuation!E10/F2523</f>
        <v>15.460824576998929</v>
      </c>
      <c r="G2536" s="570">
        <f>Valuation!F10/G2523</f>
        <v>37.885153846153841</v>
      </c>
      <c r="K2536" t="s">
        <v>3066</v>
      </c>
      <c r="N2536">
        <v>2200</v>
      </c>
      <c r="P2536" s="478" t="s">
        <v>3070</v>
      </c>
    </row>
    <row r="2537" spans="2:17">
      <c r="B2537" s="478" t="s">
        <v>2944</v>
      </c>
      <c r="C2537" s="478"/>
      <c r="D2537" s="449" t="e">
        <f>D2536/Valuation!#REF!-1</f>
        <v>#REF!</v>
      </c>
      <c r="E2537" s="449">
        <f>E2536/Valuation!D73-1</f>
        <v>0.3828246710858223</v>
      </c>
      <c r="F2537" s="449">
        <f>F2536/Valuation!E73-1</f>
        <v>0.24716230155379293</v>
      </c>
      <c r="G2537" s="449">
        <f>G2536/Valuation!F73-1</f>
        <v>0.61926558968612766</v>
      </c>
    </row>
    <row r="2538" spans="2:17">
      <c r="K2538" s="455" t="s">
        <v>3067</v>
      </c>
      <c r="L2538" s="495" t="s">
        <v>3064</v>
      </c>
      <c r="M2538" s="495" t="s">
        <v>3065</v>
      </c>
      <c r="N2538" s="455" t="s">
        <v>153</v>
      </c>
    </row>
    <row r="2539" spans="2:17">
      <c r="B2539" s="693" t="s">
        <v>3032</v>
      </c>
      <c r="C2539" s="693"/>
      <c r="F2539" s="478"/>
      <c r="H2539" s="478"/>
      <c r="K2539" t="s">
        <v>568</v>
      </c>
      <c r="L2539">
        <f>0.5*570</f>
        <v>285</v>
      </c>
      <c r="M2539" s="454">
        <f>570*T2506*U2510</f>
        <v>213.75</v>
      </c>
      <c r="N2539" s="454">
        <f>M2539-L2539</f>
        <v>-71.25</v>
      </c>
      <c r="P2539" s="478" t="s">
        <v>3071</v>
      </c>
    </row>
    <row r="2540" spans="2:17">
      <c r="K2540" t="s">
        <v>3062</v>
      </c>
      <c r="L2540">
        <v>0</v>
      </c>
      <c r="M2540">
        <f>-1100*T2506</f>
        <v>-550</v>
      </c>
      <c r="N2540">
        <f>L2540+M2540</f>
        <v>-550</v>
      </c>
      <c r="P2540" s="478" t="s">
        <v>3072</v>
      </c>
    </row>
    <row r="2541" spans="2:17">
      <c r="B2541" t="s">
        <v>3031</v>
      </c>
      <c r="K2541" s="455" t="s">
        <v>2727</v>
      </c>
      <c r="L2541" s="455">
        <v>0</v>
      </c>
      <c r="M2541" s="455">
        <f>(200+680)*V2510*T2506</f>
        <v>440</v>
      </c>
      <c r="N2541" s="455">
        <f>L2541+M2541</f>
        <v>440</v>
      </c>
      <c r="P2541" s="478" t="s">
        <v>3073</v>
      </c>
    </row>
    <row r="2542" spans="2:17">
      <c r="B2542" s="478" t="s">
        <v>3033</v>
      </c>
      <c r="C2542" s="478"/>
      <c r="K2542" t="s">
        <v>1107</v>
      </c>
      <c r="L2542" s="454">
        <f>SUM(L2539:L2541)</f>
        <v>285</v>
      </c>
      <c r="M2542" s="454">
        <f>SUM(M2539:M2541)</f>
        <v>103.75</v>
      </c>
      <c r="N2542" s="454">
        <f>SUM(N2539:N2541)</f>
        <v>-181.25</v>
      </c>
    </row>
    <row r="2543" spans="2:17">
      <c r="B2543" s="478" t="s">
        <v>3035</v>
      </c>
      <c r="C2543" s="478"/>
    </row>
    <row r="2544" spans="2:17">
      <c r="B2544" s="478" t="s">
        <v>3036</v>
      </c>
      <c r="C2544" s="478"/>
      <c r="E2544" s="478"/>
      <c r="G2544" s="478"/>
      <c r="K2544" t="s">
        <v>2722</v>
      </c>
      <c r="M2544" s="454">
        <f>M2536+M2542</f>
        <v>103.75</v>
      </c>
      <c r="N2544" s="454">
        <f>N2536+N2542</f>
        <v>2018.75</v>
      </c>
    </row>
    <row r="2545" spans="2:16">
      <c r="B2545" s="478" t="s">
        <v>3037</v>
      </c>
      <c r="C2545" s="478"/>
      <c r="E2545" s="449"/>
      <c r="G2545" s="449"/>
    </row>
    <row r="2546" spans="2:16">
      <c r="K2546" s="455" t="s">
        <v>3063</v>
      </c>
      <c r="L2546" s="495" t="str">
        <f>L2538</f>
        <v>pre</v>
      </c>
      <c r="M2546" s="495" t="str">
        <f>M2538</f>
        <v>post</v>
      </c>
      <c r="N2546" s="495" t="str">
        <f>N2538</f>
        <v>change</v>
      </c>
    </row>
    <row r="2547" spans="2:16">
      <c r="F2547" s="478"/>
      <c r="K2547" t="s">
        <v>2705</v>
      </c>
      <c r="L2547">
        <v>0</v>
      </c>
      <c r="M2547">
        <f>256+48</f>
        <v>304</v>
      </c>
      <c r="N2547">
        <f>L2547+M2547</f>
        <v>304</v>
      </c>
      <c r="P2547" s="478" t="s">
        <v>3074</v>
      </c>
    </row>
    <row r="2548" spans="2:16">
      <c r="K2548" s="455" t="s">
        <v>887</v>
      </c>
      <c r="L2548" s="462">
        <f>0.5*Colombia!I59</f>
        <v>103.71485008499798</v>
      </c>
      <c r="M2548" s="462">
        <f>Colombia!I59*T2506*U2510</f>
        <v>77.786137563748483</v>
      </c>
      <c r="N2548" s="462">
        <f>M2548-L2548</f>
        <v>-25.928712521249494</v>
      </c>
      <c r="P2548" s="478" t="s">
        <v>3075</v>
      </c>
    </row>
    <row r="2549" spans="2:16">
      <c r="B2549" s="478" t="s">
        <v>3038</v>
      </c>
      <c r="C2549" s="478"/>
      <c r="K2549" t="s">
        <v>2087</v>
      </c>
      <c r="L2549" s="454">
        <f>L2547+L2548</f>
        <v>103.71485008499798</v>
      </c>
      <c r="M2549" s="454">
        <f>M2547+M2548</f>
        <v>381.78613756374847</v>
      </c>
      <c r="N2549" s="454">
        <f>N2547+N2548</f>
        <v>278.07128747875049</v>
      </c>
    </row>
    <row r="2550" spans="2:16">
      <c r="B2550" s="478" t="s">
        <v>3048</v>
      </c>
      <c r="C2550" s="478"/>
    </row>
    <row r="2551" spans="2:16">
      <c r="B2551" s="478" t="s">
        <v>3049</v>
      </c>
      <c r="C2551" s="478"/>
      <c r="K2551" s="478" t="s">
        <v>3068</v>
      </c>
      <c r="N2551" s="468">
        <f>N2544/N2549</f>
        <v>7.2598290111281907</v>
      </c>
    </row>
    <row r="2552" spans="2:16">
      <c r="B2552" s="478"/>
      <c r="C2552" s="478"/>
    </row>
    <row r="2553" spans="2:16">
      <c r="B2553" s="478" t="s">
        <v>245</v>
      </c>
      <c r="C2553" s="478"/>
      <c r="D2553">
        <v>1300</v>
      </c>
    </row>
    <row r="2554" spans="2:16">
      <c r="B2554" s="478" t="s">
        <v>3050</v>
      </c>
      <c r="C2554" s="478"/>
      <c r="D2554">
        <v>570</v>
      </c>
    </row>
    <row r="2555" spans="2:16">
      <c r="B2555" s="478" t="s">
        <v>109</v>
      </c>
      <c r="C2555" s="478"/>
      <c r="D2555">
        <f>D2553-D2554</f>
        <v>730</v>
      </c>
    </row>
    <row r="2557" spans="2:16">
      <c r="B2557" s="478" t="s">
        <v>3052</v>
      </c>
      <c r="C2557" s="478"/>
      <c r="D2557" s="454">
        <f>0.25*D2555</f>
        <v>182.5</v>
      </c>
    </row>
    <row r="2559" spans="2:16">
      <c r="B2559" s="478" t="s">
        <v>3054</v>
      </c>
      <c r="C2559" s="478"/>
    </row>
    <row r="2560" spans="2:16">
      <c r="D2560" s="478" t="s">
        <v>150</v>
      </c>
      <c r="E2560" s="478" t="s">
        <v>360</v>
      </c>
      <c r="F2560" s="478" t="s">
        <v>3055</v>
      </c>
    </row>
    <row r="2561" spans="2:9">
      <c r="B2561" s="478" t="s">
        <v>887</v>
      </c>
      <c r="C2561" s="478"/>
      <c r="D2561" s="454" t="e">
        <f>SOP!#REF!</f>
        <v>#REF!</v>
      </c>
      <c r="E2561" s="454">
        <f>Colombia!I59</f>
        <v>207.42970016999595</v>
      </c>
      <c r="F2561" s="468" t="e">
        <f>D2561/E2561</f>
        <v>#REF!</v>
      </c>
    </row>
    <row r="2562" spans="2:9">
      <c r="B2562" s="487" t="s">
        <v>2705</v>
      </c>
      <c r="C2562" s="487"/>
      <c r="D2562" s="462">
        <f>-Colombia!D564+D2568+D2569-860+240</f>
        <v>570.40000000000009</v>
      </c>
      <c r="E2562" s="462">
        <f>Colombia!I240</f>
        <v>302.1436464088398</v>
      </c>
      <c r="F2562" s="483">
        <f>D2562/E2562</f>
        <v>1.8878437682855473</v>
      </c>
    </row>
    <row r="2563" spans="2:9">
      <c r="B2563" s="478" t="s">
        <v>3058</v>
      </c>
      <c r="C2563" s="478"/>
      <c r="D2563" s="454" t="e">
        <f>D2561+D2562</f>
        <v>#REF!</v>
      </c>
      <c r="E2563" s="454">
        <f>E2561+E2562</f>
        <v>509.57334657883575</v>
      </c>
      <c r="F2563" s="468" t="e">
        <f>D2563/E2563</f>
        <v>#REF!</v>
      </c>
    </row>
    <row r="2564" spans="2:9">
      <c r="B2564" s="478" t="s">
        <v>3059</v>
      </c>
      <c r="C2564" s="478"/>
      <c r="D2564" s="454" t="e">
        <f>SOP!I11+SOP!#REF!</f>
        <v>#REF!</v>
      </c>
      <c r="E2564" s="454"/>
      <c r="F2564" s="468"/>
    </row>
    <row r="2565" spans="2:9">
      <c r="B2565" s="478" t="s">
        <v>109</v>
      </c>
      <c r="C2565" s="478"/>
      <c r="D2565" s="454" t="e">
        <f>D2564-D2563</f>
        <v>#REF!</v>
      </c>
      <c r="E2565" s="454"/>
      <c r="F2565" s="468"/>
    </row>
    <row r="2567" spans="2:9">
      <c r="B2567" s="478" t="s">
        <v>3056</v>
      </c>
      <c r="C2567" s="478"/>
    </row>
    <row r="2568" spans="2:9">
      <c r="B2568" s="478" t="s">
        <v>3080</v>
      </c>
      <c r="C2568" s="478"/>
      <c r="D2568" s="454">
        <f>48*5*0.46</f>
        <v>110.4</v>
      </c>
    </row>
    <row r="2569" spans="2:9">
      <c r="B2569" s="478" t="s">
        <v>3057</v>
      </c>
      <c r="C2569" s="478"/>
      <c r="D2569">
        <v>680</v>
      </c>
    </row>
    <row r="2571" spans="2:9">
      <c r="B2571" s="693" t="s">
        <v>3093</v>
      </c>
      <c r="C2571" s="693"/>
    </row>
    <row r="2573" spans="2:9">
      <c r="B2573" s="487" t="s">
        <v>3094</v>
      </c>
      <c r="C2573" s="487"/>
      <c r="D2573" s="455">
        <v>2013</v>
      </c>
      <c r="E2573" s="455">
        <f>D2573+1</f>
        <v>2014</v>
      </c>
      <c r="F2573" s="455">
        <f>E2573+1</f>
        <v>2015</v>
      </c>
      <c r="G2573" s="455">
        <f>F2573+1</f>
        <v>2016</v>
      </c>
      <c r="H2573" s="455">
        <f>G2573+1</f>
        <v>2017</v>
      </c>
      <c r="I2573" s="455">
        <f>H2573+1</f>
        <v>2018</v>
      </c>
    </row>
    <row r="2574" spans="2:9">
      <c r="B2574" s="478" t="s">
        <v>758</v>
      </c>
      <c r="C2574" s="478"/>
      <c r="D2574" s="464">
        <f>Div!M37-Div!M35-Div!M31</f>
        <v>5553.2034311307607</v>
      </c>
      <c r="E2574" s="464">
        <f>Div!N37-Div!N35-Div!N31</f>
        <v>5888.3680559090717</v>
      </c>
      <c r="F2574" s="464">
        <f>Div!O37-Div!O35-Div!O31</f>
        <v>5687.6643374045061</v>
      </c>
      <c r="G2574" s="464">
        <f ca="1">Div!P37-Div!P35-Div!P31</f>
        <v>5237.51160094234</v>
      </c>
      <c r="H2574" s="464">
        <f ca="1">Div!Q37-Div!Q35-Div!Q31</f>
        <v>5323.9824594483525</v>
      </c>
      <c r="I2574" s="464">
        <f ca="1">Div!R37-Div!R35-Div!R31</f>
        <v>5435.5077914455178</v>
      </c>
    </row>
    <row r="2575" spans="2:9">
      <c r="B2575" s="478" t="s">
        <v>761</v>
      </c>
      <c r="C2575" s="478"/>
      <c r="D2575" s="464">
        <f>Div!M53-Div!M51-Div!M47</f>
        <v>2239.3999999999996</v>
      </c>
      <c r="E2575" s="464">
        <f>Div!N53-Div!N51-Div!N47</f>
        <v>2226.4185681588733</v>
      </c>
      <c r="F2575" s="464">
        <f>Div!O53-Div!O51-Div!O47</f>
        <v>2128.4383249022167</v>
      </c>
      <c r="G2575" s="464">
        <f ca="1">Div!P53-Div!P51-Div!P47</f>
        <v>2035.8069761328745</v>
      </c>
      <c r="H2575" s="464">
        <f ca="1">Div!Q53-Div!Q51-Div!Q47</f>
        <v>2058.2770134179909</v>
      </c>
      <c r="I2575" s="464">
        <f ca="1">Div!R53-Div!R51-Div!R47</f>
        <v>2061.2313447368392</v>
      </c>
    </row>
    <row r="2576" spans="2:9">
      <c r="B2576" s="478" t="s">
        <v>1434</v>
      </c>
      <c r="C2576" s="478"/>
      <c r="D2576" s="456">
        <f t="shared" ref="D2576:F2576" si="302">D2575/D2574</f>
        <v>0.4032627343428703</v>
      </c>
      <c r="E2576" s="456">
        <f t="shared" si="302"/>
        <v>0.37810451843692527</v>
      </c>
      <c r="F2576" s="456">
        <f t="shared" si="302"/>
        <v>0.37422010137002965</v>
      </c>
      <c r="G2576" s="456">
        <f ca="1">G2575/G2574</f>
        <v>0.38869736837749236</v>
      </c>
      <c r="H2576" s="456">
        <f ca="1">H2575/H2574</f>
        <v>0.38660476984953485</v>
      </c>
      <c r="I2576" s="456">
        <f ca="1">I2575/I2574</f>
        <v>0.37921596727003787</v>
      </c>
    </row>
    <row r="2577" spans="2:9">
      <c r="B2577" s="478" t="s">
        <v>1545</v>
      </c>
      <c r="C2577" s="478"/>
      <c r="D2577" s="464">
        <f>Div!M83-Div!M82-Div!M78</f>
        <v>1083</v>
      </c>
      <c r="E2577" s="464">
        <f>Div!N83-Div!N82-Div!N78</f>
        <v>1204</v>
      </c>
      <c r="F2577" s="464">
        <f ca="1">Div!O83-Div!O82-Div!O78</f>
        <v>1015.2847050847457</v>
      </c>
      <c r="G2577" s="464">
        <f ca="1">Div!P83-Div!P82-Div!P78</f>
        <v>879.98243929432726</v>
      </c>
      <c r="H2577" s="464">
        <f ca="1">Div!Q83-Div!Q82-Div!Q78</f>
        <v>837.47333108830742</v>
      </c>
      <c r="I2577" s="464">
        <f ca="1">Div!R83-Div!R82-Div!R78</f>
        <v>805.25000220489153</v>
      </c>
    </row>
    <row r="2578" spans="2:9">
      <c r="B2578" s="478" t="s">
        <v>1552</v>
      </c>
      <c r="C2578" s="478"/>
      <c r="D2578" s="464">
        <f t="shared" ref="D2578:E2578" si="303">D2575-D2577</f>
        <v>1156.3999999999996</v>
      </c>
      <c r="E2578" s="464">
        <f t="shared" si="303"/>
        <v>1022.4185681588733</v>
      </c>
      <c r="F2578" s="464">
        <f ca="1">F2575-F2577</f>
        <v>1113.1536198174708</v>
      </c>
      <c r="G2578" s="464">
        <f ca="1">G2575-G2577</f>
        <v>1155.8245368385474</v>
      </c>
      <c r="H2578" s="464">
        <f ca="1">H2575-H2577</f>
        <v>1220.8036823296834</v>
      </c>
      <c r="I2578" s="464">
        <f ca="1">I2575-I2577</f>
        <v>1255.9813425319476</v>
      </c>
    </row>
    <row r="2580" spans="2:9">
      <c r="B2580" s="487" t="s">
        <v>1647</v>
      </c>
      <c r="C2580" s="487"/>
      <c r="D2580" s="455">
        <f t="shared" ref="D2580:I2580" si="304">D2573</f>
        <v>2013</v>
      </c>
      <c r="E2580" s="455">
        <f t="shared" si="304"/>
        <v>2014</v>
      </c>
      <c r="F2580" s="455">
        <f t="shared" si="304"/>
        <v>2015</v>
      </c>
      <c r="G2580" s="455">
        <f t="shared" si="304"/>
        <v>2016</v>
      </c>
      <c r="H2580" s="455">
        <f t="shared" si="304"/>
        <v>2017</v>
      </c>
      <c r="I2580" s="455">
        <f t="shared" si="304"/>
        <v>2018</v>
      </c>
    </row>
    <row r="2581" spans="2:9">
      <c r="B2581" t="str">
        <f>B2574</f>
        <v>Revenue</v>
      </c>
      <c r="D2581" s="464">
        <v>5047.2753751830169</v>
      </c>
      <c r="E2581" s="464">
        <v>5370.7875364059828</v>
      </c>
      <c r="F2581" s="464">
        <v>5799.4454413185094</v>
      </c>
      <c r="G2581" s="464">
        <v>6299.4974991366453</v>
      </c>
      <c r="H2581" s="464">
        <v>6885.5404439838512</v>
      </c>
      <c r="I2581" s="464">
        <v>7439.8809462262579</v>
      </c>
    </row>
    <row r="2582" spans="2:9">
      <c r="B2582" t="str">
        <f>B2575</f>
        <v>Reported EBITDA</v>
      </c>
      <c r="D2582" s="464">
        <v>2021.1448565673654</v>
      </c>
      <c r="E2582" s="464">
        <v>2099.9272642186102</v>
      </c>
      <c r="F2582" s="464">
        <v>2276.0654494011583</v>
      </c>
      <c r="G2582" s="464">
        <v>2490.3254221707107</v>
      </c>
      <c r="H2582" s="464">
        <v>2718.7882624840581</v>
      </c>
      <c r="I2582" s="464">
        <v>2822.8333199258354</v>
      </c>
    </row>
    <row r="2583" spans="2:9">
      <c r="B2583" t="str">
        <f>B2576</f>
        <v>% margin</v>
      </c>
      <c r="D2583" s="456">
        <f t="shared" ref="D2583:I2583" si="305">D2582/D2581</f>
        <v>0.40044275501692389</v>
      </c>
      <c r="E2583" s="456">
        <f t="shared" si="305"/>
        <v>0.39099056702284612</v>
      </c>
      <c r="F2583" s="456">
        <f t="shared" si="305"/>
        <v>0.39246260223179075</v>
      </c>
      <c r="G2583" s="456">
        <f t="shared" si="305"/>
        <v>0.39532128118346155</v>
      </c>
      <c r="H2583" s="456">
        <f t="shared" si="305"/>
        <v>0.39485473719925107</v>
      </c>
      <c r="I2583" s="456">
        <f t="shared" si="305"/>
        <v>0.37941915204404791</v>
      </c>
    </row>
    <row r="2584" spans="2:9">
      <c r="B2584" t="str">
        <f>B2577</f>
        <v>Capex</v>
      </c>
      <c r="D2584" s="464">
        <v>1037.7687664984512</v>
      </c>
      <c r="E2584" s="464">
        <v>1022.4005284448647</v>
      </c>
      <c r="F2584" s="464">
        <v>1052.459676416978</v>
      </c>
      <c r="G2584" s="464">
        <v>1029.6575471200504</v>
      </c>
      <c r="H2584" s="464">
        <v>1059.2646374162534</v>
      </c>
      <c r="I2584" s="464">
        <v>1120.0908991281394</v>
      </c>
    </row>
    <row r="2585" spans="2:9">
      <c r="B2585" t="str">
        <f>B2578</f>
        <v>OpFCF</v>
      </c>
      <c r="D2585" s="464">
        <f t="shared" ref="D2585:I2585" si="306">D2582-D2584</f>
        <v>983.37609006891421</v>
      </c>
      <c r="E2585" s="464">
        <f t="shared" si="306"/>
        <v>1077.5267357737455</v>
      </c>
      <c r="F2585" s="464">
        <f t="shared" si="306"/>
        <v>1223.6057729841802</v>
      </c>
      <c r="G2585" s="464">
        <f t="shared" si="306"/>
        <v>1460.6678750506603</v>
      </c>
      <c r="H2585" s="464">
        <f t="shared" si="306"/>
        <v>1659.5236250678047</v>
      </c>
      <c r="I2585" s="464">
        <f t="shared" si="306"/>
        <v>1702.742420797696</v>
      </c>
    </row>
    <row r="2586" spans="2:9">
      <c r="I2586" s="478" t="s">
        <v>1823</v>
      </c>
    </row>
    <row r="2587" spans="2:9">
      <c r="B2587" s="487" t="s">
        <v>2353</v>
      </c>
      <c r="C2587" s="487"/>
      <c r="D2587" s="455">
        <v>2013</v>
      </c>
      <c r="E2587" s="455">
        <f>D2587+1</f>
        <v>2014</v>
      </c>
      <c r="F2587" s="455">
        <f>E2587+1</f>
        <v>2015</v>
      </c>
      <c r="G2587" s="455">
        <f>F2587+1</f>
        <v>2016</v>
      </c>
      <c r="H2587" s="455">
        <f>G2587+1</f>
        <v>2017</v>
      </c>
      <c r="I2587" s="455">
        <f>H2587+1</f>
        <v>2018</v>
      </c>
    </row>
    <row r="2588" spans="2:9">
      <c r="B2588" s="478" t="s">
        <v>758</v>
      </c>
      <c r="C2588" s="478"/>
      <c r="D2588" s="456">
        <f t="shared" ref="D2588:F2589" si="307">D2574/D2581-1</f>
        <v>0.10023785475136648</v>
      </c>
      <c r="E2588" s="456">
        <f t="shared" si="307"/>
        <v>9.636957634139498E-2</v>
      </c>
      <c r="F2588" s="456">
        <f t="shared" si="307"/>
        <v>-1.9274447021712104E-2</v>
      </c>
      <c r="G2588" s="456">
        <f t="shared" ref="G2588:I2589" ca="1" si="308">G2574/G2581-1</f>
        <v>-0.16858263668488671</v>
      </c>
      <c r="H2588" s="456">
        <f t="shared" ca="1" si="308"/>
        <v>-0.22678800556605383</v>
      </c>
      <c r="I2588" s="456">
        <f t="shared" ca="1" si="308"/>
        <v>-0.26940930496978199</v>
      </c>
    </row>
    <row r="2589" spans="2:9">
      <c r="B2589" s="478" t="s">
        <v>761</v>
      </c>
      <c r="C2589" s="478"/>
      <c r="D2589" s="456">
        <f t="shared" si="307"/>
        <v>0.10798589854826646</v>
      </c>
      <c r="E2589" s="456">
        <f t="shared" si="307"/>
        <v>6.0236040597973384E-2</v>
      </c>
      <c r="F2589" s="456">
        <f t="shared" si="307"/>
        <v>-6.4860667577807507E-2</v>
      </c>
      <c r="G2589" s="456">
        <f t="shared" ca="1" si="308"/>
        <v>-0.1825136755186203</v>
      </c>
      <c r="H2589" s="456">
        <f t="shared" ca="1" si="308"/>
        <v>-0.24294324724742711</v>
      </c>
      <c r="I2589" s="456">
        <f t="shared" ca="1" si="308"/>
        <v>-0.26980054748999693</v>
      </c>
    </row>
    <row r="2590" spans="2:9">
      <c r="B2590" s="478" t="s">
        <v>1552</v>
      </c>
      <c r="C2590" s="478"/>
      <c r="D2590" s="456">
        <f t="shared" ref="D2590:E2590" si="309">D2578/D2585-1</f>
        <v>0.17594886806629595</v>
      </c>
      <c r="E2590" s="456">
        <f t="shared" si="309"/>
        <v>-5.1143202099111162E-2</v>
      </c>
      <c r="F2590" s="456">
        <f ca="1">F2578/F2585-1</f>
        <v>-9.0267760748900527E-2</v>
      </c>
      <c r="G2590" s="456">
        <f ca="1">G2578/G2585-1</f>
        <v>-0.20870133684670789</v>
      </c>
      <c r="H2590" s="456">
        <f ca="1">H2578/H2585-1</f>
        <v>-0.26436498770555084</v>
      </c>
      <c r="I2590" s="456">
        <f ca="1">I2578/I2585-1</f>
        <v>-0.26237737006425854</v>
      </c>
    </row>
    <row r="2592" spans="2:9">
      <c r="B2592" s="487" t="s">
        <v>3095</v>
      </c>
      <c r="C2592" s="487"/>
      <c r="D2592" s="455">
        <f>D2587</f>
        <v>2013</v>
      </c>
      <c r="E2592" s="455">
        <f>E2587</f>
        <v>2014</v>
      </c>
      <c r="F2592" s="455">
        <f>F2587</f>
        <v>2015</v>
      </c>
    </row>
    <row r="2593" spans="2:9">
      <c r="B2593" t="str">
        <f>B2574</f>
        <v>Revenue</v>
      </c>
      <c r="D2593" s="464">
        <v>5065</v>
      </c>
    </row>
    <row r="2594" spans="2:9">
      <c r="B2594" t="str">
        <f>B2575</f>
        <v>Reported EBITDA</v>
      </c>
      <c r="D2594" s="464">
        <v>2040</v>
      </c>
    </row>
    <row r="2595" spans="2:9">
      <c r="B2595" t="str">
        <f>B2576</f>
        <v>% margin</v>
      </c>
      <c r="D2595" s="456">
        <f>D2594/D2593</f>
        <v>0.40276406712734453</v>
      </c>
    </row>
    <row r="2596" spans="2:9">
      <c r="B2596" t="str">
        <f>B2577</f>
        <v>Capex</v>
      </c>
      <c r="D2596" s="464">
        <v>1044</v>
      </c>
    </row>
    <row r="2597" spans="2:9">
      <c r="B2597" t="str">
        <f>B2578</f>
        <v>OpFCF</v>
      </c>
      <c r="D2597" s="464">
        <f>D2594-D2596</f>
        <v>996</v>
      </c>
    </row>
    <row r="2599" spans="2:9">
      <c r="B2599" s="693" t="s">
        <v>3093</v>
      </c>
      <c r="C2599" s="693"/>
    </row>
    <row r="2601" spans="2:9">
      <c r="D2601" s="493" t="str">
        <f>Quarts!CP246</f>
        <v>Q1 12</v>
      </c>
      <c r="E2601" s="493" t="str">
        <f>Quarts!CQ246</f>
        <v>Q2 12</v>
      </c>
      <c r="F2601" s="493" t="str">
        <f>Quarts!CR246</f>
        <v>Q3 12</v>
      </c>
      <c r="G2601" s="493" t="str">
        <f>Quarts!CS246</f>
        <v>Q4 12</v>
      </c>
      <c r="H2601" s="493" t="str">
        <f>Quarts!CT246</f>
        <v>Q1 13</v>
      </c>
      <c r="I2601" s="493" t="str">
        <f>Quarts!CU246</f>
        <v>Q2 13</v>
      </c>
    </row>
    <row r="2602" spans="2:9">
      <c r="D2602" s="456">
        <f>Quarts!CP261</f>
        <v>8.6000000000000007E-2</v>
      </c>
      <c r="E2602" s="456">
        <f>Quarts!CQ261</f>
        <v>9.7000000000000003E-2</v>
      </c>
      <c r="F2602" s="456">
        <f>Quarts!CR261</f>
        <v>9.1999999999999998E-2</v>
      </c>
      <c r="G2602" s="456">
        <f>Quarts!CS261</f>
        <v>-8.4961767204757861E-3</v>
      </c>
      <c r="H2602" s="456">
        <f ca="1">Quarts!CT261</f>
        <v>7.400000000000001E-2</v>
      </c>
      <c r="I2602" s="456">
        <f>Quarts!CU261</f>
        <v>7.6800000000000007E-2</v>
      </c>
    </row>
    <row r="2622" spans="2:10">
      <c r="B2622" s="693" t="s">
        <v>3104</v>
      </c>
      <c r="C2622" s="693"/>
    </row>
    <row r="2624" spans="2:10">
      <c r="B2624" s="455"/>
      <c r="C2624" s="455"/>
      <c r="D2624" s="455">
        <v>2012</v>
      </c>
      <c r="E2624" s="455">
        <f t="shared" ref="E2624:J2624" si="310">D2624+1</f>
        <v>2013</v>
      </c>
      <c r="F2624" s="455">
        <f t="shared" si="310"/>
        <v>2014</v>
      </c>
      <c r="G2624" s="455">
        <f t="shared" si="310"/>
        <v>2015</v>
      </c>
      <c r="H2624" s="455">
        <f t="shared" si="310"/>
        <v>2016</v>
      </c>
      <c r="I2624" s="455">
        <f t="shared" si="310"/>
        <v>2017</v>
      </c>
      <c r="J2624" s="455">
        <f t="shared" si="310"/>
        <v>2018</v>
      </c>
    </row>
    <row r="2625" spans="2:11">
      <c r="B2625" s="478" t="s">
        <v>1975</v>
      </c>
      <c r="C2625" s="478"/>
      <c r="D2625" s="454">
        <v>7094</v>
      </c>
      <c r="E2625" s="454">
        <v>7406.6407228061071</v>
      </c>
      <c r="F2625" s="454">
        <v>7564.503866580917</v>
      </c>
      <c r="G2625" s="454">
        <v>7854.3293946493177</v>
      </c>
      <c r="H2625" s="454">
        <v>8134.8171389955269</v>
      </c>
      <c r="I2625" s="454">
        <v>8536.333001486908</v>
      </c>
      <c r="J2625" s="454">
        <v>9043.267817546126</v>
      </c>
      <c r="K2625" s="456">
        <f>(J2625/D2625)^(1/6)-1</f>
        <v>4.1291607442615064E-2</v>
      </c>
    </row>
    <row r="2626" spans="2:11">
      <c r="B2626" s="478" t="s">
        <v>887</v>
      </c>
      <c r="C2626" s="478"/>
      <c r="D2626" s="454">
        <f>Colombia!H42*Colombia!H34/1000</f>
        <v>1216.1838714938594</v>
      </c>
      <c r="E2626" s="454">
        <f>Colombia!I42*Colombia!I34/1000</f>
        <v>1299.0927086985296</v>
      </c>
      <c r="F2626" s="454">
        <f>Colombia!J42*Colombia!J34/1000</f>
        <v>1508.2692562356328</v>
      </c>
      <c r="G2626" s="454">
        <f>Colombia!K42*Colombia!K34/1000</f>
        <v>1851.4005120292393</v>
      </c>
      <c r="H2626" s="454">
        <f>Colombia!L42*Colombia!L34/1000</f>
        <v>2060.1592425715357</v>
      </c>
      <c r="I2626" s="454">
        <f>Colombia!M42*Colombia!M34/1000</f>
        <v>1908.1954358842718</v>
      </c>
      <c r="J2626" s="454">
        <f>Colombia!N42*Colombia!N34/1000</f>
        <v>1851.0161466091088</v>
      </c>
      <c r="K2626" s="456">
        <f>(J2626/D2626)^(1/6)-1</f>
        <v>7.2511179725289088E-2</v>
      </c>
    </row>
    <row r="2627" spans="2:11">
      <c r="B2627" s="487" t="s">
        <v>1606</v>
      </c>
      <c r="C2627" s="487"/>
      <c r="D2627" s="462">
        <v>2321.2266</v>
      </c>
      <c r="E2627" s="462">
        <v>2337.6040759655302</v>
      </c>
      <c r="F2627" s="462">
        <v>2430.4272431897857</v>
      </c>
      <c r="G2627" s="462">
        <f>F2627*1.035</f>
        <v>2515.4921967014279</v>
      </c>
      <c r="H2627" s="462">
        <f>G2627*1.035</f>
        <v>2603.5344235859775</v>
      </c>
      <c r="I2627" s="462">
        <f>H2627*1.035</f>
        <v>2694.6581284114864</v>
      </c>
      <c r="J2627" s="462">
        <f>I2627*1.035</f>
        <v>2788.9711629058884</v>
      </c>
      <c r="K2627" s="456">
        <f>(J2627/D2627)^(1/6)-1</f>
        <v>3.1069042529448199E-2</v>
      </c>
    </row>
    <row r="2628" spans="2:11">
      <c r="B2628" s="478" t="s">
        <v>2324</v>
      </c>
      <c r="C2628" s="478"/>
      <c r="D2628" s="454">
        <f t="shared" ref="D2628:J2628" si="311">SUM(D2625:D2627)</f>
        <v>10631.41047149386</v>
      </c>
      <c r="E2628" s="454">
        <f t="shared" si="311"/>
        <v>11043.337507470167</v>
      </c>
      <c r="F2628" s="454">
        <f t="shared" si="311"/>
        <v>11503.200366006336</v>
      </c>
      <c r="G2628" s="454">
        <f t="shared" si="311"/>
        <v>12221.222103379983</v>
      </c>
      <c r="H2628" s="454">
        <f t="shared" si="311"/>
        <v>12798.510805153041</v>
      </c>
      <c r="I2628" s="454">
        <f t="shared" si="311"/>
        <v>13139.186565782667</v>
      </c>
      <c r="J2628" s="454">
        <f t="shared" si="311"/>
        <v>13683.255127061122</v>
      </c>
      <c r="K2628" s="456">
        <f>(J2628/D2628)^(1/6)-1</f>
        <v>4.2957047414150074E-2</v>
      </c>
    </row>
    <row r="2629" spans="2:11">
      <c r="B2629" s="478" t="s">
        <v>401</v>
      </c>
      <c r="C2629" s="478"/>
      <c r="E2629" s="449">
        <f t="shared" ref="E2629:J2629" si="312">E2628/D2628-1</f>
        <v>3.8746226296201502E-2</v>
      </c>
      <c r="F2629" s="449">
        <f t="shared" si="312"/>
        <v>4.1641655724557802E-2</v>
      </c>
      <c r="G2629" s="449">
        <f t="shared" si="312"/>
        <v>6.2419301979256714E-2</v>
      </c>
      <c r="H2629" s="449">
        <f t="shared" si="312"/>
        <v>4.7236577233417565E-2</v>
      </c>
      <c r="I2629" s="449">
        <f t="shared" si="312"/>
        <v>2.6618390671863335E-2</v>
      </c>
      <c r="J2629" s="449">
        <f t="shared" si="312"/>
        <v>4.1408085542778528E-2</v>
      </c>
    </row>
    <row r="2631" spans="2:11">
      <c r="B2631" s="478" t="s">
        <v>1930</v>
      </c>
      <c r="C2631" s="478"/>
      <c r="D2631">
        <f t="shared" ref="D2631:J2631" si="313">D2624</f>
        <v>2012</v>
      </c>
      <c r="E2631">
        <f t="shared" si="313"/>
        <v>2013</v>
      </c>
      <c r="F2631">
        <f t="shared" si="313"/>
        <v>2014</v>
      </c>
      <c r="G2631">
        <f t="shared" si="313"/>
        <v>2015</v>
      </c>
      <c r="H2631">
        <f t="shared" si="313"/>
        <v>2016</v>
      </c>
      <c r="I2631">
        <f t="shared" si="313"/>
        <v>2017</v>
      </c>
      <c r="J2631">
        <f t="shared" si="313"/>
        <v>2018</v>
      </c>
    </row>
    <row r="2632" spans="2:11">
      <c r="B2632" t="str">
        <f>B2625</f>
        <v>Claro</v>
      </c>
      <c r="D2632" s="456">
        <f t="shared" ref="D2632:J2635" si="314">D2625/D$2628</f>
        <v>0.66726799976552831</v>
      </c>
      <c r="E2632" s="456">
        <f t="shared" si="314"/>
        <v>0.67068861363658872</v>
      </c>
      <c r="F2632" s="456">
        <f t="shared" si="314"/>
        <v>0.65759993965984875</v>
      </c>
      <c r="G2632" s="456">
        <f t="shared" si="314"/>
        <v>0.64267953959179513</v>
      </c>
      <c r="H2632" s="456">
        <f t="shared" si="314"/>
        <v>0.63560653757624841</v>
      </c>
      <c r="I2632" s="456">
        <f t="shared" si="314"/>
        <v>0.64968504395221827</v>
      </c>
      <c r="J2632" s="456">
        <f t="shared" si="314"/>
        <v>0.66090032916666308</v>
      </c>
    </row>
    <row r="2633" spans="2:11">
      <c r="B2633" t="str">
        <f>B2626</f>
        <v>Tigo</v>
      </c>
      <c r="D2633" s="456">
        <f t="shared" si="314"/>
        <v>0.11439534526061515</v>
      </c>
      <c r="E2633" s="456">
        <f t="shared" si="314"/>
        <v>0.11763587844886293</v>
      </c>
      <c r="F2633" s="456">
        <f t="shared" si="314"/>
        <v>0.13111735936485922</v>
      </c>
      <c r="G2633" s="456">
        <f t="shared" si="314"/>
        <v>0.15149061987157597</v>
      </c>
      <c r="H2633" s="456">
        <f t="shared" si="314"/>
        <v>0.16096866845961935</v>
      </c>
      <c r="I2633" s="456">
        <f t="shared" si="314"/>
        <v>0.14522934325733927</v>
      </c>
      <c r="J2633" s="456">
        <f t="shared" si="314"/>
        <v>0.13527600921131611</v>
      </c>
    </row>
    <row r="2634" spans="2:11">
      <c r="B2634" s="455" t="str">
        <f>B2627</f>
        <v>TEF</v>
      </c>
      <c r="C2634" s="455"/>
      <c r="D2634" s="561">
        <f t="shared" si="314"/>
        <v>0.21833665497385649</v>
      </c>
      <c r="E2634" s="561">
        <f t="shared" si="314"/>
        <v>0.21167550791454837</v>
      </c>
      <c r="F2634" s="561">
        <f t="shared" si="314"/>
        <v>0.21128270097529195</v>
      </c>
      <c r="G2634" s="561">
        <f t="shared" si="314"/>
        <v>0.20582984053662903</v>
      </c>
      <c r="H2634" s="561">
        <f t="shared" si="314"/>
        <v>0.20342479396413224</v>
      </c>
      <c r="I2634" s="561">
        <f t="shared" si="314"/>
        <v>0.20508561279044238</v>
      </c>
      <c r="J2634" s="561">
        <f t="shared" si="314"/>
        <v>0.20382366162202087</v>
      </c>
    </row>
    <row r="2635" spans="2:11">
      <c r="B2635" t="str">
        <f>B2628</f>
        <v>Total</v>
      </c>
      <c r="D2635" s="456">
        <f t="shared" si="314"/>
        <v>1</v>
      </c>
      <c r="E2635" s="456">
        <f t="shared" si="314"/>
        <v>1</v>
      </c>
      <c r="F2635" s="456">
        <f t="shared" si="314"/>
        <v>1</v>
      </c>
      <c r="G2635" s="456">
        <f t="shared" si="314"/>
        <v>1</v>
      </c>
      <c r="H2635" s="456">
        <f t="shared" si="314"/>
        <v>1</v>
      </c>
      <c r="I2635" s="456">
        <f t="shared" si="314"/>
        <v>1</v>
      </c>
      <c r="J2635" s="456">
        <f t="shared" si="314"/>
        <v>1</v>
      </c>
    </row>
    <row r="2637" spans="2:11">
      <c r="B2637" s="693" t="s">
        <v>3105</v>
      </c>
      <c r="C2637" s="693"/>
    </row>
    <row r="2639" spans="2:11">
      <c r="B2639" s="455"/>
      <c r="C2639" s="455"/>
      <c r="D2639" s="455" t="s">
        <v>3111</v>
      </c>
      <c r="E2639" s="455"/>
    </row>
    <row r="2640" spans="2:11">
      <c r="B2640" t="s">
        <v>3112</v>
      </c>
      <c r="D2640">
        <v>597</v>
      </c>
    </row>
    <row r="2641" spans="2:19">
      <c r="B2641" s="452" t="s">
        <v>3106</v>
      </c>
      <c r="C2641" s="452"/>
      <c r="D2641">
        <v>640</v>
      </c>
      <c r="E2641">
        <f>D2641-D2640</f>
        <v>43</v>
      </c>
    </row>
    <row r="2642" spans="2:19">
      <c r="B2642" t="s">
        <v>3107</v>
      </c>
      <c r="D2642">
        <v>685</v>
      </c>
      <c r="E2642">
        <f>D2642-D2641</f>
        <v>45</v>
      </c>
    </row>
    <row r="2643" spans="2:19">
      <c r="B2643" t="s">
        <v>3108</v>
      </c>
      <c r="D2643">
        <f>D2642+40</f>
        <v>725</v>
      </c>
      <c r="E2643">
        <f>D2643-D2642</f>
        <v>40</v>
      </c>
    </row>
    <row r="2644" spans="2:19">
      <c r="B2644" t="s">
        <v>3109</v>
      </c>
      <c r="D2644">
        <f>E2644+D2643</f>
        <v>740</v>
      </c>
      <c r="E2644">
        <v>15</v>
      </c>
    </row>
    <row r="2645" spans="2:19">
      <c r="B2645" t="s">
        <v>3110</v>
      </c>
      <c r="D2645">
        <f>D2644+E2645</f>
        <v>705</v>
      </c>
      <c r="E2645">
        <v>-35</v>
      </c>
    </row>
    <row r="2648" spans="2:19">
      <c r="B2648" s="451" t="s">
        <v>914</v>
      </c>
      <c r="C2648" s="451"/>
      <c r="D2648" s="560" t="str">
        <f>Quarts!AM2</f>
        <v>Q1 10</v>
      </c>
      <c r="E2648" s="560" t="str">
        <f>Quarts!AN2</f>
        <v>Q2 10</v>
      </c>
      <c r="F2648" s="560" t="str">
        <f>Quarts!AO2</f>
        <v>Q3 10</v>
      </c>
      <c r="G2648" s="560" t="str">
        <f>Quarts!AP2</f>
        <v>Q4 10</v>
      </c>
      <c r="H2648" s="560" t="str">
        <f>Quarts!AR2</f>
        <v>Q1 11</v>
      </c>
      <c r="I2648" s="560" t="str">
        <f>Quarts!AS2</f>
        <v>Q2 11</v>
      </c>
      <c r="J2648" s="560" t="str">
        <f>Quarts!AT2</f>
        <v>Q3 11</v>
      </c>
      <c r="K2648" s="560" t="str">
        <f>Quarts!AU2</f>
        <v>Q4 11</v>
      </c>
      <c r="L2648" s="560" t="str">
        <f>Quarts!AW2</f>
        <v>Q1 12</v>
      </c>
      <c r="M2648" s="560" t="str">
        <f>Quarts!AX2</f>
        <v>Q2 12</v>
      </c>
      <c r="N2648" s="560" t="str">
        <f>Quarts!AY2</f>
        <v>Q3 12</v>
      </c>
      <c r="O2648" s="560" t="str">
        <f>Quarts!AZ2</f>
        <v>Q4 12</v>
      </c>
      <c r="P2648" s="560" t="str">
        <f>Quarts!BB2</f>
        <v>Q1 13</v>
      </c>
      <c r="Q2648" s="560" t="str">
        <f>Quarts!BC2</f>
        <v>Q2 13</v>
      </c>
      <c r="R2648" s="560" t="str">
        <f>Quarts!BD2</f>
        <v>Q3 13</v>
      </c>
      <c r="S2648" s="451" t="s">
        <v>714</v>
      </c>
    </row>
    <row r="2649" spans="2:19">
      <c r="B2649" t="str">
        <f>Quarts!D8</f>
        <v>Cost of sales less D&amp;A</v>
      </c>
      <c r="D2649" s="454">
        <f>Quarts!AM8</f>
        <v>-198</v>
      </c>
      <c r="E2649" s="454">
        <f>Quarts!AN8</f>
        <v>-209</v>
      </c>
      <c r="F2649" s="454">
        <f>Quarts!AO8</f>
        <v>-203</v>
      </c>
      <c r="G2649" s="454">
        <f>Quarts!AP8</f>
        <v>-219</v>
      </c>
      <c r="H2649" s="454">
        <f>Quarts!AR8</f>
        <v>-234</v>
      </c>
      <c r="I2649" s="454">
        <f>Quarts!AS8</f>
        <v>-247</v>
      </c>
      <c r="J2649" s="454">
        <f>Quarts!AT8</f>
        <v>-256</v>
      </c>
      <c r="K2649" s="454">
        <f>Quarts!AU8</f>
        <v>-220</v>
      </c>
      <c r="L2649" s="454">
        <f>Quarts!AW8</f>
        <v>-225</v>
      </c>
      <c r="M2649" s="454">
        <f>Quarts!AX8</f>
        <v>-234</v>
      </c>
      <c r="N2649" s="454">
        <f>Quarts!AY8</f>
        <v>-281</v>
      </c>
      <c r="O2649" s="454">
        <f>Quarts!AZ8</f>
        <v>-236</v>
      </c>
      <c r="P2649" s="454">
        <f>Quarts!BB8</f>
        <v>-245</v>
      </c>
      <c r="Q2649" s="454">
        <f>Quarts!BC8</f>
        <v>-257</v>
      </c>
      <c r="R2649" s="454">
        <f>Quarts!BD8</f>
        <v>-279</v>
      </c>
    </row>
    <row r="2650" spans="2:19">
      <c r="B2650" s="478" t="s">
        <v>2847</v>
      </c>
      <c r="C2650" s="478"/>
      <c r="H2650" s="449">
        <f t="shared" ref="H2650:Q2650" si="315">H2649/D2649-1</f>
        <v>0.18181818181818188</v>
      </c>
      <c r="I2650" s="449">
        <f t="shared" si="315"/>
        <v>0.18181818181818188</v>
      </c>
      <c r="J2650" s="449">
        <f t="shared" si="315"/>
        <v>0.26108374384236455</v>
      </c>
      <c r="K2650" s="449">
        <f t="shared" si="315"/>
        <v>4.5662100456620447E-3</v>
      </c>
      <c r="L2650" s="449">
        <f t="shared" si="315"/>
        <v>-3.8461538461538436E-2</v>
      </c>
      <c r="M2650" s="449">
        <f t="shared" si="315"/>
        <v>-5.2631578947368474E-2</v>
      </c>
      <c r="N2650" s="449">
        <f t="shared" si="315"/>
        <v>9.765625E-2</v>
      </c>
      <c r="O2650" s="449">
        <f t="shared" si="315"/>
        <v>7.2727272727272751E-2</v>
      </c>
      <c r="P2650" s="449">
        <f t="shared" si="315"/>
        <v>8.8888888888888795E-2</v>
      </c>
      <c r="Q2650" s="449">
        <f t="shared" si="315"/>
        <v>9.8290598290598385E-2</v>
      </c>
    </row>
    <row r="2652" spans="2:19">
      <c r="B2652" s="478" t="s">
        <v>3130</v>
      </c>
      <c r="C2652" s="478"/>
      <c r="D2652" s="454">
        <f>Quarts!AM12</f>
        <v>-176</v>
      </c>
      <c r="E2652" s="454">
        <f>Quarts!AN12</f>
        <v>-175</v>
      </c>
      <c r="F2652" s="454">
        <f>Quarts!AO12</f>
        <v>-193</v>
      </c>
      <c r="G2652" s="454">
        <f>Quarts!AP12</f>
        <v>-210</v>
      </c>
      <c r="H2652" s="454">
        <f>Quarts!AR12</f>
        <v>-194</v>
      </c>
      <c r="I2652" s="454">
        <f>Quarts!AS12</f>
        <v>-206</v>
      </c>
      <c r="J2652" s="454">
        <f>Quarts!AT12</f>
        <v>-206</v>
      </c>
      <c r="K2652" s="454">
        <f>Quarts!AU12</f>
        <v>-210</v>
      </c>
      <c r="L2652" s="454">
        <f>Quarts!AW12</f>
        <v>-211</v>
      </c>
      <c r="M2652" s="454">
        <f>Quarts!AX12</f>
        <v>-219</v>
      </c>
      <c r="N2652" s="454">
        <f>Quarts!AY12</f>
        <v>-232</v>
      </c>
      <c r="O2652" s="454">
        <f>Quarts!AZ12</f>
        <v>-252</v>
      </c>
      <c r="P2652" s="454">
        <f>Quarts!BB12</f>
        <v>-246</v>
      </c>
      <c r="Q2652" s="454">
        <f>Quarts!BC12</f>
        <v>-274</v>
      </c>
      <c r="R2652" s="454">
        <f>Quarts!BD12</f>
        <v>-265</v>
      </c>
    </row>
    <row r="2653" spans="2:19">
      <c r="B2653" s="478" t="s">
        <v>945</v>
      </c>
      <c r="C2653" s="478"/>
      <c r="H2653" s="449">
        <f t="shared" ref="H2653:Q2653" si="316">H2652/D2652-1</f>
        <v>0.10227272727272729</v>
      </c>
      <c r="I2653" s="449">
        <f t="shared" si="316"/>
        <v>0.17714285714285705</v>
      </c>
      <c r="J2653" s="449">
        <f t="shared" si="316"/>
        <v>6.7357512953367893E-2</v>
      </c>
      <c r="K2653" s="449">
        <f t="shared" si="316"/>
        <v>0</v>
      </c>
      <c r="L2653" s="449">
        <f t="shared" si="316"/>
        <v>8.7628865979381354E-2</v>
      </c>
      <c r="M2653" s="449">
        <f t="shared" si="316"/>
        <v>6.3106796116504826E-2</v>
      </c>
      <c r="N2653" s="449">
        <f t="shared" si="316"/>
        <v>0.12621359223300965</v>
      </c>
      <c r="O2653" s="449">
        <f t="shared" si="316"/>
        <v>0.19999999999999996</v>
      </c>
      <c r="P2653" s="449">
        <f t="shared" si="316"/>
        <v>0.16587677725118488</v>
      </c>
      <c r="Q2653" s="449">
        <f t="shared" si="316"/>
        <v>0.25114155251141557</v>
      </c>
    </row>
    <row r="2655" spans="2:19">
      <c r="B2655" s="608" t="s">
        <v>3131</v>
      </c>
      <c r="C2655" s="608"/>
      <c r="D2655">
        <v>-56</v>
      </c>
      <c r="E2655">
        <v>-55</v>
      </c>
      <c r="F2655">
        <v>-65</v>
      </c>
      <c r="G2655" s="454">
        <v>-79</v>
      </c>
      <c r="H2655" s="454">
        <v>-72</v>
      </c>
      <c r="I2655" s="454">
        <v>-77</v>
      </c>
      <c r="J2655" s="454">
        <v>-77</v>
      </c>
      <c r="K2655" s="454">
        <v>-84</v>
      </c>
      <c r="L2655" s="454">
        <v>-85</v>
      </c>
      <c r="M2655" s="454">
        <v>-87</v>
      </c>
      <c r="N2655" s="454">
        <v>-91</v>
      </c>
      <c r="O2655" s="454">
        <f>(1+O2656)*K2655</f>
        <v>-98.028000000000006</v>
      </c>
      <c r="P2655" s="708">
        <f>(1+P2656)*L2655</f>
        <v>-99.534999999999997</v>
      </c>
      <c r="Q2655" s="708">
        <f>(1+Q2656)*M2655</f>
        <v>-107.01</v>
      </c>
      <c r="R2655" s="708">
        <f>(1+R2656)*N2655</f>
        <v>-114.66</v>
      </c>
      <c r="S2655" s="478" t="s">
        <v>3129</v>
      </c>
    </row>
    <row r="2656" spans="2:19">
      <c r="B2656" s="608" t="s">
        <v>3128</v>
      </c>
      <c r="C2656" s="608"/>
      <c r="K2656" s="456"/>
      <c r="L2656" s="449">
        <v>0.17399999999999999</v>
      </c>
      <c r="M2656" s="449">
        <v>0.16200000000000001</v>
      </c>
      <c r="N2656" s="449">
        <v>0.22</v>
      </c>
      <c r="O2656" s="449">
        <v>0.16700000000000001</v>
      </c>
      <c r="P2656" s="538">
        <v>0.17100000000000001</v>
      </c>
      <c r="Q2656" s="538">
        <v>0.23</v>
      </c>
      <c r="R2656" s="538">
        <v>0.26</v>
      </c>
    </row>
    <row r="2657" spans="2:18">
      <c r="B2657" s="608" t="s">
        <v>3127</v>
      </c>
      <c r="C2657" s="608"/>
      <c r="D2657" s="454">
        <f t="shared" ref="D2657:L2657" si="317">D2652-D2658</f>
        <v>-29</v>
      </c>
      <c r="E2657" s="454">
        <f t="shared" si="317"/>
        <v>-25</v>
      </c>
      <c r="F2657" s="454">
        <f t="shared" si="317"/>
        <v>-33</v>
      </c>
      <c r="G2657" s="454">
        <f t="shared" si="317"/>
        <v>-42</v>
      </c>
      <c r="H2657" s="454">
        <f t="shared" si="317"/>
        <v>-34</v>
      </c>
      <c r="I2657" s="454">
        <f t="shared" si="317"/>
        <v>-35</v>
      </c>
      <c r="J2657" s="454">
        <f t="shared" si="317"/>
        <v>-33</v>
      </c>
      <c r="K2657" s="454">
        <f t="shared" si="317"/>
        <v>-36</v>
      </c>
      <c r="L2657" s="454">
        <f t="shared" si="317"/>
        <v>-40</v>
      </c>
      <c r="M2657" s="708">
        <f>L2657/L2655*M2655</f>
        <v>-40.941176470588232</v>
      </c>
      <c r="N2657" s="708">
        <f>M2657/M2655*N2655</f>
        <v>-42.823529411764703</v>
      </c>
      <c r="O2657" s="708">
        <f>N2657/N2655*O2655</f>
        <v>-46.130823529411764</v>
      </c>
      <c r="P2657" s="708">
        <f>O2657/O2655*P2655</f>
        <v>-46.839999999999989</v>
      </c>
      <c r="Q2657" s="708">
        <f>P2657/P2655*Q2655</f>
        <v>-50.357647058823517</v>
      </c>
      <c r="R2657" s="478"/>
    </row>
    <row r="2658" spans="2:18">
      <c r="B2658" s="608" t="s">
        <v>3123</v>
      </c>
      <c r="C2658" s="608"/>
      <c r="D2658">
        <v>-147</v>
      </c>
      <c r="E2658">
        <v>-150</v>
      </c>
      <c r="F2658">
        <v>-160</v>
      </c>
      <c r="G2658">
        <v>-168</v>
      </c>
      <c r="H2658">
        <v>-160</v>
      </c>
      <c r="I2658">
        <v>-171</v>
      </c>
      <c r="J2658">
        <v>-173</v>
      </c>
      <c r="K2658">
        <v>-174</v>
      </c>
      <c r="L2658">
        <v>-171</v>
      </c>
      <c r="M2658" s="454">
        <f>M2652-M2657</f>
        <v>-178.05882352941177</v>
      </c>
      <c r="N2658" s="454">
        <f>N2652-N2657</f>
        <v>-189.1764705882353</v>
      </c>
      <c r="O2658" s="454">
        <f>O2652-O2657</f>
        <v>-205.86917647058823</v>
      </c>
      <c r="P2658" s="454">
        <f>P2652-P2657</f>
        <v>-199.16000000000003</v>
      </c>
      <c r="Q2658" s="454">
        <f>Q2652-Q2657</f>
        <v>-223.64235294117648</v>
      </c>
      <c r="R2658" s="449">
        <f>SUM(P2658:Q2658)/SUM(L2658:M2658)-1</f>
        <v>0.21126390293225494</v>
      </c>
    </row>
    <row r="2659" spans="2:18">
      <c r="B2659" s="608"/>
      <c r="C2659" s="608"/>
      <c r="M2659" s="454"/>
      <c r="N2659" s="454"/>
      <c r="O2659" s="454"/>
      <c r="P2659" s="454"/>
      <c r="Q2659" s="454"/>
      <c r="R2659" s="449"/>
    </row>
    <row r="2660" spans="2:18">
      <c r="B2660" s="608"/>
      <c r="C2660" s="608"/>
    </row>
    <row r="2661" spans="2:18">
      <c r="B2661" t="str">
        <f>Quarts!D13</f>
        <v>G&amp;A less corp costs</v>
      </c>
      <c r="D2661" s="454">
        <f>Quarts!AM13</f>
        <v>-129</v>
      </c>
      <c r="E2661" s="454">
        <f>Quarts!AN13</f>
        <v>-134</v>
      </c>
      <c r="F2661" s="454">
        <f>Quarts!AO13</f>
        <v>-141</v>
      </c>
      <c r="G2661" s="454">
        <f>Quarts!AP13</f>
        <v>-144</v>
      </c>
      <c r="H2661" s="454">
        <f>Quarts!AR13</f>
        <v>-144</v>
      </c>
      <c r="I2661" s="454">
        <f>Quarts!AS13</f>
        <v>-155</v>
      </c>
      <c r="J2661" s="454">
        <f>Quarts!AT13</f>
        <v>-166</v>
      </c>
      <c r="K2661" s="454">
        <f>Quarts!AU13</f>
        <v>-188</v>
      </c>
      <c r="L2661" s="454">
        <f>Quarts!AW13</f>
        <v>-197</v>
      </c>
      <c r="M2661" s="454">
        <f>Quarts!AX13</f>
        <v>-201</v>
      </c>
      <c r="N2661" s="454">
        <f>Quarts!AY13</f>
        <v>-180</v>
      </c>
      <c r="O2661" s="454">
        <f>Quarts!AZ13</f>
        <v>-216</v>
      </c>
      <c r="P2661" s="454">
        <f>Quarts!BB13</f>
        <v>-212</v>
      </c>
      <c r="Q2661" s="454">
        <f>Quarts!BC13</f>
        <v>-214</v>
      </c>
    </row>
    <row r="2662" spans="2:18">
      <c r="B2662" s="478" t="s">
        <v>945</v>
      </c>
      <c r="C2662" s="478"/>
      <c r="H2662" s="449">
        <f t="shared" ref="H2662:Q2662" si="318">H2661/D2661-1</f>
        <v>0.11627906976744184</v>
      </c>
      <c r="I2662" s="449">
        <f t="shared" si="318"/>
        <v>0.15671641791044766</v>
      </c>
      <c r="J2662" s="449">
        <f t="shared" si="318"/>
        <v>0.17730496453900702</v>
      </c>
      <c r="K2662" s="449">
        <f t="shared" si="318"/>
        <v>0.30555555555555558</v>
      </c>
      <c r="L2662" s="449">
        <f t="shared" si="318"/>
        <v>0.36805555555555558</v>
      </c>
      <c r="M2662" s="449">
        <f t="shared" si="318"/>
        <v>0.29677419354838719</v>
      </c>
      <c r="N2662" s="449">
        <f t="shared" si="318"/>
        <v>8.43373493975903E-2</v>
      </c>
      <c r="O2662" s="449">
        <f t="shared" si="318"/>
        <v>0.14893617021276606</v>
      </c>
      <c r="P2662" s="449">
        <f t="shared" si="318"/>
        <v>7.6142131979695327E-2</v>
      </c>
      <c r="Q2662" s="449">
        <f t="shared" si="318"/>
        <v>6.4676616915422924E-2</v>
      </c>
    </row>
    <row r="2663" spans="2:18">
      <c r="B2663" s="478"/>
      <c r="C2663" s="478"/>
      <c r="Q2663" s="449"/>
    </row>
    <row r="2664" spans="2:18">
      <c r="B2664" s="478" t="s">
        <v>800</v>
      </c>
      <c r="C2664" s="478"/>
      <c r="D2664" s="454">
        <f>Quarts!AM22</f>
        <v>-17</v>
      </c>
      <c r="E2664" s="454">
        <f>Quarts!AN22</f>
        <v>-22.3</v>
      </c>
      <c r="F2664" s="454">
        <f>Quarts!AO22</f>
        <v>-26.265999999999998</v>
      </c>
      <c r="G2664" s="454">
        <f>Quarts!AP22</f>
        <v>-29.99</v>
      </c>
      <c r="H2664" s="454">
        <f>Quarts!AR22</f>
        <v>-21.8</v>
      </c>
      <c r="I2664" s="454">
        <f>Quarts!AS22</f>
        <v>-30.384</v>
      </c>
      <c r="J2664" s="454">
        <f>Quarts!AT22</f>
        <v>-26</v>
      </c>
      <c r="K2664" s="454">
        <f>Quarts!AU22</f>
        <v>-35</v>
      </c>
      <c r="L2664" s="454">
        <f>Quarts!AW22</f>
        <v>-27</v>
      </c>
      <c r="M2664" s="454">
        <f>Quarts!AX22</f>
        <v>-32</v>
      </c>
      <c r="N2664" s="454">
        <f>Quarts!AY22</f>
        <v>-38</v>
      </c>
      <c r="O2664" s="454">
        <f>Quarts!AZ22</f>
        <v>-47</v>
      </c>
      <c r="P2664" s="454">
        <f>Quarts!BB22</f>
        <v>-45</v>
      </c>
      <c r="Q2664" s="454">
        <f>Quarts!BC22</f>
        <v>-45</v>
      </c>
    </row>
    <row r="2665" spans="2:18">
      <c r="B2665" s="478" t="s">
        <v>945</v>
      </c>
      <c r="C2665" s="478"/>
      <c r="H2665" s="449">
        <f t="shared" ref="H2665:Q2665" si="319">H2664/D2664-1</f>
        <v>0.2823529411764707</v>
      </c>
      <c r="I2665" s="449">
        <f t="shared" si="319"/>
        <v>0.36251121076233184</v>
      </c>
      <c r="J2665" s="449">
        <f t="shared" si="319"/>
        <v>-1.012716058783214E-2</v>
      </c>
      <c r="K2665" s="449">
        <f t="shared" si="319"/>
        <v>0.16705568522840952</v>
      </c>
      <c r="L2665" s="449">
        <f t="shared" si="319"/>
        <v>0.23853211009174302</v>
      </c>
      <c r="M2665" s="449">
        <f t="shared" si="319"/>
        <v>5.3185887309110003E-2</v>
      </c>
      <c r="N2665" s="449">
        <f t="shared" si="319"/>
        <v>0.46153846153846145</v>
      </c>
      <c r="O2665" s="449">
        <f t="shared" si="319"/>
        <v>0.34285714285714275</v>
      </c>
      <c r="P2665" s="449">
        <f t="shared" si="319"/>
        <v>0.66666666666666674</v>
      </c>
      <c r="Q2665" s="449">
        <f t="shared" si="319"/>
        <v>0.40625</v>
      </c>
    </row>
    <row r="2666" spans="2:18">
      <c r="B2666" s="478"/>
      <c r="C2666" s="478"/>
      <c r="Q2666" s="449"/>
    </row>
    <row r="2667" spans="2:18">
      <c r="B2667" t="str">
        <f>Quarts!D14</f>
        <v>Other expenses</v>
      </c>
      <c r="D2667" s="454">
        <f>Quarts!AM14+Quarts!AM15</f>
        <v>0.1</v>
      </c>
      <c r="E2667" s="454">
        <f>Quarts!AN14+Quarts!AN15</f>
        <v>0</v>
      </c>
      <c r="F2667" s="454">
        <f>Quarts!AO14+Quarts!AO15</f>
        <v>3</v>
      </c>
      <c r="G2667" s="454">
        <f>Quarts!AP14+Quarts!AP15</f>
        <v>1</v>
      </c>
      <c r="H2667" s="454">
        <f>Quarts!AR14+Quarts!AR15</f>
        <v>0</v>
      </c>
      <c r="I2667" s="454">
        <f>Quarts!AS14+Quarts!AS15</f>
        <v>1</v>
      </c>
      <c r="J2667" s="454">
        <f>Quarts!AT14+Quarts!AT15</f>
        <v>6</v>
      </c>
      <c r="K2667" s="454">
        <f>Quarts!AU14+Quarts!AU15</f>
        <v>-23</v>
      </c>
      <c r="L2667" s="454">
        <f>Quarts!AW14+Quarts!AW15</f>
        <v>-18</v>
      </c>
      <c r="M2667" s="454">
        <f>Quarts!AX14+Quarts!AX15</f>
        <v>-14</v>
      </c>
      <c r="N2667" s="454">
        <f>Quarts!AY14+Quarts!AY15</f>
        <v>1</v>
      </c>
      <c r="O2667" s="454">
        <f>Quarts!AZ14+Quarts!AZ15</f>
        <v>-34</v>
      </c>
      <c r="P2667" s="454">
        <f>Quarts!BB14+Quarts!BB15</f>
        <v>-35</v>
      </c>
      <c r="Q2667" s="454">
        <f>Quarts!BC14+Quarts!BC15</f>
        <v>-39</v>
      </c>
    </row>
    <row r="2668" spans="2:18">
      <c r="B2668" s="478" t="s">
        <v>945</v>
      </c>
      <c r="C2668" s="478"/>
      <c r="L2668" s="449"/>
      <c r="M2668" s="449">
        <f>M2667/I2667-1</f>
        <v>-15</v>
      </c>
      <c r="N2668" s="449">
        <f>N2667/J2667-1</f>
        <v>-0.83333333333333337</v>
      </c>
      <c r="O2668" s="449">
        <f>O2667/K2667-1</f>
        <v>0.47826086956521729</v>
      </c>
      <c r="P2668" s="449">
        <f>P2667/L2667-1</f>
        <v>0.94444444444444442</v>
      </c>
      <c r="Q2668" s="449">
        <f>Q2667/M2667-1</f>
        <v>1.7857142857142856</v>
      </c>
    </row>
    <row r="2670" spans="2:18">
      <c r="B2670" s="479" t="s">
        <v>3118</v>
      </c>
      <c r="C2670" s="479"/>
      <c r="D2670" s="471">
        <f t="shared" ref="D2670:Q2670" si="320">D2649+D2652+D2661+D2664+D2667</f>
        <v>-519.9</v>
      </c>
      <c r="E2670" s="471">
        <f t="shared" si="320"/>
        <v>-540.29999999999995</v>
      </c>
      <c r="F2670" s="471">
        <f t="shared" si="320"/>
        <v>-560.26599999999996</v>
      </c>
      <c r="G2670" s="471">
        <f t="shared" si="320"/>
        <v>-601.99</v>
      </c>
      <c r="H2670" s="471">
        <f t="shared" si="320"/>
        <v>-593.79999999999995</v>
      </c>
      <c r="I2670" s="471">
        <f t="shared" si="320"/>
        <v>-637.38400000000001</v>
      </c>
      <c r="J2670" s="471">
        <f t="shared" si="320"/>
        <v>-648</v>
      </c>
      <c r="K2670" s="471">
        <f t="shared" si="320"/>
        <v>-676</v>
      </c>
      <c r="L2670" s="471">
        <f t="shared" si="320"/>
        <v>-678</v>
      </c>
      <c r="M2670" s="471">
        <f t="shared" si="320"/>
        <v>-700</v>
      </c>
      <c r="N2670" s="471">
        <f t="shared" si="320"/>
        <v>-730</v>
      </c>
      <c r="O2670" s="471">
        <f t="shared" si="320"/>
        <v>-785</v>
      </c>
      <c r="P2670" s="471">
        <f t="shared" si="320"/>
        <v>-783</v>
      </c>
      <c r="Q2670" s="471">
        <f t="shared" si="320"/>
        <v>-829</v>
      </c>
    </row>
    <row r="2671" spans="2:18">
      <c r="H2671" s="449">
        <f t="shared" ref="H2671:Q2671" si="321">H2670/D2670-1</f>
        <v>0.14214271975379877</v>
      </c>
      <c r="I2671" s="449">
        <f t="shared" si="321"/>
        <v>0.17968535998519353</v>
      </c>
      <c r="J2671" s="449">
        <f t="shared" si="321"/>
        <v>0.1565934752421172</v>
      </c>
      <c r="K2671" s="449">
        <f t="shared" si="321"/>
        <v>0.1229422415654744</v>
      </c>
      <c r="L2671" s="449">
        <f t="shared" si="321"/>
        <v>0.14179858538228363</v>
      </c>
      <c r="M2671" s="449">
        <f t="shared" si="321"/>
        <v>9.8239052125563164E-2</v>
      </c>
      <c r="N2671" s="449">
        <f t="shared" si="321"/>
        <v>0.12654320987654311</v>
      </c>
      <c r="O2671" s="449">
        <f t="shared" si="321"/>
        <v>0.16124260355029585</v>
      </c>
      <c r="P2671" s="449">
        <f t="shared" si="321"/>
        <v>0.15486725663716805</v>
      </c>
      <c r="Q2671" s="449">
        <f t="shared" si="321"/>
        <v>0.18428571428571439</v>
      </c>
    </row>
    <row r="2672" spans="2:18">
      <c r="B2672" s="478" t="s">
        <v>3132</v>
      </c>
      <c r="C2672" s="478"/>
    </row>
    <row r="2675" spans="2:9">
      <c r="B2675" s="478" t="s">
        <v>3122</v>
      </c>
      <c r="C2675" s="478"/>
    </row>
    <row r="2676" spans="2:9">
      <c r="B2676" s="478" t="s">
        <v>3119</v>
      </c>
      <c r="C2676" s="478"/>
    </row>
    <row r="2677" spans="2:9">
      <c r="B2677" s="478" t="s">
        <v>3120</v>
      </c>
      <c r="C2677" s="478"/>
    </row>
    <row r="2678" spans="2:9">
      <c r="B2678" s="608" t="s">
        <v>3121</v>
      </c>
      <c r="C2678" s="608"/>
    </row>
    <row r="2680" spans="2:9">
      <c r="B2680" s="478" t="s">
        <v>3124</v>
      </c>
      <c r="C2680" s="478"/>
    </row>
    <row r="2681" spans="2:9">
      <c r="B2681" s="707">
        <v>8.9999999999999993E-3</v>
      </c>
      <c r="C2681" s="707"/>
    </row>
    <row r="2683" spans="2:9">
      <c r="B2683" s="478" t="s">
        <v>3125</v>
      </c>
      <c r="C2683" s="478"/>
    </row>
    <row r="2684" spans="2:9">
      <c r="B2684" s="478" t="s">
        <v>3126</v>
      </c>
      <c r="C2684" s="478"/>
    </row>
    <row r="2685" spans="2:9" ht="15.75">
      <c r="B2685" s="545" t="s">
        <v>1823</v>
      </c>
      <c r="C2685" s="545"/>
      <c r="D2685" s="545"/>
      <c r="E2685" s="545"/>
      <c r="F2685" s="545"/>
      <c r="G2685" s="545"/>
      <c r="H2685" s="545" t="s">
        <v>3278</v>
      </c>
      <c r="I2685" s="744" t="s">
        <v>3277</v>
      </c>
    </row>
    <row r="2686" spans="2:9" ht="15.75">
      <c r="B2686" s="543" t="s">
        <v>914</v>
      </c>
      <c r="C2686" s="543"/>
      <c r="D2686" s="543">
        <v>2010</v>
      </c>
      <c r="E2686" s="543">
        <f>D2686+1</f>
        <v>2011</v>
      </c>
      <c r="F2686" s="543">
        <f>E2686+1</f>
        <v>2012</v>
      </c>
      <c r="G2686" s="544" t="s">
        <v>2547</v>
      </c>
      <c r="H2686" s="544" t="s">
        <v>153</v>
      </c>
      <c r="I2686" s="544" t="s">
        <v>153</v>
      </c>
    </row>
    <row r="2687" spans="2:9" ht="15.75">
      <c r="B2687" s="545" t="s">
        <v>3135</v>
      </c>
      <c r="C2687" s="545"/>
      <c r="D2687" s="548"/>
      <c r="E2687" s="548">
        <f>Newquarts!F33/1000</f>
        <v>0.24630886589214726</v>
      </c>
      <c r="F2687" s="548">
        <f>Newquarts!K33/1000</f>
        <v>0.3131699131515433</v>
      </c>
      <c r="G2687" s="548">
        <f>Newquarts!P33/1000</f>
        <v>0.3716143291046064</v>
      </c>
      <c r="H2687" s="545"/>
      <c r="I2687" s="545"/>
    </row>
    <row r="2688" spans="2:9" ht="15.75">
      <c r="B2688" s="543" t="s">
        <v>1194</v>
      </c>
      <c r="C2688" s="543"/>
      <c r="D2688" s="551"/>
      <c r="E2688" s="551">
        <f>E2689-E2687</f>
        <v>-0.24630886589214726</v>
      </c>
      <c r="F2688" s="551">
        <f>F2689-F2687</f>
        <v>-0.3131699131515433</v>
      </c>
      <c r="G2688" s="551">
        <f>G2689-G2687</f>
        <v>-0.3716143291046064</v>
      </c>
      <c r="H2688" s="545"/>
      <c r="I2688" s="545"/>
    </row>
    <row r="2689" spans="2:9" ht="15.75">
      <c r="B2689" s="545" t="s">
        <v>798</v>
      </c>
      <c r="C2689" s="545"/>
      <c r="D2689" s="548">
        <f>Master!M5</f>
        <v>4025.2485327501977</v>
      </c>
      <c r="E2689" s="548">
        <f>Master!N5</f>
        <v>0</v>
      </c>
      <c r="F2689" s="548">
        <f>Master!O5</f>
        <v>0</v>
      </c>
      <c r="G2689" s="548">
        <f>Master!P5</f>
        <v>0</v>
      </c>
      <c r="H2689" s="545"/>
      <c r="I2689" s="545"/>
    </row>
    <row r="2690" spans="2:9" ht="15.75">
      <c r="B2690" s="545"/>
      <c r="C2690" s="545"/>
      <c r="D2690" s="548"/>
      <c r="E2690" s="548"/>
      <c r="F2690" s="548"/>
      <c r="G2690" s="548"/>
      <c r="H2690" s="545"/>
      <c r="I2690" s="545"/>
    </row>
    <row r="2691" spans="2:9" ht="15.75">
      <c r="B2691" s="663" t="s">
        <v>3142</v>
      </c>
      <c r="C2691" s="663"/>
      <c r="D2691" s="745">
        <f>D2689-Div!J35</f>
        <v>4025.2485327501977</v>
      </c>
      <c r="E2691" s="745">
        <f>E2689-Div!K35</f>
        <v>0</v>
      </c>
      <c r="F2691" s="745">
        <f>F2689-Div!L35</f>
        <v>-13</v>
      </c>
      <c r="G2691" s="745">
        <f>G2689-Div!M35</f>
        <v>0</v>
      </c>
      <c r="H2691" s="545"/>
      <c r="I2691" s="545"/>
    </row>
    <row r="2692" spans="2:9" ht="15.75">
      <c r="B2692" s="545"/>
      <c r="C2692" s="545"/>
      <c r="D2692" s="548"/>
      <c r="E2692" s="548"/>
      <c r="F2692" s="548"/>
      <c r="G2692" s="545"/>
      <c r="H2692" s="545"/>
      <c r="I2692" s="545"/>
    </row>
    <row r="2693" spans="2:9" ht="15.75">
      <c r="B2693" s="545" t="s">
        <v>3133</v>
      </c>
      <c r="C2693" s="545"/>
      <c r="D2693" s="545">
        <f>-SUM(D2655:G2655)</f>
        <v>255</v>
      </c>
      <c r="E2693" s="589">
        <f>-SUM(H2655:K2655)</f>
        <v>310</v>
      </c>
      <c r="F2693" s="589">
        <f>-SUM(L2655:O2655)</f>
        <v>361.02800000000002</v>
      </c>
      <c r="G2693" s="589">
        <f>G2695/F2695*F2693</f>
        <v>433.41411399999998</v>
      </c>
      <c r="H2693" s="545"/>
      <c r="I2693" s="589">
        <f>G2693-E2693</f>
        <v>123.41411399999998</v>
      </c>
    </row>
    <row r="2694" spans="2:9" ht="15.75">
      <c r="B2694" s="545" t="s">
        <v>3137</v>
      </c>
      <c r="C2694" s="545"/>
      <c r="D2694" s="694">
        <f>D2693/D2691</f>
        <v>6.3350125569954466E-2</v>
      </c>
      <c r="E2694" s="746" t="e">
        <f>E2693/E2691</f>
        <v>#DIV/0!</v>
      </c>
      <c r="F2694" s="747">
        <f>F2693/F2691</f>
        <v>-27.771384615384616</v>
      </c>
      <c r="G2694" s="748" t="e">
        <f>G2693/G2691</f>
        <v>#DIV/0!</v>
      </c>
      <c r="H2694" s="694" t="e">
        <f>G2694-E2694</f>
        <v>#DIV/0!</v>
      </c>
      <c r="I2694" s="545"/>
    </row>
    <row r="2695" spans="2:9" ht="15.75">
      <c r="B2695" s="749" t="s">
        <v>3134</v>
      </c>
      <c r="C2695" s="749"/>
      <c r="D2695" s="749">
        <v>124</v>
      </c>
      <c r="E2695" s="749">
        <v>139</v>
      </c>
      <c r="F2695" s="749">
        <v>179</v>
      </c>
      <c r="G2695" s="750">
        <f>(1+(AVERAGE(P2656:Q2656)))*F2695</f>
        <v>214.88949999999997</v>
      </c>
      <c r="H2695" s="545"/>
      <c r="I2695" s="545"/>
    </row>
    <row r="2696" spans="2:9" ht="15.75">
      <c r="B2696" s="749" t="s">
        <v>3136</v>
      </c>
      <c r="C2696" s="749"/>
      <c r="D2696" s="751">
        <f>D2695/D2691</f>
        <v>3.0805551257546485E-2</v>
      </c>
      <c r="E2696" s="751" t="e">
        <f>E2695/E2691</f>
        <v>#DIV/0!</v>
      </c>
      <c r="F2696" s="751">
        <f>F2695/F2691</f>
        <v>-13.76923076923077</v>
      </c>
      <c r="G2696" s="751" t="e">
        <f>G2695/G2691</f>
        <v>#DIV/0!</v>
      </c>
      <c r="H2696" s="545"/>
      <c r="I2696" s="545"/>
    </row>
    <row r="2697" spans="2:9" ht="15.75">
      <c r="B2697" s="545"/>
      <c r="C2697" s="545"/>
      <c r="D2697" s="545"/>
      <c r="E2697" s="698"/>
      <c r="F2697" s="698"/>
      <c r="G2697" s="545"/>
      <c r="H2697" s="545"/>
      <c r="I2697" s="545"/>
    </row>
    <row r="2698" spans="2:9" ht="15.75">
      <c r="B2698" s="545" t="s">
        <v>3138</v>
      </c>
      <c r="C2698" s="545"/>
      <c r="D2698" s="545">
        <f>-SUM(D2658:G2658)</f>
        <v>625</v>
      </c>
      <c r="E2698" s="545">
        <f>-SUM(H2658:K2658)</f>
        <v>678</v>
      </c>
      <c r="F2698" s="589">
        <f>-SUM(L2658:O2658)</f>
        <v>744.10447058823524</v>
      </c>
      <c r="G2698" s="589">
        <f>F2698*1.2</f>
        <v>892.92536470588232</v>
      </c>
      <c r="H2698" s="545"/>
      <c r="I2698" s="589">
        <f>G2698-E2698</f>
        <v>214.92536470588232</v>
      </c>
    </row>
    <row r="2699" spans="2:9" ht="15.75">
      <c r="B2699" s="545" t="s">
        <v>2008</v>
      </c>
      <c r="C2699" s="545"/>
      <c r="D2699" s="694">
        <f>D2698/D2691</f>
        <v>0.15526991561263351</v>
      </c>
      <c r="E2699" s="746" t="e">
        <f>E2698/E2691</f>
        <v>#DIV/0!</v>
      </c>
      <c r="F2699" s="747">
        <f>F2698/F2691</f>
        <v>-57.23880542986425</v>
      </c>
      <c r="G2699" s="748" t="e">
        <f>G2698/G2691</f>
        <v>#DIV/0!</v>
      </c>
      <c r="H2699" s="694" t="e">
        <f>G2699-E2699</f>
        <v>#DIV/0!</v>
      </c>
      <c r="I2699" s="545"/>
    </row>
    <row r="2700" spans="2:9" ht="15.75">
      <c r="B2700" s="545"/>
      <c r="C2700" s="545"/>
      <c r="D2700" s="545"/>
      <c r="E2700" s="545"/>
      <c r="F2700" s="545"/>
      <c r="G2700" s="545"/>
      <c r="H2700" s="545"/>
      <c r="I2700" s="545"/>
    </row>
    <row r="2701" spans="2:9" ht="15.75">
      <c r="B2701" s="545" t="s">
        <v>800</v>
      </c>
      <c r="C2701" s="545"/>
      <c r="D2701" s="548">
        <f>-Master!M11</f>
        <v>105.6</v>
      </c>
      <c r="E2701" s="548">
        <f>-Master!N11</f>
        <v>0</v>
      </c>
      <c r="F2701" s="548">
        <f>-Master!O11</f>
        <v>0</v>
      </c>
      <c r="G2701" s="548">
        <f>-Master!P11</f>
        <v>0</v>
      </c>
      <c r="H2701" s="545"/>
      <c r="I2701" s="589">
        <f>G2701-E2701</f>
        <v>0</v>
      </c>
    </row>
    <row r="2702" spans="2:9" ht="15.75">
      <c r="B2702" s="545" t="s">
        <v>3139</v>
      </c>
      <c r="C2702" s="545"/>
      <c r="D2702" s="694">
        <f>D2701/D2691</f>
        <v>2.6234404941910556E-2</v>
      </c>
      <c r="E2702" s="746" t="e">
        <f>E2701/E2691</f>
        <v>#DIV/0!</v>
      </c>
      <c r="F2702" s="747">
        <f>F2701/F2691</f>
        <v>0</v>
      </c>
      <c r="G2702" s="748" t="e">
        <f>G2701/G2691</f>
        <v>#DIV/0!</v>
      </c>
      <c r="H2702" s="694" t="e">
        <f>G2702-E2702</f>
        <v>#DIV/0!</v>
      </c>
      <c r="I2702" s="545"/>
    </row>
    <row r="2703" spans="2:9" ht="15.75">
      <c r="B2703" s="545"/>
      <c r="C2703" s="545"/>
      <c r="D2703" s="694"/>
      <c r="E2703" s="694"/>
      <c r="F2703" s="694"/>
      <c r="G2703" s="694"/>
      <c r="H2703" s="545"/>
      <c r="I2703" s="545"/>
    </row>
    <row r="2704" spans="2:9" ht="15.75">
      <c r="B2704" s="545" t="s">
        <v>3144</v>
      </c>
      <c r="C2704" s="545"/>
      <c r="D2704" s="548">
        <f>D2707-D2701-D2698-D2693</f>
        <v>1349.2775327501977</v>
      </c>
      <c r="E2704" s="548">
        <f>E2707-E2701-E2698-E2693</f>
        <v>1447.3909432730475</v>
      </c>
      <c r="F2704" s="548">
        <f>F2707-F2701-F2698-F2693</f>
        <v>2025.1778522210345</v>
      </c>
      <c r="G2704" s="548">
        <f>G2707-G2701-G2698-G2693</f>
        <v>1987.4639524248789</v>
      </c>
      <c r="H2704" s="545"/>
      <c r="I2704" s="589">
        <f>G2704-E2704</f>
        <v>540.07300915183146</v>
      </c>
    </row>
    <row r="2705" spans="2:9" ht="15.75">
      <c r="B2705" s="545" t="s">
        <v>2008</v>
      </c>
      <c r="C2705" s="545"/>
      <c r="D2705" s="694">
        <f>D2704/D2691</f>
        <v>0.33520353383703283</v>
      </c>
      <c r="E2705" s="746" t="e">
        <f>E2704/E2691</f>
        <v>#DIV/0!</v>
      </c>
      <c r="F2705" s="747">
        <f>F2704/F2691</f>
        <v>-155.78291170931035</v>
      </c>
      <c r="G2705" s="748" t="e">
        <f>G2704/G2691</f>
        <v>#DIV/0!</v>
      </c>
      <c r="H2705" s="694" t="e">
        <f>G2705-E2705</f>
        <v>#DIV/0!</v>
      </c>
      <c r="I2705" s="545"/>
    </row>
    <row r="2706" spans="2:9" ht="15.75">
      <c r="B2706" s="545"/>
      <c r="C2706" s="545"/>
      <c r="D2706" s="694"/>
      <c r="E2706" s="694"/>
      <c r="F2706" s="694"/>
      <c r="G2706" s="694"/>
      <c r="H2706" s="545"/>
      <c r="I2706" s="545"/>
    </row>
    <row r="2707" spans="2:9" ht="15.75">
      <c r="B2707" s="663" t="s">
        <v>3140</v>
      </c>
      <c r="C2707" s="663"/>
      <c r="D2707" s="745">
        <f>(Div!J37-Div!J35)-(Div!J69-Div!J51)</f>
        <v>2334.8775327501976</v>
      </c>
      <c r="E2707" s="745">
        <f>(Div!K37-Div!K35)-(Div!K69-Div!K51)</f>
        <v>2435.3909432730475</v>
      </c>
      <c r="F2707" s="745">
        <f>(Div!L37-Div!L35)-(Div!L69-Div!L51)</f>
        <v>3130.3103228092696</v>
      </c>
      <c r="G2707" s="745">
        <f>(Div!M37-Div!M35)-(Div!M69-Div!M51)</f>
        <v>3313.8034311307611</v>
      </c>
      <c r="H2707" s="745"/>
      <c r="I2707" s="752">
        <f>G2707-E2707</f>
        <v>878.41248785771359</v>
      </c>
    </row>
    <row r="2708" spans="2:9" ht="15.75">
      <c r="B2708" s="545" t="s">
        <v>3139</v>
      </c>
      <c r="C2708" s="545"/>
      <c r="D2708" s="694">
        <f>D2707/D2691</f>
        <v>0.5800579799615313</v>
      </c>
      <c r="E2708" s="694" t="e">
        <f>E2707/E2691</f>
        <v>#DIV/0!</v>
      </c>
      <c r="F2708" s="694">
        <f>F2707/F2691</f>
        <v>-240.79310175455919</v>
      </c>
      <c r="G2708" s="694" t="e">
        <f>G2707/G2691</f>
        <v>#DIV/0!</v>
      </c>
      <c r="H2708" s="694" t="e">
        <f>G2708-E2708</f>
        <v>#DIV/0!</v>
      </c>
      <c r="I2708" s="545"/>
    </row>
    <row r="2709" spans="2:9" ht="15.75">
      <c r="B2709" s="545"/>
      <c r="C2709" s="545"/>
      <c r="D2709" s="694"/>
      <c r="E2709" s="694"/>
      <c r="F2709" s="694"/>
      <c r="G2709" s="548"/>
      <c r="H2709" s="545"/>
      <c r="I2709" s="545"/>
    </row>
    <row r="2710" spans="2:9" ht="15.75">
      <c r="B2710" s="663" t="s">
        <v>3141</v>
      </c>
      <c r="C2710" s="663"/>
      <c r="D2710" s="745">
        <f>Div!J70</f>
        <v>1690.3710000000001</v>
      </c>
      <c r="E2710" s="745">
        <f>Div!K70</f>
        <v>2090.4360000000001</v>
      </c>
      <c r="F2710" s="745">
        <f>Div!L70</f>
        <v>2088.0860000000002</v>
      </c>
      <c r="G2710" s="745">
        <f>Div!M70</f>
        <v>2239.3999999999996</v>
      </c>
      <c r="H2710" s="545"/>
      <c r="I2710" s="545"/>
    </row>
    <row r="2711" spans="2:9" ht="15.75">
      <c r="B2711" s="545" t="s">
        <v>3143</v>
      </c>
      <c r="C2711" s="545"/>
      <c r="D2711" s="694">
        <f>D2710/D2691</f>
        <v>0.41994202003846864</v>
      </c>
      <c r="E2711" s="694" t="e">
        <f>E2710/E2691</f>
        <v>#DIV/0!</v>
      </c>
      <c r="F2711" s="694">
        <f>F2710/F2691</f>
        <v>-160.62200000000001</v>
      </c>
      <c r="G2711" s="694" t="e">
        <f>G2710/G2691</f>
        <v>#DIV/0!</v>
      </c>
      <c r="H2711" s="694" t="e">
        <f>G2711-E2711</f>
        <v>#DIV/0!</v>
      </c>
      <c r="I2711" s="545"/>
    </row>
    <row r="2712" spans="2:9" ht="15.75">
      <c r="B2712" s="545"/>
      <c r="C2712" s="545"/>
      <c r="D2712" s="694"/>
      <c r="E2712" s="694"/>
      <c r="F2712" s="694"/>
      <c r="G2712" s="694"/>
      <c r="H2712" s="694"/>
      <c r="I2712" s="545"/>
    </row>
    <row r="2713" spans="2:9" ht="15.75">
      <c r="B2713" s="545" t="s">
        <v>3150</v>
      </c>
      <c r="C2713" s="545"/>
      <c r="D2713" s="694">
        <v>0</v>
      </c>
      <c r="E2713" s="694">
        <v>0</v>
      </c>
      <c r="F2713" s="694">
        <v>2E-3</v>
      </c>
      <c r="G2713" s="694">
        <v>8.9999999999999993E-3</v>
      </c>
      <c r="H2713" s="694">
        <f>G2713-E2713</f>
        <v>8.9999999999999993E-3</v>
      </c>
      <c r="I2713" s="545"/>
    </row>
    <row r="2715" spans="2:9">
      <c r="B2715" s="478" t="s">
        <v>3151</v>
      </c>
      <c r="C2715" s="478"/>
    </row>
    <row r="2716" spans="2:9">
      <c r="B2716" s="478"/>
      <c r="C2716" s="478"/>
    </row>
    <row r="2717" spans="2:9" ht="15.75">
      <c r="B2717" s="543"/>
      <c r="C2717" s="543"/>
      <c r="D2717" s="544" t="s">
        <v>3152</v>
      </c>
    </row>
    <row r="2718" spans="2:9" ht="15.75">
      <c r="B2718" s="545" t="s">
        <v>3145</v>
      </c>
      <c r="C2718" s="545"/>
      <c r="D2718" s="694" t="e">
        <f>H2694</f>
        <v>#DIV/0!</v>
      </c>
    </row>
    <row r="2719" spans="2:9" ht="15.75">
      <c r="B2719" s="545" t="s">
        <v>3146</v>
      </c>
      <c r="C2719" s="545"/>
      <c r="D2719" s="694" t="e">
        <f>H2699</f>
        <v>#DIV/0!</v>
      </c>
    </row>
    <row r="2720" spans="2:9" ht="15.75">
      <c r="B2720" s="545" t="s">
        <v>800</v>
      </c>
      <c r="C2720" s="545"/>
      <c r="D2720" s="694" t="e">
        <f>H2702</f>
        <v>#DIV/0!</v>
      </c>
    </row>
    <row r="2721" spans="1:9" ht="15.75">
      <c r="B2721" s="545" t="s">
        <v>3147</v>
      </c>
      <c r="C2721" s="545"/>
      <c r="D2721" s="694">
        <f>H2713</f>
        <v>8.9999999999999993E-3</v>
      </c>
    </row>
    <row r="2722" spans="1:9" ht="15.75">
      <c r="B2722" s="543" t="s">
        <v>3148</v>
      </c>
      <c r="C2722" s="543"/>
      <c r="D2722" s="710" t="e">
        <f>H2705-H2713</f>
        <v>#DIV/0!</v>
      </c>
    </row>
    <row r="2723" spans="1:9" ht="15.75">
      <c r="B2723" s="545" t="s">
        <v>3149</v>
      </c>
      <c r="C2723" s="545"/>
      <c r="D2723" s="694" t="e">
        <f>SUM(D2718:D2722)</f>
        <v>#DIV/0!</v>
      </c>
    </row>
    <row r="2725" spans="1:9">
      <c r="B2725" s="693" t="s">
        <v>3255</v>
      </c>
      <c r="C2725" s="693"/>
    </row>
    <row r="2726" spans="1:9">
      <c r="A2726" s="478" t="s">
        <v>1823</v>
      </c>
    </row>
    <row r="2727" spans="1:9">
      <c r="B2727" s="487" t="s">
        <v>3257</v>
      </c>
      <c r="C2727" s="487"/>
      <c r="D2727" s="455">
        <v>2013</v>
      </c>
      <c r="E2727" s="455">
        <f>D2727+1</f>
        <v>2014</v>
      </c>
      <c r="F2727" s="455">
        <f>E2727+1</f>
        <v>2015</v>
      </c>
      <c r="G2727" s="455">
        <f>F2727+1</f>
        <v>2016</v>
      </c>
      <c r="H2727" s="455">
        <f>G2727+1</f>
        <v>2017</v>
      </c>
      <c r="I2727" s="455">
        <f>H2727+1</f>
        <v>2018</v>
      </c>
    </row>
    <row r="2728" spans="1:9">
      <c r="B2728" s="478" t="s">
        <v>758</v>
      </c>
      <c r="C2728" s="478"/>
      <c r="D2728" s="464">
        <f>Div!M37-Div!M35</f>
        <v>5553.2034311307607</v>
      </c>
      <c r="E2728" s="464">
        <f>Div!N37-Div!N35</f>
        <v>6386.3680559090717</v>
      </c>
      <c r="F2728" s="464">
        <f>Div!O37-Div!O35</f>
        <v>6728.8770101554837</v>
      </c>
      <c r="G2728" s="464">
        <f ca="1">Div!P37-Div!P35</f>
        <v>6200.0693455538021</v>
      </c>
      <c r="H2728" s="464">
        <f ca="1">Div!Q37-Div!Q35</f>
        <v>6355.3589027815187</v>
      </c>
      <c r="I2728" s="464">
        <f ca="1">Div!R37-Div!R35</f>
        <v>6348.251016326808</v>
      </c>
    </row>
    <row r="2729" spans="1:9">
      <c r="B2729" s="478" t="s">
        <v>360</v>
      </c>
      <c r="C2729" s="478"/>
      <c r="D2729" s="464">
        <f>Div!M70</f>
        <v>2239.3999999999996</v>
      </c>
      <c r="E2729" s="464">
        <f>Div!N70</f>
        <v>1968.4185681588733</v>
      </c>
      <c r="F2729" s="464">
        <f>Div!O70</f>
        <v>1924.4383249022164</v>
      </c>
      <c r="G2729" s="464">
        <f ca="1">Div!P70</f>
        <v>1870.8069761328745</v>
      </c>
      <c r="H2729" s="464">
        <f ca="1">Div!Q70</f>
        <v>1910.6010134179908</v>
      </c>
      <c r="I2729" s="464">
        <f ca="1">Div!R70</f>
        <v>1910.5973447368392</v>
      </c>
    </row>
    <row r="2730" spans="1:9">
      <c r="B2730" s="478" t="s">
        <v>1545</v>
      </c>
      <c r="C2730" s="478"/>
      <c r="D2730" s="464">
        <f>Div!M83-Div!M82</f>
        <v>1083</v>
      </c>
      <c r="E2730" s="464">
        <f>Div!N83-Div!N82</f>
        <v>1293</v>
      </c>
      <c r="F2730" s="464">
        <f ca="1">Div!O83-Div!O82</f>
        <v>1286</v>
      </c>
      <c r="G2730" s="464">
        <f ca="1">Div!P83-Div!P82</f>
        <v>1082.1195656627342</v>
      </c>
      <c r="H2730" s="464">
        <f ca="1">Div!Q83-Div!Q82</f>
        <v>1043.7486197549406</v>
      </c>
      <c r="I2730" s="464">
        <f ca="1">Div!R83-Div!R82</f>
        <v>969.54378268352377</v>
      </c>
    </row>
    <row r="2731" spans="1:9">
      <c r="B2731" s="478" t="s">
        <v>1552</v>
      </c>
      <c r="C2731" s="478"/>
      <c r="D2731" s="464">
        <f t="shared" ref="D2731:E2731" si="322">D2729-D2730</f>
        <v>1156.3999999999996</v>
      </c>
      <c r="E2731" s="464">
        <f t="shared" si="322"/>
        <v>675.41856815887331</v>
      </c>
      <c r="F2731" s="464">
        <f ca="1">F2729-F2730</f>
        <v>638.43832490221644</v>
      </c>
      <c r="G2731" s="464">
        <f ca="1">G2729-G2730</f>
        <v>788.68741047014032</v>
      </c>
      <c r="H2731" s="464">
        <f ca="1">H2729-H2730</f>
        <v>866.85239366305018</v>
      </c>
      <c r="I2731" s="464">
        <f ca="1">I2729-I2730</f>
        <v>941.05356205331543</v>
      </c>
    </row>
    <row r="2733" spans="1:9">
      <c r="B2733" s="478" t="s">
        <v>3256</v>
      </c>
      <c r="C2733" s="478"/>
    </row>
    <row r="2734" spans="1:9">
      <c r="B2734" s="478" t="s">
        <v>758</v>
      </c>
      <c r="C2734" s="478"/>
      <c r="D2734" s="464">
        <v>5089.9965596133516</v>
      </c>
      <c r="E2734" s="489">
        <f ca="1">6451.45689005925-0.25*Colombia!K216</f>
        <v>6123.454063318005</v>
      </c>
      <c r="F2734" s="464">
        <v>7359.0342485284191</v>
      </c>
      <c r="G2734" s="464">
        <v>7995.5385883624695</v>
      </c>
      <c r="H2734" s="464">
        <v>8688.8797156054043</v>
      </c>
      <c r="I2734" s="464">
        <v>9394.6029447039728</v>
      </c>
    </row>
    <row r="2735" spans="1:9">
      <c r="B2735" s="478" t="s">
        <v>360</v>
      </c>
      <c r="C2735" s="478"/>
      <c r="D2735" s="464">
        <v>1812.1686393182913</v>
      </c>
      <c r="E2735" s="489">
        <f ca="1">2153.95523129301-0.25*Colombia!K240</f>
        <v>2060.1710848306684</v>
      </c>
      <c r="F2735" s="464">
        <v>2529.6892576046739</v>
      </c>
      <c r="G2735" s="464">
        <v>2849.122998142403</v>
      </c>
      <c r="H2735" s="464">
        <v>3126.0038625436659</v>
      </c>
      <c r="I2735" s="464">
        <v>3345.0533002945713</v>
      </c>
    </row>
    <row r="2736" spans="1:9">
      <c r="B2736" s="478" t="s">
        <v>1545</v>
      </c>
      <c r="C2736" s="478"/>
      <c r="D2736" s="464">
        <v>992.57817132515129</v>
      </c>
      <c r="E2736" s="489">
        <f ca="1">1273.59670956775-0.25*Colombia!K255</f>
        <v>1196.5160452835573</v>
      </c>
      <c r="F2736" s="464">
        <v>1356.5228099679516</v>
      </c>
      <c r="G2736" s="464">
        <v>1311.0777128082455</v>
      </c>
      <c r="H2736" s="464">
        <v>1364.3350216852193</v>
      </c>
      <c r="I2736" s="464">
        <v>1372.2743728676578</v>
      </c>
    </row>
    <row r="2737" spans="2:9">
      <c r="B2737" s="478" t="s">
        <v>1552</v>
      </c>
      <c r="C2737" s="478"/>
      <c r="D2737" s="464">
        <f t="shared" ref="D2737:I2737" si="323">D2735-D2736</f>
        <v>819.59046799314001</v>
      </c>
      <c r="E2737" s="464">
        <f ca="1">E2735-E2736</f>
        <v>863.65503954711107</v>
      </c>
      <c r="F2737" s="464">
        <f t="shared" si="323"/>
        <v>1173.1664476367223</v>
      </c>
      <c r="G2737" s="464">
        <f t="shared" si="323"/>
        <v>1538.0452853341576</v>
      </c>
      <c r="H2737" s="464">
        <f t="shared" si="323"/>
        <v>1761.6688408584466</v>
      </c>
      <c r="I2737" s="464">
        <f t="shared" si="323"/>
        <v>1972.7789274269135</v>
      </c>
    </row>
    <row r="2738" spans="2:9">
      <c r="B2738" s="478"/>
      <c r="C2738" s="478"/>
    </row>
    <row r="2739" spans="2:9">
      <c r="B2739" s="478" t="s">
        <v>2353</v>
      </c>
      <c r="C2739" s="478"/>
    </row>
    <row r="2740" spans="2:9">
      <c r="B2740" t="str">
        <f>B2734</f>
        <v>Revenue</v>
      </c>
      <c r="D2740" s="456">
        <f t="shared" ref="D2740:F2743" si="324">D2728/D2734-1</f>
        <v>9.1003376150139426E-2</v>
      </c>
      <c r="E2740" s="456">
        <f ca="1">E2728/E2734-1</f>
        <v>4.2935570328848982E-2</v>
      </c>
      <c r="F2740" s="456">
        <f t="shared" si="324"/>
        <v>-8.563042609822713E-2</v>
      </c>
      <c r="G2740" s="456">
        <f t="shared" ref="G2740:I2743" ca="1" si="325">G2728/G2734-1</f>
        <v>-0.22455888655480671</v>
      </c>
      <c r="H2740" s="456">
        <f t="shared" ca="1" si="325"/>
        <v>-0.26856405994812371</v>
      </c>
      <c r="I2740" s="456">
        <f t="shared" ca="1" si="325"/>
        <v>-0.32426617136538882</v>
      </c>
    </row>
    <row r="2741" spans="2:9">
      <c r="B2741" t="str">
        <f>B2735</f>
        <v>EBITDA</v>
      </c>
      <c r="D2741" s="456">
        <f t="shared" si="324"/>
        <v>0.23575695518184547</v>
      </c>
      <c r="E2741" s="456">
        <f ca="1">E2729/E2735-1</f>
        <v>-4.4536357852695718E-2</v>
      </c>
      <c r="F2741" s="456">
        <f t="shared" si="324"/>
        <v>-0.23925900419704549</v>
      </c>
      <c r="G2741" s="456">
        <f t="shared" ca="1" si="325"/>
        <v>-0.34337444281885332</v>
      </c>
      <c r="H2741" s="456">
        <f t="shared" ca="1" si="325"/>
        <v>-0.38880401386858421</v>
      </c>
      <c r="I2741" s="456">
        <f t="shared" ca="1" si="325"/>
        <v>-0.42882902805507206</v>
      </c>
    </row>
    <row r="2742" spans="2:9">
      <c r="B2742" t="str">
        <f>B2736</f>
        <v>Capex</v>
      </c>
      <c r="D2742" s="456">
        <f t="shared" si="324"/>
        <v>9.1097941992951625E-2</v>
      </c>
      <c r="E2742" s="456">
        <f ca="1">E2730/E2736-1</f>
        <v>8.0637409833962836E-2</v>
      </c>
      <c r="F2742" s="456">
        <f ca="1">F2730/F2736-1</f>
        <v>-5.1987927847389259E-2</v>
      </c>
      <c r="G2742" s="456">
        <f t="shared" ca="1" si="325"/>
        <v>-0.17463354376995499</v>
      </c>
      <c r="H2742" s="456">
        <f t="shared" ca="1" si="325"/>
        <v>-0.23497630481865961</v>
      </c>
      <c r="I2742" s="456">
        <f t="shared" ca="1" si="325"/>
        <v>-0.29347672604461983</v>
      </c>
    </row>
    <row r="2743" spans="2:9">
      <c r="B2743" s="478" t="s">
        <v>1552</v>
      </c>
      <c r="C2743" s="478"/>
      <c r="D2743" s="456">
        <f t="shared" si="324"/>
        <v>0.41094857146347241</v>
      </c>
      <c r="E2743" s="456">
        <f ca="1">E2731/E2737-1</f>
        <v>-0.21795330631885901</v>
      </c>
      <c r="F2743" s="456">
        <f ca="1">F2731/F2737-1</f>
        <v>-0.45579902477750323</v>
      </c>
      <c r="G2743" s="456">
        <f t="shared" ca="1" si="325"/>
        <v>-0.48721444160937755</v>
      </c>
      <c r="H2743" s="456">
        <f t="shared" ca="1" si="325"/>
        <v>-0.50793680766889193</v>
      </c>
      <c r="I2743" s="456">
        <f t="shared" ca="1" si="325"/>
        <v>-0.52298073090190234</v>
      </c>
    </row>
    <row r="2744" spans="2:9">
      <c r="B2744" s="478"/>
      <c r="C2744" s="478"/>
    </row>
    <row r="2745" spans="2:9">
      <c r="B2745" s="487" t="s">
        <v>3267</v>
      </c>
      <c r="C2745" s="487"/>
      <c r="D2745" s="455">
        <v>2013</v>
      </c>
      <c r="E2745" s="455">
        <f>D2745+1</f>
        <v>2014</v>
      </c>
      <c r="F2745" s="455">
        <f>E2745+1</f>
        <v>2015</v>
      </c>
      <c r="G2745" s="455">
        <f>F2745+1</f>
        <v>2016</v>
      </c>
      <c r="H2745" s="455">
        <f>G2745+1</f>
        <v>2017</v>
      </c>
      <c r="I2745" s="455">
        <f>H2745+1</f>
        <v>2018</v>
      </c>
    </row>
    <row r="2746" spans="2:9">
      <c r="B2746" s="478" t="s">
        <v>758</v>
      </c>
      <c r="C2746" s="478"/>
      <c r="D2746" s="464">
        <f>Africa!N156</f>
        <v>956.59279449502162</v>
      </c>
      <c r="E2746" s="464">
        <f>Africa!O156</f>
        <v>999.81890597417782</v>
      </c>
      <c r="F2746" s="464">
        <f>Africa!P156</f>
        <v>988.13223529075731</v>
      </c>
      <c r="G2746" s="464">
        <f ca="1">Africa!Q156</f>
        <v>885.92827027843157</v>
      </c>
      <c r="H2746" s="464">
        <f ca="1">Africa!R156</f>
        <v>937.90414999777897</v>
      </c>
      <c r="I2746" s="464">
        <f ca="1">Africa!S156</f>
        <v>884.24385743272353</v>
      </c>
    </row>
    <row r="2747" spans="2:9">
      <c r="B2747" s="478" t="s">
        <v>360</v>
      </c>
      <c r="C2747" s="478"/>
      <c r="D2747" s="464">
        <f>Africa!N160</f>
        <v>262.2</v>
      </c>
      <c r="E2747" s="464">
        <f>Africa!O160</f>
        <v>226.47706314004341</v>
      </c>
      <c r="F2747" s="464">
        <f>Africa!P160</f>
        <v>200</v>
      </c>
      <c r="G2747" s="464">
        <f ca="1">Africa!Q160</f>
        <v>248.12673786484811</v>
      </c>
      <c r="H2747" s="464">
        <f ca="1">Africa!R160</f>
        <v>264.33644224665647</v>
      </c>
      <c r="I2747" s="464">
        <f ca="1">Africa!S160</f>
        <v>155.11190555621897</v>
      </c>
    </row>
    <row r="2748" spans="2:9">
      <c r="B2748" s="478" t="s">
        <v>1434</v>
      </c>
      <c r="C2748" s="478"/>
      <c r="D2748" s="456">
        <f t="shared" ref="D2748:F2748" si="326">D2747/D2746</f>
        <v>0.27409782041941205</v>
      </c>
      <c r="E2748" s="456">
        <f t="shared" si="326"/>
        <v>0.22651808421183486</v>
      </c>
      <c r="F2748" s="456">
        <f t="shared" si="326"/>
        <v>0.20240206002504324</v>
      </c>
      <c r="G2748" s="456">
        <f ca="1">G2747/G2746</f>
        <v>0.28007542618192582</v>
      </c>
      <c r="H2748" s="456">
        <f ca="1">H2747/H2746</f>
        <v>0.281837373517627</v>
      </c>
      <c r="I2748" s="456">
        <f ca="1">I2747/I2746</f>
        <v>0.17541756637876385</v>
      </c>
    </row>
    <row r="2749" spans="2:9" hidden="1" outlineLevel="1">
      <c r="B2749" s="478" t="s">
        <v>1545</v>
      </c>
      <c r="C2749" s="478"/>
      <c r="D2749" s="464">
        <f>Africa!N178</f>
        <v>325.5</v>
      </c>
      <c r="E2749" s="464">
        <f>Africa!O178</f>
        <v>361</v>
      </c>
      <c r="F2749" s="464">
        <f>Africa!P178</f>
        <v>242</v>
      </c>
      <c r="G2749" s="464">
        <f ca="1">Africa!Q178</f>
        <v>177.18565405568631</v>
      </c>
      <c r="H2749" s="464">
        <f ca="1">Africa!R178</f>
        <v>159.44370549962244</v>
      </c>
      <c r="I2749" s="464">
        <f ca="1">Africa!S178</f>
        <v>132.63657861490853</v>
      </c>
    </row>
    <row r="2750" spans="2:9" hidden="1" outlineLevel="1">
      <c r="B2750" s="478" t="s">
        <v>1552</v>
      </c>
      <c r="C2750" s="478"/>
      <c r="D2750" s="464">
        <f t="shared" ref="D2750:F2750" si="327">D2747-D2749</f>
        <v>-63.300000000000011</v>
      </c>
      <c r="E2750" s="464">
        <f t="shared" si="327"/>
        <v>-134.52293685995659</v>
      </c>
      <c r="F2750" s="464">
        <f t="shared" si="327"/>
        <v>-42</v>
      </c>
      <c r="G2750" s="464">
        <f ca="1">G2747-G2749</f>
        <v>70.941083809161796</v>
      </c>
      <c r="H2750" s="464">
        <f ca="1">H2747-H2749</f>
        <v>104.89273674703404</v>
      </c>
      <c r="I2750" s="464">
        <f ca="1">I2747-I2749</f>
        <v>22.475326941310442</v>
      </c>
    </row>
    <row r="2751" spans="2:9" collapsed="1">
      <c r="B2751" s="478"/>
      <c r="C2751" s="478"/>
    </row>
    <row r="2752" spans="2:9">
      <c r="B2752" s="478" t="s">
        <v>3268</v>
      </c>
      <c r="C2752" s="478"/>
    </row>
    <row r="2753" spans="2:9">
      <c r="B2753" s="478" t="s">
        <v>758</v>
      </c>
      <c r="C2753" s="478"/>
      <c r="D2753" s="464">
        <v>967.92338348180283</v>
      </c>
      <c r="E2753" s="464">
        <v>1056.7050727417586</v>
      </c>
      <c r="F2753" s="464">
        <v>1212.4723853423304</v>
      </c>
      <c r="G2753" s="464">
        <v>1384.825920324239</v>
      </c>
      <c r="H2753" s="464">
        <v>1552.6614093372875</v>
      </c>
      <c r="I2753" s="464">
        <v>1727.3114501428749</v>
      </c>
    </row>
    <row r="2754" spans="2:9">
      <c r="B2754" s="478" t="s">
        <v>360</v>
      </c>
      <c r="C2754" s="478"/>
      <c r="D2754" s="464">
        <v>304.91194010569973</v>
      </c>
      <c r="E2754" s="464">
        <v>329.27033595232729</v>
      </c>
      <c r="F2754" s="464">
        <v>402.99585075530808</v>
      </c>
      <c r="G2754" s="464">
        <v>492.14475794638179</v>
      </c>
      <c r="H2754" s="464">
        <v>554.06084697638255</v>
      </c>
      <c r="I2754" s="464">
        <v>592.96078948923241</v>
      </c>
    </row>
    <row r="2755" spans="2:9">
      <c r="B2755" s="478" t="s">
        <v>1434</v>
      </c>
      <c r="C2755" s="478"/>
      <c r="D2755" s="456">
        <f t="shared" ref="D2755:I2755" si="328">D2754/D2753</f>
        <v>0.31501660700547807</v>
      </c>
      <c r="E2755" s="456">
        <f t="shared" si="328"/>
        <v>0.31160097973031642</v>
      </c>
      <c r="F2755" s="456">
        <f t="shared" si="328"/>
        <v>0.33237528180200648</v>
      </c>
      <c r="G2755" s="456">
        <f t="shared" si="328"/>
        <v>0.35538384335783701</v>
      </c>
      <c r="H2755" s="456">
        <f t="shared" si="328"/>
        <v>0.35684589289358892</v>
      </c>
      <c r="I2755" s="456">
        <f t="shared" si="328"/>
        <v>0.34328539270679037</v>
      </c>
    </row>
    <row r="2756" spans="2:9" hidden="1" outlineLevel="1">
      <c r="B2756" s="478" t="s">
        <v>1545</v>
      </c>
      <c r="C2756" s="478"/>
      <c r="D2756" s="464">
        <v>319.41471654899493</v>
      </c>
      <c r="E2756" s="464">
        <v>317.01152182252758</v>
      </c>
      <c r="F2756" s="464">
        <v>315.2428201890059</v>
      </c>
      <c r="G2756" s="464">
        <v>249.26866565836301</v>
      </c>
      <c r="H2756" s="464">
        <v>279.47905368071173</v>
      </c>
      <c r="I2756" s="464">
        <v>293.64294652428879</v>
      </c>
    </row>
    <row r="2757" spans="2:9" hidden="1" outlineLevel="1">
      <c r="B2757" s="478" t="s">
        <v>1552</v>
      </c>
      <c r="C2757" s="478"/>
      <c r="D2757" s="464">
        <f t="shared" ref="D2757:I2757" si="329">D2754-D2756</f>
        <v>-14.502776443295204</v>
      </c>
      <c r="E2757" s="464">
        <f t="shared" si="329"/>
        <v>12.258814129799703</v>
      </c>
      <c r="F2757" s="464">
        <f t="shared" si="329"/>
        <v>87.753030566302186</v>
      </c>
      <c r="G2757" s="464">
        <f t="shared" si="329"/>
        <v>242.87609228801878</v>
      </c>
      <c r="H2757" s="464">
        <f t="shared" si="329"/>
        <v>274.58179329567082</v>
      </c>
      <c r="I2757" s="464">
        <f t="shared" si="329"/>
        <v>299.31784296494362</v>
      </c>
    </row>
    <row r="2758" spans="2:9" collapsed="1">
      <c r="B2758" s="478"/>
      <c r="C2758" s="478"/>
    </row>
    <row r="2759" spans="2:9">
      <c r="B2759" s="478" t="s">
        <v>2353</v>
      </c>
      <c r="C2759" s="478"/>
    </row>
    <row r="2760" spans="2:9">
      <c r="B2760" t="str">
        <f>B2753</f>
        <v>Revenue</v>
      </c>
      <c r="D2760" s="456">
        <f t="shared" ref="D2760:F2761" si="330">D2746/D2753-1</f>
        <v>-1.1706080439985778E-2</v>
      </c>
      <c r="E2760" s="456">
        <f t="shared" si="330"/>
        <v>-5.383353239705968E-2</v>
      </c>
      <c r="F2760" s="456">
        <f t="shared" si="330"/>
        <v>-0.18502701815203215</v>
      </c>
      <c r="G2760" s="456">
        <f t="shared" ref="G2760:I2761" ca="1" si="331">G2746/G2753-1</f>
        <v>-0.36026019063031189</v>
      </c>
      <c r="H2760" s="456">
        <f t="shared" ca="1" si="331"/>
        <v>-0.39593774640274049</v>
      </c>
      <c r="I2760" s="456">
        <f t="shared" ca="1" si="331"/>
        <v>-0.4880808221588625</v>
      </c>
    </row>
    <row r="2761" spans="2:9">
      <c r="B2761" t="str">
        <f>B2754</f>
        <v>EBITDA</v>
      </c>
      <c r="D2761" s="456">
        <f t="shared" si="330"/>
        <v>-0.14007959180245078</v>
      </c>
      <c r="E2761" s="456">
        <f t="shared" si="330"/>
        <v>-0.31218503942962716</v>
      </c>
      <c r="F2761" s="456">
        <f t="shared" si="330"/>
        <v>-0.50371697469054977</v>
      </c>
      <c r="G2761" s="456">
        <f t="shared" ca="1" si="331"/>
        <v>-0.49582570197388742</v>
      </c>
      <c r="H2761" s="456">
        <f t="shared" ca="1" si="331"/>
        <v>-0.52291080719889937</v>
      </c>
      <c r="I2761" s="456">
        <f t="shared" ca="1" si="331"/>
        <v>-0.73841119293936774</v>
      </c>
    </row>
    <row r="2762" spans="2:9" hidden="1" outlineLevel="1">
      <c r="B2762" t="str">
        <f>B2756</f>
        <v>Capex</v>
      </c>
      <c r="D2762" s="456">
        <f t="shared" ref="D2762:F2763" si="332">D2749/D2756-1</f>
        <v>1.9051355919825541E-2</v>
      </c>
      <c r="E2762" s="456">
        <f t="shared" si="332"/>
        <v>0.13875987195852924</v>
      </c>
      <c r="F2762" s="456">
        <f t="shared" si="332"/>
        <v>-0.23233779010444289</v>
      </c>
      <c r="G2762" s="456">
        <f t="shared" ref="G2762:I2763" ca="1" si="333">G2749/G2756-1</f>
        <v>-0.28917798958923535</v>
      </c>
      <c r="H2762" s="456">
        <f t="shared" ca="1" si="333"/>
        <v>-0.429496760491477</v>
      </c>
      <c r="I2762" s="456">
        <f t="shared" ca="1" si="333"/>
        <v>-0.54830660778723161</v>
      </c>
    </row>
    <row r="2763" spans="2:9" hidden="1" outlineLevel="1">
      <c r="B2763" s="478" t="s">
        <v>1552</v>
      </c>
      <c r="C2763" s="478"/>
      <c r="D2763" s="456">
        <f t="shared" si="332"/>
        <v>3.3646814971945807</v>
      </c>
      <c r="E2763" s="456">
        <f t="shared" si="332"/>
        <v>-11.973568522663829</v>
      </c>
      <c r="F2763" s="456">
        <f t="shared" si="332"/>
        <v>-1.4786159489758786</v>
      </c>
      <c r="G2763" s="456">
        <f t="shared" ca="1" si="333"/>
        <v>-0.7079124456390089</v>
      </c>
      <c r="H2763" s="456">
        <f t="shared" ca="1" si="333"/>
        <v>-0.61799092544316991</v>
      </c>
      <c r="I2763" s="456">
        <f t="shared" ca="1" si="333"/>
        <v>-0.92491150304079006</v>
      </c>
    </row>
    <row r="2764" spans="2:9" collapsed="1"/>
    <row r="2765" spans="2:9">
      <c r="B2765" s="455" t="s">
        <v>3270</v>
      </c>
      <c r="C2765" s="455"/>
      <c r="D2765" s="495" t="s">
        <v>2018</v>
      </c>
      <c r="E2765" s="495" t="s">
        <v>1647</v>
      </c>
    </row>
    <row r="2766" spans="2:9">
      <c r="B2766" t="s">
        <v>3092</v>
      </c>
      <c r="D2766" s="456">
        <f ca="1">'Full div'!S205</f>
        <v>-7.7485035216031339E-2</v>
      </c>
      <c r="E2766" s="456">
        <v>4.5502675050632879E-2</v>
      </c>
    </row>
    <row r="2767" spans="2:9">
      <c r="B2767" s="455" t="s">
        <v>3090</v>
      </c>
      <c r="C2767" s="455"/>
      <c r="D2767" s="561">
        <f>'Full div'!S206</f>
        <v>5.4614986490187478E-2</v>
      </c>
      <c r="E2767" s="561">
        <v>0.20102513715459214</v>
      </c>
    </row>
    <row r="2768" spans="2:9">
      <c r="B2768" t="s">
        <v>3098</v>
      </c>
      <c r="D2768" s="456">
        <f ca="1">'Full div'!S207</f>
        <v>-6.004048285963226E-2</v>
      </c>
      <c r="E2768" s="456">
        <v>5.8294290901752532E-2</v>
      </c>
    </row>
    <row r="2769" spans="2:7">
      <c r="D2769" s="456"/>
      <c r="E2769" s="456"/>
    </row>
    <row r="2770" spans="2:7">
      <c r="B2770" t="s">
        <v>3269</v>
      </c>
      <c r="D2770" s="456">
        <f>'Full div'!S209</f>
        <v>5.111646118685309E-2</v>
      </c>
      <c r="E2770" s="456">
        <v>0.14784210553393851</v>
      </c>
    </row>
    <row r="2771" spans="2:7">
      <c r="B2771" t="s">
        <v>2702</v>
      </c>
      <c r="D2771" s="456">
        <f ca="1">'Full div'!S210</f>
        <v>0.13408759838592665</v>
      </c>
      <c r="E2771" s="456">
        <v>0.60416179716685225</v>
      </c>
    </row>
    <row r="2772" spans="2:7">
      <c r="B2772" t="s">
        <v>2758</v>
      </c>
      <c r="D2772" s="456" t="e">
        <f>'Full div'!#REF!</f>
        <v>#REF!</v>
      </c>
      <c r="E2772" s="456">
        <v>1.3726554877783963</v>
      </c>
    </row>
    <row r="2773" spans="2:7">
      <c r="B2773" t="s">
        <v>2324</v>
      </c>
      <c r="D2773" s="456">
        <f ca="1">'Full div'!S211</f>
        <v>-2.8761958242773611E-2</v>
      </c>
      <c r="E2773" s="456">
        <v>0.10587670644325198</v>
      </c>
    </row>
    <row r="2774" spans="2:7">
      <c r="D2774" s="456"/>
      <c r="E2774" s="456"/>
    </row>
    <row r="2775" spans="2:7">
      <c r="B2775" t="s">
        <v>3097</v>
      </c>
      <c r="D2775" s="456" t="e">
        <f>'Full div'!#REF!</f>
        <v>#REF!</v>
      </c>
      <c r="E2775" s="456">
        <v>7.78640503259862E-2</v>
      </c>
    </row>
    <row r="2777" spans="2:7">
      <c r="B2777" s="478" t="s">
        <v>2056</v>
      </c>
      <c r="C2777" s="478"/>
    </row>
    <row r="2779" spans="2:7">
      <c r="B2779">
        <v>5159</v>
      </c>
      <c r="D2779">
        <v>1167</v>
      </c>
      <c r="E2779">
        <v>88</v>
      </c>
      <c r="F2779">
        <v>83</v>
      </c>
      <c r="G2779">
        <f>B2779+D2779-E2779-F2779</f>
        <v>6155</v>
      </c>
    </row>
    <row r="2780" spans="2:7">
      <c r="B2780">
        <v>1881</v>
      </c>
      <c r="D2780">
        <v>603</v>
      </c>
      <c r="E2780">
        <v>40</v>
      </c>
      <c r="F2780">
        <v>-62</v>
      </c>
      <c r="G2780">
        <f>B2780+D2780-E2780-F2780</f>
        <v>2506</v>
      </c>
    </row>
    <row r="2782" spans="2:7">
      <c r="B2782" s="478"/>
      <c r="C2782" s="478"/>
    </row>
    <row r="2783" spans="2:7">
      <c r="B2783" s="478"/>
      <c r="C2783" s="478"/>
      <c r="D2783" s="478"/>
    </row>
    <row r="2784" spans="2:7">
      <c r="B2784" s="487"/>
      <c r="C2784" s="487"/>
      <c r="D2784" s="487" t="s">
        <v>3321</v>
      </c>
      <c r="E2784" s="508" t="s">
        <v>3320</v>
      </c>
    </row>
    <row r="2785" spans="2:6">
      <c r="B2785" s="478" t="s">
        <v>465</v>
      </c>
      <c r="C2785" s="478"/>
    </row>
    <row r="2786" spans="2:6">
      <c r="B2786" s="478" t="s">
        <v>3316</v>
      </c>
      <c r="C2786" s="478"/>
      <c r="D2786" s="468">
        <f>Valuation!D62</f>
        <v>4.1260632245733646</v>
      </c>
      <c r="E2786" s="760">
        <f>Valuation!K21</f>
        <v>2613</v>
      </c>
    </row>
    <row r="2787" spans="2:6">
      <c r="B2787" s="478" t="s">
        <v>3319</v>
      </c>
      <c r="C2787" s="478"/>
      <c r="D2787" s="468">
        <f>Valuation!D68</f>
        <v>0</v>
      </c>
      <c r="E2787" s="456">
        <f>Valuation!K20</f>
        <v>0</v>
      </c>
    </row>
    <row r="2788" spans="2:6">
      <c r="B2788" s="478" t="s">
        <v>3317</v>
      </c>
      <c r="C2788" s="478"/>
      <c r="D2788" s="468">
        <f>Valuation!D100</f>
        <v>0</v>
      </c>
      <c r="E2788" s="456">
        <f>Valuation!K85</f>
        <v>2249.9993099971803</v>
      </c>
    </row>
    <row r="2789" spans="2:6">
      <c r="B2789" s="478"/>
      <c r="C2789" s="478"/>
      <c r="D2789" s="468"/>
      <c r="E2789" s="456"/>
    </row>
    <row r="2791" spans="2:6">
      <c r="B2791" s="478" t="s">
        <v>3318</v>
      </c>
      <c r="C2791" s="478"/>
      <c r="D2791">
        <v>5.5</v>
      </c>
      <c r="E2791" s="456">
        <v>5.5E-2</v>
      </c>
    </row>
    <row r="2793" spans="2:6">
      <c r="B2793" s="499" t="s">
        <v>360</v>
      </c>
      <c r="C2793" s="499"/>
    </row>
    <row r="2795" spans="2:6">
      <c r="B2795" s="499" t="s">
        <v>3327</v>
      </c>
      <c r="C2795" s="499"/>
      <c r="E2795" s="599" t="s">
        <v>3355</v>
      </c>
      <c r="F2795" s="764" t="s">
        <v>1929</v>
      </c>
    </row>
    <row r="2796" spans="2:6">
      <c r="B2796" t="str">
        <f>Div!B45</f>
        <v>Central America</v>
      </c>
      <c r="D2796" s="449">
        <f>Div!N45/Div!M45-1</f>
        <v>-1.7208433648956523E-2</v>
      </c>
      <c r="E2796" s="456">
        <f>(Div!R45/Div!N45)^(1/4)-1</f>
        <v>-2.4825595096223507E-2</v>
      </c>
      <c r="F2796" s="449">
        <f ca="1">(Div!R45-Div!N45)/((Div!R$53-Div!R$47)-(Div!$N$53-Div!N$47))</f>
        <v>0.66774653635481529</v>
      </c>
    </row>
    <row r="2797" spans="2:6">
      <c r="B2797" t="str">
        <f>Div!B46</f>
        <v>Colombia mobile</v>
      </c>
      <c r="D2797" s="449">
        <f>Div!N46/Div!M46-1</f>
        <v>0.27837131401309434</v>
      </c>
      <c r="E2797" s="456">
        <f>(Div!R46/Div!N46)^(1/4)-1</f>
        <v>-9.4237314747377954E-2</v>
      </c>
      <c r="F2797" s="449">
        <f ca="1">(Div!R46-Div!N46)/((Div!R$53-Div!R$47)-(Div!$N$53-Div!N$47))</f>
        <v>0.59821067250647886</v>
      </c>
    </row>
    <row r="2798" spans="2:6">
      <c r="B2798" t="str">
        <f>Div!B47</f>
        <v>Colombia fixed</v>
      </c>
      <c r="D2798" s="449"/>
      <c r="E2798" s="456">
        <f>(Div!R47/(Div!N47*2))^(1/4)-1</f>
        <v>3.0161785023290921E-2</v>
      </c>
    </row>
    <row r="2799" spans="2:6">
      <c r="B2799" t="str">
        <f>Div!B48</f>
        <v>SA ex Colombia</v>
      </c>
      <c r="D2799" s="449">
        <f>Div!N48/Div!M48-1</f>
        <v>-4.2012087687954613E-2</v>
      </c>
      <c r="E2799" s="456">
        <f ca="1">(Div!R48/Div!N48)^(1/4)-1</f>
        <v>4.9172934702738758E-2</v>
      </c>
      <c r="F2799" s="449">
        <f ca="1">(Div!R48-Div!N48)/((Div!R$53-Div!R$47)-(Div!$N$53-Div!N$47))</f>
        <v>-0.69798310109083184</v>
      </c>
    </row>
    <row r="2800" spans="2:6">
      <c r="B2800" t="str">
        <f>Div!B49</f>
        <v>Africa</v>
      </c>
      <c r="D2800" s="449">
        <f>Div!N49/Div!M49-1</f>
        <v>-0.13624308489685955</v>
      </c>
      <c r="E2800" s="456">
        <f ca="1">(Div!R49/Div!N49)^(1/4)-1</f>
        <v>-9.0285269321316086E-2</v>
      </c>
      <c r="F2800" s="449">
        <f ca="1">(Div!R49-Div!N49)/((Div!R$53-Div!R$47)-(Div!$N$53-Div!N$47))</f>
        <v>0.43202589222953874</v>
      </c>
    </row>
    <row r="2801" spans="2:7">
      <c r="B2801" s="455" t="str">
        <f>Div!B51</f>
        <v>Rocket Internet</v>
      </c>
      <c r="E2801" s="561"/>
      <c r="F2801" s="455"/>
    </row>
    <row r="2802" spans="2:7">
      <c r="B2802" s="478" t="s">
        <v>3338</v>
      </c>
      <c r="C2802" s="478"/>
      <c r="E2802" s="456">
        <f ca="1">((Div!R53-Div!R47)/(Div!M53-Div!M47))^(1/4)-1</f>
        <v>-2.051279758938751E-2</v>
      </c>
      <c r="F2802" s="449">
        <v>1</v>
      </c>
    </row>
    <row r="2805" spans="2:7">
      <c r="B2805" s="693" t="s">
        <v>3093</v>
      </c>
      <c r="C2805" s="693"/>
    </row>
    <row r="2807" spans="2:7">
      <c r="B2807" s="455"/>
      <c r="C2807" s="455"/>
      <c r="D2807" s="508" t="s">
        <v>1250</v>
      </c>
      <c r="E2807" s="508" t="s">
        <v>1284</v>
      </c>
      <c r="F2807" s="487" t="s">
        <v>922</v>
      </c>
      <c r="G2807" s="487" t="s">
        <v>1764</v>
      </c>
    </row>
    <row r="2808" spans="2:7">
      <c r="B2808" s="478" t="s">
        <v>578</v>
      </c>
      <c r="C2808" s="478"/>
      <c r="D2808" s="449">
        <v>0.45</v>
      </c>
      <c r="F2808" s="449">
        <v>0.55000000000000004</v>
      </c>
    </row>
    <row r="2809" spans="2:7">
      <c r="B2809" s="478" t="s">
        <v>2227</v>
      </c>
      <c r="C2809" s="478"/>
      <c r="D2809" s="449">
        <v>0.35</v>
      </c>
    </row>
    <row r="2810" spans="2:7">
      <c r="B2810" s="478" t="s">
        <v>2378</v>
      </c>
      <c r="C2810" s="478"/>
      <c r="D2810" s="449">
        <v>0.32</v>
      </c>
    </row>
    <row r="2811" spans="2:7">
      <c r="B2811" s="478" t="s">
        <v>2376</v>
      </c>
      <c r="C2811" s="478"/>
      <c r="D2811" s="449">
        <v>0.1</v>
      </c>
    </row>
    <row r="2812" spans="2:7">
      <c r="B2812" s="478" t="s">
        <v>2382</v>
      </c>
      <c r="C2812" s="478"/>
      <c r="D2812" s="449">
        <v>0.08</v>
      </c>
      <c r="E2812" s="449"/>
    </row>
    <row r="2813" spans="2:7">
      <c r="B2813" s="478" t="s">
        <v>2245</v>
      </c>
      <c r="C2813" s="478"/>
      <c r="E2813" s="449">
        <v>0.59</v>
      </c>
    </row>
    <row r="2814" spans="2:7">
      <c r="B2814" s="567" t="s">
        <v>1291</v>
      </c>
      <c r="C2814" s="567"/>
      <c r="E2814" s="449">
        <v>0.21</v>
      </c>
    </row>
    <row r="2815" spans="2:7">
      <c r="B2815" s="567" t="s">
        <v>1293</v>
      </c>
      <c r="C2815" s="567"/>
      <c r="E2815" s="449">
        <v>0.16</v>
      </c>
    </row>
    <row r="2816" spans="2:7">
      <c r="B2816" s="567" t="s">
        <v>2241</v>
      </c>
      <c r="C2816" s="567"/>
      <c r="E2816" s="449"/>
      <c r="G2816" t="s">
        <v>3458</v>
      </c>
    </row>
    <row r="2818" spans="2:18">
      <c r="B2818" s="455" t="s">
        <v>134</v>
      </c>
      <c r="C2818" s="455"/>
      <c r="D2818" s="495" t="s">
        <v>3386</v>
      </c>
      <c r="E2818" s="495" t="s">
        <v>1034</v>
      </c>
    </row>
    <row r="2819" spans="2:18">
      <c r="B2819" t="s">
        <v>3311</v>
      </c>
      <c r="D2819" s="454">
        <f>Master!P566</f>
        <v>273</v>
      </c>
      <c r="E2819" s="493" t="s">
        <v>3385</v>
      </c>
    </row>
    <row r="2820" spans="2:18">
      <c r="B2820" t="s">
        <v>3311</v>
      </c>
      <c r="D2820" s="454">
        <f>Master!P567</f>
        <v>37</v>
      </c>
      <c r="E2820" s="493" t="s">
        <v>3385</v>
      </c>
    </row>
    <row r="2821" spans="2:18">
      <c r="B2821" t="s">
        <v>2378</v>
      </c>
      <c r="D2821" s="454">
        <f>Master!P569</f>
        <v>294</v>
      </c>
      <c r="E2821" s="493" t="s">
        <v>967</v>
      </c>
    </row>
    <row r="2822" spans="2:18">
      <c r="B2822" t="s">
        <v>2376</v>
      </c>
      <c r="D2822" s="454">
        <f>Master!P564</f>
        <v>441</v>
      </c>
      <c r="E2822" s="493" t="s">
        <v>967</v>
      </c>
    </row>
    <row r="2823" spans="2:18">
      <c r="B2823" s="455" t="s">
        <v>2379</v>
      </c>
      <c r="C2823" s="455"/>
      <c r="D2823" s="462">
        <f>Master!P571</f>
        <v>791</v>
      </c>
      <c r="E2823" s="495" t="s">
        <v>967</v>
      </c>
    </row>
    <row r="2824" spans="2:18">
      <c r="B2824" t="s">
        <v>3388</v>
      </c>
      <c r="D2824" s="454">
        <f>4158+800</f>
        <v>4958</v>
      </c>
      <c r="E2824" s="493"/>
    </row>
    <row r="2826" spans="2:18">
      <c r="B2826" s="487" t="s">
        <v>3397</v>
      </c>
      <c r="C2826" s="487"/>
      <c r="D2826" s="508" t="s">
        <v>3398</v>
      </c>
      <c r="E2826" s="508" t="s">
        <v>3399</v>
      </c>
      <c r="F2826" s="495" t="s">
        <v>2324</v>
      </c>
      <c r="G2826" s="495" t="s">
        <v>3391</v>
      </c>
      <c r="H2826" s="495" t="s">
        <v>3390</v>
      </c>
      <c r="Q2826" s="493" t="s">
        <v>2170</v>
      </c>
      <c r="R2826" s="493" t="s">
        <v>967</v>
      </c>
    </row>
    <row r="2827" spans="2:18">
      <c r="B2827" t="s">
        <v>3393</v>
      </c>
      <c r="D2827" s="464">
        <f>398+800-R2827</f>
        <v>813</v>
      </c>
      <c r="E2827" s="464">
        <f>609-Q2827</f>
        <v>509</v>
      </c>
      <c r="F2827" s="464">
        <f>D2827+E2827</f>
        <v>1322</v>
      </c>
      <c r="G2827" s="449">
        <f>D2827/F2827</f>
        <v>0.61497730711043874</v>
      </c>
      <c r="H2827" s="449">
        <f>E2827/F2827</f>
        <v>0.38502269288956126</v>
      </c>
      <c r="K2827" t="s">
        <v>3389</v>
      </c>
      <c r="Q2827">
        <f>100</f>
        <v>100</v>
      </c>
      <c r="R2827">
        <f>485-Q2827</f>
        <v>385</v>
      </c>
    </row>
    <row r="2828" spans="2:18">
      <c r="B2828" t="s">
        <v>3395</v>
      </c>
      <c r="D2828" s="464">
        <f>D2827+450</f>
        <v>1263</v>
      </c>
      <c r="E2828" s="464">
        <f>E2827-450</f>
        <v>59</v>
      </c>
      <c r="F2828" s="464">
        <f>D2828+E2828</f>
        <v>1322</v>
      </c>
      <c r="G2828" s="449">
        <f>D2828/F2828</f>
        <v>0.95537065052950076</v>
      </c>
      <c r="H2828" s="449">
        <f>E2828/F2828</f>
        <v>4.4629349470499242E-2</v>
      </c>
    </row>
    <row r="2829" spans="2:18">
      <c r="D2829" s="464"/>
      <c r="E2829" s="464"/>
      <c r="F2829" s="464"/>
    </row>
    <row r="2830" spans="2:18">
      <c r="B2830" t="s">
        <v>1697</v>
      </c>
      <c r="D2830" s="464">
        <v>364</v>
      </c>
      <c r="E2830" s="464">
        <v>518</v>
      </c>
      <c r="F2830" s="464">
        <f>D2830+E2830</f>
        <v>882</v>
      </c>
      <c r="G2830" s="449">
        <f>D2830/F2830</f>
        <v>0.41269841269841268</v>
      </c>
      <c r="H2830" s="449">
        <f>E2830/F2830</f>
        <v>0.58730158730158732</v>
      </c>
    </row>
    <row r="2831" spans="2:18">
      <c r="B2831" s="455" t="s">
        <v>1831</v>
      </c>
      <c r="C2831" s="455"/>
      <c r="D2831" s="490">
        <v>170</v>
      </c>
      <c r="E2831" s="490">
        <v>29</v>
      </c>
      <c r="F2831" s="490">
        <f>D2831+E2831</f>
        <v>199</v>
      </c>
      <c r="G2831" s="476">
        <f>D2831/F2831</f>
        <v>0.85427135678391963</v>
      </c>
      <c r="H2831" s="476">
        <f>E2831/F2831</f>
        <v>0.14572864321608039</v>
      </c>
    </row>
    <row r="2832" spans="2:18">
      <c r="B2832" t="s">
        <v>3392</v>
      </c>
      <c r="D2832" s="464">
        <f>D2828+D2830+D2831</f>
        <v>1797</v>
      </c>
      <c r="E2832" s="464">
        <f>E2828+E2830+E2831</f>
        <v>606</v>
      </c>
      <c r="F2832" s="464">
        <f>D2832+E2832</f>
        <v>2403</v>
      </c>
      <c r="G2832" s="449">
        <f>D2832/F2832</f>
        <v>0.74781523096129843</v>
      </c>
      <c r="H2832" s="449">
        <f>E2832/F2832</f>
        <v>0.25218476903870163</v>
      </c>
    </row>
    <row r="2833" spans="1:11">
      <c r="D2833" s="464"/>
      <c r="E2833" s="464"/>
      <c r="F2833" s="464"/>
    </row>
    <row r="2834" spans="1:11">
      <c r="B2834" s="455" t="s">
        <v>3394</v>
      </c>
      <c r="C2834" s="455"/>
      <c r="D2834" s="490">
        <f>F2834</f>
        <v>1788</v>
      </c>
      <c r="E2834" s="490">
        <v>0</v>
      </c>
      <c r="F2834" s="490">
        <f>3876-2088</f>
        <v>1788</v>
      </c>
      <c r="G2834" s="476">
        <f>D2834/F2834</f>
        <v>1</v>
      </c>
      <c r="H2834" s="476">
        <f>E2834/F2834</f>
        <v>0</v>
      </c>
    </row>
    <row r="2835" spans="1:11">
      <c r="B2835" t="s">
        <v>3396</v>
      </c>
      <c r="D2835" s="464">
        <f>D2834+D2832</f>
        <v>3585</v>
      </c>
      <c r="E2835" s="464">
        <f>E2834+E2832</f>
        <v>606</v>
      </c>
      <c r="F2835" s="464">
        <f>F2834+F2832</f>
        <v>4191</v>
      </c>
      <c r="G2835" s="449">
        <f>D2835/F2835</f>
        <v>0.85540443808160349</v>
      </c>
      <c r="H2835" s="449">
        <f>E2835/F2835</f>
        <v>0.14459556191839656</v>
      </c>
      <c r="K2835">
        <f>3876+800-100-385</f>
        <v>4191</v>
      </c>
    </row>
    <row r="2839" spans="1:11">
      <c r="B2839" s="455"/>
      <c r="C2839" s="455"/>
      <c r="D2839" s="508" t="s">
        <v>2378</v>
      </c>
      <c r="E2839" s="508" t="s">
        <v>2380</v>
      </c>
      <c r="F2839" s="508" t="s">
        <v>2379</v>
      </c>
    </row>
    <row r="2840" spans="1:11">
      <c r="A2840" s="478"/>
      <c r="B2840" s="769" t="s">
        <v>3430</v>
      </c>
      <c r="C2840" s="769"/>
      <c r="D2840" s="493"/>
      <c r="E2840" s="506"/>
      <c r="F2840" s="506"/>
    </row>
    <row r="2841" spans="1:11">
      <c r="B2841" s="478" t="s">
        <v>3429</v>
      </c>
      <c r="C2841" s="478"/>
      <c r="D2841" s="760" t="e">
        <f>SA!#REF!</f>
        <v>#REF!</v>
      </c>
      <c r="E2841" s="768">
        <f>CA!N106/CA!M106-1</f>
        <v>-6.9503546099290769E-2</v>
      </c>
      <c r="F2841" s="768">
        <f>CA!N105/CA!M105-1</f>
        <v>3.3574879227053156E-2</v>
      </c>
    </row>
    <row r="2842" spans="1:11">
      <c r="B2842" s="478" t="s">
        <v>1812</v>
      </c>
      <c r="C2842" s="478"/>
      <c r="D2842" s="568" t="s">
        <v>3428</v>
      </c>
      <c r="E2842" s="568">
        <v>0.36</v>
      </c>
      <c r="F2842" s="506" t="s">
        <v>2619</v>
      </c>
    </row>
    <row r="2843" spans="1:11">
      <c r="B2843" s="478" t="s">
        <v>3427</v>
      </c>
      <c r="C2843" s="478"/>
      <c r="D2843" s="770">
        <f>(253*2)/Quarts!AY130</f>
        <v>0.13284326594906801</v>
      </c>
      <c r="E2843" s="506" t="s">
        <v>3431</v>
      </c>
      <c r="F2843" s="449">
        <f>980/Quarts!BD123</f>
        <v>0.11753418085871911</v>
      </c>
    </row>
    <row r="2844" spans="1:11">
      <c r="B2844" s="478" t="s">
        <v>1542</v>
      </c>
      <c r="C2844" s="478"/>
      <c r="D2844" s="760">
        <f>SA!N103</f>
        <v>0.50284499389096415</v>
      </c>
      <c r="E2844" s="768">
        <f>CA!N122</f>
        <v>0.49848911856700023</v>
      </c>
      <c r="F2844" s="768">
        <f>CA!N121</f>
        <v>0.51670951156812339</v>
      </c>
    </row>
    <row r="2845" spans="1:11">
      <c r="B2845" s="478" t="s">
        <v>681</v>
      </c>
      <c r="C2845" s="478"/>
      <c r="D2845" s="760">
        <f>SA!N111</f>
        <v>0.10841836734693877</v>
      </c>
      <c r="E2845" s="768">
        <f>CA!N134</f>
        <v>0.13031121598857393</v>
      </c>
      <c r="F2845" s="768">
        <f>CA!N133</f>
        <v>0.16880891173950299</v>
      </c>
    </row>
    <row r="2846" spans="1:11">
      <c r="B2846" s="478"/>
      <c r="C2846" s="478"/>
      <c r="D2846" s="760"/>
      <c r="E2846" s="768"/>
      <c r="F2846" s="768"/>
    </row>
    <row r="2847" spans="1:11">
      <c r="B2847" s="478" t="s">
        <v>3408</v>
      </c>
      <c r="C2847" s="478"/>
      <c r="D2847" s="468">
        <v>4</v>
      </c>
      <c r="E2847" s="468">
        <v>1.5</v>
      </c>
      <c r="F2847" s="468">
        <v>11</v>
      </c>
    </row>
    <row r="2848" spans="1:11">
      <c r="B2848" s="478" t="s">
        <v>3409</v>
      </c>
      <c r="C2848" s="478"/>
      <c r="D2848" s="506" t="s">
        <v>3436</v>
      </c>
      <c r="E2848" s="506" t="s">
        <v>3411</v>
      </c>
      <c r="F2848" s="506" t="s">
        <v>3414</v>
      </c>
    </row>
    <row r="2849" spans="1:6">
      <c r="D2849" s="493"/>
      <c r="E2849" s="506" t="s">
        <v>3435</v>
      </c>
      <c r="F2849" s="506" t="s">
        <v>3415</v>
      </c>
    </row>
    <row r="2850" spans="1:6">
      <c r="A2850" s="478" t="s">
        <v>1823</v>
      </c>
      <c r="D2850" s="493"/>
      <c r="E2850" s="506" t="s">
        <v>3412</v>
      </c>
      <c r="F2850" s="506" t="s">
        <v>3410</v>
      </c>
    </row>
    <row r="2851" spans="1:6">
      <c r="B2851" s="478"/>
      <c r="C2851" s="478"/>
      <c r="D2851" s="493"/>
      <c r="E2851" s="506"/>
    </row>
    <row r="2852" spans="1:6">
      <c r="B2852" s="478" t="s">
        <v>2217</v>
      </c>
      <c r="C2852" s="478"/>
      <c r="D2852" s="506" t="s">
        <v>3424</v>
      </c>
      <c r="E2852" s="506" t="s">
        <v>3437</v>
      </c>
      <c r="F2852" s="506" t="s">
        <v>3437</v>
      </c>
    </row>
    <row r="2853" spans="1:6">
      <c r="B2853" s="478" t="s">
        <v>3426</v>
      </c>
      <c r="C2853" s="478"/>
      <c r="D2853" s="506" t="s">
        <v>3432</v>
      </c>
      <c r="E2853" s="506" t="s">
        <v>3438</v>
      </c>
      <c r="F2853" s="506" t="s">
        <v>3425</v>
      </c>
    </row>
    <row r="2854" spans="1:6">
      <c r="B2854" s="478" t="s">
        <v>3439</v>
      </c>
      <c r="C2854" s="478"/>
      <c r="D2854" s="760">
        <v>0.05</v>
      </c>
      <c r="E2854" s="760">
        <v>4.6399999999999997E-2</v>
      </c>
      <c r="F2854" s="760">
        <v>4.2000000000000003E-2</v>
      </c>
    </row>
    <row r="2855" spans="1:6">
      <c r="B2855" s="478" t="s">
        <v>3440</v>
      </c>
      <c r="C2855" s="478"/>
      <c r="D2855" s="593">
        <v>3400</v>
      </c>
      <c r="E2855" s="593">
        <v>2120</v>
      </c>
      <c r="F2855" s="593">
        <v>3120</v>
      </c>
    </row>
    <row r="2856" spans="1:6">
      <c r="B2856" s="478" t="s">
        <v>3413</v>
      </c>
      <c r="C2856" s="478"/>
      <c r="D2856" s="760">
        <v>4.8000000000000001E-2</v>
      </c>
      <c r="E2856" s="760">
        <v>0.03</v>
      </c>
      <c r="F2856" s="760">
        <v>3.5000000000000003E-2</v>
      </c>
    </row>
    <row r="2857" spans="1:6">
      <c r="B2857" s="478" t="s">
        <v>3448</v>
      </c>
      <c r="C2857" s="478"/>
      <c r="D2857" s="506" t="s">
        <v>3421</v>
      </c>
      <c r="E2857" s="760"/>
      <c r="F2857" s="760"/>
    </row>
    <row r="2858" spans="1:6">
      <c r="B2858" s="478"/>
      <c r="C2858" s="478"/>
      <c r="D2858" s="506" t="s">
        <v>3449</v>
      </c>
      <c r="E2858" s="760"/>
      <c r="F2858" s="760"/>
    </row>
    <row r="2859" spans="1:6">
      <c r="B2859" s="478" t="s">
        <v>3447</v>
      </c>
      <c r="C2859" s="478"/>
      <c r="D2859" s="768" t="s">
        <v>3441</v>
      </c>
      <c r="E2859" s="768" t="s">
        <v>3443</v>
      </c>
      <c r="F2859" s="768" t="s">
        <v>3444</v>
      </c>
    </row>
    <row r="2860" spans="1:6">
      <c r="B2860" s="478"/>
      <c r="C2860" s="478"/>
      <c r="D2860" s="768" t="s">
        <v>3442</v>
      </c>
      <c r="E2860" s="768" t="s">
        <v>3446</v>
      </c>
      <c r="F2860" s="768" t="s">
        <v>3445</v>
      </c>
    </row>
    <row r="2861" spans="1:6">
      <c r="B2861" s="478" t="s">
        <v>3419</v>
      </c>
      <c r="C2861" s="478"/>
      <c r="D2861" s="506" t="s">
        <v>3417</v>
      </c>
      <c r="E2861" s="506" t="s">
        <v>3418</v>
      </c>
      <c r="F2861" s="506" t="s">
        <v>3420</v>
      </c>
    </row>
    <row r="2862" spans="1:6">
      <c r="B2862" s="478" t="s">
        <v>3416</v>
      </c>
      <c r="C2862" s="478"/>
      <c r="D2862" s="456">
        <v>2.5000000000000001E-2</v>
      </c>
      <c r="E2862" s="456">
        <v>0.157</v>
      </c>
      <c r="F2862" s="456">
        <v>0.1</v>
      </c>
    </row>
    <row r="2863" spans="1:6">
      <c r="B2863" s="487" t="s">
        <v>3423</v>
      </c>
      <c r="C2863" s="487"/>
      <c r="D2863" s="508" t="s">
        <v>3422</v>
      </c>
      <c r="E2863" s="508" t="s">
        <v>3422</v>
      </c>
      <c r="F2863" s="508" t="s">
        <v>3422</v>
      </c>
    </row>
    <row r="2864" spans="1:6">
      <c r="B2864" s="478" t="s">
        <v>3433</v>
      </c>
      <c r="C2864" s="478"/>
    </row>
    <row r="2865" spans="2:6">
      <c r="B2865" s="478" t="s">
        <v>3434</v>
      </c>
      <c r="C2865" s="478"/>
    </row>
    <row r="2867" spans="2:6">
      <c r="B2867" s="693" t="s">
        <v>3093</v>
      </c>
      <c r="C2867" s="693"/>
    </row>
    <row r="2869" spans="2:6">
      <c r="B2869" s="455" t="s">
        <v>2563</v>
      </c>
      <c r="C2869" s="455"/>
      <c r="D2869" s="455">
        <v>2014</v>
      </c>
      <c r="E2869" s="455">
        <f>D2869+1</f>
        <v>2015</v>
      </c>
      <c r="F2869" s="455">
        <f>E2869+1</f>
        <v>2016</v>
      </c>
    </row>
    <row r="2870" spans="2:6">
      <c r="B2870" t="s">
        <v>758</v>
      </c>
      <c r="D2870" s="464">
        <f>Master!Q5</f>
        <v>6386.0109430529701</v>
      </c>
      <c r="E2870" s="464">
        <f>Master!R5</f>
        <v>6730.1365449983496</v>
      </c>
      <c r="F2870" s="464">
        <f>Master!S5</f>
        <v>6248.8819186869696</v>
      </c>
    </row>
    <row r="2871" spans="2:6">
      <c r="B2871" t="s">
        <v>360</v>
      </c>
      <c r="D2871" s="464">
        <f>Master!Q14</f>
        <v>2109.5211117787239</v>
      </c>
      <c r="E2871" s="464">
        <f>Master!R14</f>
        <v>2265.6309442315396</v>
      </c>
      <c r="F2871" s="464">
        <f>Master!S14</f>
        <v>2225.5</v>
      </c>
    </row>
    <row r="2872" spans="2:6">
      <c r="B2872" t="s">
        <v>1545</v>
      </c>
      <c r="D2872" s="464">
        <f>Div!N83</f>
        <v>1293</v>
      </c>
      <c r="E2872" s="464">
        <f ca="1">Div!O83</f>
        <v>1286</v>
      </c>
      <c r="F2872" s="464">
        <f ca="1">Div!P83</f>
        <v>1082.1195656627342</v>
      </c>
    </row>
    <row r="2873" spans="2:6">
      <c r="B2873" t="s">
        <v>1552</v>
      </c>
      <c r="D2873" s="464">
        <f>D2871-D2872</f>
        <v>816.52111177872393</v>
      </c>
      <c r="E2873" s="464">
        <f ca="1">E2871-E2872</f>
        <v>979.63094423153962</v>
      </c>
      <c r="F2873" s="464">
        <f ca="1">F2871-F2872</f>
        <v>1143.3804343372658</v>
      </c>
    </row>
    <row r="2875" spans="2:6">
      <c r="B2875" s="455" t="s">
        <v>885</v>
      </c>
      <c r="C2875" s="455"/>
      <c r="D2875" s="455">
        <v>2014</v>
      </c>
      <c r="E2875" s="455">
        <f>D2875+1</f>
        <v>2015</v>
      </c>
      <c r="F2875" s="455">
        <f>E2875+1</f>
        <v>2016</v>
      </c>
    </row>
    <row r="2876" spans="2:6">
      <c r="B2876" t="s">
        <v>758</v>
      </c>
      <c r="D2876" s="464">
        <v>6454</v>
      </c>
      <c r="E2876" s="464">
        <v>7566</v>
      </c>
      <c r="F2876" s="464">
        <v>8102</v>
      </c>
    </row>
    <row r="2877" spans="2:6">
      <c r="B2877" t="s">
        <v>360</v>
      </c>
      <c r="D2877" s="464">
        <v>2096</v>
      </c>
      <c r="E2877" s="464">
        <v>2404</v>
      </c>
      <c r="F2877" s="464">
        <v>2632</v>
      </c>
    </row>
    <row r="2878" spans="2:6">
      <c r="B2878" t="s">
        <v>1545</v>
      </c>
      <c r="D2878" s="464">
        <v>1260</v>
      </c>
      <c r="E2878" s="464">
        <v>1538</v>
      </c>
      <c r="F2878" s="464">
        <v>1507</v>
      </c>
    </row>
    <row r="2879" spans="2:6">
      <c r="B2879" t="s">
        <v>1552</v>
      </c>
      <c r="D2879" s="464">
        <f>D2877-D2878</f>
        <v>836</v>
      </c>
      <c r="E2879" s="464">
        <f>E2877-E2878</f>
        <v>866</v>
      </c>
      <c r="F2879" s="464">
        <f>F2877-F2878</f>
        <v>1125</v>
      </c>
    </row>
    <row r="2881" spans="2:8">
      <c r="B2881" s="455" t="s">
        <v>2353</v>
      </c>
      <c r="C2881" s="455"/>
      <c r="D2881" s="455">
        <v>2014</v>
      </c>
      <c r="E2881" s="455">
        <f>D2881+1</f>
        <v>2015</v>
      </c>
      <c r="F2881" s="455">
        <f>E2881+1</f>
        <v>2016</v>
      </c>
    </row>
    <row r="2882" spans="2:8">
      <c r="B2882" t="str">
        <f>B2876</f>
        <v>Revenue</v>
      </c>
      <c r="D2882" s="456">
        <f t="shared" ref="D2882:F2885" si="334">D2870/D2876-1</f>
        <v>-1.0534406096533888E-2</v>
      </c>
      <c r="E2882" s="456">
        <f t="shared" si="334"/>
        <v>-0.11047626949532785</v>
      </c>
      <c r="F2882" s="456">
        <f t="shared" si="334"/>
        <v>-0.22872353509170951</v>
      </c>
    </row>
    <row r="2883" spans="2:8">
      <c r="B2883" t="str">
        <f>B2877</f>
        <v>EBITDA</v>
      </c>
      <c r="D2883" s="456">
        <f t="shared" si="334"/>
        <v>6.4509121081697263E-3</v>
      </c>
      <c r="E2883" s="456">
        <f t="shared" si="334"/>
        <v>-5.755784349769566E-2</v>
      </c>
      <c r="F2883" s="456">
        <f t="shared" si="334"/>
        <v>-0.15444528875379937</v>
      </c>
    </row>
    <row r="2884" spans="2:8">
      <c r="B2884" t="str">
        <f>B2878</f>
        <v>Capex</v>
      </c>
      <c r="D2884" s="456">
        <f t="shared" si="334"/>
        <v>2.6190476190476097E-2</v>
      </c>
      <c r="E2884" s="456">
        <f ca="1">E2872/E2878-1</f>
        <v>-0.16384915474642392</v>
      </c>
      <c r="F2884" s="456">
        <f ca="1">F2872/F2878-1</f>
        <v>-0.28193791263255863</v>
      </c>
    </row>
    <row r="2885" spans="2:8">
      <c r="B2885" t="str">
        <f>B2879</f>
        <v>OpFCF</v>
      </c>
      <c r="D2885" s="456">
        <f t="shared" si="334"/>
        <v>-2.330010552784223E-2</v>
      </c>
      <c r="E2885" s="456">
        <f ca="1">E2873/E2879-1</f>
        <v>0.13121356146829055</v>
      </c>
      <c r="F2885" s="456">
        <f ca="1">F2873/F2879-1</f>
        <v>1.6338163855347476E-2</v>
      </c>
    </row>
    <row r="2887" spans="2:8">
      <c r="B2887" s="693" t="s">
        <v>2705</v>
      </c>
      <c r="C2887" s="693"/>
    </row>
    <row r="2889" spans="2:8">
      <c r="D2889" s="478" t="s">
        <v>3608</v>
      </c>
      <c r="F2889" s="478" t="s">
        <v>3655</v>
      </c>
      <c r="G2889" s="794" t="s">
        <v>3656</v>
      </c>
      <c r="H2889" s="478" t="s">
        <v>3659</v>
      </c>
    </row>
    <row r="2890" spans="2:8">
      <c r="B2890" s="478" t="s">
        <v>3660</v>
      </c>
      <c r="C2890" s="478"/>
      <c r="D2890" s="478" t="s">
        <v>3653</v>
      </c>
      <c r="E2890" s="478" t="s">
        <v>3654</v>
      </c>
      <c r="F2890" s="478" t="s">
        <v>3658</v>
      </c>
      <c r="G2890" s="795" t="s">
        <v>3657</v>
      </c>
    </row>
    <row r="2891" spans="2:8">
      <c r="B2891" s="478" t="s">
        <v>798</v>
      </c>
      <c r="C2891" s="478"/>
      <c r="D2891" s="454">
        <f>E2891+4</f>
        <v>186</v>
      </c>
      <c r="E2891" s="454">
        <f>Quarts!BI228</f>
        <v>182</v>
      </c>
      <c r="F2891" s="454">
        <f>G2891-D2891</f>
        <v>364</v>
      </c>
      <c r="G2891" s="669">
        <v>550</v>
      </c>
      <c r="H2891" s="454" t="e">
        <f>Quarts!#REF!</f>
        <v>#REF!</v>
      </c>
    </row>
    <row r="2892" spans="2:8">
      <c r="B2892" s="478" t="s">
        <v>360</v>
      </c>
      <c r="C2892" s="478"/>
      <c r="D2892" s="454">
        <f>E2892+4</f>
        <v>52</v>
      </c>
      <c r="E2892" s="454">
        <f>Quarts!BI306</f>
        <v>48</v>
      </c>
      <c r="F2892" s="454">
        <f>G2892-D2892</f>
        <v>68</v>
      </c>
      <c r="G2892" s="669">
        <v>120</v>
      </c>
      <c r="H2892" s="454" t="e">
        <f>Quarts!#REF!</f>
        <v>#REF!</v>
      </c>
    </row>
    <row r="2893" spans="2:8">
      <c r="B2893" s="478" t="s">
        <v>1434</v>
      </c>
      <c r="C2893" s="478"/>
      <c r="D2893" s="456">
        <f>D2892/D2891</f>
        <v>0.27956989247311825</v>
      </c>
      <c r="E2893" s="456">
        <f>E2892/E2891</f>
        <v>0.26373626373626374</v>
      </c>
      <c r="F2893" s="456">
        <f>F2892/F2891</f>
        <v>0.18681318681318682</v>
      </c>
      <c r="G2893" s="796">
        <f>G2892/G2891</f>
        <v>0.21818181818181817</v>
      </c>
      <c r="H2893" s="456" t="e">
        <f>H2892/H2891</f>
        <v>#REF!</v>
      </c>
    </row>
    <row r="2894" spans="2:8">
      <c r="G2894" s="669"/>
    </row>
    <row r="2895" spans="2:8">
      <c r="B2895" s="478" t="s">
        <v>1545</v>
      </c>
      <c r="C2895" s="478"/>
      <c r="D2895">
        <f>Quarts!BI341</f>
        <v>25</v>
      </c>
      <c r="E2895">
        <f>D2895</f>
        <v>25</v>
      </c>
      <c r="F2895">
        <f>G2895-D2895</f>
        <v>95</v>
      </c>
      <c r="G2895" s="669">
        <v>120</v>
      </c>
      <c r="H2895" s="454" t="e">
        <f>Quarts!#REF!</f>
        <v>#REF!</v>
      </c>
    </row>
    <row r="2896" spans="2:8">
      <c r="B2896" s="478" t="s">
        <v>1431</v>
      </c>
      <c r="C2896" s="478"/>
      <c r="D2896" s="456">
        <f>D2895/D2891</f>
        <v>0.13440860215053763</v>
      </c>
      <c r="E2896" s="456">
        <f>E2895/E2891</f>
        <v>0.13736263736263737</v>
      </c>
      <c r="F2896" s="456">
        <f>F2895/F2891</f>
        <v>0.26098901098901101</v>
      </c>
      <c r="G2896" s="797">
        <f>G2895/G2891</f>
        <v>0.21818181818181817</v>
      </c>
      <c r="H2896" s="456" t="e">
        <f>H2895/H2891</f>
        <v>#REF!</v>
      </c>
    </row>
    <row r="2898" spans="2:6" ht="15.75" thickBot="1">
      <c r="B2898" s="798" t="s">
        <v>3664</v>
      </c>
      <c r="C2898" s="798"/>
      <c r="D2898" s="799" t="s">
        <v>821</v>
      </c>
      <c r="E2898" s="799" t="s">
        <v>1643</v>
      </c>
      <c r="F2898" s="799" t="s">
        <v>3666</v>
      </c>
    </row>
    <row r="2899" spans="2:6" ht="15.75" thickBot="1">
      <c r="B2899" s="800" t="s">
        <v>1425</v>
      </c>
      <c r="C2899" s="798"/>
      <c r="D2899" s="801">
        <v>1853</v>
      </c>
      <c r="E2899" s="801">
        <v>1846</v>
      </c>
      <c r="F2899" s="808">
        <v>1860</v>
      </c>
    </row>
    <row r="2900" spans="2:6">
      <c r="B2900" s="802" t="s">
        <v>3665</v>
      </c>
      <c r="C2900" s="802"/>
      <c r="D2900" s="803">
        <v>1506</v>
      </c>
      <c r="E2900" s="803">
        <v>1506</v>
      </c>
      <c r="F2900" s="803">
        <f>F2899-F2901</f>
        <v>1544</v>
      </c>
    </row>
    <row r="2901" spans="2:6">
      <c r="B2901" s="802" t="s">
        <v>3605</v>
      </c>
      <c r="C2901" s="802"/>
      <c r="D2901" s="804">
        <v>347</v>
      </c>
      <c r="E2901" s="804">
        <v>340</v>
      </c>
      <c r="F2901" s="804">
        <v>316</v>
      </c>
    </row>
    <row r="2902" spans="2:6">
      <c r="B2902" s="805"/>
      <c r="C2902" s="805"/>
      <c r="D2902" s="805"/>
      <c r="E2902" s="805"/>
      <c r="F2902" s="805"/>
    </row>
    <row r="2903" spans="2:6">
      <c r="B2903" s="802" t="s">
        <v>761</v>
      </c>
      <c r="C2903" s="802"/>
      <c r="D2903" s="804">
        <v>669</v>
      </c>
      <c r="E2903" s="804"/>
      <c r="F2903" s="805"/>
    </row>
    <row r="2904" spans="2:6">
      <c r="B2904" s="802" t="s">
        <v>2278</v>
      </c>
      <c r="C2904" s="802"/>
      <c r="D2904" s="804">
        <v>0</v>
      </c>
      <c r="E2904" s="804">
        <v>5</v>
      </c>
      <c r="F2904" s="804"/>
    </row>
    <row r="2905" spans="2:6">
      <c r="B2905" s="802" t="s">
        <v>3661</v>
      </c>
      <c r="C2905" s="802"/>
      <c r="D2905" s="804">
        <v>669</v>
      </c>
      <c r="E2905" s="804"/>
      <c r="F2905" s="805"/>
    </row>
    <row r="2906" spans="2:6" ht="15.75" thickBot="1">
      <c r="B2906" s="802" t="s">
        <v>3590</v>
      </c>
      <c r="C2906" s="802"/>
      <c r="D2906" s="804">
        <v>71</v>
      </c>
      <c r="E2906" s="804"/>
      <c r="F2906" s="805"/>
    </row>
    <row r="2907" spans="2:6" ht="15.75" thickBot="1">
      <c r="B2907" s="806" t="s">
        <v>2884</v>
      </c>
      <c r="D2907" s="807">
        <v>598</v>
      </c>
      <c r="E2907" s="807">
        <v>586</v>
      </c>
      <c r="F2907" s="808">
        <v>588</v>
      </c>
    </row>
    <row r="2908" spans="2:6">
      <c r="B2908" s="802" t="s">
        <v>3665</v>
      </c>
      <c r="C2908" s="802"/>
      <c r="D2908" s="804">
        <v>511</v>
      </c>
      <c r="E2908" s="804">
        <v>498</v>
      </c>
      <c r="F2908" s="804">
        <f>F2907-F2909</f>
        <v>507</v>
      </c>
    </row>
    <row r="2909" spans="2:6">
      <c r="B2909" s="802" t="s">
        <v>3605</v>
      </c>
      <c r="C2909" s="802"/>
      <c r="D2909" s="804">
        <v>87</v>
      </c>
      <c r="E2909" s="804">
        <v>88</v>
      </c>
      <c r="F2909" s="804">
        <v>81</v>
      </c>
    </row>
    <row r="2910" spans="2:6">
      <c r="B2910" s="805"/>
      <c r="C2910" s="805"/>
      <c r="D2910" s="805"/>
      <c r="E2910" s="805"/>
      <c r="F2910" s="805"/>
    </row>
    <row r="2911" spans="2:6">
      <c r="B2911" s="802" t="s">
        <v>1545</v>
      </c>
      <c r="C2911" s="802"/>
      <c r="D2911" s="804">
        <v>345</v>
      </c>
      <c r="E2911" s="804">
        <v>396</v>
      </c>
      <c r="F2911" s="804"/>
    </row>
    <row r="2912" spans="2:6">
      <c r="B2912" s="802" t="s">
        <v>407</v>
      </c>
      <c r="C2912" s="802"/>
      <c r="D2912" s="804">
        <v>59</v>
      </c>
      <c r="E2912" s="804">
        <v>48</v>
      </c>
      <c r="F2912" s="804"/>
    </row>
    <row r="2913" spans="2:58">
      <c r="D2913" s="951">
        <v>40544</v>
      </c>
      <c r="E2913" s="951">
        <v>40575</v>
      </c>
      <c r="F2913" s="951">
        <v>40603</v>
      </c>
      <c r="G2913" s="951">
        <v>40634</v>
      </c>
      <c r="H2913" s="951">
        <v>40664</v>
      </c>
      <c r="I2913" s="951">
        <v>40695</v>
      </c>
      <c r="J2913" s="951">
        <v>40725</v>
      </c>
      <c r="K2913" s="951">
        <v>40756</v>
      </c>
      <c r="L2913" s="951">
        <v>40787</v>
      </c>
      <c r="M2913" s="951">
        <v>40817</v>
      </c>
      <c r="N2913" s="951">
        <v>40848</v>
      </c>
      <c r="O2913" s="951">
        <v>40878</v>
      </c>
      <c r="P2913" s="951">
        <v>40909</v>
      </c>
      <c r="Q2913" s="951">
        <v>40940</v>
      </c>
      <c r="R2913" s="951">
        <v>40969</v>
      </c>
      <c r="S2913" s="951">
        <v>41000</v>
      </c>
      <c r="T2913" s="951">
        <v>41030</v>
      </c>
      <c r="U2913" s="951">
        <v>41061</v>
      </c>
      <c r="V2913" s="951">
        <v>41091</v>
      </c>
      <c r="W2913" s="951">
        <v>41122</v>
      </c>
      <c r="X2913" s="951">
        <v>41153</v>
      </c>
      <c r="Y2913" s="951">
        <v>41183</v>
      </c>
      <c r="Z2913" s="951">
        <v>41214</v>
      </c>
      <c r="AA2913" s="951">
        <v>41244</v>
      </c>
      <c r="AB2913" s="951">
        <v>41275</v>
      </c>
      <c r="AC2913" s="951">
        <v>41306</v>
      </c>
      <c r="AD2913" s="951">
        <v>41334</v>
      </c>
      <c r="AE2913" s="951">
        <v>41365</v>
      </c>
      <c r="AF2913" s="951">
        <v>41395</v>
      </c>
      <c r="AG2913" s="951">
        <v>41426</v>
      </c>
      <c r="AH2913" s="951">
        <v>41456</v>
      </c>
      <c r="AI2913" s="951">
        <v>41487</v>
      </c>
      <c r="AJ2913" s="951">
        <v>41518</v>
      </c>
      <c r="AK2913" s="951">
        <v>41548</v>
      </c>
      <c r="AL2913" s="951">
        <v>41579</v>
      </c>
      <c r="AM2913" s="951">
        <v>41609</v>
      </c>
      <c r="AN2913" s="951">
        <v>41640</v>
      </c>
      <c r="AO2913" s="951">
        <v>41671</v>
      </c>
      <c r="AP2913" s="951">
        <v>41699</v>
      </c>
      <c r="AQ2913" s="951">
        <v>41730</v>
      </c>
      <c r="AR2913" s="951">
        <v>41760</v>
      </c>
      <c r="AS2913" s="951">
        <v>41791</v>
      </c>
      <c r="AT2913" s="951">
        <v>41821</v>
      </c>
      <c r="AU2913" s="951">
        <v>41852</v>
      </c>
      <c r="AV2913" s="951">
        <v>41883</v>
      </c>
      <c r="AW2913" s="951">
        <v>41913</v>
      </c>
      <c r="AX2913" s="951">
        <v>41944</v>
      </c>
      <c r="AY2913" s="951">
        <v>41974</v>
      </c>
      <c r="AZ2913" s="951">
        <v>42005</v>
      </c>
      <c r="BA2913" s="951">
        <v>42036</v>
      </c>
      <c r="BB2913" s="951">
        <v>42064</v>
      </c>
      <c r="BC2913" s="951">
        <v>42095</v>
      </c>
      <c r="BD2913" s="951">
        <v>42125</v>
      </c>
      <c r="BE2913" s="951">
        <v>42156</v>
      </c>
      <c r="BF2913" s="951">
        <v>42186</v>
      </c>
    </row>
    <row r="2914" spans="2:58">
      <c r="B2914" t="s">
        <v>1250</v>
      </c>
      <c r="D2914">
        <v>5.8356524687623734</v>
      </c>
      <c r="E2914">
        <v>5.6887756733129748</v>
      </c>
      <c r="F2914">
        <v>5.2259505849966601</v>
      </c>
      <c r="G2914">
        <v>5.5958950391093687</v>
      </c>
      <c r="H2914">
        <v>6.2309324593831512</v>
      </c>
      <c r="I2914">
        <v>5.9308679563467983</v>
      </c>
      <c r="J2914">
        <v>5.8749326560411959</v>
      </c>
      <c r="K2914">
        <v>5.4739559046344972</v>
      </c>
      <c r="L2914">
        <v>6.0939228059020358</v>
      </c>
      <c r="M2914">
        <v>5.3462609337230118</v>
      </c>
      <c r="N2914">
        <v>5.1350037507860389</v>
      </c>
      <c r="O2914">
        <v>5.3055756372146607</v>
      </c>
      <c r="P2914">
        <v>5.022405547556998</v>
      </c>
      <c r="Q2914">
        <v>5.4028979281614964</v>
      </c>
      <c r="R2914">
        <v>5.681336305225674</v>
      </c>
      <c r="S2914">
        <v>5.3958152331949307</v>
      </c>
      <c r="T2914">
        <v>4.7762183087788088</v>
      </c>
      <c r="U2914">
        <v>5.2017877166102018</v>
      </c>
      <c r="V2914">
        <v>5.2679431690827929</v>
      </c>
      <c r="W2914">
        <v>5.2279711965488165</v>
      </c>
      <c r="X2914">
        <v>5.9739451782800881</v>
      </c>
      <c r="Y2914">
        <v>5.6225802890991083</v>
      </c>
      <c r="Z2914">
        <v>5.7749644349381599</v>
      </c>
      <c r="AA2914">
        <v>6.1152007553885888</v>
      </c>
      <c r="AB2914">
        <v>6.3527594441320288</v>
      </c>
      <c r="AC2914">
        <v>5.8372683206419298</v>
      </c>
      <c r="AD2914">
        <v>6.8061279724183699</v>
      </c>
      <c r="AE2914">
        <v>6.7560626374322785</v>
      </c>
      <c r="AF2914">
        <v>7.0100010725248261</v>
      </c>
      <c r="AG2914">
        <v>6.4692085428337069</v>
      </c>
      <c r="AH2914">
        <v>6.6582722734979587</v>
      </c>
      <c r="AI2914">
        <v>6.5494150327500487</v>
      </c>
      <c r="AJ2914">
        <v>6.9568741366997102</v>
      </c>
      <c r="AK2914">
        <v>8.2388362912783517</v>
      </c>
      <c r="AL2914">
        <v>8.0699243386845403</v>
      </c>
      <c r="AM2914">
        <v>8.3980754298345506</v>
      </c>
      <c r="AN2914">
        <v>8</v>
      </c>
      <c r="AO2914">
        <v>7.6532056697112303</v>
      </c>
      <c r="AP2914">
        <v>7.6532056697112303</v>
      </c>
      <c r="AQ2914">
        <v>7.5697415710976088</v>
      </c>
      <c r="AR2914">
        <v>7.1056107621561209</v>
      </c>
      <c r="AS2914">
        <v>6.8244899211152221</v>
      </c>
      <c r="AT2914">
        <v>6.5484847247020177</v>
      </c>
      <c r="AU2914">
        <v>6.6586960061252043</v>
      </c>
      <c r="AV2914">
        <v>6.1404004176898335</v>
      </c>
      <c r="AW2914">
        <v>6.2198946161715547</v>
      </c>
      <c r="AX2914">
        <v>6.3303975345807295</v>
      </c>
      <c r="AY2914">
        <v>6.124042535689048</v>
      </c>
      <c r="AZ2914">
        <v>5.7931550718910421</v>
      </c>
      <c r="BA2914">
        <v>6.0121014300694888</v>
      </c>
      <c r="BB2914">
        <v>6.0530559469374223</v>
      </c>
      <c r="BC2914" s="468">
        <v>6.3</v>
      </c>
      <c r="BD2914">
        <v>5.8</v>
      </c>
      <c r="BE2914" s="478">
        <v>5.8</v>
      </c>
      <c r="BF2914">
        <f>Valuation!E62*0.6+Valuation!F62*0.4</f>
        <v>4.2700805400524224</v>
      </c>
    </row>
    <row r="2916" spans="2:58">
      <c r="B2916" s="487" t="s">
        <v>1646</v>
      </c>
      <c r="C2916" s="487"/>
      <c r="D2916" s="954">
        <v>2015</v>
      </c>
      <c r="E2916" s="954">
        <f>D2916+1</f>
        <v>2016</v>
      </c>
      <c r="F2916" s="954">
        <f>E2916+1</f>
        <v>2017</v>
      </c>
      <c r="G2916" s="954">
        <f>F2916+1</f>
        <v>2018</v>
      </c>
      <c r="K2916" s="450">
        <v>2015</v>
      </c>
      <c r="L2916" s="450">
        <v>2016</v>
      </c>
      <c r="M2916" s="450">
        <v>2017</v>
      </c>
      <c r="N2916" s="450">
        <v>2018</v>
      </c>
      <c r="P2916" s="450">
        <v>2015</v>
      </c>
      <c r="Q2916" s="450">
        <v>2016</v>
      </c>
      <c r="R2916" s="450">
        <v>2017</v>
      </c>
      <c r="S2916" s="450">
        <v>2018</v>
      </c>
      <c r="U2916" s="450">
        <v>2015</v>
      </c>
      <c r="V2916" s="450">
        <v>2016</v>
      </c>
      <c r="W2916" s="450">
        <v>2017</v>
      </c>
      <c r="X2916" s="450">
        <v>2018</v>
      </c>
    </row>
    <row r="2917" spans="2:58">
      <c r="B2917" s="478" t="s">
        <v>798</v>
      </c>
      <c r="C2917" s="478"/>
      <c r="D2917" s="464">
        <f>Master!R5</f>
        <v>6730.1365449983496</v>
      </c>
      <c r="E2917" s="464">
        <f>Master!S5</f>
        <v>6248.8819186869696</v>
      </c>
      <c r="F2917" s="464">
        <f>Master!T5</f>
        <v>6089</v>
      </c>
      <c r="G2917" s="464">
        <f>Master!U5</f>
        <v>6012</v>
      </c>
    </row>
    <row r="2918" spans="2:58">
      <c r="B2918" s="478" t="s">
        <v>360</v>
      </c>
      <c r="C2918" s="478"/>
      <c r="D2918" s="464">
        <f>Master!R14</f>
        <v>2265.6309442315396</v>
      </c>
      <c r="E2918" s="464">
        <f>Master!S14</f>
        <v>2225.5</v>
      </c>
      <c r="F2918" s="464">
        <f>Master!T14</f>
        <v>2181</v>
      </c>
      <c r="G2918" s="464">
        <f>Master!U14</f>
        <v>2182</v>
      </c>
      <c r="J2918" t="str">
        <f>Div!B45</f>
        <v>Central America</v>
      </c>
      <c r="K2918" s="454">
        <f>Div!O45</f>
        <v>1172</v>
      </c>
      <c r="L2918" s="454">
        <f>Div!P45</f>
        <v>1091.1245366531432</v>
      </c>
      <c r="M2918" s="454">
        <f>Div!Q45</f>
        <v>1049.6612624020784</v>
      </c>
      <c r="N2918" s="454">
        <f>Div!R45</f>
        <v>1042.707869352912</v>
      </c>
      <c r="P2918">
        <v>1180.2625308298791</v>
      </c>
      <c r="Q2918">
        <v>1201.1139353545559</v>
      </c>
      <c r="R2918">
        <v>1242.8457010106013</v>
      </c>
      <c r="S2918">
        <v>1295.5097366684217</v>
      </c>
      <c r="U2918" s="449">
        <f t="shared" ref="U2918:U2922" si="335">(K2918-P2918)/(K$2928-P$2928)</f>
        <v>0.4526854320780499</v>
      </c>
      <c r="V2918" s="449">
        <f t="shared" ref="V2918:X2922" ca="1" si="336">(L2918-Q2918)/(L$2928-Q$2928)</f>
        <v>0.53036777886232056</v>
      </c>
      <c r="W2918" s="449">
        <f t="shared" ca="1" si="336"/>
        <v>0.55461581268014104</v>
      </c>
      <c r="X2918" s="449">
        <f t="shared" ca="1" si="336"/>
        <v>0.45168393762775599</v>
      </c>
    </row>
    <row r="2919" spans="2:58">
      <c r="B2919" s="478" t="s">
        <v>1545</v>
      </c>
      <c r="C2919" s="478"/>
      <c r="D2919" s="464">
        <f ca="1">Div!O83</f>
        <v>1286</v>
      </c>
      <c r="E2919" s="464">
        <f ca="1">Div!P83</f>
        <v>1082.1195656627342</v>
      </c>
      <c r="F2919" s="464">
        <f ca="1">Div!Q83</f>
        <v>1043.7486197549406</v>
      </c>
      <c r="G2919" s="464">
        <f ca="1">Div!R83</f>
        <v>969.54378268352377</v>
      </c>
      <c r="J2919" t="str">
        <f>Div!B46</f>
        <v>Colombia mobile</v>
      </c>
      <c r="K2919" s="454">
        <f>Div!O46</f>
        <v>260.40118453270583</v>
      </c>
      <c r="L2919" s="454">
        <f>Div!P46</f>
        <v>182.96950761337303</v>
      </c>
      <c r="M2919" s="454">
        <f>Div!Q46</f>
        <v>173.17712729727901</v>
      </c>
      <c r="N2919" s="454">
        <f>Div!R46</f>
        <v>203.436239987227</v>
      </c>
      <c r="P2919">
        <v>278.15801341278507</v>
      </c>
      <c r="Q2919">
        <v>305.01432361005516</v>
      </c>
      <c r="R2919">
        <v>333.57461956914005</v>
      </c>
      <c r="S2919">
        <v>360.2551006749714</v>
      </c>
      <c r="U2919" s="449">
        <f t="shared" si="335"/>
        <v>0.97285661250988487</v>
      </c>
      <c r="V2919" s="449">
        <f t="shared" ca="1" si="336"/>
        <v>0.58849888031063058</v>
      </c>
      <c r="W2919" s="449">
        <f t="shared" ca="1" si="336"/>
        <v>0.46048732583727975</v>
      </c>
      <c r="X2919" s="449">
        <f t="shared" ca="1" si="336"/>
        <v>0.28019002091205369</v>
      </c>
    </row>
    <row r="2920" spans="2:58">
      <c r="B2920" s="478" t="s">
        <v>1552</v>
      </c>
      <c r="C2920" s="478"/>
      <c r="D2920" s="464">
        <f ca="1">D2918-D2919</f>
        <v>979.63094423153962</v>
      </c>
      <c r="E2920" s="464">
        <f ca="1">E2918-E2919</f>
        <v>1143.3804343372658</v>
      </c>
      <c r="F2920" s="464">
        <f ca="1">F2918-F2919</f>
        <v>1137.2513802450594</v>
      </c>
      <c r="G2920" s="464">
        <f ca="1">G2918-G2919</f>
        <v>1212.4562173164763</v>
      </c>
      <c r="J2920" t="str">
        <f>Div!B47</f>
        <v>Colombia fixed</v>
      </c>
      <c r="K2920" s="454">
        <f>Div!O47</f>
        <v>314.06167509778356</v>
      </c>
      <c r="L2920" s="454">
        <f ca="1">Div!P47</f>
        <v>298.89751654677303</v>
      </c>
      <c r="M2920" s="454">
        <f>Div!Q47</f>
        <v>295.82287270272099</v>
      </c>
      <c r="N2920" s="454">
        <f>Div!R47</f>
        <v>290.563760012773</v>
      </c>
      <c r="P2920">
        <v>264.21125096428966</v>
      </c>
      <c r="Q2920">
        <v>289.51547951542852</v>
      </c>
      <c r="R2920">
        <v>326.90278299124219</v>
      </c>
      <c r="S2920">
        <v>399.96663680988382</v>
      </c>
      <c r="U2920" s="449">
        <f t="shared" si="335"/>
        <v>-2.7311923250608849</v>
      </c>
      <c r="V2920" s="449">
        <f t="shared" ca="1" si="336"/>
        <v>-4.5240088592777408E-2</v>
      </c>
      <c r="W2920" s="449">
        <f t="shared" ca="1" si="336"/>
        <v>8.9227734008248349E-2</v>
      </c>
      <c r="X2920" s="449">
        <f t="shared" ca="1" si="336"/>
        <v>0.19547134957610959</v>
      </c>
    </row>
    <row r="2921" spans="2:58">
      <c r="J2921" t="str">
        <f>Div!B48</f>
        <v>SA ex Colombia</v>
      </c>
      <c r="K2921" s="454">
        <f>Div!O48</f>
        <v>496.03714036951055</v>
      </c>
      <c r="L2921" s="454">
        <f ca="1">Div!P48</f>
        <v>488.58619400151031</v>
      </c>
      <c r="M2921" s="454">
        <f ca="1">Div!Q48</f>
        <v>571.10218147197668</v>
      </c>
      <c r="N2921" s="454">
        <f ca="1">Div!R48</f>
        <v>659.97532984048121</v>
      </c>
      <c r="P2921">
        <v>550.61782516750316</v>
      </c>
      <c r="Q2921">
        <v>564.00589619946072</v>
      </c>
      <c r="R2921">
        <v>587.93501955133206</v>
      </c>
      <c r="S2921">
        <v>614.36065059079738</v>
      </c>
      <c r="U2921" s="449">
        <f t="shared" si="335"/>
        <v>2.9903526400828779</v>
      </c>
      <c r="V2921" s="449">
        <f t="shared" ca="1" si="336"/>
        <v>0.36367304857964344</v>
      </c>
      <c r="W2921" s="449">
        <f t="shared" ca="1" si="336"/>
        <v>4.8325622075664619E-2</v>
      </c>
      <c r="X2921" s="449">
        <f t="shared" ca="1" si="336"/>
        <v>-8.1500260088704812E-2</v>
      </c>
    </row>
    <row r="2922" spans="2:58">
      <c r="B2922" s="478" t="s">
        <v>1647</v>
      </c>
      <c r="C2922" s="478"/>
      <c r="J2922" t="str">
        <f>Div!B49</f>
        <v>Africa</v>
      </c>
      <c r="K2922" s="454">
        <f>Div!O49</f>
        <v>200</v>
      </c>
      <c r="L2922" s="454">
        <f ca="1">Div!P49</f>
        <v>248.12673786484811</v>
      </c>
      <c r="M2922" s="454">
        <f ca="1">Div!Q49</f>
        <v>264.33644224665647</v>
      </c>
      <c r="N2922" s="454">
        <f ca="1">Div!R49</f>
        <v>155.11190555621897</v>
      </c>
      <c r="P2922">
        <v>241.5026365889488</v>
      </c>
      <c r="Q2922">
        <v>275.43811747595544</v>
      </c>
      <c r="R2922">
        <v>321.48695073188856</v>
      </c>
      <c r="S2922">
        <v>348.75650983718333</v>
      </c>
      <c r="U2922" s="449">
        <f t="shared" si="335"/>
        <v>2.2738358698410432</v>
      </c>
      <c r="V2922" s="449">
        <f t="shared" ca="1" si="336"/>
        <v>0.13169519892850012</v>
      </c>
      <c r="W2922" s="449">
        <f t="shared" ca="1" si="336"/>
        <v>0.16407416630928315</v>
      </c>
      <c r="X2922" s="449">
        <f t="shared" ca="1" si="336"/>
        <v>0.34598699088259632</v>
      </c>
    </row>
    <row r="2923" spans="2:58">
      <c r="B2923" s="478" t="s">
        <v>798</v>
      </c>
      <c r="C2923" s="478"/>
      <c r="D2923" s="464">
        <v>7091.0672956481794</v>
      </c>
      <c r="E2923" s="464">
        <v>7474.6031246153279</v>
      </c>
      <c r="F2923" s="464">
        <v>7925.2793792355496</v>
      </c>
      <c r="G2923" s="464">
        <v>8387.1501515920208</v>
      </c>
      <c r="K2923" s="454"/>
      <c r="L2923" s="454"/>
      <c r="M2923" s="454"/>
      <c r="N2923" s="454"/>
      <c r="U2923" s="449"/>
      <c r="V2923" s="449"/>
      <c r="W2923" s="449"/>
      <c r="X2923" s="449"/>
    </row>
    <row r="2924" spans="2:58">
      <c r="B2924" s="478" t="s">
        <v>360</v>
      </c>
      <c r="C2924" s="478"/>
      <c r="D2924" s="464">
        <v>2256.7522569634061</v>
      </c>
      <c r="E2924" s="464">
        <v>2377.0877521554557</v>
      </c>
      <c r="F2924" s="464">
        <v>2554.7450738542043</v>
      </c>
      <c r="G2924" s="464">
        <v>2760.8486345812576</v>
      </c>
      <c r="K2924" s="454"/>
      <c r="L2924" s="454"/>
      <c r="M2924" s="454"/>
      <c r="N2924" s="454"/>
      <c r="U2924" s="449"/>
      <c r="V2924" s="449"/>
      <c r="W2924" s="449"/>
      <c r="X2924" s="449"/>
    </row>
    <row r="2925" spans="2:58">
      <c r="B2925" s="478" t="s">
        <v>1545</v>
      </c>
      <c r="C2925" s="478"/>
      <c r="D2925" s="464">
        <v>1375.1348706387034</v>
      </c>
      <c r="E2925" s="464">
        <v>1303.6262538852693</v>
      </c>
      <c r="F2925" s="464">
        <v>1257.1140865551163</v>
      </c>
      <c r="G2925" s="464">
        <v>1248.8496620764429</v>
      </c>
      <c r="K2925" s="454"/>
      <c r="L2925" s="454"/>
      <c r="M2925" s="454"/>
      <c r="N2925" s="454"/>
      <c r="U2925" s="449"/>
      <c r="V2925" s="449"/>
      <c r="W2925" s="449"/>
      <c r="X2925" s="449"/>
    </row>
    <row r="2926" spans="2:58">
      <c r="B2926" s="478" t="s">
        <v>1552</v>
      </c>
      <c r="C2926" s="478"/>
      <c r="D2926" s="464">
        <f>D2924-D2925</f>
        <v>881.61738632470269</v>
      </c>
      <c r="E2926" s="464">
        <f>E2924-E2925</f>
        <v>1073.4614982701864</v>
      </c>
      <c r="F2926" s="464">
        <f>F2924-F2925</f>
        <v>1297.630987299088</v>
      </c>
      <c r="G2926" s="464">
        <f>G2924-G2925</f>
        <v>1511.9989725048147</v>
      </c>
      <c r="J2926" s="478" t="s">
        <v>360</v>
      </c>
      <c r="K2926" s="454">
        <f>Div!O53</f>
        <v>2442.5</v>
      </c>
      <c r="L2926" s="454">
        <f ca="1">Div!P53</f>
        <v>2334.7044926796475</v>
      </c>
      <c r="M2926" s="454">
        <f ca="1">Div!Q53</f>
        <v>2354.0998861207117</v>
      </c>
      <c r="N2926" s="454">
        <f ca="1">Div!R53</f>
        <v>2351.7951047496122</v>
      </c>
      <c r="P2926">
        <v>2514.7522569634061</v>
      </c>
      <c r="Q2926">
        <v>2635.0877521554557</v>
      </c>
      <c r="R2926">
        <v>2812.7450738542043</v>
      </c>
      <c r="S2926">
        <v>3018.8486345812576</v>
      </c>
      <c r="U2926" s="449">
        <f t="shared" ref="U2926:U2928" si="337">(K2926-P2926)/(K$2928-P$2928)</f>
        <v>3.9585382294509865</v>
      </c>
      <c r="V2926" s="449">
        <f t="shared" ref="V2926:X2928" ca="1" si="338">(L2926-Q2926)/(L$2928-Q$2928)</f>
        <v>1.4484450684933354</v>
      </c>
      <c r="W2926" s="449">
        <f t="shared" ca="1" si="338"/>
        <v>1.3167306609106166</v>
      </c>
      <c r="X2926" s="449">
        <f t="shared" ca="1" si="338"/>
        <v>1.1918320389098107</v>
      </c>
    </row>
    <row r="2927" spans="2:58">
      <c r="J2927" s="478" t="s">
        <v>133</v>
      </c>
      <c r="K2927" s="464">
        <f>Master!R11</f>
        <v>-204</v>
      </c>
      <c r="L2927" s="464">
        <f>Master!S11</f>
        <v>-165</v>
      </c>
      <c r="M2927" s="464">
        <f>Master!T11</f>
        <v>-147.67599999999999</v>
      </c>
      <c r="N2927" s="464">
        <f>Master!U11</f>
        <v>-150.63400000000001</v>
      </c>
      <c r="P2927">
        <v>-258</v>
      </c>
      <c r="Q2927">
        <v>-258</v>
      </c>
      <c r="R2927">
        <v>-258</v>
      </c>
      <c r="S2927">
        <v>-258</v>
      </c>
      <c r="U2927" s="449">
        <f t="shared" si="337"/>
        <v>-2.9585382294509865</v>
      </c>
      <c r="V2927" s="449">
        <f t="shared" ca="1" si="338"/>
        <v>-0.44844506849333554</v>
      </c>
      <c r="W2927" s="449">
        <f t="shared" ca="1" si="338"/>
        <v>-0.31673066091061652</v>
      </c>
      <c r="X2927" s="449">
        <f t="shared" ca="1" si="338"/>
        <v>-0.1918320389098106</v>
      </c>
    </row>
    <row r="2928" spans="2:58">
      <c r="B2928" s="478" t="s">
        <v>619</v>
      </c>
      <c r="C2928" s="478"/>
      <c r="J2928" s="478" t="s">
        <v>1433</v>
      </c>
      <c r="K2928">
        <f>K2926+K2927</f>
        <v>2238.5</v>
      </c>
      <c r="L2928">
        <f ca="1">L2926+L2927</f>
        <v>2169.7044926796475</v>
      </c>
      <c r="M2928">
        <f ca="1">M2926+M2927</f>
        <v>2206.4238861207118</v>
      </c>
      <c r="N2928">
        <f ca="1">N2926+N2927</f>
        <v>2201.1611047496122</v>
      </c>
      <c r="P2928">
        <f>P2926+P2927</f>
        <v>2256.7522569634061</v>
      </c>
      <c r="Q2928">
        <f>Q2926+Q2927</f>
        <v>2377.0877521554557</v>
      </c>
      <c r="R2928">
        <f>R2926+R2927</f>
        <v>2554.7450738542043</v>
      </c>
      <c r="S2928">
        <f>S2926+S2927</f>
        <v>2760.8486345812576</v>
      </c>
      <c r="U2928" s="449">
        <f t="shared" si="337"/>
        <v>1</v>
      </c>
      <c r="V2928" s="449">
        <f t="shared" ca="1" si="338"/>
        <v>1</v>
      </c>
      <c r="W2928" s="449">
        <f t="shared" ca="1" si="338"/>
        <v>1</v>
      </c>
      <c r="X2928" s="449">
        <f t="shared" ca="1" si="338"/>
        <v>1</v>
      </c>
    </row>
    <row r="2929" spans="2:13">
      <c r="B2929" s="478" t="s">
        <v>798</v>
      </c>
      <c r="C2929" s="478"/>
      <c r="D2929" s="456">
        <f t="shared" ref="D2929:G2930" si="339">D2917/D2923-1</f>
        <v>-5.0899354864582191E-2</v>
      </c>
      <c r="E2929" s="456">
        <f t="shared" si="339"/>
        <v>-0.1639847876192676</v>
      </c>
      <c r="F2929" s="456">
        <f t="shared" si="339"/>
        <v>-0.2316990091285176</v>
      </c>
      <c r="G2929" s="456">
        <f t="shared" si="339"/>
        <v>-0.28318917733232396</v>
      </c>
    </row>
    <row r="2930" spans="2:13">
      <c r="B2930" s="478" t="s">
        <v>360</v>
      </c>
      <c r="C2930" s="478"/>
      <c r="D2930" s="456">
        <f t="shared" si="339"/>
        <v>3.9342764544656461E-3</v>
      </c>
      <c r="E2930" s="456">
        <f t="shared" si="339"/>
        <v>-6.3770364395677626E-2</v>
      </c>
      <c r="F2930" s="456">
        <f t="shared" si="339"/>
        <v>-0.14629446893906939</v>
      </c>
      <c r="G2930" s="456">
        <f t="shared" si="339"/>
        <v>-0.20966329965751729</v>
      </c>
    </row>
    <row r="2931" spans="2:13">
      <c r="B2931" s="478" t="s">
        <v>1545</v>
      </c>
      <c r="C2931" s="478"/>
      <c r="D2931" s="456">
        <f t="shared" ref="D2931:G2932" ca="1" si="340">D2919/D2925-1</f>
        <v>-6.4819002515224766E-2</v>
      </c>
      <c r="E2931" s="456">
        <f t="shared" ca="1" si="340"/>
        <v>-0.16991579263026235</v>
      </c>
      <c r="F2931" s="456">
        <f t="shared" ca="1" si="340"/>
        <v>-0.16972641471615635</v>
      </c>
      <c r="G2931" s="456">
        <f t="shared" ca="1" si="340"/>
        <v>-0.22365052245641925</v>
      </c>
    </row>
    <row r="2932" spans="2:13">
      <c r="B2932" s="478" t="s">
        <v>1552</v>
      </c>
      <c r="C2932" s="478"/>
      <c r="D2932" s="456">
        <f t="shared" ca="1" si="340"/>
        <v>0.11117471073867669</v>
      </c>
      <c r="E2932" s="456">
        <f t="shared" ca="1" si="340"/>
        <v>6.5134088348533403E-2</v>
      </c>
      <c r="F2932" s="456">
        <f t="shared" ca="1" si="340"/>
        <v>-0.12359415629234127</v>
      </c>
      <c r="G2932" s="456">
        <f t="shared" ca="1" si="340"/>
        <v>-0.19811042245095478</v>
      </c>
      <c r="J2932" s="450" t="s">
        <v>3777</v>
      </c>
      <c r="K2932" s="450">
        <v>2015</v>
      </c>
      <c r="L2932" s="450">
        <v>2016</v>
      </c>
      <c r="M2932" s="450">
        <v>2017</v>
      </c>
    </row>
    <row r="2933" spans="2:13">
      <c r="J2933" s="478" t="s">
        <v>798</v>
      </c>
      <c r="K2933">
        <v>7106.4835349476389</v>
      </c>
      <c r="L2933">
        <v>7515.720574706098</v>
      </c>
      <c r="M2933">
        <v>8004.5196344847664</v>
      </c>
    </row>
    <row r="2934" spans="2:13">
      <c r="J2934" s="478" t="s">
        <v>360</v>
      </c>
      <c r="K2934">
        <v>2303.9173408301399</v>
      </c>
      <c r="L2934">
        <v>2466.6342203059748</v>
      </c>
      <c r="M2934">
        <v>2680.1611752271265</v>
      </c>
    </row>
    <row r="2935" spans="2:13">
      <c r="J2935" s="478" t="s">
        <v>1545</v>
      </c>
      <c r="K2935">
        <v>1299.4889660894034</v>
      </c>
      <c r="L2935">
        <v>1300</v>
      </c>
      <c r="M2935">
        <v>1302.3814186970785</v>
      </c>
    </row>
    <row r="2936" spans="2:13">
      <c r="J2936" s="478" t="s">
        <v>1552</v>
      </c>
      <c r="K2936">
        <f>K2934-K2935</f>
        <v>1004.4283747407364</v>
      </c>
      <c r="L2936">
        <f>L2934-L2935</f>
        <v>1166.6342203059748</v>
      </c>
      <c r="M2936">
        <f>M2934-M2935</f>
        <v>1377.779756530048</v>
      </c>
    </row>
    <row r="2938" spans="2:13">
      <c r="J2938" t="str">
        <f>J2933</f>
        <v>Revs</v>
      </c>
      <c r="K2938" s="456">
        <f t="shared" ref="K2938:M2939" si="341">D2917/K2933-1</f>
        <v>-5.2958258201615926E-2</v>
      </c>
      <c r="L2938" s="456">
        <f t="shared" si="341"/>
        <v>-0.16855850925094673</v>
      </c>
      <c r="M2938" s="456">
        <f t="shared" si="341"/>
        <v>-0.23930475805598594</v>
      </c>
    </row>
    <row r="2939" spans="2:13">
      <c r="J2939" t="str">
        <f>J2934</f>
        <v>EBITDA</v>
      </c>
      <c r="K2939" s="456">
        <f t="shared" si="341"/>
        <v>-1.661795582683756E-2</v>
      </c>
      <c r="L2939" s="456">
        <f t="shared" si="341"/>
        <v>-9.7758402247441145E-2</v>
      </c>
      <c r="M2939" s="456">
        <f t="shared" si="341"/>
        <v>-0.18624296920681482</v>
      </c>
    </row>
    <row r="2940" spans="2:13">
      <c r="J2940" t="str">
        <f>J2935</f>
        <v>Capex</v>
      </c>
      <c r="K2940" s="456">
        <f t="shared" ref="K2940:M2941" ca="1" si="342">D2919/K2935-1</f>
        <v>-1.0380208252168788E-2</v>
      </c>
      <c r="L2940" s="456">
        <f t="shared" ca="1" si="342"/>
        <v>-0.16760033410558905</v>
      </c>
      <c r="M2940" s="456">
        <f t="shared" ca="1" si="342"/>
        <v>-0.19858452771913615</v>
      </c>
    </row>
    <row r="2941" spans="2:13">
      <c r="J2941" t="str">
        <f>J2936</f>
        <v>OpFCF</v>
      </c>
      <c r="K2941" s="456">
        <f t="shared" ca="1" si="342"/>
        <v>-2.4688102340395868E-2</v>
      </c>
      <c r="L2941" s="456">
        <f t="shared" ca="1" si="342"/>
        <v>-1.9932370887089434E-2</v>
      </c>
      <c r="M2941" s="456">
        <f t="shared" ca="1" si="342"/>
        <v>-0.1745767965779681</v>
      </c>
    </row>
    <row r="2942" spans="2:13">
      <c r="B2942" s="450" t="s">
        <v>3780</v>
      </c>
      <c r="C2942" s="450"/>
      <c r="K2942" s="456"/>
      <c r="L2942" s="456"/>
      <c r="M2942" s="456"/>
    </row>
    <row r="2943" spans="2:13">
      <c r="K2943" s="456"/>
      <c r="L2943" s="456"/>
      <c r="M2943" s="456"/>
    </row>
    <row r="2944" spans="2:13">
      <c r="B2944" s="451" t="s">
        <v>2378</v>
      </c>
      <c r="C2944" s="451"/>
      <c r="D2944" s="451">
        <v>2013</v>
      </c>
      <c r="E2944" s="451">
        <v>2014</v>
      </c>
    </row>
    <row r="2945" spans="2:21">
      <c r="B2945" t="s">
        <v>1542</v>
      </c>
      <c r="D2945" s="456">
        <v>0.52700000000000002</v>
      </c>
      <c r="E2945" s="456">
        <v>0.48299999999999998</v>
      </c>
    </row>
    <row r="2946" spans="2:21">
      <c r="B2946" s="455" t="s">
        <v>681</v>
      </c>
      <c r="C2946" s="455"/>
      <c r="D2946" s="561">
        <v>0.156</v>
      </c>
      <c r="E2946" s="561">
        <v>0.13900000000000001</v>
      </c>
    </row>
    <row r="2947" spans="2:21">
      <c r="B2947" t="s">
        <v>3778</v>
      </c>
      <c r="D2947" s="456">
        <f>D2945-D2946</f>
        <v>0.371</v>
      </c>
      <c r="E2947" s="456">
        <f>E2945-E2946</f>
        <v>0.34399999999999997</v>
      </c>
    </row>
    <row r="2949" spans="2:21">
      <c r="B2949" t="s">
        <v>3779</v>
      </c>
      <c r="D2949" s="456">
        <v>0.51700000000000002</v>
      </c>
      <c r="E2949" s="456">
        <v>0.46700000000000003</v>
      </c>
    </row>
    <row r="2951" spans="2:21">
      <c r="B2951" s="451" t="s">
        <v>2379</v>
      </c>
      <c r="C2951" s="451"/>
      <c r="D2951" s="560" t="s">
        <v>3783</v>
      </c>
      <c r="E2951" s="560" t="s">
        <v>3784</v>
      </c>
      <c r="L2951" s="560" t="s">
        <v>2755</v>
      </c>
      <c r="M2951" s="560" t="s">
        <v>2755</v>
      </c>
      <c r="N2951" s="560" t="s">
        <v>3608</v>
      </c>
    </row>
    <row r="2952" spans="2:21">
      <c r="B2952" t="str">
        <f>B2945</f>
        <v>EBITDA margin</v>
      </c>
      <c r="D2952" s="456">
        <v>0.51600000000000001</v>
      </c>
      <c r="E2952" s="456">
        <v>0.51300000000000001</v>
      </c>
      <c r="K2952" s="478" t="s">
        <v>1241</v>
      </c>
      <c r="M2952">
        <v>856</v>
      </c>
      <c r="N2952">
        <v>917</v>
      </c>
    </row>
    <row r="2953" spans="2:21">
      <c r="B2953" t="str">
        <f>B2946</f>
        <v>Capex/sales</v>
      </c>
      <c r="D2953" s="456">
        <f>M2954</f>
        <v>0.18247663551401869</v>
      </c>
      <c r="E2953" s="456">
        <f>N2954</f>
        <v>0.14841875681570338</v>
      </c>
      <c r="K2953" s="478" t="s">
        <v>3347</v>
      </c>
      <c r="L2953">
        <f>116.6</f>
        <v>116.6</v>
      </c>
      <c r="M2953">
        <f>156.2</f>
        <v>156.19999999999999</v>
      </c>
      <c r="N2953">
        <f>136.1</f>
        <v>136.1</v>
      </c>
    </row>
    <row r="2954" spans="2:21">
      <c r="B2954" t="str">
        <f>B2947</f>
        <v>OpFCF margin</v>
      </c>
      <c r="D2954" s="456">
        <f>D2952-D2953</f>
        <v>0.3335233644859813</v>
      </c>
      <c r="E2954" s="456">
        <f>E2952-E2953</f>
        <v>0.36458124318429663</v>
      </c>
      <c r="M2954" s="456">
        <f>M2953/M2952</f>
        <v>0.18247663551401869</v>
      </c>
      <c r="N2954" s="456">
        <f>N2953/N2952</f>
        <v>0.14841875681570338</v>
      </c>
    </row>
    <row r="2956" spans="2:21">
      <c r="B2956" s="451" t="s">
        <v>2376</v>
      </c>
      <c r="C2956" s="451"/>
      <c r="D2956" s="560" t="s">
        <v>3783</v>
      </c>
      <c r="E2956" s="560" t="s">
        <v>3784</v>
      </c>
    </row>
    <row r="2957" spans="2:21">
      <c r="B2957" t="str">
        <f>B2952</f>
        <v>EBITDA margin</v>
      </c>
      <c r="D2957" s="456">
        <f>U2959</f>
        <v>0.41751464693185325</v>
      </c>
      <c r="E2957" s="456">
        <f>U2960</f>
        <v>0.37997512437810943</v>
      </c>
    </row>
    <row r="2958" spans="2:21">
      <c r="B2958" t="str">
        <f>B2953</f>
        <v>Capex/sales</v>
      </c>
      <c r="D2958" s="456">
        <f>R2959</f>
        <v>0.11285846438482887</v>
      </c>
      <c r="E2958" s="456">
        <f>R2960</f>
        <v>0.14925373134328357</v>
      </c>
      <c r="L2958" s="478" t="s">
        <v>3347</v>
      </c>
      <c r="M2958" s="478" t="s">
        <v>3167</v>
      </c>
      <c r="N2958" s="478" t="s">
        <v>3781</v>
      </c>
      <c r="O2958" s="478" t="s">
        <v>3169</v>
      </c>
      <c r="P2958" s="478" t="s">
        <v>3782</v>
      </c>
    </row>
    <row r="2959" spans="2:21">
      <c r="B2959" t="str">
        <f>B2954</f>
        <v>OpFCF margin</v>
      </c>
      <c r="D2959" s="456">
        <f>D2957-D2958</f>
        <v>0.30465618254702437</v>
      </c>
      <c r="E2959" s="456">
        <f>E2957-E2958</f>
        <v>0.23072139303482586</v>
      </c>
      <c r="L2959">
        <v>2013</v>
      </c>
      <c r="M2959">
        <v>8.3000000000000007</v>
      </c>
      <c r="N2959">
        <f>20-M2959</f>
        <v>11.7</v>
      </c>
      <c r="O2959">
        <f>36.6-N2959-M2959</f>
        <v>16.600000000000001</v>
      </c>
      <c r="P2959">
        <f>SUM(M2959:O2959)</f>
        <v>36.6</v>
      </c>
      <c r="Q2959">
        <v>324.3</v>
      </c>
      <c r="R2959" s="456">
        <f>P2959/Q2959</f>
        <v>0.11285846438482887</v>
      </c>
      <c r="T2959">
        <v>135.4</v>
      </c>
      <c r="U2959" s="456">
        <f>T2959/Q2959</f>
        <v>0.41751464693185325</v>
      </c>
    </row>
    <row r="2960" spans="2:21">
      <c r="L2960">
        <v>2014</v>
      </c>
      <c r="M2960">
        <v>6.2</v>
      </c>
      <c r="N2960">
        <f>28.8-M2960</f>
        <v>22.6</v>
      </c>
      <c r="O2960">
        <f>48-N2960-M2960</f>
        <v>19.2</v>
      </c>
      <c r="P2960">
        <f>SUM(M2960:O2960)</f>
        <v>48</v>
      </c>
      <c r="Q2960">
        <v>321.60000000000002</v>
      </c>
      <c r="R2960" s="456">
        <f>P2960/Q2960</f>
        <v>0.14925373134328357</v>
      </c>
      <c r="T2960">
        <v>122.2</v>
      </c>
      <c r="U2960" s="456">
        <f>T2960/Q2960</f>
        <v>0.37997512437810943</v>
      </c>
    </row>
    <row r="2961" spans="2:10">
      <c r="B2961" s="478" t="s">
        <v>3785</v>
      </c>
      <c r="C2961" s="478"/>
      <c r="D2961" s="456">
        <v>0.51200000000000001</v>
      </c>
      <c r="E2961" s="456">
        <v>0.46100000000000002</v>
      </c>
    </row>
    <row r="2963" spans="2:10">
      <c r="B2963" s="693" t="s">
        <v>3950</v>
      </c>
      <c r="C2963" s="693"/>
    </row>
    <row r="2965" spans="2:10">
      <c r="B2965" s="487" t="s">
        <v>3965</v>
      </c>
      <c r="C2965" s="487"/>
      <c r="D2965" s="455">
        <v>2014</v>
      </c>
      <c r="E2965" s="455">
        <f t="shared" ref="E2965:J2965" si="343">D2965+1</f>
        <v>2015</v>
      </c>
      <c r="F2965" s="455">
        <f t="shared" si="343"/>
        <v>2016</v>
      </c>
      <c r="G2965" s="455">
        <f t="shared" si="343"/>
        <v>2017</v>
      </c>
      <c r="H2965" s="455">
        <f t="shared" si="343"/>
        <v>2018</v>
      </c>
      <c r="I2965" s="455">
        <f t="shared" si="343"/>
        <v>2019</v>
      </c>
      <c r="J2965" s="455">
        <f t="shared" si="343"/>
        <v>2020</v>
      </c>
    </row>
    <row r="2966" spans="2:10">
      <c r="B2966" s="1001" t="s">
        <v>150</v>
      </c>
      <c r="C2966" s="1001"/>
      <c r="D2966" s="1002">
        <f>Valuation!D16</f>
        <v>3998</v>
      </c>
      <c r="E2966" s="1002">
        <f>Valuation!E16</f>
        <v>4295</v>
      </c>
      <c r="F2966" s="1002">
        <f>Valuation!F16</f>
        <v>4187</v>
      </c>
      <c r="G2966" s="1002">
        <f>Valuation!G16</f>
        <v>4073</v>
      </c>
      <c r="H2966" s="1002">
        <f>Valuation!H16</f>
        <v>5133</v>
      </c>
      <c r="I2966" s="1002">
        <f>Valuation!I16</f>
        <v>7236</v>
      </c>
      <c r="J2966" s="1002">
        <f>Valuation!J16</f>
        <v>6631</v>
      </c>
    </row>
    <row r="2967" spans="2:10">
      <c r="B2967" s="478" t="s">
        <v>360</v>
      </c>
      <c r="C2967" s="478"/>
      <c r="D2967" s="464">
        <f>Valuation!D21</f>
        <v>2109.5211117787239</v>
      </c>
      <c r="E2967" s="464">
        <f>Valuation!E21</f>
        <v>2265.6309442315396</v>
      </c>
      <c r="F2967" s="464">
        <f>Valuation!F21</f>
        <v>2225.5</v>
      </c>
      <c r="G2967" s="464">
        <f>Valuation!G21</f>
        <v>2181</v>
      </c>
      <c r="H2967" s="464">
        <f>Valuation!H21</f>
        <v>2182</v>
      </c>
      <c r="I2967" s="464">
        <f>Valuation!I21</f>
        <v>2550</v>
      </c>
      <c r="J2967" s="464">
        <f>Valuation!J21</f>
        <v>2485</v>
      </c>
    </row>
    <row r="2968" spans="2:10">
      <c r="B2968" s="1001" t="s">
        <v>3055</v>
      </c>
      <c r="C2968" s="1001"/>
      <c r="D2968" s="1003">
        <f t="shared" ref="D2968:J2968" si="344">D2966/D2967</f>
        <v>1.8952168706332275</v>
      </c>
      <c r="E2968" s="1003">
        <f t="shared" si="344"/>
        <v>1.8957191642069424</v>
      </c>
      <c r="F2968" s="1003">
        <f t="shared" si="344"/>
        <v>1.8813749719164232</v>
      </c>
      <c r="G2968" s="1003">
        <f t="shared" si="344"/>
        <v>1.8674919761577258</v>
      </c>
      <c r="H2968" s="1003">
        <f t="shared" si="344"/>
        <v>2.352428964252979</v>
      </c>
      <c r="I2968" s="1003">
        <f t="shared" si="344"/>
        <v>2.8376470588235296</v>
      </c>
      <c r="J2968" s="1003">
        <f t="shared" si="344"/>
        <v>2.6684104627766598</v>
      </c>
    </row>
    <row r="2970" spans="2:10">
      <c r="B2970" s="1001" t="s">
        <v>3966</v>
      </c>
      <c r="C2970" s="1001"/>
      <c r="D2970" s="562"/>
      <c r="E2970" s="562"/>
      <c r="F2970" s="562"/>
      <c r="G2970" s="562"/>
      <c r="H2970" s="562"/>
      <c r="I2970" s="562"/>
      <c r="J2970" s="562"/>
    </row>
    <row r="2971" spans="2:10">
      <c r="B2971" s="478" t="s">
        <v>3928</v>
      </c>
      <c r="C2971" s="478"/>
      <c r="D2971" s="464" t="e">
        <f>Valuation!#REF!</f>
        <v>#REF!</v>
      </c>
      <c r="E2971" s="464" t="e">
        <f>Valuation!#REF!</f>
        <v>#REF!</v>
      </c>
      <c r="F2971" s="464" t="e">
        <f>Valuation!#REF!</f>
        <v>#REF!</v>
      </c>
      <c r="G2971" s="464" t="e">
        <f>Valuation!#REF!</f>
        <v>#REF!</v>
      </c>
      <c r="H2971" s="464" t="e">
        <f>Valuation!#REF!</f>
        <v>#REF!</v>
      </c>
      <c r="I2971" s="464" t="e">
        <f>Valuation!#REF!</f>
        <v>#REF!</v>
      </c>
      <c r="J2971" s="464" t="e">
        <f>Valuation!#REF!</f>
        <v>#REF!</v>
      </c>
    </row>
    <row r="2972" spans="2:10">
      <c r="B2972" s="1001" t="s">
        <v>3964</v>
      </c>
      <c r="C2972" s="1001"/>
      <c r="D2972" s="1002" t="e">
        <f>Valuation!#REF!</f>
        <v>#REF!</v>
      </c>
      <c r="E2972" s="1002" t="e">
        <f>Valuation!#REF!</f>
        <v>#REF!</v>
      </c>
      <c r="F2972" s="1002" t="e">
        <f>Valuation!#REF!</f>
        <v>#REF!</v>
      </c>
      <c r="G2972" s="1002" t="e">
        <f>Valuation!#REF!</f>
        <v>#REF!</v>
      </c>
      <c r="H2972" s="1002" t="e">
        <f>Valuation!#REF!</f>
        <v>#REF!</v>
      </c>
      <c r="I2972" s="1002" t="e">
        <f>Valuation!#REF!</f>
        <v>#REF!</v>
      </c>
      <c r="J2972" s="1002" t="e">
        <f>Valuation!#REF!</f>
        <v>#REF!</v>
      </c>
    </row>
    <row r="2973" spans="2:10">
      <c r="B2973" s="478" t="s">
        <v>3055</v>
      </c>
      <c r="C2973" s="478"/>
      <c r="D2973" s="999" t="e">
        <f t="shared" ref="D2973:J2973" si="345">D2971/D2972</f>
        <v>#REF!</v>
      </c>
      <c r="E2973" s="999" t="e">
        <f t="shared" si="345"/>
        <v>#REF!</v>
      </c>
      <c r="F2973" s="999" t="e">
        <f t="shared" si="345"/>
        <v>#REF!</v>
      </c>
      <c r="G2973" s="999" t="e">
        <f t="shared" si="345"/>
        <v>#REF!</v>
      </c>
      <c r="H2973" s="999" t="e">
        <f t="shared" si="345"/>
        <v>#REF!</v>
      </c>
      <c r="I2973" s="999" t="e">
        <f t="shared" si="345"/>
        <v>#REF!</v>
      </c>
      <c r="J2973" s="999" t="e">
        <f t="shared" si="345"/>
        <v>#REF!</v>
      </c>
    </row>
    <row r="2974" spans="2:10" ht="15.75" thickBot="1">
      <c r="B2974" s="562"/>
      <c r="C2974" s="562"/>
      <c r="D2974" s="562"/>
      <c r="E2974" s="562"/>
      <c r="F2974" s="562"/>
      <c r="G2974" s="562"/>
      <c r="H2974" s="562"/>
      <c r="I2974" s="562"/>
      <c r="J2974" s="562"/>
    </row>
    <row r="2975" spans="2:10">
      <c r="B2975" s="1005" t="s">
        <v>3967</v>
      </c>
      <c r="D2975" s="1006">
        <f t="shared" ref="D2975:J2975" si="346">D2965</f>
        <v>2014</v>
      </c>
      <c r="E2975" s="1006">
        <f t="shared" si="346"/>
        <v>2015</v>
      </c>
      <c r="F2975" s="1006">
        <f t="shared" si="346"/>
        <v>2016</v>
      </c>
      <c r="G2975" s="1006">
        <f t="shared" si="346"/>
        <v>2017</v>
      </c>
      <c r="H2975" s="1006">
        <f t="shared" si="346"/>
        <v>2018</v>
      </c>
      <c r="I2975" s="1006">
        <f t="shared" si="346"/>
        <v>2019</v>
      </c>
      <c r="J2975" s="1007">
        <f t="shared" si="346"/>
        <v>2020</v>
      </c>
    </row>
    <row r="2976" spans="2:10">
      <c r="B2976" s="1008" t="str">
        <f>B2966</f>
        <v>Net debt</v>
      </c>
      <c r="C2976" s="562"/>
      <c r="D2976" s="1002">
        <f ca="1">Valuation!D85</f>
        <v>1388.1489188540406</v>
      </c>
      <c r="E2976" s="1002">
        <f>Valuation!E85</f>
        <v>1595.7886942315395</v>
      </c>
      <c r="F2976" s="1002">
        <f>Valuation!F85</f>
        <v>1599.2504139817918</v>
      </c>
      <c r="G2976" s="1002">
        <f>Valuation!G85</f>
        <v>1555.2413908612966</v>
      </c>
      <c r="H2976" s="1002">
        <f>Valuation!H85</f>
        <v>1509.1597148892563</v>
      </c>
      <c r="I2976" s="1002">
        <f>Valuation!I85</f>
        <v>1826.4561492822902</v>
      </c>
      <c r="J2976" s="1009">
        <f>Valuation!J85</f>
        <v>1948.833871935987</v>
      </c>
    </row>
    <row r="2977" spans="2:10">
      <c r="B2977" s="1010" t="str">
        <f>B2967</f>
        <v>EBITDA</v>
      </c>
      <c r="D2977" s="464">
        <f>Valuation!D94</f>
        <v>3198.54</v>
      </c>
      <c r="E2977" s="464">
        <f>Valuation!E94</f>
        <v>3497.8169291338586</v>
      </c>
      <c r="F2977" s="464">
        <f>Valuation!F94</f>
        <v>3357.1899999999996</v>
      </c>
      <c r="G2977" s="464">
        <f>Valuation!G94</f>
        <v>3173.8900000000003</v>
      </c>
      <c r="H2977" s="464">
        <f>Valuation!H94</f>
        <v>4233.58</v>
      </c>
      <c r="I2977" s="464">
        <f>Valuation!I94</f>
        <v>5843.36</v>
      </c>
      <c r="J2977" s="1011">
        <f>Valuation!J94</f>
        <v>5677.63</v>
      </c>
    </row>
    <row r="2978" spans="2:10" ht="15.75" thickBot="1">
      <c r="B2978" s="1012" t="str">
        <f>B2968</f>
        <v>Net debt to EBITDA</v>
      </c>
      <c r="D2978" s="1013">
        <f ca="1">Valuation!D96</f>
        <v>2.3041764154817717</v>
      </c>
      <c r="E2978" s="1013">
        <f>Valuation!E96</f>
        <v>2.1919048190890029</v>
      </c>
      <c r="F2978" s="1013">
        <f>Valuation!F96</f>
        <v>2.0992272196080375</v>
      </c>
      <c r="G2978" s="1013">
        <f>Valuation!G96</f>
        <v>2.0407700172140428</v>
      </c>
      <c r="H2978" s="1013">
        <f>Valuation!H96</f>
        <v>2.8052564339160515</v>
      </c>
      <c r="I2978" s="1013">
        <f>Valuation!I96</f>
        <v>3.1992884155998818</v>
      </c>
      <c r="J2978" s="1014">
        <f>Valuation!J96</f>
        <v>2.9133473518498514</v>
      </c>
    </row>
    <row r="2982" spans="2:10">
      <c r="B2982" s="451" t="s">
        <v>2602</v>
      </c>
      <c r="C2982" s="451"/>
      <c r="D2982" s="451">
        <f>Master!Q160</f>
        <v>2014</v>
      </c>
      <c r="E2982" s="451">
        <f>Master!R160</f>
        <v>2015</v>
      </c>
      <c r="F2982" s="451">
        <f>Master!S160</f>
        <v>2016</v>
      </c>
      <c r="G2982" s="451">
        <f>Master!T160</f>
        <v>2017</v>
      </c>
      <c r="H2982" s="451">
        <f>Master!U160</f>
        <v>2018</v>
      </c>
      <c r="I2982" s="451">
        <f>Master!V160</f>
        <v>2019</v>
      </c>
      <c r="J2982" s="451">
        <f>Master!W160</f>
        <v>2020</v>
      </c>
    </row>
    <row r="2983" spans="2:10">
      <c r="B2983" s="562" t="str">
        <f>Master!A162</f>
        <v>PBT</v>
      </c>
      <c r="C2983" s="562"/>
      <c r="D2983" s="1002">
        <f>Master!Q162</f>
        <v>3052.5211117787239</v>
      </c>
      <c r="E2983" s="1002">
        <f>Master!R162</f>
        <v>623.63094423153962</v>
      </c>
      <c r="F2983" s="1002">
        <f>Master!S162</f>
        <v>415.5</v>
      </c>
      <c r="G2983" s="1002">
        <f>Master!T162</f>
        <v>390</v>
      </c>
      <c r="H2983" s="1002">
        <f>Master!U162</f>
        <v>466</v>
      </c>
      <c r="I2983" s="1002">
        <f>Master!V162</f>
        <v>319</v>
      </c>
      <c r="J2983" s="1002">
        <f>Master!W162</f>
        <v>249</v>
      </c>
    </row>
    <row r="2984" spans="2:10">
      <c r="B2984" s="499" t="str">
        <f>Master!A164</f>
        <v>adjusted for</v>
      </c>
      <c r="C2984" s="499"/>
      <c r="D2984" s="464"/>
      <c r="E2984" s="464"/>
      <c r="F2984" s="464"/>
      <c r="G2984" s="464"/>
      <c r="H2984" s="464"/>
      <c r="I2984" s="464"/>
      <c r="J2984" s="464"/>
    </row>
    <row r="2985" spans="2:10">
      <c r="B2985" s="562" t="str">
        <f>Master!A165</f>
        <v>Corporate expenses</v>
      </c>
      <c r="C2985" s="562"/>
      <c r="D2985" s="1002">
        <f>Master!Q165</f>
        <v>-258</v>
      </c>
      <c r="E2985" s="1002">
        <f>Master!R165</f>
        <v>-204</v>
      </c>
      <c r="F2985" s="1002">
        <f>Master!S165</f>
        <v>-165</v>
      </c>
      <c r="G2985" s="1002">
        <f>Master!T165</f>
        <v>-147.67599999999999</v>
      </c>
      <c r="H2985" s="1002">
        <f>Master!U165</f>
        <v>-150.63400000000001</v>
      </c>
      <c r="I2985" s="1002">
        <f>Master!V165</f>
        <v>-150.72500000000002</v>
      </c>
      <c r="J2985" s="1002">
        <f>Master!W165</f>
        <v>-139</v>
      </c>
    </row>
    <row r="2986" spans="2:10">
      <c r="B2986" t="str">
        <f>Master!A166</f>
        <v>Africa losses</v>
      </c>
      <c r="D2986" s="464">
        <f>Master!Q166</f>
        <v>-50</v>
      </c>
      <c r="E2986" s="464">
        <f>Master!R166</f>
        <v>-50</v>
      </c>
      <c r="F2986" s="464">
        <f>Master!S166</f>
        <v>-10</v>
      </c>
      <c r="G2986" s="464">
        <f>Master!T166</f>
        <v>0</v>
      </c>
      <c r="H2986" s="464">
        <f>Master!U166</f>
        <v>0</v>
      </c>
      <c r="I2986" s="464">
        <f>Master!V166</f>
        <v>0</v>
      </c>
      <c r="J2986" s="464">
        <f>Master!W166</f>
        <v>0</v>
      </c>
    </row>
    <row r="2987" spans="2:10">
      <c r="B2987" s="562" t="str">
        <f>Master!A167</f>
        <v>Holding fin expenses</v>
      </c>
      <c r="C2987" s="562"/>
      <c r="D2987" s="1002">
        <f>Master!Q167</f>
        <v>-89.876874999999998</v>
      </c>
      <c r="E2987" s="1002">
        <f>Master!R167</f>
        <v>-117.50687499999999</v>
      </c>
      <c r="F2987" s="1002">
        <f>Master!S167</f>
        <v>-102.765</v>
      </c>
      <c r="G2987" s="1002">
        <f>Master!T167</f>
        <v>-59.236249999999998</v>
      </c>
      <c r="H2987" s="1002">
        <f>Master!U167</f>
        <v>-29.61</v>
      </c>
      <c r="I2987" s="1002">
        <f>Master!V167</f>
        <v>-29.459999999999997</v>
      </c>
      <c r="J2987" s="1002">
        <f>Master!W167</f>
        <v>-134.60974999999999</v>
      </c>
    </row>
    <row r="2988" spans="2:10">
      <c r="B2988" s="455" t="str">
        <f>Master!A168</f>
        <v>Associate losses</v>
      </c>
      <c r="C2988" s="455"/>
      <c r="D2988" s="490">
        <f>Master!Q168</f>
        <v>0</v>
      </c>
      <c r="E2988" s="490">
        <f>Master!R168</f>
        <v>0</v>
      </c>
      <c r="F2988" s="490">
        <f>Master!S168</f>
        <v>49</v>
      </c>
      <c r="G2988" s="490">
        <f>Master!T168</f>
        <v>86</v>
      </c>
      <c r="H2988" s="490">
        <f>Master!U168</f>
        <v>35</v>
      </c>
      <c r="I2988" s="490">
        <f>Master!V168</f>
        <v>41</v>
      </c>
      <c r="J2988" s="490">
        <f>Master!W168</f>
        <v>1</v>
      </c>
    </row>
    <row r="2989" spans="2:10">
      <c r="B2989" s="562" t="str">
        <f>Master!A169</f>
        <v>Total adjs</v>
      </c>
      <c r="C2989" s="562"/>
      <c r="D2989" s="1002">
        <f>Master!Q169</f>
        <v>-397.87687499999998</v>
      </c>
      <c r="E2989" s="1002">
        <f>Master!R169</f>
        <v>-371.50687499999998</v>
      </c>
      <c r="F2989" s="1002">
        <f>Master!S169</f>
        <v>-228.76499999999999</v>
      </c>
      <c r="G2989" s="1002">
        <f>Master!T169</f>
        <v>-120.91224999999997</v>
      </c>
      <c r="H2989" s="1002">
        <f>Master!U169</f>
        <v>-145.24400000000003</v>
      </c>
      <c r="I2989" s="1002">
        <f>Master!V169</f>
        <v>-139.18500000000003</v>
      </c>
      <c r="J2989" s="1002">
        <f>Master!W169</f>
        <v>-272.60974999999996</v>
      </c>
    </row>
    <row r="2990" spans="2:10">
      <c r="D2990" s="464"/>
      <c r="E2990" s="464"/>
      <c r="F2990" s="464"/>
      <c r="G2990" s="464"/>
      <c r="H2990" s="464"/>
      <c r="I2990" s="464"/>
      <c r="J2990" s="464"/>
    </row>
    <row r="2991" spans="2:10">
      <c r="B2991" s="562" t="str">
        <f>Master!A171</f>
        <v>Adj taxable profit</v>
      </c>
      <c r="C2991" s="562"/>
      <c r="D2991" s="1002">
        <f>Master!Q171</f>
        <v>3450.3979867787239</v>
      </c>
      <c r="E2991" s="1002">
        <f>Master!R171</f>
        <v>995.13781923153965</v>
      </c>
      <c r="F2991" s="1002">
        <f>Master!S171</f>
        <v>644.26499999999999</v>
      </c>
      <c r="G2991" s="1002">
        <f>Master!T171</f>
        <v>510.91224999999997</v>
      </c>
      <c r="H2991" s="1002">
        <f>Master!U171</f>
        <v>611.24400000000003</v>
      </c>
      <c r="I2991" s="1002">
        <f>Master!V171</f>
        <v>458.18500000000006</v>
      </c>
      <c r="J2991" s="1002">
        <f>Master!W171</f>
        <v>521.60974999999996</v>
      </c>
    </row>
    <row r="2992" spans="2:10">
      <c r="B2992" t="str">
        <f>Master!A172</f>
        <v>Weighted average corp tax</v>
      </c>
      <c r="D2992" s="449">
        <f>Master!Q172</f>
        <v>0.27</v>
      </c>
      <c r="E2992" s="449">
        <f>Master!R172</f>
        <v>0.27</v>
      </c>
      <c r="F2992" s="449">
        <f>Master!S172</f>
        <v>0.27</v>
      </c>
      <c r="G2992" s="449">
        <f>Master!T172</f>
        <v>0.27</v>
      </c>
      <c r="H2992" s="449">
        <f>Master!U172</f>
        <v>0.27</v>
      </c>
      <c r="I2992" s="449">
        <f>Master!V172</f>
        <v>0.27</v>
      </c>
      <c r="J2992" s="449">
        <f>Master!W172</f>
        <v>0.27</v>
      </c>
    </row>
    <row r="2993" spans="2:10">
      <c r="B2993" s="562" t="str">
        <f>Master!A173</f>
        <v>Theoretical tax</v>
      </c>
      <c r="C2993" s="562"/>
      <c r="D2993" s="1002">
        <f>Master!Q173</f>
        <v>931.60745643025552</v>
      </c>
      <c r="E2993" s="1002">
        <f>Master!R173</f>
        <v>268.68721119251575</v>
      </c>
      <c r="F2993" s="1002">
        <f>Master!S173</f>
        <v>173.95155</v>
      </c>
      <c r="G2993" s="1002">
        <f>Master!T173</f>
        <v>137.94630749999999</v>
      </c>
      <c r="H2993" s="1002">
        <f>Master!U173</f>
        <v>165.03588000000002</v>
      </c>
      <c r="I2993" s="1002">
        <f>Master!V173</f>
        <v>123.70995000000002</v>
      </c>
      <c r="J2993" s="1002">
        <f>Master!W173</f>
        <v>140.8346325</v>
      </c>
    </row>
    <row r="2994" spans="2:10">
      <c r="B2994" t="str">
        <f>Master!A174</f>
        <v>Withholding taxes on upstreaming</v>
      </c>
      <c r="D2994" s="464">
        <f>Master!Q174</f>
        <v>79</v>
      </c>
      <c r="E2994" s="464">
        <f>Master!R174</f>
        <v>75</v>
      </c>
      <c r="F2994" s="464">
        <f>Master!S174</f>
        <v>70</v>
      </c>
      <c r="G2994" s="464">
        <f>Master!T174</f>
        <v>65</v>
      </c>
      <c r="H2994" s="464">
        <f>Master!U174</f>
        <v>65</v>
      </c>
      <c r="I2994" s="464">
        <f>Master!V174</f>
        <v>65</v>
      </c>
      <c r="J2994" s="464">
        <f>Master!W174</f>
        <v>55</v>
      </c>
    </row>
    <row r="2995" spans="2:10">
      <c r="B2995" s="1004" t="str">
        <f>Master!A175</f>
        <v>Less tax impact of gain/other</v>
      </c>
      <c r="C2995" s="1004"/>
      <c r="D2995" s="1018">
        <f>Master!Q175</f>
        <v>-714</v>
      </c>
      <c r="E2995" s="1018">
        <f>Master!R175</f>
        <v>-4</v>
      </c>
      <c r="F2995" s="1018">
        <f>Master!S175</f>
        <v>0</v>
      </c>
      <c r="G2995" s="1018">
        <f>Master!T175</f>
        <v>0</v>
      </c>
      <c r="H2995" s="1018">
        <f>Master!U175</f>
        <v>0</v>
      </c>
      <c r="I2995" s="1018">
        <f>Master!V175</f>
        <v>0</v>
      </c>
      <c r="J2995" s="1018">
        <f>Master!W175</f>
        <v>0</v>
      </c>
    </row>
    <row r="2996" spans="2:10">
      <c r="B2996" t="str">
        <f>Master!A176</f>
        <v>Total tax</v>
      </c>
      <c r="D2996" s="464">
        <f>Master!Q176</f>
        <v>292</v>
      </c>
      <c r="E2996" s="464">
        <f>Master!R176</f>
        <v>291</v>
      </c>
      <c r="F2996" s="464">
        <f>Master!S176</f>
        <v>251</v>
      </c>
      <c r="G2996" s="464">
        <f>Master!T176</f>
        <v>252</v>
      </c>
      <c r="H2996" s="464">
        <f>Master!U176</f>
        <v>204</v>
      </c>
      <c r="I2996" s="464">
        <f>Master!V176</f>
        <v>222</v>
      </c>
      <c r="J2996" s="464">
        <f>Master!W176</f>
        <v>204</v>
      </c>
    </row>
    <row r="2997" spans="2:10">
      <c r="B2997" s="1001" t="s">
        <v>155</v>
      </c>
      <c r="C2997" s="1001"/>
      <c r="D2997" s="1019">
        <f t="shared" ref="D2997:J2997" si="347">D2996/D2983</f>
        <v>9.565863406259939E-2</v>
      </c>
      <c r="E2997" s="1019">
        <f t="shared" si="347"/>
        <v>0.46662213075167497</v>
      </c>
      <c r="F2997" s="1019">
        <f t="shared" si="347"/>
        <v>0.60409145607701564</v>
      </c>
      <c r="G2997" s="1019">
        <f t="shared" si="347"/>
        <v>0.64615384615384619</v>
      </c>
      <c r="H2997" s="1019">
        <f t="shared" si="347"/>
        <v>0.43776824034334766</v>
      </c>
      <c r="I2997" s="1019">
        <f t="shared" si="347"/>
        <v>0.6959247648902821</v>
      </c>
      <c r="J2997" s="1019">
        <f t="shared" si="347"/>
        <v>0.81927710843373491</v>
      </c>
    </row>
    <row r="2999" spans="2:10">
      <c r="B2999" s="562" t="str">
        <f>Master!A163</f>
        <v>PBT pre gains</v>
      </c>
      <c r="C2999" s="562"/>
      <c r="D2999" s="1002">
        <f>Master!Q163</f>
        <v>802.52111177872393</v>
      </c>
      <c r="E2999" s="1002">
        <f>Master!R163</f>
        <v>623.63094423153962</v>
      </c>
      <c r="F2999" s="1002">
        <f>Master!S163</f>
        <v>415.5</v>
      </c>
      <c r="G2999" s="1002">
        <f>Master!T163</f>
        <v>390</v>
      </c>
      <c r="H2999" s="1002">
        <f>Master!U163</f>
        <v>466</v>
      </c>
      <c r="I2999" s="1002">
        <f>Master!V163</f>
        <v>319</v>
      </c>
      <c r="J2999" s="1002">
        <f>Master!W163</f>
        <v>249</v>
      </c>
    </row>
    <row r="3000" spans="2:10">
      <c r="B3000" s="455" t="str">
        <f>Master!A178</f>
        <v>Effective tax rate (pre-gain PBT)</v>
      </c>
      <c r="C3000" s="455"/>
      <c r="D3000" s="476">
        <f>Master!Q178</f>
        <v>0.36385335627221732</v>
      </c>
      <c r="E3000" s="476">
        <f>Master!R178</f>
        <v>0.46662213075167497</v>
      </c>
      <c r="F3000" s="476">
        <f>Master!S178</f>
        <v>0.60409145607701564</v>
      </c>
      <c r="G3000" s="476">
        <f>Master!T178</f>
        <v>0.64615384615384619</v>
      </c>
      <c r="H3000" s="476">
        <f>Master!U178</f>
        <v>0.43776824034334766</v>
      </c>
      <c r="I3000" s="476">
        <f>Master!V178</f>
        <v>0.6959247648902821</v>
      </c>
      <c r="J3000" s="476">
        <f>Master!W178</f>
        <v>0.81927710843373491</v>
      </c>
    </row>
    <row r="3002" spans="2:10">
      <c r="B3002" s="451" t="s">
        <v>2389</v>
      </c>
      <c r="C3002" s="451"/>
      <c r="D3002" s="451">
        <f t="shared" ref="D3002:I3002" si="348">E2982</f>
        <v>2015</v>
      </c>
      <c r="E3002" s="451">
        <f t="shared" si="348"/>
        <v>2016</v>
      </c>
      <c r="F3002" s="451">
        <f t="shared" si="348"/>
        <v>2017</v>
      </c>
      <c r="G3002" s="451">
        <f t="shared" si="348"/>
        <v>2018</v>
      </c>
      <c r="H3002" s="451">
        <f t="shared" si="348"/>
        <v>2019</v>
      </c>
      <c r="I3002" s="451">
        <f t="shared" si="348"/>
        <v>2020</v>
      </c>
    </row>
    <row r="3003" spans="2:10">
      <c r="B3003" s="478" t="s">
        <v>3979</v>
      </c>
      <c r="C3003" s="478"/>
      <c r="D3003" s="464">
        <f t="shared" ref="D3003:I3003" si="349">E2996</f>
        <v>291</v>
      </c>
      <c r="E3003" s="464">
        <f t="shared" si="349"/>
        <v>251</v>
      </c>
      <c r="F3003" s="464">
        <f t="shared" si="349"/>
        <v>252</v>
      </c>
      <c r="G3003" s="464">
        <f t="shared" si="349"/>
        <v>204</v>
      </c>
      <c r="H3003" s="464">
        <f t="shared" si="349"/>
        <v>222</v>
      </c>
      <c r="I3003" s="464">
        <f t="shared" si="349"/>
        <v>204</v>
      </c>
    </row>
    <row r="3005" spans="2:10">
      <c r="B3005" t="str">
        <f>Master!A185</f>
        <v>Average corporate tax rate</v>
      </c>
      <c r="D3005" s="449">
        <f>Master!R185</f>
        <v>0.27</v>
      </c>
      <c r="E3005" s="449">
        <f>Master!S185</f>
        <v>0.27</v>
      </c>
      <c r="F3005" s="449">
        <f>Master!T185</f>
        <v>0.27</v>
      </c>
      <c r="G3005" s="449">
        <f>Master!U185</f>
        <v>0.27</v>
      </c>
      <c r="H3005" s="449">
        <f>Master!V185</f>
        <v>0.27</v>
      </c>
      <c r="I3005" s="449">
        <f>Master!W185</f>
        <v>0.27</v>
      </c>
    </row>
    <row r="3006" spans="2:10">
      <c r="B3006" t="str">
        <f>Master!A186</f>
        <v>Theoretical  tax charge</v>
      </c>
      <c r="D3006" s="464">
        <f>-Master!R186</f>
        <v>168.38035494251571</v>
      </c>
      <c r="E3006" s="464">
        <f>-Master!S186</f>
        <v>112.185</v>
      </c>
      <c r="F3006" s="464">
        <f>-Master!T186</f>
        <v>105.30000000000001</v>
      </c>
      <c r="G3006" s="464">
        <f>-Master!U186</f>
        <v>125.82000000000001</v>
      </c>
      <c r="H3006" s="464">
        <f>-Master!V186</f>
        <v>86.13000000000001</v>
      </c>
      <c r="I3006" s="464">
        <f>-Master!W186</f>
        <v>67.23</v>
      </c>
    </row>
    <row r="3007" spans="2:10">
      <c r="B3007" s="478" t="s">
        <v>3982</v>
      </c>
      <c r="C3007" s="478"/>
      <c r="D3007" s="464">
        <f t="shared" ref="D3007:I3007" si="350">D3003-D3006</f>
        <v>122.61964505748429</v>
      </c>
      <c r="E3007" s="464">
        <f t="shared" si="350"/>
        <v>138.815</v>
      </c>
      <c r="F3007" s="464">
        <f t="shared" si="350"/>
        <v>146.69999999999999</v>
      </c>
      <c r="G3007" s="464">
        <f t="shared" si="350"/>
        <v>78.179999999999993</v>
      </c>
      <c r="H3007" s="464">
        <f t="shared" si="350"/>
        <v>135.87</v>
      </c>
      <c r="I3007" s="464">
        <f t="shared" si="350"/>
        <v>136.76999999999998</v>
      </c>
    </row>
    <row r="3010" spans="2:9">
      <c r="B3010" s="451" t="s">
        <v>3962</v>
      </c>
      <c r="C3010" s="451"/>
      <c r="D3010" s="451">
        <f t="shared" ref="D3010:I3010" si="351">E2982</f>
        <v>2015</v>
      </c>
      <c r="E3010" s="451">
        <f t="shared" si="351"/>
        <v>2016</v>
      </c>
      <c r="F3010" s="451">
        <f t="shared" si="351"/>
        <v>2017</v>
      </c>
      <c r="G3010" s="451">
        <f t="shared" si="351"/>
        <v>2018</v>
      </c>
      <c r="H3010" s="451">
        <f t="shared" si="351"/>
        <v>2019</v>
      </c>
      <c r="I3010" s="451">
        <f t="shared" si="351"/>
        <v>2020</v>
      </c>
    </row>
    <row r="3011" spans="2:9">
      <c r="B3011" s="478" t="s">
        <v>360</v>
      </c>
      <c r="C3011" s="478"/>
      <c r="D3011" s="464">
        <f>Valuation!E21</f>
        <v>2265.6309442315396</v>
      </c>
      <c r="E3011" s="464">
        <f>Valuation!F21</f>
        <v>2225.5</v>
      </c>
      <c r="F3011" s="464">
        <f>Valuation!G21</f>
        <v>2181</v>
      </c>
      <c r="G3011" s="464">
        <f>Valuation!H21</f>
        <v>2182</v>
      </c>
      <c r="H3011" s="464">
        <f>Valuation!I21</f>
        <v>2550</v>
      </c>
      <c r="I3011" s="464">
        <f>Valuation!J21</f>
        <v>2485</v>
      </c>
    </row>
    <row r="3012" spans="2:9">
      <c r="B3012" s="499" t="s">
        <v>2495</v>
      </c>
      <c r="C3012" s="499"/>
      <c r="D3012" s="464"/>
      <c r="E3012" s="464"/>
      <c r="F3012" s="464"/>
      <c r="G3012" s="464"/>
      <c r="H3012" s="464"/>
      <c r="I3012" s="464"/>
    </row>
    <row r="3013" spans="2:9">
      <c r="B3013" s="478" t="s">
        <v>3347</v>
      </c>
      <c r="C3013" s="478"/>
      <c r="D3013" s="464">
        <f ca="1">Valuation!E22</f>
        <v>-1272.90797223254</v>
      </c>
      <c r="E3013" s="464">
        <f ca="1">Valuation!F22</f>
        <v>-1030.8847425156582</v>
      </c>
      <c r="F3013" s="464">
        <f>Valuation!G22</f>
        <v>-994</v>
      </c>
      <c r="G3013" s="464">
        <f>Valuation!H22</f>
        <v>-998.00000000000011</v>
      </c>
      <c r="H3013" s="464">
        <f ca="1">Valuation!I22</f>
        <v>-1056</v>
      </c>
      <c r="I3013" s="464">
        <f ca="1">Valuation!J22</f>
        <v>-990</v>
      </c>
    </row>
    <row r="3014" spans="2:9">
      <c r="B3014" s="478" t="s">
        <v>3985</v>
      </c>
      <c r="C3014" s="478"/>
      <c r="D3014" s="464">
        <f>Master!R40-Master!R412</f>
        <v>-397</v>
      </c>
      <c r="E3014" s="464">
        <f>Master!S40-Master!S412</f>
        <v>-472</v>
      </c>
      <c r="F3014" s="464">
        <f>Master!T40-Master!T412</f>
        <v>-471</v>
      </c>
      <c r="G3014" s="464">
        <f>Master!U40-Master!U412</f>
        <v>-436</v>
      </c>
      <c r="H3014" s="464">
        <f>Master!V40-Master!V412</f>
        <v>-612</v>
      </c>
      <c r="I3014" s="464">
        <f>Master!W40-Master!W412</f>
        <v>-722</v>
      </c>
    </row>
    <row r="3015" spans="2:9">
      <c r="B3015" s="478" t="s">
        <v>1455</v>
      </c>
      <c r="C3015" s="478"/>
      <c r="D3015" s="464">
        <f>Valuation!E25</f>
        <v>-291</v>
      </c>
      <c r="E3015" s="464">
        <f>Valuation!F25</f>
        <v>-251</v>
      </c>
      <c r="F3015" s="464">
        <f>Valuation!G25</f>
        <v>-252</v>
      </c>
      <c r="G3015" s="464">
        <f>Valuation!H25</f>
        <v>-204</v>
      </c>
      <c r="H3015" s="464">
        <f>Valuation!I25</f>
        <v>-222</v>
      </c>
      <c r="I3015" s="464">
        <f>Valuation!J25</f>
        <v>-204</v>
      </c>
    </row>
    <row r="3016" spans="2:9">
      <c r="B3016" s="478" t="s">
        <v>3952</v>
      </c>
      <c r="C3016" s="478"/>
      <c r="D3016" s="464">
        <f>Master!R107</f>
        <v>-269</v>
      </c>
      <c r="E3016" s="464">
        <f>Master!S107</f>
        <v>-165</v>
      </c>
      <c r="F3016" s="464">
        <f>Master!T107</f>
        <v>-164</v>
      </c>
      <c r="G3016" s="464">
        <f>Master!U107</f>
        <v>-198</v>
      </c>
      <c r="H3016" s="464">
        <f>Master!V107</f>
        <v>-204</v>
      </c>
      <c r="I3016" s="464">
        <f>Master!W107</f>
        <v>-70</v>
      </c>
    </row>
    <row r="3017" spans="2:9">
      <c r="B3017" s="487" t="s">
        <v>3953</v>
      </c>
      <c r="C3017" s="487"/>
      <c r="D3017" s="490">
        <f>Master!R95+Master!R90</f>
        <v>-2022</v>
      </c>
      <c r="E3017" s="490">
        <f>'New (new) quarts'!M501+'New (new) quarts'!N501+'New (new) quarts'!O501+'New (new) quarts'!P501</f>
        <v>0</v>
      </c>
      <c r="F3017" s="490">
        <f>'New (new) quarts'!R501+'New (new) quarts'!S501+'New (new) quarts'!T501+'New (new) quarts'!U501</f>
        <v>-65</v>
      </c>
      <c r="G3017" s="490" t="e">
        <f>'New (new) quarts'!W501+'New (new) quarts'!X501+'New (new) quarts'!Y501+'New (new) quarts'!#REF!</f>
        <v>#REF!</v>
      </c>
      <c r="H3017" s="490">
        <f>Master!V95+Master!V90</f>
        <v>968</v>
      </c>
      <c r="I3017" s="490">
        <f>Master!W95+Master!W90</f>
        <v>460.99999999999989</v>
      </c>
    </row>
    <row r="3018" spans="2:9">
      <c r="B3018" s="478" t="s">
        <v>574</v>
      </c>
      <c r="C3018" s="478"/>
      <c r="D3018" s="464">
        <f ca="1">D3011+SUM(D3013:D3017)</f>
        <v>-1986.2770280010009</v>
      </c>
      <c r="E3018" s="464">
        <f ca="1">E3011+SUM(E3013:E3017)</f>
        <v>306.61525748434178</v>
      </c>
      <c r="F3018" s="464">
        <f t="shared" ref="F3018:G3018" si="352">F3011+SUM(F3013:F3017)</f>
        <v>235</v>
      </c>
      <c r="G3018" s="464" t="e">
        <f t="shared" si="352"/>
        <v>#REF!</v>
      </c>
      <c r="H3018" s="464">
        <f ca="1">H3011+SUM(H3013:H3017)</f>
        <v>1424</v>
      </c>
      <c r="I3018" s="464">
        <f ca="1">I3011+SUM(I3013:I3017)</f>
        <v>960</v>
      </c>
    </row>
    <row r="3020" spans="2:9">
      <c r="B3020" s="487" t="s">
        <v>538</v>
      </c>
      <c r="C3020" s="487"/>
      <c r="D3020" s="490">
        <f>Master!R109</f>
        <v>-263.73599999999999</v>
      </c>
      <c r="E3020" s="490">
        <f>Master!S109</f>
        <v>-263.73599999999999</v>
      </c>
      <c r="F3020" s="490">
        <f>Master!T109</f>
        <v>-263.73599999999999</v>
      </c>
      <c r="G3020" s="490">
        <f>Master!U109</f>
        <v>-263.73599999999999</v>
      </c>
      <c r="H3020" s="490">
        <f>Master!V109</f>
        <v>-263.73599999999999</v>
      </c>
      <c r="I3020" s="490">
        <f>Master!W109</f>
        <v>0</v>
      </c>
    </row>
    <row r="3021" spans="2:9">
      <c r="B3021" s="478" t="s">
        <v>5500</v>
      </c>
      <c r="C3021" s="478"/>
      <c r="D3021" s="464">
        <f ca="1">D3018+D3020</f>
        <v>-2250.0130280010007</v>
      </c>
      <c r="E3021" s="464">
        <f ca="1">E3018+E3020</f>
        <v>42.879257484341792</v>
      </c>
      <c r="F3021" s="464">
        <f t="shared" ref="F3021:G3021" si="353">F3018+F3020</f>
        <v>-28.73599999999999</v>
      </c>
      <c r="G3021" s="464" t="e">
        <f t="shared" si="353"/>
        <v>#REF!</v>
      </c>
      <c r="H3021" s="464">
        <f ca="1">H3018+H3020</f>
        <v>1160.2640000000001</v>
      </c>
      <c r="I3021" s="464">
        <f ca="1">I3018+I3020</f>
        <v>960</v>
      </c>
    </row>
    <row r="3023" spans="2:9">
      <c r="B3023" s="478" t="s">
        <v>4415</v>
      </c>
      <c r="C3023" s="478"/>
      <c r="D3023" s="464">
        <f>Valuation!E16</f>
        <v>4295</v>
      </c>
      <c r="E3023" s="464">
        <f>Valuation!F16</f>
        <v>4187</v>
      </c>
      <c r="F3023" s="464">
        <f>Valuation!G16</f>
        <v>4073</v>
      </c>
      <c r="G3023" s="464">
        <f>Valuation!H16</f>
        <v>5133</v>
      </c>
      <c r="H3023" s="464">
        <f>Valuation!I16</f>
        <v>7236</v>
      </c>
      <c r="I3023" s="464">
        <f>Valuation!J16</f>
        <v>6631</v>
      </c>
    </row>
    <row r="3024" spans="2:9">
      <c r="B3024" s="478" t="s">
        <v>4416</v>
      </c>
      <c r="C3024" s="478"/>
      <c r="D3024" s="1102">
        <f t="shared" ref="D3024:I3024" si="354">D3023/D3011</f>
        <v>1.8957191642069424</v>
      </c>
      <c r="E3024" s="1102">
        <f t="shared" si="354"/>
        <v>1.8813749719164232</v>
      </c>
      <c r="F3024" s="1102">
        <f t="shared" si="354"/>
        <v>1.8674919761577258</v>
      </c>
      <c r="G3024" s="1102">
        <f t="shared" si="354"/>
        <v>2.352428964252979</v>
      </c>
      <c r="H3024" s="1102">
        <f t="shared" si="354"/>
        <v>2.8376470588235296</v>
      </c>
      <c r="I3024" s="1102">
        <f t="shared" si="354"/>
        <v>2.6684104627766598</v>
      </c>
    </row>
    <row r="3026" spans="2:16">
      <c r="B3026" s="451" t="s">
        <v>3968</v>
      </c>
      <c r="C3026" s="451"/>
      <c r="D3026" s="451">
        <f t="shared" ref="D3026:I3026" si="355">D3010</f>
        <v>2015</v>
      </c>
      <c r="E3026" s="451">
        <f t="shared" si="355"/>
        <v>2016</v>
      </c>
      <c r="F3026" s="451">
        <f t="shared" si="355"/>
        <v>2017</v>
      </c>
      <c r="G3026" s="451">
        <f t="shared" si="355"/>
        <v>2018</v>
      </c>
      <c r="H3026" s="451">
        <f t="shared" si="355"/>
        <v>2019</v>
      </c>
      <c r="I3026" s="451">
        <f t="shared" si="355"/>
        <v>2020</v>
      </c>
    </row>
    <row r="3027" spans="2:16">
      <c r="B3027" s="478" t="s">
        <v>150</v>
      </c>
      <c r="C3027" s="478"/>
      <c r="D3027" s="464" t="e">
        <f>Valuation!#REF!</f>
        <v>#REF!</v>
      </c>
      <c r="E3027" s="464" t="e">
        <f>Valuation!#REF!</f>
        <v>#REF!</v>
      </c>
      <c r="F3027" s="464" t="e">
        <f>Valuation!#REF!</f>
        <v>#REF!</v>
      </c>
      <c r="G3027" s="464" t="e">
        <f>Valuation!#REF!</f>
        <v>#REF!</v>
      </c>
      <c r="H3027" s="464" t="e">
        <f>Valuation!#REF!</f>
        <v>#REF!</v>
      </c>
      <c r="I3027" s="464" t="e">
        <f>Valuation!#REF!</f>
        <v>#REF!</v>
      </c>
      <c r="K3027" s="464" t="e">
        <f>Valuation!#REF!</f>
        <v>#REF!</v>
      </c>
      <c r="L3027" s="464" t="e">
        <f>Valuation!#REF!</f>
        <v>#REF!</v>
      </c>
      <c r="M3027" s="464" t="e">
        <f>Valuation!#REF!</f>
        <v>#REF!</v>
      </c>
      <c r="N3027" s="464" t="e">
        <f>Valuation!#REF!</f>
        <v>#REF!</v>
      </c>
      <c r="O3027" s="464" t="e">
        <f>Valuation!#REF!</f>
        <v>#REF!</v>
      </c>
      <c r="P3027" s="464" t="e">
        <f>Valuation!#REF!</f>
        <v>#REF!</v>
      </c>
    </row>
    <row r="3028" spans="2:16">
      <c r="B3028" s="478" t="s">
        <v>3955</v>
      </c>
      <c r="C3028" s="478"/>
      <c r="D3028" s="464"/>
      <c r="E3028" s="464">
        <v>3769.4725005406117</v>
      </c>
      <c r="F3028" s="464">
        <v>3800.2636366269398</v>
      </c>
      <c r="G3028" s="464">
        <v>3727.9033883119405</v>
      </c>
      <c r="H3028" s="464">
        <v>3600.9103833792897</v>
      </c>
      <c r="I3028" s="464">
        <v>3333.1676996041087</v>
      </c>
    </row>
    <row r="3029" spans="2:16">
      <c r="B3029" s="478"/>
      <c r="C3029" s="478"/>
      <c r="D3029" s="464"/>
      <c r="E3029" s="464"/>
      <c r="F3029" s="464"/>
      <c r="G3029" s="464"/>
      <c r="H3029" s="464"/>
      <c r="I3029" s="464"/>
    </row>
    <row r="3030" spans="2:16">
      <c r="B3030" s="478" t="s">
        <v>360</v>
      </c>
      <c r="C3030" s="478"/>
      <c r="D3030" s="464"/>
      <c r="E3030" s="464" t="e">
        <f>Valuation!#REF!</f>
        <v>#REF!</v>
      </c>
      <c r="F3030" s="464" t="e">
        <f>Valuation!#REF!</f>
        <v>#REF!</v>
      </c>
      <c r="G3030" s="464" t="e">
        <f>Valuation!#REF!</f>
        <v>#REF!</v>
      </c>
      <c r="H3030" s="464" t="e">
        <f>Valuation!#REF!</f>
        <v>#REF!</v>
      </c>
      <c r="I3030" s="464" t="e">
        <f>Valuation!#REF!</f>
        <v>#REF!</v>
      </c>
    </row>
    <row r="3031" spans="2:16">
      <c r="B3031" s="478"/>
      <c r="C3031" s="478"/>
      <c r="D3031" s="464"/>
      <c r="E3031" s="464"/>
      <c r="F3031" s="464"/>
      <c r="G3031" s="464"/>
      <c r="H3031" s="464"/>
      <c r="I3031" s="464"/>
    </row>
    <row r="3032" spans="2:16">
      <c r="B3032" s="478" t="s">
        <v>614</v>
      </c>
      <c r="C3032" s="478"/>
      <c r="D3032" s="464"/>
      <c r="E3032" s="999" t="e">
        <f>E3027/E3030</f>
        <v>#REF!</v>
      </c>
      <c r="F3032" s="999" t="e">
        <f>F3027/F3030</f>
        <v>#REF!</v>
      </c>
      <c r="G3032" s="999" t="e">
        <f>G3027/G3030</f>
        <v>#REF!</v>
      </c>
      <c r="H3032" s="999" t="e">
        <f>H3027/H3030</f>
        <v>#REF!</v>
      </c>
      <c r="I3032" s="999" t="e">
        <f>I3027/I3030</f>
        <v>#REF!</v>
      </c>
    </row>
    <row r="3033" spans="2:16">
      <c r="B3033" s="478" t="s">
        <v>3954</v>
      </c>
      <c r="C3033" s="478"/>
      <c r="E3033" s="999" t="e">
        <f>E3028/E3030</f>
        <v>#REF!</v>
      </c>
      <c r="F3033" s="999" t="e">
        <f>F3028/F3030</f>
        <v>#REF!</v>
      </c>
      <c r="G3033" s="999" t="e">
        <f>G3028/G3030</f>
        <v>#REF!</v>
      </c>
      <c r="H3033" s="999" t="e">
        <f>H3028/H3030</f>
        <v>#REF!</v>
      </c>
      <c r="I3033" s="999" t="e">
        <f>I3028/I3030</f>
        <v>#REF!</v>
      </c>
    </row>
    <row r="3034" spans="2:16">
      <c r="B3034" s="478"/>
      <c r="C3034" s="478"/>
    </row>
    <row r="3035" spans="2:16">
      <c r="B3035" s="451" t="s">
        <v>3963</v>
      </c>
      <c r="C3035" s="451"/>
      <c r="D3035" s="451">
        <f t="shared" ref="D3035:I3035" si="356">D3026</f>
        <v>2015</v>
      </c>
      <c r="E3035" s="451">
        <f t="shared" si="356"/>
        <v>2016</v>
      </c>
      <c r="F3035" s="451">
        <f t="shared" si="356"/>
        <v>2017</v>
      </c>
      <c r="G3035" s="451">
        <f t="shared" si="356"/>
        <v>2018</v>
      </c>
      <c r="H3035" s="451">
        <f t="shared" si="356"/>
        <v>2019</v>
      </c>
      <c r="I3035" s="451">
        <f t="shared" si="356"/>
        <v>2020</v>
      </c>
      <c r="L3035" s="487" t="s">
        <v>3961</v>
      </c>
      <c r="M3035" s="508" t="s">
        <v>3957</v>
      </c>
      <c r="N3035" s="508" t="s">
        <v>3960</v>
      </c>
      <c r="O3035" s="508" t="s">
        <v>2808</v>
      </c>
    </row>
    <row r="3036" spans="2:16">
      <c r="B3036" s="478" t="s">
        <v>134</v>
      </c>
      <c r="C3036" s="478"/>
      <c r="D3036" s="464">
        <f>Master!R585-CA!P186-CA!P273</f>
        <v>4010</v>
      </c>
      <c r="E3036" s="464">
        <f>Master!S585-CA!Q186-CA!Q273</f>
        <v>3900</v>
      </c>
      <c r="F3036" s="464">
        <f>Master!T585-CA!R186-CA!R273</f>
        <v>3785</v>
      </c>
      <c r="G3036" s="464">
        <f>Master!U585-CA!S186-CA!S273</f>
        <v>4763</v>
      </c>
      <c r="H3036" s="464">
        <f>Master!V585-CA!T186-CA!T273</f>
        <v>7036</v>
      </c>
      <c r="I3036" s="464">
        <f>Master!W585-CA!U186-CA!U273</f>
        <v>6710</v>
      </c>
      <c r="L3036" s="478" t="s">
        <v>3959</v>
      </c>
      <c r="M3036">
        <f>Master!R585</f>
        <v>5385</v>
      </c>
      <c r="N3036" s="464">
        <f>Master!R424</f>
        <v>4295</v>
      </c>
      <c r="O3036" s="464">
        <f>M3036-N3036</f>
        <v>1090</v>
      </c>
    </row>
    <row r="3037" spans="2:16">
      <c r="B3037" s="487" t="s">
        <v>3956</v>
      </c>
      <c r="C3037" s="487"/>
      <c r="D3037" s="490" t="e">
        <f t="shared" ref="D3037:I3037" si="357">D3036-D3038</f>
        <v>#REF!</v>
      </c>
      <c r="E3037" s="490" t="e">
        <f t="shared" si="357"/>
        <v>#REF!</v>
      </c>
      <c r="F3037" s="490" t="e">
        <f t="shared" si="357"/>
        <v>#REF!</v>
      </c>
      <c r="G3037" s="490" t="e">
        <f t="shared" si="357"/>
        <v>#REF!</v>
      </c>
      <c r="H3037" s="490" t="e">
        <f t="shared" si="357"/>
        <v>#REF!</v>
      </c>
      <c r="I3037" s="490" t="e">
        <f t="shared" si="357"/>
        <v>#REF!</v>
      </c>
      <c r="L3037" s="478" t="s">
        <v>2186</v>
      </c>
      <c r="M3037">
        <f>CA!P186</f>
        <v>984</v>
      </c>
      <c r="N3037" s="454">
        <f>CA!P190</f>
        <v>829</v>
      </c>
      <c r="O3037" s="464">
        <f>M3037-N3037</f>
        <v>155</v>
      </c>
    </row>
    <row r="3038" spans="2:16">
      <c r="B3038" s="478" t="s">
        <v>150</v>
      </c>
      <c r="C3038" s="478"/>
      <c r="D3038" s="491" t="e">
        <f t="shared" ref="D3038:I3038" si="358">D3027</f>
        <v>#REF!</v>
      </c>
      <c r="E3038" s="491" t="e">
        <f t="shared" si="358"/>
        <v>#REF!</v>
      </c>
      <c r="F3038" s="491" t="e">
        <f t="shared" si="358"/>
        <v>#REF!</v>
      </c>
      <c r="G3038" s="491" t="e">
        <f t="shared" si="358"/>
        <v>#REF!</v>
      </c>
      <c r="H3038" s="491" t="e">
        <f t="shared" si="358"/>
        <v>#REF!</v>
      </c>
      <c r="I3038" s="491" t="e">
        <f t="shared" si="358"/>
        <v>#REF!</v>
      </c>
      <c r="L3038" s="487" t="s">
        <v>2187</v>
      </c>
      <c r="M3038" s="455">
        <f>CA!P273</f>
        <v>391</v>
      </c>
      <c r="N3038" s="462">
        <f>CA!P275</f>
        <v>378</v>
      </c>
      <c r="O3038" s="490">
        <f>M3038-N3038</f>
        <v>13</v>
      </c>
    </row>
    <row r="3039" spans="2:16">
      <c r="B3039" s="478"/>
      <c r="C3039" s="478"/>
      <c r="L3039" s="478" t="s">
        <v>3958</v>
      </c>
      <c r="M3039">
        <f>M3036-M3037-M3038</f>
        <v>4010</v>
      </c>
      <c r="N3039" s="454">
        <f>N3036-N3037-N3038</f>
        <v>3088</v>
      </c>
      <c r="O3039" s="454">
        <f>O3036-O3037-O3038</f>
        <v>922</v>
      </c>
    </row>
    <row r="3040" spans="2:16">
      <c r="B3040" s="451" t="s">
        <v>3973</v>
      </c>
      <c r="C3040" s="451"/>
      <c r="D3040" s="451">
        <v>2014</v>
      </c>
      <c r="E3040" s="451">
        <f>D3040+1</f>
        <v>2015</v>
      </c>
      <c r="F3040" s="451">
        <f>E3040+1</f>
        <v>2016</v>
      </c>
      <c r="G3040" s="451">
        <f>F3040+1</f>
        <v>2017</v>
      </c>
      <c r="H3040" s="451">
        <f>G3040+1</f>
        <v>2018</v>
      </c>
      <c r="I3040" s="451">
        <f>H3040+1</f>
        <v>2019</v>
      </c>
      <c r="L3040" s="478"/>
      <c r="N3040" s="454"/>
      <c r="O3040" s="454"/>
    </row>
    <row r="3041" spans="2:15">
      <c r="B3041" s="478" t="str">
        <f>Master!A538</f>
        <v>SEK1.75bn floating</v>
      </c>
      <c r="C3041" s="478"/>
      <c r="D3041" s="464">
        <f>Master!Q566</f>
        <v>226</v>
      </c>
      <c r="E3041" s="464">
        <f>Master!R566</f>
        <v>207</v>
      </c>
      <c r="F3041" s="464">
        <f>Master!S566</f>
        <v>0</v>
      </c>
      <c r="G3041" s="464">
        <f>Master!T566</f>
        <v>0</v>
      </c>
      <c r="H3041" s="464">
        <f>Master!U566</f>
        <v>0</v>
      </c>
      <c r="I3041" s="464">
        <f>Master!V566</f>
        <v>0</v>
      </c>
      <c r="L3041" s="478"/>
      <c r="N3041" s="454"/>
      <c r="O3041" s="454"/>
    </row>
    <row r="3042" spans="2:15">
      <c r="B3042" s="478" t="str">
        <f>Master!A539</f>
        <v>SEK0.25bn 5.125%</v>
      </c>
      <c r="C3042" s="478"/>
      <c r="D3042" s="464">
        <f>Master!Q567</f>
        <v>30</v>
      </c>
      <c r="E3042" s="464">
        <f>Master!R567</f>
        <v>27</v>
      </c>
      <c r="F3042" s="464">
        <f>Master!S567</f>
        <v>0</v>
      </c>
      <c r="G3042" s="464">
        <f>Master!T567</f>
        <v>0</v>
      </c>
      <c r="H3042" s="464">
        <f>Master!U567</f>
        <v>0</v>
      </c>
      <c r="I3042" s="464">
        <f>Master!V567</f>
        <v>0</v>
      </c>
      <c r="L3042" s="478"/>
      <c r="N3042" s="454"/>
      <c r="O3042" s="454"/>
    </row>
    <row r="3043" spans="2:15">
      <c r="B3043" s="478" t="str">
        <f>Master!A540</f>
        <v>Bolivia 4.75% (BOL)</v>
      </c>
      <c r="C3043" s="478"/>
      <c r="D3043" s="464">
        <f>Master!Q568</f>
        <v>156</v>
      </c>
      <c r="E3043" s="464">
        <f>Master!R568</f>
        <v>235</v>
      </c>
      <c r="F3043" s="464">
        <f>Master!S568</f>
        <v>287</v>
      </c>
      <c r="G3043" s="464">
        <f>Master!T568</f>
        <v>335</v>
      </c>
      <c r="H3043" s="464">
        <f>Master!U568</f>
        <v>281</v>
      </c>
      <c r="I3043" s="464">
        <f>Master!V568</f>
        <v>256</v>
      </c>
      <c r="L3043" s="478"/>
      <c r="N3043" s="454"/>
      <c r="O3043" s="454"/>
    </row>
    <row r="3044" spans="2:15">
      <c r="B3044" s="478" t="str">
        <f>Master!A541</f>
        <v>Paraguay 6.75% 2022</v>
      </c>
      <c r="C3044" s="478"/>
      <c r="D3044" s="464">
        <f>Master!Q569</f>
        <v>294</v>
      </c>
      <c r="E3044" s="464">
        <f>Master!R569</f>
        <v>295</v>
      </c>
      <c r="F3044" s="464">
        <f>Master!S569</f>
        <v>296</v>
      </c>
      <c r="G3044" s="464">
        <f>Master!T569</f>
        <v>296</v>
      </c>
      <c r="H3044" s="464">
        <f>Master!U569</f>
        <v>297</v>
      </c>
      <c r="I3044" s="464">
        <f>Master!V569</f>
        <v>0</v>
      </c>
      <c r="L3044" s="478"/>
      <c r="N3044" s="454"/>
      <c r="O3044" s="454"/>
    </row>
    <row r="3045" spans="2:15">
      <c r="B3045" s="478" t="str">
        <f>Master!A542</f>
        <v>$ 4.75% bond</v>
      </c>
      <c r="C3045" s="478"/>
      <c r="D3045" s="464">
        <f>Master!Q570</f>
        <v>492</v>
      </c>
      <c r="E3045" s="464">
        <f>Master!R570</f>
        <v>486</v>
      </c>
      <c r="F3045" s="464">
        <f>Master!S570</f>
        <v>333</v>
      </c>
      <c r="G3045" s="464">
        <f>Master!T570</f>
        <v>0</v>
      </c>
      <c r="H3045" s="464">
        <f>Master!U570</f>
        <v>0</v>
      </c>
      <c r="I3045" s="464">
        <f>Master!V570</f>
        <v>0</v>
      </c>
      <c r="L3045" s="478"/>
      <c r="N3045" s="454"/>
      <c r="O3045" s="454"/>
    </row>
    <row r="3046" spans="2:15">
      <c r="B3046" s="478" t="str">
        <f>Master!A543</f>
        <v>$ 6.625% notes</v>
      </c>
      <c r="C3046" s="478"/>
      <c r="D3046" s="464">
        <f>Master!Q571</f>
        <v>791</v>
      </c>
      <c r="E3046" s="464">
        <f>Master!R571</f>
        <v>791</v>
      </c>
      <c r="F3046" s="464">
        <f>Master!S571</f>
        <v>652</v>
      </c>
      <c r="G3046" s="464">
        <f>Master!T571</f>
        <v>0</v>
      </c>
      <c r="H3046" s="464">
        <f>Master!U571</f>
        <v>0</v>
      </c>
      <c r="I3046" s="464">
        <f>Master!V571</f>
        <v>0</v>
      </c>
      <c r="L3046" s="478"/>
      <c r="N3046" s="454"/>
      <c r="O3046" s="454"/>
    </row>
    <row r="3047" spans="2:15">
      <c r="B3047" s="478" t="str">
        <f>Master!A544</f>
        <v>UNE bonds, 7.33%-8.76% (COP)</v>
      </c>
      <c r="C3047" s="478"/>
      <c r="D3047" s="464">
        <f>Master!Q572</f>
        <v>253</v>
      </c>
      <c r="E3047" s="464">
        <f>Master!R572</f>
        <v>141</v>
      </c>
      <c r="F3047" s="464">
        <f>Master!S572</f>
        <v>281</v>
      </c>
      <c r="G3047" s="464">
        <f>Master!T572</f>
        <v>282</v>
      </c>
      <c r="H3047" s="464">
        <f>Master!U572</f>
        <v>258</v>
      </c>
      <c r="I3047" s="464">
        <f>Master!V572</f>
        <v>237.08320633953062</v>
      </c>
      <c r="L3047" s="478"/>
      <c r="N3047" s="454"/>
      <c r="O3047" s="454"/>
    </row>
    <row r="3048" spans="2:15">
      <c r="B3048" s="478" t="str">
        <f>Master!A546</f>
        <v>$500m 6.0% (Lux), 2025</v>
      </c>
      <c r="C3048" s="478"/>
      <c r="D3048" s="464">
        <f>Master!Q574</f>
        <v>0</v>
      </c>
      <c r="E3048" s="464">
        <f>Master!R574</f>
        <v>494</v>
      </c>
      <c r="F3048" s="464">
        <f>Master!S574</f>
        <v>495</v>
      </c>
      <c r="G3048" s="464">
        <f>Master!T574</f>
        <v>496</v>
      </c>
      <c r="H3048" s="464">
        <f>Master!U574</f>
        <v>491</v>
      </c>
      <c r="I3048" s="464">
        <f>Master!V574</f>
        <v>491</v>
      </c>
      <c r="L3048" s="478"/>
      <c r="N3048" s="454"/>
      <c r="O3048" s="454"/>
    </row>
    <row r="3049" spans="2:15">
      <c r="B3049" s="478" t="str">
        <f>Master!A537</f>
        <v>Towers lease liability</v>
      </c>
      <c r="C3049" s="478"/>
      <c r="D3049" s="464">
        <f>Master!Q565</f>
        <v>272</v>
      </c>
      <c r="E3049" s="464">
        <f>Master!R565</f>
        <v>336</v>
      </c>
      <c r="F3049" s="464">
        <f>Master!S565</f>
        <v>295</v>
      </c>
      <c r="G3049" s="464">
        <f>Master!T565</f>
        <v>295</v>
      </c>
      <c r="H3049" s="464">
        <f>Master!U565</f>
        <v>382.5</v>
      </c>
      <c r="I3049" s="464">
        <f>Master!V565</f>
        <v>382.5</v>
      </c>
      <c r="L3049" s="478"/>
      <c r="N3049" s="454"/>
      <c r="O3049" s="454"/>
    </row>
    <row r="3050" spans="2:15">
      <c r="B3050" s="478" t="s">
        <v>3969</v>
      </c>
      <c r="C3050" s="478"/>
      <c r="D3050" s="464">
        <f ca="1">Master!Q563-D3057</f>
        <v>846</v>
      </c>
      <c r="E3050" s="464">
        <f ca="1">Master!R563-E3057</f>
        <v>1021</v>
      </c>
      <c r="F3050" s="464">
        <f ca="1">Master!S563-F3057</f>
        <v>1288</v>
      </c>
      <c r="G3050" s="464">
        <f ca="1">Master!T563-G3057</f>
        <v>1588</v>
      </c>
      <c r="H3050" s="464">
        <f ca="1">Master!U563-H3057</f>
        <v>1828.5</v>
      </c>
      <c r="I3050" s="464">
        <f ca="1">Master!V563-I3057</f>
        <v>1460.9876438628989</v>
      </c>
      <c r="L3050" s="478"/>
      <c r="N3050" s="454"/>
      <c r="O3050" s="454"/>
    </row>
    <row r="3051" spans="2:15">
      <c r="B3051" s="478" t="str">
        <f>Master!A548</f>
        <v>Lux $500m 5.125% 2028</v>
      </c>
      <c r="C3051" s="478"/>
      <c r="D3051" s="464">
        <f>Master!Q604</f>
        <v>0</v>
      </c>
      <c r="E3051" s="464">
        <f>Master!R604</f>
        <v>0</v>
      </c>
      <c r="F3051" s="464">
        <f>Master!S576</f>
        <v>0</v>
      </c>
      <c r="G3051" s="464">
        <f>Master!T576</f>
        <v>494</v>
      </c>
      <c r="H3051" s="464">
        <f>Master!U576</f>
        <v>493</v>
      </c>
      <c r="I3051" s="464">
        <f>Master!V576</f>
        <v>493</v>
      </c>
      <c r="L3051" s="478"/>
      <c r="N3051" s="454"/>
      <c r="O3051" s="454"/>
    </row>
    <row r="3052" spans="2:15">
      <c r="B3052" s="487" t="str">
        <f>Master!A549</f>
        <v>$500m 6.625% (Lux), 2026</v>
      </c>
      <c r="C3052" s="487"/>
      <c r="D3052" s="490">
        <f>Master!Q605</f>
        <v>0</v>
      </c>
      <c r="E3052" s="490">
        <f>Master!R605</f>
        <v>0</v>
      </c>
      <c r="F3052" s="490">
        <f>Master!S577</f>
        <v>0</v>
      </c>
      <c r="G3052" s="490">
        <f>Master!T577</f>
        <v>0</v>
      </c>
      <c r="H3052" s="490">
        <f>Master!U577</f>
        <v>495</v>
      </c>
      <c r="I3052" s="490">
        <f>Master!V577</f>
        <v>495</v>
      </c>
      <c r="L3052" s="478"/>
      <c r="N3052" s="454"/>
      <c r="O3052" s="454"/>
    </row>
    <row r="3053" spans="2:15">
      <c r="B3053" s="478" t="s">
        <v>3972</v>
      </c>
      <c r="C3053" s="478"/>
      <c r="D3053" s="464">
        <f t="shared" ref="D3053:I3053" ca="1" si="359">SUM(D3041:D3052)</f>
        <v>3360</v>
      </c>
      <c r="E3053" s="464">
        <f t="shared" ca="1" si="359"/>
        <v>4033</v>
      </c>
      <c r="F3053" s="464">
        <f t="shared" ca="1" si="359"/>
        <v>3927</v>
      </c>
      <c r="G3053" s="464">
        <f t="shared" ca="1" si="359"/>
        <v>3786</v>
      </c>
      <c r="H3053" s="464">
        <f t="shared" ca="1" si="359"/>
        <v>4526</v>
      </c>
      <c r="I3053" s="464">
        <f t="shared" ca="1" si="359"/>
        <v>3815.5708502024295</v>
      </c>
      <c r="L3053" s="478"/>
      <c r="N3053" s="454"/>
      <c r="O3053" s="454"/>
    </row>
    <row r="3054" spans="2:15">
      <c r="B3054" s="499" t="s">
        <v>3970</v>
      </c>
      <c r="C3054" s="499"/>
      <c r="D3054" s="464"/>
      <c r="E3054" s="464"/>
      <c r="F3054" s="464"/>
      <c r="G3054" s="464"/>
      <c r="H3054" s="464"/>
      <c r="I3054" s="464"/>
      <c r="L3054" s="478"/>
      <c r="N3054" s="454"/>
      <c r="O3054" s="454"/>
    </row>
    <row r="3055" spans="2:15">
      <c r="B3055" s="478" t="str">
        <f>Master!A545</f>
        <v>Guatemala $ 6.875%</v>
      </c>
      <c r="C3055" s="478"/>
      <c r="D3055" s="464">
        <f>Master!Q573</f>
        <v>781</v>
      </c>
      <c r="E3055" s="464">
        <f>Master!R573</f>
        <v>781</v>
      </c>
      <c r="F3055" s="464">
        <f>Master!S573</f>
        <v>781</v>
      </c>
      <c r="G3055" s="464">
        <f>Master!T573</f>
        <v>800</v>
      </c>
      <c r="H3055" s="464">
        <f>Master!U573</f>
        <v>800</v>
      </c>
      <c r="I3055" s="464">
        <f>Master!V573</f>
        <v>800</v>
      </c>
      <c r="L3055" s="478"/>
      <c r="N3055" s="454"/>
      <c r="O3055" s="454"/>
    </row>
    <row r="3056" spans="2:15">
      <c r="B3056" s="478" t="str">
        <f>Master!A547</f>
        <v>Guatemala facility</v>
      </c>
      <c r="C3056" s="478"/>
      <c r="D3056" s="464">
        <f>Master!Q575</f>
        <v>0</v>
      </c>
      <c r="E3056" s="464">
        <f>Master!R575</f>
        <v>180</v>
      </c>
      <c r="F3056" s="464">
        <f>Master!S575</f>
        <v>180</v>
      </c>
      <c r="G3056" s="464">
        <f>Master!T575</f>
        <v>180</v>
      </c>
      <c r="H3056" s="464">
        <f>Master!U575</f>
        <v>180</v>
      </c>
      <c r="I3056" s="464">
        <f>Master!V575</f>
        <v>180</v>
      </c>
      <c r="L3056" s="478"/>
      <c r="N3056" s="454"/>
      <c r="O3056" s="454"/>
    </row>
    <row r="3057" spans="2:15">
      <c r="B3057" s="487" t="s">
        <v>2380</v>
      </c>
      <c r="C3057" s="487"/>
      <c r="D3057" s="490">
        <f>CA!O273</f>
        <v>384</v>
      </c>
      <c r="E3057" s="490">
        <f>CA!P273</f>
        <v>391</v>
      </c>
      <c r="F3057" s="490">
        <f>CA!Q273</f>
        <v>402</v>
      </c>
      <c r="G3057" s="490">
        <f>CA!R273</f>
        <v>402</v>
      </c>
      <c r="H3057" s="490">
        <f>CA!S273</f>
        <v>383</v>
      </c>
      <c r="I3057" s="490">
        <f>CA!T273</f>
        <v>423</v>
      </c>
      <c r="L3057" s="478"/>
      <c r="N3057" s="454"/>
      <c r="O3057" s="454"/>
    </row>
    <row r="3058" spans="2:15">
      <c r="B3058" s="478" t="s">
        <v>3971</v>
      </c>
      <c r="C3058" s="478"/>
      <c r="D3058" s="464">
        <f t="shared" ref="D3058:I3058" ca="1" si="360">D3053+SUM(D3055:D3057)</f>
        <v>4525</v>
      </c>
      <c r="E3058" s="464">
        <f t="shared" ca="1" si="360"/>
        <v>5385</v>
      </c>
      <c r="F3058" s="464">
        <f t="shared" ca="1" si="360"/>
        <v>5290</v>
      </c>
      <c r="G3058" s="464">
        <f t="shared" ca="1" si="360"/>
        <v>5168</v>
      </c>
      <c r="H3058" s="464">
        <f t="shared" ca="1" si="360"/>
        <v>5889</v>
      </c>
      <c r="I3058" s="464">
        <f t="shared" ca="1" si="360"/>
        <v>5218.5708502024299</v>
      </c>
      <c r="L3058" s="478"/>
      <c r="N3058" s="454"/>
      <c r="O3058" s="454"/>
    </row>
    <row r="3059" spans="2:15">
      <c r="L3059" s="478"/>
      <c r="N3059" s="454"/>
      <c r="O3059" s="454"/>
    </row>
    <row r="3060" spans="2:15">
      <c r="B3060" s="478" t="s">
        <v>3975</v>
      </c>
      <c r="C3060" s="478"/>
      <c r="D3060" s="464">
        <f>Master!Q418</f>
        <v>831</v>
      </c>
      <c r="E3060" s="464">
        <f>Master!R418</f>
        <v>1090</v>
      </c>
      <c r="F3060" s="464">
        <f>Master!S418</f>
        <v>1103</v>
      </c>
      <c r="G3060" s="464">
        <f>Master!T418</f>
        <v>1095</v>
      </c>
      <c r="H3060" s="464">
        <f>Master!U418</f>
        <v>940</v>
      </c>
      <c r="I3060" s="464">
        <f>Master!V418</f>
        <v>1395</v>
      </c>
      <c r="L3060" s="478"/>
      <c r="N3060" s="454"/>
      <c r="O3060" s="454"/>
    </row>
    <row r="3061" spans="2:15">
      <c r="B3061" s="499" t="s">
        <v>3970</v>
      </c>
      <c r="C3061" s="499"/>
      <c r="L3061" s="478"/>
      <c r="N3061" s="454"/>
      <c r="O3061" s="454"/>
    </row>
    <row r="3062" spans="2:15">
      <c r="B3062" s="478" t="s">
        <v>2379</v>
      </c>
      <c r="C3062" s="478"/>
      <c r="D3062">
        <f>CA!O189</f>
        <v>40</v>
      </c>
      <c r="E3062" s="454">
        <f>CA!P189</f>
        <v>155</v>
      </c>
      <c r="F3062" s="454">
        <f>CA!Q189</f>
        <v>289</v>
      </c>
      <c r="G3062" s="454">
        <f>CA!R189</f>
        <v>318</v>
      </c>
      <c r="H3062" s="454">
        <f>CA!S189</f>
        <v>221</v>
      </c>
      <c r="I3062" s="454">
        <f>CA!T189</f>
        <v>189</v>
      </c>
      <c r="L3062" s="478"/>
      <c r="N3062" s="454"/>
      <c r="O3062" s="454"/>
    </row>
    <row r="3063" spans="2:15">
      <c r="B3063" s="487" t="s">
        <v>2380</v>
      </c>
      <c r="C3063" s="487"/>
      <c r="D3063" s="455">
        <f>CA!O274</f>
        <v>40</v>
      </c>
      <c r="E3063" s="462">
        <f>CA!P274</f>
        <v>13</v>
      </c>
      <c r="F3063" s="462">
        <f>CA!Q274</f>
        <v>13</v>
      </c>
      <c r="G3063" s="462">
        <f>CA!R274</f>
        <v>13</v>
      </c>
      <c r="H3063" s="462">
        <f>CA!S274</f>
        <v>25</v>
      </c>
      <c r="I3063" s="462">
        <f>CA!T274</f>
        <v>40</v>
      </c>
    </row>
    <row r="3064" spans="2:15">
      <c r="B3064" s="478" t="s">
        <v>3976</v>
      </c>
      <c r="C3064" s="478"/>
      <c r="D3064" s="464">
        <f t="shared" ref="D3064:I3064" si="361">D3060-D3062-D3063</f>
        <v>751</v>
      </c>
      <c r="E3064" s="454">
        <f t="shared" si="361"/>
        <v>922</v>
      </c>
      <c r="F3064" s="454">
        <f t="shared" si="361"/>
        <v>801</v>
      </c>
      <c r="G3064" s="454">
        <f t="shared" si="361"/>
        <v>764</v>
      </c>
      <c r="H3064" s="454">
        <f t="shared" si="361"/>
        <v>694</v>
      </c>
      <c r="I3064" s="454">
        <f t="shared" si="361"/>
        <v>1166</v>
      </c>
    </row>
    <row r="3065" spans="2:15">
      <c r="B3065" s="478"/>
      <c r="C3065" s="478"/>
    </row>
    <row r="3066" spans="2:15">
      <c r="B3066" s="451" t="s">
        <v>3986</v>
      </c>
      <c r="C3066" s="451"/>
      <c r="D3066" s="451">
        <f t="shared" ref="D3066:I3066" si="362">D3040</f>
        <v>2014</v>
      </c>
      <c r="E3066" s="451">
        <f t="shared" si="362"/>
        <v>2015</v>
      </c>
      <c r="F3066" s="451">
        <f t="shared" si="362"/>
        <v>2016</v>
      </c>
      <c r="G3066" s="451">
        <f t="shared" si="362"/>
        <v>2017</v>
      </c>
      <c r="H3066" s="451">
        <f t="shared" si="362"/>
        <v>2018</v>
      </c>
      <c r="I3066" s="451">
        <f t="shared" si="362"/>
        <v>2019</v>
      </c>
    </row>
    <row r="3067" spans="2:15">
      <c r="B3067" s="478" t="s">
        <v>3977</v>
      </c>
      <c r="C3067" s="478"/>
      <c r="D3067">
        <f>Master!Q669</f>
        <v>405</v>
      </c>
      <c r="E3067" s="454">
        <f>Master!R669</f>
        <v>419</v>
      </c>
      <c r="F3067" s="454">
        <f>Master!S669</f>
        <v>494</v>
      </c>
      <c r="G3067" s="454">
        <f>Master!T669</f>
        <v>493</v>
      </c>
      <c r="H3067" s="454">
        <f>Master!U669</f>
        <v>458</v>
      </c>
      <c r="I3067" s="454">
        <f>Master!V669</f>
        <v>543</v>
      </c>
    </row>
    <row r="3068" spans="2:15">
      <c r="B3068" s="499" t="s">
        <v>3970</v>
      </c>
      <c r="C3068" s="499"/>
    </row>
    <row r="3069" spans="2:15">
      <c r="B3069" s="478" t="s">
        <v>2379</v>
      </c>
      <c r="C3069" s="478"/>
      <c r="D3069">
        <f>CA!O188</f>
        <v>55.000000000000007</v>
      </c>
      <c r="E3069" s="454">
        <f>CA!P188</f>
        <v>64</v>
      </c>
      <c r="F3069" s="454">
        <f>CA!Q188</f>
        <v>64.260162601626021</v>
      </c>
      <c r="G3069" s="454">
        <f>CA!R188</f>
        <v>60</v>
      </c>
      <c r="H3069" s="454">
        <f>CA!S188</f>
        <v>55</v>
      </c>
      <c r="I3069" s="454">
        <f>CA!T188</f>
        <v>62.268069039913698</v>
      </c>
    </row>
    <row r="3070" spans="2:15">
      <c r="B3070" s="487" t="s">
        <v>2380</v>
      </c>
      <c r="C3070" s="487"/>
      <c r="D3070" s="462">
        <f>CA!O254</f>
        <v>0</v>
      </c>
      <c r="E3070" s="462">
        <f>CA!P254</f>
        <v>22</v>
      </c>
      <c r="F3070" s="462">
        <f>CA!Q254</f>
        <v>22.401041666666664</v>
      </c>
      <c r="G3070" s="462">
        <f>CA!R254</f>
        <v>23.03125</v>
      </c>
      <c r="H3070" s="462">
        <f>CA!S254</f>
        <v>61</v>
      </c>
      <c r="I3070" s="462">
        <f>CA!T254</f>
        <v>58.116915422885576</v>
      </c>
    </row>
    <row r="3071" spans="2:15">
      <c r="B3071" s="478" t="s">
        <v>3978</v>
      </c>
      <c r="C3071" s="478"/>
      <c r="D3071" s="454">
        <f t="shared" ref="D3071:I3071" si="363">D3067-D3069-D3070</f>
        <v>350</v>
      </c>
      <c r="E3071" s="454">
        <f t="shared" si="363"/>
        <v>333</v>
      </c>
      <c r="F3071" s="454">
        <f t="shared" si="363"/>
        <v>407.33879573170731</v>
      </c>
      <c r="G3071" s="454">
        <f t="shared" si="363"/>
        <v>409.96875</v>
      </c>
      <c r="H3071" s="454">
        <f t="shared" si="363"/>
        <v>342</v>
      </c>
      <c r="I3071" s="454">
        <f t="shared" si="363"/>
        <v>422.61501553720069</v>
      </c>
    </row>
    <row r="3074" spans="2:26">
      <c r="D3074" s="451" t="s">
        <v>3687</v>
      </c>
      <c r="H3074" s="451" t="s">
        <v>5501</v>
      </c>
      <c r="L3074" t="s">
        <v>5505</v>
      </c>
      <c r="T3074" s="451" t="s">
        <v>3686</v>
      </c>
      <c r="X3074" s="451" t="s">
        <v>4083</v>
      </c>
    </row>
    <row r="3075" spans="2:26">
      <c r="B3075" s="451"/>
      <c r="C3075" s="451"/>
      <c r="D3075" s="560" t="s">
        <v>134</v>
      </c>
      <c r="E3075" s="560" t="s">
        <v>2222</v>
      </c>
      <c r="F3075" s="560" t="s">
        <v>150</v>
      </c>
      <c r="H3075" s="560" t="s">
        <v>134</v>
      </c>
      <c r="I3075" s="560" t="s">
        <v>2222</v>
      </c>
      <c r="J3075" s="560" t="s">
        <v>150</v>
      </c>
      <c r="T3075" s="560" t="s">
        <v>134</v>
      </c>
      <c r="U3075" s="560" t="s">
        <v>2222</v>
      </c>
      <c r="V3075" s="560" t="s">
        <v>150</v>
      </c>
      <c r="X3075" s="560" t="s">
        <v>134</v>
      </c>
      <c r="Y3075" s="560" t="s">
        <v>2222</v>
      </c>
      <c r="Z3075" s="560" t="s">
        <v>150</v>
      </c>
    </row>
    <row r="3076" spans="2:26">
      <c r="B3076" s="1001" t="s">
        <v>3984</v>
      </c>
      <c r="C3076" s="1001"/>
      <c r="D3076" s="1002">
        <f>1328+264</f>
        <v>1592</v>
      </c>
      <c r="E3076" s="1002">
        <f>357+210</f>
        <v>567</v>
      </c>
      <c r="F3076" s="1002">
        <f>D3076-E3076</f>
        <v>1025</v>
      </c>
      <c r="H3076" s="1002">
        <f>1988+173+48</f>
        <v>2209</v>
      </c>
      <c r="I3076" s="1002">
        <f>415+155+8</f>
        <v>578</v>
      </c>
      <c r="J3076" s="1002">
        <f>H3076-I3076</f>
        <v>1631</v>
      </c>
      <c r="L3076" s="464">
        <f>L3078-L3077</f>
        <v>1631</v>
      </c>
      <c r="T3076" s="1002">
        <f>1162+124</f>
        <v>1286</v>
      </c>
      <c r="U3076" s="1002">
        <f>280+187</f>
        <v>467</v>
      </c>
      <c r="V3076" s="1002">
        <f>T3076-U3076</f>
        <v>819</v>
      </c>
      <c r="X3076" s="1002">
        <f>1372+228</f>
        <v>1600</v>
      </c>
      <c r="Y3076" s="1002">
        <f>287+193</f>
        <v>480</v>
      </c>
      <c r="Z3076" s="1002">
        <f>X3076-Y3076</f>
        <v>1120</v>
      </c>
    </row>
    <row r="3077" spans="2:26">
      <c r="B3077" s="487" t="s">
        <v>3983</v>
      </c>
      <c r="C3077" s="487"/>
      <c r="D3077" s="490">
        <f>D3078-D3076</f>
        <v>3792</v>
      </c>
      <c r="E3077" s="490">
        <f>E3078-E3076</f>
        <v>523</v>
      </c>
      <c r="F3077" s="490">
        <f>F3078-F3076</f>
        <v>3269</v>
      </c>
      <c r="H3077" s="490">
        <f>H3078-H3076</f>
        <v>2824</v>
      </c>
      <c r="I3077" s="490">
        <f>I3078-I3076</f>
        <v>139</v>
      </c>
      <c r="J3077" s="490">
        <f>J3078-J3076</f>
        <v>2685</v>
      </c>
      <c r="L3077" s="464">
        <f>J3077+Master!$U$218</f>
        <v>3894.5</v>
      </c>
      <c r="T3077" s="490">
        <f>T3078-T3076</f>
        <v>3836</v>
      </c>
      <c r="U3077" s="490">
        <f>U3078-U3076</f>
        <v>387</v>
      </c>
      <c r="V3077" s="490">
        <f>V3078-V3076</f>
        <v>3449</v>
      </c>
      <c r="X3077" s="490">
        <f>X3078-X3076</f>
        <v>3802</v>
      </c>
      <c r="Y3077" s="490">
        <f>Y3078-Y3076</f>
        <v>503</v>
      </c>
      <c r="Z3077" s="490">
        <f>Z3078-Z3076</f>
        <v>3299</v>
      </c>
    </row>
    <row r="3078" spans="2:26">
      <c r="B3078" s="1001" t="s">
        <v>2324</v>
      </c>
      <c r="C3078" s="1001"/>
      <c r="D3078" s="1002">
        <v>5384</v>
      </c>
      <c r="E3078" s="1002">
        <v>1090</v>
      </c>
      <c r="F3078" s="1002">
        <f>D3078-E3078</f>
        <v>4294</v>
      </c>
      <c r="H3078" s="1002">
        <v>5033</v>
      </c>
      <c r="I3078" s="1002">
        <v>717</v>
      </c>
      <c r="J3078" s="1002">
        <f>H3078-I3078</f>
        <v>4316</v>
      </c>
      <c r="L3078" s="464">
        <f>J3078+Master!$U$218</f>
        <v>5525.5</v>
      </c>
      <c r="T3078" s="1002">
        <v>5122</v>
      </c>
      <c r="U3078" s="1002">
        <v>854</v>
      </c>
      <c r="V3078" s="1002">
        <f>T3078-U3078</f>
        <v>4268</v>
      </c>
      <c r="X3078" s="1002">
        <v>5402</v>
      </c>
      <c r="Y3078" s="1002">
        <v>983</v>
      </c>
      <c r="Z3078" s="1002">
        <f>X3078-Y3078</f>
        <v>4419</v>
      </c>
    </row>
    <row r="3080" spans="2:26">
      <c r="B3080" s="562" t="str">
        <f>B3076</f>
        <v>Local currency</v>
      </c>
      <c r="C3080" s="562"/>
      <c r="D3080" s="1015">
        <f t="shared" ref="D3080:F3082" si="364">D3076/D$3078</f>
        <v>0.29569093610698366</v>
      </c>
      <c r="E3080" s="1015">
        <f t="shared" si="364"/>
        <v>0.52018348623853206</v>
      </c>
      <c r="F3080" s="1015">
        <f t="shared" si="364"/>
        <v>0.23870517000465766</v>
      </c>
      <c r="H3080" s="1015">
        <f t="shared" ref="H3080:J3082" si="365">H3076/H$3078</f>
        <v>0.43890323862507452</v>
      </c>
      <c r="I3080" s="1015">
        <f t="shared" si="365"/>
        <v>0.80613668061366806</v>
      </c>
      <c r="J3080" s="1015">
        <f t="shared" si="365"/>
        <v>0.3778962001853568</v>
      </c>
      <c r="T3080" s="1015">
        <f t="shared" ref="T3080:V3082" si="366">T3076/T$3078</f>
        <v>0.25107379929714957</v>
      </c>
      <c r="U3080" s="1015">
        <f t="shared" si="366"/>
        <v>0.54683840749414525</v>
      </c>
      <c r="V3080" s="1015">
        <f t="shared" si="366"/>
        <v>0.19189315838800375</v>
      </c>
      <c r="X3080" s="1015">
        <f t="shared" ref="X3080:Z3082" si="367">X3076/X$3078</f>
        <v>0.2961865975564606</v>
      </c>
      <c r="Y3080" s="1015">
        <f t="shared" si="367"/>
        <v>0.48830111902339779</v>
      </c>
      <c r="Z3080" s="1015">
        <f t="shared" si="367"/>
        <v>0.25345100701516182</v>
      </c>
    </row>
    <row r="3081" spans="2:26">
      <c r="B3081" s="455" t="str">
        <f>B3077</f>
        <v>Hard currency (mainly US)</v>
      </c>
      <c r="C3081" s="455"/>
      <c r="D3081" s="561">
        <f t="shared" si="364"/>
        <v>0.7043090638930164</v>
      </c>
      <c r="E3081" s="561">
        <f t="shared" si="364"/>
        <v>0.47981651376146789</v>
      </c>
      <c r="F3081" s="561">
        <f t="shared" si="364"/>
        <v>0.76129482999534237</v>
      </c>
      <c r="H3081" s="561">
        <f t="shared" si="365"/>
        <v>0.56109676137492548</v>
      </c>
      <c r="I3081" s="561">
        <f t="shared" si="365"/>
        <v>0.19386331938633194</v>
      </c>
      <c r="J3081" s="561">
        <f t="shared" si="365"/>
        <v>0.62210379981464314</v>
      </c>
      <c r="T3081" s="561">
        <f t="shared" si="366"/>
        <v>0.74892620070285043</v>
      </c>
      <c r="U3081" s="561">
        <f t="shared" si="366"/>
        <v>0.4531615925058548</v>
      </c>
      <c r="V3081" s="561">
        <f t="shared" si="366"/>
        <v>0.8081068416119962</v>
      </c>
      <c r="X3081" s="561">
        <f t="shared" si="367"/>
        <v>0.7038134024435394</v>
      </c>
      <c r="Y3081" s="561">
        <f t="shared" si="367"/>
        <v>0.51169888097660221</v>
      </c>
      <c r="Z3081" s="561">
        <f t="shared" si="367"/>
        <v>0.74654899298483823</v>
      </c>
    </row>
    <row r="3082" spans="2:26">
      <c r="B3082" s="1016" t="str">
        <f>B3078</f>
        <v>Total</v>
      </c>
      <c r="C3082" s="1016"/>
      <c r="D3082" s="1017">
        <f t="shared" si="364"/>
        <v>1</v>
      </c>
      <c r="E3082" s="1017">
        <f t="shared" si="364"/>
        <v>1</v>
      </c>
      <c r="F3082" s="1017">
        <f t="shared" si="364"/>
        <v>1</v>
      </c>
      <c r="H3082" s="1017">
        <f t="shared" si="365"/>
        <v>1</v>
      </c>
      <c r="I3082" s="1017">
        <f t="shared" si="365"/>
        <v>1</v>
      </c>
      <c r="J3082" s="1017">
        <f t="shared" si="365"/>
        <v>1</v>
      </c>
      <c r="T3082" s="1017">
        <f t="shared" si="366"/>
        <v>1</v>
      </c>
      <c r="U3082" s="1017">
        <f t="shared" si="366"/>
        <v>1</v>
      </c>
      <c r="V3082" s="1017">
        <f t="shared" si="366"/>
        <v>1</v>
      </c>
      <c r="X3082" s="1017">
        <f t="shared" si="367"/>
        <v>1</v>
      </c>
      <c r="Y3082" s="1017">
        <f t="shared" si="367"/>
        <v>1</v>
      </c>
      <c r="Z3082" s="1017">
        <f t="shared" si="367"/>
        <v>1</v>
      </c>
    </row>
    <row r="3084" spans="2:26">
      <c r="D3084" s="478" t="s">
        <v>3814</v>
      </c>
      <c r="E3084" s="478" t="s">
        <v>3866</v>
      </c>
      <c r="F3084" s="478" t="s">
        <v>4082</v>
      </c>
      <c r="G3084" s="478" t="s">
        <v>4254</v>
      </c>
      <c r="H3084" s="478" t="s">
        <v>4387</v>
      </c>
      <c r="I3084" s="478" t="s">
        <v>4571</v>
      </c>
      <c r="J3084" s="478" t="s">
        <v>4689</v>
      </c>
      <c r="K3084" s="478" t="s">
        <v>4761</v>
      </c>
      <c r="L3084" s="478" t="s">
        <v>4862</v>
      </c>
      <c r="M3084" s="478" t="s">
        <v>5039</v>
      </c>
      <c r="N3084" s="478" t="s">
        <v>5040</v>
      </c>
      <c r="O3084" s="478" t="s">
        <v>5041</v>
      </c>
      <c r="P3084" s="478" t="s">
        <v>5042</v>
      </c>
      <c r="Q3084" s="478" t="s">
        <v>5506</v>
      </c>
    </row>
    <row r="3085" spans="2:26">
      <c r="B3085" s="478" t="s">
        <v>4698</v>
      </c>
      <c r="C3085" s="478"/>
      <c r="D3085" s="456">
        <f>V3080</f>
        <v>0.19189315838800375</v>
      </c>
      <c r="E3085" s="456">
        <f>F3080</f>
        <v>0.23870517000465766</v>
      </c>
      <c r="F3085" s="456">
        <f>Z3080</f>
        <v>0.25345100701516182</v>
      </c>
      <c r="G3085" s="456">
        <v>0.28499999999999998</v>
      </c>
      <c r="H3085" s="456">
        <v>0.312</v>
      </c>
      <c r="I3085" s="456">
        <f>J3080</f>
        <v>0.3778962001853568</v>
      </c>
      <c r="J3085" s="456">
        <v>0.33300000000000002</v>
      </c>
      <c r="K3085" s="456">
        <f>J3085</f>
        <v>0.33300000000000002</v>
      </c>
      <c r="L3085" s="456">
        <f>(1533+17)/4274</f>
        <v>0.36265793167992511</v>
      </c>
      <c r="M3085" s="456">
        <f>(1431+52)/4071</f>
        <v>0.36428395971505773</v>
      </c>
      <c r="N3085" s="456">
        <f>(1517+39)/4100</f>
        <v>0.37951219512195122</v>
      </c>
      <c r="O3085" s="456">
        <f>(1544+19)/3981</f>
        <v>0.39261492087415223</v>
      </c>
      <c r="P3085" s="456">
        <f>J3080</f>
        <v>0.3778962001853568</v>
      </c>
      <c r="Q3085" s="456">
        <f>L3076/L3078</f>
        <v>0.29517690706723371</v>
      </c>
    </row>
    <row r="3086" spans="2:26">
      <c r="B3086" t="s">
        <v>5502</v>
      </c>
      <c r="D3086" s="456">
        <f t="shared" ref="D3086:Q3086" si="368">100%-D3085</f>
        <v>0.80810684161199631</v>
      </c>
      <c r="E3086" s="456">
        <f t="shared" si="368"/>
        <v>0.76129482999534237</v>
      </c>
      <c r="F3086" s="456">
        <f t="shared" si="368"/>
        <v>0.74654899298483812</v>
      </c>
      <c r="G3086" s="456">
        <f t="shared" si="368"/>
        <v>0.71500000000000008</v>
      </c>
      <c r="H3086" s="456">
        <f t="shared" si="368"/>
        <v>0.68799999999999994</v>
      </c>
      <c r="I3086" s="456">
        <f t="shared" si="368"/>
        <v>0.62210379981464325</v>
      </c>
      <c r="J3086" s="456">
        <f t="shared" si="368"/>
        <v>0.66700000000000004</v>
      </c>
      <c r="K3086" s="456">
        <f t="shared" si="368"/>
        <v>0.66700000000000004</v>
      </c>
      <c r="L3086" s="456">
        <f t="shared" si="368"/>
        <v>0.63734206832007489</v>
      </c>
      <c r="M3086" s="456">
        <f t="shared" si="368"/>
        <v>0.63571604028494222</v>
      </c>
      <c r="N3086" s="456">
        <f t="shared" si="368"/>
        <v>0.62048780487804878</v>
      </c>
      <c r="O3086" s="456">
        <f t="shared" si="368"/>
        <v>0.60738507912584772</v>
      </c>
      <c r="P3086" s="456">
        <f t="shared" si="368"/>
        <v>0.62210379981464325</v>
      </c>
      <c r="Q3086" s="456">
        <f t="shared" si="368"/>
        <v>0.70482309293276635</v>
      </c>
    </row>
    <row r="3087" spans="2:26">
      <c r="D3087" s="456"/>
      <c r="E3087" s="456"/>
      <c r="F3087" s="456"/>
      <c r="G3087" s="456"/>
      <c r="H3087" s="456"/>
      <c r="I3087" s="456"/>
      <c r="J3087" s="456"/>
      <c r="K3087" s="456"/>
      <c r="L3087" s="456"/>
      <c r="M3087" s="456"/>
      <c r="N3087" s="456"/>
      <c r="O3087" s="456"/>
      <c r="P3087" s="456"/>
    </row>
    <row r="3088" spans="2:26">
      <c r="B3088" t="s">
        <v>5503</v>
      </c>
      <c r="D3088" s="456"/>
      <c r="E3088" s="456"/>
      <c r="F3088" s="456">
        <f>('New (new) quarts'!M116+'New (new) quarts'!M117+'New (new) quarts'!M109+'New (new) quarts'!M129)/'New (new) quarts'!M140</f>
        <v>0.47628312679322837</v>
      </c>
      <c r="G3088" s="456">
        <f>('New (new) quarts'!N116+'New (new) quarts'!N117+'New (new) quarts'!N109+'New (new) quarts'!N129)/'New (new) quarts'!N140</f>
        <v>0.49855344220145403</v>
      </c>
      <c r="H3088" s="456">
        <f>('New (new) quarts'!O116+'New (new) quarts'!O117+'New (new) quarts'!O109+'New (new) quarts'!O129)/'New (new) quarts'!O140</f>
        <v>0.4959390153873286</v>
      </c>
      <c r="I3088" s="456">
        <f>('New (new) quarts'!P116+'New (new) quarts'!P117+'New (new) quarts'!P109+'New (new) quarts'!P129)/'New (new) quarts'!P140</f>
        <v>0.45229681978798586</v>
      </c>
      <c r="J3088" s="456">
        <f>('New (new) quarts'!R116+'New (new) quarts'!R117+'New (new) quarts'!R109+'New (new) quarts'!R129)/'New (new) quarts'!R140</f>
        <v>0.5</v>
      </c>
      <c r="K3088" s="456">
        <f>('New (new) quarts'!S116+'New (new) quarts'!S117+'New (new) quarts'!S109+'New (new) quarts'!S129)/'New (new) quarts'!S140</f>
        <v>0.47102803738317756</v>
      </c>
      <c r="L3088" s="456">
        <f>('New (new) quarts'!T116+'New (new) quarts'!T117+'New (new) quarts'!T109+'New (new) quarts'!T129)/'New (new) quarts'!T140</f>
        <v>0.45623836126629425</v>
      </c>
      <c r="M3088" s="456">
        <f>('New (new) quarts'!U116+'New (new) quarts'!U117+'New (new) quarts'!U109+'New (new) quarts'!U129)/'New (new) quarts'!U140</f>
        <v>0.46702317290552586</v>
      </c>
      <c r="N3088" s="456">
        <f>('New (new) quarts'!W116+'New (new) quarts'!W117+'New (new) quarts'!W109+'New (new) quarts'!W129)/'New (new) quarts'!W140</f>
        <v>0.47179999999999994</v>
      </c>
      <c r="O3088" s="456">
        <f>('New (new) quarts'!X116+'New (new) quarts'!X117+'New (new) quarts'!X109+'New (new) quarts'!X129)/'New (new) quarts'!X140</f>
        <v>0.46615798922800716</v>
      </c>
      <c r="P3088" s="456">
        <f>('New (new) quarts'!Y116+'New (new) quarts'!Y117+'New (new) quarts'!Y109+'New (new) quarts'!Y129)/'New (new) quarts'!Y140</f>
        <v>0.47910160427807491</v>
      </c>
      <c r="Q3088" s="456">
        <f>('New (new) quarts'!Y116+'New (new) quarts'!Y117+'New (new) quarts'!Y109+'New (new) quarts'!Y129)/('New (new) quarts'!Y140+45)</f>
        <v>0.44352475247524753</v>
      </c>
    </row>
    <row r="3089" spans="2:26">
      <c r="B3089" t="s">
        <v>5504</v>
      </c>
      <c r="D3089" s="456"/>
      <c r="E3089" s="456"/>
      <c r="F3089" s="456">
        <f>('New (new) quarts'!M104+'New (new) quarts'!M105+'New (new) quarts'!M109+'New (new) quarts'!M116+'New (new) quarts'!M117+'New (new) quarts'!M129)/'New (new) quarts'!M140</f>
        <v>0.89629362722637163</v>
      </c>
      <c r="G3089" s="456">
        <f>('New (new) quarts'!N104+'New (new) quarts'!N105+'New (new) quarts'!N109+'New (new) quarts'!N116+'New (new) quarts'!N117+'New (new) quarts'!N129)/'New (new) quarts'!N140</f>
        <v>0.88345400396022389</v>
      </c>
      <c r="H3089" s="456">
        <f>('New (new) quarts'!O104+'New (new) quarts'!O105+'New (new) quarts'!O109+'New (new) quarts'!O116+'New (new) quarts'!O117+'New (new) quarts'!O129)/'New (new) quarts'!O140</f>
        <v>0.8840759038161915</v>
      </c>
      <c r="I3089" s="456">
        <f>('New (new) quarts'!P104+'New (new) quarts'!P105+'New (new) quarts'!P109+'New (new) quarts'!P116+'New (new) quarts'!P117+'New (new) quarts'!P129)/'New (new) quarts'!P140</f>
        <v>0.85512367491166075</v>
      </c>
      <c r="J3089" s="456">
        <f>('New (new) quarts'!R104+'New (new) quarts'!R105+'New (new) quarts'!R109+'New (new) quarts'!R116+'New (new) quarts'!R117+'New (new) quarts'!R129)/'New (new) quarts'!R140</f>
        <v>0.90875912408759119</v>
      </c>
      <c r="K3089" s="456">
        <f>('New (new) quarts'!S104+'New (new) quarts'!S105+'New (new) quarts'!S109+'New (new) quarts'!S116+'New (new) quarts'!S117+'New (new) quarts'!S129)/'New (new) quarts'!S140</f>
        <v>0.89719626168224298</v>
      </c>
      <c r="L3089" s="456">
        <f>('New (new) quarts'!T104+'New (new) quarts'!T105+'New (new) quarts'!T109+'New (new) quarts'!T116+'New (new) quarts'!T117+'New (new) quarts'!T129)/'New (new) quarts'!T140</f>
        <v>0.9087523277467412</v>
      </c>
      <c r="M3089" s="456">
        <f>('New (new) quarts'!U104+'New (new) quarts'!U105+'New (new) quarts'!U109+'New (new) quarts'!U116+'New (new) quarts'!U117+'New (new) quarts'!U129)/'New (new) quarts'!U140</f>
        <v>0.88591800356506234</v>
      </c>
      <c r="N3089" s="456">
        <f>('New (new) quarts'!W104+'New (new) quarts'!W105+'New (new) quarts'!W109+'New (new) quarts'!W116+'New (new) quarts'!W117+'New (new) quarts'!W129)/'New (new) quarts'!W140</f>
        <v>0.89144285714285709</v>
      </c>
      <c r="O3089" s="456">
        <f>('New (new) quarts'!X104+'New (new) quarts'!X105+'New (new) quarts'!X109+'New (new) quarts'!X116+'New (new) quarts'!X117+'New (new) quarts'!X129)/'New (new) quarts'!X140</f>
        <v>0.88267504488330339</v>
      </c>
      <c r="P3089" s="456">
        <f>('New (new) quarts'!Y104+'New (new) quarts'!Y105+'New (new) quarts'!Y109+'New (new) quarts'!Y116+'New (new) quarts'!Y117+'New (new) quarts'!Y129)/'New (new) quarts'!Y140</f>
        <v>0.89799643493761139</v>
      </c>
      <c r="Q3089" s="456">
        <f>('New (new) quarts'!Y104+'New (new) quarts'!Y105+'New (new) quarts'!Y109+'New (new) quarts'!Y116+'New (new) quarts'!Y117+'New (new) quarts'!Y129)/('New (new) quarts'!Y140+45)</f>
        <v>0.83131353135313535</v>
      </c>
    </row>
    <row r="3090" spans="2:26">
      <c r="D3090" s="456"/>
      <c r="E3090" s="456"/>
      <c r="F3090" s="456"/>
      <c r="G3090" s="456"/>
      <c r="H3090" s="456"/>
      <c r="I3090" s="456"/>
      <c r="J3090" s="456"/>
      <c r="K3090" s="1116"/>
      <c r="O3090" s="456"/>
    </row>
    <row r="3091" spans="2:26">
      <c r="B3091" t="s">
        <v>4090</v>
      </c>
      <c r="X3091">
        <v>1365</v>
      </c>
      <c r="Y3091">
        <v>204</v>
      </c>
      <c r="Z3091" s="464">
        <f>X3091-Y3091</f>
        <v>1161</v>
      </c>
    </row>
    <row r="3092" spans="2:26">
      <c r="B3092" t="s">
        <v>4091</v>
      </c>
      <c r="X3092" s="464">
        <f>X3078-X3091</f>
        <v>4037</v>
      </c>
      <c r="Y3092" s="464">
        <f>Y3078-Y3091</f>
        <v>779</v>
      </c>
      <c r="Z3092" s="464">
        <f>X3092-Y3092</f>
        <v>3258</v>
      </c>
    </row>
    <row r="3093" spans="2:26">
      <c r="B3093" t="s">
        <v>4089</v>
      </c>
      <c r="X3093">
        <v>4459</v>
      </c>
      <c r="Y3093">
        <v>865</v>
      </c>
      <c r="Z3093" s="464">
        <f>X3093-Y3093</f>
        <v>3594</v>
      </c>
    </row>
    <row r="3094" spans="2:26">
      <c r="B3094" t="s">
        <v>4092</v>
      </c>
      <c r="Z3094" s="493" t="s">
        <v>4093</v>
      </c>
    </row>
    <row r="3096" spans="2:26">
      <c r="B3096" s="478" t="s">
        <v>4039</v>
      </c>
      <c r="C3096" s="478"/>
      <c r="D3096" t="str">
        <f>T3075</f>
        <v>Gross debt</v>
      </c>
      <c r="E3096" t="str">
        <f>U3075</f>
        <v>Cash</v>
      </c>
      <c r="F3096" t="str">
        <f>V3075</f>
        <v>Net debt</v>
      </c>
    </row>
    <row r="3097" spans="2:26">
      <c r="B3097" t="str">
        <f>B3076</f>
        <v>Local currency</v>
      </c>
      <c r="D3097" s="456">
        <f t="shared" ref="D3097:F3099" si="369">D3076/T3076-1</f>
        <v>0.23794712286158637</v>
      </c>
      <c r="E3097" s="456">
        <f t="shared" si="369"/>
        <v>0.2141327623126339</v>
      </c>
      <c r="F3097" s="456">
        <f t="shared" si="369"/>
        <v>0.25152625152625152</v>
      </c>
    </row>
    <row r="3098" spans="2:26">
      <c r="B3098" s="455" t="str">
        <f>B3077</f>
        <v>Hard currency (mainly US)</v>
      </c>
      <c r="C3098" s="455"/>
      <c r="D3098" s="561">
        <f t="shared" si="369"/>
        <v>-1.147028154327423E-2</v>
      </c>
      <c r="E3098" s="561">
        <f t="shared" si="369"/>
        <v>0.35142118863049099</v>
      </c>
      <c r="F3098" s="561">
        <f t="shared" si="369"/>
        <v>-5.2189040301536704E-2</v>
      </c>
    </row>
    <row r="3099" spans="2:26">
      <c r="B3099" t="str">
        <f>B3078</f>
        <v>Total</v>
      </c>
      <c r="D3099" s="456">
        <f t="shared" si="369"/>
        <v>5.1151893791487657E-2</v>
      </c>
      <c r="E3099" s="456">
        <f t="shared" si="369"/>
        <v>0.27634660421545676</v>
      </c>
      <c r="F3099" s="456">
        <f t="shared" si="369"/>
        <v>6.0918462980319443E-3</v>
      </c>
    </row>
    <row r="3100" spans="2:26">
      <c r="H3100" s="456"/>
      <c r="I3100" s="456"/>
      <c r="J3100" s="456"/>
    </row>
    <row r="3101" spans="2:26">
      <c r="H3101" s="456"/>
      <c r="I3101" s="456"/>
      <c r="J3101" s="456"/>
    </row>
    <row r="3102" spans="2:26">
      <c r="H3102" s="456"/>
      <c r="I3102" s="456"/>
      <c r="J3102" s="456"/>
    </row>
    <row r="3103" spans="2:26">
      <c r="H3103" s="456"/>
      <c r="I3103" s="456"/>
      <c r="J3103" s="456"/>
    </row>
    <row r="3106" spans="2:7">
      <c r="E3106" s="506" t="s">
        <v>565</v>
      </c>
      <c r="F3106" s="506" t="s">
        <v>821</v>
      </c>
      <c r="G3106" s="506" t="s">
        <v>1643</v>
      </c>
    </row>
    <row r="3107" spans="2:7">
      <c r="B3107" s="455"/>
      <c r="C3107" s="455"/>
      <c r="D3107" s="508" t="s">
        <v>4033</v>
      </c>
      <c r="E3107" s="508" t="s">
        <v>2487</v>
      </c>
      <c r="F3107" s="508" t="s">
        <v>2487</v>
      </c>
      <c r="G3107" s="508" t="s">
        <v>2487</v>
      </c>
    </row>
    <row r="3108" spans="2:7">
      <c r="B3108" s="478" t="s">
        <v>758</v>
      </c>
      <c r="C3108" s="478"/>
      <c r="D3108" s="464">
        <v>6730</v>
      </c>
      <c r="E3108" s="464"/>
      <c r="F3108" s="464">
        <f>Master!S5</f>
        <v>6248.8819186869696</v>
      </c>
      <c r="G3108" s="464">
        <v>6476</v>
      </c>
    </row>
    <row r="3109" spans="2:7">
      <c r="B3109" s="478" t="s">
        <v>4075</v>
      </c>
      <c r="C3109" s="478"/>
      <c r="D3109" s="464"/>
      <c r="E3109" s="491" t="s">
        <v>4034</v>
      </c>
      <c r="F3109" s="456">
        <f ca="1">Div!P40</f>
        <v>-2.8600553543726148E-2</v>
      </c>
      <c r="G3109" s="464"/>
    </row>
    <row r="3111" spans="2:7">
      <c r="B3111" s="478" t="s">
        <v>4038</v>
      </c>
      <c r="C3111" s="478"/>
      <c r="D3111" s="464">
        <v>2266</v>
      </c>
      <c r="E3111" s="464"/>
      <c r="F3111" s="464">
        <f>Master!S14</f>
        <v>2225.5</v>
      </c>
      <c r="G3111" s="464">
        <v>2264</v>
      </c>
    </row>
    <row r="3112" spans="2:7">
      <c r="B3112" s="478"/>
      <c r="C3112" s="478"/>
      <c r="D3112" s="464"/>
      <c r="E3112" s="464"/>
      <c r="F3112" s="464"/>
      <c r="G3112" s="464"/>
    </row>
    <row r="3113" spans="2:7">
      <c r="B3113" s="478" t="s">
        <v>1434</v>
      </c>
      <c r="C3113" s="478"/>
      <c r="D3113" s="456">
        <f>D3111/D3108</f>
        <v>0.33670133729569096</v>
      </c>
      <c r="E3113" s="568" t="s">
        <v>4035</v>
      </c>
      <c r="F3113" s="456">
        <f>F3111/F3108</f>
        <v>0.35614371162059461</v>
      </c>
      <c r="G3113" s="456">
        <f>G3111/G3108</f>
        <v>0.34959851760345895</v>
      </c>
    </row>
    <row r="3115" spans="2:7">
      <c r="B3115" s="478" t="s">
        <v>1545</v>
      </c>
      <c r="C3115" s="478"/>
      <c r="D3115" s="464">
        <v>1273</v>
      </c>
      <c r="E3115" s="593" t="s">
        <v>4037</v>
      </c>
      <c r="F3115" s="464">
        <f ca="1">Div!P83</f>
        <v>1082.1195656627342</v>
      </c>
      <c r="G3115" s="464">
        <v>1256</v>
      </c>
    </row>
    <row r="3116" spans="2:7">
      <c r="B3116" s="478" t="s">
        <v>1431</v>
      </c>
      <c r="C3116" s="478"/>
      <c r="D3116" s="456">
        <f>D3115/D3108</f>
        <v>0.18915304606240713</v>
      </c>
      <c r="E3116" s="456"/>
      <c r="F3116" s="456">
        <f ca="1">F3115/F3108</f>
        <v>0.17317010942816979</v>
      </c>
      <c r="G3116" s="456">
        <f>G3115/G3108</f>
        <v>0.19394688079061148</v>
      </c>
    </row>
    <row r="3118" spans="2:7">
      <c r="B3118" s="478" t="s">
        <v>2204</v>
      </c>
      <c r="C3118" s="478"/>
      <c r="D3118" s="464">
        <f>D3111-D3115</f>
        <v>993</v>
      </c>
      <c r="E3118" s="464">
        <f>0.34*6700-1200</f>
        <v>1078</v>
      </c>
      <c r="F3118" s="464">
        <f ca="1">F3111-F3115</f>
        <v>1143.3804343372658</v>
      </c>
      <c r="G3118" s="464">
        <f>G3111-G3115</f>
        <v>1008</v>
      </c>
    </row>
    <row r="3119" spans="2:7">
      <c r="B3119" s="478" t="s">
        <v>4036</v>
      </c>
      <c r="C3119" s="478"/>
    </row>
    <row r="3122" spans="2:9">
      <c r="B3122" s="487" t="s">
        <v>2602</v>
      </c>
      <c r="C3122" s="487"/>
      <c r="D3122" s="455">
        <v>2015</v>
      </c>
      <c r="E3122" s="455">
        <f>D3122+1</f>
        <v>2016</v>
      </c>
      <c r="F3122" s="455">
        <f>E3122+1</f>
        <v>2017</v>
      </c>
      <c r="G3122" s="455">
        <f>F3122+1</f>
        <v>2018</v>
      </c>
      <c r="H3122" s="455">
        <f>G3122+1</f>
        <v>2019</v>
      </c>
      <c r="I3122" s="455">
        <f>H3122+1</f>
        <v>2020</v>
      </c>
    </row>
    <row r="3123" spans="2:9">
      <c r="B3123" s="478" t="s">
        <v>4058</v>
      </c>
      <c r="C3123" s="478"/>
      <c r="D3123">
        <v>210</v>
      </c>
      <c r="E3123">
        <v>190</v>
      </c>
      <c r="F3123">
        <v>175</v>
      </c>
      <c r="G3123">
        <v>160</v>
      </c>
      <c r="H3123">
        <v>145</v>
      </c>
      <c r="I3123">
        <v>130</v>
      </c>
    </row>
    <row r="3124" spans="2:9">
      <c r="B3124" s="478" t="s">
        <v>4059</v>
      </c>
      <c r="C3124" s="478"/>
      <c r="D3124" s="464">
        <f>-Master!R11</f>
        <v>204</v>
      </c>
      <c r="E3124" s="464">
        <f>-Master!S11</f>
        <v>165</v>
      </c>
      <c r="F3124" s="464">
        <f>-Master!T11</f>
        <v>147.67599999999999</v>
      </c>
      <c r="G3124" s="464">
        <f>-Master!U11</f>
        <v>150.63400000000001</v>
      </c>
      <c r="H3124" s="464">
        <f>-Master!V11</f>
        <v>150.72500000000002</v>
      </c>
      <c r="I3124" s="464">
        <f>-Master!W11</f>
        <v>139</v>
      </c>
    </row>
    <row r="3126" spans="2:9">
      <c r="B3126" s="455"/>
      <c r="C3126" s="455"/>
      <c r="D3126" s="508" t="s">
        <v>494</v>
      </c>
      <c r="E3126" s="508" t="s">
        <v>4060</v>
      </c>
      <c r="F3126" s="487" t="s">
        <v>4061</v>
      </c>
      <c r="G3126" s="487" t="s">
        <v>4067</v>
      </c>
    </row>
    <row r="3127" spans="2:9">
      <c r="B3127" s="478" t="s">
        <v>4063</v>
      </c>
      <c r="C3127" s="478"/>
      <c r="D3127">
        <v>284.7</v>
      </c>
      <c r="E3127" s="468">
        <v>31</v>
      </c>
      <c r="F3127" s="506" t="s">
        <v>4062</v>
      </c>
      <c r="G3127" s="1042">
        <f>D3127*100/30/E3127</f>
        <v>30.612903225806452</v>
      </c>
    </row>
    <row r="3129" spans="2:9">
      <c r="B3129" s="487" t="s">
        <v>4064</v>
      </c>
      <c r="C3129" s="487"/>
      <c r="D3129" s="495"/>
      <c r="E3129" s="495"/>
      <c r="F3129" s="495"/>
      <c r="G3129" s="495"/>
    </row>
    <row r="3130" spans="2:9">
      <c r="B3130" s="478" t="s">
        <v>4066</v>
      </c>
      <c r="C3130" s="478"/>
      <c r="D3130">
        <v>826</v>
      </c>
      <c r="E3130">
        <v>42</v>
      </c>
      <c r="F3130">
        <v>70</v>
      </c>
      <c r="G3130" s="1042">
        <f>D3130*100/F3130/E3130</f>
        <v>28.095238095238095</v>
      </c>
    </row>
    <row r="3131" spans="2:9">
      <c r="B3131" s="478" t="s">
        <v>4065</v>
      </c>
      <c r="C3131" s="478"/>
      <c r="D3131">
        <v>793</v>
      </c>
      <c r="E3131">
        <v>42</v>
      </c>
      <c r="F3131">
        <v>70</v>
      </c>
      <c r="G3131" s="1042">
        <f>D3131*100/F3131/E3131</f>
        <v>26.972789115646258</v>
      </c>
    </row>
    <row r="3132" spans="2:9">
      <c r="B3132" s="478"/>
      <c r="C3132" s="478"/>
    </row>
    <row r="3133" spans="2:9">
      <c r="B3133" s="478" t="s">
        <v>4068</v>
      </c>
      <c r="C3133" s="478"/>
      <c r="D3133" s="506" t="s">
        <v>4070</v>
      </c>
      <c r="E3133">
        <f>E3129</f>
        <v>0</v>
      </c>
      <c r="F3133">
        <f>F3129</f>
        <v>0</v>
      </c>
      <c r="G3133">
        <f>G3129</f>
        <v>0</v>
      </c>
    </row>
    <row r="3134" spans="2:9">
      <c r="B3134" s="478" t="s">
        <v>955</v>
      </c>
      <c r="C3134" s="478"/>
      <c r="D3134">
        <v>1071</v>
      </c>
      <c r="E3134">
        <v>118</v>
      </c>
      <c r="F3134">
        <v>60</v>
      </c>
      <c r="G3134" s="1042">
        <f>D3134*100/F3134/E3134</f>
        <v>15.127118644067796</v>
      </c>
    </row>
    <row r="3135" spans="2:9">
      <c r="B3135" s="478" t="s">
        <v>4069</v>
      </c>
      <c r="C3135" s="478"/>
      <c r="D3135">
        <v>443</v>
      </c>
      <c r="E3135">
        <v>118</v>
      </c>
      <c r="F3135">
        <v>20</v>
      </c>
      <c r="G3135" s="1042">
        <f>D3135*100/F3135/E3135</f>
        <v>18.771186440677965</v>
      </c>
    </row>
    <row r="3137" spans="2:14">
      <c r="B3137" s="478" t="s">
        <v>4071</v>
      </c>
      <c r="C3137" s="478"/>
    </row>
    <row r="3138" spans="2:14">
      <c r="B3138" s="478" t="s">
        <v>1250</v>
      </c>
      <c r="C3138" s="478"/>
      <c r="D3138" s="454">
        <f>F2488</f>
        <v>181.64692958849307</v>
      </c>
      <c r="E3138" s="468">
        <f>A2058/1000</f>
        <v>48.439181223598155</v>
      </c>
      <c r="F3138" s="506" t="s">
        <v>4062</v>
      </c>
      <c r="G3138" s="1042">
        <f>D3138*100/30/E3138</f>
        <v>12.5</v>
      </c>
    </row>
    <row r="3140" spans="2:14">
      <c r="D3140" s="506" t="s">
        <v>4072</v>
      </c>
      <c r="E3140" s="506" t="s">
        <v>886</v>
      </c>
      <c r="G3140" s="506" t="s">
        <v>885</v>
      </c>
      <c r="H3140" s="506" t="s">
        <v>885</v>
      </c>
      <c r="J3140" s="567" t="s">
        <v>619</v>
      </c>
      <c r="K3140" s="478" t="s">
        <v>4074</v>
      </c>
      <c r="M3140" s="506" t="s">
        <v>4073</v>
      </c>
    </row>
    <row r="3141" spans="2:14">
      <c r="B3141" s="487" t="s">
        <v>2602</v>
      </c>
      <c r="C3141" s="487"/>
      <c r="D3141" s="455">
        <v>2016</v>
      </c>
      <c r="E3141" s="455">
        <v>2017</v>
      </c>
      <c r="G3141" s="455">
        <v>2016</v>
      </c>
      <c r="H3141" s="455">
        <v>2017</v>
      </c>
      <c r="J3141" s="455">
        <f>M3141</f>
        <v>2016</v>
      </c>
      <c r="K3141" s="455">
        <f>N3141</f>
        <v>2017</v>
      </c>
      <c r="M3141" s="455">
        <f>G3141</f>
        <v>2016</v>
      </c>
      <c r="N3141" s="455">
        <f>H3141</f>
        <v>2017</v>
      </c>
    </row>
    <row r="3142" spans="2:14">
      <c r="B3142" s="478" t="s">
        <v>758</v>
      </c>
      <c r="C3142" s="478"/>
      <c r="D3142" s="464">
        <f>Master!S5</f>
        <v>6248.8819186869696</v>
      </c>
      <c r="E3142" s="464">
        <f>Master!T5</f>
        <v>6089</v>
      </c>
      <c r="G3142" s="464">
        <v>6752.5621526844461</v>
      </c>
      <c r="H3142" s="464">
        <v>7125.7916902907864</v>
      </c>
      <c r="I3142" s="478" t="s">
        <v>1823</v>
      </c>
      <c r="J3142" s="456">
        <f>D3142/M3142-1</f>
        <v>-5.3398400392978385E-2</v>
      </c>
      <c r="K3142" s="456">
        <f>E3142/N3142-1</f>
        <v>-0.12697688541401941</v>
      </c>
      <c r="M3142" s="464">
        <f>G3142-Africa!$P$95</f>
        <v>6601.3853360074309</v>
      </c>
      <c r="N3142" s="464">
        <f>H3142-Africa!$P$95</f>
        <v>6974.6148736137711</v>
      </c>
    </row>
    <row r="3143" spans="2:14">
      <c r="B3143" s="478" t="s">
        <v>360</v>
      </c>
      <c r="C3143" s="478"/>
      <c r="D3143" s="464">
        <f>Master!S14</f>
        <v>2225.5</v>
      </c>
      <c r="E3143" s="464">
        <f>Master!T14</f>
        <v>2181</v>
      </c>
      <c r="G3143" s="464">
        <v>2204.1581094998546</v>
      </c>
      <c r="H3143" s="464">
        <v>2323.2861244138776</v>
      </c>
      <c r="J3143" s="456">
        <f>D3143/M3143-1</f>
        <v>9.6825588001887564E-3</v>
      </c>
      <c r="K3143" s="456">
        <f>E3143/N3143-1</f>
        <v>-6.1243478759971381E-2</v>
      </c>
      <c r="M3143" s="464">
        <f>G3143</f>
        <v>2204.1581094998546</v>
      </c>
      <c r="N3143" s="464">
        <f>H3143</f>
        <v>2323.2861244138776</v>
      </c>
    </row>
    <row r="3144" spans="2:14">
      <c r="B3144" s="478" t="s">
        <v>361</v>
      </c>
      <c r="C3144" s="478"/>
      <c r="D3144" s="456">
        <f>D3143/D3142</f>
        <v>0.35614371162059461</v>
      </c>
      <c r="E3144" s="456">
        <f>E3143/E3142</f>
        <v>0.35818689439973722</v>
      </c>
      <c r="G3144" s="456">
        <f>G3143/G3142</f>
        <v>0.32641804098368837</v>
      </c>
      <c r="H3144" s="456">
        <f>H3143/H3142</f>
        <v>0.32603901789319212</v>
      </c>
      <c r="M3144" s="456">
        <f>M3143/M3142</f>
        <v>0.33389326592968538</v>
      </c>
      <c r="N3144" s="456">
        <f>N3143/N3142</f>
        <v>0.33310600893581793</v>
      </c>
    </row>
    <row r="3145" spans="2:14">
      <c r="B3145" s="478" t="s">
        <v>1545</v>
      </c>
      <c r="C3145" s="478"/>
      <c r="D3145" s="464">
        <f ca="1">Div!P83</f>
        <v>1082.1195656627342</v>
      </c>
      <c r="E3145" s="464">
        <f ca="1">Div!Q83</f>
        <v>1043.7486197549406</v>
      </c>
      <c r="G3145" s="464">
        <v>1173.9903757448615</v>
      </c>
      <c r="H3145" s="464">
        <v>1161.570552997362</v>
      </c>
      <c r="J3145" s="456">
        <f ca="1">D3145/M3145-1</f>
        <v>-6.2280250851951102E-2</v>
      </c>
      <c r="K3145" s="456">
        <f ca="1">E3145/N3145-1</f>
        <v>-8.5690659228705113E-2</v>
      </c>
      <c r="M3145" s="464">
        <f>G3145-20</f>
        <v>1153.9903757448615</v>
      </c>
      <c r="N3145" s="464">
        <f>H3145-20</f>
        <v>1141.570552997362</v>
      </c>
    </row>
    <row r="3146" spans="2:14">
      <c r="B3146" s="478" t="s">
        <v>1552</v>
      </c>
      <c r="C3146" s="478"/>
      <c r="D3146" s="464">
        <f ca="1">D3143-D3145</f>
        <v>1143.3804343372658</v>
      </c>
      <c r="E3146" s="464">
        <f ca="1">E3143-E3145</f>
        <v>1137.2513802450594</v>
      </c>
      <c r="G3146" s="464">
        <f>G3143-G3145</f>
        <v>1030.1677337549932</v>
      </c>
      <c r="H3146" s="464">
        <f>H3143-H3145</f>
        <v>1161.7155714165156</v>
      </c>
      <c r="J3146" s="456">
        <f ca="1">D3146/M3146-1</f>
        <v>8.8759821489639679E-2</v>
      </c>
      <c r="K3146" s="456">
        <f ca="1">E3146/N3146-1</f>
        <v>-3.7626813293284433E-2</v>
      </c>
      <c r="M3146" s="464">
        <f>M3143-M3145</f>
        <v>1050.1677337549932</v>
      </c>
      <c r="N3146" s="464">
        <f>N3143-N3145</f>
        <v>1181.7155714165156</v>
      </c>
    </row>
    <row r="3148" spans="2:14">
      <c r="B3148" s="487" t="s">
        <v>3317</v>
      </c>
      <c r="C3148" s="487"/>
      <c r="D3148" s="495" t="str">
        <f>Valuation!E6</f>
        <v>2015A</v>
      </c>
      <c r="E3148" s="495" t="str">
        <f>Valuation!F6</f>
        <v>2016A</v>
      </c>
      <c r="F3148" s="495" t="str">
        <f>Valuation!G6</f>
        <v>2017A</v>
      </c>
      <c r="G3148" s="495" t="str">
        <f>Valuation!H6</f>
        <v>2018A</v>
      </c>
      <c r="H3148" s="495" t="str">
        <f>Valuation!I6</f>
        <v>2019A</v>
      </c>
      <c r="I3148" s="495" t="str">
        <f>Valuation!J6</f>
        <v>2020A</v>
      </c>
    </row>
    <row r="3149" spans="2:14">
      <c r="B3149" s="478" t="s">
        <v>4079</v>
      </c>
      <c r="C3149" s="478"/>
      <c r="D3149" s="999">
        <f>Valuation!E96</f>
        <v>2.1919048190890029</v>
      </c>
      <c r="E3149" s="999">
        <f>Valuation!F96</f>
        <v>2.0992272196080375</v>
      </c>
      <c r="F3149" s="999">
        <f>Valuation!G96</f>
        <v>2.0407700172140428</v>
      </c>
      <c r="G3149" s="999">
        <f>Valuation!H96</f>
        <v>2.8052564339160515</v>
      </c>
      <c r="H3149" s="999">
        <f>Valuation!I96</f>
        <v>3.1992884155998818</v>
      </c>
      <c r="I3149" s="999">
        <f>Valuation!J96</f>
        <v>2.9133473518498514</v>
      </c>
    </row>
    <row r="3150" spans="2:14">
      <c r="B3150" s="478" t="s">
        <v>1243</v>
      </c>
      <c r="C3150" s="478"/>
      <c r="D3150" s="999">
        <f>Valuation!E100</f>
        <v>4.6245432765353822</v>
      </c>
      <c r="E3150" s="999">
        <f>Valuation!F100</f>
        <v>4.526600014766796</v>
      </c>
      <c r="F3150" s="999">
        <f>Valuation!G100</f>
        <v>4.5368307383063069</v>
      </c>
      <c r="G3150" s="999">
        <f>Valuation!H100</f>
        <v>5.3775335158222886</v>
      </c>
      <c r="H3150" s="999">
        <f>Valuation!I100</f>
        <v>5.1352653340357577</v>
      </c>
      <c r="I3150" s="999">
        <f>Valuation!J100</f>
        <v>4.9001353502026248</v>
      </c>
    </row>
    <row r="3152" spans="2:14">
      <c r="B3152" s="1072" t="s">
        <v>4188</v>
      </c>
      <c r="C3152" s="1072"/>
    </row>
    <row r="3153" spans="2:9">
      <c r="B3153" s="487"/>
      <c r="C3153" s="487"/>
      <c r="D3153" s="455">
        <v>2015</v>
      </c>
      <c r="E3153" s="455">
        <v>2016</v>
      </c>
      <c r="F3153" s="455">
        <f>E3153+1</f>
        <v>2017</v>
      </c>
      <c r="G3153" s="455">
        <f>F3153+1</f>
        <v>2018</v>
      </c>
      <c r="H3153" s="455">
        <f>G3153+1</f>
        <v>2019</v>
      </c>
      <c r="I3153" s="455">
        <f>H3153+1</f>
        <v>2020</v>
      </c>
    </row>
    <row r="3154" spans="2:9">
      <c r="B3154" s="478" t="s">
        <v>4193</v>
      </c>
      <c r="C3154" s="478"/>
    </row>
    <row r="3155" spans="2:9">
      <c r="B3155" s="478" t="s">
        <v>798</v>
      </c>
      <c r="C3155" s="478"/>
      <c r="D3155" s="523">
        <v>1388</v>
      </c>
      <c r="E3155" s="535">
        <v>1413.4</v>
      </c>
      <c r="F3155">
        <f>E3155</f>
        <v>1413.4</v>
      </c>
    </row>
    <row r="3156" spans="2:9">
      <c r="B3156" s="478" t="s">
        <v>2353</v>
      </c>
      <c r="C3156" s="478"/>
      <c r="D3156" s="449"/>
      <c r="E3156" s="449">
        <f>E3155/D3155-1</f>
        <v>1.8299711815562114E-2</v>
      </c>
    </row>
    <row r="3157" spans="2:9">
      <c r="B3157" s="478" t="s">
        <v>360</v>
      </c>
      <c r="C3157" s="478"/>
      <c r="D3157" s="523">
        <v>403</v>
      </c>
      <c r="E3157" s="523">
        <v>425</v>
      </c>
      <c r="F3157">
        <f>E3157</f>
        <v>425</v>
      </c>
    </row>
    <row r="3158" spans="2:9">
      <c r="B3158" s="478" t="s">
        <v>1434</v>
      </c>
      <c r="C3158" s="478"/>
      <c r="D3158" s="456">
        <f>D3157/D3155</f>
        <v>0.2903458213256484</v>
      </c>
      <c r="E3158" s="456">
        <f>E3157/E3155</f>
        <v>0.30069336352058862</v>
      </c>
      <c r="F3158" s="456">
        <f>F3157/F3155</f>
        <v>0.30069336352058862</v>
      </c>
    </row>
    <row r="3159" spans="2:9">
      <c r="B3159" s="478" t="s">
        <v>1545</v>
      </c>
      <c r="C3159" s="478"/>
      <c r="D3159" s="523">
        <v>836</v>
      </c>
      <c r="E3159" s="523">
        <v>439</v>
      </c>
      <c r="F3159" s="449"/>
    </row>
    <row r="3160" spans="2:9">
      <c r="B3160" s="478" t="s">
        <v>4760</v>
      </c>
      <c r="C3160" s="478"/>
      <c r="D3160" s="449">
        <f>D3159/D3155</f>
        <v>0.60230547550432278</v>
      </c>
      <c r="E3160" s="449">
        <f>E3159/E3155</f>
        <v>0.3105985566718551</v>
      </c>
      <c r="F3160" s="449"/>
    </row>
    <row r="3161" spans="2:9">
      <c r="B3161" s="478" t="s">
        <v>1552</v>
      </c>
      <c r="C3161" s="478"/>
      <c r="D3161" s="454">
        <f>D3157-D3159</f>
        <v>-433</v>
      </c>
      <c r="E3161" s="454">
        <f>E3157-E3159</f>
        <v>-14</v>
      </c>
      <c r="F3161" s="449"/>
    </row>
    <row r="3162" spans="2:9">
      <c r="B3162" s="478"/>
      <c r="C3162" s="478"/>
      <c r="D3162" s="449"/>
      <c r="E3162" s="449"/>
      <c r="F3162" s="449"/>
    </row>
    <row r="3163" spans="2:9">
      <c r="B3163" s="478" t="s">
        <v>150</v>
      </c>
      <c r="C3163" s="478"/>
      <c r="D3163" s="535">
        <f>530.2-613.1</f>
        <v>-82.899999999999977</v>
      </c>
      <c r="E3163" s="535">
        <f>530.2+20-269.5</f>
        <v>280.70000000000005</v>
      </c>
      <c r="F3163" s="1068">
        <v>200</v>
      </c>
    </row>
    <row r="3164" spans="2:9">
      <c r="B3164" s="478"/>
      <c r="C3164" s="478"/>
    </row>
    <row r="3165" spans="2:9">
      <c r="B3165" s="478" t="s">
        <v>4194</v>
      </c>
      <c r="C3165" s="478"/>
    </row>
    <row r="3166" spans="2:9">
      <c r="B3166" s="478" t="s">
        <v>798</v>
      </c>
      <c r="C3166" s="478"/>
      <c r="D3166" s="454">
        <f>D3155*1000/$F$3177</f>
        <v>478.62068965517244</v>
      </c>
      <c r="E3166" s="454">
        <f>E3155*1000/$F$3177</f>
        <v>487.37931034482756</v>
      </c>
      <c r="F3166" s="454">
        <f>F3155*1000/$F$3177</f>
        <v>487.37931034482756</v>
      </c>
    </row>
    <row r="3167" spans="2:9">
      <c r="B3167" s="478" t="s">
        <v>360</v>
      </c>
      <c r="C3167" s="478"/>
      <c r="D3167" s="454">
        <f>D3157*1000/$F$3177</f>
        <v>138.9655172413793</v>
      </c>
      <c r="E3167" s="454">
        <f>E3157*1000/$F$3177</f>
        <v>146.55172413793105</v>
      </c>
      <c r="F3167" s="454">
        <f>F3157*1000/$F$3177</f>
        <v>146.55172413793105</v>
      </c>
    </row>
    <row r="3168" spans="2:9">
      <c r="B3168" s="478" t="s">
        <v>150</v>
      </c>
      <c r="C3168" s="478"/>
      <c r="D3168" s="454">
        <f>D3163*1000/$F$3177</f>
        <v>-28.586206896551715</v>
      </c>
      <c r="E3168" s="454">
        <f>E3163*1000/$F$3177</f>
        <v>96.793103448275886</v>
      </c>
      <c r="F3168" s="454">
        <f>F3163*1000/$F$3177</f>
        <v>68.965517241379317</v>
      </c>
    </row>
    <row r="3169" spans="2:9">
      <c r="B3169" s="478"/>
      <c r="C3169" s="478"/>
    </row>
    <row r="3170" spans="2:9">
      <c r="B3170" s="478" t="s">
        <v>4246</v>
      </c>
      <c r="C3170" s="478"/>
      <c r="F3170" s="454">
        <f>(1+F3172)*F3171</f>
        <v>793.75</v>
      </c>
    </row>
    <row r="3171" spans="2:9">
      <c r="B3171" s="478" t="s">
        <v>4247</v>
      </c>
      <c r="C3171" s="478"/>
      <c r="F3171" s="523">
        <v>635</v>
      </c>
    </row>
    <row r="3172" spans="2:9">
      <c r="B3172" s="478" t="s">
        <v>4245</v>
      </c>
      <c r="C3172" s="478"/>
      <c r="F3172" s="538">
        <v>0.25</v>
      </c>
    </row>
    <row r="3173" spans="2:9">
      <c r="B3173" s="478"/>
      <c r="C3173" s="478"/>
    </row>
    <row r="3174" spans="2:9">
      <c r="B3174" s="478" t="s">
        <v>4189</v>
      </c>
      <c r="C3174" s="478"/>
      <c r="F3174" s="523">
        <v>3551</v>
      </c>
    </row>
    <row r="3176" spans="2:9">
      <c r="B3176" s="478" t="s">
        <v>4190</v>
      </c>
      <c r="C3176" s="478"/>
      <c r="F3176" s="454">
        <f>F3170*F3174/1000</f>
        <v>2818.6062499999998</v>
      </c>
    </row>
    <row r="3177" spans="2:9">
      <c r="B3177" s="478" t="s">
        <v>1106</v>
      </c>
      <c r="C3177" s="478"/>
      <c r="F3177" s="523">
        <v>2900</v>
      </c>
    </row>
    <row r="3178" spans="2:9">
      <c r="B3178" s="478" t="s">
        <v>4191</v>
      </c>
      <c r="C3178" s="478"/>
      <c r="F3178" s="454">
        <f>F3176*1000/F3177</f>
        <v>971.93318965517244</v>
      </c>
    </row>
    <row r="3180" spans="2:9" hidden="1" outlineLevel="1">
      <c r="B3180" s="478" t="s">
        <v>1382</v>
      </c>
      <c r="C3180" s="478"/>
      <c r="F3180" s="538">
        <v>0.08</v>
      </c>
    </row>
    <row r="3181" spans="2:9" hidden="1" outlineLevel="1">
      <c r="B3181" s="478" t="s">
        <v>4192</v>
      </c>
      <c r="C3181" s="478"/>
      <c r="F3181" s="454">
        <f>$F$3180*$F$3178</f>
        <v>77.754655172413791</v>
      </c>
      <c r="G3181" s="454">
        <f>$F$3180*$F$3178+F3181</f>
        <v>155.50931034482758</v>
      </c>
      <c r="H3181" s="454">
        <f>$F$3180*$F$3178+G3181</f>
        <v>233.26396551724139</v>
      </c>
      <c r="I3181" s="454">
        <f>$F$3180*$F$3178+H3181</f>
        <v>311.01862068965517</v>
      </c>
    </row>
    <row r="3182" spans="2:9" hidden="1" outlineLevel="1"/>
    <row r="3183" spans="2:9" outlineLevel="1">
      <c r="B3183" s="478" t="s">
        <v>4740</v>
      </c>
      <c r="C3183" s="478"/>
      <c r="F3183" s="468">
        <f>(F3176+F3168)/F3157</f>
        <v>6.7942865111561863</v>
      </c>
    </row>
    <row r="3184" spans="2:9" outlineLevel="1"/>
    <row r="3185" spans="2:11">
      <c r="B3185" s="451" t="s">
        <v>3316</v>
      </c>
      <c r="C3185" s="451"/>
      <c r="D3185" s="455"/>
      <c r="E3185" s="455"/>
      <c r="F3185" s="451">
        <f>F3153</f>
        <v>2017</v>
      </c>
      <c r="G3185" s="451">
        <f>G3153</f>
        <v>2018</v>
      </c>
      <c r="H3185" s="451">
        <f>H3153</f>
        <v>2019</v>
      </c>
      <c r="I3185" s="451">
        <f>I3153</f>
        <v>2020</v>
      </c>
    </row>
    <row r="3186" spans="2:11" outlineLevel="1">
      <c r="B3186" s="478" t="s">
        <v>4200</v>
      </c>
      <c r="C3186" s="478"/>
      <c r="E3186" s="464"/>
      <c r="F3186" s="464">
        <f>Master!T428</f>
        <v>4073</v>
      </c>
      <c r="G3186" s="464">
        <f>Master!U428</f>
        <v>5133</v>
      </c>
      <c r="H3186" s="464">
        <f>Master!V428</f>
        <v>7236</v>
      </c>
      <c r="I3186" s="464">
        <f>Master!W428</f>
        <v>6631</v>
      </c>
    </row>
    <row r="3187" spans="2:11" outlineLevel="1">
      <c r="B3187" s="478" t="s">
        <v>4196</v>
      </c>
      <c r="C3187" s="478"/>
      <c r="E3187" s="464"/>
      <c r="F3187" s="464">
        <f>F3178</f>
        <v>971.93318965517244</v>
      </c>
      <c r="G3187" s="464"/>
      <c r="H3187" s="464"/>
      <c r="I3187" s="464"/>
    </row>
    <row r="3188" spans="2:11" outlineLevel="1">
      <c r="B3188" s="478" t="s">
        <v>4195</v>
      </c>
      <c r="C3188" s="478"/>
      <c r="E3188" s="454"/>
      <c r="F3188" s="454">
        <f>F3168</f>
        <v>68.965517241379317</v>
      </c>
      <c r="K3188">
        <f>(F3176+D3163)/D3157</f>
        <v>6.7883529776674933</v>
      </c>
    </row>
    <row r="3189" spans="2:11" outlineLevel="1">
      <c r="B3189" s="487" t="s">
        <v>1382</v>
      </c>
      <c r="C3189" s="487"/>
      <c r="D3189" s="455"/>
      <c r="E3189" s="455"/>
      <c r="F3189" s="462">
        <f>F3181</f>
        <v>77.754655172413791</v>
      </c>
      <c r="G3189" s="455"/>
      <c r="H3189" s="455"/>
      <c r="I3189" s="455"/>
    </row>
    <row r="3190" spans="2:11" outlineLevel="1">
      <c r="B3190" s="478" t="s">
        <v>1317</v>
      </c>
      <c r="C3190" s="478"/>
      <c r="F3190" s="464">
        <f>SUM(F3186:F3189)</f>
        <v>5191.6533620689652</v>
      </c>
    </row>
    <row r="3191" spans="2:11" outlineLevel="1"/>
    <row r="3192" spans="2:11" outlineLevel="1">
      <c r="B3192" s="478" t="s">
        <v>4199</v>
      </c>
      <c r="C3192" s="478"/>
      <c r="F3192" s="464">
        <f>Master!T14</f>
        <v>2181</v>
      </c>
    </row>
    <row r="3193" spans="2:11" outlineLevel="1">
      <c r="B3193" s="487" t="s">
        <v>4197</v>
      </c>
      <c r="C3193" s="487"/>
      <c r="D3193" s="455"/>
      <c r="E3193" s="455"/>
      <c r="F3193" s="462">
        <f>F3167</f>
        <v>146.55172413793105</v>
      </c>
      <c r="G3193" s="455"/>
      <c r="H3193" s="455"/>
      <c r="I3193" s="455"/>
    </row>
    <row r="3194" spans="2:11" outlineLevel="1">
      <c r="B3194" s="478" t="s">
        <v>4198</v>
      </c>
      <c r="C3194" s="478"/>
      <c r="F3194" s="464">
        <f>SUM(F3192:F3193)</f>
        <v>2327.5517241379312</v>
      </c>
    </row>
    <row r="3195" spans="2:11" outlineLevel="1"/>
    <row r="3196" spans="2:11">
      <c r="B3196" s="478" t="s">
        <v>4248</v>
      </c>
      <c r="C3196" s="478"/>
      <c r="F3196" s="468">
        <f>F3186/F3192</f>
        <v>1.8674919761577258</v>
      </c>
    </row>
    <row r="3197" spans="2:11">
      <c r="B3197" s="478" t="s">
        <v>4201</v>
      </c>
      <c r="C3197" s="478"/>
      <c r="F3197" s="468">
        <f>F3190/F3194</f>
        <v>2.2305211558689755</v>
      </c>
    </row>
    <row r="3199" spans="2:11">
      <c r="B3199" s="450" t="s">
        <v>3371</v>
      </c>
      <c r="C3199" s="450"/>
    </row>
    <row r="3200" spans="2:11" outlineLevel="1">
      <c r="B3200" s="478" t="s">
        <v>4202</v>
      </c>
      <c r="C3200" s="478"/>
      <c r="F3200" s="464">
        <f>Valuation!G94</f>
        <v>3173.8900000000003</v>
      </c>
    </row>
    <row r="3201" spans="2:6" outlineLevel="1">
      <c r="B3201" s="478" t="s">
        <v>4739</v>
      </c>
      <c r="C3201" s="478"/>
      <c r="F3201" s="464">
        <f>F3187</f>
        <v>971.93318965517244</v>
      </c>
    </row>
    <row r="3202" spans="2:6" outlineLevel="1">
      <c r="B3202" t="str">
        <f>B3189</f>
        <v>Interest</v>
      </c>
      <c r="F3202" s="464">
        <f>F3188</f>
        <v>68.965517241379317</v>
      </c>
    </row>
    <row r="3203" spans="2:6" outlineLevel="1">
      <c r="B3203" s="455" t="str">
        <f>B3190</f>
        <v>New net debt</v>
      </c>
      <c r="C3203" s="455"/>
      <c r="D3203" s="455"/>
      <c r="E3203" s="455"/>
      <c r="F3203" s="490">
        <f>F3189</f>
        <v>77.754655172413791</v>
      </c>
    </row>
    <row r="3204" spans="2:6" outlineLevel="1">
      <c r="B3204" s="478" t="s">
        <v>4203</v>
      </c>
      <c r="C3204" s="478"/>
      <c r="F3204" s="464">
        <f>SUM(F3200:F3203)</f>
        <v>4292.5433620689655</v>
      </c>
    </row>
    <row r="3205" spans="2:6" outlineLevel="1"/>
    <row r="3206" spans="2:6" outlineLevel="1">
      <c r="B3206" s="478" t="s">
        <v>4204</v>
      </c>
      <c r="C3206" s="478"/>
      <c r="F3206" s="464">
        <f>Valuation!G85</f>
        <v>1555.2413908612966</v>
      </c>
    </row>
    <row r="3207" spans="2:6" outlineLevel="1">
      <c r="B3207" s="487" t="str">
        <f>B3193</f>
        <v>ETB EBITDA</v>
      </c>
      <c r="C3207" s="487"/>
      <c r="D3207" s="455"/>
      <c r="E3207" s="455"/>
      <c r="F3207" s="462">
        <f>F3193</f>
        <v>146.55172413793105</v>
      </c>
    </row>
    <row r="3208" spans="2:6" outlineLevel="1">
      <c r="B3208" s="478" t="s">
        <v>4205</v>
      </c>
      <c r="C3208" s="478"/>
      <c r="F3208" s="464">
        <f>SUM(F3206:F3207)</f>
        <v>1701.7931149992278</v>
      </c>
    </row>
    <row r="3209" spans="2:6" outlineLevel="1"/>
    <row r="3210" spans="2:6">
      <c r="B3210" s="478" t="s">
        <v>4249</v>
      </c>
      <c r="C3210" s="478"/>
      <c r="E3210" s="570"/>
      <c r="F3210" s="570">
        <f>Valuation!G96</f>
        <v>2.0407700172140428</v>
      </c>
    </row>
    <row r="3211" spans="2:6">
      <c r="B3211" s="478" t="s">
        <v>4206</v>
      </c>
      <c r="C3211" s="478"/>
      <c r="F3211" s="468">
        <f>F3204/F3208</f>
        <v>2.5223649832846533</v>
      </c>
    </row>
    <row r="3213" spans="2:6">
      <c r="B3213" s="1072" t="s">
        <v>4408</v>
      </c>
      <c r="C3213" s="1072"/>
    </row>
    <row r="3215" spans="2:6">
      <c r="B3215" s="487" t="s">
        <v>4207</v>
      </c>
      <c r="C3215" s="487"/>
      <c r="D3215" s="455">
        <v>2016</v>
      </c>
      <c r="E3215" s="455">
        <f>D3215+1</f>
        <v>2017</v>
      </c>
      <c r="F3215" s="455">
        <f>E3215+1</f>
        <v>2018</v>
      </c>
    </row>
    <row r="3216" spans="2:6">
      <c r="B3216" s="478" t="s">
        <v>798</v>
      </c>
      <c r="C3216" s="478"/>
      <c r="D3216" s="464">
        <f ca="1">Div!P37</f>
        <v>6200.0693455538021</v>
      </c>
      <c r="E3216" s="464">
        <f ca="1">Div!Q37</f>
        <v>6355.3589027815187</v>
      </c>
      <c r="F3216" s="464">
        <f ca="1">Div!R37</f>
        <v>6348.251016326808</v>
      </c>
    </row>
    <row r="3217" spans="2:20">
      <c r="B3217" s="478" t="s">
        <v>1433</v>
      </c>
      <c r="C3217" s="478"/>
      <c r="D3217" s="464">
        <f ca="1">Div!P69</f>
        <v>2169.7044926796475</v>
      </c>
      <c r="E3217" s="464">
        <f ca="1">Div!Q69</f>
        <v>2206.4238861207118</v>
      </c>
      <c r="F3217" s="464">
        <f ca="1">Div!R69</f>
        <v>2201.1611047496122</v>
      </c>
    </row>
    <row r="3218" spans="2:20">
      <c r="B3218" s="478" t="s">
        <v>1434</v>
      </c>
      <c r="C3218" s="478"/>
      <c r="D3218" s="456">
        <f ca="1">D3217/D3216</f>
        <v>0.34994842343748744</v>
      </c>
      <c r="E3218" s="456">
        <f ca="1">E3217/E3216</f>
        <v>0.34717533972078857</v>
      </c>
      <c r="F3218" s="456">
        <f ca="1">F3217/F3216</f>
        <v>0.34673504546189743</v>
      </c>
    </row>
    <row r="3219" spans="2:20">
      <c r="B3219" s="478" t="s">
        <v>1545</v>
      </c>
      <c r="C3219" s="478"/>
      <c r="D3219" s="464">
        <f ca="1">Div!P83</f>
        <v>1082.1195656627342</v>
      </c>
      <c r="E3219" s="464">
        <f ca="1">Div!Q83</f>
        <v>1043.7486197549406</v>
      </c>
      <c r="F3219" s="464">
        <f ca="1">Div!R83</f>
        <v>969.54378268352377</v>
      </c>
    </row>
    <row r="3220" spans="2:20">
      <c r="B3220" s="478" t="s">
        <v>1552</v>
      </c>
      <c r="C3220" s="478"/>
      <c r="D3220" s="464">
        <f ca="1">D3217-D3219</f>
        <v>1087.5849270169133</v>
      </c>
      <c r="E3220" s="464">
        <f ca="1">E3217-E3219</f>
        <v>1162.6752663657712</v>
      </c>
      <c r="F3220" s="464">
        <f ca="1">F3217-F3219</f>
        <v>1231.6173220660885</v>
      </c>
    </row>
    <row r="3222" spans="2:20" hidden="1" outlineLevel="1">
      <c r="B3222" s="487" t="s">
        <v>4208</v>
      </c>
      <c r="C3222" s="487"/>
      <c r="D3222" s="455">
        <v>2016</v>
      </c>
      <c r="E3222" s="455">
        <f>D3222+1</f>
        <v>2017</v>
      </c>
      <c r="F3222" s="455">
        <f>E3222+1</f>
        <v>2018</v>
      </c>
    </row>
    <row r="3223" spans="2:20" hidden="1" outlineLevel="1">
      <c r="B3223" t="str">
        <f>B3216</f>
        <v>Revs</v>
      </c>
      <c r="D3223" s="464">
        <v>6379.1375451844115</v>
      </c>
      <c r="E3223" s="464">
        <v>6821.2607729701422</v>
      </c>
      <c r="F3223" s="464">
        <v>7151.698415618318</v>
      </c>
    </row>
    <row r="3224" spans="2:20" hidden="1" outlineLevel="1">
      <c r="B3224" t="str">
        <f>B3217</f>
        <v>Clean EBITDA</v>
      </c>
      <c r="D3224" s="464">
        <v>2255.3654041633226</v>
      </c>
      <c r="E3224" s="464">
        <v>2404.5618157627264</v>
      </c>
      <c r="F3224" s="464">
        <v>2548.7526909523731</v>
      </c>
    </row>
    <row r="3225" spans="2:20" hidden="1" outlineLevel="1">
      <c r="B3225" t="str">
        <f>B3218</f>
        <v>% margin</v>
      </c>
      <c r="D3225" s="456">
        <f>D3224/D3223</f>
        <v>0.35355334293832402</v>
      </c>
      <c r="E3225" s="456">
        <f>E3224/E3223</f>
        <v>0.35250987988775012</v>
      </c>
      <c r="F3225" s="456">
        <f>F3224/F3223</f>
        <v>0.35638425208007241</v>
      </c>
    </row>
    <row r="3226" spans="2:20" hidden="1" outlineLevel="1">
      <c r="B3226" t="str">
        <f>B3219</f>
        <v>Capex</v>
      </c>
      <c r="D3226" s="464">
        <v>1070.2250900170397</v>
      </c>
      <c r="E3226" s="464">
        <v>1095.0626374819469</v>
      </c>
      <c r="F3226" s="464">
        <v>1084.3002534415298</v>
      </c>
    </row>
    <row r="3227" spans="2:20" hidden="1" outlineLevel="1">
      <c r="B3227" t="str">
        <f>B3220</f>
        <v>OpFCF</v>
      </c>
      <c r="D3227" s="464">
        <f>D3224-D3226</f>
        <v>1185.1403141462829</v>
      </c>
      <c r="E3227" s="464">
        <f>E3224-E3226</f>
        <v>1309.4991782807795</v>
      </c>
      <c r="F3227" s="464">
        <f>F3224-F3226</f>
        <v>1464.4524375108433</v>
      </c>
    </row>
    <row r="3228" spans="2:20" hidden="1" outlineLevel="1">
      <c r="D3228" s="464"/>
      <c r="E3228" s="464"/>
      <c r="F3228" s="464"/>
    </row>
    <row r="3229" spans="2:20" collapsed="1">
      <c r="B3229" s="478" t="s">
        <v>4210</v>
      </c>
      <c r="C3229" s="478"/>
    </row>
    <row r="3230" spans="2:20">
      <c r="B3230" s="487"/>
      <c r="C3230" s="487"/>
      <c r="D3230" s="455">
        <f>D3215</f>
        <v>2016</v>
      </c>
      <c r="E3230" s="455">
        <f>E3215</f>
        <v>2017</v>
      </c>
      <c r="F3230" s="455">
        <f>F3215</f>
        <v>2018</v>
      </c>
    </row>
    <row r="3231" spans="2:20">
      <c r="B3231" t="str">
        <f>B3223</f>
        <v>Revs</v>
      </c>
      <c r="D3231" s="456">
        <f t="shared" ref="D3231:F3232" ca="1" si="370">D3216/D3223-1</f>
        <v>-2.8070910583482767E-2</v>
      </c>
      <c r="E3231" s="456">
        <f t="shared" ca="1" si="370"/>
        <v>-6.830143073180861E-2</v>
      </c>
      <c r="F3231" s="456">
        <f t="shared" ca="1" si="370"/>
        <v>-0.1123435794687444</v>
      </c>
      <c r="L3231" s="478" t="s">
        <v>2724</v>
      </c>
      <c r="M3231">
        <v>555</v>
      </c>
      <c r="N3231">
        <v>100</v>
      </c>
      <c r="O3231" s="468">
        <v>9</v>
      </c>
      <c r="P3231" s="454">
        <f>M3231*N3231/O3231</f>
        <v>6166.666666666667</v>
      </c>
      <c r="Q3231" s="464">
        <f ca="1">Q3233-Q3232</f>
        <v>5240.3858744084164</v>
      </c>
      <c r="R3231" s="449">
        <f ca="1">Q3231/P3231-1</f>
        <v>-0.15020769604187845</v>
      </c>
      <c r="T3231" s="454">
        <f ca="1">(1+R3231)*M3231</f>
        <v>471.63472869675746</v>
      </c>
    </row>
    <row r="3232" spans="2:20">
      <c r="B3232" t="str">
        <f>B3224</f>
        <v>Clean EBITDA</v>
      </c>
      <c r="D3232" s="456">
        <f t="shared" ca="1" si="370"/>
        <v>-3.7980945936985755E-2</v>
      </c>
      <c r="E3232" s="456">
        <f t="shared" ca="1" si="370"/>
        <v>-8.2400846733551414E-2</v>
      </c>
      <c r="F3232" s="456">
        <f t="shared" ca="1" si="370"/>
        <v>-0.13637713358249715</v>
      </c>
      <c r="L3232" s="478" t="s">
        <v>2721</v>
      </c>
      <c r="P3232" s="464">
        <f ca="1">SOP!I32</f>
        <v>5411.8432365614617</v>
      </c>
      <c r="Q3232" s="464">
        <f ca="1">P3232</f>
        <v>5411.8432365614617</v>
      </c>
    </row>
    <row r="3233" spans="2:17">
      <c r="B3233" s="478" t="s">
        <v>1552</v>
      </c>
      <c r="C3233" s="478"/>
      <c r="D3233" s="456">
        <f ca="1">D3220/D3227-1</f>
        <v>-8.231547434924924E-2</v>
      </c>
      <c r="E3233" s="456">
        <f ca="1">E3220/E3227-1</f>
        <v>-0.11212218713093891</v>
      </c>
      <c r="F3233" s="456">
        <f ca="1">F3220/F3227-1</f>
        <v>-0.15899124442751378</v>
      </c>
      <c r="L3233" s="478" t="s">
        <v>2722</v>
      </c>
      <c r="P3233" s="464">
        <f ca="1">P3231+P3232</f>
        <v>11578.509903228129</v>
      </c>
      <c r="Q3233" s="454">
        <f ca="1">P3233*0.92</f>
        <v>10652.229110969878</v>
      </c>
    </row>
    <row r="3236" spans="2:17">
      <c r="B3236" s="1072" t="s">
        <v>4411</v>
      </c>
      <c r="C3236" s="1072"/>
    </row>
    <row r="3238" spans="2:17">
      <c r="B3238" s="487" t="s">
        <v>945</v>
      </c>
      <c r="C3238" s="487"/>
      <c r="D3238" s="508" t="s">
        <v>4082</v>
      </c>
      <c r="E3238" s="508" t="s">
        <v>4254</v>
      </c>
      <c r="F3238" s="508" t="s">
        <v>4387</v>
      </c>
      <c r="G3238" s="508" t="s">
        <v>4086</v>
      </c>
      <c r="H3238" s="495">
        <v>2017</v>
      </c>
      <c r="I3238" s="495">
        <v>2018</v>
      </c>
    </row>
    <row r="3239" spans="2:17">
      <c r="B3239" s="478" t="s">
        <v>1250</v>
      </c>
      <c r="C3239" s="478"/>
      <c r="D3239" s="456">
        <f>'Country quarts'!W34</f>
        <v>4.1000000000000002E-2</v>
      </c>
      <c r="E3239" s="456">
        <f>'Country quarts'!X34</f>
        <v>2.1000000000000001E-2</v>
      </c>
      <c r="F3239" s="456">
        <f>'Country quarts'!Y34</f>
        <v>-2E-3</v>
      </c>
      <c r="G3239" s="456">
        <f ca="1">'Country quarts'!Z34</f>
        <v>-3.6412316148392243E-2</v>
      </c>
      <c r="H3239" s="456">
        <f ca="1">Div!Q40</f>
        <v>1.9828151662092841E-2</v>
      </c>
      <c r="I3239" s="456">
        <f ca="1">Div!R40</f>
        <v>-5.0765627969530103E-3</v>
      </c>
    </row>
    <row r="3240" spans="2:17">
      <c r="B3240" s="478" t="s">
        <v>4412</v>
      </c>
      <c r="C3240" s="478"/>
      <c r="D3240" s="456">
        <v>-0.01</v>
      </c>
      <c r="E3240" s="456">
        <v>-6.7999015988001732E-3</v>
      </c>
      <c r="F3240" s="456">
        <v>-3.7000000000000005E-2</v>
      </c>
      <c r="G3240" s="456">
        <v>-2.9000000000000001E-2</v>
      </c>
      <c r="H3240" s="456">
        <v>6.0000000000000001E-3</v>
      </c>
      <c r="I3240" s="456">
        <v>1.6E-2</v>
      </c>
    </row>
    <row r="3241" spans="2:17">
      <c r="B3241" s="478" t="s">
        <v>4413</v>
      </c>
      <c r="C3241" s="478"/>
      <c r="D3241" s="456">
        <v>0.05</v>
      </c>
      <c r="E3241" s="456">
        <v>0.01</v>
      </c>
      <c r="F3241" s="456">
        <v>-0.01</v>
      </c>
      <c r="G3241" s="456">
        <v>5.0000000000000001E-3</v>
      </c>
      <c r="H3241" s="456">
        <v>2.8000000000000001E-2</v>
      </c>
      <c r="I3241" s="456">
        <v>3.5000000000000003E-2</v>
      </c>
    </row>
    <row r="3243" spans="2:17">
      <c r="D3243" s="478" t="s">
        <v>565</v>
      </c>
      <c r="E3243" s="478"/>
    </row>
    <row r="3244" spans="2:17">
      <c r="B3244" s="487"/>
      <c r="C3244" s="487"/>
      <c r="D3244" s="487" t="s">
        <v>2017</v>
      </c>
      <c r="E3244" s="487" t="s">
        <v>1646</v>
      </c>
      <c r="F3244" s="487" t="s">
        <v>821</v>
      </c>
      <c r="G3244" s="487" t="s">
        <v>4379</v>
      </c>
    </row>
    <row r="3245" spans="2:17">
      <c r="B3245" s="478" t="s">
        <v>1531</v>
      </c>
      <c r="C3245" s="478"/>
      <c r="D3245" s="478" t="s">
        <v>4304</v>
      </c>
      <c r="E3245" s="478" t="s">
        <v>4305</v>
      </c>
      <c r="F3245" s="456">
        <f>'Country quarts'!Z37</f>
        <v>0</v>
      </c>
      <c r="G3245" s="456">
        <f>F3245+'Country quarts'!P35</f>
        <v>0</v>
      </c>
    </row>
    <row r="3246" spans="2:17">
      <c r="B3246" s="478" t="s">
        <v>360</v>
      </c>
      <c r="C3246" s="478"/>
      <c r="D3246" s="478" t="s">
        <v>4306</v>
      </c>
      <c r="E3246" s="478" t="s">
        <v>4306</v>
      </c>
      <c r="F3246" s="456">
        <f>'Country quarts'!Z40</f>
        <v>0</v>
      </c>
      <c r="G3246" s="456">
        <f>F3246+J3247</f>
        <v>1.9546169400134872E-2</v>
      </c>
      <c r="I3246" s="464">
        <f>Master!S14</f>
        <v>2225.5</v>
      </c>
      <c r="J3246">
        <v>2269</v>
      </c>
    </row>
    <row r="3247" spans="2:17">
      <c r="B3247" s="478" t="s">
        <v>4309</v>
      </c>
      <c r="C3247" s="478"/>
      <c r="D3247" s="478" t="s">
        <v>4308</v>
      </c>
      <c r="E3247" s="478" t="s">
        <v>4307</v>
      </c>
      <c r="F3247" s="531">
        <f ca="1">Div!P83/1000</f>
        <v>1.0821195656627343</v>
      </c>
      <c r="G3247">
        <v>1.1599999999999999</v>
      </c>
      <c r="J3247" s="456">
        <f>J3246/I3246-1</f>
        <v>1.9546169400134872E-2</v>
      </c>
    </row>
    <row r="3249" spans="2:13">
      <c r="B3249" s="478"/>
      <c r="C3249" s="478"/>
    </row>
    <row r="3250" spans="2:13">
      <c r="B3250" s="478"/>
      <c r="C3250" s="478"/>
      <c r="D3250" s="493" t="s">
        <v>3503</v>
      </c>
      <c r="E3250" s="493" t="s">
        <v>3591</v>
      </c>
      <c r="F3250" s="493" t="s">
        <v>3608</v>
      </c>
      <c r="G3250" s="493" t="s">
        <v>3662</v>
      </c>
      <c r="H3250" s="493" t="s">
        <v>3699</v>
      </c>
      <c r="I3250" s="493" t="s">
        <v>3790</v>
      </c>
      <c r="J3250" s="493" t="s">
        <v>3814</v>
      </c>
      <c r="K3250" s="493" t="s">
        <v>3866</v>
      </c>
      <c r="L3250" s="493" t="s">
        <v>4082</v>
      </c>
      <c r="M3250" s="493" t="s">
        <v>4254</v>
      </c>
    </row>
    <row r="3251" spans="2:13">
      <c r="B3251" s="478"/>
      <c r="C3251" s="478"/>
      <c r="D3251" s="456">
        <v>0.3404147741559303</v>
      </c>
      <c r="E3251" s="456">
        <v>0.33076331126371422</v>
      </c>
      <c r="F3251" s="456">
        <v>0.33272204024857449</v>
      </c>
      <c r="G3251" s="456">
        <v>0.32023641209300546</v>
      </c>
      <c r="H3251" s="456">
        <v>0.33613408154397501</v>
      </c>
      <c r="I3251" s="456">
        <v>0.33657440039193104</v>
      </c>
      <c r="J3251" s="456">
        <v>0.34512966203041151</v>
      </c>
      <c r="K3251" s="456">
        <v>0.32891339555281096</v>
      </c>
      <c r="L3251" s="456">
        <v>0.3598742819998455</v>
      </c>
      <c r="M3251" s="456">
        <v>0.35650398812708395</v>
      </c>
    </row>
    <row r="3252" spans="2:13">
      <c r="B3252" s="478"/>
      <c r="C3252" s="478"/>
      <c r="F3252" s="456">
        <v>5.8999999999999997E-2</v>
      </c>
      <c r="G3252" s="456">
        <v>5.7000000000000002E-2</v>
      </c>
      <c r="H3252" s="456">
        <f>'Country quarts'!S34</f>
        <v>5.6000000000000001E-2</v>
      </c>
      <c r="I3252" s="456">
        <f>'Country quarts'!T34</f>
        <v>5.7000000000000002E-2</v>
      </c>
      <c r="J3252" s="456">
        <f>'Country quarts'!U34</f>
        <v>5.8000000000000003E-2</v>
      </c>
      <c r="K3252" s="456">
        <f>'Country quarts'!V34</f>
        <v>5.8999999999999997E-2</v>
      </c>
      <c r="L3252" s="456">
        <f>'Country quarts'!W34</f>
        <v>4.1000000000000002E-2</v>
      </c>
      <c r="M3252" s="456">
        <f>'Country quarts'!X34</f>
        <v>2.1000000000000001E-2</v>
      </c>
    </row>
    <row r="3270" spans="2:8">
      <c r="B3270" s="1072" t="s">
        <v>4372</v>
      </c>
      <c r="C3270" s="1072"/>
    </row>
    <row r="3272" spans="2:8">
      <c r="B3272" s="487" t="s">
        <v>4207</v>
      </c>
      <c r="C3272" s="487"/>
      <c r="D3272" s="455">
        <v>2016</v>
      </c>
      <c r="E3272" s="455">
        <f>D3272+1</f>
        <v>2017</v>
      </c>
      <c r="F3272" s="455">
        <f>E3272+1</f>
        <v>2018</v>
      </c>
      <c r="G3272" s="455">
        <f>F3272+1</f>
        <v>2019</v>
      </c>
      <c r="H3272" s="455">
        <f>G3272+1</f>
        <v>2020</v>
      </c>
    </row>
    <row r="3273" spans="2:8">
      <c r="B3273" s="478" t="s">
        <v>798</v>
      </c>
      <c r="C3273" s="478"/>
      <c r="D3273" s="464">
        <f>Master!S5</f>
        <v>6248.8819186869696</v>
      </c>
      <c r="E3273" s="464">
        <f>Master!T5</f>
        <v>6089</v>
      </c>
      <c r="F3273" s="464">
        <f>Master!U5</f>
        <v>6012</v>
      </c>
      <c r="G3273" s="464">
        <f>Master!V5</f>
        <v>6371</v>
      </c>
      <c r="H3273" s="464">
        <f>Master!W5</f>
        <v>6232</v>
      </c>
    </row>
    <row r="3274" spans="2:8">
      <c r="B3274" s="478" t="s">
        <v>1433</v>
      </c>
      <c r="C3274" s="478"/>
      <c r="D3274" s="464">
        <f>Master!S14</f>
        <v>2225.5</v>
      </c>
      <c r="E3274" s="464">
        <f>Master!T14</f>
        <v>2181</v>
      </c>
      <c r="F3274" s="464">
        <f>Master!U14</f>
        <v>2182</v>
      </c>
      <c r="G3274" s="464">
        <f>Master!V14</f>
        <v>2550</v>
      </c>
      <c r="H3274" s="464">
        <f>Master!W14</f>
        <v>2641</v>
      </c>
    </row>
    <row r="3275" spans="2:8">
      <c r="B3275" s="478" t="s">
        <v>1434</v>
      </c>
      <c r="C3275" s="478"/>
      <c r="D3275" s="456">
        <f>D3274/D3273</f>
        <v>0.35614371162059461</v>
      </c>
      <c r="E3275" s="456">
        <f>E3274/E3273</f>
        <v>0.35818689439973722</v>
      </c>
      <c r="F3275" s="456">
        <f>F3274/F3273</f>
        <v>0.36294078509647371</v>
      </c>
      <c r="G3275" s="456">
        <f>G3274/G3273</f>
        <v>0.4002511379689217</v>
      </c>
      <c r="H3275" s="456">
        <f>H3274/H3273</f>
        <v>0.42378048780487804</v>
      </c>
    </row>
    <row r="3276" spans="2:8">
      <c r="B3276" s="478" t="s">
        <v>1545</v>
      </c>
      <c r="C3276" s="478"/>
      <c r="D3276" s="464">
        <f ca="1">Div!P83</f>
        <v>1082.1195656627342</v>
      </c>
      <c r="E3276" s="464">
        <f ca="1">Div!Q83</f>
        <v>1043.7486197549406</v>
      </c>
      <c r="F3276" s="464">
        <f ca="1">Div!R83</f>
        <v>969.54378268352377</v>
      </c>
      <c r="G3276" s="464">
        <f ca="1">Div!S83</f>
        <v>1077.2322555089668</v>
      </c>
      <c r="H3276" s="464">
        <f ca="1">Div!T83</f>
        <v>1089.7268610027838</v>
      </c>
    </row>
    <row r="3277" spans="2:8">
      <c r="B3277" s="478" t="s">
        <v>1552</v>
      </c>
      <c r="C3277" s="478"/>
      <c r="D3277" s="464">
        <f ca="1">D3274-D3276</f>
        <v>1143.3804343372658</v>
      </c>
      <c r="E3277" s="464">
        <f ca="1">E3274-E3276</f>
        <v>1137.2513802450594</v>
      </c>
      <c r="F3277" s="464">
        <f ca="1">F3274-F3276</f>
        <v>1212.4562173164763</v>
      </c>
      <c r="G3277" s="464">
        <f ca="1">G3274-G3276</f>
        <v>1472.7677444910332</v>
      </c>
      <c r="H3277" s="464">
        <f ca="1">H3274-H3276</f>
        <v>1551.2731389972162</v>
      </c>
    </row>
    <row r="3279" spans="2:8" hidden="1" outlineLevel="1">
      <c r="B3279" s="487" t="s">
        <v>4208</v>
      </c>
      <c r="C3279" s="487"/>
      <c r="D3279" s="455">
        <v>2016</v>
      </c>
      <c r="E3279" s="455">
        <f>D3279+1</f>
        <v>2017</v>
      </c>
      <c r="F3279" s="455">
        <f>E3279+1</f>
        <v>2018</v>
      </c>
      <c r="G3279" s="455">
        <f>F3279+1</f>
        <v>2019</v>
      </c>
      <c r="H3279" s="455">
        <f>G3279+1</f>
        <v>2020</v>
      </c>
    </row>
    <row r="3280" spans="2:8" hidden="1" outlineLevel="1">
      <c r="B3280" t="str">
        <f>B3273</f>
        <v>Revs</v>
      </c>
      <c r="D3280" s="464">
        <v>6431.8891480042348</v>
      </c>
      <c r="E3280" s="464">
        <v>6894.6339368013359</v>
      </c>
      <c r="F3280" s="464">
        <v>7229.4276330619641</v>
      </c>
      <c r="G3280" s="464">
        <v>7617.2261604785381</v>
      </c>
      <c r="H3280" s="464">
        <v>8030.2323281170193</v>
      </c>
    </row>
    <row r="3281" spans="2:8" hidden="1" outlineLevel="1">
      <c r="B3281" t="str">
        <f>B3274</f>
        <v>Clean EBITDA</v>
      </c>
      <c r="D3281" s="464">
        <v>2286.5311209761776</v>
      </c>
      <c r="E3281" s="464">
        <v>2425.8162923578957</v>
      </c>
      <c r="F3281" s="464">
        <v>2583.8839591794995</v>
      </c>
      <c r="G3281" s="464">
        <v>2763.4290122899101</v>
      </c>
      <c r="H3281" s="464">
        <v>2980.4000117349087</v>
      </c>
    </row>
    <row r="3282" spans="2:8" hidden="1" outlineLevel="1">
      <c r="B3282" t="str">
        <f>B3275</f>
        <v>% margin</v>
      </c>
      <c r="D3282" s="456">
        <f>D3281/D3280</f>
        <v>0.35549914937288224</v>
      </c>
      <c r="E3282" s="456">
        <f>E3281/E3280</f>
        <v>0.35184120209916719</v>
      </c>
      <c r="F3282" s="456">
        <f>F3281/F3280</f>
        <v>0.35741196818441862</v>
      </c>
      <c r="G3282" s="456">
        <f>G3281/G3280</f>
        <v>0.36278678800792002</v>
      </c>
      <c r="H3282" s="456">
        <f>H3281/H3280</f>
        <v>0.37114742014366753</v>
      </c>
    </row>
    <row r="3283" spans="2:8" hidden="1" outlineLevel="1"/>
    <row r="3284" spans="2:8" hidden="1" outlineLevel="1">
      <c r="B3284" t="str">
        <f>B3276</f>
        <v>Capex</v>
      </c>
      <c r="D3284" s="464">
        <v>1186.2745044366413</v>
      </c>
      <c r="E3284" s="464">
        <v>1167.5481836935987</v>
      </c>
      <c r="F3284" s="464">
        <v>1129.3554075892848</v>
      </c>
      <c r="G3284" s="464">
        <v>1150.9665101049841</v>
      </c>
      <c r="H3284" s="464">
        <v>1192.777149395693</v>
      </c>
    </row>
    <row r="3285" spans="2:8" hidden="1" outlineLevel="1">
      <c r="B3285" t="str">
        <f>B3277</f>
        <v>OpFCF</v>
      </c>
      <c r="D3285" s="464">
        <f>D3281-D3284</f>
        <v>1100.2566165395363</v>
      </c>
      <c r="E3285" s="464">
        <f>E3281-E3284</f>
        <v>1258.268108664297</v>
      </c>
      <c r="F3285" s="464">
        <f>F3281-F3284</f>
        <v>1454.5285515902146</v>
      </c>
      <c r="G3285" s="464">
        <f>G3281-G3284</f>
        <v>1612.4625021849261</v>
      </c>
      <c r="H3285" s="464">
        <f>H3281-H3284</f>
        <v>1787.6228623392158</v>
      </c>
    </row>
    <row r="3286" spans="2:8" collapsed="1">
      <c r="B3286" s="478" t="s">
        <v>4210</v>
      </c>
      <c r="C3286" s="478"/>
    </row>
    <row r="3287" spans="2:8">
      <c r="B3287" t="str">
        <f>B3280</f>
        <v>Revs</v>
      </c>
      <c r="D3287" s="456">
        <f t="shared" ref="D3287:H3289" si="371">D3273/D3280-1</f>
        <v>-2.8453106872037837E-2</v>
      </c>
      <c r="E3287" s="456">
        <f t="shared" si="371"/>
        <v>-0.1168494142235923</v>
      </c>
      <c r="F3287" s="456">
        <f t="shared" si="371"/>
        <v>-0.16839889613036108</v>
      </c>
      <c r="G3287" s="456">
        <f t="shared" si="371"/>
        <v>-0.16360629633717561</v>
      </c>
      <c r="H3287" s="456">
        <f t="shared" si="371"/>
        <v>-0.22393278981738751</v>
      </c>
    </row>
    <row r="3288" spans="2:8">
      <c r="B3288" t="str">
        <f>B3281</f>
        <v>Clean EBITDA</v>
      </c>
      <c r="D3288" s="456">
        <f t="shared" si="371"/>
        <v>-2.6691576780342174E-2</v>
      </c>
      <c r="E3288" s="456">
        <f t="shared" si="371"/>
        <v>-0.10092120047554554</v>
      </c>
      <c r="F3288" s="456">
        <f t="shared" si="371"/>
        <v>-0.15553483265057921</v>
      </c>
      <c r="G3288" s="456">
        <f t="shared" si="371"/>
        <v>-7.7233397833169848E-2</v>
      </c>
      <c r="H3288" s="456">
        <f t="shared" si="371"/>
        <v>-0.11387733539074241</v>
      </c>
    </row>
    <row r="3289" spans="2:8">
      <c r="B3289" s="478" t="s">
        <v>1552</v>
      </c>
      <c r="C3289" s="478"/>
      <c r="D3289" s="456">
        <f t="shared" si="371"/>
        <v>1.8131189592138774E-3</v>
      </c>
      <c r="E3289" s="456">
        <f t="shared" si="371"/>
        <v>1.8035671384448726E-2</v>
      </c>
      <c r="F3289" s="456">
        <f t="shared" si="371"/>
        <v>1.5469031269826683E-2</v>
      </c>
      <c r="G3289" s="456">
        <f t="shared" si="371"/>
        <v>0.10326823136730057</v>
      </c>
      <c r="H3289" s="456">
        <f t="shared" si="371"/>
        <v>0.14181175674301261</v>
      </c>
    </row>
    <row r="3292" spans="2:8">
      <c r="B3292" s="487" t="s">
        <v>2602</v>
      </c>
      <c r="C3292" s="487"/>
      <c r="D3292" s="455">
        <v>2016</v>
      </c>
      <c r="E3292" s="455">
        <f>D3292+1</f>
        <v>2017</v>
      </c>
    </row>
    <row r="3293" spans="2:8">
      <c r="B3293" s="478" t="s">
        <v>758</v>
      </c>
      <c r="C3293" s="478"/>
      <c r="D3293" s="464">
        <f>Master!S5</f>
        <v>6248.8819186869696</v>
      </c>
      <c r="E3293" s="464">
        <f>Master!T5</f>
        <v>6089</v>
      </c>
    </row>
    <row r="3294" spans="2:8">
      <c r="B3294" s="478" t="s">
        <v>1531</v>
      </c>
      <c r="C3294" s="478"/>
      <c r="D3294" s="464">
        <f ca="1">'Country quarts'!Q32</f>
        <v>5827.403057399295</v>
      </c>
      <c r="E3294" s="464">
        <f>'Country quarts'!R32</f>
        <v>5693.2150000000001</v>
      </c>
    </row>
    <row r="3295" spans="2:8">
      <c r="B3295" s="478" t="s">
        <v>360</v>
      </c>
      <c r="C3295" s="478"/>
      <c r="D3295" s="464">
        <f>Master!S14</f>
        <v>2225.5</v>
      </c>
      <c r="E3295" s="464">
        <f>Master!T14</f>
        <v>2181</v>
      </c>
    </row>
    <row r="3297" spans="2:6">
      <c r="B3297" s="693" t="s">
        <v>4418</v>
      </c>
      <c r="C3297" s="693"/>
    </row>
    <row r="3299" spans="2:6">
      <c r="B3299" s="487" t="s">
        <v>2389</v>
      </c>
      <c r="C3299" s="487"/>
      <c r="D3299" s="455">
        <v>2016</v>
      </c>
      <c r="E3299" s="455">
        <f>D3299+1</f>
        <v>2017</v>
      </c>
    </row>
    <row r="3300" spans="2:6">
      <c r="B3300" s="478" t="s">
        <v>4419</v>
      </c>
      <c r="C3300" s="478"/>
      <c r="D3300" s="464">
        <f ca="1">Valuation!F27</f>
        <v>306.61525748434178</v>
      </c>
      <c r="E3300" s="464">
        <f>Valuation!G27</f>
        <v>300</v>
      </c>
    </row>
    <row r="3301" spans="2:6">
      <c r="B3301" s="478" t="s">
        <v>1648</v>
      </c>
      <c r="C3301" s="478"/>
      <c r="D3301" s="456">
        <f ca="1">D3300/Valuation!F56</f>
        <v>7.9797310940339136E-2</v>
      </c>
      <c r="E3301" s="456">
        <f>E3300/Valuation!G$56</f>
        <v>7.8075675289329877E-2</v>
      </c>
    </row>
    <row r="3303" spans="2:6">
      <c r="B3303" s="478" t="s">
        <v>4422</v>
      </c>
      <c r="C3303" s="478"/>
      <c r="D3303" s="464" t="e">
        <f>(SOP!#REF!+SOP!#REF!+SOP!#REF!+SOP!I23)</f>
        <v>#REF!</v>
      </c>
    </row>
    <row r="3304" spans="2:6">
      <c r="B3304" s="478" t="s">
        <v>4423</v>
      </c>
      <c r="C3304" s="478"/>
      <c r="D3304" s="454">
        <f ca="1">-(Africa!Q181*0.7)+20</f>
        <v>-29.658758666413256</v>
      </c>
      <c r="E3304" s="454">
        <f ca="1">-(Africa!R181*0.7)+20</f>
        <v>-53.424915722923814</v>
      </c>
    </row>
    <row r="3305" spans="2:6">
      <c r="B3305" s="487" t="s">
        <v>4420</v>
      </c>
      <c r="C3305" s="487"/>
      <c r="D3305" s="462" t="e">
        <f>0.07*D3303</f>
        <v>#REF!</v>
      </c>
      <c r="E3305" s="462" t="e">
        <f>0.07*D3303</f>
        <v>#REF!</v>
      </c>
    </row>
    <row r="3306" spans="2:6">
      <c r="B3306" s="478" t="s">
        <v>4421</v>
      </c>
      <c r="C3306" s="478"/>
      <c r="D3306" s="464" t="e">
        <f ca="1">D3300+D3304+D3305</f>
        <v>#REF!</v>
      </c>
      <c r="E3306" s="464" t="e">
        <f ca="1">E3300+E3304+E3305</f>
        <v>#REF!</v>
      </c>
    </row>
    <row r="3307" spans="2:6">
      <c r="B3307" s="478" t="s">
        <v>1648</v>
      </c>
      <c r="C3307" s="478"/>
      <c r="D3307" s="456" t="e">
        <f ca="1">D3306/Valuation!F$56</f>
        <v>#REF!</v>
      </c>
      <c r="E3307" s="456" t="e">
        <f ca="1">E3306/Valuation!G$56</f>
        <v>#REF!</v>
      </c>
      <c r="F3307" s="456"/>
    </row>
    <row r="3309" spans="2:6">
      <c r="B3309" t="s">
        <v>4414</v>
      </c>
      <c r="D3309" s="464" t="e">
        <f ca="1">#REF!-D3300+D3306</f>
        <v>#REF!</v>
      </c>
      <c r="E3309" s="464" t="e">
        <f ca="1">#REF!-E3300+E3306</f>
        <v>#REF!</v>
      </c>
    </row>
    <row r="3311" spans="2:6">
      <c r="B3311" s="693" t="s">
        <v>4424</v>
      </c>
      <c r="C3311" s="693"/>
    </row>
    <row r="3313" spans="2:6">
      <c r="B3313" s="455"/>
      <c r="C3313" s="455"/>
      <c r="D3313" s="455">
        <v>2016</v>
      </c>
      <c r="E3313" s="455">
        <f>D3313+1</f>
        <v>2017</v>
      </c>
      <c r="F3313" s="455">
        <f>E3313+1</f>
        <v>2018</v>
      </c>
    </row>
    <row r="3314" spans="2:6">
      <c r="B3314" s="478" t="s">
        <v>1665</v>
      </c>
      <c r="C3314" s="478"/>
      <c r="D3314" s="456">
        <v>-4.4526553658708168E-2</v>
      </c>
      <c r="E3314" s="456">
        <v>2.182439659842883E-2</v>
      </c>
      <c r="F3314" s="456">
        <v>7.7850018654795239E-2</v>
      </c>
    </row>
    <row r="3315" spans="2:6">
      <c r="B3315" s="478" t="s">
        <v>4425</v>
      </c>
      <c r="C3315" s="478"/>
      <c r="D3315" s="456">
        <f ca="1">SA!Q93</f>
        <v>2.3785408048563772E-2</v>
      </c>
      <c r="E3315" s="456">
        <f ca="1">SA!R93</f>
        <v>8.7527165556739339E-2</v>
      </c>
      <c r="F3315" s="456">
        <f ca="1">SA!S93</f>
        <v>8.2654093268067719E-2</v>
      </c>
    </row>
    <row r="3316" spans="2:6">
      <c r="B3316" s="478" t="s">
        <v>371</v>
      </c>
      <c r="C3316" s="478"/>
      <c r="D3316" s="456">
        <f>CA!Q111</f>
        <v>-4.3028424586013747E-2</v>
      </c>
      <c r="E3316" s="456">
        <f>CA!R111</f>
        <v>-3.4784499198679097E-2</v>
      </c>
      <c r="F3316" s="456">
        <f>CA!S111</f>
        <v>1.4312528275689518E-2</v>
      </c>
    </row>
    <row r="3317" spans="2:6">
      <c r="B3317" s="487" t="s">
        <v>1831</v>
      </c>
      <c r="C3317" s="487"/>
      <c r="D3317" s="561">
        <f ca="1">Africa!Q158</f>
        <v>0.13199348139934508</v>
      </c>
      <c r="E3317" s="561">
        <f ca="1">Africa!R158</f>
        <v>7.9203427201463228E-2</v>
      </c>
      <c r="F3317" s="561">
        <f ca="1">Africa!S158</f>
        <v>0.10963044091280127</v>
      </c>
    </row>
    <row r="3318" spans="2:6">
      <c r="B3318" s="478" t="s">
        <v>884</v>
      </c>
      <c r="C3318" s="478"/>
      <c r="D3318" s="456">
        <f ca="1">'Country quarts'!R96</f>
        <v>-1.210307903709806E-2</v>
      </c>
      <c r="E3318" s="456">
        <f ca="1">Div!Q40</f>
        <v>1.9828151662092841E-2</v>
      </c>
      <c r="F3318" s="456">
        <f ca="1">Div!R40</f>
        <v>-5.0765627969530103E-3</v>
      </c>
    </row>
    <row r="3321" spans="2:6">
      <c r="B3321" s="693" t="s">
        <v>2384</v>
      </c>
      <c r="C3321" s="693"/>
    </row>
    <row r="3323" spans="2:6">
      <c r="B3323" s="455" t="s">
        <v>1250</v>
      </c>
      <c r="C3323" s="455"/>
      <c r="D3323" s="455">
        <f>E3323-1</f>
        <v>2014</v>
      </c>
      <c r="E3323" s="455">
        <v>2015</v>
      </c>
      <c r="F3323" s="455">
        <v>2016</v>
      </c>
    </row>
    <row r="3324" spans="2:6">
      <c r="B3324" s="478" t="s">
        <v>4434</v>
      </c>
      <c r="C3324" s="478"/>
      <c r="D3324" s="454">
        <f>D3325*D3334/1000</f>
        <v>57.010702677354999</v>
      </c>
      <c r="E3324" s="454">
        <f ca="1">E3325*E3334/1000</f>
        <v>67.393531945592485</v>
      </c>
    </row>
    <row r="3325" spans="2:6">
      <c r="B3325" t="s">
        <v>4427</v>
      </c>
      <c r="D3325" s="454">
        <f>Africa!O92</f>
        <v>114.94093281724798</v>
      </c>
      <c r="E3325" s="454">
        <f ca="1">Africa!P92</f>
        <v>113.26644024469326</v>
      </c>
    </row>
    <row r="3326" spans="2:6">
      <c r="B3326" t="s">
        <v>560</v>
      </c>
      <c r="D3326" s="454">
        <f>Africa!O50</f>
        <v>3017</v>
      </c>
      <c r="E3326" s="454">
        <f>Africa!P50</f>
        <v>3038.9470000000001</v>
      </c>
    </row>
    <row r="3327" spans="2:6">
      <c r="B3327" t="s">
        <v>518</v>
      </c>
      <c r="D3327" s="449">
        <f>D3326/D$3340</f>
        <v>0.2088033773963596</v>
      </c>
      <c r="E3327" s="449">
        <f>E3326/E$3340</f>
        <v>0.20673108843537416</v>
      </c>
    </row>
    <row r="3328" spans="2:6">
      <c r="B3328" t="s">
        <v>4428</v>
      </c>
      <c r="E3328" s="468">
        <f ca="1">E3325/AVERAGE(D3326,E3326)/12*1000</f>
        <v>3.1172234566752661</v>
      </c>
    </row>
    <row r="3330" spans="2:7">
      <c r="B3330" t="s">
        <v>4426</v>
      </c>
    </row>
    <row r="3331" spans="2:7">
      <c r="B3331" t="s">
        <v>4429</v>
      </c>
      <c r="D3331" s="468">
        <f>E3331/(1.014)</f>
        <v>458.87573964497039</v>
      </c>
      <c r="E3331">
        <v>465.3</v>
      </c>
    </row>
    <row r="3332" spans="2:7">
      <c r="B3332" s="452" t="s">
        <v>4430</v>
      </c>
      <c r="C3332" s="452"/>
      <c r="D3332" s="456"/>
      <c r="E3332" s="456">
        <v>0.55400000000000005</v>
      </c>
    </row>
    <row r="3333" spans="2:7">
      <c r="B3333" s="452" t="s">
        <v>4432</v>
      </c>
      <c r="C3333" s="452"/>
      <c r="D3333" s="468">
        <f>E3333-3.94</f>
        <v>253.83620000000002</v>
      </c>
      <c r="E3333" s="468">
        <f>E3331*E3332</f>
        <v>257.77620000000002</v>
      </c>
    </row>
    <row r="3334" spans="2:7">
      <c r="B3334" s="452" t="s">
        <v>4433</v>
      </c>
      <c r="C3334" s="452"/>
      <c r="D3334" s="468">
        <v>496</v>
      </c>
      <c r="E3334" s="468">
        <v>595</v>
      </c>
    </row>
    <row r="3335" spans="2:7">
      <c r="B3335" t="s">
        <v>4431</v>
      </c>
      <c r="D3335" s="468">
        <f>D3333/D3334*1000</f>
        <v>511.76653225806456</v>
      </c>
      <c r="E3335" s="468">
        <f>E3333/E3334*1000</f>
        <v>433.23731092436981</v>
      </c>
    </row>
    <row r="3336" spans="2:7">
      <c r="B3336" t="str">
        <f>B3326</f>
        <v>Subs</v>
      </c>
      <c r="D3336">
        <v>8098</v>
      </c>
      <c r="E3336">
        <v>8413</v>
      </c>
    </row>
    <row r="3337" spans="2:7">
      <c r="B3337" t="s">
        <v>518</v>
      </c>
      <c r="D3337" s="449">
        <f>D3336/D$3340</f>
        <v>0.56045401065817702</v>
      </c>
      <c r="E3337" s="449">
        <f>E3336/E$3340</f>
        <v>0.57231292517006804</v>
      </c>
    </row>
    <row r="3338" spans="2:7">
      <c r="B3338" t="str">
        <f>B3328</f>
        <v>ARPU, US$m</v>
      </c>
      <c r="E3338" s="468">
        <f>E3335/AVERAGE(D3336,E3336)/12*1000</f>
        <v>4.3732189744652032</v>
      </c>
    </row>
    <row r="3339" spans="2:7">
      <c r="B3339" s="455"/>
      <c r="C3339" s="455"/>
      <c r="D3339" s="455"/>
      <c r="E3339" s="455"/>
      <c r="F3339" s="455"/>
    </row>
    <row r="3340" spans="2:7">
      <c r="B3340" s="478" t="s">
        <v>4435</v>
      </c>
      <c r="C3340" s="478"/>
      <c r="D3340">
        <f>E3340-251</f>
        <v>14449</v>
      </c>
      <c r="E3340">
        <v>14700</v>
      </c>
    </row>
    <row r="3342" spans="2:7">
      <c r="B3342" s="693" t="s">
        <v>4496</v>
      </c>
      <c r="C3342" s="693"/>
    </row>
    <row r="3344" spans="2:7" ht="15.75">
      <c r="B3344" s="543" t="s">
        <v>1250</v>
      </c>
      <c r="C3344" s="543"/>
      <c r="D3344" s="543">
        <v>2016</v>
      </c>
      <c r="E3344" s="543">
        <f>D3344+1</f>
        <v>2017</v>
      </c>
      <c r="F3344" s="543">
        <f>E3344+1</f>
        <v>2018</v>
      </c>
      <c r="G3344" s="543" t="s">
        <v>4497</v>
      </c>
    </row>
    <row r="3345" spans="2:7" ht="15.75">
      <c r="B3345" s="545" t="s">
        <v>1243</v>
      </c>
      <c r="C3345" s="545"/>
      <c r="D3345" s="661">
        <f>Valuation!F62</f>
        <v>4.287040847912527</v>
      </c>
      <c r="E3345" s="661">
        <f>Valuation!G62</f>
        <v>4.3222418189038647</v>
      </c>
      <c r="F3345" s="661">
        <f>Valuation!H62</f>
        <v>4.8060538070711862</v>
      </c>
      <c r="G3345" s="694">
        <f>(Valuation!H21/Valuation!F21)^(1/2)-1</f>
        <v>-9.8213138024706437E-3</v>
      </c>
    </row>
    <row r="3346" spans="2:7" ht="15.75">
      <c r="B3346" s="545" t="s">
        <v>4494</v>
      </c>
      <c r="C3346" s="545"/>
      <c r="D3346" s="661">
        <f>Valuation!F66</f>
        <v>12.463500205133021</v>
      </c>
      <c r="E3346" s="661">
        <f>Valuation!G66</f>
        <v>11.038418509402023</v>
      </c>
      <c r="F3346" s="661">
        <f>Valuation!H66</f>
        <v>11.626174508901695</v>
      </c>
      <c r="G3346" s="694">
        <f>(Master!U30/Master!S30)^(1/2)-1</f>
        <v>8.5502108201783278E-2</v>
      </c>
    </row>
    <row r="3347" spans="2:7" ht="15.75">
      <c r="B3347" s="545" t="s">
        <v>1245</v>
      </c>
      <c r="C3347" s="545"/>
      <c r="D3347" s="661">
        <f ca="1">Valuation!F65</f>
        <v>21.128399962502893</v>
      </c>
      <c r="E3347" s="661">
        <f>Valuation!G65</f>
        <v>22.090367418592056</v>
      </c>
      <c r="F3347" s="661">
        <f>Valuation!H65</f>
        <v>15.753472456144481</v>
      </c>
      <c r="G3347" s="694">
        <f ca="1">(Valuation!H50/Valuation!F50)^(1/2)-1</f>
        <v>0.26813811085947381</v>
      </c>
    </row>
    <row r="3348" spans="2:7" ht="15.75">
      <c r="B3348" s="545" t="s">
        <v>4495</v>
      </c>
      <c r="C3348" s="545"/>
      <c r="D3348" s="661">
        <f ca="1">Valuation!F67</f>
        <v>18.746122286280553</v>
      </c>
      <c r="E3348" s="661">
        <f ca="1">Valuation!G67</f>
        <v>18.874909877379327</v>
      </c>
      <c r="F3348" s="661">
        <f ca="1">Valuation!H67</f>
        <v>13.400144727733506</v>
      </c>
      <c r="G3348" s="694">
        <f ca="1">(Valuation!H51/Valuation!F51)^(1/2)-1</f>
        <v>0.24002390000828511</v>
      </c>
    </row>
    <row r="3349" spans="2:7" ht="15.75">
      <c r="B3349" s="545" t="s">
        <v>1648</v>
      </c>
      <c r="C3349" s="545"/>
      <c r="D3349" s="694">
        <f ca="1">Valuation!F71</f>
        <v>7.9797310940339136E-2</v>
      </c>
      <c r="E3349" s="694">
        <f>Valuation!G71</f>
        <v>7.8075675289329877E-2</v>
      </c>
      <c r="F3349" s="694">
        <f>Valuation!H71</f>
        <v>9.0047278833693789E-2</v>
      </c>
      <c r="G3349" s="694">
        <f ca="1">(Valuation!H27/Valuation!F27)^(1/2)-1</f>
        <v>6.2285291902898221E-2</v>
      </c>
    </row>
    <row r="3350" spans="2:7" ht="15.75">
      <c r="B3350" s="545"/>
      <c r="C3350" s="545"/>
      <c r="D3350" s="545"/>
      <c r="E3350" s="545"/>
      <c r="F3350" s="545"/>
      <c r="G3350" s="545"/>
    </row>
    <row r="3351" spans="2:7" ht="15.75">
      <c r="B3351" s="543" t="s">
        <v>4413</v>
      </c>
      <c r="C3351" s="543"/>
      <c r="D3351" s="543">
        <v>2016</v>
      </c>
      <c r="E3351" s="543">
        <v>2017</v>
      </c>
      <c r="F3351" s="543">
        <v>2018</v>
      </c>
      <c r="G3351" s="543" t="s">
        <v>4497</v>
      </c>
    </row>
    <row r="3352" spans="2:7" ht="15.75">
      <c r="B3352" s="545" t="s">
        <v>1243</v>
      </c>
      <c r="C3352" s="545"/>
      <c r="D3352" s="661">
        <v>7.4723847556993874</v>
      </c>
      <c r="E3352" s="661">
        <v>7.272590747445407</v>
      </c>
      <c r="F3352" s="661">
        <v>6.638600158736776</v>
      </c>
      <c r="G3352" s="694">
        <v>5.2451622791512831E-2</v>
      </c>
    </row>
    <row r="3353" spans="2:7" ht="15.75">
      <c r="B3353" s="545" t="s">
        <v>4494</v>
      </c>
      <c r="C3353" s="545"/>
      <c r="D3353" s="661">
        <v>15.058226853142889</v>
      </c>
      <c r="E3353" s="661">
        <v>13.907044317992153</v>
      </c>
      <c r="F3353" s="661">
        <v>12.072652847634782</v>
      </c>
      <c r="G3353" s="694">
        <v>0.10788924570180125</v>
      </c>
    </row>
    <row r="3354" spans="2:7" ht="15.75">
      <c r="B3354" s="545" t="s">
        <v>1245</v>
      </c>
      <c r="C3354" s="545"/>
      <c r="D3354" s="661">
        <v>20.481183117685578</v>
      </c>
      <c r="E3354" s="661">
        <v>19.03041207238843</v>
      </c>
      <c r="F3354" s="661">
        <v>15.948799363841296</v>
      </c>
      <c r="G3354" s="694">
        <v>0.12415011214014582</v>
      </c>
    </row>
    <row r="3355" spans="2:7" ht="15.75">
      <c r="B3355" s="545" t="s">
        <v>4495</v>
      </c>
      <c r="C3355" s="545"/>
      <c r="D3355" s="661">
        <v>18.998472871954796</v>
      </c>
      <c r="E3355" s="661">
        <v>17.417608984105001</v>
      </c>
      <c r="F3355" s="661">
        <v>15.801986408196768</v>
      </c>
      <c r="G3355" s="694">
        <v>8.7712926529466273E-2</v>
      </c>
    </row>
    <row r="3356" spans="2:7" ht="15.75">
      <c r="B3356" s="545" t="s">
        <v>1648</v>
      </c>
      <c r="C3356" s="545"/>
      <c r="D3356" s="694">
        <v>2.2480478105826082E-2</v>
      </c>
      <c r="E3356" s="694">
        <v>3.3574617757203759E-2</v>
      </c>
      <c r="F3356" s="694">
        <v>5.990507661781045E-2</v>
      </c>
      <c r="G3356" s="694">
        <v>0.58804549243565241</v>
      </c>
    </row>
    <row r="3357" spans="2:7" ht="15.75">
      <c r="B3357" s="545"/>
      <c r="C3357" s="545"/>
      <c r="D3357" s="545"/>
      <c r="E3357" s="545"/>
      <c r="F3357" s="545"/>
      <c r="G3357" s="545"/>
    </row>
    <row r="3358" spans="2:7" ht="15.75">
      <c r="B3358" s="543" t="s">
        <v>4498</v>
      </c>
      <c r="C3358" s="543"/>
      <c r="D3358" s="543">
        <v>2016</v>
      </c>
      <c r="E3358" s="543">
        <v>2017</v>
      </c>
      <c r="F3358" s="543">
        <v>2018</v>
      </c>
      <c r="G3358" s="543" t="s">
        <v>4497</v>
      </c>
    </row>
    <row r="3359" spans="2:7" ht="15.75">
      <c r="B3359" s="545" t="s">
        <v>1243</v>
      </c>
      <c r="C3359" s="545"/>
      <c r="D3359" s="661">
        <v>8.7588237218398888</v>
      </c>
      <c r="E3359" s="661">
        <v>8.1663183550800085</v>
      </c>
      <c r="F3359" s="661">
        <v>7.3054141671408885</v>
      </c>
      <c r="G3359" s="694">
        <v>7.8774308629172785E-2</v>
      </c>
    </row>
    <row r="3360" spans="2:7" ht="15.75">
      <c r="B3360" s="545" t="s">
        <v>4494</v>
      </c>
      <c r="C3360" s="545"/>
      <c r="D3360" s="661">
        <v>12.836814093708673</v>
      </c>
      <c r="E3360" s="661">
        <v>12.009429773821477</v>
      </c>
      <c r="F3360" s="661">
        <v>11.228424547061893</v>
      </c>
      <c r="G3360" s="694">
        <v>5.3414608337591929E-2</v>
      </c>
    </row>
    <row r="3361" spans="2:7" ht="15.75">
      <c r="B3361" s="545" t="s">
        <v>1245</v>
      </c>
      <c r="C3361" s="545"/>
      <c r="D3361" s="661">
        <v>35.58565076422029</v>
      </c>
      <c r="E3361" s="661">
        <v>35.805175937091342</v>
      </c>
      <c r="F3361" s="661">
        <v>29.677632836411309</v>
      </c>
      <c r="G3361" s="694">
        <v>7.882984084742084E-2</v>
      </c>
    </row>
    <row r="3362" spans="2:7" ht="15.75">
      <c r="B3362" s="545" t="s">
        <v>4495</v>
      </c>
      <c r="C3362" s="545"/>
      <c r="D3362" s="661">
        <v>58.081457953000964</v>
      </c>
      <c r="E3362" s="661">
        <v>64.619692694212375</v>
      </c>
      <c r="F3362" s="661">
        <v>45.740491521662662</v>
      </c>
      <c r="G3362" s="694">
        <v>0.11019294829326465</v>
      </c>
    </row>
    <row r="3363" spans="2:7" ht="15.75">
      <c r="B3363" s="545" t="s">
        <v>1648</v>
      </c>
      <c r="C3363" s="545"/>
      <c r="D3363" s="694">
        <v>1.3695348490617347E-2</v>
      </c>
      <c r="E3363" s="694">
        <v>1.141343942790795E-2</v>
      </c>
      <c r="F3363" s="694">
        <v>1.6921270616361783E-2</v>
      </c>
      <c r="G3363" s="694">
        <v>0.11155240239938524</v>
      </c>
    </row>
    <row r="3365" spans="2:7">
      <c r="B3365" s="693" t="s">
        <v>2172</v>
      </c>
      <c r="C3365" s="693"/>
    </row>
    <row r="3367" spans="2:7">
      <c r="B3367" s="455" t="s">
        <v>4558</v>
      </c>
      <c r="C3367" s="455"/>
      <c r="D3367" s="455">
        <f>E3367-1</f>
        <v>2014</v>
      </c>
      <c r="E3367" s="455">
        <v>2015</v>
      </c>
    </row>
    <row r="3368" spans="2:7">
      <c r="B3368" t="s">
        <v>1908</v>
      </c>
      <c r="D3368" s="468">
        <f>E3368/1.08</f>
        <v>368.88888888888886</v>
      </c>
      <c r="E3368" s="468">
        <v>398.4</v>
      </c>
    </row>
    <row r="3369" spans="2:7">
      <c r="B3369" s="455" t="s">
        <v>4559</v>
      </c>
      <c r="C3369" s="455"/>
      <c r="D3369" s="483">
        <f>D3370-D3368</f>
        <v>22.811111111111131</v>
      </c>
      <c r="E3369" s="483">
        <f>E3370-E3368</f>
        <v>14.600000000000023</v>
      </c>
    </row>
    <row r="3370" spans="2:7">
      <c r="B3370" t="s">
        <v>2324</v>
      </c>
      <c r="D3370" s="468">
        <f>E3370-21.3</f>
        <v>391.7</v>
      </c>
      <c r="E3370" s="468">
        <v>413</v>
      </c>
    </row>
    <row r="3372" spans="2:7">
      <c r="B3372" s="455" t="s">
        <v>1984</v>
      </c>
      <c r="C3372" s="455"/>
      <c r="D3372" s="455">
        <v>127</v>
      </c>
      <c r="E3372" s="483">
        <v>170.4</v>
      </c>
    </row>
    <row r="3373" spans="2:7">
      <c r="B3373" s="478" t="s">
        <v>523</v>
      </c>
      <c r="C3373" s="478"/>
      <c r="D3373" s="468">
        <f>D3370+D3372</f>
        <v>518.70000000000005</v>
      </c>
      <c r="E3373" s="468">
        <f>E3370+E3372</f>
        <v>583.4</v>
      </c>
    </row>
    <row r="3374" spans="2:7">
      <c r="B3374" s="478"/>
      <c r="C3374" s="478"/>
      <c r="D3374" s="468"/>
      <c r="E3374" s="468"/>
    </row>
    <row r="3375" spans="2:7">
      <c r="B3375" s="478" t="s">
        <v>4566</v>
      </c>
      <c r="C3375" s="478"/>
      <c r="D3375" s="468">
        <v>539</v>
      </c>
      <c r="E3375" s="468">
        <v>535</v>
      </c>
    </row>
    <row r="3376" spans="2:7">
      <c r="B3376" s="478" t="s">
        <v>4427</v>
      </c>
      <c r="C3376" s="478"/>
      <c r="D3376" s="468">
        <f>D3373*1000/D3375</f>
        <v>962.33766233766244</v>
      </c>
      <c r="E3376" s="468">
        <f>E3373*1000/E3375</f>
        <v>1090.4672897196263</v>
      </c>
    </row>
    <row r="3377" spans="2:6">
      <c r="B3377" s="478" t="s">
        <v>2171</v>
      </c>
      <c r="C3377" s="478"/>
      <c r="D3377" s="468"/>
      <c r="E3377" s="468">
        <f>E3376/AVERAGE(D3391,E3391)/12*1000</f>
        <v>18.919348486496109</v>
      </c>
    </row>
    <row r="3379" spans="2:6">
      <c r="B3379" s="499" t="s">
        <v>4563</v>
      </c>
      <c r="C3379" s="499"/>
    </row>
    <row r="3380" spans="2:6">
      <c r="B3380" t="s">
        <v>4560</v>
      </c>
      <c r="D3380">
        <v>4348</v>
      </c>
      <c r="E3380">
        <v>4339</v>
      </c>
      <c r="F3380" s="456">
        <f>E3380/E$3385</f>
        <v>0.57576963906581746</v>
      </c>
    </row>
    <row r="3381" spans="2:6">
      <c r="B3381" t="s">
        <v>1975</v>
      </c>
      <c r="D3381">
        <v>1144</v>
      </c>
      <c r="E3381">
        <v>1414</v>
      </c>
      <c r="F3381" s="456">
        <f>E3381/E$3385</f>
        <v>0.18763269639065819</v>
      </c>
    </row>
    <row r="3382" spans="2:6">
      <c r="B3382" t="s">
        <v>1606</v>
      </c>
      <c r="D3382">
        <v>1431</v>
      </c>
      <c r="E3382">
        <v>1677</v>
      </c>
      <c r="F3382" s="456">
        <f>E3382/E$3385</f>
        <v>0.22253184713375795</v>
      </c>
    </row>
    <row r="3383" spans="2:6">
      <c r="B3383" t="s">
        <v>4561</v>
      </c>
      <c r="D3383">
        <v>31</v>
      </c>
      <c r="E3383">
        <v>59</v>
      </c>
      <c r="F3383" s="456">
        <f>E3383/E$3385</f>
        <v>7.8290870488322718E-3</v>
      </c>
    </row>
    <row r="3384" spans="2:6">
      <c r="B3384" s="455" t="s">
        <v>4562</v>
      </c>
      <c r="C3384" s="455"/>
      <c r="D3384" s="455">
        <v>67</v>
      </c>
      <c r="E3384" s="455">
        <v>46</v>
      </c>
      <c r="F3384" s="456">
        <f>E3384/E$3385</f>
        <v>6.1040339702760089E-3</v>
      </c>
    </row>
    <row r="3385" spans="2:6">
      <c r="B3385" t="s">
        <v>560</v>
      </c>
      <c r="D3385">
        <v>7020</v>
      </c>
      <c r="E3385">
        <v>7536</v>
      </c>
    </row>
    <row r="3387" spans="2:6">
      <c r="B3387" s="478" t="s">
        <v>4565</v>
      </c>
      <c r="C3387" s="478"/>
      <c r="E3387" s="454">
        <f>E3385-E3388</f>
        <v>1582.5599999999995</v>
      </c>
    </row>
    <row r="3388" spans="2:6">
      <c r="B3388" s="478" t="s">
        <v>1974</v>
      </c>
      <c r="C3388" s="478"/>
      <c r="E3388" s="454">
        <f>F3388*E3385</f>
        <v>5953.4400000000005</v>
      </c>
      <c r="F3388" s="449">
        <v>0.79</v>
      </c>
    </row>
    <row r="3390" spans="2:6">
      <c r="B3390" s="478" t="s">
        <v>794</v>
      </c>
      <c r="C3390" s="478"/>
      <c r="D3390" s="449">
        <v>1.47</v>
      </c>
      <c r="E3390" s="449">
        <v>1.56</v>
      </c>
    </row>
    <row r="3391" spans="2:6">
      <c r="B3391" s="478" t="s">
        <v>4564</v>
      </c>
      <c r="C3391" s="478"/>
      <c r="D3391" s="454">
        <f>D3385/D3390</f>
        <v>4775.5102040816328</v>
      </c>
      <c r="E3391" s="454">
        <f>E3385/E3390</f>
        <v>4830.7692307692305</v>
      </c>
    </row>
    <row r="3393" spans="2:9">
      <c r="B3393" s="487" t="s">
        <v>4567</v>
      </c>
      <c r="C3393" s="487"/>
      <c r="D3393" s="508" t="s">
        <v>2602</v>
      </c>
    </row>
    <row r="3394" spans="2:9">
      <c r="B3394" s="478" t="s">
        <v>2172</v>
      </c>
      <c r="C3394" s="478"/>
      <c r="D3394">
        <v>10400</v>
      </c>
    </row>
    <row r="3395" spans="2:9">
      <c r="B3395" s="478" t="s">
        <v>1665</v>
      </c>
      <c r="C3395" s="478"/>
      <c r="D3395">
        <v>7140</v>
      </c>
    </row>
    <row r="3396" spans="2:9">
      <c r="B3396" s="478" t="s">
        <v>2378</v>
      </c>
      <c r="C3396" s="478"/>
      <c r="D3396">
        <v>4190</v>
      </c>
    </row>
    <row r="3397" spans="2:9">
      <c r="B3397" s="478" t="s">
        <v>2376</v>
      </c>
      <c r="C3397" s="478"/>
      <c r="D3397">
        <v>3940</v>
      </c>
    </row>
    <row r="3398" spans="2:9">
      <c r="B3398" s="478" t="s">
        <v>2379</v>
      </c>
      <c r="C3398" s="478"/>
      <c r="D3398">
        <v>3590</v>
      </c>
    </row>
    <row r="3399" spans="2:9">
      <c r="B3399" s="478" t="s">
        <v>2377</v>
      </c>
      <c r="C3399" s="478"/>
      <c r="D3399">
        <v>3000</v>
      </c>
    </row>
    <row r="3400" spans="2:9">
      <c r="B3400" s="478" t="s">
        <v>2380</v>
      </c>
      <c r="C3400" s="478"/>
      <c r="D3400">
        <v>2280</v>
      </c>
    </row>
    <row r="3402" spans="2:9">
      <c r="B3402" s="498">
        <v>1800</v>
      </c>
      <c r="C3402" s="498"/>
      <c r="D3402">
        <v>40</v>
      </c>
    </row>
    <row r="3403" spans="2:9">
      <c r="B3403" s="487" t="s">
        <v>4568</v>
      </c>
      <c r="C3403" s="487"/>
      <c r="D3403" s="455">
        <v>30</v>
      </c>
    </row>
    <row r="3404" spans="2:9">
      <c r="B3404" s="478" t="s">
        <v>2324</v>
      </c>
      <c r="C3404" s="478"/>
      <c r="D3404">
        <f>SUM(D3402:D3403)</f>
        <v>70</v>
      </c>
    </row>
    <row r="3406" spans="2:9">
      <c r="B3406" s="487" t="s">
        <v>3265</v>
      </c>
      <c r="C3406" s="487"/>
      <c r="D3406" s="455">
        <v>850</v>
      </c>
      <c r="E3406" s="455">
        <v>1800</v>
      </c>
      <c r="F3406" s="455">
        <v>2100</v>
      </c>
      <c r="G3406" s="508" t="s">
        <v>2324</v>
      </c>
      <c r="H3406" s="506" t="s">
        <v>2602</v>
      </c>
      <c r="I3406" s="478" t="s">
        <v>4569</v>
      </c>
    </row>
    <row r="3407" spans="2:9">
      <c r="B3407" s="478" t="s">
        <v>1606</v>
      </c>
      <c r="C3407" s="478"/>
      <c r="D3407">
        <f>2*5.3</f>
        <v>10.6</v>
      </c>
      <c r="E3407">
        <f>2*15</f>
        <v>30</v>
      </c>
      <c r="F3407">
        <f>2*10</f>
        <v>20</v>
      </c>
      <c r="G3407">
        <f>D3407+E3407+F3407</f>
        <v>60.6</v>
      </c>
      <c r="H3407">
        <v>95</v>
      </c>
      <c r="I3407" s="531">
        <f>H3407/G3407/($E$3391/1000)</f>
        <v>0.32451493556999012</v>
      </c>
    </row>
    <row r="3408" spans="2:9">
      <c r="B3408" s="487" t="s">
        <v>1975</v>
      </c>
      <c r="C3408" s="487"/>
      <c r="D3408" s="455">
        <v>0</v>
      </c>
      <c r="E3408" s="455">
        <f>2*15+2*15</f>
        <v>60</v>
      </c>
      <c r="F3408" s="455">
        <f>2*5+2*10</f>
        <v>30</v>
      </c>
      <c r="G3408" s="455">
        <f>D3408+E3408+F3408</f>
        <v>90</v>
      </c>
      <c r="H3408">
        <v>75</v>
      </c>
      <c r="I3408" s="531">
        <f>H3408/G3408/($E$3391/1000)</f>
        <v>0.17250530785562634</v>
      </c>
    </row>
    <row r="3409" spans="2:10">
      <c r="B3409" s="478" t="s">
        <v>4570</v>
      </c>
      <c r="C3409" s="478"/>
      <c r="D3409">
        <f>D3407+D3408</f>
        <v>10.6</v>
      </c>
      <c r="E3409">
        <f>E3407+E3408</f>
        <v>90</v>
      </c>
      <c r="F3409">
        <f>F3407+F3408</f>
        <v>50</v>
      </c>
      <c r="G3409">
        <f>D3409+E3409+F3409</f>
        <v>150.6</v>
      </c>
      <c r="H3409">
        <v>170</v>
      </c>
      <c r="I3409" s="531">
        <f>H3409/G3409/($E$3391/1000)</f>
        <v>0.23367252856937434</v>
      </c>
      <c r="J3409" s="454">
        <f>I3409*E3391*D3404/1000</f>
        <v>79.017264276228431</v>
      </c>
    </row>
    <row r="3411" spans="2:10">
      <c r="B3411" s="455" t="s">
        <v>2563</v>
      </c>
      <c r="C3411" s="455"/>
      <c r="D3411" s="455">
        <v>2017</v>
      </c>
      <c r="E3411" s="455">
        <f>D3411+1</f>
        <v>2018</v>
      </c>
      <c r="F3411" s="455">
        <f>E3411+1</f>
        <v>2019</v>
      </c>
      <c r="G3411" s="455">
        <f>F3411+1</f>
        <v>2020</v>
      </c>
    </row>
    <row r="3412" spans="2:10">
      <c r="B3412" t="s">
        <v>758</v>
      </c>
      <c r="D3412" s="464">
        <f>Master!T5</f>
        <v>6089</v>
      </c>
      <c r="E3412" s="464">
        <f>Master!U5</f>
        <v>6012</v>
      </c>
      <c r="F3412" s="464">
        <f>Master!V5</f>
        <v>6371</v>
      </c>
      <c r="G3412" s="464">
        <f>Master!W5</f>
        <v>6232</v>
      </c>
    </row>
    <row r="3413" spans="2:10">
      <c r="B3413" t="s">
        <v>1531</v>
      </c>
      <c r="D3413" s="464">
        <f>'New split'!G77</f>
        <v>5723</v>
      </c>
      <c r="E3413" s="464">
        <f ca="1">'New split'!H77</f>
        <v>5595</v>
      </c>
      <c r="F3413" s="464">
        <f>'New split'!I77</f>
        <v>5921</v>
      </c>
      <c r="G3413" s="464">
        <f>'New split'!J77</f>
        <v>5736</v>
      </c>
    </row>
    <row r="3414" spans="2:10">
      <c r="B3414" t="s">
        <v>360</v>
      </c>
      <c r="D3414" s="464">
        <f>Master!T14</f>
        <v>2181</v>
      </c>
      <c r="E3414" s="464">
        <f>Master!U14</f>
        <v>2182</v>
      </c>
      <c r="F3414" s="464">
        <f>Master!V14</f>
        <v>2550</v>
      </c>
      <c r="G3414" s="464">
        <f>Master!W14</f>
        <v>2641</v>
      </c>
    </row>
    <row r="3415" spans="2:10">
      <c r="B3415" t="s">
        <v>1434</v>
      </c>
      <c r="D3415" s="456">
        <f>D3414/D3412</f>
        <v>0.35818689439973722</v>
      </c>
      <c r="E3415" s="456">
        <f>E3414/E3412</f>
        <v>0.36294078509647371</v>
      </c>
      <c r="F3415" s="456">
        <f>F3414/F3412</f>
        <v>0.4002511379689217</v>
      </c>
      <c r="G3415" s="456">
        <f>G3414/G3412</f>
        <v>0.42378048780487804</v>
      </c>
    </row>
    <row r="3417" spans="2:10">
      <c r="B3417" t="s">
        <v>1545</v>
      </c>
      <c r="D3417" s="464">
        <f>'New split'!G437</f>
        <v>994</v>
      </c>
      <c r="E3417" s="464">
        <f>'New split'!H437</f>
        <v>998.00000000000011</v>
      </c>
      <c r="F3417" s="464">
        <f ca="1">'New split'!I437</f>
        <v>1056</v>
      </c>
      <c r="G3417" s="464">
        <f ca="1">'New split'!J437</f>
        <v>990</v>
      </c>
    </row>
    <row r="3418" spans="2:10">
      <c r="B3418" t="s">
        <v>1431</v>
      </c>
      <c r="D3418" s="456">
        <f>D3417/D3412</f>
        <v>0.16324519625554279</v>
      </c>
      <c r="E3418" s="456">
        <f>E3417/E3412</f>
        <v>0.16600133067198938</v>
      </c>
      <c r="F3418" s="456">
        <f ca="1">F3417/F3412</f>
        <v>0.1657510594883064</v>
      </c>
      <c r="G3418" s="456">
        <f ca="1">G3417/G3412</f>
        <v>0.15885750962772785</v>
      </c>
    </row>
    <row r="3419" spans="2:10">
      <c r="B3419" t="s">
        <v>1552</v>
      </c>
      <c r="D3419" s="464">
        <f>D3414-D3417</f>
        <v>1187</v>
      </c>
      <c r="E3419" s="464">
        <f>E3414-E3417</f>
        <v>1184</v>
      </c>
      <c r="F3419" s="464">
        <f ca="1">F3414-F3417</f>
        <v>1494</v>
      </c>
      <c r="G3419" s="464">
        <f ca="1">G3414-G3417</f>
        <v>1651</v>
      </c>
    </row>
    <row r="3421" spans="2:10" hidden="1" outlineLevel="1">
      <c r="B3421" s="455" t="s">
        <v>4572</v>
      </c>
      <c r="C3421" s="455"/>
      <c r="D3421" s="455">
        <v>2017</v>
      </c>
      <c r="E3421" s="455">
        <f>D3421+1</f>
        <v>2018</v>
      </c>
      <c r="F3421" s="455">
        <f>E3421+1</f>
        <v>2019</v>
      </c>
      <c r="G3421" s="455">
        <f>F3421+1</f>
        <v>2020</v>
      </c>
    </row>
    <row r="3422" spans="2:10" hidden="1" outlineLevel="1">
      <c r="B3422" t="s">
        <v>758</v>
      </c>
      <c r="D3422" s="464">
        <v>6372.2355416610426</v>
      </c>
      <c r="E3422" s="464">
        <v>6603.7499862759978</v>
      </c>
      <c r="F3422" s="464">
        <v>6903.9289699086548</v>
      </c>
      <c r="G3422" s="464">
        <v>7217.8673829903455</v>
      </c>
    </row>
    <row r="3423" spans="2:10" hidden="1" outlineLevel="1">
      <c r="B3423" t="s">
        <v>1531</v>
      </c>
      <c r="D3423" s="464">
        <v>6004.2030341546742</v>
      </c>
      <c r="E3423" s="464">
        <v>6244.4626817512108</v>
      </c>
      <c r="F3423" s="464">
        <v>6554.6674433193339</v>
      </c>
      <c r="G3423" s="464">
        <v>6878.2757915119519</v>
      </c>
    </row>
    <row r="3424" spans="2:10" hidden="1" outlineLevel="1">
      <c r="B3424" t="s">
        <v>360</v>
      </c>
      <c r="D3424" s="464">
        <v>2274.3231974252781</v>
      </c>
      <c r="E3424" s="464">
        <v>2360.9759868609776</v>
      </c>
      <c r="F3424" s="464">
        <v>2490.8192576890438</v>
      </c>
      <c r="G3424" s="464">
        <v>2631.8214668928335</v>
      </c>
    </row>
    <row r="3425" spans="2:7" hidden="1" outlineLevel="1">
      <c r="B3425" t="s">
        <v>1434</v>
      </c>
      <c r="D3425" s="456">
        <f>D3424/D3422</f>
        <v>0.35691135121355433</v>
      </c>
      <c r="E3425" s="456">
        <f>E3424/E3422</f>
        <v>0.35752049846944384</v>
      </c>
      <c r="F3425" s="456">
        <f>F3424/F3422</f>
        <v>0.36078286270694343</v>
      </c>
      <c r="G3425" s="456">
        <f>G3424/G3422</f>
        <v>0.36462591056951177</v>
      </c>
    </row>
    <row r="3426" spans="2:7" hidden="1" outlineLevel="1"/>
    <row r="3427" spans="2:7" hidden="1" outlineLevel="1">
      <c r="B3427" t="s">
        <v>1545</v>
      </c>
      <c r="D3427" s="464">
        <v>1044.7380204689559</v>
      </c>
      <c r="E3427" s="464">
        <v>1032.1029679046896</v>
      </c>
      <c r="F3427" s="464">
        <v>1073.7268140856427</v>
      </c>
      <c r="G3427" s="464">
        <v>1087.9352393526824</v>
      </c>
    </row>
    <row r="3428" spans="2:7" hidden="1" outlineLevel="1">
      <c r="B3428" t="s">
        <v>1431</v>
      </c>
      <c r="D3428" s="456">
        <f>D3427/D3422</f>
        <v>0.16395156984366988</v>
      </c>
      <c r="E3428" s="456">
        <f>E3427/E3422</f>
        <v>0.15629043650192995</v>
      </c>
      <c r="F3428" s="456">
        <f>F3427/F3422</f>
        <v>0.15552402389502698</v>
      </c>
      <c r="G3428" s="456">
        <f>G3427/G3422</f>
        <v>0.15072807265987109</v>
      </c>
    </row>
    <row r="3429" spans="2:7" hidden="1" outlineLevel="1">
      <c r="B3429" t="s">
        <v>1552</v>
      </c>
      <c r="D3429" s="464">
        <f>D3424-D3427</f>
        <v>1229.5851769563221</v>
      </c>
      <c r="E3429" s="464">
        <f>E3424-E3427</f>
        <v>1328.873018956288</v>
      </c>
      <c r="F3429" s="464">
        <f>F3424-F3427</f>
        <v>1417.0924436034011</v>
      </c>
      <c r="G3429" s="464">
        <f>G3424-G3427</f>
        <v>1543.8862275401511</v>
      </c>
    </row>
    <row r="3430" spans="2:7" hidden="1" outlineLevel="1"/>
    <row r="3431" spans="2:7" collapsed="1">
      <c r="B3431" s="455" t="s">
        <v>2353</v>
      </c>
      <c r="C3431" s="455"/>
      <c r="D3431" s="455">
        <f>D3421</f>
        <v>2017</v>
      </c>
      <c r="E3431" s="455">
        <f>E3421</f>
        <v>2018</v>
      </c>
      <c r="F3431" s="455">
        <f>F3421</f>
        <v>2019</v>
      </c>
      <c r="G3431" s="455">
        <f>G3421</f>
        <v>2020</v>
      </c>
    </row>
    <row r="3432" spans="2:7">
      <c r="B3432" t="str">
        <f>B3422</f>
        <v>Revenue</v>
      </c>
      <c r="D3432" s="456">
        <f t="shared" ref="D3432:G3434" si="372">D3412/D3422-1</f>
        <v>-4.4448379192714493E-2</v>
      </c>
      <c r="E3432" s="456">
        <f t="shared" si="372"/>
        <v>-8.960817528007281E-2</v>
      </c>
      <c r="F3432" s="456">
        <f t="shared" si="372"/>
        <v>-7.719212816810106E-2</v>
      </c>
      <c r="G3432" s="456">
        <f t="shared" si="372"/>
        <v>-0.13658707353277844</v>
      </c>
    </row>
    <row r="3433" spans="2:7">
      <c r="B3433" t="str">
        <f>B3423</f>
        <v>Service revenue</v>
      </c>
      <c r="D3433" s="456">
        <f t="shared" si="372"/>
        <v>-4.6834364620093938E-2</v>
      </c>
      <c r="E3433" s="456">
        <f ca="1">E3413/E3423-1</f>
        <v>-0.10400617552719105</v>
      </c>
      <c r="F3433" s="456">
        <f t="shared" si="372"/>
        <v>-9.6674232338847643E-2</v>
      </c>
      <c r="G3433" s="456">
        <f t="shared" si="372"/>
        <v>-0.16607007717276512</v>
      </c>
    </row>
    <row r="3434" spans="2:7">
      <c r="B3434" t="str">
        <f>B3424</f>
        <v>EBITDA</v>
      </c>
      <c r="D3434" s="456">
        <f t="shared" si="372"/>
        <v>-4.1033392936820734E-2</v>
      </c>
      <c r="E3434" s="456">
        <f t="shared" si="372"/>
        <v>-7.5805932740101278E-2</v>
      </c>
      <c r="F3434" s="456">
        <f t="shared" si="372"/>
        <v>2.3759549043258721E-2</v>
      </c>
      <c r="G3434" s="456">
        <f t="shared" si="372"/>
        <v>3.4875211797715799E-3</v>
      </c>
    </row>
    <row r="3435" spans="2:7">
      <c r="B3435" t="str">
        <f>B3427</f>
        <v>Capex</v>
      </c>
      <c r="D3435" s="456">
        <f>D3417/D3427-1</f>
        <v>-4.8565304865789138E-2</v>
      </c>
      <c r="E3435" s="456">
        <f>E3417/E3427-1</f>
        <v>-3.304221474522373E-2</v>
      </c>
      <c r="F3435" s="456">
        <f ca="1">F3417/F3427-1</f>
        <v>-1.6509612923039763E-2</v>
      </c>
      <c r="G3435" s="456">
        <f ca="1">G3417/G3427-1</f>
        <v>-9.0019364949473935E-2</v>
      </c>
    </row>
    <row r="3436" spans="2:7">
      <c r="B3436" t="str">
        <f>B3429</f>
        <v>OpFCF</v>
      </c>
      <c r="D3436" s="456">
        <f>D3419/D3429-1</f>
        <v>-3.4633775483318807E-2</v>
      </c>
      <c r="E3436" s="456">
        <f>E3419/E3429-1</f>
        <v>-0.10901946001588092</v>
      </c>
      <c r="F3436" s="456">
        <f ca="1">F3419/F3429-1</f>
        <v>5.4271375691650192E-2</v>
      </c>
      <c r="G3436" s="456">
        <f ca="1">G3419/G3429-1</f>
        <v>6.9379317302746824E-2</v>
      </c>
    </row>
    <row r="3438" spans="2:7">
      <c r="B3438" s="693" t="s">
        <v>2973</v>
      </c>
      <c r="C3438" s="693"/>
    </row>
    <row r="3440" spans="2:7">
      <c r="B3440" s="455"/>
      <c r="C3440" s="455"/>
      <c r="D3440" s="508" t="s">
        <v>4387</v>
      </c>
      <c r="E3440" s="508" t="s">
        <v>3814</v>
      </c>
    </row>
    <row r="3441" spans="2:5">
      <c r="B3441" s="478" t="s">
        <v>4645</v>
      </c>
      <c r="C3441" s="478"/>
      <c r="D3441">
        <v>645.1</v>
      </c>
      <c r="E3441">
        <v>134.80000000000001</v>
      </c>
    </row>
    <row r="3442" spans="2:5">
      <c r="B3442" s="478" t="s">
        <v>134</v>
      </c>
      <c r="C3442" s="478"/>
      <c r="D3442">
        <v>987.9</v>
      </c>
    </row>
    <row r="3443" spans="2:5">
      <c r="B3443" s="478" t="s">
        <v>150</v>
      </c>
      <c r="C3443" s="478"/>
      <c r="D3443">
        <f>D3442-D3441</f>
        <v>342.79999999999995</v>
      </c>
    </row>
    <row r="3445" spans="2:5">
      <c r="B3445" s="487" t="s">
        <v>2379</v>
      </c>
      <c r="C3445" s="487"/>
      <c r="D3445" s="455">
        <v>2015</v>
      </c>
      <c r="E3445" s="455">
        <v>2016</v>
      </c>
    </row>
    <row r="3446" spans="2:5">
      <c r="B3446" s="478" t="s">
        <v>134</v>
      </c>
      <c r="C3446" s="478"/>
      <c r="D3446">
        <v>984</v>
      </c>
      <c r="E3446">
        <v>988</v>
      </c>
    </row>
    <row r="3447" spans="2:5">
      <c r="B3447" s="487" t="s">
        <v>2222</v>
      </c>
      <c r="C3447" s="487"/>
      <c r="D3447" s="455">
        <v>155</v>
      </c>
      <c r="E3447" s="455">
        <v>289</v>
      </c>
    </row>
    <row r="3448" spans="2:5">
      <c r="B3448" s="478" t="s">
        <v>150</v>
      </c>
      <c r="C3448" s="478"/>
      <c r="D3448">
        <f>D3446-D3447</f>
        <v>829</v>
      </c>
      <c r="E3448">
        <f>E3446-E3447</f>
        <v>699</v>
      </c>
    </row>
    <row r="3450" spans="2:5">
      <c r="B3450" s="487" t="s">
        <v>2380</v>
      </c>
      <c r="C3450" s="487"/>
      <c r="D3450" s="455">
        <v>2015</v>
      </c>
      <c r="E3450" s="455">
        <v>2016</v>
      </c>
    </row>
    <row r="3451" spans="2:5">
      <c r="B3451" s="478" t="s">
        <v>134</v>
      </c>
      <c r="C3451" s="478"/>
      <c r="D3451">
        <v>391</v>
      </c>
      <c r="E3451">
        <v>402</v>
      </c>
    </row>
    <row r="3452" spans="2:5">
      <c r="B3452" s="487" t="s">
        <v>2222</v>
      </c>
      <c r="C3452" s="487"/>
      <c r="D3452" s="455">
        <v>13</v>
      </c>
      <c r="E3452" s="455">
        <v>13</v>
      </c>
    </row>
    <row r="3453" spans="2:5">
      <c r="B3453" s="478" t="s">
        <v>150</v>
      </c>
      <c r="C3453" s="478"/>
      <c r="D3453">
        <f>D3451-D3452</f>
        <v>378</v>
      </c>
      <c r="E3453">
        <f>E3451-E3452</f>
        <v>389</v>
      </c>
    </row>
    <row r="3455" spans="2:5">
      <c r="B3455" s="478" t="s">
        <v>360</v>
      </c>
      <c r="C3455" s="478"/>
      <c r="D3455" s="468">
        <f>('New (new) quarts'!Q104)</f>
        <v>631.65724603022602</v>
      </c>
    </row>
    <row r="3456" spans="2:5">
      <c r="B3456" s="478" t="s">
        <v>614</v>
      </c>
      <c r="C3456" s="478"/>
      <c r="D3456" s="531">
        <f>D3443/D3455</f>
        <v>0.54269938666008166</v>
      </c>
    </row>
    <row r="3458" spans="2:7">
      <c r="B3458" s="478" t="s">
        <v>4646</v>
      </c>
      <c r="C3458" s="478"/>
      <c r="D3458" s="449">
        <v>1</v>
      </c>
      <c r="E3458" s="478" t="s">
        <v>4647</v>
      </c>
    </row>
    <row r="3459" spans="2:7">
      <c r="B3459" s="478" t="s">
        <v>2379</v>
      </c>
      <c r="C3459" s="478"/>
      <c r="D3459">
        <v>166</v>
      </c>
      <c r="E3459" s="454">
        <f>D3459*0.45</f>
        <v>74.7</v>
      </c>
    </row>
    <row r="3460" spans="2:7">
      <c r="B3460" s="487" t="s">
        <v>2380</v>
      </c>
      <c r="C3460" s="487"/>
      <c r="D3460" s="455">
        <v>178</v>
      </c>
      <c r="E3460" s="462">
        <f>D3460*0.33</f>
        <v>58.74</v>
      </c>
    </row>
    <row r="3461" spans="2:7">
      <c r="D3461">
        <f>D3459+D3460</f>
        <v>344</v>
      </c>
      <c r="E3461" s="454">
        <f>E3459+E3460</f>
        <v>133.44</v>
      </c>
    </row>
    <row r="3463" spans="2:7">
      <c r="B3463" t="s">
        <v>4687</v>
      </c>
      <c r="D3463">
        <v>2017</v>
      </c>
      <c r="E3463">
        <f>D3463+1</f>
        <v>2018</v>
      </c>
      <c r="F3463">
        <f>E3463+1</f>
        <v>2019</v>
      </c>
      <c r="G3463">
        <f>F3463+1</f>
        <v>2020</v>
      </c>
    </row>
    <row r="3464" spans="2:7">
      <c r="B3464" t="s">
        <v>1250</v>
      </c>
      <c r="D3464" s="456">
        <f>Master!T15</f>
        <v>-1.9995506627724091E-2</v>
      </c>
      <c r="E3464" s="456">
        <f>Master!U15</f>
        <v>4.5850527281054987E-4</v>
      </c>
      <c r="F3464" s="456">
        <f>Master!V15</f>
        <v>0.16865261228230977</v>
      </c>
      <c r="G3464" s="456">
        <f>Master!W15</f>
        <v>3.5686274509803884E-2</v>
      </c>
    </row>
    <row r="3465" spans="2:7">
      <c r="B3465" t="s">
        <v>4688</v>
      </c>
      <c r="D3465" s="595">
        <v>3.941177239624083E-2</v>
      </c>
      <c r="E3465" s="595">
        <v>7.4975530958354408E-2</v>
      </c>
      <c r="F3465" s="595">
        <v>4.87854215423007E-2</v>
      </c>
      <c r="G3465" s="595">
        <v>3.4993578773057976E-2</v>
      </c>
    </row>
    <row r="3467" spans="2:7">
      <c r="B3467" s="693" t="s">
        <v>565</v>
      </c>
      <c r="C3467" s="693"/>
    </row>
    <row r="3469" spans="2:7">
      <c r="B3469" s="1115">
        <v>2017</v>
      </c>
      <c r="C3469" s="1115"/>
      <c r="D3469" s="508" t="s">
        <v>565</v>
      </c>
      <c r="E3469" s="508" t="s">
        <v>821</v>
      </c>
    </row>
    <row r="3470" spans="2:7">
      <c r="B3470" s="478" t="s">
        <v>4628</v>
      </c>
      <c r="C3470" s="478"/>
      <c r="D3470" s="506" t="s">
        <v>4693</v>
      </c>
      <c r="E3470" s="760" t="e">
        <f>'New (new) quarts'!#REF!</f>
        <v>#REF!</v>
      </c>
    </row>
    <row r="3471" spans="2:7">
      <c r="B3471" s="478" t="s">
        <v>4694</v>
      </c>
      <c r="C3471" s="478"/>
      <c r="D3471" s="506" t="s">
        <v>4695</v>
      </c>
      <c r="E3471" s="760">
        <f>'New (new) quarts'!V169</f>
        <v>0</v>
      </c>
    </row>
    <row r="3472" spans="2:7">
      <c r="B3472" s="478" t="s">
        <v>4696</v>
      </c>
      <c r="C3472" s="478"/>
      <c r="D3472" s="506" t="s">
        <v>4697</v>
      </c>
      <c r="E3472" s="760">
        <f ca="1">'New split'!G437/'New split'!F437-1</f>
        <v>-3.5779695822879987E-2</v>
      </c>
    </row>
    <row r="3474" spans="2:7">
      <c r="B3474" s="693" t="s">
        <v>4906</v>
      </c>
      <c r="C3474" s="693"/>
    </row>
    <row r="3476" spans="2:7">
      <c r="B3476" s="487" t="s">
        <v>886</v>
      </c>
      <c r="C3476" s="487"/>
      <c r="D3476" s="455">
        <v>2017</v>
      </c>
      <c r="E3476" s="455">
        <f>D3476+1</f>
        <v>2018</v>
      </c>
      <c r="F3476" s="455">
        <f>E3476+1</f>
        <v>2019</v>
      </c>
      <c r="G3476" s="455">
        <f>F3476+1</f>
        <v>2020</v>
      </c>
    </row>
    <row r="3477" spans="2:7">
      <c r="B3477" s="478" t="s">
        <v>798</v>
      </c>
      <c r="C3477" s="478"/>
      <c r="D3477" s="464">
        <f>'New split'!G35</f>
        <v>6089</v>
      </c>
      <c r="E3477" s="464">
        <f>'New split'!H35</f>
        <v>6012</v>
      </c>
      <c r="F3477" s="464">
        <f>'New split'!I35</f>
        <v>6371</v>
      </c>
      <c r="G3477" s="464">
        <f>'New split'!J35</f>
        <v>6232</v>
      </c>
    </row>
    <row r="3478" spans="2:7">
      <c r="B3478" s="478" t="s">
        <v>1194</v>
      </c>
      <c r="C3478" s="478"/>
      <c r="D3478" s="464">
        <f>'New split'!G77</f>
        <v>5723</v>
      </c>
      <c r="E3478" s="464">
        <f ca="1">'New split'!H77</f>
        <v>5595</v>
      </c>
      <c r="F3478" s="464">
        <f>'New split'!I77</f>
        <v>5921</v>
      </c>
      <c r="G3478" s="464">
        <f>'New split'!J77</f>
        <v>5736</v>
      </c>
    </row>
    <row r="3479" spans="2:7">
      <c r="B3479" s="478" t="s">
        <v>360</v>
      </c>
      <c r="C3479" s="478"/>
      <c r="D3479" s="464">
        <f>'New split'!G308</f>
        <v>2181</v>
      </c>
      <c r="E3479" s="464">
        <f>'New split'!H308</f>
        <v>2182</v>
      </c>
      <c r="F3479" s="464">
        <f>'New split'!I308</f>
        <v>2550</v>
      </c>
      <c r="G3479" s="464">
        <f>'New split'!J308</f>
        <v>2641</v>
      </c>
    </row>
    <row r="3480" spans="2:7">
      <c r="B3480" s="478" t="s">
        <v>1545</v>
      </c>
      <c r="C3480" s="478"/>
      <c r="D3480" s="464">
        <f>'New split'!G437</f>
        <v>994</v>
      </c>
      <c r="E3480" s="464">
        <f>'New split'!H437</f>
        <v>998.00000000000011</v>
      </c>
      <c r="F3480" s="464">
        <f ca="1">'New split'!I437</f>
        <v>1056</v>
      </c>
      <c r="G3480" s="464">
        <f ca="1">'New split'!J437</f>
        <v>990</v>
      </c>
    </row>
    <row r="3481" spans="2:7">
      <c r="B3481" s="478" t="s">
        <v>1552</v>
      </c>
      <c r="C3481" s="478"/>
      <c r="D3481" s="464">
        <f>D3479-D3480</f>
        <v>1187</v>
      </c>
      <c r="E3481" s="464">
        <f>E3479-E3480</f>
        <v>1184</v>
      </c>
      <c r="F3481" s="464">
        <f ca="1">F3479-F3480</f>
        <v>1494</v>
      </c>
      <c r="G3481" s="464">
        <f ca="1">G3479-G3480</f>
        <v>1651</v>
      </c>
    </row>
    <row r="3482" spans="2:7">
      <c r="D3482" s="464"/>
      <c r="E3482" s="464"/>
      <c r="F3482" s="464"/>
      <c r="G3482" s="464"/>
    </row>
    <row r="3483" spans="2:7">
      <c r="B3483" s="478" t="s">
        <v>885</v>
      </c>
      <c r="C3483" s="478"/>
      <c r="D3483" s="464"/>
      <c r="E3483" s="464"/>
      <c r="F3483" s="464"/>
      <c r="G3483" s="464"/>
    </row>
    <row r="3484" spans="2:7">
      <c r="B3484" s="478" t="s">
        <v>798</v>
      </c>
      <c r="C3484" s="478"/>
      <c r="D3484" s="464">
        <v>6152.5524214791967</v>
      </c>
      <c r="E3484" s="464">
        <v>6474.2390672102629</v>
      </c>
      <c r="F3484" s="464">
        <v>6714.5668882201462</v>
      </c>
      <c r="G3484" s="464">
        <v>6965.2108014156593</v>
      </c>
    </row>
    <row r="3485" spans="2:7">
      <c r="B3485" s="478" t="s">
        <v>1194</v>
      </c>
      <c r="C3485" s="478"/>
      <c r="D3485" s="464">
        <v>5756.8973362217785</v>
      </c>
      <c r="E3485" s="464">
        <v>6074.6913177528513</v>
      </c>
      <c r="F3485" s="464">
        <v>6324.8296608107294</v>
      </c>
      <c r="G3485" s="464">
        <v>6585.139664901134</v>
      </c>
    </row>
    <row r="3486" spans="2:7">
      <c r="B3486" s="478" t="s">
        <v>360</v>
      </c>
      <c r="C3486" s="478"/>
      <c r="D3486" s="464">
        <v>2187.5922212307769</v>
      </c>
      <c r="E3486" s="464">
        <v>2321.9359331660607</v>
      </c>
      <c r="F3486" s="464">
        <v>2445.9429397402555</v>
      </c>
      <c r="G3486" s="464">
        <v>2568.2726548633609</v>
      </c>
    </row>
    <row r="3487" spans="2:7">
      <c r="B3487" s="478" t="s">
        <v>1545</v>
      </c>
      <c r="C3487" s="478"/>
      <c r="D3487" s="464">
        <v>1008.0793805732385</v>
      </c>
      <c r="E3487" s="464">
        <v>1013.9909263468612</v>
      </c>
      <c r="F3487" s="464">
        <v>1053.6396265958233</v>
      </c>
      <c r="G3487" s="464">
        <v>1061.171315264555</v>
      </c>
    </row>
    <row r="3488" spans="2:7">
      <c r="B3488" s="478" t="s">
        <v>1552</v>
      </c>
      <c r="C3488" s="478"/>
      <c r="D3488" s="464">
        <f>D3486-D3487</f>
        <v>1179.5128406575384</v>
      </c>
      <c r="E3488" s="464">
        <f>E3486-E3487</f>
        <v>1307.9450068191995</v>
      </c>
      <c r="F3488" s="464">
        <f>F3486-F3487</f>
        <v>1392.3033131444322</v>
      </c>
      <c r="G3488" s="464">
        <f>G3486-G3487</f>
        <v>1507.1013395988059</v>
      </c>
    </row>
    <row r="3489" spans="2:7">
      <c r="D3489" s="464"/>
      <c r="E3489" s="464"/>
      <c r="F3489" s="464"/>
      <c r="G3489" s="464"/>
    </row>
    <row r="3490" spans="2:7">
      <c r="B3490" s="478" t="s">
        <v>4907</v>
      </c>
      <c r="C3490" s="478"/>
      <c r="D3490" s="464"/>
      <c r="E3490" s="464"/>
      <c r="F3490" s="464"/>
      <c r="G3490" s="464"/>
    </row>
    <row r="3491" spans="2:7">
      <c r="B3491" s="478" t="str">
        <f>B3484</f>
        <v>Revs</v>
      </c>
      <c r="C3491" s="478"/>
      <c r="D3491" s="464">
        <f>D3484-32*2</f>
        <v>6088.5524214791967</v>
      </c>
      <c r="E3491" s="464">
        <f t="shared" ref="E3491:G3492" si="373">E3484-32*4</f>
        <v>6346.2390672102629</v>
      </c>
      <c r="F3491" s="464">
        <f t="shared" si="373"/>
        <v>6586.5668882201462</v>
      </c>
      <c r="G3491" s="464">
        <f t="shared" si="373"/>
        <v>6837.2108014156593</v>
      </c>
    </row>
    <row r="3492" spans="2:7">
      <c r="B3492" s="478" t="str">
        <f>B3485</f>
        <v>Service revs</v>
      </c>
      <c r="C3492" s="478"/>
      <c r="D3492" s="464">
        <f>D3485-32*2</f>
        <v>5692.8973362217785</v>
      </c>
      <c r="E3492" s="464">
        <f t="shared" si="373"/>
        <v>5946.6913177528513</v>
      </c>
      <c r="F3492" s="464">
        <f t="shared" si="373"/>
        <v>6196.8296608107294</v>
      </c>
      <c r="G3492" s="464">
        <f t="shared" si="373"/>
        <v>6457.139664901134</v>
      </c>
    </row>
    <row r="3493" spans="2:7">
      <c r="B3493" s="478" t="str">
        <f>B3486</f>
        <v>EBITDA</v>
      </c>
      <c r="C3493" s="478"/>
      <c r="D3493" s="464">
        <f>D3486-8.5*2</f>
        <v>2170.5922212307769</v>
      </c>
      <c r="E3493" s="464">
        <f>E3486-8.5*4</f>
        <v>2287.9359331660607</v>
      </c>
      <c r="F3493" s="464">
        <f>F3486-8.5*4</f>
        <v>2411.9429397402555</v>
      </c>
      <c r="G3493" s="464">
        <f>G3486-8.5*4</f>
        <v>2534.2726548633609</v>
      </c>
    </row>
    <row r="3494" spans="2:7">
      <c r="B3494" s="478" t="str">
        <f>B3487</f>
        <v>Capex</v>
      </c>
      <c r="C3494" s="478"/>
      <c r="D3494" s="464">
        <f>D3487</f>
        <v>1008.0793805732385</v>
      </c>
      <c r="E3494" s="464">
        <f>E3487</f>
        <v>1013.9909263468612</v>
      </c>
      <c r="F3494" s="464">
        <f>F3487</f>
        <v>1053.6396265958233</v>
      </c>
      <c r="G3494" s="464">
        <f>G3487</f>
        <v>1061.171315264555</v>
      </c>
    </row>
    <row r="3495" spans="2:7">
      <c r="B3495" s="478" t="str">
        <f>B3488</f>
        <v>OpFCF</v>
      </c>
      <c r="C3495" s="478"/>
      <c r="D3495" s="464">
        <f>D3493-D3494</f>
        <v>1162.5128406575384</v>
      </c>
      <c r="E3495" s="464">
        <f>E3493-E3494</f>
        <v>1273.9450068191995</v>
      </c>
      <c r="F3495" s="464">
        <f>F3493-F3494</f>
        <v>1358.3033131444322</v>
      </c>
      <c r="G3495" s="464">
        <f>G3493-G3494</f>
        <v>1473.1013395988059</v>
      </c>
    </row>
    <row r="3496" spans="2:7">
      <c r="D3496" s="464"/>
      <c r="E3496" s="464"/>
      <c r="F3496" s="464"/>
      <c r="G3496" s="464"/>
    </row>
    <row r="3497" spans="2:7">
      <c r="B3497" s="478" t="s">
        <v>619</v>
      </c>
      <c r="C3497" s="478"/>
      <c r="D3497" s="464"/>
      <c r="E3497" s="464"/>
      <c r="F3497" s="464"/>
      <c r="G3497" s="464"/>
    </row>
    <row r="3498" spans="2:7">
      <c r="B3498" s="478" t="s">
        <v>798</v>
      </c>
      <c r="C3498" s="478"/>
      <c r="D3498" s="456">
        <f t="shared" ref="D3498:G3501" si="374">D3477/D3491-1</f>
        <v>7.3511483488886142E-5</v>
      </c>
      <c r="E3498" s="456">
        <f t="shared" si="374"/>
        <v>-5.2667266970323978E-2</v>
      </c>
      <c r="F3498" s="456">
        <f t="shared" si="374"/>
        <v>-3.2728262215886761E-2</v>
      </c>
      <c r="G3498" s="456">
        <f t="shared" si="374"/>
        <v>-8.8517206649581293E-2</v>
      </c>
    </row>
    <row r="3499" spans="2:7">
      <c r="B3499" s="478" t="s">
        <v>1194</v>
      </c>
      <c r="C3499" s="478"/>
      <c r="D3499" s="456">
        <f t="shared" si="374"/>
        <v>5.2877580606784935E-3</v>
      </c>
      <c r="E3499" s="456">
        <f ca="1">E3478/E3492-1</f>
        <v>-5.9140671502981079E-2</v>
      </c>
      <c r="F3499" s="456">
        <f t="shared" si="374"/>
        <v>-4.4511415660672293E-2</v>
      </c>
      <c r="G3499" s="456">
        <f t="shared" si="374"/>
        <v>-0.11168097676762512</v>
      </c>
    </row>
    <row r="3500" spans="2:7">
      <c r="B3500" s="478" t="s">
        <v>360</v>
      </c>
      <c r="C3500" s="478"/>
      <c r="D3500" s="456">
        <f t="shared" si="374"/>
        <v>4.794902823028524E-3</v>
      </c>
      <c r="E3500" s="456">
        <f t="shared" si="374"/>
        <v>-4.630196660247643E-2</v>
      </c>
      <c r="F3500" s="456">
        <f t="shared" si="374"/>
        <v>5.7238941263930476E-2</v>
      </c>
      <c r="G3500" s="456">
        <f t="shared" si="374"/>
        <v>4.211360010211429E-2</v>
      </c>
    </row>
    <row r="3501" spans="2:7">
      <c r="B3501" s="478" t="s">
        <v>1545</v>
      </c>
      <c r="C3501" s="478"/>
      <c r="D3501" s="456">
        <f t="shared" si="374"/>
        <v>-1.3966539584643001E-2</v>
      </c>
      <c r="E3501" s="456">
        <f t="shared" si="374"/>
        <v>-1.57702854447348E-2</v>
      </c>
      <c r="F3501" s="456">
        <f ca="1">F3480/F3494-1</f>
        <v>2.2402094080333779E-3</v>
      </c>
      <c r="G3501" s="456">
        <f ca="1">G3480/G3494-1</f>
        <v>-6.7068638438282369E-2</v>
      </c>
    </row>
    <row r="3502" spans="2:7">
      <c r="B3502" s="478" t="s">
        <v>1552</v>
      </c>
      <c r="C3502" s="478"/>
      <c r="D3502" s="456">
        <f>D3481/D3488-1</f>
        <v>6.3476709064802517E-3</v>
      </c>
      <c r="E3502" s="456">
        <f>E3481/E3488-1</f>
        <v>-9.4763163720944399E-2</v>
      </c>
      <c r="F3502" s="456">
        <f ca="1">F3481/F3488-1</f>
        <v>7.3042049024427014E-2</v>
      </c>
      <c r="G3502" s="456">
        <f ca="1">G3481/G3488-1</f>
        <v>9.5480414369149447E-2</v>
      </c>
    </row>
    <row r="3504" spans="2:7">
      <c r="B3504" s="478" t="s">
        <v>1665</v>
      </c>
      <c r="C3504" s="478"/>
    </row>
    <row r="3505" spans="2:7">
      <c r="B3505" s="487" t="s">
        <v>886</v>
      </c>
      <c r="C3505" s="487"/>
      <c r="D3505" s="455">
        <v>2017</v>
      </c>
      <c r="E3505" s="455">
        <f>D3505+1</f>
        <v>2018</v>
      </c>
      <c r="F3505" s="455">
        <f>E3505+1</f>
        <v>2019</v>
      </c>
      <c r="G3505" s="455">
        <f>F3505+1</f>
        <v>2020</v>
      </c>
    </row>
    <row r="3506" spans="2:7">
      <c r="B3506" s="478" t="s">
        <v>798</v>
      </c>
      <c r="C3506" s="478"/>
      <c r="D3506" s="464">
        <f>'New split'!G20</f>
        <v>1739</v>
      </c>
      <c r="E3506" s="464">
        <f>'New split'!H20</f>
        <v>1661</v>
      </c>
      <c r="F3506" s="464">
        <f>'New split'!I20</f>
        <v>1532</v>
      </c>
      <c r="G3506" s="464">
        <f>'New split'!J20</f>
        <v>1345</v>
      </c>
    </row>
    <row r="3507" spans="2:7">
      <c r="B3507" s="478" t="s">
        <v>1194</v>
      </c>
      <c r="C3507" s="478"/>
      <c r="D3507" s="464">
        <f>'New split'!G60</f>
        <v>1615</v>
      </c>
      <c r="E3507" s="464">
        <f>'New split'!H60</f>
        <v>1553</v>
      </c>
      <c r="F3507" s="464">
        <f>'New split'!I60</f>
        <v>1432</v>
      </c>
      <c r="G3507" s="464">
        <f>'New split'!J60</f>
        <v>1258</v>
      </c>
    </row>
    <row r="3508" spans="2:7">
      <c r="B3508" s="478" t="s">
        <v>360</v>
      </c>
      <c r="C3508" s="478"/>
      <c r="D3508" s="464">
        <f>'New split'!G288</f>
        <v>469</v>
      </c>
      <c r="E3508" s="464">
        <f>'New split'!H288</f>
        <v>494</v>
      </c>
      <c r="F3508" s="464">
        <f>'New split'!I288</f>
        <v>513</v>
      </c>
      <c r="G3508" s="464">
        <f>'New split'!J288</f>
        <v>457</v>
      </c>
    </row>
    <row r="3509" spans="2:7">
      <c r="B3509" s="478" t="s">
        <v>1434</v>
      </c>
      <c r="C3509" s="478"/>
      <c r="D3509" s="456">
        <f>D3508/D3506</f>
        <v>0.26969522714203564</v>
      </c>
      <c r="E3509" s="456">
        <f>E3508/E3506</f>
        <v>0.29741119807344973</v>
      </c>
      <c r="F3509" s="456">
        <f>F3508/F3506</f>
        <v>0.33485639686684071</v>
      </c>
      <c r="G3509" s="456">
        <f>G3508/G3506</f>
        <v>0.33977695167286243</v>
      </c>
    </row>
    <row r="3511" spans="2:7">
      <c r="B3511" s="487" t="s">
        <v>885</v>
      </c>
      <c r="C3511" s="487"/>
      <c r="D3511" s="455">
        <v>2017</v>
      </c>
      <c r="E3511" s="455">
        <f>D3511+1</f>
        <v>2018</v>
      </c>
      <c r="F3511" s="455">
        <f>E3511+1</f>
        <v>2019</v>
      </c>
      <c r="G3511" s="455">
        <f>F3511+1</f>
        <v>2020</v>
      </c>
    </row>
    <row r="3512" spans="2:7">
      <c r="B3512" s="478" t="s">
        <v>798</v>
      </c>
      <c r="C3512" s="478"/>
      <c r="D3512" s="464">
        <v>1753.2425661358484</v>
      </c>
      <c r="E3512" s="464">
        <v>1875.282987046626</v>
      </c>
      <c r="F3512" s="464">
        <v>1966.6844058689915</v>
      </c>
      <c r="G3512" s="464">
        <v>2069.2681639578864</v>
      </c>
    </row>
    <row r="3513" spans="2:7">
      <c r="B3513" s="478" t="s">
        <v>1194</v>
      </c>
      <c r="C3513" s="478"/>
      <c r="D3513" s="464">
        <v>1615.1058779345565</v>
      </c>
      <c r="E3513" s="464">
        <v>1737.3339208327045</v>
      </c>
      <c r="F3513" s="464">
        <v>1833.3745563675952</v>
      </c>
      <c r="G3513" s="464">
        <v>1939.8411256070165</v>
      </c>
    </row>
    <row r="3514" spans="2:7">
      <c r="B3514" s="478" t="s">
        <v>360</v>
      </c>
      <c r="C3514" s="478"/>
      <c r="D3514" s="464">
        <v>488.90422731924912</v>
      </c>
      <c r="E3514" s="464">
        <v>551.3834361228827</v>
      </c>
      <c r="F3514" s="464">
        <v>616.35406255441433</v>
      </c>
      <c r="G3514" s="464">
        <v>680.92347226806714</v>
      </c>
    </row>
    <row r="3515" spans="2:7">
      <c r="B3515" s="478" t="s">
        <v>1434</v>
      </c>
      <c r="C3515" s="478"/>
      <c r="D3515" s="456">
        <f>D3514/D3512</f>
        <v>0.27885715117948306</v>
      </c>
      <c r="E3515" s="456">
        <f>E3514/E3512</f>
        <v>0.29402678952004668</v>
      </c>
      <c r="F3515" s="456">
        <f>F3514/F3512</f>
        <v>0.31339754396541042</v>
      </c>
      <c r="G3515" s="456">
        <f>G3514/G3512</f>
        <v>0.32906487623414926</v>
      </c>
    </row>
    <row r="3517" spans="2:7">
      <c r="B3517" s="487" t="s">
        <v>2353</v>
      </c>
      <c r="C3517" s="487"/>
      <c r="D3517" s="455">
        <v>2017</v>
      </c>
      <c r="E3517" s="455">
        <f>D3517+1</f>
        <v>2018</v>
      </c>
      <c r="F3517" s="455">
        <f>E3517+1</f>
        <v>2019</v>
      </c>
      <c r="G3517" s="455">
        <f>F3517+1</f>
        <v>2020</v>
      </c>
    </row>
    <row r="3518" spans="2:7">
      <c r="B3518" s="478" t="s">
        <v>798</v>
      </c>
      <c r="C3518" s="478"/>
      <c r="D3518" s="456">
        <f t="shared" ref="D3518:G3520" si="375">D3506/D3512-1</f>
        <v>-8.1235571226399017E-3</v>
      </c>
      <c r="E3518" s="456">
        <f t="shared" si="375"/>
        <v>-0.11426701384632043</v>
      </c>
      <c r="F3518" s="456">
        <f t="shared" si="375"/>
        <v>-0.22102397546439256</v>
      </c>
      <c r="G3518" s="456">
        <f t="shared" si="375"/>
        <v>-0.35001174645850619</v>
      </c>
    </row>
    <row r="3519" spans="2:7">
      <c r="B3519" s="478" t="s">
        <v>1194</v>
      </c>
      <c r="C3519" s="478"/>
      <c r="D3519" s="456">
        <f t="shared" si="375"/>
        <v>-6.5554794891786727E-5</v>
      </c>
      <c r="E3519" s="456">
        <f t="shared" si="375"/>
        <v>-0.10610160696359006</v>
      </c>
      <c r="F3519" s="456">
        <f t="shared" si="375"/>
        <v>-0.21892665357090235</v>
      </c>
      <c r="G3519" s="456">
        <f t="shared" si="375"/>
        <v>-0.35149328293246396</v>
      </c>
    </row>
    <row r="3520" spans="2:7">
      <c r="B3520" s="478" t="s">
        <v>360</v>
      </c>
      <c r="C3520" s="478"/>
      <c r="D3520" s="456">
        <f t="shared" si="375"/>
        <v>-4.0711914945770866E-2</v>
      </c>
      <c r="E3520" s="456">
        <f t="shared" si="375"/>
        <v>-0.10407174456741219</v>
      </c>
      <c r="F3520" s="456">
        <f t="shared" si="375"/>
        <v>-0.16768618693949111</v>
      </c>
      <c r="G3520" s="456">
        <f t="shared" si="375"/>
        <v>-0.32885262645184976</v>
      </c>
    </row>
    <row r="3521" spans="2:7">
      <c r="B3521" s="478"/>
      <c r="C3521" s="478"/>
      <c r="D3521" s="456"/>
      <c r="E3521" s="456"/>
      <c r="F3521" s="456"/>
      <c r="G3521" s="456"/>
    </row>
    <row r="3522" spans="2:7">
      <c r="B3522" s="478" t="s">
        <v>2376</v>
      </c>
      <c r="C3522" s="478"/>
      <c r="D3522" s="456"/>
      <c r="E3522" s="456"/>
      <c r="F3522" s="456"/>
      <c r="G3522" s="456"/>
    </row>
    <row r="3523" spans="2:7">
      <c r="B3523" s="478" t="s">
        <v>2408</v>
      </c>
      <c r="C3523" s="478"/>
      <c r="D3523">
        <v>145</v>
      </c>
    </row>
    <row r="3524" spans="2:7">
      <c r="B3524" s="478" t="s">
        <v>2409</v>
      </c>
      <c r="C3524" s="478"/>
      <c r="D3524">
        <v>800</v>
      </c>
    </row>
    <row r="3525" spans="2:7">
      <c r="B3525" s="478" t="s">
        <v>2486</v>
      </c>
      <c r="C3525" s="478"/>
      <c r="D3525">
        <f>D3523*1000000/D3524</f>
        <v>181250</v>
      </c>
    </row>
    <row r="3527" spans="2:7">
      <c r="B3527" s="487" t="s">
        <v>3804</v>
      </c>
      <c r="C3527" s="487"/>
      <c r="D3527" s="455">
        <v>2016</v>
      </c>
      <c r="E3527" s="455">
        <v>2017</v>
      </c>
    </row>
    <row r="3529" spans="2:7">
      <c r="B3529" s="478" t="s">
        <v>2379</v>
      </c>
      <c r="C3529" s="478"/>
    </row>
    <row r="3530" spans="2:7">
      <c r="B3530" s="478" t="s">
        <v>574</v>
      </c>
      <c r="C3530" s="478"/>
      <c r="D3530" s="454">
        <f>CA!Q214</f>
        <v>320.63812542302549</v>
      </c>
      <c r="E3530" s="454">
        <f>CA!R214</f>
        <v>349.07031163141971</v>
      </c>
    </row>
    <row r="3531" spans="2:7">
      <c r="B3531" s="478" t="s">
        <v>538</v>
      </c>
      <c r="C3531" s="478"/>
      <c r="E3531" s="454">
        <f>CA!R216</f>
        <v>305.45454545454544</v>
      </c>
    </row>
    <row r="3532" spans="2:7">
      <c r="B3532" s="478" t="s">
        <v>3054</v>
      </c>
      <c r="C3532" s="478"/>
    </row>
    <row r="3534" spans="2:7">
      <c r="B3534" s="478" t="s">
        <v>2380</v>
      </c>
      <c r="C3534" s="478"/>
    </row>
    <row r="3535" spans="2:7">
      <c r="B3535" s="478" t="s">
        <v>574</v>
      </c>
      <c r="C3535" s="478"/>
    </row>
    <row r="3536" spans="2:7">
      <c r="B3536" s="478" t="s">
        <v>538</v>
      </c>
      <c r="C3536" s="478"/>
    </row>
    <row r="3537" spans="2:12">
      <c r="B3537" s="478" t="s">
        <v>3054</v>
      </c>
      <c r="C3537" s="478"/>
    </row>
    <row r="3539" spans="2:12">
      <c r="B3539" s="478" t="s">
        <v>1665</v>
      </c>
      <c r="C3539" s="478"/>
    </row>
    <row r="3540" spans="2:12">
      <c r="B3540" s="478" t="s">
        <v>574</v>
      </c>
      <c r="C3540" s="478"/>
    </row>
    <row r="3541" spans="2:12">
      <c r="B3541" s="478" t="s">
        <v>538</v>
      </c>
      <c r="C3541" s="478"/>
    </row>
    <row r="3542" spans="2:12">
      <c r="B3542" s="478" t="s">
        <v>3054</v>
      </c>
      <c r="C3542" s="478"/>
    </row>
    <row r="3544" spans="2:12">
      <c r="B3544" s="627" t="s">
        <v>5389</v>
      </c>
      <c r="C3544" s="627"/>
    </row>
    <row r="3546" spans="2:12">
      <c r="B3546" s="451" t="s">
        <v>1426</v>
      </c>
      <c r="C3546" s="451"/>
      <c r="D3546" s="451">
        <v>2016</v>
      </c>
      <c r="E3546" s="451">
        <f>D3546+1</f>
        <v>2017</v>
      </c>
      <c r="F3546" s="451">
        <f>E3546+1</f>
        <v>2018</v>
      </c>
      <c r="G3546" s="451">
        <f>F3546+1</f>
        <v>2019</v>
      </c>
      <c r="H3546" s="451">
        <f>G3546+1</f>
        <v>2020</v>
      </c>
      <c r="K3546" s="478" t="s">
        <v>5401</v>
      </c>
    </row>
    <row r="3547" spans="2:12">
      <c r="B3547" s="478" t="s">
        <v>758</v>
      </c>
      <c r="C3547" s="478"/>
      <c r="D3547">
        <v>338</v>
      </c>
      <c r="E3547">
        <v>374</v>
      </c>
      <c r="F3547" s="454">
        <f>(1+F3548)*E3547</f>
        <v>400.18</v>
      </c>
      <c r="G3547" s="454">
        <f>(1+G3548)*F3547</f>
        <v>440.19800000000004</v>
      </c>
      <c r="H3547" s="454">
        <f>(1+H3548)*G3547</f>
        <v>484.21780000000007</v>
      </c>
      <c r="K3547">
        <v>195</v>
      </c>
      <c r="L3547">
        <f>K3547*2</f>
        <v>390</v>
      </c>
    </row>
    <row r="3548" spans="2:12">
      <c r="B3548" s="478" t="s">
        <v>2353</v>
      </c>
      <c r="C3548" s="478"/>
      <c r="E3548" s="449">
        <f>E3547/D3547-1</f>
        <v>0.10650887573964507</v>
      </c>
      <c r="F3548" s="984">
        <v>7.0000000000000007E-2</v>
      </c>
      <c r="G3548" s="984">
        <v>0.1</v>
      </c>
      <c r="H3548" s="984">
        <v>0.1</v>
      </c>
    </row>
    <row r="3549" spans="2:12">
      <c r="B3549" s="478" t="s">
        <v>360</v>
      </c>
      <c r="C3549" s="478"/>
      <c r="D3549">
        <v>145</v>
      </c>
      <c r="E3549">
        <v>160</v>
      </c>
      <c r="F3549" s="454">
        <f>F3551*F3547</f>
        <v>166.47487999999998</v>
      </c>
      <c r="G3549" s="535">
        <v>184</v>
      </c>
      <c r="H3549" s="454">
        <f>H3551*H3547</f>
        <v>201.43460480000002</v>
      </c>
      <c r="K3549">
        <v>83</v>
      </c>
      <c r="L3549">
        <f>K3549*2</f>
        <v>166</v>
      </c>
    </row>
    <row r="3550" spans="2:12">
      <c r="B3550" s="478" t="s">
        <v>2353</v>
      </c>
      <c r="C3550" s="478"/>
      <c r="E3550" s="449">
        <f>E3549/D3549-1</f>
        <v>0.10344827586206895</v>
      </c>
      <c r="F3550" s="449">
        <f>F3549/E3549-1</f>
        <v>4.0467999999999948E-2</v>
      </c>
      <c r="G3550" s="449">
        <f>G3549/F3549-1</f>
        <v>0.10527185843293596</v>
      </c>
      <c r="H3550" s="449">
        <f>H3549/G3549-1</f>
        <v>9.4753286956521743E-2</v>
      </c>
    </row>
    <row r="3551" spans="2:12">
      <c r="B3551" s="478" t="s">
        <v>1434</v>
      </c>
      <c r="C3551" s="478"/>
      <c r="D3551" s="456">
        <f>D3549/D3547</f>
        <v>0.42899408284023671</v>
      </c>
      <c r="E3551" s="456">
        <f>E3549/E3547</f>
        <v>0.42780748663101603</v>
      </c>
      <c r="F3551" s="1044">
        <v>0.41599999999999998</v>
      </c>
      <c r="G3551" s="1044">
        <f>F3551</f>
        <v>0.41599999999999998</v>
      </c>
      <c r="H3551" s="1044">
        <f>G3551</f>
        <v>0.41599999999999998</v>
      </c>
    </row>
    <row r="3552" spans="2:12">
      <c r="B3552" s="478" t="s">
        <v>1545</v>
      </c>
      <c r="C3552" s="478"/>
      <c r="D3552">
        <v>58</v>
      </c>
      <c r="E3552">
        <v>75</v>
      </c>
      <c r="F3552" s="454">
        <f>F3553*F3547</f>
        <v>80.25</v>
      </c>
      <c r="G3552" s="454">
        <f>G3553*G3547</f>
        <v>88.275000000000006</v>
      </c>
      <c r="H3552" s="454">
        <f>H3553*H3547</f>
        <v>97.102500000000006</v>
      </c>
    </row>
    <row r="3553" spans="2:8">
      <c r="B3553" s="478" t="s">
        <v>1431</v>
      </c>
      <c r="C3553" s="478"/>
      <c r="D3553" s="456">
        <f>D3552/D3547</f>
        <v>0.17159763313609466</v>
      </c>
      <c r="E3553" s="456">
        <f>E3552/E3547</f>
        <v>0.20053475935828877</v>
      </c>
      <c r="F3553" s="1044">
        <f>E3553</f>
        <v>0.20053475935828877</v>
      </c>
      <c r="G3553" s="1044">
        <f>F3553</f>
        <v>0.20053475935828877</v>
      </c>
      <c r="H3553" s="1044">
        <f>G3553</f>
        <v>0.20053475935828877</v>
      </c>
    </row>
    <row r="3554" spans="2:8">
      <c r="B3554" s="478" t="s">
        <v>1552</v>
      </c>
      <c r="C3554" s="478"/>
      <c r="D3554" s="454">
        <f>D3549-D3552</f>
        <v>87</v>
      </c>
      <c r="E3554" s="454">
        <f>E3549-E3552</f>
        <v>85</v>
      </c>
      <c r="F3554" s="454">
        <f>F3549-F3552</f>
        <v>86.224879999999985</v>
      </c>
      <c r="G3554" s="454">
        <f>G3549-G3552</f>
        <v>95.724999999999994</v>
      </c>
      <c r="H3554" s="454">
        <f>H3549-H3552</f>
        <v>104.33210480000001</v>
      </c>
    </row>
    <row r="3555" spans="2:8">
      <c r="B3555" s="478" t="s">
        <v>1434</v>
      </c>
      <c r="C3555" s="478"/>
      <c r="D3555" s="449">
        <f>D3554/D3547</f>
        <v>0.25739644970414199</v>
      </c>
      <c r="E3555" s="449">
        <f>E3554/E3547</f>
        <v>0.22727272727272727</v>
      </c>
      <c r="F3555" s="449">
        <f>F3554/F3547</f>
        <v>0.21546524064171119</v>
      </c>
      <c r="G3555" s="449">
        <f>G3554/G3547</f>
        <v>0.21745896164907608</v>
      </c>
      <c r="H3555" s="449">
        <f>H3554/H3547</f>
        <v>0.21546524064171121</v>
      </c>
    </row>
    <row r="3556" spans="2:8">
      <c r="B3556" s="478" t="s">
        <v>682</v>
      </c>
      <c r="C3556" s="478"/>
      <c r="D3556" s="984">
        <v>0.25</v>
      </c>
      <c r="E3556" s="984">
        <v>0.25</v>
      </c>
      <c r="F3556" s="984">
        <v>0.25</v>
      </c>
      <c r="G3556" s="984">
        <v>0.25</v>
      </c>
      <c r="H3556" s="984">
        <v>0.25</v>
      </c>
    </row>
    <row r="3557" spans="2:8">
      <c r="B3557" s="478" t="s">
        <v>1936</v>
      </c>
      <c r="C3557" s="478"/>
      <c r="D3557" s="454">
        <f>(1-D3556)*D3554</f>
        <v>65.25</v>
      </c>
      <c r="E3557" s="454">
        <f>(1-E3556)*E3554</f>
        <v>63.75</v>
      </c>
      <c r="F3557" s="454">
        <f>(1-F3556)*F3554</f>
        <v>64.668659999999988</v>
      </c>
      <c r="G3557" s="454">
        <f>(1-G3556)*G3554</f>
        <v>71.793749999999989</v>
      </c>
      <c r="H3557" s="454">
        <f>(1-H3556)*H3554</f>
        <v>78.249078600000004</v>
      </c>
    </row>
    <row r="3558" spans="2:8">
      <c r="B3558" s="455"/>
    </row>
    <row r="3559" spans="2:8">
      <c r="B3559" s="451" t="s">
        <v>5393</v>
      </c>
      <c r="C3559" s="451"/>
      <c r="D3559" s="1112">
        <v>2016</v>
      </c>
      <c r="E3559" s="1112">
        <v>2017</v>
      </c>
      <c r="F3559" s="1112">
        <f>E3559+1</f>
        <v>2018</v>
      </c>
      <c r="G3559" s="1112">
        <f>F3559+1</f>
        <v>2019</v>
      </c>
      <c r="H3559" s="1112">
        <f>G3559+1</f>
        <v>2020</v>
      </c>
    </row>
    <row r="3560" spans="2:8">
      <c r="B3560" s="450" t="s">
        <v>758</v>
      </c>
      <c r="C3560" s="450"/>
      <c r="D3560" s="450"/>
      <c r="E3560" s="450"/>
      <c r="F3560" s="450"/>
      <c r="G3560" s="450"/>
      <c r="H3560" s="450"/>
    </row>
    <row r="3561" spans="2:8">
      <c r="B3561" s="478" t="s">
        <v>465</v>
      </c>
      <c r="C3561" s="478"/>
      <c r="D3561" s="464">
        <f>Master!S5</f>
        <v>6248.8819186869696</v>
      </c>
      <c r="E3561" s="464">
        <f>Master!T5</f>
        <v>6089</v>
      </c>
      <c r="F3561" s="464">
        <f>Master!U5</f>
        <v>6012</v>
      </c>
      <c r="G3561" s="464">
        <f>Master!V5</f>
        <v>6371</v>
      </c>
      <c r="H3561" s="464">
        <f>Master!W5</f>
        <v>6232</v>
      </c>
    </row>
    <row r="3562" spans="2:8">
      <c r="B3562" s="478" t="s">
        <v>5390</v>
      </c>
      <c r="C3562" s="478"/>
      <c r="D3562">
        <f>D3547</f>
        <v>338</v>
      </c>
      <c r="E3562">
        <f>E3547</f>
        <v>374</v>
      </c>
      <c r="F3562" s="454">
        <f>F3547</f>
        <v>400.18</v>
      </c>
      <c r="G3562" s="454">
        <f>G3547</f>
        <v>440.19800000000004</v>
      </c>
      <c r="H3562" s="454">
        <f>H3547</f>
        <v>484.21780000000007</v>
      </c>
    </row>
    <row r="3563" spans="2:8">
      <c r="B3563" s="478" t="s">
        <v>5391</v>
      </c>
      <c r="C3563" s="478"/>
      <c r="D3563" s="464">
        <f>D3561+D3562</f>
        <v>6586.8819186869696</v>
      </c>
      <c r="E3563" s="464">
        <f>E3561+E3562</f>
        <v>6463</v>
      </c>
      <c r="F3563" s="464">
        <f>F3561+F3562</f>
        <v>6412.18</v>
      </c>
      <c r="G3563" s="464">
        <f>G3561+G3562</f>
        <v>6811.1980000000003</v>
      </c>
      <c r="H3563" s="464">
        <f>H3561+H3562</f>
        <v>6716.2178000000004</v>
      </c>
    </row>
    <row r="3564" spans="2:8">
      <c r="B3564" s="478" t="s">
        <v>5392</v>
      </c>
      <c r="C3564" s="478"/>
      <c r="D3564" s="449">
        <f>D3562/D3561</f>
        <v>5.4089676265001566E-2</v>
      </c>
      <c r="E3564" s="449">
        <f>E3562/E3561</f>
        <v>6.1422236820495975E-2</v>
      </c>
      <c r="F3564" s="449">
        <f>F3562/F3561</f>
        <v>6.6563539587491685E-2</v>
      </c>
      <c r="G3564" s="449">
        <f>G3562/G3561</f>
        <v>6.9094019777115059E-2</v>
      </c>
      <c r="H3564" s="449">
        <f>H3562/H3561</f>
        <v>7.7698620025673945E-2</v>
      </c>
    </row>
    <row r="3566" spans="2:8">
      <c r="B3566" s="450" t="s">
        <v>360</v>
      </c>
      <c r="C3566" s="450"/>
    </row>
    <row r="3567" spans="2:8">
      <c r="B3567" t="str">
        <f>B3561</f>
        <v xml:space="preserve">Millicom </v>
      </c>
      <c r="D3567" s="464">
        <f>Master!S14</f>
        <v>2225.5</v>
      </c>
      <c r="E3567" s="464">
        <f>Master!T14</f>
        <v>2181</v>
      </c>
      <c r="F3567" s="464">
        <f>Master!U14</f>
        <v>2182</v>
      </c>
      <c r="G3567" s="464">
        <f>Master!V14</f>
        <v>2550</v>
      </c>
      <c r="H3567" s="464">
        <f>Master!W14</f>
        <v>2641</v>
      </c>
    </row>
    <row r="3568" spans="2:8">
      <c r="B3568" t="str">
        <f>B3562</f>
        <v>Onda</v>
      </c>
      <c r="D3568">
        <f>D3549</f>
        <v>145</v>
      </c>
      <c r="E3568">
        <f>E3549</f>
        <v>160</v>
      </c>
      <c r="F3568" s="464">
        <f>F3549</f>
        <v>166.47487999999998</v>
      </c>
      <c r="G3568" s="464">
        <f>G3549</f>
        <v>184</v>
      </c>
      <c r="H3568" s="464">
        <f>H3549</f>
        <v>201.43460480000002</v>
      </c>
    </row>
    <row r="3569" spans="2:8">
      <c r="B3569" t="str">
        <f>B3563</f>
        <v>New Group</v>
      </c>
      <c r="D3569" s="464">
        <f>D3567+D3568</f>
        <v>2370.5</v>
      </c>
      <c r="E3569" s="464">
        <f>E3567+E3568</f>
        <v>2341</v>
      </c>
      <c r="F3569" s="464">
        <f>F3567+F3568</f>
        <v>2348.4748799999998</v>
      </c>
      <c r="G3569" s="464">
        <f>G3567+G3568</f>
        <v>2734</v>
      </c>
      <c r="H3569" s="464">
        <f>H3567+H3568</f>
        <v>2842.4346048000002</v>
      </c>
    </row>
    <row r="3570" spans="2:8">
      <c r="B3570" t="str">
        <f>B3564</f>
        <v>Onda as %</v>
      </c>
      <c r="D3570" s="449">
        <f>D3568/D3569</f>
        <v>6.1168529846024049E-2</v>
      </c>
      <c r="E3570" s="449">
        <f>E3568/E3569</f>
        <v>6.8346860316104235E-2</v>
      </c>
      <c r="F3570" s="449">
        <f>F3568/F3569</f>
        <v>7.0886378823008744E-2</v>
      </c>
      <c r="G3570" s="449">
        <f>G3568/G3569</f>
        <v>6.7300658376005851E-2</v>
      </c>
      <c r="H3570" s="449">
        <f>H3568/H3569</f>
        <v>7.0866926704255137E-2</v>
      </c>
    </row>
    <row r="3572" spans="2:8">
      <c r="B3572" s="478" t="s">
        <v>4419</v>
      </c>
      <c r="C3572" s="478"/>
      <c r="D3572" s="464">
        <f ca="1">Valuation!F27</f>
        <v>306.61525748434178</v>
      </c>
      <c r="E3572" s="464">
        <f>Valuation!G27</f>
        <v>300</v>
      </c>
      <c r="F3572" s="464">
        <f>Valuation!H27</f>
        <v>346</v>
      </c>
      <c r="G3572" s="464">
        <f ca="1">Valuation!I27</f>
        <v>534.88430441573314</v>
      </c>
      <c r="H3572" s="464">
        <f ca="1">Valuation!J27</f>
        <v>424.51142204733435</v>
      </c>
    </row>
    <row r="3573" spans="2:8">
      <c r="B3573" s="478"/>
      <c r="C3573" s="478"/>
      <c r="D3573" s="464"/>
      <c r="E3573" s="464"/>
      <c r="F3573" s="464"/>
      <c r="G3573" s="464"/>
      <c r="H3573" s="464"/>
    </row>
    <row r="3574" spans="2:8">
      <c r="B3574" s="478" t="s">
        <v>5405</v>
      </c>
      <c r="C3574" s="478"/>
      <c r="D3574" s="464"/>
      <c r="E3574" s="464"/>
      <c r="F3574" s="464"/>
      <c r="G3574" s="464">
        <f>G3557*0.8</f>
        <v>57.434999999999995</v>
      </c>
      <c r="H3574" s="464">
        <f>H3557*0.8</f>
        <v>62.599262880000005</v>
      </c>
    </row>
    <row r="3575" spans="2:8">
      <c r="B3575" s="478" t="s">
        <v>5407</v>
      </c>
      <c r="C3575" s="478"/>
      <c r="G3575" s="454">
        <f>G3593</f>
        <v>63.125999999999998</v>
      </c>
      <c r="H3575" s="454">
        <f>H3593</f>
        <v>63.125999999999998</v>
      </c>
    </row>
    <row r="3576" spans="2:8">
      <c r="B3576" s="478" t="s">
        <v>5406</v>
      </c>
      <c r="C3576" s="478"/>
      <c r="G3576" s="454">
        <f>$D$3584*$F$3592*0.8</f>
        <v>10.458</v>
      </c>
      <c r="H3576" s="454">
        <f>$D$3584*$F$3592*0.8</f>
        <v>10.458</v>
      </c>
    </row>
    <row r="3577" spans="2:8">
      <c r="B3577" s="478"/>
      <c r="C3577" s="478"/>
      <c r="G3577" s="454"/>
      <c r="H3577" s="454"/>
    </row>
    <row r="3578" spans="2:8">
      <c r="B3578" s="478" t="s">
        <v>4421</v>
      </c>
      <c r="C3578" s="478"/>
      <c r="G3578" s="454">
        <f ca="1">G3572+G3574-G3575-G3576</f>
        <v>518.73530441573314</v>
      </c>
      <c r="H3578" s="454">
        <f ca="1">H3572+H3574-H3575-H3576</f>
        <v>413.52668492733437</v>
      </c>
    </row>
    <row r="3579" spans="2:8">
      <c r="B3579" s="478" t="s">
        <v>5402</v>
      </c>
      <c r="C3579" s="478"/>
      <c r="G3579" s="449">
        <f ca="1">G3578/G3572-1</f>
        <v>-3.0191575760743161E-2</v>
      </c>
      <c r="H3579" s="449">
        <f ca="1">H3578/H3572-1</f>
        <v>-2.5876187422761876E-2</v>
      </c>
    </row>
    <row r="3581" spans="2:8">
      <c r="B3581" s="478" t="s">
        <v>2222</v>
      </c>
      <c r="C3581" s="478"/>
      <c r="D3581">
        <v>1002</v>
      </c>
    </row>
    <row r="3582" spans="2:8">
      <c r="B3582" s="478" t="s">
        <v>5394</v>
      </c>
      <c r="C3582" s="478"/>
      <c r="D3582" s="449">
        <v>0.8</v>
      </c>
    </row>
    <row r="3583" spans="2:8">
      <c r="B3583" s="478" t="s">
        <v>5395</v>
      </c>
      <c r="C3583" s="478"/>
      <c r="D3583" s="454">
        <f>D3581/D3582</f>
        <v>1252.5</v>
      </c>
    </row>
    <row r="3584" spans="2:8">
      <c r="B3584" s="478" t="s">
        <v>1381</v>
      </c>
      <c r="C3584" s="478"/>
      <c r="D3584" s="454">
        <f>D3585-D3583</f>
        <v>207.5</v>
      </c>
    </row>
    <row r="3585" spans="2:8">
      <c r="B3585" s="478" t="s">
        <v>245</v>
      </c>
      <c r="C3585" s="478"/>
      <c r="D3585">
        <v>1460</v>
      </c>
    </row>
    <row r="3587" spans="2:8">
      <c r="B3587" s="478" t="s">
        <v>5396</v>
      </c>
      <c r="C3587" s="478"/>
      <c r="E3587" s="468">
        <f>$D$3585/E3549</f>
        <v>9.125</v>
      </c>
      <c r="F3587" s="468">
        <f>$D$3585/F3549</f>
        <v>8.7700919201743837</v>
      </c>
      <c r="G3587" s="468">
        <f>$D$3585/G3549</f>
        <v>7.9347826086956523</v>
      </c>
    </row>
    <row r="3589" spans="2:8">
      <c r="B3589" s="478" t="s">
        <v>5399</v>
      </c>
      <c r="C3589" s="478"/>
    </row>
    <row r="3590" spans="2:8">
      <c r="B3590" s="478" t="s">
        <v>150</v>
      </c>
      <c r="C3590" s="478"/>
      <c r="D3590" s="464">
        <f>Master!S150</f>
        <v>4187</v>
      </c>
      <c r="E3590" s="464">
        <f>Master!T150</f>
        <v>4073</v>
      </c>
      <c r="F3590" s="464">
        <f>Master!U150</f>
        <v>5133</v>
      </c>
      <c r="G3590" s="464">
        <f>Master!V150</f>
        <v>7236</v>
      </c>
      <c r="H3590" s="464">
        <f>Master!W150</f>
        <v>6631</v>
      </c>
    </row>
    <row r="3591" spans="2:8">
      <c r="B3591" s="478" t="s">
        <v>5397</v>
      </c>
      <c r="C3591" s="478"/>
      <c r="F3591" s="464">
        <f>D3581</f>
        <v>1002</v>
      </c>
      <c r="G3591" s="464">
        <f>F3591</f>
        <v>1002</v>
      </c>
      <c r="H3591" s="464">
        <f>G3591</f>
        <v>1002</v>
      </c>
    </row>
    <row r="3592" spans="2:8">
      <c r="B3592" s="478" t="s">
        <v>5398</v>
      </c>
      <c r="C3592" s="478"/>
      <c r="F3592" s="595">
        <v>6.3E-2</v>
      </c>
      <c r="G3592" s="464"/>
      <c r="H3592" s="464"/>
    </row>
    <row r="3593" spans="2:8">
      <c r="B3593" s="478" t="s">
        <v>1382</v>
      </c>
      <c r="C3593" s="478"/>
      <c r="F3593">
        <v>0</v>
      </c>
      <c r="G3593" s="454">
        <f>F3592*G3591</f>
        <v>63.125999999999998</v>
      </c>
      <c r="H3593" s="454">
        <f>G3593</f>
        <v>63.125999999999998</v>
      </c>
    </row>
    <row r="3594" spans="2:8">
      <c r="B3594" s="478" t="s">
        <v>4192</v>
      </c>
      <c r="C3594" s="478"/>
      <c r="F3594">
        <f>F3593</f>
        <v>0</v>
      </c>
      <c r="G3594" s="454">
        <f>F3594+G3593</f>
        <v>63.125999999999998</v>
      </c>
      <c r="H3594" s="454">
        <f>G3594+H3593</f>
        <v>126.252</v>
      </c>
    </row>
    <row r="3595" spans="2:8">
      <c r="B3595" s="487" t="s">
        <v>5403</v>
      </c>
      <c r="C3595" s="487"/>
      <c r="D3595" s="455"/>
      <c r="E3595" s="455"/>
      <c r="F3595" s="462">
        <f>$D$3584</f>
        <v>207.5</v>
      </c>
      <c r="G3595" s="462">
        <f>F3595</f>
        <v>207.5</v>
      </c>
      <c r="H3595" s="462">
        <f>G3595</f>
        <v>207.5</v>
      </c>
    </row>
    <row r="3596" spans="2:8">
      <c r="B3596" s="478" t="s">
        <v>5404</v>
      </c>
      <c r="C3596" s="478"/>
      <c r="F3596" s="464">
        <f>F3590+F3591+F3594+F3595</f>
        <v>6342.5</v>
      </c>
      <c r="G3596" s="464">
        <f>G3590+G3591+G3594+G3595</f>
        <v>8508.6260000000002</v>
      </c>
      <c r="H3596" s="464">
        <f>H3590+H3591+H3594+H3595</f>
        <v>7966.7520000000004</v>
      </c>
    </row>
    <row r="3598" spans="2:8">
      <c r="B3598" s="478" t="s">
        <v>5414</v>
      </c>
      <c r="C3598" s="478"/>
      <c r="F3598" s="531">
        <f>F3596/F3567</f>
        <v>2.9067369385884509</v>
      </c>
      <c r="G3598" s="531">
        <f>G3596/G3567</f>
        <v>3.3367160784313725</v>
      </c>
      <c r="H3598" s="531">
        <f>H3596/H3567</f>
        <v>3.0165664521014768</v>
      </c>
    </row>
    <row r="3599" spans="2:8">
      <c r="B3599" s="478" t="s">
        <v>5400</v>
      </c>
      <c r="C3599" s="478"/>
      <c r="F3599" s="531">
        <f>Master!U151</f>
        <v>2.352428964252979</v>
      </c>
      <c r="G3599" s="531">
        <f>Master!V151</f>
        <v>2.8376470588235296</v>
      </c>
      <c r="H3599" s="531">
        <f>Master!W151</f>
        <v>2.5107913669064748</v>
      </c>
    </row>
    <row r="3601" spans="2:8">
      <c r="B3601" s="451" t="s">
        <v>5408</v>
      </c>
      <c r="C3601" s="451"/>
      <c r="D3601" s="451">
        <f>D3559</f>
        <v>2016</v>
      </c>
      <c r="E3601" s="451">
        <f>E3559</f>
        <v>2017</v>
      </c>
      <c r="F3601" s="451">
        <f>F3559</f>
        <v>2018</v>
      </c>
      <c r="G3601" s="451">
        <f>G3559</f>
        <v>2019</v>
      </c>
      <c r="H3601" s="451">
        <f>H3559</f>
        <v>2020</v>
      </c>
    </row>
    <row r="3602" spans="2:8">
      <c r="B3602" s="478" t="s">
        <v>5409</v>
      </c>
      <c r="C3602" s="478"/>
      <c r="D3602" s="454">
        <f>Cable!N80</f>
        <v>1575.5</v>
      </c>
      <c r="E3602" s="454">
        <f>Cable!O80</f>
        <v>1755.6</v>
      </c>
      <c r="F3602" s="454">
        <f>Cable!P80</f>
        <v>1808</v>
      </c>
      <c r="G3602" s="454">
        <f>Cable!Q80</f>
        <v>2243.3001986846039</v>
      </c>
      <c r="H3602" s="454">
        <f>Cable!R80</f>
        <v>2536.0790511901382</v>
      </c>
    </row>
    <row r="3603" spans="2:8">
      <c r="B3603" s="487" t="s">
        <v>5390</v>
      </c>
      <c r="C3603" s="487"/>
      <c r="D3603" s="462">
        <f>D3562</f>
        <v>338</v>
      </c>
      <c r="E3603" s="462">
        <f>E3562</f>
        <v>374</v>
      </c>
      <c r="F3603" s="462">
        <f>F3562</f>
        <v>400.18</v>
      </c>
      <c r="G3603" s="462">
        <f>G3562</f>
        <v>440.19800000000004</v>
      </c>
      <c r="H3603" s="462">
        <f>H3562</f>
        <v>484.21780000000007</v>
      </c>
    </row>
    <row r="3604" spans="2:8">
      <c r="B3604" s="478" t="s">
        <v>5410</v>
      </c>
      <c r="C3604" s="478"/>
      <c r="D3604" s="454">
        <f>D3602+D3603</f>
        <v>1913.5</v>
      </c>
      <c r="E3604" s="454">
        <f>E3602+E3603</f>
        <v>2129.6</v>
      </c>
      <c r="F3604" s="454">
        <f>F3602+F3603</f>
        <v>2208.1799999999998</v>
      </c>
      <c r="G3604" s="454">
        <f>G3602+G3603</f>
        <v>2683.4981986846037</v>
      </c>
      <c r="H3604" s="454">
        <f>H3602+H3603</f>
        <v>3020.2968511901381</v>
      </c>
    </row>
    <row r="3605" spans="2:8">
      <c r="B3605" s="478" t="s">
        <v>70</v>
      </c>
      <c r="C3605" s="478"/>
      <c r="D3605" s="449">
        <f>D3604/D3563</f>
        <v>0.29050164002050877</v>
      </c>
      <c r="E3605" s="449">
        <f>E3604/E3563</f>
        <v>0.32950642116664086</v>
      </c>
      <c r="F3605" s="449">
        <f>F3604/F3563</f>
        <v>0.34437274062799234</v>
      </c>
      <c r="G3605" s="449">
        <f>G3604/G3563</f>
        <v>0.39398329026473811</v>
      </c>
      <c r="H3605" s="449">
        <f>H3604/H3563</f>
        <v>0.44970204081084714</v>
      </c>
    </row>
    <row r="3607" spans="2:8">
      <c r="B3607" s="478" t="s">
        <v>5411</v>
      </c>
      <c r="C3607" s="478"/>
      <c r="D3607" s="449">
        <f>Cable!N80/Master!S5</f>
        <v>0.25212510341866851</v>
      </c>
      <c r="E3607" s="449">
        <f>Cable!O80/Master!T5</f>
        <v>0.28832320578091641</v>
      </c>
      <c r="F3607" s="449">
        <f>Cable!P80/Master!U5</f>
        <v>0.30073186959414505</v>
      </c>
      <c r="G3607" s="449">
        <f>Cable!Q80/Master!V5</f>
        <v>0.35211115973702778</v>
      </c>
      <c r="H3607" s="449">
        <f>Cable!R80/Master!W5</f>
        <v>0.40694464877890535</v>
      </c>
    </row>
    <row r="3609" spans="2:8">
      <c r="B3609" s="451" t="s">
        <v>4288</v>
      </c>
      <c r="C3609" s="451"/>
      <c r="D3609" s="451">
        <f>D3601</f>
        <v>2016</v>
      </c>
      <c r="E3609" s="451">
        <f>E3601</f>
        <v>2017</v>
      </c>
      <c r="F3609" s="451">
        <f>F3601</f>
        <v>2018</v>
      </c>
      <c r="G3609" s="451">
        <f>G3601</f>
        <v>2019</v>
      </c>
      <c r="H3609" s="451">
        <f>H3601</f>
        <v>2020</v>
      </c>
    </row>
    <row r="3610" spans="2:8">
      <c r="B3610" s="478" t="s">
        <v>5412</v>
      </c>
      <c r="C3610" s="478"/>
      <c r="D3610" s="454">
        <f>Cable!N35</f>
        <v>8119</v>
      </c>
      <c r="E3610" s="454">
        <f>Cable!O35</f>
        <v>9075.9</v>
      </c>
      <c r="F3610" s="454">
        <f>Cable!P35</f>
        <v>11076</v>
      </c>
      <c r="G3610" s="454">
        <f>Cable!Q35</f>
        <v>12076</v>
      </c>
      <c r="H3610" s="454">
        <f>Cable!R35</f>
        <v>13076</v>
      </c>
    </row>
    <row r="3611" spans="2:8">
      <c r="B3611" s="487" t="s">
        <v>5390</v>
      </c>
      <c r="C3611" s="487"/>
      <c r="D3611" s="455"/>
      <c r="E3611" s="455"/>
      <c r="F3611" s="455">
        <v>715</v>
      </c>
      <c r="G3611" s="455">
        <f>F3611</f>
        <v>715</v>
      </c>
      <c r="H3611" s="455">
        <f>G3611</f>
        <v>715</v>
      </c>
    </row>
    <row r="3612" spans="2:8">
      <c r="B3612" s="478" t="s">
        <v>2324</v>
      </c>
      <c r="C3612" s="478"/>
      <c r="F3612" s="454">
        <f>F3610+F3611</f>
        <v>11791</v>
      </c>
      <c r="G3612" s="454">
        <f>G3610+G3611</f>
        <v>12791</v>
      </c>
      <c r="H3612" s="454">
        <f>H3610+H3611</f>
        <v>13791</v>
      </c>
    </row>
    <row r="3614" spans="2:8">
      <c r="B3614" s="478" t="s">
        <v>5413</v>
      </c>
      <c r="C3614" s="478"/>
      <c r="D3614" s="454">
        <f>Cable!N38</f>
        <v>3099.7</v>
      </c>
      <c r="E3614" s="454">
        <f>Cable!O38</f>
        <v>3302.6</v>
      </c>
      <c r="F3614" s="454">
        <f>Cable!P38</f>
        <v>4118</v>
      </c>
      <c r="G3614" s="454">
        <f>Cable!Q38</f>
        <v>4489.7948717948721</v>
      </c>
      <c r="H3614" s="454">
        <f>Cable!R38</f>
        <v>4861.5897435897441</v>
      </c>
    </row>
    <row r="3615" spans="2:8">
      <c r="B3615" s="487" t="s">
        <v>5390</v>
      </c>
      <c r="C3615" s="487"/>
      <c r="D3615" s="455"/>
      <c r="E3615" s="455"/>
      <c r="F3615" s="455">
        <v>365</v>
      </c>
      <c r="G3615" s="455">
        <f>F3615</f>
        <v>365</v>
      </c>
      <c r="H3615" s="455">
        <f>G3615</f>
        <v>365</v>
      </c>
    </row>
    <row r="3616" spans="2:8">
      <c r="B3616" s="478" t="s">
        <v>2324</v>
      </c>
      <c r="C3616" s="478"/>
      <c r="F3616" s="454">
        <f>SUM(F3614:F3615)</f>
        <v>4483</v>
      </c>
      <c r="G3616" s="454">
        <f>SUM(G3614:G3615)</f>
        <v>4854.7948717948721</v>
      </c>
      <c r="H3616" s="454">
        <f>SUM(H3614:H3615)</f>
        <v>5226.5897435897441</v>
      </c>
    </row>
    <row r="3618" spans="2:6">
      <c r="B3618" t="s">
        <v>4288</v>
      </c>
      <c r="F3618" s="454">
        <f>F3611*1000*100/1000000</f>
        <v>71.5</v>
      </c>
    </row>
    <row r="3619" spans="2:6">
      <c r="B3619" s="455" t="s">
        <v>4522</v>
      </c>
      <c r="C3619" s="455"/>
      <c r="D3619" s="455"/>
      <c r="E3619" s="455"/>
      <c r="F3619" s="462">
        <f>F3615*1000*150/1000000</f>
        <v>54.75</v>
      </c>
    </row>
    <row r="3620" spans="2:6">
      <c r="B3620" t="s">
        <v>2324</v>
      </c>
      <c r="F3620" s="454">
        <f>F3618+F3619</f>
        <v>126.25</v>
      </c>
    </row>
    <row r="3622" spans="2:6">
      <c r="B3622" t="s">
        <v>5415</v>
      </c>
    </row>
    <row r="3624" spans="2:6">
      <c r="B3624" t="s">
        <v>5416</v>
      </c>
    </row>
    <row r="3625" spans="2:6">
      <c r="B3625" t="s">
        <v>5417</v>
      </c>
    </row>
    <row r="3626" spans="2:6">
      <c r="B3626" t="s">
        <v>5418</v>
      </c>
    </row>
    <row r="3628" spans="2:6">
      <c r="B3628" t="s">
        <v>5420</v>
      </c>
    </row>
    <row r="3629" spans="2:6">
      <c r="B3629" t="s">
        <v>5425</v>
      </c>
    </row>
    <row r="3630" spans="2:6">
      <c r="B3630" t="s">
        <v>5421</v>
      </c>
    </row>
    <row r="3631" spans="2:6">
      <c r="D3631" t="s">
        <v>5422</v>
      </c>
    </row>
    <row r="3632" spans="2:6">
      <c r="D3632" t="s">
        <v>5423</v>
      </c>
    </row>
    <row r="3633" spans="2:11">
      <c r="D3633" t="s">
        <v>5424</v>
      </c>
    </row>
    <row r="3634" spans="2:11">
      <c r="B3634" t="s">
        <v>5419</v>
      </c>
    </row>
    <row r="3636" spans="2:11">
      <c r="B3636" t="s">
        <v>5426</v>
      </c>
      <c r="E3636" t="s">
        <v>5429</v>
      </c>
    </row>
    <row r="3637" spans="2:11">
      <c r="B3637" s="455"/>
      <c r="C3637" s="455"/>
      <c r="D3637" s="495" t="s">
        <v>5427</v>
      </c>
      <c r="E3637" s="495" t="s">
        <v>5390</v>
      </c>
    </row>
    <row r="3638" spans="2:11">
      <c r="B3638" t="s">
        <v>5428</v>
      </c>
      <c r="D3638">
        <v>546</v>
      </c>
      <c r="E3638">
        <v>715</v>
      </c>
    </row>
    <row r="3639" spans="2:11">
      <c r="B3639" t="s">
        <v>4522</v>
      </c>
      <c r="D3639">
        <v>176</v>
      </c>
      <c r="E3639">
        <v>365</v>
      </c>
    </row>
    <row r="3640" spans="2:11">
      <c r="B3640" t="s">
        <v>1655</v>
      </c>
      <c r="D3640" s="449">
        <f>D3639/D3638</f>
        <v>0.32234432234432236</v>
      </c>
      <c r="E3640" s="449">
        <f>E3639/E3638</f>
        <v>0.51048951048951052</v>
      </c>
    </row>
    <row r="3642" spans="2:11">
      <c r="B3642" t="s">
        <v>5430</v>
      </c>
    </row>
    <row r="3644" spans="2:11">
      <c r="B3644" t="s">
        <v>5431</v>
      </c>
    </row>
    <row r="3647" spans="2:11">
      <c r="B3647" t="s">
        <v>5491</v>
      </c>
      <c r="D3647" s="493" t="str">
        <f>'New (new) quarts'!W2</f>
        <v>Q1 18</v>
      </c>
      <c r="E3647" s="493" t="str">
        <f>'New (new) quarts'!X2</f>
        <v>Q2 18</v>
      </c>
      <c r="F3647" s="493" t="str">
        <f>'New (new) quarts'!Y2</f>
        <v>Q3 18</v>
      </c>
      <c r="G3647" s="493" t="e">
        <f>'New (new) quarts'!#REF!</f>
        <v>#REF!</v>
      </c>
      <c r="H3647" s="493" t="e">
        <f>'New (new) quarts'!#REF!</f>
        <v>#REF!</v>
      </c>
      <c r="I3647" s="493" t="e">
        <f>'New (new) quarts'!#REF!</f>
        <v>#REF!</v>
      </c>
      <c r="J3647" s="493" t="e">
        <f>'New (new) quarts'!#REF!</f>
        <v>#REF!</v>
      </c>
      <c r="K3647" s="493" t="e">
        <f>'New (new) quarts'!#REF!</f>
        <v>#REF!</v>
      </c>
    </row>
    <row r="3648" spans="2:11">
      <c r="B3648" t="s">
        <v>5492</v>
      </c>
      <c r="D3648">
        <f>'New (new) quarts'!W13+'New (new) quarts'!W19</f>
        <v>1353</v>
      </c>
      <c r="E3648">
        <f>'New (new) quarts'!X13+'New (new) quarts'!X19</f>
        <v>1384</v>
      </c>
      <c r="F3648">
        <f>'New (new) quarts'!Y13+'New (new) quarts'!Y19</f>
        <v>1368</v>
      </c>
      <c r="G3648" s="454" t="e">
        <f>'New (new) quarts'!#REF!+'New (new) quarts'!#REF!</f>
        <v>#REF!</v>
      </c>
      <c r="H3648" s="454" t="e">
        <f>'New (new) quarts'!#REF!+'New (new) quarts'!#REF!</f>
        <v>#REF!</v>
      </c>
      <c r="I3648" s="454" t="e">
        <f>'New (new) quarts'!#REF!+'New (new) quarts'!#REF!</f>
        <v>#REF!</v>
      </c>
      <c r="J3648" s="454" t="e">
        <f>'New (new) quarts'!#REF!+'New (new) quarts'!#REF!</f>
        <v>#REF!</v>
      </c>
      <c r="K3648" s="454" t="e">
        <f>'New (new) quarts'!#REF!+'New (new) quarts'!#REF!</f>
        <v>#REF!</v>
      </c>
    </row>
    <row r="3649" spans="2:11">
      <c r="B3649" t="s">
        <v>1211</v>
      </c>
      <c r="D3649" s="454">
        <f>'New (new) quarts'!W595</f>
        <v>442</v>
      </c>
      <c r="E3649" s="454">
        <f>'New (new) quarts'!X595</f>
        <v>462</v>
      </c>
      <c r="F3649" s="454">
        <f>'New (new) quarts'!Y595</f>
        <v>457</v>
      </c>
      <c r="G3649" s="454" t="e">
        <f>F3650*('New (new) quarts'!#REF!+'New (new) quarts'!#REF!+'New (new) quarts'!#REF!+'New (new) quarts'!#REF!+'New (new) quarts'!#REF!)+'New (new) quarts'!#REF!</f>
        <v>#REF!</v>
      </c>
      <c r="H3649" s="454" t="e">
        <f>33.4%*('New (new) quarts'!#REF!+'New (new) quarts'!#REF!+'New (new) quarts'!#REF!+'New (new) quarts'!#REF!+'New (new) quarts'!#REF!)+'New (new) quarts'!#REF!</f>
        <v>#REF!</v>
      </c>
      <c r="I3649" s="454" t="e">
        <f>33.7%*('New (new) quarts'!#REF!+'New (new) quarts'!#REF!+'New (new) quarts'!#REF!+'New (new) quarts'!#REF!+'New (new) quarts'!#REF!)+'New (new) quarts'!#REF!</f>
        <v>#REF!</v>
      </c>
      <c r="J3649" s="454" t="e">
        <f>34%*('New (new) quarts'!#REF!+'New (new) quarts'!#REF!+'New (new) quarts'!#REF!+'New (new) quarts'!#REF!+'New (new) quarts'!#REF!)+'New (new) quarts'!#REF!</f>
        <v>#REF!</v>
      </c>
      <c r="K3649" s="454" t="e">
        <f>34.5%*('New (new) quarts'!#REF!+'New (new) quarts'!#REF!+'New (new) quarts'!#REF!+'New (new) quarts'!#REF!+'New (new) quarts'!#REF!)+'New (new) quarts'!#REF!</f>
        <v>#REF!</v>
      </c>
    </row>
    <row r="3650" spans="2:11">
      <c r="B3650" t="s">
        <v>5493</v>
      </c>
      <c r="D3650" s="456">
        <f t="shared" ref="D3650:K3650" si="376">D3649/D3648</f>
        <v>0.32668144863266813</v>
      </c>
      <c r="E3650" s="456">
        <f t="shared" si="376"/>
        <v>0.33381502890173409</v>
      </c>
      <c r="F3650" s="456">
        <f t="shared" si="376"/>
        <v>0.33406432748538012</v>
      </c>
      <c r="G3650" s="456" t="e">
        <f t="shared" si="376"/>
        <v>#REF!</v>
      </c>
      <c r="H3650" s="456" t="e">
        <f t="shared" si="376"/>
        <v>#REF!</v>
      </c>
      <c r="I3650" s="456" t="e">
        <f t="shared" si="376"/>
        <v>#REF!</v>
      </c>
      <c r="J3650" s="456" t="e">
        <f t="shared" si="376"/>
        <v>#REF!</v>
      </c>
      <c r="K3650" s="456" t="e">
        <f t="shared" si="376"/>
        <v>#REF!</v>
      </c>
    </row>
    <row r="3652" spans="2:11">
      <c r="B3652" s="478" t="s">
        <v>5551</v>
      </c>
      <c r="C3652" s="478"/>
    </row>
    <row r="3653" spans="2:11">
      <c r="B3653" s="478" t="s">
        <v>5492</v>
      </c>
      <c r="C3653" s="478"/>
      <c r="H3653" s="454" t="e">
        <f>D3752/4+H3648</f>
        <v>#REF!</v>
      </c>
    </row>
    <row r="3654" spans="2:11">
      <c r="B3654" t="str">
        <f>B3649</f>
        <v>Fixed</v>
      </c>
      <c r="H3654" s="454" t="e">
        <f>H3649</f>
        <v>#REF!</v>
      </c>
    </row>
    <row r="3655" spans="2:11">
      <c r="B3655" s="478" t="s">
        <v>5493</v>
      </c>
      <c r="C3655" s="478"/>
      <c r="H3655" s="449" t="e">
        <f>H3654/H3653</f>
        <v>#REF!</v>
      </c>
    </row>
    <row r="3656" spans="2:11">
      <c r="B3656" s="478"/>
      <c r="C3656" s="478"/>
      <c r="H3656" s="449"/>
    </row>
    <row r="3657" spans="2:11">
      <c r="B3657" t="s">
        <v>5390</v>
      </c>
    </row>
    <row r="3658" spans="2:11">
      <c r="B3658" s="455"/>
      <c r="C3658" s="455"/>
      <c r="D3658" s="495" t="str">
        <f>D3647</f>
        <v>Q1 18</v>
      </c>
      <c r="E3658" s="495" t="str">
        <f>E3647</f>
        <v>Q2 18</v>
      </c>
      <c r="F3658" s="495" t="str">
        <f>F3647</f>
        <v>Q3 18</v>
      </c>
    </row>
    <row r="3659" spans="2:11">
      <c r="B3659" t="s">
        <v>758</v>
      </c>
      <c r="D3659" s="456">
        <f>'New (new) quarts'!W6/'New (new) quarts'!R6-1</f>
        <v>6.7491563554555656E-2</v>
      </c>
      <c r="E3659" s="456">
        <f>'New (new) quarts'!X6/'New (new) quarts'!S6-1</f>
        <v>7.7419354838709653E-2</v>
      </c>
      <c r="F3659" s="456">
        <f>'New (new) quarts'!Y6/'New (new) quarts'!T6-1</f>
        <v>6.2105263157894885E-2</v>
      </c>
    </row>
    <row r="3660" spans="2:11">
      <c r="B3660" t="s">
        <v>360</v>
      </c>
      <c r="D3660" s="456">
        <f>'New (new) quarts'!W106/'New (new) quarts'!R106-1</f>
        <v>6.8877551020408045E-2</v>
      </c>
      <c r="E3660" s="456">
        <f>'New (new) quarts'!X106/'New (new) quarts'!S106-1</f>
        <v>7.8048780487804947E-2</v>
      </c>
      <c r="F3660" s="456">
        <f>'New (new) quarts'!Y106/'New (new) quarts'!T106-1</f>
        <v>9.7799511002444994E-2</v>
      </c>
    </row>
    <row r="3663" spans="2:11">
      <c r="B3663" t="s">
        <v>4648</v>
      </c>
      <c r="D3663">
        <v>116.5</v>
      </c>
    </row>
    <row r="3664" spans="2:11">
      <c r="B3664" t="s">
        <v>4649</v>
      </c>
      <c r="D3664">
        <v>130.80000000000001</v>
      </c>
    </row>
    <row r="3665" spans="2:5">
      <c r="B3665" t="s">
        <v>1908</v>
      </c>
      <c r="D3665">
        <v>37.700000000000003</v>
      </c>
    </row>
    <row r="3666" spans="2:5">
      <c r="B3666" t="s">
        <v>3090</v>
      </c>
      <c r="D3666">
        <v>6.6</v>
      </c>
    </row>
    <row r="3667" spans="2:5">
      <c r="B3667" t="s">
        <v>1540</v>
      </c>
      <c r="D3667">
        <v>4.4000000000000004</v>
      </c>
    </row>
    <row r="3678" spans="2:5">
      <c r="B3678" t="s">
        <v>5494</v>
      </c>
      <c r="D3678" t="s">
        <v>5390</v>
      </c>
      <c r="E3678" t="s">
        <v>4412</v>
      </c>
    </row>
    <row r="3679" spans="2:5">
      <c r="B3679" t="s">
        <v>5495</v>
      </c>
      <c r="D3679">
        <v>1000</v>
      </c>
      <c r="E3679">
        <v>1000</v>
      </c>
    </row>
    <row r="3680" spans="2:5">
      <c r="B3680" t="s">
        <v>4288</v>
      </c>
      <c r="D3680">
        <v>700</v>
      </c>
      <c r="E3680">
        <v>546</v>
      </c>
    </row>
    <row r="3681" spans="2:5">
      <c r="B3681" t="s">
        <v>5494</v>
      </c>
      <c r="D3681">
        <v>365</v>
      </c>
      <c r="E3681" s="454">
        <v>175.4</v>
      </c>
    </row>
    <row r="3682" spans="2:5">
      <c r="D3682" s="449">
        <f>D3681/D3680</f>
        <v>0.52142857142857146</v>
      </c>
      <c r="E3682" s="449">
        <f>E3681/E3680</f>
        <v>0.32124542124542127</v>
      </c>
    </row>
    <row r="3684" spans="2:5">
      <c r="B3684" t="s">
        <v>4412</v>
      </c>
      <c r="D3684">
        <v>50</v>
      </c>
    </row>
    <row r="3685" spans="2:5">
      <c r="B3685" t="s">
        <v>1606</v>
      </c>
      <c r="D3685">
        <v>20</v>
      </c>
    </row>
    <row r="3686" spans="2:5">
      <c r="B3686" t="s">
        <v>1975</v>
      </c>
      <c r="D3686">
        <v>20</v>
      </c>
    </row>
    <row r="3687" spans="2:5">
      <c r="B3687" t="s">
        <v>1610</v>
      </c>
      <c r="D3687">
        <v>10</v>
      </c>
    </row>
    <row r="3707" spans="2:8">
      <c r="B3707" s="451" t="s">
        <v>1646</v>
      </c>
      <c r="C3707" s="451"/>
      <c r="D3707" s="451">
        <v>2018</v>
      </c>
      <c r="E3707" s="451">
        <f>D3707+1</f>
        <v>2019</v>
      </c>
      <c r="F3707" s="451">
        <f>E3707+1</f>
        <v>2020</v>
      </c>
      <c r="G3707" s="451">
        <f>F3707+1</f>
        <v>2021</v>
      </c>
      <c r="H3707" s="451">
        <f>G3707+1</f>
        <v>2022</v>
      </c>
    </row>
    <row r="3708" spans="2:8">
      <c r="B3708" s="478" t="s">
        <v>758</v>
      </c>
      <c r="C3708" s="478"/>
      <c r="D3708" s="491">
        <f>Master!U5</f>
        <v>6012</v>
      </c>
      <c r="E3708" s="491">
        <f>Master!V5</f>
        <v>6371</v>
      </c>
      <c r="F3708" s="491">
        <f>Master!W5</f>
        <v>6232</v>
      </c>
      <c r="G3708" s="491">
        <f>Master!X5</f>
        <v>6572</v>
      </c>
      <c r="H3708" s="491">
        <f>Master!Y5</f>
        <v>5624.5300000000007</v>
      </c>
    </row>
    <row r="3709" spans="2:8">
      <c r="B3709" s="478"/>
      <c r="C3709" s="478"/>
      <c r="D3709" s="478"/>
      <c r="E3709" s="478"/>
      <c r="F3709" s="478"/>
      <c r="G3709" s="478"/>
      <c r="H3709" s="478"/>
    </row>
    <row r="3710" spans="2:8">
      <c r="B3710" s="478" t="s">
        <v>360</v>
      </c>
      <c r="C3710" s="478"/>
      <c r="D3710" s="491">
        <f>Master!U14</f>
        <v>2182</v>
      </c>
      <c r="E3710" s="491">
        <f>Master!V14</f>
        <v>2550</v>
      </c>
      <c r="F3710" s="491">
        <f>Master!W14</f>
        <v>2641</v>
      </c>
      <c r="G3710" s="491">
        <f>Master!X14</f>
        <v>2613</v>
      </c>
      <c r="H3710" s="491">
        <f>Master!Y14</f>
        <v>2228.1349999999998</v>
      </c>
    </row>
    <row r="3711" spans="2:8">
      <c r="B3711" s="478" t="s">
        <v>1434</v>
      </c>
      <c r="C3711" s="478"/>
      <c r="D3711" s="509">
        <f>D3710/D3708</f>
        <v>0.36294078509647371</v>
      </c>
      <c r="E3711" s="509">
        <f>E3710/E3708</f>
        <v>0.4002511379689217</v>
      </c>
      <c r="F3711" s="509">
        <f>F3710/F3708</f>
        <v>0.42378048780487804</v>
      </c>
      <c r="G3711" s="509">
        <f>G3710/G3708</f>
        <v>0.39759586122945828</v>
      </c>
      <c r="H3711" s="509">
        <f>H3710/H3708</f>
        <v>0.39614598908708809</v>
      </c>
    </row>
    <row r="3712" spans="2:8">
      <c r="B3712" s="478"/>
      <c r="C3712" s="478"/>
      <c r="D3712" s="478"/>
      <c r="E3712" s="478"/>
      <c r="F3712" s="478"/>
      <c r="G3712" s="478"/>
      <c r="H3712" s="478"/>
    </row>
    <row r="3713" spans="2:8">
      <c r="B3713" s="478" t="s">
        <v>1545</v>
      </c>
      <c r="C3713" s="478"/>
      <c r="D3713" s="491">
        <f>'New split'!H437</f>
        <v>998.00000000000011</v>
      </c>
      <c r="E3713" s="491">
        <f ca="1">'New split'!I437</f>
        <v>1056</v>
      </c>
      <c r="F3713" s="491">
        <f ca="1">'New split'!J437</f>
        <v>990</v>
      </c>
      <c r="G3713" s="491">
        <f ca="1">'New split'!K437</f>
        <v>1111</v>
      </c>
      <c r="H3713" s="491">
        <f>'New split'!L437</f>
        <v>973</v>
      </c>
    </row>
    <row r="3714" spans="2:8">
      <c r="B3714" s="478" t="s">
        <v>1431</v>
      </c>
      <c r="C3714" s="478"/>
      <c r="D3714" s="509">
        <f>D3713/D3708</f>
        <v>0.16600133067198938</v>
      </c>
      <c r="E3714" s="509">
        <f ca="1">E3713/E3708</f>
        <v>0.1657510594883064</v>
      </c>
      <c r="F3714" s="509">
        <f ca="1">F3713/F3708</f>
        <v>0.15885750962772785</v>
      </c>
      <c r="G3714" s="509">
        <f ca="1">G3713/G3708</f>
        <v>0.16905051734631771</v>
      </c>
      <c r="H3714" s="509">
        <f>H3713/H3708</f>
        <v>0.17299223223984936</v>
      </c>
    </row>
    <row r="3715" spans="2:8">
      <c r="B3715" s="478" t="s">
        <v>1552</v>
      </c>
      <c r="C3715" s="478"/>
      <c r="D3715" s="491">
        <f>D3710-D3713</f>
        <v>1184</v>
      </c>
      <c r="E3715" s="491">
        <f ca="1">E3710-E3713</f>
        <v>1494</v>
      </c>
      <c r="F3715" s="491">
        <f ca="1">F3710-F3713</f>
        <v>1651</v>
      </c>
      <c r="G3715" s="491">
        <f ca="1">G3710-G3713</f>
        <v>1502</v>
      </c>
      <c r="H3715" s="491">
        <f>H3710-H3713</f>
        <v>1255.1349999999998</v>
      </c>
    </row>
    <row r="3716" spans="2:8">
      <c r="B3716" s="478" t="s">
        <v>574</v>
      </c>
      <c r="C3716" s="478"/>
      <c r="D3716" s="491">
        <f>Valuation!H27</f>
        <v>346</v>
      </c>
      <c r="E3716" s="491">
        <f ca="1">Valuation!I27</f>
        <v>534.88430441573314</v>
      </c>
      <c r="F3716" s="491">
        <f ca="1">Valuation!J27</f>
        <v>424.51142204733435</v>
      </c>
      <c r="G3716" s="491">
        <f ca="1">Valuation!K27</f>
        <v>577.94706701228108</v>
      </c>
      <c r="H3716" s="491">
        <f>Valuation!L27</f>
        <v>351.13499999999976</v>
      </c>
    </row>
    <row r="3717" spans="2:8">
      <c r="B3717" s="478"/>
      <c r="C3717" s="478"/>
      <c r="D3717" s="478"/>
      <c r="E3717" s="478"/>
      <c r="F3717" s="478"/>
      <c r="G3717" s="478"/>
      <c r="H3717" s="478"/>
    </row>
    <row r="3718" spans="2:8" hidden="1">
      <c r="B3718" s="451" t="s">
        <v>885</v>
      </c>
      <c r="C3718" s="451"/>
      <c r="D3718" s="451">
        <v>2018</v>
      </c>
      <c r="E3718" s="451">
        <f>D3718+1</f>
        <v>2019</v>
      </c>
      <c r="F3718" s="451">
        <f>E3718+1</f>
        <v>2020</v>
      </c>
      <c r="G3718" s="451">
        <f>F3718+1</f>
        <v>2021</v>
      </c>
      <c r="H3718" s="451">
        <f>G3718+1</f>
        <v>2022</v>
      </c>
    </row>
    <row r="3719" spans="2:8" hidden="1">
      <c r="B3719" s="478" t="s">
        <v>758</v>
      </c>
      <c r="C3719" s="478"/>
      <c r="D3719" s="491">
        <v>6032.7770723092362</v>
      </c>
      <c r="E3719" s="491">
        <v>6407.6272133270086</v>
      </c>
      <c r="F3719" s="491">
        <v>6579.42106328302</v>
      </c>
      <c r="G3719" s="491">
        <v>6746.9587738164882</v>
      </c>
      <c r="H3719" s="491">
        <v>6901.6662535402193</v>
      </c>
    </row>
    <row r="3720" spans="2:8" hidden="1">
      <c r="B3720" s="478"/>
      <c r="C3720" s="478"/>
      <c r="D3720" s="478"/>
      <c r="E3720" s="478"/>
      <c r="F3720" s="478"/>
      <c r="G3720" s="478"/>
      <c r="H3720" s="478"/>
    </row>
    <row r="3721" spans="2:8" hidden="1">
      <c r="B3721" s="478" t="s">
        <v>360</v>
      </c>
      <c r="C3721" s="478"/>
      <c r="D3721" s="491">
        <v>2239.2008862547295</v>
      </c>
      <c r="E3721" s="491">
        <v>2419.6757955889952</v>
      </c>
      <c r="F3721" s="491">
        <v>2509.0266452214369</v>
      </c>
      <c r="G3721" s="491">
        <v>2600.0882217268986</v>
      </c>
      <c r="H3721" s="491">
        <v>2677.6802345961387</v>
      </c>
    </row>
    <row r="3722" spans="2:8" hidden="1">
      <c r="B3722" s="478" t="s">
        <v>1434</v>
      </c>
      <c r="C3722" s="478"/>
      <c r="D3722" s="509">
        <f>D3721/D3719</f>
        <v>0.3711724897863008</v>
      </c>
      <c r="E3722" s="509">
        <f>E3721/E3719</f>
        <v>0.3776243085047758</v>
      </c>
      <c r="F3722" s="509">
        <f>F3721/F3719</f>
        <v>0.38134459264558379</v>
      </c>
      <c r="G3722" s="509">
        <f>G3721/G3719</f>
        <v>0.38537188515472898</v>
      </c>
      <c r="H3722" s="509">
        <f>H3721/H3719</f>
        <v>0.38797590845871732</v>
      </c>
    </row>
    <row r="3723" spans="2:8" hidden="1">
      <c r="B3723" s="478"/>
      <c r="C3723" s="478"/>
      <c r="D3723" s="478"/>
      <c r="E3723" s="478"/>
      <c r="F3723" s="478"/>
      <c r="G3723" s="478"/>
      <c r="H3723" s="478"/>
    </row>
    <row r="3724" spans="2:8" hidden="1">
      <c r="B3724" s="478" t="s">
        <v>1545</v>
      </c>
      <c r="C3724" s="478"/>
      <c r="D3724" s="491">
        <v>1012.8402015372608</v>
      </c>
      <c r="E3724" s="491">
        <v>1105.1970377642035</v>
      </c>
      <c r="F3724" s="491">
        <v>1103.0229238913205</v>
      </c>
      <c r="G3724" s="491">
        <v>1069.6621359936694</v>
      </c>
      <c r="H3724" s="491">
        <v>1094.0000428592168</v>
      </c>
    </row>
    <row r="3725" spans="2:8" hidden="1">
      <c r="B3725" s="478" t="s">
        <v>1431</v>
      </c>
      <c r="C3725" s="478"/>
      <c r="D3725" s="509">
        <f>D3724/D3719</f>
        <v>0.16788954562671485</v>
      </c>
      <c r="E3725" s="509">
        <f>E3724/E3719</f>
        <v>0.17248148198533481</v>
      </c>
      <c r="F3725" s="509">
        <f>F3724/F3719</f>
        <v>0.16764741354628102</v>
      </c>
      <c r="G3725" s="509">
        <f>G3724/G3719</f>
        <v>0.15853989506276525</v>
      </c>
      <c r="H3725" s="509">
        <f>H3724/H3719</f>
        <v>0.15851245230788261</v>
      </c>
    </row>
    <row r="3726" spans="2:8" hidden="1">
      <c r="B3726" s="478" t="s">
        <v>1552</v>
      </c>
      <c r="C3726" s="478"/>
      <c r="D3726" s="491">
        <f>D3721-D3724</f>
        <v>1226.3606847174688</v>
      </c>
      <c r="E3726" s="491">
        <f>E3721-E3724</f>
        <v>1314.4787578247917</v>
      </c>
      <c r="F3726" s="491">
        <f>F3721-F3724</f>
        <v>1406.0037213301164</v>
      </c>
      <c r="G3726" s="491">
        <f>G3721-G3724</f>
        <v>1530.4260857332292</v>
      </c>
      <c r="H3726" s="491">
        <f>H3721-H3724</f>
        <v>1583.6801917369219</v>
      </c>
    </row>
    <row r="3727" spans="2:8" hidden="1">
      <c r="B3727" s="478" t="s">
        <v>574</v>
      </c>
      <c r="C3727" s="478"/>
      <c r="D3727" s="491">
        <v>409.33422781467863</v>
      </c>
      <c r="E3727" s="491">
        <v>409.83564761503135</v>
      </c>
      <c r="F3727" s="491">
        <v>452.82814672243887</v>
      </c>
      <c r="G3727" s="491">
        <v>547.35735318863158</v>
      </c>
      <c r="H3727" s="491">
        <v>604.23767265305855</v>
      </c>
    </row>
    <row r="3728" spans="2:8">
      <c r="B3728" s="450" t="s">
        <v>5516</v>
      </c>
      <c r="C3728" s="450"/>
      <c r="D3728" s="478"/>
      <c r="E3728" s="478"/>
      <c r="F3728" s="478"/>
      <c r="G3728" s="478"/>
      <c r="H3728" s="478"/>
    </row>
    <row r="3729" spans="2:8">
      <c r="B3729" s="478" t="str">
        <f>B3719</f>
        <v>Revenue</v>
      </c>
      <c r="C3729" s="478"/>
      <c r="D3729" s="509">
        <f>D3708/D3719-1</f>
        <v>-3.4440311750626451E-3</v>
      </c>
      <c r="E3729" s="509">
        <f>E3708/E3719-1</f>
        <v>-5.7161898012463297E-3</v>
      </c>
      <c r="F3729" s="509">
        <f>F3708/F3719-1</f>
        <v>-5.2804199631154569E-2</v>
      </c>
      <c r="G3729" s="509">
        <f>G3708/G3719-1</f>
        <v>-2.5931501833902693E-2</v>
      </c>
      <c r="H3729" s="509">
        <f>H3708/H3719-1</f>
        <v>-0.18504752426779691</v>
      </c>
    </row>
    <row r="3730" spans="2:8">
      <c r="B3730" s="478" t="str">
        <f>B3721</f>
        <v>EBITDA</v>
      </c>
      <c r="C3730" s="478"/>
      <c r="D3730" s="509">
        <f>D3710/D3721-1</f>
        <v>-2.5545223122166227E-2</v>
      </c>
      <c r="E3730" s="509">
        <f>E3710/E3721-1</f>
        <v>5.3860192612821267E-2</v>
      </c>
      <c r="F3730" s="509">
        <f>F3710/F3721-1</f>
        <v>5.2599423377951204E-2</v>
      </c>
      <c r="G3730" s="509">
        <f>G3710/G3721-1</f>
        <v>4.9659000664699082E-3</v>
      </c>
      <c r="H3730" s="509">
        <f>H3710/H3721-1</f>
        <v>-0.16788607869899064</v>
      </c>
    </row>
    <row r="3731" spans="2:8">
      <c r="B3731" s="478" t="str">
        <f>B3724</f>
        <v>Capex</v>
      </c>
      <c r="C3731" s="478"/>
      <c r="D3731" s="509">
        <f>D3713/D3724-1</f>
        <v>-1.4652066056162316E-2</v>
      </c>
      <c r="E3731" s="509">
        <f ca="1">E3713/E3724-1</f>
        <v>-4.4514268572171001E-2</v>
      </c>
      <c r="F3731" s="509">
        <f ca="1">F3713/F3724-1</f>
        <v>-0.10246652308239468</v>
      </c>
      <c r="G3731" s="509">
        <f ca="1">G3713/G3724-1</f>
        <v>3.8645720564773889E-2</v>
      </c>
      <c r="H3731" s="509">
        <f>H3713/H3724-1</f>
        <v>-0.11060332551996788</v>
      </c>
    </row>
    <row r="3732" spans="2:8">
      <c r="B3732" s="478" t="str">
        <f>B3726</f>
        <v>OpFCF</v>
      </c>
      <c r="C3732" s="478"/>
      <c r="D3732" s="509">
        <f t="shared" ref="D3732:H3733" si="377">D3715/D3726-1</f>
        <v>-3.4541783054002462E-2</v>
      </c>
      <c r="E3732" s="509">
        <f t="shared" ref="E3732:G3733" ca="1" si="378">E3715/E3726-1</f>
        <v>0.13657218962768281</v>
      </c>
      <c r="F3732" s="509">
        <f t="shared" ca="1" si="378"/>
        <v>0.17425009262287783</v>
      </c>
      <c r="G3732" s="509">
        <f t="shared" ca="1" si="378"/>
        <v>-1.8573968385810824E-2</v>
      </c>
      <c r="H3732" s="509">
        <f t="shared" si="377"/>
        <v>-0.20745677912191718</v>
      </c>
    </row>
    <row r="3733" spans="2:8">
      <c r="B3733" s="478" t="str">
        <f>B3727</f>
        <v>EFCF</v>
      </c>
      <c r="C3733" s="478"/>
      <c r="D3733" s="509">
        <f t="shared" si="377"/>
        <v>-0.15472497414350717</v>
      </c>
      <c r="E3733" s="509">
        <f t="shared" ca="1" si="378"/>
        <v>0.30511903375999894</v>
      </c>
      <c r="F3733" s="509">
        <f t="shared" ca="1" si="378"/>
        <v>-6.2533048972464256E-2</v>
      </c>
      <c r="G3733" s="509">
        <f t="shared" ca="1" si="378"/>
        <v>5.5886184127150296E-2</v>
      </c>
      <c r="H3733" s="509">
        <f t="shared" si="377"/>
        <v>-0.41887933193861848</v>
      </c>
    </row>
    <row r="3734" spans="2:8" ht="15.75" thickBot="1">
      <c r="B3734" s="478"/>
      <c r="C3734" s="478"/>
      <c r="D3734" s="478"/>
      <c r="E3734" s="478"/>
      <c r="F3734" s="478"/>
      <c r="G3734" s="478"/>
      <c r="H3734" s="478"/>
    </row>
    <row r="3735" spans="2:8">
      <c r="B3735" s="450"/>
      <c r="C3735" s="450"/>
      <c r="D3735" s="599">
        <v>2018</v>
      </c>
      <c r="E3735" s="599">
        <v>2018</v>
      </c>
      <c r="F3735" s="599">
        <v>2018</v>
      </c>
      <c r="G3735">
        <v>2019</v>
      </c>
      <c r="H3735" t="s">
        <v>5521</v>
      </c>
    </row>
    <row r="3736" spans="2:8">
      <c r="B3736" s="451" t="s">
        <v>2554</v>
      </c>
      <c r="C3736" s="451"/>
      <c r="D3736" s="560" t="s">
        <v>5525</v>
      </c>
      <c r="E3736" s="560" t="s">
        <v>5508</v>
      </c>
      <c r="F3736" s="560" t="s">
        <v>3666</v>
      </c>
      <c r="G3736" t="s">
        <v>5509</v>
      </c>
      <c r="H3736" t="s">
        <v>5522</v>
      </c>
    </row>
    <row r="3737" spans="2:8">
      <c r="B3737" s="1001" t="s">
        <v>4628</v>
      </c>
      <c r="C3737" s="1001"/>
      <c r="D3737" t="s">
        <v>4871</v>
      </c>
      <c r="E3737" t="s">
        <v>5513</v>
      </c>
      <c r="F3737">
        <v>4.3</v>
      </c>
      <c r="G3737" t="s">
        <v>2014</v>
      </c>
      <c r="H3737">
        <f>'New split'!I243</f>
        <v>1.9156416463661285E-2</v>
      </c>
    </row>
    <row r="3738" spans="2:8">
      <c r="B3738" s="478" t="s">
        <v>4687</v>
      </c>
      <c r="C3738" s="478"/>
      <c r="D3738" t="s">
        <v>5086</v>
      </c>
      <c r="E3738" s="506" t="s">
        <v>5511</v>
      </c>
      <c r="F3738" t="s">
        <v>5526</v>
      </c>
      <c r="G3738" t="s">
        <v>5512</v>
      </c>
      <c r="H3738">
        <f>'New (new) quarts'!AJ174</f>
        <v>0</v>
      </c>
    </row>
    <row r="3739" spans="2:8">
      <c r="B3739" s="1001" t="s">
        <v>5517</v>
      </c>
      <c r="C3739" s="1001"/>
      <c r="D3739">
        <v>1</v>
      </c>
      <c r="E3739">
        <v>0.95</v>
      </c>
      <c r="F3739">
        <v>0.95</v>
      </c>
      <c r="G3739" t="s">
        <v>5539</v>
      </c>
      <c r="H3739">
        <f ca="1">'New split'!I439/1000</f>
        <v>1.0129999999999999</v>
      </c>
    </row>
    <row r="3740" spans="2:8" ht="15.75" thickBot="1">
      <c r="B3740" s="487" t="s">
        <v>5510</v>
      </c>
      <c r="C3740" s="487"/>
      <c r="D3740">
        <v>1</v>
      </c>
      <c r="E3740">
        <v>1</v>
      </c>
      <c r="F3740">
        <v>1</v>
      </c>
      <c r="G3740">
        <v>1</v>
      </c>
      <c r="H3740">
        <v>1</v>
      </c>
    </row>
    <row r="3741" spans="2:8">
      <c r="B3741" s="478"/>
      <c r="C3741" s="478"/>
      <c r="D3741" s="478"/>
      <c r="E3741" s="478"/>
      <c r="F3741" s="478"/>
      <c r="G3741" s="478"/>
      <c r="H3741" s="478"/>
    </row>
    <row r="3742" spans="2:8">
      <c r="B3742" s="478"/>
      <c r="C3742" s="478"/>
      <c r="D3742" s="478"/>
      <c r="E3742" s="478"/>
      <c r="F3742" s="478"/>
      <c r="G3742" s="478"/>
      <c r="H3742" s="478"/>
    </row>
    <row r="3743" spans="2:8">
      <c r="B3743" s="487" t="s">
        <v>3054</v>
      </c>
      <c r="C3743" s="487"/>
      <c r="D3743" s="487">
        <v>2018</v>
      </c>
      <c r="E3743" s="487">
        <f>D3743+1</f>
        <v>2019</v>
      </c>
      <c r="F3743" s="487">
        <f>E3743+1</f>
        <v>2020</v>
      </c>
      <c r="G3743" s="487">
        <f>F3743+1</f>
        <v>2021</v>
      </c>
      <c r="H3743" s="487">
        <f>G3743+1</f>
        <v>2022</v>
      </c>
    </row>
    <row r="3744" spans="2:8">
      <c r="B3744" s="478" t="s">
        <v>3316</v>
      </c>
      <c r="C3744" s="478"/>
      <c r="D3744" s="1154">
        <v>1.8513636363636363</v>
      </c>
      <c r="E3744" s="1154">
        <v>2.262813847170706</v>
      </c>
      <c r="F3744" s="1154">
        <v>2.0002149364332893</v>
      </c>
      <c r="G3744" s="1154">
        <v>1.9088843177399828</v>
      </c>
      <c r="H3744" s="1154">
        <v>1.7252983995655669</v>
      </c>
    </row>
    <row r="3745" spans="2:8">
      <c r="B3745" s="478" t="s">
        <v>5515</v>
      </c>
      <c r="C3745" s="478"/>
      <c r="D3745" s="1154">
        <f>Valuation!G75</f>
        <v>1.8674919761577258</v>
      </c>
      <c r="E3745" s="1154">
        <f>Valuation!H75</f>
        <v>2.352428964252979</v>
      </c>
      <c r="F3745" s="1154">
        <f>Valuation!I75</f>
        <v>2.8376470588235296</v>
      </c>
      <c r="G3745" s="1154">
        <f>Valuation!J75</f>
        <v>2.6684104627766598</v>
      </c>
      <c r="H3745" s="1154">
        <f>Valuation!K75</f>
        <v>3.1691542288557213</v>
      </c>
    </row>
    <row r="3746" spans="2:8">
      <c r="B3746" s="478"/>
      <c r="C3746" s="478"/>
      <c r="D3746" s="478"/>
      <c r="E3746" s="478"/>
      <c r="F3746" s="478"/>
      <c r="G3746" s="478"/>
      <c r="H3746" s="478"/>
    </row>
    <row r="3747" spans="2:8">
      <c r="B3747" s="478" t="s">
        <v>3317</v>
      </c>
      <c r="C3747" s="478"/>
      <c r="D3747" s="1154">
        <v>2.0327479506428836</v>
      </c>
      <c r="E3747" s="1154">
        <v>2.7032030467688393</v>
      </c>
      <c r="F3747" s="1154">
        <v>2.3638896910725187</v>
      </c>
      <c r="G3747" s="1154">
        <v>2.2793563811544719</v>
      </c>
      <c r="H3747" s="1154">
        <v>2.0482489436752074</v>
      </c>
    </row>
    <row r="3748" spans="2:8">
      <c r="B3748" s="478" t="s">
        <v>5515</v>
      </c>
      <c r="C3748" s="478"/>
      <c r="D3748" s="1154">
        <f>Valuation!G96</f>
        <v>2.0407700172140428</v>
      </c>
      <c r="E3748" s="1154">
        <f>Valuation!H96</f>
        <v>2.8052564339160515</v>
      </c>
      <c r="F3748" s="1154">
        <f>Valuation!I96</f>
        <v>3.1992884155998818</v>
      </c>
      <c r="G3748" s="1154">
        <f>Valuation!J96</f>
        <v>2.9133473518498514</v>
      </c>
      <c r="H3748" s="1154">
        <f>Valuation!K96</f>
        <v>3.3618341823268256</v>
      </c>
    </row>
    <row r="3750" spans="2:8" ht="15.75" thickBot="1">
      <c r="D3750" s="478">
        <f>SUM(E3750:G3750)</f>
        <v>688</v>
      </c>
      <c r="E3750">
        <v>231</v>
      </c>
      <c r="F3750">
        <v>243</v>
      </c>
      <c r="G3750">
        <v>214</v>
      </c>
    </row>
    <row r="3751" spans="2:8">
      <c r="B3751" s="487"/>
      <c r="C3751" s="487"/>
      <c r="D3751" t="s">
        <v>5541</v>
      </c>
      <c r="E3751" s="508" t="s">
        <v>2172</v>
      </c>
      <c r="F3751" s="508" t="s">
        <v>2033</v>
      </c>
      <c r="G3751" s="508" t="s">
        <v>2032</v>
      </c>
    </row>
    <row r="3752" spans="2:8">
      <c r="B3752" s="478" t="s">
        <v>5568</v>
      </c>
      <c r="C3752" s="478"/>
      <c r="D3752">
        <v>709</v>
      </c>
      <c r="E3752" s="478">
        <v>253</v>
      </c>
      <c r="F3752" s="478">
        <v>233</v>
      </c>
      <c r="G3752" s="478">
        <v>223</v>
      </c>
    </row>
    <row r="3753" spans="2:8">
      <c r="B3753" s="478" t="s">
        <v>5567</v>
      </c>
      <c r="C3753" s="478"/>
      <c r="D3753">
        <f>D3752/D3750-1</f>
        <v>3.0523255813953432E-2</v>
      </c>
      <c r="E3753" s="509">
        <f>E3752/E3750-1</f>
        <v>9.5238095238095344E-2</v>
      </c>
      <c r="F3753" s="509">
        <f>F3752/F3750-1</f>
        <v>-4.1152263374485631E-2</v>
      </c>
      <c r="G3753" s="509">
        <f>G3752/G3750-1</f>
        <v>4.20560747663552E-2</v>
      </c>
    </row>
    <row r="3754" spans="2:8">
      <c r="B3754" s="478"/>
      <c r="C3754" s="478"/>
      <c r="E3754" s="478"/>
      <c r="F3754" s="478"/>
      <c r="G3754" s="478"/>
    </row>
    <row r="3755" spans="2:8">
      <c r="B3755" s="478" t="s">
        <v>360</v>
      </c>
      <c r="C3755" s="478"/>
      <c r="D3755">
        <v>243</v>
      </c>
      <c r="E3755" s="478">
        <v>60</v>
      </c>
      <c r="F3755" s="478">
        <v>93</v>
      </c>
      <c r="G3755" s="478">
        <v>90</v>
      </c>
    </row>
    <row r="3756" spans="2:8">
      <c r="B3756" s="478" t="s">
        <v>361</v>
      </c>
      <c r="C3756" s="478"/>
      <c r="D3756">
        <f>D3755/D3752</f>
        <v>0.34273624823695348</v>
      </c>
      <c r="E3756" s="509">
        <f>E3755/E3752</f>
        <v>0.23715415019762845</v>
      </c>
      <c r="F3756" s="509">
        <f>F3755/F3752</f>
        <v>0.39914163090128757</v>
      </c>
      <c r="G3756" s="509">
        <f>G3755/G3752</f>
        <v>0.40358744394618834</v>
      </c>
    </row>
    <row r="3757" spans="2:8">
      <c r="B3757" s="478" t="s">
        <v>5582</v>
      </c>
      <c r="C3757" s="478"/>
      <c r="D3757">
        <v>1</v>
      </c>
      <c r="E3757" s="486">
        <f>E3755/$D$3755</f>
        <v>0.24691358024691357</v>
      </c>
      <c r="F3757" s="486">
        <f>F3755/$D$3755</f>
        <v>0.38271604938271603</v>
      </c>
      <c r="G3757" s="486">
        <f>G3755/$D$3755</f>
        <v>0.37037037037037035</v>
      </c>
    </row>
    <row r="3758" spans="2:8">
      <c r="B3758" s="478"/>
      <c r="C3758" s="478"/>
      <c r="E3758" s="478"/>
      <c r="F3758" s="478"/>
      <c r="G3758" s="478"/>
    </row>
    <row r="3759" spans="2:8">
      <c r="B3759" s="478" t="s">
        <v>1545</v>
      </c>
      <c r="C3759" s="478"/>
      <c r="D3759">
        <v>79</v>
      </c>
      <c r="E3759" s="478"/>
      <c r="F3759" s="478"/>
      <c r="G3759" s="478"/>
    </row>
    <row r="3760" spans="2:8">
      <c r="B3760" s="478" t="s">
        <v>1431</v>
      </c>
      <c r="C3760" s="478"/>
      <c r="D3760">
        <f>D3759/D3752</f>
        <v>0.11142454160789844</v>
      </c>
      <c r="E3760" s="478"/>
      <c r="F3760" s="478"/>
      <c r="G3760" s="478"/>
    </row>
    <row r="3761" spans="2:10">
      <c r="B3761" s="478" t="s">
        <v>1552</v>
      </c>
      <c r="C3761" s="478"/>
      <c r="D3761">
        <f>D3755-D3759</f>
        <v>164</v>
      </c>
      <c r="E3761" s="478"/>
      <c r="F3761" s="478"/>
      <c r="G3761" s="478"/>
    </row>
    <row r="3762" spans="2:10">
      <c r="B3762" s="478"/>
      <c r="C3762" s="478"/>
      <c r="E3762" s="478"/>
      <c r="F3762" s="478"/>
      <c r="G3762" s="478"/>
    </row>
    <row r="3763" spans="2:10" hidden="1">
      <c r="B3763" s="499" t="s">
        <v>5544</v>
      </c>
      <c r="C3763" s="499"/>
      <c r="E3763" s="478"/>
      <c r="F3763" s="478"/>
      <c r="G3763" s="478"/>
    </row>
    <row r="3764" spans="2:10" hidden="1">
      <c r="B3764" s="478" t="s">
        <v>5542</v>
      </c>
      <c r="C3764" s="478"/>
      <c r="E3764" s="486">
        <v>0.13</v>
      </c>
      <c r="F3764" s="509">
        <v>-2.5000000000000001E-2</v>
      </c>
      <c r="G3764" s="486">
        <v>0.04</v>
      </c>
    </row>
    <row r="3765" spans="2:10" hidden="1">
      <c r="B3765" s="478" t="s">
        <v>313</v>
      </c>
      <c r="C3765" s="478"/>
      <c r="E3765" s="506" t="s">
        <v>5543</v>
      </c>
      <c r="F3765" s="478"/>
      <c r="G3765" s="486">
        <v>7.0000000000000007E-2</v>
      </c>
    </row>
    <row r="3766" spans="2:10" hidden="1"/>
    <row r="3767" spans="2:10">
      <c r="B3767" s="478" t="s">
        <v>5569</v>
      </c>
      <c r="C3767" s="478"/>
      <c r="D3767">
        <v>1650</v>
      </c>
      <c r="E3767" s="454">
        <f>E3769/$D$3769*$D$3767</f>
        <v>570.41237113402065</v>
      </c>
      <c r="F3767" s="454">
        <f>F3769/$D$3769*$D$3767</f>
        <v>429.79381443298973</v>
      </c>
      <c r="G3767" s="454">
        <f>G3769/$D$3769*$D$3767</f>
        <v>649.79381443298962</v>
      </c>
    </row>
    <row r="3768" spans="2:10">
      <c r="B3768" s="487" t="s">
        <v>5581</v>
      </c>
      <c r="C3768" s="478"/>
      <c r="D3768">
        <f>D3767/D3755</f>
        <v>6.7901234567901234</v>
      </c>
      <c r="E3768" s="483">
        <f>E3767/E3755</f>
        <v>9.506872852233677</v>
      </c>
      <c r="F3768" s="483">
        <f>F3767/F3755</f>
        <v>4.6214388648708571</v>
      </c>
      <c r="G3768" s="483">
        <f>G3767/G3755</f>
        <v>7.2199312714776624</v>
      </c>
    </row>
    <row r="3769" spans="2:10">
      <c r="B3769" s="478"/>
      <c r="C3769" s="478"/>
      <c r="D3769" s="468">
        <v>1455</v>
      </c>
      <c r="E3769">
        <v>503</v>
      </c>
      <c r="F3769">
        <v>379</v>
      </c>
      <c r="G3769">
        <v>573</v>
      </c>
    </row>
    <row r="3770" spans="2:10">
      <c r="B3770" s="478"/>
      <c r="C3770" s="478"/>
    </row>
    <row r="3771" spans="2:10">
      <c r="B3771" s="487"/>
      <c r="C3771" s="487"/>
      <c r="D3771" s="455">
        <v>2018</v>
      </c>
      <c r="E3771" s="455">
        <f t="shared" ref="E3771:J3771" si="379">D3771+1</f>
        <v>2019</v>
      </c>
      <c r="F3771" s="455">
        <f t="shared" si="379"/>
        <v>2020</v>
      </c>
      <c r="G3771" s="455">
        <f t="shared" si="379"/>
        <v>2021</v>
      </c>
      <c r="H3771" s="455">
        <f t="shared" si="379"/>
        <v>2022</v>
      </c>
      <c r="I3771" s="455">
        <f t="shared" si="379"/>
        <v>2023</v>
      </c>
      <c r="J3771" s="455">
        <f t="shared" si="379"/>
        <v>2024</v>
      </c>
    </row>
    <row r="3772" spans="2:10">
      <c r="B3772" s="478" t="s">
        <v>5398</v>
      </c>
      <c r="C3772" s="478"/>
      <c r="D3772" s="595">
        <v>6.2E-2</v>
      </c>
    </row>
    <row r="3773" spans="2:10">
      <c r="B3773" s="478" t="s">
        <v>1382</v>
      </c>
      <c r="C3773" s="478"/>
      <c r="D3773" s="454">
        <f>D3772*D3767</f>
        <v>102.3</v>
      </c>
      <c r="F3773" t="s">
        <v>5585</v>
      </c>
    </row>
    <row r="3774" spans="2:10">
      <c r="B3774" s="478" t="s">
        <v>5572</v>
      </c>
      <c r="C3774" s="478"/>
      <c r="D3774" s="535">
        <v>40</v>
      </c>
    </row>
    <row r="3775" spans="2:10">
      <c r="B3775" s="478"/>
      <c r="C3775" s="478"/>
    </row>
    <row r="3776" spans="2:10">
      <c r="B3776" s="478" t="s">
        <v>3067</v>
      </c>
      <c r="C3776" s="478"/>
      <c r="D3776" s="489">
        <v>4197</v>
      </c>
      <c r="E3776" s="464">
        <f>Valuation!I94</f>
        <v>5843.36</v>
      </c>
      <c r="F3776" s="464">
        <f>Valuation!J94</f>
        <v>5677.63</v>
      </c>
      <c r="G3776" s="464">
        <f>Valuation!K94</f>
        <v>7564.1245905602927</v>
      </c>
      <c r="H3776" s="464">
        <f ca="1">Valuation!L94</f>
        <v>6383.2609941050041</v>
      </c>
      <c r="I3776" s="464">
        <f ca="1">Valuation!M94</f>
        <v>6553.2444520815861</v>
      </c>
      <c r="J3776" s="464">
        <f>Valuation!N94</f>
        <v>5856.7838423524181</v>
      </c>
    </row>
    <row r="3777" spans="2:11">
      <c r="B3777" s="478"/>
      <c r="C3777" s="478"/>
      <c r="D3777" s="464"/>
      <c r="E3777" s="464"/>
      <c r="F3777" s="464"/>
      <c r="G3777" s="464"/>
      <c r="H3777" s="464"/>
      <c r="I3777" s="464"/>
      <c r="J3777" s="464"/>
    </row>
    <row r="3778" spans="2:11">
      <c r="B3778" s="478" t="s">
        <v>5579</v>
      </c>
      <c r="C3778" s="478"/>
      <c r="D3778" s="464"/>
      <c r="E3778">
        <v>0</v>
      </c>
      <c r="F3778">
        <v>0</v>
      </c>
      <c r="G3778" s="535">
        <v>5</v>
      </c>
      <c r="H3778" s="535">
        <v>10</v>
      </c>
      <c r="I3778" s="535">
        <v>10</v>
      </c>
      <c r="J3778" s="535">
        <v>10</v>
      </c>
    </row>
    <row r="3779" spans="2:11">
      <c r="B3779" s="478" t="s">
        <v>5575</v>
      </c>
      <c r="C3779" s="478"/>
      <c r="D3779" s="464">
        <f>D3785-$D$3759-$D$3773-$D$3774</f>
        <v>21.700000000000003</v>
      </c>
      <c r="E3779" s="464">
        <f t="shared" ref="E3779:J3779" si="380">E3785+E3786+E3778-$D$3759-$D$3773-$D$3774</f>
        <v>-36.149999999999991</v>
      </c>
      <c r="F3779" s="464">
        <f t="shared" si="380"/>
        <v>56.60750000000003</v>
      </c>
      <c r="G3779" s="464">
        <f t="shared" si="380"/>
        <v>85.002875000000031</v>
      </c>
      <c r="H3779" s="464">
        <f t="shared" si="380"/>
        <v>114.06801875000002</v>
      </c>
      <c r="I3779" s="464">
        <f t="shared" si="380"/>
        <v>133.83641968750004</v>
      </c>
      <c r="J3779" s="464">
        <f t="shared" si="380"/>
        <v>149.34324067187504</v>
      </c>
    </row>
    <row r="3780" spans="2:11">
      <c r="B3780" s="478" t="s">
        <v>5571</v>
      </c>
      <c r="C3780" s="478"/>
      <c r="D3780" s="464">
        <f>D3767</f>
        <v>1650</v>
      </c>
      <c r="E3780" s="464">
        <f t="shared" ref="E3780:J3780" si="381">D3780-E3779</f>
        <v>1686.15</v>
      </c>
      <c r="F3780" s="464">
        <f t="shared" si="381"/>
        <v>1629.5425</v>
      </c>
      <c r="G3780" s="464">
        <f t="shared" si="381"/>
        <v>1544.5396249999999</v>
      </c>
      <c r="H3780" s="464">
        <f t="shared" si="381"/>
        <v>1430.4716062499999</v>
      </c>
      <c r="I3780" s="464">
        <f t="shared" si="381"/>
        <v>1296.6351865624999</v>
      </c>
      <c r="J3780" s="464">
        <f t="shared" si="381"/>
        <v>1147.2919458906249</v>
      </c>
    </row>
    <row r="3781" spans="2:11">
      <c r="B3781" s="478"/>
      <c r="C3781" s="478"/>
      <c r="D3781" s="464"/>
      <c r="E3781" s="464"/>
      <c r="F3781" s="464"/>
      <c r="G3781" s="464"/>
      <c r="H3781" s="464"/>
      <c r="I3781" s="464"/>
      <c r="J3781" s="464"/>
    </row>
    <row r="3782" spans="2:11">
      <c r="B3782" s="478" t="s">
        <v>1317</v>
      </c>
      <c r="C3782" s="478"/>
      <c r="D3782" s="464"/>
      <c r="E3782" s="464">
        <f t="shared" ref="E3782:G3782" si="382">E3776+E3780</f>
        <v>7529.51</v>
      </c>
      <c r="F3782" s="464">
        <f t="shared" si="382"/>
        <v>7307.1725000000006</v>
      </c>
      <c r="G3782" s="464">
        <f t="shared" si="382"/>
        <v>9108.6642155602931</v>
      </c>
      <c r="H3782" s="464">
        <f ca="1">H3776+H3780</f>
        <v>7813.7326003550043</v>
      </c>
      <c r="I3782" s="464">
        <f ca="1">I3776+I3780</f>
        <v>7849.8796386440863</v>
      </c>
      <c r="J3782" s="464">
        <f>J3776+J3780</f>
        <v>7004.0757882430426</v>
      </c>
    </row>
    <row r="3783" spans="2:11">
      <c r="B3783" s="478"/>
      <c r="C3783" s="478"/>
    </row>
    <row r="3784" spans="2:11">
      <c r="B3784" s="478" t="s">
        <v>5573</v>
      </c>
      <c r="C3784" s="478"/>
      <c r="D3784" s="464">
        <f>Valuation!H85</f>
        <v>1509.1597148892563</v>
      </c>
      <c r="E3784" s="464">
        <f>Valuation!I85</f>
        <v>1826.4561492822902</v>
      </c>
      <c r="F3784" s="464">
        <f>Valuation!J85</f>
        <v>1948.833871935987</v>
      </c>
      <c r="G3784" s="464">
        <f>Valuation!K85</f>
        <v>2249.9993099971803</v>
      </c>
      <c r="H3784" s="464">
        <f ca="1">Valuation!L85</f>
        <v>2143.0273123558168</v>
      </c>
      <c r="I3784" s="464">
        <f>Valuation!M85</f>
        <v>2066.557268</v>
      </c>
      <c r="J3784" s="464">
        <f ca="1">Valuation!N85</f>
        <v>2407.4353583000002</v>
      </c>
    </row>
    <row r="3785" spans="2:11">
      <c r="B3785" s="478" t="s">
        <v>5574</v>
      </c>
      <c r="C3785" s="478"/>
      <c r="D3785">
        <f>D3755</f>
        <v>243</v>
      </c>
      <c r="E3785">
        <f>(D3785*1.05)-70</f>
        <v>185.15</v>
      </c>
      <c r="F3785" s="535">
        <f>D3785*1.05*1.05</f>
        <v>267.90750000000003</v>
      </c>
      <c r="G3785" s="535">
        <f>F3785*1.05</f>
        <v>281.30287500000003</v>
      </c>
      <c r="H3785" s="535">
        <f>G3785*1.05</f>
        <v>295.36801875000003</v>
      </c>
      <c r="I3785" s="535">
        <f>H3785*1.05</f>
        <v>310.13641968750005</v>
      </c>
      <c r="J3785" s="535">
        <f>I3785*1.05</f>
        <v>325.64324067187505</v>
      </c>
    </row>
    <row r="3786" spans="2:11">
      <c r="B3786" s="487" t="s">
        <v>5578</v>
      </c>
      <c r="C3786" s="487"/>
      <c r="D3786" s="455"/>
      <c r="E3786" s="657">
        <v>0</v>
      </c>
      <c r="F3786" s="657">
        <v>10</v>
      </c>
      <c r="G3786" s="658">
        <v>20</v>
      </c>
      <c r="H3786" s="658">
        <v>30</v>
      </c>
      <c r="I3786" s="658">
        <v>35</v>
      </c>
      <c r="J3786" s="658">
        <v>35</v>
      </c>
    </row>
    <row r="3787" spans="2:11">
      <c r="B3787" s="478" t="s">
        <v>2945</v>
      </c>
      <c r="C3787" s="478"/>
      <c r="D3787" s="464"/>
      <c r="E3787" s="464">
        <f t="shared" ref="E3787:J3787" si="383">E3784+E3785+E3786</f>
        <v>2011.6061492822903</v>
      </c>
      <c r="F3787" s="464">
        <f t="shared" si="383"/>
        <v>2226.741371935987</v>
      </c>
      <c r="G3787" s="464">
        <f t="shared" si="383"/>
        <v>2551.3021849971801</v>
      </c>
      <c r="H3787" s="464">
        <f ca="1">H3784+H3785+H3786</f>
        <v>2468.3953311058167</v>
      </c>
      <c r="I3787" s="464">
        <f t="shared" si="383"/>
        <v>2411.6936876875002</v>
      </c>
      <c r="J3787" s="464">
        <f t="shared" ca="1" si="383"/>
        <v>2768.0785989718752</v>
      </c>
    </row>
    <row r="3788" spans="2:11">
      <c r="B3788" s="478" t="s">
        <v>5580</v>
      </c>
      <c r="C3788" s="478"/>
      <c r="D3788" s="464">
        <f>(D3785+D3786)</f>
        <v>243</v>
      </c>
      <c r="E3788" s="489">
        <f>(E3785+E3786)+70</f>
        <v>255.15</v>
      </c>
      <c r="F3788" s="464">
        <f>(F3785+F3786)</f>
        <v>277.90750000000003</v>
      </c>
      <c r="G3788" s="464">
        <f>(G3785+G3786)</f>
        <v>301.30287500000003</v>
      </c>
      <c r="H3788" s="464">
        <f>(H3785+H3786)</f>
        <v>325.36801875000003</v>
      </c>
      <c r="I3788" s="464">
        <f>(I3785+I3786)</f>
        <v>345.13641968750005</v>
      </c>
      <c r="J3788" s="464">
        <f>(J3785+J3786)</f>
        <v>360.64324067187505</v>
      </c>
      <c r="K3788" s="449">
        <f>(J3788/D3788)^(1/6)-1</f>
        <v>6.8018036916135838E-2</v>
      </c>
    </row>
    <row r="3789" spans="2:11">
      <c r="B3789" s="478"/>
      <c r="C3789" s="478"/>
    </row>
    <row r="3790" spans="2:11">
      <c r="B3790" s="478" t="s">
        <v>5400</v>
      </c>
      <c r="C3790" s="478"/>
      <c r="D3790" s="468">
        <f>Valuation!H96</f>
        <v>2.8052564339160515</v>
      </c>
      <c r="E3790" s="468">
        <f>Valuation!I96</f>
        <v>3.1992884155998818</v>
      </c>
      <c r="F3790" s="468">
        <f>Valuation!J96</f>
        <v>2.9133473518498514</v>
      </c>
      <c r="G3790" s="468">
        <f>Valuation!K96</f>
        <v>3.3618341823268256</v>
      </c>
      <c r="H3790" s="468">
        <f ca="1">Valuation!L96</f>
        <v>2.978618591233877</v>
      </c>
      <c r="I3790" s="468">
        <f ca="1">Valuation!M96</f>
        <v>3.1710925961532976</v>
      </c>
      <c r="J3790" s="468">
        <f ca="1">Valuation!N96</f>
        <v>2.4327896581564543</v>
      </c>
    </row>
    <row r="3791" spans="2:11">
      <c r="B3791" s="478" t="s">
        <v>5499</v>
      </c>
      <c r="C3791" s="478"/>
      <c r="D3791" s="468">
        <f>D3776/D3784</f>
        <v>2.7810177800220304</v>
      </c>
      <c r="E3791" s="468">
        <f t="shared" ref="E3791:G3791" si="384">E3782/E3787</f>
        <v>3.7430338949234234</v>
      </c>
      <c r="F3791" s="468">
        <f t="shared" si="384"/>
        <v>3.281554199375635</v>
      </c>
      <c r="G3791" s="468">
        <f t="shared" si="384"/>
        <v>3.5702020204127094</v>
      </c>
      <c r="H3791" s="468">
        <f ca="1">H3782/H3787</f>
        <v>3.1655110110966422</v>
      </c>
      <c r="I3791" s="468">
        <f ca="1">I3782/I3787</f>
        <v>3.2549239891949533</v>
      </c>
      <c r="J3791" s="468">
        <f ca="1">J3782/J3787</f>
        <v>2.5303023515461263</v>
      </c>
    </row>
    <row r="3792" spans="2:11">
      <c r="B3792" s="478"/>
      <c r="C3792" s="478"/>
    </row>
    <row r="3793" spans="2:10">
      <c r="B3793" s="478" t="s">
        <v>5576</v>
      </c>
      <c r="C3793" s="478"/>
      <c r="E3793" s="464">
        <f ca="1">Valuation!I27</f>
        <v>534.88430441573314</v>
      </c>
      <c r="F3793" s="464">
        <f ca="1">Valuation!J27</f>
        <v>424.51142204733435</v>
      </c>
      <c r="G3793" s="464">
        <f ca="1">Valuation!K27</f>
        <v>577.94706701228108</v>
      </c>
      <c r="H3793" s="464">
        <f>Valuation!L27</f>
        <v>351.13499999999976</v>
      </c>
      <c r="I3793" s="464">
        <f>Valuation!M27</f>
        <v>267.28549999999996</v>
      </c>
      <c r="J3793" s="464">
        <f ca="1">Valuation!N27</f>
        <v>963.64580000000024</v>
      </c>
    </row>
    <row r="3794" spans="2:10">
      <c r="B3794" s="478" t="s">
        <v>4421</v>
      </c>
      <c r="C3794" s="478"/>
      <c r="E3794" s="464">
        <f ca="1">E3793+E3779</f>
        <v>498.73430441573316</v>
      </c>
      <c r="F3794" s="464">
        <f ca="1">F3793+F3779</f>
        <v>481.11892204733437</v>
      </c>
      <c r="G3794" s="464">
        <f ca="1">G3793+G3779</f>
        <v>662.9499420122811</v>
      </c>
      <c r="H3794" s="464">
        <f t="shared" ref="H3794" si="385">H3793+H3779</f>
        <v>465.20301874999979</v>
      </c>
      <c r="I3794" s="464">
        <f>I3793+I3779</f>
        <v>401.1219196875</v>
      </c>
      <c r="J3794" s="464">
        <f ca="1">J3793+J3779</f>
        <v>1112.9890406718753</v>
      </c>
    </row>
    <row r="3795" spans="2:10">
      <c r="B3795" s="478" t="s">
        <v>5577</v>
      </c>
      <c r="C3795" s="478"/>
      <c r="E3795" s="449">
        <f ca="1">E3794/E3793-1</f>
        <v>-6.7584708882956424E-2</v>
      </c>
      <c r="F3795" s="449">
        <f ca="1">F3794/F3793-1</f>
        <v>0.13334741319089427</v>
      </c>
      <c r="G3795" s="449">
        <f ca="1">G3794/G3793-1</f>
        <v>0.14707726684975753</v>
      </c>
      <c r="H3795" s="449">
        <f t="shared" ref="H3795" si="386">H3794/H3793-1</f>
        <v>0.32485516610420517</v>
      </c>
      <c r="I3795" s="449">
        <f>I3794/I3793-1</f>
        <v>0.50072457985001084</v>
      </c>
      <c r="J3795" s="449">
        <f ca="1">J3794/J3793-1</f>
        <v>0.15497731705142592</v>
      </c>
    </row>
    <row r="3796" spans="2:10">
      <c r="B3796" s="478"/>
      <c r="C3796" s="478"/>
    </row>
    <row r="3797" spans="2:10">
      <c r="B3797" s="478" t="s">
        <v>5583</v>
      </c>
      <c r="C3797" s="478"/>
      <c r="E3797" s="468">
        <f t="shared" ref="E3797:G3798" ca="1" si="387">E3793/100</f>
        <v>5.3488430441573316</v>
      </c>
      <c r="F3797" s="468">
        <f t="shared" ca="1" si="387"/>
        <v>4.2451142204733436</v>
      </c>
      <c r="G3797" s="468">
        <f t="shared" ca="1" si="387"/>
        <v>5.7794706701228105</v>
      </c>
      <c r="H3797" s="468">
        <f t="shared" ref="H3797:H3798" si="388">H3793/100</f>
        <v>3.5113499999999975</v>
      </c>
      <c r="I3797" s="468">
        <f>I3793/100</f>
        <v>2.6728549999999998</v>
      </c>
      <c r="J3797" s="468">
        <f ca="1">J3793/100</f>
        <v>9.6364580000000029</v>
      </c>
    </row>
    <row r="3798" spans="2:10">
      <c r="B3798" s="478" t="s">
        <v>5584</v>
      </c>
      <c r="C3798" s="478"/>
      <c r="E3798" s="468">
        <f t="shared" ca="1" si="387"/>
        <v>4.9873430441573312</v>
      </c>
      <c r="F3798" s="468">
        <f t="shared" ca="1" si="387"/>
        <v>4.8111892204733433</v>
      </c>
      <c r="G3798" s="468">
        <f t="shared" ca="1" si="387"/>
        <v>6.6294994201228112</v>
      </c>
      <c r="H3798" s="468">
        <f t="shared" si="388"/>
        <v>4.6520301874999976</v>
      </c>
      <c r="I3798" s="468">
        <f>I3794/100</f>
        <v>4.0112191968750004</v>
      </c>
      <c r="J3798" s="468">
        <f ca="1">J3794/100</f>
        <v>11.129890406718753</v>
      </c>
    </row>
    <row r="3799" spans="2:10">
      <c r="B3799" s="478" t="s">
        <v>2353</v>
      </c>
      <c r="C3799" s="478"/>
      <c r="E3799" s="449">
        <f ca="1">E3798/E3797-1</f>
        <v>-6.7584708882956535E-2</v>
      </c>
      <c r="F3799" s="449">
        <f ca="1">F3798/F3797-1</f>
        <v>0.13334741319089427</v>
      </c>
      <c r="G3799" s="449">
        <f ca="1">G3798/G3797-1</f>
        <v>0.14707726684975775</v>
      </c>
      <c r="H3799" s="449">
        <f t="shared" ref="H3799" si="389">H3798/H3797-1</f>
        <v>0.32485516610420517</v>
      </c>
      <c r="I3799" s="449">
        <f>I3798/I3797-1</f>
        <v>0.50072457985001084</v>
      </c>
      <c r="J3799" s="449">
        <f ca="1">J3798/J3797-1</f>
        <v>0.15497731705142592</v>
      </c>
    </row>
    <row r="3800" spans="2:10">
      <c r="B3800" s="478"/>
      <c r="C3800" s="478"/>
    </row>
    <row r="3801" spans="2:10">
      <c r="B3801" s="478" t="s">
        <v>5570</v>
      </c>
      <c r="C3801" s="478"/>
      <c r="D3801">
        <f>D3755</f>
        <v>243</v>
      </c>
    </row>
    <row r="3802" spans="2:10">
      <c r="B3802" s="478" t="s">
        <v>1243</v>
      </c>
      <c r="C3802" s="478"/>
      <c r="D3802" s="468">
        <f>D3767/D3801</f>
        <v>6.7901234567901234</v>
      </c>
    </row>
    <row r="3804" spans="2:10">
      <c r="B3804" s="478" t="s">
        <v>5545</v>
      </c>
      <c r="C3804" s="478"/>
      <c r="D3804">
        <f>290+250</f>
        <v>540</v>
      </c>
    </row>
    <row r="3805" spans="2:10">
      <c r="B3805" s="478" t="s">
        <v>5546</v>
      </c>
      <c r="C3805" s="478"/>
      <c r="D3805">
        <f>D3767-D3804</f>
        <v>1110</v>
      </c>
    </row>
    <row r="3806" spans="2:10">
      <c r="B3806" s="478" t="s">
        <v>1243</v>
      </c>
      <c r="C3806" s="478"/>
      <c r="D3806" s="468">
        <f>D3805/D3801</f>
        <v>4.5679012345679011</v>
      </c>
    </row>
    <row r="3808" spans="2:10">
      <c r="B3808" s="478" t="s">
        <v>5547</v>
      </c>
      <c r="C3808" s="478"/>
      <c r="D3808" s="506" t="s">
        <v>5548</v>
      </c>
    </row>
    <row r="3809" spans="2:4">
      <c r="B3809" s="608" t="s">
        <v>5552</v>
      </c>
      <c r="C3809" s="608"/>
      <c r="D3809" s="506" t="s">
        <v>5553</v>
      </c>
    </row>
    <row r="3810" spans="2:4">
      <c r="B3810" s="608" t="s">
        <v>5554</v>
      </c>
      <c r="C3810" s="608"/>
      <c r="D3810" s="506">
        <v>10</v>
      </c>
    </row>
    <row r="3811" spans="2:4">
      <c r="B3811" s="478"/>
      <c r="C3811" s="478"/>
      <c r="D3811" s="506"/>
    </row>
    <row r="3812" spans="2:4">
      <c r="B3812" s="478" t="s">
        <v>5549</v>
      </c>
      <c r="C3812" s="478"/>
      <c r="D3812">
        <f>(D3752-D3755)+D3759</f>
        <v>545</v>
      </c>
    </row>
    <row r="3813" spans="2:4">
      <c r="B3813" s="478" t="s">
        <v>5550</v>
      </c>
      <c r="C3813" s="478"/>
      <c r="D3813" s="449">
        <f>42.5/D3812</f>
        <v>7.7981651376146793E-2</v>
      </c>
    </row>
    <row r="3815" spans="2:4">
      <c r="B3815" s="478" t="s">
        <v>3054</v>
      </c>
      <c r="C3815" s="478"/>
      <c r="D3815" s="478" t="s">
        <v>5555</v>
      </c>
    </row>
    <row r="3816" spans="2:4">
      <c r="D3816" s="478" t="s">
        <v>5556</v>
      </c>
    </row>
    <row r="3817" spans="2:4">
      <c r="D3817" s="478" t="s">
        <v>5557</v>
      </c>
    </row>
    <row r="3819" spans="2:4">
      <c r="B3819" s="478" t="s">
        <v>5558</v>
      </c>
      <c r="C3819" s="478"/>
    </row>
    <row r="3820" spans="2:4">
      <c r="D3820" s="478" t="s">
        <v>5559</v>
      </c>
    </row>
    <row r="3821" spans="2:4">
      <c r="D3821" s="478" t="s">
        <v>5560</v>
      </c>
    </row>
    <row r="3822" spans="2:4">
      <c r="B3822" s="478" t="s">
        <v>5561</v>
      </c>
      <c r="C3822" s="478"/>
    </row>
    <row r="3824" spans="2:4">
      <c r="B3824" s="478" t="s">
        <v>5562</v>
      </c>
      <c r="C3824" s="478"/>
    </row>
    <row r="3825" spans="2:10">
      <c r="D3825" s="478" t="s">
        <v>5563</v>
      </c>
    </row>
    <row r="3826" spans="2:10">
      <c r="D3826" s="478" t="s">
        <v>5564</v>
      </c>
    </row>
    <row r="3828" spans="2:10">
      <c r="B3828" s="478" t="s">
        <v>5565</v>
      </c>
      <c r="C3828" s="478"/>
    </row>
    <row r="3829" spans="2:10">
      <c r="B3829" s="478" t="s">
        <v>5566</v>
      </c>
      <c r="C3829" s="478"/>
    </row>
    <row r="3831" spans="2:10">
      <c r="B3831" t="s">
        <v>4099</v>
      </c>
    </row>
    <row r="3832" spans="2:10">
      <c r="B3832" t="str">
        <f>'New split'!C273</f>
        <v>El Salvador</v>
      </c>
      <c r="D3832" s="454">
        <f>'New split'!I273</f>
        <v>140</v>
      </c>
      <c r="E3832" s="454">
        <f>D3832</f>
        <v>140</v>
      </c>
      <c r="F3832" s="454">
        <f>E3832</f>
        <v>140</v>
      </c>
      <c r="H3832" t="s">
        <v>2379</v>
      </c>
      <c r="I3832" s="454">
        <v>386.70729174598461</v>
      </c>
      <c r="J3832" s="449">
        <f t="shared" ref="J3832:J3840" si="390">I3832/I$3841</f>
        <v>0.18950182656158809</v>
      </c>
    </row>
    <row r="3833" spans="2:10">
      <c r="B3833" t="str">
        <f>'New split'!C274</f>
        <v>Guatemala</v>
      </c>
      <c r="D3833" s="454">
        <f>'New split'!I274</f>
        <v>749</v>
      </c>
      <c r="E3833" s="454">
        <f>D3833*0.55</f>
        <v>411.95000000000005</v>
      </c>
      <c r="F3833" s="454">
        <f>E3833</f>
        <v>411.95000000000005</v>
      </c>
      <c r="H3833" t="s">
        <v>2378</v>
      </c>
      <c r="I3833" s="454">
        <v>344.33366033188935</v>
      </c>
      <c r="J3833" s="449">
        <f t="shared" si="390"/>
        <v>0.16873707574770092</v>
      </c>
    </row>
    <row r="3834" spans="2:10">
      <c r="B3834" t="str">
        <f>'New split'!C275</f>
        <v>Honduras (JV)</v>
      </c>
      <c r="D3834" s="454">
        <f>'New split'!I275</f>
        <v>280</v>
      </c>
      <c r="E3834" s="454">
        <f>D3834*0.67</f>
        <v>187.60000000000002</v>
      </c>
      <c r="F3834" s="454">
        <f>E3834</f>
        <v>187.60000000000002</v>
      </c>
      <c r="H3834" t="s">
        <v>2032</v>
      </c>
      <c r="I3834" s="454">
        <v>269.3794018473846</v>
      </c>
      <c r="J3834" s="449">
        <f t="shared" si="390"/>
        <v>0.13200653253179179</v>
      </c>
    </row>
    <row r="3835" spans="2:10">
      <c r="B3835" t="str">
        <f>'New split'!C279</f>
        <v>Panama - Onda</v>
      </c>
      <c r="D3835" s="454">
        <f>'New split'!I279</f>
        <v>185.1</v>
      </c>
      <c r="E3835" s="454">
        <f>D3835</f>
        <v>185.1</v>
      </c>
      <c r="F3835" s="454">
        <f>E3835+G3755*1.05</f>
        <v>279.60000000000002</v>
      </c>
      <c r="H3835" t="s">
        <v>2377</v>
      </c>
      <c r="I3835" s="454">
        <v>260.54118447101456</v>
      </c>
      <c r="J3835" s="449">
        <f t="shared" si="390"/>
        <v>0.12767545739532746</v>
      </c>
    </row>
    <row r="3836" spans="2:10">
      <c r="B3836" t="s">
        <v>2172</v>
      </c>
      <c r="D3836" s="454">
        <f>'New split'!I280-D3837</f>
        <v>47.224999999999994</v>
      </c>
      <c r="E3836" s="454">
        <f>D3836</f>
        <v>47.224999999999994</v>
      </c>
      <c r="F3836" s="454">
        <f>E3836+E3755*1.05</f>
        <v>110.22499999999999</v>
      </c>
      <c r="H3836" t="s">
        <v>1665</v>
      </c>
      <c r="I3836" s="454">
        <v>251.98608825048004</v>
      </c>
      <c r="J3836" s="449">
        <f t="shared" si="390"/>
        <v>0.12348312279289037</v>
      </c>
    </row>
    <row r="3837" spans="2:10">
      <c r="B3837" t="s">
        <v>2033</v>
      </c>
      <c r="D3837" s="454">
        <v>10</v>
      </c>
      <c r="E3837" s="454">
        <f>D3837</f>
        <v>10</v>
      </c>
      <c r="F3837" s="454">
        <f>E3837+F3755*1.05</f>
        <v>107.65</v>
      </c>
      <c r="H3837" t="s">
        <v>2380</v>
      </c>
      <c r="I3837" s="454">
        <v>171.21953497768283</v>
      </c>
      <c r="J3837" s="449">
        <f t="shared" si="390"/>
        <v>8.3904325865697946E-2</v>
      </c>
    </row>
    <row r="3838" spans="2:10">
      <c r="B3838" t="str">
        <f>'New split'!C287</f>
        <v>Bolivia</v>
      </c>
      <c r="D3838" s="454">
        <f>'New split'!I287</f>
        <v>257</v>
      </c>
      <c r="E3838" s="454">
        <f>D3838</f>
        <v>257</v>
      </c>
      <c r="F3838" s="454">
        <f>E3838</f>
        <v>257</v>
      </c>
      <c r="H3838" t="s">
        <v>2376</v>
      </c>
      <c r="I3838" s="454">
        <v>137.48724062499997</v>
      </c>
      <c r="J3838" s="449">
        <f t="shared" si="390"/>
        <v>6.7374171068033922E-2</v>
      </c>
    </row>
    <row r="3839" spans="2:10">
      <c r="B3839" t="str">
        <f>'New split'!C288</f>
        <v>Colombia</v>
      </c>
      <c r="D3839" s="454">
        <f>'New split'!I288</f>
        <v>513</v>
      </c>
      <c r="E3839" s="454">
        <f>D3839*0.5</f>
        <v>256.5</v>
      </c>
      <c r="F3839" s="454">
        <f>E3839</f>
        <v>256.5</v>
      </c>
      <c r="H3839" t="s">
        <v>2172</v>
      </c>
      <c r="I3839" s="454">
        <v>111.34765246996699</v>
      </c>
      <c r="J3839" s="449">
        <f t="shared" si="390"/>
        <v>5.456474180027604E-2</v>
      </c>
    </row>
    <row r="3840" spans="2:10">
      <c r="B3840" t="str">
        <f>'New split'!C289</f>
        <v>Paraguay</v>
      </c>
      <c r="D3840" s="454">
        <f>'New split'!I289</f>
        <v>287</v>
      </c>
      <c r="E3840" s="454">
        <f>D3840</f>
        <v>287</v>
      </c>
      <c r="F3840" s="454">
        <f>E3840</f>
        <v>287</v>
      </c>
      <c r="H3840" t="s">
        <v>2033</v>
      </c>
      <c r="I3840" s="454">
        <v>107.65</v>
      </c>
      <c r="J3840" s="449">
        <f t="shared" si="390"/>
        <v>5.2752746236693585E-2</v>
      </c>
    </row>
    <row r="3841" spans="2:9">
      <c r="D3841" s="454"/>
      <c r="E3841" s="454">
        <f>SUM(E3832:E3840)</f>
        <v>1782.375</v>
      </c>
      <c r="F3841" s="454">
        <f>SUM(F3832:F3840)</f>
        <v>2037.5250000000001</v>
      </c>
      <c r="I3841" s="454">
        <f>SUM(I3832:I3840)</f>
        <v>2040.6520547194027</v>
      </c>
    </row>
    <row r="3842" spans="2:9">
      <c r="D3842" s="454"/>
      <c r="E3842" s="454"/>
    </row>
    <row r="3844" spans="2:9">
      <c r="B3844" s="627" t="s">
        <v>5639</v>
      </c>
      <c r="C3844" s="627"/>
    </row>
    <row r="3846" spans="2:9">
      <c r="B3846" s="627" t="s">
        <v>2379</v>
      </c>
      <c r="C3846" s="627"/>
    </row>
    <row r="3847" spans="2:9">
      <c r="B3847" t="s">
        <v>887</v>
      </c>
      <c r="D3847" s="449">
        <v>0.59</v>
      </c>
    </row>
    <row r="3848" spans="2:9">
      <c r="B3848" t="s">
        <v>1606</v>
      </c>
      <c r="D3848" s="449">
        <v>0.26</v>
      </c>
    </row>
    <row r="3849" spans="2:9">
      <c r="B3849" t="s">
        <v>955</v>
      </c>
      <c r="D3849" s="449">
        <v>0.15000000000000002</v>
      </c>
    </row>
    <row r="3851" spans="2:9">
      <c r="B3851" s="627" t="s">
        <v>2376</v>
      </c>
      <c r="C3851" s="627"/>
    </row>
    <row r="3852" spans="2:9">
      <c r="B3852" t="s">
        <v>887</v>
      </c>
      <c r="D3852" s="449">
        <v>0.34</v>
      </c>
      <c r="E3852" s="468">
        <v>2.8333333333333339</v>
      </c>
    </row>
    <row r="3853" spans="2:9">
      <c r="B3853" t="s">
        <v>1606</v>
      </c>
      <c r="D3853" s="449">
        <v>0.24</v>
      </c>
      <c r="E3853" s="468">
        <v>2</v>
      </c>
    </row>
    <row r="3854" spans="2:9">
      <c r="B3854" t="s">
        <v>955</v>
      </c>
      <c r="D3854" s="449">
        <v>0.24</v>
      </c>
      <c r="E3854" s="468">
        <v>2</v>
      </c>
    </row>
    <row r="3855" spans="2:9">
      <c r="B3855" t="s">
        <v>1610</v>
      </c>
      <c r="D3855" s="449">
        <v>0.17999999999999994</v>
      </c>
      <c r="E3855" s="468">
        <v>1.4999999999999996</v>
      </c>
    </row>
    <row r="3856" spans="2:9">
      <c r="E3856" s="468">
        <v>8.3333333333333339</v>
      </c>
    </row>
    <row r="3857" spans="2:6">
      <c r="B3857" s="627" t="s">
        <v>2380</v>
      </c>
      <c r="C3857" s="627"/>
    </row>
    <row r="3858" spans="2:6">
      <c r="B3858" t="s">
        <v>887</v>
      </c>
      <c r="D3858" s="449">
        <f>CA!C329</f>
        <v>0.65400000000000003</v>
      </c>
    </row>
    <row r="3859" spans="2:6">
      <c r="B3859" t="s">
        <v>1975</v>
      </c>
      <c r="D3859" s="449">
        <f>100%-D3858</f>
        <v>0.34599999999999997</v>
      </c>
    </row>
    <row r="3860" spans="2:6">
      <c r="D3860" s="449"/>
    </row>
    <row r="3861" spans="2:6">
      <c r="B3861" s="627" t="s">
        <v>2033</v>
      </c>
      <c r="C3861" s="627"/>
      <c r="D3861" s="449"/>
    </row>
    <row r="3862" spans="2:6">
      <c r="B3862" t="s">
        <v>5625</v>
      </c>
      <c r="D3862" s="449">
        <v>0.59</v>
      </c>
    </row>
    <row r="3863" spans="2:6">
      <c r="B3863" t="s">
        <v>955</v>
      </c>
      <c r="D3863" s="449">
        <v>0.41000000000000003</v>
      </c>
    </row>
    <row r="3864" spans="2:6">
      <c r="D3864" s="449"/>
    </row>
    <row r="3865" spans="2:6">
      <c r="B3865" s="627" t="s">
        <v>2172</v>
      </c>
      <c r="C3865" s="627"/>
      <c r="D3865" s="449"/>
    </row>
    <row r="3866" spans="2:6">
      <c r="B3866" t="s">
        <v>5621</v>
      </c>
      <c r="D3866" s="449">
        <v>0.5</v>
      </c>
    </row>
    <row r="3867" spans="2:6">
      <c r="B3867" t="s">
        <v>5625</v>
      </c>
      <c r="D3867" s="449">
        <v>0.27</v>
      </c>
    </row>
    <row r="3868" spans="2:6">
      <c r="B3868" t="s">
        <v>955</v>
      </c>
      <c r="D3868" s="449">
        <v>0.22999999999999998</v>
      </c>
    </row>
    <row r="3870" spans="2:6">
      <c r="B3870" s="627" t="s">
        <v>2032</v>
      </c>
      <c r="C3870" s="627"/>
      <c r="D3870" t="s">
        <v>5622</v>
      </c>
      <c r="E3870" t="s">
        <v>5623</v>
      </c>
      <c r="F3870" t="s">
        <v>798</v>
      </c>
    </row>
    <row r="3871" spans="2:6">
      <c r="B3871" t="s">
        <v>4412</v>
      </c>
      <c r="D3871" s="449">
        <v>0.34</v>
      </c>
      <c r="E3871" s="468">
        <v>1.6</v>
      </c>
      <c r="F3871" s="454">
        <v>280</v>
      </c>
    </row>
    <row r="3872" spans="2:6">
      <c r="B3872" t="s">
        <v>5625</v>
      </c>
      <c r="D3872" s="449">
        <v>0.34</v>
      </c>
      <c r="E3872" s="468">
        <v>1.6</v>
      </c>
      <c r="F3872" s="454">
        <v>205.33333333333334</v>
      </c>
    </row>
    <row r="3873" spans="2:7">
      <c r="B3873" t="s">
        <v>955</v>
      </c>
      <c r="D3873" s="449">
        <v>0.18</v>
      </c>
      <c r="E3873" s="468">
        <v>0.84705882352941175</v>
      </c>
      <c r="F3873" s="454">
        <v>102.66666666666667</v>
      </c>
    </row>
    <row r="3874" spans="2:7">
      <c r="B3874" s="455" t="s">
        <v>1610</v>
      </c>
      <c r="C3874" s="455"/>
      <c r="D3874" s="476">
        <v>0.1399999999999999</v>
      </c>
      <c r="E3874" s="483">
        <v>0.65882352941176425</v>
      </c>
      <c r="F3874" s="462">
        <v>79.851851851851805</v>
      </c>
    </row>
    <row r="3875" spans="2:7">
      <c r="B3875" t="s">
        <v>5624</v>
      </c>
      <c r="E3875" s="468">
        <v>4.7058823529411766</v>
      </c>
      <c r="F3875" s="454">
        <v>667.85185185185185</v>
      </c>
    </row>
    <row r="3876" spans="2:7">
      <c r="B3876" t="s">
        <v>5627</v>
      </c>
    </row>
    <row r="3878" spans="2:7">
      <c r="B3878" s="627" t="s">
        <v>1665</v>
      </c>
      <c r="C3878" s="627"/>
    </row>
    <row r="3879" spans="2:7">
      <c r="B3879" t="s">
        <v>1975</v>
      </c>
      <c r="D3879" s="449">
        <v>0.55732311765685982</v>
      </c>
    </row>
    <row r="3880" spans="2:7">
      <c r="B3880" t="s">
        <v>1606</v>
      </c>
      <c r="D3880" s="449">
        <v>0.26553936115168514</v>
      </c>
    </row>
    <row r="3881" spans="2:7">
      <c r="B3881" t="s">
        <v>887</v>
      </c>
      <c r="D3881" s="449">
        <v>0.17451803199071841</v>
      </c>
    </row>
    <row r="3882" spans="2:7">
      <c r="B3882" t="s">
        <v>5626</v>
      </c>
    </row>
    <row r="3884" spans="2:7">
      <c r="B3884" s="627" t="str">
        <f>SA!B140</f>
        <v>Paraguay</v>
      </c>
      <c r="C3884" s="627"/>
      <c r="D3884" s="493" t="str">
        <f>SA!C140</f>
        <v>% share</v>
      </c>
      <c r="F3884" s="506" t="s">
        <v>5635</v>
      </c>
    </row>
    <row r="3885" spans="2:7">
      <c r="B3885" s="478" t="s">
        <v>887</v>
      </c>
      <c r="C3885" s="478"/>
      <c r="D3885" s="449">
        <f>SA!C141</f>
        <v>0.57799999999999996</v>
      </c>
      <c r="E3885" s="449">
        <f>D3885-6%</f>
        <v>0.51800000000000002</v>
      </c>
      <c r="F3885" s="454">
        <f>F3896</f>
        <v>445.19646017699114</v>
      </c>
      <c r="G3885" s="486">
        <f>F3885/F$3889</f>
        <v>0.50384834677672108</v>
      </c>
    </row>
    <row r="3886" spans="2:7">
      <c r="B3886" s="478" t="s">
        <v>1975</v>
      </c>
      <c r="C3886" s="478"/>
      <c r="D3886" s="449">
        <f>SA!C142</f>
        <v>7.0000000000000007E-2</v>
      </c>
      <c r="E3886" s="449">
        <f>D3886+8%</f>
        <v>0.15000000000000002</v>
      </c>
      <c r="F3886">
        <v>150</v>
      </c>
      <c r="G3886" s="486">
        <f>F3886/F$3889</f>
        <v>0.16976157444392501</v>
      </c>
    </row>
    <row r="3887" spans="2:7">
      <c r="B3887" s="478" t="s">
        <v>5628</v>
      </c>
      <c r="C3887" s="478"/>
      <c r="D3887" s="449">
        <f>SA!C143</f>
        <v>0.28999999999999998</v>
      </c>
      <c r="E3887" s="449">
        <f>D3887</f>
        <v>0.28999999999999998</v>
      </c>
      <c r="F3887" s="454">
        <f>D3892</f>
        <v>238.39572192513367</v>
      </c>
      <c r="G3887" s="486">
        <f>F3887/F$3889</f>
        <v>0.26980288729804547</v>
      </c>
    </row>
    <row r="3888" spans="2:7">
      <c r="B3888" s="455" t="str">
        <f>SA!B144</f>
        <v>VOX</v>
      </c>
      <c r="C3888" s="455"/>
      <c r="D3888" s="476">
        <f>SA!C144</f>
        <v>7.0000000000000007E-2</v>
      </c>
      <c r="E3888" s="476">
        <f>100%-E3887-E3886-E3885</f>
        <v>4.1999999999999926E-2</v>
      </c>
      <c r="F3888" s="455">
        <v>50</v>
      </c>
      <c r="G3888" s="488">
        <f>F3888/F$3889</f>
        <v>5.6587191481308328E-2</v>
      </c>
    </row>
    <row r="3889" spans="2:7">
      <c r="F3889" s="454">
        <f>SUM(F3885:F3888)</f>
        <v>883.59218210212487</v>
      </c>
      <c r="G3889" s="486">
        <f>F3889/F$3889</f>
        <v>1</v>
      </c>
    </row>
    <row r="3890" spans="2:7">
      <c r="B3890" s="478" t="s">
        <v>5631</v>
      </c>
      <c r="C3890" s="478"/>
      <c r="D3890">
        <v>6687</v>
      </c>
    </row>
    <row r="3891" spans="2:7">
      <c r="B3891" s="478" t="s">
        <v>5630</v>
      </c>
      <c r="C3891" s="478"/>
      <c r="D3891">
        <v>28.05</v>
      </c>
    </row>
    <row r="3892" spans="2:7">
      <c r="B3892" s="478" t="s">
        <v>5629</v>
      </c>
      <c r="C3892" s="478"/>
      <c r="D3892" s="454">
        <f>D3890/D3891</f>
        <v>238.39572192513367</v>
      </c>
    </row>
    <row r="3893" spans="2:7">
      <c r="D3893" s="454"/>
    </row>
    <row r="3894" spans="2:7">
      <c r="D3894">
        <v>2017</v>
      </c>
      <c r="E3894">
        <v>2018</v>
      </c>
      <c r="F3894">
        <v>2018</v>
      </c>
    </row>
    <row r="3895" spans="2:7">
      <c r="B3895" s="1115"/>
      <c r="C3895" s="1115"/>
      <c r="D3895" s="508" t="s">
        <v>3598</v>
      </c>
      <c r="E3895" s="508" t="s">
        <v>3598</v>
      </c>
      <c r="F3895" s="508" t="s">
        <v>2389</v>
      </c>
      <c r="G3895" s="508" t="s">
        <v>945</v>
      </c>
    </row>
    <row r="3896" spans="2:7">
      <c r="B3896" s="478" t="s">
        <v>2842</v>
      </c>
      <c r="C3896" s="478"/>
      <c r="D3896">
        <v>2062</v>
      </c>
      <c r="E3896">
        <v>1990</v>
      </c>
      <c r="F3896" s="454">
        <f>E3896/E$3901*F$3901</f>
        <v>445.19646017699114</v>
      </c>
      <c r="G3896" s="449">
        <f>E3896/D3896-1</f>
        <v>-3.4917555771096009E-2</v>
      </c>
    </row>
    <row r="3897" spans="2:7">
      <c r="B3897" s="478" t="s">
        <v>5633</v>
      </c>
      <c r="C3897" s="478"/>
      <c r="D3897" s="454">
        <v>337</v>
      </c>
      <c r="E3897" s="454">
        <v>338.1</v>
      </c>
      <c r="F3897" s="454">
        <f>E3897/E$3901*F$3901</f>
        <v>75.638654867256648</v>
      </c>
      <c r="G3897" s="449">
        <f>E3897/D3897-1</f>
        <v>3.264094955489627E-3</v>
      </c>
    </row>
    <row r="3898" spans="2:7">
      <c r="B3898" s="478" t="s">
        <v>5634</v>
      </c>
      <c r="C3898" s="478"/>
      <c r="D3898" s="454">
        <v>437</v>
      </c>
      <c r="E3898" s="454">
        <v>427.2</v>
      </c>
      <c r="F3898" s="454">
        <f>E3898/E$3901*F$3901</f>
        <v>95.571823008849549</v>
      </c>
      <c r="G3898" s="449">
        <f>E3898/D3898-1</f>
        <v>-2.2425629290617866E-2</v>
      </c>
    </row>
    <row r="3899" spans="2:7">
      <c r="B3899" s="478" t="s">
        <v>5372</v>
      </c>
      <c r="C3899" s="478"/>
      <c r="D3899" s="454">
        <v>42</v>
      </c>
      <c r="E3899" s="454">
        <v>50.4</v>
      </c>
      <c r="F3899" s="454">
        <f>E3899/E$3901*F$3901</f>
        <v>11.27532743362832</v>
      </c>
      <c r="G3899" s="449">
        <f>E3899/D3899-1</f>
        <v>0.19999999999999996</v>
      </c>
    </row>
    <row r="3900" spans="2:7">
      <c r="B3900" s="487" t="s">
        <v>1540</v>
      </c>
      <c r="C3900" s="487"/>
      <c r="D3900" s="462">
        <v>0</v>
      </c>
      <c r="E3900" s="462">
        <v>19.399999999999999</v>
      </c>
      <c r="F3900" s="462">
        <f>E3900/E$3901*F$3901</f>
        <v>4.3401061946902653</v>
      </c>
      <c r="G3900" s="476"/>
    </row>
    <row r="3901" spans="2:7">
      <c r="B3901" s="478" t="s">
        <v>5632</v>
      </c>
      <c r="C3901" s="478"/>
      <c r="D3901">
        <v>2880</v>
      </c>
      <c r="E3901">
        <v>2825</v>
      </c>
      <c r="F3901" s="454">
        <f>'New split'!H61</f>
        <v>632</v>
      </c>
      <c r="G3901" s="449">
        <f>E3901/D3901-1</f>
        <v>-1.909722222222221E-2</v>
      </c>
    </row>
    <row r="3902" spans="2:7">
      <c r="B3902" s="613" t="s">
        <v>5636</v>
      </c>
      <c r="C3902" s="613"/>
    </row>
    <row r="3906" spans="2:8">
      <c r="B3906" s="627" t="str">
        <f>SA!B146</f>
        <v>Bolivia</v>
      </c>
      <c r="C3906" s="627"/>
      <c r="D3906" s="493" t="str">
        <f>SA!C146</f>
        <v>% share</v>
      </c>
      <c r="E3906" s="506" t="s">
        <v>5587</v>
      </c>
    </row>
    <row r="3907" spans="2:8">
      <c r="B3907" s="478" t="s">
        <v>887</v>
      </c>
      <c r="C3907" s="478"/>
      <c r="D3907" s="449">
        <f>SA!C147</f>
        <v>0.36672802468942395</v>
      </c>
      <c r="E3907">
        <v>3.4649999999999999</v>
      </c>
    </row>
    <row r="3908" spans="2:8">
      <c r="B3908" t="s">
        <v>861</v>
      </c>
      <c r="D3908" s="449">
        <f>SA!C148</f>
        <v>0.45</v>
      </c>
    </row>
    <row r="3909" spans="2:8">
      <c r="B3909" s="478" t="s">
        <v>5638</v>
      </c>
      <c r="C3909" s="478"/>
      <c r="D3909" s="449">
        <f>SA!C149</f>
        <v>0.18327197531057599</v>
      </c>
    </row>
    <row r="3910" spans="2:8">
      <c r="E3910">
        <v>11.4</v>
      </c>
      <c r="F3910" s="478" t="s">
        <v>5637</v>
      </c>
    </row>
    <row r="3911" spans="2:8">
      <c r="B3911" s="627" t="s">
        <v>5645</v>
      </c>
      <c r="C3911" s="627"/>
      <c r="F3911" s="478"/>
    </row>
    <row r="3913" spans="2:8">
      <c r="B3913" s="455" t="s">
        <v>5640</v>
      </c>
      <c r="C3913" s="455"/>
      <c r="D3913" s="495" t="s">
        <v>5412</v>
      </c>
      <c r="E3913" s="495" t="s">
        <v>5641</v>
      </c>
    </row>
    <row r="3914" spans="2:8">
      <c r="B3914" t="s">
        <v>2722</v>
      </c>
      <c r="D3914" s="656">
        <f>Valuation!I18/1000</f>
        <v>12.589809407029328</v>
      </c>
      <c r="E3914" s="468">
        <f>E3915+E3916+E3917</f>
        <v>13.856109407029329</v>
      </c>
      <c r="F3914" s="468"/>
    </row>
    <row r="3915" spans="2:8">
      <c r="B3915" t="s">
        <v>2724</v>
      </c>
      <c r="D3915" s="656">
        <f>Valuation!I10/1000</f>
        <v>2.9550419999999993</v>
      </c>
      <c r="E3915" s="468">
        <f>D3915</f>
        <v>2.9550419999999993</v>
      </c>
      <c r="F3915" s="468"/>
    </row>
    <row r="3916" spans="2:8">
      <c r="B3916" t="s">
        <v>2721</v>
      </c>
      <c r="D3916" s="656">
        <f>Valuation!I16/1000</f>
        <v>7.2359999999999998</v>
      </c>
      <c r="E3916">
        <f>D3916*1.175</f>
        <v>8.5023</v>
      </c>
      <c r="F3916" s="468"/>
      <c r="G3916" s="468">
        <f>(E3916-D3916)</f>
        <v>1.2663000000000002</v>
      </c>
      <c r="H3916" t="s">
        <v>5646</v>
      </c>
    </row>
    <row r="3917" spans="2:8">
      <c r="B3917" t="s">
        <v>5642</v>
      </c>
      <c r="D3917" s="468">
        <f>D3914-D3915-D3916</f>
        <v>2.3987674070293297</v>
      </c>
      <c r="E3917" s="468">
        <f>D3917</f>
        <v>2.3987674070293297</v>
      </c>
      <c r="F3917" s="468"/>
    </row>
    <row r="3918" spans="2:8">
      <c r="D3918" s="468"/>
      <c r="E3918" s="468"/>
      <c r="F3918" s="468"/>
    </row>
    <row r="3919" spans="2:8">
      <c r="B3919" t="s">
        <v>3343</v>
      </c>
      <c r="D3919" s="468">
        <f>Valuation!I21/1000</f>
        <v>2.5499999999999998</v>
      </c>
      <c r="E3919">
        <f>D3919*1.07</f>
        <v>2.7284999999999999</v>
      </c>
      <c r="F3919" s="468"/>
      <c r="G3919" s="531">
        <f>(E3919-D3919)</f>
        <v>0.1785000000000001</v>
      </c>
    </row>
    <row r="3920" spans="2:8">
      <c r="B3920" t="s">
        <v>5643</v>
      </c>
      <c r="D3920" s="531">
        <f>D3916/D3919</f>
        <v>2.8376470588235296</v>
      </c>
      <c r="E3920" s="531">
        <f>E3916/E3919</f>
        <v>3.1161077515118198</v>
      </c>
      <c r="F3920" s="468"/>
      <c r="G3920" s="468">
        <f>G3916/G3919</f>
        <v>7.0941176470588205</v>
      </c>
    </row>
    <row r="3921" spans="2:7">
      <c r="D3921" s="468"/>
      <c r="E3921" s="468"/>
      <c r="F3921" s="468"/>
      <c r="G3921" s="468"/>
    </row>
    <row r="3923" spans="2:7">
      <c r="B3923" t="s">
        <v>5644</v>
      </c>
      <c r="D3923" s="468">
        <f>D3914/D3919</f>
        <v>4.937180159619345</v>
      </c>
      <c r="E3923" s="468">
        <f>E3914/E3919</f>
        <v>5.0782882195452919</v>
      </c>
    </row>
    <row r="3925" spans="2:7">
      <c r="B3925" s="450" t="s">
        <v>5722</v>
      </c>
      <c r="C3925" s="450"/>
    </row>
    <row r="3928" spans="2:7">
      <c r="B3928" s="478" t="s">
        <v>5617</v>
      </c>
      <c r="C3928" s="478"/>
    </row>
    <row r="3929" spans="2:7">
      <c r="B3929" s="450" t="s">
        <v>1250</v>
      </c>
      <c r="C3929" s="450"/>
      <c r="D3929" s="599" t="s">
        <v>5726</v>
      </c>
      <c r="E3929" s="599" t="s">
        <v>5727</v>
      </c>
    </row>
    <row r="3930" spans="2:7">
      <c r="B3930" s="478" t="s">
        <v>5724</v>
      </c>
      <c r="C3930" s="478"/>
      <c r="D3930" s="454">
        <f>'New (new) quarts'!AC590</f>
        <v>379</v>
      </c>
      <c r="E3930" s="449">
        <f>D3930/D$3934</f>
        <v>0.26448011165387297</v>
      </c>
    </row>
    <row r="3931" spans="2:7">
      <c r="B3931" s="478" t="s">
        <v>5725</v>
      </c>
      <c r="C3931" s="478"/>
      <c r="D3931" s="454">
        <f>'New (new) quarts'!AC592</f>
        <v>162</v>
      </c>
      <c r="E3931" s="449">
        <f>D3931/D$3934</f>
        <v>0.11304954640614097</v>
      </c>
    </row>
    <row r="3932" spans="2:7">
      <c r="B3932" s="478" t="s">
        <v>4644</v>
      </c>
      <c r="C3932" s="478"/>
      <c r="D3932" s="454">
        <f>'New (new) quarts'!AC586+('New split'!J13+'New split'!J14+'New split'!J15)/4</f>
        <v>880</v>
      </c>
      <c r="E3932" s="449">
        <f>D3932/D$3934</f>
        <v>0.61409630146545713</v>
      </c>
    </row>
    <row r="3933" spans="2:7">
      <c r="B3933" s="487" t="s">
        <v>1540</v>
      </c>
      <c r="C3933" s="487"/>
      <c r="D3933" s="676">
        <v>12</v>
      </c>
      <c r="E3933" s="476">
        <f>D3933/D$3934</f>
        <v>8.3740404745289605E-3</v>
      </c>
    </row>
    <row r="3934" spans="2:7">
      <c r="B3934" s="478" t="s">
        <v>1582</v>
      </c>
      <c r="C3934" s="478"/>
      <c r="D3934" s="454">
        <f>D3930+D3931+D3932+D3933</f>
        <v>1433</v>
      </c>
    </row>
    <row r="3946" spans="2:10">
      <c r="B3946" s="478" t="s">
        <v>1646</v>
      </c>
      <c r="C3946" s="478"/>
    </row>
    <row r="3948" spans="2:10">
      <c r="B3948" s="451" t="s">
        <v>2389</v>
      </c>
      <c r="C3948" s="451"/>
      <c r="D3948" s="451">
        <v>2019</v>
      </c>
      <c r="E3948" s="451">
        <f t="shared" ref="E3948:J3948" si="391">D3948+1</f>
        <v>2020</v>
      </c>
      <c r="F3948" s="451">
        <f t="shared" si="391"/>
        <v>2021</v>
      </c>
      <c r="G3948" s="451">
        <f t="shared" si="391"/>
        <v>2022</v>
      </c>
      <c r="H3948" s="451">
        <f t="shared" si="391"/>
        <v>2023</v>
      </c>
      <c r="I3948" s="451">
        <f t="shared" si="391"/>
        <v>2024</v>
      </c>
      <c r="J3948" s="451">
        <f t="shared" si="391"/>
        <v>2025</v>
      </c>
    </row>
    <row r="3949" spans="2:10">
      <c r="B3949" s="478" t="s">
        <v>758</v>
      </c>
      <c r="C3949" s="478"/>
      <c r="D3949" s="464">
        <f>Master!V5</f>
        <v>6371</v>
      </c>
      <c r="E3949" s="464">
        <f>Master!W5</f>
        <v>6232</v>
      </c>
      <c r="F3949" s="464">
        <f>Master!X5</f>
        <v>6572</v>
      </c>
      <c r="G3949" s="464">
        <f>Master!Y5</f>
        <v>5624.5300000000007</v>
      </c>
      <c r="H3949" s="464">
        <f>Master!Z5</f>
        <v>5661</v>
      </c>
      <c r="I3949" s="464">
        <f>Master!AA5</f>
        <v>5804.2592000000004</v>
      </c>
      <c r="J3949" s="464">
        <f>Master!AB5</f>
        <v>5523.9546913835384</v>
      </c>
    </row>
    <row r="3950" spans="2:10">
      <c r="B3950" s="478" t="s">
        <v>360</v>
      </c>
      <c r="C3950" s="478"/>
      <c r="D3950" s="464">
        <f>Master!V14</f>
        <v>2550</v>
      </c>
      <c r="E3950" s="464">
        <f>Master!W14</f>
        <v>2641</v>
      </c>
      <c r="F3950" s="464">
        <f>Master!X14</f>
        <v>2613</v>
      </c>
      <c r="G3950" s="464">
        <f>Master!Y14</f>
        <v>2228.1349999999998</v>
      </c>
      <c r="H3950" s="464">
        <f>Master!Z14</f>
        <v>2111.2855</v>
      </c>
      <c r="I3950" s="464">
        <f ca="1">Master!AA14</f>
        <v>2468.6458000000002</v>
      </c>
      <c r="J3950" s="464">
        <f>Master!AB14</f>
        <v>2381.685419914671</v>
      </c>
    </row>
    <row r="3951" spans="2:10">
      <c r="B3951" s="478" t="s">
        <v>1434</v>
      </c>
      <c r="C3951" s="478"/>
      <c r="D3951" s="456">
        <f t="shared" ref="D3951:J3951" si="392">D3950/D3949</f>
        <v>0.4002511379689217</v>
      </c>
      <c r="E3951" s="456">
        <f t="shared" si="392"/>
        <v>0.42378048780487804</v>
      </c>
      <c r="F3951" s="456">
        <f t="shared" si="392"/>
        <v>0.39759586122945828</v>
      </c>
      <c r="G3951" s="456">
        <f t="shared" si="392"/>
        <v>0.39614598908708809</v>
      </c>
      <c r="H3951" s="456">
        <f t="shared" si="392"/>
        <v>0.37295274686451158</v>
      </c>
      <c r="I3951" s="456">
        <f t="shared" ca="1" si="392"/>
        <v>0.42531625741317686</v>
      </c>
      <c r="J3951" s="456">
        <f t="shared" si="392"/>
        <v>0.43115585716691501</v>
      </c>
    </row>
    <row r="3953" spans="2:10">
      <c r="B3953" s="450" t="s">
        <v>5734</v>
      </c>
      <c r="C3953" s="450"/>
    </row>
    <row r="3954" spans="2:10">
      <c r="B3954" s="478" t="s">
        <v>758</v>
      </c>
      <c r="C3954" s="478"/>
      <c r="D3954" s="464">
        <v>6350.4801454464086</v>
      </c>
      <c r="E3954" s="464">
        <v>7087.941418600386</v>
      </c>
      <c r="F3954" s="464">
        <v>7251.6712681240097</v>
      </c>
      <c r="G3954" s="464">
        <v>7412.3277604268387</v>
      </c>
      <c r="H3954" s="464">
        <v>7609.5779944554015</v>
      </c>
      <c r="I3954" s="464">
        <v>7814.7252670476428</v>
      </c>
      <c r="J3954" s="464">
        <v>8029.8665956628302</v>
      </c>
    </row>
    <row r="3955" spans="2:10">
      <c r="B3955" s="478" t="s">
        <v>360</v>
      </c>
      <c r="C3955" s="478"/>
      <c r="D3955" s="464">
        <v>2432.7943946874689</v>
      </c>
      <c r="E3955" s="464">
        <v>2696.8703407704402</v>
      </c>
      <c r="F3955" s="464">
        <v>2797.6468923938314</v>
      </c>
      <c r="G3955" s="464">
        <v>2886.3345299529492</v>
      </c>
      <c r="H3955" s="464">
        <v>2982.9817677030378</v>
      </c>
      <c r="I3955" s="464">
        <v>3087.8692135085375</v>
      </c>
      <c r="J3955" s="464">
        <v>3188.4597687994005</v>
      </c>
    </row>
    <row r="3956" spans="2:10">
      <c r="B3956" s="478" t="s">
        <v>1434</v>
      </c>
      <c r="C3956" s="478"/>
      <c r="D3956" s="456">
        <f t="shared" ref="D3956:J3956" si="393">D3955/D3954</f>
        <v>0.38308826088243048</v>
      </c>
      <c r="E3956" s="456">
        <f t="shared" si="393"/>
        <v>0.38048710923220008</v>
      </c>
      <c r="F3956" s="456">
        <f t="shared" si="393"/>
        <v>0.38579339699130849</v>
      </c>
      <c r="G3956" s="456">
        <f t="shared" si="393"/>
        <v>0.38939650582676605</v>
      </c>
      <c r="H3956" s="456">
        <f t="shared" si="393"/>
        <v>0.39200357363792582</v>
      </c>
      <c r="I3956" s="456">
        <f t="shared" si="393"/>
        <v>0.3951347114567364</v>
      </c>
      <c r="J3956" s="456">
        <f t="shared" si="393"/>
        <v>0.39707506106285534</v>
      </c>
    </row>
    <row r="3958" spans="2:10">
      <c r="B3958" s="450" t="s">
        <v>5735</v>
      </c>
      <c r="C3958" s="450"/>
      <c r="D3958" s="464"/>
      <c r="E3958" s="464"/>
      <c r="F3958" s="464"/>
      <c r="G3958" s="464"/>
      <c r="H3958" s="464"/>
      <c r="I3958" s="464"/>
      <c r="J3958" s="464"/>
    </row>
    <row r="3959" spans="2:10">
      <c r="B3959" s="478" t="s">
        <v>360</v>
      </c>
      <c r="C3959" s="478"/>
      <c r="D3959" s="464">
        <f t="shared" ref="D3959:J3959" si="394">D3950-D3955</f>
        <v>117.20560531253113</v>
      </c>
      <c r="E3959" s="464">
        <f t="shared" si="394"/>
        <v>-55.87034077044018</v>
      </c>
      <c r="F3959" s="464">
        <f t="shared" si="394"/>
        <v>-184.64689239383142</v>
      </c>
      <c r="G3959" s="464">
        <f t="shared" si="394"/>
        <v>-658.19952995294943</v>
      </c>
      <c r="H3959" s="464">
        <f t="shared" si="394"/>
        <v>-871.69626770303785</v>
      </c>
      <c r="I3959" s="464">
        <f t="shared" ca="1" si="394"/>
        <v>-619.22341350853731</v>
      </c>
      <c r="J3959" s="464">
        <f t="shared" si="394"/>
        <v>-806.77434888472953</v>
      </c>
    </row>
    <row r="3960" spans="2:10">
      <c r="B3960" s="478" t="s">
        <v>1434</v>
      </c>
      <c r="C3960" s="478"/>
      <c r="D3960" s="456">
        <f t="shared" ref="D3960:J3960" si="395">D3959/D3949</f>
        <v>1.8396736040265444E-2</v>
      </c>
      <c r="E3960" s="456">
        <f t="shared" si="395"/>
        <v>-8.9650739362067047E-3</v>
      </c>
      <c r="F3960" s="456">
        <f t="shared" si="395"/>
        <v>-2.8095997016712025E-2</v>
      </c>
      <c r="G3960" s="456">
        <f t="shared" si="395"/>
        <v>-0.11702302769350495</v>
      </c>
      <c r="H3960" s="456">
        <f t="shared" si="395"/>
        <v>-0.15398273585992542</v>
      </c>
      <c r="I3960" s="456">
        <f t="shared" ca="1" si="395"/>
        <v>-0.10668431442698791</v>
      </c>
      <c r="J3960" s="456">
        <f t="shared" si="395"/>
        <v>-0.14605013870645336</v>
      </c>
    </row>
    <row r="3962" spans="2:10">
      <c r="B3962" s="478" t="s">
        <v>5738</v>
      </c>
      <c r="C3962" s="478"/>
    </row>
    <row r="3964" spans="2:10">
      <c r="B3964" s="451" t="s">
        <v>2389</v>
      </c>
      <c r="C3964" s="450"/>
      <c r="D3964" t="s">
        <v>5742</v>
      </c>
      <c r="E3964" s="560" t="s">
        <v>5743</v>
      </c>
      <c r="F3964" s="560" t="s">
        <v>5744</v>
      </c>
      <c r="G3964" s="560" t="s">
        <v>2324</v>
      </c>
      <c r="I3964" s="478"/>
    </row>
    <row r="3965" spans="2:10">
      <c r="B3965" s="478" t="s">
        <v>5737</v>
      </c>
      <c r="C3965" s="478"/>
      <c r="D3965" s="464">
        <f>7294-1212</f>
        <v>6082</v>
      </c>
      <c r="E3965" s="464">
        <v>1212</v>
      </c>
      <c r="F3965" s="464">
        <v>1650</v>
      </c>
      <c r="G3965" s="464">
        <f>D3965+E3965+F3965</f>
        <v>8944</v>
      </c>
    </row>
    <row r="3966" spans="2:10">
      <c r="B3966" s="478" t="s">
        <v>5740</v>
      </c>
      <c r="C3966" s="478"/>
      <c r="D3966" s="456">
        <v>6.3E-2</v>
      </c>
      <c r="E3966" s="449">
        <f>E3967/E3965</f>
        <v>0.16501650165016502</v>
      </c>
      <c r="F3966" s="456">
        <f>D3966</f>
        <v>6.3E-2</v>
      </c>
    </row>
    <row r="3967" spans="2:10">
      <c r="B3967" s="479" t="s">
        <v>5741</v>
      </c>
      <c r="C3967" s="478"/>
      <c r="D3967">
        <f>D3966*D3965</f>
        <v>383.166</v>
      </c>
      <c r="E3967">
        <v>200</v>
      </c>
      <c r="F3967">
        <f>F3966*F3965</f>
        <v>103.95</v>
      </c>
      <c r="G3967">
        <f>D3967+E3967+F3967</f>
        <v>687.11599999999999</v>
      </c>
    </row>
    <row r="3969" spans="1:13">
      <c r="B3969" s="478" t="s">
        <v>2222</v>
      </c>
      <c r="C3969" s="478"/>
      <c r="D3969" s="464"/>
      <c r="E3969" s="464"/>
      <c r="F3969" s="464"/>
      <c r="G3969" s="464">
        <v>1244</v>
      </c>
    </row>
    <row r="3970" spans="1:13">
      <c r="B3970" s="478" t="s">
        <v>1655</v>
      </c>
      <c r="C3970" s="478"/>
      <c r="G3970" s="449">
        <v>0.02</v>
      </c>
    </row>
    <row r="3971" spans="1:13">
      <c r="B3971" s="479" t="s">
        <v>2293</v>
      </c>
      <c r="C3971" s="478"/>
      <c r="G3971">
        <f>G3970*G3969</f>
        <v>24.88</v>
      </c>
    </row>
    <row r="3972" spans="1:13">
      <c r="D3972" s="464"/>
      <c r="E3972" s="464"/>
      <c r="F3972" s="464"/>
      <c r="G3972" s="464"/>
    </row>
    <row r="3973" spans="1:13" ht="15.75" thickBot="1">
      <c r="B3973" s="654" t="s">
        <v>5739</v>
      </c>
      <c r="C3973" s="478"/>
      <c r="G3973">
        <f>G3967-G3971</f>
        <v>662.23599999999999</v>
      </c>
    </row>
    <row r="3974" spans="1:13" ht="15.75" thickTop="1"/>
    <row r="3976" spans="1:13">
      <c r="B3976" s="450" t="s">
        <v>5803</v>
      </c>
      <c r="C3976" s="450"/>
    </row>
    <row r="3978" spans="1:13">
      <c r="B3978" s="450" t="s">
        <v>5618</v>
      </c>
      <c r="C3978" s="450"/>
      <c r="D3978" s="478" t="s">
        <v>3316</v>
      </c>
      <c r="G3978" s="506" t="s">
        <v>3371</v>
      </c>
      <c r="H3978" s="506" t="s">
        <v>5811</v>
      </c>
      <c r="I3978" s="450" t="s">
        <v>5617</v>
      </c>
      <c r="J3978" s="450">
        <v>2018</v>
      </c>
      <c r="L3978" s="450" t="s">
        <v>5809</v>
      </c>
      <c r="M3978" s="450" t="s">
        <v>5815</v>
      </c>
    </row>
    <row r="3979" spans="1:13">
      <c r="B3979" s="487" t="s">
        <v>2389</v>
      </c>
      <c r="C3979" s="487"/>
      <c r="D3979" s="508" t="s">
        <v>5737</v>
      </c>
      <c r="E3979" s="508" t="s">
        <v>2989</v>
      </c>
      <c r="F3979" s="508" t="s">
        <v>5804</v>
      </c>
      <c r="G3979" s="508" t="s">
        <v>2989</v>
      </c>
      <c r="H3979" s="508" t="s">
        <v>2989</v>
      </c>
      <c r="I3979" s="508" t="s">
        <v>2989</v>
      </c>
      <c r="J3979" s="508" t="s">
        <v>2989</v>
      </c>
      <c r="L3979" s="451">
        <v>2019</v>
      </c>
    </row>
    <row r="3980" spans="1:13">
      <c r="A3980" s="1131">
        <v>1</v>
      </c>
      <c r="B3980" t="s">
        <v>2377</v>
      </c>
      <c r="D3980">
        <v>305</v>
      </c>
      <c r="E3980">
        <v>266</v>
      </c>
      <c r="F3980">
        <f t="shared" ref="F3980:F3988" si="396">D3980-E3980</f>
        <v>39</v>
      </c>
      <c r="G3980" s="454">
        <f t="shared" ref="G3980:G3988" si="397">A3980*E3980</f>
        <v>266</v>
      </c>
      <c r="H3980" s="454">
        <f t="shared" ref="H3980:H3991" si="398">E3980-G3980</f>
        <v>0</v>
      </c>
      <c r="I3980">
        <v>319</v>
      </c>
      <c r="J3980">
        <v>269</v>
      </c>
      <c r="L3980" s="535">
        <v>42</v>
      </c>
      <c r="M3980" s="454">
        <f t="shared" ref="M3980:M3987" si="399">L3980*(1-A3980)</f>
        <v>0</v>
      </c>
    </row>
    <row r="3981" spans="1:13">
      <c r="A3981" s="1131">
        <v>0.5</v>
      </c>
      <c r="B3981" t="s">
        <v>1665</v>
      </c>
      <c r="D3981">
        <v>1031</v>
      </c>
      <c r="E3981">
        <v>902</v>
      </c>
      <c r="F3981">
        <f t="shared" si="396"/>
        <v>129</v>
      </c>
      <c r="G3981" s="454">
        <f t="shared" si="397"/>
        <v>451</v>
      </c>
      <c r="H3981" s="454">
        <f t="shared" si="398"/>
        <v>451</v>
      </c>
      <c r="I3981">
        <v>1110</v>
      </c>
      <c r="J3981" s="478">
        <v>837</v>
      </c>
      <c r="L3981" s="535">
        <v>385</v>
      </c>
      <c r="M3981" s="454">
        <f t="shared" si="399"/>
        <v>192.5</v>
      </c>
    </row>
    <row r="3982" spans="1:13">
      <c r="A3982" s="1131">
        <v>0.8</v>
      </c>
      <c r="B3982" t="s">
        <v>2172</v>
      </c>
      <c r="D3982">
        <v>148</v>
      </c>
      <c r="E3982">
        <v>139</v>
      </c>
      <c r="F3982">
        <f t="shared" si="396"/>
        <v>9</v>
      </c>
      <c r="G3982" s="454">
        <f t="shared" si="397"/>
        <v>111.2</v>
      </c>
      <c r="H3982" s="454">
        <f t="shared" si="398"/>
        <v>27.799999999999997</v>
      </c>
      <c r="I3982">
        <v>137</v>
      </c>
      <c r="J3982" s="478"/>
      <c r="L3982" s="535">
        <v>6</v>
      </c>
      <c r="M3982" s="454">
        <f t="shared" si="399"/>
        <v>1.1999999999999997</v>
      </c>
    </row>
    <row r="3983" spans="1:13">
      <c r="A3983" s="1131">
        <v>1</v>
      </c>
      <c r="B3983" t="s">
        <v>2376</v>
      </c>
      <c r="D3983">
        <v>294</v>
      </c>
      <c r="E3983">
        <v>270</v>
      </c>
      <c r="F3983">
        <f t="shared" si="396"/>
        <v>24</v>
      </c>
      <c r="G3983" s="454">
        <f t="shared" si="397"/>
        <v>270</v>
      </c>
      <c r="H3983" s="454">
        <f t="shared" si="398"/>
        <v>0</v>
      </c>
      <c r="I3983">
        <v>344</v>
      </c>
      <c r="J3983" s="478">
        <v>272</v>
      </c>
      <c r="L3983" s="535">
        <v>92</v>
      </c>
      <c r="M3983" s="454">
        <f t="shared" si="399"/>
        <v>0</v>
      </c>
    </row>
    <row r="3984" spans="1:13">
      <c r="A3984" s="1131">
        <v>0.55000000000000004</v>
      </c>
      <c r="B3984" t="s">
        <v>2379</v>
      </c>
      <c r="D3984">
        <v>929</v>
      </c>
      <c r="E3984">
        <v>661</v>
      </c>
      <c r="F3984">
        <f t="shared" si="396"/>
        <v>268</v>
      </c>
      <c r="G3984" s="454">
        <f t="shared" si="397"/>
        <v>363.55</v>
      </c>
      <c r="H3984" s="454">
        <f t="shared" si="398"/>
        <v>297.45</v>
      </c>
      <c r="I3984">
        <v>959</v>
      </c>
      <c r="J3984">
        <v>706</v>
      </c>
      <c r="L3984" s="535">
        <f>313-L3985</f>
        <v>240</v>
      </c>
      <c r="M3984" s="454">
        <f t="shared" si="399"/>
        <v>107.99999999999999</v>
      </c>
    </row>
    <row r="3985" spans="1:13">
      <c r="A3985" s="1131">
        <v>0.66659999999999997</v>
      </c>
      <c r="B3985" t="s">
        <v>2380</v>
      </c>
      <c r="D3985">
        <v>374</v>
      </c>
      <c r="E3985">
        <v>359</v>
      </c>
      <c r="F3985">
        <f t="shared" si="396"/>
        <v>15</v>
      </c>
      <c r="G3985" s="454">
        <f t="shared" si="397"/>
        <v>239.30939999999998</v>
      </c>
      <c r="H3985" s="454">
        <f t="shared" si="398"/>
        <v>119.69060000000002</v>
      </c>
      <c r="I3985">
        <v>431</v>
      </c>
      <c r="J3985">
        <v>358</v>
      </c>
      <c r="L3985" s="454">
        <f>I3985-J3985</f>
        <v>73</v>
      </c>
      <c r="M3985" s="454">
        <f t="shared" si="399"/>
        <v>24.338200000000001</v>
      </c>
    </row>
    <row r="3986" spans="1:13">
      <c r="A3986" s="1131">
        <v>0.8</v>
      </c>
      <c r="B3986" t="s">
        <v>2032</v>
      </c>
      <c r="D3986">
        <v>262</v>
      </c>
      <c r="E3986">
        <v>242</v>
      </c>
      <c r="F3986">
        <f t="shared" si="396"/>
        <v>20</v>
      </c>
      <c r="G3986" s="454">
        <f t="shared" si="397"/>
        <v>193.60000000000002</v>
      </c>
      <c r="H3986" s="454">
        <f t="shared" si="398"/>
        <v>48.399999999999977</v>
      </c>
      <c r="I3986">
        <v>297</v>
      </c>
      <c r="J3986">
        <v>255</v>
      </c>
      <c r="L3986" s="535">
        <v>88</v>
      </c>
      <c r="M3986" s="454">
        <f t="shared" si="399"/>
        <v>17.599999999999994</v>
      </c>
    </row>
    <row r="3987" spans="1:13">
      <c r="A3987" s="1131">
        <v>1</v>
      </c>
      <c r="B3987" t="s">
        <v>2378</v>
      </c>
      <c r="D3987">
        <v>550</v>
      </c>
      <c r="E3987">
        <v>446</v>
      </c>
      <c r="F3987">
        <f t="shared" si="396"/>
        <v>104</v>
      </c>
      <c r="G3987" s="454">
        <f t="shared" si="397"/>
        <v>446</v>
      </c>
      <c r="H3987" s="454">
        <f t="shared" si="398"/>
        <v>0</v>
      </c>
      <c r="I3987">
        <v>499</v>
      </c>
      <c r="J3987">
        <v>447</v>
      </c>
      <c r="L3987" s="535">
        <v>85</v>
      </c>
      <c r="M3987" s="454">
        <f t="shared" si="399"/>
        <v>0</v>
      </c>
    </row>
    <row r="3988" spans="1:13">
      <c r="A3988" s="1131">
        <v>1</v>
      </c>
      <c r="B3988" t="s">
        <v>2033</v>
      </c>
      <c r="D3988">
        <v>7</v>
      </c>
      <c r="E3988">
        <v>-12</v>
      </c>
      <c r="F3988">
        <f t="shared" si="396"/>
        <v>19</v>
      </c>
      <c r="G3988" s="454">
        <f t="shared" si="397"/>
        <v>-12</v>
      </c>
      <c r="H3988" s="454">
        <f t="shared" si="398"/>
        <v>0</v>
      </c>
      <c r="L3988" s="535">
        <v>117</v>
      </c>
      <c r="M3988" s="454"/>
    </row>
    <row r="3989" spans="1:13">
      <c r="A3989" s="1131">
        <v>1</v>
      </c>
      <c r="B3989" s="478" t="s">
        <v>1540</v>
      </c>
      <c r="C3989" s="478"/>
      <c r="G3989" s="454"/>
      <c r="H3989" s="454">
        <f t="shared" si="398"/>
        <v>0</v>
      </c>
      <c r="J3989">
        <v>123</v>
      </c>
      <c r="L3989" s="454"/>
      <c r="M3989" s="454"/>
    </row>
    <row r="3990" spans="1:13">
      <c r="A3990" s="1131">
        <v>1</v>
      </c>
      <c r="B3990" t="s">
        <v>1831</v>
      </c>
      <c r="D3990">
        <v>169</v>
      </c>
      <c r="E3990">
        <v>143</v>
      </c>
      <c r="F3990">
        <f>D3990-E3990</f>
        <v>26</v>
      </c>
      <c r="G3990" s="454">
        <f>A3990*E3990</f>
        <v>143</v>
      </c>
      <c r="H3990" s="454">
        <f t="shared" si="398"/>
        <v>0</v>
      </c>
      <c r="I3990">
        <v>312</v>
      </c>
      <c r="J3990">
        <v>223</v>
      </c>
      <c r="L3990" s="535">
        <v>222</v>
      </c>
      <c r="M3990" s="454">
        <f>L3990*(1-A3990)</f>
        <v>0</v>
      </c>
    </row>
    <row r="3991" spans="1:13">
      <c r="A3991" s="1131">
        <v>1</v>
      </c>
      <c r="B3991" s="478" t="s">
        <v>5634</v>
      </c>
      <c r="C3991" s="478"/>
      <c r="D3991">
        <v>2623</v>
      </c>
      <c r="E3991">
        <v>2153</v>
      </c>
      <c r="F3991">
        <f>D3991-E3991</f>
        <v>470</v>
      </c>
      <c r="G3991" s="454">
        <f>A3991*E3991</f>
        <v>2153</v>
      </c>
      <c r="H3991" s="454">
        <f t="shared" si="398"/>
        <v>0</v>
      </c>
      <c r="I3991">
        <v>1641</v>
      </c>
      <c r="J3991">
        <v>1625</v>
      </c>
      <c r="L3991" s="535">
        <v>27</v>
      </c>
    </row>
    <row r="3992" spans="1:13">
      <c r="A3992" s="1131"/>
      <c r="B3992" s="487" t="s">
        <v>5806</v>
      </c>
      <c r="C3992" s="487"/>
      <c r="D3992" s="455">
        <v>919</v>
      </c>
      <c r="E3992" s="455">
        <v>919</v>
      </c>
      <c r="F3992" s="455">
        <f>D3992-E3992</f>
        <v>0</v>
      </c>
      <c r="G3992" s="462"/>
      <c r="H3992" s="462"/>
      <c r="I3992" s="455">
        <v>0</v>
      </c>
      <c r="J3992" s="455"/>
    </row>
    <row r="3993" spans="1:13">
      <c r="D3993">
        <f>SUM(D3980:D3992)</f>
        <v>7611</v>
      </c>
      <c r="E3993">
        <f>SUM(E3980:E3992)</f>
        <v>6488</v>
      </c>
      <c r="F3993">
        <f>D3993-E3993</f>
        <v>1123</v>
      </c>
      <c r="G3993" s="454">
        <f>SUM(G3980:G3991)</f>
        <v>4624.6594000000005</v>
      </c>
      <c r="H3993" s="454">
        <f>SUM(H3980:H3991)</f>
        <v>944.34059999999999</v>
      </c>
      <c r="I3993" s="454">
        <f>SUM(I3980:I3992)</f>
        <v>6049</v>
      </c>
      <c r="L3993">
        <f>SUM(L3980:L3992)</f>
        <v>1377</v>
      </c>
      <c r="M3993" s="454">
        <f>SUM(M3980:M3992)</f>
        <v>343.63819999999998</v>
      </c>
    </row>
    <row r="3994" spans="1:13">
      <c r="B3994" s="608" t="s">
        <v>5807</v>
      </c>
      <c r="C3994" s="608"/>
      <c r="E3994">
        <f>E3992</f>
        <v>919</v>
      </c>
      <c r="H3994" s="454"/>
      <c r="I3994" s="454">
        <v>854</v>
      </c>
      <c r="J3994" s="454"/>
    </row>
    <row r="3995" spans="1:13">
      <c r="B3995" s="478" t="s">
        <v>5808</v>
      </c>
      <c r="C3995" s="478"/>
      <c r="E3995" s="454">
        <f>E3993-E3994</f>
        <v>5569</v>
      </c>
      <c r="H3995" s="454"/>
      <c r="I3995" s="454">
        <f>I3993-I3994</f>
        <v>5195</v>
      </c>
      <c r="J3995" s="454">
        <f>SUM(J3980:J3991)</f>
        <v>5115</v>
      </c>
    </row>
    <row r="3997" spans="1:13">
      <c r="B3997" s="478" t="s">
        <v>5810</v>
      </c>
      <c r="C3997" s="478"/>
    </row>
    <row r="3998" spans="1:13">
      <c r="B3998" s="478" t="s">
        <v>1665</v>
      </c>
      <c r="C3998" s="478"/>
      <c r="D3998" s="454">
        <f>0.5*Colombia!Q310</f>
        <v>459</v>
      </c>
    </row>
    <row r="3999" spans="1:13">
      <c r="B3999" s="478" t="s">
        <v>2379</v>
      </c>
      <c r="C3999" s="478"/>
      <c r="D3999" s="454">
        <f>(1-0.55)*CA!U190</f>
        <v>204.29999999999998</v>
      </c>
    </row>
    <row r="4000" spans="1:13">
      <c r="B4000" s="478" t="s">
        <v>2380</v>
      </c>
      <c r="C4000" s="478"/>
      <c r="D4000" s="454">
        <f>(1-0.66)*CA!U275</f>
        <v>115.25999999999999</v>
      </c>
    </row>
    <row r="4001" spans="2:7">
      <c r="B4001" s="487" t="s">
        <v>5614</v>
      </c>
      <c r="C4001" s="487"/>
      <c r="D4001" s="462">
        <f>(1-0.8)*Onda!F38</f>
        <v>178.19999999999996</v>
      </c>
    </row>
    <row r="4002" spans="2:7">
      <c r="B4002" s="478" t="s">
        <v>2324</v>
      </c>
      <c r="C4002" s="478"/>
      <c r="D4002" s="454">
        <f>SUM(D3998:D4001)</f>
        <v>956.75999999999988</v>
      </c>
    </row>
    <row r="4004" spans="2:7">
      <c r="D4004" s="478" t="s">
        <v>5820</v>
      </c>
      <c r="G4004" s="478" t="s">
        <v>5821</v>
      </c>
    </row>
    <row r="4005" spans="2:7">
      <c r="B4005" s="478" t="s">
        <v>5819</v>
      </c>
      <c r="C4005" s="478"/>
      <c r="D4005">
        <f>0.7/5</f>
        <v>0.13999999999999999</v>
      </c>
      <c r="E4005">
        <v>474</v>
      </c>
      <c r="F4005">
        <f>Valuation!B3</f>
        <v>11.01</v>
      </c>
      <c r="G4005" s="454">
        <f>D4005*E4005/F4005</f>
        <v>6.0272479564032695</v>
      </c>
    </row>
    <row r="4006" spans="2:7">
      <c r="B4006" s="487" t="s">
        <v>5520</v>
      </c>
      <c r="C4006" s="487"/>
      <c r="D4006">
        <f>0.144/5</f>
        <v>2.8799999999999999E-2</v>
      </c>
      <c r="E4006" s="455">
        <v>50</v>
      </c>
      <c r="F4006" s="455">
        <v>1</v>
      </c>
      <c r="G4006" s="462">
        <f>D4006*E4006/F4006</f>
        <v>1.44</v>
      </c>
    </row>
    <row r="4007" spans="2:7">
      <c r="B4007" s="478" t="s">
        <v>5822</v>
      </c>
      <c r="C4007" s="478"/>
      <c r="G4007" s="454">
        <f>G4005+G4006</f>
        <v>7.4672479564032699</v>
      </c>
    </row>
    <row r="4009" spans="2:7">
      <c r="B4009" s="478" t="s">
        <v>175</v>
      </c>
      <c r="C4009" s="478"/>
      <c r="G4009" s="464">
        <f>Valuation!I10</f>
        <v>2955.0419999999995</v>
      </c>
    </row>
    <row r="4010" spans="2:7">
      <c r="B4010" s="478" t="s">
        <v>5823</v>
      </c>
      <c r="C4010" s="478"/>
      <c r="G4010" s="456">
        <v>0.372</v>
      </c>
    </row>
    <row r="4011" spans="2:7">
      <c r="B4011" s="478" t="s">
        <v>5824</v>
      </c>
      <c r="C4011" s="478"/>
      <c r="G4011" s="464">
        <f>G4009*G4010</f>
        <v>1099.2756239999999</v>
      </c>
    </row>
    <row r="4012" spans="2:7">
      <c r="B4012" s="478" t="s">
        <v>5825</v>
      </c>
      <c r="C4012" s="478"/>
      <c r="G4012" s="464">
        <f>G4011/G4007</f>
        <v>147.21295320819709</v>
      </c>
    </row>
    <row r="4014" spans="2:7">
      <c r="B4014" s="478" t="s">
        <v>5826</v>
      </c>
      <c r="C4014" s="478"/>
    </row>
    <row r="4016" spans="2:7">
      <c r="B4016" s="451" t="s">
        <v>5835</v>
      </c>
      <c r="C4016" s="451"/>
      <c r="D4016" s="560" t="s">
        <v>1647</v>
      </c>
      <c r="E4016" s="560" t="s">
        <v>1646</v>
      </c>
      <c r="F4016" s="560" t="s">
        <v>821</v>
      </c>
      <c r="G4016" s="560" t="s">
        <v>1644</v>
      </c>
    </row>
    <row r="4017" spans="1:7">
      <c r="A4017" s="449"/>
    </row>
    <row r="4018" spans="1:7">
      <c r="B4018" s="499" t="s">
        <v>2554</v>
      </c>
      <c r="C4018" s="499"/>
    </row>
    <row r="4019" spans="1:7">
      <c r="B4019" s="478" t="s">
        <v>5836</v>
      </c>
      <c r="C4019" s="478"/>
      <c r="D4019" s="506" t="s">
        <v>2014</v>
      </c>
      <c r="E4019" s="506" t="s">
        <v>5890</v>
      </c>
      <c r="F4019" s="760">
        <f>'New (new) quarts'!AJ375</f>
        <v>2.2499999999999999E-2</v>
      </c>
      <c r="G4019">
        <v>3.3000000000000002E-2</v>
      </c>
    </row>
    <row r="4020" spans="1:7">
      <c r="B4020" s="478"/>
      <c r="C4020" s="478"/>
      <c r="D4020" s="506"/>
      <c r="E4020" s="506" t="s">
        <v>5891</v>
      </c>
      <c r="F4020" s="760"/>
    </row>
    <row r="4021" spans="1:7">
      <c r="D4021" s="493"/>
      <c r="E4021" s="493"/>
      <c r="F4021" s="493"/>
      <c r="G4021" s="493"/>
    </row>
    <row r="4022" spans="1:7">
      <c r="B4022" s="478" t="s">
        <v>5837</v>
      </c>
      <c r="C4022" s="478"/>
      <c r="D4022" s="506" t="s">
        <v>5512</v>
      </c>
      <c r="E4022" s="506" t="s">
        <v>5838</v>
      </c>
      <c r="F4022" s="760">
        <v>2.3E-2</v>
      </c>
      <c r="G4022" s="760">
        <v>2.7E-2</v>
      </c>
    </row>
    <row r="4024" spans="1:7">
      <c r="B4024" s="478" t="s">
        <v>5840</v>
      </c>
      <c r="C4024" s="478"/>
      <c r="D4024" s="506" t="s">
        <v>5890</v>
      </c>
      <c r="E4024" s="506" t="s">
        <v>5839</v>
      </c>
      <c r="F4024" s="531">
        <f ca="1">'New split'!I439/1000</f>
        <v>1.0129999999999999</v>
      </c>
      <c r="G4024" s="531">
        <v>1.0569999999999999</v>
      </c>
    </row>
    <row r="4025" spans="1:7">
      <c r="B4025" s="478"/>
      <c r="C4025" s="478"/>
      <c r="D4025" s="493" t="s">
        <v>5892</v>
      </c>
      <c r="E4025" s="506"/>
      <c r="F4025" s="531"/>
      <c r="G4025" s="531"/>
    </row>
    <row r="4027" spans="1:7">
      <c r="B4027" s="478" t="s">
        <v>5841</v>
      </c>
      <c r="C4027" s="478"/>
      <c r="D4027" s="506" t="s">
        <v>5842</v>
      </c>
      <c r="E4027" s="506" t="s">
        <v>5842</v>
      </c>
    </row>
    <row r="4028" spans="1:7">
      <c r="B4028" s="455"/>
      <c r="C4028" s="455"/>
      <c r="D4028" s="495" t="s">
        <v>5843</v>
      </c>
      <c r="E4028" s="495" t="s">
        <v>5843</v>
      </c>
      <c r="F4028" s="455"/>
      <c r="G4028" s="455"/>
    </row>
    <row r="4030" spans="1:7">
      <c r="B4030" s="499" t="s">
        <v>5876</v>
      </c>
      <c r="C4030" s="499"/>
    </row>
    <row r="4031" spans="1:7">
      <c r="B4031" s="499"/>
      <c r="C4031" s="499"/>
    </row>
    <row r="4032" spans="1:7">
      <c r="B4032" s="451" t="s">
        <v>5877</v>
      </c>
      <c r="C4032" s="451"/>
      <c r="D4032" s="451">
        <v>2019</v>
      </c>
      <c r="E4032" s="451">
        <f>D4032+1</f>
        <v>2020</v>
      </c>
      <c r="F4032" s="451">
        <f>E4032+1</f>
        <v>2021</v>
      </c>
      <c r="G4032" s="451">
        <f>F4032+1</f>
        <v>2022</v>
      </c>
    </row>
    <row r="4033" spans="2:7">
      <c r="B4033" s="478" t="s">
        <v>758</v>
      </c>
      <c r="C4033" s="478"/>
      <c r="D4033" s="464">
        <f>Master!V5</f>
        <v>6371</v>
      </c>
      <c r="E4033" s="464">
        <f>Master!W5</f>
        <v>6232</v>
      </c>
      <c r="F4033" s="464">
        <f>Master!X5</f>
        <v>6572</v>
      </c>
      <c r="G4033" s="464">
        <f>Master!Y5</f>
        <v>5624.5300000000007</v>
      </c>
    </row>
    <row r="4034" spans="2:7">
      <c r="B4034" s="478" t="s">
        <v>360</v>
      </c>
      <c r="C4034" s="478"/>
      <c r="D4034" s="464">
        <f>Master!V12</f>
        <v>2550</v>
      </c>
      <c r="E4034" s="464">
        <f>Master!W12</f>
        <v>2485</v>
      </c>
      <c r="F4034" s="464">
        <f>Master!X12</f>
        <v>2613</v>
      </c>
      <c r="G4034" s="464">
        <f>Master!Y12</f>
        <v>2228.1349999999998</v>
      </c>
    </row>
    <row r="4035" spans="2:7">
      <c r="B4035" s="478" t="s">
        <v>1434</v>
      </c>
      <c r="C4035" s="478"/>
      <c r="D4035" s="456">
        <f>D4034/D4033</f>
        <v>0.4002511379689217</v>
      </c>
      <c r="E4035" s="456">
        <f>E4034/E4033</f>
        <v>0.39874839537869061</v>
      </c>
      <c r="F4035" s="456">
        <f>F4034/F4033</f>
        <v>0.39759586122945828</v>
      </c>
      <c r="G4035" s="456">
        <f>G4034/G4033</f>
        <v>0.39614598908708809</v>
      </c>
    </row>
    <row r="4036" spans="2:7">
      <c r="B4036" s="478"/>
      <c r="C4036" s="478"/>
      <c r="D4036" s="456"/>
      <c r="E4036" s="456"/>
      <c r="F4036" s="456"/>
      <c r="G4036" s="456"/>
    </row>
    <row r="4037" spans="2:7">
      <c r="B4037" s="478" t="s">
        <v>1545</v>
      </c>
      <c r="C4037" s="478"/>
      <c r="D4037" s="464">
        <f ca="1">'New split'!I437</f>
        <v>1056</v>
      </c>
      <c r="E4037" s="464">
        <f ca="1">'New split'!J437</f>
        <v>990</v>
      </c>
      <c r="F4037" s="464">
        <f ca="1">'New split'!K437</f>
        <v>1111</v>
      </c>
      <c r="G4037" s="464">
        <f>'New split'!L437</f>
        <v>973</v>
      </c>
    </row>
    <row r="4038" spans="2:7">
      <c r="B4038" s="478" t="s">
        <v>1431</v>
      </c>
      <c r="C4038" s="478"/>
      <c r="D4038" s="456">
        <f ca="1">D4037/D4033</f>
        <v>0.1657510594883064</v>
      </c>
      <c r="E4038" s="456">
        <f ca="1">E4037/E4033</f>
        <v>0.15885750962772785</v>
      </c>
      <c r="F4038" s="456">
        <f ca="1">F4037/F4033</f>
        <v>0.16905051734631771</v>
      </c>
      <c r="G4038" s="456">
        <f>G4037/G4033</f>
        <v>0.17299223223984936</v>
      </c>
    </row>
    <row r="4039" spans="2:7">
      <c r="B4039" s="478" t="s">
        <v>1552</v>
      </c>
      <c r="C4039" s="478"/>
      <c r="D4039" s="464">
        <f ca="1">D4034-D4037</f>
        <v>1494</v>
      </c>
      <c r="E4039" s="464">
        <f ca="1">E4034-E4037</f>
        <v>1495</v>
      </c>
      <c r="F4039" s="464">
        <f ca="1">F4034-F4037</f>
        <v>1502</v>
      </c>
      <c r="G4039" s="464">
        <f>G4034-G4037</f>
        <v>1255.1349999999998</v>
      </c>
    </row>
    <row r="4041" spans="2:7">
      <c r="B4041" t="s">
        <v>5878</v>
      </c>
      <c r="D4041" s="464">
        <f>SOP!I30</f>
        <v>11508.827705723827</v>
      </c>
      <c r="E4041" s="456">
        <f>D4041/D4053-1</f>
        <v>-0.11375113924812674</v>
      </c>
    </row>
    <row r="4042" spans="2:7">
      <c r="B4042" t="s">
        <v>150</v>
      </c>
      <c r="D4042" s="464">
        <f ca="1">SOP!I32</f>
        <v>5411.8432365614617</v>
      </c>
      <c r="E4042" s="456">
        <f ca="1">D4042/D4054-1</f>
        <v>-0.28338940193836581</v>
      </c>
    </row>
    <row r="4043" spans="2:7">
      <c r="B4043" t="s">
        <v>109</v>
      </c>
      <c r="D4043" s="464">
        <f ca="1">D4041-D4042</f>
        <v>6096.9844691623648</v>
      </c>
      <c r="E4043" s="456">
        <f ca="1">D4043/D4055-1</f>
        <v>0.12200671129230112</v>
      </c>
    </row>
    <row r="4045" spans="2:7">
      <c r="B4045" s="451" t="s">
        <v>885</v>
      </c>
      <c r="C4045" s="451"/>
      <c r="D4045" s="451">
        <v>2019</v>
      </c>
      <c r="E4045" s="451">
        <f>D4045+1</f>
        <v>2020</v>
      </c>
      <c r="F4045" s="451">
        <f>E4045+1</f>
        <v>2021</v>
      </c>
      <c r="G4045" s="451">
        <f>F4045+1</f>
        <v>2022</v>
      </c>
    </row>
    <row r="4046" spans="2:7">
      <c r="B4046" s="478" t="s">
        <v>758</v>
      </c>
      <c r="C4046" s="478"/>
      <c r="D4046" s="464">
        <v>6328.9850904833092</v>
      </c>
      <c r="E4046" s="464">
        <v>6934.3253318521611</v>
      </c>
      <c r="F4046" s="464">
        <v>7098.187382894268</v>
      </c>
      <c r="G4046" s="464">
        <v>7255.5116023244227</v>
      </c>
    </row>
    <row r="4047" spans="2:7">
      <c r="B4047" s="478" t="s">
        <v>360</v>
      </c>
      <c r="C4047" s="478"/>
      <c r="D4047" s="464">
        <v>2512.3430754241444</v>
      </c>
      <c r="E4047" s="464">
        <v>2801.0560387619898</v>
      </c>
      <c r="F4047" s="464">
        <v>2912.3723675321608</v>
      </c>
      <c r="G4047" s="464">
        <v>3010.667007926103</v>
      </c>
    </row>
    <row r="4048" spans="2:7">
      <c r="B4048" s="478" t="s">
        <v>1434</v>
      </c>
      <c r="C4048" s="478"/>
      <c r="D4048" s="456">
        <f>D4047/D4046</f>
        <v>0.39695828628224666</v>
      </c>
      <c r="E4048" s="456">
        <f>E4047/E4046</f>
        <v>0.40394067262688216</v>
      </c>
      <c r="F4048" s="456">
        <f>F4047/F4046</f>
        <v>0.41029803954606903</v>
      </c>
      <c r="G4048" s="456">
        <f>G4047/G4046</f>
        <v>0.41494896196728376</v>
      </c>
    </row>
    <row r="4049" spans="2:11">
      <c r="B4049" s="478"/>
      <c r="C4049" s="478"/>
      <c r="D4049" s="456"/>
      <c r="E4049" s="456"/>
      <c r="F4049" s="456"/>
      <c r="G4049" s="456"/>
    </row>
    <row r="4050" spans="2:11">
      <c r="B4050" s="478" t="s">
        <v>1545</v>
      </c>
      <c r="C4050" s="478"/>
      <c r="D4050" s="464">
        <v>1054.4692402970043</v>
      </c>
      <c r="E4050" s="464">
        <v>1140.2018512940388</v>
      </c>
      <c r="F4050" s="464">
        <v>1159.4072385992063</v>
      </c>
      <c r="G4050" s="464">
        <v>1147.2886332632529</v>
      </c>
    </row>
    <row r="4051" spans="2:11">
      <c r="B4051" s="478" t="s">
        <v>1552</v>
      </c>
      <c r="C4051" s="478"/>
      <c r="D4051" s="464">
        <f>D4047-D4050</f>
        <v>1457.8738351271402</v>
      </c>
      <c r="E4051" s="464">
        <f>E4047-E4050</f>
        <v>1660.8541874679511</v>
      </c>
      <c r="F4051" s="464">
        <f>F4047-F4050</f>
        <v>1752.9651289329545</v>
      </c>
      <c r="G4051" s="464">
        <f>G4047-G4050</f>
        <v>1863.3783746628501</v>
      </c>
    </row>
    <row r="4053" spans="2:11">
      <c r="B4053" t="s">
        <v>5878</v>
      </c>
      <c r="D4053" s="464">
        <v>12986</v>
      </c>
    </row>
    <row r="4054" spans="2:11">
      <c r="B4054" t="s">
        <v>150</v>
      </c>
      <c r="D4054" s="464">
        <v>7552</v>
      </c>
    </row>
    <row r="4055" spans="2:11">
      <c r="B4055" t="s">
        <v>109</v>
      </c>
      <c r="D4055" s="464">
        <f>D4053-D4054</f>
        <v>5434</v>
      </c>
    </row>
    <row r="4057" spans="2:11">
      <c r="B4057" s="627" t="s">
        <v>5889</v>
      </c>
      <c r="C4057" s="627"/>
    </row>
    <row r="4058" spans="2:11">
      <c r="B4058" s="478" t="s">
        <v>758</v>
      </c>
      <c r="C4058" s="478"/>
      <c r="D4058" s="456">
        <f t="shared" ref="D4058:G4059" si="400">D4033/D4046-1</f>
        <v>6.6384908347891791E-3</v>
      </c>
      <c r="E4058" s="456">
        <f t="shared" si="400"/>
        <v>-0.10128243170623918</v>
      </c>
      <c r="F4058" s="456">
        <f t="shared" si="400"/>
        <v>-7.4129824208686412E-2</v>
      </c>
      <c r="G4058" s="456">
        <f t="shared" si="400"/>
        <v>-0.22479208796274408</v>
      </c>
    </row>
    <row r="4059" spans="2:11">
      <c r="B4059" s="478" t="s">
        <v>360</v>
      </c>
      <c r="C4059" s="478"/>
      <c r="D4059" s="456">
        <f t="shared" si="400"/>
        <v>1.4988766838501144E-2</v>
      </c>
      <c r="E4059" s="456">
        <f t="shared" si="400"/>
        <v>-0.11283460037510717</v>
      </c>
      <c r="F4059" s="456">
        <f t="shared" si="400"/>
        <v>-0.10279330035871692</v>
      </c>
      <c r="G4059" s="456">
        <f t="shared" si="400"/>
        <v>-0.25991981373760431</v>
      </c>
    </row>
    <row r="4060" spans="2:11">
      <c r="B4060" s="478" t="s">
        <v>1545</v>
      </c>
      <c r="C4060" s="478"/>
      <c r="D4060" s="456">
        <f ca="1">D4037/D4050-1</f>
        <v>1.4516873935219721E-3</v>
      </c>
      <c r="E4060" s="456">
        <f ca="1">E4037/E4050-1</f>
        <v>-0.13173268498342772</v>
      </c>
      <c r="F4060" s="456">
        <f ca="1">F4037/F4050-1</f>
        <v>-4.1751713278668001E-2</v>
      </c>
      <c r="G4060" s="456">
        <f>G4037/G4050-1</f>
        <v>-0.15191350128478198</v>
      </c>
    </row>
    <row r="4061" spans="2:11">
      <c r="B4061" s="487" t="s">
        <v>1552</v>
      </c>
      <c r="C4061" s="487"/>
      <c r="D4061" s="561">
        <f ca="1">D4039/D4051-1</f>
        <v>2.4780035145983259E-2</v>
      </c>
      <c r="E4061" s="561">
        <f ca="1">E4039/E4051-1</f>
        <v>-9.9860775689648906E-2</v>
      </c>
      <c r="F4061" s="561">
        <f ca="1">F4039/F4051-1</f>
        <v>-0.14316607032891704</v>
      </c>
      <c r="G4061" s="561">
        <f>G4039/G4051-1</f>
        <v>-0.32641968101239915</v>
      </c>
    </row>
    <row r="4063" spans="2:11">
      <c r="B4063" s="451" t="s">
        <v>5893</v>
      </c>
      <c r="C4063" s="451"/>
      <c r="D4063" s="560" t="str">
        <f>'New (new) quarts'!AB349</f>
        <v>Q1 19</v>
      </c>
      <c r="E4063" s="560" t="str">
        <f>'New (new) quarts'!AD349</f>
        <v>Q2 19</v>
      </c>
      <c r="F4063" s="560" t="str">
        <f>'New (new) quarts'!AF349</f>
        <v>Q3 19</v>
      </c>
      <c r="G4063" s="560" t="e">
        <f>'New (new) quarts'!#REF!</f>
        <v>#REF!</v>
      </c>
      <c r="H4063" s="560" t="e">
        <f>'New (new) quarts'!#REF!</f>
        <v>#REF!</v>
      </c>
      <c r="I4063" s="560" t="e">
        <f>'New (new) quarts'!#REF!</f>
        <v>#REF!</v>
      </c>
      <c r="J4063" s="560" t="e">
        <f>'New (new) quarts'!#REF!</f>
        <v>#REF!</v>
      </c>
      <c r="K4063" s="560" t="e">
        <f>'New (new) quarts'!#REF!</f>
        <v>#REF!</v>
      </c>
    </row>
    <row r="4064" spans="2:11">
      <c r="B4064" t="str">
        <f>'New (new) quarts'!B350</f>
        <v>El Salvador</v>
      </c>
      <c r="D4064" s="456">
        <f>'New (new) quarts'!AB350</f>
        <v>-7.5999999999999998E-2</v>
      </c>
      <c r="E4064" s="456">
        <f>'New (new) quarts'!AD350</f>
        <v>-7.5999999999999998E-2</v>
      </c>
      <c r="F4064" s="456">
        <f>'New (new) quarts'!AF350</f>
        <v>-4.9000000000000002E-2</v>
      </c>
      <c r="G4064" s="456" t="e">
        <f>'New (new) quarts'!#REF!</f>
        <v>#REF!</v>
      </c>
      <c r="H4064" s="456" t="e">
        <f>'New (new) quarts'!#REF!</f>
        <v>#REF!</v>
      </c>
      <c r="I4064" s="456" t="e">
        <f>'New (new) quarts'!#REF!</f>
        <v>#REF!</v>
      </c>
      <c r="J4064" s="456" t="e">
        <f>'New (new) quarts'!#REF!</f>
        <v>#REF!</v>
      </c>
      <c r="K4064" s="456" t="e">
        <f>'New (new) quarts'!#REF!</f>
        <v>#REF!</v>
      </c>
    </row>
    <row r="4065" spans="2:11">
      <c r="B4065" t="str">
        <f>'New (new) quarts'!B351</f>
        <v>Guatemala</v>
      </c>
      <c r="D4065" s="456">
        <f>'New (new) quarts'!AB351</f>
        <v>7.0000000000000007E-2</v>
      </c>
      <c r="E4065" s="456">
        <f>'New (new) quarts'!AD351</f>
        <v>7.5999999999999998E-2</v>
      </c>
      <c r="F4065" s="456">
        <f>'New (new) quarts'!AF351</f>
        <v>3.2000000000000001E-2</v>
      </c>
      <c r="G4065" s="456" t="e">
        <f>'New (new) quarts'!#REF!</f>
        <v>#REF!</v>
      </c>
      <c r="H4065" s="456" t="e">
        <f>'New (new) quarts'!#REF!</f>
        <v>#REF!</v>
      </c>
      <c r="I4065" s="456" t="e">
        <f>'New (new) quarts'!#REF!</f>
        <v>#REF!</v>
      </c>
      <c r="J4065" s="456" t="e">
        <f>'New (new) quarts'!#REF!</f>
        <v>#REF!</v>
      </c>
      <c r="K4065" s="456" t="e">
        <f>'New (new) quarts'!#REF!</f>
        <v>#REF!</v>
      </c>
    </row>
    <row r="4066" spans="2:11">
      <c r="B4066" t="str">
        <f>'New (new) quarts'!B352</f>
        <v>Honduras (JV)</v>
      </c>
      <c r="D4066" s="456">
        <f>'New (new) quarts'!AB352</f>
        <v>3.1E-2</v>
      </c>
      <c r="E4066" s="456">
        <f>'New (new) quarts'!AD352</f>
        <v>2.4E-2</v>
      </c>
      <c r="F4066" s="456">
        <f>'New (new) quarts'!AF352</f>
        <v>0.02</v>
      </c>
      <c r="G4066" s="456" t="e">
        <f>'New (new) quarts'!#REF!</f>
        <v>#REF!</v>
      </c>
      <c r="H4066" s="456" t="e">
        <f>'New (new) quarts'!#REF!</f>
        <v>#REF!</v>
      </c>
      <c r="I4066" s="456" t="e">
        <f>'New (new) quarts'!#REF!</f>
        <v>#REF!</v>
      </c>
      <c r="J4066" s="456" t="e">
        <f>'New (new) quarts'!#REF!</f>
        <v>#REF!</v>
      </c>
      <c r="K4066" s="456" t="e">
        <f>'New (new) quarts'!#REF!</f>
        <v>#REF!</v>
      </c>
    </row>
    <row r="4067" spans="2:11">
      <c r="B4067" s="478" t="s">
        <v>5894</v>
      </c>
      <c r="C4067" s="478"/>
      <c r="D4067" s="456">
        <f>'New (new) quarts'!AB353</f>
        <v>4.2999999999999997E-2</v>
      </c>
      <c r="E4067" s="456">
        <f>'New (new) quarts'!AD353</f>
        <v>-7.0000000000000001E-3</v>
      </c>
      <c r="F4067" s="456">
        <f>'New (new) quarts'!AF353</f>
        <v>-2.9000000000000001E-2</v>
      </c>
      <c r="G4067" s="456" t="e">
        <f>'New (new) quarts'!#REF!</f>
        <v>#REF!</v>
      </c>
      <c r="H4067" s="456" t="e">
        <f>'New (new) quarts'!#REF!</f>
        <v>#REF!</v>
      </c>
      <c r="I4067" s="456" t="e">
        <f>'New (new) quarts'!#REF!</f>
        <v>#REF!</v>
      </c>
      <c r="J4067" s="456" t="e">
        <f>'New (new) quarts'!#REF!</f>
        <v>#REF!</v>
      </c>
      <c r="K4067" s="456" t="e">
        <f>'New (new) quarts'!#REF!</f>
        <v>#REF!</v>
      </c>
    </row>
    <row r="4068" spans="2:11">
      <c r="B4068" t="str">
        <f>'New (new) quarts'!B357</f>
        <v>Costa Rica/old Nicaragua</v>
      </c>
      <c r="D4068" s="456">
        <f>'New (new) quarts'!AB357</f>
        <v>0.03</v>
      </c>
      <c r="E4068" s="456">
        <f>'New (new) quarts'!AD357</f>
        <v>0.03</v>
      </c>
      <c r="F4068" s="456">
        <f>'New (new) quarts'!AF357</f>
        <v>0</v>
      </c>
      <c r="G4068" s="456" t="e">
        <f>'New (new) quarts'!#REF!</f>
        <v>#REF!</v>
      </c>
      <c r="H4068" s="456" t="e">
        <f>'New (new) quarts'!#REF!</f>
        <v>#REF!</v>
      </c>
      <c r="I4068" s="456" t="e">
        <f>'New (new) quarts'!#REF!</f>
        <v>#REF!</v>
      </c>
      <c r="J4068" s="456" t="e">
        <f>'New (new) quarts'!#REF!</f>
        <v>#REF!</v>
      </c>
      <c r="K4068" s="456" t="e">
        <f>'New (new) quarts'!#REF!</f>
        <v>#REF!</v>
      </c>
    </row>
    <row r="4069" spans="2:11">
      <c r="B4069" t="str">
        <f>'New (new) quarts'!B358</f>
        <v>Panama wireless</v>
      </c>
      <c r="D4069" s="456"/>
      <c r="E4069" s="456"/>
      <c r="F4069" s="456"/>
      <c r="G4069" s="456"/>
      <c r="H4069" s="456" t="e">
        <f>'New (new) quarts'!#REF!</f>
        <v>#REF!</v>
      </c>
      <c r="I4069" s="456" t="e">
        <f>'New (new) quarts'!#REF!</f>
        <v>#REF!</v>
      </c>
      <c r="J4069" s="456" t="e">
        <f>'New (new) quarts'!#REF!</f>
        <v>#REF!</v>
      </c>
      <c r="K4069" s="456" t="e">
        <f>'New (new) quarts'!#REF!</f>
        <v>#REF!</v>
      </c>
    </row>
    <row r="4070" spans="2:11">
      <c r="B4070" t="str">
        <f>'New (new) quarts'!B359</f>
        <v>Costa Rica wireless</v>
      </c>
      <c r="D4070" s="456"/>
      <c r="E4070" s="456"/>
      <c r="F4070" s="456"/>
      <c r="G4070" s="456"/>
      <c r="H4070" s="456" t="e">
        <f>'New (new) quarts'!#REF!</f>
        <v>#REF!</v>
      </c>
      <c r="I4070" s="456" t="e">
        <f>'New (new) quarts'!#REF!</f>
        <v>#REF!</v>
      </c>
      <c r="J4070" s="456" t="e">
        <f>'New (new) quarts'!#REF!</f>
        <v>#REF!</v>
      </c>
      <c r="K4070" s="456" t="e">
        <f>'New (new) quarts'!#REF!</f>
        <v>#REF!</v>
      </c>
    </row>
    <row r="4071" spans="2:11">
      <c r="B4071" t="str">
        <f>'New (new) quarts'!B360</f>
        <v>Nicaragua wireless</v>
      </c>
      <c r="D4071" s="456"/>
      <c r="E4071" s="456"/>
      <c r="F4071" s="456"/>
      <c r="G4071" s="456"/>
      <c r="H4071" s="456" t="e">
        <f>'New (new) quarts'!#REF!</f>
        <v>#REF!</v>
      </c>
      <c r="I4071" s="456" t="e">
        <f>'New (new) quarts'!#REF!</f>
        <v>#REF!</v>
      </c>
      <c r="J4071" s="456" t="e">
        <f>'New (new) quarts'!#REF!</f>
        <v>#REF!</v>
      </c>
      <c r="K4071" s="456" t="e">
        <f>'New (new) quarts'!#REF!</f>
        <v>#REF!</v>
      </c>
    </row>
    <row r="4072" spans="2:11">
      <c r="B4072" t="str">
        <f>'New (new) quarts'!B361</f>
        <v>Bolivia</v>
      </c>
      <c r="D4072" s="456">
        <f>'New (new) quarts'!AB361</f>
        <v>0.121</v>
      </c>
      <c r="E4072" s="456">
        <f>'New (new) quarts'!AD361</f>
        <v>5.0999999999999997E-2</v>
      </c>
      <c r="F4072" s="456">
        <f>'New (new) quarts'!AF361</f>
        <v>1.9E-2</v>
      </c>
      <c r="G4072" s="456" t="e">
        <f>'New (new) quarts'!#REF!</f>
        <v>#REF!</v>
      </c>
      <c r="H4072" s="456" t="e">
        <f>'New (new) quarts'!#REF!</f>
        <v>#REF!</v>
      </c>
      <c r="I4072" s="456" t="e">
        <f>'New (new) quarts'!#REF!</f>
        <v>#REF!</v>
      </c>
      <c r="J4072" s="456" t="e">
        <f>'New (new) quarts'!#REF!</f>
        <v>#REF!</v>
      </c>
      <c r="K4072" s="456" t="e">
        <f>'New (new) quarts'!#REF!</f>
        <v>#REF!</v>
      </c>
    </row>
    <row r="4073" spans="2:11">
      <c r="B4073" t="str">
        <f>'New (new) quarts'!B362</f>
        <v>Colombia</v>
      </c>
      <c r="D4073" s="456">
        <f>'New (new) quarts'!AB362</f>
        <v>2.8000000000000001E-2</v>
      </c>
      <c r="E4073" s="456">
        <f>'New (new) quarts'!AD362</f>
        <v>6.0000000000000001E-3</v>
      </c>
      <c r="F4073" s="456">
        <f>'New (new) quarts'!AF362</f>
        <v>1.7000000000000001E-2</v>
      </c>
      <c r="G4073" s="456" t="e">
        <f>'New (new) quarts'!#REF!</f>
        <v>#REF!</v>
      </c>
      <c r="H4073" s="456" t="e">
        <f>'New (new) quarts'!#REF!</f>
        <v>#REF!</v>
      </c>
      <c r="I4073" s="456" t="e">
        <f>'New (new) quarts'!#REF!</f>
        <v>#REF!</v>
      </c>
      <c r="J4073" s="456" t="e">
        <f>'New (new) quarts'!#REF!</f>
        <v>#REF!</v>
      </c>
      <c r="K4073" s="456" t="e">
        <f>'New (new) quarts'!#REF!</f>
        <v>#REF!</v>
      </c>
    </row>
    <row r="4074" spans="2:11" ht="15.75" thickBot="1">
      <c r="B4074" t="str">
        <f>'New (new) quarts'!B363</f>
        <v>Paraguay</v>
      </c>
      <c r="D4074" s="456">
        <f>'New (new) quarts'!AB363</f>
        <v>-6.0000000000000001E-3</v>
      </c>
      <c r="E4074" s="456">
        <f>'New (new) quarts'!AD363</f>
        <v>-8.9999999999999993E-3</v>
      </c>
      <c r="F4074" s="456">
        <f>'New (new) quarts'!AF363</f>
        <v>-5.0999999999999997E-2</v>
      </c>
      <c r="G4074" s="456" t="e">
        <f>'New (new) quarts'!#REF!</f>
        <v>#REF!</v>
      </c>
      <c r="H4074" s="456" t="e">
        <f>'New (new) quarts'!#REF!</f>
        <v>#REF!</v>
      </c>
      <c r="I4074" s="456" t="e">
        <f>'New (new) quarts'!#REF!</f>
        <v>#REF!</v>
      </c>
      <c r="J4074" s="456" t="e">
        <f>'New (new) quarts'!#REF!</f>
        <v>#REF!</v>
      </c>
      <c r="K4074" s="456" t="e">
        <f>'New (new) quarts'!#REF!</f>
        <v>#REF!</v>
      </c>
    </row>
    <row r="4075" spans="2:11" ht="15.75" thickBot="1">
      <c r="B4075" t="s">
        <v>2554</v>
      </c>
      <c r="C4075" s="1104"/>
      <c r="D4075">
        <f>'New (new) quarts'!AB375</f>
        <v>3.6999999999999998E-2</v>
      </c>
      <c r="E4075">
        <f>'New (new) quarts'!AD375</f>
        <v>0.02</v>
      </c>
      <c r="F4075">
        <f>'New (new) quarts'!AF375</f>
        <v>0.01</v>
      </c>
      <c r="G4075" t="e">
        <f>'New (new) quarts'!#REF!</f>
        <v>#REF!</v>
      </c>
      <c r="H4075" t="e">
        <f>'New (new) quarts'!#REF!</f>
        <v>#REF!</v>
      </c>
      <c r="I4075" t="e">
        <f>'New (new) quarts'!#REF!</f>
        <v>#REF!</v>
      </c>
      <c r="J4075" t="e">
        <f>'New (new) quarts'!#REF!</f>
        <v>#REF!</v>
      </c>
      <c r="K4075" t="e">
        <f>'New (new) quarts'!#REF!</f>
        <v>#REF!</v>
      </c>
    </row>
    <row r="4076" spans="2:11">
      <c r="D4076" s="456"/>
      <c r="E4076" s="456"/>
      <c r="F4076" s="456"/>
      <c r="G4076" s="456"/>
      <c r="H4076" s="456"/>
      <c r="I4076" s="456"/>
      <c r="J4076" s="456"/>
      <c r="K4076" s="456"/>
    </row>
    <row r="4077" spans="2:11">
      <c r="B4077" s="487" t="s">
        <v>5895</v>
      </c>
      <c r="C4077" s="487"/>
      <c r="D4077" s="560">
        <v>2019</v>
      </c>
      <c r="E4077" s="560">
        <f t="shared" ref="E4077:J4077" si="401">D4077+1</f>
        <v>2020</v>
      </c>
      <c r="F4077" s="560">
        <f t="shared" si="401"/>
        <v>2021</v>
      </c>
      <c r="G4077" s="560">
        <f t="shared" si="401"/>
        <v>2022</v>
      </c>
      <c r="H4077" s="560">
        <f t="shared" si="401"/>
        <v>2023</v>
      </c>
      <c r="I4077" s="560">
        <f t="shared" si="401"/>
        <v>2024</v>
      </c>
      <c r="J4077" s="560">
        <f t="shared" si="401"/>
        <v>2025</v>
      </c>
      <c r="K4077" s="456"/>
    </row>
    <row r="4078" spans="2:11">
      <c r="B4078" s="478" t="s">
        <v>3054</v>
      </c>
      <c r="C4078" s="478"/>
      <c r="D4078" s="1102">
        <f>Valuation!I96</f>
        <v>3.1992884155998818</v>
      </c>
      <c r="E4078" s="1102">
        <f>Valuation!J96</f>
        <v>2.9133473518498514</v>
      </c>
      <c r="F4078" s="1102">
        <f>Valuation!K96</f>
        <v>3.3618341823268256</v>
      </c>
      <c r="G4078" s="1102">
        <f ca="1">Valuation!L96</f>
        <v>2.978618591233877</v>
      </c>
      <c r="H4078" s="1102">
        <f ca="1">Valuation!M96</f>
        <v>3.1710925961532976</v>
      </c>
      <c r="I4078" s="1102">
        <f ca="1">Valuation!N96</f>
        <v>2.4327896581564543</v>
      </c>
      <c r="J4078" s="1102">
        <f ca="1">Valuation!O96</f>
        <v>2.2311753910726924</v>
      </c>
    </row>
    <row r="4079" spans="2:11">
      <c r="B4079" s="478" t="s">
        <v>5896</v>
      </c>
      <c r="C4079" s="478"/>
      <c r="E4079" s="1102">
        <f>(Valuation!J94-E4081)/Valuation!J85</f>
        <v>2.7778817260714264</v>
      </c>
      <c r="F4079" s="1102">
        <f>(Valuation!K94-F4081)/Valuation!K85</f>
        <v>3.1271674436953987</v>
      </c>
      <c r="G4079" s="1102">
        <f ca="1">(Valuation!L94-G4081)/Valuation!L85</f>
        <v>2.6090479397383719</v>
      </c>
      <c r="H4079" s="1102">
        <f ca="1">(Valuation!M94-H4081)/Valuation!M85</f>
        <v>2.6600978047909516</v>
      </c>
      <c r="I4079" s="1102">
        <f ca="1">(Valuation!N94-I4081)/Valuation!N85</f>
        <v>1.8844883318304537</v>
      </c>
      <c r="J4079" s="1102">
        <f ca="1">(Valuation!O94-J4081)/Valuation!O85</f>
        <v>1.5443765185218354</v>
      </c>
    </row>
    <row r="4081" spans="2:11">
      <c r="B4081" s="478" t="s">
        <v>5897</v>
      </c>
      <c r="C4081" s="478"/>
      <c r="E4081">
        <v>264</v>
      </c>
      <c r="F4081">
        <f>E4081+264</f>
        <v>528</v>
      </c>
      <c r="G4081">
        <f>F4081+264</f>
        <v>792</v>
      </c>
      <c r="H4081">
        <f>G4081+264</f>
        <v>1056</v>
      </c>
      <c r="I4081">
        <f>H4081+264</f>
        <v>1320</v>
      </c>
      <c r="J4081">
        <f>I4081+264</f>
        <v>1584</v>
      </c>
    </row>
    <row r="4083" spans="2:11">
      <c r="B4083" s="478" t="s">
        <v>5898</v>
      </c>
      <c r="C4083" s="478"/>
      <c r="E4083" s="503">
        <f ca="1">Valuation!J27/Valuation!J7</f>
        <v>4.2638752716686863</v>
      </c>
      <c r="F4083" s="503">
        <f ca="1">Valuation!K27/Valuation!K7</f>
        <v>5.8639109883551255</v>
      </c>
      <c r="G4083" s="503">
        <f>Valuation!L27/Valuation!L7</f>
        <v>2.0782137784090899</v>
      </c>
      <c r="H4083" s="503">
        <f>Valuation!M27/Valuation!M7</f>
        <v>1.5594526158567534</v>
      </c>
      <c r="I4083" s="503">
        <f ca="1">Valuation!N27/Valuation!N7</f>
        <v>5.6250593942082636</v>
      </c>
      <c r="J4083" s="503">
        <f ca="1">Valuation!O27/Valuation!O7</f>
        <v>5.3462183094212667</v>
      </c>
    </row>
    <row r="4084" spans="2:11">
      <c r="B4084" s="478" t="s">
        <v>1056</v>
      </c>
      <c r="C4084" s="478"/>
      <c r="E4084" s="531">
        <v>3.8357247312056808</v>
      </c>
      <c r="F4084" s="531">
        <v>4.1597164848935106</v>
      </c>
      <c r="G4084" s="531">
        <v>4.7888522145542538</v>
      </c>
      <c r="H4084" s="531">
        <v>5.2574756035378201</v>
      </c>
      <c r="I4084" s="531">
        <v>5.8494822983521724</v>
      </c>
      <c r="J4084" s="531">
        <v>6.2944116524097842</v>
      </c>
    </row>
    <row r="4085" spans="2:11">
      <c r="B4085" s="478" t="s">
        <v>5899</v>
      </c>
      <c r="C4085" s="478"/>
      <c r="E4085" s="531">
        <v>4.0840369873209612</v>
      </c>
      <c r="F4085" s="531">
        <v>4.7355352831961177</v>
      </c>
      <c r="G4085" s="531">
        <v>5.8571794513144431</v>
      </c>
      <c r="H4085" s="531">
        <v>6.9469827329808229</v>
      </c>
      <c r="I4085" s="531">
        <v>8.4045237129932566</v>
      </c>
      <c r="J4085" s="531">
        <v>9.9095974857128706</v>
      </c>
    </row>
    <row r="4086" spans="2:11">
      <c r="E4086" s="449">
        <f>E4085/E4084-1</f>
        <v>6.4736724743339025E-2</v>
      </c>
      <c r="F4086" s="449">
        <f>F4085/F4084-1</f>
        <v>0.13842741455908336</v>
      </c>
    </row>
    <row r="4087" spans="2:11">
      <c r="E4087" s="449"/>
      <c r="F4087" s="449"/>
    </row>
    <row r="4088" spans="2:11">
      <c r="E4088">
        <f>E4115*$D$4091</f>
        <v>1074.3300000000002</v>
      </c>
      <c r="H4088">
        <f>H4115*$D$4093</f>
        <v>1074.33</v>
      </c>
    </row>
    <row r="4089" spans="2:11">
      <c r="E4089" s="454">
        <f>E4098*$D$4091</f>
        <v>4233.2486700000009</v>
      </c>
      <c r="H4089" s="454">
        <f>H4098*$D$4093</f>
        <v>4444.9111034999996</v>
      </c>
    </row>
    <row r="4090" spans="2:11" ht="15.75" thickBot="1">
      <c r="E4090" s="449"/>
      <c r="F4090" s="449"/>
    </row>
    <row r="4091" spans="2:11">
      <c r="B4091" s="1436" t="s">
        <v>5918</v>
      </c>
      <c r="C4091" s="1437"/>
      <c r="D4091" s="1438">
        <v>6.9</v>
      </c>
      <c r="E4091" s="1439"/>
      <c r="F4091" s="1439">
        <f>1/D4091</f>
        <v>0.14492753623188406</v>
      </c>
      <c r="G4091" s="1439"/>
      <c r="H4091" s="1439"/>
      <c r="I4091" s="1439"/>
      <c r="J4091" s="1439"/>
      <c r="K4091" s="1439"/>
    </row>
    <row r="4092" spans="2:11">
      <c r="B4092" s="1440" t="s">
        <v>5911</v>
      </c>
      <c r="C4092" s="1439"/>
      <c r="D4092" s="1441">
        <v>0.5</v>
      </c>
      <c r="E4092" s="1439"/>
      <c r="F4092" s="1439"/>
      <c r="G4092" s="1439"/>
      <c r="H4092" s="1439"/>
      <c r="I4092" s="1439"/>
      <c r="J4092" s="1439"/>
      <c r="K4092" s="1439"/>
    </row>
    <row r="4093" spans="2:11">
      <c r="B4093" s="1442" t="s">
        <v>5900</v>
      </c>
      <c r="C4093" s="1443"/>
      <c r="D4093" s="1444">
        <f>1/((1/D4091)*(1-D4092))</f>
        <v>13.799999999999999</v>
      </c>
      <c r="E4093" s="1439"/>
      <c r="F4093" s="1439">
        <f>1/D4093</f>
        <v>7.2463768115942032E-2</v>
      </c>
      <c r="G4093" s="1439"/>
      <c r="H4093" s="1439"/>
      <c r="I4093" s="1439"/>
      <c r="J4093" s="1439"/>
      <c r="K4093" s="1439"/>
    </row>
    <row r="4094" spans="2:11" ht="15.75" thickBot="1">
      <c r="B4094" s="1445" t="s">
        <v>5912</v>
      </c>
      <c r="C4094" s="1446"/>
      <c r="D4094" s="1447">
        <f>D4093/D4091-1</f>
        <v>0.99999999999999978</v>
      </c>
      <c r="E4094" s="1439"/>
      <c r="F4094" s="1439"/>
      <c r="G4094" s="1439"/>
      <c r="H4094" s="1439"/>
      <c r="I4094" s="1439"/>
      <c r="J4094" s="1439"/>
      <c r="K4094" s="1439"/>
    </row>
    <row r="4095" spans="2:11">
      <c r="B4095" s="1439"/>
      <c r="C4095" s="1439"/>
      <c r="D4095" s="1448"/>
      <c r="E4095" s="1439"/>
      <c r="F4095" s="1439"/>
      <c r="G4095" s="1439"/>
      <c r="H4095" s="1439"/>
      <c r="I4095" s="1439"/>
      <c r="J4095" s="1439"/>
      <c r="K4095" s="1439"/>
    </row>
    <row r="4096" spans="2:11">
      <c r="B4096" s="1449"/>
      <c r="C4096" s="1449"/>
      <c r="D4096" s="2580" t="s">
        <v>1056</v>
      </c>
      <c r="E4096" s="2580"/>
      <c r="F4096" s="1450" t="s">
        <v>2377</v>
      </c>
      <c r="G4096" s="1450" t="s">
        <v>2377</v>
      </c>
      <c r="H4096" s="1450" t="s">
        <v>6</v>
      </c>
      <c r="I4096" s="1450" t="s">
        <v>5901</v>
      </c>
      <c r="J4096" s="1450" t="s">
        <v>1646</v>
      </c>
      <c r="K4096" s="1450" t="s">
        <v>5906</v>
      </c>
    </row>
    <row r="4097" spans="2:18">
      <c r="B4097" s="1451" t="s">
        <v>8794</v>
      </c>
      <c r="C4097" s="1452"/>
      <c r="D4097" s="1453" t="s">
        <v>884</v>
      </c>
      <c r="E4097" s="1453" t="s">
        <v>2377</v>
      </c>
      <c r="F4097" s="1453" t="s">
        <v>5908</v>
      </c>
      <c r="G4097" s="1453" t="s">
        <v>5909</v>
      </c>
      <c r="H4097" s="1453" t="s">
        <v>5916</v>
      </c>
      <c r="I4097" s="1453" t="s">
        <v>2377</v>
      </c>
      <c r="J4097" s="1453" t="s">
        <v>884</v>
      </c>
      <c r="K4097" s="1453" t="s">
        <v>5907</v>
      </c>
    </row>
    <row r="4098" spans="2:18">
      <c r="B4098" s="1443" t="s">
        <v>758</v>
      </c>
      <c r="C4098" s="1443"/>
      <c r="D4098" s="1454">
        <f ca="1">Valuation!N84</f>
        <v>5473.4818037743617</v>
      </c>
      <c r="E4098" s="1454">
        <f>'New split'!N19</f>
        <v>613.51430000000005</v>
      </c>
      <c r="F4098" s="1455">
        <f ca="1">E4098/D4098</f>
        <v>0.1120884880948974</v>
      </c>
      <c r="G4098" s="1456">
        <v>0.05</v>
      </c>
      <c r="H4098" s="1457">
        <f>(G4098*E4098)+(1-G4098)*E4098*(1-$D$4092)</f>
        <v>322.09500750000001</v>
      </c>
      <c r="I4098" s="1456">
        <f>H4098/E4098-1</f>
        <v>-0.47499999999999998</v>
      </c>
      <c r="J4098" s="1458"/>
      <c r="K4098" s="1458"/>
    </row>
    <row r="4099" spans="2:18">
      <c r="B4099" s="1439" t="s">
        <v>360</v>
      </c>
      <c r="C4099" s="1439"/>
      <c r="D4099" s="1459">
        <f ca="1">Valuation!N85</f>
        <v>2407.4353583000002</v>
      </c>
      <c r="E4099" s="1459">
        <f>'New split'!N287</f>
        <v>266.29340000000002</v>
      </c>
      <c r="F4099" s="1460">
        <f ca="1">E4099/D4099</f>
        <v>0.11061289728171224</v>
      </c>
      <c r="G4099" s="1461"/>
      <c r="H4099" s="1462">
        <f>H4098-H4101</f>
        <v>139.804035</v>
      </c>
      <c r="I4099" s="1461">
        <f>H4099/E4099-1</f>
        <v>-0.47500000000000009</v>
      </c>
      <c r="J4099" s="1459">
        <f ca="1">D4099-E4099+H4099</f>
        <v>2280.9459933000003</v>
      </c>
      <c r="K4099" s="1461">
        <f ca="1">J4099/D4099-1</f>
        <v>-5.2541126208813238E-2</v>
      </c>
    </row>
    <row r="4100" spans="2:18">
      <c r="B4100" s="1443" t="s">
        <v>1434</v>
      </c>
      <c r="C4100" s="1443"/>
      <c r="D4100" s="1455">
        <f ca="1">D4099/D4098</f>
        <v>0.4398361855592357</v>
      </c>
      <c r="E4100" s="1455">
        <f>E4099/E4098</f>
        <v>0.43404595459307144</v>
      </c>
      <c r="F4100" s="1455"/>
      <c r="G4100" s="1456"/>
      <c r="H4100" s="1457"/>
      <c r="I4100" s="1456"/>
      <c r="J4100" s="1454"/>
      <c r="K4100" s="1456"/>
    </row>
    <row r="4101" spans="2:18">
      <c r="B4101" s="1439" t="s">
        <v>1583</v>
      </c>
      <c r="C4101" s="1439"/>
      <c r="D4101" s="1459">
        <f ca="1">Valuation!M84-Valuation!M85</f>
        <v>3269.8225560282194</v>
      </c>
      <c r="E4101" s="1459">
        <f>E4098-E4099</f>
        <v>347.22090000000003</v>
      </c>
      <c r="F4101" s="1460">
        <f ca="1">E4101/D4101</f>
        <v>0.10618952375867194</v>
      </c>
      <c r="G4101" s="1461">
        <v>0.05</v>
      </c>
      <c r="H4101" s="1462">
        <f>(G4101*E4101)+(1-G4101)*E4101*(1-$D$4092)</f>
        <v>182.29097250000001</v>
      </c>
      <c r="I4101" s="1461">
        <f>H4101/E4101-1</f>
        <v>-0.47499999999999998</v>
      </c>
      <c r="J4101" s="1459"/>
      <c r="K4101" s="1461"/>
    </row>
    <row r="4102" spans="2:18">
      <c r="B4102" s="1443" t="s">
        <v>1545</v>
      </c>
      <c r="C4102" s="1443"/>
      <c r="D4102" s="1454">
        <f ca="1">-Valuation!N22*Valuation!N103</f>
        <v>560.74278903133848</v>
      </c>
      <c r="E4102" s="1454">
        <f>E4103*E4098</f>
        <v>79.756859000000006</v>
      </c>
      <c r="F4102" s="1455">
        <f ca="1">E4102/D4102</f>
        <v>0.1422343016443901</v>
      </c>
      <c r="G4102" s="1456">
        <v>0.4</v>
      </c>
      <c r="H4102" s="1457">
        <f>(G4102*E4102)+(1-G4102)*E4102*(1-$D$4092)</f>
        <v>55.829801300000007</v>
      </c>
      <c r="I4102" s="1456">
        <f>H4102/E4102-1</f>
        <v>-0.29999999999999993</v>
      </c>
      <c r="J4102" s="1454">
        <f ca="1">D4102-E4102+H4102</f>
        <v>536.8157313313385</v>
      </c>
      <c r="K4102" s="1456">
        <f ca="1">J4102/D4102-1</f>
        <v>-4.2670290493316942E-2</v>
      </c>
    </row>
    <row r="4103" spans="2:18" ht="15.75" thickBot="1">
      <c r="B4103" s="1439" t="s">
        <v>1431</v>
      </c>
      <c r="C4103" s="1439"/>
      <c r="D4103" s="1460">
        <f ca="1">D4102/D4098</f>
        <v>0.10244718245791294</v>
      </c>
      <c r="E4103" s="1460">
        <v>0.13</v>
      </c>
      <c r="F4103" s="1460"/>
      <c r="G4103" s="1461"/>
      <c r="H4103" s="1462"/>
      <c r="I4103" s="1461"/>
      <c r="J4103" s="1459"/>
      <c r="K4103" s="1461"/>
    </row>
    <row r="4104" spans="2:18" outlineLevel="1">
      <c r="B4104" s="1436" t="s">
        <v>1552</v>
      </c>
      <c r="C4104" s="1437"/>
      <c r="D4104" s="1463">
        <f ca="1">D4099-D4102</f>
        <v>1846.6925692686618</v>
      </c>
      <c r="E4104" s="1463">
        <f>E4099-E4102</f>
        <v>186.536541</v>
      </c>
      <c r="F4104" s="1464">
        <f ca="1">E4104/D4104</f>
        <v>0.10101115047745782</v>
      </c>
      <c r="G4104" s="1465"/>
      <c r="H4104" s="1466">
        <f>H4099-H4102</f>
        <v>83.974233699999985</v>
      </c>
      <c r="I4104" s="1456">
        <f>H4104/E4104-1</f>
        <v>-0.54982421540667481</v>
      </c>
      <c r="J4104" s="1454">
        <f ca="1">D4104-E4104+H4104</f>
        <v>1744.1302619686619</v>
      </c>
      <c r="K4104" s="1456">
        <f ca="1">J4104/D4104-1</f>
        <v>-5.5538376558593727E-2</v>
      </c>
    </row>
    <row r="4105" spans="2:18" outlineLevel="1">
      <c r="B4105" s="1467" t="s">
        <v>5913</v>
      </c>
      <c r="C4105" s="1468"/>
      <c r="D4105" s="1469">
        <f ca="1">D4102</f>
        <v>560.74278903133848</v>
      </c>
      <c r="E4105" s="1469">
        <f ca="1">D4103*E4098</f>
        <v>62.852811432638745</v>
      </c>
      <c r="F4105" s="1470">
        <f ca="1">E4105/D4105</f>
        <v>0.1120884880948974</v>
      </c>
      <c r="G4105" s="1461">
        <f>G4102</f>
        <v>0.4</v>
      </c>
      <c r="H4105" s="1471">
        <f ca="1">(G4105*E4105)+(1-G4105)*E4105*(1-$D$4092)</f>
        <v>43.996968002847126</v>
      </c>
      <c r="I4105" s="1461">
        <f ca="1">H4105/E4105-1</f>
        <v>-0.29999999999999993</v>
      </c>
      <c r="J4105" s="1469">
        <f ca="1">D4105-E4105+H4105</f>
        <v>541.88694560154681</v>
      </c>
      <c r="K4105" s="1472">
        <f ca="1">J4105/D4105-1</f>
        <v>-3.3626546428469295E-2</v>
      </c>
    </row>
    <row r="4106" spans="2:18" outlineLevel="1">
      <c r="B4106" s="1467" t="s">
        <v>5914</v>
      </c>
      <c r="C4106" s="1468"/>
      <c r="D4106" s="1469">
        <f ca="1">D4104</f>
        <v>1846.6925692686618</v>
      </c>
      <c r="E4106" s="1469">
        <f ca="1">E4099-E4105</f>
        <v>203.44058856736126</v>
      </c>
      <c r="F4106" s="1470">
        <f ca="1">E4106/D4106</f>
        <v>0.11016483845382505</v>
      </c>
      <c r="G4106" s="1468"/>
      <c r="H4106" s="1473">
        <f ca="1">H4099-H4105</f>
        <v>95.807066997152873</v>
      </c>
      <c r="I4106" s="1461">
        <f ca="1">H4106/E4106-1</f>
        <v>-0.52906611373949031</v>
      </c>
      <c r="J4106" s="1469">
        <f ca="1">D4106-E4106+H4106</f>
        <v>1739.0590476984532</v>
      </c>
      <c r="K4106" s="1472">
        <f ca="1">J4106/D4106-1</f>
        <v>-5.8284482951504124E-2</v>
      </c>
    </row>
    <row r="4107" spans="2:18" ht="15.75" outlineLevel="1" thickBot="1">
      <c r="B4107" s="1440" t="s">
        <v>8354</v>
      </c>
      <c r="C4107" s="1468"/>
      <c r="D4107" s="1459"/>
      <c r="E4107" s="1459">
        <f>E4104*0.75</f>
        <v>139.90240575000001</v>
      </c>
      <c r="F4107" s="1460"/>
      <c r="G4107" s="1439"/>
      <c r="H4107" s="1474">
        <f>H4104*0.75</f>
        <v>62.980675274999989</v>
      </c>
      <c r="I4107" s="1461"/>
      <c r="J4107" s="1459"/>
      <c r="K4107" s="1461"/>
    </row>
    <row r="4108" spans="2:18" ht="15.75" outlineLevel="1" thickBot="1">
      <c r="B4108" s="1481" t="s">
        <v>8355</v>
      </c>
      <c r="C4108" s="1482"/>
      <c r="D4108" s="1483"/>
      <c r="E4108" s="1483"/>
      <c r="F4108" s="1484"/>
      <c r="G4108" s="1482"/>
      <c r="H4108" s="1485">
        <f>E4107-H4107</f>
        <v>76.921730475000032</v>
      </c>
      <c r="I4108" s="1443"/>
      <c r="J4108" s="1443"/>
      <c r="K4108" s="1456"/>
    </row>
    <row r="4109" spans="2:18" outlineLevel="1">
      <c r="B4109" s="1468"/>
      <c r="C4109" s="1468"/>
      <c r="D4109" s="1469"/>
      <c r="E4109" s="1469"/>
      <c r="F4109" s="1470"/>
      <c r="G4109" s="1468"/>
      <c r="H4109" s="1469"/>
      <c r="I4109" s="1461"/>
      <c r="J4109" s="1469"/>
      <c r="K4109" s="1472"/>
    </row>
    <row r="4110" spans="2:18">
      <c r="B4110" s="1443" t="s">
        <v>5917</v>
      </c>
      <c r="C4110" s="1443"/>
      <c r="D4110" s="1454">
        <f ca="1">D4118+D4117+D4112</f>
        <v>14352.535718544113</v>
      </c>
      <c r="E4110" s="1454">
        <f>E4111*E4099</f>
        <v>1065.1736000000001</v>
      </c>
      <c r="F4110" s="1455">
        <f ca="1">E4110/D4110</f>
        <v>7.421501126269614E-2</v>
      </c>
      <c r="G4110" s="1443"/>
      <c r="H4110" s="1454">
        <f ca="1">H4106/E4106*E4110</f>
        <v>501.62634299009773</v>
      </c>
      <c r="I4110" s="1456">
        <f ca="1">H4110/E4110-1</f>
        <v>-0.52906611373949031</v>
      </c>
      <c r="J4110" s="1454">
        <f ca="1">D4110-E4110+H4110</f>
        <v>13788.988461534211</v>
      </c>
      <c r="K4110" s="1456">
        <f ca="1">J4110/D4110-1</f>
        <v>-3.9264647589887125E-2</v>
      </c>
      <c r="Q4110" s="478" t="s">
        <v>2170</v>
      </c>
      <c r="R4110" s="478" t="s">
        <v>3961</v>
      </c>
    </row>
    <row r="4111" spans="2:18">
      <c r="B4111" s="1439" t="s">
        <v>2748</v>
      </c>
      <c r="C4111" s="1439"/>
      <c r="D4111" s="1475">
        <f ca="1">D4110/D4099</f>
        <v>5.9617533110750243</v>
      </c>
      <c r="E4111" s="1448">
        <v>4</v>
      </c>
      <c r="F4111" s="1460"/>
      <c r="G4111" s="1439"/>
      <c r="H4111" s="1462"/>
      <c r="I4111" s="1461"/>
      <c r="J4111" s="1459"/>
      <c r="K4111" s="1461"/>
      <c r="Q4111" s="478"/>
      <c r="R4111" s="478"/>
    </row>
    <row r="4112" spans="2:18">
      <c r="B4112" s="1443" t="s">
        <v>5902</v>
      </c>
      <c r="C4112" s="1443"/>
      <c r="D4112" s="1454">
        <f>Valuation!N94</f>
        <v>5856.7838423524181</v>
      </c>
      <c r="E4112" s="1454">
        <v>173</v>
      </c>
      <c r="F4112" s="1455">
        <f>E4112/D4112</f>
        <v>2.9538395927979706E-2</v>
      </c>
      <c r="G4112" s="1443"/>
      <c r="H4112" s="1454">
        <f>H4114+H4115</f>
        <v>95.149999999999991</v>
      </c>
      <c r="I4112" s="1456">
        <f>H4112/E4112-1</f>
        <v>-0.45000000000000007</v>
      </c>
      <c r="J4112" s="1454">
        <f>D4112-E4112+H4112</f>
        <v>5778.9338423524177</v>
      </c>
      <c r="K4112" s="1456">
        <f>J4112/D4112-1</f>
        <v>-1.3292278167590932E-2</v>
      </c>
      <c r="N4112" s="478" t="s">
        <v>2377</v>
      </c>
      <c r="O4112" s="478" t="s">
        <v>134</v>
      </c>
      <c r="P4112">
        <v>391</v>
      </c>
      <c r="Q4112">
        <v>280</v>
      </c>
      <c r="R4112">
        <f>P4112-Q4112</f>
        <v>111</v>
      </c>
    </row>
    <row r="4113" spans="2:18">
      <c r="B4113" s="1439" t="s">
        <v>5915</v>
      </c>
      <c r="C4113" s="1439"/>
      <c r="D4113" s="1475">
        <f ca="1">D4112/D4099</f>
        <v>2.4327896581564543</v>
      </c>
      <c r="E4113" s="1475">
        <f>E4112/E4099</f>
        <v>0.64965936069012598</v>
      </c>
      <c r="F4113" s="1439"/>
      <c r="G4113" s="1439"/>
      <c r="H4113" s="1439"/>
      <c r="I4113" s="1439"/>
      <c r="J4113" s="1439"/>
      <c r="K4113" s="1461"/>
      <c r="O4113" s="478" t="s">
        <v>2989</v>
      </c>
      <c r="P4113">
        <v>296</v>
      </c>
      <c r="Q4113">
        <f>Q4112-Q4114</f>
        <v>280</v>
      </c>
      <c r="R4113">
        <f>R4112-R4114</f>
        <v>16</v>
      </c>
    </row>
    <row r="4114" spans="2:18">
      <c r="B4114" s="1476" t="s">
        <v>5903</v>
      </c>
      <c r="C4114" s="1476"/>
      <c r="D4114" s="1454">
        <f>0.6*D4112</f>
        <v>3514.0703054114506</v>
      </c>
      <c r="E4114" s="1454">
        <f>E4112-E4115</f>
        <v>17.299999999999983</v>
      </c>
      <c r="F4114" s="1443"/>
      <c r="G4114" s="1443"/>
      <c r="H4114" s="1454">
        <f>E4114</f>
        <v>17.299999999999983</v>
      </c>
      <c r="I4114" s="1456">
        <f>H4114/E4114-1</f>
        <v>0</v>
      </c>
      <c r="J4114" s="1454">
        <f>D4114-E4114+H4114</f>
        <v>3514.0703054114506</v>
      </c>
      <c r="K4114" s="1456"/>
      <c r="O4114" s="478" t="s">
        <v>2222</v>
      </c>
      <c r="P4114">
        <f>P4112-P4113</f>
        <v>95</v>
      </c>
      <c r="Q4114">
        <f>P4114-R4114</f>
        <v>0</v>
      </c>
      <c r="R4114">
        <f>P4114</f>
        <v>95</v>
      </c>
    </row>
    <row r="4115" spans="2:18">
      <c r="B4115" s="1477" t="s">
        <v>5904</v>
      </c>
      <c r="C4115" s="1477"/>
      <c r="D4115" s="1459">
        <f>D4112-D4114</f>
        <v>2342.7135369409675</v>
      </c>
      <c r="E4115" s="1459">
        <f>E4112*0.9</f>
        <v>155.70000000000002</v>
      </c>
      <c r="F4115" s="1439"/>
      <c r="G4115" s="1439"/>
      <c r="H4115" s="1462">
        <f>E4115*(1-D4092)</f>
        <v>77.850000000000009</v>
      </c>
      <c r="I4115" s="1461">
        <f>H4115/E4115-1</f>
        <v>-0.5</v>
      </c>
      <c r="J4115" s="1459">
        <f>D4115-E4115+H4115</f>
        <v>2264.8635369409676</v>
      </c>
      <c r="K4115" s="1461"/>
    </row>
    <row r="4116" spans="2:18">
      <c r="B4116" s="1443"/>
      <c r="C4116" s="1443"/>
      <c r="D4116" s="1443"/>
      <c r="E4116" s="1443"/>
      <c r="F4116" s="1443"/>
      <c r="G4116" s="1443"/>
      <c r="H4116" s="1443"/>
      <c r="I4116" s="1443"/>
      <c r="J4116" s="1443"/>
      <c r="K4116" s="1456"/>
    </row>
    <row r="4117" spans="2:18">
      <c r="B4117" s="1439" t="s">
        <v>5905</v>
      </c>
      <c r="C4117" s="1439"/>
      <c r="D4117" s="1459">
        <f>-SOP!I27-SOP!I28-SOP!I29-SOP!I23-SOP!I22-SOP!I26</f>
        <v>2398.7674070293288</v>
      </c>
      <c r="E4117" s="1459">
        <f>-SOP!I28*0.1</f>
        <v>107.09304878048783</v>
      </c>
      <c r="F4117" s="1439"/>
      <c r="G4117" s="1439"/>
      <c r="H4117" s="1439"/>
      <c r="I4117" s="1439"/>
      <c r="J4117" s="1459">
        <f>D4117</f>
        <v>2398.7674070293288</v>
      </c>
      <c r="K4117" s="1461"/>
    </row>
    <row r="4118" spans="2:18">
      <c r="B4118" s="1443" t="s">
        <v>109</v>
      </c>
      <c r="C4118" s="1443"/>
      <c r="D4118" s="1454">
        <f ca="1">SOP!I33</f>
        <v>6096.9844691623648</v>
      </c>
      <c r="E4118" s="1454">
        <f>E4110-E4112-E4117</f>
        <v>785.08055121951224</v>
      </c>
      <c r="F4118" s="1455">
        <f ca="1">E4118/D4118</f>
        <v>0.12876538478822314</v>
      </c>
      <c r="G4118" s="1443"/>
      <c r="H4118" s="1454">
        <f ca="1">H4110-H4112</f>
        <v>406.47634299009775</v>
      </c>
      <c r="I4118" s="1456">
        <f ca="1">H4118/E4118-1</f>
        <v>-0.48224886942022205</v>
      </c>
      <c r="J4118" s="1454">
        <f ca="1">J4110-J4112-J4117</f>
        <v>5611.2872121524642</v>
      </c>
      <c r="K4118" s="1456"/>
    </row>
    <row r="4119" spans="2:18">
      <c r="B4119" s="1439" t="s">
        <v>5719</v>
      </c>
      <c r="C4119" s="1439"/>
      <c r="D4119" s="1459">
        <f>SOP!I35</f>
        <v>166.363</v>
      </c>
      <c r="E4119" s="1439"/>
      <c r="F4119" s="1439"/>
      <c r="G4119" s="1439"/>
      <c r="H4119" s="1439"/>
      <c r="I4119" s="1439"/>
      <c r="J4119" s="1462">
        <f>D4119</f>
        <v>166.363</v>
      </c>
      <c r="K4119" s="1461"/>
    </row>
    <row r="4120" spans="2:18">
      <c r="B4120" s="1478" t="s">
        <v>7936</v>
      </c>
      <c r="C4120" s="1479"/>
      <c r="D4120" s="1581">
        <f ca="1">D4118/D4119</f>
        <v>36.64868071123005</v>
      </c>
      <c r="E4120" s="1581"/>
      <c r="F4120" s="1581"/>
      <c r="G4120" s="1581"/>
      <c r="H4120" s="1581"/>
      <c r="I4120" s="1582"/>
      <c r="J4120" s="1581">
        <f ca="1">J4118/J4119</f>
        <v>33.729177834930027</v>
      </c>
      <c r="K4120" s="1480">
        <f ca="1">J4120/D4120-1</f>
        <v>-7.9661881946146429E-2</v>
      </c>
    </row>
    <row r="4121" spans="2:18">
      <c r="B4121" s="1112" t="s">
        <v>8797</v>
      </c>
      <c r="C4121" s="470"/>
      <c r="D4121" s="470"/>
      <c r="E4121" s="470"/>
      <c r="F4121" s="470"/>
      <c r="G4121" s="470"/>
      <c r="H4121" s="470"/>
      <c r="I4121" s="470"/>
      <c r="J4121" s="1126">
        <f ca="1">D4120-J4120</f>
        <v>2.9195028763000224</v>
      </c>
      <c r="K4121" s="470"/>
    </row>
    <row r="4124" spans="2:18">
      <c r="B4124" s="659" t="s">
        <v>6266</v>
      </c>
      <c r="C4124">
        <v>0.1</v>
      </c>
      <c r="D4124">
        <v>0.2</v>
      </c>
      <c r="E4124">
        <v>0.3</v>
      </c>
      <c r="F4124">
        <v>0.4</v>
      </c>
      <c r="G4124">
        <v>0.5</v>
      </c>
      <c r="H4124">
        <v>0.5</v>
      </c>
    </row>
    <row r="4125" spans="2:18">
      <c r="B4125" t="s">
        <v>6268</v>
      </c>
    </row>
    <row r="4126" spans="2:18">
      <c r="B4126" t="s">
        <v>360</v>
      </c>
      <c r="C4126" s="456">
        <v>-1.2362255871523287E-2</v>
      </c>
      <c r="D4126" s="456">
        <v>-2.4724511743046573E-2</v>
      </c>
      <c r="E4126" s="456">
        <v>-3.7086767614569971E-2</v>
      </c>
      <c r="F4126" s="456">
        <v>-4.9449023486093369E-2</v>
      </c>
      <c r="G4126" s="623">
        <f ca="1">$K$4099</f>
        <v>-5.2541126208813238E-2</v>
      </c>
      <c r="H4126">
        <f ca="1">$K$4099</f>
        <v>-5.2541126208813238E-2</v>
      </c>
    </row>
    <row r="4127" spans="2:18">
      <c r="B4127" t="s">
        <v>1552</v>
      </c>
      <c r="C4127">
        <v>-1.4028893710418933E-2</v>
      </c>
      <c r="D4127">
        <v>-2.8057787420837643E-2</v>
      </c>
      <c r="E4127">
        <v>-4.2086681131256465E-2</v>
      </c>
      <c r="F4127">
        <v>-5.6115574841675397E-2</v>
      </c>
      <c r="G4127">
        <f ca="1">$K$4104</f>
        <v>-5.5538376558593727E-2</v>
      </c>
      <c r="H4127">
        <f ca="1">$K$4104</f>
        <v>-5.5538376558593727E-2</v>
      </c>
    </row>
    <row r="4128" spans="2:18">
      <c r="B4128" t="s">
        <v>245</v>
      </c>
      <c r="C4128" s="456">
        <v>-1.3786534666926586E-2</v>
      </c>
      <c r="D4128" s="456">
        <v>-2.7573069333853284E-2</v>
      </c>
      <c r="E4128" s="456">
        <v>-4.1359604000779981E-2</v>
      </c>
      <c r="F4128" s="456">
        <v>-5.5146138667706457E-2</v>
      </c>
      <c r="G4128" s="623">
        <f ca="1">$K$4110</f>
        <v>-3.9264647589887125E-2</v>
      </c>
      <c r="H4128">
        <f ca="1">$K$4110</f>
        <v>-3.9264647589887125E-2</v>
      </c>
    </row>
    <row r="4129" spans="2:8">
      <c r="B4129" t="s">
        <v>109</v>
      </c>
      <c r="C4129">
        <v>-2.8077047762168017E-2</v>
      </c>
      <c r="D4129">
        <v>-5.6154095524336811E-2</v>
      </c>
      <c r="E4129">
        <v>-8.4231143286505494E-2</v>
      </c>
      <c r="F4129">
        <v>-0.11230819104867384</v>
      </c>
      <c r="G4129">
        <f ca="1">$K$4120</f>
        <v>-7.9661881946146429E-2</v>
      </c>
      <c r="H4129">
        <f ca="1">$K$4120</f>
        <v>-7.9661881946146429E-2</v>
      </c>
    </row>
    <row r="4130" spans="2:8">
      <c r="B4130" t="s">
        <v>6267</v>
      </c>
      <c r="C4130" s="483">
        <v>48.062639774134901</v>
      </c>
      <c r="D4130" s="483">
        <v>46.6741994359299</v>
      </c>
      <c r="E4130" s="483">
        <v>45.285759097724906</v>
      </c>
      <c r="F4130" s="483">
        <v>43.897318759519926</v>
      </c>
      <c r="G4130">
        <f ca="1">$J$4120</f>
        <v>33.729177834930027</v>
      </c>
      <c r="H4130">
        <f ca="1">$J$4120</f>
        <v>33.729177834930027</v>
      </c>
    </row>
    <row r="4131" spans="2:8">
      <c r="B4131" s="478"/>
    </row>
    <row r="4132" spans="2:8">
      <c r="B4132" s="478"/>
    </row>
    <row r="4133" spans="2:8">
      <c r="B4133" s="478" t="s">
        <v>6269</v>
      </c>
    </row>
    <row r="4134" spans="2:8">
      <c r="B4134" s="478" t="s">
        <v>6273</v>
      </c>
      <c r="C4134" s="449">
        <f ca="1">'New split'!J6*0.55/Valuation!$J$84</f>
        <v>0.17906543265673625</v>
      </c>
    </row>
    <row r="4135" spans="2:8">
      <c r="B4135" s="478" t="s">
        <v>6270</v>
      </c>
      <c r="C4135" s="449">
        <v>0.08</v>
      </c>
    </row>
    <row r="4136" spans="2:8">
      <c r="B4136" s="478" t="s">
        <v>6271</v>
      </c>
      <c r="C4136" s="449">
        <f ca="1">'New split'!J7*0.67/Valuation!$J$84</f>
        <v>8.0113179233977302E-2</v>
      </c>
    </row>
    <row r="4137" spans="2:8">
      <c r="B4137" s="478" t="s">
        <v>6272</v>
      </c>
      <c r="C4137" s="449">
        <f ca="1">'New split'!J5/Valuation!$J$84</f>
        <v>8.448015331292219E-2</v>
      </c>
    </row>
    <row r="4138" spans="2:8">
      <c r="B4138" s="478"/>
    </row>
    <row r="4139" spans="2:8">
      <c r="B4139" s="478"/>
    </row>
    <row r="4140" spans="2:8">
      <c r="B4140" s="478"/>
    </row>
    <row r="4141" spans="2:8">
      <c r="B4141" s="478"/>
    </row>
    <row r="4142" spans="2:8">
      <c r="B4142" s="478"/>
    </row>
    <row r="4143" spans="2:8">
      <c r="B4143" s="478"/>
    </row>
    <row r="4144" spans="2:8">
      <c r="B4144" t="s">
        <v>5937</v>
      </c>
    </row>
    <row r="4146" spans="2:7">
      <c r="B4146" s="455" t="s">
        <v>5944</v>
      </c>
      <c r="C4146" s="455">
        <v>2014</v>
      </c>
      <c r="D4146" s="455">
        <v>2015</v>
      </c>
      <c r="E4146" s="455">
        <v>2016</v>
      </c>
      <c r="F4146" s="455">
        <f>E4146+1</f>
        <v>2017</v>
      </c>
      <c r="G4146" s="455">
        <f>F4146+1</f>
        <v>2018</v>
      </c>
    </row>
    <row r="4147" spans="2:7">
      <c r="B4147" t="s">
        <v>3330</v>
      </c>
      <c r="C4147">
        <v>9</v>
      </c>
      <c r="D4147">
        <v>8</v>
      </c>
      <c r="E4147">
        <v>8</v>
      </c>
      <c r="F4147">
        <v>9</v>
      </c>
      <c r="G4147">
        <v>8</v>
      </c>
    </row>
    <row r="4148" spans="2:7">
      <c r="B4148" t="s">
        <v>5938</v>
      </c>
      <c r="C4148">
        <v>3</v>
      </c>
      <c r="E4148">
        <v>2</v>
      </c>
      <c r="F4148">
        <v>2</v>
      </c>
      <c r="G4148">
        <v>1</v>
      </c>
    </row>
    <row r="4149" spans="2:7">
      <c r="C4149" s="449">
        <f>C4148/C4147</f>
        <v>0.33333333333333331</v>
      </c>
      <c r="E4149" s="449">
        <f>E4148/E4147</f>
        <v>0.25</v>
      </c>
      <c r="F4149" s="449">
        <f>F4148/F4147</f>
        <v>0.22222222222222221</v>
      </c>
      <c r="G4149" s="449">
        <f>G4148/G4147</f>
        <v>0.125</v>
      </c>
    </row>
    <row r="4150" spans="2:7">
      <c r="C4150" s="449"/>
      <c r="E4150" s="449"/>
      <c r="F4150">
        <v>0.16</v>
      </c>
      <c r="G4150" s="449"/>
    </row>
    <row r="4151" spans="2:7">
      <c r="C4151" t="s">
        <v>5942</v>
      </c>
      <c r="D4151" t="s">
        <v>5942</v>
      </c>
      <c r="E4151" t="s">
        <v>5939</v>
      </c>
      <c r="F4151" t="s">
        <v>5939</v>
      </c>
      <c r="G4151" t="s">
        <v>5941</v>
      </c>
    </row>
    <row r="4152" spans="2:7">
      <c r="C4152" t="s">
        <v>5940</v>
      </c>
      <c r="E4152" t="s">
        <v>5940</v>
      </c>
      <c r="F4152" t="s">
        <v>5945</v>
      </c>
    </row>
    <row r="4153" spans="2:7">
      <c r="C4153" t="s">
        <v>5943</v>
      </c>
    </row>
    <row r="4155" spans="2:7">
      <c r="B4155" s="478" t="s">
        <v>3054</v>
      </c>
    </row>
    <row r="4157" spans="2:7">
      <c r="C4157">
        <v>2019</v>
      </c>
      <c r="D4157">
        <f>C4157+1</f>
        <v>2020</v>
      </c>
      <c r="E4157">
        <f>D4157+1</f>
        <v>2021</v>
      </c>
      <c r="F4157">
        <f>E4157+1</f>
        <v>2022</v>
      </c>
      <c r="G4157">
        <f>F4157+1</f>
        <v>2023</v>
      </c>
    </row>
    <row r="4158" spans="2:7">
      <c r="C4158" s="468">
        <f>Valuation!I96</f>
        <v>3.1992884155998818</v>
      </c>
      <c r="D4158" s="468">
        <f>Valuation!J96</f>
        <v>2.9133473518498514</v>
      </c>
      <c r="E4158" s="468">
        <f>Valuation!K96</f>
        <v>3.3618341823268256</v>
      </c>
      <c r="F4158" s="468">
        <f ca="1">Valuation!L96</f>
        <v>2.978618591233877</v>
      </c>
      <c r="G4158" s="468">
        <f ca="1">Valuation!M96</f>
        <v>3.1710925961532976</v>
      </c>
    </row>
    <row r="4159" spans="2:7">
      <c r="C4159" s="468">
        <f>C4158-0.5</f>
        <v>2.6992884155998818</v>
      </c>
      <c r="D4159" s="468">
        <f>D4158-0.5</f>
        <v>2.4133473518498514</v>
      </c>
      <c r="E4159" s="468">
        <f>E4158-0.5</f>
        <v>2.8618341823268256</v>
      </c>
      <c r="F4159" s="468">
        <f ca="1">F4158-0.5</f>
        <v>2.478618591233877</v>
      </c>
      <c r="G4159" s="468">
        <f ca="1">G4158-0.5</f>
        <v>2.6710925961532976</v>
      </c>
    </row>
    <row r="4162" spans="2:10">
      <c r="B4162" s="498">
        <v>50</v>
      </c>
    </row>
    <row r="4163" spans="2:10">
      <c r="B4163" s="498">
        <f>F4168*1000/G4168</f>
        <v>3337.8746594005452</v>
      </c>
    </row>
    <row r="4164" spans="2:10">
      <c r="B4164" s="498"/>
    </row>
    <row r="4165" spans="2:10">
      <c r="D4165" t="s">
        <v>5962</v>
      </c>
      <c r="F4165" t="s">
        <v>5598</v>
      </c>
      <c r="H4165" t="s">
        <v>5976</v>
      </c>
      <c r="I4165" t="s">
        <v>5977</v>
      </c>
    </row>
    <row r="4166" spans="2:10">
      <c r="B4166" t="s">
        <v>5964</v>
      </c>
      <c r="C4166" s="560" t="s">
        <v>3265</v>
      </c>
      <c r="D4166" s="560" t="s">
        <v>5979</v>
      </c>
      <c r="E4166" s="560" t="s">
        <v>2389</v>
      </c>
      <c r="F4166" s="560" t="s">
        <v>5979</v>
      </c>
      <c r="G4166" s="560" t="str">
        <f>E4166</f>
        <v>USD m</v>
      </c>
      <c r="H4166" s="560" t="s">
        <v>5975</v>
      </c>
      <c r="I4166" s="560" t="s">
        <v>5978</v>
      </c>
      <c r="J4166" s="619" t="s">
        <v>5963</v>
      </c>
    </row>
    <row r="4167" spans="2:10">
      <c r="B4167">
        <v>1</v>
      </c>
      <c r="C4167">
        <v>20</v>
      </c>
      <c r="D4167" s="464">
        <v>949.25699999999995</v>
      </c>
      <c r="E4167" s="464">
        <f>D4167*1000/B$4163</f>
        <v>284.38964816326529</v>
      </c>
      <c r="F4167" s="464">
        <v>949.25699999999995</v>
      </c>
      <c r="G4167" s="454">
        <f>F4167*1000/B$4163</f>
        <v>284.38964816326529</v>
      </c>
      <c r="H4167" s="449">
        <f>G4167/E4167-1</f>
        <v>0</v>
      </c>
      <c r="I4167" s="468">
        <f>G4167*100/$B$4162/C4167</f>
        <v>28.438964816326529</v>
      </c>
      <c r="J4167" t="s">
        <v>955</v>
      </c>
    </row>
    <row r="4168" spans="2:10">
      <c r="B4168" s="1088" t="s">
        <v>5965</v>
      </c>
      <c r="C4168">
        <v>40</v>
      </c>
      <c r="D4168" s="464">
        <f>949.257*2</f>
        <v>1898.5139999999999</v>
      </c>
      <c r="E4168" s="464">
        <f>D4168*1000/B$4163</f>
        <v>568.77929632653058</v>
      </c>
      <c r="F4168" s="464">
        <v>2450</v>
      </c>
      <c r="G4168">
        <v>734</v>
      </c>
      <c r="H4168" s="449">
        <f>G4168/E4168-1</f>
        <v>0.29048297773943199</v>
      </c>
      <c r="I4168" s="468">
        <f>G4168*100/$B$4162/C4168</f>
        <v>36.700000000000003</v>
      </c>
      <c r="J4168" t="s">
        <v>5960</v>
      </c>
    </row>
    <row r="4169" spans="2:10">
      <c r="B4169">
        <v>4</v>
      </c>
      <c r="C4169" s="455">
        <v>20</v>
      </c>
      <c r="D4169" s="490">
        <v>949.25699999999995</v>
      </c>
      <c r="E4169" s="490">
        <f>D4169*1000/B$4163</f>
        <v>284.38964816326529</v>
      </c>
      <c r="F4169" s="490">
        <v>949.25699999999995</v>
      </c>
      <c r="G4169" s="462">
        <f>F4169*1000/B$4163</f>
        <v>284.38964816326529</v>
      </c>
      <c r="H4169" s="476">
        <f>G4169/E4169-1</f>
        <v>0</v>
      </c>
      <c r="I4169" s="483">
        <f>G4169*100/$B$4162/C4169</f>
        <v>28.438964816326529</v>
      </c>
      <c r="J4169" t="s">
        <v>5961</v>
      </c>
    </row>
    <row r="4170" spans="2:10">
      <c r="B4170" t="s">
        <v>2324</v>
      </c>
      <c r="C4170" s="470">
        <f>SUM(C4167:C4169)</f>
        <v>80</v>
      </c>
      <c r="D4170">
        <f>SUM(D4167:D4169)</f>
        <v>3797.0279999999998</v>
      </c>
      <c r="E4170">
        <f>SUM(E4167:E4169)</f>
        <v>1137.5585926530612</v>
      </c>
      <c r="F4170">
        <f>SUM(F4167:F4169)</f>
        <v>4348.5140000000001</v>
      </c>
      <c r="G4170">
        <f>SUM(G4167:G4169)</f>
        <v>1302.7792963265306</v>
      </c>
      <c r="H4170" s="1120">
        <f>G4170/E4170-1</f>
        <v>0.145241488869716</v>
      </c>
      <c r="I4170" s="1110">
        <f>G4170*100/$B$4162/C4170</f>
        <v>32.569482408163267</v>
      </c>
    </row>
    <row r="4171" spans="2:10">
      <c r="B4171" s="478"/>
      <c r="D4171" s="454"/>
    </row>
    <row r="4172" spans="2:10">
      <c r="D4172" t="s">
        <v>5962</v>
      </c>
      <c r="F4172" t="s">
        <v>5598</v>
      </c>
      <c r="H4172" t="s">
        <v>5976</v>
      </c>
      <c r="I4172" t="s">
        <v>5977</v>
      </c>
    </row>
    <row r="4173" spans="2:10">
      <c r="B4173" t="s">
        <v>5974</v>
      </c>
      <c r="C4173" s="560" t="s">
        <v>3265</v>
      </c>
      <c r="D4173" s="560" t="s">
        <v>5979</v>
      </c>
      <c r="E4173" s="560" t="s">
        <v>967</v>
      </c>
      <c r="F4173" s="560" t="s">
        <v>5979</v>
      </c>
      <c r="G4173" s="560" t="str">
        <f>E4173</f>
        <v>USD</v>
      </c>
      <c r="H4173" s="560" t="s">
        <v>5975</v>
      </c>
      <c r="I4173" s="560" t="s">
        <v>5978</v>
      </c>
      <c r="J4173" s="619" t="s">
        <v>5963</v>
      </c>
    </row>
    <row r="4174" spans="2:10">
      <c r="B4174">
        <v>1</v>
      </c>
      <c r="C4174">
        <v>10</v>
      </c>
      <c r="D4174" s="454">
        <v>160.54499999999999</v>
      </c>
      <c r="E4174" s="454">
        <f t="shared" ref="E4174:E4179" si="402">D4174*1000/B$4163</f>
        <v>48.097971428571427</v>
      </c>
      <c r="F4174" s="454">
        <v>212.65799999999999</v>
      </c>
      <c r="G4174" s="454">
        <f t="shared" ref="G4174:G4179" si="403">F4174*1000/B$4163</f>
        <v>63.710600816326526</v>
      </c>
      <c r="H4174" s="449">
        <f t="shared" ref="H4174:H4181" si="404">G4174/E4174-1</f>
        <v>0.32460057927683827</v>
      </c>
      <c r="I4174" s="468">
        <f t="shared" ref="I4174:I4181" si="405">G4174*100/$B$4162/C4174</f>
        <v>12.742120163265305</v>
      </c>
      <c r="J4174" t="s">
        <v>955</v>
      </c>
    </row>
    <row r="4175" spans="2:10">
      <c r="B4175">
        <f>B4174+1</f>
        <v>2</v>
      </c>
      <c r="C4175">
        <v>10</v>
      </c>
      <c r="D4175" s="454">
        <v>160.54499999999999</v>
      </c>
      <c r="E4175" s="454">
        <f t="shared" si="402"/>
        <v>48.097971428571427</v>
      </c>
      <c r="F4175" s="454">
        <v>1700</v>
      </c>
      <c r="G4175" s="454">
        <f t="shared" si="403"/>
        <v>509.30612244897958</v>
      </c>
      <c r="H4175" s="449">
        <f t="shared" si="404"/>
        <v>9.5889314522408053</v>
      </c>
      <c r="I4175" s="468">
        <f t="shared" si="405"/>
        <v>101.86122448979592</v>
      </c>
      <c r="J4175" t="s">
        <v>5961</v>
      </c>
    </row>
    <row r="4176" spans="2:10">
      <c r="B4176">
        <f>B4175+1</f>
        <v>3</v>
      </c>
      <c r="C4176">
        <v>10</v>
      </c>
      <c r="D4176" s="454">
        <v>160.54499999999999</v>
      </c>
      <c r="E4176" s="454">
        <f t="shared" si="402"/>
        <v>48.097971428571427</v>
      </c>
      <c r="F4176" s="454">
        <v>212.65799999999999</v>
      </c>
      <c r="G4176" s="454">
        <f t="shared" si="403"/>
        <v>63.710600816326526</v>
      </c>
      <c r="H4176" s="449">
        <f t="shared" si="404"/>
        <v>0.32460057927683827</v>
      </c>
      <c r="I4176" s="468">
        <f t="shared" si="405"/>
        <v>12.742120163265305</v>
      </c>
      <c r="J4176" t="s">
        <v>955</v>
      </c>
    </row>
    <row r="4177" spans="2:25">
      <c r="B4177">
        <f>B4176+1</f>
        <v>4</v>
      </c>
      <c r="C4177">
        <v>10</v>
      </c>
      <c r="D4177" s="454">
        <v>160.54499999999999</v>
      </c>
      <c r="E4177" s="454">
        <f t="shared" si="402"/>
        <v>48.097971428571427</v>
      </c>
      <c r="F4177" s="454">
        <v>212.65799999999999</v>
      </c>
      <c r="G4177" s="454">
        <f t="shared" si="403"/>
        <v>63.710600816326526</v>
      </c>
      <c r="H4177" s="449">
        <f t="shared" si="404"/>
        <v>0.32460057927683827</v>
      </c>
      <c r="I4177" s="468">
        <f t="shared" si="405"/>
        <v>12.742120163265305</v>
      </c>
      <c r="J4177" t="s">
        <v>955</v>
      </c>
    </row>
    <row r="4178" spans="2:25">
      <c r="B4178">
        <f>B4177+1</f>
        <v>5</v>
      </c>
      <c r="C4178">
        <v>10</v>
      </c>
      <c r="D4178" s="454">
        <v>160.54499999999999</v>
      </c>
      <c r="E4178" s="454">
        <f t="shared" si="402"/>
        <v>48.097971428571427</v>
      </c>
      <c r="F4178" s="454">
        <v>293.15600000000001</v>
      </c>
      <c r="G4178" s="454">
        <f t="shared" si="403"/>
        <v>87.827144489795913</v>
      </c>
      <c r="H4178" s="449">
        <f t="shared" si="404"/>
        <v>0.8260051698900619</v>
      </c>
      <c r="I4178" s="468">
        <f t="shared" si="405"/>
        <v>17.565428897959183</v>
      </c>
      <c r="J4178" t="s">
        <v>5961</v>
      </c>
    </row>
    <row r="4179" spans="2:25">
      <c r="B4179">
        <f>B4178+1</f>
        <v>6</v>
      </c>
      <c r="C4179" s="455">
        <v>10</v>
      </c>
      <c r="D4179" s="462">
        <v>160.54499999999999</v>
      </c>
      <c r="E4179" s="462">
        <f t="shared" si="402"/>
        <v>48.097971428571427</v>
      </c>
      <c r="F4179" s="462">
        <v>173.47399999999999</v>
      </c>
      <c r="G4179" s="462">
        <f t="shared" si="403"/>
        <v>51.971394285714283</v>
      </c>
      <c r="H4179" s="476">
        <f t="shared" si="404"/>
        <v>8.0531938085894872E-2</v>
      </c>
      <c r="I4179" s="483">
        <f t="shared" si="405"/>
        <v>10.394278857142858</v>
      </c>
      <c r="J4179" t="s">
        <v>5961</v>
      </c>
    </row>
    <row r="4180" spans="2:25">
      <c r="B4180" t="s">
        <v>2324</v>
      </c>
      <c r="C4180" s="470">
        <f>SUM(C4174:C4179)</f>
        <v>60</v>
      </c>
      <c r="D4180" s="471">
        <f>SUM(D4174:D4179)</f>
        <v>963.26999999999987</v>
      </c>
      <c r="E4180" s="471">
        <f>SUM(E4174:E4179)</f>
        <v>288.58782857142859</v>
      </c>
      <c r="F4180" s="471">
        <f>SUM(F4174:F4179)</f>
        <v>2804.6039999999998</v>
      </c>
      <c r="G4180" s="471">
        <f>SUM(G4174:G4179)</f>
        <v>840.23646367346942</v>
      </c>
      <c r="H4180" s="449">
        <f t="shared" si="404"/>
        <v>1.9115450496745461</v>
      </c>
      <c r="I4180" s="468">
        <f t="shared" si="405"/>
        <v>28.007882122448979</v>
      </c>
    </row>
    <row r="4181" spans="2:25">
      <c r="B4181" t="s">
        <v>5982</v>
      </c>
      <c r="C4181" s="470">
        <f>C4180-C4175</f>
        <v>50</v>
      </c>
      <c r="D4181" s="471">
        <f>D4180-D4175</f>
        <v>802.72499999999991</v>
      </c>
      <c r="E4181" s="471">
        <f>E4180-E4175</f>
        <v>240.48985714285715</v>
      </c>
      <c r="F4181" s="471">
        <f>F4180-F4175</f>
        <v>1104.6039999999998</v>
      </c>
      <c r="G4181" s="471">
        <f>G4180-G4175</f>
        <v>330.93034122448984</v>
      </c>
      <c r="H4181" s="1120">
        <f t="shared" si="404"/>
        <v>0.37606776916129458</v>
      </c>
      <c r="I4181" s="1110">
        <f t="shared" si="405"/>
        <v>13.237213648979594</v>
      </c>
    </row>
    <row r="4183" spans="2:25">
      <c r="B4183" s="659" t="s">
        <v>2324</v>
      </c>
      <c r="C4183" t="s">
        <v>3265</v>
      </c>
      <c r="D4183" t="str">
        <f>F4173</f>
        <v>COP bn</v>
      </c>
      <c r="E4183" t="str">
        <f>G4173</f>
        <v>USD</v>
      </c>
      <c r="G4183" t="str">
        <f>I4173</f>
        <v>MHz/POP</v>
      </c>
    </row>
    <row r="4184" spans="2:25">
      <c r="B4184" s="1088" t="s">
        <v>955</v>
      </c>
      <c r="C4184">
        <f>C4167+C4174+C4176+C4177</f>
        <v>50</v>
      </c>
      <c r="D4184" s="464">
        <f>F4167+F4174+F4176+F4177</f>
        <v>1587.2309999999998</v>
      </c>
      <c r="E4184" s="464">
        <f>G4167+G4174+G4176+G4177</f>
        <v>475.52145061224485</v>
      </c>
      <c r="F4184" s="464"/>
      <c r="G4184">
        <f>E4184*100/$B$4162/C4184</f>
        <v>19.020858024489797</v>
      </c>
    </row>
    <row r="4185" spans="2:25">
      <c r="B4185" s="1088" t="s">
        <v>5960</v>
      </c>
      <c r="C4185">
        <f>C4168</f>
        <v>40</v>
      </c>
      <c r="D4185" s="464">
        <f>F4168</f>
        <v>2450</v>
      </c>
      <c r="E4185" s="464">
        <f>G4168</f>
        <v>734</v>
      </c>
      <c r="F4185" s="464"/>
      <c r="G4185">
        <f>E4185*100/$B$4162/C4185</f>
        <v>36.700000000000003</v>
      </c>
    </row>
    <row r="4186" spans="2:25">
      <c r="B4186" t="s">
        <v>5961</v>
      </c>
      <c r="C4186" s="455">
        <f>C4169+C4175+C4178+C4179</f>
        <v>50</v>
      </c>
      <c r="D4186" s="490">
        <f>F4169+F4175+F4178+F4179</f>
        <v>3115.8870000000002</v>
      </c>
      <c r="E4186" s="490">
        <f>G4169+G4175+G4178+G4179</f>
        <v>933.49430938775504</v>
      </c>
      <c r="F4186" s="490"/>
      <c r="G4186">
        <f>E4186*100/$B$4162/C4186</f>
        <v>37.339772375510201</v>
      </c>
    </row>
    <row r="4187" spans="2:25">
      <c r="B4187" t="s">
        <v>2324</v>
      </c>
      <c r="C4187" s="451">
        <f>SUM(C4184:C4186)</f>
        <v>140</v>
      </c>
      <c r="D4187" s="670">
        <f>SUM(D4184:D4186)</f>
        <v>7153.1180000000004</v>
      </c>
      <c r="E4187" s="670">
        <f>SUM(E4184:E4186)</f>
        <v>2143.0157599999998</v>
      </c>
      <c r="F4187" s="670"/>
      <c r="G4187">
        <f>E4187*100/$B$4162/C4187</f>
        <v>30.614510857142854</v>
      </c>
    </row>
    <row r="4188" spans="2:25">
      <c r="B4188" s="478"/>
      <c r="D4188" s="464"/>
      <c r="E4188" s="464"/>
      <c r="F4188" s="464"/>
      <c r="G4188" s="468"/>
    </row>
    <row r="4189" spans="2:25">
      <c r="B4189" s="463" t="s">
        <v>4061</v>
      </c>
      <c r="D4189" s="464"/>
      <c r="E4189" s="464"/>
      <c r="F4189" s="464"/>
      <c r="G4189" s="468"/>
    </row>
    <row r="4190" spans="2:25" ht="15.75" thickBot="1">
      <c r="B4190" s="450"/>
      <c r="C4190" s="599"/>
      <c r="D4190" s="599"/>
      <c r="E4190" s="599"/>
      <c r="F4190" s="599"/>
      <c r="G4190" s="599"/>
      <c r="H4190" s="599"/>
      <c r="X4190" t="s">
        <v>5966</v>
      </c>
      <c r="Y4190" t="s">
        <v>5968</v>
      </c>
    </row>
    <row r="4191" spans="2:25">
      <c r="B4191" s="451"/>
      <c r="C4191" s="560">
        <v>700</v>
      </c>
      <c r="D4191" s="560">
        <v>850</v>
      </c>
      <c r="E4191" s="560">
        <v>1900</v>
      </c>
      <c r="F4191" s="560" t="s">
        <v>2867</v>
      </c>
      <c r="G4191" s="560">
        <v>2.5</v>
      </c>
      <c r="H4191" s="560">
        <v>2.6</v>
      </c>
      <c r="I4191" s="1488" t="s">
        <v>2324</v>
      </c>
      <c r="J4191" s="1489" t="s">
        <v>5968</v>
      </c>
      <c r="X4191" s="455" t="s">
        <v>5967</v>
      </c>
      <c r="Y4191" s="619"/>
    </row>
    <row r="4192" spans="2:25">
      <c r="B4192" s="1351" t="s">
        <v>1975</v>
      </c>
      <c r="C4192" s="1348">
        <v>20</v>
      </c>
      <c r="D4192" s="1348">
        <v>25</v>
      </c>
      <c r="E4192" s="1348">
        <v>30</v>
      </c>
      <c r="F4192" s="1348"/>
      <c r="G4192" s="1348">
        <v>30</v>
      </c>
      <c r="H4192" s="1348">
        <v>30</v>
      </c>
      <c r="I4192" s="1490">
        <f>X4192+C4192+G4192</f>
        <v>135</v>
      </c>
      <c r="J4192" s="1491">
        <f>I4192/I$4197</f>
        <v>0.32142857142857145</v>
      </c>
      <c r="X4192" s="1349">
        <f>D4192+E4192+F4192+H4192</f>
        <v>85</v>
      </c>
      <c r="Y4192" s="1350">
        <f>X4192/X$4197</f>
        <v>0.30357142857142855</v>
      </c>
    </row>
    <row r="4193" spans="2:25">
      <c r="B4193" s="463" t="s">
        <v>6006</v>
      </c>
      <c r="D4193">
        <v>25</v>
      </c>
      <c r="E4193">
        <v>30</v>
      </c>
      <c r="F4193">
        <v>30</v>
      </c>
      <c r="I4193" s="1010">
        <f>X4193+C4193+G4193</f>
        <v>85</v>
      </c>
      <c r="J4193" s="1492">
        <f>I4193/I$4197</f>
        <v>0.20238095238095238</v>
      </c>
      <c r="X4193" s="1085">
        <f>D4193+E4193+F4193+H4193</f>
        <v>85</v>
      </c>
      <c r="Y4193" s="628">
        <f>X4193/X$4197</f>
        <v>0.30357142857142855</v>
      </c>
    </row>
    <row r="4194" spans="2:25">
      <c r="B4194" s="1351" t="s">
        <v>887</v>
      </c>
      <c r="C4194" s="1348">
        <v>40</v>
      </c>
      <c r="D4194" s="1348"/>
      <c r="E4194" s="1348">
        <v>50</v>
      </c>
      <c r="F4194" s="1348">
        <v>30</v>
      </c>
      <c r="G4194" s="1348"/>
      <c r="H4194" s="1348"/>
      <c r="I4194" s="1490">
        <f>X4194+C4194+G4194</f>
        <v>120</v>
      </c>
      <c r="J4194" s="1491">
        <f>I4194/I$4197</f>
        <v>0.2857142857142857</v>
      </c>
      <c r="X4194" s="1349">
        <f>D4194+E4194+F4194+H4194</f>
        <v>80</v>
      </c>
      <c r="Y4194" s="1350">
        <f>X4194/X$4197</f>
        <v>0.2857142857142857</v>
      </c>
    </row>
    <row r="4195" spans="2:25">
      <c r="B4195" t="s">
        <v>5961</v>
      </c>
      <c r="C4195">
        <v>20</v>
      </c>
      <c r="F4195">
        <v>30</v>
      </c>
      <c r="G4195">
        <v>30</v>
      </c>
      <c r="I4195" s="1010">
        <f>X4195+C4195+G4195</f>
        <v>80</v>
      </c>
      <c r="J4195" s="1492">
        <f>I4195/I$4197</f>
        <v>0.19047619047619047</v>
      </c>
      <c r="X4195" s="1085">
        <f>D4195+E4195+F4195+H4195</f>
        <v>30</v>
      </c>
      <c r="Y4195" s="628">
        <f>X4195/X$4197</f>
        <v>0.10714285714285714</v>
      </c>
    </row>
    <row r="4196" spans="2:25">
      <c r="B4196" s="1355" t="s">
        <v>3262</v>
      </c>
      <c r="C4196" s="1352"/>
      <c r="D4196" s="1352"/>
      <c r="E4196" s="1352"/>
      <c r="F4196" s="1352"/>
      <c r="G4196" s="1352"/>
      <c r="H4196" s="1352">
        <v>70</v>
      </c>
      <c r="I4196" s="1493"/>
      <c r="J4196" s="1494"/>
      <c r="X4196" s="1353"/>
      <c r="Y4196" s="1354"/>
    </row>
    <row r="4197" spans="2:25">
      <c r="B4197" s="450" t="s">
        <v>7990</v>
      </c>
      <c r="C4197" s="450">
        <f t="shared" ref="C4197:H4197" si="406">SUM(C4192:C4195)</f>
        <v>80</v>
      </c>
      <c r="D4197" s="450">
        <f t="shared" si="406"/>
        <v>50</v>
      </c>
      <c r="E4197" s="450">
        <f t="shared" si="406"/>
        <v>110</v>
      </c>
      <c r="F4197" s="450">
        <f t="shared" si="406"/>
        <v>90</v>
      </c>
      <c r="G4197" s="450">
        <f t="shared" si="406"/>
        <v>60</v>
      </c>
      <c r="H4197" s="450">
        <f t="shared" si="406"/>
        <v>30</v>
      </c>
      <c r="I4197" s="1067">
        <f>SUM(I4192:I4195)</f>
        <v>420</v>
      </c>
      <c r="J4197" s="1495">
        <f>SUM(J4192:J4195)</f>
        <v>1</v>
      </c>
      <c r="X4197">
        <f>SUM(X4192:X4195)</f>
        <v>280</v>
      </c>
      <c r="Y4197">
        <f>SUM(Y4192:Y4195)</f>
        <v>0.99999999999999989</v>
      </c>
    </row>
    <row r="4198" spans="2:25">
      <c r="B4198" s="1288"/>
      <c r="C4198" s="1288"/>
      <c r="D4198" s="1288"/>
      <c r="E4198" s="1288"/>
      <c r="F4198" s="1288"/>
      <c r="G4198" s="1288"/>
      <c r="H4198" s="1288"/>
      <c r="I4198" s="1496"/>
      <c r="J4198" s="1497"/>
    </row>
    <row r="4199" spans="2:25" ht="15.75" thickBot="1">
      <c r="B4199" s="1212" t="s">
        <v>8401</v>
      </c>
      <c r="C4199" s="455">
        <f>C4193+C4194</f>
        <v>40</v>
      </c>
      <c r="D4199" s="455">
        <f t="shared" ref="D4199:J4199" si="407">D4193+D4194</f>
        <v>25</v>
      </c>
      <c r="E4199" s="455">
        <f t="shared" si="407"/>
        <v>80</v>
      </c>
      <c r="F4199" s="455">
        <f t="shared" si="407"/>
        <v>60</v>
      </c>
      <c r="G4199" s="455"/>
      <c r="H4199" s="455"/>
      <c r="I4199" s="1064">
        <f t="shared" si="407"/>
        <v>205</v>
      </c>
      <c r="J4199" s="1498">
        <f t="shared" si="407"/>
        <v>0.48809523809523808</v>
      </c>
    </row>
    <row r="4201" spans="2:25">
      <c r="B4201" s="478" t="s">
        <v>5969</v>
      </c>
    </row>
    <row r="4203" spans="2:25">
      <c r="B4203" s="478" t="s">
        <v>5970</v>
      </c>
      <c r="C4203">
        <f>489+90</f>
        <v>579</v>
      </c>
    </row>
    <row r="4204" spans="2:25">
      <c r="B4204" s="478" t="s">
        <v>62</v>
      </c>
      <c r="C4204">
        <v>578</v>
      </c>
    </row>
    <row r="4205" spans="2:25">
      <c r="B4205" s="478" t="s">
        <v>2030</v>
      </c>
      <c r="C4205">
        <v>485</v>
      </c>
    </row>
    <row r="4206" spans="2:25">
      <c r="B4206" s="478" t="s">
        <v>5972</v>
      </c>
      <c r="C4206">
        <v>425</v>
      </c>
    </row>
    <row r="4207" spans="2:25">
      <c r="B4207" s="478" t="s">
        <v>2036</v>
      </c>
      <c r="C4207">
        <v>401</v>
      </c>
    </row>
    <row r="4208" spans="2:25">
      <c r="B4208" s="478" t="s">
        <v>2037</v>
      </c>
      <c r="C4208">
        <v>310</v>
      </c>
    </row>
    <row r="4209" spans="2:4">
      <c r="B4209" s="478" t="s">
        <v>5971</v>
      </c>
      <c r="C4209">
        <v>285</v>
      </c>
    </row>
    <row r="4210" spans="2:4">
      <c r="B4210" s="478"/>
    </row>
    <row r="4212" spans="2:4">
      <c r="B4212" s="478" t="s">
        <v>5973</v>
      </c>
    </row>
    <row r="4214" spans="2:4">
      <c r="B4214" s="450" t="s">
        <v>5980</v>
      </c>
    </row>
    <row r="4216" spans="2:4">
      <c r="B4216" s="487"/>
      <c r="C4216" s="508" t="s">
        <v>5964</v>
      </c>
      <c r="D4216" s="508" t="s">
        <v>5981</v>
      </c>
    </row>
    <row r="4217" spans="2:4">
      <c r="B4217" s="478" t="s">
        <v>2415</v>
      </c>
      <c r="C4217">
        <v>51</v>
      </c>
      <c r="D4217">
        <v>7</v>
      </c>
    </row>
    <row r="4218" spans="2:4">
      <c r="B4218" s="478" t="s">
        <v>5984</v>
      </c>
      <c r="C4218">
        <v>38</v>
      </c>
      <c r="D4218" s="454">
        <v>5.3</v>
      </c>
    </row>
    <row r="4219" spans="2:4">
      <c r="B4219" s="478" t="s">
        <v>1665</v>
      </c>
      <c r="C4219" s="454">
        <f>I4170</f>
        <v>32.569482408163267</v>
      </c>
      <c r="D4219" s="454">
        <f>I4181</f>
        <v>13.237213648979594</v>
      </c>
    </row>
    <row r="4220" spans="2:4">
      <c r="B4220" s="478" t="s">
        <v>5985</v>
      </c>
      <c r="C4220">
        <v>32</v>
      </c>
    </row>
    <row r="4221" spans="2:4">
      <c r="B4221" s="478" t="s">
        <v>5983</v>
      </c>
      <c r="C4221">
        <v>30</v>
      </c>
      <c r="D4221">
        <v>14</v>
      </c>
    </row>
    <row r="4222" spans="2:4">
      <c r="B4222" s="478" t="s">
        <v>5986</v>
      </c>
      <c r="C4222">
        <v>2</v>
      </c>
    </row>
    <row r="4223" spans="2:4">
      <c r="B4223" s="478" t="s">
        <v>5987</v>
      </c>
      <c r="C4223">
        <v>1</v>
      </c>
      <c r="D4223">
        <v>7</v>
      </c>
    </row>
    <row r="4235" spans="2:4">
      <c r="B4235" s="450" t="s">
        <v>5991</v>
      </c>
    </row>
    <row r="4236" spans="2:4">
      <c r="B4236" s="478" t="s">
        <v>525</v>
      </c>
      <c r="C4236" s="464">
        <v>5292.487949406308</v>
      </c>
      <c r="D4236" s="456">
        <f t="shared" ref="D4236:D4251" si="408">C4236/C$4251</f>
        <v>0.36749111130777284</v>
      </c>
    </row>
    <row r="4237" spans="2:4">
      <c r="B4237" s="478" t="s">
        <v>62</v>
      </c>
      <c r="C4237">
        <f>4105.40018964016*0.737</f>
        <v>3025.6799397647974</v>
      </c>
      <c r="D4237" s="456">
        <f t="shared" si="408"/>
        <v>0.21009220883545529</v>
      </c>
    </row>
    <row r="4238" spans="2:4">
      <c r="B4238" s="478" t="s">
        <v>1677</v>
      </c>
      <c r="C4238" s="464">
        <v>2191.2680344591959</v>
      </c>
      <c r="D4238" s="456">
        <f t="shared" si="408"/>
        <v>0.152153681379084</v>
      </c>
    </row>
    <row r="4239" spans="2:4">
      <c r="B4239" s="478" t="s">
        <v>524</v>
      </c>
      <c r="C4239">
        <f>2463.9248823577*0.69</f>
        <v>1700.1081688268127</v>
      </c>
      <c r="D4239" s="456">
        <f t="shared" si="408"/>
        <v>0.11804932694757918</v>
      </c>
    </row>
    <row r="4240" spans="2:4">
      <c r="B4240" s="478" t="s">
        <v>2030</v>
      </c>
      <c r="C4240" s="464">
        <v>575.80768485021963</v>
      </c>
      <c r="D4240" s="456">
        <f t="shared" si="408"/>
        <v>3.9981991083966481E-2</v>
      </c>
    </row>
    <row r="4241" spans="2:4">
      <c r="B4241" s="478" t="s">
        <v>2036</v>
      </c>
      <c r="C4241" s="464">
        <v>482.64548467119306</v>
      </c>
      <c r="D4241" s="456">
        <f t="shared" si="408"/>
        <v>3.3513146789383219E-2</v>
      </c>
    </row>
    <row r="4242" spans="2:4">
      <c r="B4242" s="478" t="s">
        <v>2037</v>
      </c>
      <c r="C4242" s="464">
        <v>425.3948962388547</v>
      </c>
      <c r="D4242" s="456">
        <f t="shared" si="408"/>
        <v>2.9537874182785404E-2</v>
      </c>
    </row>
    <row r="4243" spans="2:4">
      <c r="B4243" s="478" t="s">
        <v>1665</v>
      </c>
      <c r="C4243">
        <f>454.543543481838*0.675</f>
        <v>306.81689185024067</v>
      </c>
      <c r="D4243" s="456">
        <f t="shared" si="408"/>
        <v>2.1304248896152869E-2</v>
      </c>
    </row>
    <row r="4244" spans="2:4">
      <c r="B4244" s="478" t="s">
        <v>5988</v>
      </c>
      <c r="C4244">
        <f>549.14112*0.5</f>
        <v>274.57056</v>
      </c>
      <c r="D4244" s="456">
        <f t="shared" si="408"/>
        <v>1.9065180911392792E-2</v>
      </c>
    </row>
    <row r="4245" spans="2:4">
      <c r="B4245" s="478" t="s">
        <v>2035</v>
      </c>
      <c r="C4245" s="464">
        <v>166.76023800129417</v>
      </c>
      <c r="D4245" s="456">
        <f t="shared" si="408"/>
        <v>1.1579224321506255E-2</v>
      </c>
    </row>
    <row r="4246" spans="2:4">
      <c r="B4246" s="478" t="s">
        <v>2031</v>
      </c>
      <c r="C4246" s="464">
        <v>137.06156155268022</v>
      </c>
      <c r="D4246" s="456">
        <f t="shared" si="408"/>
        <v>9.5170562605104026E-3</v>
      </c>
    </row>
    <row r="4247" spans="2:4">
      <c r="B4247" s="478" t="s">
        <v>2034</v>
      </c>
      <c r="C4247" s="464">
        <v>84.49467601809954</v>
      </c>
      <c r="D4247" s="456">
        <f t="shared" si="408"/>
        <v>5.8670029457440365E-3</v>
      </c>
    </row>
    <row r="4248" spans="2:4">
      <c r="B4248" s="478" t="s">
        <v>1828</v>
      </c>
      <c r="C4248">
        <f>40*0.6</f>
        <v>24</v>
      </c>
      <c r="D4248" s="456">
        <f t="shared" si="408"/>
        <v>1.666472697850152E-3</v>
      </c>
    </row>
    <row r="4249" spans="2:4">
      <c r="B4249" s="478" t="s">
        <v>52</v>
      </c>
      <c r="C4249" s="464">
        <v>14.580000000000002</v>
      </c>
      <c r="D4249" s="456">
        <f t="shared" si="408"/>
        <v>1.0123821639439674E-3</v>
      </c>
    </row>
    <row r="4250" spans="2:4">
      <c r="B4250" s="478" t="s">
        <v>2992</v>
      </c>
      <c r="C4250" s="464">
        <v>-300</v>
      </c>
      <c r="D4250" s="456">
        <f t="shared" si="408"/>
        <v>-2.0830908723126901E-2</v>
      </c>
    </row>
    <row r="4251" spans="2:4">
      <c r="B4251" s="478" t="s">
        <v>4099</v>
      </c>
      <c r="C4251" s="464">
        <f>SUM(C4236:C4250)</f>
        <v>14401.676085639696</v>
      </c>
      <c r="D4251" s="456">
        <f t="shared" si="408"/>
        <v>1</v>
      </c>
    </row>
    <row r="4257" spans="2:4">
      <c r="B4257" s="450" t="s">
        <v>5992</v>
      </c>
    </row>
    <row r="4258" spans="2:4">
      <c r="B4258" s="450"/>
    </row>
    <row r="4259" spans="2:4">
      <c r="C4259" t="s">
        <v>2389</v>
      </c>
      <c r="D4259" t="s">
        <v>5727</v>
      </c>
    </row>
    <row r="4260" spans="2:4" ht="15.75">
      <c r="B4260" s="545" t="str">
        <f>'New split'!C274</f>
        <v>Guatemala</v>
      </c>
      <c r="C4260" s="548">
        <f>'New split'!J274*0.55</f>
        <v>428.45000000000005</v>
      </c>
      <c r="D4260" s="694">
        <f t="shared" ref="D4260:D4273" si="409">C4260/C$4273</f>
        <v>0.2416198596918635</v>
      </c>
    </row>
    <row r="4261" spans="2:4" ht="15.75">
      <c r="B4261" s="545" t="str">
        <f>'New split'!C289</f>
        <v>Paraguay</v>
      </c>
      <c r="C4261" s="548">
        <f>'New split'!J289</f>
        <v>252</v>
      </c>
      <c r="D4261" s="694">
        <f t="shared" si="409"/>
        <v>0.14211274277593558</v>
      </c>
    </row>
    <row r="4262" spans="2:4" ht="15.75">
      <c r="B4262" s="545" t="str">
        <f>'New split'!C288</f>
        <v>Colombia</v>
      </c>
      <c r="C4262" s="548">
        <f>'New split'!J288*0.5</f>
        <v>228.5</v>
      </c>
      <c r="D4262" s="694">
        <f t="shared" si="409"/>
        <v>0.12886016557262411</v>
      </c>
    </row>
    <row r="4263" spans="2:4" ht="15.75">
      <c r="B4263" s="545" t="str">
        <f>'New split'!C287</f>
        <v>Bolivia</v>
      </c>
      <c r="C4263" s="548">
        <f>'New split'!J287</f>
        <v>227</v>
      </c>
      <c r="D4263" s="694">
        <f t="shared" si="409"/>
        <v>0.12801425638943403</v>
      </c>
    </row>
    <row r="4264" spans="2:4" ht="15.75">
      <c r="B4264" s="545" t="str">
        <f>'New split'!C275</f>
        <v>Honduras (JV)</v>
      </c>
      <c r="C4264" s="548">
        <f>'New split'!J275*0.67</f>
        <v>165.49</v>
      </c>
      <c r="D4264" s="694">
        <f t="shared" si="409"/>
        <v>9.3326340484085626E-2</v>
      </c>
    </row>
    <row r="4265" spans="2:4" ht="15.75">
      <c r="B4265" s="545" t="str">
        <f>'New split'!C279</f>
        <v>Panama - Onda</v>
      </c>
      <c r="C4265" s="548">
        <f>'New split'!J279*0.8</f>
        <v>121.60000000000001</v>
      </c>
      <c r="D4265" s="694">
        <f t="shared" si="409"/>
        <v>6.8575037783943527E-2</v>
      </c>
    </row>
    <row r="4266" spans="2:4" ht="15.75">
      <c r="B4266" s="545" t="str">
        <f>'New split'!C301</f>
        <v>Africa</v>
      </c>
      <c r="C4266" s="548">
        <f>'New split'!J301</f>
        <v>141</v>
      </c>
      <c r="D4266" s="694">
        <f t="shared" si="409"/>
        <v>7.9515463219868715E-2</v>
      </c>
    </row>
    <row r="4267" spans="2:4" ht="15.75">
      <c r="B4267" s="545" t="str">
        <f>'New split'!C273</f>
        <v>El Salvador</v>
      </c>
      <c r="C4267" s="548">
        <f>'New split'!J273</f>
        <v>134</v>
      </c>
      <c r="D4267" s="694">
        <f t="shared" si="409"/>
        <v>7.5567887031648281E-2</v>
      </c>
    </row>
    <row r="4268" spans="2:4" ht="15.75">
      <c r="B4268" s="545" t="str">
        <f>'New split'!C281</f>
        <v>Panama wireless</v>
      </c>
      <c r="C4268" s="548">
        <f>'New split'!J281*0.8</f>
        <v>83.2</v>
      </c>
      <c r="D4268" s="694">
        <f t="shared" si="409"/>
        <v>4.6919762694277146E-2</v>
      </c>
    </row>
    <row r="4269" spans="2:4" ht="15.75">
      <c r="B4269" s="545" t="s">
        <v>5989</v>
      </c>
      <c r="C4269" s="548">
        <f>'New split'!J282</f>
        <v>0</v>
      </c>
      <c r="D4269" s="694">
        <f t="shared" si="409"/>
        <v>0</v>
      </c>
    </row>
    <row r="4270" spans="2:4" ht="15.75">
      <c r="B4270" s="545" t="str">
        <f>'New split'!C283</f>
        <v>Nicaragua wireless</v>
      </c>
      <c r="C4270" s="548">
        <f>'New split'!J283</f>
        <v>69</v>
      </c>
      <c r="D4270" s="694">
        <f t="shared" si="409"/>
        <v>3.8911822426744264E-2</v>
      </c>
    </row>
    <row r="4271" spans="2:4" ht="15.75">
      <c r="B4271" s="545" t="s">
        <v>5990</v>
      </c>
      <c r="C4271" s="548">
        <f>'New split'!J280</f>
        <v>62</v>
      </c>
      <c r="D4271" s="694">
        <f t="shared" si="409"/>
        <v>3.496424623852383E-2</v>
      </c>
    </row>
    <row r="4272" spans="2:4" ht="15.75">
      <c r="B4272" s="543" t="str">
        <f>'New split'!C304</f>
        <v>Corporate costs</v>
      </c>
      <c r="C4272" s="551">
        <f>'New split'!J304</f>
        <v>-139</v>
      </c>
      <c r="D4272" s="710">
        <f t="shared" si="409"/>
        <v>-7.8387584308948585E-2</v>
      </c>
    </row>
    <row r="4273" spans="2:6" ht="15.75">
      <c r="B4273" s="695" t="s">
        <v>6025</v>
      </c>
      <c r="C4273">
        <f>SUM(C4260:C4272)</f>
        <v>1773.24</v>
      </c>
      <c r="D4273">
        <f t="shared" si="409"/>
        <v>1</v>
      </c>
    </row>
    <row r="4275" spans="2:6">
      <c r="B4275" s="450" t="s">
        <v>5993</v>
      </c>
    </row>
    <row r="4277" spans="2:6">
      <c r="B4277" t="s">
        <v>5994</v>
      </c>
      <c r="C4277" s="464">
        <v>95290.969646724989</v>
      </c>
      <c r="D4277" s="478" t="s">
        <v>2035</v>
      </c>
      <c r="E4277" s="464">
        <f>C4277+C4278</f>
        <v>113830.14191349206</v>
      </c>
      <c r="F4277" s="449">
        <f t="shared" ref="F4277:F4288" si="410">E4277/E$4288</f>
        <v>0.35926759944295394</v>
      </c>
    </row>
    <row r="4278" spans="2:6">
      <c r="B4278" t="s">
        <v>5995</v>
      </c>
      <c r="C4278" s="464">
        <v>18539.172266767077</v>
      </c>
      <c r="D4278" s="478" t="s">
        <v>62</v>
      </c>
      <c r="E4278" s="464">
        <f>C4279+C4280</f>
        <v>66148.115867507149</v>
      </c>
      <c r="F4278" s="449">
        <f t="shared" si="410"/>
        <v>0.20877488506914407</v>
      </c>
    </row>
    <row r="4279" spans="2:6">
      <c r="B4279" t="s">
        <v>5996</v>
      </c>
      <c r="C4279" s="464">
        <v>28014.415301841866</v>
      </c>
      <c r="D4279" s="478" t="s">
        <v>6003</v>
      </c>
      <c r="E4279" s="464">
        <f>C4293</f>
        <v>32884.106939696831</v>
      </c>
      <c r="F4279" s="449">
        <f t="shared" si="410"/>
        <v>0.10378792437093456</v>
      </c>
    </row>
    <row r="4280" spans="2:6">
      <c r="B4280" t="s">
        <v>5997</v>
      </c>
      <c r="C4280" s="464">
        <v>38133.700565665284</v>
      </c>
      <c r="D4280" t="str">
        <f>B4286</f>
        <v>Colombia</v>
      </c>
      <c r="E4280" s="464">
        <f>C4286</f>
        <v>31238.727900363876</v>
      </c>
      <c r="F4280" s="449">
        <f t="shared" si="410"/>
        <v>9.8594823776505469E-2</v>
      </c>
    </row>
    <row r="4281" spans="2:6">
      <c r="C4281" s="464"/>
      <c r="D4281" s="478" t="s">
        <v>6004</v>
      </c>
      <c r="E4281" s="464">
        <f>C4291</f>
        <v>29439.78385519853</v>
      </c>
      <c r="F4281" s="449">
        <f t="shared" si="410"/>
        <v>9.2917045485322064E-2</v>
      </c>
    </row>
    <row r="4282" spans="2:6">
      <c r="B4282" t="s">
        <v>5998</v>
      </c>
      <c r="C4282" s="464">
        <v>13374.015674507362</v>
      </c>
      <c r="D4282" s="478" t="s">
        <v>2037</v>
      </c>
      <c r="E4282" s="464">
        <f>C4282</f>
        <v>13374.015674507362</v>
      </c>
      <c r="F4282" s="449">
        <f t="shared" si="410"/>
        <v>4.2210704700203744E-2</v>
      </c>
    </row>
    <row r="4283" spans="2:6">
      <c r="B4283" t="s">
        <v>2030</v>
      </c>
      <c r="C4283" s="464">
        <v>4912.7150287591521</v>
      </c>
      <c r="D4283" s="478" t="s">
        <v>1972</v>
      </c>
      <c r="E4283" s="464">
        <f>C4292</f>
        <v>11569.137838345401</v>
      </c>
      <c r="F4283" s="449">
        <f t="shared" si="410"/>
        <v>3.6514198339186524E-2</v>
      </c>
    </row>
    <row r="4284" spans="2:6">
      <c r="B4284" t="s">
        <v>5999</v>
      </c>
      <c r="C4284" s="464">
        <v>18286.730703266512</v>
      </c>
      <c r="D4284" t="str">
        <f>B4287</f>
        <v>Ecuador</v>
      </c>
      <c r="E4284" s="464">
        <f>C4287</f>
        <v>11123.667813987704</v>
      </c>
      <c r="F4284" s="449">
        <f t="shared" si="410"/>
        <v>3.5108217958380067E-2</v>
      </c>
    </row>
    <row r="4285" spans="2:6">
      <c r="C4285" s="464"/>
      <c r="D4285" t="str">
        <f>B4288</f>
        <v>Peru</v>
      </c>
      <c r="E4285" s="464">
        <f>C4288</f>
        <v>9069.0185279033267</v>
      </c>
      <c r="F4285" s="449">
        <f t="shared" si="410"/>
        <v>2.8623389737137031E-2</v>
      </c>
    </row>
    <row r="4286" spans="2:6">
      <c r="B4286" t="s">
        <v>1665</v>
      </c>
      <c r="C4286" s="464">
        <v>31238.727900363876</v>
      </c>
      <c r="D4286" t="str">
        <f>B4283</f>
        <v>Chile</v>
      </c>
      <c r="E4286" s="464">
        <f>C4283</f>
        <v>4912.7150287591521</v>
      </c>
      <c r="F4286" s="449">
        <f t="shared" si="410"/>
        <v>1.550537762195677E-2</v>
      </c>
    </row>
    <row r="4287" spans="2:6">
      <c r="B4287" t="s">
        <v>2031</v>
      </c>
      <c r="C4287" s="464">
        <v>11123.667813987704</v>
      </c>
      <c r="D4287" s="478" t="s">
        <v>1540</v>
      </c>
      <c r="E4287" s="464">
        <f>C4294</f>
        <v>-6750</v>
      </c>
      <c r="F4287" s="449">
        <f t="shared" si="410"/>
        <v>-2.1304166501724286E-2</v>
      </c>
    </row>
    <row r="4288" spans="2:6">
      <c r="B4288" t="s">
        <v>2036</v>
      </c>
      <c r="C4288" s="464">
        <v>9069.0185279033267</v>
      </c>
      <c r="D4288" s="478" t="s">
        <v>2324</v>
      </c>
      <c r="E4288" s="464">
        <f>C4295</f>
        <v>316839.43135976139</v>
      </c>
      <c r="F4288" s="449">
        <f t="shared" si="410"/>
        <v>1</v>
      </c>
    </row>
    <row r="4289" spans="2:3">
      <c r="B4289" t="s">
        <v>6000</v>
      </c>
      <c r="C4289" s="464">
        <v>51431.414242254905</v>
      </c>
    </row>
    <row r="4290" spans="2:3">
      <c r="C4290" s="464"/>
    </row>
    <row r="4291" spans="2:3">
      <c r="B4291" t="s">
        <v>6001</v>
      </c>
      <c r="C4291" s="464">
        <v>29439.78385519853</v>
      </c>
    </row>
    <row r="4292" spans="2:3">
      <c r="B4292" t="s">
        <v>6002</v>
      </c>
      <c r="C4292" s="464">
        <v>11569.137838345401</v>
      </c>
    </row>
    <row r="4293" spans="2:3">
      <c r="B4293" t="s">
        <v>6003</v>
      </c>
      <c r="C4293" s="464">
        <v>32884.106939696831</v>
      </c>
    </row>
    <row r="4294" spans="2:3">
      <c r="B4294" t="s">
        <v>1540</v>
      </c>
      <c r="C4294" s="464">
        <v>-6750</v>
      </c>
    </row>
    <row r="4295" spans="2:3">
      <c r="B4295" t="s">
        <v>1433</v>
      </c>
      <c r="C4295" s="464">
        <v>316839.43135976139</v>
      </c>
    </row>
    <row r="4297" spans="2:3">
      <c r="B4297" s="478" t="s">
        <v>6005</v>
      </c>
    </row>
    <row r="4299" spans="2:3">
      <c r="B4299" s="478" t="s">
        <v>1975</v>
      </c>
      <c r="C4299" s="449">
        <v>0.47</v>
      </c>
    </row>
    <row r="4300" spans="2:3">
      <c r="B4300" s="478" t="s">
        <v>6006</v>
      </c>
      <c r="C4300" s="449">
        <v>0.23</v>
      </c>
    </row>
    <row r="4301" spans="2:3">
      <c r="B4301" s="478" t="s">
        <v>887</v>
      </c>
      <c r="C4301" s="449">
        <v>0.18</v>
      </c>
    </row>
    <row r="4302" spans="2:3">
      <c r="B4302" s="478" t="s">
        <v>6007</v>
      </c>
      <c r="C4302" s="449">
        <v>0.05</v>
      </c>
    </row>
    <row r="4303" spans="2:3">
      <c r="B4303" s="478" t="s">
        <v>3261</v>
      </c>
      <c r="C4303" s="449">
        <v>0.03</v>
      </c>
    </row>
    <row r="4304" spans="2:3">
      <c r="B4304" s="478" t="s">
        <v>2803</v>
      </c>
      <c r="C4304" s="449">
        <v>0.01</v>
      </c>
    </row>
    <row r="4305" spans="2:4">
      <c r="B4305" s="478" t="s">
        <v>1377</v>
      </c>
      <c r="C4305" s="449">
        <f>C4306-SUM(C4299:C4304)</f>
        <v>3.0000000000000027E-2</v>
      </c>
    </row>
    <row r="4306" spans="2:4">
      <c r="C4306" s="449">
        <v>1</v>
      </c>
    </row>
    <row r="4310" spans="2:4">
      <c r="B4310" s="450" t="s">
        <v>6082</v>
      </c>
    </row>
    <row r="4311" spans="2:4">
      <c r="B4311" s="674" t="s">
        <v>6083</v>
      </c>
    </row>
    <row r="4312" spans="2:4">
      <c r="B4312" t="s">
        <v>4498</v>
      </c>
      <c r="C4312" t="s">
        <v>6072</v>
      </c>
      <c r="D4312" s="449">
        <v>-0.13500000000000001</v>
      </c>
    </row>
    <row r="4313" spans="2:4">
      <c r="B4313" t="s">
        <v>2587</v>
      </c>
      <c r="C4313" t="s">
        <v>6072</v>
      </c>
      <c r="D4313" s="449">
        <v>-0.06</v>
      </c>
    </row>
    <row r="4314" spans="2:4">
      <c r="B4314" t="s">
        <v>955</v>
      </c>
      <c r="C4314" t="s">
        <v>6072</v>
      </c>
      <c r="D4314" s="449">
        <v>0.05</v>
      </c>
    </row>
    <row r="4315" spans="2:4">
      <c r="B4315" t="s">
        <v>6078</v>
      </c>
      <c r="C4315" t="s">
        <v>6072</v>
      </c>
      <c r="D4315" s="449">
        <v>0.05</v>
      </c>
    </row>
    <row r="4317" spans="2:4">
      <c r="B4317" t="s">
        <v>6073</v>
      </c>
      <c r="C4317" t="s">
        <v>6076</v>
      </c>
      <c r="D4317" s="449">
        <v>-0.37</v>
      </c>
    </row>
    <row r="4318" spans="2:4">
      <c r="B4318" t="s">
        <v>6077</v>
      </c>
      <c r="C4318" t="s">
        <v>6076</v>
      </c>
      <c r="D4318" s="449">
        <v>0.24</v>
      </c>
    </row>
    <row r="4319" spans="2:4">
      <c r="B4319" t="s">
        <v>6075</v>
      </c>
      <c r="C4319" t="s">
        <v>6076</v>
      </c>
      <c r="D4319" s="449">
        <v>0.28999999999999998</v>
      </c>
    </row>
    <row r="4320" spans="2:4">
      <c r="B4320" t="s">
        <v>6074</v>
      </c>
      <c r="C4320" t="s">
        <v>6076</v>
      </c>
      <c r="D4320" s="449">
        <v>0.34</v>
      </c>
    </row>
    <row r="4322" spans="2:5">
      <c r="B4322" t="s">
        <v>5960</v>
      </c>
      <c r="C4322" t="s">
        <v>967</v>
      </c>
      <c r="D4322" s="449">
        <v>-0.23</v>
      </c>
    </row>
    <row r="4323" spans="2:5">
      <c r="B4323" t="s">
        <v>6079</v>
      </c>
      <c r="C4323" t="s">
        <v>967</v>
      </c>
      <c r="D4323" s="449">
        <v>0.13</v>
      </c>
    </row>
    <row r="4324" spans="2:5">
      <c r="D4324" s="449"/>
    </row>
    <row r="4325" spans="2:5">
      <c r="B4325" t="s">
        <v>6080</v>
      </c>
      <c r="C4325" t="s">
        <v>6081</v>
      </c>
      <c r="D4325" s="449">
        <v>-0.03</v>
      </c>
    </row>
    <row r="4327" spans="2:5">
      <c r="B4327" s="478" t="s">
        <v>6076</v>
      </c>
      <c r="C4327">
        <v>3.7</v>
      </c>
      <c r="D4327">
        <v>4.0999999999999996</v>
      </c>
    </row>
    <row r="4328" spans="2:5">
      <c r="C4328" s="468">
        <f>1/C4327</f>
        <v>0.27027027027027023</v>
      </c>
      <c r="D4328" s="468">
        <f>1/D4327</f>
        <v>0.24390243902439027</v>
      </c>
      <c r="E4328" s="449">
        <f>D4328/C4328-1</f>
        <v>-9.7560975609755851E-2</v>
      </c>
    </row>
    <row r="4330" spans="2:5">
      <c r="B4330" s="478" t="s">
        <v>6072</v>
      </c>
      <c r="C4330">
        <v>19</v>
      </c>
      <c r="D4330">
        <v>18.8</v>
      </c>
    </row>
    <row r="4331" spans="2:5">
      <c r="C4331" s="468">
        <f>1/C4330</f>
        <v>5.2631578947368418E-2</v>
      </c>
      <c r="D4331" s="468">
        <f>1/D4330</f>
        <v>5.3191489361702128E-2</v>
      </c>
      <c r="E4331" s="449">
        <f>D4331/C4331-1</f>
        <v>1.0638297872340496E-2</v>
      </c>
    </row>
    <row r="4333" spans="2:5">
      <c r="B4333" s="478" t="s">
        <v>6081</v>
      </c>
      <c r="C4333">
        <v>673</v>
      </c>
      <c r="D4333">
        <v>778</v>
      </c>
    </row>
    <row r="4334" spans="2:5">
      <c r="C4334" s="468">
        <f>1/C4333</f>
        <v>1.4858841010401188E-3</v>
      </c>
      <c r="D4334" s="468">
        <f>1/D4333</f>
        <v>1.2853470437017994E-3</v>
      </c>
      <c r="E4334" s="449">
        <f>D4334/C4334-1</f>
        <v>-0.134961439588689</v>
      </c>
    </row>
    <row r="4336" spans="2:5">
      <c r="B4336" t="s">
        <v>1541</v>
      </c>
      <c r="C4336" t="s">
        <v>821</v>
      </c>
      <c r="D4336" t="s">
        <v>1644</v>
      </c>
    </row>
    <row r="4337" spans="2:256" ht="15.75">
      <c r="B4337" s="545" t="s">
        <v>6084</v>
      </c>
      <c r="C4337" s="589" t="e">
        <f>'New (new) quarts'!#REF!+'New (new) quarts'!#REF!+'New (new) quarts'!#REF!+'New (new) quarts'!#REF!+'New (new) quarts'!#REF!+'New (new) quarts'!#REF!+'New (new) quarts'!#REF!+'New (new) quarts'!#REF!</f>
        <v>#REF!</v>
      </c>
      <c r="D4337" s="589" t="e">
        <f>'New (new) quarts'!#REF!+'New (new) quarts'!#REF!+'New (new) quarts'!#REF!+'New (new) quarts'!#REF!+'New (new) quarts'!#REF!+'New (new) quarts'!#REF!+'New (new) quarts'!#REF!+'New (new) quarts'!#REF!</f>
        <v>#REF!</v>
      </c>
      <c r="IV4337" s="454"/>
    </row>
    <row r="4338" spans="2:256" ht="15.75">
      <c r="B4338" s="545"/>
      <c r="C4338" s="589"/>
      <c r="D4338" s="589"/>
      <c r="IV4338" s="454"/>
    </row>
    <row r="4339" spans="2:256" ht="15.75">
      <c r="B4339" s="545" t="s">
        <v>6085</v>
      </c>
      <c r="C4339" s="589" t="e">
        <f>'New (new) quarts'!#REF!</f>
        <v>#REF!</v>
      </c>
      <c r="D4339" s="545"/>
    </row>
    <row r="4340" spans="2:256" ht="15.75">
      <c r="B4340" s="543" t="s">
        <v>6086</v>
      </c>
      <c r="C4340" t="e">
        <f>'New (new) quarts'!#REF!+'New (new) quarts'!#REF!</f>
        <v>#REF!</v>
      </c>
    </row>
    <row r="4341" spans="2:256" ht="15.75">
      <c r="B4341" s="545" t="s">
        <v>6087</v>
      </c>
      <c r="C4341" s="589" t="e">
        <f>C4339+C4340</f>
        <v>#REF!</v>
      </c>
      <c r="D4341" s="589" t="e">
        <f>D4343-D4337</f>
        <v>#REF!</v>
      </c>
    </row>
    <row r="4342" spans="2:256" ht="15.75">
      <c r="B4342" s="545"/>
      <c r="C4342" s="589"/>
      <c r="D4342" s="545"/>
    </row>
    <row r="4343" spans="2:256" ht="15.75">
      <c r="B4343" s="545" t="s">
        <v>2554</v>
      </c>
      <c r="C4343" s="589" t="e">
        <f>C4337+C4341</f>
        <v>#REF!</v>
      </c>
      <c r="D4343" s="589">
        <v>644</v>
      </c>
    </row>
    <row r="4345" spans="2:256">
      <c r="C4345" s="478"/>
      <c r="D4345" s="478"/>
      <c r="E4345" s="478"/>
      <c r="F4345" s="478"/>
      <c r="G4345" s="478"/>
      <c r="H4345" s="478"/>
      <c r="I4345" s="478"/>
      <c r="J4345" s="478"/>
      <c r="K4345" s="478"/>
      <c r="L4345" s="478"/>
      <c r="M4345" s="478"/>
      <c r="N4345" s="478"/>
      <c r="O4345" s="478"/>
      <c r="P4345" s="478"/>
    </row>
    <row r="4346" spans="2:256">
      <c r="B4346" s="450" t="s">
        <v>6097</v>
      </c>
      <c r="C4346" s="599" t="s">
        <v>1432</v>
      </c>
      <c r="D4346" s="599" t="s">
        <v>6092</v>
      </c>
      <c r="E4346" s="599" t="s">
        <v>6092</v>
      </c>
      <c r="F4346" s="599" t="s">
        <v>6093</v>
      </c>
      <c r="G4346" s="478"/>
      <c r="H4346" s="478"/>
      <c r="I4346" s="478"/>
      <c r="J4346" s="478"/>
      <c r="K4346" s="478"/>
      <c r="L4346" s="478"/>
      <c r="M4346" s="478"/>
      <c r="N4346" s="478"/>
      <c r="O4346" s="478"/>
      <c r="P4346" s="478"/>
    </row>
    <row r="4347" spans="2:256">
      <c r="B4347" s="451" t="s">
        <v>5524</v>
      </c>
      <c r="C4347" s="560">
        <v>2019</v>
      </c>
      <c r="D4347" s="560">
        <v>2020</v>
      </c>
      <c r="E4347" s="560" t="s">
        <v>6099</v>
      </c>
      <c r="F4347" s="560">
        <v>2020</v>
      </c>
      <c r="G4347" s="478"/>
      <c r="H4347" s="478"/>
      <c r="I4347" s="478"/>
      <c r="J4347" s="478"/>
      <c r="K4347" s="478"/>
      <c r="L4347" s="478"/>
      <c r="M4347" s="478"/>
      <c r="N4347" s="478"/>
      <c r="O4347" s="478"/>
      <c r="P4347" s="478"/>
    </row>
    <row r="4348" spans="2:256">
      <c r="B4348" s="478" t="s">
        <v>6105</v>
      </c>
      <c r="C4348" s="509">
        <v>2.1999999999999999E-2</v>
      </c>
      <c r="D4348" t="s">
        <v>6103</v>
      </c>
      <c r="E4348" s="506" t="s">
        <v>6098</v>
      </c>
      <c r="F4348" s="509">
        <f>'New (new) quarts'!AO375</f>
        <v>-2.1734235533529041E-2</v>
      </c>
      <c r="G4348" s="478"/>
      <c r="H4348" s="478"/>
      <c r="I4348" s="478"/>
      <c r="J4348" s="478"/>
      <c r="K4348" s="478"/>
      <c r="L4348" s="478"/>
      <c r="M4348" s="478"/>
      <c r="N4348" s="478"/>
      <c r="O4348" s="478"/>
      <c r="P4348" s="478"/>
    </row>
    <row r="4349" spans="2:256">
      <c r="B4349" s="478"/>
      <c r="C4349" s="478"/>
      <c r="D4349" t="s">
        <v>6104</v>
      </c>
      <c r="E4349" s="506" t="s">
        <v>6100</v>
      </c>
      <c r="F4349" s="478"/>
      <c r="G4349" s="478"/>
      <c r="H4349" s="478"/>
      <c r="I4349" s="478"/>
      <c r="J4349" s="478"/>
      <c r="K4349" s="478"/>
      <c r="L4349" s="478"/>
      <c r="M4349" s="478"/>
      <c r="N4349" s="478"/>
      <c r="O4349" s="478"/>
      <c r="P4349" s="478"/>
    </row>
    <row r="4350" spans="2:256">
      <c r="B4350" s="478" t="s">
        <v>360</v>
      </c>
      <c r="C4350" s="509">
        <v>0.02</v>
      </c>
      <c r="D4350" t="s">
        <v>6103</v>
      </c>
      <c r="E4350" s="506" t="s">
        <v>6101</v>
      </c>
      <c r="F4350" s="509">
        <f>'New split'!J342</f>
        <v>-2.438260845158069E-2</v>
      </c>
      <c r="G4350" s="478"/>
      <c r="H4350" s="478"/>
      <c r="I4350" s="478"/>
      <c r="J4350" s="478"/>
      <c r="K4350" s="478"/>
      <c r="L4350" s="478"/>
      <c r="M4350" s="478"/>
      <c r="N4350" s="478"/>
      <c r="O4350" s="478"/>
      <c r="P4350" s="478"/>
    </row>
    <row r="4351" spans="2:256">
      <c r="B4351" s="478"/>
      <c r="C4351" s="478"/>
      <c r="D4351" t="s">
        <v>6104</v>
      </c>
      <c r="E4351" s="506" t="s">
        <v>6102</v>
      </c>
      <c r="F4351" s="478"/>
      <c r="G4351" s="478"/>
      <c r="H4351" s="478"/>
      <c r="I4351" s="478"/>
      <c r="J4351" s="478"/>
      <c r="K4351" s="478"/>
      <c r="L4351" s="478"/>
      <c r="M4351" s="478"/>
      <c r="N4351" s="478"/>
      <c r="O4351" s="478"/>
      <c r="P4351" s="478"/>
    </row>
    <row r="4352" spans="2:256">
      <c r="B4352" s="478" t="s">
        <v>6106</v>
      </c>
      <c r="C4352" s="478"/>
      <c r="D4352" s="506"/>
      <c r="F4352" s="464">
        <f ca="1">'New split'!J439</f>
        <v>949</v>
      </c>
      <c r="G4352" s="478"/>
      <c r="H4352" s="478"/>
      <c r="I4352" s="478"/>
      <c r="J4352" s="478"/>
      <c r="K4352" s="478"/>
      <c r="L4352" s="478"/>
      <c r="M4352" s="478"/>
      <c r="N4352" s="478"/>
      <c r="O4352" s="478"/>
      <c r="P4352" s="478"/>
    </row>
    <row r="4353" spans="2:16">
      <c r="B4353" s="478"/>
      <c r="C4353" s="478"/>
      <c r="D4353" s="506"/>
      <c r="F4353" s="478"/>
      <c r="G4353" s="478"/>
      <c r="H4353" s="478"/>
      <c r="I4353" s="478"/>
      <c r="J4353" s="478"/>
      <c r="K4353" s="478"/>
      <c r="L4353" s="478"/>
      <c r="M4353" s="478"/>
      <c r="N4353" s="478"/>
      <c r="O4353" s="478"/>
      <c r="P4353" s="478"/>
    </row>
    <row r="4354" spans="2:16">
      <c r="B4354" s="478" t="s">
        <v>6091</v>
      </c>
      <c r="C4354" s="509">
        <v>0.106</v>
      </c>
      <c r="D4354" t="s">
        <v>6103</v>
      </c>
      <c r="E4354" s="509">
        <v>0.1</v>
      </c>
      <c r="F4354" s="509">
        <f ca="1">'New split'!J487</f>
        <v>-4.1828350392812144E-2</v>
      </c>
      <c r="G4354" s="478"/>
      <c r="H4354" s="478"/>
      <c r="I4354" s="478"/>
      <c r="J4354" s="478"/>
      <c r="K4354" s="478"/>
      <c r="L4354" s="478"/>
      <c r="M4354" s="478"/>
      <c r="N4354" s="478"/>
      <c r="O4354" s="478"/>
      <c r="P4354" s="478"/>
    </row>
    <row r="4355" spans="2:16">
      <c r="B4355" s="487"/>
      <c r="C4355" s="487"/>
      <c r="D4355" t="s">
        <v>6104</v>
      </c>
      <c r="E4355" s="487"/>
      <c r="F4355" s="487"/>
      <c r="G4355" s="478"/>
      <c r="H4355" s="478"/>
      <c r="I4355" s="478"/>
      <c r="J4355" s="478"/>
      <c r="K4355" s="478"/>
      <c r="L4355" s="478"/>
      <c r="M4355" s="478"/>
      <c r="N4355" s="478"/>
      <c r="O4355" s="478"/>
      <c r="P4355" s="478"/>
    </row>
    <row r="4356" spans="2:16">
      <c r="B4356" s="478"/>
      <c r="C4356" s="478"/>
      <c r="D4356" s="478"/>
      <c r="E4356" s="478"/>
      <c r="F4356" s="478"/>
      <c r="G4356" s="478"/>
      <c r="H4356" s="478"/>
      <c r="I4356" s="478"/>
      <c r="J4356" s="478"/>
      <c r="K4356" s="478"/>
      <c r="L4356" s="478"/>
      <c r="M4356" s="478"/>
      <c r="N4356" s="478"/>
      <c r="O4356" s="478"/>
      <c r="P4356" s="478"/>
    </row>
    <row r="4357" spans="2:16">
      <c r="B4357" s="478"/>
      <c r="C4357" s="478"/>
      <c r="D4357" s="478"/>
      <c r="E4357" s="478"/>
      <c r="F4357" s="478"/>
      <c r="G4357" s="478"/>
      <c r="H4357" s="478"/>
      <c r="I4357" s="478"/>
      <c r="J4357" s="478"/>
      <c r="K4357" s="478"/>
      <c r="L4357" s="478"/>
      <c r="M4357" s="478"/>
      <c r="N4357" s="478"/>
      <c r="O4357" s="478"/>
      <c r="P4357" s="478"/>
    </row>
    <row r="4358" spans="2:16">
      <c r="B4358" s="478"/>
      <c r="C4358" s="478"/>
      <c r="D4358" s="478"/>
      <c r="E4358" s="478"/>
      <c r="F4358" s="478"/>
      <c r="G4358" s="478"/>
      <c r="H4358" s="478"/>
      <c r="I4358" s="478"/>
      <c r="J4358" s="478"/>
      <c r="K4358" s="478"/>
      <c r="L4358" s="478"/>
      <c r="M4358" s="478"/>
      <c r="N4358" s="478"/>
      <c r="O4358" s="478"/>
      <c r="P4358" s="478"/>
    </row>
    <row r="4359" spans="2:16">
      <c r="B4359" s="478" t="s">
        <v>6117</v>
      </c>
      <c r="C4359" s="478">
        <v>2020</v>
      </c>
      <c r="D4359" s="478">
        <f>C4359+1</f>
        <v>2021</v>
      </c>
      <c r="E4359" s="478">
        <f>D4359+1</f>
        <v>2022</v>
      </c>
      <c r="F4359" s="478"/>
      <c r="G4359" s="478"/>
      <c r="H4359" s="478"/>
      <c r="I4359" s="478"/>
      <c r="J4359" s="478"/>
      <c r="K4359" s="478"/>
      <c r="L4359" s="478"/>
      <c r="M4359" s="478"/>
      <c r="N4359" s="478"/>
      <c r="O4359" s="478"/>
      <c r="P4359" s="478"/>
    </row>
    <row r="4360" spans="2:16">
      <c r="B4360" s="478"/>
      <c r="C4360" s="478"/>
      <c r="D4360" s="478"/>
      <c r="E4360" s="478"/>
      <c r="F4360" s="478"/>
      <c r="G4360" s="478"/>
      <c r="H4360" s="478"/>
      <c r="I4360" s="478"/>
      <c r="J4360" s="478"/>
      <c r="K4360" s="478"/>
      <c r="L4360" s="478"/>
      <c r="M4360" s="478"/>
      <c r="N4360" s="478"/>
      <c r="O4360" s="478"/>
      <c r="P4360" s="478"/>
    </row>
    <row r="4361" spans="2:16">
      <c r="B4361" s="478"/>
      <c r="C4361" s="478"/>
      <c r="D4361" s="478"/>
      <c r="E4361" s="478"/>
      <c r="F4361" s="478"/>
      <c r="G4361" s="478"/>
      <c r="H4361" s="478"/>
      <c r="I4361" s="478"/>
      <c r="J4361" s="478"/>
      <c r="K4361" s="478"/>
      <c r="L4361" s="478"/>
      <c r="M4361" s="478"/>
      <c r="N4361" s="478"/>
      <c r="O4361" s="478"/>
      <c r="P4361" s="478"/>
    </row>
    <row r="4362" spans="2:16">
      <c r="B4362" s="451" t="s">
        <v>2389</v>
      </c>
      <c r="C4362" s="560">
        <v>2019</v>
      </c>
      <c r="D4362" s="560">
        <v>2020</v>
      </c>
      <c r="E4362" s="560">
        <f>D4362+1</f>
        <v>2021</v>
      </c>
      <c r="F4362" s="560">
        <f>E4362+1</f>
        <v>2022</v>
      </c>
      <c r="G4362" s="560" t="s">
        <v>6122</v>
      </c>
      <c r="H4362" s="478"/>
      <c r="I4362" s="478"/>
      <c r="J4362" s="478"/>
      <c r="K4362" s="478"/>
      <c r="L4362" s="478"/>
      <c r="M4362" s="478"/>
      <c r="N4362" s="478"/>
      <c r="O4362" s="478"/>
      <c r="P4362" s="478"/>
    </row>
    <row r="4363" spans="2:16">
      <c r="B4363" s="499" t="s">
        <v>6118</v>
      </c>
      <c r="D4363" s="478"/>
      <c r="E4363" s="478"/>
      <c r="F4363" s="478"/>
      <c r="G4363" s="478"/>
      <c r="H4363" s="478"/>
      <c r="I4363" s="478"/>
      <c r="J4363" s="478"/>
      <c r="K4363" s="478"/>
      <c r="L4363" s="478"/>
      <c r="M4363" s="478"/>
      <c r="N4363" s="478"/>
      <c r="O4363" s="478"/>
      <c r="P4363" s="478"/>
    </row>
    <row r="4364" spans="2:16">
      <c r="B4364" s="478" t="s">
        <v>6120</v>
      </c>
      <c r="C4364" s="464"/>
      <c r="D4364" s="464">
        <f>Valuation!I94-Valuation!J94+D4366</f>
        <v>165.72999999999956</v>
      </c>
      <c r="E4364" s="464">
        <f>Valuation!J94-Valuation!K94+E4366</f>
        <v>-1886.4945905602926</v>
      </c>
      <c r="F4364" s="464">
        <f ca="1">Valuation!K94-Valuation!L94+F4366</f>
        <v>1180.8635964552886</v>
      </c>
      <c r="G4364" s="464">
        <f ca="1">SUM(D4364:F4364)</f>
        <v>-539.90099410500443</v>
      </c>
      <c r="H4364" s="478"/>
      <c r="I4364" s="478"/>
      <c r="J4364" s="478"/>
      <c r="K4364" s="478"/>
      <c r="L4364" s="478"/>
      <c r="M4364" s="478"/>
      <c r="N4364" s="478"/>
      <c r="O4364" s="478"/>
      <c r="P4364" s="478"/>
    </row>
    <row r="4365" spans="2:16">
      <c r="B4365" s="478"/>
      <c r="C4365" s="464"/>
      <c r="D4365" s="464"/>
      <c r="E4365" s="464"/>
      <c r="F4365" s="464"/>
      <c r="G4365" s="464"/>
      <c r="H4365" s="478"/>
      <c r="I4365" s="478"/>
      <c r="J4365" s="478"/>
      <c r="K4365" s="478"/>
      <c r="L4365" s="478"/>
      <c r="M4365" s="478"/>
      <c r="N4365" s="478"/>
      <c r="O4365" s="478"/>
      <c r="P4365" s="478"/>
    </row>
    <row r="4366" spans="2:16">
      <c r="B4366" s="478" t="s">
        <v>538</v>
      </c>
      <c r="C4366" s="464">
        <f>-Master!W109</f>
        <v>0</v>
      </c>
      <c r="D4366" s="464">
        <f>-Master!X109</f>
        <v>0</v>
      </c>
      <c r="E4366" s="464">
        <f>-Master!Y109</f>
        <v>0</v>
      </c>
      <c r="F4366" s="464">
        <f>-Master!Z109</f>
        <v>0</v>
      </c>
      <c r="G4366" s="464">
        <f>SUM(D4366:F4366)</f>
        <v>0</v>
      </c>
      <c r="H4366" s="478"/>
      <c r="I4366" s="478"/>
      <c r="J4366" s="478"/>
      <c r="K4366" s="478"/>
      <c r="L4366" s="478"/>
      <c r="M4366" s="478"/>
      <c r="N4366" s="478"/>
      <c r="O4366" s="478"/>
      <c r="P4366" s="478"/>
    </row>
    <row r="4367" spans="2:16">
      <c r="B4367" s="487" t="s">
        <v>2606</v>
      </c>
      <c r="C4367" s="490"/>
      <c r="D4367" s="490">
        <v>0</v>
      </c>
      <c r="E4367" s="490">
        <v>0</v>
      </c>
      <c r="F4367" s="490">
        <v>0</v>
      </c>
      <c r="G4367" s="490">
        <f>SUM(D4367:F4367)</f>
        <v>0</v>
      </c>
      <c r="H4367" s="478"/>
      <c r="I4367" s="478"/>
      <c r="J4367" s="478"/>
      <c r="K4367" s="478"/>
      <c r="L4367" s="478"/>
      <c r="M4367" s="478"/>
      <c r="N4367" s="478"/>
      <c r="O4367" s="478"/>
      <c r="P4367" s="478"/>
    </row>
    <row r="4368" spans="2:16">
      <c r="B4368" s="478" t="s">
        <v>2609</v>
      </c>
      <c r="C4368" s="464"/>
      <c r="D4368" s="464">
        <f>D4366+D4367</f>
        <v>0</v>
      </c>
      <c r="E4368" s="464">
        <f>E4366+E4367</f>
        <v>0</v>
      </c>
      <c r="F4368" s="464">
        <f>F4366+F4367</f>
        <v>0</v>
      </c>
      <c r="G4368" s="464">
        <f>SUM(D4368:F4368)</f>
        <v>0</v>
      </c>
      <c r="H4368" s="478"/>
      <c r="I4368" s="478"/>
      <c r="J4368" s="478"/>
      <c r="K4368" s="478"/>
      <c r="L4368" s="478"/>
      <c r="M4368" s="478"/>
      <c r="N4368" s="478"/>
      <c r="O4368" s="478"/>
      <c r="P4368" s="478"/>
    </row>
    <row r="4369" spans="2:16">
      <c r="B4369" s="478"/>
      <c r="C4369" s="464"/>
      <c r="D4369" s="464"/>
      <c r="E4369" s="464"/>
      <c r="F4369" s="464"/>
      <c r="G4369" s="464"/>
      <c r="H4369" s="478"/>
      <c r="I4369" s="478"/>
      <c r="J4369" s="478"/>
      <c r="K4369" s="478"/>
      <c r="L4369" s="478"/>
      <c r="M4369" s="478"/>
      <c r="N4369" s="478"/>
      <c r="O4369" s="478"/>
      <c r="P4369" s="478"/>
    </row>
    <row r="4370" spans="2:16" hidden="1" outlineLevel="1">
      <c r="B4370" s="478" t="s">
        <v>6119</v>
      </c>
      <c r="C4370" s="464"/>
      <c r="D4370" s="464">
        <f>D4364-D4366</f>
        <v>165.72999999999956</v>
      </c>
      <c r="E4370" s="464">
        <f>E4364-E4366</f>
        <v>-1886.4945905602926</v>
      </c>
      <c r="F4370" s="464">
        <f ca="1">F4364-F4366</f>
        <v>1180.8635964552886</v>
      </c>
      <c r="G4370" s="464">
        <f ca="1">SUM(D4370:F4370)</f>
        <v>-539.90099410500443</v>
      </c>
      <c r="H4370" s="478"/>
      <c r="I4370" s="478"/>
      <c r="J4370" s="478"/>
      <c r="K4370" s="478"/>
      <c r="L4370" s="478"/>
      <c r="M4370" s="478"/>
      <c r="N4370" s="478"/>
      <c r="O4370" s="478"/>
      <c r="P4370" s="478"/>
    </row>
    <row r="4371" spans="2:16" hidden="1" outlineLevel="1">
      <c r="B4371" s="478" t="s">
        <v>4099</v>
      </c>
      <c r="C4371" s="464"/>
      <c r="D4371" s="464">
        <f>Valuation!J85</f>
        <v>1948.833871935987</v>
      </c>
      <c r="E4371" s="464">
        <f>Valuation!K85</f>
        <v>2249.9993099971803</v>
      </c>
      <c r="F4371" s="464">
        <f ca="1">Valuation!L85</f>
        <v>2143.0273123558168</v>
      </c>
      <c r="G4371" s="464"/>
      <c r="H4371" s="478"/>
      <c r="I4371" s="478"/>
      <c r="J4371" s="478"/>
      <c r="K4371" s="478"/>
      <c r="L4371" s="478"/>
      <c r="M4371" s="478"/>
      <c r="N4371" s="478"/>
      <c r="O4371" s="478"/>
      <c r="P4371" s="478"/>
    </row>
    <row r="4372" spans="2:16" hidden="1" outlineLevel="1">
      <c r="B4372" s="478" t="s">
        <v>5902</v>
      </c>
      <c r="C4372" s="464"/>
      <c r="D4372" s="464">
        <f>Valuation!J94</f>
        <v>5677.63</v>
      </c>
      <c r="E4372" s="464">
        <f>Valuation!K94</f>
        <v>7564.1245905602927</v>
      </c>
      <c r="F4372" s="464">
        <f ca="1">Valuation!L94</f>
        <v>6383.2609941050041</v>
      </c>
      <c r="G4372" s="464"/>
      <c r="H4372" s="478"/>
      <c r="I4372" s="478"/>
      <c r="J4372" s="478"/>
      <c r="K4372" s="478"/>
      <c r="L4372" s="478"/>
      <c r="M4372" s="478"/>
      <c r="N4372" s="478"/>
      <c r="O4372" s="478"/>
      <c r="P4372" s="478"/>
    </row>
    <row r="4373" spans="2:16" collapsed="1">
      <c r="B4373" s="478" t="s">
        <v>5499</v>
      </c>
      <c r="C4373" s="468">
        <v>3.19</v>
      </c>
      <c r="D4373" s="468">
        <f>Valuation!J96</f>
        <v>2.9133473518498514</v>
      </c>
      <c r="E4373" s="468">
        <f>Valuation!K96</f>
        <v>3.3618341823268256</v>
      </c>
      <c r="F4373" s="468">
        <f ca="1">Valuation!L96</f>
        <v>2.978618591233877</v>
      </c>
      <c r="G4373" s="468"/>
      <c r="H4373" s="478"/>
      <c r="I4373" s="478"/>
      <c r="J4373" s="478"/>
      <c r="K4373" s="478"/>
      <c r="L4373" s="478"/>
      <c r="M4373" s="478"/>
      <c r="N4373" s="478"/>
      <c r="O4373" s="478"/>
      <c r="P4373" s="478"/>
    </row>
    <row r="4374" spans="2:16">
      <c r="B4374" s="478"/>
      <c r="H4374" s="478"/>
      <c r="I4374" s="478"/>
      <c r="J4374" s="478"/>
      <c r="K4374" s="478"/>
      <c r="L4374" s="478"/>
      <c r="M4374" s="478"/>
      <c r="N4374" s="478"/>
      <c r="O4374" s="478"/>
      <c r="P4374" s="478"/>
    </row>
    <row r="4375" spans="2:16">
      <c r="B4375" s="499" t="s">
        <v>6121</v>
      </c>
      <c r="C4375" s="478"/>
      <c r="D4375" s="478"/>
      <c r="E4375" s="478"/>
      <c r="F4375" s="478"/>
      <c r="G4375" s="478"/>
      <c r="H4375" s="478"/>
      <c r="I4375" s="478"/>
      <c r="J4375" s="478"/>
      <c r="K4375" s="478"/>
      <c r="L4375" s="478"/>
      <c r="M4375" s="478"/>
      <c r="N4375" s="478"/>
      <c r="O4375" s="478"/>
      <c r="P4375" s="478"/>
    </row>
    <row r="4376" spans="2:16">
      <c r="B4376" s="478" t="str">
        <f>B4364</f>
        <v>CF after spectrum/other</v>
      </c>
      <c r="C4376" s="478"/>
      <c r="D4376" s="491">
        <f>D4364</f>
        <v>165.72999999999956</v>
      </c>
      <c r="E4376" s="491">
        <f>E4364</f>
        <v>-1886.4945905602926</v>
      </c>
      <c r="F4376" s="491">
        <f ca="1">F4364</f>
        <v>1180.8635964552886</v>
      </c>
      <c r="G4376" s="454">
        <f ca="1">SUM(D4376:F4376)</f>
        <v>-539.90099410500443</v>
      </c>
      <c r="H4376" s="478"/>
      <c r="I4376" s="478"/>
      <c r="J4376" s="478"/>
      <c r="K4376" s="478"/>
      <c r="L4376" s="478"/>
      <c r="M4376" s="478"/>
      <c r="N4376" s="478"/>
      <c r="O4376" s="478"/>
      <c r="P4376" s="478"/>
    </row>
    <row r="4377" spans="2:16">
      <c r="B4377" s="478"/>
      <c r="C4377" s="478"/>
      <c r="D4377" s="491"/>
      <c r="E4377" s="491"/>
      <c r="F4377" s="491"/>
      <c r="H4377" s="478"/>
      <c r="I4377" s="478"/>
      <c r="J4377" s="478"/>
      <c r="K4377" s="478"/>
      <c r="L4377" s="478"/>
      <c r="M4377" s="478"/>
      <c r="N4377" s="478"/>
      <c r="O4377" s="478"/>
      <c r="P4377" s="478"/>
    </row>
    <row r="4378" spans="2:16">
      <c r="B4378" s="478" t="s">
        <v>538</v>
      </c>
      <c r="C4378" s="478"/>
      <c r="D4378" s="478">
        <v>100</v>
      </c>
      <c r="E4378" s="478">
        <v>100</v>
      </c>
      <c r="F4378" s="478">
        <v>100</v>
      </c>
      <c r="G4378">
        <f>SUM(D4378:F4378)</f>
        <v>300</v>
      </c>
      <c r="H4378" s="478"/>
      <c r="I4378" s="478"/>
      <c r="J4378" s="478"/>
      <c r="K4378" s="478"/>
      <c r="L4378" s="478"/>
      <c r="M4378" s="478"/>
      <c r="N4378" s="478"/>
      <c r="O4378" s="478"/>
      <c r="P4378" s="478"/>
    </row>
    <row r="4379" spans="2:16">
      <c r="B4379" s="487" t="s">
        <v>2606</v>
      </c>
      <c r="C4379" s="487"/>
      <c r="D4379" s="487">
        <v>250</v>
      </c>
      <c r="E4379" s="487">
        <v>150</v>
      </c>
      <c r="F4379" s="487">
        <v>100</v>
      </c>
      <c r="G4379" s="455">
        <f>SUM(D4379:F4379)</f>
        <v>500</v>
      </c>
      <c r="H4379" s="478"/>
      <c r="I4379" s="478"/>
      <c r="J4379" s="478"/>
      <c r="K4379" s="478"/>
      <c r="L4379" s="478"/>
      <c r="M4379" s="478"/>
      <c r="N4379" s="478"/>
      <c r="O4379" s="478"/>
      <c r="P4379" s="478"/>
    </row>
    <row r="4380" spans="2:16">
      <c r="B4380" s="478" t="s">
        <v>2609</v>
      </c>
      <c r="C4380" s="478"/>
      <c r="D4380" s="478">
        <f>D4378+D4379</f>
        <v>350</v>
      </c>
      <c r="E4380" s="478">
        <f>E4378+E4379</f>
        <v>250</v>
      </c>
      <c r="F4380" s="478">
        <f>F4378+F4379</f>
        <v>200</v>
      </c>
      <c r="G4380">
        <f>SUM(D4380:F4380)</f>
        <v>800</v>
      </c>
      <c r="H4380" s="478"/>
      <c r="I4380" s="478"/>
      <c r="J4380" s="478"/>
      <c r="K4380" s="478"/>
      <c r="L4380" s="478"/>
      <c r="M4380" s="478"/>
      <c r="N4380" s="478"/>
      <c r="O4380" s="478"/>
      <c r="P4380" s="478"/>
    </row>
    <row r="4381" spans="2:16">
      <c r="B4381" s="478"/>
      <c r="C4381" s="478"/>
      <c r="D4381" s="478"/>
      <c r="E4381" s="478"/>
      <c r="F4381" s="478"/>
      <c r="G4381" s="464"/>
      <c r="H4381" s="478"/>
      <c r="I4381" s="478"/>
      <c r="J4381" s="478"/>
      <c r="K4381" s="478"/>
      <c r="L4381" s="478"/>
      <c r="M4381" s="478"/>
      <c r="N4381" s="478"/>
      <c r="O4381" s="478"/>
      <c r="P4381" s="478"/>
    </row>
    <row r="4382" spans="2:16" hidden="1" outlineLevel="1">
      <c r="B4382" s="478" t="s">
        <v>6123</v>
      </c>
      <c r="C4382" s="478"/>
      <c r="D4382" s="491">
        <f>((D4378+D4379)-(D4366-D4367))*0.065</f>
        <v>22.75</v>
      </c>
      <c r="E4382" s="491">
        <f>((E4378+E4379)-(E4366-E4367))*0.065</f>
        <v>16.25</v>
      </c>
      <c r="F4382" s="491">
        <f>((F4378+F4379)-(F4366-F4367))*0.065</f>
        <v>13</v>
      </c>
      <c r="G4382" s="478"/>
      <c r="H4382" s="478"/>
      <c r="I4382" s="478"/>
      <c r="J4382" s="478"/>
      <c r="K4382" s="478"/>
      <c r="L4382" s="478"/>
      <c r="M4382" s="478"/>
      <c r="N4382" s="478"/>
      <c r="O4382" s="478"/>
      <c r="P4382" s="478"/>
    </row>
    <row r="4383" spans="2:16" hidden="1" outlineLevel="1">
      <c r="B4383" s="478" t="s">
        <v>6124</v>
      </c>
      <c r="C4383" s="478"/>
      <c r="D4383" s="491">
        <f>D4380-D4368+D4382</f>
        <v>372.75</v>
      </c>
      <c r="E4383" s="491">
        <f>E4380-E4368+E4382</f>
        <v>266.25</v>
      </c>
      <c r="F4383" s="491">
        <f>F4380-F4368+F4382</f>
        <v>213</v>
      </c>
      <c r="G4383" s="478"/>
      <c r="H4383" s="478"/>
      <c r="I4383" s="478"/>
      <c r="J4383" s="478"/>
      <c r="K4383" s="478"/>
      <c r="L4383" s="478"/>
      <c r="M4383" s="478"/>
      <c r="N4383" s="478"/>
      <c r="O4383" s="478"/>
      <c r="P4383" s="478"/>
    </row>
    <row r="4384" spans="2:16" hidden="1" outlineLevel="1">
      <c r="B4384" s="478" t="s">
        <v>4203</v>
      </c>
      <c r="C4384" s="478"/>
      <c r="D4384" s="491">
        <f>D4372+D4383</f>
        <v>6050.38</v>
      </c>
      <c r="E4384" s="491">
        <f>E4372+E4383+D4383</f>
        <v>8203.1245905602918</v>
      </c>
      <c r="F4384" s="491">
        <f ca="1">F4372+F4383+E4383+D4383</f>
        <v>7235.2609941050041</v>
      </c>
      <c r="G4384" s="478"/>
      <c r="H4384" s="478"/>
      <c r="I4384" s="478"/>
      <c r="J4384" s="478"/>
      <c r="K4384" s="478"/>
      <c r="L4384" s="478"/>
      <c r="M4384" s="478"/>
      <c r="N4384" s="478"/>
      <c r="O4384" s="478"/>
      <c r="P4384" s="478"/>
    </row>
    <row r="4385" spans="2:16" collapsed="1">
      <c r="B4385" s="478" t="s">
        <v>6125</v>
      </c>
      <c r="C4385" s="468">
        <f>C4373</f>
        <v>3.19</v>
      </c>
      <c r="D4385" s="468">
        <f>D4384/D4371</f>
        <v>3.104615579156321</v>
      </c>
      <c r="E4385" s="468">
        <f>E4384/E4371</f>
        <v>3.6458342694205412</v>
      </c>
      <c r="F4385" s="468">
        <f ca="1">F4384/F4371</f>
        <v>3.3761870193578289</v>
      </c>
      <c r="G4385" s="478"/>
      <c r="H4385" s="478"/>
      <c r="I4385" s="478"/>
      <c r="J4385" s="478"/>
      <c r="K4385" s="478"/>
      <c r="L4385" s="478"/>
      <c r="M4385" s="478"/>
      <c r="N4385" s="478"/>
      <c r="O4385" s="478"/>
      <c r="P4385" s="478"/>
    </row>
    <row r="4386" spans="2:16">
      <c r="B4386" s="478"/>
      <c r="C4386" s="478"/>
      <c r="D4386" s="478"/>
      <c r="E4386" s="478"/>
      <c r="F4386" s="478"/>
      <c r="G4386" s="478"/>
      <c r="H4386" s="478"/>
      <c r="I4386" s="478"/>
      <c r="J4386" s="478"/>
      <c r="K4386" s="478"/>
      <c r="L4386" s="478"/>
      <c r="M4386" s="478"/>
      <c r="N4386" s="478"/>
      <c r="O4386" s="478"/>
      <c r="P4386" s="478"/>
    </row>
    <row r="4387" spans="2:16">
      <c r="B4387" s="627" t="s">
        <v>6295</v>
      </c>
      <c r="C4387" s="478"/>
      <c r="D4387" s="478"/>
      <c r="E4387" s="478"/>
      <c r="F4387" s="478"/>
      <c r="G4387" s="478"/>
      <c r="H4387" s="478"/>
      <c r="I4387" s="478"/>
      <c r="J4387" s="478"/>
      <c r="K4387" s="478"/>
      <c r="L4387" s="478"/>
      <c r="M4387" s="478"/>
      <c r="N4387" s="478"/>
      <c r="O4387" s="478"/>
      <c r="P4387" s="478"/>
    </row>
    <row r="4388" spans="2:16">
      <c r="B4388" s="478"/>
      <c r="C4388" s="478"/>
      <c r="D4388" s="478"/>
      <c r="E4388" s="478"/>
      <c r="F4388" s="478"/>
      <c r="G4388" s="478"/>
      <c r="H4388" s="478"/>
      <c r="I4388" s="478"/>
      <c r="J4388" s="478"/>
      <c r="K4388" s="478"/>
      <c r="L4388" s="478"/>
      <c r="M4388" s="478"/>
      <c r="N4388" s="478"/>
      <c r="O4388" s="478"/>
      <c r="P4388" s="478"/>
    </row>
    <row r="4389" spans="2:16">
      <c r="B4389" s="451" t="s">
        <v>6252</v>
      </c>
      <c r="C4389" s="451">
        <v>2017</v>
      </c>
      <c r="D4389" s="451">
        <v>2018</v>
      </c>
      <c r="E4389" s="451">
        <v>2019</v>
      </c>
      <c r="F4389" s="451">
        <f>E4389+1</f>
        <v>2020</v>
      </c>
      <c r="G4389" s="451">
        <f>F4389+1</f>
        <v>2021</v>
      </c>
      <c r="H4389" s="451">
        <f>G4389+1</f>
        <v>2022</v>
      </c>
      <c r="I4389" s="451">
        <f>H4389+1</f>
        <v>2023</v>
      </c>
      <c r="J4389" s="451">
        <f>I4389+1</f>
        <v>2024</v>
      </c>
      <c r="K4389" s="478"/>
      <c r="L4389" s="478"/>
      <c r="M4389" s="478"/>
      <c r="N4389" s="478"/>
      <c r="O4389" s="478"/>
      <c r="P4389" s="478"/>
    </row>
    <row r="4390" spans="2:16">
      <c r="B4390" t="s">
        <v>6197</v>
      </c>
      <c r="C4390" s="1162">
        <f>0.66*C4394</f>
        <v>1972.0800000000002</v>
      </c>
      <c r="D4390" s="1162">
        <f>0.66*D4394</f>
        <v>1935.7800000000002</v>
      </c>
      <c r="E4390" s="1162">
        <f>0.66*E4394</f>
        <v>1955.5800000000002</v>
      </c>
      <c r="F4390" s="464">
        <f>F4394-F4392</f>
        <v>1946.8300000000002</v>
      </c>
      <c r="G4390" s="464">
        <f>G4394-G4392</f>
        <v>2148.284670434492</v>
      </c>
      <c r="H4390" s="464">
        <f>H4394-H4392</f>
        <v>1713.7942859327447</v>
      </c>
      <c r="I4390" s="464">
        <f>I4394-I4392</f>
        <v>1672.8312730711641</v>
      </c>
      <c r="J4390" s="464">
        <f>J4394-J4392</f>
        <v>1679.6034918078647</v>
      </c>
    </row>
    <row r="4391" spans="2:16">
      <c r="B4391" t="s">
        <v>1097</v>
      </c>
      <c r="C4391" s="456">
        <f t="shared" ref="C4391:J4391" si="411">C4390/C$4412</f>
        <v>0.38828115770821031</v>
      </c>
      <c r="D4391" s="456">
        <f t="shared" si="411"/>
        <v>0.38181065088757399</v>
      </c>
      <c r="E4391" s="456">
        <f t="shared" si="411"/>
        <v>0.35489975739678475</v>
      </c>
      <c r="F4391" s="456">
        <f t="shared" si="411"/>
        <v>0.36092510196514649</v>
      </c>
      <c r="G4391" s="456">
        <f t="shared" si="411"/>
        <v>0.37439607362051097</v>
      </c>
      <c r="H4391" s="456">
        <f t="shared" si="411"/>
        <v>0.33019454529677061</v>
      </c>
      <c r="I4391" s="456">
        <f t="shared" si="411"/>
        <v>0.31737454521430103</v>
      </c>
      <c r="J4391" s="456">
        <f t="shared" si="411"/>
        <v>0.30892749150770549</v>
      </c>
    </row>
    <row r="4392" spans="2:16">
      <c r="B4392" t="s">
        <v>6198</v>
      </c>
      <c r="C4392" s="464">
        <f>C4394-C4390</f>
        <v>1015.9199999999998</v>
      </c>
      <c r="D4392" s="464">
        <f>D4394-D4390</f>
        <v>997.2199999999998</v>
      </c>
      <c r="E4392" s="464">
        <f>E4394-E4390</f>
        <v>1007.4199999999998</v>
      </c>
      <c r="F4392" s="1181">
        <f>E4392</f>
        <v>1007.4199999999998</v>
      </c>
      <c r="G4392" s="1181">
        <f>F4392</f>
        <v>1007.4199999999998</v>
      </c>
      <c r="H4392" s="1162">
        <f>H$4398/G$4398*G4392</f>
        <v>803.66939414280591</v>
      </c>
      <c r="I4392" s="1162">
        <f>I$4398/H$4398*H4392</f>
        <v>784.46013431567724</v>
      </c>
      <c r="J4392" s="1162">
        <f>J$4398/I$4398*I4392</f>
        <v>787.63590924607638</v>
      </c>
      <c r="L4392" s="456"/>
      <c r="M4392" s="456"/>
      <c r="N4392" s="456"/>
      <c r="O4392" s="456"/>
      <c r="P4392" s="456"/>
    </row>
    <row r="4393" spans="2:16">
      <c r="B4393" t="s">
        <v>1097</v>
      </c>
      <c r="C4393" s="456">
        <f t="shared" ref="C4393:J4393" si="412">C4392/C$4412</f>
        <v>0.20002362669816889</v>
      </c>
      <c r="D4393" s="456">
        <f t="shared" si="412"/>
        <v>0.19669033530571989</v>
      </c>
      <c r="E4393" s="456">
        <f t="shared" si="412"/>
        <v>0.18282714774985878</v>
      </c>
      <c r="F4393" s="456">
        <f t="shared" si="412"/>
        <v>0.18676677790137186</v>
      </c>
      <c r="G4393" s="456">
        <f t="shared" si="412"/>
        <v>0.17556988497734399</v>
      </c>
      <c r="H4393" s="456">
        <f t="shared" si="412"/>
        <v>0.154841950604058</v>
      </c>
      <c r="I4393" s="456">
        <f t="shared" si="412"/>
        <v>0.14883011955539657</v>
      </c>
      <c r="J4393" s="456">
        <f t="shared" si="412"/>
        <v>0.14486894487393434</v>
      </c>
    </row>
    <row r="4394" spans="2:16">
      <c r="B4394" s="487" t="s">
        <v>6201</v>
      </c>
      <c r="C4394" s="490">
        <f t="shared" ref="C4394:J4394" si="413">C4398-C4396</f>
        <v>2988</v>
      </c>
      <c r="D4394" s="490">
        <f t="shared" si="413"/>
        <v>2933</v>
      </c>
      <c r="E4394" s="490">
        <f t="shared" si="413"/>
        <v>2963</v>
      </c>
      <c r="F4394" s="490">
        <f>F4398-F4396</f>
        <v>2954.25</v>
      </c>
      <c r="G4394" s="490">
        <f t="shared" si="413"/>
        <v>3155.7046704344916</v>
      </c>
      <c r="H4394" s="490">
        <f t="shared" si="413"/>
        <v>2517.4636800755507</v>
      </c>
      <c r="I4394" s="490">
        <f t="shared" si="413"/>
        <v>2457.2914073868415</v>
      </c>
      <c r="J4394" s="490">
        <f t="shared" si="413"/>
        <v>2467.239401053941</v>
      </c>
    </row>
    <row r="4395" spans="2:16">
      <c r="B4395" t="s">
        <v>1097</v>
      </c>
      <c r="C4395" s="456">
        <f t="shared" ref="C4395:J4395" si="414">C4394/C$4412</f>
        <v>0.58830478440637923</v>
      </c>
      <c r="D4395" s="456">
        <f t="shared" si="414"/>
        <v>0.57850098619329393</v>
      </c>
      <c r="E4395" s="456">
        <f t="shared" si="414"/>
        <v>0.53772690514664356</v>
      </c>
      <c r="F4395" s="456">
        <f t="shared" si="414"/>
        <v>0.54769187986651835</v>
      </c>
      <c r="G4395" s="456">
        <f t="shared" si="414"/>
        <v>0.54996595859785491</v>
      </c>
      <c r="H4395" s="456">
        <f t="shared" si="414"/>
        <v>0.48503649590082859</v>
      </c>
      <c r="I4395" s="456">
        <f t="shared" si="414"/>
        <v>0.46620466476969763</v>
      </c>
      <c r="J4395" s="456">
        <f t="shared" si="414"/>
        <v>0.45379643638163986</v>
      </c>
    </row>
    <row r="4396" spans="2:16">
      <c r="B4396" t="s">
        <v>6199</v>
      </c>
      <c r="C4396" s="523">
        <v>295</v>
      </c>
      <c r="D4396" s="523">
        <v>281</v>
      </c>
      <c r="E4396" s="523">
        <v>295</v>
      </c>
      <c r="F4396" s="1182">
        <f>E4396*0.95</f>
        <v>280.25</v>
      </c>
      <c r="G4396" s="1182">
        <f>F4396</f>
        <v>280.25</v>
      </c>
      <c r="H4396" s="1163">
        <f>H$4398/G$4398*G4396</f>
        <v>223.56946229826826</v>
      </c>
      <c r="I4396" s="1163">
        <f>I$4398/H$4398*H4396</f>
        <v>218.22571781577557</v>
      </c>
      <c r="J4396" s="1163">
        <f>J$4398/I$4398*I4396</f>
        <v>219.1091734988515</v>
      </c>
      <c r="L4396" s="456"/>
      <c r="M4396" s="456"/>
      <c r="N4396" s="456"/>
    </row>
    <row r="4397" spans="2:16">
      <c r="B4397" s="455" t="s">
        <v>1097</v>
      </c>
      <c r="C4397" s="561">
        <f t="shared" ref="C4397:J4397" si="415">C4396/C$4412</f>
        <v>5.8082299665288439E-2</v>
      </c>
      <c r="D4397" s="561">
        <f t="shared" si="415"/>
        <v>5.5424063116370811E-2</v>
      </c>
      <c r="E4397" s="561">
        <f t="shared" si="415"/>
        <v>5.3536765784090397E-2</v>
      </c>
      <c r="F4397" s="561">
        <f t="shared" si="415"/>
        <v>5.1955876900259546E-2</v>
      </c>
      <c r="G4397" s="561">
        <f t="shared" si="415"/>
        <v>4.8841059602649006E-2</v>
      </c>
      <c r="H4397" s="561">
        <f t="shared" si="415"/>
        <v>4.3074841334088329E-2</v>
      </c>
      <c r="I4397" s="561">
        <f t="shared" si="415"/>
        <v>4.1402434938158761E-2</v>
      </c>
      <c r="J4397" s="561">
        <f t="shared" si="415"/>
        <v>4.0300492149173243E-2</v>
      </c>
    </row>
    <row r="4398" spans="2:16">
      <c r="B4398" s="478" t="s">
        <v>6200</v>
      </c>
      <c r="C4398" s="523">
        <v>3283</v>
      </c>
      <c r="D4398" s="523">
        <v>3214</v>
      </c>
      <c r="E4398" s="523">
        <v>3258</v>
      </c>
      <c r="F4398" s="464">
        <f>F4412-F4403-F4406-F4410</f>
        <v>3234.5</v>
      </c>
      <c r="G4398" s="464">
        <f>G4412-G4403-G4406-G4410</f>
        <v>3435.9546704344916</v>
      </c>
      <c r="H4398" s="464">
        <f>H4412-H4403-H4406-H4410</f>
        <v>2741.0331423738189</v>
      </c>
      <c r="I4398" s="464">
        <f>I4412-I4403-I4406-I4410</f>
        <v>2675.5171252026171</v>
      </c>
      <c r="J4398" s="464">
        <f>J4412-J4403-J4406-J4410</f>
        <v>2686.3485745527923</v>
      </c>
    </row>
    <row r="4399" spans="2:16">
      <c r="B4399" s="478" t="s">
        <v>6204</v>
      </c>
      <c r="E4399" s="464"/>
      <c r="F4399" s="464">
        <f>'New (new) quarts'!AO47</f>
        <v>0</v>
      </c>
      <c r="G4399" s="464"/>
      <c r="H4399" s="464"/>
      <c r="I4399" s="464"/>
      <c r="J4399" s="464"/>
    </row>
    <row r="4400" spans="2:16">
      <c r="B4400" s="478" t="s">
        <v>2353</v>
      </c>
      <c r="D4400" s="449">
        <f>D4398/C4398-1</f>
        <v>-2.1017362168748055E-2</v>
      </c>
      <c r="E4400" s="449">
        <f>E4398/D4398-1</f>
        <v>1.3690105787180995E-2</v>
      </c>
      <c r="F4400" s="449">
        <f>(F4398-F4399)/E4398-1</f>
        <v>-7.2130141190914765E-3</v>
      </c>
      <c r="G4400" s="449">
        <f>G4398/F4398-1</f>
        <v>6.2283094893953228E-2</v>
      </c>
      <c r="H4400" s="449">
        <f>H4398/G4398-1</f>
        <v>-0.20224991151376182</v>
      </c>
      <c r="I4400" s="449">
        <f>I4398/H4398-1</f>
        <v>-2.3901942723123404E-2</v>
      </c>
      <c r="J4400" s="449">
        <f>J4398/I4398-1</f>
        <v>4.0483573243266235E-3</v>
      </c>
    </row>
    <row r="4401" spans="2:10">
      <c r="B4401" s="478" t="s">
        <v>6253</v>
      </c>
      <c r="C4401" s="449">
        <f t="shared" ref="C4401:J4401" si="416">C4398/C$4412</f>
        <v>0.64638708407166767</v>
      </c>
      <c r="D4401" s="449">
        <f t="shared" si="416"/>
        <v>0.63392504930966465</v>
      </c>
      <c r="E4401" s="449">
        <f t="shared" si="416"/>
        <v>0.59126367093073395</v>
      </c>
      <c r="F4401" s="449">
        <f t="shared" si="416"/>
        <v>0.59964775676677795</v>
      </c>
      <c r="G4401" s="449">
        <f t="shared" si="416"/>
        <v>0.59880701820050397</v>
      </c>
      <c r="H4401" s="449">
        <f t="shared" si="416"/>
        <v>0.52811133723491699</v>
      </c>
      <c r="I4401" s="449">
        <f t="shared" si="416"/>
        <v>0.50760709970785645</v>
      </c>
      <c r="J4401" s="449">
        <f t="shared" si="416"/>
        <v>0.49409692853081305</v>
      </c>
    </row>
    <row r="4402" spans="2:10">
      <c r="B4402" s="478"/>
      <c r="E4402" s="449"/>
      <c r="F4402" s="449"/>
      <c r="G4402" s="449"/>
      <c r="H4402" s="449"/>
      <c r="I4402" s="449"/>
      <c r="J4402" s="449"/>
    </row>
    <row r="4403" spans="2:10">
      <c r="B4403" s="478" t="s">
        <v>6202</v>
      </c>
      <c r="C4403" s="523">
        <f>Cable!D305</f>
        <v>1126</v>
      </c>
      <c r="D4403" s="523">
        <f>Cable!E305</f>
        <v>1257</v>
      </c>
      <c r="E4403" s="523">
        <f>Cable!F305</f>
        <v>1546</v>
      </c>
      <c r="F4403" s="464">
        <f>Cable!G305</f>
        <v>1520</v>
      </c>
      <c r="G4403" s="464">
        <f>Cable!H305</f>
        <v>1643.6678295655081</v>
      </c>
      <c r="H4403" s="464">
        <f>Cable!I305</f>
        <v>1771.4094201261819</v>
      </c>
      <c r="I4403" s="464">
        <f>Cable!J305</f>
        <v>1897.5004953598825</v>
      </c>
      <c r="J4403" s="464">
        <f>Cable!K305</f>
        <v>2032.1086404937701</v>
      </c>
    </row>
    <row r="4404" spans="2:10">
      <c r="B4404" s="478" t="s">
        <v>70</v>
      </c>
      <c r="C4404" s="449">
        <f t="shared" ref="C4404:J4404" si="417">C4403/C$4412</f>
        <v>0.22169718448513487</v>
      </c>
      <c r="D4404" s="449">
        <f t="shared" si="417"/>
        <v>0.24792899408284025</v>
      </c>
      <c r="E4404" s="449">
        <f t="shared" si="417"/>
        <v>0.28056894882102967</v>
      </c>
      <c r="F4404" s="449">
        <f t="shared" si="417"/>
        <v>0.28179458657767892</v>
      </c>
      <c r="G4404" s="449">
        <f t="shared" si="417"/>
        <v>0.28645308985108192</v>
      </c>
      <c r="H4404" s="449">
        <f t="shared" si="417"/>
        <v>0.34129517924879732</v>
      </c>
      <c r="I4404" s="449">
        <f t="shared" si="417"/>
        <v>0.35999946106527303</v>
      </c>
      <c r="J4404" s="449">
        <f t="shared" si="417"/>
        <v>0.37376334821926371</v>
      </c>
    </row>
    <row r="4406" spans="2:10">
      <c r="B4406" s="478" t="s">
        <v>6203</v>
      </c>
      <c r="C4406" s="523">
        <f>Cable!D323</f>
        <v>629</v>
      </c>
      <c r="D4406" s="523">
        <f>Cable!E323</f>
        <v>551</v>
      </c>
      <c r="E4406" s="523">
        <f>Cable!F323</f>
        <v>651</v>
      </c>
      <c r="F4406" s="464">
        <f>Cable!G323</f>
        <v>578</v>
      </c>
      <c r="G4406" s="464">
        <f>Cable!H323</f>
        <v>595.34</v>
      </c>
      <c r="H4406" s="464">
        <f>Cable!I323</f>
        <v>613.2002</v>
      </c>
      <c r="I4406" s="464">
        <f>Cable!J323</f>
        <v>631.59620600000005</v>
      </c>
      <c r="J4406" s="464">
        <f>Cable!K323</f>
        <v>650.54409218000012</v>
      </c>
    </row>
    <row r="4407" spans="2:10">
      <c r="B4407" s="478" t="s">
        <v>70</v>
      </c>
      <c r="C4407" s="449">
        <f t="shared" ref="C4407:J4407" si="418">C4406/C$4412</f>
        <v>0.12384327623547943</v>
      </c>
      <c r="D4407" s="449">
        <f t="shared" si="418"/>
        <v>0.10867850098619329</v>
      </c>
      <c r="E4407" s="449">
        <f t="shared" si="418"/>
        <v>0.11814384584895882</v>
      </c>
      <c r="F4407" s="449">
        <f t="shared" si="418"/>
        <v>0.10715609936967001</v>
      </c>
      <c r="G4407" s="449">
        <f t="shared" si="418"/>
        <v>0.10375392122690834</v>
      </c>
      <c r="H4407" s="449">
        <f t="shared" si="418"/>
        <v>0.1181444954489915</v>
      </c>
      <c r="I4407" s="449">
        <f t="shared" si="418"/>
        <v>0.11982831853108269</v>
      </c>
      <c r="J4407" s="449">
        <f t="shared" si="418"/>
        <v>0.11965380846881134</v>
      </c>
    </row>
    <row r="4408" spans="2:10">
      <c r="B4408" s="478" t="s">
        <v>2353</v>
      </c>
      <c r="D4408" s="449">
        <f t="shared" ref="D4408:J4408" si="419">D4406/C4406-1</f>
        <v>-0.12400635930047699</v>
      </c>
      <c r="E4408" s="449">
        <f t="shared" si="419"/>
        <v>0.18148820326678772</v>
      </c>
      <c r="F4408" s="449">
        <f t="shared" si="419"/>
        <v>-0.11213517665130568</v>
      </c>
      <c r="G4408" s="449">
        <f t="shared" si="419"/>
        <v>3.0000000000000027E-2</v>
      </c>
      <c r="H4408" s="449">
        <f t="shared" si="419"/>
        <v>3.0000000000000027E-2</v>
      </c>
      <c r="I4408" s="449">
        <f t="shared" si="419"/>
        <v>3.0000000000000027E-2</v>
      </c>
      <c r="J4408" s="449">
        <f t="shared" si="419"/>
        <v>3.0000000000000027E-2</v>
      </c>
    </row>
    <row r="4409" spans="2:10">
      <c r="E4409" s="464"/>
      <c r="F4409" s="464"/>
      <c r="G4409" s="464"/>
      <c r="H4409" s="464"/>
      <c r="I4409" s="464"/>
      <c r="J4409" s="464"/>
    </row>
    <row r="4410" spans="2:10">
      <c r="B4410" s="478" t="s">
        <v>3602</v>
      </c>
      <c r="C4410" s="523">
        <v>40</v>
      </c>
      <c r="D4410" s="523">
        <v>48</v>
      </c>
      <c r="E4410" s="523">
        <v>60</v>
      </c>
      <c r="F4410" s="464">
        <f>E4410*1.025</f>
        <v>61.499999999999993</v>
      </c>
      <c r="G4410" s="464">
        <f>F4410*1.025</f>
        <v>63.037499999999987</v>
      </c>
      <c r="H4410" s="464">
        <f>G4410*1.025</f>
        <v>64.613437499999975</v>
      </c>
      <c r="I4410" s="464">
        <f>H4410*1.025</f>
        <v>66.228773437499967</v>
      </c>
      <c r="J4410" s="464">
        <f>I4410*1.025</f>
        <v>67.884492773437458</v>
      </c>
    </row>
    <row r="4411" spans="2:10">
      <c r="E4411" s="464"/>
      <c r="F4411" s="464"/>
      <c r="G4411" s="464"/>
      <c r="H4411" s="464"/>
      <c r="I4411" s="464"/>
      <c r="J4411" s="464"/>
    </row>
    <row r="4412" spans="2:10" ht="15.75" thickBot="1">
      <c r="B4412" s="654" t="s">
        <v>2058</v>
      </c>
      <c r="C4412" s="1164">
        <f>'New split'!G65</f>
        <v>5079</v>
      </c>
      <c r="D4412" s="1164">
        <f>'New split'!H65</f>
        <v>5070</v>
      </c>
      <c r="E4412" s="1164">
        <f>'New split'!I65</f>
        <v>5510.232</v>
      </c>
      <c r="F4412" s="1161">
        <f>'New split'!J65</f>
        <v>5394</v>
      </c>
      <c r="G4412" s="1161">
        <f>'New split'!K65</f>
        <v>5738</v>
      </c>
      <c r="H4412" s="1161">
        <f>'New split'!L65</f>
        <v>5190.2562000000007</v>
      </c>
      <c r="I4412" s="1161">
        <f>'New split'!M65</f>
        <v>5270.8425999999999</v>
      </c>
      <c r="J4412" s="1161">
        <f>'New split'!N65</f>
        <v>5436.8858</v>
      </c>
    </row>
    <row r="4413" spans="2:10" ht="15.75" thickTop="1">
      <c r="B4413" s="478" t="s">
        <v>3090</v>
      </c>
      <c r="C4413" s="464">
        <f t="shared" ref="C4413:J4413" si="420">C4414-C4412</f>
        <v>363</v>
      </c>
      <c r="D4413" s="464">
        <f ca="1">D4414-D4412</f>
        <v>416</v>
      </c>
      <c r="E4413" s="464">
        <f t="shared" si="420"/>
        <v>448.76800000000003</v>
      </c>
      <c r="F4413" s="464">
        <f t="shared" si="420"/>
        <v>472</v>
      </c>
      <c r="G4413" s="464">
        <f t="shared" si="420"/>
        <v>502</v>
      </c>
      <c r="H4413" s="464">
        <f t="shared" si="420"/>
        <v>454.36859999999888</v>
      </c>
      <c r="I4413" s="464">
        <f t="shared" si="420"/>
        <v>410.05529999999999</v>
      </c>
      <c r="J4413" s="464">
        <f t="shared" si="420"/>
        <v>388.03530000000046</v>
      </c>
    </row>
    <row r="4414" spans="2:10">
      <c r="B4414" s="450" t="s">
        <v>523</v>
      </c>
      <c r="C4414" s="1165">
        <f>'New split'!G16+'New split'!G23</f>
        <v>5442</v>
      </c>
      <c r="D4414" s="1165">
        <f ca="1">'New split'!H16+'New split'!H23</f>
        <v>5486</v>
      </c>
      <c r="E4414" s="1165">
        <f>'New split'!I16+'New split'!I23</f>
        <v>5959</v>
      </c>
      <c r="F4414" s="598">
        <f>'New split'!J16+'New split'!J23</f>
        <v>5866</v>
      </c>
      <c r="G4414" s="598">
        <f>'New split'!K16+'New split'!K23</f>
        <v>6240</v>
      </c>
      <c r="H4414" s="598">
        <f>'New split'!L16+'New split'!L23</f>
        <v>5644.6247999999996</v>
      </c>
      <c r="I4414" s="598">
        <f>'New split'!M16+'New split'!M23</f>
        <v>5680.8978999999999</v>
      </c>
      <c r="J4414" s="598">
        <f>'New split'!N16+'New split'!N23</f>
        <v>5824.9211000000005</v>
      </c>
    </row>
    <row r="4416" spans="2:10">
      <c r="B4416" s="455" t="s">
        <v>886</v>
      </c>
      <c r="C4416" s="455"/>
      <c r="D4416" s="455"/>
      <c r="E4416" s="451"/>
      <c r="F4416" s="451">
        <f t="shared" ref="F4416:J4417" si="421">F4389</f>
        <v>2020</v>
      </c>
      <c r="G4416" s="451">
        <f t="shared" si="421"/>
        <v>2021</v>
      </c>
      <c r="H4416" s="451">
        <f t="shared" si="421"/>
        <v>2022</v>
      </c>
      <c r="I4416" s="451">
        <f t="shared" si="421"/>
        <v>2023</v>
      </c>
      <c r="J4416" s="451">
        <f t="shared" si="421"/>
        <v>2024</v>
      </c>
    </row>
    <row r="4417" spans="2:20">
      <c r="B4417" t="str">
        <f>B4390</f>
        <v>Wireless pre-paid</v>
      </c>
      <c r="E4417" s="464"/>
      <c r="F4417" s="464">
        <f t="shared" si="421"/>
        <v>1946.8300000000002</v>
      </c>
      <c r="G4417" s="464">
        <f t="shared" si="421"/>
        <v>2148.284670434492</v>
      </c>
      <c r="H4417" s="464">
        <f t="shared" si="421"/>
        <v>1713.7942859327447</v>
      </c>
      <c r="I4417" s="464">
        <f t="shared" si="421"/>
        <v>1672.8312730711641</v>
      </c>
      <c r="J4417" s="464">
        <f t="shared" si="421"/>
        <v>1679.6034918078647</v>
      </c>
      <c r="M4417" t="str">
        <f>B4390</f>
        <v>Wireless pre-paid</v>
      </c>
      <c r="N4417" s="449">
        <f>F4390/E4390-1</f>
        <v>-4.4743758884832063E-3</v>
      </c>
    </row>
    <row r="4418" spans="2:20">
      <c r="B4418" t="str">
        <f>B4392</f>
        <v>Wireless post-paid (res)</v>
      </c>
      <c r="E4418" s="464"/>
      <c r="F4418" s="464">
        <f>F4392</f>
        <v>1007.4199999999998</v>
      </c>
      <c r="G4418" s="464">
        <f>G4392</f>
        <v>1007.4199999999998</v>
      </c>
      <c r="H4418" s="464">
        <f>H4392</f>
        <v>803.66939414280591</v>
      </c>
      <c r="I4418" s="464">
        <f>I4392</f>
        <v>784.46013431567724</v>
      </c>
      <c r="J4418" s="464">
        <f>J4392</f>
        <v>787.63590924607638</v>
      </c>
      <c r="M4418" s="464" t="str">
        <f>B4406</f>
        <v>Fixed B2B</v>
      </c>
      <c r="N4418" s="449">
        <f>F4406/E4406-1</f>
        <v>-0.11213517665130568</v>
      </c>
    </row>
    <row r="4419" spans="2:20">
      <c r="B4419" t="str">
        <f>B4396</f>
        <v>Wireless post-paid (B2B)</v>
      </c>
      <c r="E4419" s="464"/>
      <c r="F4419" s="464">
        <f>F4396</f>
        <v>280.25</v>
      </c>
      <c r="G4419" s="464">
        <f>G4396</f>
        <v>280.25</v>
      </c>
      <c r="H4419" s="464">
        <f>H4396</f>
        <v>223.56946229826826</v>
      </c>
      <c r="I4419" s="464">
        <f>I4396</f>
        <v>218.22571781577557</v>
      </c>
      <c r="J4419" s="464">
        <f>J4396</f>
        <v>219.1091734988515</v>
      </c>
      <c r="M4419" t="str">
        <f>B4396</f>
        <v>Wireless post-paid (B2B)</v>
      </c>
      <c r="N4419" s="449">
        <f>F4396/E4396-1</f>
        <v>-5.0000000000000044E-2</v>
      </c>
    </row>
    <row r="4420" spans="2:20">
      <c r="B4420" t="str">
        <f>B4403</f>
        <v>Residential fixed</v>
      </c>
      <c r="E4420" s="464"/>
      <c r="F4420" s="464">
        <f>F4403</f>
        <v>1520</v>
      </c>
      <c r="G4420" s="464">
        <f>G4403</f>
        <v>1643.6678295655081</v>
      </c>
      <c r="H4420" s="464">
        <f>H4403</f>
        <v>1771.4094201261819</v>
      </c>
      <c r="I4420" s="464">
        <f>I4403</f>
        <v>1897.5004953598825</v>
      </c>
      <c r="J4420" s="464">
        <f>J4403</f>
        <v>2032.1086404937701</v>
      </c>
      <c r="M4420" t="str">
        <f>B4392</f>
        <v>Wireless post-paid (res)</v>
      </c>
      <c r="N4420" s="449">
        <f>F4392/E4392-1</f>
        <v>0</v>
      </c>
    </row>
    <row r="4421" spans="2:20">
      <c r="B4421" t="str">
        <f>B4406</f>
        <v>Fixed B2B</v>
      </c>
      <c r="E4421" s="464"/>
      <c r="F4421" s="464">
        <f>F4406</f>
        <v>578</v>
      </c>
      <c r="G4421" s="464">
        <f>G4406</f>
        <v>595.34</v>
      </c>
      <c r="H4421" s="464">
        <f>H4406</f>
        <v>613.2002</v>
      </c>
      <c r="I4421" s="464">
        <f>I4406</f>
        <v>631.59620600000005</v>
      </c>
      <c r="J4421" s="464">
        <f>J4406</f>
        <v>650.54409218000012</v>
      </c>
      <c r="M4421" t="str">
        <f>B4403</f>
        <v>Residential fixed</v>
      </c>
      <c r="N4421" s="449">
        <f>F4403/E4403-1</f>
        <v>-1.681759379042691E-2</v>
      </c>
    </row>
    <row r="4422" spans="2:20" ht="15.75" thickBot="1">
      <c r="B4422" t="str">
        <f>B4410</f>
        <v>Other service</v>
      </c>
      <c r="E4422" s="464"/>
      <c r="F4422" s="464">
        <f>F4410</f>
        <v>61.499999999999993</v>
      </c>
      <c r="G4422" s="464">
        <f>G4410</f>
        <v>63.037499999999987</v>
      </c>
      <c r="H4422" s="464">
        <f>H4410</f>
        <v>64.613437499999975</v>
      </c>
      <c r="I4422" s="464">
        <f>I4410</f>
        <v>66.228773437499967</v>
      </c>
      <c r="J4422" s="464">
        <f>J4410</f>
        <v>67.884492773437458</v>
      </c>
      <c r="N4422" s="449"/>
    </row>
    <row r="4423" spans="2:20">
      <c r="B4423" s="1184" t="str">
        <f>B4412</f>
        <v>Total service</v>
      </c>
      <c r="C4423" s="1006"/>
      <c r="D4423" s="1006"/>
      <c r="E4423" s="1167"/>
      <c r="F4423" s="1167">
        <f t="shared" ref="F4423:J4425" si="422">F4412</f>
        <v>5394</v>
      </c>
      <c r="G4423" s="1167">
        <f t="shared" si="422"/>
        <v>5738</v>
      </c>
      <c r="H4423" s="1167">
        <f t="shared" si="422"/>
        <v>5190.2562000000007</v>
      </c>
      <c r="I4423" s="1167">
        <f t="shared" si="422"/>
        <v>5270.8425999999999</v>
      </c>
      <c r="J4423" s="1168">
        <f t="shared" si="422"/>
        <v>5436.8858</v>
      </c>
    </row>
    <row r="4424" spans="2:20">
      <c r="B4424" s="1058" t="str">
        <f>B4413</f>
        <v>Equipment</v>
      </c>
      <c r="C4424" s="455"/>
      <c r="D4424" s="455"/>
      <c r="E4424" s="490"/>
      <c r="F4424" s="490">
        <f t="shared" si="422"/>
        <v>472</v>
      </c>
      <c r="G4424" s="490">
        <f t="shared" si="422"/>
        <v>502</v>
      </c>
      <c r="H4424" s="490">
        <f t="shared" si="422"/>
        <v>454.36859999999888</v>
      </c>
      <c r="I4424" s="490">
        <f t="shared" si="422"/>
        <v>410.05529999999999</v>
      </c>
      <c r="J4424" s="1185">
        <f t="shared" si="422"/>
        <v>388.03530000000046</v>
      </c>
    </row>
    <row r="4425" spans="2:20">
      <c r="B4425" s="1010" t="str">
        <f>B4414</f>
        <v>Total revenue</v>
      </c>
      <c r="E4425" s="464"/>
      <c r="F4425" s="464">
        <f t="shared" si="422"/>
        <v>5866</v>
      </c>
      <c r="G4425" s="464">
        <f t="shared" si="422"/>
        <v>6240</v>
      </c>
      <c r="H4425" s="464">
        <f t="shared" si="422"/>
        <v>5644.6247999999996</v>
      </c>
      <c r="I4425" s="464">
        <f t="shared" si="422"/>
        <v>5680.8978999999999</v>
      </c>
      <c r="J4425" s="1011">
        <f t="shared" si="422"/>
        <v>5824.9211000000005</v>
      </c>
    </row>
    <row r="4426" spans="2:20">
      <c r="B4426" s="1065" t="s">
        <v>360</v>
      </c>
      <c r="E4426" s="464"/>
      <c r="F4426" s="464">
        <f>'New split'!J319</f>
        <v>2360</v>
      </c>
      <c r="G4426" s="464">
        <f>'New split'!K319</f>
        <v>2501</v>
      </c>
      <c r="H4426" s="464">
        <f>'New split'!L319</f>
        <v>2488.3768</v>
      </c>
      <c r="I4426" s="464">
        <f>'New split'!M319</f>
        <v>2459.1167</v>
      </c>
      <c r="J4426" s="1011">
        <f ca="1">'New split'!N319</f>
        <v>2746.9731000000002</v>
      </c>
      <c r="L4426" s="464">
        <f>F4426-F4442</f>
        <v>-121.71366820820549</v>
      </c>
    </row>
    <row r="4427" spans="2:20">
      <c r="B4427" s="1065" t="s">
        <v>1545</v>
      </c>
      <c r="E4427" s="464"/>
      <c r="F4427" s="464">
        <f ca="1">'New split'!J439</f>
        <v>949</v>
      </c>
      <c r="G4427" s="464">
        <f ca="1">'New split'!K439</f>
        <v>1111</v>
      </c>
      <c r="H4427" s="464">
        <f>'New split'!L439</f>
        <v>973</v>
      </c>
      <c r="I4427" s="464">
        <f>'New split'!M439</f>
        <v>809</v>
      </c>
      <c r="J4427" s="1011">
        <f>'New split'!N439</f>
        <v>743.43599501951292</v>
      </c>
      <c r="L4427" s="464">
        <f ca="1">F4427-F4443</f>
        <v>-69.149299697884317</v>
      </c>
    </row>
    <row r="4428" spans="2:20">
      <c r="B4428" s="1065" t="s">
        <v>1552</v>
      </c>
      <c r="E4428" s="464"/>
      <c r="F4428" s="464">
        <f ca="1">F4426-F4427</f>
        <v>1411</v>
      </c>
      <c r="G4428" s="464">
        <f ca="1">G4426-G4427</f>
        <v>1390</v>
      </c>
      <c r="H4428" s="464">
        <f>H4426-H4427</f>
        <v>1515.3768</v>
      </c>
      <c r="I4428" s="464">
        <f>I4426-I4427</f>
        <v>1650.1167</v>
      </c>
      <c r="J4428" s="1011">
        <f ca="1">J4426-J4427</f>
        <v>2003.5371049804871</v>
      </c>
      <c r="L4428" s="464">
        <f ca="1">F4428-F4444</f>
        <v>-52.564368510321174</v>
      </c>
    </row>
    <row r="4429" spans="2:20" ht="15.75" thickBot="1">
      <c r="B4429" s="1060" t="s">
        <v>574</v>
      </c>
      <c r="C4429" s="1062"/>
      <c r="D4429" s="1062"/>
      <c r="E4429" s="1169"/>
      <c r="F4429" s="1169">
        <f ca="1">Valuation!J27</f>
        <v>424.51142204733435</v>
      </c>
      <c r="G4429" s="1169">
        <f ca="1">Valuation!K27</f>
        <v>577.94706701228108</v>
      </c>
      <c r="H4429" s="1169">
        <f>Valuation!L27</f>
        <v>351.13499999999976</v>
      </c>
      <c r="I4429" s="1169">
        <f>Valuation!M27</f>
        <v>267.28549999999996</v>
      </c>
      <c r="J4429" s="1170">
        <f ca="1">Valuation!N27</f>
        <v>963.64580000000024</v>
      </c>
      <c r="L4429" s="464">
        <f ca="1">F4429-F4445</f>
        <v>90.344744921710856</v>
      </c>
    </row>
    <row r="4431" spans="2:20">
      <c r="B4431" s="627" t="s">
        <v>885</v>
      </c>
    </row>
    <row r="4432" spans="2:20">
      <c r="B4432" t="str">
        <f t="shared" ref="B4432:B4440" si="423">B4417</f>
        <v>Wireless pre-paid</v>
      </c>
      <c r="E4432" s="464"/>
      <c r="F4432" s="464">
        <v>2027.7735538579368</v>
      </c>
      <c r="G4432" s="464">
        <v>2062.8630573995661</v>
      </c>
      <c r="H4432" s="464">
        <v>2066.8707459220932</v>
      </c>
      <c r="I4432" s="464">
        <v>2081.9838877376328</v>
      </c>
      <c r="J4432" s="464">
        <v>2094.6500198352924</v>
      </c>
      <c r="T4432" s="468"/>
    </row>
    <row r="4433" spans="2:22">
      <c r="B4433" t="str">
        <f t="shared" si="423"/>
        <v>Wireless post-paid (res)</v>
      </c>
      <c r="E4433" s="464"/>
      <c r="F4433" s="464">
        <v>1044.6106186540883</v>
      </c>
      <c r="G4433" s="464">
        <v>1062.6870295694728</v>
      </c>
      <c r="H4433" s="464">
        <v>1064.7515963841079</v>
      </c>
      <c r="I4433" s="464">
        <v>1072.537154289083</v>
      </c>
      <c r="J4433" s="464">
        <v>1079.0621314303016</v>
      </c>
      <c r="T4433" s="456"/>
    </row>
    <row r="4434" spans="2:22">
      <c r="B4434" t="str">
        <f t="shared" si="423"/>
        <v>Wireless post-paid (B2B)</v>
      </c>
      <c r="E4434" s="464"/>
      <c r="F4434" s="464">
        <v>305.89042554540913</v>
      </c>
      <c r="G4434" s="464">
        <v>311.18369073772061</v>
      </c>
      <c r="H4434" s="464">
        <v>311.78825210270975</v>
      </c>
      <c r="I4434" s="464">
        <v>314.06807539584236</v>
      </c>
      <c r="J4434" s="464">
        <v>315.97876632580153</v>
      </c>
    </row>
    <row r="4435" spans="2:22">
      <c r="B4435" t="str">
        <f t="shared" si="423"/>
        <v>Residential fixed</v>
      </c>
      <c r="E4435" s="464"/>
      <c r="F4435" s="464">
        <v>1659.0140979569214</v>
      </c>
      <c r="G4435" s="464">
        <v>1770.9602334970532</v>
      </c>
      <c r="H4435" s="464">
        <v>1888.5412502473037</v>
      </c>
      <c r="I4435" s="464">
        <v>2017.8852043576476</v>
      </c>
      <c r="J4435" s="464">
        <v>2157.1840276591342</v>
      </c>
    </row>
    <row r="4436" spans="2:22">
      <c r="B4436" t="str">
        <f t="shared" si="423"/>
        <v>Fixed B2B</v>
      </c>
      <c r="E4436" s="464"/>
      <c r="F4436" s="464">
        <v>637.98</v>
      </c>
      <c r="G4436" s="464">
        <v>663.49920000000009</v>
      </c>
      <c r="H4436" s="464">
        <v>683.40417600000012</v>
      </c>
      <c r="I4436" s="464">
        <v>703.90630128000009</v>
      </c>
      <c r="J4436" s="464">
        <v>725.02349031840015</v>
      </c>
    </row>
    <row r="4437" spans="2:22">
      <c r="B4437" s="455" t="str">
        <f t="shared" si="423"/>
        <v>Other service</v>
      </c>
      <c r="C4437" s="455"/>
      <c r="D4437" s="455"/>
      <c r="E4437" s="490"/>
      <c r="F4437" s="490">
        <v>61.499999999999993</v>
      </c>
      <c r="G4437" s="490">
        <v>63.037499999999987</v>
      </c>
      <c r="H4437" s="490">
        <v>64.613437499999975</v>
      </c>
      <c r="I4437" s="490">
        <v>66.228773437499967</v>
      </c>
      <c r="J4437" s="490">
        <v>67.884492773437458</v>
      </c>
    </row>
    <row r="4438" spans="2:22">
      <c r="B4438" t="str">
        <f t="shared" si="423"/>
        <v>Total service</v>
      </c>
      <c r="E4438" s="464"/>
      <c r="F4438" s="464">
        <f>5736.76869601436</f>
        <v>5736.7686960143601</v>
      </c>
      <c r="G4438" s="464">
        <v>5934.2307112038125</v>
      </c>
      <c r="H4438" s="464">
        <v>6079.9694581562144</v>
      </c>
      <c r="I4438" s="464">
        <v>6256.6093964977053</v>
      </c>
      <c r="J4438" s="464">
        <v>6439.782928342368</v>
      </c>
      <c r="L4438" s="489">
        <v>218.08891244186043</v>
      </c>
      <c r="M4438" s="489">
        <v>305.29690394883721</v>
      </c>
      <c r="N4438" s="489">
        <v>317.13977814762791</v>
      </c>
      <c r="O4438" s="489">
        <v>324.75007803455185</v>
      </c>
      <c r="P4438" s="489">
        <v>330.98643956589871</v>
      </c>
      <c r="R4438" s="464">
        <f>F4438-L4438</f>
        <v>5518.6797835724992</v>
      </c>
      <c r="S4438" s="464">
        <f>G4438-M4438</f>
        <v>5628.9338072549754</v>
      </c>
      <c r="T4438" s="464">
        <f>H4438-N4438</f>
        <v>5762.8296800085864</v>
      </c>
      <c r="U4438" s="464">
        <f>I4438-O4438</f>
        <v>5931.8593184631536</v>
      </c>
      <c r="V4438" s="464">
        <f>J4438-P4438</f>
        <v>6108.7964887764692</v>
      </c>
    </row>
    <row r="4439" spans="2:22">
      <c r="B4439" s="455" t="str">
        <f t="shared" si="423"/>
        <v>Equipment</v>
      </c>
      <c r="C4439" s="455"/>
      <c r="D4439" s="455"/>
      <c r="E4439" s="490"/>
      <c r="F4439" s="490">
        <v>582.30809437967127</v>
      </c>
      <c r="G4439" s="490">
        <v>521.97031662855352</v>
      </c>
      <c r="H4439" s="490">
        <v>545.32463370213736</v>
      </c>
      <c r="I4439" s="490">
        <v>544.49431087112043</v>
      </c>
      <c r="J4439" s="490">
        <v>545.86155902923201</v>
      </c>
    </row>
    <row r="4440" spans="2:22">
      <c r="B4440" t="str">
        <f t="shared" si="423"/>
        <v>Total revenue</v>
      </c>
      <c r="E4440" s="464"/>
      <c r="F4440" s="464">
        <v>6319.0767903940268</v>
      </c>
      <c r="G4440" s="464">
        <v>6456.201027832366</v>
      </c>
      <c r="H4440" s="464">
        <v>6625.2940918583517</v>
      </c>
      <c r="I4440" s="464">
        <v>6801.1037073688258</v>
      </c>
      <c r="J4440" s="464">
        <v>6985.6444873716</v>
      </c>
    </row>
    <row r="4441" spans="2:22">
      <c r="E4441" s="464"/>
      <c r="F4441" s="464"/>
      <c r="G4441" s="464"/>
      <c r="H4441" s="464"/>
      <c r="I4441" s="464"/>
      <c r="J4441" s="464"/>
    </row>
    <row r="4442" spans="2:22">
      <c r="B4442" s="478" t="s">
        <v>360</v>
      </c>
      <c r="E4442" s="464"/>
      <c r="F4442" s="464">
        <v>2481.7136682082055</v>
      </c>
      <c r="G4442" s="464">
        <v>2586.0370964974018</v>
      </c>
      <c r="H4442" s="464">
        <v>2673.9737559559167</v>
      </c>
      <c r="I4442" s="464">
        <v>2769.6881687523924</v>
      </c>
      <c r="J4442" s="464">
        <v>2868.6875380768042</v>
      </c>
      <c r="L4442" s="535">
        <v>63.245784608139516</v>
      </c>
      <c r="M4442" s="535">
        <v>94.642040224139535</v>
      </c>
      <c r="N4442" s="535">
        <v>101.48472900724093</v>
      </c>
      <c r="O4442" s="535">
        <v>107.16752575140211</v>
      </c>
      <c r="P4442" s="535">
        <v>112.53538945240557</v>
      </c>
      <c r="R4442" s="464">
        <f t="shared" ref="R4442:V4444" si="424">F4442-L4442</f>
        <v>2418.4678836000658</v>
      </c>
      <c r="S4442" s="464">
        <f t="shared" si="424"/>
        <v>2491.3950562732621</v>
      </c>
      <c r="T4442" s="464">
        <f t="shared" si="424"/>
        <v>2572.4890269486759</v>
      </c>
      <c r="U4442" s="464">
        <f t="shared" si="424"/>
        <v>2662.5206430009903</v>
      </c>
      <c r="V4442" s="464">
        <f t="shared" si="424"/>
        <v>2756.1521486243987</v>
      </c>
    </row>
    <row r="4443" spans="2:22">
      <c r="B4443" s="478" t="s">
        <v>1545</v>
      </c>
      <c r="E4443" s="464"/>
      <c r="F4443" s="464">
        <v>1018.1492996978843</v>
      </c>
      <c r="G4443" s="464">
        <v>1030.8123353636993</v>
      </c>
      <c r="H4443" s="464">
        <v>1018.2147044519378</v>
      </c>
      <c r="I4443" s="464">
        <v>999.47132273797013</v>
      </c>
      <c r="J4443" s="464">
        <v>1009.2506797946527</v>
      </c>
      <c r="L4443" s="535">
        <v>39.987119846938775</v>
      </c>
      <c r="M4443" s="535">
        <v>38.332097386607145</v>
      </c>
      <c r="N4443" s="535">
        <v>36.618427150499997</v>
      </c>
      <c r="O4443" s="535">
        <v>32.521740613037814</v>
      </c>
      <c r="P4443" s="535">
        <v>33.00956672223338</v>
      </c>
      <c r="R4443" s="464">
        <f t="shared" si="424"/>
        <v>978.16217985094556</v>
      </c>
      <c r="S4443" s="464">
        <f t="shared" si="424"/>
        <v>992.48023797709209</v>
      </c>
      <c r="T4443" s="464">
        <f t="shared" si="424"/>
        <v>981.59627730143779</v>
      </c>
      <c r="U4443" s="464">
        <f t="shared" si="424"/>
        <v>966.94958212493236</v>
      </c>
      <c r="V4443" s="464">
        <f t="shared" si="424"/>
        <v>976.24111307241935</v>
      </c>
    </row>
    <row r="4444" spans="2:22">
      <c r="B4444" s="478" t="s">
        <v>1552</v>
      </c>
      <c r="E4444" s="464"/>
      <c r="F4444" s="464">
        <v>1463.5643685103212</v>
      </c>
      <c r="G4444" s="464">
        <v>1555.2247611337025</v>
      </c>
      <c r="H4444" s="464">
        <v>1655.7590515039788</v>
      </c>
      <c r="I4444" s="464">
        <v>1770.2168460144221</v>
      </c>
      <c r="J4444" s="464">
        <v>1859.4368582821517</v>
      </c>
      <c r="L4444" s="454">
        <f>L4442-L4443</f>
        <v>23.258664761200741</v>
      </c>
      <c r="M4444" s="454">
        <f>M4442-M4443</f>
        <v>56.30994283753239</v>
      </c>
      <c r="N4444" s="454">
        <f>N4442-N4443</f>
        <v>64.866301856740932</v>
      </c>
      <c r="O4444" s="454">
        <f>O4442-O4443</f>
        <v>74.645785138364289</v>
      </c>
      <c r="P4444" s="454">
        <f>P4442-P4443</f>
        <v>79.525822730172194</v>
      </c>
      <c r="R4444" s="464">
        <f t="shared" si="424"/>
        <v>1440.3057037491205</v>
      </c>
      <c r="S4444" s="464">
        <f t="shared" si="424"/>
        <v>1498.9148182961701</v>
      </c>
      <c r="T4444" s="464">
        <f t="shared" si="424"/>
        <v>1590.8927496472379</v>
      </c>
      <c r="U4444" s="464">
        <f t="shared" si="424"/>
        <v>1695.5710608760578</v>
      </c>
      <c r="V4444" s="464">
        <f t="shared" si="424"/>
        <v>1779.9110355519795</v>
      </c>
    </row>
    <row r="4445" spans="2:22">
      <c r="B4445" s="478" t="s">
        <v>574</v>
      </c>
      <c r="E4445" s="464"/>
      <c r="F4445" s="464">
        <v>334.16667712562349</v>
      </c>
      <c r="G4445" s="464">
        <v>390.45931773773606</v>
      </c>
      <c r="H4445" s="464">
        <v>435.67728384433559</v>
      </c>
      <c r="I4445" s="464">
        <v>502.77095010426405</v>
      </c>
      <c r="J4445" s="464">
        <v>576.16322526865838</v>
      </c>
    </row>
    <row r="4446" spans="2:22">
      <c r="F4446" s="464"/>
    </row>
    <row r="4447" spans="2:22">
      <c r="B4447" s="627" t="s">
        <v>2353</v>
      </c>
    </row>
    <row r="4448" spans="2:22">
      <c r="B4448" t="str">
        <f t="shared" ref="B4448:B4456" si="425">B4432</f>
        <v>Wireless pre-paid</v>
      </c>
      <c r="E4448" s="456"/>
      <c r="F4448" s="456">
        <f t="shared" ref="F4448:J4456" si="426">F4417/F4432-1</f>
        <v>-3.9917452175040724E-2</v>
      </c>
      <c r="G4448" s="456">
        <f t="shared" si="426"/>
        <v>4.1409250472790982E-2</v>
      </c>
      <c r="H4448" s="456">
        <f t="shared" si="426"/>
        <v>-0.1708265795942796</v>
      </c>
      <c r="I4448" s="456">
        <f t="shared" si="426"/>
        <v>-0.19652054805816499</v>
      </c>
      <c r="J4448" s="456">
        <f t="shared" si="426"/>
        <v>-0.19814600248115144</v>
      </c>
    </row>
    <row r="4449" spans="2:28">
      <c r="B4449" t="str">
        <f t="shared" si="425"/>
        <v>Wireless post-paid (res)</v>
      </c>
      <c r="E4449" s="456"/>
      <c r="F4449" s="456">
        <f t="shared" si="426"/>
        <v>-3.5602374693458616E-2</v>
      </c>
      <c r="G4449" s="456">
        <f t="shared" si="426"/>
        <v>-5.2006873173057633E-2</v>
      </c>
      <c r="H4449" s="456">
        <f t="shared" si="426"/>
        <v>-0.24520480000024047</v>
      </c>
      <c r="I4449" s="456">
        <f t="shared" si="426"/>
        <v>-0.26859397720758105</v>
      </c>
      <c r="J4449" s="456">
        <f t="shared" si="426"/>
        <v>-0.27007362569376658</v>
      </c>
    </row>
    <row r="4450" spans="2:28">
      <c r="B4450" t="str">
        <f t="shared" si="425"/>
        <v>Wireless post-paid (B2B)</v>
      </c>
      <c r="E4450" s="456"/>
      <c r="F4450" s="456">
        <f t="shared" si="426"/>
        <v>-8.3822255958785563E-2</v>
      </c>
      <c r="G4450" s="456">
        <f t="shared" si="426"/>
        <v>-9.9406529514404651E-2</v>
      </c>
      <c r="H4450" s="456">
        <f t="shared" si="426"/>
        <v>-0.28294456000022838</v>
      </c>
      <c r="I4450" s="456">
        <f t="shared" si="426"/>
        <v>-0.30516427834720172</v>
      </c>
      <c r="J4450" s="456">
        <f t="shared" si="426"/>
        <v>-0.30656994440907803</v>
      </c>
    </row>
    <row r="4451" spans="2:28">
      <c r="B4451" t="str">
        <f t="shared" si="425"/>
        <v>Residential fixed</v>
      </c>
      <c r="E4451" s="456"/>
      <c r="F4451" s="456">
        <f t="shared" si="426"/>
        <v>-8.3793198700431448E-2</v>
      </c>
      <c r="G4451" s="456">
        <f t="shared" si="426"/>
        <v>-7.1877618437645729E-2</v>
      </c>
      <c r="H4451" s="456">
        <f t="shared" si="426"/>
        <v>-6.2022383734421149E-2</v>
      </c>
      <c r="I4451" s="456">
        <f t="shared" si="426"/>
        <v>-5.9658849144536452E-2</v>
      </c>
      <c r="J4451" s="456">
        <f t="shared" si="426"/>
        <v>-5.7980860956535873E-2</v>
      </c>
    </row>
    <row r="4452" spans="2:28">
      <c r="B4452" t="str">
        <f t="shared" si="425"/>
        <v>Fixed B2B</v>
      </c>
      <c r="E4452" s="456"/>
      <c r="F4452" s="456">
        <f t="shared" si="426"/>
        <v>-9.4015486378883351E-2</v>
      </c>
      <c r="G4452" s="456">
        <f t="shared" si="426"/>
        <v>-0.10272687593293262</v>
      </c>
      <c r="H4452" s="456">
        <f t="shared" si="426"/>
        <v>-0.10272687593293273</v>
      </c>
      <c r="I4452" s="456">
        <f t="shared" si="426"/>
        <v>-0.10272687593293262</v>
      </c>
      <c r="J4452" s="456">
        <f t="shared" si="426"/>
        <v>-0.10272687593293262</v>
      </c>
    </row>
    <row r="4453" spans="2:28">
      <c r="B4453" s="455" t="str">
        <f t="shared" si="425"/>
        <v>Other service</v>
      </c>
      <c r="C4453" s="455"/>
      <c r="D4453" s="455"/>
      <c r="E4453" s="561"/>
      <c r="F4453" s="561">
        <f t="shared" si="426"/>
        <v>0</v>
      </c>
      <c r="G4453" s="561">
        <f t="shared" si="426"/>
        <v>0</v>
      </c>
      <c r="H4453" s="561">
        <f t="shared" si="426"/>
        <v>0</v>
      </c>
      <c r="I4453" s="561">
        <f t="shared" si="426"/>
        <v>0</v>
      </c>
      <c r="J4453" s="561">
        <f t="shared" si="426"/>
        <v>0</v>
      </c>
      <c r="X4453">
        <f>F4389</f>
        <v>2020</v>
      </c>
      <c r="Y4453">
        <f>G4389</f>
        <v>2021</v>
      </c>
      <c r="Z4453">
        <f>H4389</f>
        <v>2022</v>
      </c>
      <c r="AA4453">
        <f>I4389</f>
        <v>2023</v>
      </c>
      <c r="AB4453">
        <f>J4389</f>
        <v>2024</v>
      </c>
    </row>
    <row r="4454" spans="2:28">
      <c r="B4454" t="str">
        <f t="shared" si="425"/>
        <v>Total service</v>
      </c>
      <c r="E4454" s="456"/>
      <c r="F4454" s="456">
        <f>F4423/F4438-1</f>
        <v>-5.9749436342535489E-2</v>
      </c>
      <c r="G4454" s="456">
        <f t="shared" si="426"/>
        <v>-3.3067590519075929E-2</v>
      </c>
      <c r="H4454" s="456">
        <f t="shared" si="426"/>
        <v>-0.1463351525496025</v>
      </c>
      <c r="I4454" s="456">
        <f t="shared" si="426"/>
        <v>-0.15755607135224281</v>
      </c>
      <c r="J4454" s="456">
        <f t="shared" si="426"/>
        <v>-0.15573461706736735</v>
      </c>
      <c r="R4454" s="456">
        <f>F4423/R4438-1</f>
        <v>-2.2592320711129932E-2</v>
      </c>
      <c r="S4454" s="456">
        <f>G4423/S4438-1</f>
        <v>1.9375994900571181E-2</v>
      </c>
      <c r="T4454" s="456">
        <f>H4423/T4438-1</f>
        <v>-9.9356307890697937E-2</v>
      </c>
      <c r="U4454" s="456">
        <f>I4423/U4438-1</f>
        <v>-0.11143499583776573</v>
      </c>
      <c r="V4454" s="456">
        <f>J4423/V4438-1</f>
        <v>-0.10999068147235758</v>
      </c>
      <c r="W4454" t="s">
        <v>1194</v>
      </c>
      <c r="X4454" s="456">
        <f>R4454</f>
        <v>-2.2592320711129932E-2</v>
      </c>
      <c r="Y4454" s="456">
        <f>S4454</f>
        <v>1.9375994900571181E-2</v>
      </c>
      <c r="Z4454" s="456">
        <f>T4454</f>
        <v>-9.9356307890697937E-2</v>
      </c>
      <c r="AA4454" s="456">
        <f>U4454</f>
        <v>-0.11143499583776573</v>
      </c>
      <c r="AB4454" s="456">
        <f>V4454</f>
        <v>-0.10999068147235758</v>
      </c>
    </row>
    <row r="4455" spans="2:28">
      <c r="B4455" s="455" t="str">
        <f t="shared" si="425"/>
        <v>Equipment</v>
      </c>
      <c r="C4455" s="455"/>
      <c r="D4455" s="455"/>
      <c r="E4455" s="561"/>
      <c r="F4455" s="561">
        <f t="shared" si="426"/>
        <v>-0.18943252797676069</v>
      </c>
      <c r="G4455" s="561">
        <f t="shared" si="426"/>
        <v>-3.8259487163069594E-2</v>
      </c>
      <c r="H4455" s="561">
        <f t="shared" si="426"/>
        <v>-0.16679245367048601</v>
      </c>
      <c r="I4455" s="561">
        <f t="shared" si="426"/>
        <v>-0.24690618099578565</v>
      </c>
      <c r="J4455" s="561">
        <f t="shared" si="426"/>
        <v>-0.2891323934037634</v>
      </c>
      <c r="W4455" t="s">
        <v>360</v>
      </c>
      <c r="X4455" s="456">
        <f t="shared" ref="X4455:AB4457" si="427">R4458</f>
        <v>-2.4175588188101949E-2</v>
      </c>
      <c r="Y4455" s="456">
        <f t="shared" si="427"/>
        <v>3.8552471646569053E-3</v>
      </c>
      <c r="Z4455" s="456">
        <f t="shared" si="427"/>
        <v>-3.2696826329496331E-2</v>
      </c>
      <c r="AA4455" s="456">
        <f t="shared" si="427"/>
        <v>-7.6395254825791237E-2</v>
      </c>
      <c r="AB4455" s="456">
        <f t="shared" ca="1" si="427"/>
        <v>-3.330385308728312E-3</v>
      </c>
    </row>
    <row r="4456" spans="2:28">
      <c r="B4456" t="str">
        <f t="shared" si="425"/>
        <v>Total revenue</v>
      </c>
      <c r="E4456" s="456"/>
      <c r="F4456" s="456">
        <f t="shared" si="426"/>
        <v>-7.1699839299749213E-2</v>
      </c>
      <c r="G4456" s="456">
        <f t="shared" si="426"/>
        <v>-3.348734447709012E-2</v>
      </c>
      <c r="H4456" s="456">
        <f t="shared" si="426"/>
        <v>-0.14801898274424841</v>
      </c>
      <c r="I4456" s="456">
        <f t="shared" si="426"/>
        <v>-0.16470941417274831</v>
      </c>
      <c r="J4456" s="456">
        <f t="shared" si="426"/>
        <v>-0.16615838230386815</v>
      </c>
      <c r="W4456" s="478" t="s">
        <v>1545</v>
      </c>
      <c r="X4456" s="456">
        <f ca="1">R4459</f>
        <v>-2.9813235935363336E-2</v>
      </c>
      <c r="Y4456" s="456">
        <f ca="1">S4459</f>
        <v>0.11941775512274089</v>
      </c>
      <c r="Z4456" s="456">
        <f t="shared" si="427"/>
        <v>-8.7574469262152732E-3</v>
      </c>
      <c r="AA4456" s="456">
        <f t="shared" si="427"/>
        <v>-0.16334831209899103</v>
      </c>
      <c r="AB4456" s="456">
        <f t="shared" si="427"/>
        <v>-0.23847092171750861</v>
      </c>
    </row>
    <row r="4457" spans="2:28">
      <c r="E4457" s="456"/>
      <c r="F4457" s="456"/>
      <c r="G4457" s="456"/>
      <c r="H4457" s="456"/>
      <c r="I4457" s="456"/>
      <c r="J4457" s="456"/>
      <c r="W4457" s="478" t="s">
        <v>1552</v>
      </c>
      <c r="X4457" s="456">
        <f ca="1">R4460</f>
        <v>-2.0346863636544477E-2</v>
      </c>
      <c r="Y4457" s="456">
        <f ca="1">S4460</f>
        <v>-7.266244683602141E-2</v>
      </c>
      <c r="Z4457" s="456">
        <f t="shared" si="427"/>
        <v>-4.746765592085489E-2</v>
      </c>
      <c r="AA4457" s="456">
        <f t="shared" si="427"/>
        <v>-2.6807700322847405E-2</v>
      </c>
      <c r="AB4457" s="456">
        <f t="shared" ca="1" si="427"/>
        <v>0.1256389027101894</v>
      </c>
    </row>
    <row r="4458" spans="2:28">
      <c r="B4458" t="str">
        <f>B4442</f>
        <v>EBITDA</v>
      </c>
      <c r="E4458" s="456"/>
      <c r="F4458" s="456">
        <f t="shared" ref="F4458:J4461" si="428">F4426/F4442-1</f>
        <v>-4.9044202708559248E-2</v>
      </c>
      <c r="G4458" s="456">
        <f t="shared" si="428"/>
        <v>-3.2883169623737496E-2</v>
      </c>
      <c r="H4458" s="456">
        <f t="shared" si="428"/>
        <v>-6.9408667733751872E-2</v>
      </c>
      <c r="I4458" s="456">
        <f t="shared" si="428"/>
        <v>-0.11213228704092326</v>
      </c>
      <c r="J4458" s="456">
        <f t="shared" ca="1" si="428"/>
        <v>-4.2428614640408924E-2</v>
      </c>
      <c r="R4458" s="456">
        <f t="shared" ref="R4458:V4460" si="429">F4426/R4442-1</f>
        <v>-2.4175588188101949E-2</v>
      </c>
      <c r="S4458" s="456">
        <f t="shared" si="429"/>
        <v>3.8552471646569053E-3</v>
      </c>
      <c r="T4458" s="456">
        <f t="shared" si="429"/>
        <v>-3.2696826329496331E-2</v>
      </c>
      <c r="U4458" s="456">
        <f t="shared" si="429"/>
        <v>-7.6395254825791237E-2</v>
      </c>
      <c r="V4458" s="456">
        <f t="shared" ca="1" si="429"/>
        <v>-3.330385308728312E-3</v>
      </c>
    </row>
    <row r="4459" spans="2:28">
      <c r="B4459" t="str">
        <f>B4443</f>
        <v>Capex</v>
      </c>
      <c r="E4459" s="456"/>
      <c r="F4459" s="456">
        <f t="shared" ref="F4459:G4461" ca="1" si="430">F4427/F4443-1</f>
        <v>-6.7916659883185071E-2</v>
      </c>
      <c r="G4459" s="456">
        <f t="shared" ca="1" si="430"/>
        <v>7.7790749960329419E-2</v>
      </c>
      <c r="H4459" s="456">
        <f t="shared" si="428"/>
        <v>-4.4405864749591295E-2</v>
      </c>
      <c r="I4459" s="456">
        <f t="shared" si="428"/>
        <v>-0.19057207386019792</v>
      </c>
      <c r="J4459" s="456">
        <f t="shared" si="428"/>
        <v>-0.26337825685609029</v>
      </c>
      <c r="R4459" s="456">
        <f ca="1">F4427/R4443-1</f>
        <v>-2.9813235935363336E-2</v>
      </c>
      <c r="S4459" s="456">
        <f ca="1">G4427/S4443-1</f>
        <v>0.11941775512274089</v>
      </c>
      <c r="T4459" s="456">
        <f t="shared" si="429"/>
        <v>-8.7574469262152732E-3</v>
      </c>
      <c r="U4459" s="456">
        <f t="shared" si="429"/>
        <v>-0.16334831209899103</v>
      </c>
      <c r="V4459" s="456">
        <f t="shared" si="429"/>
        <v>-0.23847092171750861</v>
      </c>
    </row>
    <row r="4460" spans="2:28">
      <c r="B4460" t="str">
        <f>B4444</f>
        <v>OpFCF</v>
      </c>
      <c r="E4460" s="456"/>
      <c r="F4460" s="456">
        <f t="shared" ca="1" si="430"/>
        <v>-3.5915310348682117E-2</v>
      </c>
      <c r="G4460" s="456">
        <f t="shared" ca="1" si="430"/>
        <v>-0.10623850986866978</v>
      </c>
      <c r="H4460" s="456">
        <f t="shared" si="428"/>
        <v>-8.4784227135261681E-2</v>
      </c>
      <c r="I4460" s="456">
        <f t="shared" si="428"/>
        <v>-6.7844878035605127E-2</v>
      </c>
      <c r="J4460" s="456">
        <f t="shared" ca="1" si="428"/>
        <v>7.7496714156490842E-2</v>
      </c>
      <c r="R4460" s="456">
        <f ca="1">F4428/R4444-1</f>
        <v>-2.0346863636544477E-2</v>
      </c>
      <c r="S4460" s="456">
        <f ca="1">G4428/S4444-1</f>
        <v>-7.266244683602141E-2</v>
      </c>
      <c r="T4460" s="456">
        <f t="shared" si="429"/>
        <v>-4.746765592085489E-2</v>
      </c>
      <c r="U4460" s="456">
        <f t="shared" si="429"/>
        <v>-2.6807700322847405E-2</v>
      </c>
      <c r="V4460" s="456">
        <f t="shared" ca="1" si="429"/>
        <v>0.1256389027101894</v>
      </c>
    </row>
    <row r="4461" spans="2:28">
      <c r="B4461" t="str">
        <f>B4445</f>
        <v>EFCF</v>
      </c>
      <c r="E4461" s="456"/>
      <c r="F4461" s="456">
        <f t="shared" ca="1" si="430"/>
        <v>0.27035833045599422</v>
      </c>
      <c r="G4461" s="456">
        <f t="shared" ca="1" si="430"/>
        <v>0.4801723015878363</v>
      </c>
      <c r="H4461" s="456">
        <f t="shared" si="428"/>
        <v>-0.19404795012113185</v>
      </c>
      <c r="I4461" s="456">
        <f>I4429/I4445-1</f>
        <v>-0.46837521152610229</v>
      </c>
      <c r="J4461" s="456">
        <f ca="1">J4429/J4445-1</f>
        <v>0.67252222588601196</v>
      </c>
    </row>
    <row r="4463" spans="2:28">
      <c r="B4463" s="627" t="s">
        <v>6249</v>
      </c>
    </row>
    <row r="4464" spans="2:28">
      <c r="B4464" s="478" t="s">
        <v>6205</v>
      </c>
      <c r="E4464" s="464">
        <f>E4396</f>
        <v>295</v>
      </c>
      <c r="F4464" s="464">
        <f>(1+F4465)*F4396</f>
        <v>252.22499999999999</v>
      </c>
      <c r="G4464" s="464">
        <f>(1+G4465)*G4396</f>
        <v>260.63249999999999</v>
      </c>
      <c r="H4464" s="464">
        <f>(1+H4465)*H4396</f>
        <v>212.39098918335483</v>
      </c>
      <c r="I4464" s="464">
        <f>(1+I4465)*I4396</f>
        <v>207.31443192498679</v>
      </c>
      <c r="J4464" s="464">
        <f>(1+J4465)*J4396</f>
        <v>208.15371482390893</v>
      </c>
    </row>
    <row r="4465" spans="2:10">
      <c r="B4465" s="478" t="s">
        <v>153</v>
      </c>
      <c r="E4465" s="449"/>
      <c r="F4465">
        <v>-0.1</v>
      </c>
      <c r="G4465">
        <v>-7.0000000000000007E-2</v>
      </c>
      <c r="H4465">
        <v>-0.05</v>
      </c>
      <c r="I4465">
        <v>-0.05</v>
      </c>
      <c r="J4465">
        <v>-0.05</v>
      </c>
    </row>
    <row r="4466" spans="2:10">
      <c r="B4466" s="478" t="s">
        <v>6209</v>
      </c>
      <c r="F4466" s="464">
        <f>F4396-F4464</f>
        <v>28.025000000000006</v>
      </c>
      <c r="G4466" s="464">
        <f>G4396-G4464</f>
        <v>19.617500000000007</v>
      </c>
      <c r="H4466" s="464">
        <f>H4396-H4464</f>
        <v>11.17847311491343</v>
      </c>
      <c r="I4466" s="464">
        <f>I4396-I4464</f>
        <v>10.911285890788776</v>
      </c>
      <c r="J4466" s="464">
        <f>J4396-J4464</f>
        <v>10.955458674942577</v>
      </c>
    </row>
    <row r="4467" spans="2:10">
      <c r="B4467" s="478"/>
      <c r="H4467" s="456"/>
      <c r="I4467" s="456"/>
      <c r="J4467" s="456"/>
    </row>
    <row r="4468" spans="2:10">
      <c r="B4468" s="478" t="s">
        <v>2801</v>
      </c>
      <c r="E4468" s="464">
        <f>E4406</f>
        <v>651</v>
      </c>
      <c r="F4468" s="464">
        <f>(1+F4469)*F4406</f>
        <v>520.20000000000005</v>
      </c>
      <c r="G4468" s="464">
        <f>(1+G4469)*G4406</f>
        <v>553.6662</v>
      </c>
      <c r="H4468" s="464">
        <f>(1+H4469)*H4406</f>
        <v>582.54018999999994</v>
      </c>
      <c r="I4468" s="464">
        <f>(1+I4469)*I4406</f>
        <v>600.01639569999998</v>
      </c>
      <c r="J4468" s="464">
        <f>(1+J4469)*J4406</f>
        <v>618.0168875710001</v>
      </c>
    </row>
    <row r="4469" spans="2:10">
      <c r="B4469" s="478" t="s">
        <v>153</v>
      </c>
      <c r="F4469">
        <f>F4465</f>
        <v>-0.1</v>
      </c>
      <c r="G4469">
        <f>G4465</f>
        <v>-7.0000000000000007E-2</v>
      </c>
      <c r="H4469">
        <f>H4465</f>
        <v>-0.05</v>
      </c>
      <c r="I4469">
        <f>I4465</f>
        <v>-0.05</v>
      </c>
      <c r="J4469">
        <f>J4465</f>
        <v>-0.05</v>
      </c>
    </row>
    <row r="4470" spans="2:10">
      <c r="B4470" s="478" t="s">
        <v>6209</v>
      </c>
      <c r="F4470" s="464">
        <f>F4406-F4468</f>
        <v>57.799999999999955</v>
      </c>
      <c r="G4470" s="464">
        <f>G4406-G4468</f>
        <v>41.673800000000028</v>
      </c>
      <c r="H4470" s="464">
        <f>H4406-H4468</f>
        <v>30.660010000000057</v>
      </c>
      <c r="I4470" s="464">
        <f>I4406-I4468</f>
        <v>31.579810300000076</v>
      </c>
      <c r="J4470" s="464">
        <f>J4406-J4468</f>
        <v>32.527204609000023</v>
      </c>
    </row>
    <row r="4472" spans="2:10">
      <c r="B4472" s="478" t="s">
        <v>6208</v>
      </c>
      <c r="E4472" s="464">
        <f>E4390</f>
        <v>1955.5800000000002</v>
      </c>
      <c r="F4472" s="464">
        <f>(1+F4473)*F4390</f>
        <v>1907.8934000000002</v>
      </c>
      <c r="G4472" s="464">
        <f>(1+G4473)*G4390</f>
        <v>2040.8704369127672</v>
      </c>
      <c r="H4472" s="464">
        <f>(1+H4473)*H4390</f>
        <v>1662.3804573547623</v>
      </c>
      <c r="I4472" s="464">
        <f>(1+I4473)*I4390</f>
        <v>1622.6463348790292</v>
      </c>
      <c r="J4472" s="464">
        <f>(1+J4473)*J4390</f>
        <v>1629.2153870536288</v>
      </c>
    </row>
    <row r="4473" spans="2:10">
      <c r="B4473" s="478" t="s">
        <v>2353</v>
      </c>
      <c r="F4473">
        <v>-0.02</v>
      </c>
      <c r="G4473">
        <v>-0.05</v>
      </c>
      <c r="H4473">
        <v>-0.03</v>
      </c>
      <c r="I4473">
        <v>-0.03</v>
      </c>
      <c r="J4473">
        <v>-0.03</v>
      </c>
    </row>
    <row r="4474" spans="2:10">
      <c r="B4474" s="478" t="s">
        <v>6209</v>
      </c>
      <c r="F4474" s="464">
        <f>F4390-F4472</f>
        <v>38.936599999999999</v>
      </c>
      <c r="G4474" s="464">
        <f>G4390-G4472</f>
        <v>107.41423352172478</v>
      </c>
      <c r="H4474" s="464">
        <f>H4390-H4472</f>
        <v>51.413828577982486</v>
      </c>
      <c r="I4474" s="464">
        <f>I4390-I4472</f>
        <v>50.18493819213495</v>
      </c>
      <c r="J4474" s="464">
        <f>J4390-J4472</f>
        <v>50.388104754235883</v>
      </c>
    </row>
    <row r="4476" spans="2:10" ht="15.75" thickBot="1">
      <c r="B4476" s="654" t="s">
        <v>6254</v>
      </c>
      <c r="E4476">
        <f>E4412-E4474</f>
        <v>5510.232</v>
      </c>
      <c r="F4476">
        <f>F4412-F4479</f>
        <v>5269.2384000000002</v>
      </c>
      <c r="G4476">
        <f>G4412-G4479</f>
        <v>5569.2944664782754</v>
      </c>
      <c r="H4476">
        <f>H4412-H4479</f>
        <v>5097.0038883071047</v>
      </c>
      <c r="I4476">
        <f>I4412-I4479</f>
        <v>5178.1665656170762</v>
      </c>
      <c r="J4476">
        <f>J4412-J4479</f>
        <v>5343.0150319618215</v>
      </c>
    </row>
    <row r="4477" spans="2:10" ht="15.75" thickTop="1">
      <c r="B4477" s="478" t="s">
        <v>5901</v>
      </c>
      <c r="E4477" s="464"/>
      <c r="F4477" s="449">
        <f>F4476/F4412-1</f>
        <v>-2.3129699666295855E-2</v>
      </c>
      <c r="G4477" s="449">
        <f>G4476/G4412-1</f>
        <v>-2.9401452339094525E-2</v>
      </c>
      <c r="H4477" s="449">
        <f>H4476/H4412-1</f>
        <v>-1.7966803198057102E-2</v>
      </c>
      <c r="I4477" s="449">
        <f>I4476/I4412-1</f>
        <v>-1.7582774029891057E-2</v>
      </c>
      <c r="J4477" s="449">
        <f>J4476/J4412-1</f>
        <v>-1.7265539776130434E-2</v>
      </c>
    </row>
    <row r="4479" spans="2:10">
      <c r="B4479" s="478" t="s">
        <v>6206</v>
      </c>
      <c r="F4479" s="464">
        <f>F4466+F4470+F4474</f>
        <v>124.76159999999996</v>
      </c>
      <c r="G4479" s="464">
        <f>G4466+G4470+G4474</f>
        <v>168.70553352172482</v>
      </c>
      <c r="H4479" s="464">
        <f>H4466+H4470+H4474</f>
        <v>93.252311692895972</v>
      </c>
      <c r="I4479" s="464">
        <f>I4466+I4470+I4474</f>
        <v>92.676034382923802</v>
      </c>
      <c r="J4479" s="464">
        <f>J4466+J4470+J4474</f>
        <v>93.870768038178483</v>
      </c>
    </row>
    <row r="4480" spans="2:10">
      <c r="B4480" s="478" t="s">
        <v>6207</v>
      </c>
      <c r="F4480" s="464">
        <f>F4479*0.6</f>
        <v>74.856959999999972</v>
      </c>
      <c r="G4480" s="464">
        <f>G4479*0.6</f>
        <v>101.22332011303489</v>
      </c>
      <c r="H4480" s="464">
        <f>H4479*0.6</f>
        <v>55.951387015737581</v>
      </c>
      <c r="I4480" s="464">
        <f>I4479*0.6</f>
        <v>55.605620629754277</v>
      </c>
      <c r="J4480" s="464">
        <f>J4479*0.6</f>
        <v>56.32246082290709</v>
      </c>
    </row>
    <row r="4481" spans="2:10">
      <c r="B4481" s="478" t="s">
        <v>6250</v>
      </c>
      <c r="F4481" s="454">
        <f>F4480*(1-0.28)</f>
        <v>53.89701119999998</v>
      </c>
      <c r="G4481" s="454">
        <f>G4480*(1-0.28)</f>
        <v>72.88079048138512</v>
      </c>
      <c r="H4481" s="454">
        <f>H4480*(1-0.28)</f>
        <v>40.284998651331058</v>
      </c>
      <c r="I4481" s="454">
        <f>I4480*(1-0.28)</f>
        <v>40.03604685342308</v>
      </c>
      <c r="J4481" s="454">
        <f>J4480*(1-0.28)</f>
        <v>40.552171792493105</v>
      </c>
    </row>
    <row r="4482" spans="2:10">
      <c r="B4482" s="478"/>
      <c r="F4482" s="454"/>
      <c r="G4482" s="454"/>
      <c r="H4482" s="454"/>
      <c r="I4482" s="454"/>
      <c r="J4482" s="454"/>
    </row>
    <row r="4483" spans="2:10">
      <c r="B4483" s="478" t="s">
        <v>6251</v>
      </c>
      <c r="F4483" s="454">
        <f ca="1">Valuation!J27</f>
        <v>424.51142204733435</v>
      </c>
      <c r="G4483" s="454">
        <f ca="1">Valuation!K27</f>
        <v>577.94706701228108</v>
      </c>
      <c r="H4483" s="454">
        <f>Valuation!L27</f>
        <v>351.13499999999976</v>
      </c>
      <c r="I4483" s="454">
        <f>Valuation!M27</f>
        <v>267.28549999999996</v>
      </c>
      <c r="J4483" s="454">
        <f ca="1">Valuation!N27</f>
        <v>963.64580000000024</v>
      </c>
    </row>
    <row r="4484" spans="2:10">
      <c r="B4484" s="478" t="s">
        <v>4421</v>
      </c>
      <c r="F4484" s="454">
        <f ca="1">F4483-F4481</f>
        <v>370.6144108473344</v>
      </c>
      <c r="G4484" s="454">
        <f ca="1">G4483-G4481</f>
        <v>505.06627653089595</v>
      </c>
      <c r="H4484" s="454">
        <f>H4483-H4481</f>
        <v>310.85000134866868</v>
      </c>
      <c r="I4484" s="454">
        <f>I4483-I4481</f>
        <v>227.24945314657688</v>
      </c>
      <c r="J4484" s="454">
        <f ca="1">J4483-J4481</f>
        <v>923.09362820750709</v>
      </c>
    </row>
    <row r="4485" spans="2:10">
      <c r="B4485" s="478" t="s">
        <v>2353</v>
      </c>
      <c r="F4485" s="449">
        <f ca="1">F4484/F4483-1</f>
        <v>-0.12696245236480419</v>
      </c>
      <c r="G4485" s="449">
        <f ca="1">G4484/G4483-1</f>
        <v>-0.12610288145962067</v>
      </c>
      <c r="H4485" s="449">
        <f>H4484/H4483-1</f>
        <v>-0.11472794979518164</v>
      </c>
      <c r="I4485" s="449">
        <f>I4484/I4483-1</f>
        <v>-0.1497875749093126</v>
      </c>
      <c r="J4485" s="449">
        <f ca="1">J4484/J4483-1</f>
        <v>-4.208203033987501E-2</v>
      </c>
    </row>
    <row r="4487" spans="2:10">
      <c r="B4487" s="478" t="s">
        <v>6242</v>
      </c>
      <c r="C4487" s="464">
        <f>Master!V127</f>
        <v>1395</v>
      </c>
    </row>
    <row r="4488" spans="2:10">
      <c r="B4488" s="478" t="s">
        <v>6243</v>
      </c>
      <c r="C4488">
        <v>400</v>
      </c>
    </row>
    <row r="4489" spans="2:10">
      <c r="B4489" s="487" t="s">
        <v>6244</v>
      </c>
      <c r="C4489" s="455">
        <f>600-C4488</f>
        <v>200</v>
      </c>
    </row>
    <row r="4490" spans="2:10">
      <c r="B4490" s="478" t="s">
        <v>6245</v>
      </c>
      <c r="C4490" s="464">
        <f>SUM(C4487:C4489)</f>
        <v>1995</v>
      </c>
    </row>
    <row r="4492" spans="2:10">
      <c r="B4492" s="478" t="s">
        <v>2172</v>
      </c>
      <c r="C4492">
        <v>600</v>
      </c>
    </row>
    <row r="4493" spans="2:10">
      <c r="B4493" s="478" t="s">
        <v>6246</v>
      </c>
      <c r="C4493" s="464">
        <f>C4490-C4492</f>
        <v>1395</v>
      </c>
    </row>
    <row r="4496" spans="2:10">
      <c r="C4496" s="478" t="s">
        <v>6265</v>
      </c>
      <c r="D4496" t="s">
        <v>6262</v>
      </c>
      <c r="E4496" t="s">
        <v>6263</v>
      </c>
    </row>
    <row r="4497" spans="2:5">
      <c r="B4497" s="493" t="s">
        <v>6264</v>
      </c>
      <c r="C4497" s="464">
        <v>1100</v>
      </c>
      <c r="D4497">
        <f>C4489</f>
        <v>200</v>
      </c>
    </row>
    <row r="4498" spans="2:5">
      <c r="B4498" s="493">
        <v>2020</v>
      </c>
      <c r="D4498" s="464"/>
      <c r="E4498">
        <v>221</v>
      </c>
    </row>
    <row r="4499" spans="2:5">
      <c r="B4499" s="493">
        <f t="shared" ref="B4499:B4507" si="431">B4498+1</f>
        <v>2021</v>
      </c>
      <c r="E4499">
        <v>180</v>
      </c>
    </row>
    <row r="4500" spans="2:5">
      <c r="B4500" s="493">
        <f t="shared" si="431"/>
        <v>2022</v>
      </c>
      <c r="E4500">
        <v>172</v>
      </c>
    </row>
    <row r="4501" spans="2:5">
      <c r="B4501" s="493">
        <f t="shared" si="431"/>
        <v>2023</v>
      </c>
      <c r="E4501">
        <v>544</v>
      </c>
    </row>
    <row r="4502" spans="2:5">
      <c r="B4502" s="493">
        <f t="shared" si="431"/>
        <v>2024</v>
      </c>
      <c r="E4502">
        <v>1899</v>
      </c>
    </row>
    <row r="4503" spans="2:5">
      <c r="B4503" s="493">
        <f t="shared" si="431"/>
        <v>2025</v>
      </c>
      <c r="E4503">
        <v>1101</v>
      </c>
    </row>
    <row r="4504" spans="2:5">
      <c r="B4504" s="493">
        <f t="shared" si="431"/>
        <v>2026</v>
      </c>
      <c r="E4504">
        <v>638</v>
      </c>
    </row>
    <row r="4505" spans="2:5">
      <c r="B4505" s="493">
        <f t="shared" si="431"/>
        <v>2027</v>
      </c>
      <c r="E4505">
        <v>408</v>
      </c>
    </row>
    <row r="4506" spans="2:5">
      <c r="B4506" s="493">
        <f t="shared" si="431"/>
        <v>2028</v>
      </c>
      <c r="E4506">
        <v>548</v>
      </c>
    </row>
    <row r="4507" spans="2:5">
      <c r="B4507" s="493">
        <f t="shared" si="431"/>
        <v>2029</v>
      </c>
      <c r="E4507">
        <v>883</v>
      </c>
    </row>
    <row r="4508" spans="2:5">
      <c r="B4508" s="506" t="s">
        <v>6248</v>
      </c>
      <c r="E4508">
        <v>659</v>
      </c>
    </row>
    <row r="4510" spans="2:5">
      <c r="B4510" s="478" t="s">
        <v>6247</v>
      </c>
      <c r="C4510">
        <v>6.1</v>
      </c>
    </row>
    <row r="4511" spans="2:5">
      <c r="B4511" s="478" t="s">
        <v>5398</v>
      </c>
      <c r="C4511" s="456">
        <v>6.0999999999999999E-2</v>
      </c>
    </row>
    <row r="4515" spans="2:14">
      <c r="B4515" s="455" t="s">
        <v>2472</v>
      </c>
      <c r="C4515" s="495" t="s">
        <v>6259</v>
      </c>
      <c r="D4515" s="495" t="s">
        <v>6258</v>
      </c>
      <c r="E4515" s="495" t="s">
        <v>6260</v>
      </c>
      <c r="F4515" s="495" t="s">
        <v>6261</v>
      </c>
      <c r="G4515" s="495" t="s">
        <v>2389</v>
      </c>
      <c r="K4515" s="1081"/>
      <c r="L4515" s="1082"/>
      <c r="M4515" s="1082"/>
      <c r="N4515" s="1178"/>
    </row>
    <row r="4516" spans="2:14">
      <c r="B4516" s="1124">
        <v>43889</v>
      </c>
      <c r="C4516">
        <v>6500</v>
      </c>
      <c r="D4516">
        <v>438</v>
      </c>
      <c r="E4516" s="468">
        <f t="shared" ref="E4516:E4535" si="432">C4516*D4516/1000000</f>
        <v>2.847</v>
      </c>
      <c r="F4516">
        <v>9.3000000000000007</v>
      </c>
      <c r="G4516" s="468">
        <f>E4516/F4516</f>
        <v>0.30612903225806448</v>
      </c>
      <c r="K4516" s="1088" t="s">
        <v>2205</v>
      </c>
      <c r="L4516">
        <v>570</v>
      </c>
      <c r="N4516" s="618"/>
    </row>
    <row r="4517" spans="2:14">
      <c r="B4517" s="1124">
        <v>43892</v>
      </c>
      <c r="C4517">
        <v>6600</v>
      </c>
      <c r="D4517">
        <v>436</v>
      </c>
      <c r="E4517" s="468">
        <f t="shared" si="432"/>
        <v>2.8776000000000002</v>
      </c>
      <c r="F4517">
        <v>9.3000000000000007</v>
      </c>
      <c r="G4517" s="468">
        <f t="shared" ref="G4517:G4535" si="433">E4517/F4517</f>
        <v>0.30941935483870969</v>
      </c>
      <c r="K4517" s="1088" t="s">
        <v>6427</v>
      </c>
      <c r="L4517">
        <v>503</v>
      </c>
      <c r="N4517" s="618"/>
    </row>
    <row r="4518" spans="2:14">
      <c r="B4518" s="1124">
        <v>43893</v>
      </c>
      <c r="C4518">
        <v>5983</v>
      </c>
      <c r="D4518">
        <v>442</v>
      </c>
      <c r="E4518" s="468">
        <f t="shared" si="432"/>
        <v>2.6444860000000001</v>
      </c>
      <c r="F4518">
        <v>9.3000000000000007</v>
      </c>
      <c r="G4518" s="468">
        <f t="shared" si="433"/>
        <v>0.28435333333333335</v>
      </c>
      <c r="K4518" s="1085"/>
      <c r="N4518" s="618"/>
    </row>
    <row r="4519" spans="2:14">
      <c r="B4519" s="1124">
        <v>43894</v>
      </c>
      <c r="C4519">
        <v>7918</v>
      </c>
      <c r="D4519">
        <v>434</v>
      </c>
      <c r="E4519" s="468">
        <f t="shared" si="432"/>
        <v>3.4364119999999998</v>
      </c>
      <c r="F4519">
        <v>9.3000000000000007</v>
      </c>
      <c r="G4519" s="468">
        <f t="shared" si="433"/>
        <v>0.36950666666666659</v>
      </c>
      <c r="K4519" s="1179" t="s">
        <v>5640</v>
      </c>
      <c r="L4519" s="455">
        <v>2018</v>
      </c>
      <c r="M4519" s="455">
        <v>2019</v>
      </c>
      <c r="N4519" s="618"/>
    </row>
    <row r="4520" spans="2:14">
      <c r="B4520" s="1124">
        <v>43895</v>
      </c>
      <c r="C4520">
        <v>6684</v>
      </c>
      <c r="D4520">
        <v>429</v>
      </c>
      <c r="E4520" s="468">
        <f t="shared" si="432"/>
        <v>2.8674360000000001</v>
      </c>
      <c r="F4520">
        <v>9.3000000000000007</v>
      </c>
      <c r="G4520" s="468">
        <f t="shared" si="433"/>
        <v>0.30832645161290323</v>
      </c>
      <c r="K4520" s="1088" t="s">
        <v>758</v>
      </c>
      <c r="L4520" s="454">
        <f>M4520/(1.07)</f>
        <v>219.62616822429905</v>
      </c>
      <c r="M4520">
        <v>235</v>
      </c>
      <c r="N4520" s="618"/>
    </row>
    <row r="4521" spans="2:14">
      <c r="B4521" s="1124">
        <v>43896</v>
      </c>
      <c r="C4521">
        <v>7332</v>
      </c>
      <c r="D4521">
        <v>433</v>
      </c>
      <c r="E4521" s="468">
        <f t="shared" si="432"/>
        <v>3.1747559999999999</v>
      </c>
      <c r="F4521">
        <v>9.4</v>
      </c>
      <c r="G4521" s="468">
        <f t="shared" si="433"/>
        <v>0.33773999999999998</v>
      </c>
      <c r="K4521" s="1088" t="s">
        <v>360</v>
      </c>
      <c r="L4521" s="454">
        <f>M4521/(1.213)</f>
        <v>72.547403132728761</v>
      </c>
      <c r="M4521">
        <v>88</v>
      </c>
      <c r="N4521" s="618"/>
    </row>
    <row r="4522" spans="2:14">
      <c r="B4522" s="1124">
        <v>43899</v>
      </c>
      <c r="C4522">
        <v>11809</v>
      </c>
      <c r="D4522">
        <v>409</v>
      </c>
      <c r="E4522" s="468">
        <f t="shared" si="432"/>
        <v>4.8298810000000003</v>
      </c>
      <c r="F4522">
        <v>9.4</v>
      </c>
      <c r="G4522" s="468">
        <f t="shared" si="433"/>
        <v>0.51381712765957444</v>
      </c>
      <c r="K4522" s="1088" t="s">
        <v>1434</v>
      </c>
      <c r="L4522" s="449">
        <f>L4521/L4520</f>
        <v>0.3303222185192331</v>
      </c>
      <c r="M4522" s="449">
        <f>M4521/M4520</f>
        <v>0.37446808510638296</v>
      </c>
      <c r="N4522" s="618"/>
    </row>
    <row r="4523" spans="2:14">
      <c r="B4523" s="1124">
        <v>43900</v>
      </c>
      <c r="C4523">
        <v>13617</v>
      </c>
      <c r="D4523">
        <v>394</v>
      </c>
      <c r="E4523" s="468">
        <f t="shared" si="432"/>
        <v>5.3650979999999997</v>
      </c>
      <c r="F4523">
        <v>9.4</v>
      </c>
      <c r="G4523" s="468">
        <f t="shared" si="433"/>
        <v>0.57075510638297866</v>
      </c>
      <c r="K4523" s="1085"/>
      <c r="N4523" s="618"/>
    </row>
    <row r="4524" spans="2:14">
      <c r="B4524" s="1124">
        <v>43901</v>
      </c>
      <c r="C4524">
        <v>12882</v>
      </c>
      <c r="D4524">
        <v>361</v>
      </c>
      <c r="E4524" s="468">
        <f t="shared" si="432"/>
        <v>4.6504019999999997</v>
      </c>
      <c r="F4524">
        <v>9.4</v>
      </c>
      <c r="G4524" s="468">
        <f t="shared" si="433"/>
        <v>0.49472361702127654</v>
      </c>
      <c r="K4524" s="1179" t="s">
        <v>1243</v>
      </c>
      <c r="L4524" s="483">
        <f>L4517/L4521</f>
        <v>6.9333977272727285</v>
      </c>
      <c r="M4524" s="483">
        <f>L4517/M4521</f>
        <v>5.7159090909090908</v>
      </c>
      <c r="N4524" s="1180"/>
    </row>
    <row r="4525" spans="2:14">
      <c r="B4525" s="1124">
        <v>43902</v>
      </c>
      <c r="C4525">
        <v>14442</v>
      </c>
      <c r="D4525">
        <v>317</v>
      </c>
      <c r="E4525" s="468">
        <f t="shared" si="432"/>
        <v>4.5781140000000002</v>
      </c>
      <c r="F4525">
        <v>9.4</v>
      </c>
      <c r="G4525" s="468">
        <f t="shared" si="433"/>
        <v>0.48703340425531916</v>
      </c>
    </row>
    <row r="4526" spans="2:14">
      <c r="B4526" s="1124">
        <v>43903</v>
      </c>
      <c r="C4526">
        <v>28300</v>
      </c>
      <c r="D4526">
        <v>296</v>
      </c>
      <c r="E4526" s="468">
        <f t="shared" si="432"/>
        <v>8.3767999999999994</v>
      </c>
      <c r="F4526">
        <v>9.4</v>
      </c>
      <c r="G4526" s="468">
        <f t="shared" si="433"/>
        <v>0.89114893617021262</v>
      </c>
    </row>
    <row r="4527" spans="2:14">
      <c r="B4527" s="1124">
        <v>43906</v>
      </c>
      <c r="C4527">
        <v>2200</v>
      </c>
      <c r="D4527">
        <v>252</v>
      </c>
      <c r="E4527" s="468">
        <f t="shared" si="432"/>
        <v>0.5544</v>
      </c>
      <c r="F4527">
        <v>9.4</v>
      </c>
      <c r="G4527" s="468">
        <f t="shared" si="433"/>
        <v>5.897872340425532E-2</v>
      </c>
    </row>
    <row r="4528" spans="2:14">
      <c r="B4528" s="1124">
        <v>43908</v>
      </c>
      <c r="C4528">
        <v>40277</v>
      </c>
      <c r="D4528">
        <v>254</v>
      </c>
      <c r="E4528" s="468">
        <f t="shared" si="432"/>
        <v>10.230358000000001</v>
      </c>
      <c r="F4528">
        <v>9.4</v>
      </c>
      <c r="G4528" s="468">
        <f t="shared" si="433"/>
        <v>1.0883359574468086</v>
      </c>
    </row>
    <row r="4529" spans="2:7">
      <c r="B4529" s="1124">
        <v>43909</v>
      </c>
      <c r="C4529">
        <v>125570</v>
      </c>
      <c r="D4529">
        <v>256</v>
      </c>
      <c r="E4529" s="468">
        <f t="shared" si="432"/>
        <v>32.145919999999997</v>
      </c>
      <c r="F4529">
        <v>9.3000000000000007</v>
      </c>
      <c r="G4529" s="468">
        <f t="shared" si="433"/>
        <v>3.4565505376344081</v>
      </c>
    </row>
    <row r="4530" spans="2:7">
      <c r="B4530" s="1124">
        <v>43910</v>
      </c>
      <c r="C4530">
        <v>38824</v>
      </c>
      <c r="D4530">
        <v>259</v>
      </c>
      <c r="E4530" s="468">
        <f t="shared" si="432"/>
        <v>10.055415999999999</v>
      </c>
      <c r="F4530">
        <v>9.4</v>
      </c>
      <c r="G4530" s="468">
        <f t="shared" si="433"/>
        <v>1.0697251063829787</v>
      </c>
    </row>
    <row r="4531" spans="2:7">
      <c r="B4531" s="1124">
        <v>43913</v>
      </c>
      <c r="C4531">
        <v>4375</v>
      </c>
      <c r="D4531">
        <v>251.7</v>
      </c>
      <c r="E4531" s="468">
        <f t="shared" si="432"/>
        <v>1.1011875</v>
      </c>
      <c r="F4531">
        <v>9.4</v>
      </c>
      <c r="G4531" s="468">
        <f t="shared" si="433"/>
        <v>0.11714760638297872</v>
      </c>
    </row>
    <row r="4532" spans="2:7">
      <c r="B4532" s="1124">
        <v>43914</v>
      </c>
      <c r="C4532">
        <v>1483</v>
      </c>
      <c r="D4532">
        <v>261.5</v>
      </c>
      <c r="E4532" s="468">
        <f t="shared" si="432"/>
        <v>0.3878045</v>
      </c>
      <c r="F4532">
        <v>9.4</v>
      </c>
      <c r="G4532" s="468">
        <f t="shared" si="433"/>
        <v>4.1255797872340426E-2</v>
      </c>
    </row>
    <row r="4533" spans="2:7">
      <c r="B4533" s="1124">
        <v>43915</v>
      </c>
      <c r="C4533">
        <v>1500</v>
      </c>
      <c r="D4533">
        <v>272.3</v>
      </c>
      <c r="E4533" s="468">
        <f t="shared" si="432"/>
        <v>0.40844999999999998</v>
      </c>
      <c r="F4533">
        <v>9.4</v>
      </c>
      <c r="G4533" s="468">
        <f t="shared" si="433"/>
        <v>4.3452127659574465E-2</v>
      </c>
    </row>
    <row r="4534" spans="2:7">
      <c r="B4534" s="1124">
        <v>43916</v>
      </c>
      <c r="C4534">
        <v>1500</v>
      </c>
      <c r="D4534">
        <v>278.8</v>
      </c>
      <c r="E4534" s="468">
        <f t="shared" si="432"/>
        <v>0.41820000000000002</v>
      </c>
      <c r="F4534" s="468">
        <v>9.5399999999999991</v>
      </c>
      <c r="G4534" s="468">
        <f t="shared" si="433"/>
        <v>4.3836477987421386E-2</v>
      </c>
    </row>
    <row r="4535" spans="2:7">
      <c r="B4535" s="1124">
        <v>43917</v>
      </c>
      <c r="C4535">
        <v>1500</v>
      </c>
      <c r="D4535">
        <v>284.89999999999998</v>
      </c>
      <c r="E4535" s="468">
        <f t="shared" si="432"/>
        <v>0.42734999999999995</v>
      </c>
      <c r="F4535">
        <v>9.4</v>
      </c>
      <c r="G4535" s="468">
        <f t="shared" si="433"/>
        <v>4.5462765957446805E-2</v>
      </c>
    </row>
    <row r="4536" spans="2:7">
      <c r="B4536" s="455"/>
      <c r="C4536" s="455"/>
      <c r="D4536" s="455"/>
      <c r="E4536" s="455"/>
      <c r="F4536" s="455"/>
      <c r="G4536" s="455"/>
    </row>
    <row r="4537" spans="2:7">
      <c r="B4537" s="506" t="s">
        <v>6333</v>
      </c>
      <c r="C4537" s="454">
        <f>SUM(C4516:C4535)</f>
        <v>339296</v>
      </c>
      <c r="E4537" s="468">
        <f>SUM(E4516:E4535)</f>
        <v>101.377071</v>
      </c>
      <c r="G4537" s="468">
        <f>SUM(G4516:G4535)</f>
        <v>10.837698130927251</v>
      </c>
    </row>
    <row r="4538" spans="2:7">
      <c r="B4538" s="506" t="s">
        <v>6332</v>
      </c>
      <c r="C4538" s="531">
        <f>C4537/1000000</f>
        <v>0.33929599999999999</v>
      </c>
    </row>
    <row r="4541" spans="2:7">
      <c r="B4541" t="s">
        <v>6275</v>
      </c>
      <c r="C4541" s="454">
        <f>'New split'!J5+'New split'!J11+'New split'!J13</f>
        <v>976</v>
      </c>
      <c r="D4541" s="449">
        <f>C4541/C$4545</f>
        <v>0.16638254347084896</v>
      </c>
    </row>
    <row r="4542" spans="2:7">
      <c r="B4542" t="s">
        <v>6276</v>
      </c>
      <c r="C4542" s="454">
        <f>'New split'!J15+'New split'!J7+'New split'!J19</f>
        <v>1335</v>
      </c>
      <c r="D4542" s="449">
        <f>C4542/C$4545</f>
        <v>0.22758267984998296</v>
      </c>
      <c r="E4542" t="s">
        <v>6274</v>
      </c>
    </row>
    <row r="4543" spans="2:7">
      <c r="B4543" t="s">
        <v>6277</v>
      </c>
      <c r="C4543" s="454">
        <f>'New split'!J6</f>
        <v>1503</v>
      </c>
      <c r="D4543" s="449">
        <f>C4543/C$4545</f>
        <v>0.25622229798840779</v>
      </c>
      <c r="E4543" t="s">
        <v>4373</v>
      </c>
    </row>
    <row r="4544" spans="2:7">
      <c r="B4544" s="455" t="s">
        <v>1147</v>
      </c>
      <c r="C4544" s="462">
        <f>C4545-C4542-C4543-C4541</f>
        <v>2052</v>
      </c>
      <c r="D4544" s="476">
        <f>C4544/C$4545</f>
        <v>0.34981247869076032</v>
      </c>
    </row>
    <row r="4545" spans="2:7">
      <c r="C4545" s="454">
        <f>'New split'!J41</f>
        <v>5866</v>
      </c>
      <c r="D4545" s="449">
        <f>C4545/C$4545</f>
        <v>1</v>
      </c>
    </row>
    <row r="4547" spans="2:7">
      <c r="C4547" t="str">
        <f>B4544</f>
        <v>Local FX</v>
      </c>
      <c r="D4547" s="449" t="str">
        <f>B4543</f>
        <v>Managed floating (Guat)</v>
      </c>
      <c r="E4547" t="str">
        <f>B4542</f>
        <v>Crawling pegs (Nic, Hond, Bol)</v>
      </c>
      <c r="F4547" t="str">
        <f>B4541</f>
        <v>Dollarised (Pan, El Sal)</v>
      </c>
    </row>
    <row r="4548" spans="2:7">
      <c r="B4548" t="s">
        <v>1250</v>
      </c>
      <c r="C4548" s="449">
        <f>D4544</f>
        <v>0.34981247869076032</v>
      </c>
      <c r="D4548" s="449">
        <f>D4543</f>
        <v>0.25622229798840779</v>
      </c>
      <c r="E4548" s="449">
        <f>D4542</f>
        <v>0.22758267984998296</v>
      </c>
      <c r="F4548" s="449">
        <f>D4541</f>
        <v>0.16638254347084896</v>
      </c>
    </row>
    <row r="4549" spans="2:7">
      <c r="B4549" t="s">
        <v>4413</v>
      </c>
      <c r="C4549" s="449">
        <v>0.3</v>
      </c>
      <c r="F4549" s="449">
        <f>100%-C4549-D4549-E4549</f>
        <v>0.7</v>
      </c>
    </row>
    <row r="4550" spans="2:7">
      <c r="B4550" t="s">
        <v>955</v>
      </c>
    </row>
    <row r="4553" spans="2:7">
      <c r="B4553" s="487" t="s">
        <v>1747</v>
      </c>
      <c r="C4553" s="455">
        <f>Master!W2</f>
        <v>2020</v>
      </c>
      <c r="D4553" s="455">
        <f>Master!X2</f>
        <v>2021</v>
      </c>
      <c r="E4553" s="455">
        <f>Master!Y2</f>
        <v>2022</v>
      </c>
      <c r="F4553" s="455">
        <f>Master!Z2</f>
        <v>2023</v>
      </c>
      <c r="G4553" s="455">
        <f>Master!AA2</f>
        <v>2024</v>
      </c>
    </row>
    <row r="4555" spans="2:7">
      <c r="B4555" s="478" t="s">
        <v>360</v>
      </c>
      <c r="C4555" s="464">
        <f>'New split'!J308</f>
        <v>2641</v>
      </c>
      <c r="D4555" s="464">
        <f>'New split'!K308</f>
        <v>2613</v>
      </c>
      <c r="E4555" s="464">
        <f>'New split'!L308</f>
        <v>2228.1349999999998</v>
      </c>
      <c r="F4555" s="464">
        <f>'New split'!M308</f>
        <v>2215.2855</v>
      </c>
      <c r="G4555" s="464">
        <f>'New split'!N308</f>
        <v>2624.6458000000002</v>
      </c>
    </row>
    <row r="4556" spans="2:7">
      <c r="B4556" s="478" t="s">
        <v>1545</v>
      </c>
      <c r="C4556" s="464">
        <f ca="1">-'New split'!J437</f>
        <v>-990</v>
      </c>
      <c r="D4556" s="464">
        <f ca="1">-'New split'!K437</f>
        <v>-1111</v>
      </c>
      <c r="E4556" s="464">
        <f>-'New split'!L437</f>
        <v>-973</v>
      </c>
      <c r="F4556" s="464">
        <f>-'New split'!M437</f>
        <v>-809</v>
      </c>
      <c r="G4556" s="464">
        <f>-'New split'!N437</f>
        <v>-743.43599501951292</v>
      </c>
    </row>
    <row r="4557" spans="2:7">
      <c r="B4557" s="478" t="s">
        <v>1382</v>
      </c>
      <c r="C4557" s="464">
        <f>Master!W40</f>
        <v>-730</v>
      </c>
      <c r="D4557" s="464">
        <f>Master!X40</f>
        <v>-583</v>
      </c>
      <c r="E4557" s="464">
        <f>Master!Y40</f>
        <v>-599</v>
      </c>
      <c r="F4557" s="464">
        <f>Master!Z40</f>
        <v>-684</v>
      </c>
      <c r="G4557" s="464">
        <f>Master!AA40</f>
        <v>-670</v>
      </c>
    </row>
    <row r="4558" spans="2:7">
      <c r="B4558" s="478" t="s">
        <v>272</v>
      </c>
      <c r="C4558" s="464">
        <f>Master!W44</f>
        <v>-204</v>
      </c>
      <c r="D4558" s="464">
        <f>Master!X44</f>
        <v>-189</v>
      </c>
      <c r="E4558" s="464">
        <f>Master!Y44</f>
        <v>-225</v>
      </c>
      <c r="F4558" s="464">
        <f>Master!Z44</f>
        <v>-424</v>
      </c>
      <c r="G4558" s="464">
        <f>Master!AA44</f>
        <v>-281</v>
      </c>
    </row>
    <row r="4559" spans="2:7">
      <c r="B4559" s="478" t="s">
        <v>5813</v>
      </c>
      <c r="C4559" s="464">
        <f>Master!W90+Master!W95</f>
        <v>460.99999999999989</v>
      </c>
      <c r="D4559" s="464">
        <f>Master!X90+Master!X95</f>
        <v>176</v>
      </c>
      <c r="E4559" s="464">
        <f>Master!Y90+Master!Y95</f>
        <v>-579.99999999999989</v>
      </c>
      <c r="F4559" s="464">
        <f>Master!Z90+Master!Z95</f>
        <v>473</v>
      </c>
      <c r="G4559" s="464">
        <f>Master!AA90+Master!AA95</f>
        <v>-585</v>
      </c>
    </row>
    <row r="4560" spans="2:7" ht="15.75" thickBot="1">
      <c r="B4560" s="478" t="s">
        <v>6334</v>
      </c>
      <c r="C4560" s="464">
        <f>Master!W100</f>
        <v>-136.69999999999999</v>
      </c>
      <c r="D4560" s="464">
        <f>Master!X100</f>
        <v>-2005</v>
      </c>
      <c r="E4560" s="464">
        <f>Master!Y100</f>
        <v>347.06999999999994</v>
      </c>
      <c r="F4560" s="464">
        <f>Master!Z100</f>
        <v>-236</v>
      </c>
      <c r="G4560" s="464">
        <f>Master!AA100</f>
        <v>-135</v>
      </c>
    </row>
    <row r="4561" spans="2:8">
      <c r="B4561" s="1005" t="s">
        <v>538</v>
      </c>
      <c r="C4561" s="1167">
        <f>Master!W109</f>
        <v>0</v>
      </c>
      <c r="D4561" s="1167">
        <f>Master!X109</f>
        <v>0</v>
      </c>
      <c r="E4561" s="1167">
        <f>Master!Y109</f>
        <v>0</v>
      </c>
      <c r="F4561" s="1167">
        <f>Master!Z109</f>
        <v>0</v>
      </c>
      <c r="G4561" s="1168">
        <f>Master!AA109</f>
        <v>0</v>
      </c>
    </row>
    <row r="4562" spans="2:8" ht="15.75" thickBot="1">
      <c r="B4562" s="1060" t="s">
        <v>2606</v>
      </c>
      <c r="C4562" s="1169">
        <f>Master!W103</f>
        <v>-10.0572</v>
      </c>
      <c r="D4562" s="1169">
        <f>Master!X103</f>
        <v>-29.58</v>
      </c>
      <c r="E4562" s="1169">
        <f>Master!Y103</f>
        <v>0</v>
      </c>
      <c r="F4562" s="1169">
        <f>Master!Z103</f>
        <v>0</v>
      </c>
      <c r="G4562" s="1170">
        <f>Master!AA103</f>
        <v>0</v>
      </c>
    </row>
    <row r="4563" spans="2:8">
      <c r="B4563" s="487" t="s">
        <v>3804</v>
      </c>
      <c r="C4563" s="490">
        <f>Master!W107</f>
        <v>-70</v>
      </c>
      <c r="D4563" s="490">
        <f>Master!X107</f>
        <v>-25</v>
      </c>
      <c r="E4563" s="490">
        <f>Master!Y107</f>
        <v>-4</v>
      </c>
      <c r="F4563" s="490">
        <f>Master!Z107</f>
        <v>0</v>
      </c>
      <c r="G4563" s="490">
        <f>Master!AA107</f>
        <v>0</v>
      </c>
    </row>
    <row r="4564" spans="2:8">
      <c r="B4564" s="478" t="s">
        <v>6335</v>
      </c>
      <c r="C4564" s="464">
        <f ca="1">SUM(C4555:C4563)</f>
        <v>961.24279999999999</v>
      </c>
      <c r="D4564" s="464">
        <f ca="1">SUM(D4555:D4563)</f>
        <v>-1153.58</v>
      </c>
      <c r="E4564" s="464">
        <f>SUM(E4555:E4563)</f>
        <v>194.20499999999981</v>
      </c>
      <c r="F4564" s="464">
        <f>SUM(F4555:F4563)</f>
        <v>535.28549999999996</v>
      </c>
      <c r="G4564" s="464">
        <f>SUM(G4555:G4563)</f>
        <v>210.20980498048721</v>
      </c>
    </row>
    <row r="4567" spans="2:8">
      <c r="B4567" s="478" t="s">
        <v>1665</v>
      </c>
      <c r="C4567" s="478" t="s">
        <v>6338</v>
      </c>
    </row>
    <row r="4568" spans="2:8">
      <c r="B4568" s="478" t="s">
        <v>2378</v>
      </c>
      <c r="C4568" s="478" t="s">
        <v>6339</v>
      </c>
    </row>
    <row r="4569" spans="2:8">
      <c r="B4569" s="478" t="s">
        <v>2377</v>
      </c>
      <c r="C4569" s="478" t="s">
        <v>6340</v>
      </c>
    </row>
    <row r="4571" spans="2:8" ht="15.75">
      <c r="B4571" s="1174" t="s">
        <v>6423</v>
      </c>
      <c r="C4571" s="1096" t="s">
        <v>6327</v>
      </c>
      <c r="D4571" s="1096" t="s">
        <v>6419</v>
      </c>
      <c r="E4571" s="1096" t="s">
        <v>6420</v>
      </c>
      <c r="F4571" s="1096" t="s">
        <v>6421</v>
      </c>
      <c r="G4571" s="1097" t="s">
        <v>5044</v>
      </c>
    </row>
    <row r="4572" spans="2:8" ht="15.75">
      <c r="B4572" s="545" t="s">
        <v>6424</v>
      </c>
      <c r="C4572" s="694">
        <f>'New (new) quarts'!AK375</f>
        <v>2E-3</v>
      </c>
      <c r="D4572" s="1175">
        <v>-7.0000000000000007E-2</v>
      </c>
      <c r="E4572" s="1175">
        <v>-0.04</v>
      </c>
      <c r="F4572" s="1175">
        <v>-0.03</v>
      </c>
      <c r="G4572" s="1176"/>
    </row>
    <row r="4573" spans="2:8" ht="15.75">
      <c r="B4573" s="545" t="s">
        <v>6394</v>
      </c>
      <c r="C4573" s="694">
        <v>1.2E-2</v>
      </c>
      <c r="D4573" s="694" t="e">
        <f>'New (new) quarts'!#REF!</f>
        <v>#REF!</v>
      </c>
      <c r="E4573" s="694" t="e">
        <f>'New (new) quarts'!#REF!</f>
        <v>#REF!</v>
      </c>
      <c r="F4573" s="694" t="e">
        <f>'New (new) quarts'!#REF!</f>
        <v>#REF!</v>
      </c>
      <c r="G4573" s="1176"/>
    </row>
    <row r="4574" spans="2:8" ht="15.75">
      <c r="B4574" s="545" t="s">
        <v>6395</v>
      </c>
      <c r="C4574" s="589">
        <f>(C4572-C4573)*'New (new) quarts'!AK57</f>
        <v>-14.01</v>
      </c>
      <c r="D4574" s="589" t="e">
        <f>(D4572-D4573)*'New (new) quarts'!#REF!</f>
        <v>#REF!</v>
      </c>
      <c r="E4574" s="589" t="e">
        <f>(E4572-E4573)*'New (new) quarts'!#REF!</f>
        <v>#REF!</v>
      </c>
      <c r="F4574" s="589" t="e">
        <f>(F4572-F4573)*'New (new) quarts'!#REF!</f>
        <v>#REF!</v>
      </c>
      <c r="G4574" s="587" t="e">
        <f>SUM(C4574:F4574)</f>
        <v>#REF!</v>
      </c>
    </row>
    <row r="4575" spans="2:8" ht="15.75">
      <c r="B4575" s="545" t="s">
        <v>6422</v>
      </c>
      <c r="C4575" s="589"/>
      <c r="D4575" s="589"/>
      <c r="E4575" s="589"/>
      <c r="F4575" s="589"/>
      <c r="G4575" s="1177" t="e">
        <f>G4574/'New split'!J65</f>
        <v>#REF!</v>
      </c>
      <c r="H4575" s="456"/>
    </row>
    <row r="4576" spans="2:8" ht="15.75">
      <c r="B4576" s="545" t="s">
        <v>6397</v>
      </c>
      <c r="C4576" s="545"/>
      <c r="D4576" s="545"/>
      <c r="E4576" s="545"/>
      <c r="F4576" s="545"/>
      <c r="G4576" s="587">
        <v>100</v>
      </c>
    </row>
    <row r="4577" spans="2:7" ht="15.75">
      <c r="B4577" s="545" t="s">
        <v>360</v>
      </c>
      <c r="C4577" s="545"/>
      <c r="D4577" s="545"/>
      <c r="E4577" s="545"/>
      <c r="F4577" s="545"/>
      <c r="G4577" s="587" t="e">
        <f>G4574+G4576</f>
        <v>#REF!</v>
      </c>
    </row>
    <row r="4578" spans="2:7" ht="15.75">
      <c r="B4578" s="545" t="s">
        <v>6396</v>
      </c>
      <c r="C4578" s="545"/>
      <c r="D4578" s="545"/>
      <c r="E4578" s="545"/>
      <c r="F4578" s="545"/>
      <c r="G4578" s="1177" t="e">
        <f>-G4577/Master!W14</f>
        <v>#REF!</v>
      </c>
    </row>
    <row r="4579" spans="2:7" ht="15.75">
      <c r="B4579" s="545" t="s">
        <v>6425</v>
      </c>
      <c r="C4579" s="545"/>
      <c r="D4579" s="545"/>
      <c r="E4579" s="545"/>
      <c r="F4579" s="545"/>
      <c r="G4579" s="1176">
        <v>250</v>
      </c>
    </row>
    <row r="4580" spans="2:7" ht="15.75">
      <c r="B4580" s="545" t="s">
        <v>6426</v>
      </c>
      <c r="C4580" s="545"/>
      <c r="D4580" s="545"/>
      <c r="E4580" s="545"/>
      <c r="F4580" s="545"/>
      <c r="G4580" s="662" t="e">
        <f>G4577+G4579</f>
        <v>#REF!</v>
      </c>
    </row>
    <row r="4583" spans="2:7">
      <c r="C4583" s="478" t="s">
        <v>6416</v>
      </c>
      <c r="D4583" s="478" t="s">
        <v>6417</v>
      </c>
      <c r="E4583" s="478" t="s">
        <v>6418</v>
      </c>
      <c r="F4583" s="478" t="s">
        <v>6415</v>
      </c>
    </row>
    <row r="4584" spans="2:7">
      <c r="C4584">
        <v>30</v>
      </c>
      <c r="D4584">
        <v>60</v>
      </c>
      <c r="E4584">
        <v>90</v>
      </c>
      <c r="F4584">
        <v>600</v>
      </c>
    </row>
    <row r="4586" spans="2:7">
      <c r="B4586" s="451" t="s">
        <v>2389</v>
      </c>
      <c r="C4586" s="451">
        <v>2019</v>
      </c>
      <c r="D4586" s="451">
        <v>2020</v>
      </c>
      <c r="E4586" s="560" t="s">
        <v>153</v>
      </c>
    </row>
    <row r="4587" spans="2:7">
      <c r="B4587" s="478" t="s">
        <v>758</v>
      </c>
      <c r="C4587" s="454">
        <f>'New split'!I41</f>
        <v>5959</v>
      </c>
      <c r="D4587" s="454">
        <f>'New split'!J41</f>
        <v>5866</v>
      </c>
      <c r="E4587" s="454"/>
    </row>
    <row r="4588" spans="2:7">
      <c r="B4588" s="608" t="s">
        <v>6430</v>
      </c>
      <c r="C4588" s="454">
        <f>(50+50+30)+(50+10)</f>
        <v>190</v>
      </c>
      <c r="D4588" s="454"/>
      <c r="E4588" s="454"/>
    </row>
    <row r="4589" spans="2:7">
      <c r="B4589" s="608" t="s">
        <v>6431</v>
      </c>
      <c r="C4589" s="454">
        <f>C4587+C4588</f>
        <v>6149</v>
      </c>
      <c r="D4589" s="454">
        <f>D4587+D4588</f>
        <v>5866</v>
      </c>
      <c r="E4589" s="454">
        <f>D4589-C4589</f>
        <v>-283</v>
      </c>
    </row>
    <row r="4590" spans="2:7">
      <c r="B4590" s="608"/>
      <c r="C4590" s="454"/>
      <c r="D4590" s="454"/>
      <c r="E4590" s="454"/>
    </row>
    <row r="4592" spans="2:7">
      <c r="B4592" s="478" t="s">
        <v>6429</v>
      </c>
      <c r="C4592" s="454">
        <f>C4587-C4596</f>
        <v>3518</v>
      </c>
      <c r="D4592" s="454">
        <f>D4587-D4596</f>
        <v>3506</v>
      </c>
      <c r="E4592" s="454">
        <f>D4592-C4592</f>
        <v>-12</v>
      </c>
    </row>
    <row r="4593" spans="2:7">
      <c r="B4593" s="478" t="str">
        <f>B4588</f>
        <v xml:space="preserve"> add back</v>
      </c>
      <c r="C4593" s="454">
        <f>C4588-C4597</f>
        <v>81</v>
      </c>
      <c r="D4593" s="454"/>
      <c r="E4593" s="454"/>
    </row>
    <row r="4594" spans="2:7">
      <c r="B4594" s="608" t="s">
        <v>6431</v>
      </c>
      <c r="C4594" s="454">
        <f>C4592+C4593</f>
        <v>3599</v>
      </c>
      <c r="D4594" s="454">
        <f>D4592+D4593</f>
        <v>3506</v>
      </c>
      <c r="E4594" s="454">
        <f>D4594-C4594</f>
        <v>-93</v>
      </c>
    </row>
    <row r="4595" spans="2:7">
      <c r="B4595" s="478"/>
      <c r="C4595" s="454"/>
      <c r="D4595" s="454"/>
      <c r="E4595" s="454"/>
    </row>
    <row r="4596" spans="2:7">
      <c r="B4596" s="478" t="s">
        <v>360</v>
      </c>
      <c r="C4596" s="454">
        <f>'New split'!I319</f>
        <v>2441</v>
      </c>
      <c r="D4596" s="454">
        <f>'New split'!J319</f>
        <v>2360</v>
      </c>
      <c r="E4596" s="454">
        <f>D4596-C4596</f>
        <v>-81</v>
      </c>
    </row>
    <row r="4597" spans="2:7">
      <c r="B4597" s="608" t="s">
        <v>6430</v>
      </c>
      <c r="C4597" s="454">
        <f>(28+28+18)+(25+10)</f>
        <v>109</v>
      </c>
      <c r="D4597" s="449"/>
      <c r="E4597" s="454"/>
    </row>
    <row r="4598" spans="2:7">
      <c r="B4598" s="608" t="s">
        <v>6431</v>
      </c>
      <c r="C4598" s="454">
        <f>C4596+C4597</f>
        <v>2550</v>
      </c>
      <c r="D4598" s="454">
        <f>D4596+D4597</f>
        <v>2360</v>
      </c>
      <c r="E4598" s="454">
        <f>D4598-C4598</f>
        <v>-190</v>
      </c>
    </row>
    <row r="4600" spans="2:7">
      <c r="B4600" s="478" t="s">
        <v>1545</v>
      </c>
      <c r="C4600" s="454">
        <f ca="1">'New split'!I439</f>
        <v>1013</v>
      </c>
      <c r="D4600" s="454">
        <f ca="1">'New split'!J439</f>
        <v>949</v>
      </c>
      <c r="E4600" s="454">
        <f ca="1">D4600-C4600</f>
        <v>-64</v>
      </c>
    </row>
    <row r="4601" spans="2:7">
      <c r="B4601" s="478" t="s">
        <v>1552</v>
      </c>
      <c r="C4601" s="454">
        <f ca="1">C4596-C4600</f>
        <v>1428</v>
      </c>
      <c r="D4601" s="454">
        <f ca="1">D4596-D4600</f>
        <v>1411</v>
      </c>
      <c r="E4601" s="454">
        <f ca="1">D4601-C4601</f>
        <v>-17</v>
      </c>
    </row>
    <row r="4603" spans="2:7">
      <c r="C4603" s="493" t="str">
        <f>'New (new) quarts'!AK349</f>
        <v>Q1 20</v>
      </c>
      <c r="D4603" s="493" t="e">
        <f>'New (new) quarts'!#REF!</f>
        <v>#REF!</v>
      </c>
      <c r="E4603" s="493" t="e">
        <f>'New (new) quarts'!#REF!</f>
        <v>#REF!</v>
      </c>
      <c r="F4603" s="493" t="e">
        <f>'New (new) quarts'!#REF!</f>
        <v>#REF!</v>
      </c>
      <c r="G4603">
        <v>2021</v>
      </c>
    </row>
    <row r="4604" spans="2:7">
      <c r="B4604" t="s">
        <v>6432</v>
      </c>
      <c r="C4604" s="456">
        <f>'New (new) quarts'!AK348</f>
        <v>3.5507352941176497E-3</v>
      </c>
      <c r="D4604" s="456" t="e">
        <f>'New (new) quarts'!#REF!</f>
        <v>#REF!</v>
      </c>
      <c r="E4604" s="456" t="e">
        <f>'New (new) quarts'!#REF!</f>
        <v>#REF!</v>
      </c>
      <c r="F4604" s="456" t="e">
        <f>'New (new) quarts'!#REF!</f>
        <v>#REF!</v>
      </c>
      <c r="G4604" s="456">
        <f>'New split'!K244</f>
        <v>6.3663759614552437E-2</v>
      </c>
    </row>
    <row r="4606" spans="2:7">
      <c r="B4606" s="455"/>
      <c r="C4606" s="455">
        <v>2020</v>
      </c>
      <c r="D4606" s="455">
        <f>C4606+1</f>
        <v>2021</v>
      </c>
      <c r="E4606" s="455">
        <f>D4606+1</f>
        <v>2022</v>
      </c>
      <c r="F4606" s="455">
        <f>E4606+1</f>
        <v>2023</v>
      </c>
      <c r="G4606" s="455">
        <f>F4606+1</f>
        <v>2024</v>
      </c>
    </row>
    <row r="4607" spans="2:7">
      <c r="B4607" s="478" t="s">
        <v>6437</v>
      </c>
      <c r="C4607" s="464">
        <f ca="1">Valuation!J27</f>
        <v>424.51142204733435</v>
      </c>
      <c r="D4607" s="464">
        <f ca="1">Valuation!K27</f>
        <v>577.94706701228108</v>
      </c>
      <c r="E4607" s="464">
        <f>Valuation!L27</f>
        <v>351.13499999999976</v>
      </c>
      <c r="F4607" s="464">
        <f>Valuation!M27</f>
        <v>267.28549999999996</v>
      </c>
      <c r="G4607" s="464">
        <f ca="1">Valuation!N27</f>
        <v>963.64580000000024</v>
      </c>
    </row>
    <row r="4608" spans="2:7">
      <c r="B4608" s="478" t="s">
        <v>6438</v>
      </c>
      <c r="C4608" s="454">
        <v>334.16667712592897</v>
      </c>
      <c r="D4608" s="454">
        <v>390.4593177412907</v>
      </c>
      <c r="E4608" s="454">
        <v>435.67728386500454</v>
      </c>
      <c r="F4608" s="454">
        <v>502.77095018500819</v>
      </c>
      <c r="G4608" s="454">
        <v>576.16322551040344</v>
      </c>
    </row>
    <row r="4610" spans="2:9">
      <c r="B4610" s="450"/>
      <c r="C4610" s="599" t="s">
        <v>6595</v>
      </c>
      <c r="D4610" s="599" t="s">
        <v>6596</v>
      </c>
      <c r="E4610" s="599" t="s">
        <v>6597</v>
      </c>
      <c r="F4610" s="599" t="s">
        <v>6590</v>
      </c>
      <c r="G4610" s="599" t="s">
        <v>6591</v>
      </c>
      <c r="H4610" s="599" t="s">
        <v>6594</v>
      </c>
    </row>
    <row r="4611" spans="2:9">
      <c r="B4611" s="451"/>
      <c r="C4611" s="560" t="s">
        <v>5587</v>
      </c>
      <c r="D4611" s="560" t="s">
        <v>5587</v>
      </c>
      <c r="E4611" s="560" t="s">
        <v>5587</v>
      </c>
      <c r="F4611" s="560" t="s">
        <v>6598</v>
      </c>
      <c r="G4611" s="560" t="s">
        <v>6593</v>
      </c>
      <c r="H4611" s="560" t="s">
        <v>1655</v>
      </c>
    </row>
    <row r="4612" spans="2:9">
      <c r="C4612" s="506"/>
      <c r="D4612" s="506"/>
      <c r="F4612" s="478"/>
    </row>
    <row r="4613" spans="2:9">
      <c r="B4613" s="491" t="s">
        <v>5322</v>
      </c>
      <c r="C4613" s="468">
        <v>0.9</v>
      </c>
      <c r="D4613" s="468">
        <v>0.25</v>
      </c>
      <c r="E4613" s="468">
        <f>D4613</f>
        <v>0.25</v>
      </c>
      <c r="F4613" s="454">
        <v>27.6</v>
      </c>
      <c r="G4613" s="454">
        <f>F4613*3*E4613</f>
        <v>20.700000000000003</v>
      </c>
      <c r="H4613" s="456">
        <f>G4613/387</f>
        <v>5.3488372093023262E-2</v>
      </c>
    </row>
    <row r="4614" spans="2:9">
      <c r="B4614" s="487" t="s">
        <v>6592</v>
      </c>
      <c r="C4614" s="1187" t="s">
        <v>2619</v>
      </c>
      <c r="D4614" s="483">
        <v>0.5</v>
      </c>
      <c r="E4614" s="483">
        <f>D4614</f>
        <v>0.5</v>
      </c>
      <c r="F4614" s="455">
        <v>15</v>
      </c>
      <c r="G4614" s="462">
        <f>F4614*3*E4614</f>
        <v>22.5</v>
      </c>
      <c r="H4614" s="561">
        <f>G4614/843</f>
        <v>2.6690391459074734E-2</v>
      </c>
    </row>
    <row r="4615" spans="2:9">
      <c r="B4615" s="478" t="s">
        <v>2324</v>
      </c>
      <c r="C4615" s="506" t="s">
        <v>2619</v>
      </c>
      <c r="D4615" s="468">
        <f>D4613+D4614</f>
        <v>0.75</v>
      </c>
      <c r="E4615" s="468">
        <f>AVERAGE(C4615,D4615)</f>
        <v>0.75</v>
      </c>
      <c r="G4615" s="454">
        <f>G4613+G4614</f>
        <v>43.2</v>
      </c>
      <c r="H4615" s="456">
        <f>G4615/'New (new) quarts'!AL21</f>
        <v>3.1625183016105417E-2</v>
      </c>
    </row>
    <row r="4616" spans="2:9">
      <c r="B4616" s="478"/>
      <c r="I4616" s="456"/>
    </row>
    <row r="4619" spans="2:9">
      <c r="B4619" t="s">
        <v>6601</v>
      </c>
      <c r="C4619" s="456">
        <v>7.3999999999999996E-2</v>
      </c>
    </row>
    <row r="4620" spans="2:9">
      <c r="B4620" t="s">
        <v>1250</v>
      </c>
      <c r="C4620" s="456">
        <v>7.0000000000000007E-2</v>
      </c>
    </row>
    <row r="4621" spans="2:9">
      <c r="B4621" t="s">
        <v>4498</v>
      </c>
      <c r="C4621" s="456">
        <v>6.6000000000000003E-2</v>
      </c>
    </row>
    <row r="4622" spans="2:9">
      <c r="B4622" t="s">
        <v>6074</v>
      </c>
      <c r="C4622" s="456">
        <v>5.0999999999999997E-2</v>
      </c>
    </row>
    <row r="4623" spans="2:9">
      <c r="B4623" t="s">
        <v>955</v>
      </c>
      <c r="C4623" s="456">
        <v>4.2000000000000003E-2</v>
      </c>
    </row>
    <row r="4624" spans="2:9">
      <c r="B4624" t="s">
        <v>6600</v>
      </c>
      <c r="C4624" s="456">
        <v>3.6999999999999998E-2</v>
      </c>
    </row>
    <row r="4625" spans="2:3">
      <c r="B4625" t="s">
        <v>6599</v>
      </c>
      <c r="C4625" s="456">
        <v>1.6E-2</v>
      </c>
    </row>
    <row r="4641" spans="2:22">
      <c r="C4641" s="1188" t="s">
        <v>4689</v>
      </c>
      <c r="D4641" s="1188" t="s">
        <v>4761</v>
      </c>
      <c r="E4641" s="1188" t="s">
        <v>4862</v>
      </c>
      <c r="F4641" s="1188" t="s">
        <v>5039</v>
      </c>
      <c r="G4641" s="1188" t="s">
        <v>5040</v>
      </c>
      <c r="H4641" s="1188" t="s">
        <v>5041</v>
      </c>
      <c r="I4641" s="1188" t="s">
        <v>5042</v>
      </c>
      <c r="J4641" s="1188" t="s">
        <v>5043</v>
      </c>
      <c r="K4641" s="1188" t="s">
        <v>5617</v>
      </c>
      <c r="L4641" s="1188" t="s">
        <v>5618</v>
      </c>
      <c r="M4641" s="1188" t="s">
        <v>5619</v>
      </c>
      <c r="N4641" s="1188" t="s">
        <v>5620</v>
      </c>
      <c r="O4641" s="1189" t="s">
        <v>5797</v>
      </c>
      <c r="P4641" s="1189" t="s">
        <v>5798</v>
      </c>
      <c r="Q4641" s="1189" t="s">
        <v>5799</v>
      </c>
      <c r="R4641" s="1189" t="s">
        <v>5800</v>
      </c>
      <c r="S4641" s="1189" t="s">
        <v>7045</v>
      </c>
      <c r="T4641" s="1218" t="s">
        <v>7046</v>
      </c>
      <c r="U4641" s="1218" t="s">
        <v>7047</v>
      </c>
      <c r="V4641" s="1218" t="s">
        <v>7048</v>
      </c>
    </row>
    <row r="4642" spans="2:22">
      <c r="B4642" t="s">
        <v>6602</v>
      </c>
      <c r="C4642" s="454">
        <v>8404.2839999999997</v>
      </c>
      <c r="D4642" s="464">
        <v>8595.1538450000007</v>
      </c>
      <c r="E4642" s="464">
        <v>8758.9582599999994</v>
      </c>
      <c r="F4642" s="464">
        <v>9075.9286270877601</v>
      </c>
      <c r="G4642" s="464">
        <v>9283.7216270877616</v>
      </c>
      <c r="H4642" s="464">
        <f>'Earning snaps'!W34</f>
        <v>0</v>
      </c>
      <c r="I4642" s="464">
        <f>'Earning snaps'!X34</f>
        <v>0</v>
      </c>
      <c r="J4642" s="464">
        <f>'Earning snaps'!Y34</f>
        <v>0</v>
      </c>
      <c r="K4642" s="464">
        <f>'Earning snaps'!Z34</f>
        <v>0</v>
      </c>
      <c r="L4642" s="464">
        <f>'Earning snaps'!AB34</f>
        <v>0</v>
      </c>
      <c r="M4642" s="464">
        <f>'Earning snaps'!AC34</f>
        <v>0</v>
      </c>
      <c r="N4642" s="464">
        <f>'Earning snaps'!AD34</f>
        <v>0</v>
      </c>
      <c r="O4642" s="464">
        <f>'Earning snaps'!C34</f>
        <v>11570.433000000001</v>
      </c>
      <c r="P4642" s="464">
        <f>'Earning snaps'!D34</f>
        <v>11629.802</v>
      </c>
      <c r="Q4642" s="464">
        <f>'Earning snaps'!E34</f>
        <v>11761.880999999999</v>
      </c>
      <c r="R4642" s="464">
        <f>'Earning snaps'!F34</f>
        <v>11888.413</v>
      </c>
      <c r="S4642" s="464">
        <f>'Earning snaps'!G34</f>
        <v>11949</v>
      </c>
      <c r="T4642" s="464">
        <f>'Earning snaps'!H34</f>
        <v>12113</v>
      </c>
      <c r="U4642" s="464">
        <f>'Earning snaps'!I34</f>
        <v>12263</v>
      </c>
      <c r="V4642" s="464">
        <f>'Earning snaps'!J34</f>
        <v>12413</v>
      </c>
    </row>
    <row r="4643" spans="2:22">
      <c r="B4643" t="s">
        <v>6603</v>
      </c>
      <c r="D4643" s="464">
        <f t="shared" ref="D4643:V4643" si="434">D4642-C4642</f>
        <v>190.86984500000108</v>
      </c>
      <c r="E4643" s="464">
        <f t="shared" si="434"/>
        <v>163.8044149999987</v>
      </c>
      <c r="F4643" s="464">
        <f t="shared" si="434"/>
        <v>316.97036708776068</v>
      </c>
      <c r="G4643" s="464">
        <f t="shared" si="434"/>
        <v>207.79300000000148</v>
      </c>
      <c r="H4643" s="464">
        <f t="shared" si="434"/>
        <v>-9283.7216270877616</v>
      </c>
      <c r="I4643" s="464">
        <f t="shared" si="434"/>
        <v>0</v>
      </c>
      <c r="J4643" s="464">
        <f t="shared" si="434"/>
        <v>0</v>
      </c>
      <c r="K4643" s="464">
        <f t="shared" si="434"/>
        <v>0</v>
      </c>
      <c r="L4643" s="464">
        <f t="shared" si="434"/>
        <v>0</v>
      </c>
      <c r="M4643" s="464">
        <f t="shared" si="434"/>
        <v>0</v>
      </c>
      <c r="N4643" s="464">
        <f t="shared" si="434"/>
        <v>0</v>
      </c>
      <c r="O4643" s="464">
        <f t="shared" si="434"/>
        <v>11570.433000000001</v>
      </c>
      <c r="P4643" s="464">
        <f t="shared" si="434"/>
        <v>59.368999999998778</v>
      </c>
      <c r="Q4643" s="464">
        <f t="shared" si="434"/>
        <v>132.07899999999972</v>
      </c>
      <c r="R4643" s="464">
        <f t="shared" si="434"/>
        <v>126.53200000000106</v>
      </c>
      <c r="S4643" s="464">
        <f t="shared" si="434"/>
        <v>60.586999999999534</v>
      </c>
      <c r="T4643" s="464">
        <f t="shared" si="434"/>
        <v>164</v>
      </c>
      <c r="U4643" s="464">
        <f t="shared" si="434"/>
        <v>150</v>
      </c>
      <c r="V4643" s="464">
        <f t="shared" si="434"/>
        <v>150</v>
      </c>
    </row>
    <row r="4644" spans="2:22">
      <c r="B4644" s="463" t="s">
        <v>7441</v>
      </c>
      <c r="D4644">
        <v>250</v>
      </c>
      <c r="E4644">
        <v>250</v>
      </c>
      <c r="F4644">
        <v>250</v>
      </c>
      <c r="G4644">
        <v>250</v>
      </c>
      <c r="H4644">
        <v>250</v>
      </c>
      <c r="I4644">
        <v>250</v>
      </c>
      <c r="J4644">
        <v>250</v>
      </c>
      <c r="K4644">
        <v>250</v>
      </c>
      <c r="L4644">
        <v>250</v>
      </c>
      <c r="M4644">
        <v>250</v>
      </c>
      <c r="N4644">
        <v>250</v>
      </c>
      <c r="O4644">
        <v>250</v>
      </c>
      <c r="P4644">
        <v>250</v>
      </c>
      <c r="Q4644">
        <v>250</v>
      </c>
      <c r="R4644">
        <v>250</v>
      </c>
      <c r="S4644">
        <v>250</v>
      </c>
      <c r="T4644">
        <v>250</v>
      </c>
      <c r="U4644">
        <v>250</v>
      </c>
      <c r="V4644">
        <v>250</v>
      </c>
    </row>
    <row r="4649" spans="2:22">
      <c r="O4649" s="1258" t="s">
        <v>7436</v>
      </c>
    </row>
    <row r="4663" spans="2:17">
      <c r="B4663" s="478" t="s">
        <v>6619</v>
      </c>
    </row>
    <row r="4664" spans="2:17">
      <c r="L4664" s="599" t="s">
        <v>945</v>
      </c>
      <c r="M4664" s="599" t="s">
        <v>945</v>
      </c>
      <c r="N4664" s="599" t="s">
        <v>945</v>
      </c>
      <c r="O4664" s="599" t="s">
        <v>945</v>
      </c>
      <c r="Q4664" s="599" t="s">
        <v>6621</v>
      </c>
    </row>
    <row r="4665" spans="2:17">
      <c r="B4665" s="487" t="s">
        <v>1147</v>
      </c>
      <c r="C4665" s="508" t="s">
        <v>5617</v>
      </c>
      <c r="D4665" s="508" t="s">
        <v>5618</v>
      </c>
      <c r="E4665" s="508" t="s">
        <v>5619</v>
      </c>
      <c r="F4665" s="508" t="s">
        <v>5620</v>
      </c>
      <c r="G4665" s="508" t="s">
        <v>5797</v>
      </c>
      <c r="H4665" s="508" t="s">
        <v>5798</v>
      </c>
      <c r="I4665" s="508" t="s">
        <v>5799</v>
      </c>
      <c r="J4665" s="508" t="s">
        <v>5800</v>
      </c>
      <c r="L4665" s="508" t="str">
        <f>G4665</f>
        <v>Q1 20</v>
      </c>
      <c r="M4665" s="508" t="str">
        <f>H4665</f>
        <v>Q2 20</v>
      </c>
      <c r="N4665" s="508" t="str">
        <f>I4665</f>
        <v>Q3 20</v>
      </c>
      <c r="O4665" s="508" t="str">
        <f>J4665</f>
        <v>Q4 20</v>
      </c>
      <c r="Q4665" s="508" t="s">
        <v>5798</v>
      </c>
    </row>
    <row r="4666" spans="2:17">
      <c r="B4666" t="str">
        <f>'New (new) quarts'!B179</f>
        <v>El Salvador</v>
      </c>
      <c r="C4666">
        <f>'New (new) quarts'!AB276-('New (new) quarts'!AB103*'New (new) quarts'!AB251)</f>
        <v>61</v>
      </c>
      <c r="D4666">
        <f>'New (new) quarts'!AD276-('New (new) quarts'!AD103*'New (new) quarts'!AD251)</f>
        <v>67</v>
      </c>
      <c r="E4666">
        <f>'New (new) quarts'!AF276-('New (new) quarts'!AF103*'New (new) quarts'!AF251)</f>
        <v>60</v>
      </c>
      <c r="F4666">
        <f>'New (new) quarts'!AH276-('New (new) quarts'!AH103*'New (new) quarts'!AH251)</f>
        <v>58</v>
      </c>
      <c r="G4666">
        <f>'New (new) quarts'!AK276-('New (new) quarts'!AK103*'New (new) quarts'!AK251)</f>
        <v>61</v>
      </c>
      <c r="H4666">
        <f>'New (new) quarts'!AL276-('New (new) quarts'!AL103*'New (new) quarts'!AL251)</f>
        <v>63</v>
      </c>
      <c r="I4666">
        <f>'New (new) quarts'!AM276-('New (new) quarts'!AM103*'New (new) quarts'!AM251)</f>
        <v>64</v>
      </c>
      <c r="J4666" s="454" t="e">
        <f>'New (new) quarts'!#REF!-('New (new) quarts'!#REF!*'New (new) quarts'!#REF!)</f>
        <v>#REF!</v>
      </c>
      <c r="L4666" s="449">
        <f t="shared" ref="L4666:O4670" si="435">G4666/C4666-1</f>
        <v>0</v>
      </c>
      <c r="M4666" s="449">
        <f t="shared" si="435"/>
        <v>-5.9701492537313383E-2</v>
      </c>
      <c r="N4666" s="449">
        <f t="shared" si="435"/>
        <v>6.6666666666666652E-2</v>
      </c>
      <c r="O4666" s="449" t="e">
        <f t="shared" si="435"/>
        <v>#REF!</v>
      </c>
      <c r="Q4666" s="449">
        <f t="shared" ref="Q4666:Q4671" si="436">H4666/G4666-1</f>
        <v>3.2786885245901676E-2</v>
      </c>
    </row>
    <row r="4667" spans="2:17">
      <c r="B4667" t="str">
        <f>'New (new) quarts'!B180</f>
        <v>Guatemala</v>
      </c>
      <c r="C4667" s="454">
        <f>'New (new) quarts'!AB277-('New (new) quarts'!AB104*'New (new) quarts'!AB252)</f>
        <v>1181.1600000000001</v>
      </c>
      <c r="D4667" s="454">
        <f>'New (new) quarts'!AD277-('New (new) quarts'!AD104*'New (new) quarts'!AD252)</f>
        <v>1281.6801841791043</v>
      </c>
      <c r="E4667" s="454">
        <f>'New (new) quarts'!AF277-('New (new) quarts'!AF104*'New (new) quarts'!AF252)</f>
        <v>1328.6399999999999</v>
      </c>
      <c r="F4667" s="454">
        <f>'New (new) quarts'!AH277-('New (new) quarts'!AH104*'New (new) quarts'!AH252)</f>
        <v>1489.9599999999998</v>
      </c>
      <c r="G4667" s="454">
        <f>'New (new) quarts'!AK277-('New (new) quarts'!AK104*'New (new) quarts'!AK252)</f>
        <v>1344.2782500000001</v>
      </c>
      <c r="H4667" s="454">
        <f>'New (new) quarts'!AL277-('New (new) quarts'!AL104*'New (new) quarts'!AL252)</f>
        <v>1331.5291</v>
      </c>
      <c r="I4667" s="454">
        <f>'New (new) quarts'!AM277-('New (new) quarts'!AM104*'New (new) quarts'!AM252)</f>
        <v>1460.97</v>
      </c>
      <c r="J4667" s="454" t="e">
        <f>'New (new) quarts'!#REF!-('New (new) quarts'!#REF!*'New (new) quarts'!#REF!)</f>
        <v>#REF!</v>
      </c>
      <c r="L4667" s="449">
        <f t="shared" si="435"/>
        <v>0.13810004571776902</v>
      </c>
      <c r="M4667" s="449">
        <f t="shared" si="435"/>
        <v>3.8893412285080364E-2</v>
      </c>
      <c r="N4667" s="449">
        <f>I4667/E4667-1</f>
        <v>9.959808526011571E-2</v>
      </c>
      <c r="O4667" s="449" t="e">
        <f t="shared" si="435"/>
        <v>#REF!</v>
      </c>
      <c r="Q4667" s="449">
        <f t="shared" si="436"/>
        <v>-9.4840112156839851E-3</v>
      </c>
    </row>
    <row r="4668" spans="2:17">
      <c r="B4668" t="str">
        <f>'New (new) quarts'!B181</f>
        <v>Honduras (JV)</v>
      </c>
      <c r="C4668" s="454">
        <f>'New (new) quarts'!AB278-('New (new) quarts'!AB105*'New (new) quarts'!AB253)</f>
        <v>1982.0699999999997</v>
      </c>
      <c r="D4668" s="454">
        <f>'New (new) quarts'!AD278-('New (new) quarts'!AD105*'New (new) quarts'!AD253)</f>
        <v>1915.3117701492547</v>
      </c>
      <c r="E4668" s="454">
        <f>'New (new) quarts'!AF278-('New (new) quarts'!AF105*'New (new) quarts'!AF253)</f>
        <v>1846.5000000000002</v>
      </c>
      <c r="F4668" s="454">
        <f>'New (new) quarts'!AH278-('New (new) quarts'!AH105*'New (new) quarts'!AH253)</f>
        <v>1976.0000000000002</v>
      </c>
      <c r="G4668" s="454">
        <f>'New (new) quarts'!AK278-('New (new) quarts'!AK105*'New (new) quarts'!AK253)</f>
        <v>1907.3362000000002</v>
      </c>
      <c r="H4668" s="454">
        <f>'New (new) quarts'!AL278-('New (new) quarts'!AL105*'New (new) quarts'!AL253)</f>
        <v>1715.8712999999998</v>
      </c>
      <c r="I4668" s="454">
        <f>'New (new) quarts'!AM278-('New (new) quarts'!AM105*'New (new) quarts'!AM253)</f>
        <v>1873.3999999999999</v>
      </c>
      <c r="J4668" s="454" t="e">
        <f>'New (new) quarts'!#REF!-('New (new) quarts'!#REF!*'New (new) quarts'!#REF!)</f>
        <v>#REF!</v>
      </c>
      <c r="L4668" s="449">
        <f t="shared" si="435"/>
        <v>-3.7704924649482385E-2</v>
      </c>
      <c r="M4668" s="449">
        <f t="shared" si="435"/>
        <v>-0.10412950688112421</v>
      </c>
      <c r="N4668" s="449">
        <f>I4668/E4668-1</f>
        <v>1.4568101814242951E-2</v>
      </c>
      <c r="O4668" s="449" t="e">
        <f t="shared" si="435"/>
        <v>#REF!</v>
      </c>
      <c r="Q4668" s="449">
        <f t="shared" si="436"/>
        <v>-0.10038340382780986</v>
      </c>
    </row>
    <row r="4669" spans="2:17">
      <c r="B4669" t="str">
        <f>'New (new) quarts'!B182</f>
        <v>Panama</v>
      </c>
      <c r="C4669" s="454">
        <f>'New (new) quarts'!AB279-('New (new) quarts'!AB106*'New (new) quarts'!AB254)</f>
        <v>56</v>
      </c>
      <c r="D4669" s="454">
        <f>'New (new) quarts'!AD279-('New (new) quarts'!AD106*'New (new) quarts'!AD254)</f>
        <v>52</v>
      </c>
      <c r="E4669" s="454">
        <f>'New (new) quarts'!AF279-('New (new) quarts'!AF106*'New (new) quarts'!AF254)</f>
        <v>49</v>
      </c>
      <c r="F4669" s="454">
        <f>'New (new) quarts'!AH279-('New (new) quarts'!AH106*'New (new) quarts'!AH254)</f>
        <v>52.900000000000006</v>
      </c>
      <c r="G4669" s="454">
        <f>'New (new) quarts'!AK279-('New (new) quarts'!AK106*'New (new) quarts'!AK254)</f>
        <v>56</v>
      </c>
      <c r="H4669" s="454">
        <f>'New (new) quarts'!AL279-('New (new) quarts'!AL106*'New (new) quarts'!AL254)</f>
        <v>54</v>
      </c>
      <c r="I4669" s="454">
        <f>'New (new) quarts'!AM279-('New (new) quarts'!AM106*'New (new) quarts'!AM254)</f>
        <v>56</v>
      </c>
      <c r="J4669" s="454" t="e">
        <f>'New (new) quarts'!#REF!-('New (new) quarts'!#REF!*'New (new) quarts'!#REF!)</f>
        <v>#REF!</v>
      </c>
      <c r="L4669" s="449">
        <f t="shared" si="435"/>
        <v>0</v>
      </c>
      <c r="M4669" s="449">
        <f t="shared" si="435"/>
        <v>3.8461538461538547E-2</v>
      </c>
      <c r="N4669" s="449">
        <f>I4669/E4669-1</f>
        <v>0.14285714285714279</v>
      </c>
      <c r="O4669" s="449" t="e">
        <f t="shared" si="435"/>
        <v>#REF!</v>
      </c>
      <c r="Q4669" s="449">
        <f t="shared" si="436"/>
        <v>-3.5714285714285698E-2</v>
      </c>
    </row>
    <row r="4670" spans="2:17">
      <c r="B4670" t="str">
        <f>'New (new) quarts'!B185</f>
        <v>Costa Rica/old Nicaragua</v>
      </c>
      <c r="C4670" s="454">
        <f>'New (new) quarts'!AB282-('New (new) quarts'!AB109*'New (new) quarts'!AB255)</f>
        <v>13217.424999999999</v>
      </c>
      <c r="D4670" s="454">
        <f>'New (new) quarts'!AD282-('New (new) quarts'!AD109*'New (new) quarts'!AD255)</f>
        <v>11479.794716417906</v>
      </c>
      <c r="E4670" s="454">
        <f>'New (new) quarts'!AF282-('New (new) quarts'!AF109*'New (new) quarts'!AF255)</f>
        <v>13675.55</v>
      </c>
      <c r="F4670" s="454">
        <f>'New (new) quarts'!AH282-('New (new) quarts'!AH109*'New (new) quarts'!AH255)</f>
        <v>12549.375</v>
      </c>
      <c r="G4670" s="454">
        <f>'New (new) quarts'!AK282-('New (new) quarts'!AK109*'New (new) quarts'!AK255)</f>
        <v>15012.074999999997</v>
      </c>
      <c r="H4670" s="454">
        <f>'New (new) quarts'!AL282-('New (new) quarts'!AL109*'New (new) quarts'!AL255)</f>
        <v>13915.5</v>
      </c>
      <c r="I4670" s="454">
        <f>'New (new) quarts'!AM282-('New (new) quarts'!AM109*'New (new) quarts'!AM255)</f>
        <v>13754</v>
      </c>
      <c r="J4670" s="454" t="e">
        <f>'New (new) quarts'!#REF!-('New (new) quarts'!#REF!*'New (new) quarts'!#REF!)</f>
        <v>#REF!</v>
      </c>
      <c r="L4670" s="449">
        <f t="shared" si="435"/>
        <v>0.13577909464211046</v>
      </c>
      <c r="M4670" s="449">
        <f t="shared" si="435"/>
        <v>0.21217324383846803</v>
      </c>
      <c r="N4670" s="449">
        <f>I4670/E4670-1</f>
        <v>5.736515167580114E-3</v>
      </c>
      <c r="O4670" s="449" t="e">
        <f t="shared" si="435"/>
        <v>#REF!</v>
      </c>
      <c r="Q4670" s="449">
        <f t="shared" si="436"/>
        <v>-7.3046197810762159E-2</v>
      </c>
    </row>
    <row r="4671" spans="2:17">
      <c r="B4671" t="str">
        <f>'New (new) quarts'!B186</f>
        <v>Panama wireless</v>
      </c>
      <c r="C4671" s="454"/>
      <c r="D4671" s="454"/>
      <c r="E4671" s="454"/>
      <c r="F4671" s="454">
        <f>'New (new) quarts'!AH283-('New (new) quarts'!AH110*'New (new) quarts'!AH257)</f>
        <v>34.099999999999994</v>
      </c>
      <c r="G4671" s="454">
        <f>'New (new) quarts'!AK283-('New (new) quarts'!AK110*'New (new) quarts'!AK257)</f>
        <v>27</v>
      </c>
      <c r="H4671" s="454">
        <f>'New (new) quarts'!AL283-('New (new) quarts'!AL110*'New (new) quarts'!AL257)</f>
        <v>25</v>
      </c>
      <c r="I4671" s="454">
        <f>'New (new) quarts'!AM283-('New (new) quarts'!AM110*'New (new) quarts'!AM257)</f>
        <v>25</v>
      </c>
      <c r="J4671" s="454" t="e">
        <f>'New (new) quarts'!#REF!-('New (new) quarts'!#REF!*'New (new) quarts'!#REF!)</f>
        <v>#REF!</v>
      </c>
      <c r="L4671" s="449"/>
      <c r="M4671" s="449"/>
      <c r="N4671" s="449"/>
      <c r="O4671" s="449"/>
      <c r="Q4671" s="449">
        <f t="shared" si="436"/>
        <v>-7.407407407407407E-2</v>
      </c>
    </row>
    <row r="4672" spans="2:17">
      <c r="I4672" s="454"/>
      <c r="J4672" s="454"/>
    </row>
    <row r="4673" spans="2:24">
      <c r="B4673" t="str">
        <f>'New (new) quarts'!B188</f>
        <v>Nicaragua wireless</v>
      </c>
      <c r="C4673" s="454"/>
      <c r="D4673" s="454"/>
      <c r="E4673" s="454">
        <f>'New (new) quarts'!AF285-('New (new) quarts'!AF112*'New (new) quarts'!AF259)</f>
        <v>29</v>
      </c>
      <c r="F4673" s="454">
        <f>'New (new) quarts'!AH285-('New (new) quarts'!AH112*'New (new) quarts'!AH259)</f>
        <v>30</v>
      </c>
      <c r="G4673" s="454">
        <f>'New (new) quarts'!AK285-('New (new) quarts'!AK112*'New (new) quarts'!AK259)</f>
        <v>33</v>
      </c>
      <c r="H4673" s="454">
        <f>'New (new) quarts'!AL285-('New (new) quarts'!AL112*'New (new) quarts'!AL259)</f>
        <v>32</v>
      </c>
      <c r="I4673" s="454">
        <f>'New (new) quarts'!AM285-('New (new) quarts'!AM112*'New (new) quarts'!AM259)</f>
        <v>32</v>
      </c>
      <c r="J4673" s="454" t="e">
        <f>'New (new) quarts'!#REF!-('New (new) quarts'!#REF!*'New (new) quarts'!#REF!)</f>
        <v>#REF!</v>
      </c>
      <c r="L4673" s="449"/>
      <c r="M4673" s="449"/>
      <c r="N4673" s="449"/>
      <c r="O4673" s="449"/>
    </row>
    <row r="4674" spans="2:24">
      <c r="B4674" t="str">
        <f>'New (new) quarts'!B191</f>
        <v>Bolivia</v>
      </c>
      <c r="C4674" s="454">
        <f>'New (new) quarts'!AB286-('New (new) quarts'!AB115*'New (new) quarts'!AB260)</f>
        <v>654.54999999999995</v>
      </c>
      <c r="D4674" s="454">
        <f>'New (new) quarts'!AD286-('New (new) quarts'!AD115*'New (new) quarts'!AD260)</f>
        <v>670.27</v>
      </c>
      <c r="E4674" s="454">
        <f>'New (new) quarts'!AF286-('New (new) quarts'!AF115*'New (new) quarts'!AF260)</f>
        <v>670.27</v>
      </c>
      <c r="F4674" s="454">
        <f>'New (new) quarts'!AH286-('New (new) quarts'!AH115*'New (new) quarts'!AH260)</f>
        <v>642.63000000000011</v>
      </c>
      <c r="G4674" s="454">
        <f>'New (new) quarts'!AK286-('New (new) quarts'!AK115*'New (new) quarts'!AK260)</f>
        <v>662.30902153846114</v>
      </c>
      <c r="H4674" s="454">
        <f>'New (new) quarts'!AL286-('New (new) quarts'!AL115*'New (new) quarts'!AL260)</f>
        <v>635.89480000000003</v>
      </c>
      <c r="I4674" s="454">
        <f>'New (new) quarts'!AM286-('New (new) quarts'!AM115*'New (new) quarts'!AM260)</f>
        <v>594.42340000000002</v>
      </c>
      <c r="J4674" s="454" t="e">
        <f>'New (new) quarts'!#REF!-('New (new) quarts'!#REF!*'New (new) quarts'!#REF!)</f>
        <v>#REF!</v>
      </c>
      <c r="L4674" s="449">
        <f t="shared" ref="L4674:O4676" si="437">G4674/C4674-1</f>
        <v>1.1853978364466E-2</v>
      </c>
      <c r="M4674" s="449">
        <f t="shared" si="437"/>
        <v>-5.128560132483917E-2</v>
      </c>
      <c r="N4674" s="449">
        <f t="shared" si="437"/>
        <v>-0.11315827949930624</v>
      </c>
      <c r="O4674" s="449" t="e">
        <f t="shared" si="437"/>
        <v>#REF!</v>
      </c>
      <c r="Q4674" s="449">
        <f>H4674/G4674-1</f>
        <v>-3.9882019841892213E-2</v>
      </c>
    </row>
    <row r="4675" spans="2:24">
      <c r="B4675" t="str">
        <f>'New (new) quarts'!B192</f>
        <v>Colombia</v>
      </c>
      <c r="C4675" s="454">
        <f>'New (new) quarts'!AB287-('New (new) quarts'!AB116*'New (new) quarts'!AB261/1000)</f>
        <v>807.07563749999986</v>
      </c>
      <c r="D4675" s="454">
        <f>'New (new) quarts'!AD287-('New (new) quarts'!AD116*'New (new) quarts'!AD261/1000)</f>
        <v>821.49099999999999</v>
      </c>
      <c r="E4675" s="454">
        <f>'New (new) quarts'!AF287-('New (new) quarts'!AF116*'New (new) quarts'!AF261/1000)</f>
        <v>847.03261500000008</v>
      </c>
      <c r="F4675" s="454">
        <f>'New (new) quarts'!AH287-('New (new) quarts'!AH116*'New (new) quarts'!AH261/1000)</f>
        <v>880.52626499999997</v>
      </c>
      <c r="G4675" s="454">
        <f>'New (new) quarts'!AK287-('New (new) quarts'!AK116*'New (new) quarts'!AK261/1000)</f>
        <v>846.87565500000028</v>
      </c>
      <c r="H4675" s="454">
        <f>'New (new) quarts'!AL287-('New (new) quarts'!AL116*'New (new) quarts'!AL261/1000)</f>
        <v>741.35838250000006</v>
      </c>
      <c r="I4675" s="454">
        <f>'New (new) quarts'!AM287-('New (new) quarts'!AM116*'New (new) quarts'!AM261/1000)</f>
        <v>813.05900000000008</v>
      </c>
      <c r="J4675" s="454" t="e">
        <f>'New (new) quarts'!#REF!-('New (new) quarts'!#REF!*'New (new) quarts'!#REF!/1000)</f>
        <v>#REF!</v>
      </c>
      <c r="L4675" s="449">
        <f t="shared" si="437"/>
        <v>4.9313863101214439E-2</v>
      </c>
      <c r="M4675" s="449">
        <f t="shared" si="437"/>
        <v>-9.7545338293420047E-2</v>
      </c>
      <c r="N4675" s="449">
        <f>I4675/E4675-1</f>
        <v>-4.0108980927493598E-2</v>
      </c>
      <c r="O4675" s="449" t="e">
        <f t="shared" si="437"/>
        <v>#REF!</v>
      </c>
      <c r="Q4675" s="449">
        <f>H4675/G4675-1</f>
        <v>-0.1245959449619557</v>
      </c>
    </row>
    <row r="4676" spans="2:24">
      <c r="B4676" t="str">
        <f>'New (new) quarts'!B193</f>
        <v>Paraguay</v>
      </c>
      <c r="C4676" s="454">
        <f>'New (new) quarts'!AB288-('New (new) quarts'!AB117*'New (new) quarts'!AB262/1000)</f>
        <v>473.53799999999995</v>
      </c>
      <c r="D4676" s="454">
        <f>'New (new) quarts'!AD288-('New (new) quarts'!AD117*'New (new) quarts'!AD262/1000)</f>
        <v>523.572</v>
      </c>
      <c r="E4676" s="454">
        <f>'New (new) quarts'!AF288-('New (new) quarts'!AF117*'New (new) quarts'!AF262/1000)</f>
        <v>484.0095</v>
      </c>
      <c r="F4676" s="454">
        <f>'New (new) quarts'!AH288-('New (new) quarts'!AH117*'New (new) quarts'!AH262/1000)</f>
        <v>501.81299999999999</v>
      </c>
      <c r="G4676" s="454">
        <f>'New (new) quarts'!AK288-('New (new) quarts'!AK117*'New (new) quarts'!AK262/1000)</f>
        <v>508.11150000000004</v>
      </c>
      <c r="H4676" s="454">
        <f>'New (new) quarts'!AL288-('New (new) quarts'!AL117*'New (new) quarts'!AL262/1000)</f>
        <v>477.32399999999996</v>
      </c>
      <c r="I4676" s="454">
        <f>'New (new) quarts'!AM288-('New (new) quarts'!AM117*'New (new) quarts'!AM262/1000)</f>
        <v>488.18</v>
      </c>
      <c r="J4676" s="454" t="e">
        <f>'New (new) quarts'!#REF!-('New (new) quarts'!#REF!*'New (new) quarts'!#REF!/1000)</f>
        <v>#REF!</v>
      </c>
      <c r="L4676" s="449">
        <f t="shared" si="437"/>
        <v>7.3011036073134861E-2</v>
      </c>
      <c r="M4676" s="449">
        <f t="shared" si="437"/>
        <v>-8.833169077032399E-2</v>
      </c>
      <c r="N4676" s="449">
        <f t="shared" si="437"/>
        <v>8.6165664103701189E-3</v>
      </c>
      <c r="O4676" s="449" t="e">
        <f t="shared" si="437"/>
        <v>#REF!</v>
      </c>
      <c r="Q4676" s="449">
        <f>H4676/G4676-1</f>
        <v>-6.0592015728831328E-2</v>
      </c>
    </row>
    <row r="4680" spans="2:24">
      <c r="B4680" s="478" t="s">
        <v>6735</v>
      </c>
    </row>
    <row r="4682" spans="2:24">
      <c r="B4682" s="455"/>
      <c r="C4682" s="607">
        <v>43466</v>
      </c>
      <c r="D4682" s="607">
        <v>43497</v>
      </c>
      <c r="E4682" s="607">
        <v>43525</v>
      </c>
      <c r="F4682" s="607">
        <v>43556</v>
      </c>
      <c r="G4682" s="607">
        <v>43586</v>
      </c>
      <c r="H4682" s="607">
        <v>43617</v>
      </c>
      <c r="I4682" s="607">
        <v>43647</v>
      </c>
      <c r="J4682" s="607">
        <v>43678</v>
      </c>
      <c r="K4682" s="607">
        <v>43831</v>
      </c>
      <c r="L4682" s="607">
        <v>43862</v>
      </c>
      <c r="M4682" s="607">
        <v>43891</v>
      </c>
      <c r="N4682" s="607">
        <v>43922</v>
      </c>
      <c r="O4682" s="607">
        <v>43952</v>
      </c>
      <c r="P4682" s="607">
        <v>43983</v>
      </c>
      <c r="Q4682" s="607">
        <v>44013</v>
      </c>
      <c r="R4682" s="607">
        <v>44044</v>
      </c>
      <c r="W4682" s="494"/>
      <c r="X4682" s="494"/>
    </row>
    <row r="4683" spans="2:24">
      <c r="B4683" s="478" t="s">
        <v>2376</v>
      </c>
      <c r="C4683">
        <v>398</v>
      </c>
      <c r="D4683">
        <v>405</v>
      </c>
      <c r="E4683">
        <v>492</v>
      </c>
      <c r="F4683">
        <v>479</v>
      </c>
      <c r="G4683">
        <v>506</v>
      </c>
      <c r="H4683">
        <v>463</v>
      </c>
      <c r="I4683">
        <v>485</v>
      </c>
      <c r="J4683">
        <v>471</v>
      </c>
      <c r="K4683">
        <v>424</v>
      </c>
      <c r="L4683">
        <v>449</v>
      </c>
      <c r="M4683">
        <v>440</v>
      </c>
      <c r="N4683">
        <v>287</v>
      </c>
      <c r="O4683">
        <v>414</v>
      </c>
      <c r="P4683">
        <v>508</v>
      </c>
      <c r="Q4683">
        <v>553</v>
      </c>
      <c r="R4683">
        <v>559</v>
      </c>
    </row>
    <row r="4684" spans="2:24">
      <c r="B4684" s="478" t="s">
        <v>945</v>
      </c>
      <c r="J4684" s="449"/>
      <c r="K4684" s="449">
        <f t="shared" ref="K4684:Q4684" si="438">K4683/C4683-1</f>
        <v>6.5326633165829096E-2</v>
      </c>
      <c r="L4684" s="449">
        <f t="shared" si="438"/>
        <v>0.10864197530864206</v>
      </c>
      <c r="M4684" s="449">
        <f t="shared" si="438"/>
        <v>-0.10569105691056913</v>
      </c>
      <c r="N4684" s="449">
        <f t="shared" si="438"/>
        <v>-0.40083507306889354</v>
      </c>
      <c r="O4684" s="449">
        <f t="shared" si="438"/>
        <v>-0.18181818181818177</v>
      </c>
      <c r="P4684" s="449">
        <f t="shared" si="438"/>
        <v>9.7192224622030254E-2</v>
      </c>
      <c r="Q4684" s="449">
        <f t="shared" si="438"/>
        <v>0.14020618556701026</v>
      </c>
      <c r="R4684" s="449">
        <f>R4683/J4683-1</f>
        <v>0.18683651804670909</v>
      </c>
    </row>
    <row r="4685" spans="2:24">
      <c r="B4685" s="478" t="s">
        <v>2379</v>
      </c>
      <c r="C4685">
        <v>747</v>
      </c>
      <c r="D4685">
        <v>740</v>
      </c>
      <c r="E4685">
        <v>880</v>
      </c>
      <c r="F4685">
        <v>916</v>
      </c>
      <c r="G4685">
        <v>1037</v>
      </c>
      <c r="H4685">
        <v>927</v>
      </c>
      <c r="I4685">
        <v>1008</v>
      </c>
      <c r="J4685">
        <v>1032</v>
      </c>
      <c r="K4685">
        <v>887</v>
      </c>
      <c r="L4685">
        <v>859</v>
      </c>
      <c r="M4685">
        <v>792</v>
      </c>
      <c r="N4685">
        <v>727</v>
      </c>
      <c r="O4685">
        <v>874</v>
      </c>
      <c r="P4685">
        <v>1011</v>
      </c>
      <c r="Q4685">
        <v>1121</v>
      </c>
      <c r="R4685">
        <v>1094</v>
      </c>
    </row>
    <row r="4686" spans="2:24">
      <c r="B4686" s="478" t="s">
        <v>945</v>
      </c>
      <c r="K4686" s="449">
        <f t="shared" ref="K4686:R4686" si="439">K4685/C4685-1</f>
        <v>0.18741633199464536</v>
      </c>
      <c r="L4686" s="449">
        <f t="shared" si="439"/>
        <v>0.16081081081081083</v>
      </c>
      <c r="M4686" s="449">
        <f t="shared" si="439"/>
        <v>-9.9999999999999978E-2</v>
      </c>
      <c r="N4686" s="449">
        <f t="shared" si="439"/>
        <v>-0.20633187772925765</v>
      </c>
      <c r="O4686" s="449">
        <f t="shared" si="439"/>
        <v>-0.15718418514946964</v>
      </c>
      <c r="P4686" s="449">
        <f t="shared" si="439"/>
        <v>9.061488673139162E-2</v>
      </c>
      <c r="Q4686" s="449">
        <f t="shared" si="439"/>
        <v>0.11210317460317465</v>
      </c>
      <c r="R4686" s="449">
        <f t="shared" si="439"/>
        <v>6.0077519379845068E-2</v>
      </c>
    </row>
    <row r="4687" spans="2:24">
      <c r="B4687" s="478" t="s">
        <v>2380</v>
      </c>
    </row>
    <row r="4688" spans="2:24">
      <c r="B4688" s="478" t="s">
        <v>945</v>
      </c>
      <c r="K4688" s="449" t="e">
        <f t="shared" ref="K4688:R4688" si="440">K4687/C4687-1</f>
        <v>#DIV/0!</v>
      </c>
      <c r="L4688" s="449" t="e">
        <f t="shared" si="440"/>
        <v>#DIV/0!</v>
      </c>
      <c r="M4688" s="449" t="e">
        <f t="shared" si="440"/>
        <v>#DIV/0!</v>
      </c>
      <c r="N4688" s="449" t="e">
        <f t="shared" si="440"/>
        <v>#DIV/0!</v>
      </c>
      <c r="O4688" s="449" t="e">
        <f t="shared" si="440"/>
        <v>#DIV/0!</v>
      </c>
      <c r="P4688" s="449" t="e">
        <f t="shared" si="440"/>
        <v>#DIV/0!</v>
      </c>
      <c r="Q4688" s="449" t="e">
        <f t="shared" si="440"/>
        <v>#DIV/0!</v>
      </c>
      <c r="R4688" s="449" t="e">
        <f t="shared" si="440"/>
        <v>#DIV/0!</v>
      </c>
    </row>
    <row r="4709" spans="2:12">
      <c r="B4709" s="455"/>
      <c r="C4709" s="495" t="s">
        <v>5620</v>
      </c>
      <c r="D4709" s="495" t="s">
        <v>5797</v>
      </c>
      <c r="E4709" s="495" t="s">
        <v>5798</v>
      </c>
      <c r="F4709" s="495" t="s">
        <v>5795</v>
      </c>
      <c r="G4709" s="495" t="s">
        <v>5796</v>
      </c>
      <c r="H4709" s="495" t="s">
        <v>6436</v>
      </c>
      <c r="I4709" s="495" t="s">
        <v>6433</v>
      </c>
      <c r="J4709" s="495" t="s">
        <v>6434</v>
      </c>
      <c r="K4709" s="495" t="s">
        <v>6435</v>
      </c>
    </row>
    <row r="4710" spans="2:12">
      <c r="B4710" t="s">
        <v>1531</v>
      </c>
      <c r="C4710">
        <f>'New (new) quarts'!AH57</f>
        <v>1442</v>
      </c>
      <c r="D4710">
        <f>'New (new) quarts'!AK57</f>
        <v>1401</v>
      </c>
      <c r="E4710">
        <f>'New (new) quarts'!AL57</f>
        <v>1276</v>
      </c>
      <c r="F4710" s="454" t="e">
        <f>'New (new) quarts'!#REF!</f>
        <v>#REF!</v>
      </c>
      <c r="G4710" s="454" t="e">
        <f>'New (new) quarts'!#REF!</f>
        <v>#REF!</v>
      </c>
      <c r="H4710" s="454" t="e">
        <f>'New (new) quarts'!#REF!</f>
        <v>#REF!</v>
      </c>
      <c r="I4710" s="454" t="e">
        <f>'New (new) quarts'!#REF!</f>
        <v>#REF!</v>
      </c>
      <c r="J4710" s="454" t="e">
        <f>'New (new) quarts'!#REF!</f>
        <v>#REF!</v>
      </c>
      <c r="K4710" s="454" t="e">
        <f>'New (new) quarts'!#REF!</f>
        <v>#REF!</v>
      </c>
      <c r="L4710" s="454"/>
    </row>
    <row r="4711" spans="2:12">
      <c r="B4711" s="478" t="s">
        <v>6736</v>
      </c>
      <c r="C4711">
        <f>C4710</f>
        <v>1442</v>
      </c>
      <c r="D4711" s="454">
        <f>D4710-'New (new) quarts'!AK52-'New (new) quarts'!AK53+'New (new) quarts'!AK52*('New (new) quarts'!AK261/'New (new) quarts'!$AH$261)+'New (new) quarts'!AK53*('New (new) quarts'!AK262/'New (new) quarts'!$AH$262)</f>
        <v>1418.2875096298726</v>
      </c>
      <c r="E4711" s="454">
        <f>E4710-'New (new) quarts'!AL52-'New (new) quarts'!AL53+'New (new) quarts'!AL52*('New (new) quarts'!AL261/'New (new) quarts'!$AH$261)+'New (new) quarts'!AL53*('New (new) quarts'!AL262/'New (new) quarts'!$AH$262)</f>
        <v>1319.4398666109887</v>
      </c>
      <c r="F4711" s="454" t="e">
        <f>F4710-'New (new) quarts'!#REF!-'New (new) quarts'!#REF!+'New (new) quarts'!#REF!*('New (new) quarts'!#REF!/'New (new) quarts'!$AH$261)+'New (new) quarts'!#REF!*('New (new) quarts'!#REF!/'New (new) quarts'!$AH$262)</f>
        <v>#REF!</v>
      </c>
      <c r="G4711" s="454" t="e">
        <f>G4710-'New (new) quarts'!#REF!-'New (new) quarts'!#REF!+'New (new) quarts'!#REF!*('New (new) quarts'!#REF!/'New (new) quarts'!$AH$261)+'New (new) quarts'!#REF!*('New (new) quarts'!#REF!/'New (new) quarts'!$AH$262)</f>
        <v>#REF!</v>
      </c>
      <c r="H4711" s="454" t="e">
        <f>H4710-'New (new) quarts'!#REF!-'New (new) quarts'!#REF!+'New (new) quarts'!#REF!*('New (new) quarts'!#REF!/'New (new) quarts'!$AH$261)+'New (new) quarts'!#REF!*('New (new) quarts'!#REF!/'New (new) quarts'!$AH$262)</f>
        <v>#REF!</v>
      </c>
      <c r="I4711" s="454" t="e">
        <f>I4710-'New (new) quarts'!#REF!-'New (new) quarts'!#REF!+'New (new) quarts'!#REF!*('New (new) quarts'!#REF!/'New (new) quarts'!$AH$261)+'New (new) quarts'!#REF!*('New (new) quarts'!#REF!/'New (new) quarts'!$AH$262)</f>
        <v>#REF!</v>
      </c>
      <c r="J4711" s="454" t="e">
        <f>J4710-'New (new) quarts'!#REF!-'New (new) quarts'!#REF!+'New (new) quarts'!#REF!*('New (new) quarts'!#REF!/'New (new) quarts'!$AH$261)+'New (new) quarts'!#REF!*('New (new) quarts'!#REF!/'New (new) quarts'!$AH$262)</f>
        <v>#REF!</v>
      </c>
      <c r="K4711" s="454" t="e">
        <f>K4710-'New (new) quarts'!#REF!-'New (new) quarts'!#REF!+'New (new) quarts'!#REF!*('New (new) quarts'!#REF!/'New (new) quarts'!$AH$261)+'New (new) quarts'!#REF!*('New (new) quarts'!#REF!/'New (new) quarts'!$AH$262)</f>
        <v>#REF!</v>
      </c>
      <c r="L4711" s="454"/>
    </row>
    <row r="4712" spans="2:12">
      <c r="B4712" s="478" t="s">
        <v>6745</v>
      </c>
      <c r="C4712" s="456">
        <f>'New (new) quarts'!AH375</f>
        <v>2.3E-2</v>
      </c>
      <c r="D4712" s="456">
        <f>'New (new) quarts'!AK375</f>
        <v>2E-3</v>
      </c>
      <c r="E4712" s="456">
        <f>'New (new) quarts'!AL375</f>
        <v>-6.8000000000000005E-2</v>
      </c>
      <c r="F4712" s="456" t="e">
        <f>'New (new) quarts'!#REF!</f>
        <v>#REF!</v>
      </c>
      <c r="G4712" s="456" t="e">
        <f>'New (new) quarts'!#REF!</f>
        <v>#REF!</v>
      </c>
      <c r="H4712" s="456" t="e">
        <f>'New (new) quarts'!#REF!</f>
        <v>#REF!</v>
      </c>
      <c r="I4712" s="456" t="e">
        <f>'New (new) quarts'!#REF!</f>
        <v>#REF!</v>
      </c>
      <c r="J4712" s="456" t="e">
        <f>'New (new) quarts'!#REF!</f>
        <v>#REF!</v>
      </c>
      <c r="K4712" s="456" t="e">
        <f>'New (new) quarts'!#REF!</f>
        <v>#REF!</v>
      </c>
    </row>
    <row r="4733" spans="2:7">
      <c r="B4733" s="450"/>
      <c r="C4733" s="599"/>
      <c r="D4733" s="599"/>
      <c r="E4733" s="599"/>
      <c r="F4733" s="599"/>
      <c r="G4733" s="599" t="s">
        <v>6744</v>
      </c>
    </row>
    <row r="4734" spans="2:7">
      <c r="B4734" s="451"/>
      <c r="C4734" s="560" t="s">
        <v>5964</v>
      </c>
      <c r="D4734" s="560" t="s">
        <v>6740</v>
      </c>
      <c r="E4734" s="560" t="s">
        <v>6741</v>
      </c>
      <c r="F4734" s="560" t="s">
        <v>6742</v>
      </c>
      <c r="G4734" s="560" t="s">
        <v>6742</v>
      </c>
    </row>
    <row r="4735" spans="2:7">
      <c r="B4735" s="478" t="s">
        <v>6737</v>
      </c>
      <c r="C4735" s="506" t="s">
        <v>6071</v>
      </c>
      <c r="D4735" s="506" t="s">
        <v>6743</v>
      </c>
      <c r="E4735" s="506" t="s">
        <v>6071</v>
      </c>
      <c r="F4735" s="506" t="s">
        <v>6071</v>
      </c>
      <c r="G4735" s="506" t="s">
        <v>6743</v>
      </c>
    </row>
    <row r="4736" spans="2:7">
      <c r="B4736" s="478" t="s">
        <v>6738</v>
      </c>
      <c r="C4736" s="506" t="s">
        <v>6743</v>
      </c>
      <c r="D4736" s="506" t="s">
        <v>6743</v>
      </c>
      <c r="E4736" s="506" t="s">
        <v>6743</v>
      </c>
      <c r="F4736" s="506" t="s">
        <v>6071</v>
      </c>
      <c r="G4736" s="506" t="s">
        <v>6071</v>
      </c>
    </row>
    <row r="4737" spans="2:7">
      <c r="B4737" s="478" t="s">
        <v>2803</v>
      </c>
      <c r="C4737" s="506" t="s">
        <v>6071</v>
      </c>
      <c r="D4737" s="506" t="s">
        <v>6071</v>
      </c>
      <c r="E4737" s="506" t="s">
        <v>6071</v>
      </c>
      <c r="F4737" s="506" t="s">
        <v>6071</v>
      </c>
      <c r="G4737" s="506" t="s">
        <v>6071</v>
      </c>
    </row>
    <row r="4738" spans="2:7">
      <c r="B4738" s="478" t="s">
        <v>2803</v>
      </c>
      <c r="C4738" s="506" t="s">
        <v>6071</v>
      </c>
      <c r="D4738" s="506" t="s">
        <v>6743</v>
      </c>
      <c r="E4738" s="506" t="s">
        <v>6071</v>
      </c>
      <c r="F4738" s="506" t="s">
        <v>6743</v>
      </c>
      <c r="G4738" s="506" t="s">
        <v>6743</v>
      </c>
    </row>
    <row r="4739" spans="2:7" ht="15.75" thickBot="1">
      <c r="B4739" s="478" t="s">
        <v>6739</v>
      </c>
      <c r="C4739" s="506" t="s">
        <v>6743</v>
      </c>
      <c r="D4739" s="506" t="s">
        <v>6743</v>
      </c>
      <c r="E4739" s="506" t="s">
        <v>6071</v>
      </c>
      <c r="F4739" s="506" t="s">
        <v>6071</v>
      </c>
      <c r="G4739" s="506" t="s">
        <v>6743</v>
      </c>
    </row>
    <row r="4740" spans="2:7" ht="15.75" thickBot="1">
      <c r="B4740" s="1103" t="s">
        <v>887</v>
      </c>
      <c r="C4740" s="1193" t="s">
        <v>6743</v>
      </c>
      <c r="D4740" s="1193" t="s">
        <v>6743</v>
      </c>
      <c r="E4740" s="1193" t="s">
        <v>6743</v>
      </c>
      <c r="F4740" s="1193" t="s">
        <v>6071</v>
      </c>
      <c r="G4740" s="1194" t="s">
        <v>6743</v>
      </c>
    </row>
    <row r="4744" spans="2:7">
      <c r="B4744" s="451" t="s">
        <v>5529</v>
      </c>
      <c r="C4744" s="560">
        <v>2020</v>
      </c>
      <c r="D4744" s="560" t="s">
        <v>7032</v>
      </c>
      <c r="E4744" s="560" t="s">
        <v>7031</v>
      </c>
      <c r="F4744" s="560" t="s">
        <v>7037</v>
      </c>
      <c r="G4744" s="560" t="s">
        <v>7031</v>
      </c>
    </row>
    <row r="4745" spans="2:7">
      <c r="B4745" s="478" t="s">
        <v>360</v>
      </c>
      <c r="C4745">
        <v>2487</v>
      </c>
      <c r="E4745" s="454">
        <f>'New split'!K308</f>
        <v>2613</v>
      </c>
      <c r="F4745" s="454">
        <f>'New split'!L308</f>
        <v>2228.1349999999998</v>
      </c>
      <c r="G4745" s="454">
        <f>'New split'!M308</f>
        <v>2215.2855</v>
      </c>
    </row>
    <row r="4746" spans="2:7">
      <c r="B4746" s="487" t="s">
        <v>1545</v>
      </c>
      <c r="C4746" s="455">
        <f>-(41+941)</f>
        <v>-982</v>
      </c>
      <c r="D4746" s="455"/>
      <c r="E4746" s="462">
        <f ca="1">-'New split'!K437</f>
        <v>-1111</v>
      </c>
      <c r="F4746" s="462">
        <f>-'New split'!L437</f>
        <v>-973</v>
      </c>
      <c r="G4746" s="462">
        <f>-'New split'!M437</f>
        <v>-809</v>
      </c>
    </row>
    <row r="4747" spans="2:7">
      <c r="B4747" s="478" t="s">
        <v>1552</v>
      </c>
      <c r="C4747" s="454">
        <f>C4745+C4746</f>
        <v>1505</v>
      </c>
      <c r="D4747" s="454">
        <v>1400</v>
      </c>
      <c r="E4747" s="454">
        <f ca="1">E4745+E4746</f>
        <v>1502</v>
      </c>
      <c r="F4747" s="454">
        <f>F4745+F4746</f>
        <v>1255.1349999999998</v>
      </c>
      <c r="G4747" s="454">
        <f>G4745+G4746</f>
        <v>1406.2855</v>
      </c>
    </row>
    <row r="4749" spans="2:7">
      <c r="B4749" t="str">
        <f>B4745</f>
        <v>EBITDA</v>
      </c>
      <c r="C4749" s="531">
        <f t="shared" ref="C4749:E4751" si="441">C4745/1000</f>
        <v>2.4870000000000001</v>
      </c>
      <c r="D4749" s="531">
        <f t="shared" si="441"/>
        <v>0</v>
      </c>
      <c r="E4749" s="531">
        <f t="shared" si="441"/>
        <v>2.613</v>
      </c>
      <c r="F4749" s="531">
        <f t="shared" ref="F4749:G4751" si="442">F4745/1000</f>
        <v>2.228135</v>
      </c>
      <c r="G4749" s="531">
        <f t="shared" si="442"/>
        <v>2.2152854999999998</v>
      </c>
    </row>
    <row r="4750" spans="2:7">
      <c r="B4750" t="str">
        <f>B4746</f>
        <v>Capex</v>
      </c>
      <c r="C4750" s="531">
        <f t="shared" si="441"/>
        <v>-0.98199999999999998</v>
      </c>
      <c r="D4750" s="531">
        <f t="shared" si="441"/>
        <v>0</v>
      </c>
      <c r="E4750" s="531">
        <f ca="1">E4746/1000</f>
        <v>-1.111</v>
      </c>
      <c r="F4750" s="531">
        <f t="shared" si="442"/>
        <v>-0.97299999999999998</v>
      </c>
      <c r="G4750" s="531">
        <f t="shared" si="442"/>
        <v>-0.80900000000000005</v>
      </c>
    </row>
    <row r="4751" spans="2:7">
      <c r="B4751" t="str">
        <f>B4747</f>
        <v>OpFCF</v>
      </c>
      <c r="C4751" s="531">
        <f t="shared" si="441"/>
        <v>1.5049999999999999</v>
      </c>
      <c r="D4751" s="531">
        <f t="shared" si="441"/>
        <v>1.4</v>
      </c>
      <c r="E4751" s="531">
        <f ca="1">E4747/1000</f>
        <v>1.502</v>
      </c>
      <c r="F4751" s="531">
        <f t="shared" si="442"/>
        <v>1.2551349999999997</v>
      </c>
      <c r="G4751" s="531">
        <f t="shared" si="442"/>
        <v>1.4062854999999999</v>
      </c>
    </row>
    <row r="4756" spans="2:6">
      <c r="B4756" s="1125">
        <v>44317</v>
      </c>
    </row>
    <row r="4758" spans="2:6">
      <c r="B4758" s="487" t="s">
        <v>7036</v>
      </c>
      <c r="C4758" s="455">
        <v>2021</v>
      </c>
      <c r="D4758" s="455">
        <f>C4758+1</f>
        <v>2022</v>
      </c>
      <c r="E4758" s="455">
        <f>D4758+1</f>
        <v>2023</v>
      </c>
      <c r="F4758" s="455">
        <f>E4758+1</f>
        <v>2024</v>
      </c>
    </row>
    <row r="4759" spans="2:6">
      <c r="B4759" s="478" t="s">
        <v>758</v>
      </c>
      <c r="C4759" s="464">
        <f>'New split'!K35</f>
        <v>6572</v>
      </c>
      <c r="D4759" s="464">
        <f>'New split'!L35</f>
        <v>5624.5300000000007</v>
      </c>
      <c r="E4759" s="464">
        <f>'New split'!M35</f>
        <v>5661</v>
      </c>
      <c r="F4759" s="464">
        <f>'New split'!N35</f>
        <v>5804.2592000000004</v>
      </c>
    </row>
    <row r="4760" spans="2:6">
      <c r="B4760" s="478" t="s">
        <v>1531</v>
      </c>
      <c r="C4760" s="464">
        <f>'New split'!K77</f>
        <v>6069</v>
      </c>
      <c r="D4760" s="464">
        <f>'New split'!L77</f>
        <v>5170.7480000000014</v>
      </c>
      <c r="E4760" s="464">
        <f>'New split'!M77</f>
        <v>5250</v>
      </c>
      <c r="F4760" s="464">
        <f>'New split'!N77</f>
        <v>5417.2755000000006</v>
      </c>
    </row>
    <row r="4761" spans="2:6">
      <c r="B4761" s="478" t="s">
        <v>360</v>
      </c>
      <c r="C4761" s="464">
        <f>'New split'!K308</f>
        <v>2613</v>
      </c>
      <c r="D4761" s="464">
        <f>'New split'!L308</f>
        <v>2228.1349999999998</v>
      </c>
      <c r="E4761" s="464">
        <f>'New split'!M308</f>
        <v>2215.2855</v>
      </c>
      <c r="F4761" s="464">
        <f>'New split'!N308</f>
        <v>2624.6458000000002</v>
      </c>
    </row>
    <row r="4762" spans="2:6">
      <c r="B4762" s="478" t="s">
        <v>1434</v>
      </c>
      <c r="C4762" s="456">
        <f>C4761/C4759</f>
        <v>0.39759586122945828</v>
      </c>
      <c r="D4762" s="456">
        <f>D4761/D4759</f>
        <v>0.39614598908708809</v>
      </c>
      <c r="E4762" s="456">
        <f>E4761/E4759</f>
        <v>0.39132405935347109</v>
      </c>
      <c r="F4762" s="456">
        <f>F4761/F4759</f>
        <v>0.45219307228732997</v>
      </c>
    </row>
    <row r="4763" spans="2:6">
      <c r="B4763" s="478" t="s">
        <v>1545</v>
      </c>
      <c r="C4763" s="464">
        <f ca="1">'New split'!K437</f>
        <v>1111</v>
      </c>
      <c r="D4763" s="464">
        <f>'New split'!L437</f>
        <v>973</v>
      </c>
      <c r="E4763" s="464">
        <f>'New split'!M437</f>
        <v>809</v>
      </c>
      <c r="F4763" s="464">
        <f>'New split'!N437</f>
        <v>743.43599501951292</v>
      </c>
    </row>
    <row r="4764" spans="2:6">
      <c r="B4764" s="478" t="s">
        <v>1431</v>
      </c>
      <c r="C4764" s="449">
        <f ca="1">C4763/C4759</f>
        <v>0.16905051734631771</v>
      </c>
      <c r="D4764" s="449">
        <f>D4763/D4759</f>
        <v>0.17299223223984936</v>
      </c>
      <c r="E4764" s="449">
        <f>E4763/E4759</f>
        <v>0.1429076134958488</v>
      </c>
      <c r="F4764" s="449">
        <f>F4763/F4759</f>
        <v>0.12808456159564907</v>
      </c>
    </row>
    <row r="4765" spans="2:6">
      <c r="B4765" s="478" t="s">
        <v>1552</v>
      </c>
      <c r="C4765" s="464">
        <f ca="1">C4761-C4763</f>
        <v>1502</v>
      </c>
      <c r="D4765" s="464">
        <f>D4761-D4763</f>
        <v>1255.1349999999998</v>
      </c>
      <c r="E4765" s="464">
        <f>E4761-E4763</f>
        <v>1406.2855</v>
      </c>
      <c r="F4765" s="464">
        <f>F4761-F4763</f>
        <v>1881.2098049804872</v>
      </c>
    </row>
    <row r="4766" spans="2:6">
      <c r="B4766" s="478" t="s">
        <v>574</v>
      </c>
      <c r="C4766" s="464">
        <f ca="1">Valuation!K27</f>
        <v>577.94706701228108</v>
      </c>
      <c r="D4766" s="464">
        <f>Valuation!L27</f>
        <v>351.13499999999976</v>
      </c>
      <c r="E4766" s="464">
        <f>Valuation!M27</f>
        <v>267.28549999999996</v>
      </c>
      <c r="F4766" s="464">
        <f ca="1">Valuation!N27</f>
        <v>963.64580000000024</v>
      </c>
    </row>
    <row r="4768" spans="2:6" outlineLevel="1">
      <c r="B4768" s="478" t="s">
        <v>885</v>
      </c>
    </row>
    <row r="4769" spans="2:6" outlineLevel="1">
      <c r="B4769" s="478" t="str">
        <f>B4759</f>
        <v>Revenue</v>
      </c>
      <c r="C4769" s="464">
        <v>6539.9235558297923</v>
      </c>
      <c r="D4769" s="464">
        <v>6757.648121218177</v>
      </c>
      <c r="E4769" s="464"/>
      <c r="F4769" s="464"/>
    </row>
    <row r="4770" spans="2:6" outlineLevel="1">
      <c r="B4770" s="478" t="str">
        <f t="shared" ref="B4770:B4776" si="443">B4760</f>
        <v>Service revenue</v>
      </c>
      <c r="C4770" s="464">
        <v>6038.3550005774596</v>
      </c>
      <c r="D4770" s="464">
        <v>6255.0003340032572</v>
      </c>
      <c r="E4770" s="464"/>
      <c r="F4770" s="464"/>
    </row>
    <row r="4771" spans="2:6" outlineLevel="1">
      <c r="B4771" s="478" t="str">
        <f t="shared" si="443"/>
        <v>EBITDA</v>
      </c>
      <c r="C4771" s="464">
        <v>2662.5450892604972</v>
      </c>
      <c r="D4771" s="464">
        <v>2753.7786521725939</v>
      </c>
      <c r="E4771" s="464"/>
      <c r="F4771" s="464"/>
    </row>
    <row r="4772" spans="2:6" outlineLevel="1">
      <c r="B4772" s="478" t="str">
        <f t="shared" si="443"/>
        <v>% margin</v>
      </c>
      <c r="C4772" s="456">
        <f>C4771/C4769</f>
        <v>0.40712174485389235</v>
      </c>
      <c r="D4772" s="456">
        <f>D4771/D4769</f>
        <v>0.40750548160773131</v>
      </c>
      <c r="E4772" s="456"/>
      <c r="F4772" s="456"/>
    </row>
    <row r="4773" spans="2:6" outlineLevel="1">
      <c r="B4773" s="478" t="str">
        <f t="shared" si="443"/>
        <v>Capex</v>
      </c>
      <c r="C4773" s="464">
        <v>1199.0509161630805</v>
      </c>
      <c r="D4773" s="464">
        <v>1104.6567267931721</v>
      </c>
      <c r="E4773" s="464"/>
      <c r="F4773" s="464"/>
    </row>
    <row r="4774" spans="2:6" outlineLevel="1">
      <c r="B4774" s="478" t="str">
        <f t="shared" si="443"/>
        <v>as % sales</v>
      </c>
      <c r="C4774" s="449">
        <v>0.16893511298305816</v>
      </c>
      <c r="D4774" s="449">
        <v>0.15960222580215017</v>
      </c>
      <c r="E4774" s="449"/>
      <c r="F4774" s="449"/>
    </row>
    <row r="4775" spans="2:6" outlineLevel="1">
      <c r="B4775" s="478" t="str">
        <f t="shared" si="443"/>
        <v>OpFCF</v>
      </c>
      <c r="C4775" s="464">
        <f>C4771-C4773</f>
        <v>1463.4941730974167</v>
      </c>
      <c r="D4775" s="464">
        <f>D4771-D4773</f>
        <v>1649.1219253794218</v>
      </c>
      <c r="E4775" s="464"/>
      <c r="F4775" s="464"/>
    </row>
    <row r="4776" spans="2:6" outlineLevel="1">
      <c r="B4776" s="478" t="str">
        <f t="shared" si="443"/>
        <v>EFCF</v>
      </c>
      <c r="C4776" s="464">
        <v>170</v>
      </c>
      <c r="D4776" s="464">
        <v>330</v>
      </c>
      <c r="E4776" s="464"/>
      <c r="F4776" s="464"/>
    </row>
    <row r="4777" spans="2:6" outlineLevel="1"/>
    <row r="4778" spans="2:6">
      <c r="B4778" s="499" t="s">
        <v>2353</v>
      </c>
    </row>
    <row r="4779" spans="2:6">
      <c r="B4779" t="str">
        <f>B4769</f>
        <v>Revenue</v>
      </c>
      <c r="C4779" s="456">
        <f t="shared" ref="C4779:D4781" si="444">C4759/C4769-1</f>
        <v>4.904712401663236E-3</v>
      </c>
      <c r="D4779" s="456">
        <f t="shared" si="444"/>
        <v>-0.16767936135359374</v>
      </c>
      <c r="E4779" s="456"/>
      <c r="F4779" s="456"/>
    </row>
    <row r="4780" spans="2:6">
      <c r="B4780" t="str">
        <f>B4770</f>
        <v>Service revenue</v>
      </c>
      <c r="C4780" s="456">
        <f t="shared" si="444"/>
        <v>5.0750575975757606E-3</v>
      </c>
      <c r="D4780" s="456">
        <f t="shared" si="444"/>
        <v>-0.1733416908243911</v>
      </c>
      <c r="E4780" s="456"/>
      <c r="F4780" s="456"/>
    </row>
    <row r="4781" spans="2:6">
      <c r="B4781" t="str">
        <f>B4771</f>
        <v>EBITDA</v>
      </c>
      <c r="C4781" s="456">
        <f t="shared" si="444"/>
        <v>-1.8608169101188121E-2</v>
      </c>
      <c r="D4781" s="456">
        <f t="shared" si="444"/>
        <v>-0.19088086537307114</v>
      </c>
      <c r="E4781" s="456"/>
      <c r="F4781" s="456"/>
    </row>
    <row r="4782" spans="2:6">
      <c r="B4782" t="str">
        <f>B4773</f>
        <v>Capex</v>
      </c>
      <c r="C4782" s="456">
        <f ca="1">C4763/C4773-1</f>
        <v>-7.3433842530090554E-2</v>
      </c>
      <c r="D4782" s="456">
        <f>D4763/D4773-1</f>
        <v>-0.11918338394169992</v>
      </c>
      <c r="E4782" s="456"/>
      <c r="F4782" s="456"/>
    </row>
    <row r="4783" spans="2:6">
      <c r="B4783" t="str">
        <f>B4775</f>
        <v>OpFCF</v>
      </c>
      <c r="C4783" s="456">
        <f ca="1">C4765/C4775-1</f>
        <v>2.6310885010964791E-2</v>
      </c>
      <c r="D4783" s="456">
        <f>D4765/D4775-1</f>
        <v>-0.23890709311185432</v>
      </c>
      <c r="E4783" s="456"/>
      <c r="F4783" s="456"/>
    </row>
    <row r="4784" spans="2:6">
      <c r="B4784" t="str">
        <f>B4776</f>
        <v>EFCF</v>
      </c>
      <c r="C4784" s="456">
        <f ca="1">C4766/C4776-1</f>
        <v>2.3996886294840065</v>
      </c>
      <c r="D4784" s="456">
        <f>D4766/D4776-1</f>
        <v>6.404545454545385E-2</v>
      </c>
      <c r="E4784" s="456"/>
      <c r="F4784" s="456"/>
    </row>
    <row r="4787" spans="2:7">
      <c r="B4787" s="451"/>
      <c r="C4787" s="560" t="str">
        <f>Valuation!J6</f>
        <v>2020A</v>
      </c>
      <c r="D4787" s="560" t="str">
        <f>Valuation!K6</f>
        <v>2021A</v>
      </c>
      <c r="E4787" s="560" t="str">
        <f>Valuation!L6</f>
        <v>2022A</v>
      </c>
      <c r="F4787" s="560" t="str">
        <f>Valuation!M6</f>
        <v>2023A</v>
      </c>
      <c r="G4787" s="560" t="str">
        <f>Valuation!N6</f>
        <v>2024A</v>
      </c>
    </row>
    <row r="4788" spans="2:7">
      <c r="B4788" s="693" t="str">
        <f>Valuation!A4</f>
        <v xml:space="preserve">TIGO US </v>
      </c>
      <c r="C4788">
        <f>Valuation!B4</f>
        <v>29.58</v>
      </c>
    </row>
    <row r="4789" spans="2:7">
      <c r="C4789" s="599"/>
      <c r="D4789" s="599"/>
      <c r="E4789" s="599"/>
      <c r="F4789" s="599"/>
      <c r="G4789" s="599"/>
    </row>
    <row r="4790" spans="2:7">
      <c r="B4790" s="562" t="str">
        <f>Valuation!A7</f>
        <v>No. of shares</v>
      </c>
      <c r="C4790" s="1002">
        <f>Valuation!J7</f>
        <v>99.559999999999988</v>
      </c>
      <c r="D4790" s="1002">
        <f>Valuation!K7</f>
        <v>98.559999999999988</v>
      </c>
      <c r="E4790" s="1002">
        <f>Valuation!L7</f>
        <v>168.95999999999998</v>
      </c>
      <c r="F4790" s="1002">
        <f>Valuation!M7</f>
        <v>171.39699999999999</v>
      </c>
      <c r="G4790" s="1002">
        <f>Valuation!N7</f>
        <v>171.31299999999999</v>
      </c>
    </row>
    <row r="4791" spans="2:7">
      <c r="C4791" s="464"/>
      <c r="D4791" s="464"/>
      <c r="E4791" s="464"/>
      <c r="F4791" s="464"/>
      <c r="G4791" s="464"/>
    </row>
    <row r="4792" spans="2:7">
      <c r="B4792" s="1207" t="str">
        <f>Valuation!A9</f>
        <v>EV calculation</v>
      </c>
      <c r="C4792" s="1002"/>
      <c r="D4792" s="1002"/>
      <c r="E4792" s="1002"/>
      <c r="F4792" s="1002"/>
      <c r="G4792" s="1002"/>
    </row>
    <row r="4793" spans="2:7">
      <c r="B4793" t="str">
        <f>Valuation!A10</f>
        <v>Market Cap (fully diluted)</v>
      </c>
      <c r="C4793" s="464">
        <f>Valuation!J10</f>
        <v>2944.9847999999993</v>
      </c>
      <c r="D4793" s="464">
        <f>Valuation!K10</f>
        <v>2915.4047999999993</v>
      </c>
      <c r="E4793" s="464">
        <f>Valuation!L10</f>
        <v>4997.8367999999991</v>
      </c>
      <c r="F4793" s="464">
        <f>Valuation!M10</f>
        <v>5069.9232599999996</v>
      </c>
      <c r="G4793" s="464">
        <f>Valuation!N10</f>
        <v>5067.4385399999992</v>
      </c>
    </row>
    <row r="4794" spans="2:7">
      <c r="B4794" s="562" t="str">
        <f>Valuation!A11</f>
        <v>Less: associates</v>
      </c>
      <c r="C4794" s="1002">
        <f>Valuation!J11</f>
        <v>-1031.3794800703261</v>
      </c>
      <c r="D4794" s="1002">
        <f>Valuation!K11</f>
        <v>-1031.3794800703261</v>
      </c>
      <c r="E4794" s="1002">
        <f>Valuation!L11</f>
        <v>-1031.3794800703261</v>
      </c>
      <c r="F4794" s="1002">
        <f>Valuation!M11</f>
        <v>-1031.3794800703261</v>
      </c>
      <c r="G4794" s="1002">
        <f>Valuation!N11</f>
        <v>-1031.3794800703261</v>
      </c>
    </row>
    <row r="4795" spans="2:7">
      <c r="B4795" t="str">
        <f>Valuation!A12</f>
        <v>Less: tax assets</v>
      </c>
      <c r="C4795" s="464">
        <f>Valuation!J12</f>
        <v>0</v>
      </c>
      <c r="D4795" s="464">
        <f>Valuation!K12</f>
        <v>0</v>
      </c>
      <c r="E4795" s="464">
        <f>Valuation!L12</f>
        <v>0</v>
      </c>
      <c r="F4795" s="464">
        <f>Valuation!M12</f>
        <v>0</v>
      </c>
      <c r="G4795" s="464">
        <f>Valuation!N12</f>
        <v>0</v>
      </c>
    </row>
    <row r="4796" spans="2:7">
      <c r="B4796" s="562" t="str">
        <f>Valuation!A13</f>
        <v>Plus: NPV of future licence costs</v>
      </c>
      <c r="C4796" s="1002">
        <f>Valuation!J13</f>
        <v>887.38393981123295</v>
      </c>
      <c r="D4796" s="1002">
        <f>Valuation!K13</f>
        <v>887.38393981123295</v>
      </c>
      <c r="E4796" s="1002">
        <f>Valuation!L13</f>
        <v>887.38393981123295</v>
      </c>
      <c r="F4796" s="1002">
        <f>Valuation!M13</f>
        <v>887.38393981123295</v>
      </c>
      <c r="G4796" s="1002">
        <f>Valuation!N13</f>
        <v>887.38393981123295</v>
      </c>
    </row>
    <row r="4797" spans="2:7">
      <c r="B4797" t="str">
        <f>Valuation!A14</f>
        <v>Plus: Value of minorities</v>
      </c>
      <c r="C4797" s="464">
        <f>Valuation!J14</f>
        <v>1471.8324594835435</v>
      </c>
      <c r="D4797" s="464">
        <f>Valuation!K14</f>
        <v>1471.8324594835435</v>
      </c>
      <c r="E4797" s="464">
        <f>Valuation!L14</f>
        <v>1471.8324594835435</v>
      </c>
      <c r="F4797" s="464">
        <f>Valuation!M14</f>
        <v>1471.8324594835435</v>
      </c>
      <c r="G4797" s="464">
        <f>Valuation!N14</f>
        <v>1471.8324594835435</v>
      </c>
    </row>
    <row r="4798" spans="2:7">
      <c r="B4798" s="562" t="str">
        <f>Valuation!A15</f>
        <v>Plus: Other liabilities</v>
      </c>
      <c r="C4798" s="1002">
        <f>Valuation!J15</f>
        <v>1070.9304878048783</v>
      </c>
      <c r="D4798" s="1002">
        <f>Valuation!K15</f>
        <v>1070.9304878048783</v>
      </c>
      <c r="E4798" s="1002">
        <f>Valuation!L15</f>
        <v>1070.9304878048783</v>
      </c>
      <c r="F4798" s="1002">
        <f>Valuation!M15</f>
        <v>1070.9304878048783</v>
      </c>
      <c r="G4798" s="1002">
        <f>Valuation!N15</f>
        <v>1070.9304878048783</v>
      </c>
    </row>
    <row r="4799" spans="2:7">
      <c r="B4799" t="str">
        <f>Valuation!A16</f>
        <v xml:space="preserve">Plus: Net debt </v>
      </c>
      <c r="C4799" s="464">
        <f>Valuation!J16</f>
        <v>6631</v>
      </c>
      <c r="D4799" s="464">
        <f>Valuation!K16</f>
        <v>8281</v>
      </c>
      <c r="E4799" s="464">
        <f>Valuation!L16</f>
        <v>6815</v>
      </c>
      <c r="F4799" s="464">
        <f>Valuation!M16</f>
        <v>6999</v>
      </c>
      <c r="G4799" s="464">
        <f>Valuation!N16</f>
        <v>6129</v>
      </c>
    </row>
    <row r="4800" spans="2:7">
      <c r="B4800" s="1004" t="str">
        <f>Valuation!A17</f>
        <v>Less: Accumulated dividend</v>
      </c>
      <c r="C4800" s="1018">
        <f>Valuation!J17</f>
        <v>0</v>
      </c>
      <c r="D4800" s="1018">
        <f>Valuation!K17</f>
        <v>0</v>
      </c>
      <c r="E4800" s="1018">
        <f>Valuation!L17</f>
        <v>0</v>
      </c>
      <c r="F4800" s="1018">
        <f>Valuation!M17</f>
        <v>0</v>
      </c>
      <c r="G4800" s="1018">
        <f>Valuation!N17</f>
        <v>0</v>
      </c>
    </row>
    <row r="4801" spans="2:7">
      <c r="B4801" s="450" t="str">
        <f>Valuation!A18</f>
        <v>Enterprise value</v>
      </c>
      <c r="C4801" s="598">
        <f>Valuation!J18</f>
        <v>11974.752207029329</v>
      </c>
      <c r="D4801" s="598">
        <f>Valuation!K18</f>
        <v>13595.172207029329</v>
      </c>
      <c r="E4801" s="598">
        <f>Valuation!L18</f>
        <v>14211.604207029328</v>
      </c>
      <c r="F4801" s="598">
        <f>Valuation!M18</f>
        <v>14467.690667029328</v>
      </c>
      <c r="G4801" s="598">
        <f>Valuation!N18</f>
        <v>13595.205947029328</v>
      </c>
    </row>
    <row r="4802" spans="2:7">
      <c r="B4802" s="562"/>
      <c r="C4802" s="1002"/>
      <c r="D4802" s="1002"/>
      <c r="E4802" s="1002"/>
      <c r="F4802" s="1002"/>
      <c r="G4802" s="1002"/>
    </row>
    <row r="4803" spans="2:7">
      <c r="B4803" s="627" t="str">
        <f>Valuation!A20</f>
        <v>EFCF</v>
      </c>
      <c r="C4803" s="464"/>
      <c r="D4803" s="464"/>
      <c r="E4803" s="464"/>
      <c r="F4803" s="464"/>
      <c r="G4803" s="464"/>
    </row>
    <row r="4804" spans="2:7">
      <c r="B4804" s="562" t="str">
        <f>Valuation!A21</f>
        <v>EBITDA</v>
      </c>
      <c r="C4804" s="1002">
        <f>Valuation!J21</f>
        <v>2485</v>
      </c>
      <c r="D4804" s="1002">
        <f>Valuation!K21</f>
        <v>2613</v>
      </c>
      <c r="E4804" s="1002">
        <f>Valuation!L21</f>
        <v>2228.1349999999998</v>
      </c>
      <c r="F4804" s="1002">
        <f>Valuation!M21</f>
        <v>2111.2855</v>
      </c>
      <c r="G4804" s="1002">
        <f ca="1">Valuation!N21</f>
        <v>2468.6458000000002</v>
      </c>
    </row>
    <row r="4805" spans="2:7">
      <c r="B4805" t="str">
        <f>Valuation!A22</f>
        <v xml:space="preserve">Less Capex </v>
      </c>
      <c r="C4805" s="464">
        <f ca="1">Valuation!J22</f>
        <v>-990</v>
      </c>
      <c r="D4805" s="464">
        <f ca="1">Valuation!K22</f>
        <v>-1111</v>
      </c>
      <c r="E4805" s="464">
        <f>Valuation!L22</f>
        <v>-957</v>
      </c>
      <c r="F4805" s="464">
        <f>Valuation!M22</f>
        <v>-931</v>
      </c>
      <c r="G4805" s="464">
        <f>Valuation!N22</f>
        <v>-575</v>
      </c>
    </row>
    <row r="4806" spans="2:7">
      <c r="B4806" s="562" t="str">
        <f>Valuation!A23</f>
        <v>Financing costs</v>
      </c>
      <c r="C4806" s="1002">
        <f>Valuation!J23</f>
        <v>-722</v>
      </c>
      <c r="D4806" s="1002">
        <f>Valuation!K23</f>
        <v>-583</v>
      </c>
      <c r="E4806" s="1002">
        <f>Valuation!L23</f>
        <v>-688</v>
      </c>
      <c r="F4806" s="1002">
        <f>Valuation!M23</f>
        <v>-766</v>
      </c>
      <c r="G4806" s="1002">
        <f>Valuation!N23</f>
        <v>-780</v>
      </c>
    </row>
    <row r="4807" spans="2:7">
      <c r="B4807" t="e">
        <f>Valuation!#REF!</f>
        <v>#REF!</v>
      </c>
      <c r="C4807" s="464" t="e">
        <f>Valuation!#REF!</f>
        <v>#REF!</v>
      </c>
      <c r="D4807" s="464" t="e">
        <f>Valuation!#REF!</f>
        <v>#REF!</v>
      </c>
      <c r="E4807" s="464" t="e">
        <f>Valuation!#REF!</f>
        <v>#REF!</v>
      </c>
      <c r="F4807" s="464" t="e">
        <f>Valuation!#REF!</f>
        <v>#REF!</v>
      </c>
      <c r="G4807" s="464" t="e">
        <f>Valuation!#REF!</f>
        <v>#REF!</v>
      </c>
    </row>
    <row r="4808" spans="2:7">
      <c r="B4808" s="562" t="str">
        <f>Valuation!A25</f>
        <v>Less Tax</v>
      </c>
      <c r="C4808" s="1002">
        <f>Valuation!J25</f>
        <v>-204</v>
      </c>
      <c r="D4808" s="1002">
        <f>Valuation!K25</f>
        <v>-158</v>
      </c>
      <c r="E4808" s="1002">
        <f>Valuation!L25</f>
        <v>-316</v>
      </c>
      <c r="F4808" s="1002">
        <f>Valuation!M25</f>
        <v>-233</v>
      </c>
      <c r="G4808" s="1002">
        <f>Valuation!N25</f>
        <v>-239</v>
      </c>
    </row>
    <row r="4809" spans="2:7">
      <c r="B4809" s="455" t="str">
        <f>Valuation!A26</f>
        <v>Less Minorities (CF)</v>
      </c>
      <c r="C4809" s="490">
        <f ca="1">Valuation!J26</f>
        <v>-144.48857795266565</v>
      </c>
      <c r="D4809" s="490">
        <f ca="1">Valuation!K26</f>
        <v>-183.05293298771892</v>
      </c>
      <c r="E4809" s="490">
        <f>Valuation!L26</f>
        <v>-4</v>
      </c>
      <c r="F4809" s="490">
        <f>Valuation!M26</f>
        <v>0</v>
      </c>
      <c r="G4809" s="490">
        <f>Valuation!N26</f>
        <v>0</v>
      </c>
    </row>
    <row r="4810" spans="2:7">
      <c r="B4810" s="693" t="str">
        <f>Valuation!A27</f>
        <v>EFCF pre spectrum</v>
      </c>
      <c r="C4810" s="1206">
        <f ca="1">Valuation!J27</f>
        <v>424.51142204733435</v>
      </c>
      <c r="D4810" s="1206">
        <f ca="1">Valuation!K27</f>
        <v>577.94706701228108</v>
      </c>
      <c r="E4810" s="1206">
        <f>Valuation!L27</f>
        <v>351.13499999999976</v>
      </c>
      <c r="F4810" s="1206">
        <f>Valuation!M27</f>
        <v>267.28549999999996</v>
      </c>
      <c r="G4810" s="1206">
        <f ca="1">Valuation!N27</f>
        <v>963.64580000000024</v>
      </c>
    </row>
    <row r="4811" spans="2:7">
      <c r="C4811" s="464"/>
      <c r="D4811" s="464"/>
      <c r="E4811" s="464"/>
      <c r="F4811" s="464"/>
      <c r="G4811" s="464"/>
    </row>
    <row r="4812" spans="2:7">
      <c r="B4812" s="562" t="str">
        <f>Valuation!A58</f>
        <v>Adjusted EPS</v>
      </c>
      <c r="C4812" s="1205">
        <f>Valuation!J58</f>
        <v>0.10300450496792171</v>
      </c>
      <c r="D4812" s="1205">
        <f>Valuation!K58</f>
        <v>2.2905986296072269</v>
      </c>
      <c r="E4812" s="1205">
        <f>Valuation!L58</f>
        <v>2.4927782310525024</v>
      </c>
      <c r="F4812" s="1205">
        <f>Valuation!M58</f>
        <v>0.35188417132650773</v>
      </c>
      <c r="G4812" s="1205">
        <f ca="1">Valuation!N58</f>
        <v>2.5702770985908141</v>
      </c>
    </row>
    <row r="4813" spans="2:7">
      <c r="B4813" t="str">
        <f>Valuation!A59</f>
        <v>DPS</v>
      </c>
      <c r="C4813" s="570">
        <f>Valuation!J59</f>
        <v>0</v>
      </c>
      <c r="D4813" s="570">
        <f>Valuation!K59</f>
        <v>0</v>
      </c>
      <c r="E4813" s="570">
        <f>Valuation!L59</f>
        <v>0</v>
      </c>
      <c r="F4813" s="570">
        <f>Valuation!M59</f>
        <v>0</v>
      </c>
      <c r="G4813" s="570">
        <f>Valuation!N59</f>
        <v>3.25</v>
      </c>
    </row>
    <row r="4814" spans="2:7">
      <c r="B4814" s="562"/>
      <c r="C4814" s="1002"/>
      <c r="D4814" s="1002"/>
      <c r="E4814" s="1002"/>
      <c r="F4814" s="1002"/>
      <c r="G4814" s="1002"/>
    </row>
    <row r="4815" spans="2:7">
      <c r="B4815" t="str">
        <f>Valuation!A61</f>
        <v>EV/Revenues</v>
      </c>
      <c r="C4815" s="999">
        <f>Valuation!J61</f>
        <v>1.9214942565836535</v>
      </c>
      <c r="D4815" s="999">
        <f>Valuation!K61</f>
        <v>2.068650670576587</v>
      </c>
      <c r="E4815" s="999">
        <f>Valuation!L61</f>
        <v>2.5267185359539956</v>
      </c>
      <c r="F4815" s="999">
        <f>Valuation!M61</f>
        <v>2.555677559976917</v>
      </c>
      <c r="G4815" s="999">
        <f>Valuation!N61</f>
        <v>2.3422809834249523</v>
      </c>
    </row>
    <row r="4816" spans="2:7">
      <c r="B4816" s="562" t="str">
        <f>Valuation!A62</f>
        <v>EV/EBITDA</v>
      </c>
      <c r="C4816" s="1003">
        <f>Valuation!J62</f>
        <v>4.8188137654041565</v>
      </c>
      <c r="D4816" s="1003">
        <f>Valuation!K62</f>
        <v>5.2028978978298239</v>
      </c>
      <c r="E4816" s="1003">
        <f>Valuation!L62</f>
        <v>6.3782509619162795</v>
      </c>
      <c r="F4816" s="1003">
        <f>Valuation!M62</f>
        <v>6.8525505750071831</v>
      </c>
      <c r="G4816" s="1003">
        <f ca="1">Valuation!N62</f>
        <v>5.5071513082311467</v>
      </c>
    </row>
    <row r="4817" spans="2:7">
      <c r="B4817" s="450" t="str">
        <f>Valuation!A63</f>
        <v>Prop EV/EBITDA</v>
      </c>
      <c r="C4817" s="1208">
        <f>Valuation!J63</f>
        <v>4.9001353502026248</v>
      </c>
      <c r="D4817" s="1208">
        <f>Valuation!K63</f>
        <v>5.0695412604905963</v>
      </c>
      <c r="E4817" s="1208">
        <f ca="1">Valuation!L63</f>
        <v>5.7432925239392514</v>
      </c>
      <c r="F4817" s="1208">
        <f ca="1">Valuation!M63</f>
        <v>6.0729517898980241</v>
      </c>
      <c r="G4817" s="1208">
        <f ca="1">Valuation!N63</f>
        <v>4.9227312746070346</v>
      </c>
    </row>
    <row r="4818" spans="2:7">
      <c r="B4818" s="562" t="str">
        <f>Valuation!A64</f>
        <v>EV/OpFCF</v>
      </c>
      <c r="C4818" s="1003">
        <f ca="1">Valuation!J64</f>
        <v>7.7856942092065085</v>
      </c>
      <c r="D4818" s="1003">
        <f ca="1">Valuation!K64</f>
        <v>8.9115911099615701</v>
      </c>
      <c r="E4818" s="1003">
        <f>Valuation!L64</f>
        <v>11.322769428809913</v>
      </c>
      <c r="F4818" s="1003">
        <f>Valuation!M64</f>
        <v>11.109461532843088</v>
      </c>
      <c r="G4818" s="1003">
        <f>Valuation!N64</f>
        <v>6.9803277100124292</v>
      </c>
    </row>
    <row r="4819" spans="2:7">
      <c r="B4819" t="str">
        <f>Valuation!A65</f>
        <v>EV/FCF</v>
      </c>
      <c r="C4819" s="999">
        <f ca="1">Valuation!J65</f>
        <v>43.080841290942672</v>
      </c>
      <c r="D4819" s="999">
        <f ca="1">Valuation!K65</f>
        <v>14.90321406899956</v>
      </c>
      <c r="E4819" s="999">
        <f>Valuation!L65</f>
        <v>37.744746757824544</v>
      </c>
      <c r="F4819" s="999">
        <f>Valuation!M65</f>
        <v>-4.9827091314918475</v>
      </c>
      <c r="G4819" s="999">
        <f ca="1">Valuation!N65</f>
        <v>12.800160125274257</v>
      </c>
    </row>
    <row r="4820" spans="2:7">
      <c r="B4820" s="693" t="str">
        <f>Valuation!A71</f>
        <v>Equity FCF yield</v>
      </c>
      <c r="C4820" s="1209">
        <f ca="1">Valuation!J71</f>
        <v>0.11076998349283168</v>
      </c>
      <c r="D4820" s="1209">
        <f ca="1">Valuation!K71</f>
        <v>0.1519797986571744</v>
      </c>
      <c r="E4820" s="1209">
        <f>Valuation!L71</f>
        <v>5.9663862329701223E-2</v>
      </c>
      <c r="F4820" s="1209">
        <f>Valuation!M71</f>
        <v>4.486683178071954E-2</v>
      </c>
      <c r="G4820" s="1209">
        <f ca="1">Valuation!N71</f>
        <v>0.16182611711215072</v>
      </c>
    </row>
    <row r="4821" spans="2:7">
      <c r="B4821" t="str">
        <f>Valuation!A72</f>
        <v>Dividend yield</v>
      </c>
      <c r="C4821" s="456">
        <f>Valuation!J72</f>
        <v>0</v>
      </c>
      <c r="D4821" s="456">
        <f>Valuation!K72</f>
        <v>0</v>
      </c>
      <c r="E4821" s="456">
        <f>Valuation!L72</f>
        <v>0</v>
      </c>
      <c r="F4821" s="456">
        <f>Valuation!M72</f>
        <v>0</v>
      </c>
      <c r="G4821" s="456">
        <f>Valuation!N72</f>
        <v>0.10987153482082489</v>
      </c>
    </row>
    <row r="4822" spans="2:7">
      <c r="B4822" s="562" t="str">
        <f>Valuation!A73</f>
        <v>P/E adj</v>
      </c>
      <c r="C4822" s="1003">
        <f>Valuation!J73</f>
        <v>287.17190582307035</v>
      </c>
      <c r="D4822" s="1003">
        <f>Valuation!K73</f>
        <v>12.913654805194804</v>
      </c>
      <c r="E4822" s="1003">
        <f>Valuation!L73</f>
        <v>11.866278207793362</v>
      </c>
      <c r="F4822" s="1003">
        <f>Valuation!M73</f>
        <v>84.06175216262622</v>
      </c>
      <c r="G4822" s="1003">
        <f ca="1">Valuation!N73</f>
        <v>11.508486776082469</v>
      </c>
    </row>
    <row r="4823" spans="2:7">
      <c r="C4823" s="999"/>
      <c r="D4823" s="999"/>
      <c r="E4823" s="999"/>
      <c r="F4823" s="999"/>
      <c r="G4823" s="999"/>
    </row>
    <row r="4824" spans="2:7">
      <c r="B4824" s="562" t="str">
        <f>Valuation!A75</f>
        <v>Net debt to clean EBITDA (IFRS 16)</v>
      </c>
      <c r="C4824" s="1003">
        <f>Valuation!J75</f>
        <v>2.6684104627766598</v>
      </c>
      <c r="D4824" s="1003">
        <f>Valuation!K75</f>
        <v>3.1691542288557213</v>
      </c>
      <c r="E4824" s="1003">
        <f>Valuation!L75</f>
        <v>3.0586117986567243</v>
      </c>
      <c r="F4824" s="1003">
        <f>Valuation!M75</f>
        <v>3.3150419495610612</v>
      </c>
      <c r="G4824" s="1003">
        <f ca="1">Valuation!N75</f>
        <v>2.4827377017796555</v>
      </c>
    </row>
    <row r="4825" spans="2:7">
      <c r="B4825" s="451" t="str">
        <f>Valuation!A96</f>
        <v>Prop net debt/EBITDA, IFRS 16</v>
      </c>
      <c r="C4825" s="1210">
        <f>Valuation!J96</f>
        <v>2.9133473518498514</v>
      </c>
      <c r="D4825" s="1210">
        <f>Valuation!K96</f>
        <v>3.3618341823268256</v>
      </c>
      <c r="E4825" s="1210">
        <f ca="1">Valuation!L96</f>
        <v>2.978618591233877</v>
      </c>
      <c r="F4825" s="1210">
        <f ca="1">Valuation!M96</f>
        <v>3.1710925961532976</v>
      </c>
      <c r="G4825" s="1210">
        <f ca="1">Valuation!N96</f>
        <v>2.4327896581564543</v>
      </c>
    </row>
    <row r="4828" spans="2:7">
      <c r="B4828" s="455"/>
      <c r="C4828" s="508" t="s">
        <v>5412</v>
      </c>
      <c r="E4828" s="495" t="s">
        <v>7155</v>
      </c>
      <c r="F4828" s="495" t="s">
        <v>7156</v>
      </c>
      <c r="G4828" s="495" t="s">
        <v>2324</v>
      </c>
    </row>
    <row r="4829" spans="2:7">
      <c r="B4829" t="s">
        <v>245</v>
      </c>
      <c r="C4829">
        <f>C4830*C4831</f>
        <v>100</v>
      </c>
      <c r="E4829">
        <f>E4830*E4831</f>
        <v>90</v>
      </c>
      <c r="F4829">
        <f>F4830*F4831</f>
        <v>40</v>
      </c>
      <c r="G4829">
        <f>E4829+F4829</f>
        <v>130</v>
      </c>
    </row>
    <row r="4830" spans="2:7">
      <c r="B4830" t="s">
        <v>360</v>
      </c>
      <c r="C4830">
        <v>20</v>
      </c>
      <c r="E4830">
        <v>18</v>
      </c>
      <c r="F4830">
        <f>C4830-E4830</f>
        <v>2</v>
      </c>
      <c r="G4830">
        <f>E4830+F4830</f>
        <v>20</v>
      </c>
    </row>
    <row r="4831" spans="2:7">
      <c r="B4831" s="478" t="s">
        <v>7157</v>
      </c>
      <c r="C4831" s="1211">
        <v>5</v>
      </c>
      <c r="E4831" s="1211">
        <v>5</v>
      </c>
      <c r="F4831" s="1211">
        <v>20</v>
      </c>
      <c r="G4831" s="1211">
        <f>G4829/G4830</f>
        <v>6.5</v>
      </c>
    </row>
    <row r="4834" spans="2:5">
      <c r="B4834" s="627" t="s">
        <v>7244</v>
      </c>
    </row>
    <row r="4836" spans="2:5">
      <c r="B4836" s="451" t="s">
        <v>5529</v>
      </c>
      <c r="C4836" s="451">
        <v>2021</v>
      </c>
    </row>
    <row r="4837" spans="2:5">
      <c r="B4837" t="s">
        <v>7236</v>
      </c>
      <c r="C4837" s="464">
        <f>Valuation!K16</f>
        <v>8281</v>
      </c>
    </row>
    <row r="4838" spans="2:5">
      <c r="B4838" s="1212" t="s">
        <v>7237</v>
      </c>
      <c r="C4838" s="490">
        <f>479+197+111+182+2</f>
        <v>971</v>
      </c>
      <c r="E4838">
        <v>479</v>
      </c>
    </row>
    <row r="4839" spans="2:5">
      <c r="B4839" t="s">
        <v>5902</v>
      </c>
      <c r="C4839" s="464">
        <f>C4837-C4838</f>
        <v>7310</v>
      </c>
      <c r="E4839">
        <v>111</v>
      </c>
    </row>
    <row r="4840" spans="2:5">
      <c r="E4840">
        <v>182</v>
      </c>
    </row>
    <row r="4841" spans="2:5">
      <c r="B4841" s="463" t="s">
        <v>7240</v>
      </c>
      <c r="C4841" s="464">
        <f>Master!X12</f>
        <v>2613</v>
      </c>
      <c r="E4841">
        <v>2</v>
      </c>
    </row>
    <row r="4842" spans="2:5">
      <c r="B4842" s="1212" t="s">
        <v>7239</v>
      </c>
      <c r="C4842" s="490">
        <f>229+375+87+52+2</f>
        <v>745</v>
      </c>
    </row>
    <row r="4843" spans="2:5">
      <c r="B4843" s="463" t="s">
        <v>4099</v>
      </c>
      <c r="C4843" s="464">
        <f>C4841-C4842</f>
        <v>1868</v>
      </c>
    </row>
    <row r="4844" spans="2:5">
      <c r="B4844" s="463" t="s">
        <v>7243</v>
      </c>
      <c r="C4844" s="1102">
        <f>C4839/C4843</f>
        <v>3.9132762312633833</v>
      </c>
    </row>
    <row r="4845" spans="2:5" ht="15.75" thickBot="1">
      <c r="B4845" s="463" t="s">
        <v>7241</v>
      </c>
      <c r="C4845" s="1102">
        <v>0.14000000000000001</v>
      </c>
    </row>
    <row r="4846" spans="2:5" ht="15.75" thickBot="1">
      <c r="B4846" s="1214" t="s">
        <v>6605</v>
      </c>
      <c r="C4846" s="1215">
        <f>C4844-C4845</f>
        <v>3.7732762312633832</v>
      </c>
    </row>
    <row r="4847" spans="2:5">
      <c r="B4847" s="463"/>
      <c r="C4847" s="570"/>
    </row>
    <row r="4848" spans="2:5">
      <c r="D4848" s="449">
        <v>0.5</v>
      </c>
    </row>
    <row r="4849" spans="2:15">
      <c r="B4849" t="s">
        <v>7238</v>
      </c>
      <c r="C4849" s="464">
        <f>'New split'!K288</f>
        <v>441</v>
      </c>
    </row>
    <row r="4850" spans="2:15">
      <c r="B4850" t="s">
        <v>2206</v>
      </c>
      <c r="C4850" s="1213">
        <v>7</v>
      </c>
    </row>
    <row r="4851" spans="2:15">
      <c r="B4851" t="s">
        <v>245</v>
      </c>
      <c r="C4851" s="454">
        <f>C4849*C4850</f>
        <v>3087</v>
      </c>
    </row>
    <row r="4852" spans="2:15">
      <c r="B4852" s="463" t="s">
        <v>7242</v>
      </c>
      <c r="C4852">
        <f>479*2</f>
        <v>958</v>
      </c>
      <c r="D4852">
        <f>C4852*0.5</f>
        <v>479</v>
      </c>
    </row>
    <row r="4853" spans="2:15">
      <c r="B4853" t="s">
        <v>109</v>
      </c>
      <c r="C4853" s="454">
        <f>C4851-C4852</f>
        <v>2129</v>
      </c>
      <c r="D4853" s="454">
        <f>C4853*0.5</f>
        <v>1064.5</v>
      </c>
    </row>
    <row r="4854" spans="2:15">
      <c r="B4854" s="1131"/>
      <c r="C4854" s="454"/>
    </row>
    <row r="4856" spans="2:15">
      <c r="B4856" t="s">
        <v>4203</v>
      </c>
      <c r="C4856" s="464">
        <f>C4839+D4852+D4853</f>
        <v>8853.5</v>
      </c>
    </row>
    <row r="4857" spans="2:15">
      <c r="B4857" s="463" t="s">
        <v>2945</v>
      </c>
      <c r="C4857" s="464">
        <f>C4843+229</f>
        <v>2097</v>
      </c>
      <c r="O4857" s="1258" t="s">
        <v>7436</v>
      </c>
    </row>
    <row r="4858" spans="2:15">
      <c r="B4858" s="463" t="s">
        <v>6125</v>
      </c>
      <c r="C4858" s="1102">
        <f>C4856/C4857</f>
        <v>4.2219837863614691</v>
      </c>
    </row>
    <row r="4859" spans="2:15" ht="15.75" thickBot="1">
      <c r="B4859" t="str">
        <f>B4845</f>
        <v>adj</v>
      </c>
      <c r="C4859" s="1102">
        <f>C4845</f>
        <v>0.14000000000000001</v>
      </c>
    </row>
    <row r="4860" spans="2:15" ht="15.75" thickBot="1">
      <c r="B4860" s="1214" t="s">
        <v>6605</v>
      </c>
      <c r="C4860" s="1215">
        <f>C4858-C4859</f>
        <v>4.0819837863614694</v>
      </c>
    </row>
    <row r="4862" spans="2:15">
      <c r="B4862" s="463" t="s">
        <v>7245</v>
      </c>
      <c r="C4862" s="1216">
        <v>5.5E-2</v>
      </c>
    </row>
    <row r="4863" spans="2:15">
      <c r="B4863" s="463" t="s">
        <v>6619</v>
      </c>
      <c r="C4863" s="454">
        <f>C4862*(D4852+D4853)</f>
        <v>84.892499999999998</v>
      </c>
    </row>
    <row r="4864" spans="2:15">
      <c r="B4864" s="463" t="s">
        <v>7246</v>
      </c>
      <c r="C4864" s="454">
        <f>C4863*0.72</f>
        <v>61.122599999999998</v>
      </c>
    </row>
    <row r="4866" spans="2:5">
      <c r="B4866" s="451" t="s">
        <v>574</v>
      </c>
      <c r="C4866" s="451">
        <v>2022</v>
      </c>
    </row>
    <row r="4867" spans="2:5">
      <c r="B4867" s="463" t="s">
        <v>1056</v>
      </c>
      <c r="C4867" s="464">
        <f>Valuation!L27</f>
        <v>351.13499999999976</v>
      </c>
    </row>
    <row r="4868" spans="2:5">
      <c r="B4868" s="463" t="s">
        <v>7247</v>
      </c>
      <c r="C4868" s="454">
        <f>-C4864</f>
        <v>-61.122599999999998</v>
      </c>
    </row>
    <row r="4869" spans="2:5">
      <c r="B4869" s="463" t="s">
        <v>7248</v>
      </c>
      <c r="C4869">
        <v>0</v>
      </c>
    </row>
    <row r="4870" spans="2:5">
      <c r="B4870" s="463" t="s">
        <v>2158</v>
      </c>
      <c r="C4870" s="454">
        <f>C4867+C4868+C4869</f>
        <v>290.01239999999979</v>
      </c>
    </row>
    <row r="4871" spans="2:5">
      <c r="B4871" s="463" t="s">
        <v>5402</v>
      </c>
      <c r="C4871" s="449">
        <f>C4870/C4867-1</f>
        <v>-0.1740715109573242</v>
      </c>
    </row>
    <row r="4873" spans="2:5">
      <c r="B4873" s="451"/>
      <c r="C4873" s="560" t="s">
        <v>5044</v>
      </c>
      <c r="D4873" s="560" t="s">
        <v>6278</v>
      </c>
      <c r="E4873" s="560" t="s">
        <v>7291</v>
      </c>
    </row>
    <row r="4874" spans="2:5">
      <c r="B4874" s="463" t="s">
        <v>7289</v>
      </c>
      <c r="C4874" s="454"/>
      <c r="D4874" s="454">
        <v>1175</v>
      </c>
      <c r="E4874" s="454">
        <f>'New split'!L440</f>
        <v>928.04745000000014</v>
      </c>
    </row>
    <row r="4875" spans="2:5">
      <c r="B4875" s="463" t="s">
        <v>7290</v>
      </c>
      <c r="C4875" s="454">
        <f ca="1">'New split'!J437</f>
        <v>990</v>
      </c>
      <c r="D4875" s="454">
        <v>1162</v>
      </c>
      <c r="E4875" s="454">
        <f>'New split'!L437</f>
        <v>973</v>
      </c>
    </row>
    <row r="4876" spans="2:5">
      <c r="B4876" s="463" t="s">
        <v>1643</v>
      </c>
      <c r="C4876" s="454"/>
      <c r="D4876">
        <v>1146</v>
      </c>
      <c r="E4876">
        <v>1128</v>
      </c>
    </row>
    <row r="4878" spans="2:5">
      <c r="B4878" s="463" t="s">
        <v>7292</v>
      </c>
    </row>
    <row r="4881" spans="2:12">
      <c r="C4881" s="1217" t="s">
        <v>5800</v>
      </c>
      <c r="D4881" s="1217" t="s">
        <v>7045</v>
      </c>
      <c r="E4881" s="1217" t="s">
        <v>7046</v>
      </c>
      <c r="F4881" s="1217" t="s">
        <v>7047</v>
      </c>
    </row>
    <row r="4882" spans="2:12">
      <c r="B4882" s="463" t="s">
        <v>1975</v>
      </c>
      <c r="C4882" s="456">
        <v>1.5114873035066534E-2</v>
      </c>
      <c r="D4882" s="456">
        <v>6.5515187611673298E-3</v>
      </c>
      <c r="E4882" s="456">
        <v>-1.6568047337278125E-2</v>
      </c>
      <c r="F4882" s="456">
        <v>7.821901323706415E-3</v>
      </c>
    </row>
    <row r="4883" spans="2:12">
      <c r="B4883" s="463" t="s">
        <v>5960</v>
      </c>
      <c r="C4883" s="456">
        <v>0.01</v>
      </c>
      <c r="D4883" s="456">
        <v>-0.01</v>
      </c>
      <c r="E4883" s="456">
        <v>0.02</v>
      </c>
      <c r="F4883" s="456">
        <v>0.04</v>
      </c>
    </row>
    <row r="4886" spans="2:12" ht="15.75" thickBot="1">
      <c r="B4886" s="451" t="s">
        <v>5529</v>
      </c>
      <c r="C4886" s="450">
        <v>2021</v>
      </c>
      <c r="D4886" s="451">
        <v>2022</v>
      </c>
      <c r="E4886" s="451">
        <v>2023</v>
      </c>
      <c r="F4886" s="451">
        <v>2024</v>
      </c>
      <c r="G4886" s="451">
        <v>2025</v>
      </c>
    </row>
    <row r="4887" spans="2:12" ht="15.75" thickBot="1">
      <c r="B4887" s="1226" t="s">
        <v>2222</v>
      </c>
      <c r="C4887" s="1235">
        <v>2200</v>
      </c>
      <c r="D4887" s="1228"/>
      <c r="E4887" s="1228"/>
      <c r="F4887" s="1228"/>
      <c r="G4887" s="1228"/>
      <c r="L4887">
        <v>1600</v>
      </c>
    </row>
    <row r="4888" spans="2:12">
      <c r="B4888" s="463" t="s">
        <v>5395</v>
      </c>
      <c r="C4888" s="464">
        <f>C4887/0.45</f>
        <v>4888.8888888888887</v>
      </c>
      <c r="D4888" s="450"/>
      <c r="E4888" s="450"/>
      <c r="F4888" s="450"/>
      <c r="G4888" s="450"/>
      <c r="L4888">
        <v>850</v>
      </c>
    </row>
    <row r="4889" spans="2:12">
      <c r="B4889" s="1226" t="s">
        <v>1381</v>
      </c>
      <c r="C4889" s="1227">
        <v>420</v>
      </c>
      <c r="D4889" s="1228"/>
      <c r="E4889" s="1228"/>
      <c r="F4889" s="1228"/>
      <c r="G4889" s="1228"/>
    </row>
    <row r="4890" spans="2:12">
      <c r="B4890" s="463" t="s">
        <v>245</v>
      </c>
      <c r="C4890" s="464">
        <f>C4888+C4889</f>
        <v>5308.8888888888887</v>
      </c>
      <c r="D4890" s="450"/>
      <c r="E4890" s="450"/>
      <c r="F4890" s="450"/>
      <c r="G4890" s="450"/>
      <c r="L4890" s="463">
        <f>-0.15*L4887</f>
        <v>-240</v>
      </c>
    </row>
    <row r="4891" spans="2:12">
      <c r="B4891" s="1226" t="s">
        <v>1243</v>
      </c>
      <c r="C4891" s="1229">
        <f>C4890/D4932</f>
        <v>6.2457516339869281</v>
      </c>
      <c r="D4891" s="1228"/>
      <c r="E4891" s="1228"/>
      <c r="F4891" s="1228"/>
      <c r="G4891" s="1228"/>
      <c r="L4891">
        <f>L4888+L4890</f>
        <v>610</v>
      </c>
    </row>
    <row r="4892" spans="2:12">
      <c r="B4892" s="450"/>
      <c r="C4892" s="450"/>
      <c r="D4892" s="450"/>
      <c r="E4892" s="450"/>
      <c r="F4892" s="450"/>
      <c r="G4892" s="450"/>
      <c r="K4892" s="463" t="s">
        <v>7430</v>
      </c>
      <c r="L4892" s="454">
        <f>-0.06*C4889</f>
        <v>-25.2</v>
      </c>
    </row>
    <row r="4893" spans="2:12">
      <c r="B4893" s="1226" t="s">
        <v>7345</v>
      </c>
      <c r="C4893" s="1227">
        <v>201.8940984426697</v>
      </c>
      <c r="D4893" s="1227">
        <f>D4903-D4902-D4899</f>
        <v>198.85499999999976</v>
      </c>
      <c r="E4893" s="1227">
        <f>E4903-E4902-E4899</f>
        <v>106.58149999999992</v>
      </c>
      <c r="F4893" s="1227">
        <f ca="1">F4903-F4902-F4899</f>
        <v>794.18084000000022</v>
      </c>
      <c r="G4893" s="1227">
        <f ca="1">G4903-G4902-G4899</f>
        <v>710.83655821025025</v>
      </c>
      <c r="K4893" s="463" t="s">
        <v>1455</v>
      </c>
      <c r="L4893">
        <f>-0.07*L4887</f>
        <v>-112.00000000000001</v>
      </c>
    </row>
    <row r="4894" spans="2:12">
      <c r="B4894" s="463" t="s">
        <v>5719</v>
      </c>
      <c r="C4894" s="464">
        <f>Valuation!K7</f>
        <v>98.559999999999988</v>
      </c>
      <c r="D4894" s="464">
        <f>C4894-3</f>
        <v>95.559999999999988</v>
      </c>
      <c r="E4894" s="464">
        <f>D4894-3</f>
        <v>92.559999999999988</v>
      </c>
      <c r="F4894" s="464">
        <f>E4894-2</f>
        <v>90.559999999999988</v>
      </c>
      <c r="G4894" s="464">
        <f>F4894-3</f>
        <v>87.559999999999988</v>
      </c>
      <c r="L4894" s="454">
        <f>L4891+L4892+L4893</f>
        <v>472.79999999999995</v>
      </c>
    </row>
    <row r="4895" spans="2:12">
      <c r="B4895" s="1226" t="s">
        <v>7295</v>
      </c>
      <c r="C4895" s="1230">
        <f>C4893/C4894</f>
        <v>2.048438498809555</v>
      </c>
      <c r="D4895" s="1230">
        <f>D4893/D4894</f>
        <v>2.0809439095855984</v>
      </c>
      <c r="E4895" s="1230">
        <f>E4893/E4894</f>
        <v>1.1514855229040615</v>
      </c>
      <c r="F4895" s="1230">
        <f ca="1">F4893/F4894</f>
        <v>8.769664752650181</v>
      </c>
      <c r="G4895" s="1230">
        <f ca="1">G4893/G4894</f>
        <v>8.1182795592765</v>
      </c>
    </row>
    <row r="4896" spans="2:12">
      <c r="B4896" s="463" t="s">
        <v>1648</v>
      </c>
      <c r="C4896" s="456">
        <f>C4895/Valuation!$B$4</f>
        <v>6.92507944154684E-2</v>
      </c>
      <c r="D4896" s="456">
        <f>D4895/Valuation!$B$4</f>
        <v>7.0349692683759249E-2</v>
      </c>
      <c r="E4896" s="456">
        <f>E4895/Valuation!$B$4</f>
        <v>3.8927840530901335E-2</v>
      </c>
      <c r="F4896" s="456">
        <f ca="1">F4895/Valuation!$B$4</f>
        <v>0.29647277730392768</v>
      </c>
      <c r="G4896" s="456">
        <f ca="1">G4895/Valuation!$B$4</f>
        <v>0.27445164162530428</v>
      </c>
    </row>
    <row r="4897" spans="2:17">
      <c r="B4897" s="1226"/>
      <c r="C4897" s="1230"/>
      <c r="D4897" s="1230"/>
      <c r="E4897" s="1230"/>
      <c r="F4897" s="1230"/>
      <c r="G4897" s="1230"/>
    </row>
    <row r="4898" spans="2:17">
      <c r="B4898" s="463" t="s">
        <v>7343</v>
      </c>
      <c r="C4898" s="454">
        <v>450</v>
      </c>
      <c r="D4898" s="454">
        <f>C4898*1.04</f>
        <v>468</v>
      </c>
      <c r="E4898" s="454">
        <f>D4898*1.04</f>
        <v>486.72</v>
      </c>
      <c r="F4898" s="454">
        <f t="shared" ref="F4898:G4898" si="445">E4898*1.04</f>
        <v>506.18880000000007</v>
      </c>
      <c r="G4898" s="454">
        <f t="shared" si="445"/>
        <v>526.43635200000006</v>
      </c>
    </row>
    <row r="4899" spans="2:17">
      <c r="B4899" s="1231" t="s">
        <v>7294</v>
      </c>
      <c r="C4899" s="1232">
        <f>0.45*C4898</f>
        <v>202.5</v>
      </c>
      <c r="D4899" s="1232">
        <f t="shared" ref="D4899:G4899" si="446">0.45*D4898</f>
        <v>210.6</v>
      </c>
      <c r="E4899" s="1232">
        <f t="shared" si="446"/>
        <v>219.02400000000003</v>
      </c>
      <c r="F4899" s="1232">
        <f t="shared" si="446"/>
        <v>227.78496000000004</v>
      </c>
      <c r="G4899" s="1232">
        <f t="shared" si="446"/>
        <v>236.89635840000003</v>
      </c>
    </row>
    <row r="4900" spans="2:17" ht="15.75" thickBot="1">
      <c r="D4900" s="454"/>
      <c r="E4900" s="454"/>
      <c r="F4900" s="454"/>
      <c r="G4900" s="454"/>
    </row>
    <row r="4901" spans="2:17" ht="15.75" thickBot="1">
      <c r="B4901" s="1231" t="s">
        <v>7302</v>
      </c>
      <c r="C4901" s="1235">
        <v>1500</v>
      </c>
      <c r="D4901" s="1231"/>
      <c r="E4901" s="1232"/>
      <c r="F4901" s="1232"/>
      <c r="G4901" s="1232"/>
    </row>
    <row r="4902" spans="2:17">
      <c r="B4902" s="1212" t="s">
        <v>7303</v>
      </c>
      <c r="C4902" s="462">
        <f>-0.054*C4901*0.72</f>
        <v>-58.32</v>
      </c>
      <c r="D4902" s="462">
        <f>C4902</f>
        <v>-58.32</v>
      </c>
      <c r="E4902" s="462">
        <f t="shared" ref="E4902:G4902" si="447">D4902</f>
        <v>-58.32</v>
      </c>
      <c r="F4902" s="462">
        <f t="shared" si="447"/>
        <v>-58.32</v>
      </c>
      <c r="G4902" s="462">
        <f t="shared" si="447"/>
        <v>-58.32</v>
      </c>
    </row>
    <row r="4903" spans="2:17">
      <c r="B4903" s="1231" t="s">
        <v>4421</v>
      </c>
      <c r="C4903" s="1227">
        <f>C4893+C4899+C4902</f>
        <v>346.07409844266971</v>
      </c>
      <c r="D4903" s="1227">
        <f>Valuation!L27</f>
        <v>351.13499999999976</v>
      </c>
      <c r="E4903" s="1227">
        <f>Valuation!M27</f>
        <v>267.28549999999996</v>
      </c>
      <c r="F4903" s="1227">
        <f ca="1">Valuation!N27</f>
        <v>963.64580000000024</v>
      </c>
      <c r="G4903" s="1227">
        <f ca="1">Valuation!O27</f>
        <v>889.41291661025025</v>
      </c>
    </row>
    <row r="4904" spans="2:17">
      <c r="B4904" s="463" t="s">
        <v>7304</v>
      </c>
      <c r="C4904" s="449">
        <f>C4898/C4903</f>
        <v>1.3002995659744427</v>
      </c>
      <c r="D4904" s="449">
        <f t="shared" ref="D4904" si="448">D4898/D4903</f>
        <v>1.3328207099833407</v>
      </c>
      <c r="E4904" s="449">
        <f>E4898/E4903</f>
        <v>1.8209742017430803</v>
      </c>
      <c r="F4904" s="449">
        <f ca="1">F4898/F4903</f>
        <v>0.52528512032118024</v>
      </c>
      <c r="G4904" s="449">
        <f ca="1">G4898/G4903</f>
        <v>0.59189195723215449</v>
      </c>
    </row>
    <row r="4905" spans="2:17">
      <c r="B4905" s="1226" t="s">
        <v>7344</v>
      </c>
      <c r="C4905" s="1233">
        <f>(C4898+C4902)/C4903</f>
        <v>1.131780742224155</v>
      </c>
      <c r="D4905" s="1233">
        <f>(D4898+D4902)/D4903</f>
        <v>1.1667307445854167</v>
      </c>
      <c r="E4905" s="1233">
        <f>(E4898+E4902)/E4903</f>
        <v>1.6027805473922083</v>
      </c>
      <c r="F4905" s="1233">
        <f ca="1">(F4898+F4902)/F4903</f>
        <v>0.4647649582450315</v>
      </c>
      <c r="G4905" s="1233">
        <f ca="1">(G4898+G4902)/G4903</f>
        <v>0.52632061358417781</v>
      </c>
    </row>
    <row r="4906" spans="2:17" ht="15.75" thickBot="1"/>
    <row r="4907" spans="2:17" ht="15.75" thickBot="1">
      <c r="B4907" s="1226" t="s">
        <v>7297</v>
      </c>
      <c r="C4907" s="1235">
        <v>750</v>
      </c>
      <c r="D4907" s="1231"/>
      <c r="E4907" s="1231"/>
      <c r="F4907" s="1231"/>
      <c r="G4907" s="1231"/>
    </row>
    <row r="4908" spans="2:17" ht="15.75" thickBot="1">
      <c r="B4908" s="463" t="s">
        <v>2408</v>
      </c>
      <c r="C4908" s="1220">
        <f>Master!Y383</f>
        <v>10.085227272727272</v>
      </c>
    </row>
    <row r="4909" spans="2:17">
      <c r="B4909" s="1226" t="s">
        <v>7298</v>
      </c>
      <c r="C4909" s="1232">
        <f>C4907/C4908</f>
        <v>74.366197183098606</v>
      </c>
      <c r="D4909" s="1231"/>
      <c r="E4909" s="1231"/>
      <c r="F4909" s="1231"/>
      <c r="G4909" s="1231"/>
    </row>
    <row r="4910" spans="2:17">
      <c r="B4910" s="463" t="s">
        <v>7296</v>
      </c>
      <c r="C4910" s="464">
        <f>Valuation!K7</f>
        <v>98.559999999999988</v>
      </c>
      <c r="D4910" s="464">
        <f>Valuation!L7</f>
        <v>168.95999999999998</v>
      </c>
      <c r="E4910" s="464">
        <f>Valuation!M7</f>
        <v>171.39699999999999</v>
      </c>
      <c r="F4910" s="464">
        <f>Valuation!N7</f>
        <v>171.31299999999999</v>
      </c>
      <c r="G4910" s="464">
        <f>Valuation!O7</f>
        <v>166.363</v>
      </c>
    </row>
    <row r="4911" spans="2:17" ht="15.75" thickBot="1">
      <c r="B4911" s="1226" t="s">
        <v>7295</v>
      </c>
      <c r="C4911" s="1230">
        <f>C4903/C4910</f>
        <v>3.5113037585498148</v>
      </c>
      <c r="D4911" s="1230">
        <f>D4903/D4910</f>
        <v>2.0782137784090899</v>
      </c>
      <c r="E4911" s="1230">
        <f>E4903/E4910</f>
        <v>1.5594526158567534</v>
      </c>
      <c r="F4911" s="1230">
        <f ca="1">F4903/F4910</f>
        <v>5.6250593942082636</v>
      </c>
      <c r="G4911" s="1230">
        <f ca="1">G4903/G4910</f>
        <v>5.3462183094212667</v>
      </c>
      <c r="L4911" s="450"/>
      <c r="M4911" s="450"/>
      <c r="N4911" s="450"/>
      <c r="O4911" s="450"/>
      <c r="P4911" s="450"/>
      <c r="Q4911" s="450"/>
    </row>
    <row r="4912" spans="2:17" ht="15.75" thickBot="1">
      <c r="B4912" s="1223" t="s">
        <v>7299</v>
      </c>
      <c r="C4912" s="1224">
        <f>C4911/C4895-1</f>
        <v>0.71413677324967306</v>
      </c>
      <c r="D4912" s="1224">
        <f>D4911/D4895-1</f>
        <v>-1.3119676911677036E-3</v>
      </c>
      <c r="E4912" s="1224">
        <f>E4911/E4895-1</f>
        <v>0.35429632838439318</v>
      </c>
      <c r="F4912" s="1224">
        <f ca="1">F4911/F4895-1</f>
        <v>-0.3585776021245991</v>
      </c>
      <c r="G4912" s="1225">
        <f ca="1">G4911/G4895-1</f>
        <v>-0.34145920075980718</v>
      </c>
      <c r="L4912" s="451"/>
      <c r="M4912" s="451">
        <f>C4886</f>
        <v>2021</v>
      </c>
      <c r="N4912" s="451">
        <f t="shared" ref="N4912:Q4912" si="449">D4886</f>
        <v>2022</v>
      </c>
      <c r="O4912" s="451">
        <f t="shared" si="449"/>
        <v>2023</v>
      </c>
      <c r="P4912" s="451">
        <f t="shared" si="449"/>
        <v>2024</v>
      </c>
      <c r="Q4912" s="451">
        <f t="shared" si="449"/>
        <v>2025</v>
      </c>
    </row>
    <row r="4913" spans="2:17">
      <c r="B4913" s="1226" t="s">
        <v>1648</v>
      </c>
      <c r="C4913" s="1234">
        <f>C4911/$C$4908</f>
        <v>0.34816307690409437</v>
      </c>
      <c r="D4913" s="1234">
        <f>D4911/$C$4908</f>
        <v>0.20606514084507035</v>
      </c>
      <c r="E4913" s="1234">
        <f>E4911/$C$4908</f>
        <v>0.15462741430466964</v>
      </c>
      <c r="F4913" s="1234">
        <f ca="1">F4911/$C$4908</f>
        <v>0.5577523681017772</v>
      </c>
      <c r="G4913" s="1234">
        <f ca="1">G4911/$C$4908</f>
        <v>0.5301038999764186</v>
      </c>
      <c r="H4913" s="463" t="s">
        <v>1823</v>
      </c>
      <c r="L4913" s="463" t="s">
        <v>7346</v>
      </c>
      <c r="M4913" s="1102">
        <f>C4919</f>
        <v>2.6193513981997829</v>
      </c>
      <c r="N4913" s="1102">
        <f t="shared" ref="N4913:Q4913" si="450">D4919</f>
        <v>2.2744180441631987</v>
      </c>
      <c r="O4913" s="1102">
        <f t="shared" si="450"/>
        <v>1.9901600990403248</v>
      </c>
      <c r="P4913" s="1102">
        <f t="shared" si="450"/>
        <v>1.6998446420727966</v>
      </c>
      <c r="Q4913" s="1102">
        <f t="shared" si="450"/>
        <v>1.4107668889467764</v>
      </c>
    </row>
    <row r="4914" spans="2:17">
      <c r="L4914" s="463" t="s">
        <v>7347</v>
      </c>
      <c r="M4914" s="1102">
        <f>C4920</f>
        <v>2.4793513981997828</v>
      </c>
      <c r="N4914" s="1102">
        <f t="shared" ref="N4914:Q4914" si="451">D4920</f>
        <v>2.1344180441631986</v>
      </c>
      <c r="O4914" s="1102">
        <f t="shared" si="451"/>
        <v>1.8501600990403246</v>
      </c>
      <c r="P4914" s="1102">
        <f t="shared" si="451"/>
        <v>1.5598446420727965</v>
      </c>
      <c r="Q4914" s="1102">
        <f t="shared" si="451"/>
        <v>1.2707668889467763</v>
      </c>
    </row>
    <row r="4915" spans="2:17">
      <c r="B4915" s="627" t="s">
        <v>7341</v>
      </c>
      <c r="L4915" s="463" t="s">
        <v>7348</v>
      </c>
      <c r="M4915" s="1102">
        <f t="shared" ref="M4915:Q4916" si="452">C4927</f>
        <v>3.3618341823268256</v>
      </c>
      <c r="N4915" s="1102">
        <f t="shared" ca="1" si="452"/>
        <v>2.8281884689185888</v>
      </c>
      <c r="O4915" s="1102">
        <f t="shared" ca="1" si="452"/>
        <v>2.8175424630294943</v>
      </c>
      <c r="P4915" s="1102">
        <f t="shared" si="452"/>
        <v>2.4055310490137405</v>
      </c>
      <c r="Q4915" s="1102">
        <f t="shared" ca="1" si="452"/>
        <v>2.0585172672159535</v>
      </c>
    </row>
    <row r="4916" spans="2:17">
      <c r="B4916" s="463" t="s">
        <v>7300</v>
      </c>
      <c r="L4916" s="463" t="s">
        <v>7349</v>
      </c>
      <c r="M4916" s="1102">
        <f t="shared" si="452"/>
        <v>3.2218341823268255</v>
      </c>
      <c r="N4916" s="1102">
        <f t="shared" ca="1" si="452"/>
        <v>2.6881884689185886</v>
      </c>
      <c r="O4916" s="1102">
        <f t="shared" ca="1" si="452"/>
        <v>2.6775424630294942</v>
      </c>
      <c r="P4916" s="1102">
        <f t="shared" si="452"/>
        <v>2.2655310490137404</v>
      </c>
      <c r="Q4916" s="1102">
        <f t="shared" ca="1" si="452"/>
        <v>1.9185172672159534</v>
      </c>
    </row>
    <row r="4917" spans="2:17">
      <c r="B4917" s="463" t="s">
        <v>4099</v>
      </c>
      <c r="C4917" s="464">
        <v>1881.4979944312065</v>
      </c>
      <c r="D4917" s="464">
        <v>1871.778008881015</v>
      </c>
      <c r="E4917" s="464">
        <v>1961.2532215138342</v>
      </c>
      <c r="F4917" s="464">
        <v>2044.627691387846</v>
      </c>
      <c r="G4917" s="464">
        <v>2098.2668360836983</v>
      </c>
    </row>
    <row r="4918" spans="2:17">
      <c r="B4918" s="463" t="s">
        <v>4097</v>
      </c>
      <c r="C4918" s="464">
        <v>4928.3044024234678</v>
      </c>
      <c r="D4918" s="464">
        <v>4257.2056780668445</v>
      </c>
      <c r="E4918" s="464">
        <v>3903.2079055711283</v>
      </c>
      <c r="F4918" s="464">
        <v>3475.5494262393013</v>
      </c>
      <c r="G4918" s="464">
        <v>2960.1653765219949</v>
      </c>
    </row>
    <row r="4919" spans="2:17">
      <c r="B4919" s="463" t="s">
        <v>7306</v>
      </c>
      <c r="C4919" s="1102">
        <f>C4918/C4917</f>
        <v>2.6193513981997829</v>
      </c>
      <c r="D4919" s="1102">
        <f>D4918/D4917</f>
        <v>2.2744180441631987</v>
      </c>
      <c r="E4919" s="1102">
        <f t="shared" ref="E4919:G4919" si="453">E4918/E4917</f>
        <v>1.9901600990403248</v>
      </c>
      <c r="F4919" s="1102">
        <f t="shared" si="453"/>
        <v>1.6998446420727966</v>
      </c>
      <c r="G4919" s="1102">
        <f t="shared" si="453"/>
        <v>1.4107668889467764</v>
      </c>
    </row>
    <row r="4920" spans="2:17">
      <c r="B4920" s="463" t="s">
        <v>6605</v>
      </c>
      <c r="C4920" s="1102">
        <f>C4919-'New (new) quarts'!$AR$568</f>
        <v>2.4793513981997828</v>
      </c>
      <c r="D4920" s="1102">
        <f>D4919-'New (new) quarts'!$AR$568</f>
        <v>2.1344180441631986</v>
      </c>
      <c r="E4920" s="1102">
        <f>E4919-'New (new) quarts'!$AR$568</f>
        <v>1.8501600990403246</v>
      </c>
      <c r="F4920" s="1102">
        <f>F4919-'New (new) quarts'!$AR$568</f>
        <v>1.5598446420727965</v>
      </c>
      <c r="G4920" s="1102">
        <f>G4919-'New (new) quarts'!$AR$568</f>
        <v>1.2707668889467763</v>
      </c>
    </row>
    <row r="4922" spans="2:17">
      <c r="B4922" s="463" t="s">
        <v>7301</v>
      </c>
      <c r="D4922" s="454">
        <f>D4899+D4902</f>
        <v>152.28</v>
      </c>
      <c r="E4922" s="454">
        <f>E4899+E4902+D4922</f>
        <v>312.98400000000004</v>
      </c>
      <c r="F4922" s="454">
        <f>F4899+F4902+E4922</f>
        <v>482.44896000000006</v>
      </c>
      <c r="G4922" s="454">
        <f>G4899+G4902+F4922</f>
        <v>661.02531840000006</v>
      </c>
    </row>
    <row r="4924" spans="2:17">
      <c r="B4924" s="627" t="s">
        <v>7342</v>
      </c>
      <c r="D4924" s="464"/>
    </row>
    <row r="4925" spans="2:17">
      <c r="B4925" t="str">
        <f>B4917</f>
        <v>Prop EBITDA</v>
      </c>
      <c r="C4925" s="464">
        <f>Valuation!K85</f>
        <v>2249.9993099971803</v>
      </c>
      <c r="D4925" s="464">
        <f>D4917+0.45*'New split'!L274</f>
        <v>2257.0140088810149</v>
      </c>
      <c r="E4925" s="464">
        <f>E4917+0.45*'New split'!M274</f>
        <v>2325.8724715138342</v>
      </c>
      <c r="F4925" s="464">
        <f>F4917+0.45*'New split'!N274</f>
        <v>2434.7155463878462</v>
      </c>
      <c r="G4925" s="464">
        <f>G4917+0.45*'New split'!O274</f>
        <v>2499.7973343238596</v>
      </c>
    </row>
    <row r="4926" spans="2:17">
      <c r="B4926" t="str">
        <f t="shared" ref="B4926:B4927" si="454">B4918</f>
        <v>Prop net debt</v>
      </c>
      <c r="C4926" s="464">
        <f>Valuation!K94</f>
        <v>7564.1245905602927</v>
      </c>
      <c r="D4926" s="464">
        <f ca="1">Valuation!L94</f>
        <v>6383.2609941050041</v>
      </c>
      <c r="E4926" s="464">
        <f ca="1">Valuation!M94</f>
        <v>6553.2444520815861</v>
      </c>
      <c r="F4926" s="464">
        <f>Valuation!N94</f>
        <v>5856.7838423524181</v>
      </c>
      <c r="G4926" s="464">
        <f ca="1">Valuation!O94</f>
        <v>5145.8759772460771</v>
      </c>
    </row>
    <row r="4927" spans="2:17">
      <c r="B4927" t="str">
        <f t="shared" si="454"/>
        <v>Leverage, IFRS 16</v>
      </c>
      <c r="C4927" s="1102">
        <f>C4926/C4925</f>
        <v>3.3618341823268256</v>
      </c>
      <c r="D4927" s="1102">
        <f ca="1">D4926/D4925</f>
        <v>2.8281884689185888</v>
      </c>
      <c r="E4927" s="1102">
        <f ca="1">E4926/E4925</f>
        <v>2.8175424630294943</v>
      </c>
      <c r="F4927" s="1102">
        <f>F4926/F4925</f>
        <v>2.4055310490137405</v>
      </c>
      <c r="G4927" s="1102">
        <f ca="1">G4926/G4925</f>
        <v>2.0585172672159535</v>
      </c>
    </row>
    <row r="4928" spans="2:17">
      <c r="B4928" s="463" t="s">
        <v>6605</v>
      </c>
      <c r="C4928" s="1102">
        <f>C4927-'New (new) quarts'!$AR$568</f>
        <v>3.2218341823268255</v>
      </c>
      <c r="D4928" s="1102">
        <f ca="1">D4927-'New (new) quarts'!$AR$568</f>
        <v>2.6881884689185886</v>
      </c>
      <c r="E4928" s="1102">
        <f ca="1">E4927-'New (new) quarts'!$AR$568</f>
        <v>2.6775424630294942</v>
      </c>
      <c r="F4928" s="1102">
        <f>F4927-'New (new) quarts'!$AR$568</f>
        <v>2.2655310490137404</v>
      </c>
      <c r="G4928" s="1102">
        <f ca="1">G4927-'New (new) quarts'!$AR$568</f>
        <v>1.9185172672159534</v>
      </c>
    </row>
    <row r="4930" spans="2:12">
      <c r="B4930" s="451" t="s">
        <v>7305</v>
      </c>
      <c r="C4930" s="560" t="s">
        <v>821</v>
      </c>
      <c r="D4930" s="560" t="s">
        <v>6092</v>
      </c>
    </row>
    <row r="4931" spans="2:12">
      <c r="B4931" s="463" t="s">
        <v>758</v>
      </c>
      <c r="C4931" s="1219">
        <v>1600</v>
      </c>
      <c r="D4931" s="599"/>
    </row>
    <row r="4932" spans="2:12">
      <c r="B4932" s="463" t="s">
        <v>360</v>
      </c>
      <c r="C4932" s="454">
        <f>'New split'!K274</f>
        <v>857</v>
      </c>
      <c r="D4932">
        <v>850</v>
      </c>
    </row>
    <row r="4933" spans="2:12">
      <c r="B4933" s="463" t="s">
        <v>1545</v>
      </c>
      <c r="C4933" s="454">
        <f>CA!V127</f>
        <v>194.97341921959145</v>
      </c>
      <c r="D4933">
        <v>200</v>
      </c>
    </row>
    <row r="4934" spans="2:12">
      <c r="B4934" s="463" t="s">
        <v>574</v>
      </c>
      <c r="C4934" s="454">
        <f>CA!V214</f>
        <v>506.9818127113686</v>
      </c>
      <c r="D4934">
        <v>450</v>
      </c>
    </row>
    <row r="4936" spans="2:12">
      <c r="C4936" s="449">
        <f>C4933/C4931</f>
        <v>0.12185838701224466</v>
      </c>
    </row>
    <row r="4938" spans="2:12">
      <c r="B4938" s="450" t="s">
        <v>2379</v>
      </c>
    </row>
    <row r="4940" spans="2:12">
      <c r="B4940" s="451" t="s">
        <v>5529</v>
      </c>
      <c r="C4940" s="451">
        <v>2020</v>
      </c>
      <c r="D4940" s="451">
        <f>C4940+1</f>
        <v>2021</v>
      </c>
      <c r="E4940" s="451">
        <f t="shared" ref="E4940:K4940" si="455">D4940+1</f>
        <v>2022</v>
      </c>
      <c r="F4940" s="451">
        <f t="shared" si="455"/>
        <v>2023</v>
      </c>
      <c r="G4940" s="451">
        <f t="shared" si="455"/>
        <v>2024</v>
      </c>
      <c r="H4940" s="451">
        <f t="shared" si="455"/>
        <v>2025</v>
      </c>
      <c r="I4940" s="451">
        <f t="shared" si="455"/>
        <v>2026</v>
      </c>
      <c r="J4940" s="451">
        <f t="shared" si="455"/>
        <v>2027</v>
      </c>
      <c r="K4940" s="451">
        <f t="shared" si="455"/>
        <v>2028</v>
      </c>
    </row>
    <row r="4941" spans="2:12">
      <c r="B4941" s="1226" t="s">
        <v>758</v>
      </c>
      <c r="C4941" s="1227">
        <f>'New split'!J6</f>
        <v>1503</v>
      </c>
      <c r="D4941" s="1227">
        <f>'New split'!K6</f>
        <v>1600</v>
      </c>
      <c r="E4941" s="1227">
        <f>'New split'!L6</f>
        <v>1618.395</v>
      </c>
      <c r="F4941" s="1227">
        <f>'New split'!M6</f>
        <v>1564.4625999999998</v>
      </c>
      <c r="G4941" s="1227">
        <f>'New split'!N6</f>
        <v>1603.0111999999999</v>
      </c>
      <c r="H4941" s="1227">
        <f>'New split'!O6</f>
        <v>1652.3888816467534</v>
      </c>
      <c r="I4941" s="1227">
        <f>'New split'!P6</f>
        <v>1675.8686339788608</v>
      </c>
      <c r="J4941" s="1227">
        <f>'New split'!Q6</f>
        <v>1699.6865937554721</v>
      </c>
      <c r="K4941" s="1227">
        <f>'New split'!R6</f>
        <v>1723.8476798817187</v>
      </c>
    </row>
    <row r="4942" spans="2:12">
      <c r="B4942" s="463" t="s">
        <v>2016</v>
      </c>
      <c r="D4942" s="449">
        <f>D4941/C4941-1</f>
        <v>6.4537591483699197E-2</v>
      </c>
      <c r="E4942" s="449">
        <f>E4941/D4941-1</f>
        <v>1.1496874999999962E-2</v>
      </c>
      <c r="F4942" s="449">
        <f t="shared" ref="F4942:K4942" si="456">F4941/E4941-1</f>
        <v>-3.3324620997964072E-2</v>
      </c>
      <c r="G4942" s="449">
        <f t="shared" si="456"/>
        <v>2.4640154389117486E-2</v>
      </c>
      <c r="H4942" s="449">
        <f t="shared" si="456"/>
        <v>3.0803079633350938E-2</v>
      </c>
      <c r="I4942" s="449">
        <f t="shared" si="456"/>
        <v>1.4209580198038863E-2</v>
      </c>
      <c r="J4942" s="449">
        <f t="shared" si="456"/>
        <v>1.4212307154447101E-2</v>
      </c>
      <c r="K4942" s="449">
        <f t="shared" si="456"/>
        <v>1.4215024237416829E-2</v>
      </c>
      <c r="L4942" s="449"/>
    </row>
    <row r="4943" spans="2:12">
      <c r="B4943" s="1231"/>
      <c r="C4943" s="1231"/>
      <c r="D4943" s="1231"/>
      <c r="E4943" s="1231"/>
      <c r="F4943" s="1231"/>
      <c r="G4943" s="1231"/>
      <c r="H4943" s="1231"/>
      <c r="I4943" s="1231"/>
      <c r="J4943" s="1231"/>
      <c r="K4943" s="1231"/>
    </row>
    <row r="4944" spans="2:12">
      <c r="B4944" s="463" t="s">
        <v>360</v>
      </c>
      <c r="C4944" s="464">
        <f>'New split'!J274</f>
        <v>779</v>
      </c>
      <c r="D4944" s="464">
        <f>'New split'!K274</f>
        <v>857</v>
      </c>
      <c r="E4944" s="464">
        <f>'New split'!L274</f>
        <v>856.08</v>
      </c>
      <c r="F4944" s="464">
        <f>'New split'!M274</f>
        <v>810.2650000000001</v>
      </c>
      <c r="G4944" s="464">
        <f>'New split'!N274</f>
        <v>866.86189999999999</v>
      </c>
      <c r="H4944" s="464">
        <f>'New split'!O274</f>
        <v>892.28999608924687</v>
      </c>
      <c r="I4944" s="464">
        <f>'New split'!P274</f>
        <v>909.15873393353195</v>
      </c>
      <c r="J4944" s="464">
        <f>'New split'!Q274</f>
        <v>926.32919359673224</v>
      </c>
      <c r="K4944" s="464">
        <f>'New split'!R274</f>
        <v>943.80660473524074</v>
      </c>
    </row>
    <row r="4945" spans="2:12">
      <c r="B4945" s="1226" t="s">
        <v>361</v>
      </c>
      <c r="C4945" s="1234">
        <f>C4944/C4941</f>
        <v>0.51829673985362612</v>
      </c>
      <c r="D4945" s="1234">
        <f>D4944/D4941</f>
        <v>0.53562500000000002</v>
      </c>
      <c r="E4945" s="1234">
        <f t="shared" ref="E4945:K4945" si="457">E4944/E4941</f>
        <v>0.52896851510292608</v>
      </c>
      <c r="F4945" s="1234">
        <f t="shared" si="457"/>
        <v>0.51791906051317571</v>
      </c>
      <c r="G4945" s="1234">
        <f t="shared" si="457"/>
        <v>0.5407709565597546</v>
      </c>
      <c r="H4945" s="1234">
        <f t="shared" si="457"/>
        <v>0.54</v>
      </c>
      <c r="I4945" s="1234">
        <f t="shared" si="457"/>
        <v>0.54249999999999998</v>
      </c>
      <c r="J4945" s="1234">
        <f t="shared" si="457"/>
        <v>0.54499999999999993</v>
      </c>
      <c r="K4945" s="1234">
        <f t="shared" si="457"/>
        <v>0.54749999999999988</v>
      </c>
    </row>
    <row r="4947" spans="2:12">
      <c r="B4947" s="1226" t="s">
        <v>1545</v>
      </c>
      <c r="C4947" s="1231"/>
      <c r="D4947" s="1231">
        <f>D4933</f>
        <v>200</v>
      </c>
      <c r="E4947" s="1232">
        <f>E4948*E4941</f>
        <v>202.299375</v>
      </c>
      <c r="F4947" s="1232">
        <f t="shared" ref="F4947:K4947" si="458">F4948*F4941</f>
        <v>195.55782499999998</v>
      </c>
      <c r="G4947" s="1232">
        <f t="shared" si="458"/>
        <v>200.37639999999999</v>
      </c>
      <c r="H4947" s="1232">
        <f t="shared" si="458"/>
        <v>206.54861020584417</v>
      </c>
      <c r="I4947" s="1232">
        <f t="shared" si="458"/>
        <v>209.4835792473576</v>
      </c>
      <c r="J4947" s="1232">
        <f t="shared" si="458"/>
        <v>212.46082421943402</v>
      </c>
      <c r="K4947" s="1232">
        <f t="shared" si="458"/>
        <v>215.48095998521484</v>
      </c>
    </row>
    <row r="4948" spans="2:12">
      <c r="B4948" s="463" t="s">
        <v>1431</v>
      </c>
      <c r="D4948" s="456">
        <f>D4947/D4941</f>
        <v>0.125</v>
      </c>
      <c r="E4948" s="456">
        <f>D4948</f>
        <v>0.125</v>
      </c>
      <c r="F4948" s="456">
        <f>E4948</f>
        <v>0.125</v>
      </c>
      <c r="G4948" s="456">
        <f t="shared" ref="G4948:K4948" si="459">F4948</f>
        <v>0.125</v>
      </c>
      <c r="H4948" s="456">
        <f t="shared" si="459"/>
        <v>0.125</v>
      </c>
      <c r="I4948" s="456">
        <f t="shared" si="459"/>
        <v>0.125</v>
      </c>
      <c r="J4948" s="456">
        <f t="shared" si="459"/>
        <v>0.125</v>
      </c>
      <c r="K4948" s="456">
        <f t="shared" si="459"/>
        <v>0.125</v>
      </c>
    </row>
    <row r="4949" spans="2:12">
      <c r="B4949" s="1231"/>
      <c r="C4949" s="1231"/>
      <c r="D4949" s="1231"/>
      <c r="E4949" s="1231"/>
      <c r="F4949" s="1231"/>
      <c r="G4949" s="1231"/>
      <c r="H4949" s="1231"/>
      <c r="I4949" s="1231"/>
      <c r="J4949" s="1231"/>
      <c r="K4949" s="1231"/>
    </row>
    <row r="4950" spans="2:12">
      <c r="B4950" s="463" t="s">
        <v>1552</v>
      </c>
      <c r="D4950" s="464">
        <f>D4944-D4947</f>
        <v>657</v>
      </c>
      <c r="E4950" s="464">
        <f t="shared" ref="E4950:K4950" si="460">E4944-E4947</f>
        <v>653.7806250000001</v>
      </c>
      <c r="F4950" s="464">
        <f t="shared" si="460"/>
        <v>614.70717500000012</v>
      </c>
      <c r="G4950" s="464">
        <f t="shared" si="460"/>
        <v>666.4855</v>
      </c>
      <c r="H4950" s="464">
        <f t="shared" si="460"/>
        <v>685.7413858834027</v>
      </c>
      <c r="I4950" s="464">
        <f t="shared" si="460"/>
        <v>699.67515468617432</v>
      </c>
      <c r="J4950" s="464">
        <f t="shared" si="460"/>
        <v>713.86836937729822</v>
      </c>
      <c r="K4950" s="464">
        <f t="shared" si="460"/>
        <v>728.32564475002596</v>
      </c>
      <c r="L4950" s="464"/>
    </row>
    <row r="4951" spans="2:12">
      <c r="B4951" s="1226" t="s">
        <v>1434</v>
      </c>
      <c r="C4951" s="1231"/>
      <c r="D4951" s="1233">
        <f>D4950/D4941</f>
        <v>0.41062500000000002</v>
      </c>
      <c r="E4951" s="1233">
        <f t="shared" ref="E4951:K4951" si="461">E4950/E4941</f>
        <v>0.40396851510292614</v>
      </c>
      <c r="F4951" s="1233">
        <f t="shared" si="461"/>
        <v>0.39291906051317571</v>
      </c>
      <c r="G4951" s="1233">
        <f t="shared" si="461"/>
        <v>0.41577095655975455</v>
      </c>
      <c r="H4951" s="1233">
        <f t="shared" si="461"/>
        <v>0.41500000000000004</v>
      </c>
      <c r="I4951" s="1233">
        <f t="shared" si="461"/>
        <v>0.41749999999999998</v>
      </c>
      <c r="J4951" s="1233">
        <f t="shared" si="461"/>
        <v>0.42</v>
      </c>
      <c r="K4951" s="1233">
        <f t="shared" si="461"/>
        <v>0.42249999999999988</v>
      </c>
      <c r="L4951" s="464"/>
    </row>
    <row r="4953" spans="2:12">
      <c r="B4953" s="1226" t="s">
        <v>1453</v>
      </c>
      <c r="C4953" s="1231"/>
      <c r="D4953" s="1232">
        <f>D4947</f>
        <v>200</v>
      </c>
      <c r="E4953" s="1232">
        <f t="shared" ref="E4953:K4953" si="462">E4947</f>
        <v>202.299375</v>
      </c>
      <c r="F4953" s="1232">
        <f t="shared" si="462"/>
        <v>195.55782499999998</v>
      </c>
      <c r="G4953" s="1232">
        <f t="shared" si="462"/>
        <v>200.37639999999999</v>
      </c>
      <c r="H4953" s="1232">
        <f t="shared" si="462"/>
        <v>206.54861020584417</v>
      </c>
      <c r="I4953" s="1232">
        <f t="shared" si="462"/>
        <v>209.4835792473576</v>
      </c>
      <c r="J4953" s="1232">
        <f t="shared" si="462"/>
        <v>212.46082421943402</v>
      </c>
      <c r="K4953" s="1232">
        <f t="shared" si="462"/>
        <v>215.48095998521484</v>
      </c>
    </row>
    <row r="4954" spans="2:12">
      <c r="B4954" s="463" t="s">
        <v>392</v>
      </c>
      <c r="D4954" s="454">
        <f>D4944-D4953</f>
        <v>657</v>
      </c>
      <c r="E4954" s="454">
        <f t="shared" ref="E4954:K4954" si="463">E4944-E4953</f>
        <v>653.7806250000001</v>
      </c>
      <c r="F4954" s="454">
        <f t="shared" si="463"/>
        <v>614.70717500000012</v>
      </c>
      <c r="G4954" s="454">
        <f t="shared" si="463"/>
        <v>666.4855</v>
      </c>
      <c r="H4954" s="454">
        <f t="shared" si="463"/>
        <v>685.7413858834027</v>
      </c>
      <c r="I4954" s="454">
        <f t="shared" si="463"/>
        <v>699.67515468617432</v>
      </c>
      <c r="J4954" s="454">
        <f t="shared" si="463"/>
        <v>713.86836937729822</v>
      </c>
      <c r="K4954" s="454">
        <f t="shared" si="463"/>
        <v>728.32564475002596</v>
      </c>
    </row>
    <row r="4955" spans="2:12">
      <c r="B4955" s="1231"/>
      <c r="C4955" s="1231"/>
      <c r="D4955" s="1231"/>
      <c r="E4955" s="1231"/>
      <c r="F4955" s="1231"/>
      <c r="G4955" s="1231"/>
      <c r="H4955" s="1231"/>
      <c r="I4955" s="1231"/>
      <c r="J4955" s="1231"/>
      <c r="K4955" s="1231"/>
    </row>
    <row r="4956" spans="2:12">
      <c r="B4956" t="s">
        <v>1848</v>
      </c>
      <c r="D4956" s="454">
        <f>D4957*D4969</f>
        <v>29.400000000000002</v>
      </c>
      <c r="E4956" s="454">
        <f>E4957*D4969</f>
        <v>29.400000000000002</v>
      </c>
      <c r="F4956" s="454">
        <f t="shared" ref="F4956:K4956" si="464">F4957*E4969</f>
        <v>33.579826437499996</v>
      </c>
      <c r="G4956" s="454">
        <f t="shared" si="464"/>
        <v>5.3579454906249797</v>
      </c>
      <c r="H4956" s="454">
        <f t="shared" si="464"/>
        <v>-28.157006645031281</v>
      </c>
      <c r="I4956" s="454">
        <f t="shared" si="464"/>
        <v>-64.972747651909387</v>
      </c>
      <c r="J4956" s="454">
        <f t="shared" si="464"/>
        <v>-105.15399681751857</v>
      </c>
      <c r="K4956" s="454">
        <f t="shared" si="464"/>
        <v>-148.95180794837782</v>
      </c>
    </row>
    <row r="4957" spans="2:12">
      <c r="B4957" s="1231" t="s">
        <v>7323</v>
      </c>
      <c r="C4957" s="1231"/>
      <c r="D4957" s="1233">
        <v>7.0000000000000007E-2</v>
      </c>
      <c r="E4957" s="1233">
        <f>D4957</f>
        <v>7.0000000000000007E-2</v>
      </c>
      <c r="F4957" s="1233">
        <f t="shared" ref="F4957:K4957" si="465">E4957</f>
        <v>7.0000000000000007E-2</v>
      </c>
      <c r="G4957" s="1233">
        <f t="shared" si="465"/>
        <v>7.0000000000000007E-2</v>
      </c>
      <c r="H4957" s="1233">
        <f t="shared" si="465"/>
        <v>7.0000000000000007E-2</v>
      </c>
      <c r="I4957" s="1233">
        <f t="shared" si="465"/>
        <v>7.0000000000000007E-2</v>
      </c>
      <c r="J4957" s="1233">
        <f t="shared" si="465"/>
        <v>7.0000000000000007E-2</v>
      </c>
      <c r="K4957" s="1233">
        <f t="shared" si="465"/>
        <v>7.0000000000000007E-2</v>
      </c>
    </row>
    <row r="4958" spans="2:12">
      <c r="B4958" t="s">
        <v>2097</v>
      </c>
      <c r="D4958" s="454">
        <f>D4954-D4956</f>
        <v>627.6</v>
      </c>
      <c r="E4958" s="454">
        <f t="shared" ref="E4958:J4958" si="466">E4954-E4956</f>
        <v>624.38062500000012</v>
      </c>
      <c r="F4958" s="454">
        <f t="shared" si="466"/>
        <v>581.12734856250017</v>
      </c>
      <c r="G4958" s="454">
        <f t="shared" si="466"/>
        <v>661.12755450937505</v>
      </c>
      <c r="H4958" s="454">
        <f t="shared" si="466"/>
        <v>713.89839252843399</v>
      </c>
      <c r="I4958" s="454">
        <f t="shared" si="466"/>
        <v>764.64790233808367</v>
      </c>
      <c r="J4958" s="454">
        <f t="shared" si="466"/>
        <v>819.02236619481675</v>
      </c>
      <c r="K4958" s="454">
        <f>K4954-K4956</f>
        <v>877.27745269840375</v>
      </c>
    </row>
    <row r="4959" spans="2:12">
      <c r="B4959" s="1231"/>
      <c r="C4959" s="1231"/>
      <c r="D4959" s="1231"/>
      <c r="E4959" s="1231"/>
      <c r="F4959" s="1231"/>
      <c r="G4959" s="1231"/>
      <c r="H4959" s="1231"/>
      <c r="I4959" s="1231"/>
      <c r="J4959" s="1231"/>
      <c r="K4959" s="1231"/>
    </row>
    <row r="4960" spans="2:12" ht="15.75" thickBot="1">
      <c r="B4960" s="463" t="s">
        <v>395</v>
      </c>
      <c r="D4960" s="454">
        <f>D4961*D4941</f>
        <v>112.00000000000001</v>
      </c>
      <c r="E4960" s="454">
        <f>E4961*E4941</f>
        <v>113.28765000000001</v>
      </c>
      <c r="F4960" s="454">
        <f t="shared" ref="F4960:K4960" si="467">F4961*F4941</f>
        <v>109.512382</v>
      </c>
      <c r="G4960" s="454">
        <f t="shared" si="467"/>
        <v>112.210784</v>
      </c>
      <c r="H4960" s="454">
        <f t="shared" si="467"/>
        <v>115.66722171527275</v>
      </c>
      <c r="I4960" s="454">
        <f t="shared" si="467"/>
        <v>117.31080437852026</v>
      </c>
      <c r="J4960" s="454">
        <f t="shared" si="467"/>
        <v>118.97806156288306</v>
      </c>
      <c r="K4960" s="454">
        <f t="shared" si="467"/>
        <v>206.86172158580624</v>
      </c>
    </row>
    <row r="4961" spans="2:11">
      <c r="B4961" s="1226" t="s">
        <v>2008</v>
      </c>
      <c r="C4961" s="1231"/>
      <c r="D4961" s="1233">
        <v>7.0000000000000007E-2</v>
      </c>
      <c r="E4961" s="1233">
        <f>D4961</f>
        <v>7.0000000000000007E-2</v>
      </c>
      <c r="F4961" s="1233">
        <f t="shared" ref="F4961:J4961" si="468">E4961</f>
        <v>7.0000000000000007E-2</v>
      </c>
      <c r="G4961" s="1233">
        <f t="shared" si="468"/>
        <v>7.0000000000000007E-2</v>
      </c>
      <c r="H4961" s="1233">
        <f t="shared" si="468"/>
        <v>7.0000000000000007E-2</v>
      </c>
      <c r="I4961" s="1233">
        <f t="shared" si="468"/>
        <v>7.0000000000000007E-2</v>
      </c>
      <c r="J4961" s="1233">
        <f t="shared" si="468"/>
        <v>7.0000000000000007E-2</v>
      </c>
      <c r="K4961" s="1236">
        <v>0.12</v>
      </c>
    </row>
    <row r="4962" spans="2:11" ht="15.75" thickBot="1">
      <c r="B4962" s="463" t="s">
        <v>7324</v>
      </c>
      <c r="D4962" s="449">
        <f>D4960/D4958</f>
        <v>0.17845761631612495</v>
      </c>
      <c r="E4962" s="449">
        <f t="shared" ref="E4962:K4962" si="469">E4960/E4958</f>
        <v>0.18144004708666286</v>
      </c>
      <c r="F4962" s="449">
        <f t="shared" si="469"/>
        <v>0.18844816419480895</v>
      </c>
      <c r="G4962" s="449">
        <f t="shared" si="469"/>
        <v>0.16972637615032093</v>
      </c>
      <c r="H4962" s="449">
        <f t="shared" si="469"/>
        <v>0.16202196688748788</v>
      </c>
      <c r="I4962" s="449">
        <f t="shared" si="469"/>
        <v>0.1534180686559343</v>
      </c>
      <c r="J4962" s="449">
        <f t="shared" si="469"/>
        <v>0.14526839128417934</v>
      </c>
      <c r="K4962" s="1237">
        <f t="shared" si="469"/>
        <v>0.23579965602617914</v>
      </c>
    </row>
    <row r="4963" spans="2:11">
      <c r="B4963" s="1231"/>
      <c r="C4963" s="1231"/>
      <c r="D4963" s="1231"/>
      <c r="E4963" s="1231"/>
      <c r="F4963" s="1231"/>
      <c r="G4963" s="1231"/>
      <c r="H4963" s="1231"/>
      <c r="I4963" s="1231"/>
      <c r="J4963" s="1231"/>
      <c r="K4963" s="1231"/>
    </row>
    <row r="4964" spans="2:11">
      <c r="B4964" s="463" t="s">
        <v>7044</v>
      </c>
      <c r="D4964">
        <v>70</v>
      </c>
      <c r="E4964" s="454">
        <f>D4964*(1+E4942)</f>
        <v>70.804781249999991</v>
      </c>
      <c r="F4964" s="454">
        <f t="shared" ref="F4964:K4964" si="470">E4964*(1+F4942)</f>
        <v>68.445238749999987</v>
      </c>
      <c r="G4964" s="454">
        <f t="shared" si="470"/>
        <v>70.131739999999994</v>
      </c>
      <c r="H4964" s="454">
        <f t="shared" si="470"/>
        <v>72.292013572045462</v>
      </c>
      <c r="I4964" s="454">
        <f t="shared" si="470"/>
        <v>73.319252736575152</v>
      </c>
      <c r="J4964" s="454">
        <f t="shared" si="470"/>
        <v>74.361288476801889</v>
      </c>
      <c r="K4964" s="454">
        <f t="shared" si="470"/>
        <v>75.418335994825171</v>
      </c>
    </row>
    <row r="4965" spans="2:11">
      <c r="B4965" s="1231"/>
      <c r="C4965" s="1231"/>
      <c r="D4965" s="1231"/>
      <c r="E4965" s="1231"/>
      <c r="F4965" s="1231"/>
      <c r="G4965" s="1231"/>
      <c r="H4965" s="1231"/>
      <c r="I4965" s="1231"/>
      <c r="J4965" s="1231"/>
      <c r="K4965" s="1231"/>
    </row>
    <row r="4966" spans="2:11">
      <c r="B4966" s="463" t="s">
        <v>574</v>
      </c>
      <c r="D4966" s="464">
        <f>D4944-D4947-D4956-D4960-D4964</f>
        <v>445.6</v>
      </c>
      <c r="E4966" s="464">
        <f t="shared" ref="E4966:K4966" si="471">E4944-E4947-E4956-E4960-E4964</f>
        <v>440.28819375000012</v>
      </c>
      <c r="F4966" s="464">
        <f t="shared" si="471"/>
        <v>403.16972781250018</v>
      </c>
      <c r="G4966" s="464">
        <f t="shared" si="471"/>
        <v>478.78503050937508</v>
      </c>
      <c r="H4966" s="464">
        <f t="shared" si="471"/>
        <v>525.93915724111582</v>
      </c>
      <c r="I4966" s="464">
        <f t="shared" si="471"/>
        <v>574.01784522298817</v>
      </c>
      <c r="J4966" s="464">
        <f t="shared" si="471"/>
        <v>625.6830161551319</v>
      </c>
      <c r="K4966" s="464">
        <f t="shared" si="471"/>
        <v>594.99739511777238</v>
      </c>
    </row>
    <row r="4967" spans="2:11">
      <c r="B4967" s="1226" t="s">
        <v>538</v>
      </c>
      <c r="C4967" s="1231"/>
      <c r="D4967" s="1227"/>
      <c r="E4967" s="1227">
        <v>500</v>
      </c>
      <c r="F4967" s="1227">
        <v>750</v>
      </c>
      <c r="G4967" s="1227">
        <v>1000</v>
      </c>
      <c r="H4967" s="1227">
        <v>1000</v>
      </c>
      <c r="I4967" s="1227">
        <v>1000</v>
      </c>
      <c r="J4967" s="1227">
        <v>1000</v>
      </c>
      <c r="K4967" s="1227">
        <v>1000</v>
      </c>
    </row>
    <row r="4969" spans="2:11">
      <c r="B4969" s="1226" t="s">
        <v>150</v>
      </c>
      <c r="C4969" s="1231"/>
      <c r="D4969" s="1231">
        <v>420</v>
      </c>
      <c r="E4969" s="1227">
        <f>D4969-E4966+E4967</f>
        <v>479.71180624999988</v>
      </c>
      <c r="F4969" s="1227">
        <f t="shared" ref="F4969:K4969" si="472">E4969-F4966</f>
        <v>76.542078437499697</v>
      </c>
      <c r="G4969" s="1227">
        <f t="shared" si="472"/>
        <v>-402.24295207187538</v>
      </c>
      <c r="H4969" s="1227">
        <f t="shared" si="472"/>
        <v>-928.1821093129912</v>
      </c>
      <c r="I4969" s="1227">
        <f t="shared" si="472"/>
        <v>-1502.1999545359795</v>
      </c>
      <c r="J4969" s="1227">
        <f t="shared" si="472"/>
        <v>-2127.8829706911115</v>
      </c>
      <c r="K4969" s="1227">
        <f t="shared" si="472"/>
        <v>-2722.8803658088837</v>
      </c>
    </row>
    <row r="4970" spans="2:11">
      <c r="B4970" s="463" t="s">
        <v>3054</v>
      </c>
      <c r="D4970" s="999">
        <f>D4969/D4944</f>
        <v>0.49008168028004667</v>
      </c>
      <c r="E4970" s="999">
        <f t="shared" ref="E4970:K4970" si="473">E4969/E4944</f>
        <v>0.56035861864545355</v>
      </c>
      <c r="F4970" s="999">
        <f t="shared" si="473"/>
        <v>9.4465487757091432E-2</v>
      </c>
      <c r="G4970" s="999">
        <f t="shared" si="473"/>
        <v>-0.46402195329137824</v>
      </c>
      <c r="H4970" s="999">
        <f t="shared" si="473"/>
        <v>-1.0402247177274802</v>
      </c>
      <c r="I4970" s="999">
        <f t="shared" si="473"/>
        <v>-1.6522966765513187</v>
      </c>
      <c r="J4970" s="999">
        <f t="shared" si="473"/>
        <v>-2.2971131487597951</v>
      </c>
      <c r="K4970" s="999">
        <f t="shared" si="473"/>
        <v>-2.8849982105949699</v>
      </c>
    </row>
    <row r="4971" spans="2:11">
      <c r="B4971" s="1231"/>
      <c r="C4971" s="1231"/>
      <c r="D4971" s="1231"/>
      <c r="E4971" s="1231"/>
      <c r="F4971" s="1231"/>
      <c r="G4971" s="1231"/>
      <c r="H4971" s="1231"/>
      <c r="I4971" s="1231"/>
      <c r="J4971" s="1231"/>
      <c r="K4971" s="1231"/>
    </row>
    <row r="4972" spans="2:11">
      <c r="B4972" s="463" t="s">
        <v>1936</v>
      </c>
      <c r="D4972" s="464">
        <f t="shared" ref="D4972:K4972" si="474">D4950-D4960</f>
        <v>545</v>
      </c>
      <c r="E4972" s="464">
        <f t="shared" si="474"/>
        <v>540.49297500000011</v>
      </c>
      <c r="F4972" s="464">
        <f t="shared" si="474"/>
        <v>505.19479300000012</v>
      </c>
      <c r="G4972" s="464">
        <f t="shared" si="474"/>
        <v>554.27471600000001</v>
      </c>
      <c r="H4972" s="464">
        <f t="shared" si="474"/>
        <v>570.07416416812998</v>
      </c>
      <c r="I4972" s="464">
        <f t="shared" si="474"/>
        <v>582.36435030765404</v>
      </c>
      <c r="J4972" s="464">
        <f t="shared" si="474"/>
        <v>594.89030781441511</v>
      </c>
      <c r="K4972" s="464">
        <f t="shared" si="474"/>
        <v>521.46392316421975</v>
      </c>
    </row>
    <row r="4973" spans="2:11">
      <c r="B4973" s="463"/>
      <c r="D4973" s="464"/>
      <c r="E4973" s="464"/>
      <c r="F4973" s="464"/>
      <c r="G4973" s="464"/>
      <c r="H4973" s="464"/>
      <c r="I4973" s="464"/>
      <c r="J4973" s="464"/>
      <c r="K4973" s="464"/>
    </row>
    <row r="4974" spans="2:11">
      <c r="B4974" s="627" t="s">
        <v>507</v>
      </c>
    </row>
    <row r="4975" spans="2:11">
      <c r="B4975" s="1226" t="s">
        <v>7315</v>
      </c>
      <c r="C4975" s="1234">
        <v>0.11</v>
      </c>
    </row>
    <row r="4976" spans="2:11">
      <c r="B4976" s="463" t="s">
        <v>7316</v>
      </c>
      <c r="C4976" s="456">
        <v>6.8750000000000006E-2</v>
      </c>
    </row>
    <row r="4977" spans="2:5">
      <c r="B4977" s="1226" t="s">
        <v>1938</v>
      </c>
      <c r="C4977" s="1234">
        <f>(C4976*0.3)+(0.7*C4975)</f>
        <v>9.7625000000000003E-2</v>
      </c>
    </row>
    <row r="4979" spans="2:5">
      <c r="B4979" s="1226" t="s">
        <v>7317</v>
      </c>
      <c r="C4979" s="1227">
        <f>NPV(C4975,E4972:K4972)</f>
        <v>2592.5894731978124</v>
      </c>
    </row>
    <row r="4980" spans="2:5">
      <c r="B4980" s="463" t="s">
        <v>7318</v>
      </c>
      <c r="C4980" s="468">
        <f>1/(C4977-C4981)</f>
        <v>10.243277848911651</v>
      </c>
    </row>
    <row r="4981" spans="2:5">
      <c r="B4981" s="1226" t="s">
        <v>2016</v>
      </c>
      <c r="C4981" s="1233">
        <v>0</v>
      </c>
    </row>
    <row r="4982" spans="2:5">
      <c r="B4982" s="463" t="s">
        <v>7318</v>
      </c>
      <c r="C4982" s="464">
        <f>C4980*K4972</f>
        <v>5341.4998531546198</v>
      </c>
    </row>
    <row r="4983" spans="2:5">
      <c r="B4983" s="1226" t="s">
        <v>7319</v>
      </c>
      <c r="C4983" s="1227">
        <f>C4982/(1+C4977)^7</f>
        <v>2782.8211130692762</v>
      </c>
    </row>
    <row r="4984" spans="2:5">
      <c r="B4984" s="463" t="s">
        <v>245</v>
      </c>
      <c r="C4984" s="464">
        <f>C4979+C4983</f>
        <v>5375.4105862670885</v>
      </c>
    </row>
    <row r="4985" spans="2:5">
      <c r="B4985" s="1226" t="s">
        <v>7336</v>
      </c>
      <c r="C4985" s="1227">
        <f>E4944</f>
        <v>856.08</v>
      </c>
      <c r="E4985" s="468"/>
    </row>
    <row r="4986" spans="2:5">
      <c r="B4986" s="463" t="s">
        <v>1243</v>
      </c>
      <c r="C4986" s="468">
        <f>C4984/C4985</f>
        <v>6.2790984327014865</v>
      </c>
      <c r="E4986" s="468"/>
    </row>
    <row r="4987" spans="2:5">
      <c r="B4987" s="1226" t="s">
        <v>1381</v>
      </c>
      <c r="C4987" s="1231">
        <v>420</v>
      </c>
    </row>
    <row r="4988" spans="2:5">
      <c r="B4988" s="463" t="s">
        <v>109</v>
      </c>
      <c r="C4988" s="464">
        <f>C4984-C4987</f>
        <v>4955.4105862670885</v>
      </c>
    </row>
    <row r="4989" spans="2:5">
      <c r="B4989" s="1231"/>
      <c r="C4989" s="1231"/>
    </row>
    <row r="4990" spans="2:5">
      <c r="B4990" s="463" t="s">
        <v>7320</v>
      </c>
      <c r="C4990" s="464">
        <f>0.45*C4988</f>
        <v>2229.9347638201898</v>
      </c>
    </row>
    <row r="4991" spans="2:5">
      <c r="B4991" s="1226" t="s">
        <v>5598</v>
      </c>
      <c r="C4991" s="1227">
        <v>2200</v>
      </c>
    </row>
    <row r="4992" spans="2:5" ht="15.75" thickBot="1">
      <c r="B4992" s="463" t="s">
        <v>7321</v>
      </c>
      <c r="C4992" s="464">
        <f>C4990-C4991</f>
        <v>29.934763820189801</v>
      </c>
    </row>
    <row r="4993" spans="2:4" ht="15.75" thickBot="1">
      <c r="B4993" s="1238" t="s">
        <v>7322</v>
      </c>
      <c r="C4993" s="1239">
        <f>C4992/Valuation!K7</f>
        <v>0.30372122382497774</v>
      </c>
    </row>
    <row r="4995" spans="2:4">
      <c r="B4995" s="463" t="s">
        <v>7337</v>
      </c>
      <c r="C4995" s="464">
        <f>SOP!I15-C4984</f>
        <v>4077.8490631544</v>
      </c>
    </row>
    <row r="4996" spans="2:4">
      <c r="B4996" s="463" t="s">
        <v>7338</v>
      </c>
      <c r="C4996" s="454">
        <f>'New split'!L285-'New split'!L274</f>
        <v>412.39149999999984</v>
      </c>
    </row>
    <row r="4997" spans="2:4">
      <c r="B4997" s="463" t="s">
        <v>1243</v>
      </c>
      <c r="C4997" s="468">
        <f>C4995/C4996</f>
        <v>9.8882956199494938</v>
      </c>
    </row>
    <row r="4999" spans="2:4">
      <c r="B4999" s="499" t="s">
        <v>4061</v>
      </c>
      <c r="D4999" s="599" t="s">
        <v>5960</v>
      </c>
    </row>
    <row r="5000" spans="2:4">
      <c r="B5000" s="498">
        <v>850</v>
      </c>
      <c r="C5000" s="1221" t="s">
        <v>7325</v>
      </c>
      <c r="D5000" s="454">
        <f>48</f>
        <v>48</v>
      </c>
    </row>
    <row r="5001" spans="2:4">
      <c r="B5001" s="498">
        <v>2600</v>
      </c>
      <c r="C5001" s="1221" t="s">
        <v>7326</v>
      </c>
      <c r="D5001" s="454">
        <v>20</v>
      </c>
    </row>
    <row r="5002" spans="2:4">
      <c r="B5002" s="498">
        <v>2600</v>
      </c>
      <c r="C5002" s="1221" t="s">
        <v>7327</v>
      </c>
      <c r="D5002" s="454">
        <v>25</v>
      </c>
    </row>
    <row r="5003" spans="2:4">
      <c r="B5003" s="1115">
        <v>2600</v>
      </c>
      <c r="C5003" s="1222" t="s">
        <v>7328</v>
      </c>
      <c r="D5003" s="462">
        <v>3.3</v>
      </c>
    </row>
    <row r="5004" spans="2:4">
      <c r="B5004" s="463" t="s">
        <v>2324</v>
      </c>
      <c r="D5004" s="454">
        <f>SUM(D5000:D5003)</f>
        <v>96.3</v>
      </c>
    </row>
    <row r="5006" spans="2:4">
      <c r="B5006" s="499" t="str">
        <f>B4999</f>
        <v>Spectrum</v>
      </c>
      <c r="D5006" s="599" t="s">
        <v>955</v>
      </c>
    </row>
    <row r="5007" spans="2:4">
      <c r="B5007" s="498">
        <v>900</v>
      </c>
      <c r="D5007">
        <v>12</v>
      </c>
    </row>
    <row r="5008" spans="2:4">
      <c r="B5008" s="498">
        <v>1900</v>
      </c>
      <c r="D5008">
        <v>120</v>
      </c>
    </row>
    <row r="5009" spans="2:16">
      <c r="B5009" s="1115">
        <v>3.5</v>
      </c>
      <c r="C5009" s="455"/>
      <c r="D5009" s="455">
        <v>175</v>
      </c>
    </row>
    <row r="5010" spans="2:16">
      <c r="B5010" s="463" t="s">
        <v>2324</v>
      </c>
      <c r="D5010">
        <f>SUM(D5007:D5009)</f>
        <v>307</v>
      </c>
    </row>
    <row r="5012" spans="2:16">
      <c r="C5012">
        <v>2008</v>
      </c>
      <c r="D5012">
        <f t="shared" ref="D5012:P5012" si="475">C5012+1</f>
        <v>2009</v>
      </c>
      <c r="E5012">
        <f t="shared" si="475"/>
        <v>2010</v>
      </c>
      <c r="F5012">
        <f t="shared" si="475"/>
        <v>2011</v>
      </c>
      <c r="G5012">
        <f t="shared" si="475"/>
        <v>2012</v>
      </c>
      <c r="H5012">
        <f t="shared" si="475"/>
        <v>2013</v>
      </c>
      <c r="I5012">
        <f t="shared" si="475"/>
        <v>2014</v>
      </c>
      <c r="J5012">
        <f t="shared" si="475"/>
        <v>2015</v>
      </c>
      <c r="K5012">
        <f t="shared" si="475"/>
        <v>2016</v>
      </c>
      <c r="L5012">
        <f t="shared" si="475"/>
        <v>2017</v>
      </c>
      <c r="M5012">
        <f t="shared" si="475"/>
        <v>2018</v>
      </c>
      <c r="N5012">
        <f t="shared" si="475"/>
        <v>2019</v>
      </c>
      <c r="O5012">
        <f t="shared" si="475"/>
        <v>2020</v>
      </c>
      <c r="P5012">
        <f t="shared" si="475"/>
        <v>2021</v>
      </c>
    </row>
    <row r="5013" spans="2:16">
      <c r="B5013" s="463" t="s">
        <v>7350</v>
      </c>
      <c r="C5013" s="454">
        <f>CA!I105</f>
        <v>0</v>
      </c>
      <c r="D5013" s="454">
        <f>CA!J105</f>
        <v>0</v>
      </c>
      <c r="E5013" s="454">
        <f>CA!K105</f>
        <v>1038.181818181818</v>
      </c>
      <c r="F5013" s="454">
        <f>CA!L105</f>
        <v>1098.181818181818</v>
      </c>
      <c r="G5013" s="454">
        <f>CA!M105</f>
        <v>1129.090909090909</v>
      </c>
      <c r="H5013" s="454">
        <f>CA!N105</f>
        <v>1167</v>
      </c>
      <c r="I5013" s="454">
        <f>'New split'!D6</f>
        <v>1247.4242159372479</v>
      </c>
      <c r="J5013" s="454">
        <f>'New split'!E6</f>
        <v>1305.7050205101259</v>
      </c>
      <c r="K5013" s="454">
        <f>'New split'!F6</f>
        <v>1284.437421103871</v>
      </c>
      <c r="L5013" s="454">
        <f>'New split'!G6</f>
        <v>1327</v>
      </c>
      <c r="M5013" s="454">
        <f>'New split'!H6</f>
        <v>1373</v>
      </c>
      <c r="N5013" s="454">
        <f>'New split'!I6</f>
        <v>1435</v>
      </c>
      <c r="O5013" s="454">
        <f>'New split'!J6</f>
        <v>1503</v>
      </c>
      <c r="P5013" s="454">
        <f>'New split'!K6</f>
        <v>1600</v>
      </c>
    </row>
    <row r="5014" spans="2:16">
      <c r="B5014" s="463" t="s">
        <v>7351</v>
      </c>
      <c r="C5014" s="454"/>
      <c r="D5014" s="454"/>
      <c r="E5014" s="454">
        <f>E5013</f>
        <v>1038.181818181818</v>
      </c>
      <c r="F5014" s="454">
        <f>F5017/$E5017*$E5014</f>
        <v>1075.2519463492786</v>
      </c>
      <c r="G5014" s="454">
        <f t="shared" ref="G5014:P5014" si="476">G5017/$E5017*$E5014</f>
        <v>1097.9520576451116</v>
      </c>
      <c r="H5014" s="454">
        <f t="shared" si="476"/>
        <v>1110.9942870673608</v>
      </c>
      <c r="I5014" s="454">
        <f t="shared" si="476"/>
        <v>1052.9644441368755</v>
      </c>
      <c r="J5014" s="454">
        <f t="shared" si="476"/>
        <v>845.92540683700781</v>
      </c>
      <c r="K5014" s="454">
        <f t="shared" si="476"/>
        <v>654.01755089079938</v>
      </c>
      <c r="L5014" s="454">
        <f t="shared" si="476"/>
        <v>680.56900225289428</v>
      </c>
      <c r="M5014" s="454">
        <f t="shared" si="476"/>
        <v>686.38399275525194</v>
      </c>
      <c r="N5014" s="454">
        <f t="shared" si="476"/>
        <v>732.58003788502538</v>
      </c>
      <c r="O5014" s="454">
        <f t="shared" si="476"/>
        <v>678.60686567672565</v>
      </c>
      <c r="P5014" s="454">
        <f t="shared" si="476"/>
        <v>754.45417832046166</v>
      </c>
    </row>
    <row r="5015" spans="2:16">
      <c r="B5015" s="463" t="s">
        <v>7352</v>
      </c>
      <c r="C5015" s="454"/>
      <c r="D5015" s="454"/>
      <c r="E5015" s="454">
        <f>E5013</f>
        <v>1038.181818181818</v>
      </c>
      <c r="F5015" s="454">
        <f>F5018/$E5018*$E5015</f>
        <v>1290.6780240400526</v>
      </c>
      <c r="G5015" s="454">
        <f t="shared" ref="G5015:P5015" si="477">G5018/$E5018*$E5015</f>
        <v>1168.5338568811364</v>
      </c>
      <c r="H5015" s="454">
        <f t="shared" si="477"/>
        <v>1062.9031196601038</v>
      </c>
      <c r="I5015" s="454">
        <f t="shared" si="477"/>
        <v>945.01483429451002</v>
      </c>
      <c r="J5015" s="454">
        <f t="shared" si="477"/>
        <v>664.67604464917144</v>
      </c>
      <c r="K5015" s="454">
        <f t="shared" si="477"/>
        <v>622.4171475087644</v>
      </c>
      <c r="L5015" s="454">
        <f t="shared" si="477"/>
        <v>688.53825741735909</v>
      </c>
      <c r="M5015" s="454">
        <f t="shared" si="477"/>
        <v>603.63511157849791</v>
      </c>
      <c r="N5015" s="454">
        <f t="shared" si="477"/>
        <v>617.9321448438892</v>
      </c>
      <c r="O5015" s="454">
        <f t="shared" si="477"/>
        <v>587.14639839675328</v>
      </c>
      <c r="P5015" s="454">
        <f t="shared" si="477"/>
        <v>469.902612403614</v>
      </c>
    </row>
    <row r="5016" spans="2:16">
      <c r="B5016" s="463"/>
      <c r="C5016" s="454"/>
      <c r="D5016" s="454"/>
      <c r="E5016" s="454"/>
      <c r="F5016" s="454"/>
      <c r="G5016" s="454"/>
      <c r="H5016" s="454"/>
      <c r="I5016" s="454"/>
      <c r="J5016" s="454"/>
      <c r="K5016" s="454"/>
      <c r="L5016" s="454"/>
      <c r="M5016" s="454"/>
      <c r="N5016" s="454"/>
      <c r="O5016" s="454"/>
      <c r="P5016" s="454"/>
    </row>
    <row r="5017" spans="2:16">
      <c r="B5017" s="463" t="s">
        <v>2035</v>
      </c>
      <c r="E5017" s="454">
        <v>14874.716711978064</v>
      </c>
      <c r="F5017" s="454">
        <v>15405.844926045018</v>
      </c>
      <c r="G5017" s="454">
        <v>15731.084415836156</v>
      </c>
      <c r="H5017" s="454">
        <v>15917.949052213951</v>
      </c>
      <c r="I5017" s="454">
        <v>15086.517159153787</v>
      </c>
      <c r="J5017" s="454">
        <v>12120.13210576341</v>
      </c>
      <c r="K5017" s="454">
        <v>9370.5414829934962</v>
      </c>
      <c r="L5017" s="454">
        <v>9750.9616660349402</v>
      </c>
      <c r="M5017" s="454">
        <v>9834.2768762327996</v>
      </c>
      <c r="N5017" s="454">
        <v>10496.158131023558</v>
      </c>
      <c r="O5017" s="454">
        <v>9722.8488391585906</v>
      </c>
      <c r="P5017" s="454">
        <v>10809.563390677369</v>
      </c>
    </row>
    <row r="5018" spans="2:16">
      <c r="B5018" s="463" t="s">
        <v>62</v>
      </c>
      <c r="E5018" s="454">
        <v>30328.060666739228</v>
      </c>
      <c r="F5018" s="454">
        <v>37704.148472631532</v>
      </c>
      <c r="G5018" s="454">
        <v>34135.991482393059</v>
      </c>
      <c r="H5018" s="454">
        <v>31050.235836698615</v>
      </c>
      <c r="I5018" s="454">
        <v>27606.404507878866</v>
      </c>
      <c r="J5018" s="454">
        <v>19416.960548540439</v>
      </c>
      <c r="K5018" s="454">
        <v>18182.465420867818</v>
      </c>
      <c r="L5018" s="454">
        <v>20114.039445321399</v>
      </c>
      <c r="M5018" s="454">
        <v>17633.79204288901</v>
      </c>
      <c r="N5018" s="454">
        <v>18051.446527521141</v>
      </c>
      <c r="O5018" s="454">
        <v>17152.112740733446</v>
      </c>
      <c r="P5018" s="454">
        <v>13727.108958038234</v>
      </c>
    </row>
    <row r="5044" spans="2:4">
      <c r="B5044" s="463" t="s">
        <v>7339</v>
      </c>
      <c r="C5044">
        <v>2022</v>
      </c>
    </row>
    <row r="5046" spans="2:4">
      <c r="B5046" t="str">
        <f>'New split'!C274</f>
        <v>Guatemala</v>
      </c>
      <c r="C5046" s="454">
        <f>'New split'!L274</f>
        <v>856.08</v>
      </c>
      <c r="D5046" s="449">
        <f t="shared" ref="D5046:D5054" si="478">C5046/C$5056</f>
        <v>0.36081092939160064</v>
      </c>
    </row>
    <row r="5047" spans="2:4">
      <c r="B5047" t="str">
        <f>'New split'!C287</f>
        <v>Bolivia</v>
      </c>
      <c r="C5047" s="454">
        <f>'New split'!L287</f>
        <v>241.59</v>
      </c>
      <c r="D5047" s="449">
        <f t="shared" si="478"/>
        <v>0.10182262455812167</v>
      </c>
    </row>
    <row r="5048" spans="2:4">
      <c r="B5048" t="str">
        <f>'New split'!C289</f>
        <v>Paraguay</v>
      </c>
      <c r="C5048" s="454">
        <f>'New split'!L289</f>
        <v>245.07</v>
      </c>
      <c r="D5048" s="449">
        <f t="shared" si="478"/>
        <v>0.10328933565320947</v>
      </c>
    </row>
    <row r="5049" spans="2:4">
      <c r="B5049" t="str">
        <f>'New split'!C288</f>
        <v>Colombia</v>
      </c>
      <c r="C5049" s="454">
        <f>'New split'!L288*0.5</f>
        <v>201.54500000000002</v>
      </c>
      <c r="D5049" s="449">
        <f t="shared" si="478"/>
        <v>8.4944910246974759E-2</v>
      </c>
    </row>
    <row r="5050" spans="2:4">
      <c r="B5050" s="463" t="s">
        <v>2032</v>
      </c>
      <c r="C5050" s="454">
        <f>'New split'!L279*0.8+'New split'!L281*0.8</f>
        <v>324.73840000000001</v>
      </c>
      <c r="D5050" s="449">
        <f t="shared" si="478"/>
        <v>0.13686707306927082</v>
      </c>
    </row>
    <row r="5051" spans="2:4">
      <c r="B5051" t="str">
        <f>'New split'!C275</f>
        <v>Honduras (JV)</v>
      </c>
      <c r="C5051" s="454">
        <f>'New split'!L275*0.66</f>
        <v>172.81440000000003</v>
      </c>
      <c r="D5051" s="449">
        <f t="shared" si="478"/>
        <v>7.2835861457167375E-2</v>
      </c>
    </row>
    <row r="5052" spans="2:4">
      <c r="B5052" t="str">
        <f>'New split'!C273</f>
        <v>El Salvador</v>
      </c>
      <c r="C5052" s="454">
        <f>'New split'!L273</f>
        <v>175.8176</v>
      </c>
      <c r="D5052" s="449">
        <f t="shared" si="478"/>
        <v>7.4101616273479914E-2</v>
      </c>
    </row>
    <row r="5053" spans="2:4">
      <c r="B5053" s="463" t="s">
        <v>7340</v>
      </c>
      <c r="C5053" s="454">
        <f>'New split'!L280</f>
        <v>83.1</v>
      </c>
      <c r="D5053" s="449">
        <f t="shared" si="478"/>
        <v>3.5024049425803679E-2</v>
      </c>
    </row>
    <row r="5054" spans="2:4">
      <c r="B5054" t="str">
        <f>'New split'!C283</f>
        <v>Nicaragua wireless</v>
      </c>
      <c r="C5054" s="454">
        <f>'New split'!L283</f>
        <v>71.900000000000006</v>
      </c>
      <c r="D5054" s="449">
        <f t="shared" si="478"/>
        <v>3.0303599924371656E-2</v>
      </c>
    </row>
    <row r="5055" spans="2:4">
      <c r="B5055" s="463"/>
      <c r="C5055" s="454"/>
      <c r="D5055" s="449"/>
    </row>
    <row r="5056" spans="2:4">
      <c r="C5056" s="454">
        <f>SUM(C5046:C5055)</f>
        <v>2372.6554000000001</v>
      </c>
    </row>
    <row r="5057" spans="2:7">
      <c r="C5057" s="454"/>
    </row>
    <row r="5058" spans="2:7">
      <c r="D5058" s="449">
        <f>D5054+D5050+D5047+D5051+D5046</f>
        <v>0.70264008840053216</v>
      </c>
    </row>
    <row r="5061" spans="2:7">
      <c r="C5061" s="454"/>
    </row>
    <row r="5062" spans="2:7">
      <c r="C5062" s="454"/>
    </row>
    <row r="5063" spans="2:7">
      <c r="C5063" s="454"/>
    </row>
    <row r="5064" spans="2:7">
      <c r="C5064" s="454"/>
    </row>
    <row r="5065" spans="2:7">
      <c r="C5065" s="454"/>
    </row>
    <row r="5066" spans="2:7">
      <c r="C5066" s="454"/>
    </row>
    <row r="5067" spans="2:7">
      <c r="C5067" s="454"/>
    </row>
    <row r="5072" spans="2:7">
      <c r="B5072" s="1240" t="s">
        <v>5529</v>
      </c>
      <c r="C5072" s="1241" t="s">
        <v>7359</v>
      </c>
      <c r="D5072" s="1241" t="s">
        <v>7360</v>
      </c>
      <c r="G5072" s="463" t="s">
        <v>8849</v>
      </c>
    </row>
    <row r="5073" spans="2:8">
      <c r="B5073" s="1242" t="s">
        <v>7353</v>
      </c>
      <c r="C5073" s="1244">
        <v>7000</v>
      </c>
      <c r="D5073" s="1244">
        <v>3242</v>
      </c>
    </row>
    <row r="5074" spans="2:8">
      <c r="B5074" s="1242" t="s">
        <v>7354</v>
      </c>
      <c r="C5074" s="1243">
        <f>C5075*1000000/C5073</f>
        <v>139285.71428571429</v>
      </c>
      <c r="D5074" s="1244">
        <v>238900</v>
      </c>
      <c r="G5074" s="463" t="s">
        <v>360</v>
      </c>
      <c r="H5074" s="454">
        <f ca="1">Master!AA19</f>
        <v>326.64580000000024</v>
      </c>
    </row>
    <row r="5075" spans="2:8" ht="15.75" thickBot="1">
      <c r="B5075" s="1242" t="s">
        <v>7357</v>
      </c>
      <c r="C5075" s="1244">
        <v>975</v>
      </c>
      <c r="D5075" s="1243">
        <v>775</v>
      </c>
      <c r="G5075" s="463" t="s">
        <v>8850</v>
      </c>
      <c r="H5075" s="454">
        <f>Master!AA434</f>
        <v>954</v>
      </c>
    </row>
    <row r="5076" spans="2:8" ht="15.75" thickBot="1">
      <c r="B5076" s="1242" t="s">
        <v>7355</v>
      </c>
      <c r="C5076" s="1750">
        <f>C5075/C5077</f>
        <v>10.372340425531915</v>
      </c>
      <c r="D5076" s="1251">
        <v>22</v>
      </c>
      <c r="G5076" s="463" t="s">
        <v>2206</v>
      </c>
      <c r="H5076" s="468">
        <f ca="1">H5075/H5074</f>
        <v>2.9205947237037773</v>
      </c>
    </row>
    <row r="5077" spans="2:8">
      <c r="B5077" s="1242" t="s">
        <v>7356</v>
      </c>
      <c r="C5077" s="1243">
        <f>C5107</f>
        <v>94</v>
      </c>
      <c r="D5077" s="1243">
        <f>D5075/D5076</f>
        <v>35.227272727272727</v>
      </c>
    </row>
    <row r="5078" spans="2:8">
      <c r="B5078" s="1242" t="s">
        <v>3055</v>
      </c>
      <c r="C5078" s="1583">
        <f ca="1">H5076</f>
        <v>2.9205947237037773</v>
      </c>
      <c r="D5078" s="1243"/>
    </row>
    <row r="5079" spans="2:8">
      <c r="B5079" s="1242" t="s">
        <v>3928</v>
      </c>
      <c r="C5079" s="1243">
        <f ca="1">C5077*C5078</f>
        <v>274.53590402815507</v>
      </c>
      <c r="D5079" s="1243"/>
    </row>
    <row r="5080" spans="2:8">
      <c r="B5080" s="1242" t="s">
        <v>8851</v>
      </c>
      <c r="C5080" s="1243">
        <f ca="1">C5075-C5079</f>
        <v>700.46409597184493</v>
      </c>
      <c r="G5080" s="1584">
        <f ca="1">C5080/SOP!I35</f>
        <v>4.2104560267117384</v>
      </c>
    </row>
    <row r="5081" spans="2:8">
      <c r="B5081" s="1242"/>
      <c r="C5081" s="1243"/>
      <c r="D5081" s="1243"/>
    </row>
    <row r="5082" spans="2:8">
      <c r="B5082" s="1242"/>
      <c r="C5082" s="1245"/>
      <c r="D5082" s="1245"/>
    </row>
    <row r="5083" spans="2:8">
      <c r="B5083" s="1246" t="s">
        <v>8848</v>
      </c>
      <c r="C5083" s="1245"/>
      <c r="D5083" s="1245"/>
    </row>
    <row r="5084" spans="2:8">
      <c r="B5084" s="1242" t="s">
        <v>8852</v>
      </c>
      <c r="C5084" s="1247">
        <f ca="1">Valuation!O16-Master!AB434</f>
        <v>4433.9932365614623</v>
      </c>
      <c r="D5084" s="1245"/>
    </row>
    <row r="5085" spans="2:8" ht="15.75" thickBot="1">
      <c r="B5085" s="1242" t="s">
        <v>7865</v>
      </c>
      <c r="C5085" s="1247">
        <f ca="1">Master!AB22</f>
        <v>2022.3750399146707</v>
      </c>
      <c r="D5085" s="1245"/>
    </row>
    <row r="5086" spans="2:8" ht="15.75" thickBot="1">
      <c r="B5086" s="1248" t="s">
        <v>3055</v>
      </c>
      <c r="C5086" s="1249">
        <f ca="1">C5084/C5085</f>
        <v>2.1924683350267933</v>
      </c>
      <c r="D5086" s="1245"/>
    </row>
    <row r="5087" spans="2:8">
      <c r="B5087" s="1242"/>
      <c r="C5087" s="1242"/>
      <c r="D5087" s="1245"/>
    </row>
    <row r="5088" spans="2:8">
      <c r="B5088" s="1246" t="s">
        <v>7358</v>
      </c>
      <c r="C5088" s="1250"/>
      <c r="D5088" s="1245"/>
    </row>
    <row r="5089" spans="2:4">
      <c r="B5089" s="1242" t="str">
        <f>B5084</f>
        <v>Net debt 2024 (IAS 17)</v>
      </c>
      <c r="C5089" s="1247">
        <f ca="1">C5084-C5075</f>
        <v>3458.9932365614623</v>
      </c>
      <c r="D5089" s="1245"/>
    </row>
    <row r="5090" spans="2:4" ht="15.75" thickBot="1">
      <c r="B5090" s="1242" t="str">
        <f>B5085</f>
        <v>EBITDAaL</v>
      </c>
      <c r="C5090" s="1247">
        <f ca="1">C5085-C5077</f>
        <v>1928.3750399146707</v>
      </c>
      <c r="D5090" s="1245"/>
    </row>
    <row r="5091" spans="2:4" ht="15.75" thickBot="1">
      <c r="B5091" s="1248" t="str">
        <f>B5086</f>
        <v>Net debt to EBITDA</v>
      </c>
      <c r="C5091" s="1249">
        <f ca="1">C5089/C5090</f>
        <v>1.7937347066650067</v>
      </c>
      <c r="D5091" s="1245"/>
    </row>
    <row r="5092" spans="2:4">
      <c r="C5092" s="1748">
        <f ca="1">C5086-C5091</f>
        <v>0.39873362836178661</v>
      </c>
    </row>
    <row r="5094" spans="2:4">
      <c r="B5094" t="s">
        <v>758</v>
      </c>
      <c r="C5094">
        <v>129</v>
      </c>
    </row>
    <row r="5095" spans="2:4">
      <c r="B5095" t="s">
        <v>360</v>
      </c>
    </row>
    <row r="5097" spans="2:4">
      <c r="B5097" t="s">
        <v>9012</v>
      </c>
      <c r="C5097">
        <v>89</v>
      </c>
    </row>
    <row r="5098" spans="2:4">
      <c r="B5098" t="s">
        <v>7323</v>
      </c>
      <c r="C5098" s="449">
        <f>C5097/C5094</f>
        <v>0.68992248062015504</v>
      </c>
    </row>
    <row r="5099" spans="2:4">
      <c r="B5099" t="s">
        <v>9013</v>
      </c>
      <c r="C5099" s="1749">
        <f>C5075/C5097</f>
        <v>10.955056179775282</v>
      </c>
    </row>
    <row r="5101" spans="2:4">
      <c r="B5101" t="s">
        <v>9014</v>
      </c>
      <c r="C5101">
        <v>129</v>
      </c>
    </row>
    <row r="5102" spans="2:4">
      <c r="B5102" t="s">
        <v>9016</v>
      </c>
      <c r="C5102">
        <v>15</v>
      </c>
    </row>
    <row r="5103" spans="2:4">
      <c r="B5103" t="s">
        <v>9017</v>
      </c>
      <c r="C5103">
        <v>5</v>
      </c>
    </row>
    <row r="5104" spans="2:4">
      <c r="B5104" s="1739" t="s">
        <v>9015</v>
      </c>
      <c r="C5104" s="1739">
        <v>20</v>
      </c>
    </row>
    <row r="5105" spans="2:3">
      <c r="B5105" t="s">
        <v>9012</v>
      </c>
      <c r="C5105">
        <f>C5097</f>
        <v>89</v>
      </c>
    </row>
    <row r="5107" spans="2:3">
      <c r="B5107" t="s">
        <v>9018</v>
      </c>
      <c r="C5107">
        <f>C5101-C5102-C5104</f>
        <v>94</v>
      </c>
    </row>
    <row r="5108" spans="2:3">
      <c r="B5108" t="s">
        <v>1434</v>
      </c>
      <c r="C5108" s="449">
        <f>C5107/C5101</f>
        <v>0.72868217054263562</v>
      </c>
    </row>
    <row r="5110" spans="2:3">
      <c r="B5110" t="s">
        <v>9019</v>
      </c>
      <c r="C5110">
        <f>C5107+C5104</f>
        <v>114</v>
      </c>
    </row>
    <row r="5111" spans="2:3">
      <c r="B5111" t="s">
        <v>1434</v>
      </c>
      <c r="C5111" s="449">
        <f>C5110/C5094</f>
        <v>0.88372093023255816</v>
      </c>
    </row>
    <row r="5114" spans="2:3">
      <c r="B5114" t="s">
        <v>2379</v>
      </c>
    </row>
    <row r="5116" spans="2:3">
      <c r="B5116" t="s">
        <v>360</v>
      </c>
      <c r="C5116" s="464">
        <v>850</v>
      </c>
    </row>
    <row r="5117" spans="2:3">
      <c r="B5117" t="s">
        <v>2206</v>
      </c>
      <c r="C5117">
        <v>6</v>
      </c>
    </row>
    <row r="5118" spans="2:3">
      <c r="B5118" t="s">
        <v>245</v>
      </c>
      <c r="C5118" s="464">
        <f>C5116*C5117</f>
        <v>5100</v>
      </c>
    </row>
    <row r="5119" spans="2:3">
      <c r="B5119" t="s">
        <v>3054</v>
      </c>
      <c r="C5119" s="454">
        <v>2</v>
      </c>
    </row>
    <row r="5120" spans="2:3">
      <c r="B5120" t="s">
        <v>3928</v>
      </c>
      <c r="C5120" s="464">
        <f>C5116*C5119</f>
        <v>1700</v>
      </c>
    </row>
    <row r="5121" spans="2:8">
      <c r="B5121" t="s">
        <v>109</v>
      </c>
      <c r="C5121" s="464">
        <f>C5118-C5120</f>
        <v>3400</v>
      </c>
    </row>
    <row r="5123" spans="2:8">
      <c r="B5123" t="s">
        <v>7429</v>
      </c>
      <c r="C5123" s="464">
        <f>Valuation!L10</f>
        <v>4997.8367999999991</v>
      </c>
    </row>
    <row r="5126" spans="2:8">
      <c r="B5126" s="451" t="s">
        <v>7442</v>
      </c>
      <c r="C5126" s="451">
        <v>2021</v>
      </c>
      <c r="D5126" s="451">
        <f>C5126+1</f>
        <v>2022</v>
      </c>
      <c r="E5126" s="451">
        <f>D5126+1</f>
        <v>2023</v>
      </c>
      <c r="F5126" s="451">
        <f>E5126+1</f>
        <v>2024</v>
      </c>
      <c r="G5126" s="451">
        <f>F5126+1</f>
        <v>2025</v>
      </c>
    </row>
    <row r="5127" spans="2:8">
      <c r="B5127" s="463" t="s">
        <v>574</v>
      </c>
      <c r="C5127" s="464">
        <f ca="1">Valuation!K27</f>
        <v>577.94706701228108</v>
      </c>
      <c r="D5127" s="464">
        <f>Valuation!L27</f>
        <v>351.13499999999976</v>
      </c>
      <c r="E5127" s="464">
        <f>Valuation!M27</f>
        <v>267.28549999999996</v>
      </c>
      <c r="F5127" s="464">
        <f ca="1">Valuation!N27</f>
        <v>963.64580000000024</v>
      </c>
      <c r="G5127" s="464">
        <f ca="1">Valuation!O27</f>
        <v>889.41291661025025</v>
      </c>
    </row>
    <row r="5128" spans="2:8">
      <c r="B5128" s="463" t="s">
        <v>4099</v>
      </c>
      <c r="C5128" s="464">
        <f>Valuation!K85</f>
        <v>2249.9993099971803</v>
      </c>
      <c r="D5128" s="464">
        <f ca="1">Valuation!L85</f>
        <v>2143.0273123558168</v>
      </c>
      <c r="E5128" s="464">
        <f>Valuation!M85</f>
        <v>2066.557268</v>
      </c>
      <c r="F5128" s="464">
        <f ca="1">Valuation!N85</f>
        <v>2407.4353583000002</v>
      </c>
      <c r="G5128" s="464">
        <f>Valuation!O85</f>
        <v>2306.3520679887342</v>
      </c>
    </row>
    <row r="5129" spans="2:8">
      <c r="B5129" s="463" t="s">
        <v>150</v>
      </c>
      <c r="C5129" s="464">
        <f>Valuation!K16</f>
        <v>8281</v>
      </c>
      <c r="D5129" s="464">
        <f>Valuation!L16</f>
        <v>6815</v>
      </c>
      <c r="E5129" s="464">
        <f>Valuation!M16</f>
        <v>6999</v>
      </c>
      <c r="F5129" s="464">
        <f>Valuation!N16</f>
        <v>6129</v>
      </c>
      <c r="G5129" s="464">
        <f ca="1">Valuation!O16</f>
        <v>5411.8432365614617</v>
      </c>
    </row>
    <row r="5130" spans="2:8">
      <c r="B5130" s="463" t="s">
        <v>4097</v>
      </c>
      <c r="C5130" s="464">
        <f>Valuation!K94</f>
        <v>7564.1245905602927</v>
      </c>
      <c r="D5130" s="464">
        <f ca="1">Valuation!L94</f>
        <v>6383.2609941050041</v>
      </c>
      <c r="E5130" s="464">
        <f ca="1">Valuation!M94</f>
        <v>6553.2444520815861</v>
      </c>
      <c r="F5130" s="464">
        <f>Valuation!N94</f>
        <v>5856.7838423524181</v>
      </c>
      <c r="G5130" s="464">
        <f ca="1">Valuation!O94</f>
        <v>5145.8759772460771</v>
      </c>
    </row>
    <row r="5131" spans="2:8">
      <c r="B5131" s="450" t="s">
        <v>3054</v>
      </c>
      <c r="C5131" s="1111">
        <f>C5130/C5128</f>
        <v>3.3618341823268256</v>
      </c>
      <c r="D5131" s="1111">
        <f ca="1">D5130/D5128</f>
        <v>2.978618591233877</v>
      </c>
      <c r="E5131" s="1111">
        <f ca="1">E5130/E5128</f>
        <v>3.1710925961532976</v>
      </c>
      <c r="F5131" s="1111">
        <f ca="1">F5130/F5128</f>
        <v>2.4327896581564543</v>
      </c>
      <c r="G5131" s="1111">
        <f ca="1">G5130/G5128</f>
        <v>2.2311753910726924</v>
      </c>
    </row>
    <row r="5133" spans="2:8">
      <c r="B5133" s="463" t="s">
        <v>7447</v>
      </c>
      <c r="D5133" s="449">
        <v>0.1</v>
      </c>
      <c r="E5133" s="449">
        <v>0.1</v>
      </c>
      <c r="F5133" s="449">
        <v>0.1</v>
      </c>
      <c r="G5133" s="449">
        <v>0.05</v>
      </c>
      <c r="H5133">
        <f ca="1">G5134*1.3</f>
        <v>3716.5076134751093</v>
      </c>
    </row>
    <row r="5134" spans="2:8">
      <c r="B5134" s="463" t="s">
        <v>7448</v>
      </c>
      <c r="C5134" s="464"/>
      <c r="D5134" s="464">
        <f ca="1">D5128*1.05</f>
        <v>2250.1786779736076</v>
      </c>
      <c r="E5134" s="464">
        <f ca="1">(1+E5133)*D5134</f>
        <v>2475.1965457709684</v>
      </c>
      <c r="F5134" s="464">
        <f ca="1">(1+F5133)*E5134</f>
        <v>2722.7162003480653</v>
      </c>
      <c r="G5134" s="464">
        <f ca="1">(1+G5133)*F5134</f>
        <v>2858.8520103654687</v>
      </c>
    </row>
    <row r="5135" spans="2:8">
      <c r="B5135" s="463" t="s">
        <v>7443</v>
      </c>
      <c r="D5135" s="464">
        <f ca="1">D5134-D5128</f>
        <v>107.15136561779082</v>
      </c>
      <c r="E5135" s="464">
        <f ca="1">E5134-E5128</f>
        <v>408.63927777096842</v>
      </c>
      <c r="F5135" s="464">
        <f ca="1">F5134-F5128</f>
        <v>315.2808420480651</v>
      </c>
      <c r="G5135" s="464">
        <f ca="1">G5134-G5128</f>
        <v>552.49994237673445</v>
      </c>
    </row>
    <row r="5136" spans="2:8">
      <c r="B5136" s="463" t="s">
        <v>7444</v>
      </c>
      <c r="D5136" s="454">
        <f ca="1">D5135*0.6</f>
        <v>64.290819370674484</v>
      </c>
      <c r="E5136" s="454">
        <f ca="1">E5135*0.6</f>
        <v>245.18356666258103</v>
      </c>
      <c r="F5136" s="454">
        <f ca="1">F5135*0.6</f>
        <v>189.16850522883905</v>
      </c>
      <c r="G5136" s="454">
        <f ca="1">G5135*0.6</f>
        <v>331.49996542604066</v>
      </c>
    </row>
    <row r="5137" spans="2:8">
      <c r="B5137" s="463" t="s">
        <v>7445</v>
      </c>
      <c r="D5137" s="454">
        <f ca="1">C5137+D5136</f>
        <v>64.290819370674484</v>
      </c>
      <c r="E5137" s="454">
        <f ca="1">D5137+E5136</f>
        <v>309.47438603325554</v>
      </c>
      <c r="F5137" s="454">
        <f ca="1">E5137+F5136</f>
        <v>498.64289126209462</v>
      </c>
      <c r="G5137" s="454">
        <f ca="1">F5137+G5136</f>
        <v>830.14285668813523</v>
      </c>
    </row>
    <row r="5138" spans="2:8">
      <c r="B5138" s="463" t="s">
        <v>7449</v>
      </c>
      <c r="D5138" s="464">
        <f ca="1">D5130-D5137</f>
        <v>6318.9701747343297</v>
      </c>
      <c r="E5138" s="464">
        <f ca="1">E5130-E5137</f>
        <v>6243.7700660483306</v>
      </c>
      <c r="F5138" s="464">
        <f ca="1">F5130-F5137</f>
        <v>5358.1409510903231</v>
      </c>
      <c r="G5138" s="464">
        <f ca="1">G5130-G5137</f>
        <v>4315.7331205579421</v>
      </c>
    </row>
    <row r="5139" spans="2:8">
      <c r="B5139" s="450" t="s">
        <v>7446</v>
      </c>
      <c r="C5139" s="450"/>
      <c r="D5139" s="1111">
        <f ca="1">D5138/D5134</f>
        <v>2.8082081821275016</v>
      </c>
      <c r="E5139" s="1111">
        <f ca="1">E5138/E5134</f>
        <v>2.5225350595758593</v>
      </c>
      <c r="F5139" s="1111">
        <f ca="1">F5138/F5134</f>
        <v>1.9679395709348451</v>
      </c>
      <c r="G5139" s="1111">
        <f ca="1">G5138/G5134</f>
        <v>1.5096035418798153</v>
      </c>
      <c r="H5139" s="468">
        <f ca="1">2.5-G5139</f>
        <v>0.99039645812018473</v>
      </c>
    </row>
    <row r="5140" spans="2:8">
      <c r="H5140">
        <f ca="1">H5139*G5134</f>
        <v>2831.3969053557298</v>
      </c>
    </row>
    <row r="5142" spans="2:8">
      <c r="B5142" s="451" t="s">
        <v>5529</v>
      </c>
      <c r="C5142" s="560" t="s">
        <v>7451</v>
      </c>
      <c r="D5142" s="560" t="s">
        <v>4544</v>
      </c>
      <c r="E5142" s="560" t="s">
        <v>4545</v>
      </c>
      <c r="F5142" s="560" t="s">
        <v>4546</v>
      </c>
      <c r="G5142" s="560" t="s">
        <v>7452</v>
      </c>
    </row>
    <row r="5143" spans="2:8" ht="15.75" thickBot="1">
      <c r="B5143" s="463" t="s">
        <v>7453</v>
      </c>
      <c r="C5143" s="1265">
        <v>1225</v>
      </c>
      <c r="D5143" s="464">
        <f>C5143*(1+D5144)</f>
        <v>1347.5</v>
      </c>
      <c r="E5143" s="464">
        <f>D5143*(1+E5144)</f>
        <v>1482.2500000000002</v>
      </c>
      <c r="F5143" s="464">
        <f>E5143*(1+F5144)</f>
        <v>1630.4750000000004</v>
      </c>
    </row>
    <row r="5144" spans="2:8">
      <c r="B5144" s="463" t="s">
        <v>7454</v>
      </c>
      <c r="D5144" s="466">
        <v>0.1</v>
      </c>
      <c r="E5144" s="466">
        <v>0.1</v>
      </c>
      <c r="F5144" s="466">
        <v>0.1</v>
      </c>
    </row>
    <row r="5145" spans="2:8">
      <c r="B5145" s="627" t="s">
        <v>7455</v>
      </c>
      <c r="C5145" s="464"/>
      <c r="D5145" s="464"/>
      <c r="E5145" s="464"/>
      <c r="F5145" s="464"/>
    </row>
    <row r="5146" spans="2:8">
      <c r="B5146" s="463" t="s">
        <v>1545</v>
      </c>
      <c r="D5146" s="464">
        <v>-1000</v>
      </c>
      <c r="E5146" s="464">
        <v>-1000</v>
      </c>
      <c r="F5146" s="464">
        <v>-1000</v>
      </c>
    </row>
    <row r="5147" spans="2:8">
      <c r="B5147" s="463" t="s">
        <v>7456</v>
      </c>
      <c r="D5147" s="464">
        <f>D5143-D5146</f>
        <v>2347.5</v>
      </c>
      <c r="E5147" s="464">
        <f>E5143-E5146</f>
        <v>2482.25</v>
      </c>
      <c r="F5147" s="464">
        <f>F5143-F5146</f>
        <v>2630.4750000000004</v>
      </c>
    </row>
    <row r="5148" spans="2:8">
      <c r="B5148" s="499" t="s">
        <v>2495</v>
      </c>
    </row>
    <row r="5149" spans="2:8">
      <c r="B5149" s="463" t="s">
        <v>4061</v>
      </c>
      <c r="D5149" s="464">
        <v>-150</v>
      </c>
      <c r="E5149" s="464">
        <v>-150</v>
      </c>
      <c r="F5149" s="464">
        <v>-150</v>
      </c>
    </row>
    <row r="5150" spans="2:8" ht="15.75" thickBot="1">
      <c r="B5150" s="463" t="s">
        <v>7457</v>
      </c>
      <c r="D5150" s="464">
        <f>(D5143-D5151)+D5149</f>
        <v>897.5</v>
      </c>
      <c r="E5150" s="464">
        <f>(E5143-E5151)+E5149</f>
        <v>1032.2500000000002</v>
      </c>
      <c r="F5150" s="464">
        <f>(F5143-F5151)+F5149</f>
        <v>1180.4750000000004</v>
      </c>
    </row>
    <row r="5151" spans="2:8" ht="15.75" thickBot="1">
      <c r="B5151" s="1223" t="s">
        <v>7458</v>
      </c>
      <c r="C5151" s="1104"/>
      <c r="D5151" s="1261">
        <v>300</v>
      </c>
      <c r="E5151" s="1261">
        <v>300</v>
      </c>
      <c r="F5151" s="1262">
        <v>300</v>
      </c>
      <c r="G5151" s="1266" t="s">
        <v>7459</v>
      </c>
    </row>
    <row r="5153" spans="2:7">
      <c r="B5153" s="627" t="s">
        <v>7460</v>
      </c>
    </row>
    <row r="5154" spans="2:7">
      <c r="B5154" s="463" t="s">
        <v>360</v>
      </c>
      <c r="D5154" s="464">
        <f>Valuation!L21</f>
        <v>2228.1349999999998</v>
      </c>
      <c r="E5154" s="464">
        <f>Valuation!M21</f>
        <v>2111.2855</v>
      </c>
      <c r="F5154" s="464">
        <f ca="1">Valuation!N21</f>
        <v>2468.6458000000002</v>
      </c>
    </row>
    <row r="5155" spans="2:7">
      <c r="B5155" s="463" t="s">
        <v>7461</v>
      </c>
      <c r="D5155" s="449">
        <f>D5147/D5154-1</f>
        <v>5.3571709075078688E-2</v>
      </c>
      <c r="E5155" s="449">
        <f>E5147/E5154-1</f>
        <v>0.17570551211572294</v>
      </c>
      <c r="F5155" s="449">
        <f ca="1">F5147/F5154-1</f>
        <v>6.5553835224154033E-2</v>
      </c>
    </row>
    <row r="5156" spans="2:7">
      <c r="B5156" s="499" t="s">
        <v>2495</v>
      </c>
    </row>
    <row r="5157" spans="2:7">
      <c r="B5157" s="463" t="s">
        <v>1545</v>
      </c>
      <c r="D5157" s="464">
        <f>Valuation!L22</f>
        <v>-957</v>
      </c>
      <c r="E5157" s="464">
        <f>Valuation!M22</f>
        <v>-931</v>
      </c>
      <c r="F5157" s="464">
        <f>Valuation!N22</f>
        <v>-575</v>
      </c>
    </row>
    <row r="5158" spans="2:7">
      <c r="B5158" s="463" t="s">
        <v>7462</v>
      </c>
      <c r="D5158" s="464">
        <f>Valuation!L23+Valuation!L25</f>
        <v>-1004</v>
      </c>
      <c r="E5158" s="464">
        <f>Valuation!M23+Valuation!M25</f>
        <v>-999</v>
      </c>
      <c r="F5158" s="464">
        <f>Valuation!N23+Valuation!N25</f>
        <v>-1019</v>
      </c>
    </row>
    <row r="5159" spans="2:7">
      <c r="B5159" s="463" t="s">
        <v>5729</v>
      </c>
      <c r="D5159" s="464" t="e">
        <f>Valuation!#REF!</f>
        <v>#REF!</v>
      </c>
      <c r="E5159" s="464" t="e">
        <f>Valuation!#REF!</f>
        <v>#REF!</v>
      </c>
      <c r="F5159" s="464" t="e">
        <f>Valuation!#REF!</f>
        <v>#REF!</v>
      </c>
    </row>
    <row r="5160" spans="2:7">
      <c r="B5160" s="463" t="s">
        <v>396</v>
      </c>
      <c r="D5160" s="464">
        <f>Valuation!L26</f>
        <v>-4</v>
      </c>
      <c r="E5160" s="464">
        <f>Valuation!M26</f>
        <v>0</v>
      </c>
      <c r="F5160" s="464">
        <f>Valuation!N26</f>
        <v>0</v>
      </c>
    </row>
    <row r="5161" spans="2:7">
      <c r="B5161" s="463" t="s">
        <v>7463</v>
      </c>
      <c r="D5161" s="464">
        <f>D5149</f>
        <v>-150</v>
      </c>
      <c r="E5161" s="464">
        <f>E5149</f>
        <v>-150</v>
      </c>
      <c r="F5161" s="464">
        <f>F5149</f>
        <v>-150</v>
      </c>
    </row>
    <row r="5162" spans="2:7">
      <c r="B5162" s="499" t="s">
        <v>7464</v>
      </c>
    </row>
    <row r="5163" spans="2:7" ht="15.75" thickBot="1">
      <c r="B5163" s="463" t="s">
        <v>7465</v>
      </c>
      <c r="D5163" s="464">
        <f>Valuation!L24</f>
        <v>88</v>
      </c>
      <c r="E5163" s="464">
        <f>Valuation!M24</f>
        <v>86</v>
      </c>
      <c r="F5163" s="464">
        <f>Valuation!N24</f>
        <v>89</v>
      </c>
    </row>
    <row r="5164" spans="2:7" ht="15.75" thickBot="1">
      <c r="B5164" s="1223" t="s">
        <v>7466</v>
      </c>
      <c r="C5164" s="1104"/>
      <c r="D5164" s="1261" t="e">
        <f>D5154+SUM(D5157:D5161)+D5163</f>
        <v>#REF!</v>
      </c>
      <c r="E5164" s="1261" t="e">
        <f>E5154+SUM(E5157:E5161)+E5163</f>
        <v>#REF!</v>
      </c>
      <c r="F5164" s="1262" t="e">
        <f ca="1">F5154+SUM(F5157:F5161)+F5163</f>
        <v>#REF!</v>
      </c>
      <c r="G5164" s="1266" t="e">
        <f>SUM(D5164:F5164)</f>
        <v>#REF!</v>
      </c>
    </row>
    <row r="5167" spans="2:7">
      <c r="B5167" s="451" t="s">
        <v>7467</v>
      </c>
      <c r="C5167" s="451">
        <v>2022</v>
      </c>
      <c r="D5167" s="451">
        <v>2022</v>
      </c>
      <c r="E5167" s="451">
        <f>D5167+1</f>
        <v>2023</v>
      </c>
      <c r="F5167" s="451">
        <f>E5167+1</f>
        <v>2024</v>
      </c>
      <c r="G5167" s="451">
        <f>F5167+1</f>
        <v>2025</v>
      </c>
    </row>
    <row r="5168" spans="2:7">
      <c r="B5168" s="463" t="s">
        <v>5499</v>
      </c>
      <c r="C5168" s="464">
        <f>Valuation!K94</f>
        <v>7564.1245905602927</v>
      </c>
      <c r="D5168" s="464">
        <f ca="1">Valuation!L94</f>
        <v>6383.2609941050041</v>
      </c>
      <c r="E5168" s="464">
        <f ca="1">Valuation!M94</f>
        <v>6553.2444520815861</v>
      </c>
      <c r="F5168" s="464">
        <f>Valuation!N94</f>
        <v>5856.7838423524181</v>
      </c>
      <c r="G5168" s="464">
        <f ca="1">Valuation!O94</f>
        <v>5145.8759772460771</v>
      </c>
    </row>
    <row r="5169" spans="2:13">
      <c r="B5169" s="463" t="s">
        <v>4099</v>
      </c>
      <c r="C5169" s="464">
        <f>Valuation!K85</f>
        <v>2249.9993099971803</v>
      </c>
      <c r="D5169" s="464">
        <f ca="1">Valuation!L85</f>
        <v>2143.0273123558168</v>
      </c>
      <c r="E5169" s="464">
        <f>Valuation!M85</f>
        <v>2066.557268</v>
      </c>
      <c r="F5169" s="464">
        <f ca="1">Valuation!N85</f>
        <v>2407.4353583000002</v>
      </c>
      <c r="G5169" s="464">
        <f>Valuation!O85</f>
        <v>2306.3520679887342</v>
      </c>
    </row>
    <row r="5170" spans="2:13">
      <c r="B5170" s="463" t="s">
        <v>7468</v>
      </c>
      <c r="C5170" s="999">
        <f>C5168/C5169</f>
        <v>3.3618341823268256</v>
      </c>
      <c r="D5170" s="999">
        <f ca="1">D5168/D5169</f>
        <v>2.978618591233877</v>
      </c>
      <c r="E5170" s="999">
        <f ca="1">E5168/E5169</f>
        <v>3.1710925961532976</v>
      </c>
      <c r="F5170" s="999">
        <f ca="1">F5168/F5169</f>
        <v>2.4327896581564543</v>
      </c>
      <c r="G5170" s="999">
        <f ca="1">G5168/G5169</f>
        <v>2.2311753910726924</v>
      </c>
    </row>
    <row r="5172" spans="2:13" ht="15.75" thickBot="1">
      <c r="B5172" s="499" t="s">
        <v>7469</v>
      </c>
    </row>
    <row r="5173" spans="2:13">
      <c r="B5173" s="1056" t="s">
        <v>1502</v>
      </c>
      <c r="C5173" s="1267"/>
      <c r="D5173" s="1267"/>
      <c r="E5173" s="1268">
        <f>Valuation!M102</f>
        <v>0</v>
      </c>
      <c r="F5173" s="1268">
        <f>Valuation!N102</f>
        <v>0</v>
      </c>
      <c r="G5173" s="1263">
        <f>Valuation!O102</f>
        <v>0</v>
      </c>
    </row>
    <row r="5174" spans="2:13" ht="15.75" thickBot="1">
      <c r="B5174" s="1269" t="s">
        <v>7470</v>
      </c>
      <c r="C5174" s="1270"/>
      <c r="D5174" s="1270"/>
      <c r="E5174" s="1271">
        <f>Valuation!M103</f>
        <v>0.97881469275472222</v>
      </c>
      <c r="F5174" s="1271">
        <f ca="1">Valuation!N103</f>
        <v>0.9752048504892844</v>
      </c>
      <c r="G5174" s="1272">
        <f>Valuation!O103</f>
        <v>0.96836973040350738</v>
      </c>
    </row>
    <row r="5175" spans="2:13">
      <c r="B5175" s="463" t="s">
        <v>4061</v>
      </c>
      <c r="E5175" s="464">
        <f>Valuation!M95</f>
        <v>0</v>
      </c>
      <c r="F5175" s="464">
        <f>Valuation!N95</f>
        <v>0</v>
      </c>
      <c r="G5175" s="464">
        <f>Valuation!O95</f>
        <v>0</v>
      </c>
    </row>
    <row r="5176" spans="2:13">
      <c r="B5176" s="463"/>
      <c r="E5176" s="464"/>
      <c r="F5176" s="464"/>
      <c r="G5176" s="464"/>
    </row>
    <row r="5177" spans="2:13">
      <c r="B5177" s="463" t="s">
        <v>7471</v>
      </c>
      <c r="E5177" s="464"/>
      <c r="F5177" s="464"/>
      <c r="G5177" s="464"/>
    </row>
    <row r="5178" spans="2:13">
      <c r="B5178" s="463" t="s">
        <v>5499</v>
      </c>
      <c r="C5178" s="464"/>
      <c r="D5178" s="464"/>
      <c r="E5178" s="464">
        <f>Valuation!M105</f>
        <v>0</v>
      </c>
      <c r="F5178" s="464">
        <f>Valuation!N105</f>
        <v>0</v>
      </c>
      <c r="G5178" s="464">
        <f>Valuation!O105</f>
        <v>0</v>
      </c>
    </row>
    <row r="5179" spans="2:13">
      <c r="B5179" s="463" t="s">
        <v>4099</v>
      </c>
      <c r="C5179" s="464"/>
      <c r="D5179" s="464"/>
      <c r="E5179" s="464">
        <f>E5169</f>
        <v>2066.557268</v>
      </c>
      <c r="F5179" s="464">
        <f ca="1">F5169</f>
        <v>2407.4353583000002</v>
      </c>
      <c r="G5179" s="464">
        <f>G5169</f>
        <v>2306.3520679887342</v>
      </c>
    </row>
    <row r="5180" spans="2:13">
      <c r="B5180" s="463" t="s">
        <v>7468</v>
      </c>
      <c r="C5180" s="999"/>
      <c r="D5180" s="999"/>
      <c r="E5180" s="999">
        <f t="shared" ref="E5180:G5180" si="479">E5178/E5179</f>
        <v>0</v>
      </c>
      <c r="F5180" s="999">
        <f t="shared" ca="1" si="479"/>
        <v>0</v>
      </c>
      <c r="G5180" s="999">
        <f t="shared" si="479"/>
        <v>0</v>
      </c>
    </row>
    <row r="5181" spans="2:13">
      <c r="B5181" s="463" t="s">
        <v>7472</v>
      </c>
      <c r="G5181" s="1219" t="s">
        <v>7473</v>
      </c>
    </row>
    <row r="5183" spans="2:13">
      <c r="D5183" s="599" t="str">
        <f>'New (new) quarts'!AK2</f>
        <v>Q1 20</v>
      </c>
      <c r="E5183" s="599" t="str">
        <f>'New (new) quarts'!AL2</f>
        <v>Q2 20</v>
      </c>
      <c r="F5183" s="599" t="str">
        <f>'New (new) quarts'!AM2</f>
        <v>Q3 20</v>
      </c>
      <c r="G5183" s="599" t="str">
        <f>'New (new) quarts'!AN2</f>
        <v>Q4 20</v>
      </c>
      <c r="H5183" s="599" t="str">
        <f>'New (new) quarts'!AP2</f>
        <v>Q1 21</v>
      </c>
      <c r="I5183" s="599" t="str">
        <f>'New (new) quarts'!AQ2</f>
        <v>Q2 21</v>
      </c>
      <c r="J5183" s="599" t="str">
        <f>'New (new) quarts'!AR2</f>
        <v>Q3 21</v>
      </c>
      <c r="K5183" s="599" t="str">
        <f>'New (new) quarts'!AS2</f>
        <v>Q4 21</v>
      </c>
      <c r="L5183" s="599" t="str">
        <f>'New (new) quarts'!AU2</f>
        <v>Q1 22</v>
      </c>
      <c r="M5183" s="493"/>
    </row>
    <row r="5184" spans="2:13">
      <c r="C5184" s="463" t="s">
        <v>5634</v>
      </c>
      <c r="D5184">
        <f>'New (new) quarts'!AK150</f>
        <v>-36</v>
      </c>
      <c r="E5184">
        <f>'New (new) quarts'!AL150</f>
        <v>-27</v>
      </c>
      <c r="F5184">
        <f>'New (new) quarts'!AM150</f>
        <v>-27</v>
      </c>
      <c r="G5184">
        <f>'New (new) quarts'!AN150</f>
        <v>-33</v>
      </c>
      <c r="H5184">
        <f>'New (new) quarts'!AP150</f>
        <v>-29</v>
      </c>
      <c r="I5184">
        <f>'New (new) quarts'!AQ150</f>
        <v>-30</v>
      </c>
      <c r="J5184">
        <f>'New (new) quarts'!AR150</f>
        <v>-30</v>
      </c>
      <c r="K5184">
        <f>'New (new) quarts'!AS150</f>
        <v>-50</v>
      </c>
      <c r="L5184">
        <f>'New (new) quarts'!AU150</f>
        <v>-36.328399999999988</v>
      </c>
    </row>
    <row r="5185" spans="4:12">
      <c r="D5185">
        <f>D5184*-1</f>
        <v>36</v>
      </c>
      <c r="E5185">
        <f t="shared" ref="E5185:L5185" si="480">E5184*-1</f>
        <v>27</v>
      </c>
      <c r="F5185">
        <f t="shared" si="480"/>
        <v>27</v>
      </c>
      <c r="G5185">
        <f t="shared" si="480"/>
        <v>33</v>
      </c>
      <c r="H5185">
        <f t="shared" si="480"/>
        <v>29</v>
      </c>
      <c r="I5185">
        <f t="shared" si="480"/>
        <v>30</v>
      </c>
      <c r="J5185">
        <f t="shared" si="480"/>
        <v>30</v>
      </c>
      <c r="K5185">
        <f t="shared" si="480"/>
        <v>50</v>
      </c>
      <c r="L5185">
        <f t="shared" si="480"/>
        <v>36.328399999999988</v>
      </c>
    </row>
    <row r="5186" spans="4:12">
      <c r="K5186">
        <v>50</v>
      </c>
      <c r="L5186">
        <v>50</v>
      </c>
    </row>
    <row r="5213" spans="2:16">
      <c r="B5213" s="463"/>
      <c r="C5213" s="599" t="s">
        <v>886</v>
      </c>
      <c r="D5213" s="599" t="s">
        <v>886</v>
      </c>
      <c r="E5213" s="599" t="s">
        <v>886</v>
      </c>
      <c r="F5213" s="599" t="s">
        <v>886</v>
      </c>
      <c r="G5213" s="463"/>
      <c r="H5213" s="599" t="s">
        <v>885</v>
      </c>
      <c r="I5213" s="599" t="s">
        <v>885</v>
      </c>
      <c r="J5213" s="599" t="s">
        <v>885</v>
      </c>
      <c r="K5213" s="599" t="s">
        <v>885</v>
      </c>
      <c r="L5213" s="463"/>
      <c r="M5213" s="599" t="s">
        <v>1833</v>
      </c>
      <c r="N5213" s="599" t="s">
        <v>1833</v>
      </c>
      <c r="O5213" s="599" t="s">
        <v>1833</v>
      </c>
      <c r="P5213" s="599" t="s">
        <v>1833</v>
      </c>
    </row>
    <row r="5214" spans="2:16">
      <c r="B5214" s="451" t="s">
        <v>2389</v>
      </c>
      <c r="C5214" s="451">
        <v>2022</v>
      </c>
      <c r="D5214" s="451">
        <f>C5214+1</f>
        <v>2023</v>
      </c>
      <c r="E5214" s="451">
        <f>D5214+1</f>
        <v>2024</v>
      </c>
      <c r="F5214" s="451">
        <f>E5214+1</f>
        <v>2025</v>
      </c>
      <c r="G5214" s="1212"/>
      <c r="H5214" s="451">
        <v>2022</v>
      </c>
      <c r="I5214" s="451">
        <f>H5214+1</f>
        <v>2023</v>
      </c>
      <c r="J5214" s="451">
        <f>I5214+1</f>
        <v>2024</v>
      </c>
      <c r="K5214" s="451">
        <f>J5214+1</f>
        <v>2025</v>
      </c>
      <c r="L5214" s="1212"/>
      <c r="M5214" s="451">
        <v>2022</v>
      </c>
      <c r="N5214" s="451">
        <f>M5214+1</f>
        <v>2023</v>
      </c>
      <c r="O5214" s="451">
        <f>N5214+1</f>
        <v>2024</v>
      </c>
      <c r="P5214" s="451">
        <f>O5214+1</f>
        <v>2025</v>
      </c>
    </row>
    <row r="5215" spans="2:16">
      <c r="B5215" s="1226" t="s">
        <v>758</v>
      </c>
      <c r="C5215" s="1277">
        <f>Master!Y$5</f>
        <v>5624.5300000000007</v>
      </c>
      <c r="D5215" s="1277">
        <f>Master!Z5</f>
        <v>5661</v>
      </c>
      <c r="E5215" s="1277">
        <f>Master!AA5</f>
        <v>5804.2592000000004</v>
      </c>
      <c r="F5215" s="1277">
        <f>Master!AB5</f>
        <v>5523.9546913835384</v>
      </c>
      <c r="G5215" s="1226"/>
      <c r="H5215" s="1277">
        <v>5807.6741235013214</v>
      </c>
      <c r="I5215" s="1277">
        <v>5996.9226118230445</v>
      </c>
      <c r="J5215" s="1277">
        <v>6184.450520935201</v>
      </c>
      <c r="K5215" s="1277">
        <v>6366.1430892996214</v>
      </c>
      <c r="L5215" s="1226"/>
      <c r="M5215" s="1278">
        <f>C5215/H5215-1</f>
        <v>-3.1534848479223387E-2</v>
      </c>
      <c r="N5215" s="1278">
        <f t="shared" ref="N5215:P5216" si="481">D5215/I5215-1</f>
        <v>-5.6015832380555741E-2</v>
      </c>
      <c r="O5215" s="1278">
        <f t="shared" si="481"/>
        <v>-6.1475359799258111E-2</v>
      </c>
      <c r="P5215" s="1278">
        <f t="shared" si="481"/>
        <v>-0.13229177951272497</v>
      </c>
    </row>
    <row r="5216" spans="2:16">
      <c r="B5216" s="463" t="s">
        <v>360</v>
      </c>
      <c r="C5216" s="1276">
        <f>Master!Y$14</f>
        <v>2228.1349999999998</v>
      </c>
      <c r="D5216" s="1276">
        <f>Master!Z14</f>
        <v>2111.2855</v>
      </c>
      <c r="E5216" s="1276">
        <f ca="1">Master!AA14</f>
        <v>2468.6458000000002</v>
      </c>
      <c r="F5216" s="1276">
        <f>Master!AB14</f>
        <v>2381.685419914671</v>
      </c>
      <c r="G5216" s="463"/>
      <c r="H5216" s="1276">
        <v>2293.4950931877074</v>
      </c>
      <c r="I5216" s="1276">
        <v>2406.0043826535148</v>
      </c>
      <c r="J5216" s="1276">
        <v>2506.3601930861141</v>
      </c>
      <c r="K5216" s="1276">
        <v>2605.2293976170963</v>
      </c>
      <c r="L5216" s="463"/>
      <c r="M5216" s="1279">
        <f>C5216/H5216-1</f>
        <v>-2.8498030530714757E-2</v>
      </c>
      <c r="N5216" s="1279">
        <f t="shared" si="481"/>
        <v>-0.12249307805851861</v>
      </c>
      <c r="O5216" s="1279">
        <f t="shared" ca="1" si="481"/>
        <v>-1.5047475295111412E-2</v>
      </c>
      <c r="P5216" s="1279">
        <f t="shared" si="481"/>
        <v>-8.5805871032659353E-2</v>
      </c>
    </row>
    <row r="5217" spans="2:16">
      <c r="B5217" s="1226" t="s">
        <v>1434</v>
      </c>
      <c r="C5217" s="1280">
        <f>C5216/C$5215</f>
        <v>0.39614598908708809</v>
      </c>
      <c r="D5217" s="1280">
        <f t="shared" ref="D5217:F5217" si="482">D5216/D5215</f>
        <v>0.37295274686451158</v>
      </c>
      <c r="E5217" s="1280">
        <f t="shared" ca="1" si="482"/>
        <v>0.42531625741317686</v>
      </c>
      <c r="F5217" s="1280">
        <f t="shared" si="482"/>
        <v>0.43115585716691501</v>
      </c>
      <c r="G5217" s="1226"/>
      <c r="H5217" s="1280">
        <f>H5216/H5215</f>
        <v>0.39490767636339225</v>
      </c>
      <c r="I5217" s="1280">
        <f t="shared" ref="I5217:K5217" si="483">I5216/I5215</f>
        <v>0.40120650846986627</v>
      </c>
      <c r="J5217" s="1280">
        <f t="shared" si="483"/>
        <v>0.40526804840652314</v>
      </c>
      <c r="K5217" s="1280">
        <f t="shared" si="483"/>
        <v>0.40923198883104489</v>
      </c>
      <c r="L5217" s="1226"/>
      <c r="M5217" s="1280"/>
      <c r="N5217" s="1280"/>
      <c r="O5217" s="1280"/>
      <c r="P5217" s="1280"/>
    </row>
    <row r="5218" spans="2:16">
      <c r="B5218" s="463" t="s">
        <v>1545</v>
      </c>
      <c r="C5218" s="1276">
        <f>'New split'!L$437</f>
        <v>973</v>
      </c>
      <c r="D5218" s="1276">
        <f>'New split'!M437</f>
        <v>809</v>
      </c>
      <c r="E5218" s="1276">
        <f>'New split'!N437</f>
        <v>743.43599501951292</v>
      </c>
      <c r="F5218" s="1276">
        <f>'New split'!O437</f>
        <v>642.75648302236209</v>
      </c>
      <c r="G5218" s="463"/>
      <c r="H5218" s="1276">
        <v>1002.2202233188818</v>
      </c>
      <c r="I5218" s="1276">
        <v>1004.111298949146</v>
      </c>
      <c r="J5218" s="1276">
        <v>1025.0429410194126</v>
      </c>
      <c r="K5218" s="1276">
        <v>1026.6992095448015</v>
      </c>
      <c r="L5218" s="463"/>
      <c r="M5218" s="1279">
        <f>C5218/H5218-1</f>
        <v>-2.9155491616521423E-2</v>
      </c>
      <c r="N5218" s="1279">
        <f t="shared" ref="N5218:P5218" si="484">D5218/I5218-1</f>
        <v>-0.19431242249075376</v>
      </c>
      <c r="O5218" s="1279">
        <f t="shared" si="484"/>
        <v>-0.27472697457907425</v>
      </c>
      <c r="P5218" s="1279">
        <f t="shared" si="484"/>
        <v>-0.3739583345862949</v>
      </c>
    </row>
    <row r="5219" spans="2:16">
      <c r="B5219" s="1226" t="s">
        <v>1431</v>
      </c>
      <c r="C5219" s="1280">
        <f>C5218/C5215</f>
        <v>0.17299223223984936</v>
      </c>
      <c r="D5219" s="1280">
        <f t="shared" ref="D5219:F5219" si="485">D5218/D5215</f>
        <v>0.1429076134958488</v>
      </c>
      <c r="E5219" s="1280">
        <f t="shared" si="485"/>
        <v>0.12808456159564907</v>
      </c>
      <c r="F5219" s="1280">
        <f t="shared" si="485"/>
        <v>0.11635802951551297</v>
      </c>
      <c r="G5219" s="1226"/>
      <c r="H5219" s="1280">
        <f>H5218/H5215</f>
        <v>0.17256826089179136</v>
      </c>
      <c r="I5219" s="1280">
        <f t="shared" ref="I5219:K5219" si="486">I5218/I5215</f>
        <v>0.16743776165620711</v>
      </c>
      <c r="J5219" s="1280">
        <f t="shared" si="486"/>
        <v>0.16574519232541415</v>
      </c>
      <c r="K5219" s="1280">
        <f t="shared" si="486"/>
        <v>0.16127491876054503</v>
      </c>
      <c r="L5219" s="1226"/>
      <c r="M5219" s="1280"/>
      <c r="N5219" s="1280"/>
      <c r="O5219" s="1280"/>
      <c r="P5219" s="1280"/>
    </row>
    <row r="5220" spans="2:16">
      <c r="B5220" s="463" t="s">
        <v>1552</v>
      </c>
      <c r="C5220" s="1276">
        <f>C5216-C5218</f>
        <v>1255.1349999999998</v>
      </c>
      <c r="D5220" s="1276">
        <f t="shared" ref="D5220:F5220" si="487">D5216-D5218</f>
        <v>1302.2855</v>
      </c>
      <c r="E5220" s="1276">
        <f t="shared" ca="1" si="487"/>
        <v>1725.2098049804872</v>
      </c>
      <c r="F5220" s="1276">
        <f t="shared" si="487"/>
        <v>1738.9289368923089</v>
      </c>
      <c r="G5220" s="463"/>
      <c r="H5220" s="1276">
        <f>H5216-H5218</f>
        <v>1291.2748698688256</v>
      </c>
      <c r="I5220" s="1276">
        <f t="shared" ref="I5220:K5220" si="488">I5216-I5218</f>
        <v>1401.8930837043688</v>
      </c>
      <c r="J5220" s="1276">
        <f t="shared" si="488"/>
        <v>1481.3172520667015</v>
      </c>
      <c r="K5220" s="1276">
        <f t="shared" si="488"/>
        <v>1578.5301880722948</v>
      </c>
      <c r="L5220" s="463"/>
      <c r="M5220" s="1279">
        <f>C5220/H5220-1</f>
        <v>-2.7987743517766339E-2</v>
      </c>
      <c r="N5220" s="1279">
        <f t="shared" ref="N5220:P5220" si="489">D5220/I5220-1</f>
        <v>-7.1052197105620385E-2</v>
      </c>
      <c r="O5220" s="1279">
        <f t="shared" ca="1" si="489"/>
        <v>0.16464572499477215</v>
      </c>
      <c r="P5220" s="1279">
        <f t="shared" si="489"/>
        <v>0.10161272177879188</v>
      </c>
    </row>
    <row r="5221" spans="2:16">
      <c r="B5221" s="1226"/>
      <c r="C5221" s="1277"/>
      <c r="D5221" s="1277"/>
      <c r="E5221" s="1277"/>
      <c r="F5221" s="1277"/>
      <c r="G5221" s="1226"/>
      <c r="H5221" s="1277"/>
      <c r="I5221" s="1277"/>
      <c r="J5221" s="1277"/>
      <c r="K5221" s="1277"/>
      <c r="L5221" s="1226"/>
      <c r="M5221" s="1278"/>
      <c r="N5221" s="1278"/>
      <c r="O5221" s="1278"/>
      <c r="P5221" s="1278"/>
    </row>
    <row r="5222" spans="2:16">
      <c r="B5222" s="463" t="s">
        <v>7552</v>
      </c>
      <c r="C5222" s="1276">
        <f>Valuation!L$27</f>
        <v>351.13499999999976</v>
      </c>
      <c r="D5222" s="1276">
        <f>Valuation!M27</f>
        <v>267.28549999999996</v>
      </c>
      <c r="E5222" s="1276">
        <f ca="1">Valuation!N27</f>
        <v>963.64580000000024</v>
      </c>
      <c r="F5222" s="1276">
        <f ca="1">Valuation!O27</f>
        <v>889.41291661025025</v>
      </c>
      <c r="G5222" s="463"/>
      <c r="H5222" s="1276">
        <v>409.65474915434208</v>
      </c>
      <c r="I5222" s="1276">
        <v>490.3761917510991</v>
      </c>
      <c r="J5222" s="1276">
        <v>539.15363980833502</v>
      </c>
      <c r="K5222" s="1276">
        <v>615.86786308291823</v>
      </c>
      <c r="L5222" s="463"/>
      <c r="M5222" s="1279">
        <f>C5222/H5222-1</f>
        <v>-0.14285138711352852</v>
      </c>
      <c r="N5222" s="1279">
        <f>D5222/I5222-1</f>
        <v>-0.45493785282368193</v>
      </c>
      <c r="O5222" s="1279">
        <f ca="1">E5222/J5222-1</f>
        <v>0.78733060272498379</v>
      </c>
      <c r="P5222" s="1279">
        <f ca="1">F5222/K5222-1</f>
        <v>0.44416192161418699</v>
      </c>
    </row>
    <row r="5223" spans="2:16">
      <c r="B5223" s="1281"/>
      <c r="C5223" s="1282"/>
      <c r="D5223" s="1282"/>
      <c r="E5223" s="1282"/>
      <c r="F5223" s="1282"/>
      <c r="G5223" s="1281"/>
      <c r="H5223" s="1282"/>
      <c r="I5223" s="1282"/>
      <c r="J5223" s="1282"/>
      <c r="K5223" s="1282"/>
      <c r="L5223" s="1281"/>
      <c r="M5223" s="1282"/>
      <c r="N5223" s="1282"/>
      <c r="O5223" s="1282"/>
      <c r="P5223" s="1282"/>
    </row>
    <row r="5224" spans="2:16">
      <c r="B5224" s="463" t="s">
        <v>3105</v>
      </c>
      <c r="C5224" s="1283">
        <f ca="1">SOP!I38</f>
        <v>36.64868071123005</v>
      </c>
      <c r="D5224" s="1276"/>
      <c r="E5224" s="1276"/>
      <c r="F5224" s="1276"/>
      <c r="G5224" s="463"/>
      <c r="H5224" s="1283">
        <v>45.907014653213558</v>
      </c>
      <c r="I5224" s="1276"/>
      <c r="J5224" s="1276"/>
      <c r="K5224" s="1276"/>
      <c r="L5224" s="463"/>
      <c r="M5224" s="1279">
        <f ca="1">C5224/H5224-1</f>
        <v>-0.20167580078822245</v>
      </c>
      <c r="N5224" s="1279"/>
      <c r="O5224" s="1279"/>
      <c r="P5224" s="1279"/>
    </row>
    <row r="5227" spans="2:16">
      <c r="B5227" s="627" t="s">
        <v>7799</v>
      </c>
      <c r="D5227" s="449">
        <f>D5230/C5230-1</f>
        <v>6.4840973379107769E-3</v>
      </c>
      <c r="I5227" s="449">
        <f>I5230/H5230-1</f>
        <v>3.435553785443024E-2</v>
      </c>
    </row>
    <row r="5228" spans="2:16">
      <c r="C5228" s="599" t="s">
        <v>886</v>
      </c>
      <c r="D5228" s="599" t="s">
        <v>886</v>
      </c>
      <c r="E5228" s="599" t="s">
        <v>886</v>
      </c>
      <c r="F5228" s="599" t="s">
        <v>886</v>
      </c>
      <c r="G5228" s="463"/>
      <c r="H5228" s="599" t="s">
        <v>885</v>
      </c>
      <c r="I5228" s="599" t="s">
        <v>885</v>
      </c>
      <c r="J5228" s="599" t="s">
        <v>885</v>
      </c>
      <c r="K5228" s="599" t="s">
        <v>885</v>
      </c>
      <c r="L5228" s="463"/>
      <c r="M5228" s="599" t="s">
        <v>1833</v>
      </c>
      <c r="N5228" s="599" t="s">
        <v>1833</v>
      </c>
      <c r="O5228" s="599" t="s">
        <v>1833</v>
      </c>
      <c r="P5228" s="599" t="s">
        <v>1833</v>
      </c>
    </row>
    <row r="5229" spans="2:16">
      <c r="B5229" s="451" t="s">
        <v>2389</v>
      </c>
      <c r="C5229" s="451">
        <v>2022</v>
      </c>
      <c r="D5229" s="451">
        <f>C5229+1</f>
        <v>2023</v>
      </c>
      <c r="E5229" s="451">
        <f>D5229+1</f>
        <v>2024</v>
      </c>
      <c r="F5229" s="451">
        <f>E5229+1</f>
        <v>2025</v>
      </c>
      <c r="G5229" s="1212"/>
      <c r="H5229" s="451">
        <v>2022</v>
      </c>
      <c r="I5229" s="451">
        <f>H5229+1</f>
        <v>2023</v>
      </c>
      <c r="J5229" s="451">
        <f>I5229+1</f>
        <v>2024</v>
      </c>
      <c r="K5229" s="451">
        <f>J5229+1</f>
        <v>2025</v>
      </c>
      <c r="L5229" s="1212"/>
      <c r="M5229" s="451">
        <v>2022</v>
      </c>
      <c r="N5229" s="451">
        <f>M5229+1</f>
        <v>2023</v>
      </c>
      <c r="O5229" s="451">
        <f>N5229+1</f>
        <v>2024</v>
      </c>
      <c r="P5229" s="451">
        <f>O5229+1</f>
        <v>2025</v>
      </c>
    </row>
    <row r="5230" spans="2:16">
      <c r="B5230" s="1294" t="s">
        <v>758</v>
      </c>
      <c r="C5230" s="1295">
        <f>Master!Y$5</f>
        <v>5624.5300000000007</v>
      </c>
      <c r="D5230" s="1295">
        <f>Master!Z$5</f>
        <v>5661</v>
      </c>
      <c r="E5230" s="1295">
        <f>Master!AA$5</f>
        <v>5804.2592000000004</v>
      </c>
      <c r="F5230" s="1295">
        <f>Master!AB$5</f>
        <v>5523.9546913835384</v>
      </c>
      <c r="G5230" s="1294"/>
      <c r="H5230" s="1295">
        <v>5751.0539937654994</v>
      </c>
      <c r="I5230" s="1295">
        <v>5948.6345469511816</v>
      </c>
      <c r="J5230" s="1295">
        <v>6178.1120425163099</v>
      </c>
      <c r="K5230" s="1295">
        <v>6358.0886846388294</v>
      </c>
      <c r="L5230" s="1294"/>
      <c r="M5230" s="1296">
        <f>C5230/H5230-1</f>
        <v>-2.2000140131297474E-2</v>
      </c>
      <c r="N5230" s="1296">
        <f t="shared" ref="N5230:N5231" si="490">D5230/I5230-1</f>
        <v>-4.8353037101363294E-2</v>
      </c>
      <c r="O5230" s="1296">
        <f t="shared" ref="O5230:O5231" si="491">E5230/J5230-1</f>
        <v>-6.0512473704513958E-2</v>
      </c>
      <c r="P5230" s="1296">
        <f t="shared" ref="P5230:P5231" si="492">F5230/K5230-1</f>
        <v>-0.13119256975300808</v>
      </c>
    </row>
    <row r="5231" spans="2:16">
      <c r="B5231" s="463" t="s">
        <v>360</v>
      </c>
      <c r="C5231" s="1276">
        <f>Master!Y$14</f>
        <v>2228.1349999999998</v>
      </c>
      <c r="D5231" s="1276">
        <f>Master!Z$14</f>
        <v>2111.2855</v>
      </c>
      <c r="E5231" s="1276">
        <f ca="1">Master!AA$14</f>
        <v>2468.6458000000002</v>
      </c>
      <c r="F5231" s="1276">
        <f>Master!AB$14</f>
        <v>2381.685419914671</v>
      </c>
      <c r="G5231" s="463"/>
      <c r="H5231" s="1276">
        <v>2294.1497562395589</v>
      </c>
      <c r="I5231" s="1276">
        <v>2395.1513940366017</v>
      </c>
      <c r="J5231" s="1276">
        <v>2537.1293942710618</v>
      </c>
      <c r="K5231" s="1276">
        <v>2598.735405265093</v>
      </c>
      <c r="L5231" s="463"/>
      <c r="M5231" s="1279">
        <f>C5231/H5231-1</f>
        <v>-2.8775260228768529E-2</v>
      </c>
      <c r="N5231" s="1279">
        <f t="shared" si="490"/>
        <v>-0.11851688988986886</v>
      </c>
      <c r="O5231" s="1279">
        <f t="shared" ca="1" si="491"/>
        <v>-2.6992550882781186E-2</v>
      </c>
      <c r="P5231" s="1279">
        <f t="shared" si="492"/>
        <v>-8.3521386944847897E-2</v>
      </c>
    </row>
    <row r="5232" spans="2:16">
      <c r="B5232" s="1294" t="s">
        <v>1434</v>
      </c>
      <c r="C5232" s="1296">
        <f>C5231/C$5215</f>
        <v>0.39614598908708809</v>
      </c>
      <c r="D5232" s="1296">
        <f t="shared" ref="D5232:F5232" si="493">D5231/D$5215</f>
        <v>0.37295274686451158</v>
      </c>
      <c r="E5232" s="1296">
        <f t="shared" ca="1" si="493"/>
        <v>0.42531625741317686</v>
      </c>
      <c r="F5232" s="1296">
        <f t="shared" si="493"/>
        <v>0.43115585716691501</v>
      </c>
      <c r="G5232" s="1296"/>
      <c r="H5232" s="1296">
        <v>0.40009549229222391</v>
      </c>
      <c r="I5232" s="1296">
        <v>0.40436227147134646</v>
      </c>
      <c r="J5232" s="1296">
        <v>0.40757013627919031</v>
      </c>
      <c r="K5232" s="1296">
        <v>0.41075412016553325</v>
      </c>
      <c r="L5232" s="1294"/>
      <c r="M5232" s="1297"/>
      <c r="N5232" s="1297"/>
      <c r="O5232" s="1297"/>
      <c r="P5232" s="1297"/>
    </row>
    <row r="5233" spans="2:16">
      <c r="B5233" s="463" t="s">
        <v>1545</v>
      </c>
      <c r="C5233" s="1276">
        <f>'New split'!L$437</f>
        <v>973</v>
      </c>
      <c r="D5233" s="1276">
        <f>'New split'!M$437</f>
        <v>809</v>
      </c>
      <c r="E5233" s="1276">
        <f>'New split'!N$437</f>
        <v>743.43599501951292</v>
      </c>
      <c r="F5233" s="1276">
        <f>'New split'!O$437</f>
        <v>642.75648302236209</v>
      </c>
      <c r="G5233" s="463"/>
      <c r="H5233" s="1276">
        <v>991.78709823400641</v>
      </c>
      <c r="I5233" s="1276">
        <v>994.98851249002291</v>
      </c>
      <c r="J5233" s="1276">
        <v>1021.9738268084473</v>
      </c>
      <c r="K5233" s="1276">
        <v>1023.9027031562326</v>
      </c>
      <c r="L5233" s="463"/>
      <c r="M5233" s="1279">
        <f>C5233/H5233-1</f>
        <v>-1.8942672542785699E-2</v>
      </c>
      <c r="N5233" s="1279">
        <f t="shared" ref="N5233" si="494">D5233/I5233-1</f>
        <v>-0.18692528622724969</v>
      </c>
      <c r="O5233" s="1279">
        <f t="shared" ref="O5233" si="495">E5233/J5233-1</f>
        <v>-0.27254888969005053</v>
      </c>
      <c r="P5233" s="1279">
        <f t="shared" ref="P5233" si="496">F5233/K5233-1</f>
        <v>-0.37224847532775107</v>
      </c>
    </row>
    <row r="5234" spans="2:16">
      <c r="B5234" s="1294" t="s">
        <v>1431</v>
      </c>
      <c r="C5234" s="1297">
        <f>C5233/C5230</f>
        <v>0.17299223223984936</v>
      </c>
      <c r="D5234" s="1297">
        <f t="shared" ref="D5234:F5234" si="497">D5233/D5230</f>
        <v>0.1429076134958488</v>
      </c>
      <c r="E5234" s="1297">
        <f t="shared" si="497"/>
        <v>0.12808456159564907</v>
      </c>
      <c r="F5234" s="1297">
        <f t="shared" si="497"/>
        <v>0.11635802951551297</v>
      </c>
      <c r="G5234" s="1294"/>
      <c r="H5234" s="1297">
        <v>0.17215851395517648</v>
      </c>
      <c r="I5234" s="1297">
        <v>0.16706598476596674</v>
      </c>
      <c r="J5234" s="1297">
        <v>0.1653876011669676</v>
      </c>
      <c r="K5234" s="1297">
        <v>0.16095694844216457</v>
      </c>
      <c r="L5234" s="1294"/>
      <c r="M5234" s="1297"/>
      <c r="N5234" s="1297"/>
      <c r="O5234" s="1297"/>
      <c r="P5234" s="1297"/>
    </row>
    <row r="5235" spans="2:16">
      <c r="B5235" s="463" t="s">
        <v>1552</v>
      </c>
      <c r="C5235" s="1276">
        <f>C5231-C5233</f>
        <v>1255.1349999999998</v>
      </c>
      <c r="D5235" s="1276">
        <f t="shared" ref="D5235:F5235" si="498">D5231-D5233</f>
        <v>1302.2855</v>
      </c>
      <c r="E5235" s="1276">
        <f t="shared" ca="1" si="498"/>
        <v>1725.2098049804872</v>
      </c>
      <c r="F5235" s="1276">
        <f t="shared" si="498"/>
        <v>1738.9289368923089</v>
      </c>
      <c r="G5235" s="463"/>
      <c r="H5235" s="1276">
        <f>H5231-H5233</f>
        <v>1302.3626580055525</v>
      </c>
      <c r="I5235" s="1276">
        <f>I5231-I5233</f>
        <v>1400.1628815465788</v>
      </c>
      <c r="J5235" s="1276">
        <f>J5231-J5233</f>
        <v>1515.1555674626145</v>
      </c>
      <c r="K5235" s="1276">
        <f>K5231-K5233</f>
        <v>1574.8327021088603</v>
      </c>
      <c r="L5235" s="463"/>
      <c r="M5235" s="1279">
        <f>C5235/H5235-1</f>
        <v>-3.6263062147280478E-2</v>
      </c>
      <c r="N5235" s="1279">
        <f t="shared" ref="N5235" si="499">D5235/I5235-1</f>
        <v>-6.9904282449243627E-2</v>
      </c>
      <c r="O5235" s="1279">
        <f t="shared" ref="O5235" ca="1" si="500">E5235/J5235-1</f>
        <v>0.13863542597783818</v>
      </c>
      <c r="P5235" s="1279">
        <f t="shared" ref="P5235" si="501">F5235/K5235-1</f>
        <v>0.10419915370293431</v>
      </c>
    </row>
    <row r="5236" spans="2:16">
      <c r="B5236" s="1298" t="s">
        <v>7662</v>
      </c>
      <c r="C5236" s="1299">
        <f>Valuation!L32</f>
        <v>160.20499999999976</v>
      </c>
      <c r="D5236" s="1299">
        <f>Valuation!M32</f>
        <v>-35.714500000000044</v>
      </c>
      <c r="E5236" s="1299">
        <f ca="1">Valuation!N32</f>
        <v>778.64580000000024</v>
      </c>
      <c r="F5236" s="1299">
        <f ca="1">Valuation!O32</f>
        <v>759.62092045878626</v>
      </c>
      <c r="G5236" s="1298"/>
      <c r="H5236" s="1299">
        <v>170.7473767538427</v>
      </c>
      <c r="I5236" s="1299">
        <v>260.83158013681123</v>
      </c>
      <c r="J5236" s="1299">
        <v>413.16534011296551</v>
      </c>
      <c r="K5236" s="1299">
        <v>473.80260420028856</v>
      </c>
      <c r="L5236" s="1298"/>
      <c r="M5236" s="1296">
        <f>C5236/H5236-1</f>
        <v>-6.1742540086231146E-2</v>
      </c>
      <c r="N5236" s="1296">
        <f>D5236/I5236-1</f>
        <v>-1.1369255209866347</v>
      </c>
      <c r="O5236" s="1296">
        <f ca="1">E5236/J5236-1</f>
        <v>0.88458644616004567</v>
      </c>
      <c r="P5236" s="1296">
        <f ca="1">F5236/K5236-1</f>
        <v>0.6032434472176833</v>
      </c>
    </row>
    <row r="5237" spans="2:16">
      <c r="B5237" s="463"/>
      <c r="C5237" s="1283"/>
      <c r="D5237" s="1276"/>
      <c r="E5237" s="1276"/>
      <c r="F5237" s="1276"/>
      <c r="G5237" s="463"/>
      <c r="H5237" s="1283"/>
      <c r="I5237" s="1276"/>
      <c r="J5237" s="1276"/>
      <c r="K5237" s="1276"/>
      <c r="L5237" s="463"/>
      <c r="M5237" s="1279"/>
      <c r="N5237" s="1279"/>
      <c r="O5237" s="1279"/>
      <c r="P5237" s="1279"/>
    </row>
    <row r="5238" spans="2:16">
      <c r="B5238" s="627" t="s">
        <v>7663</v>
      </c>
    </row>
    <row r="5239" spans="2:16">
      <c r="B5239" s="463"/>
    </row>
    <row r="5240" spans="2:16">
      <c r="B5240" s="463" t="s">
        <v>2449</v>
      </c>
      <c r="C5240" s="1291">
        <v>10000</v>
      </c>
    </row>
    <row r="5241" spans="2:16">
      <c r="B5241" s="463" t="s">
        <v>7665</v>
      </c>
      <c r="C5241" s="1291">
        <v>150000</v>
      </c>
    </row>
    <row r="5242" spans="2:16">
      <c r="B5242" s="463" t="s">
        <v>7666</v>
      </c>
      <c r="C5242" s="464">
        <f>C5240*C5241/1000000</f>
        <v>1500</v>
      </c>
    </row>
    <row r="5244" spans="2:16">
      <c r="B5244" s="463" t="s">
        <v>1243</v>
      </c>
      <c r="C5244" s="1300">
        <v>15</v>
      </c>
    </row>
    <row r="5245" spans="2:16">
      <c r="B5245" s="463" t="s">
        <v>7863</v>
      </c>
      <c r="C5245" s="1300">
        <v>7</v>
      </c>
    </row>
    <row r="5246" spans="2:16">
      <c r="B5246" s="463" t="s">
        <v>7864</v>
      </c>
      <c r="C5246">
        <f>C5245*C5249</f>
        <v>700</v>
      </c>
    </row>
    <row r="5247" spans="2:16">
      <c r="B5247" s="463" t="s">
        <v>2808</v>
      </c>
      <c r="C5247" s="464">
        <f>C5242-C5246</f>
        <v>800</v>
      </c>
    </row>
    <row r="5248" spans="2:16">
      <c r="C5248" s="463" t="s">
        <v>1823</v>
      </c>
    </row>
    <row r="5249" spans="2:7">
      <c r="B5249" s="463" t="s">
        <v>7664</v>
      </c>
      <c r="C5249">
        <f>C5242/C5244</f>
        <v>100</v>
      </c>
      <c r="F5249" s="464">
        <f>Valuation!M16</f>
        <v>6999</v>
      </c>
      <c r="G5249" s="464">
        <f>F5249-C5242</f>
        <v>5499</v>
      </c>
    </row>
    <row r="5250" spans="2:7">
      <c r="F5250" s="464">
        <f>Valuation!M21</f>
        <v>2111.2855</v>
      </c>
      <c r="G5250" s="464">
        <f>F5250-C5249</f>
        <v>2011.2855</v>
      </c>
    </row>
    <row r="5251" spans="2:7">
      <c r="F5251" s="468">
        <f>F5249/F5250</f>
        <v>3.3150419495610612</v>
      </c>
      <c r="G5251" s="468">
        <f>G5249/G5250</f>
        <v>2.7340723134532618</v>
      </c>
    </row>
    <row r="5252" spans="2:7">
      <c r="B5252" s="627" t="s">
        <v>7667</v>
      </c>
    </row>
    <row r="5254" spans="2:7">
      <c r="B5254" s="463" t="s">
        <v>7668</v>
      </c>
      <c r="C5254">
        <f>C5249</f>
        <v>100</v>
      </c>
    </row>
    <row r="5255" spans="2:7">
      <c r="B5255" s="1212" t="s">
        <v>7669</v>
      </c>
      <c r="C5255" s="455">
        <v>20</v>
      </c>
    </row>
    <row r="5256" spans="2:7">
      <c r="B5256" s="463" t="s">
        <v>523</v>
      </c>
      <c r="C5256">
        <f>C5254+C5255</f>
        <v>120</v>
      </c>
    </row>
    <row r="5258" spans="2:7">
      <c r="B5258" t="s">
        <v>7670</v>
      </c>
      <c r="C5258">
        <f>C5255</f>
        <v>20</v>
      </c>
    </row>
    <row r="5259" spans="2:7">
      <c r="B5259" s="455" t="s">
        <v>7671</v>
      </c>
      <c r="C5259" s="455">
        <v>10</v>
      </c>
    </row>
    <row r="5260" spans="2:7">
      <c r="B5260" s="463" t="s">
        <v>7672</v>
      </c>
      <c r="C5260">
        <f>C5256-C5258-C5259</f>
        <v>90</v>
      </c>
    </row>
    <row r="5261" spans="2:7">
      <c r="B5261" s="463" t="s">
        <v>1434</v>
      </c>
      <c r="C5261" s="449">
        <f>C5260/C5256</f>
        <v>0.75</v>
      </c>
    </row>
    <row r="5262" spans="2:7">
      <c r="B5262" s="463"/>
      <c r="C5262" s="449"/>
    </row>
    <row r="5263" spans="2:7">
      <c r="B5263" s="463" t="s">
        <v>7673</v>
      </c>
      <c r="C5263">
        <f>C5256-C5259</f>
        <v>110</v>
      </c>
    </row>
    <row r="5264" spans="2:7">
      <c r="B5264" s="463" t="s">
        <v>1434</v>
      </c>
      <c r="C5264" s="449">
        <f>C5263/C5256</f>
        <v>0.91666666666666663</v>
      </c>
    </row>
    <row r="5266" spans="2:3">
      <c r="B5266" s="463" t="s">
        <v>3054</v>
      </c>
      <c r="C5266" s="999">
        <v>5</v>
      </c>
    </row>
    <row r="5267" spans="2:3">
      <c r="B5267" s="463" t="s">
        <v>1381</v>
      </c>
      <c r="C5267">
        <f>C5266*C5260</f>
        <v>450</v>
      </c>
    </row>
    <row r="5268" spans="2:3">
      <c r="B5268" s="463" t="s">
        <v>109</v>
      </c>
      <c r="C5268">
        <f>C5242-C5267</f>
        <v>1050</v>
      </c>
    </row>
    <row r="5270" spans="2:3">
      <c r="B5270" s="463" t="s">
        <v>7677</v>
      </c>
      <c r="C5270" s="449">
        <v>0.65</v>
      </c>
    </row>
    <row r="5271" spans="2:3">
      <c r="B5271" s="463" t="s">
        <v>2392</v>
      </c>
      <c r="C5271" s="454">
        <f>C5270*C5268</f>
        <v>682.5</v>
      </c>
    </row>
    <row r="5272" spans="2:3">
      <c r="B5272" s="463"/>
      <c r="C5272" s="454"/>
    </row>
    <row r="5273" spans="2:3">
      <c r="B5273" s="451" t="s">
        <v>7679</v>
      </c>
      <c r="C5273" s="504">
        <v>2023</v>
      </c>
    </row>
    <row r="5274" spans="2:3">
      <c r="B5274" s="463" t="s">
        <v>7680</v>
      </c>
      <c r="C5274" s="454">
        <f>Valuation!M16</f>
        <v>6999</v>
      </c>
    </row>
    <row r="5275" spans="2:3" ht="15.75" thickBot="1">
      <c r="B5275" s="463" t="s">
        <v>7681</v>
      </c>
      <c r="C5275" s="454">
        <f>Valuation!M21</f>
        <v>2111.2855</v>
      </c>
    </row>
    <row r="5276" spans="2:3" ht="15.75" thickBot="1">
      <c r="B5276" s="1223" t="s">
        <v>7684</v>
      </c>
      <c r="C5276" s="1301">
        <f>C5274/C5275</f>
        <v>3.3150419495610612</v>
      </c>
    </row>
    <row r="5277" spans="2:3">
      <c r="B5277" s="463"/>
      <c r="C5277" s="449"/>
    </row>
    <row r="5278" spans="2:3">
      <c r="B5278" s="463" t="s">
        <v>7682</v>
      </c>
      <c r="C5278" s="999">
        <v>5</v>
      </c>
    </row>
    <row r="5279" spans="2:3">
      <c r="B5279" s="463" t="s">
        <v>7683</v>
      </c>
      <c r="C5279" s="454">
        <f>C5278*C5249</f>
        <v>500</v>
      </c>
    </row>
    <row r="5280" spans="2:3">
      <c r="B5280" s="463" t="s">
        <v>5571</v>
      </c>
      <c r="C5280" s="454">
        <f>C5274-C5267-C5271+C5279</f>
        <v>6366.5</v>
      </c>
    </row>
    <row r="5281" spans="2:3" ht="15.75" thickBot="1">
      <c r="B5281" s="463" t="s">
        <v>4198</v>
      </c>
      <c r="C5281" s="454">
        <f>C5275-C5249</f>
        <v>2011.2855</v>
      </c>
    </row>
    <row r="5282" spans="2:3" ht="15.75" thickBot="1">
      <c r="B5282" s="1223" t="s">
        <v>7685</v>
      </c>
      <c r="C5282" s="1301">
        <f>C5280/C5281</f>
        <v>3.1653885040189471</v>
      </c>
    </row>
    <row r="5284" spans="2:3">
      <c r="B5284" s="463" t="s">
        <v>245</v>
      </c>
      <c r="C5284" s="464">
        <f>C5242</f>
        <v>1500</v>
      </c>
    </row>
    <row r="5285" spans="2:3">
      <c r="B5285" s="463" t="s">
        <v>2222</v>
      </c>
      <c r="C5285" s="464">
        <f>C5290</f>
        <v>500</v>
      </c>
    </row>
    <row r="5286" spans="2:3">
      <c r="B5286" s="463" t="s">
        <v>3362</v>
      </c>
      <c r="C5286" s="464">
        <f>C5284+C5285</f>
        <v>2000</v>
      </c>
    </row>
    <row r="5287" spans="2:3">
      <c r="B5287" s="463"/>
      <c r="C5287" s="464"/>
    </row>
    <row r="5288" spans="2:3">
      <c r="B5288" s="463" t="s">
        <v>7674</v>
      </c>
    </row>
    <row r="5289" spans="2:3">
      <c r="B5289" s="1221" t="s">
        <v>7675</v>
      </c>
      <c r="C5289">
        <v>1000</v>
      </c>
    </row>
    <row r="5290" spans="2:3">
      <c r="B5290" s="1222" t="s">
        <v>7676</v>
      </c>
      <c r="C5290" s="455">
        <v>500</v>
      </c>
    </row>
    <row r="5291" spans="2:3">
      <c r="B5291" s="463" t="s">
        <v>7678</v>
      </c>
      <c r="C5291">
        <f>SUM(C5289:C5290)</f>
        <v>1500</v>
      </c>
    </row>
    <row r="5292" spans="2:3">
      <c r="B5292" s="463" t="s">
        <v>7677</v>
      </c>
      <c r="C5292" s="449">
        <v>0.55000000000000004</v>
      </c>
    </row>
    <row r="5295" spans="2:3">
      <c r="B5295" s="627" t="s">
        <v>7553</v>
      </c>
    </row>
    <row r="5297" spans="2:4">
      <c r="B5297" s="463" t="s">
        <v>7566</v>
      </c>
      <c r="C5297" s="531">
        <v>23.5</v>
      </c>
      <c r="D5297">
        <v>224.9</v>
      </c>
    </row>
    <row r="5298" spans="2:4">
      <c r="B5298" s="463" t="s">
        <v>7559</v>
      </c>
      <c r="C5298" s="531"/>
    </row>
    <row r="5299" spans="2:4">
      <c r="B5299" s="463" t="s">
        <v>7554</v>
      </c>
      <c r="C5299">
        <v>10.61</v>
      </c>
      <c r="D5299">
        <v>106</v>
      </c>
    </row>
    <row r="5301" spans="2:4">
      <c r="B5301" s="463" t="s">
        <v>7555</v>
      </c>
      <c r="C5301">
        <v>10</v>
      </c>
      <c r="D5301">
        <f>C5301</f>
        <v>10</v>
      </c>
    </row>
    <row r="5302" spans="2:4">
      <c r="B5302" s="463" t="s">
        <v>7556</v>
      </c>
      <c r="C5302">
        <v>7</v>
      </c>
      <c r="D5302">
        <f>C5302</f>
        <v>7</v>
      </c>
    </row>
    <row r="5303" spans="2:4">
      <c r="B5303" s="463" t="s">
        <v>7557</v>
      </c>
      <c r="C5303">
        <f>C5302/C5301</f>
        <v>0.7</v>
      </c>
      <c r="D5303">
        <f>D5302/D5301</f>
        <v>0.7</v>
      </c>
    </row>
    <row r="5305" spans="2:4">
      <c r="B5305" t="s">
        <v>7558</v>
      </c>
      <c r="C5305" s="468">
        <f>C5299/C5303</f>
        <v>15.157142857142857</v>
      </c>
      <c r="D5305" s="468">
        <f>D5299/D5303</f>
        <v>151.42857142857144</v>
      </c>
    </row>
    <row r="5306" spans="2:4">
      <c r="B5306" t="s">
        <v>7560</v>
      </c>
      <c r="C5306" s="449">
        <f>C5305/C5297-1</f>
        <v>-0.35501519756838906</v>
      </c>
      <c r="D5306" s="449">
        <f>D5305/D5297-1</f>
        <v>-0.32668487581782379</v>
      </c>
    </row>
    <row r="5308" spans="2:4">
      <c r="B5308" s="463" t="s">
        <v>1597</v>
      </c>
      <c r="C5308">
        <v>70.400000000000006</v>
      </c>
      <c r="D5308">
        <f>C5308</f>
        <v>70.400000000000006</v>
      </c>
    </row>
    <row r="5309" spans="2:4">
      <c r="B5309" s="463" t="s">
        <v>7561</v>
      </c>
      <c r="C5309" s="468">
        <f>C5308*C5299</f>
        <v>746.94400000000007</v>
      </c>
      <c r="D5309" s="468">
        <f>D5308*D5299</f>
        <v>7462.4000000000005</v>
      </c>
    </row>
    <row r="5311" spans="2:4">
      <c r="B5311" s="463" t="s">
        <v>7562</v>
      </c>
      <c r="C5311" s="464">
        <f>C5308/0.7</f>
        <v>100.57142857142858</v>
      </c>
      <c r="D5311" s="464">
        <f>D5308/0.7</f>
        <v>100.57142857142858</v>
      </c>
    </row>
    <row r="5312" spans="2:4">
      <c r="B5312" s="463" t="s">
        <v>7563</v>
      </c>
      <c r="C5312" s="454">
        <f>C5311*C5297</f>
        <v>2363.4285714285716</v>
      </c>
      <c r="D5312" s="454">
        <f>D5311*D5297</f>
        <v>22618.514285714289</v>
      </c>
    </row>
    <row r="5314" spans="2:6">
      <c r="B5314" s="463" t="s">
        <v>7464</v>
      </c>
      <c r="C5314" s="468">
        <f>C5308*C5299</f>
        <v>746.94400000000007</v>
      </c>
      <c r="D5314" s="468">
        <f>D5308*D5299</f>
        <v>7462.4000000000005</v>
      </c>
    </row>
    <row r="5315" spans="2:6">
      <c r="B5315" s="463" t="s">
        <v>7564</v>
      </c>
      <c r="C5315" s="454">
        <f>C5312+C5314</f>
        <v>3110.3725714285715</v>
      </c>
      <c r="D5315" s="454">
        <f>D5312+D5314</f>
        <v>30080.914285714291</v>
      </c>
    </row>
    <row r="5316" spans="2:6">
      <c r="B5316" s="463" t="s">
        <v>7565</v>
      </c>
      <c r="C5316" s="468">
        <f>C5315/(C5311+C5308)</f>
        <v>18.19235294117647</v>
      </c>
      <c r="D5316" s="468">
        <f>D5315/(D5311+D5308)</f>
        <v>175.94117647058823</v>
      </c>
    </row>
    <row r="5317" spans="2:6">
      <c r="C5317" s="449">
        <f>C5299/C5316-1</f>
        <v>-0.41678791994050501</v>
      </c>
      <c r="D5317" s="449">
        <f>D5299/D5316-1</f>
        <v>-0.3975259110665329</v>
      </c>
    </row>
    <row r="5319" spans="2:6">
      <c r="B5319" s="499" t="s">
        <v>7567</v>
      </c>
    </row>
    <row r="5320" spans="2:6">
      <c r="B5320" s="463" t="s">
        <v>7568</v>
      </c>
      <c r="C5320">
        <f>C5297*10</f>
        <v>235</v>
      </c>
      <c r="D5320">
        <f>D5297*10</f>
        <v>2249</v>
      </c>
      <c r="F5320" s="464">
        <f>D5297-D5311</f>
        <v>124.32857142857142</v>
      </c>
    </row>
    <row r="5321" spans="2:6">
      <c r="B5321" s="463" t="s">
        <v>7569</v>
      </c>
      <c r="C5321">
        <f>7*C5299</f>
        <v>74.27</v>
      </c>
      <c r="D5321">
        <f>7*D5299</f>
        <v>742</v>
      </c>
    </row>
    <row r="5322" spans="2:6">
      <c r="B5322" s="463" t="s">
        <v>7570</v>
      </c>
      <c r="C5322">
        <f>C5320+C5321</f>
        <v>309.27</v>
      </c>
      <c r="D5322">
        <f>D5320+D5321</f>
        <v>2991</v>
      </c>
    </row>
    <row r="5323" spans="2:6">
      <c r="B5323" s="463" t="s">
        <v>7571</v>
      </c>
      <c r="C5323" s="468">
        <f>C5322/17</f>
        <v>18.19235294117647</v>
      </c>
      <c r="D5323" s="468">
        <f>D5322/17</f>
        <v>175.94117647058823</v>
      </c>
    </row>
    <row r="5324" spans="2:6">
      <c r="B5324" s="463" t="s">
        <v>7574</v>
      </c>
      <c r="C5324" s="468">
        <f>C5297-C5316</f>
        <v>5.3076470588235303</v>
      </c>
      <c r="D5324" s="468">
        <f>D5297-D5316</f>
        <v>48.958823529411774</v>
      </c>
    </row>
    <row r="5326" spans="2:6">
      <c r="B5326" s="463" t="s">
        <v>7572</v>
      </c>
      <c r="C5326" s="468">
        <f>1/0.7</f>
        <v>1.4285714285714286</v>
      </c>
      <c r="D5326" s="468">
        <f>1/0.7</f>
        <v>1.4285714285714286</v>
      </c>
    </row>
    <row r="5327" spans="2:6">
      <c r="B5327" s="463" t="s">
        <v>7573</v>
      </c>
      <c r="C5327" s="468">
        <f>C5324/C5326</f>
        <v>3.7153529411764712</v>
      </c>
      <c r="D5327" s="468">
        <f>D5324/D5326</f>
        <v>34.271176470588237</v>
      </c>
    </row>
    <row r="5331" spans="2:5">
      <c r="B5331" s="451" t="s">
        <v>7095</v>
      </c>
      <c r="C5331" s="451">
        <v>2022</v>
      </c>
      <c r="D5331" s="451">
        <f>C5331+1</f>
        <v>2023</v>
      </c>
      <c r="E5331" s="451">
        <f>D5331+1</f>
        <v>2024</v>
      </c>
    </row>
    <row r="5333" spans="2:5">
      <c r="B5333" t="s">
        <v>7627</v>
      </c>
      <c r="C5333">
        <v>50</v>
      </c>
      <c r="D5333">
        <v>50</v>
      </c>
      <c r="E5333">
        <v>50</v>
      </c>
    </row>
    <row r="5334" spans="2:5">
      <c r="B5334" s="463" t="s">
        <v>5950</v>
      </c>
      <c r="C5334" s="456">
        <f>C5333/Master!Y5</f>
        <v>8.8896316670015081E-3</v>
      </c>
      <c r="D5334" s="456">
        <f>D5333/Master!Z5</f>
        <v>8.8323617735382443E-3</v>
      </c>
      <c r="E5334" s="456">
        <f>E5333/Master!AA5</f>
        <v>8.6143637417157373E-3</v>
      </c>
    </row>
    <row r="5336" spans="2:5">
      <c r="B5336" s="463" t="s">
        <v>7628</v>
      </c>
      <c r="C5336">
        <v>50</v>
      </c>
      <c r="D5336">
        <v>50</v>
      </c>
      <c r="E5336">
        <v>50</v>
      </c>
    </row>
    <row r="5337" spans="2:5">
      <c r="B5337" s="463" t="s">
        <v>70</v>
      </c>
      <c r="C5337" s="456">
        <f>C5336/Master!X5</f>
        <v>7.6080340839926961E-3</v>
      </c>
      <c r="D5337" s="456">
        <f>D5336/Master!Y5</f>
        <v>8.8896316670015081E-3</v>
      </c>
      <c r="E5337" s="456">
        <f>E5336/Master!Z5</f>
        <v>8.8323617735382443E-3</v>
      </c>
    </row>
    <row r="5339" spans="2:5">
      <c r="B5339" s="450" t="s">
        <v>4288</v>
      </c>
      <c r="C5339" s="450"/>
    </row>
    <row r="5341" spans="2:5">
      <c r="B5341" t="s">
        <v>7630</v>
      </c>
      <c r="C5341">
        <v>1.5</v>
      </c>
    </row>
    <row r="5342" spans="2:5">
      <c r="B5342" t="s">
        <v>70</v>
      </c>
      <c r="C5342" s="449">
        <v>0.2</v>
      </c>
    </row>
    <row r="5343" spans="2:5">
      <c r="B5343" t="s">
        <v>2324</v>
      </c>
      <c r="C5343">
        <f>C5341/C5342</f>
        <v>7.5</v>
      </c>
    </row>
    <row r="5344" spans="2:5">
      <c r="B5344" s="452" t="s">
        <v>7631</v>
      </c>
      <c r="C5344">
        <v>0.25</v>
      </c>
    </row>
    <row r="5345" spans="2:12">
      <c r="B5345" s="452" t="s">
        <v>7632</v>
      </c>
      <c r="C5345">
        <f>C5343-C5344</f>
        <v>7.25</v>
      </c>
    </row>
    <row r="5349" spans="2:12">
      <c r="C5349" s="560" t="str">
        <f>'New (new) quarts'!AU2</f>
        <v>Q1 22</v>
      </c>
      <c r="D5349" s="560" t="str">
        <f>'New (new) quarts'!AV2</f>
        <v>Q2 22</v>
      </c>
      <c r="E5349" s="560" t="str">
        <f>'New (new) quarts'!AW2</f>
        <v>Q3 22</v>
      </c>
      <c r="F5349" s="560" t="e">
        <f>'New (new) quarts'!#REF!</f>
        <v>#REF!</v>
      </c>
      <c r="G5349" s="560" t="e">
        <f>'New (new) quarts'!#REF!</f>
        <v>#REF!</v>
      </c>
      <c r="H5349" s="560" t="e">
        <f>'New (new) quarts'!#REF!</f>
        <v>#REF!</v>
      </c>
      <c r="I5349" s="560" t="str">
        <f>'New (new) quarts'!CZ2</f>
        <v>Q3 23e</v>
      </c>
      <c r="J5349" s="560" t="str">
        <f>'New (new) quarts'!BC2</f>
        <v>Q4 23</v>
      </c>
      <c r="K5349" s="560">
        <v>2024</v>
      </c>
      <c r="L5349" s="560">
        <v>2024</v>
      </c>
    </row>
    <row r="5350" spans="2:12">
      <c r="B5350" s="463" t="s">
        <v>1531</v>
      </c>
      <c r="C5350" s="456">
        <f>'New (new) quarts'!AU348</f>
        <v>4.1955846210490748E-2</v>
      </c>
      <c r="D5350" s="456">
        <f>'New (new) quarts'!AV348</f>
        <v>4.210520106860019E-2</v>
      </c>
      <c r="E5350" s="456">
        <f>'New (new) quarts'!AW348</f>
        <v>2.4939695336625146E-2</v>
      </c>
      <c r="F5350" s="456" t="e">
        <f>'New (new) quarts'!#REF!</f>
        <v>#REF!</v>
      </c>
      <c r="G5350" s="456" t="e">
        <f>'New (new) quarts'!#REF!</f>
        <v>#REF!</v>
      </c>
      <c r="H5350" s="456" t="e">
        <f>'New (new) quarts'!#REF!</f>
        <v>#REF!</v>
      </c>
      <c r="I5350" s="456">
        <f>'New (new) quarts'!CZ348</f>
        <v>2.1067679635495731E-2</v>
      </c>
      <c r="J5350" s="456">
        <f>'New (new) quarts'!BC348</f>
        <v>4.2097152966228679E-2</v>
      </c>
    </row>
    <row r="5351" spans="2:12">
      <c r="B5351" s="463"/>
      <c r="C5351" s="456"/>
      <c r="D5351" s="456"/>
      <c r="E5351" s="456"/>
      <c r="F5351" s="456"/>
      <c r="G5351" s="456"/>
      <c r="H5351" s="456"/>
      <c r="I5351" s="456"/>
      <c r="J5351" s="456"/>
    </row>
    <row r="5352" spans="2:12">
      <c r="B5352" s="463"/>
      <c r="C5352" s="456"/>
      <c r="D5352" s="456"/>
      <c r="E5352" s="456"/>
      <c r="F5352" s="456"/>
      <c r="G5352" s="456"/>
      <c r="H5352" s="456"/>
      <c r="I5352" s="456"/>
      <c r="J5352" s="456"/>
    </row>
    <row r="5353" spans="2:12">
      <c r="B5353" s="463" t="s">
        <v>2379</v>
      </c>
      <c r="C5353" s="456">
        <f>'New (new) quarts'!AU351</f>
        <v>8.0000000000000002E-3</v>
      </c>
      <c r="D5353" s="456">
        <f>'New (new) quarts'!AV351</f>
        <v>1.1000000000000001E-2</v>
      </c>
      <c r="E5353" s="456">
        <f>'New (new) quarts'!AW351</f>
        <v>-5.0000000000000001E-3</v>
      </c>
      <c r="F5353" s="456" t="e">
        <f>'New (new) quarts'!#REF!</f>
        <v>#REF!</v>
      </c>
      <c r="G5353" s="456" t="e">
        <f>'New (new) quarts'!#REF!</f>
        <v>#REF!</v>
      </c>
      <c r="H5353" s="456" t="e">
        <f>'New (new) quarts'!#REF!</f>
        <v>#REF!</v>
      </c>
      <c r="I5353" s="456">
        <f>'New (new) quarts'!CZ351</f>
        <v>-0.01</v>
      </c>
      <c r="J5353" s="456">
        <f>'New (new) quarts'!BC351</f>
        <v>-2.3E-2</v>
      </c>
      <c r="K5353" s="449">
        <f>'New split'!N209</f>
        <v>2.8394473558837507E-2</v>
      </c>
      <c r="L5353" s="449">
        <f>'New split'!O209</f>
        <v>2.5999999999999999E-2</v>
      </c>
    </row>
    <row r="5376" spans="2:5">
      <c r="B5376" s="451"/>
      <c r="C5376" s="560" t="str">
        <f>Valuation!L6</f>
        <v>2022A</v>
      </c>
      <c r="D5376" s="560" t="str">
        <f>Valuation!M6</f>
        <v>2023A</v>
      </c>
      <c r="E5376" s="560" t="str">
        <f>Valuation!N6</f>
        <v>2024A</v>
      </c>
    </row>
    <row r="5377" spans="2:5">
      <c r="B5377" s="1305" t="str">
        <f>Valuation!A21</f>
        <v>EBITDA</v>
      </c>
      <c r="C5377" s="1306">
        <f>Valuation!L21</f>
        <v>2228.1349999999998</v>
      </c>
      <c r="D5377" s="1306">
        <f>Valuation!M21</f>
        <v>2111.2855</v>
      </c>
      <c r="E5377" s="1306">
        <f ca="1">Valuation!N21</f>
        <v>2468.6458000000002</v>
      </c>
    </row>
    <row r="5378" spans="2:5">
      <c r="B5378" t="str">
        <f>Valuation!A22</f>
        <v xml:space="preserve">Less Capex </v>
      </c>
      <c r="C5378" s="464">
        <f>Valuation!L22</f>
        <v>-957</v>
      </c>
      <c r="D5378" s="464">
        <f>Valuation!M22</f>
        <v>-931</v>
      </c>
      <c r="E5378" s="464">
        <f>Valuation!N22</f>
        <v>-575</v>
      </c>
    </row>
    <row r="5379" spans="2:5">
      <c r="B5379" s="1288" t="str">
        <f>Valuation!A23</f>
        <v>Financing costs</v>
      </c>
      <c r="C5379" s="1285">
        <f>Valuation!L23</f>
        <v>-688</v>
      </c>
      <c r="D5379" s="1285">
        <f>Valuation!M23</f>
        <v>-766</v>
      </c>
      <c r="E5379" s="1285">
        <f>Valuation!N23</f>
        <v>-780</v>
      </c>
    </row>
    <row r="5380" spans="2:5">
      <c r="B5380" t="str">
        <f>Valuation!A24</f>
        <v>Associate CF</v>
      </c>
      <c r="C5380" s="464">
        <f>Valuation!L24</f>
        <v>88</v>
      </c>
      <c r="D5380" s="464">
        <f>Valuation!M24</f>
        <v>86</v>
      </c>
      <c r="E5380" s="464">
        <f>Valuation!N24</f>
        <v>89</v>
      </c>
    </row>
    <row r="5381" spans="2:5">
      <c r="B5381" s="1288" t="e">
        <f>Valuation!#REF!</f>
        <v>#REF!</v>
      </c>
      <c r="C5381" s="1285" t="e">
        <f>Valuation!#REF!</f>
        <v>#REF!</v>
      </c>
      <c r="D5381" s="1285" t="e">
        <f>Valuation!#REF!</f>
        <v>#REF!</v>
      </c>
      <c r="E5381" s="1285" t="e">
        <f>Valuation!#REF!</f>
        <v>#REF!</v>
      </c>
    </row>
    <row r="5382" spans="2:5">
      <c r="B5382" t="str">
        <f>Valuation!A25</f>
        <v>Less Tax</v>
      </c>
      <c r="C5382" s="464">
        <f>Valuation!L25</f>
        <v>-316</v>
      </c>
      <c r="D5382" s="464">
        <f>Valuation!M25</f>
        <v>-233</v>
      </c>
      <c r="E5382" s="464">
        <f>Valuation!N25</f>
        <v>-239</v>
      </c>
    </row>
    <row r="5383" spans="2:5">
      <c r="B5383" s="1289" t="str">
        <f>Valuation!A26</f>
        <v>Less Minorities (CF)</v>
      </c>
      <c r="C5383" s="1287">
        <f>Valuation!L26</f>
        <v>-4</v>
      </c>
      <c r="D5383" s="1287">
        <f>Valuation!M26</f>
        <v>0</v>
      </c>
      <c r="E5383" s="1287">
        <f>Valuation!N26</f>
        <v>0</v>
      </c>
    </row>
    <row r="5384" spans="2:5">
      <c r="B5384" s="463" t="s">
        <v>7801</v>
      </c>
      <c r="C5384" s="464">
        <f>Valuation!L27</f>
        <v>351.13499999999976</v>
      </c>
      <c r="D5384" s="464">
        <f>Valuation!M27</f>
        <v>267.28549999999996</v>
      </c>
      <c r="E5384" s="464">
        <f ca="1">Valuation!N27</f>
        <v>963.64580000000024</v>
      </c>
    </row>
    <row r="5385" spans="2:5">
      <c r="B5385" s="1294"/>
      <c r="C5385" s="1285"/>
      <c r="D5385" s="1285"/>
      <c r="E5385" s="1285"/>
    </row>
    <row r="5386" spans="2:5">
      <c r="B5386" t="str">
        <f>Valuation!A28</f>
        <v>Cash spectrum</v>
      </c>
      <c r="C5386" s="464">
        <f>Valuation!L28</f>
        <v>92.93</v>
      </c>
      <c r="D5386" s="464">
        <f>Valuation!M28</f>
        <v>236</v>
      </c>
      <c r="E5386" s="464">
        <f>Valuation!N28</f>
        <v>135</v>
      </c>
    </row>
    <row r="5387" spans="2:5">
      <c r="B5387" s="1294" t="s">
        <v>7802</v>
      </c>
      <c r="C5387" s="1285">
        <f>Valuation!L29</f>
        <v>258.20499999999976</v>
      </c>
      <c r="D5387" s="1285">
        <f>Valuation!M29</f>
        <v>31.285499999999956</v>
      </c>
      <c r="E5387" s="1285">
        <f ca="1">Valuation!N29</f>
        <v>828.64580000000024</v>
      </c>
    </row>
    <row r="5388" spans="2:5">
      <c r="B5388" s="463"/>
      <c r="C5388" s="464"/>
      <c r="D5388" s="464"/>
      <c r="E5388" s="464"/>
    </row>
    <row r="5389" spans="2:5">
      <c r="B5389" s="1288" t="str">
        <f>Valuation!A30</f>
        <v>Discontinued operations/other</v>
      </c>
      <c r="C5389" s="1285">
        <f>Valuation!L30</f>
        <v>53</v>
      </c>
      <c r="D5389" s="1285">
        <f>Valuation!M30</f>
        <v>56</v>
      </c>
      <c r="E5389" s="1285">
        <f>Valuation!N30</f>
        <v>47</v>
      </c>
    </row>
    <row r="5390" spans="2:5" ht="15.75" thickBot="1">
      <c r="B5390" t="str">
        <f>Valuation!A31</f>
        <v>Working capital (capex / offset)</v>
      </c>
      <c r="C5390" s="464">
        <f>Valuation!L31</f>
        <v>-151</v>
      </c>
      <c r="D5390" s="464">
        <f>Valuation!M31</f>
        <v>-123</v>
      </c>
      <c r="E5390" s="464">
        <f>Valuation!N31</f>
        <v>-97</v>
      </c>
    </row>
    <row r="5391" spans="2:5">
      <c r="B5391" s="1307" t="str">
        <f>Valuation!A32</f>
        <v>EFCF TIGO definition</v>
      </c>
      <c r="C5391" s="1308">
        <f>Valuation!L32</f>
        <v>160.20499999999976</v>
      </c>
      <c r="D5391" s="1308">
        <f>Valuation!M32</f>
        <v>-35.714500000000044</v>
      </c>
      <c r="E5391" s="1309">
        <f ca="1">Valuation!N32</f>
        <v>778.64580000000024</v>
      </c>
    </row>
    <row r="5392" spans="2:5" ht="15.75" thickBot="1">
      <c r="B5392" s="1302" t="s">
        <v>7800</v>
      </c>
      <c r="C5392" s="1303"/>
      <c r="D5392" s="1303"/>
      <c r="E5392" s="1304">
        <f ca="1">SUM(C5391:E5391)</f>
        <v>903.13629999999989</v>
      </c>
    </row>
    <row r="5395" spans="2:6">
      <c r="B5395" s="627" t="s">
        <v>1250</v>
      </c>
    </row>
    <row r="5396" spans="2:6">
      <c r="B5396" s="463"/>
    </row>
    <row r="5397" spans="2:6">
      <c r="B5397" s="451" t="s">
        <v>5529</v>
      </c>
      <c r="C5397" s="451">
        <v>2022</v>
      </c>
      <c r="D5397" s="451">
        <f>C5397+1</f>
        <v>2023</v>
      </c>
      <c r="E5397" s="451">
        <f t="shared" ref="E5397:F5397" si="502">D5397+1</f>
        <v>2024</v>
      </c>
      <c r="F5397" s="451">
        <f t="shared" si="502"/>
        <v>2025</v>
      </c>
    </row>
    <row r="5398" spans="2:6">
      <c r="B5398" s="463" t="s">
        <v>360</v>
      </c>
      <c r="C5398" s="464">
        <f>Valuation!L21</f>
        <v>2228.1349999999998</v>
      </c>
      <c r="D5398" s="464">
        <f>Valuation!M21</f>
        <v>2111.2855</v>
      </c>
      <c r="E5398" s="464">
        <f ca="1">Valuation!N21</f>
        <v>2468.6458000000002</v>
      </c>
      <c r="F5398" s="464">
        <f>Valuation!O21</f>
        <v>2381.685419914671</v>
      </c>
    </row>
    <row r="5399" spans="2:6">
      <c r="B5399" s="463" t="s">
        <v>5729</v>
      </c>
      <c r="C5399" s="1316">
        <v>280</v>
      </c>
      <c r="D5399" s="1317">
        <f>C5399*1.05</f>
        <v>294</v>
      </c>
      <c r="E5399" s="1317">
        <f>D5399*1.05</f>
        <v>308.7</v>
      </c>
      <c r="F5399" s="1317">
        <f>E5399*1.05</f>
        <v>324.13499999999999</v>
      </c>
    </row>
    <row r="5400" spans="2:6">
      <c r="B5400" s="463" t="s">
        <v>7865</v>
      </c>
      <c r="C5400" s="464">
        <f>C5398-C5399</f>
        <v>1948.1349999999998</v>
      </c>
      <c r="D5400" s="464">
        <f t="shared" ref="D5400:F5400" si="503">D5398-D5399</f>
        <v>1817.2855</v>
      </c>
      <c r="E5400" s="464">
        <f t="shared" ca="1" si="503"/>
        <v>2159.9458000000004</v>
      </c>
      <c r="F5400" s="464">
        <f t="shared" si="503"/>
        <v>2057.5504199146708</v>
      </c>
    </row>
    <row r="5401" spans="2:6">
      <c r="B5401" s="463" t="s">
        <v>1545</v>
      </c>
      <c r="C5401" s="464">
        <f>-Valuation!L22</f>
        <v>957</v>
      </c>
      <c r="D5401" s="464">
        <f>-Valuation!M22</f>
        <v>931</v>
      </c>
      <c r="E5401" s="464">
        <f>-Valuation!N22</f>
        <v>575</v>
      </c>
      <c r="F5401" s="464">
        <f>-Valuation!O22</f>
        <v>580.1684569653894</v>
      </c>
    </row>
    <row r="5402" spans="2:6">
      <c r="B5402" s="463" t="s">
        <v>1552</v>
      </c>
      <c r="C5402" s="464">
        <f>C5400-C5401</f>
        <v>991.13499999999976</v>
      </c>
      <c r="D5402" s="464">
        <f t="shared" ref="D5402:F5402" si="504">D5400-D5401</f>
        <v>886.28549999999996</v>
      </c>
      <c r="E5402" s="464">
        <f t="shared" ca="1" si="504"/>
        <v>1584.9458000000004</v>
      </c>
      <c r="F5402" s="464">
        <f t="shared" si="504"/>
        <v>1477.3819629492814</v>
      </c>
    </row>
    <row r="5403" spans="2:6">
      <c r="B5403" s="463" t="s">
        <v>574</v>
      </c>
      <c r="C5403" s="464">
        <f>Valuation!L32</f>
        <v>160.20499999999976</v>
      </c>
      <c r="D5403" s="464">
        <f>Valuation!M32</f>
        <v>-35.714500000000044</v>
      </c>
      <c r="E5403" s="464">
        <f ca="1">Valuation!N32</f>
        <v>778.64580000000024</v>
      </c>
      <c r="F5403" s="464">
        <f ca="1">Valuation!O32</f>
        <v>759.62092045878626</v>
      </c>
    </row>
    <row r="5404" spans="2:6">
      <c r="B5404" s="463" t="s">
        <v>150</v>
      </c>
      <c r="C5404" s="464">
        <f>Valuation!L16</f>
        <v>6815</v>
      </c>
      <c r="D5404" s="464">
        <f>Valuation!M16</f>
        <v>6999</v>
      </c>
      <c r="E5404" s="464">
        <f>Valuation!N16</f>
        <v>6129</v>
      </c>
      <c r="F5404" s="464">
        <f ca="1">Valuation!O16</f>
        <v>5411.8432365614617</v>
      </c>
    </row>
    <row r="5405" spans="2:6">
      <c r="B5405" s="463" t="s">
        <v>7870</v>
      </c>
      <c r="C5405" s="1291">
        <v>1025</v>
      </c>
      <c r="D5405" s="1317">
        <f>C5405*1.05</f>
        <v>1076.25</v>
      </c>
      <c r="E5405" s="1317">
        <f>D5405*1.05</f>
        <v>1130.0625</v>
      </c>
      <c r="F5405" s="1317">
        <f>E5405*1.05</f>
        <v>1186.565625</v>
      </c>
    </row>
    <row r="5406" spans="2:6">
      <c r="B5406" s="463" t="s">
        <v>7871</v>
      </c>
      <c r="C5406" s="464">
        <f>C5404-C5405</f>
        <v>5790</v>
      </c>
      <c r="D5406" s="464">
        <f>D5404-D5405</f>
        <v>5922.75</v>
      </c>
      <c r="E5406" s="464">
        <f>E5404-E5405</f>
        <v>4998.9375</v>
      </c>
      <c r="F5406" s="464">
        <f ca="1">F5404-F5405</f>
        <v>4225.2776115614615</v>
      </c>
    </row>
    <row r="5408" spans="2:6">
      <c r="B5408" s="627" t="s">
        <v>6079</v>
      </c>
    </row>
    <row r="5409" spans="2:6">
      <c r="B5409" s="463"/>
    </row>
    <row r="5410" spans="2:6">
      <c r="B5410" s="451" t="s">
        <v>5529</v>
      </c>
      <c r="C5410" s="451">
        <v>2022</v>
      </c>
      <c r="D5410" s="451">
        <f>C5410+1</f>
        <v>2023</v>
      </c>
      <c r="E5410" s="451">
        <f t="shared" ref="E5410:F5410" si="505">D5410+1</f>
        <v>2024</v>
      </c>
      <c r="F5410" s="451">
        <f t="shared" si="505"/>
        <v>2025</v>
      </c>
    </row>
    <row r="5411" spans="2:6">
      <c r="B5411" s="463" t="s">
        <v>360</v>
      </c>
      <c r="C5411" s="464">
        <v>1728.715407889272</v>
      </c>
      <c r="D5411" s="464">
        <v>1706.682127561724</v>
      </c>
      <c r="E5411" s="464">
        <v>1817.979625595626</v>
      </c>
      <c r="F5411" s="464">
        <v>1867.8804569300669</v>
      </c>
    </row>
    <row r="5412" spans="2:6">
      <c r="B5412" s="463" t="s">
        <v>1545</v>
      </c>
      <c r="C5412" s="464">
        <v>818.29794062904375</v>
      </c>
      <c r="D5412" s="464">
        <v>754.07312307754898</v>
      </c>
      <c r="E5412" s="464">
        <v>744.54521261029663</v>
      </c>
      <c r="F5412" s="464">
        <v>733.56597966739162</v>
      </c>
    </row>
    <row r="5413" spans="2:6">
      <c r="B5413" s="463" t="s">
        <v>1552</v>
      </c>
      <c r="C5413" s="464">
        <f>C5411-C5412</f>
        <v>910.41746726022825</v>
      </c>
      <c r="D5413" s="464">
        <f t="shared" ref="D5413:F5413" si="506">D5411-D5412</f>
        <v>952.60900448417499</v>
      </c>
      <c r="E5413" s="464">
        <f t="shared" si="506"/>
        <v>1073.4344129853293</v>
      </c>
      <c r="F5413" s="464">
        <f t="shared" si="506"/>
        <v>1134.3144772626752</v>
      </c>
    </row>
    <row r="5414" spans="2:6">
      <c r="B5414" s="463" t="s">
        <v>574</v>
      </c>
      <c r="C5414" s="464">
        <v>195.52091981422677</v>
      </c>
      <c r="D5414" s="464">
        <v>311.17640883946149</v>
      </c>
      <c r="E5414" s="464">
        <v>408.21203417049048</v>
      </c>
      <c r="F5414" s="464">
        <v>433.85091403004549</v>
      </c>
    </row>
    <row r="5415" spans="2:6">
      <c r="B5415" s="463" t="s">
        <v>150</v>
      </c>
      <c r="C5415" s="464">
        <v>7074.6995190006855</v>
      </c>
      <c r="D5415" s="464">
        <v>6863.8556822429209</v>
      </c>
      <c r="E5415" s="464">
        <v>6530.4403166313978</v>
      </c>
      <c r="F5415" s="464">
        <v>6179.4096338577583</v>
      </c>
    </row>
    <row r="5417" spans="2:6">
      <c r="B5417" s="627" t="s">
        <v>5427</v>
      </c>
    </row>
    <row r="5418" spans="2:6">
      <c r="B5418" s="463" t="s">
        <v>360</v>
      </c>
      <c r="C5418" s="464">
        <v>2601.6383262824784</v>
      </c>
      <c r="D5418" s="464">
        <v>2725.100264013513</v>
      </c>
      <c r="E5418" s="464">
        <v>2825.9471197013281</v>
      </c>
      <c r="F5418" s="464">
        <v>2883.0765540109805</v>
      </c>
    </row>
    <row r="5419" spans="2:6">
      <c r="B5419" s="463" t="s">
        <v>1545</v>
      </c>
      <c r="C5419" s="464">
        <v>1613.7234548600657</v>
      </c>
      <c r="D5419" s="464">
        <v>1863.0228976070605</v>
      </c>
      <c r="E5419" s="464">
        <v>1810.6225824226503</v>
      </c>
      <c r="F5419" s="464">
        <v>1702.2720162708797</v>
      </c>
    </row>
    <row r="5420" spans="2:6">
      <c r="B5420" s="463" t="s">
        <v>1552</v>
      </c>
      <c r="C5420" s="464">
        <f>C5418-C5419</f>
        <v>987.91487142241272</v>
      </c>
      <c r="D5420" s="464">
        <f t="shared" ref="D5420" si="507">D5418-D5419</f>
        <v>862.07736640645248</v>
      </c>
      <c r="E5420" s="464">
        <f t="shared" ref="E5420" si="508">E5418-E5419</f>
        <v>1015.3245372786778</v>
      </c>
      <c r="F5420" s="464">
        <f t="shared" ref="F5420" si="509">F5418-F5419</f>
        <v>1180.8045377401008</v>
      </c>
    </row>
    <row r="5421" spans="2:6">
      <c r="B5421" s="463" t="s">
        <v>7874</v>
      </c>
      <c r="C5421" s="464">
        <v>1544.7382491152434</v>
      </c>
      <c r="D5421" s="464">
        <v>1461.7388105418866</v>
      </c>
      <c r="E5421" s="464">
        <v>1588.3972318523895</v>
      </c>
      <c r="F5421" s="464">
        <v>1527.0109384785708</v>
      </c>
    </row>
    <row r="5422" spans="2:6">
      <c r="B5422" s="463" t="s">
        <v>150</v>
      </c>
      <c r="C5422" s="464">
        <v>8688.3767098594617</v>
      </c>
      <c r="D5422" s="464">
        <v>8492.6094437503616</v>
      </c>
      <c r="E5422" s="464">
        <v>8223.6837429655134</v>
      </c>
      <c r="F5422" s="464">
        <v>8079.6721979940248</v>
      </c>
    </row>
    <row r="5423" spans="2:6">
      <c r="B5423" s="463" t="s">
        <v>3055</v>
      </c>
      <c r="C5423" s="503">
        <f>C5422/C5418</f>
        <v>3.3395789960837559</v>
      </c>
      <c r="D5423" s="503">
        <f t="shared" ref="D5423:F5423" si="510">D5422/D5418</f>
        <v>3.1164392576302835</v>
      </c>
      <c r="E5423" s="503">
        <f t="shared" si="510"/>
        <v>2.9100628549039045</v>
      </c>
      <c r="F5423" s="503">
        <f t="shared" si="510"/>
        <v>2.8024480261384181</v>
      </c>
    </row>
    <row r="5424" spans="2:6">
      <c r="B5424" s="463" t="s">
        <v>5719</v>
      </c>
      <c r="C5424" s="1318">
        <v>449.34236521000003</v>
      </c>
      <c r="D5424" s="1318">
        <v>399.92785773270003</v>
      </c>
      <c r="E5424" s="1318">
        <v>356.93723622744903</v>
      </c>
      <c r="F5424" s="1318">
        <v>319.53539551788066</v>
      </c>
    </row>
    <row r="5425" spans="2:6">
      <c r="B5425" s="463" t="s">
        <v>5898</v>
      </c>
      <c r="C5425" s="503">
        <f>C5421/C5424</f>
        <v>3.4377756666529997</v>
      </c>
      <c r="D5425" s="503">
        <f t="shared" ref="D5425:F5425" si="511">D5421/D5424</f>
        <v>3.655006227445325</v>
      </c>
      <c r="E5425" s="503">
        <f t="shared" si="511"/>
        <v>4.450074328586509</v>
      </c>
      <c r="F5425" s="503">
        <f t="shared" si="511"/>
        <v>4.7788475389516645</v>
      </c>
    </row>
    <row r="5427" spans="2:6">
      <c r="B5427" s="463" t="s">
        <v>7866</v>
      </c>
      <c r="C5427" s="464">
        <v>3045.6890463861273</v>
      </c>
      <c r="D5427" s="464">
        <v>3692.0954165749354</v>
      </c>
      <c r="E5427" s="464">
        <v>4490.5115756654959</v>
      </c>
      <c r="F5427" s="464">
        <v>5086.3610140688634</v>
      </c>
    </row>
    <row r="5429" spans="2:6">
      <c r="B5429" s="1212" t="s">
        <v>5529</v>
      </c>
      <c r="C5429" s="455"/>
      <c r="D5429" s="455"/>
      <c r="E5429" s="455"/>
      <c r="F5429" s="455"/>
    </row>
    <row r="5430" spans="2:6">
      <c r="B5430" s="1294" t="s">
        <v>7879</v>
      </c>
      <c r="C5430" s="1285">
        <v>22</v>
      </c>
      <c r="D5430" s="1288"/>
      <c r="E5430" s="1288"/>
      <c r="F5430" s="1288"/>
    </row>
    <row r="5431" spans="2:6">
      <c r="B5431" s="463" t="s">
        <v>7880</v>
      </c>
      <c r="C5431" s="464">
        <f>Valuation!L7</f>
        <v>168.95999999999998</v>
      </c>
    </row>
    <row r="5432" spans="2:6">
      <c r="B5432" s="1294" t="s">
        <v>109</v>
      </c>
      <c r="C5432" s="1285">
        <f>C5430*C5431</f>
        <v>3717.1199999999994</v>
      </c>
      <c r="D5432" s="1288"/>
      <c r="E5432" s="1288"/>
      <c r="F5432" s="1288"/>
    </row>
    <row r="5433" spans="2:6">
      <c r="B5433" s="463" t="s">
        <v>150</v>
      </c>
      <c r="C5433" s="464">
        <f>C5404</f>
        <v>6815</v>
      </c>
    </row>
    <row r="5434" spans="2:6">
      <c r="B5434" s="1294" t="s">
        <v>245</v>
      </c>
      <c r="C5434" s="1285">
        <f>C5432+C5433</f>
        <v>10532.119999999999</v>
      </c>
      <c r="D5434" s="1288"/>
      <c r="E5434" s="1288"/>
      <c r="F5434" s="1288"/>
    </row>
    <row r="5435" spans="2:6">
      <c r="B5435" s="463" t="s">
        <v>7869</v>
      </c>
      <c r="C5435" s="464">
        <f>Valuation!L13+Valuation!L14+Valuation!L15+Valuation!L11</f>
        <v>2398.7674070293288</v>
      </c>
    </row>
    <row r="5436" spans="2:6">
      <c r="B5436" s="1294" t="s">
        <v>5546</v>
      </c>
      <c r="C5436" s="1285">
        <f>C5434+C5435</f>
        <v>12930.887407029328</v>
      </c>
      <c r="D5436" s="1288"/>
      <c r="E5436" s="1288"/>
      <c r="F5436" s="1288"/>
    </row>
    <row r="5437" spans="2:6">
      <c r="B5437" s="463"/>
      <c r="C5437" s="464"/>
    </row>
    <row r="5438" spans="2:6">
      <c r="B5438" s="1212"/>
      <c r="C5438" s="451">
        <v>2022</v>
      </c>
      <c r="D5438" s="451">
        <f>C5438+1</f>
        <v>2023</v>
      </c>
      <c r="E5438" s="451">
        <f>D5438+1</f>
        <v>2024</v>
      </c>
      <c r="F5438" s="451">
        <f>E5438+1</f>
        <v>2025</v>
      </c>
    </row>
    <row r="5439" spans="2:6">
      <c r="B5439" s="1294" t="s">
        <v>7884</v>
      </c>
      <c r="C5439" s="1285"/>
      <c r="D5439" s="1319">
        <f>$C$5434/D5398</f>
        <v>4.9884868720975915</v>
      </c>
      <c r="E5439" s="1319">
        <f ca="1">$C$5434/E5398</f>
        <v>4.2663552624681911</v>
      </c>
      <c r="F5439" s="1319">
        <f>$C$5434/F5398</f>
        <v>4.4221289310228613</v>
      </c>
    </row>
    <row r="5440" spans="2:6">
      <c r="B5440" s="463" t="s">
        <v>7885</v>
      </c>
      <c r="C5440" s="464"/>
      <c r="D5440" s="468">
        <f>$C$5436/D5398</f>
        <v>6.1246512643739219</v>
      </c>
      <c r="E5440" s="468">
        <f ca="1">$C$5436/E5398</f>
        <v>5.2380488958883156</v>
      </c>
      <c r="F5440" s="468">
        <f>$C$5436/F5398</f>
        <v>5.4293011574520218</v>
      </c>
    </row>
    <row r="5441" spans="2:6">
      <c r="B5441" s="1294"/>
      <c r="C5441" s="1288"/>
      <c r="D5441" s="1288"/>
      <c r="E5441" s="1288"/>
      <c r="F5441" s="1288"/>
    </row>
    <row r="5442" spans="2:6">
      <c r="B5442" s="627" t="s">
        <v>7872</v>
      </c>
    </row>
    <row r="5443" spans="2:6">
      <c r="B5443" s="1288"/>
      <c r="C5443" s="1288"/>
      <c r="D5443" s="1288"/>
      <c r="E5443" s="1288"/>
      <c r="F5443" s="1288"/>
    </row>
    <row r="5444" spans="2:6">
      <c r="B5444" s="463" t="s">
        <v>7886</v>
      </c>
      <c r="C5444" s="464">
        <v>2500</v>
      </c>
    </row>
    <row r="5445" spans="2:6">
      <c r="B5445" s="1294" t="s">
        <v>7887</v>
      </c>
      <c r="C5445" s="1285">
        <f>C5427-C5444</f>
        <v>545.6890463861273</v>
      </c>
      <c r="D5445" s="1285">
        <f>C5445+(D5427-C5427)</f>
        <v>1192.0954165749354</v>
      </c>
      <c r="E5445" s="1285">
        <f>D5445+(E5427-D5427)</f>
        <v>1990.5115756654959</v>
      </c>
      <c r="F5445" s="1285">
        <f>E5445+(F5427-E5427)</f>
        <v>2586.3610140688634</v>
      </c>
    </row>
    <row r="5446" spans="2:6">
      <c r="B5446" s="463" t="s">
        <v>7888</v>
      </c>
      <c r="C5446" s="464">
        <f>C5432-C5444</f>
        <v>1217.1199999999994</v>
      </c>
    </row>
    <row r="5447" spans="2:6">
      <c r="B5447" s="1294" t="s">
        <v>7867</v>
      </c>
      <c r="C5447" s="1286">
        <f>10%*0.75</f>
        <v>7.5000000000000011E-2</v>
      </c>
      <c r="D5447" s="1288"/>
      <c r="E5447" s="1288"/>
      <c r="F5447" s="1288"/>
    </row>
    <row r="5448" spans="2:6">
      <c r="B5448" s="463" t="s">
        <v>7897</v>
      </c>
      <c r="C5448" s="473"/>
      <c r="D5448" s="454">
        <f>C5446*C5447</f>
        <v>91.283999999999978</v>
      </c>
      <c r="E5448" s="454">
        <f>D5448</f>
        <v>91.283999999999978</v>
      </c>
      <c r="F5448" s="454">
        <f>E5448</f>
        <v>91.283999999999978</v>
      </c>
    </row>
    <row r="5449" spans="2:6">
      <c r="B5449" s="1294" t="s">
        <v>7868</v>
      </c>
      <c r="C5449" s="1290"/>
      <c r="D5449" s="1290">
        <f>C5449+D5448</f>
        <v>91.283999999999978</v>
      </c>
      <c r="E5449" s="1290">
        <f>D5449+E5448</f>
        <v>182.56799999999996</v>
      </c>
      <c r="F5449" s="1290">
        <f>E5449+F5448</f>
        <v>273.85199999999992</v>
      </c>
    </row>
    <row r="5450" spans="2:6">
      <c r="B5450" s="463" t="s">
        <v>7881</v>
      </c>
      <c r="C5450" s="464">
        <f>$C$5406+$C$5446+$C$5444+C5449</f>
        <v>9507.119999999999</v>
      </c>
      <c r="D5450" s="464">
        <f t="shared" ref="D5450:F5450" si="512">$C$5406+$C$5446+$C$5444+D5449</f>
        <v>9598.4039999999986</v>
      </c>
      <c r="E5450" s="464">
        <f t="shared" si="512"/>
        <v>9689.6879999999983</v>
      </c>
      <c r="F5450" s="464">
        <f t="shared" si="512"/>
        <v>9780.9719999999998</v>
      </c>
    </row>
    <row r="5452" spans="2:6">
      <c r="B5452" s="451" t="s">
        <v>7883</v>
      </c>
      <c r="C5452" s="451">
        <f>C5438</f>
        <v>2022</v>
      </c>
      <c r="D5452" s="451">
        <f t="shared" ref="D5452:F5452" si="513">D5438</f>
        <v>2023</v>
      </c>
      <c r="E5452" s="451">
        <f t="shared" si="513"/>
        <v>2024</v>
      </c>
      <c r="F5452" s="451">
        <f t="shared" si="513"/>
        <v>2025</v>
      </c>
    </row>
    <row r="5453" spans="2:6">
      <c r="B5453" s="1294" t="s">
        <v>7889</v>
      </c>
      <c r="C5453" s="1285">
        <f>C5418+C5400</f>
        <v>4549.7733262824786</v>
      </c>
      <c r="D5453" s="1285">
        <f t="shared" ref="D5453:F5453" si="514">D5418+D5400</f>
        <v>4542.3857640135129</v>
      </c>
      <c r="E5453" s="1285">
        <f t="shared" ca="1" si="514"/>
        <v>4985.8929197013285</v>
      </c>
      <c r="F5453" s="1285">
        <f t="shared" si="514"/>
        <v>4940.6269739256513</v>
      </c>
    </row>
    <row r="5454" spans="2:6">
      <c r="B5454" s="463" t="s">
        <v>7890</v>
      </c>
      <c r="C5454" s="464">
        <f>C5422+C5450</f>
        <v>18195.496709859461</v>
      </c>
      <c r="D5454" s="464">
        <f t="shared" ref="D5454:F5454" si="515">D5422+D5450</f>
        <v>18091.013443750358</v>
      </c>
      <c r="E5454" s="464">
        <f t="shared" si="515"/>
        <v>17913.371742965512</v>
      </c>
      <c r="F5454" s="464">
        <f t="shared" si="515"/>
        <v>17860.644197994025</v>
      </c>
    </row>
    <row r="5455" spans="2:6">
      <c r="B5455" s="1294" t="s">
        <v>3055</v>
      </c>
      <c r="C5455" s="1321">
        <f>C5454/C5453</f>
        <v>3.9992095001195604</v>
      </c>
      <c r="D5455" s="1321">
        <f t="shared" ref="D5455:F5455" si="516">D5454/D5453</f>
        <v>3.9827118134866848</v>
      </c>
      <c r="E5455" s="1321">
        <f t="shared" ca="1" si="516"/>
        <v>3.5928111637099862</v>
      </c>
      <c r="F5455" s="1321">
        <f t="shared" si="516"/>
        <v>3.6150562048610957</v>
      </c>
    </row>
    <row r="5456" spans="2:6">
      <c r="B5456" s="463" t="s">
        <v>7898</v>
      </c>
      <c r="C5456" s="531">
        <f>C5422/C5418</f>
        <v>3.3395789960837559</v>
      </c>
      <c r="D5456" s="531">
        <f t="shared" ref="D5456:F5456" si="517">D5422/D5418</f>
        <v>3.1164392576302835</v>
      </c>
      <c r="E5456" s="531">
        <f t="shared" si="517"/>
        <v>2.9100628549039045</v>
      </c>
      <c r="F5456" s="531">
        <f t="shared" si="517"/>
        <v>2.8024480261384181</v>
      </c>
    </row>
    <row r="5457" spans="2:6">
      <c r="B5457" s="1288"/>
      <c r="C5457" s="1288"/>
      <c r="D5457" s="1288"/>
      <c r="E5457" s="1288"/>
      <c r="F5457" s="1288"/>
    </row>
    <row r="5458" spans="2:6">
      <c r="B5458" s="463" t="s">
        <v>574</v>
      </c>
      <c r="C5458" s="464">
        <f>C5403+C5421-C5448</f>
        <v>1704.9432491152431</v>
      </c>
      <c r="D5458" s="464">
        <f>D5403+D5421-D5448</f>
        <v>1334.7403105418866</v>
      </c>
      <c r="E5458" s="464">
        <f ca="1">E5403+E5421-E5448</f>
        <v>2275.7590318523894</v>
      </c>
      <c r="F5458" s="464">
        <f ca="1">F5403+F5421-F5448</f>
        <v>2195.3478589373567</v>
      </c>
    </row>
    <row r="5459" spans="2:6">
      <c r="B5459" s="1294" t="s">
        <v>7882</v>
      </c>
      <c r="C5459" s="1322">
        <f>C5458/C5424</f>
        <v>3.7943078176446559</v>
      </c>
      <c r="D5459" s="1322">
        <f>D5458/D5424</f>
        <v>3.3374527048675553</v>
      </c>
      <c r="E5459" s="1322">
        <f ca="1">E5458/E5424</f>
        <v>6.3757960808611758</v>
      </c>
      <c r="F5459" s="1322">
        <f ca="1">F5458/F5424</f>
        <v>6.8704371713790584</v>
      </c>
    </row>
    <row r="5460" spans="2:6">
      <c r="B5460" s="1212" t="s">
        <v>7875</v>
      </c>
      <c r="C5460" s="476">
        <f>C5459/C5425-1</f>
        <v>0.10371012700161852</v>
      </c>
      <c r="D5460" s="476">
        <f>D5459/D5425-1</f>
        <v>-8.6881800691137157E-2</v>
      </c>
      <c r="E5460" s="476">
        <f ca="1">E5459/E5425-1</f>
        <v>0.43273923311890838</v>
      </c>
      <c r="F5460" s="476">
        <f ca="1">F5459/F5425-1</f>
        <v>0.43767657691088968</v>
      </c>
    </row>
    <row r="5462" spans="2:6">
      <c r="B5462" s="627" t="s">
        <v>7873</v>
      </c>
    </row>
    <row r="5464" spans="2:6">
      <c r="B5464" s="451" t="s">
        <v>5529</v>
      </c>
      <c r="C5464" s="451">
        <f>C5452</f>
        <v>2022</v>
      </c>
      <c r="D5464" s="451">
        <f t="shared" ref="D5464:F5464" si="518">D5452</f>
        <v>2023</v>
      </c>
      <c r="E5464" s="451">
        <f t="shared" si="518"/>
        <v>2024</v>
      </c>
      <c r="F5464" s="451">
        <f t="shared" si="518"/>
        <v>2025</v>
      </c>
    </row>
    <row r="5465" spans="2:6">
      <c r="B5465" s="1294" t="s">
        <v>7893</v>
      </c>
      <c r="C5465" s="1288">
        <v>12</v>
      </c>
      <c r="D5465" s="1288"/>
      <c r="E5465" s="1288"/>
      <c r="F5465" s="1288"/>
    </row>
    <row r="5466" spans="2:6">
      <c r="B5466" s="463" t="s">
        <v>7880</v>
      </c>
      <c r="C5466">
        <v>212</v>
      </c>
    </row>
    <row r="5467" spans="2:6">
      <c r="B5467" s="1294" t="s">
        <v>7894</v>
      </c>
      <c r="C5467" s="1288">
        <f>C5465*C5466</f>
        <v>2544</v>
      </c>
      <c r="D5467" s="1288"/>
      <c r="E5467" s="1288"/>
      <c r="F5467" s="1288"/>
    </row>
    <row r="5469" spans="2:6">
      <c r="B5469" s="1294" t="s">
        <v>7891</v>
      </c>
      <c r="C5469" s="1288">
        <v>22</v>
      </c>
      <c r="D5469" s="1288"/>
      <c r="E5469" s="1288"/>
      <c r="F5469" s="1288"/>
    </row>
    <row r="5470" spans="2:6">
      <c r="B5470" s="463" t="s">
        <v>7892</v>
      </c>
      <c r="C5470" s="454">
        <f>C5467/C5469</f>
        <v>115.63636363636364</v>
      </c>
    </row>
    <row r="5471" spans="2:6">
      <c r="B5471" s="1294" t="s">
        <v>7296</v>
      </c>
      <c r="C5471" s="1290">
        <f>C5424+$C$5470</f>
        <v>564.97872884636365</v>
      </c>
      <c r="D5471" s="1290">
        <f>D5424+$C$5470</f>
        <v>515.56422136906372</v>
      </c>
      <c r="E5471" s="1290">
        <f>E5424+$C$5470</f>
        <v>472.57359986381266</v>
      </c>
      <c r="F5471" s="1290">
        <f>F5424+$C$5470</f>
        <v>435.17175915424428</v>
      </c>
    </row>
    <row r="5473" spans="2:6">
      <c r="B5473" s="1320" t="s">
        <v>7876</v>
      </c>
      <c r="C5473" s="1288"/>
      <c r="D5473" s="1288"/>
      <c r="E5473" s="1288"/>
      <c r="F5473" s="1288"/>
    </row>
    <row r="5474" spans="2:6">
      <c r="B5474" s="463" t="s">
        <v>360</v>
      </c>
      <c r="C5474" s="464">
        <f>C5453+C5411</f>
        <v>6278.4887341717504</v>
      </c>
      <c r="D5474" s="464">
        <f t="shared" ref="D5474:F5474" si="519">D5453+D5411</f>
        <v>6249.0678915752369</v>
      </c>
      <c r="E5474" s="464">
        <f t="shared" ca="1" si="519"/>
        <v>6803.8725452969547</v>
      </c>
      <c r="F5474" s="464">
        <f t="shared" si="519"/>
        <v>6808.5074308557178</v>
      </c>
    </row>
    <row r="5475" spans="2:6">
      <c r="B5475" s="1294" t="s">
        <v>574</v>
      </c>
      <c r="C5475" s="1285">
        <f>C5458+C5414</f>
        <v>1900.4641689294699</v>
      </c>
      <c r="D5475" s="1285">
        <f>D5458+D5414</f>
        <v>1645.9167193813482</v>
      </c>
      <c r="E5475" s="1285">
        <f ca="1">E5458+E5414</f>
        <v>2683.9710660228798</v>
      </c>
      <c r="F5475" s="1285">
        <f ca="1">F5458+F5414</f>
        <v>2629.198772967402</v>
      </c>
    </row>
    <row r="5476" spans="2:6">
      <c r="B5476" s="463" t="s">
        <v>7877</v>
      </c>
      <c r="C5476" s="531">
        <f>C5475/C5471</f>
        <v>3.3637800361264021</v>
      </c>
      <c r="D5476" s="531">
        <f>D5475/D5471</f>
        <v>3.1924572170866918</v>
      </c>
      <c r="E5476" s="531">
        <f ca="1">E5475/E5471</f>
        <v>5.67947736986652</v>
      </c>
      <c r="F5476" s="531">
        <f ca="1">F5475/F5471</f>
        <v>6.0417495337409903</v>
      </c>
    </row>
    <row r="5477" spans="2:6">
      <c r="B5477" s="1294" t="s">
        <v>7878</v>
      </c>
      <c r="C5477" s="1286">
        <f>C5476/C5425-1</f>
        <v>-2.1524275491378808E-2</v>
      </c>
      <c r="D5477" s="1286">
        <f>D5476/D5425-1</f>
        <v>-0.12655218119339096</v>
      </c>
      <c r="E5477" s="1286">
        <f ca="1">E5476/E5425-1</f>
        <v>0.27626573187385617</v>
      </c>
      <c r="F5477" s="1286">
        <f ca="1">F5476/F5425-1</f>
        <v>0.26426915370193393</v>
      </c>
    </row>
    <row r="5479" spans="2:6">
      <c r="B5479" s="1320" t="s">
        <v>7896</v>
      </c>
      <c r="C5479" s="1288"/>
      <c r="D5479" s="1288"/>
      <c r="E5479" s="1288"/>
      <c r="F5479" s="1288"/>
    </row>
    <row r="5480" spans="2:6">
      <c r="B5480" s="463"/>
    </row>
    <row r="5481" spans="2:6">
      <c r="B5481" s="1294" t="s">
        <v>360</v>
      </c>
      <c r="C5481" s="1285">
        <f>C5400+C5411</f>
        <v>3676.850407889272</v>
      </c>
      <c r="D5481" s="1285">
        <f t="shared" ref="D5481:F5481" si="520">D5400+D5411</f>
        <v>3523.9676275617239</v>
      </c>
      <c r="E5481" s="1285">
        <f t="shared" ca="1" si="520"/>
        <v>3977.9254255956266</v>
      </c>
      <c r="F5481" s="1285">
        <f t="shared" si="520"/>
        <v>3925.4308768447377</v>
      </c>
    </row>
    <row r="5482" spans="2:6">
      <c r="B5482" s="463" t="s">
        <v>150</v>
      </c>
      <c r="C5482" s="464">
        <f>C5406+C5415</f>
        <v>12864.699519000686</v>
      </c>
      <c r="D5482" s="464">
        <f>D5406+D5415</f>
        <v>12786.60568224292</v>
      </c>
      <c r="E5482" s="464">
        <f>E5406+E5415</f>
        <v>11529.377816631397</v>
      </c>
      <c r="F5482" s="464">
        <f ca="1">F5406+F5415</f>
        <v>10404.68724541922</v>
      </c>
    </row>
    <row r="5483" spans="2:6">
      <c r="B5483" s="1294" t="s">
        <v>7895</v>
      </c>
      <c r="C5483" s="1321">
        <f>C5482/C5481</f>
        <v>3.4988368010287854</v>
      </c>
      <c r="D5483" s="1321">
        <f>D5482/D5481</f>
        <v>3.6284685427403112</v>
      </c>
      <c r="E5483" s="1321">
        <f ca="1">E5482/E5481</f>
        <v>2.898339356099183</v>
      </c>
      <c r="F5483" s="1321">
        <f ca="1">F5482/F5481</f>
        <v>2.6505847566426923</v>
      </c>
    </row>
    <row r="5487" spans="2:6">
      <c r="B5487" s="451" t="str">
        <f>Valuation!A20</f>
        <v>EFCF</v>
      </c>
      <c r="C5487" s="560" t="str">
        <f>Valuation!L6</f>
        <v>2022A</v>
      </c>
      <c r="D5487" s="560" t="str">
        <f>Valuation!M6</f>
        <v>2023A</v>
      </c>
      <c r="E5487" s="560" t="str">
        <f>Valuation!N6</f>
        <v>2024A</v>
      </c>
    </row>
    <row r="5488" spans="2:6">
      <c r="B5488" s="451" t="str">
        <f>Valuation!A21</f>
        <v>EBITDA</v>
      </c>
      <c r="C5488" s="464">
        <f>Valuation!L21</f>
        <v>2228.1349999999998</v>
      </c>
      <c r="D5488" s="464">
        <f>Valuation!M21</f>
        <v>2111.2855</v>
      </c>
      <c r="E5488" s="464">
        <f ca="1">Valuation!N21</f>
        <v>2468.6458000000002</v>
      </c>
    </row>
    <row r="5489" spans="2:13">
      <c r="B5489" t="str">
        <f>Valuation!A22</f>
        <v xml:space="preserve">Less Capex </v>
      </c>
      <c r="C5489" s="464">
        <f>Valuation!L22</f>
        <v>-957</v>
      </c>
      <c r="D5489" s="464">
        <f>Valuation!M22</f>
        <v>-931</v>
      </c>
      <c r="E5489" s="464">
        <f>Valuation!N22</f>
        <v>-575</v>
      </c>
    </row>
    <row r="5490" spans="2:13">
      <c r="B5490" t="str">
        <f>Valuation!A23</f>
        <v>Financing costs</v>
      </c>
      <c r="C5490" s="464">
        <f>Valuation!L23</f>
        <v>-688</v>
      </c>
      <c r="D5490" s="464">
        <f>Valuation!M23</f>
        <v>-766</v>
      </c>
      <c r="E5490" s="464">
        <f>Valuation!N23</f>
        <v>-780</v>
      </c>
    </row>
    <row r="5491" spans="2:13">
      <c r="B5491" t="str">
        <f>Valuation!A24</f>
        <v>Associate CF</v>
      </c>
      <c r="C5491" s="464">
        <f>Valuation!L24</f>
        <v>88</v>
      </c>
      <c r="D5491" s="464">
        <f>Valuation!M24</f>
        <v>86</v>
      </c>
      <c r="E5491" s="464">
        <f>Valuation!N24</f>
        <v>89</v>
      </c>
    </row>
    <row r="5492" spans="2:13">
      <c r="B5492" t="e">
        <f>Valuation!#REF!</f>
        <v>#REF!</v>
      </c>
      <c r="C5492" s="464" t="e">
        <f>Valuation!#REF!</f>
        <v>#REF!</v>
      </c>
      <c r="D5492" s="464" t="e">
        <f>Valuation!#REF!</f>
        <v>#REF!</v>
      </c>
      <c r="E5492" s="464" t="e">
        <f>Valuation!#REF!</f>
        <v>#REF!</v>
      </c>
    </row>
    <row r="5493" spans="2:13">
      <c r="B5493" t="str">
        <f>Valuation!A25</f>
        <v>Less Tax</v>
      </c>
      <c r="C5493" s="464">
        <f>Valuation!L25</f>
        <v>-316</v>
      </c>
      <c r="D5493" s="464">
        <f>Valuation!M25</f>
        <v>-233</v>
      </c>
      <c r="E5493" s="464">
        <f>Valuation!N25</f>
        <v>-239</v>
      </c>
    </row>
    <row r="5494" spans="2:13">
      <c r="B5494" s="455" t="str">
        <f>Valuation!A26</f>
        <v>Less Minorities (CF)</v>
      </c>
      <c r="C5494" s="490">
        <f>Valuation!L26</f>
        <v>-4</v>
      </c>
      <c r="D5494" s="490">
        <f>Valuation!M26</f>
        <v>0</v>
      </c>
      <c r="E5494" s="490">
        <f>Valuation!N26</f>
        <v>0</v>
      </c>
    </row>
    <row r="5495" spans="2:13">
      <c r="B5495" t="str">
        <f>Valuation!A27</f>
        <v>EFCF pre spectrum</v>
      </c>
      <c r="C5495" s="464">
        <f>Valuation!L27</f>
        <v>351.13499999999976</v>
      </c>
      <c r="D5495" s="464">
        <f>Valuation!M27</f>
        <v>267.28549999999996</v>
      </c>
      <c r="E5495" s="464">
        <f ca="1">Valuation!N27</f>
        <v>963.64580000000024</v>
      </c>
    </row>
    <row r="5496" spans="2:13">
      <c r="B5496" s="455" t="str">
        <f>Valuation!A28</f>
        <v>Cash spectrum</v>
      </c>
      <c r="C5496" s="490">
        <f>Valuation!L28</f>
        <v>92.93</v>
      </c>
      <c r="D5496" s="490">
        <f>Valuation!M28</f>
        <v>236</v>
      </c>
      <c r="E5496" s="490">
        <f>Valuation!N28</f>
        <v>135</v>
      </c>
    </row>
    <row r="5497" spans="2:13">
      <c r="B5497" t="str">
        <f>Valuation!A29</f>
        <v>After spectrum</v>
      </c>
      <c r="C5497" s="464">
        <f>Valuation!L29</f>
        <v>258.20499999999976</v>
      </c>
      <c r="D5497" s="464">
        <f>Valuation!M29</f>
        <v>31.285499999999956</v>
      </c>
      <c r="E5497" s="464">
        <f ca="1">Valuation!N29</f>
        <v>828.64580000000024</v>
      </c>
    </row>
    <row r="5498" spans="2:13">
      <c r="B5498" t="str">
        <f>Valuation!A30</f>
        <v>Discontinued operations/other</v>
      </c>
      <c r="C5498" s="464">
        <f>Valuation!L30</f>
        <v>53</v>
      </c>
      <c r="D5498" s="464">
        <f>Valuation!M30</f>
        <v>56</v>
      </c>
      <c r="E5498" s="464">
        <f>Valuation!N30</f>
        <v>47</v>
      </c>
    </row>
    <row r="5499" spans="2:13">
      <c r="B5499" s="455" t="str">
        <f>Valuation!A31</f>
        <v>Working capital (capex / offset)</v>
      </c>
      <c r="C5499" s="490">
        <f>Valuation!L31</f>
        <v>-151</v>
      </c>
      <c r="D5499" s="490">
        <f>Valuation!M31</f>
        <v>-123</v>
      </c>
      <c r="E5499" s="490">
        <f>Valuation!N31</f>
        <v>-97</v>
      </c>
    </row>
    <row r="5500" spans="2:13">
      <c r="B5500" s="450" t="str">
        <f>Valuation!A32</f>
        <v>EFCF TIGO definition</v>
      </c>
      <c r="C5500" s="598">
        <f>Valuation!L32</f>
        <v>160.20499999999976</v>
      </c>
      <c r="D5500" s="598">
        <f>Valuation!M32</f>
        <v>-35.714500000000044</v>
      </c>
      <c r="E5500" s="598">
        <f ca="1">Valuation!N32</f>
        <v>778.64580000000024</v>
      </c>
    </row>
    <row r="5503" spans="2:13">
      <c r="B5503" s="463" t="s">
        <v>4061</v>
      </c>
      <c r="D5503" s="464"/>
      <c r="E5503" s="464"/>
      <c r="F5503" s="464"/>
      <c r="G5503" s="468"/>
    </row>
    <row r="5504" spans="2:13">
      <c r="B5504" s="450"/>
      <c r="C5504" s="599"/>
      <c r="D5504" s="599"/>
      <c r="E5504" s="599"/>
      <c r="F5504" s="599"/>
      <c r="G5504" s="599"/>
      <c r="H5504" s="599"/>
      <c r="L5504" t="s">
        <v>5966</v>
      </c>
      <c r="M5504" t="s">
        <v>5968</v>
      </c>
    </row>
    <row r="5505" spans="2:13">
      <c r="B5505" s="451" t="s">
        <v>3265</v>
      </c>
      <c r="C5505" s="560">
        <v>700</v>
      </c>
      <c r="D5505" s="560">
        <v>850</v>
      </c>
      <c r="E5505" s="560">
        <v>1900</v>
      </c>
      <c r="F5505" s="560" t="s">
        <v>2867</v>
      </c>
      <c r="G5505" s="560">
        <v>2.5</v>
      </c>
      <c r="H5505" s="560">
        <v>2.6</v>
      </c>
      <c r="I5505" s="1201" t="s">
        <v>2324</v>
      </c>
      <c r="J5505" s="619" t="s">
        <v>5968</v>
      </c>
      <c r="L5505" s="455" t="s">
        <v>5967</v>
      </c>
      <c r="M5505" s="619"/>
    </row>
    <row r="5506" spans="2:13">
      <c r="B5506" s="1351" t="s">
        <v>1975</v>
      </c>
      <c r="C5506" s="1348">
        <v>20</v>
      </c>
      <c r="D5506" s="1348">
        <v>25</v>
      </c>
      <c r="E5506" s="1348">
        <v>30</v>
      </c>
      <c r="F5506" s="1348"/>
      <c r="G5506" s="1348">
        <v>30</v>
      </c>
      <c r="H5506" s="1348">
        <v>30</v>
      </c>
      <c r="I5506" s="1349">
        <v>135</v>
      </c>
      <c r="J5506" s="1350">
        <v>0.31764705882352939</v>
      </c>
      <c r="L5506" s="1349">
        <v>85</v>
      </c>
      <c r="M5506" s="1350">
        <v>0.2982456140350877</v>
      </c>
    </row>
    <row r="5507" spans="2:13">
      <c r="B5507" s="463" t="s">
        <v>6006</v>
      </c>
      <c r="D5507">
        <v>25</v>
      </c>
      <c r="E5507">
        <v>30</v>
      </c>
      <c r="F5507">
        <v>30</v>
      </c>
      <c r="I5507" s="1085">
        <v>85</v>
      </c>
      <c r="J5507" s="628">
        <v>0.2</v>
      </c>
      <c r="L5507" s="1085">
        <v>85</v>
      </c>
      <c r="M5507" s="628">
        <v>0.2982456140350877</v>
      </c>
    </row>
    <row r="5508" spans="2:13">
      <c r="B5508" s="1351" t="s">
        <v>887</v>
      </c>
      <c r="C5508" s="1348">
        <v>40</v>
      </c>
      <c r="D5508" s="1348"/>
      <c r="E5508" s="1348">
        <v>50</v>
      </c>
      <c r="F5508" s="1348">
        <v>30</v>
      </c>
      <c r="G5508" s="1348"/>
      <c r="H5508" s="1348"/>
      <c r="I5508" s="1349">
        <v>125</v>
      </c>
      <c r="J5508" s="1350">
        <v>0.29411764705882354</v>
      </c>
      <c r="L5508" s="1349">
        <v>85</v>
      </c>
      <c r="M5508" s="1350">
        <v>0.2982456140350877</v>
      </c>
    </row>
    <row r="5509" spans="2:13">
      <c r="B5509" s="463" t="s">
        <v>8243</v>
      </c>
      <c r="C5509">
        <v>20</v>
      </c>
      <c r="F5509">
        <v>30</v>
      </c>
      <c r="G5509">
        <v>30</v>
      </c>
      <c r="I5509" s="1085">
        <v>80</v>
      </c>
      <c r="J5509" s="628">
        <v>0.18823529411764706</v>
      </c>
      <c r="L5509" s="1085">
        <v>30</v>
      </c>
      <c r="M5509" s="628">
        <v>0.10526315789473684</v>
      </c>
    </row>
    <row r="5510" spans="2:13">
      <c r="B5510" s="1355" t="s">
        <v>3262</v>
      </c>
      <c r="C5510" s="1352"/>
      <c r="D5510" s="1352"/>
      <c r="E5510" s="1352"/>
      <c r="F5510" s="1352"/>
      <c r="G5510" s="1352"/>
      <c r="H5510" s="1352">
        <v>70</v>
      </c>
      <c r="I5510" s="1353"/>
      <c r="J5510" s="1352"/>
      <c r="L5510" s="1353"/>
      <c r="M5510" s="1354"/>
    </row>
    <row r="5511" spans="2:13">
      <c r="B5511" s="450" t="s">
        <v>7990</v>
      </c>
      <c r="C5511" s="450">
        <v>80</v>
      </c>
      <c r="D5511" s="450">
        <v>50</v>
      </c>
      <c r="E5511" s="450">
        <v>115</v>
      </c>
      <c r="F5511" s="450">
        <v>90</v>
      </c>
      <c r="G5511" s="450">
        <v>60</v>
      </c>
      <c r="H5511" s="450">
        <v>30</v>
      </c>
      <c r="I5511" s="450">
        <v>425</v>
      </c>
      <c r="L5511">
        <v>285</v>
      </c>
      <c r="M5511">
        <v>0.99999999999999989</v>
      </c>
    </row>
    <row r="5513" spans="2:13">
      <c r="B5513" s="498">
        <v>2019</v>
      </c>
      <c r="C5513" s="463" t="s">
        <v>5037</v>
      </c>
    </row>
    <row r="5514" spans="2:13">
      <c r="B5514" s="463" t="s">
        <v>3261</v>
      </c>
      <c r="C5514" s="463" t="s">
        <v>7991</v>
      </c>
    </row>
    <row r="5515" spans="2:13">
      <c r="B5515" s="463" t="s">
        <v>7992</v>
      </c>
    </row>
    <row r="5518" spans="2:13">
      <c r="B5518" s="451"/>
      <c r="C5518" s="560" t="s">
        <v>8152</v>
      </c>
      <c r="D5518" s="560" t="s">
        <v>1145</v>
      </c>
      <c r="E5518" s="560" t="s">
        <v>3265</v>
      </c>
      <c r="F5518" s="560" t="s">
        <v>8153</v>
      </c>
    </row>
    <row r="5519" spans="2:13">
      <c r="B5519" s="1356">
        <v>1900</v>
      </c>
      <c r="C5519" s="1288">
        <v>259</v>
      </c>
      <c r="D5519" s="1288">
        <v>50</v>
      </c>
      <c r="E5519" s="1288">
        <v>40</v>
      </c>
      <c r="F5519" s="1288">
        <f>C5519*100/E5519/D5519</f>
        <v>12.95</v>
      </c>
    </row>
    <row r="5520" spans="2:13">
      <c r="B5520" s="1212" t="s">
        <v>2867</v>
      </c>
      <c r="C5520" s="462">
        <f>F5520*E5520*D5520/100</f>
        <v>194.25</v>
      </c>
      <c r="D5520" s="455">
        <v>50</v>
      </c>
      <c r="E5520" s="455">
        <v>30</v>
      </c>
      <c r="F5520" s="455">
        <f>F5519</f>
        <v>12.95</v>
      </c>
    </row>
    <row r="5521" spans="2:8">
      <c r="B5521" s="1294" t="s">
        <v>8154</v>
      </c>
      <c r="C5521" s="1290">
        <f>SUM(C5519:C5520)</f>
        <v>453.25</v>
      </c>
      <c r="D5521" s="1288"/>
      <c r="E5521" s="1288"/>
      <c r="F5521" s="1288"/>
    </row>
    <row r="5524" spans="2:8">
      <c r="B5524" s="463" t="s">
        <v>1545</v>
      </c>
      <c r="C5524">
        <v>2023</v>
      </c>
      <c r="D5524">
        <f>C5524+1</f>
        <v>2024</v>
      </c>
      <c r="E5524">
        <f t="shared" ref="E5524:H5524" si="521">D5524+1</f>
        <v>2025</v>
      </c>
      <c r="F5524">
        <f t="shared" si="521"/>
        <v>2026</v>
      </c>
      <c r="G5524">
        <f t="shared" si="521"/>
        <v>2027</v>
      </c>
      <c r="H5524">
        <f t="shared" si="521"/>
        <v>2028</v>
      </c>
    </row>
    <row r="5525" spans="2:8">
      <c r="B5525" s="463" t="s">
        <v>1646</v>
      </c>
      <c r="C5525" s="454">
        <f>'New split'!M437</f>
        <v>809</v>
      </c>
      <c r="D5525" s="454">
        <f>'New split'!N437</f>
        <v>743.43599501951292</v>
      </c>
      <c r="E5525" s="454">
        <f>'New split'!O437</f>
        <v>642.75648302236209</v>
      </c>
      <c r="F5525" s="454">
        <f>'New split'!P437</f>
        <v>662.07541764864868</v>
      </c>
      <c r="G5525" s="454">
        <f>'New split'!Q437</f>
        <v>692.29876300118679</v>
      </c>
      <c r="H5525" s="454">
        <f>'New split'!R437</f>
        <v>732.1464896361382</v>
      </c>
    </row>
    <row r="5526" spans="2:8">
      <c r="B5526" s="463" t="s">
        <v>1647</v>
      </c>
      <c r="C5526" s="454">
        <v>964.01643410227894</v>
      </c>
      <c r="D5526" s="454">
        <v>967.53657860763826</v>
      </c>
      <c r="E5526" s="454">
        <v>987.08569973185547</v>
      </c>
      <c r="F5526" s="454">
        <v>1008.8548587467662</v>
      </c>
      <c r="G5526" s="454">
        <v>1031.3323966953069</v>
      </c>
      <c r="H5526" s="454">
        <v>1054.5440133149198</v>
      </c>
    </row>
    <row r="5547" spans="2:8">
      <c r="B5547" s="463" t="s">
        <v>681</v>
      </c>
      <c r="C5547">
        <f>C5524</f>
        <v>2023</v>
      </c>
      <c r="D5547">
        <f t="shared" ref="D5547:H5547" si="522">D5524</f>
        <v>2024</v>
      </c>
      <c r="E5547">
        <f t="shared" si="522"/>
        <v>2025</v>
      </c>
      <c r="F5547">
        <f t="shared" si="522"/>
        <v>2026</v>
      </c>
      <c r="G5547">
        <f t="shared" si="522"/>
        <v>2027</v>
      </c>
      <c r="H5547">
        <f t="shared" si="522"/>
        <v>2028</v>
      </c>
    </row>
    <row r="5548" spans="2:8">
      <c r="B5548" t="str">
        <f>B5525</f>
        <v>New</v>
      </c>
      <c r="C5548" s="1279">
        <f>'New split'!M447</f>
        <v>0.1429076134958488</v>
      </c>
      <c r="D5548" s="1279">
        <f>'New split'!N447</f>
        <v>0.12808456159564907</v>
      </c>
      <c r="E5548" s="1279">
        <f>'New split'!O447</f>
        <v>0.11635802951551297</v>
      </c>
      <c r="F5548" s="1279">
        <f>'New split'!P447</f>
        <v>0.1181633339455864</v>
      </c>
      <c r="G5548" s="1279">
        <f>'New split'!Q447</f>
        <v>0.12151432745097397</v>
      </c>
      <c r="H5548" s="1279">
        <f>'New split'!R447</f>
        <v>0.1262620992090886</v>
      </c>
    </row>
    <row r="5549" spans="2:8">
      <c r="B5549" t="str">
        <f>B5526</f>
        <v>Old</v>
      </c>
      <c r="C5549" s="456">
        <v>0.17087598097963522</v>
      </c>
      <c r="D5549" s="456">
        <v>0.16688129053599632</v>
      </c>
      <c r="E5549" s="456">
        <v>0.16510822275016671</v>
      </c>
      <c r="F5549" s="456">
        <v>0.16396403795150516</v>
      </c>
      <c r="G5549" s="456">
        <v>0.16282444294070833</v>
      </c>
      <c r="H5549" s="456">
        <v>0.16169021800972372</v>
      </c>
    </row>
    <row r="5554" spans="2:8">
      <c r="B5554" s="463" t="s">
        <v>360</v>
      </c>
      <c r="C5554">
        <f>C5547</f>
        <v>2023</v>
      </c>
      <c r="D5554">
        <f t="shared" ref="D5554:H5554" si="523">D5547</f>
        <v>2024</v>
      </c>
      <c r="E5554">
        <f t="shared" si="523"/>
        <v>2025</v>
      </c>
      <c r="F5554">
        <f t="shared" si="523"/>
        <v>2026</v>
      </c>
      <c r="G5554">
        <f t="shared" si="523"/>
        <v>2027</v>
      </c>
      <c r="H5554">
        <f t="shared" si="523"/>
        <v>2028</v>
      </c>
    </row>
    <row r="5555" spans="2:8">
      <c r="B5555" s="463" t="s">
        <v>1646</v>
      </c>
      <c r="C5555" s="464">
        <f>'New split'!M305</f>
        <v>2111.2855</v>
      </c>
      <c r="D5555" s="464">
        <f>'New split'!N305</f>
        <v>2468.6458000000002</v>
      </c>
      <c r="E5555" s="464">
        <f>'New split'!O305</f>
        <v>2381.685419914671</v>
      </c>
      <c r="F5555" s="464">
        <f>'New split'!P305</f>
        <v>2396.1990022089599</v>
      </c>
      <c r="G5555" s="464">
        <f>'New split'!Q305</f>
        <v>2461.0081072440548</v>
      </c>
      <c r="H5555" s="464">
        <f>'New split'!R305</f>
        <v>2531.4814825398967</v>
      </c>
    </row>
    <row r="5556" spans="2:8">
      <c r="B5556" s="463" t="s">
        <v>1647</v>
      </c>
      <c r="C5556" s="464">
        <v>2237.8243861473566</v>
      </c>
      <c r="D5556" s="464">
        <v>2303.177655485149</v>
      </c>
      <c r="E5556" s="464">
        <v>2389.9588964149434</v>
      </c>
      <c r="F5556" s="464">
        <v>2449.0369434391514</v>
      </c>
      <c r="G5556" s="464">
        <v>2520.5990068163405</v>
      </c>
      <c r="H5556" s="464">
        <v>2594.7331087100342</v>
      </c>
    </row>
    <row r="5557" spans="2:8">
      <c r="C5557" s="449">
        <f>C5555/C5556-1</f>
        <v>-5.6545494333988477E-2</v>
      </c>
      <c r="D5557" s="449">
        <f t="shared" ref="D5557:H5557" si="524">D5555/D5556-1</f>
        <v>7.1843413433948289E-2</v>
      </c>
      <c r="E5557" s="449">
        <f t="shared" si="524"/>
        <v>-3.4617651846159392E-3</v>
      </c>
      <c r="F5557" s="449">
        <f t="shared" si="524"/>
        <v>-2.1574987413620628E-2</v>
      </c>
      <c r="G5557" s="449">
        <f t="shared" si="524"/>
        <v>-2.36415627440687E-2</v>
      </c>
      <c r="H5557" s="449">
        <f t="shared" si="524"/>
        <v>-2.4376929541544579E-2</v>
      </c>
    </row>
    <row r="5573" spans="2:6">
      <c r="B5573" s="463" t="s">
        <v>574</v>
      </c>
      <c r="C5573">
        <v>2022</v>
      </c>
      <c r="D5573">
        <f>C5554</f>
        <v>2023</v>
      </c>
      <c r="E5573">
        <f>D5554</f>
        <v>2024</v>
      </c>
    </row>
    <row r="5574" spans="2:6">
      <c r="B5574" s="463" t="s">
        <v>2018</v>
      </c>
      <c r="C5574" s="464">
        <f>Valuation!L32</f>
        <v>160.20499999999976</v>
      </c>
      <c r="D5574" s="464">
        <f>Valuation!M32</f>
        <v>-35.714500000000044</v>
      </c>
      <c r="E5574" s="464">
        <f ca="1">Valuation!N32</f>
        <v>778.64580000000024</v>
      </c>
      <c r="F5574" s="464"/>
    </row>
    <row r="5575" spans="2:6">
      <c r="B5575" s="463" t="s">
        <v>1647</v>
      </c>
      <c r="C5575" s="454">
        <f>C5572+C5573+C5574</f>
        <v>2182.2049999999999</v>
      </c>
      <c r="D5575" s="454">
        <f>D5572+D5573+D5574</f>
        <v>1987.2855</v>
      </c>
      <c r="E5575" s="454">
        <f ca="1">E5572+E5573+E5574</f>
        <v>2802.6458000000002</v>
      </c>
    </row>
    <row r="5576" spans="2:6">
      <c r="E5576" s="464">
        <f ca="1">SUM(C5574:E5574)</f>
        <v>903.13629999999989</v>
      </c>
    </row>
    <row r="5597" spans="3:13">
      <c r="D5597" s="493" t="str">
        <f>'New (new) quarts'!AU481</f>
        <v>Q1 22</v>
      </c>
      <c r="E5597" s="493" t="str">
        <f>'New (new) quarts'!AV481</f>
        <v>Q2 22</v>
      </c>
      <c r="F5597" s="493" t="str">
        <f>'New (new) quarts'!AW481</f>
        <v>Q3 22</v>
      </c>
      <c r="G5597" s="493" t="str">
        <f>'New (new) quarts'!AX481</f>
        <v>Q4 22</v>
      </c>
      <c r="H5597" s="493" t="str">
        <f>'New (new) quarts'!AZ481</f>
        <v>Q1 23</v>
      </c>
      <c r="I5597" s="493" t="e">
        <f>'New (new) quarts'!#REF!</f>
        <v>#REF!</v>
      </c>
      <c r="J5597" s="493" t="str">
        <f>'New (new) quarts'!CZ481</f>
        <v>Q3 23e</v>
      </c>
      <c r="K5597" s="493" t="str">
        <f>'New (new) quarts'!BC481</f>
        <v>Q4 23</v>
      </c>
      <c r="L5597" s="493">
        <v>2024</v>
      </c>
      <c r="M5597" s="493">
        <v>2025</v>
      </c>
    </row>
    <row r="5598" spans="3:13">
      <c r="C5598" s="463" t="s">
        <v>3054</v>
      </c>
      <c r="D5598" s="1102">
        <f>'New (new) quarts'!AU559</f>
        <v>3.46</v>
      </c>
      <c r="E5598" s="1102">
        <f>'New (new) quarts'!AV559</f>
        <v>3.14</v>
      </c>
      <c r="F5598" s="1102">
        <f>'New (new) quarts'!AW559</f>
        <v>3.12</v>
      </c>
      <c r="G5598" s="1102">
        <f>'New (new) quarts'!AX559</f>
        <v>3.04</v>
      </c>
      <c r="H5598" s="1102">
        <f>'New (new) quarts'!AZ559</f>
        <v>3.23</v>
      </c>
      <c r="I5598" s="1102" t="e">
        <f>'New (new) quarts'!#REF!</f>
        <v>#REF!</v>
      </c>
      <c r="J5598" s="1102" t="e">
        <f>'New (new) quarts'!CZ559</f>
        <v>#REF!</v>
      </c>
      <c r="K5598" s="1102">
        <f>'New (new) quarts'!BC559</f>
        <v>0</v>
      </c>
      <c r="L5598" s="1102">
        <f ca="1">Valuation!N75</f>
        <v>2.4827377017796555</v>
      </c>
      <c r="M5598" s="1102">
        <f ca="1">Valuation!O75</f>
        <v>2.2722745797198325</v>
      </c>
    </row>
    <row r="5602" spans="3:6">
      <c r="C5602" s="463" t="s">
        <v>8368</v>
      </c>
      <c r="E5602" s="464">
        <v>0</v>
      </c>
      <c r="F5602" s="464">
        <f>'New (new) quarts'!BA539</f>
        <v>7110</v>
      </c>
    </row>
    <row r="5603" spans="3:6">
      <c r="C5603" s="463" t="s">
        <v>8155</v>
      </c>
      <c r="E5603" s="464">
        <f>F5602</f>
        <v>7110</v>
      </c>
      <c r="F5603" s="464">
        <f>Notes1!C2845</f>
        <v>283.5</v>
      </c>
    </row>
    <row r="5604" spans="3:6">
      <c r="C5604" s="463" t="s">
        <v>8156</v>
      </c>
      <c r="E5604" s="464">
        <f>E5603+F5603</f>
        <v>7393.5</v>
      </c>
      <c r="F5604" s="464">
        <f>C5519</f>
        <v>259</v>
      </c>
    </row>
    <row r="5605" spans="3:6">
      <c r="C5605" s="463" t="s">
        <v>2867</v>
      </c>
      <c r="E5605" s="464">
        <f>E5604+F5604</f>
        <v>7652.5</v>
      </c>
      <c r="F5605" s="464">
        <f>C5520</f>
        <v>194.25</v>
      </c>
    </row>
    <row r="5606" spans="3:6">
      <c r="C5606" s="463" t="s">
        <v>8157</v>
      </c>
      <c r="E5606" s="464">
        <v>0</v>
      </c>
      <c r="F5606" s="464">
        <f>E5605+F5605</f>
        <v>7846.75</v>
      </c>
    </row>
    <row r="5634" spans="2:14">
      <c r="G5634" s="627" t="s">
        <v>8226</v>
      </c>
    </row>
    <row r="5635" spans="2:14">
      <c r="C5635" s="627" t="s">
        <v>8195</v>
      </c>
      <c r="G5635" s="463" t="s">
        <v>1990</v>
      </c>
    </row>
    <row r="5636" spans="2:14">
      <c r="C5636" s="627"/>
    </row>
    <row r="5637" spans="2:14">
      <c r="C5637" s="450" t="s">
        <v>8218</v>
      </c>
      <c r="G5637" s="1360">
        <v>44835</v>
      </c>
      <c r="H5637" s="1360">
        <v>44866</v>
      </c>
      <c r="I5637" s="1360">
        <v>44896</v>
      </c>
      <c r="J5637" s="1360" t="s">
        <v>7412</v>
      </c>
    </row>
    <row r="5638" spans="2:14">
      <c r="C5638" s="451" t="s">
        <v>8181</v>
      </c>
      <c r="D5638" s="560" t="s">
        <v>2389</v>
      </c>
      <c r="G5638" s="455"/>
      <c r="H5638" s="455"/>
      <c r="I5638" s="1217" t="s">
        <v>8216</v>
      </c>
      <c r="N5638" s="1219" t="s">
        <v>967</v>
      </c>
    </row>
    <row r="5639" spans="2:14">
      <c r="C5639" s="463" t="s">
        <v>5960</v>
      </c>
      <c r="D5639" s="454">
        <f>M5660</f>
        <v>485.92771084337352</v>
      </c>
      <c r="E5639" s="449">
        <f>D5639/D$5641</f>
        <v>0.48190985996272051</v>
      </c>
      <c r="G5639">
        <v>103000</v>
      </c>
      <c r="H5639">
        <v>103000</v>
      </c>
      <c r="I5639">
        <v>107000</v>
      </c>
      <c r="J5639">
        <f>SUM(G5639:I5639)</f>
        <v>313000</v>
      </c>
      <c r="K5639" s="463" t="s">
        <v>1975</v>
      </c>
      <c r="M5639" s="449"/>
      <c r="N5639" s="454"/>
    </row>
    <row r="5640" spans="2:14">
      <c r="C5640" s="1212" t="s">
        <v>6006</v>
      </c>
      <c r="D5640" s="462">
        <f>M5661</f>
        <v>522.40963855421683</v>
      </c>
      <c r="E5640" s="449">
        <f>D5640/D$5641</f>
        <v>0.5180901400372796</v>
      </c>
      <c r="G5640">
        <v>29000</v>
      </c>
      <c r="H5640">
        <v>27000</v>
      </c>
      <c r="I5640">
        <v>28000</v>
      </c>
      <c r="J5640">
        <f>SUM(G5640:I5640)</f>
        <v>84000</v>
      </c>
      <c r="K5640" s="463" t="s">
        <v>887</v>
      </c>
      <c r="M5640" s="449">
        <f>I5640/I$5644</f>
        <v>0.33734939759036142</v>
      </c>
      <c r="N5640" s="454">
        <f>J5640/4800</f>
        <v>17.5</v>
      </c>
    </row>
    <row r="5641" spans="2:14">
      <c r="C5641" s="463" t="s">
        <v>2324</v>
      </c>
      <c r="D5641" s="454">
        <f>SUM(D5639:D5640)</f>
        <v>1008.3373493975903</v>
      </c>
      <c r="G5641">
        <v>53000</v>
      </c>
      <c r="H5641">
        <v>51000</v>
      </c>
      <c r="I5641">
        <v>55000</v>
      </c>
      <c r="J5641">
        <f>SUM(G5641:I5641)</f>
        <v>159000</v>
      </c>
      <c r="K5641" s="463" t="s">
        <v>6006</v>
      </c>
      <c r="M5641" s="449">
        <f>I5641/I$5644</f>
        <v>0.66265060240963858</v>
      </c>
      <c r="N5641" s="454">
        <f>J5641/4800</f>
        <v>33.125</v>
      </c>
    </row>
    <row r="5642" spans="2:14">
      <c r="G5642" s="455">
        <v>2482</v>
      </c>
      <c r="H5642" s="455">
        <v>2596</v>
      </c>
      <c r="I5642" s="455">
        <v>2774</v>
      </c>
      <c r="J5642" s="455">
        <f>SUM(G5642:I5642)</f>
        <v>7852</v>
      </c>
      <c r="K5642" s="1212" t="s">
        <v>6712</v>
      </c>
      <c r="M5642" s="449">
        <f>I5642/I$5644</f>
        <v>3.342168674698795E-2</v>
      </c>
      <c r="N5642" s="454">
        <f>J5642/4800</f>
        <v>1.6358333333333333</v>
      </c>
    </row>
    <row r="5643" spans="2:14">
      <c r="C5643" s="463" t="s">
        <v>8182</v>
      </c>
      <c r="D5643" s="1358">
        <v>0.3</v>
      </c>
      <c r="G5643">
        <f>SUM(G5639:G5642)</f>
        <v>187482</v>
      </c>
      <c r="H5643">
        <f>SUM(H5639:H5642)</f>
        <v>183596</v>
      </c>
      <c r="I5643">
        <f>SUM(I5639:I5642)</f>
        <v>192774</v>
      </c>
      <c r="J5643">
        <f>SUM(G5643:I5643)</f>
        <v>563852</v>
      </c>
    </row>
    <row r="5644" spans="2:14">
      <c r="C5644" s="463" t="s">
        <v>8183</v>
      </c>
      <c r="D5644" s="454">
        <f>D5643*D5641</f>
        <v>302.50120481927706</v>
      </c>
      <c r="G5644">
        <f>G5640+G5641</f>
        <v>82000</v>
      </c>
      <c r="H5644">
        <f>H5640+H5641</f>
        <v>78000</v>
      </c>
      <c r="I5644">
        <f>I5640+I5641</f>
        <v>83000</v>
      </c>
      <c r="K5644" s="463"/>
      <c r="N5644" s="454">
        <f>J5645/4800</f>
        <v>0</v>
      </c>
    </row>
    <row r="5645" spans="2:14">
      <c r="K5645" s="463"/>
    </row>
    <row r="5646" spans="2:14">
      <c r="B5646" s="463" t="s">
        <v>8231</v>
      </c>
      <c r="C5646" s="463" t="s">
        <v>8230</v>
      </c>
      <c r="D5646" s="1358">
        <v>0.8</v>
      </c>
      <c r="G5646" s="463" t="s">
        <v>1989</v>
      </c>
    </row>
    <row r="5647" spans="2:14">
      <c r="C5647" s="463" t="s">
        <v>8196</v>
      </c>
      <c r="D5647" s="454">
        <f>D5646*D5644</f>
        <v>242.00096385542167</v>
      </c>
      <c r="G5647" s="1361">
        <f>G5637</f>
        <v>44835</v>
      </c>
      <c r="H5647" s="1361">
        <f>H5637</f>
        <v>44866</v>
      </c>
      <c r="I5647" s="1361">
        <f>I5637</f>
        <v>44896</v>
      </c>
      <c r="J5647" s="1361" t="str">
        <f>J5637</f>
        <v>Q4 22</v>
      </c>
    </row>
    <row r="5648" spans="2:14">
      <c r="G5648" s="455"/>
      <c r="H5648" s="455"/>
      <c r="I5648" s="1217" t="s">
        <v>8216</v>
      </c>
    </row>
    <row r="5649" spans="3:14">
      <c r="C5649" s="463" t="s">
        <v>8184</v>
      </c>
      <c r="D5649" s="1213">
        <v>3</v>
      </c>
      <c r="G5649">
        <v>457000</v>
      </c>
      <c r="H5649">
        <v>454600</v>
      </c>
      <c r="I5649">
        <v>462600</v>
      </c>
      <c r="J5649">
        <f>SUM(G5649:I5649)</f>
        <v>1374200</v>
      </c>
      <c r="K5649" s="463" t="str">
        <f>K5639</f>
        <v>Claro</v>
      </c>
    </row>
    <row r="5650" spans="3:14">
      <c r="C5650" s="463" t="s">
        <v>8185</v>
      </c>
      <c r="D5650" s="454">
        <f>D5649*D5647</f>
        <v>726.00289156626502</v>
      </c>
      <c r="G5650">
        <v>138000</v>
      </c>
      <c r="H5650">
        <v>137500</v>
      </c>
      <c r="I5650">
        <v>144650</v>
      </c>
      <c r="J5650">
        <f>SUM(G5650:I5650)</f>
        <v>420150</v>
      </c>
      <c r="K5650" s="463" t="str">
        <f t="shared" ref="K5650:K5652" si="525">K5640</f>
        <v>Tigo</v>
      </c>
    </row>
    <row r="5651" spans="3:14">
      <c r="G5651">
        <v>126000</v>
      </c>
      <c r="H5651">
        <v>129000</v>
      </c>
      <c r="I5651">
        <v>128000</v>
      </c>
      <c r="J5651">
        <f>SUM(G5651:I5651)</f>
        <v>383000</v>
      </c>
      <c r="K5651" s="463" t="str">
        <f t="shared" si="525"/>
        <v>Movistar</v>
      </c>
    </row>
    <row r="5652" spans="3:14">
      <c r="C5652" s="463" t="s">
        <v>8187</v>
      </c>
      <c r="D5652" s="1359">
        <v>12</v>
      </c>
      <c r="G5652" s="455">
        <v>27656</v>
      </c>
      <c r="H5652" s="455">
        <v>27988</v>
      </c>
      <c r="I5652" s="455">
        <v>29434</v>
      </c>
      <c r="J5652" s="455">
        <f>SUM(G5652:I5652)</f>
        <v>85078</v>
      </c>
      <c r="K5652" s="463" t="str">
        <f t="shared" si="525"/>
        <v>WOM</v>
      </c>
    </row>
    <row r="5653" spans="3:14">
      <c r="C5653" s="463" t="s">
        <v>245</v>
      </c>
      <c r="D5653" s="454">
        <f>D5647*D5652</f>
        <v>2904.0115662650601</v>
      </c>
      <c r="G5653">
        <f>SUM(G5649:G5652)</f>
        <v>748656</v>
      </c>
      <c r="H5653">
        <f>SUM(H5649:H5652)</f>
        <v>749088</v>
      </c>
      <c r="I5653">
        <f>SUM(I5649:I5652)</f>
        <v>764684</v>
      </c>
      <c r="J5653">
        <f>SUM(G5653:I5653)</f>
        <v>2262428</v>
      </c>
    </row>
    <row r="5654" spans="3:14">
      <c r="C5654" s="463" t="s">
        <v>109</v>
      </c>
      <c r="D5654" s="454">
        <f>D5653-D5650</f>
        <v>2178.0086746987949</v>
      </c>
      <c r="G5654">
        <f>G5650+G5651</f>
        <v>264000</v>
      </c>
      <c r="H5654">
        <f>H5650+H5651</f>
        <v>266500</v>
      </c>
      <c r="I5654">
        <f>I5650+I5651</f>
        <v>272650</v>
      </c>
      <c r="K5654" s="463"/>
    </row>
    <row r="5655" spans="3:14">
      <c r="C5655" s="463"/>
      <c r="D5655" s="454"/>
    </row>
    <row r="5656" spans="3:14">
      <c r="C5656" s="499" t="s">
        <v>8193</v>
      </c>
      <c r="D5656" s="454"/>
      <c r="G5656" s="463" t="s">
        <v>1582</v>
      </c>
    </row>
    <row r="5657" spans="3:14">
      <c r="C5657" s="463" t="str">
        <f>C5639</f>
        <v>TIGO</v>
      </c>
      <c r="D5657" s="454">
        <f>E5639*D5654</f>
        <v>1049.6038554216868</v>
      </c>
      <c r="G5657" s="1361">
        <f>G5647</f>
        <v>44835</v>
      </c>
      <c r="H5657" s="1361">
        <f>H5647</f>
        <v>44866</v>
      </c>
      <c r="I5657" s="1361">
        <f>I5647</f>
        <v>44896</v>
      </c>
      <c r="J5657" s="1361" t="str">
        <f>J5647</f>
        <v>Q4 22</v>
      </c>
    </row>
    <row r="5658" spans="3:14">
      <c r="C5658" s="463" t="str">
        <f>C5640</f>
        <v>Movistar</v>
      </c>
      <c r="D5658" s="454">
        <f>D5654-D5657</f>
        <v>1128.4048192771081</v>
      </c>
      <c r="G5658" s="455"/>
      <c r="H5658" s="455"/>
      <c r="I5658" s="1217" t="s">
        <v>8216</v>
      </c>
      <c r="L5658" s="463" t="s">
        <v>8217</v>
      </c>
    </row>
    <row r="5659" spans="3:14">
      <c r="G5659">
        <f t="shared" ref="G5659:I5662" si="526">G5639+G5649</f>
        <v>560000</v>
      </c>
      <c r="H5659">
        <f t="shared" si="526"/>
        <v>557600</v>
      </c>
      <c r="I5659">
        <f t="shared" si="526"/>
        <v>569600</v>
      </c>
      <c r="J5659">
        <f>SUM(G5659:I5659)</f>
        <v>1687200</v>
      </c>
      <c r="K5659" s="463" t="str">
        <f t="shared" ref="K5659:K5662" si="527">K5649</f>
        <v>Claro</v>
      </c>
      <c r="L5659" s="454">
        <f>J5659/4150</f>
        <v>406.5542168674699</v>
      </c>
      <c r="M5659" s="454">
        <f>L5659*4</f>
        <v>1626.2168674698796</v>
      </c>
      <c r="N5659" s="449">
        <f>L5659/L$5663</f>
        <v>0.59696845323181003</v>
      </c>
    </row>
    <row r="5660" spans="3:14">
      <c r="C5660" s="463" t="s">
        <v>8186</v>
      </c>
      <c r="D5660" s="454">
        <f>(D5658-D5657)/2</f>
        <v>39.400481927710644</v>
      </c>
      <c r="G5660">
        <f t="shared" si="526"/>
        <v>167000</v>
      </c>
      <c r="H5660">
        <f t="shared" si="526"/>
        <v>164500</v>
      </c>
      <c r="I5660">
        <f t="shared" si="526"/>
        <v>172650</v>
      </c>
      <c r="J5660">
        <f>SUM(G5660:I5660)</f>
        <v>504150</v>
      </c>
      <c r="K5660" s="463" t="str">
        <f t="shared" si="527"/>
        <v>Tigo</v>
      </c>
      <c r="L5660" s="454">
        <f>J5660/4150</f>
        <v>121.48192771084338</v>
      </c>
      <c r="M5660" s="454">
        <f>L5660*4</f>
        <v>485.92771084337352</v>
      </c>
      <c r="N5660" s="449">
        <f>L5660/L$5663</f>
        <v>0.17837935377952646</v>
      </c>
    </row>
    <row r="5661" spans="3:14">
      <c r="G5661">
        <f t="shared" si="526"/>
        <v>179000</v>
      </c>
      <c r="H5661">
        <f t="shared" si="526"/>
        <v>180000</v>
      </c>
      <c r="I5661">
        <f t="shared" si="526"/>
        <v>183000</v>
      </c>
      <c r="J5661">
        <f>SUM(G5661:I5661)</f>
        <v>542000</v>
      </c>
      <c r="K5661" s="463" t="str">
        <f t="shared" si="527"/>
        <v>Movistar</v>
      </c>
      <c r="L5661" s="454">
        <f>J5661/4150</f>
        <v>130.60240963855421</v>
      </c>
      <c r="M5661" s="454">
        <f>L5661*4</f>
        <v>522.40963855421683</v>
      </c>
      <c r="N5661" s="449">
        <f>L5661/L$5663</f>
        <v>0.19177151591491287</v>
      </c>
    </row>
    <row r="5662" spans="3:14">
      <c r="C5662" s="499" t="s">
        <v>8194</v>
      </c>
      <c r="G5662" s="455">
        <f t="shared" si="526"/>
        <v>30138</v>
      </c>
      <c r="H5662" s="455">
        <f t="shared" si="526"/>
        <v>30584</v>
      </c>
      <c r="I5662" s="455">
        <f t="shared" si="526"/>
        <v>32208</v>
      </c>
      <c r="J5662" s="455">
        <f>SUM(G5662:I5662)</f>
        <v>92930</v>
      </c>
      <c r="K5662" s="463" t="str">
        <f t="shared" si="527"/>
        <v>WOM</v>
      </c>
      <c r="L5662" s="454">
        <f>J5662/4150</f>
        <v>22.392771084337351</v>
      </c>
      <c r="M5662" s="454">
        <f>L5662*4</f>
        <v>89.571084337349404</v>
      </c>
      <c r="N5662" s="449">
        <f>L5662/L$5663</f>
        <v>3.2880677073750655E-2</v>
      </c>
    </row>
    <row r="5663" spans="3:14">
      <c r="C5663" s="463" t="str">
        <f>C5657</f>
        <v>TIGO</v>
      </c>
      <c r="D5663" s="454">
        <f>D5657+D5660</f>
        <v>1089.0043373493975</v>
      </c>
      <c r="G5663">
        <f>SUM(G5659:G5662)</f>
        <v>936138</v>
      </c>
      <c r="H5663">
        <f t="shared" ref="H5663:J5663" si="528">SUM(H5659:H5662)</f>
        <v>932684</v>
      </c>
      <c r="I5663">
        <f t="shared" si="528"/>
        <v>957458</v>
      </c>
      <c r="J5663">
        <f t="shared" si="528"/>
        <v>2826280</v>
      </c>
      <c r="L5663" s="454">
        <f>J5663/4150</f>
        <v>681.03132530120479</v>
      </c>
      <c r="M5663" s="454">
        <f>SUM(M5660+M5661)</f>
        <v>1008.3373493975903</v>
      </c>
    </row>
    <row r="5664" spans="3:14">
      <c r="C5664" s="463" t="str">
        <f>C5658</f>
        <v>Movistar</v>
      </c>
      <c r="D5664" s="454">
        <f>D5658-D5660</f>
        <v>1089.0043373493975</v>
      </c>
      <c r="G5664">
        <f>G5660+G5661</f>
        <v>346000</v>
      </c>
      <c r="H5664">
        <f>H5660+H5661</f>
        <v>344500</v>
      </c>
      <c r="I5664">
        <f>I5660+I5661</f>
        <v>355650</v>
      </c>
      <c r="K5664" s="463"/>
    </row>
    <row r="5666" spans="3:4">
      <c r="C5666" s="499" t="s">
        <v>8227</v>
      </c>
    </row>
    <row r="5667" spans="3:4">
      <c r="C5667" s="463" t="s">
        <v>8188</v>
      </c>
      <c r="D5667">
        <v>860</v>
      </c>
    </row>
    <row r="5668" spans="3:4">
      <c r="C5668" s="463" t="s">
        <v>3054</v>
      </c>
      <c r="D5668">
        <v>2.25</v>
      </c>
    </row>
    <row r="5669" spans="3:4">
      <c r="C5669" s="463" t="s">
        <v>360</v>
      </c>
      <c r="D5669" s="454">
        <f>D5667/D5668</f>
        <v>382.22222222222223</v>
      </c>
    </row>
    <row r="5671" spans="3:4">
      <c r="C5671" s="463" t="s">
        <v>8189</v>
      </c>
      <c r="D5671" s="454">
        <f>D5650/2</f>
        <v>363.00144578313251</v>
      </c>
    </row>
    <row r="5672" spans="3:4">
      <c r="C5672" s="463" t="s">
        <v>8186</v>
      </c>
      <c r="D5672" s="454">
        <f>D5660</f>
        <v>39.400481927710644</v>
      </c>
    </row>
    <row r="5673" spans="3:4">
      <c r="C5673" s="463" t="s">
        <v>8190</v>
      </c>
      <c r="D5673" s="454">
        <f>D5667-D5671+D5672</f>
        <v>536.39903614457808</v>
      </c>
    </row>
    <row r="5675" spans="3:4">
      <c r="C5675" s="499" t="s">
        <v>8219</v>
      </c>
    </row>
    <row r="5676" spans="3:4">
      <c r="C5676" s="463" t="s">
        <v>758</v>
      </c>
      <c r="D5676" s="454">
        <f>D5639</f>
        <v>485.92771084337352</v>
      </c>
    </row>
    <row r="5677" spans="3:4">
      <c r="C5677" s="463" t="s">
        <v>1542</v>
      </c>
      <c r="D5677" s="1358">
        <v>0.1</v>
      </c>
    </row>
    <row r="5679" spans="3:4">
      <c r="C5679" s="463" t="s">
        <v>7865</v>
      </c>
      <c r="D5679" s="454">
        <f>D5676*D5677</f>
        <v>48.592771084337357</v>
      </c>
    </row>
    <row r="5680" spans="3:4">
      <c r="C5680" s="463" t="s">
        <v>2206</v>
      </c>
      <c r="D5680" s="1357">
        <v>6</v>
      </c>
    </row>
    <row r="5681" spans="3:4">
      <c r="C5681" s="463" t="s">
        <v>245</v>
      </c>
      <c r="D5681" s="454">
        <f>D5679*D5680</f>
        <v>291.55662650602414</v>
      </c>
    </row>
    <row r="5682" spans="3:4">
      <c r="C5682" s="463" t="s">
        <v>1381</v>
      </c>
      <c r="D5682" s="1357">
        <v>0</v>
      </c>
    </row>
    <row r="5683" spans="3:4">
      <c r="C5683" s="463" t="s">
        <v>109</v>
      </c>
      <c r="D5683" s="454">
        <f>D5681-D5682</f>
        <v>291.55662650602414</v>
      </c>
    </row>
    <row r="5685" spans="3:4">
      <c r="C5685" s="499" t="s">
        <v>8237</v>
      </c>
    </row>
    <row r="5686" spans="3:4">
      <c r="C5686" s="463" t="s">
        <v>8229</v>
      </c>
      <c r="D5686" s="454">
        <f>D5654</f>
        <v>2178.0086746987949</v>
      </c>
    </row>
    <row r="5687" spans="3:4">
      <c r="C5687" s="463" t="s">
        <v>8191</v>
      </c>
      <c r="D5687" s="1357">
        <v>1000</v>
      </c>
    </row>
    <row r="5688" spans="3:4">
      <c r="C5688" s="463" t="s">
        <v>8228</v>
      </c>
      <c r="D5688" s="454">
        <f>D5686-D5687</f>
        <v>1178.0086746987949</v>
      </c>
    </row>
    <row r="5689" spans="3:4">
      <c r="C5689" s="463" t="s">
        <v>8238</v>
      </c>
      <c r="D5689" s="454">
        <f>D5688*0.5</f>
        <v>589.00433734939747</v>
      </c>
    </row>
    <row r="5690" spans="3:4">
      <c r="C5690" s="463"/>
      <c r="D5690" s="454"/>
    </row>
    <row r="5691" spans="3:4">
      <c r="C5691" s="463" t="s">
        <v>8239</v>
      </c>
      <c r="D5691" s="454">
        <f>D5683</f>
        <v>291.55662650602414</v>
      </c>
    </row>
    <row r="5692" spans="3:4">
      <c r="C5692" s="1212" t="s">
        <v>8186</v>
      </c>
      <c r="D5692" s="462">
        <f>D5672</f>
        <v>39.400481927710644</v>
      </c>
    </row>
    <row r="5693" spans="3:4">
      <c r="C5693" s="463" t="s">
        <v>2324</v>
      </c>
      <c r="D5693" s="454">
        <f>D5689+D5691-D5692</f>
        <v>841.16048192771098</v>
      </c>
    </row>
    <row r="5694" spans="3:4">
      <c r="C5694" s="463" t="s">
        <v>1590</v>
      </c>
      <c r="D5694" s="468">
        <f>D5693/SOP!$I$35</f>
        <v>5.0561752428587541</v>
      </c>
    </row>
    <row r="5696" spans="3:4">
      <c r="C5696" s="499" t="s">
        <v>8242</v>
      </c>
    </row>
    <row r="5697" spans="3:4">
      <c r="C5697" s="463" t="s">
        <v>8192</v>
      </c>
      <c r="D5697" s="454">
        <f>'New split'!M20-D5639</f>
        <v>827.43028915662649</v>
      </c>
    </row>
    <row r="5698" spans="3:4">
      <c r="C5698" s="463" t="s">
        <v>1434</v>
      </c>
      <c r="D5698" s="1358">
        <v>0.25</v>
      </c>
    </row>
    <row r="5699" spans="3:4">
      <c r="C5699" s="463" t="s">
        <v>7865</v>
      </c>
      <c r="D5699" s="454">
        <f>D5697*D5698</f>
        <v>206.85757228915662</v>
      </c>
    </row>
    <row r="5700" spans="3:4">
      <c r="C5700" s="463" t="s">
        <v>2206</v>
      </c>
      <c r="D5700" s="1213">
        <v>4</v>
      </c>
    </row>
    <row r="5701" spans="3:4">
      <c r="C5701" s="463" t="s">
        <v>245</v>
      </c>
      <c r="D5701" s="454">
        <f>D5699*D5700</f>
        <v>827.43028915662649</v>
      </c>
    </row>
    <row r="5702" spans="3:4">
      <c r="C5702" s="463" t="s">
        <v>1381</v>
      </c>
      <c r="D5702" s="454">
        <f>D5673</f>
        <v>536.39903614457808</v>
      </c>
    </row>
    <row r="5703" spans="3:4">
      <c r="C5703" s="463" t="s">
        <v>8236</v>
      </c>
      <c r="D5703" s="468">
        <f>D5702/D5699</f>
        <v>2.5930838799305382</v>
      </c>
    </row>
    <row r="5704" spans="3:4">
      <c r="C5704" s="463" t="s">
        <v>109</v>
      </c>
      <c r="D5704" s="454">
        <f>D5701-D5702</f>
        <v>291.03125301204841</v>
      </c>
    </row>
    <row r="5705" spans="3:4">
      <c r="C5705" s="463" t="s">
        <v>1590</v>
      </c>
      <c r="D5705" s="468">
        <f>D5704/SOP!$I$35</f>
        <v>1.7493748791020143</v>
      </c>
    </row>
    <row r="5707" spans="3:4">
      <c r="C5707" s="463" t="s">
        <v>8240</v>
      </c>
      <c r="D5707" s="1264">
        <f>D5694+D5705</f>
        <v>6.8055501219607688</v>
      </c>
    </row>
    <row r="5708" spans="3:4">
      <c r="C5708" s="450" t="s">
        <v>8241</v>
      </c>
      <c r="D5708" s="1111">
        <f>D5707*0.5</f>
        <v>3.4027750609803844</v>
      </c>
    </row>
    <row r="5710" spans="3:4">
      <c r="C5710" s="463" t="s">
        <v>8220</v>
      </c>
    </row>
    <row r="5711" spans="3:4">
      <c r="C5711" s="463" t="s">
        <v>8221</v>
      </c>
    </row>
    <row r="5714" spans="3:9">
      <c r="C5714" s="627" t="s">
        <v>8222</v>
      </c>
    </row>
    <row r="5715" spans="3:9">
      <c r="C5715" s="463" t="s">
        <v>8224</v>
      </c>
      <c r="D5715" s="454">
        <f>D5679</f>
        <v>48.592771084337357</v>
      </c>
    </row>
    <row r="5716" spans="3:9">
      <c r="C5716" s="463" t="s">
        <v>8223</v>
      </c>
      <c r="D5716" s="454">
        <f>D5677*D5640</f>
        <v>52.240963855421683</v>
      </c>
    </row>
    <row r="5717" spans="3:9">
      <c r="C5717" s="1212" t="s">
        <v>8196</v>
      </c>
      <c r="D5717" s="462">
        <f>D5647</f>
        <v>242.00096385542167</v>
      </c>
    </row>
    <row r="5718" spans="3:9">
      <c r="C5718" s="463" t="s">
        <v>8225</v>
      </c>
      <c r="D5718" s="473">
        <f>SUM(D5715:D5717)</f>
        <v>342.83469879518071</v>
      </c>
    </row>
    <row r="5719" spans="3:9">
      <c r="C5719" s="463" t="s">
        <v>1434</v>
      </c>
      <c r="D5719" s="456">
        <f>D5718/D5641</f>
        <v>0.34</v>
      </c>
    </row>
    <row r="5721" spans="3:9">
      <c r="C5721" s="627" t="s">
        <v>5412</v>
      </c>
      <c r="E5721" s="450" t="s">
        <v>8233</v>
      </c>
      <c r="H5721" s="450" t="s">
        <v>5960</v>
      </c>
    </row>
    <row r="5722" spans="3:9">
      <c r="C5722" s="463" t="s">
        <v>8234</v>
      </c>
      <c r="D5722" s="454">
        <f>D5727*D5639</f>
        <v>121.48192771084338</v>
      </c>
      <c r="E5722">
        <v>360</v>
      </c>
      <c r="F5722">
        <f>E5722*1.1</f>
        <v>396.00000000000006</v>
      </c>
      <c r="H5722" s="463" t="s">
        <v>7865</v>
      </c>
    </row>
    <row r="5723" spans="3:9">
      <c r="C5723" s="1212" t="s">
        <v>8232</v>
      </c>
      <c r="D5723" s="462">
        <f>D5728*D5640</f>
        <v>156.72289156626505</v>
      </c>
      <c r="E5723">
        <v>1200</v>
      </c>
      <c r="F5723">
        <f>E5723*1.1</f>
        <v>1320</v>
      </c>
      <c r="H5723" s="463" t="s">
        <v>360</v>
      </c>
      <c r="I5723" s="454">
        <f>'New split'!M288</f>
        <v>456.71199999999999</v>
      </c>
    </row>
    <row r="5724" spans="3:9">
      <c r="C5724" s="463" t="s">
        <v>2324</v>
      </c>
      <c r="D5724" s="454">
        <f>SUM(D5722:D5723)</f>
        <v>278.20481927710841</v>
      </c>
    </row>
    <row r="5726" spans="3:9">
      <c r="C5726" s="450" t="s">
        <v>8235</v>
      </c>
    </row>
    <row r="5727" spans="3:9">
      <c r="C5727" t="str">
        <f>C5722</f>
        <v>TIGO EBITDAaL</v>
      </c>
      <c r="D5727" s="456">
        <v>0.25</v>
      </c>
    </row>
    <row r="5728" spans="3:9">
      <c r="C5728" s="455" t="str">
        <f>C5723</f>
        <v>Movistar EBITDAaL</v>
      </c>
      <c r="D5728" s="561">
        <v>0.3</v>
      </c>
    </row>
    <row r="5729" spans="2:5">
      <c r="C5729" s="463" t="s">
        <v>1805</v>
      </c>
      <c r="D5729" s="456">
        <f>D5724/D5641</f>
        <v>0.27590450700186397</v>
      </c>
    </row>
    <row r="5732" spans="2:5">
      <c r="C5732">
        <v>2022</v>
      </c>
      <c r="D5732">
        <f>C5732+1</f>
        <v>2023</v>
      </c>
      <c r="E5732">
        <f>D5732+1</f>
        <v>2024</v>
      </c>
    </row>
    <row r="5733" spans="2:5">
      <c r="B5733" t="s">
        <v>1936</v>
      </c>
      <c r="C5733" s="464">
        <f>Valuation!L32</f>
        <v>160.20499999999976</v>
      </c>
      <c r="D5733" s="464">
        <f>Valuation!M32</f>
        <v>-35.714500000000044</v>
      </c>
      <c r="E5733" s="464">
        <f ca="1">Valuation!N32</f>
        <v>778.64580000000024</v>
      </c>
    </row>
    <row r="5734" spans="2:5">
      <c r="B5734" t="s">
        <v>8352</v>
      </c>
      <c r="C5734" s="464">
        <f>Valuation!L28</f>
        <v>92.93</v>
      </c>
      <c r="D5734" s="464">
        <f>Valuation!M28</f>
        <v>236</v>
      </c>
      <c r="E5734" s="464">
        <f>Valuation!N28</f>
        <v>135</v>
      </c>
    </row>
    <row r="5735" spans="2:5">
      <c r="B5735" t="s">
        <v>8353</v>
      </c>
      <c r="C5735" s="464">
        <f>C5733+C5734</f>
        <v>253.13499999999976</v>
      </c>
      <c r="D5735" s="464">
        <f>D5733+D5734</f>
        <v>200.28549999999996</v>
      </c>
      <c r="E5735" s="464">
        <f ca="1">E5733+E5734</f>
        <v>913.64580000000024</v>
      </c>
    </row>
    <row r="5756" spans="2:5">
      <c r="C5756">
        <v>2022</v>
      </c>
      <c r="D5756">
        <f>C5756+1</f>
        <v>2023</v>
      </c>
      <c r="E5756">
        <f>D5756+1</f>
        <v>2024</v>
      </c>
    </row>
    <row r="5757" spans="2:5">
      <c r="B5757" t="s">
        <v>1936</v>
      </c>
      <c r="C5757" s="464">
        <v>161.30000000000013</v>
      </c>
      <c r="D5757" s="464">
        <v>137.42158034491649</v>
      </c>
      <c r="E5757" s="464">
        <v>240.03550133041955</v>
      </c>
    </row>
    <row r="5758" spans="2:5">
      <c r="B5758" t="s">
        <v>8352</v>
      </c>
      <c r="C5758" s="464">
        <v>92.93</v>
      </c>
      <c r="D5758" s="464">
        <v>150</v>
      </c>
      <c r="E5758" s="464">
        <v>207.07</v>
      </c>
    </row>
    <row r="5759" spans="2:5">
      <c r="B5759" t="s">
        <v>8353</v>
      </c>
      <c r="C5759" s="464">
        <f>C5757+C5758</f>
        <v>254.23000000000013</v>
      </c>
      <c r="D5759" s="464">
        <f>D5757+D5758</f>
        <v>287.42158034491649</v>
      </c>
      <c r="E5759" s="464">
        <f>E5757+E5758</f>
        <v>447.10550133041954</v>
      </c>
    </row>
    <row r="5778" spans="2:12">
      <c r="B5778" s="451" t="s">
        <v>8410</v>
      </c>
      <c r="C5778" s="560" t="str">
        <f>Valuation!L6</f>
        <v>2022A</v>
      </c>
      <c r="D5778" s="560" t="str">
        <f>Valuation!M6</f>
        <v>2023A</v>
      </c>
      <c r="E5778" s="560" t="str">
        <f>Valuation!N6</f>
        <v>2024A</v>
      </c>
      <c r="I5778" s="451" t="s">
        <v>8410</v>
      </c>
      <c r="J5778" s="560" t="s">
        <v>7899</v>
      </c>
      <c r="K5778" s="560" t="s">
        <v>4545</v>
      </c>
      <c r="L5778" s="560" t="s">
        <v>4546</v>
      </c>
    </row>
    <row r="5779" spans="2:12">
      <c r="B5779" s="1288" t="str">
        <f>Valuation!A21</f>
        <v>EBITDA</v>
      </c>
      <c r="C5779" s="1285">
        <f>Valuation!L21</f>
        <v>2228.1349999999998</v>
      </c>
      <c r="D5779" s="1285">
        <v>2111</v>
      </c>
      <c r="E5779" s="1285">
        <f ca="1">Valuation!N21</f>
        <v>2468.6458000000002</v>
      </c>
      <c r="I5779" s="1288" t="s">
        <v>360</v>
      </c>
      <c r="J5779" s="1285">
        <v>2228.09</v>
      </c>
      <c r="K5779" s="1285">
        <v>2111</v>
      </c>
      <c r="L5779" s="1285">
        <v>2274.2650637772113</v>
      </c>
    </row>
    <row r="5780" spans="2:12">
      <c r="B5780" t="str">
        <f>Valuation!A22</f>
        <v xml:space="preserve">Less Capex </v>
      </c>
      <c r="C5780" s="464">
        <f>Valuation!L22</f>
        <v>-957</v>
      </c>
      <c r="D5780" s="464">
        <f>Valuation!M22</f>
        <v>-931</v>
      </c>
      <c r="E5780" s="464">
        <f>Valuation!N22</f>
        <v>-575</v>
      </c>
      <c r="I5780" t="s">
        <v>214</v>
      </c>
      <c r="J5780" s="464">
        <v>-957</v>
      </c>
      <c r="K5780" s="464">
        <v>-931</v>
      </c>
      <c r="L5780" s="464">
        <v>-814.00895176977917</v>
      </c>
    </row>
    <row r="5781" spans="2:12">
      <c r="B5781" s="1288" t="str">
        <f>Valuation!A23</f>
        <v>Financing costs</v>
      </c>
      <c r="C5781" s="1285">
        <f>Valuation!L23</f>
        <v>-688</v>
      </c>
      <c r="D5781" s="1285">
        <f>Valuation!M23</f>
        <v>-766</v>
      </c>
      <c r="E5781" s="1285">
        <f>Valuation!N23</f>
        <v>-780</v>
      </c>
      <c r="I5781" s="1288" t="s">
        <v>5755</v>
      </c>
      <c r="J5781" s="1285">
        <v>-599</v>
      </c>
      <c r="K5781" s="1285">
        <v>-732.30568052657691</v>
      </c>
      <c r="L5781" s="1285">
        <v>-677.08065611179438</v>
      </c>
    </row>
    <row r="5782" spans="2:12">
      <c r="B5782" t="str">
        <f>Valuation!A24</f>
        <v>Associate CF</v>
      </c>
      <c r="C5782" s="464">
        <f>Valuation!L24</f>
        <v>88</v>
      </c>
      <c r="D5782" s="464">
        <f>Valuation!M24</f>
        <v>86</v>
      </c>
      <c r="E5782" s="464">
        <f>Valuation!N24</f>
        <v>89</v>
      </c>
      <c r="I5782" t="s">
        <v>7423</v>
      </c>
      <c r="J5782" s="464">
        <v>88</v>
      </c>
      <c r="K5782" s="464">
        <v>91.992622712047336</v>
      </c>
      <c r="L5782" s="464">
        <v>93.054789889527939</v>
      </c>
    </row>
    <row r="5783" spans="2:12">
      <c r="B5783" s="1288" t="e">
        <f>Valuation!#REF!</f>
        <v>#REF!</v>
      </c>
      <c r="C5783" s="1285" t="e">
        <f>Valuation!#REF!</f>
        <v>#REF!</v>
      </c>
      <c r="D5783" s="1285" t="e">
        <f>Valuation!#REF!</f>
        <v>#REF!</v>
      </c>
      <c r="E5783" s="1285" t="e">
        <f>Valuation!#REF!</f>
        <v>#REF!</v>
      </c>
      <c r="I5783" s="1288" t="s">
        <v>5756</v>
      </c>
      <c r="J5783" s="1285">
        <v>-89</v>
      </c>
      <c r="K5783" s="1285">
        <v>-70.32374999999999</v>
      </c>
      <c r="L5783" s="1285">
        <v>-94.263750000000002</v>
      </c>
    </row>
    <row r="5784" spans="2:12">
      <c r="B5784" t="str">
        <f>Valuation!A25</f>
        <v>Less Tax</v>
      </c>
      <c r="C5784" s="464">
        <f>Valuation!L25</f>
        <v>-316</v>
      </c>
      <c r="D5784" s="464">
        <f>Valuation!M25</f>
        <v>-233</v>
      </c>
      <c r="E5784" s="464">
        <f>Valuation!N25</f>
        <v>-239</v>
      </c>
      <c r="I5784" t="s">
        <v>8180</v>
      </c>
      <c r="J5784" s="464">
        <v>-316</v>
      </c>
      <c r="K5784" s="464">
        <v>-245.20803181061177</v>
      </c>
      <c r="L5784" s="464">
        <v>-251.16845159739927</v>
      </c>
    </row>
    <row r="5785" spans="2:12">
      <c r="B5785" s="1289" t="str">
        <f>Valuation!A26</f>
        <v>Less Minorities (CF)</v>
      </c>
      <c r="C5785" s="1287">
        <f>Valuation!L26</f>
        <v>-4</v>
      </c>
      <c r="D5785" s="1287">
        <f>Valuation!M26</f>
        <v>0</v>
      </c>
      <c r="E5785" s="1287">
        <f>Valuation!N26</f>
        <v>0</v>
      </c>
      <c r="I5785" s="1289" t="s">
        <v>5827</v>
      </c>
      <c r="J5785" s="1287">
        <v>-4</v>
      </c>
      <c r="K5785" s="1287">
        <v>0.95977989483873216</v>
      </c>
      <c r="L5785" s="1287">
        <v>3.1553624611622233</v>
      </c>
    </row>
    <row r="5786" spans="2:12">
      <c r="B5786" t="str">
        <f>Valuation!A27</f>
        <v>EFCF pre spectrum</v>
      </c>
      <c r="C5786" s="464">
        <f>Valuation!L27</f>
        <v>351.13499999999976</v>
      </c>
      <c r="D5786" s="464">
        <f>Valuation!M27</f>
        <v>267.28549999999996</v>
      </c>
      <c r="E5786" s="464">
        <f ca="1">Valuation!N27</f>
        <v>963.64580000000024</v>
      </c>
      <c r="I5786" t="s">
        <v>8409</v>
      </c>
      <c r="J5786" s="464">
        <v>351.09000000000015</v>
      </c>
      <c r="K5786" s="464">
        <v>314.09212807215295</v>
      </c>
      <c r="L5786" s="464">
        <v>533.95340664892842</v>
      </c>
    </row>
    <row r="5787" spans="2:12">
      <c r="B5787" s="1289" t="str">
        <f>Valuation!A28</f>
        <v>Cash spectrum</v>
      </c>
      <c r="C5787" s="1287">
        <f>Valuation!L28</f>
        <v>92.93</v>
      </c>
      <c r="D5787" s="1287">
        <f>Valuation!M28</f>
        <v>236</v>
      </c>
      <c r="E5787" s="1287">
        <f>Valuation!N28</f>
        <v>135</v>
      </c>
      <c r="I5787" s="1289" t="s">
        <v>7797</v>
      </c>
      <c r="J5787" s="1287">
        <v>92.93</v>
      </c>
      <c r="K5787" s="1287">
        <v>195</v>
      </c>
      <c r="L5787" s="1287">
        <v>150</v>
      </c>
    </row>
    <row r="5788" spans="2:12">
      <c r="B5788" t="str">
        <f>Valuation!A29</f>
        <v>After spectrum</v>
      </c>
      <c r="C5788" s="464">
        <f>Valuation!L29</f>
        <v>258.20499999999976</v>
      </c>
      <c r="D5788" s="464">
        <f>Valuation!M29</f>
        <v>31.285499999999956</v>
      </c>
      <c r="E5788" s="464">
        <f ca="1">Valuation!N29</f>
        <v>828.64580000000024</v>
      </c>
      <c r="I5788" t="s">
        <v>7474</v>
      </c>
      <c r="J5788" s="464">
        <v>258.16000000000014</v>
      </c>
      <c r="K5788" s="464">
        <v>119.09212807215295</v>
      </c>
      <c r="L5788" s="464">
        <v>383.95340664892842</v>
      </c>
    </row>
    <row r="5789" spans="2:12">
      <c r="B5789" s="1288" t="str">
        <f>Valuation!A30</f>
        <v>Discontinued operations/other</v>
      </c>
      <c r="C5789" s="1285">
        <f>Valuation!L30</f>
        <v>53</v>
      </c>
      <c r="D5789" s="1285">
        <f>Valuation!M30</f>
        <v>56</v>
      </c>
      <c r="E5789" s="1285">
        <f>Valuation!N30</f>
        <v>47</v>
      </c>
      <c r="I5789" s="1288" t="s">
        <v>8402</v>
      </c>
      <c r="J5789" s="1285">
        <v>39.14</v>
      </c>
      <c r="K5789" s="1285">
        <v>20</v>
      </c>
      <c r="L5789" s="1285">
        <v>0</v>
      </c>
    </row>
    <row r="5790" spans="2:12">
      <c r="B5790" s="455" t="str">
        <f>Valuation!A31</f>
        <v>Working capital (capex / offset)</v>
      </c>
      <c r="C5790" s="490">
        <f>Valuation!L31</f>
        <v>-151</v>
      </c>
      <c r="D5790" s="490">
        <f>Valuation!M31</f>
        <v>-123</v>
      </c>
      <c r="E5790" s="490">
        <f>Valuation!N31</f>
        <v>-97</v>
      </c>
      <c r="I5790" s="455" t="s">
        <v>7798</v>
      </c>
      <c r="J5790" s="490">
        <v>-136</v>
      </c>
      <c r="K5790" s="490">
        <v>-50.57098812487753</v>
      </c>
      <c r="L5790" s="490">
        <v>-19.835085200693626</v>
      </c>
    </row>
    <row r="5791" spans="2:12">
      <c r="B5791" s="1288" t="str">
        <f>Valuation!A32</f>
        <v>EFCF TIGO definition</v>
      </c>
      <c r="C5791" s="1285">
        <f>Valuation!L32</f>
        <v>160.20499999999976</v>
      </c>
      <c r="D5791" s="1285">
        <f>Valuation!M32</f>
        <v>-35.714500000000044</v>
      </c>
      <c r="E5791" s="1285">
        <f ca="1">Valuation!N32</f>
        <v>778.64580000000024</v>
      </c>
      <c r="I5791" s="1288" t="s">
        <v>7659</v>
      </c>
      <c r="J5791" s="1285">
        <v>161.30000000000013</v>
      </c>
      <c r="K5791" s="1285">
        <v>88.521139947275415</v>
      </c>
      <c r="L5791" s="1285">
        <v>364.11832144823478</v>
      </c>
    </row>
    <row r="5792" spans="2:12">
      <c r="B5792" s="463" t="s">
        <v>8412</v>
      </c>
      <c r="C5792" s="464"/>
      <c r="D5792" s="464"/>
      <c r="E5792" s="464">
        <f ca="1">SUM(C5791:E5791)</f>
        <v>903.13629999999989</v>
      </c>
      <c r="I5792" s="463" t="s">
        <v>8412</v>
      </c>
      <c r="J5792" s="464"/>
      <c r="K5792" s="464"/>
      <c r="L5792" s="464">
        <v>613.93946139551031</v>
      </c>
    </row>
    <row r="5793" spans="2:14" ht="15.75" thickBot="1">
      <c r="B5793" s="1294" t="s">
        <v>8413</v>
      </c>
      <c r="C5793" s="1285"/>
      <c r="D5793" s="1285"/>
      <c r="E5793" s="1487" t="s">
        <v>8414</v>
      </c>
      <c r="I5793" s="1294" t="s">
        <v>8413</v>
      </c>
      <c r="J5793" s="1285"/>
      <c r="K5793" s="1285"/>
      <c r="L5793" s="1487" t="s">
        <v>8414</v>
      </c>
    </row>
    <row r="5794" spans="2:14" ht="15.75" thickBot="1">
      <c r="B5794" s="1223" t="s">
        <v>8411</v>
      </c>
      <c r="C5794" s="1173">
        <f>Valuation!L70</f>
        <v>3.2054868218185872E-2</v>
      </c>
      <c r="D5794" s="1173">
        <f>Valuation!M70</f>
        <v>-7.0443867033995397E-3</v>
      </c>
      <c r="E5794" s="1183">
        <f ca="1">Valuation!N70</f>
        <v>0.15365668352042813</v>
      </c>
      <c r="I5794" s="1223" t="s">
        <v>8411</v>
      </c>
      <c r="J5794" s="1173">
        <v>5.9666489109848536E-2</v>
      </c>
      <c r="K5794" s="1173">
        <v>3.2744858230970134E-2</v>
      </c>
      <c r="L5794" s="1183">
        <v>0.13469102207927722</v>
      </c>
    </row>
    <row r="5800" spans="2:14">
      <c r="B5800" s="463" t="s">
        <v>4061</v>
      </c>
      <c r="D5800" s="464"/>
      <c r="E5800" s="464"/>
      <c r="F5800" s="464"/>
      <c r="G5800" s="468"/>
    </row>
    <row r="5801" spans="2:14">
      <c r="B5801" s="450"/>
      <c r="C5801" s="599"/>
      <c r="D5801" s="599"/>
      <c r="E5801" s="599"/>
      <c r="F5801" s="599"/>
      <c r="G5801" s="599"/>
      <c r="H5801" s="599"/>
      <c r="M5801" s="450"/>
    </row>
    <row r="5802" spans="2:14" ht="75">
      <c r="B5802" s="1524" t="s">
        <v>3265</v>
      </c>
      <c r="C5802" s="1525">
        <v>700</v>
      </c>
      <c r="D5802" s="1525">
        <v>850</v>
      </c>
      <c r="E5802" s="1525">
        <v>1900</v>
      </c>
      <c r="F5802" s="1525" t="s">
        <v>2867</v>
      </c>
      <c r="G5802" s="1525">
        <v>2.5</v>
      </c>
      <c r="H5802" s="1525">
        <v>2.6</v>
      </c>
      <c r="I5802" s="1526">
        <v>3.5</v>
      </c>
      <c r="J5802" s="1527" t="s">
        <v>2324</v>
      </c>
      <c r="K5802" s="1528" t="s">
        <v>5968</v>
      </c>
      <c r="L5802" s="1529"/>
      <c r="M5802" s="1530" t="s">
        <v>8556</v>
      </c>
      <c r="N5802" s="1530" t="s">
        <v>8557</v>
      </c>
    </row>
    <row r="5803" spans="2:14" ht="18.75">
      <c r="B5803" s="1531" t="s">
        <v>1975</v>
      </c>
      <c r="C5803" s="1532">
        <v>20</v>
      </c>
      <c r="D5803" s="1532">
        <v>25</v>
      </c>
      <c r="E5803" s="1532">
        <v>30</v>
      </c>
      <c r="F5803" s="1532"/>
      <c r="G5803" s="1532">
        <v>30</v>
      </c>
      <c r="H5803" s="1532">
        <v>30</v>
      </c>
      <c r="I5803" s="1533">
        <v>80</v>
      </c>
      <c r="J5803" s="1534">
        <f>SUM(C5803:I5803)</f>
        <v>215</v>
      </c>
      <c r="K5803" s="1535">
        <f>J5803/J5810</f>
        <v>0.29054054054054052</v>
      </c>
      <c r="L5803" s="1529"/>
      <c r="M5803" s="1532">
        <v>135</v>
      </c>
      <c r="N5803" s="1536">
        <f>M5803/M5810</f>
        <v>0.32142857142857145</v>
      </c>
    </row>
    <row r="5804" spans="2:14" ht="18.75">
      <c r="B5804" s="1537" t="s">
        <v>6006</v>
      </c>
      <c r="C5804" s="1538"/>
      <c r="D5804" s="1538">
        <v>25</v>
      </c>
      <c r="E5804" s="1538">
        <v>30</v>
      </c>
      <c r="F5804" s="1538">
        <v>30</v>
      </c>
      <c r="G5804" s="1538"/>
      <c r="H5804" s="1538"/>
      <c r="I5804" s="1539"/>
      <c r="J5804" s="1540"/>
      <c r="K5804" s="1541"/>
      <c r="L5804" s="1538"/>
      <c r="M5804" s="1538">
        <v>85</v>
      </c>
      <c r="N5804" s="1542">
        <f>M5804/M5810</f>
        <v>0.20238095238095238</v>
      </c>
    </row>
    <row r="5805" spans="2:14" ht="18.75">
      <c r="B5805" s="1543" t="s">
        <v>887</v>
      </c>
      <c r="C5805" s="1544">
        <v>40</v>
      </c>
      <c r="D5805" s="1544"/>
      <c r="E5805" s="1544">
        <v>50</v>
      </c>
      <c r="F5805" s="1544">
        <v>30</v>
      </c>
      <c r="G5805" s="1544"/>
      <c r="H5805" s="1544"/>
      <c r="I5805" s="1539"/>
      <c r="J5805" s="1545"/>
      <c r="K5805" s="1546"/>
      <c r="L5805" s="1538"/>
      <c r="M5805" s="1544">
        <v>120</v>
      </c>
      <c r="N5805" s="1547">
        <f>M5805/M5810</f>
        <v>0.2857142857142857</v>
      </c>
    </row>
    <row r="5806" spans="2:14" ht="18.75">
      <c r="B5806" s="1548" t="s">
        <v>8558</v>
      </c>
      <c r="C5806" s="1529">
        <f t="shared" ref="C5806:H5806" si="529">C5804+C5805</f>
        <v>40</v>
      </c>
      <c r="D5806" s="1529">
        <f t="shared" si="529"/>
        <v>25</v>
      </c>
      <c r="E5806" s="1529">
        <f t="shared" si="529"/>
        <v>80</v>
      </c>
      <c r="F5806" s="1529">
        <f t="shared" si="529"/>
        <v>60</v>
      </c>
      <c r="G5806" s="1529">
        <f t="shared" si="529"/>
        <v>0</v>
      </c>
      <c r="H5806" s="1529">
        <f t="shared" si="529"/>
        <v>0</v>
      </c>
      <c r="I5806" s="1533">
        <v>80</v>
      </c>
      <c r="J5806" s="1549">
        <f>SUM(C5806:I5806)</f>
        <v>285</v>
      </c>
      <c r="K5806" s="1550">
        <f>J5806/J5810</f>
        <v>0.38513513513513514</v>
      </c>
      <c r="L5806" s="1529"/>
      <c r="M5806" s="1529">
        <v>205</v>
      </c>
      <c r="N5806" s="1551">
        <f>M5806/M5810</f>
        <v>0.48809523809523808</v>
      </c>
    </row>
    <row r="5807" spans="2:14" ht="18.75">
      <c r="B5807" s="1531" t="s">
        <v>8243</v>
      </c>
      <c r="C5807" s="1532">
        <v>20</v>
      </c>
      <c r="D5807" s="1532"/>
      <c r="E5807" s="1532"/>
      <c r="F5807" s="1532">
        <v>30</v>
      </c>
      <c r="G5807" s="1532">
        <v>30</v>
      </c>
      <c r="H5807" s="1532"/>
      <c r="I5807" s="1533">
        <v>80</v>
      </c>
      <c r="J5807" s="1534">
        <f t="shared" ref="J5807:J5809" si="530">SUM(C5807:I5807)</f>
        <v>160</v>
      </c>
      <c r="K5807" s="1535">
        <f>J5807/J5810</f>
        <v>0.21621621621621623</v>
      </c>
      <c r="L5807" s="1529"/>
      <c r="M5807" s="1532">
        <v>80</v>
      </c>
      <c r="N5807" s="1536">
        <f>M5807/M5810</f>
        <v>0.19047619047619047</v>
      </c>
    </row>
    <row r="5808" spans="2:14" ht="18.75">
      <c r="B5808" s="1548" t="s">
        <v>3262</v>
      </c>
      <c r="C5808" s="1529"/>
      <c r="D5808" s="1529"/>
      <c r="E5808" s="1529"/>
      <c r="F5808" s="1529"/>
      <c r="G5808" s="1529"/>
      <c r="H5808" s="1529">
        <v>70</v>
      </c>
      <c r="I5808" s="1533"/>
      <c r="J5808" s="1549"/>
      <c r="K5808" s="1550"/>
      <c r="L5808" s="1529"/>
      <c r="M5808" s="1529"/>
      <c r="N5808" s="1529"/>
    </row>
    <row r="5809" spans="2:14" ht="18.75">
      <c r="B5809" s="1531" t="s">
        <v>8526</v>
      </c>
      <c r="C5809" s="1532"/>
      <c r="D5809" s="1532"/>
      <c r="E5809" s="1532"/>
      <c r="F5809" s="1532"/>
      <c r="G5809" s="1532"/>
      <c r="H5809" s="1532"/>
      <c r="I5809" s="1533">
        <v>80</v>
      </c>
      <c r="J5809" s="1534">
        <f t="shared" si="530"/>
        <v>80</v>
      </c>
      <c r="K5809" s="1535">
        <f>J5809/J5810</f>
        <v>0.10810810810810811</v>
      </c>
      <c r="L5809" s="1529"/>
      <c r="M5809" s="1532">
        <v>0</v>
      </c>
      <c r="N5809" s="1536">
        <f>M5809/M5810</f>
        <v>0</v>
      </c>
    </row>
    <row r="5810" spans="2:14" ht="18.75">
      <c r="B5810" s="1552" t="s">
        <v>7990</v>
      </c>
      <c r="C5810" s="1553">
        <f>SUM(C5803:C5809)-C5804-C5805</f>
        <v>80</v>
      </c>
      <c r="D5810" s="1553">
        <f t="shared" ref="D5810:H5810" si="531">SUM(D5803:D5809)-D5804-D5805</f>
        <v>50</v>
      </c>
      <c r="E5810" s="1553">
        <f t="shared" si="531"/>
        <v>110</v>
      </c>
      <c r="F5810" s="1553">
        <f t="shared" si="531"/>
        <v>90</v>
      </c>
      <c r="G5810" s="1553">
        <f t="shared" si="531"/>
        <v>60</v>
      </c>
      <c r="H5810" s="1553">
        <f t="shared" si="531"/>
        <v>100</v>
      </c>
      <c r="I5810" s="1554">
        <f>SUM(I5803:I5809)-I5804-I5805</f>
        <v>320</v>
      </c>
      <c r="J5810" s="1527">
        <f>SUM(J5803:J5809)</f>
        <v>740</v>
      </c>
      <c r="K5810" s="1555"/>
      <c r="L5810" s="1529"/>
      <c r="M5810" s="1553">
        <v>420</v>
      </c>
      <c r="N5810" s="1556"/>
    </row>
    <row r="5816" spans="2:14">
      <c r="B5816" s="498"/>
      <c r="C5816" s="463"/>
    </row>
    <row r="5817" spans="2:14">
      <c r="B5817" s="463"/>
      <c r="C5817" s="463"/>
    </row>
    <row r="5818" spans="2:14">
      <c r="B5818" s="463"/>
    </row>
    <row r="5821" spans="2:14">
      <c r="B5821" s="450" t="s">
        <v>8566</v>
      </c>
      <c r="C5821" s="450" t="s">
        <v>8564</v>
      </c>
    </row>
    <row r="5822" spans="2:14">
      <c r="B5822" t="s">
        <v>8561</v>
      </c>
      <c r="C5822" s="1557">
        <v>0.32900000000000001</v>
      </c>
    </row>
    <row r="5823" spans="2:14">
      <c r="B5823" t="s">
        <v>8562</v>
      </c>
      <c r="C5823" s="1558">
        <f>G5832</f>
        <v>2.2809211404914533</v>
      </c>
    </row>
    <row r="5824" spans="2:14">
      <c r="B5824" t="s">
        <v>8563</v>
      </c>
      <c r="C5824" s="1557">
        <v>9.6720000000000006</v>
      </c>
    </row>
    <row r="5827" spans="2:7">
      <c r="B5827" s="450" t="s">
        <v>8559</v>
      </c>
      <c r="C5827" s="450" t="s">
        <v>914</v>
      </c>
      <c r="D5827" s="450" t="s">
        <v>3265</v>
      </c>
      <c r="E5827" s="450" t="s">
        <v>1208</v>
      </c>
      <c r="F5827" s="450" t="s">
        <v>8560</v>
      </c>
      <c r="G5827" s="450" t="s">
        <v>8564</v>
      </c>
    </row>
    <row r="5828" spans="2:7">
      <c r="B5828" t="s">
        <v>1975</v>
      </c>
      <c r="C5828">
        <f>411.384*1000/3600</f>
        <v>114.27333333333333</v>
      </c>
      <c r="D5828">
        <v>80</v>
      </c>
      <c r="E5828">
        <v>52</v>
      </c>
      <c r="F5828">
        <f>C5828/D5828/E5828</f>
        <v>2.7469551282051283E-2</v>
      </c>
      <c r="G5828">
        <f>F5828*100</f>
        <v>2.7469551282051285</v>
      </c>
    </row>
    <row r="5829" spans="2:7">
      <c r="B5829" t="s">
        <v>8565</v>
      </c>
      <c r="C5829">
        <f>318.306*1000/3600</f>
        <v>88.418333333333337</v>
      </c>
      <c r="D5829">
        <v>80</v>
      </c>
      <c r="E5829">
        <v>52</v>
      </c>
      <c r="F5829">
        <f t="shared" ref="F5829:F5831" si="532">C5829/D5829/E5829</f>
        <v>2.1254407051282051E-2</v>
      </c>
      <c r="G5829">
        <f t="shared" ref="G5829:G5831" si="533">F5829*100</f>
        <v>2.1254407051282049</v>
      </c>
    </row>
    <row r="5830" spans="2:7">
      <c r="B5830" t="s">
        <v>6712</v>
      </c>
      <c r="C5830">
        <f>318.34*1000/3600</f>
        <v>88.427777777777777</v>
      </c>
      <c r="D5830">
        <v>80</v>
      </c>
      <c r="E5830">
        <v>52</v>
      </c>
      <c r="F5830">
        <f t="shared" si="532"/>
        <v>2.1256677350427352E-2</v>
      </c>
      <c r="G5830">
        <f t="shared" si="533"/>
        <v>2.1256677350427351</v>
      </c>
    </row>
    <row r="5831" spans="2:7">
      <c r="B5831" t="s">
        <v>8526</v>
      </c>
      <c r="C5831">
        <f>318.333*1000/3600</f>
        <v>88.42583333333333</v>
      </c>
      <c r="D5831">
        <v>80</v>
      </c>
      <c r="E5831">
        <v>52</v>
      </c>
      <c r="F5831">
        <f t="shared" si="532"/>
        <v>2.1256209935897438E-2</v>
      </c>
      <c r="G5831">
        <f t="shared" si="533"/>
        <v>2.1256209935897439</v>
      </c>
    </row>
    <row r="5832" spans="2:7">
      <c r="G5832" s="1111">
        <f>AVERAGE(G5828:G5831)</f>
        <v>2.2809211404914533</v>
      </c>
    </row>
    <row r="5839" spans="2:7">
      <c r="B5839" s="463" t="s">
        <v>8567</v>
      </c>
      <c r="C5839" s="449">
        <v>0.02</v>
      </c>
    </row>
    <row r="5840" spans="2:7">
      <c r="B5840" s="463" t="s">
        <v>880</v>
      </c>
      <c r="C5840" s="449">
        <v>0.08</v>
      </c>
    </row>
    <row r="5841" spans="2:8">
      <c r="B5841" s="463" t="s">
        <v>8568</v>
      </c>
      <c r="C5841" s="449">
        <f>'New (new) quarts'!BB116/'New (new) quarts'!BB140</f>
        <v>0.22135263570232205</v>
      </c>
      <c r="G5841">
        <v>100</v>
      </c>
      <c r="H5841">
        <f>G5841-0.5*G5842</f>
        <v>89</v>
      </c>
    </row>
    <row r="5842" spans="2:8">
      <c r="B5842" s="463" t="s">
        <v>8569</v>
      </c>
      <c r="C5842" s="449">
        <f>H5843</f>
        <v>0.12359550561797752</v>
      </c>
      <c r="G5842">
        <v>22</v>
      </c>
      <c r="H5842">
        <f>G5842-11</f>
        <v>11</v>
      </c>
    </row>
    <row r="5843" spans="2:8">
      <c r="H5843">
        <f>H5842/H5841</f>
        <v>0.12359550561797752</v>
      </c>
    </row>
    <row r="5865" spans="2:4">
      <c r="C5865" t="s">
        <v>8642</v>
      </c>
      <c r="D5865" t="s">
        <v>8641</v>
      </c>
    </row>
    <row r="5866" spans="2:4">
      <c r="B5866" t="s">
        <v>1852</v>
      </c>
      <c r="C5866">
        <v>21000</v>
      </c>
      <c r="D5866">
        <v>16000</v>
      </c>
    </row>
    <row r="5874" spans="2:5">
      <c r="B5874" s="450"/>
      <c r="C5874" s="1560" t="s">
        <v>7899</v>
      </c>
      <c r="D5874" s="1560" t="s">
        <v>8576</v>
      </c>
      <c r="E5874" s="1560" t="s">
        <v>4546</v>
      </c>
    </row>
    <row r="5875" spans="2:5">
      <c r="B5875" t="s">
        <v>758</v>
      </c>
      <c r="C5875" s="604">
        <v>5624</v>
      </c>
      <c r="D5875" s="604">
        <v>5661</v>
      </c>
      <c r="E5875" s="604"/>
    </row>
    <row r="5876" spans="2:5">
      <c r="B5876" t="s">
        <v>1545</v>
      </c>
      <c r="C5876" s="604">
        <v>973</v>
      </c>
      <c r="D5876" s="604">
        <v>809</v>
      </c>
      <c r="E5876" s="604"/>
    </row>
    <row r="5877" spans="2:5">
      <c r="B5877" t="s">
        <v>8577</v>
      </c>
      <c r="C5877" s="1561">
        <f>C5876/C5875</f>
        <v>0.17300853485064011</v>
      </c>
      <c r="D5877" s="1561">
        <f>D5876/D5875</f>
        <v>0.1429076134958488</v>
      </c>
      <c r="E5877" s="1561" t="e">
        <f>E5876/E5875</f>
        <v>#DIV/0!</v>
      </c>
    </row>
    <row r="5879" spans="2:5">
      <c r="B5879" t="s">
        <v>4088</v>
      </c>
    </row>
    <row r="5880" spans="2:5">
      <c r="B5880" t="s">
        <v>8578</v>
      </c>
      <c r="C5880" s="604">
        <v>957</v>
      </c>
      <c r="D5880" s="604">
        <v>931</v>
      </c>
      <c r="E5880" s="604"/>
    </row>
    <row r="5881" spans="2:5">
      <c r="B5881" t="s">
        <v>8577</v>
      </c>
      <c r="C5881" s="1561">
        <f>C5880/C5875</f>
        <v>0.17016358463726886</v>
      </c>
      <c r="D5881" s="1561">
        <f>D5880/D5875</f>
        <v>0.16445857622328211</v>
      </c>
      <c r="E5881" s="1561" t="e">
        <f>E5880/E5875</f>
        <v>#DIV/0!</v>
      </c>
    </row>
    <row r="5889" spans="2:5">
      <c r="B5889" t="s">
        <v>8579</v>
      </c>
      <c r="C5889">
        <v>19000</v>
      </c>
      <c r="D5889" s="494">
        <v>45170</v>
      </c>
    </row>
    <row r="5890" spans="2:5">
      <c r="B5890" t="s">
        <v>7780</v>
      </c>
      <c r="C5890">
        <v>5000</v>
      </c>
    </row>
    <row r="5891" spans="2:5">
      <c r="C5891" s="449">
        <f>C5890/C5889</f>
        <v>0.26315789473684209</v>
      </c>
    </row>
    <row r="5896" spans="2:5">
      <c r="B5896" s="450" t="s">
        <v>1934</v>
      </c>
      <c r="C5896" s="1560" t="s">
        <v>7899</v>
      </c>
      <c r="D5896" s="1560" t="s">
        <v>8576</v>
      </c>
      <c r="E5896" s="1560" t="s">
        <v>4546</v>
      </c>
    </row>
    <row r="5897" spans="2:5">
      <c r="B5897" t="s">
        <v>1934</v>
      </c>
      <c r="C5897" s="604">
        <f>5624-2228</f>
        <v>3396</v>
      </c>
      <c r="D5897" s="604">
        <f>5661-2111</f>
        <v>3550</v>
      </c>
      <c r="E5897" s="604">
        <f ca="1">Master!AA5-Master!AA12</f>
        <v>3179.6134000000002</v>
      </c>
    </row>
    <row r="5898" spans="2:5">
      <c r="B5898" t="s">
        <v>8580</v>
      </c>
      <c r="C5898" s="1559">
        <v>250</v>
      </c>
      <c r="D5898" s="1559">
        <v>250</v>
      </c>
      <c r="E5898" s="1559">
        <v>250</v>
      </c>
    </row>
    <row r="5899" spans="2:5">
      <c r="B5899" t="s">
        <v>8581</v>
      </c>
      <c r="C5899" s="1563">
        <f>C5898/C5897</f>
        <v>7.361601884570082E-2</v>
      </c>
      <c r="D5899" s="1562">
        <f>D5898/D5897</f>
        <v>7.0422535211267609E-2</v>
      </c>
      <c r="E5899" s="1562">
        <f ca="1">E5898/E5897</f>
        <v>7.8625910936216334E-2</v>
      </c>
    </row>
    <row r="5900" spans="2:5">
      <c r="C5900" s="1559"/>
      <c r="D5900" s="1559"/>
      <c r="E5900" s="1559"/>
    </row>
    <row r="5901" spans="2:5">
      <c r="C5901" s="1559"/>
      <c r="D5901" s="1559"/>
      <c r="E5901" s="1559"/>
    </row>
    <row r="5902" spans="2:5">
      <c r="C5902" s="1559"/>
      <c r="D5902" s="1559"/>
      <c r="E5902" s="1559"/>
    </row>
    <row r="5905" spans="2:9">
      <c r="C5905" t="s">
        <v>8582</v>
      </c>
      <c r="D5905" t="s">
        <v>8583</v>
      </c>
      <c r="E5905" t="s">
        <v>8584</v>
      </c>
    </row>
    <row r="5906" spans="2:9">
      <c r="C5906">
        <v>100</v>
      </c>
      <c r="D5906">
        <v>135</v>
      </c>
      <c r="E5906">
        <v>250</v>
      </c>
    </row>
    <row r="5918" spans="2:9">
      <c r="B5918" s="450" t="s">
        <v>574</v>
      </c>
      <c r="C5918" s="1560" t="s">
        <v>7899</v>
      </c>
      <c r="D5918" s="1560" t="s">
        <v>8576</v>
      </c>
      <c r="E5918" s="1560" t="s">
        <v>4546</v>
      </c>
      <c r="G5918" s="1560" t="s">
        <v>8587</v>
      </c>
      <c r="H5918" s="1560" t="s">
        <v>8586</v>
      </c>
      <c r="I5918" s="1560" t="s">
        <v>8585</v>
      </c>
    </row>
    <row r="5919" spans="2:9">
      <c r="B5919" t="s">
        <v>8588</v>
      </c>
      <c r="C5919" s="604">
        <v>171</v>
      </c>
      <c r="D5919" s="604">
        <v>-18</v>
      </c>
      <c r="E5919" s="604">
        <v>550</v>
      </c>
      <c r="G5919" s="464">
        <f>SUM(C5919:E5919)</f>
        <v>703</v>
      </c>
      <c r="H5919" s="464">
        <f ca="1">Valuation!N32</f>
        <v>778.64580000000024</v>
      </c>
      <c r="I5919">
        <v>370</v>
      </c>
    </row>
    <row r="5920" spans="2:9">
      <c r="B5920" t="s">
        <v>6093</v>
      </c>
      <c r="C5920" s="604"/>
      <c r="D5920" s="604">
        <f>Valuation!M32</f>
        <v>-35.714500000000044</v>
      </c>
      <c r="E5920" s="604">
        <f ca="1">Valuation!N32</f>
        <v>778.64580000000024</v>
      </c>
      <c r="G5920" s="464">
        <f ca="1">171+D5920+E5920</f>
        <v>913.93130000000019</v>
      </c>
    </row>
    <row r="5921" spans="2:7">
      <c r="B5921" t="s">
        <v>1643</v>
      </c>
      <c r="C5921" s="464"/>
      <c r="D5921" s="1559">
        <v>62</v>
      </c>
      <c r="E5921">
        <v>370</v>
      </c>
      <c r="G5921">
        <f>171+D5921+E5921</f>
        <v>603</v>
      </c>
    </row>
    <row r="5924" spans="2:7">
      <c r="E5924" s="464">
        <f ca="1">C5919+D5920+E5920</f>
        <v>913.93130000000019</v>
      </c>
    </row>
    <row r="5925" spans="2:7">
      <c r="E5925" s="464">
        <f>C5919+D5921+E5921</f>
        <v>603</v>
      </c>
    </row>
    <row r="5928" spans="2:7">
      <c r="E5928" s="464">
        <f ca="1">E5924-C5919-D5919</f>
        <v>760.93130000000019</v>
      </c>
    </row>
    <row r="5929" spans="2:7">
      <c r="E5929" s="464">
        <f>E5925-C5919-D5919</f>
        <v>450</v>
      </c>
    </row>
    <row r="5946" spans="2:5">
      <c r="B5946" t="s">
        <v>8591</v>
      </c>
      <c r="D5946" s="464">
        <f>D5919</f>
        <v>-18</v>
      </c>
    </row>
    <row r="5947" spans="2:5">
      <c r="B5947" s="463" t="s">
        <v>8625</v>
      </c>
      <c r="C5947" s="464">
        <v>-18</v>
      </c>
      <c r="D5947" s="464">
        <f>(Valuation!M28-Valuation!N28)+C5947</f>
        <v>83</v>
      </c>
      <c r="E5947" s="464">
        <f>D5947-C5947</f>
        <v>101</v>
      </c>
    </row>
    <row r="5948" spans="2:5">
      <c r="B5948" t="s">
        <v>8590</v>
      </c>
      <c r="C5948">
        <f>D5947</f>
        <v>83</v>
      </c>
      <c r="D5948" s="464">
        <f>Valuation!N22-Valuation!M22</f>
        <v>356</v>
      </c>
    </row>
    <row r="5949" spans="2:5">
      <c r="B5949" t="s">
        <v>8594</v>
      </c>
      <c r="C5949" s="454">
        <f>C5948+D5948</f>
        <v>439</v>
      </c>
      <c r="D5949">
        <f>106-15</f>
        <v>91</v>
      </c>
    </row>
    <row r="5950" spans="2:5">
      <c r="B5950" t="s">
        <v>8593</v>
      </c>
      <c r="C5950" s="454">
        <f>C5949+D5949</f>
        <v>530</v>
      </c>
      <c r="D5950" s="454">
        <f>0.03*Master!Y5*0.4*0.7</f>
        <v>47.246052000000006</v>
      </c>
    </row>
    <row r="5951" spans="2:5">
      <c r="B5951" s="463" t="s">
        <v>8626</v>
      </c>
      <c r="C5951" s="454">
        <f>C5950+D5950</f>
        <v>577.24605199999996</v>
      </c>
      <c r="D5951" s="454">
        <f>Valuation!N23-Valuation!M23</f>
        <v>-14</v>
      </c>
    </row>
    <row r="5952" spans="2:5">
      <c r="B5952" t="s">
        <v>8595</v>
      </c>
      <c r="C5952" s="454">
        <f>C5951+D5951</f>
        <v>563.24605199999996</v>
      </c>
      <c r="D5952" s="454">
        <f ca="1">D5953-C5952</f>
        <v>215.39974800000027</v>
      </c>
    </row>
    <row r="5953" spans="2:4">
      <c r="B5953" t="s">
        <v>8592</v>
      </c>
      <c r="D5953" s="454">
        <f ca="1">Valuation!N32</f>
        <v>778.64580000000024</v>
      </c>
    </row>
    <row r="5955" spans="2:4">
      <c r="B5955" s="463" t="s">
        <v>8592</v>
      </c>
      <c r="D5955" s="464">
        <f ca="1">D5953</f>
        <v>778.64580000000024</v>
      </c>
    </row>
    <row r="5956" spans="2:4">
      <c r="B5956" s="463" t="s">
        <v>8627</v>
      </c>
      <c r="C5956" s="464">
        <f ca="1">D5955-D5956</f>
        <v>813.64580000000024</v>
      </c>
      <c r="D5956" s="464">
        <f>Valuation!O28-Valuation!N28</f>
        <v>-35</v>
      </c>
    </row>
    <row r="5957" spans="2:4">
      <c r="B5957" s="463" t="s">
        <v>8628</v>
      </c>
      <c r="C5957" s="464">
        <f ca="1">C5956-D5957</f>
        <v>785.34364670248578</v>
      </c>
      <c r="D5957" s="464">
        <f ca="1">Valuation!N25-Valuation!O25</f>
        <v>28.302153297514508</v>
      </c>
    </row>
    <row r="5958" spans="2:4">
      <c r="B5958" s="463" t="s">
        <v>8629</v>
      </c>
      <c r="C5958" s="464">
        <f ca="1">C5957-D5958</f>
        <v>780.17518973709639</v>
      </c>
      <c r="D5958" s="464">
        <f>Valuation!N22-Valuation!O22</f>
        <v>5.1684569653893959</v>
      </c>
    </row>
    <row r="5959" spans="2:4">
      <c r="B5959" s="463" t="s">
        <v>8626</v>
      </c>
      <c r="C5959" s="454">
        <f ca="1">C5958+D5958</f>
        <v>785.34364670248578</v>
      </c>
      <c r="D5959" s="454">
        <f ca="1">Valuation!O23-Valuation!N23</f>
        <v>44.386452903156055</v>
      </c>
    </row>
    <row r="5960" spans="2:4">
      <c r="B5960" s="463" t="s">
        <v>8630</v>
      </c>
      <c r="C5960" s="454">
        <f ca="1">C5959+D5959</f>
        <v>829.73009960564184</v>
      </c>
      <c r="D5960" s="454">
        <f ca="1">D5961-C5960</f>
        <v>-70.109179146855581</v>
      </c>
    </row>
    <row r="5961" spans="2:4">
      <c r="B5961" t="s">
        <v>8592</v>
      </c>
      <c r="D5961" s="454">
        <f ca="1">Valuation!O32</f>
        <v>759.62092045878626</v>
      </c>
    </row>
    <row r="5972" spans="2:13" ht="15.75">
      <c r="B5972" s="1334"/>
      <c r="C5972" s="1323" t="s">
        <v>886</v>
      </c>
      <c r="D5972" s="1323" t="s">
        <v>886</v>
      </c>
      <c r="E5972" s="1323" t="s">
        <v>886</v>
      </c>
      <c r="F5972" s="1293"/>
      <c r="G5972" s="1323" t="s">
        <v>885</v>
      </c>
      <c r="H5972" s="1323" t="s">
        <v>885</v>
      </c>
      <c r="I5972" s="1323" t="s">
        <v>885</v>
      </c>
      <c r="J5972" s="1293"/>
      <c r="K5972" s="1323" t="s">
        <v>1655</v>
      </c>
      <c r="L5972" s="1323" t="s">
        <v>1655</v>
      </c>
      <c r="M5972" s="1323" t="s">
        <v>1655</v>
      </c>
    </row>
    <row r="5973" spans="2:13" ht="15.75">
      <c r="B5973" s="1324" t="s">
        <v>5529</v>
      </c>
      <c r="C5973" s="1324">
        <v>2024</v>
      </c>
      <c r="D5973" s="1324">
        <f>C5973+1</f>
        <v>2025</v>
      </c>
      <c r="E5973" s="1324">
        <f>D5973+1</f>
        <v>2026</v>
      </c>
      <c r="F5973" s="1331"/>
      <c r="G5973" s="1324">
        <v>2024</v>
      </c>
      <c r="H5973" s="1324">
        <f>G5973+1</f>
        <v>2025</v>
      </c>
      <c r="I5973" s="1324">
        <f>H5973+1</f>
        <v>2026</v>
      </c>
      <c r="J5973" s="1331"/>
      <c r="K5973" s="1324">
        <v>2024</v>
      </c>
      <c r="L5973" s="1324">
        <f>K5973+1</f>
        <v>2025</v>
      </c>
      <c r="M5973" s="1324">
        <f>L5973+1</f>
        <v>2026</v>
      </c>
    </row>
    <row r="5974" spans="2:13" ht="15.75">
      <c r="B5974" s="1325" t="s">
        <v>758</v>
      </c>
      <c r="C5974" s="1326">
        <f>Master!AA5</f>
        <v>5804.2592000000004</v>
      </c>
      <c r="D5974" s="1326">
        <f>Master!AB5</f>
        <v>5523.9546913835384</v>
      </c>
      <c r="E5974" s="1326">
        <f>Master!AC5</f>
        <v>5603.0529567956419</v>
      </c>
      <c r="F5974" s="1325"/>
      <c r="G5974" s="1326">
        <v>5918.8344234292708</v>
      </c>
      <c r="H5974" s="1326">
        <v>5996.4996038241052</v>
      </c>
      <c r="I5974" s="1326">
        <v>6107.4280358510296</v>
      </c>
      <c r="J5974" s="1325"/>
      <c r="K5974" s="1332">
        <f>C5974/G5974-1</f>
        <v>-1.9357734180860509E-2</v>
      </c>
      <c r="L5974" s="1332">
        <f t="shared" ref="L5974:L5975" si="534">D5974/H5974-1</f>
        <v>-7.8803459294688238E-2</v>
      </c>
      <c r="M5974" s="1332">
        <f t="shared" ref="M5974:M5975" si="535">E5974/I5974-1</f>
        <v>-8.2583875912195848E-2</v>
      </c>
    </row>
    <row r="5975" spans="2:13" ht="15.75">
      <c r="B5975" s="1293" t="s">
        <v>360</v>
      </c>
      <c r="C5975" s="1327">
        <f ca="1">Master!AA14</f>
        <v>2468.6458000000002</v>
      </c>
      <c r="D5975" s="1327">
        <f>Master!AB14</f>
        <v>2381.685419914671</v>
      </c>
      <c r="E5975" s="1327">
        <f>Master!AC14</f>
        <v>2396.1990022089599</v>
      </c>
      <c r="F5975" s="1293"/>
      <c r="G5975" s="1327">
        <v>2611.4843505660551</v>
      </c>
      <c r="H5975" s="1327">
        <v>2645.9297989030092</v>
      </c>
      <c r="I5975" s="1327">
        <v>2697.2121375704078</v>
      </c>
      <c r="J5975" s="1293"/>
      <c r="K5975" s="1328">
        <f t="shared" ref="K5975" ca="1" si="536">C5975/G5975-1</f>
        <v>-5.4696307307027792E-2</v>
      </c>
      <c r="L5975" s="1328">
        <f t="shared" si="534"/>
        <v>-9.9868250131916914E-2</v>
      </c>
      <c r="M5975" s="1328">
        <f t="shared" si="535"/>
        <v>-0.11160157970837037</v>
      </c>
    </row>
    <row r="5976" spans="2:13" ht="15.75">
      <c r="B5976" s="1325" t="s">
        <v>1434</v>
      </c>
      <c r="C5976" s="1332">
        <f ca="1">C5975/C5974</f>
        <v>0.42531625741317686</v>
      </c>
      <c r="D5976" s="1332">
        <f>D5975/D5974</f>
        <v>0.43115585716691501</v>
      </c>
      <c r="E5976" s="1332">
        <f>E5975/E5974</f>
        <v>0.42765953145289104</v>
      </c>
      <c r="F5976" s="1325"/>
      <c r="G5976" s="1332">
        <v>0.44121598337481555</v>
      </c>
      <c r="H5976" s="1332">
        <v>0.44124572229032405</v>
      </c>
      <c r="I5976" s="1332">
        <v>0.44162814882755619</v>
      </c>
      <c r="J5976" s="1325"/>
      <c r="K5976" s="1332"/>
      <c r="L5976" s="1332"/>
      <c r="M5976" s="1332"/>
    </row>
    <row r="5977" spans="2:13" ht="15.75">
      <c r="B5977" s="1293"/>
      <c r="C5977" s="1293"/>
      <c r="D5977" s="1293"/>
      <c r="E5977" s="1293"/>
      <c r="F5977" s="1293"/>
      <c r="G5977" s="1293"/>
      <c r="H5977" s="1293"/>
      <c r="I5977" s="1293"/>
      <c r="J5977" s="1293"/>
      <c r="K5977" s="1293"/>
      <c r="L5977" s="1293"/>
      <c r="M5977" s="1293"/>
    </row>
    <row r="5978" spans="2:13" ht="15.75">
      <c r="B5978" s="1325" t="s">
        <v>4088</v>
      </c>
      <c r="C5978" s="1326">
        <f>Valuation!N22</f>
        <v>-575</v>
      </c>
      <c r="D5978" s="1326">
        <f>Valuation!O22</f>
        <v>-580.1684569653894</v>
      </c>
      <c r="E5978" s="1326">
        <f>Valuation!P22</f>
        <v>-558.17007617557863</v>
      </c>
      <c r="F5978" s="1325"/>
      <c r="G5978" s="1326">
        <v>-779.32637235634127</v>
      </c>
      <c r="H5978" s="1326">
        <v>-789.31463706139948</v>
      </c>
      <c r="I5978" s="1326">
        <v>-798.75156753016165</v>
      </c>
      <c r="J5978" s="1325"/>
      <c r="K5978" s="1332">
        <f t="shared" ref="K5978" si="537">C5978/G5978-1</f>
        <v>-0.26218331575068854</v>
      </c>
      <c r="L5978" s="1332">
        <f t="shared" ref="L5978" si="538">D5978/H5978-1</f>
        <v>-0.26497187594880611</v>
      </c>
      <c r="M5978" s="1332">
        <f t="shared" ref="M5978" si="539">E5978/I5978-1</f>
        <v>-0.3011968941713512</v>
      </c>
    </row>
    <row r="5979" spans="2:13" ht="15.75">
      <c r="B5979" s="1293" t="s">
        <v>1552</v>
      </c>
      <c r="C5979" s="1327">
        <f ca="1">C5975+C5978</f>
        <v>1893.6458000000002</v>
      </c>
      <c r="D5979" s="1327">
        <f t="shared" ref="D5979:E5979" si="540">D5975+D5978</f>
        <v>1801.5169629492816</v>
      </c>
      <c r="E5979" s="1327">
        <f t="shared" si="540"/>
        <v>1838.0289260333811</v>
      </c>
      <c r="F5979" s="1293"/>
      <c r="G5979" s="1327">
        <v>1832.1579782097137</v>
      </c>
      <c r="H5979" s="1327">
        <v>1856.6151618416097</v>
      </c>
      <c r="I5979" s="1327">
        <v>1898.4605700402462</v>
      </c>
      <c r="J5979" s="1293"/>
      <c r="K5979" s="1328">
        <f t="shared" ref="K5979" ca="1" si="541">C5979/G5979-1</f>
        <v>3.3560327505365528E-2</v>
      </c>
      <c r="L5979" s="1328">
        <f t="shared" ref="L5979" si="542">D5979/H5979-1</f>
        <v>-2.9676693385222164E-2</v>
      </c>
      <c r="M5979" s="1328">
        <f t="shared" ref="M5979" si="543">E5979/I5979-1</f>
        <v>-3.18319194828387E-2</v>
      </c>
    </row>
    <row r="5980" spans="2:13" ht="15.75">
      <c r="B5980" s="1325"/>
      <c r="C5980" s="1325"/>
      <c r="D5980" s="1325"/>
      <c r="E5980" s="1325"/>
      <c r="F5980" s="1325"/>
      <c r="G5980" s="1325"/>
      <c r="H5980" s="1325"/>
      <c r="I5980" s="1325"/>
      <c r="J5980" s="1325"/>
      <c r="K5980" s="1325"/>
      <c r="L5980" s="1325"/>
      <c r="M5980" s="1325"/>
    </row>
    <row r="5981" spans="2:13" ht="15.75">
      <c r="B5981" s="1293" t="str">
        <f>Valuation!A23</f>
        <v>Financing costs</v>
      </c>
      <c r="C5981" s="1327">
        <f>Valuation!N23</f>
        <v>-780</v>
      </c>
      <c r="D5981" s="1327">
        <f ca="1">Valuation!O23</f>
        <v>-735.61354709684394</v>
      </c>
      <c r="E5981" s="1327">
        <f ca="1">Valuation!P23</f>
        <v>-739.25921562505346</v>
      </c>
      <c r="F5981" s="1293"/>
      <c r="G5981" s="1327">
        <v>-748.74062500000002</v>
      </c>
      <c r="H5981" s="1327">
        <v>-716.33</v>
      </c>
      <c r="I5981" s="1327">
        <v>-676.08712500000001</v>
      </c>
      <c r="J5981" s="1293"/>
      <c r="K5981" s="1328">
        <f t="shared" ref="K5981:K5990" si="544">C5981/G5981-1</f>
        <v>4.1749270650300208E-2</v>
      </c>
      <c r="L5981" s="1328">
        <f t="shared" ref="L5981:L5990" ca="1" si="545">D5981/H5981-1</f>
        <v>2.6919921121332235E-2</v>
      </c>
      <c r="M5981" s="1328">
        <f t="shared" ref="M5981:M5990" ca="1" si="546">E5981/I5981-1</f>
        <v>9.3437795646609034E-2</v>
      </c>
    </row>
    <row r="5982" spans="2:13" ht="15.75">
      <c r="B5982" s="1325" t="str">
        <f>Valuation!A24</f>
        <v>Associate CF</v>
      </c>
      <c r="C5982" s="1326">
        <f>Valuation!N24</f>
        <v>89</v>
      </c>
      <c r="D5982" s="1326">
        <f>Valuation!O24</f>
        <v>90.811654055326841</v>
      </c>
      <c r="E5982" s="1326">
        <f>Valuation!P24</f>
        <v>92.146272251115363</v>
      </c>
      <c r="F5982" s="1325"/>
      <c r="G5982" s="1326">
        <v>46.779988338588595</v>
      </c>
      <c r="H5982" s="1326">
        <v>47.115590154020126</v>
      </c>
      <c r="I5982" s="1326">
        <v>95.329524705801234</v>
      </c>
      <c r="J5982" s="1325"/>
      <c r="K5982" s="1332">
        <f t="shared" si="544"/>
        <v>0.90252291975422128</v>
      </c>
      <c r="L5982" s="1332">
        <f t="shared" si="545"/>
        <v>0.92742261655780966</v>
      </c>
      <c r="M5982" s="1332">
        <f t="shared" si="546"/>
        <v>-3.3392094049663923E-2</v>
      </c>
    </row>
    <row r="5983" spans="2:13" ht="15.75">
      <c r="B5983" s="1293" t="str">
        <f>Valuation!A25</f>
        <v>Less Tax</v>
      </c>
      <c r="C5983" s="1327">
        <f>Valuation!N25</f>
        <v>-239</v>
      </c>
      <c r="D5983" s="1327">
        <f ca="1">Valuation!O25</f>
        <v>-267.30215329751451</v>
      </c>
      <c r="E5983" s="1327">
        <f ca="1">Valuation!P25</f>
        <v>-348.1306027258467</v>
      </c>
      <c r="F5983" s="1293"/>
      <c r="G5983" s="1327">
        <v>-265.28485317746794</v>
      </c>
      <c r="H5983" s="1327">
        <v>-334.67315595859037</v>
      </c>
      <c r="I5983" s="1327">
        <v>-390.0955338457743</v>
      </c>
      <c r="J5983" s="1293"/>
      <c r="K5983" s="1328">
        <f t="shared" si="544"/>
        <v>-9.9081620615120936E-2</v>
      </c>
      <c r="L5983" s="1328">
        <f t="shared" ca="1" si="545"/>
        <v>-0.20130387353030421</v>
      </c>
      <c r="M5983" s="1328">
        <f t="shared" ca="1" si="546"/>
        <v>-0.10757603581413622</v>
      </c>
    </row>
    <row r="5984" spans="2:13" ht="15.75">
      <c r="B5984" s="1329" t="str">
        <f>Valuation!A26</f>
        <v>Less Minorities (CF)</v>
      </c>
      <c r="C5984" s="1330">
        <f>Valuation!N26</f>
        <v>0</v>
      </c>
      <c r="D5984" s="1330">
        <f>Valuation!O26</f>
        <v>0</v>
      </c>
      <c r="E5984" s="1330">
        <f>Valuation!P26</f>
        <v>0</v>
      </c>
      <c r="F5984" s="1329"/>
      <c r="G5984" s="1330">
        <v>-5.0338721337529151</v>
      </c>
      <c r="H5984" s="1330">
        <v>-15.307252664155222</v>
      </c>
      <c r="I5984" s="1330">
        <v>-24.85832011279102</v>
      </c>
      <c r="J5984" s="1329"/>
      <c r="K5984" s="1333"/>
      <c r="L5984" s="1333"/>
      <c r="M5984" s="1333"/>
    </row>
    <row r="5985" spans="2:13" ht="15.75">
      <c r="B5985" s="1293" t="str">
        <f>Valuation!A27</f>
        <v>EFCF pre spectrum</v>
      </c>
      <c r="C5985" s="1327">
        <f ca="1">Valuation!N27</f>
        <v>963.64580000000024</v>
      </c>
      <c r="D5985" s="1327">
        <f ca="1">Valuation!O27</f>
        <v>889.41291661025025</v>
      </c>
      <c r="E5985" s="1327">
        <f ca="1">Valuation!P27</f>
        <v>842.78537993359623</v>
      </c>
      <c r="F5985" s="1293"/>
      <c r="G5985" s="1327">
        <v>814.87861623708147</v>
      </c>
      <c r="H5985" s="1327">
        <v>837.4203433728843</v>
      </c>
      <c r="I5985" s="1327">
        <v>902.7491157874822</v>
      </c>
      <c r="J5985" s="1293"/>
      <c r="K5985" s="1328">
        <f t="shared" ca="1" si="544"/>
        <v>0.18256361229589113</v>
      </c>
      <c r="L5985" s="1328">
        <f t="shared" ca="1" si="545"/>
        <v>6.2086589666493053E-2</v>
      </c>
      <c r="M5985" s="1328">
        <f t="shared" ca="1" si="546"/>
        <v>-6.6423477802665776E-2</v>
      </c>
    </row>
    <row r="5986" spans="2:13" ht="15.75">
      <c r="B5986" s="1329" t="str">
        <f>Valuation!A28</f>
        <v>Cash spectrum</v>
      </c>
      <c r="C5986" s="1330">
        <f>Valuation!N28</f>
        <v>135</v>
      </c>
      <c r="D5986" s="1330">
        <f>Valuation!O28</f>
        <v>100</v>
      </c>
      <c r="E5986" s="1330">
        <f>Valuation!P28</f>
        <v>100</v>
      </c>
      <c r="F5986" s="1329"/>
      <c r="G5986" s="1330">
        <v>135</v>
      </c>
      <c r="H5986" s="1330">
        <v>125</v>
      </c>
      <c r="I5986" s="1330">
        <v>125</v>
      </c>
      <c r="J5986" s="1329"/>
      <c r="K5986" s="1333">
        <f t="shared" si="544"/>
        <v>0</v>
      </c>
      <c r="L5986" s="1333">
        <f t="shared" si="545"/>
        <v>-0.19999999999999996</v>
      </c>
      <c r="M5986" s="1333">
        <f t="shared" si="546"/>
        <v>-0.19999999999999996</v>
      </c>
    </row>
    <row r="5987" spans="2:13" ht="15.75">
      <c r="B5987" s="1293" t="str">
        <f>Valuation!A29</f>
        <v>After spectrum</v>
      </c>
      <c r="C5987" s="1327">
        <f ca="1">Valuation!N29</f>
        <v>828.64580000000024</v>
      </c>
      <c r="D5987" s="1327">
        <f ca="1">Valuation!O29</f>
        <v>789.41291661025025</v>
      </c>
      <c r="E5987" s="1327">
        <f ca="1">Valuation!P29</f>
        <v>742.78537993359623</v>
      </c>
      <c r="F5987" s="1293"/>
      <c r="G5987" s="1327">
        <v>679.87861623708147</v>
      </c>
      <c r="H5987" s="1327">
        <v>712.4203433728843</v>
      </c>
      <c r="I5987" s="1327">
        <v>777.7491157874822</v>
      </c>
      <c r="J5987" s="1293"/>
      <c r="K5987" s="1328">
        <f t="shared" ca="1" si="544"/>
        <v>0.21881432980831095</v>
      </c>
      <c r="L5987" s="1328">
        <f t="shared" ca="1" si="545"/>
        <v>0.1080718342107585</v>
      </c>
      <c r="M5987" s="1328">
        <f t="shared" ca="1" si="546"/>
        <v>-4.4955031313002158E-2</v>
      </c>
    </row>
    <row r="5988" spans="2:13" ht="15.75">
      <c r="B5988" s="1325" t="str">
        <f>Valuation!A30</f>
        <v>Discontinued operations/other</v>
      </c>
      <c r="C5988" s="1326">
        <f>Valuation!N30</f>
        <v>47</v>
      </c>
      <c r="D5988" s="1326">
        <f>Valuation!O30</f>
        <v>28.75</v>
      </c>
      <c r="E5988" s="1326">
        <f>Valuation!P30</f>
        <v>57.5</v>
      </c>
      <c r="F5988" s="1325"/>
      <c r="G5988" s="1326">
        <v>0</v>
      </c>
      <c r="H5988" s="1326">
        <v>0</v>
      </c>
      <c r="I5988" s="1326">
        <v>0</v>
      </c>
      <c r="J5988" s="1325"/>
      <c r="K5988" s="1332"/>
      <c r="L5988" s="1332"/>
      <c r="M5988" s="1332"/>
    </row>
    <row r="5989" spans="2:13" ht="15.75">
      <c r="B5989" s="1331" t="str">
        <f>Valuation!A31</f>
        <v>Working capital (capex / offset)</v>
      </c>
      <c r="C5989" s="1718">
        <f>Valuation!N31</f>
        <v>-97</v>
      </c>
      <c r="D5989" s="1718">
        <f>Valuation!O31</f>
        <v>-58.541996151463962</v>
      </c>
      <c r="E5989" s="1718">
        <f>Valuation!P31</f>
        <v>-9.2076793491958924</v>
      </c>
      <c r="F5989" s="1331"/>
      <c r="G5989" s="1718">
        <v>-103.32338832633286</v>
      </c>
      <c r="H5989" s="1718">
        <v>-95.855912651691625</v>
      </c>
      <c r="I5989" s="1718">
        <v>-59.445212506089547</v>
      </c>
      <c r="J5989" s="1331"/>
      <c r="K5989" s="1337"/>
      <c r="L5989" s="1337"/>
      <c r="M5989" s="1337"/>
    </row>
    <row r="5990" spans="2:13" ht="15.75">
      <c r="B5990" s="1741" t="str">
        <f>Valuation!A32</f>
        <v>EFCF TIGO definition</v>
      </c>
      <c r="C5990" s="1742">
        <f ca="1">Valuation!N32</f>
        <v>778.64580000000024</v>
      </c>
      <c r="D5990" s="1742">
        <f ca="1">Valuation!O32</f>
        <v>759.62092045878626</v>
      </c>
      <c r="E5990" s="1742">
        <f ca="1">Valuation!P32</f>
        <v>791.0777005844003</v>
      </c>
      <c r="F5990" s="1741"/>
      <c r="G5990" s="1742">
        <v>576.55522791074861</v>
      </c>
      <c r="H5990" s="1742">
        <v>616.56443072119271</v>
      </c>
      <c r="I5990" s="1742">
        <v>718.30390328139265</v>
      </c>
      <c r="J5990" s="1741"/>
      <c r="K5990" s="1336">
        <f t="shared" ca="1" si="544"/>
        <v>0.35051381429939177</v>
      </c>
      <c r="L5990" s="1336">
        <f t="shared" ca="1" si="545"/>
        <v>0.23202196333359848</v>
      </c>
      <c r="M5990" s="1336">
        <f t="shared" ca="1" si="546"/>
        <v>0.10131338138433987</v>
      </c>
    </row>
    <row r="5991" spans="2:13" ht="16.5" thickBot="1">
      <c r="B5991" s="1293"/>
      <c r="C5991" s="1293"/>
      <c r="D5991" s="1293"/>
      <c r="E5991" s="1293"/>
      <c r="F5991" s="1293"/>
      <c r="G5991" s="1293"/>
      <c r="H5991" s="1293"/>
      <c r="I5991" s="1293"/>
      <c r="J5991" s="1293"/>
      <c r="K5991" s="1293"/>
      <c r="L5991" s="1293"/>
      <c r="M5991" s="1293"/>
    </row>
    <row r="5992" spans="2:13" ht="16.5" thickBot="1">
      <c r="B5992" s="1743" t="s">
        <v>9011</v>
      </c>
      <c r="C5992" s="1744">
        <f ca="1">C5990/Valuation!$M$10</f>
        <v>0.15358137787671372</v>
      </c>
      <c r="D5992" s="1744">
        <f ca="1">D5990/Valuation!$M$10</f>
        <v>0.14982887935443551</v>
      </c>
      <c r="E5992" s="1744">
        <f ca="1">E5990/Valuation!$M$10</f>
        <v>0.15603346638907517</v>
      </c>
      <c r="F5992" s="1745"/>
      <c r="G5992" s="1744"/>
      <c r="H5992" s="1744"/>
      <c r="I5992" s="1744"/>
      <c r="J5992" s="1746"/>
      <c r="K5992" s="1746"/>
      <c r="L5992" s="1746"/>
      <c r="M5992" s="1747"/>
    </row>
    <row r="5996" spans="2:13">
      <c r="B5996" t="s">
        <v>6754</v>
      </c>
      <c r="C5996" s="454">
        <f>'New split'!N287</f>
        <v>266.29340000000002</v>
      </c>
    </row>
    <row r="5997" spans="2:13">
      <c r="B5997" t="s">
        <v>8645</v>
      </c>
      <c r="C5997" s="454">
        <f>E4102</f>
        <v>79.756859000000006</v>
      </c>
    </row>
    <row r="5998" spans="2:13">
      <c r="B5998" t="s">
        <v>1552</v>
      </c>
      <c r="C5998" s="454">
        <f>C5996-C5997</f>
        <v>186.536541</v>
      </c>
    </row>
    <row r="5999" spans="2:13">
      <c r="B5999" t="s">
        <v>395</v>
      </c>
      <c r="C5999" s="454">
        <f>0.25*C5998</f>
        <v>46.63413525</v>
      </c>
    </row>
    <row r="6000" spans="2:13">
      <c r="B6000" t="s">
        <v>1936</v>
      </c>
      <c r="C6000" s="454">
        <f>C5998-C5999</f>
        <v>139.90240575000001</v>
      </c>
    </row>
    <row r="6001" spans="2:9">
      <c r="C6001" s="454"/>
    </row>
    <row r="6002" spans="2:9">
      <c r="B6002" t="s">
        <v>1381</v>
      </c>
      <c r="C6002" s="454">
        <v>170</v>
      </c>
      <c r="D6002" s="468">
        <f>C6002/C5996</f>
        <v>0.6383935914296035</v>
      </c>
    </row>
    <row r="6003" spans="2:9">
      <c r="B6003" t="s">
        <v>1382</v>
      </c>
      <c r="C6003" s="454">
        <f>0.12*C6002</f>
        <v>20.399999999999999</v>
      </c>
    </row>
    <row r="6004" spans="2:9">
      <c r="B6004" s="455" t="s">
        <v>574</v>
      </c>
      <c r="C6004" s="462">
        <f>C6000-C6003</f>
        <v>119.50240575000001</v>
      </c>
    </row>
    <row r="6005" spans="2:9">
      <c r="B6005" t="s">
        <v>8644</v>
      </c>
      <c r="C6005" s="454">
        <f>C6004*0.85</f>
        <v>101.57704488750001</v>
      </c>
      <c r="D6005" s="449">
        <f ca="1">C6005/Valuation!N32</f>
        <v>0.13045346791506482</v>
      </c>
    </row>
    <row r="6007" spans="2:9">
      <c r="B6007" t="s">
        <v>8643</v>
      </c>
      <c r="C6007" s="464">
        <f>Valuation!N24</f>
        <v>89</v>
      </c>
    </row>
    <row r="6008" spans="2:9">
      <c r="B6008" s="452" t="s">
        <v>8721</v>
      </c>
      <c r="C6008" s="464">
        <v>30</v>
      </c>
    </row>
    <row r="6009" spans="2:9">
      <c r="B6009" s="452" t="s">
        <v>8722</v>
      </c>
      <c r="C6009" s="464">
        <f>C6007-C6008</f>
        <v>59</v>
      </c>
      <c r="D6009" s="449">
        <f ca="1">C6009/Valuation!N32</f>
        <v>7.5772578494612039E-2</v>
      </c>
    </row>
    <row r="6010" spans="2:9">
      <c r="B6010" s="452"/>
      <c r="C6010" s="464"/>
    </row>
    <row r="6011" spans="2:9">
      <c r="B6011" t="s">
        <v>2324</v>
      </c>
      <c r="C6011" s="454">
        <f>C6005+C6009</f>
        <v>160.57704488749999</v>
      </c>
    </row>
    <row r="6012" spans="2:9">
      <c r="B6012" t="s">
        <v>3366</v>
      </c>
      <c r="C6012" s="449">
        <f ca="1">C6011/Valuation!N32</f>
        <v>0.20622604640967684</v>
      </c>
    </row>
    <row r="6013" spans="2:9">
      <c r="G6013" t="s">
        <v>6251</v>
      </c>
      <c r="H6013" t="s">
        <v>2377</v>
      </c>
      <c r="I6013" t="s">
        <v>2380</v>
      </c>
    </row>
    <row r="6014" spans="2:9">
      <c r="B6014" t="s">
        <v>574</v>
      </c>
      <c r="C6014" s="464">
        <f ca="1">Valuation!N32-C6011</f>
        <v>618.06875511250018</v>
      </c>
      <c r="G6014" s="464">
        <f ca="1">Valuation!N32</f>
        <v>778.64580000000024</v>
      </c>
      <c r="H6014" s="464">
        <f>C6005</f>
        <v>101.57704488750001</v>
      </c>
      <c r="I6014" s="464">
        <f>C6007</f>
        <v>89</v>
      </c>
    </row>
    <row r="6015" spans="2:9">
      <c r="B6015" t="s">
        <v>8646</v>
      </c>
      <c r="C6015" s="449">
        <f ca="1">C6014/Valuation!N10</f>
        <v>0.12196867317358728</v>
      </c>
    </row>
    <row r="6016" spans="2:9">
      <c r="F6016" t="s">
        <v>8795</v>
      </c>
      <c r="G6016">
        <v>0</v>
      </c>
      <c r="H6016" s="464">
        <f ca="1">G6014</f>
        <v>778.64580000000024</v>
      </c>
    </row>
    <row r="6017" spans="3:8">
      <c r="F6017" t="str">
        <f>H6013</f>
        <v>Bolivia</v>
      </c>
      <c r="G6017" s="464">
        <f ca="1">H6016-H6017</f>
        <v>677.06875511250018</v>
      </c>
      <c r="H6017" s="464">
        <f>H6014</f>
        <v>101.57704488750001</v>
      </c>
    </row>
    <row r="6018" spans="3:8">
      <c r="F6018" t="str">
        <f>I6013</f>
        <v>Honduras</v>
      </c>
      <c r="G6018" s="464">
        <f ca="1">G6017-H6018</f>
        <v>588.06875511250018</v>
      </c>
      <c r="H6018" s="464">
        <f>I6014</f>
        <v>89</v>
      </c>
    </row>
    <row r="6019" spans="3:8">
      <c r="F6019" t="s">
        <v>8796</v>
      </c>
      <c r="G6019" s="464">
        <v>0</v>
      </c>
      <c r="H6019" s="464">
        <f ca="1">G6018</f>
        <v>588.06875511250018</v>
      </c>
    </row>
    <row r="6023" spans="3:8">
      <c r="C6023">
        <v>400</v>
      </c>
      <c r="D6023" s="583">
        <v>0.67500000000000004</v>
      </c>
      <c r="E6023" t="s">
        <v>8854</v>
      </c>
    </row>
    <row r="6024" spans="3:8">
      <c r="C6024" s="454">
        <f>C6025-C6023</f>
        <v>192.59259259259261</v>
      </c>
      <c r="E6024" t="s">
        <v>8855</v>
      </c>
    </row>
    <row r="6025" spans="3:8">
      <c r="C6025" s="454">
        <f>C6023/D6023</f>
        <v>592.59259259259261</v>
      </c>
      <c r="E6025" t="s">
        <v>8856</v>
      </c>
    </row>
    <row r="6027" spans="3:8">
      <c r="C6027" s="454">
        <f>C6025/C6028</f>
        <v>68.906115417743337</v>
      </c>
      <c r="E6027" t="s">
        <v>360</v>
      </c>
    </row>
    <row r="6028" spans="3:8">
      <c r="C6028">
        <v>8.6</v>
      </c>
      <c r="E6028" t="s">
        <v>1243</v>
      </c>
    </row>
    <row r="6030" spans="3:8">
      <c r="C6030">
        <v>1000</v>
      </c>
      <c r="E6030" t="s">
        <v>8857</v>
      </c>
    </row>
    <row r="6031" spans="3:8">
      <c r="C6031" s="454">
        <f>C6030-C6025</f>
        <v>407.40740740740739</v>
      </c>
      <c r="E6031" t="s">
        <v>8858</v>
      </c>
    </row>
    <row r="6032" spans="3:8">
      <c r="C6032" s="454">
        <f>C6031/0.5</f>
        <v>814.81481481481478</v>
      </c>
      <c r="E6032" t="s">
        <v>8853</v>
      </c>
    </row>
    <row r="6033" spans="2:15">
      <c r="C6033" s="455">
        <v>683</v>
      </c>
      <c r="E6033" s="498" t="s">
        <v>2721</v>
      </c>
    </row>
    <row r="6034" spans="2:15">
      <c r="C6034" s="454">
        <f>C6032+C6033</f>
        <v>1497.8148148148148</v>
      </c>
      <c r="E6034" t="s">
        <v>2722</v>
      </c>
    </row>
    <row r="6036" spans="2:15">
      <c r="C6036" s="454">
        <f>'New split'!N338</f>
        <v>496.25914122685185</v>
      </c>
      <c r="E6036" t="s">
        <v>3343</v>
      </c>
    </row>
    <row r="6037" spans="2:15">
      <c r="C6037" s="468">
        <f>C6034/C6036</f>
        <v>3.018211032066668</v>
      </c>
    </row>
    <row r="6039" spans="2:15" ht="15.75">
      <c r="B6039" s="1585" t="s">
        <v>8871</v>
      </c>
      <c r="C6039" s="1586"/>
      <c r="D6039" s="1586"/>
      <c r="E6039" s="1586"/>
      <c r="F6039" s="1586"/>
      <c r="G6039" s="1586"/>
      <c r="H6039" s="1586"/>
      <c r="I6039" s="1586"/>
      <c r="J6039" s="1586"/>
    </row>
    <row r="6040" spans="2:15" ht="15.75">
      <c r="B6040" s="1587"/>
      <c r="C6040" s="1587"/>
      <c r="D6040" s="1587"/>
      <c r="E6040" s="1587"/>
      <c r="F6040" s="1587"/>
      <c r="G6040" s="1587"/>
      <c r="H6040" s="1587"/>
      <c r="I6040" s="1587"/>
      <c r="J6040" s="1587"/>
    </row>
    <row r="6041" spans="2:15" ht="15.75">
      <c r="B6041" s="1504" t="s">
        <v>8896</v>
      </c>
      <c r="C6041" s="1613">
        <v>400</v>
      </c>
      <c r="D6041" s="1587"/>
      <c r="E6041" s="1587"/>
      <c r="F6041" s="1587"/>
      <c r="G6041" s="1587"/>
      <c r="H6041" s="1587"/>
      <c r="I6041" s="1587"/>
      <c r="J6041" s="1587"/>
    </row>
    <row r="6042" spans="2:15" ht="15.75">
      <c r="B6042" s="1504" t="s">
        <v>8897</v>
      </c>
      <c r="C6042" s="1613">
        <f>400/0.675</f>
        <v>592.59259259259261</v>
      </c>
      <c r="D6042" s="1587"/>
      <c r="E6042" s="1587"/>
      <c r="J6042" s="1587"/>
      <c r="M6042" s="1519" t="s">
        <v>874</v>
      </c>
      <c r="N6042" s="1587"/>
      <c r="O6042" s="1587" t="s">
        <v>8879</v>
      </c>
    </row>
    <row r="6043" spans="2:15" ht="15.75">
      <c r="B6043" s="1504" t="s">
        <v>8873</v>
      </c>
      <c r="C6043" s="1613">
        <f>O6045</f>
        <v>847.28340675477239</v>
      </c>
      <c r="D6043" s="1587"/>
      <c r="E6043" s="1587"/>
      <c r="J6043" s="1587"/>
      <c r="L6043" s="1587" t="s">
        <v>1381</v>
      </c>
      <c r="M6043" s="1587">
        <v>4087</v>
      </c>
      <c r="N6043" s="1587"/>
      <c r="O6043" s="1587">
        <v>4086</v>
      </c>
    </row>
    <row r="6044" spans="2:15" ht="15.75">
      <c r="B6044" s="1504" t="s">
        <v>8878</v>
      </c>
      <c r="C6044" s="1589">
        <f>C6042+C6043</f>
        <v>1439.875999347365</v>
      </c>
      <c r="D6044" s="1587"/>
      <c r="E6044" s="1587"/>
      <c r="F6044" s="1587"/>
      <c r="G6044" s="1587"/>
      <c r="H6044" s="1587"/>
      <c r="I6044" s="1587"/>
      <c r="J6044" s="1587"/>
      <c r="L6044" s="1587" t="s">
        <v>2222</v>
      </c>
      <c r="M6044" s="1587">
        <v>625</v>
      </c>
      <c r="N6044" s="1587"/>
      <c r="O6044" s="1587"/>
    </row>
    <row r="6045" spans="2:15" ht="15.75">
      <c r="B6045" s="1504" t="s">
        <v>8898</v>
      </c>
      <c r="C6045" s="1589">
        <f>500*0.4</f>
        <v>200</v>
      </c>
      <c r="D6045" s="1587"/>
      <c r="E6045" s="1587"/>
      <c r="F6045" s="1587"/>
      <c r="G6045" s="1587"/>
      <c r="H6045" s="1587"/>
      <c r="I6045" s="1587"/>
      <c r="J6045" s="1587"/>
      <c r="L6045" s="1587" t="s">
        <v>150</v>
      </c>
      <c r="M6045" s="1587">
        <f>M6043-M6044</f>
        <v>3462</v>
      </c>
      <c r="N6045" s="1587"/>
      <c r="O6045" s="1588">
        <f>M6045*1000/O6043</f>
        <v>847.28340675477239</v>
      </c>
    </row>
    <row r="6046" spans="2:15" ht="15.75">
      <c r="B6046" s="1504" t="s">
        <v>8895</v>
      </c>
      <c r="C6046" s="1589">
        <f>C6044-C6045</f>
        <v>1239.875999347365</v>
      </c>
      <c r="D6046" s="1587"/>
      <c r="E6046" s="1587"/>
      <c r="F6046" s="1587"/>
      <c r="G6046" s="1587"/>
      <c r="H6046" s="1587"/>
      <c r="I6046" s="1587"/>
      <c r="J6046" s="1587"/>
    </row>
    <row r="6047" spans="2:15" ht="15.75">
      <c r="B6047" s="1504" t="s">
        <v>8859</v>
      </c>
      <c r="C6047" s="1590">
        <f>C6046/F6063</f>
        <v>4.8606246276274119</v>
      </c>
      <c r="D6047" s="1587"/>
      <c r="E6047" s="1587"/>
      <c r="F6047" s="1587"/>
      <c r="G6047" s="1587"/>
      <c r="H6047" s="1587"/>
      <c r="I6047" s="1587"/>
      <c r="J6047" s="1587"/>
    </row>
    <row r="6048" spans="2:15" ht="15.75">
      <c r="B6048" s="1587"/>
      <c r="C6048" s="1587"/>
      <c r="D6048" s="1587"/>
      <c r="E6048" s="1587"/>
      <c r="F6048" s="1587"/>
      <c r="G6048" s="1587"/>
      <c r="H6048" s="1587"/>
      <c r="I6048" s="1587"/>
      <c r="J6048" s="1587"/>
    </row>
    <row r="6049" spans="2:20" ht="15.75">
      <c r="B6049" s="1591" t="s">
        <v>8860</v>
      </c>
      <c r="C6049" s="1592">
        <v>1</v>
      </c>
      <c r="D6049" s="1587"/>
      <c r="E6049" s="1587"/>
      <c r="F6049" s="1587"/>
      <c r="G6049" s="1587"/>
      <c r="H6049" s="1587"/>
      <c r="I6049" s="1587"/>
      <c r="J6049" s="1587"/>
    </row>
    <row r="6050" spans="2:20" ht="15.75">
      <c r="B6050" s="1587" t="s">
        <v>8861</v>
      </c>
      <c r="C6050" s="1589">
        <f>C6049*C6042</f>
        <v>592.59259259259261</v>
      </c>
      <c r="D6050" s="1587"/>
      <c r="E6050" s="1587"/>
      <c r="F6050" s="1587"/>
      <c r="G6050" s="1587"/>
      <c r="H6050" s="1587"/>
      <c r="I6050" s="1587"/>
      <c r="J6050" s="1587"/>
    </row>
    <row r="6051" spans="2:20" ht="15.75" hidden="1" outlineLevel="1">
      <c r="B6051" s="1587" t="s">
        <v>8862</v>
      </c>
      <c r="C6051" s="1589">
        <f>C6042-C6050</f>
        <v>0</v>
      </c>
      <c r="D6051" s="1587"/>
      <c r="E6051" s="1587"/>
      <c r="F6051" s="1587"/>
      <c r="G6051" s="1587"/>
      <c r="H6051" s="1587"/>
      <c r="I6051" s="1587"/>
      <c r="J6051" s="1587"/>
    </row>
    <row r="6052" spans="2:20" ht="15.75" hidden="1" outlineLevel="1">
      <c r="B6052" s="1587" t="s">
        <v>8872</v>
      </c>
      <c r="C6052" s="1590">
        <f>Valuation!B4</f>
        <v>29.58</v>
      </c>
      <c r="D6052" s="1587"/>
      <c r="E6052" s="1587"/>
      <c r="F6052" s="1587"/>
      <c r="G6052" s="1587"/>
      <c r="H6052" s="1587"/>
      <c r="I6052" s="1587"/>
      <c r="J6052" s="1587"/>
    </row>
    <row r="6053" spans="2:20" ht="15.75" hidden="1" outlineLevel="1">
      <c r="B6053" s="1587" t="s">
        <v>8863</v>
      </c>
      <c r="C6053" s="1589">
        <f>C6051/C6052</f>
        <v>0</v>
      </c>
      <c r="D6053" s="1587"/>
      <c r="E6053" s="1587"/>
      <c r="F6053" s="1587"/>
      <c r="G6053" s="1587"/>
      <c r="H6053" s="1587"/>
      <c r="I6053" s="1587"/>
      <c r="J6053" s="1587"/>
    </row>
    <row r="6054" spans="2:20" ht="15.75" hidden="1" outlineLevel="1">
      <c r="B6054" s="1587"/>
      <c r="C6054" s="1587"/>
      <c r="D6054" s="1587"/>
      <c r="E6054" s="1587"/>
      <c r="F6054" s="1587"/>
      <c r="G6054" s="1587"/>
      <c r="H6054" s="1587"/>
      <c r="I6054" s="1587"/>
      <c r="J6054" s="1587"/>
    </row>
    <row r="6055" spans="2:20" ht="15.75" collapsed="1">
      <c r="B6055" s="1587"/>
      <c r="C6055" s="1587"/>
      <c r="D6055" s="1587"/>
      <c r="E6055" s="1587"/>
      <c r="F6055" s="1587"/>
      <c r="G6055" s="1587"/>
      <c r="H6055" s="1587"/>
      <c r="I6055" s="1587"/>
      <c r="J6055" s="1587"/>
    </row>
    <row r="6056" spans="2:20" ht="15.75">
      <c r="B6056" s="1593" t="s">
        <v>8874</v>
      </c>
      <c r="C6056" s="1587"/>
      <c r="D6056" s="1587"/>
      <c r="E6056" s="1587"/>
      <c r="F6056" s="1587"/>
      <c r="G6056" s="1587"/>
      <c r="H6056" s="1587"/>
      <c r="I6056" s="1587"/>
      <c r="J6056" s="1587"/>
      <c r="N6056">
        <v>1.1599999999999999</v>
      </c>
      <c r="O6056">
        <v>1.1599999999999999</v>
      </c>
      <c r="P6056">
        <v>1.08</v>
      </c>
      <c r="Q6056">
        <v>1.08</v>
      </c>
      <c r="R6056">
        <v>1.08</v>
      </c>
      <c r="S6056">
        <v>1.08</v>
      </c>
      <c r="T6056">
        <v>1.08</v>
      </c>
    </row>
    <row r="6057" spans="2:20" ht="15.75">
      <c r="B6057" s="1594" t="s">
        <v>914</v>
      </c>
      <c r="C6057" s="1594">
        <v>2021</v>
      </c>
      <c r="D6057" s="1594">
        <v>2022</v>
      </c>
      <c r="E6057" s="1594">
        <v>2023</v>
      </c>
      <c r="F6057" s="1594">
        <v>2024</v>
      </c>
      <c r="G6057" s="1594">
        <v>2025</v>
      </c>
      <c r="H6057" s="1594">
        <v>2026</v>
      </c>
      <c r="I6057" s="1594">
        <v>2027</v>
      </c>
      <c r="J6057" s="1594">
        <v>2028</v>
      </c>
      <c r="L6057" s="1594" t="s">
        <v>5640</v>
      </c>
      <c r="M6057" s="1594">
        <v>2021</v>
      </c>
      <c r="N6057" s="1594">
        <v>2022</v>
      </c>
      <c r="O6057" s="1594">
        <v>2023</v>
      </c>
      <c r="P6057" s="1594">
        <v>2024</v>
      </c>
      <c r="Q6057" s="1594">
        <v>2025</v>
      </c>
      <c r="R6057" s="1594">
        <v>2026</v>
      </c>
      <c r="S6057" s="1594">
        <v>2027</v>
      </c>
      <c r="T6057" s="1594">
        <v>2028</v>
      </c>
    </row>
    <row r="6058" spans="2:20" ht="15.75">
      <c r="B6058" s="1504" t="s">
        <v>758</v>
      </c>
      <c r="C6058" s="1595"/>
      <c r="D6058" s="1515">
        <f>N6058*N$6056</f>
        <v>1760.053321592</v>
      </c>
      <c r="E6058" s="1515">
        <f t="shared" ref="E6058:J6058" si="547">O6058*O$6056</f>
        <v>1736.5363914959999</v>
      </c>
      <c r="F6058" s="1515">
        <f t="shared" si="547"/>
        <v>1604.2644967949775</v>
      </c>
      <c r="G6058" s="1515">
        <f t="shared" si="547"/>
        <v>1542.5620161490167</v>
      </c>
      <c r="H6058" s="1515">
        <f t="shared" si="547"/>
        <v>1542.5620161490169</v>
      </c>
      <c r="I6058" s="1515">
        <f t="shared" si="547"/>
        <v>1542.5620161490167</v>
      </c>
      <c r="J6058" s="1515">
        <f t="shared" si="547"/>
        <v>1542.5620161490167</v>
      </c>
      <c r="L6058" s="1504" t="s">
        <v>758</v>
      </c>
      <c r="M6058" s="1614">
        <v>1312</v>
      </c>
      <c r="N6058" s="1614">
        <v>1517.2873462</v>
      </c>
      <c r="O6058" s="1614">
        <v>1497.0141306</v>
      </c>
      <c r="P6058" s="1614">
        <v>1485.430089624979</v>
      </c>
      <c r="Q6058" s="1614">
        <v>1428.2981631009413</v>
      </c>
      <c r="R6058" s="1614">
        <v>1428.2981631009416</v>
      </c>
      <c r="S6058" s="1614">
        <v>1428.2981631009413</v>
      </c>
      <c r="T6058" s="1614">
        <v>1428.2981631009413</v>
      </c>
    </row>
    <row r="6059" spans="2:20" ht="15.75">
      <c r="B6059" s="1504" t="s">
        <v>1544</v>
      </c>
      <c r="C6059" s="1596"/>
      <c r="D6059" s="1596"/>
      <c r="E6059" s="1596">
        <f t="shared" ref="E6059" si="548">E6058/D6058-1</f>
        <v>-1.3361487295582952E-2</v>
      </c>
      <c r="F6059" s="1596">
        <f t="shared" ref="F6059" si="549">F6058/E6058-1</f>
        <v>-7.6169952641805594E-2</v>
      </c>
      <c r="G6059" s="1596">
        <f t="shared" ref="G6059" si="550">G6058/F6058-1</f>
        <v>-3.8461538461538547E-2</v>
      </c>
      <c r="H6059" s="1596">
        <f t="shared" ref="H6059" si="551">H6058/G6058-1</f>
        <v>0</v>
      </c>
      <c r="I6059" s="1596">
        <f t="shared" ref="I6059" si="552">I6058/H6058-1</f>
        <v>0</v>
      </c>
      <c r="J6059" s="1596">
        <f t="shared" ref="J6059" si="553">J6058/I6058-1</f>
        <v>0</v>
      </c>
      <c r="L6059" s="1504" t="s">
        <v>1544</v>
      </c>
      <c r="M6059" s="1596"/>
      <c r="N6059" s="1596">
        <f>N6058/M6058-1</f>
        <v>0.15646901387195111</v>
      </c>
      <c r="O6059" s="1596">
        <f t="shared" ref="O6059:T6059" si="554">O6058/N6058-1</f>
        <v>-1.3361487295582841E-2</v>
      </c>
      <c r="P6059" s="1596">
        <f t="shared" si="554"/>
        <v>-7.7380972819396376E-3</v>
      </c>
      <c r="Q6059" s="1596">
        <f t="shared" si="554"/>
        <v>-3.8461538461538436E-2</v>
      </c>
      <c r="R6059" s="1596">
        <f t="shared" si="554"/>
        <v>0</v>
      </c>
      <c r="S6059" s="1596">
        <f t="shared" si="554"/>
        <v>0</v>
      </c>
      <c r="T6059" s="1596">
        <f t="shared" si="554"/>
        <v>0</v>
      </c>
    </row>
    <row r="6060" spans="2:20" ht="15.75">
      <c r="B6060" s="1504" t="s">
        <v>360</v>
      </c>
      <c r="C6060" s="1595"/>
      <c r="D6060" s="1515">
        <f>N6060*N$6056</f>
        <v>472.26689358400006</v>
      </c>
      <c r="E6060" s="1515">
        <f t="shared" ref="E6060" si="555">O6060*O$6056</f>
        <v>423.301983828</v>
      </c>
      <c r="F6060" s="1515">
        <f t="shared" ref="F6060" si="556">P6060*P$6056</f>
        <v>369.85724337514949</v>
      </c>
      <c r="G6060" s="1515">
        <f t="shared" ref="G6060" si="557">Q6060*Q$6056</f>
        <v>398.30780055785334</v>
      </c>
      <c r="H6060" s="1515">
        <f t="shared" ref="H6060" si="558">R6060*R$6056</f>
        <v>412.53307914920515</v>
      </c>
      <c r="I6060" s="1515">
        <f t="shared" ref="I6060" si="559">S6060*S$6056</f>
        <v>426.75835774055702</v>
      </c>
      <c r="J6060" s="1515">
        <f t="shared" ref="J6060" si="560">T6060*T$6056</f>
        <v>426.75835774055702</v>
      </c>
      <c r="L6060" s="1504" t="s">
        <v>360</v>
      </c>
      <c r="M6060" s="1614">
        <v>412</v>
      </c>
      <c r="N6060" s="1614">
        <v>407.12663240000006</v>
      </c>
      <c r="O6060" s="1614">
        <v>364.91550330000001</v>
      </c>
      <c r="P6060" s="1614">
        <v>342.46041053254578</v>
      </c>
      <c r="Q6060" s="1614">
        <v>368.80351903504936</v>
      </c>
      <c r="R6060" s="1614">
        <v>381.97507328630104</v>
      </c>
      <c r="S6060" s="1614">
        <v>395.14662753755277</v>
      </c>
      <c r="T6060" s="1614">
        <v>395.14662753755277</v>
      </c>
    </row>
    <row r="6061" spans="2:20" ht="15.75">
      <c r="B6061" s="1504" t="s">
        <v>549</v>
      </c>
      <c r="C6061" s="1596"/>
      <c r="D6061" s="1596">
        <f t="shared" ref="D6061" si="561">D6060/D6058</f>
        <v>0.26832533298299516</v>
      </c>
      <c r="E6061" s="1596">
        <f t="shared" ref="E6061" si="562">E6060/E6058</f>
        <v>0.24376223032293134</v>
      </c>
      <c r="F6061" s="1596">
        <f t="shared" ref="F6061" si="563">F6060/F6058</f>
        <v>0.23054629963703341</v>
      </c>
      <c r="G6061" s="1596">
        <f t="shared" ref="G6061" si="564">G6060/G6058</f>
        <v>0.25821185559347748</v>
      </c>
      <c r="H6061" s="1596">
        <f t="shared" ref="H6061" si="565">H6060/H6058</f>
        <v>0.26743370757895868</v>
      </c>
      <c r="I6061" s="1596">
        <f t="shared" ref="I6061" si="566">I6060/I6058</f>
        <v>0.27665555956444005</v>
      </c>
      <c r="J6061" s="1596">
        <f t="shared" ref="J6061" si="567">J6060/J6058</f>
        <v>0.27665555956444005</v>
      </c>
      <c r="L6061" s="1504" t="s">
        <v>549</v>
      </c>
      <c r="M6061" s="1596">
        <f>M6060/M6058</f>
        <v>0.31402439024390244</v>
      </c>
      <c r="N6061" s="1596">
        <f t="shared" ref="N6061:T6061" si="568">N6060/N6058</f>
        <v>0.26832533298299516</v>
      </c>
      <c r="O6061" s="1596">
        <f t="shared" si="568"/>
        <v>0.24376223032293132</v>
      </c>
      <c r="P6061" s="1596">
        <f t="shared" si="568"/>
        <v>0.23054629963703338</v>
      </c>
      <c r="Q6061" s="1596">
        <f t="shared" si="568"/>
        <v>0.25821185559347742</v>
      </c>
      <c r="R6061" s="1596">
        <f t="shared" si="568"/>
        <v>0.26743370757895868</v>
      </c>
      <c r="S6061" s="1596">
        <f t="shared" si="568"/>
        <v>0.27665555956444005</v>
      </c>
      <c r="T6061" s="1596">
        <f t="shared" si="568"/>
        <v>0.27665555956444005</v>
      </c>
    </row>
    <row r="6062" spans="2:20" ht="15.75">
      <c r="B6062" s="1504" t="s">
        <v>7044</v>
      </c>
      <c r="C6062" s="1596"/>
      <c r="D6062" s="1515">
        <f>N6062*N$6056</f>
        <v>139.94238718540274</v>
      </c>
      <c r="E6062" s="1515">
        <f t="shared" ref="E6062:E6063" si="569">O6062*O$6056</f>
        <v>108.53869354763708</v>
      </c>
      <c r="F6062" s="1515">
        <f t="shared" ref="F6062:F6063" si="570">P6062*P$6056</f>
        <v>114.77150968158131</v>
      </c>
      <c r="G6062" s="1515">
        <f t="shared" ref="G6062:G6063" si="571">Q6062*Q$6056</f>
        <v>124.41046702464573</v>
      </c>
      <c r="H6062" s="1515">
        <f t="shared" ref="H6062:H6063" si="572">R6062*R$6056</f>
        <v>130.26149904561757</v>
      </c>
      <c r="I6062" s="1515">
        <f t="shared" ref="I6062:I6063" si="573">S6062*S$6056</f>
        <v>133.11157163357183</v>
      </c>
      <c r="J6062" s="1515">
        <f t="shared" ref="J6062:J6063" si="574">T6062*T$6056</f>
        <v>132.56523591899798</v>
      </c>
      <c r="L6062" s="1504" t="s">
        <v>7044</v>
      </c>
      <c r="M6062" s="1614">
        <v>116.51944214147218</v>
      </c>
      <c r="N6062" s="1614">
        <v>120.63998895293341</v>
      </c>
      <c r="O6062" s="1614">
        <v>93.567839265204384</v>
      </c>
      <c r="P6062" s="1614">
        <v>106.26991637183454</v>
      </c>
      <c r="Q6062" s="1614">
        <v>115.19487687467196</v>
      </c>
      <c r="R6062" s="1614">
        <v>120.61249911631256</v>
      </c>
      <c r="S6062" s="1614">
        <v>123.2514552162702</v>
      </c>
      <c r="T6062" s="1614">
        <v>122.74558881388703</v>
      </c>
    </row>
    <row r="6063" spans="2:20" ht="15.75">
      <c r="B6063" s="1504" t="s">
        <v>7865</v>
      </c>
      <c r="C6063" s="1596"/>
      <c r="D6063" s="1515">
        <f>N6063*N$6056</f>
        <v>332.32450639859724</v>
      </c>
      <c r="E6063" s="1515">
        <f t="shared" si="569"/>
        <v>314.76329028036292</v>
      </c>
      <c r="F6063" s="1515">
        <f t="shared" si="570"/>
        <v>255.08573369356816</v>
      </c>
      <c r="G6063" s="1515">
        <f t="shared" si="571"/>
        <v>273.89733353320759</v>
      </c>
      <c r="H6063" s="1515">
        <f t="shared" si="572"/>
        <v>282.27158010358755</v>
      </c>
      <c r="I6063" s="1515">
        <f t="shared" si="573"/>
        <v>293.64678610698519</v>
      </c>
      <c r="J6063" s="1515">
        <f t="shared" si="574"/>
        <v>294.19312182155903</v>
      </c>
      <c r="L6063" s="1504" t="s">
        <v>7865</v>
      </c>
      <c r="M6063" s="1515">
        <f>M6060-M6062</f>
        <v>295.48055785852785</v>
      </c>
      <c r="N6063" s="1515">
        <f t="shared" ref="N6063:T6063" si="575">N6060-N6062</f>
        <v>286.48664344706663</v>
      </c>
      <c r="O6063" s="1515">
        <f t="shared" si="575"/>
        <v>271.34766403479563</v>
      </c>
      <c r="P6063" s="1515">
        <f t="shared" si="575"/>
        <v>236.19049416071124</v>
      </c>
      <c r="Q6063" s="1515">
        <f t="shared" si="575"/>
        <v>253.6086421603774</v>
      </c>
      <c r="R6063" s="1515">
        <f t="shared" si="575"/>
        <v>261.36257416998848</v>
      </c>
      <c r="S6063" s="1515">
        <f t="shared" si="575"/>
        <v>271.89517232128259</v>
      </c>
      <c r="T6063" s="1515">
        <f t="shared" si="575"/>
        <v>272.40103872366575</v>
      </c>
    </row>
    <row r="6064" spans="2:20" ht="15.75">
      <c r="B6064" s="1504" t="s">
        <v>1434</v>
      </c>
      <c r="C6064" s="1596"/>
      <c r="D6064" s="1522">
        <f>D6063/D6058</f>
        <v>0.18881502186422611</v>
      </c>
      <c r="E6064" s="1522">
        <f t="shared" ref="E6064" si="576">E6063/E6058</f>
        <v>0.18125925366251561</v>
      </c>
      <c r="F6064" s="1522">
        <f t="shared" ref="F6064" si="577">F6063/F6058</f>
        <v>0.15900478643215135</v>
      </c>
      <c r="G6064" s="1522">
        <f t="shared" ref="G6064" si="578">G6063/G6058</f>
        <v>0.17756001422684337</v>
      </c>
      <c r="H6064" s="1522">
        <f t="shared" ref="H6064" si="579">H6063/H6058</f>
        <v>0.18298880508433257</v>
      </c>
      <c r="I6064" s="1522">
        <f t="shared" ref="I6064" si="580">I6063/I6058</f>
        <v>0.19036303437580426</v>
      </c>
      <c r="J6064" s="1522">
        <f t="shared" ref="J6064" si="581">J6063/J6058</f>
        <v>0.19071720860598385</v>
      </c>
      <c r="K6064" s="1522"/>
      <c r="L6064" s="1504" t="s">
        <v>1434</v>
      </c>
      <c r="M6064" s="1522">
        <f>M6063/M6058</f>
        <v>0.225213839831195</v>
      </c>
      <c r="N6064" s="1522">
        <f t="shared" ref="N6064:T6064" si="582">N6063/N6058</f>
        <v>0.18881502186422611</v>
      </c>
      <c r="O6064" s="1522">
        <f t="shared" si="582"/>
        <v>0.18125925366251558</v>
      </c>
      <c r="P6064" s="1522">
        <f t="shared" si="582"/>
        <v>0.15900478643215135</v>
      </c>
      <c r="Q6064" s="1522">
        <f t="shared" si="582"/>
        <v>0.17756001422684337</v>
      </c>
      <c r="R6064" s="1522">
        <f t="shared" si="582"/>
        <v>0.1829888050843326</v>
      </c>
      <c r="S6064" s="1522">
        <f t="shared" si="582"/>
        <v>0.19036303437580426</v>
      </c>
      <c r="T6064" s="1522">
        <f t="shared" si="582"/>
        <v>0.19071720860598385</v>
      </c>
    </row>
    <row r="6065" spans="2:20" ht="15.75">
      <c r="B6065" s="1587" t="s">
        <v>1453</v>
      </c>
      <c r="C6065" s="1595"/>
      <c r="D6065" s="1595"/>
      <c r="E6065" s="1595"/>
      <c r="F6065" s="1589"/>
      <c r="G6065" s="1589"/>
      <c r="H6065" s="1589"/>
      <c r="I6065" s="1589"/>
      <c r="J6065" s="1589"/>
      <c r="L6065" s="1587" t="s">
        <v>1453</v>
      </c>
      <c r="M6065" s="1595"/>
      <c r="N6065" s="1595"/>
      <c r="O6065" s="1595"/>
      <c r="P6065" s="1589"/>
      <c r="Q6065" s="1589"/>
      <c r="R6065" s="1589"/>
      <c r="S6065" s="1589"/>
      <c r="T6065" s="1589"/>
    </row>
    <row r="6066" spans="2:20" ht="15.75">
      <c r="B6066" s="1504" t="s">
        <v>8864</v>
      </c>
      <c r="C6066" s="1589"/>
      <c r="D6066" s="1589"/>
      <c r="E6066" s="1589"/>
      <c r="F6066" s="1589"/>
      <c r="G6066" s="1589"/>
      <c r="H6066" s="1589"/>
      <c r="I6066" s="1589"/>
      <c r="J6066" s="1589"/>
      <c r="L6066" s="1504" t="s">
        <v>8864</v>
      </c>
      <c r="M6066" s="1589"/>
      <c r="N6066" s="1589"/>
      <c r="O6066" s="1589"/>
      <c r="P6066" s="1589"/>
      <c r="Q6066" s="1589"/>
      <c r="R6066" s="1589"/>
      <c r="S6066" s="1589"/>
      <c r="T6066" s="1589"/>
    </row>
    <row r="6067" spans="2:20" ht="15.75">
      <c r="B6067" s="1504" t="s">
        <v>1545</v>
      </c>
      <c r="C6067" s="1595"/>
      <c r="D6067" s="1515">
        <f>N6067*N$6056</f>
        <v>220.39999999999998</v>
      </c>
      <c r="E6067" s="1515">
        <f t="shared" ref="E6067" si="583">O6067*O$6056</f>
        <v>208.79999999999998</v>
      </c>
      <c r="F6067" s="1515">
        <f t="shared" ref="F6067" si="584">P6067*P$6056</f>
        <v>236.70863576009569</v>
      </c>
      <c r="G6067" s="1515">
        <f t="shared" ref="G6067" si="585">Q6067*Q$6056</f>
        <v>227.60445746163046</v>
      </c>
      <c r="H6067" s="1515">
        <f t="shared" ref="H6067" si="586">R6067*R$6056</f>
        <v>227.60445746163049</v>
      </c>
      <c r="I6067" s="1515">
        <f t="shared" ref="I6067" si="587">S6067*S$6056</f>
        <v>227.6044574616304</v>
      </c>
      <c r="J6067" s="1515">
        <f t="shared" ref="J6067" si="588">T6067*T$6056</f>
        <v>227.60445746163046</v>
      </c>
      <c r="L6067" s="1504" t="s">
        <v>1545</v>
      </c>
      <c r="M6067" s="1614">
        <v>175</v>
      </c>
      <c r="N6067" s="1614">
        <v>190</v>
      </c>
      <c r="O6067" s="1614">
        <v>180</v>
      </c>
      <c r="P6067" s="1614">
        <v>219.17466274082932</v>
      </c>
      <c r="Q6067" s="1614">
        <v>210.74486802002818</v>
      </c>
      <c r="R6067" s="1614">
        <v>210.74486802002821</v>
      </c>
      <c r="S6067" s="1614">
        <v>210.74486802002815</v>
      </c>
      <c r="T6067" s="1614">
        <v>210.74486802002818</v>
      </c>
    </row>
    <row r="6068" spans="2:20" ht="15.75">
      <c r="B6068" s="1504" t="s">
        <v>8865</v>
      </c>
      <c r="C6068" s="1596"/>
      <c r="D6068" s="1596">
        <f t="shared" ref="D6068" si="589">D6067/D6058</f>
        <v>0.125223478911789</v>
      </c>
      <c r="E6068" s="1596">
        <f t="shared" ref="E6068" si="590">E6067/E6058</f>
        <v>0.12023934598924353</v>
      </c>
      <c r="F6068" s="1596">
        <f t="shared" ref="F6068" si="591">F6067/F6058</f>
        <v>0.14754963176770139</v>
      </c>
      <c r="G6068" s="1596">
        <f t="shared" ref="G6068" si="592">G6067/G6058</f>
        <v>0.14754963176770139</v>
      </c>
      <c r="H6068" s="1596">
        <f t="shared" ref="H6068" si="593">H6067/H6058</f>
        <v>0.14754963176770139</v>
      </c>
      <c r="I6068" s="1596">
        <f t="shared" ref="I6068" si="594">I6067/I6058</f>
        <v>0.14754963176770136</v>
      </c>
      <c r="J6068" s="1596">
        <f t="shared" ref="J6068" si="595">J6067/J6058</f>
        <v>0.14754963176770139</v>
      </c>
      <c r="L6068" s="1504" t="s">
        <v>8865</v>
      </c>
      <c r="M6068" s="1596">
        <f>M6067/M6058</f>
        <v>0.13338414634146342</v>
      </c>
      <c r="N6068" s="1596">
        <f t="shared" ref="N6068:T6068" si="596">N6067/N6058</f>
        <v>0.125223478911789</v>
      </c>
      <c r="O6068" s="1596">
        <f t="shared" si="596"/>
        <v>0.12023934598924353</v>
      </c>
      <c r="P6068" s="1596">
        <f t="shared" si="596"/>
        <v>0.14754963176770139</v>
      </c>
      <c r="Q6068" s="1596">
        <f t="shared" si="596"/>
        <v>0.14754963176770139</v>
      </c>
      <c r="R6068" s="1596">
        <f t="shared" si="596"/>
        <v>0.14754963176770136</v>
      </c>
      <c r="S6068" s="1596">
        <f t="shared" si="596"/>
        <v>0.14754963176770136</v>
      </c>
      <c r="T6068" s="1596">
        <f t="shared" si="596"/>
        <v>0.14754963176770139</v>
      </c>
    </row>
    <row r="6069" spans="2:20" ht="15.75">
      <c r="B6069" s="1504" t="s">
        <v>1552</v>
      </c>
      <c r="C6069" s="1589"/>
      <c r="D6069" s="1515">
        <f>N6069*N$6056</f>
        <v>111.92450639859727</v>
      </c>
      <c r="E6069" s="1515">
        <f t="shared" ref="E6069" si="597">O6069*O$6056</f>
        <v>105.96329028036293</v>
      </c>
      <c r="F6069" s="1515">
        <f t="shared" ref="F6069" si="598">P6069*P$6056</f>
        <v>18.377097933472474</v>
      </c>
      <c r="G6069" s="1515">
        <f t="shared" ref="G6069" si="599">Q6069*Q$6056</f>
        <v>46.292876071577162</v>
      </c>
      <c r="H6069" s="1515">
        <f t="shared" ref="H6069" si="600">R6069*R$6056</f>
        <v>54.667122641957093</v>
      </c>
      <c r="I6069" s="1515">
        <f t="shared" ref="I6069" si="601">S6069*S$6056</f>
        <v>66.0423286453548</v>
      </c>
      <c r="J6069" s="1515">
        <f t="shared" ref="J6069" si="602">T6069*T$6056</f>
        <v>66.588664359928586</v>
      </c>
      <c r="L6069" s="1504" t="s">
        <v>1552</v>
      </c>
      <c r="M6069" s="1589">
        <f>M6060-M6062-M6067</f>
        <v>120.48055785852785</v>
      </c>
      <c r="N6069" s="1589">
        <f t="shared" ref="N6069:T6069" si="603">N6060-N6062-N6067</f>
        <v>96.486643447066626</v>
      </c>
      <c r="O6069" s="1589">
        <f t="shared" si="603"/>
        <v>91.347664034795628</v>
      </c>
      <c r="P6069" s="1589">
        <f t="shared" si="603"/>
        <v>17.01583141988192</v>
      </c>
      <c r="Q6069" s="1589">
        <f t="shared" si="603"/>
        <v>42.863774140349221</v>
      </c>
      <c r="R6069" s="1589">
        <f t="shared" si="603"/>
        <v>50.61770614996027</v>
      </c>
      <c r="S6069" s="1589">
        <f t="shared" si="603"/>
        <v>61.150304301254437</v>
      </c>
      <c r="T6069" s="1589">
        <f t="shared" si="603"/>
        <v>61.656170703637571</v>
      </c>
    </row>
    <row r="6070" spans="2:20" ht="15.75">
      <c r="B6070" s="1504" t="s">
        <v>8865</v>
      </c>
      <c r="C6070" s="1596"/>
      <c r="D6070" s="1596">
        <v>-8.9058524173027988E-3</v>
      </c>
      <c r="E6070" s="1596">
        <v>7.248219735503561E-2</v>
      </c>
      <c r="F6070" s="1596">
        <v>5.0770600203458804E-2</v>
      </c>
      <c r="G6070" s="1596">
        <v>5.3270600203458821E-2</v>
      </c>
      <c r="H6070" s="1596">
        <v>5.5770600203458823E-2</v>
      </c>
      <c r="I6070" s="1596">
        <v>5.8270600203458811E-2</v>
      </c>
      <c r="J6070" s="1596">
        <v>6.0770600203458813E-2</v>
      </c>
      <c r="L6070" s="1504" t="s">
        <v>8865</v>
      </c>
      <c r="M6070" s="1596">
        <f>M6069/M6058</f>
        <v>9.1829693489731593E-2</v>
      </c>
      <c r="N6070" s="1596">
        <f t="shared" ref="N6070:T6070" si="604">N6069/N6058</f>
        <v>6.3591542952437116E-2</v>
      </c>
      <c r="O6070" s="1596">
        <f t="shared" si="604"/>
        <v>6.1019907673272047E-2</v>
      </c>
      <c r="P6070" s="1596">
        <f t="shared" si="604"/>
        <v>1.1455154664449973E-2</v>
      </c>
      <c r="Q6070" s="1596">
        <f t="shared" si="604"/>
        <v>3.0010382459141994E-2</v>
      </c>
      <c r="R6070" s="1596">
        <f t="shared" si="604"/>
        <v>3.5439173316631219E-2</v>
      </c>
      <c r="S6070" s="1596">
        <f t="shared" si="604"/>
        <v>4.2813402608102909E-2</v>
      </c>
      <c r="T6070" s="1596">
        <f t="shared" si="604"/>
        <v>4.3167576838282457E-2</v>
      </c>
    </row>
    <row r="6071" spans="2:20" ht="15.75">
      <c r="B6071" s="1504" t="s">
        <v>682</v>
      </c>
      <c r="C6071" s="1598"/>
      <c r="D6071" s="1598">
        <v>0.35</v>
      </c>
      <c r="E6071" s="1598">
        <v>0.35</v>
      </c>
      <c r="F6071" s="1598">
        <v>0.35</v>
      </c>
      <c r="G6071" s="1598">
        <v>0.35</v>
      </c>
      <c r="H6071" s="1598">
        <v>0.35</v>
      </c>
      <c r="I6071" s="1598">
        <v>0.35</v>
      </c>
      <c r="J6071" s="1598">
        <v>0.35</v>
      </c>
      <c r="L6071" s="1504" t="s">
        <v>682</v>
      </c>
      <c r="M6071" s="1598">
        <v>0.35</v>
      </c>
      <c r="N6071" s="1598">
        <v>0.35</v>
      </c>
      <c r="O6071" s="1598">
        <v>0.35</v>
      </c>
      <c r="P6071" s="1598">
        <v>0.35</v>
      </c>
      <c r="Q6071" s="1598">
        <v>0.35</v>
      </c>
      <c r="R6071" s="1598">
        <v>0.35</v>
      </c>
      <c r="S6071" s="1598">
        <v>0.35</v>
      </c>
      <c r="T6071" s="1598">
        <v>0.35</v>
      </c>
    </row>
    <row r="6072" spans="2:20" ht="15.75">
      <c r="B6072" s="1504" t="s">
        <v>1936</v>
      </c>
      <c r="C6072" s="1589"/>
      <c r="D6072" s="1589">
        <f t="shared" ref="D6072" si="605">(1-D6071)*D6069</f>
        <v>72.75092915908823</v>
      </c>
      <c r="E6072" s="1589">
        <f t="shared" ref="E6072" si="606">(1-E6071)*E6069</f>
        <v>68.876138682235904</v>
      </c>
      <c r="F6072" s="1589">
        <f t="shared" ref="F6072" si="607">(1-F6071)*F6069</f>
        <v>11.945113656757108</v>
      </c>
      <c r="G6072" s="1589">
        <f t="shared" ref="G6072" si="608">(1-G6071)*G6069</f>
        <v>30.090369446525155</v>
      </c>
      <c r="H6072" s="1589">
        <f t="shared" ref="H6072" si="609">(1-H6071)*H6069</f>
        <v>35.533629717272113</v>
      </c>
      <c r="I6072" s="1589">
        <f t="shared" ref="I6072" si="610">(1-I6071)*I6069</f>
        <v>42.927513619480621</v>
      </c>
      <c r="J6072" s="1589">
        <f t="shared" ref="J6072" si="611">(1-J6071)*J6069</f>
        <v>43.28263183395358</v>
      </c>
      <c r="L6072" s="1504" t="s">
        <v>1936</v>
      </c>
      <c r="M6072" s="1589">
        <f>(1-M6071)*M6069</f>
        <v>78.312362608043102</v>
      </c>
      <c r="N6072" s="1589">
        <f t="shared" ref="N6072:T6072" si="612">(1-N6071)*N6069</f>
        <v>62.71631824059331</v>
      </c>
      <c r="O6072" s="1589">
        <f t="shared" si="612"/>
        <v>59.375981622617161</v>
      </c>
      <c r="P6072" s="1589">
        <f t="shared" si="612"/>
        <v>11.060290422923249</v>
      </c>
      <c r="Q6072" s="1589">
        <f t="shared" si="612"/>
        <v>27.861453191226996</v>
      </c>
      <c r="R6072" s="1589">
        <f t="shared" si="612"/>
        <v>32.901508997474174</v>
      </c>
      <c r="S6072" s="1589">
        <f t="shared" si="612"/>
        <v>39.747697795815384</v>
      </c>
      <c r="T6072" s="1589">
        <f t="shared" si="612"/>
        <v>40.07651095736442</v>
      </c>
    </row>
    <row r="6073" spans="2:20" ht="15.75">
      <c r="B6073" s="1587"/>
      <c r="C6073" s="1587"/>
      <c r="D6073" s="1587"/>
      <c r="E6073" s="1587"/>
      <c r="F6073" s="1587"/>
      <c r="G6073" s="1587"/>
      <c r="H6073" s="1587"/>
    </row>
    <row r="6074" spans="2:20" ht="15.75">
      <c r="B6074" s="1362" t="s">
        <v>8899</v>
      </c>
      <c r="C6074" s="1599">
        <v>7.4999999999999997E-2</v>
      </c>
      <c r="D6074" s="1587"/>
      <c r="E6074" s="1587"/>
      <c r="F6074" s="1587"/>
      <c r="G6074" s="1587"/>
      <c r="H6074" s="1587"/>
    </row>
    <row r="6075" spans="2:20" ht="15.75">
      <c r="B6075" s="1362" t="s">
        <v>7317</v>
      </c>
      <c r="C6075" s="1501">
        <f>NPV(C6074,G6072:J6072)</f>
        <v>125.704463428759</v>
      </c>
      <c r="D6075" s="1587"/>
      <c r="E6075" s="1587"/>
      <c r="F6075" s="1587"/>
      <c r="G6075" s="1587"/>
      <c r="H6075" s="1587"/>
    </row>
    <row r="6076" spans="2:20" ht="15.75">
      <c r="B6076" s="1362" t="s">
        <v>1042</v>
      </c>
      <c r="C6076" s="1599">
        <v>0</v>
      </c>
      <c r="D6076" s="1587"/>
      <c r="E6076" s="1587"/>
      <c r="F6076" s="1587"/>
      <c r="G6076" s="1587"/>
      <c r="H6076" s="1587"/>
    </row>
    <row r="6077" spans="2:20" ht="15.75">
      <c r="B6077" s="1362" t="s">
        <v>8866</v>
      </c>
      <c r="C6077" s="1600">
        <f>1/(C6074-C6076)</f>
        <v>13.333333333333334</v>
      </c>
      <c r="D6077" s="1587"/>
      <c r="E6077" s="1587"/>
      <c r="F6077" s="1587"/>
      <c r="G6077" s="1587"/>
      <c r="H6077" s="1587"/>
    </row>
    <row r="6078" spans="2:20" ht="15.75">
      <c r="B6078" s="1362" t="s">
        <v>3915</v>
      </c>
      <c r="C6078" s="1501">
        <f>C6077*J6072</f>
        <v>577.10175778604776</v>
      </c>
      <c r="D6078" s="1587"/>
      <c r="E6078" s="1587"/>
      <c r="F6078" s="1587"/>
      <c r="G6078" s="1587"/>
      <c r="H6078" s="1587"/>
    </row>
    <row r="6079" spans="2:20" ht="15.75">
      <c r="B6079" s="1362" t="s">
        <v>2203</v>
      </c>
      <c r="C6079" s="1501">
        <f>C6078/(1+C6074)^4</f>
        <v>432.13410196506976</v>
      </c>
      <c r="D6079" s="1587"/>
      <c r="E6079" s="1587"/>
      <c r="F6079" s="1587"/>
      <c r="G6079" s="1587"/>
      <c r="H6079" s="1587"/>
    </row>
    <row r="6080" spans="2:20" ht="15.75">
      <c r="B6080" s="1509" t="s">
        <v>8900</v>
      </c>
      <c r="C6080" s="1601">
        <f>C6075+C6079</f>
        <v>557.83856539382873</v>
      </c>
      <c r="D6080" s="1587"/>
      <c r="E6080" s="1587"/>
      <c r="F6080" s="1587"/>
      <c r="G6080" s="1587"/>
      <c r="H6080" s="1587"/>
    </row>
    <row r="6081" spans="2:10" ht="15.75">
      <c r="B6081" s="1587"/>
      <c r="C6081" s="1587"/>
      <c r="D6081" s="1587"/>
      <c r="E6081" s="1587"/>
      <c r="F6081" s="1587"/>
      <c r="G6081" s="1587"/>
      <c r="H6081" s="1587"/>
    </row>
    <row r="6082" spans="2:10" ht="15.75">
      <c r="B6082" s="1504" t="s">
        <v>8901</v>
      </c>
      <c r="C6082" s="1597">
        <v>0.12</v>
      </c>
      <c r="D6082" s="1587"/>
      <c r="F6082" s="1587"/>
      <c r="G6082" s="1587"/>
      <c r="H6082" s="1587"/>
    </row>
    <row r="6083" spans="2:10" ht="15.75">
      <c r="B6083" s="1504" t="s">
        <v>8867</v>
      </c>
      <c r="C6083" s="1618">
        <f>C6082*(1-0.35)</f>
        <v>7.8E-2</v>
      </c>
      <c r="D6083" s="1587"/>
      <c r="F6083" s="1587"/>
      <c r="G6083" s="1587"/>
      <c r="H6083" s="1587"/>
      <c r="I6083" s="1587"/>
      <c r="J6083" s="1587"/>
    </row>
    <row r="6084" spans="2:10" ht="15.75">
      <c r="B6084" s="1587"/>
      <c r="C6084" s="1587"/>
      <c r="D6084" s="1587"/>
      <c r="E6084" s="1587"/>
      <c r="F6084" s="1587"/>
      <c r="G6084" s="1587"/>
      <c r="H6084" s="1587"/>
      <c r="I6084" s="1587"/>
      <c r="J6084" s="1587"/>
    </row>
    <row r="6085" spans="2:10" ht="15.75">
      <c r="B6085" s="1504" t="s">
        <v>393</v>
      </c>
      <c r="C6085" s="1615"/>
      <c r="D6085" s="1587"/>
      <c r="E6085" s="1587"/>
      <c r="G6085" s="1588">
        <f>C6083*(C6050+C6043)</f>
        <v>112.31032794909447</v>
      </c>
      <c r="H6085" s="1616">
        <f>G6085</f>
        <v>112.31032794909447</v>
      </c>
      <c r="I6085" s="1616">
        <f t="shared" ref="I6085:J6085" si="613">H6085</f>
        <v>112.31032794909447</v>
      </c>
      <c r="J6085" s="1616">
        <f t="shared" si="613"/>
        <v>112.31032794909447</v>
      </c>
    </row>
    <row r="6086" spans="2:10" ht="15.75">
      <c r="B6086" s="1504" t="s">
        <v>7800</v>
      </c>
      <c r="C6086" s="1615"/>
      <c r="D6086" s="1587"/>
      <c r="E6086" s="1587"/>
      <c r="F6086" s="1588"/>
      <c r="G6086" s="1588">
        <f>G6085</f>
        <v>112.31032794909447</v>
      </c>
      <c r="H6086" s="1588">
        <f>G6086+H6085</f>
        <v>224.62065589818894</v>
      </c>
      <c r="I6086" s="1588">
        <f t="shared" ref="I6086:J6086" si="614">H6086+I6085</f>
        <v>336.93098384728341</v>
      </c>
      <c r="J6086" s="1588">
        <f t="shared" si="614"/>
        <v>449.24131179637789</v>
      </c>
    </row>
    <row r="6087" spans="2:10" ht="15.75">
      <c r="B6087" s="1504"/>
      <c r="C6087" s="1615"/>
      <c r="D6087" s="1615"/>
      <c r="E6087" s="1504"/>
      <c r="F6087" s="1504"/>
      <c r="G6087" s="1504"/>
      <c r="H6087" s="1504"/>
      <c r="I6087" s="1504"/>
      <c r="J6087" s="1504"/>
    </row>
    <row r="6088" spans="2:10" ht="15.75">
      <c r="C6088" s="1559"/>
      <c r="D6088" s="1587"/>
      <c r="E6088" s="1587"/>
      <c r="F6088" s="1587"/>
      <c r="G6088" s="1587"/>
      <c r="H6088" s="1587"/>
      <c r="I6088" s="1587"/>
      <c r="J6088" s="1587"/>
    </row>
    <row r="6089" spans="2:10" ht="15.75">
      <c r="B6089" s="1602" t="s">
        <v>5960</v>
      </c>
      <c r="C6089" s="1559"/>
      <c r="D6089" s="1559"/>
    </row>
    <row r="6090" spans="2:10" ht="15.75">
      <c r="B6090" s="1509"/>
      <c r="C6090" s="1559"/>
      <c r="D6090" s="1559"/>
    </row>
    <row r="6091" spans="2:10" ht="15.75">
      <c r="B6091" s="1594" t="s">
        <v>1056</v>
      </c>
      <c r="C6091" s="1594">
        <v>2021</v>
      </c>
      <c r="D6091" s="1594">
        <v>2022</v>
      </c>
      <c r="E6091" s="1594">
        <v>2023</v>
      </c>
      <c r="F6091" s="1594">
        <v>2024</v>
      </c>
      <c r="G6091" s="1594">
        <v>2025</v>
      </c>
      <c r="H6091" s="1594">
        <v>2026</v>
      </c>
      <c r="I6091" s="1594">
        <v>2027</v>
      </c>
      <c r="J6091" s="1594">
        <v>2028</v>
      </c>
    </row>
    <row r="6092" spans="2:10" ht="15.75">
      <c r="C6092" s="1603"/>
      <c r="D6092" s="1603"/>
      <c r="E6092" s="1603"/>
      <c r="F6092" s="1603"/>
      <c r="G6092" s="1603"/>
      <c r="H6092" s="1603"/>
      <c r="I6092" s="1603"/>
      <c r="J6092" s="1603"/>
    </row>
    <row r="6093" spans="2:10" ht="15.75">
      <c r="B6093" s="1504" t="s">
        <v>8886</v>
      </c>
      <c r="C6093" s="1559"/>
      <c r="D6093" s="1587"/>
      <c r="E6093" s="1587"/>
      <c r="F6093" s="1589">
        <f>Valuation!N16</f>
        <v>6129</v>
      </c>
      <c r="G6093" s="1589">
        <f ca="1">Valuation!O16</f>
        <v>5411.8432365614617</v>
      </c>
      <c r="H6093" s="1589">
        <f ca="1">Valuation!P16</f>
        <v>5610.2016384406788</v>
      </c>
      <c r="I6093" s="1589">
        <f ca="1">Valuation!Q16</f>
        <v>5784.6553564899041</v>
      </c>
      <c r="J6093" s="1589">
        <f ca="1">Valuation!R16</f>
        <v>5940.5686334332822</v>
      </c>
    </row>
    <row r="6094" spans="2:10" ht="15.75">
      <c r="B6094" s="1504" t="s">
        <v>8877</v>
      </c>
      <c r="C6094" s="1559"/>
      <c r="D6094" s="1587"/>
      <c r="E6094" s="1587"/>
      <c r="F6094" s="1589">
        <f ca="1">Master!AA12</f>
        <v>2624.6458000000002</v>
      </c>
      <c r="G6094" s="1589">
        <f>Master!AB12</f>
        <v>2381.685419914671</v>
      </c>
      <c r="H6094" s="1589">
        <f>Master!AC12</f>
        <v>2396.1990022089599</v>
      </c>
      <c r="I6094" s="1589">
        <f>Master!AD12</f>
        <v>2461.0081072440548</v>
      </c>
      <c r="J6094" s="1589">
        <f>Master!AE12</f>
        <v>2531.4814825398967</v>
      </c>
    </row>
    <row r="6095" spans="2:10" ht="15.75">
      <c r="B6095" s="1603" t="s">
        <v>3055</v>
      </c>
      <c r="C6095" s="1431"/>
      <c r="D6095" s="1509"/>
      <c r="E6095" s="1509"/>
      <c r="F6095" s="1604">
        <f ca="1">F6093/F6094</f>
        <v>2.3351722354307767</v>
      </c>
      <c r="G6095" s="1604">
        <f t="shared" ref="G6095:J6095" ca="1" si="615">G6093/G6094</f>
        <v>2.2722745797198325</v>
      </c>
      <c r="H6095" s="1604">
        <f t="shared" ca="1" si="615"/>
        <v>2.3412920351226498</v>
      </c>
      <c r="I6095" s="1604">
        <f t="shared" ca="1" si="615"/>
        <v>2.3505226738028977</v>
      </c>
      <c r="J6095" s="1604">
        <f t="shared" ca="1" si="615"/>
        <v>2.3466767086413629</v>
      </c>
    </row>
    <row r="6096" spans="2:10" ht="15.75">
      <c r="B6096" s="1504" t="s">
        <v>8875</v>
      </c>
      <c r="C6096" s="1431"/>
      <c r="D6096" s="1509"/>
      <c r="E6096" s="1509"/>
      <c r="F6096" s="1589">
        <f>F6093-Master!AA434</f>
        <v>5175</v>
      </c>
      <c r="G6096" s="1589">
        <f ca="1">G6093-Master!AB434</f>
        <v>4433.9932365614623</v>
      </c>
      <c r="H6096" s="1589">
        <f ca="1">H6093-Master!AC434</f>
        <v>4607.9053884406785</v>
      </c>
      <c r="I6096" s="1589">
        <f ca="1">I6093-Master!AD434</f>
        <v>4757.3017002399047</v>
      </c>
      <c r="J6096" s="1589">
        <f ca="1">J6093-Master!AE434</f>
        <v>4887.5311357770324</v>
      </c>
    </row>
    <row r="6097" spans="2:10" ht="15.75">
      <c r="B6097" s="1504" t="s">
        <v>7865</v>
      </c>
      <c r="C6097" s="1431"/>
      <c r="D6097" s="1509"/>
      <c r="E6097" s="1509"/>
      <c r="F6097" s="1589">
        <f ca="1">F6094-Master!AA19</f>
        <v>2298</v>
      </c>
      <c r="G6097" s="1589">
        <f ca="1">G6094-Master!AB19</f>
        <v>2022.3750399146707</v>
      </c>
      <c r="H6097" s="1589">
        <f ca="1">H6094-Master!AC19</f>
        <v>2029.7024146089595</v>
      </c>
      <c r="I6097" s="1589">
        <f ca="1">I6094-Master!AD19</f>
        <v>2087.1815878920547</v>
      </c>
      <c r="J6097" s="1589">
        <f ca="1">J6094-Master!AE19</f>
        <v>2150.1784328008562</v>
      </c>
    </row>
    <row r="6098" spans="2:10" ht="15.75">
      <c r="B6098" s="1504" t="s">
        <v>7044</v>
      </c>
      <c r="C6098" s="1431"/>
      <c r="D6098" s="1509"/>
      <c r="E6098" s="1509"/>
      <c r="F6098" s="1589">
        <f ca="1">F6094-F6097</f>
        <v>326.64580000000024</v>
      </c>
      <c r="G6098" s="1589">
        <f t="shared" ref="G6098:J6098" ca="1" si="616">G6094-G6097</f>
        <v>359.31038000000035</v>
      </c>
      <c r="H6098" s="1589">
        <f t="shared" ca="1" si="616"/>
        <v>366.49658760000034</v>
      </c>
      <c r="I6098" s="1589">
        <f t="shared" ca="1" si="616"/>
        <v>373.8265193520001</v>
      </c>
      <c r="J6098" s="1589">
        <f t="shared" ca="1" si="616"/>
        <v>381.30304973904049</v>
      </c>
    </row>
    <row r="6099" spans="2:10" ht="15.75">
      <c r="B6099" s="1603" t="s">
        <v>8876</v>
      </c>
      <c r="C6099" s="1431"/>
      <c r="D6099" s="1509"/>
      <c r="E6099" s="1509"/>
      <c r="F6099" s="1604">
        <f ca="1">F6096/F6097</f>
        <v>2.2519582245430811</v>
      </c>
      <c r="G6099" s="1604">
        <f t="shared" ref="G6099" ca="1" si="617">G6096/G6097</f>
        <v>2.1924683350267933</v>
      </c>
      <c r="H6099" s="1604">
        <f t="shared" ref="H6099" ca="1" si="618">H6096/H6097</f>
        <v>2.2702369348702938</v>
      </c>
      <c r="I6099" s="1604">
        <f t="shared" ref="I6099" ca="1" si="619">I6096/I6097</f>
        <v>2.2792945893339991</v>
      </c>
      <c r="J6099" s="1604">
        <f t="shared" ref="J6099" ca="1" si="620">J6096/J6097</f>
        <v>2.273081648117202</v>
      </c>
    </row>
    <row r="6100" spans="2:10" ht="15.75">
      <c r="B6100" s="1504" t="s">
        <v>8902</v>
      </c>
      <c r="C6100" s="1559"/>
      <c r="D6100" s="1587"/>
      <c r="E6100" s="1587"/>
      <c r="F6100" s="1642">
        <v>650</v>
      </c>
      <c r="G6100" s="1642">
        <v>700</v>
      </c>
      <c r="H6100" s="1642">
        <v>750</v>
      </c>
      <c r="I6100" s="1642">
        <v>775</v>
      </c>
      <c r="J6100" s="1589">
        <f ca="1">Valuation!R32</f>
        <v>881.36205879018371</v>
      </c>
    </row>
    <row r="6101" spans="2:10" ht="15.75">
      <c r="B6101" s="1504" t="s">
        <v>5719</v>
      </c>
      <c r="C6101" s="1559"/>
      <c r="D6101" s="1587"/>
      <c r="E6101" s="1587"/>
      <c r="F6101" s="1589">
        <f>Valuation!N7</f>
        <v>171.31299999999999</v>
      </c>
      <c r="G6101" s="1589">
        <f>Valuation!O7</f>
        <v>166.363</v>
      </c>
      <c r="H6101" s="1589">
        <f>Valuation!P7</f>
        <v>161.363</v>
      </c>
      <c r="I6101" s="1589">
        <f>Valuation!Q7</f>
        <v>156.363</v>
      </c>
      <c r="J6101" s="1589">
        <f>Valuation!R7</f>
        <v>151.363</v>
      </c>
    </row>
    <row r="6102" spans="2:10" ht="15.75">
      <c r="B6102" s="1504" t="s">
        <v>7295</v>
      </c>
      <c r="C6102" s="1559"/>
      <c r="D6102" s="1587"/>
      <c r="E6102" s="1587"/>
      <c r="F6102" s="1605">
        <f>F6100/F6101</f>
        <v>3.7942246064221634</v>
      </c>
      <c r="G6102" s="1605">
        <f t="shared" ref="G6102:J6102" si="621">G6100/G6101</f>
        <v>4.2076663681227195</v>
      </c>
      <c r="H6102" s="1605">
        <f t="shared" si="621"/>
        <v>4.6479056537124368</v>
      </c>
      <c r="I6102" s="1605">
        <f t="shared" si="621"/>
        <v>4.9564155202957219</v>
      </c>
      <c r="J6102" s="1605">
        <f t="shared" ca="1" si="621"/>
        <v>5.8228368808109225</v>
      </c>
    </row>
    <row r="6103" spans="2:10" ht="15.75">
      <c r="B6103" s="1504" t="s">
        <v>245</v>
      </c>
      <c r="C6103" s="1559"/>
      <c r="D6103" s="1587"/>
      <c r="E6103" s="1587"/>
      <c r="F6103" s="1589">
        <f>Valuation!N18</f>
        <v>13595.205947029328</v>
      </c>
      <c r="G6103" s="1589">
        <f ca="1">Valuation!O18</f>
        <v>12174.86093359079</v>
      </c>
      <c r="H6103" s="1589">
        <f ca="1">Valuation!P18</f>
        <v>11726.230335470005</v>
      </c>
      <c r="I6103" s="1589">
        <f ca="1">Valuation!Q18</f>
        <v>11228.354303519232</v>
      </c>
      <c r="J6103" s="1589">
        <f ca="1">Valuation!R18</f>
        <v>10689.09708046261</v>
      </c>
    </row>
    <row r="6104" spans="2:10" ht="15.75">
      <c r="B6104" s="1504" t="s">
        <v>1243</v>
      </c>
      <c r="C6104" s="1559"/>
      <c r="D6104" s="1587"/>
      <c r="E6104" s="1587"/>
      <c r="F6104" s="1606">
        <f ca="1">F6103/F6094</f>
        <v>5.1798250061129494</v>
      </c>
      <c r="G6104" s="1606">
        <f t="shared" ref="G6104:J6104" ca="1" si="622">G6103/G6094</f>
        <v>5.1118677688453831</v>
      </c>
      <c r="H6104" s="1606">
        <f t="shared" ca="1" si="622"/>
        <v>4.893679667114486</v>
      </c>
      <c r="I6104" s="1606">
        <f t="shared" ca="1" si="622"/>
        <v>4.5625019561976323</v>
      </c>
      <c r="J6104" s="1606">
        <f t="shared" ca="1" si="622"/>
        <v>4.2224670234356134</v>
      </c>
    </row>
    <row r="6105" spans="2:10" ht="15.75">
      <c r="B6105" s="1504" t="s">
        <v>8868</v>
      </c>
      <c r="C6105" s="1559"/>
      <c r="D6105" s="1587"/>
      <c r="E6105" s="1587"/>
      <c r="F6105" s="1589">
        <f>Valuation!N10</f>
        <v>5067.4385399999992</v>
      </c>
      <c r="G6105" s="1589">
        <f>Valuation!O10</f>
        <v>4921.0175399999998</v>
      </c>
      <c r="H6105" s="1589">
        <f>Valuation!P10</f>
        <v>4773.1175399999993</v>
      </c>
      <c r="I6105" s="1589">
        <f>Valuation!Q10</f>
        <v>4625.2175399999996</v>
      </c>
      <c r="J6105" s="1589">
        <f>Valuation!R10</f>
        <v>4477.31754</v>
      </c>
    </row>
    <row r="6106" spans="2:10" ht="15.75">
      <c r="B6106" s="1504" t="s">
        <v>1648</v>
      </c>
      <c r="C6106" s="1559"/>
      <c r="D6106" s="1587"/>
      <c r="E6106" s="1587"/>
      <c r="F6106" s="1618">
        <f>F6100/F6105</f>
        <v>0.12826993260385949</v>
      </c>
      <c r="G6106" s="1618">
        <f t="shared" ref="G6106:J6106" si="623">G6100/G6105</f>
        <v>0.14224700365526435</v>
      </c>
      <c r="H6106" s="1618">
        <f t="shared" si="623"/>
        <v>0.15713000857716153</v>
      </c>
      <c r="I6106" s="1618">
        <f t="shared" si="623"/>
        <v>0.16755968628450718</v>
      </c>
      <c r="J6106" s="1618">
        <f t="shared" ca="1" si="623"/>
        <v>0.19685046926338481</v>
      </c>
    </row>
    <row r="6107" spans="2:10" ht="15.75">
      <c r="B6107" s="1587"/>
      <c r="C6107" s="1559"/>
      <c r="D6107" s="1587"/>
      <c r="E6107" s="1587"/>
      <c r="F6107" s="1587"/>
      <c r="G6107" s="1587"/>
      <c r="H6107" s="1587"/>
      <c r="I6107" s="1587"/>
      <c r="J6107" s="1587"/>
    </row>
    <row r="6108" spans="2:10" ht="15.75">
      <c r="B6108" s="1594" t="s">
        <v>8903</v>
      </c>
      <c r="C6108" s="1594">
        <v>2021</v>
      </c>
      <c r="D6108" s="1594">
        <v>2022</v>
      </c>
      <c r="E6108" s="1594">
        <v>2023</v>
      </c>
      <c r="F6108" s="1594">
        <v>2024</v>
      </c>
      <c r="G6108" s="1594">
        <v>2025</v>
      </c>
      <c r="H6108" s="1594">
        <v>2026</v>
      </c>
      <c r="I6108" s="1594">
        <v>2027</v>
      </c>
      <c r="J6108" s="1594">
        <v>2028</v>
      </c>
    </row>
    <row r="6109" spans="2:10" ht="15.75">
      <c r="B6109" s="1603"/>
      <c r="C6109" s="1603"/>
      <c r="D6109" s="1603"/>
      <c r="E6109" s="1603"/>
      <c r="F6109" s="1603"/>
      <c r="G6109" s="1603"/>
      <c r="H6109" s="1603"/>
      <c r="I6109" s="1603"/>
      <c r="J6109" s="1603"/>
    </row>
    <row r="6110" spans="2:10" ht="15.75">
      <c r="B6110" s="1587" t="s">
        <v>8906</v>
      </c>
      <c r="C6110" s="1559"/>
      <c r="D6110" s="1587"/>
      <c r="E6110" s="1587"/>
      <c r="F6110" s="1589">
        <f>F6096+$C$6050+$C$6043</f>
        <v>6614.875999347365</v>
      </c>
      <c r="G6110" s="1589">
        <f ca="1">G6096+$C$6050+$C$6043</f>
        <v>5873.8692359088272</v>
      </c>
      <c r="H6110" s="1589">
        <f ca="1">H6096+$C$6050+$C$6043</f>
        <v>6047.7813877880435</v>
      </c>
      <c r="I6110" s="1589">
        <f ca="1">I6096+$C$6050+$C$6043</f>
        <v>6197.1776995872697</v>
      </c>
      <c r="J6110" s="1589">
        <f ca="1">J6096+$C$6050+$C$6043</f>
        <v>6327.4071351243965</v>
      </c>
    </row>
    <row r="6111" spans="2:10" ht="15.75">
      <c r="B6111" s="1504" t="s">
        <v>7865</v>
      </c>
      <c r="C6111" s="1559"/>
      <c r="D6111" s="1587"/>
      <c r="E6111" s="1587"/>
      <c r="F6111" s="1589">
        <f ca="1">F6097+F6063</f>
        <v>2553.0857336935683</v>
      </c>
      <c r="G6111" s="1589">
        <f ca="1">G6097+G6063</f>
        <v>2296.2723734478782</v>
      </c>
      <c r="H6111" s="1589">
        <f ca="1">H6097+H6063</f>
        <v>2311.9739947125472</v>
      </c>
      <c r="I6111" s="1589">
        <f ca="1">I6097+I6063</f>
        <v>2380.8283739990397</v>
      </c>
      <c r="J6111" s="1589">
        <f ca="1">J6097+J6063</f>
        <v>2444.3715546224153</v>
      </c>
    </row>
    <row r="6112" spans="2:10" ht="15.75">
      <c r="B6112" s="1603" t="s">
        <v>3055</v>
      </c>
      <c r="C6112" s="1559"/>
      <c r="D6112" s="1587"/>
      <c r="E6112" s="1603"/>
      <c r="F6112" s="1643">
        <f ca="1">F6110/F6111</f>
        <v>2.590933752066984</v>
      </c>
      <c r="G6112" s="1643">
        <f ca="1">G6110/G6111</f>
        <v>2.5580019617137788</v>
      </c>
      <c r="H6112" s="1643">
        <f ca="1">H6110/H6111</f>
        <v>2.6158518225634184</v>
      </c>
      <c r="I6112" s="1643">
        <f ca="1">I6110/I6111</f>
        <v>2.6029502030748937</v>
      </c>
      <c r="J6112" s="1643">
        <f ca="1">J6110/J6111</f>
        <v>2.5885619242946061</v>
      </c>
    </row>
    <row r="6113" spans="2:11" ht="15.75">
      <c r="B6113" s="1504" t="s">
        <v>574</v>
      </c>
      <c r="C6113" s="1559"/>
      <c r="D6113" s="1587"/>
      <c r="E6113" s="1587"/>
      <c r="F6113" s="1589">
        <f>F6100+F6072-F6085+F6165*0.65</f>
        <v>661.94511365675714</v>
      </c>
      <c r="G6113" s="1589">
        <f t="shared" ref="G6113:J6113" si="624">G6100+G6072-G6085+G6165*0.65</f>
        <v>537.30219914752354</v>
      </c>
      <c r="H6113" s="1589">
        <f t="shared" si="624"/>
        <v>753.10595380694986</v>
      </c>
      <c r="I6113" s="1589">
        <f t="shared" si="624"/>
        <v>848.78786909998519</v>
      </c>
      <c r="J6113" s="1589">
        <f t="shared" ca="1" si="624"/>
        <v>1003.547631792693</v>
      </c>
    </row>
    <row r="6114" spans="2:11" ht="15.75">
      <c r="B6114" s="1504" t="s">
        <v>7296</v>
      </c>
      <c r="C6114" s="1559"/>
      <c r="D6114" s="1587"/>
      <c r="E6114" s="1587"/>
      <c r="F6114" s="1589">
        <f>F6101+$C$6053</f>
        <v>171.31299999999999</v>
      </c>
      <c r="G6114" s="1589">
        <f>G6101+$C$6053</f>
        <v>166.363</v>
      </c>
      <c r="H6114" s="1589">
        <f>H6101+$C$6053</f>
        <v>161.363</v>
      </c>
      <c r="I6114" s="1589">
        <f>I6101+$C$6053</f>
        <v>156.363</v>
      </c>
      <c r="J6114" s="1589">
        <f>J6101+$C$6053</f>
        <v>151.363</v>
      </c>
    </row>
    <row r="6115" spans="2:11" ht="15.75">
      <c r="B6115" s="1504" t="s">
        <v>5898</v>
      </c>
      <c r="C6115" s="1559"/>
      <c r="D6115" s="1587"/>
      <c r="E6115" s="1587"/>
      <c r="F6115" s="1605">
        <f>F6113/F6114</f>
        <v>3.8639514435959748</v>
      </c>
      <c r="G6115" s="1605">
        <f t="shared" ref="G6115:J6115" si="625">G6113/G6114</f>
        <v>3.2296977041020152</v>
      </c>
      <c r="H6115" s="1605">
        <f t="shared" si="625"/>
        <v>4.6671538940584263</v>
      </c>
      <c r="I6115" s="1605">
        <f t="shared" si="625"/>
        <v>5.4283166036721298</v>
      </c>
      <c r="J6115" s="1605">
        <f t="shared" ca="1" si="625"/>
        <v>6.6300722884238086</v>
      </c>
    </row>
    <row r="6116" spans="2:11" ht="15.75">
      <c r="B6116" s="1609" t="s">
        <v>2353</v>
      </c>
      <c r="C6116" s="1607"/>
      <c r="D6116" s="1608"/>
      <c r="E6116" s="1610"/>
      <c r="F6116" s="1611">
        <f>F6115/F6102-1</f>
        <v>1.837709793347253E-2</v>
      </c>
      <c r="G6116" s="1611">
        <f>G6115/G6102-1</f>
        <v>-0.23242542978925207</v>
      </c>
      <c r="H6116" s="1611">
        <f>H6115/H6102-1</f>
        <v>4.1412717425999279E-3</v>
      </c>
      <c r="I6116" s="1611">
        <f>I6115/I6102-1</f>
        <v>9.5210153677400378E-2</v>
      </c>
      <c r="J6116" s="1612">
        <f ca="1">J6115/J6102-1</f>
        <v>0.13863266722671197</v>
      </c>
    </row>
    <row r="6117" spans="2:11" ht="15.75" outlineLevel="1">
      <c r="B6117" s="1504" t="s">
        <v>8869</v>
      </c>
      <c r="C6117" s="1559"/>
      <c r="D6117" s="1587"/>
      <c r="E6117" s="1587"/>
      <c r="F6117" s="1589">
        <f>F6114*Valuation!$B$4</f>
        <v>5067.4385399999992</v>
      </c>
      <c r="G6117" s="1589">
        <f>G6114*Valuation!$B$4</f>
        <v>4921.0175399999998</v>
      </c>
      <c r="H6117" s="1589">
        <f>H6114*Valuation!$B$4</f>
        <v>4773.1175399999993</v>
      </c>
      <c r="I6117" s="1589">
        <f>I6114*Valuation!$B$4</f>
        <v>4625.2175399999996</v>
      </c>
      <c r="J6117" s="1589">
        <f>J6114*Valuation!$B$4</f>
        <v>4477.31754</v>
      </c>
    </row>
    <row r="6118" spans="2:11" ht="15.75" outlineLevel="1">
      <c r="B6118" s="1504" t="s">
        <v>1317</v>
      </c>
      <c r="C6118" s="1559"/>
      <c r="D6118" s="1587"/>
      <c r="E6118" s="1587"/>
      <c r="F6118" s="1589">
        <f>F6110</f>
        <v>6614.875999347365</v>
      </c>
      <c r="G6118" s="1589">
        <f ca="1">G6110</f>
        <v>5873.8692359088272</v>
      </c>
      <c r="H6118" s="1589">
        <f ca="1">H6110</f>
        <v>6047.7813877880435</v>
      </c>
      <c r="I6118" s="1589">
        <f ca="1">I6110</f>
        <v>6197.1776995872697</v>
      </c>
      <c r="J6118" s="1589">
        <f ca="1">J6110</f>
        <v>6327.4071351243965</v>
      </c>
    </row>
    <row r="6119" spans="2:11" ht="15.75" outlineLevel="1">
      <c r="B6119" s="1504" t="s">
        <v>1320</v>
      </c>
      <c r="C6119" s="1559"/>
      <c r="D6119" s="1587"/>
      <c r="E6119" s="1587"/>
      <c r="F6119" s="1589">
        <f>F6117+F6118</f>
        <v>11682.314539347364</v>
      </c>
      <c r="G6119" s="1589">
        <f t="shared" ref="G6119:J6119" ca="1" si="626">G6117+G6118</f>
        <v>10794.886775908828</v>
      </c>
      <c r="H6119" s="1589">
        <f t="shared" ca="1" si="626"/>
        <v>10820.898927788043</v>
      </c>
      <c r="I6119" s="1589">
        <f t="shared" ca="1" si="626"/>
        <v>10822.395239587269</v>
      </c>
      <c r="J6119" s="1589">
        <f t="shared" ca="1" si="626"/>
        <v>10804.724675124397</v>
      </c>
    </row>
    <row r="6120" spans="2:11" ht="15.75" outlineLevel="1">
      <c r="B6120" s="1504" t="s">
        <v>8870</v>
      </c>
      <c r="C6120" s="1559"/>
      <c r="D6120" s="1587"/>
      <c r="E6120" s="1587"/>
      <c r="F6120" s="1606">
        <f ca="1">F6119/F6111</f>
        <v>4.5757627271084518</v>
      </c>
      <c r="G6120" s="1606">
        <f ca="1">G6119/G6111</f>
        <v>4.7010480554186991</v>
      </c>
      <c r="H6120" s="1606">
        <f ca="1">H6119/H6111</f>
        <v>4.6803722500924705</v>
      </c>
      <c r="I6120" s="1606">
        <f ca="1">I6119/I6111</f>
        <v>4.545642750976234</v>
      </c>
      <c r="J6120" s="1606">
        <f ca="1">J6119/J6111</f>
        <v>4.4202464452231833</v>
      </c>
    </row>
    <row r="6121" spans="2:11" ht="15.75" outlineLevel="1">
      <c r="B6121" s="1609" t="s">
        <v>2353</v>
      </c>
      <c r="C6121" s="1607"/>
      <c r="D6121" s="1608"/>
      <c r="E6121" s="1610"/>
      <c r="F6121" s="1611">
        <f ca="1">F6120/F6104-1</f>
        <v>-0.11661827924526713</v>
      </c>
      <c r="G6121" s="1611">
        <f ca="1">G6120/G6104-1</f>
        <v>-8.0365872515414383E-2</v>
      </c>
      <c r="H6121" s="1611">
        <f ca="1">H6120/H6104-1</f>
        <v>-4.3588348958645717E-2</v>
      </c>
      <c r="I6121" s="1611">
        <f ca="1">I6120/I6104-1</f>
        <v>-3.6951666833801022E-3</v>
      </c>
      <c r="J6121" s="1612">
        <f ca="1">J6120/J6104-1</f>
        <v>4.683977889936175E-2</v>
      </c>
    </row>
    <row r="6122" spans="2:11" ht="15.75">
      <c r="B6122" s="1504" t="s">
        <v>1648</v>
      </c>
      <c r="C6122" s="1559"/>
      <c r="D6122" s="1587"/>
      <c r="E6122" s="1504"/>
      <c r="F6122" s="1618">
        <f>F6113/F6117</f>
        <v>0.13062716171724054</v>
      </c>
      <c r="G6122" s="1618">
        <f>G6113/G6117</f>
        <v>0.10918518269445623</v>
      </c>
      <c r="H6122" s="1618">
        <f>H6113/H6117</f>
        <v>0.15778072664159659</v>
      </c>
      <c r="I6122" s="1618">
        <f>I6113/I6117</f>
        <v>0.1835130697657921</v>
      </c>
      <c r="J6122" s="1618">
        <f ca="1">J6113/J6117</f>
        <v>0.22414037486219773</v>
      </c>
    </row>
    <row r="6124" spans="2:11" ht="15.75">
      <c r="B6124" s="1594" t="s">
        <v>5529</v>
      </c>
      <c r="C6124" s="1594">
        <v>2021</v>
      </c>
      <c r="D6124" s="1594">
        <v>2022</v>
      </c>
      <c r="E6124" s="1594">
        <v>2023</v>
      </c>
      <c r="F6124" s="1594">
        <v>2024</v>
      </c>
      <c r="G6124" s="1594">
        <v>2025</v>
      </c>
      <c r="H6124" s="1594">
        <v>2026</v>
      </c>
      <c r="I6124" s="1594">
        <v>2027</v>
      </c>
      <c r="J6124" s="1594">
        <v>2028</v>
      </c>
      <c r="K6124" s="1633" t="s">
        <v>8912</v>
      </c>
    </row>
    <row r="6125" spans="2:11" ht="15.75">
      <c r="B6125" s="1603" t="s">
        <v>758</v>
      </c>
      <c r="C6125" s="1504"/>
      <c r="D6125" s="1504"/>
      <c r="E6125" s="1504"/>
      <c r="F6125" s="1504"/>
      <c r="G6125" s="1504"/>
      <c r="H6125" s="1504"/>
      <c r="I6125" s="1504"/>
      <c r="J6125" s="1504"/>
    </row>
    <row r="6126" spans="2:11" ht="15.75">
      <c r="B6126" s="1504" t="s">
        <v>5960</v>
      </c>
      <c r="C6126" s="1504"/>
      <c r="D6126" s="1504"/>
      <c r="E6126" s="1504"/>
      <c r="F6126" s="1589">
        <f>'New split'!N20</f>
        <v>1380.0451000000003</v>
      </c>
      <c r="G6126" s="1589">
        <f>'New split'!O20</f>
        <v>1383.2869383277109</v>
      </c>
      <c r="H6126" s="1589">
        <f>'New split'!P20</f>
        <v>1389.8862059865814</v>
      </c>
      <c r="I6126" s="1589">
        <f>'New split'!Q20</f>
        <v>1403.1494400068614</v>
      </c>
      <c r="J6126" s="1589">
        <f>'New split'!R20</f>
        <v>1423.2393385964021</v>
      </c>
      <c r="K6126" s="1618">
        <f>(J6126/F6126)^(1/4)-1</f>
        <v>7.7345881133454863E-3</v>
      </c>
    </row>
    <row r="6127" spans="2:11" ht="15.75">
      <c r="B6127" s="1504" t="s">
        <v>8880</v>
      </c>
      <c r="C6127" s="1619"/>
      <c r="D6127" s="1619"/>
      <c r="E6127" s="1619"/>
      <c r="F6127" s="1617">
        <f>F6058</f>
        <v>1604.2644967949775</v>
      </c>
      <c r="G6127" s="1617">
        <f>G6058</f>
        <v>1542.5620161490167</v>
      </c>
      <c r="H6127" s="1617">
        <f>H6058</f>
        <v>1542.5620161490169</v>
      </c>
      <c r="I6127" s="1617">
        <f>I6058</f>
        <v>1542.5620161490167</v>
      </c>
      <c r="J6127" s="1617">
        <f>J6058</f>
        <v>1542.5620161490167</v>
      </c>
      <c r="K6127" s="1634">
        <f>(J6127/F6127)^(1/4)-1</f>
        <v>-9.7572642574346169E-3</v>
      </c>
    </row>
    <row r="6128" spans="2:11" ht="15.75">
      <c r="B6128" s="1504" t="s">
        <v>2324</v>
      </c>
      <c r="C6128" s="1504"/>
      <c r="D6128" s="1504"/>
      <c r="E6128" s="1504"/>
      <c r="F6128" s="1589">
        <f>SUM(F6126:F6127)</f>
        <v>2984.3095967949776</v>
      </c>
      <c r="G6128" s="1589">
        <f t="shared" ref="G6128:J6128" si="627">SUM(G6126:G6127)</f>
        <v>2925.8489544767276</v>
      </c>
      <c r="H6128" s="1589">
        <f t="shared" si="627"/>
        <v>2932.4482221355984</v>
      </c>
      <c r="I6128" s="1589">
        <f t="shared" si="627"/>
        <v>2945.7114561558783</v>
      </c>
      <c r="J6128" s="1589">
        <f t="shared" si="627"/>
        <v>2965.8013547454188</v>
      </c>
      <c r="K6128" s="1618">
        <f>(J6128/F6128)^(1/4)-1</f>
        <v>-1.5540816347590081E-3</v>
      </c>
    </row>
    <row r="6129" spans="1:11" ht="15.75">
      <c r="B6129" s="1504"/>
      <c r="C6129" s="1504"/>
      <c r="D6129" s="1504"/>
      <c r="E6129" s="1504"/>
      <c r="F6129" s="1504"/>
      <c r="G6129" s="1504"/>
      <c r="H6129" s="1504"/>
      <c r="I6129" s="1504"/>
      <c r="J6129" s="1504"/>
    </row>
    <row r="6130" spans="1:11" ht="15.75">
      <c r="B6130" s="1603" t="s">
        <v>8919</v>
      </c>
      <c r="C6130" s="1504"/>
      <c r="D6130" s="1504"/>
      <c r="E6130" s="1504"/>
      <c r="F6130" s="1504"/>
      <c r="G6130" s="1504"/>
      <c r="H6130" s="1504"/>
      <c r="I6130" s="1504"/>
      <c r="J6130" s="1504"/>
    </row>
    <row r="6131" spans="1:11" ht="15.75">
      <c r="B6131" s="1504" t="s">
        <v>5960</v>
      </c>
      <c r="C6131" s="1504"/>
      <c r="D6131" s="1504"/>
      <c r="E6131" s="1504"/>
      <c r="F6131" s="1616">
        <f>'New split'!N288</f>
        <v>525.32209999999998</v>
      </c>
      <c r="G6131" s="1616">
        <f>'New split'!O288</f>
        <v>553.31477533108443</v>
      </c>
      <c r="H6131" s="1616">
        <f>'New split'!P288</f>
        <v>569.85334445449837</v>
      </c>
      <c r="I6131" s="1616">
        <f>'New split'!Q288</f>
        <v>582.3070176028474</v>
      </c>
      <c r="J6131" s="1616">
        <f>'New split'!R288</f>
        <v>597.76052221048883</v>
      </c>
      <c r="K6131" s="1618">
        <f>(J6131/F6131)^(1/4)-1</f>
        <v>3.2821784238096008E-2</v>
      </c>
    </row>
    <row r="6132" spans="1:11" ht="15.75">
      <c r="B6132" s="1504" t="s">
        <v>8880</v>
      </c>
      <c r="C6132" s="1619"/>
      <c r="D6132" s="1619"/>
      <c r="E6132" s="1619"/>
      <c r="F6132" s="1620">
        <f>F6060</f>
        <v>369.85724337514949</v>
      </c>
      <c r="G6132" s="1620">
        <f>G6060</f>
        <v>398.30780055785334</v>
      </c>
      <c r="H6132" s="1620">
        <f>H6060</f>
        <v>412.53307914920515</v>
      </c>
      <c r="I6132" s="1620">
        <f>I6060</f>
        <v>426.75835774055702</v>
      </c>
      <c r="J6132" s="1620">
        <f>J6060</f>
        <v>426.75835774055702</v>
      </c>
      <c r="K6132" s="1634">
        <f>(J6132/F6132)^(1/4)-1</f>
        <v>3.6422843755939738E-2</v>
      </c>
    </row>
    <row r="6133" spans="1:11" ht="15.75">
      <c r="B6133" s="1504" t="s">
        <v>2324</v>
      </c>
      <c r="C6133" s="1504"/>
      <c r="D6133" s="1504"/>
      <c r="E6133" s="1504"/>
      <c r="F6133" s="1616">
        <f>SUM(F6131:F6132)</f>
        <v>895.17934337514953</v>
      </c>
      <c r="G6133" s="1616">
        <f t="shared" ref="G6133:J6133" si="628">SUM(G6131:G6132)</f>
        <v>951.62257588893772</v>
      </c>
      <c r="H6133" s="1616">
        <f t="shared" si="628"/>
        <v>982.38642360370352</v>
      </c>
      <c r="I6133" s="1616">
        <f t="shared" si="628"/>
        <v>1009.0653753434044</v>
      </c>
      <c r="J6133" s="1616">
        <f t="shared" si="628"/>
        <v>1024.5188799510458</v>
      </c>
      <c r="K6133" s="1618">
        <f>(J6133/F6133)^(1/4)-1</f>
        <v>3.4314179444270287E-2</v>
      </c>
    </row>
    <row r="6134" spans="1:11" ht="15.75">
      <c r="B6134" s="1504" t="s">
        <v>1434</v>
      </c>
      <c r="C6134" s="1504"/>
      <c r="D6134" s="1504"/>
      <c r="E6134" s="1504"/>
      <c r="F6134" s="1517">
        <f>F6133/F6128</f>
        <v>0.29996195580261992</v>
      </c>
      <c r="G6134" s="1517">
        <f t="shared" ref="G6134:J6134" si="629">G6133/G6128</f>
        <v>0.32524665172236489</v>
      </c>
      <c r="H6134" s="1517">
        <f t="shared" si="629"/>
        <v>0.33500554798824927</v>
      </c>
      <c r="I6134" s="1517">
        <f t="shared" si="629"/>
        <v>0.3425540452153531</v>
      </c>
      <c r="J6134" s="1517">
        <f t="shared" si="629"/>
        <v>0.34544420121454472</v>
      </c>
    </row>
    <row r="6135" spans="1:11" ht="15.75">
      <c r="B6135" s="1504"/>
      <c r="C6135" s="1504"/>
      <c r="D6135" s="1504"/>
      <c r="E6135" s="1504"/>
      <c r="F6135" s="1504"/>
      <c r="G6135" s="1504"/>
      <c r="H6135" s="1504"/>
      <c r="I6135" s="1504"/>
      <c r="J6135" s="1504"/>
    </row>
    <row r="6136" spans="1:11" ht="15.75">
      <c r="B6136" s="1603" t="s">
        <v>7044</v>
      </c>
      <c r="C6136" s="1504"/>
      <c r="D6136" s="1504"/>
      <c r="E6136" s="1504"/>
      <c r="F6136" s="1504"/>
      <c r="G6136" s="1504"/>
      <c r="H6136" s="1504"/>
      <c r="I6136" s="1504"/>
      <c r="J6136" s="1504"/>
    </row>
    <row r="6137" spans="1:11" ht="15.75">
      <c r="B6137" s="1504" t="s">
        <v>5960</v>
      </c>
      <c r="C6137" s="1504"/>
      <c r="D6137" s="1504"/>
      <c r="E6137" s="1504"/>
      <c r="F6137" s="1621">
        <f ca="1">0.4*Master!AA19</f>
        <v>130.65832000000009</v>
      </c>
      <c r="G6137" s="1621">
        <f ca="1">0.425*Master!AB19</f>
        <v>152.70691150000013</v>
      </c>
      <c r="H6137" s="1621">
        <f ca="1">0.425*Master!AC19</f>
        <v>155.76104973000011</v>
      </c>
      <c r="I6137" s="1621">
        <f ca="1">0.425*Master!AD19</f>
        <v>158.87627072460012</v>
      </c>
      <c r="J6137" s="1621">
        <f ca="1">0.425*Master!AE19</f>
        <v>162.0537961390921</v>
      </c>
      <c r="K6137" s="1618">
        <f ca="1">(J6137/F6137)^(1/4)-1</f>
        <v>5.5311169546815142E-2</v>
      </c>
    </row>
    <row r="6138" spans="1:11" ht="15.75">
      <c r="B6138" s="1504" t="s">
        <v>8880</v>
      </c>
      <c r="C6138" s="1619"/>
      <c r="D6138" s="1619"/>
      <c r="E6138" s="1619"/>
      <c r="F6138" s="1620">
        <f>F6062</f>
        <v>114.77150968158131</v>
      </c>
      <c r="G6138" s="1620">
        <f>G6062</f>
        <v>124.41046702464573</v>
      </c>
      <c r="H6138" s="1620">
        <f>H6062</f>
        <v>130.26149904561757</v>
      </c>
      <c r="I6138" s="1620">
        <f>I6062</f>
        <v>133.11157163357183</v>
      </c>
      <c r="J6138" s="1620">
        <f>J6062</f>
        <v>132.56523591899798</v>
      </c>
      <c r="K6138" s="1634">
        <f>(J6138/F6138)^(1/4)-1</f>
        <v>3.6689950759494439E-2</v>
      </c>
    </row>
    <row r="6139" spans="1:11" ht="15.75">
      <c r="B6139" s="1504" t="s">
        <v>2324</v>
      </c>
      <c r="C6139" s="1504"/>
      <c r="D6139" s="1504"/>
      <c r="E6139" s="1504"/>
      <c r="F6139" s="1616">
        <f ca="1">SUM(F6137:F6138)</f>
        <v>245.4298296815814</v>
      </c>
      <c r="G6139" s="1616">
        <f t="shared" ref="G6139:J6139" ca="1" si="630">SUM(G6137:G6138)</f>
        <v>277.11737852464586</v>
      </c>
      <c r="H6139" s="1616">
        <f t="shared" ca="1" si="630"/>
        <v>286.02254877561768</v>
      </c>
      <c r="I6139" s="1616">
        <f t="shared" ca="1" si="630"/>
        <v>291.98784235817197</v>
      </c>
      <c r="J6139" s="1616">
        <f t="shared" ca="1" si="630"/>
        <v>294.61903205809006</v>
      </c>
      <c r="K6139" s="1618">
        <f ca="1">(J6139/F6139)^(1/4)-1</f>
        <v>4.6726846430703572E-2</v>
      </c>
    </row>
    <row r="6140" spans="1:11" ht="15.75">
      <c r="B6140" s="1504"/>
      <c r="C6140" s="1504"/>
      <c r="D6140" s="1504"/>
      <c r="E6140" s="1504"/>
      <c r="F6140" s="1504"/>
      <c r="G6140" s="1504"/>
      <c r="H6140" s="1504"/>
      <c r="I6140" s="1504"/>
      <c r="J6140" s="1504"/>
    </row>
    <row r="6141" spans="1:11" ht="15.75">
      <c r="B6141" s="1603" t="s">
        <v>8909</v>
      </c>
      <c r="C6141" s="1504"/>
      <c r="D6141" s="1504"/>
      <c r="E6141" s="1504"/>
      <c r="F6141" s="1504"/>
      <c r="G6141" s="1504"/>
      <c r="H6141" s="1504"/>
      <c r="I6141" s="1504"/>
      <c r="J6141" s="1504"/>
    </row>
    <row r="6142" spans="1:11" ht="15.75">
      <c r="A6142" s="463" t="s">
        <v>1823</v>
      </c>
      <c r="B6142" s="1504" t="str">
        <f>B6126</f>
        <v>TIGO</v>
      </c>
      <c r="C6142" s="1504"/>
      <c r="D6142" s="1504"/>
      <c r="E6142" s="1504"/>
      <c r="F6142" s="1616">
        <f t="shared" ref="F6142:J6144" ca="1" si="631">F6131-F6137</f>
        <v>394.66377999999986</v>
      </c>
      <c r="G6142" s="1616">
        <f t="shared" ca="1" si="631"/>
        <v>400.60786383108427</v>
      </c>
      <c r="H6142" s="1616">
        <f t="shared" ca="1" si="631"/>
        <v>414.09229472449829</v>
      </c>
      <c r="I6142" s="1616">
        <f t="shared" ca="1" si="631"/>
        <v>423.43074687824731</v>
      </c>
      <c r="J6142" s="1616">
        <f t="shared" ca="1" si="631"/>
        <v>435.7067260713967</v>
      </c>
      <c r="K6142" s="1618">
        <f ca="1">(J6142/F6142)^(1/4)-1</f>
        <v>2.5042207159229113E-2</v>
      </c>
    </row>
    <row r="6143" spans="1:11" ht="15.75">
      <c r="B6143" s="1504" t="str">
        <f>B6127</f>
        <v>Coltel</v>
      </c>
      <c r="C6143" s="1619"/>
      <c r="D6143" s="1619"/>
      <c r="E6143" s="1619"/>
      <c r="F6143" s="1622">
        <f t="shared" si="631"/>
        <v>255.08573369356819</v>
      </c>
      <c r="G6143" s="1622">
        <f t="shared" si="631"/>
        <v>273.89733353320764</v>
      </c>
      <c r="H6143" s="1622">
        <f t="shared" si="631"/>
        <v>282.27158010358755</v>
      </c>
      <c r="I6143" s="1622">
        <f t="shared" si="631"/>
        <v>293.64678610698519</v>
      </c>
      <c r="J6143" s="1622">
        <f t="shared" si="631"/>
        <v>294.19312182155903</v>
      </c>
      <c r="K6143" s="1634">
        <f>(J6143/F6143)^(1/4)-1</f>
        <v>3.6302596086585481E-2</v>
      </c>
    </row>
    <row r="6144" spans="1:11" ht="15.75">
      <c r="B6144" s="1504" t="str">
        <f>B6128</f>
        <v>Total</v>
      </c>
      <c r="C6144" s="1504"/>
      <c r="D6144" s="1504"/>
      <c r="E6144" s="1504"/>
      <c r="F6144" s="1616">
        <f t="shared" ca="1" si="631"/>
        <v>649.74951369356813</v>
      </c>
      <c r="G6144" s="1616">
        <f t="shared" ca="1" si="631"/>
        <v>674.50519736429192</v>
      </c>
      <c r="H6144" s="1616">
        <f t="shared" ca="1" si="631"/>
        <v>696.36387482808584</v>
      </c>
      <c r="I6144" s="1616">
        <f t="shared" ca="1" si="631"/>
        <v>717.07753298523244</v>
      </c>
      <c r="J6144" s="1616">
        <f t="shared" ca="1" si="631"/>
        <v>729.89984789295579</v>
      </c>
      <c r="K6144" s="1618">
        <f ca="1">(J6144/F6144)^(1/4)-1</f>
        <v>2.9507055972844309E-2</v>
      </c>
    </row>
    <row r="6145" spans="2:11" ht="15.75">
      <c r="B6145" s="1504" t="s">
        <v>1434</v>
      </c>
      <c r="C6145" s="1504"/>
      <c r="D6145" s="1504"/>
      <c r="E6145" s="1504"/>
      <c r="F6145" s="1517">
        <f ca="1">F6144/F6128</f>
        <v>0.21772188595693009</v>
      </c>
      <c r="G6145" s="1517">
        <f t="shared" ref="G6145:J6145" ca="1" si="632">G6144/G6128</f>
        <v>0.23053315733618365</v>
      </c>
      <c r="H6145" s="1517">
        <f t="shared" ca="1" si="632"/>
        <v>0.23746842981628116</v>
      </c>
      <c r="I6145" s="1517">
        <f t="shared" ca="1" si="632"/>
        <v>0.24343101612573109</v>
      </c>
      <c r="J6145" s="1517">
        <f t="shared" ca="1" si="632"/>
        <v>0.24610544017895278</v>
      </c>
    </row>
    <row r="6146" spans="2:11" ht="15.75">
      <c r="B6146" s="1504"/>
      <c r="C6146" s="1504"/>
      <c r="D6146" s="1504"/>
      <c r="E6146" s="1504"/>
      <c r="F6146" s="1504"/>
      <c r="G6146" s="1504"/>
      <c r="H6146" s="1504"/>
      <c r="I6146" s="1504"/>
      <c r="J6146" s="1504"/>
    </row>
    <row r="6147" spans="2:11" ht="15.75">
      <c r="B6147" s="1603" t="s">
        <v>8905</v>
      </c>
      <c r="C6147" s="1504"/>
      <c r="D6147" s="1504"/>
      <c r="E6147" s="1504"/>
      <c r="F6147" s="1504"/>
      <c r="G6147" s="1504"/>
      <c r="H6147" s="1504"/>
      <c r="I6147" s="1504"/>
      <c r="J6147" s="1504"/>
    </row>
    <row r="6148" spans="2:11" ht="15.75">
      <c r="B6148" s="1504" t="s">
        <v>5960</v>
      </c>
      <c r="C6148" s="1504"/>
      <c r="D6148" s="1504"/>
      <c r="E6148" s="1504"/>
      <c r="F6148" s="1589">
        <f ca="1">F6126-F6142</f>
        <v>985.38132000000041</v>
      </c>
      <c r="G6148" s="1589">
        <f>'New split'!O20-'New split'!O288</f>
        <v>829.97216299662648</v>
      </c>
      <c r="H6148" s="1589">
        <f>'New split'!P20-'New split'!P288</f>
        <v>820.03286153208307</v>
      </c>
      <c r="I6148" s="1589">
        <f>'New split'!Q20-'New split'!Q288</f>
        <v>820.84242240401397</v>
      </c>
      <c r="J6148" s="1589">
        <f>'New split'!R20-'New split'!R288</f>
        <v>825.47881638591332</v>
      </c>
      <c r="K6148" s="1618">
        <f ca="1">(J6148/F6148)^(1/4)-1</f>
        <v>-4.3300819531327805E-2</v>
      </c>
    </row>
    <row r="6149" spans="2:11" ht="15.75">
      <c r="B6149" s="1504" t="s">
        <v>8880</v>
      </c>
      <c r="C6149" s="1619"/>
      <c r="D6149" s="1619"/>
      <c r="E6149" s="1619"/>
      <c r="F6149" s="1617">
        <f>F6058-F6063</f>
        <v>1349.1787631014095</v>
      </c>
      <c r="G6149" s="1617">
        <f>G6058-G6063</f>
        <v>1268.6646826158092</v>
      </c>
      <c r="H6149" s="1617">
        <f>H6058-H6063</f>
        <v>1260.2904360454295</v>
      </c>
      <c r="I6149" s="1617">
        <f>I6058-I6063</f>
        <v>1248.9152300420315</v>
      </c>
      <c r="J6149" s="1617">
        <f>J6058-J6063</f>
        <v>1248.3688943274576</v>
      </c>
      <c r="K6149" s="1634">
        <f>(J6149/F6149)^(1/4)-1</f>
        <v>-1.9227318294116724E-2</v>
      </c>
    </row>
    <row r="6150" spans="2:11" ht="15.75">
      <c r="B6150" s="1504" t="s">
        <v>2324</v>
      </c>
      <c r="C6150" s="1504"/>
      <c r="D6150" s="1504"/>
      <c r="E6150" s="1504"/>
      <c r="F6150" s="1589">
        <f ca="1">SUM(F6148:F6149)</f>
        <v>2334.5600831014099</v>
      </c>
      <c r="G6150" s="1589">
        <f t="shared" ref="G6150:J6150" si="633">SUM(G6148:G6149)</f>
        <v>2098.6368456124355</v>
      </c>
      <c r="H6150" s="1589">
        <f t="shared" si="633"/>
        <v>2080.3232975775127</v>
      </c>
      <c r="I6150" s="1589">
        <f t="shared" si="633"/>
        <v>2069.7576524460455</v>
      </c>
      <c r="J6150" s="1589">
        <f t="shared" si="633"/>
        <v>2073.8477107133708</v>
      </c>
      <c r="K6150" s="1618">
        <f ca="1">(J6150/F6150)^(1/4)-1</f>
        <v>-2.9170529053236915E-2</v>
      </c>
    </row>
    <row r="6151" spans="2:11" ht="15.75">
      <c r="B6151" s="1504"/>
      <c r="C6151" s="1504"/>
      <c r="D6151" s="1504"/>
      <c r="E6151" s="1504"/>
      <c r="F6151" s="1504"/>
      <c r="G6151" s="1504"/>
      <c r="H6151" s="1504"/>
      <c r="I6151" s="1504"/>
      <c r="J6151" s="1504"/>
    </row>
    <row r="6152" spans="2:11" ht="15.75">
      <c r="B6152" s="1603" t="s">
        <v>8904</v>
      </c>
      <c r="C6152" s="1504"/>
      <c r="D6152" s="1504"/>
      <c r="E6152" s="1504"/>
      <c r="F6152" s="1504"/>
      <c r="G6152" s="1504"/>
      <c r="H6152" s="1504"/>
      <c r="I6152" s="1504"/>
      <c r="J6152" s="1504"/>
    </row>
    <row r="6153" spans="2:11" ht="15.75">
      <c r="B6153" s="1504" t="s">
        <v>5960</v>
      </c>
      <c r="C6153" s="1504"/>
      <c r="D6153" s="1504"/>
      <c r="E6153" s="1504"/>
      <c r="F6153" s="1589">
        <f>'New split'!N432</f>
        <v>155</v>
      </c>
      <c r="G6153" s="1589">
        <f>'New split'!O432</f>
        <v>150</v>
      </c>
      <c r="H6153" s="1589">
        <f>'New split'!P432</f>
        <v>150</v>
      </c>
      <c r="I6153" s="1589">
        <f>'New split'!Q432</f>
        <v>150</v>
      </c>
      <c r="J6153" s="1589">
        <f>'New split'!R432</f>
        <v>150</v>
      </c>
      <c r="K6153" s="1618">
        <f>(J6153/F6153)^(1/4)-1</f>
        <v>-8.1639481870355857E-3</v>
      </c>
    </row>
    <row r="6154" spans="2:11" ht="15.75">
      <c r="B6154" s="1619" t="s">
        <v>8880</v>
      </c>
      <c r="C6154" s="1619"/>
      <c r="D6154" s="1619"/>
      <c r="E6154" s="1619"/>
      <c r="F6154" s="1617">
        <f>F6067</f>
        <v>236.70863576009569</v>
      </c>
      <c r="G6154" s="1617">
        <f>G6067</f>
        <v>227.60445746163046</v>
      </c>
      <c r="H6154" s="1617">
        <f>H6067</f>
        <v>227.60445746163049</v>
      </c>
      <c r="I6154" s="1617">
        <f>I6067</f>
        <v>227.6044574616304</v>
      </c>
      <c r="J6154" s="1617">
        <f>J6067</f>
        <v>227.60445746163046</v>
      </c>
      <c r="K6154" s="1634">
        <f>(J6154/F6154)^(1/4)-1</f>
        <v>-9.7572642574346169E-3</v>
      </c>
    </row>
    <row r="6155" spans="2:11" ht="15.75">
      <c r="B6155" s="1504" t="s">
        <v>2324</v>
      </c>
      <c r="C6155" s="1504"/>
      <c r="D6155" s="1504"/>
      <c r="E6155" s="1504"/>
      <c r="F6155" s="1589">
        <f>SUM(F6153:F6154)</f>
        <v>391.70863576009572</v>
      </c>
      <c r="G6155" s="1589">
        <f t="shared" ref="G6155" si="634">SUM(G6153:G6154)</f>
        <v>377.60445746163043</v>
      </c>
      <c r="H6155" s="1589">
        <f t="shared" ref="H6155" si="635">SUM(H6153:H6154)</f>
        <v>377.60445746163049</v>
      </c>
      <c r="I6155" s="1589">
        <f t="shared" ref="I6155" si="636">SUM(I6153:I6154)</f>
        <v>377.60445746163043</v>
      </c>
      <c r="J6155" s="1589">
        <f t="shared" ref="J6155" si="637">SUM(J6153:J6154)</f>
        <v>377.60445746163043</v>
      </c>
      <c r="K6155" s="1618">
        <f>(J6155/F6155)^(1/4)-1</f>
        <v>-9.1258662924941225E-3</v>
      </c>
    </row>
    <row r="6156" spans="2:11" ht="15.75">
      <c r="B6156" s="1504" t="s">
        <v>1431</v>
      </c>
      <c r="C6156" s="1504"/>
      <c r="D6156" s="1504"/>
      <c r="E6156" s="1504"/>
      <c r="F6156" s="1596">
        <f>F6155/F6128</f>
        <v>0.13125603194144944</v>
      </c>
      <c r="G6156" s="1596">
        <f t="shared" ref="G6156:J6156" si="638">G6155/G6128</f>
        <v>0.12905808308520936</v>
      </c>
      <c r="H6156" s="1596">
        <f t="shared" si="638"/>
        <v>0.12876764698223198</v>
      </c>
      <c r="I6156" s="1596">
        <f t="shared" si="638"/>
        <v>0.12818786329955079</v>
      </c>
      <c r="J6156" s="1596">
        <f t="shared" si="638"/>
        <v>0.12731953772205476</v>
      </c>
    </row>
    <row r="6157" spans="2:11" ht="15.75">
      <c r="B6157" s="1504"/>
      <c r="C6157" s="1504"/>
      <c r="D6157" s="1504"/>
      <c r="E6157" s="1504"/>
      <c r="F6157" s="1504"/>
      <c r="G6157" s="1504"/>
      <c r="H6157" s="1504"/>
      <c r="I6157" s="1504"/>
      <c r="J6157" s="1504"/>
    </row>
    <row r="6158" spans="2:11" ht="15.75">
      <c r="B6158" s="1594" t="s">
        <v>8881</v>
      </c>
      <c r="C6158" s="1594"/>
      <c r="D6158" s="1594"/>
      <c r="E6158" s="1594"/>
      <c r="F6158" s="1594"/>
      <c r="G6158" s="1594">
        <f>G6124</f>
        <v>2025</v>
      </c>
      <c r="H6158" s="1594">
        <f t="shared" ref="H6158:K6158" si="639">H6124</f>
        <v>2026</v>
      </c>
      <c r="I6158" s="1594">
        <f t="shared" si="639"/>
        <v>2027</v>
      </c>
      <c r="J6158" s="1594">
        <f t="shared" si="639"/>
        <v>2028</v>
      </c>
      <c r="K6158" s="1633" t="str">
        <f t="shared" si="639"/>
        <v>2024-28</v>
      </c>
    </row>
    <row r="6159" spans="2:11" ht="15.75">
      <c r="B6159" s="1504" t="s">
        <v>1583</v>
      </c>
      <c r="C6159" s="1504"/>
      <c r="D6159" s="1504"/>
      <c r="E6159" s="1504"/>
      <c r="F6159" s="1589"/>
      <c r="G6159" s="1596">
        <v>-0.05</v>
      </c>
      <c r="H6159" s="1596">
        <v>0.05</v>
      </c>
      <c r="I6159" s="1596">
        <v>0.09</v>
      </c>
      <c r="J6159" s="1596">
        <v>0.12</v>
      </c>
    </row>
    <row r="6160" spans="2:11" ht="15.75">
      <c r="B6160" s="1504" t="s">
        <v>1545</v>
      </c>
      <c r="C6160" s="1504"/>
      <c r="D6160" s="1504"/>
      <c r="E6160" s="1504"/>
      <c r="F6160" s="1504"/>
      <c r="G6160" s="1596">
        <v>-0.05</v>
      </c>
      <c r="H6160" s="1596">
        <v>0.05</v>
      </c>
      <c r="I6160" s="1596">
        <v>0.09</v>
      </c>
      <c r="J6160" s="1596">
        <v>0.12</v>
      </c>
    </row>
    <row r="6161" spans="2:11" ht="15.75">
      <c r="B6161" s="1504"/>
      <c r="C6161" s="1504"/>
      <c r="D6161" s="1504"/>
      <c r="E6161" s="1504"/>
      <c r="F6161" s="1504"/>
      <c r="G6161" s="1504"/>
      <c r="H6161" s="1504"/>
      <c r="I6161" s="1504"/>
      <c r="J6161" s="1504"/>
    </row>
    <row r="6162" spans="2:11" ht="15.75">
      <c r="B6162" s="1603" t="s">
        <v>8913</v>
      </c>
      <c r="C6162" s="1504"/>
      <c r="D6162" s="1504"/>
      <c r="E6162" s="1504"/>
      <c r="F6162" s="1504"/>
      <c r="G6162" s="1504"/>
      <c r="H6162" s="1504"/>
      <c r="I6162" s="1504"/>
      <c r="J6162" s="1504"/>
    </row>
    <row r="6163" spans="2:11" ht="15.75">
      <c r="B6163" s="1504" t="str">
        <f>B6159</f>
        <v>OpEx</v>
      </c>
      <c r="C6163" s="1504"/>
      <c r="D6163" s="1504"/>
      <c r="E6163" s="1504"/>
      <c r="F6163" s="1589"/>
      <c r="G6163" s="1589">
        <f>G6159*G6150</f>
        <v>-104.93184228062178</v>
      </c>
      <c r="H6163" s="1589">
        <f t="shared" ref="H6163:J6163" si="640">H6159*H6150</f>
        <v>104.01616487887564</v>
      </c>
      <c r="I6163" s="1589">
        <f t="shared" si="640"/>
        <v>186.2781887201441</v>
      </c>
      <c r="J6163" s="1589">
        <f t="shared" si="640"/>
        <v>248.86172528560448</v>
      </c>
    </row>
    <row r="6164" spans="2:11" ht="15.75">
      <c r="B6164" s="1504" t="str">
        <f>B6160</f>
        <v>Capex</v>
      </c>
      <c r="C6164" s="1504"/>
      <c r="D6164" s="1504"/>
      <c r="E6164" s="1504"/>
      <c r="F6164" s="1617"/>
      <c r="G6164" s="1617">
        <f>G6160*G6155</f>
        <v>-18.880222873081522</v>
      </c>
      <c r="H6164" s="1617">
        <f t="shared" ref="H6164:J6164" si="641">H6160*H6155</f>
        <v>18.880222873081525</v>
      </c>
      <c r="I6164" s="1617">
        <f t="shared" si="641"/>
        <v>33.984401171546736</v>
      </c>
      <c r="J6164" s="1617">
        <f t="shared" si="641"/>
        <v>45.31253489539565</v>
      </c>
    </row>
    <row r="6165" spans="2:11" ht="15.75">
      <c r="B6165" s="1504" t="s">
        <v>2324</v>
      </c>
      <c r="C6165" s="1504"/>
      <c r="D6165" s="1504"/>
      <c r="E6165" s="1504"/>
      <c r="F6165" s="1589"/>
      <c r="G6165" s="1589">
        <f>SUM(G6163:G6164)</f>
        <v>-123.8120651537033</v>
      </c>
      <c r="H6165" s="1589">
        <f t="shared" ref="H6165:J6165" si="642">SUM(H6163:H6164)</f>
        <v>122.89638775195716</v>
      </c>
      <c r="I6165" s="1589">
        <f t="shared" si="642"/>
        <v>220.26258989169082</v>
      </c>
      <c r="J6165" s="1589">
        <f t="shared" si="642"/>
        <v>294.17426018100014</v>
      </c>
    </row>
    <row r="6166" spans="2:11" ht="16.5" thickBot="1">
      <c r="B6166" s="1504"/>
      <c r="C6166" s="1504"/>
      <c r="D6166" s="1504"/>
      <c r="E6166" s="1504"/>
      <c r="F6166" s="1504"/>
      <c r="G6166" s="1504"/>
      <c r="H6166" s="1504"/>
      <c r="I6166" s="1504"/>
      <c r="J6166" s="1504"/>
    </row>
    <row r="6167" spans="2:11" ht="15.75">
      <c r="B6167" s="1624" t="s">
        <v>8916</v>
      </c>
      <c r="C6167" s="1625"/>
      <c r="D6167" s="1625"/>
      <c r="E6167" s="1625"/>
      <c r="F6167" s="1625"/>
      <c r="G6167" s="1625"/>
      <c r="H6167" s="1625"/>
      <c r="I6167" s="1625"/>
      <c r="J6167" s="1626"/>
    </row>
    <row r="6168" spans="2:11" ht="15.75">
      <c r="B6168" s="1627" t="s">
        <v>8907</v>
      </c>
      <c r="C6168" s="1504"/>
      <c r="D6168" s="1504"/>
      <c r="E6168" s="1504"/>
      <c r="F6168" s="1616">
        <f>F6133+F6163</f>
        <v>895.17934337514953</v>
      </c>
      <c r="G6168" s="1616">
        <f>G6133+G6163</f>
        <v>846.6907336083159</v>
      </c>
      <c r="H6168" s="1616">
        <f t="shared" ref="H6168:J6168" si="643">H6133+H6163</f>
        <v>1086.4025884825792</v>
      </c>
      <c r="I6168" s="1616">
        <f t="shared" si="643"/>
        <v>1195.3435640635485</v>
      </c>
      <c r="J6168" s="1628">
        <f t="shared" si="643"/>
        <v>1273.3806052366504</v>
      </c>
      <c r="K6168" s="1618">
        <f>(J6168/F6168)^(1/4)-1</f>
        <v>9.2099088650715366E-2</v>
      </c>
    </row>
    <row r="6169" spans="2:11" ht="15.75">
      <c r="B6169" s="1635" t="s">
        <v>1434</v>
      </c>
      <c r="C6169" s="1603"/>
      <c r="D6169" s="1603"/>
      <c r="E6169" s="1603"/>
      <c r="F6169" s="1603"/>
      <c r="G6169" s="1636">
        <f>G6168/G6128</f>
        <v>0.28938292672724181</v>
      </c>
      <c r="H6169" s="1636">
        <f t="shared" ref="H6169:J6169" si="644">H6168/H6128</f>
        <v>0.37047630723088798</v>
      </c>
      <c r="I6169" s="1636">
        <f t="shared" si="644"/>
        <v>0.40579112443805304</v>
      </c>
      <c r="J6169" s="1637">
        <f t="shared" si="644"/>
        <v>0.42935465087679681</v>
      </c>
    </row>
    <row r="6170" spans="2:11" ht="15.75">
      <c r="B6170" s="1627" t="s">
        <v>8908</v>
      </c>
      <c r="C6170" s="1504"/>
      <c r="D6170" s="1504"/>
      <c r="E6170" s="1504"/>
      <c r="F6170" s="1616">
        <f ca="1">F6144+F6163</f>
        <v>649.74951369356813</v>
      </c>
      <c r="G6170" s="1616">
        <f ca="1">G6144+G6163</f>
        <v>569.57335508367009</v>
      </c>
      <c r="H6170" s="1616">
        <f t="shared" ref="H6170:J6170" ca="1" si="645">H6144+H6163</f>
        <v>800.3800397069615</v>
      </c>
      <c r="I6170" s="1616">
        <f t="shared" ca="1" si="645"/>
        <v>903.35572170537648</v>
      </c>
      <c r="J6170" s="1628">
        <f t="shared" ca="1" si="645"/>
        <v>978.7615731785603</v>
      </c>
      <c r="K6170" s="1618">
        <f ca="1">(J6170/F6170)^(1/4)-1</f>
        <v>0.10785452729834399</v>
      </c>
    </row>
    <row r="6171" spans="2:11" ht="16.5" thickBot="1">
      <c r="B6171" s="1629" t="s">
        <v>1434</v>
      </c>
      <c r="C6171" s="1630"/>
      <c r="D6171" s="1630"/>
      <c r="E6171" s="1630"/>
      <c r="F6171" s="1630"/>
      <c r="G6171" s="1631">
        <f ca="1">G6170/G6128</f>
        <v>0.19466943234106054</v>
      </c>
      <c r="H6171" s="1631">
        <f t="shared" ref="H6171:J6171" ca="1" si="646">H6170/H6128</f>
        <v>0.27293918905891984</v>
      </c>
      <c r="I6171" s="1631">
        <f t="shared" ca="1" si="646"/>
        <v>0.30666809534843104</v>
      </c>
      <c r="J6171" s="1632">
        <f t="shared" ca="1" si="646"/>
        <v>0.33001588984120489</v>
      </c>
    </row>
    <row r="6172" spans="2:11" ht="15.75">
      <c r="B6172" s="1504"/>
      <c r="C6172" s="1504"/>
      <c r="D6172" s="1504"/>
      <c r="E6172" s="1504"/>
      <c r="F6172" s="1504"/>
      <c r="G6172" s="1504"/>
      <c r="H6172" s="1504"/>
      <c r="I6172" s="1504"/>
      <c r="J6172" s="1504"/>
    </row>
    <row r="6173" spans="2:11" ht="15.75">
      <c r="B6173" s="1504" t="s">
        <v>8867</v>
      </c>
      <c r="C6173" s="1504"/>
      <c r="D6173" s="1504"/>
      <c r="E6173" s="1504"/>
      <c r="F6173" s="1504"/>
      <c r="G6173" s="1589">
        <f>G6165*(1-G6071)</f>
        <v>-80.477842349907149</v>
      </c>
      <c r="H6173" s="1589">
        <f>H6165*(1-H6071)</f>
        <v>79.882652038772164</v>
      </c>
      <c r="I6173" s="1589">
        <f>I6165*(1-I6071)</f>
        <v>143.17068342959905</v>
      </c>
      <c r="J6173" s="1589">
        <f>J6165*(1-J6071)</f>
        <v>191.2132691176501</v>
      </c>
    </row>
    <row r="6174" spans="2:11" ht="15.75">
      <c r="B6174" s="1504"/>
      <c r="C6174" s="1504"/>
      <c r="D6174" s="1504"/>
      <c r="E6174" s="1504"/>
      <c r="F6174" s="1504"/>
      <c r="G6174" s="1504"/>
      <c r="H6174" s="1504"/>
      <c r="I6174" s="1504"/>
      <c r="J6174" s="1504"/>
    </row>
    <row r="6175" spans="2:11" ht="15.75">
      <c r="B6175" s="1603" t="s">
        <v>1604</v>
      </c>
      <c r="C6175" s="1504"/>
      <c r="D6175" s="1504"/>
      <c r="E6175" s="1504"/>
      <c r="F6175" s="1504"/>
      <c r="G6175" s="1504"/>
      <c r="H6175" s="1504"/>
      <c r="I6175" s="1504"/>
      <c r="J6175" s="1504"/>
    </row>
    <row r="6176" spans="2:11" ht="15.75">
      <c r="B6176" s="1504" t="s">
        <v>1938</v>
      </c>
      <c r="D6176" s="1504"/>
      <c r="E6176" s="1504"/>
      <c r="F6176" s="1596">
        <v>0.12</v>
      </c>
      <c r="H6176" s="1504"/>
      <c r="I6176" s="1504"/>
      <c r="J6176" s="1504"/>
    </row>
    <row r="6177" spans="2:10" ht="15.75">
      <c r="B6177" s="1504" t="s">
        <v>2016</v>
      </c>
      <c r="D6177" s="1504"/>
      <c r="E6177" s="1504"/>
      <c r="F6177" s="1522">
        <v>0</v>
      </c>
      <c r="H6177" s="1504"/>
      <c r="I6177" s="1504"/>
      <c r="J6177" s="1504"/>
    </row>
    <row r="6178" spans="2:10" ht="15.75">
      <c r="B6178" s="1504" t="s">
        <v>5471</v>
      </c>
      <c r="D6178" s="1504"/>
      <c r="E6178" s="1504"/>
      <c r="F6178" s="1589">
        <f>NPV(F6176,G6173:J6173)</f>
        <v>215.25229863029224</v>
      </c>
      <c r="H6178" s="1504"/>
      <c r="I6178" s="1504"/>
      <c r="J6178" s="1504"/>
    </row>
    <row r="6179" spans="2:10" ht="15.75">
      <c r="B6179" s="1504" t="s">
        <v>2587</v>
      </c>
      <c r="D6179" s="1504"/>
      <c r="E6179" s="1504"/>
      <c r="F6179" s="1589">
        <f>1/(F6176-0%)*J6173</f>
        <v>1593.443909313751</v>
      </c>
      <c r="H6179" s="1504"/>
      <c r="I6179" s="1504"/>
      <c r="J6179" s="1504"/>
    </row>
    <row r="6180" spans="2:10" ht="15.75">
      <c r="B6180" s="1619" t="s">
        <v>244</v>
      </c>
      <c r="D6180" s="1504"/>
      <c r="E6180" s="1504"/>
      <c r="F6180" s="1617">
        <f>F6179/(1+C6082)^4</f>
        <v>1012.6624112929571</v>
      </c>
      <c r="H6180" s="1504"/>
      <c r="I6180" s="1504"/>
      <c r="J6180" s="1504"/>
    </row>
    <row r="6181" spans="2:10" ht="15.75">
      <c r="B6181" s="1603" t="s">
        <v>245</v>
      </c>
      <c r="C6181" s="450"/>
      <c r="D6181" s="1603"/>
      <c r="E6181" s="1603"/>
      <c r="F6181" s="1641">
        <f>F6178+F6180</f>
        <v>1227.9147099232493</v>
      </c>
      <c r="H6181" s="1504"/>
      <c r="I6181" s="1504"/>
      <c r="J6181" s="1504"/>
    </row>
    <row r="6182" spans="2:10" ht="15.75">
      <c r="B6182" s="1504" t="s">
        <v>8882</v>
      </c>
      <c r="D6182" s="1504"/>
      <c r="E6182" s="1504"/>
      <c r="F6182" s="1605">
        <f>F6181/Valuation!N7</f>
        <v>7.1676680107361932</v>
      </c>
      <c r="H6182" s="1504"/>
      <c r="I6182" s="1504"/>
      <c r="J6182" s="1504"/>
    </row>
    <row r="6183" spans="2:10" ht="15.75">
      <c r="B6183" s="1504" t="s">
        <v>8915</v>
      </c>
      <c r="D6183" s="1504"/>
      <c r="E6183" s="1504"/>
      <c r="F6183" s="1589">
        <f>C6050</f>
        <v>592.59259259259261</v>
      </c>
      <c r="H6183" s="1504"/>
      <c r="I6183" s="1504"/>
      <c r="J6183" s="1504"/>
    </row>
    <row r="6184" spans="2:10" ht="16.5" thickBot="1">
      <c r="B6184" s="1504" t="s">
        <v>8914</v>
      </c>
      <c r="C6184" s="1504"/>
      <c r="D6184" s="1504"/>
      <c r="E6184" s="1504"/>
      <c r="F6184" s="1515">
        <f>F6181-F6183</f>
        <v>635.32211733065674</v>
      </c>
      <c r="H6184" s="1504"/>
      <c r="I6184" s="1504"/>
      <c r="J6184" s="1504"/>
    </row>
    <row r="6185" spans="2:10" ht="16.5" thickBot="1">
      <c r="B6185" s="1638" t="s">
        <v>8917</v>
      </c>
      <c r="C6185" s="1639"/>
      <c r="D6185" s="1639"/>
      <c r="E6185" s="1639"/>
      <c r="F6185" s="1640">
        <f>F6184/Valuation!N7</f>
        <v>3.708545862431087</v>
      </c>
      <c r="H6185" s="1504"/>
      <c r="I6185" s="1504"/>
      <c r="J6185" s="1504"/>
    </row>
    <row r="6186" spans="2:10" ht="16.5" thickBot="1">
      <c r="B6186" s="1638" t="s">
        <v>8918</v>
      </c>
      <c r="C6186" s="1639"/>
      <c r="D6186" s="1639"/>
      <c r="E6186" s="1639"/>
      <c r="F6186" s="1640">
        <f>F6185*10.55</f>
        <v>39.12515884864797</v>
      </c>
      <c r="H6186" s="1504"/>
      <c r="I6186" s="1504"/>
      <c r="J6186" s="1504"/>
    </row>
    <row r="6187" spans="2:10" ht="15.75">
      <c r="B6187" s="1504"/>
      <c r="C6187" s="1504"/>
      <c r="D6187" s="1504"/>
      <c r="E6187" s="1504"/>
      <c r="F6187" s="1504"/>
      <c r="G6187" s="1504"/>
      <c r="H6187" s="1504"/>
      <c r="I6187" s="1504"/>
      <c r="J6187" s="1504"/>
    </row>
    <row r="6188" spans="2:10" ht="15.75">
      <c r="B6188" s="1594"/>
      <c r="C6188" s="1594"/>
      <c r="D6188" s="1594"/>
      <c r="E6188" s="1594"/>
      <c r="F6188" s="1594">
        <f>F6124</f>
        <v>2024</v>
      </c>
      <c r="G6188" s="1594">
        <f>G6124</f>
        <v>2025</v>
      </c>
      <c r="H6188" s="1594">
        <f>H6124</f>
        <v>2026</v>
      </c>
      <c r="I6188" s="1594">
        <f>I6124</f>
        <v>2027</v>
      </c>
      <c r="J6188" s="1594">
        <f>J6124</f>
        <v>2028</v>
      </c>
    </row>
    <row r="6189" spans="2:10" ht="15.75">
      <c r="B6189" s="1504" t="s">
        <v>8911</v>
      </c>
      <c r="C6189" s="1504"/>
      <c r="D6189" s="1504"/>
      <c r="E6189" s="1504"/>
      <c r="F6189" s="1515"/>
      <c r="G6189" s="1515">
        <f ca="1">Master!AB22</f>
        <v>2022.3750399146707</v>
      </c>
      <c r="H6189" s="1515">
        <f ca="1">Master!AC22</f>
        <v>2029.7024146089595</v>
      </c>
      <c r="I6189" s="1515">
        <f ca="1">Master!AD22</f>
        <v>2087.1815878920547</v>
      </c>
      <c r="J6189" s="1515">
        <f ca="1">Master!AE22</f>
        <v>2150.1784328008562</v>
      </c>
    </row>
    <row r="6190" spans="2:10" ht="15.75">
      <c r="B6190" s="1504" t="s">
        <v>8910</v>
      </c>
      <c r="C6190" s="1504"/>
      <c r="D6190" s="1504"/>
      <c r="E6190" s="1504"/>
      <c r="F6190" s="1515"/>
      <c r="G6190" s="1522">
        <f ca="1">G6142/G6189</f>
        <v>0.19808782047072088</v>
      </c>
      <c r="H6190" s="1522">
        <f t="shared" ref="H6190:J6190" ca="1" si="647">H6142/H6189</f>
        <v>0.20401625959748237</v>
      </c>
      <c r="I6190" s="1522">
        <f t="shared" ca="1" si="647"/>
        <v>0.20287202097537207</v>
      </c>
      <c r="J6190" s="1522">
        <f t="shared" ca="1" si="647"/>
        <v>0.2026374739066833</v>
      </c>
    </row>
    <row r="6191" spans="2:10" ht="15.75">
      <c r="B6191" s="1504" t="s">
        <v>8883</v>
      </c>
      <c r="C6191" s="1504"/>
      <c r="D6191" s="1504"/>
      <c r="E6191" s="1504"/>
      <c r="F6191" s="1515"/>
      <c r="G6191" s="1515">
        <f ca="1">G6189+G6143+G6163</f>
        <v>2191.3405311672564</v>
      </c>
      <c r="H6191" s="1515">
        <f ca="1">H6189+H6143+H6163</f>
        <v>2415.990159591423</v>
      </c>
      <c r="I6191" s="1515">
        <f ca="1">I6189+I6143+I6163</f>
        <v>2567.1065627191838</v>
      </c>
      <c r="J6191" s="1515">
        <f ca="1">J6189+J6143+J6163</f>
        <v>2693.2332799080195</v>
      </c>
    </row>
    <row r="6192" spans="2:10" ht="15.75">
      <c r="B6192" s="1504"/>
      <c r="C6192" s="1504"/>
      <c r="D6192" s="1504"/>
      <c r="E6192" s="1504"/>
      <c r="F6192" s="1504"/>
      <c r="G6192" s="1504"/>
      <c r="H6192" s="1504"/>
      <c r="I6192" s="1504"/>
      <c r="J6192" s="1504"/>
    </row>
    <row r="6193" spans="2:10" ht="15.75">
      <c r="B6193" s="1504"/>
      <c r="C6193" s="1504"/>
      <c r="D6193" s="1504"/>
      <c r="E6193" s="1504"/>
      <c r="F6193" s="1515"/>
      <c r="G6193" s="1515"/>
      <c r="H6193" s="1515"/>
      <c r="I6193" s="1515"/>
      <c r="J6193" s="1515"/>
    </row>
    <row r="6194" spans="2:10" ht="15.75">
      <c r="B6194" s="1504" t="s">
        <v>8884</v>
      </c>
      <c r="C6194" s="1504"/>
      <c r="D6194" s="1504"/>
      <c r="E6194" s="1504"/>
      <c r="F6194" s="1515"/>
      <c r="G6194" s="1515">
        <f ca="1">G6170</f>
        <v>569.57335508367009</v>
      </c>
      <c r="H6194" s="1515">
        <f t="shared" ref="H6194:J6194" ca="1" si="648">H6170</f>
        <v>800.3800397069615</v>
      </c>
      <c r="I6194" s="1515">
        <f t="shared" ca="1" si="648"/>
        <v>903.35572170537648</v>
      </c>
      <c r="J6194" s="1515">
        <f t="shared" ca="1" si="648"/>
        <v>978.7615731785603</v>
      </c>
    </row>
    <row r="6195" spans="2:10" ht="15.75">
      <c r="B6195" s="1504"/>
      <c r="C6195" s="1504"/>
      <c r="D6195" s="1504"/>
      <c r="E6195" s="1504"/>
      <c r="F6195" s="1504"/>
      <c r="G6195" s="1504"/>
      <c r="H6195" s="1504"/>
      <c r="I6195" s="1504"/>
      <c r="J6195" s="1504"/>
    </row>
    <row r="6196" spans="2:10" ht="15.75">
      <c r="B6196" s="1504" t="s">
        <v>8885</v>
      </c>
      <c r="C6196" s="1504"/>
      <c r="D6196" s="1504"/>
      <c r="E6196" s="1504"/>
      <c r="F6196" s="1522"/>
      <c r="G6196" s="1522">
        <f t="shared" ref="G6196:J6196" ca="1" si="649">G6194/G6191</f>
        <v>0.25992005668798396</v>
      </c>
      <c r="H6196" s="1522">
        <f t="shared" ca="1" si="649"/>
        <v>0.33128447834502633</v>
      </c>
      <c r="I6196" s="1522">
        <f t="shared" ca="1" si="649"/>
        <v>0.35189646383378231</v>
      </c>
      <c r="J6196" s="1522">
        <f t="shared" ca="1" si="649"/>
        <v>0.36341507454266547</v>
      </c>
    </row>
    <row r="6197" spans="2:10" ht="15.75">
      <c r="B6197" s="1504"/>
      <c r="C6197" s="1504"/>
      <c r="D6197" s="1504"/>
      <c r="E6197" s="1504"/>
      <c r="F6197" s="1504"/>
      <c r="G6197" s="1504"/>
      <c r="H6197" s="1504"/>
      <c r="I6197" s="1504"/>
      <c r="J6197" s="1504"/>
    </row>
    <row r="6198" spans="2:10" ht="15.75">
      <c r="B6198" s="1602" t="s">
        <v>8889</v>
      </c>
      <c r="C6198" s="1504"/>
      <c r="D6198" s="1504"/>
      <c r="E6198" s="1504"/>
      <c r="F6198" s="1504"/>
      <c r="G6198" s="1504"/>
      <c r="H6198" s="1504"/>
      <c r="I6198" s="1504"/>
      <c r="J6198" s="1504"/>
    </row>
    <row r="6199" spans="2:10" ht="16.5" thickBot="1">
      <c r="B6199" s="1504"/>
      <c r="C6199" s="1504"/>
      <c r="D6199" s="1504"/>
      <c r="E6199" s="1504"/>
      <c r="F6199" s="1504"/>
      <c r="G6199" s="1504"/>
      <c r="H6199" s="1504"/>
      <c r="I6199" s="1504"/>
      <c r="J6199" s="1504"/>
    </row>
    <row r="6200" spans="2:10" ht="16.5" thickBot="1">
      <c r="B6200" s="1647" t="s">
        <v>8931</v>
      </c>
      <c r="C6200" s="1651">
        <v>1000</v>
      </c>
      <c r="D6200" s="1293"/>
      <c r="E6200" s="1293"/>
      <c r="F6200" s="1293"/>
      <c r="G6200" s="1504"/>
      <c r="H6200" s="1504"/>
      <c r="I6200" s="1504"/>
      <c r="J6200" s="1504"/>
    </row>
    <row r="6201" spans="2:10" ht="15.75">
      <c r="B6201" s="1293" t="s">
        <v>8926</v>
      </c>
      <c r="C6201" s="1327">
        <f>C6042</f>
        <v>592.59259259259261</v>
      </c>
      <c r="D6201" s="1293"/>
      <c r="E6201" s="1293"/>
      <c r="F6201" s="1293"/>
      <c r="G6201" s="1504"/>
      <c r="H6201" s="1504"/>
      <c r="I6201" s="1504"/>
      <c r="J6201" s="1504"/>
    </row>
    <row r="6202" spans="2:10" ht="15.75">
      <c r="B6202" s="1293" t="s">
        <v>8932</v>
      </c>
      <c r="C6202" s="1327">
        <f>C6200-C6201</f>
        <v>407.40740740740739</v>
      </c>
      <c r="D6202" s="1293"/>
      <c r="E6202" s="1293"/>
      <c r="F6202" s="1293"/>
      <c r="G6202" s="1504"/>
      <c r="H6202" s="1504"/>
      <c r="I6202" s="1504"/>
      <c r="J6202" s="1504"/>
    </row>
    <row r="6203" spans="2:10" ht="15.75">
      <c r="B6203" s="1293"/>
      <c r="C6203" s="1327"/>
      <c r="D6203" s="1293"/>
      <c r="E6203" s="1293"/>
      <c r="F6203" s="1293"/>
      <c r="G6203" s="1504"/>
      <c r="H6203" s="1504"/>
      <c r="I6203" s="1504"/>
      <c r="J6203" s="1504"/>
    </row>
    <row r="6204" spans="2:10" ht="15.75">
      <c r="B6204" s="1293" t="s">
        <v>8927</v>
      </c>
      <c r="C6204" s="1327">
        <f>C6202/0.5</f>
        <v>814.81481481481478</v>
      </c>
      <c r="D6204" s="1293"/>
      <c r="E6204" s="1293"/>
      <c r="F6204" s="1293"/>
      <c r="G6204" s="1504"/>
      <c r="H6204" s="1504"/>
      <c r="I6204" s="1504"/>
      <c r="J6204" s="1504"/>
    </row>
    <row r="6205" spans="2:10" ht="15.75">
      <c r="B6205" s="1293" t="s">
        <v>8924</v>
      </c>
      <c r="C6205" s="1327">
        <v>683</v>
      </c>
      <c r="D6205" s="1293"/>
      <c r="E6205" s="1293"/>
      <c r="F6205" s="1293"/>
    </row>
    <row r="6206" spans="2:10" ht="15.75">
      <c r="B6206" s="1293" t="s">
        <v>8928</v>
      </c>
      <c r="C6206" s="1327">
        <f>C6204+C6205</f>
        <v>1497.8148148148148</v>
      </c>
      <c r="D6206" s="1293"/>
      <c r="E6206" s="1293"/>
      <c r="F6206" s="1293"/>
    </row>
    <row r="6207" spans="2:10" ht="15.75">
      <c r="B6207" s="1644" t="s">
        <v>8922</v>
      </c>
      <c r="C6207" s="1645">
        <v>250</v>
      </c>
      <c r="D6207" s="1293"/>
      <c r="E6207" s="1293"/>
      <c r="F6207" s="1293"/>
      <c r="H6207" s="1620">
        <f>Notes1!C2845*3200/4000*13/17</f>
        <v>173.43529411764706</v>
      </c>
    </row>
    <row r="6208" spans="2:10" ht="15.75">
      <c r="B6208" s="1293" t="s">
        <v>8923</v>
      </c>
      <c r="C6208" s="1327">
        <f>C6206+C6207</f>
        <v>1747.8148148148148</v>
      </c>
      <c r="D6208" s="1293"/>
      <c r="E6208" s="1293"/>
      <c r="F6208" s="1293"/>
    </row>
    <row r="6209" spans="2:10" ht="15.75">
      <c r="B6209" s="1293"/>
      <c r="C6209" s="1327"/>
      <c r="D6209" s="1293"/>
      <c r="E6209" s="1293"/>
      <c r="F6209" s="1293"/>
    </row>
    <row r="6210" spans="2:10" ht="15.75">
      <c r="B6210" s="1293" t="s">
        <v>8929</v>
      </c>
      <c r="C6210" s="1327">
        <f>'New split'!N288</f>
        <v>525.32209999999998</v>
      </c>
      <c r="D6210" s="1293"/>
      <c r="E6210" s="1293"/>
      <c r="F6210" s="1293"/>
    </row>
    <row r="6211" spans="2:10" ht="15.75">
      <c r="B6211" s="1293" t="s">
        <v>8890</v>
      </c>
      <c r="C6211" s="1327">
        <f ca="1">F6137</f>
        <v>130.65832000000009</v>
      </c>
      <c r="D6211" s="1293"/>
      <c r="E6211" s="1293"/>
      <c r="F6211" s="1293"/>
    </row>
    <row r="6212" spans="2:10" ht="16.5" thickBot="1">
      <c r="B6212" s="1293" t="s">
        <v>8891</v>
      </c>
      <c r="C6212" s="1327">
        <f ca="1">C6210-C6211</f>
        <v>394.66377999999986</v>
      </c>
      <c r="D6212" s="1293"/>
      <c r="E6212" s="1293"/>
      <c r="F6212" s="1293"/>
    </row>
    <row r="6213" spans="2:10" ht="16.5" thickBot="1">
      <c r="B6213" s="1647" t="s">
        <v>8930</v>
      </c>
      <c r="C6213" s="1648">
        <f ca="1">C6208/C6212</f>
        <v>4.4286172265790782</v>
      </c>
      <c r="D6213" s="1293"/>
      <c r="E6213" s="1293"/>
      <c r="F6213" s="1293"/>
    </row>
    <row r="6214" spans="2:10" ht="15.75">
      <c r="B6214" s="1293"/>
      <c r="C6214" s="1293"/>
      <c r="D6214" s="1293"/>
      <c r="E6214" s="1293"/>
      <c r="F6214" s="1293"/>
    </row>
    <row r="6215" spans="2:10" ht="16.5">
      <c r="B6215" s="1646"/>
      <c r="C6215" s="1649">
        <v>2025</v>
      </c>
      <c r="D6215" s="1649">
        <f>C6215+1</f>
        <v>2026</v>
      </c>
      <c r="E6215" s="1649">
        <f>D6215+1</f>
        <v>2027</v>
      </c>
      <c r="F6215" s="1649">
        <f>E6215+1</f>
        <v>2028</v>
      </c>
      <c r="G6215" s="1725"/>
    </row>
    <row r="6216" spans="2:10" ht="16.5">
      <c r="B6216" s="1293" t="s">
        <v>8925</v>
      </c>
      <c r="C6216" s="1650">
        <f t="shared" ref="C6216:E6216" ca="1" si="650">G6112</f>
        <v>2.5580019617137788</v>
      </c>
      <c r="D6216" s="1650">
        <f t="shared" ca="1" si="650"/>
        <v>2.6158518225634184</v>
      </c>
      <c r="E6216" s="1650">
        <f t="shared" ca="1" si="650"/>
        <v>2.6029502030748937</v>
      </c>
      <c r="F6216" s="1650">
        <f ca="1">J6112</f>
        <v>2.5885619242946061</v>
      </c>
      <c r="G6216" s="1725"/>
    </row>
    <row r="6217" spans="2:10" ht="16.5">
      <c r="B6217" s="1293"/>
      <c r="C6217" s="1293"/>
      <c r="D6217" s="1293"/>
      <c r="E6217" s="1293"/>
      <c r="F6217" s="1293"/>
      <c r="G6217" s="1725"/>
    </row>
    <row r="6218" spans="2:10" ht="16.5" hidden="1" outlineLevel="1">
      <c r="B6218" s="1293"/>
      <c r="C6218" s="1327">
        <f>C6202*$C$6082</f>
        <v>48.888888888888886</v>
      </c>
      <c r="D6218" s="1327">
        <f>C6218</f>
        <v>48.888888888888886</v>
      </c>
      <c r="E6218" s="1327">
        <f>D6218</f>
        <v>48.888888888888886</v>
      </c>
      <c r="F6218" s="1327">
        <f>E6218</f>
        <v>48.888888888888886</v>
      </c>
      <c r="G6218" s="1725"/>
    </row>
    <row r="6219" spans="2:10" ht="16.5" hidden="1" outlineLevel="1">
      <c r="B6219" s="1293"/>
      <c r="C6219" s="1327">
        <f>C6218</f>
        <v>48.888888888888886</v>
      </c>
      <c r="D6219" s="1327">
        <f>C6219+D6218</f>
        <v>97.777777777777771</v>
      </c>
      <c r="E6219" s="1327">
        <f>D6219+E6218</f>
        <v>146.66666666666666</v>
      </c>
      <c r="F6219" s="1327">
        <f>E6219+F6218</f>
        <v>195.55555555555554</v>
      </c>
      <c r="G6219" s="1725"/>
    </row>
    <row r="6220" spans="2:10" ht="16.5" hidden="1" outlineLevel="1">
      <c r="B6220" s="1293"/>
      <c r="C6220" s="1293"/>
      <c r="D6220" s="1293"/>
      <c r="E6220" s="1293"/>
      <c r="F6220" s="1293"/>
      <c r="G6220" s="1725"/>
    </row>
    <row r="6221" spans="2:10" ht="16.5" collapsed="1">
      <c r="B6221" s="1293" t="s">
        <v>8933</v>
      </c>
      <c r="C6221" s="1327">
        <f ca="1">$C$6202+G6110+C6219</f>
        <v>6330.1655322051229</v>
      </c>
      <c r="D6221" s="1327">
        <f t="shared" ref="D6221:F6221" ca="1" si="651">$C$6202+H6110+D6219</f>
        <v>6552.9665729732278</v>
      </c>
      <c r="E6221" s="1327">
        <f t="shared" ca="1" si="651"/>
        <v>6751.2517736613436</v>
      </c>
      <c r="F6221" s="1327">
        <f t="shared" ca="1" si="651"/>
        <v>6930.3700980873591</v>
      </c>
      <c r="G6221" s="1725"/>
    </row>
    <row r="6222" spans="2:10" ht="16.5">
      <c r="B6222" s="1293" t="s">
        <v>7865</v>
      </c>
      <c r="C6222" s="1327">
        <f ca="1">G6191</f>
        <v>2191.3405311672564</v>
      </c>
      <c r="D6222" s="1327">
        <f ca="1">H6191</f>
        <v>2415.990159591423</v>
      </c>
      <c r="E6222" s="1327">
        <f ca="1">I6191</f>
        <v>2567.1065627191838</v>
      </c>
      <c r="F6222" s="1327">
        <f ca="1">J6191</f>
        <v>2693.2332799080195</v>
      </c>
      <c r="G6222" s="1725"/>
    </row>
    <row r="6223" spans="2:10" ht="16.5">
      <c r="B6223" s="1293" t="s">
        <v>3055</v>
      </c>
      <c r="C6223" s="1650">
        <f ca="1">C6221/C6222</f>
        <v>2.8887183174735731</v>
      </c>
      <c r="D6223" s="1650">
        <f t="shared" ref="D6223:F6223" ca="1" si="652">D6221/D6222</f>
        <v>2.7123316487685631</v>
      </c>
      <c r="E6223" s="1650">
        <f t="shared" ca="1" si="652"/>
        <v>2.6299070991856852</v>
      </c>
      <c r="F6223" s="1650">
        <f t="shared" ca="1" si="652"/>
        <v>2.5732528072444016</v>
      </c>
      <c r="G6223" s="1725"/>
    </row>
    <row r="6224" spans="2:10" ht="16.5">
      <c r="B6224" s="1504"/>
      <c r="C6224" s="1504"/>
      <c r="D6224" s="1504"/>
      <c r="E6224" s="1504"/>
      <c r="F6224" s="1504"/>
      <c r="G6224" s="1504"/>
      <c r="H6224" s="1623"/>
      <c r="I6224" s="1623"/>
      <c r="J6224" s="1623"/>
    </row>
    <row r="6225" spans="2:10" ht="16.5">
      <c r="B6225" s="1504"/>
      <c r="C6225" s="1504"/>
      <c r="D6225" s="1504"/>
      <c r="E6225" s="1504"/>
      <c r="F6225" s="1504"/>
      <c r="G6225" s="1504"/>
      <c r="H6225" s="1623"/>
      <c r="I6225" s="1623"/>
      <c r="J6225" s="1623"/>
    </row>
    <row r="6226" spans="2:10" ht="16.5">
      <c r="B6226" s="1504" t="s">
        <v>1975</v>
      </c>
      <c r="C6226" s="1517">
        <v>0.55800000000000005</v>
      </c>
      <c r="D6226" s="1517">
        <f>C6226*(100%-$C$6229)</f>
        <v>0.53568000000000005</v>
      </c>
      <c r="E6226" s="1504"/>
      <c r="F6226" s="1504"/>
      <c r="G6226" s="1504"/>
      <c r="H6226" s="1623"/>
      <c r="I6226" s="1623"/>
      <c r="J6226" s="1623"/>
    </row>
    <row r="6227" spans="2:10" ht="16.5">
      <c r="B6227" s="1504" t="s">
        <v>8567</v>
      </c>
      <c r="C6227" s="1517">
        <v>0.246</v>
      </c>
      <c r="D6227" s="1517">
        <f>C6227*(100%-$C$6229)</f>
        <v>0.23615999999999998</v>
      </c>
      <c r="E6227" s="1517">
        <f>D6227+D6228</f>
        <v>0.42431999999999997</v>
      </c>
      <c r="F6227" s="1504"/>
      <c r="G6227" s="1504"/>
      <c r="H6227" s="1623"/>
      <c r="I6227" s="1623"/>
      <c r="J6227" s="1623"/>
    </row>
    <row r="6228" spans="2:10" ht="16.5">
      <c r="B6228" s="1504" t="s">
        <v>8920</v>
      </c>
      <c r="C6228" s="1517">
        <v>0.19600000000000001</v>
      </c>
      <c r="D6228" s="1517">
        <f>C6228*(100%-$C$6229)</f>
        <v>0.18815999999999999</v>
      </c>
      <c r="E6228" s="1504"/>
      <c r="F6228" s="1504"/>
      <c r="G6228" s="1504"/>
      <c r="H6228" s="1623"/>
      <c r="I6228" s="1623"/>
      <c r="J6228" s="1623"/>
    </row>
    <row r="6229" spans="2:10" ht="16.5">
      <c r="B6229" s="1504" t="s">
        <v>6712</v>
      </c>
      <c r="C6229" s="1522">
        <v>0.04</v>
      </c>
      <c r="D6229" s="1517">
        <f>C6229*(100%-$C$6229)</f>
        <v>3.8399999999999997E-2</v>
      </c>
      <c r="E6229" s="1504"/>
      <c r="F6229" s="1504"/>
      <c r="G6229" s="1504"/>
      <c r="H6229" s="1623"/>
      <c r="I6229" s="1623"/>
      <c r="J6229" s="1623"/>
    </row>
    <row r="6230" spans="2:10" ht="16.5">
      <c r="B6230" s="1504"/>
      <c r="C6230" s="1504"/>
      <c r="D6230" s="1504"/>
      <c r="E6230" s="1504"/>
      <c r="F6230" s="1504"/>
      <c r="G6230" s="1504"/>
      <c r="H6230" s="1623"/>
      <c r="I6230" s="1623"/>
      <c r="J6230" s="1623"/>
    </row>
    <row r="6231" spans="2:10" ht="16.5">
      <c r="B6231" s="1725"/>
      <c r="C6231" s="1725"/>
      <c r="D6231" s="1725"/>
      <c r="E6231" s="1725"/>
      <c r="F6231" s="1725"/>
      <c r="G6231" s="1725"/>
    </row>
    <row r="6232" spans="2:10" ht="16.5">
      <c r="B6232" s="1725"/>
      <c r="C6232" s="1725"/>
      <c r="D6232" s="1725"/>
      <c r="E6232" s="1725"/>
      <c r="F6232" s="1725"/>
      <c r="G6232" s="1725"/>
    </row>
    <row r="6233" spans="2:10" ht="16.5">
      <c r="B6233" s="1725"/>
      <c r="C6233" s="1725"/>
      <c r="D6233" s="1725"/>
      <c r="E6233" s="1725"/>
      <c r="F6233" s="1725"/>
      <c r="G6233" s="1725"/>
    </row>
    <row r="6234" spans="2:10" ht="16.5">
      <c r="B6234" s="1725" t="s">
        <v>1975</v>
      </c>
      <c r="C6234" s="1726">
        <v>3339.4</v>
      </c>
      <c r="D6234" s="1727">
        <f t="shared" ref="D6234:D6239" si="653">C6234/C$6240</f>
        <v>0.37432330867100877</v>
      </c>
      <c r="E6234" s="1725"/>
      <c r="F6234" s="1725"/>
      <c r="G6234" s="1725"/>
    </row>
    <row r="6235" spans="2:10" ht="16.5">
      <c r="B6235" s="1725" t="s">
        <v>5960</v>
      </c>
      <c r="C6235" s="1726">
        <f>1746.1+119</f>
        <v>1865.1</v>
      </c>
      <c r="D6235" s="1727">
        <f t="shared" si="653"/>
        <v>0.20906462328630843</v>
      </c>
      <c r="E6235" s="1725"/>
      <c r="F6235" s="1725"/>
      <c r="G6235" s="1725"/>
    </row>
    <row r="6236" spans="2:10" ht="16.5">
      <c r="B6236" s="1725" t="s">
        <v>6006</v>
      </c>
      <c r="C6236" s="1726">
        <v>1408.2</v>
      </c>
      <c r="D6236" s="1727">
        <f t="shared" si="653"/>
        <v>0.15784933918383978</v>
      </c>
      <c r="E6236" s="1725"/>
      <c r="F6236" s="1725"/>
      <c r="G6236" s="1725"/>
    </row>
    <row r="6237" spans="2:10" ht="16.5">
      <c r="B6237" s="1725" t="s">
        <v>2803</v>
      </c>
      <c r="C6237" s="1726">
        <v>671.4</v>
      </c>
      <c r="D6237" s="1727">
        <f t="shared" si="653"/>
        <v>7.5259229035669659E-2</v>
      </c>
      <c r="E6237" s="1725"/>
      <c r="F6237" s="1725"/>
      <c r="G6237" s="1725"/>
    </row>
    <row r="6238" spans="2:10" ht="16.5">
      <c r="B6238" s="1725" t="s">
        <v>1377</v>
      </c>
      <c r="C6238" s="1726">
        <v>1413.4650000000011</v>
      </c>
      <c r="D6238" s="1727">
        <f t="shared" si="653"/>
        <v>0.15843950874129117</v>
      </c>
      <c r="E6238" s="1725"/>
      <c r="F6238" s="1725"/>
      <c r="G6238" s="1725"/>
    </row>
    <row r="6239" spans="2:10" ht="16.5">
      <c r="B6239" s="1725" t="s">
        <v>8921</v>
      </c>
      <c r="C6239" s="1726">
        <v>223.3</v>
      </c>
      <c r="D6239" s="1727">
        <f t="shared" si="653"/>
        <v>2.5030363186870772E-2</v>
      </c>
      <c r="E6239" s="1725"/>
      <c r="F6239" s="1725"/>
      <c r="G6239" s="1725"/>
    </row>
    <row r="6240" spans="2:10" ht="16.5">
      <c r="B6240" s="1725" t="s">
        <v>2324</v>
      </c>
      <c r="C6240" s="1726">
        <v>8921.1650000000009</v>
      </c>
      <c r="D6240" s="1725"/>
      <c r="E6240" s="1725"/>
      <c r="F6240" s="1725"/>
      <c r="G6240" s="1725"/>
    </row>
    <row r="6241" spans="2:19" ht="16.5">
      <c r="B6241" s="1725"/>
      <c r="C6241" s="1725"/>
      <c r="D6241" s="1725"/>
      <c r="E6241" s="1725"/>
      <c r="F6241" s="1725"/>
      <c r="G6241" s="1725"/>
    </row>
    <row r="6242" spans="2:19" ht="16.5">
      <c r="B6242" s="1602" t="s">
        <v>1250</v>
      </c>
      <c r="C6242" s="1725"/>
      <c r="D6242" s="1725"/>
      <c r="E6242" s="1725"/>
      <c r="F6242" s="1725"/>
      <c r="G6242" s="1725"/>
    </row>
    <row r="6243" spans="2:19" ht="16.5">
      <c r="B6243" s="1725"/>
      <c r="C6243" s="1725"/>
      <c r="D6243" s="1725"/>
      <c r="E6243" s="1725"/>
      <c r="F6243" s="1725"/>
      <c r="G6243" s="1725"/>
    </row>
    <row r="6244" spans="2:19" ht="16.5">
      <c r="B6244" s="1725"/>
      <c r="C6244" s="1725"/>
      <c r="D6244" s="1725"/>
      <c r="E6244" s="1725"/>
      <c r="F6244" s="1729" t="s">
        <v>2801</v>
      </c>
      <c r="G6244" s="1728"/>
    </row>
    <row r="6245" spans="2:19" ht="16.5">
      <c r="B6245" s="1730" t="s">
        <v>791</v>
      </c>
      <c r="C6245" s="1731" t="s">
        <v>4564</v>
      </c>
      <c r="D6245" s="1731" t="s">
        <v>8944</v>
      </c>
      <c r="E6245" s="1731" t="s">
        <v>8945</v>
      </c>
      <c r="F6245" s="1731" t="s">
        <v>8950</v>
      </c>
      <c r="G6245" s="1731" t="s">
        <v>8943</v>
      </c>
      <c r="H6245" s="1732" t="s">
        <v>1221</v>
      </c>
      <c r="I6245" s="1731" t="s">
        <v>1930</v>
      </c>
      <c r="J6245" s="1733" t="s">
        <v>8937</v>
      </c>
      <c r="R6245" s="463" t="s">
        <v>8952</v>
      </c>
      <c r="S6245" s="1729"/>
    </row>
    <row r="6246" spans="2:19" ht="15.75">
      <c r="B6246" s="1293" t="s">
        <v>8954</v>
      </c>
      <c r="C6246" s="1698">
        <v>5200</v>
      </c>
      <c r="D6246" s="1698">
        <f t="shared" ref="D6246:D6254" si="654">G6246/F6246</f>
        <v>2140.2550091074681</v>
      </c>
      <c r="E6246" s="1699">
        <f t="shared" ref="E6246:E6254" si="655">C6246/D6246</f>
        <v>2.4296170212765955</v>
      </c>
      <c r="F6246" s="1724">
        <v>0.61</v>
      </c>
      <c r="G6246" s="1698">
        <f t="shared" ref="G6246:G6254" si="656">H6246/I6246</f>
        <v>1305.5555555555557</v>
      </c>
      <c r="H6246" s="1293">
        <v>235</v>
      </c>
      <c r="I6246" s="1724">
        <v>0.18</v>
      </c>
      <c r="J6246" s="1293" t="s">
        <v>8942</v>
      </c>
    </row>
    <row r="6247" spans="2:19" ht="15.75">
      <c r="B6247" s="1293" t="s">
        <v>2032</v>
      </c>
      <c r="C6247" s="1698">
        <v>4400</v>
      </c>
      <c r="D6247" s="1698">
        <f t="shared" si="654"/>
        <v>1555.5555555555554</v>
      </c>
      <c r="E6247" s="1699">
        <f t="shared" si="655"/>
        <v>2.8285714285714287</v>
      </c>
      <c r="F6247" s="1724">
        <v>0.45</v>
      </c>
      <c r="G6247" s="1698">
        <f t="shared" si="656"/>
        <v>700</v>
      </c>
      <c r="H6247" s="1293">
        <v>434</v>
      </c>
      <c r="I6247" s="1724">
        <v>0.62</v>
      </c>
      <c r="J6247" s="1293" t="s">
        <v>8938</v>
      </c>
    </row>
    <row r="6248" spans="2:19" ht="15.75">
      <c r="B6248" s="1293" t="s">
        <v>8948</v>
      </c>
      <c r="C6248" s="1698">
        <v>6400</v>
      </c>
      <c r="D6248" s="1698">
        <f t="shared" si="654"/>
        <v>2605.2631578947367</v>
      </c>
      <c r="E6248" s="1699">
        <f t="shared" si="655"/>
        <v>2.4565656565656568</v>
      </c>
      <c r="F6248" s="1724">
        <v>0.38</v>
      </c>
      <c r="G6248" s="1698">
        <f t="shared" si="656"/>
        <v>990</v>
      </c>
      <c r="H6248" s="1293">
        <v>297</v>
      </c>
      <c r="I6248" s="1724">
        <v>0.3</v>
      </c>
      <c r="J6248" s="1293" t="s">
        <v>8946</v>
      </c>
      <c r="R6248">
        <f>F6248*D6248</f>
        <v>989.99999999999989</v>
      </c>
    </row>
    <row r="6249" spans="2:19" ht="15.75">
      <c r="B6249" s="1293" t="s">
        <v>1665</v>
      </c>
      <c r="C6249" s="1698">
        <v>52000</v>
      </c>
      <c r="D6249" s="1698">
        <f t="shared" si="654"/>
        <v>20499.471495208993</v>
      </c>
      <c r="E6249" s="1699">
        <f t="shared" si="655"/>
        <v>2.5366507625405421</v>
      </c>
      <c r="F6249" s="1724">
        <v>0.35</v>
      </c>
      <c r="G6249" s="1698">
        <f t="shared" si="656"/>
        <v>7174.8150233231472</v>
      </c>
      <c r="H6249" s="1293">
        <v>1500</v>
      </c>
      <c r="I6249" s="1724">
        <f>D6235</f>
        <v>0.20906462328630843</v>
      </c>
      <c r="J6249" s="1293" t="s">
        <v>8939</v>
      </c>
      <c r="R6249" s="454">
        <f>F6249*D6249</f>
        <v>7174.8150233231472</v>
      </c>
    </row>
    <row r="6250" spans="2:19" ht="15.75">
      <c r="B6250" s="1293" t="s">
        <v>2377</v>
      </c>
      <c r="C6250" s="1698">
        <v>12200</v>
      </c>
      <c r="D6250" s="1698">
        <f t="shared" si="654"/>
        <v>4316.1290322580644</v>
      </c>
      <c r="E6250" s="1699">
        <f t="shared" si="655"/>
        <v>2.8266068759342304</v>
      </c>
      <c r="F6250" s="1724">
        <v>0.31</v>
      </c>
      <c r="G6250" s="1698">
        <f t="shared" si="656"/>
        <v>1338</v>
      </c>
      <c r="H6250" s="1293">
        <v>669</v>
      </c>
      <c r="I6250" s="1734">
        <v>0.5</v>
      </c>
      <c r="J6250" s="1293" t="s">
        <v>8951</v>
      </c>
      <c r="R6250">
        <f>F6250*D6250</f>
        <v>1338</v>
      </c>
    </row>
    <row r="6251" spans="2:19" ht="15.75">
      <c r="B6251" s="1293" t="s">
        <v>2378</v>
      </c>
      <c r="C6251" s="1698">
        <v>6800</v>
      </c>
      <c r="D6251" s="1698">
        <f t="shared" si="654"/>
        <v>3533.3333333333335</v>
      </c>
      <c r="E6251" s="1699">
        <f t="shared" si="655"/>
        <v>1.9245283018867925</v>
      </c>
      <c r="F6251" s="1724">
        <v>0.3</v>
      </c>
      <c r="G6251" s="1698">
        <f t="shared" si="656"/>
        <v>1060</v>
      </c>
      <c r="H6251" s="1293">
        <v>477</v>
      </c>
      <c r="I6251" s="1734">
        <v>0.45</v>
      </c>
      <c r="J6251" s="1293" t="s">
        <v>8953</v>
      </c>
    </row>
    <row r="6252" spans="2:19" ht="15.75">
      <c r="B6252" s="1293" t="s">
        <v>2379</v>
      </c>
      <c r="C6252" s="1698">
        <v>17400</v>
      </c>
      <c r="D6252" s="1698">
        <f t="shared" si="654"/>
        <v>6725.5813953488378</v>
      </c>
      <c r="E6252" s="1699">
        <f t="shared" si="655"/>
        <v>2.5871369294605806</v>
      </c>
      <c r="F6252" s="1724">
        <v>0.25</v>
      </c>
      <c r="G6252" s="1698">
        <f t="shared" si="656"/>
        <v>1681.3953488372094</v>
      </c>
      <c r="H6252" s="1293">
        <v>723</v>
      </c>
      <c r="I6252" s="1734">
        <v>0.43</v>
      </c>
      <c r="J6252" s="1293" t="s">
        <v>8958</v>
      </c>
    </row>
    <row r="6253" spans="2:19" ht="15.75">
      <c r="B6253" s="1293" t="s">
        <v>8955</v>
      </c>
      <c r="C6253" s="1698">
        <v>7000</v>
      </c>
      <c r="D6253" s="1698">
        <f t="shared" si="654"/>
        <v>1770.8333333333335</v>
      </c>
      <c r="E6253" s="1699">
        <f t="shared" si="655"/>
        <v>3.952941176470588</v>
      </c>
      <c r="F6253" s="1724">
        <v>0.24</v>
      </c>
      <c r="G6253" s="1698">
        <f t="shared" si="656"/>
        <v>425</v>
      </c>
      <c r="H6253" s="1293">
        <v>51</v>
      </c>
      <c r="I6253" s="1734">
        <v>0.12</v>
      </c>
      <c r="J6253" s="1293" t="s">
        <v>8957</v>
      </c>
    </row>
    <row r="6254" spans="2:19" ht="15.75">
      <c r="B6254" s="1293" t="s">
        <v>2380</v>
      </c>
      <c r="C6254" s="1698">
        <v>10400</v>
      </c>
      <c r="D6254" s="1698">
        <f t="shared" si="654"/>
        <v>2863.6363636363635</v>
      </c>
      <c r="E6254" s="1699">
        <f t="shared" si="655"/>
        <v>3.6317460317460317</v>
      </c>
      <c r="F6254" s="1724">
        <v>0.22</v>
      </c>
      <c r="G6254" s="1698">
        <f t="shared" si="656"/>
        <v>630</v>
      </c>
      <c r="H6254" s="1293">
        <v>189</v>
      </c>
      <c r="I6254" s="1724">
        <v>0.3</v>
      </c>
      <c r="J6254" s="1293" t="s">
        <v>8940</v>
      </c>
    </row>
    <row r="6255" spans="2:19" ht="15.75">
      <c r="B6255" s="1293"/>
      <c r="C6255" s="1293"/>
      <c r="D6255" s="1293"/>
      <c r="E6255" s="1293"/>
    </row>
    <row r="6256" spans="2:19" ht="15.75">
      <c r="B6256" s="1293" t="s">
        <v>8941</v>
      </c>
      <c r="C6256" s="1293"/>
      <c r="D6256" s="1293"/>
      <c r="E6256" s="1293"/>
    </row>
    <row r="6257" spans="1:37" ht="15.75">
      <c r="B6257" s="1293" t="s">
        <v>8949</v>
      </c>
      <c r="C6257" s="1293"/>
      <c r="D6257" s="1293"/>
      <c r="E6257" s="1293"/>
    </row>
    <row r="6258" spans="1:37" ht="15.75">
      <c r="B6258" s="1293" t="s">
        <v>8947</v>
      </c>
      <c r="C6258" s="1293"/>
      <c r="D6258" s="1293"/>
      <c r="E6258" s="1293"/>
    </row>
    <row r="6259" spans="1:37" ht="15.75">
      <c r="B6259" s="1293" t="s">
        <v>8956</v>
      </c>
      <c r="C6259" s="1293"/>
      <c r="D6259" s="1293"/>
      <c r="E6259" s="1293"/>
    </row>
    <row r="6260" spans="1:37" ht="15.75">
      <c r="B6260" s="1293"/>
      <c r="C6260" s="1293"/>
      <c r="D6260" s="1293"/>
      <c r="E6260" s="1293"/>
    </row>
    <row r="6261" spans="1:37" ht="15.75">
      <c r="B6261" s="1293"/>
      <c r="C6261" s="1293"/>
      <c r="D6261" s="1293"/>
      <c r="E6261" s="1293"/>
    </row>
    <row r="6262" spans="1:37" ht="15.75">
      <c r="B6262" s="1293"/>
      <c r="C6262" s="1293"/>
      <c r="D6262" s="1293"/>
      <c r="E6262" s="1293"/>
      <c r="I6262" s="1738" t="s">
        <v>955</v>
      </c>
      <c r="N6262" s="1738" t="s">
        <v>6074</v>
      </c>
      <c r="S6262" s="1738" t="s">
        <v>6599</v>
      </c>
      <c r="X6262" s="1738" t="s">
        <v>1250</v>
      </c>
      <c r="AC6262" s="1738" t="s">
        <v>861</v>
      </c>
      <c r="AH6262" s="1738" t="s">
        <v>9006</v>
      </c>
    </row>
    <row r="6263" spans="1:37" ht="16.5">
      <c r="B6263" s="1644"/>
      <c r="C6263" s="1735" t="s">
        <v>8993</v>
      </c>
      <c r="D6263" s="1735">
        <v>2015</v>
      </c>
      <c r="E6263" s="1735">
        <v>2024</v>
      </c>
      <c r="F6263" s="1737" t="s">
        <v>8994</v>
      </c>
      <c r="I6263" s="1736" t="str">
        <f>C6263</f>
        <v>Peak</v>
      </c>
      <c r="J6263" s="1736">
        <f t="shared" ref="J6263:L6263" si="657">D6263</f>
        <v>2015</v>
      </c>
      <c r="K6263" s="1736">
        <f t="shared" si="657"/>
        <v>2024</v>
      </c>
      <c r="L6263" s="1736" t="str">
        <f t="shared" si="657"/>
        <v>Future</v>
      </c>
      <c r="N6263" s="1736" t="str">
        <f>I6263</f>
        <v>Peak</v>
      </c>
      <c r="O6263" s="1736">
        <f t="shared" ref="O6263:Q6263" si="658">J6263</f>
        <v>2015</v>
      </c>
      <c r="P6263" s="1736">
        <f t="shared" si="658"/>
        <v>2024</v>
      </c>
      <c r="Q6263" s="1736" t="str">
        <f t="shared" si="658"/>
        <v>Future</v>
      </c>
      <c r="S6263" s="1736" t="str">
        <f>N6263</f>
        <v>Peak</v>
      </c>
      <c r="T6263" s="1736">
        <f t="shared" ref="T6263" si="659">O6263</f>
        <v>2015</v>
      </c>
      <c r="U6263" s="1736">
        <f t="shared" ref="U6263" si="660">P6263</f>
        <v>2024</v>
      </c>
      <c r="V6263" s="1736" t="str">
        <f t="shared" ref="V6263" si="661">Q6263</f>
        <v>Future</v>
      </c>
      <c r="X6263" s="1736" t="str">
        <f>S6263</f>
        <v>Peak</v>
      </c>
      <c r="Y6263" s="1736">
        <f t="shared" ref="Y6263" si="662">T6263</f>
        <v>2015</v>
      </c>
      <c r="Z6263" s="1736">
        <f t="shared" ref="Z6263" si="663">U6263</f>
        <v>2024</v>
      </c>
      <c r="AA6263" s="1736" t="str">
        <f t="shared" ref="AA6263" si="664">V6263</f>
        <v>Future</v>
      </c>
      <c r="AC6263" s="1736" t="str">
        <f>X6263</f>
        <v>Peak</v>
      </c>
      <c r="AD6263" s="1736">
        <f t="shared" ref="AD6263:AF6263" si="665">Y6263</f>
        <v>2015</v>
      </c>
      <c r="AE6263" s="1736">
        <f t="shared" si="665"/>
        <v>2024</v>
      </c>
      <c r="AF6263" s="1736" t="str">
        <f t="shared" si="665"/>
        <v>Future</v>
      </c>
      <c r="AH6263" s="1736">
        <f>AD6263</f>
        <v>2015</v>
      </c>
      <c r="AI6263" s="1736">
        <f>AE6263</f>
        <v>2024</v>
      </c>
      <c r="AJ6263" s="1736" t="str">
        <f>AF6263</f>
        <v>Future</v>
      </c>
      <c r="AK6263" s="1736">
        <f>AG6263</f>
        <v>0</v>
      </c>
    </row>
    <row r="6264" spans="1:37" ht="16.5">
      <c r="A6264">
        <v>220</v>
      </c>
      <c r="B6264" s="1293" t="s">
        <v>62</v>
      </c>
      <c r="C6264" s="1293">
        <v>8</v>
      </c>
      <c r="D6264" s="1293">
        <v>5</v>
      </c>
      <c r="E6264" s="1293">
        <v>3</v>
      </c>
      <c r="F6264" s="1725">
        <v>3</v>
      </c>
      <c r="H6264" s="1293"/>
      <c r="I6264">
        <f>$A6264*C6264</f>
        <v>1760</v>
      </c>
      <c r="J6264">
        <f>$A6264*D6264</f>
        <v>1100</v>
      </c>
      <c r="K6264">
        <f>$A6264*E6264</f>
        <v>660</v>
      </c>
      <c r="L6264">
        <f>$A6264*F6264</f>
        <v>660</v>
      </c>
      <c r="N6264">
        <f>$A6264*C6264</f>
        <v>1760</v>
      </c>
      <c r="O6264">
        <f>$A6264*D6264</f>
        <v>1100</v>
      </c>
      <c r="P6264">
        <f>$A6264*E6264</f>
        <v>660</v>
      </c>
      <c r="Q6264">
        <f>$A6264*F6264</f>
        <v>660</v>
      </c>
      <c r="S6264">
        <f>$A6264*C6264</f>
        <v>1760</v>
      </c>
      <c r="T6264">
        <f t="shared" ref="T6264:V6264" si="666">$A6264*D6264</f>
        <v>1100</v>
      </c>
      <c r="U6264">
        <f t="shared" si="666"/>
        <v>660</v>
      </c>
      <c r="V6264">
        <f t="shared" si="666"/>
        <v>660</v>
      </c>
    </row>
    <row r="6265" spans="1:37" ht="16.5">
      <c r="A6265">
        <v>130</v>
      </c>
      <c r="B6265" s="1293" t="s">
        <v>2035</v>
      </c>
      <c r="C6265" s="1293">
        <v>7</v>
      </c>
      <c r="D6265" s="1293">
        <v>3</v>
      </c>
      <c r="E6265" s="1293">
        <v>2</v>
      </c>
      <c r="F6265" s="1725">
        <v>2</v>
      </c>
      <c r="H6265" s="1293"/>
      <c r="I6265">
        <f t="shared" ref="I6265:L6270" si="667">$A6265*C6265</f>
        <v>910</v>
      </c>
      <c r="J6265">
        <f t="shared" si="667"/>
        <v>390</v>
      </c>
      <c r="K6265">
        <f t="shared" si="667"/>
        <v>260</v>
      </c>
      <c r="L6265">
        <f t="shared" si="667"/>
        <v>260</v>
      </c>
    </row>
    <row r="6266" spans="1:37" ht="16.5">
      <c r="A6266">
        <v>52</v>
      </c>
      <c r="B6266" s="1293" t="s">
        <v>1665</v>
      </c>
      <c r="C6266" s="1293">
        <v>4</v>
      </c>
      <c r="D6266" s="1293">
        <v>4</v>
      </c>
      <c r="E6266" s="1293">
        <v>4</v>
      </c>
      <c r="F6266" s="1725">
        <v>2</v>
      </c>
      <c r="H6266" s="1293"/>
      <c r="I6266">
        <f t="shared" si="667"/>
        <v>208</v>
      </c>
      <c r="J6266">
        <f t="shared" si="667"/>
        <v>208</v>
      </c>
      <c r="K6266">
        <f t="shared" si="667"/>
        <v>208</v>
      </c>
      <c r="L6266">
        <f t="shared" si="667"/>
        <v>104</v>
      </c>
      <c r="X6266">
        <f>$A6266*C6266</f>
        <v>208</v>
      </c>
      <c r="Y6266">
        <f>$A6266*D6266</f>
        <v>208</v>
      </c>
      <c r="Z6266">
        <f>$A6266*E6266</f>
        <v>208</v>
      </c>
      <c r="AA6266">
        <f>$A6266*F6266</f>
        <v>104</v>
      </c>
    </row>
    <row r="6267" spans="1:37" ht="16.5">
      <c r="A6267">
        <v>20</v>
      </c>
      <c r="B6267" s="1293" t="s">
        <v>2030</v>
      </c>
      <c r="C6267" s="1293">
        <v>4</v>
      </c>
      <c r="D6267" s="1293">
        <v>4</v>
      </c>
      <c r="E6267" s="1293">
        <v>4</v>
      </c>
      <c r="F6267" s="1725">
        <v>3</v>
      </c>
      <c r="H6267" s="1293"/>
      <c r="I6267">
        <f t="shared" si="667"/>
        <v>80</v>
      </c>
      <c r="J6267">
        <f t="shared" si="667"/>
        <v>80</v>
      </c>
      <c r="K6267">
        <f t="shared" si="667"/>
        <v>80</v>
      </c>
      <c r="L6267">
        <f t="shared" si="667"/>
        <v>60</v>
      </c>
      <c r="AC6267">
        <f t="shared" ref="AC6267:AF6268" si="668">$A6267*C6267</f>
        <v>80</v>
      </c>
      <c r="AD6267">
        <f t="shared" si="668"/>
        <v>80</v>
      </c>
      <c r="AE6267">
        <f t="shared" si="668"/>
        <v>80</v>
      </c>
      <c r="AF6267">
        <f t="shared" si="668"/>
        <v>60</v>
      </c>
    </row>
    <row r="6268" spans="1:37" ht="16.5">
      <c r="A6268">
        <v>34</v>
      </c>
      <c r="B6268" s="1293" t="s">
        <v>2036</v>
      </c>
      <c r="C6268" s="1725">
        <v>4</v>
      </c>
      <c r="D6268" s="1725">
        <v>4</v>
      </c>
      <c r="E6268" s="1293">
        <v>4</v>
      </c>
      <c r="F6268" s="1725">
        <v>3</v>
      </c>
      <c r="H6268" s="1293"/>
      <c r="I6268">
        <f t="shared" si="667"/>
        <v>136</v>
      </c>
      <c r="J6268">
        <f t="shared" si="667"/>
        <v>136</v>
      </c>
      <c r="K6268">
        <f t="shared" si="667"/>
        <v>136</v>
      </c>
      <c r="L6268">
        <f t="shared" si="667"/>
        <v>102</v>
      </c>
      <c r="AC6268">
        <f t="shared" si="668"/>
        <v>136</v>
      </c>
      <c r="AD6268">
        <f t="shared" si="668"/>
        <v>136</v>
      </c>
      <c r="AE6268">
        <f t="shared" si="668"/>
        <v>136</v>
      </c>
      <c r="AF6268">
        <f t="shared" si="668"/>
        <v>102</v>
      </c>
    </row>
    <row r="6269" spans="1:37" ht="16.5">
      <c r="A6269">
        <v>47</v>
      </c>
      <c r="B6269" s="1293" t="s">
        <v>2037</v>
      </c>
      <c r="C6269" s="1725">
        <v>4</v>
      </c>
      <c r="D6269" s="1725">
        <v>4</v>
      </c>
      <c r="E6269" s="1293">
        <v>3</v>
      </c>
      <c r="F6269" s="1725">
        <v>3</v>
      </c>
      <c r="H6269" s="1293"/>
      <c r="I6269">
        <f t="shared" si="667"/>
        <v>188</v>
      </c>
      <c r="J6269">
        <f t="shared" si="667"/>
        <v>188</v>
      </c>
      <c r="K6269">
        <f t="shared" si="667"/>
        <v>141</v>
      </c>
      <c r="L6269">
        <f t="shared" si="667"/>
        <v>141</v>
      </c>
    </row>
    <row r="6270" spans="1:37" ht="16.5">
      <c r="A6270">
        <v>5</v>
      </c>
      <c r="B6270" s="1293" t="s">
        <v>2172</v>
      </c>
      <c r="C6270" s="1725">
        <v>3</v>
      </c>
      <c r="D6270" s="1725">
        <v>3</v>
      </c>
      <c r="E6270" s="1725">
        <v>3</v>
      </c>
      <c r="F6270" s="1725">
        <v>3</v>
      </c>
      <c r="G6270" s="1725"/>
      <c r="H6270" s="1293"/>
      <c r="I6270">
        <f t="shared" si="667"/>
        <v>15</v>
      </c>
      <c r="J6270">
        <f t="shared" si="667"/>
        <v>15</v>
      </c>
      <c r="K6270">
        <f t="shared" si="667"/>
        <v>15</v>
      </c>
      <c r="L6270">
        <f t="shared" si="667"/>
        <v>15</v>
      </c>
      <c r="AH6270">
        <f t="shared" ref="AH6270:AK6271" si="669">$A6270*C6270</f>
        <v>15</v>
      </c>
      <c r="AI6270">
        <f t="shared" si="669"/>
        <v>15</v>
      </c>
      <c r="AJ6270">
        <f t="shared" si="669"/>
        <v>15</v>
      </c>
      <c r="AK6270">
        <f t="shared" si="669"/>
        <v>15</v>
      </c>
    </row>
    <row r="6271" spans="1:37" ht="16.5">
      <c r="A6271">
        <v>5</v>
      </c>
      <c r="B6271" s="1293" t="s">
        <v>2032</v>
      </c>
      <c r="C6271" s="1725">
        <v>4</v>
      </c>
      <c r="D6271" s="1725">
        <v>4</v>
      </c>
      <c r="E6271" s="1293">
        <v>2</v>
      </c>
      <c r="F6271" s="1725">
        <v>2</v>
      </c>
      <c r="H6271" s="1293"/>
      <c r="X6271">
        <f t="shared" ref="X6271:AA6277" si="670">$A6271*C6271</f>
        <v>20</v>
      </c>
      <c r="Y6271">
        <f t="shared" si="670"/>
        <v>20</v>
      </c>
      <c r="Z6271">
        <f t="shared" si="670"/>
        <v>10</v>
      </c>
      <c r="AA6271">
        <f t="shared" si="670"/>
        <v>10</v>
      </c>
      <c r="AH6271">
        <f t="shared" si="669"/>
        <v>20</v>
      </c>
      <c r="AI6271">
        <f t="shared" si="669"/>
        <v>20</v>
      </c>
      <c r="AJ6271">
        <f t="shared" si="669"/>
        <v>10</v>
      </c>
      <c r="AK6271">
        <f t="shared" si="669"/>
        <v>10</v>
      </c>
    </row>
    <row r="6272" spans="1:37" ht="16.5">
      <c r="A6272">
        <v>6</v>
      </c>
      <c r="B6272" s="1293" t="s">
        <v>2376</v>
      </c>
      <c r="C6272" s="1725">
        <v>4</v>
      </c>
      <c r="D6272" s="1725">
        <v>4</v>
      </c>
      <c r="E6272" s="1293">
        <v>4</v>
      </c>
      <c r="F6272" s="1293">
        <v>3</v>
      </c>
      <c r="H6272" s="1293"/>
      <c r="I6272">
        <f>$A6272*C6272</f>
        <v>24</v>
      </c>
      <c r="J6272">
        <f>$A6272*D6272</f>
        <v>24</v>
      </c>
      <c r="K6272">
        <f>$A6272*E6272</f>
        <v>24</v>
      </c>
      <c r="L6272">
        <f>$A6272*F6272</f>
        <v>18</v>
      </c>
      <c r="X6272">
        <f t="shared" si="670"/>
        <v>24</v>
      </c>
      <c r="Y6272">
        <f t="shared" si="670"/>
        <v>24</v>
      </c>
      <c r="Z6272">
        <f t="shared" si="670"/>
        <v>24</v>
      </c>
      <c r="AA6272">
        <f t="shared" si="670"/>
        <v>18</v>
      </c>
    </row>
    <row r="6273" spans="1:37" ht="16.5">
      <c r="A6273">
        <v>12</v>
      </c>
      <c r="B6273" s="1293" t="s">
        <v>2377</v>
      </c>
      <c r="C6273" s="1725">
        <v>3</v>
      </c>
      <c r="D6273" s="1725">
        <v>3</v>
      </c>
      <c r="E6273" s="1293">
        <v>3</v>
      </c>
      <c r="F6273" s="1293">
        <v>3</v>
      </c>
      <c r="H6273" s="1293"/>
      <c r="X6273">
        <f t="shared" si="670"/>
        <v>36</v>
      </c>
      <c r="Y6273">
        <f t="shared" si="670"/>
        <v>36</v>
      </c>
      <c r="Z6273">
        <f t="shared" si="670"/>
        <v>36</v>
      </c>
      <c r="AA6273">
        <f t="shared" si="670"/>
        <v>36</v>
      </c>
    </row>
    <row r="6274" spans="1:37" ht="16.5">
      <c r="A6274">
        <v>7</v>
      </c>
      <c r="B6274" s="1293" t="s">
        <v>2378</v>
      </c>
      <c r="C6274" s="1725">
        <v>4</v>
      </c>
      <c r="D6274" s="1725">
        <v>4</v>
      </c>
      <c r="E6274" s="1293">
        <v>3</v>
      </c>
      <c r="F6274" s="1293">
        <v>3</v>
      </c>
      <c r="H6274" s="1293"/>
      <c r="I6274">
        <f t="shared" ref="I6274:L6277" si="671">$A6274*C6274</f>
        <v>28</v>
      </c>
      <c r="J6274">
        <f t="shared" si="671"/>
        <v>28</v>
      </c>
      <c r="K6274">
        <f t="shared" si="671"/>
        <v>21</v>
      </c>
      <c r="L6274">
        <f t="shared" si="671"/>
        <v>21</v>
      </c>
      <c r="X6274">
        <f t="shared" si="670"/>
        <v>28</v>
      </c>
      <c r="Y6274">
        <f t="shared" si="670"/>
        <v>28</v>
      </c>
      <c r="Z6274">
        <f t="shared" si="670"/>
        <v>21</v>
      </c>
      <c r="AA6274">
        <f t="shared" si="670"/>
        <v>21</v>
      </c>
    </row>
    <row r="6275" spans="1:37" ht="16.5">
      <c r="A6275">
        <v>18</v>
      </c>
      <c r="B6275" s="1293" t="s">
        <v>2379</v>
      </c>
      <c r="C6275" s="1725">
        <v>3</v>
      </c>
      <c r="D6275" s="1725">
        <v>3</v>
      </c>
      <c r="E6275" s="1293">
        <v>2</v>
      </c>
      <c r="F6275" s="1293">
        <v>2</v>
      </c>
      <c r="H6275" s="1293"/>
      <c r="I6275">
        <f t="shared" si="671"/>
        <v>54</v>
      </c>
      <c r="J6275">
        <f t="shared" si="671"/>
        <v>54</v>
      </c>
      <c r="K6275">
        <f t="shared" si="671"/>
        <v>36</v>
      </c>
      <c r="L6275">
        <f t="shared" si="671"/>
        <v>36</v>
      </c>
      <c r="X6275">
        <f t="shared" si="670"/>
        <v>54</v>
      </c>
      <c r="Y6275">
        <f t="shared" si="670"/>
        <v>54</v>
      </c>
      <c r="Z6275">
        <f t="shared" si="670"/>
        <v>36</v>
      </c>
      <c r="AA6275">
        <f t="shared" si="670"/>
        <v>36</v>
      </c>
    </row>
    <row r="6276" spans="1:37" ht="16.5">
      <c r="A6276">
        <v>7</v>
      </c>
      <c r="B6276" s="1293" t="s">
        <v>2033</v>
      </c>
      <c r="C6276" s="1725">
        <v>2</v>
      </c>
      <c r="D6276" s="1725">
        <v>2</v>
      </c>
      <c r="E6276" s="1293">
        <v>2</v>
      </c>
      <c r="F6276" s="1293">
        <v>2</v>
      </c>
      <c r="H6276" s="1293"/>
      <c r="I6276">
        <f t="shared" si="671"/>
        <v>14</v>
      </c>
      <c r="J6276">
        <f t="shared" si="671"/>
        <v>14</v>
      </c>
      <c r="K6276">
        <f t="shared" si="671"/>
        <v>14</v>
      </c>
      <c r="L6276">
        <f t="shared" si="671"/>
        <v>14</v>
      </c>
      <c r="X6276">
        <f t="shared" si="670"/>
        <v>14</v>
      </c>
      <c r="Y6276">
        <f t="shared" si="670"/>
        <v>14</v>
      </c>
      <c r="Z6276">
        <f t="shared" si="670"/>
        <v>14</v>
      </c>
      <c r="AA6276">
        <f t="shared" si="670"/>
        <v>14</v>
      </c>
    </row>
    <row r="6277" spans="1:37" ht="16.5">
      <c r="A6277">
        <v>11</v>
      </c>
      <c r="B6277" s="1293" t="s">
        <v>2380</v>
      </c>
      <c r="C6277" s="1725">
        <v>2</v>
      </c>
      <c r="D6277" s="1725">
        <v>2</v>
      </c>
      <c r="E6277" s="1293">
        <v>2</v>
      </c>
      <c r="F6277" s="1293">
        <v>2</v>
      </c>
      <c r="G6277" s="1293"/>
      <c r="H6277" s="1293"/>
      <c r="I6277">
        <f t="shared" si="671"/>
        <v>22</v>
      </c>
      <c r="J6277">
        <f t="shared" si="671"/>
        <v>22</v>
      </c>
      <c r="K6277">
        <f t="shared" si="671"/>
        <v>22</v>
      </c>
      <c r="L6277">
        <f t="shared" si="671"/>
        <v>22</v>
      </c>
      <c r="X6277">
        <f t="shared" si="670"/>
        <v>22</v>
      </c>
      <c r="Y6277">
        <f t="shared" si="670"/>
        <v>22</v>
      </c>
      <c r="Z6277">
        <f t="shared" si="670"/>
        <v>22</v>
      </c>
      <c r="AA6277">
        <f t="shared" si="670"/>
        <v>22</v>
      </c>
    </row>
    <row r="6278" spans="1:37" ht="16.5">
      <c r="A6278">
        <f>44-12-11-11</f>
        <v>10</v>
      </c>
      <c r="B6278" s="1293" t="s">
        <v>9004</v>
      </c>
      <c r="C6278" s="1725">
        <v>3</v>
      </c>
      <c r="D6278" s="1725">
        <v>2</v>
      </c>
      <c r="E6278" s="1293">
        <v>2</v>
      </c>
      <c r="F6278" s="1293">
        <v>2</v>
      </c>
      <c r="G6278" s="1293"/>
      <c r="H6278" s="1293"/>
      <c r="AH6278">
        <f t="shared" ref="AH6278:AK6279" si="672">$A6278*C6278</f>
        <v>30</v>
      </c>
      <c r="AI6278">
        <f t="shared" si="672"/>
        <v>20</v>
      </c>
      <c r="AJ6278">
        <f t="shared" si="672"/>
        <v>20</v>
      </c>
      <c r="AK6278">
        <f t="shared" si="672"/>
        <v>20</v>
      </c>
    </row>
    <row r="6279" spans="1:37" ht="16.5">
      <c r="A6279">
        <v>3</v>
      </c>
      <c r="B6279" s="1293" t="s">
        <v>9005</v>
      </c>
      <c r="C6279" s="1725">
        <v>4</v>
      </c>
      <c r="D6279" s="1725">
        <v>4</v>
      </c>
      <c r="E6279" s="1725">
        <v>3</v>
      </c>
      <c r="F6279" s="1725">
        <v>3</v>
      </c>
      <c r="G6279" s="1293"/>
      <c r="H6279" s="1293"/>
      <c r="AH6279">
        <f t="shared" si="672"/>
        <v>12</v>
      </c>
      <c r="AI6279">
        <f t="shared" si="672"/>
        <v>12</v>
      </c>
      <c r="AJ6279">
        <f t="shared" si="672"/>
        <v>9</v>
      </c>
      <c r="AK6279">
        <f t="shared" si="672"/>
        <v>9</v>
      </c>
    </row>
    <row r="6280" spans="1:37" ht="16.5">
      <c r="B6280" s="1293"/>
      <c r="C6280" s="1725"/>
      <c r="D6280" s="1725"/>
      <c r="E6280" s="1293"/>
      <c r="F6280" s="1293"/>
      <c r="G6280" s="1293"/>
      <c r="H6280" s="1293"/>
    </row>
    <row r="6281" spans="1:37" ht="16.5">
      <c r="A6281">
        <f>SUM(A6264:A6270)+A6272+SUM(A6274:A6277)</f>
        <v>557</v>
      </c>
      <c r="B6281" s="1738" t="s">
        <v>955</v>
      </c>
      <c r="C6281" s="1725"/>
      <c r="D6281" s="1725"/>
      <c r="E6281" s="1293"/>
      <c r="F6281" s="1293"/>
      <c r="G6281" s="1293"/>
      <c r="H6281" s="1293"/>
      <c r="I6281" s="468">
        <f>SUM(I6264:I6279)/$A6281</f>
        <v>6.1741472172351886</v>
      </c>
      <c r="J6281" s="468">
        <f>SUM(J6264:J6279)/$A6281</f>
        <v>4.0556552962298023</v>
      </c>
      <c r="K6281" s="468">
        <f>SUM(K6264:K6279)/$A6281</f>
        <v>2.9030520646319569</v>
      </c>
      <c r="L6281" s="468">
        <f>SUM(L6264:L6279)/$A6281</f>
        <v>2.608617594254937</v>
      </c>
    </row>
    <row r="6282" spans="1:37" ht="16.5">
      <c r="A6282">
        <f>A6264</f>
        <v>220</v>
      </c>
      <c r="B6282" s="1738" t="s">
        <v>6074</v>
      </c>
      <c r="C6282" s="1725"/>
      <c r="D6282" s="1725"/>
      <c r="E6282" s="1293"/>
      <c r="F6282" s="1293"/>
      <c r="G6282" s="1293"/>
      <c r="H6282" s="1293"/>
      <c r="N6282" s="468">
        <f>SUM(N$6264:N$6279)/$A6282</f>
        <v>8</v>
      </c>
      <c r="O6282" s="468">
        <f t="shared" ref="O6282:Q6282" si="673">SUM(O$6264:O$6279)/$A6282</f>
        <v>5</v>
      </c>
      <c r="P6282" s="468">
        <f t="shared" si="673"/>
        <v>3</v>
      </c>
      <c r="Q6282" s="468">
        <f t="shared" si="673"/>
        <v>3</v>
      </c>
    </row>
    <row r="6283" spans="1:37" ht="16.5">
      <c r="A6283">
        <f>A6264</f>
        <v>220</v>
      </c>
      <c r="B6283" s="1738" t="s">
        <v>6599</v>
      </c>
      <c r="C6283" s="1725"/>
      <c r="D6283" s="1725"/>
      <c r="E6283" s="1293"/>
      <c r="F6283" s="1293"/>
      <c r="G6283" s="1293"/>
      <c r="H6283" s="1293"/>
      <c r="S6283" s="468">
        <f>SUM(S$6264:S$6279)/$A6283</f>
        <v>8</v>
      </c>
      <c r="T6283" s="468">
        <f>SUM(T$6264:T$6279)/$A6283</f>
        <v>5</v>
      </c>
      <c r="U6283" s="468">
        <f>SUM(U$6264:U$6279)/$A6283</f>
        <v>3</v>
      </c>
      <c r="V6283" s="468">
        <f>SUM(V$6264:V$6279)/$A6283</f>
        <v>3</v>
      </c>
      <c r="X6283" s="468"/>
      <c r="Y6283" s="468"/>
      <c r="Z6283" s="468"/>
      <c r="AA6283" s="468"/>
      <c r="AC6283" s="468"/>
      <c r="AD6283" s="468"/>
      <c r="AE6283" s="468"/>
      <c r="AF6283" s="468"/>
      <c r="AH6283" s="468"/>
      <c r="AI6283" s="468"/>
      <c r="AJ6283" s="468"/>
      <c r="AK6283" s="468"/>
    </row>
    <row r="6284" spans="1:37" ht="16.5">
      <c r="A6284">
        <f>A6266+SUM(A6271:A6277)</f>
        <v>118</v>
      </c>
      <c r="B6284" s="1738" t="s">
        <v>1250</v>
      </c>
      <c r="C6284" s="1725"/>
      <c r="D6284" s="1725"/>
      <c r="E6284" s="1293"/>
      <c r="F6284" s="1293"/>
      <c r="G6284" s="1293"/>
      <c r="H6284" s="1293"/>
      <c r="X6284" s="468">
        <f>SUM(X$6264:X$6279)/$A6284</f>
        <v>3.4406779661016951</v>
      </c>
      <c r="Y6284" s="468">
        <f>SUM(Y$6264:Y$6279)/$A6284</f>
        <v>3.4406779661016951</v>
      </c>
      <c r="Z6284" s="468">
        <f>SUM(Z$6264:Z$6279)/$A6284</f>
        <v>3.1440677966101696</v>
      </c>
      <c r="AA6284" s="468">
        <f>SUM(AA$6264:AA$6279)/$A6284</f>
        <v>2.2118644067796609</v>
      </c>
      <c r="AC6284" s="468"/>
      <c r="AD6284" s="468"/>
      <c r="AE6284" s="468"/>
      <c r="AF6284" s="468"/>
    </row>
    <row r="6285" spans="1:37" ht="15.75">
      <c r="A6285">
        <f>A6267+A6268</f>
        <v>54</v>
      </c>
      <c r="B6285" s="1738" t="s">
        <v>861</v>
      </c>
      <c r="AC6285" s="468">
        <f>SUM(AC$6264:AC$6279)/$A6285</f>
        <v>4</v>
      </c>
      <c r="AD6285" s="468">
        <f>SUM(AD$6264:AD$6279)/$A6285</f>
        <v>4</v>
      </c>
      <c r="AE6285" s="468">
        <f>SUM(AE$6264:AE$6279)/$A6285</f>
        <v>4</v>
      </c>
      <c r="AF6285" s="468">
        <f>SUM(AF$6264:AF$6279)/$A6285</f>
        <v>3</v>
      </c>
    </row>
    <row r="6286" spans="1:37" ht="15.75">
      <c r="A6286">
        <f>A6270+A6271+A6278+A6279</f>
        <v>23</v>
      </c>
      <c r="B6286" s="1738" t="s">
        <v>9006</v>
      </c>
      <c r="AH6286" s="468">
        <f>SUM(AH$6264:AH$6279)/$A6286</f>
        <v>3.347826086956522</v>
      </c>
      <c r="AI6286" s="468">
        <f>SUM(AI$6264:AI$6279)/$A6286</f>
        <v>2.9130434782608696</v>
      </c>
      <c r="AJ6286" s="468">
        <f>SUM(AJ$6264:AJ$6279)/$A6286</f>
        <v>2.347826086956522</v>
      </c>
      <c r="AK6286" s="468">
        <f>SUM(AK$6264:AK$6279)/$A6286</f>
        <v>2.347826086956522</v>
      </c>
    </row>
    <row r="6287" spans="1:37" ht="15.75">
      <c r="B6287" s="1738"/>
    </row>
    <row r="6288" spans="1:37" ht="15.75">
      <c r="B6288" s="1293" t="s">
        <v>8995</v>
      </c>
    </row>
    <row r="6289" spans="2:2" ht="15.75">
      <c r="B6289" s="1293" t="s">
        <v>8996</v>
      </c>
    </row>
    <row r="6290" spans="2:2" ht="15.75">
      <c r="B6290" s="1293" t="s">
        <v>8997</v>
      </c>
    </row>
    <row r="6291" spans="2:2" ht="15.75">
      <c r="B6291" s="1293" t="s">
        <v>8998</v>
      </c>
    </row>
    <row r="6292" spans="2:2" ht="15.75">
      <c r="B6292" s="1738" t="s">
        <v>8999</v>
      </c>
    </row>
    <row r="6293" spans="2:2" ht="15.75">
      <c r="B6293" s="1738" t="s">
        <v>9002</v>
      </c>
    </row>
    <row r="6294" spans="2:2" ht="15.75">
      <c r="B6294" s="1738" t="s">
        <v>9000</v>
      </c>
    </row>
    <row r="6295" spans="2:2" ht="15.75">
      <c r="B6295" s="1738" t="s">
        <v>9003</v>
      </c>
    </row>
    <row r="6296" spans="2:2" ht="15.75">
      <c r="B6296" s="1738" t="s">
        <v>9007</v>
      </c>
    </row>
    <row r="6297" spans="2:2" ht="15.75">
      <c r="B6297" s="1738" t="s">
        <v>9001</v>
      </c>
    </row>
    <row r="6299" spans="2:2" ht="15.75">
      <c r="B6299" s="1738" t="s">
        <v>955</v>
      </c>
    </row>
    <row r="6300" spans="2:2" ht="15.75">
      <c r="B6300" s="1738" t="s">
        <v>6074</v>
      </c>
    </row>
    <row r="6301" spans="2:2" ht="15.75">
      <c r="B6301" s="1738" t="s">
        <v>6599</v>
      </c>
    </row>
    <row r="6302" spans="2:2" ht="15.75">
      <c r="B6302" s="1738" t="s">
        <v>1250</v>
      </c>
    </row>
    <row r="6303" spans="2:2" ht="15.75">
      <c r="B6303" s="1738" t="s">
        <v>861</v>
      </c>
    </row>
    <row r="6304" spans="2:2" ht="15.75">
      <c r="B6304" s="1738" t="str">
        <f>B6286</f>
        <v>Liberty Latin America</v>
      </c>
    </row>
    <row r="6306" spans="2:6">
      <c r="B6306" s="1739"/>
      <c r="C6306" s="1736" t="str">
        <f>C6263</f>
        <v>Peak</v>
      </c>
      <c r="D6306" s="1736">
        <f t="shared" ref="D6306:F6306" si="674">D6263</f>
        <v>2015</v>
      </c>
      <c r="E6306" s="1736">
        <f t="shared" si="674"/>
        <v>2024</v>
      </c>
      <c r="F6306" s="1736" t="str">
        <f t="shared" si="674"/>
        <v>Future</v>
      </c>
    </row>
    <row r="6307" spans="2:6" ht="15.75">
      <c r="B6307" s="1738" t="str">
        <f>B6281</f>
        <v>AMX</v>
      </c>
      <c r="C6307" s="468">
        <f>I6281</f>
        <v>6.1741472172351886</v>
      </c>
      <c r="D6307" s="468">
        <f t="shared" ref="D6307:F6307" si="675">J6281</f>
        <v>4.0556552962298023</v>
      </c>
      <c r="E6307" s="468">
        <f t="shared" si="675"/>
        <v>2.9030520646319569</v>
      </c>
      <c r="F6307" s="468">
        <f t="shared" si="675"/>
        <v>2.608617594254937</v>
      </c>
    </row>
    <row r="6308" spans="2:6" ht="15.75">
      <c r="B6308" s="1738" t="str">
        <f t="shared" ref="B6308:B6312" si="676">B6282</f>
        <v>TIM</v>
      </c>
      <c r="C6308" s="468">
        <f>N6282</f>
        <v>8</v>
      </c>
      <c r="D6308" s="468">
        <f t="shared" ref="D6308:F6308" si="677">O6282</f>
        <v>5</v>
      </c>
      <c r="E6308" s="468">
        <f t="shared" si="677"/>
        <v>3</v>
      </c>
      <c r="F6308" s="468">
        <f t="shared" si="677"/>
        <v>3</v>
      </c>
    </row>
    <row r="6309" spans="2:6" ht="15.75">
      <c r="B6309" s="1738" t="str">
        <f t="shared" si="676"/>
        <v>Vivo</v>
      </c>
      <c r="C6309" s="468">
        <f>S6283</f>
        <v>8</v>
      </c>
      <c r="D6309" s="468">
        <f t="shared" ref="D6309:F6309" si="678">T6283</f>
        <v>5</v>
      </c>
      <c r="E6309" s="468">
        <f t="shared" si="678"/>
        <v>3</v>
      </c>
      <c r="F6309" s="468">
        <f t="shared" si="678"/>
        <v>3</v>
      </c>
    </row>
    <row r="6310" spans="2:6" ht="15.75">
      <c r="B6310" s="1738" t="str">
        <f t="shared" si="676"/>
        <v>Millicom</v>
      </c>
      <c r="C6310" s="468">
        <f>X6284</f>
        <v>3.4406779661016951</v>
      </c>
      <c r="D6310" s="468">
        <f t="shared" ref="D6310:F6310" si="679">Y6284</f>
        <v>3.4406779661016951</v>
      </c>
      <c r="E6310" s="468">
        <f t="shared" si="679"/>
        <v>3.1440677966101696</v>
      </c>
      <c r="F6310" s="468">
        <f t="shared" si="679"/>
        <v>2.2118644067796609</v>
      </c>
    </row>
    <row r="6311" spans="2:6" ht="15.75">
      <c r="B6311" s="1738" t="str">
        <f t="shared" si="676"/>
        <v>Entel</v>
      </c>
      <c r="C6311" s="468">
        <f>AC6285</f>
        <v>4</v>
      </c>
      <c r="D6311" s="468">
        <f t="shared" ref="D6311:F6311" si="680">AD6285</f>
        <v>4</v>
      </c>
      <c r="E6311" s="468">
        <f t="shared" si="680"/>
        <v>4</v>
      </c>
      <c r="F6311" s="468">
        <f t="shared" si="680"/>
        <v>3</v>
      </c>
    </row>
    <row r="6312" spans="2:6" ht="15.75">
      <c r="B6312" s="1738" t="str">
        <f t="shared" si="676"/>
        <v>Liberty Latin America</v>
      </c>
      <c r="C6312" s="468">
        <f>AH6286</f>
        <v>3.347826086956522</v>
      </c>
      <c r="D6312" s="468">
        <f t="shared" ref="D6312:F6312" si="681">AI6286</f>
        <v>2.9130434782608696</v>
      </c>
      <c r="E6312" s="468">
        <f t="shared" si="681"/>
        <v>2.347826086956522</v>
      </c>
      <c r="F6312" s="468">
        <f t="shared" si="681"/>
        <v>2.347826086956522</v>
      </c>
    </row>
    <row r="6313" spans="2:6">
      <c r="C6313" s="468"/>
    </row>
    <row r="6340" spans="1:14" ht="15.75">
      <c r="A6340" s="1293"/>
      <c r="B6340" s="1293"/>
      <c r="C6340" s="1293"/>
      <c r="D6340" s="1293"/>
      <c r="E6340" s="1293"/>
      <c r="F6340" s="1293"/>
      <c r="G6340" s="1293"/>
      <c r="H6340" s="1293"/>
      <c r="I6340" s="1293"/>
      <c r="J6340" s="1293"/>
      <c r="K6340" s="1293"/>
      <c r="L6340" s="1293"/>
      <c r="M6340" s="1293"/>
      <c r="N6340" s="1293"/>
    </row>
    <row r="6341" spans="1:14" ht="15.75">
      <c r="A6341" s="1293"/>
      <c r="B6341" s="1293"/>
      <c r="C6341" s="1293"/>
      <c r="D6341" s="1293"/>
      <c r="E6341" s="1293"/>
      <c r="F6341" s="1293"/>
      <c r="G6341" s="1293"/>
      <c r="H6341" s="1293"/>
      <c r="I6341" s="1293"/>
      <c r="J6341" s="1293"/>
      <c r="K6341" s="1293"/>
      <c r="L6341" s="1293"/>
      <c r="M6341" s="1293"/>
      <c r="N6341" s="1293"/>
    </row>
    <row r="6342" spans="1:14" ht="15.75">
      <c r="A6342" s="1293"/>
      <c r="B6342" s="1293"/>
      <c r="C6342" s="1293"/>
      <c r="D6342" s="1293"/>
      <c r="E6342" s="1293"/>
      <c r="F6342" s="1293"/>
      <c r="G6342" s="1293"/>
      <c r="H6342" s="1293"/>
      <c r="I6342" s="1293"/>
      <c r="J6342" s="1293"/>
      <c r="K6342" s="1293"/>
      <c r="L6342" s="1293"/>
      <c r="M6342" s="1293"/>
      <c r="N6342" s="1293"/>
    </row>
    <row r="6343" spans="1:14" ht="15.75">
      <c r="A6343" s="1293"/>
      <c r="B6343" s="1293"/>
      <c r="C6343" s="1293"/>
      <c r="D6343" s="1293"/>
      <c r="E6343" s="1293"/>
      <c r="F6343" s="1293"/>
      <c r="G6343" s="1293"/>
      <c r="H6343" s="1293"/>
      <c r="I6343" s="1293"/>
      <c r="J6343" s="1293"/>
      <c r="K6343" s="1293"/>
      <c r="L6343" s="1293"/>
      <c r="M6343" s="1293"/>
      <c r="N6343" s="1293"/>
    </row>
    <row r="6344" spans="1:14" ht="15.75">
      <c r="A6344" s="1293"/>
      <c r="B6344" s="1334" t="s">
        <v>886</v>
      </c>
      <c r="C6344" s="1334">
        <f>Master!AA2</f>
        <v>2024</v>
      </c>
      <c r="D6344" s="1334">
        <f>Master!AB2</f>
        <v>2025</v>
      </c>
      <c r="E6344" s="1334">
        <f>Master!AC2</f>
        <v>2026</v>
      </c>
      <c r="F6344" s="1334">
        <f>Master!AD2</f>
        <v>2027</v>
      </c>
      <c r="G6344" s="1334">
        <f>Master!AE2</f>
        <v>2028</v>
      </c>
      <c r="H6344" s="1334">
        <f>Master!AF2</f>
        <v>2029</v>
      </c>
      <c r="I6344" s="1334">
        <f>Master!AG2</f>
        <v>2030</v>
      </c>
      <c r="J6344" s="1293"/>
      <c r="K6344" s="1293"/>
      <c r="L6344" s="1293"/>
      <c r="M6344" s="1293"/>
      <c r="N6344" s="1293"/>
    </row>
    <row r="6345" spans="1:14" ht="15.75">
      <c r="A6345" s="1293"/>
      <c r="B6345" s="1293" t="str">
        <f>Master!A5</f>
        <v>Revenues</v>
      </c>
      <c r="C6345" s="1327">
        <f>Master!AA5</f>
        <v>5804.2592000000004</v>
      </c>
      <c r="D6345" s="1327">
        <f>Master!AB5</f>
        <v>5523.9546913835384</v>
      </c>
      <c r="E6345" s="1327">
        <f>Master!AC5</f>
        <v>5603.0529567956419</v>
      </c>
      <c r="F6345" s="1327">
        <f>Master!AD5</f>
        <v>5697.2603768103054</v>
      </c>
      <c r="G6345" s="1327">
        <f>Master!AE5</f>
        <v>5798.6244029074151</v>
      </c>
      <c r="H6345" s="1327">
        <f>Master!AF5</f>
        <v>5882.0473511545479</v>
      </c>
      <c r="I6345" s="1327">
        <f>Master!AG5</f>
        <v>5952.0055851318775</v>
      </c>
      <c r="J6345" s="1293"/>
      <c r="K6345" s="1293"/>
      <c r="L6345" s="1293"/>
      <c r="M6345" s="1293"/>
      <c r="N6345" s="1293"/>
    </row>
    <row r="6346" spans="1:14" ht="15.75">
      <c r="A6346" s="1293"/>
      <c r="B6346" s="1293" t="str">
        <f>Master!A12</f>
        <v>Adj EBITDA</v>
      </c>
      <c r="C6346" s="1327">
        <f ca="1">Master!AA12</f>
        <v>2624.6458000000002</v>
      </c>
      <c r="D6346" s="1327">
        <f>Master!AB12</f>
        <v>2381.685419914671</v>
      </c>
      <c r="E6346" s="1327">
        <f>Master!AC12</f>
        <v>2396.1990022089599</v>
      </c>
      <c r="F6346" s="1327">
        <f>Master!AD12</f>
        <v>2461.0081072440548</v>
      </c>
      <c r="G6346" s="1327">
        <f>Master!AE12</f>
        <v>2531.4814825398967</v>
      </c>
      <c r="H6346" s="1327">
        <f>Master!AF12</f>
        <v>2605.2274230211528</v>
      </c>
      <c r="I6346" s="1327">
        <f>Master!AG12</f>
        <v>2675.7831928277733</v>
      </c>
      <c r="J6346" s="1293"/>
      <c r="K6346" s="1293"/>
      <c r="L6346" s="1293"/>
      <c r="M6346" s="1293"/>
      <c r="N6346" s="1293"/>
    </row>
    <row r="6347" spans="1:14" ht="15.75">
      <c r="A6347" s="1293"/>
      <c r="B6347" s="1293" t="str">
        <f>Master!A30</f>
        <v>EBIT</v>
      </c>
      <c r="C6347" s="1327">
        <f ca="1">Master!AA30</f>
        <v>1342.0324000000003</v>
      </c>
      <c r="D6347" s="1327">
        <f>Master!AB30</f>
        <v>1189.4702666310006</v>
      </c>
      <c r="E6347" s="1327">
        <f>Master!AC30</f>
        <v>1556.5162280152656</v>
      </c>
      <c r="F6347" s="1327">
        <f>Master!AD30</f>
        <v>1563.0567918862246</v>
      </c>
      <c r="G6347" s="1327">
        <f>Master!AE30</f>
        <v>1603.9099944717248</v>
      </c>
      <c r="H6347" s="1327">
        <f>Master!AF30</f>
        <v>1664.8176501729447</v>
      </c>
      <c r="I6347" s="1327">
        <f>Master!AG30</f>
        <v>1736.5512066746885</v>
      </c>
      <c r="J6347" s="1293"/>
      <c r="K6347" s="1293"/>
      <c r="L6347" s="1293"/>
      <c r="M6347" s="1293"/>
      <c r="N6347" s="1293"/>
    </row>
    <row r="6348" spans="1:14" ht="15.75">
      <c r="A6348" s="1293"/>
      <c r="B6348" s="1293" t="str">
        <f>Master!A47</f>
        <v>Net income (owners)</v>
      </c>
      <c r="C6348" s="1327">
        <f ca="1">Master!AA47</f>
        <v>254.02020000000039</v>
      </c>
      <c r="D6348" s="1327">
        <f ca="1">Master!AB47</f>
        <v>298.23037764165321</v>
      </c>
      <c r="E6348" s="1327">
        <f ca="1">Master!AC47</f>
        <v>584.8039710693763</v>
      </c>
      <c r="F6348" s="1327">
        <f ca="1">Master!AD47</f>
        <v>571.80876661784896</v>
      </c>
      <c r="G6348" s="1327">
        <f ca="1">Master!AE47</f>
        <v>592.64900420945003</v>
      </c>
      <c r="H6348" s="1327">
        <f ca="1">Master!AF47</f>
        <v>630.99040140984926</v>
      </c>
      <c r="I6348" s="1327">
        <f ca="1">Master!AG47</f>
        <v>679.29634595121252</v>
      </c>
      <c r="J6348" s="1293"/>
      <c r="K6348" s="1293"/>
      <c r="L6348" s="1293"/>
      <c r="M6348" s="1293"/>
      <c r="N6348" s="1293"/>
    </row>
    <row r="6349" spans="1:14" ht="15.75">
      <c r="A6349" s="1293"/>
      <c r="B6349" s="1293" t="s">
        <v>1545</v>
      </c>
      <c r="C6349" s="1698">
        <f>'New split'!N398</f>
        <v>677</v>
      </c>
      <c r="D6349" s="1698">
        <f>'New split'!O398</f>
        <v>680.1684569653894</v>
      </c>
      <c r="E6349" s="1698">
        <f>'New split'!P398</f>
        <v>658.17007617557863</v>
      </c>
      <c r="F6349" s="1698">
        <f>'New split'!Q398</f>
        <v>654.72975816629184</v>
      </c>
      <c r="G6349" s="1698">
        <f>'New split'!R398</f>
        <v>662.60612420755035</v>
      </c>
      <c r="H6349" s="1698">
        <f>'New split'!S398</f>
        <v>664.67014578764781</v>
      </c>
      <c r="I6349" s="1698">
        <f>'New split'!T398</f>
        <v>662.33058356837569</v>
      </c>
      <c r="J6349" s="1293"/>
      <c r="K6349" s="1293"/>
      <c r="L6349" s="1293"/>
      <c r="M6349" s="1293"/>
      <c r="N6349" s="1293"/>
    </row>
    <row r="6350" spans="1:14" ht="15.75">
      <c r="A6350" s="1293"/>
      <c r="B6350" s="1293" t="s">
        <v>1552</v>
      </c>
      <c r="C6350" s="1698">
        <f>'New split'!N468</f>
        <v>1947.6458000000002</v>
      </c>
      <c r="D6350" s="1698">
        <f>'New split'!O468</f>
        <v>1701.5169629492816</v>
      </c>
      <c r="E6350" s="1698">
        <f>'New split'!P468</f>
        <v>1738.0289260333811</v>
      </c>
      <c r="F6350" s="1698">
        <f>'New split'!Q468</f>
        <v>1806.2783490777629</v>
      </c>
      <c r="G6350" s="1698">
        <f>'New split'!R468</f>
        <v>1868.8753583323464</v>
      </c>
      <c r="H6350" s="1698">
        <f>'New split'!S468</f>
        <v>1940.5572772335049</v>
      </c>
      <c r="I6350" s="1698">
        <f>'New split'!T468</f>
        <v>2013.4526092593976</v>
      </c>
      <c r="J6350" s="1293"/>
      <c r="K6350" s="1293"/>
      <c r="L6350" s="1293"/>
      <c r="M6350" s="1293"/>
      <c r="N6350" s="1293"/>
    </row>
    <row r="6351" spans="1:14" ht="15.75">
      <c r="A6351" s="1293"/>
      <c r="B6351" s="1293" t="str">
        <f>Valuation!A32</f>
        <v>EFCF TIGO definition</v>
      </c>
      <c r="C6351" s="1327">
        <f ca="1">Valuation!N32</f>
        <v>778.64580000000024</v>
      </c>
      <c r="D6351" s="1327">
        <f ca="1">Valuation!O32</f>
        <v>759.62092045878626</v>
      </c>
      <c r="E6351" s="1327">
        <f ca="1">Valuation!P32</f>
        <v>791.0777005844003</v>
      </c>
      <c r="F6351" s="1327">
        <f ca="1">Valuation!Q32</f>
        <v>842.25723102170844</v>
      </c>
      <c r="G6351" s="1327">
        <f ca="1">Valuation!R32</f>
        <v>881.36205879018371</v>
      </c>
      <c r="H6351" s="1327"/>
      <c r="I6351" s="1327"/>
      <c r="J6351" s="1293"/>
      <c r="K6351" s="1293"/>
      <c r="L6351" s="1293"/>
      <c r="M6351" s="1293"/>
      <c r="N6351" s="1293"/>
    </row>
    <row r="6352" spans="1:14" ht="15.75">
      <c r="A6352" s="1293"/>
      <c r="B6352" s="1293"/>
      <c r="C6352" s="1293"/>
      <c r="D6352" s="1293"/>
      <c r="E6352" s="1293"/>
      <c r="F6352" s="1293"/>
      <c r="G6352" s="1293"/>
      <c r="H6352" s="1293"/>
      <c r="I6352" s="1293"/>
      <c r="J6352" s="1293"/>
      <c r="K6352" s="1293"/>
      <c r="L6352" s="1293"/>
      <c r="M6352" s="1293"/>
      <c r="N6352" s="1293"/>
    </row>
    <row r="6353" spans="1:14" ht="15.75">
      <c r="A6353" s="1293"/>
      <c r="B6353" s="1293"/>
      <c r="C6353" s="1293"/>
      <c r="D6353" s="1293"/>
      <c r="E6353" s="1293"/>
      <c r="F6353" s="1293"/>
      <c r="G6353" s="1293"/>
      <c r="H6353" s="1293"/>
      <c r="I6353" s="1293"/>
      <c r="J6353" s="1293"/>
      <c r="K6353" s="1293"/>
      <c r="L6353" s="1293"/>
      <c r="M6353" s="1293"/>
      <c r="N6353" s="1293"/>
    </row>
    <row r="6354" spans="1:14" ht="15.75">
      <c r="A6354" s="1293"/>
      <c r="B6354" s="2331" t="s">
        <v>885</v>
      </c>
      <c r="C6354" s="2331">
        <f>C6344</f>
        <v>2024</v>
      </c>
      <c r="D6354" s="2331">
        <f t="shared" ref="D6354:I6354" si="682">D6344</f>
        <v>2025</v>
      </c>
      <c r="E6354" s="2331">
        <f t="shared" si="682"/>
        <v>2026</v>
      </c>
      <c r="F6354" s="2331">
        <f t="shared" si="682"/>
        <v>2027</v>
      </c>
      <c r="G6354" s="2331">
        <f t="shared" si="682"/>
        <v>2028</v>
      </c>
      <c r="H6354" s="2331">
        <f t="shared" si="682"/>
        <v>2029</v>
      </c>
      <c r="I6354" s="2331">
        <f t="shared" si="682"/>
        <v>2030</v>
      </c>
      <c r="J6354" s="1293"/>
      <c r="K6354" s="1293"/>
      <c r="L6354" s="1293"/>
      <c r="M6354" s="1293"/>
      <c r="N6354" s="1293"/>
    </row>
    <row r="6355" spans="1:14" ht="15.75">
      <c r="A6355" s="1293"/>
      <c r="B6355" s="2332" t="str">
        <f>B6345</f>
        <v>Revenues</v>
      </c>
      <c r="C6355" s="2333">
        <v>5879.5871580715293</v>
      </c>
      <c r="D6355" s="2333">
        <v>5952.2060938776431</v>
      </c>
      <c r="E6355" s="2333">
        <v>6064.4913008325602</v>
      </c>
      <c r="F6355" s="2333">
        <v>6179.4574612992255</v>
      </c>
      <c r="G6355" s="2333">
        <v>6274.5880171520057</v>
      </c>
      <c r="H6355" s="2333">
        <v>6359.0023699469584</v>
      </c>
      <c r="I6355" s="2333">
        <v>6444.8970656615584</v>
      </c>
      <c r="J6355" s="1293"/>
      <c r="K6355" s="1293"/>
      <c r="L6355" s="1293"/>
      <c r="M6355" s="1293"/>
      <c r="N6355" s="1293"/>
    </row>
    <row r="6356" spans="1:14" ht="15.75">
      <c r="A6356" s="1293"/>
      <c r="B6356" s="2332" t="str">
        <f t="shared" ref="B6356:B6361" si="683">B6346</f>
        <v>Adj EBITDA</v>
      </c>
      <c r="C6356" s="2333">
        <v>2632.5264801713624</v>
      </c>
      <c r="D6356" s="2333">
        <v>2667.727021215981</v>
      </c>
      <c r="E6356" s="2333">
        <v>2738.0843307130303</v>
      </c>
      <c r="F6356" s="2333">
        <v>2800.302843585132</v>
      </c>
      <c r="G6356" s="2333">
        <v>2852.1046810045518</v>
      </c>
      <c r="H6356" s="2333">
        <v>2891.2217255215555</v>
      </c>
      <c r="I6356" s="2333">
        <v>2931.0158222086184</v>
      </c>
      <c r="J6356" s="1293"/>
      <c r="K6356" s="1293"/>
      <c r="L6356" s="1293"/>
      <c r="M6356" s="1293"/>
      <c r="N6356" s="1293"/>
    </row>
    <row r="6357" spans="1:14" ht="15.75">
      <c r="A6357" s="1293"/>
      <c r="B6357" s="2332" t="str">
        <f t="shared" si="683"/>
        <v>EBIT</v>
      </c>
      <c r="C6357" s="2333">
        <v>1335.6554801713623</v>
      </c>
      <c r="D6357" s="2333">
        <v>1490.7341158555246</v>
      </c>
      <c r="E6357" s="2333">
        <v>1627.9521356654211</v>
      </c>
      <c r="F6357" s="2333">
        <v>1722.2011616773434</v>
      </c>
      <c r="G6357" s="2333">
        <v>1785.9631429346734</v>
      </c>
      <c r="H6357" s="2333">
        <v>1828.1979639894751</v>
      </c>
      <c r="I6357" s="2333">
        <v>1905.2346704607021</v>
      </c>
      <c r="J6357" s="1293"/>
      <c r="K6357" s="1293"/>
      <c r="L6357" s="1293"/>
      <c r="M6357" s="1293"/>
      <c r="N6357" s="1293"/>
    </row>
    <row r="6358" spans="1:14" ht="15.75">
      <c r="A6358" s="1293"/>
      <c r="B6358" s="2332" t="str">
        <f t="shared" si="683"/>
        <v>Net income (owners)</v>
      </c>
      <c r="C6358" s="2333">
        <v>442.8824055900634</v>
      </c>
      <c r="D6358" s="2333">
        <v>566.39184610266159</v>
      </c>
      <c r="E6358" s="2333">
        <v>646.9317883706824</v>
      </c>
      <c r="F6358" s="2333">
        <v>730.39470710232035</v>
      </c>
      <c r="G6358" s="2333">
        <v>783.36849617930989</v>
      </c>
      <c r="H6358" s="2333">
        <v>821.30676763454812</v>
      </c>
      <c r="I6358" s="2333">
        <v>884.40123514272364</v>
      </c>
      <c r="J6358" s="1293"/>
      <c r="K6358" s="1293"/>
      <c r="L6358" s="1293"/>
      <c r="M6358" s="1293"/>
      <c r="N6358" s="1293"/>
    </row>
    <row r="6359" spans="1:14" ht="15.75">
      <c r="A6359" s="1293"/>
      <c r="B6359" s="2332" t="str">
        <f t="shared" si="683"/>
        <v>Capex</v>
      </c>
      <c r="C6359" s="2334">
        <v>684.80971158777868</v>
      </c>
      <c r="D6359" s="2334">
        <v>682.74390843199444</v>
      </c>
      <c r="E6359" s="2334">
        <v>704.07575321280888</v>
      </c>
      <c r="F6359" s="2334">
        <v>737.70174187628174</v>
      </c>
      <c r="G6359" s="2334">
        <v>776.7936062159539</v>
      </c>
      <c r="H6359" s="2334">
        <v>784.38881086089236</v>
      </c>
      <c r="I6359" s="2334">
        <v>792.10430144823442</v>
      </c>
      <c r="J6359" s="1293"/>
      <c r="K6359" s="1293"/>
      <c r="L6359" s="1293"/>
      <c r="M6359" s="1293"/>
      <c r="N6359" s="1293"/>
    </row>
    <row r="6360" spans="1:14" ht="15.75">
      <c r="A6360" s="1293"/>
      <c r="B6360" s="2332" t="str">
        <f t="shared" si="683"/>
        <v>OpFCF</v>
      </c>
      <c r="C6360" s="2334">
        <f>C6356-C6359</f>
        <v>1947.7167685835839</v>
      </c>
      <c r="D6360" s="2334">
        <f t="shared" ref="D6360:I6360" si="684">D6356-D6359</f>
        <v>1984.9831127839866</v>
      </c>
      <c r="E6360" s="2334">
        <f t="shared" si="684"/>
        <v>2034.0085775002215</v>
      </c>
      <c r="F6360" s="2334">
        <f t="shared" si="684"/>
        <v>2062.6011017088504</v>
      </c>
      <c r="G6360" s="2334">
        <f t="shared" si="684"/>
        <v>2075.311074788598</v>
      </c>
      <c r="H6360" s="2334">
        <f t="shared" si="684"/>
        <v>2106.8329146606629</v>
      </c>
      <c r="I6360" s="2334">
        <f t="shared" si="684"/>
        <v>2138.9115207603841</v>
      </c>
      <c r="J6360" s="1293"/>
      <c r="K6360" s="1293"/>
      <c r="L6360" s="1293"/>
      <c r="M6360" s="1293"/>
      <c r="N6360" s="1293"/>
    </row>
    <row r="6361" spans="1:14" ht="15.75">
      <c r="A6361" s="1293"/>
      <c r="B6361" s="2332" t="str">
        <f t="shared" si="683"/>
        <v>EFCF TIGO definition</v>
      </c>
      <c r="C6361" s="2333">
        <v>655.72031609996293</v>
      </c>
      <c r="D6361" s="2333">
        <v>701.96966044146438</v>
      </c>
      <c r="E6361" s="2333">
        <v>779.73102437349735</v>
      </c>
      <c r="F6361" s="2333">
        <v>784.20549802219125</v>
      </c>
      <c r="G6361" s="2333">
        <v>806.88321378177773</v>
      </c>
      <c r="H6361" s="2333"/>
      <c r="I6361" s="2333"/>
      <c r="J6361" s="1293"/>
      <c r="K6361" s="1293"/>
      <c r="L6361" s="1293"/>
      <c r="M6361" s="1293"/>
      <c r="N6361" s="1293"/>
    </row>
    <row r="6362" spans="1:14" ht="15.75">
      <c r="A6362" s="1293"/>
      <c r="B6362" s="1293"/>
      <c r="C6362" s="1293"/>
      <c r="D6362" s="1293"/>
      <c r="E6362" s="1293"/>
      <c r="F6362" s="1293"/>
      <c r="G6362" s="1293"/>
      <c r="H6362" s="1293"/>
      <c r="I6362" s="1293"/>
      <c r="J6362" s="1293"/>
      <c r="K6362" s="1293"/>
      <c r="L6362" s="1293"/>
      <c r="M6362" s="1293"/>
      <c r="N6362" s="1293"/>
    </row>
    <row r="6363" spans="1:14" ht="15.75">
      <c r="A6363" s="1293"/>
      <c r="B6363" s="1293"/>
      <c r="C6363" s="1293"/>
      <c r="D6363" s="1293"/>
      <c r="E6363" s="1293"/>
      <c r="F6363" s="1293"/>
      <c r="G6363" s="1293"/>
      <c r="H6363" s="1293"/>
      <c r="I6363" s="1293"/>
      <c r="J6363" s="1293"/>
      <c r="K6363" s="1293"/>
      <c r="L6363" s="1293"/>
      <c r="M6363" s="1293"/>
      <c r="N6363" s="1293"/>
    </row>
    <row r="6364" spans="1:14" ht="15.75">
      <c r="A6364" s="1293"/>
      <c r="B6364" s="1740" t="s">
        <v>4210</v>
      </c>
      <c r="C6364" s="1740">
        <f>C6354</f>
        <v>2024</v>
      </c>
      <c r="D6364" s="1740">
        <f t="shared" ref="D6364:I6364" si="685">D6354</f>
        <v>2025</v>
      </c>
      <c r="E6364" s="1740">
        <f t="shared" si="685"/>
        <v>2026</v>
      </c>
      <c r="F6364" s="1740">
        <f t="shared" si="685"/>
        <v>2027</v>
      </c>
      <c r="G6364" s="1740">
        <f t="shared" si="685"/>
        <v>2028</v>
      </c>
      <c r="H6364" s="1740">
        <f t="shared" si="685"/>
        <v>2029</v>
      </c>
      <c r="I6364" s="1740">
        <f t="shared" si="685"/>
        <v>2030</v>
      </c>
      <c r="J6364" s="1293"/>
      <c r="K6364" s="1293"/>
      <c r="L6364" s="1293"/>
      <c r="M6364" s="1293"/>
      <c r="N6364" s="1293"/>
    </row>
    <row r="6365" spans="1:14" ht="15.75">
      <c r="A6365" s="1293"/>
      <c r="B6365" s="1325" t="str">
        <f>B6355</f>
        <v>Revenues</v>
      </c>
      <c r="C6365" s="1332">
        <f>C6345/C6355-1</f>
        <v>-1.281177675342704E-2</v>
      </c>
      <c r="D6365" s="1332">
        <f t="shared" ref="D6365:I6365" si="686">D6345/D6355-1</f>
        <v>-7.1948349190159577E-2</v>
      </c>
      <c r="E6365" s="1332">
        <f t="shared" si="686"/>
        <v>-7.6088549087962254E-2</v>
      </c>
      <c r="F6365" s="1332">
        <f t="shared" si="686"/>
        <v>-7.8032268610768729E-2</v>
      </c>
      <c r="G6365" s="1332">
        <f t="shared" si="686"/>
        <v>-7.5855755460519814E-2</v>
      </c>
      <c r="H6365" s="1332">
        <f t="shared" si="686"/>
        <v>-7.5004692724527033E-2</v>
      </c>
      <c r="I6365" s="1332">
        <f t="shared" si="686"/>
        <v>-7.6477789405793417E-2</v>
      </c>
      <c r="J6365" s="1293"/>
      <c r="K6365" s="1293"/>
      <c r="L6365" s="1293"/>
      <c r="M6365" s="1293"/>
      <c r="N6365" s="1293"/>
    </row>
    <row r="6366" spans="1:14" ht="15.75">
      <c r="A6366" s="1293"/>
      <c r="B6366" s="1566" t="str">
        <f t="shared" ref="B6366:B6371" si="687">B6356</f>
        <v>Adj EBITDA</v>
      </c>
      <c r="C6366" s="1567">
        <f t="shared" ref="C6366:I6366" ca="1" si="688">C6346/C6356-1</f>
        <v>-2.9935805891111444E-3</v>
      </c>
      <c r="D6366" s="1567">
        <f t="shared" si="688"/>
        <v>-0.10722296510342688</v>
      </c>
      <c r="E6366" s="1567">
        <f t="shared" si="688"/>
        <v>-0.12486296520130902</v>
      </c>
      <c r="F6366" s="1567">
        <f t="shared" si="688"/>
        <v>-0.12116358668789184</v>
      </c>
      <c r="G6366" s="1567">
        <f t="shared" si="688"/>
        <v>-0.11241635014312557</v>
      </c>
      <c r="H6366" s="1567">
        <f t="shared" si="688"/>
        <v>-9.8918149367742236E-2</v>
      </c>
      <c r="I6366" s="1567">
        <f t="shared" si="688"/>
        <v>-8.7079922068970195E-2</v>
      </c>
      <c r="J6366" s="1293"/>
      <c r="K6366" s="1293"/>
      <c r="L6366" s="1293"/>
      <c r="M6366" s="1293"/>
      <c r="N6366" s="1293"/>
    </row>
    <row r="6367" spans="1:14" ht="15.75">
      <c r="A6367" s="1293"/>
      <c r="B6367" s="1325" t="str">
        <f t="shared" si="687"/>
        <v>EBIT</v>
      </c>
      <c r="C6367" s="1332">
        <f t="shared" ref="C6367:I6367" ca="1" si="689">C6347/C6357-1</f>
        <v>4.7743747720181418E-3</v>
      </c>
      <c r="D6367" s="1332">
        <f t="shared" si="689"/>
        <v>-0.2020909336012815</v>
      </c>
      <c r="E6367" s="1332">
        <f t="shared" si="689"/>
        <v>-4.3880840280943634E-2</v>
      </c>
      <c r="F6367" s="1332">
        <f t="shared" si="689"/>
        <v>-9.2407538290195768E-2</v>
      </c>
      <c r="G6367" s="1332">
        <f t="shared" si="689"/>
        <v>-0.10193555739554683</v>
      </c>
      <c r="H6367" s="1332">
        <f t="shared" si="689"/>
        <v>-8.9366861267038855E-2</v>
      </c>
      <c r="I6367" s="1332">
        <f t="shared" si="689"/>
        <v>-8.8536843466754944E-2</v>
      </c>
      <c r="J6367" s="1293"/>
      <c r="K6367" s="1293"/>
      <c r="L6367" s="1293"/>
      <c r="M6367" s="1293"/>
      <c r="N6367" s="1293"/>
    </row>
    <row r="6368" spans="1:14" ht="15.75">
      <c r="A6368" s="1293"/>
      <c r="B6368" s="1566" t="str">
        <f t="shared" si="687"/>
        <v>Net income (owners)</v>
      </c>
      <c r="C6368" s="1567">
        <f t="shared" ref="C6368:I6368" ca="1" si="690">C6348/C6358-1</f>
        <v>-0.42643871873491368</v>
      </c>
      <c r="D6368" s="1567">
        <f t="shared" ca="1" si="690"/>
        <v>-0.4734557361766869</v>
      </c>
      <c r="E6368" s="1567">
        <f t="shared" ca="1" si="690"/>
        <v>-9.6034571832954607E-2</v>
      </c>
      <c r="F6368" s="1567">
        <f t="shared" ca="1" si="690"/>
        <v>-0.21712361678198089</v>
      </c>
      <c r="G6368" s="1567">
        <f t="shared" ca="1" si="690"/>
        <v>-0.24346076322962695</v>
      </c>
      <c r="H6368" s="1567">
        <f t="shared" ca="1" si="690"/>
        <v>-0.23172384999679285</v>
      </c>
      <c r="I6368" s="1567">
        <f t="shared" ca="1" si="690"/>
        <v>-0.23191384299504236</v>
      </c>
      <c r="J6368" s="1293"/>
      <c r="K6368" s="1293"/>
      <c r="L6368" s="1293"/>
      <c r="M6368" s="1293"/>
      <c r="N6368" s="1293"/>
    </row>
    <row r="6369" spans="1:14" ht="15.75">
      <c r="A6369" s="1293"/>
      <c r="B6369" s="1325" t="str">
        <f t="shared" si="687"/>
        <v>Capex</v>
      </c>
      <c r="C6369" s="1332">
        <f t="shared" ref="C6369:I6369" si="691">C6349/C6359-1</f>
        <v>-1.1404206826552299E-2</v>
      </c>
      <c r="D6369" s="1332">
        <f t="shared" si="691"/>
        <v>-3.772207169918107E-3</v>
      </c>
      <c r="E6369" s="1332">
        <f t="shared" si="691"/>
        <v>-6.5199911838684121E-2</v>
      </c>
      <c r="F6369" s="1332">
        <f t="shared" si="691"/>
        <v>-0.11247361772382114</v>
      </c>
      <c r="G6369" s="1332">
        <f t="shared" si="691"/>
        <v>-0.14699848337404908</v>
      </c>
      <c r="H6369" s="1332">
        <f t="shared" si="691"/>
        <v>-0.15262668642844279</v>
      </c>
      <c r="I6369" s="1332">
        <f t="shared" si="691"/>
        <v>-0.16383412846337098</v>
      </c>
      <c r="J6369" s="1293"/>
      <c r="K6369" s="1293"/>
      <c r="L6369" s="1293"/>
      <c r="M6369" s="1293"/>
      <c r="N6369" s="1293"/>
    </row>
    <row r="6370" spans="1:14" ht="15.75">
      <c r="A6370" s="1293"/>
      <c r="B6370" s="1566" t="str">
        <f t="shared" si="687"/>
        <v>OpFCF</v>
      </c>
      <c r="C6370" s="1567">
        <f t="shared" ref="C6370:I6370" si="692">C6350/C6360-1</f>
        <v>-3.6436808846351809E-5</v>
      </c>
      <c r="D6370" s="1567">
        <f t="shared" si="692"/>
        <v>-0.14280532061410689</v>
      </c>
      <c r="E6370" s="1567">
        <f t="shared" si="692"/>
        <v>-0.14551543918787047</v>
      </c>
      <c r="F6370" s="1567">
        <f t="shared" si="692"/>
        <v>-0.12427160657420666</v>
      </c>
      <c r="G6370" s="1567">
        <f t="shared" si="692"/>
        <v>-9.9472179840451203E-2</v>
      </c>
      <c r="H6370" s="1567">
        <f t="shared" si="692"/>
        <v>-7.8922080754533441E-2</v>
      </c>
      <c r="I6370" s="1567">
        <f t="shared" si="692"/>
        <v>-5.8655493826311078E-2</v>
      </c>
      <c r="J6370" s="1293"/>
      <c r="K6370" s="1293"/>
      <c r="L6370" s="1293"/>
      <c r="M6370" s="1293"/>
      <c r="N6370" s="1293"/>
    </row>
    <row r="6371" spans="1:14" ht="15.75">
      <c r="A6371" s="1293"/>
      <c r="B6371" s="1325" t="str">
        <f t="shared" si="687"/>
        <v>EFCF TIGO definition</v>
      </c>
      <c r="C6371" s="1332">
        <f t="shared" ref="C6371:G6371" ca="1" si="693">C6351/C6361-1</f>
        <v>0.18746633416997494</v>
      </c>
      <c r="D6371" s="1332">
        <f t="shared" ca="1" si="693"/>
        <v>8.2127851481594405E-2</v>
      </c>
      <c r="E6371" s="1332">
        <f t="shared" ca="1" si="693"/>
        <v>1.4552038916265886E-2</v>
      </c>
      <c r="F6371" s="1332">
        <f t="shared" ca="1" si="693"/>
        <v>7.4026174447803239E-2</v>
      </c>
      <c r="G6371" s="1332">
        <f t="shared" ca="1" si="693"/>
        <v>9.2304367889042283E-2</v>
      </c>
      <c r="H6371" s="1332"/>
      <c r="I6371" s="1332"/>
      <c r="J6371" s="1293"/>
      <c r="K6371" s="1293"/>
      <c r="L6371" s="1293"/>
      <c r="M6371" s="1293"/>
      <c r="N6371" s="1293"/>
    </row>
    <row r="6372" spans="1:14" ht="15.75">
      <c r="A6372" s="1293"/>
      <c r="B6372" s="1293"/>
      <c r="C6372" s="1293"/>
      <c r="D6372" s="1293"/>
      <c r="E6372" s="1293"/>
      <c r="F6372" s="1293"/>
      <c r="G6372" s="1293"/>
      <c r="H6372" s="1293"/>
      <c r="I6372" s="1293"/>
      <c r="J6372" s="1293"/>
      <c r="K6372" s="1293"/>
      <c r="L6372" s="1293"/>
      <c r="M6372" s="1293"/>
      <c r="N6372" s="1293"/>
    </row>
    <row r="6373" spans="1:14" ht="15.75">
      <c r="A6373" s="1293"/>
      <c r="B6373" s="1293"/>
      <c r="C6373" s="1293"/>
      <c r="D6373" s="1293"/>
      <c r="E6373" s="1293"/>
      <c r="F6373" s="1293"/>
      <c r="G6373" s="1293"/>
      <c r="H6373" s="1293"/>
      <c r="I6373" s="1293"/>
      <c r="J6373" s="1293"/>
      <c r="K6373" s="1293"/>
      <c r="L6373" s="1293"/>
      <c r="M6373" s="1293"/>
      <c r="N6373" s="1293"/>
    </row>
    <row r="6374" spans="1:14" ht="15.75">
      <c r="A6374" s="1293"/>
      <c r="B6374" s="1293"/>
      <c r="C6374" s="1293"/>
      <c r="D6374" s="1293"/>
      <c r="E6374" s="1293"/>
      <c r="F6374" s="1293"/>
      <c r="G6374" s="1293"/>
      <c r="H6374" s="1293"/>
      <c r="I6374" s="1293"/>
      <c r="J6374" s="1293"/>
      <c r="K6374" s="1293"/>
      <c r="L6374" s="1293"/>
      <c r="M6374" s="1293"/>
      <c r="N6374" s="1293"/>
    </row>
    <row r="6375" spans="1:14" ht="15.75">
      <c r="A6375" s="1293"/>
      <c r="B6375" s="1334" t="s">
        <v>574</v>
      </c>
      <c r="C6375" s="1293" t="str">
        <f>Valuation!N6</f>
        <v>2024A</v>
      </c>
      <c r="D6375" s="1293" t="str">
        <f>Valuation!O6</f>
        <v>2025E</v>
      </c>
      <c r="E6375" s="1293" t="str">
        <f>Valuation!P6</f>
        <v>2026E</v>
      </c>
      <c r="F6375" s="1293"/>
      <c r="G6375" s="1293"/>
      <c r="H6375" s="1293"/>
      <c r="I6375" s="1293"/>
      <c r="J6375" s="1293"/>
      <c r="K6375" s="1293"/>
      <c r="L6375" s="1293"/>
      <c r="M6375" s="1293"/>
      <c r="N6375" s="1293"/>
    </row>
    <row r="6376" spans="1:14" ht="15.75">
      <c r="A6376" s="1293"/>
      <c r="B6376" s="1293" t="s">
        <v>9010</v>
      </c>
      <c r="C6376" s="1293">
        <f>Valuation!N34</f>
        <v>0</v>
      </c>
      <c r="D6376" s="1293">
        <f>Valuation!O34</f>
        <v>0</v>
      </c>
      <c r="E6376" s="1293">
        <f>Valuation!P34</f>
        <v>833</v>
      </c>
      <c r="F6376" s="1293"/>
      <c r="G6376" s="1293"/>
      <c r="H6376" s="1293"/>
      <c r="I6376" s="1293"/>
      <c r="J6376" s="1293"/>
      <c r="K6376" s="1293"/>
      <c r="L6376" s="1293"/>
      <c r="M6376" s="1293"/>
      <c r="N6376" s="1293"/>
    </row>
    <row r="6377" spans="1:14" ht="15.75">
      <c r="A6377" s="1293"/>
      <c r="B6377" s="1293" t="s">
        <v>821</v>
      </c>
      <c r="C6377" s="1327">
        <f ca="1">Valuation!N32</f>
        <v>778.64580000000024</v>
      </c>
      <c r="D6377" s="1327">
        <f ca="1">Valuation!O32</f>
        <v>759.62092045878626</v>
      </c>
      <c r="E6377" s="1327">
        <f ca="1">Valuation!P32</f>
        <v>791.0777005844003</v>
      </c>
      <c r="F6377" s="1293"/>
      <c r="G6377" s="1293"/>
      <c r="H6377" s="1293"/>
      <c r="I6377" s="1293"/>
      <c r="J6377" s="1293"/>
      <c r="K6377" s="1293"/>
      <c r="L6377" s="1293"/>
      <c r="M6377" s="1293"/>
      <c r="N6377" s="1293"/>
    </row>
    <row r="6378" spans="1:14" ht="15.75">
      <c r="A6378" s="1293"/>
      <c r="B6378" s="1293" t="s">
        <v>1643</v>
      </c>
      <c r="C6378" s="1327">
        <f>Valuation!N35</f>
        <v>0</v>
      </c>
      <c r="D6378" s="1327">
        <f>Valuation!O35</f>
        <v>677</v>
      </c>
      <c r="E6378" s="1327">
        <f>Valuation!P35</f>
        <v>766</v>
      </c>
      <c r="F6378" s="1293"/>
      <c r="G6378" s="1293"/>
      <c r="H6378" s="1293"/>
      <c r="I6378" s="1293"/>
      <c r="J6378" s="1293"/>
      <c r="K6378" s="1293"/>
      <c r="L6378" s="1293"/>
      <c r="M6378" s="1293"/>
      <c r="N6378" s="1293"/>
    </row>
    <row r="6379" spans="1:14" ht="15.75">
      <c r="A6379" s="1293"/>
      <c r="B6379" s="1293"/>
      <c r="C6379" s="1293"/>
      <c r="D6379" s="1293"/>
      <c r="E6379" s="1293"/>
      <c r="F6379" s="1293"/>
      <c r="G6379" s="1293"/>
      <c r="H6379" s="1293"/>
      <c r="I6379" s="1293"/>
      <c r="J6379" s="1293"/>
      <c r="K6379" s="1293"/>
      <c r="L6379" s="1293"/>
      <c r="M6379" s="1293"/>
      <c r="N6379" s="1293"/>
    </row>
    <row r="6380" spans="1:14" ht="15.75">
      <c r="A6380" s="1293"/>
      <c r="B6380" s="1293"/>
      <c r="C6380" s="1293"/>
      <c r="D6380" s="1293"/>
      <c r="E6380" s="1293"/>
      <c r="F6380" s="1293"/>
      <c r="G6380" s="1293"/>
      <c r="H6380" s="1293"/>
      <c r="I6380" s="1293"/>
      <c r="J6380" s="1293"/>
      <c r="K6380" s="1293"/>
      <c r="L6380" s="1293"/>
      <c r="M6380" s="1293"/>
      <c r="N6380" s="1293"/>
    </row>
    <row r="6381" spans="1:14" ht="15.75">
      <c r="A6381" s="1293"/>
      <c r="B6381" s="1293"/>
      <c r="C6381" s="1293"/>
      <c r="D6381" s="1293"/>
      <c r="E6381" s="1293"/>
      <c r="F6381" s="1293"/>
      <c r="G6381" s="1293"/>
      <c r="H6381" s="1293"/>
      <c r="I6381" s="1293"/>
      <c r="J6381" s="1293"/>
      <c r="K6381" s="1293"/>
      <c r="L6381" s="1293"/>
      <c r="M6381" s="1293"/>
      <c r="N6381" s="1293"/>
    </row>
    <row r="6382" spans="1:14" ht="15.75">
      <c r="A6382" s="1293"/>
      <c r="B6382" s="1293"/>
      <c r="C6382" s="1293"/>
      <c r="D6382" s="1293"/>
      <c r="E6382" s="1293"/>
      <c r="F6382" s="1293"/>
      <c r="G6382" s="1293"/>
      <c r="H6382" s="1293"/>
      <c r="I6382" s="1293"/>
      <c r="J6382" s="1293"/>
      <c r="K6382" s="1293"/>
      <c r="L6382" s="1293"/>
      <c r="M6382" s="1293"/>
      <c r="N6382" s="1293"/>
    </row>
    <row r="6383" spans="1:14" ht="15.75">
      <c r="A6383" s="1293"/>
      <c r="B6383" s="1293"/>
      <c r="C6383" s="1293"/>
      <c r="D6383" s="1293"/>
      <c r="E6383" s="1293"/>
      <c r="F6383" s="1293"/>
      <c r="G6383" s="1293"/>
      <c r="H6383" s="1293"/>
      <c r="I6383" s="1293"/>
      <c r="J6383" s="1293"/>
      <c r="K6383" s="1293"/>
      <c r="L6383" s="1293"/>
      <c r="M6383" s="1293"/>
      <c r="N6383" s="1293"/>
    </row>
    <row r="6384" spans="1:14" ht="15.75">
      <c r="A6384" s="1293"/>
      <c r="B6384" s="1293"/>
      <c r="C6384" s="1293"/>
      <c r="D6384" s="1293"/>
      <c r="E6384" s="1293"/>
      <c r="F6384" s="1293"/>
      <c r="G6384" s="1293"/>
      <c r="H6384" s="1293"/>
      <c r="I6384" s="1293"/>
      <c r="J6384" s="1293"/>
      <c r="K6384" s="1293"/>
      <c r="L6384" s="1293"/>
      <c r="M6384" s="1293"/>
      <c r="N6384" s="1293"/>
    </row>
    <row r="6385" spans="1:14" ht="15.75">
      <c r="A6385" s="1293"/>
      <c r="B6385" s="1293"/>
      <c r="C6385" s="1293"/>
      <c r="D6385" s="1293"/>
      <c r="E6385" s="1293"/>
      <c r="F6385" s="1293"/>
      <c r="G6385" s="1293"/>
      <c r="H6385" s="1293"/>
      <c r="I6385" s="1293"/>
      <c r="J6385" s="1293"/>
      <c r="K6385" s="1293"/>
      <c r="L6385" s="1293"/>
      <c r="M6385" s="1293"/>
      <c r="N6385" s="1293"/>
    </row>
    <row r="6386" spans="1:14" ht="15.75">
      <c r="A6386" s="1293"/>
      <c r="B6386" s="1293"/>
      <c r="C6386" s="1293"/>
      <c r="D6386" s="1293"/>
      <c r="E6386" s="1293"/>
      <c r="F6386" s="1293"/>
      <c r="G6386" s="1293"/>
      <c r="H6386" s="1293"/>
      <c r="I6386" s="1293"/>
      <c r="J6386" s="1293"/>
      <c r="K6386" s="1293"/>
      <c r="L6386" s="1293"/>
      <c r="M6386" s="1293"/>
      <c r="N6386" s="1293"/>
    </row>
    <row r="6387" spans="1:14" ht="15.75">
      <c r="A6387" s="1293"/>
      <c r="B6387" s="1293"/>
      <c r="C6387" s="1293"/>
      <c r="D6387" s="1293"/>
      <c r="E6387" s="1293"/>
      <c r="F6387" s="1293"/>
      <c r="G6387" s="1293"/>
      <c r="H6387" s="1293"/>
      <c r="I6387" s="1293"/>
      <c r="J6387" s="1293"/>
      <c r="K6387" s="1293"/>
      <c r="L6387" s="1293"/>
      <c r="M6387" s="1293"/>
      <c r="N6387" s="1293"/>
    </row>
    <row r="6388" spans="1:14" ht="15.75">
      <c r="A6388" s="1293"/>
      <c r="B6388" s="1293"/>
      <c r="C6388" s="1293"/>
      <c r="D6388" s="1293"/>
      <c r="E6388" s="1293"/>
      <c r="F6388" s="1293"/>
      <c r="G6388" s="1293"/>
      <c r="H6388" s="1293"/>
      <c r="I6388" s="1293"/>
      <c r="J6388" s="1293"/>
      <c r="K6388" s="1293"/>
      <c r="L6388" s="1293"/>
      <c r="M6388" s="1293"/>
      <c r="N6388" s="1293"/>
    </row>
    <row r="6389" spans="1:14" ht="15.75">
      <c r="A6389" s="1293"/>
      <c r="B6389" s="1293"/>
      <c r="C6389" s="1293"/>
      <c r="D6389" s="1293"/>
      <c r="E6389" s="1293"/>
      <c r="F6389" s="1293"/>
      <c r="G6389" s="1293"/>
      <c r="H6389" s="1293"/>
      <c r="I6389" s="1293"/>
      <c r="J6389" s="1293"/>
      <c r="K6389" s="1293"/>
      <c r="L6389" s="1293"/>
      <c r="M6389" s="1293"/>
      <c r="N6389" s="1293"/>
    </row>
    <row r="6390" spans="1:14" ht="15.75">
      <c r="A6390" s="1293"/>
      <c r="B6390" s="1293"/>
      <c r="C6390" s="1293"/>
      <c r="D6390" s="1293"/>
      <c r="E6390" s="1293"/>
      <c r="F6390" s="1293"/>
      <c r="G6390" s="1293"/>
      <c r="H6390" s="1293"/>
      <c r="I6390" s="1293"/>
      <c r="J6390" s="1293"/>
      <c r="K6390" s="1293"/>
      <c r="L6390" s="1293"/>
      <c r="M6390" s="1293"/>
      <c r="N6390" s="1293"/>
    </row>
    <row r="6391" spans="1:14" ht="15.75">
      <c r="A6391" s="1293"/>
      <c r="B6391" s="1293"/>
      <c r="C6391" s="1293"/>
      <c r="D6391" s="1293"/>
      <c r="E6391" s="1293"/>
      <c r="F6391" s="1293"/>
      <c r="G6391" s="1293"/>
      <c r="H6391" s="1293"/>
      <c r="I6391" s="1293"/>
      <c r="J6391" s="1293"/>
      <c r="K6391" s="1293"/>
      <c r="L6391" s="1293"/>
      <c r="M6391" s="1293"/>
      <c r="N6391" s="1293"/>
    </row>
    <row r="6392" spans="1:14" ht="15.75">
      <c r="A6392" s="1293"/>
      <c r="B6392" s="1293"/>
      <c r="C6392" s="1293"/>
      <c r="D6392" s="1293"/>
      <c r="E6392" s="1293"/>
      <c r="F6392" s="1293"/>
      <c r="G6392" s="1293"/>
      <c r="H6392" s="1293"/>
      <c r="I6392" s="1293"/>
      <c r="J6392" s="1293"/>
      <c r="K6392" s="1293"/>
      <c r="L6392" s="1293"/>
      <c r="M6392" s="1293"/>
      <c r="N6392" s="1293"/>
    </row>
    <row r="6393" spans="1:14" ht="15.75">
      <c r="A6393" s="1293"/>
      <c r="B6393" s="1293"/>
      <c r="C6393" s="1293"/>
      <c r="D6393" s="1293"/>
      <c r="E6393" s="1293"/>
      <c r="F6393" s="1293"/>
      <c r="G6393" s="1293"/>
      <c r="H6393" s="1293"/>
      <c r="I6393" s="1293"/>
      <c r="J6393" s="1293"/>
      <c r="K6393" s="1293"/>
      <c r="L6393" s="1293"/>
      <c r="M6393" s="1293"/>
      <c r="N6393" s="1293"/>
    </row>
    <row r="6394" spans="1:14" ht="15.75">
      <c r="A6394" s="1293"/>
      <c r="B6394" s="1293"/>
      <c r="C6394" s="1293"/>
      <c r="D6394" s="1293"/>
      <c r="E6394" s="1293"/>
      <c r="F6394" s="1293"/>
      <c r="G6394" s="1293"/>
      <c r="H6394" s="1293"/>
      <c r="I6394" s="1293"/>
      <c r="J6394" s="1293"/>
      <c r="K6394" s="1293"/>
      <c r="L6394" s="1293"/>
      <c r="M6394" s="1293"/>
      <c r="N6394" s="1293"/>
    </row>
    <row r="6395" spans="1:14" ht="15.75">
      <c r="A6395" s="1293"/>
      <c r="B6395" s="1293"/>
      <c r="C6395" s="1293"/>
      <c r="D6395" s="1293"/>
      <c r="E6395" s="1293"/>
      <c r="F6395" s="1293"/>
      <c r="G6395" s="1293"/>
      <c r="H6395" s="1293"/>
      <c r="I6395" s="1293"/>
      <c r="J6395" s="1293"/>
      <c r="K6395" s="1293"/>
      <c r="L6395" s="1293"/>
      <c r="M6395" s="1293"/>
      <c r="N6395" s="1293"/>
    </row>
    <row r="6396" spans="1:14" ht="15.75">
      <c r="A6396" s="1293"/>
      <c r="B6396" s="2354"/>
      <c r="C6396" s="2355" t="s">
        <v>4547</v>
      </c>
      <c r="D6396" s="2355" t="s">
        <v>8351</v>
      </c>
      <c r="E6396" s="2355" t="s">
        <v>8726</v>
      </c>
      <c r="F6396" s="2355" t="s">
        <v>8727</v>
      </c>
      <c r="G6396" s="2355" t="s">
        <v>9065</v>
      </c>
      <c r="H6396" s="2355" t="s">
        <v>9066</v>
      </c>
      <c r="I6396" s="1653"/>
      <c r="J6396" s="1293"/>
    </row>
    <row r="6397" spans="1:14" ht="15.75">
      <c r="A6397" s="1293"/>
      <c r="B6397" s="2356" t="s">
        <v>9078</v>
      </c>
      <c r="C6397" s="1326">
        <f ca="1">Valuation!O16-Master!AB466</f>
        <v>4433.9932365614623</v>
      </c>
      <c r="D6397" s="1326">
        <f ca="1">Valuation!P16-Master!AC466</f>
        <v>4607.9053884406785</v>
      </c>
      <c r="E6397" s="1326">
        <f ca="1">Valuation!Q16-Master!AD466</f>
        <v>4757.3017002399047</v>
      </c>
      <c r="F6397" s="1326">
        <f ca="1">Valuation!R16-Master!AE466</f>
        <v>4887.5311357770324</v>
      </c>
      <c r="G6397" s="1326">
        <f ca="1">Valuation!S16-Master!AF466</f>
        <v>4965.7997694696933</v>
      </c>
      <c r="H6397" s="1326">
        <f ca="1">Valuation!T16-Master!AG466</f>
        <v>5016.7623826243353</v>
      </c>
      <c r="I6397" s="1293"/>
      <c r="J6397" s="1293"/>
    </row>
    <row r="6398" spans="1:14" ht="15.75">
      <c r="A6398" s="1293"/>
      <c r="B6398" s="1738" t="s">
        <v>9080</v>
      </c>
      <c r="C6398" s="1698">
        <f>(3.25-1)*Master!AA54</f>
        <v>385.45425</v>
      </c>
      <c r="D6398" s="1698">
        <f>C6398+1.5*Master!AB54</f>
        <v>634.99874999999997</v>
      </c>
      <c r="E6398" s="1698">
        <f t="shared" ref="E6398:H6400" si="694">D6398</f>
        <v>634.99874999999997</v>
      </c>
      <c r="F6398" s="1698">
        <f t="shared" si="694"/>
        <v>634.99874999999997</v>
      </c>
      <c r="G6398" s="1698">
        <f t="shared" si="694"/>
        <v>634.99874999999997</v>
      </c>
      <c r="H6398" s="1698">
        <f t="shared" si="694"/>
        <v>634.99874999999997</v>
      </c>
      <c r="I6398" s="1293"/>
      <c r="J6398" s="1293"/>
    </row>
    <row r="6399" spans="1:14" ht="15.75">
      <c r="A6399" s="1293"/>
      <c r="B6399" s="2356" t="s">
        <v>9081</v>
      </c>
      <c r="C6399" s="1325">
        <v>150</v>
      </c>
      <c r="D6399" s="1325">
        <f>C6399</f>
        <v>150</v>
      </c>
      <c r="E6399" s="1325">
        <f t="shared" si="694"/>
        <v>150</v>
      </c>
      <c r="F6399" s="1325">
        <f t="shared" si="694"/>
        <v>150</v>
      </c>
      <c r="G6399" s="1325">
        <f t="shared" si="694"/>
        <v>150</v>
      </c>
      <c r="H6399" s="1325">
        <f t="shared" si="694"/>
        <v>150</v>
      </c>
      <c r="I6399" s="1293"/>
      <c r="J6399" s="1293"/>
    </row>
    <row r="6400" spans="1:14" ht="15.75">
      <c r="B6400" s="1738" t="s">
        <v>9076</v>
      </c>
      <c r="C6400" s="1293"/>
      <c r="D6400" s="1293">
        <v>1000</v>
      </c>
      <c r="E6400" s="1293">
        <f t="shared" si="694"/>
        <v>1000</v>
      </c>
      <c r="F6400" s="1293">
        <f t="shared" si="694"/>
        <v>1000</v>
      </c>
      <c r="G6400" s="1293">
        <f t="shared" si="694"/>
        <v>1000</v>
      </c>
      <c r="H6400" s="1293">
        <f t="shared" si="694"/>
        <v>1000</v>
      </c>
      <c r="I6400" s="1878"/>
      <c r="J6400" s="1293"/>
    </row>
    <row r="6401" spans="2:10" ht="15.75">
      <c r="B6401" s="2356" t="s">
        <v>1317</v>
      </c>
      <c r="C6401" s="2357">
        <f t="shared" ref="C6401:H6401" ca="1" si="695">SUM(C6397:C6400)</f>
        <v>4969.447486561462</v>
      </c>
      <c r="D6401" s="2357">
        <f t="shared" ca="1" si="695"/>
        <v>6392.9041384406783</v>
      </c>
      <c r="E6401" s="2357">
        <f t="shared" ca="1" si="695"/>
        <v>6542.3004502399044</v>
      </c>
      <c r="F6401" s="2357">
        <f t="shared" ca="1" si="695"/>
        <v>6672.5298857770322</v>
      </c>
      <c r="G6401" s="2357">
        <f t="shared" ca="1" si="695"/>
        <v>6750.798519469693</v>
      </c>
      <c r="H6401" s="2357">
        <f t="shared" ca="1" si="695"/>
        <v>6801.761132624335</v>
      </c>
      <c r="I6401" s="1653"/>
      <c r="J6401" s="1293"/>
    </row>
    <row r="6402" spans="2:10" ht="15.75">
      <c r="B6402" s="1738" t="s">
        <v>7865</v>
      </c>
      <c r="C6402" s="1327">
        <f ca="1">Valuation!O38</f>
        <v>2022.3750399146707</v>
      </c>
      <c r="D6402" s="1327">
        <f ca="1">Valuation!P38</f>
        <v>2029.7024146089595</v>
      </c>
      <c r="E6402" s="1327">
        <f ca="1">Valuation!Q38</f>
        <v>2087.1815878920547</v>
      </c>
      <c r="F6402" s="1327">
        <f ca="1">Valuation!R38</f>
        <v>2150.1784328008562</v>
      </c>
      <c r="G6402" s="1327">
        <f ca="1">Valuation!S38</f>
        <v>2216.298312287332</v>
      </c>
      <c r="H6402" s="1327">
        <f ca="1">Valuation!T38</f>
        <v>2279.0754998792759</v>
      </c>
      <c r="I6402" s="1653"/>
      <c r="J6402" s="1293"/>
    </row>
    <row r="6403" spans="2:10" ht="15.75">
      <c r="B6403" s="2349" t="s">
        <v>8876</v>
      </c>
      <c r="C6403" s="2358">
        <f t="shared" ref="C6403:H6403" ca="1" si="696">C6401/C6402</f>
        <v>2.4572333956273194</v>
      </c>
      <c r="D6403" s="2358">
        <f t="shared" ca="1" si="696"/>
        <v>3.1496755841778552</v>
      </c>
      <c r="E6403" s="2358">
        <f t="shared" ca="1" si="696"/>
        <v>3.1345142598959437</v>
      </c>
      <c r="F6403" s="2358">
        <f t="shared" ca="1" si="696"/>
        <v>3.1032447279667346</v>
      </c>
      <c r="G6403" s="2358">
        <f t="shared" ca="1" si="696"/>
        <v>3.0459791816123016</v>
      </c>
      <c r="H6403" s="2358">
        <f t="shared" ca="1" si="696"/>
        <v>2.9844387046346772</v>
      </c>
      <c r="I6403" s="1653"/>
      <c r="J6403" s="1293"/>
    </row>
    <row r="6404" spans="2:10" ht="15.75">
      <c r="B6404" s="1738"/>
      <c r="C6404" s="1293"/>
      <c r="D6404" s="1293"/>
      <c r="E6404" s="1293"/>
      <c r="F6404" s="1293"/>
      <c r="G6404" s="1293"/>
      <c r="H6404" s="1293"/>
      <c r="I6404" s="1653"/>
      <c r="J6404" s="1293"/>
    </row>
    <row r="6405" spans="2:10" ht="15.75">
      <c r="B6405" s="2349" t="s">
        <v>8876</v>
      </c>
      <c r="C6405" s="2359">
        <f t="shared" ref="C6405:H6405" ca="1" si="697">C6403</f>
        <v>2.4572333956273194</v>
      </c>
      <c r="D6405" s="2359">
        <f t="shared" ca="1" si="697"/>
        <v>3.1496755841778552</v>
      </c>
      <c r="E6405" s="2359">
        <f t="shared" ca="1" si="697"/>
        <v>3.1345142598959437</v>
      </c>
      <c r="F6405" s="2359">
        <f t="shared" ca="1" si="697"/>
        <v>3.1032447279667346</v>
      </c>
      <c r="G6405" s="2359">
        <f t="shared" ca="1" si="697"/>
        <v>3.0459791816123016</v>
      </c>
      <c r="H6405" s="2359">
        <f t="shared" ca="1" si="697"/>
        <v>2.9844387046346772</v>
      </c>
      <c r="I6405" s="1653"/>
      <c r="J6405" s="1293"/>
    </row>
    <row r="6406" spans="2:10" ht="15.75">
      <c r="B6406" s="2346" t="s">
        <v>9073</v>
      </c>
      <c r="C6406" s="1655">
        <v>2.5</v>
      </c>
      <c r="D6406" s="1655">
        <v>2.5</v>
      </c>
      <c r="E6406" s="1655">
        <v>2.5</v>
      </c>
      <c r="F6406" s="1655">
        <v>2.5</v>
      </c>
      <c r="G6406" s="1655">
        <v>2.5</v>
      </c>
      <c r="H6406" s="1655">
        <v>2.5</v>
      </c>
      <c r="I6406" s="1653"/>
      <c r="J6406" s="1293"/>
    </row>
    <row r="6407" spans="2:10" ht="15.75">
      <c r="B6407" s="2349" t="s">
        <v>9072</v>
      </c>
      <c r="C6407" s="2344">
        <f t="shared" ref="C6407:H6407" ca="1" si="698">C6406-C6405</f>
        <v>4.276660437268065E-2</v>
      </c>
      <c r="D6407" s="2344">
        <f t="shared" ca="1" si="698"/>
        <v>-0.6496755841778552</v>
      </c>
      <c r="E6407" s="2344">
        <f t="shared" ca="1" si="698"/>
        <v>-0.63451425989594368</v>
      </c>
      <c r="F6407" s="2344">
        <f t="shared" ca="1" si="698"/>
        <v>-0.60324472796673456</v>
      </c>
      <c r="G6407" s="2344">
        <f t="shared" ca="1" si="698"/>
        <v>-0.54597918161230163</v>
      </c>
      <c r="H6407" s="2344">
        <f t="shared" ca="1" si="698"/>
        <v>-0.4844387046346772</v>
      </c>
      <c r="I6407" s="1653"/>
      <c r="J6407" s="1293"/>
    </row>
    <row r="6408" spans="2:10" ht="15.75">
      <c r="B6408" s="2346" t="s">
        <v>7865</v>
      </c>
      <c r="C6408" s="1668">
        <f ca="1">Valuation!O38</f>
        <v>2022.3750399146707</v>
      </c>
      <c r="D6408" s="1668">
        <f ca="1">Valuation!P38</f>
        <v>2029.7024146089595</v>
      </c>
      <c r="E6408" s="1668">
        <f ca="1">Valuation!Q38</f>
        <v>2087.1815878920547</v>
      </c>
      <c r="F6408" s="1668">
        <f ca="1">Valuation!R38</f>
        <v>2150.1784328008562</v>
      </c>
      <c r="G6408" s="1668">
        <f ca="1">Valuation!S38</f>
        <v>2216.298312287332</v>
      </c>
      <c r="H6408" s="1668">
        <f ca="1">Valuation!T38</f>
        <v>2279.0754998792759</v>
      </c>
      <c r="I6408" s="1653"/>
      <c r="J6408" s="1293"/>
    </row>
    <row r="6409" spans="2:10" ht="15.75">
      <c r="B6409" s="2349" t="s">
        <v>9074</v>
      </c>
      <c r="C6409" s="1663">
        <f t="shared" ref="C6409:H6409" ca="1" si="699">C6407*C6408</f>
        <v>86.490113225214955</v>
      </c>
      <c r="D6409" s="1663">
        <f t="shared" ca="1" si="699"/>
        <v>-1318.6481019182791</v>
      </c>
      <c r="E6409" s="1663">
        <f t="shared" ca="1" si="699"/>
        <v>-1324.3464805097676</v>
      </c>
      <c r="F6409" s="1663">
        <f t="shared" ca="1" si="699"/>
        <v>-1297.0838037748922</v>
      </c>
      <c r="G6409" s="1663">
        <f t="shared" ca="1" si="699"/>
        <v>-1210.0527387513628</v>
      </c>
      <c r="H6409" s="1663">
        <f t="shared" ca="1" si="699"/>
        <v>-1104.0723829261458</v>
      </c>
      <c r="I6409" s="1653"/>
      <c r="J6409" s="1293"/>
    </row>
    <row r="6410" spans="2:10" ht="15.75">
      <c r="B6410" s="2346" t="s">
        <v>5719</v>
      </c>
      <c r="C6410" s="1668">
        <f>Master!AB54</f>
        <v>166.363</v>
      </c>
      <c r="D6410" s="1668">
        <f>Master!AC54</f>
        <v>161.363</v>
      </c>
      <c r="E6410" s="1668">
        <f>Master!AD54</f>
        <v>156.363</v>
      </c>
      <c r="F6410" s="1668">
        <f>Master!AE54</f>
        <v>151.363</v>
      </c>
      <c r="G6410" s="1668">
        <f>Master!AF54</f>
        <v>146.363</v>
      </c>
      <c r="H6410" s="1668">
        <f>Master!AG54</f>
        <v>141.363</v>
      </c>
      <c r="I6410" s="1293"/>
      <c r="J6410" s="1293"/>
    </row>
    <row r="6411" spans="2:10" ht="15.75">
      <c r="B6411" s="2351" t="s">
        <v>9079</v>
      </c>
      <c r="C6411" s="2360">
        <f t="shared" ref="C6411:H6411" ca="1" si="700">C6409/C6410</f>
        <v>0.51988791513266142</v>
      </c>
      <c r="D6411" s="2360">
        <f t="shared" ca="1" si="700"/>
        <v>-8.1719359575508577</v>
      </c>
      <c r="E6411" s="2360">
        <f t="shared" ca="1" si="700"/>
        <v>-8.4696921938679068</v>
      </c>
      <c r="F6411" s="2360">
        <f t="shared" ca="1" si="700"/>
        <v>-8.5693584546744734</v>
      </c>
      <c r="G6411" s="2360">
        <f t="shared" ca="1" si="700"/>
        <v>-8.2674770177665309</v>
      </c>
      <c r="H6411" s="2360">
        <f t="shared" ca="1" si="700"/>
        <v>-7.810193494239269</v>
      </c>
      <c r="I6411" s="1293"/>
      <c r="J6411" s="1293"/>
    </row>
    <row r="6412" spans="2:10" ht="15.75">
      <c r="I6412" s="1293"/>
      <c r="J6412" s="1293"/>
    </row>
    <row r="6413" spans="2:10" ht="15.75">
      <c r="I6413" s="1293"/>
      <c r="J6413" s="1293"/>
    </row>
    <row r="6414" spans="2:10" ht="15.75">
      <c r="I6414" s="1293"/>
      <c r="J6414" s="1293"/>
    </row>
    <row r="6415" spans="2:10" ht="15.75">
      <c r="B6415" s="1655"/>
      <c r="C6415" s="1655"/>
      <c r="D6415" s="1667"/>
      <c r="E6415" s="2345"/>
      <c r="F6415" s="2345"/>
      <c r="G6415" s="2345"/>
      <c r="H6415" s="2345"/>
      <c r="I6415" s="1293"/>
      <c r="J6415" s="1293"/>
    </row>
    <row r="6416" spans="2:10" ht="15.75">
      <c r="I6416" s="1293"/>
      <c r="J6416" s="1293"/>
    </row>
    <row r="6417" spans="2:10" ht="15.75">
      <c r="I6417" s="1293"/>
      <c r="J6417" s="1293"/>
    </row>
    <row r="6420" spans="2:10" ht="15.75">
      <c r="B6420" s="2352"/>
      <c r="C6420" s="2353" t="s">
        <v>4547</v>
      </c>
      <c r="D6420" s="2353" t="s">
        <v>8351</v>
      </c>
      <c r="E6420" s="2353" t="s">
        <v>8726</v>
      </c>
      <c r="F6420" s="2353" t="s">
        <v>8727</v>
      </c>
      <c r="G6420" s="2353" t="s">
        <v>9065</v>
      </c>
      <c r="H6420" s="2353" t="s">
        <v>9066</v>
      </c>
    </row>
    <row r="6421" spans="2:10" ht="15.75">
      <c r="B6421" s="2349" t="s">
        <v>574</v>
      </c>
      <c r="C6421" s="1661">
        <f ca="1">Valuation!O32</f>
        <v>759.62092045878626</v>
      </c>
      <c r="D6421" s="1661">
        <f ca="1">Valuation!P32</f>
        <v>791.0777005844003</v>
      </c>
      <c r="E6421" s="1661">
        <f ca="1">Valuation!Q32</f>
        <v>842.25723102170844</v>
      </c>
      <c r="F6421" s="1661">
        <f ca="1">Valuation!R32</f>
        <v>881.36205879018371</v>
      </c>
      <c r="G6421" s="1661">
        <f ca="1">Valuation!S32</f>
        <v>950.76953719767153</v>
      </c>
      <c r="H6421" s="1661">
        <f ca="1">Valuation!T32</f>
        <v>992.97287494162629</v>
      </c>
      <c r="J6421" t="s">
        <v>9082</v>
      </c>
    </row>
    <row r="6422" spans="2:10" ht="15.75">
      <c r="B6422" s="2347" t="s">
        <v>9075</v>
      </c>
      <c r="C6422" s="1825"/>
      <c r="D6422" s="1840">
        <f>-400-200-400</f>
        <v>-1000</v>
      </c>
      <c r="E6422" s="2348"/>
      <c r="F6422" s="2348"/>
      <c r="G6422" s="2348"/>
      <c r="H6422" s="2348"/>
    </row>
    <row r="6423" spans="2:10" ht="15.75">
      <c r="B6423" s="2349" t="s">
        <v>9077</v>
      </c>
      <c r="C6423" s="2350">
        <f t="shared" ref="C6423:H6423" ca="1" si="701">C6421+C6422</f>
        <v>759.62092045878626</v>
      </c>
      <c r="D6423" s="2350">
        <f t="shared" ca="1" si="701"/>
        <v>-208.9222994155997</v>
      </c>
      <c r="E6423" s="2350">
        <f t="shared" ca="1" si="701"/>
        <v>842.25723102170844</v>
      </c>
      <c r="F6423" s="2350">
        <f t="shared" ca="1" si="701"/>
        <v>881.36205879018371</v>
      </c>
      <c r="G6423" s="2350">
        <f t="shared" ca="1" si="701"/>
        <v>950.76953719767153</v>
      </c>
      <c r="H6423" s="2350">
        <f t="shared" ca="1" si="701"/>
        <v>992.97287494162629</v>
      </c>
    </row>
    <row r="6424" spans="2:10" ht="15.75">
      <c r="B6424" s="2347" t="s">
        <v>5719</v>
      </c>
      <c r="C6424" s="1838">
        <f t="shared" ref="C6424:H6424" si="702">C6410</f>
        <v>166.363</v>
      </c>
      <c r="D6424" s="1838">
        <f t="shared" si="702"/>
        <v>161.363</v>
      </c>
      <c r="E6424" s="1838">
        <f t="shared" si="702"/>
        <v>156.363</v>
      </c>
      <c r="F6424" s="1838">
        <f t="shared" si="702"/>
        <v>151.363</v>
      </c>
      <c r="G6424" s="1838">
        <f t="shared" si="702"/>
        <v>146.363</v>
      </c>
      <c r="H6424" s="1838">
        <f t="shared" si="702"/>
        <v>141.363</v>
      </c>
    </row>
    <row r="6425" spans="2:10" ht="15.75">
      <c r="B6425" s="2351" t="s">
        <v>404</v>
      </c>
      <c r="C6425" s="2361">
        <f t="shared" ref="C6425:H6425" ca="1" si="703">C6423/C6410</f>
        <v>4.5660448564812262</v>
      </c>
      <c r="D6425" s="2361">
        <f t="shared" ca="1" si="703"/>
        <v>-1.2947348488538246</v>
      </c>
      <c r="E6425" s="2361">
        <f t="shared" ca="1" si="703"/>
        <v>5.3865507250545743</v>
      </c>
      <c r="F6425" s="2361">
        <f t="shared" ca="1" si="703"/>
        <v>5.8228368808109225</v>
      </c>
      <c r="G6425" s="2361">
        <f t="shared" ca="1" si="703"/>
        <v>6.4959691807196593</v>
      </c>
      <c r="H6425" s="2361">
        <f t="shared" ca="1" si="703"/>
        <v>7.0242770381332198</v>
      </c>
    </row>
    <row r="6426" spans="2:10" ht="15.75">
      <c r="B6426" s="1653"/>
      <c r="C6426" s="1653"/>
      <c r="D6426" s="1293"/>
      <c r="E6426" s="1293"/>
      <c r="F6426" s="1293"/>
      <c r="G6426" s="1293"/>
      <c r="H6426" s="1293"/>
    </row>
    <row r="6427" spans="2:10" ht="15.75">
      <c r="B6427" s="1653"/>
      <c r="C6427" s="1653"/>
      <c r="D6427" s="1293"/>
      <c r="E6427" s="1293"/>
      <c r="F6427" s="1293"/>
      <c r="G6427" s="1293"/>
      <c r="H6427" s="1293"/>
    </row>
    <row r="6428" spans="2:10" ht="15.75">
      <c r="B6428" s="1653"/>
      <c r="C6428" s="1653"/>
      <c r="D6428" s="1293"/>
      <c r="E6428" s="1293"/>
      <c r="F6428" s="1293"/>
      <c r="G6428" s="1293"/>
      <c r="H6428" s="1293"/>
    </row>
    <row r="6429" spans="2:10" ht="15.75">
      <c r="B6429" s="1293"/>
      <c r="C6429" s="1653">
        <f>1+0.75+4*0.75</f>
        <v>4.75</v>
      </c>
      <c r="D6429" s="1696">
        <f>C6429/Valuation!B4</f>
        <v>0.16058147396889791</v>
      </c>
      <c r="E6429" s="1655"/>
      <c r="F6429" s="1653"/>
      <c r="G6429" s="1293"/>
      <c r="H6429" s="1293"/>
    </row>
    <row r="6430" spans="2:10" ht="15.75">
      <c r="B6430" s="1293"/>
      <c r="C6430" s="1653">
        <f>C6429*SOP!I35</f>
        <v>790.22424999999998</v>
      </c>
      <c r="D6430" s="1653">
        <f ca="1">C6430/SOP!I33</f>
        <v>0.12960903115250433</v>
      </c>
      <c r="E6430" s="1655"/>
      <c r="F6430" s="1653"/>
      <c r="G6430" s="1293"/>
      <c r="H6430" s="1293"/>
    </row>
    <row r="6431" spans="2:10" ht="15.75">
      <c r="B6431" s="1293"/>
      <c r="C6431" s="1653">
        <v>150</v>
      </c>
      <c r="D6431" s="1653"/>
      <c r="E6431" s="1655"/>
      <c r="F6431" s="1653"/>
      <c r="G6431" s="1293"/>
      <c r="H6431" s="1293"/>
    </row>
    <row r="6432" spans="2:10" ht="15.75">
      <c r="B6432" s="1293"/>
      <c r="C6432" s="1653">
        <f>C6430+C6431</f>
        <v>940.22424999999998</v>
      </c>
      <c r="D6432" s="1653"/>
      <c r="E6432" s="1655"/>
      <c r="F6432" s="1653"/>
      <c r="G6432" s="1293"/>
      <c r="H6432" s="1293"/>
    </row>
    <row r="6433" spans="2:8" ht="15.75">
      <c r="B6433" s="1293"/>
      <c r="C6433" s="1696">
        <f>C6432/Valuation!O10</f>
        <v>0.19106297475216885</v>
      </c>
      <c r="D6433" s="1653"/>
      <c r="E6433" s="1655"/>
      <c r="F6433" s="1653"/>
      <c r="G6433" s="1293"/>
      <c r="H6433" s="1293"/>
    </row>
    <row r="6434" spans="2:8" ht="15.75">
      <c r="B6434" s="1293"/>
      <c r="C6434" s="1653"/>
      <c r="D6434" s="1653"/>
      <c r="E6434" s="1655"/>
      <c r="F6434" s="1653"/>
      <c r="G6434" s="1293"/>
      <c r="H6434" s="1293"/>
    </row>
    <row r="6435" spans="2:8" ht="15.75">
      <c r="B6435" s="1293"/>
      <c r="C6435" s="1653">
        <v>2025</v>
      </c>
      <c r="D6435" s="1653">
        <v>2026</v>
      </c>
      <c r="E6435" s="1655">
        <v>2027</v>
      </c>
      <c r="F6435" s="1653"/>
      <c r="G6435" s="1293"/>
      <c r="H6435" s="1293"/>
    </row>
    <row r="6436" spans="2:8" ht="15.75">
      <c r="B6436" s="1293" t="s">
        <v>7006</v>
      </c>
      <c r="C6436" s="1653">
        <v>1</v>
      </c>
      <c r="D6436" s="1653">
        <v>1</v>
      </c>
      <c r="E6436" s="1653">
        <v>1</v>
      </c>
      <c r="F6436" s="1653"/>
      <c r="G6436" s="1293"/>
      <c r="H6436" s="1293"/>
    </row>
    <row r="6437" spans="2:8" ht="15.75">
      <c r="B6437" s="1293" t="s">
        <v>5059</v>
      </c>
      <c r="C6437" s="1653">
        <v>0.15</v>
      </c>
      <c r="D6437" s="1653">
        <v>1.1200000000000001</v>
      </c>
      <c r="E6437" s="1655">
        <v>2.0699999999999998</v>
      </c>
      <c r="F6437" s="1653"/>
      <c r="G6437" s="1293"/>
      <c r="H6437" s="1293"/>
    </row>
    <row r="6438" spans="2:8" ht="15.75">
      <c r="B6438" s="1293"/>
      <c r="C6438" s="1653"/>
      <c r="D6438" s="1653"/>
      <c r="E6438" s="1655"/>
      <c r="F6438" s="1653"/>
      <c r="G6438" s="1293"/>
      <c r="H6438" s="1293"/>
    </row>
    <row r="6439" spans="2:8" ht="15.75">
      <c r="B6439" s="1653"/>
      <c r="C6439" s="1653"/>
      <c r="D6439" s="1293"/>
      <c r="E6439" s="1293"/>
      <c r="F6439" s="1293"/>
      <c r="G6439" s="1293"/>
      <c r="H6439" s="1293"/>
    </row>
    <row r="6440" spans="2:8" ht="15.75">
      <c r="B6440" s="1653"/>
      <c r="C6440" s="1653"/>
      <c r="D6440" s="1293"/>
      <c r="E6440" s="1293"/>
      <c r="F6440" s="1293"/>
      <c r="G6440" s="1293"/>
      <c r="H6440" s="1293"/>
    </row>
  </sheetData>
  <mergeCells count="5">
    <mergeCell ref="E285:F285"/>
    <mergeCell ref="G2013:I2013"/>
    <mergeCell ref="D2013:F2013"/>
    <mergeCell ref="U2508:V2508"/>
    <mergeCell ref="D4096:E4096"/>
  </mergeCells>
  <phoneticPr fontId="17" type="noConversion"/>
  <hyperlinks>
    <hyperlink ref="D229" r:id="rId1" xr:uid="{00000000-0004-0000-0200-000000000000}"/>
    <hyperlink ref="E1893" r:id="rId2" xr:uid="{00000000-0004-0000-0200-000001000000}"/>
  </hyperlinks>
  <pageMargins left="0.74803149606299213" right="0.74803149606299213" top="0.98425196850393704" bottom="0.98425196850393704" header="0.51181102362204722" footer="0.51181102362204722"/>
  <pageSetup paperSize="9" scale="10" orientation="landscape" r:id="rId3"/>
  <headerFooter alignWithMargins="0"/>
  <ignoredErrors>
    <ignoredError sqref="E2295" formula="1"/>
    <ignoredError sqref="I2450:I2452 I2456" formulaRange="1"/>
  </ignoredErrors>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theme="3" tint="0.79998168889431442"/>
  </sheetPr>
  <dimension ref="A1:AR552"/>
  <sheetViews>
    <sheetView topLeftCell="B1" zoomScale="70" zoomScaleNormal="70" workbookViewId="0">
      <pane xSplit="1" ySplit="2" topLeftCell="L166" activePane="bottomRight" state="frozen"/>
      <selection activeCell="B1" sqref="B1"/>
      <selection pane="topRight" activeCell="C1" sqref="C1"/>
      <selection pane="bottomLeft" activeCell="B3" sqref="B3"/>
      <selection pane="bottomRight" activeCell="AE187" sqref="AE187"/>
    </sheetView>
  </sheetViews>
  <sheetFormatPr defaultColWidth="9.140625" defaultRowHeight="15"/>
  <cols>
    <col min="1" max="1" width="8" style="132" customWidth="1"/>
    <col min="2" max="2" width="38.140625" style="132" customWidth="1"/>
    <col min="3" max="5" width="15.7109375" style="132" bestFit="1" customWidth="1"/>
    <col min="6" max="6" width="8.85546875" style="132" bestFit="1" customWidth="1"/>
    <col min="7" max="9" width="15.140625" style="132" bestFit="1" customWidth="1"/>
    <col min="10" max="10" width="10" style="132" bestFit="1" customWidth="1"/>
    <col min="11" max="14" width="11.28515625" style="132" bestFit="1" customWidth="1"/>
    <col min="15" max="23" width="13" style="132" bestFit="1" customWidth="1"/>
    <col min="24" max="31" width="11.85546875" style="132" bestFit="1" customWidth="1"/>
    <col min="32" max="35" width="11.42578125" style="132" bestFit="1" customWidth="1"/>
    <col min="36" max="40" width="7.28515625" style="132" bestFit="1" customWidth="1"/>
    <col min="41" max="16384" width="9.140625" style="132"/>
  </cols>
  <sheetData>
    <row r="1" spans="1:44" ht="15.75">
      <c r="A1" s="2414"/>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c r="AD1" s="2414"/>
      <c r="AE1" s="2414"/>
      <c r="AF1" s="2414"/>
      <c r="AG1" s="2414"/>
      <c r="AH1" s="2414"/>
      <c r="AI1" s="2414"/>
      <c r="AJ1" s="2414"/>
      <c r="AK1" s="2414"/>
      <c r="AL1" s="2414"/>
      <c r="AM1" s="2414"/>
      <c r="AN1" s="2414"/>
      <c r="AO1" s="2414"/>
      <c r="AP1" s="2414"/>
      <c r="AQ1" s="2414"/>
      <c r="AR1" s="2414"/>
    </row>
    <row r="2" spans="1:44" ht="15.75">
      <c r="A2" s="2414"/>
      <c r="B2" s="2415" t="s">
        <v>265</v>
      </c>
      <c r="C2" s="2415">
        <v>1998</v>
      </c>
      <c r="D2" s="2415">
        <v>1999</v>
      </c>
      <c r="E2" s="2415">
        <v>2000</v>
      </c>
      <c r="F2" s="2415">
        <f t="shared" ref="F2:AC2" si="0">E2+1</f>
        <v>2001</v>
      </c>
      <c r="G2" s="2415">
        <f t="shared" si="0"/>
        <v>2002</v>
      </c>
      <c r="H2" s="2415">
        <f t="shared" si="0"/>
        <v>2003</v>
      </c>
      <c r="I2" s="2415">
        <f t="shared" si="0"/>
        <v>2004</v>
      </c>
      <c r="J2" s="2415">
        <f t="shared" si="0"/>
        <v>2005</v>
      </c>
      <c r="K2" s="2415">
        <f t="shared" si="0"/>
        <v>2006</v>
      </c>
      <c r="L2" s="2415">
        <f t="shared" si="0"/>
        <v>2007</v>
      </c>
      <c r="M2" s="2415">
        <f t="shared" si="0"/>
        <v>2008</v>
      </c>
      <c r="N2" s="2415">
        <f t="shared" si="0"/>
        <v>2009</v>
      </c>
      <c r="O2" s="2415">
        <f t="shared" si="0"/>
        <v>2010</v>
      </c>
      <c r="P2" s="2415">
        <f t="shared" si="0"/>
        <v>2011</v>
      </c>
      <c r="Q2" s="2415">
        <f t="shared" si="0"/>
        <v>2012</v>
      </c>
      <c r="R2" s="2415">
        <f t="shared" si="0"/>
        <v>2013</v>
      </c>
      <c r="S2" s="2415">
        <f t="shared" si="0"/>
        <v>2014</v>
      </c>
      <c r="T2" s="2415">
        <f t="shared" si="0"/>
        <v>2015</v>
      </c>
      <c r="U2" s="2415">
        <f t="shared" si="0"/>
        <v>2016</v>
      </c>
      <c r="V2" s="2415">
        <f t="shared" si="0"/>
        <v>2017</v>
      </c>
      <c r="W2" s="2415">
        <f t="shared" si="0"/>
        <v>2018</v>
      </c>
      <c r="X2" s="2415">
        <f t="shared" si="0"/>
        <v>2019</v>
      </c>
      <c r="Y2" s="2415">
        <f t="shared" si="0"/>
        <v>2020</v>
      </c>
      <c r="Z2" s="2415">
        <f t="shared" si="0"/>
        <v>2021</v>
      </c>
      <c r="AA2" s="2415">
        <f t="shared" si="0"/>
        <v>2022</v>
      </c>
      <c r="AB2" s="2415">
        <f t="shared" si="0"/>
        <v>2023</v>
      </c>
      <c r="AC2" s="2415">
        <f t="shared" si="0"/>
        <v>2024</v>
      </c>
      <c r="AD2" s="2415">
        <f t="shared" ref="AD2" si="1">AC2+1</f>
        <v>2025</v>
      </c>
      <c r="AE2" s="2415">
        <f t="shared" ref="AE2" si="2">AD2+1</f>
        <v>2026</v>
      </c>
      <c r="AF2" s="2415">
        <f t="shared" ref="AF2" si="3">AE2+1</f>
        <v>2027</v>
      </c>
      <c r="AG2" s="2415">
        <f t="shared" ref="AG2" si="4">AF2+1</f>
        <v>2028</v>
      </c>
      <c r="AH2" s="2415">
        <f t="shared" ref="AH2" si="5">AG2+1</f>
        <v>2029</v>
      </c>
      <c r="AI2" s="2415">
        <f t="shared" ref="AI2" si="6">AH2+1</f>
        <v>2030</v>
      </c>
      <c r="AJ2" s="2415"/>
      <c r="AK2" s="2415"/>
      <c r="AL2" s="2415"/>
      <c r="AM2" s="2415"/>
      <c r="AN2" s="2415"/>
      <c r="AO2" s="2414"/>
      <c r="AP2" s="2414"/>
      <c r="AQ2" s="2414"/>
      <c r="AR2" s="2414"/>
    </row>
    <row r="3" spans="1:44" ht="15.75">
      <c r="A3" s="2414"/>
      <c r="B3" s="2416" t="s">
        <v>719</v>
      </c>
      <c r="C3" s="2417"/>
      <c r="D3" s="2417"/>
      <c r="E3" s="2417"/>
      <c r="F3" s="2417"/>
      <c r="G3" s="2417"/>
      <c r="H3" s="2417">
        <f>Master!F54</f>
        <v>100</v>
      </c>
      <c r="I3" s="2417">
        <f>Master!G54</f>
        <v>109.08599999999998</v>
      </c>
      <c r="J3" s="2417">
        <f>Master!H54</f>
        <v>99.703999999999994</v>
      </c>
      <c r="K3" s="2417">
        <f>Master!I54</f>
        <v>100.684</v>
      </c>
      <c r="L3" s="2417">
        <f>Master!J54</f>
        <v>102.428</v>
      </c>
      <c r="M3" s="2417">
        <f>Master!K54</f>
        <v>108.297</v>
      </c>
      <c r="N3" s="2417">
        <f>Master!L54</f>
        <v>108.648</v>
      </c>
      <c r="O3" s="2417">
        <f>Master!M54</f>
        <v>109.053</v>
      </c>
      <c r="P3" s="2417">
        <f>Master!N54</f>
        <v>104.85299999999999</v>
      </c>
      <c r="Q3" s="2417">
        <f>Master!O54</f>
        <v>100.8</v>
      </c>
      <c r="R3" s="2417">
        <f>Master!P54</f>
        <v>99.899999999999991</v>
      </c>
      <c r="S3" s="2417">
        <f>Master!Q54</f>
        <v>99.899999999999991</v>
      </c>
      <c r="T3" s="2417">
        <f>Master!R54</f>
        <v>99.899999999999991</v>
      </c>
      <c r="U3" s="2417">
        <f>Master!S54</f>
        <v>99.899999999999991</v>
      </c>
      <c r="V3" s="2417">
        <f>Master!T54</f>
        <v>99.899999999999991</v>
      </c>
      <c r="W3" s="2417">
        <f>Master!U54</f>
        <v>99.899999999999991</v>
      </c>
      <c r="X3" s="2417">
        <f>Master!V54</f>
        <v>99.899999999999991</v>
      </c>
      <c r="Y3" s="2417">
        <f>Master!W54</f>
        <v>99.559999999999988</v>
      </c>
      <c r="Z3" s="2417">
        <f>Master!X54</f>
        <v>98.559999999999988</v>
      </c>
      <c r="AA3" s="2417">
        <f>Master!Y54</f>
        <v>168.95999999999998</v>
      </c>
      <c r="AB3" s="2417">
        <f>Master!Z54</f>
        <v>171.39699999999999</v>
      </c>
      <c r="AC3" s="2417">
        <f>Master!AA54</f>
        <v>171.31299999999999</v>
      </c>
      <c r="AD3" s="2417">
        <f>Master!AB54</f>
        <v>166.363</v>
      </c>
      <c r="AE3" s="2417">
        <f>Master!AC54</f>
        <v>161.363</v>
      </c>
      <c r="AF3" s="2417">
        <f>Master!AD54</f>
        <v>156.363</v>
      </c>
      <c r="AG3" s="2417">
        <f>Master!AE54</f>
        <v>151.363</v>
      </c>
      <c r="AH3" s="2417">
        <f>Master!AF54</f>
        <v>146.363</v>
      </c>
      <c r="AI3" s="2417">
        <f>Master!AG54</f>
        <v>141.363</v>
      </c>
      <c r="AJ3" s="2418"/>
      <c r="AK3" s="2418"/>
      <c r="AL3" s="2418"/>
      <c r="AM3" s="2418"/>
      <c r="AN3" s="2418"/>
      <c r="AO3" s="2414"/>
      <c r="AP3" s="2414"/>
      <c r="AQ3" s="2414"/>
      <c r="AR3" s="2414"/>
    </row>
    <row r="4" spans="1:44" ht="15.75">
      <c r="A4" s="2414"/>
      <c r="B4" s="2416" t="s">
        <v>720</v>
      </c>
      <c r="C4" s="2417"/>
      <c r="D4" s="2417"/>
      <c r="E4" s="2417"/>
      <c r="F4" s="2417"/>
      <c r="G4" s="2417"/>
      <c r="H4" s="2417">
        <f>Master!F53</f>
        <v>80.5</v>
      </c>
      <c r="I4" s="2417">
        <f>Master!G53</f>
        <v>90.311999999999998</v>
      </c>
      <c r="J4" s="2417">
        <f>Master!H53</f>
        <v>109.17099999999999</v>
      </c>
      <c r="K4" s="2417">
        <f>Master!I53</f>
        <v>109.02999999999999</v>
      </c>
      <c r="L4" s="2417">
        <f>Master!J53</f>
        <v>108.83999999999999</v>
      </c>
      <c r="M4" s="2417">
        <f>Master!K53</f>
        <v>108.646</v>
      </c>
      <c r="N4" s="2417">
        <f>Master!L53</f>
        <v>108.75</v>
      </c>
      <c r="O4" s="2417">
        <f>Master!M53</f>
        <v>107.22399999999999</v>
      </c>
      <c r="P4" s="2417">
        <f>Master!N53</f>
        <v>103.7735</v>
      </c>
      <c r="Q4" s="2417">
        <f>Master!O53</f>
        <v>101.297</v>
      </c>
      <c r="R4" s="2417">
        <f>Master!P53</f>
        <v>100.84699999999999</v>
      </c>
      <c r="S4" s="2417">
        <f>Master!Q53</f>
        <v>100.84699999999999</v>
      </c>
      <c r="T4" s="2417">
        <f>Master!R53</f>
        <v>100.84699999999999</v>
      </c>
      <c r="U4" s="2417">
        <f>Master!S53</f>
        <v>100.84699999999999</v>
      </c>
      <c r="V4" s="2417">
        <f>Master!T53</f>
        <v>100.84699999999999</v>
      </c>
      <c r="W4" s="2417">
        <f>Master!U53</f>
        <v>100.84699999999999</v>
      </c>
      <c r="X4" s="2417">
        <f>Master!V53</f>
        <v>100.84699999999999</v>
      </c>
      <c r="Y4" s="2417">
        <f>Master!W53</f>
        <v>100.84699999999999</v>
      </c>
      <c r="Z4" s="2417">
        <f>Master!X53</f>
        <v>100.84699999999999</v>
      </c>
      <c r="AA4" s="2417">
        <f>Master!Y53</f>
        <v>136.047</v>
      </c>
      <c r="AB4" s="2417">
        <f>Master!Z53</f>
        <v>171.322</v>
      </c>
      <c r="AC4" s="2417">
        <f>Master!AA53</f>
        <v>171.9785</v>
      </c>
      <c r="AD4" s="2417">
        <f>Master!AB53</f>
        <v>172.56</v>
      </c>
      <c r="AE4" s="2417">
        <f>Master!AC53</f>
        <v>172.56</v>
      </c>
      <c r="AF4" s="2417">
        <f>Master!AD53</f>
        <v>172.56</v>
      </c>
      <c r="AG4" s="2417">
        <f>Master!AE53</f>
        <v>172.56</v>
      </c>
      <c r="AH4" s="2417">
        <f>Master!AF53</f>
        <v>172.56</v>
      </c>
      <c r="AI4" s="2417">
        <f>Master!AG53</f>
        <v>172.56</v>
      </c>
      <c r="AJ4" s="2418"/>
      <c r="AK4" s="2418"/>
      <c r="AL4" s="2418"/>
      <c r="AM4" s="2418"/>
      <c r="AN4" s="2418"/>
      <c r="AO4" s="2414"/>
      <c r="AP4" s="2414"/>
      <c r="AQ4" s="2414"/>
      <c r="AR4" s="2414"/>
    </row>
    <row r="5" spans="1:44" ht="15.75">
      <c r="A5" s="2414"/>
      <c r="B5" s="2416" t="s">
        <v>721</v>
      </c>
      <c r="C5" s="2419"/>
      <c r="D5" s="2419"/>
      <c r="E5" s="2420"/>
      <c r="F5" s="2420"/>
      <c r="G5" s="2420"/>
      <c r="H5" s="2420"/>
      <c r="I5" s="2420"/>
      <c r="J5" s="2420"/>
      <c r="K5" s="2420"/>
      <c r="L5" s="2420"/>
      <c r="M5" s="2420"/>
      <c r="N5" s="2420"/>
      <c r="O5" s="2419"/>
      <c r="P5" s="2419"/>
      <c r="Q5" s="2419"/>
      <c r="R5" s="2419"/>
      <c r="S5" s="2419"/>
      <c r="T5" s="2419"/>
      <c r="U5" s="2419"/>
      <c r="V5" s="2419"/>
      <c r="W5" s="2419"/>
      <c r="X5" s="2419"/>
      <c r="Y5" s="2419"/>
      <c r="Z5" s="2419"/>
      <c r="AA5" s="2419"/>
      <c r="AB5" s="2419"/>
      <c r="AC5" s="2419"/>
      <c r="AD5" s="2419"/>
      <c r="AE5" s="2419"/>
      <c r="AF5" s="2419"/>
      <c r="AG5" s="2419"/>
      <c r="AH5" s="2419"/>
      <c r="AI5" s="2419"/>
      <c r="AJ5" s="2418"/>
      <c r="AK5" s="2418"/>
      <c r="AL5" s="2418"/>
      <c r="AM5" s="2418"/>
      <c r="AN5" s="2418"/>
      <c r="AO5" s="2414"/>
      <c r="AP5" s="2414"/>
      <c r="AQ5" s="2414"/>
      <c r="AR5" s="2414"/>
    </row>
    <row r="6" spans="1:44" ht="15.75">
      <c r="A6" s="2414"/>
      <c r="B6" s="2416" t="s">
        <v>722</v>
      </c>
      <c r="C6" s="2419"/>
      <c r="D6" s="2419"/>
      <c r="E6" s="2420"/>
      <c r="F6" s="2420"/>
      <c r="G6" s="2420"/>
      <c r="H6" s="2420"/>
      <c r="I6" s="2420"/>
      <c r="J6" s="2420"/>
      <c r="K6" s="2420"/>
      <c r="L6" s="2420"/>
      <c r="M6" s="2420"/>
      <c r="N6" s="2420"/>
      <c r="O6" s="2419"/>
      <c r="P6" s="2419"/>
      <c r="Q6" s="2419"/>
      <c r="R6" s="2419"/>
      <c r="S6" s="2419"/>
      <c r="T6" s="2419"/>
      <c r="U6" s="2419"/>
      <c r="V6" s="2419"/>
      <c r="W6" s="2419"/>
      <c r="X6" s="2419"/>
      <c r="Y6" s="2419"/>
      <c r="Z6" s="2419"/>
      <c r="AA6" s="2419"/>
      <c r="AB6" s="2419"/>
      <c r="AC6" s="2419"/>
      <c r="AD6" s="2419"/>
      <c r="AE6" s="2419"/>
      <c r="AF6" s="2419"/>
      <c r="AG6" s="2419"/>
      <c r="AH6" s="2419"/>
      <c r="AI6" s="2419"/>
      <c r="AJ6" s="2418"/>
      <c r="AK6" s="2418"/>
      <c r="AL6" s="2418"/>
      <c r="AM6" s="2418"/>
      <c r="AN6" s="2418"/>
      <c r="AO6" s="2414"/>
      <c r="AP6" s="2414"/>
      <c r="AQ6" s="2414"/>
      <c r="AR6" s="2414"/>
    </row>
    <row r="7" spans="1:44" ht="15.75">
      <c r="A7" s="2414"/>
      <c r="B7" s="2416" t="s">
        <v>812</v>
      </c>
      <c r="C7" s="2419"/>
      <c r="D7" s="2421"/>
      <c r="E7" s="2421"/>
      <c r="F7" s="2421"/>
      <c r="G7" s="2421"/>
      <c r="H7" s="2422">
        <v>613.1</v>
      </c>
      <c r="I7" s="2422">
        <v>327.39999999999998</v>
      </c>
      <c r="J7" s="2422">
        <v>157.71600000000001</v>
      </c>
      <c r="K7" s="2422">
        <v>665.83100000000002</v>
      </c>
      <c r="L7" s="2422">
        <v>481</v>
      </c>
      <c r="M7" s="2422">
        <v>1484</v>
      </c>
      <c r="N7" s="2422">
        <v>772</v>
      </c>
      <c r="O7" s="2422">
        <v>1275.549</v>
      </c>
      <c r="P7" s="2422">
        <v>1642</v>
      </c>
      <c r="Q7" s="2422">
        <v>2042</v>
      </c>
      <c r="R7" s="2422">
        <v>2121</v>
      </c>
      <c r="S7" s="2421">
        <f>Valuation!D16</f>
        <v>3998</v>
      </c>
      <c r="T7" s="2421">
        <f>Valuation!E16</f>
        <v>4295</v>
      </c>
      <c r="U7" s="2421">
        <f>Valuation!F16</f>
        <v>4187</v>
      </c>
      <c r="V7" s="2421">
        <f>Valuation!G16</f>
        <v>4073</v>
      </c>
      <c r="W7" s="2421">
        <f>Valuation!H16</f>
        <v>5133</v>
      </c>
      <c r="X7" s="2421">
        <f>Valuation!I16</f>
        <v>7236</v>
      </c>
      <c r="Y7" s="2421">
        <f>Valuation!J16</f>
        <v>6631</v>
      </c>
      <c r="Z7" s="2421">
        <f>Valuation!K16</f>
        <v>8281</v>
      </c>
      <c r="AA7" s="2421">
        <f>Valuation!L16</f>
        <v>6815</v>
      </c>
      <c r="AB7" s="2421">
        <f>Valuation!M16</f>
        <v>6999</v>
      </c>
      <c r="AC7" s="2421">
        <f>Valuation!N16</f>
        <v>6129</v>
      </c>
      <c r="AD7" s="2421">
        <f ca="1">Valuation!O16</f>
        <v>5411.8432365614617</v>
      </c>
      <c r="AE7" s="2421">
        <f ca="1">Valuation!P16</f>
        <v>5610.2016384406788</v>
      </c>
      <c r="AF7" s="2421">
        <f ca="1">Valuation!Q16</f>
        <v>5784.6553564899041</v>
      </c>
      <c r="AG7" s="2421">
        <f ca="1">Valuation!R16</f>
        <v>5940.5686334332822</v>
      </c>
      <c r="AH7" s="2421">
        <f ca="1">Valuation!S16</f>
        <v>6045.1632045673487</v>
      </c>
      <c r="AI7" s="2421">
        <f ca="1">Valuation!T16</f>
        <v>6123.1099035994321</v>
      </c>
      <c r="AJ7" s="2418"/>
      <c r="AK7" s="2418"/>
      <c r="AL7" s="2418"/>
      <c r="AM7" s="2418"/>
      <c r="AN7" s="2418"/>
      <c r="AO7" s="2414"/>
      <c r="AP7" s="2414"/>
      <c r="AQ7" s="2414"/>
      <c r="AR7" s="2414"/>
    </row>
    <row r="8" spans="1:44" ht="15.75">
      <c r="A8" s="2414"/>
      <c r="B8" s="2416" t="s">
        <v>813</v>
      </c>
      <c r="C8" s="2419"/>
      <c r="D8" s="2419"/>
      <c r="E8" s="2420"/>
      <c r="F8" s="2420"/>
      <c r="G8" s="2420"/>
      <c r="H8" s="2423">
        <v>719.88705643803257</v>
      </c>
      <c r="I8" s="2423">
        <v>719.88705643803257</v>
      </c>
      <c r="J8" s="2423">
        <v>719.88705643803257</v>
      </c>
      <c r="K8" s="2423">
        <v>719.88705643803257</v>
      </c>
      <c r="L8" s="2423">
        <v>719.88705643803257</v>
      </c>
      <c r="M8" s="2423">
        <v>719.88705643803257</v>
      </c>
      <c r="N8" s="2423">
        <v>719.88705643803257</v>
      </c>
      <c r="O8" s="2423">
        <v>719.88705643803257</v>
      </c>
      <c r="P8" s="2423">
        <v>719.88705643803257</v>
      </c>
      <c r="Q8" s="2423">
        <v>719.88705643803257</v>
      </c>
      <c r="R8" s="2423">
        <v>719.88705643803257</v>
      </c>
      <c r="S8" s="2420">
        <f>Valuation!D13+Valuation!D15</f>
        <v>1958.3144276161113</v>
      </c>
      <c r="T8" s="2420">
        <f>Valuation!E13+Valuation!E15</f>
        <v>1958.3144276161113</v>
      </c>
      <c r="U8" s="2420">
        <f>Valuation!F13+Valuation!F15</f>
        <v>1958.3144276161113</v>
      </c>
      <c r="V8" s="2420">
        <f>Valuation!G13+Valuation!G15</f>
        <v>1958.3144276161113</v>
      </c>
      <c r="W8" s="2420">
        <f>Valuation!H13+Valuation!H15</f>
        <v>1958.3144276161113</v>
      </c>
      <c r="X8" s="2420">
        <f>Valuation!I13+Valuation!I15</f>
        <v>1958.3144276161113</v>
      </c>
      <c r="Y8" s="2420">
        <f>Valuation!J13+Valuation!J15</f>
        <v>1958.3144276161113</v>
      </c>
      <c r="Z8" s="2420">
        <f>Valuation!K13+Valuation!K15</f>
        <v>1958.3144276161113</v>
      </c>
      <c r="AA8" s="2420">
        <f>Valuation!L13+Valuation!L15</f>
        <v>1958.3144276161113</v>
      </c>
      <c r="AB8" s="2420">
        <f>Valuation!M13+Valuation!M15</f>
        <v>1958.3144276161113</v>
      </c>
      <c r="AC8" s="2420">
        <f>Valuation!N13+Valuation!N15</f>
        <v>1958.3144276161113</v>
      </c>
      <c r="AD8" s="2420">
        <f>Valuation!O13+Valuation!O15</f>
        <v>1958.3144276161113</v>
      </c>
      <c r="AE8" s="2420">
        <f>Valuation!P13+Valuation!P15</f>
        <v>1958.3144276161113</v>
      </c>
      <c r="AF8" s="2420">
        <f>Valuation!Q13+Valuation!Q15</f>
        <v>1958.3144276161113</v>
      </c>
      <c r="AG8" s="2420">
        <f>Valuation!R13+Valuation!R15</f>
        <v>1958.3144276161113</v>
      </c>
      <c r="AH8" s="2420">
        <f>Valuation!S13+Valuation!S15</f>
        <v>1958.3144276161113</v>
      </c>
      <c r="AI8" s="2420">
        <f>Valuation!T13+Valuation!T15</f>
        <v>1958.3144276161113</v>
      </c>
      <c r="AJ8" s="2418"/>
      <c r="AK8" s="2418"/>
      <c r="AL8" s="2418"/>
      <c r="AM8" s="2418"/>
      <c r="AN8" s="2418"/>
      <c r="AO8" s="2414"/>
      <c r="AP8" s="2414"/>
      <c r="AQ8" s="2414"/>
      <c r="AR8" s="2414"/>
    </row>
    <row r="9" spans="1:44" ht="15.75">
      <c r="A9" s="2414"/>
      <c r="B9" s="2416" t="s">
        <v>2138</v>
      </c>
      <c r="C9" s="2419"/>
      <c r="D9" s="2419"/>
      <c r="E9" s="2420"/>
      <c r="F9" s="2420"/>
      <c r="G9" s="2420"/>
      <c r="H9" s="2423">
        <v>151.31296622748525</v>
      </c>
      <c r="I9" s="2423">
        <v>151.31296622748525</v>
      </c>
      <c r="J9" s="2423">
        <v>151.31296622748525</v>
      </c>
      <c r="K9" s="2423">
        <v>151.31296622748525</v>
      </c>
      <c r="L9" s="2423">
        <v>151.31296622748525</v>
      </c>
      <c r="M9" s="2423">
        <v>151.31296622748525</v>
      </c>
      <c r="N9" s="2423">
        <v>151.31296622748525</v>
      </c>
      <c r="O9" s="2423">
        <v>151.31296622748525</v>
      </c>
      <c r="P9" s="2423">
        <v>151.31296622748525</v>
      </c>
      <c r="Q9" s="2423">
        <v>151.31296622748525</v>
      </c>
      <c r="R9" s="2423">
        <v>151.31296622748525</v>
      </c>
      <c r="S9" s="2420">
        <f>-Valuation!D11</f>
        <v>1031.3794800703261</v>
      </c>
      <c r="T9" s="2420">
        <f>-Valuation!E11</f>
        <v>1031.3794800703261</v>
      </c>
      <c r="U9" s="2420">
        <f>-Valuation!F11</f>
        <v>1031.3794800703261</v>
      </c>
      <c r="V9" s="2420">
        <f>-Valuation!G11</f>
        <v>1031.3794800703261</v>
      </c>
      <c r="W9" s="2420">
        <f>-Valuation!H11</f>
        <v>1031.3794800703261</v>
      </c>
      <c r="X9" s="2420">
        <f>-Valuation!I11</f>
        <v>1031.3794800703261</v>
      </c>
      <c r="Y9" s="2420">
        <f>-Valuation!J11</f>
        <v>1031.3794800703261</v>
      </c>
      <c r="Z9" s="2420">
        <f>-Valuation!K11</f>
        <v>1031.3794800703261</v>
      </c>
      <c r="AA9" s="2420">
        <f>-Valuation!L11</f>
        <v>1031.3794800703261</v>
      </c>
      <c r="AB9" s="2420">
        <f>-Valuation!M11</f>
        <v>1031.3794800703261</v>
      </c>
      <c r="AC9" s="2420">
        <f>-Valuation!N11</f>
        <v>1031.3794800703261</v>
      </c>
      <c r="AD9" s="2420">
        <f>-Valuation!O11</f>
        <v>1031.3794800703261</v>
      </c>
      <c r="AE9" s="2420">
        <f>-Valuation!P11</f>
        <v>1031.3794800703261</v>
      </c>
      <c r="AF9" s="2420">
        <f>-Valuation!Q11</f>
        <v>1031.3794800703261</v>
      </c>
      <c r="AG9" s="2420">
        <f>-Valuation!R11</f>
        <v>1031.3794800703261</v>
      </c>
      <c r="AH9" s="2420">
        <f>-Valuation!S11</f>
        <v>1031.3794800703261</v>
      </c>
      <c r="AI9" s="2420">
        <f>-Valuation!T11</f>
        <v>1031.3794800703261</v>
      </c>
      <c r="AJ9" s="2418"/>
      <c r="AK9" s="2418"/>
      <c r="AL9" s="2418"/>
      <c r="AM9" s="2418"/>
      <c r="AN9" s="2418"/>
      <c r="AO9" s="2414"/>
      <c r="AP9" s="2414"/>
      <c r="AQ9" s="2414"/>
      <c r="AR9" s="2414"/>
    </row>
    <row r="10" spans="1:44" ht="15.75">
      <c r="A10" s="2414"/>
      <c r="B10" s="2416" t="s">
        <v>2139</v>
      </c>
      <c r="C10" s="2419"/>
      <c r="D10" s="2419"/>
      <c r="E10" s="2420"/>
      <c r="F10" s="2420"/>
      <c r="G10" s="2420"/>
      <c r="H10" s="2423">
        <v>2318.4453963290084</v>
      </c>
      <c r="I10" s="2423">
        <v>2318.4453963290084</v>
      </c>
      <c r="J10" s="2423">
        <v>2318.4453963290084</v>
      </c>
      <c r="K10" s="2423">
        <v>2318.4453963290084</v>
      </c>
      <c r="L10" s="2423">
        <v>2318.4453963290084</v>
      </c>
      <c r="M10" s="2423">
        <v>2318.4453963290084</v>
      </c>
      <c r="N10" s="2423">
        <v>2318.4453963290084</v>
      </c>
      <c r="O10" s="2423">
        <v>2318.4453963290084</v>
      </c>
      <c r="P10" s="2423">
        <v>2318.4453963290084</v>
      </c>
      <c r="Q10" s="2423">
        <v>2318.4453963290084</v>
      </c>
      <c r="R10" s="2423">
        <v>2318.4453963290084</v>
      </c>
      <c r="S10" s="2420">
        <f>Valuation!D14</f>
        <v>1471.8324594835435</v>
      </c>
      <c r="T10" s="2420">
        <f>Valuation!E14</f>
        <v>1471.8324594835435</v>
      </c>
      <c r="U10" s="2420">
        <f>Valuation!F14</f>
        <v>1471.8324594835435</v>
      </c>
      <c r="V10" s="2420">
        <f>Valuation!G14</f>
        <v>1471.8324594835435</v>
      </c>
      <c r="W10" s="2420">
        <f>Valuation!H14</f>
        <v>1471.8324594835435</v>
      </c>
      <c r="X10" s="2420">
        <f>Valuation!I14</f>
        <v>1471.8324594835435</v>
      </c>
      <c r="Y10" s="2420">
        <f>Valuation!J14</f>
        <v>1471.8324594835435</v>
      </c>
      <c r="Z10" s="2420">
        <f>Valuation!K14</f>
        <v>1471.8324594835435</v>
      </c>
      <c r="AA10" s="2420">
        <f>Valuation!L14</f>
        <v>1471.8324594835435</v>
      </c>
      <c r="AB10" s="2420">
        <f>Valuation!M14</f>
        <v>1471.8324594835435</v>
      </c>
      <c r="AC10" s="2420">
        <f>Valuation!N14</f>
        <v>1471.8324594835435</v>
      </c>
      <c r="AD10" s="2420">
        <f>Valuation!O14</f>
        <v>1471.8324594835435</v>
      </c>
      <c r="AE10" s="2420">
        <f>Valuation!P14</f>
        <v>1471.8324594835435</v>
      </c>
      <c r="AF10" s="2420">
        <f>Valuation!Q14</f>
        <v>1471.8324594835435</v>
      </c>
      <c r="AG10" s="2420">
        <f>Valuation!R14</f>
        <v>1471.8324594835435</v>
      </c>
      <c r="AH10" s="2420">
        <f>Valuation!S14</f>
        <v>1471.8324594835435</v>
      </c>
      <c r="AI10" s="2420">
        <f>Valuation!T14</f>
        <v>1471.8324594835435</v>
      </c>
      <c r="AJ10" s="2418"/>
      <c r="AK10" s="2418"/>
      <c r="AL10" s="2418"/>
      <c r="AM10" s="2418"/>
      <c r="AN10" s="2418"/>
      <c r="AO10" s="2414"/>
      <c r="AP10" s="2414"/>
      <c r="AQ10" s="2414"/>
      <c r="AR10" s="2414"/>
    </row>
    <row r="11" spans="1:44" ht="15.75">
      <c r="A11" s="2414"/>
      <c r="B11" s="2416" t="s">
        <v>2140</v>
      </c>
      <c r="C11" s="2419"/>
      <c r="D11" s="2419"/>
      <c r="E11" s="2420"/>
      <c r="F11" s="2420"/>
      <c r="G11" s="2420"/>
      <c r="H11" s="2423"/>
      <c r="I11" s="2423"/>
      <c r="J11" s="2423"/>
      <c r="K11" s="2423"/>
      <c r="L11" s="2423"/>
      <c r="M11" s="2423"/>
      <c r="N11" s="2423"/>
      <c r="O11" s="2423"/>
      <c r="P11" s="2423"/>
      <c r="Q11" s="2423">
        <f>Valuation!B17</f>
        <v>0</v>
      </c>
      <c r="R11" s="2423">
        <f>Valuation!C17</f>
        <v>0</v>
      </c>
      <c r="S11" s="2420">
        <f>Valuation!D17</f>
        <v>0</v>
      </c>
      <c r="T11" s="2420">
        <f>Valuation!E17</f>
        <v>0</v>
      </c>
      <c r="U11" s="2420">
        <f>Valuation!F17</f>
        <v>0</v>
      </c>
      <c r="V11" s="2420">
        <f>Valuation!G17</f>
        <v>0</v>
      </c>
      <c r="W11" s="2420">
        <f>Valuation!H17</f>
        <v>0</v>
      </c>
      <c r="X11" s="2420">
        <f>Valuation!I17</f>
        <v>0</v>
      </c>
      <c r="Y11" s="2420">
        <f>Valuation!J17</f>
        <v>0</v>
      </c>
      <c r="Z11" s="2420">
        <f>Valuation!K17</f>
        <v>0</v>
      </c>
      <c r="AA11" s="2420">
        <f>Valuation!L17</f>
        <v>0</v>
      </c>
      <c r="AB11" s="2420">
        <f>Valuation!M17</f>
        <v>0</v>
      </c>
      <c r="AC11" s="2420">
        <f>Valuation!N17</f>
        <v>0</v>
      </c>
      <c r="AD11" s="2420">
        <f>Valuation!O17</f>
        <v>556.76724999999999</v>
      </c>
      <c r="AE11" s="2420">
        <f>Valuation!P17</f>
        <v>1055.85625</v>
      </c>
      <c r="AF11" s="2420">
        <f>Valuation!Q17</f>
        <v>1580.2860000000001</v>
      </c>
      <c r="AG11" s="2420">
        <f>Valuation!R17</f>
        <v>2127.5565000000001</v>
      </c>
      <c r="AH11" s="2420">
        <f>Valuation!S17</f>
        <v>2695.1677500000001</v>
      </c>
      <c r="AI11" s="2420">
        <f>Valuation!T17</f>
        <v>3280.6197499999998</v>
      </c>
      <c r="AJ11" s="2418"/>
      <c r="AK11" s="2418"/>
      <c r="AL11" s="2418"/>
      <c r="AM11" s="2418"/>
      <c r="AN11" s="2418"/>
      <c r="AO11" s="2414"/>
      <c r="AP11" s="2414"/>
      <c r="AQ11" s="2414"/>
      <c r="AR11" s="2414"/>
    </row>
    <row r="12" spans="1:44" ht="15.75">
      <c r="A12" s="2414"/>
      <c r="B12" s="2416" t="s">
        <v>1131</v>
      </c>
      <c r="C12" s="2419"/>
      <c r="D12" s="2419"/>
      <c r="E12" s="2420"/>
      <c r="F12" s="2420"/>
      <c r="G12" s="2420"/>
      <c r="H12" s="2423">
        <v>231</v>
      </c>
      <c r="I12" s="2423">
        <v>231</v>
      </c>
      <c r="J12" s="2423">
        <v>231</v>
      </c>
      <c r="K12" s="2423">
        <v>231</v>
      </c>
      <c r="L12" s="2423">
        <v>231</v>
      </c>
      <c r="M12" s="2423">
        <v>231</v>
      </c>
      <c r="N12" s="2423">
        <v>231</v>
      </c>
      <c r="O12" s="2423">
        <v>231</v>
      </c>
      <c r="P12" s="2423">
        <v>231</v>
      </c>
      <c r="Q12" s="2423">
        <v>237.22257495750102</v>
      </c>
      <c r="R12" s="2423">
        <v>250.07607495750102</v>
      </c>
      <c r="S12" s="2420">
        <v>261.36782495750106</v>
      </c>
      <c r="T12" s="2420">
        <f>-Valuation!E12</f>
        <v>0</v>
      </c>
      <c r="U12" s="2420">
        <f>-Valuation!F12</f>
        <v>0</v>
      </c>
      <c r="V12" s="2420">
        <f>-Valuation!G12</f>
        <v>0</v>
      </c>
      <c r="W12" s="2420">
        <f>-Valuation!H12</f>
        <v>0</v>
      </c>
      <c r="X12" s="2420">
        <f>-Valuation!I12</f>
        <v>0</v>
      </c>
      <c r="Y12" s="2420">
        <f>-Valuation!J12</f>
        <v>0</v>
      </c>
      <c r="Z12" s="2420">
        <f>-Valuation!K12</f>
        <v>0</v>
      </c>
      <c r="AA12" s="2420">
        <f>-Valuation!L12</f>
        <v>0</v>
      </c>
      <c r="AB12" s="2420">
        <f>-Valuation!M12</f>
        <v>0</v>
      </c>
      <c r="AC12" s="2420">
        <f>-Valuation!N12</f>
        <v>0</v>
      </c>
      <c r="AD12" s="2420">
        <f>-Valuation!O12</f>
        <v>0</v>
      </c>
      <c r="AE12" s="2420">
        <f>-Valuation!P12</f>
        <v>0</v>
      </c>
      <c r="AF12" s="2420">
        <f>-Valuation!Q12</f>
        <v>0</v>
      </c>
      <c r="AG12" s="2420">
        <f>-Valuation!R12</f>
        <v>0</v>
      </c>
      <c r="AH12" s="2420">
        <f>-Valuation!S12</f>
        <v>0</v>
      </c>
      <c r="AI12" s="2420">
        <f>-Valuation!T12</f>
        <v>0</v>
      </c>
      <c r="AJ12" s="2418"/>
      <c r="AK12" s="2418"/>
      <c r="AL12" s="2418"/>
      <c r="AM12" s="2418"/>
      <c r="AN12" s="2418"/>
      <c r="AO12" s="2414"/>
      <c r="AP12" s="2414"/>
      <c r="AQ12" s="2414"/>
      <c r="AR12" s="2414"/>
    </row>
    <row r="13" spans="1:44" ht="15.75">
      <c r="A13" s="2414"/>
      <c r="B13" s="2416" t="s">
        <v>404</v>
      </c>
      <c r="C13" s="2424"/>
      <c r="D13" s="2424"/>
      <c r="E13" s="2424"/>
      <c r="F13" s="2424"/>
      <c r="G13" s="2424"/>
      <c r="H13" s="2424">
        <f>Master!F70</f>
        <v>0</v>
      </c>
      <c r="I13" s="2424">
        <f>Master!G70</f>
        <v>0</v>
      </c>
      <c r="J13" s="2424">
        <f ca="1">Master!H70</f>
        <v>0</v>
      </c>
      <c r="K13" s="2424">
        <f ca="1">Master!I70</f>
        <v>0</v>
      </c>
      <c r="L13" s="2424">
        <f>Master!J70</f>
        <v>2.4</v>
      </c>
      <c r="M13" s="2424">
        <f>Master!K70</f>
        <v>1.2</v>
      </c>
      <c r="N13" s="2424">
        <f>Master!L70</f>
        <v>6</v>
      </c>
      <c r="O13" s="2424">
        <f>Master!M70</f>
        <v>4.8</v>
      </c>
      <c r="P13" s="2424">
        <f>Master!N70</f>
        <v>5.4</v>
      </c>
      <c r="Q13" s="2424">
        <f>Master!O70</f>
        <v>2.64</v>
      </c>
      <c r="R13" s="2424">
        <f>Master!P70</f>
        <v>2.64</v>
      </c>
      <c r="S13" s="2424">
        <f>Master!Q70</f>
        <v>2.64</v>
      </c>
      <c r="T13" s="2424">
        <f>Master!R70</f>
        <v>2.64</v>
      </c>
      <c r="U13" s="2424">
        <f>Master!S70</f>
        <v>2.64</v>
      </c>
      <c r="V13" s="2424">
        <f>Master!T70</f>
        <v>2.64</v>
      </c>
      <c r="W13" s="2424">
        <f>Master!U70</f>
        <v>2.64</v>
      </c>
      <c r="X13" s="2424">
        <f>Master!V70</f>
        <v>0</v>
      </c>
      <c r="Y13" s="2424">
        <f>Master!W70</f>
        <v>0</v>
      </c>
      <c r="Z13" s="2424">
        <f>Master!X70</f>
        <v>0</v>
      </c>
      <c r="AA13" s="2424">
        <f>Master!Y70</f>
        <v>0</v>
      </c>
      <c r="AB13" s="2424">
        <f>Master!Z70</f>
        <v>0</v>
      </c>
      <c r="AC13" s="2424">
        <f>Master!AA70</f>
        <v>3.25</v>
      </c>
      <c r="AD13" s="2424">
        <f>Master!AB70</f>
        <v>3</v>
      </c>
      <c r="AE13" s="2424">
        <f>Master!AC70</f>
        <v>3.25</v>
      </c>
      <c r="AF13" s="2424">
        <f>Master!AD70</f>
        <v>3.5</v>
      </c>
      <c r="AG13" s="2424">
        <f>Master!AE70</f>
        <v>3.75</v>
      </c>
      <c r="AH13" s="2424">
        <f>Master!AF70</f>
        <v>4</v>
      </c>
      <c r="AI13" s="2424">
        <f>Master!AG70</f>
        <v>4.25</v>
      </c>
      <c r="AJ13" s="2418"/>
      <c r="AK13" s="2418"/>
      <c r="AL13" s="2418"/>
      <c r="AM13" s="2418"/>
      <c r="AN13" s="2418"/>
      <c r="AO13" s="2414"/>
      <c r="AP13" s="2414"/>
      <c r="AQ13" s="2414"/>
      <c r="AR13" s="2414"/>
    </row>
    <row r="14" spans="1:44" ht="15.75">
      <c r="A14" s="2414"/>
      <c r="B14" s="2416" t="s">
        <v>1132</v>
      </c>
      <c r="C14" s="2425"/>
      <c r="D14" s="2425"/>
      <c r="E14" s="2425"/>
      <c r="F14" s="2425"/>
      <c r="G14" s="2425"/>
      <c r="H14" s="2426">
        <v>2.189031055900621</v>
      </c>
      <c r="I14" s="2426">
        <v>0.74902560014173103</v>
      </c>
      <c r="J14" s="2426">
        <v>7.9462494618534274E-2</v>
      </c>
      <c r="K14" s="2426">
        <v>1.5430523709070909</v>
      </c>
      <c r="L14" s="2426">
        <v>6.4005053289231917</v>
      </c>
      <c r="M14" s="2426">
        <v>4.7514404580012162</v>
      </c>
      <c r="N14" s="2426">
        <v>6.9788689655172389</v>
      </c>
      <c r="O14" s="2426">
        <v>4.9050865477878087</v>
      </c>
      <c r="P14" s="2427">
        <f>Master!N56</f>
        <v>-3.0643661435722995</v>
      </c>
      <c r="Q14" s="2427">
        <f>Master!O56</f>
        <v>-5.8836885593847796</v>
      </c>
      <c r="R14" s="2427">
        <f>Master!P56</f>
        <v>-7.9923051751663419</v>
      </c>
      <c r="S14" s="2427">
        <f>Master!Q56</f>
        <v>26.381757630655589</v>
      </c>
      <c r="T14" s="2427">
        <f>Master!R56</f>
        <v>-5.4872138563215609</v>
      </c>
      <c r="U14" s="2427">
        <f>Master!S56</f>
        <v>0.23302626751415512</v>
      </c>
      <c r="V14" s="2427">
        <f>Master!T56</f>
        <v>0.35697640980891848</v>
      </c>
      <c r="W14" s="2427">
        <f>Master!U56</f>
        <v>1.1601733318789851</v>
      </c>
      <c r="X14" s="2427">
        <f>Master!V56</f>
        <v>1.9237062084147274</v>
      </c>
      <c r="Y14" s="2427">
        <f>Master!W56</f>
        <v>-1.9137901970311464</v>
      </c>
      <c r="Z14" s="2427">
        <f>Master!X56</f>
        <v>7.0205360595753969</v>
      </c>
      <c r="AA14" s="2427">
        <f>Master!Y56</f>
        <v>1.2726116709666495</v>
      </c>
      <c r="AB14" s="2427">
        <f>Master!Z56</f>
        <v>-0.48280139153173579</v>
      </c>
      <c r="AC14" s="2427">
        <f ca="1">Master!AA56</f>
        <v>1.4770462586893152</v>
      </c>
      <c r="AD14" s="2427">
        <f ca="1">Master!AB56</f>
        <v>1.7282706168385096</v>
      </c>
      <c r="AE14" s="2427">
        <f ca="1">Master!AC56</f>
        <v>3.3889891693867424</v>
      </c>
      <c r="AF14" s="2427">
        <f ca="1">Master!AD56</f>
        <v>3.313680845026941</v>
      </c>
      <c r="AG14" s="2427">
        <f ca="1">Master!AE56</f>
        <v>3.4344518092805401</v>
      </c>
      <c r="AH14" s="2427">
        <f ca="1">Master!AF56</f>
        <v>3.6566434944937951</v>
      </c>
      <c r="AI14" s="2427">
        <f ca="1">Master!AG56</f>
        <v>3.9365805861799519</v>
      </c>
      <c r="AJ14" s="2418"/>
      <c r="AK14" s="2418"/>
      <c r="AL14" s="2418"/>
      <c r="AM14" s="2418"/>
      <c r="AN14" s="2418"/>
      <c r="AO14" s="2414"/>
      <c r="AP14" s="2414"/>
      <c r="AQ14" s="2414"/>
      <c r="AR14" s="2414"/>
    </row>
    <row r="15" spans="1:44" ht="15.75">
      <c r="A15" s="2414"/>
      <c r="B15" s="2416" t="s">
        <v>1133</v>
      </c>
      <c r="C15" s="2425"/>
      <c r="D15" s="2425"/>
      <c r="E15" s="2425"/>
      <c r="F15" s="2425"/>
      <c r="G15" s="2425"/>
      <c r="H15" s="2426">
        <v>-0.32480745341614942</v>
      </c>
      <c r="I15" s="2426">
        <v>1.0039308176100632</v>
      </c>
      <c r="J15" s="2426">
        <v>0.7121121909664655</v>
      </c>
      <c r="K15" s="2426">
        <v>2.2366504631752737</v>
      </c>
      <c r="L15" s="2426">
        <v>3.8977489893421562</v>
      </c>
      <c r="M15" s="2426">
        <v>6.2296356975866587</v>
      </c>
      <c r="N15" s="2426">
        <v>4.3756505747126422</v>
      </c>
      <c r="O15" s="2426">
        <v>5.1499664254271442</v>
      </c>
      <c r="P15" s="2427">
        <f>Master!N69</f>
        <v>-11.900918828024496</v>
      </c>
      <c r="Q15" s="2427">
        <f>Master!O69</f>
        <v>-13.356762786657058</v>
      </c>
      <c r="R15" s="2427">
        <f>Master!P69</f>
        <v>-16.420914851210249</v>
      </c>
      <c r="S15" s="2427">
        <f>Master!Q69</f>
        <v>1.7305533310730508</v>
      </c>
      <c r="T15" s="2427">
        <f>Master!R69</f>
        <v>2.3860991822418081</v>
      </c>
      <c r="U15" s="2427">
        <f>Master!S69</f>
        <v>1.2642914514065864</v>
      </c>
      <c r="V15" s="2427">
        <f>Master!T69</f>
        <v>0.28756433012385102</v>
      </c>
      <c r="W15" s="2427">
        <f>Master!U69</f>
        <v>1.4774856961535792</v>
      </c>
      <c r="X15" s="2427">
        <f>Master!V69</f>
        <v>0.69412079685067485</v>
      </c>
      <c r="Y15" s="2427">
        <f>Master!W69</f>
        <v>0.10300450496792171</v>
      </c>
      <c r="Z15" s="2427">
        <f>Master!X69</f>
        <v>2.2905986296072269</v>
      </c>
      <c r="AA15" s="2427">
        <f>Master!Y69</f>
        <v>2.4927782310525024</v>
      </c>
      <c r="AB15" s="2427">
        <f>Master!Z69</f>
        <v>0.35188417132650773</v>
      </c>
      <c r="AC15" s="2427">
        <f ca="1">Master!AA69</f>
        <v>2.5702770985908141</v>
      </c>
      <c r="AD15" s="2427">
        <f ca="1">Master!AB69</f>
        <v>2.4924569867967854</v>
      </c>
      <c r="AE15" s="2427">
        <f ca="1">Master!AC69</f>
        <v>4.1684592667441818</v>
      </c>
      <c r="AF15" s="2427">
        <f ca="1">Master!AD69</f>
        <v>4.1087403443315313</v>
      </c>
      <c r="AG15" s="2427">
        <f ca="1">Master!AE69</f>
        <v>4.2454124985712207</v>
      </c>
      <c r="AH15" s="2427">
        <f ca="1">Master!AF69</f>
        <v>4.4838233975702906</v>
      </c>
      <c r="AI15" s="2427">
        <f ca="1">Master!AG69</f>
        <v>4.7803040873179761</v>
      </c>
      <c r="AJ15" s="2418"/>
      <c r="AK15" s="2418"/>
      <c r="AL15" s="2418"/>
      <c r="AM15" s="2418"/>
      <c r="AN15" s="2418"/>
      <c r="AO15" s="2414"/>
      <c r="AP15" s="2414"/>
      <c r="AQ15" s="2414"/>
      <c r="AR15" s="2414"/>
    </row>
    <row r="16" spans="1:44" ht="15.75">
      <c r="A16" s="2414"/>
      <c r="B16" s="2414"/>
      <c r="C16" s="2414"/>
      <c r="D16" s="2414"/>
      <c r="E16" s="2414"/>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c r="AK16" s="2414"/>
      <c r="AL16" s="2414"/>
      <c r="AM16" s="2414"/>
      <c r="AN16" s="2414"/>
      <c r="AO16" s="2414"/>
      <c r="AP16" s="2414"/>
      <c r="AQ16" s="2414"/>
      <c r="AR16" s="2414"/>
    </row>
    <row r="17" spans="1:44" ht="15.75">
      <c r="A17" s="2414"/>
      <c r="B17" s="2415" t="s">
        <v>1143</v>
      </c>
      <c r="C17" s="2428">
        <v>1998</v>
      </c>
      <c r="D17" s="2428">
        <v>1999</v>
      </c>
      <c r="E17" s="2428">
        <v>2000</v>
      </c>
      <c r="F17" s="2428">
        <f t="shared" ref="F17:AC17" si="7">E17+1</f>
        <v>2001</v>
      </c>
      <c r="G17" s="2428">
        <f t="shared" si="7"/>
        <v>2002</v>
      </c>
      <c r="H17" s="2428">
        <f t="shared" si="7"/>
        <v>2003</v>
      </c>
      <c r="I17" s="2428">
        <f t="shared" si="7"/>
        <v>2004</v>
      </c>
      <c r="J17" s="2428">
        <f t="shared" si="7"/>
        <v>2005</v>
      </c>
      <c r="K17" s="2428">
        <f t="shared" si="7"/>
        <v>2006</v>
      </c>
      <c r="L17" s="2428">
        <f t="shared" si="7"/>
        <v>2007</v>
      </c>
      <c r="M17" s="2428">
        <f t="shared" si="7"/>
        <v>2008</v>
      </c>
      <c r="N17" s="2428">
        <f t="shared" si="7"/>
        <v>2009</v>
      </c>
      <c r="O17" s="2428">
        <f t="shared" si="7"/>
        <v>2010</v>
      </c>
      <c r="P17" s="2428">
        <f t="shared" si="7"/>
        <v>2011</v>
      </c>
      <c r="Q17" s="2428">
        <f t="shared" si="7"/>
        <v>2012</v>
      </c>
      <c r="R17" s="2428">
        <f t="shared" si="7"/>
        <v>2013</v>
      </c>
      <c r="S17" s="2428">
        <f t="shared" si="7"/>
        <v>2014</v>
      </c>
      <c r="T17" s="2428">
        <f t="shared" si="7"/>
        <v>2015</v>
      </c>
      <c r="U17" s="2428">
        <f t="shared" si="7"/>
        <v>2016</v>
      </c>
      <c r="V17" s="2428">
        <f t="shared" si="7"/>
        <v>2017</v>
      </c>
      <c r="W17" s="2428">
        <f t="shared" si="7"/>
        <v>2018</v>
      </c>
      <c r="X17" s="2428">
        <f t="shared" si="7"/>
        <v>2019</v>
      </c>
      <c r="Y17" s="2428">
        <f t="shared" si="7"/>
        <v>2020</v>
      </c>
      <c r="Z17" s="2428">
        <f t="shared" si="7"/>
        <v>2021</v>
      </c>
      <c r="AA17" s="2428">
        <f t="shared" si="7"/>
        <v>2022</v>
      </c>
      <c r="AB17" s="2428">
        <f t="shared" si="7"/>
        <v>2023</v>
      </c>
      <c r="AC17" s="2428">
        <f t="shared" si="7"/>
        <v>2024</v>
      </c>
      <c r="AD17" s="2428">
        <f t="shared" ref="AD17" si="8">AC17+1</f>
        <v>2025</v>
      </c>
      <c r="AE17" s="2428">
        <f t="shared" ref="AE17" si="9">AD17+1</f>
        <v>2026</v>
      </c>
      <c r="AF17" s="2428">
        <f t="shared" ref="AF17" si="10">AE17+1</f>
        <v>2027</v>
      </c>
      <c r="AG17" s="2428">
        <f t="shared" ref="AG17" si="11">AF17+1</f>
        <v>2028</v>
      </c>
      <c r="AH17" s="2428">
        <f t="shared" ref="AH17" si="12">AG17+1</f>
        <v>2029</v>
      </c>
      <c r="AI17" s="2428">
        <f t="shared" ref="AI17" si="13">AH17+1</f>
        <v>2030</v>
      </c>
      <c r="AJ17" s="2415"/>
      <c r="AK17" s="2415"/>
      <c r="AL17" s="2415"/>
      <c r="AM17" s="2415"/>
      <c r="AN17" s="2415"/>
      <c r="AO17" s="2414"/>
      <c r="AP17" s="2414"/>
      <c r="AQ17" s="2414"/>
      <c r="AR17" s="2414"/>
    </row>
    <row r="18" spans="1:44" ht="15.75">
      <c r="A18" s="2414"/>
      <c r="B18" s="2416" t="s">
        <v>652</v>
      </c>
      <c r="C18" s="2417"/>
      <c r="D18" s="2417"/>
      <c r="E18" s="2417"/>
      <c r="F18" s="2417"/>
      <c r="G18" s="2417"/>
      <c r="H18" s="2417">
        <f>Master!F5</f>
        <v>641.08799999999985</v>
      </c>
      <c r="I18" s="2417">
        <f>Master!G5</f>
        <v>921.45600000000002</v>
      </c>
      <c r="J18" s="2417">
        <f>Master!H5</f>
        <v>1083.3330000000001</v>
      </c>
      <c r="K18" s="2417">
        <f>Master!I5</f>
        <v>1630.15</v>
      </c>
      <c r="L18" s="2417">
        <f>Master!J5</f>
        <v>2630.8449999999998</v>
      </c>
      <c r="M18" s="2417">
        <f>Master!K5</f>
        <v>3397.9075695558286</v>
      </c>
      <c r="N18" s="2417">
        <f>Master!L5</f>
        <v>3576.5649976500235</v>
      </c>
      <c r="O18" s="2417">
        <f>Master!M5</f>
        <v>4025.2485327501977</v>
      </c>
      <c r="P18" s="2417">
        <f>Master!N5</f>
        <v>0</v>
      </c>
      <c r="Q18" s="2417">
        <f>Master!O5</f>
        <v>0</v>
      </c>
      <c r="R18" s="2417">
        <f>Master!P5</f>
        <v>0</v>
      </c>
      <c r="S18" s="2417">
        <f>Master!Q5</f>
        <v>6386.0109430529701</v>
      </c>
      <c r="T18" s="2417">
        <f>Master!R5</f>
        <v>6730.1365449983496</v>
      </c>
      <c r="U18" s="2417">
        <f>Master!S5</f>
        <v>6248.8819186869696</v>
      </c>
      <c r="V18" s="2417">
        <f>Master!T5</f>
        <v>6089</v>
      </c>
      <c r="W18" s="2417">
        <f>Master!U5</f>
        <v>6012</v>
      </c>
      <c r="X18" s="2417">
        <f>Master!V5</f>
        <v>6371</v>
      </c>
      <c r="Y18" s="2417">
        <f>Master!W5</f>
        <v>6232</v>
      </c>
      <c r="Z18" s="2417">
        <f>Master!X5</f>
        <v>6572</v>
      </c>
      <c r="AA18" s="2417">
        <f>Master!Y5</f>
        <v>5624.5300000000007</v>
      </c>
      <c r="AB18" s="2417">
        <f>Master!Z5</f>
        <v>5661</v>
      </c>
      <c r="AC18" s="2417">
        <f>Master!AA5</f>
        <v>5804.2592000000004</v>
      </c>
      <c r="AD18" s="2417">
        <f>Master!AB5</f>
        <v>5523.9546913835384</v>
      </c>
      <c r="AE18" s="2417">
        <f>Master!AC5</f>
        <v>5603.0529567956419</v>
      </c>
      <c r="AF18" s="2417">
        <f>Master!AD5</f>
        <v>5697.2603768103054</v>
      </c>
      <c r="AG18" s="2417">
        <f>Master!AE5</f>
        <v>5798.6244029074151</v>
      </c>
      <c r="AH18" s="2417">
        <f>Master!AF5</f>
        <v>5882.0473511545479</v>
      </c>
      <c r="AI18" s="2417">
        <f>Master!AG5</f>
        <v>5952.0055851318775</v>
      </c>
      <c r="AJ18" s="2418"/>
      <c r="AK18" s="2418"/>
      <c r="AL18" s="2418"/>
      <c r="AM18" s="2418"/>
      <c r="AN18" s="2418"/>
      <c r="AO18" s="2414"/>
      <c r="AP18" s="2414"/>
      <c r="AQ18" s="2414"/>
      <c r="AR18" s="2414"/>
    </row>
    <row r="19" spans="1:44" ht="15.75">
      <c r="A19" s="2414"/>
      <c r="B19" s="2416" t="s">
        <v>653</v>
      </c>
      <c r="C19" s="2417"/>
      <c r="D19" s="2417"/>
      <c r="E19" s="2417"/>
      <c r="F19" s="2417"/>
      <c r="G19" s="2417"/>
      <c r="H19" s="2429">
        <v>292.74699999999996</v>
      </c>
      <c r="I19" s="2429">
        <v>429.01900000000001</v>
      </c>
      <c r="J19" s="2429">
        <v>466.56099999999998</v>
      </c>
      <c r="K19" s="2429">
        <v>668.20400000000006</v>
      </c>
      <c r="L19" s="2429">
        <v>1068.3470000000002</v>
      </c>
      <c r="M19" s="2429">
        <v>1404.3500000000001</v>
      </c>
      <c r="N19" s="2429">
        <v>1494.5519999999999</v>
      </c>
      <c r="O19" s="2429">
        <v>1690.3710000000001</v>
      </c>
      <c r="P19" s="2429">
        <v>1977.4360000000001</v>
      </c>
      <c r="Q19" s="2429">
        <v>1935.0860000000002</v>
      </c>
      <c r="R19" s="2429">
        <v>2043.3999999999996</v>
      </c>
      <c r="S19" s="2417">
        <f>Master!Q14</f>
        <v>2109.5211117787239</v>
      </c>
      <c r="T19" s="2417">
        <f>Master!R14</f>
        <v>2265.6309442315396</v>
      </c>
      <c r="U19" s="2417">
        <f>Master!S14</f>
        <v>2225.5</v>
      </c>
      <c r="V19" s="2417">
        <f>Master!T14</f>
        <v>2181</v>
      </c>
      <c r="W19" s="2417">
        <f>Master!U14</f>
        <v>2182</v>
      </c>
      <c r="X19" s="2417">
        <f>Master!V14</f>
        <v>2550</v>
      </c>
      <c r="Y19" s="2417">
        <f>Master!W14</f>
        <v>2641</v>
      </c>
      <c r="Z19" s="2417">
        <f>Master!X14</f>
        <v>2613</v>
      </c>
      <c r="AA19" s="2417">
        <f>Master!Y14</f>
        <v>2228.1349999999998</v>
      </c>
      <c r="AB19" s="2417">
        <f>Master!Z14</f>
        <v>2111.2855</v>
      </c>
      <c r="AC19" s="2417">
        <f ca="1">Master!AA14</f>
        <v>2468.6458000000002</v>
      </c>
      <c r="AD19" s="2417">
        <f>Master!AB14</f>
        <v>2381.685419914671</v>
      </c>
      <c r="AE19" s="2417">
        <f>Master!AC14</f>
        <v>2396.1990022089599</v>
      </c>
      <c r="AF19" s="2417">
        <f>Master!AD14</f>
        <v>2461.0081072440548</v>
      </c>
      <c r="AG19" s="2417">
        <f>Master!AE14</f>
        <v>2531.4814825398967</v>
      </c>
      <c r="AH19" s="2417">
        <f>Master!AF14</f>
        <v>2605.2274230211528</v>
      </c>
      <c r="AI19" s="2417">
        <f>Master!AG14</f>
        <v>2675.7831928277733</v>
      </c>
      <c r="AJ19" s="2418"/>
      <c r="AK19" s="2418"/>
      <c r="AL19" s="2418"/>
      <c r="AM19" s="2418"/>
      <c r="AN19" s="2418"/>
      <c r="AO19" s="2414"/>
      <c r="AP19" s="2414"/>
      <c r="AQ19" s="2414"/>
      <c r="AR19" s="2414"/>
    </row>
    <row r="20" spans="1:44" ht="15.75">
      <c r="A20" s="2414"/>
      <c r="B20" s="2414" t="s">
        <v>1841</v>
      </c>
      <c r="C20" s="2417"/>
      <c r="D20" s="2417"/>
      <c r="E20" s="2417"/>
      <c r="F20" s="2417"/>
      <c r="G20" s="2417"/>
      <c r="H20" s="2417"/>
      <c r="I20" s="2417"/>
      <c r="J20" s="2417"/>
      <c r="K20" s="2417"/>
      <c r="L20" s="2417"/>
      <c r="M20" s="2417"/>
      <c r="N20" s="2417"/>
      <c r="O20" s="2417">
        <f>-Master!M25</f>
        <v>658.79796851562503</v>
      </c>
      <c r="P20" s="2417">
        <f>-Master!N25</f>
        <v>722.16312087695314</v>
      </c>
      <c r="Q20" s="2417">
        <f>-Master!O25</f>
        <v>786.42588681118161</v>
      </c>
      <c r="R20" s="2417">
        <f>-Master!P25</f>
        <v>781</v>
      </c>
      <c r="S20" s="2417">
        <f>-Master!Q25</f>
        <v>919</v>
      </c>
      <c r="T20" s="2417">
        <f>-Master!R25</f>
        <v>780.69609665427515</v>
      </c>
      <c r="U20" s="2417">
        <f>-Master!S25</f>
        <v>945</v>
      </c>
      <c r="V20" s="2417">
        <f>-Master!T25</f>
        <v>924</v>
      </c>
      <c r="W20" s="2417">
        <f>-Master!U25</f>
        <v>961</v>
      </c>
      <c r="X20" s="2417">
        <f>-Master!V25</f>
        <v>1138</v>
      </c>
      <c r="Y20" s="2417">
        <f>-Master!W25</f>
        <v>1209</v>
      </c>
      <c r="Z20" s="2417">
        <f>-Master!X25</f>
        <v>1164</v>
      </c>
      <c r="AA20" s="2417">
        <f>-Master!Y25</f>
        <v>999</v>
      </c>
      <c r="AB20" s="2417">
        <f>-Master!Z25</f>
        <v>978</v>
      </c>
      <c r="AC20" s="2417">
        <f>-Master!AA25</f>
        <v>916</v>
      </c>
      <c r="AD20" s="2417">
        <f>-Master!AB25</f>
        <v>911.04</v>
      </c>
      <c r="AE20" s="2417">
        <f>-Master!AC25</f>
        <v>557.1611062289245</v>
      </c>
      <c r="AF20" s="2417">
        <f>-Master!AD25</f>
        <v>621.48397661185356</v>
      </c>
      <c r="AG20" s="2417">
        <f>-Master!AE25</f>
        <v>664.12262670927396</v>
      </c>
      <c r="AH20" s="2417">
        <f>-Master!AF25</f>
        <v>695.63734590872252</v>
      </c>
      <c r="AI20" s="2417">
        <f>-Master!AG25</f>
        <v>717.72784186997865</v>
      </c>
      <c r="AJ20" s="2418"/>
      <c r="AK20" s="2418"/>
      <c r="AL20" s="2418"/>
      <c r="AM20" s="2418"/>
      <c r="AN20" s="2418"/>
      <c r="AO20" s="2414"/>
      <c r="AP20" s="2414"/>
      <c r="AQ20" s="2414"/>
      <c r="AR20" s="2414"/>
    </row>
    <row r="21" spans="1:44" ht="15.75">
      <c r="A21" s="2414"/>
      <c r="B21" s="2414" t="s">
        <v>1842</v>
      </c>
      <c r="C21" s="2417"/>
      <c r="D21" s="2417"/>
      <c r="E21" s="2417"/>
      <c r="F21" s="2417"/>
      <c r="G21" s="2417"/>
      <c r="H21" s="2417" t="s">
        <v>1823</v>
      </c>
      <c r="I21" s="2417"/>
      <c r="J21" s="2417"/>
      <c r="K21" s="2417"/>
      <c r="L21" s="2417"/>
      <c r="M21" s="2417"/>
      <c r="N21" s="2417"/>
      <c r="O21" s="2417">
        <f>-Master!M26</f>
        <v>18.202031484374999</v>
      </c>
      <c r="P21" s="2417">
        <f>-Master!N26</f>
        <v>16.836879123046874</v>
      </c>
      <c r="Q21" s="2417">
        <f>-Master!O26</f>
        <v>15.574113188818355</v>
      </c>
      <c r="R21" s="2417">
        <f>-Master!P26</f>
        <v>153</v>
      </c>
      <c r="S21" s="2417">
        <f>-Master!Q26</f>
        <v>239</v>
      </c>
      <c r="T21" s="2417">
        <f>-Master!R26</f>
        <v>541.30390334572485</v>
      </c>
      <c r="U21" s="2417">
        <f>-Master!S26</f>
        <v>343</v>
      </c>
      <c r="V21" s="2417">
        <f>-Master!T26</f>
        <v>317</v>
      </c>
      <c r="W21" s="2417">
        <f>-Master!U26</f>
        <v>284</v>
      </c>
      <c r="X21" s="2417">
        <f>-Master!V26</f>
        <v>406</v>
      </c>
      <c r="Y21" s="2417">
        <f>-Master!W26</f>
        <v>452</v>
      </c>
      <c r="Z21" s="2417">
        <f>-Master!X26</f>
        <v>434</v>
      </c>
      <c r="AA21" s="2417">
        <f>-Master!Y26</f>
        <v>345</v>
      </c>
      <c r="AB21" s="2417">
        <f>-Master!Z26</f>
        <v>360</v>
      </c>
      <c r="AC21" s="2417">
        <f>-Master!AA26</f>
        <v>318.61340000000001</v>
      </c>
      <c r="AD21" s="2417">
        <f>-Master!AB26</f>
        <v>345.78</v>
      </c>
      <c r="AE21" s="2417">
        <f>-Master!AC26</f>
        <v>349.62200000000007</v>
      </c>
      <c r="AF21" s="2417">
        <f>-Master!AD26</f>
        <v>346.12578000000002</v>
      </c>
      <c r="AG21" s="2417">
        <f>-Master!AE26</f>
        <v>336.05666639999998</v>
      </c>
      <c r="AH21" s="2417">
        <f>-Master!AF26</f>
        <v>320.37402196800002</v>
      </c>
      <c r="AI21" s="2417">
        <f>-Master!AG26</f>
        <v>300.16581442848008</v>
      </c>
      <c r="AJ21" s="2418"/>
      <c r="AK21" s="2418"/>
      <c r="AL21" s="2418"/>
      <c r="AM21" s="2418"/>
      <c r="AN21" s="2418"/>
      <c r="AO21" s="2414"/>
      <c r="AP21" s="2414"/>
      <c r="AQ21" s="2414"/>
      <c r="AR21" s="2414"/>
    </row>
    <row r="22" spans="1:44" ht="15.75">
      <c r="A22" s="2414"/>
      <c r="B22" s="2416" t="s">
        <v>1843</v>
      </c>
      <c r="C22" s="2417"/>
      <c r="D22" s="2417"/>
      <c r="E22" s="2417"/>
      <c r="F22" s="2417"/>
      <c r="G22" s="2417"/>
      <c r="H22" s="2417">
        <f>Div!C83</f>
        <v>103.828</v>
      </c>
      <c r="I22" s="2417">
        <f>Div!D83</f>
        <v>237</v>
      </c>
      <c r="J22" s="2417">
        <f>Div!E83</f>
        <v>354.00000000000006</v>
      </c>
      <c r="K22" s="2417">
        <f>Div!F83</f>
        <v>676</v>
      </c>
      <c r="L22" s="2417">
        <f>Div!G83</f>
        <v>1056</v>
      </c>
      <c r="M22" s="2417">
        <f>Div!H83</f>
        <v>1431</v>
      </c>
      <c r="N22" s="2417">
        <f>Div!I83</f>
        <v>737</v>
      </c>
      <c r="O22" s="2417">
        <f>Div!J83</f>
        <v>688</v>
      </c>
      <c r="P22" s="2417">
        <f>Div!K83</f>
        <v>804</v>
      </c>
      <c r="Q22" s="2417">
        <f>Div!L83</f>
        <v>922</v>
      </c>
      <c r="R22" s="2417">
        <f>Div!M83</f>
        <v>1083</v>
      </c>
      <c r="S22" s="2417">
        <f>'New split'!D437</f>
        <v>1206.4077910056501</v>
      </c>
      <c r="T22" s="2417">
        <f ca="1">'New split'!E437</f>
        <v>1272.90797223254</v>
      </c>
      <c r="U22" s="2417">
        <f ca="1">'New split'!F437</f>
        <v>1030.8847425156582</v>
      </c>
      <c r="V22" s="2417">
        <f>'New split'!G437</f>
        <v>994</v>
      </c>
      <c r="W22" s="2417">
        <f>'New split'!H437</f>
        <v>998.00000000000011</v>
      </c>
      <c r="X22" s="2417">
        <f ca="1">'New split'!I437</f>
        <v>1056</v>
      </c>
      <c r="Y22" s="2417">
        <f ca="1">'New split'!J437</f>
        <v>990</v>
      </c>
      <c r="Z22" s="2417">
        <f ca="1">'New split'!K437</f>
        <v>1111</v>
      </c>
      <c r="AA22" s="2417">
        <f>'New split'!L398</f>
        <v>973</v>
      </c>
      <c r="AB22" s="2417">
        <f>'New split'!M398</f>
        <v>809</v>
      </c>
      <c r="AC22" s="2417">
        <f>'New split'!N398</f>
        <v>677</v>
      </c>
      <c r="AD22" s="2417">
        <f>'New split'!O398</f>
        <v>680.1684569653894</v>
      </c>
      <c r="AE22" s="2417">
        <f>'New split'!P398</f>
        <v>658.17007617557863</v>
      </c>
      <c r="AF22" s="2417">
        <f>'New split'!Q398</f>
        <v>654.72975816629184</v>
      </c>
      <c r="AG22" s="2417">
        <f>'New split'!R398</f>
        <v>662.60612420755035</v>
      </c>
      <c r="AH22" s="2417">
        <f>'New split'!S398</f>
        <v>664.67014578764781</v>
      </c>
      <c r="AI22" s="2417">
        <f>'New split'!T398</f>
        <v>662.33058356837569</v>
      </c>
      <c r="AJ22" s="2418"/>
      <c r="AK22" s="2418"/>
      <c r="AL22" s="2418"/>
      <c r="AM22" s="2418"/>
      <c r="AN22" s="2418"/>
      <c r="AO22" s="2414"/>
      <c r="AP22" s="2414"/>
      <c r="AQ22" s="2414"/>
      <c r="AR22" s="2414"/>
    </row>
    <row r="23" spans="1:44" ht="15.75">
      <c r="A23" s="2414"/>
      <c r="B23" s="2416" t="s">
        <v>1844</v>
      </c>
      <c r="C23" s="2417"/>
      <c r="D23" s="2417"/>
      <c r="E23" s="2417"/>
      <c r="F23" s="2417"/>
      <c r="G23" s="2417"/>
      <c r="H23" s="2429">
        <v>188.91899999999995</v>
      </c>
      <c r="I23" s="2429">
        <v>192.01900000000001</v>
      </c>
      <c r="J23" s="2429">
        <v>112.56099999999992</v>
      </c>
      <c r="K23" s="2429">
        <v>-7.7959999999999354</v>
      </c>
      <c r="L23" s="2429">
        <v>12.347000000000207</v>
      </c>
      <c r="M23" s="2429">
        <v>-26.649999999999864</v>
      </c>
      <c r="N23" s="2429">
        <v>757.55199999999991</v>
      </c>
      <c r="O23" s="2429">
        <v>1002.3710000000001</v>
      </c>
      <c r="P23" s="2417">
        <f t="shared" ref="P23:W23" si="14">P19-P22</f>
        <v>1173.4360000000001</v>
      </c>
      <c r="Q23" s="2417">
        <f t="shared" si="14"/>
        <v>1013.0860000000002</v>
      </c>
      <c r="R23" s="2417">
        <f t="shared" si="14"/>
        <v>960.39999999999964</v>
      </c>
      <c r="S23" s="2417">
        <f t="shared" si="14"/>
        <v>903.11332077307384</v>
      </c>
      <c r="T23" s="2417">
        <f t="shared" ca="1" si="14"/>
        <v>992.72297199899958</v>
      </c>
      <c r="U23" s="2417">
        <f t="shared" ca="1" si="14"/>
        <v>1194.6152574843418</v>
      </c>
      <c r="V23" s="2417">
        <f t="shared" si="14"/>
        <v>1187</v>
      </c>
      <c r="W23" s="2417">
        <f t="shared" si="14"/>
        <v>1184</v>
      </c>
      <c r="X23" s="2417">
        <f t="shared" ref="X23:AC23" ca="1" si="15">X19-X22</f>
        <v>1494</v>
      </c>
      <c r="Y23" s="2417">
        <f t="shared" ca="1" si="15"/>
        <v>1651</v>
      </c>
      <c r="Z23" s="2417">
        <f t="shared" ca="1" si="15"/>
        <v>1502</v>
      </c>
      <c r="AA23" s="2417">
        <f t="shared" si="15"/>
        <v>1255.1349999999998</v>
      </c>
      <c r="AB23" s="2417">
        <f t="shared" si="15"/>
        <v>1302.2855</v>
      </c>
      <c r="AC23" s="2417">
        <f t="shared" ca="1" si="15"/>
        <v>1791.6458000000002</v>
      </c>
      <c r="AD23" s="2417">
        <f t="shared" ref="AD23:AI23" si="16">AD19-AD22</f>
        <v>1701.5169629492816</v>
      </c>
      <c r="AE23" s="2417">
        <f t="shared" si="16"/>
        <v>1738.0289260333811</v>
      </c>
      <c r="AF23" s="2417">
        <f t="shared" si="16"/>
        <v>1806.2783490777629</v>
      </c>
      <c r="AG23" s="2417">
        <f t="shared" si="16"/>
        <v>1868.8753583323464</v>
      </c>
      <c r="AH23" s="2417">
        <f t="shared" si="16"/>
        <v>1940.5572772335049</v>
      </c>
      <c r="AI23" s="2417">
        <f t="shared" si="16"/>
        <v>2013.4526092593976</v>
      </c>
      <c r="AJ23" s="2418"/>
      <c r="AK23" s="2418"/>
      <c r="AL23" s="2418"/>
      <c r="AM23" s="2418"/>
      <c r="AN23" s="2418"/>
      <c r="AO23" s="2414"/>
      <c r="AP23" s="2414"/>
      <c r="AQ23" s="2414"/>
      <c r="AR23" s="2414"/>
    </row>
    <row r="24" spans="1:44" ht="15.75">
      <c r="A24" s="2414"/>
      <c r="B24" s="2416" t="s">
        <v>1845</v>
      </c>
      <c r="C24" s="2421"/>
      <c r="D24" s="2421"/>
      <c r="E24" s="2420"/>
      <c r="F24" s="2420"/>
      <c r="G24" s="2420"/>
      <c r="H24" s="2429">
        <v>137.91086999999996</v>
      </c>
      <c r="I24" s="2429">
        <v>140.17386999999999</v>
      </c>
      <c r="J24" s="2429">
        <v>82.169529999999938</v>
      </c>
      <c r="K24" s="2429">
        <v>-5.6910799999999524</v>
      </c>
      <c r="L24" s="2429">
        <v>9.0133100000001516</v>
      </c>
      <c r="M24" s="2429">
        <v>-19.4544999999999</v>
      </c>
      <c r="N24" s="2429">
        <v>553.01295999999991</v>
      </c>
      <c r="O24" s="2429">
        <v>731.73083000000008</v>
      </c>
      <c r="P24" s="2420">
        <f>P23*(1-0.27)</f>
        <v>856.60828000000004</v>
      </c>
      <c r="Q24" s="2420">
        <f>Q23*(1-0.27)</f>
        <v>739.55278000000021</v>
      </c>
      <c r="R24" s="2420">
        <f>R23*(1-0.27)</f>
        <v>701.09199999999976</v>
      </c>
      <c r="S24" s="2420">
        <f>S23*(1-Master!Q185)</f>
        <v>659.27272416434391</v>
      </c>
      <c r="T24" s="2420">
        <f ca="1">T23*(1-Master!R185)</f>
        <v>724.68776955926967</v>
      </c>
      <c r="U24" s="2420">
        <f ca="1">U23*(1-Master!S185)</f>
        <v>872.06913796356946</v>
      </c>
      <c r="V24" s="2420">
        <f>V23*(1-Master!T185)</f>
        <v>866.51</v>
      </c>
      <c r="W24" s="2420">
        <f>W23*(1-Master!U185)</f>
        <v>864.31999999999994</v>
      </c>
      <c r="X24" s="2420">
        <f ca="1">X23*(1-Master!V185)</f>
        <v>1090.6199999999999</v>
      </c>
      <c r="Y24" s="2420">
        <f ca="1">Y23*(1-Master!W185)</f>
        <v>1205.23</v>
      </c>
      <c r="Z24" s="2420">
        <f ca="1">Z23*(1-Master!X185)</f>
        <v>1096.46</v>
      </c>
      <c r="AA24" s="2420">
        <f>AA23*(1-Master!Y185)</f>
        <v>916.2485499999998</v>
      </c>
      <c r="AB24" s="2420">
        <f>AB23*(1-Master!Z185)</f>
        <v>950.66841499999998</v>
      </c>
      <c r="AC24" s="2420">
        <f ca="1">AC23*(1-Master!AA185)</f>
        <v>1307.9014340000001</v>
      </c>
      <c r="AD24" s="2420">
        <f>AD23*(1-Master!AB185)</f>
        <v>1242.1073829529755</v>
      </c>
      <c r="AE24" s="2420">
        <f>AE23*(1-Master!AC185)</f>
        <v>1268.7611160043682</v>
      </c>
      <c r="AF24" s="2420">
        <f>AF23*(1-Master!AD185)</f>
        <v>1318.5831948267669</v>
      </c>
      <c r="AG24" s="2420">
        <f>AG23*(1-Master!AE185)</f>
        <v>1364.2790115826128</v>
      </c>
      <c r="AH24" s="2420">
        <f>AH23*(1-Master!AF185)</f>
        <v>1416.6068123804585</v>
      </c>
      <c r="AI24" s="2420">
        <f>AI23*(1-Master!AG185)</f>
        <v>1469.8204047593601</v>
      </c>
      <c r="AJ24" s="2418"/>
      <c r="AK24" s="2418"/>
      <c r="AL24" s="2418"/>
      <c r="AM24" s="2418"/>
      <c r="AN24" s="2418"/>
      <c r="AO24" s="2414"/>
      <c r="AP24" s="2414"/>
      <c r="AQ24" s="2414"/>
      <c r="AR24" s="2414"/>
    </row>
    <row r="25" spans="1:44" ht="15.75">
      <c r="A25" s="2414"/>
      <c r="B25" s="2416" t="s">
        <v>812</v>
      </c>
      <c r="C25" s="2419"/>
      <c r="D25" s="2417"/>
      <c r="E25" s="2417"/>
      <c r="F25" s="2417"/>
      <c r="G25" s="2417"/>
      <c r="H25" s="2429">
        <v>613.1</v>
      </c>
      <c r="I25" s="2429">
        <v>327.39999999999998</v>
      </c>
      <c r="J25" s="2429">
        <v>157.71600000000001</v>
      </c>
      <c r="K25" s="2429">
        <v>665.83100000000002</v>
      </c>
      <c r="L25" s="2429">
        <v>481</v>
      </c>
      <c r="M25" s="2429">
        <v>1484</v>
      </c>
      <c r="N25" s="2429">
        <v>772</v>
      </c>
      <c r="O25" s="2429">
        <v>1275.549</v>
      </c>
      <c r="P25" s="2429">
        <v>1642</v>
      </c>
      <c r="Q25" s="2429">
        <v>2042</v>
      </c>
      <c r="R25" s="2422">
        <v>2121</v>
      </c>
      <c r="S25" s="2417">
        <f>Valuation!D16</f>
        <v>3998</v>
      </c>
      <c r="T25" s="2417">
        <f>Valuation!E16</f>
        <v>4295</v>
      </c>
      <c r="U25" s="2417">
        <f>Valuation!F16</f>
        <v>4187</v>
      </c>
      <c r="V25" s="2417">
        <f>Valuation!G16</f>
        <v>4073</v>
      </c>
      <c r="W25" s="2417">
        <f>Valuation!H16</f>
        <v>5133</v>
      </c>
      <c r="X25" s="2417">
        <f>Valuation!I16</f>
        <v>7236</v>
      </c>
      <c r="Y25" s="2417">
        <f>Valuation!J16</f>
        <v>6631</v>
      </c>
      <c r="Z25" s="2417">
        <f>Valuation!K16</f>
        <v>8281</v>
      </c>
      <c r="AA25" s="2417">
        <f>Valuation!L16</f>
        <v>6815</v>
      </c>
      <c r="AB25" s="2417">
        <f>Valuation!M16</f>
        <v>6999</v>
      </c>
      <c r="AC25" s="2417">
        <f>Valuation!N16</f>
        <v>6129</v>
      </c>
      <c r="AD25" s="2417">
        <f ca="1">Valuation!O16</f>
        <v>5411.8432365614617</v>
      </c>
      <c r="AE25" s="2417">
        <f ca="1">Valuation!P16</f>
        <v>5610.2016384406788</v>
      </c>
      <c r="AF25" s="2417">
        <f ca="1">Valuation!Q16</f>
        <v>5784.6553564899041</v>
      </c>
      <c r="AG25" s="2417">
        <f ca="1">Valuation!R16</f>
        <v>5940.5686334332822</v>
      </c>
      <c r="AH25" s="2417">
        <f ca="1">Valuation!S16</f>
        <v>6045.1632045673487</v>
      </c>
      <c r="AI25" s="2417">
        <f ca="1">Valuation!T16</f>
        <v>6123.1099035994321</v>
      </c>
      <c r="AJ25" s="2418"/>
      <c r="AK25" s="2418"/>
      <c r="AL25" s="2418"/>
      <c r="AM25" s="2418"/>
      <c r="AN25" s="2418"/>
      <c r="AO25" s="2414"/>
      <c r="AP25" s="2414"/>
      <c r="AQ25" s="2414"/>
      <c r="AR25" s="2414"/>
    </row>
    <row r="26" spans="1:44" ht="15.75">
      <c r="A26" s="2414"/>
      <c r="B26" s="2416" t="s">
        <v>1846</v>
      </c>
      <c r="C26" s="2419"/>
      <c r="D26" s="2417"/>
      <c r="E26" s="2417"/>
      <c r="F26" s="2417"/>
      <c r="G26" s="2417"/>
      <c r="H26" s="2417">
        <f>Master!F135</f>
        <v>26.571000000000002</v>
      </c>
      <c r="I26" s="2417">
        <f>Master!G135</f>
        <v>43.350999999999999</v>
      </c>
      <c r="J26" s="2417">
        <f>Master!H135</f>
        <v>34.179000000000002</v>
      </c>
      <c r="K26" s="2417">
        <f>Master!I135</f>
        <v>76</v>
      </c>
      <c r="L26" s="2417">
        <f>Master!J135</f>
        <v>80</v>
      </c>
      <c r="M26" s="2417">
        <f>Master!K135</f>
        <v>-25.8</v>
      </c>
      <c r="N26" s="2417">
        <f>Master!L135</f>
        <v>-74</v>
      </c>
      <c r="O26" s="2417">
        <f>Master!M135</f>
        <v>45.6</v>
      </c>
      <c r="P26" s="2417">
        <f>Master!N135</f>
        <v>192</v>
      </c>
      <c r="Q26" s="2417">
        <f>Master!O135</f>
        <v>312</v>
      </c>
      <c r="R26" s="2417">
        <f>Master!P135</f>
        <v>152</v>
      </c>
      <c r="S26" s="2417">
        <f>Master!Q135</f>
        <v>1405</v>
      </c>
      <c r="T26" s="2417">
        <f>Master!R135</f>
        <v>1128</v>
      </c>
      <c r="U26" s="2417">
        <f>Master!S135</f>
        <v>1095</v>
      </c>
      <c r="V26" s="2417">
        <f>Master!T135</f>
        <v>964</v>
      </c>
      <c r="W26" s="2417">
        <f>Master!U135</f>
        <v>858</v>
      </c>
      <c r="X26" s="2417">
        <f>Master!V135</f>
        <v>859</v>
      </c>
      <c r="Y26" s="2417">
        <f>Master!W135</f>
        <v>697</v>
      </c>
      <c r="Z26" s="2417">
        <f>Master!X135</f>
        <v>9</v>
      </c>
      <c r="AA26" s="2417">
        <f>Master!Y135</f>
        <v>29</v>
      </c>
      <c r="AB26" s="2417">
        <f>Master!Z135</f>
        <v>-84</v>
      </c>
      <c r="AC26" s="2417">
        <f>Master!AA135</f>
        <v>-54</v>
      </c>
      <c r="AD26" s="2417">
        <f ca="1">Master!AB135</f>
        <v>-102.1190416695207</v>
      </c>
      <c r="AE26" s="2417">
        <f ca="1">Master!AC135</f>
        <v>-150.2380833390414</v>
      </c>
      <c r="AF26" s="2417">
        <f ca="1">Master!AD135</f>
        <v>-198.35712500856209</v>
      </c>
      <c r="AG26" s="2417">
        <f ca="1">Master!AE135</f>
        <v>-246.47616667808279</v>
      </c>
      <c r="AH26" s="2417">
        <f ca="1">Master!AF135</f>
        <v>-294.59520834760349</v>
      </c>
      <c r="AI26" s="2417">
        <f ca="1">Master!AG135</f>
        <v>-342.71425001712419</v>
      </c>
      <c r="AJ26" s="2418"/>
      <c r="AK26" s="2418"/>
      <c r="AL26" s="2418"/>
      <c r="AM26" s="2418"/>
      <c r="AN26" s="2418"/>
      <c r="AO26" s="2414"/>
      <c r="AP26" s="2414"/>
      <c r="AQ26" s="2414"/>
      <c r="AR26" s="2414"/>
    </row>
    <row r="27" spans="1:44" ht="15.75">
      <c r="A27" s="2414"/>
      <c r="B27" s="2416" t="s">
        <v>1847</v>
      </c>
      <c r="C27" s="2419"/>
      <c r="D27" s="2417"/>
      <c r="E27" s="2417"/>
      <c r="F27" s="2417"/>
      <c r="G27" s="2417"/>
      <c r="H27" s="2417">
        <f>Master!F360</f>
        <v>-85.18</v>
      </c>
      <c r="I27" s="2417">
        <f>Master!G360</f>
        <v>239.04300000000001</v>
      </c>
      <c r="J27" s="2417">
        <f>Master!H360</f>
        <v>299.37099999999998</v>
      </c>
      <c r="K27" s="2417">
        <f>Master!I360</f>
        <v>505</v>
      </c>
      <c r="L27" s="2417">
        <f>Master!J360</f>
        <v>1288</v>
      </c>
      <c r="M27" s="2417">
        <f>Master!K360</f>
        <v>1678</v>
      </c>
      <c r="N27" s="2417">
        <f>Master!L360</f>
        <v>2384</v>
      </c>
      <c r="O27" s="2417">
        <f>Master!M360</f>
        <v>2344</v>
      </c>
      <c r="P27" s="2417">
        <f>Master!N360</f>
        <v>2254</v>
      </c>
      <c r="Q27" s="2417">
        <f>Master!O360</f>
        <v>2024</v>
      </c>
      <c r="R27" s="2417">
        <f>Master!P360</f>
        <v>1929</v>
      </c>
      <c r="S27" s="2417">
        <f>Master!Q360</f>
        <v>2342</v>
      </c>
      <c r="T27" s="2417">
        <f>Master!R360</f>
        <v>3285</v>
      </c>
      <c r="U27" s="2417">
        <f>Master!S360</f>
        <v>2976</v>
      </c>
      <c r="V27" s="2417">
        <f>Master!T360</f>
        <v>2905</v>
      </c>
      <c r="W27" s="2417">
        <f>Master!U360</f>
        <v>2500</v>
      </c>
      <c r="X27" s="2417">
        <f>Master!V360</f>
        <v>2369</v>
      </c>
      <c r="Y27" s="2417">
        <f>Master!W360</f>
        <v>2005</v>
      </c>
      <c r="Z27" s="2417">
        <f>Master!X360</f>
        <v>2541</v>
      </c>
      <c r="AA27" s="2417">
        <f>Master!Y360</f>
        <v>3605</v>
      </c>
      <c r="AB27" s="2417">
        <f>Master!Z360</f>
        <v>3529</v>
      </c>
      <c r="AC27" s="2417">
        <f>Master!AA360</f>
        <v>3628</v>
      </c>
      <c r="AD27" s="2417">
        <f ca="1">Master!AB360</f>
        <v>3289.3031049412421</v>
      </c>
      <c r="AE27" s="2417">
        <f ca="1">Master!AC360</f>
        <v>3295.7813660626261</v>
      </c>
      <c r="AF27" s="2417">
        <f ca="1">Master!AD360</f>
        <v>3266.3854004882869</v>
      </c>
      <c r="AG27" s="2417">
        <f ca="1">Master!AE360</f>
        <v>3237.8058929051704</v>
      </c>
      <c r="AH27" s="2417">
        <f ca="1">Master!AF360</f>
        <v>3230.0468517098034</v>
      </c>
      <c r="AI27" s="2417">
        <f ca="1">Master!AG360</f>
        <v>3255.6343211816466</v>
      </c>
      <c r="AJ27" s="2418"/>
      <c r="AK27" s="2418"/>
      <c r="AL27" s="2418"/>
      <c r="AM27" s="2418"/>
      <c r="AN27" s="2418"/>
      <c r="AO27" s="2414"/>
      <c r="AP27" s="2414"/>
      <c r="AQ27" s="2414"/>
      <c r="AR27" s="2414"/>
    </row>
    <row r="28" spans="1:44" ht="15.75">
      <c r="A28" s="2414"/>
      <c r="B28" s="2416" t="s">
        <v>1848</v>
      </c>
      <c r="C28" s="2419"/>
      <c r="D28" s="2419"/>
      <c r="E28" s="2417"/>
      <c r="F28" s="2417"/>
      <c r="G28" s="2417"/>
      <c r="H28" s="2417">
        <f>-Master!F40</f>
        <v>33.587999999999994</v>
      </c>
      <c r="I28" s="2417">
        <f>-Master!G40</f>
        <v>100.724</v>
      </c>
      <c r="J28" s="2417">
        <f>-Master!H40</f>
        <v>112.42800000000001</v>
      </c>
      <c r="K28" s="2417">
        <f>-Master!I40</f>
        <v>87.584000000000003</v>
      </c>
      <c r="L28" s="2417">
        <f>-Master!J40</f>
        <v>138.01600000000002</v>
      </c>
      <c r="M28" s="2417">
        <f>-Master!K40</f>
        <v>116.1</v>
      </c>
      <c r="N28" s="2417">
        <f>-Master!L40</f>
        <v>168</v>
      </c>
      <c r="O28" s="2417">
        <f>-Master!M40</f>
        <v>200.05200000000002</v>
      </c>
      <c r="P28" s="2417">
        <f>-Master!N40</f>
        <v>172</v>
      </c>
      <c r="Q28" s="2417">
        <f>-Master!O40</f>
        <v>206</v>
      </c>
      <c r="R28" s="2417">
        <f>-Master!P40</f>
        <v>258</v>
      </c>
      <c r="S28" s="2417">
        <f>-Master!Q40</f>
        <v>404</v>
      </c>
      <c r="T28" s="2417">
        <f>-Master!R40</f>
        <v>420</v>
      </c>
      <c r="U28" s="2417">
        <f>-Master!S40</f>
        <v>472</v>
      </c>
      <c r="V28" s="2417">
        <f>-Master!T40</f>
        <v>471</v>
      </c>
      <c r="W28" s="2417">
        <f>-Master!U40</f>
        <v>436</v>
      </c>
      <c r="X28" s="2417">
        <f>-Master!V40</f>
        <v>646</v>
      </c>
      <c r="Y28" s="2417">
        <f>-Master!W40</f>
        <v>730</v>
      </c>
      <c r="Z28" s="2417">
        <f>-Master!X40</f>
        <v>583</v>
      </c>
      <c r="AA28" s="2417">
        <f>-Master!Y40</f>
        <v>599</v>
      </c>
      <c r="AB28" s="2417">
        <f>-Master!Z40</f>
        <v>684</v>
      </c>
      <c r="AC28" s="2417">
        <f>-Master!AA40</f>
        <v>670</v>
      </c>
      <c r="AD28" s="2417">
        <f ca="1">-Master!AB40</f>
        <v>649.26354709684381</v>
      </c>
      <c r="AE28" s="2417">
        <f ca="1">-Master!AC40</f>
        <v>648.90746562505342</v>
      </c>
      <c r="AF28" s="2417">
        <f ca="1">-Master!AD40</f>
        <v>672.10854802361166</v>
      </c>
      <c r="AG28" s="2417">
        <f ca="1">-Master!AE40</f>
        <v>686.24349728654636</v>
      </c>
      <c r="AH28" s="2417">
        <f ca="1">-Master!AF40</f>
        <v>697.99551555135713</v>
      </c>
      <c r="AI28" s="2417">
        <f ca="1">-Master!AG40</f>
        <v>707.79837392314801</v>
      </c>
      <c r="AJ28" s="2418"/>
      <c r="AK28" s="2418"/>
      <c r="AL28" s="2418"/>
      <c r="AM28" s="2418"/>
      <c r="AN28" s="2418"/>
      <c r="AO28" s="2414"/>
      <c r="AP28" s="2414"/>
      <c r="AQ28" s="2414"/>
      <c r="AR28" s="2414"/>
    </row>
    <row r="29" spans="1:44" ht="15.75">
      <c r="A29" s="2414"/>
      <c r="B29" s="2416" t="s">
        <v>1849</v>
      </c>
      <c r="C29" s="2419"/>
      <c r="D29" s="2419"/>
      <c r="E29" s="2417"/>
      <c r="F29" s="2417"/>
      <c r="G29" s="2417"/>
      <c r="H29" s="2429">
        <v>176.21699999999998</v>
      </c>
      <c r="I29" s="2429">
        <v>67.646000000000015</v>
      </c>
      <c r="J29" s="2429">
        <v>8.6750000000000043</v>
      </c>
      <c r="K29" s="2429">
        <v>168.23900000000009</v>
      </c>
      <c r="L29" s="2429">
        <v>696.63100000000009</v>
      </c>
      <c r="M29" s="2429">
        <v>516.22500000000014</v>
      </c>
      <c r="N29" s="2429">
        <v>758.95199999999977</v>
      </c>
      <c r="O29" s="2429">
        <v>525.94299999999998</v>
      </c>
      <c r="P29" s="2417">
        <f>Master!N47</f>
        <v>-318</v>
      </c>
      <c r="Q29" s="2417">
        <f>Master!O47</f>
        <v>-596</v>
      </c>
      <c r="R29" s="2417">
        <f>Master!P47</f>
        <v>-806</v>
      </c>
      <c r="S29" s="2417">
        <f>Master!Q47</f>
        <v>2660.5211117787239</v>
      </c>
      <c r="T29" s="2417">
        <f>Master!R47</f>
        <v>-553.36905576846038</v>
      </c>
      <c r="U29" s="2417">
        <f>Master!S47</f>
        <v>23.5</v>
      </c>
      <c r="V29" s="2417">
        <f>Master!T47</f>
        <v>36</v>
      </c>
      <c r="W29" s="2417">
        <f>Master!U47</f>
        <v>117</v>
      </c>
      <c r="X29" s="2417">
        <f>Master!V47</f>
        <v>194</v>
      </c>
      <c r="Y29" s="2417">
        <f>Master!W47</f>
        <v>-193</v>
      </c>
      <c r="Z29" s="2417">
        <f>Master!X47</f>
        <v>708</v>
      </c>
      <c r="AA29" s="2417">
        <f>Master!Y47</f>
        <v>173.13499999999976</v>
      </c>
      <c r="AB29" s="2417">
        <f>Master!Z47</f>
        <v>-82.714500000000044</v>
      </c>
      <c r="AC29" s="2417">
        <f ca="1">Master!AA47</f>
        <v>254.02020000000039</v>
      </c>
      <c r="AD29" s="2417">
        <f ca="1">Master!AB47</f>
        <v>298.23037764165321</v>
      </c>
      <c r="AE29" s="2417">
        <f ca="1">Master!AC47</f>
        <v>584.8039710693763</v>
      </c>
      <c r="AF29" s="2417">
        <f ca="1">Master!AD47</f>
        <v>571.80876661784896</v>
      </c>
      <c r="AG29" s="2417">
        <f ca="1">Master!AE47</f>
        <v>592.64900420945003</v>
      </c>
      <c r="AH29" s="2417">
        <f ca="1">Master!AF47</f>
        <v>630.99040140984926</v>
      </c>
      <c r="AI29" s="2417">
        <f ca="1">Master!AG47</f>
        <v>679.29634595121252</v>
      </c>
      <c r="AJ29" s="2418"/>
      <c r="AK29" s="2418"/>
      <c r="AL29" s="2418"/>
      <c r="AM29" s="2418"/>
      <c r="AN29" s="2418"/>
      <c r="AO29" s="2414"/>
      <c r="AP29" s="2414"/>
      <c r="AQ29" s="2414"/>
      <c r="AR29" s="2414"/>
    </row>
    <row r="30" spans="1:44" ht="15.75">
      <c r="A30" s="2414"/>
      <c r="B30" s="2416" t="s">
        <v>1850</v>
      </c>
      <c r="C30" s="2419"/>
      <c r="D30" s="2419"/>
      <c r="E30" s="2417"/>
      <c r="F30" s="2417"/>
      <c r="G30" s="2417"/>
      <c r="H30" s="2429">
        <v>-26.147000000000027</v>
      </c>
      <c r="I30" s="2429">
        <v>90.66700000000003</v>
      </c>
      <c r="J30" s="2429">
        <v>77.742000000000004</v>
      </c>
      <c r="K30" s="2429">
        <v>243.86200000000008</v>
      </c>
      <c r="L30" s="2429">
        <v>424.23100000000022</v>
      </c>
      <c r="M30" s="2429">
        <v>676.82500000000016</v>
      </c>
      <c r="N30" s="2429">
        <v>475.85199999999986</v>
      </c>
      <c r="O30" s="2429">
        <v>552.20000000000005</v>
      </c>
      <c r="P30" s="2417">
        <f>Master!N66</f>
        <v>-1235</v>
      </c>
      <c r="Q30" s="2417">
        <f>Master!O66</f>
        <v>-1353</v>
      </c>
      <c r="R30" s="2417">
        <f>Master!P66</f>
        <v>-1656</v>
      </c>
      <c r="S30" s="2417">
        <f>Master!Q66</f>
        <v>174.52111177872393</v>
      </c>
      <c r="T30" s="2417">
        <f>Master!R66</f>
        <v>240.63094423153962</v>
      </c>
      <c r="U30" s="2417">
        <f>Master!S66</f>
        <v>127.5</v>
      </c>
      <c r="V30" s="2417">
        <f>Master!T66</f>
        <v>29</v>
      </c>
      <c r="W30" s="2417">
        <f>Master!U66</f>
        <v>149</v>
      </c>
      <c r="X30" s="2417">
        <f>Master!V66</f>
        <v>70</v>
      </c>
      <c r="Y30" s="2417">
        <f>Master!W66</f>
        <v>10.3876953125</v>
      </c>
      <c r="Z30" s="2417">
        <f>Master!X66</f>
        <v>231</v>
      </c>
      <c r="AA30" s="2417">
        <f>Master!Y66</f>
        <v>339.13499999999976</v>
      </c>
      <c r="AB30" s="2417">
        <f>Master!Z66</f>
        <v>60.285499999999956</v>
      </c>
      <c r="AC30" s="2417">
        <f ca="1">Master!AA66</f>
        <v>442.03240000000028</v>
      </c>
      <c r="AD30" s="2417">
        <f ca="1">Master!AB66</f>
        <v>430.09837764165326</v>
      </c>
      <c r="AE30" s="2417">
        <f ca="1">Master!AC66</f>
        <v>719.30933106937596</v>
      </c>
      <c r="AF30" s="2417">
        <f ca="1">Master!AD66</f>
        <v>709.00423381784901</v>
      </c>
      <c r="AG30" s="2417">
        <f ca="1">Master!AE66</f>
        <v>732.58838075344988</v>
      </c>
      <c r="AH30" s="2417">
        <f ca="1">Master!AF66</f>
        <v>773.72856548472942</v>
      </c>
      <c r="AI30" s="2417">
        <f ca="1">Master!AG66</f>
        <v>824.88927330758997</v>
      </c>
      <c r="AJ30" s="2418"/>
      <c r="AK30" s="2418"/>
      <c r="AL30" s="2418"/>
      <c r="AM30" s="2418"/>
      <c r="AN30" s="2418"/>
      <c r="AO30" s="2414"/>
      <c r="AP30" s="2414"/>
      <c r="AQ30" s="2414"/>
      <c r="AR30" s="2414"/>
    </row>
    <row r="31" spans="1:44" ht="15.75">
      <c r="A31" s="2414"/>
      <c r="B31" s="2416" t="s">
        <v>1851</v>
      </c>
      <c r="C31" s="2419"/>
      <c r="D31" s="2419"/>
      <c r="E31" s="2417"/>
      <c r="F31" s="2417"/>
      <c r="G31" s="2417"/>
      <c r="H31" s="2459">
        <v>-8.4810000000000301</v>
      </c>
      <c r="I31" s="2459">
        <v>15.605000000000004</v>
      </c>
      <c r="J31" s="2459">
        <v>-58.964000000000091</v>
      </c>
      <c r="K31" s="2459">
        <v>-204.62099999999992</v>
      </c>
      <c r="L31" s="2459">
        <v>-280.76899999999978</v>
      </c>
      <c r="M31" s="2459">
        <v>-247.07499999999987</v>
      </c>
      <c r="N31" s="2459">
        <v>372.55199999999991</v>
      </c>
      <c r="O31" s="2459">
        <v>572.71900000000005</v>
      </c>
      <c r="P31" s="2459">
        <v>585.43600000000015</v>
      </c>
      <c r="Q31" s="2459">
        <v>485.08600000000024</v>
      </c>
      <c r="R31" s="2459">
        <v>245.39999999999964</v>
      </c>
      <c r="S31" s="2459">
        <f>Valuation!D27</f>
        <v>-71.886679226926162</v>
      </c>
      <c r="T31" s="2459">
        <f ca="1">Valuation!E27</f>
        <v>35.722971998999583</v>
      </c>
      <c r="U31" s="2459">
        <f ca="1">Valuation!F27</f>
        <v>306.61525748434178</v>
      </c>
      <c r="V31" s="2459">
        <f>Valuation!G27</f>
        <v>300</v>
      </c>
      <c r="W31" s="2459">
        <f>Valuation!H27</f>
        <v>346</v>
      </c>
      <c r="X31" s="2459">
        <f ca="1">Valuation!I27</f>
        <v>534.88430441573314</v>
      </c>
      <c r="Y31" s="2459">
        <f ca="1">Valuation!J27</f>
        <v>424.51142204733435</v>
      </c>
      <c r="Z31" s="2459">
        <f ca="1">Valuation!K27</f>
        <v>577.94706701228108</v>
      </c>
      <c r="AA31" s="2417">
        <f>Valuation!L32</f>
        <v>160.20499999999976</v>
      </c>
      <c r="AB31" s="2417">
        <f>Valuation!M32</f>
        <v>-35.714500000000044</v>
      </c>
      <c r="AC31" s="2417">
        <f ca="1">Valuation!N32</f>
        <v>778.64580000000024</v>
      </c>
      <c r="AD31" s="2417">
        <f ca="1">Valuation!O32</f>
        <v>759.62092045878626</v>
      </c>
      <c r="AE31" s="2417">
        <f ca="1">Valuation!P32</f>
        <v>791.0777005844003</v>
      </c>
      <c r="AF31" s="2417">
        <f ca="1">Valuation!Q32</f>
        <v>842.25723102170844</v>
      </c>
      <c r="AG31" s="2417">
        <f ca="1">Valuation!R32</f>
        <v>881.36205879018371</v>
      </c>
      <c r="AH31" s="2417">
        <f ca="1">Valuation!S32</f>
        <v>950.76953719767153</v>
      </c>
      <c r="AI31" s="2417">
        <f ca="1">Valuation!T32</f>
        <v>992.97287494162629</v>
      </c>
      <c r="AJ31" s="2418"/>
      <c r="AK31" s="2418"/>
      <c r="AL31" s="2418"/>
      <c r="AM31" s="2418"/>
      <c r="AN31" s="2418"/>
      <c r="AO31" s="2414"/>
      <c r="AP31" s="2414" t="s">
        <v>9121</v>
      </c>
      <c r="AQ31" s="2414"/>
      <c r="AR31" s="2414"/>
    </row>
    <row r="32" spans="1:44" ht="15.75">
      <c r="A32" s="2414"/>
      <c r="B32" s="2416" t="s">
        <v>9070</v>
      </c>
      <c r="C32" s="2419"/>
      <c r="D32" s="2419"/>
      <c r="E32" s="2417"/>
      <c r="F32" s="2417"/>
      <c r="G32" s="2417"/>
      <c r="H32" s="2429"/>
      <c r="I32" s="2429"/>
      <c r="J32" s="2429"/>
      <c r="K32" s="2429"/>
      <c r="L32" s="2429"/>
      <c r="M32" s="2429"/>
      <c r="N32" s="2429"/>
      <c r="O32" s="2429"/>
      <c r="P32" s="2429"/>
      <c r="Q32" s="2429"/>
      <c r="R32" s="2429"/>
      <c r="S32" s="2417"/>
      <c r="T32" s="2417"/>
      <c r="U32" s="2417"/>
      <c r="V32" s="2417"/>
      <c r="W32" s="2417"/>
      <c r="X32" s="2417">
        <f>Master!V435</f>
        <v>209</v>
      </c>
      <c r="Y32" s="2417">
        <f>Master!W435</f>
        <v>208.3876953125</v>
      </c>
      <c r="Z32" s="2417">
        <f>Master!X435</f>
        <v>277</v>
      </c>
      <c r="AA32" s="2417">
        <f>Master!Y435</f>
        <v>285</v>
      </c>
      <c r="AB32" s="2417">
        <f>Master!Z435</f>
        <v>292</v>
      </c>
      <c r="AC32" s="2417">
        <f>Master!AA435</f>
        <v>324</v>
      </c>
      <c r="AD32" s="2417">
        <f ca="1">Master!AB435</f>
        <v>356.40000000000003</v>
      </c>
      <c r="AE32" s="2417">
        <f ca="1">Master!AC435</f>
        <v>363.52800000000002</v>
      </c>
      <c r="AF32" s="2417">
        <f ca="1">Master!AD435</f>
        <v>370.79855999999995</v>
      </c>
      <c r="AG32" s="2417">
        <f ca="1">Master!AE435</f>
        <v>378.2145311999999</v>
      </c>
      <c r="AH32" s="2417">
        <f ca="1">Master!AF435</f>
        <v>385.77882182399986</v>
      </c>
      <c r="AI32" s="2417">
        <f ca="1">Master!AG435</f>
        <v>393.49439826047984</v>
      </c>
      <c r="AJ32" s="2418"/>
      <c r="AK32" s="2418"/>
      <c r="AL32" s="2418"/>
      <c r="AM32" s="2418"/>
      <c r="AN32" s="2418"/>
      <c r="AO32" s="2414"/>
      <c r="AP32" s="2414"/>
      <c r="AQ32" s="2414"/>
      <c r="AR32" s="2414"/>
    </row>
    <row r="33" spans="1:44" ht="15.75">
      <c r="A33" s="2414"/>
      <c r="B33" s="2416" t="s">
        <v>9071</v>
      </c>
      <c r="C33" s="2419"/>
      <c r="D33" s="2419"/>
      <c r="E33" s="2417"/>
      <c r="F33" s="2417"/>
      <c r="G33" s="2417"/>
      <c r="H33" s="2429"/>
      <c r="I33" s="2429"/>
      <c r="J33" s="2429"/>
      <c r="K33" s="2429"/>
      <c r="L33" s="2429"/>
      <c r="M33" s="2429"/>
      <c r="N33" s="2429"/>
      <c r="O33" s="2429"/>
      <c r="P33" s="2429"/>
      <c r="Q33" s="2429"/>
      <c r="R33" s="2429"/>
      <c r="S33" s="2417"/>
      <c r="T33" s="2417"/>
      <c r="U33" s="2417"/>
      <c r="V33" s="2417"/>
      <c r="W33" s="2417"/>
      <c r="X33" s="2417">
        <f>Master!V211</f>
        <v>50</v>
      </c>
      <c r="Y33" s="2417">
        <f>Master!W211</f>
        <v>100</v>
      </c>
      <c r="Z33" s="2417">
        <f>Master!X211</f>
        <v>0</v>
      </c>
      <c r="AA33" s="2417">
        <f>Master!Y211</f>
        <v>92.93</v>
      </c>
      <c r="AB33" s="2417">
        <f>Master!Z211</f>
        <v>236</v>
      </c>
      <c r="AC33" s="2417">
        <f>Master!AA211</f>
        <v>135</v>
      </c>
      <c r="AD33" s="2417">
        <f>Master!AB211</f>
        <v>100</v>
      </c>
      <c r="AE33" s="2417">
        <f>Master!AC211</f>
        <v>100</v>
      </c>
      <c r="AF33" s="2417">
        <f>Master!AD211</f>
        <v>100</v>
      </c>
      <c r="AG33" s="2417">
        <f>Master!AE211</f>
        <v>100</v>
      </c>
      <c r="AH33" s="2417">
        <f>Master!AF211</f>
        <v>100</v>
      </c>
      <c r="AI33" s="2417">
        <f>Master!AG211</f>
        <v>100</v>
      </c>
      <c r="AJ33" s="2418"/>
      <c r="AK33" s="2418"/>
      <c r="AL33" s="2418"/>
      <c r="AM33" s="2418"/>
      <c r="AN33" s="2418"/>
      <c r="AO33" s="2414"/>
      <c r="AP33" s="2414"/>
      <c r="AQ33" s="2414"/>
      <c r="AR33" s="2414"/>
    </row>
    <row r="34" spans="1:44" ht="15.75">
      <c r="A34" s="2414"/>
      <c r="B34" s="2414" t="s">
        <v>1852</v>
      </c>
      <c r="C34" s="2419"/>
      <c r="D34" s="2419"/>
      <c r="E34" s="2420"/>
      <c r="F34" s="2420"/>
      <c r="G34" s="2420"/>
      <c r="H34" s="2420"/>
      <c r="I34" s="2420"/>
      <c r="J34" s="2420"/>
      <c r="K34" s="2420"/>
      <c r="L34" s="2420"/>
      <c r="M34" s="2420"/>
      <c r="N34" s="2420"/>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8"/>
      <c r="AK34" s="2418"/>
      <c r="AL34" s="2418"/>
      <c r="AM34" s="2418"/>
      <c r="AN34" s="2418"/>
      <c r="AO34" s="2414"/>
      <c r="AP34" s="2414"/>
      <c r="AQ34" s="2414"/>
      <c r="AR34" s="2414"/>
    </row>
    <row r="35" spans="1:44" ht="15.75">
      <c r="A35" s="2414"/>
      <c r="B35" s="2416" t="s">
        <v>983</v>
      </c>
      <c r="C35" s="2419"/>
      <c r="D35" s="2417"/>
      <c r="E35" s="2417"/>
      <c r="F35" s="2417"/>
      <c r="G35" s="2417"/>
      <c r="H35" s="2417">
        <f>Master!F122</f>
        <v>1108.1489999999999</v>
      </c>
      <c r="I35" s="2417">
        <f>Master!G122</f>
        <v>1334.9409999999998</v>
      </c>
      <c r="J35" s="2417">
        <f>Master!H122</f>
        <v>1068.018</v>
      </c>
      <c r="K35" s="2417">
        <f>Master!I122</f>
        <v>1786.011</v>
      </c>
      <c r="L35" s="2417">
        <f>Master!J122</f>
        <v>2662.23</v>
      </c>
      <c r="M35" s="2417">
        <f>Master!K122</f>
        <v>3836.0320000000002</v>
      </c>
      <c r="N35" s="2417">
        <f>Master!L122</f>
        <v>3837.9369999999999</v>
      </c>
      <c r="O35" s="2417">
        <f>Master!M122</f>
        <v>5159.6039999999994</v>
      </c>
      <c r="P35" s="2417">
        <f>Master!N122</f>
        <v>5502</v>
      </c>
      <c r="Q35" s="2417">
        <f>Master!O122</f>
        <v>6112</v>
      </c>
      <c r="R35" s="2417">
        <f>Master!P122</f>
        <v>6073</v>
      </c>
      <c r="S35" s="2417">
        <f>Master!Q122</f>
        <v>10891</v>
      </c>
      <c r="T35" s="2417">
        <f>Master!R122</f>
        <v>9730</v>
      </c>
      <c r="U35" s="2417">
        <f>Master!S122</f>
        <v>9435</v>
      </c>
      <c r="V35" s="2417">
        <f>Master!T122</f>
        <v>9031.6</v>
      </c>
      <c r="W35" s="2417">
        <f>Master!U122</f>
        <v>10000</v>
      </c>
      <c r="X35" s="2417">
        <f>Master!V122</f>
        <v>11666</v>
      </c>
      <c r="Y35" s="2417">
        <f>Master!W122</f>
        <v>11421</v>
      </c>
      <c r="Z35" s="2417">
        <f>Master!X122</f>
        <v>13094</v>
      </c>
      <c r="AA35" s="2417">
        <f>Master!Y122</f>
        <v>12133</v>
      </c>
      <c r="AB35" s="2417">
        <f>Master!Z122</f>
        <v>12601</v>
      </c>
      <c r="AC35" s="2417">
        <f>Master!AA122</f>
        <v>11357</v>
      </c>
      <c r="AD35" s="2417">
        <f ca="1">Master!AB122</f>
        <v>10194.485303681719</v>
      </c>
      <c r="AE35" s="2417">
        <f ca="1">Master!AC122</f>
        <v>10341.995245663602</v>
      </c>
      <c r="AF35" s="2417">
        <f ca="1">Master!AD122</f>
        <v>10432.376781272063</v>
      </c>
      <c r="AG35" s="2417">
        <f ca="1">Master!AE122</f>
        <v>10505.686572067443</v>
      </c>
      <c r="AH35" s="2417">
        <f ca="1">Master!AF122</f>
        <v>10572.987602756002</v>
      </c>
      <c r="AI35" s="2417">
        <f ca="1">Master!AG122</f>
        <v>10643.987671075394</v>
      </c>
      <c r="AJ35" s="2418"/>
      <c r="AK35" s="2418"/>
      <c r="AL35" s="2418"/>
      <c r="AM35" s="2418"/>
      <c r="AN35" s="2418"/>
      <c r="AO35" s="2414"/>
      <c r="AP35" s="2414"/>
      <c r="AQ35" s="2414"/>
      <c r="AR35" s="2414"/>
    </row>
    <row r="36" spans="1:44" ht="15.75">
      <c r="A36" s="2414"/>
      <c r="B36" s="2414" t="s">
        <v>1853</v>
      </c>
      <c r="C36" s="2419"/>
      <c r="D36" s="2419"/>
      <c r="E36" s="2420"/>
      <c r="F36" s="2420"/>
      <c r="G36" s="2420"/>
      <c r="H36" s="2420"/>
      <c r="I36" s="2420"/>
      <c r="J36" s="2420"/>
      <c r="K36" s="2420"/>
      <c r="L36" s="2420"/>
      <c r="M36" s="2420"/>
      <c r="N36" s="2420"/>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8"/>
      <c r="AK36" s="2418"/>
      <c r="AL36" s="2418"/>
      <c r="AM36" s="2418"/>
      <c r="AN36" s="2418"/>
      <c r="AO36" s="2414"/>
      <c r="AP36" s="2414"/>
      <c r="AQ36" s="2414"/>
      <c r="AR36" s="2414"/>
    </row>
    <row r="37" spans="1:44" ht="15.75">
      <c r="A37" s="2414"/>
      <c r="B37" s="2414" t="s">
        <v>1854</v>
      </c>
      <c r="C37" s="2419"/>
      <c r="D37" s="2419"/>
      <c r="E37" s="2420"/>
      <c r="F37" s="2420"/>
      <c r="G37" s="2420"/>
      <c r="H37" s="2420"/>
      <c r="I37" s="2420"/>
      <c r="J37" s="2420"/>
      <c r="K37" s="2420"/>
      <c r="L37" s="2420"/>
      <c r="M37" s="2420"/>
      <c r="N37" s="2420"/>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8"/>
      <c r="AK37" s="2418"/>
      <c r="AL37" s="2418"/>
      <c r="AM37" s="2418"/>
      <c r="AN37" s="2418"/>
      <c r="AO37" s="2414"/>
      <c r="AP37" s="2414"/>
      <c r="AQ37" s="2414"/>
      <c r="AR37" s="2414"/>
    </row>
    <row r="38" spans="1:44" ht="15.75">
      <c r="A38" s="2414"/>
      <c r="B38" s="2414" t="s">
        <v>1855</v>
      </c>
      <c r="C38" s="2419"/>
      <c r="D38" s="2419"/>
      <c r="E38" s="2420"/>
      <c r="F38" s="2420"/>
      <c r="G38" s="2420"/>
      <c r="H38" s="2420"/>
      <c r="I38" s="2420"/>
      <c r="J38" s="2420"/>
      <c r="K38" s="2420"/>
      <c r="L38" s="2420"/>
      <c r="M38" s="2420"/>
      <c r="N38" s="2420"/>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8"/>
      <c r="AK38" s="2418"/>
      <c r="AL38" s="2418"/>
      <c r="AM38" s="2418"/>
      <c r="AN38" s="2418"/>
      <c r="AO38" s="2414"/>
      <c r="AP38" s="2414"/>
      <c r="AQ38" s="2414"/>
      <c r="AR38" s="2414"/>
    </row>
    <row r="39" spans="1:44" ht="15.75">
      <c r="A39" s="2414"/>
      <c r="B39" s="2414" t="s">
        <v>1856</v>
      </c>
      <c r="C39" s="2419"/>
      <c r="D39" s="2419"/>
      <c r="E39" s="2420"/>
      <c r="F39" s="2420"/>
      <c r="G39" s="2420"/>
      <c r="H39" s="2420"/>
      <c r="I39" s="2420"/>
      <c r="J39" s="2420"/>
      <c r="K39" s="2420"/>
      <c r="L39" s="2420"/>
      <c r="M39" s="2420"/>
      <c r="N39" s="2420"/>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8"/>
      <c r="AK39" s="2418"/>
      <c r="AL39" s="2418"/>
      <c r="AM39" s="2418"/>
      <c r="AN39" s="2418"/>
      <c r="AO39" s="2414"/>
      <c r="AP39" s="2414"/>
      <c r="AQ39" s="2414"/>
      <c r="AR39" s="2414"/>
    </row>
    <row r="40" spans="1:44" ht="15.75">
      <c r="A40" s="2414"/>
      <c r="B40" s="2414" t="s">
        <v>2118</v>
      </c>
      <c r="C40" s="2419"/>
      <c r="D40" s="2419"/>
      <c r="E40" s="2420"/>
      <c r="F40" s="2420"/>
      <c r="G40" s="2420"/>
      <c r="H40" s="2420"/>
      <c r="I40" s="2420"/>
      <c r="J40" s="2420"/>
      <c r="K40" s="2420"/>
      <c r="L40" s="2420"/>
      <c r="M40" s="2420"/>
      <c r="N40" s="2420"/>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8"/>
      <c r="AK40" s="2418"/>
      <c r="AL40" s="2418"/>
      <c r="AM40" s="2418"/>
      <c r="AN40" s="2418"/>
      <c r="AO40" s="2414"/>
      <c r="AP40" s="2414"/>
      <c r="AQ40" s="2414"/>
      <c r="AR40" s="2414"/>
    </row>
    <row r="41" spans="1:44" ht="15.75">
      <c r="A41" s="2414"/>
      <c r="B41" s="2414" t="s">
        <v>2119</v>
      </c>
      <c r="C41" s="2419"/>
      <c r="D41" s="2419"/>
      <c r="E41" s="2420"/>
      <c r="F41" s="2420"/>
      <c r="G41" s="2420"/>
      <c r="H41" s="2420"/>
      <c r="I41" s="2420"/>
      <c r="J41" s="2420"/>
      <c r="K41" s="2420"/>
      <c r="L41" s="2420"/>
      <c r="M41" s="2420"/>
      <c r="N41" s="2420"/>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8"/>
      <c r="AK41" s="2418"/>
      <c r="AL41" s="2418"/>
      <c r="AM41" s="2418"/>
      <c r="AN41" s="2418"/>
      <c r="AO41" s="2414"/>
      <c r="AP41" s="2414"/>
      <c r="AQ41" s="2414"/>
      <c r="AR41" s="2414"/>
    </row>
    <row r="42" spans="1:44" ht="15.75">
      <c r="A42" s="2414"/>
      <c r="B42" s="2414" t="s">
        <v>2120</v>
      </c>
      <c r="C42" s="2419"/>
      <c r="D42" s="2419"/>
      <c r="E42" s="2420"/>
      <c r="F42" s="2420"/>
      <c r="G42" s="2420"/>
      <c r="H42" s="2420"/>
      <c r="I42" s="2420"/>
      <c r="J42" s="2420"/>
      <c r="K42" s="2420"/>
      <c r="L42" s="2420"/>
      <c r="M42" s="2420"/>
      <c r="N42" s="2420"/>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8"/>
      <c r="AK42" s="2418"/>
      <c r="AL42" s="2418"/>
      <c r="AM42" s="2418"/>
      <c r="AN42" s="2418"/>
      <c r="AO42" s="2414"/>
      <c r="AP42" s="2414"/>
      <c r="AQ42" s="2414"/>
      <c r="AR42" s="2414"/>
    </row>
    <row r="43" spans="1:44" ht="15.75">
      <c r="A43" s="2414"/>
      <c r="B43" s="2414" t="s">
        <v>2121</v>
      </c>
      <c r="C43" s="2419"/>
      <c r="D43" s="2419"/>
      <c r="E43" s="2420"/>
      <c r="F43" s="2420"/>
      <c r="G43" s="2420"/>
      <c r="H43" s="2420"/>
      <c r="I43" s="2420"/>
      <c r="J43" s="2420"/>
      <c r="K43" s="2420"/>
      <c r="L43" s="2420"/>
      <c r="M43" s="2420"/>
      <c r="N43" s="2420"/>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8"/>
      <c r="AK43" s="2418"/>
      <c r="AL43" s="2418"/>
      <c r="AM43" s="2418"/>
      <c r="AN43" s="2418"/>
      <c r="AO43" s="2414"/>
      <c r="AP43" s="2414"/>
      <c r="AQ43" s="2414"/>
      <c r="AR43" s="2414"/>
    </row>
    <row r="44" spans="1:44" ht="15.75">
      <c r="A44" s="2414"/>
      <c r="B44" s="2414" t="s">
        <v>591</v>
      </c>
      <c r="C44" s="2419"/>
      <c r="D44" s="2419"/>
      <c r="E44" s="2419"/>
      <c r="F44" s="2420"/>
      <c r="G44" s="2420"/>
      <c r="H44" s="2420"/>
      <c r="I44" s="2420"/>
      <c r="J44" s="2420"/>
      <c r="K44" s="2420"/>
      <c r="L44" s="2420"/>
      <c r="M44" s="2420"/>
      <c r="N44" s="2420"/>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8"/>
      <c r="AK44" s="2418"/>
      <c r="AL44" s="2418"/>
      <c r="AM44" s="2418"/>
      <c r="AN44" s="2418"/>
      <c r="AO44" s="2414"/>
      <c r="AP44" s="2414"/>
      <c r="AQ44" s="2414"/>
      <c r="AR44" s="2414"/>
    </row>
    <row r="45" spans="1:44" ht="15.75">
      <c r="A45" s="2414"/>
      <c r="B45" s="2414" t="s">
        <v>592</v>
      </c>
      <c r="C45" s="2419"/>
      <c r="D45" s="2419"/>
      <c r="E45" s="2420"/>
      <c r="F45" s="2420"/>
      <c r="G45" s="2420"/>
      <c r="H45" s="2420"/>
      <c r="I45" s="2420"/>
      <c r="J45" s="2420"/>
      <c r="K45" s="2420"/>
      <c r="L45" s="2420"/>
      <c r="M45" s="2420"/>
      <c r="N45" s="2420"/>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8"/>
      <c r="AK45" s="2418"/>
      <c r="AL45" s="2418"/>
      <c r="AM45" s="2418"/>
      <c r="AN45" s="2418"/>
      <c r="AO45" s="2414"/>
      <c r="AP45" s="2414"/>
      <c r="AQ45" s="2414"/>
      <c r="AR45" s="2414"/>
    </row>
    <row r="46" spans="1:44" ht="15.75">
      <c r="A46" s="2414"/>
      <c r="B46" s="2414" t="s">
        <v>593</v>
      </c>
      <c r="C46" s="2419"/>
      <c r="D46" s="2419"/>
      <c r="E46" s="2420"/>
      <c r="F46" s="2420"/>
      <c r="G46" s="2420"/>
      <c r="H46" s="2420"/>
      <c r="I46" s="2420"/>
      <c r="J46" s="2420"/>
      <c r="K46" s="2420"/>
      <c r="L46" s="2420"/>
      <c r="M46" s="2420"/>
      <c r="N46" s="2420"/>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8"/>
      <c r="AK46" s="2418"/>
      <c r="AL46" s="2418"/>
      <c r="AM46" s="2418"/>
      <c r="AN46" s="2418"/>
      <c r="AO46" s="2414"/>
      <c r="AP46" s="2414"/>
      <c r="AQ46" s="2414"/>
      <c r="AR46" s="2414"/>
    </row>
    <row r="47" spans="1:44" ht="15.75">
      <c r="A47" s="2414"/>
      <c r="B47" s="2414" t="s">
        <v>594</v>
      </c>
      <c r="C47" s="2419"/>
      <c r="D47" s="2419"/>
      <c r="E47" s="2419"/>
      <c r="F47" s="2419"/>
      <c r="G47" s="2419"/>
      <c r="H47" s="2419"/>
      <c r="I47" s="2419"/>
      <c r="J47" s="2419"/>
      <c r="K47" s="2419"/>
      <c r="L47" s="2419"/>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8"/>
      <c r="AK47" s="2418"/>
      <c r="AL47" s="2418"/>
      <c r="AM47" s="2418"/>
      <c r="AN47" s="2418"/>
      <c r="AO47" s="2414"/>
      <c r="AP47" s="2414"/>
      <c r="AQ47" s="2414"/>
      <c r="AR47" s="2414"/>
    </row>
    <row r="48" spans="1:44" ht="15.75">
      <c r="A48" s="2414"/>
      <c r="B48" s="2414" t="s">
        <v>595</v>
      </c>
      <c r="C48" s="2419"/>
      <c r="D48" s="2419"/>
      <c r="E48" s="2419"/>
      <c r="F48" s="2419"/>
      <c r="G48" s="2419"/>
      <c r="H48" s="2419"/>
      <c r="I48" s="2419"/>
      <c r="J48" s="2419"/>
      <c r="K48" s="2419"/>
      <c r="L48" s="2419"/>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8"/>
      <c r="AK48" s="2418"/>
      <c r="AL48" s="2418"/>
      <c r="AM48" s="2418"/>
      <c r="AN48" s="2418"/>
      <c r="AO48" s="2414"/>
      <c r="AP48" s="2414"/>
      <c r="AQ48" s="2414"/>
      <c r="AR48" s="2414"/>
    </row>
    <row r="49" spans="1:44" ht="15.75">
      <c r="A49" s="2414"/>
      <c r="B49" s="2414" t="s">
        <v>596</v>
      </c>
      <c r="C49" s="2419"/>
      <c r="D49" s="2419"/>
      <c r="E49" s="2420"/>
      <c r="F49" s="2420"/>
      <c r="G49" s="2420"/>
      <c r="H49" s="2420"/>
      <c r="I49" s="2420"/>
      <c r="J49" s="2420"/>
      <c r="K49" s="2420"/>
      <c r="L49" s="2420"/>
      <c r="M49" s="2420"/>
      <c r="N49" s="2420"/>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8"/>
      <c r="AK49" s="2418"/>
      <c r="AL49" s="2418"/>
      <c r="AM49" s="2418"/>
      <c r="AN49" s="2418"/>
      <c r="AO49" s="2414"/>
      <c r="AP49" s="2414"/>
      <c r="AQ49" s="2414"/>
      <c r="AR49" s="2414"/>
    </row>
    <row r="50" spans="1:44" ht="15.75">
      <c r="A50" s="2414"/>
      <c r="B50" s="2414" t="s">
        <v>597</v>
      </c>
      <c r="C50" s="2419"/>
      <c r="D50" s="2419"/>
      <c r="E50" s="2420"/>
      <c r="F50" s="2420"/>
      <c r="G50" s="2420"/>
      <c r="H50" s="2420"/>
      <c r="I50" s="2420"/>
      <c r="J50" s="2420"/>
      <c r="K50" s="2420"/>
      <c r="L50" s="2420"/>
      <c r="M50" s="2420"/>
      <c r="N50" s="2420"/>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8"/>
      <c r="AK50" s="2418"/>
      <c r="AL50" s="2418"/>
      <c r="AM50" s="2418"/>
      <c r="AN50" s="2418"/>
      <c r="AO50" s="2414"/>
      <c r="AP50" s="2414"/>
      <c r="AQ50" s="2414"/>
      <c r="AR50" s="2414"/>
    </row>
    <row r="51" spans="1:44" ht="15.75">
      <c r="A51" s="2414"/>
      <c r="B51" s="2414" t="s">
        <v>598</v>
      </c>
      <c r="C51" s="2419"/>
      <c r="D51" s="2419"/>
      <c r="E51" s="2420"/>
      <c r="F51" s="2420"/>
      <c r="G51" s="2420"/>
      <c r="H51" s="2420"/>
      <c r="I51" s="2420"/>
      <c r="J51" s="2420"/>
      <c r="K51" s="2420"/>
      <c r="L51" s="2420"/>
      <c r="M51" s="2420"/>
      <c r="N51" s="2420"/>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8"/>
      <c r="AK51" s="2418"/>
      <c r="AL51" s="2418"/>
      <c r="AM51" s="2418"/>
      <c r="AN51" s="2418"/>
      <c r="AO51" s="2414"/>
      <c r="AP51" s="2414"/>
      <c r="AQ51" s="2414"/>
      <c r="AR51" s="2414"/>
    </row>
    <row r="52" spans="1:44" ht="15.75">
      <c r="A52" s="2414"/>
      <c r="B52" s="2414" t="s">
        <v>599</v>
      </c>
      <c r="C52" s="2419"/>
      <c r="D52" s="2419"/>
      <c r="E52" s="2420"/>
      <c r="F52" s="2420"/>
      <c r="G52" s="2420"/>
      <c r="H52" s="2420"/>
      <c r="I52" s="2420"/>
      <c r="J52" s="2420"/>
      <c r="K52" s="2420"/>
      <c r="L52" s="2420"/>
      <c r="M52" s="2420"/>
      <c r="N52" s="2420"/>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8"/>
      <c r="AK52" s="2418"/>
      <c r="AL52" s="2418"/>
      <c r="AM52" s="2418"/>
      <c r="AN52" s="2418"/>
      <c r="AO52" s="2414"/>
      <c r="AP52" s="2414"/>
      <c r="AQ52" s="2414"/>
      <c r="AR52" s="2414"/>
    </row>
    <row r="53" spans="1:44" ht="15.75">
      <c r="A53" s="2414"/>
      <c r="B53" s="2416" t="s">
        <v>600</v>
      </c>
      <c r="C53" s="2430"/>
      <c r="D53" s="2430"/>
      <c r="E53" s="2430"/>
      <c r="F53" s="2430"/>
      <c r="G53" s="2430"/>
      <c r="H53" s="2417">
        <f>Div!C16</f>
        <v>2981.6940000000004</v>
      </c>
      <c r="I53" s="2417">
        <f>Div!D16</f>
        <v>3721.6390000000001</v>
      </c>
      <c r="J53" s="2417">
        <f>Div!E16</f>
        <v>6051.893</v>
      </c>
      <c r="K53" s="2417">
        <f>Div!F16</f>
        <v>14039.314</v>
      </c>
      <c r="L53" s="2417">
        <f>Div!G16</f>
        <v>23252.553</v>
      </c>
      <c r="M53" s="2417">
        <f>Div!H16</f>
        <v>32045</v>
      </c>
      <c r="N53" s="2417">
        <f>Div!I16</f>
        <v>33843</v>
      </c>
      <c r="O53" s="2417">
        <f>Div!J16</f>
        <v>38589.58</v>
      </c>
      <c r="P53" s="2417">
        <f>Div!K16</f>
        <v>43085</v>
      </c>
      <c r="Q53" s="2417">
        <f>Div!L16</f>
        <v>47229</v>
      </c>
      <c r="R53" s="2417">
        <f>Div!M16</f>
        <v>50078</v>
      </c>
      <c r="S53" s="2417">
        <f>Div!N16</f>
        <v>56484</v>
      </c>
      <c r="T53" s="2417">
        <f>Div!O16</f>
        <v>62586.922000000006</v>
      </c>
      <c r="U53" s="2417">
        <f ca="1">Div!P16</f>
        <v>63337.212573742378</v>
      </c>
      <c r="V53" s="2430">
        <f ca="1">Div!Q16</f>
        <v>66207.378191075128</v>
      </c>
      <c r="W53" s="2430">
        <f ca="1">Div!R16</f>
        <v>69316.822037695354</v>
      </c>
      <c r="X53" s="2430">
        <f ca="1">Div!S16</f>
        <v>72479.599267805112</v>
      </c>
      <c r="Y53" s="2430">
        <f ca="1">Div!T16</f>
        <v>75696.424103548692</v>
      </c>
      <c r="Z53" s="2430">
        <f ca="1">Div!U16</f>
        <v>78765.641535971299</v>
      </c>
      <c r="AA53" s="2430">
        <f ca="1">Div!V16</f>
        <v>81886.046414950586</v>
      </c>
      <c r="AB53" s="2430">
        <f ca="1">Div!W16</f>
        <v>85058.306333453569</v>
      </c>
      <c r="AC53" s="2430">
        <f ca="1">Div!X16</f>
        <v>88283.09575080486</v>
      </c>
      <c r="AD53" s="2430">
        <f ca="1">Div!Y16</f>
        <v>91561.096029487526</v>
      </c>
      <c r="AE53" s="2430">
        <f ca="1">Div!Z16</f>
        <v>94892.995471248068</v>
      </c>
      <c r="AF53" s="2430" t="str">
        <f>Div!AA16</f>
        <v xml:space="preserve"> </v>
      </c>
      <c r="AG53" s="2430">
        <f>Div!AB16</f>
        <v>0</v>
      </c>
      <c r="AH53" s="2430">
        <f>Div!AC16</f>
        <v>0</v>
      </c>
      <c r="AI53" s="2430">
        <f>Div!AD16</f>
        <v>0</v>
      </c>
      <c r="AJ53" s="2418"/>
      <c r="AK53" s="2418"/>
      <c r="AL53" s="2418"/>
      <c r="AM53" s="2418"/>
      <c r="AN53" s="2418"/>
      <c r="AO53" s="2414"/>
      <c r="AP53" s="2414"/>
      <c r="AQ53" s="2414"/>
      <c r="AR53" s="2414"/>
    </row>
    <row r="54" spans="1:44" ht="15.75">
      <c r="A54" s="2414"/>
      <c r="B54" s="2414" t="s">
        <v>601</v>
      </c>
      <c r="C54" s="2419"/>
      <c r="D54" s="2419"/>
      <c r="E54" s="2420"/>
      <c r="F54" s="2420"/>
      <c r="G54" s="2420"/>
      <c r="H54" s="2431"/>
      <c r="I54" s="2420"/>
      <c r="J54" s="2420"/>
      <c r="K54" s="2420"/>
      <c r="L54" s="2420"/>
      <c r="M54" s="2420"/>
      <c r="N54" s="2420"/>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8"/>
      <c r="AK54" s="2418"/>
      <c r="AL54" s="2418"/>
      <c r="AM54" s="2418"/>
      <c r="AN54" s="2418"/>
      <c r="AO54" s="2414"/>
      <c r="AP54" s="2414"/>
      <c r="AQ54" s="2414"/>
      <c r="AR54" s="2414"/>
    </row>
    <row r="55" spans="1:44" ht="15.75">
      <c r="A55" s="2414"/>
      <c r="B55" s="2414" t="s">
        <v>686</v>
      </c>
      <c r="C55" s="2419"/>
      <c r="D55" s="2419"/>
      <c r="E55" s="2420"/>
      <c r="F55" s="2420"/>
      <c r="G55" s="2420"/>
      <c r="H55" s="2420"/>
      <c r="I55" s="2420"/>
      <c r="J55" s="2420"/>
      <c r="K55" s="2420"/>
      <c r="L55" s="2420"/>
      <c r="M55" s="2420"/>
      <c r="N55" s="2420"/>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8"/>
      <c r="AK55" s="2418"/>
      <c r="AL55" s="2418"/>
      <c r="AM55" s="2418"/>
      <c r="AN55" s="2418"/>
      <c r="AO55" s="2414"/>
      <c r="AP55" s="2414"/>
      <c r="AQ55" s="2414"/>
      <c r="AR55" s="2414"/>
    </row>
    <row r="56" spans="1:44" ht="15.75">
      <c r="A56" s="2414"/>
      <c r="B56" s="2414" t="s">
        <v>689</v>
      </c>
      <c r="C56" s="2419"/>
      <c r="D56" s="2419"/>
      <c r="E56" s="2420"/>
      <c r="F56" s="2420"/>
      <c r="G56" s="2420"/>
      <c r="H56" s="2420"/>
      <c r="I56" s="2420"/>
      <c r="J56" s="2420"/>
      <c r="K56" s="2420"/>
      <c r="L56" s="2420"/>
      <c r="M56" s="2420"/>
      <c r="N56" s="2420"/>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8"/>
      <c r="AK56" s="2418"/>
      <c r="AL56" s="2418"/>
      <c r="AM56" s="2418"/>
      <c r="AN56" s="2418"/>
      <c r="AO56" s="2414"/>
      <c r="AP56" s="2414"/>
      <c r="AQ56" s="2414"/>
      <c r="AR56" s="2414"/>
    </row>
    <row r="57" spans="1:44" ht="15.75">
      <c r="A57" s="2414"/>
      <c r="B57" s="2416" t="s">
        <v>690</v>
      </c>
      <c r="C57" s="2430"/>
      <c r="D57" s="2430"/>
      <c r="E57" s="2430"/>
      <c r="F57" s="2430"/>
      <c r="G57" s="2430"/>
      <c r="H57" s="2430"/>
      <c r="I57" s="2430"/>
      <c r="J57" s="2430"/>
      <c r="K57" s="2430"/>
      <c r="L57" s="2430"/>
      <c r="M57" s="2430"/>
      <c r="N57" s="2430"/>
      <c r="O57" s="2430"/>
      <c r="P57" s="2430"/>
      <c r="Q57" s="2430"/>
      <c r="R57" s="2430"/>
      <c r="S57" s="2430"/>
      <c r="T57" s="2430"/>
      <c r="U57" s="2430"/>
      <c r="V57" s="2430"/>
      <c r="W57" s="2430"/>
      <c r="X57" s="2430"/>
      <c r="Y57" s="2430"/>
      <c r="Z57" s="2430"/>
      <c r="AA57" s="2430"/>
      <c r="AB57" s="2430"/>
      <c r="AC57" s="2430"/>
      <c r="AD57" s="2430"/>
      <c r="AE57" s="2430"/>
      <c r="AF57" s="2430"/>
      <c r="AG57" s="2430"/>
      <c r="AH57" s="2430"/>
      <c r="AI57" s="2430"/>
      <c r="AJ57" s="2418"/>
      <c r="AK57" s="2418"/>
      <c r="AL57" s="2418"/>
      <c r="AM57" s="2418"/>
      <c r="AN57" s="2418"/>
      <c r="AO57" s="2414"/>
      <c r="AP57" s="2414"/>
      <c r="AQ57" s="2414"/>
      <c r="AR57" s="2414"/>
    </row>
    <row r="58" spans="1:44" ht="15.75">
      <c r="A58" s="2414"/>
      <c r="B58" s="2414" t="s">
        <v>691</v>
      </c>
      <c r="C58" s="2419"/>
      <c r="D58" s="2419"/>
      <c r="E58" s="2420"/>
      <c r="F58" s="2420"/>
      <c r="G58" s="2420"/>
      <c r="H58" s="2420"/>
      <c r="I58" s="2420"/>
      <c r="J58" s="2420"/>
      <c r="K58" s="2420"/>
      <c r="L58" s="2420"/>
      <c r="M58" s="2420"/>
      <c r="N58" s="2420"/>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8"/>
      <c r="AK58" s="2418"/>
      <c r="AL58" s="2418"/>
      <c r="AM58" s="2418"/>
      <c r="AN58" s="2418"/>
      <c r="AO58" s="2414"/>
      <c r="AP58" s="2414"/>
      <c r="AQ58" s="2414"/>
      <c r="AR58" s="2414"/>
    </row>
    <row r="59" spans="1:44" ht="15.75">
      <c r="A59" s="2414"/>
      <c r="B59" s="2414" t="s">
        <v>692</v>
      </c>
      <c r="C59" s="2419"/>
      <c r="D59" s="2419"/>
      <c r="E59" s="2420"/>
      <c r="F59" s="2420"/>
      <c r="G59" s="2420"/>
      <c r="H59" s="2420"/>
      <c r="I59" s="2420"/>
      <c r="J59" s="2420"/>
      <c r="K59" s="2420"/>
      <c r="L59" s="2420"/>
      <c r="M59" s="2420"/>
      <c r="N59" s="2420"/>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8"/>
      <c r="AK59" s="2418"/>
      <c r="AL59" s="2418"/>
      <c r="AM59" s="2418"/>
      <c r="AN59" s="2418"/>
      <c r="AO59" s="2414"/>
      <c r="AP59" s="2414"/>
      <c r="AQ59" s="2414"/>
      <c r="AR59" s="2414"/>
    </row>
    <row r="60" spans="1:44" ht="15.75">
      <c r="A60" s="2414"/>
      <c r="B60" s="2414" t="s">
        <v>693</v>
      </c>
      <c r="C60" s="2419"/>
      <c r="D60" s="2419"/>
      <c r="E60" s="2420"/>
      <c r="F60" s="2420"/>
      <c r="G60" s="2420"/>
      <c r="H60" s="2420"/>
      <c r="I60" s="2420"/>
      <c r="J60" s="2420"/>
      <c r="K60" s="2420"/>
      <c r="L60" s="2420"/>
      <c r="M60" s="2420"/>
      <c r="N60" s="2420"/>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8"/>
      <c r="AK60" s="2418"/>
      <c r="AL60" s="2418"/>
      <c r="AM60" s="2418"/>
      <c r="AN60" s="2418"/>
      <c r="AO60" s="2414"/>
      <c r="AP60" s="2414"/>
      <c r="AQ60" s="2414"/>
      <c r="AR60" s="2414"/>
    </row>
    <row r="61" spans="1:44" ht="15.75">
      <c r="A61" s="2414"/>
      <c r="B61" s="2414" t="s">
        <v>694</v>
      </c>
      <c r="C61" s="2419"/>
      <c r="D61" s="2419"/>
      <c r="E61" s="2420"/>
      <c r="F61" s="2420"/>
      <c r="G61" s="2420"/>
      <c r="H61" s="2420"/>
      <c r="I61" s="2420"/>
      <c r="J61" s="2420"/>
      <c r="K61" s="2420"/>
      <c r="L61" s="2420"/>
      <c r="M61" s="2420"/>
      <c r="N61" s="2420"/>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8"/>
      <c r="AK61" s="2418"/>
      <c r="AL61" s="2418"/>
      <c r="AM61" s="2418"/>
      <c r="AN61" s="2418"/>
      <c r="AO61" s="2414"/>
      <c r="AP61" s="2414"/>
      <c r="AQ61" s="2414"/>
      <c r="AR61" s="2414"/>
    </row>
    <row r="62" spans="1:44" ht="15.75">
      <c r="A62" s="2414"/>
      <c r="B62" s="2414" t="s">
        <v>695</v>
      </c>
      <c r="C62" s="2419"/>
      <c r="D62" s="2419"/>
      <c r="E62" s="2420"/>
      <c r="F62" s="2420"/>
      <c r="G62" s="2420"/>
      <c r="H62" s="2420"/>
      <c r="I62" s="2420"/>
      <c r="J62" s="2420"/>
      <c r="K62" s="2420"/>
      <c r="L62" s="2420"/>
      <c r="M62" s="2420"/>
      <c r="N62" s="2420"/>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8"/>
      <c r="AK62" s="2418"/>
      <c r="AL62" s="2418"/>
      <c r="AM62" s="2418"/>
      <c r="AN62" s="2418"/>
      <c r="AO62" s="2414"/>
      <c r="AP62" s="2414"/>
      <c r="AQ62" s="2414"/>
      <c r="AR62" s="2414"/>
    </row>
    <row r="63" spans="1:44" ht="15.75">
      <c r="A63" s="2414"/>
      <c r="B63" s="2414" t="s">
        <v>2162</v>
      </c>
      <c r="C63" s="2419"/>
      <c r="D63" s="2419"/>
      <c r="E63" s="2420"/>
      <c r="F63" s="2420"/>
      <c r="G63" s="2420"/>
      <c r="H63" s="2420"/>
      <c r="I63" s="2420"/>
      <c r="J63" s="2420"/>
      <c r="K63" s="2420"/>
      <c r="L63" s="2420"/>
      <c r="M63" s="2420"/>
      <c r="N63" s="2420"/>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8"/>
      <c r="AK63" s="2418"/>
      <c r="AL63" s="2418"/>
      <c r="AM63" s="2418"/>
      <c r="AN63" s="2418"/>
      <c r="AO63" s="2414"/>
      <c r="AP63" s="2414"/>
      <c r="AQ63" s="2414"/>
      <c r="AR63" s="2414"/>
    </row>
    <row r="64" spans="1:44" ht="15.75">
      <c r="A64" s="2414"/>
      <c r="B64" s="2414" t="s">
        <v>2163</v>
      </c>
      <c r="C64" s="2419"/>
      <c r="D64" s="2419"/>
      <c r="E64" s="2432"/>
      <c r="F64" s="2432"/>
      <c r="G64" s="2432"/>
      <c r="H64" s="2432"/>
      <c r="I64" s="2432"/>
      <c r="J64" s="2432"/>
      <c r="K64" s="2432"/>
      <c r="L64" s="2432"/>
      <c r="M64" s="2432"/>
      <c r="N64" s="2432"/>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8"/>
      <c r="AK64" s="2418"/>
      <c r="AL64" s="2418"/>
      <c r="AM64" s="2418"/>
      <c r="AN64" s="2418"/>
      <c r="AO64" s="2414"/>
      <c r="AP64" s="2414"/>
      <c r="AQ64" s="2414"/>
      <c r="AR64" s="2414"/>
    </row>
    <row r="65" spans="1:44" ht="15.75">
      <c r="A65" s="2414"/>
      <c r="B65" s="2414" t="s">
        <v>2164</v>
      </c>
      <c r="C65" s="2419"/>
      <c r="D65" s="2419"/>
      <c r="E65" s="2420"/>
      <c r="F65" s="2420"/>
      <c r="G65" s="2420"/>
      <c r="H65" s="2420"/>
      <c r="I65" s="2420"/>
      <c r="J65" s="2420"/>
      <c r="K65" s="2420"/>
      <c r="L65" s="2420"/>
      <c r="M65" s="2420"/>
      <c r="N65" s="2420"/>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8"/>
      <c r="AK65" s="2418"/>
      <c r="AL65" s="2418"/>
      <c r="AM65" s="2418"/>
      <c r="AN65" s="2418"/>
      <c r="AO65" s="2414"/>
      <c r="AP65" s="2414"/>
      <c r="AQ65" s="2414"/>
      <c r="AR65" s="2414"/>
    </row>
    <row r="66" spans="1:44" ht="15.75">
      <c r="A66" s="2414"/>
      <c r="B66" s="2414" t="s">
        <v>2165</v>
      </c>
      <c r="C66" s="2419"/>
      <c r="D66" s="2419"/>
      <c r="E66" s="2420"/>
      <c r="F66" s="2420"/>
      <c r="G66" s="2420"/>
      <c r="H66" s="2420"/>
      <c r="I66" s="2420"/>
      <c r="J66" s="2420"/>
      <c r="K66" s="2420"/>
      <c r="L66" s="2420"/>
      <c r="M66" s="2420"/>
      <c r="N66" s="2420"/>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8"/>
      <c r="AK66" s="2418"/>
      <c r="AL66" s="2418"/>
      <c r="AM66" s="2418"/>
      <c r="AN66" s="2418"/>
      <c r="AO66" s="2414"/>
      <c r="AP66" s="2414"/>
      <c r="AQ66" s="2414"/>
      <c r="AR66" s="2414"/>
    </row>
    <row r="67" spans="1:44" ht="15.75">
      <c r="A67" s="2414"/>
      <c r="B67" s="2414" t="s">
        <v>1740</v>
      </c>
      <c r="C67" s="2419"/>
      <c r="D67" s="2419"/>
      <c r="E67" s="2420"/>
      <c r="F67" s="2420"/>
      <c r="G67" s="2420"/>
      <c r="H67" s="2420"/>
      <c r="I67" s="2420"/>
      <c r="J67" s="2420"/>
      <c r="K67" s="2420"/>
      <c r="L67" s="2420"/>
      <c r="M67" s="2420"/>
      <c r="N67" s="2420"/>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8"/>
      <c r="AK67" s="2418"/>
      <c r="AL67" s="2418"/>
      <c r="AM67" s="2418"/>
      <c r="AN67" s="2418"/>
      <c r="AO67" s="2414"/>
      <c r="AP67" s="2414"/>
      <c r="AQ67" s="2414"/>
      <c r="AR67" s="2414"/>
    </row>
    <row r="68" spans="1:44" ht="15.75">
      <c r="A68" s="2414"/>
      <c r="B68" s="2414" t="s">
        <v>1741</v>
      </c>
      <c r="C68" s="2419"/>
      <c r="D68" s="2419"/>
      <c r="E68" s="2420"/>
      <c r="F68" s="2420"/>
      <c r="G68" s="2420"/>
      <c r="H68" s="2420"/>
      <c r="I68" s="2420"/>
      <c r="J68" s="2420"/>
      <c r="K68" s="2420"/>
      <c r="L68" s="2420"/>
      <c r="M68" s="2420"/>
      <c r="N68" s="2420"/>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8"/>
      <c r="AK68" s="2418"/>
      <c r="AL68" s="2418"/>
      <c r="AM68" s="2418"/>
      <c r="AN68" s="2418"/>
      <c r="AO68" s="2414"/>
      <c r="AP68" s="2414"/>
      <c r="AQ68" s="2414"/>
      <c r="AR68" s="2414"/>
    </row>
    <row r="69" spans="1:44" ht="15.75">
      <c r="A69" s="2414"/>
      <c r="B69" s="2414" t="s">
        <v>1742</v>
      </c>
      <c r="C69" s="2419"/>
      <c r="D69" s="2419"/>
      <c r="E69" s="2420"/>
      <c r="F69" s="2420"/>
      <c r="G69" s="2420"/>
      <c r="H69" s="2420"/>
      <c r="I69" s="2420"/>
      <c r="J69" s="2420"/>
      <c r="K69" s="2420"/>
      <c r="L69" s="2420"/>
      <c r="M69" s="2420"/>
      <c r="N69" s="2420"/>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18"/>
      <c r="AK69" s="2418"/>
      <c r="AL69" s="2418"/>
      <c r="AM69" s="2418"/>
      <c r="AN69" s="2418"/>
      <c r="AO69" s="2414"/>
      <c r="AP69" s="2414"/>
      <c r="AQ69" s="2414"/>
      <c r="AR69" s="2414"/>
    </row>
    <row r="70" spans="1:44" ht="15.75">
      <c r="A70" s="2414"/>
      <c r="B70" s="2414" t="s">
        <v>1743</v>
      </c>
      <c r="C70" s="2419"/>
      <c r="D70" s="2419"/>
      <c r="E70" s="2420"/>
      <c r="F70" s="2420"/>
      <c r="G70" s="2420"/>
      <c r="H70" s="2420"/>
      <c r="I70" s="2420"/>
      <c r="J70" s="2420"/>
      <c r="K70" s="2420"/>
      <c r="L70" s="2420"/>
      <c r="M70" s="2420"/>
      <c r="N70" s="2420"/>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18"/>
      <c r="AK70" s="2418"/>
      <c r="AL70" s="2418"/>
      <c r="AM70" s="2418"/>
      <c r="AN70" s="2418"/>
      <c r="AO70" s="2414"/>
      <c r="AP70" s="2414"/>
      <c r="AQ70" s="2414"/>
      <c r="AR70" s="2414"/>
    </row>
    <row r="71" spans="1:44" ht="15.75">
      <c r="A71" s="2414"/>
      <c r="B71" s="2414" t="s">
        <v>1744</v>
      </c>
      <c r="C71" s="2419"/>
      <c r="D71" s="2419"/>
      <c r="E71" s="2420"/>
      <c r="F71" s="2420"/>
      <c r="G71" s="2420"/>
      <c r="H71" s="2420"/>
      <c r="I71" s="2420"/>
      <c r="J71" s="2420"/>
      <c r="K71" s="2420"/>
      <c r="L71" s="2420"/>
      <c r="M71" s="2420"/>
      <c r="N71" s="2420"/>
      <c r="O71" s="2419"/>
      <c r="P71" s="2419"/>
      <c r="Q71" s="2419"/>
      <c r="R71" s="2419"/>
      <c r="S71" s="2419"/>
      <c r="T71" s="2419"/>
      <c r="U71" s="2419"/>
      <c r="V71" s="2419"/>
      <c r="W71" s="2419"/>
      <c r="X71" s="2419"/>
      <c r="Y71" s="2419"/>
      <c r="Z71" s="2419"/>
      <c r="AA71" s="2419"/>
      <c r="AB71" s="2419"/>
      <c r="AC71" s="2419"/>
      <c r="AD71" s="2419"/>
      <c r="AE71" s="2419"/>
      <c r="AF71" s="2419"/>
      <c r="AG71" s="2419"/>
      <c r="AH71" s="2419"/>
      <c r="AI71" s="2419"/>
      <c r="AJ71" s="2418"/>
      <c r="AK71" s="2418"/>
      <c r="AL71" s="2418"/>
      <c r="AM71" s="2418"/>
      <c r="AN71" s="2418"/>
      <c r="AO71" s="2414"/>
      <c r="AP71" s="2414"/>
      <c r="AQ71" s="2414"/>
      <c r="AR71" s="2414"/>
    </row>
    <row r="72" spans="1:44" ht="15.75">
      <c r="A72" s="2414"/>
      <c r="B72" s="2414"/>
      <c r="C72" s="2414"/>
      <c r="D72" s="2414"/>
      <c r="E72" s="2414"/>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4"/>
      <c r="AK72" s="2414"/>
      <c r="AL72" s="2414"/>
      <c r="AM72" s="2414"/>
      <c r="AN72" s="2414"/>
      <c r="AO72" s="2414"/>
      <c r="AP72" s="2414"/>
      <c r="AQ72" s="2414"/>
      <c r="AR72" s="2414"/>
    </row>
    <row r="73" spans="1:44" ht="15.75">
      <c r="A73" s="2414"/>
      <c r="B73" s="2415" t="s">
        <v>1745</v>
      </c>
      <c r="C73" s="2428">
        <v>1998</v>
      </c>
      <c r="D73" s="2428">
        <v>1999</v>
      </c>
      <c r="E73" s="2428">
        <v>2000</v>
      </c>
      <c r="F73" s="2428">
        <f t="shared" ref="F73:AC73" si="17">E73+1</f>
        <v>2001</v>
      </c>
      <c r="G73" s="2428">
        <f t="shared" si="17"/>
        <v>2002</v>
      </c>
      <c r="H73" s="2428">
        <f t="shared" si="17"/>
        <v>2003</v>
      </c>
      <c r="I73" s="2428">
        <f t="shared" si="17"/>
        <v>2004</v>
      </c>
      <c r="J73" s="2428">
        <f t="shared" si="17"/>
        <v>2005</v>
      </c>
      <c r="K73" s="2428">
        <f t="shared" si="17"/>
        <v>2006</v>
      </c>
      <c r="L73" s="2428">
        <f t="shared" si="17"/>
        <v>2007</v>
      </c>
      <c r="M73" s="2428">
        <f t="shared" si="17"/>
        <v>2008</v>
      </c>
      <c r="N73" s="2428">
        <f t="shared" si="17"/>
        <v>2009</v>
      </c>
      <c r="O73" s="2428">
        <f t="shared" si="17"/>
        <v>2010</v>
      </c>
      <c r="P73" s="2428">
        <f t="shared" si="17"/>
        <v>2011</v>
      </c>
      <c r="Q73" s="2428">
        <f t="shared" si="17"/>
        <v>2012</v>
      </c>
      <c r="R73" s="2428">
        <f t="shared" si="17"/>
        <v>2013</v>
      </c>
      <c r="S73" s="2428">
        <f t="shared" si="17"/>
        <v>2014</v>
      </c>
      <c r="T73" s="2428">
        <f t="shared" si="17"/>
        <v>2015</v>
      </c>
      <c r="U73" s="2428">
        <f t="shared" si="17"/>
        <v>2016</v>
      </c>
      <c r="V73" s="2428">
        <f t="shared" si="17"/>
        <v>2017</v>
      </c>
      <c r="W73" s="2428">
        <f t="shared" si="17"/>
        <v>2018</v>
      </c>
      <c r="X73" s="2428">
        <f t="shared" si="17"/>
        <v>2019</v>
      </c>
      <c r="Y73" s="2428">
        <f t="shared" si="17"/>
        <v>2020</v>
      </c>
      <c r="Z73" s="2428">
        <f t="shared" si="17"/>
        <v>2021</v>
      </c>
      <c r="AA73" s="2428">
        <f t="shared" si="17"/>
        <v>2022</v>
      </c>
      <c r="AB73" s="2428">
        <f t="shared" si="17"/>
        <v>2023</v>
      </c>
      <c r="AC73" s="2428">
        <f t="shared" si="17"/>
        <v>2024</v>
      </c>
      <c r="AD73" s="2428">
        <f t="shared" ref="AD73" si="18">AC73+1</f>
        <v>2025</v>
      </c>
      <c r="AE73" s="2428">
        <f t="shared" ref="AE73" si="19">AD73+1</f>
        <v>2026</v>
      </c>
      <c r="AF73" s="2428">
        <f t="shared" ref="AF73" si="20">AE73+1</f>
        <v>2027</v>
      </c>
      <c r="AG73" s="2428">
        <f t="shared" ref="AG73" si="21">AF73+1</f>
        <v>2028</v>
      </c>
      <c r="AH73" s="2428">
        <f t="shared" ref="AH73" si="22">AG73+1</f>
        <v>2029</v>
      </c>
      <c r="AI73" s="2428">
        <f t="shared" ref="AI73" si="23">AH73+1</f>
        <v>2030</v>
      </c>
      <c r="AJ73" s="2415"/>
      <c r="AK73" s="2415"/>
      <c r="AL73" s="2415"/>
      <c r="AM73" s="2415"/>
      <c r="AN73" s="2415"/>
      <c r="AO73" s="2414"/>
      <c r="AP73" s="2414"/>
      <c r="AQ73" s="2414"/>
      <c r="AR73" s="2414"/>
    </row>
    <row r="74" spans="1:44" ht="15.75">
      <c r="A74" s="2414"/>
      <c r="B74" s="2433" t="s">
        <v>1865</v>
      </c>
      <c r="C74" s="2434"/>
      <c r="D74" s="2434"/>
      <c r="E74" s="2420"/>
      <c r="F74" s="2420"/>
      <c r="G74" s="2420"/>
      <c r="H74" s="2420"/>
      <c r="I74" s="2420">
        <f>+Master!G563+Master!G564+Master!G566</f>
        <v>212.77799999999999</v>
      </c>
      <c r="J74" s="2420">
        <f>+Master!H563+Master!H564+Master!H566</f>
        <v>216.381</v>
      </c>
      <c r="K74" s="2420">
        <f>+Master!I563+Master!I564+Master!I566</f>
        <v>783.81400000000008</v>
      </c>
      <c r="L74" s="2420">
        <f>+Master!J563+Master!J564+Master!J566</f>
        <v>1175.5250000000001</v>
      </c>
      <c r="M74" s="2420">
        <f>+Master!K563+Master!K564+Master!K566</f>
        <v>1704.5</v>
      </c>
      <c r="N74" s="2420">
        <f>+Master!L563+Master!L564+Master!L566</f>
        <v>1892</v>
      </c>
      <c r="O74" s="2420">
        <f>+Master!M563+Master!M564+Master!M566</f>
        <v>2352.0360000000001</v>
      </c>
      <c r="P74" s="2420">
        <f>+Master!N563+Master!N564+Master!N566</f>
        <v>2558</v>
      </c>
      <c r="Q74" s="2420">
        <f>+Master!O563+Master!O564+Master!O566</f>
        <v>2504.5384615384614</v>
      </c>
      <c r="R74" s="2420">
        <f ca="1">+Master!P563+Master!P564+Master!P566</f>
        <v>1860</v>
      </c>
      <c r="S74" s="2420">
        <f ca="1">+Master!Q563+Master!Q564+Master!Q566</f>
        <v>1760</v>
      </c>
      <c r="T74" s="2420">
        <f ca="1">+Master!R563+Master!R564+Master!R566</f>
        <v>1619</v>
      </c>
      <c r="U74" s="2420">
        <f ca="1">+Master!S563+Master!S564+Master!S566</f>
        <v>1690</v>
      </c>
      <c r="V74" s="2420">
        <f ca="1">+Master!T563+Master!T564+Master!T566</f>
        <v>1990</v>
      </c>
      <c r="W74" s="2420">
        <f ca="1">+Master!U563+Master!U564+Master!U566</f>
        <v>2211.5</v>
      </c>
      <c r="X74" s="2420">
        <f ca="1">+Master!V563+Master!V564+Master!V566</f>
        <v>1883.9876438628989</v>
      </c>
      <c r="Y74" s="2420">
        <f ca="1">+Master!W563+Master!W564+Master!W566</f>
        <v>1067.3302050411385</v>
      </c>
      <c r="Z74" s="2420">
        <f ca="1">+Master!X563+Master!X564+Master!X566</f>
        <v>1080.966011492751</v>
      </c>
      <c r="AA74" s="2420">
        <f ca="1">+Master!Y563+Master!Y564+Master!Y566</f>
        <v>412.19286633146112</v>
      </c>
      <c r="AB74" s="2420">
        <f ca="1">+Master!Z563+Master!Z564+Master!Z566</f>
        <v>389.73152681533247</v>
      </c>
      <c r="AC74" s="2420">
        <f ca="1">+Master!AA563+Master!AA564+Master!AA566</f>
        <v>389.73152681533247</v>
      </c>
      <c r="AD74" s="2420">
        <f ca="1">+Master!AB563+Master!AB564+Master!AB566</f>
        <v>389.73152681533247</v>
      </c>
      <c r="AE74" s="2420">
        <f ca="1">+Master!AC563+Master!AC564+Master!AC566</f>
        <v>389.73152681533247</v>
      </c>
      <c r="AF74" s="2420">
        <f ca="1">+Master!AD563+Master!AD564+Master!AD566</f>
        <v>389.73152681533247</v>
      </c>
      <c r="AG74" s="2420">
        <f ca="1">+Master!AE563+Master!AE564+Master!AE566</f>
        <v>389.73152681533247</v>
      </c>
      <c r="AH74" s="2420">
        <f ca="1">+Master!AF563+Master!AF564+Master!AF566</f>
        <v>389.73152681533247</v>
      </c>
      <c r="AI74" s="2420">
        <f ca="1">+Master!AG563+Master!AG564+Master!AG566</f>
        <v>389.73152681533247</v>
      </c>
      <c r="AJ74" s="2418"/>
      <c r="AK74" s="2418"/>
      <c r="AL74" s="2418"/>
      <c r="AM74" s="2418"/>
      <c r="AN74" s="2418"/>
      <c r="AO74" s="2414"/>
      <c r="AP74" s="2414"/>
      <c r="AQ74" s="2414"/>
      <c r="AR74" s="2414"/>
    </row>
    <row r="75" spans="1:44" ht="15.75">
      <c r="A75" s="2414"/>
      <c r="B75" s="2433" t="s">
        <v>1866</v>
      </c>
      <c r="C75" s="2434"/>
      <c r="D75" s="2434"/>
      <c r="E75" s="2420"/>
      <c r="F75" s="2420"/>
      <c r="G75" s="2420"/>
      <c r="H75" s="2420"/>
      <c r="I75" s="2420">
        <f>+Master!G560</f>
        <v>536.62900000000002</v>
      </c>
      <c r="J75" s="2420">
        <f>+Master!H560</f>
        <v>537.59900000000005</v>
      </c>
      <c r="K75" s="2420">
        <f>+Master!I560</f>
        <v>538.673</v>
      </c>
      <c r="L75" s="2420">
        <f>+Master!J560</f>
        <v>480</v>
      </c>
      <c r="M75" s="2420">
        <f>+Master!K560</f>
        <v>453.47</v>
      </c>
      <c r="N75" s="2420">
        <f>+Master!L560</f>
        <v>454</v>
      </c>
      <c r="O75" s="2420">
        <f>+Master!M560</f>
        <v>0</v>
      </c>
      <c r="P75" s="2420">
        <f>+Master!N560</f>
        <v>0</v>
      </c>
      <c r="Q75" s="2420">
        <f>+Master!O560</f>
        <v>0</v>
      </c>
      <c r="R75" s="2420">
        <f>+Master!P560</f>
        <v>0</v>
      </c>
      <c r="S75" s="2420">
        <f>+Master!Q560</f>
        <v>0</v>
      </c>
      <c r="T75" s="2420">
        <f>+Master!R560</f>
        <v>0</v>
      </c>
      <c r="U75" s="2420">
        <f>+Master!S560</f>
        <v>0</v>
      </c>
      <c r="V75" s="2420">
        <f>+Master!T560</f>
        <v>0</v>
      </c>
      <c r="W75" s="2420">
        <f>+Master!U560</f>
        <v>0</v>
      </c>
      <c r="X75" s="2420">
        <f>+Master!V560</f>
        <v>0</v>
      </c>
      <c r="Y75" s="2420">
        <f>+Master!W560</f>
        <v>0</v>
      </c>
      <c r="Z75" s="2420">
        <f>+Master!X560</f>
        <v>0</v>
      </c>
      <c r="AA75" s="2420">
        <f>+Master!Y560</f>
        <v>0</v>
      </c>
      <c r="AB75" s="2420">
        <f>+Master!Z560</f>
        <v>0</v>
      </c>
      <c r="AC75" s="2420">
        <f>+Master!AA560</f>
        <v>0</v>
      </c>
      <c r="AD75" s="2420">
        <f>+Master!AB560</f>
        <v>0</v>
      </c>
      <c r="AE75" s="2420">
        <f>+Master!AC560</f>
        <v>0</v>
      </c>
      <c r="AF75" s="2420">
        <f>+Master!AD560</f>
        <v>0</v>
      </c>
      <c r="AG75" s="2420">
        <f>+Master!AE560</f>
        <v>0</v>
      </c>
      <c r="AH75" s="2420">
        <f>+Master!AF560</f>
        <v>0</v>
      </c>
      <c r="AI75" s="2420">
        <f>+Master!AG560</f>
        <v>0</v>
      </c>
      <c r="AJ75" s="2418"/>
      <c r="AK75" s="2418"/>
      <c r="AL75" s="2418"/>
      <c r="AM75" s="2418"/>
      <c r="AN75" s="2418"/>
      <c r="AO75" s="2414"/>
      <c r="AP75" s="2414"/>
      <c r="AQ75" s="2414"/>
      <c r="AR75" s="2414"/>
    </row>
    <row r="76" spans="1:44" ht="15.75">
      <c r="A76" s="2414"/>
      <c r="B76" s="2433" t="s">
        <v>1867</v>
      </c>
      <c r="C76" s="2434"/>
      <c r="D76" s="2434"/>
      <c r="E76" s="2420"/>
      <c r="F76" s="2420"/>
      <c r="G76" s="2420"/>
      <c r="H76" s="2420"/>
      <c r="I76" s="2420">
        <f>+Master!G561+Master!G562</f>
        <v>365.00599999999997</v>
      </c>
      <c r="J76" s="2420">
        <f>+Master!H561+Master!H562</f>
        <v>478.64299999999997</v>
      </c>
      <c r="K76" s="2420">
        <f>+Master!I561+Master!I562</f>
        <v>171.16900000000001</v>
      </c>
      <c r="L76" s="2420">
        <f ca="1">+Master!J561+Master!J562</f>
        <v>179</v>
      </c>
      <c r="M76" s="2420">
        <f ca="1">+Master!K561+Master!K562</f>
        <v>0</v>
      </c>
      <c r="N76" s="2420">
        <f ca="1">+Master!L561+Master!L562</f>
        <v>0</v>
      </c>
      <c r="O76" s="2420">
        <f ca="1">+Master!M561+Master!M562</f>
        <v>0</v>
      </c>
      <c r="P76" s="2420">
        <f ca="1">+Master!N561+Master!N562</f>
        <v>0</v>
      </c>
      <c r="Q76" s="2420">
        <f ca="1">+Master!O561+Master!O562</f>
        <v>0</v>
      </c>
      <c r="R76" s="2420">
        <f ca="1">+Master!P561+Master!P562</f>
        <v>0</v>
      </c>
      <c r="S76" s="2420">
        <f ca="1">+Master!Q561+Master!Q562</f>
        <v>0</v>
      </c>
      <c r="T76" s="2420">
        <f ca="1">+Master!R561+Master!R562</f>
        <v>0</v>
      </c>
      <c r="U76" s="2420">
        <f ca="1">+Master!S561+Master!S562</f>
        <v>0</v>
      </c>
      <c r="V76" s="2420">
        <f ca="1">+Master!T561+Master!T562</f>
        <v>0</v>
      </c>
      <c r="W76" s="2420">
        <f ca="1">+Master!U561+Master!U562</f>
        <v>0</v>
      </c>
      <c r="X76" s="2420">
        <f ca="1">+Master!V561+Master!V562</f>
        <v>0</v>
      </c>
      <c r="Y76" s="2420">
        <f ca="1">+Master!W561+Master!W562</f>
        <v>0</v>
      </c>
      <c r="Z76" s="2420">
        <f ca="1">+Master!X561+Master!X562</f>
        <v>0</v>
      </c>
      <c r="AA76" s="2420">
        <f ca="1">+Master!Y561+Master!Y562</f>
        <v>0</v>
      </c>
      <c r="AB76" s="2420">
        <f ca="1">+Master!Z561+Master!Z562</f>
        <v>0</v>
      </c>
      <c r="AC76" s="2420">
        <f ca="1">+Master!AA561+Master!AA562</f>
        <v>0</v>
      </c>
      <c r="AD76" s="2420">
        <f ca="1">+Master!AB561+Master!AB562</f>
        <v>0</v>
      </c>
      <c r="AE76" s="2420">
        <f ca="1">+Master!AC561+Master!AC562</f>
        <v>0</v>
      </c>
      <c r="AF76" s="2420">
        <f ca="1">+Master!AD561+Master!AD562</f>
        <v>0</v>
      </c>
      <c r="AG76" s="2420">
        <f ca="1">+Master!AE561+Master!AE562</f>
        <v>0</v>
      </c>
      <c r="AH76" s="2420">
        <f ca="1">+Master!AF561+Master!AF562</f>
        <v>0</v>
      </c>
      <c r="AI76" s="2420">
        <f ca="1">+Master!AG561+Master!AG562</f>
        <v>0</v>
      </c>
      <c r="AJ76" s="2418"/>
      <c r="AK76" s="2418"/>
      <c r="AL76" s="2418"/>
      <c r="AM76" s="2418"/>
      <c r="AN76" s="2418"/>
      <c r="AO76" s="2414"/>
      <c r="AP76" s="2414"/>
      <c r="AQ76" s="2414"/>
      <c r="AR76" s="2414"/>
    </row>
    <row r="77" spans="1:44" ht="15.75">
      <c r="A77" s="2414"/>
      <c r="B77" s="2433" t="s">
        <v>810</v>
      </c>
      <c r="C77" s="2434"/>
      <c r="D77" s="2434"/>
      <c r="E77" s="2420"/>
      <c r="F77" s="2420"/>
      <c r="G77" s="2420"/>
      <c r="H77" s="2420"/>
      <c r="I77" s="2420">
        <f t="shared" ref="I77:W77" si="24">SUM(I74:I76)</f>
        <v>1114.413</v>
      </c>
      <c r="J77" s="2420">
        <f t="shared" si="24"/>
        <v>1232.623</v>
      </c>
      <c r="K77" s="2420">
        <f t="shared" si="24"/>
        <v>1493.6560000000002</v>
      </c>
      <c r="L77" s="2420">
        <f t="shared" ca="1" si="24"/>
        <v>1834.5250000000001</v>
      </c>
      <c r="M77" s="2420">
        <f t="shared" ca="1" si="24"/>
        <v>2157.9700000000003</v>
      </c>
      <c r="N77" s="2420">
        <f t="shared" ca="1" si="24"/>
        <v>2346</v>
      </c>
      <c r="O77" s="2420">
        <f t="shared" ca="1" si="24"/>
        <v>2352.0360000000001</v>
      </c>
      <c r="P77" s="2420">
        <f t="shared" ca="1" si="24"/>
        <v>2558</v>
      </c>
      <c r="Q77" s="2420">
        <f t="shared" ca="1" si="24"/>
        <v>2504.5384615384614</v>
      </c>
      <c r="R77" s="2420">
        <f t="shared" ca="1" si="24"/>
        <v>1860</v>
      </c>
      <c r="S77" s="2420">
        <f t="shared" ca="1" si="24"/>
        <v>1760</v>
      </c>
      <c r="T77" s="2420">
        <f t="shared" ca="1" si="24"/>
        <v>1619</v>
      </c>
      <c r="U77" s="2420">
        <f t="shared" ca="1" si="24"/>
        <v>1690</v>
      </c>
      <c r="V77" s="2420">
        <f t="shared" ca="1" si="24"/>
        <v>1990</v>
      </c>
      <c r="W77" s="2420">
        <f t="shared" ca="1" si="24"/>
        <v>2211.5</v>
      </c>
      <c r="X77" s="2420">
        <f t="shared" ref="X77:AC77" ca="1" si="25">SUM(X74:X76)</f>
        <v>1883.9876438628989</v>
      </c>
      <c r="Y77" s="2420">
        <f t="shared" ca="1" si="25"/>
        <v>1067.3302050411385</v>
      </c>
      <c r="Z77" s="2420">
        <f t="shared" ca="1" si="25"/>
        <v>1080.966011492751</v>
      </c>
      <c r="AA77" s="2420">
        <f t="shared" ca="1" si="25"/>
        <v>412.19286633146112</v>
      </c>
      <c r="AB77" s="2420">
        <f t="shared" ca="1" si="25"/>
        <v>389.73152681533247</v>
      </c>
      <c r="AC77" s="2420">
        <f t="shared" ca="1" si="25"/>
        <v>389.73152681533247</v>
      </c>
      <c r="AD77" s="2420">
        <f t="shared" ref="AD77:AI77" ca="1" si="26">SUM(AD74:AD76)</f>
        <v>389.73152681533247</v>
      </c>
      <c r="AE77" s="2420">
        <f t="shared" ca="1" si="26"/>
        <v>389.73152681533247</v>
      </c>
      <c r="AF77" s="2420">
        <f t="shared" ca="1" si="26"/>
        <v>389.73152681533247</v>
      </c>
      <c r="AG77" s="2420">
        <f t="shared" ca="1" si="26"/>
        <v>389.73152681533247</v>
      </c>
      <c r="AH77" s="2420">
        <f t="shared" ca="1" si="26"/>
        <v>389.73152681533247</v>
      </c>
      <c r="AI77" s="2420">
        <f t="shared" ca="1" si="26"/>
        <v>389.73152681533247</v>
      </c>
      <c r="AJ77" s="2418"/>
      <c r="AK77" s="2418"/>
      <c r="AL77" s="2418"/>
      <c r="AM77" s="2418"/>
      <c r="AN77" s="2418"/>
      <c r="AO77" s="2414"/>
      <c r="AP77" s="2414"/>
      <c r="AQ77" s="2414"/>
      <c r="AR77" s="2414"/>
    </row>
    <row r="78" spans="1:44" ht="15.75">
      <c r="A78" s="2414"/>
      <c r="B78" s="2433" t="s">
        <v>1868</v>
      </c>
      <c r="C78" s="2434"/>
      <c r="D78" s="2434"/>
      <c r="E78" s="2420"/>
      <c r="F78" s="2420"/>
      <c r="G78" s="2420"/>
      <c r="H78" s="2420"/>
      <c r="I78" s="2420">
        <f>+Master!G418</f>
        <v>413.99099999999999</v>
      </c>
      <c r="J78" s="2420">
        <f>+Master!H418</f>
        <v>596.67499999999995</v>
      </c>
      <c r="K78" s="2420">
        <f>+Master!I418</f>
        <v>656.69200000000001</v>
      </c>
      <c r="L78" s="2420">
        <f>+Master!J418</f>
        <v>1175</v>
      </c>
      <c r="M78" s="2420">
        <f>+Master!K418</f>
        <v>674</v>
      </c>
      <c r="N78" s="2420">
        <f>+Master!L418</f>
        <v>1574</v>
      </c>
      <c r="O78" s="2420">
        <f>+Master!M418</f>
        <v>1076.4870000000001</v>
      </c>
      <c r="P78" s="2420">
        <f>+Master!N418</f>
        <v>916</v>
      </c>
      <c r="Q78" s="2420">
        <f>+Master!O418</f>
        <v>1217</v>
      </c>
      <c r="R78" s="2420">
        <f>+Master!P418</f>
        <v>1806</v>
      </c>
      <c r="S78" s="2420">
        <f>+Master!Q418</f>
        <v>831</v>
      </c>
      <c r="T78" s="2420">
        <f>+Master!R418</f>
        <v>1090</v>
      </c>
      <c r="U78" s="2420">
        <f>+Master!S418</f>
        <v>1103</v>
      </c>
      <c r="V78" s="2420">
        <f>+Master!T418</f>
        <v>1095</v>
      </c>
      <c r="W78" s="2420">
        <f>+Master!U418</f>
        <v>940</v>
      </c>
      <c r="X78" s="2420">
        <f>+Master!V418</f>
        <v>1395</v>
      </c>
      <c r="Y78" s="2420">
        <f>+Master!W418</f>
        <v>1122</v>
      </c>
      <c r="Z78" s="2420">
        <f>+Master!X418</f>
        <v>969</v>
      </c>
      <c r="AA78" s="2420">
        <f>+Master!Y418</f>
        <v>1039</v>
      </c>
      <c r="AB78" s="2420">
        <f>+Master!Z418</f>
        <v>780</v>
      </c>
      <c r="AC78" s="2420">
        <f>+Master!AA418</f>
        <v>699</v>
      </c>
      <c r="AD78" s="2420">
        <f ca="1">+Master!AB418</f>
        <v>1440.0067634385387</v>
      </c>
      <c r="AE78" s="2420">
        <f ca="1">+Master!AC418</f>
        <v>1266.0946115593206</v>
      </c>
      <c r="AF78" s="2420">
        <f ca="1">+Master!AD418</f>
        <v>1116.6982997600953</v>
      </c>
      <c r="AG78" s="2420">
        <f ca="1">+Master!AE418</f>
        <v>986.46886422296757</v>
      </c>
      <c r="AH78" s="2420">
        <f ca="1">+Master!AF418</f>
        <v>908.20023053030673</v>
      </c>
      <c r="AI78" s="2420">
        <f ca="1">+Master!AG418</f>
        <v>857.23761737566474</v>
      </c>
      <c r="AJ78" s="2418"/>
      <c r="AK78" s="2418"/>
      <c r="AL78" s="2418"/>
      <c r="AM78" s="2418"/>
      <c r="AN78" s="2418"/>
      <c r="AO78" s="2414"/>
      <c r="AP78" s="2414"/>
      <c r="AQ78" s="2414"/>
      <c r="AR78" s="2414"/>
    </row>
    <row r="79" spans="1:44" ht="15.75">
      <c r="A79" s="2414"/>
      <c r="B79" s="2433" t="s">
        <v>150</v>
      </c>
      <c r="C79" s="2434"/>
      <c r="D79" s="2434"/>
      <c r="E79" s="2420"/>
      <c r="F79" s="2420"/>
      <c r="G79" s="2420"/>
      <c r="H79" s="2420"/>
      <c r="I79" s="2420">
        <f t="shared" ref="I79:W79" si="27">+I77-I78</f>
        <v>700.42200000000003</v>
      </c>
      <c r="J79" s="2420">
        <f t="shared" si="27"/>
        <v>635.94800000000009</v>
      </c>
      <c r="K79" s="2420">
        <f t="shared" si="27"/>
        <v>836.96400000000017</v>
      </c>
      <c r="L79" s="2420">
        <f t="shared" ca="1" si="27"/>
        <v>659.52500000000009</v>
      </c>
      <c r="M79" s="2420">
        <f t="shared" ca="1" si="27"/>
        <v>1483.9700000000003</v>
      </c>
      <c r="N79" s="2420">
        <f t="shared" ca="1" si="27"/>
        <v>772</v>
      </c>
      <c r="O79" s="2420">
        <f t="shared" ca="1" si="27"/>
        <v>1275.549</v>
      </c>
      <c r="P79" s="2420">
        <f t="shared" ca="1" si="27"/>
        <v>1642</v>
      </c>
      <c r="Q79" s="2420">
        <f t="shared" ca="1" si="27"/>
        <v>1287.5384615384614</v>
      </c>
      <c r="R79" s="2420">
        <f t="shared" ca="1" si="27"/>
        <v>54</v>
      </c>
      <c r="S79" s="2420">
        <f t="shared" ca="1" si="27"/>
        <v>929</v>
      </c>
      <c r="T79" s="2420">
        <f t="shared" ca="1" si="27"/>
        <v>529</v>
      </c>
      <c r="U79" s="2420">
        <f t="shared" ca="1" si="27"/>
        <v>587</v>
      </c>
      <c r="V79" s="2420">
        <f t="shared" ca="1" si="27"/>
        <v>895</v>
      </c>
      <c r="W79" s="2420">
        <f t="shared" ca="1" si="27"/>
        <v>1271.5</v>
      </c>
      <c r="X79" s="2420">
        <f t="shared" ref="X79:AC79" ca="1" si="28">+X77-X78</f>
        <v>488.98764386289895</v>
      </c>
      <c r="Y79" s="2420">
        <f t="shared" ca="1" si="28"/>
        <v>-54.66979495886153</v>
      </c>
      <c r="Z79" s="2420">
        <f t="shared" ca="1" si="28"/>
        <v>111.96601149275102</v>
      </c>
      <c r="AA79" s="2420">
        <f t="shared" ca="1" si="28"/>
        <v>-626.80713366853888</v>
      </c>
      <c r="AB79" s="2420">
        <f t="shared" ca="1" si="28"/>
        <v>-390.26847318466753</v>
      </c>
      <c r="AC79" s="2420">
        <f t="shared" ca="1" si="28"/>
        <v>-309.26847318466753</v>
      </c>
      <c r="AD79" s="2420">
        <f t="shared" ref="AD79:AI79" ca="1" si="29">+AD77-AD78</f>
        <v>-1050.2752366232062</v>
      </c>
      <c r="AE79" s="2420">
        <f t="shared" ca="1" si="29"/>
        <v>-876.36308474398811</v>
      </c>
      <c r="AF79" s="2420">
        <f t="shared" ca="1" si="29"/>
        <v>-726.96677294476285</v>
      </c>
      <c r="AG79" s="2420">
        <f t="shared" ca="1" si="29"/>
        <v>-596.7373374076351</v>
      </c>
      <c r="AH79" s="2420">
        <f t="shared" ca="1" si="29"/>
        <v>-518.46870371497425</v>
      </c>
      <c r="AI79" s="2420">
        <f t="shared" ca="1" si="29"/>
        <v>-467.50609056033227</v>
      </c>
      <c r="AJ79" s="2418"/>
      <c r="AK79" s="2418"/>
      <c r="AL79" s="2418"/>
      <c r="AM79" s="2418"/>
      <c r="AN79" s="2418"/>
      <c r="AO79" s="2414"/>
      <c r="AP79" s="2414"/>
      <c r="AQ79" s="2414"/>
      <c r="AR79" s="2414"/>
    </row>
    <row r="80" spans="1:44" ht="15.75">
      <c r="A80" s="2414"/>
      <c r="B80" s="2433"/>
      <c r="C80" s="2434"/>
      <c r="D80" s="2434"/>
      <c r="E80" s="2420"/>
      <c r="F80" s="2420"/>
      <c r="G80" s="2420"/>
      <c r="H80" s="2420"/>
      <c r="I80" s="2420"/>
      <c r="J80" s="2420"/>
      <c r="K80" s="2420"/>
      <c r="L80" s="2420"/>
      <c r="M80" s="2420"/>
      <c r="N80" s="2420"/>
      <c r="O80" s="2420"/>
      <c r="P80" s="2420"/>
      <c r="Q80" s="2420"/>
      <c r="R80" s="2420"/>
      <c r="S80" s="2420"/>
      <c r="T80" s="2420"/>
      <c r="U80" s="2420"/>
      <c r="V80" s="2420"/>
      <c r="W80" s="2420"/>
      <c r="X80" s="2420"/>
      <c r="Y80" s="2420"/>
      <c r="Z80" s="2420"/>
      <c r="AA80" s="2420"/>
      <c r="AB80" s="2420"/>
      <c r="AC80" s="2420"/>
      <c r="AD80" s="2420"/>
      <c r="AE80" s="2420"/>
      <c r="AF80" s="2420"/>
      <c r="AG80" s="2420"/>
      <c r="AH80" s="2420"/>
      <c r="AI80" s="2420"/>
      <c r="AJ80" s="2418"/>
      <c r="AK80" s="2418"/>
      <c r="AL80" s="2418"/>
      <c r="AM80" s="2418"/>
      <c r="AN80" s="2418"/>
      <c r="AO80" s="2414"/>
      <c r="AP80" s="2414"/>
      <c r="AQ80" s="2414"/>
      <c r="AR80" s="2414"/>
    </row>
    <row r="81" spans="1:44" ht="15.75">
      <c r="A81" s="2414"/>
      <c r="B81" s="2433" t="s">
        <v>360</v>
      </c>
      <c r="C81" s="2434"/>
      <c r="D81" s="2434"/>
      <c r="E81" s="2420"/>
      <c r="F81" s="2420"/>
      <c r="G81" s="2420"/>
      <c r="H81" s="2420"/>
      <c r="I81" s="2429">
        <v>429.01900000000001</v>
      </c>
      <c r="J81" s="2429">
        <v>466.56099999999998</v>
      </c>
      <c r="K81" s="2429">
        <v>668.20400000000006</v>
      </c>
      <c r="L81" s="2429">
        <v>1068.3470000000002</v>
      </c>
      <c r="M81" s="2429">
        <v>1404.3500000000001</v>
      </c>
      <c r="N81" s="2429">
        <v>1494.5519999999999</v>
      </c>
      <c r="O81" s="2429">
        <v>1690.3710000000001</v>
      </c>
      <c r="P81" s="2429">
        <v>1977.4360000000001</v>
      </c>
      <c r="Q81" s="2429">
        <v>1935.0860000000002</v>
      </c>
      <c r="R81" s="2429">
        <v>2043.3999999999996</v>
      </c>
      <c r="S81" s="2420">
        <f t="shared" ref="S81:AI81" si="30">+S19</f>
        <v>2109.5211117787239</v>
      </c>
      <c r="T81" s="2420">
        <f t="shared" si="30"/>
        <v>2265.6309442315396</v>
      </c>
      <c r="U81" s="2420">
        <f t="shared" si="30"/>
        <v>2225.5</v>
      </c>
      <c r="V81" s="2420">
        <f t="shared" si="30"/>
        <v>2181</v>
      </c>
      <c r="W81" s="2420">
        <f t="shared" si="30"/>
        <v>2182</v>
      </c>
      <c r="X81" s="2420">
        <f t="shared" si="30"/>
        <v>2550</v>
      </c>
      <c r="Y81" s="2420">
        <f t="shared" si="30"/>
        <v>2641</v>
      </c>
      <c r="Z81" s="2420">
        <f t="shared" si="30"/>
        <v>2613</v>
      </c>
      <c r="AA81" s="2420">
        <f t="shared" si="30"/>
        <v>2228.1349999999998</v>
      </c>
      <c r="AB81" s="2420">
        <f t="shared" si="30"/>
        <v>2111.2855</v>
      </c>
      <c r="AC81" s="2420">
        <f t="shared" ca="1" si="30"/>
        <v>2468.6458000000002</v>
      </c>
      <c r="AD81" s="2420">
        <f t="shared" si="30"/>
        <v>2381.685419914671</v>
      </c>
      <c r="AE81" s="2420">
        <f t="shared" si="30"/>
        <v>2396.1990022089599</v>
      </c>
      <c r="AF81" s="2420">
        <f t="shared" si="30"/>
        <v>2461.0081072440548</v>
      </c>
      <c r="AG81" s="2420">
        <f t="shared" si="30"/>
        <v>2531.4814825398967</v>
      </c>
      <c r="AH81" s="2420">
        <f t="shared" si="30"/>
        <v>2605.2274230211528</v>
      </c>
      <c r="AI81" s="2420">
        <f t="shared" si="30"/>
        <v>2675.7831928277733</v>
      </c>
      <c r="AJ81" s="2418"/>
      <c r="AK81" s="2418"/>
      <c r="AL81" s="2418"/>
      <c r="AM81" s="2418"/>
      <c r="AN81" s="2418"/>
      <c r="AO81" s="2414"/>
      <c r="AP81" s="2414"/>
      <c r="AQ81" s="2414"/>
      <c r="AR81" s="2414"/>
    </row>
    <row r="82" spans="1:44" ht="15.75">
      <c r="A82" s="2414"/>
      <c r="B82" s="2433" t="s">
        <v>393</v>
      </c>
      <c r="C82" s="2434"/>
      <c r="D82" s="2434"/>
      <c r="E82" s="2420"/>
      <c r="F82" s="2420"/>
      <c r="G82" s="2420"/>
      <c r="H82" s="2420"/>
      <c r="I82" s="2420">
        <f>+Master!G669</f>
        <v>108.53400000000001</v>
      </c>
      <c r="J82" s="2420">
        <f>+Master!H669</f>
        <v>143.74</v>
      </c>
      <c r="K82" s="2420">
        <f>+Master!I669</f>
        <v>123.96899999999999</v>
      </c>
      <c r="L82" s="2420">
        <f>+Master!J669</f>
        <v>163.4</v>
      </c>
      <c r="M82" s="2420">
        <f>+Master!K669</f>
        <v>179</v>
      </c>
      <c r="N82" s="2420">
        <f>+Master!L669</f>
        <v>198</v>
      </c>
      <c r="O82" s="2420">
        <f>+Master!M669</f>
        <v>214.8</v>
      </c>
      <c r="P82" s="2420">
        <f>+Master!N669</f>
        <v>187</v>
      </c>
      <c r="Q82" s="2420">
        <f>+Master!O669</f>
        <v>220</v>
      </c>
      <c r="R82" s="2420">
        <f>+Master!P669</f>
        <v>282</v>
      </c>
      <c r="S82" s="2420">
        <f>+Master!Q669</f>
        <v>405</v>
      </c>
      <c r="T82" s="2420">
        <f>+Master!R669</f>
        <v>419</v>
      </c>
      <c r="U82" s="2420">
        <f>+Master!S669</f>
        <v>494</v>
      </c>
      <c r="V82" s="2420">
        <f>+Master!T669</f>
        <v>493</v>
      </c>
      <c r="W82" s="2420">
        <f>+Master!U669</f>
        <v>458</v>
      </c>
      <c r="X82" s="2420">
        <f>+Master!V669</f>
        <v>543</v>
      </c>
      <c r="Y82" s="2420">
        <f>+Master!W669</f>
        <v>687.6123046875</v>
      </c>
      <c r="Z82" s="2420">
        <f>+Master!X669</f>
        <v>488</v>
      </c>
      <c r="AA82" s="2420">
        <f>+Master!Y669</f>
        <v>688</v>
      </c>
      <c r="AB82" s="2420">
        <f ca="1">+Master!Z669</f>
        <v>759.77244611125434</v>
      </c>
      <c r="AC82" s="2420">
        <f ca="1">+Master!AA669</f>
        <v>663.08496049082669</v>
      </c>
      <c r="AD82" s="2420">
        <f ca="1">+Master!AB669</f>
        <v>621.8926880361696</v>
      </c>
      <c r="AE82" s="2420">
        <f ca="1">+Master!AC669</f>
        <v>608.87674143987601</v>
      </c>
      <c r="AF82" s="2420">
        <f ca="1">+Master!AD669</f>
        <v>610.36934863987597</v>
      </c>
      <c r="AG82" s="2420">
        <f ca="1">+Master!AE669</f>
        <v>611.91575798387601</v>
      </c>
      <c r="AH82" s="2420">
        <f ca="1">+Master!AF669</f>
        <v>613.51704551475598</v>
      </c>
      <c r="AI82" s="2420">
        <f ca="1">+Master!AG669</f>
        <v>615.17430879625351</v>
      </c>
      <c r="AJ82" s="2418"/>
      <c r="AK82" s="2418"/>
      <c r="AL82" s="2418"/>
      <c r="AM82" s="2418"/>
      <c r="AN82" s="2418"/>
      <c r="AO82" s="2414"/>
      <c r="AP82" s="2414"/>
      <c r="AQ82" s="2414"/>
      <c r="AR82" s="2414"/>
    </row>
    <row r="83" spans="1:44" ht="15.75">
      <c r="A83" s="2414"/>
      <c r="B83" s="2433" t="s">
        <v>1176</v>
      </c>
      <c r="C83" s="2434"/>
      <c r="D83" s="2434"/>
      <c r="E83" s="2420"/>
      <c r="F83" s="2420"/>
      <c r="G83" s="2420"/>
      <c r="H83" s="2420"/>
      <c r="I83" s="2420">
        <f>+Master!G401</f>
        <v>7.81</v>
      </c>
      <c r="J83" s="2420">
        <f>+Master!H401</f>
        <v>31.312000000000001</v>
      </c>
      <c r="K83" s="2420">
        <f>+Master!I401</f>
        <v>36.384999999999998</v>
      </c>
      <c r="L83" s="2420">
        <f>+Master!J401</f>
        <v>56.384</v>
      </c>
      <c r="M83" s="2420">
        <f>+Master!K401</f>
        <v>32.9</v>
      </c>
      <c r="N83" s="2420">
        <f>+Master!L401</f>
        <v>30</v>
      </c>
      <c r="O83" s="2420">
        <f>+Master!M401</f>
        <v>14.747999999999999</v>
      </c>
      <c r="P83" s="2420">
        <f>+Master!N401</f>
        <v>15</v>
      </c>
      <c r="Q83" s="2420">
        <f>+Master!O401</f>
        <v>14</v>
      </c>
      <c r="R83" s="2420">
        <f>+Master!P401</f>
        <v>24</v>
      </c>
      <c r="S83" s="2420">
        <f>+Master!Q401</f>
        <v>22</v>
      </c>
      <c r="T83" s="2420">
        <f>+Master!R401</f>
        <v>22</v>
      </c>
      <c r="U83" s="2420">
        <f>+Master!S401</f>
        <v>22</v>
      </c>
      <c r="V83" s="2420">
        <f>+Master!T401</f>
        <v>22</v>
      </c>
      <c r="W83" s="2420">
        <f>+Master!U401</f>
        <v>22</v>
      </c>
      <c r="X83" s="2420">
        <f>+Master!V401</f>
        <v>22</v>
      </c>
      <c r="Y83" s="2420">
        <f>+Master!W401</f>
        <v>22</v>
      </c>
      <c r="Z83" s="2420">
        <f>+Master!X401</f>
        <v>22</v>
      </c>
      <c r="AA83" s="2420">
        <f>+Master!Y401</f>
        <v>22</v>
      </c>
      <c r="AB83" s="2420">
        <f>+Master!Z401</f>
        <v>28</v>
      </c>
      <c r="AC83" s="2420">
        <f>+Master!AA401</f>
        <v>46</v>
      </c>
      <c r="AD83" s="2420">
        <f ca="1">+Master!AB401</f>
        <v>64.170202903156152</v>
      </c>
      <c r="AE83" s="2420">
        <f ca="1">+Master!AC401</f>
        <v>67.652534374946484</v>
      </c>
      <c r="AF83" s="2420">
        <f ca="1">+Master!AD401</f>
        <v>47.655858226388318</v>
      </c>
      <c r="AG83" s="2420">
        <f ca="1">+Master!AE401</f>
        <v>36.805425369703606</v>
      </c>
      <c r="AH83" s="2420">
        <f ca="1">+Master!AF401</f>
        <v>28.420036421299113</v>
      </c>
      <c r="AI83" s="2420">
        <f ca="1">+Master!AG401</f>
        <v>22.067973098824645</v>
      </c>
      <c r="AJ83" s="2418"/>
      <c r="AK83" s="2418"/>
      <c r="AL83" s="2418"/>
      <c r="AM83" s="2418"/>
      <c r="AN83" s="2418"/>
      <c r="AO83" s="2414"/>
      <c r="AP83" s="2414"/>
      <c r="AQ83" s="2414"/>
      <c r="AR83" s="2414"/>
    </row>
    <row r="84" spans="1:44" ht="15.75">
      <c r="A84" s="2414"/>
      <c r="B84" s="2433" t="s">
        <v>1746</v>
      </c>
      <c r="C84" s="2434"/>
      <c r="D84" s="2434"/>
      <c r="E84" s="2420"/>
      <c r="F84" s="2420"/>
      <c r="G84" s="2420"/>
      <c r="H84" s="2420"/>
      <c r="I84" s="2420">
        <f t="shared" ref="I84:W84" si="31">+I82-I83</f>
        <v>100.724</v>
      </c>
      <c r="J84" s="2420">
        <f t="shared" si="31"/>
        <v>112.42800000000001</v>
      </c>
      <c r="K84" s="2420">
        <f t="shared" si="31"/>
        <v>87.584000000000003</v>
      </c>
      <c r="L84" s="2420">
        <f t="shared" si="31"/>
        <v>107.01600000000001</v>
      </c>
      <c r="M84" s="2420">
        <f t="shared" si="31"/>
        <v>146.1</v>
      </c>
      <c r="N84" s="2420">
        <f t="shared" si="31"/>
        <v>168</v>
      </c>
      <c r="O84" s="2420">
        <f t="shared" si="31"/>
        <v>200.05200000000002</v>
      </c>
      <c r="P84" s="2420">
        <f t="shared" si="31"/>
        <v>172</v>
      </c>
      <c r="Q84" s="2420">
        <f t="shared" si="31"/>
        <v>206</v>
      </c>
      <c r="R84" s="2420">
        <f t="shared" si="31"/>
        <v>258</v>
      </c>
      <c r="S84" s="2420">
        <f t="shared" si="31"/>
        <v>383</v>
      </c>
      <c r="T84" s="2420">
        <f t="shared" si="31"/>
        <v>397</v>
      </c>
      <c r="U84" s="2420">
        <f t="shared" si="31"/>
        <v>472</v>
      </c>
      <c r="V84" s="2420">
        <f t="shared" si="31"/>
        <v>471</v>
      </c>
      <c r="W84" s="2420">
        <f t="shared" si="31"/>
        <v>436</v>
      </c>
      <c r="X84" s="2420">
        <f t="shared" ref="X84:AC84" si="32">+X82-X83</f>
        <v>521</v>
      </c>
      <c r="Y84" s="2420">
        <f t="shared" si="32"/>
        <v>665.6123046875</v>
      </c>
      <c r="Z84" s="2420">
        <f t="shared" si="32"/>
        <v>466</v>
      </c>
      <c r="AA84" s="2420">
        <f t="shared" si="32"/>
        <v>666</v>
      </c>
      <c r="AB84" s="2420">
        <f t="shared" ca="1" si="32"/>
        <v>731.77244611125434</v>
      </c>
      <c r="AC84" s="2420">
        <f t="shared" ca="1" si="32"/>
        <v>617.08496049082669</v>
      </c>
      <c r="AD84" s="2420">
        <f t="shared" ref="AD84:AI84" ca="1" si="33">+AD82-AD83</f>
        <v>557.72248513301349</v>
      </c>
      <c r="AE84" s="2420">
        <f t="shared" ca="1" si="33"/>
        <v>541.22420706492949</v>
      </c>
      <c r="AF84" s="2420">
        <f t="shared" ca="1" si="33"/>
        <v>562.71349041348765</v>
      </c>
      <c r="AG84" s="2420">
        <f t="shared" ca="1" si="33"/>
        <v>575.11033261417242</v>
      </c>
      <c r="AH84" s="2420">
        <f t="shared" ca="1" si="33"/>
        <v>585.0970090934569</v>
      </c>
      <c r="AI84" s="2420">
        <f t="shared" ca="1" si="33"/>
        <v>593.1063356974289</v>
      </c>
      <c r="AJ84" s="2418"/>
      <c r="AK84" s="2418"/>
      <c r="AL84" s="2418"/>
      <c r="AM84" s="2418"/>
      <c r="AN84" s="2418"/>
      <c r="AO84" s="2414"/>
      <c r="AP84" s="2414"/>
      <c r="AQ84" s="2414"/>
      <c r="AR84" s="2414"/>
    </row>
    <row r="85" spans="1:44" ht="15.75">
      <c r="A85" s="2414"/>
      <c r="B85" s="2433"/>
      <c r="C85" s="2434"/>
      <c r="D85" s="2434"/>
      <c r="E85" s="2420"/>
      <c r="F85" s="2420"/>
      <c r="G85" s="2420"/>
      <c r="H85" s="2420"/>
      <c r="I85" s="2420"/>
      <c r="J85" s="2420"/>
      <c r="K85" s="2420"/>
      <c r="L85" s="2420"/>
      <c r="M85" s="2420"/>
      <c r="N85" s="2420"/>
      <c r="O85" s="2420"/>
      <c r="P85" s="2420"/>
      <c r="Q85" s="2420"/>
      <c r="R85" s="2420"/>
      <c r="S85" s="2420"/>
      <c r="T85" s="2420"/>
      <c r="U85" s="2420"/>
      <c r="V85" s="2420"/>
      <c r="W85" s="2420"/>
      <c r="X85" s="2420"/>
      <c r="Y85" s="2420"/>
      <c r="Z85" s="2420"/>
      <c r="AA85" s="2420"/>
      <c r="AB85" s="2420"/>
      <c r="AC85" s="2420"/>
      <c r="AD85" s="2420"/>
      <c r="AE85" s="2420"/>
      <c r="AF85" s="2420"/>
      <c r="AG85" s="2420"/>
      <c r="AH85" s="2420"/>
      <c r="AI85" s="2420"/>
      <c r="AJ85" s="2418"/>
      <c r="AK85" s="2418"/>
      <c r="AL85" s="2418"/>
      <c r="AM85" s="2418"/>
      <c r="AN85" s="2418"/>
      <c r="AO85" s="2414"/>
      <c r="AP85" s="2414"/>
      <c r="AQ85" s="2414"/>
      <c r="AR85" s="2414"/>
    </row>
    <row r="86" spans="1:44" ht="15.75">
      <c r="A86" s="2414"/>
      <c r="B86" s="2433" t="s">
        <v>1869</v>
      </c>
      <c r="C86" s="2434"/>
      <c r="D86" s="2434"/>
      <c r="E86" s="2420"/>
      <c r="F86" s="2420"/>
      <c r="G86" s="2420"/>
      <c r="H86" s="2420"/>
      <c r="I86" s="2420"/>
      <c r="J86" s="2420"/>
      <c r="K86" s="2420"/>
      <c r="L86" s="2420">
        <f>+Master!J641</f>
        <v>45.8</v>
      </c>
      <c r="M86" s="2420">
        <f>+Master!K641</f>
        <v>31.6</v>
      </c>
      <c r="N86" s="2420">
        <f>+Master!L641</f>
        <v>0</v>
      </c>
      <c r="O86" s="2420">
        <f>+Master!M641</f>
        <v>1017</v>
      </c>
      <c r="P86" s="2420">
        <f>+Master!N641</f>
        <v>100</v>
      </c>
      <c r="Q86" s="2420">
        <f>+Master!O641</f>
        <v>580</v>
      </c>
      <c r="R86" s="2420">
        <f>+Master!P641</f>
        <v>231</v>
      </c>
      <c r="S86" s="2420">
        <f>+Master!Q641</f>
        <v>580</v>
      </c>
      <c r="T86" s="2420">
        <f>+Master!R641</f>
        <v>393</v>
      </c>
      <c r="U86" s="2420">
        <f>+Master!S641</f>
        <v>200</v>
      </c>
      <c r="V86" s="2420">
        <f>+Master!T641</f>
        <v>1000</v>
      </c>
      <c r="W86" s="2420">
        <f>+Master!U641</f>
        <v>264</v>
      </c>
      <c r="X86" s="2420">
        <f>+Master!V641</f>
        <v>313</v>
      </c>
      <c r="Y86" s="2420">
        <f>+Master!W641</f>
        <v>271</v>
      </c>
      <c r="Z86" s="2420">
        <f>+Master!X641</f>
        <v>265</v>
      </c>
      <c r="AA86" s="2420">
        <f>+Master!Y641</f>
        <v>347</v>
      </c>
      <c r="AB86" s="2420">
        <f>+Master!Z641</f>
        <v>449</v>
      </c>
      <c r="AC86" s="2420">
        <f>+Master!AA641</f>
        <v>1312</v>
      </c>
      <c r="AD86" s="2420">
        <f>+Master!AB641</f>
        <v>705</v>
      </c>
      <c r="AE86" s="2420">
        <f>+Master!AC641</f>
        <v>705</v>
      </c>
      <c r="AF86" s="2420">
        <f>+Master!AD641</f>
        <v>705</v>
      </c>
      <c r="AG86" s="2420">
        <f>+Master!AE641</f>
        <v>705</v>
      </c>
      <c r="AH86" s="2420">
        <f>+Master!AF641</f>
        <v>705</v>
      </c>
      <c r="AI86" s="2420">
        <f>+Master!AG641</f>
        <v>705</v>
      </c>
      <c r="AJ86" s="2418"/>
      <c r="AK86" s="2418"/>
      <c r="AL86" s="2418"/>
      <c r="AM86" s="2418"/>
      <c r="AN86" s="2418"/>
      <c r="AO86" s="2414"/>
      <c r="AP86" s="2414"/>
      <c r="AQ86" s="2414"/>
      <c r="AR86" s="2414"/>
    </row>
    <row r="87" spans="1:44" ht="15.75">
      <c r="A87" s="2414"/>
      <c r="B87" s="2433"/>
      <c r="C87" s="2434"/>
      <c r="D87" s="2434"/>
      <c r="E87" s="2420"/>
      <c r="F87" s="2420"/>
      <c r="G87" s="2420"/>
      <c r="H87" s="2420"/>
      <c r="I87" s="2420"/>
      <c r="J87" s="2420"/>
      <c r="K87" s="2420"/>
      <c r="L87" s="2420"/>
      <c r="M87" s="2420"/>
      <c r="N87" s="2420"/>
      <c r="O87" s="2420"/>
      <c r="P87" s="2420"/>
      <c r="Q87" s="2420"/>
      <c r="R87" s="2420"/>
      <c r="S87" s="2420"/>
      <c r="T87" s="2420"/>
      <c r="U87" s="2420"/>
      <c r="V87" s="2420"/>
      <c r="W87" s="2420"/>
      <c r="X87" s="2420"/>
      <c r="Y87" s="2420"/>
      <c r="Z87" s="2420"/>
      <c r="AA87" s="2420"/>
      <c r="AB87" s="2420"/>
      <c r="AC87" s="2420"/>
      <c r="AD87" s="2420"/>
      <c r="AE87" s="2420"/>
      <c r="AF87" s="2420"/>
      <c r="AG87" s="2420"/>
      <c r="AH87" s="2420"/>
      <c r="AI87" s="2420"/>
      <c r="AJ87" s="2418"/>
      <c r="AK87" s="2418"/>
      <c r="AL87" s="2418"/>
      <c r="AM87" s="2418"/>
      <c r="AN87" s="2418"/>
      <c r="AO87" s="2414"/>
      <c r="AP87" s="2414"/>
      <c r="AQ87" s="2414"/>
      <c r="AR87" s="2414"/>
    </row>
    <row r="88" spans="1:44" ht="15.75">
      <c r="A88" s="2414"/>
      <c r="B88" s="2433" t="s">
        <v>1545</v>
      </c>
      <c r="C88" s="2434"/>
      <c r="D88" s="2434"/>
      <c r="E88" s="2420"/>
      <c r="F88" s="2420"/>
      <c r="G88" s="2420"/>
      <c r="H88" s="2420"/>
      <c r="I88" s="2420">
        <f t="shared" ref="I88:AI88" si="34">+I22</f>
        <v>237</v>
      </c>
      <c r="J88" s="2420">
        <f t="shared" si="34"/>
        <v>354.00000000000006</v>
      </c>
      <c r="K88" s="2420">
        <f t="shared" si="34"/>
        <v>676</v>
      </c>
      <c r="L88" s="2420">
        <f t="shared" si="34"/>
        <v>1056</v>
      </c>
      <c r="M88" s="2420">
        <f t="shared" si="34"/>
        <v>1431</v>
      </c>
      <c r="N88" s="2420">
        <f t="shared" si="34"/>
        <v>737</v>
      </c>
      <c r="O88" s="2420">
        <f t="shared" si="34"/>
        <v>688</v>
      </c>
      <c r="P88" s="2420">
        <f t="shared" si="34"/>
        <v>804</v>
      </c>
      <c r="Q88" s="2420">
        <f t="shared" si="34"/>
        <v>922</v>
      </c>
      <c r="R88" s="2420">
        <f t="shared" si="34"/>
        <v>1083</v>
      </c>
      <c r="S88" s="2420">
        <f t="shared" si="34"/>
        <v>1206.4077910056501</v>
      </c>
      <c r="T88" s="2420">
        <f t="shared" ca="1" si="34"/>
        <v>1272.90797223254</v>
      </c>
      <c r="U88" s="2420">
        <f t="shared" ca="1" si="34"/>
        <v>1030.8847425156582</v>
      </c>
      <c r="V88" s="2420">
        <f t="shared" si="34"/>
        <v>994</v>
      </c>
      <c r="W88" s="2420">
        <f t="shared" si="34"/>
        <v>998.00000000000011</v>
      </c>
      <c r="X88" s="2420">
        <f t="shared" ca="1" si="34"/>
        <v>1056</v>
      </c>
      <c r="Y88" s="2420">
        <f t="shared" ca="1" si="34"/>
        <v>990</v>
      </c>
      <c r="Z88" s="2420">
        <f t="shared" ca="1" si="34"/>
        <v>1111</v>
      </c>
      <c r="AA88" s="2420">
        <f t="shared" si="34"/>
        <v>973</v>
      </c>
      <c r="AB88" s="2420">
        <f t="shared" si="34"/>
        <v>809</v>
      </c>
      <c r="AC88" s="2420">
        <f t="shared" si="34"/>
        <v>677</v>
      </c>
      <c r="AD88" s="2420">
        <f t="shared" si="34"/>
        <v>680.1684569653894</v>
      </c>
      <c r="AE88" s="2420">
        <f t="shared" si="34"/>
        <v>658.17007617557863</v>
      </c>
      <c r="AF88" s="2420">
        <f t="shared" si="34"/>
        <v>654.72975816629184</v>
      </c>
      <c r="AG88" s="2420">
        <f t="shared" si="34"/>
        <v>662.60612420755035</v>
      </c>
      <c r="AH88" s="2420">
        <f t="shared" si="34"/>
        <v>664.67014578764781</v>
      </c>
      <c r="AI88" s="2420">
        <f t="shared" si="34"/>
        <v>662.33058356837569</v>
      </c>
      <c r="AJ88" s="2418"/>
      <c r="AK88" s="2418"/>
      <c r="AL88" s="2418"/>
      <c r="AM88" s="2418"/>
      <c r="AN88" s="2418"/>
      <c r="AO88" s="2414"/>
      <c r="AP88" s="2414"/>
      <c r="AQ88" s="2414"/>
      <c r="AR88" s="2414"/>
    </row>
    <row r="89" spans="1:44" ht="15.75">
      <c r="A89" s="2414"/>
      <c r="B89" s="2433"/>
      <c r="C89" s="2434"/>
      <c r="D89" s="2434"/>
      <c r="E89" s="2420"/>
      <c r="F89" s="2420"/>
      <c r="G89" s="2420"/>
      <c r="H89" s="2420"/>
      <c r="I89" s="2420"/>
      <c r="J89" s="2420"/>
      <c r="K89" s="2420"/>
      <c r="L89" s="2420"/>
      <c r="M89" s="2420"/>
      <c r="N89" s="2420"/>
      <c r="O89" s="2419"/>
      <c r="P89" s="2419"/>
      <c r="Q89" s="2419"/>
      <c r="R89" s="2419"/>
      <c r="S89" s="2419"/>
      <c r="T89" s="2419"/>
      <c r="U89" s="2419"/>
      <c r="V89" s="2419"/>
      <c r="W89" s="2419"/>
      <c r="X89" s="2419"/>
      <c r="Y89" s="2419"/>
      <c r="Z89" s="2419"/>
      <c r="AA89" s="2419"/>
      <c r="AB89" s="2419"/>
      <c r="AC89" s="2419"/>
      <c r="AD89" s="2419"/>
      <c r="AE89" s="2419"/>
      <c r="AF89" s="2419"/>
      <c r="AG89" s="2419"/>
      <c r="AH89" s="2419"/>
      <c r="AI89" s="2419"/>
      <c r="AJ89" s="2418"/>
      <c r="AK89" s="2418"/>
      <c r="AL89" s="2418"/>
      <c r="AM89" s="2418"/>
      <c r="AN89" s="2418"/>
      <c r="AO89" s="2414"/>
      <c r="AP89" s="2414"/>
      <c r="AQ89" s="2414"/>
      <c r="AR89" s="2414"/>
    </row>
    <row r="90" spans="1:44" ht="15.75">
      <c r="A90" s="2414"/>
      <c r="B90" s="2570" t="s">
        <v>9199</v>
      </c>
      <c r="C90" s="2434"/>
      <c r="D90" s="2434"/>
      <c r="E90" s="2420"/>
      <c r="F90" s="2420"/>
      <c r="G90" s="2420"/>
      <c r="H90" s="2420"/>
      <c r="I90" s="2420"/>
      <c r="J90" s="2420"/>
      <c r="K90" s="2420"/>
      <c r="L90" s="2420"/>
      <c r="M90" s="2420"/>
      <c r="N90" s="2420"/>
      <c r="O90" s="2419"/>
      <c r="P90" s="2419"/>
      <c r="Q90" s="2419"/>
      <c r="R90" s="2419"/>
      <c r="S90" s="2419"/>
      <c r="T90" s="2419"/>
      <c r="U90" s="2419"/>
      <c r="V90" s="2419"/>
      <c r="W90" s="2419"/>
      <c r="X90" s="2419"/>
      <c r="Y90" s="2419"/>
      <c r="Z90" s="2419"/>
      <c r="AA90" s="2420">
        <f>'New split'!L399</f>
        <v>973</v>
      </c>
      <c r="AB90" s="2420">
        <f>'New split'!M399</f>
        <v>809</v>
      </c>
      <c r="AC90" s="2420">
        <f>'New split'!N399</f>
        <v>677</v>
      </c>
      <c r="AD90" s="2420">
        <f>'New split'!O399</f>
        <v>680.1684569653894</v>
      </c>
      <c r="AE90" s="2420">
        <f>'New split'!P399</f>
        <v>658.17007617557863</v>
      </c>
      <c r="AF90" s="2420">
        <f>'New split'!Q399</f>
        <v>654.72975816629184</v>
      </c>
      <c r="AG90" s="2420">
        <f>'New split'!R399</f>
        <v>662.60612420755035</v>
      </c>
      <c r="AH90" s="2420">
        <f>'New split'!S399</f>
        <v>664.67014578764781</v>
      </c>
      <c r="AI90" s="2420">
        <f>'New split'!T399</f>
        <v>662.33058356837569</v>
      </c>
      <c r="AJ90" s="2418"/>
      <c r="AK90" s="2418"/>
      <c r="AL90" s="2418"/>
      <c r="AM90" s="2418"/>
      <c r="AN90" s="2418"/>
      <c r="AO90" s="2414"/>
      <c r="AP90" s="2414"/>
      <c r="AQ90" s="2414"/>
      <c r="AR90" s="2414"/>
    </row>
    <row r="91" spans="1:44" ht="15.75">
      <c r="A91" s="2414"/>
      <c r="B91" s="2570" t="s">
        <v>9201</v>
      </c>
      <c r="C91" s="2434" t="s">
        <v>1823</v>
      </c>
      <c r="D91" s="2434"/>
      <c r="E91" s="2420"/>
      <c r="F91" s="2420"/>
      <c r="G91" s="2420"/>
      <c r="H91" s="2420"/>
      <c r="I91" s="2420"/>
      <c r="J91" s="2420"/>
      <c r="K91" s="2420"/>
      <c r="L91" s="2420"/>
      <c r="M91" s="2420"/>
      <c r="N91" s="2420"/>
      <c r="O91" s="2419"/>
      <c r="P91" s="2419"/>
      <c r="Q91" s="2419"/>
      <c r="R91" s="2419"/>
      <c r="S91" s="2419"/>
      <c r="T91" s="2419"/>
      <c r="U91" s="2419"/>
      <c r="V91" s="2419"/>
      <c r="W91" s="2419"/>
      <c r="X91" s="2419"/>
      <c r="Y91" s="2419"/>
      <c r="Z91" s="2419"/>
      <c r="AA91" s="2420">
        <f>'New split'!L403</f>
        <v>1168</v>
      </c>
      <c r="AB91" s="2420">
        <f>'New split'!M403</f>
        <v>1215</v>
      </c>
      <c r="AC91" s="2420">
        <f>'New split'!N403</f>
        <v>800</v>
      </c>
      <c r="AD91" s="2420">
        <f>'New split'!O403</f>
        <v>780.1684569653894</v>
      </c>
      <c r="AE91" s="2420">
        <f>'New split'!P403</f>
        <v>758.17007617557863</v>
      </c>
      <c r="AF91" s="2420">
        <f>'New split'!Q403</f>
        <v>754.72975816629184</v>
      </c>
      <c r="AG91" s="2420">
        <f>'New split'!R403</f>
        <v>762.60612420755035</v>
      </c>
      <c r="AH91" s="2420">
        <f>'New split'!S403</f>
        <v>764.67014578764781</v>
      </c>
      <c r="AI91" s="2420">
        <f>'New split'!T403</f>
        <v>762.33058356837569</v>
      </c>
      <c r="AJ91" s="2418"/>
      <c r="AK91" s="2418"/>
      <c r="AL91" s="2418"/>
      <c r="AM91" s="2418"/>
      <c r="AN91" s="2418"/>
      <c r="AO91" s="2414"/>
      <c r="AP91" s="2414"/>
      <c r="AQ91" s="2414"/>
      <c r="AR91" s="2414"/>
    </row>
    <row r="92" spans="1:44" ht="15.75">
      <c r="A92" s="2414"/>
      <c r="B92" s="2570" t="s">
        <v>9200</v>
      </c>
      <c r="C92" s="2434"/>
      <c r="D92" s="2434"/>
      <c r="E92" s="2420"/>
      <c r="F92" s="2420"/>
      <c r="G92" s="2420"/>
      <c r="H92" s="2420"/>
      <c r="I92" s="2420"/>
      <c r="J92" s="2420"/>
      <c r="K92" s="2420"/>
      <c r="L92" s="2420"/>
      <c r="M92" s="2420"/>
      <c r="N92" s="2420"/>
      <c r="O92" s="2419"/>
      <c r="P92" s="2419"/>
      <c r="Q92" s="2419"/>
      <c r="R92" s="2419"/>
      <c r="S92" s="2419"/>
      <c r="T92" s="2419"/>
      <c r="U92" s="2419"/>
      <c r="V92" s="2419"/>
      <c r="W92" s="2419"/>
      <c r="X92" s="2419"/>
      <c r="Y92" s="2419"/>
      <c r="Z92" s="2419"/>
      <c r="AA92" s="2420">
        <f>'New split'!L405</f>
        <v>957</v>
      </c>
      <c r="AB92" s="2420">
        <f>'New split'!M405</f>
        <v>931</v>
      </c>
      <c r="AC92" s="2420">
        <f>'New split'!N405</f>
        <v>575</v>
      </c>
      <c r="AD92" s="2420">
        <f>'New split'!O405</f>
        <v>580.1684569653894</v>
      </c>
      <c r="AE92" s="2420">
        <f>'New split'!P405</f>
        <v>558.17007617557863</v>
      </c>
      <c r="AF92" s="2420">
        <f>'New split'!Q405</f>
        <v>554.72975816629184</v>
      </c>
      <c r="AG92" s="2420">
        <f>'New split'!R405</f>
        <v>562.60612420755035</v>
      </c>
      <c r="AH92" s="2420">
        <f>'New split'!S405</f>
        <v>564.67014578764781</v>
      </c>
      <c r="AI92" s="2420">
        <f>'New split'!T405</f>
        <v>562.33058356837569</v>
      </c>
      <c r="AJ92" s="2418"/>
      <c r="AK92" s="2418"/>
      <c r="AL92" s="2418"/>
      <c r="AM92" s="2418"/>
      <c r="AN92" s="2418"/>
      <c r="AO92" s="2414"/>
      <c r="AP92" s="2414"/>
      <c r="AQ92" s="2414"/>
      <c r="AR92" s="2414"/>
    </row>
    <row r="93" spans="1:44" ht="15.75">
      <c r="A93" s="2414"/>
      <c r="B93" s="2570" t="s">
        <v>7491</v>
      </c>
      <c r="C93" s="2434"/>
      <c r="D93" s="2434"/>
      <c r="E93" s="2420"/>
      <c r="F93" s="2420"/>
      <c r="G93" s="2420"/>
      <c r="H93" s="2420"/>
      <c r="I93" s="2420"/>
      <c r="J93" s="2420"/>
      <c r="K93" s="2420"/>
      <c r="L93" s="2420"/>
      <c r="M93" s="2420"/>
      <c r="N93" s="2420"/>
      <c r="O93" s="2419"/>
      <c r="P93" s="2419"/>
      <c r="Q93" s="2419"/>
      <c r="R93" s="2419"/>
      <c r="S93" s="2419"/>
      <c r="T93" s="2419"/>
      <c r="U93" s="2419"/>
      <c r="V93" s="2419"/>
      <c r="W93" s="2419"/>
      <c r="X93" s="2419"/>
      <c r="Y93" s="2419"/>
      <c r="Z93" s="2419"/>
      <c r="AA93" s="2420">
        <f>'New split'!L406</f>
        <v>93</v>
      </c>
      <c r="AB93" s="2420">
        <f>'New split'!M406</f>
        <v>236</v>
      </c>
      <c r="AC93" s="2420">
        <f>'New split'!N406</f>
        <v>135</v>
      </c>
      <c r="AD93" s="2420">
        <f>'New split'!O406</f>
        <v>100</v>
      </c>
      <c r="AE93" s="2420">
        <f>'New split'!P406</f>
        <v>100</v>
      </c>
      <c r="AF93" s="2420">
        <f>'New split'!Q406</f>
        <v>100</v>
      </c>
      <c r="AG93" s="2420">
        <f>'New split'!R406</f>
        <v>100</v>
      </c>
      <c r="AH93" s="2420">
        <f>'New split'!S406</f>
        <v>100</v>
      </c>
      <c r="AI93" s="2420">
        <f>'New split'!T406</f>
        <v>100</v>
      </c>
      <c r="AJ93" s="2418"/>
      <c r="AK93" s="2418"/>
      <c r="AL93" s="2418"/>
      <c r="AM93" s="2418"/>
      <c r="AN93" s="2418"/>
      <c r="AO93" s="2414"/>
      <c r="AP93" s="2414"/>
      <c r="AQ93" s="2414"/>
      <c r="AR93" s="2414"/>
    </row>
    <row r="94" spans="1:44" ht="15.75">
      <c r="A94" s="2414"/>
      <c r="B94" s="2433"/>
      <c r="C94" s="2434"/>
      <c r="D94" s="2434"/>
      <c r="E94" s="2420"/>
      <c r="F94" s="2420"/>
      <c r="G94" s="2420"/>
      <c r="H94" s="2420"/>
      <c r="I94" s="2420"/>
      <c r="J94" s="2420"/>
      <c r="K94" s="2420"/>
      <c r="L94" s="2420"/>
      <c r="M94" s="2420"/>
      <c r="N94" s="2420"/>
      <c r="O94" s="2419"/>
      <c r="P94" s="2419"/>
      <c r="Q94" s="2419"/>
      <c r="R94" s="2419"/>
      <c r="S94" s="2419"/>
      <c r="T94" s="2419"/>
      <c r="U94" s="2419"/>
      <c r="V94" s="2419"/>
      <c r="W94" s="2419"/>
      <c r="X94" s="2419"/>
      <c r="Y94" s="2419"/>
      <c r="Z94" s="2419"/>
      <c r="AA94" s="2419"/>
      <c r="AB94" s="2419"/>
      <c r="AC94" s="2419"/>
      <c r="AD94" s="2419"/>
      <c r="AE94" s="2419"/>
      <c r="AF94" s="2419"/>
      <c r="AG94" s="2419"/>
      <c r="AH94" s="2419"/>
      <c r="AI94" s="2419"/>
      <c r="AJ94" s="2418"/>
      <c r="AK94" s="2418"/>
      <c r="AL94" s="2418"/>
      <c r="AM94" s="2418"/>
      <c r="AN94" s="2418"/>
      <c r="AO94" s="2414"/>
      <c r="AP94" s="2414"/>
      <c r="AQ94" s="2414"/>
      <c r="AR94" s="2414"/>
    </row>
    <row r="95" spans="1:44" ht="15.75">
      <c r="A95" s="2414"/>
      <c r="B95" s="2433"/>
      <c r="C95" s="2434"/>
      <c r="D95" s="2434"/>
      <c r="E95" s="2420"/>
      <c r="F95" s="2420"/>
      <c r="G95" s="2420"/>
      <c r="H95" s="2420"/>
      <c r="I95" s="2420"/>
      <c r="J95" s="2420"/>
      <c r="K95" s="2420"/>
      <c r="L95" s="2420"/>
      <c r="M95" s="2420"/>
      <c r="N95" s="2420"/>
      <c r="O95" s="2419"/>
      <c r="P95" s="2419"/>
      <c r="Q95" s="2419"/>
      <c r="R95" s="2419"/>
      <c r="S95" s="2419"/>
      <c r="T95" s="2419"/>
      <c r="U95" s="2419"/>
      <c r="V95" s="2419"/>
      <c r="W95" s="2419"/>
      <c r="X95" s="2419"/>
      <c r="Y95" s="2419"/>
      <c r="Z95" s="2419"/>
      <c r="AA95" s="2419"/>
      <c r="AB95" s="2419"/>
      <c r="AC95" s="2419"/>
      <c r="AD95" s="2419"/>
      <c r="AE95" s="2419"/>
      <c r="AF95" s="2419"/>
      <c r="AG95" s="2419"/>
      <c r="AH95" s="2419"/>
      <c r="AI95" s="2419"/>
      <c r="AJ95" s="2418"/>
      <c r="AK95" s="2418"/>
      <c r="AL95" s="2418"/>
      <c r="AM95" s="2418"/>
      <c r="AN95" s="2418"/>
      <c r="AO95" s="2414"/>
      <c r="AP95" s="2414"/>
      <c r="AQ95" s="2414"/>
      <c r="AR95" s="2414"/>
    </row>
    <row r="96" spans="1:44" ht="15.75">
      <c r="A96" s="2414"/>
      <c r="B96" s="2433"/>
      <c r="C96" s="2434"/>
      <c r="D96" s="2434"/>
      <c r="E96" s="2420"/>
      <c r="F96" s="2420"/>
      <c r="G96" s="2420"/>
      <c r="H96" s="2420"/>
      <c r="I96" s="2420"/>
      <c r="J96" s="2420"/>
      <c r="K96" s="2420"/>
      <c r="L96" s="2420"/>
      <c r="M96" s="2420"/>
      <c r="N96" s="2420"/>
      <c r="O96" s="2419"/>
      <c r="P96" s="2419"/>
      <c r="Q96" s="2419"/>
      <c r="R96" s="2419"/>
      <c r="S96" s="2419"/>
      <c r="T96" s="2419"/>
      <c r="U96" s="2419"/>
      <c r="V96" s="2419"/>
      <c r="W96" s="2419"/>
      <c r="X96" s="2419"/>
      <c r="Y96" s="2419"/>
      <c r="Z96" s="2419"/>
      <c r="AA96" s="2419"/>
      <c r="AB96" s="2419"/>
      <c r="AC96" s="2419"/>
      <c r="AD96" s="2419"/>
      <c r="AE96" s="2419"/>
      <c r="AF96" s="2419"/>
      <c r="AG96" s="2419"/>
      <c r="AH96" s="2419"/>
      <c r="AI96" s="2419"/>
      <c r="AJ96" s="2418"/>
      <c r="AK96" s="2418"/>
      <c r="AL96" s="2418"/>
      <c r="AM96" s="2418"/>
      <c r="AN96" s="2418"/>
      <c r="AO96" s="2414"/>
      <c r="AP96" s="2414"/>
      <c r="AQ96" s="2414"/>
      <c r="AR96" s="2414"/>
    </row>
    <row r="97" spans="1:44" ht="15.75">
      <c r="A97" s="2414"/>
      <c r="B97" s="2433"/>
      <c r="C97" s="2434"/>
      <c r="D97" s="2434"/>
      <c r="E97" s="2420"/>
      <c r="F97" s="2420"/>
      <c r="G97" s="2420"/>
      <c r="H97" s="2420"/>
      <c r="I97" s="2420"/>
      <c r="J97" s="2420"/>
      <c r="K97" s="2420"/>
      <c r="L97" s="2420"/>
      <c r="M97" s="2420"/>
      <c r="N97" s="2420"/>
      <c r="O97" s="2419"/>
      <c r="P97" s="2419"/>
      <c r="Q97" s="2419"/>
      <c r="R97" s="2419"/>
      <c r="S97" s="2419"/>
      <c r="T97" s="2419"/>
      <c r="U97" s="2419"/>
      <c r="V97" s="2419"/>
      <c r="W97" s="2419"/>
      <c r="X97" s="2419"/>
      <c r="Y97" s="2419"/>
      <c r="Z97" s="2419"/>
      <c r="AA97" s="2419"/>
      <c r="AB97" s="2419"/>
      <c r="AC97" s="2419"/>
      <c r="AD97" s="2419"/>
      <c r="AE97" s="2419"/>
      <c r="AF97" s="2419"/>
      <c r="AG97" s="2419"/>
      <c r="AH97" s="2419"/>
      <c r="AI97" s="2419"/>
      <c r="AJ97" s="2418"/>
      <c r="AK97" s="2418"/>
      <c r="AL97" s="2418"/>
      <c r="AM97" s="2418"/>
      <c r="AN97" s="2418"/>
      <c r="AO97" s="2414"/>
      <c r="AP97" s="2414"/>
      <c r="AQ97" s="2414"/>
      <c r="AR97" s="2414"/>
    </row>
    <row r="98" spans="1:44" ht="15.75">
      <c r="A98" s="2414"/>
      <c r="B98" s="2433"/>
      <c r="C98" s="2434"/>
      <c r="D98" s="2434"/>
      <c r="E98" s="2420"/>
      <c r="F98" s="2420"/>
      <c r="G98" s="2420"/>
      <c r="H98" s="2420"/>
      <c r="I98" s="2420"/>
      <c r="J98" s="2420"/>
      <c r="K98" s="2420"/>
      <c r="L98" s="2420"/>
      <c r="M98" s="2420"/>
      <c r="N98" s="2420"/>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18"/>
      <c r="AK98" s="2418"/>
      <c r="AL98" s="2418"/>
      <c r="AM98" s="2418"/>
      <c r="AN98" s="2418"/>
      <c r="AO98" s="2414"/>
      <c r="AP98" s="2414"/>
      <c r="AQ98" s="2414"/>
      <c r="AR98" s="2414"/>
    </row>
    <row r="99" spans="1:44" ht="15.75">
      <c r="A99" s="2414"/>
      <c r="B99" s="2433"/>
      <c r="C99" s="2434"/>
      <c r="D99" s="2434"/>
      <c r="E99" s="2420"/>
      <c r="F99" s="2420"/>
      <c r="G99" s="2420"/>
      <c r="H99" s="2420"/>
      <c r="I99" s="2420"/>
      <c r="J99" s="2420"/>
      <c r="K99" s="2420"/>
      <c r="L99" s="2420"/>
      <c r="M99" s="2420"/>
      <c r="N99" s="2420"/>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18"/>
      <c r="AK99" s="2418"/>
      <c r="AL99" s="2418"/>
      <c r="AM99" s="2418"/>
      <c r="AN99" s="2418"/>
      <c r="AO99" s="2414"/>
      <c r="AP99" s="2414"/>
      <c r="AQ99" s="2414"/>
      <c r="AR99" s="2414"/>
    </row>
    <row r="100" spans="1:44" ht="15.75">
      <c r="A100" s="2414"/>
      <c r="B100" s="2433"/>
      <c r="C100" s="2434"/>
      <c r="D100" s="2434"/>
      <c r="E100" s="2420"/>
      <c r="F100" s="2420"/>
      <c r="G100" s="2420"/>
      <c r="H100" s="2420"/>
      <c r="I100" s="2420"/>
      <c r="J100" s="2420"/>
      <c r="K100" s="2420"/>
      <c r="L100" s="2420"/>
      <c r="M100" s="2420"/>
      <c r="N100" s="2420"/>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18"/>
      <c r="AK100" s="2418"/>
      <c r="AL100" s="2418"/>
      <c r="AM100" s="2418"/>
      <c r="AN100" s="2418"/>
      <c r="AO100" s="2414"/>
      <c r="AP100" s="2414"/>
      <c r="AQ100" s="2414"/>
      <c r="AR100" s="2414"/>
    </row>
    <row r="101" spans="1:44" ht="15.75">
      <c r="A101" s="2414"/>
      <c r="B101" s="2433"/>
      <c r="C101" s="2434"/>
      <c r="D101" s="2434"/>
      <c r="E101" s="2420"/>
      <c r="F101" s="2420"/>
      <c r="G101" s="2420"/>
      <c r="H101" s="2420"/>
      <c r="I101" s="2420"/>
      <c r="J101" s="2420"/>
      <c r="K101" s="2420"/>
      <c r="L101" s="2420"/>
      <c r="M101" s="2420"/>
      <c r="N101" s="2420"/>
      <c r="O101" s="2419"/>
      <c r="P101" s="2419"/>
      <c r="Q101" s="2419"/>
      <c r="R101" s="2419"/>
      <c r="S101" s="2419"/>
      <c r="T101" s="2419"/>
      <c r="U101" s="2419"/>
      <c r="V101" s="2419"/>
      <c r="W101" s="2419"/>
      <c r="X101" s="2419"/>
      <c r="Y101" s="2419"/>
      <c r="Z101" s="2419"/>
      <c r="AA101" s="2419"/>
      <c r="AB101" s="2419"/>
      <c r="AC101" s="2419"/>
      <c r="AD101" s="2419"/>
      <c r="AE101" s="2419"/>
      <c r="AF101" s="2419"/>
      <c r="AG101" s="2419"/>
      <c r="AH101" s="2419"/>
      <c r="AI101" s="2419"/>
      <c r="AJ101" s="2418"/>
      <c r="AK101" s="2418"/>
      <c r="AL101" s="2418"/>
      <c r="AM101" s="2418"/>
      <c r="AN101" s="2418"/>
      <c r="AO101" s="2414"/>
      <c r="AP101" s="2414"/>
      <c r="AQ101" s="2414"/>
      <c r="AR101" s="2414"/>
    </row>
    <row r="102" spans="1:44" ht="15.75">
      <c r="A102" s="2414"/>
      <c r="B102" s="2433"/>
      <c r="C102" s="2434"/>
      <c r="D102" s="2434"/>
      <c r="E102" s="2420"/>
      <c r="F102" s="2420"/>
      <c r="G102" s="2420"/>
      <c r="H102" s="2420"/>
      <c r="I102" s="2420"/>
      <c r="J102" s="2420"/>
      <c r="K102" s="2420"/>
      <c r="L102" s="2420"/>
      <c r="M102" s="2420"/>
      <c r="N102" s="2420"/>
      <c r="O102" s="2419"/>
      <c r="P102" s="2419"/>
      <c r="Q102" s="2419"/>
      <c r="R102" s="2419"/>
      <c r="S102" s="2419"/>
      <c r="T102" s="2419"/>
      <c r="U102" s="2419"/>
      <c r="V102" s="2419"/>
      <c r="W102" s="2419"/>
      <c r="X102" s="2419"/>
      <c r="Y102" s="2419"/>
      <c r="Z102" s="2419"/>
      <c r="AA102" s="2419"/>
      <c r="AB102" s="2419"/>
      <c r="AC102" s="2419"/>
      <c r="AD102" s="2419"/>
      <c r="AE102" s="2419"/>
      <c r="AF102" s="2419"/>
      <c r="AG102" s="2419"/>
      <c r="AH102" s="2419"/>
      <c r="AI102" s="2419"/>
      <c r="AJ102" s="2418"/>
      <c r="AK102" s="2418"/>
      <c r="AL102" s="2418"/>
      <c r="AM102" s="2418"/>
      <c r="AN102" s="2418"/>
      <c r="AO102" s="2414"/>
      <c r="AP102" s="2414"/>
      <c r="AQ102" s="2414"/>
      <c r="AR102" s="2414"/>
    </row>
    <row r="103" spans="1:44" ht="15.75">
      <c r="A103" s="2414"/>
      <c r="B103" s="2433"/>
      <c r="C103" s="2434"/>
      <c r="D103" s="2434"/>
      <c r="E103" s="2420"/>
      <c r="F103" s="2420"/>
      <c r="G103" s="2420"/>
      <c r="H103" s="2420"/>
      <c r="I103" s="2420"/>
      <c r="J103" s="2420"/>
      <c r="K103" s="2420"/>
      <c r="L103" s="2420"/>
      <c r="M103" s="2420"/>
      <c r="N103" s="2420"/>
      <c r="O103" s="2419"/>
      <c r="P103" s="2419"/>
      <c r="Q103" s="2419"/>
      <c r="R103" s="2419"/>
      <c r="S103" s="2419"/>
      <c r="T103" s="2419"/>
      <c r="U103" s="2419"/>
      <c r="V103" s="2419"/>
      <c r="W103" s="2419"/>
      <c r="X103" s="2419"/>
      <c r="Y103" s="2419"/>
      <c r="Z103" s="2419"/>
      <c r="AA103" s="2419"/>
      <c r="AB103" s="2419"/>
      <c r="AC103" s="2419"/>
      <c r="AD103" s="2419"/>
      <c r="AE103" s="2419"/>
      <c r="AF103" s="2419"/>
      <c r="AG103" s="2419"/>
      <c r="AH103" s="2419"/>
      <c r="AI103" s="2419"/>
      <c r="AJ103" s="2418"/>
      <c r="AK103" s="2418"/>
      <c r="AL103" s="2418"/>
      <c r="AM103" s="2418"/>
      <c r="AN103" s="2418"/>
      <c r="AO103" s="2414"/>
      <c r="AP103" s="2414"/>
      <c r="AQ103" s="2414"/>
      <c r="AR103" s="2414"/>
    </row>
    <row r="104" spans="1:44" ht="15.75">
      <c r="A104" s="2414"/>
      <c r="B104" s="2433"/>
      <c r="C104" s="2434"/>
      <c r="D104" s="2434"/>
      <c r="E104" s="2420"/>
      <c r="F104" s="2420"/>
      <c r="G104" s="2420"/>
      <c r="H104" s="2420"/>
      <c r="I104" s="2420"/>
      <c r="J104" s="2420"/>
      <c r="K104" s="2420"/>
      <c r="L104" s="2420"/>
      <c r="M104" s="2420"/>
      <c r="N104" s="2420"/>
      <c r="O104" s="2419"/>
      <c r="P104" s="2419"/>
      <c r="Q104" s="2419"/>
      <c r="R104" s="2419"/>
      <c r="S104" s="2419"/>
      <c r="T104" s="2419"/>
      <c r="U104" s="2419"/>
      <c r="V104" s="2419"/>
      <c r="W104" s="2419"/>
      <c r="X104" s="2419"/>
      <c r="Y104" s="2419"/>
      <c r="Z104" s="2419"/>
      <c r="AA104" s="2419"/>
      <c r="AB104" s="2419"/>
      <c r="AC104" s="2419"/>
      <c r="AD104" s="2419"/>
      <c r="AE104" s="2419"/>
      <c r="AF104" s="2419"/>
      <c r="AG104" s="2419"/>
      <c r="AH104" s="2419"/>
      <c r="AI104" s="2419"/>
      <c r="AJ104" s="2418"/>
      <c r="AK104" s="2418"/>
      <c r="AL104" s="2418"/>
      <c r="AM104" s="2418"/>
      <c r="AN104" s="2418"/>
      <c r="AO104" s="2414"/>
      <c r="AP104" s="2414"/>
      <c r="AQ104" s="2414"/>
      <c r="AR104" s="2414"/>
    </row>
    <row r="105" spans="1:44" ht="15.75">
      <c r="A105" s="2414"/>
      <c r="B105" s="2433"/>
      <c r="C105" s="2434"/>
      <c r="D105" s="2434"/>
      <c r="E105" s="2420"/>
      <c r="F105" s="2420"/>
      <c r="G105" s="2420"/>
      <c r="H105" s="2420"/>
      <c r="I105" s="2420"/>
      <c r="J105" s="2420"/>
      <c r="K105" s="2420"/>
      <c r="L105" s="2420"/>
      <c r="M105" s="2420"/>
      <c r="N105" s="2420"/>
      <c r="O105" s="2419"/>
      <c r="P105" s="2419"/>
      <c r="Q105" s="2419"/>
      <c r="R105" s="2419"/>
      <c r="S105" s="2419"/>
      <c r="T105" s="2419"/>
      <c r="U105" s="2419"/>
      <c r="V105" s="2419"/>
      <c r="W105" s="2419"/>
      <c r="X105" s="2419"/>
      <c r="Y105" s="2419"/>
      <c r="Z105" s="2419"/>
      <c r="AA105" s="2419"/>
      <c r="AB105" s="2419"/>
      <c r="AC105" s="2419"/>
      <c r="AD105" s="2419"/>
      <c r="AE105" s="2419"/>
      <c r="AF105" s="2419"/>
      <c r="AG105" s="2419"/>
      <c r="AH105" s="2419"/>
      <c r="AI105" s="2419"/>
      <c r="AJ105" s="2418"/>
      <c r="AK105" s="2418"/>
      <c r="AL105" s="2418"/>
      <c r="AM105" s="2418"/>
      <c r="AN105" s="2418"/>
      <c r="AO105" s="2414"/>
      <c r="AP105" s="2414"/>
      <c r="AQ105" s="2414"/>
      <c r="AR105" s="2414"/>
    </row>
    <row r="106" spans="1:44" ht="15.75">
      <c r="A106" s="2414"/>
      <c r="B106" s="2433"/>
      <c r="C106" s="2434"/>
      <c r="D106" s="2434"/>
      <c r="E106" s="2420"/>
      <c r="F106" s="2420"/>
      <c r="G106" s="2420"/>
      <c r="H106" s="2420"/>
      <c r="I106" s="2420"/>
      <c r="J106" s="2420"/>
      <c r="K106" s="2420"/>
      <c r="L106" s="2420"/>
      <c r="M106" s="2420"/>
      <c r="N106" s="2420"/>
      <c r="O106" s="2419"/>
      <c r="P106" s="2419"/>
      <c r="Q106" s="2419"/>
      <c r="R106" s="2419"/>
      <c r="S106" s="2419"/>
      <c r="T106" s="2419"/>
      <c r="U106" s="2419"/>
      <c r="V106" s="2419"/>
      <c r="W106" s="2419"/>
      <c r="X106" s="2419"/>
      <c r="Y106" s="2419"/>
      <c r="Z106" s="2419"/>
      <c r="AA106" s="2419"/>
      <c r="AB106" s="2419"/>
      <c r="AC106" s="2419"/>
      <c r="AD106" s="2419"/>
      <c r="AE106" s="2419"/>
      <c r="AF106" s="2419"/>
      <c r="AG106" s="2419"/>
      <c r="AH106" s="2419"/>
      <c r="AI106" s="2419"/>
      <c r="AJ106" s="2418"/>
      <c r="AK106" s="2418"/>
      <c r="AL106" s="2418"/>
      <c r="AM106" s="2418"/>
      <c r="AN106" s="2418"/>
      <c r="AO106" s="2414"/>
      <c r="AP106" s="2414"/>
      <c r="AQ106" s="2414"/>
      <c r="AR106" s="2414"/>
    </row>
    <row r="107" spans="1:44" ht="15.75">
      <c r="A107" s="2414"/>
      <c r="B107" s="2433"/>
      <c r="C107" s="2434"/>
      <c r="D107" s="2434"/>
      <c r="E107" s="2420"/>
      <c r="F107" s="2420"/>
      <c r="G107" s="2420"/>
      <c r="H107" s="2420"/>
      <c r="I107" s="2420"/>
      <c r="J107" s="2420"/>
      <c r="K107" s="2420"/>
      <c r="L107" s="2420"/>
      <c r="M107" s="2420"/>
      <c r="N107" s="2420"/>
      <c r="O107" s="2419"/>
      <c r="P107" s="2419"/>
      <c r="Q107" s="2419"/>
      <c r="R107" s="2419"/>
      <c r="S107" s="2419"/>
      <c r="T107" s="2419"/>
      <c r="U107" s="2419"/>
      <c r="V107" s="2419"/>
      <c r="W107" s="2419"/>
      <c r="X107" s="2419"/>
      <c r="Y107" s="2419"/>
      <c r="Z107" s="2419"/>
      <c r="AA107" s="2419"/>
      <c r="AB107" s="2419"/>
      <c r="AC107" s="2419"/>
      <c r="AD107" s="2419"/>
      <c r="AE107" s="2419"/>
      <c r="AF107" s="2419"/>
      <c r="AG107" s="2419"/>
      <c r="AH107" s="2419"/>
      <c r="AI107" s="2419"/>
      <c r="AJ107" s="2418"/>
      <c r="AK107" s="2418"/>
      <c r="AL107" s="2418"/>
      <c r="AM107" s="2418"/>
      <c r="AN107" s="2418"/>
      <c r="AO107" s="2414"/>
      <c r="AP107" s="2414"/>
      <c r="AQ107" s="2414"/>
      <c r="AR107" s="2414"/>
    </row>
    <row r="108" spans="1:44" ht="15.75">
      <c r="A108" s="2414"/>
      <c r="B108" s="2433"/>
      <c r="C108" s="2434"/>
      <c r="D108" s="2434"/>
      <c r="E108" s="2420"/>
      <c r="F108" s="2420"/>
      <c r="G108" s="2420"/>
      <c r="H108" s="2420"/>
      <c r="I108" s="2420"/>
      <c r="J108" s="2420"/>
      <c r="K108" s="2420"/>
      <c r="L108" s="2420"/>
      <c r="M108" s="2420"/>
      <c r="N108" s="2420"/>
      <c r="O108" s="2419"/>
      <c r="P108" s="2419"/>
      <c r="Q108" s="2419"/>
      <c r="R108" s="2419"/>
      <c r="S108" s="2419"/>
      <c r="T108" s="2419"/>
      <c r="U108" s="2419"/>
      <c r="V108" s="2419"/>
      <c r="W108" s="2419"/>
      <c r="X108" s="2419"/>
      <c r="Y108" s="2419"/>
      <c r="Z108" s="2419"/>
      <c r="AA108" s="2419"/>
      <c r="AB108" s="2419"/>
      <c r="AC108" s="2419"/>
      <c r="AD108" s="2419"/>
      <c r="AE108" s="2419"/>
      <c r="AF108" s="2419"/>
      <c r="AG108" s="2419"/>
      <c r="AH108" s="2419"/>
      <c r="AI108" s="2419"/>
      <c r="AJ108" s="2418"/>
      <c r="AK108" s="2418"/>
      <c r="AL108" s="2418"/>
      <c r="AM108" s="2418"/>
      <c r="AN108" s="2418"/>
      <c r="AO108" s="2414"/>
      <c r="AP108" s="2414"/>
      <c r="AQ108" s="2414"/>
      <c r="AR108" s="2414"/>
    </row>
    <row r="109" spans="1:44" ht="15.75">
      <c r="A109" s="2414"/>
      <c r="B109" s="2433"/>
      <c r="C109" s="2434"/>
      <c r="D109" s="2434"/>
      <c r="E109" s="2420"/>
      <c r="F109" s="2420"/>
      <c r="G109" s="2420"/>
      <c r="H109" s="2420"/>
      <c r="I109" s="2420"/>
      <c r="J109" s="2420"/>
      <c r="K109" s="2420"/>
      <c r="L109" s="2420"/>
      <c r="M109" s="2420"/>
      <c r="N109" s="2420"/>
      <c r="O109" s="2419"/>
      <c r="P109" s="2419"/>
      <c r="Q109" s="2419"/>
      <c r="R109" s="2419"/>
      <c r="S109" s="2419"/>
      <c r="T109" s="2419"/>
      <c r="U109" s="2419"/>
      <c r="V109" s="2419"/>
      <c r="W109" s="2419"/>
      <c r="X109" s="2419"/>
      <c r="Y109" s="2419"/>
      <c r="Z109" s="2419"/>
      <c r="AA109" s="2419"/>
      <c r="AB109" s="2419"/>
      <c r="AC109" s="2419"/>
      <c r="AD109" s="2419"/>
      <c r="AE109" s="2419"/>
      <c r="AF109" s="2419"/>
      <c r="AG109" s="2419"/>
      <c r="AH109" s="2419"/>
      <c r="AI109" s="2419"/>
      <c r="AJ109" s="2418"/>
      <c r="AK109" s="2418"/>
      <c r="AL109" s="2418"/>
      <c r="AM109" s="2418"/>
      <c r="AN109" s="2418"/>
      <c r="AO109" s="2414"/>
      <c r="AP109" s="2414"/>
      <c r="AQ109" s="2414"/>
      <c r="AR109" s="2414"/>
    </row>
    <row r="110" spans="1:44" ht="15.75">
      <c r="A110" s="2414"/>
      <c r="B110" s="2435"/>
      <c r="C110" s="2435"/>
      <c r="D110" s="2435"/>
      <c r="E110" s="2436"/>
      <c r="F110" s="2436"/>
      <c r="G110" s="2436"/>
      <c r="H110" s="2436"/>
      <c r="I110" s="2436"/>
      <c r="J110" s="2436"/>
      <c r="K110" s="2436"/>
      <c r="L110" s="2436"/>
      <c r="M110" s="2436"/>
      <c r="N110" s="2436"/>
      <c r="O110" s="2436"/>
      <c r="P110" s="2436"/>
      <c r="Q110" s="2436"/>
      <c r="R110" s="2436"/>
      <c r="S110" s="2436"/>
      <c r="T110" s="2436"/>
      <c r="U110" s="2436"/>
      <c r="V110" s="2436"/>
      <c r="W110" s="2436"/>
      <c r="X110" s="2436"/>
      <c r="Y110" s="2436"/>
      <c r="Z110" s="2436"/>
      <c r="AA110" s="2436"/>
      <c r="AB110" s="2436"/>
      <c r="AC110" s="2436"/>
      <c r="AD110" s="2436"/>
      <c r="AE110" s="2436"/>
      <c r="AF110" s="2436"/>
      <c r="AG110" s="2436"/>
      <c r="AH110" s="2436"/>
      <c r="AI110" s="2436"/>
      <c r="AJ110" s="2414"/>
      <c r="AK110" s="2414"/>
      <c r="AL110" s="2414"/>
      <c r="AM110" s="2414"/>
      <c r="AN110" s="2414"/>
      <c r="AO110" s="2414"/>
      <c r="AP110" s="2414"/>
      <c r="AQ110" s="2414"/>
      <c r="AR110" s="2414"/>
    </row>
    <row r="111" spans="1:44" ht="15.75">
      <c r="A111" s="2414"/>
      <c r="B111" s="2415" t="s">
        <v>1747</v>
      </c>
      <c r="C111" s="2428">
        <v>1998</v>
      </c>
      <c r="D111" s="2428">
        <v>1999</v>
      </c>
      <c r="E111" s="2428">
        <v>2000</v>
      </c>
      <c r="F111" s="2428">
        <f t="shared" ref="F111:AC111" si="35">E111+1</f>
        <v>2001</v>
      </c>
      <c r="G111" s="2428">
        <f t="shared" si="35"/>
        <v>2002</v>
      </c>
      <c r="H111" s="2428">
        <f t="shared" si="35"/>
        <v>2003</v>
      </c>
      <c r="I111" s="2428">
        <f t="shared" si="35"/>
        <v>2004</v>
      </c>
      <c r="J111" s="2428">
        <f t="shared" si="35"/>
        <v>2005</v>
      </c>
      <c r="K111" s="2428">
        <f t="shared" si="35"/>
        <v>2006</v>
      </c>
      <c r="L111" s="2428">
        <f t="shared" si="35"/>
        <v>2007</v>
      </c>
      <c r="M111" s="2428">
        <f t="shared" si="35"/>
        <v>2008</v>
      </c>
      <c r="N111" s="2428">
        <f t="shared" si="35"/>
        <v>2009</v>
      </c>
      <c r="O111" s="2428">
        <f t="shared" si="35"/>
        <v>2010</v>
      </c>
      <c r="P111" s="2428">
        <f t="shared" si="35"/>
        <v>2011</v>
      </c>
      <c r="Q111" s="2428">
        <f t="shared" si="35"/>
        <v>2012</v>
      </c>
      <c r="R111" s="2428">
        <f t="shared" si="35"/>
        <v>2013</v>
      </c>
      <c r="S111" s="2428">
        <f t="shared" si="35"/>
        <v>2014</v>
      </c>
      <c r="T111" s="2428">
        <f t="shared" si="35"/>
        <v>2015</v>
      </c>
      <c r="U111" s="2428">
        <f t="shared" si="35"/>
        <v>2016</v>
      </c>
      <c r="V111" s="2428">
        <f t="shared" si="35"/>
        <v>2017</v>
      </c>
      <c r="W111" s="2428">
        <f t="shared" si="35"/>
        <v>2018</v>
      </c>
      <c r="X111" s="2428">
        <f t="shared" si="35"/>
        <v>2019</v>
      </c>
      <c r="Y111" s="2428">
        <f t="shared" si="35"/>
        <v>2020</v>
      </c>
      <c r="Z111" s="2428">
        <f t="shared" si="35"/>
        <v>2021</v>
      </c>
      <c r="AA111" s="2428">
        <f t="shared" si="35"/>
        <v>2022</v>
      </c>
      <c r="AB111" s="2428">
        <f t="shared" si="35"/>
        <v>2023</v>
      </c>
      <c r="AC111" s="2428">
        <f t="shared" si="35"/>
        <v>2024</v>
      </c>
      <c r="AD111" s="2428">
        <f t="shared" ref="AD111" si="36">AC111+1</f>
        <v>2025</v>
      </c>
      <c r="AE111" s="2428">
        <f t="shared" ref="AE111" si="37">AD111+1</f>
        <v>2026</v>
      </c>
      <c r="AF111" s="2428">
        <f t="shared" ref="AF111" si="38">AE111+1</f>
        <v>2027</v>
      </c>
      <c r="AG111" s="2428">
        <f t="shared" ref="AG111" si="39">AF111+1</f>
        <v>2028</v>
      </c>
      <c r="AH111" s="2428">
        <f t="shared" ref="AH111" si="40">AG111+1</f>
        <v>2029</v>
      </c>
      <c r="AI111" s="2428">
        <f t="shared" ref="AI111" si="41">AH111+1</f>
        <v>2030</v>
      </c>
      <c r="AJ111" s="2415"/>
      <c r="AK111" s="2415"/>
      <c r="AL111" s="2415"/>
      <c r="AM111" s="2415"/>
      <c r="AN111" s="2415"/>
      <c r="AO111" s="2414"/>
      <c r="AP111" s="2414"/>
      <c r="AQ111" s="2414"/>
      <c r="AR111" s="2414"/>
    </row>
    <row r="112" spans="1:44" ht="15.75">
      <c r="A112" s="2414"/>
      <c r="B112" s="2416" t="s">
        <v>1552</v>
      </c>
      <c r="C112" s="2417"/>
      <c r="D112" s="2417"/>
      <c r="E112" s="2417"/>
      <c r="F112" s="2417"/>
      <c r="G112" s="2417"/>
      <c r="H112" s="2417">
        <f>Div!C107</f>
        <v>188.91899999999995</v>
      </c>
      <c r="I112" s="2417">
        <f>Div!D107</f>
        <v>192.01900000000001</v>
      </c>
      <c r="J112" s="2417">
        <f>Div!E107</f>
        <v>112.56099999999992</v>
      </c>
      <c r="K112" s="2417">
        <f>Div!F107</f>
        <v>-7.7959999999999354</v>
      </c>
      <c r="L112" s="2417">
        <f>Div!G107</f>
        <v>12.347000000000207</v>
      </c>
      <c r="M112" s="2417">
        <f>Div!H107</f>
        <v>89.305000000000007</v>
      </c>
      <c r="N112" s="2417">
        <f>Div!I107</f>
        <v>824.13199999999995</v>
      </c>
      <c r="O112" s="2417">
        <f>Div!J107</f>
        <v>1158.971</v>
      </c>
      <c r="P112" s="2417">
        <f>Div!K107</f>
        <v>1299.4360000000001</v>
      </c>
      <c r="Q112" s="2417">
        <f>Div!L107</f>
        <v>1158.086</v>
      </c>
      <c r="R112" s="2417">
        <f>Div!M107</f>
        <v>1146.2500000000002</v>
      </c>
      <c r="S112" s="2417">
        <f>Div!N107</f>
        <v>1062.4185681588733</v>
      </c>
      <c r="T112" s="2417">
        <f ca="1">Div!O107</f>
        <v>1156.5</v>
      </c>
      <c r="U112" s="2417">
        <f ca="1">Div!P107</f>
        <v>1227.5849270169138</v>
      </c>
      <c r="V112" s="2417">
        <f ca="1">Div!Q107</f>
        <v>1310.3512663657709</v>
      </c>
      <c r="W112" s="2417">
        <f t="shared" ref="W112:AI112" si="42">W23</f>
        <v>1184</v>
      </c>
      <c r="X112" s="2417">
        <f t="shared" ca="1" si="42"/>
        <v>1494</v>
      </c>
      <c r="Y112" s="2417">
        <f t="shared" ca="1" si="42"/>
        <v>1651</v>
      </c>
      <c r="Z112" s="2417">
        <f t="shared" ca="1" si="42"/>
        <v>1502</v>
      </c>
      <c r="AA112" s="2417">
        <f t="shared" si="42"/>
        <v>1255.1349999999998</v>
      </c>
      <c r="AB112" s="2417">
        <f t="shared" si="42"/>
        <v>1302.2855</v>
      </c>
      <c r="AC112" s="2417">
        <f t="shared" ca="1" si="42"/>
        <v>1791.6458000000002</v>
      </c>
      <c r="AD112" s="2417">
        <f t="shared" si="42"/>
        <v>1701.5169629492816</v>
      </c>
      <c r="AE112" s="2417">
        <f t="shared" si="42"/>
        <v>1738.0289260333811</v>
      </c>
      <c r="AF112" s="2417">
        <f t="shared" si="42"/>
        <v>1806.2783490777629</v>
      </c>
      <c r="AG112" s="2417">
        <f t="shared" si="42"/>
        <v>1868.8753583323464</v>
      </c>
      <c r="AH112" s="2417">
        <f t="shared" si="42"/>
        <v>1940.5572772335049</v>
      </c>
      <c r="AI112" s="2417">
        <f t="shared" si="42"/>
        <v>2013.4526092593976</v>
      </c>
      <c r="AJ112" s="2418"/>
      <c r="AK112" s="2418"/>
      <c r="AL112" s="2418"/>
      <c r="AM112" s="2418"/>
      <c r="AN112" s="2418"/>
      <c r="AO112" s="2414"/>
      <c r="AP112" s="2414"/>
      <c r="AQ112" s="2414"/>
      <c r="AR112" s="2414"/>
    </row>
    <row r="113" spans="1:44" ht="15.75">
      <c r="A113" s="2414"/>
      <c r="B113" s="2416" t="s">
        <v>1748</v>
      </c>
      <c r="C113" s="2417"/>
      <c r="D113" s="2417"/>
      <c r="E113" s="2417"/>
      <c r="F113" s="2417"/>
      <c r="G113" s="2417"/>
      <c r="H113" s="2417">
        <f>Master!F40</f>
        <v>-33.587999999999994</v>
      </c>
      <c r="I113" s="2417">
        <f>Master!G40</f>
        <v>-100.724</v>
      </c>
      <c r="J113" s="2417">
        <f>Master!H40</f>
        <v>-112.42800000000001</v>
      </c>
      <c r="K113" s="2417">
        <f>Master!I40</f>
        <v>-87.584000000000003</v>
      </c>
      <c r="L113" s="2417">
        <f>Master!J40</f>
        <v>-138.01600000000002</v>
      </c>
      <c r="M113" s="2417">
        <f>Master!K40</f>
        <v>-116.1</v>
      </c>
      <c r="N113" s="2417">
        <f>Master!L40</f>
        <v>-168</v>
      </c>
      <c r="O113" s="2417">
        <f>Master!M40</f>
        <v>-200.05200000000002</v>
      </c>
      <c r="P113" s="2417">
        <f>Master!N40</f>
        <v>-172</v>
      </c>
      <c r="Q113" s="2417">
        <f>Master!O40</f>
        <v>-206</v>
      </c>
      <c r="R113" s="2417">
        <f>Master!P40</f>
        <v>-258</v>
      </c>
      <c r="S113" s="2417">
        <f>Master!Q40</f>
        <v>-404</v>
      </c>
      <c r="T113" s="2417">
        <f>Master!R40</f>
        <v>-420</v>
      </c>
      <c r="U113" s="2417">
        <f>Master!S40</f>
        <v>-472</v>
      </c>
      <c r="V113" s="2417">
        <f>Master!T40</f>
        <v>-471</v>
      </c>
      <c r="W113" s="2417">
        <f>Master!U40</f>
        <v>-436</v>
      </c>
      <c r="X113" s="2417">
        <f>Master!V40</f>
        <v>-646</v>
      </c>
      <c r="Y113" s="2417">
        <f>Master!W40</f>
        <v>-730</v>
      </c>
      <c r="Z113" s="2417">
        <f>Master!X40</f>
        <v>-583</v>
      </c>
      <c r="AA113" s="2417">
        <f>Master!Y40</f>
        <v>-599</v>
      </c>
      <c r="AB113" s="2417">
        <f>Master!Z40</f>
        <v>-684</v>
      </c>
      <c r="AC113" s="2417">
        <f>Master!AA40</f>
        <v>-670</v>
      </c>
      <c r="AD113" s="2417">
        <f ca="1">Master!AB40</f>
        <v>-649.26354709684381</v>
      </c>
      <c r="AE113" s="2417">
        <f ca="1">Master!AC40</f>
        <v>-648.90746562505342</v>
      </c>
      <c r="AF113" s="2417">
        <f ca="1">Master!AD40</f>
        <v>-672.10854802361166</v>
      </c>
      <c r="AG113" s="2417">
        <f ca="1">Master!AE40</f>
        <v>-686.24349728654636</v>
      </c>
      <c r="AH113" s="2417">
        <f ca="1">Master!AF40</f>
        <v>-697.99551555135713</v>
      </c>
      <c r="AI113" s="2417">
        <f ca="1">Master!AG40</f>
        <v>-707.79837392314801</v>
      </c>
      <c r="AJ113" s="2418"/>
      <c r="AK113" s="2418"/>
      <c r="AL113" s="2418"/>
      <c r="AM113" s="2418"/>
      <c r="AN113" s="2418"/>
      <c r="AO113" s="2414"/>
      <c r="AP113" s="2414"/>
      <c r="AQ113" s="2414"/>
      <c r="AR113" s="2414"/>
    </row>
    <row r="114" spans="1:44" ht="15.75">
      <c r="A114" s="2414"/>
      <c r="B114" s="2416" t="s">
        <v>1749</v>
      </c>
      <c r="C114" s="2417"/>
      <c r="D114" s="2417"/>
      <c r="E114" s="2417"/>
      <c r="F114" s="2417"/>
      <c r="G114" s="2417"/>
      <c r="H114" s="2417">
        <f>Master!F44</f>
        <v>-52.369</v>
      </c>
      <c r="I114" s="2417">
        <f>Master!G44</f>
        <v>-58.9</v>
      </c>
      <c r="J114" s="2417">
        <f>Master!H44</f>
        <v>-65.228999999999999</v>
      </c>
      <c r="K114" s="2417">
        <f>Master!I44</f>
        <v>-118.205</v>
      </c>
      <c r="L114" s="2417">
        <f>Master!J44</f>
        <v>-87.1</v>
      </c>
      <c r="M114" s="2417">
        <f>Master!K44</f>
        <v>-277.39999999999998</v>
      </c>
      <c r="N114" s="2417">
        <f>Master!L44</f>
        <v>-212</v>
      </c>
      <c r="O114" s="2417">
        <f>Master!M44</f>
        <v>-227</v>
      </c>
      <c r="P114" s="2417">
        <f>Master!N44</f>
        <v>19</v>
      </c>
      <c r="Q114" s="2417">
        <f>Master!O44</f>
        <v>-393</v>
      </c>
      <c r="R114" s="2417">
        <f>Master!P44</f>
        <v>-207</v>
      </c>
      <c r="S114" s="2417">
        <f>Master!Q44</f>
        <v>-256</v>
      </c>
      <c r="T114" s="2417">
        <f>Master!R44</f>
        <v>-291</v>
      </c>
      <c r="U114" s="2417">
        <f>Master!S44</f>
        <v>-251</v>
      </c>
      <c r="V114" s="2417">
        <f>Master!T44</f>
        <v>-252</v>
      </c>
      <c r="W114" s="2417">
        <f>Master!U44</f>
        <v>-204</v>
      </c>
      <c r="X114" s="2417">
        <f>Master!V44</f>
        <v>-222</v>
      </c>
      <c r="Y114" s="2417">
        <f>Master!W44</f>
        <v>-204</v>
      </c>
      <c r="Z114" s="2417">
        <f>Master!X44</f>
        <v>-189</v>
      </c>
      <c r="AA114" s="2417">
        <f>Master!Y44</f>
        <v>-225</v>
      </c>
      <c r="AB114" s="2417">
        <f>Master!Z44</f>
        <v>-424</v>
      </c>
      <c r="AC114" s="2417">
        <f>Master!AA44</f>
        <v>-281</v>
      </c>
      <c r="AD114" s="2417">
        <f ca="1">Master!AB44</f>
        <v>-267.30215329751451</v>
      </c>
      <c r="AE114" s="2417">
        <f ca="1">Master!AC44</f>
        <v>-348.1306027258467</v>
      </c>
      <c r="AF114" s="2417">
        <f ca="1">Master!AD44</f>
        <v>-344.46528864977483</v>
      </c>
      <c r="AG114" s="2417">
        <f ca="1">Master!AE44</f>
        <v>-350.34330438073926</v>
      </c>
      <c r="AH114" s="2417">
        <f ca="1">Master!AF44</f>
        <v>-361.15754461674925</v>
      </c>
      <c r="AI114" s="2417">
        <f ca="1">Master!AG44</f>
        <v>-374.78229820533898</v>
      </c>
      <c r="AJ114" s="2418"/>
      <c r="AK114" s="2418"/>
      <c r="AL114" s="2418"/>
      <c r="AM114" s="2418"/>
      <c r="AN114" s="2418"/>
      <c r="AO114" s="2414"/>
      <c r="AP114" s="2414"/>
      <c r="AQ114" s="2414"/>
      <c r="AR114" s="2414"/>
    </row>
    <row r="115" spans="1:44" ht="15.75">
      <c r="A115" s="2414"/>
      <c r="B115" s="2416" t="s">
        <v>1435</v>
      </c>
      <c r="C115" s="2417"/>
      <c r="D115" s="2417"/>
      <c r="E115" s="2417"/>
      <c r="F115" s="2417"/>
      <c r="G115" s="2417"/>
      <c r="H115" s="2417">
        <f>Master!F90</f>
        <v>0</v>
      </c>
      <c r="I115" s="2417">
        <f>Master!G90</f>
        <v>10.316999999999979</v>
      </c>
      <c r="J115" s="2417">
        <f>Master!H90</f>
        <v>-145.65599999999995</v>
      </c>
      <c r="K115" s="2417">
        <f>Master!I90</f>
        <v>510.1629999999999</v>
      </c>
      <c r="L115" s="2417">
        <f>Master!J90</f>
        <v>318.32500000000005</v>
      </c>
      <c r="M115" s="2417">
        <f>Master!K90</f>
        <v>235.05700000000002</v>
      </c>
      <c r="N115" s="2417">
        <f>Master!L90</f>
        <v>-218.06600000000014</v>
      </c>
      <c r="O115" s="2417">
        <f>Master!M90</f>
        <v>753.06899999999996</v>
      </c>
      <c r="P115" s="2417">
        <f>Master!N90</f>
        <v>315.73100000000011</v>
      </c>
      <c r="Q115" s="2417">
        <f>Master!O90</f>
        <v>169</v>
      </c>
      <c r="R115" s="2417">
        <f>Master!P90</f>
        <v>147</v>
      </c>
      <c r="S115" s="2417">
        <f>Master!Q90</f>
        <v>1985</v>
      </c>
      <c r="T115" s="2417">
        <f>Master!R90</f>
        <v>-2012</v>
      </c>
      <c r="U115" s="2417">
        <f>Master!S90</f>
        <v>-308</v>
      </c>
      <c r="V115" s="2417">
        <f>Master!T90</f>
        <v>-177.40000000000009</v>
      </c>
      <c r="W115" s="2417">
        <f>Master!U90</f>
        <v>565.40000000000009</v>
      </c>
      <c r="X115" s="2417">
        <f>Master!V90</f>
        <v>483</v>
      </c>
      <c r="Y115" s="2417">
        <f>Master!W90</f>
        <v>65.999999999999886</v>
      </c>
      <c r="Z115" s="2417">
        <f>Master!X90</f>
        <v>314</v>
      </c>
      <c r="AA115" s="2417">
        <f>Master!Y90</f>
        <v>-427.99999999999989</v>
      </c>
      <c r="AB115" s="2417">
        <f>Master!Z90</f>
        <v>101</v>
      </c>
      <c r="AC115" s="2417">
        <f>Master!AA90</f>
        <v>156</v>
      </c>
      <c r="AD115" s="2417">
        <f>Master!AB90</f>
        <v>64.541628537852972</v>
      </c>
      <c r="AE115" s="2417">
        <f>Master!AC90</f>
        <v>40.494988985792226</v>
      </c>
      <c r="AF115" s="2417">
        <f>Master!AD90</f>
        <v>43.820909170173103</v>
      </c>
      <c r="AG115" s="2417">
        <f>Master!AE90</f>
        <v>45.999465567884883</v>
      </c>
      <c r="AH115" s="2417">
        <f>Master!AF90</f>
        <v>43.823631762797149</v>
      </c>
      <c r="AI115" s="2417">
        <f>Master!AG90</f>
        <v>42.196848881666767</v>
      </c>
      <c r="AJ115" s="2418"/>
      <c r="AK115" s="2418"/>
      <c r="AL115" s="2418"/>
      <c r="AM115" s="2418"/>
      <c r="AN115" s="2418"/>
      <c r="AO115" s="2414"/>
      <c r="AP115" s="2414"/>
      <c r="AQ115" s="2414"/>
      <c r="AR115" s="2414"/>
    </row>
    <row r="116" spans="1:44" ht="15.75">
      <c r="A116" s="2414"/>
      <c r="B116" s="2416" t="s">
        <v>1436</v>
      </c>
      <c r="C116" s="2419"/>
      <c r="D116" s="2419"/>
      <c r="E116" s="2420"/>
      <c r="F116" s="2420"/>
      <c r="G116" s="2420"/>
      <c r="H116" s="2420"/>
      <c r="I116" s="2417"/>
      <c r="J116" s="2420"/>
      <c r="K116" s="2420"/>
      <c r="L116" s="2420"/>
      <c r="M116" s="2420"/>
      <c r="N116" s="2420"/>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18"/>
      <c r="AK116" s="2418"/>
      <c r="AL116" s="2418"/>
      <c r="AM116" s="2418"/>
      <c r="AN116" s="2418"/>
      <c r="AO116" s="2414"/>
      <c r="AP116" s="2414"/>
      <c r="AQ116" s="2414"/>
      <c r="AR116" s="2414"/>
    </row>
    <row r="117" spans="1:44" ht="15.75">
      <c r="A117" s="2414"/>
      <c r="B117" s="2416" t="s">
        <v>1098</v>
      </c>
      <c r="C117" s="2417"/>
      <c r="D117" s="2417"/>
      <c r="E117" s="2417"/>
      <c r="F117" s="2417"/>
      <c r="G117" s="2417"/>
      <c r="H117" s="2417">
        <f t="shared" ref="H117:AC117" si="43">(G122-H122)-H112-H113-H114-H115-H116-H120-H118-H119</f>
        <v>-798.31799999999998</v>
      </c>
      <c r="I117" s="2417">
        <f t="shared" si="43"/>
        <v>238.98800000000006</v>
      </c>
      <c r="J117" s="2417">
        <f t="shared" si="43"/>
        <v>252.15200000000002</v>
      </c>
      <c r="K117" s="2417">
        <f t="shared" ca="1" si="43"/>
        <v>-462.57799999999997</v>
      </c>
      <c r="L117" s="2417">
        <f t="shared" ca="1" si="43"/>
        <v>-212.55600000000027</v>
      </c>
      <c r="M117" s="2417">
        <f t="shared" si="43"/>
        <v>-145.16200000000009</v>
      </c>
      <c r="N117" s="2417">
        <f t="shared" ca="1" si="43"/>
        <v>253.3092000000002</v>
      </c>
      <c r="O117" s="2417">
        <f t="shared" ca="1" si="43"/>
        <v>-1138.7609999999997</v>
      </c>
      <c r="P117" s="2417">
        <f t="shared" ca="1" si="43"/>
        <v>-1159.3534274296098</v>
      </c>
      <c r="Q117" s="2417">
        <f t="shared" ca="1" si="43"/>
        <v>-422.25779999999997</v>
      </c>
      <c r="R117" s="2417">
        <f t="shared" ca="1" si="43"/>
        <v>-477.425580310881</v>
      </c>
      <c r="S117" s="2417">
        <f t="shared" si="43"/>
        <v>-2770.6825681588734</v>
      </c>
      <c r="T117" s="2417">
        <f t="shared" ca="1" si="43"/>
        <v>1676.2359999999999</v>
      </c>
      <c r="U117" s="2417">
        <f t="shared" ca="1" si="43"/>
        <v>57.151072983086237</v>
      </c>
      <c r="V117" s="2417">
        <f t="shared" ca="1" si="43"/>
        <v>10.934733634229161</v>
      </c>
      <c r="W117" s="2417">
        <f t="shared" si="43"/>
        <v>-759.51400000000001</v>
      </c>
      <c r="X117" s="2417">
        <f t="shared" ca="1" si="43"/>
        <v>-1042.114</v>
      </c>
      <c r="Y117" s="2417">
        <f t="shared" ca="1" si="43"/>
        <v>-31.242799999999903</v>
      </c>
      <c r="Z117" s="2417">
        <f t="shared" ca="1" si="43"/>
        <v>-659.42000000000007</v>
      </c>
      <c r="AA117" s="2417">
        <f t="shared" si="43"/>
        <v>1115.7950000000003</v>
      </c>
      <c r="AB117" s="2417">
        <f t="shared" si="43"/>
        <v>-243.28549999999996</v>
      </c>
      <c r="AC117" s="2417">
        <f t="shared" ca="1" si="43"/>
        <v>8.3541999999997643</v>
      </c>
      <c r="AD117" s="2417">
        <f t="shared" ref="AD117" ca="1" si="44">(AC122-AD122)-AD112-AD113-AD114-AD115-AD116-AD120-AD118-AD119</f>
        <v>-304.14787765423796</v>
      </c>
      <c r="AE117" s="2417">
        <f t="shared" ref="AE117" ca="1" si="45">(AD122-AE122)-AE112-AE113-AE114-AE115-AE116-AE120-AE118-AE119</f>
        <v>-232.85524854749036</v>
      </c>
      <c r="AF117" s="2417">
        <f t="shared" ref="AF117" ca="1" si="46">(AE122-AF122)-AF112-AF113-AF114-AF115-AF116-AF120-AF118-AF119</f>
        <v>-235.64938962377482</v>
      </c>
      <c r="AG117" s="2417">
        <f t="shared" ref="AG117" ca="1" si="47">(AF122-AG122)-AG112-AG113-AG114-AG115-AG116-AG120-AG118-AG119</f>
        <v>-239.03079917632408</v>
      </c>
      <c r="AH117" s="2417">
        <f t="shared" ref="AH117" ca="1" si="48">(AG122-AH122)-AH112-AH113-AH114-AH115-AH116-AH120-AH118-AH119</f>
        <v>-214.31116996226206</v>
      </c>
      <c r="AI117" s="2417">
        <f t="shared" ref="AI117" ca="1" si="49">(AH122-AI122)-AI112-AI113-AI114-AI115-AI116-AI120-AI118-AI119</f>
        <v>-217.66348504466089</v>
      </c>
      <c r="AJ117" s="2418"/>
      <c r="AK117" s="2418"/>
      <c r="AL117" s="2418"/>
      <c r="AM117" s="2418"/>
      <c r="AN117" s="2418"/>
      <c r="AO117" s="2414"/>
      <c r="AP117" s="2414"/>
      <c r="AQ117" s="2414"/>
      <c r="AR117" s="2414"/>
    </row>
    <row r="118" spans="1:44" ht="15.75">
      <c r="A118" s="2414"/>
      <c r="B118" s="2416" t="s">
        <v>1101</v>
      </c>
      <c r="C118" s="2417"/>
      <c r="D118" s="2417"/>
      <c r="E118" s="2417"/>
      <c r="F118" s="2417"/>
      <c r="G118" s="2417"/>
      <c r="H118" s="2417">
        <f>Master!F100</f>
        <v>82.256</v>
      </c>
      <c r="I118" s="2417">
        <f>Master!G100</f>
        <v>4</v>
      </c>
      <c r="J118" s="2417">
        <f>Master!H100</f>
        <v>-35</v>
      </c>
      <c r="K118" s="2417">
        <f>Master!I100</f>
        <v>-350</v>
      </c>
      <c r="L118" s="2417">
        <f>Master!J100</f>
        <v>284</v>
      </c>
      <c r="M118" s="2417">
        <f>Master!K100</f>
        <v>-350</v>
      </c>
      <c r="N118" s="2417">
        <f>Master!L100</f>
        <v>363</v>
      </c>
      <c r="O118" s="2417">
        <f>Master!M100</f>
        <v>102</v>
      </c>
      <c r="P118" s="2417">
        <f>Master!N100</f>
        <v>163</v>
      </c>
      <c r="Q118" s="2417">
        <f>Master!O100</f>
        <v>-113</v>
      </c>
      <c r="R118" s="2417">
        <f>Master!P100</f>
        <v>-163.71241968911917</v>
      </c>
      <c r="S118" s="2417">
        <f>Master!Q100</f>
        <v>-1230</v>
      </c>
      <c r="T118" s="2417">
        <f>Master!R100</f>
        <v>-143</v>
      </c>
      <c r="U118" s="2417">
        <f>Master!S100</f>
        <v>118</v>
      </c>
      <c r="V118" s="2417">
        <f>Master!T100</f>
        <v>-43.15</v>
      </c>
      <c r="W118" s="2417">
        <f>Master!U100</f>
        <v>-1146.1500000000001</v>
      </c>
      <c r="X118" s="2417">
        <f>Master!V100</f>
        <v>-1906.15</v>
      </c>
      <c r="Y118" s="2417">
        <f>Master!W100</f>
        <v>-136.69999999999999</v>
      </c>
      <c r="Z118" s="2417">
        <f>Master!X100</f>
        <v>-2005</v>
      </c>
      <c r="AA118" s="2417">
        <f>Master!Y100</f>
        <v>347.06999999999994</v>
      </c>
      <c r="AB118" s="2417">
        <f>Master!Z100</f>
        <v>-236</v>
      </c>
      <c r="AC118" s="2417">
        <f>Master!AA100</f>
        <v>-135</v>
      </c>
      <c r="AD118" s="2417">
        <f>Master!AB100</f>
        <v>875</v>
      </c>
      <c r="AE118" s="2417">
        <f>Master!AC100</f>
        <v>-100</v>
      </c>
      <c r="AF118" s="2417">
        <f>Master!AD100</f>
        <v>-100</v>
      </c>
      <c r="AG118" s="2417">
        <f>Master!AE100</f>
        <v>-100</v>
      </c>
      <c r="AH118" s="2417">
        <f>Master!AF100</f>
        <v>-100</v>
      </c>
      <c r="AI118" s="2417">
        <f>Master!AG100</f>
        <v>-100</v>
      </c>
      <c r="AJ118" s="2418"/>
      <c r="AK118" s="2418"/>
      <c r="AL118" s="2418"/>
      <c r="AM118" s="2418"/>
      <c r="AN118" s="2418"/>
      <c r="AO118" s="2414"/>
      <c r="AP118" s="2414"/>
      <c r="AQ118" s="2414"/>
      <c r="AR118" s="2414"/>
    </row>
    <row r="119" spans="1:44" ht="15.75">
      <c r="A119" s="2414"/>
      <c r="B119" s="2416" t="s">
        <v>902</v>
      </c>
      <c r="C119" s="2417"/>
      <c r="D119" s="2417"/>
      <c r="E119" s="2417"/>
      <c r="F119" s="2417"/>
      <c r="G119" s="2417"/>
      <c r="H119" s="2417">
        <f>Master!F109</f>
        <v>0</v>
      </c>
      <c r="I119" s="2417">
        <f>Master!G109</f>
        <v>0</v>
      </c>
      <c r="J119" s="2417">
        <f>Master!H109</f>
        <v>0</v>
      </c>
      <c r="K119" s="2417">
        <f ca="1">Master!I109</f>
        <v>0</v>
      </c>
      <c r="L119" s="2417">
        <f ca="1">Master!J109</f>
        <v>0</v>
      </c>
      <c r="M119" s="2417">
        <f>Master!K109</f>
        <v>-259.7</v>
      </c>
      <c r="N119" s="2417">
        <f>Master!L109</f>
        <v>-130.37520000000001</v>
      </c>
      <c r="O119" s="2417">
        <f>Master!M109</f>
        <v>-652.5</v>
      </c>
      <c r="P119" s="2417">
        <f>Master!N109</f>
        <v>-523.45439999999996</v>
      </c>
      <c r="Q119" s="2417">
        <f>Master!O109</f>
        <v>-566.20619999999997</v>
      </c>
      <c r="R119" s="2417">
        <f>Master!P109</f>
        <v>-266.11200000000002</v>
      </c>
      <c r="S119" s="2417">
        <f>Master!Q109</f>
        <v>-263.73599999999999</v>
      </c>
      <c r="T119" s="2417">
        <f>Master!R109</f>
        <v>-263.73599999999999</v>
      </c>
      <c r="U119" s="2417">
        <f>Master!S109</f>
        <v>-263.73599999999999</v>
      </c>
      <c r="V119" s="2417">
        <f>Master!T109</f>
        <v>-263.73599999999999</v>
      </c>
      <c r="W119" s="2417">
        <f>Master!U109</f>
        <v>-263.73599999999999</v>
      </c>
      <c r="X119" s="2417">
        <f>Master!V109</f>
        <v>-263.73599999999999</v>
      </c>
      <c r="Y119" s="2417">
        <f>Master!W109</f>
        <v>0</v>
      </c>
      <c r="Z119" s="2417">
        <f>Master!X109</f>
        <v>0</v>
      </c>
      <c r="AA119" s="2417">
        <f>Master!Y109</f>
        <v>0</v>
      </c>
      <c r="AB119" s="2417">
        <f>Master!Z109</f>
        <v>0</v>
      </c>
      <c r="AC119" s="2417">
        <f>Master!AA109</f>
        <v>0</v>
      </c>
      <c r="AD119" s="2417">
        <f>Master!AB109</f>
        <v>-556.76724999999999</v>
      </c>
      <c r="AE119" s="2417">
        <f>Master!AC109</f>
        <v>-499.089</v>
      </c>
      <c r="AF119" s="2417">
        <f>Master!AD109</f>
        <v>-524.42975000000001</v>
      </c>
      <c r="AG119" s="2417">
        <f>Master!AE109</f>
        <v>-547.27049999999997</v>
      </c>
      <c r="AH119" s="2417">
        <f>Master!AF109</f>
        <v>-567.61125000000004</v>
      </c>
      <c r="AI119" s="2417">
        <f>Master!AG109</f>
        <v>-585.452</v>
      </c>
      <c r="AJ119" s="2418"/>
      <c r="AK119" s="2418"/>
      <c r="AL119" s="2418"/>
      <c r="AM119" s="2418"/>
      <c r="AN119" s="2418"/>
      <c r="AO119" s="2414"/>
      <c r="AP119" s="2414"/>
      <c r="AQ119" s="2414"/>
      <c r="AR119" s="2414"/>
    </row>
    <row r="120" spans="1:44" ht="15.75">
      <c r="A120" s="2414"/>
      <c r="B120" s="2416" t="s">
        <v>1099</v>
      </c>
      <c r="C120" s="2417"/>
      <c r="D120" s="2417"/>
      <c r="E120" s="2417"/>
      <c r="F120" s="2417"/>
      <c r="G120" s="2417"/>
      <c r="H120" s="2417"/>
      <c r="I120" s="2417">
        <f>Master!G103</f>
        <v>0</v>
      </c>
      <c r="J120" s="2417">
        <f>Master!H103</f>
        <v>0</v>
      </c>
      <c r="K120" s="2417">
        <f>Master!I103</f>
        <v>0</v>
      </c>
      <c r="L120" s="2417">
        <f>Master!J103</f>
        <v>0</v>
      </c>
      <c r="M120" s="2417">
        <f>Master!K103</f>
        <v>0</v>
      </c>
      <c r="N120" s="2417">
        <f>Master!L103</f>
        <v>0</v>
      </c>
      <c r="O120" s="2417">
        <f>Master!M103</f>
        <v>-299.27600000000001</v>
      </c>
      <c r="P120" s="2417">
        <f>Master!N103</f>
        <v>-308.81017257039053</v>
      </c>
      <c r="Q120" s="2417">
        <f>Master!O103</f>
        <v>-26.622000000000003</v>
      </c>
      <c r="R120" s="2417">
        <f>Master!P103</f>
        <v>0</v>
      </c>
      <c r="S120" s="2417">
        <f>Master!Q103</f>
        <v>0</v>
      </c>
      <c r="T120" s="2417">
        <f>Master!R103</f>
        <v>0</v>
      </c>
      <c r="U120" s="2417">
        <f>Master!S103</f>
        <v>0</v>
      </c>
      <c r="V120" s="2417">
        <f>Master!T103</f>
        <v>0</v>
      </c>
      <c r="W120" s="2417">
        <f>Master!U103</f>
        <v>0</v>
      </c>
      <c r="X120" s="2417">
        <f>Master!V103</f>
        <v>0</v>
      </c>
      <c r="Y120" s="2417">
        <f>Master!W103</f>
        <v>-10.0572</v>
      </c>
      <c r="Z120" s="2417">
        <f>Master!X103</f>
        <v>-29.58</v>
      </c>
      <c r="AA120" s="2417">
        <f>Master!Y103</f>
        <v>0</v>
      </c>
      <c r="AB120" s="2417">
        <f>Master!Z103</f>
        <v>0</v>
      </c>
      <c r="AC120" s="2417">
        <f>Master!AA103</f>
        <v>0</v>
      </c>
      <c r="AD120" s="2417">
        <f>Master!AB103</f>
        <v>-146.42099999999999</v>
      </c>
      <c r="AE120" s="2417">
        <f>Master!AC103</f>
        <v>-147.89999999999998</v>
      </c>
      <c r="AF120" s="2417">
        <f>Master!AD103</f>
        <v>-147.89999999999998</v>
      </c>
      <c r="AG120" s="2417">
        <f>Master!AE103</f>
        <v>-147.89999999999998</v>
      </c>
      <c r="AH120" s="2417">
        <f>Master!AF103</f>
        <v>-147.89999999999998</v>
      </c>
      <c r="AI120" s="2417">
        <f>Master!AG103</f>
        <v>-147.89999999999998</v>
      </c>
      <c r="AJ120" s="2418"/>
      <c r="AK120" s="2418"/>
      <c r="AL120" s="2418"/>
      <c r="AM120" s="2418"/>
      <c r="AN120" s="2418"/>
      <c r="AO120" s="2414"/>
      <c r="AP120" s="2414"/>
      <c r="AQ120" s="2414"/>
      <c r="AR120" s="2414"/>
    </row>
    <row r="121" spans="1:44" ht="15.75">
      <c r="A121" s="2414"/>
      <c r="B121" s="2416" t="s">
        <v>169</v>
      </c>
      <c r="C121" s="2417"/>
      <c r="D121" s="2417"/>
      <c r="E121" s="2417"/>
      <c r="F121" s="2417"/>
      <c r="G121" s="2417"/>
      <c r="H121" s="2417"/>
      <c r="I121" s="2417">
        <f t="shared" ref="I121:AC121" si="50">-(I122-H122)</f>
        <v>285.70000000000005</v>
      </c>
      <c r="J121" s="2417">
        <f t="shared" si="50"/>
        <v>6.3999999999999773</v>
      </c>
      <c r="K121" s="2417">
        <f t="shared" si="50"/>
        <v>-516</v>
      </c>
      <c r="L121" s="2417">
        <f t="shared" si="50"/>
        <v>177</v>
      </c>
      <c r="M121" s="2417">
        <f t="shared" si="50"/>
        <v>-824</v>
      </c>
      <c r="N121" s="2417">
        <f t="shared" ca="1" si="50"/>
        <v>712</v>
      </c>
      <c r="O121" s="2417">
        <f t="shared" ca="1" si="50"/>
        <v>-503.54899999999998</v>
      </c>
      <c r="P121" s="2417">
        <f t="shared" ca="1" si="50"/>
        <v>-366.45100000000002</v>
      </c>
      <c r="Q121" s="2417">
        <f t="shared" ca="1" si="50"/>
        <v>-400</v>
      </c>
      <c r="R121" s="2417">
        <f t="shared" ca="1" si="50"/>
        <v>-79</v>
      </c>
      <c r="S121" s="2417">
        <f t="shared" si="50"/>
        <v>-1877</v>
      </c>
      <c r="T121" s="2417">
        <f t="shared" si="50"/>
        <v>-297</v>
      </c>
      <c r="U121" s="2417">
        <f t="shared" si="50"/>
        <v>108</v>
      </c>
      <c r="V121" s="2417">
        <f t="shared" si="50"/>
        <v>114</v>
      </c>
      <c r="W121" s="2417">
        <f t="shared" si="50"/>
        <v>-1060</v>
      </c>
      <c r="X121" s="2417">
        <f t="shared" si="50"/>
        <v>-2103</v>
      </c>
      <c r="Y121" s="2417">
        <f t="shared" si="50"/>
        <v>605</v>
      </c>
      <c r="Z121" s="2417">
        <f t="shared" si="50"/>
        <v>-1650</v>
      </c>
      <c r="AA121" s="2417">
        <f t="shared" si="50"/>
        <v>1466</v>
      </c>
      <c r="AB121" s="2417">
        <f t="shared" si="50"/>
        <v>-184</v>
      </c>
      <c r="AC121" s="2417">
        <f t="shared" si="50"/>
        <v>870</v>
      </c>
      <c r="AD121" s="2417">
        <f t="shared" ref="AD121" ca="1" si="51">-(AD122-AC122)</f>
        <v>717.15676343853829</v>
      </c>
      <c r="AE121" s="2417">
        <f t="shared" ref="AE121" ca="1" si="52">-(AE122-AD122)</f>
        <v>-198.35840187921713</v>
      </c>
      <c r="AF121" s="2417">
        <f t="shared" ref="AF121" ca="1" si="53">-(AF122-AE122)</f>
        <v>-174.45371804922524</v>
      </c>
      <c r="AG121" s="2417">
        <f t="shared" ref="AG121" ca="1" si="54">-(AG122-AF122)</f>
        <v>-155.91327694337815</v>
      </c>
      <c r="AH121" s="2417">
        <f t="shared" ref="AH121" ca="1" si="55">-(AH122-AG122)</f>
        <v>-104.59457113406643</v>
      </c>
      <c r="AI121" s="2417">
        <f t="shared" ref="AI121" ca="1" si="56">-(AI122-AH122)</f>
        <v>-77.946699032083416</v>
      </c>
      <c r="AJ121" s="2418"/>
      <c r="AK121" s="2418"/>
      <c r="AL121" s="2418"/>
      <c r="AM121" s="2418"/>
      <c r="AN121" s="2418"/>
      <c r="AO121" s="2414"/>
      <c r="AP121" s="2414"/>
      <c r="AQ121" s="2414"/>
      <c r="AR121" s="2414"/>
    </row>
    <row r="122" spans="1:44" ht="15.75">
      <c r="A122" s="2414"/>
      <c r="B122" s="2416" t="s">
        <v>150</v>
      </c>
      <c r="C122" s="2417"/>
      <c r="D122" s="2417"/>
      <c r="E122" s="2417"/>
      <c r="F122" s="2417"/>
      <c r="G122" s="2417"/>
      <c r="H122" s="2417">
        <f>Master!F150</f>
        <v>613.1</v>
      </c>
      <c r="I122" s="2417">
        <f>Master!G150</f>
        <v>327.39999999999998</v>
      </c>
      <c r="J122" s="2417">
        <f>Master!H150</f>
        <v>321</v>
      </c>
      <c r="K122" s="2417">
        <f>Master!I150</f>
        <v>837</v>
      </c>
      <c r="L122" s="2417">
        <f>Master!J150</f>
        <v>660</v>
      </c>
      <c r="M122" s="2417">
        <f>Master!K150</f>
        <v>1484</v>
      </c>
      <c r="N122" s="2417">
        <f ca="1">Master!L150</f>
        <v>772</v>
      </c>
      <c r="O122" s="2417">
        <f ca="1">Master!M150</f>
        <v>1275.549</v>
      </c>
      <c r="P122" s="2417">
        <f ca="1">Master!N150</f>
        <v>1642</v>
      </c>
      <c r="Q122" s="2417">
        <f ca="1">Master!O150</f>
        <v>2042</v>
      </c>
      <c r="R122" s="2417">
        <f>Master!P150</f>
        <v>2121</v>
      </c>
      <c r="S122" s="2417">
        <f>Master!Q150</f>
        <v>3998</v>
      </c>
      <c r="T122" s="2417">
        <f>Master!R150</f>
        <v>4295</v>
      </c>
      <c r="U122" s="2417">
        <f>Master!S150</f>
        <v>4187</v>
      </c>
      <c r="V122" s="2417">
        <f>Master!T150</f>
        <v>4073</v>
      </c>
      <c r="W122" s="2417">
        <f>Master!U150</f>
        <v>5133</v>
      </c>
      <c r="X122" s="2417">
        <f>Master!V150</f>
        <v>7236</v>
      </c>
      <c r="Y122" s="2417">
        <f>Master!W150</f>
        <v>6631</v>
      </c>
      <c r="Z122" s="2417">
        <f>Master!X150</f>
        <v>8281</v>
      </c>
      <c r="AA122" s="2417">
        <f>Master!Y150</f>
        <v>6815</v>
      </c>
      <c r="AB122" s="2417">
        <f>Master!Z150</f>
        <v>6999</v>
      </c>
      <c r="AC122" s="2417">
        <f>Master!AA150</f>
        <v>6129</v>
      </c>
      <c r="AD122" s="2417">
        <f ca="1">Master!AB150</f>
        <v>5411.8432365614617</v>
      </c>
      <c r="AE122" s="2417">
        <f ca="1">Master!AC150</f>
        <v>5610.2016384406788</v>
      </c>
      <c r="AF122" s="2417">
        <f ca="1">Master!AD150</f>
        <v>5784.6553564899041</v>
      </c>
      <c r="AG122" s="2417">
        <f ca="1">Master!AE150</f>
        <v>5940.5686334332822</v>
      </c>
      <c r="AH122" s="2417">
        <f ca="1">Master!AF150</f>
        <v>6045.1632045673487</v>
      </c>
      <c r="AI122" s="2417">
        <f ca="1">Master!AG150</f>
        <v>6123.1099035994321</v>
      </c>
      <c r="AJ122" s="2418"/>
      <c r="AK122" s="2418"/>
      <c r="AL122" s="2418"/>
      <c r="AM122" s="2418"/>
      <c r="AN122" s="2418"/>
      <c r="AO122" s="2414"/>
      <c r="AP122" s="2414"/>
      <c r="AQ122" s="2414"/>
      <c r="AR122" s="2414"/>
    </row>
    <row r="123" spans="1:44" ht="15.75">
      <c r="A123" s="2414"/>
      <c r="B123" s="2414"/>
      <c r="C123" s="2436"/>
      <c r="D123" s="2436"/>
      <c r="E123" s="2437"/>
      <c r="F123" s="2437"/>
      <c r="G123" s="2436"/>
      <c r="H123" s="1927">
        <f t="shared" ref="H123:AC123" si="57">H122-G122</f>
        <v>613.1</v>
      </c>
      <c r="I123" s="1927">
        <f t="shared" si="57"/>
        <v>-285.70000000000005</v>
      </c>
      <c r="J123" s="1927">
        <f t="shared" si="57"/>
        <v>-6.3999999999999773</v>
      </c>
      <c r="K123" s="1927">
        <f t="shared" si="57"/>
        <v>516</v>
      </c>
      <c r="L123" s="1927">
        <f t="shared" si="57"/>
        <v>-177</v>
      </c>
      <c r="M123" s="1927">
        <f t="shared" si="57"/>
        <v>824</v>
      </c>
      <c r="N123" s="1927">
        <f t="shared" ca="1" si="57"/>
        <v>-712</v>
      </c>
      <c r="O123" s="1927">
        <f t="shared" ca="1" si="57"/>
        <v>503.54899999999998</v>
      </c>
      <c r="P123" s="1927">
        <f t="shared" ca="1" si="57"/>
        <v>366.45100000000002</v>
      </c>
      <c r="Q123" s="1927">
        <f t="shared" ca="1" si="57"/>
        <v>400</v>
      </c>
      <c r="R123" s="1927">
        <f t="shared" ca="1" si="57"/>
        <v>79</v>
      </c>
      <c r="S123" s="1927">
        <f t="shared" si="57"/>
        <v>1877</v>
      </c>
      <c r="T123" s="1927">
        <f t="shared" si="57"/>
        <v>297</v>
      </c>
      <c r="U123" s="1927">
        <f t="shared" si="57"/>
        <v>-108</v>
      </c>
      <c r="V123" s="1927">
        <f t="shared" si="57"/>
        <v>-114</v>
      </c>
      <c r="W123" s="1927">
        <f t="shared" si="57"/>
        <v>1060</v>
      </c>
      <c r="X123" s="1927">
        <f t="shared" si="57"/>
        <v>2103</v>
      </c>
      <c r="Y123" s="1927">
        <f t="shared" si="57"/>
        <v>-605</v>
      </c>
      <c r="Z123" s="1927">
        <f t="shared" si="57"/>
        <v>1650</v>
      </c>
      <c r="AA123" s="1927">
        <f t="shared" si="57"/>
        <v>-1466</v>
      </c>
      <c r="AB123" s="1927">
        <f t="shared" si="57"/>
        <v>184</v>
      </c>
      <c r="AC123" s="1927">
        <f t="shared" si="57"/>
        <v>-870</v>
      </c>
      <c r="AD123" s="1927">
        <f t="shared" ref="AD123" ca="1" si="58">AD122-AC122</f>
        <v>-717.15676343853829</v>
      </c>
      <c r="AE123" s="1927">
        <f t="shared" ref="AE123" ca="1" si="59">AE122-AD122</f>
        <v>198.35840187921713</v>
      </c>
      <c r="AF123" s="1927">
        <f t="shared" ref="AF123" ca="1" si="60">AF122-AE122</f>
        <v>174.45371804922524</v>
      </c>
      <c r="AG123" s="1927">
        <f t="shared" ref="AG123" ca="1" si="61">AG122-AF122</f>
        <v>155.91327694337815</v>
      </c>
      <c r="AH123" s="1927">
        <f t="shared" ref="AH123" ca="1" si="62">AH122-AG122</f>
        <v>104.59457113406643</v>
      </c>
      <c r="AI123" s="1927">
        <f t="shared" ref="AI123" ca="1" si="63">AI122-AH122</f>
        <v>77.946699032083416</v>
      </c>
      <c r="AJ123" s="2414"/>
      <c r="AK123" s="2414"/>
      <c r="AL123" s="2414"/>
      <c r="AM123" s="2414"/>
      <c r="AN123" s="2414"/>
      <c r="AO123" s="2414"/>
      <c r="AP123" s="2414"/>
      <c r="AQ123" s="2414"/>
      <c r="AR123" s="2414"/>
    </row>
    <row r="124" spans="1:44" ht="15.75">
      <c r="A124" s="2414"/>
      <c r="B124" s="2415" t="s">
        <v>903</v>
      </c>
      <c r="C124" s="2428">
        <v>1998</v>
      </c>
      <c r="D124" s="2428">
        <v>1999</v>
      </c>
      <c r="E124" s="2428">
        <v>2000</v>
      </c>
      <c r="F124" s="2428">
        <f t="shared" ref="F124:AC124" si="64">E124+1</f>
        <v>2001</v>
      </c>
      <c r="G124" s="2428">
        <f t="shared" si="64"/>
        <v>2002</v>
      </c>
      <c r="H124" s="2428">
        <f t="shared" si="64"/>
        <v>2003</v>
      </c>
      <c r="I124" s="2428">
        <f t="shared" si="64"/>
        <v>2004</v>
      </c>
      <c r="J124" s="2428">
        <f t="shared" si="64"/>
        <v>2005</v>
      </c>
      <c r="K124" s="2428">
        <f t="shared" si="64"/>
        <v>2006</v>
      </c>
      <c r="L124" s="2428">
        <f t="shared" si="64"/>
        <v>2007</v>
      </c>
      <c r="M124" s="2428">
        <f t="shared" si="64"/>
        <v>2008</v>
      </c>
      <c r="N124" s="2428">
        <f t="shared" si="64"/>
        <v>2009</v>
      </c>
      <c r="O124" s="2428">
        <f t="shared" si="64"/>
        <v>2010</v>
      </c>
      <c r="P124" s="2428">
        <f t="shared" si="64"/>
        <v>2011</v>
      </c>
      <c r="Q124" s="2428">
        <f t="shared" si="64"/>
        <v>2012</v>
      </c>
      <c r="R124" s="2428">
        <f t="shared" si="64"/>
        <v>2013</v>
      </c>
      <c r="S124" s="2428">
        <f t="shared" si="64"/>
        <v>2014</v>
      </c>
      <c r="T124" s="2428">
        <f t="shared" si="64"/>
        <v>2015</v>
      </c>
      <c r="U124" s="2428">
        <f t="shared" si="64"/>
        <v>2016</v>
      </c>
      <c r="V124" s="2428">
        <f t="shared" si="64"/>
        <v>2017</v>
      </c>
      <c r="W124" s="2428">
        <f t="shared" si="64"/>
        <v>2018</v>
      </c>
      <c r="X124" s="2428">
        <f t="shared" si="64"/>
        <v>2019</v>
      </c>
      <c r="Y124" s="2428">
        <f t="shared" si="64"/>
        <v>2020</v>
      </c>
      <c r="Z124" s="2428">
        <f t="shared" si="64"/>
        <v>2021</v>
      </c>
      <c r="AA124" s="2428">
        <f t="shared" si="64"/>
        <v>2022</v>
      </c>
      <c r="AB124" s="2428">
        <f t="shared" si="64"/>
        <v>2023</v>
      </c>
      <c r="AC124" s="2428">
        <f t="shared" si="64"/>
        <v>2024</v>
      </c>
      <c r="AD124" s="2428">
        <f t="shared" ref="AD124" si="65">AC124+1</f>
        <v>2025</v>
      </c>
      <c r="AE124" s="2428">
        <f t="shared" ref="AE124" si="66">AD124+1</f>
        <v>2026</v>
      </c>
      <c r="AF124" s="2428">
        <f t="shared" ref="AF124" si="67">AE124+1</f>
        <v>2027</v>
      </c>
      <c r="AG124" s="2428">
        <f t="shared" ref="AG124" si="68">AF124+1</f>
        <v>2028</v>
      </c>
      <c r="AH124" s="2428">
        <f t="shared" ref="AH124" si="69">AG124+1</f>
        <v>2029</v>
      </c>
      <c r="AI124" s="2428">
        <f t="shared" ref="AI124" si="70">AH124+1</f>
        <v>2030</v>
      </c>
      <c r="AJ124" s="2415"/>
      <c r="AK124" s="2415"/>
      <c r="AL124" s="2415"/>
      <c r="AM124" s="2415"/>
      <c r="AN124" s="2415"/>
      <c r="AO124" s="2414"/>
      <c r="AP124" s="2414"/>
      <c r="AQ124" s="2414"/>
      <c r="AR124" s="2414"/>
    </row>
    <row r="125" spans="1:44" ht="15.75">
      <c r="A125" s="2414"/>
      <c r="B125" s="2416" t="s">
        <v>680</v>
      </c>
      <c r="C125" s="2419"/>
      <c r="D125" s="2419"/>
      <c r="E125" s="2420"/>
      <c r="F125" s="2420"/>
      <c r="G125" s="2420"/>
      <c r="H125" s="2429">
        <v>718.06533305673429</v>
      </c>
      <c r="I125" s="2429">
        <v>718.06533305673429</v>
      </c>
      <c r="J125" s="2429">
        <v>718.06533305673429</v>
      </c>
      <c r="K125" s="2429">
        <v>718.06533305673429</v>
      </c>
      <c r="L125" s="2429">
        <v>718.06533305673429</v>
      </c>
      <c r="M125" s="2429">
        <v>718.06533305673429</v>
      </c>
      <c r="N125" s="2429">
        <v>718.06533305673429</v>
      </c>
      <c r="O125" s="2429">
        <v>718.06533305673429</v>
      </c>
      <c r="P125" s="2429">
        <v>718.06533305673429</v>
      </c>
      <c r="Q125" s="2429">
        <v>718.06533305673429</v>
      </c>
      <c r="R125" s="2429">
        <v>718.06533305673429</v>
      </c>
      <c r="S125" s="2420">
        <f>Valuation!D55</f>
        <v>887.38393981123295</v>
      </c>
      <c r="T125" s="2420">
        <f>Valuation!E55</f>
        <v>887.38393981123295</v>
      </c>
      <c r="U125" s="2420">
        <f>Valuation!F55</f>
        <v>887.38393981123295</v>
      </c>
      <c r="V125" s="2420">
        <f>Valuation!G55</f>
        <v>887.38393981123295</v>
      </c>
      <c r="W125" s="2420">
        <f>Valuation!H55</f>
        <v>887.38393981123295</v>
      </c>
      <c r="X125" s="2420">
        <f>Valuation!I55</f>
        <v>887.38393981123295</v>
      </c>
      <c r="Y125" s="2420">
        <f>Valuation!J55</f>
        <v>887.38393981123295</v>
      </c>
      <c r="Z125" s="2420">
        <f>Valuation!K55</f>
        <v>887.38393981123295</v>
      </c>
      <c r="AA125" s="2420">
        <f>Valuation!L55</f>
        <v>887.38393981123295</v>
      </c>
      <c r="AB125" s="2420">
        <f>Valuation!M55</f>
        <v>887.38393981123295</v>
      </c>
      <c r="AC125" s="2420">
        <f>Valuation!N55</f>
        <v>887.38393981123295</v>
      </c>
      <c r="AD125" s="2420">
        <f>Valuation!O55</f>
        <v>887.38393981123295</v>
      </c>
      <c r="AE125" s="2420">
        <f>Valuation!P55</f>
        <v>887.38393981123295</v>
      </c>
      <c r="AF125" s="2420">
        <f>Valuation!Q55</f>
        <v>887.38393981123295</v>
      </c>
      <c r="AG125" s="2420">
        <f>Valuation!R55</f>
        <v>887.38393981123295</v>
      </c>
      <c r="AH125" s="2420">
        <f>Valuation!S55</f>
        <v>887.38393981123295</v>
      </c>
      <c r="AI125" s="2420">
        <f>Valuation!T55</f>
        <v>887.38393981123295</v>
      </c>
      <c r="AJ125" s="2418"/>
      <c r="AK125" s="2418"/>
      <c r="AL125" s="2418"/>
      <c r="AM125" s="2418"/>
      <c r="AN125" s="2418"/>
      <c r="AO125" s="2414"/>
      <c r="AP125" s="2414"/>
      <c r="AQ125" s="2414"/>
      <c r="AR125" s="2414"/>
    </row>
    <row r="126" spans="1:44" ht="15.75">
      <c r="A126" s="2414"/>
      <c r="B126" s="2416" t="s">
        <v>904</v>
      </c>
      <c r="C126" s="2419"/>
      <c r="D126" s="2419"/>
      <c r="E126" s="2420"/>
      <c r="F126" s="2420"/>
      <c r="G126" s="2420"/>
      <c r="H126" s="2420"/>
      <c r="I126" s="2420"/>
      <c r="J126" s="2420"/>
      <c r="K126" s="2420"/>
      <c r="L126" s="2420"/>
      <c r="M126" s="2420"/>
      <c r="N126" s="2420"/>
      <c r="O126" s="2419"/>
      <c r="P126" s="2419"/>
      <c r="Q126" s="2419"/>
      <c r="R126" s="2419"/>
      <c r="S126" s="2419"/>
      <c r="T126" s="2419"/>
      <c r="U126" s="2419"/>
      <c r="V126" s="2419"/>
      <c r="W126" s="2419"/>
      <c r="X126" s="2419"/>
      <c r="Y126" s="2419"/>
      <c r="Z126" s="2419"/>
      <c r="AA126" s="2419"/>
      <c r="AB126" s="2419"/>
      <c r="AC126" s="2419"/>
      <c r="AD126" s="2419"/>
      <c r="AE126" s="2419"/>
      <c r="AF126" s="2419"/>
      <c r="AG126" s="2419"/>
      <c r="AH126" s="2419"/>
      <c r="AI126" s="2419"/>
      <c r="AJ126" s="2418"/>
      <c r="AK126" s="2418"/>
      <c r="AL126" s="2418"/>
      <c r="AM126" s="2418"/>
      <c r="AN126" s="2418"/>
      <c r="AO126" s="2414"/>
      <c r="AP126" s="2414"/>
      <c r="AQ126" s="2414"/>
      <c r="AR126" s="2414"/>
    </row>
    <row r="127" spans="1:44" ht="15.75">
      <c r="A127" s="2414"/>
      <c r="B127" s="2416" t="s">
        <v>905</v>
      </c>
      <c r="C127" s="2419"/>
      <c r="D127" s="2419"/>
      <c r="E127" s="2419"/>
      <c r="F127" s="2419"/>
      <c r="G127" s="2419"/>
      <c r="H127" s="2419"/>
      <c r="I127" s="2419"/>
      <c r="J127" s="2419"/>
      <c r="K127" s="2419"/>
      <c r="L127" s="2419"/>
      <c r="M127" s="2419"/>
      <c r="N127" s="2419"/>
      <c r="O127" s="2419"/>
      <c r="P127" s="2419"/>
      <c r="Q127" s="2419"/>
      <c r="R127" s="2419"/>
      <c r="S127" s="2419"/>
      <c r="T127" s="2419"/>
      <c r="U127" s="2419"/>
      <c r="V127" s="2419"/>
      <c r="W127" s="2419"/>
      <c r="X127" s="2419"/>
      <c r="Y127" s="2419"/>
      <c r="Z127" s="2419"/>
      <c r="AA127" s="2419"/>
      <c r="AB127" s="2419"/>
      <c r="AC127" s="2419"/>
      <c r="AD127" s="2419"/>
      <c r="AE127" s="2419"/>
      <c r="AF127" s="2419"/>
      <c r="AG127" s="2419"/>
      <c r="AH127" s="2419"/>
      <c r="AI127" s="2419"/>
      <c r="AJ127" s="2418"/>
      <c r="AK127" s="2418"/>
      <c r="AL127" s="2418"/>
      <c r="AM127" s="2418"/>
      <c r="AN127" s="2418"/>
      <c r="AO127" s="2414"/>
      <c r="AP127" s="2414"/>
      <c r="AQ127" s="2414"/>
      <c r="AR127" s="2414"/>
    </row>
    <row r="128" spans="1:44" ht="15.75">
      <c r="A128" s="2414"/>
      <c r="B128" s="2416" t="s">
        <v>906</v>
      </c>
      <c r="C128" s="2419"/>
      <c r="D128" s="2419"/>
      <c r="E128" s="2419"/>
      <c r="F128" s="2419"/>
      <c r="G128" s="2419"/>
      <c r="H128" s="2419"/>
      <c r="I128" s="2419"/>
      <c r="J128" s="2419"/>
      <c r="K128" s="2419"/>
      <c r="L128" s="2419"/>
      <c r="M128" s="2419"/>
      <c r="N128" s="2419"/>
      <c r="O128" s="2419"/>
      <c r="P128" s="2419"/>
      <c r="Q128" s="2419"/>
      <c r="R128" s="2419"/>
      <c r="S128" s="2419"/>
      <c r="T128" s="2419"/>
      <c r="U128" s="2419"/>
      <c r="V128" s="2419"/>
      <c r="W128" s="2419"/>
      <c r="X128" s="2419"/>
      <c r="Y128" s="2419"/>
      <c r="Z128" s="2419"/>
      <c r="AA128" s="2419"/>
      <c r="AB128" s="2419"/>
      <c r="AC128" s="2419"/>
      <c r="AD128" s="2419"/>
      <c r="AE128" s="2419"/>
      <c r="AF128" s="2419"/>
      <c r="AG128" s="2419"/>
      <c r="AH128" s="2419"/>
      <c r="AI128" s="2419"/>
      <c r="AJ128" s="2418"/>
      <c r="AK128" s="2418"/>
      <c r="AL128" s="2418"/>
      <c r="AM128" s="2418"/>
      <c r="AN128" s="2418"/>
      <c r="AO128" s="2414"/>
      <c r="AP128" s="2414"/>
      <c r="AQ128" s="2414"/>
      <c r="AR128" s="2414"/>
    </row>
    <row r="129" spans="1:44" ht="15.75">
      <c r="A129" s="2414"/>
      <c r="B129" s="2416" t="s">
        <v>907</v>
      </c>
      <c r="C129" s="2419"/>
      <c r="D129" s="2419"/>
      <c r="E129" s="2419"/>
      <c r="F129" s="2419"/>
      <c r="G129" s="2419"/>
      <c r="H129" s="2419"/>
      <c r="I129" s="2419"/>
      <c r="J129" s="2419"/>
      <c r="K129" s="2419"/>
      <c r="L129" s="2419"/>
      <c r="M129" s="2419"/>
      <c r="N129" s="2419"/>
      <c r="O129" s="2419"/>
      <c r="P129" s="2419"/>
      <c r="Q129" s="2419"/>
      <c r="R129" s="2419"/>
      <c r="S129" s="2419"/>
      <c r="T129" s="2419"/>
      <c r="U129" s="2419"/>
      <c r="V129" s="2419"/>
      <c r="W129" s="2419"/>
      <c r="X129" s="2419"/>
      <c r="Y129" s="2419"/>
      <c r="Z129" s="2419"/>
      <c r="AA129" s="2419"/>
      <c r="AB129" s="2419"/>
      <c r="AC129" s="2419"/>
      <c r="AD129" s="2419"/>
      <c r="AE129" s="2419"/>
      <c r="AF129" s="2419"/>
      <c r="AG129" s="2419"/>
      <c r="AH129" s="2419"/>
      <c r="AI129" s="2419"/>
      <c r="AJ129" s="2418"/>
      <c r="AK129" s="2418"/>
      <c r="AL129" s="2418"/>
      <c r="AM129" s="2418"/>
      <c r="AN129" s="2418"/>
      <c r="AO129" s="2414"/>
      <c r="AP129" s="2414"/>
      <c r="AQ129" s="2414"/>
      <c r="AR129" s="2414"/>
    </row>
    <row r="130" spans="1:44" ht="15.75">
      <c r="A130" s="2414"/>
      <c r="B130" s="2416" t="s">
        <v>908</v>
      </c>
      <c r="C130" s="2419"/>
      <c r="D130" s="2419"/>
      <c r="E130" s="2419"/>
      <c r="F130" s="2419"/>
      <c r="G130" s="2419"/>
      <c r="H130" s="2419"/>
      <c r="I130" s="2419"/>
      <c r="J130" s="2419"/>
      <c r="K130" s="2419"/>
      <c r="L130" s="2419"/>
      <c r="M130" s="2419"/>
      <c r="N130" s="2419"/>
      <c r="O130" s="2419"/>
      <c r="P130" s="2419"/>
      <c r="Q130" s="2419"/>
      <c r="R130" s="2419"/>
      <c r="S130" s="2419"/>
      <c r="T130" s="2419"/>
      <c r="U130" s="2419"/>
      <c r="V130" s="2419"/>
      <c r="W130" s="2419"/>
      <c r="X130" s="2419"/>
      <c r="Y130" s="2419"/>
      <c r="Z130" s="2419"/>
      <c r="AA130" s="2419"/>
      <c r="AB130" s="2419"/>
      <c r="AC130" s="2419"/>
      <c r="AD130" s="2419"/>
      <c r="AE130" s="2419"/>
      <c r="AF130" s="2419"/>
      <c r="AG130" s="2419"/>
      <c r="AH130" s="2419"/>
      <c r="AI130" s="2419"/>
      <c r="AJ130" s="2418"/>
      <c r="AK130" s="2418"/>
      <c r="AL130" s="2418"/>
      <c r="AM130" s="2418"/>
      <c r="AN130" s="2418"/>
      <c r="AO130" s="2414"/>
      <c r="AP130" s="2414"/>
      <c r="AQ130" s="2414"/>
      <c r="AR130" s="2414"/>
    </row>
    <row r="131" spans="1:44" ht="15.75">
      <c r="A131" s="2414"/>
      <c r="B131" s="2414"/>
      <c r="C131" s="2414"/>
      <c r="D131" s="2414"/>
      <c r="E131" s="2414"/>
      <c r="F131" s="2414"/>
      <c r="G131" s="2414"/>
      <c r="H131" s="2414"/>
      <c r="I131" s="2414"/>
      <c r="J131" s="2414"/>
      <c r="K131" s="2414"/>
      <c r="L131" s="2414"/>
      <c r="M131" s="2414"/>
      <c r="N131" s="2414"/>
      <c r="O131" s="2414"/>
      <c r="P131" s="2414"/>
      <c r="Q131" s="2414"/>
      <c r="R131" s="2414"/>
      <c r="S131" s="2414"/>
      <c r="T131" s="2414"/>
      <c r="U131" s="2414"/>
      <c r="V131" s="2414"/>
      <c r="W131" s="2414"/>
      <c r="X131" s="2414"/>
      <c r="Y131" s="2414"/>
      <c r="Z131" s="2414"/>
      <c r="AA131" s="2414"/>
      <c r="AB131" s="2414"/>
      <c r="AC131" s="2414"/>
      <c r="AD131" s="2414"/>
      <c r="AE131" s="2414"/>
      <c r="AF131" s="2414"/>
      <c r="AG131" s="2414"/>
      <c r="AH131" s="2414"/>
      <c r="AI131" s="2414"/>
      <c r="AJ131" s="2414"/>
      <c r="AK131" s="2414"/>
      <c r="AL131" s="2414"/>
      <c r="AM131" s="2414"/>
      <c r="AN131" s="2414"/>
      <c r="AO131" s="2414"/>
      <c r="AP131" s="2414"/>
      <c r="AQ131" s="2414"/>
      <c r="AR131" s="2414"/>
    </row>
    <row r="132" spans="1:44" ht="15.75">
      <c r="A132" s="2414"/>
      <c r="B132" s="2415" t="s">
        <v>909</v>
      </c>
      <c r="C132" s="2428">
        <v>1998</v>
      </c>
      <c r="D132" s="2428">
        <v>1999</v>
      </c>
      <c r="E132" s="2428">
        <v>2000</v>
      </c>
      <c r="F132" s="2428">
        <f t="shared" ref="F132:AC132" si="71">E132+1</f>
        <v>2001</v>
      </c>
      <c r="G132" s="2428">
        <f t="shared" si="71"/>
        <v>2002</v>
      </c>
      <c r="H132" s="2428">
        <f t="shared" si="71"/>
        <v>2003</v>
      </c>
      <c r="I132" s="2428">
        <f t="shared" si="71"/>
        <v>2004</v>
      </c>
      <c r="J132" s="2428">
        <f t="shared" si="71"/>
        <v>2005</v>
      </c>
      <c r="K132" s="2428">
        <f t="shared" si="71"/>
        <v>2006</v>
      </c>
      <c r="L132" s="2428">
        <f t="shared" si="71"/>
        <v>2007</v>
      </c>
      <c r="M132" s="2428">
        <f t="shared" si="71"/>
        <v>2008</v>
      </c>
      <c r="N132" s="2428">
        <f t="shared" si="71"/>
        <v>2009</v>
      </c>
      <c r="O132" s="2428">
        <f t="shared" si="71"/>
        <v>2010</v>
      </c>
      <c r="P132" s="2428">
        <f t="shared" si="71"/>
        <v>2011</v>
      </c>
      <c r="Q132" s="2428">
        <f t="shared" si="71"/>
        <v>2012</v>
      </c>
      <c r="R132" s="2428">
        <f t="shared" si="71"/>
        <v>2013</v>
      </c>
      <c r="S132" s="2428">
        <f t="shared" si="71"/>
        <v>2014</v>
      </c>
      <c r="T132" s="2428">
        <f t="shared" si="71"/>
        <v>2015</v>
      </c>
      <c r="U132" s="2428">
        <f t="shared" si="71"/>
        <v>2016</v>
      </c>
      <c r="V132" s="2428">
        <f t="shared" si="71"/>
        <v>2017</v>
      </c>
      <c r="W132" s="2428">
        <f t="shared" si="71"/>
        <v>2018</v>
      </c>
      <c r="X132" s="2428">
        <f t="shared" si="71"/>
        <v>2019</v>
      </c>
      <c r="Y132" s="2428">
        <f t="shared" si="71"/>
        <v>2020</v>
      </c>
      <c r="Z132" s="2428">
        <f t="shared" si="71"/>
        <v>2021</v>
      </c>
      <c r="AA132" s="2428">
        <f t="shared" si="71"/>
        <v>2022</v>
      </c>
      <c r="AB132" s="2428">
        <f t="shared" si="71"/>
        <v>2023</v>
      </c>
      <c r="AC132" s="2428">
        <f t="shared" si="71"/>
        <v>2024</v>
      </c>
      <c r="AD132" s="2428">
        <f t="shared" ref="AD132" si="72">AC132+1</f>
        <v>2025</v>
      </c>
      <c r="AE132" s="2428">
        <f t="shared" ref="AE132" si="73">AD132+1</f>
        <v>2026</v>
      </c>
      <c r="AF132" s="2428">
        <f t="shared" ref="AF132" si="74">AE132+1</f>
        <v>2027</v>
      </c>
      <c r="AG132" s="2428">
        <f t="shared" ref="AG132" si="75">AF132+1</f>
        <v>2028</v>
      </c>
      <c r="AH132" s="2428">
        <f t="shared" ref="AH132" si="76">AG132+1</f>
        <v>2029</v>
      </c>
      <c r="AI132" s="2428">
        <f t="shared" ref="AI132" si="77">AH132+1</f>
        <v>2030</v>
      </c>
      <c r="AJ132" s="2415"/>
      <c r="AK132" s="2415"/>
      <c r="AL132" s="2415"/>
      <c r="AM132" s="2415"/>
      <c r="AN132" s="2415"/>
      <c r="AO132" s="2414"/>
      <c r="AP132" s="2414"/>
      <c r="AQ132" s="2414"/>
      <c r="AR132" s="2414"/>
    </row>
    <row r="133" spans="1:44" ht="15.75">
      <c r="A133" s="2414"/>
      <c r="B133" s="2438" t="s">
        <v>1425</v>
      </c>
      <c r="C133" s="2439"/>
      <c r="D133" s="2439"/>
      <c r="E133" s="2420"/>
      <c r="F133" s="2420"/>
      <c r="G133" s="2420"/>
      <c r="H133" s="2420"/>
      <c r="I133" s="2420"/>
      <c r="J133" s="2420"/>
      <c r="K133" s="2420"/>
      <c r="L133" s="2420"/>
      <c r="M133" s="2420"/>
      <c r="N133" s="2420"/>
      <c r="O133" s="2419"/>
      <c r="P133" s="2419"/>
      <c r="Q133" s="2419"/>
      <c r="R133" s="2419"/>
      <c r="S133" s="2419"/>
      <c r="T133" s="2419"/>
      <c r="U133" s="2419"/>
      <c r="V133" s="2419"/>
      <c r="W133" s="2419"/>
      <c r="X133" s="2419"/>
      <c r="Y133" s="2419"/>
      <c r="Z133" s="2419"/>
      <c r="AA133" s="2419"/>
      <c r="AB133" s="2419"/>
      <c r="AC133" s="2419"/>
      <c r="AD133" s="2419"/>
      <c r="AE133" s="2419"/>
      <c r="AF133" s="2419"/>
      <c r="AG133" s="2419"/>
      <c r="AH133" s="2419"/>
      <c r="AI133" s="2419"/>
      <c r="AJ133" s="2418"/>
      <c r="AK133" s="2418"/>
      <c r="AL133" s="2418"/>
      <c r="AM133" s="2418"/>
      <c r="AN133" s="2418"/>
      <c r="AO133" s="2414"/>
      <c r="AP133" s="2414"/>
      <c r="AQ133" s="2414"/>
      <c r="AR133" s="2414"/>
    </row>
    <row r="134" spans="1:44" ht="15.75">
      <c r="A134" s="2414"/>
      <c r="B134" s="2416" t="s">
        <v>1828</v>
      </c>
      <c r="C134" s="2417"/>
      <c r="D134" s="2417"/>
      <c r="E134" s="2417"/>
      <c r="F134" s="2417"/>
      <c r="G134" s="2417"/>
      <c r="H134" s="2417"/>
      <c r="I134" s="2417"/>
      <c r="J134" s="2417"/>
      <c r="K134" s="2417"/>
      <c r="L134" s="2417"/>
      <c r="M134" s="2417"/>
      <c r="N134" s="2417"/>
      <c r="O134" s="2417"/>
      <c r="P134" s="2417"/>
      <c r="Q134" s="2417"/>
      <c r="R134" s="2417"/>
      <c r="S134" s="2417"/>
      <c r="T134" s="2417">
        <f>'New split'!E16</f>
        <v>2555.63123688823</v>
      </c>
      <c r="U134" s="2417">
        <f>'New split'!F16</f>
        <v>2472.3968456450366</v>
      </c>
      <c r="V134" s="2417">
        <f>'New split'!G16</f>
        <v>2484</v>
      </c>
      <c r="W134" s="2417">
        <f ca="1">'New split'!H16</f>
        <v>2532</v>
      </c>
      <c r="X134" s="2417">
        <f>'New split'!I16</f>
        <v>3183</v>
      </c>
      <c r="Y134" s="2417">
        <f>'New split'!J16</f>
        <v>3393</v>
      </c>
      <c r="Z134" s="2417">
        <f>'New split'!K16</f>
        <v>3649</v>
      </c>
      <c r="AA134" s="2417">
        <f>'New split'!L16</f>
        <v>3130.8247999999994</v>
      </c>
      <c r="AB134" s="2417">
        <f>'New split'!M16</f>
        <v>3186.2258999999995</v>
      </c>
      <c r="AC134" s="2417">
        <f>'New split'!N16</f>
        <v>3272.8498</v>
      </c>
      <c r="AD134" s="2417">
        <f>'New split'!O16</f>
        <v>3368.063872634797</v>
      </c>
      <c r="AE134" s="2417">
        <f>'New split'!P16</f>
        <v>3429.8342480917981</v>
      </c>
      <c r="AF134" s="2417">
        <f>'New split'!Q16</f>
        <v>3496.6354312882231</v>
      </c>
      <c r="AG134" s="2417">
        <f>'New split'!R16</f>
        <v>3563.493928440324</v>
      </c>
      <c r="AH134" s="2417">
        <f>'New split'!S16</f>
        <v>3622.6378176218423</v>
      </c>
      <c r="AI134" s="2417">
        <f>'New split'!T16</f>
        <v>3677.6037360314635</v>
      </c>
      <c r="AJ134" s="2418"/>
      <c r="AK134" s="2418"/>
      <c r="AL134" s="2418"/>
      <c r="AM134" s="2418"/>
      <c r="AN134" s="2418"/>
      <c r="AO134" s="2414"/>
      <c r="AP134" s="2414"/>
      <c r="AQ134" s="2414"/>
      <c r="AR134" s="2414"/>
    </row>
    <row r="135" spans="1:44" ht="15.75">
      <c r="A135" s="2414"/>
      <c r="B135" s="2416" t="s">
        <v>1697</v>
      </c>
      <c r="C135" s="2417"/>
      <c r="D135" s="2417"/>
      <c r="E135" s="2417"/>
      <c r="F135" s="2417"/>
      <c r="G135" s="2417"/>
      <c r="H135" s="2417"/>
      <c r="I135" s="2417"/>
      <c r="J135" s="2417"/>
      <c r="K135" s="2417"/>
      <c r="L135" s="2417"/>
      <c r="M135" s="2417"/>
      <c r="N135" s="2417"/>
      <c r="O135" s="2417"/>
      <c r="P135" s="2417"/>
      <c r="Q135" s="2417"/>
      <c r="R135" s="2417"/>
      <c r="S135" s="2417"/>
      <c r="T135" s="2417">
        <f>'New split'!E23</f>
        <v>3185.4534438064697</v>
      </c>
      <c r="U135" s="2417">
        <f>'New split'!F23</f>
        <v>2880.6929826318556</v>
      </c>
      <c r="V135" s="2417">
        <f>'New split'!G23</f>
        <v>2958</v>
      </c>
      <c r="W135" s="2417">
        <f>'New split'!H23</f>
        <v>2954</v>
      </c>
      <c r="X135" s="2417">
        <f>'New split'!I23</f>
        <v>2776</v>
      </c>
      <c r="Y135" s="2417">
        <f>'New split'!J23</f>
        <v>2473</v>
      </c>
      <c r="Z135" s="2417">
        <f>'New split'!K23</f>
        <v>2591</v>
      </c>
      <c r="AA135" s="2417">
        <f>'New split'!L23</f>
        <v>2513.8000000000002</v>
      </c>
      <c r="AB135" s="2417">
        <f>'New split'!M23</f>
        <v>2494.672</v>
      </c>
      <c r="AC135" s="2417">
        <f>'New split'!N23</f>
        <v>2552.0713000000005</v>
      </c>
      <c r="AD135" s="2417">
        <f>'New split'!O23</f>
        <v>2175.8908187487418</v>
      </c>
      <c r="AE135" s="2417">
        <f>'New split'!P23</f>
        <v>2193.2187087038437</v>
      </c>
      <c r="AF135" s="2417">
        <f>'New split'!Q23</f>
        <v>2220.6249455220823</v>
      </c>
      <c r="AG135" s="2417">
        <f>'New split'!R23</f>
        <v>2255.1304744670915</v>
      </c>
      <c r="AH135" s="2417">
        <f>'New split'!S23</f>
        <v>2279.4095335327061</v>
      </c>
      <c r="AI135" s="2417">
        <f>'New split'!T23</f>
        <v>2294.4018491004144</v>
      </c>
      <c r="AJ135" s="2418"/>
      <c r="AK135" s="2418"/>
      <c r="AL135" s="2418"/>
      <c r="AM135" s="2418"/>
      <c r="AN135" s="2418"/>
      <c r="AO135" s="2414"/>
      <c r="AP135" s="2414"/>
      <c r="AQ135" s="2414"/>
      <c r="AR135" s="2414"/>
    </row>
    <row r="136" spans="1:44" ht="15.75">
      <c r="A136" s="2414"/>
      <c r="B136" s="2416" t="s">
        <v>1831</v>
      </c>
      <c r="C136" s="2417"/>
      <c r="D136" s="2417"/>
      <c r="E136" s="2417"/>
      <c r="F136" s="2417"/>
      <c r="G136" s="2417"/>
      <c r="H136" s="2417"/>
      <c r="I136" s="2417"/>
      <c r="J136" s="2417"/>
      <c r="K136" s="2417"/>
      <c r="L136" s="2417"/>
      <c r="M136" s="2417"/>
      <c r="N136" s="2417"/>
      <c r="O136" s="2417"/>
      <c r="P136" s="2417"/>
      <c r="Q136" s="2417"/>
      <c r="R136" s="2417"/>
      <c r="S136" s="2417"/>
      <c r="T136" s="2417">
        <f>'New split'!E33</f>
        <v>987.73385710837397</v>
      </c>
      <c r="U136" s="2417">
        <f>'New split'!F33</f>
        <v>895.73775281920507</v>
      </c>
      <c r="V136" s="2417">
        <f>'New split'!G33</f>
        <v>646</v>
      </c>
      <c r="W136" s="2417">
        <f>'New split'!H33</f>
        <v>526.5</v>
      </c>
      <c r="X136" s="2417">
        <f>'New split'!I33</f>
        <v>412</v>
      </c>
      <c r="Y136" s="2417">
        <f>'New split'!J33</f>
        <v>366</v>
      </c>
      <c r="Z136" s="2417">
        <f>'New split'!K33</f>
        <v>357</v>
      </c>
      <c r="AA136" s="2417">
        <f>'New split'!L33</f>
        <v>0</v>
      </c>
      <c r="AB136" s="2417">
        <f>'New split'!M33</f>
        <v>0</v>
      </c>
      <c r="AC136" s="2417">
        <f>'New split'!N33</f>
        <v>0</v>
      </c>
      <c r="AD136" s="2417">
        <f>'New split'!O33</f>
        <v>0</v>
      </c>
      <c r="AE136" s="2417">
        <f>'New split'!P33</f>
        <v>0</v>
      </c>
      <c r="AF136" s="2417">
        <f>'New split'!Q33</f>
        <v>0</v>
      </c>
      <c r="AG136" s="2417">
        <f>'New split'!R33</f>
        <v>0</v>
      </c>
      <c r="AH136" s="2417">
        <f>'New split'!S33</f>
        <v>0</v>
      </c>
      <c r="AI136" s="2417">
        <f>'New split'!T33</f>
        <v>0</v>
      </c>
      <c r="AJ136" s="2418"/>
      <c r="AK136" s="2418"/>
      <c r="AL136" s="2418"/>
      <c r="AM136" s="2418"/>
      <c r="AN136" s="2418"/>
      <c r="AO136" s="2414"/>
      <c r="AP136" s="2414"/>
      <c r="AQ136" s="2414"/>
      <c r="AR136" s="2414"/>
    </row>
    <row r="137" spans="1:44" ht="15.75">
      <c r="A137" s="2414"/>
      <c r="B137" s="2416" t="s">
        <v>1540</v>
      </c>
      <c r="C137" s="2417"/>
      <c r="D137" s="2417"/>
      <c r="E137" s="2417"/>
      <c r="F137" s="2417"/>
      <c r="G137" s="2417"/>
      <c r="H137" s="2417"/>
      <c r="I137" s="2417"/>
      <c r="J137" s="2417"/>
      <c r="K137" s="2417"/>
      <c r="L137" s="2417"/>
      <c r="M137" s="2417"/>
      <c r="N137" s="2417"/>
      <c r="O137" s="2417"/>
      <c r="P137" s="2417"/>
      <c r="Q137" s="2417"/>
      <c r="R137" s="2417"/>
      <c r="S137" s="2417"/>
      <c r="T137" s="2417">
        <f>'New split'!E34</f>
        <v>1.3180071952760954</v>
      </c>
      <c r="U137" s="2417">
        <f>'New split'!F34</f>
        <v>5.433759087316048E-2</v>
      </c>
      <c r="V137" s="2417">
        <f>'New split'!G34</f>
        <v>0</v>
      </c>
      <c r="W137" s="2417">
        <f>'New split'!H34</f>
        <v>0</v>
      </c>
      <c r="X137" s="2417">
        <f>'New split'!I34</f>
        <v>0</v>
      </c>
      <c r="Y137" s="2417">
        <f>'New split'!J34</f>
        <v>0</v>
      </c>
      <c r="Z137" s="2417">
        <f ca="1">'New split'!K34</f>
        <v>-24</v>
      </c>
      <c r="AA137" s="2417">
        <f>'New split'!L34</f>
        <v>-20.094800000000362</v>
      </c>
      <c r="AB137" s="2417">
        <f>'New split'!M34</f>
        <v>-19.897899999999879</v>
      </c>
      <c r="AC137" s="2417">
        <f>'New split'!N34</f>
        <v>-20.661900000000088</v>
      </c>
      <c r="AD137" s="2417">
        <f>'New split'!O34</f>
        <v>-20</v>
      </c>
      <c r="AE137" s="2417">
        <f>'New split'!P34</f>
        <v>-20</v>
      </c>
      <c r="AF137" s="2417">
        <f>'New split'!Q34</f>
        <v>-20</v>
      </c>
      <c r="AG137" s="2417">
        <f>'New split'!R34</f>
        <v>-20</v>
      </c>
      <c r="AH137" s="2417">
        <f>'New split'!S34</f>
        <v>-20</v>
      </c>
      <c r="AI137" s="2417">
        <f>'New split'!T34</f>
        <v>-20</v>
      </c>
      <c r="AJ137" s="2418"/>
      <c r="AK137" s="2418"/>
      <c r="AL137" s="2418"/>
      <c r="AM137" s="2418"/>
      <c r="AN137" s="2418"/>
      <c r="AO137" s="2414"/>
      <c r="AP137" s="2414"/>
      <c r="AQ137" s="2414"/>
      <c r="AR137" s="2414"/>
    </row>
    <row r="138" spans="1:44" ht="15.75">
      <c r="A138" s="2414"/>
      <c r="B138" s="2416"/>
      <c r="C138" s="2417"/>
      <c r="D138" s="2417"/>
      <c r="E138" s="2417"/>
      <c r="F138" s="2417"/>
      <c r="G138" s="2417"/>
      <c r="H138" s="2417"/>
      <c r="I138" s="2417"/>
      <c r="J138" s="2417"/>
      <c r="K138" s="2417"/>
      <c r="L138" s="2417"/>
      <c r="M138" s="2417"/>
      <c r="N138" s="2417"/>
      <c r="O138" s="2417"/>
      <c r="P138" s="2417"/>
      <c r="Q138" s="2417"/>
      <c r="R138" s="2417"/>
      <c r="S138" s="2417"/>
      <c r="T138" s="2417"/>
      <c r="U138" s="2417"/>
      <c r="V138" s="2417"/>
      <c r="W138" s="2417"/>
      <c r="X138" s="2417"/>
      <c r="Y138" s="2417"/>
      <c r="Z138" s="2417"/>
      <c r="AA138" s="2417"/>
      <c r="AB138" s="2417"/>
      <c r="AC138" s="2417"/>
      <c r="AD138" s="2417"/>
      <c r="AE138" s="2417"/>
      <c r="AF138" s="2417"/>
      <c r="AG138" s="2417"/>
      <c r="AH138" s="2417"/>
      <c r="AI138" s="2417"/>
      <c r="AJ138" s="2418"/>
      <c r="AK138" s="2418"/>
      <c r="AL138" s="2418"/>
      <c r="AM138" s="2418"/>
      <c r="AN138" s="2418"/>
      <c r="AO138" s="2414"/>
      <c r="AP138" s="2414"/>
      <c r="AQ138" s="2414"/>
      <c r="AR138" s="2414"/>
    </row>
    <row r="139" spans="1:44" ht="15.75">
      <c r="A139" s="2414"/>
      <c r="B139" s="2438" t="s">
        <v>2324</v>
      </c>
      <c r="C139" s="2440"/>
      <c r="D139" s="2440"/>
      <c r="E139" s="2440"/>
      <c r="F139" s="2440"/>
      <c r="G139" s="2440"/>
      <c r="H139" s="2440"/>
      <c r="I139" s="2440"/>
      <c r="J139" s="2440"/>
      <c r="K139" s="2440"/>
      <c r="L139" s="2440"/>
      <c r="M139" s="2440"/>
      <c r="N139" s="2440"/>
      <c r="O139" s="2440"/>
      <c r="P139" s="2440"/>
      <c r="Q139" s="2440"/>
      <c r="R139" s="2440"/>
      <c r="S139" s="2440"/>
      <c r="T139" s="2440">
        <f>'New split'!E35</f>
        <v>6730.1365449983496</v>
      </c>
      <c r="U139" s="2440">
        <f>'New split'!F35</f>
        <v>6248.8819186869696</v>
      </c>
      <c r="V139" s="2440">
        <f>'New split'!G35</f>
        <v>6089</v>
      </c>
      <c r="W139" s="2440">
        <f>'New split'!H35</f>
        <v>6012</v>
      </c>
      <c r="X139" s="2440">
        <f>'New split'!I35</f>
        <v>6371</v>
      </c>
      <c r="Y139" s="2440">
        <f>'New split'!J35</f>
        <v>6232</v>
      </c>
      <c r="Z139" s="2440">
        <f>'New split'!K35</f>
        <v>6572</v>
      </c>
      <c r="AA139" s="2440">
        <f>'New split'!L35</f>
        <v>5624.5300000000007</v>
      </c>
      <c r="AB139" s="2440">
        <f>'New split'!M35</f>
        <v>5661</v>
      </c>
      <c r="AC139" s="2440">
        <f>'New split'!N35</f>
        <v>5804.2592000000004</v>
      </c>
      <c r="AD139" s="2440">
        <f>'New split'!O35</f>
        <v>5523.9546913835384</v>
      </c>
      <c r="AE139" s="2440">
        <f>'New split'!P35</f>
        <v>5603.0529567956419</v>
      </c>
      <c r="AF139" s="2440">
        <f>'New split'!Q35</f>
        <v>5697.2603768103054</v>
      </c>
      <c r="AG139" s="2440">
        <f>'New split'!R35</f>
        <v>5798.6244029074151</v>
      </c>
      <c r="AH139" s="2440">
        <f>'New split'!S35</f>
        <v>5882.0473511545479</v>
      </c>
      <c r="AI139" s="2440">
        <f>'New split'!T35</f>
        <v>5952.0055851318775</v>
      </c>
      <c r="AJ139" s="2418"/>
      <c r="AK139" s="2418"/>
      <c r="AL139" s="2418"/>
      <c r="AM139" s="2418"/>
      <c r="AN139" s="2418"/>
      <c r="AO139" s="2414"/>
      <c r="AP139" s="2414"/>
      <c r="AQ139" s="2414"/>
      <c r="AR139" s="2414"/>
    </row>
    <row r="140" spans="1:44" ht="15.75">
      <c r="A140" s="2414"/>
      <c r="B140" s="2438"/>
      <c r="C140" s="2440"/>
      <c r="D140" s="2440"/>
      <c r="E140" s="2440"/>
      <c r="F140" s="2440"/>
      <c r="G140" s="2440"/>
      <c r="H140" s="2440"/>
      <c r="I140" s="2440"/>
      <c r="J140" s="2440"/>
      <c r="K140" s="2440"/>
      <c r="L140" s="2440"/>
      <c r="M140" s="2440"/>
      <c r="N140" s="2440"/>
      <c r="O140" s="2440"/>
      <c r="P140" s="2440"/>
      <c r="Q140" s="2440"/>
      <c r="R140" s="2440"/>
      <c r="S140" s="2440"/>
      <c r="T140" s="2440"/>
      <c r="U140" s="2440"/>
      <c r="V140" s="2440"/>
      <c r="W140" s="2440"/>
      <c r="X140" s="2440"/>
      <c r="Y140" s="2440"/>
      <c r="Z140" s="2440"/>
      <c r="AA140" s="2440"/>
      <c r="AB140" s="2440"/>
      <c r="AC140" s="2440"/>
      <c r="AD140" s="2440"/>
      <c r="AE140" s="2440"/>
      <c r="AF140" s="2440"/>
      <c r="AG140" s="2440"/>
      <c r="AH140" s="2440"/>
      <c r="AI140" s="2440"/>
      <c r="AJ140" s="2418"/>
      <c r="AK140" s="2418"/>
      <c r="AL140" s="2418"/>
      <c r="AM140" s="2418"/>
      <c r="AN140" s="2418"/>
      <c r="AO140" s="2414"/>
      <c r="AP140" s="2414"/>
      <c r="AQ140" s="2414"/>
      <c r="AR140" s="2414"/>
    </row>
    <row r="141" spans="1:44" ht="15.75">
      <c r="A141" s="2414"/>
      <c r="B141" s="2438" t="s">
        <v>360</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8"/>
      <c r="AK141" s="2418"/>
      <c r="AL141" s="2418"/>
      <c r="AM141" s="2418"/>
      <c r="AN141" s="2418"/>
      <c r="AO141" s="2414"/>
      <c r="AP141" s="2414"/>
      <c r="AQ141" s="2414"/>
      <c r="AR141" s="2414"/>
    </row>
    <row r="142" spans="1:44" ht="15.75">
      <c r="A142" s="2414"/>
      <c r="B142" s="2416" t="str">
        <f>B134</f>
        <v>Central America</v>
      </c>
      <c r="C142" s="2417"/>
      <c r="D142" s="2417"/>
      <c r="E142" s="2417"/>
      <c r="F142" s="2417"/>
      <c r="G142" s="2417"/>
      <c r="H142" s="2417"/>
      <c r="I142" s="2417"/>
      <c r="J142" s="2417"/>
      <c r="K142" s="2417"/>
      <c r="L142" s="2417"/>
      <c r="M142" s="2417"/>
      <c r="N142" s="2417"/>
      <c r="O142" s="2417"/>
      <c r="P142" s="2417"/>
      <c r="Q142" s="2417"/>
      <c r="R142" s="2417"/>
      <c r="S142" s="2417"/>
      <c r="T142" s="2417">
        <f>'New split'!E284-'New split'!E275</f>
        <v>882.82388927237912</v>
      </c>
      <c r="U142" s="2417">
        <f>'New split'!F284-'New split'!F275</f>
        <v>842.44673435506013</v>
      </c>
      <c r="V142" s="2417">
        <f>'New split'!G284-'New split'!G275</f>
        <v>881</v>
      </c>
      <c r="W142" s="2417">
        <f>'New split'!H284-'New split'!H275</f>
        <v>900.63400000000001</v>
      </c>
      <c r="X142" s="2417">
        <f>'New split'!I284-'New split'!I275</f>
        <v>1237.2249999999999</v>
      </c>
      <c r="Y142" s="2417">
        <f>'New split'!J284-'New split'!J275</f>
        <v>1300</v>
      </c>
      <c r="Z142" s="2417">
        <f>'New split'!K284-'New split'!K275</f>
        <v>1449</v>
      </c>
      <c r="AA142" s="2417">
        <f>'New split'!L284-'New split'!L275</f>
        <v>1484.4544999999998</v>
      </c>
      <c r="AB142" s="2417">
        <f>'New split'!M284-'New split'!M275</f>
        <v>1469.8366999999998</v>
      </c>
      <c r="AC142" s="2417">
        <f>'New split'!N284-'New split'!N275</f>
        <v>1612.1393000000003</v>
      </c>
      <c r="AD142" s="2417">
        <f>'New split'!O284-'New split'!O275</f>
        <v>1660.0133708536275</v>
      </c>
      <c r="AE142" s="2417">
        <f>'New split'!P284-'New split'!P275</f>
        <v>1700.7642803552035</v>
      </c>
      <c r="AF142" s="2417">
        <f>'New split'!Q284-'New split'!Q275</f>
        <v>1743.9672138300321</v>
      </c>
      <c r="AG142" s="2417">
        <f>'New split'!R284-'New split'!R275</f>
        <v>1789.6077107423109</v>
      </c>
      <c r="AH142" s="2417">
        <f>'New split'!S284-'New split'!S275</f>
        <v>1835.5600969513507</v>
      </c>
      <c r="AI142" s="2417">
        <f>'New split'!T284-'New split'!T275</f>
        <v>1879.3811174326343</v>
      </c>
      <c r="AJ142" s="2418"/>
      <c r="AK142" s="2418"/>
      <c r="AL142" s="2418"/>
      <c r="AM142" s="2418"/>
      <c r="AN142" s="2418"/>
      <c r="AO142" s="2414"/>
      <c r="AP142" s="2414"/>
      <c r="AQ142" s="2414"/>
      <c r="AR142" s="2414"/>
    </row>
    <row r="143" spans="1:44" ht="15.75">
      <c r="A143" s="2414"/>
      <c r="B143" s="2416" t="str">
        <f>B135</f>
        <v>South America</v>
      </c>
      <c r="C143" s="2417"/>
      <c r="D143" s="2417"/>
      <c r="E143" s="2417"/>
      <c r="F143" s="2417"/>
      <c r="G143" s="2417"/>
      <c r="H143" s="2417"/>
      <c r="I143" s="2417"/>
      <c r="J143" s="2417"/>
      <c r="K143" s="2417"/>
      <c r="L143" s="2417"/>
      <c r="M143" s="2417"/>
      <c r="N143" s="2417"/>
      <c r="O143" s="2417"/>
      <c r="P143" s="2417"/>
      <c r="Q143" s="2417"/>
      <c r="R143" s="2417"/>
      <c r="S143" s="2417"/>
      <c r="T143" s="2417">
        <f>'New split'!E291</f>
        <v>1046.7795242236348</v>
      </c>
      <c r="U143" s="2417">
        <f>'New split'!F291</f>
        <v>964.40670427766895</v>
      </c>
      <c r="V143" s="2417">
        <f>'New split'!G291</f>
        <v>998</v>
      </c>
      <c r="W143" s="2417">
        <f>'New split'!H291</f>
        <v>1063</v>
      </c>
      <c r="X143" s="2417">
        <f>'New split'!I291</f>
        <v>1057</v>
      </c>
      <c r="Y143" s="2417">
        <f>'New split'!J291</f>
        <v>936</v>
      </c>
      <c r="Z143" s="2417">
        <f>'New split'!K291</f>
        <v>932</v>
      </c>
      <c r="AA143" s="2417">
        <f>'New split'!L291</f>
        <v>889.75</v>
      </c>
      <c r="AB143" s="2417">
        <f>'New split'!M291</f>
        <v>939.47</v>
      </c>
      <c r="AC143" s="2417">
        <f>'New split'!N291</f>
        <v>1058.3029000000001</v>
      </c>
      <c r="AD143" s="2417">
        <f>'New split'!O291</f>
        <v>920.42204906104371</v>
      </c>
      <c r="AE143" s="2417">
        <f>'New split'!P291</f>
        <v>942.9347218537564</v>
      </c>
      <c r="AF143" s="2417">
        <f>'New split'!Q291</f>
        <v>964.54089341402266</v>
      </c>
      <c r="AG143" s="2417">
        <f>'New split'!R291</f>
        <v>989.37377179758562</v>
      </c>
      <c r="AH143" s="2417">
        <f>'New split'!S291</f>
        <v>1017.1673260698021</v>
      </c>
      <c r="AI143" s="2417">
        <f>'New split'!T291</f>
        <v>1043.902075395139</v>
      </c>
      <c r="AJ143" s="2418"/>
      <c r="AK143" s="2418"/>
      <c r="AL143" s="2418"/>
      <c r="AM143" s="2418"/>
      <c r="AN143" s="2418"/>
      <c r="AO143" s="2414"/>
      <c r="AP143" s="2414"/>
      <c r="AQ143" s="2414"/>
      <c r="AR143" s="2414"/>
    </row>
    <row r="144" spans="1:44" ht="15.75">
      <c r="A144" s="2414"/>
      <c r="B144" s="2416" t="str">
        <f>B136</f>
        <v>Africa</v>
      </c>
      <c r="C144" s="2417"/>
      <c r="D144" s="2417"/>
      <c r="E144" s="2417"/>
      <c r="F144" s="2417"/>
      <c r="G144" s="2417"/>
      <c r="H144" s="2417"/>
      <c r="I144" s="2417"/>
      <c r="J144" s="2417"/>
      <c r="K144" s="2417"/>
      <c r="L144" s="2417"/>
      <c r="M144" s="2417"/>
      <c r="N144" s="2417"/>
      <c r="O144" s="2417"/>
      <c r="P144" s="2417"/>
      <c r="Q144" s="2417"/>
      <c r="R144" s="2417"/>
      <c r="S144" s="2417"/>
      <c r="T144" s="2417">
        <f>'New split'!E301</f>
        <v>173.37915834064006</v>
      </c>
      <c r="U144" s="2417">
        <f>'New split'!F301</f>
        <v>257.2143048366446</v>
      </c>
      <c r="V144" s="2417">
        <f>'New split'!G301</f>
        <v>191</v>
      </c>
      <c r="W144" s="2417">
        <f>'New split'!H301</f>
        <v>160</v>
      </c>
      <c r="X144" s="2417">
        <f>'New split'!I301</f>
        <v>168.5</v>
      </c>
      <c r="Y144" s="2417">
        <f>'New split'!J301</f>
        <v>141</v>
      </c>
      <c r="Z144" s="2417">
        <f>'New split'!K301</f>
        <v>128</v>
      </c>
      <c r="AA144" s="2417">
        <f>'New split'!L301</f>
        <v>0</v>
      </c>
      <c r="AB144" s="2417">
        <f>'New split'!M301</f>
        <v>0</v>
      </c>
      <c r="AC144" s="2417">
        <f>'New split'!N301</f>
        <v>0</v>
      </c>
      <c r="AD144" s="2417">
        <f>'New split'!O301</f>
        <v>0</v>
      </c>
      <c r="AE144" s="2417">
        <f>'New split'!P301</f>
        <v>0</v>
      </c>
      <c r="AF144" s="2417">
        <f>'New split'!Q301</f>
        <v>0</v>
      </c>
      <c r="AG144" s="2417">
        <f>'New split'!R301</f>
        <v>0</v>
      </c>
      <c r="AH144" s="2417">
        <f>'New split'!S301</f>
        <v>0</v>
      </c>
      <c r="AI144" s="2417">
        <f>'New split'!T301</f>
        <v>0</v>
      </c>
      <c r="AJ144" s="2418"/>
      <c r="AK144" s="2418"/>
      <c r="AL144" s="2418"/>
      <c r="AM144" s="2418"/>
      <c r="AN144" s="2418"/>
      <c r="AO144" s="2414"/>
      <c r="AP144" s="2414"/>
      <c r="AQ144" s="2414"/>
      <c r="AR144" s="2414"/>
    </row>
    <row r="145" spans="1:44" ht="15.75">
      <c r="A145" s="2414"/>
      <c r="B145" s="2416" t="str">
        <f>B137</f>
        <v>Other</v>
      </c>
      <c r="C145" s="2417"/>
      <c r="D145" s="2417"/>
      <c r="E145" s="2417"/>
      <c r="F145" s="2417"/>
      <c r="G145" s="2417"/>
      <c r="H145" s="2417"/>
      <c r="I145" s="2417"/>
      <c r="J145" s="2417"/>
      <c r="K145" s="2417"/>
      <c r="L145" s="2417"/>
      <c r="M145" s="2417"/>
      <c r="N145" s="2417"/>
      <c r="O145" s="2417"/>
      <c r="P145" s="2417"/>
      <c r="Q145" s="2417"/>
      <c r="R145" s="2417"/>
      <c r="S145" s="2417"/>
      <c r="T145" s="2417">
        <f>'New split'!E303</f>
        <v>5.1981718232773346</v>
      </c>
      <c r="U145" s="2417">
        <f>'New split'!F303</f>
        <v>16.387847460263401</v>
      </c>
      <c r="V145" s="2417">
        <f>'New split'!G303</f>
        <v>12.676000000000045</v>
      </c>
      <c r="W145" s="2417">
        <f>'New split'!H303</f>
        <v>-46</v>
      </c>
      <c r="X145" s="2417">
        <f>'New split'!I303</f>
        <v>-42</v>
      </c>
      <c r="Y145" s="2417">
        <f>'New split'!J303</f>
        <v>0</v>
      </c>
      <c r="Z145" s="2417">
        <f>'New split'!K303</f>
        <v>0</v>
      </c>
      <c r="AA145" s="2417">
        <f>'New split'!L303</f>
        <v>0</v>
      </c>
      <c r="AB145" s="2417">
        <f>'New split'!M303</f>
        <v>0</v>
      </c>
      <c r="AC145" s="2417">
        <f>'New split'!N303</f>
        <v>0</v>
      </c>
      <c r="AD145" s="2417">
        <f>'New split'!O303</f>
        <v>-48.75</v>
      </c>
      <c r="AE145" s="2417">
        <f>'New split'!P303</f>
        <v>-97.5</v>
      </c>
      <c r="AF145" s="2417">
        <f>'New split'!Q303</f>
        <v>-97.5</v>
      </c>
      <c r="AG145" s="2417">
        <f>'New split'!R303</f>
        <v>-97.5</v>
      </c>
      <c r="AH145" s="2417">
        <f>'New split'!S303</f>
        <v>-97.5</v>
      </c>
      <c r="AI145" s="2417">
        <f>'New split'!T303</f>
        <v>-97.5</v>
      </c>
      <c r="AJ145" s="2418"/>
      <c r="AK145" s="2418"/>
      <c r="AL145" s="2418"/>
      <c r="AM145" s="2418"/>
      <c r="AN145" s="2418"/>
      <c r="AO145" s="2414"/>
      <c r="AP145" s="2414"/>
      <c r="AQ145" s="2414"/>
      <c r="AR145" s="2414"/>
    </row>
    <row r="146" spans="1:44" ht="15.75">
      <c r="A146" s="2414"/>
      <c r="B146" s="2416" t="s">
        <v>800</v>
      </c>
      <c r="C146" s="2417"/>
      <c r="D146" s="2417"/>
      <c r="E146" s="2417"/>
      <c r="F146" s="2417"/>
      <c r="G146" s="2417"/>
      <c r="H146" s="2417"/>
      <c r="I146" s="2417"/>
      <c r="J146" s="2417"/>
      <c r="K146" s="2417"/>
      <c r="L146" s="2417"/>
      <c r="M146" s="2417"/>
      <c r="N146" s="2417"/>
      <c r="O146" s="2417"/>
      <c r="P146" s="2417"/>
      <c r="Q146" s="2417"/>
      <c r="R146" s="2417"/>
      <c r="S146" s="2417"/>
      <c r="T146" s="2417">
        <f>'New split'!E304</f>
        <v>-204</v>
      </c>
      <c r="U146" s="2417">
        <f>'New split'!F304</f>
        <v>-165</v>
      </c>
      <c r="V146" s="2417">
        <f>'New split'!G304</f>
        <v>-147.67599999999999</v>
      </c>
      <c r="W146" s="2417">
        <f>'New split'!H304</f>
        <v>-150.63400000000001</v>
      </c>
      <c r="X146" s="2417">
        <f>'New split'!I304</f>
        <v>-150.72500000000002</v>
      </c>
      <c r="Y146" s="2417">
        <f>'New split'!J304</f>
        <v>-139</v>
      </c>
      <c r="Z146" s="2417">
        <f>'New split'!K304</f>
        <v>-155</v>
      </c>
      <c r="AA146" s="2417">
        <f>'New split'!L304</f>
        <v>-147.66770000000002</v>
      </c>
      <c r="AB146" s="2417">
        <f>'New split'!M304</f>
        <v>-225.49399999999997</v>
      </c>
      <c r="AC146" s="2417">
        <f ca="1">'New split'!N304</f>
        <v>-225.49399999999997</v>
      </c>
      <c r="AD146" s="2417">
        <f>'New split'!O304</f>
        <v>-150</v>
      </c>
      <c r="AE146" s="2417">
        <f>'New split'!P304</f>
        <v>-150</v>
      </c>
      <c r="AF146" s="2417">
        <f>'New split'!Q304</f>
        <v>-150</v>
      </c>
      <c r="AG146" s="2417">
        <f>'New split'!R304</f>
        <v>-150</v>
      </c>
      <c r="AH146" s="2417">
        <f>'New split'!S304</f>
        <v>-150</v>
      </c>
      <c r="AI146" s="2417">
        <f>'New split'!T304</f>
        <v>-150</v>
      </c>
      <c r="AJ146" s="2418"/>
      <c r="AK146" s="2418"/>
      <c r="AL146" s="2418"/>
      <c r="AM146" s="2418"/>
      <c r="AN146" s="2418"/>
      <c r="AO146" s="2414"/>
      <c r="AP146" s="2414"/>
      <c r="AQ146" s="2414"/>
      <c r="AR146" s="2414"/>
    </row>
    <row r="147" spans="1:44" ht="15.75">
      <c r="A147" s="2414"/>
      <c r="B147" s="2438" t="s">
        <v>2324</v>
      </c>
      <c r="C147" s="2440"/>
      <c r="D147" s="2440"/>
      <c r="E147" s="2440"/>
      <c r="F147" s="2440"/>
      <c r="G147" s="2440"/>
      <c r="H147" s="2440"/>
      <c r="I147" s="2440"/>
      <c r="J147" s="2440"/>
      <c r="K147" s="2440"/>
      <c r="L147" s="2440"/>
      <c r="M147" s="2440"/>
      <c r="N147" s="2440"/>
      <c r="O147" s="2440"/>
      <c r="P147" s="2440"/>
      <c r="Q147" s="2440"/>
      <c r="R147" s="2440"/>
      <c r="S147" s="2440"/>
      <c r="T147" s="2440">
        <f>'New split'!E305</f>
        <v>2178.1466739039001</v>
      </c>
      <c r="U147" s="2440">
        <f>'New split'!F305</f>
        <v>2171.4594493655409</v>
      </c>
      <c r="V147" s="2440">
        <f>'New split'!G305</f>
        <v>2200</v>
      </c>
      <c r="W147" s="2440">
        <f>'New split'!H305</f>
        <v>2182</v>
      </c>
      <c r="X147" s="2440">
        <f>'New split'!I305</f>
        <v>2550</v>
      </c>
      <c r="Y147" s="2440">
        <f>'New split'!J305</f>
        <v>2485</v>
      </c>
      <c r="Z147" s="2440">
        <f>'New split'!K305</f>
        <v>2613</v>
      </c>
      <c r="AA147" s="2440">
        <f>'New split'!L305</f>
        <v>2228.1349999999998</v>
      </c>
      <c r="AB147" s="2440">
        <f>'New split'!M305</f>
        <v>2111.2855</v>
      </c>
      <c r="AC147" s="2440">
        <f>'New split'!N305</f>
        <v>2468.6458000000002</v>
      </c>
      <c r="AD147" s="2440">
        <f>'New split'!O305</f>
        <v>2381.685419914671</v>
      </c>
      <c r="AE147" s="2440">
        <f>'New split'!P305</f>
        <v>2396.1990022089599</v>
      </c>
      <c r="AF147" s="2440">
        <f>'New split'!Q305</f>
        <v>2461.0081072440548</v>
      </c>
      <c r="AG147" s="2440">
        <f>'New split'!R305</f>
        <v>2531.4814825398967</v>
      </c>
      <c r="AH147" s="2440">
        <f>'New split'!S305</f>
        <v>2605.2274230211528</v>
      </c>
      <c r="AI147" s="2440">
        <f>'New split'!T305</f>
        <v>2675.7831928277733</v>
      </c>
      <c r="AJ147" s="2418"/>
      <c r="AK147" s="2418"/>
      <c r="AL147" s="2418"/>
      <c r="AM147" s="2418"/>
      <c r="AN147" s="2418"/>
      <c r="AO147" s="2414"/>
      <c r="AP147" s="2414"/>
      <c r="AQ147" s="2414"/>
      <c r="AR147" s="2414"/>
    </row>
    <row r="148" spans="1:44" ht="15.75">
      <c r="A148" s="2414"/>
      <c r="B148" s="2438"/>
      <c r="C148" s="2440"/>
      <c r="D148" s="2440"/>
      <c r="E148" s="2440"/>
      <c r="F148" s="2440"/>
      <c r="G148" s="2440"/>
      <c r="H148" s="2440"/>
      <c r="I148" s="2440"/>
      <c r="J148" s="2440"/>
      <c r="K148" s="2440"/>
      <c r="L148" s="2440"/>
      <c r="M148" s="2440"/>
      <c r="N148" s="2440"/>
      <c r="O148" s="2440"/>
      <c r="P148" s="2440"/>
      <c r="Q148" s="2440"/>
      <c r="R148" s="2440"/>
      <c r="S148" s="2440"/>
      <c r="T148" s="2440"/>
      <c r="U148" s="2440"/>
      <c r="V148" s="2440"/>
      <c r="W148" s="2440"/>
      <c r="X148" s="2440"/>
      <c r="Y148" s="2440"/>
      <c r="Z148" s="2440"/>
      <c r="AA148" s="2440"/>
      <c r="AB148" s="2440"/>
      <c r="AC148" s="2440"/>
      <c r="AD148" s="2440"/>
      <c r="AE148" s="2440"/>
      <c r="AF148" s="2440"/>
      <c r="AG148" s="2440"/>
      <c r="AH148" s="2440"/>
      <c r="AI148" s="2440"/>
      <c r="AJ148" s="2418"/>
      <c r="AK148" s="2418"/>
      <c r="AL148" s="2418"/>
      <c r="AM148" s="2418"/>
      <c r="AN148" s="2418"/>
      <c r="AO148" s="2414"/>
      <c r="AP148" s="2414"/>
      <c r="AQ148" s="2414"/>
      <c r="AR148" s="2414"/>
    </row>
    <row r="149" spans="1:44" ht="15.75">
      <c r="A149" s="2414"/>
      <c r="B149" s="2438" t="s">
        <v>1545</v>
      </c>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8"/>
      <c r="AK149" s="2418"/>
      <c r="AL149" s="2418"/>
      <c r="AM149" s="2418"/>
      <c r="AN149" s="2418"/>
      <c r="AO149" s="2414"/>
      <c r="AP149" s="2414"/>
      <c r="AQ149" s="2414"/>
      <c r="AR149" s="2414"/>
    </row>
    <row r="150" spans="1:44" ht="15.75">
      <c r="A150" s="2414"/>
      <c r="B150" s="2416" t="str">
        <f>B134</f>
        <v>Central America</v>
      </c>
      <c r="C150" s="2417"/>
      <c r="D150" s="2417"/>
      <c r="E150" s="2417"/>
      <c r="F150" s="2417"/>
      <c r="G150" s="2417" t="s">
        <v>1823</v>
      </c>
      <c r="H150" s="2417"/>
      <c r="I150" s="2417"/>
      <c r="J150" s="2417"/>
      <c r="K150" s="2417"/>
      <c r="L150" s="2417"/>
      <c r="M150" s="2417"/>
      <c r="N150" s="2417"/>
      <c r="O150" s="2417"/>
      <c r="P150" s="2417"/>
      <c r="Q150" s="2417"/>
      <c r="R150" s="2417"/>
      <c r="S150" s="2417"/>
      <c r="T150" s="2417">
        <f>'New split'!E430</f>
        <v>367.03691282025505</v>
      </c>
      <c r="U150" s="2417">
        <f>'New split'!F430</f>
        <v>344.88905752316475</v>
      </c>
      <c r="V150" s="2417">
        <f>'New split'!G430</f>
        <v>312</v>
      </c>
      <c r="W150" s="2417">
        <f>'New split'!H430</f>
        <v>295</v>
      </c>
      <c r="X150" s="2417">
        <f>'New split'!I430+'New split'!I435</f>
        <v>344.15</v>
      </c>
      <c r="Y150" s="2417">
        <f>'New split'!J430+'New split'!J435</f>
        <v>370.65421222436055</v>
      </c>
      <c r="Z150" s="2417">
        <f>'New split'!K430+'New split'!K435</f>
        <v>-97.837926212138399</v>
      </c>
      <c r="AA150" s="2417">
        <f>'New split'!L390</f>
        <v>519</v>
      </c>
      <c r="AB150" s="2417">
        <f>'New split'!M390</f>
        <v>534</v>
      </c>
      <c r="AC150" s="2417">
        <f>'New split'!N390</f>
        <v>478.00000000000006</v>
      </c>
      <c r="AD150" s="2417">
        <f>'New split'!O390</f>
        <v>518.85916198847178</v>
      </c>
      <c r="AE150" s="2417">
        <f>'New split'!P390</f>
        <v>507.89529010633237</v>
      </c>
      <c r="AF150" s="2417">
        <f>'New split'!Q390</f>
        <v>507.94587706271813</v>
      </c>
      <c r="AG150" s="2417">
        <f>'New split'!R390</f>
        <v>511.96221439164208</v>
      </c>
      <c r="AH150" s="2417">
        <f>'New split'!S390</f>
        <v>512.14646675397523</v>
      </c>
      <c r="AI150" s="2417">
        <f>'New split'!T390</f>
        <v>508.86224082686022</v>
      </c>
      <c r="AJ150" s="2418"/>
      <c r="AK150" s="2418"/>
      <c r="AL150" s="2418"/>
      <c r="AM150" s="2418"/>
      <c r="AN150" s="2418"/>
      <c r="AO150" s="2414"/>
      <c r="AP150" s="2414"/>
      <c r="AQ150" s="2414"/>
      <c r="AR150" s="2414"/>
    </row>
    <row r="151" spans="1:44" ht="15.75">
      <c r="A151" s="2414"/>
      <c r="B151" s="2416" t="str">
        <f>B135</f>
        <v>South America</v>
      </c>
      <c r="C151" s="2417"/>
      <c r="D151" s="2417"/>
      <c r="E151" s="2417"/>
      <c r="F151" s="2417"/>
      <c r="G151" s="2417" t="s">
        <v>1823</v>
      </c>
      <c r="H151" s="2417"/>
      <c r="I151" s="2417"/>
      <c r="J151" s="2417"/>
      <c r="K151" s="2417"/>
      <c r="L151" s="2417"/>
      <c r="M151" s="2417"/>
      <c r="N151" s="2417"/>
      <c r="O151" s="2417"/>
      <c r="P151" s="2417"/>
      <c r="Q151" s="2417"/>
      <c r="R151" s="2417"/>
      <c r="S151" s="2417"/>
      <c r="T151" s="2417">
        <f ca="1">'New split'!E431+'New split'!E432</f>
        <v>677.41388119110297</v>
      </c>
      <c r="U151" s="2417">
        <f ca="1">'New split'!F431+'New split'!F432</f>
        <v>521.64555807857937</v>
      </c>
      <c r="V151" s="2417">
        <f>'New split'!G431+'New split'!G432</f>
        <v>595</v>
      </c>
      <c r="W151" s="2417">
        <f>'New split'!H431+'New split'!H432</f>
        <v>657.4</v>
      </c>
      <c r="X151" s="2417">
        <f ca="1">'New split'!I431+'New split'!I432</f>
        <v>566</v>
      </c>
      <c r="Y151" s="2417">
        <f ca="1">'New split'!J431+'New split'!J432</f>
        <v>482</v>
      </c>
      <c r="Z151" s="2417">
        <f ca="1">'New split'!K431+'New split'!K432</f>
        <v>1111</v>
      </c>
      <c r="AA151" s="2417">
        <f>'New split'!L395</f>
        <v>508</v>
      </c>
      <c r="AB151" s="2417">
        <f>'New split'!M395</f>
        <v>350</v>
      </c>
      <c r="AC151" s="2417">
        <f>'New split'!N395</f>
        <v>289</v>
      </c>
      <c r="AD151" s="2417">
        <f>'New split'!O395</f>
        <v>267.31476285395445</v>
      </c>
      <c r="AE151" s="2417">
        <f>'New split'!P395</f>
        <v>257.54835716313153</v>
      </c>
      <c r="AF151" s="2417">
        <f>'New split'!Q395</f>
        <v>252.40989752324063</v>
      </c>
      <c r="AG151" s="2417">
        <f>'New split'!R395</f>
        <v>254.93233674238974</v>
      </c>
      <c r="AH151" s="2417">
        <f>'New split'!S395</f>
        <v>254.83624325788588</v>
      </c>
      <c r="AI151" s="2417">
        <f>'New split'!T395</f>
        <v>253.67285245769551</v>
      </c>
      <c r="AJ151" s="2418"/>
      <c r="AK151" s="2418"/>
      <c r="AL151" s="2418"/>
      <c r="AM151" s="2418"/>
      <c r="AN151" s="2418"/>
      <c r="AO151" s="2414"/>
      <c r="AP151" s="2414"/>
      <c r="AQ151" s="2414"/>
      <c r="AR151" s="2414"/>
    </row>
    <row r="152" spans="1:44" ht="15.75">
      <c r="A152" s="2414"/>
      <c r="B152" s="2416" t="str">
        <f>B136</f>
        <v>Africa</v>
      </c>
      <c r="C152" s="2417"/>
      <c r="D152" s="2417"/>
      <c r="E152" s="2417"/>
      <c r="F152" s="2417"/>
      <c r="G152" s="2417"/>
      <c r="H152" s="2417"/>
      <c r="I152" s="2417"/>
      <c r="J152" s="2417"/>
      <c r="K152" s="2417"/>
      <c r="L152" s="2417"/>
      <c r="M152" s="2417"/>
      <c r="N152" s="2417"/>
      <c r="O152" s="2417"/>
      <c r="P152" s="2417"/>
      <c r="Q152" s="2417"/>
      <c r="R152" s="2417"/>
      <c r="S152" s="2417"/>
      <c r="T152" s="2417">
        <f>'New split'!E433</f>
        <v>241.78884684581101</v>
      </c>
      <c r="U152" s="2417">
        <f>'New split'!F433</f>
        <v>160.3744063974942</v>
      </c>
      <c r="V152" s="2417">
        <f>'New split'!G433</f>
        <v>81</v>
      </c>
      <c r="W152" s="2417">
        <f>'New split'!H433</f>
        <v>41</v>
      </c>
      <c r="X152" s="2417">
        <f>'New split'!I433</f>
        <v>43</v>
      </c>
      <c r="Y152" s="2417">
        <f>'New split'!J433</f>
        <v>41</v>
      </c>
      <c r="Z152" s="2417">
        <f>'New split'!K433</f>
        <v>0</v>
      </c>
      <c r="AA152" s="2417">
        <f>'New split'!L433</f>
        <v>0</v>
      </c>
      <c r="AB152" s="2417">
        <f>'New split'!M433</f>
        <v>0</v>
      </c>
      <c r="AC152" s="2417">
        <f>'New split'!N433</f>
        <v>0</v>
      </c>
      <c r="AD152" s="2417">
        <f>'New split'!O433</f>
        <v>0</v>
      </c>
      <c r="AE152" s="2417">
        <f>'New split'!P433</f>
        <v>0</v>
      </c>
      <c r="AF152" s="2417">
        <f>'New split'!Q433</f>
        <v>0</v>
      </c>
      <c r="AG152" s="2417">
        <f>'New split'!R433</f>
        <v>0</v>
      </c>
      <c r="AH152" s="2417">
        <f>'New split'!S433</f>
        <v>0</v>
      </c>
      <c r="AI152" s="2417">
        <f>'New split'!T433</f>
        <v>0</v>
      </c>
      <c r="AJ152" s="2418"/>
      <c r="AK152" s="2418"/>
      <c r="AL152" s="2418"/>
      <c r="AM152" s="2418"/>
      <c r="AN152" s="2418"/>
      <c r="AO152" s="2414"/>
      <c r="AP152" s="2414"/>
      <c r="AQ152" s="2414"/>
      <c r="AR152" s="2414"/>
    </row>
    <row r="153" spans="1:44" ht="15.75">
      <c r="A153" s="2414"/>
      <c r="B153" s="2416" t="str">
        <f>B137</f>
        <v>Other</v>
      </c>
      <c r="C153" s="2417"/>
      <c r="D153" s="2417"/>
      <c r="E153" s="2417"/>
      <c r="F153" s="2417"/>
      <c r="G153" s="2417"/>
      <c r="H153" s="2417"/>
      <c r="I153" s="2417"/>
      <c r="J153" s="2417"/>
      <c r="K153" s="2417"/>
      <c r="L153" s="2417"/>
      <c r="M153" s="2417"/>
      <c r="N153" s="2417"/>
      <c r="O153" s="2417"/>
      <c r="P153" s="2417"/>
      <c r="Q153" s="2417"/>
      <c r="R153" s="2417"/>
      <c r="S153" s="2417"/>
      <c r="T153" s="2417">
        <f>'New split'!E436</f>
        <v>-13.331668624628946</v>
      </c>
      <c r="U153" s="2417">
        <f>'New split'!F436</f>
        <v>3.9757205164197558</v>
      </c>
      <c r="V153" s="2417">
        <f>'New split'!G436</f>
        <v>6</v>
      </c>
      <c r="W153" s="2417">
        <f>'New split'!H436</f>
        <v>4.5999999999999943</v>
      </c>
      <c r="X153" s="2417">
        <f>'New split'!I436</f>
        <v>12</v>
      </c>
      <c r="Y153" s="2417">
        <f>'New split'!J436</f>
        <v>7</v>
      </c>
      <c r="Z153" s="2417">
        <f>'New split'!K436</f>
        <v>0</v>
      </c>
      <c r="AA153" s="2417">
        <f>'New split'!L397</f>
        <v>24</v>
      </c>
      <c r="AB153" s="2417">
        <f>'New split'!M397</f>
        <v>28</v>
      </c>
      <c r="AC153" s="2417">
        <f>'New split'!N397</f>
        <v>-15.000000000000057</v>
      </c>
      <c r="AD153" s="2417">
        <f>'New split'!O397</f>
        <v>-13.874468660239904</v>
      </c>
      <c r="AE153" s="2417">
        <f>'New split'!P397</f>
        <v>-13.367561790474007</v>
      </c>
      <c r="AF153" s="2417">
        <f>'New split'!Q397</f>
        <v>-13.10085973304022</v>
      </c>
      <c r="AG153" s="2417">
        <f>'New split'!R397</f>
        <v>-13.231782183861108</v>
      </c>
      <c r="AH153" s="2417">
        <f>'New split'!S397</f>
        <v>-13.226794632762292</v>
      </c>
      <c r="AI153" s="2417">
        <f>'New split'!T397</f>
        <v>-13.166411027216078</v>
      </c>
      <c r="AJ153" s="2418"/>
      <c r="AK153" s="2418"/>
      <c r="AL153" s="2418"/>
      <c r="AM153" s="2418"/>
      <c r="AN153" s="2418"/>
      <c r="AO153" s="2414"/>
      <c r="AP153" s="2414"/>
      <c r="AQ153" s="2414"/>
      <c r="AR153" s="2414"/>
    </row>
    <row r="154" spans="1:44" ht="15.75">
      <c r="A154" s="2414"/>
      <c r="B154" s="2416" t="s">
        <v>9118</v>
      </c>
      <c r="C154" s="2417"/>
      <c r="D154" s="2417"/>
      <c r="E154" s="2417"/>
      <c r="F154" s="2417"/>
      <c r="G154" s="2417"/>
      <c r="H154" s="2417"/>
      <c r="I154" s="2417"/>
      <c r="J154" s="2417"/>
      <c r="K154" s="2417"/>
      <c r="L154" s="2417"/>
      <c r="M154" s="2417"/>
      <c r="N154" s="2417"/>
      <c r="O154" s="2417"/>
      <c r="P154" s="2417"/>
      <c r="Q154" s="2417"/>
      <c r="R154" s="2417"/>
      <c r="S154" s="2417"/>
      <c r="T154" s="2417">
        <f>-'New split'!E385</f>
        <v>0</v>
      </c>
      <c r="U154" s="2417">
        <f>-'New split'!F385</f>
        <v>0</v>
      </c>
      <c r="V154" s="2417">
        <f>-'New split'!G385</f>
        <v>0</v>
      </c>
      <c r="W154" s="2417">
        <f>-'New split'!H385</f>
        <v>0</v>
      </c>
      <c r="X154" s="2417">
        <f>-'New split'!I385</f>
        <v>0</v>
      </c>
      <c r="Y154" s="2417">
        <f>-'New split'!J385</f>
        <v>0</v>
      </c>
      <c r="Z154" s="2417">
        <f>-'New split'!K385</f>
        <v>0</v>
      </c>
      <c r="AA154" s="2417">
        <f>-'New split'!L385</f>
        <v>-78</v>
      </c>
      <c r="AB154" s="2417">
        <f>-'New split'!M385</f>
        <v>-103</v>
      </c>
      <c r="AC154" s="2417">
        <f>-'New split'!N385</f>
        <v>-75</v>
      </c>
      <c r="AD154" s="2417">
        <f>-'New split'!O385</f>
        <v>-92.130999216796837</v>
      </c>
      <c r="AE154" s="2417">
        <f>-'New split'!P385</f>
        <v>-93.906009303411182</v>
      </c>
      <c r="AF154" s="2417">
        <f>-'New split'!Q385</f>
        <v>-92.525156686626673</v>
      </c>
      <c r="AG154" s="2417">
        <f>-'New split'!R385</f>
        <v>-91.056644742620321</v>
      </c>
      <c r="AH154" s="2417">
        <f>-'New split'!S385</f>
        <v>-89.085769591450969</v>
      </c>
      <c r="AI154" s="2417">
        <f>-'New split'!T385</f>
        <v>-87.038098688963927</v>
      </c>
      <c r="AJ154" s="2418"/>
      <c r="AK154" s="2418"/>
      <c r="AL154" s="2418"/>
      <c r="AM154" s="2418"/>
      <c r="AN154" s="2418"/>
      <c r="AO154" s="2414"/>
      <c r="AP154" s="2414"/>
      <c r="AQ154" s="2414"/>
      <c r="AR154" s="2414"/>
    </row>
    <row r="155" spans="1:44" ht="15.75">
      <c r="A155" s="2414"/>
      <c r="B155" s="2438" t="s">
        <v>2324</v>
      </c>
      <c r="C155" s="2440"/>
      <c r="D155" s="2440"/>
      <c r="E155" s="2440"/>
      <c r="F155" s="2440"/>
      <c r="G155" s="2440"/>
      <c r="H155" s="2440"/>
      <c r="I155" s="2440"/>
      <c r="J155" s="2440"/>
      <c r="K155" s="2440"/>
      <c r="L155" s="2440"/>
      <c r="M155" s="2440"/>
      <c r="N155" s="2440"/>
      <c r="O155" s="2440"/>
      <c r="P155" s="2440"/>
      <c r="Q155" s="2440"/>
      <c r="R155" s="2440"/>
      <c r="S155" s="2440"/>
      <c r="T155" s="2440">
        <f ca="1">'New split'!E437</f>
        <v>1272.90797223254</v>
      </c>
      <c r="U155" s="2440">
        <f ca="1">'New split'!F437</f>
        <v>1030.8847425156582</v>
      </c>
      <c r="V155" s="2440">
        <f>'New split'!G437</f>
        <v>994</v>
      </c>
      <c r="W155" s="2440">
        <f>'New split'!H437</f>
        <v>998.00000000000011</v>
      </c>
      <c r="X155" s="2440">
        <f ca="1">'New split'!I437</f>
        <v>1056</v>
      </c>
      <c r="Y155" s="2440">
        <f ca="1">'New split'!J437</f>
        <v>990</v>
      </c>
      <c r="Z155" s="2440">
        <f ca="1">'New split'!K437</f>
        <v>1111</v>
      </c>
      <c r="AA155" s="2440">
        <f>'New split'!L398</f>
        <v>973</v>
      </c>
      <c r="AB155" s="2440">
        <f>'New split'!M398</f>
        <v>809</v>
      </c>
      <c r="AC155" s="2440">
        <f>'New split'!N398</f>
        <v>677</v>
      </c>
      <c r="AD155" s="2440">
        <f>'New split'!O398</f>
        <v>680.1684569653894</v>
      </c>
      <c r="AE155" s="2440">
        <f>'New split'!P398</f>
        <v>658.17007617557863</v>
      </c>
      <c r="AF155" s="2440">
        <f>'New split'!Q398</f>
        <v>654.72975816629184</v>
      </c>
      <c r="AG155" s="2440">
        <f>'New split'!R398</f>
        <v>662.60612420755035</v>
      </c>
      <c r="AH155" s="2440">
        <f>'New split'!S398</f>
        <v>664.67014578764781</v>
      </c>
      <c r="AI155" s="2440">
        <f>'New split'!T398</f>
        <v>662.33058356837569</v>
      </c>
      <c r="AJ155" s="2418"/>
      <c r="AK155" s="2418"/>
      <c r="AL155" s="2418"/>
      <c r="AM155" s="2418"/>
      <c r="AN155" s="2418"/>
      <c r="AO155" s="2414"/>
      <c r="AP155" s="2414"/>
      <c r="AQ155" s="2414"/>
      <c r="AR155" s="2414"/>
    </row>
    <row r="156" spans="1:44" ht="15.75">
      <c r="A156" s="2414"/>
      <c r="B156" s="2441"/>
      <c r="C156" s="2417"/>
      <c r="D156" s="2417"/>
      <c r="E156" s="2417"/>
      <c r="F156" s="2417"/>
      <c r="G156" s="2417"/>
      <c r="H156" s="2417"/>
      <c r="I156" s="2417"/>
      <c r="J156" s="2417"/>
      <c r="K156" s="2417"/>
      <c r="L156" s="2417"/>
      <c r="M156" s="2417"/>
      <c r="N156" s="2417"/>
      <c r="O156" s="2417"/>
      <c r="P156" s="2417"/>
      <c r="Q156" s="2417"/>
      <c r="R156" s="2417"/>
      <c r="S156" s="2417"/>
      <c r="T156" s="2417"/>
      <c r="U156" s="2417"/>
      <c r="V156" s="2417"/>
      <c r="W156" s="2417"/>
      <c r="X156" s="2417"/>
      <c r="Y156" s="2417"/>
      <c r="Z156" s="2417"/>
      <c r="AA156" s="2417"/>
      <c r="AB156" s="2417"/>
      <c r="AC156" s="2417"/>
      <c r="AD156" s="2417"/>
      <c r="AE156" s="2417"/>
      <c r="AF156" s="2417"/>
      <c r="AG156" s="2417"/>
      <c r="AH156" s="2417"/>
      <c r="AI156" s="2417"/>
      <c r="AJ156" s="2418"/>
      <c r="AK156" s="2418"/>
      <c r="AL156" s="2418"/>
      <c r="AM156" s="2418"/>
      <c r="AN156" s="2418"/>
      <c r="AO156" s="2414"/>
      <c r="AP156" s="2414"/>
      <c r="AQ156" s="2414"/>
      <c r="AR156" s="2414"/>
    </row>
    <row r="157" spans="1:44" ht="15.75">
      <c r="A157" s="2414"/>
      <c r="B157" s="2441"/>
      <c r="C157" s="2417"/>
      <c r="D157" s="2417"/>
      <c r="E157" s="2417"/>
      <c r="F157" s="2417"/>
      <c r="G157" s="2417"/>
      <c r="H157" s="2417"/>
      <c r="I157" s="2417"/>
      <c r="J157" s="2417"/>
      <c r="K157" s="2417"/>
      <c r="L157" s="2417"/>
      <c r="M157" s="2417"/>
      <c r="N157" s="2417"/>
      <c r="O157" s="2417"/>
      <c r="P157" s="2417"/>
      <c r="Q157" s="2417"/>
      <c r="R157" s="2417"/>
      <c r="S157" s="2417"/>
      <c r="T157" s="2417"/>
      <c r="U157" s="2417"/>
      <c r="V157" s="2417"/>
      <c r="W157" s="2417"/>
      <c r="X157" s="2417"/>
      <c r="Y157" s="2417"/>
      <c r="Z157" s="2417"/>
      <c r="AA157" s="2417"/>
      <c r="AB157" s="2417"/>
      <c r="AC157" s="2417"/>
      <c r="AD157" s="2417"/>
      <c r="AE157" s="2417"/>
      <c r="AF157" s="2417"/>
      <c r="AG157" s="2417"/>
      <c r="AH157" s="2417"/>
      <c r="AI157" s="2417"/>
      <c r="AJ157" s="2418"/>
      <c r="AK157" s="2418"/>
      <c r="AL157" s="2418"/>
      <c r="AM157" s="2418"/>
      <c r="AN157" s="2418"/>
      <c r="AO157" s="2414"/>
      <c r="AP157" s="2414"/>
      <c r="AQ157" s="2414"/>
      <c r="AR157" s="2414"/>
    </row>
    <row r="158" spans="1:44" ht="15.75">
      <c r="A158" s="2414"/>
      <c r="B158" s="2441"/>
      <c r="C158" s="2417"/>
      <c r="D158" s="2417"/>
      <c r="E158" s="2417"/>
      <c r="F158" s="2417"/>
      <c r="G158" s="2417"/>
      <c r="H158" s="2417"/>
      <c r="I158" s="2417"/>
      <c r="J158" s="2417"/>
      <c r="K158" s="2417"/>
      <c r="L158" s="2417"/>
      <c r="M158" s="2417"/>
      <c r="N158" s="2417"/>
      <c r="O158" s="2417"/>
      <c r="P158" s="2417"/>
      <c r="Q158" s="2417"/>
      <c r="R158" s="2417"/>
      <c r="S158" s="2417"/>
      <c r="T158" s="2417"/>
      <c r="U158" s="2417"/>
      <c r="V158" s="2417"/>
      <c r="W158" s="2417"/>
      <c r="X158" s="2417"/>
      <c r="Y158" s="2417"/>
      <c r="Z158" s="2417"/>
      <c r="AA158" s="2417"/>
      <c r="AB158" s="2417"/>
      <c r="AC158" s="2417"/>
      <c r="AD158" s="2417"/>
      <c r="AE158" s="2417"/>
      <c r="AF158" s="2417"/>
      <c r="AG158" s="2417"/>
      <c r="AH158" s="2417"/>
      <c r="AI158" s="2417"/>
      <c r="AJ158" s="2418"/>
      <c r="AK158" s="2418"/>
      <c r="AL158" s="2418"/>
      <c r="AM158" s="2418"/>
      <c r="AN158" s="2418"/>
      <c r="AO158" s="2414"/>
      <c r="AP158" s="2414"/>
      <c r="AQ158" s="2414"/>
      <c r="AR158" s="2414"/>
    </row>
    <row r="159" spans="1:44" ht="15.75">
      <c r="A159" s="2414"/>
      <c r="B159" s="2441" t="s">
        <v>910</v>
      </c>
      <c r="C159" s="2417"/>
      <c r="D159" s="2417"/>
      <c r="E159" s="2417"/>
      <c r="F159" s="2417"/>
      <c r="G159" s="2417"/>
      <c r="H159" s="2417"/>
      <c r="I159" s="2417"/>
      <c r="J159" s="2417"/>
      <c r="K159" s="2417"/>
      <c r="L159" s="2417"/>
      <c r="M159" s="2417"/>
      <c r="N159" s="2417"/>
      <c r="O159" s="2417"/>
      <c r="P159" s="2417"/>
      <c r="Q159" s="2417"/>
      <c r="R159" s="2417"/>
      <c r="S159" s="2417"/>
      <c r="T159" s="2417"/>
      <c r="U159" s="2417"/>
      <c r="V159" s="2417"/>
      <c r="W159" s="2417"/>
      <c r="X159" s="2417"/>
      <c r="Y159" s="2417"/>
      <c r="Z159" s="2417"/>
      <c r="AA159" s="2417"/>
      <c r="AB159" s="2417"/>
      <c r="AC159" s="2417"/>
      <c r="AD159" s="2417"/>
      <c r="AE159" s="2417"/>
      <c r="AF159" s="2417"/>
      <c r="AG159" s="2417"/>
      <c r="AH159" s="2417"/>
      <c r="AI159" s="2417"/>
      <c r="AJ159" s="2418"/>
      <c r="AK159" s="2418"/>
      <c r="AL159" s="2418"/>
      <c r="AM159" s="2418"/>
      <c r="AN159" s="2418"/>
      <c r="AO159" s="2414"/>
      <c r="AP159" s="2414"/>
      <c r="AQ159" s="2414"/>
      <c r="AR159" s="2414"/>
    </row>
    <row r="160" spans="1:44" ht="15.75">
      <c r="A160" s="2414"/>
      <c r="B160" s="2414"/>
      <c r="C160" s="2417"/>
      <c r="D160" s="2417"/>
      <c r="E160" s="2417"/>
      <c r="F160" s="2417"/>
      <c r="G160" s="2417"/>
      <c r="H160" s="2417"/>
      <c r="I160" s="2417"/>
      <c r="J160" s="2417"/>
      <c r="K160" s="2417"/>
      <c r="L160" s="2417"/>
      <c r="M160" s="2417"/>
      <c r="N160" s="2417"/>
      <c r="O160" s="2417"/>
      <c r="P160" s="2417"/>
      <c r="Q160" s="2417"/>
      <c r="R160" s="2417"/>
      <c r="S160" s="2417"/>
      <c r="T160" s="2417"/>
      <c r="U160" s="2417"/>
      <c r="V160" s="2417"/>
      <c r="W160" s="2417"/>
      <c r="X160" s="2417"/>
      <c r="Y160" s="2417"/>
      <c r="Z160" s="2417"/>
      <c r="AA160" s="2417"/>
      <c r="AB160" s="2417"/>
      <c r="AC160" s="2417"/>
      <c r="AD160" s="2417"/>
      <c r="AE160" s="2417"/>
      <c r="AF160" s="2417"/>
      <c r="AG160" s="2417"/>
      <c r="AH160" s="2417"/>
      <c r="AI160" s="2417"/>
      <c r="AJ160" s="2418"/>
      <c r="AK160" s="2418"/>
      <c r="AL160" s="2418"/>
      <c r="AM160" s="2418"/>
      <c r="AN160" s="2418"/>
      <c r="AO160" s="2414"/>
      <c r="AP160" s="2414"/>
      <c r="AQ160" s="2414"/>
      <c r="AR160" s="2414"/>
    </row>
    <row r="161" spans="1:44" ht="15.75">
      <c r="A161" s="2414"/>
      <c r="B161" s="2414"/>
      <c r="C161" s="2417"/>
      <c r="D161" s="2417"/>
      <c r="E161" s="2417"/>
      <c r="F161" s="2417"/>
      <c r="G161" s="2417"/>
      <c r="H161" s="2417"/>
      <c r="I161" s="2417"/>
      <c r="J161" s="2417"/>
      <c r="K161" s="2417"/>
      <c r="L161" s="2417"/>
      <c r="M161" s="2417"/>
      <c r="N161" s="2417"/>
      <c r="O161" s="2417"/>
      <c r="P161" s="2417"/>
      <c r="Q161" s="2417"/>
      <c r="R161" s="2417"/>
      <c r="S161" s="2417"/>
      <c r="T161" s="2417"/>
      <c r="U161" s="2417"/>
      <c r="V161" s="2417"/>
      <c r="W161" s="2417"/>
      <c r="X161" s="2417"/>
      <c r="Y161" s="2417"/>
      <c r="Z161" s="2417"/>
      <c r="AA161" s="2417"/>
      <c r="AB161" s="2417"/>
      <c r="AC161" s="2417"/>
      <c r="AD161" s="2417"/>
      <c r="AE161" s="2417"/>
      <c r="AF161" s="2417"/>
      <c r="AG161" s="2417"/>
      <c r="AH161" s="2417"/>
      <c r="AI161" s="2417"/>
      <c r="AJ161" s="2418"/>
      <c r="AK161" s="2418"/>
      <c r="AL161" s="2418"/>
      <c r="AM161" s="2418"/>
      <c r="AN161" s="2418"/>
      <c r="AO161" s="2414"/>
      <c r="AP161" s="2414"/>
      <c r="AQ161" s="2414"/>
      <c r="AR161" s="2414"/>
    </row>
    <row r="162" spans="1:44" ht="15.75">
      <c r="A162" s="2414"/>
      <c r="B162" s="2414"/>
      <c r="C162" s="2419"/>
      <c r="D162" s="2419"/>
      <c r="E162" s="2420"/>
      <c r="F162" s="2420"/>
      <c r="G162" s="2420"/>
      <c r="H162" s="2420"/>
      <c r="I162" s="2420"/>
      <c r="J162" s="2420"/>
      <c r="K162" s="2420"/>
      <c r="L162" s="2420"/>
      <c r="M162" s="2420"/>
      <c r="N162" s="2420"/>
      <c r="O162" s="2419"/>
      <c r="P162" s="2419"/>
      <c r="Q162" s="2419"/>
      <c r="R162" s="2419"/>
      <c r="S162" s="2419"/>
      <c r="T162" s="2419"/>
      <c r="U162" s="2419"/>
      <c r="V162" s="2419"/>
      <c r="W162" s="2419"/>
      <c r="X162" s="2419"/>
      <c r="Y162" s="2419"/>
      <c r="Z162" s="2419"/>
      <c r="AA162" s="2419"/>
      <c r="AB162" s="2419"/>
      <c r="AC162" s="2419"/>
      <c r="AD162" s="2419"/>
      <c r="AE162" s="2419"/>
      <c r="AF162" s="2419"/>
      <c r="AG162" s="2419"/>
      <c r="AH162" s="2419"/>
      <c r="AI162" s="2419"/>
      <c r="AJ162" s="2418"/>
      <c r="AK162" s="2418"/>
      <c r="AL162" s="2418"/>
      <c r="AM162" s="2418"/>
      <c r="AN162" s="2418"/>
      <c r="AO162" s="2414"/>
      <c r="AP162" s="2414"/>
      <c r="AQ162" s="2414"/>
      <c r="AR162" s="2414"/>
    </row>
    <row r="163" spans="1:44" ht="15.75">
      <c r="A163" s="2414"/>
      <c r="B163" s="2414"/>
      <c r="C163" s="2419"/>
      <c r="D163" s="2419"/>
      <c r="E163" s="2442"/>
      <c r="F163" s="2442"/>
      <c r="G163" s="2442"/>
      <c r="H163" s="2442"/>
      <c r="I163" s="2442"/>
      <c r="J163" s="2442"/>
      <c r="K163" s="2442"/>
      <c r="L163" s="2442"/>
      <c r="M163" s="2442"/>
      <c r="N163" s="2442"/>
      <c r="O163" s="2419"/>
      <c r="P163" s="2419"/>
      <c r="Q163" s="2419"/>
      <c r="R163" s="2419"/>
      <c r="S163" s="2419"/>
      <c r="T163" s="2419"/>
      <c r="U163" s="2419"/>
      <c r="V163" s="2419"/>
      <c r="W163" s="2419"/>
      <c r="X163" s="2419"/>
      <c r="Y163" s="2419"/>
      <c r="Z163" s="2419"/>
      <c r="AA163" s="2419"/>
      <c r="AB163" s="2419"/>
      <c r="AC163" s="2419"/>
      <c r="AD163" s="2419"/>
      <c r="AE163" s="2419"/>
      <c r="AF163" s="2419"/>
      <c r="AG163" s="2419"/>
      <c r="AH163" s="2419"/>
      <c r="AI163" s="2419"/>
      <c r="AJ163" s="2418"/>
      <c r="AK163" s="2418"/>
      <c r="AL163" s="2418"/>
      <c r="AM163" s="2418"/>
      <c r="AN163" s="2418"/>
      <c r="AO163" s="2414"/>
      <c r="AP163" s="2414"/>
      <c r="AQ163" s="2414"/>
      <c r="AR163" s="2414"/>
    </row>
    <row r="164" spans="1:44" ht="15.75">
      <c r="A164" s="2414"/>
      <c r="B164" s="2414"/>
      <c r="C164" s="2419"/>
      <c r="D164" s="2419"/>
      <c r="E164" s="2442"/>
      <c r="F164" s="2442"/>
      <c r="G164" s="2442"/>
      <c r="H164" s="2442"/>
      <c r="I164" s="2442"/>
      <c r="J164" s="2442"/>
      <c r="K164" s="2442"/>
      <c r="L164" s="2442"/>
      <c r="M164" s="2442"/>
      <c r="N164" s="2442"/>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2419"/>
      <c r="AJ164" s="2418"/>
      <c r="AK164" s="2418"/>
      <c r="AL164" s="2418"/>
      <c r="AM164" s="2418"/>
      <c r="AN164" s="2418"/>
      <c r="AO164" s="2414"/>
      <c r="AP164" s="2414"/>
      <c r="AQ164" s="2414"/>
      <c r="AR164" s="2414"/>
    </row>
    <row r="165" spans="1:44" ht="15.75">
      <c r="A165" s="2414"/>
      <c r="B165" s="2414"/>
      <c r="C165" s="2419"/>
      <c r="D165" s="2419"/>
      <c r="E165" s="2442"/>
      <c r="F165" s="2442"/>
      <c r="G165" s="2442"/>
      <c r="H165" s="2442"/>
      <c r="I165" s="2442"/>
      <c r="J165" s="2442"/>
      <c r="K165" s="2442"/>
      <c r="L165" s="2442"/>
      <c r="M165" s="2442"/>
      <c r="N165" s="2442"/>
      <c r="O165" s="2419"/>
      <c r="P165" s="2419"/>
      <c r="Q165" s="2419"/>
      <c r="R165" s="2419"/>
      <c r="S165" s="2419"/>
      <c r="T165" s="2419"/>
      <c r="U165" s="2419"/>
      <c r="V165" s="2419"/>
      <c r="W165" s="2419"/>
      <c r="X165" s="2419"/>
      <c r="Y165" s="2419"/>
      <c r="Z165" s="2419"/>
      <c r="AA165" s="2419"/>
      <c r="AB165" s="2419"/>
      <c r="AC165" s="2419"/>
      <c r="AD165" s="2419"/>
      <c r="AE165" s="2419"/>
      <c r="AF165" s="2419"/>
      <c r="AG165" s="2419"/>
      <c r="AH165" s="2419"/>
      <c r="AI165" s="2419"/>
      <c r="AJ165" s="2418"/>
      <c r="AK165" s="2418"/>
      <c r="AL165" s="2418"/>
      <c r="AM165" s="2418"/>
      <c r="AN165" s="2418"/>
      <c r="AO165" s="2414"/>
      <c r="AP165" s="2414"/>
      <c r="AQ165" s="2414"/>
      <c r="AR165" s="2414"/>
    </row>
    <row r="166" spans="1:44" ht="15.75">
      <c r="A166" s="2414"/>
      <c r="B166" s="2414" t="s">
        <v>2324</v>
      </c>
      <c r="C166" s="2419"/>
      <c r="D166" s="2419"/>
      <c r="E166" s="2442"/>
      <c r="F166" s="2442"/>
      <c r="G166" s="2442"/>
      <c r="H166" s="2442"/>
      <c r="I166" s="2442"/>
      <c r="J166" s="2442"/>
      <c r="K166" s="2442"/>
      <c r="L166" s="2442"/>
      <c r="M166" s="2442"/>
      <c r="N166" s="2442"/>
      <c r="O166" s="2419"/>
      <c r="P166" s="2419"/>
      <c r="Q166" s="2419"/>
      <c r="R166" s="2419"/>
      <c r="S166" s="2419"/>
      <c r="T166" s="2419"/>
      <c r="U166" s="2419"/>
      <c r="V166" s="2419"/>
      <c r="W166" s="2419"/>
      <c r="X166" s="2419"/>
      <c r="Y166" s="2419"/>
      <c r="Z166" s="2419"/>
      <c r="AA166" s="2419"/>
      <c r="AB166" s="2419"/>
      <c r="AC166" s="2419"/>
      <c r="AD166" s="2419"/>
      <c r="AE166" s="2419"/>
      <c r="AF166" s="2419"/>
      <c r="AG166" s="2419"/>
      <c r="AH166" s="2419"/>
      <c r="AI166" s="2419"/>
      <c r="AJ166" s="2418"/>
      <c r="AK166" s="2418"/>
      <c r="AL166" s="2418"/>
      <c r="AM166" s="2418"/>
      <c r="AN166" s="2418"/>
      <c r="AO166" s="2414"/>
      <c r="AP166" s="2414"/>
      <c r="AQ166" s="2414"/>
      <c r="AR166" s="2414"/>
    </row>
    <row r="167" spans="1:44" ht="15.75">
      <c r="A167" s="2414"/>
      <c r="B167" s="2441" t="s">
        <v>911</v>
      </c>
      <c r="C167" s="2439"/>
      <c r="D167" s="2439"/>
      <c r="E167" s="2442"/>
      <c r="F167" s="2442"/>
      <c r="G167" s="2442"/>
      <c r="H167" s="2442"/>
      <c r="I167" s="2442"/>
      <c r="J167" s="2442"/>
      <c r="K167" s="2442"/>
      <c r="L167" s="2442"/>
      <c r="M167" s="2442"/>
      <c r="N167" s="2442"/>
      <c r="O167" s="2419"/>
      <c r="P167" s="2419"/>
      <c r="Q167" s="2419"/>
      <c r="R167" s="2419"/>
      <c r="S167" s="2419"/>
      <c r="T167" s="2419"/>
      <c r="U167" s="2419"/>
      <c r="V167" s="2419"/>
      <c r="W167" s="2419"/>
      <c r="X167" s="2419"/>
      <c r="Y167" s="2419"/>
      <c r="Z167" s="2419"/>
      <c r="AA167" s="2419"/>
      <c r="AB167" s="2419"/>
      <c r="AC167" s="2419"/>
      <c r="AD167" s="2419"/>
      <c r="AE167" s="2419"/>
      <c r="AF167" s="2419"/>
      <c r="AG167" s="2419"/>
      <c r="AH167" s="2419"/>
      <c r="AI167" s="2419"/>
      <c r="AJ167" s="2418"/>
      <c r="AK167" s="2418"/>
      <c r="AL167" s="2418"/>
      <c r="AM167" s="2418"/>
      <c r="AN167" s="2418"/>
      <c r="AO167" s="2414"/>
      <c r="AP167" s="2414"/>
      <c r="AQ167" s="2414"/>
      <c r="AR167" s="2414"/>
    </row>
    <row r="168" spans="1:44" ht="15.75">
      <c r="A168" s="2414"/>
      <c r="B168" s="2414"/>
      <c r="C168" s="2419"/>
      <c r="D168" s="2419"/>
      <c r="E168" s="2442"/>
      <c r="F168" s="2442"/>
      <c r="G168" s="2442"/>
      <c r="H168" s="2442"/>
      <c r="I168" s="2442"/>
      <c r="J168" s="2442"/>
      <c r="K168" s="2442"/>
      <c r="L168" s="2442"/>
      <c r="M168" s="2442"/>
      <c r="N168" s="2442"/>
      <c r="O168" s="2419"/>
      <c r="P168" s="2419"/>
      <c r="Q168" s="2419"/>
      <c r="R168" s="2419"/>
      <c r="S168" s="2419"/>
      <c r="T168" s="2419"/>
      <c r="U168" s="2419"/>
      <c r="V168" s="2419"/>
      <c r="W168" s="2419"/>
      <c r="X168" s="2419"/>
      <c r="Y168" s="2419"/>
      <c r="Z168" s="2419"/>
      <c r="AA168" s="2419"/>
      <c r="AB168" s="2419"/>
      <c r="AC168" s="2419"/>
      <c r="AD168" s="2419"/>
      <c r="AE168" s="2419"/>
      <c r="AF168" s="2419"/>
      <c r="AG168" s="2419"/>
      <c r="AH168" s="2419"/>
      <c r="AI168" s="2419"/>
      <c r="AJ168" s="2418"/>
      <c r="AK168" s="2418"/>
      <c r="AL168" s="2418"/>
      <c r="AM168" s="2418"/>
      <c r="AN168" s="2418"/>
      <c r="AO168" s="2414"/>
      <c r="AP168" s="2414"/>
      <c r="AQ168" s="2414"/>
      <c r="AR168" s="2414"/>
    </row>
    <row r="169" spans="1:44" ht="15.75">
      <c r="A169" s="2414"/>
      <c r="B169" s="2414"/>
      <c r="C169" s="2419"/>
      <c r="D169" s="2419"/>
      <c r="E169" s="2442"/>
      <c r="F169" s="2442"/>
      <c r="G169" s="2442"/>
      <c r="H169" s="2442"/>
      <c r="I169" s="2442"/>
      <c r="J169" s="2442"/>
      <c r="K169" s="2442"/>
      <c r="L169" s="2442"/>
      <c r="M169" s="2442"/>
      <c r="N169" s="2442"/>
      <c r="O169" s="2419"/>
      <c r="P169" s="2419"/>
      <c r="Q169" s="2419"/>
      <c r="R169" s="2419"/>
      <c r="S169" s="2419"/>
      <c r="T169" s="2419"/>
      <c r="U169" s="2419"/>
      <c r="V169" s="2419"/>
      <c r="W169" s="2419"/>
      <c r="X169" s="2419"/>
      <c r="Y169" s="2419"/>
      <c r="Z169" s="2419"/>
      <c r="AA169" s="2419"/>
      <c r="AB169" s="2419"/>
      <c r="AC169" s="2419"/>
      <c r="AD169" s="2419"/>
      <c r="AE169" s="2419"/>
      <c r="AF169" s="2419"/>
      <c r="AG169" s="2419"/>
      <c r="AH169" s="2419"/>
      <c r="AI169" s="2419"/>
      <c r="AJ169" s="2418"/>
      <c r="AK169" s="2418"/>
      <c r="AL169" s="2418"/>
      <c r="AM169" s="2418"/>
      <c r="AN169" s="2418"/>
      <c r="AO169" s="2414"/>
      <c r="AP169" s="2414"/>
      <c r="AQ169" s="2414"/>
      <c r="AR169" s="2414"/>
    </row>
    <row r="170" spans="1:44" ht="15.75">
      <c r="A170" s="2414"/>
      <c r="B170" s="2414"/>
      <c r="C170" s="2419"/>
      <c r="D170" s="2419"/>
      <c r="E170" s="2442"/>
      <c r="F170" s="2442"/>
      <c r="G170" s="2442"/>
      <c r="H170" s="2442"/>
      <c r="I170" s="2442"/>
      <c r="J170" s="2442"/>
      <c r="K170" s="2442"/>
      <c r="L170" s="2442"/>
      <c r="M170" s="2442"/>
      <c r="N170" s="2442"/>
      <c r="O170" s="2419"/>
      <c r="P170" s="2419"/>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8"/>
      <c r="AK170" s="2418"/>
      <c r="AL170" s="2418"/>
      <c r="AM170" s="2418"/>
      <c r="AN170" s="2418"/>
      <c r="AO170" s="2414"/>
      <c r="AP170" s="2414"/>
      <c r="AQ170" s="2414"/>
      <c r="AR170" s="2414"/>
    </row>
    <row r="171" spans="1:44" ht="15.75">
      <c r="A171" s="2414"/>
      <c r="B171" s="2414"/>
      <c r="C171" s="2419"/>
      <c r="D171" s="2419"/>
      <c r="E171" s="2442"/>
      <c r="F171" s="2442"/>
      <c r="G171" s="2442"/>
      <c r="H171" s="2442"/>
      <c r="I171" s="2442"/>
      <c r="J171" s="2442"/>
      <c r="K171" s="2442"/>
      <c r="L171" s="2442"/>
      <c r="M171" s="2442"/>
      <c r="N171" s="2442"/>
      <c r="O171" s="2419"/>
      <c r="P171" s="2419"/>
      <c r="Q171" s="2419"/>
      <c r="R171" s="2419"/>
      <c r="S171" s="2419"/>
      <c r="T171" s="2419"/>
      <c r="U171" s="2419"/>
      <c r="V171" s="2419"/>
      <c r="W171" s="2419"/>
      <c r="X171" s="2419"/>
      <c r="Y171" s="2419"/>
      <c r="Z171" s="2419"/>
      <c r="AA171" s="2419"/>
      <c r="AB171" s="2419"/>
      <c r="AC171" s="2419"/>
      <c r="AD171" s="2419"/>
      <c r="AE171" s="2419"/>
      <c r="AF171" s="2419"/>
      <c r="AG171" s="2419"/>
      <c r="AH171" s="2419"/>
      <c r="AI171" s="2419"/>
      <c r="AJ171" s="2418"/>
      <c r="AK171" s="2418"/>
      <c r="AL171" s="2418"/>
      <c r="AM171" s="2418"/>
      <c r="AN171" s="2418"/>
      <c r="AO171" s="2414"/>
      <c r="AP171" s="2414"/>
      <c r="AQ171" s="2414"/>
      <c r="AR171" s="2414"/>
    </row>
    <row r="172" spans="1:44" ht="15.75">
      <c r="A172" s="2414"/>
      <c r="B172" s="2414"/>
      <c r="C172" s="2419"/>
      <c r="D172" s="2419"/>
      <c r="E172" s="2442"/>
      <c r="F172" s="2442"/>
      <c r="G172" s="2442"/>
      <c r="H172" s="2442"/>
      <c r="I172" s="2442"/>
      <c r="J172" s="2442"/>
      <c r="K172" s="2442"/>
      <c r="L172" s="2442"/>
      <c r="M172" s="2442"/>
      <c r="N172" s="2442"/>
      <c r="O172" s="2419"/>
      <c r="P172" s="2419"/>
      <c r="Q172" s="2419"/>
      <c r="R172" s="2419"/>
      <c r="S172" s="2419"/>
      <c r="T172" s="2419"/>
      <c r="U172" s="2419"/>
      <c r="V172" s="2419"/>
      <c r="W172" s="2419"/>
      <c r="X172" s="2419"/>
      <c r="Y172" s="2419"/>
      <c r="Z172" s="2419"/>
      <c r="AA172" s="2419"/>
      <c r="AB172" s="2419"/>
      <c r="AC172" s="2419"/>
      <c r="AD172" s="2419"/>
      <c r="AE172" s="2419"/>
      <c r="AF172" s="2419"/>
      <c r="AG172" s="2419"/>
      <c r="AH172" s="2419"/>
      <c r="AI172" s="2419"/>
      <c r="AJ172" s="2418"/>
      <c r="AK172" s="2418"/>
      <c r="AL172" s="2418"/>
      <c r="AM172" s="2418"/>
      <c r="AN172" s="2418"/>
      <c r="AO172" s="2414"/>
      <c r="AP172" s="2414"/>
      <c r="AQ172" s="2414"/>
      <c r="AR172" s="2414"/>
    </row>
    <row r="173" spans="1:44" ht="15.75">
      <c r="A173" s="2414"/>
      <c r="B173" s="2414"/>
      <c r="C173" s="2419"/>
      <c r="D173" s="2419"/>
      <c r="E173" s="2421"/>
      <c r="F173" s="2421"/>
      <c r="G173" s="2421"/>
      <c r="H173" s="2421"/>
      <c r="I173" s="2421"/>
      <c r="J173" s="2421"/>
      <c r="K173" s="2421"/>
      <c r="L173" s="2421"/>
      <c r="M173" s="2421"/>
      <c r="N173" s="2421"/>
      <c r="O173" s="2419"/>
      <c r="P173" s="2419"/>
      <c r="Q173" s="2419"/>
      <c r="R173" s="2419"/>
      <c r="S173" s="2419"/>
      <c r="T173" s="2419"/>
      <c r="U173" s="2419"/>
      <c r="V173" s="2419"/>
      <c r="W173" s="2419"/>
      <c r="X173" s="2419"/>
      <c r="Y173" s="2419"/>
      <c r="Z173" s="2419"/>
      <c r="AA173" s="2419"/>
      <c r="AB173" s="2419"/>
      <c r="AC173" s="2419"/>
      <c r="AD173" s="2419"/>
      <c r="AE173" s="2419"/>
      <c r="AF173" s="2419"/>
      <c r="AG173" s="2419"/>
      <c r="AH173" s="2419"/>
      <c r="AI173" s="2419"/>
      <c r="AJ173" s="2418"/>
      <c r="AK173" s="2418"/>
      <c r="AL173" s="2418"/>
      <c r="AM173" s="2418"/>
      <c r="AN173" s="2418"/>
      <c r="AO173" s="2414"/>
      <c r="AP173" s="2414"/>
      <c r="AQ173" s="2414"/>
      <c r="AR173" s="2414"/>
    </row>
    <row r="174" spans="1:44" ht="15.75">
      <c r="A174" s="2414"/>
      <c r="B174" s="2414" t="s">
        <v>2324</v>
      </c>
      <c r="C174" s="2419"/>
      <c r="D174" s="2419"/>
      <c r="E174" s="2421"/>
      <c r="F174" s="2421"/>
      <c r="G174" s="2421"/>
      <c r="H174" s="2421"/>
      <c r="I174" s="2421"/>
      <c r="J174" s="2421"/>
      <c r="K174" s="2421"/>
      <c r="L174" s="2421"/>
      <c r="M174" s="2421"/>
      <c r="N174" s="2421"/>
      <c r="O174" s="2419"/>
      <c r="P174" s="2419"/>
      <c r="Q174" s="2419"/>
      <c r="R174" s="2419"/>
      <c r="S174" s="2419"/>
      <c r="T174" s="2419"/>
      <c r="U174" s="2419"/>
      <c r="V174" s="2419"/>
      <c r="W174" s="2419"/>
      <c r="X174" s="2419"/>
      <c r="Y174" s="2419"/>
      <c r="Z174" s="2419"/>
      <c r="AA174" s="2419"/>
      <c r="AB174" s="2419"/>
      <c r="AC174" s="2419"/>
      <c r="AD174" s="2419"/>
      <c r="AE174" s="2419"/>
      <c r="AF174" s="2419"/>
      <c r="AG174" s="2419"/>
      <c r="AH174" s="2419"/>
      <c r="AI174" s="2419"/>
      <c r="AJ174" s="2418"/>
      <c r="AK174" s="2418"/>
      <c r="AL174" s="2418"/>
      <c r="AM174" s="2418"/>
      <c r="AN174" s="2418"/>
      <c r="AO174" s="2414"/>
      <c r="AP174" s="2414"/>
      <c r="AQ174" s="2414"/>
      <c r="AR174" s="2414"/>
    </row>
    <row r="175" spans="1:44" ht="15.75">
      <c r="A175" s="2414"/>
      <c r="B175" s="2414"/>
      <c r="C175" s="2414"/>
      <c r="D175" s="2414"/>
      <c r="E175" s="2414"/>
      <c r="F175" s="2414"/>
      <c r="G175" s="2414"/>
      <c r="H175" s="2414"/>
      <c r="I175" s="2414"/>
      <c r="J175" s="2414"/>
      <c r="K175" s="2414"/>
      <c r="L175" s="2414"/>
      <c r="M175" s="2414"/>
      <c r="N175" s="2414"/>
      <c r="O175" s="2414"/>
      <c r="P175" s="2414"/>
      <c r="Q175" s="2414"/>
      <c r="R175" s="2414"/>
      <c r="S175" s="2414"/>
      <c r="T175" s="2414"/>
      <c r="U175" s="2414"/>
      <c r="V175" s="2414"/>
      <c r="W175" s="2414"/>
      <c r="X175" s="2414"/>
      <c r="Y175" s="2414"/>
      <c r="Z175" s="2414"/>
      <c r="AA175" s="2414"/>
      <c r="AB175" s="2414"/>
      <c r="AC175" s="2414"/>
      <c r="AD175" s="2414"/>
      <c r="AE175" s="2414"/>
      <c r="AF175" s="2414"/>
      <c r="AG175" s="2414"/>
      <c r="AH175" s="2414"/>
      <c r="AI175" s="2414"/>
      <c r="AJ175" s="2414"/>
      <c r="AK175" s="2414"/>
      <c r="AL175" s="2414"/>
      <c r="AM175" s="2414"/>
      <c r="AN175" s="2414"/>
      <c r="AO175" s="2414"/>
      <c r="AP175" s="2414"/>
      <c r="AQ175" s="2414"/>
      <c r="AR175" s="2414"/>
    </row>
    <row r="176" spans="1:44" ht="15.75">
      <c r="A176" s="2414"/>
      <c r="B176" s="2415" t="s">
        <v>913</v>
      </c>
      <c r="C176" s="2428" t="s">
        <v>1331</v>
      </c>
      <c r="D176" s="2428" t="s">
        <v>1332</v>
      </c>
      <c r="E176" s="2428" t="s">
        <v>3309</v>
      </c>
      <c r="F176" s="2428"/>
      <c r="G176" s="2428" t="s">
        <v>1333</v>
      </c>
      <c r="H176" s="2428" t="s">
        <v>1334</v>
      </c>
      <c r="I176" s="2428" t="s">
        <v>3310</v>
      </c>
      <c r="J176" s="2428"/>
      <c r="K176" s="2428"/>
      <c r="L176" s="2428"/>
      <c r="M176" s="2428"/>
      <c r="N176" s="2428"/>
      <c r="O176" s="2428"/>
      <c r="P176" s="2428"/>
      <c r="Q176" s="2428"/>
      <c r="R176" s="2428"/>
      <c r="S176" s="2428"/>
      <c r="T176" s="2428"/>
      <c r="U176" s="2428"/>
      <c r="V176" s="2428"/>
      <c r="W176" s="2428"/>
      <c r="X176" s="2428"/>
      <c r="Y176" s="2428"/>
      <c r="Z176" s="2428"/>
      <c r="AA176" s="2428"/>
      <c r="AB176" s="2428"/>
      <c r="AC176" s="2428"/>
      <c r="AD176" s="2428"/>
      <c r="AE176" s="2428"/>
      <c r="AF176" s="2428"/>
      <c r="AG176" s="2428"/>
      <c r="AH176" s="2428"/>
      <c r="AI176" s="2428"/>
      <c r="AJ176" s="2415"/>
      <c r="AK176" s="2415"/>
      <c r="AL176" s="2415"/>
      <c r="AM176" s="2415"/>
      <c r="AN176" s="2415"/>
      <c r="AO176" s="2414"/>
      <c r="AP176" s="2414"/>
      <c r="AQ176" s="2414"/>
      <c r="AR176" s="2414"/>
    </row>
    <row r="177" spans="1:44" ht="15.75">
      <c r="A177" s="2414"/>
      <c r="B177" s="2414"/>
      <c r="C177" s="2443"/>
      <c r="D177" s="2443"/>
      <c r="E177" s="2443"/>
      <c r="F177" s="2443"/>
      <c r="G177" s="2443"/>
      <c r="H177" s="2443"/>
      <c r="I177" s="2443"/>
      <c r="J177" s="2444"/>
      <c r="K177" s="2444"/>
      <c r="L177" s="2419"/>
      <c r="M177" s="2420"/>
      <c r="N177" s="2420"/>
      <c r="O177" s="2419"/>
      <c r="P177" s="2419"/>
      <c r="Q177" s="2419"/>
      <c r="R177" s="2419"/>
      <c r="S177" s="2419"/>
      <c r="T177" s="2419"/>
      <c r="U177" s="2419"/>
      <c r="V177" s="2419"/>
      <c r="W177" s="2419"/>
      <c r="X177" s="2419"/>
      <c r="Y177" s="2419"/>
      <c r="Z177" s="2419"/>
      <c r="AA177" s="2419"/>
      <c r="AB177" s="2419"/>
      <c r="AC177" s="2419"/>
      <c r="AD177" s="2419"/>
      <c r="AE177" s="2419"/>
      <c r="AF177" s="2419"/>
      <c r="AG177" s="2419"/>
      <c r="AH177" s="2419"/>
      <c r="AI177" s="2419"/>
      <c r="AJ177" s="2418"/>
      <c r="AK177" s="2418"/>
      <c r="AL177" s="2418"/>
      <c r="AM177" s="2418"/>
      <c r="AN177" s="2418"/>
      <c r="AO177" s="2414"/>
      <c r="AP177" s="2414"/>
      <c r="AQ177" s="2414"/>
      <c r="AR177" s="2414"/>
    </row>
    <row r="178" spans="1:44" ht="15.75">
      <c r="A178" s="2414"/>
      <c r="B178" s="2414" t="str">
        <f>SOP!B15</f>
        <v>Guatemala / El Salvador / Costa Rica</v>
      </c>
      <c r="C178" s="2420">
        <f>Div!P45</f>
        <v>1091.1245366531432</v>
      </c>
      <c r="D178" s="2420">
        <f>Div!Q45</f>
        <v>1049.6612624020784</v>
      </c>
      <c r="E178" s="2420">
        <f>Div!R45</f>
        <v>1042.707869352912</v>
      </c>
      <c r="F178" s="2420"/>
      <c r="G178" s="2420">
        <f>Div!P100</f>
        <v>725.27736677150335</v>
      </c>
      <c r="H178" s="2420">
        <f>Div!Q100</f>
        <v>693.51770355097619</v>
      </c>
      <c r="I178" s="2420">
        <f>Div!R100</f>
        <v>705.36999856702926</v>
      </c>
      <c r="J178" s="2420"/>
      <c r="K178" s="2420"/>
      <c r="L178" s="2420"/>
      <c r="M178" s="2420"/>
      <c r="N178" s="2420"/>
      <c r="O178" s="2419"/>
      <c r="P178" s="2419"/>
      <c r="Q178" s="2419"/>
      <c r="R178" s="2419"/>
      <c r="S178" s="2419"/>
      <c r="T178" s="2419"/>
      <c r="U178" s="2419"/>
      <c r="V178" s="2419"/>
      <c r="W178" s="2419"/>
      <c r="X178" s="2419"/>
      <c r="Y178" s="2419"/>
      <c r="Z178" s="2419"/>
      <c r="AA178" s="2419"/>
      <c r="AB178" s="2419"/>
      <c r="AC178" s="2419"/>
      <c r="AD178" s="2419"/>
      <c r="AE178" s="2419"/>
      <c r="AF178" s="2419"/>
      <c r="AG178" s="2419"/>
      <c r="AH178" s="2419"/>
      <c r="AI178" s="2419"/>
      <c r="AJ178" s="2418"/>
      <c r="AK178" s="2418"/>
      <c r="AL178" s="2418"/>
      <c r="AM178" s="2418"/>
      <c r="AN178" s="2418"/>
      <c r="AO178" s="2414"/>
      <c r="AP178" s="2414"/>
      <c r="AQ178" s="2414"/>
      <c r="AR178" s="2414"/>
    </row>
    <row r="179" spans="1:44" ht="15.75">
      <c r="A179" s="1653"/>
      <c r="B179" s="2414" t="e">
        <f>SOP!#REF!</f>
        <v>#REF!</v>
      </c>
      <c r="C179" s="2420">
        <f>Div!P46</f>
        <v>182.96950761337303</v>
      </c>
      <c r="D179" s="2420">
        <f>Div!Q46</f>
        <v>173.17712729727901</v>
      </c>
      <c r="E179" s="2420">
        <f>Div!R46</f>
        <v>203.436239987227</v>
      </c>
      <c r="F179" s="2420"/>
      <c r="G179" s="2420">
        <f>Div!P101</f>
        <v>58.550242436279362</v>
      </c>
      <c r="H179" s="2420">
        <f>Div!Q101</f>
        <v>57.725709099092995</v>
      </c>
      <c r="I179" s="2420">
        <f>Div!R101</f>
        <v>92.471018176012279</v>
      </c>
      <c r="J179" s="2420"/>
      <c r="K179" s="2420"/>
      <c r="L179" s="2420"/>
      <c r="M179" s="2420"/>
      <c r="N179" s="2420"/>
      <c r="O179" s="2419"/>
      <c r="P179" s="2419"/>
      <c r="Q179" s="2419"/>
      <c r="R179" s="2419"/>
      <c r="S179" s="2419"/>
      <c r="T179" s="2419"/>
      <c r="U179" s="2419"/>
      <c r="V179" s="2419"/>
      <c r="W179" s="2419"/>
      <c r="X179" s="2419"/>
      <c r="Y179" s="2419"/>
      <c r="Z179" s="2419"/>
      <c r="AA179" s="2419"/>
      <c r="AB179" s="2419"/>
      <c r="AC179" s="2419"/>
      <c r="AD179" s="2419"/>
      <c r="AE179" s="2419"/>
      <c r="AF179" s="2419"/>
      <c r="AG179" s="2419"/>
      <c r="AH179" s="2419"/>
      <c r="AI179" s="2419"/>
      <c r="AJ179" s="2418"/>
      <c r="AK179" s="2418"/>
      <c r="AL179" s="2418"/>
      <c r="AM179" s="2418"/>
      <c r="AN179" s="2418"/>
      <c r="AO179" s="2414"/>
      <c r="AP179" s="2414"/>
      <c r="AQ179" s="2414"/>
      <c r="AR179" s="2414"/>
    </row>
    <row r="180" spans="1:44" ht="15.75">
      <c r="A180" s="1653"/>
      <c r="B180" s="2414" t="str">
        <f>SOP!B11</f>
        <v>Colombia</v>
      </c>
      <c r="C180" s="2420">
        <f ca="1">Div!P47</f>
        <v>298.89751654677303</v>
      </c>
      <c r="D180" s="2420">
        <f>Div!Q47</f>
        <v>295.82287270272099</v>
      </c>
      <c r="E180" s="2420">
        <f>Div!R47</f>
        <v>290.563760012773</v>
      </c>
      <c r="F180" s="2420"/>
      <c r="G180" s="2420">
        <f ca="1">Div!P102</f>
        <v>96.760390178366066</v>
      </c>
      <c r="H180" s="2420">
        <f ca="1">Div!Q102</f>
        <v>89.547584036087841</v>
      </c>
      <c r="I180" s="2420">
        <f ca="1">Div!R102</f>
        <v>126.26997953414076</v>
      </c>
      <c r="J180" s="2420"/>
      <c r="K180" s="2420"/>
      <c r="L180" s="2420"/>
      <c r="M180" s="2420"/>
      <c r="N180" s="2420"/>
      <c r="O180" s="2419"/>
      <c r="P180" s="2419"/>
      <c r="Q180" s="2419"/>
      <c r="R180" s="2419"/>
      <c r="S180" s="2419"/>
      <c r="T180" s="2419"/>
      <c r="U180" s="2419"/>
      <c r="V180" s="2419"/>
      <c r="W180" s="2419"/>
      <c r="X180" s="2419"/>
      <c r="Y180" s="2419"/>
      <c r="Z180" s="2419"/>
      <c r="AA180" s="2419"/>
      <c r="AB180" s="2419"/>
      <c r="AC180" s="2419"/>
      <c r="AD180" s="2419"/>
      <c r="AE180" s="2419"/>
      <c r="AF180" s="2419"/>
      <c r="AG180" s="2419"/>
      <c r="AH180" s="2419"/>
      <c r="AI180" s="2419"/>
      <c r="AJ180" s="2418"/>
      <c r="AK180" s="2418"/>
      <c r="AL180" s="2418"/>
      <c r="AM180" s="2418"/>
      <c r="AN180" s="2418"/>
      <c r="AO180" s="2414"/>
      <c r="AP180" s="2414"/>
      <c r="AQ180" s="2414"/>
      <c r="AR180" s="2414"/>
    </row>
    <row r="181" spans="1:44" ht="15.75">
      <c r="A181" s="1653"/>
      <c r="B181" s="2414" t="str">
        <f>SOP!B16</f>
        <v>Bolivia / Paraguay</v>
      </c>
      <c r="C181" s="2420">
        <f ca="1">Div!P48</f>
        <v>488.58619400151031</v>
      </c>
      <c r="D181" s="2420">
        <f ca="1">Div!Q48</f>
        <v>571.10218147197668</v>
      </c>
      <c r="E181" s="2420">
        <f ca="1">Div!R48</f>
        <v>659.97532984048121</v>
      </c>
      <c r="F181" s="2420"/>
      <c r="G181" s="2420">
        <f ca="1">Div!P103</f>
        <v>276.05584382160305</v>
      </c>
      <c r="H181" s="2420">
        <f ca="1">Div!Q103</f>
        <v>364.66753293257995</v>
      </c>
      <c r="I181" s="2420">
        <f ca="1">Div!R103</f>
        <v>435.66499884759571</v>
      </c>
      <c r="J181" s="2420"/>
      <c r="K181" s="2420"/>
      <c r="L181" s="2420"/>
      <c r="M181" s="2420"/>
      <c r="N181" s="2420"/>
      <c r="O181" s="2419"/>
      <c r="P181" s="2419"/>
      <c r="Q181" s="2419"/>
      <c r="R181" s="2419"/>
      <c r="S181" s="2419"/>
      <c r="T181" s="2419"/>
      <c r="U181" s="2419"/>
      <c r="V181" s="2419"/>
      <c r="W181" s="2419"/>
      <c r="X181" s="2419"/>
      <c r="Y181" s="2419"/>
      <c r="Z181" s="2419"/>
      <c r="AA181" s="2419"/>
      <c r="AB181" s="2419"/>
      <c r="AC181" s="2419"/>
      <c r="AD181" s="2419"/>
      <c r="AE181" s="2419"/>
      <c r="AF181" s="2419"/>
      <c r="AG181" s="2419"/>
      <c r="AH181" s="2419"/>
      <c r="AI181" s="2419"/>
      <c r="AJ181" s="2418"/>
      <c r="AK181" s="2418"/>
      <c r="AL181" s="2418"/>
      <c r="AM181" s="2418"/>
      <c r="AN181" s="2418"/>
      <c r="AO181" s="2414"/>
      <c r="AP181" s="2414"/>
      <c r="AQ181" s="2414"/>
      <c r="AR181" s="2414"/>
    </row>
    <row r="182" spans="1:44" ht="15.75">
      <c r="A182" s="1653"/>
      <c r="B182" s="2414" t="e">
        <f>SOP!#REF!</f>
        <v>#REF!</v>
      </c>
      <c r="C182" s="2420">
        <f ca="1">Div!P49</f>
        <v>248.12673786484811</v>
      </c>
      <c r="D182" s="2420">
        <f ca="1">Div!Q49</f>
        <v>264.33644224665647</v>
      </c>
      <c r="E182" s="2420">
        <f ca="1">Div!R49</f>
        <v>155.11190555621897</v>
      </c>
      <c r="F182" s="2420"/>
      <c r="G182" s="2420">
        <f ca="1">Div!P104</f>
        <v>70.941083809161796</v>
      </c>
      <c r="H182" s="2420">
        <f ca="1">Div!Q104</f>
        <v>104.89273674703404</v>
      </c>
      <c r="I182" s="2420">
        <f ca="1">Div!R104</f>
        <v>22.475326941310442</v>
      </c>
      <c r="J182" s="2420"/>
      <c r="K182" s="2420"/>
      <c r="L182" s="2420"/>
      <c r="M182" s="2420"/>
      <c r="N182" s="2420"/>
      <c r="O182" s="2419"/>
      <c r="P182" s="2419"/>
      <c r="Q182" s="2419"/>
      <c r="R182" s="2419"/>
      <c r="S182" s="2419"/>
      <c r="T182" s="2419"/>
      <c r="U182" s="2419"/>
      <c r="V182" s="2419"/>
      <c r="W182" s="2419"/>
      <c r="X182" s="2419"/>
      <c r="Y182" s="2419"/>
      <c r="Z182" s="2419"/>
      <c r="AA182" s="2419"/>
      <c r="AB182" s="2419"/>
      <c r="AC182" s="2419"/>
      <c r="AD182" s="2419"/>
      <c r="AE182" s="2419"/>
      <c r="AF182" s="2419"/>
      <c r="AG182" s="2419"/>
      <c r="AH182" s="2419"/>
      <c r="AI182" s="2419"/>
      <c r="AJ182" s="2418"/>
      <c r="AK182" s="2418"/>
      <c r="AL182" s="2418"/>
      <c r="AM182" s="2418"/>
      <c r="AN182" s="2418"/>
      <c r="AO182" s="2414"/>
      <c r="AP182" s="2414"/>
      <c r="AQ182" s="2414"/>
      <c r="AR182" s="2414"/>
    </row>
    <row r="183" spans="1:44" ht="15.75">
      <c r="A183" s="1653"/>
      <c r="B183" s="2414" t="e">
        <f>SOP!#REF!</f>
        <v>#REF!</v>
      </c>
      <c r="C183" s="2420">
        <f>Div!P51</f>
        <v>0</v>
      </c>
      <c r="D183" s="2420">
        <f>Div!Q51</f>
        <v>0</v>
      </c>
      <c r="E183" s="2420">
        <f>Div!R51</f>
        <v>0</v>
      </c>
      <c r="F183" s="2420"/>
      <c r="G183" s="2420">
        <f>Div!P106</f>
        <v>0</v>
      </c>
      <c r="H183" s="2420">
        <f>Div!Q106</f>
        <v>0</v>
      </c>
      <c r="I183" s="2420">
        <f>Div!R106</f>
        <v>0</v>
      </c>
      <c r="J183" s="2420"/>
      <c r="K183" s="2420"/>
      <c r="L183" s="2420"/>
      <c r="M183" s="2420"/>
      <c r="N183" s="2420"/>
      <c r="O183" s="2419"/>
      <c r="P183" s="2419"/>
      <c r="Q183" s="2419"/>
      <c r="R183" s="2419"/>
      <c r="S183" s="2419"/>
      <c r="T183" s="2419"/>
      <c r="U183" s="2419"/>
      <c r="V183" s="2419"/>
      <c r="W183" s="2419"/>
      <c r="X183" s="2419"/>
      <c r="Y183" s="2419"/>
      <c r="Z183" s="2419"/>
      <c r="AA183" s="2419"/>
      <c r="AB183" s="2419"/>
      <c r="AC183" s="2419"/>
      <c r="AD183" s="2419"/>
      <c r="AE183" s="2419"/>
      <c r="AF183" s="2419"/>
      <c r="AG183" s="2419"/>
      <c r="AH183" s="2419"/>
      <c r="AI183" s="2419"/>
      <c r="AJ183" s="2418"/>
      <c r="AK183" s="2418"/>
      <c r="AL183" s="2418"/>
      <c r="AM183" s="2418"/>
      <c r="AN183" s="2418"/>
      <c r="AO183" s="2414"/>
      <c r="AP183" s="2414"/>
      <c r="AQ183" s="2414"/>
      <c r="AR183" s="2414"/>
    </row>
    <row r="184" spans="1:44" ht="15.75">
      <c r="A184" s="2414"/>
      <c r="B184" s="2414" t="s">
        <v>2324</v>
      </c>
      <c r="C184" s="2420">
        <f ca="1">Div!P53</f>
        <v>2334.7044926796475</v>
      </c>
      <c r="D184" s="2420">
        <f ca="1">Div!Q53</f>
        <v>2354.0998861207117</v>
      </c>
      <c r="E184" s="2420">
        <f ca="1">Div!R53</f>
        <v>2351.7951047496122</v>
      </c>
      <c r="F184" s="2420"/>
      <c r="G184" s="2420">
        <f ca="1">Div!P107</f>
        <v>1227.5849270169138</v>
      </c>
      <c r="H184" s="2420">
        <f ca="1">Div!Q107</f>
        <v>1310.3512663657709</v>
      </c>
      <c r="I184" s="2420">
        <f ca="1">Div!R107</f>
        <v>1382.2513220660885</v>
      </c>
      <c r="J184" s="2420"/>
      <c r="K184" s="2420"/>
      <c r="L184" s="2420"/>
      <c r="M184" s="2420"/>
      <c r="N184" s="2420"/>
      <c r="O184" s="2419"/>
      <c r="P184" s="2419"/>
      <c r="Q184" s="2419"/>
      <c r="R184" s="2419"/>
      <c r="S184" s="2419"/>
      <c r="T184" s="2419"/>
      <c r="U184" s="2419"/>
      <c r="V184" s="2419"/>
      <c r="W184" s="2419"/>
      <c r="X184" s="2419"/>
      <c r="Y184" s="2419"/>
      <c r="Z184" s="2419"/>
      <c r="AA184" s="2419"/>
      <c r="AB184" s="2419"/>
      <c r="AC184" s="2419"/>
      <c r="AD184" s="2419"/>
      <c r="AE184" s="2419"/>
      <c r="AF184" s="2419"/>
      <c r="AG184" s="2419"/>
      <c r="AH184" s="2419"/>
      <c r="AI184" s="2419"/>
      <c r="AJ184" s="2418"/>
      <c r="AK184" s="2418"/>
      <c r="AL184" s="2418"/>
      <c r="AM184" s="2418"/>
      <c r="AN184" s="2418"/>
      <c r="AO184" s="2414"/>
      <c r="AP184" s="2414"/>
      <c r="AQ184" s="2414"/>
      <c r="AR184" s="2414"/>
    </row>
    <row r="185" spans="1:44" ht="15.75">
      <c r="A185" s="2414"/>
      <c r="B185" s="2414"/>
      <c r="C185" s="2420"/>
      <c r="D185" s="2420"/>
      <c r="E185" s="2420"/>
      <c r="F185" s="2420"/>
      <c r="G185" s="2420"/>
      <c r="H185" s="2420"/>
      <c r="I185" s="2420"/>
      <c r="J185" s="2420"/>
      <c r="K185" s="2420"/>
      <c r="L185" s="2420"/>
      <c r="M185" s="2420"/>
      <c r="N185" s="2420"/>
      <c r="O185" s="2418"/>
      <c r="P185" s="2418"/>
      <c r="Q185" s="2418"/>
      <c r="R185" s="2418"/>
      <c r="S185" s="2418"/>
      <c r="T185" s="2418"/>
      <c r="U185" s="2418"/>
      <c r="V185" s="2418"/>
      <c r="W185" s="2418"/>
      <c r="X185" s="2418"/>
      <c r="Y185" s="2418"/>
      <c r="Z185" s="2418"/>
      <c r="AA185" s="2418"/>
      <c r="AB185" s="2418"/>
      <c r="AC185" s="2418"/>
      <c r="AD185" s="2418"/>
      <c r="AE185" s="2418"/>
      <c r="AF185" s="2418"/>
      <c r="AG185" s="2418"/>
      <c r="AH185" s="2418"/>
      <c r="AI185" s="2418"/>
      <c r="AJ185" s="2418"/>
      <c r="AK185" s="2418"/>
      <c r="AL185" s="2418"/>
      <c r="AM185" s="2418"/>
      <c r="AN185" s="2418"/>
      <c r="AO185" s="2414"/>
      <c r="AP185" s="2414"/>
      <c r="AQ185" s="2414"/>
      <c r="AR185" s="2414"/>
    </row>
    <row r="186" spans="1:44" ht="15.75">
      <c r="A186" s="2414"/>
      <c r="B186" s="2445"/>
      <c r="C186" s="2420"/>
      <c r="D186" s="2418"/>
      <c r="E186" s="2420"/>
      <c r="F186" s="2418"/>
      <c r="G186" s="2420"/>
      <c r="H186" s="2420"/>
      <c r="I186" s="2420"/>
      <c r="J186" s="2420"/>
      <c r="K186" s="2420"/>
      <c r="L186" s="2420"/>
      <c r="M186" s="2420"/>
      <c r="N186" s="2420"/>
      <c r="O186" s="2418"/>
      <c r="P186" s="2418"/>
      <c r="Q186" s="2418"/>
      <c r="R186" s="2418"/>
      <c r="S186" s="2418"/>
      <c r="T186" s="2418"/>
      <c r="U186" s="2418"/>
      <c r="V186" s="2418"/>
      <c r="W186" s="2418"/>
      <c r="X186" s="2418"/>
      <c r="Y186" s="2418"/>
      <c r="Z186" s="2418"/>
      <c r="AA186" s="2418"/>
      <c r="AB186" s="2418"/>
      <c r="AC186" s="2418"/>
      <c r="AD186" s="2418"/>
      <c r="AE186" s="2418"/>
      <c r="AF186" s="2418"/>
      <c r="AG186" s="2418"/>
      <c r="AH186" s="2418"/>
      <c r="AI186" s="2418"/>
      <c r="AJ186" s="2418"/>
      <c r="AK186" s="2418"/>
      <c r="AL186" s="2418"/>
      <c r="AM186" s="2418"/>
      <c r="AN186" s="2418"/>
      <c r="AO186" s="2414"/>
      <c r="AP186" s="2414"/>
      <c r="AQ186" s="2414"/>
      <c r="AR186" s="2414"/>
    </row>
    <row r="187" spans="1:44" ht="15.75">
      <c r="A187" s="2414"/>
      <c r="B187" s="2445"/>
      <c r="C187" s="2420"/>
      <c r="D187" s="2420"/>
      <c r="E187" s="2420"/>
      <c r="F187" s="2418"/>
      <c r="G187" s="2420"/>
      <c r="H187" s="2420"/>
      <c r="I187" s="2420"/>
      <c r="J187" s="2420"/>
      <c r="K187" s="2420"/>
      <c r="L187" s="2420"/>
      <c r="M187" s="2420"/>
      <c r="N187" s="2420"/>
      <c r="O187" s="2418"/>
      <c r="P187" s="2418"/>
      <c r="Q187" s="2418"/>
      <c r="R187" s="2418"/>
      <c r="S187" s="2418"/>
      <c r="T187" s="2418"/>
      <c r="U187" s="2418"/>
      <c r="V187" s="2418"/>
      <c r="W187" s="2418"/>
      <c r="X187" s="2418"/>
      <c r="Y187" s="2418"/>
      <c r="Z187" s="2418"/>
      <c r="AA187" s="2418"/>
      <c r="AB187" s="2418"/>
      <c r="AC187" s="2418"/>
      <c r="AD187" s="2418"/>
      <c r="AE187" s="2418"/>
      <c r="AF187" s="2418"/>
      <c r="AG187" s="2418"/>
      <c r="AH187" s="2418"/>
      <c r="AI187" s="2418"/>
      <c r="AJ187" s="2418"/>
      <c r="AK187" s="2418"/>
      <c r="AL187" s="2418"/>
      <c r="AM187" s="2418"/>
      <c r="AN187" s="2418"/>
      <c r="AO187" s="2414"/>
      <c r="AP187" s="2414"/>
      <c r="AQ187" s="2414"/>
      <c r="AR187" s="2414"/>
    </row>
    <row r="188" spans="1:44" ht="15.75">
      <c r="A188" s="2414"/>
      <c r="B188" s="2445"/>
      <c r="C188" s="2420"/>
      <c r="D188" s="2420"/>
      <c r="E188" s="2420"/>
      <c r="F188" s="2418"/>
      <c r="G188" s="2420"/>
      <c r="H188" s="2420"/>
      <c r="I188" s="2420"/>
      <c r="J188" s="2420"/>
      <c r="K188" s="2420"/>
      <c r="L188" s="2420"/>
      <c r="M188" s="2420"/>
      <c r="N188" s="2420"/>
      <c r="O188" s="2418"/>
      <c r="P188" s="2418"/>
      <c r="Q188" s="2418"/>
      <c r="R188" s="2418"/>
      <c r="S188" s="2418"/>
      <c r="T188" s="2418"/>
      <c r="U188" s="2418"/>
      <c r="V188" s="2418"/>
      <c r="W188" s="2418"/>
      <c r="X188" s="2418"/>
      <c r="Y188" s="2418"/>
      <c r="Z188" s="2418"/>
      <c r="AA188" s="2418"/>
      <c r="AB188" s="2418"/>
      <c r="AC188" s="2418"/>
      <c r="AD188" s="2418"/>
      <c r="AE188" s="2418"/>
      <c r="AF188" s="2418"/>
      <c r="AG188" s="2418"/>
      <c r="AH188" s="2418"/>
      <c r="AI188" s="2418"/>
      <c r="AJ188" s="2418"/>
      <c r="AK188" s="2418"/>
      <c r="AL188" s="2418"/>
      <c r="AM188" s="2418"/>
      <c r="AN188" s="2418"/>
      <c r="AO188" s="2414"/>
      <c r="AP188" s="2414"/>
      <c r="AQ188" s="2414"/>
      <c r="AR188" s="2414"/>
    </row>
    <row r="189" spans="1:44" ht="15.75">
      <c r="A189" s="2414"/>
      <c r="B189" s="2445"/>
      <c r="C189" s="2420"/>
      <c r="D189" s="2420"/>
      <c r="E189" s="2420"/>
      <c r="F189" s="2418"/>
      <c r="G189" s="2420"/>
      <c r="H189" s="2420"/>
      <c r="I189" s="2420"/>
      <c r="J189" s="2420"/>
      <c r="K189" s="2420"/>
      <c r="L189" s="2420"/>
      <c r="M189" s="2420"/>
      <c r="N189" s="2420"/>
      <c r="O189" s="2418"/>
      <c r="P189" s="2418"/>
      <c r="Q189" s="2418"/>
      <c r="R189" s="2418"/>
      <c r="S189" s="2418"/>
      <c r="T189" s="2418"/>
      <c r="U189" s="2418"/>
      <c r="V189" s="2418"/>
      <c r="W189" s="2418"/>
      <c r="X189" s="2418"/>
      <c r="Y189" s="2418"/>
      <c r="Z189" s="2418"/>
      <c r="AA189" s="2418"/>
      <c r="AB189" s="2418"/>
      <c r="AC189" s="2418"/>
      <c r="AD189" s="2418"/>
      <c r="AE189" s="2418"/>
      <c r="AF189" s="2418"/>
      <c r="AG189" s="2418"/>
      <c r="AH189" s="2418"/>
      <c r="AI189" s="2418"/>
      <c r="AJ189" s="2418"/>
      <c r="AK189" s="2418"/>
      <c r="AL189" s="2418"/>
      <c r="AM189" s="2418"/>
      <c r="AN189" s="2418"/>
      <c r="AO189" s="2414"/>
      <c r="AP189" s="2414"/>
      <c r="AQ189" s="2414"/>
      <c r="AR189" s="2414"/>
    </row>
    <row r="190" spans="1:44" ht="15.75">
      <c r="A190" s="2414"/>
      <c r="B190" s="2445"/>
      <c r="C190" s="2420"/>
      <c r="D190" s="2420"/>
      <c r="E190" s="2420"/>
      <c r="F190" s="2418"/>
      <c r="G190" s="2420"/>
      <c r="H190" s="2420"/>
      <c r="I190" s="2420"/>
      <c r="J190" s="2420"/>
      <c r="K190" s="2420"/>
      <c r="L190" s="2420"/>
      <c r="M190" s="2420"/>
      <c r="N190" s="2420"/>
      <c r="O190" s="2418"/>
      <c r="P190" s="2418"/>
      <c r="Q190" s="2418"/>
      <c r="R190" s="2418"/>
      <c r="S190" s="2418"/>
      <c r="T190" s="2418"/>
      <c r="U190" s="2418"/>
      <c r="V190" s="2418"/>
      <c r="W190" s="2418"/>
      <c r="X190" s="2418"/>
      <c r="Y190" s="2418"/>
      <c r="Z190" s="2418"/>
      <c r="AA190" s="2418"/>
      <c r="AB190" s="2418"/>
      <c r="AC190" s="2418"/>
      <c r="AD190" s="2418"/>
      <c r="AE190" s="2418"/>
      <c r="AF190" s="2418"/>
      <c r="AG190" s="2418"/>
      <c r="AH190" s="2418"/>
      <c r="AI190" s="2418"/>
      <c r="AJ190" s="2418"/>
      <c r="AK190" s="2418"/>
      <c r="AL190" s="2418"/>
      <c r="AM190" s="2418"/>
      <c r="AN190" s="2418"/>
      <c r="AO190" s="2414"/>
      <c r="AP190" s="2414"/>
      <c r="AQ190" s="2414"/>
      <c r="AR190" s="2414"/>
    </row>
    <row r="191" spans="1:44" ht="15.75">
      <c r="A191" s="2414"/>
      <c r="B191" s="2415" t="s">
        <v>574</v>
      </c>
      <c r="C191" s="2415">
        <v>1998</v>
      </c>
      <c r="D191" s="2415">
        <v>1999</v>
      </c>
      <c r="E191" s="2415">
        <v>2000</v>
      </c>
      <c r="F191" s="2415">
        <v>2001</v>
      </c>
      <c r="G191" s="2415">
        <v>2002</v>
      </c>
      <c r="H191" s="2415">
        <v>2003</v>
      </c>
      <c r="I191" s="2415">
        <v>2004</v>
      </c>
      <c r="J191" s="2415">
        <v>2005</v>
      </c>
      <c r="K191" s="2415">
        <v>2006</v>
      </c>
      <c r="L191" s="2415">
        <v>2007</v>
      </c>
      <c r="M191" s="2415">
        <v>2008</v>
      </c>
      <c r="N191" s="2415">
        <v>2009</v>
      </c>
      <c r="O191" s="2415">
        <v>2010</v>
      </c>
      <c r="P191" s="2415">
        <v>2011</v>
      </c>
      <c r="Q191" s="2415">
        <v>2012</v>
      </c>
      <c r="R191" s="2415">
        <v>2013</v>
      </c>
      <c r="S191" s="2415">
        <v>2014</v>
      </c>
      <c r="T191" s="2415">
        <v>2015</v>
      </c>
      <c r="U191" s="2415">
        <v>2016</v>
      </c>
      <c r="V191" s="2415">
        <v>2017</v>
      </c>
      <c r="W191" s="2415">
        <v>2018</v>
      </c>
      <c r="X191" s="2415">
        <v>2019</v>
      </c>
      <c r="Y191" s="2415">
        <v>2020</v>
      </c>
      <c r="Z191" s="2415">
        <v>2021</v>
      </c>
      <c r="AA191" s="2415">
        <v>2022</v>
      </c>
      <c r="AB191" s="2415">
        <v>2023</v>
      </c>
      <c r="AC191" s="2415">
        <v>2024</v>
      </c>
      <c r="AD191" s="2415">
        <v>2025</v>
      </c>
      <c r="AE191" s="2415">
        <v>2026</v>
      </c>
      <c r="AF191" s="2415">
        <v>2027</v>
      </c>
      <c r="AG191" s="2415">
        <v>2028</v>
      </c>
      <c r="AH191" s="2415">
        <v>2029</v>
      </c>
      <c r="AI191" s="2415">
        <v>2030</v>
      </c>
      <c r="AJ191" s="2418"/>
      <c r="AK191" s="2418"/>
      <c r="AL191" s="2418"/>
      <c r="AM191" s="2418"/>
      <c r="AN191" s="2418"/>
      <c r="AO191" s="2414"/>
      <c r="AP191" s="2414"/>
      <c r="AQ191" s="2414"/>
      <c r="AR191" s="2414"/>
    </row>
    <row r="192" spans="1:44" ht="15.75">
      <c r="A192" s="2414"/>
      <c r="B192" s="2556" t="s">
        <v>360</v>
      </c>
      <c r="C192" s="2557"/>
      <c r="D192" s="2557"/>
      <c r="E192" s="2558"/>
      <c r="F192" s="2558"/>
      <c r="G192" s="2558"/>
      <c r="H192" s="2558"/>
      <c r="I192" s="2558"/>
      <c r="J192" s="2558"/>
      <c r="K192" s="2558"/>
      <c r="L192" s="2558"/>
      <c r="M192" s="2558"/>
      <c r="N192" s="2558"/>
      <c r="O192" s="2558"/>
      <c r="P192" s="2558"/>
      <c r="Q192" s="2558"/>
      <c r="R192" s="2558"/>
      <c r="S192" s="2558"/>
      <c r="T192" s="2559">
        <f>Master!R14</f>
        <v>2265.6309442315396</v>
      </c>
      <c r="U192" s="2559">
        <f>Master!S14</f>
        <v>2225.5</v>
      </c>
      <c r="V192" s="2559">
        <f>Master!T14</f>
        <v>2181</v>
      </c>
      <c r="W192" s="2559">
        <f>Master!U14</f>
        <v>2182</v>
      </c>
      <c r="X192" s="2559">
        <f>Master!V14</f>
        <v>2550</v>
      </c>
      <c r="Y192" s="2559">
        <f>Master!W14</f>
        <v>2641</v>
      </c>
      <c r="Z192" s="2559">
        <f>Master!X14</f>
        <v>2613</v>
      </c>
      <c r="AA192" s="2559">
        <f>Master!Y14</f>
        <v>2228.1349999999998</v>
      </c>
      <c r="AB192" s="2559">
        <f>Master!Z14</f>
        <v>2111.2855</v>
      </c>
      <c r="AC192" s="2559">
        <f ca="1">Master!AA14</f>
        <v>2468.6458000000002</v>
      </c>
      <c r="AD192" s="2559">
        <f>Master!AB14</f>
        <v>2381.685419914671</v>
      </c>
      <c r="AE192" s="2559">
        <f>Master!AC14</f>
        <v>2396.1990022089599</v>
      </c>
      <c r="AF192" s="2559">
        <f>Master!AD14</f>
        <v>2461.0081072440548</v>
      </c>
      <c r="AG192" s="2559">
        <f>Master!AE14</f>
        <v>2531.4814825398967</v>
      </c>
      <c r="AH192" s="2559">
        <f>Master!AF14</f>
        <v>2605.2274230211528</v>
      </c>
      <c r="AI192" s="2559">
        <f>Master!AG14</f>
        <v>2675.7831928277733</v>
      </c>
      <c r="AJ192" s="2418"/>
      <c r="AK192" s="2418"/>
      <c r="AL192" s="2418"/>
      <c r="AM192" s="2418"/>
      <c r="AN192" s="2418"/>
      <c r="AO192" s="2414"/>
      <c r="AP192" s="2414"/>
      <c r="AQ192" s="2414"/>
      <c r="AR192" s="2414"/>
    </row>
    <row r="193" spans="1:44" ht="15.75">
      <c r="A193" s="2414"/>
      <c r="B193" s="2556" t="s">
        <v>9189</v>
      </c>
      <c r="C193" s="2557"/>
      <c r="D193" s="2560"/>
      <c r="E193" s="2560"/>
      <c r="F193" s="2560"/>
      <c r="G193" s="2560"/>
      <c r="H193" s="2560"/>
      <c r="I193" s="2560"/>
      <c r="J193" s="2560"/>
      <c r="K193" s="2560"/>
      <c r="L193" s="2560"/>
      <c r="M193" s="2560"/>
      <c r="N193" s="2560"/>
      <c r="O193" s="2560"/>
      <c r="P193" s="2560"/>
      <c r="Q193" s="2560"/>
      <c r="R193" s="2560"/>
      <c r="S193" s="2560"/>
      <c r="T193" s="2559">
        <f>Master!R319</f>
        <v>-2012</v>
      </c>
      <c r="U193" s="2559">
        <f>Master!S319</f>
        <v>-308</v>
      </c>
      <c r="V193" s="2559">
        <f>Master!T319</f>
        <v>-177.40000000000009</v>
      </c>
      <c r="W193" s="2559">
        <f>Master!U319</f>
        <v>565.40000000000009</v>
      </c>
      <c r="X193" s="2559">
        <f>Master!V319</f>
        <v>483</v>
      </c>
      <c r="Y193" s="2559">
        <f>Master!W319</f>
        <v>65.999999999999886</v>
      </c>
      <c r="Z193" s="2559">
        <f>Master!X319</f>
        <v>314</v>
      </c>
      <c r="AA193" s="2559">
        <f>Master!Y319</f>
        <v>-427.99999999999989</v>
      </c>
      <c r="AB193" s="2559">
        <f>Master!Z319</f>
        <v>101</v>
      </c>
      <c r="AC193" s="2559">
        <f>Master!AA319</f>
        <v>156</v>
      </c>
      <c r="AD193" s="2559">
        <f>Master!AC319</f>
        <v>40.494988985792226</v>
      </c>
      <c r="AE193" s="2559">
        <f>Master!AD319</f>
        <v>43.820909170173103</v>
      </c>
      <c r="AF193" s="2559">
        <f>Master!AE319</f>
        <v>45.999465567884883</v>
      </c>
      <c r="AG193" s="2559">
        <f>Master!AF319</f>
        <v>43.823631762797149</v>
      </c>
      <c r="AH193" s="2559">
        <f>Master!AG319</f>
        <v>42.196848881666767</v>
      </c>
      <c r="AI193" s="2559">
        <f>Master!AH319</f>
        <v>0</v>
      </c>
      <c r="AJ193" s="2418"/>
      <c r="AK193" s="2418"/>
      <c r="AL193" s="2418"/>
      <c r="AM193" s="2418"/>
      <c r="AN193" s="2418"/>
      <c r="AO193" s="2414"/>
      <c r="AP193" s="2414"/>
      <c r="AQ193" s="2414"/>
      <c r="AR193" s="2414"/>
    </row>
    <row r="194" spans="1:44" ht="15.75">
      <c r="A194" s="2414"/>
      <c r="B194" s="2556" t="s">
        <v>9190</v>
      </c>
      <c r="C194" s="2557"/>
      <c r="D194" s="2560"/>
      <c r="E194" s="2560"/>
      <c r="F194" s="2560"/>
      <c r="G194" s="2560"/>
      <c r="H194" s="2560"/>
      <c r="I194" s="2560"/>
      <c r="J194" s="2560"/>
      <c r="K194" s="2560"/>
      <c r="L194" s="2560"/>
      <c r="M194" s="2560"/>
      <c r="N194" s="2560"/>
      <c r="O194" s="2560"/>
      <c r="P194" s="2560"/>
      <c r="Q194" s="2560"/>
      <c r="R194" s="2560"/>
      <c r="S194" s="2560"/>
      <c r="T194" s="2559">
        <f>Valuation!E25</f>
        <v>-291</v>
      </c>
      <c r="U194" s="2559">
        <f>Valuation!F25</f>
        <v>-251</v>
      </c>
      <c r="V194" s="2559">
        <f>Valuation!G25</f>
        <v>-252</v>
      </c>
      <c r="W194" s="2559">
        <f>Valuation!H25</f>
        <v>-204</v>
      </c>
      <c r="X194" s="2559">
        <f>Valuation!I25</f>
        <v>-222</v>
      </c>
      <c r="Y194" s="2559">
        <f>Valuation!J25</f>
        <v>-204</v>
      </c>
      <c r="Z194" s="2559">
        <f>Valuation!K25</f>
        <v>-158</v>
      </c>
      <c r="AA194" s="2559">
        <f>Valuation!L25</f>
        <v>-316</v>
      </c>
      <c r="AB194" s="2559">
        <f>Valuation!M25</f>
        <v>-233</v>
      </c>
      <c r="AC194" s="2559">
        <f>Valuation!N25</f>
        <v>-239</v>
      </c>
      <c r="AD194" s="2559">
        <f ca="1">Valuation!O25</f>
        <v>-267.30215329751451</v>
      </c>
      <c r="AE194" s="2559">
        <f ca="1">Valuation!P25</f>
        <v>-348.1306027258467</v>
      </c>
      <c r="AF194" s="2559">
        <f ca="1">Valuation!Q25</f>
        <v>-344.46528864977483</v>
      </c>
      <c r="AG194" s="2559">
        <f ca="1">Valuation!R25</f>
        <v>-350.34330438073926</v>
      </c>
      <c r="AH194" s="2559">
        <f ca="1">Valuation!S25</f>
        <v>-361.15754461674925</v>
      </c>
      <c r="AI194" s="2559">
        <f ca="1">Valuation!T25</f>
        <v>-374.78229820533898</v>
      </c>
      <c r="AJ194" s="2418"/>
      <c r="AK194" s="2418"/>
      <c r="AL194" s="2418"/>
      <c r="AM194" s="2418"/>
      <c r="AN194" s="2418"/>
      <c r="AO194" s="2414"/>
      <c r="AP194" s="2414"/>
      <c r="AQ194" s="2414"/>
      <c r="AR194" s="2414"/>
    </row>
    <row r="195" spans="1:44" ht="15.75">
      <c r="A195" s="2414"/>
      <c r="B195" s="2556" t="s">
        <v>1545</v>
      </c>
      <c r="C195" s="2557"/>
      <c r="D195" s="2560"/>
      <c r="E195" s="2560"/>
      <c r="F195" s="2560"/>
      <c r="G195" s="2560"/>
      <c r="H195" s="2560"/>
      <c r="I195" s="2560"/>
      <c r="J195" s="2560"/>
      <c r="K195" s="2560"/>
      <c r="L195" s="2560"/>
      <c r="M195" s="2560"/>
      <c r="N195" s="2560"/>
      <c r="O195" s="2560"/>
      <c r="P195" s="2560"/>
      <c r="Q195" s="2560"/>
      <c r="R195" s="2560"/>
      <c r="S195" s="2560"/>
      <c r="T195" s="2559">
        <f ca="1">Valuation!E22</f>
        <v>-1272.90797223254</v>
      </c>
      <c r="U195" s="2559">
        <f ca="1">Valuation!F22</f>
        <v>-1030.8847425156582</v>
      </c>
      <c r="V195" s="2559">
        <f>Valuation!G22</f>
        <v>-994</v>
      </c>
      <c r="W195" s="2559">
        <f>Valuation!H22</f>
        <v>-998.00000000000011</v>
      </c>
      <c r="X195" s="2559">
        <f ca="1">Valuation!I22</f>
        <v>-1056</v>
      </c>
      <c r="Y195" s="2559">
        <f ca="1">Valuation!J22</f>
        <v>-990</v>
      </c>
      <c r="Z195" s="2559">
        <f ca="1">Valuation!K22</f>
        <v>-1111</v>
      </c>
      <c r="AA195" s="2559">
        <f>Valuation!L22</f>
        <v>-957</v>
      </c>
      <c r="AB195" s="2559">
        <f>Valuation!M22</f>
        <v>-931</v>
      </c>
      <c r="AC195" s="2559">
        <f>Valuation!N22</f>
        <v>-575</v>
      </c>
      <c r="AD195" s="2559">
        <f>Valuation!O22</f>
        <v>-580.1684569653894</v>
      </c>
      <c r="AE195" s="2559">
        <f>Valuation!P22</f>
        <v>-558.17007617557863</v>
      </c>
      <c r="AF195" s="2559">
        <f>Valuation!Q22</f>
        <v>-554.72975816629184</v>
      </c>
      <c r="AG195" s="2559">
        <f>Valuation!R22</f>
        <v>-562.60612420755035</v>
      </c>
      <c r="AH195" s="2559">
        <f>Valuation!S22</f>
        <v>-564.67014578764781</v>
      </c>
      <c r="AI195" s="2559">
        <f>Valuation!T22</f>
        <v>-562.33058356837569</v>
      </c>
      <c r="AJ195" s="2418"/>
      <c r="AK195" s="2418"/>
      <c r="AL195" s="2418"/>
      <c r="AM195" s="2418"/>
      <c r="AN195" s="2418"/>
      <c r="AO195" s="2414"/>
      <c r="AP195" s="2414"/>
      <c r="AQ195" s="2414"/>
      <c r="AR195" s="2414"/>
    </row>
    <row r="196" spans="1:44" ht="15.75">
      <c r="A196" s="2414"/>
      <c r="B196" s="2556" t="s">
        <v>9191</v>
      </c>
      <c r="C196" s="2557"/>
      <c r="D196" s="2560"/>
      <c r="E196" s="2560"/>
      <c r="F196" s="2560"/>
      <c r="G196" s="2560"/>
      <c r="H196" s="2560"/>
      <c r="I196" s="2560"/>
      <c r="J196" s="2560"/>
      <c r="K196" s="2560"/>
      <c r="L196" s="2560"/>
      <c r="M196" s="2560"/>
      <c r="N196" s="2560"/>
      <c r="O196" s="2560"/>
      <c r="P196" s="2560"/>
      <c r="Q196" s="2560"/>
      <c r="R196" s="2560"/>
      <c r="S196" s="2560"/>
      <c r="T196" s="2559">
        <f>Valuation!E24</f>
        <v>0</v>
      </c>
      <c r="U196" s="2559">
        <f>Valuation!F24</f>
        <v>0</v>
      </c>
      <c r="V196" s="2559">
        <f>Valuation!G24</f>
        <v>0</v>
      </c>
      <c r="W196" s="2559">
        <f>Valuation!H24</f>
        <v>0</v>
      </c>
      <c r="X196" s="2559">
        <f>Valuation!I24</f>
        <v>0</v>
      </c>
      <c r="Y196" s="2559">
        <f>Valuation!J24</f>
        <v>0</v>
      </c>
      <c r="Z196" s="2559">
        <f>Valuation!K24</f>
        <v>0</v>
      </c>
      <c r="AA196" s="2559">
        <f>Valuation!L24</f>
        <v>88</v>
      </c>
      <c r="AB196" s="2559">
        <f>Valuation!M24</f>
        <v>86</v>
      </c>
      <c r="AC196" s="2559">
        <f>Valuation!N24</f>
        <v>89</v>
      </c>
      <c r="AD196" s="2559">
        <f>Valuation!O24</f>
        <v>90.811654055326841</v>
      </c>
      <c r="AE196" s="2559">
        <f>Valuation!P24</f>
        <v>92.146272251115363</v>
      </c>
      <c r="AF196" s="2559">
        <f>Valuation!Q24</f>
        <v>96.027797564235556</v>
      </c>
      <c r="AG196" s="2559">
        <f>Valuation!R24</f>
        <v>96.027797564235556</v>
      </c>
      <c r="AH196" s="2559">
        <f>Valuation!S24</f>
        <v>96.027797564235556</v>
      </c>
      <c r="AI196" s="2559">
        <f>Valuation!T24</f>
        <v>96.027797564235556</v>
      </c>
      <c r="AJ196" s="2418"/>
      <c r="AK196" s="2418"/>
      <c r="AL196" s="2418"/>
      <c r="AM196" s="2418"/>
      <c r="AN196" s="2418"/>
      <c r="AO196" s="2414"/>
      <c r="AP196" s="2414"/>
      <c r="AQ196" s="2414"/>
      <c r="AR196" s="2414"/>
    </row>
    <row r="197" spans="1:44" ht="15.75">
      <c r="A197" s="2414"/>
      <c r="B197" s="2556" t="s">
        <v>9192</v>
      </c>
      <c r="C197" s="2557"/>
      <c r="D197" s="2560"/>
      <c r="E197" s="2560"/>
      <c r="F197" s="2560"/>
      <c r="G197" s="2560"/>
      <c r="H197" s="2560"/>
      <c r="I197" s="2560"/>
      <c r="J197" s="2560"/>
      <c r="K197" s="2560"/>
      <c r="L197" s="2560"/>
      <c r="M197" s="2560"/>
      <c r="N197" s="2560"/>
      <c r="O197" s="2560"/>
      <c r="P197" s="2560"/>
      <c r="Q197" s="2560"/>
      <c r="R197" s="2560"/>
      <c r="S197" s="2560"/>
      <c r="T197" s="2559">
        <f>Valuation!E26</f>
        <v>-269</v>
      </c>
      <c r="U197" s="2559">
        <f>Valuation!F26</f>
        <v>-165</v>
      </c>
      <c r="V197" s="2559">
        <f>Valuation!G26</f>
        <v>-164</v>
      </c>
      <c r="W197" s="2559">
        <f>Valuation!H26</f>
        <v>-198</v>
      </c>
      <c r="X197" s="2559">
        <f ca="1">Valuation!I26</f>
        <v>-125.1156955842669</v>
      </c>
      <c r="Y197" s="2559">
        <f ca="1">Valuation!J26</f>
        <v>-144.48857795266565</v>
      </c>
      <c r="Z197" s="2559">
        <f ca="1">Valuation!K26</f>
        <v>-183.05293298771892</v>
      </c>
      <c r="AA197" s="2559">
        <f>Valuation!L26</f>
        <v>-4</v>
      </c>
      <c r="AB197" s="2559">
        <f>Valuation!M26</f>
        <v>0</v>
      </c>
      <c r="AC197" s="2559">
        <f>Valuation!N26</f>
        <v>0</v>
      </c>
      <c r="AD197" s="2559">
        <f>Valuation!O26</f>
        <v>0</v>
      </c>
      <c r="AE197" s="2559">
        <f>Valuation!P26</f>
        <v>0</v>
      </c>
      <c r="AF197" s="2559">
        <f>Valuation!Q26</f>
        <v>0</v>
      </c>
      <c r="AG197" s="2559">
        <f>Valuation!R26</f>
        <v>0</v>
      </c>
      <c r="AH197" s="2559">
        <f>Valuation!S26</f>
        <v>0</v>
      </c>
      <c r="AI197" s="2559">
        <f>Valuation!T26</f>
        <v>0</v>
      </c>
      <c r="AJ197" s="2418"/>
      <c r="AK197" s="2418"/>
      <c r="AL197" s="2418"/>
      <c r="AM197" s="2418"/>
      <c r="AN197" s="2418"/>
      <c r="AO197" s="2414"/>
      <c r="AP197" s="2414"/>
      <c r="AQ197" s="2414"/>
      <c r="AR197" s="2414"/>
    </row>
    <row r="198" spans="1:44" ht="15.75">
      <c r="A198" s="2414"/>
      <c r="B198" s="2556" t="s">
        <v>1377</v>
      </c>
      <c r="C198" s="2557"/>
      <c r="D198" s="2560"/>
      <c r="E198" s="2560"/>
      <c r="F198" s="2560"/>
      <c r="G198" s="2560"/>
      <c r="H198" s="2560"/>
      <c r="I198" s="2560"/>
      <c r="J198" s="2560"/>
      <c r="K198" s="2560"/>
      <c r="L198" s="2560"/>
      <c r="M198" s="2560"/>
      <c r="N198" s="2560"/>
      <c r="O198" s="2560"/>
      <c r="P198" s="2560"/>
      <c r="Q198" s="2560"/>
      <c r="R198" s="2560"/>
      <c r="S198" s="2560"/>
      <c r="T198" s="2559">
        <f>Valuation!E31+Valuation!E30-T193</f>
        <v>2012</v>
      </c>
      <c r="U198" s="2559">
        <f>Valuation!F31+Valuation!F30-U193</f>
        <v>308</v>
      </c>
      <c r="V198" s="2559">
        <f>Valuation!G31+Valuation!G30-V193</f>
        <v>177.40000000000009</v>
      </c>
      <c r="W198" s="2559">
        <f>Valuation!H31+Valuation!H30-W193</f>
        <v>-565.40000000000009</v>
      </c>
      <c r="X198" s="2559">
        <f>Valuation!I31+Valuation!I30-X193</f>
        <v>-483</v>
      </c>
      <c r="Y198" s="2559">
        <f>Valuation!J31+Valuation!J30-Y193</f>
        <v>-65.999999999999886</v>
      </c>
      <c r="Z198" s="2559">
        <f>Valuation!K31+Valuation!K30-Z193</f>
        <v>-314</v>
      </c>
      <c r="AA198" s="2559">
        <f>Valuation!L31+Valuation!L30-AA193</f>
        <v>329.99999999999989</v>
      </c>
      <c r="AB198" s="2559">
        <f>Valuation!M31+Valuation!M30-AB193</f>
        <v>-168</v>
      </c>
      <c r="AC198" s="2559">
        <f>Valuation!N31+Valuation!N30-AC193</f>
        <v>-206</v>
      </c>
      <c r="AD198" s="2559">
        <f>Valuation!O31+Valuation!O30-AD193</f>
        <v>-70.286985137256181</v>
      </c>
      <c r="AE198" s="2559">
        <f>Valuation!P31+Valuation!P30-AE193</f>
        <v>4.471411480631005</v>
      </c>
      <c r="AF198" s="2559">
        <f>Valuation!Q31+Valuation!Q30-AF193</f>
        <v>4.9433592352116094</v>
      </c>
      <c r="AG198" s="2559">
        <f>Valuation!R31+Valuation!R30-AG193</f>
        <v>7.7714313418401844</v>
      </c>
      <c r="AH198" s="2559">
        <f>Valuation!S31+Valuation!S30-AH193</f>
        <v>33.887693537714242</v>
      </c>
      <c r="AI198" s="2559">
        <f>Valuation!T31+Valuation!T30-AI193</f>
        <v>73.084941484987212</v>
      </c>
      <c r="AJ198" s="2418"/>
      <c r="AK198" s="2418"/>
      <c r="AL198" s="2418"/>
      <c r="AM198" s="2418"/>
      <c r="AN198" s="2418"/>
      <c r="AO198" s="2414"/>
      <c r="AP198" s="2414"/>
      <c r="AQ198" s="2414"/>
      <c r="AR198" s="2414"/>
    </row>
    <row r="199" spans="1:44" ht="15.75">
      <c r="A199" s="2414"/>
      <c r="B199" s="2561" t="s">
        <v>9193</v>
      </c>
      <c r="C199" s="2562"/>
      <c r="D199" s="2563"/>
      <c r="E199" s="2563"/>
      <c r="F199" s="2563"/>
      <c r="G199" s="2563"/>
      <c r="H199" s="2563"/>
      <c r="I199" s="2563"/>
      <c r="J199" s="2563"/>
      <c r="K199" s="2563"/>
      <c r="L199" s="2563"/>
      <c r="M199" s="2563"/>
      <c r="N199" s="2563"/>
      <c r="O199" s="2563"/>
      <c r="P199" s="2563"/>
      <c r="Q199" s="2563"/>
      <c r="R199" s="2563"/>
      <c r="S199" s="2563"/>
      <c r="T199" s="2564">
        <f t="shared" ref="T199:AA199" ca="1" si="78">SUM(T192:T198)</f>
        <v>432.72297199899958</v>
      </c>
      <c r="U199" s="2564">
        <f t="shared" ca="1" si="78"/>
        <v>778.61525748434178</v>
      </c>
      <c r="V199" s="2564">
        <f t="shared" si="78"/>
        <v>771</v>
      </c>
      <c r="W199" s="2564">
        <f t="shared" si="78"/>
        <v>782</v>
      </c>
      <c r="X199" s="2564">
        <f t="shared" ca="1" si="78"/>
        <v>1146.8843044157331</v>
      </c>
      <c r="Y199" s="2564">
        <f t="shared" ca="1" si="78"/>
        <v>1302.5114220473342</v>
      </c>
      <c r="Z199" s="2564">
        <f t="shared" ca="1" si="78"/>
        <v>1160.947067012281</v>
      </c>
      <c r="AA199" s="2564">
        <f t="shared" ref="AA199:AB199" si="79">SUM(AA192:AA198)</f>
        <v>941.13499999999965</v>
      </c>
      <c r="AB199" s="2564">
        <f t="shared" si="79"/>
        <v>966.28549999999996</v>
      </c>
      <c r="AC199" s="2564">
        <f ca="1">SUM(AC192:AC198)</f>
        <v>1693.6458000000002</v>
      </c>
      <c r="AD199" s="2564">
        <f t="shared" ref="AD199:AI199" ca="1" si="80">SUM(AD192:AD198)</f>
        <v>1595.2344675556301</v>
      </c>
      <c r="AE199" s="2564">
        <f t="shared" ca="1" si="80"/>
        <v>1630.3369162094543</v>
      </c>
      <c r="AF199" s="2564">
        <f t="shared" ca="1" si="80"/>
        <v>1708.7836827953199</v>
      </c>
      <c r="AG199" s="2564">
        <f t="shared" ca="1" si="80"/>
        <v>1766.1549146204798</v>
      </c>
      <c r="AH199" s="2564">
        <f t="shared" ca="1" si="80"/>
        <v>1851.5120726003722</v>
      </c>
      <c r="AI199" s="2564">
        <f t="shared" ca="1" si="80"/>
        <v>1907.7830501032813</v>
      </c>
      <c r="AJ199" s="2418"/>
      <c r="AK199" s="2418"/>
      <c r="AL199" s="2418"/>
      <c r="AM199" s="2418"/>
      <c r="AN199" s="2418"/>
      <c r="AO199" s="2414"/>
      <c r="AP199" s="2414"/>
      <c r="AQ199" s="2414"/>
      <c r="AR199" s="2414"/>
    </row>
    <row r="200" spans="1:44" ht="15.75">
      <c r="A200" s="2414"/>
      <c r="B200" s="2565"/>
      <c r="C200" s="2557"/>
      <c r="D200" s="2560"/>
      <c r="E200" s="2560"/>
      <c r="F200" s="2560"/>
      <c r="G200" s="2560"/>
      <c r="H200" s="2560"/>
      <c r="I200" s="2560"/>
      <c r="J200" s="2560"/>
      <c r="K200" s="2560"/>
      <c r="L200" s="2560"/>
      <c r="M200" s="2560"/>
      <c r="N200" s="2560"/>
      <c r="O200" s="2560"/>
      <c r="P200" s="2560"/>
      <c r="Q200" s="2560"/>
      <c r="R200" s="2560"/>
      <c r="S200" s="2560"/>
      <c r="T200" s="2559"/>
      <c r="U200" s="2559"/>
      <c r="V200" s="2559"/>
      <c r="W200" s="2559"/>
      <c r="X200" s="2559"/>
      <c r="Y200" s="2559"/>
      <c r="Z200" s="2559"/>
      <c r="AA200" s="2559"/>
      <c r="AB200" s="2559"/>
      <c r="AC200" s="2559"/>
      <c r="AD200" s="2559"/>
      <c r="AE200" s="2559"/>
      <c r="AF200" s="2559"/>
      <c r="AG200" s="2559"/>
      <c r="AH200" s="2559"/>
      <c r="AI200" s="2559"/>
      <c r="AJ200" s="2418"/>
      <c r="AK200" s="2418"/>
      <c r="AL200" s="2418"/>
      <c r="AM200" s="2418"/>
      <c r="AN200" s="2418"/>
      <c r="AO200" s="2414"/>
      <c r="AP200" s="2414"/>
      <c r="AQ200" s="2414"/>
      <c r="AR200" s="2414"/>
    </row>
    <row r="201" spans="1:44" ht="15.75">
      <c r="A201" s="2414"/>
      <c r="B201" s="2556" t="s">
        <v>9194</v>
      </c>
      <c r="C201" s="2557"/>
      <c r="D201" s="2560"/>
      <c r="E201" s="2560"/>
      <c r="F201" s="2560"/>
      <c r="G201" s="2560"/>
      <c r="H201" s="2560"/>
      <c r="I201" s="2560"/>
      <c r="J201" s="2560"/>
      <c r="K201" s="2560"/>
      <c r="L201" s="2560"/>
      <c r="M201" s="2560"/>
      <c r="N201" s="2560"/>
      <c r="O201" s="2560"/>
      <c r="P201" s="2560"/>
      <c r="Q201" s="2560"/>
      <c r="R201" s="2560"/>
      <c r="S201" s="2560"/>
      <c r="T201" s="2559">
        <f>Valuation!E23+Master!R438</f>
        <v>-397</v>
      </c>
      <c r="U201" s="2559">
        <f>Valuation!F23+Master!S438</f>
        <v>-472</v>
      </c>
      <c r="V201" s="2559">
        <f>Valuation!G23+Master!T438</f>
        <v>-471</v>
      </c>
      <c r="W201" s="2559">
        <f>Valuation!H23+Master!U438</f>
        <v>-436</v>
      </c>
      <c r="X201" s="2559">
        <f>Valuation!I23+Master!V438</f>
        <v>-494</v>
      </c>
      <c r="Y201" s="2559">
        <f>Valuation!J23+Master!W438</f>
        <v>-570</v>
      </c>
      <c r="Z201" s="2559">
        <f>Valuation!K23+Master!X438</f>
        <v>-423</v>
      </c>
      <c r="AA201" s="2559">
        <f>Valuation!L23+Master!Y438</f>
        <v>-599</v>
      </c>
      <c r="AB201" s="2559">
        <f>Valuation!M23+Master!Z438</f>
        <v>-664</v>
      </c>
      <c r="AC201" s="2559">
        <f>Valuation!N23+Master!AA438</f>
        <v>-576</v>
      </c>
      <c r="AD201" s="2559">
        <f ca="1">Valuation!O23+Master!AB438</f>
        <v>-511.08154709684391</v>
      </c>
      <c r="AE201" s="2559">
        <f ca="1">Valuation!P23+Master!AC438</f>
        <v>-510.23657562505343</v>
      </c>
      <c r="AF201" s="2559">
        <f ca="1">Valuation!Q23+Master!AD438</f>
        <v>-532.92335897361158</v>
      </c>
      <c r="AG201" s="2559">
        <f ca="1">Valuation!R23+Master!AE438</f>
        <v>-546.51770117429635</v>
      </c>
      <c r="AH201" s="2559">
        <f ca="1">Valuation!S23+Master!AF438</f>
        <v>-557.70187765358082</v>
      </c>
      <c r="AI201" s="2559">
        <f ca="1">Valuation!T23+Master!AG438</f>
        <v>-566.90870425755293</v>
      </c>
      <c r="AJ201" s="2418"/>
      <c r="AK201" s="2418"/>
      <c r="AL201" s="2418"/>
      <c r="AM201" s="2418"/>
      <c r="AN201" s="2418"/>
      <c r="AO201" s="2414"/>
      <c r="AP201" s="2414"/>
      <c r="AQ201" s="2414"/>
      <c r="AR201" s="2414"/>
    </row>
    <row r="202" spans="1:44" ht="15.75">
      <c r="A202" s="2414"/>
      <c r="B202" s="2556" t="s">
        <v>9195</v>
      </c>
      <c r="C202" s="2557"/>
      <c r="D202" s="2560"/>
      <c r="E202" s="2560"/>
      <c r="F202" s="2560"/>
      <c r="G202" s="2560"/>
      <c r="H202" s="2560"/>
      <c r="I202" s="2560"/>
      <c r="J202" s="2560"/>
      <c r="K202" s="2560"/>
      <c r="L202" s="2560"/>
      <c r="M202" s="2560"/>
      <c r="N202" s="2560"/>
      <c r="O202" s="2560"/>
      <c r="P202" s="2560"/>
      <c r="Q202" s="2560"/>
      <c r="R202" s="2560"/>
      <c r="S202" s="2560"/>
      <c r="T202" s="2559">
        <f>-Master!R438</f>
        <v>0</v>
      </c>
      <c r="U202" s="2559">
        <f>-Master!S438</f>
        <v>0</v>
      </c>
      <c r="V202" s="2559">
        <f>-Master!T438</f>
        <v>0</v>
      </c>
      <c r="W202" s="2559">
        <f>-Master!U438</f>
        <v>0</v>
      </c>
      <c r="X202" s="2559">
        <f>-Master!V438</f>
        <v>-118</v>
      </c>
      <c r="Y202" s="2559">
        <f>-Master!W438</f>
        <v>-152</v>
      </c>
      <c r="Z202" s="2559">
        <f>-Master!X438</f>
        <v>-160</v>
      </c>
      <c r="AA202" s="2559">
        <f>-Master!Y438</f>
        <v>-89</v>
      </c>
      <c r="AB202" s="2559">
        <f>-Master!Z438</f>
        <v>-102</v>
      </c>
      <c r="AC202" s="2559">
        <f>-Master!AA438</f>
        <v>-204</v>
      </c>
      <c r="AD202" s="2559">
        <f ca="1">-Master!AB438</f>
        <v>-224.53200000000001</v>
      </c>
      <c r="AE202" s="2559">
        <f ca="1">-Master!AC438</f>
        <v>-229.02264000000002</v>
      </c>
      <c r="AF202" s="2559">
        <f ca="1">-Master!AD438</f>
        <v>-233.60309279999998</v>
      </c>
      <c r="AG202" s="2559">
        <f ca="1">-Master!AE438</f>
        <v>-238.27515465599993</v>
      </c>
      <c r="AH202" s="2559">
        <f ca="1">-Master!AF438</f>
        <v>-243.0406577491199</v>
      </c>
      <c r="AI202" s="2559">
        <f ca="1">-Master!AG438</f>
        <v>-247.9014709041023</v>
      </c>
      <c r="AJ202" s="2418"/>
      <c r="AK202" s="2418"/>
      <c r="AL202" s="2418"/>
      <c r="AM202" s="2418"/>
      <c r="AN202" s="2418"/>
      <c r="AO202" s="2414"/>
      <c r="AP202" s="2414"/>
      <c r="AQ202" s="2414"/>
      <c r="AR202" s="2414"/>
    </row>
    <row r="203" spans="1:44" ht="15.75">
      <c r="A203" s="2414"/>
      <c r="B203" s="2566" t="s">
        <v>9198</v>
      </c>
      <c r="C203" s="2562"/>
      <c r="D203" s="2563"/>
      <c r="E203" s="2563"/>
      <c r="F203" s="2563"/>
      <c r="G203" s="2563"/>
      <c r="H203" s="2563"/>
      <c r="I203" s="2563"/>
      <c r="J203" s="2563"/>
      <c r="K203" s="2563"/>
      <c r="L203" s="2563"/>
      <c r="M203" s="2563"/>
      <c r="N203" s="2563"/>
      <c r="O203" s="2563"/>
      <c r="P203" s="2563"/>
      <c r="Q203" s="2563"/>
      <c r="R203" s="2563"/>
      <c r="S203" s="2563"/>
      <c r="T203" s="2567">
        <f t="shared" ref="T203:AA203" ca="1" si="81">SUM(T199:T202)</f>
        <v>35.722971998999583</v>
      </c>
      <c r="U203" s="2567">
        <f t="shared" ca="1" si="81"/>
        <v>306.61525748434178</v>
      </c>
      <c r="V203" s="2567">
        <f t="shared" si="81"/>
        <v>300</v>
      </c>
      <c r="W203" s="2567">
        <f t="shared" si="81"/>
        <v>346</v>
      </c>
      <c r="X203" s="2567">
        <f t="shared" ca="1" si="81"/>
        <v>534.88430441573314</v>
      </c>
      <c r="Y203" s="2567">
        <f t="shared" ca="1" si="81"/>
        <v>580.51142204733424</v>
      </c>
      <c r="Z203" s="2567">
        <f t="shared" ca="1" si="81"/>
        <v>577.94706701228097</v>
      </c>
      <c r="AA203" s="2567">
        <f t="shared" ref="AA203:AB203" si="82">SUM(AA199:AA202)</f>
        <v>253.13499999999965</v>
      </c>
      <c r="AB203" s="2567">
        <f t="shared" si="82"/>
        <v>200.28549999999996</v>
      </c>
      <c r="AC203" s="2567">
        <f ca="1">SUM(AC199:AC202)</f>
        <v>913.64580000000024</v>
      </c>
      <c r="AD203" s="2567">
        <f t="shared" ref="AD203:AI203" ca="1" si="83">SUM(AD199:AD202)</f>
        <v>859.62092045878614</v>
      </c>
      <c r="AE203" s="2567">
        <f t="shared" ca="1" si="83"/>
        <v>891.07770058440076</v>
      </c>
      <c r="AF203" s="2567">
        <f t="shared" ca="1" si="83"/>
        <v>942.25723102170832</v>
      </c>
      <c r="AG203" s="2567">
        <f t="shared" ca="1" si="83"/>
        <v>981.3620587901836</v>
      </c>
      <c r="AH203" s="2567">
        <f t="shared" ca="1" si="83"/>
        <v>1050.7695371976715</v>
      </c>
      <c r="AI203" s="2567">
        <f t="shared" ca="1" si="83"/>
        <v>1092.9728749416261</v>
      </c>
      <c r="AJ203" s="2418"/>
      <c r="AK203" s="2418"/>
      <c r="AL203" s="2418"/>
      <c r="AM203" s="2418"/>
      <c r="AN203" s="2418"/>
      <c r="AO203" s="2414"/>
      <c r="AP203" s="2414"/>
      <c r="AQ203" s="2414"/>
      <c r="AR203" s="2414"/>
    </row>
    <row r="204" spans="1:44" ht="15.75">
      <c r="A204" s="2414"/>
      <c r="B204" s="2556"/>
      <c r="C204" s="2557"/>
      <c r="D204" s="2560"/>
      <c r="E204" s="2560"/>
      <c r="F204" s="2560"/>
      <c r="G204" s="2560"/>
      <c r="H204" s="2560"/>
      <c r="I204" s="2560"/>
      <c r="J204" s="2560"/>
      <c r="K204" s="2560"/>
      <c r="L204" s="2560"/>
      <c r="M204" s="2560"/>
      <c r="N204" s="2560"/>
      <c r="O204" s="2560"/>
      <c r="P204" s="2560"/>
      <c r="Q204" s="2560"/>
      <c r="R204" s="2560"/>
      <c r="S204" s="2560"/>
      <c r="T204" s="2558"/>
      <c r="U204" s="2558"/>
      <c r="V204" s="2558"/>
      <c r="W204" s="2558"/>
      <c r="X204" s="2558"/>
      <c r="Y204" s="2558"/>
      <c r="Z204" s="2558"/>
      <c r="AA204" s="2558"/>
      <c r="AB204" s="2558"/>
      <c r="AC204" s="2558"/>
      <c r="AD204" s="2558"/>
      <c r="AE204" s="2558"/>
      <c r="AF204" s="2558"/>
      <c r="AG204" s="2558"/>
      <c r="AH204" s="2558"/>
      <c r="AI204" s="2558"/>
      <c r="AJ204" s="2418"/>
      <c r="AK204" s="2418"/>
      <c r="AL204" s="2418"/>
      <c r="AM204" s="2418"/>
      <c r="AN204" s="2418"/>
      <c r="AO204" s="2414"/>
      <c r="AP204" s="2414"/>
      <c r="AQ204" s="2414"/>
      <c r="AR204" s="2414"/>
    </row>
    <row r="205" spans="1:44" ht="15.75">
      <c r="A205" s="2414"/>
      <c r="B205" s="2556" t="s">
        <v>9196</v>
      </c>
      <c r="C205" s="2557"/>
      <c r="D205" s="2560"/>
      <c r="E205" s="2560"/>
      <c r="F205" s="2560"/>
      <c r="G205" s="2560"/>
      <c r="H205" s="2560"/>
      <c r="I205" s="2560"/>
      <c r="J205" s="2560"/>
      <c r="K205" s="2560"/>
      <c r="L205" s="2560"/>
      <c r="M205" s="2560"/>
      <c r="N205" s="2560"/>
      <c r="O205" s="2560"/>
      <c r="P205" s="2560"/>
      <c r="Q205" s="2560"/>
      <c r="R205" s="2560"/>
      <c r="S205" s="2560"/>
      <c r="T205" s="2558">
        <f>-Valuation!E28</f>
        <v>0</v>
      </c>
      <c r="U205" s="2558">
        <f>-Valuation!F28</f>
        <v>0</v>
      </c>
      <c r="V205" s="2558">
        <f>-Valuation!G28</f>
        <v>0</v>
      </c>
      <c r="W205" s="2558">
        <f>-Valuation!H28</f>
        <v>0</v>
      </c>
      <c r="X205" s="2558">
        <f>-Valuation!I28</f>
        <v>0</v>
      </c>
      <c r="Y205" s="2558">
        <f>-Valuation!J28</f>
        <v>0</v>
      </c>
      <c r="Z205" s="2558">
        <f>-Valuation!K28</f>
        <v>0</v>
      </c>
      <c r="AA205" s="2558">
        <f>-Valuation!L28</f>
        <v>-92.93</v>
      </c>
      <c r="AB205" s="2558">
        <f>-Valuation!M28</f>
        <v>-236</v>
      </c>
      <c r="AC205" s="2558">
        <f>-Valuation!N28</f>
        <v>-135</v>
      </c>
      <c r="AD205" s="2558">
        <f>-Valuation!O28</f>
        <v>-100</v>
      </c>
      <c r="AE205" s="2558">
        <f>-Valuation!P28</f>
        <v>-100</v>
      </c>
      <c r="AF205" s="2558">
        <f>-Valuation!Q28</f>
        <v>-100</v>
      </c>
      <c r="AG205" s="2558">
        <f>-Valuation!R28</f>
        <v>-100</v>
      </c>
      <c r="AH205" s="2558">
        <f>-Valuation!S28</f>
        <v>-100</v>
      </c>
      <c r="AI205" s="2558">
        <f>-Valuation!T28</f>
        <v>-100</v>
      </c>
      <c r="AJ205" s="2418"/>
      <c r="AK205" s="2418"/>
      <c r="AL205" s="2418"/>
      <c r="AM205" s="2418"/>
      <c r="AN205" s="2418"/>
      <c r="AO205" s="2414"/>
      <c r="AP205" s="2414"/>
      <c r="AQ205" s="2414"/>
      <c r="AR205" s="2414"/>
    </row>
    <row r="206" spans="1:44" ht="15.75">
      <c r="A206" s="2414"/>
      <c r="B206" s="2568" t="s">
        <v>574</v>
      </c>
      <c r="C206" s="2562"/>
      <c r="D206" s="2563"/>
      <c r="E206" s="2563"/>
      <c r="F206" s="2563"/>
      <c r="G206" s="2563"/>
      <c r="H206" s="2563"/>
      <c r="I206" s="2563"/>
      <c r="J206" s="2563"/>
      <c r="K206" s="2563"/>
      <c r="L206" s="2563"/>
      <c r="M206" s="2563"/>
      <c r="N206" s="2563"/>
      <c r="O206" s="2563"/>
      <c r="P206" s="2563"/>
      <c r="Q206" s="2563"/>
      <c r="R206" s="2563"/>
      <c r="S206" s="2563"/>
      <c r="T206" s="2564">
        <f t="shared" ref="T206:AA206" ca="1" si="84">SUM(T203:T205)</f>
        <v>35.722971998999583</v>
      </c>
      <c r="U206" s="2564">
        <f t="shared" ca="1" si="84"/>
        <v>306.61525748434178</v>
      </c>
      <c r="V206" s="2564">
        <f t="shared" si="84"/>
        <v>300</v>
      </c>
      <c r="W206" s="2564">
        <f t="shared" si="84"/>
        <v>346</v>
      </c>
      <c r="X206" s="2564">
        <f t="shared" ca="1" si="84"/>
        <v>534.88430441573314</v>
      </c>
      <c r="Y206" s="2564">
        <f t="shared" ca="1" si="84"/>
        <v>580.51142204733424</v>
      </c>
      <c r="Z206" s="2564">
        <f t="shared" ca="1" si="84"/>
        <v>577.94706701228097</v>
      </c>
      <c r="AA206" s="2564">
        <f t="shared" ref="AA206:AB206" si="85">SUM(AA203:AA205)</f>
        <v>160.20499999999964</v>
      </c>
      <c r="AB206" s="2564">
        <f t="shared" si="85"/>
        <v>-35.714500000000044</v>
      </c>
      <c r="AC206" s="2564">
        <f ca="1">SUM(AC203:AC205)</f>
        <v>778.64580000000024</v>
      </c>
      <c r="AD206" s="2564">
        <f t="shared" ref="AD206:AI206" ca="1" si="86">SUM(AD203:AD205)</f>
        <v>759.62092045878614</v>
      </c>
      <c r="AE206" s="2564">
        <f t="shared" ca="1" si="86"/>
        <v>791.07770058440076</v>
      </c>
      <c r="AF206" s="2564">
        <f t="shared" ca="1" si="86"/>
        <v>842.25723102170832</v>
      </c>
      <c r="AG206" s="2564">
        <f t="shared" ca="1" si="86"/>
        <v>881.3620587901836</v>
      </c>
      <c r="AH206" s="2564">
        <f t="shared" ca="1" si="86"/>
        <v>950.76953719767153</v>
      </c>
      <c r="AI206" s="2564">
        <f t="shared" ca="1" si="86"/>
        <v>992.97287494162606</v>
      </c>
      <c r="AJ206" s="2418"/>
      <c r="AK206" s="2418"/>
      <c r="AL206" s="2418"/>
      <c r="AM206" s="2418"/>
      <c r="AN206" s="2418"/>
      <c r="AO206" s="2414"/>
      <c r="AP206" s="2414"/>
      <c r="AQ206" s="2414"/>
      <c r="AR206" s="2414"/>
    </row>
    <row r="207" spans="1:44" ht="15.75">
      <c r="A207" s="2414"/>
      <c r="B207" s="2556"/>
      <c r="C207" s="2557"/>
      <c r="D207" s="2560"/>
      <c r="E207" s="2560"/>
      <c r="F207" s="2560"/>
      <c r="G207" s="2560"/>
      <c r="H207" s="2560"/>
      <c r="I207" s="2560"/>
      <c r="J207" s="2560"/>
      <c r="K207" s="2560"/>
      <c r="L207" s="2560"/>
      <c r="M207" s="2560"/>
      <c r="N207" s="2560"/>
      <c r="O207" s="2560"/>
      <c r="P207" s="2560"/>
      <c r="Q207" s="2560"/>
      <c r="R207" s="2560"/>
      <c r="S207" s="2560"/>
      <c r="T207" s="2569"/>
      <c r="U207" s="2569"/>
      <c r="V207" s="2569"/>
      <c r="W207" s="2569"/>
      <c r="X207" s="2569"/>
      <c r="Y207" s="2569"/>
      <c r="Z207" s="2569"/>
      <c r="AA207" s="2569"/>
      <c r="AB207" s="2569"/>
      <c r="AC207" s="2569"/>
      <c r="AD207" s="2569"/>
      <c r="AE207" s="2569"/>
      <c r="AF207" s="2569"/>
      <c r="AG207" s="2569"/>
      <c r="AH207" s="2569"/>
      <c r="AI207" s="2569"/>
      <c r="AJ207" s="2418"/>
      <c r="AK207" s="2418"/>
      <c r="AL207" s="2418"/>
      <c r="AM207" s="2418"/>
      <c r="AN207" s="2418"/>
      <c r="AO207" s="2414"/>
      <c r="AP207" s="2414"/>
      <c r="AQ207" s="2414"/>
      <c r="AR207" s="2414"/>
    </row>
    <row r="208" spans="1:44" ht="15.75">
      <c r="A208" s="2414"/>
      <c r="B208" s="2556" t="s">
        <v>3365</v>
      </c>
      <c r="C208" s="2557"/>
      <c r="D208" s="2560"/>
      <c r="E208" s="2560"/>
      <c r="F208" s="2560"/>
      <c r="G208" s="2560"/>
      <c r="H208" s="2560"/>
      <c r="I208" s="2560"/>
      <c r="J208" s="2560"/>
      <c r="K208" s="2560"/>
      <c r="L208" s="2560"/>
      <c r="M208" s="2560"/>
      <c r="N208" s="2560"/>
      <c r="O208" s="2560"/>
      <c r="P208" s="2560"/>
      <c r="Q208" s="2560"/>
      <c r="R208" s="2560"/>
      <c r="S208" s="2560"/>
      <c r="T208" s="2558">
        <f>Master!R364</f>
        <v>263.73599999999999</v>
      </c>
      <c r="U208" s="2558">
        <f>Master!S364</f>
        <v>263.73599999999999</v>
      </c>
      <c r="V208" s="2558">
        <f>Master!T364</f>
        <v>263.73599999999999</v>
      </c>
      <c r="W208" s="2558">
        <f>Master!U364</f>
        <v>263.73599999999999</v>
      </c>
      <c r="X208" s="2558">
        <f>Master!V364</f>
        <v>0</v>
      </c>
      <c r="Y208" s="2558">
        <f>Master!W364</f>
        <v>0</v>
      </c>
      <c r="Z208" s="2558">
        <f>Master!X364</f>
        <v>0</v>
      </c>
      <c r="AA208" s="2558">
        <f>Master!Y364</f>
        <v>0</v>
      </c>
      <c r="AB208" s="2558">
        <f>Master!Z364</f>
        <v>0</v>
      </c>
      <c r="AC208" s="2558">
        <f>Master!AA364</f>
        <v>556.76724999999999</v>
      </c>
      <c r="AD208" s="2558">
        <f>Master!AB364</f>
        <v>499.089</v>
      </c>
      <c r="AE208" s="2558">
        <f>Master!AC364</f>
        <v>524.42975000000001</v>
      </c>
      <c r="AF208" s="2558">
        <f>Master!AD364</f>
        <v>547.27049999999997</v>
      </c>
      <c r="AG208" s="2558">
        <f>Master!AE364</f>
        <v>567.61125000000004</v>
      </c>
      <c r="AH208" s="2558">
        <f>Master!AF364</f>
        <v>585.452</v>
      </c>
      <c r="AI208" s="2558">
        <f>Master!AG364</f>
        <v>600.79274999999996</v>
      </c>
      <c r="AJ208" s="2418"/>
      <c r="AK208" s="2418"/>
      <c r="AL208" s="2418"/>
      <c r="AM208" s="2418"/>
      <c r="AN208" s="2418"/>
      <c r="AO208" s="2414"/>
      <c r="AP208" s="2414"/>
      <c r="AQ208" s="2414"/>
      <c r="AR208" s="2414"/>
    </row>
    <row r="209" spans="1:44" ht="15.75">
      <c r="A209" s="2414"/>
      <c r="B209" s="2556" t="s">
        <v>9197</v>
      </c>
      <c r="C209" s="2557"/>
      <c r="D209" s="2560"/>
      <c r="E209" s="2560"/>
      <c r="F209" s="2560"/>
      <c r="G209" s="2560"/>
      <c r="H209" s="2560"/>
      <c r="I209" s="2560"/>
      <c r="J209" s="2560"/>
      <c r="K209" s="2560"/>
      <c r="L209" s="2560"/>
      <c r="M209" s="2560"/>
      <c r="N209" s="2560"/>
      <c r="O209" s="2560"/>
      <c r="P209" s="2560"/>
      <c r="Q209" s="2560"/>
      <c r="R209" s="2560"/>
      <c r="S209" s="2560"/>
      <c r="T209" s="2558">
        <f>Master!R378</f>
        <v>0</v>
      </c>
      <c r="U209" s="2558">
        <f>Master!S378</f>
        <v>0</v>
      </c>
      <c r="V209" s="2558">
        <f>Master!T378</f>
        <v>0</v>
      </c>
      <c r="W209" s="2558">
        <f>Master!U378</f>
        <v>0</v>
      </c>
      <c r="X209" s="2558">
        <f>Master!V378</f>
        <v>0</v>
      </c>
      <c r="Y209" s="2558">
        <f>Master!W378</f>
        <v>10.0572</v>
      </c>
      <c r="Z209" s="2558">
        <f>Master!X378</f>
        <v>29.58</v>
      </c>
      <c r="AA209" s="2558">
        <f>Master!Y378</f>
        <v>0</v>
      </c>
      <c r="AB209" s="2558">
        <f>Master!Z378</f>
        <v>0</v>
      </c>
      <c r="AC209" s="2558">
        <f>Master!AA378</f>
        <v>0</v>
      </c>
      <c r="AD209" s="2558">
        <f>Master!AB378</f>
        <v>146.42099999999999</v>
      </c>
      <c r="AE209" s="2558">
        <f>Master!AC378</f>
        <v>147.89999999999998</v>
      </c>
      <c r="AF209" s="2558">
        <f>Master!AD378</f>
        <v>147.89999999999998</v>
      </c>
      <c r="AG209" s="2558">
        <f>Master!AE378</f>
        <v>147.89999999999998</v>
      </c>
      <c r="AH209" s="2558">
        <f>Master!AF378</f>
        <v>147.89999999999998</v>
      </c>
      <c r="AI209" s="2558">
        <f>Master!AG378</f>
        <v>147.89999999999998</v>
      </c>
      <c r="AJ209" s="2418"/>
      <c r="AK209" s="2418"/>
      <c r="AL209" s="2418"/>
      <c r="AM209" s="2418"/>
      <c r="AN209" s="2418"/>
      <c r="AO209" s="2414"/>
      <c r="AP209" s="2414"/>
      <c r="AQ209" s="2414"/>
      <c r="AR209" s="2414"/>
    </row>
    <row r="210" spans="1:44" ht="15.75">
      <c r="A210" s="2414"/>
      <c r="B210" s="2414"/>
      <c r="C210" s="2446"/>
      <c r="D210" s="2446"/>
      <c r="E210" s="2446"/>
      <c r="F210" s="2418"/>
      <c r="G210" s="2446"/>
      <c r="H210" s="2446"/>
      <c r="I210" s="2446"/>
      <c r="J210" s="2418"/>
      <c r="K210" s="2418"/>
      <c r="L210" s="2418"/>
      <c r="M210" s="2418"/>
      <c r="N210" s="2418"/>
      <c r="O210" s="2418"/>
      <c r="P210" s="2418"/>
      <c r="Q210" s="2418"/>
      <c r="R210" s="2418"/>
      <c r="S210" s="2418"/>
      <c r="T210" s="2418"/>
      <c r="U210" s="2418"/>
      <c r="V210" s="2418"/>
      <c r="W210" s="2418"/>
      <c r="X210" s="2418"/>
      <c r="Y210" s="2418"/>
      <c r="Z210" s="2418"/>
      <c r="AA210" s="2418"/>
      <c r="AB210" s="2418"/>
      <c r="AC210" s="2418"/>
      <c r="AD210" s="2418"/>
      <c r="AE210" s="2418"/>
      <c r="AF210" s="2418"/>
      <c r="AG210" s="2418"/>
      <c r="AH210" s="2418"/>
      <c r="AI210" s="2418"/>
      <c r="AJ210" s="2418"/>
      <c r="AK210" s="2418"/>
      <c r="AL210" s="2418"/>
      <c r="AM210" s="2418"/>
      <c r="AN210" s="2418"/>
      <c r="AO210" s="2414"/>
      <c r="AP210" s="2414"/>
      <c r="AQ210" s="2414"/>
      <c r="AR210" s="2414"/>
    </row>
    <row r="211" spans="1:44" ht="15.75">
      <c r="A211" s="2414"/>
      <c r="B211" s="2414"/>
      <c r="C211" s="2446"/>
      <c r="D211" s="2446"/>
      <c r="E211" s="2446"/>
      <c r="F211" s="2418"/>
      <c r="G211" s="2446"/>
      <c r="H211" s="2446"/>
      <c r="I211" s="2446"/>
      <c r="J211" s="2418"/>
      <c r="K211" s="2418"/>
      <c r="L211" s="2418"/>
      <c r="M211" s="2418"/>
      <c r="N211" s="2418"/>
      <c r="O211" s="2418"/>
      <c r="P211" s="2418"/>
      <c r="Q211" s="2418"/>
      <c r="R211" s="2418"/>
      <c r="S211" s="2418"/>
      <c r="T211" s="2418"/>
      <c r="U211" s="2418"/>
      <c r="V211" s="2418"/>
      <c r="W211" s="2418"/>
      <c r="X211" s="2418"/>
      <c r="Y211" s="2418"/>
      <c r="Z211" s="2418"/>
      <c r="AA211" s="2418"/>
      <c r="AB211" s="2418"/>
      <c r="AC211" s="2418"/>
      <c r="AD211" s="2418"/>
      <c r="AE211" s="2418"/>
      <c r="AF211" s="2418"/>
      <c r="AG211" s="2418"/>
      <c r="AH211" s="2418"/>
      <c r="AI211" s="2418"/>
      <c r="AJ211" s="2418"/>
      <c r="AK211" s="2418"/>
      <c r="AL211" s="2418"/>
      <c r="AM211" s="2418"/>
      <c r="AN211" s="2418"/>
      <c r="AO211" s="2414"/>
      <c r="AP211" s="2414"/>
      <c r="AQ211" s="2414"/>
      <c r="AR211" s="2414"/>
    </row>
    <row r="212" spans="1:44" ht="15.75">
      <c r="A212" s="2414"/>
      <c r="B212" s="2414"/>
      <c r="C212" s="2446"/>
      <c r="D212" s="2446"/>
      <c r="E212" s="2446"/>
      <c r="F212" s="2418"/>
      <c r="G212" s="2446"/>
      <c r="H212" s="2446"/>
      <c r="I212" s="2446"/>
      <c r="J212" s="2418"/>
      <c r="K212" s="2418"/>
      <c r="L212" s="2418"/>
      <c r="M212" s="2418"/>
      <c r="N212" s="2418"/>
      <c r="O212" s="2418"/>
      <c r="P212" s="2418"/>
      <c r="Q212" s="2418"/>
      <c r="R212" s="2418"/>
      <c r="S212" s="2418"/>
      <c r="T212" s="2418"/>
      <c r="U212" s="2418"/>
      <c r="V212" s="2418"/>
      <c r="W212" s="2418"/>
      <c r="X212" s="2418"/>
      <c r="Y212" s="2418"/>
      <c r="Z212" s="2418"/>
      <c r="AA212" s="2418"/>
      <c r="AB212" s="2418"/>
      <c r="AC212" s="2418"/>
      <c r="AD212" s="2418"/>
      <c r="AE212" s="2418"/>
      <c r="AF212" s="2418"/>
      <c r="AG212" s="2418"/>
      <c r="AH212" s="2418"/>
      <c r="AI212" s="2418"/>
      <c r="AJ212" s="2418"/>
      <c r="AK212" s="2418"/>
      <c r="AL212" s="2418"/>
      <c r="AM212" s="2418"/>
      <c r="AN212" s="2418"/>
      <c r="AO212" s="2414"/>
      <c r="AP212" s="2414"/>
      <c r="AQ212" s="2414"/>
      <c r="AR212" s="2414"/>
    </row>
    <row r="213" spans="1:44" ht="15.75">
      <c r="A213" s="2414"/>
      <c r="B213" s="2414"/>
      <c r="C213" s="2418"/>
      <c r="D213" s="2418"/>
      <c r="E213" s="2418"/>
      <c r="F213" s="2418"/>
      <c r="G213" s="2418"/>
      <c r="H213" s="2418"/>
      <c r="I213" s="2418"/>
      <c r="J213" s="2418"/>
      <c r="K213" s="2418"/>
      <c r="L213" s="2418"/>
      <c r="M213" s="2418"/>
      <c r="N213" s="2418"/>
      <c r="O213" s="2418"/>
      <c r="P213" s="2418"/>
      <c r="Q213" s="2418"/>
      <c r="R213" s="2418"/>
      <c r="S213" s="2418"/>
      <c r="T213" s="2418"/>
      <c r="U213" s="2418"/>
      <c r="V213" s="2418"/>
      <c r="W213" s="2418"/>
      <c r="X213" s="2418"/>
      <c r="Y213" s="2418"/>
      <c r="Z213" s="2418"/>
      <c r="AA213" s="2418"/>
      <c r="AB213" s="2418"/>
      <c r="AC213" s="2418"/>
      <c r="AD213" s="2418"/>
      <c r="AE213" s="2418"/>
      <c r="AF213" s="2418"/>
      <c r="AG213" s="2418"/>
      <c r="AH213" s="2418"/>
      <c r="AI213" s="2418"/>
      <c r="AJ213" s="2418"/>
      <c r="AK213" s="2418"/>
      <c r="AL213" s="2418"/>
      <c r="AM213" s="2418"/>
      <c r="AN213" s="2418"/>
      <c r="AO213" s="2414"/>
      <c r="AP213" s="2414"/>
      <c r="AQ213" s="2414"/>
      <c r="AR213" s="2414"/>
    </row>
    <row r="214" spans="1:44" ht="15.75">
      <c r="A214" s="2414"/>
      <c r="B214" s="2414"/>
      <c r="C214" s="2418"/>
      <c r="D214" s="2418"/>
      <c r="E214" s="2418"/>
      <c r="F214" s="2418"/>
      <c r="G214" s="2418"/>
      <c r="H214" s="2418"/>
      <c r="I214" s="2418"/>
      <c r="J214" s="2418"/>
      <c r="K214" s="2418"/>
      <c r="L214" s="2418"/>
      <c r="M214" s="2418"/>
      <c r="N214" s="2418"/>
      <c r="O214" s="2418"/>
      <c r="P214" s="2418"/>
      <c r="Q214" s="2418"/>
      <c r="R214" s="2418"/>
      <c r="S214" s="2418"/>
      <c r="T214" s="2418"/>
      <c r="U214" s="2418"/>
      <c r="V214" s="2418"/>
      <c r="W214" s="2418"/>
      <c r="X214" s="2418"/>
      <c r="Y214" s="2418"/>
      <c r="Z214" s="2418"/>
      <c r="AA214" s="2418"/>
      <c r="AB214" s="2418"/>
      <c r="AC214" s="2418"/>
      <c r="AD214" s="2418"/>
      <c r="AE214" s="2418"/>
      <c r="AF214" s="2418"/>
      <c r="AG214" s="2418"/>
      <c r="AH214" s="2418"/>
      <c r="AI214" s="2418"/>
      <c r="AJ214" s="2418"/>
      <c r="AK214" s="2418"/>
      <c r="AL214" s="2418"/>
      <c r="AM214" s="2418"/>
      <c r="AN214" s="2418"/>
      <c r="AO214" s="2414"/>
      <c r="AP214" s="2414"/>
      <c r="AQ214" s="2414"/>
      <c r="AR214" s="2414"/>
    </row>
    <row r="215" spans="1:44" ht="15.75">
      <c r="A215" s="2414"/>
      <c r="B215" s="2414"/>
      <c r="C215" s="2418"/>
      <c r="D215" s="2418"/>
      <c r="E215" s="2418"/>
      <c r="F215" s="2418"/>
      <c r="G215" s="2418"/>
      <c r="H215" s="2418"/>
      <c r="I215" s="2418"/>
      <c r="J215" s="2418"/>
      <c r="K215" s="2418"/>
      <c r="L215" s="2418"/>
      <c r="M215" s="2418"/>
      <c r="N215" s="2418"/>
      <c r="O215" s="2418"/>
      <c r="P215" s="2418"/>
      <c r="Q215" s="2418"/>
      <c r="R215" s="2418"/>
      <c r="S215" s="2418"/>
      <c r="T215" s="2418"/>
      <c r="U215" s="2418"/>
      <c r="V215" s="2418"/>
      <c r="W215" s="2418"/>
      <c r="X215" s="2418"/>
      <c r="Y215" s="2418"/>
      <c r="Z215" s="2418"/>
      <c r="AA215" s="2418"/>
      <c r="AB215" s="2418"/>
      <c r="AC215" s="2418"/>
      <c r="AD215" s="2418"/>
      <c r="AE215" s="2418"/>
      <c r="AF215" s="2418"/>
      <c r="AG215" s="2418"/>
      <c r="AH215" s="2418"/>
      <c r="AI215" s="2418"/>
      <c r="AJ215" s="2418"/>
      <c r="AK215" s="2418"/>
      <c r="AL215" s="2418"/>
      <c r="AM215" s="2418"/>
      <c r="AN215" s="2418"/>
      <c r="AO215" s="2414"/>
      <c r="AP215" s="2414"/>
      <c r="AQ215" s="2414"/>
      <c r="AR215" s="2414"/>
    </row>
    <row r="216" spans="1:44" ht="15.75">
      <c r="A216" s="2414"/>
      <c r="B216" s="2414"/>
      <c r="C216" s="2418"/>
      <c r="D216" s="2418"/>
      <c r="E216" s="2418"/>
      <c r="F216" s="2418"/>
      <c r="G216" s="2418"/>
      <c r="H216" s="2418"/>
      <c r="I216" s="2418"/>
      <c r="J216" s="2418"/>
      <c r="K216" s="2418"/>
      <c r="L216" s="2418"/>
      <c r="M216" s="2418"/>
      <c r="N216" s="2418"/>
      <c r="O216" s="2418"/>
      <c r="P216" s="2418"/>
      <c r="Q216" s="2418"/>
      <c r="R216" s="2418"/>
      <c r="S216" s="2418"/>
      <c r="T216" s="2418"/>
      <c r="U216" s="2418"/>
      <c r="V216" s="2418"/>
      <c r="W216" s="2418"/>
      <c r="X216" s="2418"/>
      <c r="Y216" s="2418"/>
      <c r="Z216" s="2418"/>
      <c r="AA216" s="2418"/>
      <c r="AB216" s="2418"/>
      <c r="AC216" s="2418"/>
      <c r="AD216" s="2418"/>
      <c r="AE216" s="2418"/>
      <c r="AF216" s="2418"/>
      <c r="AG216" s="2418"/>
      <c r="AH216" s="2418"/>
      <c r="AI216" s="2418"/>
      <c r="AJ216" s="2418"/>
      <c r="AK216" s="2418"/>
      <c r="AL216" s="2418"/>
      <c r="AM216" s="2418"/>
      <c r="AN216" s="2418"/>
      <c r="AO216" s="2414"/>
      <c r="AP216" s="2414"/>
      <c r="AQ216" s="2414"/>
      <c r="AR216" s="2414"/>
    </row>
    <row r="217" spans="1:44" ht="15.75">
      <c r="A217" s="2414"/>
      <c r="B217" s="2414"/>
      <c r="C217" s="2414"/>
      <c r="D217" s="2414"/>
      <c r="E217" s="2414"/>
      <c r="F217" s="2414"/>
      <c r="G217" s="2414"/>
      <c r="H217" s="2414"/>
      <c r="I217" s="2414"/>
      <c r="J217" s="2414"/>
      <c r="K217" s="2414"/>
      <c r="L217" s="2414"/>
      <c r="M217" s="2414"/>
      <c r="N217" s="2414"/>
      <c r="O217" s="2414"/>
      <c r="P217" s="2414"/>
      <c r="Q217" s="2414"/>
      <c r="R217" s="2414"/>
      <c r="S217" s="2414"/>
      <c r="T217" s="2414"/>
      <c r="U217" s="2414"/>
      <c r="V217" s="2414"/>
      <c r="W217" s="2414"/>
      <c r="X217" s="2414"/>
      <c r="Y217" s="2414"/>
      <c r="Z217" s="2414"/>
      <c r="AA217" s="2414"/>
      <c r="AB217" s="2414"/>
      <c r="AC217" s="2414"/>
      <c r="AD217" s="2414"/>
      <c r="AE217" s="2414"/>
      <c r="AF217" s="2414"/>
      <c r="AG217" s="2414"/>
      <c r="AH217" s="2414"/>
      <c r="AI217" s="2414"/>
      <c r="AJ217" s="2414"/>
      <c r="AK217" s="2414"/>
      <c r="AL217" s="2414"/>
      <c r="AM217" s="2414"/>
      <c r="AN217" s="2414"/>
      <c r="AO217" s="2414"/>
      <c r="AP217" s="2414"/>
      <c r="AQ217" s="2414"/>
      <c r="AR217" s="2414"/>
    </row>
    <row r="218" spans="1:44" ht="15.75">
      <c r="A218" s="2414"/>
      <c r="B218" s="2414"/>
      <c r="C218" s="2414"/>
      <c r="D218" s="2414"/>
      <c r="E218" s="2414"/>
      <c r="F218" s="2414"/>
      <c r="G218" s="2414"/>
      <c r="H218" s="2414"/>
      <c r="I218" s="2414"/>
      <c r="J218" s="2414"/>
      <c r="K218" s="2414"/>
      <c r="L218" s="2414"/>
      <c r="M218" s="2414"/>
      <c r="N218" s="2414"/>
      <c r="O218" s="2414"/>
      <c r="P218" s="2414"/>
      <c r="Q218" s="2414"/>
      <c r="R218" s="2414"/>
      <c r="S218" s="2414"/>
      <c r="T218" s="2414"/>
      <c r="U218" s="2414"/>
      <c r="V218" s="2414"/>
      <c r="W218" s="2414"/>
      <c r="X218" s="2414"/>
      <c r="Y218" s="2414"/>
      <c r="Z218" s="2414"/>
      <c r="AA218" s="2414"/>
      <c r="AB218" s="2414"/>
      <c r="AC218" s="2414"/>
      <c r="AD218" s="2414"/>
      <c r="AE218" s="2414"/>
      <c r="AF218" s="2414"/>
      <c r="AG218" s="2414"/>
      <c r="AH218" s="2414"/>
      <c r="AI218" s="2414"/>
      <c r="AJ218" s="2414"/>
      <c r="AK218" s="2414"/>
      <c r="AL218" s="2414"/>
      <c r="AM218" s="2414"/>
      <c r="AN218" s="2414"/>
      <c r="AO218" s="2414"/>
      <c r="AP218" s="2414"/>
      <c r="AQ218" s="2414"/>
      <c r="AR218" s="2414"/>
    </row>
    <row r="219" spans="1:44" ht="15.75">
      <c r="A219" s="2414"/>
      <c r="B219" s="2414"/>
      <c r="C219" s="2414"/>
      <c r="D219" s="2414"/>
      <c r="E219" s="2414"/>
      <c r="F219" s="2414"/>
      <c r="G219" s="2414"/>
      <c r="H219" s="2414"/>
      <c r="I219" s="2414"/>
      <c r="J219" s="2414"/>
      <c r="K219" s="2414"/>
      <c r="L219" s="2414"/>
      <c r="M219" s="2414"/>
      <c r="N219" s="2414"/>
      <c r="O219" s="2414"/>
      <c r="P219" s="2414"/>
      <c r="Q219" s="2414"/>
      <c r="R219" s="2414"/>
      <c r="S219" s="2414"/>
      <c r="T219" s="2414"/>
      <c r="U219" s="2414"/>
      <c r="V219" s="2414"/>
      <c r="W219" s="2414"/>
      <c r="X219" s="2414"/>
      <c r="Y219" s="2414"/>
      <c r="Z219" s="2414"/>
      <c r="AA219" s="2414"/>
      <c r="AB219" s="2414"/>
      <c r="AC219" s="2414"/>
      <c r="AD219" s="2414"/>
      <c r="AE219" s="2414"/>
      <c r="AF219" s="2414"/>
      <c r="AG219" s="2414"/>
      <c r="AH219" s="2414"/>
      <c r="AI219" s="2414"/>
      <c r="AJ219" s="2414"/>
      <c r="AK219" s="2414"/>
      <c r="AL219" s="2414"/>
      <c r="AM219" s="2414"/>
      <c r="AN219" s="2414"/>
      <c r="AO219" s="2414"/>
      <c r="AP219" s="2414"/>
      <c r="AQ219" s="2414"/>
      <c r="AR219" s="2414"/>
    </row>
    <row r="220" spans="1:44" ht="15.75">
      <c r="A220" s="2414"/>
      <c r="B220" s="2414"/>
      <c r="C220" s="2414"/>
      <c r="D220" s="2414"/>
      <c r="E220" s="2414"/>
      <c r="F220" s="2414"/>
      <c r="G220" s="2414"/>
      <c r="H220" s="2414"/>
      <c r="I220" s="2414"/>
      <c r="J220" s="2414"/>
      <c r="K220" s="2414"/>
      <c r="L220" s="2414"/>
      <c r="M220" s="2414"/>
      <c r="N220" s="2414"/>
      <c r="O220" s="2414"/>
      <c r="P220" s="2414"/>
      <c r="Q220" s="2414"/>
      <c r="R220" s="2414"/>
      <c r="S220" s="2414"/>
      <c r="T220" s="2414"/>
      <c r="U220" s="2414"/>
      <c r="V220" s="2414"/>
      <c r="W220" s="2414"/>
      <c r="X220" s="2414"/>
      <c r="Y220" s="2414"/>
      <c r="Z220" s="2414"/>
      <c r="AA220" s="2414"/>
      <c r="AB220" s="2414"/>
      <c r="AC220" s="2414"/>
      <c r="AD220" s="2414"/>
      <c r="AE220" s="2414"/>
      <c r="AF220" s="2414"/>
      <c r="AG220" s="2414"/>
      <c r="AH220" s="2414"/>
      <c r="AI220" s="2414"/>
      <c r="AJ220" s="2414"/>
      <c r="AK220" s="2414"/>
      <c r="AL220" s="2414"/>
      <c r="AM220" s="2414"/>
      <c r="AN220" s="2414"/>
      <c r="AO220" s="2414"/>
      <c r="AP220" s="2414"/>
      <c r="AQ220" s="2414"/>
      <c r="AR220" s="2414"/>
    </row>
    <row r="221" spans="1:44" ht="15.75">
      <c r="A221" s="2414"/>
      <c r="B221" s="2414"/>
      <c r="C221" s="2414"/>
      <c r="D221" s="2414"/>
      <c r="E221" s="2414"/>
      <c r="F221" s="2414"/>
      <c r="G221" s="2414"/>
      <c r="H221" s="2414"/>
      <c r="I221" s="2414"/>
      <c r="J221" s="2414"/>
      <c r="K221" s="2414"/>
      <c r="L221" s="2414"/>
      <c r="M221" s="2414"/>
      <c r="N221" s="2414"/>
      <c r="O221" s="2414"/>
      <c r="P221" s="2414"/>
      <c r="Q221" s="2414"/>
      <c r="R221" s="2414"/>
      <c r="S221" s="2414"/>
      <c r="T221" s="2414"/>
      <c r="U221" s="2414"/>
      <c r="V221" s="2414"/>
      <c r="W221" s="2414"/>
      <c r="X221" s="2414"/>
      <c r="Y221" s="2414"/>
      <c r="Z221" s="2414"/>
      <c r="AA221" s="2414"/>
      <c r="AB221" s="2414"/>
      <c r="AC221" s="2414"/>
      <c r="AD221" s="2414"/>
      <c r="AE221" s="2414"/>
      <c r="AF221" s="2414"/>
      <c r="AG221" s="2414"/>
      <c r="AH221" s="2414"/>
      <c r="AI221" s="2414"/>
      <c r="AJ221" s="2414"/>
      <c r="AK221" s="2414"/>
      <c r="AL221" s="2414"/>
      <c r="AM221" s="2414"/>
      <c r="AN221" s="2414"/>
      <c r="AO221" s="2414"/>
      <c r="AP221" s="2414"/>
      <c r="AQ221" s="2414"/>
      <c r="AR221" s="2414"/>
    </row>
    <row r="222" spans="1:44" ht="15.75">
      <c r="A222" s="2414"/>
      <c r="B222" s="2414"/>
      <c r="C222" s="2414"/>
      <c r="D222" s="2414"/>
      <c r="E222" s="2414"/>
      <c r="F222" s="2414"/>
      <c r="G222" s="2414"/>
      <c r="H222" s="2414"/>
      <c r="I222" s="2414"/>
      <c r="J222" s="2414"/>
      <c r="K222" s="2414"/>
      <c r="L222" s="2414"/>
      <c r="M222" s="2414"/>
      <c r="N222" s="2414"/>
      <c r="O222" s="2414"/>
      <c r="P222" s="2414"/>
      <c r="Q222" s="2414"/>
      <c r="R222" s="2414"/>
      <c r="S222" s="2414"/>
      <c r="T222" s="2414"/>
      <c r="U222" s="2414"/>
      <c r="V222" s="2414"/>
      <c r="W222" s="2414"/>
      <c r="X222" s="2414"/>
      <c r="Y222" s="2414"/>
      <c r="Z222" s="2414"/>
      <c r="AA222" s="2414"/>
      <c r="AB222" s="2414"/>
      <c r="AC222" s="2414"/>
      <c r="AD222" s="2414"/>
      <c r="AE222" s="2414"/>
      <c r="AF222" s="2414"/>
      <c r="AG222" s="2414"/>
      <c r="AH222" s="2414"/>
      <c r="AI222" s="2414"/>
      <c r="AJ222" s="2414"/>
      <c r="AK222" s="2414"/>
      <c r="AL222" s="2414"/>
      <c r="AM222" s="2414"/>
      <c r="AN222" s="2414"/>
      <c r="AO222" s="2414"/>
      <c r="AP222" s="2414"/>
      <c r="AQ222" s="2414"/>
      <c r="AR222" s="2414"/>
    </row>
    <row r="223" spans="1:44" ht="15.75">
      <c r="A223" s="2414"/>
      <c r="B223" s="2414"/>
      <c r="C223" s="2414"/>
      <c r="D223" s="2414"/>
      <c r="E223" s="2414"/>
      <c r="F223" s="2414"/>
      <c r="G223" s="2414"/>
      <c r="H223" s="2414"/>
      <c r="I223" s="2414"/>
      <c r="J223" s="2414"/>
      <c r="K223" s="2414"/>
      <c r="L223" s="2414"/>
      <c r="M223" s="2414"/>
      <c r="N223" s="2414"/>
      <c r="O223" s="2414"/>
      <c r="P223" s="2414"/>
      <c r="Q223" s="2414"/>
      <c r="R223" s="2414"/>
      <c r="S223" s="2414"/>
      <c r="T223" s="2414"/>
      <c r="U223" s="2414"/>
      <c r="V223" s="2414"/>
      <c r="W223" s="2414"/>
      <c r="X223" s="2414"/>
      <c r="Y223" s="2414"/>
      <c r="Z223" s="2414"/>
      <c r="AA223" s="2414"/>
      <c r="AB223" s="2414"/>
      <c r="AC223" s="2414"/>
      <c r="AD223" s="2414"/>
      <c r="AE223" s="2414"/>
      <c r="AF223" s="2414"/>
      <c r="AG223" s="2414"/>
      <c r="AH223" s="2414"/>
      <c r="AI223" s="2414"/>
      <c r="AJ223" s="2414"/>
      <c r="AK223" s="2414"/>
      <c r="AL223" s="2414"/>
      <c r="AM223" s="2414"/>
      <c r="AN223" s="2414"/>
      <c r="AO223" s="2414"/>
      <c r="AP223" s="2414"/>
      <c r="AQ223" s="2414"/>
      <c r="AR223" s="2414"/>
    </row>
    <row r="224" spans="1:44" ht="15.75">
      <c r="A224" s="2414"/>
      <c r="B224" s="2414"/>
      <c r="C224" s="2414"/>
      <c r="D224" s="2414"/>
      <c r="E224" s="2414"/>
      <c r="F224" s="2414"/>
      <c r="G224" s="2414"/>
      <c r="H224" s="2414"/>
      <c r="I224" s="2414"/>
      <c r="J224" s="2414"/>
      <c r="K224" s="2414"/>
      <c r="L224" s="2414"/>
      <c r="M224" s="2414"/>
      <c r="N224" s="2414"/>
      <c r="O224" s="2414"/>
      <c r="P224" s="2414"/>
      <c r="Q224" s="2414"/>
      <c r="R224" s="2414"/>
      <c r="S224" s="2414"/>
      <c r="T224" s="2414"/>
      <c r="U224" s="2414"/>
      <c r="V224" s="2414"/>
      <c r="W224" s="2414"/>
      <c r="X224" s="2414"/>
      <c r="Y224" s="2414"/>
      <c r="Z224" s="2414"/>
      <c r="AA224" s="2414"/>
      <c r="AB224" s="2414"/>
      <c r="AC224" s="2414"/>
      <c r="AD224" s="2414"/>
      <c r="AE224" s="2414"/>
      <c r="AF224" s="2414"/>
      <c r="AG224" s="2414"/>
      <c r="AH224" s="2414"/>
      <c r="AI224" s="2414"/>
      <c r="AJ224" s="2414"/>
      <c r="AK224" s="2414"/>
      <c r="AL224" s="2414"/>
      <c r="AM224" s="2414"/>
      <c r="AN224" s="2414"/>
      <c r="AO224" s="2414"/>
      <c r="AP224" s="2414"/>
      <c r="AQ224" s="2414"/>
      <c r="AR224" s="2414"/>
    </row>
    <row r="225" spans="1:44" ht="15.75">
      <c r="A225" s="2414"/>
      <c r="B225" s="2414"/>
      <c r="C225" s="2414"/>
      <c r="D225" s="2414"/>
      <c r="E225" s="2414"/>
      <c r="F225" s="2414"/>
      <c r="G225" s="2414"/>
      <c r="H225" s="2414"/>
      <c r="I225" s="2414"/>
      <c r="J225" s="2414"/>
      <c r="K225" s="2414"/>
      <c r="L225" s="2414"/>
      <c r="M225" s="2414"/>
      <c r="N225" s="2414"/>
      <c r="O225" s="2414"/>
      <c r="P225" s="2414"/>
      <c r="Q225" s="2414"/>
      <c r="R225" s="2414"/>
      <c r="S225" s="2414"/>
      <c r="T225" s="2414"/>
      <c r="U225" s="2414"/>
      <c r="V225" s="2414"/>
      <c r="W225" s="2414"/>
      <c r="X225" s="2414"/>
      <c r="Y225" s="2414"/>
      <c r="Z225" s="2414"/>
      <c r="AA225" s="2414"/>
      <c r="AB225" s="2414"/>
      <c r="AC225" s="2414"/>
      <c r="AD225" s="2414"/>
      <c r="AE225" s="2414"/>
      <c r="AF225" s="2414"/>
      <c r="AG225" s="2414"/>
      <c r="AH225" s="2414"/>
      <c r="AI225" s="2414"/>
      <c r="AJ225" s="2414"/>
      <c r="AK225" s="2414"/>
      <c r="AL225" s="2414"/>
      <c r="AM225" s="2414"/>
      <c r="AN225" s="2414"/>
      <c r="AO225" s="2414"/>
      <c r="AP225" s="2414"/>
      <c r="AQ225" s="2414"/>
      <c r="AR225" s="2414"/>
    </row>
    <row r="226" spans="1:44" s="313" customFormat="1" ht="15.75">
      <c r="A226" s="2447"/>
      <c r="B226" s="2448" t="s">
        <v>1156</v>
      </c>
      <c r="C226" s="2448">
        <v>1998</v>
      </c>
      <c r="D226" s="2448">
        <v>1999</v>
      </c>
      <c r="E226" s="2448">
        <v>2000</v>
      </c>
      <c r="F226" s="2448">
        <v>2001</v>
      </c>
      <c r="G226" s="2448">
        <v>2002</v>
      </c>
      <c r="H226" s="2448">
        <v>2003</v>
      </c>
      <c r="I226" s="2448">
        <v>2004</v>
      </c>
      <c r="J226" s="2448">
        <v>2005</v>
      </c>
      <c r="K226" s="2448">
        <v>2006</v>
      </c>
      <c r="L226" s="2448">
        <v>2007</v>
      </c>
      <c r="M226" s="2448">
        <v>2008</v>
      </c>
      <c r="N226" s="2448">
        <v>2009</v>
      </c>
      <c r="O226" s="2448">
        <v>2010</v>
      </c>
      <c r="P226" s="2448">
        <v>2011</v>
      </c>
      <c r="Q226" s="2448">
        <v>2012</v>
      </c>
      <c r="R226" s="2448">
        <v>2013</v>
      </c>
      <c r="S226" s="2448">
        <v>2014</v>
      </c>
      <c r="T226" s="2448">
        <v>2014</v>
      </c>
      <c r="U226" s="2448">
        <v>2014</v>
      </c>
      <c r="V226" s="2448">
        <v>2014</v>
      </c>
      <c r="W226" s="2448">
        <v>2014</v>
      </c>
      <c r="X226" s="2448">
        <v>2019</v>
      </c>
      <c r="Y226" s="2448">
        <v>2020</v>
      </c>
      <c r="Z226" s="2448">
        <v>2021</v>
      </c>
      <c r="AA226" s="2448">
        <v>2022</v>
      </c>
      <c r="AB226" s="2448">
        <v>2023</v>
      </c>
      <c r="AC226" s="2448">
        <v>2024</v>
      </c>
      <c r="AD226" s="2448">
        <v>2024</v>
      </c>
      <c r="AE226" s="2448">
        <v>2024</v>
      </c>
      <c r="AF226" s="2448">
        <v>2024</v>
      </c>
      <c r="AG226" s="2448">
        <v>2024</v>
      </c>
      <c r="AH226" s="2448">
        <v>2024</v>
      </c>
      <c r="AI226" s="2448">
        <v>2024</v>
      </c>
      <c r="AJ226" s="2448"/>
      <c r="AK226" s="2448"/>
      <c r="AL226" s="2448"/>
      <c r="AM226" s="2448"/>
      <c r="AN226" s="2448"/>
      <c r="AO226" s="2447"/>
      <c r="AP226" s="2447"/>
      <c r="AQ226" s="2447"/>
      <c r="AR226" s="2447"/>
    </row>
    <row r="227" spans="1:44" s="313" customFormat="1" ht="15.75">
      <c r="A227" s="2447"/>
      <c r="B227" s="2449" t="s">
        <v>966</v>
      </c>
      <c r="C227" s="2417" t="s">
        <v>967</v>
      </c>
      <c r="D227" s="2417"/>
      <c r="E227" s="2417"/>
      <c r="F227" s="2417"/>
      <c r="G227" s="2417"/>
      <c r="H227" s="2417"/>
      <c r="I227" s="2417"/>
      <c r="J227" s="2417"/>
      <c r="K227" s="2417"/>
      <c r="L227" s="2417"/>
      <c r="M227" s="2417"/>
      <c r="N227" s="2417"/>
      <c r="O227" s="2417"/>
      <c r="P227" s="2417"/>
      <c r="Q227" s="2417"/>
      <c r="R227" s="2417"/>
      <c r="S227" s="2417"/>
      <c r="T227" s="2417"/>
      <c r="U227" s="2417"/>
      <c r="V227" s="2417"/>
      <c r="W227" s="2417"/>
      <c r="X227" s="2417"/>
      <c r="Y227" s="2417"/>
      <c r="Z227" s="2450"/>
      <c r="AA227" s="2450"/>
      <c r="AB227" s="2450"/>
      <c r="AC227" s="2450"/>
      <c r="AD227" s="2450"/>
      <c r="AE227" s="2450"/>
      <c r="AF227" s="2450"/>
      <c r="AG227" s="2450"/>
      <c r="AH227" s="2450"/>
      <c r="AI227" s="2450"/>
      <c r="AJ227" s="2450"/>
      <c r="AK227" s="2450"/>
      <c r="AL227" s="2450"/>
      <c r="AM227" s="2450"/>
      <c r="AN227" s="2450"/>
      <c r="AO227" s="2447"/>
      <c r="AP227" s="2447"/>
      <c r="AQ227" s="2447"/>
      <c r="AR227" s="2447"/>
    </row>
    <row r="228" spans="1:44" s="313" customFormat="1" ht="15.75">
      <c r="A228" s="2447"/>
      <c r="B228" s="2451" t="s">
        <v>1157</v>
      </c>
      <c r="C228" s="2417"/>
      <c r="D228" s="2417"/>
      <c r="E228" s="2417"/>
      <c r="F228" s="2417"/>
      <c r="G228" s="2417">
        <f>CA!C5</f>
        <v>6457.5</v>
      </c>
      <c r="H228" s="2417">
        <f>CA!D5</f>
        <v>6541.2503613393601</v>
      </c>
      <c r="I228" s="2417">
        <f>CA!E5</f>
        <v>6541.2503613393601</v>
      </c>
      <c r="J228" s="2417">
        <f>CA!F5</f>
        <v>6822.3779999999997</v>
      </c>
      <c r="K228" s="2417">
        <f>CA!G5</f>
        <v>6948</v>
      </c>
      <c r="L228" s="2417">
        <f>CA!H5</f>
        <v>6948</v>
      </c>
      <c r="M228" s="2417">
        <f>CA!I5</f>
        <v>5851.8518518518513</v>
      </c>
      <c r="N228" s="2417">
        <f>CA!J5</f>
        <v>5924.9786871270244</v>
      </c>
      <c r="O228" s="2417">
        <f>CA!K5</f>
        <v>6041.7408559001487</v>
      </c>
      <c r="P228" s="2417">
        <f>CA!L5</f>
        <v>6221.0219986189204</v>
      </c>
      <c r="Q228" s="2417">
        <f>CA!M5</f>
        <v>6278.9815361268029</v>
      </c>
      <c r="R228" s="2417">
        <f>CA!N5</f>
        <v>6291.8031052704964</v>
      </c>
      <c r="S228" s="2417">
        <f>CA!O5</f>
        <v>6302.9848110208404</v>
      </c>
      <c r="T228" s="2417">
        <f>CA!P5</f>
        <v>6475.7509414134347</v>
      </c>
      <c r="U228" s="2417">
        <f>CA!Q5</f>
        <v>6475.7509414134347</v>
      </c>
      <c r="V228" s="2417">
        <f>CA!R5</f>
        <v>6475.7509414134347</v>
      </c>
      <c r="W228" s="2417">
        <f>CA!S5</f>
        <v>6475.7509414134347</v>
      </c>
      <c r="X228" s="2417"/>
      <c r="Y228" s="2417"/>
      <c r="Z228" s="2450"/>
      <c r="AA228" s="2450"/>
      <c r="AB228" s="2450"/>
      <c r="AC228" s="2450"/>
      <c r="AD228" s="2450"/>
      <c r="AE228" s="2450"/>
      <c r="AF228" s="2450"/>
      <c r="AG228" s="2450"/>
      <c r="AH228" s="2450"/>
      <c r="AI228" s="2450"/>
      <c r="AJ228" s="2450"/>
      <c r="AK228" s="2450"/>
      <c r="AL228" s="2450"/>
      <c r="AM228" s="2450"/>
      <c r="AN228" s="2450"/>
      <c r="AO228" s="2447"/>
      <c r="AP228" s="2447"/>
      <c r="AQ228" s="2447"/>
      <c r="AR228" s="2447"/>
    </row>
    <row r="229" spans="1:44" s="313" customFormat="1" ht="15.75">
      <c r="A229" s="2447"/>
      <c r="B229" s="2451" t="s">
        <v>1158</v>
      </c>
      <c r="C229" s="2417"/>
      <c r="D229" s="2417"/>
      <c r="E229" s="2417"/>
      <c r="F229" s="2417"/>
      <c r="G229" s="2417"/>
      <c r="H229" s="2417">
        <f>CA!D41</f>
        <v>465.15</v>
      </c>
      <c r="I229" s="2417">
        <f>CA!E41</f>
        <v>534.28800000000001</v>
      </c>
      <c r="J229" s="2417">
        <f>CA!F41</f>
        <v>738.98</v>
      </c>
      <c r="K229" s="2417">
        <f>CA!G41</f>
        <v>1387</v>
      </c>
      <c r="L229" s="2417">
        <f>CA!H41</f>
        <v>2218</v>
      </c>
      <c r="M229" s="2417">
        <f>CA!I41</f>
        <v>2528</v>
      </c>
      <c r="N229" s="2417">
        <f>CA!J41</f>
        <v>2780</v>
      </c>
      <c r="O229" s="2417">
        <f>CA!K41</f>
        <v>2728.136</v>
      </c>
      <c r="P229" s="2417">
        <f>CA!L41</f>
        <v>3027</v>
      </c>
      <c r="Q229" s="2417">
        <f>CA!M41</f>
        <v>2979</v>
      </c>
      <c r="R229" s="2417">
        <f>CA!N41</f>
        <v>2617</v>
      </c>
      <c r="S229" s="2417">
        <f>CA!O41</f>
        <v>2855</v>
      </c>
      <c r="T229" s="2417">
        <f>CA!P41</f>
        <v>2957.864</v>
      </c>
      <c r="U229" s="2417">
        <f>CA!Q41</f>
        <v>2970.1679267886857</v>
      </c>
      <c r="V229" s="2417">
        <f>CA!R41</f>
        <v>2982.4718535773709</v>
      </c>
      <c r="W229" s="2417">
        <f>CA!S41</f>
        <v>2984.9326389351077</v>
      </c>
      <c r="X229" s="2417"/>
      <c r="Y229" s="2417"/>
      <c r="Z229" s="2450"/>
      <c r="AA229" s="2450"/>
      <c r="AB229" s="2450"/>
      <c r="AC229" s="2450"/>
      <c r="AD229" s="2450"/>
      <c r="AE229" s="2450"/>
      <c r="AF229" s="2450"/>
      <c r="AG229" s="2450"/>
      <c r="AH229" s="2450"/>
      <c r="AI229" s="2450"/>
      <c r="AJ229" s="2450"/>
      <c r="AK229" s="2450"/>
      <c r="AL229" s="2450"/>
      <c r="AM229" s="2450"/>
      <c r="AN229" s="2450"/>
      <c r="AO229" s="2447"/>
      <c r="AP229" s="2447"/>
      <c r="AQ229" s="2447"/>
      <c r="AR229" s="2447"/>
    </row>
    <row r="230" spans="1:44" s="313" customFormat="1" ht="15.75">
      <c r="A230" s="2447"/>
      <c r="B230" s="2451" t="s">
        <v>1159</v>
      </c>
      <c r="C230" s="2417"/>
      <c r="D230" s="2452"/>
      <c r="E230" s="2452"/>
      <c r="F230" s="2452"/>
      <c r="G230" s="2452"/>
      <c r="H230" s="2452">
        <f>CA!D52</f>
        <v>0.40458380447073128</v>
      </c>
      <c r="I230" s="2452">
        <f>CA!E52</f>
        <v>0.38189219922963702</v>
      </c>
      <c r="J230" s="2452">
        <f>CA!F52</f>
        <v>0.32141563998622219</v>
      </c>
      <c r="K230" s="2452">
        <f>CA!G52</f>
        <v>0.48689217462122808</v>
      </c>
      <c r="L230" s="2452">
        <f>CA!H52</f>
        <v>0.44</v>
      </c>
      <c r="M230" s="2452">
        <f>CA!I52</f>
        <v>0.45</v>
      </c>
      <c r="N230" s="2452">
        <f>CA!J52</f>
        <v>0.46</v>
      </c>
      <c r="O230" s="2452">
        <f>CA!K52</f>
        <v>0.44400000000000001</v>
      </c>
      <c r="P230" s="2452">
        <f>CA!L52</f>
        <v>0.436</v>
      </c>
      <c r="Q230" s="2452">
        <f>CA!M52</f>
        <v>0.40899999999999997</v>
      </c>
      <c r="R230" s="2452">
        <f>CA!N52</f>
        <v>0.38300000000000001</v>
      </c>
      <c r="S230" s="2452">
        <f>CA!O52</f>
        <v>0.38</v>
      </c>
      <c r="T230" s="2452">
        <f>CA!P52</f>
        <v>0.38</v>
      </c>
      <c r="U230" s="2452">
        <f>CA!Q52</f>
        <v>0.38</v>
      </c>
      <c r="V230" s="2452">
        <f>CA!R52</f>
        <v>0.38</v>
      </c>
      <c r="W230" s="2452">
        <f>CA!S52</f>
        <v>0.38</v>
      </c>
      <c r="X230" s="2452"/>
      <c r="Y230" s="2452"/>
      <c r="Z230" s="2450"/>
      <c r="AA230" s="2450"/>
      <c r="AB230" s="2450"/>
      <c r="AC230" s="2450"/>
      <c r="AD230" s="2450"/>
      <c r="AE230" s="2450"/>
      <c r="AF230" s="2450"/>
      <c r="AG230" s="2450"/>
      <c r="AH230" s="2450"/>
      <c r="AI230" s="2450"/>
      <c r="AJ230" s="2450"/>
      <c r="AK230" s="2450"/>
      <c r="AL230" s="2450"/>
      <c r="AM230" s="2450"/>
      <c r="AN230" s="2450"/>
      <c r="AO230" s="2447"/>
      <c r="AP230" s="2447"/>
      <c r="AQ230" s="2447"/>
      <c r="AR230" s="2447"/>
    </row>
    <row r="231" spans="1:44" s="313" customFormat="1" ht="15.75">
      <c r="A231" s="2447"/>
      <c r="B231" s="2451" t="s">
        <v>1160</v>
      </c>
      <c r="C231" s="2417"/>
      <c r="D231" s="2417"/>
      <c r="E231" s="2417"/>
      <c r="F231" s="2417"/>
      <c r="G231" s="2417"/>
      <c r="H231" s="2417"/>
      <c r="I231" s="2417"/>
      <c r="J231" s="2417"/>
      <c r="K231" s="2417"/>
      <c r="L231" s="2417"/>
      <c r="M231" s="2417"/>
      <c r="N231" s="2417"/>
      <c r="O231" s="2417"/>
      <c r="P231" s="2417"/>
      <c r="Q231" s="2417"/>
      <c r="R231" s="2417"/>
      <c r="S231" s="2417"/>
      <c r="T231" s="2417"/>
      <c r="U231" s="2417"/>
      <c r="V231" s="2417"/>
      <c r="W231" s="2417"/>
      <c r="X231" s="2417"/>
      <c r="Y231" s="2417"/>
      <c r="Z231" s="2450"/>
      <c r="AA231" s="2450"/>
      <c r="AB231" s="2450"/>
      <c r="AC231" s="2450"/>
      <c r="AD231" s="2450"/>
      <c r="AE231" s="2450"/>
      <c r="AF231" s="2450"/>
      <c r="AG231" s="2450"/>
      <c r="AH231" s="2450"/>
      <c r="AI231" s="2450"/>
      <c r="AJ231" s="2450"/>
      <c r="AK231" s="2450"/>
      <c r="AL231" s="2450"/>
      <c r="AM231" s="2450"/>
      <c r="AN231" s="2450"/>
      <c r="AO231" s="2447"/>
      <c r="AP231" s="2447"/>
      <c r="AQ231" s="2447"/>
      <c r="AR231" s="2447"/>
    </row>
    <row r="232" spans="1:44" s="313" customFormat="1" ht="15.75">
      <c r="A232" s="2447"/>
      <c r="B232" s="2451" t="s">
        <v>523</v>
      </c>
      <c r="C232" s="2417"/>
      <c r="D232" s="2417"/>
      <c r="E232" s="2417"/>
      <c r="F232" s="2417"/>
      <c r="G232" s="2417"/>
      <c r="H232" s="2417"/>
      <c r="I232" s="2417"/>
      <c r="J232" s="2417"/>
      <c r="K232" s="2417"/>
      <c r="L232" s="2417"/>
      <c r="M232" s="2417"/>
      <c r="N232" s="2417"/>
      <c r="O232" s="2417"/>
      <c r="P232" s="2417"/>
      <c r="Q232" s="2417"/>
      <c r="R232" s="2417"/>
      <c r="S232" s="2417"/>
      <c r="T232" s="2417"/>
      <c r="U232" s="2417"/>
      <c r="V232" s="2417"/>
      <c r="W232" s="2417"/>
      <c r="X232" s="2417"/>
      <c r="Y232" s="2417"/>
      <c r="Z232" s="2450"/>
      <c r="AA232" s="2450"/>
      <c r="AB232" s="2450"/>
      <c r="AC232" s="2450"/>
      <c r="AD232" s="2450"/>
      <c r="AE232" s="2450"/>
      <c r="AF232" s="2450"/>
      <c r="AG232" s="2450"/>
      <c r="AH232" s="2450"/>
      <c r="AI232" s="2450"/>
      <c r="AJ232" s="2450"/>
      <c r="AK232" s="2450"/>
      <c r="AL232" s="2450"/>
      <c r="AM232" s="2450"/>
      <c r="AN232" s="2450"/>
      <c r="AO232" s="2447"/>
      <c r="AP232" s="2447"/>
      <c r="AQ232" s="2447"/>
      <c r="AR232" s="2447"/>
    </row>
    <row r="233" spans="1:44" s="313" customFormat="1" ht="15.75">
      <c r="A233" s="2447"/>
      <c r="B233" s="2451" t="s">
        <v>360</v>
      </c>
      <c r="C233" s="2417"/>
      <c r="D233" s="2417"/>
      <c r="E233" s="2417"/>
      <c r="F233" s="2417"/>
      <c r="G233" s="2417"/>
      <c r="H233" s="2417"/>
      <c r="I233" s="2417"/>
      <c r="J233" s="2417"/>
      <c r="K233" s="2417"/>
      <c r="L233" s="2417"/>
      <c r="M233" s="2417"/>
      <c r="N233" s="2417"/>
      <c r="O233" s="2417"/>
      <c r="P233" s="2417"/>
      <c r="Q233" s="2417"/>
      <c r="R233" s="2417"/>
      <c r="S233" s="2417"/>
      <c r="T233" s="2417"/>
      <c r="U233" s="2417"/>
      <c r="V233" s="2417"/>
      <c r="W233" s="2417"/>
      <c r="X233" s="2417"/>
      <c r="Y233" s="2417"/>
      <c r="Z233" s="2450"/>
      <c r="AA233" s="2450"/>
      <c r="AB233" s="2450"/>
      <c r="AC233" s="2450"/>
      <c r="AD233" s="2450"/>
      <c r="AE233" s="2450"/>
      <c r="AF233" s="2450"/>
      <c r="AG233" s="2450"/>
      <c r="AH233" s="2450"/>
      <c r="AI233" s="2450"/>
      <c r="AJ233" s="2450"/>
      <c r="AK233" s="2450"/>
      <c r="AL233" s="2450"/>
      <c r="AM233" s="2450"/>
      <c r="AN233" s="2450"/>
      <c r="AO233" s="2447"/>
      <c r="AP233" s="2447"/>
      <c r="AQ233" s="2447"/>
      <c r="AR233" s="2447"/>
    </row>
    <row r="234" spans="1:44" s="313" customFormat="1" ht="15.75">
      <c r="A234" s="2447"/>
      <c r="B234" s="2451" t="s">
        <v>1552</v>
      </c>
      <c r="C234" s="2417"/>
      <c r="D234" s="2417"/>
      <c r="E234" s="2417"/>
      <c r="F234" s="2417"/>
      <c r="G234" s="2417"/>
      <c r="H234" s="2417"/>
      <c r="I234" s="2417"/>
      <c r="J234" s="2417"/>
      <c r="K234" s="2417"/>
      <c r="L234" s="2417"/>
      <c r="M234" s="2417"/>
      <c r="N234" s="2417"/>
      <c r="O234" s="2417"/>
      <c r="P234" s="2417"/>
      <c r="Q234" s="2417"/>
      <c r="R234" s="2417"/>
      <c r="S234" s="2417"/>
      <c r="T234" s="2417"/>
      <c r="U234" s="2417"/>
      <c r="V234" s="2417"/>
      <c r="W234" s="2417"/>
      <c r="X234" s="2417"/>
      <c r="Y234" s="2417"/>
      <c r="Z234" s="2450"/>
      <c r="AA234" s="2450"/>
      <c r="AB234" s="2450"/>
      <c r="AC234" s="2450"/>
      <c r="AD234" s="2450"/>
      <c r="AE234" s="2450"/>
      <c r="AF234" s="2450"/>
      <c r="AG234" s="2450"/>
      <c r="AH234" s="2450"/>
      <c r="AI234" s="2450"/>
      <c r="AJ234" s="2450"/>
      <c r="AK234" s="2450"/>
      <c r="AL234" s="2450"/>
      <c r="AM234" s="2450"/>
      <c r="AN234" s="2450"/>
      <c r="AO234" s="2447"/>
      <c r="AP234" s="2447"/>
      <c r="AQ234" s="2447"/>
      <c r="AR234" s="2447"/>
    </row>
    <row r="235" spans="1:44" s="313" customFormat="1" ht="15.75">
      <c r="A235" s="2447"/>
      <c r="B235" s="2451" t="s">
        <v>1936</v>
      </c>
      <c r="C235" s="2417"/>
      <c r="D235" s="2417"/>
      <c r="E235" s="2417"/>
      <c r="F235" s="2417"/>
      <c r="G235" s="2417"/>
      <c r="H235" s="2417"/>
      <c r="I235" s="2417"/>
      <c r="J235" s="2417"/>
      <c r="K235" s="2417"/>
      <c r="L235" s="2417"/>
      <c r="M235" s="2417"/>
      <c r="N235" s="2417"/>
      <c r="O235" s="2417"/>
      <c r="P235" s="2417"/>
      <c r="Q235" s="2417"/>
      <c r="R235" s="2417"/>
      <c r="S235" s="2417"/>
      <c r="T235" s="2417"/>
      <c r="U235" s="2417"/>
      <c r="V235" s="2417"/>
      <c r="W235" s="2417"/>
      <c r="X235" s="2417"/>
      <c r="Y235" s="2417"/>
      <c r="Z235" s="2450"/>
      <c r="AA235" s="2450"/>
      <c r="AB235" s="2450"/>
      <c r="AC235" s="2450"/>
      <c r="AD235" s="2450"/>
      <c r="AE235" s="2450"/>
      <c r="AF235" s="2450"/>
      <c r="AG235" s="2450"/>
      <c r="AH235" s="2450"/>
      <c r="AI235" s="2450"/>
      <c r="AJ235" s="2450"/>
      <c r="AK235" s="2450"/>
      <c r="AL235" s="2450"/>
      <c r="AM235" s="2450"/>
      <c r="AN235" s="2450"/>
      <c r="AO235" s="2447"/>
      <c r="AP235" s="2447"/>
      <c r="AQ235" s="2447"/>
      <c r="AR235" s="2447"/>
    </row>
    <row r="236" spans="1:44" s="313" customFormat="1" ht="15.75">
      <c r="A236" s="2447"/>
      <c r="B236" s="2451" t="s">
        <v>1161</v>
      </c>
      <c r="C236" s="2417"/>
      <c r="D236" s="2417"/>
      <c r="E236" s="2417"/>
      <c r="F236" s="2417"/>
      <c r="G236" s="2417"/>
      <c r="H236" s="2417"/>
      <c r="I236" s="2417"/>
      <c r="J236" s="2417"/>
      <c r="K236" s="2417"/>
      <c r="L236" s="2417"/>
      <c r="M236" s="2417"/>
      <c r="N236" s="2417"/>
      <c r="O236" s="2417"/>
      <c r="P236" s="2417"/>
      <c r="Q236" s="2417"/>
      <c r="R236" s="2417"/>
      <c r="S236" s="2417"/>
      <c r="T236" s="2417"/>
      <c r="U236" s="2417"/>
      <c r="V236" s="2417"/>
      <c r="W236" s="2417"/>
      <c r="X236" s="2417"/>
      <c r="Y236" s="2417"/>
      <c r="Z236" s="2450"/>
      <c r="AA236" s="2450"/>
      <c r="AB236" s="2450"/>
      <c r="AC236" s="2450"/>
      <c r="AD236" s="2450"/>
      <c r="AE236" s="2450"/>
      <c r="AF236" s="2450"/>
      <c r="AG236" s="2450"/>
      <c r="AH236" s="2450"/>
      <c r="AI236" s="2450"/>
      <c r="AJ236" s="2450"/>
      <c r="AK236" s="2450"/>
      <c r="AL236" s="2450"/>
      <c r="AM236" s="2450"/>
      <c r="AN236" s="2450"/>
      <c r="AO236" s="2447"/>
      <c r="AP236" s="2447"/>
      <c r="AQ236" s="2447"/>
      <c r="AR236" s="2447"/>
    </row>
    <row r="237" spans="1:44" s="313" customFormat="1" ht="15.75">
      <c r="A237" s="2447"/>
      <c r="B237" s="2451" t="s">
        <v>1185</v>
      </c>
      <c r="C237" s="2417"/>
      <c r="D237" s="2417"/>
      <c r="E237" s="2417"/>
      <c r="F237" s="2417"/>
      <c r="G237" s="2417"/>
      <c r="H237" s="2417"/>
      <c r="I237" s="2417"/>
      <c r="J237" s="2417"/>
      <c r="K237" s="2417"/>
      <c r="L237" s="2417"/>
      <c r="M237" s="2417"/>
      <c r="N237" s="2417"/>
      <c r="O237" s="2417"/>
      <c r="P237" s="2417"/>
      <c r="Q237" s="2417"/>
      <c r="R237" s="2417"/>
      <c r="S237" s="2417"/>
      <c r="T237" s="2417"/>
      <c r="U237" s="2417"/>
      <c r="V237" s="2417"/>
      <c r="W237" s="2417"/>
      <c r="X237" s="2417"/>
      <c r="Y237" s="2417"/>
      <c r="Z237" s="2450"/>
      <c r="AA237" s="2450"/>
      <c r="AB237" s="2450"/>
      <c r="AC237" s="2450"/>
      <c r="AD237" s="2450"/>
      <c r="AE237" s="2450"/>
      <c r="AF237" s="2450"/>
      <c r="AG237" s="2450"/>
      <c r="AH237" s="2450"/>
      <c r="AI237" s="2450"/>
      <c r="AJ237" s="2450"/>
      <c r="AK237" s="2450"/>
      <c r="AL237" s="2450"/>
      <c r="AM237" s="2450"/>
      <c r="AN237" s="2450"/>
      <c r="AO237" s="2447"/>
      <c r="AP237" s="2447"/>
      <c r="AQ237" s="2447"/>
      <c r="AR237" s="2447"/>
    </row>
    <row r="238" spans="1:44" s="313" customFormat="1" ht="15.75">
      <c r="A238" s="2447"/>
      <c r="B238" s="2451" t="s">
        <v>1728</v>
      </c>
      <c r="C238" s="2417"/>
      <c r="D238" s="2417"/>
      <c r="E238" s="2417"/>
      <c r="F238" s="2417"/>
      <c r="G238" s="2417"/>
      <c r="H238" s="2417"/>
      <c r="I238" s="2417"/>
      <c r="J238" s="2417"/>
      <c r="K238" s="2417"/>
      <c r="L238" s="2417"/>
      <c r="M238" s="2417"/>
      <c r="N238" s="2417"/>
      <c r="O238" s="2417"/>
      <c r="P238" s="2417"/>
      <c r="Q238" s="2417"/>
      <c r="R238" s="2417"/>
      <c r="S238" s="2417"/>
      <c r="T238" s="2417"/>
      <c r="U238" s="2417"/>
      <c r="V238" s="2417"/>
      <c r="W238" s="2417"/>
      <c r="X238" s="2417"/>
      <c r="Y238" s="2417"/>
      <c r="Z238" s="2450"/>
      <c r="AA238" s="2450"/>
      <c r="AB238" s="2450"/>
      <c r="AC238" s="2450"/>
      <c r="AD238" s="2450"/>
      <c r="AE238" s="2450"/>
      <c r="AF238" s="2450"/>
      <c r="AG238" s="2450"/>
      <c r="AH238" s="2450"/>
      <c r="AI238" s="2450"/>
      <c r="AJ238" s="2450"/>
      <c r="AK238" s="2450"/>
      <c r="AL238" s="2450"/>
      <c r="AM238" s="2450"/>
      <c r="AN238" s="2450"/>
      <c r="AO238" s="2447"/>
      <c r="AP238" s="2447"/>
      <c r="AQ238" s="2447"/>
      <c r="AR238" s="2447"/>
    </row>
    <row r="239" spans="1:44" s="313" customFormat="1" ht="15.75">
      <c r="A239" s="2447"/>
      <c r="B239" s="2451" t="s">
        <v>1729</v>
      </c>
      <c r="C239" s="2417"/>
      <c r="D239" s="2417"/>
      <c r="E239" s="2417"/>
      <c r="F239" s="2417"/>
      <c r="G239" s="2417"/>
      <c r="H239" s="2417"/>
      <c r="I239" s="2417"/>
      <c r="J239" s="2417"/>
      <c r="K239" s="2417"/>
      <c r="L239" s="2417"/>
      <c r="M239" s="2417"/>
      <c r="N239" s="2417"/>
      <c r="O239" s="2417"/>
      <c r="P239" s="2417"/>
      <c r="Q239" s="2417"/>
      <c r="R239" s="2417"/>
      <c r="S239" s="2417"/>
      <c r="T239" s="2417"/>
      <c r="U239" s="2417"/>
      <c r="V239" s="2417"/>
      <c r="W239" s="2417"/>
      <c r="X239" s="2417"/>
      <c r="Y239" s="2417"/>
      <c r="Z239" s="2450"/>
      <c r="AA239" s="2450"/>
      <c r="AB239" s="2450"/>
      <c r="AC239" s="2450"/>
      <c r="AD239" s="2450"/>
      <c r="AE239" s="2450"/>
      <c r="AF239" s="2450"/>
      <c r="AG239" s="2450"/>
      <c r="AH239" s="2450"/>
      <c r="AI239" s="2450"/>
      <c r="AJ239" s="2450"/>
      <c r="AK239" s="2450"/>
      <c r="AL239" s="2450"/>
      <c r="AM239" s="2450"/>
      <c r="AN239" s="2450"/>
      <c r="AO239" s="2447"/>
      <c r="AP239" s="2447"/>
      <c r="AQ239" s="2447"/>
      <c r="AR239" s="2447"/>
    </row>
    <row r="240" spans="1:44" s="313" customFormat="1" ht="15.75">
      <c r="A240" s="2447"/>
      <c r="B240" s="2451" t="s">
        <v>1730</v>
      </c>
      <c r="C240" s="2417"/>
      <c r="D240" s="2417"/>
      <c r="E240" s="2417"/>
      <c r="F240" s="2417"/>
      <c r="G240" s="2417"/>
      <c r="H240" s="2417"/>
      <c r="I240" s="2417"/>
      <c r="J240" s="2417"/>
      <c r="K240" s="2417"/>
      <c r="L240" s="2417"/>
      <c r="M240" s="2417"/>
      <c r="N240" s="2417"/>
      <c r="O240" s="2417"/>
      <c r="P240" s="2417"/>
      <c r="Q240" s="2417"/>
      <c r="R240" s="2417"/>
      <c r="S240" s="2417"/>
      <c r="T240" s="2417"/>
      <c r="U240" s="2417"/>
      <c r="V240" s="2417"/>
      <c r="W240" s="2417"/>
      <c r="X240" s="2417"/>
      <c r="Y240" s="2417"/>
      <c r="Z240" s="2450"/>
      <c r="AA240" s="2450"/>
      <c r="AB240" s="2450"/>
      <c r="AC240" s="2450"/>
      <c r="AD240" s="2450"/>
      <c r="AE240" s="2450"/>
      <c r="AF240" s="2450"/>
      <c r="AG240" s="2450"/>
      <c r="AH240" s="2450"/>
      <c r="AI240" s="2450"/>
      <c r="AJ240" s="2450"/>
      <c r="AK240" s="2450"/>
      <c r="AL240" s="2450"/>
      <c r="AM240" s="2450"/>
      <c r="AN240" s="2450"/>
      <c r="AO240" s="2447"/>
      <c r="AP240" s="2447"/>
      <c r="AQ240" s="2447"/>
      <c r="AR240" s="2447"/>
    </row>
    <row r="241" spans="1:44" s="313" customFormat="1" ht="15.75">
      <c r="A241" s="2447"/>
      <c r="B241" s="2451" t="s">
        <v>1731</v>
      </c>
      <c r="C241" s="2417"/>
      <c r="D241" s="2417"/>
      <c r="E241" s="2417"/>
      <c r="F241" s="2417"/>
      <c r="G241" s="2417"/>
      <c r="H241" s="2417"/>
      <c r="I241" s="2417"/>
      <c r="J241" s="2417"/>
      <c r="K241" s="2417"/>
      <c r="L241" s="2417"/>
      <c r="M241" s="2417"/>
      <c r="N241" s="2417"/>
      <c r="O241" s="2417"/>
      <c r="P241" s="2417"/>
      <c r="Q241" s="2417"/>
      <c r="R241" s="2417"/>
      <c r="S241" s="2417"/>
      <c r="T241" s="2417"/>
      <c r="U241" s="2417"/>
      <c r="V241" s="2417"/>
      <c r="W241" s="2417"/>
      <c r="X241" s="2417"/>
      <c r="Y241" s="2417"/>
      <c r="Z241" s="2450"/>
      <c r="AA241" s="2450"/>
      <c r="AB241" s="2450"/>
      <c r="AC241" s="2450"/>
      <c r="AD241" s="2450"/>
      <c r="AE241" s="2450"/>
      <c r="AF241" s="2450"/>
      <c r="AG241" s="2450"/>
      <c r="AH241" s="2450"/>
      <c r="AI241" s="2450"/>
      <c r="AJ241" s="2450"/>
      <c r="AK241" s="2450"/>
      <c r="AL241" s="2450"/>
      <c r="AM241" s="2450"/>
      <c r="AN241" s="2450"/>
      <c r="AO241" s="2447"/>
      <c r="AP241" s="2447"/>
      <c r="AQ241" s="2447"/>
      <c r="AR241" s="2447"/>
    </row>
    <row r="242" spans="1:44" s="313" customFormat="1" ht="15.75">
      <c r="A242" s="2447"/>
      <c r="B242" s="2451" t="s">
        <v>1732</v>
      </c>
      <c r="C242" s="2417"/>
      <c r="D242" s="2417"/>
      <c r="E242" s="2417"/>
      <c r="F242" s="2417"/>
      <c r="G242" s="2417"/>
      <c r="H242" s="2417"/>
      <c r="I242" s="2417"/>
      <c r="J242" s="2417"/>
      <c r="K242" s="2417"/>
      <c r="L242" s="2417"/>
      <c r="M242" s="2417"/>
      <c r="N242" s="2417"/>
      <c r="O242" s="2417"/>
      <c r="P242" s="2417"/>
      <c r="Q242" s="2417"/>
      <c r="R242" s="2417"/>
      <c r="S242" s="2417"/>
      <c r="T242" s="2417"/>
      <c r="U242" s="2417"/>
      <c r="V242" s="2417"/>
      <c r="W242" s="2417"/>
      <c r="X242" s="2417"/>
      <c r="Y242" s="2417"/>
      <c r="Z242" s="2450"/>
      <c r="AA242" s="2450"/>
      <c r="AB242" s="2450"/>
      <c r="AC242" s="2450"/>
      <c r="AD242" s="2450"/>
      <c r="AE242" s="2450"/>
      <c r="AF242" s="2450"/>
      <c r="AG242" s="2450"/>
      <c r="AH242" s="2450"/>
      <c r="AI242" s="2450"/>
      <c r="AJ242" s="2450"/>
      <c r="AK242" s="2450"/>
      <c r="AL242" s="2450"/>
      <c r="AM242" s="2450"/>
      <c r="AN242" s="2450"/>
      <c r="AO242" s="2447"/>
      <c r="AP242" s="2447"/>
      <c r="AQ242" s="2447"/>
      <c r="AR242" s="2447"/>
    </row>
    <row r="243" spans="1:44" s="313" customFormat="1" ht="15.75">
      <c r="A243" s="2447"/>
      <c r="B243" s="2451" t="s">
        <v>1733</v>
      </c>
      <c r="C243" s="2417"/>
      <c r="D243" s="2417"/>
      <c r="E243" s="2417"/>
      <c r="F243" s="2417"/>
      <c r="G243" s="2417"/>
      <c r="H243" s="2417"/>
      <c r="I243" s="2417"/>
      <c r="J243" s="2417"/>
      <c r="K243" s="2417"/>
      <c r="L243" s="2417"/>
      <c r="M243" s="2417"/>
      <c r="N243" s="2417"/>
      <c r="O243" s="2417"/>
      <c r="P243" s="2417"/>
      <c r="Q243" s="2417"/>
      <c r="R243" s="2417"/>
      <c r="S243" s="2417"/>
      <c r="T243" s="2417"/>
      <c r="U243" s="2417"/>
      <c r="V243" s="2417"/>
      <c r="W243" s="2417"/>
      <c r="X243" s="2417"/>
      <c r="Y243" s="2417"/>
      <c r="Z243" s="2450"/>
      <c r="AA243" s="2450"/>
      <c r="AB243" s="2450"/>
      <c r="AC243" s="2450"/>
      <c r="AD243" s="2450"/>
      <c r="AE243" s="2450"/>
      <c r="AF243" s="2450"/>
      <c r="AG243" s="2450"/>
      <c r="AH243" s="2450"/>
      <c r="AI243" s="2450"/>
      <c r="AJ243" s="2450"/>
      <c r="AK243" s="2450"/>
      <c r="AL243" s="2450"/>
      <c r="AM243" s="2450"/>
      <c r="AN243" s="2450"/>
      <c r="AO243" s="2447"/>
      <c r="AP243" s="2447"/>
      <c r="AQ243" s="2447"/>
      <c r="AR243" s="2447"/>
    </row>
    <row r="244" spans="1:44" s="313" customFormat="1" ht="15.75">
      <c r="A244" s="2447"/>
      <c r="B244" s="2451" t="s">
        <v>1734</v>
      </c>
      <c r="C244" s="2417"/>
      <c r="D244" s="2417"/>
      <c r="E244" s="2417"/>
      <c r="F244" s="2417"/>
      <c r="G244" s="2417"/>
      <c r="H244" s="2417"/>
      <c r="I244" s="2417"/>
      <c r="J244" s="2417"/>
      <c r="K244" s="2417"/>
      <c r="L244" s="2417"/>
      <c r="M244" s="2417"/>
      <c r="N244" s="2417"/>
      <c r="O244" s="2417"/>
      <c r="P244" s="2417"/>
      <c r="Q244" s="2417"/>
      <c r="R244" s="2417"/>
      <c r="S244" s="2417"/>
      <c r="T244" s="2417"/>
      <c r="U244" s="2417"/>
      <c r="V244" s="2417"/>
      <c r="W244" s="2417"/>
      <c r="X244" s="2417"/>
      <c r="Y244" s="2417"/>
      <c r="Z244" s="2450"/>
      <c r="AA244" s="2450"/>
      <c r="AB244" s="2450"/>
      <c r="AC244" s="2450"/>
      <c r="AD244" s="2450"/>
      <c r="AE244" s="2450"/>
      <c r="AF244" s="2450"/>
      <c r="AG244" s="2450"/>
      <c r="AH244" s="2450"/>
      <c r="AI244" s="2450"/>
      <c r="AJ244" s="2450"/>
      <c r="AK244" s="2450"/>
      <c r="AL244" s="2450"/>
      <c r="AM244" s="2450"/>
      <c r="AN244" s="2450"/>
      <c r="AO244" s="2447"/>
      <c r="AP244" s="2447"/>
      <c r="AQ244" s="2447"/>
      <c r="AR244" s="2447"/>
    </row>
    <row r="245" spans="1:44" s="313" customFormat="1" ht="15.75">
      <c r="A245" s="2447"/>
      <c r="B245" s="2451" t="s">
        <v>1735</v>
      </c>
      <c r="C245" s="2417"/>
      <c r="D245" s="2417"/>
      <c r="E245" s="2417"/>
      <c r="F245" s="2417"/>
      <c r="G245" s="2417"/>
      <c r="H245" s="2417"/>
      <c r="I245" s="2417"/>
      <c r="J245" s="2417"/>
      <c r="K245" s="2417"/>
      <c r="L245" s="2417"/>
      <c r="M245" s="2417"/>
      <c r="N245" s="2417"/>
      <c r="O245" s="2417"/>
      <c r="P245" s="2417"/>
      <c r="Q245" s="2417"/>
      <c r="R245" s="2417"/>
      <c r="S245" s="2417"/>
      <c r="T245" s="2417"/>
      <c r="U245" s="2417"/>
      <c r="V245" s="2417"/>
      <c r="W245" s="2417"/>
      <c r="X245" s="2417"/>
      <c r="Y245" s="2417"/>
      <c r="Z245" s="2450"/>
      <c r="AA245" s="2450"/>
      <c r="AB245" s="2450"/>
      <c r="AC245" s="2450"/>
      <c r="AD245" s="2450"/>
      <c r="AE245" s="2450"/>
      <c r="AF245" s="2450"/>
      <c r="AG245" s="2450"/>
      <c r="AH245" s="2450"/>
      <c r="AI245" s="2450"/>
      <c r="AJ245" s="2450"/>
      <c r="AK245" s="2450"/>
      <c r="AL245" s="2450"/>
      <c r="AM245" s="2450"/>
      <c r="AN245" s="2450"/>
      <c r="AO245" s="2447"/>
      <c r="AP245" s="2447"/>
      <c r="AQ245" s="2447"/>
      <c r="AR245" s="2447"/>
    </row>
    <row r="246" spans="1:44" s="313" customFormat="1" ht="15.75">
      <c r="A246" s="2447"/>
      <c r="B246" s="2447" t="s">
        <v>968</v>
      </c>
      <c r="C246" s="2453"/>
      <c r="D246" s="2454"/>
      <c r="E246" s="2454"/>
      <c r="F246" s="2454"/>
      <c r="G246" s="2454"/>
      <c r="H246" s="2454">
        <f>CA!D69</f>
        <v>1</v>
      </c>
      <c r="I246" s="2454">
        <f>CA!E69</f>
        <v>1</v>
      </c>
      <c r="J246" s="2454">
        <f>CA!F69</f>
        <v>1</v>
      </c>
      <c r="K246" s="2454">
        <f>CA!G69</f>
        <v>1</v>
      </c>
      <c r="L246" s="2454">
        <f>CA!H69</f>
        <v>1</v>
      </c>
      <c r="M246" s="2454">
        <f>CA!I69</f>
        <v>1</v>
      </c>
      <c r="N246" s="2454">
        <f>CA!J69</f>
        <v>1</v>
      </c>
      <c r="O246" s="2454">
        <f>CA!K69</f>
        <v>1</v>
      </c>
      <c r="P246" s="2454">
        <f>CA!L69</f>
        <v>1</v>
      </c>
      <c r="Q246" s="2454">
        <f>CA!M69</f>
        <v>1</v>
      </c>
      <c r="R246" s="2454">
        <f>CA!N69</f>
        <v>1</v>
      </c>
      <c r="S246" s="2454">
        <f>CA!O69</f>
        <v>1</v>
      </c>
      <c r="T246" s="2454">
        <f>CA!P69</f>
        <v>1</v>
      </c>
      <c r="U246" s="2454">
        <f>CA!Q69</f>
        <v>1</v>
      </c>
      <c r="V246" s="2454">
        <f>CA!R69</f>
        <v>1</v>
      </c>
      <c r="W246" s="2454">
        <f>CA!S69</f>
        <v>1</v>
      </c>
      <c r="X246" s="2454"/>
      <c r="Y246" s="2454"/>
      <c r="Z246" s="2450"/>
      <c r="AA246" s="2450"/>
      <c r="AB246" s="2450"/>
      <c r="AC246" s="2450"/>
      <c r="AD246" s="2450"/>
      <c r="AE246" s="2450"/>
      <c r="AF246" s="2450"/>
      <c r="AG246" s="2450"/>
      <c r="AH246" s="2450"/>
      <c r="AI246" s="2450"/>
      <c r="AJ246" s="2450"/>
      <c r="AK246" s="2450"/>
      <c r="AL246" s="2450"/>
      <c r="AM246" s="2450"/>
      <c r="AN246" s="2450"/>
      <c r="AO246" s="2447"/>
      <c r="AP246" s="2447"/>
      <c r="AQ246" s="2447"/>
      <c r="AR246" s="2447"/>
    </row>
    <row r="247" spans="1:44" s="313" customFormat="1" ht="15.75">
      <c r="A247" s="2447"/>
      <c r="B247" s="2447" t="s">
        <v>965</v>
      </c>
      <c r="C247" s="2453"/>
      <c r="D247" s="2417"/>
      <c r="E247" s="2417"/>
      <c r="F247" s="2417"/>
      <c r="G247" s="2417"/>
      <c r="H247" s="2417"/>
      <c r="I247" s="2417"/>
      <c r="J247" s="2417"/>
      <c r="K247" s="2417"/>
      <c r="L247" s="2417"/>
      <c r="M247" s="2417"/>
      <c r="N247" s="2417"/>
      <c r="O247" s="2417"/>
      <c r="P247" s="2417"/>
      <c r="Q247" s="2417"/>
      <c r="R247" s="2417"/>
      <c r="S247" s="2417"/>
      <c r="T247" s="2417"/>
      <c r="U247" s="2417"/>
      <c r="V247" s="2417"/>
      <c r="W247" s="2417"/>
      <c r="X247" s="2417"/>
      <c r="Y247" s="2417"/>
      <c r="Z247" s="2450"/>
      <c r="AA247" s="2450"/>
      <c r="AB247" s="2450"/>
      <c r="AC247" s="2450"/>
      <c r="AD247" s="2450"/>
      <c r="AE247" s="2450"/>
      <c r="AF247" s="2450"/>
      <c r="AG247" s="2450"/>
      <c r="AH247" s="2450"/>
      <c r="AI247" s="2450"/>
      <c r="AJ247" s="2450"/>
      <c r="AK247" s="2450"/>
      <c r="AL247" s="2450"/>
      <c r="AM247" s="2450"/>
      <c r="AN247" s="2450"/>
      <c r="AO247" s="2447"/>
      <c r="AP247" s="2447"/>
      <c r="AQ247" s="2447"/>
      <c r="AR247" s="2447"/>
    </row>
    <row r="248" spans="1:44" s="313" customFormat="1" ht="15.75">
      <c r="A248" s="2447"/>
      <c r="B248" s="2451"/>
      <c r="C248" s="2417"/>
      <c r="D248" s="2417"/>
      <c r="E248" s="2417"/>
      <c r="F248" s="2417"/>
      <c r="G248" s="2417"/>
      <c r="H248" s="2417"/>
      <c r="I248" s="2417"/>
      <c r="J248" s="2417"/>
      <c r="K248" s="2417"/>
      <c r="L248" s="2417"/>
      <c r="M248" s="2417"/>
      <c r="N248" s="2417"/>
      <c r="O248" s="2417"/>
      <c r="P248" s="2417"/>
      <c r="Q248" s="2417"/>
      <c r="R248" s="2417"/>
      <c r="S248" s="2417"/>
      <c r="T248" s="2417"/>
      <c r="U248" s="2417"/>
      <c r="V248" s="2417"/>
      <c r="W248" s="2417"/>
      <c r="X248" s="2417"/>
      <c r="Y248" s="2417"/>
      <c r="Z248" s="2450"/>
      <c r="AA248" s="2450"/>
      <c r="AB248" s="2450"/>
      <c r="AC248" s="2450"/>
      <c r="AD248" s="2450"/>
      <c r="AE248" s="2450"/>
      <c r="AF248" s="2450"/>
      <c r="AG248" s="2450"/>
      <c r="AH248" s="2450"/>
      <c r="AI248" s="2450"/>
      <c r="AJ248" s="2450"/>
      <c r="AK248" s="2450"/>
      <c r="AL248" s="2450"/>
      <c r="AM248" s="2450"/>
      <c r="AN248" s="2450"/>
      <c r="AO248" s="2447"/>
      <c r="AP248" s="2447"/>
      <c r="AQ248" s="2447"/>
      <c r="AR248" s="2447"/>
    </row>
    <row r="249" spans="1:44" s="313" customFormat="1" ht="15.75">
      <c r="A249" s="2447"/>
      <c r="B249" s="2455"/>
      <c r="C249" s="2456"/>
      <c r="D249" s="2456"/>
      <c r="E249" s="2456"/>
      <c r="F249" s="2456"/>
      <c r="G249" s="2457"/>
      <c r="H249" s="2457"/>
      <c r="I249" s="2457"/>
      <c r="J249" s="2457"/>
      <c r="K249" s="2457"/>
      <c r="L249" s="2457"/>
      <c r="M249" s="2457"/>
      <c r="N249" s="2457"/>
      <c r="O249" s="2457"/>
      <c r="P249" s="2457"/>
      <c r="Q249" s="2456"/>
      <c r="R249" s="2456"/>
      <c r="S249" s="2456"/>
      <c r="T249" s="2456"/>
      <c r="U249" s="2456"/>
      <c r="V249" s="2456"/>
      <c r="W249" s="2456"/>
      <c r="X249" s="2456"/>
      <c r="Y249" s="2456"/>
      <c r="Z249" s="2450"/>
      <c r="AA249" s="2450"/>
      <c r="AB249" s="2450"/>
      <c r="AC249" s="2450"/>
      <c r="AD249" s="2450"/>
      <c r="AE249" s="2450"/>
      <c r="AF249" s="2450"/>
      <c r="AG249" s="2450"/>
      <c r="AH249" s="2450"/>
      <c r="AI249" s="2450"/>
      <c r="AJ249" s="2450"/>
      <c r="AK249" s="2450"/>
      <c r="AL249" s="2450"/>
      <c r="AM249" s="2450"/>
      <c r="AN249" s="2450"/>
      <c r="AO249" s="2447"/>
      <c r="AP249" s="2447"/>
      <c r="AQ249" s="2447"/>
      <c r="AR249" s="2447"/>
    </row>
    <row r="250" spans="1:44" s="313" customFormat="1" ht="15.75">
      <c r="A250" s="2447"/>
      <c r="B250" s="2449" t="s">
        <v>969</v>
      </c>
      <c r="C250" s="2417" t="s">
        <v>967</v>
      </c>
      <c r="D250" s="2417"/>
      <c r="E250" s="2417"/>
      <c r="F250" s="2417"/>
      <c r="G250" s="2417"/>
      <c r="H250" s="2417"/>
      <c r="I250" s="2417"/>
      <c r="J250" s="2417"/>
      <c r="K250" s="2417"/>
      <c r="L250" s="2417"/>
      <c r="M250" s="2417"/>
      <c r="N250" s="2417"/>
      <c r="O250" s="2417"/>
      <c r="P250" s="2417"/>
      <c r="Q250" s="2417"/>
      <c r="R250" s="2417"/>
      <c r="S250" s="2417"/>
      <c r="T250" s="2417"/>
      <c r="U250" s="2417"/>
      <c r="V250" s="2417"/>
      <c r="W250" s="2417"/>
      <c r="X250" s="2417"/>
      <c r="Y250" s="2417"/>
      <c r="Z250" s="2450"/>
      <c r="AA250" s="2450"/>
      <c r="AB250" s="2450"/>
      <c r="AC250" s="2450"/>
      <c r="AD250" s="2450"/>
      <c r="AE250" s="2450"/>
      <c r="AF250" s="2450"/>
      <c r="AG250" s="2450"/>
      <c r="AH250" s="2450"/>
      <c r="AI250" s="2450"/>
      <c r="AJ250" s="2450"/>
      <c r="AK250" s="2450"/>
      <c r="AL250" s="2450"/>
      <c r="AM250" s="2450"/>
      <c r="AN250" s="2450"/>
      <c r="AO250" s="2447"/>
      <c r="AP250" s="2447"/>
      <c r="AQ250" s="2447"/>
      <c r="AR250" s="2447"/>
    </row>
    <row r="251" spans="1:44" s="313" customFormat="1" ht="15.75">
      <c r="A251" s="2447"/>
      <c r="B251" s="2451" t="s">
        <v>1157</v>
      </c>
      <c r="C251" s="2417"/>
      <c r="D251" s="2417"/>
      <c r="E251" s="2417"/>
      <c r="F251" s="2417"/>
      <c r="G251" s="2417">
        <f>CA!C6</f>
        <v>11997</v>
      </c>
      <c r="H251" s="2417">
        <f>CA!D6</f>
        <v>11997</v>
      </c>
      <c r="I251" s="2417">
        <f>CA!E6</f>
        <v>11997</v>
      </c>
      <c r="J251" s="2417">
        <f>CA!F6</f>
        <v>12293.545</v>
      </c>
      <c r="K251" s="2417">
        <f>CA!G6</f>
        <v>12728</v>
      </c>
      <c r="L251" s="2417">
        <f>CA!H6</f>
        <v>12728</v>
      </c>
      <c r="M251" s="2417">
        <f>CA!I6</f>
        <v>13623.456790123457</v>
      </c>
      <c r="N251" s="2417">
        <f>CA!J6</f>
        <v>13552.532123960695</v>
      </c>
      <c r="O251" s="2417">
        <f>CA!K6</f>
        <v>14356.358878079307</v>
      </c>
      <c r="P251" s="2417">
        <f>CA!L6</f>
        <v>14646.25279642058</v>
      </c>
      <c r="Q251" s="2417">
        <f>CA!M6</f>
        <v>15479.126040962432</v>
      </c>
      <c r="R251" s="2417">
        <f>CA!N6</f>
        <v>16086.550772031034</v>
      </c>
      <c r="S251" s="2417">
        <f>CA!O6</f>
        <v>16514.378386930897</v>
      </c>
      <c r="T251" s="2417">
        <f>CA!P6</f>
        <v>16593.274236137309</v>
      </c>
      <c r="U251" s="2417">
        <f>CA!Q6</f>
        <v>16784.096889852888</v>
      </c>
      <c r="V251" s="2417">
        <f>CA!R6</f>
        <v>16977.114004086197</v>
      </c>
      <c r="W251" s="2417">
        <f>CA!S6</f>
        <v>17172.350815133188</v>
      </c>
      <c r="X251" s="2417"/>
      <c r="Y251" s="2417"/>
      <c r="Z251" s="2450"/>
      <c r="AA251" s="2450"/>
      <c r="AB251" s="2450"/>
      <c r="AC251" s="2450"/>
      <c r="AD251" s="2450"/>
      <c r="AE251" s="2450"/>
      <c r="AF251" s="2450"/>
      <c r="AG251" s="2450"/>
      <c r="AH251" s="2450"/>
      <c r="AI251" s="2450"/>
      <c r="AJ251" s="2450"/>
      <c r="AK251" s="2450"/>
      <c r="AL251" s="2450"/>
      <c r="AM251" s="2450"/>
      <c r="AN251" s="2450"/>
      <c r="AO251" s="2447"/>
      <c r="AP251" s="2447"/>
      <c r="AQ251" s="2447"/>
      <c r="AR251" s="2447"/>
    </row>
    <row r="252" spans="1:44" s="313" customFormat="1" ht="15.75">
      <c r="A252" s="2447"/>
      <c r="B252" s="2451" t="s">
        <v>1158</v>
      </c>
      <c r="C252" s="2417"/>
      <c r="D252" s="2417"/>
      <c r="E252" s="2417"/>
      <c r="F252" s="2417"/>
      <c r="G252" s="2417">
        <f>CA!C42</f>
        <v>467.26</v>
      </c>
      <c r="H252" s="2417">
        <f>CA!D42</f>
        <v>596.07799999999997</v>
      </c>
      <c r="I252" s="2417">
        <f>CA!E42</f>
        <v>672.73400000000004</v>
      </c>
      <c r="J252" s="2417">
        <f>CA!F42</f>
        <v>1164.05</v>
      </c>
      <c r="K252" s="2417">
        <f>CA!G42</f>
        <v>2223</v>
      </c>
      <c r="L252" s="2417">
        <f>CA!H42</f>
        <v>3681.4050000000002</v>
      </c>
      <c r="M252" s="2417">
        <f>CA!I42</f>
        <v>4414</v>
      </c>
      <c r="N252" s="2417">
        <f>CA!J42</f>
        <v>5379</v>
      </c>
      <c r="O252" s="2417">
        <f>CA!K42</f>
        <v>6308.5429999999997</v>
      </c>
      <c r="P252" s="2417">
        <f>CA!L42</f>
        <v>7123</v>
      </c>
      <c r="Q252" s="2417">
        <f>CA!M42</f>
        <v>7922</v>
      </c>
      <c r="R252" s="2417">
        <f>CA!N42</f>
        <v>8343</v>
      </c>
      <c r="S252" s="2417">
        <f>CA!O42</f>
        <v>8350</v>
      </c>
      <c r="T252" s="2417">
        <f>CA!P42</f>
        <v>8797.7540000000008</v>
      </c>
      <c r="U252" s="2417">
        <f>CA!Q42</f>
        <v>8945.084437447098</v>
      </c>
      <c r="V252" s="2417">
        <f>CA!R42</f>
        <v>9094.639971988976</v>
      </c>
      <c r="W252" s="2417">
        <f>CA!S42</f>
        <v>9208.6731246151721</v>
      </c>
      <c r="X252" s="2417"/>
      <c r="Y252" s="2417"/>
      <c r="Z252" s="2450"/>
      <c r="AA252" s="2450"/>
      <c r="AB252" s="2450"/>
      <c r="AC252" s="2450"/>
      <c r="AD252" s="2450"/>
      <c r="AE252" s="2450"/>
      <c r="AF252" s="2450"/>
      <c r="AG252" s="2450"/>
      <c r="AH252" s="2450"/>
      <c r="AI252" s="2450"/>
      <c r="AJ252" s="2450"/>
      <c r="AK252" s="2450"/>
      <c r="AL252" s="2450"/>
      <c r="AM252" s="2450"/>
      <c r="AN252" s="2450"/>
      <c r="AO252" s="2447"/>
      <c r="AP252" s="2447"/>
      <c r="AQ252" s="2447"/>
      <c r="AR252" s="2447"/>
    </row>
    <row r="253" spans="1:44" s="313" customFormat="1" ht="15.75">
      <c r="A253" s="2447"/>
      <c r="B253" s="2451" t="s">
        <v>1159</v>
      </c>
      <c r="C253" s="2417"/>
      <c r="D253" s="2452"/>
      <c r="E253" s="2452"/>
      <c r="F253" s="2452"/>
      <c r="G253" s="2452">
        <f>CA!C53</f>
        <v>0.30596903509024664</v>
      </c>
      <c r="H253" s="2452">
        <f>CA!D53</f>
        <v>0.31053492539801614</v>
      </c>
      <c r="I253" s="2452">
        <f>CA!E53</f>
        <v>0.26702469268110679</v>
      </c>
      <c r="J253" s="2452">
        <f>CA!F53</f>
        <v>0.29134739472563104</v>
      </c>
      <c r="K253" s="2452">
        <f>CA!G53</f>
        <v>0.38812067881835322</v>
      </c>
      <c r="L253" s="2452">
        <f>CA!H53</f>
        <v>0.42</v>
      </c>
      <c r="M253" s="2452">
        <f>CA!I53</f>
        <v>0.45</v>
      </c>
      <c r="N253" s="2452">
        <f>CA!J53</f>
        <v>0.49</v>
      </c>
      <c r="O253" s="2452">
        <f>CA!K53</f>
        <v>0.52500000000000002</v>
      </c>
      <c r="P253" s="2452">
        <f>CA!L53</f>
        <v>0.54400000000000004</v>
      </c>
      <c r="Q253" s="2452">
        <f>CA!M53</f>
        <v>0.54100000000000004</v>
      </c>
      <c r="R253" s="2452">
        <f>CA!N53</f>
        <v>0.53800000000000003</v>
      </c>
      <c r="S253" s="2452">
        <f>CA!O53</f>
        <v>0.53</v>
      </c>
      <c r="T253" s="2452">
        <f>CA!P53</f>
        <v>0.55000000000000004</v>
      </c>
      <c r="U253" s="2452">
        <f>CA!Q53</f>
        <v>0.55000000000000004</v>
      </c>
      <c r="V253" s="2452">
        <f>CA!R53</f>
        <v>0.55000000000000004</v>
      </c>
      <c r="W253" s="2452">
        <f>CA!S53</f>
        <v>0.55000000000000004</v>
      </c>
      <c r="X253" s="2452"/>
      <c r="Y253" s="2452"/>
      <c r="Z253" s="2450"/>
      <c r="AA253" s="2450"/>
      <c r="AB253" s="2450"/>
      <c r="AC253" s="2450"/>
      <c r="AD253" s="2450"/>
      <c r="AE253" s="2450"/>
      <c r="AF253" s="2450"/>
      <c r="AG253" s="2450"/>
      <c r="AH253" s="2450"/>
      <c r="AI253" s="2450"/>
      <c r="AJ253" s="2450"/>
      <c r="AK253" s="2450"/>
      <c r="AL253" s="2450"/>
      <c r="AM253" s="2450"/>
      <c r="AN253" s="2450"/>
      <c r="AO253" s="2447"/>
      <c r="AP253" s="2447"/>
      <c r="AQ253" s="2447"/>
      <c r="AR253" s="2447"/>
    </row>
    <row r="254" spans="1:44" s="313" customFormat="1" ht="15.75">
      <c r="A254" s="2447"/>
      <c r="B254" s="2451" t="s">
        <v>1160</v>
      </c>
      <c r="C254" s="2417"/>
      <c r="D254" s="2417"/>
      <c r="E254" s="2417"/>
      <c r="F254" s="2417"/>
      <c r="G254" s="2417"/>
      <c r="H254" s="2417"/>
      <c r="I254" s="2417"/>
      <c r="J254" s="2417"/>
      <c r="K254" s="2417"/>
      <c r="L254" s="2417"/>
      <c r="M254" s="2417"/>
      <c r="N254" s="2417"/>
      <c r="O254" s="2417"/>
      <c r="P254" s="2417"/>
      <c r="Q254" s="2417"/>
      <c r="R254" s="2417"/>
      <c r="S254" s="2417"/>
      <c r="T254" s="2417"/>
      <c r="U254" s="2417"/>
      <c r="V254" s="2417"/>
      <c r="W254" s="2417"/>
      <c r="X254" s="2417"/>
      <c r="Y254" s="2417"/>
      <c r="Z254" s="2450"/>
      <c r="AA254" s="2450"/>
      <c r="AB254" s="2450"/>
      <c r="AC254" s="2450"/>
      <c r="AD254" s="2450"/>
      <c r="AE254" s="2450"/>
      <c r="AF254" s="2450"/>
      <c r="AG254" s="2450"/>
      <c r="AH254" s="2450"/>
      <c r="AI254" s="2450"/>
      <c r="AJ254" s="2450"/>
      <c r="AK254" s="2450"/>
      <c r="AL254" s="2450"/>
      <c r="AM254" s="2450"/>
      <c r="AN254" s="2450"/>
      <c r="AO254" s="2447"/>
      <c r="AP254" s="2447"/>
      <c r="AQ254" s="2447"/>
      <c r="AR254" s="2447"/>
    </row>
    <row r="255" spans="1:44" s="313" customFormat="1" ht="15.75">
      <c r="A255" s="2447"/>
      <c r="B255" s="2451" t="s">
        <v>523</v>
      </c>
      <c r="C255" s="2417"/>
      <c r="D255" s="2417"/>
      <c r="E255" s="2417"/>
      <c r="F255" s="2417"/>
      <c r="G255" s="2417"/>
      <c r="H255" s="2417"/>
      <c r="I255" s="2417"/>
      <c r="J255" s="2417"/>
      <c r="K255" s="2417"/>
      <c r="L255" s="2417"/>
      <c r="M255" s="2417"/>
      <c r="N255" s="2417"/>
      <c r="O255" s="2417"/>
      <c r="P255" s="2417"/>
      <c r="Q255" s="2417"/>
      <c r="R255" s="2417"/>
      <c r="S255" s="2417"/>
      <c r="T255" s="2417"/>
      <c r="U255" s="2417"/>
      <c r="V255" s="2417"/>
      <c r="W255" s="2417"/>
      <c r="X255" s="2417"/>
      <c r="Y255" s="2417"/>
      <c r="Z255" s="2450"/>
      <c r="AA255" s="2450"/>
      <c r="AB255" s="2450"/>
      <c r="AC255" s="2450"/>
      <c r="AD255" s="2450"/>
      <c r="AE255" s="2450"/>
      <c r="AF255" s="2450"/>
      <c r="AG255" s="2450"/>
      <c r="AH255" s="2450"/>
      <c r="AI255" s="2450"/>
      <c r="AJ255" s="2450"/>
      <c r="AK255" s="2450"/>
      <c r="AL255" s="2450"/>
      <c r="AM255" s="2450"/>
      <c r="AN255" s="2450"/>
      <c r="AO255" s="2447"/>
      <c r="AP255" s="2447"/>
      <c r="AQ255" s="2447"/>
      <c r="AR255" s="2447"/>
    </row>
    <row r="256" spans="1:44" s="313" customFormat="1" ht="15.75">
      <c r="A256" s="2447"/>
      <c r="B256" s="2451" t="s">
        <v>360</v>
      </c>
      <c r="C256" s="2417"/>
      <c r="D256" s="2417"/>
      <c r="E256" s="2417"/>
      <c r="F256" s="2417"/>
      <c r="G256" s="2417"/>
      <c r="H256" s="2417"/>
      <c r="I256" s="2417"/>
      <c r="J256" s="2417"/>
      <c r="K256" s="2417"/>
      <c r="L256" s="2417"/>
      <c r="M256" s="2417"/>
      <c r="N256" s="2417"/>
      <c r="O256" s="2417"/>
      <c r="P256" s="2417"/>
      <c r="Q256" s="2417"/>
      <c r="R256" s="2417"/>
      <c r="S256" s="2417"/>
      <c r="T256" s="2417"/>
      <c r="U256" s="2417"/>
      <c r="V256" s="2417"/>
      <c r="W256" s="2417"/>
      <c r="X256" s="2417"/>
      <c r="Y256" s="2417"/>
      <c r="Z256" s="2450"/>
      <c r="AA256" s="2450"/>
      <c r="AB256" s="2450"/>
      <c r="AC256" s="2450"/>
      <c r="AD256" s="2450"/>
      <c r="AE256" s="2450"/>
      <c r="AF256" s="2450"/>
      <c r="AG256" s="2450"/>
      <c r="AH256" s="2450"/>
      <c r="AI256" s="2450"/>
      <c r="AJ256" s="2450"/>
      <c r="AK256" s="2450"/>
      <c r="AL256" s="2450"/>
      <c r="AM256" s="2450"/>
      <c r="AN256" s="2450"/>
      <c r="AO256" s="2447"/>
      <c r="AP256" s="2447"/>
      <c r="AQ256" s="2447"/>
      <c r="AR256" s="2447"/>
    </row>
    <row r="257" spans="1:44" s="313" customFormat="1" ht="15.75">
      <c r="A257" s="2447"/>
      <c r="B257" s="2451" t="s">
        <v>1552</v>
      </c>
      <c r="C257" s="2417"/>
      <c r="D257" s="2417"/>
      <c r="E257" s="2417"/>
      <c r="F257" s="2417"/>
      <c r="G257" s="2417"/>
      <c r="H257" s="2417"/>
      <c r="I257" s="2417"/>
      <c r="J257" s="2417"/>
      <c r="K257" s="2417"/>
      <c r="L257" s="2417"/>
      <c r="M257" s="2417"/>
      <c r="N257" s="2417"/>
      <c r="O257" s="2417"/>
      <c r="P257" s="2417"/>
      <c r="Q257" s="2417"/>
      <c r="R257" s="2417"/>
      <c r="S257" s="2417"/>
      <c r="T257" s="2417"/>
      <c r="U257" s="2417"/>
      <c r="V257" s="2417"/>
      <c r="W257" s="2417"/>
      <c r="X257" s="2417"/>
      <c r="Y257" s="2417"/>
      <c r="Z257" s="2450"/>
      <c r="AA257" s="2450"/>
      <c r="AB257" s="2450"/>
      <c r="AC257" s="2450"/>
      <c r="AD257" s="2450"/>
      <c r="AE257" s="2450"/>
      <c r="AF257" s="2450"/>
      <c r="AG257" s="2450"/>
      <c r="AH257" s="2450"/>
      <c r="AI257" s="2450"/>
      <c r="AJ257" s="2450"/>
      <c r="AK257" s="2450"/>
      <c r="AL257" s="2450"/>
      <c r="AM257" s="2450"/>
      <c r="AN257" s="2450"/>
      <c r="AO257" s="2447"/>
      <c r="AP257" s="2447"/>
      <c r="AQ257" s="2447"/>
      <c r="AR257" s="2447"/>
    </row>
    <row r="258" spans="1:44" s="313" customFormat="1" ht="15.75">
      <c r="A258" s="2447"/>
      <c r="B258" s="2451" t="s">
        <v>1936</v>
      </c>
      <c r="C258" s="2417"/>
      <c r="D258" s="2417"/>
      <c r="E258" s="2417"/>
      <c r="F258" s="2417"/>
      <c r="G258" s="2417"/>
      <c r="H258" s="2417"/>
      <c r="I258" s="2417"/>
      <c r="J258" s="2417"/>
      <c r="K258" s="2417"/>
      <c r="L258" s="2417"/>
      <c r="M258" s="2417"/>
      <c r="N258" s="2417"/>
      <c r="O258" s="2417"/>
      <c r="P258" s="2417"/>
      <c r="Q258" s="2417"/>
      <c r="R258" s="2417"/>
      <c r="S258" s="2417"/>
      <c r="T258" s="2417"/>
      <c r="U258" s="2417"/>
      <c r="V258" s="2417"/>
      <c r="W258" s="2417"/>
      <c r="X258" s="2417"/>
      <c r="Y258" s="2417"/>
      <c r="Z258" s="2450"/>
      <c r="AA258" s="2450"/>
      <c r="AB258" s="2450"/>
      <c r="AC258" s="2450"/>
      <c r="AD258" s="2450"/>
      <c r="AE258" s="2450"/>
      <c r="AF258" s="2450"/>
      <c r="AG258" s="2450"/>
      <c r="AH258" s="2450"/>
      <c r="AI258" s="2450"/>
      <c r="AJ258" s="2450"/>
      <c r="AK258" s="2450"/>
      <c r="AL258" s="2450"/>
      <c r="AM258" s="2450"/>
      <c r="AN258" s="2450"/>
      <c r="AO258" s="2447"/>
      <c r="AP258" s="2447"/>
      <c r="AQ258" s="2447"/>
      <c r="AR258" s="2447"/>
    </row>
    <row r="259" spans="1:44" s="313" customFormat="1" ht="15.75">
      <c r="A259" s="2447"/>
      <c r="B259" s="2451" t="s">
        <v>1161</v>
      </c>
      <c r="C259" s="2417"/>
      <c r="D259" s="2417"/>
      <c r="E259" s="2417"/>
      <c r="F259" s="2417"/>
      <c r="G259" s="2417"/>
      <c r="H259" s="2417"/>
      <c r="I259" s="2417"/>
      <c r="J259" s="2417"/>
      <c r="K259" s="2417"/>
      <c r="L259" s="2417"/>
      <c r="M259" s="2417"/>
      <c r="N259" s="2417"/>
      <c r="O259" s="2417"/>
      <c r="P259" s="2417"/>
      <c r="Q259" s="2417"/>
      <c r="R259" s="2417"/>
      <c r="S259" s="2417"/>
      <c r="T259" s="2417"/>
      <c r="U259" s="2417"/>
      <c r="V259" s="2417"/>
      <c r="W259" s="2417"/>
      <c r="X259" s="2417"/>
      <c r="Y259" s="2417"/>
      <c r="Z259" s="2450"/>
      <c r="AA259" s="2450"/>
      <c r="AB259" s="2450"/>
      <c r="AC259" s="2450"/>
      <c r="AD259" s="2450"/>
      <c r="AE259" s="2450"/>
      <c r="AF259" s="2450"/>
      <c r="AG259" s="2450"/>
      <c r="AH259" s="2450"/>
      <c r="AI259" s="2450"/>
      <c r="AJ259" s="2450"/>
      <c r="AK259" s="2450"/>
      <c r="AL259" s="2450"/>
      <c r="AM259" s="2450"/>
      <c r="AN259" s="2450"/>
      <c r="AO259" s="2447"/>
      <c r="AP259" s="2447"/>
      <c r="AQ259" s="2447"/>
      <c r="AR259" s="2447"/>
    </row>
    <row r="260" spans="1:44" s="313" customFormat="1" ht="15.75">
      <c r="A260" s="2447"/>
      <c r="B260" s="2451" t="s">
        <v>1185</v>
      </c>
      <c r="C260" s="2417"/>
      <c r="D260" s="2417"/>
      <c r="E260" s="2417"/>
      <c r="F260" s="2417"/>
      <c r="G260" s="2417"/>
      <c r="H260" s="2417"/>
      <c r="I260" s="2417"/>
      <c r="J260" s="2417"/>
      <c r="K260" s="2417"/>
      <c r="L260" s="2417"/>
      <c r="M260" s="2417"/>
      <c r="N260" s="2417"/>
      <c r="O260" s="2417"/>
      <c r="P260" s="2417"/>
      <c r="Q260" s="2417"/>
      <c r="R260" s="2417"/>
      <c r="S260" s="2417"/>
      <c r="T260" s="2417"/>
      <c r="U260" s="2417"/>
      <c r="V260" s="2417"/>
      <c r="W260" s="2417"/>
      <c r="X260" s="2417"/>
      <c r="Y260" s="2417"/>
      <c r="Z260" s="2450"/>
      <c r="AA260" s="2450"/>
      <c r="AB260" s="2450"/>
      <c r="AC260" s="2450"/>
      <c r="AD260" s="2450"/>
      <c r="AE260" s="2450"/>
      <c r="AF260" s="2450"/>
      <c r="AG260" s="2450"/>
      <c r="AH260" s="2450"/>
      <c r="AI260" s="2450"/>
      <c r="AJ260" s="2450"/>
      <c r="AK260" s="2450"/>
      <c r="AL260" s="2450"/>
      <c r="AM260" s="2450"/>
      <c r="AN260" s="2450"/>
      <c r="AO260" s="2447"/>
      <c r="AP260" s="2447"/>
      <c r="AQ260" s="2447"/>
      <c r="AR260" s="2447"/>
    </row>
    <row r="261" spans="1:44" s="313" customFormat="1" ht="15.75">
      <c r="A261" s="2447"/>
      <c r="B261" s="2451" t="s">
        <v>1728</v>
      </c>
      <c r="C261" s="2417"/>
      <c r="D261" s="2417"/>
      <c r="E261" s="2417"/>
      <c r="F261" s="2417"/>
      <c r="G261" s="2417"/>
      <c r="H261" s="2417"/>
      <c r="I261" s="2417"/>
      <c r="J261" s="2417"/>
      <c r="K261" s="2417"/>
      <c r="L261" s="2417"/>
      <c r="M261" s="2417"/>
      <c r="N261" s="2417"/>
      <c r="O261" s="2417"/>
      <c r="P261" s="2417"/>
      <c r="Q261" s="2417"/>
      <c r="R261" s="2417"/>
      <c r="S261" s="2417"/>
      <c r="T261" s="2417"/>
      <c r="U261" s="2417"/>
      <c r="V261" s="2417"/>
      <c r="W261" s="2417"/>
      <c r="X261" s="2417"/>
      <c r="Y261" s="2417"/>
      <c r="Z261" s="2450"/>
      <c r="AA261" s="2450"/>
      <c r="AB261" s="2450"/>
      <c r="AC261" s="2450"/>
      <c r="AD261" s="2450"/>
      <c r="AE261" s="2450"/>
      <c r="AF261" s="2450"/>
      <c r="AG261" s="2450"/>
      <c r="AH261" s="2450"/>
      <c r="AI261" s="2450"/>
      <c r="AJ261" s="2450"/>
      <c r="AK261" s="2450"/>
      <c r="AL261" s="2450"/>
      <c r="AM261" s="2450"/>
      <c r="AN261" s="2450"/>
      <c r="AO261" s="2447"/>
      <c r="AP261" s="2447"/>
      <c r="AQ261" s="2447"/>
      <c r="AR261" s="2447"/>
    </row>
    <row r="262" spans="1:44" s="313" customFormat="1" ht="15.75">
      <c r="A262" s="2447"/>
      <c r="B262" s="2451" t="s">
        <v>1729</v>
      </c>
      <c r="C262" s="2417"/>
      <c r="D262" s="2417"/>
      <c r="E262" s="2417"/>
      <c r="F262" s="2417"/>
      <c r="G262" s="2417"/>
      <c r="H262" s="2417"/>
      <c r="I262" s="2417"/>
      <c r="J262" s="2417"/>
      <c r="K262" s="2417"/>
      <c r="L262" s="2417"/>
      <c r="M262" s="2417"/>
      <c r="N262" s="2417"/>
      <c r="O262" s="2417"/>
      <c r="P262" s="2417"/>
      <c r="Q262" s="2417"/>
      <c r="R262" s="2417"/>
      <c r="S262" s="2417"/>
      <c r="T262" s="2417"/>
      <c r="U262" s="2417"/>
      <c r="V262" s="2417"/>
      <c r="W262" s="2417"/>
      <c r="X262" s="2417"/>
      <c r="Y262" s="2417"/>
      <c r="Z262" s="2450"/>
      <c r="AA262" s="2450"/>
      <c r="AB262" s="2450"/>
      <c r="AC262" s="2450"/>
      <c r="AD262" s="2450"/>
      <c r="AE262" s="2450"/>
      <c r="AF262" s="2450"/>
      <c r="AG262" s="2450"/>
      <c r="AH262" s="2450"/>
      <c r="AI262" s="2450"/>
      <c r="AJ262" s="2450"/>
      <c r="AK262" s="2450"/>
      <c r="AL262" s="2450"/>
      <c r="AM262" s="2450"/>
      <c r="AN262" s="2450"/>
      <c r="AO262" s="2447"/>
      <c r="AP262" s="2447"/>
      <c r="AQ262" s="2447"/>
      <c r="AR262" s="2447"/>
    </row>
    <row r="263" spans="1:44" s="313" customFormat="1" ht="15.75">
      <c r="A263" s="2447"/>
      <c r="B263" s="2451" t="s">
        <v>1730</v>
      </c>
      <c r="C263" s="2417"/>
      <c r="D263" s="2417"/>
      <c r="E263" s="2417"/>
      <c r="F263" s="2417"/>
      <c r="G263" s="2417"/>
      <c r="H263" s="2417"/>
      <c r="I263" s="2417"/>
      <c r="J263" s="2417"/>
      <c r="K263" s="2417"/>
      <c r="L263" s="2417"/>
      <c r="M263" s="2417"/>
      <c r="N263" s="2417"/>
      <c r="O263" s="2417"/>
      <c r="P263" s="2417"/>
      <c r="Q263" s="2417"/>
      <c r="R263" s="2417"/>
      <c r="S263" s="2417"/>
      <c r="T263" s="2417"/>
      <c r="U263" s="2417"/>
      <c r="V263" s="2417"/>
      <c r="W263" s="2417"/>
      <c r="X263" s="2417"/>
      <c r="Y263" s="2417"/>
      <c r="Z263" s="2450"/>
      <c r="AA263" s="2450"/>
      <c r="AB263" s="2450"/>
      <c r="AC263" s="2450"/>
      <c r="AD263" s="2450"/>
      <c r="AE263" s="2450"/>
      <c r="AF263" s="2450"/>
      <c r="AG263" s="2450"/>
      <c r="AH263" s="2450"/>
      <c r="AI263" s="2450"/>
      <c r="AJ263" s="2450"/>
      <c r="AK263" s="2450"/>
      <c r="AL263" s="2450"/>
      <c r="AM263" s="2450"/>
      <c r="AN263" s="2450"/>
      <c r="AO263" s="2447"/>
      <c r="AP263" s="2447"/>
      <c r="AQ263" s="2447"/>
      <c r="AR263" s="2447"/>
    </row>
    <row r="264" spans="1:44" s="313" customFormat="1" ht="15.75">
      <c r="A264" s="2447"/>
      <c r="B264" s="2451" t="s">
        <v>1731</v>
      </c>
      <c r="C264" s="2417"/>
      <c r="D264" s="2417"/>
      <c r="E264" s="2417"/>
      <c r="F264" s="2417"/>
      <c r="G264" s="2417"/>
      <c r="H264" s="2417"/>
      <c r="I264" s="2417"/>
      <c r="J264" s="2417"/>
      <c r="K264" s="2417"/>
      <c r="L264" s="2417"/>
      <c r="M264" s="2417"/>
      <c r="N264" s="2417"/>
      <c r="O264" s="2417"/>
      <c r="P264" s="2417"/>
      <c r="Q264" s="2417"/>
      <c r="R264" s="2417"/>
      <c r="S264" s="2417"/>
      <c r="T264" s="2417"/>
      <c r="U264" s="2417"/>
      <c r="V264" s="2417"/>
      <c r="W264" s="2417"/>
      <c r="X264" s="2417"/>
      <c r="Y264" s="2417"/>
      <c r="Z264" s="2450"/>
      <c r="AA264" s="2450"/>
      <c r="AB264" s="2450"/>
      <c r="AC264" s="2450"/>
      <c r="AD264" s="2450"/>
      <c r="AE264" s="2450"/>
      <c r="AF264" s="2450"/>
      <c r="AG264" s="2450"/>
      <c r="AH264" s="2450"/>
      <c r="AI264" s="2450"/>
      <c r="AJ264" s="2450"/>
      <c r="AK264" s="2450"/>
      <c r="AL264" s="2450"/>
      <c r="AM264" s="2450"/>
      <c r="AN264" s="2450"/>
      <c r="AO264" s="2447"/>
      <c r="AP264" s="2447"/>
      <c r="AQ264" s="2447"/>
      <c r="AR264" s="2447"/>
    </row>
    <row r="265" spans="1:44" s="313" customFormat="1" ht="15.75">
      <c r="A265" s="2447"/>
      <c r="B265" s="2451" t="s">
        <v>1732</v>
      </c>
      <c r="C265" s="2417"/>
      <c r="D265" s="2417"/>
      <c r="E265" s="2417"/>
      <c r="F265" s="2417"/>
      <c r="G265" s="2417"/>
      <c r="H265" s="2417"/>
      <c r="I265" s="2417"/>
      <c r="J265" s="2417"/>
      <c r="K265" s="2417"/>
      <c r="L265" s="2417"/>
      <c r="M265" s="2417"/>
      <c r="N265" s="2417"/>
      <c r="O265" s="2417"/>
      <c r="P265" s="2417"/>
      <c r="Q265" s="2417"/>
      <c r="R265" s="2417"/>
      <c r="S265" s="2417"/>
      <c r="T265" s="2417"/>
      <c r="U265" s="2417"/>
      <c r="V265" s="2417"/>
      <c r="W265" s="2417"/>
      <c r="X265" s="2417"/>
      <c r="Y265" s="2417"/>
      <c r="Z265" s="2450"/>
      <c r="AA265" s="2450"/>
      <c r="AB265" s="2450"/>
      <c r="AC265" s="2450"/>
      <c r="AD265" s="2450"/>
      <c r="AE265" s="2450"/>
      <c r="AF265" s="2450"/>
      <c r="AG265" s="2450"/>
      <c r="AH265" s="2450"/>
      <c r="AI265" s="2450"/>
      <c r="AJ265" s="2450"/>
      <c r="AK265" s="2450"/>
      <c r="AL265" s="2450"/>
      <c r="AM265" s="2450"/>
      <c r="AN265" s="2450"/>
      <c r="AO265" s="2447"/>
      <c r="AP265" s="2447"/>
      <c r="AQ265" s="2447"/>
      <c r="AR265" s="2447"/>
    </row>
    <row r="266" spans="1:44" s="313" customFormat="1" ht="15.75">
      <c r="A266" s="2447"/>
      <c r="B266" s="2451" t="s">
        <v>1733</v>
      </c>
      <c r="C266" s="2417"/>
      <c r="D266" s="2417"/>
      <c r="E266" s="2417"/>
      <c r="F266" s="2417"/>
      <c r="G266" s="2417"/>
      <c r="H266" s="2417"/>
      <c r="I266" s="2417"/>
      <c r="J266" s="2417"/>
      <c r="K266" s="2417"/>
      <c r="L266" s="2417"/>
      <c r="M266" s="2417"/>
      <c r="N266" s="2417"/>
      <c r="O266" s="2417"/>
      <c r="P266" s="2417"/>
      <c r="Q266" s="2417"/>
      <c r="R266" s="2417"/>
      <c r="S266" s="2417"/>
      <c r="T266" s="2417"/>
      <c r="U266" s="2417"/>
      <c r="V266" s="2417"/>
      <c r="W266" s="2417"/>
      <c r="X266" s="2417"/>
      <c r="Y266" s="2417"/>
      <c r="Z266" s="2450"/>
      <c r="AA266" s="2450"/>
      <c r="AB266" s="2450"/>
      <c r="AC266" s="2450"/>
      <c r="AD266" s="2450"/>
      <c r="AE266" s="2450"/>
      <c r="AF266" s="2450"/>
      <c r="AG266" s="2450"/>
      <c r="AH266" s="2450"/>
      <c r="AI266" s="2450"/>
      <c r="AJ266" s="2450"/>
      <c r="AK266" s="2450"/>
      <c r="AL266" s="2450"/>
      <c r="AM266" s="2450"/>
      <c r="AN266" s="2450"/>
      <c r="AO266" s="2447"/>
      <c r="AP266" s="2447"/>
      <c r="AQ266" s="2447"/>
      <c r="AR266" s="2447"/>
    </row>
    <row r="267" spans="1:44" s="313" customFormat="1" ht="15.75">
      <c r="A267" s="2447"/>
      <c r="B267" s="2451" t="s">
        <v>1734</v>
      </c>
      <c r="C267" s="2417"/>
      <c r="D267" s="2417"/>
      <c r="E267" s="2417"/>
      <c r="F267" s="2417"/>
      <c r="G267" s="2417"/>
      <c r="H267" s="2417"/>
      <c r="I267" s="2417"/>
      <c r="J267" s="2417"/>
      <c r="K267" s="2417"/>
      <c r="L267" s="2417"/>
      <c r="M267" s="2417"/>
      <c r="N267" s="2417"/>
      <c r="O267" s="2417"/>
      <c r="P267" s="2417"/>
      <c r="Q267" s="2417"/>
      <c r="R267" s="2417"/>
      <c r="S267" s="2417"/>
      <c r="T267" s="2417"/>
      <c r="U267" s="2417"/>
      <c r="V267" s="2417"/>
      <c r="W267" s="2417"/>
      <c r="X267" s="2417"/>
      <c r="Y267" s="2417"/>
      <c r="Z267" s="2450"/>
      <c r="AA267" s="2450"/>
      <c r="AB267" s="2450"/>
      <c r="AC267" s="2450"/>
      <c r="AD267" s="2450"/>
      <c r="AE267" s="2450"/>
      <c r="AF267" s="2450"/>
      <c r="AG267" s="2450"/>
      <c r="AH267" s="2450"/>
      <c r="AI267" s="2450"/>
      <c r="AJ267" s="2450"/>
      <c r="AK267" s="2450"/>
      <c r="AL267" s="2450"/>
      <c r="AM267" s="2450"/>
      <c r="AN267" s="2450"/>
      <c r="AO267" s="2447"/>
      <c r="AP267" s="2447"/>
      <c r="AQ267" s="2447"/>
      <c r="AR267" s="2447"/>
    </row>
    <row r="268" spans="1:44" s="313" customFormat="1" ht="15.75">
      <c r="A268" s="2447"/>
      <c r="B268" s="2451" t="s">
        <v>1735</v>
      </c>
      <c r="C268" s="2417"/>
      <c r="D268" s="2417"/>
      <c r="E268" s="2417"/>
      <c r="F268" s="2417"/>
      <c r="G268" s="2417"/>
      <c r="H268" s="2417"/>
      <c r="I268" s="2417"/>
      <c r="J268" s="2417"/>
      <c r="K268" s="2417"/>
      <c r="L268" s="2417"/>
      <c r="M268" s="2417"/>
      <c r="N268" s="2417"/>
      <c r="O268" s="2417"/>
      <c r="P268" s="2417"/>
      <c r="Q268" s="2417"/>
      <c r="R268" s="2417"/>
      <c r="S268" s="2417"/>
      <c r="T268" s="2417"/>
      <c r="U268" s="2417"/>
      <c r="V268" s="2417"/>
      <c r="W268" s="2417"/>
      <c r="X268" s="2417"/>
      <c r="Y268" s="2417"/>
      <c r="Z268" s="2450"/>
      <c r="AA268" s="2450"/>
      <c r="AB268" s="2450"/>
      <c r="AC268" s="2450"/>
      <c r="AD268" s="2450"/>
      <c r="AE268" s="2450"/>
      <c r="AF268" s="2450"/>
      <c r="AG268" s="2450"/>
      <c r="AH268" s="2450"/>
      <c r="AI268" s="2450"/>
      <c r="AJ268" s="2450"/>
      <c r="AK268" s="2450"/>
      <c r="AL268" s="2450"/>
      <c r="AM268" s="2450"/>
      <c r="AN268" s="2450"/>
      <c r="AO268" s="2447"/>
      <c r="AP268" s="2447"/>
      <c r="AQ268" s="2447"/>
      <c r="AR268" s="2447"/>
    </row>
    <row r="269" spans="1:44" s="313" customFormat="1" ht="15.75">
      <c r="A269" s="2447"/>
      <c r="B269" s="2447" t="s">
        <v>968</v>
      </c>
      <c r="C269" s="2453"/>
      <c r="D269" s="2454"/>
      <c r="E269" s="2454"/>
      <c r="F269" s="2454"/>
      <c r="G269" s="2454"/>
      <c r="H269" s="2454">
        <f>CA!D70</f>
        <v>7.91</v>
      </c>
      <c r="I269" s="2454">
        <f>CA!E70</f>
        <v>7.95</v>
      </c>
      <c r="J269" s="2454">
        <f>CA!F70</f>
        <v>7.64</v>
      </c>
      <c r="K269" s="2454">
        <f>CA!G70</f>
        <v>7.6</v>
      </c>
      <c r="L269" s="2454">
        <f>CA!H70</f>
        <v>7.68</v>
      </c>
      <c r="M269" s="2454">
        <f>CA!I70</f>
        <v>7.68</v>
      </c>
      <c r="N269" s="2454">
        <f>CA!J70</f>
        <v>8.14</v>
      </c>
      <c r="O269" s="2454">
        <f>CA!K70</f>
        <v>8.0580652548987466</v>
      </c>
      <c r="P269" s="2454">
        <f>CA!L70</f>
        <v>7.79</v>
      </c>
      <c r="Q269" s="2454">
        <f>CA!M70</f>
        <v>7.72</v>
      </c>
      <c r="R269" s="2454">
        <f>CA!N70</f>
        <v>7.86</v>
      </c>
      <c r="S269" s="2454">
        <f>CA!O70</f>
        <v>7.73</v>
      </c>
      <c r="T269" s="2454">
        <f>CA!P70</f>
        <v>7.6580170773237182</v>
      </c>
      <c r="U269" s="2454">
        <f>CA!Q70</f>
        <v>7.52</v>
      </c>
      <c r="V269" s="2454">
        <f>CA!R70</f>
        <v>7.35</v>
      </c>
      <c r="W269" s="2454">
        <f>CA!S70</f>
        <v>7.34</v>
      </c>
      <c r="X269" s="2454"/>
      <c r="Y269" s="2454"/>
      <c r="Z269" s="2450"/>
      <c r="AA269" s="2450"/>
      <c r="AB269" s="2450"/>
      <c r="AC269" s="2450"/>
      <c r="AD269" s="2450"/>
      <c r="AE269" s="2450"/>
      <c r="AF269" s="2450"/>
      <c r="AG269" s="2450"/>
      <c r="AH269" s="2450"/>
      <c r="AI269" s="2450"/>
      <c r="AJ269" s="2450"/>
      <c r="AK269" s="2450"/>
      <c r="AL269" s="2450"/>
      <c r="AM269" s="2450"/>
      <c r="AN269" s="2450"/>
      <c r="AO269" s="2447"/>
      <c r="AP269" s="2447"/>
      <c r="AQ269" s="2447"/>
      <c r="AR269" s="2447"/>
    </row>
    <row r="270" spans="1:44" s="313" customFormat="1" ht="15.75">
      <c r="A270" s="2447"/>
      <c r="B270" s="2447" t="s">
        <v>965</v>
      </c>
      <c r="C270" s="2453"/>
      <c r="D270" s="2417"/>
      <c r="E270" s="2417"/>
      <c r="F270" s="2417"/>
      <c r="G270" s="2417"/>
      <c r="H270" s="2417"/>
      <c r="I270" s="2417"/>
      <c r="J270" s="2417"/>
      <c r="K270" s="2417"/>
      <c r="L270" s="2417"/>
      <c r="M270" s="2417"/>
      <c r="N270" s="2417"/>
      <c r="O270" s="2417"/>
      <c r="P270" s="2417"/>
      <c r="Q270" s="2417"/>
      <c r="R270" s="2417"/>
      <c r="S270" s="2417"/>
      <c r="T270" s="2417"/>
      <c r="U270" s="2417"/>
      <c r="V270" s="2417"/>
      <c r="W270" s="2417"/>
      <c r="X270" s="2417"/>
      <c r="Y270" s="2417"/>
      <c r="Z270" s="2450"/>
      <c r="AA270" s="2450"/>
      <c r="AB270" s="2450"/>
      <c r="AC270" s="2450"/>
      <c r="AD270" s="2450"/>
      <c r="AE270" s="2450"/>
      <c r="AF270" s="2450"/>
      <c r="AG270" s="2450"/>
      <c r="AH270" s="2450"/>
      <c r="AI270" s="2450"/>
      <c r="AJ270" s="2450"/>
      <c r="AK270" s="2450"/>
      <c r="AL270" s="2450"/>
      <c r="AM270" s="2450"/>
      <c r="AN270" s="2450"/>
      <c r="AO270" s="2447"/>
      <c r="AP270" s="2447"/>
      <c r="AQ270" s="2447"/>
      <c r="AR270" s="2447"/>
    </row>
    <row r="271" spans="1:44" s="313" customFormat="1" ht="15.75">
      <c r="A271" s="2447"/>
      <c r="B271" s="2451"/>
      <c r="C271" s="2417"/>
      <c r="D271" s="2417"/>
      <c r="E271" s="2417"/>
      <c r="F271" s="2417"/>
      <c r="G271" s="2417"/>
      <c r="H271" s="2417"/>
      <c r="I271" s="2417"/>
      <c r="J271" s="2417"/>
      <c r="K271" s="2417"/>
      <c r="L271" s="2417"/>
      <c r="M271" s="2417"/>
      <c r="N271" s="2417"/>
      <c r="O271" s="2417"/>
      <c r="P271" s="2417"/>
      <c r="Q271" s="2417"/>
      <c r="R271" s="2417"/>
      <c r="S271" s="2417"/>
      <c r="T271" s="2417"/>
      <c r="U271" s="2417"/>
      <c r="V271" s="2417"/>
      <c r="W271" s="2417"/>
      <c r="X271" s="2417"/>
      <c r="Y271" s="2417"/>
      <c r="Z271" s="2450"/>
      <c r="AA271" s="2450"/>
      <c r="AB271" s="2450"/>
      <c r="AC271" s="2450"/>
      <c r="AD271" s="2450"/>
      <c r="AE271" s="2450"/>
      <c r="AF271" s="2450"/>
      <c r="AG271" s="2450"/>
      <c r="AH271" s="2450"/>
      <c r="AI271" s="2450"/>
      <c r="AJ271" s="2450"/>
      <c r="AK271" s="2450"/>
      <c r="AL271" s="2450"/>
      <c r="AM271" s="2450"/>
      <c r="AN271" s="2450"/>
      <c r="AO271" s="2447"/>
      <c r="AP271" s="2447"/>
      <c r="AQ271" s="2447"/>
      <c r="AR271" s="2447"/>
    </row>
    <row r="272" spans="1:44" s="313" customFormat="1" ht="15.75">
      <c r="A272" s="2447"/>
      <c r="B272" s="2455"/>
      <c r="C272" s="2456"/>
      <c r="D272" s="2456"/>
      <c r="E272" s="2456"/>
      <c r="F272" s="2456"/>
      <c r="G272" s="2457"/>
      <c r="H272" s="2457"/>
      <c r="I272" s="2457"/>
      <c r="J272" s="2457"/>
      <c r="K272" s="2457"/>
      <c r="L272" s="2457"/>
      <c r="M272" s="2457"/>
      <c r="N272" s="2457"/>
      <c r="O272" s="2457"/>
      <c r="P272" s="2457"/>
      <c r="Q272" s="2456"/>
      <c r="R272" s="2456"/>
      <c r="S272" s="2456"/>
      <c r="T272" s="2456"/>
      <c r="U272" s="2456"/>
      <c r="V272" s="2456"/>
      <c r="W272" s="2456"/>
      <c r="X272" s="2456"/>
      <c r="Y272" s="2456"/>
      <c r="Z272" s="2450"/>
      <c r="AA272" s="2450"/>
      <c r="AB272" s="2450"/>
      <c r="AC272" s="2450"/>
      <c r="AD272" s="2450"/>
      <c r="AE272" s="2450"/>
      <c r="AF272" s="2450"/>
      <c r="AG272" s="2450"/>
      <c r="AH272" s="2450"/>
      <c r="AI272" s="2450"/>
      <c r="AJ272" s="2450"/>
      <c r="AK272" s="2450"/>
      <c r="AL272" s="2450"/>
      <c r="AM272" s="2450"/>
      <c r="AN272" s="2450"/>
      <c r="AO272" s="2447"/>
      <c r="AP272" s="2447"/>
      <c r="AQ272" s="2447"/>
      <c r="AR272" s="2447"/>
    </row>
    <row r="273" spans="1:44" s="313" customFormat="1" ht="15.75">
      <c r="A273" s="2447"/>
      <c r="B273" s="2449" t="s">
        <v>970</v>
      </c>
      <c r="C273" s="2417" t="s">
        <v>967</v>
      </c>
      <c r="D273" s="2417"/>
      <c r="E273" s="2417"/>
      <c r="F273" s="2417"/>
      <c r="G273" s="2417"/>
      <c r="H273" s="2417"/>
      <c r="I273" s="2417"/>
      <c r="J273" s="2417"/>
      <c r="K273" s="2417"/>
      <c r="L273" s="2417"/>
      <c r="M273" s="2417"/>
      <c r="N273" s="2417"/>
      <c r="O273" s="2417"/>
      <c r="P273" s="2417"/>
      <c r="Q273" s="2417"/>
      <c r="R273" s="2417"/>
      <c r="S273" s="2417"/>
      <c r="T273" s="2417"/>
      <c r="U273" s="2417"/>
      <c r="V273" s="2417"/>
      <c r="W273" s="2417"/>
      <c r="X273" s="2417"/>
      <c r="Y273" s="2417"/>
      <c r="Z273" s="2450"/>
      <c r="AA273" s="2450"/>
      <c r="AB273" s="2450"/>
      <c r="AC273" s="2450"/>
      <c r="AD273" s="2450"/>
      <c r="AE273" s="2450"/>
      <c r="AF273" s="2450"/>
      <c r="AG273" s="2450"/>
      <c r="AH273" s="2450"/>
      <c r="AI273" s="2450"/>
      <c r="AJ273" s="2450"/>
      <c r="AK273" s="2450"/>
      <c r="AL273" s="2450"/>
      <c r="AM273" s="2450"/>
      <c r="AN273" s="2450"/>
      <c r="AO273" s="2447"/>
      <c r="AP273" s="2447"/>
      <c r="AQ273" s="2447"/>
      <c r="AR273" s="2447"/>
    </row>
    <row r="274" spans="1:44" s="313" customFormat="1" ht="15.75">
      <c r="A274" s="2447"/>
      <c r="B274" s="2451" t="s">
        <v>1157</v>
      </c>
      <c r="C274" s="2417"/>
      <c r="D274" s="2417"/>
      <c r="E274" s="2417"/>
      <c r="F274" s="2417">
        <f>CA!C7</f>
        <v>6800</v>
      </c>
      <c r="G274" s="2417">
        <f>CA!D7</f>
        <v>6800</v>
      </c>
      <c r="H274" s="2417">
        <f>CA!E7</f>
        <v>7180</v>
      </c>
      <c r="I274" s="2417">
        <f>CA!F7</f>
        <v>7326.4960000000001</v>
      </c>
      <c r="J274" s="2417">
        <f>CA!G7</f>
        <v>7484</v>
      </c>
      <c r="K274" s="2417">
        <f>CA!H7</f>
        <v>7484</v>
      </c>
      <c r="L274" s="2417">
        <f>CA!I7</f>
        <v>7656.19357168653</v>
      </c>
      <c r="M274" s="2417">
        <f>CA!J7</f>
        <v>8197.0613656006917</v>
      </c>
      <c r="N274" s="2417">
        <f>CA!K7</f>
        <v>8072.4234236032598</v>
      </c>
      <c r="O274" s="2417">
        <f>CA!L7</f>
        <v>8236.1988020074477</v>
      </c>
      <c r="P274" s="2417">
        <f>CA!M7</f>
        <v>8388.7701948566973</v>
      </c>
      <c r="Q274" s="2417">
        <f>CA!N7</f>
        <v>8618.6147921621923</v>
      </c>
      <c r="R274" s="2417">
        <f>CA!O7</f>
        <v>9288.8243831640048</v>
      </c>
      <c r="S274" s="2417">
        <f>CA!AF7</f>
        <v>9288.8243831640048</v>
      </c>
      <c r="T274" s="2417">
        <f>CA!AG7</f>
        <v>2900</v>
      </c>
      <c r="U274" s="2417">
        <f>CA!AH7</f>
        <v>2.1600000000000001E-2</v>
      </c>
      <c r="V274" s="2417">
        <f>CA!AI7</f>
        <v>0</v>
      </c>
      <c r="W274" s="2417">
        <f>CA!AJ7</f>
        <v>0</v>
      </c>
      <c r="X274" s="2417"/>
      <c r="Y274" s="2417"/>
      <c r="Z274" s="2450"/>
      <c r="AA274" s="2450"/>
      <c r="AB274" s="2450"/>
      <c r="AC274" s="2450"/>
      <c r="AD274" s="2450"/>
      <c r="AE274" s="2450"/>
      <c r="AF274" s="2450"/>
      <c r="AG274" s="2450"/>
      <c r="AH274" s="2450"/>
      <c r="AI274" s="2450"/>
      <c r="AJ274" s="2450"/>
      <c r="AK274" s="2450"/>
      <c r="AL274" s="2450"/>
      <c r="AM274" s="2450"/>
      <c r="AN274" s="2450"/>
      <c r="AO274" s="2447"/>
      <c r="AP274" s="2447"/>
      <c r="AQ274" s="2447"/>
      <c r="AR274" s="2447"/>
    </row>
    <row r="275" spans="1:44" s="313" customFormat="1" ht="15.75">
      <c r="A275" s="2447"/>
      <c r="B275" s="2451" t="s">
        <v>1158</v>
      </c>
      <c r="C275" s="2417"/>
      <c r="D275" s="2417"/>
      <c r="E275" s="2417"/>
      <c r="F275" s="2417"/>
      <c r="G275" s="2417">
        <f>CA!C43</f>
        <v>326.50799999999998</v>
      </c>
      <c r="H275" s="2417">
        <f>CA!D43</f>
        <v>351.28500000000003</v>
      </c>
      <c r="I275" s="2417">
        <f>CA!E43</f>
        <v>490.01400000000001</v>
      </c>
      <c r="J275" s="2417">
        <f>CA!F43</f>
        <v>834.096</v>
      </c>
      <c r="K275" s="2417">
        <f>CA!G43</f>
        <v>1554</v>
      </c>
      <c r="L275" s="2417">
        <f>CA!H43</f>
        <v>2926</v>
      </c>
      <c r="M275" s="2417">
        <f>CA!I43</f>
        <v>4240</v>
      </c>
      <c r="N275" s="2417">
        <f>CA!J43</f>
        <v>4742</v>
      </c>
      <c r="O275" s="2417">
        <f>CA!K43</f>
        <v>4448.317</v>
      </c>
      <c r="P275" s="2417">
        <f>CA!L43</f>
        <v>4477</v>
      </c>
      <c r="Q275" s="2417">
        <f>CA!M43</f>
        <v>4696</v>
      </c>
      <c r="R275" s="2417">
        <f>CA!N43</f>
        <v>4870</v>
      </c>
      <c r="S275" s="2417">
        <f>CA!O43</f>
        <v>4800</v>
      </c>
      <c r="T275" s="2417">
        <f>CA!P43</f>
        <v>4845.9740000000002</v>
      </c>
      <c r="U275" s="2417">
        <f>CA!Q43</f>
        <v>4912.6750661771266</v>
      </c>
      <c r="V275" s="2417">
        <f>CA!R43</f>
        <v>5139.9681659055877</v>
      </c>
      <c r="W275" s="2417">
        <f>CA!S43</f>
        <v>5371.5977821684646</v>
      </c>
      <c r="X275" s="2417"/>
      <c r="Y275" s="2417"/>
      <c r="Z275" s="2450"/>
      <c r="AA275" s="2450"/>
      <c r="AB275" s="2450"/>
      <c r="AC275" s="2450"/>
      <c r="AD275" s="2450"/>
      <c r="AE275" s="2450"/>
      <c r="AF275" s="2450"/>
      <c r="AG275" s="2450"/>
      <c r="AH275" s="2450"/>
      <c r="AI275" s="2450"/>
      <c r="AJ275" s="2450"/>
      <c r="AK275" s="2450"/>
      <c r="AL275" s="2450"/>
      <c r="AM275" s="2450"/>
      <c r="AN275" s="2450"/>
      <c r="AO275" s="2447"/>
      <c r="AP275" s="2447"/>
      <c r="AQ275" s="2447"/>
      <c r="AR275" s="2447"/>
    </row>
    <row r="276" spans="1:44" s="313" customFormat="1" ht="15.75">
      <c r="A276" s="2447"/>
      <c r="B276" s="2451" t="s">
        <v>1159</v>
      </c>
      <c r="C276" s="2417"/>
      <c r="D276" s="2452"/>
      <c r="E276" s="2452"/>
      <c r="F276" s="2452"/>
      <c r="G276" s="2452"/>
      <c r="H276" s="2452"/>
      <c r="I276" s="2452">
        <f>CA!E54</f>
        <v>0.58833685524925561</v>
      </c>
      <c r="J276" s="2452">
        <f>CA!F54</f>
        <v>0.70275623445924773</v>
      </c>
      <c r="K276" s="2452">
        <f>CA!G54</f>
        <v>0.692143238909674</v>
      </c>
      <c r="L276" s="2452">
        <f>CA!H54</f>
        <v>0.7</v>
      </c>
      <c r="M276" s="2452">
        <f>CA!I54</f>
        <v>0.71</v>
      </c>
      <c r="N276" s="2452">
        <f>CA!J54</f>
        <v>0.65</v>
      </c>
      <c r="O276" s="2452">
        <f>CA!K54</f>
        <v>0.64300000000000002</v>
      </c>
      <c r="P276" s="2452">
        <f>CA!L54</f>
        <v>0.63800000000000001</v>
      </c>
      <c r="Q276" s="2452">
        <f>CA!M54</f>
        <v>0.69799999999999995</v>
      </c>
      <c r="R276" s="2452">
        <f>CA!N54</f>
        <v>0.65400000000000003</v>
      </c>
      <c r="S276" s="2452">
        <f>CA!O54</f>
        <v>0.65</v>
      </c>
      <c r="T276" s="2452">
        <f>CA!P54</f>
        <v>0.62</v>
      </c>
      <c r="U276" s="2452">
        <f>CA!Q54</f>
        <v>0.6</v>
      </c>
      <c r="V276" s="2452">
        <f>CA!R54</f>
        <v>0.6</v>
      </c>
      <c r="W276" s="2452">
        <f>CA!S54</f>
        <v>0.6</v>
      </c>
      <c r="X276" s="2452"/>
      <c r="Y276" s="2452"/>
      <c r="Z276" s="2450"/>
      <c r="AA276" s="2450"/>
      <c r="AB276" s="2450"/>
      <c r="AC276" s="2450"/>
      <c r="AD276" s="2450"/>
      <c r="AE276" s="2450"/>
      <c r="AF276" s="2450"/>
      <c r="AG276" s="2450"/>
      <c r="AH276" s="2450"/>
      <c r="AI276" s="2450"/>
      <c r="AJ276" s="2450"/>
      <c r="AK276" s="2450"/>
      <c r="AL276" s="2450"/>
      <c r="AM276" s="2450"/>
      <c r="AN276" s="2450"/>
      <c r="AO276" s="2447"/>
      <c r="AP276" s="2447"/>
      <c r="AQ276" s="2447"/>
      <c r="AR276" s="2447"/>
    </row>
    <row r="277" spans="1:44" s="313" customFormat="1" ht="15.75">
      <c r="A277" s="2447"/>
      <c r="B277" s="2451" t="s">
        <v>1160</v>
      </c>
      <c r="C277" s="2417"/>
      <c r="D277" s="2417"/>
      <c r="E277" s="2417"/>
      <c r="F277" s="2417"/>
      <c r="G277" s="2417"/>
      <c r="H277" s="2417"/>
      <c r="I277" s="2417"/>
      <c r="J277" s="2417"/>
      <c r="K277" s="2417"/>
      <c r="L277" s="2417"/>
      <c r="M277" s="2417"/>
      <c r="N277" s="2417"/>
      <c r="O277" s="2417"/>
      <c r="P277" s="2417"/>
      <c r="Q277" s="2417"/>
      <c r="R277" s="2417"/>
      <c r="S277" s="2417"/>
      <c r="T277" s="2417"/>
      <c r="U277" s="2417"/>
      <c r="V277" s="2417"/>
      <c r="W277" s="2417"/>
      <c r="X277" s="2417"/>
      <c r="Y277" s="2417"/>
      <c r="Z277" s="2450"/>
      <c r="AA277" s="2450"/>
      <c r="AB277" s="2450"/>
      <c r="AC277" s="2450"/>
      <c r="AD277" s="2450"/>
      <c r="AE277" s="2450"/>
      <c r="AF277" s="2450"/>
      <c r="AG277" s="2450"/>
      <c r="AH277" s="2450"/>
      <c r="AI277" s="2450"/>
      <c r="AJ277" s="2450"/>
      <c r="AK277" s="2450"/>
      <c r="AL277" s="2450"/>
      <c r="AM277" s="2450"/>
      <c r="AN277" s="2450"/>
      <c r="AO277" s="2447"/>
      <c r="AP277" s="2447"/>
      <c r="AQ277" s="2447"/>
      <c r="AR277" s="2447"/>
    </row>
    <row r="278" spans="1:44" s="313" customFormat="1" ht="15.75">
      <c r="A278" s="2447"/>
      <c r="B278" s="2451" t="s">
        <v>523</v>
      </c>
      <c r="C278" s="2417"/>
      <c r="D278" s="2417"/>
      <c r="E278" s="2417"/>
      <c r="F278" s="2417"/>
      <c r="G278" s="2417"/>
      <c r="H278" s="2417"/>
      <c r="I278" s="2417"/>
      <c r="J278" s="2417"/>
      <c r="K278" s="2417"/>
      <c r="L278" s="2417"/>
      <c r="M278" s="2417"/>
      <c r="N278" s="2417"/>
      <c r="O278" s="2417"/>
      <c r="P278" s="2417"/>
      <c r="Q278" s="2417"/>
      <c r="R278" s="2417"/>
      <c r="S278" s="2417"/>
      <c r="T278" s="2417"/>
      <c r="U278" s="2417"/>
      <c r="V278" s="2417"/>
      <c r="W278" s="2417"/>
      <c r="X278" s="2417"/>
      <c r="Y278" s="2417"/>
      <c r="Z278" s="2450"/>
      <c r="AA278" s="2450"/>
      <c r="AB278" s="2450"/>
      <c r="AC278" s="2450"/>
      <c r="AD278" s="2450"/>
      <c r="AE278" s="2450"/>
      <c r="AF278" s="2450"/>
      <c r="AG278" s="2450"/>
      <c r="AH278" s="2450"/>
      <c r="AI278" s="2450"/>
      <c r="AJ278" s="2450"/>
      <c r="AK278" s="2450"/>
      <c r="AL278" s="2450"/>
      <c r="AM278" s="2450"/>
      <c r="AN278" s="2450"/>
      <c r="AO278" s="2447"/>
      <c r="AP278" s="2447"/>
      <c r="AQ278" s="2447"/>
      <c r="AR278" s="2447"/>
    </row>
    <row r="279" spans="1:44" s="313" customFormat="1" ht="15.75">
      <c r="A279" s="2447"/>
      <c r="B279" s="2451" t="s">
        <v>360</v>
      </c>
      <c r="C279" s="2417"/>
      <c r="D279" s="2417"/>
      <c r="E279" s="2417"/>
      <c r="F279" s="2417"/>
      <c r="G279" s="2417"/>
      <c r="H279" s="2417"/>
      <c r="I279" s="2417"/>
      <c r="J279" s="2417"/>
      <c r="K279" s="2417"/>
      <c r="L279" s="2417"/>
      <c r="M279" s="2417"/>
      <c r="N279" s="2417"/>
      <c r="O279" s="2417"/>
      <c r="P279" s="2417"/>
      <c r="Q279" s="2417"/>
      <c r="R279" s="2417"/>
      <c r="S279" s="2417"/>
      <c r="T279" s="2417"/>
      <c r="U279" s="2417"/>
      <c r="V279" s="2417"/>
      <c r="W279" s="2417"/>
      <c r="X279" s="2417"/>
      <c r="Y279" s="2417"/>
      <c r="Z279" s="2450"/>
      <c r="AA279" s="2450"/>
      <c r="AB279" s="2450"/>
      <c r="AC279" s="2450"/>
      <c r="AD279" s="2450"/>
      <c r="AE279" s="2450"/>
      <c r="AF279" s="2450"/>
      <c r="AG279" s="2450"/>
      <c r="AH279" s="2450"/>
      <c r="AI279" s="2450"/>
      <c r="AJ279" s="2450"/>
      <c r="AK279" s="2450"/>
      <c r="AL279" s="2450"/>
      <c r="AM279" s="2450"/>
      <c r="AN279" s="2450"/>
      <c r="AO279" s="2447"/>
      <c r="AP279" s="2447"/>
      <c r="AQ279" s="2447"/>
      <c r="AR279" s="2447"/>
    </row>
    <row r="280" spans="1:44" s="313" customFormat="1" ht="15.75">
      <c r="A280" s="2447"/>
      <c r="B280" s="2451" t="s">
        <v>1552</v>
      </c>
      <c r="C280" s="2417"/>
      <c r="D280" s="2417"/>
      <c r="E280" s="2417"/>
      <c r="F280" s="2417"/>
      <c r="G280" s="2417"/>
      <c r="H280" s="2417"/>
      <c r="I280" s="2417"/>
      <c r="J280" s="2417"/>
      <c r="K280" s="2417"/>
      <c r="L280" s="2417"/>
      <c r="M280" s="2417"/>
      <c r="N280" s="2417"/>
      <c r="O280" s="2417"/>
      <c r="P280" s="2417"/>
      <c r="Q280" s="2417"/>
      <c r="R280" s="2417"/>
      <c r="S280" s="2417"/>
      <c r="T280" s="2417"/>
      <c r="U280" s="2417"/>
      <c r="V280" s="2417"/>
      <c r="W280" s="2417"/>
      <c r="X280" s="2417"/>
      <c r="Y280" s="2417"/>
      <c r="Z280" s="2450"/>
      <c r="AA280" s="2450"/>
      <c r="AB280" s="2450"/>
      <c r="AC280" s="2450"/>
      <c r="AD280" s="2450"/>
      <c r="AE280" s="2450"/>
      <c r="AF280" s="2450"/>
      <c r="AG280" s="2450"/>
      <c r="AH280" s="2450"/>
      <c r="AI280" s="2450"/>
      <c r="AJ280" s="2450"/>
      <c r="AK280" s="2450"/>
      <c r="AL280" s="2450"/>
      <c r="AM280" s="2450"/>
      <c r="AN280" s="2450"/>
      <c r="AO280" s="2447"/>
      <c r="AP280" s="2447"/>
      <c r="AQ280" s="2447"/>
      <c r="AR280" s="2447"/>
    </row>
    <row r="281" spans="1:44" s="313" customFormat="1" ht="15.75">
      <c r="A281" s="2447"/>
      <c r="B281" s="2451" t="s">
        <v>1936</v>
      </c>
      <c r="C281" s="2417"/>
      <c r="D281" s="2417"/>
      <c r="E281" s="2417"/>
      <c r="F281" s="2417"/>
      <c r="G281" s="2417"/>
      <c r="H281" s="2417"/>
      <c r="I281" s="2417"/>
      <c r="J281" s="2417"/>
      <c r="K281" s="2417"/>
      <c r="L281" s="2417"/>
      <c r="M281" s="2417"/>
      <c r="N281" s="2417"/>
      <c r="O281" s="2417"/>
      <c r="P281" s="2417"/>
      <c r="Q281" s="2417"/>
      <c r="R281" s="2417"/>
      <c r="S281" s="2417"/>
      <c r="T281" s="2417"/>
      <c r="U281" s="2417"/>
      <c r="V281" s="2417"/>
      <c r="W281" s="2417"/>
      <c r="X281" s="2417"/>
      <c r="Y281" s="2417"/>
      <c r="Z281" s="2450"/>
      <c r="AA281" s="2450"/>
      <c r="AB281" s="2450"/>
      <c r="AC281" s="2450"/>
      <c r="AD281" s="2450"/>
      <c r="AE281" s="2450"/>
      <c r="AF281" s="2450"/>
      <c r="AG281" s="2450"/>
      <c r="AH281" s="2450"/>
      <c r="AI281" s="2450"/>
      <c r="AJ281" s="2450"/>
      <c r="AK281" s="2450"/>
      <c r="AL281" s="2450"/>
      <c r="AM281" s="2450"/>
      <c r="AN281" s="2450"/>
      <c r="AO281" s="2447"/>
      <c r="AP281" s="2447"/>
      <c r="AQ281" s="2447"/>
      <c r="AR281" s="2447"/>
    </row>
    <row r="282" spans="1:44" s="313" customFormat="1" ht="15.75">
      <c r="A282" s="2447"/>
      <c r="B282" s="2451" t="s">
        <v>1161</v>
      </c>
      <c r="C282" s="2417"/>
      <c r="D282" s="2417"/>
      <c r="E282" s="2417"/>
      <c r="F282" s="2417"/>
      <c r="G282" s="2417"/>
      <c r="H282" s="2417"/>
      <c r="I282" s="2417"/>
      <c r="J282" s="2417"/>
      <c r="K282" s="2417"/>
      <c r="L282" s="2417"/>
      <c r="M282" s="2417"/>
      <c r="N282" s="2417"/>
      <c r="O282" s="2417"/>
      <c r="P282" s="2417"/>
      <c r="Q282" s="2417"/>
      <c r="R282" s="2417"/>
      <c r="S282" s="2417"/>
      <c r="T282" s="2417"/>
      <c r="U282" s="2417"/>
      <c r="V282" s="2417"/>
      <c r="W282" s="2417"/>
      <c r="X282" s="2417"/>
      <c r="Y282" s="2417"/>
      <c r="Z282" s="2450"/>
      <c r="AA282" s="2450"/>
      <c r="AB282" s="2450"/>
      <c r="AC282" s="2450"/>
      <c r="AD282" s="2450"/>
      <c r="AE282" s="2450"/>
      <c r="AF282" s="2450"/>
      <c r="AG282" s="2450"/>
      <c r="AH282" s="2450"/>
      <c r="AI282" s="2450"/>
      <c r="AJ282" s="2450"/>
      <c r="AK282" s="2450"/>
      <c r="AL282" s="2450"/>
      <c r="AM282" s="2450"/>
      <c r="AN282" s="2450"/>
      <c r="AO282" s="2447"/>
      <c r="AP282" s="2447"/>
      <c r="AQ282" s="2447"/>
      <c r="AR282" s="2447"/>
    </row>
    <row r="283" spans="1:44" s="313" customFormat="1" ht="15.75">
      <c r="A283" s="2447"/>
      <c r="B283" s="2451" t="s">
        <v>1185</v>
      </c>
      <c r="C283" s="2417"/>
      <c r="D283" s="2417"/>
      <c r="E283" s="2417"/>
      <c r="F283" s="2417"/>
      <c r="G283" s="2417"/>
      <c r="H283" s="2417"/>
      <c r="I283" s="2417"/>
      <c r="J283" s="2417"/>
      <c r="K283" s="2417"/>
      <c r="L283" s="2417"/>
      <c r="M283" s="2417"/>
      <c r="N283" s="2417"/>
      <c r="O283" s="2417"/>
      <c r="P283" s="2417"/>
      <c r="Q283" s="2417"/>
      <c r="R283" s="2417"/>
      <c r="S283" s="2417"/>
      <c r="T283" s="2417"/>
      <c r="U283" s="2417"/>
      <c r="V283" s="2417"/>
      <c r="W283" s="2417"/>
      <c r="X283" s="2417"/>
      <c r="Y283" s="2417"/>
      <c r="Z283" s="2450"/>
      <c r="AA283" s="2450"/>
      <c r="AB283" s="2450"/>
      <c r="AC283" s="2450"/>
      <c r="AD283" s="2450"/>
      <c r="AE283" s="2450"/>
      <c r="AF283" s="2450"/>
      <c r="AG283" s="2450"/>
      <c r="AH283" s="2450"/>
      <c r="AI283" s="2450"/>
      <c r="AJ283" s="2450"/>
      <c r="AK283" s="2450"/>
      <c r="AL283" s="2450"/>
      <c r="AM283" s="2450"/>
      <c r="AN283" s="2450"/>
      <c r="AO283" s="2447"/>
      <c r="AP283" s="2447"/>
      <c r="AQ283" s="2447"/>
      <c r="AR283" s="2447"/>
    </row>
    <row r="284" spans="1:44" s="313" customFormat="1" ht="15.75">
      <c r="A284" s="2447"/>
      <c r="B284" s="2451" t="s">
        <v>1728</v>
      </c>
      <c r="C284" s="2417"/>
      <c r="D284" s="2417"/>
      <c r="E284" s="2417"/>
      <c r="F284" s="2417"/>
      <c r="G284" s="2417"/>
      <c r="H284" s="2417"/>
      <c r="I284" s="2417"/>
      <c r="J284" s="2417"/>
      <c r="K284" s="2417"/>
      <c r="L284" s="2417"/>
      <c r="M284" s="2417"/>
      <c r="N284" s="2417"/>
      <c r="O284" s="2417"/>
      <c r="P284" s="2417"/>
      <c r="Q284" s="2417"/>
      <c r="R284" s="2417"/>
      <c r="S284" s="2417"/>
      <c r="T284" s="2417"/>
      <c r="U284" s="2417"/>
      <c r="V284" s="2417"/>
      <c r="W284" s="2417"/>
      <c r="X284" s="2417"/>
      <c r="Y284" s="2417"/>
      <c r="Z284" s="2450"/>
      <c r="AA284" s="2450"/>
      <c r="AB284" s="2450"/>
      <c r="AC284" s="2450"/>
      <c r="AD284" s="2450"/>
      <c r="AE284" s="2450"/>
      <c r="AF284" s="2450"/>
      <c r="AG284" s="2450"/>
      <c r="AH284" s="2450"/>
      <c r="AI284" s="2450"/>
      <c r="AJ284" s="2450"/>
      <c r="AK284" s="2450"/>
      <c r="AL284" s="2450"/>
      <c r="AM284" s="2450"/>
      <c r="AN284" s="2450"/>
      <c r="AO284" s="2447"/>
      <c r="AP284" s="2447"/>
      <c r="AQ284" s="2447"/>
      <c r="AR284" s="2447"/>
    </row>
    <row r="285" spans="1:44" s="313" customFormat="1" ht="15.75">
      <c r="A285" s="2447"/>
      <c r="B285" s="2451" t="s">
        <v>1729</v>
      </c>
      <c r="C285" s="2417"/>
      <c r="D285" s="2417"/>
      <c r="E285" s="2417"/>
      <c r="F285" s="2417"/>
      <c r="G285" s="2417"/>
      <c r="H285" s="2417"/>
      <c r="I285" s="2417"/>
      <c r="J285" s="2417"/>
      <c r="K285" s="2417"/>
      <c r="L285" s="2417"/>
      <c r="M285" s="2417"/>
      <c r="N285" s="2417"/>
      <c r="O285" s="2417"/>
      <c r="P285" s="2417"/>
      <c r="Q285" s="2417"/>
      <c r="R285" s="2417"/>
      <c r="S285" s="2417"/>
      <c r="T285" s="2417"/>
      <c r="U285" s="2417"/>
      <c r="V285" s="2417"/>
      <c r="W285" s="2417"/>
      <c r="X285" s="2417"/>
      <c r="Y285" s="2417"/>
      <c r="Z285" s="2450"/>
      <c r="AA285" s="2450"/>
      <c r="AB285" s="2450"/>
      <c r="AC285" s="2450"/>
      <c r="AD285" s="2450"/>
      <c r="AE285" s="2450"/>
      <c r="AF285" s="2450"/>
      <c r="AG285" s="2450"/>
      <c r="AH285" s="2450"/>
      <c r="AI285" s="2450"/>
      <c r="AJ285" s="2450"/>
      <c r="AK285" s="2450"/>
      <c r="AL285" s="2450"/>
      <c r="AM285" s="2450"/>
      <c r="AN285" s="2450"/>
      <c r="AO285" s="2447"/>
      <c r="AP285" s="2447"/>
      <c r="AQ285" s="2447"/>
      <c r="AR285" s="2447"/>
    </row>
    <row r="286" spans="1:44" s="313" customFormat="1" ht="15.75">
      <c r="A286" s="2447"/>
      <c r="B286" s="2451" t="s">
        <v>1730</v>
      </c>
      <c r="C286" s="2417"/>
      <c r="D286" s="2417"/>
      <c r="E286" s="2417"/>
      <c r="F286" s="2417"/>
      <c r="G286" s="2417"/>
      <c r="H286" s="2417"/>
      <c r="I286" s="2417"/>
      <c r="J286" s="2417"/>
      <c r="K286" s="2417"/>
      <c r="L286" s="2417"/>
      <c r="M286" s="2417"/>
      <c r="N286" s="2417"/>
      <c r="O286" s="2417"/>
      <c r="P286" s="2417"/>
      <c r="Q286" s="2417"/>
      <c r="R286" s="2417"/>
      <c r="S286" s="2417"/>
      <c r="T286" s="2417"/>
      <c r="U286" s="2417"/>
      <c r="V286" s="2417"/>
      <c r="W286" s="2417"/>
      <c r="X286" s="2417"/>
      <c r="Y286" s="2417"/>
      <c r="Z286" s="2450"/>
      <c r="AA286" s="2450"/>
      <c r="AB286" s="2450"/>
      <c r="AC286" s="2450"/>
      <c r="AD286" s="2450"/>
      <c r="AE286" s="2450"/>
      <c r="AF286" s="2450"/>
      <c r="AG286" s="2450"/>
      <c r="AH286" s="2450"/>
      <c r="AI286" s="2450"/>
      <c r="AJ286" s="2450"/>
      <c r="AK286" s="2450"/>
      <c r="AL286" s="2450"/>
      <c r="AM286" s="2450"/>
      <c r="AN286" s="2450"/>
      <c r="AO286" s="2447"/>
      <c r="AP286" s="2447"/>
      <c r="AQ286" s="2447"/>
      <c r="AR286" s="2447"/>
    </row>
    <row r="287" spans="1:44" s="313" customFormat="1" ht="15.75">
      <c r="A287" s="2447"/>
      <c r="B287" s="2451" t="s">
        <v>1731</v>
      </c>
      <c r="C287" s="2417"/>
      <c r="D287" s="2417"/>
      <c r="E287" s="2417"/>
      <c r="F287" s="2417"/>
      <c r="G287" s="2417"/>
      <c r="H287" s="2417"/>
      <c r="I287" s="2417"/>
      <c r="J287" s="2417"/>
      <c r="K287" s="2417"/>
      <c r="L287" s="2417"/>
      <c r="M287" s="2417"/>
      <c r="N287" s="2417"/>
      <c r="O287" s="2417"/>
      <c r="P287" s="2417"/>
      <c r="Q287" s="2417"/>
      <c r="R287" s="2417"/>
      <c r="S287" s="2417"/>
      <c r="T287" s="2417"/>
      <c r="U287" s="2417"/>
      <c r="V287" s="2417"/>
      <c r="W287" s="2417"/>
      <c r="X287" s="2417"/>
      <c r="Y287" s="2417"/>
      <c r="Z287" s="2450"/>
      <c r="AA287" s="2450"/>
      <c r="AB287" s="2450"/>
      <c r="AC287" s="2450"/>
      <c r="AD287" s="2450"/>
      <c r="AE287" s="2450"/>
      <c r="AF287" s="2450"/>
      <c r="AG287" s="2450"/>
      <c r="AH287" s="2450"/>
      <c r="AI287" s="2450"/>
      <c r="AJ287" s="2450"/>
      <c r="AK287" s="2450"/>
      <c r="AL287" s="2450"/>
      <c r="AM287" s="2450"/>
      <c r="AN287" s="2450"/>
      <c r="AO287" s="2447"/>
      <c r="AP287" s="2447"/>
      <c r="AQ287" s="2447"/>
      <c r="AR287" s="2447"/>
    </row>
    <row r="288" spans="1:44" s="313" customFormat="1" ht="15.75">
      <c r="A288" s="2447"/>
      <c r="B288" s="2451" t="s">
        <v>1732</v>
      </c>
      <c r="C288" s="2417"/>
      <c r="D288" s="2417"/>
      <c r="E288" s="2417"/>
      <c r="F288" s="2417"/>
      <c r="G288" s="2417"/>
      <c r="H288" s="2417"/>
      <c r="I288" s="2417"/>
      <c r="J288" s="2417"/>
      <c r="K288" s="2417"/>
      <c r="L288" s="2417"/>
      <c r="M288" s="2417"/>
      <c r="N288" s="2417"/>
      <c r="O288" s="2417"/>
      <c r="P288" s="2417"/>
      <c r="Q288" s="2417"/>
      <c r="R288" s="2417"/>
      <c r="S288" s="2417"/>
      <c r="T288" s="2417"/>
      <c r="U288" s="2417"/>
      <c r="V288" s="2417"/>
      <c r="W288" s="2417"/>
      <c r="X288" s="2417"/>
      <c r="Y288" s="2417"/>
      <c r="Z288" s="2450"/>
      <c r="AA288" s="2450"/>
      <c r="AB288" s="2450"/>
      <c r="AC288" s="2450"/>
      <c r="AD288" s="2450"/>
      <c r="AE288" s="2450"/>
      <c r="AF288" s="2450"/>
      <c r="AG288" s="2450"/>
      <c r="AH288" s="2450"/>
      <c r="AI288" s="2450"/>
      <c r="AJ288" s="2450"/>
      <c r="AK288" s="2450"/>
      <c r="AL288" s="2450"/>
      <c r="AM288" s="2450"/>
      <c r="AN288" s="2450"/>
      <c r="AO288" s="2447"/>
      <c r="AP288" s="2447"/>
      <c r="AQ288" s="2447"/>
      <c r="AR288" s="2447"/>
    </row>
    <row r="289" spans="1:44" s="313" customFormat="1" ht="15.75">
      <c r="A289" s="2447"/>
      <c r="B289" s="2451" t="s">
        <v>1733</v>
      </c>
      <c r="C289" s="2417"/>
      <c r="D289" s="2417"/>
      <c r="E289" s="2417"/>
      <c r="F289" s="2417"/>
      <c r="G289" s="2417"/>
      <c r="H289" s="2417"/>
      <c r="I289" s="2417"/>
      <c r="J289" s="2417"/>
      <c r="K289" s="2417"/>
      <c r="L289" s="2417"/>
      <c r="M289" s="2417"/>
      <c r="N289" s="2417"/>
      <c r="O289" s="2417"/>
      <c r="P289" s="2417"/>
      <c r="Q289" s="2417"/>
      <c r="R289" s="2417"/>
      <c r="S289" s="2417"/>
      <c r="T289" s="2417"/>
      <c r="U289" s="2417"/>
      <c r="V289" s="2417"/>
      <c r="W289" s="2417"/>
      <c r="X289" s="2417"/>
      <c r="Y289" s="2417"/>
      <c r="Z289" s="2450"/>
      <c r="AA289" s="2450"/>
      <c r="AB289" s="2450"/>
      <c r="AC289" s="2450"/>
      <c r="AD289" s="2450"/>
      <c r="AE289" s="2450"/>
      <c r="AF289" s="2450"/>
      <c r="AG289" s="2450"/>
      <c r="AH289" s="2450"/>
      <c r="AI289" s="2450"/>
      <c r="AJ289" s="2450"/>
      <c r="AK289" s="2450"/>
      <c r="AL289" s="2450"/>
      <c r="AM289" s="2450"/>
      <c r="AN289" s="2450"/>
      <c r="AO289" s="2447"/>
      <c r="AP289" s="2447"/>
      <c r="AQ289" s="2447"/>
      <c r="AR289" s="2447"/>
    </row>
    <row r="290" spans="1:44" s="313" customFormat="1" ht="15.75">
      <c r="A290" s="2447"/>
      <c r="B290" s="2451" t="s">
        <v>1734</v>
      </c>
      <c r="C290" s="2417"/>
      <c r="D290" s="2417"/>
      <c r="E290" s="2417"/>
      <c r="F290" s="2417"/>
      <c r="G290" s="2417"/>
      <c r="H290" s="2417"/>
      <c r="I290" s="2417"/>
      <c r="J290" s="2417"/>
      <c r="K290" s="2417"/>
      <c r="L290" s="2417"/>
      <c r="M290" s="2417"/>
      <c r="N290" s="2417"/>
      <c r="O290" s="2417"/>
      <c r="P290" s="2417"/>
      <c r="Q290" s="2417"/>
      <c r="R290" s="2417"/>
      <c r="S290" s="2417"/>
      <c r="T290" s="2417"/>
      <c r="U290" s="2417"/>
      <c r="V290" s="2417"/>
      <c r="W290" s="2417"/>
      <c r="X290" s="2417"/>
      <c r="Y290" s="2417"/>
      <c r="Z290" s="2450"/>
      <c r="AA290" s="2450"/>
      <c r="AB290" s="2450"/>
      <c r="AC290" s="2450"/>
      <c r="AD290" s="2450"/>
      <c r="AE290" s="2450"/>
      <c r="AF290" s="2450"/>
      <c r="AG290" s="2450"/>
      <c r="AH290" s="2450"/>
      <c r="AI290" s="2450"/>
      <c r="AJ290" s="2450"/>
      <c r="AK290" s="2450"/>
      <c r="AL290" s="2450"/>
      <c r="AM290" s="2450"/>
      <c r="AN290" s="2450"/>
      <c r="AO290" s="2447"/>
      <c r="AP290" s="2447"/>
      <c r="AQ290" s="2447"/>
      <c r="AR290" s="2447"/>
    </row>
    <row r="291" spans="1:44" s="313" customFormat="1" ht="15.75">
      <c r="A291" s="2447"/>
      <c r="B291" s="2451" t="s">
        <v>1735</v>
      </c>
      <c r="C291" s="2417"/>
      <c r="D291" s="2417"/>
      <c r="E291" s="2417"/>
      <c r="F291" s="2417"/>
      <c r="G291" s="2417"/>
      <c r="H291" s="2417"/>
      <c r="I291" s="2417"/>
      <c r="J291" s="2417"/>
      <c r="K291" s="2417"/>
      <c r="L291" s="2417"/>
      <c r="M291" s="2417"/>
      <c r="N291" s="2417"/>
      <c r="O291" s="2417"/>
      <c r="P291" s="2417"/>
      <c r="Q291" s="2417"/>
      <c r="R291" s="2417"/>
      <c r="S291" s="2417"/>
      <c r="T291" s="2417"/>
      <c r="U291" s="2417"/>
      <c r="V291" s="2417"/>
      <c r="W291" s="2417"/>
      <c r="X291" s="2417"/>
      <c r="Y291" s="2417"/>
      <c r="Z291" s="2450"/>
      <c r="AA291" s="2450"/>
      <c r="AB291" s="2450"/>
      <c r="AC291" s="2450"/>
      <c r="AD291" s="2450"/>
      <c r="AE291" s="2450"/>
      <c r="AF291" s="2450"/>
      <c r="AG291" s="2450"/>
      <c r="AH291" s="2450"/>
      <c r="AI291" s="2450"/>
      <c r="AJ291" s="2450"/>
      <c r="AK291" s="2450"/>
      <c r="AL291" s="2450"/>
      <c r="AM291" s="2450"/>
      <c r="AN291" s="2450"/>
      <c r="AO291" s="2447"/>
      <c r="AP291" s="2447"/>
      <c r="AQ291" s="2447"/>
      <c r="AR291" s="2447"/>
    </row>
    <row r="292" spans="1:44" s="313" customFormat="1" ht="15.75">
      <c r="A292" s="2447"/>
      <c r="B292" s="2447" t="s">
        <v>968</v>
      </c>
      <c r="C292" s="2453"/>
      <c r="D292" s="2454"/>
      <c r="E292" s="2454"/>
      <c r="F292" s="2454"/>
      <c r="G292" s="2454"/>
      <c r="H292" s="2454">
        <f>CA!D71</f>
        <v>16.41</v>
      </c>
      <c r="I292" s="2454">
        <f>CA!E71</f>
        <v>17.29</v>
      </c>
      <c r="J292" s="2454">
        <f>CA!F71</f>
        <v>18.21</v>
      </c>
      <c r="K292" s="2454">
        <f>CA!G71</f>
        <v>18.82</v>
      </c>
      <c r="L292" s="2454">
        <f>CA!H71</f>
        <v>18.89</v>
      </c>
      <c r="M292" s="2454">
        <f>CA!I71</f>
        <v>18.89</v>
      </c>
      <c r="N292" s="2454">
        <f>CA!J71</f>
        <v>18.89</v>
      </c>
      <c r="O292" s="2454">
        <f>CA!K71</f>
        <v>18.894981445221433</v>
      </c>
      <c r="P292" s="2454">
        <f>CA!L71</f>
        <v>18.89</v>
      </c>
      <c r="Q292" s="2454">
        <f>CA!M71</f>
        <v>19.059999999999999</v>
      </c>
      <c r="R292" s="2454">
        <f>CA!N71</f>
        <v>20.420000000000002</v>
      </c>
      <c r="S292" s="2454">
        <f>CA!O71</f>
        <v>21.06</v>
      </c>
      <c r="T292" s="2454">
        <f>CA!P71</f>
        <v>22.017500000000002</v>
      </c>
      <c r="U292" s="2454">
        <f>CA!Q71</f>
        <v>23.1</v>
      </c>
      <c r="V292" s="2454">
        <f>CA!R71</f>
        <v>23.45</v>
      </c>
      <c r="W292" s="2454">
        <f>CA!S71</f>
        <v>23.47</v>
      </c>
      <c r="X292" s="2454"/>
      <c r="Y292" s="2454"/>
      <c r="Z292" s="2450"/>
      <c r="AA292" s="2450"/>
      <c r="AB292" s="2450"/>
      <c r="AC292" s="2450"/>
      <c r="AD292" s="2450"/>
      <c r="AE292" s="2450"/>
      <c r="AF292" s="2450"/>
      <c r="AG292" s="2450"/>
      <c r="AH292" s="2450"/>
      <c r="AI292" s="2450"/>
      <c r="AJ292" s="2450"/>
      <c r="AK292" s="2450"/>
      <c r="AL292" s="2450"/>
      <c r="AM292" s="2450"/>
      <c r="AN292" s="2450"/>
      <c r="AO292" s="2447"/>
      <c r="AP292" s="2447"/>
      <c r="AQ292" s="2447"/>
      <c r="AR292" s="2447"/>
    </row>
    <row r="293" spans="1:44" s="313" customFormat="1" ht="15.75">
      <c r="A293" s="2447"/>
      <c r="B293" s="2447" t="s">
        <v>965</v>
      </c>
      <c r="C293" s="2453"/>
      <c r="D293" s="2417"/>
      <c r="E293" s="2417"/>
      <c r="F293" s="2417"/>
      <c r="G293" s="2417"/>
      <c r="H293" s="2417"/>
      <c r="I293" s="2417"/>
      <c r="J293" s="2417"/>
      <c r="K293" s="2417"/>
      <c r="L293" s="2417"/>
      <c r="M293" s="2417"/>
      <c r="N293" s="2417"/>
      <c r="O293" s="2417"/>
      <c r="P293" s="2417"/>
      <c r="Q293" s="2417"/>
      <c r="R293" s="2417"/>
      <c r="S293" s="2417"/>
      <c r="T293" s="2417"/>
      <c r="U293" s="2417"/>
      <c r="V293" s="2417"/>
      <c r="W293" s="2417"/>
      <c r="X293" s="2417"/>
      <c r="Y293" s="2417"/>
      <c r="Z293" s="2450"/>
      <c r="AA293" s="2450"/>
      <c r="AB293" s="2450"/>
      <c r="AC293" s="2450"/>
      <c r="AD293" s="2450"/>
      <c r="AE293" s="2450"/>
      <c r="AF293" s="2450"/>
      <c r="AG293" s="2450"/>
      <c r="AH293" s="2450"/>
      <c r="AI293" s="2450"/>
      <c r="AJ293" s="2450"/>
      <c r="AK293" s="2450"/>
      <c r="AL293" s="2450"/>
      <c r="AM293" s="2450"/>
      <c r="AN293" s="2450"/>
      <c r="AO293" s="2447"/>
      <c r="AP293" s="2447"/>
      <c r="AQ293" s="2447"/>
      <c r="AR293" s="2447"/>
    </row>
    <row r="294" spans="1:44" s="313" customFormat="1" ht="15.75">
      <c r="A294" s="2447"/>
      <c r="B294" s="2451"/>
      <c r="C294" s="2417"/>
      <c r="D294" s="2417"/>
      <c r="E294" s="2417"/>
      <c r="F294" s="2417"/>
      <c r="G294" s="2417"/>
      <c r="H294" s="2417"/>
      <c r="I294" s="2417"/>
      <c r="J294" s="2417"/>
      <c r="K294" s="2417"/>
      <c r="L294" s="2417"/>
      <c r="M294" s="2417"/>
      <c r="N294" s="2417"/>
      <c r="O294" s="2417"/>
      <c r="P294" s="2417"/>
      <c r="Q294" s="2417"/>
      <c r="R294" s="2417"/>
      <c r="S294" s="2417"/>
      <c r="T294" s="2417"/>
      <c r="U294" s="2417"/>
      <c r="V294" s="2417"/>
      <c r="W294" s="2417"/>
      <c r="X294" s="2417"/>
      <c r="Y294" s="2417"/>
      <c r="Z294" s="2450"/>
      <c r="AA294" s="2450"/>
      <c r="AB294" s="2450"/>
      <c r="AC294" s="2450"/>
      <c r="AD294" s="2450"/>
      <c r="AE294" s="2450"/>
      <c r="AF294" s="2450"/>
      <c r="AG294" s="2450"/>
      <c r="AH294" s="2450"/>
      <c r="AI294" s="2450"/>
      <c r="AJ294" s="2450"/>
      <c r="AK294" s="2450"/>
      <c r="AL294" s="2450"/>
      <c r="AM294" s="2450"/>
      <c r="AN294" s="2450"/>
      <c r="AO294" s="2447"/>
      <c r="AP294" s="2447"/>
      <c r="AQ294" s="2447"/>
      <c r="AR294" s="2447"/>
    </row>
    <row r="295" spans="1:44" s="313" customFormat="1" ht="15.75">
      <c r="A295" s="2447"/>
      <c r="B295" s="2455"/>
      <c r="C295" s="2456"/>
      <c r="D295" s="2456"/>
      <c r="E295" s="2456"/>
      <c r="F295" s="2456"/>
      <c r="G295" s="2457"/>
      <c r="H295" s="2457"/>
      <c r="I295" s="2457"/>
      <c r="J295" s="2457"/>
      <c r="K295" s="2457"/>
      <c r="L295" s="2457"/>
      <c r="M295" s="2457"/>
      <c r="N295" s="2457"/>
      <c r="O295" s="2457"/>
      <c r="P295" s="2457"/>
      <c r="Q295" s="2456"/>
      <c r="R295" s="2456"/>
      <c r="S295" s="2456"/>
      <c r="T295" s="2456"/>
      <c r="U295" s="2456"/>
      <c r="V295" s="2456"/>
      <c r="W295" s="2456"/>
      <c r="X295" s="2456"/>
      <c r="Y295" s="2456"/>
      <c r="Z295" s="2450"/>
      <c r="AA295" s="2450"/>
      <c r="AB295" s="2450"/>
      <c r="AC295" s="2450"/>
      <c r="AD295" s="2450"/>
      <c r="AE295" s="2450"/>
      <c r="AF295" s="2450"/>
      <c r="AG295" s="2450"/>
      <c r="AH295" s="2450"/>
      <c r="AI295" s="2450"/>
      <c r="AJ295" s="2450"/>
      <c r="AK295" s="2450"/>
      <c r="AL295" s="2450"/>
      <c r="AM295" s="2450"/>
      <c r="AN295" s="2450"/>
      <c r="AO295" s="2447"/>
      <c r="AP295" s="2447"/>
      <c r="AQ295" s="2447"/>
      <c r="AR295" s="2447"/>
    </row>
    <row r="296" spans="1:44" s="313" customFormat="1" ht="15.75">
      <c r="A296" s="2447"/>
      <c r="B296" s="2449" t="s">
        <v>971</v>
      </c>
      <c r="C296" s="2417" t="s">
        <v>874</v>
      </c>
      <c r="D296" s="2417"/>
      <c r="E296" s="2417"/>
      <c r="F296" s="2417"/>
      <c r="G296" s="2417"/>
      <c r="H296" s="2417"/>
      <c r="I296" s="2417"/>
      <c r="J296" s="2417"/>
      <c r="K296" s="2417"/>
      <c r="L296" s="2417"/>
      <c r="M296" s="2417"/>
      <c r="N296" s="2417"/>
      <c r="O296" s="2417"/>
      <c r="P296" s="2417"/>
      <c r="Q296" s="2417"/>
      <c r="R296" s="2417"/>
      <c r="S296" s="2417"/>
      <c r="T296" s="2417"/>
      <c r="U296" s="2417"/>
      <c r="V296" s="2417"/>
      <c r="W296" s="2417"/>
      <c r="X296" s="2417"/>
      <c r="Y296" s="2417"/>
      <c r="Z296" s="2450"/>
      <c r="AA296" s="2450"/>
      <c r="AB296" s="2450"/>
      <c r="AC296" s="2450"/>
      <c r="AD296" s="2450"/>
      <c r="AE296" s="2450"/>
      <c r="AF296" s="2450"/>
      <c r="AG296" s="2450"/>
      <c r="AH296" s="2450"/>
      <c r="AI296" s="2450"/>
      <c r="AJ296" s="2450"/>
      <c r="AK296" s="2450"/>
      <c r="AL296" s="2450"/>
      <c r="AM296" s="2450"/>
      <c r="AN296" s="2450"/>
      <c r="AO296" s="2447"/>
      <c r="AP296" s="2447"/>
      <c r="AQ296" s="2447"/>
      <c r="AR296" s="2447"/>
    </row>
    <row r="297" spans="1:44" s="313" customFormat="1" ht="15.75">
      <c r="A297" s="2447"/>
      <c r="B297" s="2451" t="s">
        <v>1157</v>
      </c>
      <c r="C297" s="2417"/>
      <c r="D297" s="2417"/>
      <c r="E297" s="2417"/>
      <c r="F297" s="2417"/>
      <c r="G297" s="2417"/>
      <c r="H297" s="2417"/>
      <c r="I297" s="2417"/>
      <c r="J297" s="2417"/>
      <c r="K297" s="2417">
        <f>Colombia!C12</f>
        <v>43000</v>
      </c>
      <c r="L297" s="2417">
        <f>Colombia!D12</f>
        <v>43644.999999999993</v>
      </c>
      <c r="M297" s="2417">
        <f>Colombia!E12</f>
        <v>44299.674999999988</v>
      </c>
      <c r="N297" s="2417">
        <f>Colombia!F12</f>
        <v>44964.170124999982</v>
      </c>
      <c r="O297" s="2417">
        <f>Colombia!G12</f>
        <v>45638.632676874979</v>
      </c>
      <c r="P297" s="2417">
        <f>Colombia!H12</f>
        <v>46323.212167028098</v>
      </c>
      <c r="Q297" s="2417">
        <f>Colombia!I12</f>
        <v>47018.060349533516</v>
      </c>
      <c r="R297" s="2417">
        <f>Colombia!J12</f>
        <v>47723.331254776516</v>
      </c>
      <c r="S297" s="2417">
        <f>Colombia!K12</f>
        <v>48439.181223598156</v>
      </c>
      <c r="T297" s="2417">
        <f>Colombia!L12</f>
        <v>49165.768941952127</v>
      </c>
      <c r="U297" s="2417">
        <f>Colombia!M12</f>
        <v>49903.255476081402</v>
      </c>
      <c r="V297" s="2417">
        <f>Colombia!N12</f>
        <v>50651.804308222621</v>
      </c>
      <c r="W297" s="2417">
        <f>Colombia!O12</f>
        <v>51411.581372845954</v>
      </c>
      <c r="X297" s="2417"/>
      <c r="Y297" s="2417"/>
      <c r="Z297" s="2450"/>
      <c r="AA297" s="2450"/>
      <c r="AB297" s="2450"/>
      <c r="AC297" s="2450"/>
      <c r="AD297" s="2450"/>
      <c r="AE297" s="2450"/>
      <c r="AF297" s="2450"/>
      <c r="AG297" s="2450"/>
      <c r="AH297" s="2450"/>
      <c r="AI297" s="2450"/>
      <c r="AJ297" s="2450"/>
      <c r="AK297" s="2450"/>
      <c r="AL297" s="2450"/>
      <c r="AM297" s="2450"/>
      <c r="AN297" s="2450"/>
      <c r="AO297" s="2447"/>
      <c r="AP297" s="2447"/>
      <c r="AQ297" s="2447"/>
      <c r="AR297" s="2447"/>
    </row>
    <row r="298" spans="1:44" s="313" customFormat="1" ht="15.75">
      <c r="A298" s="2447"/>
      <c r="B298" s="2451" t="s">
        <v>1158</v>
      </c>
      <c r="C298" s="2417"/>
      <c r="D298" s="2417"/>
      <c r="E298" s="2417"/>
      <c r="F298" s="2417"/>
      <c r="G298" s="2417"/>
      <c r="H298" s="2417"/>
      <c r="I298" s="2417"/>
      <c r="J298" s="2417"/>
      <c r="K298" s="2417">
        <f>Colombia!C7</f>
        <v>2120</v>
      </c>
      <c r="L298" s="2417">
        <f>Colombia!D7</f>
        <v>2770</v>
      </c>
      <c r="M298" s="2417">
        <f>Colombia!E7</f>
        <v>3314</v>
      </c>
      <c r="N298" s="2417">
        <f>Colombia!F7</f>
        <v>3744</v>
      </c>
      <c r="O298" s="2417">
        <f>Colombia!G7</f>
        <v>4293.4229999999998</v>
      </c>
      <c r="P298" s="2417">
        <f>Colombia!H7</f>
        <v>4854</v>
      </c>
      <c r="Q298" s="2417">
        <f>Colombia!I7</f>
        <v>5726</v>
      </c>
      <c r="R298" s="2417">
        <f>Colombia!J7</f>
        <v>6753</v>
      </c>
      <c r="S298" s="2417">
        <f>Colombia!K7</f>
        <v>8012</v>
      </c>
      <c r="T298" s="2417">
        <f>Colombia!L7</f>
        <v>8926</v>
      </c>
      <c r="U298" s="2417">
        <f>Colombia!M7</f>
        <v>7764</v>
      </c>
      <c r="V298" s="2417">
        <f>Colombia!N7</f>
        <v>7954.332317144509</v>
      </c>
      <c r="W298" s="2417">
        <f>Colombia!O7</f>
        <v>8251.8290072503369</v>
      </c>
      <c r="X298" s="2417"/>
      <c r="Y298" s="2417"/>
      <c r="Z298" s="2450"/>
      <c r="AA298" s="2450"/>
      <c r="AB298" s="2450"/>
      <c r="AC298" s="2450"/>
      <c r="AD298" s="2450"/>
      <c r="AE298" s="2450"/>
      <c r="AF298" s="2450"/>
      <c r="AG298" s="2450"/>
      <c r="AH298" s="2450"/>
      <c r="AI298" s="2450"/>
      <c r="AJ298" s="2450"/>
      <c r="AK298" s="2450"/>
      <c r="AL298" s="2450"/>
      <c r="AM298" s="2450"/>
      <c r="AN298" s="2450"/>
      <c r="AO298" s="2447"/>
      <c r="AP298" s="2447"/>
      <c r="AQ298" s="2447"/>
      <c r="AR298" s="2447"/>
    </row>
    <row r="299" spans="1:44" s="313" customFormat="1" ht="15.75">
      <c r="A299" s="2447"/>
      <c r="B299" s="2451" t="s">
        <v>1159</v>
      </c>
      <c r="C299" s="2417"/>
      <c r="D299" s="2452"/>
      <c r="E299" s="2452"/>
      <c r="F299" s="2452"/>
      <c r="G299" s="2452"/>
      <c r="H299" s="2452"/>
      <c r="I299" s="2452"/>
      <c r="J299" s="2452"/>
      <c r="K299" s="2452">
        <f>Colombia!C23</f>
        <v>7.2106390939083706E-2</v>
      </c>
      <c r="L299" s="2452">
        <f>Colombia!D23</f>
        <v>8.2743376049227824E-2</v>
      </c>
      <c r="M299" s="2452">
        <f>Colombia!E23</f>
        <v>8.149113531856296E-2</v>
      </c>
      <c r="N299" s="2452">
        <f>Colombia!F23</f>
        <v>9.2433032958893963E-2</v>
      </c>
      <c r="O299" s="2452">
        <f>Colombia!G23</f>
        <v>9.8221991079997545E-2</v>
      </c>
      <c r="P299" s="2452">
        <f>Colombia!H23</f>
        <v>0.10771347417006924</v>
      </c>
      <c r="Q299" s="2452">
        <f>Colombia!I23</f>
        <v>0.11978828894792996</v>
      </c>
      <c r="R299" s="2452">
        <f>Colombia!J23</f>
        <v>0.14112351285325286</v>
      </c>
      <c r="S299" s="2452">
        <f>Colombia!K23</f>
        <v>0.15824297367225612</v>
      </c>
      <c r="T299" s="2452">
        <f>Colombia!L23</f>
        <v>0.17572249783447516</v>
      </c>
      <c r="U299" s="2452">
        <f>Colombia!M23</f>
        <v>0.15205965792211498</v>
      </c>
      <c r="V299" s="2452">
        <f>Colombia!N23</f>
        <v>0.155</v>
      </c>
      <c r="W299" s="2452">
        <f>Colombia!O23</f>
        <v>0.16</v>
      </c>
      <c r="X299" s="2452"/>
      <c r="Y299" s="2452"/>
      <c r="Z299" s="2450"/>
      <c r="AA299" s="2450"/>
      <c r="AB299" s="2450"/>
      <c r="AC299" s="2450"/>
      <c r="AD299" s="2450"/>
      <c r="AE299" s="2450"/>
      <c r="AF299" s="2450"/>
      <c r="AG299" s="2450"/>
      <c r="AH299" s="2450"/>
      <c r="AI299" s="2450"/>
      <c r="AJ299" s="2450"/>
      <c r="AK299" s="2450"/>
      <c r="AL299" s="2450"/>
      <c r="AM299" s="2450"/>
      <c r="AN299" s="2450"/>
      <c r="AO299" s="2447"/>
      <c r="AP299" s="2447"/>
      <c r="AQ299" s="2447"/>
      <c r="AR299" s="2447"/>
    </row>
    <row r="300" spans="1:44" s="313" customFormat="1" ht="15.75">
      <c r="A300" s="2447"/>
      <c r="B300" s="2451" t="s">
        <v>1160</v>
      </c>
      <c r="C300" s="2417"/>
      <c r="D300" s="2417"/>
      <c r="E300" s="2417"/>
      <c r="F300" s="2417"/>
      <c r="G300" s="2417"/>
      <c r="H300" s="2417"/>
      <c r="I300" s="2417"/>
      <c r="J300" s="2417"/>
      <c r="K300" s="2417"/>
      <c r="L300" s="2417"/>
      <c r="M300" s="2417"/>
      <c r="N300" s="2417"/>
      <c r="O300" s="2417"/>
      <c r="P300" s="2417"/>
      <c r="Q300" s="2417"/>
      <c r="R300" s="2417"/>
      <c r="S300" s="2417"/>
      <c r="T300" s="2417"/>
      <c r="U300" s="2417"/>
      <c r="V300" s="2417"/>
      <c r="W300" s="2417"/>
      <c r="X300" s="2417"/>
      <c r="Y300" s="2417"/>
      <c r="Z300" s="2450"/>
      <c r="AA300" s="2450"/>
      <c r="AB300" s="2450"/>
      <c r="AC300" s="2450"/>
      <c r="AD300" s="2450"/>
      <c r="AE300" s="2450"/>
      <c r="AF300" s="2450"/>
      <c r="AG300" s="2450"/>
      <c r="AH300" s="2450"/>
      <c r="AI300" s="2450"/>
      <c r="AJ300" s="2450"/>
      <c r="AK300" s="2450"/>
      <c r="AL300" s="2450"/>
      <c r="AM300" s="2450"/>
      <c r="AN300" s="2450"/>
      <c r="AO300" s="2447"/>
      <c r="AP300" s="2447"/>
      <c r="AQ300" s="2447"/>
      <c r="AR300" s="2447"/>
    </row>
    <row r="301" spans="1:44" s="313" customFormat="1" ht="15.75">
      <c r="A301" s="2447"/>
      <c r="B301" s="2451" t="s">
        <v>523</v>
      </c>
      <c r="C301" s="2417"/>
      <c r="D301" s="2417"/>
      <c r="E301" s="2417"/>
      <c r="F301" s="2417"/>
      <c r="G301" s="2417"/>
      <c r="H301" s="2417"/>
      <c r="I301" s="2417"/>
      <c r="J301" s="2417"/>
      <c r="K301" s="2417">
        <f>Colombia!C44*Colombia!C34</f>
        <v>755908</v>
      </c>
      <c r="L301" s="2417">
        <f>Colombia!D44*Colombia!D34</f>
        <v>921264.73187200003</v>
      </c>
      <c r="M301" s="2417">
        <f>Colombia!E44*Colombia!E34</f>
        <v>879872</v>
      </c>
      <c r="N301" s="2417">
        <f>Colombia!F44*Colombia!F34</f>
        <v>973817.74742846587</v>
      </c>
      <c r="O301" s="2417">
        <f>Colombia!G44*Colombia!G34</f>
        <v>1161928.0211584354</v>
      </c>
      <c r="P301" s="2417">
        <f>Colombia!H44*Colombia!H34</f>
        <v>1407672</v>
      </c>
      <c r="Q301" s="2417">
        <f>Colombia!I44*Colombia!I34</f>
        <v>1536690</v>
      </c>
      <c r="R301" s="2417">
        <f>Colombia!J44*Colombia!J34</f>
        <v>1812999</v>
      </c>
      <c r="S301" s="2417">
        <f>Colombia!K44*Colombia!K34</f>
        <v>2346650.2799999998</v>
      </c>
      <c r="T301" s="2417">
        <f>Colombia!L44*Colombia!L34</f>
        <v>2583402.0006258148</v>
      </c>
      <c r="U301" s="2417">
        <f>Colombia!M44*Colombia!M34</f>
        <v>2227104.8466699766</v>
      </c>
      <c r="V301" s="2417">
        <f>Colombia!N44*Colombia!N34</f>
        <v>2129357.0943927933</v>
      </c>
      <c r="W301" s="2417">
        <f>Colombia!O44*Colombia!O34</f>
        <v>2159383.2164462386</v>
      </c>
      <c r="X301" s="2417"/>
      <c r="Y301" s="2417"/>
      <c r="Z301" s="2450"/>
      <c r="AA301" s="2450"/>
      <c r="AB301" s="2450"/>
      <c r="AC301" s="2450"/>
      <c r="AD301" s="2450"/>
      <c r="AE301" s="2450"/>
      <c r="AF301" s="2450"/>
      <c r="AG301" s="2450"/>
      <c r="AH301" s="2450"/>
      <c r="AI301" s="2450"/>
      <c r="AJ301" s="2450"/>
      <c r="AK301" s="2450"/>
      <c r="AL301" s="2450"/>
      <c r="AM301" s="2450"/>
      <c r="AN301" s="2450"/>
      <c r="AO301" s="2447"/>
      <c r="AP301" s="2447"/>
      <c r="AQ301" s="2447"/>
      <c r="AR301" s="2447"/>
    </row>
    <row r="302" spans="1:44" s="313" customFormat="1" ht="15.75">
      <c r="A302" s="2447"/>
      <c r="B302" s="2451" t="s">
        <v>360</v>
      </c>
      <c r="C302" s="2417"/>
      <c r="D302" s="2417"/>
      <c r="E302" s="2417"/>
      <c r="F302" s="2417"/>
      <c r="G302" s="2417"/>
      <c r="H302" s="2417"/>
      <c r="I302" s="2417"/>
      <c r="J302" s="2417"/>
      <c r="K302" s="2417">
        <f>Colombia!C59*Colombia!C34</f>
        <v>30236.320000000003</v>
      </c>
      <c r="L302" s="2417">
        <f>Colombia!D59*Colombia!D34</f>
        <v>196993.64250959997</v>
      </c>
      <c r="M302" s="2417">
        <f>Colombia!E59*Colombia!E34</f>
        <v>125589.08035492932</v>
      </c>
      <c r="N302" s="2417">
        <f>Colombia!F59*Colombia!F34</f>
        <v>214469.53250130499</v>
      </c>
      <c r="O302" s="2417">
        <f>Colombia!G59*Colombia!G34</f>
        <v>334908.50234125077</v>
      </c>
      <c r="P302" s="2417">
        <f>Colombia!H59*Colombia!H34</f>
        <v>401312.37846022577</v>
      </c>
      <c r="Q302" s="2417">
        <f>Colombia!I59*Colombia!I34</f>
        <v>375447.75730769266</v>
      </c>
      <c r="R302" s="2417">
        <f>Colombia!J59*Colombia!J34</f>
        <v>442371.75599999999</v>
      </c>
      <c r="S302" s="2417">
        <f>Colombia!K59*Colombia!K34</f>
        <v>607782.42251999991</v>
      </c>
      <c r="T302" s="2417">
        <f>Colombia!L59*Colombia!L34</f>
        <v>715061.65272681019</v>
      </c>
      <c r="U302" s="2417">
        <f>Colombia!M59*Colombia!M34</f>
        <v>556776.21166749415</v>
      </c>
      <c r="V302" s="2417">
        <f>Colombia!N59*Colombia!N34</f>
        <v>511045.7026542704</v>
      </c>
      <c r="W302" s="2417">
        <f>Colombia!O59*Colombia!O34</f>
        <v>593830.38452271558</v>
      </c>
      <c r="X302" s="2417"/>
      <c r="Y302" s="2417"/>
      <c r="Z302" s="2450"/>
      <c r="AA302" s="2450"/>
      <c r="AB302" s="2450"/>
      <c r="AC302" s="2450"/>
      <c r="AD302" s="2450"/>
      <c r="AE302" s="2450"/>
      <c r="AF302" s="2450"/>
      <c r="AG302" s="2450"/>
      <c r="AH302" s="2450"/>
      <c r="AI302" s="2450"/>
      <c r="AJ302" s="2450"/>
      <c r="AK302" s="2450"/>
      <c r="AL302" s="2450"/>
      <c r="AM302" s="2450"/>
      <c r="AN302" s="2450"/>
      <c r="AO302" s="2447"/>
      <c r="AP302" s="2447"/>
      <c r="AQ302" s="2447"/>
      <c r="AR302" s="2447"/>
    </row>
    <row r="303" spans="1:44" s="313" customFormat="1" ht="15.75">
      <c r="A303" s="2447"/>
      <c r="B303" s="2451" t="s">
        <v>1552</v>
      </c>
      <c r="C303" s="2417"/>
      <c r="D303" s="2417"/>
      <c r="E303" s="2417"/>
      <c r="F303" s="2417"/>
      <c r="G303" s="2417"/>
      <c r="H303" s="2417"/>
      <c r="I303" s="2417"/>
      <c r="J303" s="2417"/>
      <c r="K303" s="2417">
        <f>K302-Colombia!C62*Colombia!C34</f>
        <v>-401643.68</v>
      </c>
      <c r="L303" s="2417">
        <f>L302-Colombia!D62*Colombia!D34</f>
        <v>-182914.35749040003</v>
      </c>
      <c r="M303" s="2417">
        <f>M302-Colombia!E62*Colombia!E34</f>
        <v>-216146.91964507068</v>
      </c>
      <c r="N303" s="2417">
        <f>N302-Colombia!F62*Colombia!F34</f>
        <v>39182.337964181148</v>
      </c>
      <c r="O303" s="2417">
        <f>O302-Colombia!G62*Colombia!G34</f>
        <v>82398.001011067943</v>
      </c>
      <c r="P303" s="2417">
        <f>P302-Colombia!H62*Colombia!H34</f>
        <v>119777.97846022574</v>
      </c>
      <c r="Q303" s="2417">
        <f>Q302-Colombia!I62*Colombia!I34</f>
        <v>67747.757307692664</v>
      </c>
      <c r="R303" s="2417">
        <f>R302-Colombia!J62*Colombia!J34</f>
        <v>25381.985999999975</v>
      </c>
      <c r="S303" s="2417">
        <f>S302-Colombia!K62*Colombia!K34</f>
        <v>138452.36651999992</v>
      </c>
      <c r="T303" s="2417">
        <f ca="1">T302-Colombia!L62*Colombia!L34</f>
        <v>275883.31262042164</v>
      </c>
      <c r="U303" s="2417">
        <f>U302-Colombia!M62*Colombia!M34</f>
        <v>178168.38773359812</v>
      </c>
      <c r="V303" s="2417">
        <f>V302-Colombia!N62*Colombia!N34</f>
        <v>170348.56755142345</v>
      </c>
      <c r="W303" s="2417">
        <f>W302-Colombia!O62*Colombia!O34</f>
        <v>269922.90205577982</v>
      </c>
      <c r="X303" s="2417"/>
      <c r="Y303" s="2417"/>
      <c r="Z303" s="2450"/>
      <c r="AA303" s="2450"/>
      <c r="AB303" s="2450"/>
      <c r="AC303" s="2450"/>
      <c r="AD303" s="2450"/>
      <c r="AE303" s="2450"/>
      <c r="AF303" s="2450"/>
      <c r="AG303" s="2450"/>
      <c r="AH303" s="2450"/>
      <c r="AI303" s="2450"/>
      <c r="AJ303" s="2450"/>
      <c r="AK303" s="2450"/>
      <c r="AL303" s="2450"/>
      <c r="AM303" s="2450"/>
      <c r="AN303" s="2450"/>
      <c r="AO303" s="2447"/>
      <c r="AP303" s="2447"/>
      <c r="AQ303" s="2447"/>
      <c r="AR303" s="2447"/>
    </row>
    <row r="304" spans="1:44" s="313" customFormat="1" ht="15.75">
      <c r="A304" s="2447"/>
      <c r="B304" s="2451" t="s">
        <v>1936</v>
      </c>
      <c r="C304" s="2417"/>
      <c r="D304" s="2417"/>
      <c r="E304" s="2417"/>
      <c r="F304" s="2417"/>
      <c r="G304" s="2417"/>
      <c r="H304" s="2417"/>
      <c r="I304" s="2417"/>
      <c r="J304" s="2417"/>
      <c r="K304" s="2417">
        <f>K303*(1-Colombia!$C$94)</f>
        <v>-281150.576</v>
      </c>
      <c r="L304" s="2417">
        <f>L303*(1-Colombia!$C$94)</f>
        <v>-128040.05024328001</v>
      </c>
      <c r="M304" s="2417">
        <f>M303*(1-Colombia!$C$94)</f>
        <v>-151302.84375154946</v>
      </c>
      <c r="N304" s="2417">
        <f>N303*(1-Colombia!$C$94)</f>
        <v>27427.636574926801</v>
      </c>
      <c r="O304" s="2417">
        <f>O303*(1-Colombia!$C$94)</f>
        <v>57678.600707747559</v>
      </c>
      <c r="P304" s="2417">
        <f>P303*(1-Colombia!$C$94)</f>
        <v>83844.584922158014</v>
      </c>
      <c r="Q304" s="2417">
        <f>Q303*(1-Colombia!$C$94)</f>
        <v>47423.430115384865</v>
      </c>
      <c r="R304" s="2417">
        <f>R303*(1-Colombia!$C$94)</f>
        <v>17767.39019999998</v>
      </c>
      <c r="S304" s="2417">
        <f>S303*(1-Colombia!$C$94)</f>
        <v>96916.656563999946</v>
      </c>
      <c r="T304" s="2417">
        <f ca="1">T303*(1-Colombia!$C$94)</f>
        <v>193118.31883429515</v>
      </c>
      <c r="U304" s="2417">
        <f>U303*(1-Colombia!$C$94)</f>
        <v>124717.87141351867</v>
      </c>
      <c r="V304" s="2417">
        <f>V303*(1-Colombia!$C$94)</f>
        <v>119243.9972859964</v>
      </c>
      <c r="W304" s="2417">
        <f>W303*(1-Colombia!$C$94)</f>
        <v>188946.03143904585</v>
      </c>
      <c r="X304" s="2417"/>
      <c r="Y304" s="2417"/>
      <c r="Z304" s="2450"/>
      <c r="AA304" s="2450"/>
      <c r="AB304" s="2450"/>
      <c r="AC304" s="2450"/>
      <c r="AD304" s="2450"/>
      <c r="AE304" s="2450"/>
      <c r="AF304" s="2450"/>
      <c r="AG304" s="2450"/>
      <c r="AH304" s="2450"/>
      <c r="AI304" s="2450"/>
      <c r="AJ304" s="2450"/>
      <c r="AK304" s="2450"/>
      <c r="AL304" s="2450"/>
      <c r="AM304" s="2450"/>
      <c r="AN304" s="2450"/>
      <c r="AO304" s="2447"/>
      <c r="AP304" s="2447"/>
      <c r="AQ304" s="2447"/>
      <c r="AR304" s="2447"/>
    </row>
    <row r="305" spans="1:44" s="313" customFormat="1" ht="15.75">
      <c r="A305" s="2447"/>
      <c r="B305" s="2451" t="s">
        <v>1161</v>
      </c>
      <c r="C305" s="2417"/>
      <c r="D305" s="2417"/>
      <c r="E305" s="2417"/>
      <c r="F305" s="2417"/>
      <c r="G305" s="2417"/>
      <c r="H305" s="2417"/>
      <c r="I305" s="2417"/>
      <c r="J305" s="2417"/>
      <c r="K305" s="2417"/>
      <c r="L305" s="2417"/>
      <c r="M305" s="2417"/>
      <c r="N305" s="2417"/>
      <c r="O305" s="2417"/>
      <c r="P305" s="2417"/>
      <c r="Q305" s="2417"/>
      <c r="R305" s="2417"/>
      <c r="S305" s="2417"/>
      <c r="T305" s="2417"/>
      <c r="U305" s="2417"/>
      <c r="V305" s="2417"/>
      <c r="W305" s="2417"/>
      <c r="X305" s="2417"/>
      <c r="Y305" s="2417"/>
      <c r="Z305" s="2450"/>
      <c r="AA305" s="2450"/>
      <c r="AB305" s="2450"/>
      <c r="AC305" s="2450"/>
      <c r="AD305" s="2450"/>
      <c r="AE305" s="2450"/>
      <c r="AF305" s="2450"/>
      <c r="AG305" s="2450"/>
      <c r="AH305" s="2450"/>
      <c r="AI305" s="2450"/>
      <c r="AJ305" s="2450"/>
      <c r="AK305" s="2450"/>
      <c r="AL305" s="2450"/>
      <c r="AM305" s="2450"/>
      <c r="AN305" s="2450"/>
      <c r="AO305" s="2447"/>
      <c r="AP305" s="2447"/>
      <c r="AQ305" s="2447"/>
      <c r="AR305" s="2447"/>
    </row>
    <row r="306" spans="1:44" s="313" customFormat="1" ht="15.75">
      <c r="A306" s="2447"/>
      <c r="B306" s="2451" t="s">
        <v>1185</v>
      </c>
      <c r="C306" s="2417"/>
      <c r="D306" s="2417"/>
      <c r="E306" s="2417"/>
      <c r="F306" s="2417"/>
      <c r="G306" s="2417"/>
      <c r="H306" s="2417"/>
      <c r="I306" s="2417"/>
      <c r="J306" s="2417"/>
      <c r="K306" s="2417">
        <f>Colombia!C31</f>
        <v>33040</v>
      </c>
      <c r="L306" s="2417">
        <f>Colombia!D31</f>
        <v>30692.049484389914</v>
      </c>
      <c r="M306" s="2417">
        <f>Colombia!E31</f>
        <v>23027.394258163487</v>
      </c>
      <c r="N306" s="2417">
        <f>Colombia!F31</f>
        <v>20959.142047522098</v>
      </c>
      <c r="O306" s="2417">
        <f>Colombia!G31</f>
        <v>21731.955405776149</v>
      </c>
      <c r="P306" s="2417">
        <f>Colombia!H31</f>
        <v>22158.952517626363</v>
      </c>
      <c r="Q306" s="2417">
        <f>Colombia!I31</f>
        <v>20464.598435704622</v>
      </c>
      <c r="R306" s="2417">
        <f>Colombia!J31</f>
        <v>20144.09883585267</v>
      </c>
      <c r="S306" s="2417">
        <f>Colombia!K31</f>
        <v>20898.52705755999</v>
      </c>
      <c r="T306" s="2417">
        <f>Colombia!L31</f>
        <v>20271.571245833191</v>
      </c>
      <c r="U306" s="2417">
        <f>Colombia!M31</f>
        <v>19055.2769710832</v>
      </c>
      <c r="V306" s="2417">
        <f>Colombia!N31</f>
        <v>19626.935280215697</v>
      </c>
      <c r="W306" s="2417">
        <f>Colombia!O31</f>
        <v>19234.396574611383</v>
      </c>
      <c r="X306" s="2417"/>
      <c r="Y306" s="2417"/>
      <c r="Z306" s="2450"/>
      <c r="AA306" s="2450"/>
      <c r="AB306" s="2450"/>
      <c r="AC306" s="2450"/>
      <c r="AD306" s="2450"/>
      <c r="AE306" s="2450"/>
      <c r="AF306" s="2450"/>
      <c r="AG306" s="2450"/>
      <c r="AH306" s="2450"/>
      <c r="AI306" s="2450"/>
      <c r="AJ306" s="2450"/>
      <c r="AK306" s="2450"/>
      <c r="AL306" s="2450"/>
      <c r="AM306" s="2450"/>
      <c r="AN306" s="2450"/>
      <c r="AO306" s="2447"/>
      <c r="AP306" s="2447"/>
      <c r="AQ306" s="2447"/>
      <c r="AR306" s="2447"/>
    </row>
    <row r="307" spans="1:44" s="313" customFormat="1" ht="15.75">
      <c r="A307" s="2447"/>
      <c r="B307" s="2451" t="s">
        <v>1728</v>
      </c>
      <c r="C307" s="2417"/>
      <c r="D307" s="2417"/>
      <c r="E307" s="2417"/>
      <c r="F307" s="2417"/>
      <c r="G307" s="2417"/>
      <c r="H307" s="2417"/>
      <c r="I307" s="2417"/>
      <c r="J307" s="2417"/>
      <c r="K307" s="2417"/>
      <c r="L307" s="2417"/>
      <c r="M307" s="2417"/>
      <c r="N307" s="2417"/>
      <c r="O307" s="2417"/>
      <c r="P307" s="2417"/>
      <c r="Q307" s="2417"/>
      <c r="R307" s="2417"/>
      <c r="S307" s="2417"/>
      <c r="T307" s="2417"/>
      <c r="U307" s="2417"/>
      <c r="V307" s="2417"/>
      <c r="W307" s="2417"/>
      <c r="X307" s="2417"/>
      <c r="Y307" s="2417"/>
      <c r="Z307" s="2450"/>
      <c r="AA307" s="2450"/>
      <c r="AB307" s="2450"/>
      <c r="AC307" s="2450"/>
      <c r="AD307" s="2450"/>
      <c r="AE307" s="2450"/>
      <c r="AF307" s="2450"/>
      <c r="AG307" s="2450"/>
      <c r="AH307" s="2450"/>
      <c r="AI307" s="2450"/>
      <c r="AJ307" s="2450"/>
      <c r="AK307" s="2450"/>
      <c r="AL307" s="2450"/>
      <c r="AM307" s="2450"/>
      <c r="AN307" s="2450"/>
      <c r="AO307" s="2447"/>
      <c r="AP307" s="2447"/>
      <c r="AQ307" s="2447"/>
      <c r="AR307" s="2447"/>
    </row>
    <row r="308" spans="1:44" s="313" customFormat="1" ht="15.75">
      <c r="A308" s="2447"/>
      <c r="B308" s="2451" t="s">
        <v>1729</v>
      </c>
      <c r="C308" s="2417"/>
      <c r="D308" s="2417"/>
      <c r="E308" s="2417"/>
      <c r="F308" s="2417"/>
      <c r="G308" s="2417"/>
      <c r="H308" s="2417"/>
      <c r="I308" s="2417"/>
      <c r="J308" s="2417"/>
      <c r="K308" s="2417"/>
      <c r="L308" s="2417"/>
      <c r="M308" s="2417"/>
      <c r="N308" s="2417"/>
      <c r="O308" s="2417"/>
      <c r="P308" s="2417"/>
      <c r="Q308" s="2417"/>
      <c r="R308" s="2417"/>
      <c r="S308" s="2417"/>
      <c r="T308" s="2417"/>
      <c r="U308" s="2417"/>
      <c r="V308" s="2417"/>
      <c r="W308" s="2417"/>
      <c r="X308" s="2417"/>
      <c r="Y308" s="2417"/>
      <c r="Z308" s="2450"/>
      <c r="AA308" s="2450"/>
      <c r="AB308" s="2450"/>
      <c r="AC308" s="2450"/>
      <c r="AD308" s="2450"/>
      <c r="AE308" s="2450"/>
      <c r="AF308" s="2450"/>
      <c r="AG308" s="2450"/>
      <c r="AH308" s="2450"/>
      <c r="AI308" s="2450"/>
      <c r="AJ308" s="2450"/>
      <c r="AK308" s="2450"/>
      <c r="AL308" s="2450"/>
      <c r="AM308" s="2450"/>
      <c r="AN308" s="2450"/>
      <c r="AO308" s="2447"/>
      <c r="AP308" s="2447"/>
      <c r="AQ308" s="2447"/>
      <c r="AR308" s="2447"/>
    </row>
    <row r="309" spans="1:44" s="313" customFormat="1" ht="15.75">
      <c r="A309" s="2447"/>
      <c r="B309" s="2451" t="s">
        <v>1730</v>
      </c>
      <c r="C309" s="2417"/>
      <c r="D309" s="2417"/>
      <c r="E309" s="2417"/>
      <c r="F309" s="2417"/>
      <c r="G309" s="2417"/>
      <c r="H309" s="2417"/>
      <c r="I309" s="2417"/>
      <c r="J309" s="2417"/>
      <c r="K309" s="2417"/>
      <c r="L309" s="2417"/>
      <c r="M309" s="2417"/>
      <c r="N309" s="2417"/>
      <c r="O309" s="2417"/>
      <c r="P309" s="2417"/>
      <c r="Q309" s="2417"/>
      <c r="R309" s="2417"/>
      <c r="S309" s="2417"/>
      <c r="T309" s="2417"/>
      <c r="U309" s="2417"/>
      <c r="V309" s="2417"/>
      <c r="W309" s="2417"/>
      <c r="X309" s="2417"/>
      <c r="Y309" s="2417"/>
      <c r="Z309" s="2450"/>
      <c r="AA309" s="2450"/>
      <c r="AB309" s="2450"/>
      <c r="AC309" s="2450"/>
      <c r="AD309" s="2450"/>
      <c r="AE309" s="2450"/>
      <c r="AF309" s="2450"/>
      <c r="AG309" s="2450"/>
      <c r="AH309" s="2450"/>
      <c r="AI309" s="2450"/>
      <c r="AJ309" s="2450"/>
      <c r="AK309" s="2450"/>
      <c r="AL309" s="2450"/>
      <c r="AM309" s="2450"/>
      <c r="AN309" s="2450"/>
      <c r="AO309" s="2447"/>
      <c r="AP309" s="2447"/>
      <c r="AQ309" s="2447"/>
      <c r="AR309" s="2447"/>
    </row>
    <row r="310" spans="1:44" s="313" customFormat="1" ht="15.75">
      <c r="A310" s="2447"/>
      <c r="B310" s="2451" t="s">
        <v>1731</v>
      </c>
      <c r="C310" s="2417"/>
      <c r="D310" s="2417"/>
      <c r="E310" s="2417"/>
      <c r="F310" s="2417"/>
      <c r="G310" s="2417"/>
      <c r="H310" s="2417"/>
      <c r="I310" s="2417"/>
      <c r="J310" s="2417"/>
      <c r="K310" s="2417"/>
      <c r="L310" s="2417"/>
      <c r="M310" s="2417"/>
      <c r="N310" s="2417"/>
      <c r="O310" s="2417"/>
      <c r="P310" s="2417"/>
      <c r="Q310" s="2417"/>
      <c r="R310" s="2417"/>
      <c r="S310" s="2417"/>
      <c r="T310" s="2417"/>
      <c r="U310" s="2417"/>
      <c r="V310" s="2417"/>
      <c r="W310" s="2417"/>
      <c r="X310" s="2417"/>
      <c r="Y310" s="2417"/>
      <c r="Z310" s="2450"/>
      <c r="AA310" s="2450"/>
      <c r="AB310" s="2450"/>
      <c r="AC310" s="2450"/>
      <c r="AD310" s="2450"/>
      <c r="AE310" s="2450"/>
      <c r="AF310" s="2450"/>
      <c r="AG310" s="2450"/>
      <c r="AH310" s="2450"/>
      <c r="AI310" s="2450"/>
      <c r="AJ310" s="2450"/>
      <c r="AK310" s="2450"/>
      <c r="AL310" s="2450"/>
      <c r="AM310" s="2450"/>
      <c r="AN310" s="2450"/>
      <c r="AO310" s="2447"/>
      <c r="AP310" s="2447"/>
      <c r="AQ310" s="2447"/>
      <c r="AR310" s="2447"/>
    </row>
    <row r="311" spans="1:44" s="313" customFormat="1" ht="15.75">
      <c r="A311" s="2447"/>
      <c r="B311" s="2451" t="s">
        <v>1732</v>
      </c>
      <c r="C311" s="2417"/>
      <c r="D311" s="2417"/>
      <c r="E311" s="2417"/>
      <c r="F311" s="2417"/>
      <c r="G311" s="2417"/>
      <c r="H311" s="2417"/>
      <c r="I311" s="2417"/>
      <c r="J311" s="2417"/>
      <c r="K311" s="2417"/>
      <c r="L311" s="2417"/>
      <c r="M311" s="2417"/>
      <c r="N311" s="2417"/>
      <c r="O311" s="2417"/>
      <c r="P311" s="2417"/>
      <c r="Q311" s="2417"/>
      <c r="R311" s="2417"/>
      <c r="S311" s="2417"/>
      <c r="T311" s="2417"/>
      <c r="U311" s="2417"/>
      <c r="V311" s="2417"/>
      <c r="W311" s="2417"/>
      <c r="X311" s="2417"/>
      <c r="Y311" s="2417"/>
      <c r="Z311" s="2450"/>
      <c r="AA311" s="2450"/>
      <c r="AB311" s="2450"/>
      <c r="AC311" s="2450"/>
      <c r="AD311" s="2450"/>
      <c r="AE311" s="2450"/>
      <c r="AF311" s="2450"/>
      <c r="AG311" s="2450"/>
      <c r="AH311" s="2450"/>
      <c r="AI311" s="2450"/>
      <c r="AJ311" s="2450"/>
      <c r="AK311" s="2450"/>
      <c r="AL311" s="2450"/>
      <c r="AM311" s="2450"/>
      <c r="AN311" s="2450"/>
      <c r="AO311" s="2447"/>
      <c r="AP311" s="2447"/>
      <c r="AQ311" s="2447"/>
      <c r="AR311" s="2447"/>
    </row>
    <row r="312" spans="1:44" s="313" customFormat="1" ht="15.75">
      <c r="A312" s="2447"/>
      <c r="B312" s="2451" t="s">
        <v>1733</v>
      </c>
      <c r="C312" s="2417"/>
      <c r="D312" s="2417"/>
      <c r="E312" s="2417"/>
      <c r="F312" s="2417"/>
      <c r="G312" s="2417"/>
      <c r="H312" s="2417"/>
      <c r="I312" s="2417"/>
      <c r="J312" s="2417"/>
      <c r="K312" s="2417"/>
      <c r="L312" s="2417"/>
      <c r="M312" s="2417"/>
      <c r="N312" s="2417"/>
      <c r="O312" s="2417"/>
      <c r="P312" s="2417"/>
      <c r="Q312" s="2417"/>
      <c r="R312" s="2417"/>
      <c r="S312" s="2417"/>
      <c r="T312" s="2417"/>
      <c r="U312" s="2417"/>
      <c r="V312" s="2417"/>
      <c r="W312" s="2417"/>
      <c r="X312" s="2417"/>
      <c r="Y312" s="2417"/>
      <c r="Z312" s="2450"/>
      <c r="AA312" s="2450"/>
      <c r="AB312" s="2450"/>
      <c r="AC312" s="2450"/>
      <c r="AD312" s="2450"/>
      <c r="AE312" s="2450"/>
      <c r="AF312" s="2450"/>
      <c r="AG312" s="2450"/>
      <c r="AH312" s="2450"/>
      <c r="AI312" s="2450"/>
      <c r="AJ312" s="2450"/>
      <c r="AK312" s="2450"/>
      <c r="AL312" s="2450"/>
      <c r="AM312" s="2450"/>
      <c r="AN312" s="2450"/>
      <c r="AO312" s="2447"/>
      <c r="AP312" s="2447"/>
      <c r="AQ312" s="2447"/>
      <c r="AR312" s="2447"/>
    </row>
    <row r="313" spans="1:44" s="313" customFormat="1" ht="15.75">
      <c r="A313" s="2447"/>
      <c r="B313" s="2451" t="s">
        <v>1734</v>
      </c>
      <c r="C313" s="2417"/>
      <c r="D313" s="2417"/>
      <c r="E313" s="2417"/>
      <c r="F313" s="2417"/>
      <c r="G313" s="2417"/>
      <c r="H313" s="2417"/>
      <c r="I313" s="2417"/>
      <c r="J313" s="2417"/>
      <c r="K313" s="2417"/>
      <c r="L313" s="2417"/>
      <c r="M313" s="2417"/>
      <c r="N313" s="2417"/>
      <c r="O313" s="2417"/>
      <c r="P313" s="2417"/>
      <c r="Q313" s="2417"/>
      <c r="R313" s="2417"/>
      <c r="S313" s="2417"/>
      <c r="T313" s="2417"/>
      <c r="U313" s="2417"/>
      <c r="V313" s="2417"/>
      <c r="W313" s="2417"/>
      <c r="X313" s="2417"/>
      <c r="Y313" s="2417"/>
      <c r="Z313" s="2450"/>
      <c r="AA313" s="2450"/>
      <c r="AB313" s="2450"/>
      <c r="AC313" s="2450"/>
      <c r="AD313" s="2450"/>
      <c r="AE313" s="2450"/>
      <c r="AF313" s="2450"/>
      <c r="AG313" s="2450"/>
      <c r="AH313" s="2450"/>
      <c r="AI313" s="2450"/>
      <c r="AJ313" s="2450"/>
      <c r="AK313" s="2450"/>
      <c r="AL313" s="2450"/>
      <c r="AM313" s="2450"/>
      <c r="AN313" s="2450"/>
      <c r="AO313" s="2447"/>
      <c r="AP313" s="2447"/>
      <c r="AQ313" s="2447"/>
      <c r="AR313" s="2447"/>
    </row>
    <row r="314" spans="1:44" s="313" customFormat="1" ht="15.75">
      <c r="A314" s="2447"/>
      <c r="B314" s="2451" t="s">
        <v>1735</v>
      </c>
      <c r="C314" s="2417"/>
      <c r="D314" s="2417"/>
      <c r="E314" s="2417"/>
      <c r="F314" s="2417"/>
      <c r="G314" s="2417"/>
      <c r="H314" s="2417"/>
      <c r="I314" s="2417"/>
      <c r="J314" s="2417"/>
      <c r="K314" s="2417"/>
      <c r="L314" s="2417"/>
      <c r="M314" s="2417"/>
      <c r="N314" s="2417"/>
      <c r="O314" s="2417"/>
      <c r="P314" s="2417"/>
      <c r="Q314" s="2417"/>
      <c r="R314" s="2417"/>
      <c r="S314" s="2417"/>
      <c r="T314" s="2417"/>
      <c r="U314" s="2417"/>
      <c r="V314" s="2417"/>
      <c r="W314" s="2417"/>
      <c r="X314" s="2417"/>
      <c r="Y314" s="2417"/>
      <c r="Z314" s="2450"/>
      <c r="AA314" s="2450"/>
      <c r="AB314" s="2450"/>
      <c r="AC314" s="2450"/>
      <c r="AD314" s="2450"/>
      <c r="AE314" s="2450"/>
      <c r="AF314" s="2450"/>
      <c r="AG314" s="2450"/>
      <c r="AH314" s="2450"/>
      <c r="AI314" s="2450"/>
      <c r="AJ314" s="2450"/>
      <c r="AK314" s="2450"/>
      <c r="AL314" s="2450"/>
      <c r="AM314" s="2450"/>
      <c r="AN314" s="2450"/>
      <c r="AO314" s="2447"/>
      <c r="AP314" s="2447"/>
      <c r="AQ314" s="2447"/>
      <c r="AR314" s="2447"/>
    </row>
    <row r="315" spans="1:44" s="313" customFormat="1" ht="15.75">
      <c r="A315" s="2447"/>
      <c r="B315" s="2447" t="s">
        <v>968</v>
      </c>
      <c r="C315" s="2453"/>
      <c r="D315" s="2454"/>
      <c r="E315" s="2454"/>
      <c r="F315" s="2458"/>
      <c r="G315" s="2458"/>
      <c r="H315" s="2458"/>
      <c r="I315" s="2458"/>
      <c r="J315" s="2458"/>
      <c r="K315" s="2458">
        <f>Colombia!C34</f>
        <v>2360</v>
      </c>
      <c r="L315" s="2458">
        <f>Colombia!D34</f>
        <v>2076</v>
      </c>
      <c r="M315" s="2458">
        <f>Colombia!E34</f>
        <v>1964</v>
      </c>
      <c r="N315" s="2458">
        <f>Colombia!F34</f>
        <v>2156</v>
      </c>
      <c r="O315" s="2458">
        <f>Colombia!G34</f>
        <v>1898.5751979712995</v>
      </c>
      <c r="P315" s="2458">
        <f>Colombia!H34</f>
        <v>1862</v>
      </c>
      <c r="Q315" s="2458">
        <f>Colombia!I34</f>
        <v>1810</v>
      </c>
      <c r="R315" s="2458">
        <f>Colombia!J34</f>
        <v>1871</v>
      </c>
      <c r="S315" s="2458">
        <f>Colombia!K34</f>
        <v>2010.84</v>
      </c>
      <c r="T315" s="2458">
        <f>Colombia!L34</f>
        <v>2746</v>
      </c>
      <c r="U315" s="2458">
        <f>Colombia!M34</f>
        <v>3043</v>
      </c>
      <c r="V315" s="2458">
        <f>Colombia!N34</f>
        <v>2951</v>
      </c>
      <c r="W315" s="2458">
        <f>Colombia!O34</f>
        <v>2919</v>
      </c>
      <c r="X315" s="2458"/>
      <c r="Y315" s="2458"/>
      <c r="Z315" s="2450"/>
      <c r="AA315" s="2450"/>
      <c r="AB315" s="2450"/>
      <c r="AC315" s="2450"/>
      <c r="AD315" s="2450"/>
      <c r="AE315" s="2450"/>
      <c r="AF315" s="2450"/>
      <c r="AG315" s="2450"/>
      <c r="AH315" s="2450"/>
      <c r="AI315" s="2450"/>
      <c r="AJ315" s="2450"/>
      <c r="AK315" s="2450"/>
      <c r="AL315" s="2450"/>
      <c r="AM315" s="2450"/>
      <c r="AN315" s="2450"/>
      <c r="AO315" s="2447"/>
      <c r="AP315" s="2447"/>
      <c r="AQ315" s="2447"/>
      <c r="AR315" s="2447"/>
    </row>
    <row r="316" spans="1:44" s="313" customFormat="1" ht="15.75">
      <c r="A316" s="2447"/>
      <c r="B316" s="2447" t="s">
        <v>965</v>
      </c>
      <c r="C316" s="2453"/>
      <c r="D316" s="2417"/>
      <c r="E316" s="2417"/>
      <c r="F316" s="2417"/>
      <c r="G316" s="2417"/>
      <c r="H316" s="2417"/>
      <c r="I316" s="2417"/>
      <c r="J316" s="2417"/>
      <c r="K316" s="2417" t="e">
        <f>#REF!</f>
        <v>#REF!</v>
      </c>
      <c r="L316" s="2417" t="e">
        <f>#REF!</f>
        <v>#REF!</v>
      </c>
      <c r="M316" s="2417" t="e">
        <f>#REF!</f>
        <v>#REF!</v>
      </c>
      <c r="N316" s="2417" t="e">
        <f>#REF!</f>
        <v>#REF!</v>
      </c>
      <c r="O316" s="2417" t="e">
        <f>#REF!</f>
        <v>#REF!</v>
      </c>
      <c r="P316" s="2417" t="e">
        <f>#REF!</f>
        <v>#REF!</v>
      </c>
      <c r="Q316" s="2417" t="e">
        <f>#REF!</f>
        <v>#REF!</v>
      </c>
      <c r="R316" s="2417" t="e">
        <f>#REF!</f>
        <v>#REF!</v>
      </c>
      <c r="S316" s="2417" t="e">
        <f>#REF!</f>
        <v>#REF!</v>
      </c>
      <c r="T316" s="2417" t="e">
        <f>#REF!</f>
        <v>#REF!</v>
      </c>
      <c r="U316" s="2417" t="e">
        <f>#REF!</f>
        <v>#REF!</v>
      </c>
      <c r="V316" s="2417" t="e">
        <f>#REF!</f>
        <v>#REF!</v>
      </c>
      <c r="W316" s="2417" t="e">
        <f>#REF!</f>
        <v>#REF!</v>
      </c>
      <c r="X316" s="2417"/>
      <c r="Y316" s="2417"/>
      <c r="Z316" s="2450"/>
      <c r="AA316" s="2450"/>
      <c r="AB316" s="2450"/>
      <c r="AC316" s="2450"/>
      <c r="AD316" s="2450"/>
      <c r="AE316" s="2450"/>
      <c r="AF316" s="2450"/>
      <c r="AG316" s="2450"/>
      <c r="AH316" s="2450"/>
      <c r="AI316" s="2450"/>
      <c r="AJ316" s="2450"/>
      <c r="AK316" s="2450"/>
      <c r="AL316" s="2450"/>
      <c r="AM316" s="2450"/>
      <c r="AN316" s="2450"/>
      <c r="AO316" s="2447"/>
      <c r="AP316" s="2447"/>
      <c r="AQ316" s="2447"/>
      <c r="AR316" s="2447"/>
    </row>
    <row r="317" spans="1:44" s="313" customFormat="1" ht="15.75">
      <c r="A317" s="2447"/>
      <c r="B317" s="2451"/>
      <c r="C317" s="2417"/>
      <c r="D317" s="2417"/>
      <c r="E317" s="2417"/>
      <c r="F317" s="2417"/>
      <c r="G317" s="2417"/>
      <c r="H317" s="2417"/>
      <c r="I317" s="2417"/>
      <c r="J317" s="2417"/>
      <c r="K317" s="2417"/>
      <c r="L317" s="2417"/>
      <c r="M317" s="2417"/>
      <c r="N317" s="2417"/>
      <c r="O317" s="2417"/>
      <c r="P317" s="2417"/>
      <c r="Q317" s="2417"/>
      <c r="R317" s="2417"/>
      <c r="S317" s="2417"/>
      <c r="T317" s="2417"/>
      <c r="U317" s="2417"/>
      <c r="V317" s="2417"/>
      <c r="W317" s="2417"/>
      <c r="X317" s="2417"/>
      <c r="Y317" s="2417"/>
      <c r="Z317" s="2450"/>
      <c r="AA317" s="2450"/>
      <c r="AB317" s="2450"/>
      <c r="AC317" s="2450"/>
      <c r="AD317" s="2450"/>
      <c r="AE317" s="2450"/>
      <c r="AF317" s="2450"/>
      <c r="AG317" s="2450"/>
      <c r="AH317" s="2450"/>
      <c r="AI317" s="2450"/>
      <c r="AJ317" s="2450"/>
      <c r="AK317" s="2450"/>
      <c r="AL317" s="2450"/>
      <c r="AM317" s="2450"/>
      <c r="AN317" s="2450"/>
      <c r="AO317" s="2447"/>
      <c r="AP317" s="2447"/>
      <c r="AQ317" s="2447"/>
      <c r="AR317" s="2447"/>
    </row>
    <row r="318" spans="1:44" s="313" customFormat="1" ht="15.75">
      <c r="A318" s="2447"/>
      <c r="B318" s="2455"/>
      <c r="C318" s="2456"/>
      <c r="D318" s="2456"/>
      <c r="E318" s="2456"/>
      <c r="F318" s="2456"/>
      <c r="G318" s="2457"/>
      <c r="H318" s="2457"/>
      <c r="I318" s="2457"/>
      <c r="J318" s="2457"/>
      <c r="K318" s="2457"/>
      <c r="L318" s="2457"/>
      <c r="M318" s="2457"/>
      <c r="N318" s="2457"/>
      <c r="O318" s="2457"/>
      <c r="P318" s="2457"/>
      <c r="Q318" s="2456"/>
      <c r="R318" s="2456"/>
      <c r="S318" s="2456"/>
      <c r="T318" s="2456"/>
      <c r="U318" s="2456"/>
      <c r="V318" s="2456"/>
      <c r="W318" s="2456"/>
      <c r="X318" s="2456"/>
      <c r="Y318" s="2456"/>
      <c r="Z318" s="2450"/>
      <c r="AA318" s="2450"/>
      <c r="AB318" s="2450"/>
      <c r="AC318" s="2450"/>
      <c r="AD318" s="2450"/>
      <c r="AE318" s="2450"/>
      <c r="AF318" s="2450"/>
      <c r="AG318" s="2450"/>
      <c r="AH318" s="2450"/>
      <c r="AI318" s="2450"/>
      <c r="AJ318" s="2450"/>
      <c r="AK318" s="2450"/>
      <c r="AL318" s="2450"/>
      <c r="AM318" s="2450"/>
      <c r="AN318" s="2450"/>
      <c r="AO318" s="2447"/>
      <c r="AP318" s="2447"/>
      <c r="AQ318" s="2447"/>
      <c r="AR318" s="2447"/>
    </row>
    <row r="319" spans="1:44" s="313" customFormat="1" ht="15.75">
      <c r="A319" s="2447"/>
      <c r="B319" s="2449" t="s">
        <v>875</v>
      </c>
      <c r="C319" s="2417" t="s">
        <v>967</v>
      </c>
      <c r="D319" s="2417"/>
      <c r="E319" s="2417"/>
      <c r="F319" s="2417"/>
      <c r="G319" s="2417"/>
      <c r="H319" s="2417"/>
      <c r="I319" s="2417"/>
      <c r="J319" s="2417"/>
      <c r="K319" s="2417"/>
      <c r="L319" s="2417"/>
      <c r="M319" s="2417"/>
      <c r="N319" s="2417"/>
      <c r="O319" s="2417"/>
      <c r="P319" s="2417"/>
      <c r="Q319" s="2417"/>
      <c r="R319" s="2417"/>
      <c r="S319" s="2417"/>
      <c r="T319" s="2417"/>
      <c r="U319" s="2417"/>
      <c r="V319" s="2417"/>
      <c r="W319" s="2417"/>
      <c r="X319" s="2417"/>
      <c r="Y319" s="2417"/>
      <c r="Z319" s="2450"/>
      <c r="AA319" s="2450"/>
      <c r="AB319" s="2450"/>
      <c r="AC319" s="2450"/>
      <c r="AD319" s="2450"/>
      <c r="AE319" s="2450"/>
      <c r="AF319" s="2450"/>
      <c r="AG319" s="2450"/>
      <c r="AH319" s="2450"/>
      <c r="AI319" s="2450"/>
      <c r="AJ319" s="2450"/>
      <c r="AK319" s="2450"/>
      <c r="AL319" s="2450"/>
      <c r="AM319" s="2450"/>
      <c r="AN319" s="2450"/>
      <c r="AO319" s="2447"/>
      <c r="AP319" s="2447"/>
      <c r="AQ319" s="2447"/>
      <c r="AR319" s="2447"/>
    </row>
    <row r="320" spans="1:44" s="313" customFormat="1" ht="15.75">
      <c r="A320" s="2447"/>
      <c r="B320" s="2451" t="s">
        <v>1157</v>
      </c>
      <c r="C320" s="2417"/>
      <c r="D320" s="2417"/>
      <c r="E320" s="2417"/>
      <c r="F320" s="2417"/>
      <c r="G320" s="2417">
        <f>SA!C5</f>
        <v>8859</v>
      </c>
      <c r="H320" s="2417">
        <f>SA!D5</f>
        <v>8859</v>
      </c>
      <c r="I320" s="2417">
        <f>SA!E5</f>
        <v>8859</v>
      </c>
      <c r="J320" s="2417">
        <f>SA!F5</f>
        <v>8989.0460000000003</v>
      </c>
      <c r="K320" s="2417">
        <f>SA!G5</f>
        <v>9119</v>
      </c>
      <c r="L320" s="2417">
        <f>SA!H5</f>
        <v>9119</v>
      </c>
      <c r="M320" s="2417">
        <f>SA!I5</f>
        <v>9796.9187675070025</v>
      </c>
      <c r="N320" s="2417">
        <f>SA!J5</f>
        <v>10406.378600823044</v>
      </c>
      <c r="O320" s="2417">
        <f>SA!K5</f>
        <v>10441.908236162681</v>
      </c>
      <c r="P320" s="2417">
        <f>SA!L5</f>
        <v>11223.893065998329</v>
      </c>
      <c r="Q320" s="2417">
        <f>SA!M5</f>
        <v>11510.045268050446</v>
      </c>
      <c r="R320" s="2417">
        <f>SA!N5</f>
        <v>11788.033212285995</v>
      </c>
      <c r="S320" s="2417">
        <f>SA!O5</f>
        <v>12081.568392248006</v>
      </c>
      <c r="T320" s="2417">
        <f>SA!P5</f>
        <v>11385.082248240144</v>
      </c>
      <c r="U320" s="2417">
        <f>SA!Q5</f>
        <v>11467.624094539884</v>
      </c>
      <c r="V320" s="2417">
        <f>SA!R5</f>
        <v>11550.764369225299</v>
      </c>
      <c r="W320" s="2417">
        <f>SA!S5</f>
        <v>11634.507410902183</v>
      </c>
      <c r="X320" s="2417"/>
      <c r="Y320" s="2417"/>
      <c r="Z320" s="2450"/>
      <c r="AA320" s="2450"/>
      <c r="AB320" s="2450"/>
      <c r="AC320" s="2450"/>
      <c r="AD320" s="2450"/>
      <c r="AE320" s="2450"/>
      <c r="AF320" s="2450"/>
      <c r="AG320" s="2450"/>
      <c r="AH320" s="2450"/>
      <c r="AI320" s="2450"/>
      <c r="AJ320" s="2450"/>
      <c r="AK320" s="2450"/>
      <c r="AL320" s="2450"/>
      <c r="AM320" s="2450"/>
      <c r="AN320" s="2450"/>
      <c r="AO320" s="2447"/>
      <c r="AP320" s="2447"/>
      <c r="AQ320" s="2447"/>
      <c r="AR320" s="2447"/>
    </row>
    <row r="321" spans="1:44" s="313" customFormat="1" ht="15.75">
      <c r="A321" s="2447"/>
      <c r="B321" s="2451" t="s">
        <v>1158</v>
      </c>
      <c r="C321" s="2417"/>
      <c r="D321" s="2417"/>
      <c r="E321" s="2417"/>
      <c r="F321" s="2417"/>
      <c r="G321" s="2417">
        <f>SA!C41</f>
        <v>410.887</v>
      </c>
      <c r="H321" s="2417">
        <f>SA!D41</f>
        <v>334.31900000000002</v>
      </c>
      <c r="I321" s="2417">
        <f>SA!E41</f>
        <v>414.08800000000002</v>
      </c>
      <c r="J321" s="2417">
        <f>SA!F41</f>
        <v>645.41800000000001</v>
      </c>
      <c r="K321" s="2417">
        <f>SA!G41</f>
        <v>936.37400000000002</v>
      </c>
      <c r="L321" s="2417">
        <f>SA!H41</f>
        <v>1056</v>
      </c>
      <c r="M321" s="2417">
        <f>SA!I41</f>
        <v>1399</v>
      </c>
      <c r="N321" s="2417">
        <f>SA!J41</f>
        <v>2023</v>
      </c>
      <c r="O321" s="2417">
        <f>SA!K41</f>
        <v>2404.4059999999999</v>
      </c>
      <c r="P321" s="2417">
        <f>SA!L41</f>
        <v>2687</v>
      </c>
      <c r="Q321" s="2417">
        <f>SA!M41</f>
        <v>3041</v>
      </c>
      <c r="R321" s="2417">
        <f>SA!N41</f>
        <v>3139</v>
      </c>
      <c r="S321" s="2417">
        <f>SA!O41</f>
        <v>3223</v>
      </c>
      <c r="T321" s="2417">
        <f>SA!P41</f>
        <v>3121.4479999999999</v>
      </c>
      <c r="U321" s="2417">
        <f>SA!Q41</f>
        <v>3186.5087071497974</v>
      </c>
      <c r="V321" s="2417">
        <f>SA!R41</f>
        <v>3230.979809359701</v>
      </c>
      <c r="W321" s="2417">
        <f>SA!S41</f>
        <v>3258.709180719592</v>
      </c>
      <c r="X321" s="2417"/>
      <c r="Y321" s="2417"/>
      <c r="Z321" s="2450"/>
      <c r="AA321" s="2450"/>
      <c r="AB321" s="2450"/>
      <c r="AC321" s="2450"/>
      <c r="AD321" s="2450"/>
      <c r="AE321" s="2450"/>
      <c r="AF321" s="2450"/>
      <c r="AG321" s="2450"/>
      <c r="AH321" s="2450"/>
      <c r="AI321" s="2450"/>
      <c r="AJ321" s="2450"/>
      <c r="AK321" s="2450"/>
      <c r="AL321" s="2450"/>
      <c r="AM321" s="2450"/>
      <c r="AN321" s="2450"/>
      <c r="AO321" s="2447"/>
      <c r="AP321" s="2447"/>
      <c r="AQ321" s="2447"/>
      <c r="AR321" s="2447"/>
    </row>
    <row r="322" spans="1:44" s="313" customFormat="1" ht="15.75">
      <c r="A322" s="2447"/>
      <c r="B322" s="2451" t="s">
        <v>1159</v>
      </c>
      <c r="C322" s="2417"/>
      <c r="D322" s="2452"/>
      <c r="E322" s="2452"/>
      <c r="F322" s="2452"/>
      <c r="G322" s="2452">
        <f>SA!C50</f>
        <v>0.4</v>
      </c>
      <c r="H322" s="2452">
        <f>SA!D50</f>
        <v>0.35</v>
      </c>
      <c r="I322" s="2452">
        <f>SA!E50</f>
        <v>0.35</v>
      </c>
      <c r="J322" s="2452">
        <f>SA!F50</f>
        <v>0.26014674020944528</v>
      </c>
      <c r="K322" s="2452">
        <f>SA!G50</f>
        <v>0.36672802468942395</v>
      </c>
      <c r="L322" s="2452">
        <f>SA!H50</f>
        <v>0.35</v>
      </c>
      <c r="M322" s="2452">
        <f>SA!I50</f>
        <v>0.34</v>
      </c>
      <c r="N322" s="2452">
        <f>SA!J50</f>
        <v>0.36</v>
      </c>
      <c r="O322" s="2452">
        <f>SA!K50</f>
        <v>0.35699999999999998</v>
      </c>
      <c r="P322" s="2452">
        <f>SA!L50</f>
        <v>0.35</v>
      </c>
      <c r="Q322" s="2452">
        <f>SA!M50</f>
        <v>0.36899999999999999</v>
      </c>
      <c r="R322" s="2452">
        <f>SA!N50</f>
        <v>0.34899999999999998</v>
      </c>
      <c r="S322" s="2452">
        <f>SA!O50</f>
        <v>0.37</v>
      </c>
      <c r="T322" s="2452">
        <f>SA!P50</f>
        <v>0.37</v>
      </c>
      <c r="U322" s="2452">
        <f>SA!Q50</f>
        <v>0.37</v>
      </c>
      <c r="V322" s="2452">
        <f>SA!R50</f>
        <v>0.37</v>
      </c>
      <c r="W322" s="2452">
        <f>SA!S50</f>
        <v>0.37</v>
      </c>
      <c r="X322" s="2452"/>
      <c r="Y322" s="2452"/>
      <c r="Z322" s="2450"/>
      <c r="AA322" s="2450"/>
      <c r="AB322" s="2450"/>
      <c r="AC322" s="2450"/>
      <c r="AD322" s="2450"/>
      <c r="AE322" s="2450"/>
      <c r="AF322" s="2450"/>
      <c r="AG322" s="2450"/>
      <c r="AH322" s="2450"/>
      <c r="AI322" s="2450"/>
      <c r="AJ322" s="2450"/>
      <c r="AK322" s="2450"/>
      <c r="AL322" s="2450"/>
      <c r="AM322" s="2450"/>
      <c r="AN322" s="2450"/>
      <c r="AO322" s="2447"/>
      <c r="AP322" s="2447"/>
      <c r="AQ322" s="2447"/>
      <c r="AR322" s="2447"/>
    </row>
    <row r="323" spans="1:44" s="313" customFormat="1" ht="15.75">
      <c r="A323" s="2447"/>
      <c r="B323" s="2451" t="s">
        <v>1160</v>
      </c>
      <c r="C323" s="2417"/>
      <c r="D323" s="2417"/>
      <c r="E323" s="2417"/>
      <c r="F323" s="2417"/>
      <c r="G323" s="2417"/>
      <c r="H323" s="2417"/>
      <c r="I323" s="2417"/>
      <c r="J323" s="2417"/>
      <c r="K323" s="2417"/>
      <c r="L323" s="2417"/>
      <c r="M323" s="2417"/>
      <c r="N323" s="2417"/>
      <c r="O323" s="2417"/>
      <c r="P323" s="2417"/>
      <c r="Q323" s="2417"/>
      <c r="R323" s="2417"/>
      <c r="S323" s="2417"/>
      <c r="T323" s="2417"/>
      <c r="U323" s="2417"/>
      <c r="V323" s="2417"/>
      <c r="W323" s="2417"/>
      <c r="X323" s="2417"/>
      <c r="Y323" s="2417"/>
      <c r="Z323" s="2450"/>
      <c r="AA323" s="2450"/>
      <c r="AB323" s="2450"/>
      <c r="AC323" s="2450"/>
      <c r="AD323" s="2450"/>
      <c r="AE323" s="2450"/>
      <c r="AF323" s="2450"/>
      <c r="AG323" s="2450"/>
      <c r="AH323" s="2450"/>
      <c r="AI323" s="2450"/>
      <c r="AJ323" s="2450"/>
      <c r="AK323" s="2450"/>
      <c r="AL323" s="2450"/>
      <c r="AM323" s="2450"/>
      <c r="AN323" s="2450"/>
      <c r="AO323" s="2447"/>
      <c r="AP323" s="2447"/>
      <c r="AQ323" s="2447"/>
      <c r="AR323" s="2447"/>
    </row>
    <row r="324" spans="1:44" s="313" customFormat="1" ht="15.75">
      <c r="A324" s="2447"/>
      <c r="B324" s="2451" t="s">
        <v>523</v>
      </c>
      <c r="C324" s="2417"/>
      <c r="D324" s="2417"/>
      <c r="E324" s="2417"/>
      <c r="F324" s="2417"/>
      <c r="G324" s="2417"/>
      <c r="H324" s="2417"/>
      <c r="I324" s="2417"/>
      <c r="J324" s="2417"/>
      <c r="K324" s="2417"/>
      <c r="L324" s="2417"/>
      <c r="M324" s="2417"/>
      <c r="N324" s="2417"/>
      <c r="O324" s="2417"/>
      <c r="P324" s="2417"/>
      <c r="Q324" s="2417"/>
      <c r="R324" s="2417"/>
      <c r="S324" s="2417"/>
      <c r="T324" s="2417"/>
      <c r="U324" s="2417"/>
      <c r="V324" s="2417"/>
      <c r="W324" s="2417"/>
      <c r="X324" s="2417"/>
      <c r="Y324" s="2417"/>
      <c r="Z324" s="2450"/>
      <c r="AA324" s="2450"/>
      <c r="AB324" s="2450"/>
      <c r="AC324" s="2450"/>
      <c r="AD324" s="2450"/>
      <c r="AE324" s="2450"/>
      <c r="AF324" s="2450"/>
      <c r="AG324" s="2450"/>
      <c r="AH324" s="2450"/>
      <c r="AI324" s="2450"/>
      <c r="AJ324" s="2450"/>
      <c r="AK324" s="2450"/>
      <c r="AL324" s="2450"/>
      <c r="AM324" s="2450"/>
      <c r="AN324" s="2450"/>
      <c r="AO324" s="2447"/>
      <c r="AP324" s="2447"/>
      <c r="AQ324" s="2447"/>
      <c r="AR324" s="2447"/>
    </row>
    <row r="325" spans="1:44" s="313" customFormat="1" ht="15.75">
      <c r="A325" s="2447"/>
      <c r="B325" s="2451" t="s">
        <v>360</v>
      </c>
      <c r="C325" s="2417"/>
      <c r="D325" s="2417"/>
      <c r="E325" s="2417"/>
      <c r="F325" s="2417"/>
      <c r="G325" s="2417"/>
      <c r="H325" s="2417"/>
      <c r="I325" s="2417"/>
      <c r="J325" s="2417"/>
      <c r="K325" s="2417"/>
      <c r="L325" s="2417"/>
      <c r="M325" s="2417"/>
      <c r="N325" s="2417"/>
      <c r="O325" s="2417"/>
      <c r="P325" s="2417"/>
      <c r="Q325" s="2417"/>
      <c r="R325" s="2417"/>
      <c r="S325" s="2417"/>
      <c r="T325" s="2417"/>
      <c r="U325" s="2417"/>
      <c r="V325" s="2417"/>
      <c r="W325" s="2417"/>
      <c r="X325" s="2417"/>
      <c r="Y325" s="2417"/>
      <c r="Z325" s="2450"/>
      <c r="AA325" s="2450"/>
      <c r="AB325" s="2450"/>
      <c r="AC325" s="2450"/>
      <c r="AD325" s="2450"/>
      <c r="AE325" s="2450"/>
      <c r="AF325" s="2450"/>
      <c r="AG325" s="2450"/>
      <c r="AH325" s="2450"/>
      <c r="AI325" s="2450"/>
      <c r="AJ325" s="2450"/>
      <c r="AK325" s="2450"/>
      <c r="AL325" s="2450"/>
      <c r="AM325" s="2450"/>
      <c r="AN325" s="2450"/>
      <c r="AO325" s="2447"/>
      <c r="AP325" s="2447"/>
      <c r="AQ325" s="2447"/>
      <c r="AR325" s="2447"/>
    </row>
    <row r="326" spans="1:44" s="313" customFormat="1" ht="15.75">
      <c r="A326" s="2447"/>
      <c r="B326" s="2451" t="s">
        <v>1552</v>
      </c>
      <c r="C326" s="2417"/>
      <c r="D326" s="2417"/>
      <c r="E326" s="2417"/>
      <c r="F326" s="2417"/>
      <c r="G326" s="2417"/>
      <c r="H326" s="2417"/>
      <c r="I326" s="2417"/>
      <c r="J326" s="2417"/>
      <c r="K326" s="2417"/>
      <c r="L326" s="2417"/>
      <c r="M326" s="2417"/>
      <c r="N326" s="2417"/>
      <c r="O326" s="2417"/>
      <c r="P326" s="2417"/>
      <c r="Q326" s="2417"/>
      <c r="R326" s="2417"/>
      <c r="S326" s="2417"/>
      <c r="T326" s="2417"/>
      <c r="U326" s="2417"/>
      <c r="V326" s="2417"/>
      <c r="W326" s="2417"/>
      <c r="X326" s="2417"/>
      <c r="Y326" s="2417"/>
      <c r="Z326" s="2450"/>
      <c r="AA326" s="2450"/>
      <c r="AB326" s="2450"/>
      <c r="AC326" s="2450"/>
      <c r="AD326" s="2450"/>
      <c r="AE326" s="2450"/>
      <c r="AF326" s="2450"/>
      <c r="AG326" s="2450"/>
      <c r="AH326" s="2450"/>
      <c r="AI326" s="2450"/>
      <c r="AJ326" s="2450"/>
      <c r="AK326" s="2450"/>
      <c r="AL326" s="2450"/>
      <c r="AM326" s="2450"/>
      <c r="AN326" s="2450"/>
      <c r="AO326" s="2447"/>
      <c r="AP326" s="2447"/>
      <c r="AQ326" s="2447"/>
      <c r="AR326" s="2447"/>
    </row>
    <row r="327" spans="1:44" s="313" customFormat="1" ht="15.75">
      <c r="A327" s="2447"/>
      <c r="B327" s="2451" t="s">
        <v>1936</v>
      </c>
      <c r="C327" s="2417"/>
      <c r="D327" s="2417"/>
      <c r="E327" s="2417"/>
      <c r="F327" s="2417"/>
      <c r="G327" s="2417"/>
      <c r="H327" s="2417"/>
      <c r="I327" s="2417"/>
      <c r="J327" s="2417"/>
      <c r="K327" s="2417"/>
      <c r="L327" s="2417"/>
      <c r="M327" s="2417"/>
      <c r="N327" s="2417"/>
      <c r="O327" s="2417"/>
      <c r="P327" s="2417"/>
      <c r="Q327" s="2417"/>
      <c r="R327" s="2417"/>
      <c r="S327" s="2417"/>
      <c r="T327" s="2417"/>
      <c r="U327" s="2417"/>
      <c r="V327" s="2417"/>
      <c r="W327" s="2417"/>
      <c r="X327" s="2417"/>
      <c r="Y327" s="2417"/>
      <c r="Z327" s="2450"/>
      <c r="AA327" s="2450"/>
      <c r="AB327" s="2450"/>
      <c r="AC327" s="2450"/>
      <c r="AD327" s="2450"/>
      <c r="AE327" s="2450"/>
      <c r="AF327" s="2450"/>
      <c r="AG327" s="2450"/>
      <c r="AH327" s="2450"/>
      <c r="AI327" s="2450"/>
      <c r="AJ327" s="2450"/>
      <c r="AK327" s="2450"/>
      <c r="AL327" s="2450"/>
      <c r="AM327" s="2450"/>
      <c r="AN327" s="2450"/>
      <c r="AO327" s="2447"/>
      <c r="AP327" s="2447"/>
      <c r="AQ327" s="2447"/>
      <c r="AR327" s="2447"/>
    </row>
    <row r="328" spans="1:44" s="313" customFormat="1" ht="15.75">
      <c r="A328" s="2447"/>
      <c r="B328" s="2451" t="s">
        <v>1161</v>
      </c>
      <c r="C328" s="2417"/>
      <c r="D328" s="2417"/>
      <c r="E328" s="2417"/>
      <c r="F328" s="2417"/>
      <c r="G328" s="2417"/>
      <c r="H328" s="2417"/>
      <c r="I328" s="2417"/>
      <c r="J328" s="2417"/>
      <c r="K328" s="2417"/>
      <c r="L328" s="2417"/>
      <c r="M328" s="2417"/>
      <c r="N328" s="2417"/>
      <c r="O328" s="2417"/>
      <c r="P328" s="2417"/>
      <c r="Q328" s="2417"/>
      <c r="R328" s="2417"/>
      <c r="S328" s="2417"/>
      <c r="T328" s="2417"/>
      <c r="U328" s="2417"/>
      <c r="V328" s="2417"/>
      <c r="W328" s="2417"/>
      <c r="X328" s="2417"/>
      <c r="Y328" s="2417"/>
      <c r="Z328" s="2450"/>
      <c r="AA328" s="2450"/>
      <c r="AB328" s="2450"/>
      <c r="AC328" s="2450"/>
      <c r="AD328" s="2450"/>
      <c r="AE328" s="2450"/>
      <c r="AF328" s="2450"/>
      <c r="AG328" s="2450"/>
      <c r="AH328" s="2450"/>
      <c r="AI328" s="2450"/>
      <c r="AJ328" s="2450"/>
      <c r="AK328" s="2450"/>
      <c r="AL328" s="2450"/>
      <c r="AM328" s="2450"/>
      <c r="AN328" s="2450"/>
      <c r="AO328" s="2447"/>
      <c r="AP328" s="2447"/>
      <c r="AQ328" s="2447"/>
      <c r="AR328" s="2447"/>
    </row>
    <row r="329" spans="1:44" s="313" customFormat="1" ht="15.75">
      <c r="A329" s="2447"/>
      <c r="B329" s="2451" t="s">
        <v>1185</v>
      </c>
      <c r="C329" s="2417"/>
      <c r="D329" s="2417"/>
      <c r="E329" s="2417"/>
      <c r="F329" s="2417"/>
      <c r="G329" s="2417"/>
      <c r="H329" s="2417"/>
      <c r="I329" s="2417"/>
      <c r="J329" s="2417"/>
      <c r="K329" s="2417"/>
      <c r="L329" s="2417"/>
      <c r="M329" s="2417"/>
      <c r="N329" s="2417"/>
      <c r="O329" s="2417"/>
      <c r="P329" s="2417"/>
      <c r="Q329" s="2417"/>
      <c r="R329" s="2417"/>
      <c r="S329" s="2417"/>
      <c r="T329" s="2417"/>
      <c r="U329" s="2417"/>
      <c r="V329" s="2417"/>
      <c r="W329" s="2417"/>
      <c r="X329" s="2417"/>
      <c r="Y329" s="2417"/>
      <c r="Z329" s="2450"/>
      <c r="AA329" s="2450"/>
      <c r="AB329" s="2450"/>
      <c r="AC329" s="2450"/>
      <c r="AD329" s="2450"/>
      <c r="AE329" s="2450"/>
      <c r="AF329" s="2450"/>
      <c r="AG329" s="2450"/>
      <c r="AH329" s="2450"/>
      <c r="AI329" s="2450"/>
      <c r="AJ329" s="2450"/>
      <c r="AK329" s="2450"/>
      <c r="AL329" s="2450"/>
      <c r="AM329" s="2450"/>
      <c r="AN329" s="2450"/>
      <c r="AO329" s="2447"/>
      <c r="AP329" s="2447"/>
      <c r="AQ329" s="2447"/>
      <c r="AR329" s="2447"/>
    </row>
    <row r="330" spans="1:44" s="313" customFormat="1" ht="15.75">
      <c r="A330" s="2447"/>
      <c r="B330" s="2451" t="s">
        <v>1728</v>
      </c>
      <c r="C330" s="2417"/>
      <c r="D330" s="2417"/>
      <c r="E330" s="2417"/>
      <c r="F330" s="2417"/>
      <c r="G330" s="2417"/>
      <c r="H330" s="2417"/>
      <c r="I330" s="2417"/>
      <c r="J330" s="2417"/>
      <c r="K330" s="2417"/>
      <c r="L330" s="2417"/>
      <c r="M330" s="2417"/>
      <c r="N330" s="2417"/>
      <c r="O330" s="2417"/>
      <c r="P330" s="2417"/>
      <c r="Q330" s="2417"/>
      <c r="R330" s="2417"/>
      <c r="S330" s="2417"/>
      <c r="T330" s="2417"/>
      <c r="U330" s="2417"/>
      <c r="V330" s="2417"/>
      <c r="W330" s="2417"/>
      <c r="X330" s="2417"/>
      <c r="Y330" s="2417"/>
      <c r="Z330" s="2450"/>
      <c r="AA330" s="2450"/>
      <c r="AB330" s="2450"/>
      <c r="AC330" s="2450"/>
      <c r="AD330" s="2450"/>
      <c r="AE330" s="2450"/>
      <c r="AF330" s="2450"/>
      <c r="AG330" s="2450"/>
      <c r="AH330" s="2450"/>
      <c r="AI330" s="2450"/>
      <c r="AJ330" s="2450"/>
      <c r="AK330" s="2450"/>
      <c r="AL330" s="2450"/>
      <c r="AM330" s="2450"/>
      <c r="AN330" s="2450"/>
      <c r="AO330" s="2447"/>
      <c r="AP330" s="2447"/>
      <c r="AQ330" s="2447"/>
      <c r="AR330" s="2447"/>
    </row>
    <row r="331" spans="1:44" s="313" customFormat="1" ht="15.75">
      <c r="A331" s="2447"/>
      <c r="B331" s="2451" t="s">
        <v>1729</v>
      </c>
      <c r="C331" s="2417"/>
      <c r="D331" s="2417"/>
      <c r="E331" s="2417"/>
      <c r="F331" s="2417"/>
      <c r="G331" s="2417"/>
      <c r="H331" s="2417"/>
      <c r="I331" s="2417"/>
      <c r="J331" s="2417"/>
      <c r="K331" s="2417"/>
      <c r="L331" s="2417"/>
      <c r="M331" s="2417"/>
      <c r="N331" s="2417"/>
      <c r="O331" s="2417"/>
      <c r="P331" s="2417"/>
      <c r="Q331" s="2417"/>
      <c r="R331" s="2417"/>
      <c r="S331" s="2417"/>
      <c r="T331" s="2417"/>
      <c r="U331" s="2417"/>
      <c r="V331" s="2417"/>
      <c r="W331" s="2417"/>
      <c r="X331" s="2417"/>
      <c r="Y331" s="2417"/>
      <c r="Z331" s="2450"/>
      <c r="AA331" s="2450"/>
      <c r="AB331" s="2450"/>
      <c r="AC331" s="2450"/>
      <c r="AD331" s="2450"/>
      <c r="AE331" s="2450"/>
      <c r="AF331" s="2450"/>
      <c r="AG331" s="2450"/>
      <c r="AH331" s="2450"/>
      <c r="AI331" s="2450"/>
      <c r="AJ331" s="2450"/>
      <c r="AK331" s="2450"/>
      <c r="AL331" s="2450"/>
      <c r="AM331" s="2450"/>
      <c r="AN331" s="2450"/>
      <c r="AO331" s="2447"/>
      <c r="AP331" s="2447"/>
      <c r="AQ331" s="2447"/>
      <c r="AR331" s="2447"/>
    </row>
    <row r="332" spans="1:44" s="313" customFormat="1" ht="15.75">
      <c r="A332" s="2447"/>
      <c r="B332" s="2451" t="s">
        <v>1730</v>
      </c>
      <c r="C332" s="2417"/>
      <c r="D332" s="2417"/>
      <c r="E332" s="2417"/>
      <c r="F332" s="2417"/>
      <c r="G332" s="2417"/>
      <c r="H332" s="2417"/>
      <c r="I332" s="2417"/>
      <c r="J332" s="2417"/>
      <c r="K332" s="2417"/>
      <c r="L332" s="2417"/>
      <c r="M332" s="2417"/>
      <c r="N332" s="2417"/>
      <c r="O332" s="2417"/>
      <c r="P332" s="2417"/>
      <c r="Q332" s="2417"/>
      <c r="R332" s="2417"/>
      <c r="S332" s="2417"/>
      <c r="T332" s="2417"/>
      <c r="U332" s="2417"/>
      <c r="V332" s="2417"/>
      <c r="W332" s="2417"/>
      <c r="X332" s="2417"/>
      <c r="Y332" s="2417"/>
      <c r="Z332" s="2450"/>
      <c r="AA332" s="2450"/>
      <c r="AB332" s="2450"/>
      <c r="AC332" s="2450"/>
      <c r="AD332" s="2450"/>
      <c r="AE332" s="2450"/>
      <c r="AF332" s="2450"/>
      <c r="AG332" s="2450"/>
      <c r="AH332" s="2450"/>
      <c r="AI332" s="2450"/>
      <c r="AJ332" s="2450"/>
      <c r="AK332" s="2450"/>
      <c r="AL332" s="2450"/>
      <c r="AM332" s="2450"/>
      <c r="AN332" s="2450"/>
      <c r="AO332" s="2447"/>
      <c r="AP332" s="2447"/>
      <c r="AQ332" s="2447"/>
      <c r="AR332" s="2447"/>
    </row>
    <row r="333" spans="1:44" s="313" customFormat="1" ht="15.75">
      <c r="A333" s="2447"/>
      <c r="B333" s="2451" t="s">
        <v>1731</v>
      </c>
      <c r="C333" s="2417"/>
      <c r="D333" s="2417"/>
      <c r="E333" s="2417"/>
      <c r="F333" s="2417"/>
      <c r="G333" s="2417"/>
      <c r="H333" s="2417"/>
      <c r="I333" s="2417"/>
      <c r="J333" s="2417"/>
      <c r="K333" s="2417"/>
      <c r="L333" s="2417"/>
      <c r="M333" s="2417"/>
      <c r="N333" s="2417"/>
      <c r="O333" s="2417"/>
      <c r="P333" s="2417"/>
      <c r="Q333" s="2417"/>
      <c r="R333" s="2417"/>
      <c r="S333" s="2417"/>
      <c r="T333" s="2417"/>
      <c r="U333" s="2417"/>
      <c r="V333" s="2417"/>
      <c r="W333" s="2417"/>
      <c r="X333" s="2417"/>
      <c r="Y333" s="2417"/>
      <c r="Z333" s="2450"/>
      <c r="AA333" s="2450"/>
      <c r="AB333" s="2450"/>
      <c r="AC333" s="2450"/>
      <c r="AD333" s="2450"/>
      <c r="AE333" s="2450"/>
      <c r="AF333" s="2450"/>
      <c r="AG333" s="2450"/>
      <c r="AH333" s="2450"/>
      <c r="AI333" s="2450"/>
      <c r="AJ333" s="2450"/>
      <c r="AK333" s="2450"/>
      <c r="AL333" s="2450"/>
      <c r="AM333" s="2450"/>
      <c r="AN333" s="2450"/>
      <c r="AO333" s="2447"/>
      <c r="AP333" s="2447"/>
      <c r="AQ333" s="2447"/>
      <c r="AR333" s="2447"/>
    </row>
    <row r="334" spans="1:44" s="313" customFormat="1" ht="15.75">
      <c r="A334" s="2447"/>
      <c r="B334" s="2451" t="s">
        <v>1732</v>
      </c>
      <c r="C334" s="2417"/>
      <c r="D334" s="2417"/>
      <c r="E334" s="2417"/>
      <c r="F334" s="2417"/>
      <c r="G334" s="2417"/>
      <c r="H334" s="2417"/>
      <c r="I334" s="2417"/>
      <c r="J334" s="2417"/>
      <c r="K334" s="2417"/>
      <c r="L334" s="2417"/>
      <c r="M334" s="2417"/>
      <c r="N334" s="2417"/>
      <c r="O334" s="2417"/>
      <c r="P334" s="2417"/>
      <c r="Q334" s="2417"/>
      <c r="R334" s="2417"/>
      <c r="S334" s="2417"/>
      <c r="T334" s="2417"/>
      <c r="U334" s="2417"/>
      <c r="V334" s="2417"/>
      <c r="W334" s="2417"/>
      <c r="X334" s="2417"/>
      <c r="Y334" s="2417"/>
      <c r="Z334" s="2450"/>
      <c r="AA334" s="2450"/>
      <c r="AB334" s="2450"/>
      <c r="AC334" s="2450"/>
      <c r="AD334" s="2450"/>
      <c r="AE334" s="2450"/>
      <c r="AF334" s="2450"/>
      <c r="AG334" s="2450"/>
      <c r="AH334" s="2450"/>
      <c r="AI334" s="2450"/>
      <c r="AJ334" s="2450"/>
      <c r="AK334" s="2450"/>
      <c r="AL334" s="2450"/>
      <c r="AM334" s="2450"/>
      <c r="AN334" s="2450"/>
      <c r="AO334" s="2447"/>
      <c r="AP334" s="2447"/>
      <c r="AQ334" s="2447"/>
      <c r="AR334" s="2447"/>
    </row>
    <row r="335" spans="1:44" s="313" customFormat="1" ht="15.75">
      <c r="A335" s="2447"/>
      <c r="B335" s="2451" t="s">
        <v>1733</v>
      </c>
      <c r="C335" s="2417"/>
      <c r="D335" s="2417"/>
      <c r="E335" s="2417"/>
      <c r="F335" s="2417"/>
      <c r="G335" s="2417"/>
      <c r="H335" s="2417"/>
      <c r="I335" s="2417"/>
      <c r="J335" s="2417"/>
      <c r="K335" s="2417"/>
      <c r="L335" s="2417"/>
      <c r="M335" s="2417"/>
      <c r="N335" s="2417"/>
      <c r="O335" s="2417"/>
      <c r="P335" s="2417"/>
      <c r="Q335" s="2417"/>
      <c r="R335" s="2417"/>
      <c r="S335" s="2417"/>
      <c r="T335" s="2417"/>
      <c r="U335" s="2417"/>
      <c r="V335" s="2417"/>
      <c r="W335" s="2417"/>
      <c r="X335" s="2417"/>
      <c r="Y335" s="2417"/>
      <c r="Z335" s="2450"/>
      <c r="AA335" s="2450"/>
      <c r="AB335" s="2450"/>
      <c r="AC335" s="2450"/>
      <c r="AD335" s="2450"/>
      <c r="AE335" s="2450"/>
      <c r="AF335" s="2450"/>
      <c r="AG335" s="2450"/>
      <c r="AH335" s="2450"/>
      <c r="AI335" s="2450"/>
      <c r="AJ335" s="2450"/>
      <c r="AK335" s="2450"/>
      <c r="AL335" s="2450"/>
      <c r="AM335" s="2450"/>
      <c r="AN335" s="2450"/>
      <c r="AO335" s="2447"/>
      <c r="AP335" s="2447"/>
      <c r="AQ335" s="2447"/>
      <c r="AR335" s="2447"/>
    </row>
    <row r="336" spans="1:44" s="313" customFormat="1" ht="15.75">
      <c r="A336" s="2447"/>
      <c r="B336" s="2451" t="s">
        <v>1734</v>
      </c>
      <c r="C336" s="2417"/>
      <c r="D336" s="2417"/>
      <c r="E336" s="2417"/>
      <c r="F336" s="2417"/>
      <c r="G336" s="2417"/>
      <c r="H336" s="2417"/>
      <c r="I336" s="2417"/>
      <c r="J336" s="2417"/>
      <c r="K336" s="2417"/>
      <c r="L336" s="2417"/>
      <c r="M336" s="2417"/>
      <c r="N336" s="2417"/>
      <c r="O336" s="2417"/>
      <c r="P336" s="2417"/>
      <c r="Q336" s="2417"/>
      <c r="R336" s="2417"/>
      <c r="S336" s="2417"/>
      <c r="T336" s="2417"/>
      <c r="U336" s="2417"/>
      <c r="V336" s="2417"/>
      <c r="W336" s="2417"/>
      <c r="X336" s="2417"/>
      <c r="Y336" s="2417"/>
      <c r="Z336" s="2450"/>
      <c r="AA336" s="2450"/>
      <c r="AB336" s="2450"/>
      <c r="AC336" s="2450"/>
      <c r="AD336" s="2450"/>
      <c r="AE336" s="2450"/>
      <c r="AF336" s="2450"/>
      <c r="AG336" s="2450"/>
      <c r="AH336" s="2450"/>
      <c r="AI336" s="2450"/>
      <c r="AJ336" s="2450"/>
      <c r="AK336" s="2450"/>
      <c r="AL336" s="2450"/>
      <c r="AM336" s="2450"/>
      <c r="AN336" s="2450"/>
      <c r="AO336" s="2447"/>
      <c r="AP336" s="2447"/>
      <c r="AQ336" s="2447"/>
      <c r="AR336" s="2447"/>
    </row>
    <row r="337" spans="1:44" s="313" customFormat="1" ht="15.75">
      <c r="A337" s="2447"/>
      <c r="B337" s="2451" t="s">
        <v>1735</v>
      </c>
      <c r="C337" s="2417"/>
      <c r="D337" s="2417"/>
      <c r="E337" s="2417"/>
      <c r="F337" s="2417"/>
      <c r="G337" s="2417"/>
      <c r="H337" s="2417"/>
      <c r="I337" s="2417"/>
      <c r="J337" s="2417"/>
      <c r="K337" s="2417"/>
      <c r="L337" s="2417"/>
      <c r="M337" s="2417"/>
      <c r="N337" s="2417"/>
      <c r="O337" s="2417"/>
      <c r="P337" s="2417"/>
      <c r="Q337" s="2417"/>
      <c r="R337" s="2417"/>
      <c r="S337" s="2417"/>
      <c r="T337" s="2417"/>
      <c r="U337" s="2417"/>
      <c r="V337" s="2417"/>
      <c r="W337" s="2417"/>
      <c r="X337" s="2417"/>
      <c r="Y337" s="2417"/>
      <c r="Z337" s="2450"/>
      <c r="AA337" s="2450"/>
      <c r="AB337" s="2450"/>
      <c r="AC337" s="2450"/>
      <c r="AD337" s="2450"/>
      <c r="AE337" s="2450"/>
      <c r="AF337" s="2450"/>
      <c r="AG337" s="2450"/>
      <c r="AH337" s="2450"/>
      <c r="AI337" s="2450"/>
      <c r="AJ337" s="2450"/>
      <c r="AK337" s="2450"/>
      <c r="AL337" s="2450"/>
      <c r="AM337" s="2450"/>
      <c r="AN337" s="2450"/>
      <c r="AO337" s="2447"/>
      <c r="AP337" s="2447"/>
      <c r="AQ337" s="2447"/>
      <c r="AR337" s="2447"/>
    </row>
    <row r="338" spans="1:44" s="313" customFormat="1" ht="15.75">
      <c r="A338" s="2447"/>
      <c r="B338" s="2447" t="s">
        <v>968</v>
      </c>
      <c r="C338" s="2453"/>
      <c r="D338" s="2454"/>
      <c r="E338" s="2454"/>
      <c r="F338" s="2454"/>
      <c r="G338" s="2454"/>
      <c r="H338" s="2454">
        <f>SA!D71</f>
        <v>7.65</v>
      </c>
      <c r="I338" s="2454">
        <f>SA!E71</f>
        <v>7.94</v>
      </c>
      <c r="J338" s="2454">
        <f>SA!F71</f>
        <v>8.06</v>
      </c>
      <c r="K338" s="2454">
        <f>SA!G71</f>
        <v>8</v>
      </c>
      <c r="L338" s="2454">
        <f>SA!H71</f>
        <v>7.85</v>
      </c>
      <c r="M338" s="2454">
        <f>SA!I71</f>
        <v>7.23</v>
      </c>
      <c r="N338" s="2454">
        <f>SA!J71</f>
        <v>7.02</v>
      </c>
      <c r="O338" s="2454">
        <f>SA!K71</f>
        <v>7.0178622614364761</v>
      </c>
      <c r="P338" s="2454">
        <f>SA!L71</f>
        <v>6.97</v>
      </c>
      <c r="Q338" s="2454">
        <f>SA!M71</f>
        <v>6.91</v>
      </c>
      <c r="R338" s="2454">
        <f>SA!N71</f>
        <v>6.91</v>
      </c>
      <c r="S338" s="2454">
        <f>SA!O71</f>
        <v>6.91</v>
      </c>
      <c r="T338" s="2454">
        <f>SA!P71</f>
        <v>6.9</v>
      </c>
      <c r="U338" s="2454">
        <f>SA!Q71</f>
        <v>6.91</v>
      </c>
      <c r="V338" s="2454">
        <f>SA!R71</f>
        <v>6.9</v>
      </c>
      <c r="W338" s="2454">
        <f>SA!S71</f>
        <v>6.9</v>
      </c>
      <c r="X338" s="2454"/>
      <c r="Y338" s="2454"/>
      <c r="Z338" s="2450"/>
      <c r="AA338" s="2450"/>
      <c r="AB338" s="2450"/>
      <c r="AC338" s="2450"/>
      <c r="AD338" s="2450"/>
      <c r="AE338" s="2450"/>
      <c r="AF338" s="2450"/>
      <c r="AG338" s="2450"/>
      <c r="AH338" s="2450"/>
      <c r="AI338" s="2450"/>
      <c r="AJ338" s="2450"/>
      <c r="AK338" s="2450"/>
      <c r="AL338" s="2450"/>
      <c r="AM338" s="2450"/>
      <c r="AN338" s="2450"/>
      <c r="AO338" s="2447"/>
      <c r="AP338" s="2447"/>
      <c r="AQ338" s="2447"/>
      <c r="AR338" s="2447"/>
    </row>
    <row r="339" spans="1:44" s="313" customFormat="1" ht="15.75">
      <c r="A339" s="2447"/>
      <c r="B339" s="2447" t="s">
        <v>965</v>
      </c>
      <c r="C339" s="2453"/>
      <c r="D339" s="2417"/>
      <c r="E339" s="2417"/>
      <c r="F339" s="2417"/>
      <c r="G339" s="2417"/>
      <c r="H339" s="2417"/>
      <c r="I339" s="2417"/>
      <c r="J339" s="2417"/>
      <c r="K339" s="2417"/>
      <c r="L339" s="2417"/>
      <c r="M339" s="2417"/>
      <c r="N339" s="2417"/>
      <c r="O339" s="2417"/>
      <c r="P339" s="2417"/>
      <c r="Q339" s="2417"/>
      <c r="R339" s="2417"/>
      <c r="S339" s="2417"/>
      <c r="T339" s="2417"/>
      <c r="U339" s="2417"/>
      <c r="V339" s="2417"/>
      <c r="W339" s="2417"/>
      <c r="X339" s="2417"/>
      <c r="Y339" s="2417"/>
      <c r="Z339" s="2450"/>
      <c r="AA339" s="2450"/>
      <c r="AB339" s="2450"/>
      <c r="AC339" s="2450"/>
      <c r="AD339" s="2450"/>
      <c r="AE339" s="2450"/>
      <c r="AF339" s="2450"/>
      <c r="AG339" s="2450"/>
      <c r="AH339" s="2450"/>
      <c r="AI339" s="2450"/>
      <c r="AJ339" s="2450"/>
      <c r="AK339" s="2450"/>
      <c r="AL339" s="2450"/>
      <c r="AM339" s="2450"/>
      <c r="AN339" s="2450"/>
      <c r="AO339" s="2447"/>
      <c r="AP339" s="2447"/>
      <c r="AQ339" s="2447"/>
      <c r="AR339" s="2447"/>
    </row>
    <row r="340" spans="1:44" s="313" customFormat="1" ht="15.75">
      <c r="A340" s="2447"/>
      <c r="B340" s="2451"/>
      <c r="C340" s="2417"/>
      <c r="D340" s="2417"/>
      <c r="E340" s="2417"/>
      <c r="F340" s="2417"/>
      <c r="G340" s="2417"/>
      <c r="H340" s="2417"/>
      <c r="I340" s="2417"/>
      <c r="J340" s="2417"/>
      <c r="K340" s="2417"/>
      <c r="L340" s="2417"/>
      <c r="M340" s="2417"/>
      <c r="N340" s="2417"/>
      <c r="O340" s="2417"/>
      <c r="P340" s="2417"/>
      <c r="Q340" s="2417"/>
      <c r="R340" s="2417"/>
      <c r="S340" s="2417"/>
      <c r="T340" s="2417"/>
      <c r="U340" s="2417"/>
      <c r="V340" s="2417"/>
      <c r="W340" s="2417"/>
      <c r="X340" s="2417"/>
      <c r="Y340" s="2417"/>
      <c r="Z340" s="2450"/>
      <c r="AA340" s="2450"/>
      <c r="AB340" s="2450"/>
      <c r="AC340" s="2450"/>
      <c r="AD340" s="2450"/>
      <c r="AE340" s="2450"/>
      <c r="AF340" s="2450"/>
      <c r="AG340" s="2450"/>
      <c r="AH340" s="2450"/>
      <c r="AI340" s="2450"/>
      <c r="AJ340" s="2450"/>
      <c r="AK340" s="2450"/>
      <c r="AL340" s="2450"/>
      <c r="AM340" s="2450"/>
      <c r="AN340" s="2450"/>
      <c r="AO340" s="2447"/>
      <c r="AP340" s="2447"/>
      <c r="AQ340" s="2447"/>
      <c r="AR340" s="2447"/>
    </row>
    <row r="341" spans="1:44" s="313" customFormat="1" ht="15.75">
      <c r="A341" s="2447"/>
      <c r="B341" s="2455"/>
      <c r="C341" s="2456"/>
      <c r="D341" s="2456"/>
      <c r="E341" s="2456"/>
      <c r="F341" s="2456"/>
      <c r="G341" s="2457"/>
      <c r="H341" s="2457"/>
      <c r="I341" s="2457"/>
      <c r="J341" s="2457"/>
      <c r="K341" s="2457"/>
      <c r="L341" s="2457"/>
      <c r="M341" s="2457"/>
      <c r="N341" s="2457"/>
      <c r="O341" s="2457"/>
      <c r="P341" s="2457"/>
      <c r="Q341" s="2456"/>
      <c r="R341" s="2456"/>
      <c r="S341" s="2456"/>
      <c r="T341" s="2456"/>
      <c r="U341" s="2456"/>
      <c r="V341" s="2456"/>
      <c r="W341" s="2456"/>
      <c r="X341" s="2456"/>
      <c r="Y341" s="2456"/>
      <c r="Z341" s="2450"/>
      <c r="AA341" s="2450"/>
      <c r="AB341" s="2450"/>
      <c r="AC341" s="2450"/>
      <c r="AD341" s="2450"/>
      <c r="AE341" s="2450"/>
      <c r="AF341" s="2450"/>
      <c r="AG341" s="2450"/>
      <c r="AH341" s="2450"/>
      <c r="AI341" s="2450"/>
      <c r="AJ341" s="2450"/>
      <c r="AK341" s="2450"/>
      <c r="AL341" s="2450"/>
      <c r="AM341" s="2450"/>
      <c r="AN341" s="2450"/>
      <c r="AO341" s="2447"/>
      <c r="AP341" s="2447"/>
      <c r="AQ341" s="2447"/>
      <c r="AR341" s="2447"/>
    </row>
    <row r="342" spans="1:44" s="313" customFormat="1" ht="15.75">
      <c r="A342" s="2447"/>
      <c r="B342" s="2449" t="s">
        <v>876</v>
      </c>
      <c r="C342" s="2417" t="s">
        <v>967</v>
      </c>
      <c r="D342" s="2417"/>
      <c r="E342" s="2417"/>
      <c r="F342" s="2417"/>
      <c r="G342" s="2417"/>
      <c r="H342" s="2417"/>
      <c r="I342" s="2417"/>
      <c r="J342" s="2417"/>
      <c r="K342" s="2417"/>
      <c r="L342" s="2417"/>
      <c r="M342" s="2417"/>
      <c r="N342" s="2417"/>
      <c r="O342" s="2417"/>
      <c r="P342" s="2417"/>
      <c r="Q342" s="2417"/>
      <c r="R342" s="2417"/>
      <c r="S342" s="2417"/>
      <c r="T342" s="2417"/>
      <c r="U342" s="2417"/>
      <c r="V342" s="2417"/>
      <c r="W342" s="2417"/>
      <c r="X342" s="2417"/>
      <c r="Y342" s="2417"/>
      <c r="Z342" s="2450"/>
      <c r="AA342" s="2450"/>
      <c r="AB342" s="2450"/>
      <c r="AC342" s="2450"/>
      <c r="AD342" s="2450"/>
      <c r="AE342" s="2450"/>
      <c r="AF342" s="2450"/>
      <c r="AG342" s="2450"/>
      <c r="AH342" s="2450"/>
      <c r="AI342" s="2450"/>
      <c r="AJ342" s="2450"/>
      <c r="AK342" s="2450"/>
      <c r="AL342" s="2450"/>
      <c r="AM342" s="2450"/>
      <c r="AN342" s="2450"/>
      <c r="AO342" s="2447"/>
      <c r="AP342" s="2447"/>
      <c r="AQ342" s="2447"/>
      <c r="AR342" s="2447"/>
    </row>
    <row r="343" spans="1:44" s="313" customFormat="1" ht="15.75">
      <c r="A343" s="2447"/>
      <c r="B343" s="2451" t="s">
        <v>1157</v>
      </c>
      <c r="C343" s="2417"/>
      <c r="D343" s="2417"/>
      <c r="E343" s="2417"/>
      <c r="F343" s="2417"/>
      <c r="G343" s="2417">
        <f>SA!C6</f>
        <v>6348</v>
      </c>
      <c r="H343" s="2417">
        <f>SA!D6</f>
        <v>6348</v>
      </c>
      <c r="I343" s="2417">
        <f>SA!E6</f>
        <v>6348</v>
      </c>
      <c r="J343" s="2417">
        <f>SA!F6</f>
        <v>6506.4639999999999</v>
      </c>
      <c r="K343" s="2417">
        <f>SA!G6</f>
        <v>6669</v>
      </c>
      <c r="L343" s="2417">
        <f>SA!H6</f>
        <v>6669</v>
      </c>
      <c r="M343" s="2417">
        <f>SA!I6</f>
        <v>6405.5944055944046</v>
      </c>
      <c r="N343" s="2417">
        <f>SA!J6</f>
        <v>6328.9036544850496</v>
      </c>
      <c r="O343" s="2417">
        <f>SA!K6</f>
        <v>6407.6543531689877</v>
      </c>
      <c r="P343" s="2417">
        <f>SA!L6</f>
        <v>6538.0287499592969</v>
      </c>
      <c r="Q343" s="2417">
        <f>SA!M6</f>
        <v>6823.5501467866779</v>
      </c>
      <c r="R343" s="2417">
        <f>SA!N6</f>
        <v>6993.2430032044231</v>
      </c>
      <c r="S343" s="2417">
        <f>SA!O6</f>
        <v>6914.5535904538683</v>
      </c>
      <c r="T343" s="2417">
        <f>SA!P6</f>
        <v>7169.9271269812343</v>
      </c>
      <c r="U343" s="2417">
        <f>SA!Q6</f>
        <v>7257.7587342867555</v>
      </c>
      <c r="V343" s="2417">
        <f>SA!R6</f>
        <v>7346.6662787817686</v>
      </c>
      <c r="W343" s="2417">
        <f>SA!S6</f>
        <v>7436.6629406968459</v>
      </c>
      <c r="X343" s="2417"/>
      <c r="Y343" s="2417"/>
      <c r="Z343" s="2450"/>
      <c r="AA343" s="2450"/>
      <c r="AB343" s="2450"/>
      <c r="AC343" s="2450"/>
      <c r="AD343" s="2450"/>
      <c r="AE343" s="2450"/>
      <c r="AF343" s="2450"/>
      <c r="AG343" s="2450"/>
      <c r="AH343" s="2450"/>
      <c r="AI343" s="2450"/>
      <c r="AJ343" s="2450"/>
      <c r="AK343" s="2450"/>
      <c r="AL343" s="2450"/>
      <c r="AM343" s="2450"/>
      <c r="AN343" s="2450"/>
      <c r="AO343" s="2447"/>
      <c r="AP343" s="2447"/>
      <c r="AQ343" s="2447"/>
      <c r="AR343" s="2447"/>
    </row>
    <row r="344" spans="1:44" s="313" customFormat="1" ht="15.75">
      <c r="A344" s="2447"/>
      <c r="B344" s="2451" t="s">
        <v>1158</v>
      </c>
      <c r="C344" s="2417"/>
      <c r="D344" s="2417"/>
      <c r="E344" s="2417"/>
      <c r="F344" s="2417"/>
      <c r="G344" s="2417">
        <f>SA!C42</f>
        <v>550.10900000000004</v>
      </c>
      <c r="H344" s="2417">
        <f>SA!D42</f>
        <v>605.05700000000002</v>
      </c>
      <c r="I344" s="2417">
        <f>SA!E42</f>
        <v>523.30899999999997</v>
      </c>
      <c r="J344" s="2417">
        <f>SA!F42</f>
        <v>692.32100000000003</v>
      </c>
      <c r="K344" s="2417">
        <f>SA!G42</f>
        <v>1273.3150000000001</v>
      </c>
      <c r="L344" s="2417">
        <f>SA!H42</f>
        <v>2067</v>
      </c>
      <c r="M344" s="2417">
        <f>SA!I42</f>
        <v>2748</v>
      </c>
      <c r="N344" s="2417">
        <f>SA!J42</f>
        <v>3048</v>
      </c>
      <c r="O344" s="2417">
        <f>SA!K42</f>
        <v>3441.4229999999998</v>
      </c>
      <c r="P344" s="2417">
        <f>SA!L42</f>
        <v>3614</v>
      </c>
      <c r="Q344" s="2417">
        <f>SA!M42</f>
        <v>3949</v>
      </c>
      <c r="R344" s="2417">
        <f>SA!N42</f>
        <v>3937</v>
      </c>
      <c r="S344" s="2417">
        <f>SA!O42</f>
        <v>3894</v>
      </c>
      <c r="T344" s="2417">
        <f>SA!P42</f>
        <v>3935.5729999999999</v>
      </c>
      <c r="U344" s="2417">
        <f>SA!Q42</f>
        <v>3775.9215591000275</v>
      </c>
      <c r="V344" s="2417">
        <f>SA!R42</f>
        <v>3678.8431390999699</v>
      </c>
      <c r="W344" s="2417">
        <f>SA!S42</f>
        <v>3727.6272990242928</v>
      </c>
      <c r="X344" s="2417"/>
      <c r="Y344" s="2417"/>
      <c r="Z344" s="2450"/>
      <c r="AA344" s="2450"/>
      <c r="AB344" s="2450"/>
      <c r="AC344" s="2450"/>
      <c r="AD344" s="2450"/>
      <c r="AE344" s="2450"/>
      <c r="AF344" s="2450"/>
      <c r="AG344" s="2450"/>
      <c r="AH344" s="2450"/>
      <c r="AI344" s="2450"/>
      <c r="AJ344" s="2450"/>
      <c r="AK344" s="2450"/>
      <c r="AL344" s="2450"/>
      <c r="AM344" s="2450"/>
      <c r="AN344" s="2450"/>
      <c r="AO344" s="2447"/>
      <c r="AP344" s="2447"/>
      <c r="AQ344" s="2447"/>
      <c r="AR344" s="2447"/>
    </row>
    <row r="345" spans="1:44" s="313" customFormat="1" ht="15.75">
      <c r="A345" s="2447"/>
      <c r="B345" s="2451" t="s">
        <v>1159</v>
      </c>
      <c r="C345" s="2417"/>
      <c r="D345" s="2452"/>
      <c r="E345" s="2452"/>
      <c r="F345" s="2452"/>
      <c r="G345" s="2452">
        <f>SA!C51</f>
        <v>0.55000000000000004</v>
      </c>
      <c r="H345" s="2452">
        <f>SA!D51</f>
        <v>0.53</v>
      </c>
      <c r="I345" s="2452">
        <f>SA!E51</f>
        <v>0.43</v>
      </c>
      <c r="J345" s="2452">
        <f>SA!F51</f>
        <v>0.43969052599267389</v>
      </c>
      <c r="K345" s="2452">
        <f>SA!G51</f>
        <v>0.40623494542867444</v>
      </c>
      <c r="L345" s="2452">
        <f>SA!H51</f>
        <v>0.5</v>
      </c>
      <c r="M345" s="2452">
        <f>SA!I51</f>
        <v>0.55000000000000004</v>
      </c>
      <c r="N345" s="2452">
        <f>SA!J51</f>
        <v>0.56000000000000005</v>
      </c>
      <c r="O345" s="2452">
        <f>SA!K51</f>
        <v>0.57999999999999996</v>
      </c>
      <c r="P345" s="2452">
        <f>SA!L51</f>
        <v>0.57699999999999996</v>
      </c>
      <c r="Q345" s="2452">
        <f>SA!M51</f>
        <v>0.57699999999999996</v>
      </c>
      <c r="R345" s="2452">
        <f>SA!N51</f>
        <v>0.57799999999999996</v>
      </c>
      <c r="S345" s="2452">
        <f>SA!O51</f>
        <v>0.56999999999999995</v>
      </c>
      <c r="T345" s="2452">
        <f>SA!P51</f>
        <v>0.55000000000000004</v>
      </c>
      <c r="U345" s="2452">
        <f>SA!Q51</f>
        <v>0.52</v>
      </c>
      <c r="V345" s="2452">
        <f>SA!R51</f>
        <v>0.5</v>
      </c>
      <c r="W345" s="2452">
        <f>SA!S51</f>
        <v>0.5</v>
      </c>
      <c r="X345" s="2452"/>
      <c r="Y345" s="2452"/>
      <c r="Z345" s="2450"/>
      <c r="AA345" s="2450"/>
      <c r="AB345" s="2450"/>
      <c r="AC345" s="2450"/>
      <c r="AD345" s="2450"/>
      <c r="AE345" s="2450"/>
      <c r="AF345" s="2450"/>
      <c r="AG345" s="2450"/>
      <c r="AH345" s="2450"/>
      <c r="AI345" s="2450"/>
      <c r="AJ345" s="2450"/>
      <c r="AK345" s="2450"/>
      <c r="AL345" s="2450"/>
      <c r="AM345" s="2450"/>
      <c r="AN345" s="2450"/>
      <c r="AO345" s="2447"/>
      <c r="AP345" s="2447"/>
      <c r="AQ345" s="2447"/>
      <c r="AR345" s="2447"/>
    </row>
    <row r="346" spans="1:44" s="313" customFormat="1" ht="15.75">
      <c r="A346" s="2447"/>
      <c r="B346" s="2451" t="s">
        <v>1160</v>
      </c>
      <c r="C346" s="2417"/>
      <c r="D346" s="2417"/>
      <c r="E346" s="2417"/>
      <c r="F346" s="2417"/>
      <c r="G346" s="2417"/>
      <c r="H346" s="2417"/>
      <c r="I346" s="2417"/>
      <c r="J346" s="2417"/>
      <c r="K346" s="2417"/>
      <c r="L346" s="2417"/>
      <c r="M346" s="2417"/>
      <c r="N346" s="2417"/>
      <c r="O346" s="2417"/>
      <c r="P346" s="2417"/>
      <c r="Q346" s="2417"/>
      <c r="R346" s="2417"/>
      <c r="S346" s="2417"/>
      <c r="T346" s="2417"/>
      <c r="U346" s="2417"/>
      <c r="V346" s="2417"/>
      <c r="W346" s="2417"/>
      <c r="X346" s="2417"/>
      <c r="Y346" s="2417"/>
      <c r="Z346" s="2450"/>
      <c r="AA346" s="2450"/>
      <c r="AB346" s="2450"/>
      <c r="AC346" s="2450"/>
      <c r="AD346" s="2450"/>
      <c r="AE346" s="2450"/>
      <c r="AF346" s="2450"/>
      <c r="AG346" s="2450"/>
      <c r="AH346" s="2450"/>
      <c r="AI346" s="2450"/>
      <c r="AJ346" s="2450"/>
      <c r="AK346" s="2450"/>
      <c r="AL346" s="2450"/>
      <c r="AM346" s="2450"/>
      <c r="AN346" s="2450"/>
      <c r="AO346" s="2447"/>
      <c r="AP346" s="2447"/>
      <c r="AQ346" s="2447"/>
      <c r="AR346" s="2447"/>
    </row>
    <row r="347" spans="1:44" s="313" customFormat="1" ht="15.75">
      <c r="A347" s="2447"/>
      <c r="B347" s="2451" t="s">
        <v>523</v>
      </c>
      <c r="C347" s="2417"/>
      <c r="D347" s="2417"/>
      <c r="E347" s="2417"/>
      <c r="F347" s="2417"/>
      <c r="G347" s="2417"/>
      <c r="H347" s="2417"/>
      <c r="I347" s="2417"/>
      <c r="J347" s="2417"/>
      <c r="K347" s="2417"/>
      <c r="L347" s="2417"/>
      <c r="M347" s="2417"/>
      <c r="N347" s="2417"/>
      <c r="O347" s="2417"/>
      <c r="P347" s="2417"/>
      <c r="Q347" s="2417"/>
      <c r="R347" s="2417"/>
      <c r="S347" s="2417"/>
      <c r="T347" s="2417"/>
      <c r="U347" s="2417"/>
      <c r="V347" s="2417"/>
      <c r="W347" s="2417"/>
      <c r="X347" s="2417"/>
      <c r="Y347" s="2417"/>
      <c r="Z347" s="2450"/>
      <c r="AA347" s="2450"/>
      <c r="AB347" s="2450"/>
      <c r="AC347" s="2450"/>
      <c r="AD347" s="2450"/>
      <c r="AE347" s="2450"/>
      <c r="AF347" s="2450"/>
      <c r="AG347" s="2450"/>
      <c r="AH347" s="2450"/>
      <c r="AI347" s="2450"/>
      <c r="AJ347" s="2450"/>
      <c r="AK347" s="2450"/>
      <c r="AL347" s="2450"/>
      <c r="AM347" s="2450"/>
      <c r="AN347" s="2450"/>
      <c r="AO347" s="2447"/>
      <c r="AP347" s="2447"/>
      <c r="AQ347" s="2447"/>
      <c r="AR347" s="2447"/>
    </row>
    <row r="348" spans="1:44" s="313" customFormat="1" ht="15.75">
      <c r="A348" s="2447"/>
      <c r="B348" s="2451" t="s">
        <v>360</v>
      </c>
      <c r="C348" s="2417"/>
      <c r="D348" s="2417"/>
      <c r="E348" s="2417"/>
      <c r="F348" s="2417"/>
      <c r="G348" s="2417"/>
      <c r="H348" s="2417"/>
      <c r="I348" s="2417"/>
      <c r="J348" s="2417"/>
      <c r="K348" s="2417"/>
      <c r="L348" s="2417"/>
      <c r="M348" s="2417"/>
      <c r="N348" s="2417"/>
      <c r="O348" s="2417"/>
      <c r="P348" s="2417"/>
      <c r="Q348" s="2417"/>
      <c r="R348" s="2417"/>
      <c r="S348" s="2417"/>
      <c r="T348" s="2417"/>
      <c r="U348" s="2417"/>
      <c r="V348" s="2417"/>
      <c r="W348" s="2417"/>
      <c r="X348" s="2417"/>
      <c r="Y348" s="2417"/>
      <c r="Z348" s="2450"/>
      <c r="AA348" s="2450"/>
      <c r="AB348" s="2450"/>
      <c r="AC348" s="2450"/>
      <c r="AD348" s="2450"/>
      <c r="AE348" s="2450"/>
      <c r="AF348" s="2450"/>
      <c r="AG348" s="2450"/>
      <c r="AH348" s="2450"/>
      <c r="AI348" s="2450"/>
      <c r="AJ348" s="2450"/>
      <c r="AK348" s="2450"/>
      <c r="AL348" s="2450"/>
      <c r="AM348" s="2450"/>
      <c r="AN348" s="2450"/>
      <c r="AO348" s="2447"/>
      <c r="AP348" s="2447"/>
      <c r="AQ348" s="2447"/>
      <c r="AR348" s="2447"/>
    </row>
    <row r="349" spans="1:44" s="313" customFormat="1" ht="15.75">
      <c r="A349" s="2447"/>
      <c r="B349" s="2451" t="s">
        <v>1552</v>
      </c>
      <c r="C349" s="2417"/>
      <c r="D349" s="2417"/>
      <c r="E349" s="2417"/>
      <c r="F349" s="2417"/>
      <c r="G349" s="2417"/>
      <c r="H349" s="2417"/>
      <c r="I349" s="2417"/>
      <c r="J349" s="2417"/>
      <c r="K349" s="2417"/>
      <c r="L349" s="2417"/>
      <c r="M349" s="2417"/>
      <c r="N349" s="2417"/>
      <c r="O349" s="2417"/>
      <c r="P349" s="2417"/>
      <c r="Q349" s="2417"/>
      <c r="R349" s="2417"/>
      <c r="S349" s="2417"/>
      <c r="T349" s="2417"/>
      <c r="U349" s="2417"/>
      <c r="V349" s="2417"/>
      <c r="W349" s="2417"/>
      <c r="X349" s="2417"/>
      <c r="Y349" s="2417"/>
      <c r="Z349" s="2450"/>
      <c r="AA349" s="2450"/>
      <c r="AB349" s="2450"/>
      <c r="AC349" s="2450"/>
      <c r="AD349" s="2450"/>
      <c r="AE349" s="2450"/>
      <c r="AF349" s="2450"/>
      <c r="AG349" s="2450"/>
      <c r="AH349" s="2450"/>
      <c r="AI349" s="2450"/>
      <c r="AJ349" s="2450"/>
      <c r="AK349" s="2450"/>
      <c r="AL349" s="2450"/>
      <c r="AM349" s="2450"/>
      <c r="AN349" s="2450"/>
      <c r="AO349" s="2447"/>
      <c r="AP349" s="2447"/>
      <c r="AQ349" s="2447"/>
      <c r="AR349" s="2447"/>
    </row>
    <row r="350" spans="1:44" s="313" customFormat="1" ht="15.75">
      <c r="A350" s="2447"/>
      <c r="B350" s="2451" t="s">
        <v>1936</v>
      </c>
      <c r="C350" s="2417"/>
      <c r="D350" s="2417"/>
      <c r="E350" s="2417"/>
      <c r="F350" s="2417"/>
      <c r="G350" s="2417"/>
      <c r="H350" s="2417"/>
      <c r="I350" s="2417"/>
      <c r="J350" s="2417"/>
      <c r="K350" s="2417"/>
      <c r="L350" s="2417"/>
      <c r="M350" s="2417"/>
      <c r="N350" s="2417"/>
      <c r="O350" s="2417"/>
      <c r="P350" s="2417"/>
      <c r="Q350" s="2417"/>
      <c r="R350" s="2417"/>
      <c r="S350" s="2417"/>
      <c r="T350" s="2417"/>
      <c r="U350" s="2417"/>
      <c r="V350" s="2417"/>
      <c r="W350" s="2417"/>
      <c r="X350" s="2417"/>
      <c r="Y350" s="2417"/>
      <c r="Z350" s="2450"/>
      <c r="AA350" s="2450"/>
      <c r="AB350" s="2450"/>
      <c r="AC350" s="2450"/>
      <c r="AD350" s="2450"/>
      <c r="AE350" s="2450"/>
      <c r="AF350" s="2450"/>
      <c r="AG350" s="2450"/>
      <c r="AH350" s="2450"/>
      <c r="AI350" s="2450"/>
      <c r="AJ350" s="2450"/>
      <c r="AK350" s="2450"/>
      <c r="AL350" s="2450"/>
      <c r="AM350" s="2450"/>
      <c r="AN350" s="2450"/>
      <c r="AO350" s="2447"/>
      <c r="AP350" s="2447"/>
      <c r="AQ350" s="2447"/>
      <c r="AR350" s="2447"/>
    </row>
    <row r="351" spans="1:44" s="313" customFormat="1" ht="15.75">
      <c r="A351" s="2447"/>
      <c r="B351" s="2451" t="s">
        <v>1161</v>
      </c>
      <c r="C351" s="2417"/>
      <c r="D351" s="2417"/>
      <c r="E351" s="2417"/>
      <c r="F351" s="2417"/>
      <c r="G351" s="2417"/>
      <c r="H351" s="2417"/>
      <c r="I351" s="2417"/>
      <c r="J351" s="2417"/>
      <c r="K351" s="2417"/>
      <c r="L351" s="2417"/>
      <c r="M351" s="2417"/>
      <c r="N351" s="2417"/>
      <c r="O351" s="2417"/>
      <c r="P351" s="2417"/>
      <c r="Q351" s="2417"/>
      <c r="R351" s="2417"/>
      <c r="S351" s="2417"/>
      <c r="T351" s="2417"/>
      <c r="U351" s="2417"/>
      <c r="V351" s="2417"/>
      <c r="W351" s="2417"/>
      <c r="X351" s="2417"/>
      <c r="Y351" s="2417"/>
      <c r="Z351" s="2450"/>
      <c r="AA351" s="2450"/>
      <c r="AB351" s="2450"/>
      <c r="AC351" s="2450"/>
      <c r="AD351" s="2450"/>
      <c r="AE351" s="2450"/>
      <c r="AF351" s="2450"/>
      <c r="AG351" s="2450"/>
      <c r="AH351" s="2450"/>
      <c r="AI351" s="2450"/>
      <c r="AJ351" s="2450"/>
      <c r="AK351" s="2450"/>
      <c r="AL351" s="2450"/>
      <c r="AM351" s="2450"/>
      <c r="AN351" s="2450"/>
      <c r="AO351" s="2447"/>
      <c r="AP351" s="2447"/>
      <c r="AQ351" s="2447"/>
      <c r="AR351" s="2447"/>
    </row>
    <row r="352" spans="1:44" s="313" customFormat="1" ht="15.75">
      <c r="A352" s="2447"/>
      <c r="B352" s="2451" t="s">
        <v>1185</v>
      </c>
      <c r="C352" s="2417"/>
      <c r="D352" s="2417"/>
      <c r="E352" s="2417"/>
      <c r="F352" s="2417"/>
      <c r="G352" s="2417"/>
      <c r="H352" s="2417"/>
      <c r="I352" s="2417"/>
      <c r="J352" s="2417"/>
      <c r="K352" s="2417"/>
      <c r="L352" s="2417"/>
      <c r="M352" s="2417"/>
      <c r="N352" s="2417"/>
      <c r="O352" s="2417"/>
      <c r="P352" s="2417"/>
      <c r="Q352" s="2417"/>
      <c r="R352" s="2417"/>
      <c r="S352" s="2417"/>
      <c r="T352" s="2417"/>
      <c r="U352" s="2417"/>
      <c r="V352" s="2417"/>
      <c r="W352" s="2417"/>
      <c r="X352" s="2417"/>
      <c r="Y352" s="2417"/>
      <c r="Z352" s="2450"/>
      <c r="AA352" s="2450"/>
      <c r="AB352" s="2450"/>
      <c r="AC352" s="2450"/>
      <c r="AD352" s="2450"/>
      <c r="AE352" s="2450"/>
      <c r="AF352" s="2450"/>
      <c r="AG352" s="2450"/>
      <c r="AH352" s="2450"/>
      <c r="AI352" s="2450"/>
      <c r="AJ352" s="2450"/>
      <c r="AK352" s="2450"/>
      <c r="AL352" s="2450"/>
      <c r="AM352" s="2450"/>
      <c r="AN352" s="2450"/>
      <c r="AO352" s="2447"/>
      <c r="AP352" s="2447"/>
      <c r="AQ352" s="2447"/>
      <c r="AR352" s="2447"/>
    </row>
    <row r="353" spans="1:44" s="313" customFormat="1" ht="15.75">
      <c r="A353" s="2447"/>
      <c r="B353" s="2451" t="s">
        <v>1728</v>
      </c>
      <c r="C353" s="2417"/>
      <c r="D353" s="2417"/>
      <c r="E353" s="2417"/>
      <c r="F353" s="2417"/>
      <c r="G353" s="2417"/>
      <c r="H353" s="2417"/>
      <c r="I353" s="2417"/>
      <c r="J353" s="2417"/>
      <c r="K353" s="2417"/>
      <c r="L353" s="2417"/>
      <c r="M353" s="2417"/>
      <c r="N353" s="2417"/>
      <c r="O353" s="2417"/>
      <c r="P353" s="2417"/>
      <c r="Q353" s="2417"/>
      <c r="R353" s="2417"/>
      <c r="S353" s="2417"/>
      <c r="T353" s="2417"/>
      <c r="U353" s="2417"/>
      <c r="V353" s="2417"/>
      <c r="W353" s="2417"/>
      <c r="X353" s="2417"/>
      <c r="Y353" s="2417"/>
      <c r="Z353" s="2450"/>
      <c r="AA353" s="2450"/>
      <c r="AB353" s="2450"/>
      <c r="AC353" s="2450"/>
      <c r="AD353" s="2450"/>
      <c r="AE353" s="2450"/>
      <c r="AF353" s="2450"/>
      <c r="AG353" s="2450"/>
      <c r="AH353" s="2450"/>
      <c r="AI353" s="2450"/>
      <c r="AJ353" s="2450"/>
      <c r="AK353" s="2450"/>
      <c r="AL353" s="2450"/>
      <c r="AM353" s="2450"/>
      <c r="AN353" s="2450"/>
      <c r="AO353" s="2447"/>
      <c r="AP353" s="2447"/>
      <c r="AQ353" s="2447"/>
      <c r="AR353" s="2447"/>
    </row>
    <row r="354" spans="1:44" s="313" customFormat="1" ht="15.75">
      <c r="A354" s="2447"/>
      <c r="B354" s="2451" t="s">
        <v>1729</v>
      </c>
      <c r="C354" s="2417"/>
      <c r="D354" s="2417"/>
      <c r="E354" s="2417"/>
      <c r="F354" s="2417"/>
      <c r="G354" s="2417"/>
      <c r="H354" s="2417"/>
      <c r="I354" s="2417"/>
      <c r="J354" s="2417"/>
      <c r="K354" s="2417"/>
      <c r="L354" s="2417"/>
      <c r="M354" s="2417"/>
      <c r="N354" s="2417"/>
      <c r="O354" s="2417"/>
      <c r="P354" s="2417"/>
      <c r="Q354" s="2417"/>
      <c r="R354" s="2417"/>
      <c r="S354" s="2417"/>
      <c r="T354" s="2417"/>
      <c r="U354" s="2417"/>
      <c r="V354" s="2417"/>
      <c r="W354" s="2417"/>
      <c r="X354" s="2417"/>
      <c r="Y354" s="2417"/>
      <c r="Z354" s="2450"/>
      <c r="AA354" s="2450"/>
      <c r="AB354" s="2450"/>
      <c r="AC354" s="2450"/>
      <c r="AD354" s="2450"/>
      <c r="AE354" s="2450"/>
      <c r="AF354" s="2450"/>
      <c r="AG354" s="2450"/>
      <c r="AH354" s="2450"/>
      <c r="AI354" s="2450"/>
      <c r="AJ354" s="2450"/>
      <c r="AK354" s="2450"/>
      <c r="AL354" s="2450"/>
      <c r="AM354" s="2450"/>
      <c r="AN354" s="2450"/>
      <c r="AO354" s="2447"/>
      <c r="AP354" s="2447"/>
      <c r="AQ354" s="2447"/>
      <c r="AR354" s="2447"/>
    </row>
    <row r="355" spans="1:44" s="313" customFormat="1" ht="15.75">
      <c r="A355" s="2447"/>
      <c r="B355" s="2451" t="s">
        <v>1730</v>
      </c>
      <c r="C355" s="2417"/>
      <c r="D355" s="2417"/>
      <c r="E355" s="2417"/>
      <c r="F355" s="2417"/>
      <c r="G355" s="2417"/>
      <c r="H355" s="2417"/>
      <c r="I355" s="2417"/>
      <c r="J355" s="2417"/>
      <c r="K355" s="2417"/>
      <c r="L355" s="2417"/>
      <c r="M355" s="2417"/>
      <c r="N355" s="2417"/>
      <c r="O355" s="2417"/>
      <c r="P355" s="2417"/>
      <c r="Q355" s="2417"/>
      <c r="R355" s="2417"/>
      <c r="S355" s="2417"/>
      <c r="T355" s="2417"/>
      <c r="U355" s="2417"/>
      <c r="V355" s="2417"/>
      <c r="W355" s="2417"/>
      <c r="X355" s="2417"/>
      <c r="Y355" s="2417"/>
      <c r="Z355" s="2450"/>
      <c r="AA355" s="2450"/>
      <c r="AB355" s="2450"/>
      <c r="AC355" s="2450"/>
      <c r="AD355" s="2450"/>
      <c r="AE355" s="2450"/>
      <c r="AF355" s="2450"/>
      <c r="AG355" s="2450"/>
      <c r="AH355" s="2450"/>
      <c r="AI355" s="2450"/>
      <c r="AJ355" s="2450"/>
      <c r="AK355" s="2450"/>
      <c r="AL355" s="2450"/>
      <c r="AM355" s="2450"/>
      <c r="AN355" s="2450"/>
      <c r="AO355" s="2447"/>
      <c r="AP355" s="2447"/>
      <c r="AQ355" s="2447"/>
      <c r="AR355" s="2447"/>
    </row>
    <row r="356" spans="1:44" s="313" customFormat="1" ht="15.75">
      <c r="A356" s="2447"/>
      <c r="B356" s="2451" t="s">
        <v>1731</v>
      </c>
      <c r="C356" s="2417"/>
      <c r="D356" s="2417"/>
      <c r="E356" s="2417"/>
      <c r="F356" s="2417"/>
      <c r="G356" s="2417"/>
      <c r="H356" s="2417"/>
      <c r="I356" s="2417"/>
      <c r="J356" s="2417"/>
      <c r="K356" s="2417"/>
      <c r="L356" s="2417"/>
      <c r="M356" s="2417"/>
      <c r="N356" s="2417"/>
      <c r="O356" s="2417"/>
      <c r="P356" s="2417"/>
      <c r="Q356" s="2417"/>
      <c r="R356" s="2417"/>
      <c r="S356" s="2417"/>
      <c r="T356" s="2417"/>
      <c r="U356" s="2417"/>
      <c r="V356" s="2417"/>
      <c r="W356" s="2417"/>
      <c r="X356" s="2417"/>
      <c r="Y356" s="2417"/>
      <c r="Z356" s="2450"/>
      <c r="AA356" s="2450"/>
      <c r="AB356" s="2450"/>
      <c r="AC356" s="2450"/>
      <c r="AD356" s="2450"/>
      <c r="AE356" s="2450"/>
      <c r="AF356" s="2450"/>
      <c r="AG356" s="2450"/>
      <c r="AH356" s="2450"/>
      <c r="AI356" s="2450"/>
      <c r="AJ356" s="2450"/>
      <c r="AK356" s="2450"/>
      <c r="AL356" s="2450"/>
      <c r="AM356" s="2450"/>
      <c r="AN356" s="2450"/>
      <c r="AO356" s="2447"/>
      <c r="AP356" s="2447"/>
      <c r="AQ356" s="2447"/>
      <c r="AR356" s="2447"/>
    </row>
    <row r="357" spans="1:44" s="313" customFormat="1" ht="15.75">
      <c r="A357" s="2447"/>
      <c r="B357" s="2451" t="s">
        <v>1732</v>
      </c>
      <c r="C357" s="2417"/>
      <c r="D357" s="2417"/>
      <c r="E357" s="2417"/>
      <c r="F357" s="2417"/>
      <c r="G357" s="2417"/>
      <c r="H357" s="2417"/>
      <c r="I357" s="2417"/>
      <c r="J357" s="2417"/>
      <c r="K357" s="2417"/>
      <c r="L357" s="2417"/>
      <c r="M357" s="2417"/>
      <c r="N357" s="2417"/>
      <c r="O357" s="2417"/>
      <c r="P357" s="2417"/>
      <c r="Q357" s="2417"/>
      <c r="R357" s="2417"/>
      <c r="S357" s="2417"/>
      <c r="T357" s="2417"/>
      <c r="U357" s="2417"/>
      <c r="V357" s="2417"/>
      <c r="W357" s="2417"/>
      <c r="X357" s="2417"/>
      <c r="Y357" s="2417"/>
      <c r="Z357" s="2450"/>
      <c r="AA357" s="2450"/>
      <c r="AB357" s="2450"/>
      <c r="AC357" s="2450"/>
      <c r="AD357" s="2450"/>
      <c r="AE357" s="2450"/>
      <c r="AF357" s="2450"/>
      <c r="AG357" s="2450"/>
      <c r="AH357" s="2450"/>
      <c r="AI357" s="2450"/>
      <c r="AJ357" s="2450"/>
      <c r="AK357" s="2450"/>
      <c r="AL357" s="2450"/>
      <c r="AM357" s="2450"/>
      <c r="AN357" s="2450"/>
      <c r="AO357" s="2447"/>
      <c r="AP357" s="2447"/>
      <c r="AQ357" s="2447"/>
      <c r="AR357" s="2447"/>
    </row>
    <row r="358" spans="1:44" s="313" customFormat="1" ht="15.75">
      <c r="A358" s="2447"/>
      <c r="B358" s="2451" t="s">
        <v>1733</v>
      </c>
      <c r="C358" s="2417"/>
      <c r="D358" s="2417"/>
      <c r="E358" s="2417"/>
      <c r="F358" s="2417"/>
      <c r="G358" s="2417"/>
      <c r="H358" s="2417"/>
      <c r="I358" s="2417"/>
      <c r="J358" s="2417"/>
      <c r="K358" s="2417"/>
      <c r="L358" s="2417"/>
      <c r="M358" s="2417"/>
      <c r="N358" s="2417"/>
      <c r="O358" s="2417"/>
      <c r="P358" s="2417"/>
      <c r="Q358" s="2417"/>
      <c r="R358" s="2417"/>
      <c r="S358" s="2417"/>
      <c r="T358" s="2417"/>
      <c r="U358" s="2417"/>
      <c r="V358" s="2417"/>
      <c r="W358" s="2417"/>
      <c r="X358" s="2417"/>
      <c r="Y358" s="2417"/>
      <c r="Z358" s="2450"/>
      <c r="AA358" s="2450"/>
      <c r="AB358" s="2450"/>
      <c r="AC358" s="2450"/>
      <c r="AD358" s="2450"/>
      <c r="AE358" s="2450"/>
      <c r="AF358" s="2450"/>
      <c r="AG358" s="2450"/>
      <c r="AH358" s="2450"/>
      <c r="AI358" s="2450"/>
      <c r="AJ358" s="2450"/>
      <c r="AK358" s="2450"/>
      <c r="AL358" s="2450"/>
      <c r="AM358" s="2450"/>
      <c r="AN358" s="2450"/>
      <c r="AO358" s="2447"/>
      <c r="AP358" s="2447"/>
      <c r="AQ358" s="2447"/>
      <c r="AR358" s="2447"/>
    </row>
    <row r="359" spans="1:44" s="313" customFormat="1" ht="15.75">
      <c r="A359" s="2447"/>
      <c r="B359" s="2451" t="s">
        <v>1734</v>
      </c>
      <c r="C359" s="2417"/>
      <c r="D359" s="2417"/>
      <c r="E359" s="2417"/>
      <c r="F359" s="2417"/>
      <c r="G359" s="2417"/>
      <c r="H359" s="2417"/>
      <c r="I359" s="2417"/>
      <c r="J359" s="2417"/>
      <c r="K359" s="2417"/>
      <c r="L359" s="2417"/>
      <c r="M359" s="2417"/>
      <c r="N359" s="2417"/>
      <c r="O359" s="2417"/>
      <c r="P359" s="2417"/>
      <c r="Q359" s="2417"/>
      <c r="R359" s="2417"/>
      <c r="S359" s="2417"/>
      <c r="T359" s="2417"/>
      <c r="U359" s="2417"/>
      <c r="V359" s="2417"/>
      <c r="W359" s="2417"/>
      <c r="X359" s="2417"/>
      <c r="Y359" s="2417"/>
      <c r="Z359" s="2450"/>
      <c r="AA359" s="2450"/>
      <c r="AB359" s="2450"/>
      <c r="AC359" s="2450"/>
      <c r="AD359" s="2450"/>
      <c r="AE359" s="2450"/>
      <c r="AF359" s="2450"/>
      <c r="AG359" s="2450"/>
      <c r="AH359" s="2450"/>
      <c r="AI359" s="2450"/>
      <c r="AJ359" s="2450"/>
      <c r="AK359" s="2450"/>
      <c r="AL359" s="2450"/>
      <c r="AM359" s="2450"/>
      <c r="AN359" s="2450"/>
      <c r="AO359" s="2447"/>
      <c r="AP359" s="2447"/>
      <c r="AQ359" s="2447"/>
      <c r="AR359" s="2447"/>
    </row>
    <row r="360" spans="1:44" s="313" customFormat="1" ht="15.75">
      <c r="A360" s="2447"/>
      <c r="B360" s="2451" t="s">
        <v>1735</v>
      </c>
      <c r="C360" s="2417"/>
      <c r="D360" s="2417"/>
      <c r="E360" s="2417"/>
      <c r="F360" s="2417"/>
      <c r="G360" s="2417"/>
      <c r="H360" s="2417"/>
      <c r="I360" s="2417"/>
      <c r="J360" s="2417"/>
      <c r="K360" s="2417"/>
      <c r="L360" s="2417"/>
      <c r="M360" s="2417"/>
      <c r="N360" s="2417"/>
      <c r="O360" s="2417"/>
      <c r="P360" s="2417"/>
      <c r="Q360" s="2417"/>
      <c r="R360" s="2417"/>
      <c r="S360" s="2417"/>
      <c r="T360" s="2417"/>
      <c r="U360" s="2417"/>
      <c r="V360" s="2417"/>
      <c r="W360" s="2417"/>
      <c r="X360" s="2417"/>
      <c r="Y360" s="2417"/>
      <c r="Z360" s="2450"/>
      <c r="AA360" s="2450"/>
      <c r="AB360" s="2450"/>
      <c r="AC360" s="2450"/>
      <c r="AD360" s="2450"/>
      <c r="AE360" s="2450"/>
      <c r="AF360" s="2450"/>
      <c r="AG360" s="2450"/>
      <c r="AH360" s="2450"/>
      <c r="AI360" s="2450"/>
      <c r="AJ360" s="2450"/>
      <c r="AK360" s="2450"/>
      <c r="AL360" s="2450"/>
      <c r="AM360" s="2450"/>
      <c r="AN360" s="2450"/>
      <c r="AO360" s="2447"/>
      <c r="AP360" s="2447"/>
      <c r="AQ360" s="2447"/>
      <c r="AR360" s="2447"/>
    </row>
    <row r="361" spans="1:44" s="313" customFormat="1" ht="15.75">
      <c r="A361" s="2447"/>
      <c r="B361" s="2447" t="s">
        <v>968</v>
      </c>
      <c r="C361" s="2453"/>
      <c r="D361" s="2454"/>
      <c r="E361" s="2454"/>
      <c r="F361" s="2458"/>
      <c r="G361" s="2458"/>
      <c r="H361" s="2458">
        <f>SA!D72</f>
        <v>6456</v>
      </c>
      <c r="I361" s="2458">
        <f>SA!E72</f>
        <v>5982</v>
      </c>
      <c r="J361" s="2458">
        <f>SA!F72</f>
        <v>6175</v>
      </c>
      <c r="K361" s="2458">
        <f>SA!G72</f>
        <v>5632</v>
      </c>
      <c r="L361" s="2458">
        <f>SA!H72</f>
        <v>5028</v>
      </c>
      <c r="M361" s="2458">
        <f>SA!I72</f>
        <v>4343</v>
      </c>
      <c r="N361" s="2458">
        <f>SA!J72</f>
        <v>4974</v>
      </c>
      <c r="O361" s="2458">
        <f>SA!K72</f>
        <v>4756.2901460518651</v>
      </c>
      <c r="P361" s="2458">
        <f>SA!L72</f>
        <v>4196</v>
      </c>
      <c r="Q361" s="2458">
        <f>SA!M72</f>
        <v>4418</v>
      </c>
      <c r="R361" s="2458">
        <f>SA!N72</f>
        <v>4306</v>
      </c>
      <c r="S361" s="2458">
        <f>SA!O72</f>
        <v>4484</v>
      </c>
      <c r="T361" s="2458">
        <f>SA!P72</f>
        <v>5211.4697295673077</v>
      </c>
      <c r="U361" s="2458">
        <f>SA!Q72</f>
        <v>5628</v>
      </c>
      <c r="V361" s="2458">
        <f>SA!R72</f>
        <v>5586</v>
      </c>
      <c r="W361" s="2458">
        <f>SA!S72</f>
        <v>5550</v>
      </c>
      <c r="X361" s="2458"/>
      <c r="Y361" s="2458"/>
      <c r="Z361" s="2450"/>
      <c r="AA361" s="2450"/>
      <c r="AB361" s="2450"/>
      <c r="AC361" s="2450"/>
      <c r="AD361" s="2450"/>
      <c r="AE361" s="2450"/>
      <c r="AF361" s="2450"/>
      <c r="AG361" s="2450"/>
      <c r="AH361" s="2450"/>
      <c r="AI361" s="2450"/>
      <c r="AJ361" s="2450"/>
      <c r="AK361" s="2450"/>
      <c r="AL361" s="2450"/>
      <c r="AM361" s="2450"/>
      <c r="AN361" s="2450"/>
      <c r="AO361" s="2447"/>
      <c r="AP361" s="2447"/>
      <c r="AQ361" s="2447"/>
      <c r="AR361" s="2447"/>
    </row>
    <row r="362" spans="1:44" s="313" customFormat="1" ht="15.75">
      <c r="A362" s="2447"/>
      <c r="B362" s="2447" t="s">
        <v>965</v>
      </c>
      <c r="C362" s="2453"/>
      <c r="D362" s="2417"/>
      <c r="E362" s="2417"/>
      <c r="F362" s="2417"/>
      <c r="G362" s="2417"/>
      <c r="H362" s="2417"/>
      <c r="I362" s="2417"/>
      <c r="J362" s="2417"/>
      <c r="K362" s="2417"/>
      <c r="L362" s="2417"/>
      <c r="M362" s="2417"/>
      <c r="N362" s="2417"/>
      <c r="O362" s="2417"/>
      <c r="P362" s="2417"/>
      <c r="Q362" s="2417"/>
      <c r="R362" s="2417"/>
      <c r="S362" s="2417"/>
      <c r="T362" s="2417"/>
      <c r="U362" s="2417"/>
      <c r="V362" s="2417"/>
      <c r="W362" s="2417"/>
      <c r="X362" s="2417"/>
      <c r="Y362" s="2417"/>
      <c r="Z362" s="2450"/>
      <c r="AA362" s="2450"/>
      <c r="AB362" s="2450"/>
      <c r="AC362" s="2450"/>
      <c r="AD362" s="2450"/>
      <c r="AE362" s="2450"/>
      <c r="AF362" s="2450"/>
      <c r="AG362" s="2450"/>
      <c r="AH362" s="2450"/>
      <c r="AI362" s="2450"/>
      <c r="AJ362" s="2450"/>
      <c r="AK362" s="2450"/>
      <c r="AL362" s="2450"/>
      <c r="AM362" s="2450"/>
      <c r="AN362" s="2450"/>
      <c r="AO362" s="2447"/>
      <c r="AP362" s="2447"/>
      <c r="AQ362" s="2447"/>
      <c r="AR362" s="2447"/>
    </row>
    <row r="363" spans="1:44" s="313" customFormat="1" ht="15.75">
      <c r="A363" s="2447"/>
      <c r="B363" s="2451"/>
      <c r="C363" s="2417"/>
      <c r="D363" s="2417"/>
      <c r="E363" s="2417"/>
      <c r="F363" s="2417"/>
      <c r="G363" s="2417"/>
      <c r="H363" s="2417"/>
      <c r="I363" s="2417"/>
      <c r="J363" s="2417"/>
      <c r="K363" s="2417"/>
      <c r="L363" s="2417"/>
      <c r="M363" s="2417"/>
      <c r="N363" s="2417"/>
      <c r="O363" s="2417"/>
      <c r="P363" s="2417"/>
      <c r="Q363" s="2417"/>
      <c r="R363" s="2417"/>
      <c r="S363" s="2417"/>
      <c r="T363" s="2417"/>
      <c r="U363" s="2417"/>
      <c r="V363" s="2417"/>
      <c r="W363" s="2417"/>
      <c r="X363" s="2417"/>
      <c r="Y363" s="2417"/>
      <c r="Z363" s="2450"/>
      <c r="AA363" s="2450"/>
      <c r="AB363" s="2450"/>
      <c r="AC363" s="2450"/>
      <c r="AD363" s="2450"/>
      <c r="AE363" s="2450"/>
      <c r="AF363" s="2450"/>
      <c r="AG363" s="2450"/>
      <c r="AH363" s="2450"/>
      <c r="AI363" s="2450"/>
      <c r="AJ363" s="2450"/>
      <c r="AK363" s="2450"/>
      <c r="AL363" s="2450"/>
      <c r="AM363" s="2450"/>
      <c r="AN363" s="2450"/>
      <c r="AO363" s="2447"/>
      <c r="AP363" s="2447"/>
      <c r="AQ363" s="2447"/>
      <c r="AR363" s="2447"/>
    </row>
    <row r="364" spans="1:44" s="313" customFormat="1" ht="15.75">
      <c r="A364" s="2447"/>
      <c r="B364" s="2455"/>
      <c r="C364" s="2456"/>
      <c r="D364" s="2456"/>
      <c r="E364" s="2456"/>
      <c r="F364" s="2456"/>
      <c r="G364" s="2457"/>
      <c r="H364" s="2457"/>
      <c r="I364" s="2457"/>
      <c r="J364" s="2457"/>
      <c r="K364" s="2457"/>
      <c r="L364" s="2457"/>
      <c r="M364" s="2457"/>
      <c r="N364" s="2457"/>
      <c r="O364" s="2457"/>
      <c r="P364" s="2457"/>
      <c r="Q364" s="2456"/>
      <c r="R364" s="2456"/>
      <c r="S364" s="2456"/>
      <c r="T364" s="2456"/>
      <c r="U364" s="2456"/>
      <c r="V364" s="2456"/>
      <c r="W364" s="2456"/>
      <c r="X364" s="2456"/>
      <c r="Y364" s="2456"/>
      <c r="Z364" s="2450"/>
      <c r="AA364" s="2450"/>
      <c r="AB364" s="2450"/>
      <c r="AC364" s="2450"/>
      <c r="AD364" s="2450"/>
      <c r="AE364" s="2450"/>
      <c r="AF364" s="2450"/>
      <c r="AG364" s="2450"/>
      <c r="AH364" s="2450"/>
      <c r="AI364" s="2450"/>
      <c r="AJ364" s="2450"/>
      <c r="AK364" s="2450"/>
      <c r="AL364" s="2450"/>
      <c r="AM364" s="2450"/>
      <c r="AN364" s="2450"/>
      <c r="AO364" s="2447"/>
      <c r="AP364" s="2447"/>
      <c r="AQ364" s="2447"/>
      <c r="AR364" s="2447"/>
    </row>
    <row r="365" spans="1:44" s="313" customFormat="1" ht="15.75">
      <c r="A365" s="2447"/>
      <c r="B365" s="2449" t="s">
        <v>877</v>
      </c>
      <c r="C365" s="2417" t="s">
        <v>967</v>
      </c>
      <c r="D365" s="2417"/>
      <c r="E365" s="2417"/>
      <c r="F365" s="2417"/>
      <c r="G365" s="2417"/>
      <c r="H365" s="2417"/>
      <c r="I365" s="2417"/>
      <c r="J365" s="2417"/>
      <c r="K365" s="2417"/>
      <c r="L365" s="2417"/>
      <c r="M365" s="2417"/>
      <c r="N365" s="2417"/>
      <c r="O365" s="2417"/>
      <c r="P365" s="2417"/>
      <c r="Q365" s="2417"/>
      <c r="R365" s="2417"/>
      <c r="S365" s="2417"/>
      <c r="T365" s="2417"/>
      <c r="U365" s="2417"/>
      <c r="V365" s="2417"/>
      <c r="W365" s="2417"/>
      <c r="X365" s="2417"/>
      <c r="Y365" s="2417"/>
      <c r="Z365" s="2450"/>
      <c r="AA365" s="2450"/>
      <c r="AB365" s="2450"/>
      <c r="AC365" s="2450"/>
      <c r="AD365" s="2450"/>
      <c r="AE365" s="2450"/>
      <c r="AF365" s="2450"/>
      <c r="AG365" s="2450"/>
      <c r="AH365" s="2450"/>
      <c r="AI365" s="2450"/>
      <c r="AJ365" s="2450"/>
      <c r="AK365" s="2450"/>
      <c r="AL365" s="2450"/>
      <c r="AM365" s="2450"/>
      <c r="AN365" s="2450"/>
      <c r="AO365" s="2447"/>
      <c r="AP365" s="2447"/>
      <c r="AQ365" s="2447"/>
      <c r="AR365" s="2447"/>
    </row>
    <row r="366" spans="1:44" s="313" customFormat="1" ht="15.75">
      <c r="A366" s="2447"/>
      <c r="B366" s="2451" t="s">
        <v>1157</v>
      </c>
      <c r="C366" s="2417"/>
      <c r="D366" s="2417"/>
      <c r="E366" s="2417"/>
      <c r="F366" s="2417"/>
      <c r="G366" s="2417">
        <f>Africa!C5</f>
        <v>22000</v>
      </c>
      <c r="H366" s="2417">
        <f>Africa!D5</f>
        <v>22000</v>
      </c>
      <c r="I366" s="2417">
        <f>Africa!E5</f>
        <v>22000</v>
      </c>
      <c r="J366" s="2417">
        <f>Africa!F5</f>
        <v>22409</v>
      </c>
      <c r="K366" s="2417">
        <f>Africa!G5</f>
        <v>22931</v>
      </c>
      <c r="L366" s="2417">
        <f>Africa!H5</f>
        <v>22931</v>
      </c>
      <c r="M366" s="2417">
        <f>Africa!I5</f>
        <v>23449.675324675321</v>
      </c>
      <c r="N366" s="2417">
        <f>Africa!J5</f>
        <v>24266.666666666668</v>
      </c>
      <c r="O366" s="2417">
        <f>Africa!K5</f>
        <v>24413.044682678195</v>
      </c>
      <c r="P366" s="2417">
        <f>Africa!L5</f>
        <v>24916.011449432852</v>
      </c>
      <c r="Q366" s="2417">
        <f>Africa!M5</f>
        <v>25562.042382995198</v>
      </c>
      <c r="R366" s="2417">
        <f>Africa!N5</f>
        <v>25867.410161090458</v>
      </c>
      <c r="S366" s="2417">
        <f>Africa!O5</f>
        <v>25847.171594437696</v>
      </c>
      <c r="T366" s="2417">
        <f>Africa!P5</f>
        <v>26609.241891363814</v>
      </c>
      <c r="U366" s="2417">
        <f>Africa!Q5</f>
        <v>26884.647544939431</v>
      </c>
      <c r="V366" s="2417">
        <f>Africa!R5</f>
        <v>27162.903647029558</v>
      </c>
      <c r="W366" s="2417">
        <f>Africa!S5</f>
        <v>27444.039699776316</v>
      </c>
      <c r="X366" s="2417"/>
      <c r="Y366" s="2417"/>
      <c r="Z366" s="2450"/>
      <c r="AA366" s="2450"/>
      <c r="AB366" s="2450"/>
      <c r="AC366" s="2450"/>
      <c r="AD366" s="2450"/>
      <c r="AE366" s="2450"/>
      <c r="AF366" s="2450"/>
      <c r="AG366" s="2450"/>
      <c r="AH366" s="2450"/>
      <c r="AI366" s="2450"/>
      <c r="AJ366" s="2450"/>
      <c r="AK366" s="2450"/>
      <c r="AL366" s="2450"/>
      <c r="AM366" s="2450"/>
      <c r="AN366" s="2450"/>
      <c r="AO366" s="2447"/>
      <c r="AP366" s="2447"/>
      <c r="AQ366" s="2447"/>
      <c r="AR366" s="2447"/>
    </row>
    <row r="367" spans="1:44" s="313" customFormat="1" ht="15.75">
      <c r="A367" s="2447"/>
      <c r="B367" s="2451" t="s">
        <v>1158</v>
      </c>
      <c r="C367" s="2417"/>
      <c r="D367" s="2417"/>
      <c r="E367" s="2417"/>
      <c r="F367" s="2417"/>
      <c r="G367" s="2417">
        <f>Africa!C48</f>
        <v>52.06</v>
      </c>
      <c r="H367" s="2417">
        <f>Africa!D48</f>
        <v>117.816</v>
      </c>
      <c r="I367" s="2417">
        <f>Africa!E48</f>
        <v>277.04500000000002</v>
      </c>
      <c r="J367" s="2417">
        <f>Africa!F48</f>
        <v>448.83800000000002</v>
      </c>
      <c r="K367" s="2417">
        <f>Africa!G48</f>
        <v>1211.904</v>
      </c>
      <c r="L367" s="2417">
        <f>Africa!H48</f>
        <v>2023.0909999999999</v>
      </c>
      <c r="M367" s="2417">
        <f>Africa!I48</f>
        <v>2889</v>
      </c>
      <c r="N367" s="2417">
        <f>Africa!J48</f>
        <v>3094</v>
      </c>
      <c r="O367" s="2417">
        <f>Africa!K48</f>
        <v>3525.1460000000002</v>
      </c>
      <c r="P367" s="2417">
        <f>Africa!L48</f>
        <v>3508</v>
      </c>
      <c r="Q367" s="2417">
        <f>Africa!M48</f>
        <v>3170</v>
      </c>
      <c r="R367" s="2417">
        <f>Africa!N48</f>
        <v>3674</v>
      </c>
      <c r="S367" s="2417">
        <f>Africa!O48</f>
        <v>3829</v>
      </c>
      <c r="T367" s="2417">
        <f>Africa!P48</f>
        <v>4085.5830000000001</v>
      </c>
      <c r="U367" s="2417">
        <f>Africa!Q48</f>
        <v>4224.6535152117822</v>
      </c>
      <c r="V367" s="2417">
        <f>Africa!R48</f>
        <v>4366.1651322235311</v>
      </c>
      <c r="W367" s="2417">
        <f>Africa!S48</f>
        <v>4510.15348426124</v>
      </c>
      <c r="X367" s="2417"/>
      <c r="Y367" s="2417"/>
      <c r="Z367" s="2450"/>
      <c r="AA367" s="2450"/>
      <c r="AB367" s="2450"/>
      <c r="AC367" s="2450"/>
      <c r="AD367" s="2450"/>
      <c r="AE367" s="2450"/>
      <c r="AF367" s="2450"/>
      <c r="AG367" s="2450"/>
      <c r="AH367" s="2450"/>
      <c r="AI367" s="2450"/>
      <c r="AJ367" s="2450"/>
      <c r="AK367" s="2450"/>
      <c r="AL367" s="2450"/>
      <c r="AM367" s="2450"/>
      <c r="AN367" s="2450"/>
      <c r="AO367" s="2447"/>
      <c r="AP367" s="2447"/>
      <c r="AQ367" s="2447"/>
      <c r="AR367" s="2447"/>
    </row>
    <row r="368" spans="1:44" s="313" customFormat="1" ht="15.75">
      <c r="A368" s="2447"/>
      <c r="B368" s="2451" t="s">
        <v>1159</v>
      </c>
      <c r="C368" s="2417"/>
      <c r="D368" s="2452"/>
      <c r="E368" s="2452"/>
      <c r="F368" s="2452"/>
      <c r="G368" s="2452">
        <f>Africa!C68</f>
        <v>0.25</v>
      </c>
      <c r="H368" s="2452">
        <f>Africa!D68</f>
        <v>0.25</v>
      </c>
      <c r="I368" s="2452">
        <f>Africa!E68</f>
        <v>0.25</v>
      </c>
      <c r="J368" s="2452">
        <f>Africa!F68</f>
        <v>0.16417510821544914</v>
      </c>
      <c r="K368" s="2452">
        <f>Africa!G68</f>
        <v>0.27815804392582782</v>
      </c>
      <c r="L368" s="2452">
        <f>Africa!H68</f>
        <v>0.28999999999999998</v>
      </c>
      <c r="M368" s="2452">
        <f>Africa!I68</f>
        <v>0.28000000000000003</v>
      </c>
      <c r="N368" s="2452">
        <f>Africa!J68</f>
        <v>0.25</v>
      </c>
      <c r="O368" s="2452">
        <f>Africa!K68</f>
        <v>0.252</v>
      </c>
      <c r="P368" s="2452">
        <f>Africa!L68</f>
        <v>0.21299999999999999</v>
      </c>
      <c r="Q368" s="2452">
        <f>Africa!M68</f>
        <v>0.17199999999999999</v>
      </c>
      <c r="R368" s="2452">
        <f>Africa!N68</f>
        <v>0.17599999999999999</v>
      </c>
      <c r="S368" s="2452">
        <f>Africa!O68</f>
        <v>0.18</v>
      </c>
      <c r="T368" s="2452">
        <f>Africa!P68</f>
        <v>0.18</v>
      </c>
      <c r="U368" s="2452">
        <f>Africa!Q68</f>
        <v>0.18</v>
      </c>
      <c r="V368" s="2452">
        <f>Africa!R68</f>
        <v>0.18</v>
      </c>
      <c r="W368" s="2452">
        <f>Africa!S68</f>
        <v>0.18</v>
      </c>
      <c r="X368" s="2452"/>
      <c r="Y368" s="2452"/>
      <c r="Z368" s="2450"/>
      <c r="AA368" s="2450"/>
      <c r="AB368" s="2450"/>
      <c r="AC368" s="2450"/>
      <c r="AD368" s="2450"/>
      <c r="AE368" s="2450"/>
      <c r="AF368" s="2450"/>
      <c r="AG368" s="2450"/>
      <c r="AH368" s="2450"/>
      <c r="AI368" s="2450"/>
      <c r="AJ368" s="2450"/>
      <c r="AK368" s="2450"/>
      <c r="AL368" s="2450"/>
      <c r="AM368" s="2450"/>
      <c r="AN368" s="2450"/>
      <c r="AO368" s="2447"/>
      <c r="AP368" s="2447"/>
      <c r="AQ368" s="2447"/>
      <c r="AR368" s="2447"/>
    </row>
    <row r="369" spans="1:44" s="313" customFormat="1" ht="15.75">
      <c r="A369" s="2447"/>
      <c r="B369" s="2451" t="s">
        <v>1160</v>
      </c>
      <c r="C369" s="2417"/>
      <c r="D369" s="2417"/>
      <c r="E369" s="2417"/>
      <c r="F369" s="2417"/>
      <c r="G369" s="2417"/>
      <c r="H369" s="2417"/>
      <c r="I369" s="2417"/>
      <c r="J369" s="2417"/>
      <c r="K369" s="2417"/>
      <c r="L369" s="2417"/>
      <c r="M369" s="2417"/>
      <c r="N369" s="2417"/>
      <c r="O369" s="2417"/>
      <c r="P369" s="2417"/>
      <c r="Q369" s="2417"/>
      <c r="R369" s="2417"/>
      <c r="S369" s="2417"/>
      <c r="T369" s="2417"/>
      <c r="U369" s="2417"/>
      <c r="V369" s="2417"/>
      <c r="W369" s="2417"/>
      <c r="X369" s="2417"/>
      <c r="Y369" s="2417"/>
      <c r="Z369" s="2450"/>
      <c r="AA369" s="2450"/>
      <c r="AB369" s="2450"/>
      <c r="AC369" s="2450"/>
      <c r="AD369" s="2450"/>
      <c r="AE369" s="2450"/>
      <c r="AF369" s="2450"/>
      <c r="AG369" s="2450"/>
      <c r="AH369" s="2450"/>
      <c r="AI369" s="2450"/>
      <c r="AJ369" s="2450"/>
      <c r="AK369" s="2450"/>
      <c r="AL369" s="2450"/>
      <c r="AM369" s="2450"/>
      <c r="AN369" s="2450"/>
      <c r="AO369" s="2447"/>
      <c r="AP369" s="2447"/>
      <c r="AQ369" s="2447"/>
      <c r="AR369" s="2447"/>
    </row>
    <row r="370" spans="1:44" s="313" customFormat="1" ht="15.75">
      <c r="A370" s="2447"/>
      <c r="B370" s="2451" t="s">
        <v>523</v>
      </c>
      <c r="C370" s="2417"/>
      <c r="D370" s="2417"/>
      <c r="E370" s="2417"/>
      <c r="F370" s="2417"/>
      <c r="G370" s="2417"/>
      <c r="H370" s="2417"/>
      <c r="I370" s="2417"/>
      <c r="J370" s="2417"/>
      <c r="K370" s="2417"/>
      <c r="L370" s="2417"/>
      <c r="M370" s="2417"/>
      <c r="N370" s="2417"/>
      <c r="O370" s="2417"/>
      <c r="P370" s="2417"/>
      <c r="Q370" s="2417"/>
      <c r="R370" s="2417"/>
      <c r="S370" s="2417"/>
      <c r="T370" s="2417"/>
      <c r="U370" s="2417"/>
      <c r="V370" s="2417"/>
      <c r="W370" s="2417"/>
      <c r="X370" s="2417"/>
      <c r="Y370" s="2417"/>
      <c r="Z370" s="2450"/>
      <c r="AA370" s="2450"/>
      <c r="AB370" s="2450"/>
      <c r="AC370" s="2450"/>
      <c r="AD370" s="2450"/>
      <c r="AE370" s="2450"/>
      <c r="AF370" s="2450"/>
      <c r="AG370" s="2450"/>
      <c r="AH370" s="2450"/>
      <c r="AI370" s="2450"/>
      <c r="AJ370" s="2450"/>
      <c r="AK370" s="2450"/>
      <c r="AL370" s="2450"/>
      <c r="AM370" s="2450"/>
      <c r="AN370" s="2450"/>
      <c r="AO370" s="2447"/>
      <c r="AP370" s="2447"/>
      <c r="AQ370" s="2447"/>
      <c r="AR370" s="2447"/>
    </row>
    <row r="371" spans="1:44" s="313" customFormat="1" ht="15.75">
      <c r="A371" s="2447"/>
      <c r="B371" s="2451" t="s">
        <v>360</v>
      </c>
      <c r="C371" s="2417"/>
      <c r="D371" s="2417"/>
      <c r="E371" s="2417"/>
      <c r="F371" s="2417"/>
      <c r="G371" s="2417"/>
      <c r="H371" s="2417"/>
      <c r="I371" s="2417"/>
      <c r="J371" s="2417"/>
      <c r="K371" s="2417"/>
      <c r="L371" s="2417"/>
      <c r="M371" s="2417"/>
      <c r="N371" s="2417"/>
      <c r="O371" s="2417"/>
      <c r="P371" s="2417"/>
      <c r="Q371" s="2417"/>
      <c r="R371" s="2417"/>
      <c r="S371" s="2417"/>
      <c r="T371" s="2417"/>
      <c r="U371" s="2417"/>
      <c r="V371" s="2417"/>
      <c r="W371" s="2417"/>
      <c r="X371" s="2417"/>
      <c r="Y371" s="2417"/>
      <c r="Z371" s="2450"/>
      <c r="AA371" s="2450"/>
      <c r="AB371" s="2450"/>
      <c r="AC371" s="2450"/>
      <c r="AD371" s="2450"/>
      <c r="AE371" s="2450"/>
      <c r="AF371" s="2450"/>
      <c r="AG371" s="2450"/>
      <c r="AH371" s="2450"/>
      <c r="AI371" s="2450"/>
      <c r="AJ371" s="2450"/>
      <c r="AK371" s="2450"/>
      <c r="AL371" s="2450"/>
      <c r="AM371" s="2450"/>
      <c r="AN371" s="2450"/>
      <c r="AO371" s="2447"/>
      <c r="AP371" s="2447"/>
      <c r="AQ371" s="2447"/>
      <c r="AR371" s="2447"/>
    </row>
    <row r="372" spans="1:44" s="313" customFormat="1" ht="15.75">
      <c r="A372" s="2447"/>
      <c r="B372" s="2451" t="s">
        <v>1552</v>
      </c>
      <c r="C372" s="2417"/>
      <c r="D372" s="2417"/>
      <c r="E372" s="2417"/>
      <c r="F372" s="2417"/>
      <c r="G372" s="2417"/>
      <c r="H372" s="2417"/>
      <c r="I372" s="2417"/>
      <c r="J372" s="2417"/>
      <c r="K372" s="2417"/>
      <c r="L372" s="2417"/>
      <c r="M372" s="2417"/>
      <c r="N372" s="2417"/>
      <c r="O372" s="2417"/>
      <c r="P372" s="2417"/>
      <c r="Q372" s="2417"/>
      <c r="R372" s="2417"/>
      <c r="S372" s="2417"/>
      <c r="T372" s="2417"/>
      <c r="U372" s="2417"/>
      <c r="V372" s="2417"/>
      <c r="W372" s="2417"/>
      <c r="X372" s="2417"/>
      <c r="Y372" s="2417"/>
      <c r="Z372" s="2450"/>
      <c r="AA372" s="2450"/>
      <c r="AB372" s="2450"/>
      <c r="AC372" s="2450"/>
      <c r="AD372" s="2450"/>
      <c r="AE372" s="2450"/>
      <c r="AF372" s="2450"/>
      <c r="AG372" s="2450"/>
      <c r="AH372" s="2450"/>
      <c r="AI372" s="2450"/>
      <c r="AJ372" s="2450"/>
      <c r="AK372" s="2450"/>
      <c r="AL372" s="2450"/>
      <c r="AM372" s="2450"/>
      <c r="AN372" s="2450"/>
      <c r="AO372" s="2447"/>
      <c r="AP372" s="2447"/>
      <c r="AQ372" s="2447"/>
      <c r="AR372" s="2447"/>
    </row>
    <row r="373" spans="1:44" s="313" customFormat="1" ht="15.75">
      <c r="A373" s="2447"/>
      <c r="B373" s="2451" t="s">
        <v>1936</v>
      </c>
      <c r="C373" s="2417"/>
      <c r="D373" s="2417"/>
      <c r="E373" s="2417"/>
      <c r="F373" s="2417"/>
      <c r="G373" s="2417"/>
      <c r="H373" s="2417"/>
      <c r="I373" s="2417"/>
      <c r="J373" s="2417"/>
      <c r="K373" s="2417"/>
      <c r="L373" s="2417"/>
      <c r="M373" s="2417"/>
      <c r="N373" s="2417"/>
      <c r="O373" s="2417"/>
      <c r="P373" s="2417"/>
      <c r="Q373" s="2417"/>
      <c r="R373" s="2417"/>
      <c r="S373" s="2417"/>
      <c r="T373" s="2417"/>
      <c r="U373" s="2417"/>
      <c r="V373" s="2417"/>
      <c r="W373" s="2417"/>
      <c r="X373" s="2417"/>
      <c r="Y373" s="2417"/>
      <c r="Z373" s="2450"/>
      <c r="AA373" s="2450"/>
      <c r="AB373" s="2450"/>
      <c r="AC373" s="2450"/>
      <c r="AD373" s="2450"/>
      <c r="AE373" s="2450"/>
      <c r="AF373" s="2450"/>
      <c r="AG373" s="2450"/>
      <c r="AH373" s="2450"/>
      <c r="AI373" s="2450"/>
      <c r="AJ373" s="2450"/>
      <c r="AK373" s="2450"/>
      <c r="AL373" s="2450"/>
      <c r="AM373" s="2450"/>
      <c r="AN373" s="2450"/>
      <c r="AO373" s="2447"/>
      <c r="AP373" s="2447"/>
      <c r="AQ373" s="2447"/>
      <c r="AR373" s="2447"/>
    </row>
    <row r="374" spans="1:44" s="313" customFormat="1" ht="15.75">
      <c r="A374" s="2447"/>
      <c r="B374" s="2451" t="s">
        <v>1161</v>
      </c>
      <c r="C374" s="2417"/>
      <c r="D374" s="2417"/>
      <c r="E374" s="2417"/>
      <c r="F374" s="2417"/>
      <c r="G374" s="2417"/>
      <c r="H374" s="2417"/>
      <c r="I374" s="2417"/>
      <c r="J374" s="2417"/>
      <c r="K374" s="2417"/>
      <c r="L374" s="2417"/>
      <c r="M374" s="2417"/>
      <c r="N374" s="2417"/>
      <c r="O374" s="2417"/>
      <c r="P374" s="2417"/>
      <c r="Q374" s="2417"/>
      <c r="R374" s="2417"/>
      <c r="S374" s="2417"/>
      <c r="T374" s="2417"/>
      <c r="U374" s="2417"/>
      <c r="V374" s="2417"/>
      <c r="W374" s="2417"/>
      <c r="X374" s="2417"/>
      <c r="Y374" s="2417"/>
      <c r="Z374" s="2450"/>
      <c r="AA374" s="2450"/>
      <c r="AB374" s="2450"/>
      <c r="AC374" s="2450"/>
      <c r="AD374" s="2450"/>
      <c r="AE374" s="2450"/>
      <c r="AF374" s="2450"/>
      <c r="AG374" s="2450"/>
      <c r="AH374" s="2450"/>
      <c r="AI374" s="2450"/>
      <c r="AJ374" s="2450"/>
      <c r="AK374" s="2450"/>
      <c r="AL374" s="2450"/>
      <c r="AM374" s="2450"/>
      <c r="AN374" s="2450"/>
      <c r="AO374" s="2447"/>
      <c r="AP374" s="2447"/>
      <c r="AQ374" s="2447"/>
      <c r="AR374" s="2447"/>
    </row>
    <row r="375" spans="1:44" s="313" customFormat="1" ht="15.75">
      <c r="A375" s="2447"/>
      <c r="B375" s="2451" t="s">
        <v>1185</v>
      </c>
      <c r="C375" s="2417"/>
      <c r="D375" s="2417"/>
      <c r="E375" s="2417"/>
      <c r="F375" s="2417"/>
      <c r="G375" s="2417"/>
      <c r="H375" s="2417"/>
      <c r="I375" s="2417"/>
      <c r="J375" s="2417"/>
      <c r="K375" s="2417"/>
      <c r="L375" s="2417"/>
      <c r="M375" s="2417"/>
      <c r="N375" s="2417"/>
      <c r="O375" s="2417"/>
      <c r="P375" s="2417"/>
      <c r="Q375" s="2417"/>
      <c r="R375" s="2417"/>
      <c r="S375" s="2417"/>
      <c r="T375" s="2417"/>
      <c r="U375" s="2417"/>
      <c r="V375" s="2417"/>
      <c r="W375" s="2417"/>
      <c r="X375" s="2417"/>
      <c r="Y375" s="2417"/>
      <c r="Z375" s="2450"/>
      <c r="AA375" s="2450"/>
      <c r="AB375" s="2450"/>
      <c r="AC375" s="2450"/>
      <c r="AD375" s="2450"/>
      <c r="AE375" s="2450"/>
      <c r="AF375" s="2450"/>
      <c r="AG375" s="2450"/>
      <c r="AH375" s="2450"/>
      <c r="AI375" s="2450"/>
      <c r="AJ375" s="2450"/>
      <c r="AK375" s="2450"/>
      <c r="AL375" s="2450"/>
      <c r="AM375" s="2450"/>
      <c r="AN375" s="2450"/>
      <c r="AO375" s="2447"/>
      <c r="AP375" s="2447"/>
      <c r="AQ375" s="2447"/>
      <c r="AR375" s="2447"/>
    </row>
    <row r="376" spans="1:44" s="313" customFormat="1" ht="15.75">
      <c r="A376" s="2447"/>
      <c r="B376" s="2451" t="s">
        <v>1728</v>
      </c>
      <c r="C376" s="2417"/>
      <c r="D376" s="2417"/>
      <c r="E376" s="2417"/>
      <c r="F376" s="2417"/>
      <c r="G376" s="2417"/>
      <c r="H376" s="2417"/>
      <c r="I376" s="2417"/>
      <c r="J376" s="2417"/>
      <c r="K376" s="2417"/>
      <c r="L376" s="2417"/>
      <c r="M376" s="2417"/>
      <c r="N376" s="2417"/>
      <c r="O376" s="2417"/>
      <c r="P376" s="2417"/>
      <c r="Q376" s="2417"/>
      <c r="R376" s="2417"/>
      <c r="S376" s="2417"/>
      <c r="T376" s="2417"/>
      <c r="U376" s="2417"/>
      <c r="V376" s="2417"/>
      <c r="W376" s="2417"/>
      <c r="X376" s="2417"/>
      <c r="Y376" s="2417"/>
      <c r="Z376" s="2450"/>
      <c r="AA376" s="2450"/>
      <c r="AB376" s="2450"/>
      <c r="AC376" s="2450"/>
      <c r="AD376" s="2450"/>
      <c r="AE376" s="2450"/>
      <c r="AF376" s="2450"/>
      <c r="AG376" s="2450"/>
      <c r="AH376" s="2450"/>
      <c r="AI376" s="2450"/>
      <c r="AJ376" s="2450"/>
      <c r="AK376" s="2450"/>
      <c r="AL376" s="2450"/>
      <c r="AM376" s="2450"/>
      <c r="AN376" s="2450"/>
      <c r="AO376" s="2447"/>
      <c r="AP376" s="2447"/>
      <c r="AQ376" s="2447"/>
      <c r="AR376" s="2447"/>
    </row>
    <row r="377" spans="1:44" s="313" customFormat="1" ht="15.75">
      <c r="A377" s="2447"/>
      <c r="B377" s="2451" t="s">
        <v>1729</v>
      </c>
      <c r="C377" s="2417"/>
      <c r="D377" s="2417"/>
      <c r="E377" s="2417"/>
      <c r="F377" s="2417"/>
      <c r="G377" s="2417"/>
      <c r="H377" s="2417"/>
      <c r="I377" s="2417"/>
      <c r="J377" s="2417"/>
      <c r="K377" s="2417"/>
      <c r="L377" s="2417"/>
      <c r="M377" s="2417"/>
      <c r="N377" s="2417"/>
      <c r="O377" s="2417"/>
      <c r="P377" s="2417"/>
      <c r="Q377" s="2417"/>
      <c r="R377" s="2417"/>
      <c r="S377" s="2417"/>
      <c r="T377" s="2417"/>
      <c r="U377" s="2417"/>
      <c r="V377" s="2417"/>
      <c r="W377" s="2417"/>
      <c r="X377" s="2417"/>
      <c r="Y377" s="2417"/>
      <c r="Z377" s="2450"/>
      <c r="AA377" s="2450"/>
      <c r="AB377" s="2450"/>
      <c r="AC377" s="2450"/>
      <c r="AD377" s="2450"/>
      <c r="AE377" s="2450"/>
      <c r="AF377" s="2450"/>
      <c r="AG377" s="2450"/>
      <c r="AH377" s="2450"/>
      <c r="AI377" s="2450"/>
      <c r="AJ377" s="2450"/>
      <c r="AK377" s="2450"/>
      <c r="AL377" s="2450"/>
      <c r="AM377" s="2450"/>
      <c r="AN377" s="2450"/>
      <c r="AO377" s="2447"/>
      <c r="AP377" s="2447"/>
      <c r="AQ377" s="2447"/>
      <c r="AR377" s="2447"/>
    </row>
    <row r="378" spans="1:44" s="313" customFormat="1" ht="15.75">
      <c r="A378" s="2447"/>
      <c r="B378" s="2451" t="s">
        <v>1730</v>
      </c>
      <c r="C378" s="2417"/>
      <c r="D378" s="2417"/>
      <c r="E378" s="2417"/>
      <c r="F378" s="2417"/>
      <c r="G378" s="2417"/>
      <c r="H378" s="2417"/>
      <c r="I378" s="2417"/>
      <c r="J378" s="2417"/>
      <c r="K378" s="2417"/>
      <c r="L378" s="2417"/>
      <c r="M378" s="2417"/>
      <c r="N378" s="2417"/>
      <c r="O378" s="2417"/>
      <c r="P378" s="2417"/>
      <c r="Q378" s="2417"/>
      <c r="R378" s="2417"/>
      <c r="S378" s="2417"/>
      <c r="T378" s="2417"/>
      <c r="U378" s="2417"/>
      <c r="V378" s="2417"/>
      <c r="W378" s="2417"/>
      <c r="X378" s="2417"/>
      <c r="Y378" s="2417"/>
      <c r="Z378" s="2450"/>
      <c r="AA378" s="2450"/>
      <c r="AB378" s="2450"/>
      <c r="AC378" s="2450"/>
      <c r="AD378" s="2450"/>
      <c r="AE378" s="2450"/>
      <c r="AF378" s="2450"/>
      <c r="AG378" s="2450"/>
      <c r="AH378" s="2450"/>
      <c r="AI378" s="2450"/>
      <c r="AJ378" s="2450"/>
      <c r="AK378" s="2450"/>
      <c r="AL378" s="2450"/>
      <c r="AM378" s="2450"/>
      <c r="AN378" s="2450"/>
      <c r="AO378" s="2447"/>
      <c r="AP378" s="2447"/>
      <c r="AQ378" s="2447"/>
      <c r="AR378" s="2447"/>
    </row>
    <row r="379" spans="1:44" s="313" customFormat="1" ht="15.75">
      <c r="A379" s="2447"/>
      <c r="B379" s="2451" t="s">
        <v>1731</v>
      </c>
      <c r="C379" s="2417"/>
      <c r="D379" s="2417"/>
      <c r="E379" s="2417"/>
      <c r="F379" s="2417"/>
      <c r="G379" s="2417"/>
      <c r="H379" s="2417"/>
      <c r="I379" s="2417"/>
      <c r="J379" s="2417"/>
      <c r="K379" s="2417"/>
      <c r="L379" s="2417"/>
      <c r="M379" s="2417"/>
      <c r="N379" s="2417"/>
      <c r="O379" s="2417"/>
      <c r="P379" s="2417"/>
      <c r="Q379" s="2417"/>
      <c r="R379" s="2417"/>
      <c r="S379" s="2417"/>
      <c r="T379" s="2417"/>
      <c r="U379" s="2417"/>
      <c r="V379" s="2417"/>
      <c r="W379" s="2417"/>
      <c r="X379" s="2417"/>
      <c r="Y379" s="2417"/>
      <c r="Z379" s="2450"/>
      <c r="AA379" s="2450"/>
      <c r="AB379" s="2450"/>
      <c r="AC379" s="2450"/>
      <c r="AD379" s="2450"/>
      <c r="AE379" s="2450"/>
      <c r="AF379" s="2450"/>
      <c r="AG379" s="2450"/>
      <c r="AH379" s="2450"/>
      <c r="AI379" s="2450"/>
      <c r="AJ379" s="2450"/>
      <c r="AK379" s="2450"/>
      <c r="AL379" s="2450"/>
      <c r="AM379" s="2450"/>
      <c r="AN379" s="2450"/>
      <c r="AO379" s="2447"/>
      <c r="AP379" s="2447"/>
      <c r="AQ379" s="2447"/>
      <c r="AR379" s="2447"/>
    </row>
    <row r="380" spans="1:44" s="313" customFormat="1" ht="15.75">
      <c r="A380" s="2447"/>
      <c r="B380" s="2451" t="s">
        <v>1732</v>
      </c>
      <c r="C380" s="2417"/>
      <c r="D380" s="2417"/>
      <c r="E380" s="2417"/>
      <c r="F380" s="2417"/>
      <c r="G380" s="2417"/>
      <c r="H380" s="2417"/>
      <c r="I380" s="2417"/>
      <c r="J380" s="2417"/>
      <c r="K380" s="2417"/>
      <c r="L380" s="2417"/>
      <c r="M380" s="2417"/>
      <c r="N380" s="2417"/>
      <c r="O380" s="2417"/>
      <c r="P380" s="2417"/>
      <c r="Q380" s="2417"/>
      <c r="R380" s="2417"/>
      <c r="S380" s="2417"/>
      <c r="T380" s="2417"/>
      <c r="U380" s="2417"/>
      <c r="V380" s="2417"/>
      <c r="W380" s="2417"/>
      <c r="X380" s="2417"/>
      <c r="Y380" s="2417"/>
      <c r="Z380" s="2450"/>
      <c r="AA380" s="2450"/>
      <c r="AB380" s="2450"/>
      <c r="AC380" s="2450"/>
      <c r="AD380" s="2450"/>
      <c r="AE380" s="2450"/>
      <c r="AF380" s="2450"/>
      <c r="AG380" s="2450"/>
      <c r="AH380" s="2450"/>
      <c r="AI380" s="2450"/>
      <c r="AJ380" s="2450"/>
      <c r="AK380" s="2450"/>
      <c r="AL380" s="2450"/>
      <c r="AM380" s="2450"/>
      <c r="AN380" s="2450"/>
      <c r="AO380" s="2447"/>
      <c r="AP380" s="2447"/>
      <c r="AQ380" s="2447"/>
      <c r="AR380" s="2447"/>
    </row>
    <row r="381" spans="1:44" s="313" customFormat="1" ht="15.75">
      <c r="A381" s="2447"/>
      <c r="B381" s="2451" t="s">
        <v>1733</v>
      </c>
      <c r="C381" s="2417"/>
      <c r="D381" s="2417"/>
      <c r="E381" s="2417"/>
      <c r="F381" s="2417"/>
      <c r="G381" s="2417"/>
      <c r="H381" s="2417"/>
      <c r="I381" s="2417"/>
      <c r="J381" s="2417"/>
      <c r="K381" s="2417"/>
      <c r="L381" s="2417"/>
      <c r="M381" s="2417"/>
      <c r="N381" s="2417"/>
      <c r="O381" s="2417"/>
      <c r="P381" s="2417"/>
      <c r="Q381" s="2417"/>
      <c r="R381" s="2417"/>
      <c r="S381" s="2417"/>
      <c r="T381" s="2417"/>
      <c r="U381" s="2417"/>
      <c r="V381" s="2417"/>
      <c r="W381" s="2417"/>
      <c r="X381" s="2417"/>
      <c r="Y381" s="2417"/>
      <c r="Z381" s="2450"/>
      <c r="AA381" s="2450"/>
      <c r="AB381" s="2450"/>
      <c r="AC381" s="2450"/>
      <c r="AD381" s="2450"/>
      <c r="AE381" s="2450"/>
      <c r="AF381" s="2450"/>
      <c r="AG381" s="2450"/>
      <c r="AH381" s="2450"/>
      <c r="AI381" s="2450"/>
      <c r="AJ381" s="2450"/>
      <c r="AK381" s="2450"/>
      <c r="AL381" s="2450"/>
      <c r="AM381" s="2450"/>
      <c r="AN381" s="2450"/>
      <c r="AO381" s="2447"/>
      <c r="AP381" s="2447"/>
      <c r="AQ381" s="2447"/>
      <c r="AR381" s="2447"/>
    </row>
    <row r="382" spans="1:44" s="313" customFormat="1" ht="15.75">
      <c r="A382" s="2447"/>
      <c r="B382" s="2451" t="s">
        <v>1734</v>
      </c>
      <c r="C382" s="2417"/>
      <c r="D382" s="2417"/>
      <c r="E382" s="2417"/>
      <c r="F382" s="2417"/>
      <c r="G382" s="2417"/>
      <c r="H382" s="2417"/>
      <c r="I382" s="2417"/>
      <c r="J382" s="2417"/>
      <c r="K382" s="2417"/>
      <c r="L382" s="2417"/>
      <c r="M382" s="2417"/>
      <c r="N382" s="2417"/>
      <c r="O382" s="2417"/>
      <c r="P382" s="2417"/>
      <c r="Q382" s="2417"/>
      <c r="R382" s="2417"/>
      <c r="S382" s="2417"/>
      <c r="T382" s="2417"/>
      <c r="U382" s="2417"/>
      <c r="V382" s="2417"/>
      <c r="W382" s="2417"/>
      <c r="X382" s="2417"/>
      <c r="Y382" s="2417"/>
      <c r="Z382" s="2450"/>
      <c r="AA382" s="2450"/>
      <c r="AB382" s="2450"/>
      <c r="AC382" s="2450"/>
      <c r="AD382" s="2450"/>
      <c r="AE382" s="2450"/>
      <c r="AF382" s="2450"/>
      <c r="AG382" s="2450"/>
      <c r="AH382" s="2450"/>
      <c r="AI382" s="2450"/>
      <c r="AJ382" s="2450"/>
      <c r="AK382" s="2450"/>
      <c r="AL382" s="2450"/>
      <c r="AM382" s="2450"/>
      <c r="AN382" s="2450"/>
      <c r="AO382" s="2447"/>
      <c r="AP382" s="2447"/>
      <c r="AQ382" s="2447"/>
      <c r="AR382" s="2447"/>
    </row>
    <row r="383" spans="1:44" s="313" customFormat="1" ht="15.75">
      <c r="A383" s="2447"/>
      <c r="B383" s="2451" t="s">
        <v>1735</v>
      </c>
      <c r="C383" s="2417"/>
      <c r="D383" s="2417"/>
      <c r="E383" s="2417"/>
      <c r="F383" s="2417"/>
      <c r="G383" s="2417"/>
      <c r="H383" s="2417"/>
      <c r="I383" s="2417"/>
      <c r="J383" s="2417"/>
      <c r="K383" s="2417"/>
      <c r="L383" s="2417"/>
      <c r="M383" s="2417"/>
      <c r="N383" s="2417"/>
      <c r="O383" s="2417"/>
      <c r="P383" s="2417"/>
      <c r="Q383" s="2417"/>
      <c r="R383" s="2417"/>
      <c r="S383" s="2417"/>
      <c r="T383" s="2417"/>
      <c r="U383" s="2417"/>
      <c r="V383" s="2417"/>
      <c r="W383" s="2417"/>
      <c r="X383" s="2417"/>
      <c r="Y383" s="2417"/>
      <c r="Z383" s="2450"/>
      <c r="AA383" s="2450"/>
      <c r="AB383" s="2450"/>
      <c r="AC383" s="2450"/>
      <c r="AD383" s="2450"/>
      <c r="AE383" s="2450"/>
      <c r="AF383" s="2450"/>
      <c r="AG383" s="2450"/>
      <c r="AH383" s="2450"/>
      <c r="AI383" s="2450"/>
      <c r="AJ383" s="2450"/>
      <c r="AK383" s="2450"/>
      <c r="AL383" s="2450"/>
      <c r="AM383" s="2450"/>
      <c r="AN383" s="2450"/>
      <c r="AO383" s="2447"/>
      <c r="AP383" s="2447"/>
      <c r="AQ383" s="2447"/>
      <c r="AR383" s="2447"/>
    </row>
    <row r="384" spans="1:44" s="313" customFormat="1" ht="15.75">
      <c r="A384" s="2447"/>
      <c r="B384" s="2447" t="s">
        <v>968</v>
      </c>
      <c r="C384" s="2453"/>
      <c r="D384" s="2454"/>
      <c r="E384" s="2454"/>
      <c r="F384" s="2454"/>
      <c r="G384" s="2454"/>
      <c r="H384" s="2454"/>
      <c r="I384" s="2454"/>
      <c r="J384" s="2454"/>
      <c r="K384" s="2454"/>
      <c r="L384" s="2454"/>
      <c r="M384" s="2454"/>
      <c r="N384" s="2454"/>
      <c r="O384" s="2454"/>
      <c r="P384" s="2454"/>
      <c r="Q384" s="2454"/>
      <c r="R384" s="2454"/>
      <c r="S384" s="2454"/>
      <c r="T384" s="2454"/>
      <c r="U384" s="2454"/>
      <c r="V384" s="2454"/>
      <c r="W384" s="2454"/>
      <c r="X384" s="2454"/>
      <c r="Y384" s="2454"/>
      <c r="Z384" s="2450"/>
      <c r="AA384" s="2450"/>
      <c r="AB384" s="2450"/>
      <c r="AC384" s="2450"/>
      <c r="AD384" s="2450"/>
      <c r="AE384" s="2450"/>
      <c r="AF384" s="2450"/>
      <c r="AG384" s="2450"/>
      <c r="AH384" s="2450"/>
      <c r="AI384" s="2450"/>
      <c r="AJ384" s="2450"/>
      <c r="AK384" s="2450"/>
      <c r="AL384" s="2450"/>
      <c r="AM384" s="2450"/>
      <c r="AN384" s="2450"/>
      <c r="AO384" s="2447"/>
      <c r="AP384" s="2447"/>
      <c r="AQ384" s="2447"/>
      <c r="AR384" s="2447"/>
    </row>
    <row r="385" spans="1:44" s="313" customFormat="1" ht="15.75">
      <c r="A385" s="2447"/>
      <c r="B385" s="2447" t="s">
        <v>965</v>
      </c>
      <c r="C385" s="2453"/>
      <c r="D385" s="2417"/>
      <c r="E385" s="2417"/>
      <c r="F385" s="2417"/>
      <c r="G385" s="2417"/>
      <c r="H385" s="2417"/>
      <c r="I385" s="2417"/>
      <c r="J385" s="2417"/>
      <c r="K385" s="2417"/>
      <c r="L385" s="2417"/>
      <c r="M385" s="2417"/>
      <c r="N385" s="2417"/>
      <c r="O385" s="2417"/>
      <c r="P385" s="2417"/>
      <c r="Q385" s="2417"/>
      <c r="R385" s="2417"/>
      <c r="S385" s="2417"/>
      <c r="T385" s="2417"/>
      <c r="U385" s="2417"/>
      <c r="V385" s="2417"/>
      <c r="W385" s="2417"/>
      <c r="X385" s="2417"/>
      <c r="Y385" s="2417"/>
      <c r="Z385" s="2450"/>
      <c r="AA385" s="2450"/>
      <c r="AB385" s="2450"/>
      <c r="AC385" s="2450"/>
      <c r="AD385" s="2450"/>
      <c r="AE385" s="2450"/>
      <c r="AF385" s="2450"/>
      <c r="AG385" s="2450"/>
      <c r="AH385" s="2450"/>
      <c r="AI385" s="2450"/>
      <c r="AJ385" s="2450"/>
      <c r="AK385" s="2450"/>
      <c r="AL385" s="2450"/>
      <c r="AM385" s="2450"/>
      <c r="AN385" s="2450"/>
      <c r="AO385" s="2447"/>
      <c r="AP385" s="2447"/>
      <c r="AQ385" s="2447"/>
      <c r="AR385" s="2447"/>
    </row>
    <row r="386" spans="1:44" s="313" customFormat="1" ht="15.75">
      <c r="A386" s="2447"/>
      <c r="B386" s="2451"/>
      <c r="C386" s="2417"/>
      <c r="D386" s="2417"/>
      <c r="E386" s="2417"/>
      <c r="F386" s="2417"/>
      <c r="G386" s="2417"/>
      <c r="H386" s="2417"/>
      <c r="I386" s="2417"/>
      <c r="J386" s="2417"/>
      <c r="K386" s="2417"/>
      <c r="L386" s="2417"/>
      <c r="M386" s="2417"/>
      <c r="N386" s="2417"/>
      <c r="O386" s="2417"/>
      <c r="P386" s="2417"/>
      <c r="Q386" s="2417"/>
      <c r="R386" s="2417"/>
      <c r="S386" s="2417"/>
      <c r="T386" s="2417"/>
      <c r="U386" s="2417"/>
      <c r="V386" s="2417"/>
      <c r="W386" s="2417"/>
      <c r="X386" s="2417"/>
      <c r="Y386" s="2417"/>
      <c r="Z386" s="2450"/>
      <c r="AA386" s="2450"/>
      <c r="AB386" s="2450"/>
      <c r="AC386" s="2450"/>
      <c r="AD386" s="2450"/>
      <c r="AE386" s="2450"/>
      <c r="AF386" s="2450"/>
      <c r="AG386" s="2450"/>
      <c r="AH386" s="2450"/>
      <c r="AI386" s="2450"/>
      <c r="AJ386" s="2450"/>
      <c r="AK386" s="2450"/>
      <c r="AL386" s="2450"/>
      <c r="AM386" s="2450"/>
      <c r="AN386" s="2450"/>
      <c r="AO386" s="2447"/>
      <c r="AP386" s="2447"/>
      <c r="AQ386" s="2447"/>
      <c r="AR386" s="2447"/>
    </row>
    <row r="387" spans="1:44" s="313" customFormat="1" ht="15.75">
      <c r="A387" s="2447"/>
      <c r="B387" s="2455"/>
      <c r="C387" s="2456"/>
      <c r="D387" s="2456"/>
      <c r="E387" s="2456"/>
      <c r="F387" s="2456"/>
      <c r="G387" s="2457"/>
      <c r="H387" s="2457"/>
      <c r="I387" s="2457"/>
      <c r="J387" s="2457"/>
      <c r="K387" s="2457"/>
      <c r="L387" s="2457"/>
      <c r="M387" s="2457"/>
      <c r="N387" s="2457"/>
      <c r="O387" s="2457"/>
      <c r="P387" s="2457"/>
      <c r="Q387" s="2456"/>
      <c r="R387" s="2456"/>
      <c r="S387" s="2456"/>
      <c r="T387" s="2456"/>
      <c r="U387" s="2456"/>
      <c r="V387" s="2456"/>
      <c r="W387" s="2456"/>
      <c r="X387" s="2456"/>
      <c r="Y387" s="2456"/>
      <c r="Z387" s="2450"/>
      <c r="AA387" s="2450"/>
      <c r="AB387" s="2450"/>
      <c r="AC387" s="2450"/>
      <c r="AD387" s="2450"/>
      <c r="AE387" s="2450"/>
      <c r="AF387" s="2450"/>
      <c r="AG387" s="2450"/>
      <c r="AH387" s="2450"/>
      <c r="AI387" s="2450"/>
      <c r="AJ387" s="2450"/>
      <c r="AK387" s="2450"/>
      <c r="AL387" s="2450"/>
      <c r="AM387" s="2450"/>
      <c r="AN387" s="2450"/>
      <c r="AO387" s="2447"/>
      <c r="AP387" s="2447"/>
      <c r="AQ387" s="2447"/>
      <c r="AR387" s="2447"/>
    </row>
    <row r="388" spans="1:44" s="313" customFormat="1" ht="15.75">
      <c r="A388" s="2447"/>
      <c r="B388" s="2449" t="s">
        <v>637</v>
      </c>
      <c r="C388" s="2417" t="s">
        <v>967</v>
      </c>
      <c r="D388" s="2417"/>
      <c r="E388" s="2417"/>
      <c r="F388" s="2417"/>
      <c r="G388" s="2417"/>
      <c r="H388" s="2417"/>
      <c r="I388" s="2417"/>
      <c r="J388" s="2417"/>
      <c r="K388" s="2417"/>
      <c r="L388" s="2417"/>
      <c r="M388" s="2417"/>
      <c r="N388" s="2417"/>
      <c r="O388" s="2417"/>
      <c r="P388" s="2417"/>
      <c r="Q388" s="2417"/>
      <c r="R388" s="2417"/>
      <c r="S388" s="2417"/>
      <c r="T388" s="2417"/>
      <c r="U388" s="2417"/>
      <c r="V388" s="2417"/>
      <c r="W388" s="2417"/>
      <c r="X388" s="2417"/>
      <c r="Y388" s="2417"/>
      <c r="Z388" s="2450"/>
      <c r="AA388" s="2450"/>
      <c r="AB388" s="2450"/>
      <c r="AC388" s="2450"/>
      <c r="AD388" s="2450"/>
      <c r="AE388" s="2450"/>
      <c r="AF388" s="2450"/>
      <c r="AG388" s="2450"/>
      <c r="AH388" s="2450"/>
      <c r="AI388" s="2450"/>
      <c r="AJ388" s="2450"/>
      <c r="AK388" s="2450"/>
      <c r="AL388" s="2450"/>
      <c r="AM388" s="2450"/>
      <c r="AN388" s="2450"/>
      <c r="AO388" s="2447"/>
      <c r="AP388" s="2447"/>
      <c r="AQ388" s="2447"/>
      <c r="AR388" s="2447"/>
    </row>
    <row r="389" spans="1:44" s="313" customFormat="1" ht="15.75">
      <c r="A389" s="2447"/>
      <c r="B389" s="2451" t="s">
        <v>1157</v>
      </c>
      <c r="C389" s="2417"/>
      <c r="D389" s="2417"/>
      <c r="E389" s="2417"/>
      <c r="F389" s="2417"/>
      <c r="G389" s="2417">
        <f>Africa!C6</f>
        <v>1230</v>
      </c>
      <c r="H389" s="2417">
        <f>Africa!D6</f>
        <v>1230</v>
      </c>
      <c r="I389" s="2417">
        <f>Africa!E6</f>
        <v>1230</v>
      </c>
      <c r="J389" s="2417">
        <f>Africa!F6</f>
        <v>1240</v>
      </c>
      <c r="K389" s="2417">
        <f>Africa!G6</f>
        <v>1251</v>
      </c>
      <c r="L389" s="2417">
        <f>Africa!H6</f>
        <v>1251</v>
      </c>
      <c r="M389" s="2417">
        <f>Africa!I6</f>
        <v>1274.5394140742978</v>
      </c>
      <c r="N389" s="2417">
        <f>Africa!J6</f>
        <v>1270.3488372093022</v>
      </c>
      <c r="O389" s="2417">
        <f>Africa!K6</f>
        <v>1285.7061065580474</v>
      </c>
      <c r="P389" s="2417">
        <f>Africa!L6</f>
        <v>1290.3225806451612</v>
      </c>
      <c r="Q389" s="2417">
        <f>Africa!M6</f>
        <v>1304.690968282938</v>
      </c>
      <c r="R389" s="2417">
        <f>Africa!N6</f>
        <v>0</v>
      </c>
      <c r="S389" s="2417">
        <f>Africa!O6</f>
        <v>0</v>
      </c>
      <c r="T389" s="2417">
        <f>Africa!P6</f>
        <v>0</v>
      </c>
      <c r="U389" s="2417">
        <f>Africa!Q6</f>
        <v>0</v>
      </c>
      <c r="V389" s="2417">
        <f>Africa!R6</f>
        <v>0</v>
      </c>
      <c r="W389" s="2417">
        <f>Africa!S6</f>
        <v>0</v>
      </c>
      <c r="X389" s="2417"/>
      <c r="Y389" s="2417"/>
      <c r="Z389" s="2450"/>
      <c r="AA389" s="2450"/>
      <c r="AB389" s="2450"/>
      <c r="AC389" s="2450"/>
      <c r="AD389" s="2450"/>
      <c r="AE389" s="2450"/>
      <c r="AF389" s="2450"/>
      <c r="AG389" s="2450"/>
      <c r="AH389" s="2450"/>
      <c r="AI389" s="2450"/>
      <c r="AJ389" s="2450"/>
      <c r="AK389" s="2450"/>
      <c r="AL389" s="2450"/>
      <c r="AM389" s="2450"/>
      <c r="AN389" s="2450"/>
      <c r="AO389" s="2447"/>
      <c r="AP389" s="2447"/>
      <c r="AQ389" s="2447"/>
      <c r="AR389" s="2447"/>
    </row>
    <row r="390" spans="1:44" s="313" customFormat="1" ht="15.75">
      <c r="A390" s="2447"/>
      <c r="B390" s="2451" t="s">
        <v>1158</v>
      </c>
      <c r="C390" s="2417"/>
      <c r="D390" s="2417"/>
      <c r="E390" s="2417"/>
      <c r="F390" s="2417"/>
      <c r="G390" s="2417"/>
      <c r="H390" s="2417">
        <f>Africa!D49</f>
        <v>136.62</v>
      </c>
      <c r="I390" s="2417">
        <f>Africa!E49</f>
        <v>167.565</v>
      </c>
      <c r="J390" s="2417">
        <f>Africa!F49</f>
        <v>221.1</v>
      </c>
      <c r="K390" s="2417">
        <f>Africa!G49</f>
        <v>279.19299999999998</v>
      </c>
      <c r="L390" s="2417">
        <f>Africa!H49</f>
        <v>365.01799999999997</v>
      </c>
      <c r="M390" s="2417">
        <f>Africa!I49</f>
        <v>422</v>
      </c>
      <c r="N390" s="2417">
        <f>Africa!J49</f>
        <v>437</v>
      </c>
      <c r="O390" s="2417">
        <f>Africa!K49</f>
        <v>471.57900000000001</v>
      </c>
      <c r="P390" s="2417">
        <f>Africa!L49</f>
        <v>498</v>
      </c>
      <c r="Q390" s="2417">
        <f>Africa!M49</f>
        <v>529</v>
      </c>
      <c r="R390" s="2417">
        <f>Africa!N49</f>
        <v>0</v>
      </c>
      <c r="S390" s="2417">
        <f>Africa!O49</f>
        <v>0</v>
      </c>
      <c r="T390" s="2417">
        <f>Africa!P49</f>
        <v>0</v>
      </c>
      <c r="U390" s="2417">
        <f>Africa!Q49</f>
        <v>0</v>
      </c>
      <c r="V390" s="2417">
        <f>Africa!R49</f>
        <v>0</v>
      </c>
      <c r="W390" s="2417">
        <f>Africa!S49</f>
        <v>0</v>
      </c>
      <c r="X390" s="2417"/>
      <c r="Y390" s="2417"/>
      <c r="Z390" s="2450"/>
      <c r="AA390" s="2450"/>
      <c r="AB390" s="2450"/>
      <c r="AC390" s="2450"/>
      <c r="AD390" s="2450"/>
      <c r="AE390" s="2450"/>
      <c r="AF390" s="2450"/>
      <c r="AG390" s="2450"/>
      <c r="AH390" s="2450"/>
      <c r="AI390" s="2450"/>
      <c r="AJ390" s="2450"/>
      <c r="AK390" s="2450"/>
      <c r="AL390" s="2450"/>
      <c r="AM390" s="2450"/>
      <c r="AN390" s="2450"/>
      <c r="AO390" s="2447"/>
      <c r="AP390" s="2447"/>
      <c r="AQ390" s="2447"/>
      <c r="AR390" s="2447"/>
    </row>
    <row r="391" spans="1:44" s="313" customFormat="1" ht="15.75">
      <c r="A391" s="2447"/>
      <c r="B391" s="2451" t="s">
        <v>1159</v>
      </c>
      <c r="C391" s="2417"/>
      <c r="D391" s="2452"/>
      <c r="E391" s="2452"/>
      <c r="F391" s="2452"/>
      <c r="G391" s="2452">
        <f>Africa!C69</f>
        <v>0.3</v>
      </c>
      <c r="H391" s="2452">
        <f>Africa!D69</f>
        <v>0.3</v>
      </c>
      <c r="I391" s="2452">
        <f>Africa!E69</f>
        <v>0.3</v>
      </c>
      <c r="J391" s="2452">
        <f>Africa!F69</f>
        <v>0.36463487037403519</v>
      </c>
      <c r="K391" s="2452">
        <f>Africa!G69</f>
        <v>0.36586206444680319</v>
      </c>
      <c r="L391" s="2452">
        <f>Africa!H69</f>
        <v>0.42</v>
      </c>
      <c r="M391" s="2452">
        <f>Africa!I69</f>
        <v>0.43</v>
      </c>
      <c r="N391" s="2452">
        <f>Africa!J69</f>
        <v>0.43</v>
      </c>
      <c r="O391" s="2452">
        <f>Africa!K69</f>
        <v>0.42599999999999999</v>
      </c>
      <c r="P391" s="2452">
        <f>Africa!L69</f>
        <v>0.41499999999999998</v>
      </c>
      <c r="Q391" s="2452">
        <f>Africa!M69</f>
        <v>0.41799999999999998</v>
      </c>
      <c r="R391" s="2452">
        <f>Africa!N69</f>
        <v>0.41</v>
      </c>
      <c r="S391" s="2452">
        <f>Africa!O69</f>
        <v>0.42</v>
      </c>
      <c r="T391" s="2452">
        <f>Africa!P69</f>
        <v>0.42</v>
      </c>
      <c r="U391" s="2452">
        <f>Africa!Q69</f>
        <v>0.42</v>
      </c>
      <c r="V391" s="2452">
        <f>Africa!R69</f>
        <v>0.42</v>
      </c>
      <c r="W391" s="2452">
        <f>Africa!S69</f>
        <v>0.42</v>
      </c>
      <c r="X391" s="2452"/>
      <c r="Y391" s="2452"/>
      <c r="Z391" s="2450"/>
      <c r="AA391" s="2450"/>
      <c r="AB391" s="2450"/>
      <c r="AC391" s="2450"/>
      <c r="AD391" s="2450"/>
      <c r="AE391" s="2450"/>
      <c r="AF391" s="2450"/>
      <c r="AG391" s="2450"/>
      <c r="AH391" s="2450"/>
      <c r="AI391" s="2450"/>
      <c r="AJ391" s="2450"/>
      <c r="AK391" s="2450"/>
      <c r="AL391" s="2450"/>
      <c r="AM391" s="2450"/>
      <c r="AN391" s="2450"/>
      <c r="AO391" s="2447"/>
      <c r="AP391" s="2447"/>
      <c r="AQ391" s="2447"/>
      <c r="AR391" s="2447"/>
    </row>
    <row r="392" spans="1:44" s="313" customFormat="1" ht="15.75">
      <c r="A392" s="2447"/>
      <c r="B392" s="2451" t="s">
        <v>1160</v>
      </c>
      <c r="C392" s="2417"/>
      <c r="D392" s="2417"/>
      <c r="E392" s="2417"/>
      <c r="F392" s="2417"/>
      <c r="G392" s="2417"/>
      <c r="H392" s="2417"/>
      <c r="I392" s="2417"/>
      <c r="J392" s="2417"/>
      <c r="K392" s="2417"/>
      <c r="L392" s="2417"/>
      <c r="M392" s="2417"/>
      <c r="N392" s="2417"/>
      <c r="O392" s="2417"/>
      <c r="P392" s="2417"/>
      <c r="Q392" s="2417"/>
      <c r="R392" s="2417"/>
      <c r="S392" s="2417"/>
      <c r="T392" s="2417"/>
      <c r="U392" s="2417"/>
      <c r="V392" s="2417"/>
      <c r="W392" s="2417"/>
      <c r="X392" s="2417"/>
      <c r="Y392" s="2417"/>
      <c r="Z392" s="2450"/>
      <c r="AA392" s="2450"/>
      <c r="AB392" s="2450"/>
      <c r="AC392" s="2450"/>
      <c r="AD392" s="2450"/>
      <c r="AE392" s="2450"/>
      <c r="AF392" s="2450"/>
      <c r="AG392" s="2450"/>
      <c r="AH392" s="2450"/>
      <c r="AI392" s="2450"/>
      <c r="AJ392" s="2450"/>
      <c r="AK392" s="2450"/>
      <c r="AL392" s="2450"/>
      <c r="AM392" s="2450"/>
      <c r="AN392" s="2450"/>
      <c r="AO392" s="2447"/>
      <c r="AP392" s="2447"/>
      <c r="AQ392" s="2447"/>
      <c r="AR392" s="2447"/>
    </row>
    <row r="393" spans="1:44" s="313" customFormat="1" ht="15.75">
      <c r="A393" s="2447"/>
      <c r="B393" s="2451" t="s">
        <v>523</v>
      </c>
      <c r="C393" s="2417"/>
      <c r="D393" s="2417"/>
      <c r="E393" s="2417"/>
      <c r="F393" s="2417"/>
      <c r="G393" s="2417"/>
      <c r="H393" s="2417"/>
      <c r="I393" s="2417"/>
      <c r="J393" s="2417"/>
      <c r="K393" s="2417"/>
      <c r="L393" s="2417"/>
      <c r="M393" s="2417"/>
      <c r="N393" s="2417"/>
      <c r="O393" s="2417"/>
      <c r="P393" s="2417"/>
      <c r="Q393" s="2417"/>
      <c r="R393" s="2417"/>
      <c r="S393" s="2417"/>
      <c r="T393" s="2417"/>
      <c r="U393" s="2417"/>
      <c r="V393" s="2417"/>
      <c r="W393" s="2417"/>
      <c r="X393" s="2417"/>
      <c r="Y393" s="2417"/>
      <c r="Z393" s="2450"/>
      <c r="AA393" s="2450"/>
      <c r="AB393" s="2450"/>
      <c r="AC393" s="2450"/>
      <c r="AD393" s="2450"/>
      <c r="AE393" s="2450"/>
      <c r="AF393" s="2450"/>
      <c r="AG393" s="2450"/>
      <c r="AH393" s="2450"/>
      <c r="AI393" s="2450"/>
      <c r="AJ393" s="2450"/>
      <c r="AK393" s="2450"/>
      <c r="AL393" s="2450"/>
      <c r="AM393" s="2450"/>
      <c r="AN393" s="2450"/>
      <c r="AO393" s="2447"/>
      <c r="AP393" s="2447"/>
      <c r="AQ393" s="2447"/>
      <c r="AR393" s="2447"/>
    </row>
    <row r="394" spans="1:44" s="313" customFormat="1" ht="15.75">
      <c r="A394" s="2447"/>
      <c r="B394" s="2451" t="s">
        <v>360</v>
      </c>
      <c r="C394" s="2417"/>
      <c r="D394" s="2417"/>
      <c r="E394" s="2417"/>
      <c r="F394" s="2417"/>
      <c r="G394" s="2417"/>
      <c r="H394" s="2417"/>
      <c r="I394" s="2417"/>
      <c r="J394" s="2417"/>
      <c r="K394" s="2417"/>
      <c r="L394" s="2417"/>
      <c r="M394" s="2417"/>
      <c r="N394" s="2417"/>
      <c r="O394" s="2417"/>
      <c r="P394" s="2417"/>
      <c r="Q394" s="2417"/>
      <c r="R394" s="2417"/>
      <c r="S394" s="2417"/>
      <c r="T394" s="2417"/>
      <c r="U394" s="2417"/>
      <c r="V394" s="2417"/>
      <c r="W394" s="2417"/>
      <c r="X394" s="2417"/>
      <c r="Y394" s="2417"/>
      <c r="Z394" s="2450"/>
      <c r="AA394" s="2450"/>
      <c r="AB394" s="2450"/>
      <c r="AC394" s="2450"/>
      <c r="AD394" s="2450"/>
      <c r="AE394" s="2450"/>
      <c r="AF394" s="2450"/>
      <c r="AG394" s="2450"/>
      <c r="AH394" s="2450"/>
      <c r="AI394" s="2450"/>
      <c r="AJ394" s="2450"/>
      <c r="AK394" s="2450"/>
      <c r="AL394" s="2450"/>
      <c r="AM394" s="2450"/>
      <c r="AN394" s="2450"/>
      <c r="AO394" s="2447"/>
      <c r="AP394" s="2447"/>
      <c r="AQ394" s="2447"/>
      <c r="AR394" s="2447"/>
    </row>
    <row r="395" spans="1:44" s="313" customFormat="1" ht="15.75">
      <c r="A395" s="2447"/>
      <c r="B395" s="2451" t="s">
        <v>1552</v>
      </c>
      <c r="C395" s="2417"/>
      <c r="D395" s="2417"/>
      <c r="E395" s="2417"/>
      <c r="F395" s="2417"/>
      <c r="G395" s="2417"/>
      <c r="H395" s="2417"/>
      <c r="I395" s="2417"/>
      <c r="J395" s="2417"/>
      <c r="K395" s="2417"/>
      <c r="L395" s="2417"/>
      <c r="M395" s="2417"/>
      <c r="N395" s="2417"/>
      <c r="O395" s="2417"/>
      <c r="P395" s="2417"/>
      <c r="Q395" s="2417"/>
      <c r="R395" s="2417"/>
      <c r="S395" s="2417"/>
      <c r="T395" s="2417"/>
      <c r="U395" s="2417"/>
      <c r="V395" s="2417"/>
      <c r="W395" s="2417"/>
      <c r="X395" s="2417"/>
      <c r="Y395" s="2417"/>
      <c r="Z395" s="2450"/>
      <c r="AA395" s="2450"/>
      <c r="AB395" s="2450"/>
      <c r="AC395" s="2450"/>
      <c r="AD395" s="2450"/>
      <c r="AE395" s="2450"/>
      <c r="AF395" s="2450"/>
      <c r="AG395" s="2450"/>
      <c r="AH395" s="2450"/>
      <c r="AI395" s="2450"/>
      <c r="AJ395" s="2450"/>
      <c r="AK395" s="2450"/>
      <c r="AL395" s="2450"/>
      <c r="AM395" s="2450"/>
      <c r="AN395" s="2450"/>
      <c r="AO395" s="2447"/>
      <c r="AP395" s="2447"/>
      <c r="AQ395" s="2447"/>
      <c r="AR395" s="2447"/>
    </row>
    <row r="396" spans="1:44" s="313" customFormat="1" ht="15.75">
      <c r="A396" s="2447"/>
      <c r="B396" s="2451" t="s">
        <v>1936</v>
      </c>
      <c r="C396" s="2417"/>
      <c r="D396" s="2417"/>
      <c r="E396" s="2417"/>
      <c r="F396" s="2417"/>
      <c r="G396" s="2417"/>
      <c r="H396" s="2417"/>
      <c r="I396" s="2417"/>
      <c r="J396" s="2417"/>
      <c r="K396" s="2417"/>
      <c r="L396" s="2417"/>
      <c r="M396" s="2417"/>
      <c r="N396" s="2417"/>
      <c r="O396" s="2417"/>
      <c r="P396" s="2417"/>
      <c r="Q396" s="2417"/>
      <c r="R396" s="2417"/>
      <c r="S396" s="2417"/>
      <c r="T396" s="2417"/>
      <c r="U396" s="2417"/>
      <c r="V396" s="2417"/>
      <c r="W396" s="2417"/>
      <c r="X396" s="2417"/>
      <c r="Y396" s="2417"/>
      <c r="Z396" s="2450"/>
      <c r="AA396" s="2450"/>
      <c r="AB396" s="2450"/>
      <c r="AC396" s="2450"/>
      <c r="AD396" s="2450"/>
      <c r="AE396" s="2450"/>
      <c r="AF396" s="2450"/>
      <c r="AG396" s="2450"/>
      <c r="AH396" s="2450"/>
      <c r="AI396" s="2450"/>
      <c r="AJ396" s="2450"/>
      <c r="AK396" s="2450"/>
      <c r="AL396" s="2450"/>
      <c r="AM396" s="2450"/>
      <c r="AN396" s="2450"/>
      <c r="AO396" s="2447"/>
      <c r="AP396" s="2447"/>
      <c r="AQ396" s="2447"/>
      <c r="AR396" s="2447"/>
    </row>
    <row r="397" spans="1:44" s="313" customFormat="1" ht="15.75">
      <c r="A397" s="2447"/>
      <c r="B397" s="2451" t="s">
        <v>1161</v>
      </c>
      <c r="C397" s="2417"/>
      <c r="D397" s="2417"/>
      <c r="E397" s="2417"/>
      <c r="F397" s="2417"/>
      <c r="G397" s="2417"/>
      <c r="H397" s="2417"/>
      <c r="I397" s="2417"/>
      <c r="J397" s="2417"/>
      <c r="K397" s="2417"/>
      <c r="L397" s="2417"/>
      <c r="M397" s="2417"/>
      <c r="N397" s="2417"/>
      <c r="O397" s="2417"/>
      <c r="P397" s="2417"/>
      <c r="Q397" s="2417"/>
      <c r="R397" s="2417"/>
      <c r="S397" s="2417"/>
      <c r="T397" s="2417"/>
      <c r="U397" s="2417"/>
      <c r="V397" s="2417"/>
      <c r="W397" s="2417"/>
      <c r="X397" s="2417"/>
      <c r="Y397" s="2417"/>
      <c r="Z397" s="2450"/>
      <c r="AA397" s="2450"/>
      <c r="AB397" s="2450"/>
      <c r="AC397" s="2450"/>
      <c r="AD397" s="2450"/>
      <c r="AE397" s="2450"/>
      <c r="AF397" s="2450"/>
      <c r="AG397" s="2450"/>
      <c r="AH397" s="2450"/>
      <c r="AI397" s="2450"/>
      <c r="AJ397" s="2450"/>
      <c r="AK397" s="2450"/>
      <c r="AL397" s="2450"/>
      <c r="AM397" s="2450"/>
      <c r="AN397" s="2450"/>
      <c r="AO397" s="2447"/>
      <c r="AP397" s="2447"/>
      <c r="AQ397" s="2447"/>
      <c r="AR397" s="2447"/>
    </row>
    <row r="398" spans="1:44" s="313" customFormat="1" ht="15.75">
      <c r="A398" s="2447"/>
      <c r="B398" s="2451" t="s">
        <v>1185</v>
      </c>
      <c r="C398" s="2417"/>
      <c r="D398" s="2417"/>
      <c r="E398" s="2417"/>
      <c r="F398" s="2417"/>
      <c r="G398" s="2417"/>
      <c r="H398" s="2417"/>
      <c r="I398" s="2417"/>
      <c r="J398" s="2417"/>
      <c r="K398" s="2417"/>
      <c r="L398" s="2417"/>
      <c r="M398" s="2417"/>
      <c r="N398" s="2417"/>
      <c r="O398" s="2417"/>
      <c r="P398" s="2417"/>
      <c r="Q398" s="2417"/>
      <c r="R398" s="2417"/>
      <c r="S398" s="2417"/>
      <c r="T398" s="2417"/>
      <c r="U398" s="2417"/>
      <c r="V398" s="2417"/>
      <c r="W398" s="2417"/>
      <c r="X398" s="2417"/>
      <c r="Y398" s="2417"/>
      <c r="Z398" s="2450"/>
      <c r="AA398" s="2450"/>
      <c r="AB398" s="2450"/>
      <c r="AC398" s="2450"/>
      <c r="AD398" s="2450"/>
      <c r="AE398" s="2450"/>
      <c r="AF398" s="2450"/>
      <c r="AG398" s="2450"/>
      <c r="AH398" s="2450"/>
      <c r="AI398" s="2450"/>
      <c r="AJ398" s="2450"/>
      <c r="AK398" s="2450"/>
      <c r="AL398" s="2450"/>
      <c r="AM398" s="2450"/>
      <c r="AN398" s="2450"/>
      <c r="AO398" s="2447"/>
      <c r="AP398" s="2447"/>
      <c r="AQ398" s="2447"/>
      <c r="AR398" s="2447"/>
    </row>
    <row r="399" spans="1:44" s="313" customFormat="1" ht="15.75">
      <c r="A399" s="2447"/>
      <c r="B399" s="2451" t="s">
        <v>1728</v>
      </c>
      <c r="C399" s="2417"/>
      <c r="D399" s="2417"/>
      <c r="E399" s="2417"/>
      <c r="F399" s="2417"/>
      <c r="G399" s="2417"/>
      <c r="H399" s="2417"/>
      <c r="I399" s="2417"/>
      <c r="J399" s="2417"/>
      <c r="K399" s="2417"/>
      <c r="L399" s="2417"/>
      <c r="M399" s="2417"/>
      <c r="N399" s="2417"/>
      <c r="O399" s="2417"/>
      <c r="P399" s="2417"/>
      <c r="Q399" s="2417"/>
      <c r="R399" s="2417"/>
      <c r="S399" s="2417"/>
      <c r="T399" s="2417"/>
      <c r="U399" s="2417"/>
      <c r="V399" s="2417"/>
      <c r="W399" s="2417"/>
      <c r="X399" s="2417"/>
      <c r="Y399" s="2417"/>
      <c r="Z399" s="2450"/>
      <c r="AA399" s="2450"/>
      <c r="AB399" s="2450"/>
      <c r="AC399" s="2450"/>
      <c r="AD399" s="2450"/>
      <c r="AE399" s="2450"/>
      <c r="AF399" s="2450"/>
      <c r="AG399" s="2450"/>
      <c r="AH399" s="2450"/>
      <c r="AI399" s="2450"/>
      <c r="AJ399" s="2450"/>
      <c r="AK399" s="2450"/>
      <c r="AL399" s="2450"/>
      <c r="AM399" s="2450"/>
      <c r="AN399" s="2450"/>
      <c r="AO399" s="2447"/>
      <c r="AP399" s="2447"/>
      <c r="AQ399" s="2447"/>
      <c r="AR399" s="2447"/>
    </row>
    <row r="400" spans="1:44" s="313" customFormat="1" ht="15.75">
      <c r="A400" s="2447"/>
      <c r="B400" s="2451" t="s">
        <v>1729</v>
      </c>
      <c r="C400" s="2417"/>
      <c r="D400" s="2417"/>
      <c r="E400" s="2417"/>
      <c r="F400" s="2417"/>
      <c r="G400" s="2417"/>
      <c r="H400" s="2417"/>
      <c r="I400" s="2417"/>
      <c r="J400" s="2417"/>
      <c r="K400" s="2417"/>
      <c r="L400" s="2417"/>
      <c r="M400" s="2417"/>
      <c r="N400" s="2417"/>
      <c r="O400" s="2417"/>
      <c r="P400" s="2417"/>
      <c r="Q400" s="2417"/>
      <c r="R400" s="2417"/>
      <c r="S400" s="2417"/>
      <c r="T400" s="2417"/>
      <c r="U400" s="2417"/>
      <c r="V400" s="2417"/>
      <c r="W400" s="2417"/>
      <c r="X400" s="2417"/>
      <c r="Y400" s="2417"/>
      <c r="Z400" s="2450"/>
      <c r="AA400" s="2450"/>
      <c r="AB400" s="2450"/>
      <c r="AC400" s="2450"/>
      <c r="AD400" s="2450"/>
      <c r="AE400" s="2450"/>
      <c r="AF400" s="2450"/>
      <c r="AG400" s="2450"/>
      <c r="AH400" s="2450"/>
      <c r="AI400" s="2450"/>
      <c r="AJ400" s="2450"/>
      <c r="AK400" s="2450"/>
      <c r="AL400" s="2450"/>
      <c r="AM400" s="2450"/>
      <c r="AN400" s="2450"/>
      <c r="AO400" s="2447"/>
      <c r="AP400" s="2447"/>
      <c r="AQ400" s="2447"/>
      <c r="AR400" s="2447"/>
    </row>
    <row r="401" spans="1:44" s="313" customFormat="1" ht="15.75">
      <c r="A401" s="2447"/>
      <c r="B401" s="2451" t="s">
        <v>1730</v>
      </c>
      <c r="C401" s="2417"/>
      <c r="D401" s="2417"/>
      <c r="E401" s="2417"/>
      <c r="F401" s="2417"/>
      <c r="G401" s="2417"/>
      <c r="H401" s="2417"/>
      <c r="I401" s="2417"/>
      <c r="J401" s="2417"/>
      <c r="K401" s="2417"/>
      <c r="L401" s="2417"/>
      <c r="M401" s="2417"/>
      <c r="N401" s="2417"/>
      <c r="O401" s="2417"/>
      <c r="P401" s="2417"/>
      <c r="Q401" s="2417"/>
      <c r="R401" s="2417"/>
      <c r="S401" s="2417"/>
      <c r="T401" s="2417"/>
      <c r="U401" s="2417"/>
      <c r="V401" s="2417"/>
      <c r="W401" s="2417"/>
      <c r="X401" s="2417"/>
      <c r="Y401" s="2417"/>
      <c r="Z401" s="2450"/>
      <c r="AA401" s="2450"/>
      <c r="AB401" s="2450"/>
      <c r="AC401" s="2450"/>
      <c r="AD401" s="2450"/>
      <c r="AE401" s="2450"/>
      <c r="AF401" s="2450"/>
      <c r="AG401" s="2450"/>
      <c r="AH401" s="2450"/>
      <c r="AI401" s="2450"/>
      <c r="AJ401" s="2450"/>
      <c r="AK401" s="2450"/>
      <c r="AL401" s="2450"/>
      <c r="AM401" s="2450"/>
      <c r="AN401" s="2450"/>
      <c r="AO401" s="2447"/>
      <c r="AP401" s="2447"/>
      <c r="AQ401" s="2447"/>
      <c r="AR401" s="2447"/>
    </row>
    <row r="402" spans="1:44" s="313" customFormat="1" ht="15.75">
      <c r="A402" s="2447"/>
      <c r="B402" s="2451" t="s">
        <v>1731</v>
      </c>
      <c r="C402" s="2417"/>
      <c r="D402" s="2417"/>
      <c r="E402" s="2417"/>
      <c r="F402" s="2417"/>
      <c r="G402" s="2417"/>
      <c r="H402" s="2417"/>
      <c r="I402" s="2417"/>
      <c r="J402" s="2417"/>
      <c r="K402" s="2417"/>
      <c r="L402" s="2417"/>
      <c r="M402" s="2417"/>
      <c r="N402" s="2417"/>
      <c r="O402" s="2417"/>
      <c r="P402" s="2417"/>
      <c r="Q402" s="2417"/>
      <c r="R402" s="2417"/>
      <c r="S402" s="2417"/>
      <c r="T402" s="2417"/>
      <c r="U402" s="2417"/>
      <c r="V402" s="2417"/>
      <c r="W402" s="2417"/>
      <c r="X402" s="2417"/>
      <c r="Y402" s="2417"/>
      <c r="Z402" s="2450"/>
      <c r="AA402" s="2450"/>
      <c r="AB402" s="2450"/>
      <c r="AC402" s="2450"/>
      <c r="AD402" s="2450"/>
      <c r="AE402" s="2450"/>
      <c r="AF402" s="2450"/>
      <c r="AG402" s="2450"/>
      <c r="AH402" s="2450"/>
      <c r="AI402" s="2450"/>
      <c r="AJ402" s="2450"/>
      <c r="AK402" s="2450"/>
      <c r="AL402" s="2450"/>
      <c r="AM402" s="2450"/>
      <c r="AN402" s="2450"/>
      <c r="AO402" s="2447"/>
      <c r="AP402" s="2447"/>
      <c r="AQ402" s="2447"/>
      <c r="AR402" s="2447"/>
    </row>
    <row r="403" spans="1:44" s="313" customFormat="1" ht="15.75">
      <c r="A403" s="2447"/>
      <c r="B403" s="2451" t="s">
        <v>1732</v>
      </c>
      <c r="C403" s="2417"/>
      <c r="D403" s="2417"/>
      <c r="E403" s="2417"/>
      <c r="F403" s="2417"/>
      <c r="G403" s="2417"/>
      <c r="H403" s="2417"/>
      <c r="I403" s="2417"/>
      <c r="J403" s="2417"/>
      <c r="K403" s="2417"/>
      <c r="L403" s="2417"/>
      <c r="M403" s="2417"/>
      <c r="N403" s="2417"/>
      <c r="O403" s="2417"/>
      <c r="P403" s="2417"/>
      <c r="Q403" s="2417"/>
      <c r="R403" s="2417"/>
      <c r="S403" s="2417"/>
      <c r="T403" s="2417"/>
      <c r="U403" s="2417"/>
      <c r="V403" s="2417"/>
      <c r="W403" s="2417"/>
      <c r="X403" s="2417"/>
      <c r="Y403" s="2417"/>
      <c r="Z403" s="2450"/>
      <c r="AA403" s="2450"/>
      <c r="AB403" s="2450"/>
      <c r="AC403" s="2450"/>
      <c r="AD403" s="2450"/>
      <c r="AE403" s="2450"/>
      <c r="AF403" s="2450"/>
      <c r="AG403" s="2450"/>
      <c r="AH403" s="2450"/>
      <c r="AI403" s="2450"/>
      <c r="AJ403" s="2450"/>
      <c r="AK403" s="2450"/>
      <c r="AL403" s="2450"/>
      <c r="AM403" s="2450"/>
      <c r="AN403" s="2450"/>
      <c r="AO403" s="2447"/>
      <c r="AP403" s="2447"/>
      <c r="AQ403" s="2447"/>
      <c r="AR403" s="2447"/>
    </row>
    <row r="404" spans="1:44" s="313" customFormat="1" ht="15.75">
      <c r="A404" s="2447"/>
      <c r="B404" s="2451" t="s">
        <v>1733</v>
      </c>
      <c r="C404" s="2417"/>
      <c r="D404" s="2417"/>
      <c r="E404" s="2417"/>
      <c r="F404" s="2417"/>
      <c r="G404" s="2417"/>
      <c r="H404" s="2417"/>
      <c r="I404" s="2417"/>
      <c r="J404" s="2417"/>
      <c r="K404" s="2417"/>
      <c r="L404" s="2417"/>
      <c r="M404" s="2417"/>
      <c r="N404" s="2417"/>
      <c r="O404" s="2417"/>
      <c r="P404" s="2417"/>
      <c r="Q404" s="2417"/>
      <c r="R404" s="2417"/>
      <c r="S404" s="2417"/>
      <c r="T404" s="2417"/>
      <c r="U404" s="2417"/>
      <c r="V404" s="2417"/>
      <c r="W404" s="2417"/>
      <c r="X404" s="2417"/>
      <c r="Y404" s="2417"/>
      <c r="Z404" s="2450"/>
      <c r="AA404" s="2450"/>
      <c r="AB404" s="2450"/>
      <c r="AC404" s="2450"/>
      <c r="AD404" s="2450"/>
      <c r="AE404" s="2450"/>
      <c r="AF404" s="2450"/>
      <c r="AG404" s="2450"/>
      <c r="AH404" s="2450"/>
      <c r="AI404" s="2450"/>
      <c r="AJ404" s="2450"/>
      <c r="AK404" s="2450"/>
      <c r="AL404" s="2450"/>
      <c r="AM404" s="2450"/>
      <c r="AN404" s="2450"/>
      <c r="AO404" s="2447"/>
      <c r="AP404" s="2447"/>
      <c r="AQ404" s="2447"/>
      <c r="AR404" s="2447"/>
    </row>
    <row r="405" spans="1:44" s="313" customFormat="1" ht="15.75">
      <c r="A405" s="2447"/>
      <c r="B405" s="2451" t="s">
        <v>1734</v>
      </c>
      <c r="C405" s="2417"/>
      <c r="D405" s="2417"/>
      <c r="E405" s="2417"/>
      <c r="F405" s="2417"/>
      <c r="G405" s="2417"/>
      <c r="H405" s="2417"/>
      <c r="I405" s="2417"/>
      <c r="J405" s="2417"/>
      <c r="K405" s="2417"/>
      <c r="L405" s="2417"/>
      <c r="M405" s="2417"/>
      <c r="N405" s="2417"/>
      <c r="O405" s="2417"/>
      <c r="P405" s="2417"/>
      <c r="Q405" s="2417"/>
      <c r="R405" s="2417"/>
      <c r="S405" s="2417"/>
      <c r="T405" s="2417"/>
      <c r="U405" s="2417"/>
      <c r="V405" s="2417"/>
      <c r="W405" s="2417"/>
      <c r="X405" s="2417"/>
      <c r="Y405" s="2417"/>
      <c r="Z405" s="2450"/>
      <c r="AA405" s="2450"/>
      <c r="AB405" s="2450"/>
      <c r="AC405" s="2450"/>
      <c r="AD405" s="2450"/>
      <c r="AE405" s="2450"/>
      <c r="AF405" s="2450"/>
      <c r="AG405" s="2450"/>
      <c r="AH405" s="2450"/>
      <c r="AI405" s="2450"/>
      <c r="AJ405" s="2450"/>
      <c r="AK405" s="2450"/>
      <c r="AL405" s="2450"/>
      <c r="AM405" s="2450"/>
      <c r="AN405" s="2450"/>
      <c r="AO405" s="2447"/>
      <c r="AP405" s="2447"/>
      <c r="AQ405" s="2447"/>
      <c r="AR405" s="2447"/>
    </row>
    <row r="406" spans="1:44" s="313" customFormat="1" ht="15.75">
      <c r="A406" s="2447"/>
      <c r="B406" s="2451" t="s">
        <v>1735</v>
      </c>
      <c r="C406" s="2417"/>
      <c r="D406" s="2417"/>
      <c r="E406" s="2417"/>
      <c r="F406" s="2417"/>
      <c r="G406" s="2417"/>
      <c r="H406" s="2417"/>
      <c r="I406" s="2417"/>
      <c r="J406" s="2417"/>
      <c r="K406" s="2417"/>
      <c r="L406" s="2417"/>
      <c r="M406" s="2417"/>
      <c r="N406" s="2417"/>
      <c r="O406" s="2417"/>
      <c r="P406" s="2417"/>
      <c r="Q406" s="2417"/>
      <c r="R406" s="2417"/>
      <c r="S406" s="2417"/>
      <c r="T406" s="2417"/>
      <c r="U406" s="2417"/>
      <c r="V406" s="2417"/>
      <c r="W406" s="2417"/>
      <c r="X406" s="2417"/>
      <c r="Y406" s="2417"/>
      <c r="Z406" s="2450"/>
      <c r="AA406" s="2450"/>
      <c r="AB406" s="2450"/>
      <c r="AC406" s="2450"/>
      <c r="AD406" s="2450"/>
      <c r="AE406" s="2450"/>
      <c r="AF406" s="2450"/>
      <c r="AG406" s="2450"/>
      <c r="AH406" s="2450"/>
      <c r="AI406" s="2450"/>
      <c r="AJ406" s="2450"/>
      <c r="AK406" s="2450"/>
      <c r="AL406" s="2450"/>
      <c r="AM406" s="2450"/>
      <c r="AN406" s="2450"/>
      <c r="AO406" s="2447"/>
      <c r="AP406" s="2447"/>
      <c r="AQ406" s="2447"/>
      <c r="AR406" s="2447"/>
    </row>
    <row r="407" spans="1:44" s="313" customFormat="1" ht="15.75">
      <c r="A407" s="2447"/>
      <c r="B407" s="2447" t="s">
        <v>968</v>
      </c>
      <c r="C407" s="2453"/>
      <c r="D407" s="2454"/>
      <c r="E407" s="2454"/>
      <c r="F407" s="2454"/>
      <c r="G407" s="2454"/>
      <c r="H407" s="2454"/>
      <c r="I407" s="2454"/>
      <c r="J407" s="2454"/>
      <c r="K407" s="2454"/>
      <c r="L407" s="2454"/>
      <c r="M407" s="2454"/>
      <c r="N407" s="2454"/>
      <c r="O407" s="2454"/>
      <c r="P407" s="2454"/>
      <c r="Q407" s="2454"/>
      <c r="R407" s="2454"/>
      <c r="S407" s="2454"/>
      <c r="T407" s="2454"/>
      <c r="U407" s="2454"/>
      <c r="V407" s="2454"/>
      <c r="W407" s="2454"/>
      <c r="X407" s="2454"/>
      <c r="Y407" s="2454"/>
      <c r="Z407" s="2450"/>
      <c r="AA407" s="2450"/>
      <c r="AB407" s="2450"/>
      <c r="AC407" s="2450"/>
      <c r="AD407" s="2450"/>
      <c r="AE407" s="2450"/>
      <c r="AF407" s="2450"/>
      <c r="AG407" s="2450"/>
      <c r="AH407" s="2450"/>
      <c r="AI407" s="2450"/>
      <c r="AJ407" s="2450"/>
      <c r="AK407" s="2450"/>
      <c r="AL407" s="2450"/>
      <c r="AM407" s="2450"/>
      <c r="AN407" s="2450"/>
      <c r="AO407" s="2447"/>
      <c r="AP407" s="2447"/>
      <c r="AQ407" s="2447"/>
      <c r="AR407" s="2447"/>
    </row>
    <row r="408" spans="1:44" s="313" customFormat="1" ht="15.75">
      <c r="A408" s="2447"/>
      <c r="B408" s="2447" t="s">
        <v>965</v>
      </c>
      <c r="C408" s="2453"/>
      <c r="D408" s="2417"/>
      <c r="E408" s="2417"/>
      <c r="F408" s="2417"/>
      <c r="G408" s="2417"/>
      <c r="H408" s="2417"/>
      <c r="I408" s="2417"/>
      <c r="J408" s="2417"/>
      <c r="K408" s="2417"/>
      <c r="L408" s="2417"/>
      <c r="M408" s="2417"/>
      <c r="N408" s="2417"/>
      <c r="O408" s="2417"/>
      <c r="P408" s="2417"/>
      <c r="Q408" s="2417"/>
      <c r="R408" s="2417"/>
      <c r="S408" s="2417"/>
      <c r="T408" s="2417"/>
      <c r="U408" s="2417"/>
      <c r="V408" s="2417"/>
      <c r="W408" s="2417"/>
      <c r="X408" s="2417"/>
      <c r="Y408" s="2417"/>
      <c r="Z408" s="2450"/>
      <c r="AA408" s="2450"/>
      <c r="AB408" s="2450"/>
      <c r="AC408" s="2450"/>
      <c r="AD408" s="2450"/>
      <c r="AE408" s="2450"/>
      <c r="AF408" s="2450"/>
      <c r="AG408" s="2450"/>
      <c r="AH408" s="2450"/>
      <c r="AI408" s="2450"/>
      <c r="AJ408" s="2450"/>
      <c r="AK408" s="2450"/>
      <c r="AL408" s="2450"/>
      <c r="AM408" s="2450"/>
      <c r="AN408" s="2450"/>
      <c r="AO408" s="2447"/>
      <c r="AP408" s="2447"/>
      <c r="AQ408" s="2447"/>
      <c r="AR408" s="2447"/>
    </row>
    <row r="409" spans="1:44" s="313" customFormat="1" ht="15.75">
      <c r="A409" s="2447"/>
      <c r="B409" s="2451"/>
      <c r="C409" s="2417"/>
      <c r="D409" s="2417"/>
      <c r="E409" s="2417"/>
      <c r="F409" s="2417"/>
      <c r="G409" s="2417"/>
      <c r="H409" s="2417"/>
      <c r="I409" s="2417"/>
      <c r="J409" s="2417"/>
      <c r="K409" s="2417"/>
      <c r="L409" s="2417"/>
      <c r="M409" s="2417"/>
      <c r="N409" s="2417"/>
      <c r="O409" s="2417"/>
      <c r="P409" s="2417"/>
      <c r="Q409" s="2417"/>
      <c r="R409" s="2417"/>
      <c r="S409" s="2417"/>
      <c r="T409" s="2417"/>
      <c r="U409" s="2417"/>
      <c r="V409" s="2417"/>
      <c r="W409" s="2417"/>
      <c r="X409" s="2417"/>
      <c r="Y409" s="2417"/>
      <c r="Z409" s="2450"/>
      <c r="AA409" s="2450"/>
      <c r="AB409" s="2450"/>
      <c r="AC409" s="2450"/>
      <c r="AD409" s="2450"/>
      <c r="AE409" s="2450"/>
      <c r="AF409" s="2450"/>
      <c r="AG409" s="2450"/>
      <c r="AH409" s="2450"/>
      <c r="AI409" s="2450"/>
      <c r="AJ409" s="2450"/>
      <c r="AK409" s="2450"/>
      <c r="AL409" s="2450"/>
      <c r="AM409" s="2450"/>
      <c r="AN409" s="2450"/>
      <c r="AO409" s="2447"/>
      <c r="AP409" s="2447"/>
      <c r="AQ409" s="2447"/>
      <c r="AR409" s="2447"/>
    </row>
    <row r="410" spans="1:44" s="313" customFormat="1" ht="15.75">
      <c r="A410" s="2447"/>
      <c r="B410" s="2455"/>
      <c r="C410" s="2456"/>
      <c r="D410" s="2456"/>
      <c r="E410" s="2456"/>
      <c r="F410" s="2456"/>
      <c r="G410" s="2457"/>
      <c r="H410" s="2457"/>
      <c r="I410" s="2457"/>
      <c r="J410" s="2457"/>
      <c r="K410" s="2457"/>
      <c r="L410" s="2457"/>
      <c r="M410" s="2457"/>
      <c r="N410" s="2457"/>
      <c r="O410" s="2457"/>
      <c r="P410" s="2457"/>
      <c r="Q410" s="2456"/>
      <c r="R410" s="2456"/>
      <c r="S410" s="2456"/>
      <c r="T410" s="2456"/>
      <c r="U410" s="2456"/>
      <c r="V410" s="2456"/>
      <c r="W410" s="2456"/>
      <c r="X410" s="2456"/>
      <c r="Y410" s="2456"/>
      <c r="Z410" s="2450"/>
      <c r="AA410" s="2450"/>
      <c r="AB410" s="2450"/>
      <c r="AC410" s="2450"/>
      <c r="AD410" s="2450"/>
      <c r="AE410" s="2450"/>
      <c r="AF410" s="2450"/>
      <c r="AG410" s="2450"/>
      <c r="AH410" s="2450"/>
      <c r="AI410" s="2450"/>
      <c r="AJ410" s="2450"/>
      <c r="AK410" s="2450"/>
      <c r="AL410" s="2450"/>
      <c r="AM410" s="2450"/>
      <c r="AN410" s="2450"/>
      <c r="AO410" s="2447"/>
      <c r="AP410" s="2447"/>
      <c r="AQ410" s="2447"/>
      <c r="AR410" s="2447"/>
    </row>
    <row r="411" spans="1:44" s="313" customFormat="1" ht="15.75">
      <c r="A411" s="2447"/>
      <c r="B411" s="2449" t="s">
        <v>1834</v>
      </c>
      <c r="C411" s="2417" t="s">
        <v>967</v>
      </c>
      <c r="D411" s="2417"/>
      <c r="E411" s="2417"/>
      <c r="F411" s="2417"/>
      <c r="G411" s="2417"/>
      <c r="H411" s="2417"/>
      <c r="I411" s="2417"/>
      <c r="J411" s="2417"/>
      <c r="K411" s="2417"/>
      <c r="L411" s="2417"/>
      <c r="M411" s="2417"/>
      <c r="N411" s="2417"/>
      <c r="O411" s="2417"/>
      <c r="P411" s="2417"/>
      <c r="Q411" s="2417"/>
      <c r="R411" s="2417"/>
      <c r="S411" s="2417"/>
      <c r="T411" s="2417"/>
      <c r="U411" s="2417"/>
      <c r="V411" s="2417"/>
      <c r="W411" s="2417"/>
      <c r="X411" s="2417"/>
      <c r="Y411" s="2417"/>
      <c r="Z411" s="2450"/>
      <c r="AA411" s="2450"/>
      <c r="AB411" s="2450"/>
      <c r="AC411" s="2450"/>
      <c r="AD411" s="2450"/>
      <c r="AE411" s="2450"/>
      <c r="AF411" s="2450"/>
      <c r="AG411" s="2450"/>
      <c r="AH411" s="2450"/>
      <c r="AI411" s="2450"/>
      <c r="AJ411" s="2450"/>
      <c r="AK411" s="2450"/>
      <c r="AL411" s="2450"/>
      <c r="AM411" s="2450"/>
      <c r="AN411" s="2450"/>
      <c r="AO411" s="2447"/>
      <c r="AP411" s="2447"/>
      <c r="AQ411" s="2447"/>
      <c r="AR411" s="2447"/>
    </row>
    <row r="412" spans="1:44" s="313" customFormat="1" ht="15.75">
      <c r="A412" s="2447"/>
      <c r="B412" s="2451" t="s">
        <v>1157</v>
      </c>
      <c r="C412" s="2417"/>
      <c r="D412" s="2417"/>
      <c r="E412" s="2417"/>
      <c r="F412" s="2417"/>
      <c r="G412" s="2417">
        <f>Africa!C7</f>
        <v>11700</v>
      </c>
      <c r="H412" s="2417">
        <f>Africa!D7</f>
        <v>11700</v>
      </c>
      <c r="I412" s="2417">
        <f>Africa!E7</f>
        <v>11700</v>
      </c>
      <c r="J412" s="2417">
        <f>Africa!F7</f>
        <v>11987</v>
      </c>
      <c r="K412" s="2417">
        <f>Africa!G7</f>
        <v>12522</v>
      </c>
      <c r="L412" s="2417">
        <f>Africa!H7</f>
        <v>12522</v>
      </c>
      <c r="M412" s="2417">
        <f>Africa!I7</f>
        <v>12248.67724867725</v>
      </c>
      <c r="N412" s="2417">
        <f>Africa!J7</f>
        <v>13822.751322751323</v>
      </c>
      <c r="O412" s="2417">
        <f>Africa!K7</f>
        <v>12337.480625026183</v>
      </c>
      <c r="P412" s="2417">
        <f>Africa!L7</f>
        <v>12330.507376007883</v>
      </c>
      <c r="Q412" s="2417">
        <f>Africa!M7</f>
        <v>12947.347779194039</v>
      </c>
      <c r="R412" s="2417">
        <f>Africa!N7</f>
        <v>13309.671694764864</v>
      </c>
      <c r="S412" s="2417">
        <f>Africa!O7</f>
        <v>13814.102564102566</v>
      </c>
      <c r="T412" s="2417">
        <f>Africa!P7</f>
        <v>13363.883025505716</v>
      </c>
      <c r="U412" s="2417">
        <f>Africa!Q7</f>
        <v>13520.240456904134</v>
      </c>
      <c r="V412" s="2417">
        <f>Africa!R7</f>
        <v>13678.427270249913</v>
      </c>
      <c r="W412" s="2417">
        <f>Africa!S7</f>
        <v>13838.464869311838</v>
      </c>
      <c r="X412" s="2417"/>
      <c r="Y412" s="2417"/>
      <c r="Z412" s="2450"/>
      <c r="AA412" s="2450"/>
      <c r="AB412" s="2450"/>
      <c r="AC412" s="2450"/>
      <c r="AD412" s="2450"/>
      <c r="AE412" s="2450"/>
      <c r="AF412" s="2450"/>
      <c r="AG412" s="2450"/>
      <c r="AH412" s="2450"/>
      <c r="AI412" s="2450"/>
      <c r="AJ412" s="2450"/>
      <c r="AK412" s="2450"/>
      <c r="AL412" s="2450"/>
      <c r="AM412" s="2450"/>
      <c r="AN412" s="2450"/>
      <c r="AO412" s="2447"/>
      <c r="AP412" s="2447"/>
      <c r="AQ412" s="2447"/>
      <c r="AR412" s="2447"/>
    </row>
    <row r="413" spans="1:44" s="313" customFormat="1" ht="15.75">
      <c r="A413" s="2447"/>
      <c r="B413" s="2451" t="s">
        <v>1158</v>
      </c>
      <c r="C413" s="2417"/>
      <c r="D413" s="2417"/>
      <c r="E413" s="2417"/>
      <c r="F413" s="2417"/>
      <c r="G413" s="2417">
        <f>Africa!C50</f>
        <v>97.804000000000002</v>
      </c>
      <c r="H413" s="2417">
        <f>Africa!D50</f>
        <v>206.506</v>
      </c>
      <c r="I413" s="2417">
        <f>Africa!E50</f>
        <v>339.88400000000001</v>
      </c>
      <c r="J413" s="2417">
        <f>Africa!F50</f>
        <v>679.91399999999999</v>
      </c>
      <c r="K413" s="2417">
        <f>Africa!G50</f>
        <v>894.61699999999996</v>
      </c>
      <c r="L413" s="2417">
        <f>Africa!H50</f>
        <v>1118.5050000000001</v>
      </c>
      <c r="M413" s="2417">
        <f>Africa!I50</f>
        <v>1852</v>
      </c>
      <c r="N413" s="2417">
        <f>Africa!J50</f>
        <v>2090</v>
      </c>
      <c r="O413" s="2417">
        <f>Africa!K50</f>
        <v>2356.0639999999999</v>
      </c>
      <c r="P413" s="2417">
        <f>Africa!L50</f>
        <v>2378</v>
      </c>
      <c r="Q413" s="2417">
        <f>Africa!M50</f>
        <v>2641</v>
      </c>
      <c r="R413" s="2417">
        <f>Africa!N50</f>
        <v>2700</v>
      </c>
      <c r="S413" s="2417">
        <f>Africa!O50</f>
        <v>3017</v>
      </c>
      <c r="T413" s="2417">
        <f>Africa!P50</f>
        <v>3038.9470000000001</v>
      </c>
      <c r="U413" s="2417">
        <f>Africa!Q50</f>
        <v>3196.1848440121371</v>
      </c>
      <c r="V413" s="2417">
        <f>Africa!R50</f>
        <v>3356.6860521193285</v>
      </c>
      <c r="W413" s="2417">
        <f>Africa!S50</f>
        <v>3520.5054627529321</v>
      </c>
      <c r="X413" s="2417"/>
      <c r="Y413" s="2417"/>
      <c r="Z413" s="2450"/>
      <c r="AA413" s="2450"/>
      <c r="AB413" s="2450"/>
      <c r="AC413" s="2450"/>
      <c r="AD413" s="2450"/>
      <c r="AE413" s="2450"/>
      <c r="AF413" s="2450"/>
      <c r="AG413" s="2450"/>
      <c r="AH413" s="2450"/>
      <c r="AI413" s="2450"/>
      <c r="AJ413" s="2450"/>
      <c r="AK413" s="2450"/>
      <c r="AL413" s="2450"/>
      <c r="AM413" s="2450"/>
      <c r="AN413" s="2450"/>
      <c r="AO413" s="2447"/>
      <c r="AP413" s="2447"/>
      <c r="AQ413" s="2447"/>
      <c r="AR413" s="2447"/>
    </row>
    <row r="414" spans="1:44" s="313" customFormat="1" ht="15.75">
      <c r="A414" s="2447"/>
      <c r="B414" s="2451" t="s">
        <v>1159</v>
      </c>
      <c r="C414" s="2417"/>
      <c r="D414" s="2452"/>
      <c r="E414" s="2452"/>
      <c r="F414" s="2452"/>
      <c r="G414" s="2452">
        <f>Africa!C70</f>
        <v>0.3</v>
      </c>
      <c r="H414" s="2452">
        <f>Africa!D70</f>
        <v>0.3</v>
      </c>
      <c r="I414" s="2452">
        <f>Africa!E70</f>
        <v>0.3</v>
      </c>
      <c r="J414" s="2452">
        <f>Africa!F70</f>
        <v>0.40227622477542163</v>
      </c>
      <c r="K414" s="2452">
        <f>Africa!G70</f>
        <v>0.32474372377343147</v>
      </c>
      <c r="L414" s="2452">
        <f>Africa!H70</f>
        <v>0.31</v>
      </c>
      <c r="M414" s="2452">
        <f>Africa!I70</f>
        <v>0.36</v>
      </c>
      <c r="N414" s="2452">
        <f>Africa!J70</f>
        <v>0.36</v>
      </c>
      <c r="O414" s="2452">
        <f>Africa!K70</f>
        <v>0.32700000000000001</v>
      </c>
      <c r="P414" s="2452">
        <f>Africa!L70</f>
        <v>0.29899999999999999</v>
      </c>
      <c r="Q414" s="2452">
        <f>Africa!M70</f>
        <v>0.31</v>
      </c>
      <c r="R414" s="2452">
        <f>Africa!N70</f>
        <v>0.29399999999999998</v>
      </c>
      <c r="S414" s="2452">
        <f>Africa!O70</f>
        <v>0.3</v>
      </c>
      <c r="T414" s="2452">
        <f>Africa!P70</f>
        <v>0.3</v>
      </c>
      <c r="U414" s="2452">
        <f>Africa!Q70</f>
        <v>0.3</v>
      </c>
      <c r="V414" s="2452">
        <f>Africa!R70</f>
        <v>0.3</v>
      </c>
      <c r="W414" s="2452">
        <f>Africa!S70</f>
        <v>0.3</v>
      </c>
      <c r="X414" s="2452"/>
      <c r="Y414" s="2452"/>
      <c r="Z414" s="2450"/>
      <c r="AA414" s="2450"/>
      <c r="AB414" s="2450"/>
      <c r="AC414" s="2450"/>
      <c r="AD414" s="2450"/>
      <c r="AE414" s="2450"/>
      <c r="AF414" s="2450"/>
      <c r="AG414" s="2450"/>
      <c r="AH414" s="2450"/>
      <c r="AI414" s="2450"/>
      <c r="AJ414" s="2450"/>
      <c r="AK414" s="2450"/>
      <c r="AL414" s="2450"/>
      <c r="AM414" s="2450"/>
      <c r="AN414" s="2450"/>
      <c r="AO414" s="2447"/>
      <c r="AP414" s="2447"/>
      <c r="AQ414" s="2447"/>
      <c r="AR414" s="2447"/>
    </row>
    <row r="415" spans="1:44" s="313" customFormat="1" ht="15.75">
      <c r="A415" s="2447"/>
      <c r="B415" s="2451" t="s">
        <v>1160</v>
      </c>
      <c r="C415" s="2417"/>
      <c r="D415" s="2417"/>
      <c r="E415" s="2417"/>
      <c r="F415" s="2417"/>
      <c r="G415" s="2417"/>
      <c r="H415" s="2417"/>
      <c r="I415" s="2417"/>
      <c r="J415" s="2417"/>
      <c r="K415" s="2417"/>
      <c r="L415" s="2417"/>
      <c r="M415" s="2417"/>
      <c r="N415" s="2417"/>
      <c r="O415" s="2417"/>
      <c r="P415" s="2417"/>
      <c r="Q415" s="2417"/>
      <c r="R415" s="2417"/>
      <c r="S415" s="2417"/>
      <c r="T415" s="2417"/>
      <c r="U415" s="2417"/>
      <c r="V415" s="2417"/>
      <c r="W415" s="2417"/>
      <c r="X415" s="2417"/>
      <c r="Y415" s="2417"/>
      <c r="Z415" s="2450"/>
      <c r="AA415" s="2450"/>
      <c r="AB415" s="2450"/>
      <c r="AC415" s="2450"/>
      <c r="AD415" s="2450"/>
      <c r="AE415" s="2450"/>
      <c r="AF415" s="2450"/>
      <c r="AG415" s="2450"/>
      <c r="AH415" s="2450"/>
      <c r="AI415" s="2450"/>
      <c r="AJ415" s="2450"/>
      <c r="AK415" s="2450"/>
      <c r="AL415" s="2450"/>
      <c r="AM415" s="2450"/>
      <c r="AN415" s="2450"/>
      <c r="AO415" s="2447"/>
      <c r="AP415" s="2447"/>
      <c r="AQ415" s="2447"/>
      <c r="AR415" s="2447"/>
    </row>
    <row r="416" spans="1:44" s="313" customFormat="1" ht="15.75">
      <c r="A416" s="2447"/>
      <c r="B416" s="2451" t="s">
        <v>523</v>
      </c>
      <c r="C416" s="2417"/>
      <c r="D416" s="2417"/>
      <c r="E416" s="2417"/>
      <c r="F416" s="2417"/>
      <c r="G416" s="2417"/>
      <c r="H416" s="2417"/>
      <c r="I416" s="2417"/>
      <c r="J416" s="2417"/>
      <c r="K416" s="2417"/>
      <c r="L416" s="2417"/>
      <c r="M416" s="2417"/>
      <c r="N416" s="2417"/>
      <c r="O416" s="2417"/>
      <c r="P416" s="2417"/>
      <c r="Q416" s="2417"/>
      <c r="R416" s="2417"/>
      <c r="S416" s="2417"/>
      <c r="T416" s="2417"/>
      <c r="U416" s="2417"/>
      <c r="V416" s="2417"/>
      <c r="W416" s="2417"/>
      <c r="X416" s="2417"/>
      <c r="Y416" s="2417"/>
      <c r="Z416" s="2450"/>
      <c r="AA416" s="2450"/>
      <c r="AB416" s="2450"/>
      <c r="AC416" s="2450"/>
      <c r="AD416" s="2450"/>
      <c r="AE416" s="2450"/>
      <c r="AF416" s="2450"/>
      <c r="AG416" s="2450"/>
      <c r="AH416" s="2450"/>
      <c r="AI416" s="2450"/>
      <c r="AJ416" s="2450"/>
      <c r="AK416" s="2450"/>
      <c r="AL416" s="2450"/>
      <c r="AM416" s="2450"/>
      <c r="AN416" s="2450"/>
      <c r="AO416" s="2447"/>
      <c r="AP416" s="2447"/>
      <c r="AQ416" s="2447"/>
      <c r="AR416" s="2447"/>
    </row>
    <row r="417" spans="1:44" s="313" customFormat="1" ht="15.75">
      <c r="A417" s="2447"/>
      <c r="B417" s="2451" t="s">
        <v>360</v>
      </c>
      <c r="C417" s="2417"/>
      <c r="D417" s="2417"/>
      <c r="E417" s="2417"/>
      <c r="F417" s="2417"/>
      <c r="G417" s="2417"/>
      <c r="H417" s="2417"/>
      <c r="I417" s="2417"/>
      <c r="J417" s="2417"/>
      <c r="K417" s="2417"/>
      <c r="L417" s="2417"/>
      <c r="M417" s="2417"/>
      <c r="N417" s="2417"/>
      <c r="O417" s="2417"/>
      <c r="P417" s="2417"/>
      <c r="Q417" s="2417"/>
      <c r="R417" s="2417"/>
      <c r="S417" s="2417"/>
      <c r="T417" s="2417"/>
      <c r="U417" s="2417"/>
      <c r="V417" s="2417"/>
      <c r="W417" s="2417"/>
      <c r="X417" s="2417"/>
      <c r="Y417" s="2417"/>
      <c r="Z417" s="2450"/>
      <c r="AA417" s="2450"/>
      <c r="AB417" s="2450"/>
      <c r="AC417" s="2450"/>
      <c r="AD417" s="2450"/>
      <c r="AE417" s="2450"/>
      <c r="AF417" s="2450"/>
      <c r="AG417" s="2450"/>
      <c r="AH417" s="2450"/>
      <c r="AI417" s="2450"/>
      <c r="AJ417" s="2450"/>
      <c r="AK417" s="2450"/>
      <c r="AL417" s="2450"/>
      <c r="AM417" s="2450"/>
      <c r="AN417" s="2450"/>
      <c r="AO417" s="2447"/>
      <c r="AP417" s="2447"/>
      <c r="AQ417" s="2447"/>
      <c r="AR417" s="2447"/>
    </row>
    <row r="418" spans="1:44" s="313" customFormat="1" ht="15.75">
      <c r="A418" s="2447"/>
      <c r="B418" s="2451" t="s">
        <v>1552</v>
      </c>
      <c r="C418" s="2417"/>
      <c r="D418" s="2417"/>
      <c r="E418" s="2417"/>
      <c r="F418" s="2417"/>
      <c r="G418" s="2417"/>
      <c r="H418" s="2417"/>
      <c r="I418" s="2417"/>
      <c r="J418" s="2417"/>
      <c r="K418" s="2417"/>
      <c r="L418" s="2417"/>
      <c r="M418" s="2417"/>
      <c r="N418" s="2417"/>
      <c r="O418" s="2417"/>
      <c r="P418" s="2417"/>
      <c r="Q418" s="2417"/>
      <c r="R418" s="2417"/>
      <c r="S418" s="2417"/>
      <c r="T418" s="2417"/>
      <c r="U418" s="2417"/>
      <c r="V418" s="2417"/>
      <c r="W418" s="2417"/>
      <c r="X418" s="2417"/>
      <c r="Y418" s="2417"/>
      <c r="Z418" s="2450"/>
      <c r="AA418" s="2450"/>
      <c r="AB418" s="2450"/>
      <c r="AC418" s="2450"/>
      <c r="AD418" s="2450"/>
      <c r="AE418" s="2450"/>
      <c r="AF418" s="2450"/>
      <c r="AG418" s="2450"/>
      <c r="AH418" s="2450"/>
      <c r="AI418" s="2450"/>
      <c r="AJ418" s="2450"/>
      <c r="AK418" s="2450"/>
      <c r="AL418" s="2450"/>
      <c r="AM418" s="2450"/>
      <c r="AN418" s="2450"/>
      <c r="AO418" s="2447"/>
      <c r="AP418" s="2447"/>
      <c r="AQ418" s="2447"/>
      <c r="AR418" s="2447"/>
    </row>
    <row r="419" spans="1:44" s="313" customFormat="1" ht="15.75">
      <c r="A419" s="2447"/>
      <c r="B419" s="2451" t="s">
        <v>1936</v>
      </c>
      <c r="C419" s="2417"/>
      <c r="D419" s="2417"/>
      <c r="E419" s="2417"/>
      <c r="F419" s="2417"/>
      <c r="G419" s="2417"/>
      <c r="H419" s="2417"/>
      <c r="I419" s="2417"/>
      <c r="J419" s="2417"/>
      <c r="K419" s="2417"/>
      <c r="L419" s="2417"/>
      <c r="M419" s="2417"/>
      <c r="N419" s="2417"/>
      <c r="O419" s="2417"/>
      <c r="P419" s="2417"/>
      <c r="Q419" s="2417"/>
      <c r="R419" s="2417"/>
      <c r="S419" s="2417"/>
      <c r="T419" s="2417"/>
      <c r="U419" s="2417"/>
      <c r="V419" s="2417"/>
      <c r="W419" s="2417"/>
      <c r="X419" s="2417"/>
      <c r="Y419" s="2417"/>
      <c r="Z419" s="2450"/>
      <c r="AA419" s="2450"/>
      <c r="AB419" s="2450"/>
      <c r="AC419" s="2450"/>
      <c r="AD419" s="2450"/>
      <c r="AE419" s="2450"/>
      <c r="AF419" s="2450"/>
      <c r="AG419" s="2450"/>
      <c r="AH419" s="2450"/>
      <c r="AI419" s="2450"/>
      <c r="AJ419" s="2450"/>
      <c r="AK419" s="2450"/>
      <c r="AL419" s="2450"/>
      <c r="AM419" s="2450"/>
      <c r="AN419" s="2450"/>
      <c r="AO419" s="2447"/>
      <c r="AP419" s="2447"/>
      <c r="AQ419" s="2447"/>
      <c r="AR419" s="2447"/>
    </row>
    <row r="420" spans="1:44" s="313" customFormat="1" ht="15.75">
      <c r="A420" s="2447"/>
      <c r="B420" s="2451" t="s">
        <v>1161</v>
      </c>
      <c r="C420" s="2417"/>
      <c r="D420" s="2417"/>
      <c r="E420" s="2417"/>
      <c r="F420" s="2417"/>
      <c r="G420" s="2417"/>
      <c r="H420" s="2417"/>
      <c r="I420" s="2417"/>
      <c r="J420" s="2417"/>
      <c r="K420" s="2417"/>
      <c r="L420" s="2417"/>
      <c r="M420" s="2417"/>
      <c r="N420" s="2417"/>
      <c r="O420" s="2417"/>
      <c r="P420" s="2417"/>
      <c r="Q420" s="2417"/>
      <c r="R420" s="2417"/>
      <c r="S420" s="2417"/>
      <c r="T420" s="2417"/>
      <c r="U420" s="2417"/>
      <c r="V420" s="2417"/>
      <c r="W420" s="2417"/>
      <c r="X420" s="2417"/>
      <c r="Y420" s="2417"/>
      <c r="Z420" s="2450"/>
      <c r="AA420" s="2450"/>
      <c r="AB420" s="2450"/>
      <c r="AC420" s="2450"/>
      <c r="AD420" s="2450"/>
      <c r="AE420" s="2450"/>
      <c r="AF420" s="2450"/>
      <c r="AG420" s="2450"/>
      <c r="AH420" s="2450"/>
      <c r="AI420" s="2450"/>
      <c r="AJ420" s="2450"/>
      <c r="AK420" s="2450"/>
      <c r="AL420" s="2450"/>
      <c r="AM420" s="2450"/>
      <c r="AN420" s="2450"/>
      <c r="AO420" s="2447"/>
      <c r="AP420" s="2447"/>
      <c r="AQ420" s="2447"/>
      <c r="AR420" s="2447"/>
    </row>
    <row r="421" spans="1:44" s="313" customFormat="1" ht="15.75">
      <c r="A421" s="2447"/>
      <c r="B421" s="2451" t="s">
        <v>1185</v>
      </c>
      <c r="C421" s="2417"/>
      <c r="D421" s="2417"/>
      <c r="E421" s="2417"/>
      <c r="F421" s="2417"/>
      <c r="G421" s="2417"/>
      <c r="H421" s="2417"/>
      <c r="I421" s="2417"/>
      <c r="J421" s="2417"/>
      <c r="K421" s="2417"/>
      <c r="L421" s="2417"/>
      <c r="M421" s="2417"/>
      <c r="N421" s="2417"/>
      <c r="O421" s="2417"/>
      <c r="P421" s="2417"/>
      <c r="Q421" s="2417"/>
      <c r="R421" s="2417"/>
      <c r="S421" s="2417"/>
      <c r="T421" s="2417"/>
      <c r="U421" s="2417"/>
      <c r="V421" s="2417"/>
      <c r="W421" s="2417"/>
      <c r="X421" s="2417"/>
      <c r="Y421" s="2417"/>
      <c r="Z421" s="2450"/>
      <c r="AA421" s="2450"/>
      <c r="AB421" s="2450"/>
      <c r="AC421" s="2450"/>
      <c r="AD421" s="2450"/>
      <c r="AE421" s="2450"/>
      <c r="AF421" s="2450"/>
      <c r="AG421" s="2450"/>
      <c r="AH421" s="2450"/>
      <c r="AI421" s="2450"/>
      <c r="AJ421" s="2450"/>
      <c r="AK421" s="2450"/>
      <c r="AL421" s="2450"/>
      <c r="AM421" s="2450"/>
      <c r="AN421" s="2450"/>
      <c r="AO421" s="2447"/>
      <c r="AP421" s="2447"/>
      <c r="AQ421" s="2447"/>
      <c r="AR421" s="2447"/>
    </row>
    <row r="422" spans="1:44" s="313" customFormat="1" ht="15.75">
      <c r="A422" s="2447"/>
      <c r="B422" s="2451" t="s">
        <v>1728</v>
      </c>
      <c r="C422" s="2417"/>
      <c r="D422" s="2417"/>
      <c r="E422" s="2417"/>
      <c r="F422" s="2417"/>
      <c r="G422" s="2417"/>
      <c r="H422" s="2417"/>
      <c r="I422" s="2417"/>
      <c r="J422" s="2417"/>
      <c r="K422" s="2417"/>
      <c r="L422" s="2417"/>
      <c r="M422" s="2417"/>
      <c r="N422" s="2417"/>
      <c r="O422" s="2417"/>
      <c r="P422" s="2417"/>
      <c r="Q422" s="2417"/>
      <c r="R422" s="2417"/>
      <c r="S422" s="2417"/>
      <c r="T422" s="2417"/>
      <c r="U422" s="2417"/>
      <c r="V422" s="2417"/>
      <c r="W422" s="2417"/>
      <c r="X422" s="2417"/>
      <c r="Y422" s="2417"/>
      <c r="Z422" s="2450"/>
      <c r="AA422" s="2450"/>
      <c r="AB422" s="2450"/>
      <c r="AC422" s="2450"/>
      <c r="AD422" s="2450"/>
      <c r="AE422" s="2450"/>
      <c r="AF422" s="2450"/>
      <c r="AG422" s="2450"/>
      <c r="AH422" s="2450"/>
      <c r="AI422" s="2450"/>
      <c r="AJ422" s="2450"/>
      <c r="AK422" s="2450"/>
      <c r="AL422" s="2450"/>
      <c r="AM422" s="2450"/>
      <c r="AN422" s="2450"/>
      <c r="AO422" s="2447"/>
      <c r="AP422" s="2447"/>
      <c r="AQ422" s="2447"/>
      <c r="AR422" s="2447"/>
    </row>
    <row r="423" spans="1:44" s="313" customFormat="1" ht="15.75">
      <c r="A423" s="2447"/>
      <c r="B423" s="2451" t="s">
        <v>1729</v>
      </c>
      <c r="C423" s="2417"/>
      <c r="D423" s="2417"/>
      <c r="E423" s="2417"/>
      <c r="F423" s="2417"/>
      <c r="G423" s="2417"/>
      <c r="H423" s="2417"/>
      <c r="I423" s="2417"/>
      <c r="J423" s="2417"/>
      <c r="K423" s="2417"/>
      <c r="L423" s="2417"/>
      <c r="M423" s="2417"/>
      <c r="N423" s="2417"/>
      <c r="O423" s="2417"/>
      <c r="P423" s="2417"/>
      <c r="Q423" s="2417"/>
      <c r="R423" s="2417"/>
      <c r="S423" s="2417"/>
      <c r="T423" s="2417"/>
      <c r="U423" s="2417"/>
      <c r="V423" s="2417"/>
      <c r="W423" s="2417"/>
      <c r="X423" s="2417"/>
      <c r="Y423" s="2417"/>
      <c r="Z423" s="2450"/>
      <c r="AA423" s="2450"/>
      <c r="AB423" s="2450"/>
      <c r="AC423" s="2450"/>
      <c r="AD423" s="2450"/>
      <c r="AE423" s="2450"/>
      <c r="AF423" s="2450"/>
      <c r="AG423" s="2450"/>
      <c r="AH423" s="2450"/>
      <c r="AI423" s="2450"/>
      <c r="AJ423" s="2450"/>
      <c r="AK423" s="2450"/>
      <c r="AL423" s="2450"/>
      <c r="AM423" s="2450"/>
      <c r="AN423" s="2450"/>
      <c r="AO423" s="2447"/>
      <c r="AP423" s="2447"/>
      <c r="AQ423" s="2447"/>
      <c r="AR423" s="2447"/>
    </row>
    <row r="424" spans="1:44" s="313" customFormat="1" ht="15.75">
      <c r="A424" s="2447"/>
      <c r="B424" s="2451" t="s">
        <v>1730</v>
      </c>
      <c r="C424" s="2417"/>
      <c r="D424" s="2417"/>
      <c r="E424" s="2417"/>
      <c r="F424" s="2417"/>
      <c r="G424" s="2417"/>
      <c r="H424" s="2417"/>
      <c r="I424" s="2417"/>
      <c r="J424" s="2417"/>
      <c r="K424" s="2417"/>
      <c r="L424" s="2417"/>
      <c r="M424" s="2417"/>
      <c r="N424" s="2417"/>
      <c r="O424" s="2417"/>
      <c r="P424" s="2417"/>
      <c r="Q424" s="2417"/>
      <c r="R424" s="2417"/>
      <c r="S424" s="2417"/>
      <c r="T424" s="2417"/>
      <c r="U424" s="2417"/>
      <c r="V424" s="2417"/>
      <c r="W424" s="2417"/>
      <c r="X424" s="2417"/>
      <c r="Y424" s="2417"/>
      <c r="Z424" s="2450"/>
      <c r="AA424" s="2450"/>
      <c r="AB424" s="2450"/>
      <c r="AC424" s="2450"/>
      <c r="AD424" s="2450"/>
      <c r="AE424" s="2450"/>
      <c r="AF424" s="2450"/>
      <c r="AG424" s="2450"/>
      <c r="AH424" s="2450"/>
      <c r="AI424" s="2450"/>
      <c r="AJ424" s="2450"/>
      <c r="AK424" s="2450"/>
      <c r="AL424" s="2450"/>
      <c r="AM424" s="2450"/>
      <c r="AN424" s="2450"/>
      <c r="AO424" s="2447"/>
      <c r="AP424" s="2447"/>
      <c r="AQ424" s="2447"/>
      <c r="AR424" s="2447"/>
    </row>
    <row r="425" spans="1:44" s="313" customFormat="1" ht="15.75">
      <c r="A425" s="2447"/>
      <c r="B425" s="2451" t="s">
        <v>1731</v>
      </c>
      <c r="C425" s="2417"/>
      <c r="D425" s="2417"/>
      <c r="E425" s="2417"/>
      <c r="F425" s="2417"/>
      <c r="G425" s="2417"/>
      <c r="H425" s="2417"/>
      <c r="I425" s="2417"/>
      <c r="J425" s="2417"/>
      <c r="K425" s="2417"/>
      <c r="L425" s="2417"/>
      <c r="M425" s="2417"/>
      <c r="N425" s="2417"/>
      <c r="O425" s="2417"/>
      <c r="P425" s="2417"/>
      <c r="Q425" s="2417"/>
      <c r="R425" s="2417"/>
      <c r="S425" s="2417"/>
      <c r="T425" s="2417"/>
      <c r="U425" s="2417"/>
      <c r="V425" s="2417"/>
      <c r="W425" s="2417"/>
      <c r="X425" s="2417"/>
      <c r="Y425" s="2417"/>
      <c r="Z425" s="2450"/>
      <c r="AA425" s="2450"/>
      <c r="AB425" s="2450"/>
      <c r="AC425" s="2450"/>
      <c r="AD425" s="2450"/>
      <c r="AE425" s="2450"/>
      <c r="AF425" s="2450"/>
      <c r="AG425" s="2450"/>
      <c r="AH425" s="2450"/>
      <c r="AI425" s="2450"/>
      <c r="AJ425" s="2450"/>
      <c r="AK425" s="2450"/>
      <c r="AL425" s="2450"/>
      <c r="AM425" s="2450"/>
      <c r="AN425" s="2450"/>
      <c r="AO425" s="2447"/>
      <c r="AP425" s="2447"/>
      <c r="AQ425" s="2447"/>
      <c r="AR425" s="2447"/>
    </row>
    <row r="426" spans="1:44" s="313" customFormat="1" ht="15.75">
      <c r="A426" s="2447"/>
      <c r="B426" s="2451" t="s">
        <v>1732</v>
      </c>
      <c r="C426" s="2417"/>
      <c r="D426" s="2417"/>
      <c r="E426" s="2417"/>
      <c r="F426" s="2417"/>
      <c r="G426" s="2417"/>
      <c r="H426" s="2417"/>
      <c r="I426" s="2417"/>
      <c r="J426" s="2417"/>
      <c r="K426" s="2417"/>
      <c r="L426" s="2417"/>
      <c r="M426" s="2417"/>
      <c r="N426" s="2417"/>
      <c r="O426" s="2417"/>
      <c r="P426" s="2417"/>
      <c r="Q426" s="2417"/>
      <c r="R426" s="2417"/>
      <c r="S426" s="2417"/>
      <c r="T426" s="2417"/>
      <c r="U426" s="2417"/>
      <c r="V426" s="2417"/>
      <c r="W426" s="2417"/>
      <c r="X426" s="2417"/>
      <c r="Y426" s="2417"/>
      <c r="Z426" s="2450"/>
      <c r="AA426" s="2450"/>
      <c r="AB426" s="2450"/>
      <c r="AC426" s="2450"/>
      <c r="AD426" s="2450"/>
      <c r="AE426" s="2450"/>
      <c r="AF426" s="2450"/>
      <c r="AG426" s="2450"/>
      <c r="AH426" s="2450"/>
      <c r="AI426" s="2450"/>
      <c r="AJ426" s="2450"/>
      <c r="AK426" s="2450"/>
      <c r="AL426" s="2450"/>
      <c r="AM426" s="2450"/>
      <c r="AN426" s="2450"/>
      <c r="AO426" s="2447"/>
      <c r="AP426" s="2447"/>
      <c r="AQ426" s="2447"/>
      <c r="AR426" s="2447"/>
    </row>
    <row r="427" spans="1:44" s="313" customFormat="1" ht="15.75">
      <c r="A427" s="2447"/>
      <c r="B427" s="2451" t="s">
        <v>1733</v>
      </c>
      <c r="C427" s="2417"/>
      <c r="D427" s="2417"/>
      <c r="E427" s="2417"/>
      <c r="F427" s="2417"/>
      <c r="G427" s="2417"/>
      <c r="H427" s="2417"/>
      <c r="I427" s="2417"/>
      <c r="J427" s="2417"/>
      <c r="K427" s="2417"/>
      <c r="L427" s="2417"/>
      <c r="M427" s="2417"/>
      <c r="N427" s="2417"/>
      <c r="O427" s="2417"/>
      <c r="P427" s="2417"/>
      <c r="Q427" s="2417"/>
      <c r="R427" s="2417"/>
      <c r="S427" s="2417"/>
      <c r="T427" s="2417"/>
      <c r="U427" s="2417"/>
      <c r="V427" s="2417"/>
      <c r="W427" s="2417"/>
      <c r="X427" s="2417"/>
      <c r="Y427" s="2417"/>
      <c r="Z427" s="2450"/>
      <c r="AA427" s="2450"/>
      <c r="AB427" s="2450"/>
      <c r="AC427" s="2450"/>
      <c r="AD427" s="2450"/>
      <c r="AE427" s="2450"/>
      <c r="AF427" s="2450"/>
      <c r="AG427" s="2450"/>
      <c r="AH427" s="2450"/>
      <c r="AI427" s="2450"/>
      <c r="AJ427" s="2450"/>
      <c r="AK427" s="2450"/>
      <c r="AL427" s="2450"/>
      <c r="AM427" s="2450"/>
      <c r="AN427" s="2450"/>
      <c r="AO427" s="2447"/>
      <c r="AP427" s="2447"/>
      <c r="AQ427" s="2447"/>
      <c r="AR427" s="2447"/>
    </row>
    <row r="428" spans="1:44" s="313" customFormat="1" ht="15.75">
      <c r="A428" s="2447"/>
      <c r="B428" s="2451" t="s">
        <v>1734</v>
      </c>
      <c r="C428" s="2417"/>
      <c r="D428" s="2417"/>
      <c r="E428" s="2417"/>
      <c r="F428" s="2417"/>
      <c r="G428" s="2417"/>
      <c r="H428" s="2417"/>
      <c r="I428" s="2417"/>
      <c r="J428" s="2417"/>
      <c r="K428" s="2417"/>
      <c r="L428" s="2417"/>
      <c r="M428" s="2417"/>
      <c r="N428" s="2417"/>
      <c r="O428" s="2417"/>
      <c r="P428" s="2417"/>
      <c r="Q428" s="2417"/>
      <c r="R428" s="2417"/>
      <c r="S428" s="2417"/>
      <c r="T428" s="2417"/>
      <c r="U428" s="2417"/>
      <c r="V428" s="2417"/>
      <c r="W428" s="2417"/>
      <c r="X428" s="2417"/>
      <c r="Y428" s="2417"/>
      <c r="Z428" s="2450"/>
      <c r="AA428" s="2450"/>
      <c r="AB428" s="2450"/>
      <c r="AC428" s="2450"/>
      <c r="AD428" s="2450"/>
      <c r="AE428" s="2450"/>
      <c r="AF428" s="2450"/>
      <c r="AG428" s="2450"/>
      <c r="AH428" s="2450"/>
      <c r="AI428" s="2450"/>
      <c r="AJ428" s="2450"/>
      <c r="AK428" s="2450"/>
      <c r="AL428" s="2450"/>
      <c r="AM428" s="2450"/>
      <c r="AN428" s="2450"/>
      <c r="AO428" s="2447"/>
      <c r="AP428" s="2447"/>
      <c r="AQ428" s="2447"/>
      <c r="AR428" s="2447"/>
    </row>
    <row r="429" spans="1:44" s="313" customFormat="1" ht="15.75">
      <c r="A429" s="2447"/>
      <c r="B429" s="2451" t="s">
        <v>1735</v>
      </c>
      <c r="C429" s="2417"/>
      <c r="D429" s="2417"/>
      <c r="E429" s="2417"/>
      <c r="F429" s="2417"/>
      <c r="G429" s="2417"/>
      <c r="H429" s="2417"/>
      <c r="I429" s="2417"/>
      <c r="J429" s="2417"/>
      <c r="K429" s="2417"/>
      <c r="L429" s="2417"/>
      <c r="M429" s="2417"/>
      <c r="N429" s="2417"/>
      <c r="O429" s="2417"/>
      <c r="P429" s="2417"/>
      <c r="Q429" s="2417"/>
      <c r="R429" s="2417"/>
      <c r="S429" s="2417"/>
      <c r="T429" s="2417"/>
      <c r="U429" s="2417"/>
      <c r="V429" s="2417"/>
      <c r="W429" s="2417"/>
      <c r="X429" s="2417"/>
      <c r="Y429" s="2417"/>
      <c r="Z429" s="2450"/>
      <c r="AA429" s="2450"/>
      <c r="AB429" s="2450"/>
      <c r="AC429" s="2450"/>
      <c r="AD429" s="2450"/>
      <c r="AE429" s="2450"/>
      <c r="AF429" s="2450"/>
      <c r="AG429" s="2450"/>
      <c r="AH429" s="2450"/>
      <c r="AI429" s="2450"/>
      <c r="AJ429" s="2450"/>
      <c r="AK429" s="2450"/>
      <c r="AL429" s="2450"/>
      <c r="AM429" s="2450"/>
      <c r="AN429" s="2450"/>
      <c r="AO429" s="2447"/>
      <c r="AP429" s="2447"/>
      <c r="AQ429" s="2447"/>
      <c r="AR429" s="2447"/>
    </row>
    <row r="430" spans="1:44" s="313" customFormat="1" ht="15.75">
      <c r="A430" s="2447"/>
      <c r="B430" s="2447" t="s">
        <v>968</v>
      </c>
      <c r="C430" s="2453"/>
      <c r="D430" s="2454"/>
      <c r="E430" s="2454"/>
      <c r="F430" s="2454"/>
      <c r="G430" s="2454"/>
      <c r="H430" s="2454"/>
      <c r="I430" s="2454"/>
      <c r="J430" s="2454"/>
      <c r="K430" s="2454"/>
      <c r="L430" s="2454"/>
      <c r="M430" s="2454"/>
      <c r="N430" s="2454"/>
      <c r="O430" s="2454"/>
      <c r="P430" s="2454"/>
      <c r="Q430" s="2454"/>
      <c r="R430" s="2454"/>
      <c r="S430" s="2454"/>
      <c r="T430" s="2454"/>
      <c r="U430" s="2454"/>
      <c r="V430" s="2454"/>
      <c r="W430" s="2454"/>
      <c r="X430" s="2454"/>
      <c r="Y430" s="2454"/>
      <c r="Z430" s="2450"/>
      <c r="AA430" s="2450"/>
      <c r="AB430" s="2450"/>
      <c r="AC430" s="2450"/>
      <c r="AD430" s="2450"/>
      <c r="AE430" s="2450"/>
      <c r="AF430" s="2450"/>
      <c r="AG430" s="2450"/>
      <c r="AH430" s="2450"/>
      <c r="AI430" s="2450"/>
      <c r="AJ430" s="2450"/>
      <c r="AK430" s="2450"/>
      <c r="AL430" s="2450"/>
      <c r="AM430" s="2450"/>
      <c r="AN430" s="2450"/>
      <c r="AO430" s="2447"/>
      <c r="AP430" s="2447"/>
      <c r="AQ430" s="2447"/>
      <c r="AR430" s="2447"/>
    </row>
    <row r="431" spans="1:44" s="313" customFormat="1" ht="15.75">
      <c r="A431" s="2447"/>
      <c r="B431" s="2447" t="s">
        <v>965</v>
      </c>
      <c r="C431" s="2453"/>
      <c r="D431" s="2417"/>
      <c r="E431" s="2417"/>
      <c r="F431" s="2417"/>
      <c r="G431" s="2417"/>
      <c r="H431" s="2417"/>
      <c r="I431" s="2417"/>
      <c r="J431" s="2417"/>
      <c r="K431" s="2417"/>
      <c r="L431" s="2417"/>
      <c r="M431" s="2417"/>
      <c r="N431" s="2417"/>
      <c r="O431" s="2417"/>
      <c r="P431" s="2417"/>
      <c r="Q431" s="2417"/>
      <c r="R431" s="2417"/>
      <c r="S431" s="2417"/>
      <c r="T431" s="2417"/>
      <c r="U431" s="2417"/>
      <c r="V431" s="2417"/>
      <c r="W431" s="2417"/>
      <c r="X431" s="2417"/>
      <c r="Y431" s="2417"/>
      <c r="Z431" s="2450"/>
      <c r="AA431" s="2450"/>
      <c r="AB431" s="2450"/>
      <c r="AC431" s="2450"/>
      <c r="AD431" s="2450"/>
      <c r="AE431" s="2450"/>
      <c r="AF431" s="2450"/>
      <c r="AG431" s="2450"/>
      <c r="AH431" s="2450"/>
      <c r="AI431" s="2450"/>
      <c r="AJ431" s="2450"/>
      <c r="AK431" s="2450"/>
      <c r="AL431" s="2450"/>
      <c r="AM431" s="2450"/>
      <c r="AN431" s="2450"/>
      <c r="AO431" s="2447"/>
      <c r="AP431" s="2447"/>
      <c r="AQ431" s="2447"/>
      <c r="AR431" s="2447"/>
    </row>
    <row r="432" spans="1:44" s="313" customFormat="1" ht="15.75">
      <c r="A432" s="2447"/>
      <c r="B432" s="2451"/>
      <c r="C432" s="2417"/>
      <c r="D432" s="2417"/>
      <c r="E432" s="2417"/>
      <c r="F432" s="2417"/>
      <c r="G432" s="2417"/>
      <c r="H432" s="2417"/>
      <c r="I432" s="2417"/>
      <c r="J432" s="2417"/>
      <c r="K432" s="2417"/>
      <c r="L432" s="2417"/>
      <c r="M432" s="2417"/>
      <c r="N432" s="2417"/>
      <c r="O432" s="2417"/>
      <c r="P432" s="2417"/>
      <c r="Q432" s="2417"/>
      <c r="R432" s="2417"/>
      <c r="S432" s="2417"/>
      <c r="T432" s="2417"/>
      <c r="U432" s="2417"/>
      <c r="V432" s="2417"/>
      <c r="W432" s="2417"/>
      <c r="X432" s="2417"/>
      <c r="Y432" s="2417"/>
      <c r="Z432" s="2450"/>
      <c r="AA432" s="2450"/>
      <c r="AB432" s="2450"/>
      <c r="AC432" s="2450"/>
      <c r="AD432" s="2450"/>
      <c r="AE432" s="2450"/>
      <c r="AF432" s="2450"/>
      <c r="AG432" s="2450"/>
      <c r="AH432" s="2450"/>
      <c r="AI432" s="2450"/>
      <c r="AJ432" s="2450"/>
      <c r="AK432" s="2450"/>
      <c r="AL432" s="2450"/>
      <c r="AM432" s="2450"/>
      <c r="AN432" s="2450"/>
      <c r="AO432" s="2447"/>
      <c r="AP432" s="2447"/>
      <c r="AQ432" s="2447"/>
      <c r="AR432" s="2447"/>
    </row>
    <row r="433" spans="1:44" s="313" customFormat="1" ht="15.75">
      <c r="A433" s="2447"/>
      <c r="B433" s="2455"/>
      <c r="C433" s="2456"/>
      <c r="D433" s="2456"/>
      <c r="E433" s="2456"/>
      <c r="F433" s="2456"/>
      <c r="G433" s="2457"/>
      <c r="H433" s="2457"/>
      <c r="I433" s="2457"/>
      <c r="J433" s="2457"/>
      <c r="K433" s="2457"/>
      <c r="L433" s="2457"/>
      <c r="M433" s="2457"/>
      <c r="N433" s="2457"/>
      <c r="O433" s="2457"/>
      <c r="P433" s="2457"/>
      <c r="Q433" s="2456"/>
      <c r="R433" s="2456"/>
      <c r="S433" s="2456"/>
      <c r="T433" s="2456"/>
      <c r="U433" s="2456"/>
      <c r="V433" s="2456"/>
      <c r="W433" s="2456"/>
      <c r="X433" s="2456"/>
      <c r="Y433" s="2456"/>
      <c r="Z433" s="2450"/>
      <c r="AA433" s="2450"/>
      <c r="AB433" s="2450"/>
      <c r="AC433" s="2450"/>
      <c r="AD433" s="2450"/>
      <c r="AE433" s="2450"/>
      <c r="AF433" s="2450"/>
      <c r="AG433" s="2450"/>
      <c r="AH433" s="2450"/>
      <c r="AI433" s="2450"/>
      <c r="AJ433" s="2450"/>
      <c r="AK433" s="2450"/>
      <c r="AL433" s="2450"/>
      <c r="AM433" s="2450"/>
      <c r="AN433" s="2450"/>
      <c r="AO433" s="2447"/>
      <c r="AP433" s="2447"/>
      <c r="AQ433" s="2447"/>
      <c r="AR433" s="2447"/>
    </row>
    <row r="434" spans="1:44" s="313" customFormat="1" ht="15.75">
      <c r="A434" s="2447"/>
      <c r="B434" s="2449" t="s">
        <v>1835</v>
      </c>
      <c r="C434" s="2417" t="s">
        <v>967</v>
      </c>
      <c r="D434" s="2417"/>
      <c r="E434" s="2417"/>
      <c r="F434" s="2417"/>
      <c r="G434" s="2417"/>
      <c r="H434" s="2417"/>
      <c r="I434" s="2417"/>
      <c r="J434" s="2417"/>
      <c r="K434" s="2417"/>
      <c r="L434" s="2417"/>
      <c r="M434" s="2417"/>
      <c r="N434" s="2417"/>
      <c r="O434" s="2417"/>
      <c r="P434" s="2417"/>
      <c r="Q434" s="2417"/>
      <c r="R434" s="2417"/>
      <c r="S434" s="2417"/>
      <c r="T434" s="2417"/>
      <c r="U434" s="2417"/>
      <c r="V434" s="2417"/>
      <c r="W434" s="2417"/>
      <c r="X434" s="2417"/>
      <c r="Y434" s="2417"/>
      <c r="Z434" s="2450"/>
      <c r="AA434" s="2450"/>
      <c r="AB434" s="2450"/>
      <c r="AC434" s="2450"/>
      <c r="AD434" s="2450"/>
      <c r="AE434" s="2450"/>
      <c r="AF434" s="2450"/>
      <c r="AG434" s="2450"/>
      <c r="AH434" s="2450"/>
      <c r="AI434" s="2450"/>
      <c r="AJ434" s="2450"/>
      <c r="AK434" s="2450"/>
      <c r="AL434" s="2450"/>
      <c r="AM434" s="2450"/>
      <c r="AN434" s="2450"/>
      <c r="AO434" s="2447"/>
      <c r="AP434" s="2447"/>
      <c r="AQ434" s="2447"/>
      <c r="AR434" s="2447"/>
    </row>
    <row r="435" spans="1:44" s="313" customFormat="1" ht="15.75">
      <c r="A435" s="2447"/>
      <c r="B435" s="2451" t="s">
        <v>1157</v>
      </c>
      <c r="C435" s="2417"/>
      <c r="D435" s="2417"/>
      <c r="E435" s="2417"/>
      <c r="F435" s="2417"/>
      <c r="G435" s="2417"/>
      <c r="H435" s="2417"/>
      <c r="I435" s="2417"/>
      <c r="J435" s="2417"/>
      <c r="K435" s="2417"/>
      <c r="L435" s="2417"/>
      <c r="M435" s="2417"/>
      <c r="N435" s="2417"/>
      <c r="O435" s="2417"/>
      <c r="P435" s="2417"/>
      <c r="Q435" s="2417"/>
      <c r="R435" s="2417"/>
      <c r="S435" s="2417"/>
      <c r="T435" s="2417"/>
      <c r="U435" s="2417"/>
      <c r="V435" s="2417"/>
      <c r="W435" s="2417"/>
      <c r="X435" s="2417"/>
      <c r="Y435" s="2417"/>
      <c r="Z435" s="2450"/>
      <c r="AA435" s="2450"/>
      <c r="AB435" s="2450"/>
      <c r="AC435" s="2450"/>
      <c r="AD435" s="2450"/>
      <c r="AE435" s="2450"/>
      <c r="AF435" s="2450"/>
      <c r="AG435" s="2450"/>
      <c r="AH435" s="2450"/>
      <c r="AI435" s="2450"/>
      <c r="AJ435" s="2450"/>
      <c r="AK435" s="2450"/>
      <c r="AL435" s="2450"/>
      <c r="AM435" s="2450"/>
      <c r="AN435" s="2450"/>
      <c r="AO435" s="2447"/>
      <c r="AP435" s="2447"/>
      <c r="AQ435" s="2447"/>
      <c r="AR435" s="2447"/>
    </row>
    <row r="436" spans="1:44" s="313" customFormat="1" ht="15.75">
      <c r="A436" s="2447"/>
      <c r="B436" s="2451" t="s">
        <v>1158</v>
      </c>
      <c r="C436" s="2417"/>
      <c r="D436" s="2417"/>
      <c r="E436" s="2417"/>
      <c r="F436" s="2417"/>
      <c r="G436" s="2417"/>
      <c r="H436" s="2417"/>
      <c r="I436" s="2417"/>
      <c r="J436" s="2417"/>
      <c r="K436" s="2417"/>
      <c r="L436" s="2417"/>
      <c r="M436" s="2417"/>
      <c r="N436" s="2417"/>
      <c r="O436" s="2417"/>
      <c r="P436" s="2417"/>
      <c r="Q436" s="2417"/>
      <c r="R436" s="2417"/>
      <c r="S436" s="2417"/>
      <c r="T436" s="2417"/>
      <c r="U436" s="2417"/>
      <c r="V436" s="2417"/>
      <c r="W436" s="2417"/>
      <c r="X436" s="2417"/>
      <c r="Y436" s="2417"/>
      <c r="Z436" s="2450"/>
      <c r="AA436" s="2450"/>
      <c r="AB436" s="2450"/>
      <c r="AC436" s="2450"/>
      <c r="AD436" s="2450"/>
      <c r="AE436" s="2450"/>
      <c r="AF436" s="2450"/>
      <c r="AG436" s="2450"/>
      <c r="AH436" s="2450"/>
      <c r="AI436" s="2450"/>
      <c r="AJ436" s="2450"/>
      <c r="AK436" s="2450"/>
      <c r="AL436" s="2450"/>
      <c r="AM436" s="2450"/>
      <c r="AN436" s="2450"/>
      <c r="AO436" s="2447"/>
      <c r="AP436" s="2447"/>
      <c r="AQ436" s="2447"/>
      <c r="AR436" s="2447"/>
    </row>
    <row r="437" spans="1:44" s="313" customFormat="1" ht="15.75">
      <c r="A437" s="2447"/>
      <c r="B437" s="2451" t="s">
        <v>1159</v>
      </c>
      <c r="C437" s="2417"/>
      <c r="D437" s="2452"/>
      <c r="E437" s="2452"/>
      <c r="F437" s="2452"/>
      <c r="G437" s="2452"/>
      <c r="H437" s="2452"/>
      <c r="I437" s="2452"/>
      <c r="J437" s="2452"/>
      <c r="K437" s="2452"/>
      <c r="L437" s="2452"/>
      <c r="M437" s="2452"/>
      <c r="N437" s="2452"/>
      <c r="O437" s="2452"/>
      <c r="P437" s="2452"/>
      <c r="Q437" s="2452"/>
      <c r="R437" s="2452"/>
      <c r="S437" s="2452"/>
      <c r="T437" s="2452"/>
      <c r="U437" s="2452"/>
      <c r="V437" s="2452"/>
      <c r="W437" s="2452"/>
      <c r="X437" s="2452"/>
      <c r="Y437" s="2452"/>
      <c r="Z437" s="2450"/>
      <c r="AA437" s="2450"/>
      <c r="AB437" s="2450"/>
      <c r="AC437" s="2450"/>
      <c r="AD437" s="2450"/>
      <c r="AE437" s="2450"/>
      <c r="AF437" s="2450"/>
      <c r="AG437" s="2450"/>
      <c r="AH437" s="2450"/>
      <c r="AI437" s="2450"/>
      <c r="AJ437" s="2450"/>
      <c r="AK437" s="2450"/>
      <c r="AL437" s="2450"/>
      <c r="AM437" s="2450"/>
      <c r="AN437" s="2450"/>
      <c r="AO437" s="2447"/>
      <c r="AP437" s="2447"/>
      <c r="AQ437" s="2447"/>
      <c r="AR437" s="2447"/>
    </row>
    <row r="438" spans="1:44" s="313" customFormat="1" ht="15.75">
      <c r="A438" s="2447"/>
      <c r="B438" s="2451" t="s">
        <v>1160</v>
      </c>
      <c r="C438" s="2417"/>
      <c r="D438" s="2417"/>
      <c r="E438" s="2417"/>
      <c r="F438" s="2417"/>
      <c r="G438" s="2417"/>
      <c r="H438" s="2417"/>
      <c r="I438" s="2417"/>
      <c r="J438" s="2417"/>
      <c r="K438" s="2417"/>
      <c r="L438" s="2417"/>
      <c r="M438" s="2417"/>
      <c r="N438" s="2417"/>
      <c r="O438" s="2417"/>
      <c r="P438" s="2417"/>
      <c r="Q438" s="2417"/>
      <c r="R438" s="2417"/>
      <c r="S438" s="2417"/>
      <c r="T438" s="2417"/>
      <c r="U438" s="2417"/>
      <c r="V438" s="2417"/>
      <c r="W438" s="2417"/>
      <c r="X438" s="2417"/>
      <c r="Y438" s="2417"/>
      <c r="Z438" s="2450"/>
      <c r="AA438" s="2450"/>
      <c r="AB438" s="2450"/>
      <c r="AC438" s="2450"/>
      <c r="AD438" s="2450"/>
      <c r="AE438" s="2450"/>
      <c r="AF438" s="2450"/>
      <c r="AG438" s="2450"/>
      <c r="AH438" s="2450"/>
      <c r="AI438" s="2450"/>
      <c r="AJ438" s="2450"/>
      <c r="AK438" s="2450"/>
      <c r="AL438" s="2450"/>
      <c r="AM438" s="2450"/>
      <c r="AN438" s="2450"/>
      <c r="AO438" s="2447"/>
      <c r="AP438" s="2447"/>
      <c r="AQ438" s="2447"/>
      <c r="AR438" s="2447"/>
    </row>
    <row r="439" spans="1:44" s="313" customFormat="1" ht="15.75">
      <c r="A439" s="2447"/>
      <c r="B439" s="2451" t="s">
        <v>523</v>
      </c>
      <c r="C439" s="2417"/>
      <c r="D439" s="2417"/>
      <c r="E439" s="2417"/>
      <c r="F439" s="2417"/>
      <c r="G439" s="2417"/>
      <c r="H439" s="2417"/>
      <c r="I439" s="2417"/>
      <c r="J439" s="2417"/>
      <c r="K439" s="2417"/>
      <c r="L439" s="2417"/>
      <c r="M439" s="2417"/>
      <c r="N439" s="2417"/>
      <c r="O439" s="2417"/>
      <c r="P439" s="2417"/>
      <c r="Q439" s="2417"/>
      <c r="R439" s="2417"/>
      <c r="S439" s="2417"/>
      <c r="T439" s="2417"/>
      <c r="U439" s="2417"/>
      <c r="V439" s="2417"/>
      <c r="W439" s="2417"/>
      <c r="X439" s="2417"/>
      <c r="Y439" s="2417"/>
      <c r="Z439" s="2450"/>
      <c r="AA439" s="2450"/>
      <c r="AB439" s="2450"/>
      <c r="AC439" s="2450"/>
      <c r="AD439" s="2450"/>
      <c r="AE439" s="2450"/>
      <c r="AF439" s="2450"/>
      <c r="AG439" s="2450"/>
      <c r="AH439" s="2450"/>
      <c r="AI439" s="2450"/>
      <c r="AJ439" s="2450"/>
      <c r="AK439" s="2450"/>
      <c r="AL439" s="2450"/>
      <c r="AM439" s="2450"/>
      <c r="AN439" s="2450"/>
      <c r="AO439" s="2447"/>
      <c r="AP439" s="2447"/>
      <c r="AQ439" s="2447"/>
      <c r="AR439" s="2447"/>
    </row>
    <row r="440" spans="1:44" s="313" customFormat="1" ht="15.75">
      <c r="A440" s="2447"/>
      <c r="B440" s="2451" t="s">
        <v>360</v>
      </c>
      <c r="C440" s="2417"/>
      <c r="D440" s="2417"/>
      <c r="E440" s="2417"/>
      <c r="F440" s="2417"/>
      <c r="G440" s="2417"/>
      <c r="H440" s="2417"/>
      <c r="I440" s="2417"/>
      <c r="J440" s="2417"/>
      <c r="K440" s="2417"/>
      <c r="L440" s="2417"/>
      <c r="M440" s="2417"/>
      <c r="N440" s="2417"/>
      <c r="O440" s="2417"/>
      <c r="P440" s="2417"/>
      <c r="Q440" s="2417"/>
      <c r="R440" s="2417"/>
      <c r="S440" s="2417"/>
      <c r="T440" s="2417"/>
      <c r="U440" s="2417"/>
      <c r="V440" s="2417"/>
      <c r="W440" s="2417"/>
      <c r="X440" s="2417"/>
      <c r="Y440" s="2417"/>
      <c r="Z440" s="2450"/>
      <c r="AA440" s="2450"/>
      <c r="AB440" s="2450"/>
      <c r="AC440" s="2450"/>
      <c r="AD440" s="2450"/>
      <c r="AE440" s="2450"/>
      <c r="AF440" s="2450"/>
      <c r="AG440" s="2450"/>
      <c r="AH440" s="2450"/>
      <c r="AI440" s="2450"/>
      <c r="AJ440" s="2450"/>
      <c r="AK440" s="2450"/>
      <c r="AL440" s="2450"/>
      <c r="AM440" s="2450"/>
      <c r="AN440" s="2450"/>
      <c r="AO440" s="2447"/>
      <c r="AP440" s="2447"/>
      <c r="AQ440" s="2447"/>
      <c r="AR440" s="2447"/>
    </row>
    <row r="441" spans="1:44" s="313" customFormat="1" ht="15.75">
      <c r="A441" s="2447"/>
      <c r="B441" s="2451" t="s">
        <v>1552</v>
      </c>
      <c r="C441" s="2417"/>
      <c r="D441" s="2417"/>
      <c r="E441" s="2417"/>
      <c r="F441" s="2417"/>
      <c r="G441" s="2417"/>
      <c r="H441" s="2417"/>
      <c r="I441" s="2417"/>
      <c r="J441" s="2417"/>
      <c r="K441" s="2417"/>
      <c r="L441" s="2417"/>
      <c r="M441" s="2417"/>
      <c r="N441" s="2417"/>
      <c r="O441" s="2417"/>
      <c r="P441" s="2417"/>
      <c r="Q441" s="2417"/>
      <c r="R441" s="2417"/>
      <c r="S441" s="2417"/>
      <c r="T441" s="2417"/>
      <c r="U441" s="2417"/>
      <c r="V441" s="2417"/>
      <c r="W441" s="2417"/>
      <c r="X441" s="2417"/>
      <c r="Y441" s="2417"/>
      <c r="Z441" s="2450"/>
      <c r="AA441" s="2450"/>
      <c r="AB441" s="2450"/>
      <c r="AC441" s="2450"/>
      <c r="AD441" s="2450"/>
      <c r="AE441" s="2450"/>
      <c r="AF441" s="2450"/>
      <c r="AG441" s="2450"/>
      <c r="AH441" s="2450"/>
      <c r="AI441" s="2450"/>
      <c r="AJ441" s="2450"/>
      <c r="AK441" s="2450"/>
      <c r="AL441" s="2450"/>
      <c r="AM441" s="2450"/>
      <c r="AN441" s="2450"/>
      <c r="AO441" s="2447"/>
      <c r="AP441" s="2447"/>
      <c r="AQ441" s="2447"/>
      <c r="AR441" s="2447"/>
    </row>
    <row r="442" spans="1:44" s="313" customFormat="1" ht="15.75">
      <c r="A442" s="2447"/>
      <c r="B442" s="2451" t="s">
        <v>1936</v>
      </c>
      <c r="C442" s="2417"/>
      <c r="D442" s="2417"/>
      <c r="E442" s="2417"/>
      <c r="F442" s="2417"/>
      <c r="G442" s="2417"/>
      <c r="H442" s="2417"/>
      <c r="I442" s="2417"/>
      <c r="J442" s="2417"/>
      <c r="K442" s="2417"/>
      <c r="L442" s="2417"/>
      <c r="M442" s="2417"/>
      <c r="N442" s="2417"/>
      <c r="O442" s="2417"/>
      <c r="P442" s="2417"/>
      <c r="Q442" s="2417"/>
      <c r="R442" s="2417"/>
      <c r="S442" s="2417"/>
      <c r="T442" s="2417"/>
      <c r="U442" s="2417"/>
      <c r="V442" s="2417"/>
      <c r="W442" s="2417"/>
      <c r="X442" s="2417"/>
      <c r="Y442" s="2417"/>
      <c r="Z442" s="2450"/>
      <c r="AA442" s="2450"/>
      <c r="AB442" s="2450"/>
      <c r="AC442" s="2450"/>
      <c r="AD442" s="2450"/>
      <c r="AE442" s="2450"/>
      <c r="AF442" s="2450"/>
      <c r="AG442" s="2450"/>
      <c r="AH442" s="2450"/>
      <c r="AI442" s="2450"/>
      <c r="AJ442" s="2450"/>
      <c r="AK442" s="2450"/>
      <c r="AL442" s="2450"/>
      <c r="AM442" s="2450"/>
      <c r="AN442" s="2450"/>
      <c r="AO442" s="2447"/>
      <c r="AP442" s="2447"/>
      <c r="AQ442" s="2447"/>
      <c r="AR442" s="2447"/>
    </row>
    <row r="443" spans="1:44" s="313" customFormat="1" ht="15.75">
      <c r="A443" s="2447"/>
      <c r="B443" s="2451" t="s">
        <v>1161</v>
      </c>
      <c r="C443" s="2417"/>
      <c r="D443" s="2417"/>
      <c r="E443" s="2417"/>
      <c r="F443" s="2417"/>
      <c r="G443" s="2417"/>
      <c r="H443" s="2417"/>
      <c r="I443" s="2417"/>
      <c r="J443" s="2417"/>
      <c r="K443" s="2417"/>
      <c r="L443" s="2417"/>
      <c r="M443" s="2417"/>
      <c r="N443" s="2417"/>
      <c r="O443" s="2417"/>
      <c r="P443" s="2417"/>
      <c r="Q443" s="2417"/>
      <c r="R443" s="2417"/>
      <c r="S443" s="2417"/>
      <c r="T443" s="2417"/>
      <c r="U443" s="2417"/>
      <c r="V443" s="2417"/>
      <c r="W443" s="2417"/>
      <c r="X443" s="2417"/>
      <c r="Y443" s="2417"/>
      <c r="Z443" s="2450"/>
      <c r="AA443" s="2450"/>
      <c r="AB443" s="2450"/>
      <c r="AC443" s="2450"/>
      <c r="AD443" s="2450"/>
      <c r="AE443" s="2450"/>
      <c r="AF443" s="2450"/>
      <c r="AG443" s="2450"/>
      <c r="AH443" s="2450"/>
      <c r="AI443" s="2450"/>
      <c r="AJ443" s="2450"/>
      <c r="AK443" s="2450"/>
      <c r="AL443" s="2450"/>
      <c r="AM443" s="2450"/>
      <c r="AN443" s="2450"/>
      <c r="AO443" s="2447"/>
      <c r="AP443" s="2447"/>
      <c r="AQ443" s="2447"/>
      <c r="AR443" s="2447"/>
    </row>
    <row r="444" spans="1:44" s="313" customFormat="1" ht="15.75">
      <c r="A444" s="2447"/>
      <c r="B444" s="2451" t="s">
        <v>1185</v>
      </c>
      <c r="C444" s="2417"/>
      <c r="D444" s="2417"/>
      <c r="E444" s="2417"/>
      <c r="F444" s="2417"/>
      <c r="G444" s="2417"/>
      <c r="H444" s="2417"/>
      <c r="I444" s="2417"/>
      <c r="J444" s="2417"/>
      <c r="K444" s="2417"/>
      <c r="L444" s="2417"/>
      <c r="M444" s="2417"/>
      <c r="N444" s="2417"/>
      <c r="O444" s="2417"/>
      <c r="P444" s="2417"/>
      <c r="Q444" s="2417"/>
      <c r="R444" s="2417"/>
      <c r="S444" s="2417"/>
      <c r="T444" s="2417"/>
      <c r="U444" s="2417"/>
      <c r="V444" s="2417"/>
      <c r="W444" s="2417"/>
      <c r="X444" s="2417"/>
      <c r="Y444" s="2417"/>
      <c r="Z444" s="2450"/>
      <c r="AA444" s="2450"/>
      <c r="AB444" s="2450"/>
      <c r="AC444" s="2450"/>
      <c r="AD444" s="2450"/>
      <c r="AE444" s="2450"/>
      <c r="AF444" s="2450"/>
      <c r="AG444" s="2450"/>
      <c r="AH444" s="2450"/>
      <c r="AI444" s="2450"/>
      <c r="AJ444" s="2450"/>
      <c r="AK444" s="2450"/>
      <c r="AL444" s="2450"/>
      <c r="AM444" s="2450"/>
      <c r="AN444" s="2450"/>
      <c r="AO444" s="2447"/>
      <c r="AP444" s="2447"/>
      <c r="AQ444" s="2447"/>
      <c r="AR444" s="2447"/>
    </row>
    <row r="445" spans="1:44" s="313" customFormat="1" ht="15.75">
      <c r="A445" s="2447"/>
      <c r="B445" s="2451" t="s">
        <v>1728</v>
      </c>
      <c r="C445" s="2417"/>
      <c r="D445" s="2417"/>
      <c r="E445" s="2417"/>
      <c r="F445" s="2417"/>
      <c r="G445" s="2417"/>
      <c r="H445" s="2417"/>
      <c r="I445" s="2417"/>
      <c r="J445" s="2417"/>
      <c r="K445" s="2417"/>
      <c r="L445" s="2417"/>
      <c r="M445" s="2417"/>
      <c r="N445" s="2417"/>
      <c r="O445" s="2417"/>
      <c r="P445" s="2417"/>
      <c r="Q445" s="2417"/>
      <c r="R445" s="2417"/>
      <c r="S445" s="2417"/>
      <c r="T445" s="2417"/>
      <c r="U445" s="2417"/>
      <c r="V445" s="2417"/>
      <c r="W445" s="2417"/>
      <c r="X445" s="2417"/>
      <c r="Y445" s="2417"/>
      <c r="Z445" s="2450"/>
      <c r="AA445" s="2450"/>
      <c r="AB445" s="2450"/>
      <c r="AC445" s="2450"/>
      <c r="AD445" s="2450"/>
      <c r="AE445" s="2450"/>
      <c r="AF445" s="2450"/>
      <c r="AG445" s="2450"/>
      <c r="AH445" s="2450"/>
      <c r="AI445" s="2450"/>
      <c r="AJ445" s="2450"/>
      <c r="AK445" s="2450"/>
      <c r="AL445" s="2450"/>
      <c r="AM445" s="2450"/>
      <c r="AN445" s="2450"/>
      <c r="AO445" s="2447"/>
      <c r="AP445" s="2447"/>
      <c r="AQ445" s="2447"/>
      <c r="AR445" s="2447"/>
    </row>
    <row r="446" spans="1:44" s="313" customFormat="1" ht="15.75">
      <c r="A446" s="2447"/>
      <c r="B446" s="2451" t="s">
        <v>1729</v>
      </c>
      <c r="C446" s="2417"/>
      <c r="D446" s="2417"/>
      <c r="E446" s="2417"/>
      <c r="F446" s="2417"/>
      <c r="G446" s="2417"/>
      <c r="H446" s="2417"/>
      <c r="I446" s="2417"/>
      <c r="J446" s="2417"/>
      <c r="K446" s="2417"/>
      <c r="L446" s="2417"/>
      <c r="M446" s="2417"/>
      <c r="N446" s="2417"/>
      <c r="O446" s="2417"/>
      <c r="P446" s="2417"/>
      <c r="Q446" s="2417"/>
      <c r="R446" s="2417"/>
      <c r="S446" s="2417"/>
      <c r="T446" s="2417"/>
      <c r="U446" s="2417"/>
      <c r="V446" s="2417"/>
      <c r="W446" s="2417"/>
      <c r="X446" s="2417"/>
      <c r="Y446" s="2417"/>
      <c r="Z446" s="2450"/>
      <c r="AA446" s="2450"/>
      <c r="AB446" s="2450"/>
      <c r="AC446" s="2450"/>
      <c r="AD446" s="2450"/>
      <c r="AE446" s="2450"/>
      <c r="AF446" s="2450"/>
      <c r="AG446" s="2450"/>
      <c r="AH446" s="2450"/>
      <c r="AI446" s="2450"/>
      <c r="AJ446" s="2450"/>
      <c r="AK446" s="2450"/>
      <c r="AL446" s="2450"/>
      <c r="AM446" s="2450"/>
      <c r="AN446" s="2450"/>
      <c r="AO446" s="2447"/>
      <c r="AP446" s="2447"/>
      <c r="AQ446" s="2447"/>
      <c r="AR446" s="2447"/>
    </row>
    <row r="447" spans="1:44" s="313" customFormat="1" ht="15.75">
      <c r="A447" s="2447"/>
      <c r="B447" s="2451" t="s">
        <v>1730</v>
      </c>
      <c r="C447" s="2417"/>
      <c r="D447" s="2417"/>
      <c r="E447" s="2417"/>
      <c r="F447" s="2417"/>
      <c r="G447" s="2417"/>
      <c r="H447" s="2417"/>
      <c r="I447" s="2417"/>
      <c r="J447" s="2417"/>
      <c r="K447" s="2417"/>
      <c r="L447" s="2417"/>
      <c r="M447" s="2417"/>
      <c r="N447" s="2417"/>
      <c r="O447" s="2417"/>
      <c r="P447" s="2417"/>
      <c r="Q447" s="2417"/>
      <c r="R447" s="2417"/>
      <c r="S447" s="2417"/>
      <c r="T447" s="2417"/>
      <c r="U447" s="2417"/>
      <c r="V447" s="2417"/>
      <c r="W447" s="2417"/>
      <c r="X447" s="2417"/>
      <c r="Y447" s="2417"/>
      <c r="Z447" s="2450"/>
      <c r="AA447" s="2450"/>
      <c r="AB447" s="2450"/>
      <c r="AC447" s="2450"/>
      <c r="AD447" s="2450"/>
      <c r="AE447" s="2450"/>
      <c r="AF447" s="2450"/>
      <c r="AG447" s="2450"/>
      <c r="AH447" s="2450"/>
      <c r="AI447" s="2450"/>
      <c r="AJ447" s="2450"/>
      <c r="AK447" s="2450"/>
      <c r="AL447" s="2450"/>
      <c r="AM447" s="2450"/>
      <c r="AN447" s="2450"/>
      <c r="AO447" s="2447"/>
      <c r="AP447" s="2447"/>
      <c r="AQ447" s="2447"/>
      <c r="AR447" s="2447"/>
    </row>
    <row r="448" spans="1:44" s="313" customFormat="1" ht="15.75">
      <c r="A448" s="2447"/>
      <c r="B448" s="2451" t="s">
        <v>1731</v>
      </c>
      <c r="C448" s="2417"/>
      <c r="D448" s="2417"/>
      <c r="E448" s="2417"/>
      <c r="F448" s="2417"/>
      <c r="G448" s="2417"/>
      <c r="H448" s="2417"/>
      <c r="I448" s="2417"/>
      <c r="J448" s="2417"/>
      <c r="K448" s="2417"/>
      <c r="L448" s="2417"/>
      <c r="M448" s="2417"/>
      <c r="N448" s="2417"/>
      <c r="O448" s="2417"/>
      <c r="P448" s="2417"/>
      <c r="Q448" s="2417"/>
      <c r="R448" s="2417"/>
      <c r="S448" s="2417"/>
      <c r="T448" s="2417"/>
      <c r="U448" s="2417"/>
      <c r="V448" s="2417"/>
      <c r="W448" s="2417"/>
      <c r="X448" s="2417"/>
      <c r="Y448" s="2417"/>
      <c r="Z448" s="2450"/>
      <c r="AA448" s="2450"/>
      <c r="AB448" s="2450"/>
      <c r="AC448" s="2450"/>
      <c r="AD448" s="2450"/>
      <c r="AE448" s="2450"/>
      <c r="AF448" s="2450"/>
      <c r="AG448" s="2450"/>
      <c r="AH448" s="2450"/>
      <c r="AI448" s="2450"/>
      <c r="AJ448" s="2450"/>
      <c r="AK448" s="2450"/>
      <c r="AL448" s="2450"/>
      <c r="AM448" s="2450"/>
      <c r="AN448" s="2450"/>
      <c r="AO448" s="2447"/>
      <c r="AP448" s="2447"/>
      <c r="AQ448" s="2447"/>
      <c r="AR448" s="2447"/>
    </row>
    <row r="449" spans="1:44" s="313" customFormat="1" ht="15.75">
      <c r="A449" s="2447"/>
      <c r="B449" s="2451" t="s">
        <v>1732</v>
      </c>
      <c r="C449" s="2417"/>
      <c r="D449" s="2417"/>
      <c r="E449" s="2417"/>
      <c r="F449" s="2417"/>
      <c r="G449" s="2417"/>
      <c r="H449" s="2417"/>
      <c r="I449" s="2417"/>
      <c r="J449" s="2417"/>
      <c r="K449" s="2417"/>
      <c r="L449" s="2417"/>
      <c r="M449" s="2417"/>
      <c r="N449" s="2417"/>
      <c r="O449" s="2417"/>
      <c r="P449" s="2417"/>
      <c r="Q449" s="2417"/>
      <c r="R449" s="2417"/>
      <c r="S449" s="2417"/>
      <c r="T449" s="2417"/>
      <c r="U449" s="2417"/>
      <c r="V449" s="2417"/>
      <c r="W449" s="2417"/>
      <c r="X449" s="2417"/>
      <c r="Y449" s="2417"/>
      <c r="Z449" s="2450"/>
      <c r="AA449" s="2450"/>
      <c r="AB449" s="2450"/>
      <c r="AC449" s="2450"/>
      <c r="AD449" s="2450"/>
      <c r="AE449" s="2450"/>
      <c r="AF449" s="2450"/>
      <c r="AG449" s="2450"/>
      <c r="AH449" s="2450"/>
      <c r="AI449" s="2450"/>
      <c r="AJ449" s="2450"/>
      <c r="AK449" s="2450"/>
      <c r="AL449" s="2450"/>
      <c r="AM449" s="2450"/>
      <c r="AN449" s="2450"/>
      <c r="AO449" s="2447"/>
      <c r="AP449" s="2447"/>
      <c r="AQ449" s="2447"/>
      <c r="AR449" s="2447"/>
    </row>
    <row r="450" spans="1:44" s="313" customFormat="1" ht="15.75">
      <c r="A450" s="2447"/>
      <c r="B450" s="2451" t="s">
        <v>1733</v>
      </c>
      <c r="C450" s="2417"/>
      <c r="D450" s="2417"/>
      <c r="E450" s="2417"/>
      <c r="F450" s="2417"/>
      <c r="G450" s="2417"/>
      <c r="H450" s="2417"/>
      <c r="I450" s="2417"/>
      <c r="J450" s="2417"/>
      <c r="K450" s="2417"/>
      <c r="L450" s="2417"/>
      <c r="M450" s="2417"/>
      <c r="N450" s="2417"/>
      <c r="O450" s="2417"/>
      <c r="P450" s="2417"/>
      <c r="Q450" s="2417"/>
      <c r="R450" s="2417"/>
      <c r="S450" s="2417"/>
      <c r="T450" s="2417"/>
      <c r="U450" s="2417"/>
      <c r="V450" s="2417"/>
      <c r="W450" s="2417"/>
      <c r="X450" s="2417"/>
      <c r="Y450" s="2417"/>
      <c r="Z450" s="2450"/>
      <c r="AA450" s="2450"/>
      <c r="AB450" s="2450"/>
      <c r="AC450" s="2450"/>
      <c r="AD450" s="2450"/>
      <c r="AE450" s="2450"/>
      <c r="AF450" s="2450"/>
      <c r="AG450" s="2450"/>
      <c r="AH450" s="2450"/>
      <c r="AI450" s="2450"/>
      <c r="AJ450" s="2450"/>
      <c r="AK450" s="2450"/>
      <c r="AL450" s="2450"/>
      <c r="AM450" s="2450"/>
      <c r="AN450" s="2450"/>
      <c r="AO450" s="2447"/>
      <c r="AP450" s="2447"/>
      <c r="AQ450" s="2447"/>
      <c r="AR450" s="2447"/>
    </row>
    <row r="451" spans="1:44" s="313" customFormat="1" ht="15.75">
      <c r="A451" s="2447"/>
      <c r="B451" s="2451" t="s">
        <v>1734</v>
      </c>
      <c r="C451" s="2417"/>
      <c r="D451" s="2417"/>
      <c r="E451" s="2417"/>
      <c r="F451" s="2417"/>
      <c r="G451" s="2417"/>
      <c r="H451" s="2417"/>
      <c r="I451" s="2417"/>
      <c r="J451" s="2417"/>
      <c r="K451" s="2417"/>
      <c r="L451" s="2417"/>
      <c r="M451" s="2417"/>
      <c r="N451" s="2417"/>
      <c r="O451" s="2417"/>
      <c r="P451" s="2417"/>
      <c r="Q451" s="2417"/>
      <c r="R451" s="2417"/>
      <c r="S451" s="2417"/>
      <c r="T451" s="2417"/>
      <c r="U451" s="2417"/>
      <c r="V451" s="2417"/>
      <c r="W451" s="2417"/>
      <c r="X451" s="2417"/>
      <c r="Y451" s="2417"/>
      <c r="Z451" s="2450"/>
      <c r="AA451" s="2450"/>
      <c r="AB451" s="2450"/>
      <c r="AC451" s="2450"/>
      <c r="AD451" s="2450"/>
      <c r="AE451" s="2450"/>
      <c r="AF451" s="2450"/>
      <c r="AG451" s="2450"/>
      <c r="AH451" s="2450"/>
      <c r="AI451" s="2450"/>
      <c r="AJ451" s="2450"/>
      <c r="AK451" s="2450"/>
      <c r="AL451" s="2450"/>
      <c r="AM451" s="2450"/>
      <c r="AN451" s="2450"/>
      <c r="AO451" s="2447"/>
      <c r="AP451" s="2447"/>
      <c r="AQ451" s="2447"/>
      <c r="AR451" s="2447"/>
    </row>
    <row r="452" spans="1:44" s="313" customFormat="1" ht="15.75">
      <c r="A452" s="2447"/>
      <c r="B452" s="2451" t="s">
        <v>1735</v>
      </c>
      <c r="C452" s="2417"/>
      <c r="D452" s="2417"/>
      <c r="E452" s="2417"/>
      <c r="F452" s="2417"/>
      <c r="G452" s="2417"/>
      <c r="H452" s="2417"/>
      <c r="I452" s="2417"/>
      <c r="J452" s="2417"/>
      <c r="K452" s="2417"/>
      <c r="L452" s="2417"/>
      <c r="M452" s="2417"/>
      <c r="N452" s="2417"/>
      <c r="O452" s="2417"/>
      <c r="P452" s="2417"/>
      <c r="Q452" s="2417"/>
      <c r="R452" s="2417"/>
      <c r="S452" s="2417"/>
      <c r="T452" s="2417"/>
      <c r="U452" s="2417"/>
      <c r="V452" s="2417"/>
      <c r="W452" s="2417"/>
      <c r="X452" s="2417"/>
      <c r="Y452" s="2417"/>
      <c r="Z452" s="2450"/>
      <c r="AA452" s="2450"/>
      <c r="AB452" s="2450"/>
      <c r="AC452" s="2450"/>
      <c r="AD452" s="2450"/>
      <c r="AE452" s="2450"/>
      <c r="AF452" s="2450"/>
      <c r="AG452" s="2450"/>
      <c r="AH452" s="2450"/>
      <c r="AI452" s="2450"/>
      <c r="AJ452" s="2450"/>
      <c r="AK452" s="2450"/>
      <c r="AL452" s="2450"/>
      <c r="AM452" s="2450"/>
      <c r="AN452" s="2450"/>
      <c r="AO452" s="2447"/>
      <c r="AP452" s="2447"/>
      <c r="AQ452" s="2447"/>
      <c r="AR452" s="2447"/>
    </row>
    <row r="453" spans="1:44" s="313" customFormat="1" ht="15.75">
      <c r="A453" s="2447"/>
      <c r="B453" s="2447" t="s">
        <v>968</v>
      </c>
      <c r="C453" s="2453"/>
      <c r="D453" s="2454"/>
      <c r="E453" s="2454"/>
      <c r="F453" s="2454"/>
      <c r="G453" s="2454"/>
      <c r="H453" s="2454"/>
      <c r="I453" s="2454"/>
      <c r="J453" s="2454"/>
      <c r="K453" s="2454"/>
      <c r="L453" s="2454"/>
      <c r="M453" s="2454"/>
      <c r="N453" s="2454"/>
      <c r="O453" s="2454"/>
      <c r="P453" s="2454"/>
      <c r="Q453" s="2454"/>
      <c r="R453" s="2454"/>
      <c r="S453" s="2454"/>
      <c r="T453" s="2454"/>
      <c r="U453" s="2454"/>
      <c r="V453" s="2454"/>
      <c r="W453" s="2454"/>
      <c r="X453" s="2454"/>
      <c r="Y453" s="2454"/>
      <c r="Z453" s="2450"/>
      <c r="AA453" s="2450"/>
      <c r="AB453" s="2450"/>
      <c r="AC453" s="2450"/>
      <c r="AD453" s="2450"/>
      <c r="AE453" s="2450"/>
      <c r="AF453" s="2450"/>
      <c r="AG453" s="2450"/>
      <c r="AH453" s="2450"/>
      <c r="AI453" s="2450"/>
      <c r="AJ453" s="2450"/>
      <c r="AK453" s="2450"/>
      <c r="AL453" s="2450"/>
      <c r="AM453" s="2450"/>
      <c r="AN453" s="2450"/>
      <c r="AO453" s="2447"/>
      <c r="AP453" s="2447"/>
      <c r="AQ453" s="2447"/>
      <c r="AR453" s="2447"/>
    </row>
    <row r="454" spans="1:44" s="313" customFormat="1" ht="15.75">
      <c r="A454" s="2447"/>
      <c r="B454" s="2447" t="s">
        <v>965</v>
      </c>
      <c r="C454" s="2453"/>
      <c r="D454" s="2417"/>
      <c r="E454" s="2417"/>
      <c r="F454" s="2417"/>
      <c r="G454" s="2417"/>
      <c r="H454" s="2417"/>
      <c r="I454" s="2417"/>
      <c r="J454" s="2417"/>
      <c r="K454" s="2417"/>
      <c r="L454" s="2417"/>
      <c r="M454" s="2417"/>
      <c r="N454" s="2417"/>
      <c r="O454" s="2417"/>
      <c r="P454" s="2417"/>
      <c r="Q454" s="2417"/>
      <c r="R454" s="2417"/>
      <c r="S454" s="2417"/>
      <c r="T454" s="2417"/>
      <c r="U454" s="2417"/>
      <c r="V454" s="2417"/>
      <c r="W454" s="2417"/>
      <c r="X454" s="2417"/>
      <c r="Y454" s="2417"/>
      <c r="Z454" s="2450"/>
      <c r="AA454" s="2450"/>
      <c r="AB454" s="2450"/>
      <c r="AC454" s="2450"/>
      <c r="AD454" s="2450"/>
      <c r="AE454" s="2450"/>
      <c r="AF454" s="2450"/>
      <c r="AG454" s="2450"/>
      <c r="AH454" s="2450"/>
      <c r="AI454" s="2450"/>
      <c r="AJ454" s="2450"/>
      <c r="AK454" s="2450"/>
      <c r="AL454" s="2450"/>
      <c r="AM454" s="2450"/>
      <c r="AN454" s="2450"/>
      <c r="AO454" s="2447"/>
      <c r="AP454" s="2447"/>
      <c r="AQ454" s="2447"/>
      <c r="AR454" s="2447"/>
    </row>
    <row r="455" spans="1:44" s="313" customFormat="1" ht="15.75">
      <c r="A455" s="2447"/>
      <c r="B455" s="2451"/>
      <c r="C455" s="2417"/>
      <c r="D455" s="2417"/>
      <c r="E455" s="2417"/>
      <c r="F455" s="2417"/>
      <c r="G455" s="2417"/>
      <c r="H455" s="2417"/>
      <c r="I455" s="2417"/>
      <c r="J455" s="2417"/>
      <c r="K455" s="2417"/>
      <c r="L455" s="2417"/>
      <c r="M455" s="2417"/>
      <c r="N455" s="2417"/>
      <c r="O455" s="2417"/>
      <c r="P455" s="2417"/>
      <c r="Q455" s="2417"/>
      <c r="R455" s="2417"/>
      <c r="S455" s="2417"/>
      <c r="T455" s="2417"/>
      <c r="U455" s="2417"/>
      <c r="V455" s="2417"/>
      <c r="W455" s="2417"/>
      <c r="X455" s="2417"/>
      <c r="Y455" s="2417"/>
      <c r="Z455" s="2450"/>
      <c r="AA455" s="2450"/>
      <c r="AB455" s="2450"/>
      <c r="AC455" s="2450"/>
      <c r="AD455" s="2450"/>
      <c r="AE455" s="2450"/>
      <c r="AF455" s="2450"/>
      <c r="AG455" s="2450"/>
      <c r="AH455" s="2450"/>
      <c r="AI455" s="2450"/>
      <c r="AJ455" s="2450"/>
      <c r="AK455" s="2450"/>
      <c r="AL455" s="2450"/>
      <c r="AM455" s="2450"/>
      <c r="AN455" s="2450"/>
      <c r="AO455" s="2447"/>
      <c r="AP455" s="2447"/>
      <c r="AQ455" s="2447"/>
      <c r="AR455" s="2447"/>
    </row>
    <row r="456" spans="1:44" s="313" customFormat="1" ht="15.75">
      <c r="A456" s="2447"/>
      <c r="B456" s="2455"/>
      <c r="C456" s="2456"/>
      <c r="D456" s="2456"/>
      <c r="E456" s="2456"/>
      <c r="F456" s="2456"/>
      <c r="G456" s="2457"/>
      <c r="H456" s="2457"/>
      <c r="I456" s="2457"/>
      <c r="J456" s="2457"/>
      <c r="K456" s="2457"/>
      <c r="L456" s="2457"/>
      <c r="M456" s="2457"/>
      <c r="N456" s="2457"/>
      <c r="O456" s="2457"/>
      <c r="P456" s="2457"/>
      <c r="Q456" s="2456"/>
      <c r="R456" s="2456"/>
      <c r="S456" s="2456"/>
      <c r="T456" s="2456"/>
      <c r="U456" s="2456"/>
      <c r="V456" s="2456"/>
      <c r="W456" s="2456"/>
      <c r="X456" s="2456"/>
      <c r="Y456" s="2456"/>
      <c r="Z456" s="2450"/>
      <c r="AA456" s="2450"/>
      <c r="AB456" s="2450"/>
      <c r="AC456" s="2450"/>
      <c r="AD456" s="2450"/>
      <c r="AE456" s="2450"/>
      <c r="AF456" s="2450"/>
      <c r="AG456" s="2450"/>
      <c r="AH456" s="2450"/>
      <c r="AI456" s="2450"/>
      <c r="AJ456" s="2450"/>
      <c r="AK456" s="2450"/>
      <c r="AL456" s="2450"/>
      <c r="AM456" s="2450"/>
      <c r="AN456" s="2450"/>
      <c r="AO456" s="2447"/>
      <c r="AP456" s="2447"/>
      <c r="AQ456" s="2447"/>
      <c r="AR456" s="2447"/>
    </row>
    <row r="457" spans="1:44" s="313" customFormat="1" ht="15.75">
      <c r="A457" s="2447"/>
      <c r="B457" s="2449" t="s">
        <v>1836</v>
      </c>
      <c r="C457" s="2417" t="s">
        <v>967</v>
      </c>
      <c r="D457" s="2417"/>
      <c r="E457" s="2417"/>
      <c r="F457" s="2417"/>
      <c r="G457" s="2417"/>
      <c r="H457" s="2417"/>
      <c r="I457" s="2417"/>
      <c r="J457" s="2417"/>
      <c r="K457" s="2417"/>
      <c r="L457" s="2417"/>
      <c r="M457" s="2417"/>
      <c r="N457" s="2417"/>
      <c r="O457" s="2417"/>
      <c r="P457" s="2417"/>
      <c r="Q457" s="2417"/>
      <c r="R457" s="2417"/>
      <c r="S457" s="2417"/>
      <c r="T457" s="2417"/>
      <c r="U457" s="2417"/>
      <c r="V457" s="2417"/>
      <c r="W457" s="2417"/>
      <c r="X457" s="2417"/>
      <c r="Y457" s="2417"/>
      <c r="Z457" s="2450"/>
      <c r="AA457" s="2450"/>
      <c r="AB457" s="2450"/>
      <c r="AC457" s="2450"/>
      <c r="AD457" s="2450"/>
      <c r="AE457" s="2450"/>
      <c r="AF457" s="2450"/>
      <c r="AG457" s="2450"/>
      <c r="AH457" s="2450"/>
      <c r="AI457" s="2450"/>
      <c r="AJ457" s="2450"/>
      <c r="AK457" s="2450"/>
      <c r="AL457" s="2450"/>
      <c r="AM457" s="2450"/>
      <c r="AN457" s="2450"/>
      <c r="AO457" s="2447"/>
      <c r="AP457" s="2447"/>
      <c r="AQ457" s="2447"/>
      <c r="AR457" s="2447"/>
    </row>
    <row r="458" spans="1:44" s="313" customFormat="1" ht="15.75">
      <c r="A458" s="2447"/>
      <c r="B458" s="2451" t="s">
        <v>1157</v>
      </c>
      <c r="C458" s="2417"/>
      <c r="D458" s="2417"/>
      <c r="E458" s="2417"/>
      <c r="F458" s="2417"/>
      <c r="G458" s="2417">
        <f>Africa!C8</f>
        <v>37000</v>
      </c>
      <c r="H458" s="2417">
        <f>Africa!D8</f>
        <v>37000</v>
      </c>
      <c r="I458" s="2417">
        <f>Africa!E8</f>
        <v>37000</v>
      </c>
      <c r="J458" s="2417">
        <f>Africa!F8</f>
        <v>37500</v>
      </c>
      <c r="K458" s="2417">
        <f>Africa!G8</f>
        <v>39384</v>
      </c>
      <c r="L458" s="2417">
        <f>Africa!H8</f>
        <v>39384</v>
      </c>
      <c r="M458" s="2417">
        <f>Africa!I8</f>
        <v>40157.342657342655</v>
      </c>
      <c r="N458" s="2417">
        <f>Africa!J8</f>
        <v>44397.321428571428</v>
      </c>
      <c r="O458" s="2417">
        <f>Africa!K8</f>
        <v>39660.483985260769</v>
      </c>
      <c r="P458" s="2417">
        <f>Africa!L8</f>
        <v>43107.265998165312</v>
      </c>
      <c r="Q458" s="2417">
        <f>Africa!M8</f>
        <v>43924.173923156319</v>
      </c>
      <c r="R458" s="2417">
        <f>Africa!N8</f>
        <v>46407.139321950017</v>
      </c>
      <c r="S458" s="2417">
        <f>Africa!O8</f>
        <v>47331.02253032929</v>
      </c>
      <c r="T458" s="2417">
        <f>Africa!P8</f>
        <v>50071.780728923586</v>
      </c>
      <c r="U458" s="2417">
        <f>Africa!Q8</f>
        <v>50529.937522593238</v>
      </c>
      <c r="V458" s="2417">
        <f>Africa!R8</f>
        <v>50992.286450924963</v>
      </c>
      <c r="W458" s="2417">
        <f>Africa!S8</f>
        <v>51458.865871950926</v>
      </c>
      <c r="X458" s="2417"/>
      <c r="Y458" s="2417"/>
      <c r="Z458" s="2450"/>
      <c r="AA458" s="2450"/>
      <c r="AB458" s="2450"/>
      <c r="AC458" s="2450"/>
      <c r="AD458" s="2450"/>
      <c r="AE458" s="2450"/>
      <c r="AF458" s="2450"/>
      <c r="AG458" s="2450"/>
      <c r="AH458" s="2450"/>
      <c r="AI458" s="2450"/>
      <c r="AJ458" s="2450"/>
      <c r="AK458" s="2450"/>
      <c r="AL458" s="2450"/>
      <c r="AM458" s="2450"/>
      <c r="AN458" s="2450"/>
      <c r="AO458" s="2447"/>
      <c r="AP458" s="2447"/>
      <c r="AQ458" s="2447"/>
      <c r="AR458" s="2447"/>
    </row>
    <row r="459" spans="1:44" s="313" customFormat="1" ht="15.75">
      <c r="A459" s="2447"/>
      <c r="B459" s="2451" t="s">
        <v>1158</v>
      </c>
      <c r="C459" s="2417"/>
      <c r="D459" s="2417"/>
      <c r="E459" s="2417"/>
      <c r="F459" s="2417"/>
      <c r="G459" s="2417">
        <f>Africa!C51</f>
        <v>145.83799999999999</v>
      </c>
      <c r="H459" s="2417">
        <f>Africa!D51</f>
        <v>168.863</v>
      </c>
      <c r="I459" s="2417">
        <f>Africa!E51</f>
        <v>302.71199999999999</v>
      </c>
      <c r="J459" s="2417">
        <f>Africa!F51</f>
        <v>475.37900000000002</v>
      </c>
      <c r="K459" s="2417">
        <f>Africa!G51</f>
        <v>760.87400000000002</v>
      </c>
      <c r="L459" s="2417">
        <f>Africa!H51</f>
        <v>1191.6780000000001</v>
      </c>
      <c r="M459" s="2417">
        <f>Africa!I51</f>
        <v>2297</v>
      </c>
      <c r="N459" s="2417">
        <f>Africa!J51</f>
        <v>3978</v>
      </c>
      <c r="O459" s="2417">
        <f>Africa!K51</f>
        <v>4477.51</v>
      </c>
      <c r="P459" s="2417">
        <f>Africa!L51</f>
        <v>5451</v>
      </c>
      <c r="Q459" s="2417">
        <f>Africa!M51</f>
        <v>6043</v>
      </c>
      <c r="R459" s="2417">
        <f>Africa!N51</f>
        <v>6001</v>
      </c>
      <c r="S459" s="2417">
        <f>Africa!O51</f>
        <v>8193</v>
      </c>
      <c r="T459" s="2417">
        <f>Africa!P51</f>
        <v>11801.418</v>
      </c>
      <c r="U459" s="2417">
        <f>Africa!Q51</f>
        <v>13031.165587701569</v>
      </c>
      <c r="V459" s="2417">
        <f>Africa!R51</f>
        <v>14282.429512039575</v>
      </c>
      <c r="W459" s="2417">
        <f>Africa!S51</f>
        <v>15555.500564432048</v>
      </c>
      <c r="X459" s="2417"/>
      <c r="Y459" s="2417"/>
      <c r="Z459" s="2450"/>
      <c r="AA459" s="2450"/>
      <c r="AB459" s="2450"/>
      <c r="AC459" s="2450"/>
      <c r="AD459" s="2450"/>
      <c r="AE459" s="2450"/>
      <c r="AF459" s="2450"/>
      <c r="AG459" s="2450"/>
      <c r="AH459" s="2450"/>
      <c r="AI459" s="2450"/>
      <c r="AJ459" s="2450"/>
      <c r="AK459" s="2450"/>
      <c r="AL459" s="2450"/>
      <c r="AM459" s="2450"/>
      <c r="AN459" s="2450"/>
      <c r="AO459" s="2447"/>
      <c r="AP459" s="2447"/>
      <c r="AQ459" s="2447"/>
      <c r="AR459" s="2447"/>
    </row>
    <row r="460" spans="1:44" s="313" customFormat="1" ht="15.75">
      <c r="A460" s="2447"/>
      <c r="B460" s="2451" t="s">
        <v>1159</v>
      </c>
      <c r="C460" s="2417"/>
      <c r="D460" s="2452"/>
      <c r="E460" s="2452"/>
      <c r="F460" s="2452"/>
      <c r="G460" s="2452">
        <f>Africa!C71</f>
        <v>0.15</v>
      </c>
      <c r="H460" s="2452">
        <f>Africa!D71</f>
        <v>0.15</v>
      </c>
      <c r="I460" s="2452">
        <f>Africa!E71</f>
        <v>0.15</v>
      </c>
      <c r="J460" s="2452">
        <f>Africa!F71</f>
        <v>0.16046548523206752</v>
      </c>
      <c r="K460" s="2452">
        <f>Africa!G71</f>
        <v>0.21465964745976934</v>
      </c>
      <c r="L460" s="2452">
        <f>Africa!H71</f>
        <v>0.16</v>
      </c>
      <c r="M460" s="2452">
        <f>Africa!I71</f>
        <v>0.26</v>
      </c>
      <c r="N460" s="2452">
        <f>Africa!J71</f>
        <v>0.32</v>
      </c>
      <c r="O460" s="2452">
        <f>Africa!K71</f>
        <v>0.33600000000000002</v>
      </c>
      <c r="P460" s="2452">
        <f>Africa!L71</f>
        <v>0.313</v>
      </c>
      <c r="Q460" s="2452">
        <f>Africa!M71</f>
        <v>0.317</v>
      </c>
      <c r="R460" s="2452">
        <f>Africa!N71</f>
        <v>0.28799999999999998</v>
      </c>
      <c r="S460" s="2452">
        <f>Africa!O71</f>
        <v>0.3</v>
      </c>
      <c r="T460" s="2452">
        <f>Africa!P71</f>
        <v>0.37</v>
      </c>
      <c r="U460" s="2452">
        <f>Africa!Q71</f>
        <v>0.37</v>
      </c>
      <c r="V460" s="2452">
        <f>Africa!R71</f>
        <v>0.37</v>
      </c>
      <c r="W460" s="2452">
        <f>Africa!S71</f>
        <v>0.37</v>
      </c>
      <c r="X460" s="2452"/>
      <c r="Y460" s="2452"/>
      <c r="Z460" s="2450"/>
      <c r="AA460" s="2450"/>
      <c r="AB460" s="2450"/>
      <c r="AC460" s="2450"/>
      <c r="AD460" s="2450"/>
      <c r="AE460" s="2450"/>
      <c r="AF460" s="2450"/>
      <c r="AG460" s="2450"/>
      <c r="AH460" s="2450"/>
      <c r="AI460" s="2450"/>
      <c r="AJ460" s="2450"/>
      <c r="AK460" s="2450"/>
      <c r="AL460" s="2450"/>
      <c r="AM460" s="2450"/>
      <c r="AN460" s="2450"/>
      <c r="AO460" s="2447"/>
      <c r="AP460" s="2447"/>
      <c r="AQ460" s="2447"/>
      <c r="AR460" s="2447"/>
    </row>
    <row r="461" spans="1:44" s="313" customFormat="1" ht="15.75">
      <c r="A461" s="2447"/>
      <c r="B461" s="2451" t="s">
        <v>1160</v>
      </c>
      <c r="C461" s="2417"/>
      <c r="D461" s="2417"/>
      <c r="E461" s="2417"/>
      <c r="F461" s="2417"/>
      <c r="G461" s="2417"/>
      <c r="H461" s="2417"/>
      <c r="I461" s="2417"/>
      <c r="J461" s="2417"/>
      <c r="K461" s="2417"/>
      <c r="L461" s="2417"/>
      <c r="M461" s="2417"/>
      <c r="N461" s="2417"/>
      <c r="O461" s="2417"/>
      <c r="P461" s="2417"/>
      <c r="Q461" s="2417"/>
      <c r="R461" s="2417"/>
      <c r="S461" s="2417"/>
      <c r="T461" s="2417"/>
      <c r="U461" s="2417"/>
      <c r="V461" s="2417"/>
      <c r="W461" s="2417"/>
      <c r="X461" s="2417"/>
      <c r="Y461" s="2417"/>
      <c r="Z461" s="2450"/>
      <c r="AA461" s="2450"/>
      <c r="AB461" s="2450"/>
      <c r="AC461" s="2450"/>
      <c r="AD461" s="2450"/>
      <c r="AE461" s="2450"/>
      <c r="AF461" s="2450"/>
      <c r="AG461" s="2450"/>
      <c r="AH461" s="2450"/>
      <c r="AI461" s="2450"/>
      <c r="AJ461" s="2450"/>
      <c r="AK461" s="2450"/>
      <c r="AL461" s="2450"/>
      <c r="AM461" s="2450"/>
      <c r="AN461" s="2450"/>
      <c r="AO461" s="2447"/>
      <c r="AP461" s="2447"/>
      <c r="AQ461" s="2447"/>
      <c r="AR461" s="2447"/>
    </row>
    <row r="462" spans="1:44" s="313" customFormat="1" ht="15.75">
      <c r="A462" s="2447"/>
      <c r="B462" s="2451" t="s">
        <v>523</v>
      </c>
      <c r="C462" s="2417"/>
      <c r="D462" s="2417"/>
      <c r="E462" s="2417"/>
      <c r="F462" s="2417"/>
      <c r="G462" s="2417"/>
      <c r="H462" s="2417"/>
      <c r="I462" s="2417"/>
      <c r="J462" s="2417"/>
      <c r="K462" s="2417"/>
      <c r="L462" s="2417"/>
      <c r="M462" s="2417"/>
      <c r="N462" s="2417"/>
      <c r="O462" s="2417"/>
      <c r="P462" s="2417"/>
      <c r="Q462" s="2417"/>
      <c r="R462" s="2417"/>
      <c r="S462" s="2417"/>
      <c r="T462" s="2417"/>
      <c r="U462" s="2417"/>
      <c r="V462" s="2417"/>
      <c r="W462" s="2417"/>
      <c r="X462" s="2417"/>
      <c r="Y462" s="2417"/>
      <c r="Z462" s="2450"/>
      <c r="AA462" s="2450"/>
      <c r="AB462" s="2450"/>
      <c r="AC462" s="2450"/>
      <c r="AD462" s="2450"/>
      <c r="AE462" s="2450"/>
      <c r="AF462" s="2450"/>
      <c r="AG462" s="2450"/>
      <c r="AH462" s="2450"/>
      <c r="AI462" s="2450"/>
      <c r="AJ462" s="2450"/>
      <c r="AK462" s="2450"/>
      <c r="AL462" s="2450"/>
      <c r="AM462" s="2450"/>
      <c r="AN462" s="2450"/>
      <c r="AO462" s="2447"/>
      <c r="AP462" s="2447"/>
      <c r="AQ462" s="2447"/>
      <c r="AR462" s="2447"/>
    </row>
    <row r="463" spans="1:44" s="313" customFormat="1" ht="15.75">
      <c r="A463" s="2447"/>
      <c r="B463" s="2451" t="s">
        <v>360</v>
      </c>
      <c r="C463" s="2417"/>
      <c r="D463" s="2417"/>
      <c r="E463" s="2417"/>
      <c r="F463" s="2417"/>
      <c r="G463" s="2417"/>
      <c r="H463" s="2417"/>
      <c r="I463" s="2417"/>
      <c r="J463" s="2417"/>
      <c r="K463" s="2417"/>
      <c r="L463" s="2417"/>
      <c r="M463" s="2417"/>
      <c r="N463" s="2417"/>
      <c r="O463" s="2417"/>
      <c r="P463" s="2417"/>
      <c r="Q463" s="2417"/>
      <c r="R463" s="2417"/>
      <c r="S463" s="2417"/>
      <c r="T463" s="2417"/>
      <c r="U463" s="2417"/>
      <c r="V463" s="2417"/>
      <c r="W463" s="2417"/>
      <c r="X463" s="2417"/>
      <c r="Y463" s="2417"/>
      <c r="Z463" s="2450"/>
      <c r="AA463" s="2450"/>
      <c r="AB463" s="2450"/>
      <c r="AC463" s="2450"/>
      <c r="AD463" s="2450"/>
      <c r="AE463" s="2450"/>
      <c r="AF463" s="2450"/>
      <c r="AG463" s="2450"/>
      <c r="AH463" s="2450"/>
      <c r="AI463" s="2450"/>
      <c r="AJ463" s="2450"/>
      <c r="AK463" s="2450"/>
      <c r="AL463" s="2450"/>
      <c r="AM463" s="2450"/>
      <c r="AN463" s="2450"/>
      <c r="AO463" s="2447"/>
      <c r="AP463" s="2447"/>
      <c r="AQ463" s="2447"/>
      <c r="AR463" s="2447"/>
    </row>
    <row r="464" spans="1:44" s="313" customFormat="1" ht="15.75">
      <c r="A464" s="2447"/>
      <c r="B464" s="2451" t="s">
        <v>1552</v>
      </c>
      <c r="C464" s="2417"/>
      <c r="D464" s="2417"/>
      <c r="E464" s="2417"/>
      <c r="F464" s="2417"/>
      <c r="G464" s="2417"/>
      <c r="H464" s="2417"/>
      <c r="I464" s="2417"/>
      <c r="J464" s="2417"/>
      <c r="K464" s="2417"/>
      <c r="L464" s="2417"/>
      <c r="M464" s="2417"/>
      <c r="N464" s="2417"/>
      <c r="O464" s="2417"/>
      <c r="P464" s="2417"/>
      <c r="Q464" s="2417"/>
      <c r="R464" s="2417"/>
      <c r="S464" s="2417"/>
      <c r="T464" s="2417"/>
      <c r="U464" s="2417"/>
      <c r="V464" s="2417"/>
      <c r="W464" s="2417"/>
      <c r="X464" s="2417"/>
      <c r="Y464" s="2417"/>
      <c r="Z464" s="2450"/>
      <c r="AA464" s="2450"/>
      <c r="AB464" s="2450"/>
      <c r="AC464" s="2450"/>
      <c r="AD464" s="2450"/>
      <c r="AE464" s="2450"/>
      <c r="AF464" s="2450"/>
      <c r="AG464" s="2450"/>
      <c r="AH464" s="2450"/>
      <c r="AI464" s="2450"/>
      <c r="AJ464" s="2450"/>
      <c r="AK464" s="2450"/>
      <c r="AL464" s="2450"/>
      <c r="AM464" s="2450"/>
      <c r="AN464" s="2450"/>
      <c r="AO464" s="2447"/>
      <c r="AP464" s="2447"/>
      <c r="AQ464" s="2447"/>
      <c r="AR464" s="2447"/>
    </row>
    <row r="465" spans="1:44" s="313" customFormat="1" ht="15.75">
      <c r="A465" s="2447"/>
      <c r="B465" s="2451" t="s">
        <v>1936</v>
      </c>
      <c r="C465" s="2417"/>
      <c r="D465" s="2417"/>
      <c r="E465" s="2417"/>
      <c r="F465" s="2417"/>
      <c r="G465" s="2417"/>
      <c r="H465" s="2417"/>
      <c r="I465" s="2417"/>
      <c r="J465" s="2417"/>
      <c r="K465" s="2417"/>
      <c r="L465" s="2417"/>
      <c r="M465" s="2417"/>
      <c r="N465" s="2417"/>
      <c r="O465" s="2417"/>
      <c r="P465" s="2417"/>
      <c r="Q465" s="2417"/>
      <c r="R465" s="2417"/>
      <c r="S465" s="2417"/>
      <c r="T465" s="2417"/>
      <c r="U465" s="2417"/>
      <c r="V465" s="2417"/>
      <c r="W465" s="2417"/>
      <c r="X465" s="2417"/>
      <c r="Y465" s="2417"/>
      <c r="Z465" s="2450"/>
      <c r="AA465" s="2450"/>
      <c r="AB465" s="2450"/>
      <c r="AC465" s="2450"/>
      <c r="AD465" s="2450"/>
      <c r="AE465" s="2450"/>
      <c r="AF465" s="2450"/>
      <c r="AG465" s="2450"/>
      <c r="AH465" s="2450"/>
      <c r="AI465" s="2450"/>
      <c r="AJ465" s="2450"/>
      <c r="AK465" s="2450"/>
      <c r="AL465" s="2450"/>
      <c r="AM465" s="2450"/>
      <c r="AN465" s="2450"/>
      <c r="AO465" s="2447"/>
      <c r="AP465" s="2447"/>
      <c r="AQ465" s="2447"/>
      <c r="AR465" s="2447"/>
    </row>
    <row r="466" spans="1:44" s="313" customFormat="1" ht="15.75">
      <c r="A466" s="2447"/>
      <c r="B466" s="2451" t="s">
        <v>1161</v>
      </c>
      <c r="C466" s="2417"/>
      <c r="D466" s="2417"/>
      <c r="E466" s="2417"/>
      <c r="F466" s="2417"/>
      <c r="G466" s="2417"/>
      <c r="H466" s="2417"/>
      <c r="I466" s="2417"/>
      <c r="J466" s="2417"/>
      <c r="K466" s="2417"/>
      <c r="L466" s="2417"/>
      <c r="M466" s="2417"/>
      <c r="N466" s="2417"/>
      <c r="O466" s="2417"/>
      <c r="P466" s="2417"/>
      <c r="Q466" s="2417"/>
      <c r="R466" s="2417"/>
      <c r="S466" s="2417"/>
      <c r="T466" s="2417"/>
      <c r="U466" s="2417"/>
      <c r="V466" s="2417"/>
      <c r="W466" s="2417"/>
      <c r="X466" s="2417"/>
      <c r="Y466" s="2417"/>
      <c r="Z466" s="2450"/>
      <c r="AA466" s="2450"/>
      <c r="AB466" s="2450"/>
      <c r="AC466" s="2450"/>
      <c r="AD466" s="2450"/>
      <c r="AE466" s="2450"/>
      <c r="AF466" s="2450"/>
      <c r="AG466" s="2450"/>
      <c r="AH466" s="2450"/>
      <c r="AI466" s="2450"/>
      <c r="AJ466" s="2450"/>
      <c r="AK466" s="2450"/>
      <c r="AL466" s="2450"/>
      <c r="AM466" s="2450"/>
      <c r="AN466" s="2450"/>
      <c r="AO466" s="2447"/>
      <c r="AP466" s="2447"/>
      <c r="AQ466" s="2447"/>
      <c r="AR466" s="2447"/>
    </row>
    <row r="467" spans="1:44" s="313" customFormat="1" ht="15.75">
      <c r="A467" s="2447"/>
      <c r="B467" s="2451" t="s">
        <v>1185</v>
      </c>
      <c r="C467" s="2417"/>
      <c r="D467" s="2417"/>
      <c r="E467" s="2417"/>
      <c r="F467" s="2417"/>
      <c r="G467" s="2417"/>
      <c r="H467" s="2417"/>
      <c r="I467" s="2417"/>
      <c r="J467" s="2417"/>
      <c r="K467" s="2417"/>
      <c r="L467" s="2417"/>
      <c r="M467" s="2417"/>
      <c r="N467" s="2417"/>
      <c r="O467" s="2417"/>
      <c r="P467" s="2417"/>
      <c r="Q467" s="2417"/>
      <c r="R467" s="2417"/>
      <c r="S467" s="2417"/>
      <c r="T467" s="2417"/>
      <c r="U467" s="2417"/>
      <c r="V467" s="2417"/>
      <c r="W467" s="2417"/>
      <c r="X467" s="2417"/>
      <c r="Y467" s="2417"/>
      <c r="Z467" s="2450"/>
      <c r="AA467" s="2450"/>
      <c r="AB467" s="2450"/>
      <c r="AC467" s="2450"/>
      <c r="AD467" s="2450"/>
      <c r="AE467" s="2450"/>
      <c r="AF467" s="2450"/>
      <c r="AG467" s="2450"/>
      <c r="AH467" s="2450"/>
      <c r="AI467" s="2450"/>
      <c r="AJ467" s="2450"/>
      <c r="AK467" s="2450"/>
      <c r="AL467" s="2450"/>
      <c r="AM467" s="2450"/>
      <c r="AN467" s="2450"/>
      <c r="AO467" s="2447"/>
      <c r="AP467" s="2447"/>
      <c r="AQ467" s="2447"/>
      <c r="AR467" s="2447"/>
    </row>
    <row r="468" spans="1:44" s="313" customFormat="1" ht="15.75">
      <c r="A468" s="2447"/>
      <c r="B468" s="2451" t="s">
        <v>1728</v>
      </c>
      <c r="C468" s="2417"/>
      <c r="D468" s="2417"/>
      <c r="E468" s="2417"/>
      <c r="F468" s="2417"/>
      <c r="G468" s="2417"/>
      <c r="H468" s="2417"/>
      <c r="I468" s="2417"/>
      <c r="J468" s="2417"/>
      <c r="K468" s="2417"/>
      <c r="L468" s="2417"/>
      <c r="M468" s="2417"/>
      <c r="N468" s="2417"/>
      <c r="O468" s="2417"/>
      <c r="P468" s="2417"/>
      <c r="Q468" s="2417"/>
      <c r="R468" s="2417"/>
      <c r="S468" s="2417"/>
      <c r="T468" s="2417"/>
      <c r="U468" s="2417"/>
      <c r="V468" s="2417"/>
      <c r="W468" s="2417"/>
      <c r="X468" s="2417"/>
      <c r="Y468" s="2417"/>
      <c r="Z468" s="2450"/>
      <c r="AA468" s="2450"/>
      <c r="AB468" s="2450"/>
      <c r="AC468" s="2450"/>
      <c r="AD468" s="2450"/>
      <c r="AE468" s="2450"/>
      <c r="AF468" s="2450"/>
      <c r="AG468" s="2450"/>
      <c r="AH468" s="2450"/>
      <c r="AI468" s="2450"/>
      <c r="AJ468" s="2450"/>
      <c r="AK468" s="2450"/>
      <c r="AL468" s="2450"/>
      <c r="AM468" s="2450"/>
      <c r="AN468" s="2450"/>
      <c r="AO468" s="2447"/>
      <c r="AP468" s="2447"/>
      <c r="AQ468" s="2447"/>
      <c r="AR468" s="2447"/>
    </row>
    <row r="469" spans="1:44" s="313" customFormat="1" ht="15.75">
      <c r="A469" s="2447"/>
      <c r="B469" s="2451" t="s">
        <v>1729</v>
      </c>
      <c r="C469" s="2417"/>
      <c r="D469" s="2417"/>
      <c r="E469" s="2417"/>
      <c r="F469" s="2417"/>
      <c r="G469" s="2417"/>
      <c r="H469" s="2417"/>
      <c r="I469" s="2417"/>
      <c r="J469" s="2417"/>
      <c r="K469" s="2417"/>
      <c r="L469" s="2417"/>
      <c r="M469" s="2417"/>
      <c r="N469" s="2417"/>
      <c r="O469" s="2417"/>
      <c r="P469" s="2417"/>
      <c r="Q469" s="2417"/>
      <c r="R469" s="2417"/>
      <c r="S469" s="2417"/>
      <c r="T469" s="2417"/>
      <c r="U469" s="2417"/>
      <c r="V469" s="2417"/>
      <c r="W469" s="2417"/>
      <c r="X469" s="2417"/>
      <c r="Y469" s="2417"/>
      <c r="Z469" s="2450"/>
      <c r="AA469" s="2450"/>
      <c r="AB469" s="2450"/>
      <c r="AC469" s="2450"/>
      <c r="AD469" s="2450"/>
      <c r="AE469" s="2450"/>
      <c r="AF469" s="2450"/>
      <c r="AG469" s="2450"/>
      <c r="AH469" s="2450"/>
      <c r="AI469" s="2450"/>
      <c r="AJ469" s="2450"/>
      <c r="AK469" s="2450"/>
      <c r="AL469" s="2450"/>
      <c r="AM469" s="2450"/>
      <c r="AN469" s="2450"/>
      <c r="AO469" s="2447"/>
      <c r="AP469" s="2447"/>
      <c r="AQ469" s="2447"/>
      <c r="AR469" s="2447"/>
    </row>
    <row r="470" spans="1:44" s="313" customFormat="1" ht="15.75">
      <c r="A470" s="2447"/>
      <c r="B470" s="2451" t="s">
        <v>1730</v>
      </c>
      <c r="C470" s="2417"/>
      <c r="D470" s="2417"/>
      <c r="E470" s="2417"/>
      <c r="F470" s="2417"/>
      <c r="G470" s="2417"/>
      <c r="H470" s="2417"/>
      <c r="I470" s="2417"/>
      <c r="J470" s="2417"/>
      <c r="K470" s="2417"/>
      <c r="L470" s="2417"/>
      <c r="M470" s="2417"/>
      <c r="N470" s="2417"/>
      <c r="O470" s="2417"/>
      <c r="P470" s="2417"/>
      <c r="Q470" s="2417"/>
      <c r="R470" s="2417"/>
      <c r="S470" s="2417"/>
      <c r="T470" s="2417"/>
      <c r="U470" s="2417"/>
      <c r="V470" s="2417"/>
      <c r="W470" s="2417"/>
      <c r="X470" s="2417"/>
      <c r="Y470" s="2417"/>
      <c r="Z470" s="2450"/>
      <c r="AA470" s="2450"/>
      <c r="AB470" s="2450"/>
      <c r="AC470" s="2450"/>
      <c r="AD470" s="2450"/>
      <c r="AE470" s="2450"/>
      <c r="AF470" s="2450"/>
      <c r="AG470" s="2450"/>
      <c r="AH470" s="2450"/>
      <c r="AI470" s="2450"/>
      <c r="AJ470" s="2450"/>
      <c r="AK470" s="2450"/>
      <c r="AL470" s="2450"/>
      <c r="AM470" s="2450"/>
      <c r="AN470" s="2450"/>
      <c r="AO470" s="2447"/>
      <c r="AP470" s="2447"/>
      <c r="AQ470" s="2447"/>
      <c r="AR470" s="2447"/>
    </row>
    <row r="471" spans="1:44" s="313" customFormat="1" ht="15.75">
      <c r="A471" s="2447"/>
      <c r="B471" s="2451" t="s">
        <v>1731</v>
      </c>
      <c r="C471" s="2417"/>
      <c r="D471" s="2417"/>
      <c r="E471" s="2417"/>
      <c r="F471" s="2417"/>
      <c r="G471" s="2417"/>
      <c r="H471" s="2417"/>
      <c r="I471" s="2417"/>
      <c r="J471" s="2417"/>
      <c r="K471" s="2417"/>
      <c r="L471" s="2417"/>
      <c r="M471" s="2417"/>
      <c r="N471" s="2417"/>
      <c r="O471" s="2417"/>
      <c r="P471" s="2417"/>
      <c r="Q471" s="2417"/>
      <c r="R471" s="2417"/>
      <c r="S471" s="2417"/>
      <c r="T471" s="2417"/>
      <c r="U471" s="2417"/>
      <c r="V471" s="2417"/>
      <c r="W471" s="2417"/>
      <c r="X471" s="2417"/>
      <c r="Y471" s="2417"/>
      <c r="Z471" s="2450"/>
      <c r="AA471" s="2450"/>
      <c r="AB471" s="2450"/>
      <c r="AC471" s="2450"/>
      <c r="AD471" s="2450"/>
      <c r="AE471" s="2450"/>
      <c r="AF471" s="2450"/>
      <c r="AG471" s="2450"/>
      <c r="AH471" s="2450"/>
      <c r="AI471" s="2450"/>
      <c r="AJ471" s="2450"/>
      <c r="AK471" s="2450"/>
      <c r="AL471" s="2450"/>
      <c r="AM471" s="2450"/>
      <c r="AN471" s="2450"/>
      <c r="AO471" s="2447"/>
      <c r="AP471" s="2447"/>
      <c r="AQ471" s="2447"/>
      <c r="AR471" s="2447"/>
    </row>
    <row r="472" spans="1:44" s="313" customFormat="1" ht="15.75">
      <c r="A472" s="2447"/>
      <c r="B472" s="2451" t="s">
        <v>1732</v>
      </c>
      <c r="C472" s="2417"/>
      <c r="D472" s="2417"/>
      <c r="E472" s="2417"/>
      <c r="F472" s="2417"/>
      <c r="G472" s="2417"/>
      <c r="H472" s="2417"/>
      <c r="I472" s="2417"/>
      <c r="J472" s="2417"/>
      <c r="K472" s="2417"/>
      <c r="L472" s="2417"/>
      <c r="M472" s="2417"/>
      <c r="N472" s="2417"/>
      <c r="O472" s="2417"/>
      <c r="P472" s="2417"/>
      <c r="Q472" s="2417"/>
      <c r="R472" s="2417"/>
      <c r="S472" s="2417"/>
      <c r="T472" s="2417"/>
      <c r="U472" s="2417"/>
      <c r="V472" s="2417"/>
      <c r="W472" s="2417"/>
      <c r="X472" s="2417"/>
      <c r="Y472" s="2417"/>
      <c r="Z472" s="2450"/>
      <c r="AA472" s="2450"/>
      <c r="AB472" s="2450"/>
      <c r="AC472" s="2450"/>
      <c r="AD472" s="2450"/>
      <c r="AE472" s="2450"/>
      <c r="AF472" s="2450"/>
      <c r="AG472" s="2450"/>
      <c r="AH472" s="2450"/>
      <c r="AI472" s="2450"/>
      <c r="AJ472" s="2450"/>
      <c r="AK472" s="2450"/>
      <c r="AL472" s="2450"/>
      <c r="AM472" s="2450"/>
      <c r="AN472" s="2450"/>
      <c r="AO472" s="2447"/>
      <c r="AP472" s="2447"/>
      <c r="AQ472" s="2447"/>
      <c r="AR472" s="2447"/>
    </row>
    <row r="473" spans="1:44" s="313" customFormat="1" ht="15.75">
      <c r="A473" s="2447"/>
      <c r="B473" s="2451" t="s">
        <v>1733</v>
      </c>
      <c r="C473" s="2417"/>
      <c r="D473" s="2417"/>
      <c r="E473" s="2417"/>
      <c r="F473" s="2417"/>
      <c r="G473" s="2417"/>
      <c r="H473" s="2417"/>
      <c r="I473" s="2417"/>
      <c r="J473" s="2417"/>
      <c r="K473" s="2417"/>
      <c r="L473" s="2417"/>
      <c r="M473" s="2417"/>
      <c r="N473" s="2417"/>
      <c r="O473" s="2417"/>
      <c r="P473" s="2417"/>
      <c r="Q473" s="2417"/>
      <c r="R473" s="2417"/>
      <c r="S473" s="2417"/>
      <c r="T473" s="2417"/>
      <c r="U473" s="2417"/>
      <c r="V473" s="2417"/>
      <c r="W473" s="2417"/>
      <c r="X473" s="2417"/>
      <c r="Y473" s="2417"/>
      <c r="Z473" s="2450"/>
      <c r="AA473" s="2450"/>
      <c r="AB473" s="2450"/>
      <c r="AC473" s="2450"/>
      <c r="AD473" s="2450"/>
      <c r="AE473" s="2450"/>
      <c r="AF473" s="2450"/>
      <c r="AG473" s="2450"/>
      <c r="AH473" s="2450"/>
      <c r="AI473" s="2450"/>
      <c r="AJ473" s="2450"/>
      <c r="AK473" s="2450"/>
      <c r="AL473" s="2450"/>
      <c r="AM473" s="2450"/>
      <c r="AN473" s="2450"/>
      <c r="AO473" s="2447"/>
      <c r="AP473" s="2447"/>
      <c r="AQ473" s="2447"/>
      <c r="AR473" s="2447"/>
    </row>
    <row r="474" spans="1:44" s="313" customFormat="1" ht="15.75">
      <c r="A474" s="2447"/>
      <c r="B474" s="2451" t="s">
        <v>1734</v>
      </c>
      <c r="C474" s="2417"/>
      <c r="D474" s="2417"/>
      <c r="E474" s="2417"/>
      <c r="F474" s="2417"/>
      <c r="G474" s="2417"/>
      <c r="H474" s="2417"/>
      <c r="I474" s="2417"/>
      <c r="J474" s="2417"/>
      <c r="K474" s="2417"/>
      <c r="L474" s="2417"/>
      <c r="M474" s="2417"/>
      <c r="N474" s="2417"/>
      <c r="O474" s="2417"/>
      <c r="P474" s="2417"/>
      <c r="Q474" s="2417"/>
      <c r="R474" s="2417"/>
      <c r="S474" s="2417"/>
      <c r="T474" s="2417"/>
      <c r="U474" s="2417"/>
      <c r="V474" s="2417"/>
      <c r="W474" s="2417"/>
      <c r="X474" s="2417"/>
      <c r="Y474" s="2417"/>
      <c r="Z474" s="2450"/>
      <c r="AA474" s="2450"/>
      <c r="AB474" s="2450"/>
      <c r="AC474" s="2450"/>
      <c r="AD474" s="2450"/>
      <c r="AE474" s="2450"/>
      <c r="AF474" s="2450"/>
      <c r="AG474" s="2450"/>
      <c r="AH474" s="2450"/>
      <c r="AI474" s="2450"/>
      <c r="AJ474" s="2450"/>
      <c r="AK474" s="2450"/>
      <c r="AL474" s="2450"/>
      <c r="AM474" s="2450"/>
      <c r="AN474" s="2450"/>
      <c r="AO474" s="2447"/>
      <c r="AP474" s="2447"/>
      <c r="AQ474" s="2447"/>
      <c r="AR474" s="2447"/>
    </row>
    <row r="475" spans="1:44" s="313" customFormat="1" ht="15.75">
      <c r="A475" s="2447"/>
      <c r="B475" s="2451" t="s">
        <v>1735</v>
      </c>
      <c r="C475" s="2417"/>
      <c r="D475" s="2417"/>
      <c r="E475" s="2417"/>
      <c r="F475" s="2417"/>
      <c r="G475" s="2417"/>
      <c r="H475" s="2417"/>
      <c r="I475" s="2417"/>
      <c r="J475" s="2417"/>
      <c r="K475" s="2417"/>
      <c r="L475" s="2417"/>
      <c r="M475" s="2417"/>
      <c r="N475" s="2417"/>
      <c r="O475" s="2417"/>
      <c r="P475" s="2417"/>
      <c r="Q475" s="2417"/>
      <c r="R475" s="2417"/>
      <c r="S475" s="2417"/>
      <c r="T475" s="2417"/>
      <c r="U475" s="2417"/>
      <c r="V475" s="2417"/>
      <c r="W475" s="2417"/>
      <c r="X475" s="2417"/>
      <c r="Y475" s="2417"/>
      <c r="Z475" s="2450"/>
      <c r="AA475" s="2450"/>
      <c r="AB475" s="2450"/>
      <c r="AC475" s="2450"/>
      <c r="AD475" s="2450"/>
      <c r="AE475" s="2450"/>
      <c r="AF475" s="2450"/>
      <c r="AG475" s="2450"/>
      <c r="AH475" s="2450"/>
      <c r="AI475" s="2450"/>
      <c r="AJ475" s="2450"/>
      <c r="AK475" s="2450"/>
      <c r="AL475" s="2450"/>
      <c r="AM475" s="2450"/>
      <c r="AN475" s="2450"/>
      <c r="AO475" s="2447"/>
      <c r="AP475" s="2447"/>
      <c r="AQ475" s="2447"/>
      <c r="AR475" s="2447"/>
    </row>
    <row r="476" spans="1:44" s="313" customFormat="1" ht="15.75">
      <c r="A476" s="2447"/>
      <c r="B476" s="2447" t="s">
        <v>968</v>
      </c>
      <c r="C476" s="2453"/>
      <c r="D476" s="2454"/>
      <c r="E476" s="245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0"/>
      <c r="AA476" s="2450"/>
      <c r="AB476" s="2450"/>
      <c r="AC476" s="2450"/>
      <c r="AD476" s="2450"/>
      <c r="AE476" s="2450"/>
      <c r="AF476" s="2450"/>
      <c r="AG476" s="2450"/>
      <c r="AH476" s="2450"/>
      <c r="AI476" s="2450"/>
      <c r="AJ476" s="2450"/>
      <c r="AK476" s="2450"/>
      <c r="AL476" s="2450"/>
      <c r="AM476" s="2450"/>
      <c r="AN476" s="2450"/>
      <c r="AO476" s="2447"/>
      <c r="AP476" s="2447"/>
      <c r="AQ476" s="2447"/>
      <c r="AR476" s="2447"/>
    </row>
    <row r="477" spans="1:44" s="313" customFormat="1" ht="15.75">
      <c r="A477" s="2447"/>
      <c r="B477" s="2447" t="s">
        <v>965</v>
      </c>
      <c r="C477" s="2453"/>
      <c r="D477" s="2417"/>
      <c r="E477" s="2417"/>
      <c r="F477" s="2417"/>
      <c r="G477" s="2417"/>
      <c r="H477" s="2417"/>
      <c r="I477" s="2417"/>
      <c r="J477" s="2417"/>
      <c r="K477" s="2417"/>
      <c r="L477" s="2417"/>
      <c r="M477" s="2417"/>
      <c r="N477" s="2417"/>
      <c r="O477" s="2417"/>
      <c r="P477" s="2417"/>
      <c r="Q477" s="2417"/>
      <c r="R477" s="2417"/>
      <c r="S477" s="2417"/>
      <c r="T477" s="2417"/>
      <c r="U477" s="2417"/>
      <c r="V477" s="2417"/>
      <c r="W477" s="2417"/>
      <c r="X477" s="2417"/>
      <c r="Y477" s="2417"/>
      <c r="Z477" s="2450"/>
      <c r="AA477" s="2450"/>
      <c r="AB477" s="2450"/>
      <c r="AC477" s="2450"/>
      <c r="AD477" s="2450"/>
      <c r="AE477" s="2450"/>
      <c r="AF477" s="2450"/>
      <c r="AG477" s="2450"/>
      <c r="AH477" s="2450"/>
      <c r="AI477" s="2450"/>
      <c r="AJ477" s="2450"/>
      <c r="AK477" s="2450"/>
      <c r="AL477" s="2450"/>
      <c r="AM477" s="2450"/>
      <c r="AN477" s="2450"/>
      <c r="AO477" s="2447"/>
      <c r="AP477" s="2447"/>
      <c r="AQ477" s="2447"/>
      <c r="AR477" s="2447"/>
    </row>
    <row r="478" spans="1:44" s="313" customFormat="1" ht="15.75">
      <c r="A478" s="2447"/>
      <c r="B478" s="2451"/>
      <c r="C478" s="2417"/>
      <c r="D478" s="2417"/>
      <c r="E478" s="2417"/>
      <c r="F478" s="2417"/>
      <c r="G478" s="2417"/>
      <c r="H478" s="2417"/>
      <c r="I478" s="2417"/>
      <c r="J478" s="2417"/>
      <c r="K478" s="2417"/>
      <c r="L478" s="2417"/>
      <c r="M478" s="2417"/>
      <c r="N478" s="2417"/>
      <c r="O478" s="2417"/>
      <c r="P478" s="2417"/>
      <c r="Q478" s="2417"/>
      <c r="R478" s="2417"/>
      <c r="S478" s="2417"/>
      <c r="T478" s="2417"/>
      <c r="U478" s="2417"/>
      <c r="V478" s="2417"/>
      <c r="W478" s="2417"/>
      <c r="X478" s="2417"/>
      <c r="Y478" s="2417"/>
      <c r="Z478" s="2450"/>
      <c r="AA478" s="2450"/>
      <c r="AB478" s="2450"/>
      <c r="AC478" s="2450"/>
      <c r="AD478" s="2450"/>
      <c r="AE478" s="2450"/>
      <c r="AF478" s="2450"/>
      <c r="AG478" s="2450"/>
      <c r="AH478" s="2450"/>
      <c r="AI478" s="2450"/>
      <c r="AJ478" s="2450"/>
      <c r="AK478" s="2450"/>
      <c r="AL478" s="2450"/>
      <c r="AM478" s="2450"/>
      <c r="AN478" s="2450"/>
      <c r="AO478" s="2447"/>
      <c r="AP478" s="2447"/>
      <c r="AQ478" s="2447"/>
      <c r="AR478" s="2447"/>
    </row>
    <row r="479" spans="1:44" s="313" customFormat="1" ht="15.75">
      <c r="A479" s="2447"/>
      <c r="B479" s="2455"/>
      <c r="C479" s="2456"/>
      <c r="D479" s="2456"/>
      <c r="E479" s="2456"/>
      <c r="F479" s="2456"/>
      <c r="G479" s="2457"/>
      <c r="H479" s="2457"/>
      <c r="I479" s="2457"/>
      <c r="J479" s="2457"/>
      <c r="K479" s="2457"/>
      <c r="L479" s="2457"/>
      <c r="M479" s="2457"/>
      <c r="N479" s="2457"/>
      <c r="O479" s="2457"/>
      <c r="P479" s="2457"/>
      <c r="Q479" s="2456"/>
      <c r="R479" s="2456"/>
      <c r="S479" s="2456"/>
      <c r="T479" s="2456"/>
      <c r="U479" s="2456"/>
      <c r="V479" s="2456"/>
      <c r="W479" s="2456"/>
      <c r="X479" s="2456"/>
      <c r="Y479" s="2456"/>
      <c r="Z479" s="2450"/>
      <c r="AA479" s="2450"/>
      <c r="AB479" s="2450"/>
      <c r="AC479" s="2450"/>
      <c r="AD479" s="2450"/>
      <c r="AE479" s="2450"/>
      <c r="AF479" s="2450"/>
      <c r="AG479" s="2450"/>
      <c r="AH479" s="2450"/>
      <c r="AI479" s="2450"/>
      <c r="AJ479" s="2450"/>
      <c r="AK479" s="2450"/>
      <c r="AL479" s="2450"/>
      <c r="AM479" s="2450"/>
      <c r="AN479" s="2450"/>
      <c r="AO479" s="2447"/>
      <c r="AP479" s="2447"/>
      <c r="AQ479" s="2447"/>
      <c r="AR479" s="2447"/>
    </row>
    <row r="480" spans="1:44" s="313" customFormat="1" ht="15.75">
      <c r="A480" s="2447"/>
      <c r="B480" s="2449" t="s">
        <v>1837</v>
      </c>
      <c r="C480" s="2417" t="s">
        <v>967</v>
      </c>
      <c r="D480" s="2417"/>
      <c r="E480" s="2417"/>
      <c r="F480" s="2417"/>
      <c r="G480" s="2417"/>
      <c r="H480" s="2417"/>
      <c r="I480" s="2417"/>
      <c r="J480" s="2417"/>
      <c r="K480" s="2417"/>
      <c r="L480" s="2417"/>
      <c r="M480" s="2417"/>
      <c r="N480" s="2417"/>
      <c r="O480" s="2417"/>
      <c r="P480" s="2417"/>
      <c r="Q480" s="2417"/>
      <c r="R480" s="2417"/>
      <c r="S480" s="2417"/>
      <c r="T480" s="2417"/>
      <c r="U480" s="2417"/>
      <c r="V480" s="2417"/>
      <c r="W480" s="2417"/>
      <c r="X480" s="2417"/>
      <c r="Y480" s="2417"/>
      <c r="Z480" s="2450"/>
      <c r="AA480" s="2450"/>
      <c r="AB480" s="2450"/>
      <c r="AC480" s="2450"/>
      <c r="AD480" s="2450"/>
      <c r="AE480" s="2450"/>
      <c r="AF480" s="2450"/>
      <c r="AG480" s="2450"/>
      <c r="AH480" s="2450"/>
      <c r="AI480" s="2450"/>
      <c r="AJ480" s="2450"/>
      <c r="AK480" s="2450"/>
      <c r="AL480" s="2450"/>
      <c r="AM480" s="2450"/>
      <c r="AN480" s="2450"/>
      <c r="AO480" s="2447"/>
      <c r="AP480" s="2447"/>
      <c r="AQ480" s="2447"/>
      <c r="AR480" s="2447"/>
    </row>
    <row r="481" spans="1:44" s="313" customFormat="1" ht="15.75">
      <c r="A481" s="2447"/>
      <c r="B481" s="2451" t="s">
        <v>1157</v>
      </c>
      <c r="C481" s="2417"/>
      <c r="D481" s="2417"/>
      <c r="E481" s="2417"/>
      <c r="F481" s="2417"/>
      <c r="G481" s="2417">
        <f>Africa!C9</f>
        <v>8300</v>
      </c>
      <c r="H481" s="2417">
        <f>Africa!D9</f>
        <v>8300</v>
      </c>
      <c r="I481" s="2417">
        <f>Africa!E9</f>
        <v>8300</v>
      </c>
      <c r="J481" s="2417">
        <f>Africa!F9</f>
        <v>9944</v>
      </c>
      <c r="K481" s="2417">
        <f>Africa!G9</f>
        <v>9886</v>
      </c>
      <c r="L481" s="2417">
        <f>Africa!H9</f>
        <v>9886</v>
      </c>
      <c r="M481" s="2417">
        <f>Africa!I9</f>
        <v>10018.518518518518</v>
      </c>
      <c r="N481" s="2417">
        <f>Africa!J9</f>
        <v>11964.705882352941</v>
      </c>
      <c r="O481" s="2417">
        <f>Africa!K9</f>
        <v>11115.215328864488</v>
      </c>
      <c r="P481" s="2417">
        <f>Africa!L9</f>
        <v>11280.524121500894</v>
      </c>
      <c r="Q481" s="2417">
        <f>Africa!M9</f>
        <v>11274.645931685642</v>
      </c>
      <c r="R481" s="2417">
        <f>Africa!N9</f>
        <v>11826.985694178939</v>
      </c>
      <c r="S481" s="2417">
        <f>Africa!O9</f>
        <v>12302.24532783579</v>
      </c>
      <c r="T481" s="2417">
        <f>Africa!P9</f>
        <v>12434.089771399966</v>
      </c>
      <c r="U481" s="2417">
        <f>Africa!Q9</f>
        <v>12610.032141665277</v>
      </c>
      <c r="V481" s="2417">
        <f>Africa!R9</f>
        <v>12788.464096469841</v>
      </c>
      <c r="W481" s="2417">
        <f>Africa!S9</f>
        <v>12969.420863434891</v>
      </c>
      <c r="X481" s="2417"/>
      <c r="Y481" s="2417"/>
      <c r="Z481" s="2450"/>
      <c r="AA481" s="2450"/>
      <c r="AB481" s="2450"/>
      <c r="AC481" s="2450"/>
      <c r="AD481" s="2450"/>
      <c r="AE481" s="2450"/>
      <c r="AF481" s="2450"/>
      <c r="AG481" s="2450"/>
      <c r="AH481" s="2450"/>
      <c r="AI481" s="2450"/>
      <c r="AJ481" s="2450"/>
      <c r="AK481" s="2450"/>
      <c r="AL481" s="2450"/>
      <c r="AM481" s="2450"/>
      <c r="AN481" s="2450"/>
      <c r="AO481" s="2447"/>
      <c r="AP481" s="2447"/>
      <c r="AQ481" s="2447"/>
      <c r="AR481" s="2447"/>
    </row>
    <row r="482" spans="1:44" s="313" customFormat="1" ht="15.75">
      <c r="A482" s="2447"/>
      <c r="B482" s="2451" t="s">
        <v>1158</v>
      </c>
      <c r="C482" s="2417"/>
      <c r="D482" s="2417"/>
      <c r="E482" s="2417"/>
      <c r="F482" s="2417"/>
      <c r="G482" s="2417"/>
      <c r="H482" s="2417"/>
      <c r="I482" s="2417"/>
      <c r="J482" s="2417">
        <f>Africa!F52</f>
        <v>91.159000000000006</v>
      </c>
      <c r="K482" s="2417">
        <f>Africa!G52</f>
        <v>186.7</v>
      </c>
      <c r="L482" s="2417">
        <f>Africa!H52</f>
        <v>323.35599999999999</v>
      </c>
      <c r="M482" s="2417">
        <f>Africa!I52</f>
        <v>541</v>
      </c>
      <c r="N482" s="2417">
        <f>Africa!J52</f>
        <v>1017</v>
      </c>
      <c r="O482" s="2417">
        <f>Africa!K52</f>
        <v>1429.35</v>
      </c>
      <c r="P482" s="2417">
        <f>Africa!L52</f>
        <v>1894</v>
      </c>
      <c r="Q482" s="2417">
        <f>Africa!M52</f>
        <v>2030</v>
      </c>
      <c r="R482" s="2417">
        <f>Africa!N52</f>
        <v>2252</v>
      </c>
      <c r="S482" s="2417">
        <f>Africa!O52</f>
        <v>2745</v>
      </c>
      <c r="T482" s="2417">
        <f>Africa!P52</f>
        <v>2980.7</v>
      </c>
      <c r="U482" s="2417">
        <f>Africa!Q52</f>
        <v>3350.7377406832975</v>
      </c>
      <c r="V482" s="2417">
        <f>Africa!R52</f>
        <v>3730.6507462221825</v>
      </c>
      <c r="W482" s="2417">
        <f>Africa!S52</f>
        <v>4120.644396730534</v>
      </c>
      <c r="X482" s="2417"/>
      <c r="Y482" s="2417"/>
      <c r="Z482" s="2450"/>
      <c r="AA482" s="2450"/>
      <c r="AB482" s="2450"/>
      <c r="AC482" s="2450"/>
      <c r="AD482" s="2450"/>
      <c r="AE482" s="2450"/>
      <c r="AF482" s="2450"/>
      <c r="AG482" s="2450"/>
      <c r="AH482" s="2450"/>
      <c r="AI482" s="2450"/>
      <c r="AJ482" s="2450"/>
      <c r="AK482" s="2450"/>
      <c r="AL482" s="2450"/>
      <c r="AM482" s="2450"/>
      <c r="AN482" s="2450"/>
      <c r="AO482" s="2447"/>
      <c r="AP482" s="2447"/>
      <c r="AQ482" s="2447"/>
      <c r="AR482" s="2447"/>
    </row>
    <row r="483" spans="1:44" s="313" customFormat="1" ht="15.75">
      <c r="A483" s="2447"/>
      <c r="B483" s="2451" t="s">
        <v>1159</v>
      </c>
      <c r="C483" s="2417"/>
      <c r="D483" s="2452"/>
      <c r="E483" s="2452"/>
      <c r="F483" s="2452"/>
      <c r="G483" s="2452"/>
      <c r="H483" s="2452"/>
      <c r="I483" s="2452"/>
      <c r="J483" s="2452">
        <f>Africa!F72</f>
        <v>0.269624603662865</v>
      </c>
      <c r="K483" s="2452">
        <f>Africa!G72</f>
        <v>0.37770584665183082</v>
      </c>
      <c r="L483" s="2452">
        <f>Africa!H72</f>
        <v>0.45</v>
      </c>
      <c r="M483" s="2452">
        <f>Africa!I72</f>
        <v>0.45</v>
      </c>
      <c r="N483" s="2452">
        <f>Africa!J72</f>
        <v>0.5</v>
      </c>
      <c r="O483" s="2452">
        <f>Africa!K72</f>
        <v>0.56899999999999995</v>
      </c>
      <c r="P483" s="2452">
        <f>Africa!L72</f>
        <v>0.57499999999999996</v>
      </c>
      <c r="Q483" s="2452">
        <f>Africa!M72</f>
        <v>0.55400000000000005</v>
      </c>
      <c r="R483" s="2452">
        <f>Africa!N72</f>
        <v>0.52600000000000002</v>
      </c>
      <c r="S483" s="2452">
        <f>Africa!O72</f>
        <v>0.53</v>
      </c>
      <c r="T483" s="2452">
        <f>Africa!P72</f>
        <v>0.52</v>
      </c>
      <c r="U483" s="2452">
        <f>Africa!Q72</f>
        <v>0.52</v>
      </c>
      <c r="V483" s="2452">
        <f>Africa!R72</f>
        <v>0.52</v>
      </c>
      <c r="W483" s="2452">
        <f>Africa!S72</f>
        <v>0.52</v>
      </c>
      <c r="X483" s="2452"/>
      <c r="Y483" s="2452"/>
      <c r="Z483" s="2450"/>
      <c r="AA483" s="2450"/>
      <c r="AB483" s="2450"/>
      <c r="AC483" s="2450"/>
      <c r="AD483" s="2450"/>
      <c r="AE483" s="2450"/>
      <c r="AF483" s="2450"/>
      <c r="AG483" s="2450"/>
      <c r="AH483" s="2450"/>
      <c r="AI483" s="2450"/>
      <c r="AJ483" s="2450"/>
      <c r="AK483" s="2450"/>
      <c r="AL483" s="2450"/>
      <c r="AM483" s="2450"/>
      <c r="AN483" s="2450"/>
      <c r="AO483" s="2447"/>
      <c r="AP483" s="2447"/>
      <c r="AQ483" s="2447"/>
      <c r="AR483" s="2447"/>
    </row>
    <row r="484" spans="1:44" s="313" customFormat="1" ht="15.75">
      <c r="A484" s="2447"/>
      <c r="B484" s="2451" t="s">
        <v>1160</v>
      </c>
      <c r="C484" s="2417"/>
      <c r="D484" s="2417"/>
      <c r="E484" s="2417"/>
      <c r="F484" s="2417"/>
      <c r="G484" s="2417"/>
      <c r="H484" s="2417"/>
      <c r="I484" s="2417"/>
      <c r="J484" s="2417"/>
      <c r="K484" s="2417"/>
      <c r="L484" s="2417"/>
      <c r="M484" s="2417"/>
      <c r="N484" s="2417"/>
      <c r="O484" s="2417"/>
      <c r="P484" s="2417"/>
      <c r="Q484" s="2417"/>
      <c r="R484" s="2417"/>
      <c r="S484" s="2417"/>
      <c r="T484" s="2417"/>
      <c r="U484" s="2417"/>
      <c r="V484" s="2417"/>
      <c r="W484" s="2417"/>
      <c r="X484" s="2417"/>
      <c r="Y484" s="2417"/>
      <c r="Z484" s="2450"/>
      <c r="AA484" s="2450"/>
      <c r="AB484" s="2450"/>
      <c r="AC484" s="2450"/>
      <c r="AD484" s="2450"/>
      <c r="AE484" s="2450"/>
      <c r="AF484" s="2450"/>
      <c r="AG484" s="2450"/>
      <c r="AH484" s="2450"/>
      <c r="AI484" s="2450"/>
      <c r="AJ484" s="2450"/>
      <c r="AK484" s="2450"/>
      <c r="AL484" s="2450"/>
      <c r="AM484" s="2450"/>
      <c r="AN484" s="2450"/>
      <c r="AO484" s="2447"/>
      <c r="AP484" s="2447"/>
      <c r="AQ484" s="2447"/>
      <c r="AR484" s="2447"/>
    </row>
    <row r="485" spans="1:44" s="313" customFormat="1" ht="15.75">
      <c r="A485" s="2447"/>
      <c r="B485" s="2451" t="s">
        <v>523</v>
      </c>
      <c r="C485" s="2417"/>
      <c r="D485" s="2417"/>
      <c r="E485" s="2417"/>
      <c r="F485" s="2417"/>
      <c r="G485" s="2417"/>
      <c r="H485" s="2417"/>
      <c r="I485" s="2417"/>
      <c r="J485" s="2417"/>
      <c r="K485" s="2417"/>
      <c r="L485" s="2417"/>
      <c r="M485" s="2417"/>
      <c r="N485" s="2417"/>
      <c r="O485" s="2417"/>
      <c r="P485" s="2417"/>
      <c r="Q485" s="2417"/>
      <c r="R485" s="2417"/>
      <c r="S485" s="2417"/>
      <c r="T485" s="2417"/>
      <c r="U485" s="2417"/>
      <c r="V485" s="2417"/>
      <c r="W485" s="2417"/>
      <c r="X485" s="2417"/>
      <c r="Y485" s="2417"/>
      <c r="Z485" s="2450"/>
      <c r="AA485" s="2450"/>
      <c r="AB485" s="2450"/>
      <c r="AC485" s="2450"/>
      <c r="AD485" s="2450"/>
      <c r="AE485" s="2450"/>
      <c r="AF485" s="2450"/>
      <c r="AG485" s="2450"/>
      <c r="AH485" s="2450"/>
      <c r="AI485" s="2450"/>
      <c r="AJ485" s="2450"/>
      <c r="AK485" s="2450"/>
      <c r="AL485" s="2450"/>
      <c r="AM485" s="2450"/>
      <c r="AN485" s="2450"/>
      <c r="AO485" s="2447"/>
      <c r="AP485" s="2447"/>
      <c r="AQ485" s="2447"/>
      <c r="AR485" s="2447"/>
    </row>
    <row r="486" spans="1:44" s="313" customFormat="1" ht="15.75">
      <c r="A486" s="2447"/>
      <c r="B486" s="2451" t="s">
        <v>360</v>
      </c>
      <c r="C486" s="2417"/>
      <c r="D486" s="2417"/>
      <c r="E486" s="2417"/>
      <c r="F486" s="2417"/>
      <c r="G486" s="2417"/>
      <c r="H486" s="2417"/>
      <c r="I486" s="2417"/>
      <c r="J486" s="2417"/>
      <c r="K486" s="2417"/>
      <c r="L486" s="2417"/>
      <c r="M486" s="2417"/>
      <c r="N486" s="2417"/>
      <c r="O486" s="2417"/>
      <c r="P486" s="2417"/>
      <c r="Q486" s="2417"/>
      <c r="R486" s="2417"/>
      <c r="S486" s="2417"/>
      <c r="T486" s="2417"/>
      <c r="U486" s="2417"/>
      <c r="V486" s="2417"/>
      <c r="W486" s="2417"/>
      <c r="X486" s="2417"/>
      <c r="Y486" s="2417"/>
      <c r="Z486" s="2450"/>
      <c r="AA486" s="2450"/>
      <c r="AB486" s="2450"/>
      <c r="AC486" s="2450"/>
      <c r="AD486" s="2450"/>
      <c r="AE486" s="2450"/>
      <c r="AF486" s="2450"/>
      <c r="AG486" s="2450"/>
      <c r="AH486" s="2450"/>
      <c r="AI486" s="2450"/>
      <c r="AJ486" s="2450"/>
      <c r="AK486" s="2450"/>
      <c r="AL486" s="2450"/>
      <c r="AM486" s="2450"/>
      <c r="AN486" s="2450"/>
      <c r="AO486" s="2447"/>
      <c r="AP486" s="2447"/>
      <c r="AQ486" s="2447"/>
      <c r="AR486" s="2447"/>
    </row>
    <row r="487" spans="1:44" s="313" customFormat="1" ht="15.75">
      <c r="A487" s="2447"/>
      <c r="B487" s="2451" t="s">
        <v>1552</v>
      </c>
      <c r="C487" s="2417"/>
      <c r="D487" s="2417"/>
      <c r="E487" s="2417"/>
      <c r="F487" s="2417"/>
      <c r="G487" s="2417"/>
      <c r="H487" s="2417"/>
      <c r="I487" s="2417"/>
      <c r="J487" s="2417"/>
      <c r="K487" s="2417"/>
      <c r="L487" s="2417"/>
      <c r="M487" s="2417"/>
      <c r="N487" s="2417"/>
      <c r="O487" s="2417"/>
      <c r="P487" s="2417"/>
      <c r="Q487" s="2417"/>
      <c r="R487" s="2417"/>
      <c r="S487" s="2417"/>
      <c r="T487" s="2417"/>
      <c r="U487" s="2417"/>
      <c r="V487" s="2417"/>
      <c r="W487" s="2417"/>
      <c r="X487" s="2417"/>
      <c r="Y487" s="2417"/>
      <c r="Z487" s="2450"/>
      <c r="AA487" s="2450"/>
      <c r="AB487" s="2450"/>
      <c r="AC487" s="2450"/>
      <c r="AD487" s="2450"/>
      <c r="AE487" s="2450"/>
      <c r="AF487" s="2450"/>
      <c r="AG487" s="2450"/>
      <c r="AH487" s="2450"/>
      <c r="AI487" s="2450"/>
      <c r="AJ487" s="2450"/>
      <c r="AK487" s="2450"/>
      <c r="AL487" s="2450"/>
      <c r="AM487" s="2450"/>
      <c r="AN487" s="2450"/>
      <c r="AO487" s="2447"/>
      <c r="AP487" s="2447"/>
      <c r="AQ487" s="2447"/>
      <c r="AR487" s="2447"/>
    </row>
    <row r="488" spans="1:44" s="313" customFormat="1" ht="15.75">
      <c r="A488" s="2447"/>
      <c r="B488" s="2451" t="s">
        <v>1936</v>
      </c>
      <c r="C488" s="2417"/>
      <c r="D488" s="2417"/>
      <c r="E488" s="2417"/>
      <c r="F488" s="2417"/>
      <c r="G488" s="2417"/>
      <c r="H488" s="2417"/>
      <c r="I488" s="2417"/>
      <c r="J488" s="2417"/>
      <c r="K488" s="2417"/>
      <c r="L488" s="2417"/>
      <c r="M488" s="2417"/>
      <c r="N488" s="2417"/>
      <c r="O488" s="2417"/>
      <c r="P488" s="2417"/>
      <c r="Q488" s="2417"/>
      <c r="R488" s="2417"/>
      <c r="S488" s="2417"/>
      <c r="T488" s="2417"/>
      <c r="U488" s="2417"/>
      <c r="V488" s="2417"/>
      <c r="W488" s="2417"/>
      <c r="X488" s="2417"/>
      <c r="Y488" s="2417"/>
      <c r="Z488" s="2450"/>
      <c r="AA488" s="2450"/>
      <c r="AB488" s="2450"/>
      <c r="AC488" s="2450"/>
      <c r="AD488" s="2450"/>
      <c r="AE488" s="2450"/>
      <c r="AF488" s="2450"/>
      <c r="AG488" s="2450"/>
      <c r="AH488" s="2450"/>
      <c r="AI488" s="2450"/>
      <c r="AJ488" s="2450"/>
      <c r="AK488" s="2450"/>
      <c r="AL488" s="2450"/>
      <c r="AM488" s="2450"/>
      <c r="AN488" s="2450"/>
      <c r="AO488" s="2447"/>
      <c r="AP488" s="2447"/>
      <c r="AQ488" s="2447"/>
      <c r="AR488" s="2447"/>
    </row>
    <row r="489" spans="1:44" s="313" customFormat="1" ht="15.75">
      <c r="A489" s="2447"/>
      <c r="B489" s="2451" t="s">
        <v>1161</v>
      </c>
      <c r="C489" s="2417"/>
      <c r="D489" s="2417"/>
      <c r="E489" s="2417"/>
      <c r="F489" s="2417"/>
      <c r="G489" s="2417"/>
      <c r="H489" s="2417"/>
      <c r="I489" s="2417"/>
      <c r="J489" s="2417"/>
      <c r="K489" s="2417"/>
      <c r="L489" s="2417"/>
      <c r="M489" s="2417"/>
      <c r="N489" s="2417"/>
      <c r="O489" s="2417"/>
      <c r="P489" s="2417"/>
      <c r="Q489" s="2417"/>
      <c r="R489" s="2417"/>
      <c r="S489" s="2417"/>
      <c r="T489" s="2417"/>
      <c r="U489" s="2417"/>
      <c r="V489" s="2417"/>
      <c r="W489" s="2417"/>
      <c r="X489" s="2417"/>
      <c r="Y489" s="2417"/>
      <c r="Z489" s="2450"/>
      <c r="AA489" s="2450"/>
      <c r="AB489" s="2450"/>
      <c r="AC489" s="2450"/>
      <c r="AD489" s="2450"/>
      <c r="AE489" s="2450"/>
      <c r="AF489" s="2450"/>
      <c r="AG489" s="2450"/>
      <c r="AH489" s="2450"/>
      <c r="AI489" s="2450"/>
      <c r="AJ489" s="2450"/>
      <c r="AK489" s="2450"/>
      <c r="AL489" s="2450"/>
      <c r="AM489" s="2450"/>
      <c r="AN489" s="2450"/>
      <c r="AO489" s="2447"/>
      <c r="AP489" s="2447"/>
      <c r="AQ489" s="2447"/>
      <c r="AR489" s="2447"/>
    </row>
    <row r="490" spans="1:44" s="313" customFormat="1" ht="15.75">
      <c r="A490" s="2447"/>
      <c r="B490" s="2451" t="s">
        <v>1185</v>
      </c>
      <c r="C490" s="2417"/>
      <c r="D490" s="2417"/>
      <c r="E490" s="2417"/>
      <c r="F490" s="2417"/>
      <c r="G490" s="2417"/>
      <c r="H490" s="2417"/>
      <c r="I490" s="2417"/>
      <c r="J490" s="2417"/>
      <c r="K490" s="2417"/>
      <c r="L490" s="2417"/>
      <c r="M490" s="2417"/>
      <c r="N490" s="2417"/>
      <c r="O490" s="2417"/>
      <c r="P490" s="2417"/>
      <c r="Q490" s="2417"/>
      <c r="R490" s="2417"/>
      <c r="S490" s="2417"/>
      <c r="T490" s="2417"/>
      <c r="U490" s="2417"/>
      <c r="V490" s="2417"/>
      <c r="W490" s="2417"/>
      <c r="X490" s="2417"/>
      <c r="Y490" s="2417"/>
      <c r="Z490" s="2450"/>
      <c r="AA490" s="2450"/>
      <c r="AB490" s="2450"/>
      <c r="AC490" s="2450"/>
      <c r="AD490" s="2450"/>
      <c r="AE490" s="2450"/>
      <c r="AF490" s="2450"/>
      <c r="AG490" s="2450"/>
      <c r="AH490" s="2450"/>
      <c r="AI490" s="2450"/>
      <c r="AJ490" s="2450"/>
      <c r="AK490" s="2450"/>
      <c r="AL490" s="2450"/>
      <c r="AM490" s="2450"/>
      <c r="AN490" s="2450"/>
      <c r="AO490" s="2447"/>
      <c r="AP490" s="2447"/>
      <c r="AQ490" s="2447"/>
      <c r="AR490" s="2447"/>
    </row>
    <row r="491" spans="1:44" s="313" customFormat="1" ht="15.75">
      <c r="A491" s="2447"/>
      <c r="B491" s="2451" t="s">
        <v>1728</v>
      </c>
      <c r="C491" s="2417"/>
      <c r="D491" s="2417"/>
      <c r="E491" s="2417"/>
      <c r="F491" s="2417"/>
      <c r="G491" s="2417"/>
      <c r="H491" s="2417"/>
      <c r="I491" s="2417"/>
      <c r="J491" s="2417"/>
      <c r="K491" s="2417"/>
      <c r="L491" s="2417"/>
      <c r="M491" s="2417"/>
      <c r="N491" s="2417"/>
      <c r="O491" s="2417"/>
      <c r="P491" s="2417"/>
      <c r="Q491" s="2417"/>
      <c r="R491" s="2417"/>
      <c r="S491" s="2417"/>
      <c r="T491" s="2417"/>
      <c r="U491" s="2417"/>
      <c r="V491" s="2417"/>
      <c r="W491" s="2417"/>
      <c r="X491" s="2417"/>
      <c r="Y491" s="2417"/>
      <c r="Z491" s="2450"/>
      <c r="AA491" s="2450"/>
      <c r="AB491" s="2450"/>
      <c r="AC491" s="2450"/>
      <c r="AD491" s="2450"/>
      <c r="AE491" s="2450"/>
      <c r="AF491" s="2450"/>
      <c r="AG491" s="2450"/>
      <c r="AH491" s="2450"/>
      <c r="AI491" s="2450"/>
      <c r="AJ491" s="2450"/>
      <c r="AK491" s="2450"/>
      <c r="AL491" s="2450"/>
      <c r="AM491" s="2450"/>
      <c r="AN491" s="2450"/>
      <c r="AO491" s="2447"/>
      <c r="AP491" s="2447"/>
      <c r="AQ491" s="2447"/>
      <c r="AR491" s="2447"/>
    </row>
    <row r="492" spans="1:44" s="313" customFormat="1" ht="15.75">
      <c r="A492" s="2447"/>
      <c r="B492" s="2451" t="s">
        <v>1729</v>
      </c>
      <c r="C492" s="2417"/>
      <c r="D492" s="2417"/>
      <c r="E492" s="2417"/>
      <c r="F492" s="2417"/>
      <c r="G492" s="2417"/>
      <c r="H492" s="2417"/>
      <c r="I492" s="2417"/>
      <c r="J492" s="2417"/>
      <c r="K492" s="2417"/>
      <c r="L492" s="2417"/>
      <c r="M492" s="2417"/>
      <c r="N492" s="2417"/>
      <c r="O492" s="2417"/>
      <c r="P492" s="2417"/>
      <c r="Q492" s="2417"/>
      <c r="R492" s="2417"/>
      <c r="S492" s="2417"/>
      <c r="T492" s="2417"/>
      <c r="U492" s="2417"/>
      <c r="V492" s="2417"/>
      <c r="W492" s="2417"/>
      <c r="X492" s="2417"/>
      <c r="Y492" s="2417"/>
      <c r="Z492" s="2450"/>
      <c r="AA492" s="2450"/>
      <c r="AB492" s="2450"/>
      <c r="AC492" s="2450"/>
      <c r="AD492" s="2450"/>
      <c r="AE492" s="2450"/>
      <c r="AF492" s="2450"/>
      <c r="AG492" s="2450"/>
      <c r="AH492" s="2450"/>
      <c r="AI492" s="2450"/>
      <c r="AJ492" s="2450"/>
      <c r="AK492" s="2450"/>
      <c r="AL492" s="2450"/>
      <c r="AM492" s="2450"/>
      <c r="AN492" s="2450"/>
      <c r="AO492" s="2447"/>
      <c r="AP492" s="2447"/>
      <c r="AQ492" s="2447"/>
      <c r="AR492" s="2447"/>
    </row>
    <row r="493" spans="1:44" s="313" customFormat="1" ht="15.75">
      <c r="A493" s="2447"/>
      <c r="B493" s="2451" t="s">
        <v>1730</v>
      </c>
      <c r="C493" s="2417"/>
      <c r="D493" s="2417"/>
      <c r="E493" s="2417"/>
      <c r="F493" s="2417"/>
      <c r="G493" s="2417"/>
      <c r="H493" s="2417"/>
      <c r="I493" s="2417"/>
      <c r="J493" s="2417"/>
      <c r="K493" s="2417"/>
      <c r="L493" s="2417"/>
      <c r="M493" s="2417"/>
      <c r="N493" s="2417"/>
      <c r="O493" s="2417"/>
      <c r="P493" s="2417"/>
      <c r="Q493" s="2417"/>
      <c r="R493" s="2417"/>
      <c r="S493" s="2417"/>
      <c r="T493" s="2417"/>
      <c r="U493" s="2417"/>
      <c r="V493" s="2417"/>
      <c r="W493" s="2417"/>
      <c r="X493" s="2417"/>
      <c r="Y493" s="2417"/>
      <c r="Z493" s="2450"/>
      <c r="AA493" s="2450"/>
      <c r="AB493" s="2450"/>
      <c r="AC493" s="2450"/>
      <c r="AD493" s="2450"/>
      <c r="AE493" s="2450"/>
      <c r="AF493" s="2450"/>
      <c r="AG493" s="2450"/>
      <c r="AH493" s="2450"/>
      <c r="AI493" s="2450"/>
      <c r="AJ493" s="2450"/>
      <c r="AK493" s="2450"/>
      <c r="AL493" s="2450"/>
      <c r="AM493" s="2450"/>
      <c r="AN493" s="2450"/>
      <c r="AO493" s="2447"/>
      <c r="AP493" s="2447"/>
      <c r="AQ493" s="2447"/>
      <c r="AR493" s="2447"/>
    </row>
    <row r="494" spans="1:44" s="313" customFormat="1" ht="15.75">
      <c r="A494" s="2447"/>
      <c r="B494" s="2451" t="s">
        <v>1731</v>
      </c>
      <c r="C494" s="2417"/>
      <c r="D494" s="2417"/>
      <c r="E494" s="2417"/>
      <c r="F494" s="2417"/>
      <c r="G494" s="2417"/>
      <c r="H494" s="2417"/>
      <c r="I494" s="2417"/>
      <c r="J494" s="2417"/>
      <c r="K494" s="2417"/>
      <c r="L494" s="2417"/>
      <c r="M494" s="2417"/>
      <c r="N494" s="2417"/>
      <c r="O494" s="2417"/>
      <c r="P494" s="2417"/>
      <c r="Q494" s="2417"/>
      <c r="R494" s="2417"/>
      <c r="S494" s="2417"/>
      <c r="T494" s="2417"/>
      <c r="U494" s="2417"/>
      <c r="V494" s="2417"/>
      <c r="W494" s="2417"/>
      <c r="X494" s="2417"/>
      <c r="Y494" s="2417"/>
      <c r="Z494" s="2450"/>
      <c r="AA494" s="2450"/>
      <c r="AB494" s="2450"/>
      <c r="AC494" s="2450"/>
      <c r="AD494" s="2450"/>
      <c r="AE494" s="2450"/>
      <c r="AF494" s="2450"/>
      <c r="AG494" s="2450"/>
      <c r="AH494" s="2450"/>
      <c r="AI494" s="2450"/>
      <c r="AJ494" s="2450"/>
      <c r="AK494" s="2450"/>
      <c r="AL494" s="2450"/>
      <c r="AM494" s="2450"/>
      <c r="AN494" s="2450"/>
      <c r="AO494" s="2447"/>
      <c r="AP494" s="2447"/>
      <c r="AQ494" s="2447"/>
      <c r="AR494" s="2447"/>
    </row>
    <row r="495" spans="1:44" s="313" customFormat="1" ht="15.75">
      <c r="A495" s="2447"/>
      <c r="B495" s="2451" t="s">
        <v>1732</v>
      </c>
      <c r="C495" s="2417"/>
      <c r="D495" s="2417"/>
      <c r="E495" s="2417"/>
      <c r="F495" s="2417"/>
      <c r="G495" s="2417"/>
      <c r="H495" s="2417"/>
      <c r="I495" s="2417"/>
      <c r="J495" s="2417"/>
      <c r="K495" s="2417"/>
      <c r="L495" s="2417"/>
      <c r="M495" s="2417"/>
      <c r="N495" s="2417"/>
      <c r="O495" s="2417"/>
      <c r="P495" s="2417"/>
      <c r="Q495" s="2417"/>
      <c r="R495" s="2417"/>
      <c r="S495" s="2417"/>
      <c r="T495" s="2417"/>
      <c r="U495" s="2417"/>
      <c r="V495" s="2417"/>
      <c r="W495" s="2417"/>
      <c r="X495" s="2417"/>
      <c r="Y495" s="2417"/>
      <c r="Z495" s="2450"/>
      <c r="AA495" s="2450"/>
      <c r="AB495" s="2450"/>
      <c r="AC495" s="2450"/>
      <c r="AD495" s="2450"/>
      <c r="AE495" s="2450"/>
      <c r="AF495" s="2450"/>
      <c r="AG495" s="2450"/>
      <c r="AH495" s="2450"/>
      <c r="AI495" s="2450"/>
      <c r="AJ495" s="2450"/>
      <c r="AK495" s="2450"/>
      <c r="AL495" s="2450"/>
      <c r="AM495" s="2450"/>
      <c r="AN495" s="2450"/>
      <c r="AO495" s="2447"/>
      <c r="AP495" s="2447"/>
      <c r="AQ495" s="2447"/>
      <c r="AR495" s="2447"/>
    </row>
    <row r="496" spans="1:44" s="313" customFormat="1" ht="15.75">
      <c r="A496" s="2447"/>
      <c r="B496" s="2451" t="s">
        <v>1733</v>
      </c>
      <c r="C496" s="2417"/>
      <c r="D496" s="2417"/>
      <c r="E496" s="2417"/>
      <c r="F496" s="2417"/>
      <c r="G496" s="2417"/>
      <c r="H496" s="2417"/>
      <c r="I496" s="2417"/>
      <c r="J496" s="2417"/>
      <c r="K496" s="2417"/>
      <c r="L496" s="2417"/>
      <c r="M496" s="2417"/>
      <c r="N496" s="2417"/>
      <c r="O496" s="2417"/>
      <c r="P496" s="2417"/>
      <c r="Q496" s="2417"/>
      <c r="R496" s="2417"/>
      <c r="S496" s="2417"/>
      <c r="T496" s="2417"/>
      <c r="U496" s="2417"/>
      <c r="V496" s="2417"/>
      <c r="W496" s="2417"/>
      <c r="X496" s="2417"/>
      <c r="Y496" s="2417"/>
      <c r="Z496" s="2450"/>
      <c r="AA496" s="2450"/>
      <c r="AB496" s="2450"/>
      <c r="AC496" s="2450"/>
      <c r="AD496" s="2450"/>
      <c r="AE496" s="2450"/>
      <c r="AF496" s="2450"/>
      <c r="AG496" s="2450"/>
      <c r="AH496" s="2450"/>
      <c r="AI496" s="2450"/>
      <c r="AJ496" s="2450"/>
      <c r="AK496" s="2450"/>
      <c r="AL496" s="2450"/>
      <c r="AM496" s="2450"/>
      <c r="AN496" s="2450"/>
      <c r="AO496" s="2447"/>
      <c r="AP496" s="2447"/>
      <c r="AQ496" s="2447"/>
      <c r="AR496" s="2447"/>
    </row>
    <row r="497" spans="1:44" s="313" customFormat="1" ht="15.75">
      <c r="A497" s="2447"/>
      <c r="B497" s="2451" t="s">
        <v>1734</v>
      </c>
      <c r="C497" s="2417"/>
      <c r="D497" s="2417"/>
      <c r="E497" s="2417"/>
      <c r="F497" s="2417"/>
      <c r="G497" s="2417"/>
      <c r="H497" s="2417"/>
      <c r="I497" s="2417"/>
      <c r="J497" s="2417"/>
      <c r="K497" s="2417"/>
      <c r="L497" s="2417"/>
      <c r="M497" s="2417"/>
      <c r="N497" s="2417"/>
      <c r="O497" s="2417"/>
      <c r="P497" s="2417"/>
      <c r="Q497" s="2417"/>
      <c r="R497" s="2417"/>
      <c r="S497" s="2417"/>
      <c r="T497" s="2417"/>
      <c r="U497" s="2417"/>
      <c r="V497" s="2417"/>
      <c r="W497" s="2417"/>
      <c r="X497" s="2417"/>
      <c r="Y497" s="2417"/>
      <c r="Z497" s="2450"/>
      <c r="AA497" s="2450"/>
      <c r="AB497" s="2450"/>
      <c r="AC497" s="2450"/>
      <c r="AD497" s="2450"/>
      <c r="AE497" s="2450"/>
      <c r="AF497" s="2450"/>
      <c r="AG497" s="2450"/>
      <c r="AH497" s="2450"/>
      <c r="AI497" s="2450"/>
      <c r="AJ497" s="2450"/>
      <c r="AK497" s="2450"/>
      <c r="AL497" s="2450"/>
      <c r="AM497" s="2450"/>
      <c r="AN497" s="2450"/>
      <c r="AO497" s="2447"/>
      <c r="AP497" s="2447"/>
      <c r="AQ497" s="2447"/>
      <c r="AR497" s="2447"/>
    </row>
    <row r="498" spans="1:44" s="313" customFormat="1" ht="15.75">
      <c r="A498" s="2447"/>
      <c r="B498" s="2451" t="s">
        <v>1735</v>
      </c>
      <c r="C498" s="2417"/>
      <c r="D498" s="2417"/>
      <c r="E498" s="2417"/>
      <c r="F498" s="2417"/>
      <c r="G498" s="2417"/>
      <c r="H498" s="2417"/>
      <c r="I498" s="2417"/>
      <c r="J498" s="2417"/>
      <c r="K498" s="2417"/>
      <c r="L498" s="2417"/>
      <c r="M498" s="2417"/>
      <c r="N498" s="2417"/>
      <c r="O498" s="2417"/>
      <c r="P498" s="2417"/>
      <c r="Q498" s="2417"/>
      <c r="R498" s="2417"/>
      <c r="S498" s="2417"/>
      <c r="T498" s="2417"/>
      <c r="U498" s="2417"/>
      <c r="V498" s="2417"/>
      <c r="W498" s="2417"/>
      <c r="X498" s="2417"/>
      <c r="Y498" s="2417"/>
      <c r="Z498" s="2450"/>
      <c r="AA498" s="2450"/>
      <c r="AB498" s="2450"/>
      <c r="AC498" s="2450"/>
      <c r="AD498" s="2450"/>
      <c r="AE498" s="2450"/>
      <c r="AF498" s="2450"/>
      <c r="AG498" s="2450"/>
      <c r="AH498" s="2450"/>
      <c r="AI498" s="2450"/>
      <c r="AJ498" s="2450"/>
      <c r="AK498" s="2450"/>
      <c r="AL498" s="2450"/>
      <c r="AM498" s="2450"/>
      <c r="AN498" s="2450"/>
      <c r="AO498" s="2447"/>
      <c r="AP498" s="2447"/>
      <c r="AQ498" s="2447"/>
      <c r="AR498" s="2447"/>
    </row>
    <row r="499" spans="1:44" s="313" customFormat="1" ht="15.75">
      <c r="A499" s="2447"/>
      <c r="B499" s="2447" t="s">
        <v>968</v>
      </c>
      <c r="C499" s="2453"/>
      <c r="D499" s="2454"/>
      <c r="E499" s="2454"/>
      <c r="F499" s="2454"/>
      <c r="G499" s="2454"/>
      <c r="H499" s="2454"/>
      <c r="I499" s="2454"/>
      <c r="J499" s="2454"/>
      <c r="K499" s="2454"/>
      <c r="L499" s="2454"/>
      <c r="M499" s="2454"/>
      <c r="N499" s="2454"/>
      <c r="O499" s="2454"/>
      <c r="P499" s="2454"/>
      <c r="Q499" s="2454"/>
      <c r="R499" s="2454"/>
      <c r="S499" s="2454"/>
      <c r="T499" s="2454"/>
      <c r="U499" s="2454"/>
      <c r="V499" s="2454"/>
      <c r="W499" s="2454"/>
      <c r="X499" s="2454"/>
      <c r="Y499" s="2454"/>
      <c r="Z499" s="2450"/>
      <c r="AA499" s="2450"/>
      <c r="AB499" s="2450"/>
      <c r="AC499" s="2450"/>
      <c r="AD499" s="2450"/>
      <c r="AE499" s="2450"/>
      <c r="AF499" s="2450"/>
      <c r="AG499" s="2450"/>
      <c r="AH499" s="2450"/>
      <c r="AI499" s="2450"/>
      <c r="AJ499" s="2450"/>
      <c r="AK499" s="2450"/>
      <c r="AL499" s="2450"/>
      <c r="AM499" s="2450"/>
      <c r="AN499" s="2450"/>
      <c r="AO499" s="2447"/>
      <c r="AP499" s="2447"/>
      <c r="AQ499" s="2447"/>
      <c r="AR499" s="2447"/>
    </row>
    <row r="500" spans="1:44" s="313" customFormat="1" ht="15.75">
      <c r="A500" s="2447"/>
      <c r="B500" s="2447" t="s">
        <v>965</v>
      </c>
      <c r="C500" s="2453"/>
      <c r="D500" s="2417"/>
      <c r="E500" s="2417"/>
      <c r="F500" s="2417"/>
      <c r="G500" s="2417"/>
      <c r="H500" s="2417"/>
      <c r="I500" s="2417"/>
      <c r="J500" s="2417"/>
      <c r="K500" s="2417"/>
      <c r="L500" s="2417"/>
      <c r="M500" s="2417"/>
      <c r="N500" s="2417"/>
      <c r="O500" s="2417"/>
      <c r="P500" s="2417"/>
      <c r="Q500" s="2417"/>
      <c r="R500" s="2417"/>
      <c r="S500" s="2417"/>
      <c r="T500" s="2417"/>
      <c r="U500" s="2417"/>
      <c r="V500" s="2417"/>
      <c r="W500" s="2417"/>
      <c r="X500" s="2417"/>
      <c r="Y500" s="2417"/>
      <c r="Z500" s="2450"/>
      <c r="AA500" s="2450"/>
      <c r="AB500" s="2450"/>
      <c r="AC500" s="2450"/>
      <c r="AD500" s="2450"/>
      <c r="AE500" s="2450"/>
      <c r="AF500" s="2450"/>
      <c r="AG500" s="2450"/>
      <c r="AH500" s="2450"/>
      <c r="AI500" s="2450"/>
      <c r="AJ500" s="2450"/>
      <c r="AK500" s="2450"/>
      <c r="AL500" s="2450"/>
      <c r="AM500" s="2450"/>
      <c r="AN500" s="2450"/>
      <c r="AO500" s="2447"/>
      <c r="AP500" s="2447"/>
      <c r="AQ500" s="2447"/>
      <c r="AR500" s="2447"/>
    </row>
    <row r="501" spans="1:44" s="313" customFormat="1" ht="15.75">
      <c r="A501" s="2447"/>
      <c r="B501" s="2451"/>
      <c r="C501" s="2417"/>
      <c r="D501" s="2417"/>
      <c r="E501" s="2417"/>
      <c r="F501" s="2417"/>
      <c r="G501" s="2417"/>
      <c r="H501" s="2417"/>
      <c r="I501" s="2417"/>
      <c r="J501" s="2417"/>
      <c r="K501" s="2417"/>
      <c r="L501" s="2417"/>
      <c r="M501" s="2417"/>
      <c r="N501" s="2417"/>
      <c r="O501" s="2417"/>
      <c r="P501" s="2417"/>
      <c r="Q501" s="2417"/>
      <c r="R501" s="2417"/>
      <c r="S501" s="2417"/>
      <c r="T501" s="2417"/>
      <c r="U501" s="2417"/>
      <c r="V501" s="2417"/>
      <c r="W501" s="2417"/>
      <c r="X501" s="2417"/>
      <c r="Y501" s="2417"/>
      <c r="Z501" s="2450"/>
      <c r="AA501" s="2450"/>
      <c r="AB501" s="2450"/>
      <c r="AC501" s="2450"/>
      <c r="AD501" s="2450"/>
      <c r="AE501" s="2450"/>
      <c r="AF501" s="2450"/>
      <c r="AG501" s="2450"/>
      <c r="AH501" s="2450"/>
      <c r="AI501" s="2450"/>
      <c r="AJ501" s="2450"/>
      <c r="AK501" s="2450"/>
      <c r="AL501" s="2450"/>
      <c r="AM501" s="2450"/>
      <c r="AN501" s="2450"/>
      <c r="AO501" s="2447"/>
      <c r="AP501" s="2447"/>
      <c r="AQ501" s="2447"/>
      <c r="AR501" s="2447"/>
    </row>
    <row r="502" spans="1:44" s="313" customFormat="1" ht="15.75">
      <c r="A502" s="2447"/>
      <c r="B502" s="2455"/>
      <c r="C502" s="2456"/>
      <c r="D502" s="2456"/>
      <c r="E502" s="2456"/>
      <c r="F502" s="2456"/>
      <c r="G502" s="2457"/>
      <c r="H502" s="2457"/>
      <c r="I502" s="2457"/>
      <c r="J502" s="2457"/>
      <c r="K502" s="2457"/>
      <c r="L502" s="2457"/>
      <c r="M502" s="2457"/>
      <c r="N502" s="2457"/>
      <c r="O502" s="2457"/>
      <c r="P502" s="2457"/>
      <c r="Q502" s="2456"/>
      <c r="R502" s="2456"/>
      <c r="S502" s="2456"/>
      <c r="T502" s="2456"/>
      <c r="U502" s="2456"/>
      <c r="V502" s="2456"/>
      <c r="W502" s="2456"/>
      <c r="X502" s="2456"/>
      <c r="Y502" s="2456"/>
      <c r="Z502" s="2450"/>
      <c r="AA502" s="2450"/>
      <c r="AB502" s="2450"/>
      <c r="AC502" s="2450"/>
      <c r="AD502" s="2450"/>
      <c r="AE502" s="2450"/>
      <c r="AF502" s="2450"/>
      <c r="AG502" s="2450"/>
      <c r="AH502" s="2450"/>
      <c r="AI502" s="2450"/>
      <c r="AJ502" s="2450"/>
      <c r="AK502" s="2450"/>
      <c r="AL502" s="2450"/>
      <c r="AM502" s="2450"/>
      <c r="AN502" s="2450"/>
      <c r="AO502" s="2447"/>
      <c r="AP502" s="2447"/>
      <c r="AQ502" s="2447"/>
      <c r="AR502" s="2447"/>
    </row>
    <row r="503" spans="1:44" s="313" customFormat="1" ht="15.75">
      <c r="A503" s="2447"/>
      <c r="B503" s="2449" t="s">
        <v>1838</v>
      </c>
      <c r="C503" s="2417" t="s">
        <v>967</v>
      </c>
      <c r="D503" s="2417"/>
      <c r="E503" s="2417"/>
      <c r="F503" s="2417"/>
      <c r="G503" s="2417"/>
      <c r="H503" s="2417"/>
      <c r="I503" s="2417"/>
      <c r="J503" s="2417"/>
      <c r="K503" s="2417"/>
      <c r="L503" s="2417"/>
      <c r="M503" s="2417"/>
      <c r="N503" s="2417"/>
      <c r="O503" s="2417"/>
      <c r="P503" s="2417"/>
      <c r="Q503" s="2417"/>
      <c r="R503" s="2417"/>
      <c r="S503" s="2417"/>
      <c r="T503" s="2417"/>
      <c r="U503" s="2417"/>
      <c r="V503" s="2417"/>
      <c r="W503" s="2417"/>
      <c r="X503" s="2417"/>
      <c r="Y503" s="2417"/>
      <c r="Z503" s="2450"/>
      <c r="AA503" s="2450"/>
      <c r="AB503" s="2450"/>
      <c r="AC503" s="2450"/>
      <c r="AD503" s="2450"/>
      <c r="AE503" s="2450"/>
      <c r="AF503" s="2450"/>
      <c r="AG503" s="2450"/>
      <c r="AH503" s="2450"/>
      <c r="AI503" s="2450"/>
      <c r="AJ503" s="2450"/>
      <c r="AK503" s="2450"/>
      <c r="AL503" s="2450"/>
      <c r="AM503" s="2450"/>
      <c r="AN503" s="2450"/>
      <c r="AO503" s="2447"/>
      <c r="AP503" s="2447"/>
      <c r="AQ503" s="2447"/>
      <c r="AR503" s="2447"/>
    </row>
    <row r="504" spans="1:44" s="313" customFormat="1" ht="15.75">
      <c r="A504" s="2447"/>
      <c r="B504" s="2451" t="s">
        <v>1157</v>
      </c>
      <c r="C504" s="2417"/>
      <c r="D504" s="2417"/>
      <c r="E504" s="2417"/>
      <c r="F504" s="2417"/>
      <c r="G504" s="2417">
        <f>Africa!C10</f>
        <v>61000</v>
      </c>
      <c r="H504" s="2417">
        <f>Africa!D10</f>
        <v>61000</v>
      </c>
      <c r="I504" s="2417">
        <f>Africa!E10</f>
        <v>61000</v>
      </c>
      <c r="J504" s="2417">
        <f>Africa!F10</f>
        <v>62660</v>
      </c>
      <c r="K504" s="2417">
        <f>Africa!G10</f>
        <v>65752</v>
      </c>
      <c r="L504" s="2417">
        <f>Africa!H10</f>
        <v>65752</v>
      </c>
      <c r="M504" s="2417">
        <f>Africa!I10</f>
        <v>64691.358024691363</v>
      </c>
      <c r="N504" s="2417">
        <f>Africa!J10</f>
        <v>72644.230769230766</v>
      </c>
      <c r="O504" s="2417">
        <f>Africa!K10</f>
        <v>13380.108721283805</v>
      </c>
      <c r="P504" s="2417">
        <f>Africa!L10</f>
        <v>13760.513910712636</v>
      </c>
      <c r="Q504" s="2417">
        <f>Africa!M10</f>
        <v>14206.858679391773</v>
      </c>
      <c r="R504" s="2417">
        <f>Africa!N10</f>
        <v>27450.142450142452</v>
      </c>
      <c r="S504" s="2417">
        <f>Africa!O10</f>
        <v>28827.444956477219</v>
      </c>
      <c r="T504" s="2417">
        <f>Africa!P10</f>
        <v>28745.732036736903</v>
      </c>
      <c r="U504" s="2417">
        <f>Africa!Q10</f>
        <v>29186.979023500815</v>
      </c>
      <c r="V504" s="2417">
        <f>Africa!R10</f>
        <v>29634.999151511551</v>
      </c>
      <c r="W504" s="2417">
        <f>Africa!S10</f>
        <v>30089.896388487254</v>
      </c>
      <c r="X504" s="2417"/>
      <c r="Y504" s="2417"/>
      <c r="Z504" s="2450"/>
      <c r="AA504" s="2450"/>
      <c r="AB504" s="2450"/>
      <c r="AC504" s="2450"/>
      <c r="AD504" s="2450"/>
      <c r="AE504" s="2450"/>
      <c r="AF504" s="2450"/>
      <c r="AG504" s="2450"/>
      <c r="AH504" s="2450"/>
      <c r="AI504" s="2450"/>
      <c r="AJ504" s="2450"/>
      <c r="AK504" s="2450"/>
      <c r="AL504" s="2450"/>
      <c r="AM504" s="2450"/>
      <c r="AN504" s="2450"/>
      <c r="AO504" s="2447"/>
      <c r="AP504" s="2447"/>
      <c r="AQ504" s="2447"/>
      <c r="AR504" s="2447"/>
    </row>
    <row r="505" spans="1:44" s="313" customFormat="1" ht="15.75">
      <c r="A505" s="2447"/>
      <c r="B505" s="2451" t="s">
        <v>1158</v>
      </c>
      <c r="C505" s="2417"/>
      <c r="D505" s="2417"/>
      <c r="E505" s="2417"/>
      <c r="F505" s="2417"/>
      <c r="G505" s="2417"/>
      <c r="H505" s="2417"/>
      <c r="I505" s="2417"/>
      <c r="J505" s="2417">
        <f>Africa!F53</f>
        <v>60.637999999999998</v>
      </c>
      <c r="K505" s="2417">
        <f>Africa!G53</f>
        <v>50.337000000000003</v>
      </c>
      <c r="L505" s="2417">
        <f>Africa!H53</f>
        <v>546.5</v>
      </c>
      <c r="M505" s="2417">
        <f>Africa!I53</f>
        <v>1048</v>
      </c>
      <c r="N505" s="2417">
        <f>Africa!J53</f>
        <v>1511</v>
      </c>
      <c r="O505" s="2417">
        <f>Africa!K53</f>
        <v>2156.1509999999998</v>
      </c>
      <c r="P505" s="2417">
        <f>Africa!L53</f>
        <v>2382</v>
      </c>
      <c r="Q505" s="2417">
        <f>Africa!M53</f>
        <v>3001</v>
      </c>
      <c r="R505" s="2417">
        <f>Africa!N53</f>
        <v>3854</v>
      </c>
      <c r="S505" s="2417">
        <f>Africa!O53</f>
        <v>5067</v>
      </c>
      <c r="T505" s="2417">
        <f>Africa!P53</f>
        <v>5320.835</v>
      </c>
      <c r="U505" s="2417">
        <f>Africa!Q53</f>
        <v>5577.6316913910059</v>
      </c>
      <c r="V505" s="2417">
        <f>Africa!R53</f>
        <v>5752.1533353083914</v>
      </c>
      <c r="W505" s="2417">
        <f>Africa!S53</f>
        <v>5930.7185781708376</v>
      </c>
      <c r="X505" s="2417"/>
      <c r="Y505" s="2417"/>
      <c r="Z505" s="2450"/>
      <c r="AA505" s="2450"/>
      <c r="AB505" s="2450"/>
      <c r="AC505" s="2450"/>
      <c r="AD505" s="2450"/>
      <c r="AE505" s="2450"/>
      <c r="AF505" s="2450"/>
      <c r="AG505" s="2450"/>
      <c r="AH505" s="2450"/>
      <c r="AI505" s="2450"/>
      <c r="AJ505" s="2450"/>
      <c r="AK505" s="2450"/>
      <c r="AL505" s="2450"/>
      <c r="AM505" s="2450"/>
      <c r="AN505" s="2450"/>
      <c r="AO505" s="2447"/>
      <c r="AP505" s="2447"/>
      <c r="AQ505" s="2447"/>
      <c r="AR505" s="2447"/>
    </row>
    <row r="506" spans="1:44" s="313" customFormat="1" ht="15.75">
      <c r="A506" s="2447"/>
      <c r="B506" s="2451" t="s">
        <v>1159</v>
      </c>
      <c r="C506" s="2417"/>
      <c r="D506" s="2452"/>
      <c r="E506" s="2452"/>
      <c r="F506" s="2452"/>
      <c r="G506" s="2452"/>
      <c r="H506" s="2452"/>
      <c r="I506" s="2452"/>
      <c r="J506" s="2452">
        <f>Africa!F73</f>
        <v>2.0590012971049433E-2</v>
      </c>
      <c r="K506" s="2452">
        <f>Africa!G73</f>
        <v>1.5311169242000242E-2</v>
      </c>
      <c r="L506" s="2452">
        <f>Africa!H73</f>
        <v>0.14000000000000001</v>
      </c>
      <c r="M506" s="2452">
        <f>Africa!I73</f>
        <v>0.18</v>
      </c>
      <c r="N506" s="2452">
        <f>Africa!J73</f>
        <v>0.26</v>
      </c>
      <c r="O506" s="2452">
        <f>Africa!K73</f>
        <v>0.39400000000000002</v>
      </c>
      <c r="P506" s="2452">
        <f>Africa!L73</f>
        <v>0.34899999999999998</v>
      </c>
      <c r="Q506" s="2452">
        <f>Africa!M73</f>
        <v>0.34799999999999998</v>
      </c>
      <c r="R506" s="2452">
        <f>Africa!N73</f>
        <v>0.312</v>
      </c>
      <c r="S506" s="2452">
        <f>Africa!O73</f>
        <v>0.31</v>
      </c>
      <c r="T506" s="2452">
        <f>Africa!P73</f>
        <v>0.3</v>
      </c>
      <c r="U506" s="2452">
        <f>Africa!Q73</f>
        <v>0.3</v>
      </c>
      <c r="V506" s="2452">
        <f>Africa!R73</f>
        <v>0.3</v>
      </c>
      <c r="W506" s="2452">
        <f>Africa!S73</f>
        <v>0.3</v>
      </c>
      <c r="X506" s="2452"/>
      <c r="Y506" s="2452"/>
      <c r="Z506" s="2450"/>
      <c r="AA506" s="2450"/>
      <c r="AB506" s="2450"/>
      <c r="AC506" s="2450"/>
      <c r="AD506" s="2450"/>
      <c r="AE506" s="2450"/>
      <c r="AF506" s="2450"/>
      <c r="AG506" s="2450"/>
      <c r="AH506" s="2450"/>
      <c r="AI506" s="2450"/>
      <c r="AJ506" s="2450"/>
      <c r="AK506" s="2450"/>
      <c r="AL506" s="2450"/>
      <c r="AM506" s="2450"/>
      <c r="AN506" s="2450"/>
      <c r="AO506" s="2447"/>
      <c r="AP506" s="2447"/>
      <c r="AQ506" s="2447"/>
      <c r="AR506" s="2447"/>
    </row>
    <row r="507" spans="1:44" s="313" customFormat="1" ht="15.75">
      <c r="A507" s="2447"/>
      <c r="B507" s="2451" t="s">
        <v>1160</v>
      </c>
      <c r="C507" s="2417"/>
      <c r="D507" s="2417"/>
      <c r="E507" s="2417"/>
      <c r="F507" s="2417"/>
      <c r="G507" s="2417"/>
      <c r="H507" s="2417"/>
      <c r="I507" s="2417"/>
      <c r="J507" s="2417"/>
      <c r="K507" s="2417"/>
      <c r="L507" s="2417"/>
      <c r="M507" s="2417"/>
      <c r="N507" s="2417"/>
      <c r="O507" s="2417"/>
      <c r="P507" s="2417"/>
      <c r="Q507" s="2417"/>
      <c r="R507" s="2417"/>
      <c r="S507" s="2417"/>
      <c r="T507" s="2417"/>
      <c r="U507" s="2417"/>
      <c r="V507" s="2417"/>
      <c r="W507" s="2417"/>
      <c r="X507" s="2417"/>
      <c r="Y507" s="2417"/>
      <c r="Z507" s="2450"/>
      <c r="AA507" s="2450"/>
      <c r="AB507" s="2450"/>
      <c r="AC507" s="2450"/>
      <c r="AD507" s="2450"/>
      <c r="AE507" s="2450"/>
      <c r="AF507" s="2450"/>
      <c r="AG507" s="2450"/>
      <c r="AH507" s="2450"/>
      <c r="AI507" s="2450"/>
      <c r="AJ507" s="2450"/>
      <c r="AK507" s="2450"/>
      <c r="AL507" s="2450"/>
      <c r="AM507" s="2450"/>
      <c r="AN507" s="2450"/>
      <c r="AO507" s="2447"/>
      <c r="AP507" s="2447"/>
      <c r="AQ507" s="2447"/>
      <c r="AR507" s="2447"/>
    </row>
    <row r="508" spans="1:44" s="313" customFormat="1" ht="15.75">
      <c r="A508" s="2447"/>
      <c r="B508" s="2451" t="s">
        <v>523</v>
      </c>
      <c r="C508" s="2417"/>
      <c r="D508" s="2417"/>
      <c r="E508" s="2417"/>
      <c r="F508" s="2417"/>
      <c r="G508" s="2417"/>
      <c r="H508" s="2417"/>
      <c r="I508" s="2417"/>
      <c r="J508" s="2417"/>
      <c r="K508" s="2417"/>
      <c r="L508" s="2417"/>
      <c r="M508" s="2417"/>
      <c r="N508" s="2417"/>
      <c r="O508" s="2417"/>
      <c r="P508" s="2417"/>
      <c r="Q508" s="2417"/>
      <c r="R508" s="2417"/>
      <c r="S508" s="2417"/>
      <c r="T508" s="2417"/>
      <c r="U508" s="2417"/>
      <c r="V508" s="2417"/>
      <c r="W508" s="2417"/>
      <c r="X508" s="2417"/>
      <c r="Y508" s="2417"/>
      <c r="Z508" s="2450"/>
      <c r="AA508" s="2450"/>
      <c r="AB508" s="2450"/>
      <c r="AC508" s="2450"/>
      <c r="AD508" s="2450"/>
      <c r="AE508" s="2450"/>
      <c r="AF508" s="2450"/>
      <c r="AG508" s="2450"/>
      <c r="AH508" s="2450"/>
      <c r="AI508" s="2450"/>
      <c r="AJ508" s="2450"/>
      <c r="AK508" s="2450"/>
      <c r="AL508" s="2450"/>
      <c r="AM508" s="2450"/>
      <c r="AN508" s="2450"/>
      <c r="AO508" s="2447"/>
      <c r="AP508" s="2447"/>
      <c r="AQ508" s="2447"/>
      <c r="AR508" s="2447"/>
    </row>
    <row r="509" spans="1:44" s="313" customFormat="1" ht="15.75">
      <c r="A509" s="2447"/>
      <c r="B509" s="2451" t="s">
        <v>360</v>
      </c>
      <c r="C509" s="2417"/>
      <c r="D509" s="2417"/>
      <c r="E509" s="2417"/>
      <c r="F509" s="2417"/>
      <c r="G509" s="2417"/>
      <c r="H509" s="2417"/>
      <c r="I509" s="2417"/>
      <c r="J509" s="2417"/>
      <c r="K509" s="2417"/>
      <c r="L509" s="2417"/>
      <c r="M509" s="2417"/>
      <c r="N509" s="2417"/>
      <c r="O509" s="2417"/>
      <c r="P509" s="2417"/>
      <c r="Q509" s="2417"/>
      <c r="R509" s="2417"/>
      <c r="S509" s="2417"/>
      <c r="T509" s="2417"/>
      <c r="U509" s="2417"/>
      <c r="V509" s="2417"/>
      <c r="W509" s="2417"/>
      <c r="X509" s="2417"/>
      <c r="Y509" s="2417"/>
      <c r="Z509" s="2450"/>
      <c r="AA509" s="2450"/>
      <c r="AB509" s="2450"/>
      <c r="AC509" s="2450"/>
      <c r="AD509" s="2450"/>
      <c r="AE509" s="2450"/>
      <c r="AF509" s="2450"/>
      <c r="AG509" s="2450"/>
      <c r="AH509" s="2450"/>
      <c r="AI509" s="2450"/>
      <c r="AJ509" s="2450"/>
      <c r="AK509" s="2450"/>
      <c r="AL509" s="2450"/>
      <c r="AM509" s="2450"/>
      <c r="AN509" s="2450"/>
      <c r="AO509" s="2447"/>
      <c r="AP509" s="2447"/>
      <c r="AQ509" s="2447"/>
      <c r="AR509" s="2447"/>
    </row>
    <row r="510" spans="1:44" s="313" customFormat="1" ht="15.75">
      <c r="A510" s="2447"/>
      <c r="B510" s="2451" t="s">
        <v>1552</v>
      </c>
      <c r="C510" s="2417"/>
      <c r="D510" s="2417"/>
      <c r="E510" s="2417"/>
      <c r="F510" s="2417"/>
      <c r="G510" s="2417"/>
      <c r="H510" s="2417"/>
      <c r="I510" s="2417"/>
      <c r="J510" s="2417"/>
      <c r="K510" s="2417"/>
      <c r="L510" s="2417"/>
      <c r="M510" s="2417"/>
      <c r="N510" s="2417"/>
      <c r="O510" s="2417"/>
      <c r="P510" s="2417"/>
      <c r="Q510" s="2417"/>
      <c r="R510" s="2417"/>
      <c r="S510" s="2417"/>
      <c r="T510" s="2417"/>
      <c r="U510" s="2417"/>
      <c r="V510" s="2417"/>
      <c r="W510" s="2417"/>
      <c r="X510" s="2417"/>
      <c r="Y510" s="2417"/>
      <c r="Z510" s="2450"/>
      <c r="AA510" s="2450"/>
      <c r="AB510" s="2450"/>
      <c r="AC510" s="2450"/>
      <c r="AD510" s="2450"/>
      <c r="AE510" s="2450"/>
      <c r="AF510" s="2450"/>
      <c r="AG510" s="2450"/>
      <c r="AH510" s="2450"/>
      <c r="AI510" s="2450"/>
      <c r="AJ510" s="2450"/>
      <c r="AK510" s="2450"/>
      <c r="AL510" s="2450"/>
      <c r="AM510" s="2450"/>
      <c r="AN510" s="2450"/>
      <c r="AO510" s="2447"/>
      <c r="AP510" s="2447"/>
      <c r="AQ510" s="2447"/>
      <c r="AR510" s="2447"/>
    </row>
    <row r="511" spans="1:44" s="313" customFormat="1" ht="15.75">
      <c r="A511" s="2447"/>
      <c r="B511" s="2451" t="s">
        <v>1936</v>
      </c>
      <c r="C511" s="2417"/>
      <c r="D511" s="2417"/>
      <c r="E511" s="2417"/>
      <c r="F511" s="2417"/>
      <c r="G511" s="2417"/>
      <c r="H511" s="2417"/>
      <c r="I511" s="2417"/>
      <c r="J511" s="2417"/>
      <c r="K511" s="2417"/>
      <c r="L511" s="2417"/>
      <c r="M511" s="2417"/>
      <c r="N511" s="2417"/>
      <c r="O511" s="2417"/>
      <c r="P511" s="2417"/>
      <c r="Q511" s="2417"/>
      <c r="R511" s="2417"/>
      <c r="S511" s="2417"/>
      <c r="T511" s="2417"/>
      <c r="U511" s="2417"/>
      <c r="V511" s="2417"/>
      <c r="W511" s="2417"/>
      <c r="X511" s="2417"/>
      <c r="Y511" s="2417"/>
      <c r="Z511" s="2450"/>
      <c r="AA511" s="2450"/>
      <c r="AB511" s="2450"/>
      <c r="AC511" s="2450"/>
      <c r="AD511" s="2450"/>
      <c r="AE511" s="2450"/>
      <c r="AF511" s="2450"/>
      <c r="AG511" s="2450"/>
      <c r="AH511" s="2450"/>
      <c r="AI511" s="2450"/>
      <c r="AJ511" s="2450"/>
      <c r="AK511" s="2450"/>
      <c r="AL511" s="2450"/>
      <c r="AM511" s="2450"/>
      <c r="AN511" s="2450"/>
      <c r="AO511" s="2447"/>
      <c r="AP511" s="2447"/>
      <c r="AQ511" s="2447"/>
      <c r="AR511" s="2447"/>
    </row>
    <row r="512" spans="1:44" s="313" customFormat="1" ht="15.75">
      <c r="A512" s="2447"/>
      <c r="B512" s="2451" t="s">
        <v>1161</v>
      </c>
      <c r="C512" s="2417"/>
      <c r="D512" s="2417"/>
      <c r="E512" s="2417"/>
      <c r="F512" s="2417"/>
      <c r="G512" s="2417"/>
      <c r="H512" s="2417"/>
      <c r="I512" s="2417"/>
      <c r="J512" s="2417"/>
      <c r="K512" s="2417"/>
      <c r="L512" s="2417"/>
      <c r="M512" s="2417"/>
      <c r="N512" s="2417"/>
      <c r="O512" s="2417"/>
      <c r="P512" s="2417"/>
      <c r="Q512" s="2417"/>
      <c r="R512" s="2417"/>
      <c r="S512" s="2417"/>
      <c r="T512" s="2417"/>
      <c r="U512" s="2417"/>
      <c r="V512" s="2417"/>
      <c r="W512" s="2417"/>
      <c r="X512" s="2417"/>
      <c r="Y512" s="2417"/>
      <c r="Z512" s="2450"/>
      <c r="AA512" s="2450"/>
      <c r="AB512" s="2450"/>
      <c r="AC512" s="2450"/>
      <c r="AD512" s="2450"/>
      <c r="AE512" s="2450"/>
      <c r="AF512" s="2450"/>
      <c r="AG512" s="2450"/>
      <c r="AH512" s="2450"/>
      <c r="AI512" s="2450"/>
      <c r="AJ512" s="2450"/>
      <c r="AK512" s="2450"/>
      <c r="AL512" s="2450"/>
      <c r="AM512" s="2450"/>
      <c r="AN512" s="2450"/>
      <c r="AO512" s="2447"/>
      <c r="AP512" s="2447"/>
      <c r="AQ512" s="2447"/>
      <c r="AR512" s="2447"/>
    </row>
    <row r="513" spans="1:44" s="313" customFormat="1" ht="15.75">
      <c r="A513" s="2447"/>
      <c r="B513" s="2451" t="s">
        <v>1185</v>
      </c>
      <c r="C513" s="2417"/>
      <c r="D513" s="2417"/>
      <c r="E513" s="2417"/>
      <c r="F513" s="2417"/>
      <c r="G513" s="2417"/>
      <c r="H513" s="2417"/>
      <c r="I513" s="2417"/>
      <c r="J513" s="2417"/>
      <c r="K513" s="2417"/>
      <c r="L513" s="2417"/>
      <c r="M513" s="2417"/>
      <c r="N513" s="2417"/>
      <c r="O513" s="2417"/>
      <c r="P513" s="2417"/>
      <c r="Q513" s="2417"/>
      <c r="R513" s="2417"/>
      <c r="S513" s="2417"/>
      <c r="T513" s="2417"/>
      <c r="U513" s="2417"/>
      <c r="V513" s="2417"/>
      <c r="W513" s="2417"/>
      <c r="X513" s="2417"/>
      <c r="Y513" s="2417"/>
      <c r="Z513" s="2450"/>
      <c r="AA513" s="2450"/>
      <c r="AB513" s="2450"/>
      <c r="AC513" s="2450"/>
      <c r="AD513" s="2450"/>
      <c r="AE513" s="2450"/>
      <c r="AF513" s="2450"/>
      <c r="AG513" s="2450"/>
      <c r="AH513" s="2450"/>
      <c r="AI513" s="2450"/>
      <c r="AJ513" s="2450"/>
      <c r="AK513" s="2450"/>
      <c r="AL513" s="2450"/>
      <c r="AM513" s="2450"/>
      <c r="AN513" s="2450"/>
      <c r="AO513" s="2447"/>
      <c r="AP513" s="2447"/>
      <c r="AQ513" s="2447"/>
      <c r="AR513" s="2447"/>
    </row>
    <row r="514" spans="1:44" s="313" customFormat="1" ht="15.75">
      <c r="A514" s="2447"/>
      <c r="B514" s="2451" t="s">
        <v>1728</v>
      </c>
      <c r="C514" s="2417"/>
      <c r="D514" s="2417"/>
      <c r="E514" s="2417"/>
      <c r="F514" s="2417"/>
      <c r="G514" s="2417"/>
      <c r="H514" s="2417"/>
      <c r="I514" s="2417"/>
      <c r="J514" s="2417"/>
      <c r="K514" s="2417"/>
      <c r="L514" s="2417"/>
      <c r="M514" s="2417"/>
      <c r="N514" s="2417"/>
      <c r="O514" s="2417"/>
      <c r="P514" s="2417"/>
      <c r="Q514" s="2417"/>
      <c r="R514" s="2417"/>
      <c r="S514" s="2417"/>
      <c r="T514" s="2417"/>
      <c r="U514" s="2417"/>
      <c r="V514" s="2417"/>
      <c r="W514" s="2417"/>
      <c r="X514" s="2417"/>
      <c r="Y514" s="2417"/>
      <c r="Z514" s="2450"/>
      <c r="AA514" s="2450"/>
      <c r="AB514" s="2450"/>
      <c r="AC514" s="2450"/>
      <c r="AD514" s="2450"/>
      <c r="AE514" s="2450"/>
      <c r="AF514" s="2450"/>
      <c r="AG514" s="2450"/>
      <c r="AH514" s="2450"/>
      <c r="AI514" s="2450"/>
      <c r="AJ514" s="2450"/>
      <c r="AK514" s="2450"/>
      <c r="AL514" s="2450"/>
      <c r="AM514" s="2450"/>
      <c r="AN514" s="2450"/>
      <c r="AO514" s="2447"/>
      <c r="AP514" s="2447"/>
      <c r="AQ514" s="2447"/>
      <c r="AR514" s="2447"/>
    </row>
    <row r="515" spans="1:44" s="313" customFormat="1" ht="15.75">
      <c r="A515" s="2447"/>
      <c r="B515" s="2451" t="s">
        <v>1729</v>
      </c>
      <c r="C515" s="2417"/>
      <c r="D515" s="2417"/>
      <c r="E515" s="2417"/>
      <c r="F515" s="2417"/>
      <c r="G515" s="2417"/>
      <c r="H515" s="2417"/>
      <c r="I515" s="2417"/>
      <c r="J515" s="2417"/>
      <c r="K515" s="2417"/>
      <c r="L515" s="2417"/>
      <c r="M515" s="2417"/>
      <c r="N515" s="2417"/>
      <c r="O515" s="2417"/>
      <c r="P515" s="2417"/>
      <c r="Q515" s="2417"/>
      <c r="R515" s="2417"/>
      <c r="S515" s="2417"/>
      <c r="T515" s="2417"/>
      <c r="U515" s="2417"/>
      <c r="V515" s="2417"/>
      <c r="W515" s="2417"/>
      <c r="X515" s="2417"/>
      <c r="Y515" s="2417"/>
      <c r="Z515" s="2450"/>
      <c r="AA515" s="2450"/>
      <c r="AB515" s="2450"/>
      <c r="AC515" s="2450"/>
      <c r="AD515" s="2450"/>
      <c r="AE515" s="2450"/>
      <c r="AF515" s="2450"/>
      <c r="AG515" s="2450"/>
      <c r="AH515" s="2450"/>
      <c r="AI515" s="2450"/>
      <c r="AJ515" s="2450"/>
      <c r="AK515" s="2450"/>
      <c r="AL515" s="2450"/>
      <c r="AM515" s="2450"/>
      <c r="AN515" s="2450"/>
      <c r="AO515" s="2447"/>
      <c r="AP515" s="2447"/>
      <c r="AQ515" s="2447"/>
      <c r="AR515" s="2447"/>
    </row>
    <row r="516" spans="1:44" s="313" customFormat="1" ht="15.75">
      <c r="A516" s="2447"/>
      <c r="B516" s="2451" t="s">
        <v>1730</v>
      </c>
      <c r="C516" s="2417"/>
      <c r="D516" s="2417"/>
      <c r="E516" s="2417"/>
      <c r="F516" s="2417"/>
      <c r="G516" s="2417"/>
      <c r="H516" s="2417"/>
      <c r="I516" s="2417"/>
      <c r="J516" s="2417"/>
      <c r="K516" s="2417"/>
      <c r="L516" s="2417"/>
      <c r="M516" s="2417"/>
      <c r="N516" s="2417"/>
      <c r="O516" s="2417"/>
      <c r="P516" s="2417"/>
      <c r="Q516" s="2417"/>
      <c r="R516" s="2417"/>
      <c r="S516" s="2417"/>
      <c r="T516" s="2417"/>
      <c r="U516" s="2417"/>
      <c r="V516" s="2417"/>
      <c r="W516" s="2417"/>
      <c r="X516" s="2417"/>
      <c r="Y516" s="2417"/>
      <c r="Z516" s="2450"/>
      <c r="AA516" s="2450"/>
      <c r="AB516" s="2450"/>
      <c r="AC516" s="2450"/>
      <c r="AD516" s="2450"/>
      <c r="AE516" s="2450"/>
      <c r="AF516" s="2450"/>
      <c r="AG516" s="2450"/>
      <c r="AH516" s="2450"/>
      <c r="AI516" s="2450"/>
      <c r="AJ516" s="2450"/>
      <c r="AK516" s="2450"/>
      <c r="AL516" s="2450"/>
      <c r="AM516" s="2450"/>
      <c r="AN516" s="2450"/>
      <c r="AO516" s="2447"/>
      <c r="AP516" s="2447"/>
      <c r="AQ516" s="2447"/>
      <c r="AR516" s="2447"/>
    </row>
    <row r="517" spans="1:44" s="313" customFormat="1" ht="15.75">
      <c r="A517" s="2447"/>
      <c r="B517" s="2451" t="s">
        <v>1731</v>
      </c>
      <c r="C517" s="2417"/>
      <c r="D517" s="2417"/>
      <c r="E517" s="2417"/>
      <c r="F517" s="2417"/>
      <c r="G517" s="2417"/>
      <c r="H517" s="2417"/>
      <c r="I517" s="2417"/>
      <c r="J517" s="2417"/>
      <c r="K517" s="2417"/>
      <c r="L517" s="2417"/>
      <c r="M517" s="2417"/>
      <c r="N517" s="2417"/>
      <c r="O517" s="2417"/>
      <c r="P517" s="2417"/>
      <c r="Q517" s="2417"/>
      <c r="R517" s="2417"/>
      <c r="S517" s="2417"/>
      <c r="T517" s="2417"/>
      <c r="U517" s="2417"/>
      <c r="V517" s="2417"/>
      <c r="W517" s="2417"/>
      <c r="X517" s="2417"/>
      <c r="Y517" s="2417"/>
      <c r="Z517" s="2450"/>
      <c r="AA517" s="2450"/>
      <c r="AB517" s="2450"/>
      <c r="AC517" s="2450"/>
      <c r="AD517" s="2450"/>
      <c r="AE517" s="2450"/>
      <c r="AF517" s="2450"/>
      <c r="AG517" s="2450"/>
      <c r="AH517" s="2450"/>
      <c r="AI517" s="2450"/>
      <c r="AJ517" s="2450"/>
      <c r="AK517" s="2450"/>
      <c r="AL517" s="2450"/>
      <c r="AM517" s="2450"/>
      <c r="AN517" s="2450"/>
      <c r="AO517" s="2447"/>
      <c r="AP517" s="2447"/>
      <c r="AQ517" s="2447"/>
      <c r="AR517" s="2447"/>
    </row>
    <row r="518" spans="1:44" s="313" customFormat="1" ht="15.75">
      <c r="A518" s="2447"/>
      <c r="B518" s="2451" t="s">
        <v>1732</v>
      </c>
      <c r="C518" s="2417"/>
      <c r="D518" s="2417"/>
      <c r="E518" s="2417"/>
      <c r="F518" s="2417"/>
      <c r="G518" s="2417"/>
      <c r="H518" s="2417"/>
      <c r="I518" s="2417"/>
      <c r="J518" s="2417"/>
      <c r="K518" s="2417"/>
      <c r="L518" s="2417"/>
      <c r="M518" s="2417"/>
      <c r="N518" s="2417"/>
      <c r="O518" s="2417"/>
      <c r="P518" s="2417"/>
      <c r="Q518" s="2417"/>
      <c r="R518" s="2417"/>
      <c r="S518" s="2417"/>
      <c r="T518" s="2417"/>
      <c r="U518" s="2417"/>
      <c r="V518" s="2417"/>
      <c r="W518" s="2417"/>
      <c r="X518" s="2417"/>
      <c r="Y518" s="2417"/>
      <c r="Z518" s="2450"/>
      <c r="AA518" s="2450"/>
      <c r="AB518" s="2450"/>
      <c r="AC518" s="2450"/>
      <c r="AD518" s="2450"/>
      <c r="AE518" s="2450"/>
      <c r="AF518" s="2450"/>
      <c r="AG518" s="2450"/>
      <c r="AH518" s="2450"/>
      <c r="AI518" s="2450"/>
      <c r="AJ518" s="2450"/>
      <c r="AK518" s="2450"/>
      <c r="AL518" s="2450"/>
      <c r="AM518" s="2450"/>
      <c r="AN518" s="2450"/>
      <c r="AO518" s="2447"/>
      <c r="AP518" s="2447"/>
      <c r="AQ518" s="2447"/>
      <c r="AR518" s="2447"/>
    </row>
    <row r="519" spans="1:44" s="313" customFormat="1" ht="15.75">
      <c r="A519" s="2447"/>
      <c r="B519" s="2451" t="s">
        <v>1733</v>
      </c>
      <c r="C519" s="2417"/>
      <c r="D519" s="2417"/>
      <c r="E519" s="2417"/>
      <c r="F519" s="2417"/>
      <c r="G519" s="2417"/>
      <c r="H519" s="2417"/>
      <c r="I519" s="2417"/>
      <c r="J519" s="2417"/>
      <c r="K519" s="2417"/>
      <c r="L519" s="2417"/>
      <c r="M519" s="2417"/>
      <c r="N519" s="2417"/>
      <c r="O519" s="2417"/>
      <c r="P519" s="2417"/>
      <c r="Q519" s="2417"/>
      <c r="R519" s="2417"/>
      <c r="S519" s="2417"/>
      <c r="T519" s="2417"/>
      <c r="U519" s="2450"/>
      <c r="V519" s="2450"/>
      <c r="W519" s="2450"/>
      <c r="X519" s="2450"/>
      <c r="Y519" s="2450"/>
      <c r="Z519" s="2450"/>
      <c r="AA519" s="2450"/>
      <c r="AB519" s="2450"/>
      <c r="AC519" s="2450"/>
      <c r="AD519" s="2450"/>
      <c r="AE519" s="2450"/>
      <c r="AF519" s="2450"/>
      <c r="AG519" s="2450"/>
      <c r="AH519" s="2450"/>
      <c r="AI519" s="2450"/>
      <c r="AJ519" s="2450"/>
      <c r="AK519" s="2450"/>
      <c r="AL519" s="2450"/>
      <c r="AM519" s="2450"/>
      <c r="AN519" s="2450"/>
      <c r="AO519" s="2447"/>
      <c r="AP519" s="2447"/>
      <c r="AQ519" s="2447"/>
      <c r="AR519" s="2447"/>
    </row>
    <row r="520" spans="1:44" s="313" customFormat="1" ht="15.75">
      <c r="A520" s="2447"/>
      <c r="B520" s="2451" t="s">
        <v>1734</v>
      </c>
      <c r="C520" s="2417"/>
      <c r="D520" s="2417"/>
      <c r="E520" s="2417"/>
      <c r="F520" s="2417"/>
      <c r="G520" s="2417"/>
      <c r="H520" s="2417"/>
      <c r="I520" s="2417"/>
      <c r="J520" s="2417"/>
      <c r="K520" s="2417"/>
      <c r="L520" s="2417"/>
      <c r="M520" s="2417"/>
      <c r="N520" s="2417"/>
      <c r="O520" s="2417"/>
      <c r="P520" s="2417"/>
      <c r="Q520" s="2417"/>
      <c r="R520" s="2417"/>
      <c r="S520" s="2417"/>
      <c r="T520" s="2417"/>
      <c r="U520" s="2450"/>
      <c r="V520" s="2450"/>
      <c r="W520" s="2450"/>
      <c r="X520" s="2450"/>
      <c r="Y520" s="2450"/>
      <c r="Z520" s="2450"/>
      <c r="AA520" s="2450"/>
      <c r="AB520" s="2450"/>
      <c r="AC520" s="2450"/>
      <c r="AD520" s="2450"/>
      <c r="AE520" s="2450"/>
      <c r="AF520" s="2450"/>
      <c r="AG520" s="2450"/>
      <c r="AH520" s="2450"/>
      <c r="AI520" s="2450"/>
      <c r="AJ520" s="2450"/>
      <c r="AK520" s="2450"/>
      <c r="AL520" s="2450"/>
      <c r="AM520" s="2450"/>
      <c r="AN520" s="2450"/>
      <c r="AO520" s="2447"/>
      <c r="AP520" s="2447"/>
      <c r="AQ520" s="2447"/>
      <c r="AR520" s="2447"/>
    </row>
    <row r="521" spans="1:44" s="313" customFormat="1" ht="15.75">
      <c r="A521" s="2447"/>
      <c r="B521" s="2451" t="s">
        <v>1735</v>
      </c>
      <c r="C521" s="2417"/>
      <c r="D521" s="2417"/>
      <c r="E521" s="2417"/>
      <c r="F521" s="2417"/>
      <c r="G521" s="2417"/>
      <c r="H521" s="2417"/>
      <c r="I521" s="2417"/>
      <c r="J521" s="2417"/>
      <c r="K521" s="2417"/>
      <c r="L521" s="2417"/>
      <c r="M521" s="2417"/>
      <c r="N521" s="2417"/>
      <c r="O521" s="2417"/>
      <c r="P521" s="2417"/>
      <c r="Q521" s="2417"/>
      <c r="R521" s="2417"/>
      <c r="S521" s="2417"/>
      <c r="T521" s="2417"/>
      <c r="U521" s="2450"/>
      <c r="V521" s="2450"/>
      <c r="W521" s="2450"/>
      <c r="X521" s="2450"/>
      <c r="Y521" s="2450"/>
      <c r="Z521" s="2450"/>
      <c r="AA521" s="2450"/>
      <c r="AB521" s="2450"/>
      <c r="AC521" s="2450"/>
      <c r="AD521" s="2450"/>
      <c r="AE521" s="2450"/>
      <c r="AF521" s="2450"/>
      <c r="AG521" s="2450"/>
      <c r="AH521" s="2450"/>
      <c r="AI521" s="2450"/>
      <c r="AJ521" s="2450"/>
      <c r="AK521" s="2450"/>
      <c r="AL521" s="2450"/>
      <c r="AM521" s="2450"/>
      <c r="AN521" s="2450"/>
      <c r="AO521" s="2447"/>
      <c r="AP521" s="2447"/>
      <c r="AQ521" s="2447"/>
      <c r="AR521" s="2447"/>
    </row>
    <row r="522" spans="1:44" s="313" customFormat="1" ht="15.75">
      <c r="A522" s="2447"/>
      <c r="B522" s="2447" t="s">
        <v>968</v>
      </c>
      <c r="C522" s="2453"/>
      <c r="D522" s="2454"/>
      <c r="E522" s="2454"/>
      <c r="F522" s="2454"/>
      <c r="G522" s="2454"/>
      <c r="H522" s="2454"/>
      <c r="I522" s="2454"/>
      <c r="J522" s="2454"/>
      <c r="K522" s="2454"/>
      <c r="L522" s="2454"/>
      <c r="M522" s="2454"/>
      <c r="N522" s="2454"/>
      <c r="O522" s="2454"/>
      <c r="P522" s="2454"/>
      <c r="Q522" s="2454"/>
      <c r="R522" s="2454"/>
      <c r="S522" s="2454"/>
      <c r="T522" s="2454"/>
      <c r="U522" s="2454"/>
      <c r="V522" s="2454"/>
      <c r="W522" s="2454"/>
      <c r="X522" s="2454"/>
      <c r="Y522" s="2454"/>
      <c r="Z522" s="2450"/>
      <c r="AA522" s="2450"/>
      <c r="AB522" s="2450"/>
      <c r="AC522" s="2450"/>
      <c r="AD522" s="2450"/>
      <c r="AE522" s="2450"/>
      <c r="AF522" s="2450"/>
      <c r="AG522" s="2450"/>
      <c r="AH522" s="2450"/>
      <c r="AI522" s="2450"/>
      <c r="AJ522" s="2450"/>
      <c r="AK522" s="2450"/>
      <c r="AL522" s="2450"/>
      <c r="AM522" s="2450"/>
      <c r="AN522" s="2450"/>
      <c r="AO522" s="2447"/>
      <c r="AP522" s="2447"/>
      <c r="AQ522" s="2447"/>
      <c r="AR522" s="2447"/>
    </row>
    <row r="523" spans="1:44" s="313" customFormat="1" ht="15.75">
      <c r="A523" s="2447"/>
      <c r="B523" s="2447" t="s">
        <v>965</v>
      </c>
      <c r="C523" s="2453"/>
      <c r="D523" s="2417"/>
      <c r="E523" s="2417"/>
      <c r="F523" s="2417"/>
      <c r="G523" s="2417"/>
      <c r="H523" s="2417"/>
      <c r="I523" s="2417"/>
      <c r="J523" s="2417"/>
      <c r="K523" s="2417"/>
      <c r="L523" s="2417"/>
      <c r="M523" s="2417"/>
      <c r="N523" s="2417"/>
      <c r="O523" s="2417"/>
      <c r="P523" s="2417"/>
      <c r="Q523" s="2417"/>
      <c r="R523" s="2417"/>
      <c r="S523" s="2417"/>
      <c r="T523" s="2417"/>
      <c r="U523" s="2453"/>
      <c r="V523" s="2453"/>
      <c r="W523" s="2453"/>
      <c r="X523" s="2453"/>
      <c r="Y523" s="2453"/>
      <c r="Z523" s="2450"/>
      <c r="AA523" s="2450"/>
      <c r="AB523" s="2450"/>
      <c r="AC523" s="2450"/>
      <c r="AD523" s="2450"/>
      <c r="AE523" s="2450"/>
      <c r="AF523" s="2450"/>
      <c r="AG523" s="2450"/>
      <c r="AH523" s="2450"/>
      <c r="AI523" s="2450"/>
      <c r="AJ523" s="2450"/>
      <c r="AK523" s="2450"/>
      <c r="AL523" s="2450"/>
      <c r="AM523" s="2450"/>
      <c r="AN523" s="2450"/>
      <c r="AO523" s="2447"/>
      <c r="AP523" s="2447"/>
      <c r="AQ523" s="2447"/>
      <c r="AR523" s="2447"/>
    </row>
    <row r="524" spans="1:44" s="313" customFormat="1" ht="15.75">
      <c r="A524" s="2447"/>
      <c r="B524" s="2451"/>
      <c r="C524" s="2417"/>
      <c r="D524" s="2417"/>
      <c r="E524" s="2417"/>
      <c r="F524" s="2417"/>
      <c r="G524" s="2417"/>
      <c r="H524" s="2417"/>
      <c r="I524" s="2417"/>
      <c r="J524" s="2417"/>
      <c r="K524" s="2417"/>
      <c r="L524" s="2417"/>
      <c r="M524" s="2417"/>
      <c r="N524" s="2417"/>
      <c r="O524" s="2417"/>
      <c r="P524" s="2417"/>
      <c r="Q524" s="2417"/>
      <c r="R524" s="2417"/>
      <c r="S524" s="2417"/>
      <c r="T524" s="2417"/>
      <c r="U524" s="2450"/>
      <c r="V524" s="2450"/>
      <c r="W524" s="2450"/>
      <c r="X524" s="2450"/>
      <c r="Y524" s="2450"/>
      <c r="Z524" s="2450"/>
      <c r="AA524" s="2450"/>
      <c r="AB524" s="2450"/>
      <c r="AC524" s="2450"/>
      <c r="AD524" s="2450"/>
      <c r="AE524" s="2450"/>
      <c r="AF524" s="2450"/>
      <c r="AG524" s="2450"/>
      <c r="AH524" s="2450"/>
      <c r="AI524" s="2450"/>
      <c r="AJ524" s="2450"/>
      <c r="AK524" s="2450"/>
      <c r="AL524" s="2450"/>
      <c r="AM524" s="2450"/>
      <c r="AN524" s="2450"/>
      <c r="AO524" s="2447"/>
      <c r="AP524" s="2447"/>
      <c r="AQ524" s="2447"/>
      <c r="AR524" s="2447"/>
    </row>
    <row r="525" spans="1:44" s="313" customFormat="1" ht="15.75">
      <c r="A525" s="2447"/>
      <c r="B525" s="2455"/>
      <c r="C525" s="2456"/>
      <c r="D525" s="2456"/>
      <c r="E525" s="2456"/>
      <c r="F525" s="2456"/>
      <c r="G525" s="2457"/>
      <c r="H525" s="2457"/>
      <c r="I525" s="2457"/>
      <c r="J525" s="2457"/>
      <c r="K525" s="2457"/>
      <c r="L525" s="2457"/>
      <c r="M525" s="2457"/>
      <c r="N525" s="2457"/>
      <c r="O525" s="2457"/>
      <c r="P525" s="2457"/>
      <c r="Q525" s="2456"/>
      <c r="R525" s="2456"/>
      <c r="S525" s="2456"/>
      <c r="T525" s="2456"/>
      <c r="U525" s="2456"/>
      <c r="V525" s="2456"/>
      <c r="W525" s="2456"/>
      <c r="X525" s="2456"/>
      <c r="Y525" s="2456"/>
      <c r="Z525" s="2450"/>
      <c r="AA525" s="2450"/>
      <c r="AB525" s="2450"/>
      <c r="AC525" s="2450"/>
      <c r="AD525" s="2450"/>
      <c r="AE525" s="2450"/>
      <c r="AF525" s="2450"/>
      <c r="AG525" s="2450"/>
      <c r="AH525" s="2450"/>
      <c r="AI525" s="2450"/>
      <c r="AJ525" s="2450"/>
      <c r="AK525" s="2450"/>
      <c r="AL525" s="2450"/>
      <c r="AM525" s="2450"/>
      <c r="AN525" s="2450"/>
      <c r="AO525" s="2447"/>
      <c r="AP525" s="2447"/>
      <c r="AQ525" s="2447"/>
      <c r="AR525" s="2447"/>
    </row>
    <row r="526" spans="1:44" ht="15.75">
      <c r="A526" s="2414"/>
      <c r="B526" s="2414"/>
      <c r="C526" s="2414"/>
      <c r="D526" s="2414"/>
      <c r="E526" s="2414"/>
      <c r="F526" s="2414"/>
      <c r="G526" s="2414"/>
      <c r="H526" s="2414"/>
      <c r="I526" s="2414"/>
      <c r="J526" s="2414"/>
      <c r="K526" s="2414"/>
      <c r="L526" s="2414"/>
      <c r="M526" s="2414"/>
      <c r="N526" s="2414"/>
      <c r="O526" s="2414"/>
      <c r="P526" s="2414"/>
      <c r="Q526" s="2414"/>
      <c r="R526" s="2414"/>
      <c r="S526" s="2414"/>
      <c r="T526" s="2414"/>
      <c r="U526" s="2414"/>
      <c r="V526" s="2414"/>
      <c r="W526" s="2414"/>
      <c r="X526" s="2414"/>
      <c r="Y526" s="2414"/>
      <c r="Z526" s="2414"/>
      <c r="AA526" s="2414"/>
      <c r="AB526" s="2414"/>
      <c r="AC526" s="2414"/>
      <c r="AD526" s="2414"/>
      <c r="AE526" s="2414"/>
      <c r="AF526" s="2414"/>
      <c r="AG526" s="2414"/>
      <c r="AH526" s="2414"/>
      <c r="AI526" s="2414"/>
      <c r="AJ526" s="2414"/>
      <c r="AK526" s="2414"/>
      <c r="AL526" s="2414"/>
      <c r="AM526" s="2414"/>
      <c r="AN526" s="2414"/>
      <c r="AO526" s="2414"/>
      <c r="AP526" s="2414"/>
      <c r="AQ526" s="2414"/>
      <c r="AR526" s="2414"/>
    </row>
    <row r="527" spans="1:44" ht="15.75">
      <c r="A527" s="2414"/>
      <c r="B527" s="2414"/>
      <c r="C527" s="2414"/>
      <c r="D527" s="2414"/>
      <c r="E527" s="2414"/>
      <c r="F527" s="2414"/>
      <c r="G527" s="2414"/>
      <c r="H527" s="2414"/>
      <c r="I527" s="2414"/>
      <c r="J527" s="2414"/>
      <c r="K527" s="2414"/>
      <c r="L527" s="2414"/>
      <c r="M527" s="2414"/>
      <c r="N527" s="2414"/>
      <c r="O527" s="2414"/>
      <c r="P527" s="2414"/>
      <c r="Q527" s="2414"/>
      <c r="R527" s="2414"/>
      <c r="S527" s="2414"/>
      <c r="T527" s="2414"/>
      <c r="U527" s="2414"/>
      <c r="V527" s="2414"/>
      <c r="W527" s="2414"/>
      <c r="X527" s="2414"/>
      <c r="Y527" s="2414"/>
      <c r="Z527" s="2414"/>
      <c r="AA527" s="2414"/>
      <c r="AB527" s="2414"/>
      <c r="AC527" s="2414"/>
      <c r="AD527" s="2414"/>
      <c r="AE527" s="2414"/>
      <c r="AF527" s="2414"/>
      <c r="AG527" s="2414"/>
      <c r="AH527" s="2414"/>
      <c r="AI527" s="2414"/>
      <c r="AJ527" s="2414"/>
      <c r="AK527" s="2414"/>
      <c r="AL527" s="2414"/>
      <c r="AM527" s="2414"/>
      <c r="AN527" s="2414"/>
      <c r="AO527" s="2414"/>
      <c r="AP527" s="2414"/>
      <c r="AQ527" s="2414"/>
      <c r="AR527" s="2414"/>
    </row>
    <row r="528" spans="1:44" ht="15.75">
      <c r="A528" s="2414"/>
      <c r="B528" s="2414"/>
      <c r="C528" s="2414"/>
      <c r="D528" s="2414"/>
      <c r="E528" s="2414"/>
      <c r="F528" s="2414"/>
      <c r="G528" s="2414"/>
      <c r="H528" s="2414"/>
      <c r="I528" s="2414"/>
      <c r="J528" s="2414"/>
      <c r="K528" s="2414"/>
      <c r="L528" s="2414"/>
      <c r="M528" s="2414"/>
      <c r="N528" s="2414"/>
      <c r="O528" s="2414"/>
      <c r="P528" s="2414"/>
      <c r="Q528" s="2414"/>
      <c r="R528" s="2414"/>
      <c r="S528" s="2414"/>
      <c r="T528" s="2414"/>
      <c r="U528" s="2414"/>
      <c r="V528" s="2414"/>
      <c r="W528" s="2414"/>
      <c r="X528" s="2414"/>
      <c r="Y528" s="2414"/>
      <c r="Z528" s="2414"/>
      <c r="AA528" s="2414"/>
      <c r="AB528" s="2414"/>
      <c r="AC528" s="2414"/>
      <c r="AD528" s="2414"/>
      <c r="AE528" s="2414"/>
      <c r="AF528" s="2414"/>
      <c r="AG528" s="2414"/>
      <c r="AH528" s="2414"/>
      <c r="AI528" s="2414"/>
      <c r="AJ528" s="2414"/>
      <c r="AK528" s="2414"/>
      <c r="AL528" s="2414"/>
      <c r="AM528" s="2414"/>
      <c r="AN528" s="2414"/>
      <c r="AO528" s="2414"/>
      <c r="AP528" s="2414"/>
      <c r="AQ528" s="2414"/>
      <c r="AR528" s="2414"/>
    </row>
    <row r="529" spans="1:44" ht="15.75">
      <c r="A529" s="2414"/>
      <c r="B529" s="2414"/>
      <c r="C529" s="2414"/>
      <c r="D529" s="2414"/>
      <c r="E529" s="2414"/>
      <c r="F529" s="2414"/>
      <c r="G529" s="2414"/>
      <c r="H529" s="2414"/>
      <c r="I529" s="2414"/>
      <c r="J529" s="2414"/>
      <c r="K529" s="2414"/>
      <c r="L529" s="2414"/>
      <c r="M529" s="2414"/>
      <c r="N529" s="2414"/>
      <c r="O529" s="2414"/>
      <c r="P529" s="2414"/>
      <c r="Q529" s="2414"/>
      <c r="R529" s="2414"/>
      <c r="S529" s="2414"/>
      <c r="T529" s="2414"/>
      <c r="U529" s="2414"/>
      <c r="V529" s="2414"/>
      <c r="W529" s="2414"/>
      <c r="X529" s="2414"/>
      <c r="Y529" s="2414"/>
      <c r="Z529" s="2414"/>
      <c r="AA529" s="2414"/>
      <c r="AB529" s="2414"/>
      <c r="AC529" s="2414"/>
      <c r="AD529" s="2414"/>
      <c r="AE529" s="2414"/>
      <c r="AF529" s="2414"/>
      <c r="AG529" s="2414"/>
      <c r="AH529" s="2414"/>
      <c r="AI529" s="2414"/>
      <c r="AJ529" s="2414"/>
      <c r="AK529" s="2414"/>
      <c r="AL529" s="2414"/>
      <c r="AM529" s="2414"/>
      <c r="AN529" s="2414"/>
      <c r="AO529" s="2414"/>
      <c r="AP529" s="2414"/>
      <c r="AQ529" s="2414"/>
      <c r="AR529" s="2414"/>
    </row>
    <row r="530" spans="1:44" ht="15.75">
      <c r="A530" s="2414"/>
      <c r="B530" s="2414"/>
      <c r="C530" s="2414"/>
      <c r="D530" s="2414"/>
      <c r="E530" s="2414"/>
      <c r="F530" s="2414"/>
      <c r="G530" s="2414"/>
      <c r="H530" s="2414"/>
      <c r="I530" s="2414"/>
      <c r="J530" s="2414"/>
      <c r="K530" s="2414"/>
      <c r="L530" s="2414"/>
      <c r="M530" s="2414"/>
      <c r="N530" s="2414"/>
      <c r="O530" s="2414"/>
      <c r="P530" s="2414"/>
      <c r="Q530" s="2414"/>
      <c r="R530" s="2414"/>
      <c r="S530" s="2414"/>
      <c r="T530" s="2414"/>
      <c r="U530" s="2414"/>
      <c r="V530" s="2414"/>
      <c r="W530" s="2414"/>
      <c r="X530" s="2414"/>
      <c r="Y530" s="2414"/>
      <c r="Z530" s="2414"/>
      <c r="AA530" s="2414"/>
      <c r="AB530" s="2414"/>
      <c r="AC530" s="2414"/>
      <c r="AD530" s="2414"/>
      <c r="AE530" s="2414"/>
      <c r="AF530" s="2414"/>
      <c r="AG530" s="2414"/>
      <c r="AH530" s="2414"/>
      <c r="AI530" s="2414"/>
      <c r="AJ530" s="2414"/>
      <c r="AK530" s="2414"/>
      <c r="AL530" s="2414"/>
      <c r="AM530" s="2414"/>
      <c r="AN530" s="2414"/>
      <c r="AO530" s="2414"/>
      <c r="AP530" s="2414"/>
      <c r="AQ530" s="2414"/>
      <c r="AR530" s="2414"/>
    </row>
    <row r="531" spans="1:44" ht="15.75">
      <c r="A531" s="2414"/>
      <c r="B531" s="2414"/>
      <c r="C531" s="2414"/>
      <c r="D531" s="2414"/>
      <c r="E531" s="2414"/>
      <c r="F531" s="2414"/>
      <c r="G531" s="2414"/>
      <c r="H531" s="2414"/>
      <c r="I531" s="2414"/>
      <c r="J531" s="2414"/>
      <c r="K531" s="2414"/>
      <c r="L531" s="2414"/>
      <c r="M531" s="2414"/>
      <c r="N531" s="2414"/>
      <c r="O531" s="2414"/>
      <c r="P531" s="2414"/>
      <c r="Q531" s="2414"/>
      <c r="R531" s="2414"/>
      <c r="S531" s="2414"/>
      <c r="T531" s="2414"/>
      <c r="U531" s="2414"/>
      <c r="V531" s="2414"/>
      <c r="W531" s="2414"/>
      <c r="X531" s="2414"/>
      <c r="Y531" s="2414"/>
      <c r="Z531" s="2414"/>
      <c r="AA531" s="2414"/>
      <c r="AB531" s="2414"/>
      <c r="AC531" s="2414"/>
      <c r="AD531" s="2414"/>
      <c r="AE531" s="2414"/>
      <c r="AF531" s="2414"/>
      <c r="AG531" s="2414"/>
      <c r="AH531" s="2414"/>
      <c r="AI531" s="2414"/>
      <c r="AJ531" s="2414"/>
      <c r="AK531" s="2414"/>
      <c r="AL531" s="2414"/>
      <c r="AM531" s="2414"/>
      <c r="AN531" s="2414"/>
      <c r="AO531" s="2414"/>
      <c r="AP531" s="2414"/>
      <c r="AQ531" s="2414"/>
      <c r="AR531" s="2414"/>
    </row>
    <row r="532" spans="1:44" ht="15.75">
      <c r="A532" s="2414"/>
      <c r="B532" s="2414"/>
      <c r="C532" s="2414"/>
      <c r="D532" s="2414"/>
      <c r="E532" s="2414"/>
      <c r="F532" s="2414"/>
      <c r="G532" s="2414"/>
      <c r="H532" s="2414"/>
      <c r="I532" s="2414"/>
      <c r="J532" s="2414"/>
      <c r="K532" s="2414"/>
      <c r="L532" s="2414"/>
      <c r="M532" s="2414"/>
      <c r="N532" s="2414"/>
      <c r="O532" s="2414"/>
      <c r="P532" s="2414"/>
      <c r="Q532" s="2414"/>
      <c r="R532" s="2414"/>
      <c r="S532" s="2414"/>
      <c r="T532" s="2414"/>
      <c r="U532" s="2414"/>
      <c r="V532" s="2414"/>
      <c r="W532" s="2414"/>
      <c r="X532" s="2414"/>
      <c r="Y532" s="2414"/>
      <c r="Z532" s="2414"/>
      <c r="AA532" s="2414"/>
      <c r="AB532" s="2414"/>
      <c r="AC532" s="2414"/>
      <c r="AD532" s="2414"/>
      <c r="AE532" s="2414"/>
      <c r="AF532" s="2414"/>
      <c r="AG532" s="2414"/>
      <c r="AH532" s="2414"/>
      <c r="AI532" s="2414"/>
      <c r="AJ532" s="2414"/>
      <c r="AK532" s="2414"/>
      <c r="AL532" s="2414"/>
      <c r="AM532" s="2414"/>
      <c r="AN532" s="2414"/>
      <c r="AO532" s="2414"/>
      <c r="AP532" s="2414"/>
      <c r="AQ532" s="2414"/>
      <c r="AR532" s="2414"/>
    </row>
    <row r="533" spans="1:44" ht="15.75">
      <c r="A533" s="2414"/>
      <c r="B533" s="2414"/>
      <c r="C533" s="2414"/>
      <c r="D533" s="2414"/>
      <c r="E533" s="2414"/>
      <c r="F533" s="2414"/>
      <c r="G533" s="2414"/>
      <c r="H533" s="2414"/>
      <c r="I533" s="2414"/>
      <c r="J533" s="2414"/>
      <c r="K533" s="2414"/>
      <c r="L533" s="2414"/>
      <c r="M533" s="2414"/>
      <c r="N533" s="2414"/>
      <c r="O533" s="2414"/>
      <c r="P533" s="2414"/>
      <c r="Q533" s="2414"/>
      <c r="R533" s="2414"/>
      <c r="S533" s="2414"/>
      <c r="T533" s="2414"/>
      <c r="U533" s="2414"/>
      <c r="V533" s="2414"/>
      <c r="W533" s="2414"/>
      <c r="X533" s="2414"/>
      <c r="Y533" s="2414"/>
      <c r="Z533" s="2414"/>
      <c r="AA533" s="2414"/>
      <c r="AB533" s="2414"/>
      <c r="AC533" s="2414"/>
      <c r="AD533" s="2414"/>
      <c r="AE533" s="2414"/>
      <c r="AF533" s="2414"/>
      <c r="AG533" s="2414"/>
      <c r="AH533" s="2414"/>
      <c r="AI533" s="2414"/>
      <c r="AJ533" s="2414"/>
      <c r="AK533" s="2414"/>
      <c r="AL533" s="2414"/>
      <c r="AM533" s="2414"/>
      <c r="AN533" s="2414"/>
      <c r="AO533" s="2414"/>
      <c r="AP533" s="2414"/>
      <c r="AQ533" s="2414"/>
      <c r="AR533" s="2414"/>
    </row>
    <row r="534" spans="1:44" ht="15.75">
      <c r="A534" s="2414"/>
      <c r="B534" s="2414"/>
      <c r="C534" s="2414"/>
      <c r="D534" s="2414"/>
      <c r="E534" s="2414"/>
      <c r="F534" s="2414"/>
      <c r="G534" s="2414"/>
      <c r="H534" s="2414"/>
      <c r="I534" s="2414"/>
      <c r="J534" s="2414"/>
      <c r="K534" s="2414"/>
      <c r="L534" s="2414"/>
      <c r="M534" s="2414"/>
      <c r="N534" s="2414"/>
      <c r="O534" s="2414"/>
      <c r="P534" s="2414"/>
      <c r="Q534" s="2414"/>
      <c r="R534" s="2414"/>
      <c r="S534" s="2414"/>
      <c r="T534" s="2414"/>
      <c r="U534" s="2414"/>
      <c r="V534" s="2414"/>
      <c r="W534" s="2414"/>
      <c r="X534" s="2414"/>
      <c r="Y534" s="2414"/>
      <c r="Z534" s="2414"/>
      <c r="AA534" s="2414"/>
      <c r="AB534" s="2414"/>
      <c r="AC534" s="2414"/>
      <c r="AD534" s="2414"/>
      <c r="AE534" s="2414"/>
      <c r="AF534" s="2414"/>
      <c r="AG534" s="2414"/>
      <c r="AH534" s="2414"/>
      <c r="AI534" s="2414"/>
      <c r="AJ534" s="2414"/>
      <c r="AK534" s="2414"/>
      <c r="AL534" s="2414"/>
      <c r="AM534" s="2414"/>
      <c r="AN534" s="2414"/>
      <c r="AO534" s="2414"/>
      <c r="AP534" s="2414"/>
      <c r="AQ534" s="2414"/>
      <c r="AR534" s="2414"/>
    </row>
    <row r="535" spans="1:44" ht="15.75">
      <c r="A535" s="2414"/>
      <c r="B535" s="2414"/>
      <c r="C535" s="2414"/>
      <c r="D535" s="2414"/>
      <c r="E535" s="2414"/>
      <c r="F535" s="2414"/>
      <c r="G535" s="2414"/>
      <c r="H535" s="2414"/>
      <c r="I535" s="2414"/>
      <c r="J535" s="2414"/>
      <c r="K535" s="2414"/>
      <c r="L535" s="2414"/>
      <c r="M535" s="2414"/>
      <c r="N535" s="2414"/>
      <c r="O535" s="2414"/>
      <c r="P535" s="2414"/>
      <c r="Q535" s="2414"/>
      <c r="R535" s="2414"/>
      <c r="S535" s="2414"/>
      <c r="T535" s="2414"/>
      <c r="U535" s="2414"/>
      <c r="V535" s="2414"/>
      <c r="W535" s="2414"/>
      <c r="X535" s="2414"/>
      <c r="Y535" s="2414"/>
      <c r="Z535" s="2414"/>
      <c r="AA535" s="2414"/>
      <c r="AB535" s="2414"/>
      <c r="AC535" s="2414"/>
      <c r="AD535" s="2414"/>
      <c r="AE535" s="2414"/>
      <c r="AF535" s="2414"/>
      <c r="AG535" s="2414"/>
      <c r="AH535" s="2414"/>
      <c r="AI535" s="2414"/>
      <c r="AJ535" s="2414"/>
      <c r="AK535" s="2414"/>
      <c r="AL535" s="2414"/>
      <c r="AM535" s="2414"/>
      <c r="AN535" s="2414"/>
      <c r="AO535" s="2414"/>
      <c r="AP535" s="2414"/>
      <c r="AQ535" s="2414"/>
      <c r="AR535" s="2414"/>
    </row>
    <row r="536" spans="1:44" ht="15.75">
      <c r="A536" s="2414"/>
      <c r="B536" s="2414"/>
      <c r="C536" s="2414"/>
      <c r="D536" s="2414"/>
      <c r="E536" s="2414"/>
      <c r="F536" s="2414"/>
      <c r="G536" s="2414"/>
      <c r="H536" s="2414"/>
      <c r="I536" s="2414"/>
      <c r="J536" s="2414"/>
      <c r="K536" s="2414"/>
      <c r="L536" s="2414"/>
      <c r="M536" s="2414"/>
      <c r="N536" s="2414"/>
      <c r="O536" s="2414"/>
      <c r="P536" s="2414"/>
      <c r="Q536" s="2414"/>
      <c r="R536" s="2414"/>
      <c r="S536" s="2414"/>
      <c r="T536" s="2414"/>
      <c r="U536" s="2414"/>
      <c r="V536" s="2414"/>
      <c r="W536" s="2414"/>
      <c r="X536" s="2414"/>
      <c r="Y536" s="2414"/>
      <c r="Z536" s="2414"/>
      <c r="AA536" s="2414"/>
      <c r="AB536" s="2414"/>
      <c r="AC536" s="2414"/>
      <c r="AD536" s="2414"/>
      <c r="AE536" s="2414"/>
      <c r="AF536" s="2414"/>
      <c r="AG536" s="2414"/>
      <c r="AH536" s="2414"/>
      <c r="AI536" s="2414"/>
      <c r="AJ536" s="2414"/>
      <c r="AK536" s="2414"/>
      <c r="AL536" s="2414"/>
      <c r="AM536" s="2414"/>
      <c r="AN536" s="2414"/>
      <c r="AO536" s="2414"/>
      <c r="AP536" s="2414"/>
      <c r="AQ536" s="2414"/>
      <c r="AR536" s="2414"/>
    </row>
    <row r="537" spans="1:44" ht="15.75">
      <c r="A537" s="2414"/>
      <c r="B537" s="2414"/>
      <c r="C537" s="2414"/>
      <c r="D537" s="2414"/>
      <c r="E537" s="2414"/>
      <c r="F537" s="2414"/>
      <c r="G537" s="2414"/>
      <c r="H537" s="2414"/>
      <c r="I537" s="2414"/>
      <c r="J537" s="2414"/>
      <c r="K537" s="2414"/>
      <c r="L537" s="2414"/>
      <c r="M537" s="2414"/>
      <c r="N537" s="2414"/>
      <c r="O537" s="2414"/>
      <c r="P537" s="2414"/>
      <c r="Q537" s="2414"/>
      <c r="R537" s="2414"/>
      <c r="S537" s="2414"/>
      <c r="T537" s="2414"/>
      <c r="U537" s="2414"/>
      <c r="V537" s="2414"/>
      <c r="W537" s="2414"/>
      <c r="X537" s="2414"/>
      <c r="Y537" s="2414"/>
      <c r="Z537" s="2414"/>
      <c r="AA537" s="2414"/>
      <c r="AB537" s="2414"/>
      <c r="AC537" s="2414"/>
      <c r="AD537" s="2414"/>
      <c r="AE537" s="2414"/>
      <c r="AF537" s="2414"/>
      <c r="AG537" s="2414"/>
      <c r="AH537" s="2414"/>
      <c r="AI537" s="2414"/>
      <c r="AJ537" s="2414"/>
      <c r="AK537" s="2414"/>
      <c r="AL537" s="2414"/>
      <c r="AM537" s="2414"/>
      <c r="AN537" s="2414"/>
      <c r="AO537" s="2414"/>
      <c r="AP537" s="2414"/>
      <c r="AQ537" s="2414"/>
      <c r="AR537" s="2414"/>
    </row>
    <row r="538" spans="1:44" ht="15.75">
      <c r="A538" s="2414"/>
      <c r="B538" s="2414"/>
      <c r="C538" s="2414"/>
      <c r="D538" s="2414"/>
      <c r="E538" s="2414"/>
      <c r="F538" s="2414"/>
      <c r="G538" s="2414"/>
      <c r="H538" s="2414"/>
      <c r="I538" s="2414"/>
      <c r="J538" s="2414"/>
      <c r="K538" s="2414"/>
      <c r="L538" s="2414"/>
      <c r="M538" s="2414"/>
      <c r="N538" s="2414"/>
      <c r="O538" s="2414"/>
      <c r="P538" s="2414"/>
      <c r="Q538" s="2414"/>
      <c r="R538" s="2414"/>
      <c r="S538" s="2414"/>
      <c r="T538" s="2414"/>
      <c r="U538" s="2414"/>
      <c r="V538" s="2414"/>
      <c r="W538" s="2414"/>
      <c r="X538" s="2414"/>
      <c r="Y538" s="2414"/>
      <c r="Z538" s="2414"/>
      <c r="AA538" s="2414"/>
      <c r="AB538" s="2414"/>
      <c r="AC538" s="2414"/>
      <c r="AD538" s="2414"/>
      <c r="AE538" s="2414"/>
      <c r="AF538" s="2414"/>
      <c r="AG538" s="2414"/>
      <c r="AH538" s="2414"/>
      <c r="AI538" s="2414"/>
      <c r="AJ538" s="2414"/>
      <c r="AK538" s="2414"/>
      <c r="AL538" s="2414"/>
      <c r="AM538" s="2414"/>
      <c r="AN538" s="2414"/>
      <c r="AO538" s="2414"/>
      <c r="AP538" s="2414"/>
      <c r="AQ538" s="2414"/>
      <c r="AR538" s="2414"/>
    </row>
    <row r="539" spans="1:44" ht="15.75">
      <c r="A539" s="2414"/>
      <c r="B539" s="2414"/>
      <c r="C539" s="2414"/>
      <c r="D539" s="2414"/>
      <c r="E539" s="2414"/>
      <c r="F539" s="2414"/>
      <c r="G539" s="2414"/>
      <c r="H539" s="2414"/>
      <c r="I539" s="2414"/>
      <c r="J539" s="2414"/>
      <c r="K539" s="2414"/>
      <c r="L539" s="2414"/>
      <c r="M539" s="2414"/>
      <c r="N539" s="2414"/>
      <c r="O539" s="2414"/>
      <c r="P539" s="2414"/>
      <c r="Q539" s="2414"/>
      <c r="R539" s="2414"/>
      <c r="S539" s="2414"/>
      <c r="T539" s="2414"/>
      <c r="U539" s="2414"/>
      <c r="V539" s="2414"/>
      <c r="W539" s="2414"/>
      <c r="X539" s="2414"/>
      <c r="Y539" s="2414"/>
      <c r="Z539" s="2414"/>
      <c r="AA539" s="2414"/>
      <c r="AB539" s="2414"/>
      <c r="AC539" s="2414"/>
      <c r="AD539" s="2414"/>
      <c r="AE539" s="2414"/>
      <c r="AF539" s="2414"/>
      <c r="AG539" s="2414"/>
      <c r="AH539" s="2414"/>
      <c r="AI539" s="2414"/>
      <c r="AJ539" s="2414"/>
      <c r="AK539" s="2414"/>
      <c r="AL539" s="2414"/>
      <c r="AM539" s="2414"/>
      <c r="AN539" s="2414"/>
      <c r="AO539" s="2414"/>
      <c r="AP539" s="2414"/>
      <c r="AQ539" s="2414"/>
      <c r="AR539" s="2414"/>
    </row>
    <row r="540" spans="1:44" ht="15.75">
      <c r="A540" s="2414"/>
      <c r="B540" s="2414"/>
      <c r="C540" s="2414"/>
      <c r="D540" s="2414"/>
      <c r="E540" s="2414"/>
      <c r="F540" s="2414"/>
      <c r="G540" s="2414"/>
      <c r="H540" s="2414"/>
      <c r="I540" s="2414"/>
      <c r="J540" s="2414"/>
      <c r="K540" s="2414"/>
      <c r="L540" s="2414"/>
      <c r="M540" s="2414"/>
      <c r="N540" s="2414"/>
      <c r="O540" s="2414"/>
      <c r="P540" s="2414"/>
      <c r="Q540" s="2414"/>
      <c r="R540" s="2414"/>
      <c r="S540" s="2414"/>
      <c r="T540" s="2414"/>
      <c r="U540" s="2414"/>
      <c r="V540" s="2414"/>
      <c r="W540" s="2414"/>
      <c r="X540" s="2414"/>
      <c r="Y540" s="2414"/>
      <c r="Z540" s="2414"/>
      <c r="AA540" s="2414"/>
      <c r="AB540" s="2414"/>
      <c r="AC540" s="2414"/>
      <c r="AD540" s="2414"/>
      <c r="AE540" s="2414"/>
      <c r="AF540" s="2414"/>
      <c r="AG540" s="2414"/>
      <c r="AH540" s="2414"/>
      <c r="AI540" s="2414"/>
      <c r="AJ540" s="2414"/>
      <c r="AK540" s="2414"/>
      <c r="AL540" s="2414"/>
      <c r="AM540" s="2414"/>
      <c r="AN540" s="2414"/>
      <c r="AO540" s="2414"/>
      <c r="AP540" s="2414"/>
      <c r="AQ540" s="2414"/>
      <c r="AR540" s="2414"/>
    </row>
    <row r="541" spans="1:44" ht="15.75">
      <c r="A541" s="2414"/>
      <c r="B541" s="2414"/>
      <c r="C541" s="2414"/>
      <c r="D541" s="2414"/>
      <c r="E541" s="2414"/>
      <c r="F541" s="2414"/>
      <c r="G541" s="2414"/>
      <c r="H541" s="2414"/>
      <c r="I541" s="2414"/>
      <c r="J541" s="2414"/>
      <c r="K541" s="2414"/>
      <c r="L541" s="2414"/>
      <c r="M541" s="2414"/>
      <c r="N541" s="2414"/>
      <c r="O541" s="2414"/>
      <c r="P541" s="2414"/>
      <c r="Q541" s="2414"/>
      <c r="R541" s="2414"/>
      <c r="S541" s="2414"/>
      <c r="T541" s="2414"/>
      <c r="U541" s="2414"/>
      <c r="V541" s="2414"/>
      <c r="W541" s="2414"/>
      <c r="X541" s="2414"/>
      <c r="Y541" s="2414"/>
      <c r="Z541" s="2414"/>
      <c r="AA541" s="2414"/>
      <c r="AB541" s="2414"/>
      <c r="AC541" s="2414"/>
      <c r="AD541" s="2414"/>
      <c r="AE541" s="2414"/>
      <c r="AF541" s="2414"/>
      <c r="AG541" s="2414"/>
      <c r="AH541" s="2414"/>
      <c r="AI541" s="2414"/>
      <c r="AJ541" s="2414"/>
      <c r="AK541" s="2414"/>
      <c r="AL541" s="2414"/>
      <c r="AM541" s="2414"/>
      <c r="AN541" s="2414"/>
      <c r="AO541" s="2414"/>
      <c r="AP541" s="2414"/>
      <c r="AQ541" s="2414"/>
      <c r="AR541" s="2414"/>
    </row>
    <row r="542" spans="1:44" ht="15.75">
      <c r="A542" s="2414"/>
      <c r="B542" s="2414"/>
      <c r="C542" s="2414"/>
      <c r="D542" s="2414"/>
      <c r="E542" s="2414"/>
      <c r="F542" s="2414"/>
      <c r="G542" s="2414"/>
      <c r="H542" s="2414"/>
      <c r="I542" s="2414"/>
      <c r="J542" s="2414"/>
      <c r="K542" s="2414"/>
      <c r="L542" s="2414"/>
      <c r="M542" s="2414"/>
      <c r="N542" s="2414"/>
      <c r="O542" s="2414"/>
      <c r="P542" s="2414"/>
      <c r="Q542" s="2414"/>
      <c r="R542" s="2414"/>
      <c r="S542" s="2414"/>
      <c r="T542" s="2414"/>
      <c r="U542" s="2414"/>
      <c r="V542" s="2414"/>
      <c r="W542" s="2414"/>
      <c r="X542" s="2414"/>
      <c r="Y542" s="2414"/>
      <c r="Z542" s="2414"/>
      <c r="AA542" s="2414"/>
      <c r="AB542" s="2414"/>
      <c r="AC542" s="2414"/>
      <c r="AD542" s="2414"/>
      <c r="AE542" s="2414"/>
      <c r="AF542" s="2414"/>
      <c r="AG542" s="2414"/>
      <c r="AH542" s="2414"/>
      <c r="AI542" s="2414"/>
      <c r="AJ542" s="2414"/>
      <c r="AK542" s="2414"/>
      <c r="AL542" s="2414"/>
      <c r="AM542" s="2414"/>
      <c r="AN542" s="2414"/>
      <c r="AO542" s="2414"/>
      <c r="AP542" s="2414"/>
      <c r="AQ542" s="2414"/>
      <c r="AR542" s="2414"/>
    </row>
    <row r="543" spans="1:44" ht="15.75">
      <c r="A543" s="2414"/>
      <c r="B543" s="2414"/>
      <c r="C543" s="2414"/>
      <c r="D543" s="2414"/>
      <c r="E543" s="2414"/>
      <c r="F543" s="2414"/>
      <c r="G543" s="2414"/>
      <c r="H543" s="2414"/>
      <c r="I543" s="2414"/>
      <c r="J543" s="2414"/>
      <c r="K543" s="2414"/>
      <c r="L543" s="2414"/>
      <c r="M543" s="2414"/>
      <c r="N543" s="2414"/>
      <c r="O543" s="2414"/>
      <c r="P543" s="2414"/>
      <c r="Q543" s="2414"/>
      <c r="R543" s="2414"/>
      <c r="S543" s="2414"/>
      <c r="T543" s="2414"/>
      <c r="U543" s="2414"/>
      <c r="V543" s="2414"/>
      <c r="W543" s="2414"/>
      <c r="X543" s="2414"/>
      <c r="Y543" s="2414"/>
      <c r="Z543" s="2414"/>
      <c r="AA543" s="2414"/>
      <c r="AB543" s="2414"/>
      <c r="AC543" s="2414"/>
      <c r="AD543" s="2414"/>
      <c r="AE543" s="2414"/>
      <c r="AF543" s="2414"/>
      <c r="AG543" s="2414"/>
      <c r="AH543" s="2414"/>
      <c r="AI543" s="2414"/>
      <c r="AJ543" s="2414"/>
      <c r="AK543" s="2414"/>
      <c r="AL543" s="2414"/>
      <c r="AM543" s="2414"/>
      <c r="AN543" s="2414"/>
      <c r="AO543" s="2414"/>
      <c r="AP543" s="2414"/>
      <c r="AQ543" s="2414"/>
      <c r="AR543" s="2414"/>
    </row>
    <row r="544" spans="1:44" ht="15.75">
      <c r="A544" s="2414"/>
      <c r="B544" s="2414"/>
      <c r="C544" s="2414"/>
      <c r="D544" s="2414"/>
      <c r="E544" s="2414"/>
      <c r="F544" s="2414"/>
      <c r="G544" s="2414"/>
      <c r="H544" s="2414"/>
      <c r="I544" s="2414"/>
      <c r="J544" s="2414"/>
      <c r="K544" s="2414"/>
      <c r="L544" s="2414"/>
      <c r="M544" s="2414"/>
      <c r="N544" s="2414"/>
      <c r="O544" s="2414"/>
      <c r="P544" s="2414"/>
      <c r="Q544" s="2414"/>
      <c r="R544" s="2414"/>
      <c r="S544" s="2414"/>
      <c r="T544" s="2414"/>
      <c r="U544" s="2414"/>
      <c r="V544" s="2414"/>
      <c r="W544" s="2414"/>
      <c r="X544" s="2414"/>
      <c r="Y544" s="2414"/>
      <c r="Z544" s="2414"/>
      <c r="AA544" s="2414"/>
      <c r="AB544" s="2414"/>
      <c r="AC544" s="2414"/>
      <c r="AD544" s="2414"/>
      <c r="AE544" s="2414"/>
      <c r="AF544" s="2414"/>
      <c r="AG544" s="2414"/>
      <c r="AH544" s="2414"/>
      <c r="AI544" s="2414"/>
      <c r="AJ544" s="2414"/>
      <c r="AK544" s="2414"/>
      <c r="AL544" s="2414"/>
      <c r="AM544" s="2414"/>
      <c r="AN544" s="2414"/>
      <c r="AO544" s="2414"/>
      <c r="AP544" s="2414"/>
      <c r="AQ544" s="2414"/>
      <c r="AR544" s="2414"/>
    </row>
    <row r="545" spans="1:44" ht="15.75">
      <c r="A545" s="2414"/>
      <c r="B545" s="2414"/>
      <c r="C545" s="2414"/>
      <c r="D545" s="2414"/>
      <c r="E545" s="2414"/>
      <c r="F545" s="2414"/>
      <c r="G545" s="2414"/>
      <c r="H545" s="2414"/>
      <c r="I545" s="2414"/>
      <c r="J545" s="2414"/>
      <c r="K545" s="2414"/>
      <c r="L545" s="2414"/>
      <c r="M545" s="2414"/>
      <c r="N545" s="2414"/>
      <c r="O545" s="2414"/>
      <c r="P545" s="2414"/>
      <c r="Q545" s="2414"/>
      <c r="R545" s="2414"/>
      <c r="S545" s="2414"/>
      <c r="T545" s="2414"/>
      <c r="U545" s="2414"/>
      <c r="V545" s="2414"/>
      <c r="W545" s="2414"/>
      <c r="X545" s="2414"/>
      <c r="Y545" s="2414"/>
      <c r="Z545" s="2414"/>
      <c r="AA545" s="2414"/>
      <c r="AB545" s="2414"/>
      <c r="AC545" s="2414"/>
      <c r="AD545" s="2414"/>
      <c r="AE545" s="2414"/>
      <c r="AF545" s="2414"/>
      <c r="AG545" s="2414"/>
      <c r="AH545" s="2414"/>
      <c r="AI545" s="2414"/>
      <c r="AJ545" s="2414"/>
      <c r="AK545" s="2414"/>
      <c r="AL545" s="2414"/>
      <c r="AM545" s="2414"/>
      <c r="AN545" s="2414"/>
      <c r="AO545" s="2414"/>
      <c r="AP545" s="2414"/>
      <c r="AQ545" s="2414"/>
      <c r="AR545" s="2414"/>
    </row>
    <row r="546" spans="1:44" ht="15.75">
      <c r="A546" s="2414"/>
      <c r="B546" s="2414"/>
      <c r="C546" s="2414"/>
      <c r="D546" s="2414"/>
      <c r="E546" s="2414"/>
      <c r="F546" s="2414"/>
      <c r="G546" s="2414"/>
      <c r="H546" s="2414"/>
      <c r="I546" s="2414"/>
      <c r="J546" s="2414"/>
      <c r="K546" s="2414"/>
      <c r="L546" s="2414"/>
      <c r="M546" s="2414"/>
      <c r="N546" s="2414"/>
      <c r="O546" s="2414"/>
      <c r="P546" s="2414"/>
      <c r="Q546" s="2414"/>
      <c r="R546" s="2414"/>
      <c r="S546" s="2414"/>
      <c r="T546" s="2414"/>
      <c r="U546" s="2414"/>
      <c r="V546" s="2414"/>
      <c r="W546" s="2414"/>
      <c r="X546" s="2414"/>
      <c r="Y546" s="2414"/>
      <c r="Z546" s="2414"/>
      <c r="AA546" s="2414"/>
      <c r="AB546" s="2414"/>
      <c r="AC546" s="2414"/>
      <c r="AD546" s="2414"/>
      <c r="AE546" s="2414"/>
      <c r="AF546" s="2414"/>
      <c r="AG546" s="2414"/>
      <c r="AH546" s="2414"/>
      <c r="AI546" s="2414"/>
      <c r="AJ546" s="2414"/>
      <c r="AK546" s="2414"/>
      <c r="AL546" s="2414"/>
      <c r="AM546" s="2414"/>
      <c r="AN546" s="2414"/>
      <c r="AO546" s="2414"/>
      <c r="AP546" s="2414"/>
      <c r="AQ546" s="2414"/>
      <c r="AR546" s="2414"/>
    </row>
    <row r="547" spans="1:44" ht="15.75">
      <c r="A547" s="2414"/>
      <c r="B547" s="2414"/>
      <c r="C547" s="2414"/>
      <c r="D547" s="2414"/>
      <c r="E547" s="2414"/>
      <c r="F547" s="2414"/>
      <c r="G547" s="2414"/>
      <c r="H547" s="2414"/>
      <c r="I547" s="2414"/>
      <c r="J547" s="2414"/>
      <c r="K547" s="2414"/>
      <c r="L547" s="2414"/>
      <c r="M547" s="2414"/>
      <c r="N547" s="2414"/>
      <c r="O547" s="2414"/>
      <c r="P547" s="2414"/>
      <c r="Q547" s="2414"/>
      <c r="R547" s="2414"/>
      <c r="S547" s="2414"/>
      <c r="T547" s="2414"/>
      <c r="U547" s="2414"/>
      <c r="V547" s="2414"/>
      <c r="W547" s="2414"/>
      <c r="X547" s="2414"/>
      <c r="Y547" s="2414"/>
      <c r="Z547" s="2414"/>
      <c r="AA547" s="2414"/>
      <c r="AB547" s="2414"/>
      <c r="AC547" s="2414"/>
      <c r="AD547" s="2414"/>
      <c r="AE547" s="2414"/>
      <c r="AF547" s="2414"/>
      <c r="AG547" s="2414"/>
      <c r="AH547" s="2414"/>
      <c r="AI547" s="2414"/>
      <c r="AJ547" s="2414"/>
      <c r="AK547" s="2414"/>
      <c r="AL547" s="2414"/>
      <c r="AM547" s="2414"/>
      <c r="AN547" s="2414"/>
      <c r="AO547" s="2414"/>
      <c r="AP547" s="2414"/>
      <c r="AQ547" s="2414"/>
      <c r="AR547" s="2414"/>
    </row>
    <row r="548" spans="1:44" ht="15.75">
      <c r="A548" s="2414"/>
      <c r="B548" s="2414"/>
      <c r="C548" s="2414"/>
      <c r="D548" s="2414"/>
      <c r="E548" s="2414"/>
      <c r="F548" s="2414"/>
      <c r="G548" s="2414"/>
      <c r="H548" s="2414"/>
      <c r="I548" s="2414"/>
      <c r="J548" s="2414"/>
      <c r="K548" s="2414"/>
      <c r="L548" s="2414"/>
      <c r="M548" s="2414"/>
      <c r="N548" s="2414"/>
      <c r="O548" s="2414"/>
      <c r="P548" s="2414"/>
      <c r="Q548" s="2414"/>
      <c r="R548" s="2414"/>
      <c r="S548" s="2414"/>
      <c r="T548" s="2414"/>
      <c r="U548" s="2414"/>
      <c r="V548" s="2414"/>
      <c r="W548" s="2414"/>
      <c r="X548" s="2414"/>
      <c r="Y548" s="2414"/>
      <c r="Z548" s="2414"/>
      <c r="AA548" s="2414"/>
      <c r="AB548" s="2414"/>
      <c r="AC548" s="2414"/>
      <c r="AD548" s="2414"/>
      <c r="AE548" s="2414"/>
      <c r="AF548" s="2414"/>
      <c r="AG548" s="2414"/>
      <c r="AH548" s="2414"/>
      <c r="AI548" s="2414"/>
      <c r="AJ548" s="2414"/>
      <c r="AK548" s="2414"/>
      <c r="AL548" s="2414"/>
      <c r="AM548" s="2414"/>
      <c r="AN548" s="2414"/>
      <c r="AO548" s="2414"/>
      <c r="AP548" s="2414"/>
      <c r="AQ548" s="2414"/>
      <c r="AR548" s="2414"/>
    </row>
    <row r="549" spans="1:44" ht="15.75">
      <c r="A549" s="2414"/>
      <c r="B549" s="2414"/>
      <c r="C549" s="2414"/>
      <c r="D549" s="2414"/>
      <c r="E549" s="2414"/>
      <c r="F549" s="2414"/>
      <c r="G549" s="2414"/>
      <c r="H549" s="2414"/>
      <c r="I549" s="2414"/>
      <c r="J549" s="2414"/>
      <c r="K549" s="2414"/>
      <c r="L549" s="2414"/>
      <c r="M549" s="2414"/>
      <c r="N549" s="2414"/>
      <c r="O549" s="2414"/>
      <c r="P549" s="2414"/>
      <c r="Q549" s="2414"/>
      <c r="R549" s="2414"/>
      <c r="S549" s="2414"/>
      <c r="T549" s="2414"/>
      <c r="U549" s="2414"/>
      <c r="V549" s="2414"/>
      <c r="W549" s="2414"/>
      <c r="X549" s="2414"/>
      <c r="Y549" s="2414"/>
      <c r="Z549" s="2414"/>
      <c r="AA549" s="2414"/>
      <c r="AB549" s="2414"/>
      <c r="AC549" s="2414"/>
      <c r="AD549" s="2414"/>
      <c r="AE549" s="2414"/>
      <c r="AF549" s="2414"/>
      <c r="AG549" s="2414"/>
      <c r="AH549" s="2414"/>
      <c r="AI549" s="2414"/>
      <c r="AJ549" s="2414"/>
      <c r="AK549" s="2414"/>
      <c r="AL549" s="2414"/>
      <c r="AM549" s="2414"/>
      <c r="AN549" s="2414"/>
      <c r="AO549" s="2414"/>
      <c r="AP549" s="2414"/>
      <c r="AQ549" s="2414"/>
      <c r="AR549" s="2414"/>
    </row>
    <row r="550" spans="1:44" ht="15.75">
      <c r="A550" s="2414"/>
      <c r="B550" s="2414"/>
      <c r="C550" s="2414"/>
      <c r="D550" s="2414"/>
      <c r="E550" s="2414"/>
      <c r="F550" s="2414"/>
      <c r="G550" s="2414"/>
      <c r="H550" s="2414"/>
      <c r="I550" s="2414"/>
      <c r="J550" s="2414"/>
      <c r="K550" s="2414"/>
      <c r="L550" s="2414"/>
      <c r="M550" s="2414"/>
      <c r="N550" s="2414"/>
      <c r="O550" s="2414"/>
      <c r="P550" s="2414"/>
      <c r="Q550" s="2414"/>
      <c r="R550" s="2414"/>
      <c r="S550" s="2414"/>
      <c r="T550" s="2414"/>
      <c r="U550" s="2414"/>
      <c r="V550" s="2414"/>
      <c r="W550" s="2414"/>
      <c r="X550" s="2414"/>
      <c r="Y550" s="2414"/>
      <c r="Z550" s="2414"/>
      <c r="AA550" s="2414"/>
      <c r="AB550" s="2414"/>
      <c r="AC550" s="2414"/>
      <c r="AD550" s="2414"/>
      <c r="AE550" s="2414"/>
      <c r="AF550" s="2414"/>
      <c r="AG550" s="2414"/>
      <c r="AH550" s="2414"/>
      <c r="AI550" s="2414"/>
      <c r="AJ550" s="2414"/>
      <c r="AK550" s="2414"/>
      <c r="AL550" s="2414"/>
      <c r="AM550" s="2414"/>
      <c r="AN550" s="2414"/>
      <c r="AO550" s="2414"/>
      <c r="AP550" s="2414"/>
      <c r="AQ550" s="2414"/>
      <c r="AR550" s="2414"/>
    </row>
    <row r="551" spans="1:44" ht="15.75">
      <c r="A551" s="2414"/>
      <c r="B551" s="2414"/>
      <c r="C551" s="2414"/>
      <c r="D551" s="2414"/>
      <c r="E551" s="2414"/>
      <c r="F551" s="2414"/>
      <c r="G551" s="2414"/>
      <c r="H551" s="2414"/>
      <c r="I551" s="2414"/>
      <c r="J551" s="2414"/>
      <c r="K551" s="2414"/>
      <c r="L551" s="2414"/>
      <c r="M551" s="2414"/>
      <c r="N551" s="2414"/>
      <c r="O551" s="2414"/>
      <c r="P551" s="2414"/>
      <c r="Q551" s="2414"/>
      <c r="R551" s="2414"/>
      <c r="S551" s="2414"/>
      <c r="T551" s="2414"/>
      <c r="U551" s="2414"/>
      <c r="V551" s="2414"/>
      <c r="W551" s="2414"/>
      <c r="X551" s="2414"/>
      <c r="Y551" s="2414"/>
      <c r="Z551" s="2414"/>
      <c r="AA551" s="2414"/>
      <c r="AB551" s="2414"/>
      <c r="AC551" s="2414"/>
      <c r="AD551" s="2414"/>
      <c r="AE551" s="2414"/>
      <c r="AF551" s="2414"/>
      <c r="AG551" s="2414"/>
      <c r="AH551" s="2414"/>
      <c r="AI551" s="2414"/>
      <c r="AJ551" s="2414"/>
      <c r="AK551" s="2414"/>
      <c r="AL551" s="2414"/>
      <c r="AM551" s="2414"/>
      <c r="AN551" s="2414"/>
      <c r="AO551" s="2414"/>
      <c r="AP551" s="2414"/>
      <c r="AQ551" s="2414"/>
      <c r="AR551" s="2414"/>
    </row>
    <row r="552" spans="1:44" ht="15.75">
      <c r="A552" s="2414"/>
      <c r="B552" s="2414"/>
      <c r="C552" s="2414"/>
      <c r="D552" s="2414"/>
      <c r="E552" s="2414"/>
      <c r="F552" s="2414"/>
      <c r="G552" s="2414"/>
      <c r="H552" s="2414"/>
      <c r="I552" s="2414"/>
      <c r="J552" s="2414"/>
      <c r="K552" s="2414"/>
      <c r="L552" s="2414"/>
      <c r="M552" s="2414"/>
      <c r="N552" s="2414"/>
      <c r="O552" s="2414"/>
      <c r="P552" s="2414"/>
      <c r="Q552" s="2414"/>
      <c r="R552" s="2414"/>
      <c r="S552" s="2414"/>
      <c r="T552" s="2414"/>
      <c r="U552" s="2414"/>
      <c r="V552" s="2414"/>
      <c r="W552" s="2414"/>
      <c r="X552" s="2414"/>
      <c r="Y552" s="2414"/>
      <c r="Z552" s="2414"/>
      <c r="AA552" s="2414"/>
      <c r="AB552" s="2414"/>
      <c r="AC552" s="2414"/>
      <c r="AD552" s="2414"/>
      <c r="AE552" s="2414"/>
      <c r="AF552" s="2414"/>
      <c r="AG552" s="2414"/>
      <c r="AH552" s="2414"/>
      <c r="AI552" s="2414"/>
      <c r="AJ552" s="2414"/>
      <c r="AK552" s="2414"/>
      <c r="AL552" s="2414"/>
      <c r="AM552" s="2414"/>
      <c r="AN552" s="2414"/>
      <c r="AO552" s="2414"/>
      <c r="AP552" s="2414"/>
      <c r="AQ552" s="2414"/>
      <c r="AR552" s="2414"/>
    </row>
  </sheetData>
  <phoneticPr fontId="39"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dimension ref="A2:X391"/>
  <sheetViews>
    <sheetView zoomScale="72" zoomScaleNormal="72" workbookViewId="0">
      <selection activeCell="Y1" sqref="Y1"/>
    </sheetView>
  </sheetViews>
  <sheetFormatPr defaultRowHeight="15" outlineLevelRow="1" outlineLevelCol="1"/>
  <cols>
    <col min="2" max="2" width="39.28515625" bestFit="1" customWidth="1"/>
    <col min="3" max="8" width="9.140625" hidden="1" customWidth="1" outlineLevel="1"/>
    <col min="9" max="9" width="9.140625" collapsed="1"/>
    <col min="14" max="14" width="9.140625" customWidth="1"/>
  </cols>
  <sheetData>
    <row r="2" spans="2:24">
      <c r="B2" s="23" t="s">
        <v>3020</v>
      </c>
      <c r="C2" s="23">
        <v>2006</v>
      </c>
      <c r="D2" s="23">
        <v>2006</v>
      </c>
      <c r="E2" s="23">
        <f>D2+1</f>
        <v>2007</v>
      </c>
      <c r="F2" s="23">
        <f t="shared" ref="F2:M2" si="0">E2+1</f>
        <v>2008</v>
      </c>
      <c r="G2" s="23">
        <f t="shared" si="0"/>
        <v>2009</v>
      </c>
      <c r="H2" s="23">
        <f t="shared" si="0"/>
        <v>2010</v>
      </c>
      <c r="I2" s="23">
        <f t="shared" si="0"/>
        <v>2011</v>
      </c>
      <c r="J2" s="23">
        <f t="shared" si="0"/>
        <v>2012</v>
      </c>
      <c r="K2" s="23">
        <f t="shared" si="0"/>
        <v>2013</v>
      </c>
      <c r="L2" s="23">
        <f t="shared" si="0"/>
        <v>2014</v>
      </c>
      <c r="M2" s="23">
        <f t="shared" si="0"/>
        <v>2015</v>
      </c>
      <c r="N2" s="23">
        <f t="shared" ref="N2:X2" si="1">M2+1</f>
        <v>2016</v>
      </c>
      <c r="O2" s="23">
        <f t="shared" si="1"/>
        <v>2017</v>
      </c>
      <c r="P2" s="23">
        <f t="shared" si="1"/>
        <v>2018</v>
      </c>
      <c r="Q2" s="23">
        <f t="shared" si="1"/>
        <v>2019</v>
      </c>
      <c r="R2" s="23">
        <f t="shared" si="1"/>
        <v>2020</v>
      </c>
      <c r="S2" s="23">
        <f t="shared" si="1"/>
        <v>2021</v>
      </c>
      <c r="T2" s="23">
        <f t="shared" si="1"/>
        <v>2022</v>
      </c>
      <c r="U2" s="23">
        <f t="shared" si="1"/>
        <v>2023</v>
      </c>
      <c r="V2" s="23">
        <f t="shared" si="1"/>
        <v>2024</v>
      </c>
      <c r="W2" s="23">
        <f t="shared" si="1"/>
        <v>2025</v>
      </c>
      <c r="X2" s="23">
        <f t="shared" si="1"/>
        <v>2026</v>
      </c>
    </row>
    <row r="3" spans="2:24">
      <c r="B3" s="2"/>
      <c r="C3" s="2"/>
      <c r="D3" s="2"/>
      <c r="E3" s="2"/>
      <c r="F3" s="2"/>
      <c r="G3" s="2"/>
      <c r="H3" s="2"/>
      <c r="I3" s="2"/>
      <c r="J3" s="2"/>
      <c r="K3" s="2"/>
      <c r="L3" s="2"/>
      <c r="M3" s="2"/>
      <c r="N3" s="2"/>
      <c r="O3" s="2"/>
      <c r="P3" s="2"/>
      <c r="Q3" s="2"/>
      <c r="R3" s="2"/>
      <c r="S3" s="2"/>
      <c r="T3" s="2"/>
      <c r="U3" s="2"/>
      <c r="V3" s="2"/>
      <c r="W3" s="2"/>
      <c r="X3" s="2"/>
    </row>
    <row r="4" spans="2:24">
      <c r="B4" t="s">
        <v>915</v>
      </c>
      <c r="C4" s="2"/>
      <c r="D4" s="2"/>
      <c r="E4" s="31">
        <f>Quarts!AL407*E$12</f>
        <v>80.826829391105136</v>
      </c>
      <c r="F4" s="31" t="e">
        <f>#REF!*AVERAGE(E58:F58)*12/1000</f>
        <v>#REF!</v>
      </c>
      <c r="G4" s="31" t="e">
        <f>#REF!*AVERAGE(F58:G58)*12/1000</f>
        <v>#REF!</v>
      </c>
      <c r="H4" s="31" t="e">
        <f>#REF!*AVERAGE(G58:H58)*12/1000</f>
        <v>#REF!</v>
      </c>
      <c r="I4" s="112">
        <v>120.6</v>
      </c>
      <c r="J4" s="112">
        <v>135</v>
      </c>
      <c r="K4" s="112">
        <v>153</v>
      </c>
      <c r="L4" s="112">
        <v>158</v>
      </c>
      <c r="M4" s="112">
        <v>171</v>
      </c>
      <c r="N4" s="31">
        <f>N12-N6-N8-N10</f>
        <v>171.19999999999996</v>
      </c>
      <c r="O4" s="31">
        <f t="shared" ref="O4:X4" si="2">(1+O5)*N4</f>
        <v>179.75999999999996</v>
      </c>
      <c r="P4" s="31">
        <f t="shared" si="2"/>
        <v>212.11679999999996</v>
      </c>
      <c r="Q4" s="31">
        <f t="shared" si="2"/>
        <v>250.29782399999993</v>
      </c>
      <c r="R4" s="31">
        <f t="shared" si="2"/>
        <v>295.3514323199999</v>
      </c>
      <c r="S4" s="31">
        <f t="shared" si="2"/>
        <v>336.70063284479994</v>
      </c>
      <c r="T4" s="31">
        <f t="shared" si="2"/>
        <v>370.37069612927996</v>
      </c>
      <c r="U4" s="31">
        <f t="shared" si="2"/>
        <v>400.00035181962238</v>
      </c>
      <c r="V4" s="31">
        <f t="shared" si="2"/>
        <v>420.00036941060353</v>
      </c>
      <c r="W4" s="31">
        <f t="shared" si="2"/>
        <v>441.00038788113375</v>
      </c>
      <c r="X4" s="31">
        <f t="shared" si="2"/>
        <v>463.05040727519048</v>
      </c>
    </row>
    <row r="5" spans="2:24">
      <c r="B5" t="s">
        <v>2353</v>
      </c>
      <c r="C5" s="2"/>
      <c r="D5" s="2"/>
      <c r="E5" s="31"/>
      <c r="F5" s="36" t="e">
        <f>F4/E4-1</f>
        <v>#REF!</v>
      </c>
      <c r="G5" s="36" t="e">
        <f>G4/F4-1</f>
        <v>#REF!</v>
      </c>
      <c r="H5" s="36" t="e">
        <f>H4/G4-1</f>
        <v>#REF!</v>
      </c>
      <c r="I5" s="36"/>
      <c r="J5" s="36">
        <f>J4/I4-1</f>
        <v>0.11940298507462699</v>
      </c>
      <c r="K5" s="36">
        <f>K4/J4-1</f>
        <v>0.1333333333333333</v>
      </c>
      <c r="L5" s="36">
        <f>L4/K4-1</f>
        <v>3.2679738562091609E-2</v>
      </c>
      <c r="M5" s="36">
        <f>M4/L4-1</f>
        <v>8.2278481012658222E-2</v>
      </c>
      <c r="N5" s="36">
        <f>N4/M4-1</f>
        <v>1.1695906432747094E-3</v>
      </c>
      <c r="O5" s="73">
        <v>0.05</v>
      </c>
      <c r="P5" s="73">
        <v>0.18</v>
      </c>
      <c r="Q5" s="73">
        <v>0.18</v>
      </c>
      <c r="R5" s="73">
        <v>0.18</v>
      </c>
      <c r="S5" s="73">
        <v>0.14000000000000001</v>
      </c>
      <c r="T5" s="73">
        <v>0.1</v>
      </c>
      <c r="U5" s="73">
        <v>0.08</v>
      </c>
      <c r="V5" s="73">
        <v>0.05</v>
      </c>
      <c r="W5" s="73">
        <v>0.05</v>
      </c>
      <c r="X5" s="73">
        <v>0.05</v>
      </c>
    </row>
    <row r="6" spans="2:24">
      <c r="B6" t="s">
        <v>1579</v>
      </c>
      <c r="C6" s="2"/>
      <c r="D6" s="2"/>
      <c r="E6" s="31">
        <f>Quarts!AL408*E$12</f>
        <v>44.190369339996735</v>
      </c>
      <c r="F6" s="31" t="e">
        <f>#REF!*AVERAGE(E60:F60)*12/1000</f>
        <v>#REF!</v>
      </c>
      <c r="G6" s="31" t="e">
        <f>#REF!*AVERAGE(F60:G60)*12/1000</f>
        <v>#REF!</v>
      </c>
      <c r="H6" s="31" t="e">
        <f>#REF!*AVERAGE(G60:H60)*12/1000</f>
        <v>#REF!</v>
      </c>
      <c r="I6" s="112">
        <v>71.5</v>
      </c>
      <c r="J6" s="112">
        <v>88.4</v>
      </c>
      <c r="K6" s="112">
        <v>166</v>
      </c>
      <c r="L6" s="112">
        <v>175</v>
      </c>
      <c r="M6" s="112">
        <v>212</v>
      </c>
      <c r="N6" s="31">
        <f t="shared" ref="N6:X6" si="3">(1+N7)*M6</f>
        <v>237.44000000000003</v>
      </c>
      <c r="O6" s="31">
        <f t="shared" si="3"/>
        <v>254.06080000000003</v>
      </c>
      <c r="P6" s="31">
        <f t="shared" si="3"/>
        <v>292.16991999999999</v>
      </c>
      <c r="Q6" s="31">
        <f t="shared" si="3"/>
        <v>335.99540799999994</v>
      </c>
      <c r="R6" s="31">
        <f t="shared" si="3"/>
        <v>386.39471919999988</v>
      </c>
      <c r="S6" s="31">
        <f t="shared" si="3"/>
        <v>432.76208550399991</v>
      </c>
      <c r="T6" s="31">
        <f t="shared" si="3"/>
        <v>476.03829405439996</v>
      </c>
      <c r="U6" s="31">
        <f t="shared" si="3"/>
        <v>504.60059169766396</v>
      </c>
      <c r="V6" s="31">
        <f t="shared" si="3"/>
        <v>529.83062128254721</v>
      </c>
      <c r="W6" s="31">
        <f t="shared" si="3"/>
        <v>556.32215234667456</v>
      </c>
      <c r="X6" s="31">
        <f t="shared" si="3"/>
        <v>584.13825996400828</v>
      </c>
    </row>
    <row r="7" spans="2:24">
      <c r="B7" t="s">
        <v>2353</v>
      </c>
      <c r="C7" s="2"/>
      <c r="D7" s="2"/>
      <c r="E7" s="31"/>
      <c r="F7" s="36" t="e">
        <f>F6/E6-1</f>
        <v>#REF!</v>
      </c>
      <c r="G7" s="36" t="e">
        <f>G6/F6-1</f>
        <v>#REF!</v>
      </c>
      <c r="H7" s="36" t="e">
        <f>H6/G6-1</f>
        <v>#REF!</v>
      </c>
      <c r="I7" s="36"/>
      <c r="J7" s="36">
        <f>J6/I6-1</f>
        <v>0.23636363636363655</v>
      </c>
      <c r="K7" s="36">
        <f>K6/J6-1</f>
        <v>0.87782805429864252</v>
      </c>
      <c r="L7" s="36">
        <f>L6/K6-1</f>
        <v>5.4216867469879526E-2</v>
      </c>
      <c r="M7" s="36">
        <f>M6/L6-1</f>
        <v>0.21142857142857152</v>
      </c>
      <c r="N7" s="73">
        <v>0.12</v>
      </c>
      <c r="O7" s="73">
        <v>7.0000000000000007E-2</v>
      </c>
      <c r="P7" s="73">
        <v>0.15</v>
      </c>
      <c r="Q7" s="73">
        <v>0.15</v>
      </c>
      <c r="R7" s="73">
        <v>0.15</v>
      </c>
      <c r="S7" s="73">
        <v>0.12</v>
      </c>
      <c r="T7" s="73">
        <v>0.1</v>
      </c>
      <c r="U7" s="73">
        <v>0.06</v>
      </c>
      <c r="V7" s="73">
        <v>0.05</v>
      </c>
      <c r="W7" s="73">
        <v>0.05</v>
      </c>
      <c r="X7" s="73">
        <v>0.05</v>
      </c>
    </row>
    <row r="8" spans="2:24">
      <c r="B8" t="s">
        <v>1580</v>
      </c>
      <c r="C8" s="2"/>
      <c r="D8" s="2"/>
      <c r="E8" s="31">
        <f>Quarts!AL409*E$12</f>
        <v>6.0413288812799761</v>
      </c>
      <c r="F8" s="31">
        <f>(1+F9)*E8</f>
        <v>6.343395325343975</v>
      </c>
      <c r="G8" s="31">
        <f>(1+G9)*F8</f>
        <v>6.5971311383577342</v>
      </c>
      <c r="H8" s="31">
        <f>(1+H9)*G8</f>
        <v>6.8610163838920437</v>
      </c>
      <c r="I8" s="112">
        <v>4.4000000000000004</v>
      </c>
      <c r="J8" s="112">
        <v>18.2</v>
      </c>
      <c r="K8" s="112">
        <v>24</v>
      </c>
      <c r="L8" s="112">
        <v>26</v>
      </c>
      <c r="M8" s="112">
        <v>28</v>
      </c>
      <c r="N8" s="31">
        <f t="shared" ref="N8:X8" si="4">(1+N9)*M8</f>
        <v>31.360000000000003</v>
      </c>
      <c r="O8" s="31">
        <f t="shared" si="4"/>
        <v>32.928000000000004</v>
      </c>
      <c r="P8" s="31">
        <f t="shared" si="4"/>
        <v>34.574400000000004</v>
      </c>
      <c r="Q8" s="31">
        <f t="shared" si="4"/>
        <v>36.303120000000007</v>
      </c>
      <c r="R8" s="31">
        <f t="shared" si="4"/>
        <v>38.118276000000009</v>
      </c>
      <c r="S8" s="31">
        <f t="shared" si="4"/>
        <v>40.024189800000009</v>
      </c>
      <c r="T8" s="31">
        <f t="shared" si="4"/>
        <v>42.02539929000001</v>
      </c>
      <c r="U8" s="31">
        <f t="shared" si="4"/>
        <v>44.126669254500015</v>
      </c>
      <c r="V8" s="31">
        <f t="shared" si="4"/>
        <v>46.333002717225021</v>
      </c>
      <c r="W8" s="31">
        <f t="shared" si="4"/>
        <v>48.649652853086273</v>
      </c>
      <c r="X8" s="31">
        <f t="shared" si="4"/>
        <v>51.082135495740587</v>
      </c>
    </row>
    <row r="9" spans="2:24">
      <c r="B9" t="s">
        <v>2353</v>
      </c>
      <c r="C9" s="2"/>
      <c r="D9" s="2"/>
      <c r="E9" s="31"/>
      <c r="F9" s="73">
        <v>0.05</v>
      </c>
      <c r="G9" s="73">
        <v>0.04</v>
      </c>
      <c r="H9" s="73">
        <v>0.04</v>
      </c>
      <c r="I9" s="36"/>
      <c r="J9" s="36">
        <f>J8/I8-1</f>
        <v>3.1363636363636358</v>
      </c>
      <c r="K9" s="36">
        <f>K8/J8-1</f>
        <v>0.31868131868131866</v>
      </c>
      <c r="L9" s="36">
        <f>L8/K8-1</f>
        <v>8.3333333333333259E-2</v>
      </c>
      <c r="M9" s="36">
        <f>M8/L8-1</f>
        <v>7.6923076923076872E-2</v>
      </c>
      <c r="N9" s="73">
        <v>0.12</v>
      </c>
      <c r="O9" s="73">
        <v>0.05</v>
      </c>
      <c r="P9" s="73">
        <v>0.05</v>
      </c>
      <c r="Q9" s="73">
        <v>0.05</v>
      </c>
      <c r="R9" s="73">
        <v>0.05</v>
      </c>
      <c r="S9" s="73">
        <v>0.05</v>
      </c>
      <c r="T9" s="73">
        <v>0.05</v>
      </c>
      <c r="U9" s="73">
        <v>0.05</v>
      </c>
      <c r="V9" s="73">
        <v>0.05</v>
      </c>
      <c r="W9" s="73">
        <v>0.05</v>
      </c>
      <c r="X9" s="73">
        <v>0.05</v>
      </c>
    </row>
    <row r="10" spans="2:24">
      <c r="B10" s="21" t="s">
        <v>1540</v>
      </c>
      <c r="C10" s="2"/>
      <c r="D10" s="2"/>
      <c r="E10" s="31">
        <f>Quarts!AL411*E$12</f>
        <v>6.1888099673963675</v>
      </c>
      <c r="F10" s="31">
        <f>(1+F11)*E10</f>
        <v>8.0454529576152787</v>
      </c>
      <c r="G10" s="31" t="e">
        <f>G12-G4-G6-G8</f>
        <v>#REF!</v>
      </c>
      <c r="H10" s="31" t="e">
        <f>H12-H4-H6-H8</f>
        <v>#REF!</v>
      </c>
      <c r="I10" s="112">
        <v>51.5</v>
      </c>
      <c r="J10" s="112">
        <v>56.9</v>
      </c>
      <c r="K10" s="112">
        <v>2</v>
      </c>
      <c r="L10" s="112">
        <v>5</v>
      </c>
      <c r="M10" s="112">
        <v>36</v>
      </c>
      <c r="N10" s="31">
        <f t="shared" ref="N10:X10" si="5">(1+N11)*M10</f>
        <v>37.800000000000004</v>
      </c>
      <c r="O10" s="31">
        <f t="shared" si="5"/>
        <v>39.690000000000005</v>
      </c>
      <c r="P10" s="31">
        <f t="shared" si="5"/>
        <v>41.674500000000009</v>
      </c>
      <c r="Q10" s="31">
        <f t="shared" si="5"/>
        <v>43.75822500000001</v>
      </c>
      <c r="R10" s="31">
        <f t="shared" si="5"/>
        <v>45.946136250000009</v>
      </c>
      <c r="S10" s="31">
        <f t="shared" si="5"/>
        <v>48.243443062500013</v>
      </c>
      <c r="T10" s="31">
        <f t="shared" si="5"/>
        <v>50.655615215625019</v>
      </c>
      <c r="U10" s="31">
        <f t="shared" si="5"/>
        <v>53.188395976406269</v>
      </c>
      <c r="V10" s="31">
        <f t="shared" si="5"/>
        <v>55.847815775226586</v>
      </c>
      <c r="W10" s="31">
        <f t="shared" si="5"/>
        <v>58.640206563987917</v>
      </c>
      <c r="X10" s="31">
        <f t="shared" si="5"/>
        <v>61.572216892187313</v>
      </c>
    </row>
    <row r="11" spans="2:24">
      <c r="B11" s="11" t="s">
        <v>2353</v>
      </c>
      <c r="C11" s="23"/>
      <c r="D11" s="23"/>
      <c r="E11" s="93"/>
      <c r="F11" s="307">
        <v>0.3</v>
      </c>
      <c r="G11" s="307">
        <v>0.1</v>
      </c>
      <c r="H11" s="307">
        <v>0.04</v>
      </c>
      <c r="I11" s="136"/>
      <c r="J11" s="136">
        <f>J10/I10-1</f>
        <v>0.1048543689320387</v>
      </c>
      <c r="K11" s="136">
        <f>K10/J10-1</f>
        <v>-0.96485061511423553</v>
      </c>
      <c r="L11" s="136">
        <f>L10/K10-1</f>
        <v>1.5</v>
      </c>
      <c r="M11" s="136">
        <f>M10/L10-1</f>
        <v>6.2</v>
      </c>
      <c r="N11" s="307">
        <v>0.05</v>
      </c>
      <c r="O11" s="307">
        <v>0.05</v>
      </c>
      <c r="P11" s="307">
        <v>0.05</v>
      </c>
      <c r="Q11" s="307">
        <v>0.05</v>
      </c>
      <c r="R11" s="307">
        <v>0.05</v>
      </c>
      <c r="S11" s="307">
        <v>0.05</v>
      </c>
      <c r="T11" s="307">
        <v>0.05</v>
      </c>
      <c r="U11" s="307">
        <v>0.05</v>
      </c>
      <c r="V11" s="307">
        <v>0.05</v>
      </c>
      <c r="W11" s="307">
        <v>0.05</v>
      </c>
      <c r="X11" s="307">
        <v>0.05</v>
      </c>
    </row>
    <row r="12" spans="2:24">
      <c r="B12" s="2" t="s">
        <v>1828</v>
      </c>
      <c r="C12" s="181">
        <v>80.293999999999997</v>
      </c>
      <c r="D12" s="181">
        <v>121.259</v>
      </c>
      <c r="E12" s="181">
        <v>142.875</v>
      </c>
      <c r="F12" s="10" t="e">
        <f>F4+F6+F8+F10</f>
        <v>#REF!</v>
      </c>
      <c r="G12" s="181">
        <v>199</v>
      </c>
      <c r="H12" s="181">
        <f>SUM(Quarts!AM218:AP218)</f>
        <v>225.45600000000002</v>
      </c>
      <c r="I12" s="10">
        <f>I4+I6+I8+I10</f>
        <v>248</v>
      </c>
      <c r="J12" s="10">
        <f>J4+J6+J8+J10</f>
        <v>298.5</v>
      </c>
      <c r="K12" s="10">
        <f t="shared" ref="K12:P12" si="6">K4+K6+K8+K10</f>
        <v>345</v>
      </c>
      <c r="L12" s="10">
        <f t="shared" si="6"/>
        <v>364</v>
      </c>
      <c r="M12" s="10">
        <f t="shared" si="6"/>
        <v>447</v>
      </c>
      <c r="N12" s="938">
        <v>477.8</v>
      </c>
      <c r="O12" s="10">
        <f t="shared" si="6"/>
        <v>506.43879999999996</v>
      </c>
      <c r="P12" s="10">
        <f t="shared" si="6"/>
        <v>580.53561999999988</v>
      </c>
      <c r="Q12" s="10">
        <f t="shared" ref="Q12:W12" si="7">Q4+Q6+Q8+Q10</f>
        <v>666.35457699999995</v>
      </c>
      <c r="R12" s="10">
        <f t="shared" si="7"/>
        <v>765.81056376999982</v>
      </c>
      <c r="S12" s="10">
        <f t="shared" si="7"/>
        <v>857.73035121129988</v>
      </c>
      <c r="T12" s="10">
        <f t="shared" si="7"/>
        <v>939.09000468930492</v>
      </c>
      <c r="U12" s="10">
        <f t="shared" si="7"/>
        <v>1001.9160087481927</v>
      </c>
      <c r="V12" s="10">
        <f t="shared" si="7"/>
        <v>1052.0118091856023</v>
      </c>
      <c r="W12" s="10">
        <f t="shared" si="7"/>
        <v>1104.6123996448825</v>
      </c>
      <c r="X12" s="10">
        <f t="shared" ref="X12" si="8">X4+X6+X8+X10</f>
        <v>1159.8430196271268</v>
      </c>
    </row>
    <row r="13" spans="2:24">
      <c r="B13" s="4" t="s">
        <v>2353</v>
      </c>
      <c r="C13" s="10"/>
      <c r="D13" s="36">
        <f>D12/C12-1</f>
        <v>0.51018756071437465</v>
      </c>
      <c r="E13" s="36">
        <f t="shared" ref="E13:X13" si="9">E12/D12-1</f>
        <v>0.17826305676279697</v>
      </c>
      <c r="F13" s="36" t="e">
        <f t="shared" si="9"/>
        <v>#REF!</v>
      </c>
      <c r="G13" s="36" t="e">
        <f t="shared" si="9"/>
        <v>#REF!</v>
      </c>
      <c r="H13" s="36">
        <f t="shared" si="9"/>
        <v>0.13294472361809051</v>
      </c>
      <c r="I13" s="36">
        <f t="shared" si="9"/>
        <v>9.9992903271591604E-2</v>
      </c>
      <c r="J13" s="36">
        <f t="shared" si="9"/>
        <v>0.2036290322580645</v>
      </c>
      <c r="K13" s="36">
        <f t="shared" si="9"/>
        <v>0.15577889447236171</v>
      </c>
      <c r="L13" s="36">
        <f t="shared" si="9"/>
        <v>5.507246376811592E-2</v>
      </c>
      <c r="M13" s="36">
        <f t="shared" si="9"/>
        <v>0.2280219780219781</v>
      </c>
      <c r="N13" s="36">
        <f t="shared" si="9"/>
        <v>6.890380313199107E-2</v>
      </c>
      <c r="O13" s="36">
        <f t="shared" si="9"/>
        <v>5.9938886563415616E-2</v>
      </c>
      <c r="P13" s="36">
        <f t="shared" si="9"/>
        <v>0.14630952446771439</v>
      </c>
      <c r="Q13" s="36">
        <f t="shared" si="9"/>
        <v>0.14782720309220654</v>
      </c>
      <c r="R13" s="36">
        <f t="shared" si="9"/>
        <v>0.14925385103192568</v>
      </c>
      <c r="S13" s="36">
        <f t="shared" si="9"/>
        <v>0.12002940647461058</v>
      </c>
      <c r="T13" s="36">
        <f t="shared" si="9"/>
        <v>9.4854581469698163E-2</v>
      </c>
      <c r="U13" s="36">
        <f t="shared" si="9"/>
        <v>6.6900940000605758E-2</v>
      </c>
      <c r="V13" s="36">
        <f t="shared" si="9"/>
        <v>5.0000000000000044E-2</v>
      </c>
      <c r="W13" s="36">
        <f t="shared" si="9"/>
        <v>5.0000000000000266E-2</v>
      </c>
      <c r="X13" s="36">
        <f t="shared" si="9"/>
        <v>5.0000000000000044E-2</v>
      </c>
    </row>
    <row r="15" spans="2:24">
      <c r="B15" s="23" t="s">
        <v>1697</v>
      </c>
      <c r="C15" s="23">
        <v>2006</v>
      </c>
      <c r="D15" s="23">
        <v>2006</v>
      </c>
      <c r="E15" s="23">
        <f t="shared" ref="E15:X15" si="10">D15+1</f>
        <v>2007</v>
      </c>
      <c r="F15" s="23">
        <f t="shared" si="10"/>
        <v>2008</v>
      </c>
      <c r="G15" s="23">
        <f t="shared" si="10"/>
        <v>2009</v>
      </c>
      <c r="H15" s="23">
        <f t="shared" si="10"/>
        <v>2010</v>
      </c>
      <c r="I15" s="23">
        <f t="shared" si="10"/>
        <v>2011</v>
      </c>
      <c r="J15" s="23">
        <f t="shared" si="10"/>
        <v>2012</v>
      </c>
      <c r="K15" s="23">
        <f t="shared" si="10"/>
        <v>2013</v>
      </c>
      <c r="L15" s="23">
        <f t="shared" si="10"/>
        <v>2014</v>
      </c>
      <c r="M15" s="23">
        <f t="shared" si="10"/>
        <v>2015</v>
      </c>
      <c r="N15" s="23">
        <f t="shared" si="10"/>
        <v>2016</v>
      </c>
      <c r="O15" s="23">
        <f t="shared" si="10"/>
        <v>2017</v>
      </c>
      <c r="P15" s="23">
        <f t="shared" si="10"/>
        <v>2018</v>
      </c>
      <c r="Q15" s="23">
        <f t="shared" si="10"/>
        <v>2019</v>
      </c>
      <c r="R15" s="23">
        <f t="shared" si="10"/>
        <v>2020</v>
      </c>
      <c r="S15" s="23">
        <f t="shared" si="10"/>
        <v>2021</v>
      </c>
      <c r="T15" s="23">
        <f t="shared" si="10"/>
        <v>2022</v>
      </c>
      <c r="U15" s="23">
        <f t="shared" si="10"/>
        <v>2023</v>
      </c>
      <c r="V15" s="23">
        <f t="shared" si="10"/>
        <v>2024</v>
      </c>
      <c r="W15" s="23">
        <f t="shared" si="10"/>
        <v>2025</v>
      </c>
      <c r="X15" s="23">
        <f t="shared" si="10"/>
        <v>2026</v>
      </c>
    </row>
    <row r="16" spans="2:24">
      <c r="B16" s="2"/>
      <c r="C16" s="2"/>
      <c r="D16" s="2"/>
      <c r="E16" s="2"/>
      <c r="F16" s="2"/>
      <c r="G16" s="2"/>
      <c r="H16" s="2"/>
      <c r="I16" s="2"/>
      <c r="J16" s="2"/>
      <c r="K16" s="2"/>
      <c r="L16" s="2"/>
      <c r="M16" s="2"/>
      <c r="N16" s="2"/>
      <c r="O16" s="2"/>
      <c r="P16" s="2"/>
      <c r="Q16" s="2"/>
      <c r="R16" s="2"/>
      <c r="S16" s="2"/>
      <c r="T16" s="2"/>
      <c r="U16" s="2"/>
      <c r="V16" s="2"/>
      <c r="W16" s="2"/>
      <c r="X16" s="2"/>
    </row>
    <row r="17" spans="2:24">
      <c r="B17" t="s">
        <v>915</v>
      </c>
      <c r="C17" s="2"/>
      <c r="D17" s="2"/>
      <c r="E17" s="31">
        <f>Quarts!AL420*E$12</f>
        <v>0</v>
      </c>
      <c r="F17" s="31" t="e">
        <f>#REF!*AVERAGE(E112:F112)*12/1000</f>
        <v>#REF!</v>
      </c>
      <c r="G17" s="31" t="e">
        <f>#REF!*AVERAGE(F112:G112)*12/1000</f>
        <v>#REF!</v>
      </c>
      <c r="H17" s="31" t="e">
        <f>#REF!*AVERAGE(G112:H112)*12/1000</f>
        <v>#REF!</v>
      </c>
      <c r="I17" s="112">
        <v>0</v>
      </c>
      <c r="J17" s="112">
        <v>13.5</v>
      </c>
      <c r="K17" s="112">
        <v>71</v>
      </c>
      <c r="L17" s="112">
        <v>65</v>
      </c>
      <c r="M17" s="31"/>
      <c r="N17" s="31"/>
      <c r="O17" s="31"/>
      <c r="P17" s="31"/>
      <c r="Q17" s="31"/>
      <c r="R17" s="31"/>
      <c r="S17" s="31"/>
      <c r="T17" s="31"/>
      <c r="U17" s="31"/>
      <c r="V17" s="31"/>
      <c r="W17" s="31"/>
      <c r="X17" s="31"/>
    </row>
    <row r="18" spans="2:24">
      <c r="B18" t="s">
        <v>2353</v>
      </c>
      <c r="C18" s="2"/>
      <c r="D18" s="2"/>
      <c r="E18" s="31"/>
      <c r="F18" s="36" t="e">
        <f>F17/E17-1</f>
        <v>#REF!</v>
      </c>
      <c r="G18" s="36" t="e">
        <f>G17/F17-1</f>
        <v>#REF!</v>
      </c>
      <c r="H18" s="36" t="e">
        <f>H17/G17-1</f>
        <v>#REF!</v>
      </c>
      <c r="I18" s="36"/>
      <c r="J18" s="36"/>
      <c r="K18" s="36">
        <f>K17/J17-1</f>
        <v>4.2592592592592595</v>
      </c>
      <c r="L18" s="36">
        <f>L17/K17-1</f>
        <v>-8.4507042253521125E-2</v>
      </c>
      <c r="M18" s="16"/>
      <c r="N18" s="16"/>
      <c r="O18" s="16"/>
      <c r="P18" s="16"/>
      <c r="Q18" s="16"/>
      <c r="R18" s="16"/>
      <c r="S18" s="16"/>
      <c r="T18" s="16"/>
      <c r="U18" s="16"/>
      <c r="V18" s="16"/>
      <c r="W18" s="16"/>
      <c r="X18" s="16"/>
    </row>
    <row r="19" spans="2:24">
      <c r="B19" t="s">
        <v>1579</v>
      </c>
      <c r="C19" s="2"/>
      <c r="D19" s="2"/>
      <c r="E19" s="31">
        <f>Quarts!AL421*E$12</f>
        <v>0</v>
      </c>
      <c r="F19" s="31" t="e">
        <f>#REF!*AVERAGE(E114:F114)*12/1000</f>
        <v>#REF!</v>
      </c>
      <c r="G19" s="31" t="e">
        <f>#REF!*AVERAGE(F114:G114)*12/1000</f>
        <v>#REF!</v>
      </c>
      <c r="H19" s="31" t="e">
        <f>#REF!*AVERAGE(G114:H114)*12/1000</f>
        <v>#REF!</v>
      </c>
      <c r="I19" s="112">
        <v>25.5</v>
      </c>
      <c r="J19" s="112">
        <v>28.9</v>
      </c>
      <c r="K19" s="112">
        <v>42</v>
      </c>
      <c r="L19" s="112">
        <v>40</v>
      </c>
      <c r="M19" s="31"/>
      <c r="N19" s="31"/>
      <c r="O19" s="31"/>
      <c r="P19" s="31"/>
      <c r="Q19" s="31"/>
      <c r="R19" s="31"/>
      <c r="S19" s="31"/>
      <c r="T19" s="31"/>
      <c r="U19" s="31"/>
      <c r="V19" s="31"/>
      <c r="W19" s="31"/>
      <c r="X19" s="31"/>
    </row>
    <row r="20" spans="2:24">
      <c r="B20" t="s">
        <v>2353</v>
      </c>
      <c r="C20" s="2"/>
      <c r="D20" s="2"/>
      <c r="E20" s="31"/>
      <c r="F20" s="36" t="e">
        <f>F19/E19-1</f>
        <v>#REF!</v>
      </c>
      <c r="G20" s="36" t="e">
        <f>G19/F19-1</f>
        <v>#REF!</v>
      </c>
      <c r="H20" s="36" t="e">
        <f>H19/G19-1</f>
        <v>#REF!</v>
      </c>
      <c r="I20" s="36"/>
      <c r="J20" s="36">
        <f>J19/I19-1</f>
        <v>0.1333333333333333</v>
      </c>
      <c r="K20" s="36">
        <f>K19/J19-1</f>
        <v>0.45328719723183397</v>
      </c>
      <c r="L20" s="36">
        <f>L19/K19-1</f>
        <v>-4.7619047619047672E-2</v>
      </c>
      <c r="M20" s="16"/>
      <c r="N20" s="16"/>
      <c r="O20" s="16"/>
      <c r="P20" s="16"/>
      <c r="Q20" s="16"/>
      <c r="R20" s="16"/>
      <c r="S20" s="16"/>
      <c r="T20" s="16"/>
      <c r="U20" s="16"/>
      <c r="V20" s="16"/>
      <c r="W20" s="16"/>
      <c r="X20" s="16"/>
    </row>
    <row r="21" spans="2:24">
      <c r="B21" t="s">
        <v>1580</v>
      </c>
      <c r="C21" s="2"/>
      <c r="D21" s="2"/>
      <c r="E21" s="31">
        <f>Quarts!AL422*E$12</f>
        <v>0</v>
      </c>
      <c r="F21" s="31">
        <f>(1+F22)*E21</f>
        <v>0</v>
      </c>
      <c r="G21" s="31">
        <f>(1+G22)*F21</f>
        <v>0</v>
      </c>
      <c r="H21" s="31">
        <f>(1+H22)*G21</f>
        <v>0</v>
      </c>
      <c r="I21" s="112">
        <v>0</v>
      </c>
      <c r="J21" s="112">
        <v>0</v>
      </c>
      <c r="K21" s="112">
        <v>2.1000000000000001E-2</v>
      </c>
      <c r="L21" s="112">
        <f>K21</f>
        <v>2.1000000000000001E-2</v>
      </c>
      <c r="M21" s="31"/>
      <c r="N21" s="31"/>
      <c r="O21" s="31"/>
      <c r="P21" s="31"/>
      <c r="Q21" s="31"/>
      <c r="R21" s="31"/>
      <c r="S21" s="31"/>
      <c r="T21" s="31"/>
      <c r="U21" s="31"/>
      <c r="V21" s="31"/>
      <c r="W21" s="31"/>
      <c r="X21" s="31"/>
    </row>
    <row r="22" spans="2:24">
      <c r="B22" t="s">
        <v>2353</v>
      </c>
      <c r="C22" s="2"/>
      <c r="D22" s="2"/>
      <c r="E22" s="31"/>
      <c r="F22" s="73">
        <v>0.05</v>
      </c>
      <c r="G22" s="73">
        <v>0.04</v>
      </c>
      <c r="H22" s="73">
        <v>0.04</v>
      </c>
      <c r="I22" s="36"/>
      <c r="J22" s="36"/>
      <c r="K22" s="36"/>
      <c r="L22" s="36"/>
      <c r="M22" s="16"/>
      <c r="N22" s="16"/>
      <c r="O22" s="16"/>
      <c r="P22" s="16"/>
      <c r="Q22" s="16"/>
      <c r="R22" s="16"/>
      <c r="S22" s="16"/>
      <c r="T22" s="16"/>
      <c r="U22" s="16"/>
      <c r="V22" s="16"/>
      <c r="W22" s="16"/>
      <c r="X22" s="16"/>
    </row>
    <row r="23" spans="2:24">
      <c r="B23" s="21" t="s">
        <v>1540</v>
      </c>
      <c r="C23" s="2"/>
      <c r="D23" s="2"/>
      <c r="E23" s="31">
        <f>Quarts!AL424*E$12</f>
        <v>0</v>
      </c>
      <c r="F23" s="31">
        <f>(1+F24)*E23</f>
        <v>0</v>
      </c>
      <c r="G23" s="31" t="e">
        <f>G25-G17-G19-G21</f>
        <v>#REF!</v>
      </c>
      <c r="H23" s="31" t="e">
        <f>H25-H17-H19-H21</f>
        <v>#REF!</v>
      </c>
      <c r="I23" s="112">
        <v>6</v>
      </c>
      <c r="J23" s="112">
        <v>11.3</v>
      </c>
      <c r="K23" s="112">
        <v>1</v>
      </c>
      <c r="L23" s="88">
        <f>L25-L17-L19-L21</f>
        <v>2.9790000000000001</v>
      </c>
      <c r="M23" s="88"/>
      <c r="N23" s="31"/>
      <c r="O23" s="31"/>
      <c r="P23" s="31"/>
      <c r="Q23" s="31"/>
      <c r="R23" s="31"/>
      <c r="S23" s="31"/>
      <c r="T23" s="31"/>
      <c r="U23" s="31"/>
      <c r="V23" s="31"/>
      <c r="W23" s="31"/>
      <c r="X23" s="31"/>
    </row>
    <row r="24" spans="2:24">
      <c r="B24" s="11" t="s">
        <v>2353</v>
      </c>
      <c r="C24" s="23"/>
      <c r="D24" s="23"/>
      <c r="E24" s="93"/>
      <c r="F24" s="307">
        <v>0.3</v>
      </c>
      <c r="G24" s="307">
        <v>0.1</v>
      </c>
      <c r="H24" s="307">
        <v>0.04</v>
      </c>
      <c r="I24" s="136"/>
      <c r="J24" s="136">
        <f>J23/I23-1</f>
        <v>0.88333333333333353</v>
      </c>
      <c r="K24" s="136">
        <f>K23/J23-1</f>
        <v>-0.91150442477876104</v>
      </c>
      <c r="L24" s="136">
        <f>L23/K23-1</f>
        <v>1.9790000000000001</v>
      </c>
      <c r="M24" s="20"/>
      <c r="N24" s="20"/>
      <c r="O24" s="20"/>
      <c r="P24" s="20"/>
      <c r="Q24" s="20"/>
      <c r="R24" s="20"/>
      <c r="S24" s="20"/>
      <c r="T24" s="20"/>
      <c r="U24" s="20"/>
      <c r="V24" s="20"/>
      <c r="W24" s="20"/>
      <c r="X24" s="20"/>
    </row>
    <row r="25" spans="2:24">
      <c r="B25" s="2" t="s">
        <v>1697</v>
      </c>
      <c r="C25" s="181">
        <v>80.293999999999997</v>
      </c>
      <c r="D25" s="181">
        <v>121.259</v>
      </c>
      <c r="E25" s="181">
        <v>142.875</v>
      </c>
      <c r="F25" s="10" t="e">
        <f>F17+F19+F21+F23</f>
        <v>#REF!</v>
      </c>
      <c r="G25" s="181">
        <v>199</v>
      </c>
      <c r="H25" s="181">
        <f>SUM(Quarts!AM234:AP234)</f>
        <v>153.0715855243831</v>
      </c>
      <c r="I25" s="10">
        <f>I17+I19+I21+I23</f>
        <v>31.5</v>
      </c>
      <c r="J25" s="10">
        <f>J17+J19+J21+J23</f>
        <v>53.7</v>
      </c>
      <c r="K25" s="10">
        <f>K17+K19+K21+K23</f>
        <v>114.021</v>
      </c>
      <c r="L25" s="938">
        <f>606-Div!N31</f>
        <v>108</v>
      </c>
      <c r="M25" s="938">
        <f>1142-Div!O31</f>
        <v>100.78732724902216</v>
      </c>
      <c r="N25" s="10">
        <f t="shared" ref="N25:W25" ca="1" si="11">N85</f>
        <v>135.14225538853816</v>
      </c>
      <c r="O25" s="10">
        <f t="shared" ca="1" si="11"/>
        <v>217.78475666683426</v>
      </c>
      <c r="P25" s="10">
        <f t="shared" ca="1" si="11"/>
        <v>314.72115511870993</v>
      </c>
      <c r="Q25" s="10">
        <f t="shared" ca="1" si="11"/>
        <v>743.23250321448472</v>
      </c>
      <c r="R25" s="10">
        <f t="shared" ca="1" si="11"/>
        <v>1045.2105081984555</v>
      </c>
      <c r="S25" s="10">
        <f t="shared" ca="1" si="11"/>
        <v>1220.5757401245639</v>
      </c>
      <c r="T25" s="10">
        <f t="shared" ca="1" si="11"/>
        <v>1380.0588463486629</v>
      </c>
      <c r="U25" s="10">
        <f t="shared" ca="1" si="11"/>
        <v>1500.4264341238927</v>
      </c>
      <c r="V25" s="10">
        <f t="shared" ca="1" si="11"/>
        <v>1633.6684225524705</v>
      </c>
      <c r="W25" s="10">
        <f t="shared" ca="1" si="11"/>
        <v>1766.2104299657717</v>
      </c>
      <c r="X25" s="10">
        <f t="shared" ref="X25" ca="1" si="12">X85</f>
        <v>1906.8462092915488</v>
      </c>
    </row>
    <row r="26" spans="2:24">
      <c r="B26" s="4" t="s">
        <v>2353</v>
      </c>
      <c r="C26" s="10"/>
      <c r="D26" s="36">
        <f>D25/C25-1</f>
        <v>0.51018756071437465</v>
      </c>
      <c r="E26" s="36">
        <f>E25/D25-1</f>
        <v>0.17826305676279697</v>
      </c>
      <c r="F26" s="36" t="e">
        <f>F25/E25-1</f>
        <v>#REF!</v>
      </c>
      <c r="G26" s="36" t="e">
        <f>G25/F25-1</f>
        <v>#REF!</v>
      </c>
      <c r="H26" s="36">
        <f>H25/G25-1</f>
        <v>-0.23079605264129099</v>
      </c>
      <c r="I26" s="36"/>
      <c r="J26" s="36">
        <f>(J25-J17)/(I25-I17)-1</f>
        <v>0.27619047619047632</v>
      </c>
      <c r="K26" s="36">
        <f>(K25-K17)/(J25-J17)-1</f>
        <v>7.0174129353233861E-2</v>
      </c>
      <c r="L26" s="36">
        <f t="shared" ref="L26:X26" si="13">L25/K25-1</f>
        <v>-5.2806062041202972E-2</v>
      </c>
      <c r="M26" s="36">
        <f t="shared" si="13"/>
        <v>-6.6784006953498509E-2</v>
      </c>
      <c r="N26" s="36">
        <f t="shared" ca="1" si="13"/>
        <v>0.34086555400594087</v>
      </c>
      <c r="O26" s="36">
        <f t="shared" ca="1" si="13"/>
        <v>0.61152228842634271</v>
      </c>
      <c r="P26" s="36">
        <f t="shared" ca="1" si="13"/>
        <v>0.44510185164229998</v>
      </c>
      <c r="Q26" s="36">
        <f t="shared" ca="1" si="13"/>
        <v>1.361558767583146</v>
      </c>
      <c r="R26" s="36">
        <f t="shared" ca="1" si="13"/>
        <v>0.40630355060887968</v>
      </c>
      <c r="S26" s="36">
        <f t="shared" ca="1" si="13"/>
        <v>0.16777982095527455</v>
      </c>
      <c r="T26" s="36">
        <f t="shared" ca="1" si="13"/>
        <v>0.13066219570104121</v>
      </c>
      <c r="U26" s="36">
        <f t="shared" ca="1" si="13"/>
        <v>8.7219170467764062E-2</v>
      </c>
      <c r="V26" s="36">
        <f t="shared" ca="1" si="13"/>
        <v>8.8802746604753402E-2</v>
      </c>
      <c r="W26" s="36">
        <f t="shared" ca="1" si="13"/>
        <v>8.1131523131368066E-2</v>
      </c>
      <c r="X26" s="36">
        <f t="shared" ca="1" si="13"/>
        <v>7.9625721227624346E-2</v>
      </c>
    </row>
    <row r="28" spans="2:24">
      <c r="B28" s="450" t="s">
        <v>1831</v>
      </c>
      <c r="I28" s="112">
        <v>0.8</v>
      </c>
      <c r="J28" s="112">
        <v>1.4</v>
      </c>
      <c r="K28" s="112">
        <v>0.09</v>
      </c>
      <c r="L28" s="112">
        <v>0.55000000000000004</v>
      </c>
      <c r="M28" s="112">
        <v>4</v>
      </c>
      <c r="N28" s="31">
        <f t="shared" ref="N28:X28" si="14">(1+N29)*M28</f>
        <v>8.4</v>
      </c>
      <c r="O28" s="31">
        <f t="shared" si="14"/>
        <v>11.76</v>
      </c>
      <c r="P28" s="31">
        <f t="shared" si="14"/>
        <v>12.936</v>
      </c>
      <c r="Q28" s="31">
        <f t="shared" si="14"/>
        <v>14.229600000000001</v>
      </c>
      <c r="R28" s="31">
        <f t="shared" si="14"/>
        <v>15.652560000000003</v>
      </c>
      <c r="S28" s="31">
        <f t="shared" si="14"/>
        <v>17.217816000000006</v>
      </c>
      <c r="T28" s="31">
        <f t="shared" si="14"/>
        <v>18.93959760000001</v>
      </c>
      <c r="U28" s="31">
        <f t="shared" si="14"/>
        <v>20.833557360000011</v>
      </c>
      <c r="V28" s="31">
        <f t="shared" si="14"/>
        <v>22.916913096000012</v>
      </c>
      <c r="W28" s="31">
        <f t="shared" si="14"/>
        <v>25.208604405600017</v>
      </c>
      <c r="X28" s="31">
        <f t="shared" si="14"/>
        <v>27.72946484616002</v>
      </c>
    </row>
    <row r="29" spans="2:24">
      <c r="N29" s="73">
        <v>1.1000000000000001</v>
      </c>
      <c r="O29" s="73">
        <v>0.4</v>
      </c>
      <c r="P29" s="73">
        <v>0.1</v>
      </c>
      <c r="Q29" s="73">
        <v>0.1</v>
      </c>
      <c r="R29" s="73">
        <v>0.1</v>
      </c>
      <c r="S29" s="73">
        <v>0.1</v>
      </c>
      <c r="T29" s="73">
        <v>0.1</v>
      </c>
      <c r="U29" s="73">
        <v>0.1</v>
      </c>
      <c r="V29" s="73">
        <v>0.1</v>
      </c>
      <c r="W29" s="73">
        <v>0.1</v>
      </c>
      <c r="X29" s="73">
        <v>0.1</v>
      </c>
    </row>
    <row r="31" spans="2:24">
      <c r="B31" s="1072" t="s">
        <v>4162</v>
      </c>
    </row>
    <row r="32" spans="2:24">
      <c r="B32" s="450"/>
    </row>
    <row r="33" spans="2:24">
      <c r="B33" s="487" t="s">
        <v>4167</v>
      </c>
      <c r="C33" s="455"/>
      <c r="D33" s="455"/>
      <c r="E33" s="455"/>
      <c r="F33" s="455"/>
      <c r="G33" s="455"/>
      <c r="H33" s="455"/>
      <c r="I33" s="455">
        <f t="shared" ref="I33:R33" si="15">I15</f>
        <v>2011</v>
      </c>
      <c r="J33" s="455">
        <f t="shared" si="15"/>
        <v>2012</v>
      </c>
      <c r="K33" s="455">
        <f t="shared" si="15"/>
        <v>2013</v>
      </c>
      <c r="L33" s="455">
        <f t="shared" si="15"/>
        <v>2014</v>
      </c>
      <c r="M33" s="455">
        <f t="shared" si="15"/>
        <v>2015</v>
      </c>
      <c r="N33" s="455">
        <f t="shared" si="15"/>
        <v>2016</v>
      </c>
      <c r="O33" s="455">
        <f t="shared" si="15"/>
        <v>2017</v>
      </c>
      <c r="P33" s="455">
        <f t="shared" si="15"/>
        <v>2018</v>
      </c>
      <c r="Q33" s="455">
        <f t="shared" si="15"/>
        <v>2019</v>
      </c>
      <c r="R33" s="455">
        <f t="shared" si="15"/>
        <v>2020</v>
      </c>
      <c r="S33" s="455">
        <f t="shared" ref="S33:X33" si="16">S15</f>
        <v>2021</v>
      </c>
      <c r="T33" s="455">
        <f t="shared" si="16"/>
        <v>2022</v>
      </c>
      <c r="U33" s="455">
        <f t="shared" si="16"/>
        <v>2023</v>
      </c>
      <c r="V33" s="455">
        <f t="shared" si="16"/>
        <v>2024</v>
      </c>
      <c r="W33" s="455">
        <f t="shared" si="16"/>
        <v>2025</v>
      </c>
      <c r="X33" s="455">
        <f t="shared" si="16"/>
        <v>2026</v>
      </c>
    </row>
    <row r="34" spans="2:24">
      <c r="B34" s="450" t="s">
        <v>4551</v>
      </c>
    </row>
    <row r="35" spans="2:24">
      <c r="B35" s="478" t="s">
        <v>4216</v>
      </c>
      <c r="D35" s="133">
        <v>1025</v>
      </c>
      <c r="E35" s="133">
        <v>1100</v>
      </c>
      <c r="F35" s="9">
        <f>E35+F36</f>
        <v>1200</v>
      </c>
      <c r="G35" s="9">
        <f>F35+G36</f>
        <v>1300</v>
      </c>
      <c r="H35" s="9">
        <f>G35+H36</f>
        <v>1400</v>
      </c>
      <c r="I35" s="107">
        <v>1373</v>
      </c>
      <c r="J35" s="107">
        <v>2107</v>
      </c>
      <c r="K35" s="107">
        <v>2972</v>
      </c>
      <c r="L35" s="107">
        <v>7084</v>
      </c>
      <c r="M35" s="107">
        <v>7632</v>
      </c>
      <c r="N35" s="107">
        <v>8119</v>
      </c>
      <c r="O35" s="133">
        <v>9075.9</v>
      </c>
      <c r="P35" s="133">
        <v>11076</v>
      </c>
      <c r="Q35" s="9">
        <f t="shared" ref="Q35:X35" si="17">P35+Q36</f>
        <v>12076</v>
      </c>
      <c r="R35" s="9">
        <f t="shared" si="17"/>
        <v>13076</v>
      </c>
      <c r="S35" s="9">
        <f t="shared" si="17"/>
        <v>13876</v>
      </c>
      <c r="T35" s="9">
        <f t="shared" si="17"/>
        <v>14376</v>
      </c>
      <c r="U35" s="9">
        <f t="shared" si="17"/>
        <v>14576</v>
      </c>
      <c r="V35" s="9">
        <f t="shared" si="17"/>
        <v>14676</v>
      </c>
      <c r="W35" s="9">
        <f t="shared" si="17"/>
        <v>14776</v>
      </c>
      <c r="X35" s="9">
        <f t="shared" si="17"/>
        <v>14876</v>
      </c>
    </row>
    <row r="36" spans="2:24">
      <c r="B36" t="s">
        <v>1184</v>
      </c>
      <c r="E36" s="9">
        <f>E35-D35</f>
        <v>75</v>
      </c>
      <c r="F36" s="107">
        <v>100</v>
      </c>
      <c r="G36" s="107">
        <v>100</v>
      </c>
      <c r="H36" s="107">
        <v>100</v>
      </c>
      <c r="J36" s="454">
        <f t="shared" ref="J36:P36" si="18">J35-I35</f>
        <v>734</v>
      </c>
      <c r="K36" s="454">
        <f t="shared" si="18"/>
        <v>865</v>
      </c>
      <c r="L36" s="454">
        <f t="shared" si="18"/>
        <v>4112</v>
      </c>
      <c r="M36" s="454">
        <f t="shared" si="18"/>
        <v>548</v>
      </c>
      <c r="N36" s="454">
        <f t="shared" si="18"/>
        <v>487</v>
      </c>
      <c r="O36" s="454">
        <f t="shared" si="18"/>
        <v>956.89999999999964</v>
      </c>
      <c r="P36" s="454">
        <f t="shared" si="18"/>
        <v>2000.1000000000004</v>
      </c>
      <c r="Q36" s="107">
        <v>1000</v>
      </c>
      <c r="R36" s="107">
        <v>1000</v>
      </c>
      <c r="S36" s="107">
        <v>800</v>
      </c>
      <c r="T36" s="107">
        <v>500</v>
      </c>
      <c r="U36" s="107">
        <v>200</v>
      </c>
      <c r="V36" s="107">
        <v>100</v>
      </c>
      <c r="W36" s="107">
        <v>100</v>
      </c>
      <c r="X36" s="107">
        <v>100</v>
      </c>
    </row>
    <row r="37" spans="2:24">
      <c r="E37" s="9"/>
      <c r="F37" s="107"/>
      <c r="G37" s="107"/>
      <c r="H37" s="107"/>
      <c r="J37" s="454"/>
      <c r="K37" s="454"/>
      <c r="L37" s="454"/>
      <c r="M37" s="454"/>
      <c r="N37" s="454"/>
      <c r="O37" s="454"/>
      <c r="P37" s="454"/>
      <c r="Q37" s="454"/>
      <c r="R37" s="454"/>
      <c r="S37" s="454"/>
      <c r="T37" s="454"/>
      <c r="U37" s="454"/>
      <c r="V37" s="454"/>
      <c r="W37" s="454"/>
      <c r="X37" s="454"/>
    </row>
    <row r="38" spans="2:24">
      <c r="B38" s="137" t="s">
        <v>4217</v>
      </c>
      <c r="D38" s="9"/>
      <c r="E38" s="9"/>
      <c r="I38" s="107">
        <v>532</v>
      </c>
      <c r="J38" s="107">
        <v>809</v>
      </c>
      <c r="K38" s="107">
        <v>931</v>
      </c>
      <c r="L38" s="107">
        <v>2881</v>
      </c>
      <c r="M38" s="107">
        <v>3020</v>
      </c>
      <c r="N38" s="133">
        <v>3099.7</v>
      </c>
      <c r="O38" s="133">
        <v>3302.6</v>
      </c>
      <c r="P38" s="133">
        <v>4118</v>
      </c>
      <c r="Q38" s="454">
        <f t="shared" ref="Q38:W38" si="19">Q40*Q35</f>
        <v>4489.7948717948721</v>
      </c>
      <c r="R38" s="454">
        <f t="shared" si="19"/>
        <v>4861.5897435897441</v>
      </c>
      <c r="S38" s="454">
        <f t="shared" si="19"/>
        <v>5159.0256410256416</v>
      </c>
      <c r="T38" s="454">
        <f t="shared" si="19"/>
        <v>5344.9230769230771</v>
      </c>
      <c r="U38" s="454">
        <f t="shared" si="19"/>
        <v>5419.2820512820517</v>
      </c>
      <c r="V38" s="454">
        <f t="shared" si="19"/>
        <v>5456.461538461539</v>
      </c>
      <c r="W38" s="454">
        <f t="shared" si="19"/>
        <v>5493.6410256410254</v>
      </c>
      <c r="X38" s="454">
        <f t="shared" ref="X38" si="20">X40*X35</f>
        <v>5530.8205128205127</v>
      </c>
    </row>
    <row r="39" spans="2:24">
      <c r="B39" s="137"/>
      <c r="D39" s="9"/>
      <c r="E39" s="9"/>
      <c r="J39" s="485">
        <f>J38-I38</f>
        <v>277</v>
      </c>
      <c r="K39" s="485">
        <f t="shared" ref="K39:X39" si="21">K38-J38</f>
        <v>122</v>
      </c>
      <c r="L39" s="485">
        <f t="shared" si="21"/>
        <v>1950</v>
      </c>
      <c r="M39" s="485">
        <f t="shared" si="21"/>
        <v>139</v>
      </c>
      <c r="N39" s="485">
        <f t="shared" si="21"/>
        <v>79.699999999999818</v>
      </c>
      <c r="O39" s="485">
        <f t="shared" si="21"/>
        <v>202.90000000000009</v>
      </c>
      <c r="P39" s="485">
        <f t="shared" si="21"/>
        <v>815.40000000000009</v>
      </c>
      <c r="Q39" s="485">
        <f t="shared" si="21"/>
        <v>371.79487179487205</v>
      </c>
      <c r="R39" s="485">
        <f t="shared" si="21"/>
        <v>371.79487179487205</v>
      </c>
      <c r="S39" s="485">
        <f t="shared" si="21"/>
        <v>297.43589743589746</v>
      </c>
      <c r="T39" s="485">
        <f t="shared" si="21"/>
        <v>185.89743589743557</v>
      </c>
      <c r="U39" s="485">
        <f t="shared" si="21"/>
        <v>74.358974358974592</v>
      </c>
      <c r="V39" s="485">
        <f t="shared" si="21"/>
        <v>37.179487179487296</v>
      </c>
      <c r="W39" s="485">
        <f t="shared" si="21"/>
        <v>37.179487179486387</v>
      </c>
      <c r="X39" s="485">
        <f t="shared" si="21"/>
        <v>37.179487179487296</v>
      </c>
    </row>
    <row r="40" spans="2:24">
      <c r="B40" s="137" t="s">
        <v>3328</v>
      </c>
      <c r="D40" s="9"/>
      <c r="E40" s="9"/>
      <c r="I40" s="449">
        <f t="shared" ref="I40:N40" si="22">I38/I35</f>
        <v>0.38747268754552078</v>
      </c>
      <c r="J40" s="449">
        <f t="shared" si="22"/>
        <v>0.38395823445657334</v>
      </c>
      <c r="K40" s="449">
        <f t="shared" si="22"/>
        <v>0.31325706594885599</v>
      </c>
      <c r="L40" s="449">
        <f t="shared" si="22"/>
        <v>0.40669113495200454</v>
      </c>
      <c r="M40" s="449">
        <f t="shared" si="22"/>
        <v>0.39570230607966456</v>
      </c>
      <c r="N40" s="449">
        <f t="shared" si="22"/>
        <v>0.38178347087079689</v>
      </c>
      <c r="O40" s="449">
        <f>O38/O35</f>
        <v>0.36388677706894085</v>
      </c>
      <c r="P40" s="449">
        <f>P38/P35</f>
        <v>0.37179487179487181</v>
      </c>
      <c r="Q40" s="73">
        <f t="shared" ref="Q40:X40" si="23">P40</f>
        <v>0.37179487179487181</v>
      </c>
      <c r="R40" s="73">
        <f t="shared" si="23"/>
        <v>0.37179487179487181</v>
      </c>
      <c r="S40" s="73">
        <f t="shared" si="23"/>
        <v>0.37179487179487181</v>
      </c>
      <c r="T40" s="73">
        <f t="shared" si="23"/>
        <v>0.37179487179487181</v>
      </c>
      <c r="U40" s="73">
        <f t="shared" si="23"/>
        <v>0.37179487179487181</v>
      </c>
      <c r="V40" s="73">
        <f t="shared" si="23"/>
        <v>0.37179487179487181</v>
      </c>
      <c r="W40" s="73">
        <f t="shared" si="23"/>
        <v>0.37179487179487181</v>
      </c>
      <c r="X40" s="73">
        <f t="shared" si="23"/>
        <v>0.37179487179487181</v>
      </c>
    </row>
    <row r="41" spans="2:24">
      <c r="B41" s="137"/>
      <c r="D41" s="9"/>
      <c r="E41" s="9"/>
      <c r="I41" s="449"/>
      <c r="J41" s="449"/>
      <c r="K41" s="449"/>
      <c r="L41" s="449"/>
      <c r="M41" s="449"/>
      <c r="N41" s="486"/>
      <c r="O41" s="486"/>
      <c r="P41" s="486"/>
      <c r="Q41" s="486"/>
      <c r="R41" s="486"/>
      <c r="S41" s="486"/>
      <c r="T41" s="486"/>
      <c r="U41" s="486"/>
      <c r="V41" s="486"/>
      <c r="W41" s="486"/>
      <c r="X41" s="486"/>
    </row>
    <row r="42" spans="2:24">
      <c r="B42" s="791" t="s">
        <v>4166</v>
      </c>
      <c r="D42" s="9"/>
      <c r="E42" s="9"/>
      <c r="I42" s="449"/>
      <c r="J42" s="449"/>
      <c r="K42" s="449"/>
      <c r="L42" s="449"/>
      <c r="M42" s="449"/>
      <c r="N42" s="486"/>
      <c r="O42" s="486"/>
      <c r="P42" s="486"/>
      <c r="Q42" s="486"/>
      <c r="R42" s="486"/>
      <c r="S42" s="486"/>
      <c r="T42" s="486"/>
      <c r="U42" s="486"/>
      <c r="V42" s="486"/>
      <c r="W42" s="486"/>
      <c r="X42" s="486"/>
    </row>
    <row r="43" spans="2:24">
      <c r="B43" s="137" t="s">
        <v>4159</v>
      </c>
      <c r="D43" s="133">
        <v>470</v>
      </c>
      <c r="E43" s="133">
        <v>605</v>
      </c>
      <c r="L43" s="45">
        <v>5645</v>
      </c>
      <c r="M43" s="107">
        <v>6375</v>
      </c>
      <c r="N43" s="107">
        <v>7152</v>
      </c>
      <c r="O43" s="107">
        <v>8445.7000000000007</v>
      </c>
      <c r="P43" s="107">
        <v>10562</v>
      </c>
      <c r="Q43">
        <f t="shared" ref="Q43:X43" si="24">P43+Q44</f>
        <v>11612</v>
      </c>
      <c r="R43">
        <f t="shared" si="24"/>
        <v>12612</v>
      </c>
      <c r="S43">
        <f t="shared" si="24"/>
        <v>13412</v>
      </c>
      <c r="T43">
        <f t="shared" si="24"/>
        <v>13912</v>
      </c>
      <c r="U43">
        <f t="shared" si="24"/>
        <v>14112</v>
      </c>
      <c r="V43">
        <f t="shared" si="24"/>
        <v>14212</v>
      </c>
      <c r="W43">
        <f t="shared" si="24"/>
        <v>14312</v>
      </c>
      <c r="X43">
        <f t="shared" si="24"/>
        <v>14412</v>
      </c>
    </row>
    <row r="44" spans="2:24">
      <c r="B44" t="s">
        <v>1184</v>
      </c>
      <c r="E44" s="9">
        <f>E43-D43</f>
        <v>135</v>
      </c>
      <c r="F44" s="107">
        <v>100</v>
      </c>
      <c r="G44" s="107">
        <v>100</v>
      </c>
      <c r="H44" s="107">
        <v>100</v>
      </c>
      <c r="J44" s="454"/>
      <c r="K44" s="454"/>
      <c r="L44" s="454">
        <f>L43-K43</f>
        <v>5645</v>
      </c>
      <c r="M44" s="454">
        <f>M43-L43</f>
        <v>730</v>
      </c>
      <c r="N44" s="454">
        <f>N43-M43</f>
        <v>777</v>
      </c>
      <c r="O44" s="454">
        <f>O43-N43</f>
        <v>1293.7000000000007</v>
      </c>
      <c r="P44" s="454">
        <f>P43-O43</f>
        <v>2116.2999999999993</v>
      </c>
      <c r="Q44" s="107">
        <v>1050</v>
      </c>
      <c r="R44" s="21">
        <f t="shared" ref="R44:W44" si="25">R36</f>
        <v>1000</v>
      </c>
      <c r="S44" s="21">
        <f t="shared" si="25"/>
        <v>800</v>
      </c>
      <c r="T44" s="21">
        <f t="shared" si="25"/>
        <v>500</v>
      </c>
      <c r="U44" s="21">
        <f t="shared" si="25"/>
        <v>200</v>
      </c>
      <c r="V44" s="21">
        <f t="shared" si="25"/>
        <v>100</v>
      </c>
      <c r="W44" s="21">
        <f t="shared" si="25"/>
        <v>100</v>
      </c>
      <c r="X44" s="21">
        <f t="shared" ref="X44" si="26">X36</f>
        <v>100</v>
      </c>
    </row>
    <row r="45" spans="2:24">
      <c r="B45" s="478" t="s">
        <v>4158</v>
      </c>
      <c r="E45" s="9"/>
      <c r="F45" s="107"/>
      <c r="G45" s="107"/>
      <c r="H45" s="107"/>
      <c r="J45" s="454"/>
      <c r="K45" s="454"/>
      <c r="L45" s="449">
        <f t="shared" ref="L45:R45" si="27">L43/L35</f>
        <v>0.79686617730095988</v>
      </c>
      <c r="M45" s="449">
        <f t="shared" si="27"/>
        <v>0.83529874213836475</v>
      </c>
      <c r="N45" s="449">
        <f t="shared" si="27"/>
        <v>0.8808966621505111</v>
      </c>
      <c r="O45" s="449">
        <f t="shared" si="27"/>
        <v>0.93056336010753771</v>
      </c>
      <c r="P45" s="449">
        <f t="shared" si="27"/>
        <v>0.95359335500180575</v>
      </c>
      <c r="Q45" s="449">
        <f t="shared" si="27"/>
        <v>0.96157668102020533</v>
      </c>
      <c r="R45" s="449">
        <f t="shared" si="27"/>
        <v>0.96451514224533497</v>
      </c>
      <c r="S45" s="449">
        <f t="shared" ref="S45:X45" si="28">S43/S35</f>
        <v>0.96656096857884122</v>
      </c>
      <c r="T45" s="449">
        <f t="shared" si="28"/>
        <v>0.96772398441847529</v>
      </c>
      <c r="U45" s="449">
        <f t="shared" si="28"/>
        <v>0.96816684961580679</v>
      </c>
      <c r="V45" s="449">
        <f t="shared" si="28"/>
        <v>0.96838375579176883</v>
      </c>
      <c r="W45" s="449">
        <f t="shared" si="28"/>
        <v>0.9685977260422306</v>
      </c>
      <c r="X45" s="449">
        <f t="shared" si="28"/>
        <v>0.96880881957515463</v>
      </c>
    </row>
    <row r="46" spans="2:24">
      <c r="B46" s="129"/>
      <c r="D46" s="9"/>
      <c r="E46" s="9"/>
    </row>
    <row r="47" spans="2:24">
      <c r="B47" s="137" t="s">
        <v>4160</v>
      </c>
      <c r="D47" s="133">
        <v>470</v>
      </c>
      <c r="E47" s="133">
        <v>605</v>
      </c>
      <c r="L47" s="45">
        <v>1766</v>
      </c>
      <c r="M47" s="107">
        <v>1922</v>
      </c>
      <c r="N47" s="133">
        <v>2075.4</v>
      </c>
      <c r="O47" s="133">
        <v>2328.6999999999998</v>
      </c>
      <c r="P47" s="133">
        <v>3103</v>
      </c>
      <c r="Q47" s="454">
        <f t="shared" ref="Q47:W47" si="29">Q48*Q43</f>
        <v>3483.6</v>
      </c>
      <c r="R47" s="454">
        <f t="shared" si="29"/>
        <v>3846.66</v>
      </c>
      <c r="S47" s="454">
        <f t="shared" si="29"/>
        <v>4157.72</v>
      </c>
      <c r="T47" s="454">
        <f t="shared" si="29"/>
        <v>4382.28</v>
      </c>
      <c r="U47" s="454">
        <f t="shared" si="29"/>
        <v>4515.84</v>
      </c>
      <c r="V47" s="454">
        <f t="shared" si="29"/>
        <v>4618.9000000000005</v>
      </c>
      <c r="W47" s="454">
        <f t="shared" si="29"/>
        <v>4722.96</v>
      </c>
      <c r="X47" s="454">
        <f t="shared" ref="X47" si="30">X48*X43</f>
        <v>4755.96</v>
      </c>
    </row>
    <row r="48" spans="2:24">
      <c r="B48" s="137" t="s">
        <v>4161</v>
      </c>
      <c r="D48" s="9"/>
      <c r="E48" s="9"/>
      <c r="I48" s="449"/>
      <c r="J48" s="449"/>
      <c r="K48" s="449"/>
      <c r="L48" s="486">
        <f>L47/L43</f>
        <v>0.3128432240921169</v>
      </c>
      <c r="M48" s="486">
        <f>M47/M43</f>
        <v>0.30149019607843136</v>
      </c>
      <c r="N48" s="486">
        <f>N47/N43</f>
        <v>0.29018456375838925</v>
      </c>
      <c r="O48" s="486">
        <f>O47/O43</f>
        <v>0.27572610914429824</v>
      </c>
      <c r="P48" s="486">
        <f>P47/P43</f>
        <v>0.29378905510320014</v>
      </c>
      <c r="Q48" s="73">
        <v>0.3</v>
      </c>
      <c r="R48" s="73">
        <v>0.30499999999999999</v>
      </c>
      <c r="S48" s="73">
        <v>0.31</v>
      </c>
      <c r="T48" s="73">
        <v>0.315</v>
      </c>
      <c r="U48" s="73">
        <v>0.32</v>
      </c>
      <c r="V48" s="73">
        <v>0.32500000000000001</v>
      </c>
      <c r="W48" s="73">
        <v>0.33</v>
      </c>
      <c r="X48" s="73">
        <v>0.33</v>
      </c>
    </row>
    <row r="50" spans="2:24">
      <c r="B50" s="2" t="s">
        <v>4993</v>
      </c>
    </row>
    <row r="51" spans="2:24">
      <c r="B51" s="4" t="s">
        <v>4994</v>
      </c>
      <c r="L51">
        <f t="shared" ref="L51:R51" si="31">L35-L43</f>
        <v>1439</v>
      </c>
      <c r="M51">
        <f t="shared" si="31"/>
        <v>1257</v>
      </c>
      <c r="N51">
        <f t="shared" si="31"/>
        <v>967</v>
      </c>
      <c r="O51">
        <f t="shared" si="31"/>
        <v>630.19999999999891</v>
      </c>
      <c r="P51">
        <f t="shared" si="31"/>
        <v>514</v>
      </c>
      <c r="Q51">
        <f t="shared" si="31"/>
        <v>464</v>
      </c>
      <c r="R51">
        <f t="shared" si="31"/>
        <v>464</v>
      </c>
      <c r="S51">
        <f t="shared" ref="S51:X51" si="32">S35-S43</f>
        <v>464</v>
      </c>
      <c r="T51">
        <f t="shared" si="32"/>
        <v>464</v>
      </c>
      <c r="U51">
        <f t="shared" si="32"/>
        <v>464</v>
      </c>
      <c r="V51">
        <f t="shared" si="32"/>
        <v>464</v>
      </c>
      <c r="W51">
        <f t="shared" si="32"/>
        <v>464</v>
      </c>
      <c r="X51">
        <f t="shared" si="32"/>
        <v>464</v>
      </c>
    </row>
    <row r="52" spans="2:24">
      <c r="B52" s="4" t="s">
        <v>619</v>
      </c>
      <c r="M52">
        <f t="shared" ref="M52:X52" si="33">M51-L51</f>
        <v>-182</v>
      </c>
      <c r="N52">
        <f t="shared" si="33"/>
        <v>-290</v>
      </c>
      <c r="O52">
        <f t="shared" si="33"/>
        <v>-336.80000000000109</v>
      </c>
      <c r="P52">
        <f t="shared" si="33"/>
        <v>-116.19999999999891</v>
      </c>
      <c r="Q52">
        <f t="shared" si="33"/>
        <v>-50</v>
      </c>
      <c r="R52">
        <f t="shared" si="33"/>
        <v>0</v>
      </c>
      <c r="S52">
        <f t="shared" si="33"/>
        <v>0</v>
      </c>
      <c r="T52">
        <f t="shared" si="33"/>
        <v>0</v>
      </c>
      <c r="U52">
        <f t="shared" si="33"/>
        <v>0</v>
      </c>
      <c r="V52">
        <f t="shared" si="33"/>
        <v>0</v>
      </c>
      <c r="W52">
        <f t="shared" si="33"/>
        <v>0</v>
      </c>
      <c r="X52">
        <f t="shared" si="33"/>
        <v>0</v>
      </c>
    </row>
    <row r="53" spans="2:24">
      <c r="B53" s="4"/>
    </row>
    <row r="54" spans="2:24">
      <c r="B54" s="4" t="s">
        <v>4995</v>
      </c>
      <c r="L54">
        <f>L38-L47</f>
        <v>1115</v>
      </c>
      <c r="M54">
        <f t="shared" ref="M54:R54" si="34">M38-M47</f>
        <v>1098</v>
      </c>
      <c r="N54" s="454">
        <f t="shared" si="34"/>
        <v>1024.2999999999997</v>
      </c>
      <c r="O54" s="454">
        <f t="shared" si="34"/>
        <v>973.90000000000009</v>
      </c>
      <c r="P54" s="454">
        <f t="shared" si="34"/>
        <v>1015</v>
      </c>
      <c r="Q54" s="454">
        <f t="shared" si="34"/>
        <v>1006.1948717948721</v>
      </c>
      <c r="R54" s="454">
        <f t="shared" si="34"/>
        <v>1014.9297435897442</v>
      </c>
      <c r="S54" s="454">
        <f t="shared" ref="S54:X54" si="35">S38-S47</f>
        <v>1001.3056410256413</v>
      </c>
      <c r="T54" s="454">
        <f t="shared" si="35"/>
        <v>962.64307692307739</v>
      </c>
      <c r="U54" s="454">
        <f t="shared" si="35"/>
        <v>903.44205128205158</v>
      </c>
      <c r="V54" s="454">
        <f t="shared" si="35"/>
        <v>837.56153846153848</v>
      </c>
      <c r="W54" s="454">
        <f t="shared" si="35"/>
        <v>770.68102564102537</v>
      </c>
      <c r="X54" s="454">
        <f t="shared" si="35"/>
        <v>774.86051282051267</v>
      </c>
    </row>
    <row r="55" spans="2:24">
      <c r="B55" s="4" t="s">
        <v>70</v>
      </c>
      <c r="L55" s="449">
        <f>L54/L51</f>
        <v>0.77484364141765116</v>
      </c>
      <c r="M55" s="449">
        <f t="shared" ref="M55:R55" si="36">M54/M51</f>
        <v>0.87350835322195708</v>
      </c>
      <c r="N55" s="449">
        <f t="shared" si="36"/>
        <v>1.0592554291623575</v>
      </c>
      <c r="O55" s="449">
        <f t="shared" si="36"/>
        <v>1.5453824182799138</v>
      </c>
      <c r="P55" s="449">
        <f t="shared" si="36"/>
        <v>1.9747081712062258</v>
      </c>
      <c r="Q55" s="449">
        <f t="shared" si="36"/>
        <v>2.1685234305923968</v>
      </c>
      <c r="R55" s="449">
        <f t="shared" si="36"/>
        <v>2.1873485853227246</v>
      </c>
      <c r="S55" s="449">
        <f t="shared" ref="S55:X55" si="37">S54/S51</f>
        <v>2.157986295313882</v>
      </c>
      <c r="T55" s="449">
        <f t="shared" si="37"/>
        <v>2.0746618037135289</v>
      </c>
      <c r="U55" s="449">
        <f t="shared" si="37"/>
        <v>1.947073386383732</v>
      </c>
      <c r="V55" s="449">
        <f t="shared" si="37"/>
        <v>1.8050895225464192</v>
      </c>
      <c r="W55" s="449">
        <f t="shared" si="37"/>
        <v>1.6609504862953133</v>
      </c>
      <c r="X55" s="449">
        <f t="shared" si="37"/>
        <v>1.6699580017683462</v>
      </c>
    </row>
    <row r="57" spans="2:24">
      <c r="B57" t="s">
        <v>1739</v>
      </c>
    </row>
    <row r="58" spans="2:24">
      <c r="B58" t="s">
        <v>1195</v>
      </c>
      <c r="D58" s="133">
        <v>320</v>
      </c>
      <c r="E58" s="133">
        <v>340</v>
      </c>
      <c r="F58" s="9">
        <f>F110*F35</f>
        <v>366</v>
      </c>
      <c r="G58" s="9">
        <f>G110*G35</f>
        <v>409.5</v>
      </c>
      <c r="H58" s="9">
        <f>H110*H35</f>
        <v>455</v>
      </c>
      <c r="I58" s="112">
        <v>471</v>
      </c>
      <c r="J58" s="112">
        <v>685</v>
      </c>
      <c r="K58" s="112">
        <v>769</v>
      </c>
      <c r="L58" s="9"/>
      <c r="M58" s="9"/>
      <c r="N58" s="9"/>
      <c r="O58" s="9"/>
      <c r="P58" s="9"/>
      <c r="Q58" s="9"/>
      <c r="R58" s="9"/>
      <c r="S58" s="9"/>
      <c r="T58" s="9"/>
      <c r="U58" s="9"/>
      <c r="V58" s="9"/>
      <c r="W58" s="9"/>
      <c r="X58" s="9"/>
    </row>
    <row r="59" spans="2:24">
      <c r="B59" t="s">
        <v>1580</v>
      </c>
      <c r="D59" s="107">
        <v>10</v>
      </c>
      <c r="E59" s="133">
        <f>Quarts!AD440-2</f>
        <v>16.776</v>
      </c>
      <c r="F59" s="9">
        <f>F112*F58</f>
        <v>18.058870588235294</v>
      </c>
      <c r="G59" s="9">
        <f>G112*G58</f>
        <v>20.205211764705883</v>
      </c>
      <c r="H59" s="9">
        <f>H112*H58</f>
        <v>22.450235294117647</v>
      </c>
      <c r="I59" s="112">
        <v>63</v>
      </c>
      <c r="J59" s="112">
        <v>90</v>
      </c>
      <c r="K59" s="112">
        <v>128</v>
      </c>
      <c r="L59" s="9"/>
      <c r="M59" s="9"/>
      <c r="N59" s="9"/>
      <c r="O59" s="9"/>
      <c r="P59" s="9"/>
      <c r="Q59" s="9"/>
      <c r="R59" s="9"/>
      <c r="S59" s="9"/>
      <c r="T59" s="9"/>
      <c r="U59" s="9"/>
      <c r="V59" s="9"/>
      <c r="W59" s="9"/>
      <c r="X59" s="9"/>
    </row>
    <row r="60" spans="2:24">
      <c r="B60" s="11" t="s">
        <v>1198</v>
      </c>
      <c r="C60" s="11"/>
      <c r="D60" s="179">
        <v>60</v>
      </c>
      <c r="E60" s="87">
        <f>Quarts!AD441-10</f>
        <v>73.218999999999994</v>
      </c>
      <c r="F60" s="13">
        <f>F114*F58</f>
        <v>102.48</v>
      </c>
      <c r="G60" s="13">
        <f>G114*G58</f>
        <v>139.23000000000002</v>
      </c>
      <c r="H60" s="13">
        <f>H114*H58</f>
        <v>191.10000000000002</v>
      </c>
      <c r="I60" s="761">
        <v>190</v>
      </c>
      <c r="J60" s="761">
        <v>278</v>
      </c>
      <c r="K60" s="761">
        <v>325</v>
      </c>
      <c r="L60" s="13"/>
      <c r="M60" s="13"/>
      <c r="N60" s="13"/>
      <c r="O60" s="13"/>
      <c r="P60" s="13"/>
      <c r="Q60" s="13"/>
      <c r="R60" s="13"/>
      <c r="S60" s="13"/>
      <c r="T60" s="13"/>
      <c r="U60" s="13"/>
      <c r="V60" s="13"/>
      <c r="W60" s="13"/>
      <c r="X60" s="13"/>
    </row>
    <row r="61" spans="2:24">
      <c r="B61" s="2" t="s">
        <v>4164</v>
      </c>
      <c r="C61" s="2"/>
      <c r="D61" s="10">
        <f>D58+D59+D60</f>
        <v>390</v>
      </c>
      <c r="E61" s="10">
        <f>E58+E59+E60</f>
        <v>429.995</v>
      </c>
      <c r="F61" s="10">
        <f t="shared" ref="F61:K61" si="38">F58+F59+F60</f>
        <v>486.53887058823534</v>
      </c>
      <c r="G61" s="10">
        <f t="shared" si="38"/>
        <v>568.93521176470585</v>
      </c>
      <c r="H61" s="10">
        <f t="shared" si="38"/>
        <v>668.55023529411767</v>
      </c>
      <c r="I61" s="10">
        <f t="shared" si="38"/>
        <v>724</v>
      </c>
      <c r="J61" s="10">
        <f t="shared" si="38"/>
        <v>1053</v>
      </c>
      <c r="K61" s="10">
        <f t="shared" si="38"/>
        <v>1222</v>
      </c>
      <c r="L61" s="102">
        <v>5090</v>
      </c>
      <c r="M61" s="102">
        <v>5393</v>
      </c>
      <c r="N61" s="102">
        <v>5588</v>
      </c>
      <c r="O61" s="181">
        <v>6090.9</v>
      </c>
      <c r="P61" s="181">
        <v>7775</v>
      </c>
      <c r="Q61" s="10">
        <f t="shared" ref="Q61:W61" si="39">Q62*Q38</f>
        <v>8701.457963163597</v>
      </c>
      <c r="R61" s="10">
        <f t="shared" si="39"/>
        <v>9470.6318237630931</v>
      </c>
      <c r="S61" s="10">
        <f t="shared" si="39"/>
        <v>10101.642809678586</v>
      </c>
      <c r="T61" s="10">
        <f t="shared" si="39"/>
        <v>10519.088970747564</v>
      </c>
      <c r="U61" s="10">
        <f t="shared" si="39"/>
        <v>10719.624153123874</v>
      </c>
      <c r="V61" s="10">
        <f t="shared" si="39"/>
        <v>10847.731744312028</v>
      </c>
      <c r="W61" s="10">
        <f t="shared" si="39"/>
        <v>10976.582925243771</v>
      </c>
      <c r="X61" s="10">
        <f t="shared" ref="X61" si="40">X62*X38</f>
        <v>11106.177695919105</v>
      </c>
    </row>
    <row r="62" spans="2:24">
      <c r="B62" s="4" t="s">
        <v>3329</v>
      </c>
      <c r="C62" s="2"/>
      <c r="D62" s="10"/>
      <c r="E62" s="10"/>
      <c r="F62" s="10"/>
      <c r="G62" s="10"/>
      <c r="H62" s="10"/>
      <c r="I62" s="111">
        <f t="shared" ref="I62:P62" si="41">I61/I38</f>
        <v>1.3609022556390977</v>
      </c>
      <c r="J62" s="111">
        <f t="shared" si="41"/>
        <v>1.3016069221260815</v>
      </c>
      <c r="K62" s="111">
        <f t="shared" si="41"/>
        <v>1.3125671321160044</v>
      </c>
      <c r="L62" s="111">
        <f>L61/L38</f>
        <v>1.7667476570635197</v>
      </c>
      <c r="M62" s="111">
        <f t="shared" si="41"/>
        <v>1.7857615894039736</v>
      </c>
      <c r="N62" s="111">
        <f t="shared" si="41"/>
        <v>1.8027551053327742</v>
      </c>
      <c r="O62" s="111">
        <f t="shared" si="41"/>
        <v>1.8442742081996002</v>
      </c>
      <c r="P62" s="111">
        <f t="shared" si="41"/>
        <v>1.888052452646916</v>
      </c>
      <c r="Q62" s="1073">
        <f>P62+0.05</f>
        <v>1.9380524526469161</v>
      </c>
      <c r="R62" s="1073">
        <f t="shared" ref="R62:X62" si="42">Q62+0.01</f>
        <v>1.9480524526469161</v>
      </c>
      <c r="S62" s="1073">
        <f t="shared" si="42"/>
        <v>1.9580524526469161</v>
      </c>
      <c r="T62" s="1073">
        <f t="shared" si="42"/>
        <v>1.9680524526469161</v>
      </c>
      <c r="U62" s="1073">
        <f t="shared" si="42"/>
        <v>1.9780524526469161</v>
      </c>
      <c r="V62" s="1073">
        <f t="shared" si="42"/>
        <v>1.9880524526469161</v>
      </c>
      <c r="W62" s="1073">
        <f t="shared" si="42"/>
        <v>1.9980524526469161</v>
      </c>
      <c r="X62" s="1073">
        <f t="shared" si="42"/>
        <v>2.0080524526469161</v>
      </c>
    </row>
    <row r="63" spans="2:24">
      <c r="B63" s="4"/>
      <c r="C63" s="2"/>
      <c r="D63" s="10"/>
      <c r="E63" s="10"/>
      <c r="F63" s="10"/>
      <c r="G63" s="10"/>
      <c r="H63" s="10"/>
      <c r="I63" s="111"/>
      <c r="J63" s="111"/>
      <c r="K63" s="111"/>
      <c r="L63" s="111"/>
      <c r="M63" s="111"/>
      <c r="N63" s="111"/>
      <c r="O63" s="111"/>
      <c r="P63" s="111"/>
      <c r="Q63" s="111"/>
      <c r="R63" s="111"/>
      <c r="S63" s="111"/>
      <c r="T63" s="111"/>
      <c r="U63" s="111"/>
      <c r="V63" s="111"/>
      <c r="W63" s="111"/>
      <c r="X63" s="111"/>
    </row>
    <row r="64" spans="2:24">
      <c r="B64" s="4" t="s">
        <v>4163</v>
      </c>
      <c r="C64" s="2"/>
      <c r="D64" s="10"/>
      <c r="E64" s="10"/>
      <c r="F64" s="10"/>
      <c r="G64" s="10"/>
      <c r="H64" s="10"/>
      <c r="I64" s="111"/>
      <c r="J64" s="111"/>
      <c r="K64" s="111"/>
      <c r="L64" s="45">
        <v>2773</v>
      </c>
      <c r="M64" s="107">
        <v>3244</v>
      </c>
      <c r="N64" s="107">
        <v>3694</v>
      </c>
      <c r="O64" s="133">
        <v>4367.7</v>
      </c>
      <c r="P64" s="133">
        <v>6203</v>
      </c>
      <c r="Q64" s="111"/>
      <c r="R64" s="111"/>
      <c r="S64" s="111"/>
      <c r="T64" s="111"/>
      <c r="U64" s="111"/>
      <c r="V64" s="111"/>
      <c r="W64" s="111"/>
      <c r="X64" s="111"/>
    </row>
    <row r="65" spans="2:24">
      <c r="B65" s="4" t="s">
        <v>4165</v>
      </c>
      <c r="C65" s="2"/>
      <c r="D65" s="10"/>
      <c r="E65" s="10"/>
      <c r="F65" s="10"/>
      <c r="G65" s="10"/>
      <c r="H65" s="10"/>
      <c r="I65" s="111"/>
      <c r="J65" s="111"/>
      <c r="K65" s="111"/>
      <c r="L65" s="111">
        <f>L64/L47</f>
        <v>1.5702151755379388</v>
      </c>
      <c r="M65" s="111">
        <f>M64/M47</f>
        <v>1.6878251821019772</v>
      </c>
      <c r="N65" s="111">
        <f>N64/N47</f>
        <v>1.7798978510166714</v>
      </c>
      <c r="O65" s="111">
        <f>O64/O47</f>
        <v>1.8755958259973375</v>
      </c>
      <c r="P65" s="111">
        <f>P64/P47</f>
        <v>1.9990331936835322</v>
      </c>
      <c r="Q65" s="111"/>
      <c r="R65" s="111"/>
      <c r="S65" s="111"/>
      <c r="T65" s="111"/>
      <c r="U65" s="111"/>
      <c r="V65" s="111"/>
      <c r="W65" s="111"/>
      <c r="X65" s="111"/>
    </row>
    <row r="66" spans="2:24">
      <c r="E66" s="9"/>
    </row>
    <row r="67" spans="2:24">
      <c r="B67" s="478" t="s">
        <v>4168</v>
      </c>
      <c r="E67" s="9"/>
      <c r="L67" s="45">
        <v>29.2</v>
      </c>
      <c r="M67" s="107">
        <v>27.8</v>
      </c>
      <c r="N67" s="45">
        <v>26.9</v>
      </c>
      <c r="O67" s="90">
        <f>'New (new) quarts'!V724</f>
        <v>28.34781143503869</v>
      </c>
      <c r="P67" s="90">
        <v>28.2</v>
      </c>
      <c r="Q67" s="468">
        <f t="shared" ref="Q67:X67" si="43">(1+Q68)*P67</f>
        <v>30.596999999999998</v>
      </c>
      <c r="R67" s="468">
        <f t="shared" si="43"/>
        <v>32.43282</v>
      </c>
      <c r="S67" s="468">
        <f t="shared" si="43"/>
        <v>34.3787892</v>
      </c>
      <c r="T67" s="468">
        <f t="shared" si="43"/>
        <v>36.097728660000001</v>
      </c>
      <c r="U67" s="468">
        <f t="shared" si="43"/>
        <v>37.1806605198</v>
      </c>
      <c r="V67" s="468">
        <f t="shared" si="43"/>
        <v>38.667886940591998</v>
      </c>
      <c r="W67" s="468">
        <f t="shared" si="43"/>
        <v>40.214602418215676</v>
      </c>
      <c r="X67" s="468">
        <f t="shared" si="43"/>
        <v>41.823186514944304</v>
      </c>
    </row>
    <row r="68" spans="2:24">
      <c r="B68" s="478" t="s">
        <v>2353</v>
      </c>
      <c r="E68" s="9"/>
      <c r="M68" s="449">
        <f>M67/L67-1</f>
        <v>-4.7945205479452024E-2</v>
      </c>
      <c r="N68" s="449">
        <f>N67/M67-1</f>
        <v>-3.2374100719424481E-2</v>
      </c>
      <c r="O68" s="449">
        <f>O67/N67-1</f>
        <v>5.3821986432665003E-2</v>
      </c>
      <c r="P68" s="449">
        <f>P67/O67-1</f>
        <v>-5.2142097592758896E-3</v>
      </c>
      <c r="Q68" s="73">
        <v>8.5000000000000006E-2</v>
      </c>
      <c r="R68" s="73">
        <v>0.06</v>
      </c>
      <c r="S68" s="73">
        <v>0.06</v>
      </c>
      <c r="T68" s="73">
        <v>0.05</v>
      </c>
      <c r="U68" s="73">
        <v>0.03</v>
      </c>
      <c r="V68" s="73">
        <v>0.04</v>
      </c>
      <c r="W68" s="73">
        <v>0.04</v>
      </c>
      <c r="X68" s="73">
        <v>0.04</v>
      </c>
    </row>
    <row r="69" spans="2:24">
      <c r="E69" s="9"/>
    </row>
    <row r="70" spans="2:24">
      <c r="B70" s="478" t="s">
        <v>4169</v>
      </c>
      <c r="E70" s="9"/>
      <c r="L70" s="468"/>
      <c r="M70" s="454">
        <f t="shared" ref="M70:X70" si="44">M67*AVERAGE(L38,M38)*12/1000</f>
        <v>984.28680000000008</v>
      </c>
      <c r="N70" s="454">
        <f t="shared" si="44"/>
        <v>987.71957999999995</v>
      </c>
      <c r="O70" s="454">
        <f t="shared" si="44"/>
        <v>1088.9471589032892</v>
      </c>
      <c r="P70" s="454">
        <f t="shared" si="44"/>
        <v>1255.5655200000001</v>
      </c>
      <c r="Q70" s="454">
        <f t="shared" si="44"/>
        <v>1580.2361981538459</v>
      </c>
      <c r="R70" s="454">
        <f t="shared" si="44"/>
        <v>1819.750643889231</v>
      </c>
      <c r="S70" s="454">
        <f t="shared" si="44"/>
        <v>2066.9797437718157</v>
      </c>
      <c r="T70" s="454">
        <f t="shared" si="44"/>
        <v>2275.0121440744065</v>
      </c>
      <c r="U70" s="454">
        <f t="shared" si="44"/>
        <v>2401.3215398237107</v>
      </c>
      <c r="V70" s="454">
        <f t="shared" si="44"/>
        <v>2523.25214113844</v>
      </c>
      <c r="W70" s="454">
        <f t="shared" si="44"/>
        <v>2642.1241263244119</v>
      </c>
      <c r="X70" s="454">
        <f t="shared" si="44"/>
        <v>2766.4686668994409</v>
      </c>
    </row>
    <row r="71" spans="2:24">
      <c r="B71" s="487" t="s">
        <v>1540</v>
      </c>
      <c r="C71" s="455"/>
      <c r="D71" s="455"/>
      <c r="E71" s="13"/>
      <c r="F71" s="455"/>
      <c r="G71" s="455"/>
      <c r="H71" s="455"/>
      <c r="I71" s="455"/>
      <c r="J71" s="455"/>
      <c r="K71" s="455"/>
      <c r="L71" s="483"/>
      <c r="M71" s="462">
        <f>M72-M70</f>
        <v>4.7131999999999152</v>
      </c>
      <c r="N71" s="462">
        <f>N72-N70</f>
        <v>15.180420000000026</v>
      </c>
      <c r="O71" s="462">
        <f>O72-O70</f>
        <v>37.35284109671079</v>
      </c>
      <c r="P71" s="462">
        <f>P72-P70</f>
        <v>2.4344799999998941</v>
      </c>
      <c r="Q71" s="462">
        <f t="shared" ref="Q71:X71" si="45">P71/P70*Q70</f>
        <v>3.0640005307579705</v>
      </c>
      <c r="R71" s="462">
        <f t="shared" si="45"/>
        <v>3.5284073009071344</v>
      </c>
      <c r="S71" s="462">
        <f t="shared" si="45"/>
        <v>4.0077724073032774</v>
      </c>
      <c r="T71" s="462">
        <f t="shared" si="45"/>
        <v>4.4111370344942413</v>
      </c>
      <c r="U71" s="462">
        <f t="shared" si="45"/>
        <v>4.6560447616224545</v>
      </c>
      <c r="V71" s="462">
        <f t="shared" si="45"/>
        <v>4.8924622209746911</v>
      </c>
      <c r="W71" s="462">
        <f t="shared" si="45"/>
        <v>5.1229491735755657</v>
      </c>
      <c r="X71" s="462">
        <f t="shared" si="45"/>
        <v>5.3640471428309526</v>
      </c>
    </row>
    <row r="72" spans="2:24">
      <c r="B72" s="478" t="s">
        <v>4170</v>
      </c>
      <c r="E72" s="9"/>
      <c r="L72" s="45">
        <v>620</v>
      </c>
      <c r="M72" s="107">
        <v>989</v>
      </c>
      <c r="N72" s="133">
        <v>1002.9</v>
      </c>
      <c r="O72" s="133">
        <v>1126.3</v>
      </c>
      <c r="P72" s="107">
        <v>1258</v>
      </c>
      <c r="Q72" s="454">
        <f t="shared" ref="Q72:W72" si="46">Q70+Q71</f>
        <v>1583.3001986846039</v>
      </c>
      <c r="R72" s="454">
        <f t="shared" si="46"/>
        <v>1823.2790511901383</v>
      </c>
      <c r="S72" s="454">
        <f t="shared" si="46"/>
        <v>2070.9875161791192</v>
      </c>
      <c r="T72" s="454">
        <f t="shared" si="46"/>
        <v>2279.4232811089009</v>
      </c>
      <c r="U72" s="454">
        <f t="shared" si="46"/>
        <v>2405.9775845853333</v>
      </c>
      <c r="V72" s="454">
        <f t="shared" si="46"/>
        <v>2528.1446033594148</v>
      </c>
      <c r="W72" s="454">
        <f t="shared" si="46"/>
        <v>2647.2470754979877</v>
      </c>
      <c r="X72" s="454">
        <f t="shared" ref="X72" si="47">X70+X71</f>
        <v>2771.8327140422721</v>
      </c>
    </row>
    <row r="73" spans="2:24">
      <c r="B73" s="478"/>
      <c r="E73" s="9"/>
      <c r="N73" s="449">
        <f t="shared" ref="N73:X73" si="48">N72/M72-1</f>
        <v>1.4054600606673295E-2</v>
      </c>
      <c r="O73" s="449">
        <f t="shared" si="48"/>
        <v>0.12304317479310001</v>
      </c>
      <c r="P73" s="449">
        <f t="shared" si="48"/>
        <v>0.11693154576933318</v>
      </c>
      <c r="Q73" s="449">
        <f t="shared" si="48"/>
        <v>0.25858521358076625</v>
      </c>
      <c r="R73" s="449">
        <f t="shared" si="48"/>
        <v>0.15156876295784416</v>
      </c>
      <c r="S73" s="449">
        <f t="shared" si="48"/>
        <v>0.13585877862595419</v>
      </c>
      <c r="T73" s="449">
        <f t="shared" si="48"/>
        <v>0.10064559216384672</v>
      </c>
      <c r="U73" s="449">
        <f t="shared" si="48"/>
        <v>5.5520317145688614E-2</v>
      </c>
      <c r="V73" s="449">
        <f t="shared" si="48"/>
        <v>5.0776457584968293E-2</v>
      </c>
      <c r="W73" s="449">
        <f t="shared" si="48"/>
        <v>4.7110624914535659E-2</v>
      </c>
      <c r="X73" s="449">
        <f t="shared" si="48"/>
        <v>4.706233872063037E-2</v>
      </c>
    </row>
    <row r="74" spans="2:24">
      <c r="B74" s="478"/>
      <c r="E74" s="9"/>
      <c r="I74" s="478"/>
      <c r="N74" s="454"/>
      <c r="O74" s="454"/>
      <c r="P74" s="454"/>
      <c r="Q74" s="454"/>
      <c r="R74" s="454"/>
      <c r="S74" s="454"/>
      <c r="T74" s="454"/>
      <c r="U74" s="454"/>
      <c r="V74" s="454"/>
      <c r="W74" s="454"/>
      <c r="X74" s="454"/>
    </row>
    <row r="75" spans="2:24">
      <c r="B75" s="478" t="s">
        <v>4171</v>
      </c>
      <c r="E75" s="9"/>
      <c r="L75" s="45">
        <v>344</v>
      </c>
      <c r="M75" s="107">
        <v>591</v>
      </c>
      <c r="N75" s="133">
        <v>564.9</v>
      </c>
      <c r="O75" s="133">
        <v>627</v>
      </c>
      <c r="P75" s="133">
        <v>550</v>
      </c>
      <c r="Q75" s="454">
        <f t="shared" ref="Q75:X75" si="49">(1+Q76)*P75</f>
        <v>660</v>
      </c>
      <c r="R75" s="454">
        <f t="shared" si="49"/>
        <v>712.80000000000007</v>
      </c>
      <c r="S75" s="454">
        <f t="shared" si="49"/>
        <v>769.82400000000007</v>
      </c>
      <c r="T75" s="454">
        <f t="shared" si="49"/>
        <v>831.40992000000017</v>
      </c>
      <c r="U75" s="454">
        <f t="shared" si="49"/>
        <v>897.92271360000029</v>
      </c>
      <c r="V75" s="454">
        <f t="shared" si="49"/>
        <v>969.75653068800034</v>
      </c>
      <c r="W75" s="454">
        <f t="shared" si="49"/>
        <v>1047.3370531430405</v>
      </c>
      <c r="X75" s="454">
        <f t="shared" si="49"/>
        <v>1131.1240173944839</v>
      </c>
    </row>
    <row r="76" spans="2:24">
      <c r="B76" s="478"/>
      <c r="E76" s="9"/>
      <c r="N76" s="449">
        <f>N75/M75-1</f>
        <v>-4.4162436548223383E-2</v>
      </c>
      <c r="O76" s="449">
        <f>O75/N75-1</f>
        <v>0.10993096123207646</v>
      </c>
      <c r="P76" s="449">
        <f>P75/O75-1</f>
        <v>-0.1228070175438597</v>
      </c>
      <c r="Q76" s="73">
        <v>0.2</v>
      </c>
      <c r="R76" s="73">
        <v>0.08</v>
      </c>
      <c r="S76" s="73">
        <v>0.08</v>
      </c>
      <c r="T76" s="73">
        <v>0.08</v>
      </c>
      <c r="U76" s="73">
        <v>0.08</v>
      </c>
      <c r="V76" s="73">
        <v>0.08</v>
      </c>
      <c r="W76" s="73">
        <v>0.08</v>
      </c>
      <c r="X76" s="73">
        <v>0.08</v>
      </c>
    </row>
    <row r="77" spans="2:24">
      <c r="B77" s="478" t="s">
        <v>4172</v>
      </c>
      <c r="E77" s="9"/>
      <c r="L77" s="449">
        <f t="shared" ref="L77:R77" si="50">L75/L80</f>
        <v>0.35463917525773198</v>
      </c>
      <c r="M77" s="449">
        <f t="shared" si="50"/>
        <v>0.37216624685138538</v>
      </c>
      <c r="N77" s="449">
        <f t="shared" si="50"/>
        <v>0.35855284036813706</v>
      </c>
      <c r="O77" s="449">
        <f t="shared" si="50"/>
        <v>0.35714285714285715</v>
      </c>
      <c r="P77" s="449">
        <f t="shared" si="50"/>
        <v>0.30420353982300885</v>
      </c>
      <c r="Q77" s="449">
        <f t="shared" si="50"/>
        <v>0.29420939755945363</v>
      </c>
      <c r="R77" s="449">
        <f t="shared" si="50"/>
        <v>0.28106379399549686</v>
      </c>
      <c r="S77" s="449">
        <f t="shared" ref="S77:X77" si="51">S75/S80</f>
        <v>0.27098735541434671</v>
      </c>
      <c r="T77" s="449">
        <f t="shared" si="51"/>
        <v>0.26726277696394402</v>
      </c>
      <c r="U77" s="449">
        <f t="shared" si="51"/>
        <v>0.27177657694246526</v>
      </c>
      <c r="V77" s="449">
        <f t="shared" si="51"/>
        <v>0.27723954838194548</v>
      </c>
      <c r="W77" s="449">
        <f t="shared" si="51"/>
        <v>0.28347901053975472</v>
      </c>
      <c r="X77" s="449">
        <f t="shared" si="51"/>
        <v>0.28981208228206379</v>
      </c>
    </row>
    <row r="78" spans="2:24">
      <c r="B78" s="478"/>
      <c r="E78" s="9"/>
      <c r="L78" s="449"/>
      <c r="M78" s="449"/>
      <c r="N78" s="449"/>
      <c r="O78" s="449"/>
      <c r="P78" s="449"/>
      <c r="Q78" s="449"/>
      <c r="R78" s="449"/>
      <c r="S78" s="449"/>
      <c r="T78" s="449"/>
      <c r="U78" s="449"/>
      <c r="V78" s="449"/>
      <c r="W78" s="449"/>
      <c r="X78" s="449"/>
    </row>
    <row r="79" spans="2:24">
      <c r="B79" s="478" t="s">
        <v>1540</v>
      </c>
      <c r="E79" s="9"/>
      <c r="L79" s="454">
        <f>L80-L72-L75</f>
        <v>6</v>
      </c>
      <c r="M79" s="454">
        <f>M80-M72-M75</f>
        <v>8</v>
      </c>
      <c r="N79" s="454">
        <f>N80-N72-N75</f>
        <v>7.7000000000000455</v>
      </c>
      <c r="O79" s="454">
        <f>O80-O72-O75</f>
        <v>2.2999999999999545</v>
      </c>
      <c r="P79" s="454">
        <f>P80-P72-P75</f>
        <v>0</v>
      </c>
      <c r="Q79" s="454">
        <f t="shared" ref="Q79:X79" si="52">P79/(P75+P72)*(Q75+Q72)</f>
        <v>0</v>
      </c>
      <c r="R79" s="454">
        <f t="shared" si="52"/>
        <v>0</v>
      </c>
      <c r="S79" s="454">
        <f t="shared" si="52"/>
        <v>0</v>
      </c>
      <c r="T79" s="454">
        <f t="shared" si="52"/>
        <v>0</v>
      </c>
      <c r="U79" s="454">
        <f t="shared" si="52"/>
        <v>0</v>
      </c>
      <c r="V79" s="454">
        <f t="shared" si="52"/>
        <v>0</v>
      </c>
      <c r="W79" s="454">
        <f t="shared" si="52"/>
        <v>0</v>
      </c>
      <c r="X79" s="454">
        <f t="shared" si="52"/>
        <v>0</v>
      </c>
    </row>
    <row r="80" spans="2:24">
      <c r="B80" s="479" t="s">
        <v>4175</v>
      </c>
      <c r="C80" s="470"/>
      <c r="D80" s="470"/>
      <c r="E80" s="95"/>
      <c r="F80" s="470"/>
      <c r="G80" s="470"/>
      <c r="H80" s="470"/>
      <c r="I80" s="470"/>
      <c r="J80" s="470"/>
      <c r="K80" s="470"/>
      <c r="L80" s="1074">
        <v>970</v>
      </c>
      <c r="M80" s="1075">
        <v>1588</v>
      </c>
      <c r="N80" s="1114">
        <v>1575.5</v>
      </c>
      <c r="O80" s="1114">
        <v>1755.6</v>
      </c>
      <c r="P80" s="1114">
        <v>1808</v>
      </c>
      <c r="Q80" s="471">
        <f t="shared" ref="Q80:W80" si="53">Q72+Q75+Q79</f>
        <v>2243.3001986846039</v>
      </c>
      <c r="R80" s="471">
        <f t="shared" si="53"/>
        <v>2536.0790511901382</v>
      </c>
      <c r="S80" s="471">
        <f t="shared" si="53"/>
        <v>2840.8115161791193</v>
      </c>
      <c r="T80" s="471">
        <f t="shared" si="53"/>
        <v>3110.833201108901</v>
      </c>
      <c r="U80" s="471">
        <f t="shared" si="53"/>
        <v>3303.9002981853337</v>
      </c>
      <c r="V80" s="471">
        <f t="shared" si="53"/>
        <v>3497.9011340474153</v>
      </c>
      <c r="W80" s="471">
        <f t="shared" si="53"/>
        <v>3694.5841286410282</v>
      </c>
      <c r="X80" s="471">
        <f t="shared" ref="X80" si="54">X72+X75+X79</f>
        <v>3902.9567314367559</v>
      </c>
    </row>
    <row r="81" spans="2:24">
      <c r="B81" s="478" t="s">
        <v>2353</v>
      </c>
      <c r="E81" s="9"/>
      <c r="N81" s="449">
        <f t="shared" ref="N81:X81" si="55">N80/M80-1</f>
        <v>-7.8715365239294677E-3</v>
      </c>
      <c r="O81" s="449">
        <f>O80/N80-1</f>
        <v>0.11431291653443343</v>
      </c>
      <c r="P81" s="449">
        <f t="shared" si="55"/>
        <v>2.9847345636819345E-2</v>
      </c>
      <c r="Q81" s="449">
        <f t="shared" si="55"/>
        <v>0.2407633842282102</v>
      </c>
      <c r="R81" s="449">
        <f t="shared" si="55"/>
        <v>0.13051256032394143</v>
      </c>
      <c r="S81" s="449">
        <f t="shared" si="55"/>
        <v>0.12015889837738913</v>
      </c>
      <c r="T81" s="449">
        <f t="shared" si="55"/>
        <v>9.5050897742402718E-2</v>
      </c>
      <c r="U81" s="449">
        <f t="shared" si="55"/>
        <v>6.2062825164528546E-2</v>
      </c>
      <c r="V81" s="449">
        <f t="shared" si="55"/>
        <v>5.8718731908658617E-2</v>
      </c>
      <c r="W81" s="449">
        <f t="shared" si="55"/>
        <v>5.6228860409794246E-2</v>
      </c>
      <c r="X81" s="449">
        <f t="shared" si="55"/>
        <v>5.6399474349599688E-2</v>
      </c>
    </row>
    <row r="83" spans="2:24">
      <c r="B83" s="450" t="s">
        <v>4173</v>
      </c>
      <c r="E83" s="9"/>
      <c r="L83" s="449"/>
      <c r="M83" s="449"/>
      <c r="N83" s="449"/>
      <c r="O83" s="449"/>
      <c r="P83" s="449"/>
      <c r="Q83" s="449"/>
      <c r="R83" s="449"/>
      <c r="S83" s="449"/>
      <c r="T83" s="449"/>
      <c r="U83" s="449"/>
      <c r="V83" s="449"/>
      <c r="W83" s="449"/>
      <c r="X83" s="449"/>
    </row>
    <row r="84" spans="2:24">
      <c r="B84" s="478" t="s">
        <v>1828</v>
      </c>
      <c r="E84" s="9"/>
      <c r="L84" s="454">
        <f t="shared" ref="L84:R84" si="56">L12</f>
        <v>364</v>
      </c>
      <c r="M84" s="454">
        <f t="shared" si="56"/>
        <v>447</v>
      </c>
      <c r="N84" s="454">
        <f>N12</f>
        <v>477.8</v>
      </c>
      <c r="O84" s="454">
        <f t="shared" si="56"/>
        <v>506.43879999999996</v>
      </c>
      <c r="P84" s="454">
        <f t="shared" si="56"/>
        <v>580.53561999999988</v>
      </c>
      <c r="Q84" s="454">
        <f t="shared" si="56"/>
        <v>666.35457699999995</v>
      </c>
      <c r="R84" s="454">
        <f t="shared" si="56"/>
        <v>765.81056376999982</v>
      </c>
      <c r="S84" s="454">
        <f t="shared" ref="S84:X84" si="57">S12</f>
        <v>857.73035121129988</v>
      </c>
      <c r="T84" s="454">
        <f t="shared" si="57"/>
        <v>939.09000468930492</v>
      </c>
      <c r="U84" s="454">
        <f t="shared" si="57"/>
        <v>1001.9160087481927</v>
      </c>
      <c r="V84" s="454">
        <f t="shared" si="57"/>
        <v>1052.0118091856023</v>
      </c>
      <c r="W84" s="454">
        <f t="shared" si="57"/>
        <v>1104.6123996448825</v>
      </c>
      <c r="X84" s="454">
        <f t="shared" si="57"/>
        <v>1159.8430196271268</v>
      </c>
    </row>
    <row r="85" spans="2:24">
      <c r="B85" s="478" t="s">
        <v>4174</v>
      </c>
      <c r="E85" s="9"/>
      <c r="L85" s="454">
        <f>L25</f>
        <v>108</v>
      </c>
      <c r="M85" s="454">
        <f>M25</f>
        <v>100.78732724902216</v>
      </c>
      <c r="N85" s="454">
        <f ca="1">N87-N84-N86</f>
        <v>135.14225538853816</v>
      </c>
      <c r="O85" s="454">
        <f t="shared" ref="O85:W85" ca="1" si="58">O87-O84-O86</f>
        <v>217.78475666683426</v>
      </c>
      <c r="P85" s="454">
        <f t="shared" ca="1" si="58"/>
        <v>314.72115511870993</v>
      </c>
      <c r="Q85" s="454">
        <f t="shared" ca="1" si="58"/>
        <v>743.23250321448472</v>
      </c>
      <c r="R85" s="454">
        <f t="shared" ca="1" si="58"/>
        <v>1045.2105081984555</v>
      </c>
      <c r="S85" s="454">
        <f t="shared" ca="1" si="58"/>
        <v>1220.5757401245639</v>
      </c>
      <c r="T85" s="454">
        <f t="shared" ca="1" si="58"/>
        <v>1380.0588463486629</v>
      </c>
      <c r="U85" s="454">
        <f t="shared" ca="1" si="58"/>
        <v>1500.4264341238927</v>
      </c>
      <c r="V85" s="454">
        <f t="shared" ca="1" si="58"/>
        <v>1633.6684225524705</v>
      </c>
      <c r="W85" s="454">
        <f t="shared" ca="1" si="58"/>
        <v>1766.2104299657717</v>
      </c>
      <c r="X85" s="454">
        <f t="shared" ref="X85" ca="1" si="59">X87-X84-X86</f>
        <v>1906.8462092915488</v>
      </c>
    </row>
    <row r="86" spans="2:24">
      <c r="B86" s="487" t="s">
        <v>2705</v>
      </c>
      <c r="C86" s="455"/>
      <c r="D86" s="455"/>
      <c r="E86" s="13"/>
      <c r="F86" s="455"/>
      <c r="G86" s="455"/>
      <c r="H86" s="455"/>
      <c r="I86" s="455"/>
      <c r="J86" s="455"/>
      <c r="K86" s="455"/>
      <c r="L86" s="462">
        <f>Quarts!BK228</f>
        <v>498</v>
      </c>
      <c r="M86" s="462">
        <f>Colombia!L216</f>
        <v>1041.2126727509778</v>
      </c>
      <c r="N86" s="462">
        <f ca="1">Colombia!M216</f>
        <v>962.55774461146189</v>
      </c>
      <c r="O86" s="462">
        <f ca="1">Colombia!N216</f>
        <v>1031.3764433331658</v>
      </c>
      <c r="P86" s="462">
        <f ca="1">Colombia!O216</f>
        <v>912.74322488129019</v>
      </c>
      <c r="Q86" s="462">
        <f ca="1">Colombia!P216</f>
        <v>833.71311847011907</v>
      </c>
      <c r="R86" s="462">
        <f ca="1">Colombia!Q216</f>
        <v>725.0579792216829</v>
      </c>
      <c r="S86" s="462">
        <f ca="1">Colombia!R216</f>
        <v>762.50542484325547</v>
      </c>
      <c r="T86" s="462">
        <f ca="1">Colombia!S216</f>
        <v>791.68435007093319</v>
      </c>
      <c r="U86" s="462">
        <f ca="1">Colombia!T216</f>
        <v>801.55785531324818</v>
      </c>
      <c r="V86" s="462">
        <f ca="1">Colombia!U216</f>
        <v>812.22090230934282</v>
      </c>
      <c r="W86" s="462">
        <f ca="1">Colombia!V216</f>
        <v>823.76129903037361</v>
      </c>
      <c r="X86" s="462">
        <f ca="1">Colombia!W216</f>
        <v>836.26750251808062</v>
      </c>
    </row>
    <row r="87" spans="2:24">
      <c r="B87" s="478" t="s">
        <v>2324</v>
      </c>
      <c r="E87" s="9"/>
      <c r="L87" s="454">
        <f>SUM(L84:L86)</f>
        <v>970</v>
      </c>
      <c r="M87" s="454">
        <f>SUM(M84:M86)</f>
        <v>1589</v>
      </c>
      <c r="N87" s="454">
        <f>N80</f>
        <v>1575.5</v>
      </c>
      <c r="O87" s="454">
        <f t="shared" ref="O87:W87" si="60">O80</f>
        <v>1755.6</v>
      </c>
      <c r="P87" s="454">
        <f t="shared" si="60"/>
        <v>1808</v>
      </c>
      <c r="Q87" s="454">
        <f t="shared" si="60"/>
        <v>2243.3001986846039</v>
      </c>
      <c r="R87" s="454">
        <f t="shared" si="60"/>
        <v>2536.0790511901382</v>
      </c>
      <c r="S87" s="454">
        <f t="shared" si="60"/>
        <v>2840.8115161791193</v>
      </c>
      <c r="T87" s="454">
        <f t="shared" si="60"/>
        <v>3110.833201108901</v>
      </c>
      <c r="U87" s="454">
        <f t="shared" si="60"/>
        <v>3303.9002981853337</v>
      </c>
      <c r="V87" s="454">
        <f t="shared" si="60"/>
        <v>3497.9011340474153</v>
      </c>
      <c r="W87" s="454">
        <f t="shared" si="60"/>
        <v>3694.5841286410282</v>
      </c>
      <c r="X87" s="454">
        <f t="shared" ref="X87" si="61">X80</f>
        <v>3902.9567314367559</v>
      </c>
    </row>
    <row r="88" spans="2:24">
      <c r="B88" s="478"/>
      <c r="E88" s="9"/>
      <c r="L88" s="454"/>
      <c r="M88" s="449"/>
      <c r="N88" s="454"/>
      <c r="O88" s="454"/>
      <c r="P88" s="454"/>
      <c r="Q88" s="454"/>
      <c r="R88" s="454"/>
      <c r="S88" s="454"/>
      <c r="T88" s="454"/>
      <c r="U88" s="454"/>
      <c r="V88" s="454"/>
      <c r="W88" s="454"/>
      <c r="X88" s="454"/>
    </row>
    <row r="89" spans="2:24">
      <c r="B89" s="450" t="s">
        <v>4181</v>
      </c>
      <c r="E89" s="9"/>
      <c r="L89" s="454"/>
      <c r="M89" s="454"/>
      <c r="N89" s="454"/>
      <c r="O89" s="454"/>
      <c r="P89" s="454"/>
      <c r="Q89" s="454"/>
      <c r="R89" s="454"/>
      <c r="S89" s="454"/>
      <c r="T89" s="454"/>
      <c r="U89" s="454"/>
      <c r="V89" s="454"/>
      <c r="W89" s="454"/>
      <c r="X89" s="454"/>
    </row>
    <row r="90" spans="2:24">
      <c r="B90" s="608" t="s">
        <v>4178</v>
      </c>
      <c r="E90" s="9"/>
      <c r="L90" s="454">
        <f>'Country quarts'!G15</f>
        <v>138.1244774057769</v>
      </c>
      <c r="M90" s="454">
        <f>'Country quarts'!L15</f>
        <v>151</v>
      </c>
      <c r="N90" s="454">
        <f>'Country quarts'!Q15</f>
        <v>158.68405614394064</v>
      </c>
      <c r="O90" s="454"/>
      <c r="P90" s="454"/>
      <c r="Q90" s="454"/>
      <c r="R90" s="454"/>
      <c r="S90" s="454"/>
      <c r="T90" s="454"/>
      <c r="U90" s="454"/>
      <c r="V90" s="454"/>
      <c r="W90" s="454"/>
      <c r="X90" s="454"/>
    </row>
    <row r="91" spans="2:24">
      <c r="B91" s="608"/>
      <c r="E91" s="9"/>
      <c r="L91" s="454"/>
      <c r="M91" s="454"/>
      <c r="N91" s="454"/>
      <c r="O91" s="454"/>
      <c r="P91" s="454"/>
      <c r="Q91" s="454"/>
      <c r="R91" s="454"/>
      <c r="S91" s="454"/>
      <c r="T91" s="454"/>
      <c r="U91" s="454"/>
      <c r="V91" s="454"/>
      <c r="W91" s="454"/>
      <c r="X91" s="454"/>
    </row>
    <row r="92" spans="2:24">
      <c r="B92" s="608" t="s">
        <v>4179</v>
      </c>
      <c r="E92" s="9"/>
      <c r="L92" s="454">
        <f>L93+L94</f>
        <v>79.467223099835749</v>
      </c>
      <c r="M92" s="454">
        <f>M93+M94</f>
        <v>127.5</v>
      </c>
      <c r="N92" s="454"/>
      <c r="O92" s="454"/>
      <c r="P92" s="454"/>
      <c r="Q92" s="454"/>
      <c r="R92" s="454"/>
      <c r="S92" s="454"/>
      <c r="T92" s="454"/>
      <c r="U92" s="454"/>
      <c r="V92" s="454"/>
      <c r="W92" s="454"/>
      <c r="X92" s="454"/>
    </row>
    <row r="93" spans="2:24">
      <c r="B93" s="608" t="s">
        <v>4183</v>
      </c>
      <c r="E93" s="9"/>
      <c r="L93" s="46">
        <f>M93/1.66</f>
        <v>44.698795180722897</v>
      </c>
      <c r="M93" s="133">
        <v>74.2</v>
      </c>
      <c r="N93" s="454"/>
      <c r="O93" s="454"/>
      <c r="P93" s="454"/>
      <c r="Q93" s="454"/>
      <c r="R93" s="454"/>
      <c r="S93" s="454"/>
      <c r="T93" s="454"/>
      <c r="U93" s="454"/>
      <c r="V93" s="454"/>
      <c r="W93" s="454"/>
      <c r="X93" s="454"/>
    </row>
    <row r="94" spans="2:24">
      <c r="B94" s="608" t="s">
        <v>4184</v>
      </c>
      <c r="E94" s="9"/>
      <c r="L94" s="46">
        <f>M94/1.533</f>
        <v>34.768427919112852</v>
      </c>
      <c r="M94" s="133">
        <v>53.3</v>
      </c>
      <c r="N94" s="454"/>
      <c r="O94" s="454"/>
      <c r="P94" s="454"/>
      <c r="Q94" s="454"/>
      <c r="R94" s="454"/>
      <c r="S94" s="454"/>
      <c r="T94" s="454"/>
      <c r="U94" s="454"/>
      <c r="V94" s="454"/>
      <c r="W94" s="454"/>
      <c r="X94" s="454"/>
    </row>
    <row r="95" spans="2:24">
      <c r="B95" s="608"/>
      <c r="E95" s="9"/>
      <c r="L95" s="454"/>
      <c r="M95" s="454"/>
      <c r="N95" s="454"/>
      <c r="O95" s="454"/>
      <c r="P95" s="454"/>
      <c r="Q95" s="454"/>
      <c r="R95" s="454"/>
      <c r="S95" s="454"/>
      <c r="T95" s="454"/>
      <c r="U95" s="454"/>
      <c r="V95" s="454"/>
      <c r="W95" s="454"/>
      <c r="X95" s="454"/>
    </row>
    <row r="96" spans="2:24">
      <c r="B96" s="608" t="s">
        <v>4180</v>
      </c>
      <c r="E96" s="9"/>
      <c r="L96" s="454">
        <f>L98*1000/SA!O72</f>
        <v>70.472792149866194</v>
      </c>
      <c r="M96" s="454">
        <f>M98*1000/SA!P72</f>
        <v>59.867948235382805</v>
      </c>
      <c r="N96" s="454"/>
      <c r="O96" s="454"/>
      <c r="P96" s="454"/>
      <c r="Q96" s="454"/>
      <c r="R96" s="454"/>
      <c r="S96" s="454"/>
      <c r="T96" s="454"/>
      <c r="U96" s="454"/>
      <c r="V96" s="454"/>
      <c r="W96" s="454"/>
      <c r="X96" s="454"/>
    </row>
    <row r="97" spans="2:24">
      <c r="B97" s="608"/>
      <c r="E97" s="9"/>
      <c r="L97" s="454"/>
      <c r="M97" s="454"/>
      <c r="N97" s="454"/>
      <c r="O97" s="454"/>
      <c r="P97" s="454"/>
      <c r="Q97" s="454"/>
      <c r="R97" s="454"/>
      <c r="S97" s="454"/>
      <c r="T97" s="454"/>
      <c r="U97" s="454"/>
      <c r="V97" s="454"/>
      <c r="W97" s="454"/>
      <c r="X97" s="454"/>
    </row>
    <row r="98" spans="2:24">
      <c r="B98" s="608" t="s">
        <v>4182</v>
      </c>
      <c r="E98" s="9"/>
      <c r="L98" s="133">
        <v>316</v>
      </c>
      <c r="M98" s="133">
        <v>312</v>
      </c>
      <c r="N98" s="449"/>
      <c r="O98" s="449"/>
      <c r="P98" s="449"/>
      <c r="Q98" s="449"/>
      <c r="R98" s="449"/>
      <c r="S98" s="449"/>
      <c r="T98" s="449"/>
      <c r="U98" s="449"/>
      <c r="V98" s="449"/>
      <c r="W98" s="449"/>
      <c r="X98" s="449"/>
    </row>
    <row r="99" spans="2:24" hidden="1" outlineLevel="1">
      <c r="B99" t="s">
        <v>584</v>
      </c>
      <c r="E99" s="9"/>
    </row>
    <row r="100" spans="2:24" hidden="1" outlineLevel="1">
      <c r="B100" t="str">
        <f>B58</f>
        <v>Cable</v>
      </c>
      <c r="E100" s="9">
        <f t="shared" ref="E100:X100" si="62">E58-D58</f>
        <v>20</v>
      </c>
      <c r="F100" s="9">
        <f t="shared" si="62"/>
        <v>26</v>
      </c>
      <c r="G100" s="9">
        <f t="shared" si="62"/>
        <v>43.5</v>
      </c>
      <c r="H100" s="9">
        <f t="shared" si="62"/>
        <v>45.5</v>
      </c>
      <c r="I100" s="9">
        <f t="shared" si="62"/>
        <v>16</v>
      </c>
      <c r="J100" s="9">
        <f t="shared" si="62"/>
        <v>214</v>
      </c>
      <c r="K100" s="9">
        <f t="shared" si="62"/>
        <v>84</v>
      </c>
      <c r="L100" s="9">
        <f t="shared" si="62"/>
        <v>-769</v>
      </c>
      <c r="M100" s="9">
        <f t="shared" si="62"/>
        <v>0</v>
      </c>
      <c r="N100" s="9">
        <f t="shared" si="62"/>
        <v>0</v>
      </c>
      <c r="O100" s="9">
        <f t="shared" si="62"/>
        <v>0</v>
      </c>
      <c r="P100" s="9">
        <f t="shared" si="62"/>
        <v>0</v>
      </c>
      <c r="Q100" s="9">
        <f t="shared" si="62"/>
        <v>0</v>
      </c>
      <c r="R100" s="9">
        <f t="shared" si="62"/>
        <v>0</v>
      </c>
      <c r="S100" s="9">
        <f t="shared" si="62"/>
        <v>0</v>
      </c>
      <c r="T100" s="9">
        <f t="shared" si="62"/>
        <v>0</v>
      </c>
      <c r="U100" s="9">
        <f t="shared" si="62"/>
        <v>0</v>
      </c>
      <c r="V100" s="9">
        <f t="shared" si="62"/>
        <v>0</v>
      </c>
      <c r="W100" s="9">
        <f t="shared" si="62"/>
        <v>0</v>
      </c>
      <c r="X100" s="9">
        <f t="shared" si="62"/>
        <v>0</v>
      </c>
    </row>
    <row r="101" spans="2:24" hidden="1" outlineLevel="1">
      <c r="B101" t="str">
        <f>B59</f>
        <v>Telephony</v>
      </c>
      <c r="E101" s="9">
        <f t="shared" ref="E101:X101" si="63">E59-D59</f>
        <v>6.7759999999999998</v>
      </c>
      <c r="F101" s="9">
        <f t="shared" si="63"/>
        <v>1.2828705882352942</v>
      </c>
      <c r="G101" s="9">
        <f t="shared" si="63"/>
        <v>2.1463411764705889</v>
      </c>
      <c r="H101" s="9">
        <f t="shared" si="63"/>
        <v>2.245023529411764</v>
      </c>
      <c r="I101" s="9">
        <f t="shared" si="63"/>
        <v>40.549764705882353</v>
      </c>
      <c r="J101" s="9">
        <f t="shared" si="63"/>
        <v>27</v>
      </c>
      <c r="K101" s="9">
        <f t="shared" si="63"/>
        <v>38</v>
      </c>
      <c r="L101" s="9">
        <f t="shared" si="63"/>
        <v>-128</v>
      </c>
      <c r="M101" s="9">
        <f t="shared" si="63"/>
        <v>0</v>
      </c>
      <c r="N101" s="9">
        <f t="shared" si="63"/>
        <v>0</v>
      </c>
      <c r="O101" s="9">
        <f t="shared" si="63"/>
        <v>0</v>
      </c>
      <c r="P101" s="9">
        <f t="shared" si="63"/>
        <v>0</v>
      </c>
      <c r="Q101" s="9">
        <f t="shared" si="63"/>
        <v>0</v>
      </c>
      <c r="R101" s="9">
        <f t="shared" si="63"/>
        <v>0</v>
      </c>
      <c r="S101" s="9">
        <f t="shared" si="63"/>
        <v>0</v>
      </c>
      <c r="T101" s="9">
        <f t="shared" si="63"/>
        <v>0</v>
      </c>
      <c r="U101" s="9">
        <f t="shared" si="63"/>
        <v>0</v>
      </c>
      <c r="V101" s="9">
        <f t="shared" si="63"/>
        <v>0</v>
      </c>
      <c r="W101" s="9">
        <f t="shared" si="63"/>
        <v>0</v>
      </c>
      <c r="X101" s="9">
        <f t="shared" si="63"/>
        <v>0</v>
      </c>
    </row>
    <row r="102" spans="2:24" hidden="1" outlineLevel="1">
      <c r="B102" s="11" t="str">
        <f>B60</f>
        <v>Broadband internet</v>
      </c>
      <c r="C102" s="11"/>
      <c r="D102" s="11"/>
      <c r="E102" s="13">
        <f t="shared" ref="E102:X102" si="64">E60-D60</f>
        <v>13.218999999999994</v>
      </c>
      <c r="F102" s="13">
        <f t="shared" si="64"/>
        <v>29.26100000000001</v>
      </c>
      <c r="G102" s="13">
        <f t="shared" si="64"/>
        <v>36.750000000000014</v>
      </c>
      <c r="H102" s="13">
        <f t="shared" si="64"/>
        <v>51.870000000000005</v>
      </c>
      <c r="I102" s="13">
        <f t="shared" si="64"/>
        <v>-1.1000000000000227</v>
      </c>
      <c r="J102" s="13">
        <f t="shared" si="64"/>
        <v>88</v>
      </c>
      <c r="K102" s="13">
        <f t="shared" si="64"/>
        <v>47</v>
      </c>
      <c r="L102" s="13">
        <f t="shared" si="64"/>
        <v>-325</v>
      </c>
      <c r="M102" s="13">
        <f t="shared" si="64"/>
        <v>0</v>
      </c>
      <c r="N102" s="13">
        <f t="shared" si="64"/>
        <v>0</v>
      </c>
      <c r="O102" s="13">
        <f t="shared" si="64"/>
        <v>0</v>
      </c>
      <c r="P102" s="13">
        <f t="shared" si="64"/>
        <v>0</v>
      </c>
      <c r="Q102" s="13">
        <f t="shared" si="64"/>
        <v>0</v>
      </c>
      <c r="R102" s="13">
        <f t="shared" si="64"/>
        <v>0</v>
      </c>
      <c r="S102" s="13">
        <f t="shared" si="64"/>
        <v>0</v>
      </c>
      <c r="T102" s="13">
        <f t="shared" si="64"/>
        <v>0</v>
      </c>
      <c r="U102" s="13">
        <f t="shared" si="64"/>
        <v>0</v>
      </c>
      <c r="V102" s="13">
        <f t="shared" si="64"/>
        <v>0</v>
      </c>
      <c r="W102" s="13">
        <f t="shared" si="64"/>
        <v>0</v>
      </c>
      <c r="X102" s="13">
        <f t="shared" si="64"/>
        <v>0</v>
      </c>
    </row>
    <row r="103" spans="2:24" hidden="1" outlineLevel="1">
      <c r="B103" s="2" t="s">
        <v>1181</v>
      </c>
      <c r="C103" s="2"/>
      <c r="D103" s="2"/>
      <c r="E103" s="10">
        <f t="shared" ref="E103:X103" si="65">E61-D61</f>
        <v>39.995000000000005</v>
      </c>
      <c r="F103" s="10">
        <f t="shared" si="65"/>
        <v>56.543870588235336</v>
      </c>
      <c r="G103" s="10">
        <f t="shared" si="65"/>
        <v>82.396341176470514</v>
      </c>
      <c r="H103" s="10">
        <f t="shared" si="65"/>
        <v>99.615023529411815</v>
      </c>
      <c r="I103" s="10">
        <f t="shared" si="65"/>
        <v>55.44976470588233</v>
      </c>
      <c r="J103" s="10">
        <f t="shared" si="65"/>
        <v>329</v>
      </c>
      <c r="K103" s="10">
        <f t="shared" si="65"/>
        <v>169</v>
      </c>
      <c r="L103" s="10">
        <f t="shared" si="65"/>
        <v>3868</v>
      </c>
      <c r="M103" s="10">
        <f t="shared" si="65"/>
        <v>303</v>
      </c>
      <c r="N103" s="10">
        <f t="shared" si="65"/>
        <v>195</v>
      </c>
      <c r="O103" s="10">
        <f t="shared" si="65"/>
        <v>502.89999999999964</v>
      </c>
      <c r="P103" s="10">
        <f t="shared" si="65"/>
        <v>1684.1000000000004</v>
      </c>
      <c r="Q103" s="10">
        <f t="shared" si="65"/>
        <v>926.45796316359701</v>
      </c>
      <c r="R103" s="10">
        <f t="shared" si="65"/>
        <v>769.17386059949604</v>
      </c>
      <c r="S103" s="10">
        <f t="shared" si="65"/>
        <v>631.01098591549271</v>
      </c>
      <c r="T103" s="10">
        <f t="shared" si="65"/>
        <v>417.44616106897774</v>
      </c>
      <c r="U103" s="10">
        <f t="shared" si="65"/>
        <v>200.53518237631033</v>
      </c>
      <c r="V103" s="10">
        <f t="shared" si="65"/>
        <v>128.1075911881544</v>
      </c>
      <c r="W103" s="10">
        <f t="shared" si="65"/>
        <v>128.85118093174242</v>
      </c>
      <c r="X103" s="10">
        <f t="shared" si="65"/>
        <v>129.59477067533408</v>
      </c>
    </row>
    <row r="104" spans="2:24" hidden="1" outlineLevel="1">
      <c r="E104" s="9"/>
      <c r="F104" s="9"/>
      <c r="G104" s="9"/>
      <c r="H104" s="9"/>
      <c r="I104" s="9"/>
      <c r="J104" s="9"/>
      <c r="K104" s="9"/>
      <c r="L104" s="9"/>
      <c r="M104" s="9"/>
      <c r="N104" s="9"/>
      <c r="O104" s="9"/>
      <c r="P104" s="9"/>
      <c r="Q104" s="9"/>
      <c r="R104" s="9"/>
      <c r="S104" s="9"/>
      <c r="T104" s="9"/>
      <c r="U104" s="9"/>
      <c r="V104" s="9"/>
      <c r="W104" s="9"/>
      <c r="X104" s="9"/>
    </row>
    <row r="105" spans="2:24" hidden="1" outlineLevel="1">
      <c r="B105" s="478" t="s">
        <v>3331</v>
      </c>
      <c r="E105" s="9"/>
      <c r="F105" s="9"/>
      <c r="G105" s="9"/>
      <c r="H105" s="9"/>
      <c r="I105" s="7" t="e">
        <f>#REF!/AVERAGE(H58,I58)/12*1000</f>
        <v>#REF!</v>
      </c>
      <c r="J105" s="7" t="e">
        <f>#REF!/AVERAGE(I58,J58)/12*1000</f>
        <v>#REF!</v>
      </c>
      <c r="K105" s="7" t="e">
        <f>#REF!/AVERAGE(J58,K58)/12*1000</f>
        <v>#REF!</v>
      </c>
      <c r="L105" s="7" t="e">
        <f>#REF!/AVERAGE(K58,L58)/12*1000</f>
        <v>#REF!</v>
      </c>
      <c r="M105" s="7" t="e">
        <f>#REF!/AVERAGE(L58,M58)/12*1000</f>
        <v>#REF!</v>
      </c>
      <c r="N105" s="7" t="e">
        <f>#REF!/AVERAGE(M58,N58)/12*1000</f>
        <v>#REF!</v>
      </c>
      <c r="O105" s="7" t="e">
        <f>#REF!/AVERAGE(N58,O58)/12*1000</f>
        <v>#REF!</v>
      </c>
      <c r="P105" s="7" t="e">
        <f>#REF!/AVERAGE(O58,P58)/12*1000</f>
        <v>#REF!</v>
      </c>
      <c r="Q105" s="7" t="e">
        <f>#REF!/AVERAGE(P58,Q58)/12*1000</f>
        <v>#REF!</v>
      </c>
      <c r="R105" s="7" t="e">
        <f>#REF!/AVERAGE(Q58,R58)/12*1000</f>
        <v>#REF!</v>
      </c>
      <c r="S105" s="7" t="e">
        <f>#REF!/AVERAGE(R58,S58)/12*1000</f>
        <v>#REF!</v>
      </c>
      <c r="T105" s="7" t="e">
        <f>#REF!/AVERAGE(S58,T58)/12*1000</f>
        <v>#REF!</v>
      </c>
      <c r="U105" s="7" t="e">
        <f>#REF!/AVERAGE(T58,U58)/12*1000</f>
        <v>#REF!</v>
      </c>
      <c r="V105" s="7" t="e">
        <f>#REF!/AVERAGE(U58,V58)/12*1000</f>
        <v>#REF!</v>
      </c>
      <c r="W105" s="7" t="e">
        <f>#REF!/AVERAGE(V58,W58)/12*1000</f>
        <v>#REF!</v>
      </c>
      <c r="X105" s="7" t="e">
        <f>#REF!/AVERAGE(W58,X58)/12*1000</f>
        <v>#REF!</v>
      </c>
    </row>
    <row r="106" spans="2:24" hidden="1" outlineLevel="1">
      <c r="B106" s="478" t="s">
        <v>3333</v>
      </c>
      <c r="E106" s="9"/>
      <c r="F106" s="9"/>
      <c r="G106" s="9"/>
      <c r="H106" s="9"/>
      <c r="I106" s="7" t="e">
        <f>#REF!/AVERAGE(H60,I60)/12*1000</f>
        <v>#REF!</v>
      </c>
      <c r="J106" s="7" t="e">
        <f>#REF!/AVERAGE(I60,J60)/12*1000</f>
        <v>#REF!</v>
      </c>
      <c r="K106" s="7" t="e">
        <f>#REF!/AVERAGE(J60,K60)/12*1000</f>
        <v>#REF!</v>
      </c>
      <c r="L106" s="7" t="e">
        <f>#REF!/AVERAGE(K60,L60)/12*1000</f>
        <v>#REF!</v>
      </c>
      <c r="M106" s="7" t="e">
        <f>#REF!/AVERAGE(L60,M60)/12*1000</f>
        <v>#REF!</v>
      </c>
      <c r="N106" s="7" t="e">
        <f>#REF!/AVERAGE(M60,N60)/12*1000</f>
        <v>#REF!</v>
      </c>
      <c r="O106" s="7" t="e">
        <f>#REF!/AVERAGE(N60,O60)/12*1000</f>
        <v>#REF!</v>
      </c>
      <c r="P106" s="7" t="e">
        <f>#REF!/AVERAGE(O60,P60)/12*1000</f>
        <v>#REF!</v>
      </c>
      <c r="Q106" s="7" t="e">
        <f>#REF!/AVERAGE(P60,Q60)/12*1000</f>
        <v>#REF!</v>
      </c>
      <c r="R106" s="7" t="e">
        <f>#REF!/AVERAGE(Q60,R60)/12*1000</f>
        <v>#REF!</v>
      </c>
      <c r="S106" s="7" t="e">
        <f>#REF!/AVERAGE(R60,S60)/12*1000</f>
        <v>#REF!</v>
      </c>
      <c r="T106" s="7" t="e">
        <f>#REF!/AVERAGE(S60,T60)/12*1000</f>
        <v>#REF!</v>
      </c>
      <c r="U106" s="7" t="e">
        <f>#REF!/AVERAGE(T60,U60)/12*1000</f>
        <v>#REF!</v>
      </c>
      <c r="V106" s="7" t="e">
        <f>#REF!/AVERAGE(U60,V60)/12*1000</f>
        <v>#REF!</v>
      </c>
      <c r="W106" s="7" t="e">
        <f>#REF!/AVERAGE(V60,W60)/12*1000</f>
        <v>#REF!</v>
      </c>
      <c r="X106" s="7" t="e">
        <f>#REF!/AVERAGE(W60,X60)/12*1000</f>
        <v>#REF!</v>
      </c>
    </row>
    <row r="107" spans="2:24" hidden="1" outlineLevel="1">
      <c r="B107" s="487" t="s">
        <v>3332</v>
      </c>
      <c r="C107" s="455"/>
      <c r="D107" s="455"/>
      <c r="E107" s="13"/>
      <c r="F107" s="13"/>
      <c r="G107" s="13"/>
      <c r="H107" s="13"/>
      <c r="I107" s="14" t="e">
        <f>#REF!/AVERAGE(H59,I59)/12*1000</f>
        <v>#REF!</v>
      </c>
      <c r="J107" s="14" t="e">
        <f>#REF!/AVERAGE(I59,J59)/12*1000</f>
        <v>#REF!</v>
      </c>
      <c r="K107" s="14" t="e">
        <f>#REF!/AVERAGE(J59,K59)/12*1000</f>
        <v>#REF!</v>
      </c>
      <c r="L107" s="14" t="e">
        <f>#REF!/AVERAGE(K59,L59)/12*1000</f>
        <v>#REF!</v>
      </c>
      <c r="M107" s="14" t="e">
        <f>#REF!/AVERAGE(L59,M59)/12*1000</f>
        <v>#REF!</v>
      </c>
      <c r="N107" s="14" t="e">
        <f>#REF!/AVERAGE(M59,N59)/12*1000</f>
        <v>#REF!</v>
      </c>
      <c r="O107" s="14" t="e">
        <f>#REF!/AVERAGE(N59,O59)/12*1000</f>
        <v>#REF!</v>
      </c>
      <c r="P107" s="14" t="e">
        <f>#REF!/AVERAGE(O59,P59)/12*1000</f>
        <v>#REF!</v>
      </c>
      <c r="Q107" s="14" t="e">
        <f>#REF!/AVERAGE(P59,Q59)/12*1000</f>
        <v>#REF!</v>
      </c>
      <c r="R107" s="14" t="e">
        <f>#REF!/AVERAGE(Q59,R59)/12*1000</f>
        <v>#REF!</v>
      </c>
      <c r="S107" s="14" t="e">
        <f>#REF!/AVERAGE(R59,S59)/12*1000</f>
        <v>#REF!</v>
      </c>
      <c r="T107" s="14" t="e">
        <f>#REF!/AVERAGE(S59,T59)/12*1000</f>
        <v>#REF!</v>
      </c>
      <c r="U107" s="14" t="e">
        <f>#REF!/AVERAGE(T59,U59)/12*1000</f>
        <v>#REF!</v>
      </c>
      <c r="V107" s="14" t="e">
        <f>#REF!/AVERAGE(U59,V59)/12*1000</f>
        <v>#REF!</v>
      </c>
      <c r="W107" s="14" t="e">
        <f>#REF!/AVERAGE(V59,W59)/12*1000</f>
        <v>#REF!</v>
      </c>
      <c r="X107" s="14" t="e">
        <f>#REF!/AVERAGE(W59,X59)/12*1000</f>
        <v>#REF!</v>
      </c>
    </row>
    <row r="108" spans="2:24" hidden="1" outlineLevel="1">
      <c r="B108" s="450" t="s">
        <v>3334</v>
      </c>
      <c r="E108" s="9"/>
      <c r="F108" s="9"/>
      <c r="G108" s="9"/>
      <c r="H108" s="9"/>
      <c r="I108" s="15" t="e">
        <f>#REF!/AVERAGE(H38,I38)/12*1000</f>
        <v>#REF!</v>
      </c>
      <c r="J108" s="15" t="e">
        <f>#REF!/AVERAGE(I38,J38)/12*1000</f>
        <v>#REF!</v>
      </c>
      <c r="K108" s="15" t="e">
        <f>#REF!/AVERAGE(J38,K38)/12*1000</f>
        <v>#REF!</v>
      </c>
      <c r="L108" s="15" t="e">
        <f>#REF!/AVERAGE(K38,L38)/12*1000</f>
        <v>#REF!</v>
      </c>
      <c r="M108" s="15" t="e">
        <f>#REF!/AVERAGE(L38,M38)/12*1000</f>
        <v>#REF!</v>
      </c>
      <c r="N108" s="15" t="e">
        <f>#REF!/AVERAGE(M38,N38)/12*1000</f>
        <v>#REF!</v>
      </c>
      <c r="O108" s="15" t="e">
        <f>#REF!/AVERAGE(N38,O38)/12*1000</f>
        <v>#REF!</v>
      </c>
      <c r="P108" s="15" t="e">
        <f>#REF!/AVERAGE(O38,P38)/12*1000</f>
        <v>#REF!</v>
      </c>
      <c r="Q108" s="15" t="e">
        <f>#REF!/AVERAGE(P38,Q38)/12*1000</f>
        <v>#REF!</v>
      </c>
      <c r="R108" s="15" t="e">
        <f>#REF!/AVERAGE(Q38,R38)/12*1000</f>
        <v>#REF!</v>
      </c>
      <c r="S108" s="15" t="e">
        <f>#REF!/AVERAGE(R38,S38)/12*1000</f>
        <v>#REF!</v>
      </c>
      <c r="T108" s="15" t="e">
        <f>#REF!/AVERAGE(S38,T38)/12*1000</f>
        <v>#REF!</v>
      </c>
      <c r="U108" s="15" t="e">
        <f>#REF!/AVERAGE(T38,U38)/12*1000</f>
        <v>#REF!</v>
      </c>
      <c r="V108" s="15" t="e">
        <f>#REF!/AVERAGE(U38,V38)/12*1000</f>
        <v>#REF!</v>
      </c>
      <c r="W108" s="15" t="e">
        <f>#REF!/AVERAGE(V38,W38)/12*1000</f>
        <v>#REF!</v>
      </c>
      <c r="X108" s="15" t="e">
        <f>#REF!/AVERAGE(W38,X38)/12*1000</f>
        <v>#REF!</v>
      </c>
    </row>
    <row r="109" spans="2:24" hidden="1" outlineLevel="1">
      <c r="E109" s="9"/>
      <c r="F109" s="9"/>
      <c r="G109" s="9"/>
      <c r="H109" s="9"/>
      <c r="I109" s="9"/>
      <c r="J109" s="9"/>
      <c r="K109" s="9"/>
      <c r="L109" s="9"/>
      <c r="M109" s="9"/>
      <c r="N109" s="9"/>
      <c r="O109" s="9"/>
      <c r="P109" s="9"/>
      <c r="Q109" s="9"/>
      <c r="R109" s="9"/>
      <c r="S109" s="9"/>
      <c r="T109" s="9"/>
      <c r="U109" s="9"/>
      <c r="V109" s="9"/>
      <c r="W109" s="9"/>
      <c r="X109" s="9"/>
    </row>
    <row r="110" spans="2:24" hidden="1" outlineLevel="1">
      <c r="B110" t="s">
        <v>1199</v>
      </c>
      <c r="D110" s="5">
        <f>D58/D35</f>
        <v>0.31219512195121951</v>
      </c>
      <c r="E110" s="5">
        <f>E58/E35</f>
        <v>0.30909090909090908</v>
      </c>
      <c r="F110" s="103">
        <v>0.30499999999999999</v>
      </c>
      <c r="G110" s="103">
        <f>F110+1%</f>
        <v>0.315</v>
      </c>
      <c r="H110" s="103">
        <f>G110+1%</f>
        <v>0.32500000000000001</v>
      </c>
      <c r="I110" s="5">
        <f>I58/I35</f>
        <v>0.34304442825928622</v>
      </c>
      <c r="J110" s="5">
        <f>J58/J35</f>
        <v>0.32510678690080685</v>
      </c>
      <c r="K110" s="5">
        <f>K58/K35</f>
        <v>0.25874831763122474</v>
      </c>
      <c r="L110" s="763">
        <f>K110+1%</f>
        <v>0.26874831763122475</v>
      </c>
      <c r="M110" s="763">
        <f>L110+2%</f>
        <v>0.28874831763122477</v>
      </c>
      <c r="N110" s="763">
        <f t="shared" ref="N110:X110" si="66">M110+3%</f>
        <v>0.3187483176312248</v>
      </c>
      <c r="O110" s="763">
        <f t="shared" si="66"/>
        <v>0.34874831763122482</v>
      </c>
      <c r="P110" s="763">
        <f t="shared" si="66"/>
        <v>0.37874831763122485</v>
      </c>
      <c r="Q110" s="763">
        <f t="shared" si="66"/>
        <v>0.40874831763122488</v>
      </c>
      <c r="R110" s="763">
        <f t="shared" si="66"/>
        <v>0.4387483176312249</v>
      </c>
      <c r="S110" s="763">
        <f t="shared" si="66"/>
        <v>0.46874831763122493</v>
      </c>
      <c r="T110" s="763">
        <f t="shared" si="66"/>
        <v>0.49874831763122496</v>
      </c>
      <c r="U110" s="763">
        <f t="shared" si="66"/>
        <v>0.52874831763122498</v>
      </c>
      <c r="V110" s="763">
        <f t="shared" si="66"/>
        <v>0.55874831763122501</v>
      </c>
      <c r="W110" s="763">
        <f t="shared" si="66"/>
        <v>0.58874831763122504</v>
      </c>
      <c r="X110" s="763">
        <f t="shared" si="66"/>
        <v>0.61874831763122506</v>
      </c>
    </row>
    <row r="111" spans="2:24" hidden="1" outlineLevel="1"/>
    <row r="112" spans="2:24" hidden="1" outlineLevel="1">
      <c r="B112" t="s">
        <v>1177</v>
      </c>
      <c r="D112" s="16">
        <f>D59/D58</f>
        <v>3.125E-2</v>
      </c>
      <c r="E112" s="16">
        <f>E59/E58</f>
        <v>4.9341176470588236E-2</v>
      </c>
      <c r="F112" s="73">
        <f>E112</f>
        <v>4.9341176470588236E-2</v>
      </c>
      <c r="G112" s="73">
        <f>F112</f>
        <v>4.9341176470588236E-2</v>
      </c>
      <c r="H112" s="73">
        <f>G112</f>
        <v>4.9341176470588236E-2</v>
      </c>
      <c r="I112" s="5">
        <f>I59/I58</f>
        <v>0.13375796178343949</v>
      </c>
      <c r="J112" s="5">
        <f>J59/J58</f>
        <v>0.13138686131386862</v>
      </c>
      <c r="K112" s="5">
        <f>K59/K58</f>
        <v>0.16644993498049415</v>
      </c>
      <c r="L112" s="763">
        <f t="shared" ref="L112:X112" si="67">K112+0.5%</f>
        <v>0.17144993498049416</v>
      </c>
      <c r="M112" s="763">
        <f t="shared" si="67"/>
        <v>0.17644993498049416</v>
      </c>
      <c r="N112" s="763">
        <f t="shared" si="67"/>
        <v>0.18144993498049417</v>
      </c>
      <c r="O112" s="763">
        <f t="shared" si="67"/>
        <v>0.18644993498049417</v>
      </c>
      <c r="P112" s="763">
        <f t="shared" si="67"/>
        <v>0.19144993498049417</v>
      </c>
      <c r="Q112" s="763">
        <f t="shared" si="67"/>
        <v>0.19644993498049418</v>
      </c>
      <c r="R112" s="763">
        <f t="shared" si="67"/>
        <v>0.20144993498049418</v>
      </c>
      <c r="S112" s="763">
        <f t="shared" si="67"/>
        <v>0.20644993498049419</v>
      </c>
      <c r="T112" s="763">
        <f t="shared" si="67"/>
        <v>0.21144993498049419</v>
      </c>
      <c r="U112" s="763">
        <f t="shared" si="67"/>
        <v>0.2164499349804942</v>
      </c>
      <c r="V112" s="763">
        <f t="shared" si="67"/>
        <v>0.2214499349804942</v>
      </c>
      <c r="W112" s="763">
        <f t="shared" si="67"/>
        <v>0.22644993498049421</v>
      </c>
      <c r="X112" s="763">
        <f t="shared" si="67"/>
        <v>0.23144993498049421</v>
      </c>
    </row>
    <row r="113" spans="2:24" hidden="1" outlineLevel="1"/>
    <row r="114" spans="2:24" hidden="1" outlineLevel="1">
      <c r="B114" t="s">
        <v>1178</v>
      </c>
      <c r="D114" s="16">
        <f>D60/D58</f>
        <v>0.1875</v>
      </c>
      <c r="E114" s="16">
        <f>E60/E58</f>
        <v>0.21534999999999999</v>
      </c>
      <c r="F114" s="73">
        <v>0.28000000000000003</v>
      </c>
      <c r="G114" s="73">
        <f>F114+6%</f>
        <v>0.34</v>
      </c>
      <c r="H114" s="73">
        <f>G114+8%</f>
        <v>0.42000000000000004</v>
      </c>
      <c r="I114" s="29">
        <f>I60/I58</f>
        <v>0.40339702760084928</v>
      </c>
      <c r="J114" s="29">
        <f>J60/J58</f>
        <v>0.40583941605839419</v>
      </c>
      <c r="K114" s="29">
        <f>K60/K58</f>
        <v>0.42262678803641091</v>
      </c>
      <c r="L114" s="763">
        <f t="shared" ref="L114:X114" si="68">K114</f>
        <v>0.42262678803641091</v>
      </c>
      <c r="M114" s="763">
        <f t="shared" si="68"/>
        <v>0.42262678803641091</v>
      </c>
      <c r="N114" s="763">
        <f t="shared" si="68"/>
        <v>0.42262678803641091</v>
      </c>
      <c r="O114" s="763">
        <f t="shared" si="68"/>
        <v>0.42262678803641091</v>
      </c>
      <c r="P114" s="763">
        <f t="shared" si="68"/>
        <v>0.42262678803641091</v>
      </c>
      <c r="Q114" s="763">
        <f t="shared" si="68"/>
        <v>0.42262678803641091</v>
      </c>
      <c r="R114" s="763">
        <f t="shared" si="68"/>
        <v>0.42262678803641091</v>
      </c>
      <c r="S114" s="763">
        <f t="shared" si="68"/>
        <v>0.42262678803641091</v>
      </c>
      <c r="T114" s="763">
        <f t="shared" si="68"/>
        <v>0.42262678803641091</v>
      </c>
      <c r="U114" s="763">
        <f t="shared" si="68"/>
        <v>0.42262678803641091</v>
      </c>
      <c r="V114" s="763">
        <f t="shared" si="68"/>
        <v>0.42262678803641091</v>
      </c>
      <c r="W114" s="763">
        <f t="shared" si="68"/>
        <v>0.42262678803641091</v>
      </c>
      <c r="X114" s="763">
        <f t="shared" si="68"/>
        <v>0.42262678803641091</v>
      </c>
    </row>
    <row r="115" spans="2:24" collapsed="1"/>
    <row r="116" spans="2:24">
      <c r="B116" s="321" t="s">
        <v>360</v>
      </c>
      <c r="C116" s="470"/>
      <c r="D116" s="470"/>
      <c r="E116" s="470"/>
      <c r="F116" s="470"/>
      <c r="G116" s="470"/>
      <c r="H116" s="470"/>
      <c r="I116" s="470"/>
      <c r="J116" s="470"/>
      <c r="K116" s="470"/>
      <c r="L116" s="471">
        <f t="shared" ref="L116:Q116" si="69">L117*L87</f>
        <v>310.40000000000003</v>
      </c>
      <c r="M116" s="471">
        <f t="shared" si="69"/>
        <v>508.48</v>
      </c>
      <c r="N116" s="471">
        <f t="shared" si="69"/>
        <v>504.16</v>
      </c>
      <c r="O116" s="471">
        <f t="shared" si="69"/>
        <v>579.34799999999996</v>
      </c>
      <c r="P116" s="471">
        <f t="shared" si="69"/>
        <v>596.64</v>
      </c>
      <c r="Q116" s="471">
        <f t="shared" si="69"/>
        <v>762.72206755276534</v>
      </c>
      <c r="R116" s="471">
        <f t="shared" ref="R116:W116" si="70">R117*R87</f>
        <v>887.62766791654838</v>
      </c>
      <c r="S116" s="471">
        <f t="shared" si="70"/>
        <v>1022.6921458244829</v>
      </c>
      <c r="T116" s="471">
        <f t="shared" si="70"/>
        <v>1151.0082844102933</v>
      </c>
      <c r="U116" s="471">
        <f t="shared" si="70"/>
        <v>1255.4821133104267</v>
      </c>
      <c r="V116" s="471">
        <f t="shared" si="70"/>
        <v>1329.2024309380179</v>
      </c>
      <c r="W116" s="471">
        <f t="shared" si="70"/>
        <v>1403.9419688835908</v>
      </c>
      <c r="X116" s="471">
        <f t="shared" ref="X116" si="71">X117*X87</f>
        <v>1483.1235579459674</v>
      </c>
    </row>
    <row r="117" spans="2:24">
      <c r="B117" t="s">
        <v>1434</v>
      </c>
      <c r="L117" s="73">
        <v>0.32</v>
      </c>
      <c r="M117" s="73">
        <v>0.32</v>
      </c>
      <c r="N117" s="73">
        <v>0.32</v>
      </c>
      <c r="O117" s="73">
        <v>0.33</v>
      </c>
      <c r="P117" s="73">
        <v>0.33</v>
      </c>
      <c r="Q117" s="73">
        <v>0.34</v>
      </c>
      <c r="R117" s="73">
        <v>0.35</v>
      </c>
      <c r="S117" s="73">
        <v>0.36</v>
      </c>
      <c r="T117" s="73">
        <v>0.37</v>
      </c>
      <c r="U117" s="73">
        <v>0.38</v>
      </c>
      <c r="V117" s="73">
        <v>0.38</v>
      </c>
      <c r="W117" s="73">
        <v>0.38</v>
      </c>
      <c r="X117" s="73">
        <v>0.38</v>
      </c>
    </row>
    <row r="118" spans="2:24">
      <c r="C118" s="5"/>
      <c r="D118" s="5"/>
      <c r="E118" s="5"/>
      <c r="H118" s="16"/>
    </row>
    <row r="119" spans="2:24">
      <c r="B119" t="s">
        <v>1583</v>
      </c>
      <c r="C119" s="5"/>
      <c r="D119" s="5"/>
      <c r="E119" s="5"/>
      <c r="H119" s="16"/>
      <c r="L119" s="9">
        <f t="shared" ref="L119:R119" si="72">L12-L116</f>
        <v>53.599999999999966</v>
      </c>
      <c r="M119" s="9">
        <f t="shared" si="72"/>
        <v>-61.480000000000018</v>
      </c>
      <c r="N119" s="9">
        <f t="shared" si="72"/>
        <v>-26.360000000000014</v>
      </c>
      <c r="O119" s="9">
        <f t="shared" si="72"/>
        <v>-72.909199999999998</v>
      </c>
      <c r="P119" s="9">
        <f t="shared" si="72"/>
        <v>-16.104380000000106</v>
      </c>
      <c r="Q119" s="9">
        <f t="shared" si="72"/>
        <v>-96.367490552765389</v>
      </c>
      <c r="R119" s="9">
        <f t="shared" si="72"/>
        <v>-121.81710414654856</v>
      </c>
      <c r="S119" s="9">
        <f t="shared" ref="S119:X119" si="73">S12-S116</f>
        <v>-164.96179461318297</v>
      </c>
      <c r="T119" s="9">
        <f t="shared" si="73"/>
        <v>-211.91827972098838</v>
      </c>
      <c r="U119" s="9">
        <f t="shared" si="73"/>
        <v>-253.56610456223405</v>
      </c>
      <c r="V119" s="9">
        <f t="shared" si="73"/>
        <v>-277.19062175241561</v>
      </c>
      <c r="W119" s="9">
        <f t="shared" si="73"/>
        <v>-299.32956923870825</v>
      </c>
      <c r="X119" s="9">
        <f t="shared" si="73"/>
        <v>-323.28053831884063</v>
      </c>
    </row>
    <row r="120" spans="2:24">
      <c r="B120" t="s">
        <v>1179</v>
      </c>
      <c r="C120" s="5"/>
      <c r="D120" s="5"/>
      <c r="E120" s="5"/>
      <c r="H120" s="16"/>
      <c r="L120" s="9">
        <f t="shared" ref="L120:X120" si="74">L119*1000/AVERAGE(K61:L61)</f>
        <v>16.983523447401762</v>
      </c>
      <c r="M120" s="9">
        <f t="shared" si="74"/>
        <v>-11.729466755699708</v>
      </c>
      <c r="N120" s="9">
        <f t="shared" si="74"/>
        <v>-4.8010199435388428</v>
      </c>
      <c r="O120" s="9">
        <f t="shared" si="74"/>
        <v>-12.485627927287673</v>
      </c>
      <c r="P120" s="9">
        <f t="shared" si="74"/>
        <v>-2.3228755435997819</v>
      </c>
      <c r="Q120" s="9">
        <f t="shared" si="74"/>
        <v>-11.697597962889125</v>
      </c>
      <c r="R120" s="9">
        <f t="shared" si="74"/>
        <v>-13.407055058046856</v>
      </c>
      <c r="S120" s="9">
        <f t="shared" si="74"/>
        <v>-16.856680963522258</v>
      </c>
      <c r="T120" s="9">
        <f t="shared" si="74"/>
        <v>-20.553904873749236</v>
      </c>
      <c r="U120" s="9">
        <f t="shared" si="74"/>
        <v>-23.87772772138781</v>
      </c>
      <c r="V120" s="9">
        <f t="shared" si="74"/>
        <v>-25.7046457684106</v>
      </c>
      <c r="W120" s="9">
        <f t="shared" si="74"/>
        <v>-27.430833340784179</v>
      </c>
      <c r="X120" s="9">
        <f t="shared" si="74"/>
        <v>-29.278996758134195</v>
      </c>
    </row>
    <row r="121" spans="2:24">
      <c r="C121" s="5"/>
      <c r="D121" s="5"/>
      <c r="E121" s="5"/>
      <c r="H121" s="16"/>
      <c r="L121" s="9"/>
      <c r="M121" s="9"/>
      <c r="N121" s="9"/>
      <c r="O121" s="9"/>
      <c r="P121" s="9"/>
      <c r="Q121" s="9"/>
      <c r="R121" s="9"/>
      <c r="S121" s="9"/>
      <c r="T121" s="9"/>
      <c r="U121" s="9"/>
      <c r="V121" s="9"/>
      <c r="W121" s="9"/>
      <c r="X121" s="9"/>
    </row>
    <row r="122" spans="2:24">
      <c r="B122" s="2" t="s">
        <v>1180</v>
      </c>
      <c r="C122" s="2"/>
      <c r="D122" s="2"/>
      <c r="E122" s="5"/>
      <c r="H122" s="16"/>
      <c r="L122" s="31">
        <f>L123*L87</f>
        <v>261.90000000000003</v>
      </c>
      <c r="M122" s="31">
        <f t="shared" ref="M122:R122" si="75">M123*M87</f>
        <v>429.03000000000003</v>
      </c>
      <c r="N122" s="31">
        <f t="shared" si="75"/>
        <v>441.14000000000004</v>
      </c>
      <c r="O122" s="31">
        <f t="shared" si="75"/>
        <v>456.45600000000002</v>
      </c>
      <c r="P122" s="31">
        <f t="shared" si="75"/>
        <v>470.08000000000004</v>
      </c>
      <c r="Q122" s="31">
        <f t="shared" si="75"/>
        <v>515.95904569745892</v>
      </c>
      <c r="R122" s="31">
        <f t="shared" si="75"/>
        <v>507.21581023802764</v>
      </c>
      <c r="S122" s="31">
        <f t="shared" ref="S122:X122" si="76">S123*S87</f>
        <v>568.16230323582386</v>
      </c>
      <c r="T122" s="31">
        <f t="shared" si="76"/>
        <v>622.1666402217802</v>
      </c>
      <c r="U122" s="31">
        <f t="shared" si="76"/>
        <v>660.78005963706676</v>
      </c>
      <c r="V122" s="31">
        <f t="shared" si="76"/>
        <v>699.58022680948307</v>
      </c>
      <c r="W122" s="31">
        <f t="shared" si="76"/>
        <v>738.91682572820571</v>
      </c>
      <c r="X122" s="31">
        <f t="shared" si="76"/>
        <v>780.59134628735126</v>
      </c>
    </row>
    <row r="123" spans="2:24">
      <c r="B123" t="s">
        <v>1431</v>
      </c>
      <c r="E123" s="5"/>
      <c r="H123" s="16"/>
      <c r="L123" s="73">
        <v>0.27</v>
      </c>
      <c r="M123" s="73">
        <v>0.27</v>
      </c>
      <c r="N123" s="73">
        <v>0.28000000000000003</v>
      </c>
      <c r="O123" s="73">
        <v>0.26</v>
      </c>
      <c r="P123" s="73">
        <v>0.26</v>
      </c>
      <c r="Q123" s="73">
        <v>0.23</v>
      </c>
      <c r="R123" s="73">
        <v>0.2</v>
      </c>
      <c r="S123" s="73">
        <v>0.2</v>
      </c>
      <c r="T123" s="73">
        <v>0.2</v>
      </c>
      <c r="U123" s="73">
        <v>0.2</v>
      </c>
      <c r="V123" s="73">
        <v>0.2</v>
      </c>
      <c r="W123" s="73">
        <v>0.2</v>
      </c>
      <c r="X123" s="73">
        <v>0.2</v>
      </c>
    </row>
    <row r="124" spans="2:24">
      <c r="B124" s="478" t="s">
        <v>4220</v>
      </c>
      <c r="E124" s="5"/>
      <c r="H124" s="16"/>
      <c r="L124" s="133">
        <v>100</v>
      </c>
      <c r="M124" s="133">
        <v>100</v>
      </c>
      <c r="N124" s="133">
        <v>100</v>
      </c>
      <c r="O124" s="133">
        <v>100</v>
      </c>
      <c r="P124" s="133">
        <v>100</v>
      </c>
      <c r="Q124" s="133">
        <v>100</v>
      </c>
      <c r="R124" s="133">
        <v>100</v>
      </c>
      <c r="S124" s="133">
        <v>100</v>
      </c>
      <c r="T124" s="133">
        <v>100</v>
      </c>
      <c r="U124" s="133">
        <v>100</v>
      </c>
      <c r="V124" s="133">
        <v>100</v>
      </c>
      <c r="W124" s="133">
        <v>100</v>
      </c>
      <c r="X124" s="133">
        <v>100</v>
      </c>
    </row>
    <row r="125" spans="2:24">
      <c r="B125" s="478" t="s">
        <v>4221</v>
      </c>
      <c r="E125" s="5"/>
      <c r="H125" s="16"/>
      <c r="M125" s="454">
        <f t="shared" ref="M125:R125" si="77">M124*(M39/1000)</f>
        <v>13.900000000000002</v>
      </c>
      <c r="N125" s="454">
        <f t="shared" si="77"/>
        <v>7.9699999999999811</v>
      </c>
      <c r="O125" s="454">
        <f t="shared" si="77"/>
        <v>20.290000000000006</v>
      </c>
      <c r="P125" s="454">
        <f t="shared" si="77"/>
        <v>81.540000000000006</v>
      </c>
      <c r="Q125" s="454">
        <f t="shared" si="77"/>
        <v>37.179487179487204</v>
      </c>
      <c r="R125" s="454">
        <f t="shared" si="77"/>
        <v>37.179487179487204</v>
      </c>
      <c r="S125" s="454">
        <f t="shared" ref="S125:X125" si="78">S124*(S39/1000)</f>
        <v>29.743589743589745</v>
      </c>
      <c r="T125" s="454">
        <f t="shared" si="78"/>
        <v>18.589743589743556</v>
      </c>
      <c r="U125" s="454">
        <f t="shared" si="78"/>
        <v>7.4358974358974592</v>
      </c>
      <c r="V125" s="454">
        <f t="shared" si="78"/>
        <v>3.7179487179487296</v>
      </c>
      <c r="W125" s="454">
        <f t="shared" si="78"/>
        <v>3.717948717948639</v>
      </c>
      <c r="X125" s="454">
        <f t="shared" si="78"/>
        <v>3.7179487179487296</v>
      </c>
    </row>
    <row r="126" spans="2:24">
      <c r="E126" s="5"/>
      <c r="H126" s="16"/>
    </row>
    <row r="127" spans="2:24">
      <c r="B127" s="2" t="s">
        <v>1552</v>
      </c>
      <c r="C127" s="2"/>
      <c r="D127" s="2"/>
      <c r="E127" s="5"/>
      <c r="H127" s="16"/>
      <c r="L127" s="10">
        <f t="shared" ref="L127:R127" si="79">L116-L122</f>
        <v>48.5</v>
      </c>
      <c r="M127" s="10">
        <f t="shared" si="79"/>
        <v>79.449999999999989</v>
      </c>
      <c r="N127" s="10">
        <f t="shared" si="79"/>
        <v>63.019999999999982</v>
      </c>
      <c r="O127" s="10">
        <f t="shared" si="79"/>
        <v>122.89199999999994</v>
      </c>
      <c r="P127" s="10">
        <f t="shared" si="79"/>
        <v>126.55999999999995</v>
      </c>
      <c r="Q127" s="10">
        <f t="shared" si="79"/>
        <v>246.76302185530642</v>
      </c>
      <c r="R127" s="10">
        <f t="shared" si="79"/>
        <v>380.41185767852073</v>
      </c>
      <c r="S127" s="10">
        <f t="shared" ref="S127:X127" si="80">S116-S122</f>
        <v>454.52984258865899</v>
      </c>
      <c r="T127" s="10">
        <f t="shared" si="80"/>
        <v>528.8416441885131</v>
      </c>
      <c r="U127" s="10">
        <f t="shared" si="80"/>
        <v>594.70205367335996</v>
      </c>
      <c r="V127" s="10">
        <f t="shared" si="80"/>
        <v>629.6222041285348</v>
      </c>
      <c r="W127" s="10">
        <f t="shared" si="80"/>
        <v>665.02514315538508</v>
      </c>
      <c r="X127" s="10">
        <f t="shared" si="80"/>
        <v>702.53221165861612</v>
      </c>
    </row>
    <row r="128" spans="2:24">
      <c r="B128" s="4" t="s">
        <v>1434</v>
      </c>
      <c r="C128" s="2"/>
      <c r="D128" s="2"/>
      <c r="E128" s="5"/>
      <c r="H128" s="16"/>
      <c r="L128" s="36">
        <f t="shared" ref="L128:Q128" si="81">L127/L80</f>
        <v>0.05</v>
      </c>
      <c r="M128" s="36">
        <f t="shared" si="81"/>
        <v>5.0031486146095712E-2</v>
      </c>
      <c r="N128" s="36">
        <f t="shared" si="81"/>
        <v>3.9999999999999987E-2</v>
      </c>
      <c r="O128" s="36">
        <f t="shared" si="81"/>
        <v>6.9999999999999965E-2</v>
      </c>
      <c r="P128" s="36">
        <f t="shared" si="81"/>
        <v>6.9999999999999965E-2</v>
      </c>
      <c r="Q128" s="36">
        <f t="shared" si="81"/>
        <v>0.11</v>
      </c>
      <c r="R128" s="36">
        <f t="shared" ref="R128:W128" si="82">R127/R80</f>
        <v>0.15</v>
      </c>
      <c r="S128" s="36">
        <f t="shared" si="82"/>
        <v>0.15999999999999998</v>
      </c>
      <c r="T128" s="36">
        <f t="shared" si="82"/>
        <v>0.16999999999999998</v>
      </c>
      <c r="U128" s="36">
        <f t="shared" si="82"/>
        <v>0.17999999999999997</v>
      </c>
      <c r="V128" s="36">
        <f t="shared" si="82"/>
        <v>0.18000000000000002</v>
      </c>
      <c r="W128" s="36">
        <f t="shared" si="82"/>
        <v>0.18</v>
      </c>
      <c r="X128" s="36">
        <f t="shared" ref="X128" si="83">X127/X80</f>
        <v>0.18000000000000002</v>
      </c>
    </row>
    <row r="129" spans="2:24">
      <c r="E129" s="5"/>
      <c r="H129" s="16"/>
    </row>
    <row r="130" spans="2:24">
      <c r="B130" s="3" t="s">
        <v>1724</v>
      </c>
      <c r="G130" t="s">
        <v>1823</v>
      </c>
    </row>
    <row r="132" spans="2:24">
      <c r="B132" s="2" t="s">
        <v>4176</v>
      </c>
      <c r="F132" s="2"/>
      <c r="L132" s="2">
        <f>L33</f>
        <v>2014</v>
      </c>
      <c r="M132" s="2">
        <f t="shared" ref="M132:R132" si="84">M33</f>
        <v>2015</v>
      </c>
      <c r="N132" s="2">
        <f t="shared" si="84"/>
        <v>2016</v>
      </c>
      <c r="O132" s="2">
        <f t="shared" si="84"/>
        <v>2017</v>
      </c>
      <c r="P132" s="2">
        <f t="shared" si="84"/>
        <v>2018</v>
      </c>
      <c r="Q132" s="2">
        <f t="shared" si="84"/>
        <v>2019</v>
      </c>
      <c r="R132" s="2">
        <f t="shared" si="84"/>
        <v>2020</v>
      </c>
      <c r="S132" s="2">
        <f t="shared" ref="S132:X132" si="85">S33</f>
        <v>2021</v>
      </c>
      <c r="T132" s="2">
        <f t="shared" si="85"/>
        <v>2022</v>
      </c>
      <c r="U132" s="2">
        <f t="shared" si="85"/>
        <v>2023</v>
      </c>
      <c r="V132" s="2">
        <f t="shared" si="85"/>
        <v>2024</v>
      </c>
      <c r="W132" s="2">
        <f t="shared" si="85"/>
        <v>2025</v>
      </c>
      <c r="X132" s="2">
        <f t="shared" si="85"/>
        <v>2026</v>
      </c>
    </row>
    <row r="133" spans="2:24">
      <c r="B133" t="s">
        <v>1938</v>
      </c>
      <c r="D133" s="9"/>
      <c r="E133" s="9"/>
      <c r="I133" s="103">
        <v>0.09</v>
      </c>
    </row>
    <row r="134" spans="2:24">
      <c r="B134" t="s">
        <v>682</v>
      </c>
      <c r="I134" s="73">
        <v>0.3</v>
      </c>
      <c r="L134" s="5"/>
      <c r="M134" s="5"/>
      <c r="N134" s="5"/>
      <c r="O134" s="5"/>
      <c r="P134" s="5"/>
      <c r="Q134" s="5"/>
      <c r="R134" s="5"/>
      <c r="S134" s="5"/>
      <c r="T134" s="5"/>
      <c r="U134" s="5"/>
      <c r="V134" s="5"/>
      <c r="W134" s="5"/>
      <c r="X134" s="5"/>
    </row>
    <row r="135" spans="2:24">
      <c r="B135" t="s">
        <v>683</v>
      </c>
      <c r="I135" s="73">
        <v>0.02</v>
      </c>
    </row>
    <row r="136" spans="2:24">
      <c r="B136" s="478" t="s">
        <v>4177</v>
      </c>
      <c r="I136" s="468">
        <f>1/(I133-I135)</f>
        <v>14.285714285714286</v>
      </c>
    </row>
    <row r="137" spans="2:24">
      <c r="O137">
        <v>0</v>
      </c>
      <c r="P137">
        <f t="shared" ref="P137:X137" si="86">O137+1</f>
        <v>1</v>
      </c>
      <c r="Q137">
        <f t="shared" si="86"/>
        <v>2</v>
      </c>
      <c r="R137">
        <f t="shared" si="86"/>
        <v>3</v>
      </c>
      <c r="S137">
        <f t="shared" si="86"/>
        <v>4</v>
      </c>
      <c r="T137">
        <f t="shared" si="86"/>
        <v>5</v>
      </c>
      <c r="U137">
        <f t="shared" si="86"/>
        <v>6</v>
      </c>
      <c r="V137">
        <f t="shared" si="86"/>
        <v>7</v>
      </c>
      <c r="W137">
        <f t="shared" si="86"/>
        <v>8</v>
      </c>
      <c r="X137">
        <f t="shared" si="86"/>
        <v>9</v>
      </c>
    </row>
    <row r="138" spans="2:24">
      <c r="B138" t="s">
        <v>1937</v>
      </c>
      <c r="D138" s="101"/>
      <c r="E138" s="101"/>
      <c r="F138" s="101"/>
      <c r="G138" s="101"/>
      <c r="H138" s="101"/>
      <c r="I138" s="101"/>
      <c r="J138" s="101"/>
      <c r="K138" s="101"/>
      <c r="L138" s="101"/>
      <c r="M138" s="101"/>
      <c r="N138" s="101">
        <f t="shared" ref="N138:W138" si="87">1/(1+$I133)^N137</f>
        <v>1</v>
      </c>
      <c r="O138" s="101">
        <f t="shared" si="87"/>
        <v>1</v>
      </c>
      <c r="P138" s="101">
        <f t="shared" si="87"/>
        <v>0.9174311926605504</v>
      </c>
      <c r="Q138" s="101">
        <f t="shared" si="87"/>
        <v>0.84167999326655996</v>
      </c>
      <c r="R138" s="101">
        <f t="shared" si="87"/>
        <v>0.77218348006106419</v>
      </c>
      <c r="S138" s="101">
        <f t="shared" si="87"/>
        <v>0.7084252110651964</v>
      </c>
      <c r="T138" s="101">
        <f t="shared" si="87"/>
        <v>0.64993138629834524</v>
      </c>
      <c r="U138" s="101">
        <f t="shared" si="87"/>
        <v>0.5962673268792158</v>
      </c>
      <c r="V138" s="101">
        <f t="shared" si="87"/>
        <v>0.54703424484331731</v>
      </c>
      <c r="W138" s="101">
        <f t="shared" si="87"/>
        <v>0.50186627967276809</v>
      </c>
      <c r="X138" s="101">
        <f t="shared" ref="X138" si="88">1/(1+$I133)^X137</f>
        <v>0.46042777951630098</v>
      </c>
    </row>
    <row r="139" spans="2:24">
      <c r="B139" t="s">
        <v>2204</v>
      </c>
      <c r="C139" s="9"/>
      <c r="D139" s="9"/>
      <c r="E139" s="9"/>
      <c r="F139" s="9"/>
      <c r="G139" s="9"/>
      <c r="H139" s="9"/>
      <c r="I139" s="9"/>
      <c r="J139" s="9"/>
      <c r="K139" s="9"/>
      <c r="L139" s="9"/>
      <c r="M139" s="9"/>
      <c r="N139" s="9">
        <f t="shared" ref="N139:W139" si="89">N127</f>
        <v>63.019999999999982</v>
      </c>
      <c r="O139" s="9">
        <f t="shared" si="89"/>
        <v>122.89199999999994</v>
      </c>
      <c r="P139" s="9">
        <f t="shared" si="89"/>
        <v>126.55999999999995</v>
      </c>
      <c r="Q139" s="9">
        <f t="shared" si="89"/>
        <v>246.76302185530642</v>
      </c>
      <c r="R139" s="9">
        <f t="shared" si="89"/>
        <v>380.41185767852073</v>
      </c>
      <c r="S139" s="9">
        <f t="shared" si="89"/>
        <v>454.52984258865899</v>
      </c>
      <c r="T139" s="9">
        <f t="shared" si="89"/>
        <v>528.8416441885131</v>
      </c>
      <c r="U139" s="9">
        <f t="shared" si="89"/>
        <v>594.70205367335996</v>
      </c>
      <c r="V139" s="9">
        <f t="shared" si="89"/>
        <v>629.6222041285348</v>
      </c>
      <c r="W139" s="9">
        <f t="shared" si="89"/>
        <v>665.02514315538508</v>
      </c>
      <c r="X139" s="9">
        <f t="shared" ref="X139" si="90">X127</f>
        <v>702.53221165861612</v>
      </c>
    </row>
    <row r="140" spans="2:24">
      <c r="B140" t="s">
        <v>1936</v>
      </c>
      <c r="D140" s="9"/>
      <c r="E140" s="9"/>
      <c r="F140" s="9"/>
      <c r="G140" s="9"/>
      <c r="H140" s="9"/>
      <c r="I140" s="9"/>
      <c r="J140" s="9"/>
      <c r="K140" s="9"/>
      <c r="L140" s="9"/>
      <c r="M140" s="9"/>
      <c r="N140" s="9">
        <f t="shared" ref="N140:W140" si="91">N139*(1-$I$134)</f>
        <v>44.113999999999983</v>
      </c>
      <c r="O140" s="9">
        <f t="shared" si="91"/>
        <v>86.024399999999957</v>
      </c>
      <c r="P140" s="9">
        <f t="shared" si="91"/>
        <v>88.591999999999956</v>
      </c>
      <c r="Q140" s="9">
        <f t="shared" si="91"/>
        <v>172.73411529871447</v>
      </c>
      <c r="R140" s="9">
        <f t="shared" si="91"/>
        <v>266.28830037496448</v>
      </c>
      <c r="S140" s="9">
        <f t="shared" si="91"/>
        <v>318.17088981206126</v>
      </c>
      <c r="T140" s="9">
        <f t="shared" si="91"/>
        <v>370.18915093195915</v>
      </c>
      <c r="U140" s="9">
        <f t="shared" si="91"/>
        <v>416.29143757135193</v>
      </c>
      <c r="V140" s="9">
        <f t="shared" si="91"/>
        <v>440.73554288997434</v>
      </c>
      <c r="W140" s="9">
        <f t="shared" si="91"/>
        <v>465.51760020876952</v>
      </c>
      <c r="X140" s="9">
        <f t="shared" ref="X140" si="92">X139*(1-$I$134)</f>
        <v>491.77254816103124</v>
      </c>
    </row>
    <row r="141" spans="2:24">
      <c r="D141" s="9"/>
      <c r="E141" s="9"/>
      <c r="F141" s="9"/>
      <c r="G141" s="9"/>
      <c r="H141" s="9"/>
      <c r="I141" s="9"/>
      <c r="J141" s="9"/>
      <c r="K141" s="9"/>
    </row>
    <row r="142" spans="2:24">
      <c r="B142" t="s">
        <v>684</v>
      </c>
      <c r="D142" s="9"/>
      <c r="E142" s="9"/>
      <c r="F142" s="9"/>
      <c r="G142" s="9"/>
      <c r="H142" s="9"/>
      <c r="I142" s="9"/>
      <c r="J142" s="9"/>
      <c r="K142" s="9"/>
      <c r="L142" s="9"/>
      <c r="M142" s="9"/>
      <c r="N142" s="9">
        <f t="shared" ref="N142:W142" si="93">N140*N138</f>
        <v>44.113999999999983</v>
      </c>
      <c r="O142" s="9">
        <f t="shared" si="93"/>
        <v>86.024399999999957</v>
      </c>
      <c r="P142" s="9">
        <f t="shared" si="93"/>
        <v>81.277064220183448</v>
      </c>
      <c r="Q142" s="9">
        <f t="shared" si="93"/>
        <v>145.3868490015272</v>
      </c>
      <c r="R142" s="9">
        <f t="shared" si="93"/>
        <v>205.62342648308606</v>
      </c>
      <c r="S142" s="9">
        <f t="shared" si="93"/>
        <v>225.40027976991084</v>
      </c>
      <c r="T142" s="9">
        <f t="shared" si="93"/>
        <v>240.59754805781557</v>
      </c>
      <c r="U142" s="9">
        <f t="shared" si="93"/>
        <v>248.22098268337595</v>
      </c>
      <c r="V142" s="9">
        <f t="shared" si="93"/>
        <v>241.09743488042659</v>
      </c>
      <c r="W142" s="9">
        <f t="shared" si="93"/>
        <v>233.62758613897017</v>
      </c>
      <c r="X142" s="9">
        <f t="shared" ref="X142" si="94">X140*X138</f>
        <v>226.42574237685679</v>
      </c>
    </row>
    <row r="143" spans="2:24">
      <c r="B143" t="s">
        <v>685</v>
      </c>
      <c r="I143" s="9">
        <f>SUM(P142:W142)</f>
        <v>1621.2311712352957</v>
      </c>
    </row>
    <row r="144" spans="2:24">
      <c r="B144" t="s">
        <v>2203</v>
      </c>
      <c r="I144" s="13">
        <f>W142/(I133-I135)</f>
        <v>3337.5369448424312</v>
      </c>
    </row>
    <row r="145" spans="2:24">
      <c r="B145" t="s">
        <v>2205</v>
      </c>
      <c r="E145" t="s">
        <v>1823</v>
      </c>
      <c r="I145" s="9">
        <f>I143+I144</f>
        <v>4958.7681160777265</v>
      </c>
      <c r="N145" s="468">
        <f t="shared" ref="N145:W145" si="95">$I$145/N116</f>
        <v>9.8357031816838436</v>
      </c>
      <c r="O145" s="468">
        <f t="shared" si="95"/>
        <v>8.5592219461838592</v>
      </c>
      <c r="P145" s="468">
        <f t="shared" si="95"/>
        <v>8.3111560003984426</v>
      </c>
      <c r="Q145" s="468">
        <f t="shared" si="95"/>
        <v>6.5014090020866968</v>
      </c>
      <c r="R145" s="468">
        <f t="shared" si="95"/>
        <v>5.5865407257042969</v>
      </c>
      <c r="S145" s="468">
        <f t="shared" si="95"/>
        <v>4.848739805349755</v>
      </c>
      <c r="T145" s="468">
        <f t="shared" si="95"/>
        <v>4.3081949828174331</v>
      </c>
      <c r="U145" s="468">
        <f t="shared" si="95"/>
        <v>3.9496923639975718</v>
      </c>
      <c r="V145" s="468">
        <f t="shared" si="95"/>
        <v>3.7306342515325714</v>
      </c>
      <c r="W145" s="468">
        <f t="shared" si="95"/>
        <v>3.5320321110002286</v>
      </c>
      <c r="X145" s="468">
        <f t="shared" ref="X145" si="96">$I$145/X116</f>
        <v>3.3434625790350925</v>
      </c>
    </row>
    <row r="146" spans="2:24">
      <c r="I146" s="454">
        <f>I145/10</f>
        <v>495.87681160777265</v>
      </c>
      <c r="J146" s="468"/>
    </row>
    <row r="148" spans="2:24">
      <c r="B148" s="616" t="s">
        <v>4252</v>
      </c>
      <c r="C148" s="451"/>
      <c r="D148" s="451"/>
      <c r="E148" s="451"/>
      <c r="F148" s="451"/>
      <c r="G148" s="451"/>
      <c r="H148" s="451"/>
      <c r="I148" s="560" t="s">
        <v>794</v>
      </c>
    </row>
    <row r="149" spans="2:24">
      <c r="B149" s="478" t="s">
        <v>2172</v>
      </c>
      <c r="I149" s="449">
        <v>0.52</v>
      </c>
    </row>
    <row r="150" spans="2:24">
      <c r="B150" s="478" t="s">
        <v>1665</v>
      </c>
      <c r="I150" s="449">
        <v>0.45</v>
      </c>
    </row>
    <row r="151" spans="2:24">
      <c r="B151" s="478" t="s">
        <v>4253</v>
      </c>
      <c r="I151" s="449">
        <v>0.34</v>
      </c>
    </row>
    <row r="152" spans="2:24">
      <c r="B152" s="478" t="s">
        <v>2380</v>
      </c>
      <c r="I152" s="449">
        <v>0.32</v>
      </c>
    </row>
    <row r="153" spans="2:24">
      <c r="B153" s="478" t="s">
        <v>2378</v>
      </c>
      <c r="I153" s="449">
        <v>0.31</v>
      </c>
    </row>
    <row r="154" spans="2:24">
      <c r="B154" s="478" t="s">
        <v>2379</v>
      </c>
      <c r="I154" s="449">
        <v>0.3</v>
      </c>
    </row>
    <row r="155" spans="2:24">
      <c r="B155" s="478" t="s">
        <v>2377</v>
      </c>
      <c r="I155" s="449">
        <v>0.12</v>
      </c>
    </row>
    <row r="156" spans="2:24">
      <c r="B156" s="478"/>
      <c r="I156" s="449"/>
    </row>
    <row r="157" spans="2:24">
      <c r="B157" s="451" t="s">
        <v>4649</v>
      </c>
      <c r="C157" s="451"/>
      <c r="D157" s="451"/>
      <c r="E157" s="451"/>
      <c r="F157" s="451"/>
      <c r="G157" s="451"/>
      <c r="H157" s="451"/>
      <c r="I157" s="560" t="s">
        <v>794</v>
      </c>
    </row>
    <row r="158" spans="2:24">
      <c r="B158" s="478" t="s">
        <v>1665</v>
      </c>
      <c r="I158" s="449">
        <v>0.45</v>
      </c>
    </row>
    <row r="159" spans="2:24">
      <c r="B159" s="478" t="s">
        <v>2172</v>
      </c>
      <c r="I159" s="449">
        <v>0.37</v>
      </c>
    </row>
    <row r="160" spans="2:24">
      <c r="B160" s="478" t="s">
        <v>4253</v>
      </c>
      <c r="I160" s="449">
        <v>0.22</v>
      </c>
    </row>
    <row r="161" spans="2:17">
      <c r="B161" s="478" t="s">
        <v>2378</v>
      </c>
      <c r="I161" s="449">
        <v>0.12</v>
      </c>
    </row>
    <row r="162" spans="2:17">
      <c r="B162" s="478" t="s">
        <v>2380</v>
      </c>
      <c r="I162" s="449">
        <v>0.12</v>
      </c>
    </row>
    <row r="163" spans="2:17">
      <c r="B163" s="478" t="s">
        <v>2379</v>
      </c>
      <c r="I163" s="449">
        <v>7.0000000000000007E-2</v>
      </c>
    </row>
    <row r="164" spans="2:17">
      <c r="B164" s="478" t="s">
        <v>2377</v>
      </c>
      <c r="I164" s="449">
        <v>0.08</v>
      </c>
    </row>
    <row r="168" spans="2:17">
      <c r="B168" s="478" t="s">
        <v>4211</v>
      </c>
    </row>
    <row r="169" spans="2:17">
      <c r="B169" s="478"/>
    </row>
    <row r="170" spans="2:17">
      <c r="B170" s="487" t="s">
        <v>4215</v>
      </c>
      <c r="J170" s="455">
        <f t="shared" ref="J170:P170" si="97">L132</f>
        <v>2014</v>
      </c>
      <c r="K170" s="455">
        <f t="shared" si="97"/>
        <v>2015</v>
      </c>
      <c r="L170" s="455">
        <f t="shared" si="97"/>
        <v>2016</v>
      </c>
      <c r="M170" s="455">
        <f t="shared" si="97"/>
        <v>2017</v>
      </c>
      <c r="N170" s="455">
        <f t="shared" si="97"/>
        <v>2018</v>
      </c>
      <c r="O170" s="455">
        <f t="shared" si="97"/>
        <v>2019</v>
      </c>
      <c r="P170" s="455">
        <f t="shared" si="97"/>
        <v>2020</v>
      </c>
    </row>
    <row r="171" spans="2:17">
      <c r="B171" t="str">
        <f>B35</f>
        <v>Total homes passed, 000s</v>
      </c>
      <c r="J171" s="464">
        <f t="shared" ref="J171:P171" si="98">L35</f>
        <v>7084</v>
      </c>
      <c r="K171" s="464">
        <f t="shared" si="98"/>
        <v>7632</v>
      </c>
      <c r="L171" s="464">
        <f t="shared" si="98"/>
        <v>8119</v>
      </c>
      <c r="M171" s="464">
        <f t="shared" si="98"/>
        <v>9075.9</v>
      </c>
      <c r="N171" s="464">
        <f t="shared" si="98"/>
        <v>11076</v>
      </c>
      <c r="O171" s="464">
        <f t="shared" si="98"/>
        <v>12076</v>
      </c>
      <c r="P171" s="464">
        <f t="shared" si="98"/>
        <v>13076</v>
      </c>
    </row>
    <row r="172" spans="2:17">
      <c r="B172" t="str">
        <f>B38</f>
        <v>Homes connected, 000s</v>
      </c>
      <c r="J172" s="464">
        <f t="shared" ref="J172:P172" si="99">L38</f>
        <v>2881</v>
      </c>
      <c r="K172" s="464">
        <f t="shared" si="99"/>
        <v>3020</v>
      </c>
      <c r="L172" s="464">
        <f t="shared" si="99"/>
        <v>3099.7</v>
      </c>
      <c r="M172" s="464">
        <f t="shared" si="99"/>
        <v>3302.6</v>
      </c>
      <c r="N172" s="464">
        <f t="shared" si="99"/>
        <v>4118</v>
      </c>
      <c r="O172" s="464">
        <f t="shared" si="99"/>
        <v>4489.7948717948721</v>
      </c>
      <c r="P172" s="464">
        <f t="shared" si="99"/>
        <v>4861.5897435897441</v>
      </c>
    </row>
    <row r="173" spans="2:17">
      <c r="B173" s="478" t="s">
        <v>4219</v>
      </c>
      <c r="J173" s="464"/>
      <c r="K173" s="464">
        <f t="shared" ref="K173:P173" si="100">M39</f>
        <v>139</v>
      </c>
      <c r="L173" s="464">
        <f t="shared" si="100"/>
        <v>79.699999999999818</v>
      </c>
      <c r="M173" s="464">
        <f t="shared" si="100"/>
        <v>202.90000000000009</v>
      </c>
      <c r="N173" s="464">
        <f t="shared" si="100"/>
        <v>815.40000000000009</v>
      </c>
      <c r="O173" s="464">
        <f t="shared" si="100"/>
        <v>371.79487179487205</v>
      </c>
      <c r="P173" s="464">
        <f t="shared" si="100"/>
        <v>371.79487179487205</v>
      </c>
    </row>
    <row r="174" spans="2:17">
      <c r="B174" s="478" t="s">
        <v>4243</v>
      </c>
      <c r="J174" s="449">
        <f>J172/J171</f>
        <v>0.40669113495200454</v>
      </c>
      <c r="K174" s="449">
        <f t="shared" ref="K174:P174" si="101">K172/K171</f>
        <v>0.39570230607966456</v>
      </c>
      <c r="L174" s="449">
        <f t="shared" si="101"/>
        <v>0.38178347087079689</v>
      </c>
      <c r="M174" s="449">
        <f t="shared" si="101"/>
        <v>0.36388677706894085</v>
      </c>
      <c r="N174" s="449">
        <f t="shared" si="101"/>
        <v>0.37179487179487181</v>
      </c>
      <c r="O174" s="449">
        <f t="shared" si="101"/>
        <v>0.37179487179487181</v>
      </c>
      <c r="P174" s="449">
        <f t="shared" si="101"/>
        <v>0.37179487179487186</v>
      </c>
    </row>
    <row r="176" spans="2:17">
      <c r="B176" s="478" t="s">
        <v>4244</v>
      </c>
      <c r="J176" s="468">
        <f t="shared" ref="J176:P176" si="102">L67</f>
        <v>29.2</v>
      </c>
      <c r="K176" s="468">
        <f t="shared" si="102"/>
        <v>27.8</v>
      </c>
      <c r="L176" s="468">
        <f t="shared" si="102"/>
        <v>26.9</v>
      </c>
      <c r="M176" s="468">
        <f t="shared" si="102"/>
        <v>28.34781143503869</v>
      </c>
      <c r="N176" s="468">
        <f t="shared" si="102"/>
        <v>28.2</v>
      </c>
      <c r="O176" s="468">
        <f t="shared" si="102"/>
        <v>30.596999999999998</v>
      </c>
      <c r="P176" s="468">
        <f t="shared" si="102"/>
        <v>32.43282</v>
      </c>
      <c r="Q176" s="478"/>
    </row>
    <row r="177" spans="2:17">
      <c r="B177" t="str">
        <f>B68</f>
        <v>% change</v>
      </c>
      <c r="J177" s="449"/>
      <c r="K177" s="449">
        <f t="shared" ref="K177:P177" si="103">M68</f>
        <v>-4.7945205479452024E-2</v>
      </c>
      <c r="L177" s="449">
        <f t="shared" si="103"/>
        <v>-3.2374100719424481E-2</v>
      </c>
      <c r="M177" s="449">
        <f t="shared" si="103"/>
        <v>5.3821986432665003E-2</v>
      </c>
      <c r="N177" s="449">
        <f t="shared" si="103"/>
        <v>-5.2142097592758896E-3</v>
      </c>
      <c r="O177" s="449">
        <f t="shared" si="103"/>
        <v>8.5000000000000006E-2</v>
      </c>
      <c r="P177" s="449">
        <f t="shared" si="103"/>
        <v>0.06</v>
      </c>
    </row>
    <row r="179" spans="2:17">
      <c r="B179" s="478" t="s">
        <v>4212</v>
      </c>
      <c r="J179" s="464">
        <f t="shared" ref="J179:P179" si="104">L72</f>
        <v>620</v>
      </c>
      <c r="K179" s="464">
        <f t="shared" si="104"/>
        <v>989</v>
      </c>
      <c r="L179" s="464">
        <f t="shared" si="104"/>
        <v>1002.9</v>
      </c>
      <c r="M179" s="464">
        <f t="shared" si="104"/>
        <v>1126.3</v>
      </c>
      <c r="N179" s="464">
        <f t="shared" si="104"/>
        <v>1258</v>
      </c>
      <c r="O179" s="464">
        <f t="shared" si="104"/>
        <v>1583.3001986846039</v>
      </c>
      <c r="P179" s="464">
        <f t="shared" si="104"/>
        <v>1823.2790511901383</v>
      </c>
    </row>
    <row r="180" spans="2:17">
      <c r="B180" t="str">
        <f>B75</f>
        <v>B2B</v>
      </c>
      <c r="J180" s="464">
        <f t="shared" ref="J180:P180" si="105">L75</f>
        <v>344</v>
      </c>
      <c r="K180" s="464">
        <f t="shared" si="105"/>
        <v>591</v>
      </c>
      <c r="L180" s="464">
        <f t="shared" si="105"/>
        <v>564.9</v>
      </c>
      <c r="M180" s="464">
        <f t="shared" si="105"/>
        <v>627</v>
      </c>
      <c r="N180" s="464">
        <f t="shared" si="105"/>
        <v>550</v>
      </c>
      <c r="O180" s="464">
        <f t="shared" si="105"/>
        <v>660</v>
      </c>
      <c r="P180" s="464">
        <f t="shared" si="105"/>
        <v>712.80000000000007</v>
      </c>
    </row>
    <row r="181" spans="2:17">
      <c r="B181" t="str">
        <f>B77</f>
        <v>B2B as % total</v>
      </c>
      <c r="J181" s="449">
        <f t="shared" ref="J181:P181" si="106">L77</f>
        <v>0.35463917525773198</v>
      </c>
      <c r="K181" s="449">
        <f t="shared" si="106"/>
        <v>0.37216624685138538</v>
      </c>
      <c r="L181" s="449">
        <f t="shared" si="106"/>
        <v>0.35855284036813706</v>
      </c>
      <c r="M181" s="449">
        <f t="shared" si="106"/>
        <v>0.35714285714285715</v>
      </c>
      <c r="N181" s="449">
        <f t="shared" si="106"/>
        <v>0.30420353982300885</v>
      </c>
      <c r="O181" s="449">
        <f t="shared" si="106"/>
        <v>0.29420939755945363</v>
      </c>
      <c r="P181" s="449">
        <f t="shared" si="106"/>
        <v>0.28106379399549686</v>
      </c>
    </row>
    <row r="182" spans="2:17">
      <c r="B182" s="455" t="str">
        <f>B79</f>
        <v>Other</v>
      </c>
      <c r="J182" s="490">
        <f t="shared" ref="J182:P183" si="107">L79</f>
        <v>6</v>
      </c>
      <c r="K182" s="490">
        <f t="shared" si="107"/>
        <v>8</v>
      </c>
      <c r="L182" s="490">
        <f t="shared" si="107"/>
        <v>7.7000000000000455</v>
      </c>
      <c r="M182" s="490">
        <f t="shared" si="107"/>
        <v>2.2999999999999545</v>
      </c>
      <c r="N182" s="490">
        <f t="shared" si="107"/>
        <v>0</v>
      </c>
      <c r="O182" s="490">
        <f t="shared" si="107"/>
        <v>0</v>
      </c>
      <c r="P182" s="490">
        <f t="shared" si="107"/>
        <v>0</v>
      </c>
    </row>
    <row r="183" spans="2:17">
      <c r="B183" t="str">
        <f>B80</f>
        <v>LatAm cable revenue</v>
      </c>
      <c r="J183" s="464">
        <f t="shared" si="107"/>
        <v>970</v>
      </c>
      <c r="K183" s="464">
        <f t="shared" si="107"/>
        <v>1588</v>
      </c>
      <c r="L183" s="464">
        <f t="shared" si="107"/>
        <v>1575.5</v>
      </c>
      <c r="M183" s="464">
        <f t="shared" si="107"/>
        <v>1755.6</v>
      </c>
      <c r="N183" s="464">
        <f t="shared" si="107"/>
        <v>1808</v>
      </c>
      <c r="O183" s="464">
        <f t="shared" si="107"/>
        <v>2243.3001986846039</v>
      </c>
      <c r="P183" s="464">
        <f t="shared" si="107"/>
        <v>2536.0790511901382</v>
      </c>
      <c r="Q183" s="449">
        <f>(P183/L183)^(1/4)-1</f>
        <v>0.12638301958951459</v>
      </c>
    </row>
    <row r="185" spans="2:17" hidden="1" outlineLevel="1">
      <c r="B185" s="1076" t="s">
        <v>4213</v>
      </c>
    </row>
    <row r="186" spans="2:17" hidden="1" outlineLevel="1">
      <c r="B186" s="478" t="s">
        <v>4214</v>
      </c>
      <c r="J186" s="464">
        <f t="shared" ref="J186:P186" si="108">L86</f>
        <v>498</v>
      </c>
      <c r="K186" s="464">
        <f t="shared" si="108"/>
        <v>1041.2126727509778</v>
      </c>
      <c r="L186" s="464">
        <f t="shared" ca="1" si="108"/>
        <v>962.55774461146189</v>
      </c>
      <c r="M186" s="464">
        <f t="shared" ca="1" si="108"/>
        <v>1031.3764433331658</v>
      </c>
      <c r="N186" s="464">
        <f t="shared" ca="1" si="108"/>
        <v>912.74322488129019</v>
      </c>
      <c r="O186" s="464">
        <f t="shared" ca="1" si="108"/>
        <v>833.71311847011907</v>
      </c>
      <c r="P186" s="464">
        <f t="shared" ca="1" si="108"/>
        <v>725.0579792216829</v>
      </c>
      <c r="Q186" s="449">
        <f ca="1">(P186/L186)^(1/4)-1</f>
        <v>-6.8384971279321083E-2</v>
      </c>
    </row>
    <row r="187" spans="2:17" hidden="1" outlineLevel="1">
      <c r="B187" s="478" t="s">
        <v>1828</v>
      </c>
      <c r="J187" s="464">
        <f t="shared" ref="J187:P188" si="109">L84</f>
        <v>364</v>
      </c>
      <c r="K187" s="464">
        <f t="shared" si="109"/>
        <v>447</v>
      </c>
      <c r="L187" s="464">
        <f t="shared" si="109"/>
        <v>477.8</v>
      </c>
      <c r="M187" s="464">
        <f t="shared" si="109"/>
        <v>506.43879999999996</v>
      </c>
      <c r="N187" s="464">
        <f t="shared" si="109"/>
        <v>580.53561999999988</v>
      </c>
      <c r="O187" s="464">
        <f t="shared" si="109"/>
        <v>666.35457699999995</v>
      </c>
      <c r="P187" s="464">
        <f t="shared" si="109"/>
        <v>765.81056376999982</v>
      </c>
      <c r="Q187" s="449">
        <f>(P187/L187)^(1/4)-1</f>
        <v>0.12517170381106824</v>
      </c>
    </row>
    <row r="188" spans="2:17" hidden="1" outlineLevel="1">
      <c r="B188" s="478" t="s">
        <v>1697</v>
      </c>
      <c r="J188" s="464">
        <f t="shared" si="109"/>
        <v>108</v>
      </c>
      <c r="K188" s="464">
        <f t="shared" si="109"/>
        <v>100.78732724902216</v>
      </c>
      <c r="L188" s="464">
        <f t="shared" ca="1" si="109"/>
        <v>135.14225538853816</v>
      </c>
      <c r="M188" s="464">
        <f t="shared" ca="1" si="109"/>
        <v>217.78475666683426</v>
      </c>
      <c r="N188" s="464">
        <f t="shared" ca="1" si="109"/>
        <v>314.72115511870993</v>
      </c>
      <c r="O188" s="464">
        <f t="shared" ca="1" si="109"/>
        <v>743.23250321448472</v>
      </c>
      <c r="P188" s="464">
        <f t="shared" ca="1" si="109"/>
        <v>1045.2105081984555</v>
      </c>
      <c r="Q188" s="449">
        <f ca="1">(P188/L188)^(1/4)-1</f>
        <v>0.6676432547726463</v>
      </c>
    </row>
    <row r="189" spans="2:17" hidden="1" outlineLevel="1">
      <c r="J189" s="464"/>
      <c r="K189" s="464"/>
      <c r="L189" s="464"/>
      <c r="M189" s="464"/>
      <c r="N189" s="464"/>
      <c r="O189" s="464"/>
      <c r="P189" s="464"/>
    </row>
    <row r="190" spans="2:17" collapsed="1">
      <c r="B190" s="478" t="s">
        <v>360</v>
      </c>
      <c r="J190" s="464">
        <f t="shared" ref="J190:P191" si="110">L116</f>
        <v>310.40000000000003</v>
      </c>
      <c r="K190" s="464">
        <f t="shared" si="110"/>
        <v>508.48</v>
      </c>
      <c r="L190" s="464">
        <f t="shared" si="110"/>
        <v>504.16</v>
      </c>
      <c r="M190" s="464">
        <f t="shared" si="110"/>
        <v>579.34799999999996</v>
      </c>
      <c r="N190" s="464">
        <f t="shared" si="110"/>
        <v>596.64</v>
      </c>
      <c r="O190" s="464">
        <f t="shared" si="110"/>
        <v>762.72206755276534</v>
      </c>
      <c r="P190" s="464">
        <f t="shared" si="110"/>
        <v>887.62766791654838</v>
      </c>
      <c r="Q190" s="449">
        <f>(P190/L190)^(1/4)-1</f>
        <v>0.1519022094520921</v>
      </c>
    </row>
    <row r="191" spans="2:17">
      <c r="B191" s="478" t="s">
        <v>1434</v>
      </c>
      <c r="J191" s="449">
        <f t="shared" si="110"/>
        <v>0.32</v>
      </c>
      <c r="K191" s="449">
        <f t="shared" si="110"/>
        <v>0.32</v>
      </c>
      <c r="L191" s="449">
        <f t="shared" si="110"/>
        <v>0.32</v>
      </c>
      <c r="M191" s="449">
        <f t="shared" si="110"/>
        <v>0.33</v>
      </c>
      <c r="N191" s="449">
        <f t="shared" si="110"/>
        <v>0.33</v>
      </c>
      <c r="O191" s="449">
        <f t="shared" si="110"/>
        <v>0.34</v>
      </c>
      <c r="P191" s="449">
        <f t="shared" si="110"/>
        <v>0.35</v>
      </c>
    </row>
    <row r="193" spans="2:16">
      <c r="B193" s="478" t="s">
        <v>1545</v>
      </c>
      <c r="J193" s="464">
        <f t="shared" ref="J193:P193" si="111">L122</f>
        <v>261.90000000000003</v>
      </c>
      <c r="K193" s="464">
        <f t="shared" si="111"/>
        <v>429.03000000000003</v>
      </c>
      <c r="L193" s="464">
        <f t="shared" si="111"/>
        <v>441.14000000000004</v>
      </c>
      <c r="M193" s="464">
        <f t="shared" si="111"/>
        <v>456.45600000000002</v>
      </c>
      <c r="N193" s="464">
        <f t="shared" si="111"/>
        <v>470.08000000000004</v>
      </c>
      <c r="O193" s="464">
        <f t="shared" si="111"/>
        <v>515.95904569745892</v>
      </c>
      <c r="P193" s="464">
        <f t="shared" si="111"/>
        <v>507.21581023802764</v>
      </c>
    </row>
    <row r="194" spans="2:16">
      <c r="B194" s="608" t="s">
        <v>4218</v>
      </c>
      <c r="J194" s="464"/>
      <c r="K194" s="464"/>
      <c r="L194" s="464"/>
      <c r="M194" s="464"/>
      <c r="N194" s="464"/>
      <c r="O194" s="464"/>
      <c r="P194" s="464"/>
    </row>
    <row r="195" spans="2:16">
      <c r="B195" s="478" t="s">
        <v>1431</v>
      </c>
      <c r="J195" s="449">
        <f t="shared" ref="J195:P195" si="112">L123</f>
        <v>0.27</v>
      </c>
      <c r="K195" s="449">
        <f t="shared" si="112"/>
        <v>0.27</v>
      </c>
      <c r="L195" s="449">
        <f t="shared" si="112"/>
        <v>0.28000000000000003</v>
      </c>
      <c r="M195" s="449">
        <f t="shared" si="112"/>
        <v>0.26</v>
      </c>
      <c r="N195" s="449">
        <f t="shared" si="112"/>
        <v>0.26</v>
      </c>
      <c r="O195" s="449">
        <f t="shared" si="112"/>
        <v>0.23</v>
      </c>
      <c r="P195" s="449">
        <f t="shared" si="112"/>
        <v>0.2</v>
      </c>
    </row>
    <row r="197" spans="2:16">
      <c r="B197" s="478" t="s">
        <v>1552</v>
      </c>
      <c r="J197" s="464">
        <f>J190-J193</f>
        <v>48.5</v>
      </c>
      <c r="K197" s="464">
        <f t="shared" ref="K197:P197" si="113">K190-K193</f>
        <v>79.449999999999989</v>
      </c>
      <c r="L197" s="464">
        <f t="shared" si="113"/>
        <v>63.019999999999982</v>
      </c>
      <c r="M197" s="464">
        <f t="shared" si="113"/>
        <v>122.89199999999994</v>
      </c>
      <c r="N197" s="464">
        <f t="shared" si="113"/>
        <v>126.55999999999995</v>
      </c>
      <c r="O197" s="464">
        <f t="shared" si="113"/>
        <v>246.76302185530642</v>
      </c>
      <c r="P197" s="464">
        <f t="shared" si="113"/>
        <v>380.41185767852073</v>
      </c>
    </row>
    <row r="199" spans="2:16">
      <c r="B199" s="478" t="s">
        <v>2172</v>
      </c>
    </row>
    <row r="200" spans="2:16">
      <c r="B200" s="478" t="s">
        <v>4222</v>
      </c>
    </row>
    <row r="202" spans="2:16">
      <c r="B202" s="455"/>
      <c r="I202" s="508" t="s">
        <v>4082</v>
      </c>
    </row>
    <row r="203" spans="2:16">
      <c r="B203" s="478" t="s">
        <v>4230</v>
      </c>
      <c r="I203">
        <v>376</v>
      </c>
    </row>
    <row r="204" spans="2:16">
      <c r="B204" s="487" t="s">
        <v>4229</v>
      </c>
      <c r="I204" s="455">
        <f>I205-I203</f>
        <v>1059</v>
      </c>
    </row>
    <row r="205" spans="2:16">
      <c r="B205" s="478" t="s">
        <v>2058</v>
      </c>
      <c r="I205">
        <v>1435</v>
      </c>
    </row>
    <row r="214" spans="1:11">
      <c r="B214" s="478" t="s">
        <v>2705</v>
      </c>
      <c r="I214" s="454">
        <f>M86</f>
        <v>1041.2126727509778</v>
      </c>
    </row>
    <row r="215" spans="1:11">
      <c r="B215" s="478" t="s">
        <v>2172</v>
      </c>
      <c r="I215" s="454">
        <f>M90</f>
        <v>151</v>
      </c>
    </row>
    <row r="216" spans="1:11">
      <c r="B216" s="478" t="s">
        <v>2379</v>
      </c>
      <c r="I216" s="454">
        <f>M92</f>
        <v>127.5</v>
      </c>
    </row>
    <row r="217" spans="1:11">
      <c r="B217" s="478" t="s">
        <v>4231</v>
      </c>
      <c r="I217" s="454">
        <f>M84-M90-M92</f>
        <v>168.5</v>
      </c>
    </row>
    <row r="218" spans="1:11">
      <c r="B218" s="478" t="s">
        <v>2378</v>
      </c>
      <c r="I218" s="454">
        <f>M96</f>
        <v>59.867948235382805</v>
      </c>
    </row>
    <row r="219" spans="1:11">
      <c r="B219" s="478" t="s">
        <v>2377</v>
      </c>
      <c r="I219" s="454">
        <f>M85-M96</f>
        <v>40.91937901363935</v>
      </c>
    </row>
    <row r="221" spans="1:11">
      <c r="B221" s="1072" t="s">
        <v>4232</v>
      </c>
    </row>
    <row r="223" spans="1:11">
      <c r="A223" s="478" t="s">
        <v>1823</v>
      </c>
      <c r="B223" s="455"/>
      <c r="I223" s="508" t="s">
        <v>1250</v>
      </c>
      <c r="J223" s="508" t="s">
        <v>4234</v>
      </c>
      <c r="K223" s="508" t="s">
        <v>4240</v>
      </c>
    </row>
    <row r="224" spans="1:11">
      <c r="B224" s="478" t="s">
        <v>4238</v>
      </c>
      <c r="I224" s="464">
        <v>7715</v>
      </c>
      <c r="J224" s="464">
        <v>7543</v>
      </c>
      <c r="K224" s="464">
        <v>3081</v>
      </c>
    </row>
    <row r="225" spans="2:11">
      <c r="B225" s="608" t="s">
        <v>4233</v>
      </c>
      <c r="I225" s="464">
        <v>6506</v>
      </c>
      <c r="J225" s="464">
        <f>J224</f>
        <v>7543</v>
      </c>
      <c r="K225" s="464">
        <f>K224</f>
        <v>3081</v>
      </c>
    </row>
    <row r="226" spans="2:11">
      <c r="B226" s="608"/>
      <c r="I226" s="464"/>
      <c r="J226" s="464"/>
      <c r="K226" s="464"/>
    </row>
    <row r="227" spans="2:11">
      <c r="B227" s="478" t="s">
        <v>4250</v>
      </c>
      <c r="I227" s="464">
        <v>3021</v>
      </c>
      <c r="J227" s="464">
        <v>3200</v>
      </c>
      <c r="K227" s="464">
        <v>1279.7</v>
      </c>
    </row>
    <row r="228" spans="2:11">
      <c r="B228" s="608" t="s">
        <v>4233</v>
      </c>
      <c r="I228" s="464">
        <v>1953</v>
      </c>
      <c r="J228" s="464">
        <f>J227</f>
        <v>3200</v>
      </c>
      <c r="K228" s="464">
        <f>K227</f>
        <v>1279.7</v>
      </c>
    </row>
    <row r="229" spans="2:11">
      <c r="B229" s="608"/>
      <c r="I229" s="464"/>
      <c r="J229" s="464"/>
      <c r="K229" s="464"/>
    </row>
    <row r="230" spans="2:11">
      <c r="B230" s="608" t="s">
        <v>4235</v>
      </c>
      <c r="I230" s="449">
        <f>I228/I225</f>
        <v>0.30018444512757453</v>
      </c>
      <c r="J230" s="449">
        <f>J228/J225</f>
        <v>0.42423438950019887</v>
      </c>
      <c r="K230" s="449">
        <f>K228/K225</f>
        <v>0.41535215839013306</v>
      </c>
    </row>
    <row r="232" spans="2:11">
      <c r="B232" s="478" t="s">
        <v>4251</v>
      </c>
      <c r="I232" s="570">
        <v>25.7</v>
      </c>
      <c r="J232" s="468">
        <f>353.7/18.03</f>
        <v>19.617304492512478</v>
      </c>
      <c r="K232" s="468">
        <v>52.4</v>
      </c>
    </row>
    <row r="233" spans="2:11">
      <c r="B233" s="478"/>
      <c r="I233" s="570"/>
      <c r="J233" s="468"/>
      <c r="K233" s="468"/>
    </row>
    <row r="234" spans="2:11">
      <c r="B234" s="478" t="s">
        <v>4237</v>
      </c>
      <c r="I234" s="456">
        <f>M117</f>
        <v>0.32</v>
      </c>
      <c r="J234" s="456">
        <v>0.49299999999999999</v>
      </c>
      <c r="K234" s="456">
        <v>0.38200000000000001</v>
      </c>
    </row>
    <row r="235" spans="2:11">
      <c r="B235" s="478" t="s">
        <v>4239</v>
      </c>
      <c r="I235" s="570">
        <f>M116/12/(I227/1000)</f>
        <v>14.02626062010372</v>
      </c>
      <c r="J235" s="468">
        <f>1664/18.03/3/(J227/1000)</f>
        <v>9.6136069513773315</v>
      </c>
      <c r="K235" s="570">
        <f>326/12/(K227/1000)</f>
        <v>21.228933864707873</v>
      </c>
    </row>
    <row r="237" spans="2:11">
      <c r="B237" s="478" t="s">
        <v>4236</v>
      </c>
      <c r="I237" s="449">
        <v>0.25</v>
      </c>
      <c r="J237" s="449">
        <v>0.27</v>
      </c>
      <c r="K237" s="449">
        <v>0.23</v>
      </c>
    </row>
    <row r="239" spans="2:11">
      <c r="B239" s="455"/>
      <c r="I239" s="495" t="str">
        <f>I223</f>
        <v>Millicom</v>
      </c>
      <c r="J239" s="495" t="str">
        <f>J223</f>
        <v>Megacable</v>
      </c>
      <c r="K239" s="495" t="str">
        <f>K223</f>
        <v>VTR</v>
      </c>
    </row>
    <row r="240" spans="2:11">
      <c r="B240" t="s">
        <v>4241</v>
      </c>
      <c r="I240" s="570">
        <f>SOP!U17/1000</f>
        <v>5.2708150315515274</v>
      </c>
      <c r="J240">
        <v>3.7</v>
      </c>
      <c r="K240">
        <v>2.9</v>
      </c>
    </row>
    <row r="241" spans="2:20">
      <c r="B241" t="s">
        <v>4242</v>
      </c>
      <c r="I241" s="468">
        <f>SOP!S17</f>
        <v>5.6941212389565248</v>
      </c>
      <c r="J241">
        <v>9.6</v>
      </c>
      <c r="K241">
        <v>8.5</v>
      </c>
    </row>
    <row r="245" spans="2:20">
      <c r="B245" s="451" t="s">
        <v>5934</v>
      </c>
      <c r="C245" s="451">
        <v>2016</v>
      </c>
      <c r="D245" s="451">
        <v>2017</v>
      </c>
      <c r="E245" s="451">
        <v>2018</v>
      </c>
      <c r="F245" s="451">
        <f t="shared" ref="F245:K245" si="114">E245+1</f>
        <v>2019</v>
      </c>
      <c r="G245" s="451">
        <f t="shared" si="114"/>
        <v>2020</v>
      </c>
      <c r="H245" s="451">
        <f t="shared" si="114"/>
        <v>2021</v>
      </c>
      <c r="I245" s="451">
        <f t="shared" si="114"/>
        <v>2022</v>
      </c>
      <c r="J245" s="451">
        <f t="shared" si="114"/>
        <v>2023</v>
      </c>
      <c r="K245" s="451">
        <f t="shared" si="114"/>
        <v>2024</v>
      </c>
      <c r="R245" s="508" t="s">
        <v>5619</v>
      </c>
    </row>
    <row r="246" spans="2:20">
      <c r="B246" s="478" t="s">
        <v>4288</v>
      </c>
      <c r="C246" s="489">
        <v>8119</v>
      </c>
      <c r="D246" s="489">
        <v>9076</v>
      </c>
      <c r="E246" s="489">
        <v>11076</v>
      </c>
      <c r="F246" s="489">
        <v>11842</v>
      </c>
      <c r="G246" s="489">
        <v>12229</v>
      </c>
      <c r="H246" s="464">
        <f>G246+H247</f>
        <v>12829</v>
      </c>
      <c r="I246" s="464">
        <f>H246+I247</f>
        <v>13429</v>
      </c>
      <c r="J246" s="464">
        <f>I246+J247</f>
        <v>14029</v>
      </c>
      <c r="K246" s="464">
        <f>J246+K247</f>
        <v>14629</v>
      </c>
    </row>
    <row r="247" spans="2:20">
      <c r="B247" s="478" t="s">
        <v>4621</v>
      </c>
      <c r="C247" s="478"/>
      <c r="D247" s="464">
        <f>D246-C246</f>
        <v>957</v>
      </c>
      <c r="E247">
        <f>E246-D246-720</f>
        <v>1280</v>
      </c>
      <c r="F247" s="464">
        <f>F246-E246</f>
        <v>766</v>
      </c>
      <c r="G247" s="464">
        <f>G246-F246</f>
        <v>387</v>
      </c>
      <c r="H247" s="1190">
        <v>600</v>
      </c>
      <c r="I247" s="1190">
        <v>600</v>
      </c>
      <c r="J247" s="1190">
        <v>600</v>
      </c>
      <c r="K247" s="1190">
        <v>600</v>
      </c>
    </row>
    <row r="248" spans="2:20">
      <c r="B248" s="478"/>
      <c r="C248" s="478"/>
      <c r="F248" s="464"/>
      <c r="G248" s="464"/>
      <c r="H248" s="464"/>
      <c r="I248" s="464"/>
    </row>
    <row r="249" spans="2:20">
      <c r="B249" s="499" t="s">
        <v>5927</v>
      </c>
    </row>
    <row r="250" spans="2:20">
      <c r="B250" t="s">
        <v>3521</v>
      </c>
      <c r="D250" s="523">
        <v>391</v>
      </c>
      <c r="E250" s="523">
        <v>502</v>
      </c>
      <c r="F250" s="523">
        <v>485</v>
      </c>
      <c r="G250" s="489">
        <v>485</v>
      </c>
      <c r="H250" s="464">
        <f>H265*H$258</f>
        <v>646.42118669753211</v>
      </c>
      <c r="I250" s="464">
        <f>I265*I$258</f>
        <v>819.66488611421312</v>
      </c>
      <c r="J250" s="464">
        <f>J265*J$258</f>
        <v>1006.5773124247629</v>
      </c>
      <c r="K250" s="464">
        <f>K265*K$258</f>
        <v>1207.9451246889109</v>
      </c>
      <c r="R250">
        <v>495</v>
      </c>
      <c r="S250" s="449">
        <f>R250/R258</f>
        <v>5.9963658388855243E-2</v>
      </c>
    </row>
    <row r="251" spans="2:20">
      <c r="D251" s="464"/>
      <c r="E251" s="464">
        <f t="shared" ref="E251:K251" si="115">E250-D250</f>
        <v>111</v>
      </c>
      <c r="F251" s="464">
        <f t="shared" si="115"/>
        <v>-17</v>
      </c>
      <c r="G251" s="464">
        <f t="shared" si="115"/>
        <v>0</v>
      </c>
      <c r="H251" s="464">
        <f t="shared" si="115"/>
        <v>161.42118669753211</v>
      </c>
      <c r="I251" s="464">
        <f t="shared" si="115"/>
        <v>173.24369941668101</v>
      </c>
      <c r="J251" s="464">
        <f t="shared" si="115"/>
        <v>186.91242631054979</v>
      </c>
      <c r="K251" s="464">
        <f t="shared" si="115"/>
        <v>201.36781226414803</v>
      </c>
    </row>
    <row r="252" spans="2:20">
      <c r="B252" t="s">
        <v>1908</v>
      </c>
      <c r="D252" s="464">
        <f t="shared" ref="D252:K252" si="116">D266*D$258</f>
        <v>1497.21</v>
      </c>
      <c r="E252" s="464">
        <f t="shared" si="116"/>
        <v>1791.6250000000002</v>
      </c>
      <c r="F252" s="464">
        <f t="shared" si="116"/>
        <v>1854.3999999999996</v>
      </c>
      <c r="G252" s="464">
        <f t="shared" si="116"/>
        <v>1882.0899999999995</v>
      </c>
      <c r="H252" s="464">
        <f t="shared" si="116"/>
        <v>1835.5329366589037</v>
      </c>
      <c r="I252" s="464">
        <f t="shared" si="116"/>
        <v>1774.1781845293508</v>
      </c>
      <c r="J252" s="464">
        <f t="shared" si="116"/>
        <v>1702.482897426723</v>
      </c>
      <c r="K252" s="464">
        <f t="shared" si="116"/>
        <v>1620.2035026378214</v>
      </c>
      <c r="R252" s="464">
        <f>R258-R254-R256-R250</f>
        <v>1816.4</v>
      </c>
      <c r="S252" s="449">
        <f>R252/R258</f>
        <v>0.22003634161114477</v>
      </c>
      <c r="T252" s="478" t="s">
        <v>5920</v>
      </c>
    </row>
    <row r="253" spans="2:20">
      <c r="D253" s="464"/>
      <c r="E253" s="464">
        <f t="shared" ref="E253:K253" si="117">E252-D252</f>
        <v>294.41500000000019</v>
      </c>
      <c r="F253" s="464">
        <f t="shared" si="117"/>
        <v>62.774999999999409</v>
      </c>
      <c r="G253" s="464">
        <f t="shared" si="117"/>
        <v>27.689999999999827</v>
      </c>
      <c r="H253" s="464">
        <f t="shared" si="117"/>
        <v>-46.557063341095727</v>
      </c>
      <c r="I253" s="464">
        <f t="shared" si="117"/>
        <v>-61.354752129552935</v>
      </c>
      <c r="J253" s="464">
        <f t="shared" si="117"/>
        <v>-71.695287102627844</v>
      </c>
      <c r="K253" s="464">
        <f t="shared" si="117"/>
        <v>-82.279394788901527</v>
      </c>
    </row>
    <row r="254" spans="2:20">
      <c r="B254" t="s">
        <v>4649</v>
      </c>
      <c r="D254" s="464">
        <f t="shared" ref="D254:K254" si="118">D267*D$258</f>
        <v>2070.9399999999996</v>
      </c>
      <c r="E254" s="464">
        <f t="shared" si="118"/>
        <v>2799</v>
      </c>
      <c r="F254" s="464">
        <f t="shared" si="118"/>
        <v>3174.9</v>
      </c>
      <c r="G254" s="464">
        <f t="shared" si="118"/>
        <v>3462.9650000000001</v>
      </c>
      <c r="H254" s="464">
        <f t="shared" si="118"/>
        <v>3722.9311850346539</v>
      </c>
      <c r="I254" s="464">
        <f t="shared" si="118"/>
        <v>3986.8328678410353</v>
      </c>
      <c r="J254" s="464">
        <f t="shared" si="118"/>
        <v>4264.2614414328946</v>
      </c>
      <c r="K254" s="464">
        <f t="shared" si="118"/>
        <v>4556.4616773597372</v>
      </c>
      <c r="R254" s="464">
        <f>S254*R258</f>
        <v>3136.9</v>
      </c>
      <c r="S254" s="449">
        <v>0.38</v>
      </c>
    </row>
    <row r="255" spans="2:20">
      <c r="D255" s="464"/>
      <c r="E255" s="464">
        <f t="shared" ref="E255:K255" si="119">E254-D254</f>
        <v>728.0600000000004</v>
      </c>
      <c r="F255" s="464">
        <f t="shared" si="119"/>
        <v>375.90000000000009</v>
      </c>
      <c r="G255" s="464">
        <f t="shared" si="119"/>
        <v>288.06500000000005</v>
      </c>
      <c r="H255" s="464">
        <f t="shared" si="119"/>
        <v>259.96618503465379</v>
      </c>
      <c r="I255" s="464">
        <f t="shared" si="119"/>
        <v>263.90168280638136</v>
      </c>
      <c r="J255" s="464">
        <f t="shared" si="119"/>
        <v>277.42857359185928</v>
      </c>
      <c r="K255" s="464">
        <f t="shared" si="119"/>
        <v>292.20023592684265</v>
      </c>
    </row>
    <row r="256" spans="2:20">
      <c r="B256" t="s">
        <v>4648</v>
      </c>
      <c r="D256" s="464">
        <f t="shared" ref="D256:K256" si="120">D268*D$258</f>
        <v>2131.8500000000004</v>
      </c>
      <c r="E256" s="464">
        <f t="shared" si="120"/>
        <v>2682.375</v>
      </c>
      <c r="F256" s="464">
        <f t="shared" si="120"/>
        <v>2840.7000000000003</v>
      </c>
      <c r="G256" s="464">
        <f t="shared" si="120"/>
        <v>2936.9450000000002</v>
      </c>
      <c r="H256" s="464">
        <f t="shared" si="120"/>
        <v>2987.5373707068211</v>
      </c>
      <c r="I256" s="464">
        <f t="shared" si="120"/>
        <v>3026.150249084159</v>
      </c>
      <c r="J256" s="464">
        <f t="shared" si="120"/>
        <v>3060.2346814989005</v>
      </c>
      <c r="K256" s="464">
        <f t="shared" si="120"/>
        <v>3090.0142409680971</v>
      </c>
      <c r="R256" s="464">
        <f>S256*R258</f>
        <v>2806.7000000000003</v>
      </c>
      <c r="S256" s="449">
        <v>0.34</v>
      </c>
    </row>
    <row r="257" spans="2:18">
      <c r="B257" s="455"/>
      <c r="C257" s="455"/>
      <c r="D257" s="490"/>
      <c r="E257" s="490">
        <f t="shared" ref="E257:K257" si="121">E256-D256</f>
        <v>550.52499999999964</v>
      </c>
      <c r="F257" s="490">
        <f t="shared" si="121"/>
        <v>158.32500000000027</v>
      </c>
      <c r="G257" s="490">
        <f t="shared" si="121"/>
        <v>96.244999999999891</v>
      </c>
      <c r="H257" s="490">
        <f t="shared" si="121"/>
        <v>50.59237070682093</v>
      </c>
      <c r="I257" s="490">
        <f t="shared" si="121"/>
        <v>38.612878377337893</v>
      </c>
      <c r="J257" s="490">
        <f t="shared" si="121"/>
        <v>34.084432414741514</v>
      </c>
      <c r="K257" s="490">
        <f t="shared" si="121"/>
        <v>29.779559469196556</v>
      </c>
      <c r="R257" s="455"/>
    </row>
    <row r="258" spans="2:18">
      <c r="B258" s="450" t="s">
        <v>3864</v>
      </c>
      <c r="C258" s="450"/>
      <c r="D258" s="1165">
        <v>6091</v>
      </c>
      <c r="E258" s="1165">
        <v>7775</v>
      </c>
      <c r="F258" s="1165">
        <v>8355</v>
      </c>
      <c r="G258" s="1165">
        <v>8767</v>
      </c>
      <c r="H258" s="598">
        <f>H276*H284</f>
        <v>9192.4226790979101</v>
      </c>
      <c r="I258" s="598">
        <f>I276*I284</f>
        <v>9606.8261875687585</v>
      </c>
      <c r="J258" s="598">
        <f>J276*J284</f>
        <v>10033.556332783281</v>
      </c>
      <c r="K258" s="598">
        <f>K276*K284</f>
        <v>10474.624545654568</v>
      </c>
      <c r="R258" s="464">
        <v>8255</v>
      </c>
    </row>
    <row r="259" spans="2:18">
      <c r="B259" t="s">
        <v>5929</v>
      </c>
      <c r="D259" s="464"/>
      <c r="E259" s="464">
        <f t="shared" ref="E259:K259" si="122">E258-D258</f>
        <v>1684</v>
      </c>
      <c r="F259" s="464">
        <f t="shared" si="122"/>
        <v>580</v>
      </c>
      <c r="G259" s="464">
        <f t="shared" si="122"/>
        <v>412</v>
      </c>
      <c r="H259" s="464">
        <f t="shared" si="122"/>
        <v>425.42267909791008</v>
      </c>
      <c r="I259" s="464">
        <f t="shared" si="122"/>
        <v>414.40350847084846</v>
      </c>
      <c r="J259" s="464">
        <f t="shared" si="122"/>
        <v>426.73014521452205</v>
      </c>
      <c r="K259" s="464">
        <f t="shared" si="122"/>
        <v>441.06821287128696</v>
      </c>
      <c r="R259" s="464"/>
    </row>
    <row r="260" spans="2:18">
      <c r="B260" t="s">
        <v>5933</v>
      </c>
      <c r="D260" s="456"/>
      <c r="E260" s="456"/>
      <c r="F260" s="456">
        <f t="shared" ref="F260:K260" si="123">F258/E258-1</f>
        <v>7.4598070739549938E-2</v>
      </c>
      <c r="G260" s="456">
        <f t="shared" si="123"/>
        <v>4.9311789347695978E-2</v>
      </c>
      <c r="H260" s="456">
        <f t="shared" si="123"/>
        <v>4.8525456723840454E-2</v>
      </c>
      <c r="I260" s="456">
        <f t="shared" si="123"/>
        <v>4.5080989303628805E-2</v>
      </c>
      <c r="J260" s="456">
        <f t="shared" si="123"/>
        <v>4.4419471830011048E-2</v>
      </c>
      <c r="K260" s="456">
        <f t="shared" si="123"/>
        <v>4.3959309963722104E-2</v>
      </c>
      <c r="R260" s="464"/>
    </row>
    <row r="261" spans="2:18">
      <c r="D261" s="464"/>
      <c r="E261" s="464"/>
    </row>
    <row r="262" spans="2:18">
      <c r="B262" s="613" t="s">
        <v>5926</v>
      </c>
      <c r="C262" s="613"/>
      <c r="D262" s="614"/>
      <c r="E262" s="468">
        <f t="shared" ref="E262:K262" si="124">E255/E257</f>
        <v>1.3224830843285971</v>
      </c>
      <c r="F262" s="468">
        <f t="shared" si="124"/>
        <v>2.3742302226432934</v>
      </c>
      <c r="G262" s="468">
        <f t="shared" si="124"/>
        <v>2.9930385994077655</v>
      </c>
      <c r="H262" s="468">
        <f t="shared" si="124"/>
        <v>5.1384463981958612</v>
      </c>
      <c r="I262" s="468">
        <f t="shared" si="124"/>
        <v>6.834550903650495</v>
      </c>
      <c r="J262" s="468">
        <f t="shared" si="124"/>
        <v>8.139451178652207</v>
      </c>
      <c r="K262" s="468">
        <f t="shared" si="124"/>
        <v>9.8121074030356077</v>
      </c>
    </row>
    <row r="263" spans="2:18">
      <c r="B263" s="478"/>
      <c r="C263" s="478"/>
      <c r="D263" s="464"/>
      <c r="E263" s="464"/>
    </row>
    <row r="264" spans="2:18">
      <c r="B264" s="478" t="s">
        <v>5925</v>
      </c>
      <c r="C264" s="478"/>
      <c r="D264" s="464"/>
      <c r="E264" s="464"/>
    </row>
    <row r="265" spans="2:18">
      <c r="B265" s="478" t="s">
        <v>3521</v>
      </c>
      <c r="C265" s="478"/>
      <c r="D265" s="456">
        <f>D250/D258</f>
        <v>6.4193071745197838E-2</v>
      </c>
      <c r="E265" s="456">
        <f>E250/E258</f>
        <v>6.4565916398713827E-2</v>
      </c>
      <c r="F265" s="456">
        <f>F250/F258</f>
        <v>5.8049072411729505E-2</v>
      </c>
      <c r="G265" s="456">
        <f>G250/G258</f>
        <v>5.5321090452834495E-2</v>
      </c>
      <c r="H265" s="456">
        <f>H269-H266-H267-H268</f>
        <v>7.0321090452834578E-2</v>
      </c>
      <c r="I265" s="456">
        <f>I269-I266-I267-I268</f>
        <v>8.532109045283448E-2</v>
      </c>
      <c r="J265" s="456">
        <f>J269-J266-J267-J268</f>
        <v>0.1003210904528346</v>
      </c>
      <c r="K265" s="456">
        <f>K269-K266-K267-K268</f>
        <v>0.11532109045283451</v>
      </c>
    </row>
    <row r="266" spans="2:18">
      <c r="B266" s="478" t="s">
        <v>1908</v>
      </c>
      <c r="C266" s="478"/>
      <c r="D266" s="456">
        <f>D269-D265-D267-D268</f>
        <v>0.24580692825480216</v>
      </c>
      <c r="E266" s="456">
        <f>E269-E265-E267-E268</f>
        <v>0.2304340836012862</v>
      </c>
      <c r="F266" s="456">
        <f>F269-F265-F267-F268</f>
        <v>0.22195092758827045</v>
      </c>
      <c r="G266" s="456">
        <f>G269-G265-G267-G268</f>
        <v>0.21467890954716545</v>
      </c>
      <c r="H266" s="456">
        <f>G266-1.5%</f>
        <v>0.19967890954716544</v>
      </c>
      <c r="I266" s="456">
        <f>H266-1.5%</f>
        <v>0.18467890954716543</v>
      </c>
      <c r="J266" s="456">
        <f>I266-1.5%</f>
        <v>0.16967890954716541</v>
      </c>
      <c r="K266" s="456">
        <f>J266-1.5%</f>
        <v>0.1546789095471654</v>
      </c>
    </row>
    <row r="267" spans="2:18">
      <c r="B267" s="478" t="s">
        <v>1197</v>
      </c>
      <c r="C267" s="478"/>
      <c r="D267" s="456">
        <f>E267-2%</f>
        <v>0.33999999999999997</v>
      </c>
      <c r="E267" s="456">
        <f>F267-2%</f>
        <v>0.36</v>
      </c>
      <c r="F267" s="456">
        <f>S254</f>
        <v>0.38</v>
      </c>
      <c r="G267" s="456">
        <f>F267+1.5%</f>
        <v>0.39500000000000002</v>
      </c>
      <c r="H267" s="456">
        <f>G267+1%</f>
        <v>0.40500000000000003</v>
      </c>
      <c r="I267" s="456">
        <f>H267+1%</f>
        <v>0.41500000000000004</v>
      </c>
      <c r="J267" s="456">
        <f>I267+1%</f>
        <v>0.42500000000000004</v>
      </c>
      <c r="K267" s="456">
        <f>J267+1%</f>
        <v>0.43500000000000005</v>
      </c>
    </row>
    <row r="268" spans="2:18">
      <c r="B268" s="487" t="s">
        <v>4648</v>
      </c>
      <c r="C268" s="487"/>
      <c r="D268" s="561">
        <f>E268+0.5%</f>
        <v>0.35000000000000003</v>
      </c>
      <c r="E268" s="561">
        <f>F268+0.5%</f>
        <v>0.34500000000000003</v>
      </c>
      <c r="F268" s="561">
        <f>S256</f>
        <v>0.34</v>
      </c>
      <c r="G268" s="561">
        <f>F268-0.5%</f>
        <v>0.33500000000000002</v>
      </c>
      <c r="H268" s="561">
        <f>G268-1%</f>
        <v>0.32500000000000001</v>
      </c>
      <c r="I268" s="561">
        <f>H268-1%</f>
        <v>0.315</v>
      </c>
      <c r="J268" s="561">
        <f>I268-1%</f>
        <v>0.30499999999999999</v>
      </c>
      <c r="K268" s="561">
        <f>J268-1%</f>
        <v>0.29499999999999998</v>
      </c>
    </row>
    <row r="269" spans="2:18">
      <c r="B269" s="478" t="s">
        <v>2324</v>
      </c>
      <c r="C269" s="478"/>
      <c r="D269" s="456">
        <v>1</v>
      </c>
      <c r="E269" s="456">
        <v>1</v>
      </c>
      <c r="F269" s="456">
        <v>1</v>
      </c>
      <c r="G269" s="456">
        <v>1</v>
      </c>
      <c r="H269" s="456">
        <v>1</v>
      </c>
      <c r="I269" s="456">
        <v>1</v>
      </c>
      <c r="J269" s="456">
        <v>1</v>
      </c>
      <c r="K269" s="456">
        <v>1</v>
      </c>
    </row>
    <row r="270" spans="2:18">
      <c r="D270" s="464"/>
      <c r="E270" s="464"/>
    </row>
    <row r="271" spans="2:18">
      <c r="B271" s="499" t="s">
        <v>5935</v>
      </c>
      <c r="C271" s="478"/>
      <c r="D271" s="464"/>
      <c r="E271" s="464"/>
    </row>
    <row r="272" spans="2:18">
      <c r="B272" s="478" t="s">
        <v>5921</v>
      </c>
      <c r="C272" s="478"/>
      <c r="D272" s="464"/>
      <c r="E272" s="449">
        <v>0.2</v>
      </c>
      <c r="F272" s="449">
        <f t="shared" ref="F272:K274" si="125">E272</f>
        <v>0.2</v>
      </c>
      <c r="G272" s="449">
        <f t="shared" si="125"/>
        <v>0.2</v>
      </c>
      <c r="H272" s="449">
        <f t="shared" si="125"/>
        <v>0.2</v>
      </c>
      <c r="I272" s="449">
        <f t="shared" si="125"/>
        <v>0.2</v>
      </c>
      <c r="J272" s="449">
        <f t="shared" si="125"/>
        <v>0.2</v>
      </c>
      <c r="K272" s="449">
        <f t="shared" si="125"/>
        <v>0.2</v>
      </c>
    </row>
    <row r="273" spans="2:18">
      <c r="B273" s="478" t="s">
        <v>5922</v>
      </c>
      <c r="C273" s="478"/>
      <c r="D273" s="464"/>
      <c r="E273" s="449">
        <v>0.28000000000000003</v>
      </c>
      <c r="F273" s="449">
        <f t="shared" si="125"/>
        <v>0.28000000000000003</v>
      </c>
      <c r="G273" s="449">
        <f t="shared" si="125"/>
        <v>0.28000000000000003</v>
      </c>
      <c r="H273" s="449">
        <f t="shared" si="125"/>
        <v>0.28000000000000003</v>
      </c>
      <c r="I273" s="449">
        <f t="shared" si="125"/>
        <v>0.28000000000000003</v>
      </c>
      <c r="J273" s="449">
        <f t="shared" si="125"/>
        <v>0.28000000000000003</v>
      </c>
      <c r="K273" s="449">
        <f t="shared" si="125"/>
        <v>0.28000000000000003</v>
      </c>
    </row>
    <row r="274" spans="2:18">
      <c r="B274" s="478" t="s">
        <v>5923</v>
      </c>
      <c r="C274" s="478"/>
      <c r="D274" s="464"/>
      <c r="E274" s="449">
        <v>0.33</v>
      </c>
      <c r="F274" s="449">
        <f t="shared" si="125"/>
        <v>0.33</v>
      </c>
      <c r="G274" s="449">
        <f t="shared" si="125"/>
        <v>0.33</v>
      </c>
      <c r="H274" s="449">
        <f t="shared" si="125"/>
        <v>0.33</v>
      </c>
      <c r="I274" s="449">
        <f t="shared" si="125"/>
        <v>0.33</v>
      </c>
      <c r="J274" s="449">
        <f t="shared" si="125"/>
        <v>0.33</v>
      </c>
      <c r="K274" s="449">
        <f t="shared" si="125"/>
        <v>0.33</v>
      </c>
    </row>
    <row r="275" spans="2:18">
      <c r="D275" s="464"/>
      <c r="E275" s="464"/>
    </row>
    <row r="276" spans="2:18">
      <c r="B276" s="450" t="s">
        <v>5919</v>
      </c>
      <c r="C276" s="450"/>
      <c r="D276" s="1165">
        <v>3303</v>
      </c>
      <c r="E276" s="1165">
        <v>4113</v>
      </c>
      <c r="F276" s="1165">
        <v>4341</v>
      </c>
      <c r="G276" s="1165">
        <v>4545</v>
      </c>
      <c r="H276" s="598">
        <f>G276+H279</f>
        <v>4740.97</v>
      </c>
      <c r="I276" s="598">
        <f>H276+I279</f>
        <v>4929.2750000000005</v>
      </c>
      <c r="J276" s="598">
        <f>I276+J279</f>
        <v>5121.9500000000007</v>
      </c>
      <c r="K276" s="598">
        <f>J276+K279</f>
        <v>5319.9500000000007</v>
      </c>
      <c r="R276" s="464">
        <v>4316</v>
      </c>
    </row>
    <row r="277" spans="2:18">
      <c r="B277" s="478" t="s">
        <v>401</v>
      </c>
      <c r="D277" s="464"/>
      <c r="E277" s="456">
        <f t="shared" ref="E277:K277" si="126">E276/D276-1</f>
        <v>0.24523160762942786</v>
      </c>
      <c r="F277" s="456">
        <f t="shared" si="126"/>
        <v>5.5433989788475468E-2</v>
      </c>
      <c r="G277" s="456">
        <f t="shared" si="126"/>
        <v>4.6993780234968918E-2</v>
      </c>
      <c r="H277" s="456">
        <f t="shared" si="126"/>
        <v>4.3117711771177181E-2</v>
      </c>
      <c r="I277" s="456">
        <f t="shared" si="126"/>
        <v>3.9718665167676637E-2</v>
      </c>
      <c r="J277" s="456">
        <f t="shared" si="126"/>
        <v>3.9087898321761294E-2</v>
      </c>
      <c r="K277" s="456">
        <f t="shared" si="126"/>
        <v>3.8657152061226663E-2</v>
      </c>
      <c r="R277" s="464"/>
    </row>
    <row r="278" spans="2:18">
      <c r="D278" s="464"/>
      <c r="E278" s="464"/>
      <c r="F278" s="464"/>
      <c r="G278" s="464"/>
      <c r="H278" s="464"/>
      <c r="I278" s="464"/>
      <c r="J278" s="464"/>
      <c r="K278" s="464"/>
      <c r="R278" s="464"/>
    </row>
    <row r="279" spans="2:18">
      <c r="B279" s="478" t="s">
        <v>584</v>
      </c>
      <c r="C279" s="499"/>
      <c r="D279" s="464"/>
      <c r="E279">
        <f>E276-D276-500</f>
        <v>310</v>
      </c>
      <c r="F279">
        <v>270</v>
      </c>
      <c r="G279" s="464">
        <f>G280+G281+G282</f>
        <v>253.06500000000003</v>
      </c>
      <c r="H279" s="464">
        <f>H280+H281+H282</f>
        <v>195.97000000000003</v>
      </c>
      <c r="I279" s="464">
        <f>I280+I281+I282</f>
        <v>188.30500000000001</v>
      </c>
      <c r="J279" s="464">
        <f>J280+J281+J282</f>
        <v>192.67499999999998</v>
      </c>
      <c r="K279" s="464">
        <f>K280+K281+K282</f>
        <v>198</v>
      </c>
    </row>
    <row r="280" spans="2:18">
      <c r="B280" s="608" t="s">
        <v>5930</v>
      </c>
      <c r="C280" s="608"/>
      <c r="D280" s="464"/>
      <c r="E280" s="464"/>
      <c r="F280" s="464">
        <f t="shared" ref="F280:K280" si="127">AVERAGE(E247,F247)*F272</f>
        <v>204.60000000000002</v>
      </c>
      <c r="G280" s="464">
        <f t="shared" si="127"/>
        <v>115.30000000000001</v>
      </c>
      <c r="H280" s="464">
        <f t="shared" si="127"/>
        <v>98.7</v>
      </c>
      <c r="I280" s="464">
        <f t="shared" si="127"/>
        <v>120</v>
      </c>
      <c r="J280" s="464">
        <f t="shared" si="127"/>
        <v>120</v>
      </c>
      <c r="K280" s="464">
        <f t="shared" si="127"/>
        <v>120</v>
      </c>
    </row>
    <row r="281" spans="2:18">
      <c r="B281" s="608" t="s">
        <v>5931</v>
      </c>
      <c r="C281" s="608"/>
      <c r="D281" s="464"/>
      <c r="E281" s="464"/>
      <c r="F281" s="464">
        <f t="shared" ref="F281:K281" si="128">AVERAGE(D247,E247)*(F273-F272)</f>
        <v>89.480000000000018</v>
      </c>
      <c r="G281" s="464">
        <f t="shared" si="128"/>
        <v>81.840000000000018</v>
      </c>
      <c r="H281" s="464">
        <f t="shared" si="128"/>
        <v>46.120000000000012</v>
      </c>
      <c r="I281" s="464">
        <f t="shared" si="128"/>
        <v>39.480000000000011</v>
      </c>
      <c r="J281" s="464">
        <f t="shared" si="128"/>
        <v>48.000000000000007</v>
      </c>
      <c r="K281" s="464">
        <f t="shared" si="128"/>
        <v>48.000000000000007</v>
      </c>
    </row>
    <row r="282" spans="2:18">
      <c r="B282" s="608" t="s">
        <v>5932</v>
      </c>
      <c r="C282" s="608"/>
      <c r="D282" s="464"/>
      <c r="E282" s="464"/>
      <c r="F282" s="464">
        <f t="shared" ref="F282:K282" si="129">AVERAGE(C247,D247)*(F274-F273)</f>
        <v>47.849999999999987</v>
      </c>
      <c r="G282" s="464">
        <f>AVERAGE(D247,E247)*(G274-G273)</f>
        <v>55.92499999999999</v>
      </c>
      <c r="H282" s="464">
        <f t="shared" si="129"/>
        <v>51.149999999999991</v>
      </c>
      <c r="I282" s="464">
        <f t="shared" si="129"/>
        <v>28.824999999999992</v>
      </c>
      <c r="J282" s="464">
        <f t="shared" si="129"/>
        <v>24.674999999999994</v>
      </c>
      <c r="K282" s="464">
        <f t="shared" si="129"/>
        <v>29.999999999999993</v>
      </c>
    </row>
    <row r="283" spans="2:18">
      <c r="D283" s="464"/>
      <c r="E283" s="464"/>
    </row>
    <row r="284" spans="2:18">
      <c r="B284" s="478" t="s">
        <v>5928</v>
      </c>
      <c r="D284" s="1102">
        <f>D258/D276</f>
        <v>1.8440811383590676</v>
      </c>
      <c r="E284" s="1102">
        <f>E258/E276</f>
        <v>1.8903476780938488</v>
      </c>
      <c r="F284" s="1102">
        <f>F258/F276</f>
        <v>1.9246717346233586</v>
      </c>
      <c r="G284" s="1102">
        <f>G258/G276</f>
        <v>1.928932893289329</v>
      </c>
      <c r="H284" s="1102">
        <f>G284+0.01</f>
        <v>1.9389328932893291</v>
      </c>
      <c r="I284" s="1102">
        <f>H284+0.01</f>
        <v>1.9489328932893291</v>
      </c>
      <c r="J284" s="1102">
        <f>I284+0.01</f>
        <v>1.9589328932893291</v>
      </c>
      <c r="K284" s="1102">
        <f>J284+0.01</f>
        <v>1.9689328932893291</v>
      </c>
      <c r="R284" s="464"/>
    </row>
    <row r="285" spans="2:18">
      <c r="B285" s="478" t="s">
        <v>1931</v>
      </c>
      <c r="D285" s="449">
        <f t="shared" ref="D285:K285" si="130">D276/D246</f>
        <v>0.36392684001762893</v>
      </c>
      <c r="E285" s="449">
        <f t="shared" si="130"/>
        <v>0.37134344528710728</v>
      </c>
      <c r="F285" s="449">
        <f t="shared" si="130"/>
        <v>0.36657659179192703</v>
      </c>
      <c r="G285" s="449">
        <f t="shared" si="130"/>
        <v>0.37165753536675117</v>
      </c>
      <c r="H285" s="449">
        <f t="shared" si="130"/>
        <v>0.369551017226596</v>
      </c>
      <c r="I285" s="449">
        <f t="shared" si="130"/>
        <v>0.36706195546950632</v>
      </c>
      <c r="J285" s="449">
        <f t="shared" si="130"/>
        <v>0.36509729845320416</v>
      </c>
      <c r="K285" s="449">
        <f t="shared" si="130"/>
        <v>0.36365780299405298</v>
      </c>
      <c r="R285" s="464"/>
    </row>
    <row r="286" spans="2:18">
      <c r="D286" s="464"/>
      <c r="E286" s="464"/>
      <c r="F286" s="464"/>
      <c r="G286" s="464"/>
      <c r="H286" s="464"/>
      <c r="I286" s="464"/>
      <c r="J286" s="464"/>
      <c r="K286" s="464"/>
      <c r="R286" s="464"/>
    </row>
    <row r="287" spans="2:18">
      <c r="B287" s="478" t="s">
        <v>366</v>
      </c>
      <c r="C287" s="478"/>
    </row>
    <row r="288" spans="2:18">
      <c r="B288" s="478" t="s">
        <v>3521</v>
      </c>
      <c r="C288" s="478"/>
      <c r="E288" s="656">
        <v>15</v>
      </c>
      <c r="F288" s="468">
        <f t="shared" ref="F288:K288" si="131">(1+F289)*E288</f>
        <v>14.25</v>
      </c>
      <c r="G288" s="468">
        <f t="shared" si="131"/>
        <v>13.5375</v>
      </c>
      <c r="H288" s="468">
        <f t="shared" si="131"/>
        <v>13.26675</v>
      </c>
      <c r="I288" s="468">
        <f t="shared" si="131"/>
        <v>13.26675</v>
      </c>
      <c r="J288" s="468">
        <f t="shared" si="131"/>
        <v>13.26675</v>
      </c>
      <c r="K288" s="468">
        <f t="shared" si="131"/>
        <v>13.26675</v>
      </c>
    </row>
    <row r="289" spans="2:11">
      <c r="E289" s="468"/>
      <c r="F289" s="1199">
        <v>-0.05</v>
      </c>
      <c r="G289" s="1199">
        <v>-0.05</v>
      </c>
      <c r="H289" s="1199">
        <v>-0.02</v>
      </c>
      <c r="I289" s="1199">
        <v>0</v>
      </c>
      <c r="J289" s="1199">
        <v>0</v>
      </c>
      <c r="K289" s="1199">
        <v>0</v>
      </c>
    </row>
    <row r="290" spans="2:11">
      <c r="B290" s="478" t="s">
        <v>1908</v>
      </c>
      <c r="C290" s="478"/>
      <c r="E290" s="656">
        <v>10</v>
      </c>
      <c r="F290" s="468">
        <f t="shared" ref="F290:K290" si="132">(1+F291)*E290</f>
        <v>10</v>
      </c>
      <c r="G290" s="468">
        <f t="shared" si="132"/>
        <v>9.5</v>
      </c>
      <c r="H290" s="468">
        <f t="shared" si="132"/>
        <v>9.5</v>
      </c>
      <c r="I290" s="468">
        <f t="shared" si="132"/>
        <v>9.5</v>
      </c>
      <c r="J290" s="468">
        <f t="shared" si="132"/>
        <v>9.5</v>
      </c>
      <c r="K290" s="468">
        <f t="shared" si="132"/>
        <v>9.5</v>
      </c>
    </row>
    <row r="291" spans="2:11">
      <c r="E291" s="468"/>
      <c r="F291" s="1199">
        <v>0</v>
      </c>
      <c r="G291" s="1199">
        <v>-0.05</v>
      </c>
      <c r="H291" s="1199">
        <v>0</v>
      </c>
      <c r="I291" s="1199">
        <v>0</v>
      </c>
      <c r="J291" s="1199">
        <v>0</v>
      </c>
      <c r="K291" s="1199">
        <v>0</v>
      </c>
    </row>
    <row r="292" spans="2:11">
      <c r="B292" s="478" t="s">
        <v>1197</v>
      </c>
      <c r="C292" s="478"/>
      <c r="E292" s="656">
        <v>18</v>
      </c>
      <c r="F292" s="468">
        <f t="shared" ref="F292:K292" si="133">(1+F293)*E292</f>
        <v>18</v>
      </c>
      <c r="G292" s="468">
        <f t="shared" si="133"/>
        <v>17.099999999999998</v>
      </c>
      <c r="H292" s="468">
        <f t="shared" si="133"/>
        <v>17.783999999999999</v>
      </c>
      <c r="I292" s="468">
        <f t="shared" si="133"/>
        <v>18.495359999999998</v>
      </c>
      <c r="J292" s="468">
        <f t="shared" si="133"/>
        <v>19.050220799999998</v>
      </c>
      <c r="K292" s="468">
        <f t="shared" si="133"/>
        <v>19.621727423999999</v>
      </c>
    </row>
    <row r="293" spans="2:11">
      <c r="E293" s="468"/>
      <c r="F293" s="1199">
        <v>0</v>
      </c>
      <c r="G293" s="1199">
        <v>-0.05</v>
      </c>
      <c r="H293" s="1199">
        <v>0.04</v>
      </c>
      <c r="I293" s="1199">
        <v>0.04</v>
      </c>
      <c r="J293" s="1199">
        <v>0.03</v>
      </c>
      <c r="K293" s="1199">
        <v>0.03</v>
      </c>
    </row>
    <row r="294" spans="2:11">
      <c r="B294" s="478" t="s">
        <v>4648</v>
      </c>
      <c r="C294" s="478"/>
      <c r="E294" s="656">
        <v>15</v>
      </c>
      <c r="F294" s="468">
        <f t="shared" ref="F294:K294" si="134">(1+F295)*E294</f>
        <v>15</v>
      </c>
      <c r="G294" s="468">
        <f t="shared" si="134"/>
        <v>14.25</v>
      </c>
      <c r="H294" s="468">
        <f t="shared" si="134"/>
        <v>14.6775</v>
      </c>
      <c r="I294" s="468">
        <f t="shared" si="134"/>
        <v>14.97105</v>
      </c>
      <c r="J294" s="468">
        <f t="shared" si="134"/>
        <v>15.270471000000001</v>
      </c>
      <c r="K294" s="468">
        <f t="shared" si="134"/>
        <v>15.575880420000001</v>
      </c>
    </row>
    <row r="295" spans="2:11">
      <c r="B295" s="455"/>
      <c r="C295" s="455"/>
      <c r="D295" s="455"/>
      <c r="E295" s="455"/>
      <c r="F295" s="1198">
        <v>0</v>
      </c>
      <c r="G295" s="1198">
        <v>-0.05</v>
      </c>
      <c r="H295" s="1198">
        <v>0.03</v>
      </c>
      <c r="I295" s="1198">
        <v>0.02</v>
      </c>
      <c r="J295" s="1198">
        <v>0.02</v>
      </c>
      <c r="K295" s="1198">
        <v>0.02</v>
      </c>
    </row>
    <row r="296" spans="2:11">
      <c r="B296" s="478" t="s">
        <v>5946</v>
      </c>
      <c r="E296" s="468">
        <f t="shared" ref="E296:K296" si="135">E305/AVERAGE(D276,E276)/12*1000</f>
        <v>28.249730312837109</v>
      </c>
      <c r="F296" s="468">
        <f t="shared" si="135"/>
        <v>30.478668874694424</v>
      </c>
      <c r="G296" s="468">
        <f t="shared" si="135"/>
        <v>28.509265511291169</v>
      </c>
      <c r="H296" s="468">
        <f t="shared" si="135"/>
        <v>29.500917864360748</v>
      </c>
      <c r="I296" s="468">
        <f t="shared" si="135"/>
        <v>30.530240273577725</v>
      </c>
      <c r="J296" s="468">
        <f t="shared" si="135"/>
        <v>31.463834762427499</v>
      </c>
      <c r="K296" s="468">
        <f t="shared" si="135"/>
        <v>32.435167298636095</v>
      </c>
    </row>
    <row r="297" spans="2:11">
      <c r="B297" s="478" t="s">
        <v>401</v>
      </c>
      <c r="E297" s="468"/>
      <c r="F297" s="456">
        <f t="shared" ref="F297:K297" si="136">F296/E296-1</f>
        <v>7.89012332922856E-2</v>
      </c>
      <c r="G297" s="456">
        <f t="shared" si="136"/>
        <v>-6.4615793147003053E-2</v>
      </c>
      <c r="H297" s="456">
        <f t="shared" si="136"/>
        <v>3.4783511089643282E-2</v>
      </c>
      <c r="I297" s="456">
        <f t="shared" si="136"/>
        <v>3.4891199451813515E-2</v>
      </c>
      <c r="J297" s="456">
        <f t="shared" si="136"/>
        <v>3.0579336437707383E-2</v>
      </c>
      <c r="K297" s="456">
        <f t="shared" si="136"/>
        <v>3.0871397067229411E-2</v>
      </c>
    </row>
    <row r="299" spans="2:11">
      <c r="B299" s="450" t="s">
        <v>758</v>
      </c>
      <c r="C299" s="478"/>
    </row>
    <row r="300" spans="2:11">
      <c r="B300" s="478" t="s">
        <v>3521</v>
      </c>
      <c r="C300" s="478"/>
      <c r="E300" s="464">
        <f t="shared" ref="E300:K300" si="137">E288*12*AVERAGE(D250,E250)/1000</f>
        <v>80.37</v>
      </c>
      <c r="F300" s="464">
        <f t="shared" si="137"/>
        <v>84.388499999999993</v>
      </c>
      <c r="G300" s="464">
        <f t="shared" si="137"/>
        <v>78.788250000000005</v>
      </c>
      <c r="H300" s="464">
        <f t="shared" si="137"/>
        <v>90.061692171716885</v>
      </c>
      <c r="I300" s="464">
        <f t="shared" si="137"/>
        <v>116.70118443885133</v>
      </c>
      <c r="J300" s="464">
        <f t="shared" si="137"/>
        <v>145.36979212480176</v>
      </c>
      <c r="K300" s="464">
        <f t="shared" si="137"/>
        <v>176.27709325546698</v>
      </c>
    </row>
    <row r="301" spans="2:11">
      <c r="B301" s="478" t="s">
        <v>1908</v>
      </c>
      <c r="C301" s="478"/>
      <c r="E301" s="464">
        <f t="shared" ref="E301:K301" si="138">E290*12*AVERAGE(D252,E252)/1000</f>
        <v>197.33010000000002</v>
      </c>
      <c r="F301" s="464">
        <f t="shared" si="138"/>
        <v>218.76149999999998</v>
      </c>
      <c r="G301" s="464">
        <f t="shared" si="138"/>
        <v>212.97992999999994</v>
      </c>
      <c r="H301" s="464">
        <f t="shared" si="138"/>
        <v>211.90450738955749</v>
      </c>
      <c r="I301" s="464">
        <f t="shared" si="138"/>
        <v>205.75353390773051</v>
      </c>
      <c r="J301" s="464">
        <f t="shared" si="138"/>
        <v>198.16968167149619</v>
      </c>
      <c r="K301" s="464">
        <f t="shared" si="138"/>
        <v>189.39312480367903</v>
      </c>
    </row>
    <row r="302" spans="2:11">
      <c r="B302" s="478" t="s">
        <v>1197</v>
      </c>
      <c r="C302" s="478"/>
      <c r="E302" s="464">
        <f t="shared" ref="E302:K302" si="139">E292*12*AVERAGE(D254,E254)/1000</f>
        <v>525.95351999999991</v>
      </c>
      <c r="F302" s="464">
        <f t="shared" si="139"/>
        <v>645.18119999999999</v>
      </c>
      <c r="G302" s="464">
        <f t="shared" si="139"/>
        <v>681.04494899999986</v>
      </c>
      <c r="H302" s="464">
        <f t="shared" si="139"/>
        <v>766.76386652793769</v>
      </c>
      <c r="I302" s="464">
        <f t="shared" si="139"/>
        <v>855.56917003796934</v>
      </c>
      <c r="J302" s="464">
        <f t="shared" si="139"/>
        <v>943.1110105997509</v>
      </c>
      <c r="K302" s="464">
        <f t="shared" si="139"/>
        <v>1038.4669483171451</v>
      </c>
    </row>
    <row r="303" spans="2:11">
      <c r="B303" s="478" t="s">
        <v>4648</v>
      </c>
      <c r="C303" s="478"/>
      <c r="E303" s="464">
        <f t="shared" ref="E303:K303" si="140">E294*12*AVERAGE(D256,E256)/1000</f>
        <v>433.28025000000008</v>
      </c>
      <c r="F303" s="464">
        <f t="shared" si="140"/>
        <v>497.07675000000006</v>
      </c>
      <c r="G303" s="464">
        <f t="shared" si="140"/>
        <v>493.98864750000001</v>
      </c>
      <c r="H303" s="464">
        <f t="shared" si="140"/>
        <v>521.7395399762961</v>
      </c>
      <c r="I303" s="464">
        <f t="shared" si="140"/>
        <v>540.1873082416306</v>
      </c>
      <c r="J303" s="464">
        <f t="shared" si="140"/>
        <v>557.65178746383367</v>
      </c>
      <c r="K303" s="464">
        <f t="shared" si="140"/>
        <v>574.77325061747877</v>
      </c>
    </row>
    <row r="304" spans="2:11">
      <c r="B304" s="487" t="s">
        <v>5924</v>
      </c>
      <c r="C304" s="487"/>
      <c r="D304" s="455"/>
      <c r="E304" s="490">
        <f>E305-E300-E301-E302-E303</f>
        <v>20.066130000000101</v>
      </c>
      <c r="F304" s="490">
        <f>F305-F300-F301-F302-F303</f>
        <v>100.59204999999986</v>
      </c>
      <c r="G304" s="490">
        <f>G305-G300-G301-G302-G303</f>
        <v>53.198223500000097</v>
      </c>
      <c r="H304" s="490">
        <f>G304</f>
        <v>53.198223500000097</v>
      </c>
      <c r="I304" s="490">
        <f>H304</f>
        <v>53.198223500000097</v>
      </c>
      <c r="J304" s="490">
        <f>I304</f>
        <v>53.198223500000097</v>
      </c>
      <c r="K304" s="490">
        <f>J304</f>
        <v>53.198223500000097</v>
      </c>
    </row>
    <row r="305" spans="2:11">
      <c r="B305" s="450" t="s">
        <v>5936</v>
      </c>
      <c r="C305" s="1165">
        <v>1032</v>
      </c>
      <c r="D305" s="1165">
        <v>1126</v>
      </c>
      <c r="E305" s="1165">
        <v>1257</v>
      </c>
      <c r="F305" s="1165">
        <v>1546</v>
      </c>
      <c r="G305" s="1165">
        <v>1520</v>
      </c>
      <c r="H305" s="598">
        <f>SUM(H300:H304)</f>
        <v>1643.6678295655081</v>
      </c>
      <c r="I305" s="598">
        <f>SUM(I300:I304)</f>
        <v>1771.4094201261819</v>
      </c>
      <c r="J305" s="598">
        <f>SUM(J300:J304)</f>
        <v>1897.5004953598825</v>
      </c>
      <c r="K305" s="598">
        <f>SUM(K300:K304)</f>
        <v>2032.1086404937701</v>
      </c>
    </row>
    <row r="306" spans="2:11">
      <c r="B306" s="478" t="s">
        <v>401</v>
      </c>
      <c r="D306" s="449">
        <f t="shared" ref="D306:K306" si="141">D305/C305-1</f>
        <v>9.1085271317829397E-2</v>
      </c>
      <c r="E306" s="449">
        <f t="shared" si="141"/>
        <v>0.11634103019538178</v>
      </c>
      <c r="F306" s="449">
        <f t="shared" si="141"/>
        <v>0.22991249005568815</v>
      </c>
      <c r="G306" s="449">
        <f t="shared" si="141"/>
        <v>-1.681759379042691E-2</v>
      </c>
      <c r="H306" s="449">
        <f t="shared" si="141"/>
        <v>8.1360414187834351E-2</v>
      </c>
      <c r="I306" s="449">
        <f t="shared" si="141"/>
        <v>7.7717400233136669E-2</v>
      </c>
      <c r="J306" s="449">
        <f t="shared" si="141"/>
        <v>7.1181215252157148E-2</v>
      </c>
      <c r="K306" s="449">
        <f t="shared" si="141"/>
        <v>7.0939715411435289E-2</v>
      </c>
    </row>
    <row r="308" spans="2:11">
      <c r="B308" s="478" t="s">
        <v>1054</v>
      </c>
      <c r="E308" s="464">
        <f>E309*E305</f>
        <v>414.81</v>
      </c>
      <c r="F308" s="464">
        <f>F309*F305</f>
        <v>572.02</v>
      </c>
      <c r="G308" s="454">
        <f>(G305-F305)*G311+F308</f>
        <v>554.64579975728157</v>
      </c>
      <c r="H308" s="454">
        <f>(H305-G305)*H311+G308</f>
        <v>625.82579614174085</v>
      </c>
      <c r="I308" s="454">
        <f>(I305-H305)*I311+H308</f>
        <v>698.77500671838504</v>
      </c>
      <c r="J308" s="454">
        <f>(J305-I305)*J311+I308</f>
        <v>770.48810558836408</v>
      </c>
      <c r="K308" s="454">
        <f>(K305-J305)*K311+J308</f>
        <v>846.75412950686564</v>
      </c>
    </row>
    <row r="309" spans="2:11">
      <c r="B309" s="478" t="s">
        <v>5955</v>
      </c>
      <c r="E309" s="456">
        <v>0.33</v>
      </c>
      <c r="F309" s="456">
        <v>0.37</v>
      </c>
      <c r="G309" s="456">
        <f>G308/G305</f>
        <v>0.36489855247189579</v>
      </c>
      <c r="H309" s="456">
        <f>H308/H305</f>
        <v>0.38074955589242959</v>
      </c>
      <c r="I309" s="456">
        <f>I308/I305</f>
        <v>0.39447402660228009</v>
      </c>
      <c r="J309" s="456">
        <f>J308/J305</f>
        <v>0.40605423159177212</v>
      </c>
      <c r="K309" s="456">
        <f>K308/K305</f>
        <v>0.41668743128867258</v>
      </c>
    </row>
    <row r="311" spans="2:11">
      <c r="B311" s="478" t="s">
        <v>5947</v>
      </c>
      <c r="G311" s="449">
        <f>(G251*G312+G253*G313+G255*G314+G257*G315)/G259</f>
        <v>0.66823847087378618</v>
      </c>
      <c r="H311" s="449">
        <f>(H251*H312+H253*H313+H255*H314+H257*H315)/H259</f>
        <v>0.57557407318088771</v>
      </c>
      <c r="I311" s="449">
        <f>(I251*I312+I253*I313+I255*I314+I257*I315)/I259</f>
        <v>0.57106859446841873</v>
      </c>
      <c r="J311" s="449">
        <f>(J251*J312+J253*J313+J255*J314+J257*J315)/J259</f>
        <v>0.56874048172770342</v>
      </c>
      <c r="K311" s="449">
        <f>(K251*K312+K253*K313+K255*K314+K257*K315)/K259</f>
        <v>0.56657807625715184</v>
      </c>
    </row>
    <row r="312" spans="2:11">
      <c r="B312" s="478" t="s">
        <v>3521</v>
      </c>
      <c r="G312" s="449">
        <v>0.4</v>
      </c>
      <c r="H312" s="449">
        <v>0.4</v>
      </c>
      <c r="I312" s="449">
        <v>0.4</v>
      </c>
      <c r="J312" s="449">
        <v>0.4</v>
      </c>
      <c r="K312" s="449">
        <v>0.4</v>
      </c>
    </row>
    <row r="313" spans="2:11">
      <c r="B313" s="478" t="s">
        <v>1908</v>
      </c>
      <c r="G313" s="449">
        <v>0.75</v>
      </c>
      <c r="H313" s="449">
        <v>0.75</v>
      </c>
      <c r="I313" s="449">
        <v>0.75</v>
      </c>
      <c r="J313" s="449">
        <v>0.75</v>
      </c>
      <c r="K313" s="449">
        <v>0.75</v>
      </c>
    </row>
    <row r="314" spans="2:11">
      <c r="B314" s="478" t="s">
        <v>1197</v>
      </c>
      <c r="G314" s="449">
        <v>0.75</v>
      </c>
      <c r="H314" s="449">
        <v>0.75</v>
      </c>
      <c r="I314" s="449">
        <v>0.75</v>
      </c>
      <c r="J314" s="449">
        <v>0.75</v>
      </c>
      <c r="K314" s="449">
        <v>0.75</v>
      </c>
    </row>
    <row r="315" spans="2:11">
      <c r="B315" s="478" t="s">
        <v>5948</v>
      </c>
      <c r="G315" s="449">
        <v>0.4</v>
      </c>
      <c r="H315" s="449">
        <v>0.4</v>
      </c>
      <c r="I315" s="449">
        <v>0.4</v>
      </c>
      <c r="J315" s="449">
        <v>0.4</v>
      </c>
      <c r="K315" s="449">
        <v>0.4</v>
      </c>
    </row>
    <row r="317" spans="2:11">
      <c r="B317" s="478" t="s">
        <v>1545</v>
      </c>
      <c r="E317" s="454">
        <f t="shared" ref="E317:K317" si="142">E318*E305</f>
        <v>414.81</v>
      </c>
      <c r="F317" s="454">
        <f t="shared" si="142"/>
        <v>479.26</v>
      </c>
      <c r="G317" s="454">
        <f t="shared" si="142"/>
        <v>456</v>
      </c>
      <c r="H317" s="454">
        <f t="shared" si="142"/>
        <v>460.22699227834232</v>
      </c>
      <c r="I317" s="454">
        <f t="shared" si="142"/>
        <v>460.56644923280732</v>
      </c>
      <c r="J317" s="454">
        <f t="shared" si="142"/>
        <v>455.40011888637179</v>
      </c>
      <c r="K317" s="454">
        <f t="shared" si="142"/>
        <v>447.06390090862942</v>
      </c>
    </row>
    <row r="318" spans="2:11">
      <c r="B318" s="478" t="s">
        <v>1431</v>
      </c>
      <c r="E318">
        <v>0.33</v>
      </c>
      <c r="F318">
        <v>0.31</v>
      </c>
      <c r="G318">
        <v>0.3</v>
      </c>
      <c r="H318">
        <v>0.28000000000000003</v>
      </c>
      <c r="I318">
        <v>0.26</v>
      </c>
      <c r="J318">
        <v>0.24</v>
      </c>
      <c r="K318">
        <v>0.22</v>
      </c>
    </row>
    <row r="320" spans="2:11">
      <c r="B320" s="478" t="s">
        <v>1552</v>
      </c>
      <c r="E320" s="464">
        <f t="shared" ref="E320:K320" si="143">E308-E317</f>
        <v>0</v>
      </c>
      <c r="F320" s="464">
        <f t="shared" si="143"/>
        <v>92.759999999999991</v>
      </c>
      <c r="G320" s="464">
        <f t="shared" si="143"/>
        <v>98.645799757281566</v>
      </c>
      <c r="H320" s="464">
        <f t="shared" si="143"/>
        <v>165.59880386339853</v>
      </c>
      <c r="I320" s="464">
        <f t="shared" si="143"/>
        <v>238.20855748557773</v>
      </c>
      <c r="J320" s="464">
        <f t="shared" si="143"/>
        <v>315.08798670199229</v>
      </c>
      <c r="K320" s="464">
        <f t="shared" si="143"/>
        <v>399.69022859823622</v>
      </c>
    </row>
    <row r="321" spans="2:11">
      <c r="B321" s="478" t="s">
        <v>5950</v>
      </c>
      <c r="E321" s="449">
        <f t="shared" ref="E321:K321" si="144">E320/E305</f>
        <v>0</v>
      </c>
      <c r="F321" s="449">
        <f t="shared" si="144"/>
        <v>5.9999999999999991E-2</v>
      </c>
      <c r="G321" s="449">
        <f t="shared" si="144"/>
        <v>6.4898552471895771E-2</v>
      </c>
      <c r="H321" s="449">
        <f t="shared" si="144"/>
        <v>0.10074955589242955</v>
      </c>
      <c r="I321" s="449">
        <f t="shared" si="144"/>
        <v>0.13447402660228008</v>
      </c>
      <c r="J321" s="449">
        <f t="shared" si="144"/>
        <v>0.16605423159177216</v>
      </c>
      <c r="K321" s="449">
        <f t="shared" si="144"/>
        <v>0.19668743128867255</v>
      </c>
    </row>
    <row r="323" spans="2:11">
      <c r="B323" s="450" t="s">
        <v>5949</v>
      </c>
      <c r="C323" s="598">
        <v>579</v>
      </c>
      <c r="D323" s="598">
        <v>629</v>
      </c>
      <c r="E323" s="598">
        <v>551</v>
      </c>
      <c r="F323" s="598">
        <v>651</v>
      </c>
      <c r="G323" s="598">
        <v>578</v>
      </c>
      <c r="H323" s="598">
        <f>(1+H324)*G323</f>
        <v>595.34</v>
      </c>
      <c r="I323" s="598">
        <f>(1+I324)*H323</f>
        <v>613.2002</v>
      </c>
      <c r="J323" s="598">
        <f>(1+J324)*I323</f>
        <v>631.59620600000005</v>
      </c>
      <c r="K323" s="598">
        <f>(1+K324)*J323</f>
        <v>650.54409218000012</v>
      </c>
    </row>
    <row r="324" spans="2:11">
      <c r="B324" s="478" t="s">
        <v>2353</v>
      </c>
      <c r="D324" s="449">
        <f>D323/C323-1</f>
        <v>8.6355785837651133E-2</v>
      </c>
      <c r="E324" s="449">
        <f>E323/D323-1</f>
        <v>-0.12400635930047699</v>
      </c>
      <c r="F324" s="449">
        <v>0.01</v>
      </c>
      <c r="G324" s="449">
        <v>0.01</v>
      </c>
      <c r="H324" s="538">
        <v>0.03</v>
      </c>
      <c r="I324" s="538">
        <v>0.03</v>
      </c>
      <c r="J324" s="538">
        <v>0.03</v>
      </c>
      <c r="K324" s="538">
        <v>0.03</v>
      </c>
    </row>
    <row r="326" spans="2:11">
      <c r="B326" s="478" t="s">
        <v>1054</v>
      </c>
      <c r="E326" s="454">
        <f>E327*E323</f>
        <v>181.83</v>
      </c>
      <c r="F326" s="454">
        <f t="shared" ref="F326:K326" si="145">F327*F323</f>
        <v>240.87</v>
      </c>
      <c r="G326" s="454">
        <f t="shared" si="145"/>
        <v>213.85999999999999</v>
      </c>
      <c r="H326" s="454">
        <f t="shared" si="145"/>
        <v>220.2758</v>
      </c>
      <c r="I326" s="454">
        <f t="shared" si="145"/>
        <v>226.884074</v>
      </c>
      <c r="J326" s="454">
        <f t="shared" si="145"/>
        <v>233.69059622</v>
      </c>
      <c r="K326" s="454">
        <f t="shared" si="145"/>
        <v>240.70131410660005</v>
      </c>
    </row>
    <row r="327" spans="2:11">
      <c r="B327" s="478" t="s">
        <v>1542</v>
      </c>
      <c r="E327">
        <v>0.33</v>
      </c>
      <c r="F327">
        <v>0.37</v>
      </c>
      <c r="G327">
        <f>F327</f>
        <v>0.37</v>
      </c>
      <c r="H327">
        <f>G327</f>
        <v>0.37</v>
      </c>
      <c r="I327">
        <f>H327</f>
        <v>0.37</v>
      </c>
      <c r="J327">
        <f>I327</f>
        <v>0.37</v>
      </c>
      <c r="K327">
        <f>J327</f>
        <v>0.37</v>
      </c>
    </row>
    <row r="329" spans="2:11">
      <c r="B329" s="478" t="s">
        <v>1545</v>
      </c>
      <c r="E329" s="454">
        <f>500-E317</f>
        <v>85.19</v>
      </c>
      <c r="F329" s="454">
        <f t="shared" ref="F329:K329" si="146">F330*F323</f>
        <v>100.65098003629763</v>
      </c>
      <c r="G329" s="454">
        <f t="shared" si="146"/>
        <v>89.364464609800351</v>
      </c>
      <c r="H329" s="454">
        <f t="shared" si="146"/>
        <v>92.045398548094369</v>
      </c>
      <c r="I329" s="454">
        <f t="shared" si="146"/>
        <v>94.806760504537195</v>
      </c>
      <c r="J329" s="454">
        <f t="shared" si="146"/>
        <v>97.650963319673323</v>
      </c>
      <c r="K329" s="454">
        <f t="shared" si="146"/>
        <v>100.58049221926353</v>
      </c>
    </row>
    <row r="330" spans="2:11">
      <c r="B330" s="478" t="s">
        <v>1431</v>
      </c>
      <c r="E330" s="449">
        <f>E329/E323</f>
        <v>0.15460980036297639</v>
      </c>
      <c r="F330" s="449">
        <f t="shared" ref="F330:K330" si="147">E330</f>
        <v>0.15460980036297639</v>
      </c>
      <c r="G330" s="449">
        <f t="shared" si="147"/>
        <v>0.15460980036297639</v>
      </c>
      <c r="H330" s="449">
        <f t="shared" si="147"/>
        <v>0.15460980036297639</v>
      </c>
      <c r="I330" s="449">
        <f t="shared" si="147"/>
        <v>0.15460980036297639</v>
      </c>
      <c r="J330" s="449">
        <f t="shared" si="147"/>
        <v>0.15460980036297639</v>
      </c>
      <c r="K330" s="449">
        <f t="shared" si="147"/>
        <v>0.15460980036297639</v>
      </c>
    </row>
    <row r="332" spans="2:11">
      <c r="B332" s="478" t="s">
        <v>1552</v>
      </c>
      <c r="E332" s="464">
        <f t="shared" ref="E332:K332" si="148">E326-E329</f>
        <v>96.640000000000015</v>
      </c>
      <c r="F332" s="464">
        <f t="shared" si="148"/>
        <v>140.21901996370238</v>
      </c>
      <c r="G332" s="464">
        <f t="shared" si="148"/>
        <v>124.49553539019963</v>
      </c>
      <c r="H332" s="464">
        <f t="shared" si="148"/>
        <v>128.23040145190564</v>
      </c>
      <c r="I332" s="464">
        <f t="shared" si="148"/>
        <v>132.07731349546282</v>
      </c>
      <c r="J332" s="464">
        <f t="shared" si="148"/>
        <v>136.03963290032669</v>
      </c>
      <c r="K332" s="464">
        <f t="shared" si="148"/>
        <v>140.12082188733652</v>
      </c>
    </row>
    <row r="333" spans="2:11">
      <c r="B333" s="478" t="s">
        <v>5950</v>
      </c>
      <c r="E333" s="449">
        <f t="shared" ref="E333:K333" si="149">E332/E323</f>
        <v>0.17539019963702362</v>
      </c>
      <c r="F333" s="449">
        <f t="shared" si="149"/>
        <v>0.21539019963702363</v>
      </c>
      <c r="G333" s="449">
        <f t="shared" si="149"/>
        <v>0.21539019963702358</v>
      </c>
      <c r="H333" s="449">
        <f t="shared" si="149"/>
        <v>0.2153901996370236</v>
      </c>
      <c r="I333" s="449">
        <f t="shared" si="149"/>
        <v>0.21539019963702363</v>
      </c>
      <c r="J333" s="449">
        <f t="shared" si="149"/>
        <v>0.2153901996370236</v>
      </c>
      <c r="K333" s="449">
        <f t="shared" si="149"/>
        <v>0.2153901996370236</v>
      </c>
    </row>
    <row r="335" spans="2:11">
      <c r="B335" s="451" t="s">
        <v>5951</v>
      </c>
      <c r="C335" s="451">
        <f t="shared" ref="C335:K335" si="150">C245</f>
        <v>2016</v>
      </c>
      <c r="D335" s="451">
        <f t="shared" si="150"/>
        <v>2017</v>
      </c>
      <c r="E335" s="451">
        <f t="shared" si="150"/>
        <v>2018</v>
      </c>
      <c r="F335" s="451">
        <f t="shared" si="150"/>
        <v>2019</v>
      </c>
      <c r="G335" s="451">
        <f t="shared" si="150"/>
        <v>2020</v>
      </c>
      <c r="H335" s="451">
        <f t="shared" si="150"/>
        <v>2021</v>
      </c>
      <c r="I335" s="451">
        <f t="shared" si="150"/>
        <v>2022</v>
      </c>
      <c r="J335" s="451">
        <f t="shared" si="150"/>
        <v>2023</v>
      </c>
      <c r="K335" s="451">
        <f t="shared" si="150"/>
        <v>2024</v>
      </c>
    </row>
    <row r="336" spans="2:11">
      <c r="B336" s="478" t="s">
        <v>5724</v>
      </c>
      <c r="C336" s="464">
        <f>C305</f>
        <v>1032</v>
      </c>
      <c r="D336" s="464">
        <f>D305</f>
        <v>1126</v>
      </c>
      <c r="E336" s="464">
        <f>E305</f>
        <v>1257</v>
      </c>
      <c r="F336" s="464">
        <f t="shared" ref="F336:K336" si="151">F305</f>
        <v>1546</v>
      </c>
      <c r="G336" s="464">
        <f t="shared" si="151"/>
        <v>1520</v>
      </c>
      <c r="H336" s="464">
        <f t="shared" si="151"/>
        <v>1643.6678295655081</v>
      </c>
      <c r="I336" s="464">
        <f t="shared" si="151"/>
        <v>1771.4094201261819</v>
      </c>
      <c r="J336" s="464">
        <f t="shared" si="151"/>
        <v>1897.5004953598825</v>
      </c>
      <c r="K336" s="464">
        <f t="shared" si="151"/>
        <v>2032.1086404937701</v>
      </c>
    </row>
    <row r="337" spans="2:12">
      <c r="B337" s="478" t="s">
        <v>5954</v>
      </c>
      <c r="C337" s="464">
        <f>C323</f>
        <v>579</v>
      </c>
      <c r="D337" s="464">
        <f>D323</f>
        <v>629</v>
      </c>
      <c r="E337" s="464">
        <f>E323</f>
        <v>551</v>
      </c>
      <c r="F337" s="464">
        <f t="shared" ref="F337:K337" si="152">F323</f>
        <v>651</v>
      </c>
      <c r="G337" s="464">
        <f t="shared" si="152"/>
        <v>578</v>
      </c>
      <c r="H337" s="464">
        <f t="shared" si="152"/>
        <v>595.34</v>
      </c>
      <c r="I337" s="464">
        <f t="shared" si="152"/>
        <v>613.2002</v>
      </c>
      <c r="J337" s="464">
        <f t="shared" si="152"/>
        <v>631.59620600000005</v>
      </c>
      <c r="K337" s="464">
        <f t="shared" si="152"/>
        <v>650.54409218000012</v>
      </c>
    </row>
    <row r="338" spans="2:12">
      <c r="B338" s="478" t="s">
        <v>3602</v>
      </c>
      <c r="C338" s="523">
        <v>37</v>
      </c>
      <c r="D338" s="523">
        <v>40</v>
      </c>
      <c r="E338" s="523">
        <v>48</v>
      </c>
      <c r="F338" s="523">
        <v>60</v>
      </c>
      <c r="G338" s="489">
        <v>60</v>
      </c>
      <c r="H338" s="464">
        <f>H336/G336*G338</f>
        <v>64.881624851270061</v>
      </c>
      <c r="I338" s="464">
        <f>I336/H336*H338</f>
        <v>69.924056057612447</v>
      </c>
      <c r="J338" s="464">
        <f>J336/I336*I338</f>
        <v>74.901335343153264</v>
      </c>
      <c r="K338" s="464">
        <f>K336/J336*J338</f>
        <v>80.214814756333041</v>
      </c>
    </row>
    <row r="339" spans="2:12">
      <c r="B339" s="487" t="s">
        <v>3090</v>
      </c>
      <c r="C339" s="462">
        <f>387*0.2</f>
        <v>77.400000000000006</v>
      </c>
      <c r="D339" s="462">
        <f>363*0.2</f>
        <v>72.600000000000009</v>
      </c>
      <c r="E339" s="462">
        <f>415*0.2</f>
        <v>83</v>
      </c>
      <c r="F339" s="462">
        <f>449*0.2</f>
        <v>89.800000000000011</v>
      </c>
      <c r="G339" s="462">
        <f>G336/F336*F339</f>
        <v>88.289780077619682</v>
      </c>
      <c r="H339" s="462">
        <f>H336/G336*G339</f>
        <v>95.473073153287629</v>
      </c>
      <c r="I339" s="462">
        <f>I336/H336*H339</f>
        <v>102.89299219102922</v>
      </c>
      <c r="J339" s="462">
        <f>J336/I336*I339</f>
        <v>110.2170404161174</v>
      </c>
      <c r="K339" s="462">
        <f>K336/J336*J339</f>
        <v>118.03580589672742</v>
      </c>
    </row>
    <row r="340" spans="2:12">
      <c r="B340" s="450" t="s">
        <v>758</v>
      </c>
      <c r="C340" s="598">
        <f t="shared" ref="C340:K340" si="153">C336+C337+C338+C339</f>
        <v>1725.4</v>
      </c>
      <c r="D340" s="598">
        <f t="shared" si="153"/>
        <v>1867.6</v>
      </c>
      <c r="E340" s="598">
        <f t="shared" si="153"/>
        <v>1939</v>
      </c>
      <c r="F340" s="598">
        <f t="shared" si="153"/>
        <v>2346.8000000000002</v>
      </c>
      <c r="G340" s="598">
        <f t="shared" si="153"/>
        <v>2246.2897800776195</v>
      </c>
      <c r="H340" s="598">
        <f t="shared" si="153"/>
        <v>2399.3625275700656</v>
      </c>
      <c r="I340" s="598">
        <f t="shared" si="153"/>
        <v>2557.4266683748233</v>
      </c>
      <c r="J340" s="598">
        <f t="shared" si="153"/>
        <v>2714.2150771191532</v>
      </c>
      <c r="K340" s="598">
        <f t="shared" si="153"/>
        <v>2880.9033533268303</v>
      </c>
      <c r="L340" s="456">
        <f>(K340/F340)^(1/5)-1</f>
        <v>4.1862776508917676E-2</v>
      </c>
    </row>
    <row r="341" spans="2:12">
      <c r="B341" s="478" t="s">
        <v>401</v>
      </c>
      <c r="D341" s="449">
        <f t="shared" ref="D341:K341" si="154">D340/C340-1</f>
        <v>8.241567172829467E-2</v>
      </c>
      <c r="E341" s="449">
        <f t="shared" si="154"/>
        <v>3.8230884557721279E-2</v>
      </c>
      <c r="F341" s="449">
        <f t="shared" si="154"/>
        <v>0.21031459515214035</v>
      </c>
      <c r="G341" s="449">
        <f t="shared" si="154"/>
        <v>-4.2828626181345086E-2</v>
      </c>
      <c r="H341" s="449">
        <f t="shared" si="154"/>
        <v>6.814470192138633E-2</v>
      </c>
      <c r="I341" s="449">
        <f t="shared" si="154"/>
        <v>6.5877556637860657E-2</v>
      </c>
      <c r="J341" s="449">
        <f t="shared" si="154"/>
        <v>6.1307098531182769E-2</v>
      </c>
      <c r="K341" s="449">
        <f t="shared" si="154"/>
        <v>6.1413068408933347E-2</v>
      </c>
    </row>
    <row r="342" spans="2:12">
      <c r="B342" s="478"/>
      <c r="F342" s="464"/>
      <c r="G342" s="464"/>
      <c r="H342" s="464"/>
      <c r="I342" s="464"/>
      <c r="J342" s="464"/>
      <c r="K342" s="464"/>
    </row>
    <row r="343" spans="2:12">
      <c r="B343" s="478" t="s">
        <v>360</v>
      </c>
      <c r="E343" s="464">
        <f t="shared" ref="E343:K343" si="155">E308+E326</f>
        <v>596.64</v>
      </c>
      <c r="F343" s="464">
        <f t="shared" si="155"/>
        <v>812.89</v>
      </c>
      <c r="G343" s="464">
        <f t="shared" si="155"/>
        <v>768.50579975728158</v>
      </c>
      <c r="H343" s="464">
        <f t="shared" si="155"/>
        <v>846.10159614174086</v>
      </c>
      <c r="I343" s="464">
        <f t="shared" si="155"/>
        <v>925.65908071838498</v>
      </c>
      <c r="J343" s="464">
        <f t="shared" si="155"/>
        <v>1004.1787018083641</v>
      </c>
      <c r="K343" s="464">
        <f t="shared" si="155"/>
        <v>1087.4554436134656</v>
      </c>
      <c r="L343" s="456">
        <f>(K343/F343)^(1/5)-1</f>
        <v>5.9926958144143727E-2</v>
      </c>
    </row>
    <row r="344" spans="2:12">
      <c r="B344" s="478" t="s">
        <v>1434</v>
      </c>
      <c r="E344" s="456">
        <f t="shared" ref="E344:K344" si="156">E343/E340</f>
        <v>0.3077050025786488</v>
      </c>
      <c r="F344" s="456">
        <f t="shared" si="156"/>
        <v>0.34638230782341911</v>
      </c>
      <c r="G344" s="456">
        <f t="shared" si="156"/>
        <v>0.34212228830544128</v>
      </c>
      <c r="H344" s="456">
        <f t="shared" si="156"/>
        <v>0.3526359966114096</v>
      </c>
      <c r="I344" s="456">
        <f t="shared" si="156"/>
        <v>0.36194941273003017</v>
      </c>
      <c r="J344" s="456">
        <f t="shared" si="156"/>
        <v>0.36997020253612012</v>
      </c>
      <c r="K344" s="456">
        <f t="shared" si="156"/>
        <v>0.37747029672400706</v>
      </c>
    </row>
    <row r="345" spans="2:12">
      <c r="B345" s="478"/>
      <c r="F345" s="456"/>
      <c r="G345" s="456"/>
      <c r="H345" s="456"/>
      <c r="I345" s="456"/>
      <c r="J345" s="456"/>
      <c r="K345" s="456"/>
    </row>
    <row r="346" spans="2:12">
      <c r="B346" s="478" t="s">
        <v>1545</v>
      </c>
      <c r="E346" s="454">
        <f t="shared" ref="E346:K346" si="157">E317+E329</f>
        <v>500</v>
      </c>
      <c r="F346" s="454">
        <f t="shared" si="157"/>
        <v>579.91098003629759</v>
      </c>
      <c r="G346" s="454">
        <f t="shared" si="157"/>
        <v>545.36446460980039</v>
      </c>
      <c r="H346" s="454">
        <f t="shared" si="157"/>
        <v>552.27239082643666</v>
      </c>
      <c r="I346" s="454">
        <f t="shared" si="157"/>
        <v>555.3732097373445</v>
      </c>
      <c r="J346" s="454">
        <f t="shared" si="157"/>
        <v>553.05108220604507</v>
      </c>
      <c r="K346" s="454">
        <f t="shared" si="157"/>
        <v>547.64439312789295</v>
      </c>
      <c r="L346" s="456">
        <f>(K346/F346)^(1/5)-1</f>
        <v>-1.1384391831984919E-2</v>
      </c>
    </row>
    <row r="347" spans="2:12">
      <c r="B347" s="478" t="s">
        <v>1431</v>
      </c>
      <c r="E347" s="449">
        <f t="shared" ref="E347:K347" si="158">E346/E340</f>
        <v>0.25786487880350695</v>
      </c>
      <c r="F347" s="449">
        <f t="shared" si="158"/>
        <v>0.24710711608841723</v>
      </c>
      <c r="G347" s="449">
        <f t="shared" si="158"/>
        <v>0.24278455497890195</v>
      </c>
      <c r="H347" s="449">
        <f t="shared" si="158"/>
        <v>0.2301746336706133</v>
      </c>
      <c r="I347" s="449">
        <f t="shared" si="158"/>
        <v>0.21716095190728163</v>
      </c>
      <c r="J347" s="449">
        <f t="shared" si="158"/>
        <v>0.20376096458540388</v>
      </c>
      <c r="K347" s="449">
        <f t="shared" si="158"/>
        <v>0.19009467724610762</v>
      </c>
    </row>
    <row r="348" spans="2:12">
      <c r="B348" s="478" t="s">
        <v>1552</v>
      </c>
      <c r="E348" s="464">
        <f t="shared" ref="E348:K348" si="159">E343-E346</f>
        <v>96.639999999999986</v>
      </c>
      <c r="F348" s="464">
        <f t="shared" si="159"/>
        <v>232.9790199637024</v>
      </c>
      <c r="G348" s="464">
        <f t="shared" si="159"/>
        <v>223.14133514748119</v>
      </c>
      <c r="H348" s="464">
        <f t="shared" si="159"/>
        <v>293.82920531530419</v>
      </c>
      <c r="I348" s="464">
        <f t="shared" si="159"/>
        <v>370.28587098104049</v>
      </c>
      <c r="J348" s="464">
        <f t="shared" si="159"/>
        <v>451.12761960231899</v>
      </c>
      <c r="K348" s="464">
        <f t="shared" si="159"/>
        <v>539.81105048557265</v>
      </c>
    </row>
    <row r="350" spans="2:12">
      <c r="B350" s="478" t="s">
        <v>1936</v>
      </c>
      <c r="E350" s="454">
        <f t="shared" ref="E350:K350" si="160">(1-0.28)*E348</f>
        <v>69.580799999999982</v>
      </c>
      <c r="F350" s="454">
        <f t="shared" si="160"/>
        <v>167.74489437386572</v>
      </c>
      <c r="G350" s="454">
        <f t="shared" si="160"/>
        <v>160.66176130618643</v>
      </c>
      <c r="H350" s="454">
        <f t="shared" si="160"/>
        <v>211.557027827019</v>
      </c>
      <c r="I350" s="454">
        <f t="shared" si="160"/>
        <v>266.60582710634912</v>
      </c>
      <c r="J350" s="454">
        <f t="shared" si="160"/>
        <v>324.81188611366969</v>
      </c>
      <c r="K350" s="454">
        <f t="shared" si="160"/>
        <v>388.66395634961231</v>
      </c>
      <c r="L350" s="456">
        <f>(K350/F350)^(1/5)-1</f>
        <v>0.18300067203882264</v>
      </c>
    </row>
    <row r="352" spans="2:12">
      <c r="B352" s="478" t="s">
        <v>507</v>
      </c>
    </row>
    <row r="354" spans="2:11">
      <c r="B354" s="478" t="s">
        <v>1938</v>
      </c>
      <c r="C354" s="103">
        <v>8.5000000000000006E-2</v>
      </c>
    </row>
    <row r="355" spans="2:11">
      <c r="B355" s="478" t="s">
        <v>683</v>
      </c>
      <c r="C355" s="73">
        <v>0.02</v>
      </c>
    </row>
    <row r="356" spans="2:11">
      <c r="B356" s="478" t="s">
        <v>4740</v>
      </c>
      <c r="C356" s="468">
        <f>1/(C354-C355)</f>
        <v>15.384615384615383</v>
      </c>
    </row>
    <row r="358" spans="2:11">
      <c r="B358" s="478" t="s">
        <v>5952</v>
      </c>
      <c r="C358" s="464">
        <f>NPV(C354,H350:K350)</f>
        <v>956.20093734041131</v>
      </c>
    </row>
    <row r="359" spans="2:11">
      <c r="B359" s="478" t="s">
        <v>3915</v>
      </c>
      <c r="C359" s="464">
        <f>C356*K350</f>
        <v>5979.4454823017277</v>
      </c>
    </row>
    <row r="360" spans="2:11">
      <c r="B360" s="487" t="s">
        <v>2203</v>
      </c>
      <c r="C360" s="490">
        <f>C359/(1+C354)^4</f>
        <v>4314.614094211116</v>
      </c>
    </row>
    <row r="361" spans="2:11">
      <c r="B361" s="478" t="s">
        <v>912</v>
      </c>
      <c r="C361" s="464">
        <f>C358+C360</f>
        <v>5270.8150315515277</v>
      </c>
    </row>
    <row r="363" spans="2:11">
      <c r="B363" s="478" t="s">
        <v>5953</v>
      </c>
      <c r="G363" s="468">
        <f>C361/G343</f>
        <v>6.8585234271702538</v>
      </c>
    </row>
    <row r="365" spans="2:11">
      <c r="B365" s="450" t="s">
        <v>5956</v>
      </c>
    </row>
    <row r="366" spans="2:11">
      <c r="B366" s="478" t="s">
        <v>758</v>
      </c>
      <c r="E366" s="464"/>
      <c r="F366" s="464">
        <f>'New split'!I41-F340</f>
        <v>3612.2</v>
      </c>
      <c r="G366" s="464">
        <f>'New split'!J41-G340</f>
        <v>3619.7102199223805</v>
      </c>
      <c r="H366" s="464">
        <f>'New split'!K41-H340</f>
        <v>3815.6374724299344</v>
      </c>
      <c r="I366" s="464">
        <f>'New split'!L41-I340</f>
        <v>3067.1033316251774</v>
      </c>
      <c r="J366" s="464">
        <f>'New split'!M41-J340</f>
        <v>2946.7849228808468</v>
      </c>
      <c r="K366" s="464">
        <f>'New split'!N41-K340</f>
        <v>2923.3558466731702</v>
      </c>
    </row>
    <row r="367" spans="2:11">
      <c r="B367" s="478" t="s">
        <v>401</v>
      </c>
      <c r="E367" s="464"/>
      <c r="F367" s="464"/>
      <c r="G367" s="456">
        <f>G366/F366-1</f>
        <v>2.0791262727370974E-3</v>
      </c>
      <c r="H367" s="456">
        <f>H366/G366-1</f>
        <v>5.4127883339720961E-2</v>
      </c>
      <c r="I367" s="456">
        <f>I366/H366-1</f>
        <v>-0.19617538254441758</v>
      </c>
      <c r="J367" s="456">
        <f>J366/I366-1</f>
        <v>-3.9228677920211119E-2</v>
      </c>
      <c r="K367" s="456">
        <f>K366/J366-1</f>
        <v>-7.950724881805038E-3</v>
      </c>
    </row>
    <row r="368" spans="2:11">
      <c r="B368" s="478" t="s">
        <v>5958</v>
      </c>
      <c r="E368" s="464"/>
      <c r="F368" s="464"/>
      <c r="G368" s="464">
        <f>('New split'!J13-'New split'!I13)+('New split'!J14-'New split'!I14)+('New split'!J15-'New split'!I15)</f>
        <v>179</v>
      </c>
      <c r="H368" s="456"/>
      <c r="I368" s="456"/>
      <c r="J368" s="456"/>
      <c r="K368" s="456"/>
    </row>
    <row r="369" spans="2:11">
      <c r="B369" s="478" t="s">
        <v>5959</v>
      </c>
      <c r="E369" s="464"/>
      <c r="F369" s="464"/>
      <c r="G369" s="456">
        <f>(G366-G368)/F366-1</f>
        <v>-4.7475161972653557E-2</v>
      </c>
      <c r="H369" s="456"/>
      <c r="I369" s="456"/>
      <c r="J369" s="456"/>
      <c r="K369" s="456"/>
    </row>
    <row r="370" spans="2:11">
      <c r="B370" s="478"/>
      <c r="E370" s="464"/>
      <c r="F370" s="464"/>
      <c r="G370" s="456"/>
      <c r="H370" s="456"/>
      <c r="I370" s="456"/>
      <c r="J370" s="456"/>
      <c r="K370" s="456"/>
    </row>
    <row r="371" spans="2:11">
      <c r="B371" s="478" t="s">
        <v>360</v>
      </c>
      <c r="E371" s="464"/>
      <c r="F371" s="464">
        <f>'New split'!I319-F343</f>
        <v>1628.1100000000001</v>
      </c>
      <c r="G371" s="464">
        <f>'New split'!J319-G343</f>
        <v>1591.4942002427183</v>
      </c>
      <c r="H371" s="464">
        <f>'New split'!K319-H343</f>
        <v>1654.8984038582591</v>
      </c>
      <c r="I371" s="464">
        <f>'New split'!L319-I343</f>
        <v>1562.717719281615</v>
      </c>
      <c r="J371" s="464">
        <f>'New split'!M319-J343</f>
        <v>1454.9379981916359</v>
      </c>
      <c r="K371" s="464">
        <f ca="1">'New split'!N319-K343</f>
        <v>1659.5176563865346</v>
      </c>
    </row>
    <row r="372" spans="2:11">
      <c r="B372" s="478" t="s">
        <v>1434</v>
      </c>
      <c r="E372" s="449"/>
      <c r="F372" s="456">
        <f t="shared" ref="F372:K372" si="161">F371/F366</f>
        <v>0.45072531974973706</v>
      </c>
      <c r="G372" s="456">
        <f t="shared" si="161"/>
        <v>0.43967447766491252</v>
      </c>
      <c r="H372" s="456">
        <f t="shared" si="161"/>
        <v>0.43371478968214466</v>
      </c>
      <c r="I372" s="456">
        <f t="shared" si="161"/>
        <v>0.50950931557091428</v>
      </c>
      <c r="J372" s="456">
        <f t="shared" si="161"/>
        <v>0.49373742443654622</v>
      </c>
      <c r="K372" s="456">
        <f t="shared" ca="1" si="161"/>
        <v>0.56767555625330202</v>
      </c>
    </row>
    <row r="373" spans="2:11">
      <c r="B373" s="478"/>
    </row>
    <row r="374" spans="2:11">
      <c r="B374" s="478" t="s">
        <v>1545</v>
      </c>
      <c r="F374" s="464">
        <f ca="1">'New split'!I439-F346</f>
        <v>433.08901996370241</v>
      </c>
      <c r="G374" s="464">
        <f ca="1">'New split'!J439-G346</f>
        <v>403.63553539019961</v>
      </c>
      <c r="H374" s="464">
        <f ca="1">'New split'!K439-H346</f>
        <v>558.72760917356334</v>
      </c>
      <c r="I374" s="464">
        <f>'New split'!L439-I346</f>
        <v>417.6267902626555</v>
      </c>
      <c r="J374" s="464">
        <f>'New split'!M439-J346</f>
        <v>255.94891779395493</v>
      </c>
      <c r="K374" s="464">
        <f>'New split'!N439-K346</f>
        <v>195.79160189161996</v>
      </c>
    </row>
    <row r="375" spans="2:11">
      <c r="B375" s="478" t="s">
        <v>1431</v>
      </c>
      <c r="F375" s="449">
        <f t="shared" ref="F375:K375" ca="1" si="162">F374/F366</f>
        <v>0.11989619067706728</v>
      </c>
      <c r="G375" s="449">
        <f t="shared" ca="1" si="162"/>
        <v>0.11151045549686434</v>
      </c>
      <c r="H375" s="449">
        <f t="shared" ca="1" si="162"/>
        <v>0.14643099959329878</v>
      </c>
      <c r="I375" s="449">
        <f t="shared" si="162"/>
        <v>0.13616326061025341</v>
      </c>
      <c r="J375" s="449">
        <f t="shared" si="162"/>
        <v>8.6857006701301157E-2</v>
      </c>
      <c r="K375" s="449">
        <f t="shared" si="162"/>
        <v>6.697494665742941E-2</v>
      </c>
    </row>
    <row r="376" spans="2:11">
      <c r="B376" s="478" t="s">
        <v>1552</v>
      </c>
      <c r="E376" s="464"/>
      <c r="F376" s="464">
        <f t="shared" ref="F376:K376" ca="1" si="163">F371-F374</f>
        <v>1195.0209800362977</v>
      </c>
      <c r="G376" s="464">
        <f t="shared" ca="1" si="163"/>
        <v>1187.8586648525188</v>
      </c>
      <c r="H376" s="464">
        <f t="shared" ca="1" si="163"/>
        <v>1096.1707946846959</v>
      </c>
      <c r="I376" s="464">
        <f t="shared" si="163"/>
        <v>1145.0909290189595</v>
      </c>
      <c r="J376" s="464">
        <f t="shared" si="163"/>
        <v>1198.9890803976809</v>
      </c>
      <c r="K376" s="464">
        <f t="shared" ca="1" si="163"/>
        <v>1463.7260544949145</v>
      </c>
    </row>
    <row r="378" spans="2:11">
      <c r="B378" s="478" t="s">
        <v>1936</v>
      </c>
      <c r="E378" s="454"/>
      <c r="F378" s="454">
        <f t="shared" ref="F378:K378" ca="1" si="164">(1-0.28)*F376</f>
        <v>860.41510562613428</v>
      </c>
      <c r="G378" s="454">
        <f t="shared" ca="1" si="164"/>
        <v>855.2582386938135</v>
      </c>
      <c r="H378" s="454">
        <f t="shared" ca="1" si="164"/>
        <v>789.24297217298101</v>
      </c>
      <c r="I378" s="454">
        <f t="shared" si="164"/>
        <v>824.46546889365084</v>
      </c>
      <c r="J378" s="454">
        <f t="shared" si="164"/>
        <v>863.27213788633026</v>
      </c>
      <c r="K378" s="454">
        <f t="shared" ca="1" si="164"/>
        <v>1053.8827592363384</v>
      </c>
    </row>
    <row r="380" spans="2:11">
      <c r="B380" s="478" t="s">
        <v>507</v>
      </c>
    </row>
    <row r="382" spans="2:11">
      <c r="B382" s="478" t="s">
        <v>1938</v>
      </c>
      <c r="C382" s="103">
        <v>8.5000000000000006E-2</v>
      </c>
    </row>
    <row r="383" spans="2:11">
      <c r="B383" s="478" t="s">
        <v>683</v>
      </c>
      <c r="C383" s="73">
        <v>0</v>
      </c>
    </row>
    <row r="384" spans="2:11">
      <c r="B384" s="478" t="s">
        <v>4740</v>
      </c>
      <c r="C384" s="468">
        <f>1/(C382-C383)</f>
        <v>11.76470588235294</v>
      </c>
    </row>
    <row r="386" spans="2:7">
      <c r="B386" s="478" t="s">
        <v>5952</v>
      </c>
      <c r="C386" s="464">
        <f ca="1">NPV(C382,H378:K378)</f>
        <v>2864.0768745114588</v>
      </c>
    </row>
    <row r="387" spans="2:7">
      <c r="B387" s="478" t="s">
        <v>3915</v>
      </c>
      <c r="C387" s="464">
        <f ca="1">C384*K378</f>
        <v>12398.620696898099</v>
      </c>
    </row>
    <row r="388" spans="2:7">
      <c r="B388" s="487" t="s">
        <v>2203</v>
      </c>
      <c r="C388" s="490">
        <f ca="1">C387/(1+C382)^4</f>
        <v>8946.5258552740779</v>
      </c>
    </row>
    <row r="389" spans="2:7">
      <c r="B389" s="478" t="s">
        <v>912</v>
      </c>
      <c r="C389" s="464">
        <f ca="1">C386+C388</f>
        <v>11810.602729785536</v>
      </c>
    </row>
    <row r="391" spans="2:7">
      <c r="B391" s="478" t="s">
        <v>5953</v>
      </c>
      <c r="G391" s="468">
        <f ca="1">C389/G371</f>
        <v>7.4210780837179957</v>
      </c>
    </row>
  </sheetData>
  <phoneticPr fontId="17" type="noConversion"/>
  <pageMargins left="0.75" right="0.75" top="1" bottom="1" header="0.5" footer="0.5"/>
  <pageSetup paperSize="9" scale="23"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DL542"/>
  <sheetViews>
    <sheetView topLeftCell="BA140" zoomScale="65" workbookViewId="0">
      <selection activeCell="AR215" sqref="AR215"/>
    </sheetView>
  </sheetViews>
  <sheetFormatPr defaultRowHeight="15" outlineLevelRow="1" outlineLevelCol="1"/>
  <cols>
    <col min="1" max="2" width="9.42578125" customWidth="1" outlineLevel="1"/>
    <col min="3" max="3" width="9" customWidth="1" outlineLevel="1"/>
    <col min="4" max="4" width="27.42578125" customWidth="1"/>
    <col min="6" max="29" width="9.140625" hidden="1" customWidth="1" outlineLevel="1"/>
    <col min="30" max="30" width="9.42578125" hidden="1" customWidth="1" outlineLevel="1"/>
    <col min="31" max="33" width="9.140625" hidden="1" customWidth="1" outlineLevel="1"/>
    <col min="34" max="37" width="10.28515625" hidden="1" customWidth="1" outlineLevel="1"/>
    <col min="38" max="38" width="9.140625" hidden="1" customWidth="1" outlineLevel="1"/>
    <col min="39" max="42" width="10.28515625" hidden="1" customWidth="1" outlineLevel="1"/>
    <col min="43" max="43" width="10.5703125" hidden="1" customWidth="1" outlineLevel="1"/>
    <col min="44" max="52" width="10" hidden="1" customWidth="1" outlineLevel="1"/>
    <col min="53" max="53" width="10" customWidth="1" collapsed="1"/>
    <col min="54" max="73" width="10" customWidth="1"/>
    <col min="74" max="74" width="41" customWidth="1"/>
    <col min="75" max="77" width="8" hidden="1" customWidth="1" outlineLevel="1"/>
    <col min="78" max="78" width="9.42578125" hidden="1" customWidth="1" outlineLevel="1"/>
    <col min="79" max="79" width="8" hidden="1" customWidth="1" outlineLevel="1"/>
    <col min="80" max="83" width="8" style="21" hidden="1" customWidth="1" outlineLevel="1"/>
    <col min="84" max="93" width="9.140625" style="21" hidden="1" customWidth="1" outlineLevel="1"/>
    <col min="94" max="94" width="9.140625" style="21" customWidth="1" collapsed="1"/>
    <col min="95" max="100" width="9.140625" style="21" customWidth="1"/>
    <col min="101" max="101" width="9.28515625" style="21" customWidth="1"/>
    <col min="102" max="105" width="9.140625" style="21" customWidth="1"/>
  </cols>
  <sheetData>
    <row r="1" spans="4:105">
      <c r="F1" t="s">
        <v>1823</v>
      </c>
      <c r="J1" t="s">
        <v>1823</v>
      </c>
      <c r="AE1" s="5"/>
      <c r="AF1" s="5"/>
      <c r="AH1" s="5"/>
      <c r="AI1" s="5"/>
      <c r="AJ1" s="5"/>
      <c r="AK1" s="5"/>
      <c r="AM1" s="5"/>
      <c r="AN1" s="5"/>
      <c r="AO1" s="5"/>
      <c r="AP1" s="5"/>
      <c r="AR1" s="5"/>
      <c r="AS1" s="5"/>
      <c r="AT1" s="5"/>
      <c r="AU1" s="5"/>
      <c r="AV1" s="5"/>
      <c r="AW1" s="5"/>
      <c r="AX1" s="5"/>
      <c r="AY1" s="5"/>
      <c r="AZ1" s="5"/>
      <c r="BA1" s="5"/>
      <c r="BB1" s="5"/>
      <c r="BC1" s="5"/>
      <c r="BD1" s="5"/>
      <c r="BE1" s="5"/>
      <c r="BF1" s="626"/>
      <c r="BG1" s="626"/>
      <c r="BH1" s="626"/>
      <c r="BI1" s="626"/>
      <c r="BJ1" s="626"/>
      <c r="BK1" s="626"/>
      <c r="BL1" s="626"/>
      <c r="BM1" s="626"/>
      <c r="BN1" s="626"/>
      <c r="BO1" s="626"/>
      <c r="BP1" s="626"/>
      <c r="BQ1" s="626"/>
      <c r="BR1" s="626"/>
      <c r="BS1" s="626"/>
      <c r="BT1" s="626"/>
    </row>
    <row r="2" spans="4:105">
      <c r="H2" s="96" t="str">
        <f>H115</f>
        <v>Q2 03</v>
      </c>
      <c r="I2" s="96" t="str">
        <f t="shared" ref="I2:Q2" si="0">I115</f>
        <v>Q3 03</v>
      </c>
      <c r="J2" s="96" t="str">
        <f t="shared" si="0"/>
        <v>Q4 03</v>
      </c>
      <c r="K2" s="96" t="str">
        <f t="shared" si="0"/>
        <v>Q1 04</v>
      </c>
      <c r="L2" s="96" t="str">
        <f t="shared" si="0"/>
        <v>Q2 04</v>
      </c>
      <c r="M2" s="96" t="str">
        <f t="shared" si="0"/>
        <v>Q3 04</v>
      </c>
      <c r="N2" s="96" t="str">
        <f t="shared" si="0"/>
        <v>Q4 04</v>
      </c>
      <c r="O2" s="96" t="str">
        <f t="shared" si="0"/>
        <v>Q1 05</v>
      </c>
      <c r="P2" s="96" t="str">
        <f t="shared" si="0"/>
        <v>Q2 05</v>
      </c>
      <c r="Q2" s="96" t="str">
        <f t="shared" si="0"/>
        <v>Q3 05</v>
      </c>
      <c r="R2" s="96" t="str">
        <f t="shared" ref="R2:AB2" si="1">R115</f>
        <v>Q4 05</v>
      </c>
      <c r="S2" s="96" t="str">
        <f t="shared" si="1"/>
        <v>Q1 06</v>
      </c>
      <c r="T2" s="96" t="str">
        <f t="shared" si="1"/>
        <v>Q2 06</v>
      </c>
      <c r="U2" s="96" t="str">
        <f t="shared" si="1"/>
        <v>Q3 06</v>
      </c>
      <c r="V2" s="96" t="str">
        <f t="shared" si="1"/>
        <v>Q4 06</v>
      </c>
      <c r="W2" s="184" t="str">
        <f t="shared" si="1"/>
        <v>FY 06</v>
      </c>
      <c r="X2" s="96" t="s">
        <v>499</v>
      </c>
      <c r="Y2" s="96" t="s">
        <v>740</v>
      </c>
      <c r="Z2" s="96" t="s">
        <v>558</v>
      </c>
      <c r="AA2" s="96" t="s">
        <v>423</v>
      </c>
      <c r="AB2" s="184" t="str">
        <f t="shared" si="1"/>
        <v>FY 07</v>
      </c>
      <c r="AC2" s="96" t="s">
        <v>106</v>
      </c>
      <c r="AD2" s="96" t="s">
        <v>613</v>
      </c>
      <c r="AE2" s="96" t="s">
        <v>2043</v>
      </c>
      <c r="AF2" s="96" t="s">
        <v>96</v>
      </c>
      <c r="AG2" s="184" t="str">
        <f>AG115</f>
        <v>FY 08</v>
      </c>
      <c r="AH2" s="96" t="s">
        <v>1100</v>
      </c>
      <c r="AI2" s="96" t="s">
        <v>2047</v>
      </c>
      <c r="AJ2" s="96" t="s">
        <v>179</v>
      </c>
      <c r="AK2" s="96" t="s">
        <v>2362</v>
      </c>
      <c r="AL2" s="96"/>
      <c r="AM2" s="96" t="s">
        <v>833</v>
      </c>
      <c r="AN2" s="96" t="s">
        <v>851</v>
      </c>
      <c r="AO2" s="96" t="s">
        <v>1072</v>
      </c>
      <c r="AP2" s="96" t="s">
        <v>1073</v>
      </c>
      <c r="AQ2" s="96"/>
      <c r="AR2" s="96" t="s">
        <v>2257</v>
      </c>
      <c r="AS2" s="96" t="s">
        <v>981</v>
      </c>
      <c r="AT2" s="96" t="s">
        <v>2432</v>
      </c>
      <c r="AU2" s="96" t="s">
        <v>241</v>
      </c>
      <c r="AV2" s="8"/>
      <c r="AW2" s="96" t="s">
        <v>2531</v>
      </c>
      <c r="AX2" s="96" t="s">
        <v>2549</v>
      </c>
      <c r="AY2" s="96" t="s">
        <v>2635</v>
      </c>
      <c r="AZ2" s="96" t="s">
        <v>2639</v>
      </c>
      <c r="BA2" s="8"/>
      <c r="BB2" s="96" t="s">
        <v>2753</v>
      </c>
      <c r="BC2" s="96" t="s">
        <v>2754</v>
      </c>
      <c r="BD2" s="96" t="s">
        <v>2755</v>
      </c>
      <c r="BE2" s="96" t="s">
        <v>3313</v>
      </c>
      <c r="BF2" s="514"/>
      <c r="BG2" s="96" t="s">
        <v>3503</v>
      </c>
      <c r="BH2" s="96" t="s">
        <v>3591</v>
      </c>
      <c r="BI2" s="96" t="s">
        <v>3608</v>
      </c>
      <c r="BJ2" s="96" t="s">
        <v>3662</v>
      </c>
      <c r="BK2" s="514"/>
      <c r="BL2" s="96" t="s">
        <v>3699</v>
      </c>
      <c r="BM2" s="96" t="s">
        <v>3790</v>
      </c>
      <c r="BN2" s="96" t="s">
        <v>3814</v>
      </c>
      <c r="BO2" s="96" t="s">
        <v>3866</v>
      </c>
      <c r="BP2" s="514"/>
      <c r="BQ2" s="96" t="s">
        <v>4082</v>
      </c>
      <c r="BR2" s="96" t="s">
        <v>4254</v>
      </c>
      <c r="BS2" s="96" t="s">
        <v>4387</v>
      </c>
      <c r="BT2" s="96" t="s">
        <v>4086</v>
      </c>
      <c r="BZ2" s="375" t="s">
        <v>2362</v>
      </c>
      <c r="CA2" s="3" t="s">
        <v>704</v>
      </c>
      <c r="CB2" s="8"/>
      <c r="CC2" s="8"/>
      <c r="CD2" s="8"/>
      <c r="CE2" s="8"/>
      <c r="CF2" s="8"/>
      <c r="CG2" s="8"/>
      <c r="CH2" s="8"/>
      <c r="CI2" s="8"/>
      <c r="CJ2" s="8"/>
      <c r="CK2" s="8"/>
      <c r="CL2" s="8"/>
      <c r="CM2" s="8"/>
      <c r="CN2" s="8"/>
      <c r="CO2" s="8"/>
      <c r="CP2" s="8"/>
      <c r="CQ2" s="8"/>
      <c r="CR2" s="8"/>
      <c r="CS2" s="8"/>
      <c r="CT2" s="8"/>
      <c r="CU2" s="8"/>
      <c r="CV2" s="8"/>
      <c r="CW2" s="8"/>
      <c r="CX2" s="8"/>
      <c r="CY2" s="8"/>
      <c r="CZ2" s="8"/>
      <c r="DA2" s="8"/>
    </row>
    <row r="3" spans="4:105">
      <c r="D3" s="2" t="s">
        <v>758</v>
      </c>
      <c r="E3" s="2"/>
      <c r="F3" s="2"/>
      <c r="G3" s="2"/>
      <c r="H3" s="10">
        <f>H242</f>
        <v>143.86199999999999</v>
      </c>
      <c r="I3" s="10">
        <f t="shared" ref="I3:Q3" si="2">I242</f>
        <v>156.66800000000001</v>
      </c>
      <c r="J3" s="10">
        <f t="shared" si="2"/>
        <v>201.85500000000002</v>
      </c>
      <c r="K3" s="10">
        <f t="shared" si="2"/>
        <v>213.85900000000001</v>
      </c>
      <c r="L3" s="10">
        <f t="shared" si="2"/>
        <v>216.04900000000004</v>
      </c>
      <c r="M3" s="10">
        <f t="shared" si="2"/>
        <v>235.87200000000004</v>
      </c>
      <c r="N3" s="10">
        <f t="shared" si="2"/>
        <v>255.67599999999999</v>
      </c>
      <c r="O3" s="10">
        <f t="shared" si="2"/>
        <v>268.245</v>
      </c>
      <c r="P3" s="10">
        <f t="shared" si="2"/>
        <v>260.72800000000001</v>
      </c>
      <c r="Q3" s="10">
        <f t="shared" si="2"/>
        <v>260.62899999999996</v>
      </c>
      <c r="R3" s="10">
        <f>R242</f>
        <v>293.73099999999999</v>
      </c>
      <c r="S3" s="10">
        <f>S242</f>
        <v>322.20100000000002</v>
      </c>
      <c r="T3" s="10">
        <f>T242</f>
        <v>361.63099999999997</v>
      </c>
      <c r="U3" s="10">
        <f>U242</f>
        <v>402.50299999999999</v>
      </c>
      <c r="V3" s="10">
        <f>V242</f>
        <v>543.81500000000005</v>
      </c>
      <c r="W3" s="9"/>
      <c r="X3" s="10">
        <v>563</v>
      </c>
      <c r="Y3" s="10">
        <f>Y242</f>
        <v>613.34899999999993</v>
      </c>
      <c r="Z3" s="10">
        <f>Z242</f>
        <v>686.29499999999996</v>
      </c>
      <c r="AA3" s="10">
        <f>AA242</f>
        <v>768.5</v>
      </c>
      <c r="AB3" s="16"/>
      <c r="AC3" s="10">
        <f>AC242</f>
        <v>798.13</v>
      </c>
      <c r="AD3" s="10">
        <f>AD242</f>
        <v>840.221</v>
      </c>
      <c r="AE3" s="10">
        <f>AE242</f>
        <v>866.88200000000006</v>
      </c>
      <c r="AF3" s="10">
        <f>AF242</f>
        <v>841</v>
      </c>
      <c r="AG3" s="9"/>
      <c r="AH3" s="10">
        <f>AH242</f>
        <v>830.22711440112971</v>
      </c>
      <c r="AI3" s="10">
        <f>AI242</f>
        <v>867.47256491707367</v>
      </c>
      <c r="AJ3" s="10">
        <f>AJ242</f>
        <v>904.14514631499583</v>
      </c>
      <c r="AK3" s="10">
        <f>AK242</f>
        <v>974.42017201682415</v>
      </c>
      <c r="AL3" s="9"/>
      <c r="AM3" s="10">
        <f>AM242</f>
        <v>958.86301680861675</v>
      </c>
      <c r="AN3" s="10">
        <f>AN242</f>
        <v>978.04809882744053</v>
      </c>
      <c r="AO3" s="10">
        <f>AO242</f>
        <v>1017.7330000000001</v>
      </c>
      <c r="AP3" s="10">
        <f>AP242</f>
        <v>1072.9349999999999</v>
      </c>
      <c r="AQ3" s="376"/>
      <c r="AR3" s="10">
        <f>AR242-2.8</f>
        <v>1075.778</v>
      </c>
      <c r="AS3" s="10">
        <f>AS242</f>
        <v>1127.559</v>
      </c>
      <c r="AT3" s="10">
        <f>AT242</f>
        <v>1150.6890000000001</v>
      </c>
      <c r="AU3" s="10">
        <f>AU242</f>
        <v>1177</v>
      </c>
      <c r="AW3" s="10">
        <f>AW242</f>
        <v>1169</v>
      </c>
      <c r="AX3" s="10">
        <f>AX242</f>
        <v>1181</v>
      </c>
      <c r="AY3" s="10">
        <v>1199</v>
      </c>
      <c r="AZ3" s="10">
        <f>AZ242</f>
        <v>1266</v>
      </c>
      <c r="BB3" s="10">
        <f>BB242</f>
        <v>1350.884</v>
      </c>
      <c r="BC3" s="10">
        <f>BC242</f>
        <v>1360.828</v>
      </c>
      <c r="BD3" s="10">
        <f>BD242</f>
        <v>1383.4940000000001</v>
      </c>
      <c r="BE3" s="10">
        <f>BE242</f>
        <v>1465.479</v>
      </c>
      <c r="BF3" s="625"/>
      <c r="BG3" s="10">
        <f>BG242</f>
        <v>1405</v>
      </c>
      <c r="BH3" s="10">
        <f>BH242</f>
        <v>1447</v>
      </c>
      <c r="BI3" s="584">
        <f>1674-4</f>
        <v>1670</v>
      </c>
      <c r="BJ3" s="10">
        <f>BJ242</f>
        <v>1859</v>
      </c>
      <c r="BK3" s="625"/>
      <c r="BL3" s="10">
        <f>BL242</f>
        <v>1709</v>
      </c>
      <c r="BM3" s="10">
        <f>BM242</f>
        <v>1704</v>
      </c>
      <c r="BN3" s="10">
        <f>BN242</f>
        <v>1641</v>
      </c>
      <c r="BO3" s="10">
        <v>1677</v>
      </c>
      <c r="BP3" s="625"/>
      <c r="BQ3" s="10">
        <f>'Country quarts'!M18</f>
        <v>1528</v>
      </c>
      <c r="BR3" s="10">
        <f>'Country quarts'!N18</f>
        <v>1572</v>
      </c>
      <c r="BS3" s="10">
        <v>1555</v>
      </c>
      <c r="BT3" s="10">
        <f ca="1">'Country quarts'!P18</f>
        <v>1545.8811420572326</v>
      </c>
      <c r="BZ3" s="376">
        <v>896.7</v>
      </c>
      <c r="CA3" s="2" t="s">
        <v>705</v>
      </c>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row>
    <row r="4" spans="4:105">
      <c r="D4" s="2"/>
      <c r="E4" s="2"/>
      <c r="F4" s="2"/>
      <c r="G4" s="2"/>
      <c r="H4" s="10"/>
      <c r="I4" s="10"/>
      <c r="J4" s="10"/>
      <c r="K4" s="10"/>
      <c r="L4" s="10"/>
      <c r="M4" s="10"/>
      <c r="N4" s="10"/>
      <c r="O4" s="10"/>
      <c r="P4" s="10"/>
      <c r="Q4" s="10"/>
      <c r="R4" s="10"/>
      <c r="S4" s="10"/>
      <c r="T4" s="10"/>
      <c r="U4" s="10"/>
      <c r="V4" s="10"/>
      <c r="W4" s="9"/>
      <c r="X4" s="10"/>
      <c r="Y4" s="10"/>
      <c r="Z4" s="10"/>
      <c r="AA4" s="10"/>
      <c r="AB4" s="16"/>
      <c r="AC4" s="10"/>
      <c r="AD4" s="10"/>
      <c r="AE4" s="10"/>
      <c r="AF4" s="10"/>
      <c r="AG4" s="9"/>
      <c r="AH4" s="10"/>
      <c r="AI4" s="10"/>
      <c r="AJ4" s="10"/>
      <c r="AK4" s="10"/>
      <c r="AL4" s="9"/>
      <c r="AM4" s="10"/>
      <c r="AN4" s="10"/>
      <c r="AO4" s="10"/>
      <c r="AP4" s="10"/>
      <c r="AQ4" s="376"/>
      <c r="AR4" s="10"/>
      <c r="AS4" s="10"/>
      <c r="AT4" s="10"/>
      <c r="AU4" s="10"/>
      <c r="AW4" s="10"/>
      <c r="AX4" s="10"/>
      <c r="AY4" s="10"/>
      <c r="AZ4" s="10"/>
      <c r="BB4" s="10"/>
      <c r="BC4" s="10"/>
      <c r="BD4" s="10">
        <f>0.016*BD3</f>
        <v>22.135904000000004</v>
      </c>
      <c r="BE4" s="19"/>
      <c r="BF4" s="625"/>
      <c r="BG4" s="625"/>
      <c r="BH4" s="625"/>
      <c r="BI4" s="625"/>
      <c r="BJ4" s="625"/>
      <c r="BK4" s="625"/>
      <c r="BL4" s="611"/>
      <c r="BM4" s="955"/>
      <c r="BN4" s="1020">
        <f>BN3/BI3-1</f>
        <v>-1.7365269461077859E-2</v>
      </c>
      <c r="BO4" s="1020"/>
      <c r="BP4" s="625"/>
      <c r="BQ4" s="625"/>
      <c r="BR4" s="625"/>
      <c r="BS4" s="625"/>
      <c r="BT4" s="625"/>
      <c r="BZ4" s="376"/>
      <c r="CA4" s="2"/>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row>
    <row r="5" spans="4:105">
      <c r="D5" s="2" t="s">
        <v>3624</v>
      </c>
      <c r="E5" s="2"/>
      <c r="F5" s="2"/>
      <c r="G5" s="2"/>
      <c r="H5" s="10"/>
      <c r="I5" s="10"/>
      <c r="J5" s="10"/>
      <c r="K5" s="10"/>
      <c r="L5" s="10"/>
      <c r="M5" s="10"/>
      <c r="N5" s="10"/>
      <c r="O5" s="10"/>
      <c r="P5" s="10"/>
      <c r="Q5" s="10"/>
      <c r="R5" s="10"/>
      <c r="S5" s="10"/>
      <c r="T5" s="10"/>
      <c r="U5" s="10"/>
      <c r="V5" s="10"/>
      <c r="W5" s="9"/>
      <c r="X5" s="10"/>
      <c r="Y5" s="10"/>
      <c r="Z5" s="10"/>
      <c r="AA5" s="10"/>
      <c r="AB5" s="16"/>
      <c r="AC5" s="10"/>
      <c r="AD5" s="10"/>
      <c r="AE5" s="10"/>
      <c r="AF5" s="10"/>
      <c r="AG5" s="9"/>
      <c r="AH5" s="10"/>
      <c r="AI5" s="10"/>
      <c r="AJ5" s="10"/>
      <c r="AK5" s="10"/>
      <c r="AL5" s="9"/>
      <c r="AM5" s="10"/>
      <c r="AN5" s="10"/>
      <c r="AO5" s="10"/>
      <c r="AP5" s="10"/>
      <c r="AQ5" s="376"/>
      <c r="AR5" s="10"/>
      <c r="AS5" s="10"/>
      <c r="AT5" s="10"/>
      <c r="AU5" s="10"/>
      <c r="AW5" s="10"/>
      <c r="AX5" s="10"/>
      <c r="AY5" s="10"/>
      <c r="AZ5" s="10"/>
      <c r="BB5" s="10"/>
      <c r="BC5" s="10"/>
      <c r="BD5" s="19">
        <f>BD4/BD222</f>
        <v>9.1396397688007364E-2</v>
      </c>
      <c r="BE5" s="10"/>
      <c r="BF5" s="625"/>
      <c r="BG5" s="10"/>
      <c r="BH5" s="10"/>
      <c r="BI5" s="10">
        <f>BI3-BI228</f>
        <v>1488</v>
      </c>
      <c r="BJ5" s="10">
        <f>BJ3-BJ228</f>
        <v>1543</v>
      </c>
      <c r="BK5" s="625"/>
      <c r="BL5" s="10">
        <f>BL3-BL228</f>
        <v>1436</v>
      </c>
      <c r="BM5" s="10">
        <f>BM3-BM228</f>
        <v>1429</v>
      </c>
      <c r="BN5" s="10">
        <f>BN3-BN228</f>
        <v>1398</v>
      </c>
      <c r="BO5" s="10">
        <f>BO3-BO228</f>
        <v>1677</v>
      </c>
      <c r="BP5" s="10"/>
      <c r="BQ5" s="10"/>
      <c r="BR5" s="10"/>
      <c r="BS5" s="10"/>
      <c r="BT5" s="10"/>
      <c r="BZ5" s="376"/>
      <c r="CA5" s="2"/>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row>
    <row r="6" spans="4:105">
      <c r="Y6" s="86"/>
      <c r="AH6" s="5"/>
      <c r="AI6" s="5"/>
      <c r="AJ6" s="5"/>
      <c r="AK6" s="5"/>
      <c r="AM6" s="5"/>
      <c r="AN6" s="5"/>
      <c r="AO6" s="5"/>
      <c r="AP6" s="5"/>
      <c r="AR6" s="5"/>
      <c r="AT6" s="449"/>
      <c r="AU6" s="16"/>
      <c r="AW6" s="16"/>
      <c r="AX6" s="9"/>
      <c r="AY6" s="5"/>
      <c r="AZ6" s="5"/>
      <c r="BB6" s="16"/>
      <c r="BC6" s="16"/>
      <c r="BF6" s="512"/>
      <c r="BG6" s="512"/>
      <c r="BH6" s="512"/>
      <c r="BI6" s="512"/>
      <c r="BJ6" s="512"/>
      <c r="BK6" s="512"/>
      <c r="BL6" s="512"/>
      <c r="BM6" s="512"/>
      <c r="BN6" s="512"/>
      <c r="BO6" s="512"/>
      <c r="BP6" s="512"/>
      <c r="BQ6" s="512"/>
      <c r="BR6" s="512"/>
      <c r="BS6" s="512"/>
      <c r="BT6" s="512"/>
      <c r="CA6" t="s">
        <v>706</v>
      </c>
    </row>
    <row r="7" spans="4:105">
      <c r="D7" s="450" t="s">
        <v>1583</v>
      </c>
      <c r="Y7" s="86"/>
      <c r="AH7" s="5"/>
      <c r="AI7" s="5"/>
      <c r="AJ7" s="5"/>
      <c r="AK7" s="5"/>
      <c r="AM7" s="5"/>
      <c r="AN7" s="5"/>
      <c r="AO7" s="5"/>
      <c r="AP7" s="5"/>
      <c r="AR7" s="5"/>
      <c r="AT7" s="449"/>
      <c r="AU7" s="16"/>
      <c r="AW7" s="16"/>
      <c r="AX7" s="5"/>
      <c r="AY7" s="5"/>
      <c r="AZ7" s="5"/>
      <c r="BB7" s="16"/>
      <c r="BC7" s="16"/>
      <c r="BD7" s="16"/>
      <c r="BE7" s="16"/>
      <c r="BF7" s="512"/>
      <c r="BG7" s="512"/>
      <c r="BH7" s="512"/>
      <c r="BI7" s="512"/>
      <c r="BJ7" s="512"/>
      <c r="BK7" s="512"/>
      <c r="BL7" s="512"/>
      <c r="BM7" s="512"/>
      <c r="BN7" s="512"/>
      <c r="BO7" s="512"/>
      <c r="BP7" s="512"/>
      <c r="BQ7" s="512"/>
      <c r="BR7" s="512"/>
      <c r="BS7" s="512"/>
      <c r="BT7" s="512"/>
    </row>
    <row r="8" spans="4:105">
      <c r="D8" s="478" t="s">
        <v>3116</v>
      </c>
      <c r="Y8" s="86"/>
      <c r="AH8" s="5"/>
      <c r="AI8" s="5"/>
      <c r="AJ8" s="5"/>
      <c r="AK8" s="5"/>
      <c r="AM8" s="705">
        <v>-198</v>
      </c>
      <c r="AN8" s="705">
        <v>-209</v>
      </c>
      <c r="AO8" s="705">
        <v>-203</v>
      </c>
      <c r="AP8" s="705">
        <v>-219</v>
      </c>
      <c r="AR8" s="705">
        <v>-234</v>
      </c>
      <c r="AS8" s="705">
        <v>-247</v>
      </c>
      <c r="AT8" s="706">
        <v>-256</v>
      </c>
      <c r="AU8" s="9">
        <f>-405-AU31</f>
        <v>-220</v>
      </c>
      <c r="AW8" s="9">
        <f>-421-AW31</f>
        <v>-225</v>
      </c>
      <c r="AX8" s="9">
        <f>-433-AX31</f>
        <v>-234</v>
      </c>
      <c r="AY8" s="706">
        <v>-281</v>
      </c>
      <c r="AZ8" s="9">
        <f>-446-AZ31</f>
        <v>-236</v>
      </c>
      <c r="BB8" s="9">
        <f>-468-BB31</f>
        <v>-245</v>
      </c>
      <c r="BC8" s="9">
        <f>-486-BC31</f>
        <v>-257</v>
      </c>
      <c r="BD8" s="9">
        <f>-509-BD31</f>
        <v>-279</v>
      </c>
      <c r="BE8" s="9">
        <f>-578-BE31</f>
        <v>-326</v>
      </c>
      <c r="BF8" s="512"/>
      <c r="BG8" s="512"/>
      <c r="BH8" s="512"/>
      <c r="BI8" s="512"/>
      <c r="BJ8" s="512"/>
      <c r="BK8" s="512"/>
      <c r="BL8" s="512"/>
      <c r="BM8" s="512"/>
      <c r="BN8" s="512"/>
      <c r="BO8" s="512"/>
      <c r="BP8" s="512"/>
      <c r="BQ8" s="512"/>
      <c r="BR8" s="512"/>
      <c r="BS8" s="512"/>
      <c r="BT8" s="512"/>
    </row>
    <row r="9" spans="4:105">
      <c r="D9" s="450" t="s">
        <v>3114</v>
      </c>
      <c r="Y9" s="86"/>
      <c r="AH9" s="5"/>
      <c r="AI9" s="5"/>
      <c r="AJ9" s="5"/>
      <c r="AK9" s="5"/>
      <c r="AM9" s="10"/>
      <c r="AN9" s="10">
        <f>AN3+AN8</f>
        <v>769.04809882744053</v>
      </c>
      <c r="AO9" s="10">
        <f>AO3+AO8</f>
        <v>814.73300000000006</v>
      </c>
      <c r="AP9" s="10">
        <f>AP3+AP8</f>
        <v>853.93499999999995</v>
      </c>
      <c r="AR9" s="10">
        <f>AR3+AR8</f>
        <v>841.77800000000002</v>
      </c>
      <c r="AS9" s="10">
        <f>AS3+AS8</f>
        <v>880.55899999999997</v>
      </c>
      <c r="AT9" s="10">
        <f>AT3+AT8</f>
        <v>894.68900000000008</v>
      </c>
      <c r="AU9" s="10">
        <f>AU3+AU8</f>
        <v>957</v>
      </c>
      <c r="AW9" s="10">
        <f>AW3+AW8</f>
        <v>944</v>
      </c>
      <c r="AX9" s="10">
        <f>AX3+AX8</f>
        <v>947</v>
      </c>
      <c r="AY9" s="10">
        <f>AY3+AY8</f>
        <v>918</v>
      </c>
      <c r="AZ9" s="10">
        <f>AZ3+AZ8</f>
        <v>1030</v>
      </c>
      <c r="BB9" s="10">
        <f>BB3+BB8</f>
        <v>1105.884</v>
      </c>
      <c r="BC9" s="10">
        <f>BC3+BC8</f>
        <v>1103.828</v>
      </c>
      <c r="BD9" s="10">
        <f>BD3+BD8</f>
        <v>1104.4940000000001</v>
      </c>
      <c r="BE9" s="10">
        <f>BE3+BE8</f>
        <v>1139.479</v>
      </c>
      <c r="BF9" s="512"/>
      <c r="BG9" s="512"/>
      <c r="BH9" s="512"/>
      <c r="BI9" s="512"/>
      <c r="BJ9" s="512"/>
      <c r="BK9" s="512"/>
      <c r="BL9" s="512"/>
      <c r="BM9" s="512"/>
      <c r="BN9" s="512"/>
      <c r="BO9" s="512"/>
      <c r="BP9" s="512"/>
      <c r="BQ9" s="512"/>
      <c r="BR9" s="512"/>
      <c r="BS9" s="512"/>
      <c r="BT9" s="512"/>
    </row>
    <row r="10" spans="4:105">
      <c r="D10" s="478" t="s">
        <v>3115</v>
      </c>
      <c r="Y10" s="86"/>
      <c r="AH10" s="5"/>
      <c r="AI10" s="5"/>
      <c r="AJ10" s="5"/>
      <c r="AK10" s="5"/>
      <c r="AM10" s="29"/>
      <c r="AN10" s="29"/>
      <c r="AO10" s="29"/>
      <c r="AP10" s="29"/>
      <c r="AR10" s="29">
        <f>AR9/AR3</f>
        <v>0.78248300299875995</v>
      </c>
      <c r="AS10" s="29">
        <f>AS9/AS3</f>
        <v>0.78094272672206066</v>
      </c>
      <c r="AT10" s="29">
        <f>AT9/AT3</f>
        <v>0.77752459613327318</v>
      </c>
      <c r="AU10" s="29">
        <f>AU9/AU3</f>
        <v>0.81308411214953269</v>
      </c>
      <c r="AW10" s="29">
        <f>AW9/AW3</f>
        <v>0.80752780153977755</v>
      </c>
      <c r="AX10" s="29">
        <f>AX9/AX3</f>
        <v>0.80186282811176968</v>
      </c>
      <c r="AY10" s="29">
        <f>AY9/AY3</f>
        <v>0.76563803169307754</v>
      </c>
      <c r="AZ10" s="29">
        <f>AZ9/AZ3</f>
        <v>0.81358609794628756</v>
      </c>
      <c r="BB10" s="29">
        <f>BB9/BB3</f>
        <v>0.81863727751605619</v>
      </c>
      <c r="BC10" s="29">
        <f>BC9/BC3</f>
        <v>0.81114439150282036</v>
      </c>
      <c r="BD10" s="29">
        <f>BD9/BD3</f>
        <v>0.7983366751138784</v>
      </c>
      <c r="BE10" s="29">
        <f>BE9/BE3</f>
        <v>0.77754713646527862</v>
      </c>
      <c r="BF10" s="512"/>
      <c r="BG10" s="512"/>
      <c r="BH10" s="512"/>
      <c r="BI10" s="512"/>
      <c r="BJ10" s="512"/>
      <c r="BK10" s="512"/>
      <c r="BL10" s="512"/>
      <c r="BM10" s="512"/>
      <c r="BN10" s="512"/>
      <c r="BO10" s="512"/>
      <c r="BP10" s="512"/>
      <c r="BQ10" s="512"/>
      <c r="BR10" s="512"/>
      <c r="BS10" s="512"/>
      <c r="BT10" s="512"/>
    </row>
    <row r="11" spans="4:105">
      <c r="D11" s="478"/>
      <c r="Y11" s="86"/>
      <c r="AH11" s="5"/>
      <c r="AI11" s="5"/>
      <c r="AJ11" s="5"/>
      <c r="AK11" s="5"/>
      <c r="AM11" s="5"/>
      <c r="AN11" s="5"/>
      <c r="AO11" s="5"/>
      <c r="AP11" s="5"/>
      <c r="AR11" s="5"/>
      <c r="AT11" s="449"/>
      <c r="AU11" s="16"/>
      <c r="AW11" s="16"/>
      <c r="AX11" s="9"/>
      <c r="AY11" s="5"/>
      <c r="AZ11" s="5"/>
      <c r="BB11" s="16"/>
      <c r="BC11" s="9"/>
      <c r="BD11" s="9"/>
      <c r="BE11" s="9"/>
      <c r="BF11" s="512"/>
      <c r="BG11" s="512"/>
      <c r="BH11" s="512"/>
      <c r="BI11" s="512"/>
      <c r="BJ11" s="512"/>
      <c r="BK11" s="512"/>
      <c r="BL11" s="512"/>
      <c r="BM11" s="512"/>
      <c r="BN11" s="512"/>
      <c r="BO11" s="512"/>
      <c r="BP11" s="512"/>
      <c r="BQ11" s="512"/>
      <c r="BR11" s="512"/>
      <c r="BS11" s="512"/>
      <c r="BT11" s="512"/>
    </row>
    <row r="12" spans="4:105">
      <c r="D12" s="478" t="s">
        <v>3113</v>
      </c>
      <c r="Y12" s="86"/>
      <c r="AH12" s="5"/>
      <c r="AI12" s="5"/>
      <c r="AJ12" s="5"/>
      <c r="AK12" s="5"/>
      <c r="AM12" s="9">
        <v>-176</v>
      </c>
      <c r="AN12" s="9">
        <v>-175</v>
      </c>
      <c r="AO12" s="9">
        <v>-193</v>
      </c>
      <c r="AP12" s="9">
        <v>-210</v>
      </c>
      <c r="AR12" s="9">
        <v>-194</v>
      </c>
      <c r="AS12" s="9">
        <v>-206</v>
      </c>
      <c r="AT12" s="9">
        <v>-206</v>
      </c>
      <c r="AU12" s="9">
        <v>-210</v>
      </c>
      <c r="AV12" s="9"/>
      <c r="AW12" s="9">
        <v>-211</v>
      </c>
      <c r="AX12" s="9">
        <v>-219</v>
      </c>
      <c r="AY12" s="9">
        <v>-232</v>
      </c>
      <c r="AZ12" s="9">
        <v>-252</v>
      </c>
      <c r="BA12" s="9"/>
      <c r="BB12" s="9">
        <v>-246</v>
      </c>
      <c r="BC12" s="9">
        <v>-274</v>
      </c>
      <c r="BD12" s="9">
        <v>-265</v>
      </c>
      <c r="BE12" s="9">
        <v>-291</v>
      </c>
      <c r="BF12" s="512"/>
      <c r="BG12" s="512"/>
      <c r="BH12" s="512"/>
      <c r="BI12" s="512"/>
      <c r="BJ12" s="512"/>
      <c r="BK12" s="512"/>
      <c r="BL12" s="512"/>
      <c r="BM12" s="512"/>
      <c r="BN12" s="512"/>
      <c r="BO12" s="512"/>
      <c r="BP12" s="512"/>
      <c r="BQ12" s="512"/>
      <c r="BR12" s="512"/>
      <c r="BS12" s="512"/>
      <c r="BT12" s="512"/>
    </row>
    <row r="13" spans="4:105">
      <c r="D13" s="478" t="s">
        <v>3117</v>
      </c>
      <c r="Y13" s="86"/>
      <c r="AH13" s="5"/>
      <c r="AI13" s="5"/>
      <c r="AJ13" s="5"/>
      <c r="AK13" s="5"/>
      <c r="AM13" s="9">
        <v>-129</v>
      </c>
      <c r="AN13" s="9">
        <v>-134</v>
      </c>
      <c r="AO13" s="9">
        <v>-141</v>
      </c>
      <c r="AP13" s="9">
        <v>-144</v>
      </c>
      <c r="AR13" s="9">
        <v>-144</v>
      </c>
      <c r="AS13" s="9">
        <v>-155</v>
      </c>
      <c r="AT13" s="9">
        <v>-166</v>
      </c>
      <c r="AU13" s="9">
        <f>-223-AU22</f>
        <v>-188</v>
      </c>
      <c r="AV13" s="9"/>
      <c r="AW13" s="9">
        <f>-224-AW22</f>
        <v>-197</v>
      </c>
      <c r="AX13" s="9">
        <f>-233-AX22</f>
        <v>-201</v>
      </c>
      <c r="AY13" s="9">
        <v>-180</v>
      </c>
      <c r="AZ13" s="9">
        <f>-263-AZ22</f>
        <v>-216</v>
      </c>
      <c r="BA13" s="9"/>
      <c r="BB13" s="9">
        <f>-257-BB22</f>
        <v>-212</v>
      </c>
      <c r="BC13" s="9">
        <f>-259-BC22</f>
        <v>-214</v>
      </c>
      <c r="BD13" s="9">
        <f>-282-BD22</f>
        <v>-231</v>
      </c>
      <c r="BE13" s="9">
        <f>-301-BE22</f>
        <v>-246</v>
      </c>
      <c r="BF13" s="512"/>
      <c r="BG13" s="512"/>
      <c r="BH13" s="512"/>
      <c r="BI13" s="512"/>
      <c r="BJ13" s="512"/>
      <c r="BK13" s="512"/>
      <c r="BL13" s="512"/>
      <c r="BM13" s="512"/>
      <c r="BN13" s="512"/>
      <c r="BO13" s="512"/>
      <c r="BP13" s="512"/>
      <c r="BQ13" s="512"/>
      <c r="BR13" s="512"/>
      <c r="BS13" s="512"/>
      <c r="BT13" s="512"/>
    </row>
    <row r="14" spans="4:105">
      <c r="D14" s="478" t="s">
        <v>2266</v>
      </c>
      <c r="Y14" s="86"/>
      <c r="AH14" s="5"/>
      <c r="AI14" s="5"/>
      <c r="AJ14" s="5"/>
      <c r="AK14" s="5"/>
      <c r="AM14" s="9">
        <v>0</v>
      </c>
      <c r="AN14" s="9">
        <v>0</v>
      </c>
      <c r="AO14" s="9">
        <v>0</v>
      </c>
      <c r="AP14" s="9">
        <v>0</v>
      </c>
      <c r="AR14" s="9">
        <v>0</v>
      </c>
      <c r="AS14" s="9">
        <v>0</v>
      </c>
      <c r="AT14" s="9">
        <v>0</v>
      </c>
      <c r="AU14" s="9">
        <v>-29</v>
      </c>
      <c r="AV14" s="9"/>
      <c r="AW14" s="9">
        <v>-22</v>
      </c>
      <c r="AX14" s="9">
        <f>-25</f>
        <v>-25</v>
      </c>
      <c r="AY14" s="9">
        <v>0</v>
      </c>
      <c r="AZ14" s="9">
        <v>-41</v>
      </c>
      <c r="BA14" s="9"/>
      <c r="BB14" s="9">
        <v>-40</v>
      </c>
      <c r="BC14" s="9">
        <f>-40</f>
        <v>-40</v>
      </c>
      <c r="BD14" s="9">
        <v>-47</v>
      </c>
      <c r="BE14" s="9">
        <v>-52</v>
      </c>
      <c r="BF14" s="512"/>
      <c r="BG14" s="512"/>
      <c r="BH14" s="512"/>
      <c r="BI14" s="512"/>
      <c r="BJ14" s="512"/>
      <c r="BK14" s="512"/>
      <c r="BL14" s="512"/>
      <c r="BM14" s="512"/>
      <c r="BN14" s="512"/>
      <c r="BO14" s="512"/>
      <c r="BP14" s="512"/>
      <c r="BQ14" s="512"/>
      <c r="BR14" s="512"/>
      <c r="BS14" s="512"/>
      <c r="BT14" s="512"/>
    </row>
    <row r="15" spans="4:105">
      <c r="D15" s="478" t="s">
        <v>760</v>
      </c>
      <c r="Y15" s="86"/>
      <c r="AH15" s="5"/>
      <c r="AI15" s="5"/>
      <c r="AJ15" s="5"/>
      <c r="AK15" s="5"/>
      <c r="AM15" s="9">
        <v>0.1</v>
      </c>
      <c r="AN15" s="9">
        <v>0</v>
      </c>
      <c r="AO15" s="9">
        <v>3</v>
      </c>
      <c r="AP15" s="9">
        <v>1</v>
      </c>
      <c r="AR15" s="9">
        <v>0</v>
      </c>
      <c r="AS15" s="9">
        <v>1</v>
      </c>
      <c r="AT15" s="9">
        <v>6</v>
      </c>
      <c r="AU15" s="9">
        <f>23-17</f>
        <v>6</v>
      </c>
      <c r="AV15" s="9"/>
      <c r="AW15" s="9">
        <f>5-1</f>
        <v>4</v>
      </c>
      <c r="AX15" s="9">
        <f>8+3</f>
        <v>11</v>
      </c>
      <c r="AY15" s="9">
        <v>1</v>
      </c>
      <c r="AZ15" s="9">
        <f>2+5</f>
        <v>7</v>
      </c>
      <c r="BA15" s="9"/>
      <c r="BB15" s="9">
        <f>3+2</f>
        <v>5</v>
      </c>
      <c r="BC15" s="9">
        <v>1</v>
      </c>
      <c r="BD15" s="9">
        <v>9</v>
      </c>
      <c r="BE15" s="9">
        <v>4</v>
      </c>
      <c r="BF15" s="512"/>
      <c r="BG15" s="512"/>
      <c r="BH15" s="512"/>
      <c r="BI15" s="512"/>
      <c r="BJ15" s="512"/>
      <c r="BK15" s="512"/>
      <c r="BL15" s="31"/>
      <c r="BM15" s="31"/>
      <c r="BN15" s="31"/>
      <c r="BO15" s="31"/>
      <c r="BP15" s="31"/>
      <c r="BQ15" s="31"/>
      <c r="BR15" s="31"/>
      <c r="BS15" s="31"/>
      <c r="BT15" s="31"/>
    </row>
    <row r="16" spans="4:105">
      <c r="Y16" s="86"/>
      <c r="AH16" s="5"/>
      <c r="AI16" s="5"/>
      <c r="AJ16" s="5"/>
      <c r="AK16" s="5"/>
      <c r="AM16" s="5"/>
      <c r="AN16" s="5"/>
      <c r="AO16" s="5"/>
      <c r="AP16" s="5"/>
      <c r="AR16" s="5"/>
      <c r="AT16" s="449"/>
      <c r="AU16" s="16"/>
      <c r="AW16" s="16"/>
      <c r="AX16" s="5"/>
      <c r="AY16" s="5"/>
      <c r="AZ16" s="5"/>
      <c r="BB16" s="16"/>
      <c r="BC16" s="16"/>
      <c r="BD16" s="16"/>
      <c r="BE16" s="16"/>
      <c r="BF16" s="512"/>
      <c r="BG16" s="512"/>
      <c r="BH16" s="512"/>
      <c r="BI16" s="512"/>
      <c r="BJ16" s="512"/>
      <c r="BK16" s="512"/>
      <c r="BP16" s="512"/>
      <c r="BQ16" s="512"/>
      <c r="BR16" s="512"/>
      <c r="BS16" s="512"/>
      <c r="BT16" s="512"/>
    </row>
    <row r="17" spans="3:105">
      <c r="D17" t="s">
        <v>761</v>
      </c>
      <c r="H17" s="9">
        <f>H312</f>
        <v>73.402999999999992</v>
      </c>
      <c r="I17" s="9">
        <f t="shared" ref="I17:Q17" si="3">I312</f>
        <v>82.861999999999995</v>
      </c>
      <c r="J17" s="9">
        <f t="shared" si="3"/>
        <v>92.976000000000013</v>
      </c>
      <c r="K17" s="9">
        <f t="shared" si="3"/>
        <v>106.56599999999999</v>
      </c>
      <c r="L17" s="9">
        <f t="shared" si="3"/>
        <v>107.521</v>
      </c>
      <c r="M17" s="9">
        <f t="shared" si="3"/>
        <v>117.408</v>
      </c>
      <c r="N17" s="9">
        <f t="shared" si="3"/>
        <v>123.76800000000001</v>
      </c>
      <c r="O17" s="9">
        <f t="shared" si="3"/>
        <v>126.473</v>
      </c>
      <c r="P17" s="9">
        <f t="shared" si="3"/>
        <v>122.23</v>
      </c>
      <c r="Q17" s="9">
        <f t="shared" si="3"/>
        <v>110.82599999999999</v>
      </c>
      <c r="R17" s="9">
        <f>R312</f>
        <v>130.16900000000001</v>
      </c>
      <c r="S17" s="9">
        <f>S312</f>
        <v>142.202</v>
      </c>
      <c r="T17" s="9">
        <f>T312</f>
        <v>156.62699999999998</v>
      </c>
      <c r="U17" s="9">
        <f>U312</f>
        <v>178.72299999999998</v>
      </c>
      <c r="V17" s="9">
        <f>V312</f>
        <v>228.92100000000005</v>
      </c>
      <c r="W17" s="9"/>
      <c r="X17" s="9">
        <v>248</v>
      </c>
      <c r="Y17" s="9">
        <f>Y312</f>
        <v>265.46999999999997</v>
      </c>
      <c r="Z17" s="9">
        <f>Z312</f>
        <v>296</v>
      </c>
      <c r="AA17" s="9">
        <f>AA312</f>
        <v>309.39999999999998</v>
      </c>
      <c r="AB17" s="65"/>
      <c r="AC17" s="9">
        <f>AC312</f>
        <v>337.73899999999998</v>
      </c>
      <c r="AD17" s="9">
        <f>AD312</f>
        <v>353.44100000000003</v>
      </c>
      <c r="AE17" s="9">
        <f>AE312</f>
        <v>370.57000000000005</v>
      </c>
      <c r="AF17" s="9">
        <f>AF312</f>
        <v>382</v>
      </c>
      <c r="AG17" s="9"/>
      <c r="AH17" s="9">
        <f>AH312</f>
        <v>378.20699999999999</v>
      </c>
      <c r="AI17" s="9">
        <f>AI312</f>
        <v>399.40100000000001</v>
      </c>
      <c r="AJ17" s="9">
        <f>AJ312</f>
        <v>417.988</v>
      </c>
      <c r="AK17" s="9">
        <f>AK312</f>
        <v>457.62299999999993</v>
      </c>
      <c r="AL17" s="9"/>
      <c r="AM17" s="9">
        <f>AM312</f>
        <v>451.04500000000002</v>
      </c>
      <c r="AN17" s="9">
        <f>AN312-10</f>
        <v>458.97399999999993</v>
      </c>
      <c r="AO17" s="9">
        <f>AO312</f>
        <v>483.78999999999996</v>
      </c>
      <c r="AP17" s="9">
        <f>AP312</f>
        <v>501.00599999999997</v>
      </c>
      <c r="AQ17" s="376"/>
      <c r="AR17" s="9">
        <f>AR312</f>
        <v>506.45600000000002</v>
      </c>
      <c r="AS17" s="9">
        <f>AS312</f>
        <v>520.202</v>
      </c>
      <c r="AT17" s="9">
        <f>AT312</f>
        <v>528.77800000000002</v>
      </c>
      <c r="AU17" s="9">
        <f>AU312</f>
        <v>536</v>
      </c>
      <c r="AW17" s="9">
        <f>AW312</f>
        <v>517</v>
      </c>
      <c r="AX17" s="564">
        <f>AX312-0.006*AX3</f>
        <v>513</v>
      </c>
      <c r="AY17" s="564">
        <f>AY312-8</f>
        <v>507</v>
      </c>
      <c r="AZ17" s="9">
        <f>AZ312</f>
        <v>528</v>
      </c>
      <c r="BB17" s="9">
        <f>BB312</f>
        <v>562</v>
      </c>
      <c r="BC17" s="9">
        <f>BC312-13</f>
        <v>540</v>
      </c>
      <c r="BD17" s="9">
        <f>BD312-11</f>
        <v>539</v>
      </c>
      <c r="BE17" s="9">
        <f>BE312-22.4</f>
        <v>553.00000000000011</v>
      </c>
      <c r="BF17" s="625"/>
      <c r="BG17" s="9">
        <f>BG312</f>
        <v>536.77433143151484</v>
      </c>
      <c r="BH17" s="9">
        <f>BH312</f>
        <v>551.45265428494042</v>
      </c>
      <c r="BI17" s="997">
        <f>BI312-4</f>
        <v>612.85542620690615</v>
      </c>
      <c r="BJ17" s="9">
        <f>BJ312</f>
        <v>650.33615623551214</v>
      </c>
      <c r="BK17" s="625"/>
      <c r="BL17" s="31">
        <f>BL312-BL20</f>
        <v>617.5</v>
      </c>
      <c r="BM17" s="31">
        <f>BM312-BM20</f>
        <v>610</v>
      </c>
      <c r="BN17" s="31">
        <f>BN312-BN20</f>
        <v>595</v>
      </c>
      <c r="BO17" s="31">
        <f>BO312-BO20</f>
        <v>537</v>
      </c>
      <c r="BP17" s="625"/>
      <c r="BQ17" s="31">
        <f>BQ23-BQ22-BQ20</f>
        <v>581.65200000000004</v>
      </c>
      <c r="BR17" s="31">
        <f>BR23-BR22-BR20</f>
        <v>581.82399999999996</v>
      </c>
      <c r="BS17" s="31">
        <f>BS23-BS22-BS20</f>
        <v>589</v>
      </c>
      <c r="BT17" s="31">
        <f ca="1">BT23-BT22-BT20</f>
        <v>531.68094204518866</v>
      </c>
      <c r="BZ17" s="86">
        <v>406</v>
      </c>
      <c r="CA17" t="s">
        <v>707</v>
      </c>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row>
    <row r="18" spans="3:105">
      <c r="H18" s="9"/>
      <c r="I18" s="9"/>
      <c r="J18" s="9"/>
      <c r="K18" s="9"/>
      <c r="L18" s="9"/>
      <c r="M18" s="9"/>
      <c r="N18" s="9"/>
      <c r="O18" s="9"/>
      <c r="P18" s="9"/>
      <c r="Q18" s="9"/>
      <c r="R18" s="9"/>
      <c r="S18" s="9"/>
      <c r="T18" s="9"/>
      <c r="U18" s="9"/>
      <c r="V18" s="9"/>
      <c r="W18" s="9"/>
      <c r="X18" s="138"/>
      <c r="Y18" s="86"/>
      <c r="Z18" s="86"/>
      <c r="AA18" s="86"/>
      <c r="AB18" s="9"/>
      <c r="AC18" s="65"/>
      <c r="AD18" s="65"/>
      <c r="AE18" s="65"/>
      <c r="AF18" s="65"/>
      <c r="AG18" s="9"/>
      <c r="AH18" s="147"/>
      <c r="AI18" s="147"/>
      <c r="AJ18" s="147"/>
      <c r="AK18" s="16"/>
      <c r="AL18" s="9"/>
      <c r="AM18" s="5">
        <f>AM17/AM3</f>
        <v>0.47039565828830571</v>
      </c>
      <c r="AN18" s="5">
        <f>AN17/AN3</f>
        <v>0.46927548916076145</v>
      </c>
      <c r="AO18" s="5">
        <f>AO17/AO3</f>
        <v>0.47536043343391632</v>
      </c>
      <c r="AP18" s="5">
        <f>AP17/AP3</f>
        <v>0.46694906960813098</v>
      </c>
      <c r="AQ18" s="9"/>
      <c r="AR18" s="5">
        <f>AR17/AR3</f>
        <v>0.470781146295983</v>
      </c>
      <c r="AS18" s="5">
        <f>AS17/AS3</f>
        <v>0.46135235495437488</v>
      </c>
      <c r="AT18" s="5">
        <f>AT17/AT3</f>
        <v>0.45953163713218775</v>
      </c>
      <c r="AU18" s="5">
        <f>AU17/AU3</f>
        <v>0.45539507221750214</v>
      </c>
      <c r="AW18" s="5">
        <f>AW17/AW3</f>
        <v>0.4422583404619333</v>
      </c>
      <c r="AX18" s="5">
        <f>AX17/AX3</f>
        <v>0.43437764606265877</v>
      </c>
      <c r="AY18" s="5">
        <f>AY17/AY3</f>
        <v>0.42285237698081735</v>
      </c>
      <c r="AZ18" s="5">
        <f>AZ17/AZ3</f>
        <v>0.41706161137440756</v>
      </c>
      <c r="BB18" s="5">
        <f>BB17/BB3</f>
        <v>0.41602387769786303</v>
      </c>
      <c r="BC18" s="5">
        <f>BC17/BC3</f>
        <v>0.39681723186177825</v>
      </c>
      <c r="BD18" s="5">
        <f>BD17/BD3</f>
        <v>0.38959330506673678</v>
      </c>
      <c r="BE18" s="5">
        <f>BE17/BE3</f>
        <v>0.37735102311257962</v>
      </c>
      <c r="BF18" s="513"/>
      <c r="BG18" s="513"/>
      <c r="BH18" s="513"/>
      <c r="BI18" s="513"/>
      <c r="BJ18" s="513"/>
      <c r="BK18" s="513"/>
      <c r="BL18" s="513"/>
      <c r="BM18" s="513"/>
      <c r="BN18" s="513"/>
      <c r="BO18" s="513"/>
      <c r="BP18" s="513"/>
      <c r="BQ18" s="513"/>
      <c r="BR18" s="513"/>
      <c r="BS18" s="513"/>
      <c r="BT18" s="513"/>
      <c r="BZ18">
        <f>BZ23-BZ17</f>
        <v>-19</v>
      </c>
      <c r="CA18" t="s">
        <v>708</v>
      </c>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row>
    <row r="19" spans="3:105">
      <c r="C19" s="478" t="s">
        <v>1823</v>
      </c>
      <c r="H19" s="9"/>
      <c r="I19" s="9"/>
      <c r="J19" s="9"/>
      <c r="K19" s="9"/>
      <c r="L19" s="9"/>
      <c r="M19" s="9"/>
      <c r="N19" s="9"/>
      <c r="O19" s="9"/>
      <c r="P19" s="9"/>
      <c r="Q19" s="9"/>
      <c r="R19" s="9"/>
      <c r="S19" s="9"/>
      <c r="T19" s="9"/>
      <c r="U19" s="9"/>
      <c r="V19" s="9"/>
      <c r="W19" s="9"/>
      <c r="X19" s="138"/>
      <c r="Y19" s="86"/>
      <c r="Z19" s="86"/>
      <c r="AA19" s="86"/>
      <c r="AB19" s="9"/>
      <c r="AC19" s="65"/>
      <c r="AD19" s="65"/>
      <c r="AE19" s="65"/>
      <c r="AF19" s="65"/>
      <c r="AG19" s="9"/>
      <c r="AH19" s="147"/>
      <c r="AI19" s="147"/>
      <c r="AJ19" s="147"/>
      <c r="AK19" s="16"/>
      <c r="AL19" s="9"/>
      <c r="AM19" s="5"/>
      <c r="AN19" s="5"/>
      <c r="AO19" s="5"/>
      <c r="AP19" s="5"/>
      <c r="AQ19" s="9"/>
      <c r="AR19" s="5"/>
      <c r="AS19" s="5"/>
      <c r="AT19" s="5"/>
      <c r="AU19" s="5"/>
      <c r="AW19" s="5"/>
      <c r="AX19" s="5"/>
      <c r="AY19" s="5"/>
      <c r="AZ19" s="5"/>
      <c r="BB19" s="5"/>
      <c r="BC19" s="5"/>
      <c r="BD19" s="5"/>
      <c r="BE19" s="5"/>
      <c r="BF19" s="513"/>
      <c r="BG19" s="513"/>
      <c r="BH19" s="513"/>
      <c r="BI19" s="513"/>
      <c r="BJ19" s="513"/>
      <c r="BK19" s="513"/>
      <c r="BL19" s="513"/>
      <c r="BM19" s="513"/>
      <c r="BN19" s="513"/>
      <c r="BO19" s="513"/>
      <c r="BP19" s="513"/>
      <c r="BQ19" s="513"/>
      <c r="BR19" s="513"/>
      <c r="BS19" s="513"/>
      <c r="BT19" s="513"/>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row>
    <row r="20" spans="3:105">
      <c r="C20" s="478"/>
      <c r="D20" s="478" t="s">
        <v>3349</v>
      </c>
      <c r="H20" s="9"/>
      <c r="I20" s="9"/>
      <c r="J20" s="9"/>
      <c r="K20" s="9"/>
      <c r="L20" s="9"/>
      <c r="M20" s="9"/>
      <c r="N20" s="9"/>
      <c r="O20" s="9"/>
      <c r="P20" s="9"/>
      <c r="Q20" s="9"/>
      <c r="R20" s="9"/>
      <c r="S20" s="9"/>
      <c r="T20" s="9"/>
      <c r="U20" s="9"/>
      <c r="V20" s="9"/>
      <c r="W20" s="9"/>
      <c r="X20" s="138"/>
      <c r="Y20" s="86"/>
      <c r="Z20" s="86"/>
      <c r="AA20" s="86"/>
      <c r="AB20" s="9"/>
      <c r="AC20" s="65"/>
      <c r="AD20" s="65"/>
      <c r="AE20" s="65"/>
      <c r="AF20" s="65"/>
      <c r="AG20" s="9"/>
      <c r="AH20" s="147"/>
      <c r="AI20" s="147"/>
      <c r="AJ20" s="147"/>
      <c r="AK20" s="16"/>
      <c r="AL20" s="9"/>
      <c r="AM20" s="5"/>
      <c r="AN20" s="5"/>
      <c r="AO20" s="5"/>
      <c r="AP20" s="5"/>
      <c r="AQ20" s="9"/>
      <c r="AR20" s="5"/>
      <c r="AS20" s="5"/>
      <c r="AT20" s="5"/>
      <c r="AU20" s="5"/>
      <c r="AW20" s="5"/>
      <c r="AX20" s="5"/>
      <c r="AY20" s="5"/>
      <c r="AZ20" s="5"/>
      <c r="BB20" s="9">
        <v>0</v>
      </c>
      <c r="BC20" s="9">
        <v>13</v>
      </c>
      <c r="BD20" s="9">
        <v>11</v>
      </c>
      <c r="BE20" s="9">
        <v>22.4</v>
      </c>
      <c r="BF20" s="513"/>
      <c r="BG20" s="513"/>
      <c r="BH20" s="513"/>
      <c r="BI20" s="513"/>
      <c r="BJ20" s="513"/>
      <c r="BK20" s="513"/>
      <c r="BL20" s="9">
        <v>9</v>
      </c>
      <c r="BM20" s="9">
        <v>13</v>
      </c>
      <c r="BN20" s="9">
        <v>6</v>
      </c>
      <c r="BO20" s="9">
        <f>60</f>
        <v>60</v>
      </c>
      <c r="BP20" s="945"/>
      <c r="BQ20" s="9">
        <v>8</v>
      </c>
      <c r="BR20" s="9">
        <v>18</v>
      </c>
      <c r="BS20" s="9">
        <v>10</v>
      </c>
      <c r="BT20" s="9">
        <f>-'Country quarts'!P125</f>
        <v>18.040550634459009</v>
      </c>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row>
    <row r="21" spans="3:105">
      <c r="D21" s="4" t="s">
        <v>2102</v>
      </c>
      <c r="O21" s="9"/>
      <c r="P21" s="9"/>
      <c r="Q21" s="9"/>
      <c r="R21" s="9">
        <v>-0.70299999999999996</v>
      </c>
      <c r="S21" s="9">
        <v>-0.754</v>
      </c>
      <c r="T21" s="9">
        <v>-5.8390000000000004</v>
      </c>
      <c r="U21" s="9">
        <v>-2.8380000000000001</v>
      </c>
      <c r="V21" s="9">
        <v>-3.4</v>
      </c>
      <c r="W21" s="9"/>
      <c r="X21" s="9">
        <v>-4.5999999999999996</v>
      </c>
      <c r="Y21" s="9">
        <v>-5.5510000000000002</v>
      </c>
      <c r="Z21" s="9">
        <v>-4.4523999999999999</v>
      </c>
      <c r="AA21" s="9">
        <v>-4.5330000000000004</v>
      </c>
      <c r="AB21" s="9"/>
      <c r="AC21" s="9">
        <v>-6</v>
      </c>
      <c r="AD21" s="9">
        <v>-8.3000000000000007</v>
      </c>
      <c r="AE21" s="9">
        <v>-6</v>
      </c>
      <c r="AF21" s="9">
        <v>-6</v>
      </c>
      <c r="AG21" s="9"/>
      <c r="AH21" s="9"/>
      <c r="AI21" s="9"/>
      <c r="AJ21" s="9"/>
      <c r="AK21" s="9"/>
      <c r="AL21" s="9"/>
      <c r="AM21" s="9"/>
      <c r="AN21" s="9"/>
      <c r="AO21" s="9"/>
      <c r="AP21" s="9"/>
      <c r="AQ21" s="9"/>
      <c r="AR21" s="9"/>
      <c r="AS21" s="9"/>
      <c r="AT21" s="9"/>
      <c r="AU21" s="9"/>
      <c r="AV21" s="9"/>
      <c r="AW21" s="16"/>
      <c r="AX21" s="16"/>
      <c r="AY21" s="16"/>
      <c r="AZ21" s="16"/>
      <c r="BA21" s="9"/>
      <c r="BB21" s="16"/>
      <c r="BC21" s="16"/>
      <c r="BD21" s="16"/>
      <c r="BE21" s="16"/>
      <c r="BF21" s="9"/>
      <c r="BG21" s="9"/>
      <c r="BH21" s="9"/>
      <c r="BI21" s="9"/>
      <c r="BJ21" s="9"/>
      <c r="BK21" s="9"/>
      <c r="BL21" s="9"/>
      <c r="BM21" s="9"/>
      <c r="BN21" s="9"/>
      <c r="BO21" s="9"/>
      <c r="BP21" s="9"/>
      <c r="BQ21" s="9"/>
      <c r="BR21" s="9"/>
      <c r="BS21" s="9"/>
      <c r="BT21" s="9"/>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row>
    <row r="22" spans="3:105">
      <c r="D22" s="4" t="s">
        <v>3350</v>
      </c>
      <c r="O22" s="9">
        <v>-6.59</v>
      </c>
      <c r="P22" s="9">
        <v>-5.9080000000000004</v>
      </c>
      <c r="Q22" s="9">
        <v>-5.9580000000000002</v>
      </c>
      <c r="R22" s="9">
        <v>-4.681</v>
      </c>
      <c r="S22" s="9">
        <v>-9.2509999999999994</v>
      </c>
      <c r="T22" s="9">
        <v>-10.095000000000001</v>
      </c>
      <c r="U22" s="9">
        <v>-8.3000000000000007</v>
      </c>
      <c r="V22" s="9">
        <f>-37.6-S22-T22-U22</f>
        <v>-9.9540000000000042</v>
      </c>
      <c r="W22" s="9"/>
      <c r="X22" s="9">
        <v>-10.234999999999999</v>
      </c>
      <c r="Y22" s="9">
        <v>-11.9</v>
      </c>
      <c r="Z22" s="9">
        <v>-10.476000000000001</v>
      </c>
      <c r="AA22" s="9">
        <v>-16.899999999999999</v>
      </c>
      <c r="AB22" s="9"/>
      <c r="AC22" s="9">
        <v>-11.9</v>
      </c>
      <c r="AD22" s="9">
        <v>-12.894</v>
      </c>
      <c r="AE22" s="9">
        <v>-19.369</v>
      </c>
      <c r="AF22" s="9">
        <v>-17</v>
      </c>
      <c r="AG22" s="9"/>
      <c r="AH22" s="9">
        <v>-16.7</v>
      </c>
      <c r="AI22" s="9">
        <v>-16.600000000000001</v>
      </c>
      <c r="AJ22" s="9">
        <v>-18.5</v>
      </c>
      <c r="AK22" s="9">
        <v>-24</v>
      </c>
      <c r="AL22" s="9"/>
      <c r="AM22" s="9">
        <v>-17</v>
      </c>
      <c r="AN22" s="9">
        <v>-22.3</v>
      </c>
      <c r="AO22" s="289">
        <f>-36.266+10</f>
        <v>-26.265999999999998</v>
      </c>
      <c r="AP22" s="289">
        <v>-29.99</v>
      </c>
      <c r="AQ22" s="9"/>
      <c r="AR22" s="9">
        <v>-21.8</v>
      </c>
      <c r="AS22" s="9">
        <v>-30.384</v>
      </c>
      <c r="AT22" s="9">
        <v>-26</v>
      </c>
      <c r="AU22" s="9">
        <v>-35</v>
      </c>
      <c r="AV22" s="9"/>
      <c r="AW22" s="9">
        <v>-27</v>
      </c>
      <c r="AX22" s="9">
        <v>-32</v>
      </c>
      <c r="AY22" s="9">
        <v>-38</v>
      </c>
      <c r="AZ22" s="9">
        <v>-47</v>
      </c>
      <c r="BA22" s="9"/>
      <c r="BB22" s="9">
        <v>-45</v>
      </c>
      <c r="BC22" s="9">
        <v>-45</v>
      </c>
      <c r="BD22" s="9">
        <v>-51</v>
      </c>
      <c r="BE22" s="9">
        <v>-55</v>
      </c>
      <c r="BF22" s="625"/>
      <c r="BG22" s="9">
        <v>-59</v>
      </c>
      <c r="BH22" s="9">
        <v>-72</v>
      </c>
      <c r="BI22" s="9">
        <v>-64</v>
      </c>
      <c r="BJ22" s="9">
        <v>-63</v>
      </c>
      <c r="BK22" s="625"/>
      <c r="BL22" s="9">
        <f>-59+2</f>
        <v>-57</v>
      </c>
      <c r="BM22" s="9">
        <v>-52</v>
      </c>
      <c r="BN22" s="9">
        <v>-50</v>
      </c>
      <c r="BO22" s="9">
        <v>-45</v>
      </c>
      <c r="BP22" s="625"/>
      <c r="BQ22" s="9">
        <f>'Country quarts'!M120</f>
        <v>-41</v>
      </c>
      <c r="BR22" s="9">
        <f>'Country quarts'!N120</f>
        <v>-40</v>
      </c>
      <c r="BS22" s="9">
        <v>-37</v>
      </c>
      <c r="BT22" s="9">
        <f>'Country quarts'!P120</f>
        <v>-47</v>
      </c>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c r="CX22" s="176"/>
      <c r="CY22" s="176"/>
      <c r="CZ22" s="176"/>
      <c r="DA22" s="176"/>
    </row>
    <row r="23" spans="3:105">
      <c r="D23" s="2" t="s">
        <v>4046</v>
      </c>
      <c r="E23" s="2"/>
      <c r="F23" s="2"/>
      <c r="G23" s="2"/>
      <c r="H23" s="10"/>
      <c r="I23" s="10"/>
      <c r="J23" s="10"/>
      <c r="K23" s="10"/>
      <c r="L23" s="10"/>
      <c r="M23" s="10"/>
      <c r="N23" s="10"/>
      <c r="O23" s="10">
        <f t="shared" ref="O23:V23" si="4">O17+O22</f>
        <v>119.883</v>
      </c>
      <c r="P23" s="10">
        <f t="shared" si="4"/>
        <v>116.322</v>
      </c>
      <c r="Q23" s="10">
        <f t="shared" si="4"/>
        <v>104.86799999999999</v>
      </c>
      <c r="R23" s="10">
        <f t="shared" si="4"/>
        <v>125.48800000000001</v>
      </c>
      <c r="S23" s="10">
        <f t="shared" si="4"/>
        <v>132.95099999999999</v>
      </c>
      <c r="T23" s="10">
        <f t="shared" si="4"/>
        <v>146.53199999999998</v>
      </c>
      <c r="U23" s="10">
        <f t="shared" si="4"/>
        <v>170.42299999999997</v>
      </c>
      <c r="V23" s="10">
        <f t="shared" si="4"/>
        <v>218.96700000000004</v>
      </c>
      <c r="W23" s="16"/>
      <c r="X23" s="10">
        <f>X17+X22</f>
        <v>237.76499999999999</v>
      </c>
      <c r="Y23" s="10">
        <f>Y17+Y22</f>
        <v>253.56999999999996</v>
      </c>
      <c r="Z23" s="10">
        <f>Z17+Z22</f>
        <v>285.524</v>
      </c>
      <c r="AA23" s="10">
        <f>AA17+AA22</f>
        <v>292.5</v>
      </c>
      <c r="AB23" s="16"/>
      <c r="AC23" s="10">
        <f>AC17+AC22</f>
        <v>325.839</v>
      </c>
      <c r="AD23" s="10">
        <f>AD17+AD22</f>
        <v>340.54700000000003</v>
      </c>
      <c r="AE23" s="10">
        <f>AE17+AE22</f>
        <v>351.20100000000002</v>
      </c>
      <c r="AF23" s="10">
        <f>AF17+AF22</f>
        <v>365</v>
      </c>
      <c r="AG23" s="16"/>
      <c r="AH23" s="10">
        <f>AH17+AH22+AH21</f>
        <v>361.50700000000001</v>
      </c>
      <c r="AI23" s="10">
        <f>AI17+AI22+AI21</f>
        <v>382.80099999999999</v>
      </c>
      <c r="AJ23" s="10">
        <f>AJ17+AJ22+AJ21</f>
        <v>399.488</v>
      </c>
      <c r="AK23" s="10">
        <f>AK17+AK22+AK21</f>
        <v>433.62299999999993</v>
      </c>
      <c r="AL23" s="9"/>
      <c r="AM23" s="10">
        <f>AM17+AM22+AM21</f>
        <v>434.04500000000002</v>
      </c>
      <c r="AN23" s="10">
        <f>AN17+AN22+AN21+10</f>
        <v>446.67399999999992</v>
      </c>
      <c r="AO23" s="10">
        <f>AO17+AO22+AO21</f>
        <v>457.52399999999994</v>
      </c>
      <c r="AP23" s="10">
        <f>AP17+AP22+AP21</f>
        <v>471.01599999999996</v>
      </c>
      <c r="AQ23" s="376"/>
      <c r="AR23" s="10">
        <f>AR17+AR22+AR21</f>
        <v>484.65600000000001</v>
      </c>
      <c r="AS23" s="10">
        <f>AS17+AS22+AS21</f>
        <v>489.81799999999998</v>
      </c>
      <c r="AT23" s="10">
        <f>AT17+AT22+AT21</f>
        <v>502.77800000000002</v>
      </c>
      <c r="AU23" s="10">
        <f>AU17+AU22+AU21</f>
        <v>501</v>
      </c>
      <c r="AW23" s="10">
        <f>AW17+AW22+AW21</f>
        <v>490</v>
      </c>
      <c r="AX23" s="10">
        <f>AX17+AX22+AX21+0.006*AX3</f>
        <v>488.08600000000001</v>
      </c>
      <c r="AY23" s="584">
        <f>AY17+AY22+AY21+8</f>
        <v>477</v>
      </c>
      <c r="AZ23" s="10">
        <f>AZ17+AZ22+AZ21</f>
        <v>481</v>
      </c>
      <c r="BA23" s="449"/>
      <c r="BB23" s="10">
        <f>BB17+BB22+BB21</f>
        <v>517</v>
      </c>
      <c r="BC23" s="10">
        <f>BC17+BC22+BC21+13</f>
        <v>508</v>
      </c>
      <c r="BD23" s="10">
        <f>BD17+BD22+BD21+11</f>
        <v>499</v>
      </c>
      <c r="BE23" s="10">
        <f>BE17+BE22+BE21+22.4</f>
        <v>520.40000000000009</v>
      </c>
      <c r="BF23" s="625"/>
      <c r="BG23" s="10">
        <f>BG17+BG22</f>
        <v>477.77433143151484</v>
      </c>
      <c r="BH23" s="10">
        <f>BH17+BH22</f>
        <v>479.45265428494042</v>
      </c>
      <c r="BI23" s="584">
        <f>BI17+BI22</f>
        <v>548.85542620690615</v>
      </c>
      <c r="BJ23" s="10">
        <f>BJ17+BJ22</f>
        <v>587.33615623551214</v>
      </c>
      <c r="BK23" s="625"/>
      <c r="BL23" s="10">
        <f>BL17+BL20+BL22</f>
        <v>569.5</v>
      </c>
      <c r="BM23" s="10">
        <f>BM17+BM20+BM22</f>
        <v>571</v>
      </c>
      <c r="BN23" s="10">
        <f>BN17+BN20+BN22</f>
        <v>551</v>
      </c>
      <c r="BO23" s="10">
        <f>BO26+BO20</f>
        <v>552</v>
      </c>
      <c r="BP23" s="611"/>
      <c r="BQ23" s="10">
        <f>'Country quarts'!M121</f>
        <v>548.65200000000004</v>
      </c>
      <c r="BR23" s="10">
        <f>'Country quarts'!N121</f>
        <v>559.82399999999996</v>
      </c>
      <c r="BS23" s="10">
        <v>562</v>
      </c>
      <c r="BT23" s="10">
        <f ca="1">'Country quarts'!P121</f>
        <v>502.72149267964767</v>
      </c>
      <c r="BZ23" s="196">
        <v>387</v>
      </c>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row>
    <row r="24" spans="3:105">
      <c r="D24" s="2" t="s">
        <v>1434</v>
      </c>
      <c r="E24" s="2"/>
      <c r="F24" s="2"/>
      <c r="G24" s="2"/>
      <c r="H24" s="10"/>
      <c r="I24" s="10"/>
      <c r="J24" s="10"/>
      <c r="K24" s="10"/>
      <c r="L24" s="10"/>
      <c r="M24" s="10"/>
      <c r="N24" s="10"/>
      <c r="O24" s="18">
        <f>O23/O3</f>
        <v>0.44691606553710223</v>
      </c>
      <c r="P24" s="18">
        <f t="shared" ref="P24:U24" si="5">P23/P3</f>
        <v>0.44614310699272802</v>
      </c>
      <c r="Q24" s="18">
        <f t="shared" si="5"/>
        <v>0.40236504763476055</v>
      </c>
      <c r="R24" s="18">
        <f t="shared" si="5"/>
        <v>0.42722082449588233</v>
      </c>
      <c r="S24" s="18">
        <f t="shared" si="5"/>
        <v>0.41263372863523073</v>
      </c>
      <c r="T24" s="18">
        <f t="shared" si="5"/>
        <v>0.40519756326199907</v>
      </c>
      <c r="U24" s="18">
        <f t="shared" si="5"/>
        <v>0.42340802428801766</v>
      </c>
      <c r="V24" s="18">
        <f>V23/V3</f>
        <v>0.40264979818504459</v>
      </c>
      <c r="W24" s="9"/>
      <c r="X24" s="18">
        <f>X23/X3</f>
        <v>0.42231793960923619</v>
      </c>
      <c r="Y24" s="18">
        <f>Y23/Y3</f>
        <v>0.41341878767227142</v>
      </c>
      <c r="Z24" s="18">
        <f>Z23/Z3</f>
        <v>0.41603683547162668</v>
      </c>
      <c r="AA24" s="18">
        <f>AA23/AA3</f>
        <v>0.38061158100195186</v>
      </c>
      <c r="AB24" s="65"/>
      <c r="AC24" s="18">
        <f>AC23/AC3</f>
        <v>0.40825304148446995</v>
      </c>
      <c r="AD24" s="18">
        <f>AD23/AD3</f>
        <v>0.40530646103822687</v>
      </c>
      <c r="AE24" s="18">
        <f>AE23/AE3</f>
        <v>0.40513126353990508</v>
      </c>
      <c r="AF24" s="18">
        <f>AF23/AF3</f>
        <v>0.43400713436385258</v>
      </c>
      <c r="AG24" s="9"/>
      <c r="AH24" s="18">
        <f>AH23/AH3</f>
        <v>0.43543145451322313</v>
      </c>
      <c r="AI24" s="18">
        <f>AI23/AI3</f>
        <v>0.44128312004494802</v>
      </c>
      <c r="AJ24" s="18">
        <f>AJ23/AJ3</f>
        <v>0.44184056246741393</v>
      </c>
      <c r="AK24" s="18">
        <f>AK23/AK3</f>
        <v>0.44500618157616822</v>
      </c>
      <c r="AL24" s="5"/>
      <c r="AM24" s="18">
        <f>AM23/AM3</f>
        <v>0.45266632708875532</v>
      </c>
      <c r="AN24" s="18">
        <f>AN23/AN3</f>
        <v>0.45669942054537721</v>
      </c>
      <c r="AO24" s="18">
        <f>AO23/AO3</f>
        <v>0.44955209273945124</v>
      </c>
      <c r="AP24" s="18">
        <f>AP23/AP3</f>
        <v>0.43899770256352899</v>
      </c>
      <c r="AQ24" s="5"/>
      <c r="AR24" s="18">
        <f>AR23/AR3</f>
        <v>0.4505167423018504</v>
      </c>
      <c r="AS24" s="18">
        <f>AS23/AS3</f>
        <v>0.43440564972653317</v>
      </c>
      <c r="AT24" s="18">
        <f>AT23/AT3</f>
        <v>0.43693647892697329</v>
      </c>
      <c r="AU24" s="18">
        <f>AU23/AU3</f>
        <v>0.42565845369583688</v>
      </c>
      <c r="AV24" s="18"/>
      <c r="AW24" s="18">
        <f>AW23/AW3</f>
        <v>0.41916167664670656</v>
      </c>
      <c r="AX24" s="18">
        <f>AX23/AX3</f>
        <v>0.41328196443691789</v>
      </c>
      <c r="AY24" s="18">
        <f>AY23/AY3</f>
        <v>0.39783152627189322</v>
      </c>
      <c r="AZ24" s="18">
        <f>AZ23/AZ3</f>
        <v>0.37993680884676145</v>
      </c>
      <c r="BA24" s="18"/>
      <c r="BB24" s="18">
        <f>BB23/BB3</f>
        <v>0.38271235724162844</v>
      </c>
      <c r="BC24" s="18">
        <f>BC23/BC3</f>
        <v>0.37330213664033957</v>
      </c>
      <c r="BD24" s="18">
        <f>BD23/BD3</f>
        <v>0.36068100042356521</v>
      </c>
      <c r="BE24" s="18">
        <f>BE23/BE3</f>
        <v>0.3551057367591075</v>
      </c>
      <c r="BF24" s="18"/>
      <c r="BG24" s="18">
        <f>BG23/BG3</f>
        <v>0.34005290493346252</v>
      </c>
      <c r="BH24" s="18">
        <f>BH23/BH3</f>
        <v>0.33134253924322077</v>
      </c>
      <c r="BI24" s="18">
        <f>BI23/BI3</f>
        <v>0.32865594383647073</v>
      </c>
      <c r="BJ24" s="18">
        <f>BJ23/BJ3</f>
        <v>0.31594198829236803</v>
      </c>
      <c r="BK24" s="18"/>
      <c r="BL24" s="18">
        <f>BL23/BL3</f>
        <v>0.33323581041544764</v>
      </c>
      <c r="BM24" s="18">
        <f>BM23/BM3</f>
        <v>0.335093896713615</v>
      </c>
      <c r="BN24" s="18">
        <f>BN23/BN3</f>
        <v>0.33577087141986595</v>
      </c>
      <c r="BO24" s="18">
        <f>BO23/BO3</f>
        <v>0.3291592128801431</v>
      </c>
      <c r="BP24" s="18"/>
      <c r="BQ24" s="18">
        <f>BQ23/BQ3</f>
        <v>0.35906544502617804</v>
      </c>
      <c r="BR24" s="18">
        <f>BR23/BR3</f>
        <v>0.3561221374045801</v>
      </c>
      <c r="BS24" s="18">
        <f>BS23/BS3</f>
        <v>0.36141479099678459</v>
      </c>
      <c r="BT24" s="18">
        <f ca="1">BT23/BT3</f>
        <v>0.3252006114846801</v>
      </c>
      <c r="BZ24" s="68">
        <f>BZ23/BZ3</f>
        <v>0.43158246905319503</v>
      </c>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row>
    <row r="25" spans="3:105">
      <c r="D25" s="2"/>
      <c r="E25" s="2"/>
      <c r="F25" s="2"/>
      <c r="G25" s="2"/>
      <c r="H25" s="10"/>
      <c r="I25" s="10"/>
      <c r="J25" s="10"/>
      <c r="K25" s="10"/>
      <c r="L25" s="10"/>
      <c r="M25" s="10"/>
      <c r="N25" s="10"/>
      <c r="O25" s="18"/>
      <c r="P25" s="18"/>
      <c r="Q25" s="18"/>
      <c r="R25" s="18"/>
      <c r="S25" s="18"/>
      <c r="T25" s="18"/>
      <c r="U25" s="18"/>
      <c r="V25" s="18"/>
      <c r="W25" s="9"/>
      <c r="X25" s="18"/>
      <c r="Y25" s="18"/>
      <c r="Z25" s="18"/>
      <c r="AA25" s="18"/>
      <c r="AB25" s="65"/>
      <c r="AC25" s="18"/>
      <c r="AD25" s="18"/>
      <c r="AE25" s="18"/>
      <c r="AF25" s="18"/>
      <c r="AG25" s="9"/>
      <c r="AH25" s="18"/>
      <c r="AI25" s="18"/>
      <c r="AJ25" s="18"/>
      <c r="AK25" s="18"/>
      <c r="AL25" s="5"/>
      <c r="AM25" s="18"/>
      <c r="AN25" s="18"/>
      <c r="AO25" s="18"/>
      <c r="AP25" s="18"/>
      <c r="AQ25" s="5"/>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043"/>
      <c r="BS25" s="1043"/>
      <c r="BT25" s="18"/>
      <c r="BZ25" s="6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row>
    <row r="26" spans="3:105">
      <c r="D26" s="4" t="s">
        <v>3791</v>
      </c>
      <c r="E26" s="4"/>
      <c r="F26" s="4"/>
      <c r="G26" s="4"/>
      <c r="H26" s="31"/>
      <c r="I26" s="31"/>
      <c r="J26" s="31"/>
      <c r="K26" s="31"/>
      <c r="L26" s="31"/>
      <c r="M26" s="31"/>
      <c r="N26" s="31"/>
      <c r="O26" s="29"/>
      <c r="P26" s="29"/>
      <c r="Q26" s="29"/>
      <c r="R26" s="29"/>
      <c r="S26" s="29"/>
      <c r="T26" s="29"/>
      <c r="U26" s="29"/>
      <c r="V26" s="29"/>
      <c r="W26" s="31"/>
      <c r="X26" s="29"/>
      <c r="Y26" s="29"/>
      <c r="Z26" s="29"/>
      <c r="AA26" s="29"/>
      <c r="AB26" s="43"/>
      <c r="AC26" s="29"/>
      <c r="AD26" s="29"/>
      <c r="AE26" s="29"/>
      <c r="AF26" s="29"/>
      <c r="AG26" s="31"/>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31">
        <f>BG23-BG20</f>
        <v>477.77433143151484</v>
      </c>
      <c r="BH26" s="31">
        <f>BH23-BH20</f>
        <v>479.45265428494042</v>
      </c>
      <c r="BI26" s="31">
        <f>BI23-BI20</f>
        <v>548.85542620690615</v>
      </c>
      <c r="BJ26" s="31">
        <f>BJ23-BJ20</f>
        <v>587.33615623551214</v>
      </c>
      <c r="BK26" s="29"/>
      <c r="BL26" s="31">
        <f>BL23-BL20</f>
        <v>560.5</v>
      </c>
      <c r="BM26" s="31">
        <f>BM23-BM20</f>
        <v>558</v>
      </c>
      <c r="BN26" s="31">
        <f>BN23-BN20</f>
        <v>545</v>
      </c>
      <c r="BO26" s="31">
        <f>492</f>
        <v>492</v>
      </c>
      <c r="BP26" s="18"/>
      <c r="BQ26" s="31">
        <f>BQ23-BQ20</f>
        <v>540.65200000000004</v>
      </c>
      <c r="BR26" s="31">
        <f>BR23-BR20</f>
        <v>541.82399999999996</v>
      </c>
      <c r="BS26" s="31">
        <f>BS23-BS20</f>
        <v>552</v>
      </c>
      <c r="BT26" s="31">
        <f ca="1">BT23-BT20</f>
        <v>484.68094204518866</v>
      </c>
      <c r="BZ26" s="6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row>
    <row r="27" spans="3:105">
      <c r="D27" s="2"/>
      <c r="E27" s="2"/>
      <c r="F27" s="2"/>
      <c r="G27" s="2"/>
      <c r="H27" s="10"/>
      <c r="I27" s="10"/>
      <c r="J27" s="10"/>
      <c r="K27" s="10"/>
      <c r="L27" s="10"/>
      <c r="M27" s="10"/>
      <c r="N27" s="10"/>
      <c r="O27" s="18"/>
      <c r="P27" s="18"/>
      <c r="Q27" s="18"/>
      <c r="R27" s="18"/>
      <c r="S27" s="18"/>
      <c r="T27" s="18"/>
      <c r="U27" s="18"/>
      <c r="V27" s="18"/>
      <c r="W27" s="9"/>
      <c r="X27" s="18"/>
      <c r="Y27" s="18"/>
      <c r="Z27" s="18"/>
      <c r="AA27" s="18"/>
      <c r="AB27" s="65"/>
      <c r="AC27" s="18"/>
      <c r="AD27" s="18"/>
      <c r="AE27" s="18"/>
      <c r="AF27" s="18"/>
      <c r="AG27" s="9"/>
      <c r="AH27" s="18"/>
      <c r="AI27" s="18"/>
      <c r="AJ27" s="18"/>
      <c r="AK27" s="18"/>
      <c r="AL27" s="5"/>
      <c r="AM27" s="18"/>
      <c r="AN27" s="18"/>
      <c r="AO27" s="18"/>
      <c r="AP27" s="18"/>
      <c r="AQ27" s="5"/>
      <c r="AR27" s="18"/>
      <c r="AS27" s="18"/>
      <c r="AT27" s="18"/>
      <c r="AU27" s="18"/>
      <c r="AV27" s="18"/>
      <c r="AW27" s="18"/>
      <c r="AX27" s="18"/>
      <c r="AY27" s="18"/>
      <c r="AZ27" s="18"/>
      <c r="BA27" s="18"/>
      <c r="BB27" s="18"/>
      <c r="BC27" s="18"/>
      <c r="BF27" s="18"/>
      <c r="BG27" s="18"/>
      <c r="BH27" s="18"/>
      <c r="BI27" s="18"/>
      <c r="BJ27" s="18"/>
      <c r="BK27" s="18"/>
      <c r="BL27" s="18"/>
      <c r="BM27" s="18"/>
      <c r="BN27" s="18"/>
      <c r="BO27" s="18"/>
      <c r="BP27" s="18"/>
      <c r="BQ27" s="18"/>
      <c r="BR27" s="18"/>
      <c r="BS27" s="18"/>
      <c r="BT27" s="18"/>
      <c r="BZ27" s="6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row>
    <row r="28" spans="3:105">
      <c r="D28" s="4" t="s">
        <v>3594</v>
      </c>
      <c r="E28" s="4"/>
      <c r="F28" s="4"/>
      <c r="G28" s="4"/>
      <c r="H28" s="31"/>
      <c r="I28" s="31"/>
      <c r="J28" s="31"/>
      <c r="K28" s="31"/>
      <c r="L28" s="31"/>
      <c r="M28" s="31"/>
      <c r="N28" s="31"/>
      <c r="O28" s="29"/>
      <c r="P28" s="29"/>
      <c r="Q28" s="29"/>
      <c r="R28" s="29"/>
      <c r="S28" s="29"/>
      <c r="T28" s="29"/>
      <c r="U28" s="29"/>
      <c r="V28" s="29"/>
      <c r="W28" s="31"/>
      <c r="X28" s="29"/>
      <c r="Y28" s="29"/>
      <c r="Z28" s="29"/>
      <c r="AA28" s="29"/>
      <c r="AB28" s="43"/>
      <c r="AC28" s="29"/>
      <c r="AD28" s="29"/>
      <c r="AE28" s="29"/>
      <c r="AF28" s="29"/>
      <c r="AG28" s="31"/>
      <c r="AH28" s="29"/>
      <c r="AI28" s="29"/>
      <c r="AJ28" s="29"/>
      <c r="AK28" s="29"/>
      <c r="AL28" s="29"/>
      <c r="AM28" s="29"/>
      <c r="AN28" s="29"/>
      <c r="AO28" s="29"/>
      <c r="AP28" s="29"/>
      <c r="AQ28" s="29"/>
      <c r="AR28" s="29"/>
      <c r="AS28" s="29"/>
      <c r="AT28" s="29"/>
      <c r="AU28" s="29"/>
      <c r="AV28" s="29"/>
      <c r="AW28" s="31">
        <f>AW23-AW311</f>
        <v>490</v>
      </c>
      <c r="AX28" s="31">
        <f>AX23-AX311</f>
        <v>488.08600000000001</v>
      </c>
      <c r="AY28" s="31">
        <f>AY23-AY311</f>
        <v>479</v>
      </c>
      <c r="AZ28" s="31">
        <f>AZ23-AZ311</f>
        <v>488</v>
      </c>
      <c r="BA28" s="29"/>
      <c r="BB28" s="31"/>
      <c r="BC28" s="31"/>
      <c r="BD28" s="31"/>
      <c r="BE28" s="31"/>
      <c r="BF28" s="29"/>
      <c r="BG28" s="31"/>
      <c r="BH28" s="31"/>
      <c r="BI28" s="31">
        <f>BI23-BI306</f>
        <v>500.85542620690615</v>
      </c>
      <c r="BJ28" s="31">
        <f>BJ23-BJ306</f>
        <v>506.33615623551214</v>
      </c>
      <c r="BK28" s="29"/>
      <c r="BL28" s="31">
        <f>BL23-BL306</f>
        <v>491</v>
      </c>
      <c r="BM28" s="31">
        <f>BM23-BM306</f>
        <v>485</v>
      </c>
      <c r="BN28" s="31">
        <f>BN23-BN306</f>
        <v>474</v>
      </c>
      <c r="BO28" s="31">
        <f>BO23-BO306</f>
        <v>552</v>
      </c>
      <c r="BP28" s="10"/>
      <c r="BQ28" s="10"/>
      <c r="BR28" s="10"/>
      <c r="BS28" s="10"/>
      <c r="BT28" s="10"/>
      <c r="BZ28" s="6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row>
    <row r="29" spans="3:105">
      <c r="D29" s="4" t="s">
        <v>1434</v>
      </c>
      <c r="E29" s="4"/>
      <c r="F29" s="4"/>
      <c r="G29" s="4"/>
      <c r="H29" s="31"/>
      <c r="I29" s="31"/>
      <c r="J29" s="31"/>
      <c r="K29" s="31"/>
      <c r="L29" s="31"/>
      <c r="M29" s="31"/>
      <c r="N29" s="31"/>
      <c r="O29" s="29"/>
      <c r="P29" s="29"/>
      <c r="Q29" s="29"/>
      <c r="R29" s="29"/>
      <c r="S29" s="29"/>
      <c r="T29" s="29"/>
      <c r="U29" s="29"/>
      <c r="V29" s="29"/>
      <c r="W29" s="31"/>
      <c r="X29" s="29"/>
      <c r="Y29" s="29"/>
      <c r="Z29" s="29"/>
      <c r="AA29" s="29"/>
      <c r="AB29" s="43"/>
      <c r="AC29" s="29"/>
      <c r="AD29" s="29"/>
      <c r="AE29" s="29"/>
      <c r="AF29" s="29"/>
      <c r="AG29" s="31"/>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f>BI28/BI5</f>
        <v>0.33659638857991003</v>
      </c>
      <c r="BJ29" s="29">
        <f>BJ28/BJ5</f>
        <v>0.32815045770285944</v>
      </c>
      <c r="BK29" s="29"/>
      <c r="BL29" s="29">
        <f>BL28/BL5</f>
        <v>0.34192200557103064</v>
      </c>
      <c r="BM29" s="29">
        <f>BM28/BM5</f>
        <v>0.33939818054583626</v>
      </c>
      <c r="BN29" s="29">
        <f>BN28/BN5</f>
        <v>0.33905579399141633</v>
      </c>
      <c r="BO29" s="29">
        <f>BO28/BO5</f>
        <v>0.3291592128801431</v>
      </c>
      <c r="BP29" s="18"/>
      <c r="BQ29" s="18"/>
      <c r="BR29" s="18"/>
      <c r="BS29" s="18"/>
      <c r="BT29" s="18"/>
      <c r="BZ29" s="6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row>
    <row r="30" spans="3:105">
      <c r="W30" s="16"/>
      <c r="Z30" s="16"/>
      <c r="AA30" s="16"/>
      <c r="AB30" s="16"/>
      <c r="AC30" s="5"/>
      <c r="AD30" s="5"/>
      <c r="AE30" s="5"/>
      <c r="AF30" s="5"/>
      <c r="AG30" s="16"/>
      <c r="AH30" s="9"/>
      <c r="AI30" s="9"/>
      <c r="AJ30" s="9"/>
      <c r="AK30" s="9"/>
      <c r="AM30" s="9"/>
      <c r="AN30" s="5"/>
      <c r="AO30" s="5"/>
      <c r="AP30" s="5"/>
      <c r="AR30" s="5"/>
      <c r="AS30" s="16"/>
      <c r="AT30" s="16"/>
      <c r="AU30" s="16"/>
      <c r="AV30" s="9"/>
      <c r="AW30" s="16"/>
      <c r="AX30" s="5"/>
      <c r="AY30" s="5"/>
      <c r="AZ30" s="5"/>
      <c r="BA30" s="9"/>
      <c r="BB30" s="31"/>
      <c r="BC30" s="9"/>
      <c r="BD30" s="449"/>
      <c r="BE30" s="456"/>
      <c r="BF30" s="610"/>
      <c r="BG30" s="610"/>
      <c r="BH30" s="610"/>
      <c r="BI30" s="610"/>
      <c r="BJ30" s="610"/>
      <c r="BK30" s="610"/>
      <c r="BL30" s="610"/>
      <c r="BM30" s="610"/>
      <c r="BN30" s="610"/>
      <c r="BO30" s="610"/>
      <c r="BP30" s="610"/>
      <c r="BQ30" s="610"/>
      <c r="BR30" s="610"/>
      <c r="BS30" s="610"/>
      <c r="BT30" s="610"/>
    </row>
    <row r="31" spans="3:105">
      <c r="D31" t="s">
        <v>759</v>
      </c>
      <c r="O31" s="9">
        <f>-116.286+59.02</f>
        <v>-57.265999999999998</v>
      </c>
      <c r="P31" s="9">
        <v>-59.26</v>
      </c>
      <c r="Q31" s="9">
        <f>-167.256-P31-O31</f>
        <v>-50.730000000000011</v>
      </c>
      <c r="R31" s="9">
        <v>-51.802999999999997</v>
      </c>
      <c r="S31" s="9">
        <v>-49.43</v>
      </c>
      <c r="T31" s="9">
        <v>-51.890999999999998</v>
      </c>
      <c r="U31" s="9">
        <v>-63.968000000000004</v>
      </c>
      <c r="V31" s="9">
        <v>-86.7</v>
      </c>
      <c r="W31" s="9"/>
      <c r="X31" s="9">
        <v>-78</v>
      </c>
      <c r="Y31" s="9">
        <v>-84.5</v>
      </c>
      <c r="Z31" s="9">
        <v>-86.8</v>
      </c>
      <c r="AA31" s="9">
        <v>-105.42</v>
      </c>
      <c r="AB31" s="9"/>
      <c r="AC31" s="9">
        <v>-111</v>
      </c>
      <c r="AD31" s="9">
        <v>-123.999</v>
      </c>
      <c r="AE31" s="9">
        <v>-135.69200000000001</v>
      </c>
      <c r="AF31" s="9">
        <v>-149</v>
      </c>
      <c r="AG31" s="9"/>
      <c r="AH31" s="9">
        <v>-139.4</v>
      </c>
      <c r="AI31" s="9">
        <v>-149</v>
      </c>
      <c r="AJ31" s="9">
        <v>-162</v>
      </c>
      <c r="AK31" s="9">
        <v>-186</v>
      </c>
      <c r="AL31" s="9"/>
      <c r="AM31" s="9">
        <v>-172.7</v>
      </c>
      <c r="AN31" s="9">
        <v>-168</v>
      </c>
      <c r="AO31" s="9">
        <v>-183.7</v>
      </c>
      <c r="AP31" s="9">
        <v>-167.21299999999999</v>
      </c>
      <c r="AQ31" s="9"/>
      <c r="AR31" s="9">
        <v>-177.7</v>
      </c>
      <c r="AS31" s="9">
        <v>-189.226</v>
      </c>
      <c r="AT31" s="9">
        <v>-187</v>
      </c>
      <c r="AU31" s="9">
        <v>-185</v>
      </c>
      <c r="AV31" s="9"/>
      <c r="AW31" s="9">
        <v>-196</v>
      </c>
      <c r="AX31" s="9">
        <v>-199</v>
      </c>
      <c r="AY31" s="9">
        <v>-206</v>
      </c>
      <c r="AZ31" s="9">
        <v>-210</v>
      </c>
      <c r="BA31" s="9"/>
      <c r="BB31" s="9">
        <v>-223</v>
      </c>
      <c r="BC31" s="9">
        <v>-229</v>
      </c>
      <c r="BD31" s="9">
        <v>-230</v>
      </c>
      <c r="BE31" s="9">
        <v>-252</v>
      </c>
      <c r="BF31" s="16"/>
      <c r="BG31" s="9">
        <v>-250</v>
      </c>
      <c r="BH31" s="9">
        <v>-253</v>
      </c>
      <c r="BI31" s="9">
        <v>-309</v>
      </c>
      <c r="BJ31" s="9">
        <f>-258-89</f>
        <v>-347</v>
      </c>
      <c r="BK31" s="16"/>
      <c r="BL31" s="9">
        <v>-340</v>
      </c>
      <c r="BM31" s="9">
        <f>-337-1</f>
        <v>-338</v>
      </c>
      <c r="BN31" s="9">
        <v>-323</v>
      </c>
      <c r="BO31" s="9">
        <v>-321</v>
      </c>
      <c r="BP31" s="16"/>
      <c r="BQ31" s="9">
        <v>-303</v>
      </c>
      <c r="BR31" s="9">
        <v>-324</v>
      </c>
      <c r="BS31" s="9">
        <v>-325</v>
      </c>
      <c r="BT31" s="31">
        <f>Master!S25+Master!S26-BQ31-BR31-BS31</f>
        <v>-336</v>
      </c>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row>
    <row r="32" spans="3:105">
      <c r="AX32" s="449"/>
      <c r="BC32" s="449"/>
      <c r="BD32" s="449"/>
      <c r="BE32" s="449"/>
    </row>
    <row r="33" spans="1:105">
      <c r="D33" s="4" t="s">
        <v>2266</v>
      </c>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R33" s="9">
        <v>0</v>
      </c>
      <c r="AS33" s="9">
        <v>-7.5</v>
      </c>
      <c r="AT33" s="9">
        <v>0</v>
      </c>
      <c r="AU33" s="9">
        <v>0</v>
      </c>
      <c r="AV33" s="9"/>
      <c r="AW33" s="9">
        <v>0</v>
      </c>
      <c r="AX33" s="9">
        <v>0</v>
      </c>
      <c r="AY33" s="9">
        <v>0</v>
      </c>
      <c r="AZ33" s="9">
        <v>0</v>
      </c>
      <c r="BA33" s="9"/>
      <c r="BB33" s="9">
        <v>0</v>
      </c>
      <c r="BC33" s="9">
        <v>0</v>
      </c>
      <c r="BD33" s="9">
        <v>0</v>
      </c>
      <c r="BE33" s="9">
        <v>0</v>
      </c>
      <c r="BF33" s="9"/>
      <c r="BG33" s="9">
        <v>0</v>
      </c>
      <c r="BH33" s="9">
        <v>-2</v>
      </c>
      <c r="BI33" s="9">
        <v>-1</v>
      </c>
      <c r="BJ33" s="9">
        <v>-16</v>
      </c>
      <c r="BK33" s="9"/>
      <c r="BL33" s="9">
        <v>2</v>
      </c>
      <c r="BM33" s="9">
        <v>0</v>
      </c>
      <c r="BN33" s="9">
        <v>0</v>
      </c>
      <c r="BO33" s="9">
        <v>-57</v>
      </c>
      <c r="BP33" s="9"/>
      <c r="BQ33" s="9">
        <v>0</v>
      </c>
      <c r="BR33" s="9">
        <v>-4</v>
      </c>
      <c r="BS33" s="9">
        <v>0</v>
      </c>
      <c r="BT33" s="945">
        <v>0</v>
      </c>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row>
    <row r="34" spans="1:105">
      <c r="D34" s="4"/>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row>
    <row r="35" spans="1:105">
      <c r="D35" s="4" t="s">
        <v>392</v>
      </c>
      <c r="O35" s="9">
        <v>38.904000000000003</v>
      </c>
      <c r="P35" s="9">
        <v>51.451000000000001</v>
      </c>
      <c r="Q35" s="9">
        <v>45.856000000000002</v>
      </c>
      <c r="R35" s="9">
        <f>R17+R31+R37+R22+R21</f>
        <v>56.717000000000013</v>
      </c>
      <c r="S35" s="9">
        <f>S17+S31+S37+S22+S21</f>
        <v>86.178999999999988</v>
      </c>
      <c r="T35" s="9">
        <f>T17+T31+T37+T22+T21</f>
        <v>94.958999999999989</v>
      </c>
      <c r="U35" s="9">
        <f>U17+U31+U37+U22+U21</f>
        <v>103.88699999999999</v>
      </c>
      <c r="V35" s="9">
        <f>V17+V31+V37+V22+V21</f>
        <v>123.20500000000004</v>
      </c>
      <c r="W35" s="9"/>
      <c r="X35" s="9">
        <f>X17+X31+X37+X22+X21</f>
        <v>155.16499999999999</v>
      </c>
      <c r="Y35" s="9">
        <f>Y17+Y31+Y37+Y22+Y21</f>
        <v>163.51899999999998</v>
      </c>
      <c r="Z35" s="9">
        <f>Z17+Z31+Z37+Z22+Z21</f>
        <v>194.27159999999998</v>
      </c>
      <c r="AA35" s="9">
        <f>AA17+AA31+AA37+AA22+AA21</f>
        <v>156.07999999999998</v>
      </c>
      <c r="AB35" s="9"/>
      <c r="AC35" s="9">
        <f>AC17+AC31+AC37+AC22+AC21</f>
        <v>207.83899999999997</v>
      </c>
      <c r="AD35" s="9">
        <f>AD17+AD31+AD37+AD22+AD21</f>
        <v>206.94800000000001</v>
      </c>
      <c r="AE35" s="9">
        <f>AE17+AE31+AE37+AE22+AE21</f>
        <v>209.41900000000004</v>
      </c>
      <c r="AF35" s="9">
        <f>AF17+AF31+AF37+AF22+AF21</f>
        <v>210</v>
      </c>
      <c r="AG35" s="9"/>
      <c r="AH35" s="9">
        <f>AH17+AH31+AH37+AH22+AH21</f>
        <v>221.107</v>
      </c>
      <c r="AI35" s="9">
        <f>AI17+AI31+AI37+AI22+AI21</f>
        <v>232.40100000000001</v>
      </c>
      <c r="AJ35" s="9">
        <f>AJ17+AJ31+AJ37+AJ22+AJ21</f>
        <v>236.28800000000001</v>
      </c>
      <c r="AK35" s="9">
        <f>AK17+AK31+AK37+AK22+AK21</f>
        <v>243.92299999999994</v>
      </c>
      <c r="AL35" s="9"/>
      <c r="AM35" s="9">
        <f>AM17+AM31+AM37+AM22+AM21</f>
        <v>258.745</v>
      </c>
      <c r="AN35" s="9">
        <f>AN17+AN31+AN37+AN22+AN21</f>
        <v>265.97399999999993</v>
      </c>
      <c r="AO35" s="9">
        <f>AO17+AO31+AO37+AO22+AO21</f>
        <v>276.22399999999993</v>
      </c>
      <c r="AP35" s="9">
        <f>AP17+AP31+AP37+AP22+AP21</f>
        <v>285.40300000000002</v>
      </c>
      <c r="AQ35" s="9"/>
      <c r="AR35" s="9">
        <f>AR17+AR31+AR22+AR21</f>
        <v>306.95600000000002</v>
      </c>
      <c r="AS35" s="9">
        <f>AS17+AS31+AS22+AS21</f>
        <v>300.59199999999998</v>
      </c>
      <c r="AT35" s="9">
        <f>AT17+AT31+AT22+AT21</f>
        <v>315.77800000000002</v>
      </c>
      <c r="AU35" s="9">
        <f>AU17+AU31+AU22+AU21</f>
        <v>316</v>
      </c>
      <c r="AV35" s="9"/>
      <c r="AW35" s="9">
        <f>AW17+AW31+AW22+AW21</f>
        <v>294</v>
      </c>
      <c r="AX35" s="9">
        <f>AX17+AX31+AX22+AX21</f>
        <v>282</v>
      </c>
      <c r="AY35" s="9">
        <f>AY17+AY31+AY22+AY21</f>
        <v>263</v>
      </c>
      <c r="AZ35" s="9">
        <f>AZ17+AZ31+AZ22+AZ21</f>
        <v>271</v>
      </c>
      <c r="BA35" s="9"/>
      <c r="BB35" s="9">
        <f>BB17+BB31+BB22+BB21</f>
        <v>294</v>
      </c>
      <c r="BC35" s="9">
        <f>BC17+BC31+BC22+BC21</f>
        <v>266</v>
      </c>
      <c r="BD35" s="9">
        <f>BD17+BD31+BD22+BD21</f>
        <v>258</v>
      </c>
      <c r="BE35" s="9">
        <f>BE17+BE31+BE22+BE21</f>
        <v>246.00000000000011</v>
      </c>
      <c r="BF35" s="9"/>
      <c r="BG35" s="9">
        <f>BG17+BG31+BG22+BG21+BG33</f>
        <v>227.77433143151484</v>
      </c>
      <c r="BH35" s="9">
        <f>BH17+BH31+BH22+BH21+BH33</f>
        <v>224.45265428494042</v>
      </c>
      <c r="BI35" s="9">
        <f>BI17+BI31+BI22+BI21+BI33</f>
        <v>238.85542620690615</v>
      </c>
      <c r="BJ35" s="9">
        <f>BJ17+BJ31+BJ22+BJ21+BJ33</f>
        <v>224.33615623551214</v>
      </c>
      <c r="BK35" s="9"/>
      <c r="BL35" s="9">
        <f>BL17+BL31+BL22+BL21+BL33</f>
        <v>222.5</v>
      </c>
      <c r="BM35" s="9">
        <f>BM17+BM31+BM22+BM21+BM33</f>
        <v>220</v>
      </c>
      <c r="BN35" s="9">
        <f>BN17+BN31+BN22+BN21+BN33</f>
        <v>222</v>
      </c>
      <c r="BO35" s="9">
        <f>BO26+BO31+BO33</f>
        <v>114</v>
      </c>
      <c r="BP35" s="9"/>
      <c r="BQ35" s="9">
        <f>BQ26+BQ31+BQ33</f>
        <v>237.65200000000004</v>
      </c>
      <c r="BR35" s="9">
        <f>BR26+BR31+BR33</f>
        <v>213.82399999999996</v>
      </c>
      <c r="BS35" s="9">
        <f>BS26+BS31+BS33</f>
        <v>227</v>
      </c>
      <c r="BT35" s="9">
        <f ca="1">BT26+BT31+BT33</f>
        <v>148.68094204518866</v>
      </c>
      <c r="BZ35" s="86"/>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row>
    <row r="36" spans="1:105">
      <c r="D36" s="4"/>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row>
    <row r="37" spans="1:105">
      <c r="D37" s="4" t="s">
        <v>3214</v>
      </c>
      <c r="O37" s="9">
        <v>-23.097999999999999</v>
      </c>
      <c r="P37" s="9">
        <v>-4.9580000000000002</v>
      </c>
      <c r="Q37" s="9">
        <v>-7.1779999999999999</v>
      </c>
      <c r="R37" s="9">
        <v>-16.265000000000001</v>
      </c>
      <c r="S37" s="9">
        <v>3.4119999999999999</v>
      </c>
      <c r="T37" s="9">
        <v>6.157</v>
      </c>
      <c r="U37" s="9">
        <v>0.27</v>
      </c>
      <c r="V37" s="9">
        <v>-5.6619999999999999</v>
      </c>
      <c r="W37" s="9"/>
      <c r="X37" s="9">
        <v>0</v>
      </c>
      <c r="Y37" s="9">
        <v>0</v>
      </c>
      <c r="Z37" s="9">
        <v>0</v>
      </c>
      <c r="AA37" s="9">
        <v>-26.466999999999999</v>
      </c>
      <c r="AB37" s="9"/>
      <c r="AC37" s="9">
        <v>-1</v>
      </c>
      <c r="AD37" s="9">
        <v>-1.3</v>
      </c>
      <c r="AE37" s="9">
        <v>-0.09</v>
      </c>
      <c r="AF37" s="9">
        <v>0</v>
      </c>
      <c r="AG37" s="9"/>
      <c r="AH37" s="9">
        <f>-2.4-AI37</f>
        <v>-1</v>
      </c>
      <c r="AI37" s="9">
        <v>-1.4</v>
      </c>
      <c r="AJ37" s="9">
        <v>-1.2</v>
      </c>
      <c r="AK37" s="9">
        <v>-3.7</v>
      </c>
      <c r="AL37" s="9"/>
      <c r="AM37" s="9">
        <v>-2.6</v>
      </c>
      <c r="AN37" s="9">
        <f>2.3-5</f>
        <v>-2.7</v>
      </c>
      <c r="AO37" s="9">
        <v>2.4</v>
      </c>
      <c r="AP37" s="9">
        <v>-18.399999999999999</v>
      </c>
      <c r="AQ37" s="9"/>
      <c r="AR37" s="9">
        <v>0</v>
      </c>
      <c r="AS37" s="9">
        <v>0</v>
      </c>
      <c r="AT37" s="9">
        <v>5</v>
      </c>
      <c r="AU37" s="9">
        <v>17</v>
      </c>
      <c r="AV37" s="9"/>
      <c r="AW37" s="9">
        <v>1</v>
      </c>
      <c r="AX37" s="9">
        <f>2-10</f>
        <v>-8</v>
      </c>
      <c r="AY37" s="9">
        <v>1</v>
      </c>
      <c r="AZ37" s="9">
        <v>0</v>
      </c>
      <c r="BA37" s="9"/>
      <c r="BB37" s="9">
        <f>23+19</f>
        <v>42</v>
      </c>
      <c r="BC37" s="9">
        <f>-19-3</f>
        <v>-22</v>
      </c>
      <c r="BD37" s="9">
        <v>-105</v>
      </c>
      <c r="BE37" s="9">
        <f>-50-27</f>
        <v>-77</v>
      </c>
      <c r="BF37" s="9"/>
      <c r="BG37" s="9">
        <f>-41+2250</f>
        <v>2209</v>
      </c>
      <c r="BH37" s="9">
        <v>159</v>
      </c>
      <c r="BI37" s="9">
        <v>86</v>
      </c>
      <c r="BJ37" s="9">
        <v>0</v>
      </c>
      <c r="BK37" s="9"/>
      <c r="BL37" s="9">
        <v>-72</v>
      </c>
      <c r="BM37" s="9">
        <v>-94</v>
      </c>
      <c r="BN37" s="9">
        <v>-45</v>
      </c>
      <c r="BO37" s="9">
        <v>-411</v>
      </c>
      <c r="BP37" s="9"/>
      <c r="BQ37" s="9">
        <v>14</v>
      </c>
      <c r="BR37" s="9">
        <v>26</v>
      </c>
      <c r="BS37" s="9">
        <v>1</v>
      </c>
      <c r="BT37" s="945">
        <v>0</v>
      </c>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row>
    <row r="38" spans="1:105">
      <c r="D38" s="4" t="s">
        <v>391</v>
      </c>
      <c r="O38" s="9">
        <v>6.2E-2</v>
      </c>
      <c r="P38" s="9">
        <v>0.33600000000000002</v>
      </c>
      <c r="Q38" s="9">
        <v>5.2999999999999999E-2</v>
      </c>
      <c r="R38" s="9">
        <v>0.84499999999999997</v>
      </c>
      <c r="S38" s="9">
        <v>0.26200000000000001</v>
      </c>
      <c r="T38" s="9">
        <v>0.39300000000000002</v>
      </c>
      <c r="U38" s="9">
        <v>0.317</v>
      </c>
      <c r="V38" s="9">
        <v>0.51100000000000001</v>
      </c>
      <c r="W38" s="9"/>
      <c r="X38" s="9">
        <v>0.65200000000000002</v>
      </c>
      <c r="Y38" s="9">
        <v>1.129</v>
      </c>
      <c r="Z38" s="9">
        <v>1.2</v>
      </c>
      <c r="AA38" s="9">
        <v>1.149</v>
      </c>
      <c r="AB38" s="9"/>
      <c r="AC38" s="9">
        <v>1.9</v>
      </c>
      <c r="AD38" s="9">
        <v>2.2679999999999998</v>
      </c>
      <c r="AE38" s="9">
        <v>2.6429999999999998</v>
      </c>
      <c r="AF38" s="9">
        <v>2</v>
      </c>
      <c r="AG38" s="9"/>
      <c r="AH38" s="9">
        <v>2</v>
      </c>
      <c r="AI38" s="9">
        <v>0</v>
      </c>
      <c r="AJ38" s="9">
        <v>0</v>
      </c>
      <c r="AK38" s="9">
        <v>0</v>
      </c>
      <c r="AL38" s="9"/>
      <c r="AM38" s="9">
        <v>0</v>
      </c>
      <c r="AN38" s="9">
        <v>0</v>
      </c>
      <c r="AO38" s="9">
        <v>0</v>
      </c>
      <c r="AP38" s="9">
        <v>0</v>
      </c>
      <c r="AQ38" s="9"/>
      <c r="AR38" s="9"/>
      <c r="AS38" s="9"/>
      <c r="AT38" s="9"/>
      <c r="AU38" s="9"/>
      <c r="AV38" s="9"/>
      <c r="AW38" s="9"/>
      <c r="AX38" s="9"/>
      <c r="AY38" s="9"/>
      <c r="AZ38" s="9"/>
      <c r="BA38" s="9"/>
      <c r="BB38" s="9">
        <f>-9+1</f>
        <v>-8</v>
      </c>
      <c r="BC38" s="9">
        <f>-11+2</f>
        <v>-9</v>
      </c>
      <c r="BD38" s="9">
        <f>-9+2</f>
        <v>-7</v>
      </c>
      <c r="BE38" s="9">
        <f>14+3</f>
        <v>17</v>
      </c>
      <c r="BF38" s="9"/>
      <c r="BG38" s="9">
        <v>-12</v>
      </c>
      <c r="BH38" s="9">
        <v>16</v>
      </c>
      <c r="BI38" s="9">
        <v>22</v>
      </c>
      <c r="BJ38" s="9">
        <v>7</v>
      </c>
      <c r="BK38" s="9"/>
      <c r="BL38" s="9">
        <v>-13</v>
      </c>
      <c r="BM38" s="9">
        <v>-12</v>
      </c>
      <c r="BN38" s="9">
        <v>-11</v>
      </c>
      <c r="BO38" s="9">
        <v>136</v>
      </c>
      <c r="BP38" s="9"/>
      <c r="BQ38" s="9">
        <v>-11</v>
      </c>
      <c r="BR38" s="9">
        <v>20</v>
      </c>
      <c r="BS38" s="9">
        <v>0</v>
      </c>
      <c r="BT38" s="9">
        <f>Master!S28-BQ38-BR38-BS38</f>
        <v>-58</v>
      </c>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row>
    <row r="39" spans="1:105">
      <c r="D39" s="4" t="s">
        <v>2262</v>
      </c>
      <c r="O39" s="9">
        <v>0.222</v>
      </c>
      <c r="P39" s="9">
        <v>1.3029999999999999</v>
      </c>
      <c r="Q39" s="9">
        <v>0.41899999999999998</v>
      </c>
      <c r="R39" s="9">
        <v>0.49299999999999999</v>
      </c>
      <c r="S39" s="9">
        <v>0.98899999999999999</v>
      </c>
      <c r="T39" s="9">
        <v>4.4779999999999998</v>
      </c>
      <c r="U39" s="9">
        <v>-4.7</v>
      </c>
      <c r="V39" s="9">
        <v>2.2629999999999999</v>
      </c>
      <c r="W39" s="9"/>
      <c r="X39" s="9">
        <v>-0.128</v>
      </c>
      <c r="Y39" s="9">
        <v>-0.128</v>
      </c>
      <c r="Z39" s="9">
        <v>-7.1999999999999995E-2</v>
      </c>
      <c r="AA39" s="9">
        <v>0</v>
      </c>
      <c r="AB39" s="9"/>
      <c r="AC39" s="9">
        <v>10.4</v>
      </c>
      <c r="AD39" s="9">
        <v>-1.7</v>
      </c>
      <c r="AE39" s="9">
        <v>-28.6</v>
      </c>
      <c r="AF39" s="9">
        <v>-7</v>
      </c>
      <c r="AG39" s="9"/>
      <c r="AH39" s="9">
        <f>-7.3-AI39</f>
        <v>-9.9999999999999645E-2</v>
      </c>
      <c r="AI39" s="9">
        <v>-7.2</v>
      </c>
      <c r="AJ39" s="9">
        <v>9.1999999999999993</v>
      </c>
      <c r="AK39" s="9">
        <v>-3.7</v>
      </c>
      <c r="AL39" s="9"/>
      <c r="AM39" s="9">
        <v>4.9000000000000004</v>
      </c>
      <c r="AN39" s="9">
        <v>-35</v>
      </c>
      <c r="AO39" s="9">
        <v>1060.0139999999999</v>
      </c>
      <c r="AP39" s="9"/>
      <c r="AQ39" s="9"/>
      <c r="AR39" s="9">
        <f>11.354-AS39</f>
        <v>14.593</v>
      </c>
      <c r="AS39" s="9">
        <f>0.828-4.067</f>
        <v>-3.2390000000000003</v>
      </c>
      <c r="AT39" s="9">
        <v>-31</v>
      </c>
      <c r="AU39" s="9"/>
      <c r="AV39" s="9"/>
      <c r="AW39" s="9">
        <v>-52</v>
      </c>
      <c r="AX39" s="9">
        <v>67</v>
      </c>
      <c r="AY39" s="9">
        <v>0</v>
      </c>
      <c r="AZ39" s="9"/>
      <c r="BA39" s="9"/>
      <c r="BB39" s="9"/>
      <c r="BC39" s="9"/>
      <c r="BD39" s="9"/>
      <c r="BE39" s="9"/>
      <c r="BF39" s="9"/>
      <c r="BG39" s="9"/>
      <c r="BH39" s="9"/>
      <c r="BI39" s="9"/>
      <c r="BJ39" s="9">
        <v>29</v>
      </c>
      <c r="BK39" s="9"/>
      <c r="BL39" s="9"/>
      <c r="BM39" s="9"/>
      <c r="BN39" s="9"/>
      <c r="BO39" s="9"/>
      <c r="BP39" s="9"/>
      <c r="BQ39" s="9"/>
      <c r="BR39" s="9"/>
      <c r="BS39" s="9"/>
      <c r="BT39" s="9"/>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row>
    <row r="40" spans="1:105">
      <c r="D40" s="4"/>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row>
    <row r="41" spans="1:105">
      <c r="A41" t="s">
        <v>1823</v>
      </c>
      <c r="D41" s="4" t="s">
        <v>2263</v>
      </c>
      <c r="O41" s="9">
        <v>-55.512</v>
      </c>
      <c r="P41" s="9">
        <v>-43.290999999999997</v>
      </c>
      <c r="Q41" s="9">
        <v>21.446000000000002</v>
      </c>
      <c r="R41" s="9">
        <v>14.000999999999999</v>
      </c>
      <c r="S41" s="9">
        <v>30.091999999999999</v>
      </c>
      <c r="T41" s="9">
        <v>-46.921999999999997</v>
      </c>
      <c r="U41" s="9">
        <v>-19.600000000000001</v>
      </c>
      <c r="V41" s="9">
        <v>0</v>
      </c>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row>
    <row r="42" spans="1:105">
      <c r="D42" s="4" t="s">
        <v>2264</v>
      </c>
      <c r="O42" s="9">
        <v>26.225000000000001</v>
      </c>
      <c r="P42" s="9">
        <v>8.3520000000000003</v>
      </c>
      <c r="Q42" s="9">
        <v>-18.044</v>
      </c>
      <c r="R42" s="9">
        <v>-21.83</v>
      </c>
      <c r="S42" s="9">
        <v>-16.524999999999999</v>
      </c>
      <c r="T42" s="9">
        <v>59.515000000000001</v>
      </c>
      <c r="U42" s="9">
        <v>22.3</v>
      </c>
      <c r="V42" s="9">
        <v>0</v>
      </c>
      <c r="W42" s="9"/>
      <c r="X42" s="9"/>
      <c r="Y42" s="9"/>
      <c r="Z42" s="9"/>
      <c r="AA42" s="9"/>
      <c r="AB42" s="9"/>
      <c r="AC42" s="9"/>
      <c r="AD42" s="9"/>
      <c r="AE42" s="9"/>
      <c r="AF42" s="9"/>
      <c r="AG42" s="9"/>
      <c r="AH42" s="9"/>
      <c r="AI42" s="9"/>
      <c r="AJ42" s="9"/>
      <c r="AK42" s="9"/>
      <c r="AL42" s="9"/>
      <c r="AM42" s="9"/>
      <c r="AN42" s="9"/>
      <c r="AO42" s="9"/>
      <c r="AP42" s="9"/>
      <c r="AQ42" s="9"/>
      <c r="AR42" s="9"/>
      <c r="AS42" s="9"/>
      <c r="AT42" s="5"/>
      <c r="AU42" s="9"/>
      <c r="AV42" s="9"/>
      <c r="AW42" s="9"/>
      <c r="AX42" s="9"/>
      <c r="AY42" s="5"/>
      <c r="AZ42" s="5"/>
      <c r="BA42" s="9"/>
      <c r="BB42" s="9"/>
      <c r="BC42" s="9"/>
      <c r="BD42" s="9"/>
      <c r="BE42" s="9"/>
      <c r="BF42" s="9"/>
      <c r="BG42" s="9"/>
      <c r="BH42" s="9"/>
      <c r="BI42" s="9"/>
      <c r="BJ42" s="9"/>
      <c r="BK42" s="9"/>
      <c r="BL42" s="9"/>
      <c r="BM42" s="9"/>
      <c r="BN42" s="9"/>
      <c r="BO42" s="9"/>
      <c r="BP42" s="9"/>
      <c r="BQ42" s="9"/>
      <c r="BR42" s="9"/>
      <c r="BS42" s="9"/>
      <c r="BT42" s="9"/>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row>
    <row r="43" spans="1:105">
      <c r="D43" s="12" t="s">
        <v>2267</v>
      </c>
      <c r="E43" s="11"/>
      <c r="F43" s="11"/>
      <c r="G43" s="11"/>
      <c r="H43" s="11"/>
      <c r="I43" s="11"/>
      <c r="J43" s="11"/>
      <c r="K43" s="11"/>
      <c r="L43" s="11"/>
      <c r="M43" s="11"/>
      <c r="N43" s="11"/>
      <c r="O43" s="13">
        <v>19.693000000000001</v>
      </c>
      <c r="P43" s="13">
        <v>30.661999999999999</v>
      </c>
      <c r="Q43" s="13">
        <v>-4.2370000000000001</v>
      </c>
      <c r="R43" s="13">
        <v>6.3330000000000002</v>
      </c>
      <c r="S43" s="13">
        <v>-8.2929999999999993</v>
      </c>
      <c r="T43" s="13">
        <v>-24.251000000000001</v>
      </c>
      <c r="U43" s="13">
        <v>-4.7</v>
      </c>
      <c r="V43" s="13">
        <v>2.198</v>
      </c>
      <c r="W43" s="9"/>
      <c r="X43" s="13"/>
      <c r="Y43" s="13"/>
      <c r="Z43" s="13"/>
      <c r="AA43" s="13"/>
      <c r="AB43" s="9"/>
      <c r="AC43" s="13"/>
      <c r="AD43" s="13"/>
      <c r="AE43" s="13"/>
      <c r="AF43" s="13"/>
      <c r="AG43" s="9"/>
      <c r="AH43" s="13"/>
      <c r="AI43" s="13"/>
      <c r="AJ43" s="13"/>
      <c r="AK43" s="13"/>
      <c r="AL43" s="9"/>
      <c r="AM43" s="13"/>
      <c r="AN43" s="13"/>
      <c r="AO43" s="13"/>
      <c r="AP43" s="13"/>
      <c r="AQ43" s="9"/>
      <c r="AR43" s="13"/>
      <c r="AS43" s="13"/>
      <c r="AT43" s="13"/>
      <c r="AU43" s="13"/>
      <c r="AV43" s="9"/>
      <c r="AW43" s="13"/>
      <c r="AX43" s="13"/>
      <c r="AY43" s="13"/>
      <c r="AZ43" s="13"/>
      <c r="BA43" s="9"/>
      <c r="BB43" s="13"/>
      <c r="BC43" s="13"/>
      <c r="BD43" s="13"/>
      <c r="BE43" s="13"/>
      <c r="BF43" s="9"/>
      <c r="BG43" s="13"/>
      <c r="BH43" s="13"/>
      <c r="BI43" s="13"/>
      <c r="BJ43" s="13"/>
      <c r="BK43" s="9"/>
      <c r="BL43" s="9"/>
      <c r="BM43" s="9"/>
      <c r="BN43" s="9"/>
      <c r="BO43" s="9"/>
      <c r="BP43" s="9"/>
      <c r="BQ43" s="9"/>
      <c r="BR43" s="9"/>
      <c r="BS43" s="9"/>
      <c r="BT43" s="9"/>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row>
    <row r="44" spans="1:105">
      <c r="D44" s="4" t="s">
        <v>1540</v>
      </c>
      <c r="O44" s="9">
        <f t="shared" ref="O44:U44" si="6">SUM(O41:O43)</f>
        <v>-9.5939999999999976</v>
      </c>
      <c r="P44" s="9">
        <f t="shared" si="6"/>
        <v>-4.2769999999999939</v>
      </c>
      <c r="Q44" s="9">
        <f t="shared" si="6"/>
        <v>-0.83499999999999908</v>
      </c>
      <c r="R44" s="9">
        <f t="shared" si="6"/>
        <v>-1.4959999999999987</v>
      </c>
      <c r="S44" s="9">
        <f t="shared" si="6"/>
        <v>5.2740000000000009</v>
      </c>
      <c r="T44" s="9">
        <f t="shared" si="6"/>
        <v>-11.657999999999998</v>
      </c>
      <c r="U44" s="9">
        <f t="shared" si="6"/>
        <v>-2.0000000000000009</v>
      </c>
      <c r="V44" s="9">
        <f>SUM(V41:V43)</f>
        <v>2.198</v>
      </c>
      <c r="W44" s="9"/>
      <c r="X44" s="9">
        <v>0.54400000000000004</v>
      </c>
      <c r="Y44" s="9">
        <v>-0.50600000000000001</v>
      </c>
      <c r="Z44" s="9">
        <v>9.7000000000000003E-2</v>
      </c>
      <c r="AA44" s="9">
        <v>9.8350000000000009</v>
      </c>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row>
    <row r="45" spans="1:105">
      <c r="D45" s="4"/>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row>
    <row r="46" spans="1:105">
      <c r="D46" s="4" t="s">
        <v>393</v>
      </c>
      <c r="O46" s="9">
        <f>-33.287+4.919</f>
        <v>-28.367999999999999</v>
      </c>
      <c r="P46" s="9">
        <f>-35.25+5.82</f>
        <v>-29.43</v>
      </c>
      <c r="Q46" s="9">
        <f>-37.709+5.728</f>
        <v>-31.981000000000002</v>
      </c>
      <c r="R46" s="9">
        <f>-37.509+14.175</f>
        <v>-23.334</v>
      </c>
      <c r="S46" s="9">
        <f>-38.091+6.964</f>
        <v>-31.127000000000002</v>
      </c>
      <c r="T46" s="9">
        <f>-37.57+6.086</f>
        <v>-31.484000000000002</v>
      </c>
      <c r="U46" s="9">
        <f>-30+6.6</f>
        <v>-23.4</v>
      </c>
      <c r="V46" s="9">
        <f>-44.285+15.054</f>
        <v>-29.230999999999995</v>
      </c>
      <c r="W46" s="9"/>
      <c r="X46" s="9">
        <f>-39.139+12.385</f>
        <v>-26.754000000000005</v>
      </c>
      <c r="Y46" s="9">
        <f>-40.265+13.305</f>
        <v>-26.96</v>
      </c>
      <c r="Z46" s="9">
        <f>-42.547+16.316</f>
        <v>-26.230999999999998</v>
      </c>
      <c r="AA46" s="9">
        <f>-72.489+14.378</f>
        <v>-58.111000000000004</v>
      </c>
      <c r="AB46" s="9"/>
      <c r="AC46" s="9">
        <f>-43.9+11.4</f>
        <v>-32.5</v>
      </c>
      <c r="AD46" s="9">
        <f>-42.157+8.162</f>
        <v>-33.994999999999997</v>
      </c>
      <c r="AE46" s="9">
        <f>-14.2+6.4</f>
        <v>-7.7999999999999989</v>
      </c>
      <c r="AF46" s="9">
        <f>-50+7</f>
        <v>-43</v>
      </c>
      <c r="AG46" s="9"/>
      <c r="AH46" s="9">
        <f>-41.5+3</f>
        <v>-38.5</v>
      </c>
      <c r="AI46" s="9">
        <f>-46.4+3.5</f>
        <v>-42.9</v>
      </c>
      <c r="AJ46" s="9">
        <f>-44.6+1.7</f>
        <v>-42.9</v>
      </c>
      <c r="AK46" s="9">
        <f>-47.5+3.6</f>
        <v>-43.9</v>
      </c>
      <c r="AL46" s="9"/>
      <c r="AM46" s="9">
        <f>-44.8+2.3</f>
        <v>-42.5</v>
      </c>
      <c r="AN46" s="9">
        <f>-48.9+2.8</f>
        <v>-46.1</v>
      </c>
      <c r="AO46" s="9">
        <f>-61.8+3.4</f>
        <v>-58.4</v>
      </c>
      <c r="AP46" s="9">
        <f>-63+6.217</f>
        <v>-56.783000000000001</v>
      </c>
      <c r="AQ46" s="9"/>
      <c r="AR46" s="9">
        <f>-91.039+7.22-AS46</f>
        <v>-44.639000000000003</v>
      </c>
      <c r="AS46" s="9">
        <f>-41.98+2.8</f>
        <v>-39.18</v>
      </c>
      <c r="AT46" s="9">
        <f>-47.8+4.8</f>
        <v>-43</v>
      </c>
      <c r="AU46" s="9">
        <f>-48+3</f>
        <v>-45</v>
      </c>
      <c r="AV46" s="9"/>
      <c r="AW46" s="9">
        <f>-47+4</f>
        <v>-43</v>
      </c>
      <c r="AX46" s="9">
        <f>-54+2</f>
        <v>-52</v>
      </c>
      <c r="AY46" s="9">
        <f>-56+2</f>
        <v>-54</v>
      </c>
      <c r="AZ46" s="9">
        <f>Master!O40-AW46-AX46-AY46</f>
        <v>-57</v>
      </c>
      <c r="BA46" s="9"/>
      <c r="BB46" s="9">
        <v>-65</v>
      </c>
      <c r="BC46" s="9">
        <v>-59</v>
      </c>
      <c r="BD46" s="9">
        <v>-68</v>
      </c>
      <c r="BE46" s="9">
        <v>-66</v>
      </c>
      <c r="BF46" s="9"/>
      <c r="BG46" s="9">
        <f>-104+1</f>
        <v>-103</v>
      </c>
      <c r="BH46" s="9">
        <v>-89</v>
      </c>
      <c r="BI46" s="9">
        <v>-101</v>
      </c>
      <c r="BJ46" s="9">
        <v>-111</v>
      </c>
      <c r="BK46" s="9"/>
      <c r="BL46" s="9">
        <v>-121</v>
      </c>
      <c r="BM46" s="9">
        <f>-97+8</f>
        <v>-89</v>
      </c>
      <c r="BN46" s="9">
        <v>-107</v>
      </c>
      <c r="BO46" s="9">
        <v>-103</v>
      </c>
      <c r="BP46" s="9"/>
      <c r="BQ46" s="9">
        <v>-107</v>
      </c>
      <c r="BR46" s="9">
        <v>-123</v>
      </c>
      <c r="BS46" s="9">
        <v>-112</v>
      </c>
      <c r="BT46" s="9">
        <f>Master!S40-BQ46-BR46-BS46</f>
        <v>-130</v>
      </c>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row>
    <row r="47" spans="1:105">
      <c r="D47" s="137" t="s">
        <v>3207</v>
      </c>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v>-21</v>
      </c>
      <c r="BH47" s="9">
        <v>0</v>
      </c>
      <c r="BI47" s="9">
        <v>0</v>
      </c>
      <c r="BJ47" s="9">
        <v>0</v>
      </c>
      <c r="BK47" s="9"/>
      <c r="BL47" s="9">
        <v>-17</v>
      </c>
      <c r="BM47" s="9">
        <v>0</v>
      </c>
      <c r="BN47" s="9">
        <v>-6</v>
      </c>
      <c r="BO47" s="9">
        <v>0</v>
      </c>
      <c r="BP47" s="9"/>
      <c r="BQ47" s="9">
        <v>0</v>
      </c>
      <c r="BR47" s="9">
        <v>-5</v>
      </c>
      <c r="BS47" s="9">
        <v>0</v>
      </c>
      <c r="BT47" s="945">
        <v>0</v>
      </c>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row>
    <row r="48" spans="1:105">
      <c r="D48" s="137" t="s">
        <v>3545</v>
      </c>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f>BG46-BG47</f>
        <v>-82</v>
      </c>
      <c r="BH48" s="9">
        <f>BH46-BH47</f>
        <v>-89</v>
      </c>
      <c r="BI48" s="9">
        <f>BI46-BI47</f>
        <v>-101</v>
      </c>
      <c r="BJ48" s="9">
        <f>BJ46-BJ47</f>
        <v>-111</v>
      </c>
      <c r="BK48" s="9"/>
      <c r="BL48" s="9">
        <f>BL46-BL47</f>
        <v>-104</v>
      </c>
      <c r="BM48" s="9">
        <f>BM46-BM47</f>
        <v>-89</v>
      </c>
      <c r="BN48" s="9">
        <f>BN46-BN47</f>
        <v>-101</v>
      </c>
      <c r="BO48" s="9">
        <f>BO46-BO47</f>
        <v>-103</v>
      </c>
      <c r="BP48" s="9"/>
      <c r="BQ48" s="9">
        <f>BQ46-BQ47</f>
        <v>-107</v>
      </c>
      <c r="BR48" s="9">
        <f>BR46-BR47</f>
        <v>-118</v>
      </c>
      <c r="BS48" s="9">
        <f>BS46-BS47</f>
        <v>-112</v>
      </c>
      <c r="BT48" s="9">
        <f>BT46-BT47</f>
        <v>-130</v>
      </c>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row>
    <row r="49" spans="2:105">
      <c r="D49" s="4"/>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Z49" s="86"/>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row>
    <row r="50" spans="2:105">
      <c r="D50" s="4" t="s">
        <v>394</v>
      </c>
      <c r="O50" s="9">
        <f t="shared" ref="O50:V50" si="7">O35+SUM(O38:O39)+O44+O46</f>
        <v>1.2260000000000062</v>
      </c>
      <c r="P50" s="9">
        <f t="shared" si="7"/>
        <v>19.38300000000001</v>
      </c>
      <c r="Q50" s="9">
        <f t="shared" si="7"/>
        <v>13.512</v>
      </c>
      <c r="R50" s="9">
        <f t="shared" si="7"/>
        <v>33.225000000000009</v>
      </c>
      <c r="S50" s="9">
        <f t="shared" si="7"/>
        <v>61.576999999999991</v>
      </c>
      <c r="T50" s="9">
        <f t="shared" si="7"/>
        <v>56.687999999999981</v>
      </c>
      <c r="U50" s="9">
        <f t="shared" si="7"/>
        <v>74.103999999999985</v>
      </c>
      <c r="V50" s="9">
        <f t="shared" si="7"/>
        <v>98.946000000000055</v>
      </c>
      <c r="W50" s="9"/>
      <c r="X50" s="9">
        <f>X35+SUM(X38:X39)+X44+X46</f>
        <v>129.47899999999998</v>
      </c>
      <c r="Y50" s="9">
        <f>Y35+SUM(Y38:Y39)+Y44+Y46</f>
        <v>137.05399999999997</v>
      </c>
      <c r="Z50" s="9">
        <f>Z35+SUM(Z38:Z39)+Z44+Z46</f>
        <v>169.26559999999998</v>
      </c>
      <c r="AA50" s="9">
        <f>AA35+SUM(AA38:AA39)+AA44+AA46</f>
        <v>108.95299999999999</v>
      </c>
      <c r="AB50" s="9"/>
      <c r="AC50" s="9">
        <f>AC35+SUM(AC38:AC39)+AC44+AC46</f>
        <v>187.63899999999998</v>
      </c>
      <c r="AD50" s="9">
        <f>AD35+SUM(AD38:AD39)+AD44+AD46</f>
        <v>173.52100000000002</v>
      </c>
      <c r="AE50" s="9">
        <f>AE35+SUM(AE38:AE39)+AE44+AE46</f>
        <v>175.66200000000003</v>
      </c>
      <c r="AF50" s="9">
        <f>AF35+SUM(AF38:AF39)+AF44+AF46</f>
        <v>162</v>
      </c>
      <c r="AG50" s="9"/>
      <c r="AH50" s="9">
        <f>AH35+SUM(AH38:AH39)+AH44+AH46</f>
        <v>184.50700000000001</v>
      </c>
      <c r="AI50" s="9">
        <f>AI35+SUM(AI38:AI39)+AI44+AI46</f>
        <v>182.30100000000002</v>
      </c>
      <c r="AJ50" s="9">
        <f>AJ35+SUM(AJ38:AJ39)+AJ44+AJ46</f>
        <v>202.58799999999999</v>
      </c>
      <c r="AK50" s="9">
        <f>AK35+SUM(AK38:AK39)+AK44+AK46</f>
        <v>196.32299999999995</v>
      </c>
      <c r="AL50" s="9"/>
      <c r="AM50" s="9">
        <f>AM35+SUM(AM38:AM39)+AM44+AM46</f>
        <v>221.14499999999998</v>
      </c>
      <c r="AN50" s="9">
        <f>AN35+SUM(AN38:AN39)+AN44+AN46</f>
        <v>184.87399999999994</v>
      </c>
      <c r="AO50" s="9">
        <f>AO35+SUM(AO38:AO39)+AO44+AO46</f>
        <v>1277.8379999999997</v>
      </c>
      <c r="AP50" s="9">
        <f>AP35+SUM(AP38:AP39)+AP44+AP46</f>
        <v>228.62</v>
      </c>
      <c r="AQ50" s="91">
        <v>239</v>
      </c>
      <c r="AR50" s="9">
        <f>AR35+SUM(AR37:AR39)+AR44+AR46</f>
        <v>276.91000000000003</v>
      </c>
      <c r="AS50" s="9">
        <f>AS35+SUM(AS37:AS39)+AS44+AS46</f>
        <v>258.173</v>
      </c>
      <c r="AT50" s="9">
        <f>AT35+SUM(AT37:AT39)+AT44+AT46</f>
        <v>246.77800000000002</v>
      </c>
      <c r="AU50" s="9">
        <f>AU35+SUM(AU37:AU39)+AU44+AU46</f>
        <v>288</v>
      </c>
      <c r="AV50" s="9"/>
      <c r="AW50" s="9">
        <f>AW35+SUM(AW37:AW39)+AW44+AW46</f>
        <v>200</v>
      </c>
      <c r="AX50" s="9">
        <f>AX35+SUM(AX37:AX39)+AX44+AX46</f>
        <v>289</v>
      </c>
      <c r="AY50" s="9">
        <f>AY35+SUM(AY37:AY39)+AY44+AY46</f>
        <v>210</v>
      </c>
      <c r="AZ50" s="9">
        <f>AZ35+SUM(AZ37:AZ39)+AZ44+AZ46</f>
        <v>214</v>
      </c>
      <c r="BA50" s="9"/>
      <c r="BB50" s="9">
        <f>BB35+SUM(BB37:BB39)+BB44+BB46</f>
        <v>263</v>
      </c>
      <c r="BC50" s="9">
        <f>BC35+SUM(BC37:BC39)+BC44+BC46</f>
        <v>176</v>
      </c>
      <c r="BD50" s="9">
        <f>BD35+SUM(BD37:BD39)+BD44+BD46</f>
        <v>78</v>
      </c>
      <c r="BE50" s="9">
        <f>BE35+SUM(BE37:BE39)+BE44+BE46</f>
        <v>120.00000000000011</v>
      </c>
      <c r="BF50" s="9"/>
      <c r="BG50" s="9">
        <f>BG35+SUM(BG37:BG39)+BG44+BG46</f>
        <v>2321.7743314315148</v>
      </c>
      <c r="BH50" s="9">
        <f>BH35+SUM(BH37:BH39)+BH44+BH46</f>
        <v>310.45265428494042</v>
      </c>
      <c r="BI50" s="9">
        <f>BI35+SUM(BI37:BI39)+BI44+BI46</f>
        <v>245.85542620690615</v>
      </c>
      <c r="BJ50" s="9">
        <f>BJ35+SUM(BJ37:BJ39)+BJ44+BJ46</f>
        <v>149.33615623551214</v>
      </c>
      <c r="BK50" s="9"/>
      <c r="BL50" s="9">
        <f>BL35+SUM(BL37:BL39)+BL44+BL46</f>
        <v>16.5</v>
      </c>
      <c r="BM50" s="9">
        <f>BM35+SUM(BM37:BM39)+BM44+BM46</f>
        <v>25</v>
      </c>
      <c r="BN50" s="9">
        <f>BN35+SUM(BN37:BN39)+BN44+BN46</f>
        <v>59</v>
      </c>
      <c r="BO50" s="9">
        <f>BO35+SUM(BO37:BO39)+BO44+BO46</f>
        <v>-264</v>
      </c>
      <c r="BP50" s="9"/>
      <c r="BQ50" s="9">
        <f>BQ35+SUM(BQ37:BQ39)+BQ44+BQ46</f>
        <v>133.65200000000004</v>
      </c>
      <c r="BR50" s="9">
        <f>BR35+SUM(BR37:BR39)+BR44+BR46</f>
        <v>136.82399999999996</v>
      </c>
      <c r="BS50" s="9">
        <f>BS35+SUM(BS37:BS39)+BS44+BS46</f>
        <v>116</v>
      </c>
      <c r="BT50" s="9">
        <f ca="1">BT35+SUM(BT37:BT39)+BT44+BT46</f>
        <v>-39.319057954811342</v>
      </c>
      <c r="BZ50" s="86"/>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row>
    <row r="51" spans="2:105">
      <c r="D51" s="32"/>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row>
    <row r="52" spans="2:105">
      <c r="D52" s="4" t="s">
        <v>395</v>
      </c>
      <c r="O52" s="9">
        <v>-11.968</v>
      </c>
      <c r="P52" s="9">
        <v>-14.711</v>
      </c>
      <c r="Q52" s="9">
        <v>-17.84</v>
      </c>
      <c r="R52" s="9">
        <v>-20.812000000000001</v>
      </c>
      <c r="S52" s="9">
        <v>-26.824000000000002</v>
      </c>
      <c r="T52" s="9">
        <v>-22.193000000000001</v>
      </c>
      <c r="U52" s="9">
        <v>-26.7</v>
      </c>
      <c r="V52" s="9">
        <v>-41.651000000000003</v>
      </c>
      <c r="W52" s="9"/>
      <c r="X52" s="9">
        <v>-47.33</v>
      </c>
      <c r="Y52" s="9">
        <v>-39.9</v>
      </c>
      <c r="Z52" s="9">
        <v>-34.6</v>
      </c>
      <c r="AA52" s="9">
        <v>35.183999999999997</v>
      </c>
      <c r="AB52" s="9"/>
      <c r="AC52" s="9">
        <v>-41.9</v>
      </c>
      <c r="AD52" s="9">
        <v>-64.742000000000004</v>
      </c>
      <c r="AE52" s="9">
        <v>-30.5</v>
      </c>
      <c r="AF52" s="9">
        <v>-140</v>
      </c>
      <c r="AG52" s="9"/>
      <c r="AH52" s="9">
        <v>-47.2</v>
      </c>
      <c r="AI52" s="9">
        <v>-58.3</v>
      </c>
      <c r="AJ52" s="9">
        <v>-56.6</v>
      </c>
      <c r="AK52" s="9">
        <v>-50</v>
      </c>
      <c r="AL52" s="9"/>
      <c r="AM52" s="9">
        <v>-65.900000000000006</v>
      </c>
      <c r="AN52" s="9">
        <v>-64</v>
      </c>
      <c r="AO52" s="9">
        <v>-59.777000000000001</v>
      </c>
      <c r="AP52" s="9">
        <v>-52.152999999999999</v>
      </c>
      <c r="AQ52" s="9"/>
      <c r="AR52" s="9">
        <f>-139.478-AS52</f>
        <v>-81.981999999999999</v>
      </c>
      <c r="AS52" s="9">
        <v>-57.496000000000002</v>
      </c>
      <c r="AT52" s="519">
        <f>166</f>
        <v>166</v>
      </c>
      <c r="AU52" s="9"/>
      <c r="AV52" s="9"/>
      <c r="AW52" s="9">
        <v>-91</v>
      </c>
      <c r="AX52" s="9">
        <v>-85</v>
      </c>
      <c r="AY52" s="9">
        <v>-61</v>
      </c>
      <c r="AZ52" s="9">
        <v>-156</v>
      </c>
      <c r="BA52" s="9"/>
      <c r="BB52" s="9">
        <v>-74</v>
      </c>
      <c r="BC52" s="9">
        <v>-68</v>
      </c>
      <c r="BD52" s="9">
        <v>-60</v>
      </c>
      <c r="BE52" s="9">
        <v>-5</v>
      </c>
      <c r="BF52" s="9"/>
      <c r="BG52" s="9">
        <v>-71</v>
      </c>
      <c r="BH52" s="9">
        <v>-67</v>
      </c>
      <c r="BI52" s="9">
        <v>-30</v>
      </c>
      <c r="BJ52" s="9">
        <v>-88</v>
      </c>
      <c r="BK52" s="9"/>
      <c r="BL52" s="9">
        <v>-39</v>
      </c>
      <c r="BM52" s="9">
        <v>-91</v>
      </c>
      <c r="BN52" s="9">
        <v>-39</v>
      </c>
      <c r="BO52" s="9">
        <v>-123</v>
      </c>
      <c r="BP52" s="9"/>
      <c r="BQ52" s="9">
        <v>-62</v>
      </c>
      <c r="BR52" s="9">
        <v>-71</v>
      </c>
      <c r="BS52" s="9">
        <v>-53</v>
      </c>
      <c r="BT52" s="9">
        <f>Master!S44-BQ52-BR52-BS52</f>
        <v>-65</v>
      </c>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c r="CX52" s="176"/>
      <c r="CY52" s="176"/>
      <c r="CZ52" s="176"/>
      <c r="DA52" s="176"/>
    </row>
    <row r="53" spans="2:105">
      <c r="D53" s="137" t="s">
        <v>3207</v>
      </c>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v>-102</v>
      </c>
      <c r="BA53" s="9"/>
      <c r="BB53" s="9">
        <v>-16</v>
      </c>
      <c r="BC53" s="9">
        <v>-11</v>
      </c>
      <c r="BD53" s="9">
        <v>-6</v>
      </c>
      <c r="BE53" s="9">
        <v>79</v>
      </c>
      <c r="BF53" s="9"/>
      <c r="BG53" s="9">
        <f>BG52-BG54</f>
        <v>-13</v>
      </c>
      <c r="BH53" s="9">
        <v>0</v>
      </c>
      <c r="BI53" s="9">
        <v>0</v>
      </c>
      <c r="BJ53" s="9">
        <v>0</v>
      </c>
      <c r="BK53" s="9"/>
      <c r="BL53" s="9"/>
      <c r="BM53" s="9"/>
      <c r="BN53" s="9"/>
      <c r="BO53" s="9"/>
      <c r="BP53" s="9"/>
      <c r="BQ53" s="9"/>
      <c r="BR53" s="9"/>
      <c r="BS53" s="9"/>
      <c r="BT53" s="9"/>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row>
    <row r="54" spans="2:105">
      <c r="D54" s="137" t="s">
        <v>3208</v>
      </c>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f>AW52-AW53</f>
        <v>-91</v>
      </c>
      <c r="AX54" s="9">
        <f>AX52-AX53</f>
        <v>-85</v>
      </c>
      <c r="AY54" s="9">
        <f>AY52-AY53</f>
        <v>-61</v>
      </c>
      <c r="AZ54" s="9">
        <f>AZ52-AZ53</f>
        <v>-54</v>
      </c>
      <c r="BA54" s="9"/>
      <c r="BB54" s="9">
        <f>BB52-BB53</f>
        <v>-58</v>
      </c>
      <c r="BC54" s="9">
        <f>BC52-BC53</f>
        <v>-57</v>
      </c>
      <c r="BD54" s="9">
        <f>BD52-BD53</f>
        <v>-54</v>
      </c>
      <c r="BE54" s="9">
        <f>BE52-BE53</f>
        <v>-84</v>
      </c>
      <c r="BF54" s="9"/>
      <c r="BG54" s="9">
        <v>-58</v>
      </c>
      <c r="BH54" s="9">
        <f>BH52-BH53</f>
        <v>-67</v>
      </c>
      <c r="BI54" s="9">
        <f>BI52-BI53</f>
        <v>-30</v>
      </c>
      <c r="BJ54" s="9">
        <f>BJ52-BJ53</f>
        <v>-88</v>
      </c>
      <c r="BK54" s="9"/>
      <c r="BL54" s="9"/>
      <c r="BM54" s="9"/>
      <c r="BN54" s="9"/>
      <c r="BO54" s="9"/>
      <c r="BP54" s="9"/>
      <c r="BQ54" s="9"/>
      <c r="BR54" s="9"/>
      <c r="BS54" s="9"/>
      <c r="BT54" s="9"/>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row>
    <row r="55" spans="2:105">
      <c r="D55" s="137"/>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row>
    <row r="56" spans="2:105">
      <c r="D56" s="4" t="s">
        <v>20</v>
      </c>
      <c r="O56" s="9"/>
      <c r="P56" s="9"/>
      <c r="Q56" s="9"/>
      <c r="R56" s="9"/>
      <c r="S56" s="9"/>
      <c r="T56" s="9"/>
      <c r="U56" s="9"/>
      <c r="V56" s="9">
        <v>-18.3</v>
      </c>
      <c r="W56" s="9"/>
      <c r="X56" s="9"/>
      <c r="Y56" s="9"/>
      <c r="Z56" s="9"/>
      <c r="AA56" s="9"/>
      <c r="AB56" s="9"/>
      <c r="AC56" s="9"/>
      <c r="AD56" s="9"/>
      <c r="AE56" s="9"/>
      <c r="AF56" s="9"/>
      <c r="AG56" s="9"/>
      <c r="AH56" s="9">
        <f>-5.7-AI56</f>
        <v>0.79999999999999982</v>
      </c>
      <c r="AI56" s="9">
        <v>-6.5</v>
      </c>
      <c r="AJ56" s="9">
        <v>-3.6</v>
      </c>
      <c r="AK56" s="9">
        <v>309</v>
      </c>
      <c r="AL56" s="9"/>
      <c r="AM56" s="9">
        <v>3.1</v>
      </c>
      <c r="AN56" s="9">
        <v>3.3</v>
      </c>
      <c r="AO56" s="9">
        <v>2.5299999999999998</v>
      </c>
      <c r="AP56" s="9">
        <v>2.9420000000000002</v>
      </c>
      <c r="AQ56" s="9"/>
      <c r="AR56" s="9">
        <v>39.465000000000003</v>
      </c>
      <c r="AS56" s="9">
        <v>0</v>
      </c>
      <c r="AT56" s="9">
        <v>0</v>
      </c>
      <c r="AU56" s="9"/>
      <c r="AV56" s="9"/>
      <c r="AW56" s="9"/>
      <c r="AX56" s="9"/>
      <c r="AY56" s="9"/>
      <c r="AZ56" s="9"/>
      <c r="BA56" s="9"/>
      <c r="BB56" s="9"/>
      <c r="BC56" s="9"/>
      <c r="BD56" s="9"/>
      <c r="BE56" s="9"/>
      <c r="BF56" s="9"/>
      <c r="BG56" s="9">
        <v>21</v>
      </c>
      <c r="BH56" s="9"/>
      <c r="BI56" s="9"/>
      <c r="BJ56" s="9"/>
      <c r="BK56" s="9"/>
      <c r="BL56" s="9"/>
      <c r="BM56" s="9"/>
      <c r="BN56" s="9"/>
      <c r="BO56" s="9"/>
      <c r="BP56" s="9"/>
      <c r="BQ56" s="9">
        <v>8</v>
      </c>
      <c r="BR56" s="9">
        <v>6</v>
      </c>
      <c r="BS56" s="9">
        <v>4</v>
      </c>
      <c r="BT56" s="9"/>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row>
    <row r="57" spans="2:105">
      <c r="D57" s="4" t="s">
        <v>396</v>
      </c>
      <c r="O57" s="9">
        <v>-0.52100000000000002</v>
      </c>
      <c r="P57" s="9">
        <v>0.20499999999999999</v>
      </c>
      <c r="Q57" s="9">
        <v>4.8609999999999998</v>
      </c>
      <c r="R57" s="9">
        <v>1.587</v>
      </c>
      <c r="S57" s="9">
        <v>-1.365</v>
      </c>
      <c r="T57" s="9">
        <v>-0.64100000000000001</v>
      </c>
      <c r="U57" s="9">
        <v>-0.22</v>
      </c>
      <c r="V57" s="9">
        <v>11.19</v>
      </c>
      <c r="W57" s="9"/>
      <c r="X57" s="9">
        <v>7.3579999999999997</v>
      </c>
      <c r="Y57" s="9">
        <v>4.9000000000000004</v>
      </c>
      <c r="Z57" s="9">
        <v>3.347</v>
      </c>
      <c r="AA57" s="9">
        <v>-29.488</v>
      </c>
      <c r="AB57" s="9" t="s">
        <v>1823</v>
      </c>
      <c r="AC57" s="9">
        <v>13</v>
      </c>
      <c r="AD57" s="9">
        <v>24.425000000000001</v>
      </c>
      <c r="AE57" s="9">
        <v>17.8</v>
      </c>
      <c r="AF57" s="9"/>
      <c r="AG57" s="9"/>
      <c r="AH57" s="9">
        <v>0.7</v>
      </c>
      <c r="AI57" s="9">
        <v>-2.6</v>
      </c>
      <c r="AJ57" s="9">
        <v>0.4</v>
      </c>
      <c r="AK57" s="9">
        <v>-3.4</v>
      </c>
      <c r="AL57" s="9"/>
      <c r="AM57" s="9">
        <v>-2.2000000000000002</v>
      </c>
      <c r="AN57" s="9">
        <v>-0.5</v>
      </c>
      <c r="AO57" s="9">
        <v>-2.6469999999999998</v>
      </c>
      <c r="AP57" s="9">
        <v>-19.309000000000001</v>
      </c>
      <c r="AQ57" s="9"/>
      <c r="AR57" s="9">
        <f>-25.559-AS57</f>
        <v>-8.7600000000000016</v>
      </c>
      <c r="AS57" s="9">
        <v>-16.798999999999999</v>
      </c>
      <c r="AT57" s="9">
        <v>-125</v>
      </c>
      <c r="AU57" s="9">
        <v>-54</v>
      </c>
      <c r="AV57" s="9"/>
      <c r="AW57" s="9">
        <v>-14</v>
      </c>
      <c r="AX57" s="9">
        <v>3</v>
      </c>
      <c r="AY57" s="9">
        <v>-4</v>
      </c>
      <c r="AZ57" s="9">
        <v>19</v>
      </c>
      <c r="BA57" s="9"/>
      <c r="BB57" s="9">
        <v>-46</v>
      </c>
      <c r="BC57" s="9">
        <v>-43</v>
      </c>
      <c r="BD57" s="9">
        <v>-53</v>
      </c>
      <c r="BE57" s="9">
        <v>-62</v>
      </c>
      <c r="BF57" s="9"/>
      <c r="BG57" s="9">
        <v>-36</v>
      </c>
      <c r="BH57" s="9">
        <v>-57</v>
      </c>
      <c r="BI57" s="9">
        <v>-51</v>
      </c>
      <c r="BJ57" s="9">
        <v>-14</v>
      </c>
      <c r="BK57" s="9"/>
      <c r="BL57" s="9">
        <v>-28</v>
      </c>
      <c r="BM57" s="9">
        <v>-36</v>
      </c>
      <c r="BN57" s="9">
        <v>-12</v>
      </c>
      <c r="BO57" s="9">
        <v>-39</v>
      </c>
      <c r="BP57" s="9"/>
      <c r="BQ57" s="9">
        <v>-39</v>
      </c>
      <c r="BR57" s="9">
        <v>-29</v>
      </c>
      <c r="BS57" s="9">
        <v>-43</v>
      </c>
      <c r="BT57" s="9">
        <f>Master!S46-BQ57-BR57-BS57</f>
        <v>73</v>
      </c>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row>
    <row r="58" spans="2:105">
      <c r="D58" s="34" t="s">
        <v>397</v>
      </c>
      <c r="E58" s="94"/>
      <c r="F58" s="94"/>
      <c r="G58" s="94"/>
      <c r="H58" s="94"/>
      <c r="I58" s="94"/>
      <c r="J58" s="94"/>
      <c r="K58" s="94"/>
      <c r="L58" s="94"/>
      <c r="M58" s="94"/>
      <c r="N58" s="94"/>
      <c r="O58" s="95">
        <f t="shared" ref="O58:U58" si="8">O50+O52+O57</f>
        <v>-11.262999999999995</v>
      </c>
      <c r="P58" s="95">
        <f t="shared" si="8"/>
        <v>4.8770000000000095</v>
      </c>
      <c r="Q58" s="95">
        <f t="shared" si="8"/>
        <v>0.53300000000000036</v>
      </c>
      <c r="R58" s="95">
        <f t="shared" si="8"/>
        <v>14.000000000000007</v>
      </c>
      <c r="S58" s="95">
        <f t="shared" si="8"/>
        <v>33.387999999999984</v>
      </c>
      <c r="T58" s="95">
        <f t="shared" si="8"/>
        <v>33.853999999999978</v>
      </c>
      <c r="U58" s="95">
        <f t="shared" si="8"/>
        <v>47.183999999999983</v>
      </c>
      <c r="V58" s="95">
        <f>V50+V52+V56+V57</f>
        <v>50.185000000000045</v>
      </c>
      <c r="W58" s="95"/>
      <c r="X58" s="95">
        <f>X50+X52+X56+X57</f>
        <v>89.506999999999991</v>
      </c>
      <c r="Y58" s="95">
        <f>Y50+Y52+Y56+Y57</f>
        <v>102.05399999999997</v>
      </c>
      <c r="Z58" s="95">
        <f>Z50+Z52+Z56+Z57</f>
        <v>138.01259999999999</v>
      </c>
      <c r="AA58" s="95">
        <f>AA50+AA52+AA56+AA57</f>
        <v>114.649</v>
      </c>
      <c r="AB58" s="95"/>
      <c r="AC58" s="95">
        <f>AC50+AC52+AC56+AC57</f>
        <v>158.73899999999998</v>
      </c>
      <c r="AD58" s="95">
        <f>AD50+AD52+AD56+AD57</f>
        <v>133.20400000000001</v>
      </c>
      <c r="AE58" s="95">
        <f>AE50+AE52+AE56+AE57</f>
        <v>162.96200000000005</v>
      </c>
      <c r="AF58" s="95"/>
      <c r="AG58" s="9"/>
      <c r="AH58" s="95">
        <f>AH50+AH52+AH56+AH57</f>
        <v>138.80700000000002</v>
      </c>
      <c r="AI58" s="95">
        <f>AI50+AI52+AI56+AI57</f>
        <v>114.90100000000002</v>
      </c>
      <c r="AJ58" s="95">
        <f>AJ50+AJ52+AJ56+AJ57</f>
        <v>142.78800000000001</v>
      </c>
      <c r="AK58" s="95">
        <f>AK50+AK52+AK56+AK57</f>
        <v>451.923</v>
      </c>
      <c r="AL58" s="9"/>
      <c r="AM58" s="95">
        <f>AM50+AM52+AM56+AM57</f>
        <v>156.14499999999998</v>
      </c>
      <c r="AN58" s="95">
        <f>AN50+AN52+AN56+AN57</f>
        <v>123.67399999999994</v>
      </c>
      <c r="AO58" s="95">
        <f>AO50+AO52+AO56+AO57</f>
        <v>1217.9439999999997</v>
      </c>
      <c r="AP58" s="95">
        <f>AP50+AP52+AP56+AP57</f>
        <v>160.10000000000002</v>
      </c>
      <c r="AQ58" s="9"/>
      <c r="AR58" s="95">
        <f>AR50+AR52+AR56+AR57</f>
        <v>225.63300000000004</v>
      </c>
      <c r="AS58" s="95">
        <f>AS50+AS52+AS56+AS57</f>
        <v>183.87799999999999</v>
      </c>
      <c r="AT58" s="95">
        <f>AT50+AT52+AT56+AT57</f>
        <v>287.77800000000002</v>
      </c>
      <c r="AU58" s="95"/>
      <c r="AV58" s="9"/>
      <c r="AW58" s="95">
        <f>AW50+AW52+AW56+AW57</f>
        <v>95</v>
      </c>
      <c r="AX58" s="95">
        <f>AX50+AX52+AX56+AX57</f>
        <v>207</v>
      </c>
      <c r="AY58" s="95">
        <f>AY50+AY52+AY56+AY57</f>
        <v>145</v>
      </c>
      <c r="AZ58" s="95">
        <f>AZ50+AZ52+AZ56+AZ57</f>
        <v>77</v>
      </c>
      <c r="BA58" s="9"/>
      <c r="BB58" s="95">
        <f>BB50+BB52+BB56+BB57</f>
        <v>143</v>
      </c>
      <c r="BC58" s="95">
        <f>BC50+BC52+BC56+BC57</f>
        <v>65</v>
      </c>
      <c r="BD58" s="95">
        <f>BD50+BD52+BD56+BD57</f>
        <v>-35</v>
      </c>
      <c r="BE58" s="95">
        <f>BE50+BE52+BE56+BE57</f>
        <v>53.000000000000114</v>
      </c>
      <c r="BF58" s="9"/>
      <c r="BG58" s="95">
        <f>BG50+BG52+BG56+BG57</f>
        <v>2235.7743314315148</v>
      </c>
      <c r="BH58" s="95">
        <f>BH50+BH52+BH56+BH57</f>
        <v>186.45265428494042</v>
      </c>
      <c r="BI58" s="95">
        <f>BI50+BI52+BI56+BI57</f>
        <v>164.85542620690615</v>
      </c>
      <c r="BJ58" s="95">
        <f>BJ50+BJ52+BJ56+BJ57</f>
        <v>47.336156235512135</v>
      </c>
      <c r="BK58" s="9"/>
      <c r="BL58" s="95">
        <f>BL50+BL52+BL56+BL57</f>
        <v>-50.5</v>
      </c>
      <c r="BM58" s="95">
        <f>BM50+BM52+BM56+BM57</f>
        <v>-102</v>
      </c>
      <c r="BN58" s="95">
        <f>BN50+BN52+BN56+BN57</f>
        <v>8</v>
      </c>
      <c r="BO58" s="95">
        <f>BO50+BO52+BO56+BO57</f>
        <v>-426</v>
      </c>
      <c r="BP58" s="9"/>
      <c r="BQ58" s="95">
        <f>BQ50+BQ52+BQ56+BQ57</f>
        <v>40.652000000000044</v>
      </c>
      <c r="BR58" s="95">
        <f>BR50+BR52+BR56+BR57</f>
        <v>42.823999999999955</v>
      </c>
      <c r="BS58" s="95">
        <f>BS50+BS52+BS56+BS57</f>
        <v>24</v>
      </c>
      <c r="BT58" s="95">
        <f ca="1">BT50+BT52+BT56+BT57</f>
        <v>-31.319057954811342</v>
      </c>
      <c r="BZ58" s="86"/>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row>
    <row r="59" spans="2:105">
      <c r="B59" t="s">
        <v>1823</v>
      </c>
      <c r="D59" s="4" t="s">
        <v>195</v>
      </c>
      <c r="AC59" s="101">
        <f>AC58/SOP!$I$35</f>
        <v>0.95417250229918893</v>
      </c>
      <c r="AD59" s="101">
        <f>AD58/SOP!$I$35</f>
        <v>0.80068284414202684</v>
      </c>
      <c r="AE59" s="101">
        <f>AE58/SOP!$I$35</f>
        <v>0.97955675240287832</v>
      </c>
      <c r="AF59" s="101"/>
      <c r="AG59" s="9"/>
      <c r="AH59" s="101"/>
      <c r="AI59" s="101"/>
      <c r="AJ59" s="101"/>
      <c r="AK59" s="101"/>
      <c r="AM59" s="101"/>
      <c r="AN59" s="101"/>
      <c r="AO59" s="101"/>
      <c r="AP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row>
    <row r="60" spans="2:105">
      <c r="D60" s="4"/>
      <c r="AC60" s="101"/>
      <c r="AD60" s="101"/>
      <c r="AE60" s="101"/>
      <c r="AF60" s="101"/>
      <c r="AG60" s="9"/>
      <c r="AH60" s="101"/>
      <c r="AI60" s="101"/>
      <c r="AJ60" s="101"/>
      <c r="AK60" s="101"/>
      <c r="AM60" s="101"/>
      <c r="AN60" s="101"/>
      <c r="AO60" s="101"/>
      <c r="AP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row>
    <row r="61" spans="2:105">
      <c r="D61" s="34" t="s">
        <v>2103</v>
      </c>
      <c r="E61" s="94"/>
      <c r="F61" s="94"/>
      <c r="G61" s="94"/>
      <c r="H61" s="94"/>
      <c r="I61" s="94"/>
      <c r="J61" s="94"/>
      <c r="K61" s="94"/>
      <c r="L61" s="94"/>
      <c r="M61" s="94"/>
      <c r="N61" s="94"/>
      <c r="O61" s="95">
        <f t="shared" ref="O61:V61" si="9">O58-SUM(O39:O43)</f>
        <v>-1.8909999999999982</v>
      </c>
      <c r="P61" s="95">
        <f t="shared" si="9"/>
        <v>7.8510000000000062</v>
      </c>
      <c r="Q61" s="95">
        <f t="shared" si="9"/>
        <v>0.94899999999999896</v>
      </c>
      <c r="R61" s="95">
        <f t="shared" si="9"/>
        <v>15.003000000000005</v>
      </c>
      <c r="S61" s="95">
        <f t="shared" si="9"/>
        <v>27.124999999999982</v>
      </c>
      <c r="T61" s="95">
        <f t="shared" si="9"/>
        <v>41.033999999999978</v>
      </c>
      <c r="U61" s="95">
        <f t="shared" si="9"/>
        <v>53.883999999999986</v>
      </c>
      <c r="V61" s="95">
        <f t="shared" si="9"/>
        <v>45.724000000000046</v>
      </c>
      <c r="X61" s="95">
        <f>X58-SUM(X39:X43)</f>
        <v>89.634999999999991</v>
      </c>
      <c r="Y61" s="95">
        <f>Y58-SUM(Y39:Y43)</f>
        <v>102.18199999999997</v>
      </c>
      <c r="Z61" s="95">
        <f>Z58-SUM(Z39:Z43)</f>
        <v>138.08459999999999</v>
      </c>
      <c r="AA61" s="95">
        <f>AA58-SUM(AA39:AA43)-86+31-AA37</f>
        <v>86.116</v>
      </c>
      <c r="AC61" s="95">
        <f>AC58-SUM(AC39:AC43)</f>
        <v>148.33899999999997</v>
      </c>
      <c r="AD61" s="95">
        <f>AD58-SUM(AD39:AD43)</f>
        <v>134.904</v>
      </c>
      <c r="AE61" s="95">
        <f>AE58-SUM(AE39:AE43)-30</f>
        <v>161.56200000000004</v>
      </c>
      <c r="AF61" s="95"/>
      <c r="AG61" s="9"/>
      <c r="AH61" s="95">
        <f>AH58-SUM(AH39:AH43)</f>
        <v>138.90700000000001</v>
      </c>
      <c r="AI61" s="95">
        <f>AI58-SUM(AI39:AI43)</f>
        <v>122.10100000000003</v>
      </c>
      <c r="AJ61" s="95">
        <f>AJ58-SUM(AJ39:AJ43)</f>
        <v>133.58800000000002</v>
      </c>
      <c r="AK61" s="95">
        <f>AK58-SUM(AK39:AK43)-AK56</f>
        <v>146.62299999999999</v>
      </c>
      <c r="AM61" s="95">
        <f>AM58-SUM(AM39:AM43)-AM56</f>
        <v>148.14499999999998</v>
      </c>
      <c r="AN61" s="95">
        <f>AN58-SUM(AN39:AN43)-AN56</f>
        <v>155.37399999999991</v>
      </c>
      <c r="AO61" s="95">
        <f>AO58-SUM(AO39:AO43)-AO56</f>
        <v>155.39999999999984</v>
      </c>
      <c r="AP61" s="95">
        <f>AP58-SUM(AP39:AP43)-AP56</f>
        <v>157.15800000000002</v>
      </c>
      <c r="AR61" s="95">
        <f>AR58-SUM(AR39:AR43)-AR56</f>
        <v>171.57500000000005</v>
      </c>
      <c r="AS61" s="95">
        <f>AS58-SUM(AS39:AS43)-AS56</f>
        <v>187.11699999999999</v>
      </c>
      <c r="AT61" s="520">
        <f>AT58-SUM(AT39:AT43)-AT56-(231-92)</f>
        <v>179.77800000000002</v>
      </c>
      <c r="AU61" s="530"/>
      <c r="AW61" s="95">
        <f>AW58-SUM(AW39:AW43)-AW56</f>
        <v>147</v>
      </c>
      <c r="AX61" s="95">
        <f>AX58-SUM(AX39:AX43)-AX56</f>
        <v>140</v>
      </c>
      <c r="AY61" s="95">
        <f>AY58-SUM(AY39:AY43)-AY56</f>
        <v>145</v>
      </c>
      <c r="AZ61" s="95">
        <f>AZ58-SUM(AZ39:AZ43)-AZ56</f>
        <v>77</v>
      </c>
      <c r="BB61" s="95">
        <f>BB58-SUM(BB39:BB43)-BB56-BB37-BB53</f>
        <v>117</v>
      </c>
      <c r="BC61" s="95">
        <f>BC58-SUM(BC39:BC43)-BC56-BC37-BC53</f>
        <v>98</v>
      </c>
      <c r="BD61" s="95">
        <f>BD58-SUM(BD39:BD43)-BD56-BD37-BD53</f>
        <v>76</v>
      </c>
      <c r="BE61" s="95">
        <f>BE58-SUM(BE39:BE43)-BE56-BE37-BE53</f>
        <v>51.000000000000114</v>
      </c>
      <c r="BF61" s="511"/>
      <c r="BG61" s="95">
        <f>BG58-SUM(BG39:BG43)-BG56-BG37-BG53-BG47</f>
        <v>39.774331431514838</v>
      </c>
      <c r="BH61" s="95">
        <f>BH58-SUM(BH39:BH43)-BH56-BH37-BH53-BH47</f>
        <v>27.452654284940422</v>
      </c>
      <c r="BI61" s="95">
        <f>BI58-SUM(BI39:BI43)-BI56-BI37-BI53-BI47</f>
        <v>78.855426206906145</v>
      </c>
      <c r="BJ61" s="95">
        <f>BJ58-SUM(BJ39:BJ43)-BJ56-BJ37-BJ53-BJ47</f>
        <v>18.336156235512135</v>
      </c>
      <c r="BK61" s="511"/>
      <c r="BL61" s="95">
        <f>BL58-SUM(BL39:BL43)-BL56-BL37-BL53-BL47+BL20</f>
        <v>47.5</v>
      </c>
      <c r="BM61" s="95">
        <f>BM58-SUM(BM39:BM43)-BM56-BM37-BM53-BM47+BM20+10</f>
        <v>15</v>
      </c>
      <c r="BN61" s="95">
        <f>BN58-SUM(BN39:BN43)-BN56-BN37-BN53-BN47+BN20+10</f>
        <v>75</v>
      </c>
      <c r="BO61" s="95">
        <f>BO58-SUM(BO39:BO43)-BO56-BO37-BO53-BO47+BO20+10-BO33</f>
        <v>112</v>
      </c>
      <c r="BP61" s="511"/>
      <c r="BQ61" s="95">
        <f>BQ58-SUM(BQ39:BQ43)-BQ56-BQ37-BQ53-BQ47+BQ20+10-BQ33</f>
        <v>36.652000000000044</v>
      </c>
      <c r="BR61" s="95">
        <f>BR58-SUM(BR39:BR43)-BR56-BR37-BR53-BR47+BR20+10-BR33</f>
        <v>47.823999999999955</v>
      </c>
      <c r="BS61" s="95">
        <f>BS58-SUM(BS39:BS43)-BS56-BS37-BS53-BS47+BS20+10-BS33</f>
        <v>39</v>
      </c>
      <c r="BT61" s="95">
        <f ca="1">BT58-SUM(BT39:BT43)-BT56-BT37-BT53-BT47+BT20+10-BT33</f>
        <v>-3.2785073203523325</v>
      </c>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row>
    <row r="62" spans="2:105">
      <c r="D62" s="4"/>
      <c r="E62" s="21"/>
      <c r="F62" s="21"/>
      <c r="G62" s="21"/>
      <c r="H62" s="21"/>
      <c r="I62" s="21"/>
      <c r="J62" s="21"/>
      <c r="K62" s="21"/>
      <c r="L62" s="21"/>
      <c r="M62" s="21"/>
      <c r="N62" s="21"/>
      <c r="O62" s="101">
        <f>O58/SOP!$I$35</f>
        <v>-6.7701351863094519E-2</v>
      </c>
      <c r="P62" s="101">
        <f>P58/SOP!$I$35</f>
        <v>2.9315412681906492E-2</v>
      </c>
      <c r="Q62" s="101">
        <f>Q58/SOP!$I$35</f>
        <v>3.2038373917277303E-3</v>
      </c>
      <c r="R62" s="101">
        <f>R58/SOP!$I$35</f>
        <v>8.4153327362454441E-2</v>
      </c>
      <c r="S62" s="101">
        <f>S58/SOP!$I$35</f>
        <v>0.20069366385554471</v>
      </c>
      <c r="T62" s="101">
        <f>T58/SOP!$I$35</f>
        <v>0.2034947674663235</v>
      </c>
      <c r="U62" s="101">
        <f>U58/SOP!$I$35</f>
        <v>0.28362075701928907</v>
      </c>
      <c r="V62" s="101">
        <f>V58/SOP!$I$35</f>
        <v>0.30165962383462697</v>
      </c>
      <c r="X62" s="101">
        <f>X58/SOP!$I$35</f>
        <v>0.53802227658794322</v>
      </c>
      <c r="Y62" s="101">
        <f>Y58/SOP!$I$35</f>
        <v>0.61344169076056554</v>
      </c>
      <c r="Z62" s="101">
        <f>Z58/SOP!$I$35</f>
        <v>0.82958710771024802</v>
      </c>
      <c r="AA62" s="101">
        <f>AA58/SOP!$I$35</f>
        <v>0.68914963062700241</v>
      </c>
      <c r="AC62" s="101">
        <f>AC58/SOP!$I$35</f>
        <v>0.95417250229918893</v>
      </c>
      <c r="AD62" s="101"/>
      <c r="AE62" s="101"/>
      <c r="AF62" s="101"/>
      <c r="AH62" s="101">
        <f>AH58/SOP!$I$35</f>
        <v>0.83436220794287197</v>
      </c>
      <c r="AI62" s="101">
        <f>AI58/SOP!$I$35</f>
        <v>0.69066439051952677</v>
      </c>
      <c r="AJ62" s="101">
        <f>AJ58/SOP!$I$35</f>
        <v>0.85829180767358138</v>
      </c>
      <c r="AK62" s="101">
        <f>AK61/SOP!$I$35</f>
        <v>0.88134380841893922</v>
      </c>
      <c r="AM62" s="101">
        <f>AM61/SOP!$I$35</f>
        <v>0.8904924772936289</v>
      </c>
      <c r="AN62" s="101">
        <f>AN61/SOP!$I$35</f>
        <v>0.93394564897242727</v>
      </c>
      <c r="AO62" s="101">
        <f>AO61/SOP!$I$35</f>
        <v>0.93410193372324279</v>
      </c>
      <c r="AP62" s="101">
        <f>AP61/SOP!$I$35</f>
        <v>0.94466918725918636</v>
      </c>
      <c r="AR62" s="101">
        <f>AR61/SOP!$I$35</f>
        <v>1.0313290815866512</v>
      </c>
      <c r="AS62" s="101">
        <f>AS61/SOP!$I$35</f>
        <v>1.1247512968628841</v>
      </c>
      <c r="AT62" s="101">
        <f>AT61/SOP!$I$35</f>
        <v>1.0806369204690949</v>
      </c>
      <c r="AU62" s="101"/>
      <c r="AV62" s="101"/>
      <c r="AW62" s="101">
        <f>AW61/SOP!$I$35</f>
        <v>0.88360993730577109</v>
      </c>
      <c r="AX62" s="101">
        <f>AX61/SOP!$I$35</f>
        <v>0.84153327362454389</v>
      </c>
      <c r="AY62" s="101">
        <f>AY61/SOP!$I$35</f>
        <v>0.87158803339684909</v>
      </c>
      <c r="AZ62" s="101">
        <f>AZ61/SOP!$I$35</f>
        <v>0.46284330049349914</v>
      </c>
      <c r="BA62" s="101"/>
      <c r="BB62" s="7">
        <f>BB61/SOP!$I$35</f>
        <v>0.70328137867194029</v>
      </c>
      <c r="BC62" s="7">
        <f>BC61/SOP!$I$35</f>
        <v>0.5890732915371808</v>
      </c>
      <c r="BD62" s="7">
        <f>BD61/SOP!$I$35</f>
        <v>0.45683234853903815</v>
      </c>
      <c r="BE62" s="7">
        <f>BE61/SOP!$I$35</f>
        <v>0.30655854967751311</v>
      </c>
      <c r="BF62" s="101"/>
      <c r="BG62" s="101"/>
      <c r="BH62" s="101"/>
      <c r="BI62" s="101"/>
      <c r="BJ62" s="101"/>
      <c r="BK62" s="101"/>
      <c r="BL62" s="101"/>
      <c r="BM62" s="101"/>
      <c r="BN62" s="101"/>
      <c r="BO62" s="101"/>
      <c r="BP62" s="101"/>
      <c r="BQ62" s="101"/>
      <c r="BR62" s="101"/>
      <c r="BS62" s="101"/>
      <c r="BT62" s="101"/>
      <c r="BZ62" t="s">
        <v>1823</v>
      </c>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row>
    <row r="63" spans="2:105">
      <c r="D63" s="729" t="s">
        <v>3209</v>
      </c>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f>AW50-AW37</f>
        <v>199</v>
      </c>
      <c r="AX63" s="9">
        <f>AX50-AX37</f>
        <v>297</v>
      </c>
      <c r="AY63" s="9">
        <f>AY50-AY37</f>
        <v>209</v>
      </c>
      <c r="AZ63" s="9">
        <f>AZ50-AZ37</f>
        <v>214</v>
      </c>
      <c r="BA63" s="9"/>
      <c r="BB63" s="31">
        <f>BB50-BB37-BB311</f>
        <v>221</v>
      </c>
      <c r="BC63" s="31">
        <f>BC50-BC37-BC311</f>
        <v>198</v>
      </c>
      <c r="BD63" s="31">
        <f>BD50-BD37-BD311</f>
        <v>183</v>
      </c>
      <c r="BE63" s="31">
        <f>BE50-BE37-BE311</f>
        <v>197.00000000000011</v>
      </c>
      <c r="BF63" s="9"/>
      <c r="BG63" s="9"/>
      <c r="BH63" s="9"/>
      <c r="BI63" s="9"/>
      <c r="BJ63" s="9"/>
      <c r="BK63" s="9"/>
      <c r="BL63" s="9"/>
      <c r="BM63" s="9"/>
      <c r="BN63" s="9"/>
      <c r="BO63" s="9"/>
      <c r="BP63" s="9"/>
      <c r="BQ63" s="9"/>
      <c r="BR63" s="9"/>
      <c r="BS63" s="9"/>
      <c r="BT63" s="9"/>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c r="CX63" s="176"/>
      <c r="CY63" s="176"/>
      <c r="CZ63" s="176"/>
      <c r="DA63" s="176"/>
    </row>
    <row r="64" spans="2:105">
      <c r="D64" s="32" t="s">
        <v>155</v>
      </c>
      <c r="E64" s="32"/>
      <c r="F64" s="32"/>
      <c r="G64" s="32"/>
      <c r="H64" s="32"/>
      <c r="I64" s="32"/>
      <c r="J64" s="32"/>
      <c r="K64" s="32"/>
      <c r="L64" s="32"/>
      <c r="M64" s="32"/>
      <c r="N64" s="32"/>
      <c r="O64" s="92">
        <f t="shared" ref="O64:V64" si="10">-O52/O50</f>
        <v>9.7618270799346973</v>
      </c>
      <c r="P64" s="92">
        <f t="shared" si="10"/>
        <v>0.7589640406541811</v>
      </c>
      <c r="Q64" s="92">
        <f t="shared" si="10"/>
        <v>1.3203078744819419</v>
      </c>
      <c r="R64" s="92">
        <f t="shared" si="10"/>
        <v>0.62639578630549275</v>
      </c>
      <c r="S64" s="92">
        <f t="shared" si="10"/>
        <v>0.43561719473179927</v>
      </c>
      <c r="T64" s="92">
        <f t="shared" si="10"/>
        <v>0.39149379057296091</v>
      </c>
      <c r="U64" s="92">
        <f t="shared" si="10"/>
        <v>0.36030443700744907</v>
      </c>
      <c r="V64" s="92">
        <f t="shared" si="10"/>
        <v>0.42094677905119943</v>
      </c>
      <c r="W64" s="149"/>
      <c r="X64" s="92">
        <f>-X52/X50</f>
        <v>0.36554190254790353</v>
      </c>
      <c r="Y64" s="92">
        <f>-Y52/Y50</f>
        <v>0.29112612546879335</v>
      </c>
      <c r="Z64" s="92">
        <f>-Z52/Z50</f>
        <v>0.2044124736508777</v>
      </c>
      <c r="AA64" s="92">
        <f>-AA52/AA50</f>
        <v>-0.32292823511055224</v>
      </c>
      <c r="AB64" s="149"/>
      <c r="AC64" s="92">
        <f>-AC52/AC50</f>
        <v>0.22330112609851899</v>
      </c>
      <c r="AD64" s="92">
        <f>-AD52/AD50</f>
        <v>0.37310757775715908</v>
      </c>
      <c r="AE64" s="92">
        <f>-AE52/AE50</f>
        <v>0.17362890095752065</v>
      </c>
      <c r="AF64" s="92">
        <f>-AF52/AF50</f>
        <v>0.86419753086419748</v>
      </c>
      <c r="AG64" s="149"/>
      <c r="AH64" s="92">
        <f>-AH52/AH50</f>
        <v>0.25581685247714181</v>
      </c>
      <c r="AI64" s="92">
        <f>-AI52/AI50</f>
        <v>0.31980076905776705</v>
      </c>
      <c r="AJ64" s="92">
        <f>-AJ52/AJ50</f>
        <v>0.27938476119019884</v>
      </c>
      <c r="AK64" s="92">
        <f>-AK52/AK50</f>
        <v>0.25468233472389895</v>
      </c>
      <c r="AL64" s="9"/>
      <c r="AM64" s="92">
        <f>-AM52/AM50</f>
        <v>0.29799452847679131</v>
      </c>
      <c r="AN64" s="92">
        <f>-AN52/AN50</f>
        <v>0.34618172376862089</v>
      </c>
      <c r="AO64" s="92">
        <f>-AO52/AO50</f>
        <v>4.6779795247910934E-2</v>
      </c>
      <c r="AP64" s="92">
        <f>-AP52/AP50</f>
        <v>0.22812089930889684</v>
      </c>
      <c r="AQ64" s="9"/>
      <c r="AR64" s="92">
        <f>-AR52/AR50</f>
        <v>0.29606009172655373</v>
      </c>
      <c r="AS64" s="92">
        <f>-AS52/AS50</f>
        <v>0.22270338106618431</v>
      </c>
      <c r="AT64" s="92">
        <f>-AT52/AT50</f>
        <v>-0.67266936274708433</v>
      </c>
      <c r="AU64" s="92"/>
      <c r="AV64" s="92"/>
      <c r="AW64" s="92">
        <f>-AW54/AW63</f>
        <v>0.457286432160804</v>
      </c>
      <c r="AX64" s="92">
        <f>-AX54/AX63</f>
        <v>0.28619528619528617</v>
      </c>
      <c r="AY64" s="92">
        <f>-AY54/AY63</f>
        <v>0.291866028708134</v>
      </c>
      <c r="AZ64" s="92">
        <f>-AZ54/AZ63</f>
        <v>0.25233644859813081</v>
      </c>
      <c r="BA64" s="92"/>
      <c r="BB64" s="92">
        <f>-BB54/BB63</f>
        <v>0.26244343891402716</v>
      </c>
      <c r="BC64" s="92">
        <f>-BC54/BC63</f>
        <v>0.2878787878787879</v>
      </c>
      <c r="BD64" s="92">
        <f>-BD54/BD63</f>
        <v>0.29508196721311475</v>
      </c>
      <c r="BE64" s="92">
        <f>-BE54/BE63</f>
        <v>0.4263959390862942</v>
      </c>
      <c r="BF64" s="92"/>
      <c r="BG64" s="92"/>
      <c r="BH64" s="92"/>
      <c r="BI64" s="92"/>
      <c r="BJ64" s="92"/>
      <c r="BK64" s="92"/>
      <c r="BL64" s="92"/>
      <c r="BM64" s="92"/>
      <c r="BN64" s="92"/>
      <c r="BO64" s="92"/>
      <c r="BP64" s="92"/>
      <c r="BQ64" s="92"/>
      <c r="BR64" s="92"/>
      <c r="BS64" s="92"/>
      <c r="BT64" s="92"/>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c r="CX64" s="176"/>
      <c r="CY64" s="176"/>
      <c r="CZ64" s="176"/>
      <c r="DA64" s="176"/>
    </row>
    <row r="65" spans="1:105">
      <c r="D65" s="4"/>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c r="CX65" s="176"/>
      <c r="CY65" s="176"/>
      <c r="CZ65" s="176"/>
      <c r="DA65" s="176"/>
    </row>
    <row r="66" spans="1:105">
      <c r="D66" s="4"/>
      <c r="E66" s="21"/>
      <c r="F66" s="21"/>
      <c r="G66" s="21"/>
      <c r="H66" s="21"/>
      <c r="I66" s="21"/>
      <c r="J66" s="21"/>
      <c r="K66" s="21"/>
      <c r="L66" s="21"/>
      <c r="M66" s="21"/>
      <c r="N66" s="21"/>
      <c r="O66" s="101"/>
      <c r="P66" s="101"/>
      <c r="Q66" s="101"/>
      <c r="R66" s="101"/>
      <c r="S66" s="101"/>
      <c r="T66" s="101"/>
      <c r="U66" s="101"/>
      <c r="V66" s="101"/>
      <c r="X66" s="101"/>
      <c r="Y66" s="101"/>
      <c r="Z66" s="101"/>
      <c r="AA66" s="101"/>
      <c r="AC66" s="101"/>
      <c r="AD66" s="101"/>
      <c r="AE66" s="101"/>
      <c r="AF66" s="101"/>
      <c r="AH66" s="101"/>
      <c r="AI66" s="101"/>
      <c r="AJ66" s="101"/>
      <c r="AK66" s="101"/>
      <c r="AM66" s="101"/>
      <c r="AN66" s="101"/>
      <c r="AO66" s="101"/>
      <c r="AP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row>
    <row r="67" spans="1:105">
      <c r="D67" s="4" t="s">
        <v>3805</v>
      </c>
      <c r="E67" s="21"/>
      <c r="F67" s="21"/>
      <c r="G67" s="21"/>
      <c r="H67" s="21"/>
      <c r="I67" s="21"/>
      <c r="J67" s="21"/>
      <c r="K67" s="21"/>
      <c r="L67" s="21"/>
      <c r="M67" s="21"/>
      <c r="N67" s="21"/>
      <c r="O67" s="101"/>
      <c r="P67" s="101"/>
      <c r="Q67" s="101"/>
      <c r="R67" s="101"/>
      <c r="S67" s="101"/>
      <c r="T67" s="101"/>
      <c r="U67" s="101"/>
      <c r="V67" s="101"/>
      <c r="X67" s="101"/>
      <c r="Y67" s="101"/>
      <c r="Z67" s="101"/>
      <c r="AA67" s="101"/>
      <c r="AC67" s="101"/>
      <c r="AD67" s="101"/>
      <c r="AE67" s="101"/>
      <c r="AF67" s="101"/>
      <c r="AH67" s="101"/>
      <c r="AI67" s="101"/>
      <c r="AJ67" s="101"/>
      <c r="AK67" s="101"/>
      <c r="AM67" s="101"/>
      <c r="AN67" s="101"/>
      <c r="AO67" s="101"/>
      <c r="AP67" s="101"/>
      <c r="AR67" s="101"/>
      <c r="AS67" s="101"/>
      <c r="AT67" s="101"/>
      <c r="AU67" s="101"/>
      <c r="AV67" s="101"/>
      <c r="AW67" s="101"/>
      <c r="AX67" s="101"/>
      <c r="AY67" s="101"/>
      <c r="AZ67" s="101"/>
      <c r="BA67" s="101"/>
      <c r="BB67" s="101"/>
      <c r="BC67" s="101"/>
      <c r="BD67" s="101"/>
      <c r="BE67" s="101"/>
      <c r="BF67" s="101"/>
      <c r="BG67" s="101"/>
      <c r="BH67" s="101"/>
      <c r="BI67" s="101"/>
      <c r="BJ67" s="101"/>
      <c r="BK67" s="101"/>
      <c r="BL67" s="9">
        <v>-78</v>
      </c>
      <c r="BM67" s="9">
        <v>-99</v>
      </c>
      <c r="BN67" s="9"/>
      <c r="BO67" s="9"/>
      <c r="BP67" s="101"/>
      <c r="BQ67" s="9">
        <v>-92</v>
      </c>
      <c r="BR67" s="9">
        <v>-111</v>
      </c>
      <c r="BS67" s="9">
        <v>-104</v>
      </c>
      <c r="BT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row>
    <row r="68" spans="1:105">
      <c r="D68" s="4" t="s">
        <v>3806</v>
      </c>
      <c r="E68" s="21"/>
      <c r="F68" s="21"/>
      <c r="G68" s="21"/>
      <c r="H68" s="21"/>
      <c r="I68" s="21"/>
      <c r="J68" s="21"/>
      <c r="K68" s="21"/>
      <c r="L68" s="21"/>
      <c r="M68" s="21"/>
      <c r="N68" s="21"/>
      <c r="O68" s="101"/>
      <c r="P68" s="101"/>
      <c r="Q68" s="101"/>
      <c r="R68" s="101"/>
      <c r="S68" s="101"/>
      <c r="T68" s="101"/>
      <c r="U68" s="101"/>
      <c r="V68" s="101"/>
      <c r="X68" s="101"/>
      <c r="Y68" s="101"/>
      <c r="Z68" s="101"/>
      <c r="AA68" s="101"/>
      <c r="AC68" s="101"/>
      <c r="AD68" s="101"/>
      <c r="AE68" s="101"/>
      <c r="AF68" s="101"/>
      <c r="AH68" s="101"/>
      <c r="AI68" s="101"/>
      <c r="AJ68" s="101"/>
      <c r="AK68" s="101"/>
      <c r="AM68" s="101"/>
      <c r="AN68" s="101"/>
      <c r="AO68" s="101"/>
      <c r="AP68" s="101"/>
      <c r="AR68" s="101"/>
      <c r="AS68" s="101"/>
      <c r="AT68" s="101"/>
      <c r="AU68" s="101"/>
      <c r="AV68" s="101"/>
      <c r="AW68" s="101"/>
      <c r="AX68" s="101"/>
      <c r="AY68" s="101"/>
      <c r="AZ68" s="101"/>
      <c r="BA68" s="101"/>
      <c r="BB68" s="101"/>
      <c r="BC68" s="101"/>
      <c r="BD68" s="101"/>
      <c r="BE68" s="101"/>
      <c r="BF68" s="101"/>
      <c r="BG68" s="101"/>
      <c r="BH68" s="101"/>
      <c r="BI68" s="101"/>
      <c r="BJ68" s="101"/>
      <c r="BK68" s="101"/>
      <c r="BL68" s="9">
        <v>-50</v>
      </c>
      <c r="BM68" s="9">
        <v>-94</v>
      </c>
      <c r="BN68" s="9"/>
      <c r="BO68" s="9"/>
      <c r="BP68" s="101"/>
      <c r="BQ68" s="9">
        <v>-38</v>
      </c>
      <c r="BR68" s="9">
        <v>-99</v>
      </c>
      <c r="BS68" s="9">
        <v>-70</v>
      </c>
      <c r="BT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row>
    <row r="69" spans="1:105">
      <c r="D69" s="4" t="s">
        <v>4088</v>
      </c>
      <c r="E69" s="21"/>
      <c r="F69" s="21"/>
      <c r="G69" s="21"/>
      <c r="H69" s="21"/>
      <c r="I69" s="21"/>
      <c r="J69" s="21"/>
      <c r="K69" s="21"/>
      <c r="L69" s="21"/>
      <c r="M69" s="21"/>
      <c r="N69" s="21"/>
      <c r="O69" s="101"/>
      <c r="P69" s="101"/>
      <c r="Q69" s="101"/>
      <c r="R69" s="101"/>
      <c r="S69" s="101"/>
      <c r="T69" s="101"/>
      <c r="U69" s="101"/>
      <c r="V69" s="101"/>
      <c r="X69" s="101"/>
      <c r="Y69" s="101"/>
      <c r="Z69" s="101"/>
      <c r="AA69" s="101"/>
      <c r="AC69" s="101"/>
      <c r="AD69" s="101"/>
      <c r="AE69" s="101"/>
      <c r="AF69" s="101"/>
      <c r="AH69" s="101"/>
      <c r="AI69" s="101"/>
      <c r="AJ69" s="101"/>
      <c r="AK69" s="101"/>
      <c r="AM69" s="101"/>
      <c r="AN69" s="101"/>
      <c r="AO69" s="101"/>
      <c r="AP69" s="101"/>
      <c r="AR69" s="101"/>
      <c r="AS69" s="101"/>
      <c r="AT69" s="101"/>
      <c r="AU69" s="101"/>
      <c r="AV69" s="101"/>
      <c r="AW69" s="101"/>
      <c r="AX69" s="101"/>
      <c r="AY69" s="101"/>
      <c r="AZ69" s="101"/>
      <c r="BA69" s="101"/>
      <c r="BB69" s="101"/>
      <c r="BC69" s="101"/>
      <c r="BD69" s="101"/>
      <c r="BE69" s="101"/>
      <c r="BF69" s="101"/>
      <c r="BG69" s="101"/>
      <c r="BH69" s="101"/>
      <c r="BI69" s="101"/>
      <c r="BJ69" s="101"/>
      <c r="BK69" s="101"/>
      <c r="BL69" s="9"/>
      <c r="BM69" s="9"/>
      <c r="BN69" s="9"/>
      <c r="BO69" s="9"/>
      <c r="BP69" s="101"/>
      <c r="BQ69" s="9">
        <v>-343</v>
      </c>
      <c r="BR69" s="9">
        <v>-214</v>
      </c>
      <c r="BS69" s="9">
        <v>-242</v>
      </c>
      <c r="BT69" s="9">
        <f ca="1">-Div!P83-BQ69-BR69-BS69</f>
        <v>-283.1195656627342</v>
      </c>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row>
    <row r="70" spans="1:105">
      <c r="D70" s="4"/>
      <c r="E70" s="21"/>
      <c r="F70" s="21"/>
      <c r="G70" s="21"/>
      <c r="H70" s="21"/>
      <c r="I70" s="21"/>
      <c r="J70" s="21"/>
      <c r="K70" s="21"/>
      <c r="L70" s="21"/>
      <c r="M70" s="21"/>
      <c r="N70" s="21"/>
      <c r="O70" s="101"/>
      <c r="P70" s="101"/>
      <c r="Q70" s="101"/>
      <c r="R70" s="101"/>
      <c r="S70" s="101"/>
      <c r="T70" s="101"/>
      <c r="U70" s="101"/>
      <c r="V70" s="101"/>
      <c r="X70" s="101"/>
      <c r="Y70" s="101"/>
      <c r="Z70" s="101"/>
      <c r="AA70" s="101"/>
      <c r="AC70" s="101"/>
      <c r="AD70" s="101"/>
      <c r="AE70" s="101"/>
      <c r="AF70" s="101"/>
      <c r="AH70" s="101"/>
      <c r="AI70" s="101"/>
      <c r="AJ70" s="101"/>
      <c r="AK70" s="101"/>
      <c r="AM70" s="101"/>
      <c r="AN70" s="101"/>
      <c r="AO70" s="101"/>
      <c r="AP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row>
    <row r="71" spans="1:105">
      <c r="D71" s="4" t="s">
        <v>574</v>
      </c>
      <c r="E71" s="21"/>
      <c r="F71" s="21"/>
      <c r="G71" s="21"/>
      <c r="H71" s="21"/>
      <c r="I71" s="21"/>
      <c r="J71" s="21"/>
      <c r="K71" s="21"/>
      <c r="L71" s="21"/>
      <c r="M71" s="21"/>
      <c r="N71" s="21"/>
      <c r="O71" s="101"/>
      <c r="P71" s="101"/>
      <c r="Q71" s="101"/>
      <c r="R71" s="101"/>
      <c r="S71" s="101"/>
      <c r="T71" s="101"/>
      <c r="U71" s="101"/>
      <c r="V71" s="101"/>
      <c r="X71" s="101"/>
      <c r="Y71" s="101"/>
      <c r="Z71" s="101"/>
      <c r="AA71" s="101"/>
      <c r="AC71" s="101"/>
      <c r="AD71" s="101"/>
      <c r="AE71" s="101"/>
      <c r="AF71" s="101"/>
      <c r="AH71" s="101"/>
      <c r="AI71" s="101"/>
      <c r="AJ71" s="101"/>
      <c r="AK71" s="101"/>
      <c r="AM71" s="101"/>
      <c r="AN71" s="101"/>
      <c r="AO71" s="101"/>
      <c r="AP71" s="101"/>
      <c r="AR71" s="101"/>
      <c r="AS71" s="101"/>
      <c r="AT71" s="101"/>
      <c r="AU71" s="101"/>
      <c r="AV71" s="101"/>
      <c r="AW71" s="101"/>
      <c r="AX71" s="101"/>
      <c r="AY71" s="101"/>
      <c r="AZ71" s="101"/>
      <c r="BA71" s="101"/>
      <c r="BB71" s="9">
        <f>BB23-BB378+BB46+BB52</f>
        <v>255</v>
      </c>
      <c r="BC71" s="9"/>
      <c r="BD71" s="9">
        <f>BD23-BD378+BD46+BD52</f>
        <v>98</v>
      </c>
      <c r="BE71" s="9">
        <f>BE23-BE378+BE46+BE52</f>
        <v>-62.599999999999909</v>
      </c>
      <c r="BF71" s="101"/>
      <c r="BG71" s="9">
        <f>BG23-BG378+BG46+BG52</f>
        <v>141.77433143151484</v>
      </c>
      <c r="BH71" s="9">
        <f>BH23-BH378+BH46+BH52</f>
        <v>-32.547345715059578</v>
      </c>
      <c r="BI71" s="9">
        <f>BI23-BI378+BI46+BI52</f>
        <v>98.855426206906145</v>
      </c>
      <c r="BJ71" s="9">
        <f>BJ23-BJ378+BJ46+BJ52</f>
        <v>-67.663843764487865</v>
      </c>
      <c r="BK71" s="101"/>
      <c r="BL71" s="9">
        <f>BL26-BL378+BL46+BL52</f>
        <v>213.5</v>
      </c>
      <c r="BM71" s="9">
        <f>BM26-BM378+BM46+BM52</f>
        <v>88</v>
      </c>
      <c r="BN71" s="9">
        <f>BN26-BN378+BN46+BN52</f>
        <v>53</v>
      </c>
      <c r="BO71" s="9">
        <f>BO26-BO378+BO46+BO52</f>
        <v>-197</v>
      </c>
      <c r="BP71" s="101"/>
      <c r="BQ71" s="9">
        <f>BQ23+BQ69+BQ46+BQ52</f>
        <v>36.652000000000044</v>
      </c>
      <c r="BR71" s="9">
        <f>BR23+BR69+BR46+BR52</f>
        <v>151.82399999999996</v>
      </c>
      <c r="BS71" s="9">
        <f>BS23+BS69+BS46+BS52</f>
        <v>155</v>
      </c>
      <c r="BT71" s="9">
        <f ca="1">BT23+BT69+BT46+BT52</f>
        <v>24.601927016913464</v>
      </c>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row>
    <row r="72" spans="1:105">
      <c r="D72" s="4" t="s">
        <v>2812</v>
      </c>
      <c r="E72" s="21"/>
      <c r="F72" s="21"/>
      <c r="G72" s="21"/>
      <c r="H72" s="21"/>
      <c r="I72" s="21"/>
      <c r="J72" s="21"/>
      <c r="K72" s="21"/>
      <c r="L72" s="21"/>
      <c r="M72" s="21"/>
      <c r="N72" s="21"/>
      <c r="O72" s="101"/>
      <c r="P72" s="101"/>
      <c r="Q72" s="101"/>
      <c r="R72" s="101"/>
      <c r="S72" s="101"/>
      <c r="T72" s="101"/>
      <c r="U72" s="101"/>
      <c r="V72" s="101"/>
      <c r="X72" s="101"/>
      <c r="Y72" s="101"/>
      <c r="Z72" s="101"/>
      <c r="AA72" s="101"/>
      <c r="AC72" s="101"/>
      <c r="AD72" s="101"/>
      <c r="AE72" s="101"/>
      <c r="AF72" s="101"/>
      <c r="AH72" s="101"/>
      <c r="AI72" s="101"/>
      <c r="AJ72" s="101"/>
      <c r="AK72" s="101"/>
      <c r="AM72" s="101"/>
      <c r="AN72" s="101"/>
      <c r="AO72" s="101"/>
      <c r="AP72" s="101"/>
      <c r="AR72" s="101"/>
      <c r="AS72" s="101"/>
      <c r="AT72" s="101"/>
      <c r="AU72" s="101"/>
      <c r="AV72" s="101"/>
      <c r="AW72" s="101"/>
      <c r="AX72" s="101"/>
      <c r="AY72" s="101"/>
      <c r="AZ72" s="101"/>
      <c r="BA72" s="101"/>
      <c r="BB72" s="9">
        <v>0</v>
      </c>
      <c r="BC72" s="9"/>
      <c r="BD72" s="9"/>
      <c r="BE72" s="9"/>
      <c r="BF72" s="101"/>
      <c r="BG72" s="9">
        <v>0</v>
      </c>
      <c r="BH72" s="9">
        <v>264</v>
      </c>
      <c r="BI72" s="9">
        <v>0</v>
      </c>
      <c r="BJ72" s="9"/>
      <c r="BK72" s="101"/>
      <c r="BL72" s="101"/>
      <c r="BM72" s="9">
        <v>264</v>
      </c>
      <c r="BN72" s="9"/>
      <c r="BO72" s="9"/>
      <c r="BP72" s="101"/>
      <c r="BQ72" s="101"/>
      <c r="BR72" s="9">
        <v>264</v>
      </c>
      <c r="BS72" s="9"/>
      <c r="BT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row>
    <row r="73" spans="1:105">
      <c r="D73" s="4" t="s">
        <v>2813</v>
      </c>
      <c r="E73" s="21"/>
      <c r="F73" s="21"/>
      <c r="G73" s="21"/>
      <c r="H73" s="21"/>
      <c r="I73" s="21"/>
      <c r="J73" s="21"/>
      <c r="K73" s="21"/>
      <c r="L73" s="21"/>
      <c r="M73" s="21"/>
      <c r="N73" s="21"/>
      <c r="O73" s="101"/>
      <c r="P73" s="101"/>
      <c r="Q73" s="101"/>
      <c r="R73" s="101"/>
      <c r="S73" s="101"/>
      <c r="T73" s="101"/>
      <c r="U73" s="101"/>
      <c r="V73" s="101"/>
      <c r="X73" s="101"/>
      <c r="Y73" s="101"/>
      <c r="Z73" s="101"/>
      <c r="AA73" s="101"/>
      <c r="AC73" s="101"/>
      <c r="AD73" s="101"/>
      <c r="AE73" s="101"/>
      <c r="AF73" s="101"/>
      <c r="AH73" s="101"/>
      <c r="AI73" s="101"/>
      <c r="AJ73" s="101"/>
      <c r="AK73" s="101"/>
      <c r="AM73" s="101"/>
      <c r="AN73" s="101"/>
      <c r="AO73" s="101"/>
      <c r="AP73" s="101"/>
      <c r="AR73" s="101"/>
      <c r="AS73" s="101"/>
      <c r="AT73" s="101"/>
      <c r="AU73" s="101"/>
      <c r="AV73" s="101"/>
      <c r="AW73" s="101"/>
      <c r="AX73" s="101"/>
      <c r="AY73" s="101"/>
      <c r="AZ73" s="101"/>
      <c r="BA73" s="101"/>
      <c r="BB73" s="9">
        <v>0</v>
      </c>
      <c r="BC73" s="9"/>
      <c r="BD73" s="9"/>
      <c r="BE73" s="9"/>
      <c r="BF73" s="101"/>
      <c r="BG73" s="9">
        <v>0</v>
      </c>
      <c r="BH73" s="9">
        <v>32</v>
      </c>
      <c r="BI73" s="9">
        <v>27</v>
      </c>
      <c r="BJ73" s="9"/>
      <c r="BK73" s="101"/>
      <c r="BL73" s="101"/>
      <c r="BM73" s="101"/>
      <c r="BN73" s="101"/>
      <c r="BO73" s="101"/>
      <c r="BP73" s="101"/>
      <c r="BQ73" s="101"/>
      <c r="BR73" s="101"/>
      <c r="BS73" s="101"/>
      <c r="BT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row>
    <row r="74" spans="1:105">
      <c r="D74" s="4" t="s">
        <v>2814</v>
      </c>
      <c r="E74" s="21"/>
      <c r="F74" s="21"/>
      <c r="G74" s="21"/>
      <c r="H74" s="21"/>
      <c r="I74" s="21"/>
      <c r="J74" s="21"/>
      <c r="K74" s="21"/>
      <c r="L74" s="21"/>
      <c r="M74" s="21"/>
      <c r="N74" s="21"/>
      <c r="O74" s="101"/>
      <c r="P74" s="101"/>
      <c r="Q74" s="101"/>
      <c r="R74" s="101"/>
      <c r="S74" s="101"/>
      <c r="T74" s="101"/>
      <c r="U74" s="101"/>
      <c r="V74" s="101"/>
      <c r="X74" s="101"/>
      <c r="Y74" s="101"/>
      <c r="Z74" s="101"/>
      <c r="AA74" s="101"/>
      <c r="AC74" s="101"/>
      <c r="AD74" s="101"/>
      <c r="AE74" s="101"/>
      <c r="AF74" s="101"/>
      <c r="AH74" s="101"/>
      <c r="AI74" s="101"/>
      <c r="AJ74" s="101"/>
      <c r="AK74" s="101"/>
      <c r="AM74" s="101"/>
      <c r="AN74" s="101"/>
      <c r="AO74" s="101"/>
      <c r="AP74" s="101"/>
      <c r="AR74" s="101"/>
      <c r="AS74" s="101"/>
      <c r="AT74" s="101"/>
      <c r="AU74" s="101"/>
      <c r="AV74" s="101"/>
      <c r="AW74" s="101"/>
      <c r="AX74" s="101"/>
      <c r="AY74" s="101"/>
      <c r="AZ74" s="101"/>
      <c r="BA74" s="101"/>
      <c r="BB74" s="9">
        <f>-57-BB71</f>
        <v>-312</v>
      </c>
      <c r="BC74" s="9"/>
      <c r="BD74" s="9">
        <v>-21</v>
      </c>
      <c r="BE74" s="9"/>
      <c r="BF74" s="101"/>
      <c r="BG74" s="9">
        <v>-42</v>
      </c>
      <c r="BH74" s="9">
        <v>63</v>
      </c>
      <c r="BI74" s="9">
        <v>87</v>
      </c>
      <c r="BJ74" s="9">
        <v>-29</v>
      </c>
      <c r="BK74" s="101"/>
      <c r="BL74" s="9">
        <v>-137</v>
      </c>
      <c r="BM74" s="9">
        <v>-31</v>
      </c>
      <c r="BN74" s="9">
        <v>66</v>
      </c>
      <c r="BO74" s="9">
        <v>183</v>
      </c>
      <c r="BP74" s="101"/>
      <c r="BQ74" s="9">
        <v>-123</v>
      </c>
      <c r="BR74" s="9">
        <v>3</v>
      </c>
      <c r="BS74" s="9">
        <v>14</v>
      </c>
      <c r="BT74" s="9">
        <f>Master!S90+Master!S95-BQ74-BR74-BS74</f>
        <v>-107</v>
      </c>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row>
    <row r="75" spans="1:105">
      <c r="A75" s="478" t="s">
        <v>1823</v>
      </c>
      <c r="D75" s="4" t="s">
        <v>3632</v>
      </c>
      <c r="E75" s="21"/>
      <c r="F75" s="21"/>
      <c r="G75" s="21"/>
      <c r="H75" s="21"/>
      <c r="I75" s="21"/>
      <c r="J75" s="21"/>
      <c r="K75" s="21"/>
      <c r="L75" s="21"/>
      <c r="M75" s="21"/>
      <c r="N75" s="21"/>
      <c r="O75" s="101"/>
      <c r="P75" s="101"/>
      <c r="Q75" s="101"/>
      <c r="R75" s="101"/>
      <c r="S75" s="101"/>
      <c r="T75" s="101"/>
      <c r="U75" s="101"/>
      <c r="V75" s="101"/>
      <c r="X75" s="101"/>
      <c r="Y75" s="101"/>
      <c r="Z75" s="101"/>
      <c r="AA75" s="101"/>
      <c r="AC75" s="101"/>
      <c r="AD75" s="101"/>
      <c r="AE75" s="101"/>
      <c r="AF75" s="101"/>
      <c r="AH75" s="101"/>
      <c r="AI75" s="101"/>
      <c r="AJ75" s="101"/>
      <c r="AK75" s="101"/>
      <c r="AM75" s="101"/>
      <c r="AN75" s="101"/>
      <c r="AO75" s="101"/>
      <c r="AP75" s="101"/>
      <c r="AR75" s="101"/>
      <c r="AS75" s="101"/>
      <c r="AT75" s="101"/>
      <c r="AU75" s="101"/>
      <c r="AV75" s="101"/>
      <c r="AW75" s="101"/>
      <c r="AX75" s="101"/>
      <c r="AY75" s="101"/>
      <c r="AZ75" s="101"/>
      <c r="BA75" s="101"/>
      <c r="BB75" s="9">
        <v>0</v>
      </c>
      <c r="BC75" s="9"/>
      <c r="BD75" s="9"/>
      <c r="BE75" s="9"/>
      <c r="BF75" s="101"/>
      <c r="BG75" s="101"/>
      <c r="BH75" s="101"/>
      <c r="BI75" s="9">
        <v>-110</v>
      </c>
      <c r="BJ75" s="9"/>
      <c r="BK75" s="101"/>
      <c r="BL75" s="101"/>
      <c r="BM75" s="101"/>
      <c r="BN75" s="101"/>
      <c r="BO75" s="101"/>
      <c r="BP75" s="101"/>
      <c r="BQ75" s="9">
        <v>42</v>
      </c>
      <c r="BR75" s="9">
        <v>0</v>
      </c>
      <c r="BS75" s="9">
        <v>0</v>
      </c>
      <c r="BT75" s="9">
        <f>Master!S208+Master!S211-BQ75-BR75-BS75</f>
        <v>0</v>
      </c>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row>
    <row r="76" spans="1:105">
      <c r="A76" s="478"/>
      <c r="D76" s="4" t="s">
        <v>3804</v>
      </c>
      <c r="E76" s="21"/>
      <c r="F76" s="21"/>
      <c r="G76" s="21"/>
      <c r="H76" s="21"/>
      <c r="I76" s="21"/>
      <c r="J76" s="21"/>
      <c r="K76" s="21"/>
      <c r="L76" s="21"/>
      <c r="M76" s="21"/>
      <c r="N76" s="21"/>
      <c r="O76" s="101"/>
      <c r="P76" s="101"/>
      <c r="Q76" s="101"/>
      <c r="R76" s="101"/>
      <c r="S76" s="101"/>
      <c r="T76" s="101"/>
      <c r="U76" s="101"/>
      <c r="V76" s="101"/>
      <c r="X76" s="101"/>
      <c r="Y76" s="101"/>
      <c r="Z76" s="101"/>
      <c r="AA76" s="101"/>
      <c r="AC76" s="101"/>
      <c r="AD76" s="101"/>
      <c r="AE76" s="101"/>
      <c r="AF76" s="101"/>
      <c r="AH76" s="101"/>
      <c r="AI76" s="101"/>
      <c r="AJ76" s="101"/>
      <c r="AK76" s="101"/>
      <c r="AM76" s="101"/>
      <c r="AN76" s="101"/>
      <c r="AO76" s="101"/>
      <c r="AP76" s="101"/>
      <c r="AR76" s="101"/>
      <c r="AS76" s="101"/>
      <c r="AT76" s="101"/>
      <c r="AU76" s="101"/>
      <c r="AV76" s="101"/>
      <c r="AW76" s="101"/>
      <c r="AX76" s="101"/>
      <c r="AY76" s="101"/>
      <c r="AZ76" s="101"/>
      <c r="BA76" s="101"/>
      <c r="BB76" s="9"/>
      <c r="BC76" s="9"/>
      <c r="BD76" s="9"/>
      <c r="BE76" s="9"/>
      <c r="BF76" s="101"/>
      <c r="BG76" s="9">
        <v>-188</v>
      </c>
      <c r="BH76" s="9">
        <v>-56</v>
      </c>
      <c r="BI76" s="9">
        <v>-20</v>
      </c>
      <c r="BJ76" s="9">
        <v>-36</v>
      </c>
      <c r="BK76" s="101"/>
      <c r="BL76" s="9">
        <v>-25</v>
      </c>
      <c r="BM76" s="9">
        <v>-71</v>
      </c>
      <c r="BN76" s="9">
        <v>-84</v>
      </c>
      <c r="BO76" s="9">
        <v>-89</v>
      </c>
      <c r="BP76" s="101"/>
      <c r="BQ76" s="9">
        <v>-14</v>
      </c>
      <c r="BR76" s="9">
        <v>-15</v>
      </c>
      <c r="BS76" s="9">
        <v>-19</v>
      </c>
      <c r="BT76" s="9">
        <f>Master!S107-BQ76-BR76-BS76</f>
        <v>-117</v>
      </c>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row>
    <row r="77" spans="1:105">
      <c r="A77" s="478"/>
      <c r="D77" s="4" t="s">
        <v>2705</v>
      </c>
      <c r="E77" s="21"/>
      <c r="F77" s="21"/>
      <c r="G77" s="21"/>
      <c r="H77" s="21"/>
      <c r="I77" s="21"/>
      <c r="J77" s="21"/>
      <c r="K77" s="21"/>
      <c r="L77" s="21"/>
      <c r="M77" s="21"/>
      <c r="N77" s="21"/>
      <c r="O77" s="101"/>
      <c r="P77" s="101"/>
      <c r="Q77" s="101"/>
      <c r="R77" s="101"/>
      <c r="S77" s="101"/>
      <c r="T77" s="101"/>
      <c r="U77" s="101"/>
      <c r="V77" s="101"/>
      <c r="X77" s="101"/>
      <c r="Y77" s="101"/>
      <c r="Z77" s="101"/>
      <c r="AA77" s="101"/>
      <c r="AC77" s="101"/>
      <c r="AD77" s="101"/>
      <c r="AE77" s="101"/>
      <c r="AF77" s="101"/>
      <c r="AH77" s="101"/>
      <c r="AI77" s="101"/>
      <c r="AJ77" s="101"/>
      <c r="AK77" s="101"/>
      <c r="AM77" s="101"/>
      <c r="AN77" s="101"/>
      <c r="AO77" s="101"/>
      <c r="AP77" s="101"/>
      <c r="AR77" s="101"/>
      <c r="AS77" s="101"/>
      <c r="AT77" s="101"/>
      <c r="AU77" s="101"/>
      <c r="AV77" s="101"/>
      <c r="AW77" s="101"/>
      <c r="AX77" s="101"/>
      <c r="AY77" s="101"/>
      <c r="AZ77" s="101"/>
      <c r="BA77" s="101"/>
      <c r="BB77" s="9"/>
      <c r="BC77" s="9"/>
      <c r="BD77" s="9"/>
      <c r="BE77" s="9"/>
      <c r="BF77" s="101"/>
      <c r="BG77" s="101"/>
      <c r="BH77" s="101"/>
      <c r="BI77" s="9">
        <v>1340</v>
      </c>
      <c r="BJ77" s="9"/>
      <c r="BK77" s="101"/>
      <c r="BL77" s="101"/>
      <c r="BM77" s="101"/>
      <c r="BN77" s="101"/>
      <c r="BO77" s="101"/>
      <c r="BP77" s="101"/>
      <c r="BQ77" s="101"/>
      <c r="BR77" s="101"/>
      <c r="BS77" s="101"/>
      <c r="BT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row>
    <row r="78" spans="1:105">
      <c r="A78" s="478"/>
      <c r="D78" s="4" t="s">
        <v>4378</v>
      </c>
      <c r="E78" s="21"/>
      <c r="F78" s="21"/>
      <c r="G78" s="21"/>
      <c r="H78" s="21"/>
      <c r="I78" s="21"/>
      <c r="J78" s="21"/>
      <c r="K78" s="21"/>
      <c r="L78" s="21"/>
      <c r="M78" s="21"/>
      <c r="N78" s="21"/>
      <c r="O78" s="101"/>
      <c r="P78" s="101"/>
      <c r="Q78" s="101"/>
      <c r="R78" s="101"/>
      <c r="S78" s="101"/>
      <c r="T78" s="101"/>
      <c r="U78" s="101"/>
      <c r="V78" s="101"/>
      <c r="X78" s="101"/>
      <c r="Y78" s="101"/>
      <c r="Z78" s="101"/>
      <c r="AA78" s="101"/>
      <c r="AC78" s="101"/>
      <c r="AD78" s="101"/>
      <c r="AE78" s="101"/>
      <c r="AF78" s="101"/>
      <c r="AH78" s="101"/>
      <c r="AI78" s="101"/>
      <c r="AJ78" s="101"/>
      <c r="AK78" s="101"/>
      <c r="AM78" s="101"/>
      <c r="AN78" s="101"/>
      <c r="AO78" s="101"/>
      <c r="AP78" s="101"/>
      <c r="AR78" s="101"/>
      <c r="AS78" s="101"/>
      <c r="AT78" s="101"/>
      <c r="AU78" s="101"/>
      <c r="AV78" s="101"/>
      <c r="AW78" s="101"/>
      <c r="AX78" s="101"/>
      <c r="AY78" s="101"/>
      <c r="AZ78" s="101"/>
      <c r="BA78" s="101"/>
      <c r="BB78" s="9"/>
      <c r="BC78" s="9"/>
      <c r="BD78" s="9"/>
      <c r="BE78" s="9"/>
      <c r="BF78" s="101"/>
      <c r="BG78" s="101"/>
      <c r="BH78" s="101"/>
      <c r="BI78" s="9"/>
      <c r="BJ78" s="9"/>
      <c r="BK78" s="101"/>
      <c r="BL78" s="101"/>
      <c r="BM78" s="101"/>
      <c r="BN78" s="101"/>
      <c r="BO78" s="101"/>
      <c r="BP78" s="101"/>
      <c r="BQ78" s="101"/>
      <c r="BR78" s="9">
        <v>137</v>
      </c>
      <c r="BS78" s="9"/>
      <c r="BT78" s="9">
        <f>-Master!S215-BQ78-BR78-BS78-BQ79-BR79-BS79-BT79</f>
        <v>40</v>
      </c>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row>
    <row r="79" spans="1:105">
      <c r="A79" s="478"/>
      <c r="D79" s="12" t="s">
        <v>4417</v>
      </c>
      <c r="E79" s="11"/>
      <c r="F79" s="11"/>
      <c r="G79" s="11"/>
      <c r="H79" s="11"/>
      <c r="I79" s="11"/>
      <c r="J79" s="11"/>
      <c r="K79" s="11"/>
      <c r="L79" s="11"/>
      <c r="M79" s="11"/>
      <c r="N79" s="11"/>
      <c r="O79" s="426"/>
      <c r="P79" s="426"/>
      <c r="Q79" s="426"/>
      <c r="R79" s="426"/>
      <c r="S79" s="426"/>
      <c r="T79" s="426"/>
      <c r="U79" s="426"/>
      <c r="V79" s="426"/>
      <c r="W79" s="455"/>
      <c r="X79" s="426"/>
      <c r="Y79" s="426"/>
      <c r="Z79" s="426"/>
      <c r="AA79" s="426"/>
      <c r="AB79" s="455"/>
      <c r="AC79" s="426"/>
      <c r="AD79" s="426"/>
      <c r="AE79" s="426"/>
      <c r="AF79" s="426"/>
      <c r="AG79" s="455"/>
      <c r="AH79" s="426"/>
      <c r="AI79" s="426"/>
      <c r="AJ79" s="426"/>
      <c r="AK79" s="426"/>
      <c r="AL79" s="455"/>
      <c r="AM79" s="426"/>
      <c r="AN79" s="426"/>
      <c r="AO79" s="426"/>
      <c r="AP79" s="426"/>
      <c r="AQ79" s="455"/>
      <c r="AR79" s="426"/>
      <c r="AS79" s="426"/>
      <c r="AT79" s="426"/>
      <c r="AU79" s="426"/>
      <c r="AV79" s="426"/>
      <c r="AW79" s="426"/>
      <c r="AX79" s="426"/>
      <c r="AY79" s="426"/>
      <c r="AZ79" s="426"/>
      <c r="BA79" s="426"/>
      <c r="BB79" s="13"/>
      <c r="BC79" s="13"/>
      <c r="BD79" s="13"/>
      <c r="BE79" s="13"/>
      <c r="BF79" s="426"/>
      <c r="BG79" s="426"/>
      <c r="BH79" s="426"/>
      <c r="BI79" s="13"/>
      <c r="BJ79" s="13"/>
      <c r="BK79" s="426"/>
      <c r="BL79" s="13">
        <v>-20</v>
      </c>
      <c r="BM79" s="13">
        <v>-42</v>
      </c>
      <c r="BN79" s="13">
        <v>-23</v>
      </c>
      <c r="BO79" s="13">
        <v>76</v>
      </c>
      <c r="BP79" s="101"/>
      <c r="BQ79" s="13">
        <v>18</v>
      </c>
      <c r="BR79" s="13">
        <v>124</v>
      </c>
      <c r="BS79" s="13">
        <v>-20</v>
      </c>
      <c r="BT79" s="1108">
        <v>-139</v>
      </c>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row>
    <row r="80" spans="1:105">
      <c r="A80" s="478"/>
      <c r="D80" s="4" t="s">
        <v>3597</v>
      </c>
      <c r="E80" s="21"/>
      <c r="F80" s="21"/>
      <c r="G80" s="21"/>
      <c r="H80" s="21"/>
      <c r="I80" s="21"/>
      <c r="J80" s="21"/>
      <c r="K80" s="21"/>
      <c r="L80" s="21"/>
      <c r="M80" s="21"/>
      <c r="N80" s="21"/>
      <c r="O80" s="101"/>
      <c r="P80" s="101"/>
      <c r="Q80" s="101"/>
      <c r="R80" s="101"/>
      <c r="S80" s="101"/>
      <c r="T80" s="101"/>
      <c r="U80" s="101"/>
      <c r="V80" s="101"/>
      <c r="X80" s="101"/>
      <c r="Y80" s="101"/>
      <c r="Z80" s="101"/>
      <c r="AA80" s="101"/>
      <c r="AC80" s="101"/>
      <c r="AD80" s="101"/>
      <c r="AE80" s="101"/>
      <c r="AF80" s="101"/>
      <c r="AH80" s="101"/>
      <c r="AI80" s="101"/>
      <c r="AJ80" s="101"/>
      <c r="AK80" s="101"/>
      <c r="AM80" s="101"/>
      <c r="AN80" s="101"/>
      <c r="AO80" s="101"/>
      <c r="AP80" s="101"/>
      <c r="AR80" s="101"/>
      <c r="AS80" s="101"/>
      <c r="AT80" s="101"/>
      <c r="AU80" s="101"/>
      <c r="AV80" s="101"/>
      <c r="AW80" s="101"/>
      <c r="AX80" s="101"/>
      <c r="AY80" s="101"/>
      <c r="AZ80" s="101"/>
      <c r="BA80" s="101"/>
      <c r="BB80" s="9"/>
      <c r="BC80" s="9"/>
      <c r="BD80" s="9"/>
      <c r="BE80" s="9"/>
      <c r="BF80" s="101"/>
      <c r="BG80" s="9">
        <f>BG71-BG72-BG73+BG74-BG75-BG77+BG76</f>
        <v>-88.225668568485162</v>
      </c>
      <c r="BH80" s="9">
        <f>BH71-BH72-BH73+BH74-BH75-BH77+BH76</f>
        <v>-321.54734571505958</v>
      </c>
      <c r="BI80" s="9">
        <f>BI71-BI72-BI73+BI74-BI75-BI77+BI76</f>
        <v>-1091.144573793094</v>
      </c>
      <c r="BJ80" s="9">
        <f>BJ71-BJ72-BJ73+BJ74-BJ75-BJ77+BJ76</f>
        <v>-132.66384376448786</v>
      </c>
      <c r="BK80" s="101"/>
      <c r="BL80" s="9">
        <f>BL71-BL72-BL73+BL74-BL75-BL77+BL76+BL79</f>
        <v>31.5</v>
      </c>
      <c r="BM80" s="9">
        <f>BM71-BM72-BM73+BM74-BM75-BM77+BM76+BM79</f>
        <v>-320</v>
      </c>
      <c r="BN80" s="9">
        <f>BN71-BN72-BN73+BN74-BN75-BN77+BN76+BN79</f>
        <v>12</v>
      </c>
      <c r="BO80" s="9">
        <f>BO71-BO72-BO73+BO74-BO75-BO77+BO76+BO79</f>
        <v>-27</v>
      </c>
      <c r="BP80" s="101"/>
      <c r="BQ80" s="9">
        <f>BQ71-BQ72-BQ73+BQ74-BQ75-BQ77+BQ76+BQ79+BQ78</f>
        <v>-124.34799999999996</v>
      </c>
      <c r="BR80" s="9">
        <f>BR71-BR72-BR73+BR74-BR75-BR77+BR76+BR79+BR78</f>
        <v>136.82399999999996</v>
      </c>
      <c r="BS80" s="9">
        <f>BS71-BS72-BS73+BS74-BS75-BS77+BS76+BS79+BS78</f>
        <v>130</v>
      </c>
      <c r="BT80" s="9">
        <f ca="1">BT71-BT72-BT73+BT74-BT75-BT77+BT76+BT79+BT78</f>
        <v>-298.39807298308654</v>
      </c>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row>
    <row r="81" spans="4:105">
      <c r="D81" s="4"/>
      <c r="E81" s="21"/>
      <c r="F81" s="21"/>
      <c r="G81" s="21"/>
      <c r="H81" s="21"/>
      <c r="I81" s="21"/>
      <c r="J81" s="21"/>
      <c r="K81" s="21"/>
      <c r="L81" s="21"/>
      <c r="M81" s="21"/>
      <c r="N81" s="21"/>
      <c r="O81" s="101"/>
      <c r="P81" s="101"/>
      <c r="Q81" s="101"/>
      <c r="R81" s="101"/>
      <c r="S81" s="101"/>
      <c r="T81" s="101"/>
      <c r="U81" s="101"/>
      <c r="V81" s="101"/>
      <c r="X81" s="101"/>
      <c r="Y81" s="101"/>
      <c r="Z81" s="101"/>
      <c r="AA81" s="101"/>
      <c r="AC81" s="101"/>
      <c r="AD81" s="101"/>
      <c r="AE81" s="101"/>
      <c r="AF81" s="101"/>
      <c r="AH81" s="101"/>
      <c r="AI81" s="101"/>
      <c r="AJ81" s="101"/>
      <c r="AK81" s="101"/>
      <c r="AM81" s="101"/>
      <c r="AN81" s="101"/>
      <c r="AO81" s="101"/>
      <c r="AP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row>
    <row r="82" spans="4:105">
      <c r="D82" s="4" t="s">
        <v>134</v>
      </c>
      <c r="E82" s="21"/>
      <c r="F82" s="21"/>
      <c r="G82" s="21"/>
      <c r="H82" s="21"/>
      <c r="I82" s="21"/>
      <c r="J82" s="21"/>
      <c r="K82" s="21"/>
      <c r="L82" s="21"/>
      <c r="M82" s="21"/>
      <c r="N82" s="21"/>
      <c r="O82" s="101"/>
      <c r="P82" s="101"/>
      <c r="Q82" s="101"/>
      <c r="R82" s="101"/>
      <c r="S82" s="101"/>
      <c r="T82" s="101"/>
      <c r="U82" s="101"/>
      <c r="V82" s="101"/>
      <c r="X82" s="101"/>
      <c r="Y82" s="101"/>
      <c r="Z82" s="101"/>
      <c r="AA82" s="101"/>
      <c r="AC82" s="101"/>
      <c r="AD82" s="101"/>
      <c r="AE82" s="101"/>
      <c r="AF82" s="101"/>
      <c r="AH82" s="101"/>
      <c r="AI82" s="101"/>
      <c r="AJ82" s="101"/>
      <c r="AK82" s="101"/>
      <c r="AM82" s="101"/>
      <c r="AN82" s="101"/>
      <c r="AO82" s="101"/>
      <c r="AP82" s="101"/>
      <c r="AR82" s="101"/>
      <c r="AS82" s="101"/>
      <c r="AT82" s="101"/>
      <c r="AU82" s="101"/>
      <c r="AV82" s="101"/>
      <c r="AW82" s="101"/>
      <c r="AX82" s="101"/>
      <c r="AY82" s="101"/>
      <c r="AZ82" s="101"/>
      <c r="BA82" s="101"/>
      <c r="BB82" s="101"/>
      <c r="BC82" s="101"/>
      <c r="BD82" s="101"/>
      <c r="BE82" s="101"/>
      <c r="BF82" s="101"/>
      <c r="BG82" s="9">
        <v>4521</v>
      </c>
      <c r="BH82" s="9">
        <v>4484</v>
      </c>
      <c r="BI82" s="9">
        <v>5000</v>
      </c>
      <c r="BJ82" s="9">
        <v>4829</v>
      </c>
      <c r="BK82" s="101"/>
      <c r="BL82" s="9">
        <v>5227</v>
      </c>
      <c r="BM82" s="9">
        <v>5086</v>
      </c>
      <c r="BN82" s="9">
        <v>5122</v>
      </c>
      <c r="BO82" s="9">
        <v>5384</v>
      </c>
      <c r="BP82" s="101"/>
      <c r="BQ82" s="9">
        <v>5402</v>
      </c>
      <c r="BR82" s="9">
        <v>5700</v>
      </c>
      <c r="BS82" s="9">
        <v>5789</v>
      </c>
      <c r="BT82" s="9">
        <f>BS82</f>
        <v>5789</v>
      </c>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row>
    <row r="83" spans="4:105">
      <c r="D83" s="4" t="s">
        <v>2222</v>
      </c>
      <c r="E83" s="21"/>
      <c r="F83" s="21"/>
      <c r="G83" s="21"/>
      <c r="H83" s="21"/>
      <c r="I83" s="21"/>
      <c r="J83" s="21"/>
      <c r="K83" s="21"/>
      <c r="L83" s="21"/>
      <c r="M83" s="21"/>
      <c r="N83" s="21"/>
      <c r="O83" s="101"/>
      <c r="P83" s="101"/>
      <c r="Q83" s="101"/>
      <c r="R83" s="101"/>
      <c r="S83" s="101"/>
      <c r="T83" s="101"/>
      <c r="U83" s="101"/>
      <c r="V83" s="101"/>
      <c r="X83" s="101"/>
      <c r="Y83" s="101"/>
      <c r="Z83" s="101"/>
      <c r="AA83" s="101"/>
      <c r="AC83" s="101"/>
      <c r="AD83" s="101"/>
      <c r="AE83" s="101"/>
      <c r="AF83" s="101"/>
      <c r="AH83" s="101"/>
      <c r="AI83" s="101"/>
      <c r="AJ83" s="101"/>
      <c r="AK83" s="101"/>
      <c r="AM83" s="101"/>
      <c r="AN83" s="101"/>
      <c r="AO83" s="101"/>
      <c r="AP83" s="101"/>
      <c r="AR83" s="101"/>
      <c r="AS83" s="101"/>
      <c r="AT83" s="101"/>
      <c r="AU83" s="101"/>
      <c r="AV83" s="101"/>
      <c r="AW83" s="101"/>
      <c r="AX83" s="101"/>
      <c r="AY83" s="101"/>
      <c r="AZ83" s="101"/>
      <c r="BA83" s="101"/>
      <c r="BB83" s="101"/>
      <c r="BC83" s="101"/>
      <c r="BD83" s="101"/>
      <c r="BE83" s="101"/>
      <c r="BF83" s="101"/>
      <c r="BG83" s="9">
        <v>1899</v>
      </c>
      <c r="BH83" s="9">
        <v>1437</v>
      </c>
      <c r="BI83" s="9">
        <v>814</v>
      </c>
      <c r="BJ83" s="9">
        <f>BJ82-BJ84</f>
        <v>832</v>
      </c>
      <c r="BK83" s="101"/>
      <c r="BL83" s="9">
        <f>BL82-BL84</f>
        <v>1263</v>
      </c>
      <c r="BM83" s="9">
        <f>BM82-BM84</f>
        <v>805</v>
      </c>
      <c r="BN83" s="9">
        <v>854</v>
      </c>
      <c r="BO83" s="9">
        <v>1090</v>
      </c>
      <c r="BP83" s="101"/>
      <c r="BQ83" s="9">
        <f>BQ82-BQ84</f>
        <v>983</v>
      </c>
      <c r="BR83" s="9">
        <f>BR82-BR84</f>
        <v>1418</v>
      </c>
      <c r="BS83" s="9">
        <f>BS82-BS84</f>
        <v>1637</v>
      </c>
      <c r="BT83" s="9">
        <f ca="1">BT82-BT84</f>
        <v>1338.6019270169136</v>
      </c>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row>
    <row r="84" spans="4:105">
      <c r="D84" s="4" t="s">
        <v>150</v>
      </c>
      <c r="E84" s="21"/>
      <c r="F84" s="21"/>
      <c r="G84" s="21"/>
      <c r="H84" s="21"/>
      <c r="I84" s="21"/>
      <c r="J84" s="21"/>
      <c r="K84" s="21"/>
      <c r="L84" s="21"/>
      <c r="M84" s="21"/>
      <c r="N84" s="21"/>
      <c r="O84" s="101"/>
      <c r="P84" s="101"/>
      <c r="Q84" s="101"/>
      <c r="R84" s="101"/>
      <c r="S84" s="101"/>
      <c r="T84" s="101"/>
      <c r="U84" s="101"/>
      <c r="V84" s="101"/>
      <c r="X84" s="101"/>
      <c r="Y84" s="101"/>
      <c r="Z84" s="101"/>
      <c r="AA84" s="101"/>
      <c r="AC84" s="101"/>
      <c r="AD84" s="101"/>
      <c r="AE84" s="101"/>
      <c r="AF84" s="101"/>
      <c r="AH84" s="101"/>
      <c r="AI84" s="101"/>
      <c r="AJ84" s="101"/>
      <c r="AK84" s="101"/>
      <c r="AM84" s="101"/>
      <c r="AN84" s="101"/>
      <c r="AO84" s="101"/>
      <c r="AP84" s="101"/>
      <c r="AR84" s="101"/>
      <c r="AS84" s="101"/>
      <c r="AT84" s="101"/>
      <c r="AU84" s="101"/>
      <c r="AV84" s="101"/>
      <c r="AW84" s="9">
        <v>1308</v>
      </c>
      <c r="AX84" s="101"/>
      <c r="AY84" s="101"/>
      <c r="AZ84" s="9" t="e">
        <f>Valuation!#REF!</f>
        <v>#REF!</v>
      </c>
      <c r="BA84" s="101"/>
      <c r="BB84" s="9">
        <v>2075</v>
      </c>
      <c r="BC84" s="9"/>
      <c r="BD84" s="9">
        <v>2264</v>
      </c>
      <c r="BE84" s="9" t="e">
        <f>Valuation!#REF!</f>
        <v>#REF!</v>
      </c>
      <c r="BF84" s="101"/>
      <c r="BG84" s="9">
        <f>BG82-BG83</f>
        <v>2622</v>
      </c>
      <c r="BH84" s="9">
        <f>BH82-BH83</f>
        <v>3047</v>
      </c>
      <c r="BI84" s="9">
        <v>4187</v>
      </c>
      <c r="BJ84" s="9">
        <v>3997</v>
      </c>
      <c r="BK84" s="101"/>
      <c r="BL84" s="9">
        <v>3964</v>
      </c>
      <c r="BM84" s="9">
        <v>4281</v>
      </c>
      <c r="BN84" s="9">
        <v>4268</v>
      </c>
      <c r="BO84" s="9">
        <v>4295</v>
      </c>
      <c r="BP84" s="101"/>
      <c r="BQ84" s="9">
        <v>4419</v>
      </c>
      <c r="BR84" s="9">
        <v>4282</v>
      </c>
      <c r="BS84" s="9">
        <v>4152</v>
      </c>
      <c r="BT84" s="9">
        <f ca="1">BS84-BT80</f>
        <v>4450.3980729830864</v>
      </c>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row>
    <row r="85" spans="4:105">
      <c r="D85" s="4" t="s">
        <v>169</v>
      </c>
      <c r="E85" s="21"/>
      <c r="F85" s="21"/>
      <c r="G85" s="21"/>
      <c r="H85" s="21"/>
      <c r="I85" s="21"/>
      <c r="J85" s="21"/>
      <c r="K85" s="21"/>
      <c r="L85" s="21"/>
      <c r="M85" s="21"/>
      <c r="N85" s="21"/>
      <c r="O85" s="101"/>
      <c r="P85" s="101"/>
      <c r="Q85" s="101"/>
      <c r="R85" s="101"/>
      <c r="S85" s="101"/>
      <c r="T85" s="101"/>
      <c r="U85" s="101"/>
      <c r="V85" s="101"/>
      <c r="X85" s="101"/>
      <c r="Y85" s="101"/>
      <c r="Z85" s="101"/>
      <c r="AA85" s="101"/>
      <c r="AC85" s="101"/>
      <c r="AD85" s="101"/>
      <c r="AE85" s="101"/>
      <c r="AF85" s="101"/>
      <c r="AH85" s="101"/>
      <c r="AI85" s="101"/>
      <c r="AJ85" s="101"/>
      <c r="AK85" s="101"/>
      <c r="AM85" s="101"/>
      <c r="AN85" s="101"/>
      <c r="AO85" s="101"/>
      <c r="AP85" s="101"/>
      <c r="AR85" s="101"/>
      <c r="AS85" s="101"/>
      <c r="AT85" s="101"/>
      <c r="AU85" s="101"/>
      <c r="AV85" s="101"/>
      <c r="AW85" s="9"/>
      <c r="AX85" s="101"/>
      <c r="AY85" s="101"/>
      <c r="AZ85" s="9"/>
      <c r="BA85" s="101"/>
      <c r="BB85" s="9"/>
      <c r="BC85" s="9"/>
      <c r="BD85" s="9"/>
      <c r="BE85" s="9"/>
      <c r="BF85" s="101"/>
      <c r="BG85" s="9"/>
      <c r="BH85" s="9"/>
      <c r="BI85" s="9"/>
      <c r="BJ85" s="9"/>
      <c r="BK85" s="101"/>
      <c r="BL85" s="9">
        <f>BJ84-BL84</f>
        <v>33</v>
      </c>
      <c r="BM85" s="9">
        <f>BL84-BM84</f>
        <v>-317</v>
      </c>
      <c r="BN85" s="9">
        <f>BM84-BN84</f>
        <v>13</v>
      </c>
      <c r="BO85" s="9">
        <f>BN84-BO84</f>
        <v>-27</v>
      </c>
      <c r="BP85" s="101"/>
      <c r="BQ85" s="9">
        <f>BO84-BQ84</f>
        <v>-124</v>
      </c>
      <c r="BR85" s="9">
        <f>BQ84-BR84</f>
        <v>137</v>
      </c>
      <c r="BS85" s="9">
        <f>BR84-BS84</f>
        <v>130</v>
      </c>
      <c r="BT85" s="9">
        <f ca="1">BS84-BT84</f>
        <v>-298.39807298308642</v>
      </c>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row>
    <row r="86" spans="4:105">
      <c r="D86" s="4"/>
      <c r="E86" s="21"/>
      <c r="F86" s="21"/>
      <c r="G86" s="21"/>
      <c r="H86" s="21"/>
      <c r="I86" s="21"/>
      <c r="J86" s="21"/>
      <c r="K86" s="21"/>
      <c r="L86" s="21"/>
      <c r="M86" s="21"/>
      <c r="N86" s="21"/>
      <c r="O86" s="101"/>
      <c r="P86" s="101"/>
      <c r="Q86" s="101"/>
      <c r="R86" s="101"/>
      <c r="S86" s="101"/>
      <c r="T86" s="101"/>
      <c r="U86" s="101"/>
      <c r="V86" s="101"/>
      <c r="X86" s="101"/>
      <c r="Y86" s="101"/>
      <c r="Z86" s="101"/>
      <c r="AA86" s="101"/>
      <c r="AC86" s="101"/>
      <c r="AD86" s="101"/>
      <c r="AE86" s="101"/>
      <c r="AF86" s="101"/>
      <c r="AH86" s="101"/>
      <c r="AI86" s="101"/>
      <c r="AJ86" s="101"/>
      <c r="AK86" s="101"/>
      <c r="AM86" s="101"/>
      <c r="AN86" s="101"/>
      <c r="AO86" s="101"/>
      <c r="AP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row>
    <row r="87" spans="4:105">
      <c r="D87" s="4" t="s">
        <v>614</v>
      </c>
      <c r="E87" s="21"/>
      <c r="F87" s="21"/>
      <c r="G87" s="21"/>
      <c r="H87" s="21"/>
      <c r="I87" s="21"/>
      <c r="J87" s="21"/>
      <c r="K87" s="21"/>
      <c r="L87" s="21"/>
      <c r="M87" s="21"/>
      <c r="N87" s="21"/>
      <c r="O87" s="101"/>
      <c r="P87" s="101"/>
      <c r="Q87" s="101"/>
      <c r="R87" s="101"/>
      <c r="S87" s="101"/>
      <c r="T87" s="101"/>
      <c r="U87" s="101"/>
      <c r="V87" s="101"/>
      <c r="X87" s="101"/>
      <c r="Y87" s="101"/>
      <c r="Z87" s="101"/>
      <c r="AA87" s="101"/>
      <c r="AC87" s="101"/>
      <c r="AD87" s="101"/>
      <c r="AE87" s="101"/>
      <c r="AF87" s="101"/>
      <c r="AH87" s="101"/>
      <c r="AI87" s="101"/>
      <c r="AJ87" s="101"/>
      <c r="AK87" s="101"/>
      <c r="AM87" s="101"/>
      <c r="AN87" s="101"/>
      <c r="AO87" s="101"/>
      <c r="AP87" s="101"/>
      <c r="AR87" s="101"/>
      <c r="AS87" s="101"/>
      <c r="AT87" s="101"/>
      <c r="AU87" s="101"/>
      <c r="AV87" s="101"/>
      <c r="AW87" s="101"/>
      <c r="AX87" s="101"/>
      <c r="AY87" s="101"/>
      <c r="AZ87" s="101"/>
      <c r="BA87" s="101"/>
      <c r="BB87" s="101"/>
      <c r="BC87" s="101"/>
      <c r="BD87" s="101"/>
      <c r="BE87" s="101"/>
      <c r="BF87" s="101"/>
      <c r="BG87" s="101">
        <f>BG84/(BC23+BD23+BF23+BG23)</f>
        <v>1.7659249250841051</v>
      </c>
      <c r="BH87" s="101">
        <f>BH84/(BD23+BE23+BG23+BH23)</f>
        <v>1.5415149251822915</v>
      </c>
      <c r="BI87" s="101">
        <f>BI84/(BE23+BG23+BH23+BI23)</f>
        <v>2.066141790999342</v>
      </c>
      <c r="BJ87" s="101">
        <f>BJ84/(BG23+BH23+BI23+BJ23)</f>
        <v>1.9093171622697962</v>
      </c>
      <c r="BK87" s="101"/>
      <c r="BL87" s="101">
        <f>BL84/(BH23+BI23+BJ23+BL23)</f>
        <v>1.8140678923496574</v>
      </c>
      <c r="BM87" s="101">
        <f>BM84/(BI23+BJ23+BL23+BM23)</f>
        <v>1.8803600948914541</v>
      </c>
      <c r="BN87" s="101">
        <f>BN84/(BJ23+BL23+BM23+BN23)</f>
        <v>1.8728858537379256</v>
      </c>
      <c r="BO87" s="101">
        <f>BO84/(BL23+BM23+BN23+BO23)</f>
        <v>1.9144194339202139</v>
      </c>
      <c r="BP87" s="101"/>
      <c r="BQ87" s="101">
        <f>BQ84/(BM23+BN23+BO23+BQ23)</f>
        <v>1.9881654887944671</v>
      </c>
      <c r="BR87" s="101">
        <f>BR84/(BN23+BO23+BQ23+BR23)</f>
        <v>1.9362633824649238</v>
      </c>
      <c r="BS87" s="101">
        <f>BS84/(BO23+BQ23+BR23+BS23)</f>
        <v>1.8681866530842177</v>
      </c>
      <c r="BT87" s="101">
        <f ca="1">BT84/(BQ23+BR23+BS23+BT23)</f>
        <v>2.0478571726564758</v>
      </c>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row>
    <row r="88" spans="4:105">
      <c r="D88" s="4"/>
      <c r="E88" s="21"/>
      <c r="F88" s="21"/>
      <c r="G88" s="21"/>
      <c r="H88" s="21"/>
      <c r="I88" s="21"/>
      <c r="J88" s="21"/>
      <c r="K88" s="21"/>
      <c r="L88" s="21"/>
      <c r="M88" s="21"/>
      <c r="N88" s="21"/>
      <c r="O88" s="101"/>
      <c r="P88" s="101"/>
      <c r="Q88" s="101"/>
      <c r="R88" s="101"/>
      <c r="S88" s="101"/>
      <c r="T88" s="101"/>
      <c r="U88" s="101"/>
      <c r="V88" s="101"/>
      <c r="X88" s="101"/>
      <c r="Y88" s="101"/>
      <c r="Z88" s="101"/>
      <c r="AA88" s="101"/>
      <c r="AC88" s="101"/>
      <c r="AD88" s="101"/>
      <c r="AE88" s="101"/>
      <c r="AF88" s="101"/>
      <c r="AH88" s="101"/>
      <c r="AI88" s="101"/>
      <c r="AJ88" s="101"/>
      <c r="AK88" s="101"/>
      <c r="AM88" s="101"/>
      <c r="AN88" s="101"/>
      <c r="AO88" s="101"/>
      <c r="AP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row>
    <row r="89" spans="4:105">
      <c r="D89" s="4" t="s">
        <v>4094</v>
      </c>
      <c r="E89" s="21"/>
      <c r="F89" s="21"/>
      <c r="G89" s="21"/>
      <c r="H89" s="21"/>
      <c r="I89" s="21"/>
      <c r="J89" s="21"/>
      <c r="K89" s="21"/>
      <c r="L89" s="21"/>
      <c r="M89" s="21"/>
      <c r="N89" s="21"/>
      <c r="O89" s="101"/>
      <c r="P89" s="101"/>
      <c r="Q89" s="101"/>
      <c r="R89" s="101"/>
      <c r="S89" s="101"/>
      <c r="T89" s="101"/>
      <c r="U89" s="101"/>
      <c r="V89" s="101"/>
      <c r="X89" s="101"/>
      <c r="Y89" s="101"/>
      <c r="Z89" s="101"/>
      <c r="AA89" s="101"/>
      <c r="AC89" s="101"/>
      <c r="AD89" s="101"/>
      <c r="AE89" s="101"/>
      <c r="AF89" s="101"/>
      <c r="AH89" s="101"/>
      <c r="AI89" s="101"/>
      <c r="AJ89" s="101"/>
      <c r="AK89" s="101"/>
      <c r="AM89" s="101"/>
      <c r="AN89" s="101"/>
      <c r="AO89" s="101"/>
      <c r="AP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9">
        <f>BO90+BO91</f>
        <v>1207</v>
      </c>
      <c r="BP89" s="101"/>
      <c r="BQ89" s="9">
        <v>1161</v>
      </c>
      <c r="BR89" s="9"/>
      <c r="BS89" s="9"/>
      <c r="BT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row>
    <row r="90" spans="4:105">
      <c r="D90" s="137" t="s">
        <v>4095</v>
      </c>
      <c r="E90" s="21"/>
      <c r="F90" s="21"/>
      <c r="G90" s="21"/>
      <c r="H90" s="21"/>
      <c r="I90" s="21"/>
      <c r="J90" s="21"/>
      <c r="K90" s="21"/>
      <c r="L90" s="21"/>
      <c r="M90" s="21"/>
      <c r="N90" s="21"/>
      <c r="O90" s="101"/>
      <c r="P90" s="101"/>
      <c r="Q90" s="101"/>
      <c r="R90" s="101"/>
      <c r="S90" s="101"/>
      <c r="T90" s="101"/>
      <c r="U90" s="101"/>
      <c r="V90" s="101"/>
      <c r="X90" s="101"/>
      <c r="Y90" s="101"/>
      <c r="Z90" s="101"/>
      <c r="AA90" s="101"/>
      <c r="AC90" s="101"/>
      <c r="AD90" s="101"/>
      <c r="AE90" s="101"/>
      <c r="AF90" s="101"/>
      <c r="AH90" s="101"/>
      <c r="AI90" s="101"/>
      <c r="AJ90" s="101"/>
      <c r="AK90" s="101"/>
      <c r="AM90" s="101"/>
      <c r="AN90" s="101"/>
      <c r="AO90" s="101"/>
      <c r="AP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9">
        <f>CA!P190</f>
        <v>829</v>
      </c>
      <c r="BP90" s="101"/>
      <c r="BQ90" s="454">
        <f>BQ89-BQ91</f>
        <v>783</v>
      </c>
      <c r="BR90" s="454"/>
      <c r="BS90" s="454"/>
      <c r="BT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row>
    <row r="91" spans="4:105">
      <c r="D91" s="137" t="s">
        <v>4096</v>
      </c>
      <c r="E91" s="21"/>
      <c r="F91" s="21"/>
      <c r="G91" s="21"/>
      <c r="H91" s="21"/>
      <c r="I91" s="21"/>
      <c r="J91" s="21"/>
      <c r="K91" s="21"/>
      <c r="L91" s="21"/>
      <c r="M91" s="21"/>
      <c r="N91" s="21"/>
      <c r="O91" s="101"/>
      <c r="P91" s="101"/>
      <c r="Q91" s="101"/>
      <c r="R91" s="101"/>
      <c r="S91" s="101"/>
      <c r="T91" s="101"/>
      <c r="U91" s="101"/>
      <c r="V91" s="101"/>
      <c r="X91" s="101"/>
      <c r="Y91" s="101"/>
      <c r="Z91" s="101"/>
      <c r="AA91" s="101"/>
      <c r="AC91" s="101"/>
      <c r="AD91" s="101"/>
      <c r="AE91" s="101"/>
      <c r="AF91" s="101"/>
      <c r="AH91" s="101"/>
      <c r="AI91" s="101"/>
      <c r="AJ91" s="101"/>
      <c r="AK91" s="101"/>
      <c r="AM91" s="101"/>
      <c r="AN91" s="101"/>
      <c r="AO91" s="101"/>
      <c r="AP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9">
        <f>CA!P275</f>
        <v>378</v>
      </c>
      <c r="BP91" s="101"/>
      <c r="BQ91" s="9">
        <f>BO91</f>
        <v>378</v>
      </c>
      <c r="BR91" s="9"/>
      <c r="BS91" s="9"/>
      <c r="BT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row>
    <row r="92" spans="4:105">
      <c r="D92" s="137" t="s">
        <v>4098</v>
      </c>
      <c r="E92" s="21"/>
      <c r="F92" s="21"/>
      <c r="G92" s="21"/>
      <c r="H92" s="21"/>
      <c r="I92" s="21"/>
      <c r="J92" s="21"/>
      <c r="K92" s="21"/>
      <c r="L92" s="21"/>
      <c r="M92" s="21"/>
      <c r="N92" s="21"/>
      <c r="O92" s="101"/>
      <c r="P92" s="101"/>
      <c r="Q92" s="101"/>
      <c r="R92" s="101"/>
      <c r="S92" s="101"/>
      <c r="T92" s="101"/>
      <c r="U92" s="101"/>
      <c r="V92" s="101"/>
      <c r="X92" s="101"/>
      <c r="Y92" s="101"/>
      <c r="Z92" s="101"/>
      <c r="AA92" s="101"/>
      <c r="AC92" s="101"/>
      <c r="AD92" s="101"/>
      <c r="AE92" s="101"/>
      <c r="AF92" s="101"/>
      <c r="AH92" s="101"/>
      <c r="AI92" s="101"/>
      <c r="AJ92" s="101"/>
      <c r="AK92" s="101"/>
      <c r="AM92" s="101"/>
      <c r="AN92" s="101"/>
      <c r="AO92" s="101"/>
      <c r="AP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9">
        <f>BO84-BO89</f>
        <v>3088</v>
      </c>
      <c r="BP92" s="101"/>
      <c r="BQ92" s="9">
        <f>BQ84-BQ89</f>
        <v>3258</v>
      </c>
      <c r="BR92" s="9"/>
      <c r="BS92" s="9"/>
      <c r="BT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row>
    <row r="93" spans="4:105">
      <c r="D93" s="137"/>
      <c r="E93" s="21"/>
      <c r="F93" s="21"/>
      <c r="G93" s="21"/>
      <c r="H93" s="21"/>
      <c r="I93" s="21"/>
      <c r="J93" s="21"/>
      <c r="K93" s="21"/>
      <c r="L93" s="21"/>
      <c r="M93" s="21"/>
      <c r="N93" s="21"/>
      <c r="O93" s="101"/>
      <c r="P93" s="101"/>
      <c r="Q93" s="101"/>
      <c r="R93" s="101"/>
      <c r="S93" s="101"/>
      <c r="T93" s="101"/>
      <c r="U93" s="101"/>
      <c r="V93" s="101"/>
      <c r="X93" s="101"/>
      <c r="Y93" s="101"/>
      <c r="Z93" s="101"/>
      <c r="AA93" s="101"/>
      <c r="AC93" s="101"/>
      <c r="AD93" s="101"/>
      <c r="AE93" s="101"/>
      <c r="AF93" s="101"/>
      <c r="AH93" s="101"/>
      <c r="AI93" s="101"/>
      <c r="AJ93" s="101"/>
      <c r="AK93" s="101"/>
      <c r="AM93" s="101"/>
      <c r="AN93" s="101"/>
      <c r="AO93" s="101"/>
      <c r="AP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9"/>
      <c r="BR93" s="9"/>
      <c r="BS93" s="9"/>
      <c r="BT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row>
    <row r="94" spans="4:105">
      <c r="D94" s="137" t="s">
        <v>1665</v>
      </c>
      <c r="E94" s="21"/>
      <c r="F94" s="21"/>
      <c r="G94" s="21"/>
      <c r="H94" s="21"/>
      <c r="I94" s="21"/>
      <c r="J94" s="21"/>
      <c r="K94" s="21"/>
      <c r="L94" s="21"/>
      <c r="M94" s="21"/>
      <c r="N94" s="21"/>
      <c r="O94" s="101"/>
      <c r="P94" s="101"/>
      <c r="Q94" s="101"/>
      <c r="R94" s="101"/>
      <c r="S94" s="101"/>
      <c r="T94" s="101"/>
      <c r="U94" s="101"/>
      <c r="V94" s="101"/>
      <c r="X94" s="101"/>
      <c r="Y94" s="101"/>
      <c r="Z94" s="101"/>
      <c r="AA94" s="101"/>
      <c r="AC94" s="101"/>
      <c r="AD94" s="101"/>
      <c r="AE94" s="101"/>
      <c r="AF94" s="101"/>
      <c r="AH94" s="101"/>
      <c r="AI94" s="101"/>
      <c r="AJ94" s="101"/>
      <c r="AK94" s="101"/>
      <c r="AM94" s="101"/>
      <c r="AN94" s="101"/>
      <c r="AO94" s="101"/>
      <c r="AP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9">
        <f>Colombia!L310</f>
        <v>591.22614173228351</v>
      </c>
      <c r="BP94" s="101"/>
      <c r="BQ94" s="9">
        <f>BO94</f>
        <v>591.22614173228351</v>
      </c>
      <c r="BR94" s="9"/>
      <c r="BS94" s="9"/>
      <c r="BT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row>
    <row r="95" spans="4:105">
      <c r="D95" s="137"/>
      <c r="E95" s="21"/>
      <c r="F95" s="21"/>
      <c r="G95" s="21"/>
      <c r="H95" s="21"/>
      <c r="I95" s="21"/>
      <c r="J95" s="21"/>
      <c r="K95" s="21"/>
      <c r="L95" s="21"/>
      <c r="M95" s="21"/>
      <c r="N95" s="21"/>
      <c r="O95" s="101"/>
      <c r="P95" s="101"/>
      <c r="Q95" s="101"/>
      <c r="R95" s="101"/>
      <c r="S95" s="101"/>
      <c r="T95" s="101"/>
      <c r="U95" s="101"/>
      <c r="V95" s="101"/>
      <c r="X95" s="101"/>
      <c r="Y95" s="101"/>
      <c r="Z95" s="101"/>
      <c r="AA95" s="101"/>
      <c r="AC95" s="101"/>
      <c r="AD95" s="101"/>
      <c r="AE95" s="101"/>
      <c r="AF95" s="101"/>
      <c r="AH95" s="101"/>
      <c r="AI95" s="101"/>
      <c r="AJ95" s="101"/>
      <c r="AK95" s="101"/>
      <c r="AM95" s="101"/>
      <c r="AN95" s="101"/>
      <c r="AO95" s="101"/>
      <c r="AP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9"/>
      <c r="BR95" s="9"/>
      <c r="BS95" s="9"/>
      <c r="BT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row>
    <row r="96" spans="4:105">
      <c r="D96" s="137" t="s">
        <v>4097</v>
      </c>
      <c r="E96" s="21"/>
      <c r="F96" s="21"/>
      <c r="G96" s="21"/>
      <c r="H96" s="21"/>
      <c r="I96" s="21"/>
      <c r="J96" s="21"/>
      <c r="K96" s="21"/>
      <c r="L96" s="21"/>
      <c r="M96" s="21"/>
      <c r="N96" s="21"/>
      <c r="O96" s="101"/>
      <c r="P96" s="101"/>
      <c r="Q96" s="101"/>
      <c r="R96" s="101"/>
      <c r="S96" s="101"/>
      <c r="T96" s="101"/>
      <c r="U96" s="101"/>
      <c r="V96" s="101"/>
      <c r="X96" s="101"/>
      <c r="Y96" s="101"/>
      <c r="Z96" s="101"/>
      <c r="AA96" s="101"/>
      <c r="AC96" s="101"/>
      <c r="AD96" s="101"/>
      <c r="AE96" s="101"/>
      <c r="AF96" s="101"/>
      <c r="AH96" s="101"/>
      <c r="AI96" s="101"/>
      <c r="AJ96" s="101"/>
      <c r="AK96" s="101"/>
      <c r="AM96" s="101"/>
      <c r="AN96" s="101"/>
      <c r="AO96" s="101"/>
      <c r="AP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9">
        <f>BO92+0.55*BO90+0.67*BO91-0.5*BO94</f>
        <v>3501.5969291338583</v>
      </c>
      <c r="BP96" s="101"/>
      <c r="BQ96" s="9">
        <f>BQ92+0.55*BQ90+0.67*BQ91-0.5*BQ94</f>
        <v>3646.2969291338586</v>
      </c>
      <c r="BR96" s="9"/>
      <c r="BS96" s="9"/>
      <c r="BT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row>
    <row r="97" spans="4:105">
      <c r="D97" s="137" t="s">
        <v>4099</v>
      </c>
      <c r="E97" s="21"/>
      <c r="F97" s="21"/>
      <c r="G97" s="21"/>
      <c r="H97" s="21"/>
      <c r="I97" s="21"/>
      <c r="J97" s="21"/>
      <c r="K97" s="21"/>
      <c r="L97" s="21"/>
      <c r="M97" s="21"/>
      <c r="N97" s="21"/>
      <c r="O97" s="101"/>
      <c r="P97" s="101"/>
      <c r="Q97" s="101"/>
      <c r="R97" s="101"/>
      <c r="S97" s="101"/>
      <c r="T97" s="101"/>
      <c r="U97" s="101"/>
      <c r="V97" s="101"/>
      <c r="X97" s="101"/>
      <c r="Y97" s="101"/>
      <c r="Z97" s="101"/>
      <c r="AA97" s="101"/>
      <c r="AC97" s="101"/>
      <c r="AD97" s="101"/>
      <c r="AE97" s="101"/>
      <c r="AF97" s="101"/>
      <c r="AH97" s="101"/>
      <c r="AI97" s="101"/>
      <c r="AJ97" s="101"/>
      <c r="AK97" s="101"/>
      <c r="AM97" s="101"/>
      <c r="AN97" s="101"/>
      <c r="AO97" s="101"/>
      <c r="AP97" s="101"/>
      <c r="AR97" s="101"/>
      <c r="AS97" s="101"/>
      <c r="AT97" s="101"/>
      <c r="AU97" s="101"/>
      <c r="AV97" s="101"/>
      <c r="AW97" s="101"/>
      <c r="AX97" s="101"/>
      <c r="AY97" s="101"/>
      <c r="AZ97" s="101"/>
      <c r="BA97" s="101"/>
      <c r="BB97" s="101"/>
      <c r="BC97" s="101"/>
      <c r="BD97" s="101"/>
      <c r="BE97" s="101"/>
      <c r="BF97" s="101"/>
      <c r="BG97" s="101"/>
      <c r="BH97" s="101"/>
      <c r="BI97" s="101"/>
      <c r="BJ97" s="101"/>
      <c r="BK97" s="101"/>
      <c r="BL97" s="9">
        <f>'Country quarts'!H121-0.5*'Country quarts'!H107-0.5*'Country quarts'!H103-0.45*'Country quarts'!H109-0.33*'Country quarts'!H104</f>
        <v>395.22149999999988</v>
      </c>
      <c r="BM97" s="9">
        <f>'Country quarts'!I121-0.5*'Country quarts'!I107-0.5*'Country quarts'!I103-0.45*'Country quarts'!I109-0.33*'Country quarts'!I104</f>
        <v>397.7673590235417</v>
      </c>
      <c r="BN97" s="9">
        <f>'Country quarts'!J121-0.5*'Country quarts'!J107-0.5*'Country quarts'!J103-0.45*'Country quarts'!J109-0.33*'Country quarts'!J104</f>
        <v>386.2989</v>
      </c>
      <c r="BO97" s="9">
        <f ca="1">'Country quarts'!K121-0.5*'Country quarts'!K107-0.5*'Country quarts'!K103-0.45*'Country quarts'!K109-0.33*'Country quarts'!K104</f>
        <v>388.7581660576127</v>
      </c>
      <c r="BP97" s="101"/>
      <c r="BQ97" s="9">
        <f>'Country quarts'!M121-0.5*'Country quarts'!M107-0.5*'Country quarts'!M103-0.45*'Country quarts'!M109-0.33*'Country quarts'!M104</f>
        <v>391.67004000000003</v>
      </c>
      <c r="BR97" s="9"/>
      <c r="BS97" s="9"/>
      <c r="BT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row>
    <row r="98" spans="4:105">
      <c r="D98" s="4"/>
      <c r="E98" s="21"/>
      <c r="F98" s="21"/>
      <c r="G98" s="21"/>
      <c r="H98" s="21"/>
      <c r="I98" s="21"/>
      <c r="J98" s="21"/>
      <c r="K98" s="21"/>
      <c r="L98" s="21"/>
      <c r="M98" s="21"/>
      <c r="N98" s="21"/>
      <c r="O98" s="101"/>
      <c r="P98" s="101"/>
      <c r="Q98" s="101"/>
      <c r="R98" s="101"/>
      <c r="S98" s="101"/>
      <c r="T98" s="101"/>
      <c r="U98" s="101"/>
      <c r="V98" s="101"/>
      <c r="X98" s="101"/>
      <c r="Y98" s="101"/>
      <c r="Z98" s="101"/>
      <c r="AA98" s="101"/>
      <c r="AC98" s="101"/>
      <c r="AD98" s="101"/>
      <c r="AE98" s="101"/>
      <c r="AF98" s="101"/>
      <c r="AH98" s="101"/>
      <c r="AI98" s="101"/>
      <c r="AJ98" s="101"/>
      <c r="AK98" s="101"/>
      <c r="AM98" s="101"/>
      <c r="AN98" s="101"/>
      <c r="AO98" s="101"/>
      <c r="AP98" s="101"/>
      <c r="AR98" s="101"/>
      <c r="AS98" s="101"/>
      <c r="AT98" s="101"/>
      <c r="AU98" s="101"/>
      <c r="AV98" s="101"/>
      <c r="AW98" s="101"/>
      <c r="AX98" s="101"/>
      <c r="AY98" s="101"/>
      <c r="AZ98" s="101"/>
      <c r="BA98" s="101" t="s">
        <v>1823</v>
      </c>
      <c r="BB98" s="101"/>
      <c r="BC98" s="101"/>
      <c r="BD98" s="101"/>
      <c r="BE98" s="101"/>
      <c r="BF98" s="101"/>
      <c r="BG98" s="101"/>
      <c r="BH98" s="101"/>
      <c r="BI98" s="101"/>
      <c r="BJ98" s="101"/>
      <c r="BK98" s="101"/>
      <c r="BL98" s="101"/>
      <c r="BM98" s="101"/>
      <c r="BN98" s="101"/>
      <c r="BO98" s="101">
        <f ca="1">BO96/(BL97+BM97+BN97+BO97)</f>
        <v>2.2330959018006014</v>
      </c>
      <c r="BP98" s="101"/>
      <c r="BQ98" s="101">
        <f ca="1">BQ96/(BM97+BN97+BO97+BQ97)</f>
        <v>2.3306550521702967</v>
      </c>
      <c r="BR98" s="101"/>
      <c r="BS98" s="101"/>
      <c r="BT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row>
    <row r="99" spans="4:105">
      <c r="D99" s="4" t="s">
        <v>2281</v>
      </c>
      <c r="E99" s="21"/>
      <c r="F99" s="21"/>
      <c r="G99" s="21"/>
      <c r="H99" s="21"/>
      <c r="I99" s="21"/>
      <c r="J99" s="21"/>
      <c r="K99" s="21"/>
      <c r="L99" s="21"/>
      <c r="M99" s="21"/>
      <c r="N99" s="21"/>
      <c r="O99" s="101"/>
      <c r="P99" s="101"/>
      <c r="Q99" s="101"/>
      <c r="R99" s="101"/>
      <c r="S99" s="101"/>
      <c r="T99" s="101"/>
      <c r="U99" s="101"/>
      <c r="V99" s="101"/>
      <c r="X99" s="101"/>
      <c r="Y99" s="101"/>
      <c r="Z99" s="101">
        <f>Z61/100.9</f>
        <v>1.3685292368681863</v>
      </c>
      <c r="AA99" s="101">
        <f>AA61/100.9</f>
        <v>0.85347869177403368</v>
      </c>
      <c r="AC99" s="101">
        <f>AC61/SOP!$I$35</f>
        <v>0.89165860197279423</v>
      </c>
      <c r="AD99" s="101"/>
      <c r="AE99" s="101"/>
      <c r="AF99" s="101"/>
      <c r="AH99" s="101"/>
      <c r="AI99" s="101"/>
      <c r="AJ99" s="101"/>
      <c r="AK99" s="101"/>
      <c r="AM99" s="101"/>
      <c r="AN99" s="101"/>
      <c r="AO99" s="101"/>
      <c r="AP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row>
    <row r="100" spans="4:105">
      <c r="D100" s="4" t="s">
        <v>2283</v>
      </c>
      <c r="E100" s="21"/>
      <c r="F100" s="21"/>
      <c r="G100" s="21"/>
      <c r="H100" s="21"/>
      <c r="I100" s="21"/>
      <c r="J100" s="21"/>
      <c r="K100" s="21"/>
      <c r="L100" s="21"/>
      <c r="M100" s="21"/>
      <c r="N100" s="21"/>
      <c r="O100" s="101"/>
      <c r="P100" s="101"/>
      <c r="Q100" s="101"/>
      <c r="R100" s="101"/>
      <c r="S100" s="101"/>
      <c r="T100" s="101"/>
      <c r="U100" s="101"/>
      <c r="V100" s="101"/>
      <c r="X100" s="101"/>
      <c r="Y100" s="101"/>
      <c r="Z100" s="101"/>
      <c r="AA100" s="101"/>
      <c r="AC100" s="101"/>
      <c r="AD100" s="101"/>
      <c r="AE100" s="101"/>
      <c r="AF100" s="101"/>
      <c r="AH100" s="101"/>
      <c r="AI100" s="101"/>
      <c r="AJ100" s="101"/>
      <c r="AK100" s="101"/>
      <c r="AM100" s="101"/>
      <c r="AN100" s="101"/>
      <c r="AO100" s="101"/>
      <c r="AP100" s="101"/>
      <c r="AR100" s="9">
        <f>AR17-AR378</f>
        <v>426.45600000000002</v>
      </c>
      <c r="AS100" s="9">
        <f>AS17-AS378</f>
        <v>372.202</v>
      </c>
      <c r="AT100" s="9"/>
      <c r="AU100" s="9"/>
      <c r="AV100" s="101"/>
      <c r="AW100" s="9"/>
      <c r="AX100" s="9"/>
      <c r="AY100" s="9"/>
      <c r="AZ100" s="9"/>
      <c r="BA100" s="101"/>
      <c r="BB100" s="9"/>
      <c r="BC100" s="9"/>
      <c r="BD100" s="9"/>
      <c r="BE100" s="9"/>
      <c r="BF100" s="101"/>
      <c r="BG100" s="101"/>
      <c r="BH100" s="101"/>
      <c r="BI100" s="101"/>
      <c r="BJ100" s="101"/>
      <c r="BK100" s="101"/>
      <c r="BL100" s="101"/>
      <c r="BM100" s="101"/>
      <c r="BN100" s="101"/>
      <c r="BO100" s="101"/>
      <c r="BP100" s="101"/>
      <c r="BQ100" s="101"/>
      <c r="BR100" s="101"/>
      <c r="BS100" s="101"/>
      <c r="BT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row>
    <row r="101" spans="4:105">
      <c r="D101" t="s">
        <v>2282</v>
      </c>
      <c r="E101" s="21"/>
      <c r="F101" s="21"/>
      <c r="G101" s="21"/>
      <c r="H101" s="21"/>
      <c r="I101" s="21"/>
      <c r="J101" s="21"/>
      <c r="K101" s="21"/>
      <c r="L101" s="21"/>
      <c r="M101" s="21"/>
      <c r="N101" s="21"/>
      <c r="O101" s="101"/>
      <c r="P101" s="101"/>
      <c r="Q101" s="101"/>
      <c r="R101" s="101"/>
      <c r="S101" s="101"/>
      <c r="T101" s="101"/>
      <c r="U101" s="101"/>
      <c r="V101" s="101"/>
      <c r="X101" s="101"/>
      <c r="Y101" s="101"/>
      <c r="Z101" s="101"/>
      <c r="AA101" s="101"/>
      <c r="AC101" s="101"/>
      <c r="AD101" s="101"/>
      <c r="AE101" s="101"/>
      <c r="AF101" s="101"/>
      <c r="AH101" s="101"/>
      <c r="AI101" s="101"/>
      <c r="AJ101" s="101"/>
      <c r="AK101" s="101"/>
      <c r="AM101" s="101"/>
      <c r="AN101" s="101"/>
      <c r="AO101" s="101"/>
      <c r="AP101" s="101"/>
      <c r="AR101" s="9">
        <v>-89</v>
      </c>
      <c r="AS101" s="9">
        <f>-178-AR101</f>
        <v>-89</v>
      </c>
      <c r="AT101" s="9"/>
      <c r="AU101" s="9"/>
      <c r="AV101" s="101"/>
      <c r="AW101" s="9"/>
      <c r="AX101" s="9"/>
      <c r="AY101" s="9"/>
      <c r="AZ101" s="9"/>
      <c r="BA101" s="101"/>
      <c r="BB101" s="9"/>
      <c r="BC101" s="9"/>
      <c r="BD101" s="9"/>
      <c r="BE101" s="9"/>
      <c r="BF101" s="101"/>
      <c r="BG101" s="101"/>
      <c r="BH101" s="101"/>
      <c r="BI101" s="101"/>
      <c r="BJ101" s="101"/>
      <c r="BK101" s="101"/>
      <c r="BL101" s="101"/>
      <c r="BM101" s="101"/>
      <c r="BN101" s="101"/>
      <c r="BO101" s="101"/>
      <c r="BP101" s="101"/>
      <c r="BQ101" s="101"/>
      <c r="BR101" s="101"/>
      <c r="BS101" s="101"/>
      <c r="BT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row>
    <row r="102" spans="4:105">
      <c r="E102" s="21"/>
      <c r="F102" s="21"/>
      <c r="G102" s="21"/>
      <c r="H102" s="21"/>
      <c r="I102" s="21"/>
      <c r="J102" s="21"/>
      <c r="K102" s="21"/>
      <c r="L102" s="21"/>
      <c r="M102" s="21"/>
      <c r="N102" s="21"/>
      <c r="O102" s="101"/>
      <c r="P102" s="101"/>
      <c r="Q102" s="101"/>
      <c r="R102" s="101"/>
      <c r="S102" s="101"/>
      <c r="T102" s="101"/>
      <c r="U102" s="101"/>
      <c r="V102" s="101"/>
      <c r="X102" s="101"/>
      <c r="Y102" s="101"/>
      <c r="Z102" s="101"/>
      <c r="AA102" s="101"/>
      <c r="AC102" s="101"/>
      <c r="AD102" s="101"/>
      <c r="AE102" s="101"/>
      <c r="AF102" s="101"/>
      <c r="AH102" s="101"/>
      <c r="AI102" s="101"/>
      <c r="AJ102" s="101"/>
      <c r="AK102" s="101"/>
      <c r="AM102" s="101"/>
      <c r="AN102" s="101"/>
      <c r="AO102" s="101"/>
      <c r="AP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row>
    <row r="103" spans="4:105">
      <c r="D103" s="2" t="s">
        <v>125</v>
      </c>
      <c r="N103" s="2"/>
      <c r="U103" s="16"/>
      <c r="V103" s="16"/>
      <c r="AV103" s="101"/>
      <c r="BA103" s="101"/>
      <c r="BF103" s="101"/>
      <c r="BG103" s="101"/>
      <c r="BH103" s="101"/>
      <c r="BI103" s="101"/>
      <c r="BJ103" s="101"/>
      <c r="BK103" s="101"/>
      <c r="BL103" s="101"/>
      <c r="BM103" s="101"/>
      <c r="BN103" s="101"/>
      <c r="BO103" s="101"/>
      <c r="BP103" s="101"/>
      <c r="BQ103" s="101"/>
      <c r="BR103" s="101"/>
      <c r="BS103" s="101"/>
      <c r="BT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row>
    <row r="104" spans="4:105">
      <c r="D104" s="4" t="s">
        <v>1527</v>
      </c>
      <c r="N104" s="2"/>
      <c r="U104" s="16"/>
      <c r="V104" s="16"/>
      <c r="AH104" s="9">
        <v>778</v>
      </c>
      <c r="AI104" s="9">
        <v>814.06700000000001</v>
      </c>
      <c r="AJ104" s="9">
        <v>856</v>
      </c>
      <c r="AK104" s="9">
        <v>923.6</v>
      </c>
      <c r="AL104" s="9"/>
      <c r="AM104" s="9">
        <v>905</v>
      </c>
      <c r="AN104" s="9">
        <v>928.55</v>
      </c>
      <c r="AO104" s="9"/>
      <c r="AP104" s="9"/>
      <c r="AR104" s="9"/>
      <c r="AS104" s="9"/>
      <c r="AT104" s="9"/>
      <c r="AU104" s="9"/>
      <c r="AV104" s="101"/>
      <c r="AW104" s="9"/>
      <c r="AX104" s="9"/>
      <c r="AY104" s="9"/>
      <c r="AZ104" s="9"/>
      <c r="BA104" s="101"/>
      <c r="BB104" s="9"/>
      <c r="BC104" s="9"/>
      <c r="BD104" s="9"/>
      <c r="BE104" s="9"/>
      <c r="BF104" s="101"/>
      <c r="BG104" s="101"/>
      <c r="BH104" s="101"/>
      <c r="BI104" s="101"/>
      <c r="BJ104" s="101"/>
      <c r="BK104" s="101"/>
      <c r="BL104" s="101"/>
      <c r="BM104" s="101"/>
      <c r="BN104" s="101"/>
      <c r="BO104" s="101"/>
      <c r="BP104" s="101"/>
      <c r="BQ104" s="101"/>
      <c r="BR104" s="101"/>
      <c r="BS104" s="101"/>
      <c r="BT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row>
    <row r="105" spans="4:105">
      <c r="D105" t="s">
        <v>126</v>
      </c>
      <c r="N105" s="2"/>
      <c r="U105" s="16"/>
      <c r="V105" s="16"/>
      <c r="AH105" s="9">
        <v>829.31</v>
      </c>
      <c r="AI105" s="9">
        <v>865.76300000000003</v>
      </c>
      <c r="AJ105" s="9">
        <v>903.89300000000003</v>
      </c>
      <c r="AK105" s="9">
        <v>972.36699999999996</v>
      </c>
      <c r="AL105" s="9"/>
      <c r="AM105" s="9">
        <v>953.75</v>
      </c>
      <c r="AN105" s="9">
        <v>977.34900000000005</v>
      </c>
      <c r="AO105" s="9"/>
      <c r="AP105" s="9"/>
      <c r="AR105" s="9"/>
      <c r="AS105" s="9"/>
      <c r="AT105" s="9"/>
      <c r="AU105" s="9"/>
      <c r="AV105" s="101"/>
      <c r="AW105" s="9"/>
      <c r="AX105" s="9"/>
      <c r="AY105" s="9"/>
      <c r="AZ105" s="9"/>
      <c r="BA105" s="101"/>
      <c r="BB105" s="9"/>
      <c r="BC105" s="9"/>
      <c r="BD105" s="9"/>
      <c r="BE105" s="9"/>
      <c r="BF105" s="101"/>
      <c r="BG105" s="101"/>
      <c r="BH105" s="101"/>
      <c r="BI105" s="101"/>
      <c r="BJ105" s="101"/>
      <c r="BK105" s="101"/>
      <c r="BL105" s="101"/>
      <c r="BM105" s="101"/>
      <c r="BN105" s="101"/>
      <c r="BO105" s="101"/>
      <c r="BP105" s="101"/>
      <c r="BQ105" s="101"/>
      <c r="BR105" s="101"/>
      <c r="BS105" s="101"/>
      <c r="BT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row>
    <row r="106" spans="4:105">
      <c r="D106" t="s">
        <v>1525</v>
      </c>
      <c r="N106" s="2"/>
      <c r="U106" s="16"/>
      <c r="V106" s="16"/>
      <c r="AH106" s="9">
        <f>AH105-AH104</f>
        <v>51.309999999999945</v>
      </c>
      <c r="AI106" s="9">
        <f>AI105-AI104</f>
        <v>51.696000000000026</v>
      </c>
      <c r="AJ106" s="9">
        <f>AJ105-AJ104</f>
        <v>47.893000000000029</v>
      </c>
      <c r="AK106" s="9">
        <f>AK105-AK104</f>
        <v>48.766999999999939</v>
      </c>
      <c r="AM106" s="9">
        <f>AM105-AM104</f>
        <v>48.75</v>
      </c>
      <c r="AN106" s="9">
        <f>AN105-AN104</f>
        <v>48.799000000000092</v>
      </c>
      <c r="AO106" s="9"/>
      <c r="AP106" s="9"/>
      <c r="AR106" s="9"/>
      <c r="AS106" s="9"/>
      <c r="AT106" s="9"/>
      <c r="AU106" s="9"/>
      <c r="AV106" s="101"/>
      <c r="AW106" s="9"/>
      <c r="AX106" s="9"/>
      <c r="AY106" s="9"/>
      <c r="AZ106" s="9"/>
      <c r="BA106" s="101"/>
      <c r="BB106" s="9"/>
      <c r="BC106" s="9"/>
      <c r="BD106" s="9"/>
      <c r="BE106" s="9"/>
      <c r="BF106" s="101"/>
      <c r="BG106" s="101"/>
      <c r="BH106" s="101"/>
      <c r="BI106" s="101"/>
      <c r="BJ106" s="101"/>
      <c r="BK106" s="101"/>
      <c r="BL106" s="101"/>
      <c r="BM106" s="101"/>
      <c r="BN106" s="101"/>
      <c r="BO106" s="101"/>
      <c r="BP106" s="101"/>
      <c r="BQ106" s="101"/>
      <c r="BR106" s="101"/>
      <c r="BS106" s="101"/>
      <c r="BT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row>
    <row r="107" spans="4:105">
      <c r="D107" t="s">
        <v>127</v>
      </c>
      <c r="N107" s="2"/>
      <c r="U107" s="16"/>
      <c r="V107" s="16"/>
      <c r="AH107" s="9">
        <f>AH106/(1-$B$124)</f>
        <v>154.08408408408394</v>
      </c>
      <c r="AI107" s="9">
        <f>AI106/(1-$B$124)</f>
        <v>155.24324324324334</v>
      </c>
      <c r="AJ107" s="9">
        <f>AJ106/(1-$B$124)</f>
        <v>143.82282282282293</v>
      </c>
      <c r="AK107" s="9">
        <f>AK106/(1-$B$124)</f>
        <v>146.44744744744727</v>
      </c>
      <c r="AM107" s="9">
        <f>AM106/(1-$B$124)</f>
        <v>146.39639639639643</v>
      </c>
      <c r="AN107" s="9">
        <f>AN106/(1-$B$124)</f>
        <v>146.54354354354385</v>
      </c>
      <c r="AO107" s="9"/>
      <c r="AP107" s="9"/>
      <c r="AR107" s="9"/>
      <c r="AS107" s="9"/>
      <c r="AT107" s="9"/>
      <c r="AU107" s="9"/>
      <c r="AV107" s="101"/>
      <c r="AW107" s="9"/>
      <c r="AX107" s="9"/>
      <c r="AY107" s="9"/>
      <c r="AZ107" s="9"/>
      <c r="BA107" s="101"/>
      <c r="BB107" s="9"/>
      <c r="BC107" s="9"/>
      <c r="BD107" s="9"/>
      <c r="BE107" s="9"/>
      <c r="BF107" s="101"/>
      <c r="BG107" s="101"/>
      <c r="BH107" s="101"/>
      <c r="BI107" s="101"/>
      <c r="BJ107" s="101"/>
      <c r="BK107" s="101"/>
      <c r="BL107" s="101"/>
      <c r="BM107" s="101"/>
      <c r="BN107" s="101"/>
      <c r="BO107" s="101"/>
      <c r="BP107" s="101"/>
      <c r="BQ107" s="101"/>
      <c r="BR107" s="101"/>
      <c r="BS107" s="101"/>
      <c r="BT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row>
    <row r="108" spans="4:105">
      <c r="N108" s="2"/>
      <c r="U108" s="16"/>
      <c r="V108" s="16"/>
      <c r="AH108" s="149">
        <f>AH150/AH451</f>
        <v>152.32582544361156</v>
      </c>
      <c r="AI108" s="149">
        <f>AI150/AI451</f>
        <v>153.32720149378918</v>
      </c>
      <c r="AJ108" s="149">
        <f>AJ150/AJ451</f>
        <v>142.15514891023696</v>
      </c>
      <c r="AK108" s="149">
        <f>AK150/AK451</f>
        <v>147.18178232322316</v>
      </c>
      <c r="AL108" s="32"/>
      <c r="AM108" s="149">
        <f>AM150/AM451</f>
        <v>146.59962953162213</v>
      </c>
      <c r="AN108" s="149">
        <f>AN150/AN451</f>
        <v>146.33499734687675</v>
      </c>
      <c r="AO108" s="149"/>
      <c r="AP108" s="149"/>
      <c r="AR108" s="149"/>
      <c r="AS108" s="149"/>
      <c r="AT108" s="149"/>
      <c r="AU108" s="149"/>
      <c r="AV108" s="101"/>
      <c r="AW108" s="149"/>
      <c r="AX108" s="149"/>
      <c r="AY108" s="149"/>
      <c r="AZ108" s="149"/>
      <c r="BA108" s="101"/>
      <c r="BB108" s="149"/>
      <c r="BC108" s="149"/>
      <c r="BD108" s="149"/>
      <c r="BE108" s="149"/>
      <c r="BF108" s="101"/>
      <c r="BG108" s="101"/>
      <c r="BH108" s="101"/>
      <c r="BI108" s="101"/>
      <c r="BJ108" s="101"/>
      <c r="BK108" s="101"/>
      <c r="BL108" s="101"/>
      <c r="BM108" s="101"/>
      <c r="BN108" s="101"/>
      <c r="BO108" s="101"/>
      <c r="BP108" s="101"/>
      <c r="BQ108" s="101"/>
      <c r="BR108" s="101"/>
      <c r="BS108" s="101"/>
      <c r="BT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row>
    <row r="109" spans="4:105">
      <c r="D109" t="s">
        <v>1452</v>
      </c>
      <c r="N109" s="2"/>
      <c r="U109" s="16"/>
      <c r="V109" s="16"/>
      <c r="AH109" s="9">
        <v>353.8</v>
      </c>
      <c r="AI109" s="9">
        <v>371.2</v>
      </c>
      <c r="AJ109" s="9">
        <v>391.74400000000003</v>
      </c>
      <c r="AK109" s="9">
        <v>430.8</v>
      </c>
      <c r="AM109" s="9">
        <v>423.83099999999996</v>
      </c>
      <c r="AN109" s="9">
        <v>436</v>
      </c>
      <c r="AO109" s="9"/>
      <c r="AP109" s="9"/>
      <c r="AR109" s="9"/>
      <c r="AS109" s="9"/>
      <c r="AT109" s="9"/>
      <c r="AU109" s="9"/>
      <c r="AV109" s="101"/>
      <c r="AW109" s="9"/>
      <c r="AX109" s="9"/>
      <c r="AY109" s="9"/>
      <c r="AZ109" s="9"/>
      <c r="BA109" s="101"/>
      <c r="BB109" s="9"/>
      <c r="BC109" s="9"/>
      <c r="BD109" s="9"/>
      <c r="BE109" s="9"/>
      <c r="BF109" s="101"/>
      <c r="BG109" s="101"/>
      <c r="BH109" s="101"/>
      <c r="BI109" s="101"/>
      <c r="BJ109" s="101"/>
      <c r="BK109" s="101"/>
      <c r="BL109" s="101"/>
      <c r="BM109" s="101"/>
      <c r="BN109" s="101"/>
      <c r="BO109" s="101"/>
      <c r="BP109" s="101"/>
      <c r="BQ109" s="101"/>
      <c r="BR109" s="101"/>
      <c r="BS109" s="101"/>
      <c r="BT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row>
    <row r="110" spans="4:105">
      <c r="D110" t="s">
        <v>1523</v>
      </c>
      <c r="N110" s="2"/>
      <c r="U110" s="16"/>
      <c r="V110" s="16"/>
      <c r="AH110" s="9">
        <v>378.20699999999999</v>
      </c>
      <c r="AI110" s="9">
        <v>399.40100000000001</v>
      </c>
      <c r="AJ110" s="9">
        <v>417.988</v>
      </c>
      <c r="AK110" s="9">
        <v>457.62299999999999</v>
      </c>
      <c r="AM110" s="9">
        <v>451.04500000000002</v>
      </c>
      <c r="AN110" s="9">
        <v>463.97699999999998</v>
      </c>
      <c r="AO110" s="9"/>
      <c r="AP110" s="9"/>
      <c r="AR110" s="9"/>
      <c r="AS110" s="9"/>
      <c r="AT110" s="9"/>
      <c r="AU110" s="9"/>
      <c r="AV110" s="101"/>
      <c r="AW110" s="9"/>
      <c r="AX110" s="9"/>
      <c r="AY110" s="9"/>
      <c r="AZ110" s="9"/>
      <c r="BA110" s="101"/>
      <c r="BB110" s="9"/>
      <c r="BC110" s="9"/>
      <c r="BD110" s="9"/>
      <c r="BE110" s="9"/>
      <c r="BF110" s="101"/>
      <c r="BG110" s="101"/>
      <c r="BH110" s="101"/>
      <c r="BI110" s="101"/>
      <c r="BJ110" s="101"/>
      <c r="BK110" s="101"/>
      <c r="BL110" s="101"/>
      <c r="BM110" s="101"/>
      <c r="BN110" s="101"/>
      <c r="BO110" s="101"/>
      <c r="BP110" s="101"/>
      <c r="BQ110" s="101"/>
      <c r="BR110" s="101"/>
      <c r="BS110" s="101"/>
      <c r="BT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row>
    <row r="111" spans="4:105">
      <c r="D111" t="s">
        <v>1526</v>
      </c>
      <c r="N111" s="2"/>
      <c r="U111" s="16"/>
      <c r="V111" s="16"/>
      <c r="AH111" s="9">
        <f>AH110-AH109</f>
        <v>24.406999999999982</v>
      </c>
      <c r="AI111" s="9">
        <f>AI110-AI109</f>
        <v>28.201000000000022</v>
      </c>
      <c r="AJ111" s="9">
        <f>AJ110-AJ109</f>
        <v>26.243999999999971</v>
      </c>
      <c r="AK111" s="9">
        <f>AK110-AK109</f>
        <v>26.822999999999979</v>
      </c>
      <c r="AM111" s="9">
        <f>AM110-AM109</f>
        <v>27.214000000000055</v>
      </c>
      <c r="AN111" s="9">
        <f>AN110-AN109</f>
        <v>27.976999999999975</v>
      </c>
      <c r="AO111" s="9"/>
      <c r="AP111" s="9"/>
      <c r="AR111" s="9"/>
      <c r="AS111" s="9"/>
      <c r="AT111" s="9"/>
      <c r="AU111" s="9"/>
      <c r="AV111" s="101"/>
      <c r="AW111" s="9"/>
      <c r="AX111" s="9"/>
      <c r="AY111" s="9"/>
      <c r="AZ111" s="9"/>
      <c r="BA111" s="101"/>
      <c r="BB111" s="9"/>
      <c r="BC111" s="9"/>
      <c r="BD111" s="9"/>
      <c r="BE111" s="9"/>
      <c r="BF111" s="101"/>
      <c r="BG111" s="101"/>
      <c r="BH111" s="101"/>
      <c r="BI111" s="101"/>
      <c r="BJ111" s="101"/>
      <c r="BK111" s="101"/>
      <c r="BL111" s="101"/>
      <c r="BM111" s="101"/>
      <c r="BN111" s="101"/>
      <c r="BO111" s="101"/>
      <c r="BP111" s="101"/>
      <c r="BQ111" s="101"/>
      <c r="BR111" s="101"/>
      <c r="BS111" s="101"/>
      <c r="BT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row>
    <row r="112" spans="4:105">
      <c r="D112" t="s">
        <v>1524</v>
      </c>
      <c r="N112" s="2"/>
      <c r="U112" s="16"/>
      <c r="V112" s="16"/>
      <c r="AH112" s="9">
        <f>AH111/(1-$B$124)</f>
        <v>73.294294294294247</v>
      </c>
      <c r="AI112" s="9">
        <f>AI111/(1-$B$124)</f>
        <v>84.687687687687756</v>
      </c>
      <c r="AJ112" s="9">
        <f>AJ111/(1-$B$124)</f>
        <v>78.810810810810736</v>
      </c>
      <c r="AK112" s="9">
        <f>AK111/(1-$B$124)</f>
        <v>80.549549549549496</v>
      </c>
      <c r="AM112" s="9">
        <f>AM111/(1-$B$124)</f>
        <v>81.723723723723893</v>
      </c>
      <c r="AN112" s="9">
        <f>AN111/(1-$B$124)</f>
        <v>84.015015015014953</v>
      </c>
      <c r="AO112" s="9"/>
      <c r="AP112" s="9"/>
      <c r="AR112" s="9"/>
      <c r="AS112" s="9"/>
      <c r="AT112" s="9"/>
      <c r="AU112" s="9"/>
      <c r="AV112" s="101"/>
      <c r="AW112" s="9"/>
      <c r="AX112" s="9"/>
      <c r="AY112" s="9"/>
      <c r="AZ112" s="9"/>
      <c r="BA112" s="101"/>
      <c r="BB112" s="9"/>
      <c r="BC112" s="9"/>
      <c r="BD112" s="9"/>
      <c r="BE112" s="9"/>
      <c r="BF112" s="101"/>
      <c r="BG112" s="101"/>
      <c r="BH112" s="101"/>
      <c r="BI112" s="101"/>
      <c r="BJ112" s="101"/>
      <c r="BK112" s="101"/>
      <c r="BL112" s="101"/>
      <c r="BM112" s="101"/>
      <c r="BN112" s="101"/>
      <c r="BO112" s="101"/>
      <c r="BP112" s="101"/>
      <c r="BQ112" s="101"/>
      <c r="BR112" s="101"/>
      <c r="BS112" s="101"/>
      <c r="BT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row>
    <row r="113" spans="1:108">
      <c r="D113" t="s">
        <v>1434</v>
      </c>
      <c r="N113" s="2"/>
      <c r="U113" s="16"/>
      <c r="V113" s="16"/>
      <c r="AH113" s="16">
        <f>AH112/AH107</f>
        <v>0.47567725589553705</v>
      </c>
      <c r="AI113" s="16">
        <f>AI112/AI107</f>
        <v>0.54551609408851753</v>
      </c>
      <c r="AJ113" s="16">
        <f>AJ112/AJ107</f>
        <v>0.5479715198463232</v>
      </c>
      <c r="AK113" s="16">
        <f>AK112/AK107</f>
        <v>0.55002358152029063</v>
      </c>
      <c r="AM113" s="16">
        <f>AM112/AM107</f>
        <v>0.55823589743589852</v>
      </c>
      <c r="AN113" s="16">
        <f>AN112/AN107</f>
        <v>0.57331092850263166</v>
      </c>
      <c r="AO113" s="16"/>
      <c r="AP113" s="16"/>
      <c r="AR113" s="16"/>
      <c r="AS113" s="16"/>
      <c r="AT113" s="16"/>
      <c r="AU113" s="16"/>
      <c r="AV113" s="101"/>
      <c r="AW113" s="16"/>
      <c r="AX113" s="16"/>
      <c r="AY113" s="16"/>
      <c r="AZ113" s="16"/>
      <c r="BA113" s="101"/>
      <c r="BB113" s="16"/>
      <c r="BC113" s="16"/>
      <c r="BD113" s="16"/>
      <c r="BE113" s="16"/>
      <c r="BF113" s="101"/>
      <c r="BG113" s="101"/>
      <c r="BH113" s="101"/>
      <c r="BI113" s="101"/>
      <c r="BJ113" s="101"/>
      <c r="BK113" s="101"/>
      <c r="BL113" s="101"/>
      <c r="BM113" s="101"/>
      <c r="BN113" s="101"/>
      <c r="BO113" s="101"/>
      <c r="BP113" s="101"/>
      <c r="BQ113" s="101"/>
      <c r="BR113" s="101"/>
      <c r="BS113" s="101"/>
      <c r="BT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row>
    <row r="114" spans="1:108">
      <c r="A114" s="2"/>
      <c r="B114" s="2"/>
      <c r="D114" t="s">
        <v>1823</v>
      </c>
      <c r="N114" s="2"/>
      <c r="U114" s="16"/>
      <c r="V114" s="16"/>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72"/>
      <c r="CY114" s="172"/>
      <c r="CZ114" s="172"/>
      <c r="DA114" s="172"/>
    </row>
    <row r="115" spans="1:108">
      <c r="A115" s="2">
        <v>2004</v>
      </c>
      <c r="B115" s="134">
        <v>38930</v>
      </c>
      <c r="C115" s="194" t="s">
        <v>1550</v>
      </c>
      <c r="D115" s="23" t="s">
        <v>590</v>
      </c>
      <c r="E115" s="11"/>
      <c r="F115" s="96" t="s">
        <v>367</v>
      </c>
      <c r="G115" s="96" t="s">
        <v>364</v>
      </c>
      <c r="H115" s="96" t="s">
        <v>363</v>
      </c>
      <c r="I115" s="96" t="s">
        <v>362</v>
      </c>
      <c r="J115" s="96" t="s">
        <v>589</v>
      </c>
      <c r="K115" s="96" t="s">
        <v>585</v>
      </c>
      <c r="L115" s="96" t="s">
        <v>586</v>
      </c>
      <c r="M115" s="96" t="s">
        <v>587</v>
      </c>
      <c r="N115" s="96" t="s">
        <v>588</v>
      </c>
      <c r="O115" s="96" t="s">
        <v>580</v>
      </c>
      <c r="P115" s="96" t="s">
        <v>582</v>
      </c>
      <c r="Q115" s="96" t="s">
        <v>581</v>
      </c>
      <c r="R115" s="96" t="s">
        <v>488</v>
      </c>
      <c r="S115" s="96" t="s">
        <v>1102</v>
      </c>
      <c r="T115" s="96" t="s">
        <v>1104</v>
      </c>
      <c r="U115" s="96" t="s">
        <v>1650</v>
      </c>
      <c r="V115" s="96" t="s">
        <v>2356</v>
      </c>
      <c r="W115" s="184" t="s">
        <v>1651</v>
      </c>
      <c r="X115" s="96" t="str">
        <f>X2</f>
        <v>Q1 07</v>
      </c>
      <c r="Y115" s="96" t="str">
        <f>Y2</f>
        <v>Q2 07</v>
      </c>
      <c r="Z115" s="96" t="str">
        <f>Z2</f>
        <v>Q3 07</v>
      </c>
      <c r="AA115" s="96" t="str">
        <f>AA2</f>
        <v>Q4 07</v>
      </c>
      <c r="AB115" s="184" t="s">
        <v>563</v>
      </c>
      <c r="AC115" s="96" t="str">
        <f>AC2</f>
        <v>Q1 08</v>
      </c>
      <c r="AD115" s="96" t="str">
        <f>AD2</f>
        <v>Q2 08</v>
      </c>
      <c r="AE115" s="96" t="s">
        <v>2043</v>
      </c>
      <c r="AF115" s="96" t="s">
        <v>96</v>
      </c>
      <c r="AG115" s="184" t="s">
        <v>564</v>
      </c>
      <c r="AH115" s="96" t="s">
        <v>1100</v>
      </c>
      <c r="AI115" s="96" t="s">
        <v>2047</v>
      </c>
      <c r="AJ115" s="96" t="s">
        <v>179</v>
      </c>
      <c r="AK115" s="96" t="s">
        <v>2362</v>
      </c>
      <c r="AL115" s="184" t="s">
        <v>604</v>
      </c>
      <c r="AM115" s="96" t="s">
        <v>833</v>
      </c>
      <c r="AN115" s="96" t="s">
        <v>851</v>
      </c>
      <c r="AO115" s="96" t="s">
        <v>1072</v>
      </c>
      <c r="AP115" s="96" t="s">
        <v>1073</v>
      </c>
      <c r="AQ115" s="184" t="s">
        <v>603</v>
      </c>
      <c r="AR115" s="96" t="s">
        <v>2257</v>
      </c>
      <c r="AS115" s="96" t="s">
        <v>981</v>
      </c>
      <c r="AT115" s="96" t="s">
        <v>2432</v>
      </c>
      <c r="AU115" s="96" t="s">
        <v>241</v>
      </c>
      <c r="AV115" s="184" t="s">
        <v>3460</v>
      </c>
      <c r="AW115" s="96" t="str">
        <f>AW2</f>
        <v>Q1 12</v>
      </c>
      <c r="AX115" s="96" t="str">
        <f>AX2</f>
        <v>Q2 12</v>
      </c>
      <c r="AY115" s="96" t="str">
        <f>AY2</f>
        <v>Q3 12</v>
      </c>
      <c r="AZ115" s="96" t="str">
        <f>AZ2</f>
        <v>Q4 12</v>
      </c>
      <c r="BA115" s="184" t="s">
        <v>3461</v>
      </c>
      <c r="BB115" s="96" t="str">
        <f>BB2</f>
        <v>Q1 13</v>
      </c>
      <c r="BC115" s="96" t="str">
        <f>BC2</f>
        <v>Q2 13</v>
      </c>
      <c r="BD115" s="96" t="str">
        <f>BD2</f>
        <v>Q3 13</v>
      </c>
      <c r="BE115" s="96" t="str">
        <f>BE2</f>
        <v>Q4 13</v>
      </c>
      <c r="BF115" s="184" t="s">
        <v>3462</v>
      </c>
      <c r="BG115" s="96" t="str">
        <f>BG2</f>
        <v>Q1 14</v>
      </c>
      <c r="BH115" s="96" t="str">
        <f>BH2</f>
        <v>Q2 14</v>
      </c>
      <c r="BI115" s="96" t="str">
        <f>BI2</f>
        <v>Q3 14</v>
      </c>
      <c r="BJ115" s="96" t="str">
        <f>BJ2</f>
        <v>Q4 14</v>
      </c>
      <c r="BK115" s="184" t="s">
        <v>3463</v>
      </c>
      <c r="BL115" s="96" t="str">
        <f>BL2</f>
        <v>Q1 15</v>
      </c>
      <c r="BM115" s="96" t="str">
        <f>BM2</f>
        <v>Q2 15</v>
      </c>
      <c r="BN115" s="96" t="str">
        <f>BN2</f>
        <v>Q3 15</v>
      </c>
      <c r="BO115" s="96" t="str">
        <f>BO2</f>
        <v>Q4 15</v>
      </c>
      <c r="BP115" s="184" t="s">
        <v>3690</v>
      </c>
      <c r="BQ115" s="184"/>
      <c r="BR115" s="184"/>
      <c r="BS115" s="184"/>
      <c r="BT115" s="184"/>
      <c r="BU115" s="96"/>
      <c r="BV115" s="96" t="str">
        <f>S115</f>
        <v>Q1 06</v>
      </c>
      <c r="BW115" s="96" t="str">
        <f>T115</f>
        <v>Q2 06</v>
      </c>
      <c r="BX115" s="96" t="str">
        <f>U115</f>
        <v>Q3 06</v>
      </c>
      <c r="BY115" s="120" t="str">
        <f>V115</f>
        <v>Q4 06</v>
      </c>
      <c r="BZ115" s="96" t="s">
        <v>499</v>
      </c>
      <c r="CA115" s="96" t="s">
        <v>740</v>
      </c>
      <c r="CB115" s="96" t="s">
        <v>558</v>
      </c>
      <c r="CC115" s="120" t="s">
        <v>82</v>
      </c>
      <c r="CD115" s="96" t="str">
        <f>AC115</f>
        <v>Q1 08</v>
      </c>
      <c r="CE115" s="96" t="str">
        <f>AD115</f>
        <v>Q2 08</v>
      </c>
      <c r="CF115" s="96" t="str">
        <f>AE115</f>
        <v>Q3 08</v>
      </c>
      <c r="CG115" s="120" t="str">
        <f>AF115</f>
        <v>Q4 08</v>
      </c>
      <c r="CH115" s="96" t="str">
        <f>AH115</f>
        <v>Q1 09</v>
      </c>
      <c r="CI115" s="96" t="str">
        <f>AI115</f>
        <v>Q2 09</v>
      </c>
      <c r="CJ115" s="96" t="str">
        <f>AJ115</f>
        <v>Q3 09</v>
      </c>
      <c r="CK115" s="120" t="str">
        <f>AK115</f>
        <v>Q4 09</v>
      </c>
      <c r="CL115" s="96" t="str">
        <f>AM115</f>
        <v>Q1 10</v>
      </c>
      <c r="CM115" s="96" t="str">
        <f>AN115</f>
        <v>Q2 10</v>
      </c>
      <c r="CN115" s="96" t="str">
        <f>AO115</f>
        <v>Q3 10</v>
      </c>
      <c r="CO115" s="96" t="str">
        <f>AP115</f>
        <v>Q4 10</v>
      </c>
      <c r="CP115" s="96" t="str">
        <f>AR115</f>
        <v>Q1 11</v>
      </c>
      <c r="CQ115" s="96" t="str">
        <f>AS115</f>
        <v>Q2 11</v>
      </c>
      <c r="CR115" s="96" t="str">
        <f>AT115</f>
        <v>Q3 11</v>
      </c>
      <c r="CS115" s="96" t="str">
        <f>AU115</f>
        <v>Q4 11</v>
      </c>
      <c r="CT115" s="96" t="str">
        <f>AW115</f>
        <v>Q1 12</v>
      </c>
      <c r="CU115" s="96" t="str">
        <f>AX115</f>
        <v>Q2 12</v>
      </c>
      <c r="CV115" s="96" t="str">
        <f>AY115</f>
        <v>Q3 12</v>
      </c>
      <c r="CW115" s="96"/>
      <c r="CX115" s="96" t="str">
        <f>BB115</f>
        <v>Q1 13</v>
      </c>
      <c r="CY115" s="96" t="str">
        <f>BC115</f>
        <v>Q2 13</v>
      </c>
      <c r="CZ115" s="96" t="str">
        <f>BD115</f>
        <v>Q3 13</v>
      </c>
      <c r="DA115" s="96" t="str">
        <f>BE115</f>
        <v>Q4 13</v>
      </c>
      <c r="DB115" s="96" t="str">
        <f>BG115</f>
        <v>Q1 14</v>
      </c>
      <c r="DC115" s="96" t="str">
        <f>BH115</f>
        <v>Q2 14</v>
      </c>
      <c r="DD115" s="96" t="str">
        <f>BI115</f>
        <v>Q3 14</v>
      </c>
    </row>
    <row r="116" spans="1:108" hidden="1" outlineLevel="1">
      <c r="A116" s="6" t="s">
        <v>2381</v>
      </c>
      <c r="B116" s="6" t="s">
        <v>2381</v>
      </c>
      <c r="C116" s="6" t="s">
        <v>1823</v>
      </c>
      <c r="D116" s="2"/>
      <c r="O116" s="16"/>
      <c r="W116" s="107"/>
      <c r="AB116" s="107"/>
      <c r="AG116" s="107"/>
      <c r="AL116" s="107"/>
      <c r="AQ116" s="107"/>
      <c r="BY116" s="126"/>
      <c r="CB116"/>
      <c r="CC116" s="126"/>
      <c r="CG116" s="126"/>
      <c r="CK116" s="126"/>
    </row>
    <row r="117" spans="1:108" hidden="1" outlineLevel="1">
      <c r="A117" s="5">
        <v>0.999</v>
      </c>
      <c r="B117" s="5">
        <v>0.999</v>
      </c>
      <c r="C117" s="22" t="s">
        <v>1554</v>
      </c>
      <c r="D117" t="s">
        <v>730</v>
      </c>
      <c r="F117" s="9">
        <v>266.37200000000001</v>
      </c>
      <c r="H117" s="9">
        <v>292.024</v>
      </c>
      <c r="I117" s="9">
        <v>328.04199999999997</v>
      </c>
      <c r="J117" s="9">
        <v>368.10199999999998</v>
      </c>
      <c r="K117" s="9">
        <v>379.6</v>
      </c>
      <c r="L117" s="9">
        <v>392.2</v>
      </c>
      <c r="M117" s="9">
        <v>402.2</v>
      </c>
      <c r="N117" s="9">
        <v>442.54599999999999</v>
      </c>
      <c r="O117" s="9">
        <v>493.16500000000002</v>
      </c>
      <c r="P117" s="9">
        <v>544.45500000000004</v>
      </c>
      <c r="Q117" s="9">
        <v>587.95699999999999</v>
      </c>
      <c r="R117" s="9">
        <v>579.42999999999995</v>
      </c>
      <c r="S117" s="9">
        <v>608.04600000000005</v>
      </c>
      <c r="T117" s="9">
        <v>713.02</v>
      </c>
      <c r="U117" s="9">
        <v>764.08600000000001</v>
      </c>
      <c r="V117" s="9">
        <v>863.23500000000001</v>
      </c>
      <c r="W117" s="133">
        <f>Asia!G37</f>
        <v>863</v>
      </c>
      <c r="X117" s="9">
        <v>990.62099999999998</v>
      </c>
      <c r="Y117" s="9">
        <v>1044.444</v>
      </c>
      <c r="Z117" s="9">
        <v>1089.9670000000001</v>
      </c>
      <c r="AA117" s="9">
        <v>1181.577</v>
      </c>
      <c r="AB117" s="133">
        <f>Asia!H37</f>
        <v>1182</v>
      </c>
      <c r="AC117" s="9">
        <v>1369.921</v>
      </c>
      <c r="AD117" s="9">
        <v>1521.874</v>
      </c>
      <c r="AE117" s="9">
        <v>1722.5429999999999</v>
      </c>
      <c r="AF117" s="9">
        <v>2000</v>
      </c>
      <c r="AG117" s="133">
        <f>Asia!I37</f>
        <v>2000</v>
      </c>
      <c r="AH117" s="9">
        <v>2112</v>
      </c>
      <c r="AI117" s="9"/>
      <c r="AJ117" s="9"/>
      <c r="AK117" s="9"/>
      <c r="AL117" s="133"/>
      <c r="AM117" s="9"/>
      <c r="AN117" s="9"/>
      <c r="AO117" s="9"/>
      <c r="AP117" s="9"/>
      <c r="AQ117" s="133"/>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f t="shared" ref="BV117:BY120" si="11">S117-R117</f>
        <v>28.616000000000099</v>
      </c>
      <c r="BW117" s="9">
        <f t="shared" si="11"/>
        <v>104.97399999999993</v>
      </c>
      <c r="BX117" s="9">
        <f t="shared" si="11"/>
        <v>51.066000000000031</v>
      </c>
      <c r="BY117" s="121">
        <f t="shared" si="11"/>
        <v>99.149000000000001</v>
      </c>
      <c r="BZ117" s="9">
        <f t="shared" ref="BZ117:CC120" si="12">X117-W117</f>
        <v>127.62099999999998</v>
      </c>
      <c r="CA117" s="9">
        <f t="shared" si="12"/>
        <v>53.822999999999979</v>
      </c>
      <c r="CB117" s="9">
        <f t="shared" si="12"/>
        <v>45.523000000000138</v>
      </c>
      <c r="CC117" s="121">
        <f t="shared" si="12"/>
        <v>91.6099999999999</v>
      </c>
      <c r="CD117" s="9">
        <f>AC117-AA117</f>
        <v>188.34400000000005</v>
      </c>
      <c r="CE117" s="9">
        <f t="shared" ref="CE117:CG120" si="13">AD117-AC117</f>
        <v>151.95299999999997</v>
      </c>
      <c r="CF117" s="9">
        <f t="shared" si="13"/>
        <v>200.66899999999987</v>
      </c>
      <c r="CG117" s="121">
        <f t="shared" si="13"/>
        <v>277.45700000000011</v>
      </c>
      <c r="CH117" s="9">
        <f>AH117-AG117</f>
        <v>112</v>
      </c>
      <c r="CI117" s="9"/>
      <c r="CJ117" s="9"/>
      <c r="CK117" s="121"/>
      <c r="CL117" s="9"/>
      <c r="CM117" s="9"/>
      <c r="CN117" s="9"/>
      <c r="CO117" s="9"/>
      <c r="CP117" s="9"/>
      <c r="CQ117" s="9"/>
      <c r="CR117" s="9"/>
      <c r="CS117" s="9"/>
      <c r="CT117" s="9"/>
      <c r="CU117" s="9"/>
      <c r="CV117" s="9"/>
      <c r="CW117" s="9"/>
      <c r="CX117" s="9"/>
      <c r="CY117" s="9"/>
      <c r="CZ117" s="9"/>
      <c r="DA117" s="9"/>
    </row>
    <row r="118" spans="1:108" hidden="1" outlineLevel="1">
      <c r="A118" s="5">
        <v>0.58399999999999996</v>
      </c>
      <c r="B118" s="5">
        <f>A118</f>
        <v>0.58399999999999996</v>
      </c>
      <c r="C118" s="22" t="s">
        <v>1553</v>
      </c>
      <c r="D118" t="s">
        <v>738</v>
      </c>
      <c r="F118" s="9">
        <v>325.26400000000001</v>
      </c>
      <c r="H118" s="9">
        <v>381.92599999999999</v>
      </c>
      <c r="I118" s="9">
        <v>413.72</v>
      </c>
      <c r="J118" s="9">
        <v>431.911</v>
      </c>
      <c r="K118" s="9">
        <v>481.1</v>
      </c>
      <c r="L118" s="9">
        <v>524.1</v>
      </c>
      <c r="M118" s="9">
        <v>572.9</v>
      </c>
      <c r="N118" s="9">
        <v>609.70399999999995</v>
      </c>
      <c r="O118" s="9">
        <v>655.81799999999998</v>
      </c>
      <c r="P118" s="9">
        <v>679.89800000000002</v>
      </c>
      <c r="Q118" s="9">
        <v>716.84100000000001</v>
      </c>
      <c r="R118" s="9">
        <v>773.60799999999995</v>
      </c>
      <c r="S118" s="9">
        <v>845.69200000000001</v>
      </c>
      <c r="T118" s="9">
        <v>911.59299999999996</v>
      </c>
      <c r="U118" s="9">
        <v>988.87</v>
      </c>
      <c r="V118" s="9">
        <v>1075.162</v>
      </c>
      <c r="W118" s="133">
        <f>Asia!G38</f>
        <v>1075</v>
      </c>
      <c r="X118" s="9">
        <v>1185.944</v>
      </c>
      <c r="Y118" s="9">
        <v>1313.827</v>
      </c>
      <c r="Z118" s="9">
        <v>1435.3119999999999</v>
      </c>
      <c r="AA118" s="9">
        <v>1652.6489999999999</v>
      </c>
      <c r="AB118" s="133">
        <f>Asia!H38</f>
        <v>1653</v>
      </c>
      <c r="AC118" s="9">
        <v>1868.894</v>
      </c>
      <c r="AD118" s="9">
        <v>1991.8679999999999</v>
      </c>
      <c r="AE118" s="9">
        <v>2058.8609999999999</v>
      </c>
      <c r="AF118" s="9">
        <v>2120</v>
      </c>
      <c r="AG118" s="133">
        <f>Asia!I38</f>
        <v>2120</v>
      </c>
      <c r="AH118" s="9">
        <v>2172</v>
      </c>
      <c r="AI118" s="9"/>
      <c r="AJ118" s="9"/>
      <c r="AK118" s="9"/>
      <c r="AL118" s="133"/>
      <c r="AM118" s="9"/>
      <c r="AN118" s="9"/>
      <c r="AO118" s="9"/>
      <c r="AP118" s="9"/>
      <c r="AQ118" s="133"/>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f t="shared" si="11"/>
        <v>72.08400000000006</v>
      </c>
      <c r="BW118" s="9">
        <f t="shared" si="11"/>
        <v>65.900999999999954</v>
      </c>
      <c r="BX118" s="9">
        <f t="shared" si="11"/>
        <v>77.277000000000044</v>
      </c>
      <c r="BY118" s="121">
        <f t="shared" si="11"/>
        <v>86.29200000000003</v>
      </c>
      <c r="BZ118" s="9">
        <f t="shared" si="12"/>
        <v>110.94399999999996</v>
      </c>
      <c r="CA118" s="9">
        <f t="shared" si="12"/>
        <v>127.88300000000004</v>
      </c>
      <c r="CB118" s="9">
        <f t="shared" si="12"/>
        <v>121.4849999999999</v>
      </c>
      <c r="CC118" s="121">
        <f t="shared" si="12"/>
        <v>217.33699999999999</v>
      </c>
      <c r="CD118" s="9">
        <f>AC118-AA118</f>
        <v>216.24500000000012</v>
      </c>
      <c r="CE118" s="9">
        <f t="shared" si="13"/>
        <v>122.97399999999993</v>
      </c>
      <c r="CF118" s="9">
        <f t="shared" si="13"/>
        <v>66.992999999999938</v>
      </c>
      <c r="CG118" s="121">
        <f t="shared" si="13"/>
        <v>61.139000000000124</v>
      </c>
      <c r="CH118" s="9">
        <f>AH118-AG118</f>
        <v>52</v>
      </c>
      <c r="CI118" s="9"/>
      <c r="CJ118" s="9"/>
      <c r="CK118" s="121"/>
      <c r="CL118" s="9"/>
      <c r="CM118" s="9"/>
      <c r="CN118" s="9"/>
      <c r="CO118" s="9"/>
      <c r="CP118" s="9"/>
      <c r="CQ118" s="9"/>
      <c r="CR118" s="9"/>
      <c r="CS118" s="9"/>
      <c r="CT118" s="9"/>
      <c r="CU118" s="9"/>
      <c r="CV118" s="9"/>
      <c r="CW118" s="9"/>
      <c r="CX118" s="9"/>
      <c r="CY118" s="9"/>
      <c r="CZ118" s="9"/>
      <c r="DA118" s="9"/>
    </row>
    <row r="119" spans="1:108" hidden="1" outlineLevel="1">
      <c r="A119" s="5">
        <v>0.74099999999999999</v>
      </c>
      <c r="B119" s="5">
        <f>A119</f>
        <v>0.74099999999999999</v>
      </c>
      <c r="C119" s="22" t="s">
        <v>1554</v>
      </c>
      <c r="D119" s="11" t="s">
        <v>739</v>
      </c>
      <c r="E119" s="11"/>
      <c r="F119" s="13">
        <v>0</v>
      </c>
      <c r="G119" s="11"/>
      <c r="H119" s="13">
        <v>7.6710000000000003</v>
      </c>
      <c r="I119" s="13">
        <v>12.249000000000001</v>
      </c>
      <c r="J119" s="13">
        <v>17.373999999999999</v>
      </c>
      <c r="K119" s="13">
        <v>22.2</v>
      </c>
      <c r="L119" s="13">
        <v>28.3</v>
      </c>
      <c r="M119" s="13">
        <v>32.299999999999997</v>
      </c>
      <c r="N119" s="13">
        <v>40.314999999999998</v>
      </c>
      <c r="O119" s="13">
        <v>47.843000000000004</v>
      </c>
      <c r="P119" s="13">
        <v>57.65</v>
      </c>
      <c r="Q119" s="13">
        <v>67.346999999999994</v>
      </c>
      <c r="R119" s="13">
        <v>76.727999999999994</v>
      </c>
      <c r="S119" s="13">
        <v>79.135999999999996</v>
      </c>
      <c r="T119" s="13">
        <v>82.730999999999995</v>
      </c>
      <c r="U119" s="13">
        <v>83.194000000000003</v>
      </c>
      <c r="V119" s="13">
        <v>87.227999999999994</v>
      </c>
      <c r="W119" s="87">
        <f>Asia!G39</f>
        <v>87</v>
      </c>
      <c r="X119" s="13">
        <v>91.869</v>
      </c>
      <c r="Y119" s="13">
        <v>93.097999999999999</v>
      </c>
      <c r="Z119" s="13">
        <v>99.268000000000001</v>
      </c>
      <c r="AA119" s="13">
        <v>130.512</v>
      </c>
      <c r="AB119" s="87">
        <f>Asia!H39</f>
        <v>131</v>
      </c>
      <c r="AC119" s="13">
        <v>144.374</v>
      </c>
      <c r="AD119" s="13">
        <v>169.06700000000001</v>
      </c>
      <c r="AE119" s="13">
        <v>199.28100000000001</v>
      </c>
      <c r="AF119" s="13">
        <v>233</v>
      </c>
      <c r="AG119" s="87">
        <f>Asia!I39</f>
        <v>233</v>
      </c>
      <c r="AH119" s="13">
        <v>254</v>
      </c>
      <c r="AI119" s="13"/>
      <c r="AJ119" s="13"/>
      <c r="AK119" s="13"/>
      <c r="AL119" s="87"/>
      <c r="AM119" s="13"/>
      <c r="AN119" s="13"/>
      <c r="AO119" s="13"/>
      <c r="AP119" s="13"/>
      <c r="AQ119" s="87"/>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f t="shared" si="11"/>
        <v>2.4080000000000013</v>
      </c>
      <c r="BW119" s="13">
        <f t="shared" si="11"/>
        <v>3.5949999999999989</v>
      </c>
      <c r="BX119" s="13">
        <f t="shared" si="11"/>
        <v>0.46300000000000807</v>
      </c>
      <c r="BY119" s="215">
        <f t="shared" si="11"/>
        <v>4.0339999999999918</v>
      </c>
      <c r="BZ119" s="13">
        <f t="shared" si="12"/>
        <v>4.8689999999999998</v>
      </c>
      <c r="CA119" s="13">
        <f t="shared" si="12"/>
        <v>1.2289999999999992</v>
      </c>
      <c r="CB119" s="13">
        <f t="shared" si="12"/>
        <v>6.1700000000000017</v>
      </c>
      <c r="CC119" s="215">
        <f t="shared" si="12"/>
        <v>31.244</v>
      </c>
      <c r="CD119" s="13">
        <f>AC119-AA119</f>
        <v>13.861999999999995</v>
      </c>
      <c r="CE119" s="13">
        <f t="shared" si="13"/>
        <v>24.693000000000012</v>
      </c>
      <c r="CF119" s="13">
        <f t="shared" si="13"/>
        <v>30.213999999999999</v>
      </c>
      <c r="CG119" s="215">
        <f t="shared" si="13"/>
        <v>33.718999999999994</v>
      </c>
      <c r="CH119" s="13">
        <f>AH119-AG119</f>
        <v>21</v>
      </c>
      <c r="CI119" s="13"/>
      <c r="CJ119" s="13"/>
      <c r="CK119" s="215"/>
      <c r="CL119" s="13"/>
      <c r="CM119" s="13"/>
      <c r="CN119" s="13"/>
      <c r="CO119" s="13"/>
      <c r="CP119" s="13"/>
      <c r="CQ119" s="13"/>
      <c r="CR119" s="13"/>
      <c r="CS119" s="13"/>
      <c r="CT119" s="13"/>
      <c r="CU119" s="13"/>
      <c r="CV119" s="13"/>
      <c r="CW119" s="13"/>
      <c r="CX119" s="9"/>
      <c r="CY119" s="9"/>
      <c r="CZ119" s="9"/>
      <c r="DA119" s="9"/>
    </row>
    <row r="120" spans="1:108" hidden="1" outlineLevel="1">
      <c r="C120" s="6"/>
      <c r="D120" s="2" t="s">
        <v>1163</v>
      </c>
      <c r="F120" s="10">
        <f>SUM(F118:F119)</f>
        <v>325.26400000000001</v>
      </c>
      <c r="G120" s="2"/>
      <c r="H120" s="10">
        <f t="shared" ref="H120:V120" si="14">SUM(H118:H119)</f>
        <v>389.59699999999998</v>
      </c>
      <c r="I120" s="10">
        <f t="shared" si="14"/>
        <v>425.96900000000005</v>
      </c>
      <c r="J120" s="10">
        <f t="shared" si="14"/>
        <v>449.28500000000003</v>
      </c>
      <c r="K120" s="10">
        <f t="shared" si="14"/>
        <v>503.3</v>
      </c>
      <c r="L120" s="10">
        <f t="shared" si="14"/>
        <v>552.4</v>
      </c>
      <c r="M120" s="10">
        <f t="shared" si="14"/>
        <v>605.19999999999993</v>
      </c>
      <c r="N120" s="10">
        <f t="shared" si="14"/>
        <v>650.01900000000001</v>
      </c>
      <c r="O120" s="10">
        <f t="shared" si="14"/>
        <v>703.66099999999994</v>
      </c>
      <c r="P120" s="10">
        <f t="shared" si="14"/>
        <v>737.548</v>
      </c>
      <c r="Q120" s="10">
        <f t="shared" si="14"/>
        <v>784.18799999999999</v>
      </c>
      <c r="R120" s="10">
        <f t="shared" si="14"/>
        <v>850.3359999999999</v>
      </c>
      <c r="S120" s="10">
        <f t="shared" si="14"/>
        <v>924.82799999999997</v>
      </c>
      <c r="T120" s="10">
        <f t="shared" si="14"/>
        <v>994.32399999999996</v>
      </c>
      <c r="U120" s="10">
        <f t="shared" si="14"/>
        <v>1072.0640000000001</v>
      </c>
      <c r="V120" s="10">
        <f t="shared" si="14"/>
        <v>1162.3900000000001</v>
      </c>
      <c r="W120" s="181">
        <f>SUM(W118:W119)</f>
        <v>1162</v>
      </c>
      <c r="X120" s="10">
        <f t="shared" ref="X120:AD120" si="15">SUM(X117:X119)</f>
        <v>2268.4340000000002</v>
      </c>
      <c r="Y120" s="10">
        <f t="shared" si="15"/>
        <v>2451.3689999999997</v>
      </c>
      <c r="Z120" s="10">
        <f t="shared" si="15"/>
        <v>2624.547</v>
      </c>
      <c r="AA120" s="10">
        <f t="shared" si="15"/>
        <v>2964.7379999999998</v>
      </c>
      <c r="AB120" s="181">
        <f t="shared" si="15"/>
        <v>2966</v>
      </c>
      <c r="AC120" s="10">
        <f t="shared" si="15"/>
        <v>3383.1889999999999</v>
      </c>
      <c r="AD120" s="10">
        <f t="shared" si="15"/>
        <v>3682.8090000000002</v>
      </c>
      <c r="AE120" s="10">
        <f>SUM(AE117:AE119)</f>
        <v>3980.6849999999995</v>
      </c>
      <c r="AF120" s="10">
        <f>SUM(AF117:AF119)</f>
        <v>4353</v>
      </c>
      <c r="AG120" s="181">
        <f>SUM(AG117:AG119)</f>
        <v>4353</v>
      </c>
      <c r="AH120" s="10">
        <f>SUM(AH117:AH119)</f>
        <v>4538</v>
      </c>
      <c r="AI120" s="10"/>
      <c r="AJ120" s="10"/>
      <c r="AK120" s="10"/>
      <c r="AL120" s="181"/>
      <c r="AM120" s="10"/>
      <c r="AN120" s="10"/>
      <c r="AO120" s="10"/>
      <c r="AP120" s="10"/>
      <c r="AQ120" s="181"/>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9"/>
      <c r="BV120" s="9">
        <f t="shared" si="11"/>
        <v>74.492000000000075</v>
      </c>
      <c r="BW120" s="9">
        <f t="shared" si="11"/>
        <v>69.495999999999981</v>
      </c>
      <c r="BX120" s="9">
        <f t="shared" si="11"/>
        <v>77.740000000000123</v>
      </c>
      <c r="BY120" s="121">
        <f t="shared" si="11"/>
        <v>90.326000000000022</v>
      </c>
      <c r="BZ120" s="9">
        <f t="shared" si="12"/>
        <v>1106.4340000000002</v>
      </c>
      <c r="CA120" s="9">
        <f t="shared" si="12"/>
        <v>182.93499999999949</v>
      </c>
      <c r="CB120" s="9">
        <f t="shared" si="12"/>
        <v>173.17800000000034</v>
      </c>
      <c r="CC120" s="121">
        <f t="shared" si="12"/>
        <v>340.1909999999998</v>
      </c>
      <c r="CD120" s="9">
        <f>AC120-AA120</f>
        <v>418.45100000000002</v>
      </c>
      <c r="CE120" s="9">
        <f t="shared" si="13"/>
        <v>299.62000000000035</v>
      </c>
      <c r="CF120" s="9">
        <f t="shared" si="13"/>
        <v>297.87599999999929</v>
      </c>
      <c r="CG120" s="121">
        <f t="shared" si="13"/>
        <v>372.31500000000051</v>
      </c>
      <c r="CH120" s="9">
        <f>AH120-AG120</f>
        <v>185</v>
      </c>
      <c r="CI120" s="9"/>
      <c r="CJ120" s="9"/>
      <c r="CK120" s="121"/>
      <c r="CL120" s="9"/>
      <c r="CM120" s="9"/>
      <c r="CN120" s="9"/>
      <c r="CO120" s="9"/>
      <c r="CP120" s="9"/>
      <c r="CQ120" s="9"/>
      <c r="CR120" s="9"/>
      <c r="CS120" s="9"/>
      <c r="CT120" s="9"/>
      <c r="CU120" s="9"/>
      <c r="CV120" s="9"/>
      <c r="CW120" s="9"/>
      <c r="CX120" s="9"/>
      <c r="CY120" s="9"/>
      <c r="CZ120" s="9"/>
      <c r="DA120" s="9"/>
    </row>
    <row r="121" spans="1:108" hidden="1" outlineLevel="1">
      <c r="C121" s="6"/>
      <c r="F121" s="9"/>
      <c r="H121" s="9"/>
      <c r="I121" s="9"/>
      <c r="J121" s="9"/>
      <c r="K121" s="9"/>
      <c r="L121" s="9"/>
      <c r="M121" s="9"/>
      <c r="N121" s="9"/>
      <c r="O121" s="9"/>
      <c r="P121" s="9"/>
      <c r="Q121" s="16"/>
      <c r="R121" s="16"/>
      <c r="S121" s="16"/>
      <c r="T121" s="16"/>
      <c r="U121" s="16"/>
      <c r="V121" s="16"/>
      <c r="W121" s="73"/>
      <c r="X121" s="16"/>
      <c r="Y121" s="16"/>
      <c r="Z121" s="16"/>
      <c r="AA121" s="16"/>
      <c r="AB121" s="73"/>
      <c r="AC121" s="16"/>
      <c r="AD121" s="16"/>
      <c r="AE121" s="16"/>
      <c r="AF121" s="16"/>
      <c r="AG121" s="73"/>
      <c r="AH121" s="16"/>
      <c r="AI121" s="16"/>
      <c r="AJ121" s="16"/>
      <c r="AK121" s="16"/>
      <c r="AL121" s="73"/>
      <c r="AM121" s="16"/>
      <c r="AN121" s="16"/>
      <c r="AO121" s="16"/>
      <c r="AP121" s="16"/>
      <c r="AQ121" s="73"/>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9"/>
      <c r="BV121" s="9"/>
      <c r="BW121" s="9"/>
      <c r="BX121" s="9"/>
      <c r="BY121" s="121"/>
      <c r="BZ121" s="9"/>
      <c r="CA121" s="9"/>
      <c r="CB121" s="9"/>
      <c r="CC121" s="121"/>
      <c r="CD121" s="9"/>
      <c r="CE121" s="9"/>
      <c r="CF121" s="9"/>
      <c r="CG121" s="121"/>
      <c r="CH121" s="9"/>
      <c r="CI121" s="9"/>
      <c r="CJ121" s="9"/>
      <c r="CK121" s="121"/>
      <c r="CL121" s="9"/>
      <c r="CM121" s="9"/>
      <c r="CN121" s="9"/>
      <c r="CO121" s="9"/>
      <c r="CP121" s="9"/>
      <c r="CQ121" s="9"/>
      <c r="CR121" s="9"/>
      <c r="CS121" s="9"/>
      <c r="CT121" s="9"/>
      <c r="CU121" s="9"/>
      <c r="CV121" s="9"/>
      <c r="CW121" s="9"/>
      <c r="CX121" s="9"/>
      <c r="CY121" s="9"/>
      <c r="CZ121" s="9"/>
      <c r="DA121" s="9"/>
    </row>
    <row r="122" spans="1:108" collapsed="1">
      <c r="A122" s="5">
        <v>1</v>
      </c>
      <c r="B122" s="5">
        <f>A122</f>
        <v>1</v>
      </c>
      <c r="C122" s="22" t="s">
        <v>1553</v>
      </c>
      <c r="D122" t="s">
        <v>2376</v>
      </c>
      <c r="F122" s="9">
        <v>0</v>
      </c>
      <c r="H122" s="9">
        <v>0</v>
      </c>
      <c r="I122" s="9">
        <v>462.31099999999998</v>
      </c>
      <c r="J122" s="9">
        <v>465.15</v>
      </c>
      <c r="K122" s="9">
        <v>468.6</v>
      </c>
      <c r="L122" s="9">
        <v>487.1</v>
      </c>
      <c r="M122" s="9">
        <v>499.6</v>
      </c>
      <c r="N122" s="9">
        <v>534.28800000000001</v>
      </c>
      <c r="O122" s="9">
        <v>567.64700000000005</v>
      </c>
      <c r="P122" s="9">
        <v>614.37099999999998</v>
      </c>
      <c r="Q122" s="9">
        <v>662.51599999999996</v>
      </c>
      <c r="R122" s="9">
        <v>738.98</v>
      </c>
      <c r="S122" s="9">
        <v>833.726</v>
      </c>
      <c r="T122" s="9">
        <v>962.822</v>
      </c>
      <c r="U122" s="9">
        <v>1112.173</v>
      </c>
      <c r="V122" s="9">
        <v>1387.395</v>
      </c>
      <c r="W122" s="133">
        <f>CA!G41</f>
        <v>1387</v>
      </c>
      <c r="X122" s="9">
        <v>1580.279</v>
      </c>
      <c r="Y122" s="9">
        <v>1767.587</v>
      </c>
      <c r="Z122" s="9">
        <v>1910.1020000000001</v>
      </c>
      <c r="AA122" s="9">
        <v>2217.56</v>
      </c>
      <c r="AB122" s="133">
        <f>CA!H41</f>
        <v>2218</v>
      </c>
      <c r="AC122" s="9">
        <v>2395.0059999999999</v>
      </c>
      <c r="AD122" s="289">
        <f>2316.643</f>
        <v>2316.643</v>
      </c>
      <c r="AE122" s="9">
        <v>2455.3890000000001</v>
      </c>
      <c r="AF122" s="9">
        <v>2528</v>
      </c>
      <c r="AG122" s="133">
        <f>CA!I41</f>
        <v>2528</v>
      </c>
      <c r="AH122" s="9">
        <v>2593</v>
      </c>
      <c r="AI122" s="9">
        <v>2702.3</v>
      </c>
      <c r="AJ122" s="9">
        <v>2690.1280000000002</v>
      </c>
      <c r="AK122" s="9">
        <v>2780</v>
      </c>
      <c r="AL122" s="133">
        <f>CA!J41</f>
        <v>2780</v>
      </c>
      <c r="AM122" s="9">
        <v>2815.991</v>
      </c>
      <c r="AN122" s="9">
        <v>2785.5639999999999</v>
      </c>
      <c r="AO122" s="9">
        <v>2692.9009999999998</v>
      </c>
      <c r="AP122" s="9">
        <v>2728.136</v>
      </c>
      <c r="AQ122" s="133">
        <f>CA!K41</f>
        <v>2728.136</v>
      </c>
      <c r="AR122" s="9">
        <v>2792.6149999999998</v>
      </c>
      <c r="AS122" s="9">
        <v>2882.7939999999999</v>
      </c>
      <c r="AT122" s="9">
        <v>2913</v>
      </c>
      <c r="AU122" s="9">
        <v>3027</v>
      </c>
      <c r="AV122" s="133">
        <f>CA!L41</f>
        <v>3027</v>
      </c>
      <c r="AW122" s="9">
        <v>3046</v>
      </c>
      <c r="AX122" s="9">
        <v>3073</v>
      </c>
      <c r="AY122" s="9">
        <v>3041</v>
      </c>
      <c r="AZ122" s="9">
        <v>2979</v>
      </c>
      <c r="BA122" s="133">
        <f>CA!M41</f>
        <v>2979</v>
      </c>
      <c r="BB122" s="9">
        <f>BC122+284</f>
        <v>2849</v>
      </c>
      <c r="BC122" s="9">
        <v>2565</v>
      </c>
      <c r="BD122" s="9">
        <v>2590</v>
      </c>
      <c r="BE122" s="9">
        <v>2617</v>
      </c>
      <c r="BF122" s="133">
        <f>CA!N41</f>
        <v>2617</v>
      </c>
      <c r="BG122" s="9">
        <v>2629</v>
      </c>
      <c r="BH122" s="9">
        <v>2666</v>
      </c>
      <c r="BI122" s="9">
        <v>2714</v>
      </c>
      <c r="BJ122" s="9"/>
      <c r="BK122" s="133">
        <f>CA!O41</f>
        <v>2855</v>
      </c>
      <c r="BL122" s="9"/>
      <c r="BM122" s="9"/>
      <c r="BN122" s="9"/>
      <c r="BO122" s="9"/>
      <c r="BP122" s="133">
        <f>CA!P41</f>
        <v>2957.864</v>
      </c>
      <c r="BQ122" s="133"/>
      <c r="BR122" s="133"/>
      <c r="BS122" s="133"/>
      <c r="BT122" s="133"/>
      <c r="BU122" s="9"/>
      <c r="BV122" s="9">
        <f t="shared" ref="BV122:BY125" si="16">S122-R122</f>
        <v>94.745999999999981</v>
      </c>
      <c r="BW122" s="9">
        <f t="shared" si="16"/>
        <v>129.096</v>
      </c>
      <c r="BX122" s="9">
        <f t="shared" si="16"/>
        <v>149.351</v>
      </c>
      <c r="BY122" s="121">
        <f t="shared" si="16"/>
        <v>275.22199999999998</v>
      </c>
      <c r="BZ122" s="9">
        <f t="shared" ref="BZ122:CC125" si="17">X122-W122</f>
        <v>193.279</v>
      </c>
      <c r="CA122" s="9">
        <f t="shared" si="17"/>
        <v>187.30799999999999</v>
      </c>
      <c r="CB122" s="9">
        <f t="shared" si="17"/>
        <v>142.5150000000001</v>
      </c>
      <c r="CC122" s="121">
        <f t="shared" si="17"/>
        <v>307.45799999999986</v>
      </c>
      <c r="CD122" s="9">
        <f>AC122-AA122</f>
        <v>177.44599999999991</v>
      </c>
      <c r="CE122" s="9">
        <f t="shared" ref="CE122:CG123" si="18">AD122-AC122</f>
        <v>-78.362999999999829</v>
      </c>
      <c r="CF122" s="9">
        <f t="shared" si="18"/>
        <v>138.74600000000009</v>
      </c>
      <c r="CG122" s="121">
        <f t="shared" si="18"/>
        <v>72.610999999999876</v>
      </c>
      <c r="CH122" s="9">
        <f t="shared" ref="CH122:CK125" si="19">AH122-AG122</f>
        <v>65</v>
      </c>
      <c r="CI122" s="9">
        <f t="shared" si="19"/>
        <v>109.30000000000018</v>
      </c>
      <c r="CJ122" s="9">
        <f t="shared" si="19"/>
        <v>-12.172000000000025</v>
      </c>
      <c r="CK122" s="121">
        <f t="shared" si="19"/>
        <v>89.871999999999844</v>
      </c>
      <c r="CL122" s="9">
        <f t="shared" ref="CL122:CO125" si="20">AM122-AL122</f>
        <v>35.990999999999985</v>
      </c>
      <c r="CM122" s="9">
        <f t="shared" si="20"/>
        <v>-30.427000000000135</v>
      </c>
      <c r="CN122" s="9">
        <f t="shared" si="20"/>
        <v>-92.663000000000011</v>
      </c>
      <c r="CO122" s="9">
        <f t="shared" si="20"/>
        <v>35.235000000000127</v>
      </c>
      <c r="CP122" s="9">
        <f t="shared" ref="CP122:CS125" si="21">AR122-AQ122</f>
        <v>64.478999999999814</v>
      </c>
      <c r="CQ122" s="9">
        <f t="shared" si="21"/>
        <v>90.179000000000087</v>
      </c>
      <c r="CR122" s="9">
        <f t="shared" si="21"/>
        <v>30.206000000000131</v>
      </c>
      <c r="CS122" s="9">
        <f t="shared" si="21"/>
        <v>114</v>
      </c>
      <c r="CT122" s="9">
        <f t="shared" ref="CT122:CV125" si="22">AW122-AV122</f>
        <v>19</v>
      </c>
      <c r="CU122" s="9">
        <f t="shared" si="22"/>
        <v>27</v>
      </c>
      <c r="CV122" s="9">
        <f t="shared" si="22"/>
        <v>-32</v>
      </c>
      <c r="CW122" s="9" t="str">
        <f>D122</f>
        <v>El Salvador</v>
      </c>
      <c r="CX122" s="88">
        <f t="shared" ref="CX122:DA125" si="23">BB122-BA122</f>
        <v>-130</v>
      </c>
      <c r="CY122" s="88">
        <f t="shared" si="23"/>
        <v>-284</v>
      </c>
      <c r="CZ122" s="88">
        <f t="shared" si="23"/>
        <v>25</v>
      </c>
      <c r="DA122" s="88">
        <f t="shared" si="23"/>
        <v>27</v>
      </c>
      <c r="DB122" s="88">
        <f t="shared" ref="DB122:DD125" si="24">BG122-BF122</f>
        <v>12</v>
      </c>
      <c r="DC122" s="88">
        <f t="shared" si="24"/>
        <v>37</v>
      </c>
      <c r="DD122" s="88">
        <f t="shared" si="24"/>
        <v>48</v>
      </c>
    </row>
    <row r="123" spans="1:108">
      <c r="A123" s="5">
        <v>0.55000000000000004</v>
      </c>
      <c r="B123" s="5">
        <f>A123</f>
        <v>0.55000000000000004</v>
      </c>
      <c r="C123" s="22" t="s">
        <v>1554</v>
      </c>
      <c r="D123" t="s">
        <v>2379</v>
      </c>
      <c r="F123" s="9">
        <v>467.26</v>
      </c>
      <c r="H123" s="9">
        <v>505.16</v>
      </c>
      <c r="I123" s="9">
        <v>539.17999999999995</v>
      </c>
      <c r="J123" s="9">
        <v>596.07799999999997</v>
      </c>
      <c r="K123" s="9">
        <v>618.20000000000005</v>
      </c>
      <c r="L123" s="9">
        <v>646</v>
      </c>
      <c r="M123" s="9">
        <v>615.1</v>
      </c>
      <c r="N123" s="9">
        <v>672.73400000000004</v>
      </c>
      <c r="O123" s="9">
        <v>734.63400000000001</v>
      </c>
      <c r="P123" s="9">
        <v>818.61599999999999</v>
      </c>
      <c r="Q123" s="9">
        <v>948.14200000000005</v>
      </c>
      <c r="R123" s="9">
        <v>1164.05</v>
      </c>
      <c r="S123" s="9">
        <v>1371.5309999999999</v>
      </c>
      <c r="T123" s="9">
        <v>1588.069</v>
      </c>
      <c r="U123" s="9">
        <v>1857.9469999999999</v>
      </c>
      <c r="V123" s="9">
        <v>2223.0590000000002</v>
      </c>
      <c r="W123" s="133">
        <f>CA!G42</f>
        <v>2223</v>
      </c>
      <c r="X123" s="9">
        <v>2509.2040000000002</v>
      </c>
      <c r="Y123" s="9">
        <v>2807.018</v>
      </c>
      <c r="Z123" s="9">
        <v>3073.7860000000001</v>
      </c>
      <c r="AA123" s="9">
        <v>3681.4050000000002</v>
      </c>
      <c r="AB123" s="133">
        <f>CA!H42</f>
        <v>3681.4050000000002</v>
      </c>
      <c r="AC123" s="9">
        <v>3952</v>
      </c>
      <c r="AD123" s="9">
        <v>4169.47</v>
      </c>
      <c r="AE123" s="9">
        <v>4260.451</v>
      </c>
      <c r="AF123" s="9">
        <v>4414</v>
      </c>
      <c r="AG123" s="133">
        <f>CA!I42</f>
        <v>4414</v>
      </c>
      <c r="AH123" s="9">
        <v>4677</v>
      </c>
      <c r="AI123" s="9">
        <v>4912.3999999999996</v>
      </c>
      <c r="AJ123" s="9">
        <v>5087.2340000000004</v>
      </c>
      <c r="AK123" s="9">
        <v>5379</v>
      </c>
      <c r="AL123" s="133">
        <f>CA!J42</f>
        <v>5379</v>
      </c>
      <c r="AM123" s="9">
        <v>5580.3</v>
      </c>
      <c r="AN123" s="9">
        <v>5835.76</v>
      </c>
      <c r="AO123" s="9">
        <v>5978.4319999999998</v>
      </c>
      <c r="AP123" s="9">
        <v>6308.5429999999997</v>
      </c>
      <c r="AQ123" s="133">
        <f>CA!K42</f>
        <v>6308.5429999999997</v>
      </c>
      <c r="AR123" s="9">
        <v>6596.74</v>
      </c>
      <c r="AS123" s="9">
        <v>6759.9489999999996</v>
      </c>
      <c r="AT123" s="9">
        <v>6865</v>
      </c>
      <c r="AU123" s="9">
        <v>7123</v>
      </c>
      <c r="AV123" s="133">
        <f>CA!L42</f>
        <v>7123</v>
      </c>
      <c r="AW123" s="9">
        <v>7300</v>
      </c>
      <c r="AX123" s="9">
        <v>7353</v>
      </c>
      <c r="AY123" s="9">
        <v>7576</v>
      </c>
      <c r="AZ123" s="9">
        <v>7922</v>
      </c>
      <c r="BA123" s="133">
        <f>CA!M42</f>
        <v>7922</v>
      </c>
      <c r="BB123" s="9">
        <f>BC123-2</f>
        <v>8252</v>
      </c>
      <c r="BC123" s="9">
        <v>8254</v>
      </c>
      <c r="BD123" s="9">
        <v>8338</v>
      </c>
      <c r="BE123" s="9">
        <v>8343</v>
      </c>
      <c r="BF123" s="133">
        <f>CA!N42</f>
        <v>8343</v>
      </c>
      <c r="BG123" s="9">
        <v>8056</v>
      </c>
      <c r="BH123" s="9">
        <v>8129</v>
      </c>
      <c r="BI123" s="9">
        <v>8175</v>
      </c>
      <c r="BJ123" s="9"/>
      <c r="BK123" s="133">
        <f>CA!O42</f>
        <v>8350</v>
      </c>
      <c r="BL123" s="9"/>
      <c r="BM123" s="9"/>
      <c r="BN123" s="9"/>
      <c r="BO123" s="9"/>
      <c r="BP123" s="133">
        <f>CA!P42</f>
        <v>8797.7540000000008</v>
      </c>
      <c r="BQ123" s="133"/>
      <c r="BR123" s="133"/>
      <c r="BS123" s="133"/>
      <c r="BT123" s="133"/>
      <c r="BU123" s="9"/>
      <c r="BV123" s="9">
        <f t="shared" si="16"/>
        <v>207.48099999999999</v>
      </c>
      <c r="BW123" s="9">
        <f t="shared" si="16"/>
        <v>216.53800000000001</v>
      </c>
      <c r="BX123" s="9">
        <f t="shared" si="16"/>
        <v>269.87799999999993</v>
      </c>
      <c r="BY123" s="121">
        <f t="shared" si="16"/>
        <v>365.11200000000031</v>
      </c>
      <c r="BZ123" s="9">
        <f t="shared" si="17"/>
        <v>286.20400000000018</v>
      </c>
      <c r="CA123" s="9">
        <f t="shared" si="17"/>
        <v>297.81399999999985</v>
      </c>
      <c r="CB123" s="9">
        <f t="shared" si="17"/>
        <v>266.76800000000003</v>
      </c>
      <c r="CC123" s="121">
        <f t="shared" si="17"/>
        <v>607.61900000000014</v>
      </c>
      <c r="CD123" s="9">
        <f>AC123-AA123</f>
        <v>270.5949999999998</v>
      </c>
      <c r="CE123" s="9">
        <f t="shared" si="18"/>
        <v>217.47000000000025</v>
      </c>
      <c r="CF123" s="9">
        <f t="shared" si="18"/>
        <v>90.980999999999767</v>
      </c>
      <c r="CG123" s="121">
        <f t="shared" si="18"/>
        <v>153.54899999999998</v>
      </c>
      <c r="CH123" s="9">
        <f t="shared" si="19"/>
        <v>263</v>
      </c>
      <c r="CI123" s="9">
        <f t="shared" si="19"/>
        <v>235.39999999999964</v>
      </c>
      <c r="CJ123" s="9">
        <f t="shared" si="19"/>
        <v>174.83400000000074</v>
      </c>
      <c r="CK123" s="121">
        <f t="shared" si="19"/>
        <v>291.76599999999962</v>
      </c>
      <c r="CL123" s="9">
        <f t="shared" si="20"/>
        <v>201.30000000000018</v>
      </c>
      <c r="CM123" s="9">
        <f t="shared" si="20"/>
        <v>255.46000000000004</v>
      </c>
      <c r="CN123" s="9">
        <f t="shared" si="20"/>
        <v>142.67199999999957</v>
      </c>
      <c r="CO123" s="9">
        <f t="shared" si="20"/>
        <v>330.11099999999988</v>
      </c>
      <c r="CP123" s="9">
        <f t="shared" si="21"/>
        <v>288.19700000000012</v>
      </c>
      <c r="CQ123" s="9">
        <f t="shared" si="21"/>
        <v>163.20899999999983</v>
      </c>
      <c r="CR123" s="9">
        <f t="shared" si="21"/>
        <v>105.05100000000039</v>
      </c>
      <c r="CS123" s="9">
        <f t="shared" si="21"/>
        <v>258</v>
      </c>
      <c r="CT123" s="9">
        <f t="shared" si="22"/>
        <v>177</v>
      </c>
      <c r="CU123" s="9">
        <f t="shared" si="22"/>
        <v>53</v>
      </c>
      <c r="CV123" s="9">
        <f t="shared" si="22"/>
        <v>223</v>
      </c>
      <c r="CW123" s="9" t="str">
        <f>D123</f>
        <v>Guatemala</v>
      </c>
      <c r="CX123" s="88">
        <f t="shared" si="23"/>
        <v>330</v>
      </c>
      <c r="CY123" s="88">
        <f t="shared" si="23"/>
        <v>2</v>
      </c>
      <c r="CZ123" s="88">
        <f t="shared" si="23"/>
        <v>84</v>
      </c>
      <c r="DA123" s="88">
        <f t="shared" si="23"/>
        <v>5</v>
      </c>
      <c r="DB123" s="88">
        <f t="shared" si="24"/>
        <v>-287</v>
      </c>
      <c r="DC123" s="88">
        <f t="shared" si="24"/>
        <v>73</v>
      </c>
      <c r="DD123" s="88">
        <f t="shared" si="24"/>
        <v>46</v>
      </c>
    </row>
    <row r="124" spans="1:108">
      <c r="A124" s="5">
        <v>0.5</v>
      </c>
      <c r="B124" s="5">
        <v>0.66700000000000004</v>
      </c>
      <c r="C124" s="22" t="s">
        <v>1555</v>
      </c>
      <c r="D124" s="11" t="s">
        <v>2380</v>
      </c>
      <c r="E124" s="11"/>
      <c r="F124" s="13">
        <v>326.50799999999998</v>
      </c>
      <c r="G124" s="11"/>
      <c r="H124" s="13">
        <v>306.57100000000003</v>
      </c>
      <c r="I124" s="13">
        <v>319.00200000000001</v>
      </c>
      <c r="J124" s="13">
        <v>351.28500000000003</v>
      </c>
      <c r="K124" s="13">
        <v>357</v>
      </c>
      <c r="L124" s="13">
        <v>390.6</v>
      </c>
      <c r="M124" s="13">
        <v>423.2</v>
      </c>
      <c r="N124" s="13">
        <v>490.01400000000001</v>
      </c>
      <c r="O124" s="13">
        <v>554.84900000000005</v>
      </c>
      <c r="P124" s="13">
        <v>630.26</v>
      </c>
      <c r="Q124" s="13">
        <v>703.39499999999998</v>
      </c>
      <c r="R124" s="13">
        <v>834.096</v>
      </c>
      <c r="S124" s="13">
        <v>961.42499999999995</v>
      </c>
      <c r="T124" s="13">
        <v>1096.806</v>
      </c>
      <c r="U124" s="13">
        <v>1277.8209999999999</v>
      </c>
      <c r="V124" s="13">
        <v>1553.713</v>
      </c>
      <c r="W124" s="87">
        <f>CA!G43</f>
        <v>1554</v>
      </c>
      <c r="X124" s="13">
        <v>1828.431</v>
      </c>
      <c r="Y124" s="13">
        <v>2131.4929999999999</v>
      </c>
      <c r="Z124" s="13">
        <v>2420.3229999999999</v>
      </c>
      <c r="AA124" s="13">
        <v>2925.9589999999998</v>
      </c>
      <c r="AB124" s="87">
        <f>CA!H43</f>
        <v>2926</v>
      </c>
      <c r="AC124" s="13">
        <v>3441</v>
      </c>
      <c r="AD124" s="13">
        <v>3789.9009999999998</v>
      </c>
      <c r="AE124" s="13">
        <v>4130.2359999999999</v>
      </c>
      <c r="AF124" s="13">
        <v>4240</v>
      </c>
      <c r="AG124" s="87">
        <f>CA!I43</f>
        <v>4240</v>
      </c>
      <c r="AH124" s="13">
        <v>4263</v>
      </c>
      <c r="AI124" s="13">
        <v>4507.8999999999996</v>
      </c>
      <c r="AJ124" s="13">
        <v>4588.8019999999997</v>
      </c>
      <c r="AK124" s="13">
        <v>4742</v>
      </c>
      <c r="AL124" s="87">
        <f>CA!J43</f>
        <v>4742</v>
      </c>
      <c r="AM124" s="13">
        <v>4825</v>
      </c>
      <c r="AN124" s="13">
        <v>4749.1310000000003</v>
      </c>
      <c r="AO124" s="13">
        <v>4448.2550000000001</v>
      </c>
      <c r="AP124" s="13">
        <v>4448.317</v>
      </c>
      <c r="AQ124" s="87">
        <f>CA!K43</f>
        <v>4448.317</v>
      </c>
      <c r="AR124" s="13">
        <v>4428.2269999999999</v>
      </c>
      <c r="AS124" s="13">
        <v>4444.7539999999999</v>
      </c>
      <c r="AT124" s="13">
        <v>4410</v>
      </c>
      <c r="AU124" s="13">
        <v>4477</v>
      </c>
      <c r="AV124" s="87">
        <f>CA!L43</f>
        <v>4477</v>
      </c>
      <c r="AW124" s="13">
        <v>4712</v>
      </c>
      <c r="AX124" s="13">
        <v>4756</v>
      </c>
      <c r="AY124" s="13">
        <v>4680</v>
      </c>
      <c r="AZ124" s="13">
        <v>4696</v>
      </c>
      <c r="BA124" s="87">
        <f>CA!M43</f>
        <v>4696</v>
      </c>
      <c r="BB124" s="13">
        <f>BC124-19</f>
        <v>4733</v>
      </c>
      <c r="BC124" s="13">
        <v>4752</v>
      </c>
      <c r="BD124" s="13">
        <v>4656</v>
      </c>
      <c r="BE124" s="13">
        <v>4870</v>
      </c>
      <c r="BF124" s="87">
        <f>CA!N43</f>
        <v>4870</v>
      </c>
      <c r="BG124" s="13">
        <v>4944</v>
      </c>
      <c r="BH124" s="13">
        <v>4623</v>
      </c>
      <c r="BI124" s="13">
        <v>4484</v>
      </c>
      <c r="BJ124" s="13"/>
      <c r="BK124" s="87">
        <f>CA!O43</f>
        <v>4800</v>
      </c>
      <c r="BL124" s="13"/>
      <c r="BM124" s="13"/>
      <c r="BN124" s="13"/>
      <c r="BO124" s="13"/>
      <c r="BP124" s="87">
        <f>CA!P43</f>
        <v>4845.9740000000002</v>
      </c>
      <c r="BQ124" s="87"/>
      <c r="BR124" s="87"/>
      <c r="BS124" s="87"/>
      <c r="BT124" s="87"/>
      <c r="BU124" s="13"/>
      <c r="BV124" s="13">
        <f t="shared" si="16"/>
        <v>127.32899999999995</v>
      </c>
      <c r="BW124" s="13">
        <f t="shared" si="16"/>
        <v>135.38100000000009</v>
      </c>
      <c r="BX124" s="13">
        <f t="shared" si="16"/>
        <v>181.01499999999987</v>
      </c>
      <c r="BY124" s="215">
        <f t="shared" si="16"/>
        <v>275.89200000000005</v>
      </c>
      <c r="BZ124" s="13">
        <f t="shared" si="17"/>
        <v>274.43100000000004</v>
      </c>
      <c r="CA124" s="13">
        <f t="shared" si="17"/>
        <v>303.0619999999999</v>
      </c>
      <c r="CB124" s="13">
        <f t="shared" si="17"/>
        <v>288.82999999999993</v>
      </c>
      <c r="CC124" s="215">
        <f t="shared" si="17"/>
        <v>505.63599999999997</v>
      </c>
      <c r="CD124" s="13">
        <f>AC124-AA124</f>
        <v>515.04100000000017</v>
      </c>
      <c r="CE124" s="13">
        <f>AD124-AC124</f>
        <v>348.90099999999984</v>
      </c>
      <c r="CF124" s="13">
        <f>AE124-AD124</f>
        <v>340.33500000000004</v>
      </c>
      <c r="CG124" s="319">
        <f>AF124-AE124+100</f>
        <v>209.76400000000012</v>
      </c>
      <c r="CH124" s="13">
        <f t="shared" si="19"/>
        <v>23</v>
      </c>
      <c r="CI124" s="13">
        <f t="shared" si="19"/>
        <v>244.89999999999964</v>
      </c>
      <c r="CJ124" s="13">
        <f t="shared" si="19"/>
        <v>80.902000000000044</v>
      </c>
      <c r="CK124" s="215">
        <f t="shared" si="19"/>
        <v>153.19800000000032</v>
      </c>
      <c r="CL124" s="13">
        <f t="shared" si="20"/>
        <v>83</v>
      </c>
      <c r="CM124" s="13">
        <f t="shared" si="20"/>
        <v>-75.868999999999687</v>
      </c>
      <c r="CN124" s="13">
        <f t="shared" si="20"/>
        <v>-300.8760000000002</v>
      </c>
      <c r="CO124" s="13">
        <f t="shared" si="20"/>
        <v>6.1999999999898137E-2</v>
      </c>
      <c r="CP124" s="13">
        <f t="shared" si="21"/>
        <v>-20.090000000000146</v>
      </c>
      <c r="CQ124" s="13">
        <f t="shared" si="21"/>
        <v>16.527000000000044</v>
      </c>
      <c r="CR124" s="13">
        <f t="shared" si="21"/>
        <v>-34.753999999999905</v>
      </c>
      <c r="CS124" s="13">
        <f t="shared" si="21"/>
        <v>67</v>
      </c>
      <c r="CT124" s="13">
        <f t="shared" si="22"/>
        <v>235</v>
      </c>
      <c r="CU124" s="13">
        <f t="shared" si="22"/>
        <v>44</v>
      </c>
      <c r="CV124" s="13">
        <f t="shared" si="22"/>
        <v>-76</v>
      </c>
      <c r="CW124" s="13" t="str">
        <f>D124</f>
        <v>Honduras</v>
      </c>
      <c r="CX124" s="89">
        <f t="shared" si="23"/>
        <v>37</v>
      </c>
      <c r="CY124" s="89">
        <f t="shared" si="23"/>
        <v>19</v>
      </c>
      <c r="CZ124" s="89">
        <f t="shared" si="23"/>
        <v>-96</v>
      </c>
      <c r="DA124" s="89">
        <f t="shared" si="23"/>
        <v>214</v>
      </c>
      <c r="DB124" s="89">
        <f t="shared" si="24"/>
        <v>74</v>
      </c>
      <c r="DC124" s="89">
        <f t="shared" si="24"/>
        <v>-321</v>
      </c>
      <c r="DD124" s="89">
        <f t="shared" si="24"/>
        <v>-139</v>
      </c>
    </row>
    <row r="125" spans="1:108">
      <c r="C125" s="6"/>
      <c r="D125" s="2" t="s">
        <v>1828</v>
      </c>
      <c r="F125" s="10">
        <f t="shared" ref="F125:P125" si="25">SUM(F122:F124)</f>
        <v>793.76800000000003</v>
      </c>
      <c r="G125" s="2"/>
      <c r="H125" s="10">
        <f t="shared" si="25"/>
        <v>811.73099999999999</v>
      </c>
      <c r="I125" s="10">
        <f t="shared" si="25"/>
        <v>1320.4929999999999</v>
      </c>
      <c r="J125" s="10">
        <f t="shared" si="25"/>
        <v>1412.5130000000001</v>
      </c>
      <c r="K125" s="10">
        <f t="shared" si="25"/>
        <v>1443.8000000000002</v>
      </c>
      <c r="L125" s="10">
        <f t="shared" si="25"/>
        <v>1523.6999999999998</v>
      </c>
      <c r="M125" s="10">
        <f>SUM(M122:M124)</f>
        <v>1537.9</v>
      </c>
      <c r="N125" s="10">
        <f>SUM(N122:N124)</f>
        <v>1697.0360000000001</v>
      </c>
      <c r="O125" s="10">
        <f t="shared" si="25"/>
        <v>1857.13</v>
      </c>
      <c r="P125" s="10">
        <f t="shared" si="25"/>
        <v>2063.2470000000003</v>
      </c>
      <c r="Q125" s="10">
        <f t="shared" ref="Q125:W125" si="26">SUM(Q122:Q124)</f>
        <v>2314.0529999999999</v>
      </c>
      <c r="R125" s="10">
        <f t="shared" si="26"/>
        <v>2737.1260000000002</v>
      </c>
      <c r="S125" s="10">
        <f t="shared" si="26"/>
        <v>3166.6819999999998</v>
      </c>
      <c r="T125" s="10">
        <f t="shared" si="26"/>
        <v>3647.6970000000001</v>
      </c>
      <c r="U125" s="10">
        <f t="shared" si="26"/>
        <v>4247.9409999999998</v>
      </c>
      <c r="V125" s="10">
        <f t="shared" si="26"/>
        <v>5164.1670000000004</v>
      </c>
      <c r="W125" s="181">
        <f t="shared" si="26"/>
        <v>5164</v>
      </c>
      <c r="X125" s="10">
        <f t="shared" ref="X125:AC125" si="27">SUM(X122:X124)</f>
        <v>5917.9140000000007</v>
      </c>
      <c r="Y125" s="10">
        <f t="shared" si="27"/>
        <v>6706.098</v>
      </c>
      <c r="Z125" s="10">
        <f t="shared" si="27"/>
        <v>7404.2109999999993</v>
      </c>
      <c r="AA125" s="10">
        <f t="shared" si="27"/>
        <v>8824.9239999999991</v>
      </c>
      <c r="AB125" s="181">
        <f t="shared" si="27"/>
        <v>8825.4050000000007</v>
      </c>
      <c r="AC125" s="10">
        <f t="shared" si="27"/>
        <v>9788.0059999999994</v>
      </c>
      <c r="AD125" s="10">
        <f>SUM(AD122:AD124)</f>
        <v>10276.013999999999</v>
      </c>
      <c r="AE125" s="10">
        <f>SUM(AE122:AE124)</f>
        <v>10846.076000000001</v>
      </c>
      <c r="AF125" s="10">
        <f>SUM(AF122:AF124)</f>
        <v>11182</v>
      </c>
      <c r="AG125" s="181">
        <f t="shared" ref="AG125:AS125" si="28">SUM(AG122:AG124)</f>
        <v>11182</v>
      </c>
      <c r="AH125" s="10">
        <f>SUM(AH122:AH124)</f>
        <v>11533</v>
      </c>
      <c r="AI125" s="10">
        <f t="shared" si="28"/>
        <v>12122.599999999999</v>
      </c>
      <c r="AJ125" s="10">
        <f t="shared" si="28"/>
        <v>12366.164000000001</v>
      </c>
      <c r="AK125" s="10">
        <f t="shared" si="28"/>
        <v>12901</v>
      </c>
      <c r="AL125" s="181">
        <f t="shared" si="28"/>
        <v>12901</v>
      </c>
      <c r="AM125" s="10">
        <f t="shared" si="28"/>
        <v>13221.291000000001</v>
      </c>
      <c r="AN125" s="10">
        <f t="shared" si="28"/>
        <v>13370.455000000002</v>
      </c>
      <c r="AO125" s="10">
        <f t="shared" si="28"/>
        <v>13119.588</v>
      </c>
      <c r="AP125" s="10">
        <f t="shared" si="28"/>
        <v>13484.995999999999</v>
      </c>
      <c r="AQ125" s="181">
        <f>SUM(AQ122:AQ124)</f>
        <v>13484.995999999999</v>
      </c>
      <c r="AR125" s="10">
        <f t="shared" si="28"/>
        <v>13817.581999999999</v>
      </c>
      <c r="AS125" s="10">
        <f t="shared" si="28"/>
        <v>14087.496999999999</v>
      </c>
      <c r="AT125" s="10">
        <f t="shared" ref="AT125:BA125" si="29">SUM(AT122:AT124)</f>
        <v>14188</v>
      </c>
      <c r="AU125" s="10">
        <f t="shared" si="29"/>
        <v>14627</v>
      </c>
      <c r="AV125" s="181">
        <f t="shared" si="29"/>
        <v>14627</v>
      </c>
      <c r="AW125" s="10">
        <f>SUM(AW122:AW124)</f>
        <v>15058</v>
      </c>
      <c r="AX125" s="10">
        <f>SUM(AX122:AX124)</f>
        <v>15182</v>
      </c>
      <c r="AY125" s="10">
        <f>SUM(AY122:AY124)</f>
        <v>15297</v>
      </c>
      <c r="AZ125" s="10">
        <f>SUM(AZ122:AZ124)</f>
        <v>15597</v>
      </c>
      <c r="BA125" s="181">
        <f t="shared" si="29"/>
        <v>15597</v>
      </c>
      <c r="BB125" s="10">
        <f t="shared" ref="BB125:BH125" si="30">SUM(BB122:BB124)</f>
        <v>15834</v>
      </c>
      <c r="BC125" s="10">
        <f t="shared" si="30"/>
        <v>15571</v>
      </c>
      <c r="BD125" s="10">
        <f t="shared" si="30"/>
        <v>15584</v>
      </c>
      <c r="BE125" s="10">
        <f t="shared" si="30"/>
        <v>15830</v>
      </c>
      <c r="BF125" s="181">
        <f t="shared" si="30"/>
        <v>15830</v>
      </c>
      <c r="BG125" s="10">
        <f t="shared" si="30"/>
        <v>15629</v>
      </c>
      <c r="BH125" s="10">
        <f t="shared" si="30"/>
        <v>15418</v>
      </c>
      <c r="BI125" s="10">
        <v>15372</v>
      </c>
      <c r="BJ125" s="10"/>
      <c r="BK125" s="181">
        <f>SUM(BK122:BK124)</f>
        <v>16005</v>
      </c>
      <c r="BL125" s="10"/>
      <c r="BM125" s="10"/>
      <c r="BN125" s="10"/>
      <c r="BO125" s="10"/>
      <c r="BP125" s="181">
        <f>SUM(BP122:BP124)</f>
        <v>16601.592000000001</v>
      </c>
      <c r="BQ125" s="181"/>
      <c r="BR125" s="181"/>
      <c r="BS125" s="181"/>
      <c r="BT125" s="181"/>
      <c r="BU125" s="10"/>
      <c r="BV125" s="9">
        <f t="shared" si="16"/>
        <v>429.55599999999959</v>
      </c>
      <c r="BW125" s="9">
        <f t="shared" si="16"/>
        <v>481.01500000000033</v>
      </c>
      <c r="BX125" s="9">
        <f t="shared" si="16"/>
        <v>600.24399999999969</v>
      </c>
      <c r="BY125" s="121">
        <f t="shared" si="16"/>
        <v>916.22600000000057</v>
      </c>
      <c r="BZ125" s="9">
        <f t="shared" si="17"/>
        <v>753.91400000000067</v>
      </c>
      <c r="CA125" s="9">
        <f t="shared" si="17"/>
        <v>788.18399999999929</v>
      </c>
      <c r="CB125" s="9">
        <f t="shared" si="17"/>
        <v>698.11299999999937</v>
      </c>
      <c r="CC125" s="121">
        <f t="shared" si="17"/>
        <v>1420.7129999999997</v>
      </c>
      <c r="CD125" s="9">
        <f>AC125-AA125</f>
        <v>963.08200000000033</v>
      </c>
      <c r="CE125" s="9">
        <f>AD125-AC125</f>
        <v>488.00799999999981</v>
      </c>
      <c r="CF125" s="9">
        <f>AE125-AD125</f>
        <v>570.06200000000172</v>
      </c>
      <c r="CG125" s="121">
        <f>AF125-AE125</f>
        <v>335.92399999999907</v>
      </c>
      <c r="CH125" s="9">
        <f t="shared" si="19"/>
        <v>351</v>
      </c>
      <c r="CI125" s="9">
        <f t="shared" si="19"/>
        <v>589.59999999999854</v>
      </c>
      <c r="CJ125" s="9">
        <f t="shared" si="19"/>
        <v>243.56400000000212</v>
      </c>
      <c r="CK125" s="121">
        <f t="shared" si="19"/>
        <v>534.83599999999933</v>
      </c>
      <c r="CL125" s="9">
        <f t="shared" si="20"/>
        <v>320.29100000000108</v>
      </c>
      <c r="CM125" s="9">
        <f t="shared" si="20"/>
        <v>149.16400000000067</v>
      </c>
      <c r="CN125" s="9">
        <f t="shared" si="20"/>
        <v>-250.86700000000201</v>
      </c>
      <c r="CO125" s="9">
        <f t="shared" si="20"/>
        <v>365.40799999999945</v>
      </c>
      <c r="CP125" s="9">
        <f t="shared" si="21"/>
        <v>332.58599999999933</v>
      </c>
      <c r="CQ125" s="9">
        <f t="shared" si="21"/>
        <v>269.91500000000087</v>
      </c>
      <c r="CR125" s="9">
        <f t="shared" si="21"/>
        <v>100.50300000000061</v>
      </c>
      <c r="CS125" s="9">
        <f t="shared" si="21"/>
        <v>439</v>
      </c>
      <c r="CT125" s="9">
        <f t="shared" si="22"/>
        <v>431</v>
      </c>
      <c r="CU125" s="9">
        <f t="shared" si="22"/>
        <v>124</v>
      </c>
      <c r="CV125" s="9">
        <f t="shared" si="22"/>
        <v>115</v>
      </c>
      <c r="CW125" s="9" t="str">
        <f>D125</f>
        <v>Central America</v>
      </c>
      <c r="CX125" s="88">
        <f t="shared" si="23"/>
        <v>237</v>
      </c>
      <c r="CY125" s="88">
        <f t="shared" si="23"/>
        <v>-263</v>
      </c>
      <c r="CZ125" s="88">
        <f t="shared" si="23"/>
        <v>13</v>
      </c>
      <c r="DA125" s="88">
        <f t="shared" si="23"/>
        <v>246</v>
      </c>
      <c r="DB125" s="88">
        <f t="shared" si="24"/>
        <v>-201</v>
      </c>
      <c r="DC125" s="88">
        <f t="shared" si="24"/>
        <v>-211</v>
      </c>
      <c r="DD125" s="88">
        <f t="shared" si="24"/>
        <v>-46</v>
      </c>
    </row>
    <row r="126" spans="1:108" hidden="1" outlineLevel="1">
      <c r="C126" s="6"/>
      <c r="D126" s="4" t="s">
        <v>1367</v>
      </c>
      <c r="F126" s="9">
        <f t="shared" ref="F126:N126" si="31">$B$122*F122+$B$123*F123+50%*F124</f>
        <v>420.24699999999996</v>
      </c>
      <c r="G126" s="2"/>
      <c r="H126" s="9">
        <f t="shared" si="31"/>
        <v>431.12350000000004</v>
      </c>
      <c r="I126" s="9">
        <f t="shared" si="31"/>
        <v>918.36099999999988</v>
      </c>
      <c r="J126" s="9">
        <f t="shared" si="31"/>
        <v>968.6354</v>
      </c>
      <c r="K126" s="9">
        <f t="shared" si="31"/>
        <v>987.11000000000013</v>
      </c>
      <c r="L126" s="9">
        <f t="shared" si="31"/>
        <v>1037.7</v>
      </c>
      <c r="M126" s="9">
        <f t="shared" si="31"/>
        <v>1049.5050000000001</v>
      </c>
      <c r="N126" s="9">
        <f t="shared" si="31"/>
        <v>1149.2987000000001</v>
      </c>
      <c r="O126" s="9">
        <f>$B$122*O122+$B$123*O123+50%*O124</f>
        <v>1249.1202000000001</v>
      </c>
      <c r="P126" s="9">
        <f>$B$122*P122+$B$123*P123+50%*P124</f>
        <v>1379.7397999999998</v>
      </c>
      <c r="Q126" s="9">
        <f t="shared" ref="Q126:V126" si="32">$B$122*Q122+$B$123*Q123+$B$124*Q124</f>
        <v>1653.158565</v>
      </c>
      <c r="R126" s="9">
        <f t="shared" si="32"/>
        <v>1935.549532</v>
      </c>
      <c r="S126" s="9">
        <f t="shared" si="32"/>
        <v>2229.3385250000001</v>
      </c>
      <c r="T126" s="9">
        <f t="shared" si="32"/>
        <v>2567.8295520000001</v>
      </c>
      <c r="U126" s="9">
        <f t="shared" si="32"/>
        <v>2986.350457</v>
      </c>
      <c r="V126" s="9">
        <f t="shared" si="32"/>
        <v>3646.4040210000003</v>
      </c>
      <c r="W126" s="133">
        <f t="shared" ref="W126:AG126" si="33">$B$122*W122+$B$123*W123+$B$124*W124</f>
        <v>3646.1680000000001</v>
      </c>
      <c r="X126" s="9">
        <f t="shared" si="33"/>
        <v>4179.9046770000004</v>
      </c>
      <c r="Y126" s="9">
        <f t="shared" si="33"/>
        <v>4733.1527310000001</v>
      </c>
      <c r="Z126" s="9">
        <f t="shared" si="33"/>
        <v>5215.0397410000005</v>
      </c>
      <c r="AA126" s="9">
        <f t="shared" si="33"/>
        <v>6193.9474030000001</v>
      </c>
      <c r="AB126" s="133">
        <f t="shared" si="33"/>
        <v>6194.4147499999999</v>
      </c>
      <c r="AC126" s="9">
        <f>$B$122*AC122+$B$123*AC123+$B$124*AC124</f>
        <v>6863.7529999999997</v>
      </c>
      <c r="AD126" s="9">
        <f>$B$122*AD122+$B$123*AD123+$B$124*AD124</f>
        <v>7137.7154670000009</v>
      </c>
      <c r="AE126" s="9">
        <f>$B$122*AE122+$B$123*AE123+$B$124*AE124</f>
        <v>7553.5044620000008</v>
      </c>
      <c r="AF126" s="9">
        <f>$B$122*AF122+$B$123*AF123+$B$124*AF124</f>
        <v>7783.7800000000007</v>
      </c>
      <c r="AG126" s="133">
        <f t="shared" si="33"/>
        <v>7783.7800000000007</v>
      </c>
      <c r="AH126" s="9">
        <f t="shared" ref="AH126:AM126" si="34">$B$122*AH122+$B$123*AH123+$B$124*AH124</f>
        <v>8008.7710000000006</v>
      </c>
      <c r="AI126" s="9">
        <f t="shared" si="34"/>
        <v>8410.8893000000007</v>
      </c>
      <c r="AJ126" s="9">
        <f t="shared" si="34"/>
        <v>8548.8376339999995</v>
      </c>
      <c r="AK126" s="9">
        <f t="shared" si="34"/>
        <v>8901.3640000000014</v>
      </c>
      <c r="AL126" s="133">
        <f t="shared" si="34"/>
        <v>8901.3640000000014</v>
      </c>
      <c r="AM126" s="9">
        <f t="shared" si="34"/>
        <v>9103.4310000000005</v>
      </c>
      <c r="AN126" s="9">
        <f t="shared" ref="AN126:AS126" si="35">$B$122*AN122+$B$123*AN123+$B$124*AN124</f>
        <v>9162.9023770000003</v>
      </c>
      <c r="AO126" s="9">
        <f t="shared" si="35"/>
        <v>8948.0246850000003</v>
      </c>
      <c r="AP126" s="9">
        <f t="shared" si="35"/>
        <v>9164.8620890000002</v>
      </c>
      <c r="AQ126" s="133">
        <f t="shared" si="35"/>
        <v>9164.8620890000002</v>
      </c>
      <c r="AR126" s="9">
        <f t="shared" si="35"/>
        <v>9374.4494090000007</v>
      </c>
      <c r="AS126" s="9">
        <f t="shared" si="35"/>
        <v>9565.4168680000002</v>
      </c>
      <c r="AT126" s="9">
        <f t="shared" ref="AT126:BA126" si="36">$B$122*AT122+$B$123*AT123+$B$124*AT124</f>
        <v>9630.2200000000012</v>
      </c>
      <c r="AU126" s="9">
        <f t="shared" si="36"/>
        <v>9930.8089999999993</v>
      </c>
      <c r="AV126" s="133">
        <f t="shared" si="36"/>
        <v>9930.8089999999993</v>
      </c>
      <c r="AW126" s="9">
        <f>$B$122*AW122+$B$123*AW123+$B$124*AW124</f>
        <v>10203.904</v>
      </c>
      <c r="AX126" s="9">
        <f>$B$122*AX122+$B$123*AX123+$B$124*AX124</f>
        <v>10289.402</v>
      </c>
      <c r="AY126" s="9">
        <f>$B$122*AY122+$B$123*AY123+$B$124*AY124</f>
        <v>10329.36</v>
      </c>
      <c r="AZ126" s="9">
        <f>$B$122*AZ122+$B$123*AZ123+$B$124*AZ124</f>
        <v>10468.332</v>
      </c>
      <c r="BA126" s="133">
        <f t="shared" si="36"/>
        <v>10468.332</v>
      </c>
      <c r="BB126" s="9">
        <f t="shared" ref="BB126:BG126" si="37">$B$122*BB122+$B$123*BB123+$B$124*BB124</f>
        <v>10544.511</v>
      </c>
      <c r="BC126" s="9">
        <f t="shared" si="37"/>
        <v>10274.284000000001</v>
      </c>
      <c r="BD126" s="9">
        <f t="shared" si="37"/>
        <v>10281.452000000001</v>
      </c>
      <c r="BE126" s="9">
        <f t="shared" si="37"/>
        <v>10453.94</v>
      </c>
      <c r="BF126" s="133">
        <f t="shared" si="37"/>
        <v>10453.94</v>
      </c>
      <c r="BG126" s="9">
        <f t="shared" si="37"/>
        <v>10357.448</v>
      </c>
      <c r="BH126" s="9"/>
      <c r="BI126" s="9"/>
      <c r="BJ126" s="9"/>
      <c r="BK126" s="133">
        <f>$B$122*BK122+$B$123*BK123+$B$124*BK124</f>
        <v>10649.1</v>
      </c>
      <c r="BL126" s="9"/>
      <c r="BM126" s="9"/>
      <c r="BN126" s="9"/>
      <c r="BO126" s="9"/>
      <c r="BP126" s="133">
        <f>$B$122*BP122+$B$123*BP123+$B$124*BP124</f>
        <v>11028.893358000001</v>
      </c>
      <c r="BQ126" s="133"/>
      <c r="BR126" s="133"/>
      <c r="BS126" s="133"/>
      <c r="BT126" s="133"/>
      <c r="BU126" s="9"/>
      <c r="BV126" s="9"/>
      <c r="BW126" s="9"/>
      <c r="BX126" s="9"/>
      <c r="BY126" s="121"/>
      <c r="BZ126" s="9"/>
      <c r="CA126" s="9"/>
      <c r="CB126" s="9"/>
      <c r="CC126" s="121"/>
      <c r="CD126" s="9"/>
      <c r="CE126" s="9"/>
      <c r="CF126" s="9"/>
      <c r="CG126" s="121"/>
      <c r="CH126" s="9"/>
      <c r="CI126" s="9"/>
      <c r="CJ126" s="9"/>
      <c r="CK126" s="121"/>
      <c r="CL126" s="9"/>
      <c r="CM126" s="9"/>
      <c r="CN126" s="9"/>
      <c r="CO126" s="9"/>
      <c r="CP126" s="9"/>
      <c r="CQ126" s="9"/>
      <c r="CR126" s="9"/>
      <c r="CS126" s="9"/>
      <c r="CT126" s="9"/>
      <c r="CU126" s="9"/>
      <c r="CV126" s="9"/>
      <c r="CW126" s="9" t="str">
        <f>D126</f>
        <v>Attributable subs</v>
      </c>
      <c r="CX126" s="88"/>
      <c r="CY126" s="88"/>
      <c r="CZ126" s="88"/>
      <c r="DA126" s="88"/>
      <c r="DB126" s="88"/>
      <c r="DC126" s="88"/>
      <c r="DD126" s="88"/>
    </row>
    <row r="127" spans="1:108" collapsed="1">
      <c r="C127" s="6"/>
      <c r="F127" s="9"/>
      <c r="H127" s="9"/>
      <c r="I127" s="9"/>
      <c r="J127" s="9"/>
      <c r="K127" s="9"/>
      <c r="L127" s="9"/>
      <c r="M127" s="9"/>
      <c r="N127" s="9"/>
      <c r="O127" s="9"/>
      <c r="P127" s="9"/>
      <c r="Q127" s="9"/>
      <c r="R127" s="9"/>
      <c r="S127" s="9"/>
      <c r="T127" s="9"/>
      <c r="U127" s="9"/>
      <c r="V127" s="9"/>
      <c r="W127" s="133"/>
      <c r="X127" s="9"/>
      <c r="Y127" s="9"/>
      <c r="Z127" s="9"/>
      <c r="AA127" s="9"/>
      <c r="AB127" s="133"/>
      <c r="AC127" s="16"/>
      <c r="AD127" s="9"/>
      <c r="AE127" s="9"/>
      <c r="AF127" s="9"/>
      <c r="AG127" s="133"/>
      <c r="AH127" s="9"/>
      <c r="AI127" s="9"/>
      <c r="AJ127" s="9"/>
      <c r="AK127" s="9"/>
      <c r="AL127" s="133"/>
      <c r="AM127" s="9"/>
      <c r="AN127" s="9"/>
      <c r="AO127" s="9"/>
      <c r="AP127" s="9"/>
      <c r="AQ127" s="133"/>
      <c r="AR127" s="9"/>
      <c r="AS127" s="9"/>
      <c r="AT127" s="9"/>
      <c r="AU127" s="9"/>
      <c r="AV127" s="133"/>
      <c r="AW127" s="9"/>
      <c r="AX127" s="9"/>
      <c r="AY127" s="9"/>
      <c r="AZ127" s="9"/>
      <c r="BA127" s="133"/>
      <c r="BB127" s="9"/>
      <c r="BC127" s="9"/>
      <c r="BD127" s="9"/>
      <c r="BE127" s="9"/>
      <c r="BF127" s="133"/>
      <c r="BG127" s="9"/>
      <c r="BH127" s="9"/>
      <c r="BI127" s="9"/>
      <c r="BJ127" s="9"/>
      <c r="BK127" s="133"/>
      <c r="BL127" s="9"/>
      <c r="BM127" s="9"/>
      <c r="BN127" s="9"/>
      <c r="BO127" s="9"/>
      <c r="BP127" s="133"/>
      <c r="BQ127" s="133"/>
      <c r="BR127" s="133"/>
      <c r="BS127" s="133"/>
      <c r="BT127" s="133"/>
      <c r="BU127" s="9"/>
      <c r="BV127" s="9"/>
      <c r="BW127" s="9"/>
      <c r="BX127" s="9"/>
      <c r="BY127" s="121"/>
      <c r="BZ127" s="9"/>
      <c r="CA127" s="9"/>
      <c r="CB127" s="9"/>
      <c r="CC127" s="121"/>
      <c r="CD127" s="9"/>
      <c r="CE127" s="9"/>
      <c r="CF127" s="9"/>
      <c r="CG127" s="121"/>
      <c r="CH127" s="9"/>
      <c r="CI127" s="9"/>
      <c r="CJ127" s="9"/>
      <c r="CK127" s="121"/>
      <c r="CL127" s="9"/>
      <c r="CM127" s="9"/>
      <c r="CN127" s="9"/>
      <c r="CO127" s="9"/>
      <c r="CP127" s="9"/>
      <c r="CQ127" s="9"/>
      <c r="CR127" s="9"/>
      <c r="CS127" s="9"/>
      <c r="CT127" s="9"/>
      <c r="CU127" s="9"/>
      <c r="CV127" s="9"/>
      <c r="CW127" s="9"/>
      <c r="CX127" s="88"/>
      <c r="CY127" s="88"/>
      <c r="CZ127" s="88"/>
      <c r="DA127" s="88"/>
      <c r="DB127" s="88"/>
      <c r="DC127" s="88"/>
      <c r="DD127" s="88"/>
    </row>
    <row r="128" spans="1:108">
      <c r="C128" s="6"/>
      <c r="D128" s="4" t="s">
        <v>1665</v>
      </c>
      <c r="F128" s="9"/>
      <c r="H128" s="9"/>
      <c r="I128" s="9"/>
      <c r="J128" s="9"/>
      <c r="K128" s="9"/>
      <c r="L128" s="9"/>
      <c r="M128" s="9"/>
      <c r="N128" s="9"/>
      <c r="O128" s="9"/>
      <c r="P128" s="9"/>
      <c r="Q128" s="9"/>
      <c r="R128" s="9"/>
      <c r="S128" s="9"/>
      <c r="T128" s="9"/>
      <c r="U128" s="9">
        <v>1900</v>
      </c>
      <c r="V128" s="9">
        <v>2120.2840000000001</v>
      </c>
      <c r="W128" s="133">
        <f>Colombia!C7</f>
        <v>2120</v>
      </c>
      <c r="X128" s="9">
        <v>2198.855</v>
      </c>
      <c r="Y128" s="9">
        <v>2291.66</v>
      </c>
      <c r="Z128" s="9">
        <v>2502.848</v>
      </c>
      <c r="AA128" s="9">
        <v>2769.884</v>
      </c>
      <c r="AB128" s="133">
        <f>Colombia!D7</f>
        <v>2770</v>
      </c>
      <c r="AC128" s="9">
        <v>3060</v>
      </c>
      <c r="AD128" s="9">
        <v>3262.5</v>
      </c>
      <c r="AE128" s="9">
        <v>3275.605</v>
      </c>
      <c r="AF128" s="9">
        <v>3314</v>
      </c>
      <c r="AG128" s="133">
        <f>Colombia!E7</f>
        <v>3314</v>
      </c>
      <c r="AH128" s="9">
        <v>3332</v>
      </c>
      <c r="AI128" s="9">
        <v>3436.2</v>
      </c>
      <c r="AJ128" s="9">
        <v>3572.2109999999998</v>
      </c>
      <c r="AK128" s="9">
        <v>3744</v>
      </c>
      <c r="AL128" s="133">
        <f>Colombia!F7</f>
        <v>3744</v>
      </c>
      <c r="AM128" s="9">
        <v>3814.4</v>
      </c>
      <c r="AN128" s="9">
        <v>3941.2159999999999</v>
      </c>
      <c r="AO128" s="9">
        <v>4129.1760000000004</v>
      </c>
      <c r="AP128" s="9">
        <v>4293.4229999999998</v>
      </c>
      <c r="AQ128" s="133">
        <f>Colombia!G7</f>
        <v>4293.4229999999998</v>
      </c>
      <c r="AR128" s="9">
        <v>4441.7619999999997</v>
      </c>
      <c r="AS128" s="9">
        <v>4595.9769999999999</v>
      </c>
      <c r="AT128" s="9">
        <v>4713</v>
      </c>
      <c r="AU128" s="9">
        <v>4854</v>
      </c>
      <c r="AV128" s="133">
        <f>Colombia!H7</f>
        <v>4854</v>
      </c>
      <c r="AW128" s="9">
        <v>5002</v>
      </c>
      <c r="AX128" s="9">
        <v>5183</v>
      </c>
      <c r="AY128" s="9">
        <v>5466</v>
      </c>
      <c r="AZ128" s="9">
        <v>5726</v>
      </c>
      <c r="BA128" s="133">
        <f>Colombia!I7</f>
        <v>5726</v>
      </c>
      <c r="BB128" s="9">
        <f>BC128-169</f>
        <v>5968</v>
      </c>
      <c r="BC128" s="9">
        <v>6137</v>
      </c>
      <c r="BD128" s="9">
        <v>6405</v>
      </c>
      <c r="BE128" s="9">
        <v>6753</v>
      </c>
      <c r="BF128" s="133">
        <f>Colombia!J7</f>
        <v>6753</v>
      </c>
      <c r="BG128" s="9">
        <v>6939</v>
      </c>
      <c r="BH128" s="9">
        <v>7155</v>
      </c>
      <c r="BI128" s="9">
        <v>7391</v>
      </c>
      <c r="BJ128" s="9"/>
      <c r="BK128" s="133">
        <f>Colombia!K7</f>
        <v>8012</v>
      </c>
      <c r="BL128" s="9"/>
      <c r="BM128" s="9"/>
      <c r="BN128" s="9"/>
      <c r="BO128" s="9"/>
      <c r="BP128" s="133">
        <f>Colombia!L7</f>
        <v>8926</v>
      </c>
      <c r="BQ128" s="133"/>
      <c r="BR128" s="133"/>
      <c r="BS128" s="133"/>
      <c r="BT128" s="133"/>
      <c r="BU128" s="9"/>
      <c r="BV128" s="9"/>
      <c r="BW128" s="9"/>
      <c r="BX128" s="9"/>
      <c r="BY128" s="121">
        <f>V128-U128</f>
        <v>220.28400000000011</v>
      </c>
      <c r="BZ128" s="9">
        <f t="shared" ref="BZ128:CC131" si="38">X128-W128</f>
        <v>78.855000000000018</v>
      </c>
      <c r="CA128" s="9">
        <f t="shared" si="38"/>
        <v>92.804999999999836</v>
      </c>
      <c r="CB128" s="9">
        <f t="shared" si="38"/>
        <v>211.1880000000001</v>
      </c>
      <c r="CC128" s="121">
        <f t="shared" si="38"/>
        <v>267.03600000000006</v>
      </c>
      <c r="CD128" s="9">
        <f>AC128-AA128</f>
        <v>290.11599999999999</v>
      </c>
      <c r="CE128" s="9">
        <f t="shared" ref="CE128:CG131" si="39">AD128-AC128</f>
        <v>202.5</v>
      </c>
      <c r="CF128" s="9">
        <f t="shared" si="39"/>
        <v>13.105000000000018</v>
      </c>
      <c r="CG128" s="121">
        <f t="shared" si="39"/>
        <v>38.394999999999982</v>
      </c>
      <c r="CH128" s="9">
        <f t="shared" ref="CH128:CK131" si="40">AH128-AG128</f>
        <v>18</v>
      </c>
      <c r="CI128" s="9">
        <f t="shared" si="40"/>
        <v>104.19999999999982</v>
      </c>
      <c r="CJ128" s="9">
        <f t="shared" si="40"/>
        <v>136.01099999999997</v>
      </c>
      <c r="CK128" s="121">
        <f t="shared" si="40"/>
        <v>171.78900000000021</v>
      </c>
      <c r="CL128" s="9">
        <f t="shared" ref="CL128:CO131" si="41">AM128-AL128</f>
        <v>70.400000000000091</v>
      </c>
      <c r="CM128" s="9">
        <f t="shared" si="41"/>
        <v>126.8159999999998</v>
      </c>
      <c r="CN128" s="9">
        <f t="shared" si="41"/>
        <v>187.96000000000049</v>
      </c>
      <c r="CO128" s="9">
        <f t="shared" si="41"/>
        <v>164.24699999999939</v>
      </c>
      <c r="CP128" s="9">
        <f t="shared" ref="CP128:CS131" si="42">AR128-AQ128</f>
        <v>148.33899999999994</v>
      </c>
      <c r="CQ128" s="9">
        <f t="shared" si="42"/>
        <v>154.21500000000015</v>
      </c>
      <c r="CR128" s="9">
        <f t="shared" si="42"/>
        <v>117.02300000000014</v>
      </c>
      <c r="CS128" s="9">
        <f t="shared" si="42"/>
        <v>141</v>
      </c>
      <c r="CT128" s="9">
        <f t="shared" ref="CT128:CV131" si="43">AW128-AV128</f>
        <v>148</v>
      </c>
      <c r="CU128" s="9">
        <f t="shared" si="43"/>
        <v>181</v>
      </c>
      <c r="CV128" s="9">
        <f t="shared" si="43"/>
        <v>283</v>
      </c>
      <c r="CW128" s="9" t="str">
        <f>D128</f>
        <v>Colombia</v>
      </c>
      <c r="CX128" s="88">
        <f t="shared" ref="CX128:DA131" si="44">BB128-BA128</f>
        <v>242</v>
      </c>
      <c r="CY128" s="88">
        <f t="shared" si="44"/>
        <v>169</v>
      </c>
      <c r="CZ128" s="88">
        <f t="shared" si="44"/>
        <v>268</v>
      </c>
      <c r="DA128" s="88">
        <f t="shared" si="44"/>
        <v>348</v>
      </c>
      <c r="DB128" s="88">
        <f t="shared" ref="DB128:DD131" si="45">BG128-BF128</f>
        <v>186</v>
      </c>
      <c r="DC128" s="88">
        <f t="shared" si="45"/>
        <v>216</v>
      </c>
      <c r="DD128" s="88">
        <f t="shared" si="45"/>
        <v>236</v>
      </c>
    </row>
    <row r="129" spans="1:116">
      <c r="A129" s="5">
        <v>1</v>
      </c>
      <c r="B129" s="5">
        <f>A129</f>
        <v>1</v>
      </c>
      <c r="C129" s="22" t="s">
        <v>1556</v>
      </c>
      <c r="D129" s="4" t="s">
        <v>2377</v>
      </c>
      <c r="F129" s="9">
        <v>410.887</v>
      </c>
      <c r="H129" s="9">
        <v>382.46600000000001</v>
      </c>
      <c r="I129" s="9">
        <v>399.72199999999998</v>
      </c>
      <c r="J129" s="9">
        <v>334.31900000000002</v>
      </c>
      <c r="K129" s="9">
        <v>291.3</v>
      </c>
      <c r="L129" s="9">
        <v>289.2</v>
      </c>
      <c r="M129" s="9">
        <v>342.8</v>
      </c>
      <c r="N129" s="9">
        <v>414.08800000000002</v>
      </c>
      <c r="O129" s="9">
        <v>462.21899999999999</v>
      </c>
      <c r="P129" s="9">
        <v>511.41399999999999</v>
      </c>
      <c r="Q129" s="9">
        <v>557.98400000000004</v>
      </c>
      <c r="R129" s="9">
        <v>645.41800000000001</v>
      </c>
      <c r="S129" s="9">
        <v>723.18700000000001</v>
      </c>
      <c r="T129" s="9">
        <v>765.89599999999996</v>
      </c>
      <c r="U129" s="9">
        <v>864.01800000000003</v>
      </c>
      <c r="V129" s="9">
        <v>936.37400000000002</v>
      </c>
      <c r="W129" s="133">
        <f>SA!G41</f>
        <v>936.37400000000002</v>
      </c>
      <c r="X129" s="9">
        <v>895.53499999999997</v>
      </c>
      <c r="Y129" s="9">
        <v>928.66</v>
      </c>
      <c r="Z129" s="9">
        <v>963.12900000000002</v>
      </c>
      <c r="AA129" s="9">
        <v>1055.8230000000001</v>
      </c>
      <c r="AB129" s="133">
        <f>SA!H41</f>
        <v>1056</v>
      </c>
      <c r="AC129" s="9">
        <v>1120</v>
      </c>
      <c r="AD129" s="9">
        <v>1194.0519999999999</v>
      </c>
      <c r="AE129" s="9">
        <v>1312.8510000000001</v>
      </c>
      <c r="AF129" s="9">
        <v>1399</v>
      </c>
      <c r="AG129" s="133">
        <f>SA!I41</f>
        <v>1399</v>
      </c>
      <c r="AH129" s="9">
        <v>1602</v>
      </c>
      <c r="AI129" s="9">
        <v>1806.1</v>
      </c>
      <c r="AJ129" s="9">
        <v>1929.3240000000001</v>
      </c>
      <c r="AK129" s="9">
        <v>2023</v>
      </c>
      <c r="AL129" s="133">
        <f>SA!J41</f>
        <v>2023</v>
      </c>
      <c r="AM129" s="9">
        <v>2084.6999999999998</v>
      </c>
      <c r="AN129" s="9">
        <v>2117.27</v>
      </c>
      <c r="AO129" s="9">
        <v>2248.8150000000001</v>
      </c>
      <c r="AP129" s="9">
        <v>2404.4059999999999</v>
      </c>
      <c r="AQ129" s="133">
        <f>SA!K41</f>
        <v>2404.4059999999999</v>
      </c>
      <c r="AR129" s="9">
        <v>2501.4879999999998</v>
      </c>
      <c r="AS129" s="9">
        <v>2563.7829999999999</v>
      </c>
      <c r="AT129" s="9">
        <v>2580</v>
      </c>
      <c r="AU129" s="9">
        <v>2687</v>
      </c>
      <c r="AV129" s="133">
        <f>SA!L41</f>
        <v>2687</v>
      </c>
      <c r="AW129" s="9">
        <v>2832</v>
      </c>
      <c r="AX129" s="9">
        <v>2860</v>
      </c>
      <c r="AY129" s="9">
        <v>2993</v>
      </c>
      <c r="AZ129" s="9">
        <v>3041</v>
      </c>
      <c r="BA129" s="133">
        <f>SA!M41</f>
        <v>3041</v>
      </c>
      <c r="BB129" s="9">
        <f>BC129+55</f>
        <v>2861</v>
      </c>
      <c r="BC129" s="9">
        <v>2806</v>
      </c>
      <c r="BD129" s="9">
        <v>2925</v>
      </c>
      <c r="BE129" s="9">
        <v>3139</v>
      </c>
      <c r="BF129" s="133">
        <f>SA!N41</f>
        <v>3139</v>
      </c>
      <c r="BG129" s="9">
        <v>3396</v>
      </c>
      <c r="BH129" s="9">
        <v>3457</v>
      </c>
      <c r="BI129" s="9">
        <v>3317</v>
      </c>
      <c r="BJ129" s="9"/>
      <c r="BK129" s="133">
        <f>SA!O41</f>
        <v>3223</v>
      </c>
      <c r="BL129" s="9"/>
      <c r="BM129" s="9"/>
      <c r="BN129" s="9"/>
      <c r="BO129" s="9"/>
      <c r="BP129" s="133">
        <f>SA!P41</f>
        <v>3121.4479999999999</v>
      </c>
      <c r="BQ129" s="133"/>
      <c r="BR129" s="133"/>
      <c r="BS129" s="133"/>
      <c r="BT129" s="133"/>
      <c r="BU129" s="9"/>
      <c r="BV129" s="9">
        <f t="shared" ref="BV129:BX131" si="46">S129-R129</f>
        <v>77.769000000000005</v>
      </c>
      <c r="BW129" s="9">
        <f t="shared" si="46"/>
        <v>42.708999999999946</v>
      </c>
      <c r="BX129" s="9">
        <f t="shared" si="46"/>
        <v>98.122000000000071</v>
      </c>
      <c r="BY129" s="121">
        <f>V129-U129</f>
        <v>72.355999999999995</v>
      </c>
      <c r="BZ129" s="9">
        <f t="shared" si="38"/>
        <v>-40.839000000000055</v>
      </c>
      <c r="CA129" s="9">
        <f t="shared" si="38"/>
        <v>33.125</v>
      </c>
      <c r="CB129" s="9">
        <f t="shared" si="38"/>
        <v>34.469000000000051</v>
      </c>
      <c r="CC129" s="121">
        <f t="shared" si="38"/>
        <v>92.694000000000074</v>
      </c>
      <c r="CD129" s="9">
        <f>AC129-AA129</f>
        <v>64.176999999999907</v>
      </c>
      <c r="CE129" s="9">
        <f t="shared" si="39"/>
        <v>74.051999999999907</v>
      </c>
      <c r="CF129" s="9">
        <f t="shared" si="39"/>
        <v>118.79900000000021</v>
      </c>
      <c r="CG129" s="121">
        <f t="shared" si="39"/>
        <v>86.148999999999887</v>
      </c>
      <c r="CH129" s="9">
        <f t="shared" si="40"/>
        <v>203</v>
      </c>
      <c r="CI129" s="9">
        <f t="shared" si="40"/>
        <v>204.09999999999991</v>
      </c>
      <c r="CJ129" s="9">
        <f t="shared" si="40"/>
        <v>123.22400000000016</v>
      </c>
      <c r="CK129" s="121">
        <f t="shared" si="40"/>
        <v>93.675999999999931</v>
      </c>
      <c r="CL129" s="9">
        <f t="shared" si="41"/>
        <v>61.699999999999818</v>
      </c>
      <c r="CM129" s="9">
        <f t="shared" si="41"/>
        <v>32.570000000000164</v>
      </c>
      <c r="CN129" s="9">
        <f t="shared" si="41"/>
        <v>131.54500000000007</v>
      </c>
      <c r="CO129" s="9">
        <f t="shared" si="41"/>
        <v>155.59099999999989</v>
      </c>
      <c r="CP129" s="9">
        <f t="shared" si="42"/>
        <v>97.08199999999988</v>
      </c>
      <c r="CQ129" s="9">
        <f t="shared" si="42"/>
        <v>62.295000000000073</v>
      </c>
      <c r="CR129" s="9">
        <f t="shared" si="42"/>
        <v>16.217000000000098</v>
      </c>
      <c r="CS129" s="9">
        <f t="shared" si="42"/>
        <v>107</v>
      </c>
      <c r="CT129" s="9">
        <f t="shared" si="43"/>
        <v>145</v>
      </c>
      <c r="CU129" s="9">
        <f t="shared" si="43"/>
        <v>28</v>
      </c>
      <c r="CV129" s="9">
        <f t="shared" si="43"/>
        <v>133</v>
      </c>
      <c r="CW129" s="9" t="str">
        <f>D129</f>
        <v>Bolivia</v>
      </c>
      <c r="CX129" s="88">
        <f t="shared" si="44"/>
        <v>-180</v>
      </c>
      <c r="CY129" s="88">
        <f t="shared" si="44"/>
        <v>-55</v>
      </c>
      <c r="CZ129" s="88">
        <f t="shared" si="44"/>
        <v>119</v>
      </c>
      <c r="DA129" s="88">
        <f t="shared" si="44"/>
        <v>214</v>
      </c>
      <c r="DB129" s="88">
        <f t="shared" si="45"/>
        <v>257</v>
      </c>
      <c r="DC129" s="88">
        <f t="shared" si="45"/>
        <v>61</v>
      </c>
      <c r="DD129" s="88">
        <f t="shared" si="45"/>
        <v>-140</v>
      </c>
    </row>
    <row r="130" spans="1:116">
      <c r="A130" s="5">
        <v>0.96</v>
      </c>
      <c r="B130" s="5">
        <v>1</v>
      </c>
      <c r="C130" s="22" t="s">
        <v>1553</v>
      </c>
      <c r="D130" s="12" t="s">
        <v>2378</v>
      </c>
      <c r="E130" s="11"/>
      <c r="F130" s="13">
        <v>550.10900000000004</v>
      </c>
      <c r="G130" s="11"/>
      <c r="H130" s="13">
        <v>603.93100000000004</v>
      </c>
      <c r="I130" s="13">
        <v>614.12400000000002</v>
      </c>
      <c r="J130" s="13">
        <v>605.05700000000002</v>
      </c>
      <c r="K130" s="13">
        <v>448.2</v>
      </c>
      <c r="L130" s="13">
        <v>485.1</v>
      </c>
      <c r="M130" s="13">
        <v>500.6</v>
      </c>
      <c r="N130" s="13">
        <v>523.30899999999997</v>
      </c>
      <c r="O130" s="13">
        <v>523.49599999999998</v>
      </c>
      <c r="P130" s="13">
        <v>545.06100000000004</v>
      </c>
      <c r="Q130" s="13">
        <v>594.32500000000005</v>
      </c>
      <c r="R130" s="13">
        <v>692.32100000000003</v>
      </c>
      <c r="S130" s="13">
        <v>798.16899999999998</v>
      </c>
      <c r="T130" s="13">
        <v>949.45100000000002</v>
      </c>
      <c r="U130" s="13">
        <v>1102.596</v>
      </c>
      <c r="V130" s="13">
        <v>1273.3150000000001</v>
      </c>
      <c r="W130" s="87">
        <f>SA!G42</f>
        <v>1273.3150000000001</v>
      </c>
      <c r="X130" s="13">
        <v>1425.5550000000001</v>
      </c>
      <c r="Y130" s="13">
        <v>1635.126</v>
      </c>
      <c r="Z130" s="13">
        <v>1838.7349999999999</v>
      </c>
      <c r="AA130" s="13">
        <v>2067.0189999999998</v>
      </c>
      <c r="AB130" s="87">
        <f>SA!H42</f>
        <v>2067</v>
      </c>
      <c r="AC130" s="13">
        <v>2283</v>
      </c>
      <c r="AD130" s="13">
        <v>2455.5569999999998</v>
      </c>
      <c r="AE130" s="13">
        <v>2603.4070000000002</v>
      </c>
      <c r="AF130" s="13">
        <v>2748</v>
      </c>
      <c r="AG130" s="87">
        <f>SA!I42</f>
        <v>2748</v>
      </c>
      <c r="AH130" s="13">
        <v>2801</v>
      </c>
      <c r="AI130" s="13">
        <v>2817.1</v>
      </c>
      <c r="AJ130" s="13">
        <v>2912.433</v>
      </c>
      <c r="AK130" s="13">
        <v>3048</v>
      </c>
      <c r="AL130" s="87">
        <f>SA!J42</f>
        <v>3048</v>
      </c>
      <c r="AM130" s="13">
        <v>3127.5</v>
      </c>
      <c r="AN130" s="13">
        <v>3180.6790000000001</v>
      </c>
      <c r="AO130" s="13">
        <v>3299.866</v>
      </c>
      <c r="AP130" s="13">
        <v>3441.4229999999998</v>
      </c>
      <c r="AQ130" s="87">
        <f>SA!K42</f>
        <v>3441.4229999999998</v>
      </c>
      <c r="AR130" s="13">
        <v>3491.3629999999998</v>
      </c>
      <c r="AS130" s="13">
        <v>3511.0259999999998</v>
      </c>
      <c r="AT130" s="13">
        <v>3574</v>
      </c>
      <c r="AU130" s="13">
        <v>3614</v>
      </c>
      <c r="AV130" s="87">
        <f>SA!L42</f>
        <v>3614</v>
      </c>
      <c r="AW130" s="13">
        <v>3697</v>
      </c>
      <c r="AX130" s="13">
        <v>3697</v>
      </c>
      <c r="AY130" s="13">
        <v>3809</v>
      </c>
      <c r="AZ130" s="13">
        <v>3949</v>
      </c>
      <c r="BA130" s="87">
        <f>SA!M42</f>
        <v>3949</v>
      </c>
      <c r="BB130" s="13">
        <f>BC130+1</f>
        <v>3931</v>
      </c>
      <c r="BC130" s="13">
        <v>3930</v>
      </c>
      <c r="BD130" s="13">
        <v>3909</v>
      </c>
      <c r="BE130" s="13">
        <v>3937</v>
      </c>
      <c r="BF130" s="87">
        <f>SA!N42</f>
        <v>3937</v>
      </c>
      <c r="BG130" s="13">
        <v>3817</v>
      </c>
      <c r="BH130" s="13">
        <v>3794</v>
      </c>
      <c r="BI130" s="13">
        <v>3847</v>
      </c>
      <c r="BJ130" s="13"/>
      <c r="BK130" s="87">
        <f>SA!O42</f>
        <v>3894</v>
      </c>
      <c r="BL130" s="13"/>
      <c r="BM130" s="13"/>
      <c r="BN130" s="13"/>
      <c r="BO130" s="13"/>
      <c r="BP130" s="87">
        <f>SA!P42</f>
        <v>3935.5729999999999</v>
      </c>
      <c r="BQ130" s="87"/>
      <c r="BR130" s="87"/>
      <c r="BS130" s="87"/>
      <c r="BT130" s="87"/>
      <c r="BU130" s="13"/>
      <c r="BV130" s="13">
        <f t="shared" si="46"/>
        <v>105.84799999999996</v>
      </c>
      <c r="BW130" s="13">
        <f t="shared" si="46"/>
        <v>151.28200000000004</v>
      </c>
      <c r="BX130" s="13">
        <f t="shared" si="46"/>
        <v>153.14499999999998</v>
      </c>
      <c r="BY130" s="215">
        <f>V130-U130</f>
        <v>170.71900000000005</v>
      </c>
      <c r="BZ130" s="13">
        <f t="shared" si="38"/>
        <v>152.24</v>
      </c>
      <c r="CA130" s="13">
        <f t="shared" si="38"/>
        <v>209.57099999999991</v>
      </c>
      <c r="CB130" s="13">
        <f t="shared" si="38"/>
        <v>203.60899999999992</v>
      </c>
      <c r="CC130" s="215">
        <f t="shared" si="38"/>
        <v>228.28399999999988</v>
      </c>
      <c r="CD130" s="276">
        <f>AC130-AA130</f>
        <v>215.98100000000022</v>
      </c>
      <c r="CE130" s="13">
        <f t="shared" si="39"/>
        <v>172.55699999999979</v>
      </c>
      <c r="CF130" s="13">
        <f t="shared" si="39"/>
        <v>147.85000000000036</v>
      </c>
      <c r="CG130" s="215">
        <f t="shared" si="39"/>
        <v>144.59299999999985</v>
      </c>
      <c r="CH130" s="13">
        <f t="shared" si="40"/>
        <v>53</v>
      </c>
      <c r="CI130" s="13">
        <f t="shared" si="40"/>
        <v>16.099999999999909</v>
      </c>
      <c r="CJ130" s="13">
        <f t="shared" si="40"/>
        <v>95.333000000000084</v>
      </c>
      <c r="CK130" s="215">
        <f t="shared" si="40"/>
        <v>135.56700000000001</v>
      </c>
      <c r="CL130" s="13">
        <f t="shared" si="41"/>
        <v>79.5</v>
      </c>
      <c r="CM130" s="13">
        <f t="shared" si="41"/>
        <v>53.179000000000087</v>
      </c>
      <c r="CN130" s="13">
        <f t="shared" si="41"/>
        <v>119.1869999999999</v>
      </c>
      <c r="CO130" s="13">
        <f t="shared" si="41"/>
        <v>141.55699999999979</v>
      </c>
      <c r="CP130" s="13">
        <f t="shared" si="42"/>
        <v>49.940000000000055</v>
      </c>
      <c r="CQ130" s="13">
        <f t="shared" si="42"/>
        <v>19.663000000000011</v>
      </c>
      <c r="CR130" s="13">
        <f t="shared" si="42"/>
        <v>62.97400000000016</v>
      </c>
      <c r="CS130" s="13">
        <f t="shared" si="42"/>
        <v>40</v>
      </c>
      <c r="CT130" s="13">
        <f t="shared" si="43"/>
        <v>83</v>
      </c>
      <c r="CU130" s="13">
        <f t="shared" si="43"/>
        <v>0</v>
      </c>
      <c r="CV130" s="13">
        <f t="shared" si="43"/>
        <v>112</v>
      </c>
      <c r="CW130" s="13" t="str">
        <f>D130</f>
        <v>Paraguay</v>
      </c>
      <c r="CX130" s="89">
        <f t="shared" si="44"/>
        <v>-18</v>
      </c>
      <c r="CY130" s="89">
        <f t="shared" si="44"/>
        <v>-1</v>
      </c>
      <c r="CZ130" s="89">
        <f t="shared" si="44"/>
        <v>-21</v>
      </c>
      <c r="DA130" s="89">
        <f t="shared" si="44"/>
        <v>28</v>
      </c>
      <c r="DB130" s="89">
        <f t="shared" si="45"/>
        <v>-120</v>
      </c>
      <c r="DC130" s="89">
        <f t="shared" si="45"/>
        <v>-23</v>
      </c>
      <c r="DD130" s="89">
        <f t="shared" si="45"/>
        <v>53</v>
      </c>
    </row>
    <row r="131" spans="1:116">
      <c r="C131" s="6"/>
      <c r="D131" s="2" t="s">
        <v>1697</v>
      </c>
      <c r="F131" s="10">
        <f t="shared" ref="F131:S131" si="47">SUM(F129:F130)</f>
        <v>960.99600000000009</v>
      </c>
      <c r="G131" s="2"/>
      <c r="H131" s="10">
        <f t="shared" si="47"/>
        <v>986.39700000000005</v>
      </c>
      <c r="I131" s="10">
        <f t="shared" si="47"/>
        <v>1013.846</v>
      </c>
      <c r="J131" s="10">
        <f t="shared" si="47"/>
        <v>939.37599999999998</v>
      </c>
      <c r="K131" s="10">
        <f t="shared" si="47"/>
        <v>739.5</v>
      </c>
      <c r="L131" s="10">
        <f t="shared" si="47"/>
        <v>774.3</v>
      </c>
      <c r="M131" s="10">
        <f t="shared" si="47"/>
        <v>843.40000000000009</v>
      </c>
      <c r="N131" s="10">
        <f t="shared" si="47"/>
        <v>937.39699999999993</v>
      </c>
      <c r="O131" s="10">
        <f>SUM(O129:O130)</f>
        <v>985.71499999999992</v>
      </c>
      <c r="P131" s="10">
        <f t="shared" si="47"/>
        <v>1056.4749999999999</v>
      </c>
      <c r="Q131" s="10">
        <f t="shared" si="47"/>
        <v>1152.3090000000002</v>
      </c>
      <c r="R131" s="10">
        <f t="shared" si="47"/>
        <v>1337.739</v>
      </c>
      <c r="S131" s="10">
        <f t="shared" si="47"/>
        <v>1521.356</v>
      </c>
      <c r="T131" s="10">
        <f>SUM(T129:T130)</f>
        <v>1715.347</v>
      </c>
      <c r="U131" s="10">
        <f>SUM(U129:U130)</f>
        <v>1966.614</v>
      </c>
      <c r="V131" s="10">
        <f t="shared" ref="V131:AA131" si="48">SUM(V128:V130)</f>
        <v>4329.973</v>
      </c>
      <c r="W131" s="181">
        <f t="shared" si="48"/>
        <v>4329.6890000000003</v>
      </c>
      <c r="X131" s="10">
        <f t="shared" si="48"/>
        <v>4519.9449999999997</v>
      </c>
      <c r="Y131" s="10">
        <f t="shared" si="48"/>
        <v>4855.4459999999999</v>
      </c>
      <c r="Z131" s="10">
        <f t="shared" si="48"/>
        <v>5304.7119999999995</v>
      </c>
      <c r="AA131" s="10">
        <f t="shared" si="48"/>
        <v>5892.7260000000006</v>
      </c>
      <c r="AB131" s="181">
        <f t="shared" ref="AB131:AS131" si="49">SUM(AB128:AB130)</f>
        <v>5893</v>
      </c>
      <c r="AC131" s="10">
        <f t="shared" si="49"/>
        <v>6463</v>
      </c>
      <c r="AD131" s="10">
        <f t="shared" si="49"/>
        <v>6912.1089999999995</v>
      </c>
      <c r="AE131" s="10">
        <f t="shared" si="49"/>
        <v>7191.8630000000003</v>
      </c>
      <c r="AF131" s="10">
        <f t="shared" si="49"/>
        <v>7461</v>
      </c>
      <c r="AG131" s="181">
        <f t="shared" si="49"/>
        <v>7461</v>
      </c>
      <c r="AH131" s="10">
        <f t="shared" si="49"/>
        <v>7735</v>
      </c>
      <c r="AI131" s="10">
        <f t="shared" si="49"/>
        <v>8059.4</v>
      </c>
      <c r="AJ131" s="10">
        <f t="shared" si="49"/>
        <v>8413.9680000000008</v>
      </c>
      <c r="AK131" s="10">
        <f t="shared" si="49"/>
        <v>8815</v>
      </c>
      <c r="AL131" s="181">
        <f t="shared" si="49"/>
        <v>8815</v>
      </c>
      <c r="AM131" s="10">
        <f t="shared" si="49"/>
        <v>9026.6</v>
      </c>
      <c r="AN131" s="10">
        <f t="shared" si="49"/>
        <v>9239.1650000000009</v>
      </c>
      <c r="AO131" s="10">
        <f t="shared" si="49"/>
        <v>9677.857</v>
      </c>
      <c r="AP131" s="10">
        <f t="shared" si="49"/>
        <v>10139.252</v>
      </c>
      <c r="AQ131" s="181">
        <f t="shared" si="49"/>
        <v>10139.252</v>
      </c>
      <c r="AR131" s="10">
        <f t="shared" si="49"/>
        <v>10434.612999999999</v>
      </c>
      <c r="AS131" s="10">
        <f t="shared" si="49"/>
        <v>10670.786</v>
      </c>
      <c r="AT131" s="10">
        <f t="shared" ref="AT131:BA131" si="50">SUM(AT128:AT130)</f>
        <v>10867</v>
      </c>
      <c r="AU131" s="10">
        <f t="shared" si="50"/>
        <v>11155</v>
      </c>
      <c r="AV131" s="181">
        <f t="shared" si="50"/>
        <v>11155</v>
      </c>
      <c r="AW131" s="10">
        <f>SUM(AW128:AW130)</f>
        <v>11531</v>
      </c>
      <c r="AX131" s="10">
        <f>SUM(AX128:AX130)</f>
        <v>11740</v>
      </c>
      <c r="AY131" s="10">
        <f>SUM(AY128:AY130)</f>
        <v>12268</v>
      </c>
      <c r="AZ131" s="10">
        <f>SUM(AZ128:AZ130)</f>
        <v>12716</v>
      </c>
      <c r="BA131" s="181">
        <f t="shared" si="50"/>
        <v>12716</v>
      </c>
      <c r="BB131" s="10">
        <f t="shared" ref="BB131:BH131" si="51">SUM(BB128:BB130)</f>
        <v>12760</v>
      </c>
      <c r="BC131" s="10">
        <f t="shared" si="51"/>
        <v>12873</v>
      </c>
      <c r="BD131" s="10">
        <f t="shared" si="51"/>
        <v>13239</v>
      </c>
      <c r="BE131" s="10">
        <f t="shared" si="51"/>
        <v>13829</v>
      </c>
      <c r="BF131" s="181">
        <f t="shared" si="51"/>
        <v>13829</v>
      </c>
      <c r="BG131" s="10">
        <f t="shared" si="51"/>
        <v>14152</v>
      </c>
      <c r="BH131" s="10">
        <f t="shared" si="51"/>
        <v>14406</v>
      </c>
      <c r="BI131" s="10">
        <v>14555</v>
      </c>
      <c r="BJ131" s="10"/>
      <c r="BK131" s="181">
        <f>SUM(BK128:BK130)</f>
        <v>15129</v>
      </c>
      <c r="BL131" s="10"/>
      <c r="BM131" s="10"/>
      <c r="BN131" s="10"/>
      <c r="BO131" s="10"/>
      <c r="BP131" s="181">
        <f>SUM(BP128:BP130)</f>
        <v>15983.021000000001</v>
      </c>
      <c r="BQ131" s="181"/>
      <c r="BR131" s="181"/>
      <c r="BS131" s="181"/>
      <c r="BT131" s="181"/>
      <c r="BU131" s="10"/>
      <c r="BV131" s="9">
        <f t="shared" si="46"/>
        <v>183.61699999999996</v>
      </c>
      <c r="BW131" s="9">
        <f t="shared" si="46"/>
        <v>193.99099999999999</v>
      </c>
      <c r="BX131" s="9">
        <f t="shared" si="46"/>
        <v>251.26700000000005</v>
      </c>
      <c r="BY131" s="121">
        <f>V131-U131</f>
        <v>2363.3589999999999</v>
      </c>
      <c r="BZ131" s="9">
        <f t="shared" si="38"/>
        <v>190.2559999999994</v>
      </c>
      <c r="CA131" s="9">
        <f t="shared" si="38"/>
        <v>335.5010000000002</v>
      </c>
      <c r="CB131" s="9">
        <f t="shared" si="38"/>
        <v>449.26599999999962</v>
      </c>
      <c r="CC131" s="121">
        <f t="shared" si="38"/>
        <v>588.01400000000103</v>
      </c>
      <c r="CD131" s="9">
        <f>AC131-AA131</f>
        <v>570.27399999999943</v>
      </c>
      <c r="CE131" s="9">
        <f t="shared" si="39"/>
        <v>449.10899999999947</v>
      </c>
      <c r="CF131" s="9">
        <f t="shared" si="39"/>
        <v>279.75400000000081</v>
      </c>
      <c r="CG131" s="121">
        <f t="shared" si="39"/>
        <v>269.13699999999972</v>
      </c>
      <c r="CH131" s="9">
        <f t="shared" si="40"/>
        <v>274</v>
      </c>
      <c r="CI131" s="9">
        <f t="shared" si="40"/>
        <v>324.39999999999964</v>
      </c>
      <c r="CJ131" s="9">
        <f t="shared" si="40"/>
        <v>354.56800000000112</v>
      </c>
      <c r="CK131" s="121">
        <f t="shared" si="40"/>
        <v>401.03199999999924</v>
      </c>
      <c r="CL131" s="9">
        <f t="shared" si="41"/>
        <v>211.60000000000036</v>
      </c>
      <c r="CM131" s="9">
        <f t="shared" si="41"/>
        <v>212.56500000000051</v>
      </c>
      <c r="CN131" s="9">
        <f t="shared" si="41"/>
        <v>438.6919999999991</v>
      </c>
      <c r="CO131" s="9">
        <f t="shared" si="41"/>
        <v>461.39500000000044</v>
      </c>
      <c r="CP131" s="9">
        <f t="shared" si="42"/>
        <v>295.36099999999897</v>
      </c>
      <c r="CQ131" s="9">
        <f t="shared" si="42"/>
        <v>236.17300000000068</v>
      </c>
      <c r="CR131" s="9">
        <f t="shared" si="42"/>
        <v>196.21399999999994</v>
      </c>
      <c r="CS131" s="9">
        <f t="shared" si="42"/>
        <v>288</v>
      </c>
      <c r="CT131" s="9">
        <f t="shared" si="43"/>
        <v>376</v>
      </c>
      <c r="CU131" s="9">
        <f t="shared" si="43"/>
        <v>209</v>
      </c>
      <c r="CV131" s="9">
        <f t="shared" si="43"/>
        <v>528</v>
      </c>
      <c r="CW131" s="9" t="str">
        <f>D131</f>
        <v>South America</v>
      </c>
      <c r="CX131" s="88">
        <f t="shared" si="44"/>
        <v>44</v>
      </c>
      <c r="CY131" s="88">
        <f t="shared" si="44"/>
        <v>113</v>
      </c>
      <c r="CZ131" s="88">
        <f t="shared" si="44"/>
        <v>366</v>
      </c>
      <c r="DA131" s="88">
        <f t="shared" si="44"/>
        <v>590</v>
      </c>
      <c r="DB131" s="88">
        <f t="shared" si="45"/>
        <v>323</v>
      </c>
      <c r="DC131" s="88">
        <f t="shared" si="45"/>
        <v>254</v>
      </c>
      <c r="DD131" s="88">
        <f t="shared" si="45"/>
        <v>149</v>
      </c>
    </row>
    <row r="132" spans="1:116" hidden="1" outlineLevel="1">
      <c r="C132" s="6"/>
      <c r="D132" s="2" t="s">
        <v>870</v>
      </c>
      <c r="F132" s="10"/>
      <c r="G132" s="2"/>
      <c r="H132" s="10">
        <f t="shared" ref="H132:M132" si="52">H129+H130</f>
        <v>986.39700000000005</v>
      </c>
      <c r="I132" s="10">
        <f t="shared" si="52"/>
        <v>1013.846</v>
      </c>
      <c r="J132" s="10">
        <f t="shared" si="52"/>
        <v>939.37599999999998</v>
      </c>
      <c r="K132" s="10">
        <f t="shared" si="52"/>
        <v>739.5</v>
      </c>
      <c r="L132" s="10">
        <f t="shared" si="52"/>
        <v>774.3</v>
      </c>
      <c r="M132" s="10">
        <f t="shared" si="52"/>
        <v>843.40000000000009</v>
      </c>
      <c r="N132" s="10">
        <f>N129+N130</f>
        <v>937.39699999999993</v>
      </c>
      <c r="O132" s="10">
        <f t="shared" ref="O132:U132" si="53">O129+O130</f>
        <v>985.71499999999992</v>
      </c>
      <c r="P132" s="10">
        <f t="shared" si="53"/>
        <v>1056.4749999999999</v>
      </c>
      <c r="Q132" s="10">
        <f t="shared" si="53"/>
        <v>1152.3090000000002</v>
      </c>
      <c r="R132" s="10">
        <f t="shared" si="53"/>
        <v>1337.739</v>
      </c>
      <c r="S132" s="10">
        <f t="shared" si="53"/>
        <v>1521.356</v>
      </c>
      <c r="T132" s="10">
        <f t="shared" si="53"/>
        <v>1715.347</v>
      </c>
      <c r="U132" s="10">
        <f t="shared" si="53"/>
        <v>1966.614</v>
      </c>
      <c r="V132" s="10">
        <f t="shared" ref="V132:AB132" si="54">V129+V130</f>
        <v>2209.6890000000003</v>
      </c>
      <c r="W132" s="181">
        <f t="shared" si="54"/>
        <v>2209.6890000000003</v>
      </c>
      <c r="X132" s="10">
        <f>X129+X130</f>
        <v>2321.09</v>
      </c>
      <c r="Y132" s="10">
        <f>Y129+Y130</f>
        <v>2563.7860000000001</v>
      </c>
      <c r="Z132" s="10">
        <f>Z129+Z130</f>
        <v>2801.864</v>
      </c>
      <c r="AA132" s="10">
        <f>AA129+AA130</f>
        <v>3122.8419999999996</v>
      </c>
      <c r="AB132" s="181">
        <f t="shared" si="54"/>
        <v>3123</v>
      </c>
      <c r="AC132" s="10">
        <f t="shared" ref="AC132:AQ132" si="55">AC129+AC130</f>
        <v>3403</v>
      </c>
      <c r="AD132" s="10">
        <f t="shared" si="55"/>
        <v>3649.6089999999995</v>
      </c>
      <c r="AE132" s="10">
        <f t="shared" si="55"/>
        <v>3916.2580000000003</v>
      </c>
      <c r="AF132" s="10">
        <f t="shared" si="55"/>
        <v>4147</v>
      </c>
      <c r="AG132" s="181">
        <f t="shared" si="55"/>
        <v>4147</v>
      </c>
      <c r="AH132" s="10">
        <f t="shared" si="55"/>
        <v>4403</v>
      </c>
      <c r="AI132" s="10">
        <f t="shared" si="55"/>
        <v>4623.2</v>
      </c>
      <c r="AJ132" s="10">
        <f t="shared" si="55"/>
        <v>4841.7569999999996</v>
      </c>
      <c r="AK132" s="10">
        <f t="shared" si="55"/>
        <v>5071</v>
      </c>
      <c r="AL132" s="181">
        <f t="shared" si="55"/>
        <v>5071</v>
      </c>
      <c r="AM132" s="10">
        <f t="shared" si="55"/>
        <v>5212.2</v>
      </c>
      <c r="AN132" s="10">
        <f>AN129+AN130</f>
        <v>5297.9490000000005</v>
      </c>
      <c r="AO132" s="10">
        <f>AO129+AO130</f>
        <v>5548.6810000000005</v>
      </c>
      <c r="AP132" s="10">
        <f>AP129+AP130</f>
        <v>5845.8289999999997</v>
      </c>
      <c r="AQ132" s="181">
        <f t="shared" si="55"/>
        <v>5845.8289999999997</v>
      </c>
      <c r="AR132" s="10">
        <f t="shared" ref="AR132:BA132" si="56">AR129+AR130</f>
        <v>5992.8509999999997</v>
      </c>
      <c r="AS132" s="10">
        <f t="shared" si="56"/>
        <v>6074.8089999999993</v>
      </c>
      <c r="AT132" s="10">
        <f t="shared" si="56"/>
        <v>6154</v>
      </c>
      <c r="AU132" s="10">
        <f t="shared" si="56"/>
        <v>6301</v>
      </c>
      <c r="AV132" s="181">
        <f t="shared" si="56"/>
        <v>6301</v>
      </c>
      <c r="AW132" s="10">
        <f>AW129+AW130</f>
        <v>6529</v>
      </c>
      <c r="AX132" s="10">
        <f>AX129+AX130</f>
        <v>6557</v>
      </c>
      <c r="AY132" s="10">
        <f>AY129+AY130</f>
        <v>6802</v>
      </c>
      <c r="AZ132" s="10">
        <f>AZ129+AZ130</f>
        <v>6990</v>
      </c>
      <c r="BA132" s="181">
        <f t="shared" si="56"/>
        <v>6990</v>
      </c>
      <c r="BB132" s="10">
        <f t="shared" ref="BB132:BG132" si="57">BB129+BB130</f>
        <v>6792</v>
      </c>
      <c r="BC132" s="10">
        <f t="shared" si="57"/>
        <v>6736</v>
      </c>
      <c r="BD132" s="10">
        <f t="shared" si="57"/>
        <v>6834</v>
      </c>
      <c r="BE132" s="10">
        <f t="shared" si="57"/>
        <v>7076</v>
      </c>
      <c r="BF132" s="181">
        <f t="shared" si="57"/>
        <v>7076</v>
      </c>
      <c r="BG132" s="10">
        <f t="shared" si="57"/>
        <v>7213</v>
      </c>
      <c r="BH132" s="10"/>
      <c r="BI132" s="10"/>
      <c r="BJ132" s="10"/>
      <c r="BK132" s="181">
        <f>BK129+BK130</f>
        <v>7117</v>
      </c>
      <c r="BL132" s="10"/>
      <c r="BM132" s="10"/>
      <c r="BN132" s="10"/>
      <c r="BO132" s="10"/>
      <c r="BP132" s="181">
        <f>BP129+BP130</f>
        <v>7057.0209999999997</v>
      </c>
      <c r="BQ132" s="181"/>
      <c r="BR132" s="181"/>
      <c r="BS132" s="181"/>
      <c r="BT132" s="181"/>
      <c r="BU132" s="10"/>
      <c r="BV132" s="9"/>
      <c r="BW132" s="9"/>
      <c r="BX132" s="9"/>
      <c r="BY132" s="121"/>
      <c r="BZ132" s="9"/>
      <c r="CA132" s="9"/>
      <c r="CB132" s="9"/>
      <c r="CC132" s="121"/>
      <c r="CD132" s="9"/>
      <c r="CE132" s="9"/>
      <c r="CF132" s="9"/>
      <c r="CG132" s="121"/>
      <c r="CH132" s="9"/>
      <c r="CI132" s="9"/>
      <c r="CJ132" s="9"/>
      <c r="CK132" s="121"/>
      <c r="CL132" s="9"/>
      <c r="CM132" s="9"/>
      <c r="CN132" s="9"/>
      <c r="CO132" s="9"/>
      <c r="CP132" s="9"/>
      <c r="CQ132" s="9"/>
      <c r="CR132" s="9"/>
      <c r="CS132" s="9"/>
      <c r="CT132" s="9"/>
      <c r="CU132" s="9"/>
      <c r="CV132" s="9"/>
      <c r="CW132" s="9" t="str">
        <f>D132</f>
        <v>South America ex Colombia</v>
      </c>
      <c r="CX132" s="88"/>
      <c r="CY132" s="88"/>
      <c r="CZ132" s="88"/>
      <c r="DA132" s="88"/>
      <c r="DB132" s="88"/>
      <c r="DC132" s="88"/>
      <c r="DD132" s="88"/>
    </row>
    <row r="133" spans="1:116" collapsed="1">
      <c r="C133" s="6"/>
      <c r="F133" s="9"/>
      <c r="H133" s="9"/>
      <c r="I133" s="9"/>
      <c r="J133" s="9"/>
      <c r="K133" s="9"/>
      <c r="L133" s="9"/>
      <c r="M133" s="9"/>
      <c r="N133" s="9"/>
      <c r="O133" s="9"/>
      <c r="P133" s="9"/>
      <c r="Q133" s="9"/>
      <c r="R133" s="9"/>
      <c r="S133" s="9"/>
      <c r="T133" s="9"/>
      <c r="U133" s="9"/>
      <c r="V133" s="9"/>
      <c r="W133" s="133"/>
      <c r="X133" s="9"/>
      <c r="Y133" s="9"/>
      <c r="Z133" s="9"/>
      <c r="AA133" s="16"/>
      <c r="AB133" s="133"/>
      <c r="AC133" s="16"/>
      <c r="AD133" s="16"/>
      <c r="AE133" s="16"/>
      <c r="AF133" s="16"/>
      <c r="AG133" s="133"/>
      <c r="AH133" s="16"/>
      <c r="AI133" s="16"/>
      <c r="AJ133" s="16"/>
      <c r="AK133" s="16"/>
      <c r="AL133" s="133"/>
      <c r="AM133" s="16"/>
      <c r="AN133" s="16"/>
      <c r="AO133" s="16"/>
      <c r="AP133" s="16"/>
      <c r="AQ133" s="133"/>
      <c r="AR133" s="16"/>
      <c r="AS133" s="16"/>
      <c r="AT133" s="16"/>
      <c r="AU133" s="16"/>
      <c r="AV133" s="133"/>
      <c r="AW133" s="16"/>
      <c r="AX133" s="16"/>
      <c r="AY133" s="16"/>
      <c r="AZ133" s="16"/>
      <c r="BA133" s="133"/>
      <c r="BB133" s="16"/>
      <c r="BC133" s="16"/>
      <c r="BD133" s="16"/>
      <c r="BE133" s="16"/>
      <c r="BF133" s="133"/>
      <c r="BG133" s="16"/>
      <c r="BH133" s="16"/>
      <c r="BI133" s="16"/>
      <c r="BJ133" s="16"/>
      <c r="BK133" s="133"/>
      <c r="BL133" s="16"/>
      <c r="BM133" s="16"/>
      <c r="BN133" s="16"/>
      <c r="BO133" s="16"/>
      <c r="BP133" s="133"/>
      <c r="BQ133" s="133"/>
      <c r="BR133" s="133"/>
      <c r="BS133" s="133"/>
      <c r="BT133" s="133"/>
      <c r="BU133" s="9"/>
      <c r="BV133" s="9"/>
      <c r="BW133" s="16"/>
      <c r="BX133" s="16"/>
      <c r="BY133" s="207"/>
      <c r="BZ133" s="16"/>
      <c r="CA133" s="16"/>
      <c r="CB133" s="16"/>
      <c r="CC133" s="207"/>
      <c r="CD133" s="16"/>
      <c r="CE133" s="16"/>
      <c r="CF133" s="16"/>
      <c r="CG133" s="207"/>
      <c r="CH133" s="16"/>
      <c r="CI133" s="16"/>
      <c r="CJ133" s="16"/>
      <c r="CK133" s="207"/>
      <c r="CL133" s="9"/>
      <c r="CM133" s="9"/>
      <c r="CN133" s="9"/>
      <c r="CO133" s="9"/>
      <c r="CP133" s="9"/>
      <c r="CQ133" s="9"/>
      <c r="CR133" s="9"/>
      <c r="CS133" s="9"/>
      <c r="CT133" s="9"/>
      <c r="CU133" s="9"/>
      <c r="CV133" s="9"/>
      <c r="CW133" s="9"/>
      <c r="CX133" s="88"/>
      <c r="CY133" s="88"/>
      <c r="CZ133" s="88"/>
      <c r="DA133" s="88"/>
      <c r="DB133" s="88"/>
      <c r="DC133" s="88"/>
      <c r="DD133" s="88"/>
    </row>
    <row r="134" spans="1:116">
      <c r="A134" s="5">
        <v>1</v>
      </c>
      <c r="B134" s="5">
        <v>1</v>
      </c>
      <c r="C134" s="22" t="s">
        <v>1554</v>
      </c>
      <c r="D134" t="s">
        <v>2382</v>
      </c>
      <c r="F134" s="9">
        <v>52.06</v>
      </c>
      <c r="H134" s="9">
        <v>57.674999999999997</v>
      </c>
      <c r="I134" s="9">
        <v>86.847999999999999</v>
      </c>
      <c r="J134" s="9">
        <v>117.816</v>
      </c>
      <c r="K134" s="9">
        <v>150.80000000000001</v>
      </c>
      <c r="L134" s="9">
        <v>186.7</v>
      </c>
      <c r="M134" s="9">
        <v>228.7</v>
      </c>
      <c r="N134" s="9">
        <v>277.04500000000002</v>
      </c>
      <c r="O134" s="9">
        <v>337.20800000000003</v>
      </c>
      <c r="P134" s="9">
        <v>332.55700000000002</v>
      </c>
      <c r="Q134" s="9">
        <v>447.11700000000002</v>
      </c>
      <c r="R134" s="9">
        <v>448.83800000000002</v>
      </c>
      <c r="S134" s="9">
        <v>610.803</v>
      </c>
      <c r="T134" s="9">
        <v>737.74900000000002</v>
      </c>
      <c r="U134" s="9">
        <v>977.08699999999999</v>
      </c>
      <c r="V134" s="9">
        <v>1211.904</v>
      </c>
      <c r="W134" s="133">
        <f>Africa!G48</f>
        <v>1211.904</v>
      </c>
      <c r="X134" s="9">
        <v>1304.82</v>
      </c>
      <c r="Y134" s="9">
        <v>1286.9469999999999</v>
      </c>
      <c r="Z134" s="9">
        <v>1505.46</v>
      </c>
      <c r="AA134" s="9">
        <v>2023.0909999999999</v>
      </c>
      <c r="AB134" s="133">
        <f>Africa!H48</f>
        <v>2023.0909999999999</v>
      </c>
      <c r="AC134" s="9">
        <v>2394</v>
      </c>
      <c r="AD134" s="9">
        <v>2590.2089999999998</v>
      </c>
      <c r="AE134" s="9">
        <v>2741.1219999999998</v>
      </c>
      <c r="AF134" s="9">
        <v>2889</v>
      </c>
      <c r="AG134" s="133">
        <f>Africa!I48</f>
        <v>2889</v>
      </c>
      <c r="AH134" s="9">
        <v>2876</v>
      </c>
      <c r="AI134" s="9">
        <v>2896.3</v>
      </c>
      <c r="AJ134" s="9">
        <v>2959.982</v>
      </c>
      <c r="AK134" s="9">
        <v>3094</v>
      </c>
      <c r="AL134" s="133">
        <f>Africa!J48</f>
        <v>3094</v>
      </c>
      <c r="AM134" s="9">
        <v>3100.3</v>
      </c>
      <c r="AN134" s="9">
        <v>3406.0219999999999</v>
      </c>
      <c r="AO134" s="9">
        <v>3378.7089999999998</v>
      </c>
      <c r="AP134" s="9">
        <v>3525.1460000000002</v>
      </c>
      <c r="AQ134" s="133">
        <f>Africa!K48</f>
        <v>3525.1460000000002</v>
      </c>
      <c r="AR134" s="9">
        <v>3572.5070000000001</v>
      </c>
      <c r="AS134" s="9">
        <v>3697.3180000000002</v>
      </c>
      <c r="AT134" s="9">
        <v>3628</v>
      </c>
      <c r="AU134" s="9">
        <v>3508</v>
      </c>
      <c r="AV134" s="133">
        <f>Africa!L48</f>
        <v>3508</v>
      </c>
      <c r="AW134" s="9">
        <v>3334</v>
      </c>
      <c r="AX134" s="9">
        <v>3196</v>
      </c>
      <c r="AY134" s="9">
        <v>3227</v>
      </c>
      <c r="AZ134" s="9">
        <v>3170</v>
      </c>
      <c r="BA134" s="133">
        <f>Africa!M48</f>
        <v>3170</v>
      </c>
      <c r="BB134" s="9">
        <f>BC134-114</f>
        <v>3185</v>
      </c>
      <c r="BC134" s="9">
        <v>3299</v>
      </c>
      <c r="BD134" s="9">
        <v>3577</v>
      </c>
      <c r="BE134" s="9">
        <v>3674</v>
      </c>
      <c r="BF134" s="133">
        <f>Africa!N48</f>
        <v>3674</v>
      </c>
      <c r="BG134" s="9">
        <v>3665</v>
      </c>
      <c r="BH134" s="9">
        <v>3691</v>
      </c>
      <c r="BI134" s="9">
        <v>3696</v>
      </c>
      <c r="BJ134" s="9"/>
      <c r="BK134" s="133">
        <f>Africa!O48</f>
        <v>3829</v>
      </c>
      <c r="BL134" s="9"/>
      <c r="BM134" s="9"/>
      <c r="BN134" s="9"/>
      <c r="BO134" s="9"/>
      <c r="BP134" s="133">
        <f>Africa!P48</f>
        <v>4085.5830000000001</v>
      </c>
      <c r="BQ134" s="133"/>
      <c r="BR134" s="133"/>
      <c r="BS134" s="133"/>
      <c r="BT134" s="133"/>
      <c r="BU134" s="9"/>
      <c r="BV134" s="9">
        <f t="shared" ref="BV134:BY140" si="58">S134-R134</f>
        <v>161.96499999999997</v>
      </c>
      <c r="BW134" s="9">
        <f t="shared" si="58"/>
        <v>126.94600000000003</v>
      </c>
      <c r="BX134" s="9">
        <f t="shared" si="58"/>
        <v>239.33799999999997</v>
      </c>
      <c r="BY134" s="121">
        <f t="shared" si="58"/>
        <v>234.81700000000001</v>
      </c>
      <c r="BZ134" s="9">
        <f t="shared" ref="BZ134:CC140" si="59">X134-W134</f>
        <v>92.91599999999994</v>
      </c>
      <c r="CA134" s="9">
        <f t="shared" si="59"/>
        <v>-17.873000000000047</v>
      </c>
      <c r="CB134" s="9">
        <f t="shared" si="59"/>
        <v>218.51300000000015</v>
      </c>
      <c r="CC134" s="121">
        <f t="shared" si="59"/>
        <v>517.63099999999986</v>
      </c>
      <c r="CD134" s="9">
        <f t="shared" ref="CD134:CD140" si="60">AC134-AA134</f>
        <v>370.90900000000011</v>
      </c>
      <c r="CE134" s="9">
        <f t="shared" ref="CE134:CG140" si="61">AD134-AC134</f>
        <v>196.20899999999983</v>
      </c>
      <c r="CF134" s="9">
        <f t="shared" si="61"/>
        <v>150.91300000000001</v>
      </c>
      <c r="CG134" s="121">
        <f t="shared" si="61"/>
        <v>147.87800000000016</v>
      </c>
      <c r="CH134" s="9">
        <f t="shared" ref="CH134:CK140" si="62">AH134-AG134</f>
        <v>-13</v>
      </c>
      <c r="CI134" s="9">
        <f t="shared" si="62"/>
        <v>20.300000000000182</v>
      </c>
      <c r="CJ134" s="9">
        <f t="shared" si="62"/>
        <v>63.681999999999789</v>
      </c>
      <c r="CK134" s="121">
        <f t="shared" si="62"/>
        <v>134.01800000000003</v>
      </c>
      <c r="CL134" s="9">
        <f t="shared" ref="CL134:CO136" si="63">AM134-AL134</f>
        <v>6.3000000000001819</v>
      </c>
      <c r="CM134" s="9">
        <f t="shared" si="63"/>
        <v>305.72199999999975</v>
      </c>
      <c r="CN134" s="9">
        <f t="shared" si="63"/>
        <v>-27.313000000000102</v>
      </c>
      <c r="CO134" s="9">
        <f t="shared" si="63"/>
        <v>146.43700000000035</v>
      </c>
      <c r="CP134" s="9">
        <f t="shared" ref="CP134:CS136" si="64">AR134-AQ134</f>
        <v>47.360999999999876</v>
      </c>
      <c r="CQ134" s="9">
        <f t="shared" si="64"/>
        <v>124.81100000000015</v>
      </c>
      <c r="CR134" s="9">
        <f t="shared" si="64"/>
        <v>-69.318000000000211</v>
      </c>
      <c r="CS134" s="9">
        <f t="shared" si="64"/>
        <v>-120</v>
      </c>
      <c r="CT134" s="9">
        <f t="shared" ref="CT134:CV136" si="65">AW134-AV134</f>
        <v>-174</v>
      </c>
      <c r="CU134" s="9">
        <f t="shared" si="65"/>
        <v>-138</v>
      </c>
      <c r="CV134" s="9">
        <f t="shared" si="65"/>
        <v>31</v>
      </c>
      <c r="CW134" s="9" t="str">
        <f t="shared" ref="CW134:CW143" si="66">D134</f>
        <v>Ghana</v>
      </c>
      <c r="CX134" s="88">
        <f t="shared" ref="CX134:DA136" si="67">BB134-BA134</f>
        <v>15</v>
      </c>
      <c r="CY134" s="88">
        <f t="shared" si="67"/>
        <v>114</v>
      </c>
      <c r="CZ134" s="88">
        <f t="shared" si="67"/>
        <v>278</v>
      </c>
      <c r="DA134" s="88">
        <f t="shared" si="67"/>
        <v>97</v>
      </c>
      <c r="DB134" s="88">
        <f>BG134-BF134</f>
        <v>-9</v>
      </c>
      <c r="DC134" s="88">
        <f>BH134-BG134</f>
        <v>26</v>
      </c>
      <c r="DD134" s="88">
        <f>BI134-BH134</f>
        <v>5</v>
      </c>
    </row>
    <row r="135" spans="1:116">
      <c r="A135" s="5">
        <v>0.5</v>
      </c>
      <c r="B135" s="5">
        <f>A135</f>
        <v>0.5</v>
      </c>
      <c r="C135" s="22" t="s">
        <v>1557</v>
      </c>
      <c r="D135" t="s">
        <v>2383</v>
      </c>
      <c r="F135" s="9">
        <v>0</v>
      </c>
      <c r="H135" s="9">
        <v>100.566</v>
      </c>
      <c r="I135" s="9">
        <v>109.11199999999999</v>
      </c>
      <c r="J135" s="9">
        <v>136.62</v>
      </c>
      <c r="K135" s="9">
        <v>119.3</v>
      </c>
      <c r="L135" s="9">
        <v>126.2</v>
      </c>
      <c r="M135" s="9">
        <v>131.80000000000001</v>
      </c>
      <c r="N135" s="9">
        <v>167.565</v>
      </c>
      <c r="O135" s="9">
        <v>167.02500000000001</v>
      </c>
      <c r="P135" s="9">
        <v>175.124</v>
      </c>
      <c r="Q135" s="9">
        <v>194.851</v>
      </c>
      <c r="R135" s="9">
        <v>221.1</v>
      </c>
      <c r="S135" s="9">
        <v>229.53100000000001</v>
      </c>
      <c r="T135" s="9">
        <v>236.76400000000001</v>
      </c>
      <c r="U135" s="9">
        <v>246.565</v>
      </c>
      <c r="V135" s="9">
        <v>279.19299999999998</v>
      </c>
      <c r="W135" s="133">
        <f>Africa!G49</f>
        <v>279.19299999999998</v>
      </c>
      <c r="X135" s="9">
        <v>300.274</v>
      </c>
      <c r="Y135" s="9">
        <v>321.01499999999999</v>
      </c>
      <c r="Z135" s="9">
        <v>348.678</v>
      </c>
      <c r="AA135" s="9">
        <v>365.01799999999997</v>
      </c>
      <c r="AB135" s="133">
        <f>Africa!H49</f>
        <v>365.01799999999997</v>
      </c>
      <c r="AC135" s="9">
        <v>380</v>
      </c>
      <c r="AD135" s="9">
        <v>373.22199999999998</v>
      </c>
      <c r="AE135" s="9">
        <v>396.35500000000002</v>
      </c>
      <c r="AF135" s="9">
        <v>422</v>
      </c>
      <c r="AG135" s="133">
        <f>Africa!I49</f>
        <v>422</v>
      </c>
      <c r="AH135" s="9">
        <v>415</v>
      </c>
      <c r="AI135" s="9">
        <v>415</v>
      </c>
      <c r="AJ135" s="9">
        <v>421.9</v>
      </c>
      <c r="AK135" s="9">
        <v>437</v>
      </c>
      <c r="AL135" s="133">
        <f>Africa!J49</f>
        <v>437</v>
      </c>
      <c r="AM135" s="9">
        <v>446.7</v>
      </c>
      <c r="AN135" s="9">
        <v>449.86900000000003</v>
      </c>
      <c r="AO135" s="9">
        <v>449.89100000000002</v>
      </c>
      <c r="AP135" s="9">
        <v>471.57900000000001</v>
      </c>
      <c r="AQ135" s="133">
        <f>Africa!K49</f>
        <v>471.57900000000001</v>
      </c>
      <c r="AR135" s="9">
        <v>477.923</v>
      </c>
      <c r="AS135" s="9">
        <v>478.69099999999997</v>
      </c>
      <c r="AT135" s="9">
        <v>486</v>
      </c>
      <c r="AU135" s="9">
        <v>498</v>
      </c>
      <c r="AV135" s="133">
        <f>Africa!L49</f>
        <v>498</v>
      </c>
      <c r="AW135" s="9">
        <v>503</v>
      </c>
      <c r="AX135" s="9">
        <v>509</v>
      </c>
      <c r="AY135" s="9">
        <v>517</v>
      </c>
      <c r="AZ135" s="9">
        <v>529</v>
      </c>
      <c r="BA135" s="133">
        <f>Africa!M49</f>
        <v>529</v>
      </c>
      <c r="BB135" s="9">
        <f>BC135+1</f>
        <v>532</v>
      </c>
      <c r="BC135" s="9">
        <v>531</v>
      </c>
      <c r="BD135" s="9">
        <v>528</v>
      </c>
      <c r="BE135" s="9">
        <v>535</v>
      </c>
      <c r="BF135" s="133">
        <f>Africa!N49</f>
        <v>0</v>
      </c>
      <c r="BG135" s="9"/>
      <c r="BH135" s="9"/>
      <c r="BI135" s="9"/>
      <c r="BJ135" s="9"/>
      <c r="BK135" s="133">
        <f>Africa!O49</f>
        <v>0</v>
      </c>
      <c r="BL135" s="9"/>
      <c r="BM135" s="9"/>
      <c r="BN135" s="9"/>
      <c r="BO135" s="9"/>
      <c r="BP135" s="133">
        <f>Africa!P49</f>
        <v>0</v>
      </c>
      <c r="BQ135" s="133"/>
      <c r="BR135" s="133"/>
      <c r="BS135" s="133"/>
      <c r="BT135" s="133"/>
      <c r="BU135" s="9"/>
      <c r="BV135" s="9">
        <f t="shared" si="58"/>
        <v>8.4310000000000116</v>
      </c>
      <c r="BW135" s="9">
        <f t="shared" si="58"/>
        <v>7.2330000000000041</v>
      </c>
      <c r="BX135" s="9">
        <f t="shared" si="58"/>
        <v>9.8009999999999877</v>
      </c>
      <c r="BY135" s="121">
        <f t="shared" si="58"/>
        <v>32.627999999999986</v>
      </c>
      <c r="BZ135" s="9">
        <f t="shared" si="59"/>
        <v>21.081000000000017</v>
      </c>
      <c r="CA135" s="9">
        <f t="shared" si="59"/>
        <v>20.740999999999985</v>
      </c>
      <c r="CB135" s="9">
        <f t="shared" si="59"/>
        <v>27.663000000000011</v>
      </c>
      <c r="CC135" s="121">
        <f t="shared" si="59"/>
        <v>16.339999999999975</v>
      </c>
      <c r="CD135" s="9">
        <f t="shared" si="60"/>
        <v>14.982000000000028</v>
      </c>
      <c r="CE135" s="9">
        <f t="shared" si="61"/>
        <v>-6.77800000000002</v>
      </c>
      <c r="CF135" s="9">
        <f t="shared" si="61"/>
        <v>23.133000000000038</v>
      </c>
      <c r="CG135" s="121">
        <f t="shared" si="61"/>
        <v>25.644999999999982</v>
      </c>
      <c r="CH135" s="9">
        <f t="shared" si="62"/>
        <v>-7</v>
      </c>
      <c r="CI135" s="9">
        <f t="shared" si="62"/>
        <v>0</v>
      </c>
      <c r="CJ135" s="9">
        <f t="shared" si="62"/>
        <v>6.8999999999999773</v>
      </c>
      <c r="CK135" s="121">
        <f t="shared" si="62"/>
        <v>15.100000000000023</v>
      </c>
      <c r="CL135" s="9">
        <f t="shared" si="63"/>
        <v>9.6999999999999886</v>
      </c>
      <c r="CM135" s="9">
        <f t="shared" si="63"/>
        <v>3.1690000000000396</v>
      </c>
      <c r="CN135" s="9">
        <f t="shared" si="63"/>
        <v>2.199999999999136E-2</v>
      </c>
      <c r="CO135" s="9">
        <f t="shared" si="63"/>
        <v>21.687999999999988</v>
      </c>
      <c r="CP135" s="9">
        <f t="shared" si="64"/>
        <v>6.3439999999999941</v>
      </c>
      <c r="CQ135" s="9">
        <f t="shared" si="64"/>
        <v>0.76799999999997226</v>
      </c>
      <c r="CR135" s="9">
        <f t="shared" si="64"/>
        <v>7.3090000000000259</v>
      </c>
      <c r="CS135" s="9">
        <f t="shared" si="64"/>
        <v>12</v>
      </c>
      <c r="CT135" s="9">
        <f t="shared" si="65"/>
        <v>5</v>
      </c>
      <c r="CU135" s="9">
        <f t="shared" si="65"/>
        <v>6</v>
      </c>
      <c r="CV135" s="9">
        <f t="shared" si="65"/>
        <v>8</v>
      </c>
      <c r="CW135" s="9" t="str">
        <f t="shared" si="66"/>
        <v>Mauritius</v>
      </c>
      <c r="CX135" s="88">
        <f t="shared" si="67"/>
        <v>3</v>
      </c>
      <c r="CY135" s="88">
        <f t="shared" si="67"/>
        <v>-1</v>
      </c>
      <c r="CZ135" s="88">
        <f t="shared" si="67"/>
        <v>-3</v>
      </c>
      <c r="DA135" s="88">
        <f t="shared" si="67"/>
        <v>7</v>
      </c>
      <c r="DB135" s="88"/>
      <c r="DC135" s="88"/>
      <c r="DD135" s="88"/>
    </row>
    <row r="136" spans="1:116">
      <c r="A136" s="5">
        <v>0.75</v>
      </c>
      <c r="B136" s="5">
        <v>1</v>
      </c>
      <c r="C136" s="22" t="s">
        <v>1557</v>
      </c>
      <c r="D136" t="s">
        <v>2384</v>
      </c>
      <c r="F136" s="9">
        <v>97.804000000000002</v>
      </c>
      <c r="H136" s="9">
        <v>125.057</v>
      </c>
      <c r="I136" s="9">
        <v>163.34700000000001</v>
      </c>
      <c r="J136" s="9">
        <v>206.506</v>
      </c>
      <c r="K136" s="9">
        <v>267.60000000000002</v>
      </c>
      <c r="L136" s="9">
        <v>294.10000000000002</v>
      </c>
      <c r="M136" s="9">
        <v>321.89999999999998</v>
      </c>
      <c r="N136" s="9">
        <v>339.88400000000001</v>
      </c>
      <c r="O136" s="9">
        <v>428.15600000000001</v>
      </c>
      <c r="P136" s="9">
        <v>531.56799999999998</v>
      </c>
      <c r="Q136" s="9">
        <v>617.76099999999997</v>
      </c>
      <c r="R136" s="9">
        <v>679.91399999999999</v>
      </c>
      <c r="S136" s="9">
        <v>694.69299999999998</v>
      </c>
      <c r="T136" s="9">
        <v>751.90599999999995</v>
      </c>
      <c r="U136" s="9">
        <v>883.82399999999996</v>
      </c>
      <c r="V136" s="9">
        <v>894.61699999999996</v>
      </c>
      <c r="W136" s="133">
        <f>Africa!G50</f>
        <v>894.61699999999996</v>
      </c>
      <c r="X136" s="9">
        <v>923.55499999999995</v>
      </c>
      <c r="Y136" s="9">
        <v>918.83</v>
      </c>
      <c r="Z136" s="9">
        <v>991.77599999999995</v>
      </c>
      <c r="AA136" s="9">
        <v>1118.5050000000001</v>
      </c>
      <c r="AB136" s="133">
        <f>Africa!H50</f>
        <v>1118.5050000000001</v>
      </c>
      <c r="AC136" s="9">
        <v>1332</v>
      </c>
      <c r="AD136" s="9">
        <v>1678.8989999999999</v>
      </c>
      <c r="AE136" s="9">
        <v>1821.713</v>
      </c>
      <c r="AF136" s="9">
        <v>1852</v>
      </c>
      <c r="AG136" s="133">
        <f>Africa!I50</f>
        <v>1852</v>
      </c>
      <c r="AH136" s="9">
        <v>1969</v>
      </c>
      <c r="AI136" s="9">
        <v>2112.6</v>
      </c>
      <c r="AJ136" s="9">
        <v>1895.912</v>
      </c>
      <c r="AK136" s="9">
        <v>2090</v>
      </c>
      <c r="AL136" s="133">
        <f>Africa!J50</f>
        <v>2090</v>
      </c>
      <c r="AM136" s="9">
        <v>2375.5</v>
      </c>
      <c r="AN136" s="9">
        <v>2450.54</v>
      </c>
      <c r="AO136" s="9">
        <v>2424.1709999999998</v>
      </c>
      <c r="AP136" s="9">
        <v>2356.0639999999999</v>
      </c>
      <c r="AQ136" s="133">
        <f>Africa!K50</f>
        <v>2356.0639999999999</v>
      </c>
      <c r="AR136" s="9">
        <v>2526.4319999999998</v>
      </c>
      <c r="AS136" s="9">
        <v>2627.6509999999998</v>
      </c>
      <c r="AT136" s="9">
        <v>2540</v>
      </c>
      <c r="AU136" s="9">
        <v>2378</v>
      </c>
      <c r="AV136" s="133">
        <f>Africa!L50</f>
        <v>2378</v>
      </c>
      <c r="AW136" s="9">
        <v>2484</v>
      </c>
      <c r="AX136" s="9">
        <v>2641</v>
      </c>
      <c r="AY136" s="9">
        <v>2647</v>
      </c>
      <c r="AZ136" s="9">
        <v>2641</v>
      </c>
      <c r="BA136" s="133">
        <f>Africa!M50</f>
        <v>2641</v>
      </c>
      <c r="BB136" s="9">
        <f>BC136-17</f>
        <v>2664</v>
      </c>
      <c r="BC136" s="9">
        <v>2681</v>
      </c>
      <c r="BD136" s="9">
        <v>2638</v>
      </c>
      <c r="BE136" s="9">
        <v>2700</v>
      </c>
      <c r="BF136" s="133">
        <f>Africa!N50</f>
        <v>2700</v>
      </c>
      <c r="BG136" s="9">
        <v>3347</v>
      </c>
      <c r="BH136" s="9">
        <v>3189</v>
      </c>
      <c r="BI136" s="9">
        <v>3079</v>
      </c>
      <c r="BJ136" s="9"/>
      <c r="BK136" s="133">
        <f>Africa!O50</f>
        <v>3017</v>
      </c>
      <c r="BL136" s="9"/>
      <c r="BM136" s="9"/>
      <c r="BN136" s="9"/>
      <c r="BO136" s="9"/>
      <c r="BP136" s="133">
        <f>Africa!P50</f>
        <v>3038.9470000000001</v>
      </c>
      <c r="BQ136" s="133"/>
      <c r="BR136" s="133"/>
      <c r="BS136" s="133"/>
      <c r="BT136" s="133"/>
      <c r="BU136" s="9"/>
      <c r="BV136" s="9">
        <f t="shared" si="58"/>
        <v>14.778999999999996</v>
      </c>
      <c r="BW136" s="9">
        <f t="shared" si="58"/>
        <v>57.212999999999965</v>
      </c>
      <c r="BX136" s="9">
        <f t="shared" si="58"/>
        <v>131.91800000000001</v>
      </c>
      <c r="BY136" s="121">
        <f t="shared" si="58"/>
        <v>10.793000000000006</v>
      </c>
      <c r="BZ136" s="9">
        <f t="shared" si="59"/>
        <v>28.937999999999988</v>
      </c>
      <c r="CA136" s="9">
        <f t="shared" si="59"/>
        <v>-4.7249999999999091</v>
      </c>
      <c r="CB136" s="9">
        <f t="shared" si="59"/>
        <v>72.945999999999913</v>
      </c>
      <c r="CC136" s="121">
        <f t="shared" si="59"/>
        <v>126.72900000000016</v>
      </c>
      <c r="CD136" s="9">
        <f t="shared" si="60"/>
        <v>213.49499999999989</v>
      </c>
      <c r="CE136" s="9">
        <f t="shared" si="61"/>
        <v>346.89899999999989</v>
      </c>
      <c r="CF136" s="9">
        <f t="shared" si="61"/>
        <v>142.81400000000008</v>
      </c>
      <c r="CG136" s="121">
        <f t="shared" si="61"/>
        <v>30.287000000000035</v>
      </c>
      <c r="CH136" s="9">
        <f t="shared" si="62"/>
        <v>117</v>
      </c>
      <c r="CI136" s="9">
        <f t="shared" si="62"/>
        <v>143.59999999999991</v>
      </c>
      <c r="CJ136" s="9">
        <f t="shared" si="62"/>
        <v>-216.68799999999987</v>
      </c>
      <c r="CK136" s="121">
        <f t="shared" si="62"/>
        <v>194.08799999999997</v>
      </c>
      <c r="CL136" s="9">
        <f t="shared" si="63"/>
        <v>285.5</v>
      </c>
      <c r="CM136" s="9">
        <f t="shared" si="63"/>
        <v>75.039999999999964</v>
      </c>
      <c r="CN136" s="9">
        <f t="shared" si="63"/>
        <v>-26.369000000000142</v>
      </c>
      <c r="CO136" s="9">
        <f t="shared" si="63"/>
        <v>-68.106999999999971</v>
      </c>
      <c r="CP136" s="9">
        <f t="shared" si="64"/>
        <v>170.36799999999994</v>
      </c>
      <c r="CQ136" s="9">
        <f t="shared" si="64"/>
        <v>101.21900000000005</v>
      </c>
      <c r="CR136" s="9">
        <f t="shared" si="64"/>
        <v>-87.65099999999984</v>
      </c>
      <c r="CS136" s="9">
        <f t="shared" si="64"/>
        <v>-162</v>
      </c>
      <c r="CT136" s="9">
        <f t="shared" si="65"/>
        <v>106</v>
      </c>
      <c r="CU136" s="9">
        <f t="shared" si="65"/>
        <v>157</v>
      </c>
      <c r="CV136" s="9">
        <f t="shared" si="65"/>
        <v>6</v>
      </c>
      <c r="CW136" s="9" t="str">
        <f t="shared" si="66"/>
        <v>Senegal</v>
      </c>
      <c r="CX136" s="88">
        <f t="shared" si="67"/>
        <v>23</v>
      </c>
      <c r="CY136" s="88">
        <f t="shared" si="67"/>
        <v>17</v>
      </c>
      <c r="CZ136" s="88">
        <f t="shared" si="67"/>
        <v>-43</v>
      </c>
      <c r="DA136" s="88">
        <f t="shared" si="67"/>
        <v>62</v>
      </c>
      <c r="DB136" s="88">
        <f>BG136-BF136</f>
        <v>647</v>
      </c>
      <c r="DC136" s="88">
        <f>BH136-BG136</f>
        <v>-158</v>
      </c>
      <c r="DD136" s="88">
        <f>BI136-BH136</f>
        <v>-110</v>
      </c>
    </row>
    <row r="137" spans="1:116" hidden="1" outlineLevel="1">
      <c r="A137" s="5">
        <v>0.7</v>
      </c>
      <c r="B137" s="5">
        <v>1</v>
      </c>
      <c r="C137" s="22" t="s">
        <v>803</v>
      </c>
      <c r="D137" t="s">
        <v>577</v>
      </c>
      <c r="F137" s="9">
        <v>13.411</v>
      </c>
      <c r="H137" s="9">
        <v>18.805</v>
      </c>
      <c r="I137" s="9">
        <v>19.074000000000002</v>
      </c>
      <c r="J137" s="9">
        <v>31.699000000000002</v>
      </c>
      <c r="K137" s="9">
        <v>31.5</v>
      </c>
      <c r="L137" s="9">
        <v>31.2</v>
      </c>
      <c r="M137" s="9">
        <v>32.799999999999997</v>
      </c>
      <c r="N137" s="9">
        <v>33.408999999999999</v>
      </c>
      <c r="O137" s="9">
        <v>34.75</v>
      </c>
      <c r="P137" s="9">
        <v>30.542999999999999</v>
      </c>
      <c r="Q137" s="9">
        <v>28.71</v>
      </c>
      <c r="R137" s="9">
        <v>29.606000000000002</v>
      </c>
      <c r="S137" s="9">
        <v>27.651</v>
      </c>
      <c r="T137" s="9">
        <v>28.771000000000001</v>
      </c>
      <c r="U137" s="9">
        <v>28.960999999999999</v>
      </c>
      <c r="V137" s="9">
        <v>42.055</v>
      </c>
      <c r="W137" s="133">
        <v>0</v>
      </c>
      <c r="X137" s="9">
        <v>62.343000000000004</v>
      </c>
      <c r="Y137" s="9">
        <v>76.566999999999993</v>
      </c>
      <c r="Z137" s="9">
        <v>101.5</v>
      </c>
      <c r="AA137" s="9">
        <v>104.029</v>
      </c>
      <c r="AB137" s="133">
        <v>0</v>
      </c>
      <c r="AC137" s="9">
        <v>109</v>
      </c>
      <c r="AD137" s="9">
        <v>103.67100000000001</v>
      </c>
      <c r="AE137" s="9">
        <v>131.05799999999999</v>
      </c>
      <c r="AF137" s="9"/>
      <c r="AG137" s="133">
        <v>0</v>
      </c>
      <c r="AH137" s="9">
        <v>0</v>
      </c>
      <c r="AI137" s="9">
        <v>0</v>
      </c>
      <c r="AJ137" s="9"/>
      <c r="AK137" s="9"/>
      <c r="AL137" s="133">
        <v>0</v>
      </c>
      <c r="AM137" s="9"/>
      <c r="AN137" s="9"/>
      <c r="AO137" s="9"/>
      <c r="AP137" s="9"/>
      <c r="AQ137" s="133">
        <v>0</v>
      </c>
      <c r="AR137" s="9"/>
      <c r="AS137" s="9"/>
      <c r="AT137" s="9"/>
      <c r="AU137" s="9"/>
      <c r="AV137" s="133">
        <v>0</v>
      </c>
      <c r="AW137" s="9"/>
      <c r="AX137" s="9"/>
      <c r="AY137" s="9"/>
      <c r="AZ137" s="9"/>
      <c r="BA137" s="133">
        <v>0</v>
      </c>
      <c r="BB137" s="9"/>
      <c r="BC137" s="9"/>
      <c r="BD137" s="9"/>
      <c r="BE137" s="9"/>
      <c r="BF137" s="133">
        <v>0</v>
      </c>
      <c r="BG137" s="9"/>
      <c r="BH137" s="9"/>
      <c r="BI137" s="9"/>
      <c r="BJ137" s="9"/>
      <c r="BK137" s="133">
        <v>0</v>
      </c>
      <c r="BL137" s="9"/>
      <c r="BM137" s="9"/>
      <c r="BN137" s="9"/>
      <c r="BO137" s="9"/>
      <c r="BP137" s="133">
        <v>0</v>
      </c>
      <c r="BQ137" s="133"/>
      <c r="BR137" s="133"/>
      <c r="BS137" s="133"/>
      <c r="BT137" s="133"/>
      <c r="BU137" s="9"/>
      <c r="BV137" s="9">
        <f t="shared" si="58"/>
        <v>-1.9550000000000018</v>
      </c>
      <c r="BW137" s="9">
        <f t="shared" si="58"/>
        <v>1.120000000000001</v>
      </c>
      <c r="BX137" s="9">
        <f t="shared" si="58"/>
        <v>0.18999999999999773</v>
      </c>
      <c r="BY137" s="121">
        <f t="shared" si="58"/>
        <v>13.094000000000001</v>
      </c>
      <c r="BZ137" s="9">
        <f t="shared" si="59"/>
        <v>62.343000000000004</v>
      </c>
      <c r="CA137" s="9">
        <f t="shared" si="59"/>
        <v>14.22399999999999</v>
      </c>
      <c r="CB137" s="9">
        <f t="shared" si="59"/>
        <v>24.933000000000007</v>
      </c>
      <c r="CC137" s="121">
        <f t="shared" si="59"/>
        <v>2.5289999999999964</v>
      </c>
      <c r="CD137" s="9">
        <f t="shared" si="60"/>
        <v>4.9710000000000036</v>
      </c>
      <c r="CE137" s="9">
        <f t="shared" si="61"/>
        <v>-5.3289999999999935</v>
      </c>
      <c r="CF137" s="9">
        <f t="shared" si="61"/>
        <v>27.386999999999986</v>
      </c>
      <c r="CG137" s="121">
        <f t="shared" si="61"/>
        <v>-131.05799999999999</v>
      </c>
      <c r="CH137" s="9">
        <f t="shared" si="62"/>
        <v>0</v>
      </c>
      <c r="CI137" s="9">
        <f t="shared" si="62"/>
        <v>0</v>
      </c>
      <c r="CJ137" s="9">
        <f t="shared" si="62"/>
        <v>0</v>
      </c>
      <c r="CK137" s="121">
        <f t="shared" si="62"/>
        <v>0</v>
      </c>
      <c r="CL137" s="9"/>
      <c r="CM137" s="9"/>
      <c r="CN137" s="9"/>
      <c r="CO137" s="9"/>
      <c r="CP137" s="9"/>
      <c r="CQ137" s="9"/>
      <c r="CR137" s="9"/>
      <c r="CS137" s="9"/>
      <c r="CT137" s="9"/>
      <c r="CU137" s="9"/>
      <c r="CV137" s="9"/>
      <c r="CW137" s="9" t="str">
        <f t="shared" si="66"/>
        <v>Sierra Leone</v>
      </c>
      <c r="CX137" s="88"/>
      <c r="CY137" s="88"/>
      <c r="CZ137" s="88"/>
      <c r="DA137" s="88"/>
      <c r="DB137" s="88"/>
      <c r="DC137" s="88"/>
      <c r="DD137" s="88"/>
    </row>
    <row r="138" spans="1:116" collapsed="1">
      <c r="A138" s="5">
        <v>0.84399999999999997</v>
      </c>
      <c r="B138" s="5">
        <v>1</v>
      </c>
      <c r="C138" s="22" t="s">
        <v>1558</v>
      </c>
      <c r="D138" t="s">
        <v>578</v>
      </c>
      <c r="F138" s="9">
        <v>145.83799999999999</v>
      </c>
      <c r="H138" s="9">
        <v>143.43899999999999</v>
      </c>
      <c r="I138" s="9">
        <v>153.36199999999999</v>
      </c>
      <c r="J138" s="9">
        <v>168.863</v>
      </c>
      <c r="K138" s="9">
        <v>192</v>
      </c>
      <c r="L138" s="9">
        <v>225.2</v>
      </c>
      <c r="M138" s="9">
        <v>275</v>
      </c>
      <c r="N138" s="9">
        <v>302.71199999999999</v>
      </c>
      <c r="O138" s="9">
        <v>327.65600000000001</v>
      </c>
      <c r="P138" s="9">
        <v>355.49900000000002</v>
      </c>
      <c r="Q138" s="9">
        <v>406.82600000000002</v>
      </c>
      <c r="R138" s="9">
        <v>475.37900000000002</v>
      </c>
      <c r="S138" s="9">
        <v>509.846</v>
      </c>
      <c r="T138" s="9">
        <v>752.33900000000006</v>
      </c>
      <c r="U138" s="9">
        <v>881.71400000000006</v>
      </c>
      <c r="V138" s="9">
        <v>760.87400000000002</v>
      </c>
      <c r="W138" s="133">
        <f>Africa!G51</f>
        <v>760.87400000000002</v>
      </c>
      <c r="X138" s="9">
        <v>801.45600000000002</v>
      </c>
      <c r="Y138" s="9">
        <v>856.447</v>
      </c>
      <c r="Z138" s="9">
        <v>992.12599999999998</v>
      </c>
      <c r="AA138" s="9">
        <v>1191.6780000000001</v>
      </c>
      <c r="AB138" s="133">
        <f>Africa!H51</f>
        <v>1191.6780000000001</v>
      </c>
      <c r="AC138" s="9">
        <v>1453</v>
      </c>
      <c r="AD138" s="9">
        <v>1701.431</v>
      </c>
      <c r="AE138" s="9">
        <v>2084.8780000000002</v>
      </c>
      <c r="AF138" s="9">
        <v>2297</v>
      </c>
      <c r="AG138" s="133">
        <f>Africa!I51</f>
        <v>2297</v>
      </c>
      <c r="AH138" s="9">
        <v>2669</v>
      </c>
      <c r="AI138" s="9">
        <v>3082.3</v>
      </c>
      <c r="AJ138" s="9">
        <v>3492.6010000000001</v>
      </c>
      <c r="AK138" s="9">
        <v>3978</v>
      </c>
      <c r="AL138" s="133">
        <f>Africa!J51</f>
        <v>3978</v>
      </c>
      <c r="AM138" s="9">
        <v>4075.7</v>
      </c>
      <c r="AN138" s="9">
        <v>4393.5680000000002</v>
      </c>
      <c r="AO138" s="9">
        <v>4575.5339999999997</v>
      </c>
      <c r="AP138" s="9">
        <v>4477.51</v>
      </c>
      <c r="AQ138" s="133">
        <f>Africa!K51</f>
        <v>4477.51</v>
      </c>
      <c r="AR138" s="9">
        <v>4671.2629999999999</v>
      </c>
      <c r="AS138" s="9">
        <v>4941.1869999999999</v>
      </c>
      <c r="AT138" s="9">
        <v>5263</v>
      </c>
      <c r="AU138" s="9">
        <v>5451</v>
      </c>
      <c r="AV138" s="133">
        <f>Africa!L51</f>
        <v>5451</v>
      </c>
      <c r="AW138" s="9">
        <v>5498</v>
      </c>
      <c r="AX138" s="9">
        <v>5613</v>
      </c>
      <c r="AY138" s="9">
        <v>5912</v>
      </c>
      <c r="AZ138" s="9">
        <v>6043</v>
      </c>
      <c r="BA138" s="133">
        <f>Africa!M51</f>
        <v>6043</v>
      </c>
      <c r="BB138" s="9">
        <f>BC138+102</f>
        <v>6067</v>
      </c>
      <c r="BC138" s="9">
        <v>5965</v>
      </c>
      <c r="BD138" s="9">
        <v>5888</v>
      </c>
      <c r="BE138" s="9">
        <v>6002</v>
      </c>
      <c r="BF138" s="133">
        <f>Africa!N51</f>
        <v>6001</v>
      </c>
      <c r="BG138" s="9">
        <v>6277</v>
      </c>
      <c r="BH138" s="9">
        <v>6570</v>
      </c>
      <c r="BI138" s="9">
        <v>7235</v>
      </c>
      <c r="BJ138" s="9"/>
      <c r="BK138" s="133">
        <f>Africa!O51</f>
        <v>8193</v>
      </c>
      <c r="BL138" s="9"/>
      <c r="BM138" s="9"/>
      <c r="BN138" s="9"/>
      <c r="BO138" s="9"/>
      <c r="BP138" s="133">
        <f>Africa!P51</f>
        <v>11801.418</v>
      </c>
      <c r="BQ138" s="133"/>
      <c r="BR138" s="133"/>
      <c r="BS138" s="133"/>
      <c r="BT138" s="133"/>
      <c r="BU138" s="9"/>
      <c r="BV138" s="9">
        <f t="shared" si="58"/>
        <v>34.466999999999985</v>
      </c>
      <c r="BW138" s="9">
        <f t="shared" si="58"/>
        <v>242.49300000000005</v>
      </c>
      <c r="BX138" s="9">
        <f t="shared" si="58"/>
        <v>129.375</v>
      </c>
      <c r="BY138" s="121">
        <f t="shared" si="58"/>
        <v>-120.84000000000003</v>
      </c>
      <c r="BZ138" s="9">
        <f t="shared" si="59"/>
        <v>40.581999999999994</v>
      </c>
      <c r="CA138" s="9">
        <f t="shared" si="59"/>
        <v>54.990999999999985</v>
      </c>
      <c r="CB138" s="9">
        <f t="shared" si="59"/>
        <v>135.67899999999997</v>
      </c>
      <c r="CC138" s="121">
        <f t="shared" si="59"/>
        <v>199.55200000000013</v>
      </c>
      <c r="CD138" s="9">
        <f t="shared" si="60"/>
        <v>261.32199999999989</v>
      </c>
      <c r="CE138" s="9">
        <f t="shared" si="61"/>
        <v>248.43100000000004</v>
      </c>
      <c r="CF138" s="9">
        <f t="shared" si="61"/>
        <v>383.44700000000012</v>
      </c>
      <c r="CG138" s="121">
        <f t="shared" si="61"/>
        <v>212.12199999999984</v>
      </c>
      <c r="CH138" s="9">
        <f t="shared" si="62"/>
        <v>372</v>
      </c>
      <c r="CI138" s="9">
        <f t="shared" si="62"/>
        <v>413.30000000000018</v>
      </c>
      <c r="CJ138" s="9">
        <f t="shared" si="62"/>
        <v>410.30099999999993</v>
      </c>
      <c r="CK138" s="121">
        <f t="shared" si="62"/>
        <v>485.39899999999989</v>
      </c>
      <c r="CL138" s="9">
        <f t="shared" ref="CL138:CO143" si="68">AM138-AL138</f>
        <v>97.699999999999818</v>
      </c>
      <c r="CM138" s="9">
        <f t="shared" si="68"/>
        <v>317.86800000000039</v>
      </c>
      <c r="CN138" s="9">
        <f t="shared" si="68"/>
        <v>181.96599999999944</v>
      </c>
      <c r="CO138" s="9">
        <f t="shared" si="68"/>
        <v>-98.023999999999432</v>
      </c>
      <c r="CP138" s="9">
        <f t="shared" ref="CP138:CS143" si="69">AR138-AQ138</f>
        <v>193.7529999999997</v>
      </c>
      <c r="CQ138" s="9">
        <f t="shared" si="69"/>
        <v>269.92399999999998</v>
      </c>
      <c r="CR138" s="9">
        <f t="shared" si="69"/>
        <v>321.8130000000001</v>
      </c>
      <c r="CS138" s="9">
        <f t="shared" si="69"/>
        <v>188</v>
      </c>
      <c r="CT138" s="9">
        <f t="shared" ref="CT138:CV143" si="70">AW138-AV138</f>
        <v>47</v>
      </c>
      <c r="CU138" s="9">
        <f t="shared" si="70"/>
        <v>115</v>
      </c>
      <c r="CV138" s="9">
        <f t="shared" si="70"/>
        <v>299</v>
      </c>
      <c r="CW138" s="9" t="str">
        <f t="shared" si="66"/>
        <v>Tanzania</v>
      </c>
      <c r="CX138" s="88">
        <f t="shared" ref="CX138:DA143" si="71">BB138-BA138</f>
        <v>24</v>
      </c>
      <c r="CY138" s="88">
        <f t="shared" si="71"/>
        <v>-102</v>
      </c>
      <c r="CZ138" s="88">
        <f t="shared" si="71"/>
        <v>-77</v>
      </c>
      <c r="DA138" s="88">
        <f t="shared" si="71"/>
        <v>114</v>
      </c>
      <c r="DB138" s="88">
        <f t="shared" ref="DB138:DD143" si="72">BG138-BF138</f>
        <v>276</v>
      </c>
      <c r="DC138" s="88">
        <f t="shared" si="72"/>
        <v>293</v>
      </c>
      <c r="DD138" s="88">
        <f t="shared" si="72"/>
        <v>665</v>
      </c>
    </row>
    <row r="139" spans="1:116">
      <c r="A139" s="5">
        <v>0.875</v>
      </c>
      <c r="B139" s="5">
        <v>1</v>
      </c>
      <c r="C139" s="22" t="s">
        <v>1557</v>
      </c>
      <c r="D139" s="21" t="s">
        <v>579</v>
      </c>
      <c r="E139" s="21"/>
      <c r="F139" s="21"/>
      <c r="G139" s="21"/>
      <c r="H139" s="21"/>
      <c r="I139" s="21"/>
      <c r="J139" s="21"/>
      <c r="K139" s="9"/>
      <c r="L139" s="9"/>
      <c r="M139" s="9"/>
      <c r="N139" s="21"/>
      <c r="O139" s="21"/>
      <c r="P139" s="21"/>
      <c r="Q139" s="21"/>
      <c r="R139" s="9">
        <v>91.159000000000006</v>
      </c>
      <c r="S139" s="9">
        <v>141.66999999999999</v>
      </c>
      <c r="T139" s="9">
        <v>134.28200000000001</v>
      </c>
      <c r="U139" s="9">
        <v>156.203</v>
      </c>
      <c r="V139" s="9">
        <v>186.7</v>
      </c>
      <c r="W139" s="133">
        <f>Africa!G52</f>
        <v>186.7</v>
      </c>
      <c r="X139" s="9">
        <v>223.119</v>
      </c>
      <c r="Y139" s="9">
        <v>264.15199999999999</v>
      </c>
      <c r="Z139" s="9">
        <v>283.10700000000003</v>
      </c>
      <c r="AA139" s="9">
        <v>323.35599999999999</v>
      </c>
      <c r="AB139" s="133">
        <f>Africa!H52</f>
        <v>323.35599999999999</v>
      </c>
      <c r="AC139" s="9">
        <v>362</v>
      </c>
      <c r="AD139" s="9">
        <v>414.57600000000002</v>
      </c>
      <c r="AE139" s="9">
        <v>442.31299999999999</v>
      </c>
      <c r="AF139" s="9">
        <v>541</v>
      </c>
      <c r="AG139" s="133">
        <f>Africa!I52</f>
        <v>541</v>
      </c>
      <c r="AH139" s="9">
        <v>691</v>
      </c>
      <c r="AI139" s="9">
        <v>801.4</v>
      </c>
      <c r="AJ139" s="9">
        <v>857.59299999999996</v>
      </c>
      <c r="AK139" s="9">
        <v>1017</v>
      </c>
      <c r="AL139" s="133">
        <f>Africa!J52</f>
        <v>1017</v>
      </c>
      <c r="AM139" s="9">
        <v>1128.5999999999999</v>
      </c>
      <c r="AN139" s="9">
        <v>1223.3330000000001</v>
      </c>
      <c r="AO139" s="9">
        <v>1257.2439999999999</v>
      </c>
      <c r="AP139" s="9">
        <v>1429.35</v>
      </c>
      <c r="AQ139" s="133">
        <f>Africa!K52</f>
        <v>1429.35</v>
      </c>
      <c r="AR139" s="9">
        <v>1544.55</v>
      </c>
      <c r="AS139" s="9">
        <v>1676.912</v>
      </c>
      <c r="AT139" s="9">
        <v>1692</v>
      </c>
      <c r="AU139" s="9">
        <v>1894</v>
      </c>
      <c r="AV139" s="133">
        <f>Africa!L52</f>
        <v>1894</v>
      </c>
      <c r="AW139" s="9">
        <v>1903</v>
      </c>
      <c r="AX139" s="9">
        <v>1896</v>
      </c>
      <c r="AY139" s="9">
        <v>1911</v>
      </c>
      <c r="AZ139" s="9">
        <v>2030</v>
      </c>
      <c r="BA139" s="133">
        <f>Africa!M52</f>
        <v>2030</v>
      </c>
      <c r="BB139" s="9">
        <f>BC139-3</f>
        <v>1955</v>
      </c>
      <c r="BC139" s="9">
        <v>1958</v>
      </c>
      <c r="BD139" s="9">
        <v>2038</v>
      </c>
      <c r="BE139" s="9">
        <v>2252</v>
      </c>
      <c r="BF139" s="133">
        <f>Africa!N52</f>
        <v>2252</v>
      </c>
      <c r="BG139" s="9">
        <v>2497</v>
      </c>
      <c r="BH139" s="9">
        <v>2656</v>
      </c>
      <c r="BI139" s="9">
        <v>2596</v>
      </c>
      <c r="BJ139" s="9"/>
      <c r="BK139" s="133">
        <f>Africa!O52</f>
        <v>2745</v>
      </c>
      <c r="BL139" s="9"/>
      <c r="BM139" s="9"/>
      <c r="BN139" s="9"/>
      <c r="BO139" s="9"/>
      <c r="BP139" s="133">
        <f>Africa!P52</f>
        <v>2980.7</v>
      </c>
      <c r="BQ139" s="133"/>
      <c r="BR139" s="133"/>
      <c r="BS139" s="133"/>
      <c r="BT139" s="133"/>
      <c r="BU139" s="9"/>
      <c r="BV139" s="9">
        <f t="shared" si="58"/>
        <v>50.510999999999981</v>
      </c>
      <c r="BW139" s="9">
        <f t="shared" si="58"/>
        <v>-7.3879999999999768</v>
      </c>
      <c r="BX139" s="9">
        <f t="shared" si="58"/>
        <v>21.920999999999992</v>
      </c>
      <c r="BY139" s="121">
        <f t="shared" si="58"/>
        <v>30.496999999999986</v>
      </c>
      <c r="BZ139" s="9">
        <f t="shared" si="59"/>
        <v>36.419000000000011</v>
      </c>
      <c r="CA139" s="9">
        <f t="shared" si="59"/>
        <v>41.032999999999987</v>
      </c>
      <c r="CB139" s="9">
        <f t="shared" si="59"/>
        <v>18.955000000000041</v>
      </c>
      <c r="CC139" s="121">
        <f t="shared" si="59"/>
        <v>40.248999999999967</v>
      </c>
      <c r="CD139" s="9">
        <f t="shared" si="60"/>
        <v>38.644000000000005</v>
      </c>
      <c r="CE139" s="9">
        <f t="shared" si="61"/>
        <v>52.576000000000022</v>
      </c>
      <c r="CF139" s="9">
        <f t="shared" si="61"/>
        <v>27.736999999999966</v>
      </c>
      <c r="CG139" s="121">
        <f t="shared" si="61"/>
        <v>98.687000000000012</v>
      </c>
      <c r="CH139" s="9">
        <f t="shared" si="62"/>
        <v>150</v>
      </c>
      <c r="CI139" s="9">
        <f t="shared" si="62"/>
        <v>110.39999999999998</v>
      </c>
      <c r="CJ139" s="9">
        <f t="shared" si="62"/>
        <v>56.192999999999984</v>
      </c>
      <c r="CK139" s="121">
        <f t="shared" si="62"/>
        <v>159.40700000000004</v>
      </c>
      <c r="CL139" s="9">
        <f t="shared" si="68"/>
        <v>111.59999999999991</v>
      </c>
      <c r="CM139" s="9">
        <f t="shared" si="68"/>
        <v>94.733000000000175</v>
      </c>
      <c r="CN139" s="9">
        <f t="shared" si="68"/>
        <v>33.910999999999831</v>
      </c>
      <c r="CO139" s="9">
        <f t="shared" si="68"/>
        <v>172.10599999999999</v>
      </c>
      <c r="CP139" s="9">
        <f t="shared" si="69"/>
        <v>115.20000000000005</v>
      </c>
      <c r="CQ139" s="9">
        <f t="shared" si="69"/>
        <v>132.36200000000008</v>
      </c>
      <c r="CR139" s="9">
        <f t="shared" si="69"/>
        <v>15.087999999999965</v>
      </c>
      <c r="CS139" s="9">
        <f t="shared" si="69"/>
        <v>202</v>
      </c>
      <c r="CT139" s="9">
        <f t="shared" si="70"/>
        <v>9</v>
      </c>
      <c r="CU139" s="9">
        <f t="shared" si="70"/>
        <v>-7</v>
      </c>
      <c r="CV139" s="9">
        <f t="shared" si="70"/>
        <v>15</v>
      </c>
      <c r="CW139" s="9" t="str">
        <f t="shared" si="66"/>
        <v>Chad</v>
      </c>
      <c r="CX139" s="88">
        <f t="shared" si="71"/>
        <v>-75</v>
      </c>
      <c r="CY139" s="88">
        <f t="shared" si="71"/>
        <v>3</v>
      </c>
      <c r="CZ139" s="88">
        <f t="shared" si="71"/>
        <v>80</v>
      </c>
      <c r="DA139" s="88">
        <f t="shared" si="71"/>
        <v>214</v>
      </c>
      <c r="DB139" s="88">
        <f t="shared" si="72"/>
        <v>245</v>
      </c>
      <c r="DC139" s="88">
        <f t="shared" si="72"/>
        <v>159</v>
      </c>
      <c r="DD139" s="88">
        <f t="shared" si="72"/>
        <v>-60</v>
      </c>
    </row>
    <row r="140" spans="1:116">
      <c r="A140" s="6"/>
      <c r="B140" s="135">
        <v>1</v>
      </c>
      <c r="C140" s="22" t="s">
        <v>802</v>
      </c>
      <c r="D140" s="21" t="s">
        <v>827</v>
      </c>
      <c r="E140" s="21"/>
      <c r="F140" s="21"/>
      <c r="G140" s="21"/>
      <c r="H140" s="21"/>
      <c r="I140" s="21"/>
      <c r="J140" s="21"/>
      <c r="K140" s="9"/>
      <c r="L140" s="9"/>
      <c r="M140" s="9"/>
      <c r="N140" s="21"/>
      <c r="O140" s="21"/>
      <c r="P140" s="21"/>
      <c r="Q140" s="21"/>
      <c r="R140" s="9">
        <v>60.637999999999998</v>
      </c>
      <c r="S140" s="9">
        <v>56.963000000000001</v>
      </c>
      <c r="T140" s="9">
        <v>47.701999999999998</v>
      </c>
      <c r="U140" s="9">
        <v>41.061</v>
      </c>
      <c r="V140" s="9">
        <v>50.337000000000003</v>
      </c>
      <c r="W140" s="133">
        <f>Africa!G53</f>
        <v>50.337000000000003</v>
      </c>
      <c r="X140" s="9">
        <v>193.61799999999999</v>
      </c>
      <c r="Y140" s="9">
        <v>230.12200000000001</v>
      </c>
      <c r="Z140" s="9">
        <v>395.52699999999999</v>
      </c>
      <c r="AA140" s="9">
        <v>546.5</v>
      </c>
      <c r="AB140" s="133">
        <f>Africa!H53</f>
        <v>546.5</v>
      </c>
      <c r="AC140" s="9">
        <v>519</v>
      </c>
      <c r="AD140" s="9">
        <v>717.78399999999999</v>
      </c>
      <c r="AE140" s="9">
        <v>951.48699999999997</v>
      </c>
      <c r="AF140" s="9">
        <v>1048</v>
      </c>
      <c r="AG140" s="133">
        <f>Africa!I53</f>
        <v>1048</v>
      </c>
      <c r="AH140" s="9">
        <v>1193</v>
      </c>
      <c r="AI140" s="9">
        <v>1267.9000000000001</v>
      </c>
      <c r="AJ140" s="9">
        <v>1449.1579999999999</v>
      </c>
      <c r="AK140" s="9">
        <v>1511</v>
      </c>
      <c r="AL140" s="133">
        <f>Africa!J53</f>
        <v>1511</v>
      </c>
      <c r="AM140" s="9">
        <v>1604.6</v>
      </c>
      <c r="AN140" s="9">
        <v>1821.8409999999999</v>
      </c>
      <c r="AO140" s="9">
        <v>2012.64</v>
      </c>
      <c r="AP140" s="9">
        <v>2156.1509999999998</v>
      </c>
      <c r="AQ140" s="133">
        <f>Africa!K53</f>
        <v>2156.1509999999998</v>
      </c>
      <c r="AR140" s="9">
        <v>2149.9470000000001</v>
      </c>
      <c r="AS140" s="9">
        <v>2319.355</v>
      </c>
      <c r="AT140" s="9">
        <v>2474</v>
      </c>
      <c r="AU140" s="9">
        <v>2382</v>
      </c>
      <c r="AV140" s="133">
        <f>Africa!L53</f>
        <v>2382</v>
      </c>
      <c r="AW140" s="9">
        <v>2307</v>
      </c>
      <c r="AX140" s="9">
        <v>2554</v>
      </c>
      <c r="AY140" s="9">
        <v>2828</v>
      </c>
      <c r="AZ140" s="9">
        <v>3001</v>
      </c>
      <c r="BA140" s="133">
        <f>Africa!M53</f>
        <v>3001</v>
      </c>
      <c r="BB140" s="9">
        <f>BC140-28</f>
        <v>2936</v>
      </c>
      <c r="BC140" s="9">
        <v>2964</v>
      </c>
      <c r="BD140" s="9">
        <v>3633</v>
      </c>
      <c r="BE140" s="9">
        <v>3854</v>
      </c>
      <c r="BF140" s="133">
        <f>Africa!N53</f>
        <v>3854</v>
      </c>
      <c r="BG140" s="9">
        <v>4011</v>
      </c>
      <c r="BH140" s="9">
        <v>4172</v>
      </c>
      <c r="BI140" s="9">
        <v>4834</v>
      </c>
      <c r="BJ140" s="9"/>
      <c r="BK140" s="133">
        <f>Africa!O53</f>
        <v>5067</v>
      </c>
      <c r="BL140" s="9"/>
      <c r="BM140" s="9"/>
      <c r="BN140" s="9"/>
      <c r="BO140" s="9"/>
      <c r="BP140" s="133">
        <f>Africa!P53</f>
        <v>5320.835</v>
      </c>
      <c r="BQ140" s="133"/>
      <c r="BR140" s="133"/>
      <c r="BS140" s="133"/>
      <c r="BT140" s="133"/>
      <c r="BU140" s="9"/>
      <c r="BV140" s="9">
        <f t="shared" si="58"/>
        <v>-3.6749999999999972</v>
      </c>
      <c r="BW140" s="9">
        <f t="shared" si="58"/>
        <v>-9.2610000000000028</v>
      </c>
      <c r="BX140" s="9">
        <f t="shared" si="58"/>
        <v>-6.6409999999999982</v>
      </c>
      <c r="BY140" s="9">
        <f t="shared" si="58"/>
        <v>9.2760000000000034</v>
      </c>
      <c r="BZ140" s="9">
        <f t="shared" si="59"/>
        <v>143.28100000000001</v>
      </c>
      <c r="CA140" s="9">
        <f t="shared" si="59"/>
        <v>36.504000000000019</v>
      </c>
      <c r="CB140" s="9">
        <f t="shared" si="59"/>
        <v>165.40499999999997</v>
      </c>
      <c r="CC140" s="121">
        <f t="shared" si="59"/>
        <v>150.97300000000001</v>
      </c>
      <c r="CD140" s="9">
        <f t="shared" si="60"/>
        <v>-27.5</v>
      </c>
      <c r="CE140" s="9">
        <f t="shared" si="61"/>
        <v>198.78399999999999</v>
      </c>
      <c r="CF140" s="9">
        <f t="shared" si="61"/>
        <v>233.70299999999997</v>
      </c>
      <c r="CG140" s="121">
        <f t="shared" si="61"/>
        <v>96.513000000000034</v>
      </c>
      <c r="CH140" s="9">
        <f t="shared" si="62"/>
        <v>145</v>
      </c>
      <c r="CI140" s="9">
        <f t="shared" si="62"/>
        <v>74.900000000000091</v>
      </c>
      <c r="CJ140" s="9">
        <f t="shared" si="62"/>
        <v>181.25799999999981</v>
      </c>
      <c r="CK140" s="121">
        <f t="shared" si="62"/>
        <v>61.842000000000098</v>
      </c>
      <c r="CL140" s="9">
        <f t="shared" si="68"/>
        <v>93.599999999999909</v>
      </c>
      <c r="CM140" s="9">
        <f t="shared" si="68"/>
        <v>217.24099999999999</v>
      </c>
      <c r="CN140" s="9">
        <f t="shared" si="68"/>
        <v>190.79900000000021</v>
      </c>
      <c r="CO140" s="9">
        <f t="shared" si="68"/>
        <v>143.51099999999974</v>
      </c>
      <c r="CP140" s="9">
        <f t="shared" si="69"/>
        <v>-6.2039999999997235</v>
      </c>
      <c r="CQ140" s="9">
        <f t="shared" si="69"/>
        <v>169.4079999999999</v>
      </c>
      <c r="CR140" s="9">
        <f t="shared" si="69"/>
        <v>154.64499999999998</v>
      </c>
      <c r="CS140" s="9">
        <f t="shared" si="69"/>
        <v>-92</v>
      </c>
      <c r="CT140" s="9">
        <f t="shared" si="70"/>
        <v>-75</v>
      </c>
      <c r="CU140" s="9">
        <f t="shared" si="70"/>
        <v>247</v>
      </c>
      <c r="CV140" s="9">
        <f t="shared" si="70"/>
        <v>274</v>
      </c>
      <c r="CW140" s="9" t="str">
        <f t="shared" si="66"/>
        <v>DR Congo</v>
      </c>
      <c r="CX140" s="88">
        <f t="shared" si="71"/>
        <v>-65</v>
      </c>
      <c r="CY140" s="88">
        <f t="shared" si="71"/>
        <v>28</v>
      </c>
      <c r="CZ140" s="88">
        <f t="shared" si="71"/>
        <v>669</v>
      </c>
      <c r="DA140" s="88">
        <f t="shared" si="71"/>
        <v>221</v>
      </c>
      <c r="DB140" s="88">
        <f t="shared" si="72"/>
        <v>157</v>
      </c>
      <c r="DC140" s="88">
        <f t="shared" si="72"/>
        <v>161</v>
      </c>
      <c r="DD140" s="88">
        <f t="shared" si="72"/>
        <v>662</v>
      </c>
      <c r="DF140" t="str">
        <f t="shared" ref="DF140:DL140" si="73">CT115</f>
        <v>Q1 12</v>
      </c>
      <c r="DG140" t="str">
        <f t="shared" si="73"/>
        <v>Q2 12</v>
      </c>
      <c r="DH140" t="str">
        <f t="shared" si="73"/>
        <v>Q3 12</v>
      </c>
      <c r="DI140">
        <f t="shared" si="73"/>
        <v>0</v>
      </c>
      <c r="DJ140" t="str">
        <f t="shared" si="73"/>
        <v>Q1 13</v>
      </c>
      <c r="DK140" t="str">
        <f t="shared" si="73"/>
        <v>Q2 13</v>
      </c>
      <c r="DL140" t="str">
        <f t="shared" si="73"/>
        <v>Q3 13</v>
      </c>
    </row>
    <row r="141" spans="1:116">
      <c r="A141" s="6"/>
      <c r="B141" s="135">
        <v>0.875</v>
      </c>
      <c r="C141" s="22" t="s">
        <v>1224</v>
      </c>
      <c r="D141" s="11" t="s">
        <v>2227</v>
      </c>
      <c r="E141" s="11"/>
      <c r="F141" s="11"/>
      <c r="G141" s="11"/>
      <c r="H141" s="11"/>
      <c r="I141" s="11"/>
      <c r="J141" s="11"/>
      <c r="K141" s="13"/>
      <c r="L141" s="13"/>
      <c r="M141" s="13"/>
      <c r="N141" s="11"/>
      <c r="O141" s="11"/>
      <c r="P141" s="11"/>
      <c r="Q141" s="11"/>
      <c r="R141" s="13"/>
      <c r="S141" s="13"/>
      <c r="T141" s="13"/>
      <c r="U141" s="13"/>
      <c r="V141" s="13"/>
      <c r="W141" s="87"/>
      <c r="X141" s="13"/>
      <c r="Y141" s="13"/>
      <c r="Z141" s="13"/>
      <c r="AA141" s="13"/>
      <c r="AB141" s="87"/>
      <c r="AC141" s="13"/>
      <c r="AD141" s="13"/>
      <c r="AE141" s="13"/>
      <c r="AF141" s="13"/>
      <c r="AG141" s="87"/>
      <c r="AH141" s="13"/>
      <c r="AI141" s="13"/>
      <c r="AJ141" s="13"/>
      <c r="AK141" s="13"/>
      <c r="AL141" s="87">
        <f>Africa!J54</f>
        <v>0</v>
      </c>
      <c r="AM141" s="13">
        <v>114.5</v>
      </c>
      <c r="AN141" s="13">
        <v>373.92899999999997</v>
      </c>
      <c r="AO141" s="13">
        <v>548.00199999999995</v>
      </c>
      <c r="AP141" s="13">
        <v>549.53200000000004</v>
      </c>
      <c r="AQ141" s="87">
        <f>Africa!K54</f>
        <v>549.53200000000004</v>
      </c>
      <c r="AR141" s="13">
        <v>569.55600000000004</v>
      </c>
      <c r="AS141" s="13">
        <v>812.56899999999996</v>
      </c>
      <c r="AT141" s="13">
        <v>1089</v>
      </c>
      <c r="AU141" s="13">
        <v>1192</v>
      </c>
      <c r="AV141" s="87">
        <f>Africa!L54</f>
        <v>1192</v>
      </c>
      <c r="AW141" s="13">
        <v>1180</v>
      </c>
      <c r="AX141" s="13">
        <v>1220</v>
      </c>
      <c r="AY141" s="13">
        <v>1424</v>
      </c>
      <c r="AZ141" s="13">
        <v>1502</v>
      </c>
      <c r="BA141" s="87">
        <f>Africa!M54</f>
        <v>1502</v>
      </c>
      <c r="BB141" s="13">
        <f>BC141-141</f>
        <v>1471</v>
      </c>
      <c r="BC141" s="13">
        <v>1612</v>
      </c>
      <c r="BD141" s="13">
        <v>1794</v>
      </c>
      <c r="BE141" s="13">
        <v>1938</v>
      </c>
      <c r="BF141" s="87">
        <f>Africa!N54</f>
        <v>1938</v>
      </c>
      <c r="BG141" s="13">
        <v>2051</v>
      </c>
      <c r="BH141" s="13">
        <v>2212</v>
      </c>
      <c r="BI141" s="13">
        <v>2409</v>
      </c>
      <c r="BJ141" s="13"/>
      <c r="BK141" s="87">
        <f>Africa!O54</f>
        <v>2499</v>
      </c>
      <c r="BL141" s="13"/>
      <c r="BM141" s="13"/>
      <c r="BN141" s="13"/>
      <c r="BO141" s="13"/>
      <c r="BP141" s="87">
        <f>Africa!P54</f>
        <v>2774.826</v>
      </c>
      <c r="BQ141" s="87"/>
      <c r="BR141" s="87"/>
      <c r="BS141" s="87"/>
      <c r="BT141" s="87"/>
      <c r="BU141" s="13"/>
      <c r="BV141" s="13"/>
      <c r="BW141" s="13"/>
      <c r="BX141" s="13"/>
      <c r="BY141" s="215"/>
      <c r="BZ141" s="13"/>
      <c r="CA141" s="13"/>
      <c r="CB141" s="13"/>
      <c r="CC141" s="215"/>
      <c r="CD141" s="13"/>
      <c r="CE141" s="13"/>
      <c r="CF141" s="13"/>
      <c r="CG141" s="215"/>
      <c r="CH141" s="13"/>
      <c r="CI141" s="13"/>
      <c r="CJ141" s="13"/>
      <c r="CK141" s="215"/>
      <c r="CL141" s="13">
        <f t="shared" si="68"/>
        <v>114.5</v>
      </c>
      <c r="CM141" s="13">
        <f t="shared" si="68"/>
        <v>259.42899999999997</v>
      </c>
      <c r="CN141" s="13">
        <f t="shared" si="68"/>
        <v>174.07299999999998</v>
      </c>
      <c r="CO141" s="13">
        <f t="shared" si="68"/>
        <v>1.5300000000000864</v>
      </c>
      <c r="CP141" s="13">
        <f t="shared" si="69"/>
        <v>20.024000000000001</v>
      </c>
      <c r="CQ141" s="13">
        <f t="shared" si="69"/>
        <v>243.01299999999992</v>
      </c>
      <c r="CR141" s="13">
        <f t="shared" si="69"/>
        <v>276.43100000000004</v>
      </c>
      <c r="CS141" s="13">
        <f t="shared" si="69"/>
        <v>103</v>
      </c>
      <c r="CT141" s="13">
        <f t="shared" si="70"/>
        <v>-12</v>
      </c>
      <c r="CU141" s="13">
        <f t="shared" si="70"/>
        <v>40</v>
      </c>
      <c r="CV141" s="13">
        <f t="shared" si="70"/>
        <v>204</v>
      </c>
      <c r="CW141" s="13" t="str">
        <f t="shared" si="66"/>
        <v>Rwanda</v>
      </c>
      <c r="CX141" s="89">
        <f t="shared" si="71"/>
        <v>-31</v>
      </c>
      <c r="CY141" s="89">
        <f t="shared" si="71"/>
        <v>141</v>
      </c>
      <c r="CZ141" s="89">
        <f t="shared" si="71"/>
        <v>182</v>
      </c>
      <c r="DA141" s="89">
        <f t="shared" si="71"/>
        <v>144</v>
      </c>
      <c r="DB141" s="89">
        <f t="shared" si="72"/>
        <v>113</v>
      </c>
      <c r="DC141" s="89">
        <f t="shared" si="72"/>
        <v>161</v>
      </c>
      <c r="DD141" s="89">
        <f t="shared" si="72"/>
        <v>197</v>
      </c>
      <c r="DE141" s="478" t="s">
        <v>827</v>
      </c>
      <c r="DF141" s="454">
        <f t="shared" ref="DF141:DL141" si="74">CT140</f>
        <v>-75</v>
      </c>
      <c r="DG141" s="454">
        <f t="shared" si="74"/>
        <v>247</v>
      </c>
      <c r="DH141" s="454">
        <f t="shared" si="74"/>
        <v>274</v>
      </c>
      <c r="DI141" s="454" t="str">
        <f t="shared" si="74"/>
        <v>DR Congo</v>
      </c>
      <c r="DJ141" s="454">
        <f t="shared" si="74"/>
        <v>-65</v>
      </c>
      <c r="DK141" s="454">
        <f t="shared" si="74"/>
        <v>28</v>
      </c>
      <c r="DL141" s="454">
        <f t="shared" si="74"/>
        <v>669</v>
      </c>
    </row>
    <row r="142" spans="1:116">
      <c r="A142" s="6" t="s">
        <v>1823</v>
      </c>
      <c r="B142" s="6"/>
      <c r="D142" s="2" t="s">
        <v>1831</v>
      </c>
      <c r="F142" s="10">
        <f>SUM(F134:F140)</f>
        <v>309.113</v>
      </c>
      <c r="G142" s="2"/>
      <c r="H142" s="10">
        <f>SUM(H134:H140)</f>
        <v>445.54200000000003</v>
      </c>
      <c r="I142" s="10">
        <f>SUM(I134:I140)</f>
        <v>531.74300000000005</v>
      </c>
      <c r="J142" s="10">
        <f>SUM(J134:J140)</f>
        <v>661.50400000000002</v>
      </c>
      <c r="K142" s="10">
        <f t="shared" ref="K142:P142" si="75">SUM(K134:K140)</f>
        <v>761.2</v>
      </c>
      <c r="L142" s="10">
        <f t="shared" si="75"/>
        <v>863.40000000000009</v>
      </c>
      <c r="M142" s="10">
        <f t="shared" si="75"/>
        <v>990.19999999999993</v>
      </c>
      <c r="N142" s="10">
        <f t="shared" si="75"/>
        <v>1120.615</v>
      </c>
      <c r="O142" s="10">
        <f t="shared" si="75"/>
        <v>1294.7950000000001</v>
      </c>
      <c r="P142" s="10">
        <f t="shared" si="75"/>
        <v>1425.2909999999999</v>
      </c>
      <c r="Q142" s="10">
        <f t="shared" ref="Q142:W142" si="76">SUM(Q134:Q140)</f>
        <v>1695.2650000000001</v>
      </c>
      <c r="R142" s="10">
        <f t="shared" si="76"/>
        <v>2006.634</v>
      </c>
      <c r="S142" s="10">
        <f t="shared" si="76"/>
        <v>2271.1570000000006</v>
      </c>
      <c r="T142" s="10">
        <f t="shared" si="76"/>
        <v>2689.5129999999999</v>
      </c>
      <c r="U142" s="10">
        <f t="shared" si="76"/>
        <v>3215.415</v>
      </c>
      <c r="V142" s="10">
        <f t="shared" si="76"/>
        <v>3425.68</v>
      </c>
      <c r="W142" s="181">
        <f t="shared" si="76"/>
        <v>3383.6249999999995</v>
      </c>
      <c r="X142" s="10">
        <f t="shared" ref="X142:AE142" si="77">SUM(X134:X140)</f>
        <v>3809.1849999999999</v>
      </c>
      <c r="Y142" s="10">
        <f t="shared" si="77"/>
        <v>3954.08</v>
      </c>
      <c r="Z142" s="10">
        <f t="shared" si="77"/>
        <v>4618.174</v>
      </c>
      <c r="AA142" s="10">
        <f t="shared" si="77"/>
        <v>5672.1769999999997</v>
      </c>
      <c r="AB142" s="181">
        <f t="shared" si="77"/>
        <v>5568.1480000000001</v>
      </c>
      <c r="AC142" s="10">
        <f t="shared" si="77"/>
        <v>6549</v>
      </c>
      <c r="AD142" s="10">
        <f t="shared" si="77"/>
        <v>7579.7920000000004</v>
      </c>
      <c r="AE142" s="10">
        <f t="shared" si="77"/>
        <v>8568.9259999999995</v>
      </c>
      <c r="AF142" s="10">
        <f t="shared" ref="AF142:AK142" si="78">SUM(AF134:AF140)</f>
        <v>9049</v>
      </c>
      <c r="AG142" s="181">
        <f t="shared" si="78"/>
        <v>9049</v>
      </c>
      <c r="AH142" s="10">
        <f t="shared" si="78"/>
        <v>9813</v>
      </c>
      <c r="AI142" s="10">
        <f t="shared" si="78"/>
        <v>10575.5</v>
      </c>
      <c r="AJ142" s="10">
        <f t="shared" si="78"/>
        <v>11077.146000000001</v>
      </c>
      <c r="AK142" s="10">
        <f t="shared" si="78"/>
        <v>12127</v>
      </c>
      <c r="AL142" s="181">
        <f t="shared" ref="AL142:AV142" si="79">SUM(AL134:AL141)</f>
        <v>12127</v>
      </c>
      <c r="AM142" s="10">
        <f t="shared" si="79"/>
        <v>12845.900000000001</v>
      </c>
      <c r="AN142" s="10">
        <f t="shared" si="79"/>
        <v>14119.102000000001</v>
      </c>
      <c r="AO142" s="10">
        <f t="shared" si="79"/>
        <v>14646.191000000001</v>
      </c>
      <c r="AP142" s="10">
        <f t="shared" si="79"/>
        <v>14965.332</v>
      </c>
      <c r="AQ142" s="181">
        <f t="shared" si="79"/>
        <v>14965.332</v>
      </c>
      <c r="AR142" s="10">
        <f t="shared" si="79"/>
        <v>15512.178</v>
      </c>
      <c r="AS142" s="10">
        <f t="shared" si="79"/>
        <v>16553.683000000001</v>
      </c>
      <c r="AT142" s="10">
        <f>SUM(AT134:AT141)</f>
        <v>17172</v>
      </c>
      <c r="AU142" s="10">
        <f>SUM(AU134:AU141)</f>
        <v>17303</v>
      </c>
      <c r="AV142" s="181">
        <f t="shared" si="79"/>
        <v>17303</v>
      </c>
      <c r="AW142" s="10">
        <f t="shared" ref="AW142:BC142" si="80">SUM(AW134:AW141)</f>
        <v>17209</v>
      </c>
      <c r="AX142" s="10">
        <f t="shared" si="80"/>
        <v>17629</v>
      </c>
      <c r="AY142" s="10">
        <f t="shared" si="80"/>
        <v>18466</v>
      </c>
      <c r="AZ142" s="10">
        <f t="shared" si="80"/>
        <v>18916</v>
      </c>
      <c r="BA142" s="181">
        <f t="shared" si="80"/>
        <v>18916</v>
      </c>
      <c r="BB142" s="10">
        <f t="shared" si="80"/>
        <v>18810</v>
      </c>
      <c r="BC142" s="10">
        <f t="shared" si="80"/>
        <v>19010</v>
      </c>
      <c r="BD142" s="10">
        <f>SUM(BD134:BD141)</f>
        <v>20096</v>
      </c>
      <c r="BE142" s="10">
        <f>SUM(BE134:BE141)</f>
        <v>20955</v>
      </c>
      <c r="BF142" s="181">
        <f>SUM(BF134:BF141)</f>
        <v>20419</v>
      </c>
      <c r="BG142" s="10">
        <f>SUM(BG134:BG141)</f>
        <v>21848</v>
      </c>
      <c r="BH142" s="10">
        <f>SUM(BH134:BH141)</f>
        <v>22490</v>
      </c>
      <c r="BI142" s="10">
        <v>23850</v>
      </c>
      <c r="BJ142" s="10"/>
      <c r="BK142" s="181">
        <f>SUM(BK134:BK141)</f>
        <v>25350</v>
      </c>
      <c r="BL142" s="10"/>
      <c r="BM142" s="10"/>
      <c r="BN142" s="10"/>
      <c r="BO142" s="10"/>
      <c r="BP142" s="181">
        <f>SUM(BP134:BP141)</f>
        <v>30002.309000000001</v>
      </c>
      <c r="BQ142" s="181"/>
      <c r="BR142" s="181"/>
      <c r="BS142" s="181"/>
      <c r="BT142" s="181"/>
      <c r="BU142" s="10"/>
      <c r="BV142" s="9">
        <f>S142-R142</f>
        <v>264.52300000000059</v>
      </c>
      <c r="BW142" s="9">
        <f>T142-S142</f>
        <v>418.35599999999931</v>
      </c>
      <c r="BX142" s="9">
        <f>U142-T142</f>
        <v>525.90200000000004</v>
      </c>
      <c r="BY142" s="121">
        <f>V142-U142</f>
        <v>210.26499999999987</v>
      </c>
      <c r="BZ142" s="9">
        <f t="shared" ref="BZ142:CC143" si="81">X142-W142</f>
        <v>425.5600000000004</v>
      </c>
      <c r="CA142" s="9">
        <f t="shared" si="81"/>
        <v>144.89499999999998</v>
      </c>
      <c r="CB142" s="9">
        <f t="shared" si="81"/>
        <v>664.09400000000005</v>
      </c>
      <c r="CC142" s="121">
        <f t="shared" si="81"/>
        <v>1054.0029999999997</v>
      </c>
      <c r="CD142" s="9">
        <f>AC142-AA142</f>
        <v>876.82300000000032</v>
      </c>
      <c r="CE142" s="9">
        <f>AD142-AC142</f>
        <v>1030.7920000000004</v>
      </c>
      <c r="CF142" s="9">
        <f>AE142-AD142</f>
        <v>989.13399999999911</v>
      </c>
      <c r="CG142" s="320">
        <f>AF142-AE142+131</f>
        <v>611.07400000000052</v>
      </c>
      <c r="CH142" s="9">
        <f>AH142-AG142</f>
        <v>764</v>
      </c>
      <c r="CI142" s="9">
        <f>AI142-AH142</f>
        <v>762.5</v>
      </c>
      <c r="CJ142" s="9">
        <f>AJ142-AI142</f>
        <v>501.64600000000064</v>
      </c>
      <c r="CK142" s="121">
        <f>AK142-AJ142</f>
        <v>1049.8539999999994</v>
      </c>
      <c r="CL142" s="9">
        <f t="shared" si="68"/>
        <v>718.90000000000146</v>
      </c>
      <c r="CM142" s="9">
        <f t="shared" si="68"/>
        <v>1273.2019999999993</v>
      </c>
      <c r="CN142" s="9">
        <f t="shared" si="68"/>
        <v>527.08899999999994</v>
      </c>
      <c r="CO142" s="9">
        <f t="shared" si="68"/>
        <v>319.14099999999962</v>
      </c>
      <c r="CP142" s="9">
        <f t="shared" si="69"/>
        <v>546.84599999999955</v>
      </c>
      <c r="CQ142" s="9">
        <f t="shared" si="69"/>
        <v>1041.505000000001</v>
      </c>
      <c r="CR142" s="9">
        <f t="shared" si="69"/>
        <v>618.3169999999991</v>
      </c>
      <c r="CS142" s="9">
        <f t="shared" si="69"/>
        <v>131</v>
      </c>
      <c r="CT142" s="9">
        <f t="shared" si="70"/>
        <v>-94</v>
      </c>
      <c r="CU142" s="9">
        <f t="shared" si="70"/>
        <v>420</v>
      </c>
      <c r="CV142" s="9">
        <f t="shared" si="70"/>
        <v>837</v>
      </c>
      <c r="CW142" s="9" t="str">
        <f t="shared" si="66"/>
        <v>Africa</v>
      </c>
      <c r="CX142" s="88">
        <f t="shared" si="71"/>
        <v>-106</v>
      </c>
      <c r="CY142" s="88">
        <f t="shared" si="71"/>
        <v>200</v>
      </c>
      <c r="CZ142" s="88">
        <f t="shared" si="71"/>
        <v>1086</v>
      </c>
      <c r="DA142" s="88">
        <f t="shared" si="71"/>
        <v>859</v>
      </c>
      <c r="DB142" s="88">
        <f t="shared" si="72"/>
        <v>1429</v>
      </c>
      <c r="DC142" s="88">
        <f t="shared" si="72"/>
        <v>642</v>
      </c>
      <c r="DD142" s="88">
        <f t="shared" si="72"/>
        <v>1360</v>
      </c>
      <c r="DE142" s="478" t="s">
        <v>1831</v>
      </c>
      <c r="DF142" s="454">
        <f t="shared" ref="DF142:DL143" si="82">CT142</f>
        <v>-94</v>
      </c>
      <c r="DG142" s="454">
        <f t="shared" si="82"/>
        <v>420</v>
      </c>
      <c r="DH142" s="454">
        <f t="shared" si="82"/>
        <v>837</v>
      </c>
      <c r="DI142" s="454" t="str">
        <f t="shared" si="82"/>
        <v>Africa</v>
      </c>
      <c r="DJ142" s="454">
        <f t="shared" si="82"/>
        <v>-106</v>
      </c>
      <c r="DK142" s="454">
        <f t="shared" si="82"/>
        <v>200</v>
      </c>
      <c r="DL142" s="454">
        <f t="shared" si="82"/>
        <v>1086</v>
      </c>
    </row>
    <row r="143" spans="1:116">
      <c r="A143" s="6"/>
      <c r="B143" s="6"/>
      <c r="D143" s="2" t="s">
        <v>583</v>
      </c>
      <c r="E143" s="2"/>
      <c r="F143" s="10" t="e">
        <f>F120+#REF!+F125+F131+F142</f>
        <v>#REF!</v>
      </c>
      <c r="G143" s="2"/>
      <c r="H143" s="10">
        <f>H117+H120+H125+H131+H142</f>
        <v>2925.2909999999997</v>
      </c>
      <c r="I143" s="10">
        <f t="shared" ref="I143:S143" si="83">I117+I120+I125+I131+I142</f>
        <v>3620.0929999999998</v>
      </c>
      <c r="J143" s="10">
        <f t="shared" si="83"/>
        <v>3830.7799999999997</v>
      </c>
      <c r="K143" s="10">
        <f t="shared" si="83"/>
        <v>3827.4000000000005</v>
      </c>
      <c r="L143" s="10">
        <f t="shared" si="83"/>
        <v>4106</v>
      </c>
      <c r="M143" s="10">
        <f t="shared" si="83"/>
        <v>4378.9000000000005</v>
      </c>
      <c r="N143" s="10">
        <f t="shared" si="83"/>
        <v>4847.6130000000003</v>
      </c>
      <c r="O143" s="10">
        <f t="shared" si="83"/>
        <v>5334.4660000000003</v>
      </c>
      <c r="P143" s="10">
        <f t="shared" si="83"/>
        <v>5827.0160000000005</v>
      </c>
      <c r="Q143" s="10">
        <f t="shared" si="83"/>
        <v>6533.7719999999999</v>
      </c>
      <c r="R143" s="10">
        <f t="shared" si="83"/>
        <v>7511.2649999999994</v>
      </c>
      <c r="S143" s="10">
        <f t="shared" si="83"/>
        <v>8492.0689999999995</v>
      </c>
      <c r="T143" s="10">
        <f>T117+T120+T125+T131+T142</f>
        <v>9759.9009999999998</v>
      </c>
      <c r="U143" s="10">
        <f>U117+U120+U125+U131+U142</f>
        <v>11266.119999999999</v>
      </c>
      <c r="V143" s="10">
        <f>V117+V120+V125+V131+V142</f>
        <v>14945.445</v>
      </c>
      <c r="W143" s="181">
        <f>W117+W120+W125+W131+W142</f>
        <v>14902.314</v>
      </c>
      <c r="X143" s="10">
        <f t="shared" ref="X143:AD143" si="84">X120+X125+X131+X142</f>
        <v>16515.478000000003</v>
      </c>
      <c r="Y143" s="10">
        <f t="shared" si="84"/>
        <v>17966.993000000002</v>
      </c>
      <c r="Z143" s="10">
        <f t="shared" si="84"/>
        <v>19951.644</v>
      </c>
      <c r="AA143" s="10">
        <f t="shared" si="84"/>
        <v>23354.564999999999</v>
      </c>
      <c r="AB143" s="181">
        <f t="shared" si="84"/>
        <v>23252.553</v>
      </c>
      <c r="AC143" s="10">
        <f t="shared" si="84"/>
        <v>26183.195</v>
      </c>
      <c r="AD143" s="10">
        <f t="shared" si="84"/>
        <v>28450.724000000002</v>
      </c>
      <c r="AE143" s="10">
        <f>AE120+AE125+AE131+AE142</f>
        <v>30587.55</v>
      </c>
      <c r="AF143" s="10">
        <f>AF120+AF125+AF131+AF142</f>
        <v>32045</v>
      </c>
      <c r="AG143" s="181">
        <f t="shared" ref="AG143:AS143" si="85">AG125+AG131+AG142</f>
        <v>27692</v>
      </c>
      <c r="AH143" s="10">
        <f t="shared" si="85"/>
        <v>29081</v>
      </c>
      <c r="AI143" s="10">
        <f t="shared" si="85"/>
        <v>30757.5</v>
      </c>
      <c r="AJ143" s="10">
        <f t="shared" si="85"/>
        <v>31857.278000000002</v>
      </c>
      <c r="AK143" s="10">
        <f t="shared" si="85"/>
        <v>33843</v>
      </c>
      <c r="AL143" s="181">
        <f t="shared" si="85"/>
        <v>33843</v>
      </c>
      <c r="AM143" s="10">
        <f t="shared" si="85"/>
        <v>35093.791000000005</v>
      </c>
      <c r="AN143" s="10">
        <f t="shared" si="85"/>
        <v>36728.722000000002</v>
      </c>
      <c r="AO143" s="10">
        <f t="shared" si="85"/>
        <v>37443.635999999999</v>
      </c>
      <c r="AP143" s="10">
        <f t="shared" si="85"/>
        <v>38589.58</v>
      </c>
      <c r="AQ143" s="181">
        <f>AQ125+AQ131+AQ142</f>
        <v>38589.58</v>
      </c>
      <c r="AR143" s="10">
        <f t="shared" si="85"/>
        <v>39764.373</v>
      </c>
      <c r="AS143" s="10">
        <f t="shared" si="85"/>
        <v>41311.966</v>
      </c>
      <c r="AT143" s="10">
        <f t="shared" ref="AT143:BA143" si="86">AT125+AT131+AT142</f>
        <v>42227</v>
      </c>
      <c r="AU143" s="10">
        <f t="shared" si="86"/>
        <v>43085</v>
      </c>
      <c r="AV143" s="181">
        <f t="shared" si="86"/>
        <v>43085</v>
      </c>
      <c r="AW143" s="10">
        <f>AW125+AW131+AW142</f>
        <v>43798</v>
      </c>
      <c r="AX143" s="10">
        <f>AX125+AX131+AX142</f>
        <v>44551</v>
      </c>
      <c r="AY143" s="10">
        <f>AY125+AY131+AY142</f>
        <v>46031</v>
      </c>
      <c r="AZ143" s="10">
        <f>AZ125+AZ131+AZ142</f>
        <v>47229</v>
      </c>
      <c r="BA143" s="181">
        <f t="shared" si="86"/>
        <v>47229</v>
      </c>
      <c r="BB143" s="10">
        <f t="shared" ref="BB143:BG143" si="87">BB125+BB131+BB142</f>
        <v>47404</v>
      </c>
      <c r="BC143" s="10">
        <f t="shared" si="87"/>
        <v>47454</v>
      </c>
      <c r="BD143" s="10">
        <f t="shared" si="87"/>
        <v>48919</v>
      </c>
      <c r="BE143" s="10">
        <f t="shared" si="87"/>
        <v>50614</v>
      </c>
      <c r="BF143" s="181">
        <f t="shared" si="87"/>
        <v>50078</v>
      </c>
      <c r="BG143" s="10">
        <f t="shared" si="87"/>
        <v>51629</v>
      </c>
      <c r="BH143" s="10">
        <f>BH125+BH131+BH142</f>
        <v>52314</v>
      </c>
      <c r="BI143" s="10">
        <f>BI125+BI131+BI142</f>
        <v>53777</v>
      </c>
      <c r="BJ143" s="10"/>
      <c r="BK143" s="181">
        <f>BK125+BK131+BK142</f>
        <v>56484</v>
      </c>
      <c r="BL143" s="10"/>
      <c r="BM143" s="10"/>
      <c r="BN143" s="10"/>
      <c r="BO143" s="10"/>
      <c r="BP143" s="181">
        <f>BP125+BP131+BP142</f>
        <v>62586.922000000006</v>
      </c>
      <c r="BQ143" s="181"/>
      <c r="BR143" s="181"/>
      <c r="BS143" s="181"/>
      <c r="BT143" s="181"/>
      <c r="BU143" s="10"/>
      <c r="BV143" s="10">
        <f>S143-R143</f>
        <v>980.80400000000009</v>
      </c>
      <c r="BW143" s="10">
        <f>T143-S143</f>
        <v>1267.8320000000003</v>
      </c>
      <c r="BX143" s="10">
        <f>U143-T143</f>
        <v>1506.2189999999991</v>
      </c>
      <c r="BY143" s="216" t="e">
        <f>V143-U143-V128+#REF!</f>
        <v>#REF!</v>
      </c>
      <c r="BZ143" s="10">
        <f t="shared" si="81"/>
        <v>1613.1640000000025</v>
      </c>
      <c r="CA143" s="10">
        <f t="shared" si="81"/>
        <v>1451.5149999999994</v>
      </c>
      <c r="CB143" s="10">
        <f t="shared" si="81"/>
        <v>1984.650999999998</v>
      </c>
      <c r="CC143" s="217">
        <f t="shared" si="81"/>
        <v>3402.9209999999985</v>
      </c>
      <c r="CD143" s="10">
        <f>AC143-AA143</f>
        <v>2828.630000000001</v>
      </c>
      <c r="CE143" s="10">
        <f>AD143-AC143</f>
        <v>2267.5290000000023</v>
      </c>
      <c r="CF143" s="10">
        <f>AE143-AD143</f>
        <v>2136.8259999999973</v>
      </c>
      <c r="CG143" s="216">
        <f>AF143-AE143+131+100</f>
        <v>1688.4500000000007</v>
      </c>
      <c r="CH143" s="10">
        <f>CH125+CH131+CH142</f>
        <v>1389</v>
      </c>
      <c r="CI143" s="10">
        <f>CI125+CI131+CI142</f>
        <v>1676.4999999999982</v>
      </c>
      <c r="CJ143" s="10">
        <f>CJ125+CJ131+CJ142</f>
        <v>1099.7780000000039</v>
      </c>
      <c r="CK143" s="217">
        <f>CK125+CK131+CK142</f>
        <v>1985.7219999999979</v>
      </c>
      <c r="CL143" s="10">
        <f t="shared" si="68"/>
        <v>1250.7910000000047</v>
      </c>
      <c r="CM143" s="10">
        <f t="shared" si="68"/>
        <v>1634.9309999999969</v>
      </c>
      <c r="CN143" s="10">
        <f t="shared" si="68"/>
        <v>714.91399999999703</v>
      </c>
      <c r="CO143" s="10">
        <f t="shared" si="68"/>
        <v>1145.9440000000031</v>
      </c>
      <c r="CP143" s="10">
        <f t="shared" si="69"/>
        <v>1174.7929999999978</v>
      </c>
      <c r="CQ143" s="10">
        <f t="shared" si="69"/>
        <v>1547.5930000000008</v>
      </c>
      <c r="CR143" s="10">
        <f t="shared" si="69"/>
        <v>915.03399999999965</v>
      </c>
      <c r="CS143" s="10">
        <f t="shared" si="69"/>
        <v>858</v>
      </c>
      <c r="CT143" s="10">
        <f t="shared" si="70"/>
        <v>713</v>
      </c>
      <c r="CU143" s="10">
        <f t="shared" si="70"/>
        <v>753</v>
      </c>
      <c r="CV143" s="10">
        <f t="shared" si="70"/>
        <v>1480</v>
      </c>
      <c r="CW143" s="10" t="str">
        <f t="shared" si="66"/>
        <v>Group 100% subs</v>
      </c>
      <c r="CX143" s="28">
        <f t="shared" si="71"/>
        <v>175</v>
      </c>
      <c r="CY143" s="28">
        <f t="shared" si="71"/>
        <v>50</v>
      </c>
      <c r="CZ143" s="28">
        <f t="shared" si="71"/>
        <v>1465</v>
      </c>
      <c r="DA143" s="28">
        <f t="shared" si="71"/>
        <v>1695</v>
      </c>
      <c r="DB143" s="28">
        <f t="shared" si="72"/>
        <v>1551</v>
      </c>
      <c r="DC143" s="28">
        <f t="shared" si="72"/>
        <v>685</v>
      </c>
      <c r="DD143" s="28">
        <f t="shared" si="72"/>
        <v>1463</v>
      </c>
      <c r="DE143" s="478" t="s">
        <v>884</v>
      </c>
      <c r="DF143" s="454">
        <f t="shared" si="82"/>
        <v>713</v>
      </c>
      <c r="DG143" s="454">
        <f t="shared" si="82"/>
        <v>753</v>
      </c>
      <c r="DH143" s="454">
        <f t="shared" si="82"/>
        <v>1480</v>
      </c>
      <c r="DI143" s="454" t="str">
        <f t="shared" si="82"/>
        <v>Group 100% subs</v>
      </c>
      <c r="DJ143" s="454">
        <f t="shared" si="82"/>
        <v>175</v>
      </c>
      <c r="DK143" s="454">
        <f t="shared" si="82"/>
        <v>50</v>
      </c>
      <c r="DL143" s="454">
        <f t="shared" si="82"/>
        <v>1465</v>
      </c>
    </row>
    <row r="144" spans="1:116">
      <c r="A144" s="6"/>
      <c r="B144" s="6"/>
      <c r="D144" s="4" t="s">
        <v>2277</v>
      </c>
      <c r="E144" s="2"/>
      <c r="F144" s="10"/>
      <c r="G144" s="2"/>
      <c r="H144" s="10"/>
      <c r="I144" s="10"/>
      <c r="J144" s="10"/>
      <c r="K144" s="10"/>
      <c r="L144" s="10"/>
      <c r="M144" s="10"/>
      <c r="N144" s="10"/>
      <c r="O144" s="10"/>
      <c r="P144" s="10"/>
      <c r="Q144" s="10"/>
      <c r="R144" s="10"/>
      <c r="S144" s="31">
        <f>S143-(S125-S126)</f>
        <v>7554.7255249999998</v>
      </c>
      <c r="T144" s="31">
        <f>T143-(T125-T126)</f>
        <v>8680.0335520000008</v>
      </c>
      <c r="U144" s="31">
        <f>U143-(U125-U126)</f>
        <v>10004.529456999999</v>
      </c>
      <c r="V144" s="31">
        <f>V143-(V125-V126)</f>
        <v>13427.682021000001</v>
      </c>
      <c r="W144" s="181"/>
      <c r="X144" s="31">
        <f t="shared" ref="X144:AD144" si="88">X143-(X125-X126)</f>
        <v>14777.468677000003</v>
      </c>
      <c r="Y144" s="31">
        <f t="shared" si="88"/>
        <v>15994.047731000002</v>
      </c>
      <c r="Z144" s="31">
        <f t="shared" si="88"/>
        <v>17762.472741000001</v>
      </c>
      <c r="AA144" s="31">
        <f t="shared" si="88"/>
        <v>20723.588403000002</v>
      </c>
      <c r="AB144" s="46">
        <f t="shared" si="88"/>
        <v>20621.562749999997</v>
      </c>
      <c r="AC144" s="31">
        <f t="shared" si="88"/>
        <v>23258.941999999999</v>
      </c>
      <c r="AD144" s="31">
        <f t="shared" si="88"/>
        <v>25312.425467000005</v>
      </c>
      <c r="AE144" s="31">
        <f t="shared" ref="AE144:AL144" si="89">AE143-(AE125-AE126)</f>
        <v>27294.978461999999</v>
      </c>
      <c r="AF144" s="31">
        <f t="shared" si="89"/>
        <v>28646.78</v>
      </c>
      <c r="AG144" s="46">
        <f t="shared" si="89"/>
        <v>24293.78</v>
      </c>
      <c r="AH144" s="31">
        <f>AH143-(AH125-AH126)</f>
        <v>25556.771000000001</v>
      </c>
      <c r="AI144" s="31">
        <f>AI143-(AI125-AI126)</f>
        <v>27045.789300000004</v>
      </c>
      <c r="AJ144" s="31">
        <f>AJ143-(AJ125-AJ126)</f>
        <v>28039.951634000001</v>
      </c>
      <c r="AK144" s="31">
        <f>AK143-(AK125-AK126)</f>
        <v>29843.364000000001</v>
      </c>
      <c r="AL144" s="46">
        <f t="shared" si="89"/>
        <v>29843.364000000001</v>
      </c>
      <c r="AM144" s="31">
        <f t="shared" ref="AM144:AS144" si="90">AM143-(AM125-AM126)</f>
        <v>30975.931000000004</v>
      </c>
      <c r="AN144" s="31">
        <f t="shared" si="90"/>
        <v>32521.169376999998</v>
      </c>
      <c r="AO144" s="31">
        <f t="shared" si="90"/>
        <v>33272.072684999999</v>
      </c>
      <c r="AP144" s="31">
        <f t="shared" si="90"/>
        <v>34269.446089000005</v>
      </c>
      <c r="AQ144" s="46">
        <f t="shared" si="90"/>
        <v>34269.446089000005</v>
      </c>
      <c r="AR144" s="31">
        <f t="shared" si="90"/>
        <v>35321.240409000005</v>
      </c>
      <c r="AS144" s="31">
        <f t="shared" si="90"/>
        <v>36789.885867999998</v>
      </c>
      <c r="AT144" s="31">
        <f t="shared" ref="AT144:BA144" si="91">AT143-(AT125-AT126)</f>
        <v>37669.22</v>
      </c>
      <c r="AU144" s="31">
        <f t="shared" si="91"/>
        <v>38388.809000000001</v>
      </c>
      <c r="AV144" s="46">
        <f t="shared" si="91"/>
        <v>38388.809000000001</v>
      </c>
      <c r="AW144" s="31">
        <f>AW143-(AW125-AW126)</f>
        <v>38943.904000000002</v>
      </c>
      <c r="AX144" s="31">
        <f>AX143-(AX125-AX126)</f>
        <v>39658.402000000002</v>
      </c>
      <c r="AY144" s="31">
        <f>AY143-(AY125-AY126)</f>
        <v>41063.360000000001</v>
      </c>
      <c r="AZ144" s="31">
        <f>AZ143-(AZ125-AZ126)</f>
        <v>42100.332000000002</v>
      </c>
      <c r="BA144" s="46">
        <f t="shared" si="91"/>
        <v>42100.332000000002</v>
      </c>
      <c r="BB144" s="31">
        <f t="shared" ref="BB144:BG144" si="92">BB143-(BB125-BB126)</f>
        <v>42114.510999999999</v>
      </c>
      <c r="BC144" s="31">
        <f t="shared" si="92"/>
        <v>42157.284</v>
      </c>
      <c r="BD144" s="31">
        <f t="shared" si="92"/>
        <v>43616.452000000005</v>
      </c>
      <c r="BE144" s="31">
        <f t="shared" si="92"/>
        <v>45237.94</v>
      </c>
      <c r="BF144" s="46">
        <f t="shared" si="92"/>
        <v>44701.94</v>
      </c>
      <c r="BG144" s="31">
        <f t="shared" si="92"/>
        <v>46357.448000000004</v>
      </c>
      <c r="BH144" s="31"/>
      <c r="BI144" s="31"/>
      <c r="BJ144" s="31"/>
      <c r="BK144" s="46">
        <f>BK143-(BK125-BK126)</f>
        <v>51128.1</v>
      </c>
      <c r="BL144" s="31"/>
      <c r="BM144" s="31"/>
      <c r="BN144" s="31"/>
      <c r="BO144" s="31"/>
      <c r="BP144" s="46">
        <f>BP143-(BP125-BP126)</f>
        <v>57014.223358000003</v>
      </c>
      <c r="BQ144" s="46"/>
      <c r="BR144" s="46"/>
      <c r="BS144" s="46"/>
      <c r="BT144" s="46"/>
      <c r="BU144" s="31"/>
      <c r="BV144" s="10"/>
      <c r="BW144" s="10"/>
      <c r="BX144" s="10"/>
      <c r="BY144" s="10"/>
      <c r="BZ144" s="10"/>
      <c r="CA144" s="10"/>
      <c r="CB144" s="10"/>
      <c r="CC144" s="10"/>
      <c r="CD144" s="36"/>
      <c r="CE144" s="36"/>
      <c r="CF144" s="36"/>
      <c r="CG144" s="36"/>
      <c r="CH144" s="36">
        <f>CH143/CD143-1</f>
        <v>-0.50894956215553133</v>
      </c>
      <c r="CI144" s="36">
        <f>CI143/CE143-1</f>
        <v>-0.26064892665099471</v>
      </c>
      <c r="CJ144" s="36">
        <f>CJ143/CF143-1</f>
        <v>-0.48532168739990744</v>
      </c>
      <c r="CK144" s="36">
        <f>CK143/CG143-1</f>
        <v>0.17606206876128816</v>
      </c>
      <c r="CL144" s="36"/>
      <c r="CM144" s="36"/>
      <c r="CN144" s="36"/>
      <c r="CO144" s="36"/>
      <c r="CP144" s="36"/>
      <c r="CQ144" s="36"/>
      <c r="CR144" s="36"/>
      <c r="CS144" s="36"/>
      <c r="CT144" s="36"/>
      <c r="CU144" s="36"/>
      <c r="CV144" s="36"/>
      <c r="CW144" s="36"/>
      <c r="CX144" s="36"/>
      <c r="CY144" s="36"/>
      <c r="CZ144" s="36"/>
      <c r="DA144" s="36"/>
    </row>
    <row r="145" spans="1:105">
      <c r="A145" s="6"/>
      <c r="B145" s="6"/>
      <c r="D145" s="32" t="s">
        <v>2306</v>
      </c>
      <c r="E145" s="156"/>
      <c r="F145" s="272"/>
      <c r="G145" s="156"/>
      <c r="H145" s="272"/>
      <c r="I145" s="272"/>
      <c r="J145" s="272"/>
      <c r="K145" s="272"/>
      <c r="L145" s="272"/>
      <c r="M145" s="272"/>
      <c r="N145" s="272"/>
      <c r="O145" s="272"/>
      <c r="P145" s="272"/>
      <c r="Q145" s="272"/>
      <c r="R145" s="272"/>
      <c r="S145" s="149">
        <f>S143-S128</f>
        <v>8492.0689999999995</v>
      </c>
      <c r="T145" s="149">
        <f>T143-T128</f>
        <v>9759.9009999999998</v>
      </c>
      <c r="U145" s="149">
        <f>U143</f>
        <v>11266.119999999999</v>
      </c>
      <c r="V145" s="149">
        <f>V143-V128</f>
        <v>12825.161</v>
      </c>
      <c r="W145" s="273"/>
      <c r="X145" s="149">
        <f t="shared" ref="X145:AC145" si="93">X143-X128</f>
        <v>14316.623000000003</v>
      </c>
      <c r="Y145" s="149">
        <f t="shared" si="93"/>
        <v>15675.333000000002</v>
      </c>
      <c r="Z145" s="149">
        <f t="shared" si="93"/>
        <v>17448.796000000002</v>
      </c>
      <c r="AA145" s="149">
        <f t="shared" si="93"/>
        <v>20584.680999999997</v>
      </c>
      <c r="AB145" s="277">
        <f t="shared" si="93"/>
        <v>20482.553</v>
      </c>
      <c r="AC145" s="149">
        <f t="shared" si="93"/>
        <v>23123.195</v>
      </c>
      <c r="AD145" s="149">
        <f>AD143-AD128</f>
        <v>25188.224000000002</v>
      </c>
      <c r="AE145" s="149">
        <f>AE143-AE128</f>
        <v>27311.945</v>
      </c>
      <c r="AF145" s="149">
        <f>AF143-AF128</f>
        <v>28731</v>
      </c>
      <c r="AG145" s="181"/>
      <c r="AH145" s="149">
        <f>AH143-AH128</f>
        <v>25749</v>
      </c>
      <c r="AI145" s="149">
        <f>AI143-AI128</f>
        <v>27321.3</v>
      </c>
      <c r="AJ145" s="149">
        <f>AJ143-AJ128</f>
        <v>28285.067000000003</v>
      </c>
      <c r="AK145" s="149">
        <f>AK143-AK128</f>
        <v>30099</v>
      </c>
      <c r="AL145" s="292"/>
      <c r="AM145" s="149">
        <f>AM143-AM128</f>
        <v>31279.391000000003</v>
      </c>
      <c r="AN145" s="149">
        <f>AN143-AN128</f>
        <v>32787.506000000001</v>
      </c>
      <c r="AO145" s="149">
        <f>AO143-AO128</f>
        <v>33314.46</v>
      </c>
      <c r="AP145" s="149">
        <f>AP143-AP128</f>
        <v>34296.156999999999</v>
      </c>
      <c r="AQ145" s="292"/>
      <c r="AR145" s="149">
        <f>AR143-AR128</f>
        <v>35322.610999999997</v>
      </c>
      <c r="AS145" s="149">
        <f>AS143-AS128</f>
        <v>36715.989000000001</v>
      </c>
      <c r="AT145" s="149">
        <f>AT143-AT128</f>
        <v>37514</v>
      </c>
      <c r="AU145" s="149">
        <f>AU143-AU128</f>
        <v>38231</v>
      </c>
      <c r="AV145" s="292"/>
      <c r="AW145" s="149">
        <f>AW143-AW128</f>
        <v>38796</v>
      </c>
      <c r="AX145" s="149">
        <f>AX143-AX128</f>
        <v>39368</v>
      </c>
      <c r="AY145" s="149">
        <f>AY143-AY128</f>
        <v>40565</v>
      </c>
      <c r="AZ145" s="149">
        <f>AZ143-AZ128</f>
        <v>41503</v>
      </c>
      <c r="BA145" s="292"/>
      <c r="BB145" s="149">
        <f>BB143-BB128</f>
        <v>41436</v>
      </c>
      <c r="BC145" s="149">
        <f>BC143-BC128</f>
        <v>41317</v>
      </c>
      <c r="BD145" s="149">
        <f>BD143-BD128</f>
        <v>42514</v>
      </c>
      <c r="BE145" s="149">
        <f>BE143-BE128</f>
        <v>43861</v>
      </c>
      <c r="BF145" s="292"/>
      <c r="BG145" s="149">
        <f>BG143-BG128</f>
        <v>44690</v>
      </c>
      <c r="BH145" s="149"/>
      <c r="BI145" s="149"/>
      <c r="BJ145" s="149"/>
      <c r="BK145" s="292"/>
      <c r="BL145" s="149"/>
      <c r="BM145" s="149"/>
      <c r="BN145" s="149"/>
      <c r="BO145" s="149"/>
      <c r="BP145" s="292"/>
      <c r="BQ145" s="292"/>
      <c r="BR145" s="292"/>
      <c r="BS145" s="292"/>
      <c r="BT145" s="292"/>
      <c r="BU145" s="19"/>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row>
    <row r="146" spans="1:105">
      <c r="A146" s="6"/>
      <c r="B146" s="6"/>
      <c r="D146" s="2"/>
      <c r="E146" s="2"/>
      <c r="F146" s="10"/>
      <c r="G146" s="2"/>
      <c r="H146" s="10"/>
      <c r="I146" s="10"/>
      <c r="J146" s="10"/>
      <c r="K146" s="10"/>
      <c r="L146" s="10"/>
      <c r="M146" s="10"/>
      <c r="N146" s="10"/>
      <c r="O146" s="10"/>
      <c r="P146" s="10"/>
      <c r="Q146" s="10"/>
      <c r="R146" s="10"/>
      <c r="S146" s="10"/>
      <c r="T146" s="16"/>
      <c r="U146" s="16"/>
      <c r="V146" s="16"/>
      <c r="W146" s="182"/>
      <c r="X146" s="221"/>
      <c r="Y146" s="221"/>
      <c r="Z146" s="221"/>
      <c r="AA146" s="221"/>
      <c r="AB146" s="182"/>
      <c r="AC146" s="221"/>
      <c r="AD146" s="221"/>
      <c r="AE146" s="221"/>
      <c r="AF146" s="221"/>
      <c r="AG146" s="182"/>
      <c r="AH146" s="221"/>
      <c r="AI146" s="221"/>
      <c r="AJ146" s="221"/>
      <c r="AK146" s="221"/>
      <c r="AL146" s="182"/>
      <c r="AM146" s="221"/>
      <c r="AN146" s="221"/>
      <c r="AO146" s="221"/>
      <c r="AP146" s="221"/>
      <c r="AQ146" s="182"/>
      <c r="AR146" s="221"/>
      <c r="AS146" s="221"/>
      <c r="AT146" s="221"/>
      <c r="AU146" s="221"/>
      <c r="AV146" s="182"/>
      <c r="AW146" s="221"/>
      <c r="AX146" s="221"/>
      <c r="AY146" s="221"/>
      <c r="AZ146" s="31"/>
      <c r="BA146" s="182"/>
      <c r="BB146" s="221"/>
      <c r="BC146" s="221"/>
      <c r="BD146" s="221"/>
      <c r="BE146" s="221"/>
      <c r="BF146" s="515"/>
      <c r="BG146" s="515"/>
      <c r="BH146" s="515"/>
      <c r="BI146" s="515"/>
      <c r="BJ146" s="515"/>
      <c r="BK146" s="515"/>
      <c r="BL146" s="515"/>
      <c r="BM146" s="515"/>
      <c r="BN146" s="515"/>
      <c r="BO146" s="515"/>
      <c r="BP146" s="515"/>
      <c r="BQ146" s="515"/>
      <c r="BR146" s="515"/>
      <c r="BS146" s="515"/>
      <c r="BT146" s="515"/>
      <c r="BU146" s="9"/>
      <c r="BV146" s="9"/>
      <c r="BW146" s="9"/>
      <c r="BX146" s="9"/>
      <c r="BY146" s="9"/>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row>
    <row r="147" spans="1:105">
      <c r="A147" s="6"/>
      <c r="B147" s="6"/>
      <c r="D147" s="2" t="s">
        <v>178</v>
      </c>
      <c r="E147" s="2"/>
      <c r="F147" s="10"/>
      <c r="G147" s="2"/>
      <c r="H147" s="10"/>
      <c r="I147" s="10"/>
      <c r="J147" s="10"/>
      <c r="K147" s="10"/>
      <c r="L147" s="10"/>
      <c r="M147" s="10"/>
      <c r="N147" s="10"/>
      <c r="O147" s="10"/>
      <c r="P147" s="10"/>
      <c r="Q147" s="10"/>
      <c r="R147" s="10"/>
      <c r="S147" s="10"/>
      <c r="T147" s="16"/>
      <c r="U147" s="16"/>
      <c r="V147" s="16"/>
      <c r="W147" s="182"/>
      <c r="X147" s="221"/>
      <c r="Y147" s="221"/>
      <c r="Z147" s="221"/>
      <c r="AA147" s="221"/>
      <c r="AB147" s="182"/>
      <c r="AC147" s="221"/>
      <c r="AD147" s="221"/>
      <c r="AE147" s="221"/>
      <c r="AF147" s="221"/>
      <c r="AG147" s="182"/>
      <c r="AH147" s="221"/>
      <c r="AI147" s="221"/>
      <c r="AJ147" s="221"/>
      <c r="AK147" s="221"/>
      <c r="AL147" s="182"/>
      <c r="AM147" s="221"/>
      <c r="AN147" s="221"/>
      <c r="AO147" s="221"/>
      <c r="AP147" s="221"/>
      <c r="AQ147" s="182"/>
      <c r="AR147" s="221"/>
      <c r="AS147" s="221"/>
      <c r="AT147" s="221"/>
      <c r="AU147" s="221"/>
      <c r="AV147" s="182"/>
      <c r="AW147" s="221"/>
      <c r="AX147" s="221"/>
      <c r="AY147" s="221"/>
      <c r="AZ147" s="221"/>
      <c r="BA147" s="182"/>
      <c r="BB147" s="221"/>
      <c r="BC147" s="221"/>
      <c r="BD147" s="221"/>
      <c r="BE147" s="221"/>
      <c r="BF147" s="515"/>
      <c r="BG147" s="515"/>
      <c r="BH147" s="515"/>
      <c r="BI147" s="515"/>
      <c r="BJ147" s="515"/>
      <c r="BK147" s="515"/>
      <c r="BL147" s="515"/>
      <c r="BM147" s="515"/>
      <c r="BN147" s="515"/>
      <c r="BO147" s="515"/>
      <c r="BP147" s="515"/>
      <c r="BQ147" s="515"/>
      <c r="BR147" s="515"/>
      <c r="BS147" s="515"/>
      <c r="BT147" s="515"/>
      <c r="BU147" s="9"/>
      <c r="BV147" s="9"/>
      <c r="BW147" s="9"/>
      <c r="BX147" s="9"/>
      <c r="BY147" s="9"/>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row>
    <row r="148" spans="1:105">
      <c r="A148" s="6"/>
      <c r="B148" s="6"/>
      <c r="D148" s="4" t="s">
        <v>2189</v>
      </c>
      <c r="E148" s="2"/>
      <c r="F148" s="10"/>
      <c r="G148" s="2"/>
      <c r="H148" s="10"/>
      <c r="I148" s="10"/>
      <c r="J148" s="10"/>
      <c r="K148" s="10"/>
      <c r="L148" s="10"/>
      <c r="M148" s="10"/>
      <c r="N148" s="10"/>
      <c r="O148" s="10"/>
      <c r="P148" s="10"/>
      <c r="Q148" s="10"/>
      <c r="R148" s="10"/>
      <c r="S148" s="10"/>
      <c r="T148" s="9"/>
      <c r="U148" s="9"/>
      <c r="V148" s="9"/>
      <c r="W148" s="351"/>
      <c r="X148" s="352"/>
      <c r="Y148" s="352"/>
      <c r="Z148" s="352"/>
      <c r="AA148" s="352"/>
      <c r="AB148" s="351"/>
      <c r="AC148" s="352"/>
      <c r="AD148" s="352"/>
      <c r="AE148" s="353">
        <v>108</v>
      </c>
      <c r="AF148" s="353">
        <v>116</v>
      </c>
      <c r="AG148" s="354"/>
      <c r="AH148" s="9">
        <v>103</v>
      </c>
      <c r="AI148" s="9">
        <v>108</v>
      </c>
      <c r="AJ148" s="353">
        <v>106</v>
      </c>
      <c r="AK148" s="353">
        <v>107</v>
      </c>
      <c r="AL148" s="354">
        <f>SUM(AH148:AK148)</f>
        <v>424</v>
      </c>
      <c r="AM148" s="353">
        <v>98</v>
      </c>
      <c r="AN148" s="353">
        <v>100</v>
      </c>
      <c r="AO148" s="353">
        <v>95</v>
      </c>
      <c r="AP148" s="402">
        <f>92+4</f>
        <v>96</v>
      </c>
      <c r="AQ148" s="354">
        <f>CA!K74</f>
        <v>389</v>
      </c>
      <c r="AR148" s="353">
        <f>AR214</f>
        <v>95</v>
      </c>
      <c r="AS148" s="353">
        <f>AS214</f>
        <v>97.205240148146117</v>
      </c>
      <c r="AT148" s="353">
        <f>AT214</f>
        <v>96.228933349858664</v>
      </c>
      <c r="AU148" s="353">
        <v>95</v>
      </c>
      <c r="AV148" s="354">
        <f>CA!L74</f>
        <v>414</v>
      </c>
      <c r="AW148" s="353"/>
      <c r="AX148" s="353"/>
      <c r="AY148" s="353"/>
      <c r="AZ148" s="353"/>
      <c r="BA148" s="354">
        <f>CA!M74</f>
        <v>443</v>
      </c>
      <c r="BB148" s="353"/>
      <c r="BC148" s="353"/>
      <c r="BD148" s="353"/>
      <c r="BE148" s="353"/>
      <c r="BF148" s="516"/>
      <c r="BG148" s="516"/>
      <c r="BH148" s="516"/>
      <c r="BI148" s="516"/>
      <c r="BJ148" s="516"/>
      <c r="BK148" s="516"/>
      <c r="BL148" s="516"/>
      <c r="BM148" s="516"/>
      <c r="BN148" s="516"/>
      <c r="BO148" s="516"/>
      <c r="BP148" s="516"/>
      <c r="BQ148" s="516"/>
      <c r="BR148" s="516"/>
      <c r="BS148" s="516"/>
      <c r="BT148" s="516"/>
      <c r="BU148" s="9"/>
      <c r="BW148" s="9"/>
      <c r="BX148" s="9"/>
      <c r="BY148" s="9"/>
      <c r="CA148" s="9">
        <f>AJ178*AVERAGE(AI122,AJ122)*3/1000</f>
        <v>97.063704000000001</v>
      </c>
      <c r="CB148" s="16">
        <f t="shared" ref="CB148:CB159" si="94">(AJ148-CA148)/AJ148</f>
        <v>8.430467924528301E-2</v>
      </c>
      <c r="CC148" s="16">
        <f t="shared" ref="CC148:CC159" si="95">(AK148-CB148)/AK148</f>
        <v>0.99921210580144604</v>
      </c>
      <c r="CD148" s="16"/>
      <c r="CE148" s="16"/>
      <c r="CF148" s="16"/>
      <c r="CG148" s="16"/>
      <c r="CH148" s="16"/>
      <c r="CI148" s="16"/>
      <c r="CJ148" s="16">
        <f t="shared" ref="CJ148:CJ159" si="96">AJ148/AE148-1</f>
        <v>-1.851851851851849E-2</v>
      </c>
      <c r="CK148" s="16">
        <f t="shared" ref="CK148:CK159" si="97">AK148/AF148-1</f>
        <v>-7.7586206896551713E-2</v>
      </c>
      <c r="CL148" s="16">
        <f t="shared" ref="CL148:CL159" si="98">AM148/AH148-1</f>
        <v>-4.8543689320388328E-2</v>
      </c>
      <c r="CM148" s="16">
        <f t="shared" ref="CM148:CM159" si="99">AN148/AI148-1</f>
        <v>-7.407407407407407E-2</v>
      </c>
      <c r="CN148" s="16">
        <f t="shared" ref="CN148:CN159" si="100">AO148/AJ148-1</f>
        <v>-0.10377358490566035</v>
      </c>
      <c r="CO148" s="16">
        <f t="shared" ref="CO148:CO159" si="101">AP148/AK148-1</f>
        <v>-0.10280373831775702</v>
      </c>
      <c r="CP148" s="16">
        <f t="shared" ref="CP148:CS150" si="102">AR148/AM148-1</f>
        <v>-3.0612244897959218E-2</v>
      </c>
      <c r="CQ148" s="16">
        <f t="shared" si="102"/>
        <v>-2.7947598518538785E-2</v>
      </c>
      <c r="CR148" s="16">
        <f t="shared" si="102"/>
        <v>1.2936140524828055E-2</v>
      </c>
      <c r="CS148" s="16">
        <f t="shared" si="102"/>
        <v>-1.041666666666663E-2</v>
      </c>
      <c r="CT148" s="16"/>
      <c r="CU148" s="16"/>
      <c r="CV148" s="16"/>
      <c r="CW148" s="16"/>
      <c r="CX148" s="16"/>
      <c r="CY148" s="16"/>
      <c r="CZ148" s="16"/>
      <c r="DA148" s="16"/>
    </row>
    <row r="149" spans="1:105">
      <c r="A149" s="6"/>
      <c r="B149" s="6"/>
      <c r="D149" s="4" t="str">
        <f>D123</f>
        <v>Guatemala</v>
      </c>
      <c r="E149" s="2"/>
      <c r="F149" s="10"/>
      <c r="G149" s="2"/>
      <c r="H149" s="10"/>
      <c r="I149" s="10"/>
      <c r="J149" s="10"/>
      <c r="K149" s="10"/>
      <c r="L149" s="10"/>
      <c r="M149" s="10"/>
      <c r="N149" s="10"/>
      <c r="O149" s="10"/>
      <c r="P149" s="10"/>
      <c r="Q149" s="10"/>
      <c r="R149" s="10"/>
      <c r="S149" s="10"/>
      <c r="T149" s="9"/>
      <c r="U149" s="9"/>
      <c r="V149" s="9"/>
      <c r="W149" s="351"/>
      <c r="X149" s="352"/>
      <c r="Y149" s="352"/>
      <c r="Z149" s="352"/>
      <c r="AA149" s="352"/>
      <c r="AB149" s="351"/>
      <c r="AC149" s="352"/>
      <c r="AD149" s="352"/>
      <c r="AE149" s="353">
        <v>1720</v>
      </c>
      <c r="AF149" s="353">
        <v>1807</v>
      </c>
      <c r="AG149" s="354"/>
      <c r="AH149" s="9">
        <v>1762</v>
      </c>
      <c r="AI149" s="9">
        <v>1789</v>
      </c>
      <c r="AJ149" s="353">
        <v>1875</v>
      </c>
      <c r="AK149" s="353">
        <v>1930</v>
      </c>
      <c r="AL149" s="354">
        <f>SUM(AH149:AK149)</f>
        <v>7356</v>
      </c>
      <c r="AM149" s="353">
        <v>1891</v>
      </c>
      <c r="AN149" s="353">
        <v>1942</v>
      </c>
      <c r="AO149" s="353">
        <v>1986</v>
      </c>
      <c r="AP149" s="353">
        <v>2130</v>
      </c>
      <c r="AQ149" s="354">
        <f>CA!K76/$B$123</f>
        <v>7949.0000000000009</v>
      </c>
      <c r="AR149" s="492">
        <v>2075</v>
      </c>
      <c r="AS149" s="492">
        <v>2075</v>
      </c>
      <c r="AT149" s="492">
        <v>2125</v>
      </c>
      <c r="AU149" s="492">
        <v>2250</v>
      </c>
      <c r="AV149" s="354">
        <f>CA!L76/$B$123</f>
        <v>15554.247933884295</v>
      </c>
      <c r="AW149" s="492"/>
      <c r="AX149" s="492"/>
      <c r="AY149" s="492"/>
      <c r="AZ149" s="492"/>
      <c r="BA149" s="354">
        <f>CA!M76/$B$123</f>
        <v>15848.330578512394</v>
      </c>
      <c r="BB149" s="492"/>
      <c r="BC149" s="492"/>
      <c r="BD149" s="492"/>
      <c r="BE149" s="492"/>
      <c r="BF149" s="516"/>
      <c r="BG149" s="516"/>
      <c r="BH149" s="516"/>
      <c r="BI149" s="516"/>
      <c r="BJ149" s="516"/>
      <c r="BK149" s="516"/>
      <c r="BL149" s="516"/>
      <c r="BM149" s="516"/>
      <c r="BN149" s="516"/>
      <c r="BO149" s="516"/>
      <c r="BP149" s="516"/>
      <c r="BQ149" s="516"/>
      <c r="BR149" s="516"/>
      <c r="BS149" s="516"/>
      <c r="BT149" s="516"/>
      <c r="BU149" s="9"/>
      <c r="BW149" s="9"/>
      <c r="BX149" s="9"/>
      <c r="BY149" s="9"/>
      <c r="CA149" s="9">
        <f>AJ179*AVERAGE(AI123,AJ123)*3/1000</f>
        <v>1694.9379630000001</v>
      </c>
      <c r="CB149" s="16">
        <f t="shared" si="94"/>
        <v>9.6033086399999953E-2</v>
      </c>
      <c r="CC149" s="16">
        <f t="shared" si="95"/>
        <v>0.99995024192414506</v>
      </c>
      <c r="CD149" s="16"/>
      <c r="CE149" s="16"/>
      <c r="CF149" s="16"/>
      <c r="CG149" s="16"/>
      <c r="CH149" s="16"/>
      <c r="CI149" s="16"/>
      <c r="CJ149" s="16">
        <f t="shared" si="96"/>
        <v>9.011627906976738E-2</v>
      </c>
      <c r="CK149" s="16">
        <f t="shared" si="97"/>
        <v>6.8068622025456493E-2</v>
      </c>
      <c r="CL149" s="16">
        <f t="shared" si="98"/>
        <v>7.3212258796821805E-2</v>
      </c>
      <c r="CM149" s="16">
        <f t="shared" si="99"/>
        <v>8.5522638345444379E-2</v>
      </c>
      <c r="CN149" s="16">
        <f t="shared" si="100"/>
        <v>5.9199999999999919E-2</v>
      </c>
      <c r="CO149" s="16">
        <f t="shared" si="101"/>
        <v>0.10362694300518127</v>
      </c>
      <c r="CP149" s="16">
        <f t="shared" si="102"/>
        <v>9.7303014278159683E-2</v>
      </c>
      <c r="CQ149" s="16">
        <f t="shared" si="102"/>
        <v>6.848609680741502E-2</v>
      </c>
      <c r="CR149" s="16">
        <f t="shared" si="102"/>
        <v>6.9989929506545812E-2</v>
      </c>
      <c r="CS149" s="16">
        <f t="shared" si="102"/>
        <v>5.6338028169014009E-2</v>
      </c>
      <c r="CT149" s="16"/>
      <c r="CU149" s="16"/>
      <c r="CV149" s="16"/>
      <c r="CW149" s="16"/>
      <c r="CX149" s="16"/>
      <c r="CY149" s="16"/>
      <c r="CZ149" s="16"/>
      <c r="DA149" s="16"/>
    </row>
    <row r="150" spans="1:105">
      <c r="A150" s="6"/>
      <c r="B150" s="6"/>
      <c r="D150" s="4" t="str">
        <f>D124</f>
        <v>Honduras</v>
      </c>
      <c r="E150" s="2"/>
      <c r="F150" s="10"/>
      <c r="G150" s="2"/>
      <c r="H150" s="10"/>
      <c r="I150" s="10"/>
      <c r="J150" s="10"/>
      <c r="K150" s="10"/>
      <c r="L150" s="10"/>
      <c r="M150" s="10"/>
      <c r="N150" s="10"/>
      <c r="O150" s="10"/>
      <c r="P150" s="10"/>
      <c r="Q150" s="10"/>
      <c r="R150" s="10"/>
      <c r="S150" s="10"/>
      <c r="T150" s="9"/>
      <c r="U150" s="9"/>
      <c r="V150" s="9"/>
      <c r="W150" s="351"/>
      <c r="X150" s="352"/>
      <c r="Y150" s="352"/>
      <c r="Z150" s="352"/>
      <c r="AA150" s="352"/>
      <c r="AB150" s="351"/>
      <c r="AC150" s="352"/>
      <c r="AD150" s="352"/>
      <c r="AE150" s="353">
        <v>2972</v>
      </c>
      <c r="AF150" s="353">
        <v>3079</v>
      </c>
      <c r="AG150" s="354"/>
      <c r="AH150" s="9">
        <v>2877</v>
      </c>
      <c r="AI150" s="9">
        <v>2897</v>
      </c>
      <c r="AJ150" s="353">
        <v>2686</v>
      </c>
      <c r="AK150" s="353">
        <v>2781</v>
      </c>
      <c r="AL150" s="354">
        <f t="shared" ref="AL150:AL160" si="103">SUM(AH150:AK150)</f>
        <v>11241</v>
      </c>
      <c r="AM150" s="353">
        <v>2770</v>
      </c>
      <c r="AN150" s="353">
        <v>2765</v>
      </c>
      <c r="AO150" s="353">
        <v>2759</v>
      </c>
      <c r="AP150" s="353">
        <v>2854</v>
      </c>
      <c r="AQ150" s="354">
        <f>CA!K78</f>
        <v>11148</v>
      </c>
      <c r="AR150" s="492">
        <v>2850</v>
      </c>
      <c r="AS150" s="492">
        <v>2850</v>
      </c>
      <c r="AT150" s="492">
        <v>2875</v>
      </c>
      <c r="AU150" s="492">
        <v>2950</v>
      </c>
      <c r="AV150" s="354">
        <f>CA!L78</f>
        <v>12712.970000000001</v>
      </c>
      <c r="AW150" s="492"/>
      <c r="AX150" s="492"/>
      <c r="AY150" s="492"/>
      <c r="AZ150" s="492"/>
      <c r="BA150" s="354">
        <f>CA!M78</f>
        <v>13437.3</v>
      </c>
      <c r="BB150" s="492"/>
      <c r="BC150" s="492"/>
      <c r="BD150" s="492"/>
      <c r="BE150" s="492"/>
      <c r="BF150" s="516"/>
      <c r="BG150" s="516"/>
      <c r="BH150" s="516"/>
      <c r="BI150" s="516"/>
      <c r="BJ150" s="516"/>
      <c r="BK150" s="516"/>
      <c r="BL150" s="516"/>
      <c r="BM150" s="516"/>
      <c r="BN150" s="516"/>
      <c r="BO150" s="516"/>
      <c r="BP150" s="516"/>
      <c r="BQ150" s="516"/>
      <c r="BR150" s="516"/>
      <c r="BS150" s="516"/>
      <c r="BT150" s="516"/>
      <c r="BU150" s="9"/>
      <c r="BW150" s="9"/>
      <c r="BX150" s="9"/>
      <c r="BY150" s="9"/>
      <c r="CA150" s="9">
        <f>AJ180*AVERAGE(AI124,AJ124)*3/1000</f>
        <v>2647.1402819999998</v>
      </c>
      <c r="CB150" s="16">
        <f t="shared" si="94"/>
        <v>1.4467504839910706E-2</v>
      </c>
      <c r="CC150" s="16">
        <f t="shared" si="95"/>
        <v>0.99999479773288746</v>
      </c>
      <c r="CD150" s="16"/>
      <c r="CE150" s="16"/>
      <c r="CF150" s="16"/>
      <c r="CG150" s="16"/>
      <c r="CH150" s="16"/>
      <c r="CI150" s="16"/>
      <c r="CJ150" s="16">
        <f t="shared" si="96"/>
        <v>-9.6231493943472413E-2</v>
      </c>
      <c r="CK150" s="16">
        <f t="shared" si="97"/>
        <v>-9.6784670347515478E-2</v>
      </c>
      <c r="CL150" s="16">
        <f t="shared" si="98"/>
        <v>-3.7191518943343715E-2</v>
      </c>
      <c r="CM150" s="16">
        <f t="shared" si="99"/>
        <v>-4.556437694166382E-2</v>
      </c>
      <c r="CN150" s="16">
        <f t="shared" si="100"/>
        <v>2.7177959791511608E-2</v>
      </c>
      <c r="CO150" s="16">
        <f t="shared" si="101"/>
        <v>2.6249550521395104E-2</v>
      </c>
      <c r="CP150" s="16">
        <f t="shared" si="102"/>
        <v>2.8880866425992746E-2</v>
      </c>
      <c r="CQ150" s="16">
        <f t="shared" si="102"/>
        <v>3.0741410488245968E-2</v>
      </c>
      <c r="CR150" s="16">
        <f t="shared" si="102"/>
        <v>4.2044218919898624E-2</v>
      </c>
      <c r="CS150" s="16">
        <f t="shared" si="102"/>
        <v>3.3637000700770914E-2</v>
      </c>
      <c r="CT150" s="16"/>
      <c r="CU150" s="16"/>
      <c r="CV150" s="16"/>
      <c r="CW150" s="16"/>
      <c r="CX150" s="16"/>
      <c r="CY150" s="16"/>
      <c r="CZ150" s="16"/>
      <c r="DA150" s="16"/>
    </row>
    <row r="151" spans="1:105">
      <c r="A151" s="6"/>
      <c r="B151" s="6"/>
      <c r="D151" s="4" t="str">
        <f>D128</f>
        <v>Colombia</v>
      </c>
      <c r="E151" s="2"/>
      <c r="F151" s="10"/>
      <c r="G151" s="2"/>
      <c r="H151" s="10"/>
      <c r="I151" s="10"/>
      <c r="J151" s="10"/>
      <c r="K151" s="10"/>
      <c r="L151" s="10"/>
      <c r="M151" s="10"/>
      <c r="N151" s="10"/>
      <c r="O151" s="10"/>
      <c r="P151" s="10"/>
      <c r="Q151" s="10"/>
      <c r="R151" s="10"/>
      <c r="S151" s="10"/>
      <c r="T151" s="9"/>
      <c r="U151" s="9"/>
      <c r="V151" s="353">
        <f>V222*V447</f>
        <v>208029.49159421527</v>
      </c>
      <c r="W151" s="351"/>
      <c r="X151" s="353">
        <f>X222*X447</f>
        <v>201083.65880287177</v>
      </c>
      <c r="Y151" s="353">
        <f>Y222*Y447</f>
        <v>216685.94821769232</v>
      </c>
      <c r="Z151" s="353">
        <f>Z222*Z447</f>
        <v>237404.94859414155</v>
      </c>
      <c r="AA151" s="353">
        <f>AA222*AA447</f>
        <v>262180.60496590543</v>
      </c>
      <c r="AB151" s="351"/>
      <c r="AC151" s="353">
        <f>AC222*AC447</f>
        <v>206329.33036363634</v>
      </c>
      <c r="AD151" s="353">
        <f>AD222*AD447</f>
        <v>208571.46276923077</v>
      </c>
      <c r="AE151" s="353">
        <v>227064</v>
      </c>
      <c r="AF151" s="353">
        <v>233158</v>
      </c>
      <c r="AG151" s="354"/>
      <c r="AH151" s="9">
        <v>225640</v>
      </c>
      <c r="AI151" s="9">
        <v>231635</v>
      </c>
      <c r="AJ151" s="353">
        <v>237884</v>
      </c>
      <c r="AK151" s="353">
        <v>266672</v>
      </c>
      <c r="AL151" s="354">
        <f t="shared" si="103"/>
        <v>961831</v>
      </c>
      <c r="AM151" s="353">
        <v>267738</v>
      </c>
      <c r="AN151" s="353">
        <v>277008</v>
      </c>
      <c r="AO151" s="353">
        <v>295967</v>
      </c>
      <c r="AP151" s="353">
        <v>323194</v>
      </c>
      <c r="AQ151" s="354">
        <f>Colombia!G56*1000</f>
        <v>1161928.0211584354</v>
      </c>
      <c r="AR151" s="492">
        <f t="shared" ref="AR151:AU152" si="104">(1+CP151)*AM151</f>
        <v>321285.59999999998</v>
      </c>
      <c r="AS151" s="492">
        <f t="shared" si="104"/>
        <v>335179.68</v>
      </c>
      <c r="AT151" s="492">
        <f t="shared" si="104"/>
        <v>349241.06</v>
      </c>
      <c r="AU151" s="492">
        <f t="shared" si="104"/>
        <v>374905.04</v>
      </c>
      <c r="AV151" s="354">
        <f>Colombia!H56*1000</f>
        <v>1407672</v>
      </c>
      <c r="AW151" s="492">
        <f>(1+CT151)*AR151</f>
        <v>353414.16</v>
      </c>
      <c r="AX151" s="492">
        <f>(1+CU151)*AS151</f>
        <v>368697.64800000004</v>
      </c>
      <c r="AY151" s="492">
        <f>(1+CV151)*AT151</f>
        <v>384165.16600000003</v>
      </c>
      <c r="AZ151" s="492">
        <f>(1+CW151)*AU151</f>
        <v>419893.64480000001</v>
      </c>
      <c r="BA151" s="354">
        <f>Colombia!I56*1000</f>
        <v>1536690</v>
      </c>
      <c r="BB151" s="492">
        <f>BB222*BB447</f>
        <v>431457.824508538</v>
      </c>
      <c r="BC151" s="492"/>
      <c r="BD151" s="492"/>
      <c r="BE151" s="492"/>
      <c r="BF151" s="516"/>
      <c r="BG151" s="516"/>
      <c r="BH151" s="516"/>
      <c r="BI151" s="516"/>
      <c r="BJ151" s="516"/>
      <c r="BK151" s="516"/>
      <c r="BL151" s="516"/>
      <c r="BM151" s="516"/>
      <c r="BN151" s="516"/>
      <c r="BO151" s="516"/>
      <c r="BP151" s="516"/>
      <c r="BQ151" s="516"/>
      <c r="BR151" s="516"/>
      <c r="BS151" s="516"/>
      <c r="BT151" s="516"/>
      <c r="BU151" s="9"/>
      <c r="BW151" s="9"/>
      <c r="BX151" s="9"/>
      <c r="BY151" s="9"/>
      <c r="CA151" s="9">
        <f>AJ181*AVERAGE(AI128,AJ128)*3/1000</f>
        <v>226452.27202650002</v>
      </c>
      <c r="CB151" s="16">
        <f t="shared" si="94"/>
        <v>4.805589267668265E-2</v>
      </c>
      <c r="CC151" s="16">
        <f t="shared" si="95"/>
        <v>0.99999981979400654</v>
      </c>
      <c r="CD151" s="16"/>
      <c r="CE151" s="16"/>
      <c r="CF151" s="16"/>
      <c r="CG151" s="16"/>
      <c r="CH151" s="16"/>
      <c r="CI151" s="16"/>
      <c r="CJ151" s="16">
        <f t="shared" si="96"/>
        <v>4.7651763379487733E-2</v>
      </c>
      <c r="CK151" s="16">
        <f t="shared" si="97"/>
        <v>0.14373943849235293</v>
      </c>
      <c r="CL151" s="16">
        <f t="shared" si="98"/>
        <v>0.18657152987059034</v>
      </c>
      <c r="CM151" s="16">
        <f t="shared" si="99"/>
        <v>0.19588145142141733</v>
      </c>
      <c r="CN151" s="16">
        <f t="shared" si="100"/>
        <v>0.24416522338618818</v>
      </c>
      <c r="CO151" s="16">
        <f t="shared" si="101"/>
        <v>0.2119532609347814</v>
      </c>
      <c r="CP151" s="65">
        <v>0.2</v>
      </c>
      <c r="CQ151" s="65">
        <v>0.21</v>
      </c>
      <c r="CR151" s="65">
        <v>0.18</v>
      </c>
      <c r="CS151" s="65">
        <v>0.16</v>
      </c>
      <c r="CT151" s="65">
        <v>0.1</v>
      </c>
      <c r="CU151" s="65">
        <v>0.1</v>
      </c>
      <c r="CV151" s="65">
        <v>0.1</v>
      </c>
      <c r="CW151" s="65">
        <v>0.12</v>
      </c>
      <c r="CX151" s="16">
        <f>BB151/AW151-1</f>
        <v>0.2208277803824783</v>
      </c>
      <c r="CY151" s="16">
        <f>BC151/AX151-1</f>
        <v>-1</v>
      </c>
      <c r="CZ151" s="16"/>
      <c r="DA151" s="16"/>
    </row>
    <row r="152" spans="1:105">
      <c r="A152" s="6"/>
      <c r="B152" s="6"/>
      <c r="D152" s="4" t="str">
        <f>D129</f>
        <v>Bolivia</v>
      </c>
      <c r="E152" s="2"/>
      <c r="F152" s="10"/>
      <c r="G152" s="2"/>
      <c r="H152" s="10"/>
      <c r="I152" s="10"/>
      <c r="J152" s="10"/>
      <c r="K152" s="10"/>
      <c r="L152" s="10"/>
      <c r="M152" s="10"/>
      <c r="N152" s="10"/>
      <c r="O152" s="10"/>
      <c r="P152" s="10"/>
      <c r="Q152" s="10"/>
      <c r="R152" s="10"/>
      <c r="S152" s="10"/>
      <c r="T152" s="9"/>
      <c r="U152" s="9"/>
      <c r="V152" s="9"/>
      <c r="W152" s="351"/>
      <c r="X152" s="352"/>
      <c r="Y152" s="352"/>
      <c r="Z152" s="352"/>
      <c r="AA152" s="352"/>
      <c r="AB152" s="351"/>
      <c r="AC152" s="352"/>
      <c r="AD152" s="352"/>
      <c r="AE152" s="353">
        <v>340</v>
      </c>
      <c r="AF152" s="353">
        <v>384</v>
      </c>
      <c r="AG152" s="354"/>
      <c r="AH152" s="9">
        <v>377</v>
      </c>
      <c r="AI152" s="9">
        <v>395</v>
      </c>
      <c r="AJ152" s="353">
        <v>444</v>
      </c>
      <c r="AK152" s="353">
        <v>489</v>
      </c>
      <c r="AL152" s="354">
        <f>SUM(AH152:AK152)</f>
        <v>1705</v>
      </c>
      <c r="AM152" s="353">
        <v>483</v>
      </c>
      <c r="AN152" s="353">
        <v>504</v>
      </c>
      <c r="AO152" s="353">
        <v>535</v>
      </c>
      <c r="AP152" s="353">
        <v>577</v>
      </c>
      <c r="AQ152" s="354">
        <f>SA!K75</f>
        <v>2099</v>
      </c>
      <c r="AR152" s="492">
        <f t="shared" si="104"/>
        <v>565.11</v>
      </c>
      <c r="AS152" s="492">
        <f t="shared" si="104"/>
        <v>594.71999999999991</v>
      </c>
      <c r="AT152" s="492">
        <f t="shared" si="104"/>
        <v>615.25</v>
      </c>
      <c r="AU152" s="492">
        <f t="shared" si="104"/>
        <v>652.01</v>
      </c>
      <c r="AV152" s="354">
        <f>SA!L75</f>
        <v>2488.29</v>
      </c>
      <c r="AW152" s="492"/>
      <c r="AX152" s="492"/>
      <c r="AY152" s="492"/>
      <c r="AZ152" s="492"/>
      <c r="BA152" s="354">
        <f>SA!M75</f>
        <v>2964.39</v>
      </c>
      <c r="BB152" s="492"/>
      <c r="BC152" s="492"/>
      <c r="BD152" s="492"/>
      <c r="BE152" s="492"/>
      <c r="BF152" s="516"/>
      <c r="BG152" s="516"/>
      <c r="BH152" s="516"/>
      <c r="BI152" s="516"/>
      <c r="BJ152" s="516"/>
      <c r="BK152" s="516"/>
      <c r="BL152" s="516"/>
      <c r="BM152" s="516"/>
      <c r="BN152" s="516"/>
      <c r="BO152" s="516"/>
      <c r="BP152" s="516"/>
      <c r="BQ152" s="516"/>
      <c r="BR152" s="516"/>
      <c r="BS152" s="516"/>
      <c r="BT152" s="516"/>
      <c r="BU152" s="9"/>
      <c r="BW152" s="9"/>
      <c r="BX152" s="9"/>
      <c r="BY152" s="9"/>
      <c r="CA152" s="9">
        <f>AJ182*AVERAGE(AI129,AJ129)*3/1000</f>
        <v>431.44147199999998</v>
      </c>
      <c r="CB152" s="16">
        <f t="shared" si="94"/>
        <v>2.8284972972973027E-2</v>
      </c>
      <c r="CC152" s="16">
        <f t="shared" si="95"/>
        <v>0.99994215751948268</v>
      </c>
      <c r="CD152" s="16"/>
      <c r="CE152" s="16"/>
      <c r="CF152" s="16"/>
      <c r="CG152" s="16"/>
      <c r="CH152" s="16"/>
      <c r="CI152" s="16"/>
      <c r="CJ152" s="16">
        <f t="shared" si="96"/>
        <v>0.30588235294117649</v>
      </c>
      <c r="CK152" s="16">
        <f t="shared" si="97"/>
        <v>0.2734375</v>
      </c>
      <c r="CL152" s="16">
        <f t="shared" si="98"/>
        <v>0.28116710875331563</v>
      </c>
      <c r="CM152" s="16">
        <f t="shared" si="99"/>
        <v>0.27594936708860751</v>
      </c>
      <c r="CN152" s="16">
        <f t="shared" si="100"/>
        <v>0.20495495495495497</v>
      </c>
      <c r="CO152" s="16">
        <f t="shared" si="101"/>
        <v>0.1799591002044989</v>
      </c>
      <c r="CP152" s="65">
        <v>0.17</v>
      </c>
      <c r="CQ152" s="65">
        <v>0.18</v>
      </c>
      <c r="CR152" s="65">
        <v>0.15</v>
      </c>
      <c r="CS152" s="65">
        <v>0.13</v>
      </c>
      <c r="CT152" s="65"/>
      <c r="CU152" s="65"/>
      <c r="CV152" s="65"/>
      <c r="CW152" s="65"/>
      <c r="CX152" s="65"/>
      <c r="CY152" s="65"/>
      <c r="CZ152" s="65"/>
      <c r="DA152" s="65"/>
    </row>
    <row r="153" spans="1:105">
      <c r="A153" s="6"/>
      <c r="B153" s="6"/>
      <c r="D153" s="4" t="str">
        <f>D130</f>
        <v>Paraguay</v>
      </c>
      <c r="E153" s="2"/>
      <c r="F153" s="10"/>
      <c r="G153" s="2"/>
      <c r="H153" s="10"/>
      <c r="I153" s="10"/>
      <c r="J153" s="10"/>
      <c r="K153" s="10"/>
      <c r="L153" s="10"/>
      <c r="M153" s="10"/>
      <c r="N153" s="10"/>
      <c r="O153" s="10"/>
      <c r="P153" s="10"/>
      <c r="Q153" s="10"/>
      <c r="R153" s="10"/>
      <c r="S153" s="10"/>
      <c r="T153" s="9"/>
      <c r="U153" s="9"/>
      <c r="V153" s="9"/>
      <c r="W153" s="351"/>
      <c r="X153" s="352"/>
      <c r="Y153" s="352"/>
      <c r="Z153" s="352"/>
      <c r="AA153" s="352"/>
      <c r="AB153" s="351"/>
      <c r="AC153" s="352"/>
      <c r="AD153" s="352"/>
      <c r="AE153" s="353">
        <v>426263</v>
      </c>
      <c r="AF153" s="353">
        <v>484678</v>
      </c>
      <c r="AG153" s="354"/>
      <c r="AH153" s="9">
        <v>463011</v>
      </c>
      <c r="AI153" s="9">
        <v>455686</v>
      </c>
      <c r="AJ153" s="353">
        <v>483735</v>
      </c>
      <c r="AK153" s="353">
        <v>527518</v>
      </c>
      <c r="AL153" s="354">
        <f t="shared" si="103"/>
        <v>1929950</v>
      </c>
      <c r="AM153" s="353">
        <v>506372</v>
      </c>
      <c r="AN153" s="353">
        <v>516629</v>
      </c>
      <c r="AO153" s="353">
        <v>565347</v>
      </c>
      <c r="AP153" s="353">
        <v>628600</v>
      </c>
      <c r="AQ153" s="354">
        <f>SA!K77*1000</f>
        <v>2216948</v>
      </c>
      <c r="AR153" s="353">
        <f>AR224*AR446</f>
        <v>0</v>
      </c>
      <c r="AS153" s="353">
        <f>AS224*AS446</f>
        <v>0</v>
      </c>
      <c r="AT153" s="353">
        <f>AT224*AT446</f>
        <v>0</v>
      </c>
      <c r="AU153" s="353">
        <f>AU224*AU446</f>
        <v>0</v>
      </c>
      <c r="AV153" s="354">
        <f>SA!L77*1000</f>
        <v>2488228</v>
      </c>
      <c r="AW153" s="353"/>
      <c r="AX153" s="353"/>
      <c r="AY153" s="353"/>
      <c r="AZ153" s="353"/>
      <c r="BA153" s="354">
        <f>SA!M77*1000</f>
        <v>2867282</v>
      </c>
      <c r="BB153" s="353"/>
      <c r="BC153" s="353"/>
      <c r="BD153" s="353"/>
      <c r="BE153" s="353"/>
      <c r="BF153" s="516"/>
      <c r="BG153" s="516"/>
      <c r="BH153" s="516"/>
      <c r="BI153" s="516"/>
      <c r="BJ153" s="516"/>
      <c r="BK153" s="516"/>
      <c r="BL153" s="516"/>
      <c r="BM153" s="516"/>
      <c r="BN153" s="516"/>
      <c r="BO153" s="516"/>
      <c r="BP153" s="516"/>
      <c r="BQ153" s="516"/>
      <c r="BR153" s="516"/>
      <c r="BS153" s="516"/>
      <c r="BT153" s="516"/>
      <c r="BU153" s="9"/>
      <c r="BW153" s="9"/>
      <c r="BX153" s="9"/>
      <c r="BY153" s="9"/>
      <c r="CA153" s="9">
        <f>AJ183*AVERAGE(AI130,AJ130)*3/1000</f>
        <v>442297.02946799994</v>
      </c>
      <c r="CB153" s="16">
        <f t="shared" si="94"/>
        <v>8.5662543607553862E-2</v>
      </c>
      <c r="CC153" s="16">
        <f t="shared" si="95"/>
        <v>0.99999983761209355</v>
      </c>
      <c r="CD153" s="16"/>
      <c r="CE153" s="16"/>
      <c r="CF153" s="16"/>
      <c r="CG153" s="16"/>
      <c r="CH153" s="16"/>
      <c r="CI153" s="16"/>
      <c r="CJ153" s="16">
        <f t="shared" si="96"/>
        <v>0.13482755951138148</v>
      </c>
      <c r="CK153" s="16">
        <f t="shared" si="97"/>
        <v>8.8388579634314013E-2</v>
      </c>
      <c r="CL153" s="16">
        <f t="shared" si="98"/>
        <v>9.3650042871551653E-2</v>
      </c>
      <c r="CM153" s="16">
        <f t="shared" si="99"/>
        <v>0.13373902204588251</v>
      </c>
      <c r="CN153" s="16">
        <f t="shared" si="100"/>
        <v>0.1687122081304846</v>
      </c>
      <c r="CO153" s="16">
        <f t="shared" si="101"/>
        <v>0.19161810592245199</v>
      </c>
      <c r="CP153" s="16">
        <f>AR153/AM153-1</f>
        <v>-1</v>
      </c>
      <c r="CQ153" s="16">
        <f>AS153/AN153-1</f>
        <v>-1</v>
      </c>
      <c r="CR153" s="16">
        <f>AT153/AO153-1</f>
        <v>-1</v>
      </c>
      <c r="CS153" s="16">
        <f>AU153/AP153-1</f>
        <v>-1</v>
      </c>
      <c r="CT153" s="16"/>
      <c r="CU153" s="16"/>
      <c r="CV153" s="16"/>
      <c r="CW153" s="16"/>
      <c r="CX153" s="16"/>
      <c r="CY153" s="16"/>
      <c r="CZ153" s="16"/>
      <c r="DA153" s="16"/>
    </row>
    <row r="154" spans="1:105">
      <c r="A154" s="6"/>
      <c r="B154" s="6"/>
      <c r="D154" s="4" t="str">
        <f>D134</f>
        <v>Ghana</v>
      </c>
      <c r="E154" s="2"/>
      <c r="F154" s="10"/>
      <c r="G154" s="2"/>
      <c r="H154" s="10"/>
      <c r="I154" s="10"/>
      <c r="J154" s="10"/>
      <c r="K154" s="10"/>
      <c r="L154" s="10"/>
      <c r="M154" s="10"/>
      <c r="N154" s="10"/>
      <c r="O154" s="10"/>
      <c r="P154" s="10"/>
      <c r="Q154" s="10"/>
      <c r="R154" s="10"/>
      <c r="S154" s="10"/>
      <c r="T154" s="9"/>
      <c r="U154" s="9"/>
      <c r="V154" s="9"/>
      <c r="W154" s="351"/>
      <c r="X154" s="352"/>
      <c r="Y154" s="352"/>
      <c r="Z154" s="352"/>
      <c r="AA154" s="352"/>
      <c r="AB154" s="351"/>
      <c r="AC154" s="352"/>
      <c r="AD154" s="352"/>
      <c r="AE154" s="353">
        <v>61</v>
      </c>
      <c r="AF154" s="353">
        <v>68</v>
      </c>
      <c r="AG154" s="354"/>
      <c r="AH154" s="9">
        <v>62</v>
      </c>
      <c r="AI154" s="9">
        <v>68</v>
      </c>
      <c r="AJ154" s="353">
        <v>71</v>
      </c>
      <c r="AK154" s="353">
        <v>76</v>
      </c>
      <c r="AL154" s="354">
        <f t="shared" si="103"/>
        <v>277</v>
      </c>
      <c r="AM154" s="402">
        <f>66+6</f>
        <v>72</v>
      </c>
      <c r="AN154" s="353">
        <v>71</v>
      </c>
      <c r="AO154" s="353">
        <v>79</v>
      </c>
      <c r="AP154" s="353">
        <v>85</v>
      </c>
      <c r="AQ154" s="354">
        <f>Africa!K99</f>
        <v>307</v>
      </c>
      <c r="AR154" s="353">
        <f t="shared" ref="AR154:AU159" si="105">(1+CP154)*AM154</f>
        <v>80.640000000000015</v>
      </c>
      <c r="AS154" s="353">
        <f t="shared" si="105"/>
        <v>80.940000000000012</v>
      </c>
      <c r="AT154" s="353">
        <f t="shared" si="105"/>
        <v>77.42</v>
      </c>
      <c r="AU154" s="353">
        <f t="shared" si="105"/>
        <v>76.5</v>
      </c>
      <c r="AV154" s="354">
        <f>Africa!L99</f>
        <v>292.92408226051094</v>
      </c>
      <c r="AW154" s="353"/>
      <c r="AX154" s="353"/>
      <c r="AY154" s="353"/>
      <c r="AZ154" s="353"/>
      <c r="BA154" s="354">
        <f>Africa!M99</f>
        <v>302.92352507342974</v>
      </c>
      <c r="BB154" s="353"/>
      <c r="BC154" s="353"/>
      <c r="BD154" s="353"/>
      <c r="BE154" s="353"/>
      <c r="BF154" s="516"/>
      <c r="BG154" s="516"/>
      <c r="BH154" s="516"/>
      <c r="BI154" s="516"/>
      <c r="BJ154" s="516"/>
      <c r="BK154" s="516"/>
      <c r="BL154" s="516"/>
      <c r="BM154" s="516"/>
      <c r="BN154" s="516"/>
      <c r="BO154" s="516"/>
      <c r="BP154" s="516"/>
      <c r="BQ154" s="516"/>
      <c r="BR154" s="516"/>
      <c r="BS154" s="516"/>
      <c r="BT154" s="516"/>
      <c r="BU154" s="9"/>
      <c r="BW154" s="9"/>
      <c r="BX154" s="9"/>
      <c r="BY154" s="9"/>
      <c r="CA154" s="9">
        <f>AJ184*AVERAGE(AI134,AJ134)*3/1000</f>
        <v>70.275384000000003</v>
      </c>
      <c r="CB154" s="16">
        <f t="shared" si="94"/>
        <v>1.0205859154929543E-2</v>
      </c>
      <c r="CC154" s="16">
        <f t="shared" si="95"/>
        <v>0.99986571237954036</v>
      </c>
      <c r="CD154" s="16"/>
      <c r="CE154" s="16"/>
      <c r="CF154" s="16"/>
      <c r="CG154" s="16"/>
      <c r="CH154" s="16"/>
      <c r="CI154" s="16"/>
      <c r="CJ154" s="16">
        <f t="shared" si="96"/>
        <v>0.16393442622950816</v>
      </c>
      <c r="CK154" s="16">
        <f t="shared" si="97"/>
        <v>0.11764705882352944</v>
      </c>
      <c r="CL154" s="16">
        <f t="shared" si="98"/>
        <v>0.16129032258064524</v>
      </c>
      <c r="CM154" s="16">
        <f t="shared" si="99"/>
        <v>4.4117647058823595E-2</v>
      </c>
      <c r="CN154" s="16">
        <f t="shared" si="100"/>
        <v>0.11267605633802824</v>
      </c>
      <c r="CO154" s="16">
        <f t="shared" si="101"/>
        <v>0.11842105263157898</v>
      </c>
      <c r="CP154" s="65">
        <v>0.12</v>
      </c>
      <c r="CQ154" s="65">
        <v>0.14000000000000001</v>
      </c>
      <c r="CR154" s="65">
        <v>-0.02</v>
      </c>
      <c r="CS154" s="65">
        <v>-0.1</v>
      </c>
      <c r="CT154" s="65"/>
      <c r="CU154" s="65"/>
      <c r="CV154" s="65"/>
      <c r="CW154" s="65"/>
      <c r="CX154" s="65"/>
      <c r="CY154" s="65"/>
      <c r="CZ154" s="65"/>
      <c r="DA154" s="65"/>
    </row>
    <row r="155" spans="1:105">
      <c r="A155" s="6"/>
      <c r="B155" s="6"/>
      <c r="D155" s="4" t="str">
        <f>D135</f>
        <v>Mauritius</v>
      </c>
      <c r="E155" s="2"/>
      <c r="F155" s="10"/>
      <c r="G155" s="2"/>
      <c r="H155" s="10"/>
      <c r="I155" s="10"/>
      <c r="J155" s="10"/>
      <c r="K155" s="10"/>
      <c r="L155" s="10"/>
      <c r="M155" s="10"/>
      <c r="N155" s="10"/>
      <c r="O155" s="10"/>
      <c r="P155" s="10"/>
      <c r="Q155" s="10"/>
      <c r="R155" s="10"/>
      <c r="S155" s="10"/>
      <c r="T155" s="9"/>
      <c r="U155" s="9"/>
      <c r="V155" s="9"/>
      <c r="W155" s="351"/>
      <c r="X155" s="352"/>
      <c r="Y155" s="352"/>
      <c r="Z155" s="352"/>
      <c r="AA155" s="352"/>
      <c r="AB155" s="351"/>
      <c r="AC155" s="352"/>
      <c r="AD155" s="352"/>
      <c r="AE155" s="353">
        <v>504</v>
      </c>
      <c r="AF155" s="353">
        <v>526</v>
      </c>
      <c r="AG155" s="354"/>
      <c r="AH155" s="9">
        <v>525</v>
      </c>
      <c r="AI155" s="9">
        <v>508</v>
      </c>
      <c r="AJ155" s="353">
        <v>548</v>
      </c>
      <c r="AK155" s="353">
        <v>605</v>
      </c>
      <c r="AL155" s="354">
        <f t="shared" si="103"/>
        <v>2186</v>
      </c>
      <c r="AM155" s="353">
        <v>604</v>
      </c>
      <c r="AN155" s="353">
        <v>578</v>
      </c>
      <c r="AO155" s="353">
        <v>550</v>
      </c>
      <c r="AP155" s="353">
        <v>600</v>
      </c>
      <c r="AQ155" s="354">
        <f>Africa!K100/$B$135</f>
        <v>2332</v>
      </c>
      <c r="AR155" s="353">
        <f t="shared" si="105"/>
        <v>604</v>
      </c>
      <c r="AS155" s="353">
        <f t="shared" si="105"/>
        <v>589.56000000000006</v>
      </c>
      <c r="AT155" s="353">
        <f t="shared" si="105"/>
        <v>572</v>
      </c>
      <c r="AU155" s="353">
        <f t="shared" si="105"/>
        <v>630</v>
      </c>
      <c r="AV155" s="354">
        <f>Africa!L100/$B$135</f>
        <v>2195.5858188133411</v>
      </c>
      <c r="AW155" s="353"/>
      <c r="AX155" s="353"/>
      <c r="AY155" s="353"/>
      <c r="AZ155" s="353"/>
      <c r="BA155" s="354">
        <f>Africa!M100/$B$135</f>
        <v>0</v>
      </c>
      <c r="BB155" s="353"/>
      <c r="BC155" s="353"/>
      <c r="BD155" s="353"/>
      <c r="BE155" s="353"/>
      <c r="BF155" s="516"/>
      <c r="BG155" s="516"/>
      <c r="BH155" s="516"/>
      <c r="BI155" s="516"/>
      <c r="BJ155" s="516"/>
      <c r="BK155" s="516"/>
      <c r="BL155" s="516"/>
      <c r="BM155" s="516"/>
      <c r="BN155" s="516"/>
      <c r="BO155" s="516"/>
      <c r="BP155" s="516"/>
      <c r="BQ155" s="516"/>
      <c r="BR155" s="516"/>
      <c r="BS155" s="516"/>
      <c r="BT155" s="516"/>
      <c r="BU155" s="9"/>
      <c r="BW155" s="9"/>
      <c r="BX155" s="9"/>
      <c r="BY155" s="9"/>
      <c r="CA155" s="9">
        <f>AJ185*AVERAGE(AI135,AJ135)*3/1000</f>
        <v>520.97024999999996</v>
      </c>
      <c r="CB155" s="16">
        <f t="shared" si="94"/>
        <v>4.9324361313868678E-2</v>
      </c>
      <c r="CC155" s="16">
        <f t="shared" si="95"/>
        <v>0.99991847213005969</v>
      </c>
      <c r="CD155" s="16"/>
      <c r="CE155" s="16"/>
      <c r="CF155" s="16"/>
      <c r="CG155" s="16"/>
      <c r="CH155" s="16"/>
      <c r="CI155" s="16"/>
      <c r="CJ155" s="16">
        <f t="shared" si="96"/>
        <v>8.7301587301587213E-2</v>
      </c>
      <c r="CK155" s="16">
        <f t="shared" si="97"/>
        <v>0.15019011406844096</v>
      </c>
      <c r="CL155" s="16">
        <f t="shared" si="98"/>
        <v>0.15047619047619043</v>
      </c>
      <c r="CM155" s="16">
        <f t="shared" si="99"/>
        <v>0.13779527559055116</v>
      </c>
      <c r="CN155" s="16">
        <f t="shared" si="100"/>
        <v>3.6496350364962904E-3</v>
      </c>
      <c r="CO155" s="16">
        <f t="shared" si="101"/>
        <v>-8.2644628099173278E-3</v>
      </c>
      <c r="CP155" s="65">
        <v>0</v>
      </c>
      <c r="CQ155" s="65">
        <v>0.02</v>
      </c>
      <c r="CR155" s="65">
        <v>0.04</v>
      </c>
      <c r="CS155" s="65">
        <v>0.05</v>
      </c>
      <c r="CT155" s="65"/>
      <c r="CU155" s="65"/>
      <c r="CV155" s="65"/>
      <c r="CW155" s="65"/>
      <c r="CX155" s="65"/>
      <c r="CY155" s="65"/>
      <c r="CZ155" s="65"/>
      <c r="DA155" s="65"/>
    </row>
    <row r="156" spans="1:105">
      <c r="A156" s="6"/>
      <c r="B156" s="6"/>
      <c r="D156" s="4" t="str">
        <f>D136</f>
        <v>Senegal</v>
      </c>
      <c r="E156" s="2"/>
      <c r="F156" s="10"/>
      <c r="G156" s="2"/>
      <c r="H156" s="10"/>
      <c r="I156" s="10"/>
      <c r="J156" s="10"/>
      <c r="K156" s="10"/>
      <c r="L156" s="10"/>
      <c r="M156" s="10"/>
      <c r="N156" s="10"/>
      <c r="O156" s="10"/>
      <c r="P156" s="10"/>
      <c r="Q156" s="10"/>
      <c r="R156" s="10"/>
      <c r="S156" s="10"/>
      <c r="T156" s="9"/>
      <c r="U156" s="9"/>
      <c r="V156" s="9"/>
      <c r="W156" s="351"/>
      <c r="X156" s="352"/>
      <c r="Y156" s="352"/>
      <c r="Z156" s="352"/>
      <c r="AA156" s="352"/>
      <c r="AB156" s="351"/>
      <c r="AC156" s="352"/>
      <c r="AD156" s="352"/>
      <c r="AE156" s="353">
        <v>18643</v>
      </c>
      <c r="AF156" s="353">
        <v>17720</v>
      </c>
      <c r="AG156" s="354"/>
      <c r="AH156" s="9">
        <v>17697</v>
      </c>
      <c r="AI156" s="9">
        <v>17988</v>
      </c>
      <c r="AJ156" s="353">
        <v>16774</v>
      </c>
      <c r="AK156" s="353">
        <v>18477</v>
      </c>
      <c r="AL156" s="354">
        <f t="shared" si="103"/>
        <v>70936</v>
      </c>
      <c r="AM156" s="353">
        <v>19589</v>
      </c>
      <c r="AN156" s="353">
        <v>18789</v>
      </c>
      <c r="AO156" s="353">
        <v>19227</v>
      </c>
      <c r="AP156" s="353">
        <v>18144</v>
      </c>
      <c r="AQ156" s="354">
        <f>Africa!K101</f>
        <v>75749</v>
      </c>
      <c r="AR156" s="353">
        <f t="shared" si="105"/>
        <v>19784.89</v>
      </c>
      <c r="AS156" s="353">
        <f t="shared" si="105"/>
        <v>19164.78</v>
      </c>
      <c r="AT156" s="353">
        <f t="shared" si="105"/>
        <v>18265.649999999998</v>
      </c>
      <c r="AU156" s="353">
        <f t="shared" si="105"/>
        <v>17236.8</v>
      </c>
      <c r="AV156" s="354">
        <f>Africa!L101</f>
        <v>63882.009614744864</v>
      </c>
      <c r="AW156" s="353"/>
      <c r="AX156" s="353"/>
      <c r="AY156" s="353"/>
      <c r="AZ156" s="353"/>
      <c r="BA156" s="354">
        <f>Africa!M101</f>
        <v>60203.30492708525</v>
      </c>
      <c r="BB156" s="353"/>
      <c r="BC156" s="353"/>
      <c r="BD156" s="353"/>
      <c r="BE156" s="353"/>
      <c r="BF156" s="516"/>
      <c r="BG156" s="516"/>
      <c r="BH156" s="516"/>
      <c r="BI156" s="516"/>
      <c r="BJ156" s="516"/>
      <c r="BK156" s="516"/>
      <c r="BL156" s="516"/>
      <c r="BM156" s="516"/>
      <c r="BN156" s="516"/>
      <c r="BO156" s="516"/>
      <c r="BP156" s="516"/>
      <c r="BQ156" s="516"/>
      <c r="BR156" s="516"/>
      <c r="BS156" s="516"/>
      <c r="BT156" s="516"/>
      <c r="BU156" s="9"/>
      <c r="BW156" s="9"/>
      <c r="BX156" s="9"/>
      <c r="BY156" s="9"/>
      <c r="CA156" s="9">
        <f>AJ186*AVERAGE(AI136,AJ136)*3/1000</f>
        <v>16276.562975999999</v>
      </c>
      <c r="CB156" s="16">
        <f t="shared" si="94"/>
        <v>2.9655241683557931E-2</v>
      </c>
      <c r="CC156" s="16">
        <f t="shared" si="95"/>
        <v>0.99999839501858068</v>
      </c>
      <c r="CD156" s="16"/>
      <c r="CE156" s="16"/>
      <c r="CF156" s="16"/>
      <c r="CG156" s="16"/>
      <c r="CH156" s="16"/>
      <c r="CI156" s="16"/>
      <c r="CJ156" s="16">
        <f t="shared" si="96"/>
        <v>-0.10025210534785178</v>
      </c>
      <c r="CK156" s="16">
        <f t="shared" si="97"/>
        <v>4.2720090293453694E-2</v>
      </c>
      <c r="CL156" s="16">
        <f t="shared" si="98"/>
        <v>0.10691077583771258</v>
      </c>
      <c r="CM156" s="16">
        <f t="shared" si="99"/>
        <v>4.4529686457638329E-2</v>
      </c>
      <c r="CN156" s="16">
        <f t="shared" si="100"/>
        <v>0.14623822582568269</v>
      </c>
      <c r="CO156" s="16">
        <f t="shared" si="101"/>
        <v>-1.8022406234778354E-2</v>
      </c>
      <c r="CP156" s="65">
        <v>0.01</v>
      </c>
      <c r="CQ156" s="65">
        <v>0.02</v>
      </c>
      <c r="CR156" s="65">
        <v>-0.05</v>
      </c>
      <c r="CS156" s="65">
        <v>-0.05</v>
      </c>
      <c r="CT156" s="65"/>
      <c r="CU156" s="65"/>
      <c r="CV156" s="65"/>
      <c r="CW156" s="65"/>
      <c r="CX156" s="65"/>
      <c r="CY156" s="65"/>
      <c r="CZ156" s="65"/>
      <c r="DA156" s="65"/>
    </row>
    <row r="157" spans="1:105">
      <c r="A157" s="6"/>
      <c r="B157" s="6"/>
      <c r="D157" s="4" t="str">
        <f>D138</f>
        <v>Tanzania</v>
      </c>
      <c r="E157" s="2"/>
      <c r="F157" s="10"/>
      <c r="G157" s="2"/>
      <c r="H157" s="10"/>
      <c r="I157" s="10"/>
      <c r="J157" s="10"/>
      <c r="K157" s="10"/>
      <c r="L157" s="10"/>
      <c r="M157" s="10"/>
      <c r="N157" s="10"/>
      <c r="O157" s="10"/>
      <c r="P157" s="10"/>
      <c r="Q157" s="10"/>
      <c r="R157" s="10"/>
      <c r="S157" s="10"/>
      <c r="T157" s="9"/>
      <c r="U157" s="9"/>
      <c r="V157" s="9"/>
      <c r="W157" s="351"/>
      <c r="X157" s="352"/>
      <c r="Y157" s="352"/>
      <c r="Z157" s="352"/>
      <c r="AA157" s="352"/>
      <c r="AB157" s="351"/>
      <c r="AC157" s="352"/>
      <c r="AD157" s="352"/>
      <c r="AE157" s="353">
        <v>57217</v>
      </c>
      <c r="AF157" s="353">
        <v>56972</v>
      </c>
      <c r="AG157" s="354"/>
      <c r="AH157" s="9">
        <v>56014</v>
      </c>
      <c r="AI157" s="9">
        <v>61711</v>
      </c>
      <c r="AJ157" s="353">
        <v>72980</v>
      </c>
      <c r="AK157" s="353">
        <v>83619</v>
      </c>
      <c r="AL157" s="354">
        <f t="shared" si="103"/>
        <v>274324</v>
      </c>
      <c r="AM157" s="353">
        <v>81296</v>
      </c>
      <c r="AN157" s="353">
        <v>87345</v>
      </c>
      <c r="AO157" s="353">
        <v>99019</v>
      </c>
      <c r="AP157" s="353">
        <v>100189</v>
      </c>
      <c r="AQ157" s="354">
        <f>Africa!K102</f>
        <v>367849</v>
      </c>
      <c r="AR157" s="353">
        <f t="shared" si="105"/>
        <v>95929.279999999999</v>
      </c>
      <c r="AS157" s="353">
        <f t="shared" si="105"/>
        <v>100446.74999999999</v>
      </c>
      <c r="AT157" s="353">
        <f t="shared" si="105"/>
        <v>108920.90000000001</v>
      </c>
      <c r="AU157" s="353">
        <f t="shared" si="105"/>
        <v>127740.97499999999</v>
      </c>
      <c r="AV157" s="354">
        <f>Africa!L102</f>
        <v>474739.07403681037</v>
      </c>
      <c r="AW157" s="353"/>
      <c r="AX157" s="353"/>
      <c r="AY157" s="353"/>
      <c r="AZ157" s="353"/>
      <c r="BA157" s="354">
        <f>Africa!M102</f>
        <v>544727.18689407408</v>
      </c>
      <c r="BB157" s="353"/>
      <c r="BC157" s="353"/>
      <c r="BD157" s="353"/>
      <c r="BE157" s="353"/>
      <c r="BF157" s="516"/>
      <c r="BG157" s="516"/>
      <c r="BH157" s="516"/>
      <c r="BI157" s="516"/>
      <c r="BJ157" s="516"/>
      <c r="BK157" s="516"/>
      <c r="BL157" s="516"/>
      <c r="BM157" s="516"/>
      <c r="BN157" s="516"/>
      <c r="BO157" s="516"/>
      <c r="BP157" s="516"/>
      <c r="BQ157" s="516"/>
      <c r="BR157" s="516"/>
      <c r="BS157" s="516"/>
      <c r="BT157" s="516"/>
      <c r="BU157" s="9"/>
      <c r="BW157" s="9"/>
      <c r="BX157" s="9"/>
      <c r="BY157" s="9"/>
      <c r="CA157" s="9">
        <f>AJ187*AVERAGE(AI138,AJ138)*3/1000</f>
        <v>72379.797658499985</v>
      </c>
      <c r="CB157" s="16">
        <f t="shared" si="94"/>
        <v>8.2242030898878448E-3</v>
      </c>
      <c r="CC157" s="16">
        <f t="shared" si="95"/>
        <v>0.99999990164671793</v>
      </c>
      <c r="CD157" s="16"/>
      <c r="CE157" s="16"/>
      <c r="CF157" s="16"/>
      <c r="CG157" s="16"/>
      <c r="CH157" s="16"/>
      <c r="CI157" s="16"/>
      <c r="CJ157" s="16">
        <f t="shared" si="96"/>
        <v>0.27549504517888046</v>
      </c>
      <c r="CK157" s="16">
        <f t="shared" si="97"/>
        <v>0.46772098574738474</v>
      </c>
      <c r="CL157" s="16">
        <f t="shared" si="98"/>
        <v>0.45135144785232262</v>
      </c>
      <c r="CM157" s="16">
        <f t="shared" si="99"/>
        <v>0.41538785629790476</v>
      </c>
      <c r="CN157" s="16">
        <f t="shared" si="100"/>
        <v>0.35679638257056734</v>
      </c>
      <c r="CO157" s="16">
        <f t="shared" si="101"/>
        <v>0.19816070510290729</v>
      </c>
      <c r="CP157" s="65">
        <v>0.18</v>
      </c>
      <c r="CQ157" s="65">
        <v>0.15</v>
      </c>
      <c r="CR157" s="65">
        <v>0.1</v>
      </c>
      <c r="CS157" s="65">
        <v>0.27500000000000002</v>
      </c>
      <c r="CT157" s="65"/>
      <c r="CU157" s="65"/>
      <c r="CV157" s="65"/>
      <c r="CW157" s="65"/>
      <c r="CX157" s="65"/>
      <c r="CY157" s="65"/>
      <c r="CZ157" s="65"/>
      <c r="DA157" s="65"/>
    </row>
    <row r="158" spans="1:105">
      <c r="A158" s="6"/>
      <c r="B158" s="6"/>
      <c r="D158" s="4" t="str">
        <f>D139</f>
        <v>Chad</v>
      </c>
      <c r="E158" s="2"/>
      <c r="F158" s="10"/>
      <c r="G158" s="2"/>
      <c r="H158" s="10"/>
      <c r="I158" s="10"/>
      <c r="J158" s="10"/>
      <c r="K158" s="10"/>
      <c r="L158" s="10"/>
      <c r="M158" s="10"/>
      <c r="N158" s="10"/>
      <c r="O158" s="10"/>
      <c r="P158" s="10"/>
      <c r="Q158" s="10"/>
      <c r="R158" s="10"/>
      <c r="S158" s="10"/>
      <c r="T158" s="9"/>
      <c r="U158" s="9"/>
      <c r="V158" s="9"/>
      <c r="W158" s="351"/>
      <c r="X158" s="352"/>
      <c r="Y158" s="352"/>
      <c r="Z158" s="352"/>
      <c r="AA158" s="352"/>
      <c r="AB158" s="351"/>
      <c r="AC158" s="352"/>
      <c r="AD158" s="352"/>
      <c r="AE158" s="353">
        <v>5128</v>
      </c>
      <c r="AF158" s="353">
        <v>6860</v>
      </c>
      <c r="AG158" s="354"/>
      <c r="AH158" s="9">
        <v>8552</v>
      </c>
      <c r="AI158" s="9">
        <v>10527</v>
      </c>
      <c r="AJ158" s="353">
        <v>10842</v>
      </c>
      <c r="AK158" s="353">
        <v>13536</v>
      </c>
      <c r="AL158" s="354">
        <f t="shared" si="103"/>
        <v>43457</v>
      </c>
      <c r="AM158" s="353">
        <v>13504</v>
      </c>
      <c r="AN158" s="353">
        <v>13516</v>
      </c>
      <c r="AO158" s="437">
        <f>11374</f>
        <v>11374</v>
      </c>
      <c r="AP158" s="437">
        <v>13782</v>
      </c>
      <c r="AQ158" s="354">
        <f>Africa!K103</f>
        <v>52176</v>
      </c>
      <c r="AR158" s="353">
        <f t="shared" si="105"/>
        <v>15529.599999999999</v>
      </c>
      <c r="AS158" s="353">
        <f t="shared" si="105"/>
        <v>16219.199999999999</v>
      </c>
      <c r="AT158" s="353">
        <f t="shared" si="105"/>
        <v>16492.3</v>
      </c>
      <c r="AU158" s="353">
        <f t="shared" si="105"/>
        <v>17227.5</v>
      </c>
      <c r="AV158" s="354">
        <f>Africa!L103</f>
        <v>53361.546238392839</v>
      </c>
      <c r="AW158" s="353"/>
      <c r="AX158" s="353"/>
      <c r="AY158" s="353"/>
      <c r="AZ158" s="353"/>
      <c r="BA158" s="354">
        <f>Africa!M103</f>
        <v>61733.897425231487</v>
      </c>
      <c r="BB158" s="353"/>
      <c r="BC158" s="353"/>
      <c r="BD158" s="353"/>
      <c r="BE158" s="353"/>
      <c r="BF158" s="516"/>
      <c r="BG158" s="516"/>
      <c r="BH158" s="516"/>
      <c r="BI158" s="516"/>
      <c r="BJ158" s="516"/>
      <c r="BK158" s="516"/>
      <c r="BL158" s="516"/>
      <c r="BM158" s="516"/>
      <c r="BN158" s="516"/>
      <c r="BO158" s="516"/>
      <c r="BP158" s="516"/>
      <c r="BQ158" s="516"/>
      <c r="BR158" s="516"/>
      <c r="BS158" s="516"/>
      <c r="BT158" s="516"/>
      <c r="BU158" s="9"/>
      <c r="BW158" s="9"/>
      <c r="BX158" s="9"/>
      <c r="BY158" s="9"/>
      <c r="CA158" s="9">
        <f>AJ188*AVERAGE(AI139,AJ139)*3/1000</f>
        <v>10805.021409000001</v>
      </c>
      <c r="CB158" s="16">
        <f t="shared" si="94"/>
        <v>3.4106798561150289E-3</v>
      </c>
      <c r="CC158" s="16">
        <f t="shared" si="95"/>
        <v>0.99999974802897051</v>
      </c>
      <c r="CD158" s="16"/>
      <c r="CE158" s="16"/>
      <c r="CF158" s="16"/>
      <c r="CG158" s="16"/>
      <c r="CH158" s="16"/>
      <c r="CI158" s="16"/>
      <c r="CJ158" s="16">
        <f t="shared" si="96"/>
        <v>1.1142745709828392</v>
      </c>
      <c r="CK158" s="16">
        <f t="shared" si="97"/>
        <v>0.97317784256559769</v>
      </c>
      <c r="CL158" s="16">
        <f t="shared" si="98"/>
        <v>0.57904583723105696</v>
      </c>
      <c r="CM158" s="16">
        <f t="shared" si="99"/>
        <v>0.28393654412463198</v>
      </c>
      <c r="CN158" s="16">
        <f t="shared" si="100"/>
        <v>4.9068437557646227E-2</v>
      </c>
      <c r="CO158" s="16">
        <f t="shared" si="101"/>
        <v>1.8173758865248191E-2</v>
      </c>
      <c r="CP158" s="65">
        <v>0.15</v>
      </c>
      <c r="CQ158" s="65">
        <v>0.2</v>
      </c>
      <c r="CR158" s="65">
        <v>0.45</v>
      </c>
      <c r="CS158" s="65">
        <v>0.25</v>
      </c>
      <c r="CT158" s="65"/>
      <c r="CU158" s="65"/>
      <c r="CV158" s="65"/>
      <c r="CW158" s="65"/>
      <c r="CX158" s="65"/>
      <c r="CY158" s="65"/>
      <c r="CZ158" s="65"/>
      <c r="DA158" s="65"/>
    </row>
    <row r="159" spans="1:105">
      <c r="A159" s="6"/>
      <c r="B159" s="6"/>
      <c r="D159" s="4" t="s">
        <v>181</v>
      </c>
      <c r="E159" s="2"/>
      <c r="F159" s="10"/>
      <c r="G159" s="2"/>
      <c r="H159" s="10"/>
      <c r="I159" s="10"/>
      <c r="J159" s="10"/>
      <c r="K159" s="10"/>
      <c r="L159" s="10"/>
      <c r="M159" s="10"/>
      <c r="N159" s="10"/>
      <c r="O159" s="10"/>
      <c r="P159" s="10"/>
      <c r="Q159" s="10"/>
      <c r="R159" s="10"/>
      <c r="S159" s="10"/>
      <c r="T159" s="9"/>
      <c r="U159" s="9"/>
      <c r="V159" s="9"/>
      <c r="W159" s="351"/>
      <c r="X159" s="352"/>
      <c r="Y159" s="352"/>
      <c r="Z159" s="352"/>
      <c r="AA159" s="352"/>
      <c r="AB159" s="351"/>
      <c r="AC159" s="352"/>
      <c r="AD159" s="352"/>
      <c r="AE159" s="353">
        <v>21</v>
      </c>
      <c r="AF159" s="353">
        <v>24</v>
      </c>
      <c r="AG159" s="354"/>
      <c r="AH159" s="9">
        <v>23</v>
      </c>
      <c r="AI159" s="9">
        <v>23</v>
      </c>
      <c r="AJ159" s="353">
        <v>28</v>
      </c>
      <c r="AK159" s="353">
        <v>28</v>
      </c>
      <c r="AL159" s="354">
        <f t="shared" si="103"/>
        <v>102</v>
      </c>
      <c r="AM159" s="353">
        <v>29</v>
      </c>
      <c r="AN159" s="353">
        <v>32</v>
      </c>
      <c r="AO159" s="353">
        <v>35</v>
      </c>
      <c r="AP159" s="353">
        <v>34</v>
      </c>
      <c r="AQ159" s="354">
        <f>Africa!K104/Africa!K150</f>
        <v>130</v>
      </c>
      <c r="AR159" s="353">
        <f t="shared" si="105"/>
        <v>34.799999999999997</v>
      </c>
      <c r="AS159" s="353">
        <f t="shared" si="105"/>
        <v>36.799999999999997</v>
      </c>
      <c r="AT159" s="353">
        <f t="shared" si="105"/>
        <v>40.25</v>
      </c>
      <c r="AU159" s="353">
        <f t="shared" si="105"/>
        <v>38.080000000000005</v>
      </c>
      <c r="AV159" s="354">
        <f>Africa!L104/Africa!L150</f>
        <v>138.3845718289291</v>
      </c>
      <c r="AW159" s="353"/>
      <c r="AX159" s="353"/>
      <c r="AY159" s="353"/>
      <c r="AZ159" s="353"/>
      <c r="BA159" s="354">
        <f>Africa!M104/Africa!M150</f>
        <v>146.76914365785817</v>
      </c>
      <c r="BB159" s="353"/>
      <c r="BC159" s="353"/>
      <c r="BD159" s="353"/>
      <c r="BE159" s="353"/>
      <c r="BF159" s="516"/>
      <c r="BG159" s="516"/>
      <c r="BH159" s="516"/>
      <c r="BI159" s="516"/>
      <c r="BJ159" s="516"/>
      <c r="BK159" s="516"/>
      <c r="BL159" s="516"/>
      <c r="BM159" s="516"/>
      <c r="BN159" s="516"/>
      <c r="BO159" s="516"/>
      <c r="BP159" s="516"/>
      <c r="BQ159" s="516"/>
      <c r="BR159" s="516"/>
      <c r="BS159" s="516"/>
      <c r="BT159" s="516"/>
      <c r="BU159" s="9"/>
      <c r="BW159" s="9"/>
      <c r="BX159" s="9"/>
      <c r="BY159" s="9"/>
      <c r="CA159" s="9">
        <f>AJ189*AVERAGE(AI140,AJ140)*3/1000</f>
        <v>28.529108999999998</v>
      </c>
      <c r="CB159" s="16">
        <f t="shared" si="94"/>
        <v>-1.8896749999999938E-2</v>
      </c>
      <c r="CC159" s="16">
        <f t="shared" si="95"/>
        <v>1.0006748839285715</v>
      </c>
      <c r="CD159" s="16"/>
      <c r="CE159" s="16"/>
      <c r="CF159" s="16"/>
      <c r="CG159" s="16"/>
      <c r="CH159" s="16"/>
      <c r="CI159" s="16"/>
      <c r="CJ159" s="16">
        <f t="shared" si="96"/>
        <v>0.33333333333333326</v>
      </c>
      <c r="CK159" s="16">
        <f t="shared" si="97"/>
        <v>0.16666666666666674</v>
      </c>
      <c r="CL159" s="16">
        <f t="shared" si="98"/>
        <v>0.26086956521739135</v>
      </c>
      <c r="CM159" s="16">
        <f t="shared" si="99"/>
        <v>0.39130434782608692</v>
      </c>
      <c r="CN159" s="16">
        <f t="shared" si="100"/>
        <v>0.25</v>
      </c>
      <c r="CO159" s="16">
        <f t="shared" si="101"/>
        <v>0.21428571428571419</v>
      </c>
      <c r="CP159" s="65">
        <v>0.2</v>
      </c>
      <c r="CQ159" s="65">
        <v>0.15</v>
      </c>
      <c r="CR159" s="65">
        <v>0.15</v>
      </c>
      <c r="CS159" s="65">
        <v>0.12</v>
      </c>
      <c r="CT159" s="65"/>
      <c r="CU159" s="65"/>
      <c r="CV159" s="65"/>
      <c r="CW159" s="65"/>
      <c r="CX159" s="65"/>
      <c r="CY159" s="65"/>
      <c r="CZ159" s="65"/>
      <c r="DA159" s="65"/>
    </row>
    <row r="160" spans="1:105">
      <c r="A160" s="6"/>
      <c r="B160" s="6"/>
      <c r="D160" s="4" t="str">
        <f>D141</f>
        <v>Rwanda</v>
      </c>
      <c r="E160" s="2"/>
      <c r="F160" s="10"/>
      <c r="G160" s="2"/>
      <c r="H160" s="10"/>
      <c r="I160" s="10"/>
      <c r="J160" s="10"/>
      <c r="K160" s="10"/>
      <c r="L160" s="10"/>
      <c r="M160" s="10"/>
      <c r="N160" s="10"/>
      <c r="O160" s="10"/>
      <c r="P160" s="10"/>
      <c r="Q160" s="10"/>
      <c r="R160" s="10"/>
      <c r="S160" s="10"/>
      <c r="T160" s="9"/>
      <c r="U160" s="9"/>
      <c r="V160" s="9"/>
      <c r="W160" s="351"/>
      <c r="X160" s="352"/>
      <c r="Y160" s="352"/>
      <c r="Z160" s="352"/>
      <c r="AA160" s="352"/>
      <c r="AB160" s="351"/>
      <c r="AC160" s="352"/>
      <c r="AD160" s="352"/>
      <c r="AE160" s="352"/>
      <c r="AF160" s="352"/>
      <c r="AG160" s="351"/>
      <c r="AH160" s="352"/>
      <c r="AI160" s="352"/>
      <c r="AJ160" s="352"/>
      <c r="AK160" s="352"/>
      <c r="AL160" s="354">
        <f t="shared" si="103"/>
        <v>0</v>
      </c>
      <c r="AM160" s="353"/>
      <c r="AN160" s="353"/>
      <c r="AO160" s="438"/>
      <c r="AP160" s="438"/>
      <c r="AQ160" s="354">
        <f>Africa!K105</f>
        <v>7983.5962885331865</v>
      </c>
      <c r="AR160" s="353"/>
      <c r="AS160" s="353"/>
      <c r="AT160" s="353"/>
      <c r="AU160" s="353"/>
      <c r="AV160" s="354">
        <f>Africa!L105</f>
        <v>15489.216855219167</v>
      </c>
      <c r="AW160" s="353"/>
      <c r="AX160" s="353"/>
      <c r="AY160" s="353"/>
      <c r="AZ160" s="353"/>
      <c r="BA160" s="354">
        <f>Africa!M105</f>
        <v>23295.358230103036</v>
      </c>
      <c r="BB160" s="353"/>
      <c r="BC160" s="353"/>
      <c r="BD160" s="353"/>
      <c r="BE160" s="353"/>
      <c r="BF160" s="516"/>
      <c r="BG160" s="516"/>
      <c r="BH160" s="516"/>
      <c r="BI160" s="516"/>
      <c r="BJ160" s="516"/>
      <c r="BK160" s="516"/>
      <c r="BL160" s="516"/>
      <c r="BM160" s="516"/>
      <c r="BN160" s="516"/>
      <c r="BO160" s="516"/>
      <c r="BP160" s="516"/>
      <c r="BQ160" s="516"/>
      <c r="BR160" s="516"/>
      <c r="BS160" s="516"/>
      <c r="BT160" s="516"/>
      <c r="BU160" s="9"/>
      <c r="BV160" s="9"/>
      <c r="BW160" s="9"/>
      <c r="BX160" s="9"/>
      <c r="BY160" s="9"/>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row>
    <row r="161" spans="1:105">
      <c r="A161" s="6"/>
      <c r="B161" s="6"/>
      <c r="D161" s="2"/>
      <c r="E161" s="2"/>
      <c r="F161" s="10"/>
      <c r="G161" s="2"/>
      <c r="H161" s="10"/>
      <c r="I161" s="10"/>
      <c r="J161" s="10"/>
      <c r="K161" s="10"/>
      <c r="L161" s="10"/>
      <c r="M161" s="10"/>
      <c r="N161" s="10"/>
      <c r="O161" s="10"/>
      <c r="P161" s="10"/>
      <c r="Q161" s="10"/>
      <c r="R161" s="10"/>
      <c r="S161" s="10"/>
      <c r="T161" s="9"/>
      <c r="U161" s="9"/>
      <c r="V161" s="9"/>
      <c r="W161" s="351"/>
      <c r="X161" s="352"/>
      <c r="Y161" s="352"/>
      <c r="Z161" s="352"/>
      <c r="AA161" s="352"/>
      <c r="AB161" s="351"/>
      <c r="AC161" s="352"/>
      <c r="AD161" s="352"/>
      <c r="AE161" s="352"/>
      <c r="AF161" s="352"/>
      <c r="AG161" s="351"/>
      <c r="AH161" s="352"/>
      <c r="AI161" s="352"/>
      <c r="AJ161" s="352"/>
      <c r="AK161" s="352"/>
      <c r="AL161" s="351"/>
      <c r="AM161" s="352"/>
      <c r="AN161" s="353"/>
      <c r="AO161" s="353"/>
      <c r="AP161" s="353"/>
      <c r="AQ161" s="351"/>
      <c r="AR161" s="353"/>
      <c r="AS161" s="353"/>
      <c r="AT161" s="353"/>
      <c r="AU161" s="353"/>
      <c r="AV161" s="352"/>
      <c r="AW161" s="353"/>
      <c r="AX161" s="353"/>
      <c r="AY161" s="353"/>
      <c r="AZ161" s="353"/>
      <c r="BA161" s="352"/>
      <c r="BB161" s="353"/>
      <c r="BC161" s="353"/>
      <c r="BD161" s="353"/>
      <c r="BE161" s="353"/>
      <c r="BF161" s="352"/>
      <c r="BG161" s="352"/>
      <c r="BH161" s="352"/>
      <c r="BI161" s="352"/>
      <c r="BJ161" s="352"/>
      <c r="BK161" s="352"/>
      <c r="BL161" s="352"/>
      <c r="BM161" s="352"/>
      <c r="BN161" s="352"/>
      <c r="BO161" s="352"/>
      <c r="BP161" s="352"/>
      <c r="BQ161" s="352"/>
      <c r="BR161" s="352"/>
      <c r="BS161" s="352"/>
      <c r="BT161" s="352"/>
      <c r="BU161" s="9"/>
      <c r="BV161" s="9"/>
      <c r="BW161" s="9"/>
      <c r="BX161" s="9"/>
      <c r="BY161" s="9"/>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row>
    <row r="162" spans="1:105">
      <c r="A162" s="6"/>
      <c r="B162" s="6"/>
      <c r="D162" s="2" t="s">
        <v>1058</v>
      </c>
      <c r="E162" s="2"/>
      <c r="F162" s="10"/>
      <c r="G162" s="2"/>
      <c r="H162" s="10"/>
      <c r="I162" s="10"/>
      <c r="J162" s="10"/>
      <c r="K162" s="10"/>
      <c r="L162" s="10"/>
      <c r="M162" s="10"/>
      <c r="N162" s="10"/>
      <c r="O162" s="10"/>
      <c r="P162" s="10"/>
      <c r="Q162" s="10"/>
      <c r="R162" s="10"/>
      <c r="S162" s="10"/>
      <c r="T162" s="9"/>
      <c r="U162" s="9"/>
      <c r="V162" s="9"/>
      <c r="W162" s="351"/>
      <c r="X162" s="352"/>
      <c r="Y162" s="352"/>
      <c r="Z162" s="352"/>
      <c r="AA162" s="352"/>
      <c r="AB162" s="351"/>
      <c r="AC162" s="352"/>
      <c r="AD162" s="352"/>
      <c r="AE162" s="352"/>
      <c r="AF162" s="352"/>
      <c r="AG162" s="351"/>
      <c r="AI162" s="352"/>
      <c r="AJ162" s="352"/>
      <c r="AK162" s="352"/>
      <c r="AL162" s="351"/>
      <c r="AM162" s="352"/>
      <c r="AN162" s="438"/>
      <c r="AO162" s="438"/>
      <c r="AP162" s="438"/>
      <c r="AQ162" s="351"/>
      <c r="AR162" s="438"/>
      <c r="AS162" s="438"/>
      <c r="AT162" s="438"/>
      <c r="AU162" s="438"/>
      <c r="AV162" s="352"/>
      <c r="AW162" s="438"/>
      <c r="AX162" s="438"/>
      <c r="AY162" s="438"/>
      <c r="AZ162" s="438"/>
      <c r="BA162" s="352"/>
      <c r="BB162" s="438"/>
      <c r="BC162" s="438"/>
      <c r="BD162" s="438"/>
      <c r="BE162" s="438"/>
      <c r="BF162" s="352"/>
      <c r="BG162" s="352"/>
      <c r="BH162" s="352"/>
      <c r="BI162" s="352"/>
      <c r="BJ162" s="352"/>
      <c r="BK162" s="352"/>
      <c r="BL162" s="352"/>
      <c r="BM162" s="352"/>
      <c r="BN162" s="352"/>
      <c r="BO162" s="352"/>
      <c r="BP162" s="352"/>
      <c r="BQ162" s="352"/>
      <c r="BR162" s="352"/>
      <c r="BS162" s="352"/>
      <c r="BT162" s="352"/>
      <c r="BU162" s="9"/>
      <c r="BV162" s="9"/>
      <c r="BW162" s="9"/>
      <c r="BX162" s="9"/>
      <c r="BY162" s="9"/>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row>
    <row r="163" spans="1:105">
      <c r="A163" s="6"/>
      <c r="B163" s="6"/>
      <c r="D163" s="4" t="str">
        <f>D148</f>
        <v>El Sal (in $)</v>
      </c>
      <c r="E163" s="2"/>
      <c r="F163" s="10"/>
      <c r="G163" s="2"/>
      <c r="H163" s="10"/>
      <c r="I163" s="10"/>
      <c r="J163" s="10"/>
      <c r="K163" s="10"/>
      <c r="L163" s="10"/>
      <c r="M163" s="10"/>
      <c r="N163" s="10"/>
      <c r="O163" s="10"/>
      <c r="P163" s="10"/>
      <c r="Q163" s="10"/>
      <c r="R163" s="10"/>
      <c r="S163" s="10"/>
      <c r="T163" s="9"/>
      <c r="U163" s="9"/>
      <c r="V163" s="9"/>
      <c r="W163" s="351"/>
      <c r="X163" s="352"/>
      <c r="Y163" s="352"/>
      <c r="Z163" s="352"/>
      <c r="AA163" s="352"/>
      <c r="AB163" s="351"/>
      <c r="AC163" s="352"/>
      <c r="AD163" s="352"/>
      <c r="AE163" s="352"/>
      <c r="AF163" s="352"/>
      <c r="AG163" s="351"/>
      <c r="AH163" s="353">
        <f>AH247</f>
        <v>99.859499999999997</v>
      </c>
      <c r="AI163" s="353">
        <f>AI247</f>
        <v>103.25835000000001</v>
      </c>
      <c r="AJ163" s="353">
        <f>AJ247</f>
        <v>97.063704000000001</v>
      </c>
      <c r="AK163" s="353">
        <f>AK247</f>
        <v>98.462304000000003</v>
      </c>
      <c r="AL163" s="351"/>
      <c r="AM163" s="353">
        <f>AM247</f>
        <v>92.333851499999994</v>
      </c>
      <c r="AN163" s="353">
        <f>AN247</f>
        <v>92.4256575</v>
      </c>
      <c r="AO163" s="353">
        <f>AO247</f>
        <v>90.394672500000013</v>
      </c>
      <c r="AP163" s="353">
        <f>AP247</f>
        <v>89.447110500000008</v>
      </c>
      <c r="AQ163" s="351"/>
      <c r="AR163" s="353"/>
      <c r="AS163" s="353"/>
      <c r="AT163" s="353"/>
      <c r="AU163" s="353"/>
      <c r="AV163" s="352"/>
      <c r="AW163" s="353"/>
      <c r="AX163" s="353"/>
      <c r="AY163" s="353"/>
      <c r="AZ163" s="353"/>
      <c r="BA163" s="352"/>
      <c r="BB163" s="353"/>
      <c r="BC163" s="353"/>
      <c r="BD163" s="353"/>
      <c r="BE163" s="353"/>
      <c r="BF163" s="352"/>
      <c r="BG163" s="352"/>
      <c r="BH163" s="352"/>
      <c r="BI163" s="352"/>
      <c r="BJ163" s="352"/>
      <c r="BK163" s="352"/>
      <c r="BL163" s="352"/>
      <c r="BM163" s="352"/>
      <c r="BN163" s="352"/>
      <c r="BO163" s="352"/>
      <c r="BP163" s="352"/>
      <c r="BQ163" s="352"/>
      <c r="BR163" s="352"/>
      <c r="BS163" s="352"/>
      <c r="BT163" s="352"/>
      <c r="BU163" s="9"/>
      <c r="BV163" s="9"/>
      <c r="BW163" s="9"/>
      <c r="BX163" s="9"/>
      <c r="BY163" s="9"/>
      <c r="BZ163" s="16"/>
      <c r="CA163" s="16"/>
      <c r="CB163" s="16"/>
      <c r="CC163" s="16"/>
      <c r="CD163" s="16"/>
      <c r="CE163" s="16"/>
      <c r="CF163" s="16"/>
      <c r="CG163" s="16"/>
      <c r="CH163" s="16"/>
      <c r="CI163" s="16"/>
      <c r="CJ163" s="16"/>
      <c r="CK163" s="16"/>
      <c r="CL163" s="16">
        <f t="shared" ref="CL163:CL174" si="106">AM163/AH163-1</f>
        <v>-7.5362369128625706E-2</v>
      </c>
      <c r="CM163" s="16">
        <f t="shared" ref="CM163:CM174" si="107">AN163/AI163-1</f>
        <v>-0.10490863450752419</v>
      </c>
      <c r="CN163" s="16">
        <f t="shared" ref="CN163:CN174" si="108">AO163/AJ163-1</f>
        <v>-6.8707778759401039E-2</v>
      </c>
      <c r="CO163" s="16">
        <f t="shared" ref="CO163:CO174" si="109">AP163/AK163-1</f>
        <v>-9.155984710656373E-2</v>
      </c>
      <c r="CP163" s="16"/>
      <c r="CQ163" s="16"/>
      <c r="CR163" s="16"/>
      <c r="CS163" s="16"/>
      <c r="CT163" s="16"/>
      <c r="CU163" s="16"/>
      <c r="CV163" s="16"/>
      <c r="CW163" s="16"/>
      <c r="CX163" s="16"/>
      <c r="CY163" s="16"/>
      <c r="CZ163" s="16"/>
      <c r="DA163" s="16"/>
    </row>
    <row r="164" spans="1:105">
      <c r="A164" s="6"/>
      <c r="B164" s="6"/>
      <c r="D164" s="4" t="str">
        <f t="shared" ref="D164:D175" si="110">D149</f>
        <v>Guatemala</v>
      </c>
      <c r="E164" s="2"/>
      <c r="F164" s="10"/>
      <c r="G164" s="2"/>
      <c r="H164" s="10"/>
      <c r="I164" s="10"/>
      <c r="J164" s="10"/>
      <c r="K164" s="10"/>
      <c r="L164" s="10"/>
      <c r="M164" s="10"/>
      <c r="N164" s="10"/>
      <c r="O164" s="10"/>
      <c r="P164" s="10"/>
      <c r="Q164" s="10"/>
      <c r="R164" s="10"/>
      <c r="S164" s="10"/>
      <c r="T164" s="9"/>
      <c r="U164" s="9"/>
      <c r="V164" s="9"/>
      <c r="W164" s="351"/>
      <c r="X164" s="352"/>
      <c r="Y164" s="352"/>
      <c r="Z164" s="352"/>
      <c r="AA164" s="352"/>
      <c r="AB164" s="351"/>
      <c r="AC164" s="352"/>
      <c r="AD164" s="352"/>
      <c r="AE164" s="352"/>
      <c r="AF164" s="352"/>
      <c r="AG164" s="351"/>
      <c r="AH164" s="353">
        <f t="shared" ref="AH164:AK165" si="111">AH248*AH450</f>
        <v>892.5089250000002</v>
      </c>
      <c r="AI164" s="353">
        <f t="shared" si="111"/>
        <v>909.79432500000007</v>
      </c>
      <c r="AJ164" s="353">
        <f t="shared" si="111"/>
        <v>932.21587965000003</v>
      </c>
      <c r="AK164" s="353">
        <f t="shared" si="111"/>
        <v>898.00287720000006</v>
      </c>
      <c r="AL164" s="351"/>
      <c r="AM164" s="353">
        <f t="shared" ref="AM164:AP165" si="112">AM248*AM450</f>
        <v>940.30794000000003</v>
      </c>
      <c r="AN164" s="353">
        <f t="shared" si="112"/>
        <v>960.66144900000018</v>
      </c>
      <c r="AO164" s="353">
        <f t="shared" si="112"/>
        <v>984.4175484000001</v>
      </c>
      <c r="AP164" s="353">
        <f t="shared" si="112"/>
        <v>1064.3592093750001</v>
      </c>
      <c r="AQ164" s="351"/>
      <c r="AR164" s="353"/>
      <c r="AS164" s="353"/>
      <c r="AT164" s="353"/>
      <c r="AU164" s="353"/>
      <c r="AV164" s="352"/>
      <c r="AW164" s="353"/>
      <c r="AX164" s="353"/>
      <c r="AY164" s="353"/>
      <c r="AZ164" s="353"/>
      <c r="BA164" s="352"/>
      <c r="BB164" s="353"/>
      <c r="BC164" s="353"/>
      <c r="BD164" s="353"/>
      <c r="BE164" s="353"/>
      <c r="BF164" s="352"/>
      <c r="BG164" s="352"/>
      <c r="BH164" s="352"/>
      <c r="BI164" s="352"/>
      <c r="BJ164" s="352"/>
      <c r="BK164" s="352"/>
      <c r="BL164" s="352"/>
      <c r="BM164" s="352"/>
      <c r="BN164" s="352"/>
      <c r="BO164" s="352"/>
      <c r="BP164" s="352"/>
      <c r="BQ164" s="352"/>
      <c r="BR164" s="352"/>
      <c r="BS164" s="352"/>
      <c r="BT164" s="352"/>
      <c r="BU164" s="9"/>
      <c r="BV164" s="9"/>
      <c r="BW164" s="9"/>
      <c r="BX164" s="9"/>
      <c r="BY164" s="9"/>
      <c r="BZ164" s="16"/>
      <c r="CA164" s="16"/>
      <c r="CB164" s="16"/>
      <c r="CC164" s="16"/>
      <c r="CD164" s="16"/>
      <c r="CE164" s="16"/>
      <c r="CF164" s="16"/>
      <c r="CG164" s="16"/>
      <c r="CH164" s="16"/>
      <c r="CI164" s="16"/>
      <c r="CJ164" s="16"/>
      <c r="CK164" s="16"/>
      <c r="CL164" s="16">
        <f t="shared" si="106"/>
        <v>5.3555783769893228E-2</v>
      </c>
      <c r="CM164" s="16">
        <f t="shared" si="107"/>
        <v>5.5910575173130583E-2</v>
      </c>
      <c r="CN164" s="16">
        <f t="shared" si="108"/>
        <v>5.599740348726856E-2</v>
      </c>
      <c r="CO164" s="16">
        <f t="shared" si="109"/>
        <v>0.18525144673667859</v>
      </c>
      <c r="CP164" s="16"/>
      <c r="CQ164" s="16"/>
      <c r="CR164" s="16"/>
      <c r="CS164" s="16"/>
      <c r="CT164" s="16"/>
      <c r="CU164" s="16"/>
      <c r="CV164" s="16"/>
      <c r="CW164" s="16"/>
      <c r="CX164" s="16"/>
      <c r="CY164" s="16"/>
      <c r="CZ164" s="16"/>
      <c r="DA164" s="16"/>
    </row>
    <row r="165" spans="1:105">
      <c r="A165" s="6"/>
      <c r="B165" s="6"/>
      <c r="D165" s="4" t="str">
        <f t="shared" si="110"/>
        <v>Honduras</v>
      </c>
      <c r="E165" s="2"/>
      <c r="F165" s="10"/>
      <c r="G165" s="2"/>
      <c r="H165" s="10"/>
      <c r="I165" s="10"/>
      <c r="J165" s="10"/>
      <c r="K165" s="10"/>
      <c r="L165" s="10"/>
      <c r="M165" s="10"/>
      <c r="N165" s="10"/>
      <c r="O165" s="10"/>
      <c r="P165" s="10"/>
      <c r="Q165" s="10"/>
      <c r="R165" s="10"/>
      <c r="S165" s="10"/>
      <c r="T165" s="9"/>
      <c r="U165" s="9"/>
      <c r="V165" s="9"/>
      <c r="W165" s="351"/>
      <c r="X165" s="352"/>
      <c r="Y165" s="352"/>
      <c r="Z165" s="352"/>
      <c r="AA165" s="352"/>
      <c r="AB165" s="351"/>
      <c r="AC165" s="352"/>
      <c r="AD165" s="352"/>
      <c r="AE165" s="352"/>
      <c r="AF165" s="352"/>
      <c r="AG165" s="351"/>
      <c r="AH165" s="353">
        <f t="shared" si="111"/>
        <v>1409.3722499999999</v>
      </c>
      <c r="AI165" s="353">
        <f t="shared" si="111"/>
        <v>1420.8857999999998</v>
      </c>
      <c r="AJ165" s="353">
        <f t="shared" si="111"/>
        <v>1323.5701409999999</v>
      </c>
      <c r="AK165" s="353">
        <f t="shared" si="111"/>
        <v>1378.6259955</v>
      </c>
      <c r="AL165" s="351"/>
      <c r="AM165" s="353">
        <f t="shared" si="112"/>
        <v>1363.2974999999999</v>
      </c>
      <c r="AN165" s="353">
        <f t="shared" si="112"/>
        <v>1371.4942657500003</v>
      </c>
      <c r="AO165" s="353">
        <f t="shared" si="112"/>
        <v>1358.9137815000001</v>
      </c>
      <c r="AP165" s="353">
        <f t="shared" si="112"/>
        <v>1407.882519</v>
      </c>
      <c r="AQ165" s="351"/>
      <c r="AR165" s="353"/>
      <c r="AS165" s="353"/>
      <c r="AT165" s="353"/>
      <c r="AU165" s="353"/>
      <c r="AV165" s="352"/>
      <c r="AW165" s="353"/>
      <c r="AX165" s="353"/>
      <c r="AY165" s="353"/>
      <c r="AZ165" s="353"/>
      <c r="BA165" s="352"/>
      <c r="BB165" s="353"/>
      <c r="BC165" s="353"/>
      <c r="BD165" s="353"/>
      <c r="BE165" s="353"/>
      <c r="BF165" s="352"/>
      <c r="BG165" s="352"/>
      <c r="BH165" s="352"/>
      <c r="BI165" s="352"/>
      <c r="BJ165" s="352"/>
      <c r="BK165" s="352"/>
      <c r="BL165" s="352"/>
      <c r="BM165" s="352"/>
      <c r="BN165" s="352"/>
      <c r="BO165" s="352"/>
      <c r="BP165" s="352"/>
      <c r="BQ165" s="352"/>
      <c r="BR165" s="352"/>
      <c r="BS165" s="352"/>
      <c r="BT165" s="352"/>
      <c r="BU165" s="9"/>
      <c r="BV165" s="9"/>
      <c r="BW165" s="9"/>
      <c r="BX165" s="9"/>
      <c r="BY165" s="9"/>
      <c r="BZ165" s="16"/>
      <c r="CA165" s="16"/>
      <c r="CB165" s="16"/>
      <c r="CC165" s="16"/>
      <c r="CD165" s="16"/>
      <c r="CE165" s="16"/>
      <c r="CF165" s="16"/>
      <c r="CG165" s="16"/>
      <c r="CH165" s="16"/>
      <c r="CI165" s="16"/>
      <c r="CJ165" s="16"/>
      <c r="CK165" s="16"/>
      <c r="CL165" s="16">
        <f t="shared" si="106"/>
        <v>-3.2691682413925727E-2</v>
      </c>
      <c r="CM165" s="16">
        <f t="shared" si="107"/>
        <v>-3.4761086534892183E-2</v>
      </c>
      <c r="CN165" s="16">
        <f t="shared" si="108"/>
        <v>2.6703262188505494E-2</v>
      </c>
      <c r="CO165" s="16">
        <f t="shared" si="109"/>
        <v>2.1221508658255894E-2</v>
      </c>
      <c r="CP165" s="16"/>
      <c r="CQ165" s="16"/>
      <c r="CR165" s="16"/>
      <c r="CS165" s="16"/>
      <c r="CT165" s="16"/>
      <c r="CU165" s="16"/>
      <c r="CV165" s="16"/>
      <c r="CW165" s="16"/>
      <c r="CX165" s="16"/>
      <c r="CY165" s="16"/>
      <c r="CZ165" s="16"/>
      <c r="DA165" s="16"/>
    </row>
    <row r="166" spans="1:105">
      <c r="A166" s="6"/>
      <c r="B166" s="6"/>
      <c r="D166" s="4" t="str">
        <f t="shared" si="110"/>
        <v>Colombia</v>
      </c>
      <c r="E166" s="2"/>
      <c r="F166" s="10"/>
      <c r="G166" s="2"/>
      <c r="H166" s="10"/>
      <c r="I166" s="10"/>
      <c r="J166" s="10"/>
      <c r="K166" s="10"/>
      <c r="L166" s="10"/>
      <c r="M166" s="10"/>
      <c r="N166" s="10"/>
      <c r="O166" s="10"/>
      <c r="P166" s="10"/>
      <c r="Q166" s="10"/>
      <c r="R166" s="10"/>
      <c r="S166" s="10"/>
      <c r="T166" s="9"/>
      <c r="U166" s="9"/>
      <c r="V166" s="9"/>
      <c r="W166" s="351"/>
      <c r="X166" s="352"/>
      <c r="Y166" s="352"/>
      <c r="Z166" s="352"/>
      <c r="AA166" s="352"/>
      <c r="AB166" s="351"/>
      <c r="AC166" s="352"/>
      <c r="AD166" s="352"/>
      <c r="AE166" s="352"/>
      <c r="AF166" s="352"/>
      <c r="AG166" s="351"/>
      <c r="AH166" s="353">
        <f>AH250*AH447</f>
        <v>212100.44399999999</v>
      </c>
      <c r="AI166" s="353">
        <f>AI250*AI447</f>
        <v>218152.62240000002</v>
      </c>
      <c r="AJ166" s="353">
        <f>AJ250*AJ447</f>
        <v>226452.27202650002</v>
      </c>
      <c r="AK166" s="353">
        <f>AK250*AK447</f>
        <v>248370.73102799992</v>
      </c>
      <c r="AL166" s="351"/>
      <c r="AM166" s="353">
        <f>AM250*AM447</f>
        <v>251229.87840000002</v>
      </c>
      <c r="AN166" s="353">
        <f>AN250*AN447</f>
        <v>257785.04241600001</v>
      </c>
      <c r="AO166" s="353">
        <f>AO250*AO447</f>
        <v>273961.56202800001</v>
      </c>
      <c r="AP166" s="353">
        <f>AP250*AP447</f>
        <v>297225.09611100005</v>
      </c>
      <c r="AQ166" s="351"/>
      <c r="AR166" s="353"/>
      <c r="AS166" s="353"/>
      <c r="AT166" s="353"/>
      <c r="AU166" s="353"/>
      <c r="AV166" s="352"/>
      <c r="AW166" s="353"/>
      <c r="AX166" s="353"/>
      <c r="AY166" s="353"/>
      <c r="AZ166" s="353"/>
      <c r="BA166" s="352"/>
      <c r="BB166" s="353"/>
      <c r="BC166" s="353"/>
      <c r="BD166" s="353"/>
      <c r="BE166" s="353"/>
      <c r="BF166" s="352"/>
      <c r="BG166" s="352"/>
      <c r="BH166" s="352"/>
      <c r="BI166" s="352"/>
      <c r="BJ166" s="352"/>
      <c r="BK166" s="352"/>
      <c r="BL166" s="352"/>
      <c r="BM166" s="352"/>
      <c r="BN166" s="352"/>
      <c r="BO166" s="352"/>
      <c r="BP166" s="352"/>
      <c r="BQ166" s="352"/>
      <c r="BR166" s="352"/>
      <c r="BS166" s="352"/>
      <c r="BT166" s="352"/>
      <c r="BU166" s="9"/>
      <c r="BV166" s="9"/>
      <c r="BW166" s="9"/>
      <c r="BX166" s="9"/>
      <c r="BY166" s="9"/>
      <c r="BZ166" s="16"/>
      <c r="CA166" s="16"/>
      <c r="CB166" s="16"/>
      <c r="CC166" s="16"/>
      <c r="CD166" s="16"/>
      <c r="CE166" s="16"/>
      <c r="CF166" s="16"/>
      <c r="CG166" s="16"/>
      <c r="CH166" s="16"/>
      <c r="CI166" s="16"/>
      <c r="CJ166" s="16"/>
      <c r="CK166" s="16"/>
      <c r="CL166" s="16">
        <f t="shared" si="106"/>
        <v>0.18448539598530989</v>
      </c>
      <c r="CM166" s="16">
        <f t="shared" si="107"/>
        <v>0.18167290211772391</v>
      </c>
      <c r="CN166" s="16">
        <f t="shared" si="108"/>
        <v>0.20979824832996297</v>
      </c>
      <c r="CO166" s="16">
        <f t="shared" si="109"/>
        <v>0.19669936502096363</v>
      </c>
      <c r="CP166" s="16"/>
      <c r="CQ166" s="16"/>
      <c r="CR166" s="16"/>
      <c r="CS166" s="16"/>
      <c r="CT166" s="16"/>
      <c r="CU166" s="16"/>
      <c r="CV166" s="16"/>
      <c r="CW166" s="16"/>
      <c r="CX166" s="16"/>
      <c r="CY166" s="16"/>
      <c r="CZ166" s="16"/>
      <c r="DA166" s="16"/>
    </row>
    <row r="167" spans="1:105">
      <c r="A167" s="6"/>
      <c r="B167" s="6"/>
      <c r="D167" s="4" t="str">
        <f t="shared" si="110"/>
        <v>Bolivia</v>
      </c>
      <c r="E167" s="2"/>
      <c r="F167" s="10"/>
      <c r="G167" s="2"/>
      <c r="H167" s="10"/>
      <c r="I167" s="10"/>
      <c r="J167" s="10"/>
      <c r="K167" s="10"/>
      <c r="L167" s="10"/>
      <c r="M167" s="10"/>
      <c r="N167" s="10"/>
      <c r="O167" s="10"/>
      <c r="P167" s="10"/>
      <c r="Q167" s="10"/>
      <c r="R167" s="10"/>
      <c r="S167" s="10"/>
      <c r="T167" s="9"/>
      <c r="U167" s="9"/>
      <c r="V167" s="9"/>
      <c r="W167" s="351"/>
      <c r="X167" s="352"/>
      <c r="Y167" s="352"/>
      <c r="Z167" s="352"/>
      <c r="AA167" s="352"/>
      <c r="AB167" s="351"/>
      <c r="AC167" s="352"/>
      <c r="AD167" s="352"/>
      <c r="AE167" s="352"/>
      <c r="AF167" s="352"/>
      <c r="AG167" s="351"/>
      <c r="AH167" s="353">
        <f t="shared" ref="AH167:AK168" si="113">AH251*AH445</f>
        <v>369.12299999999999</v>
      </c>
      <c r="AI167" s="353">
        <f t="shared" si="113"/>
        <v>383.41124999999994</v>
      </c>
      <c r="AJ167" s="353">
        <f t="shared" si="113"/>
        <v>431.44147200000003</v>
      </c>
      <c r="AK167" s="353">
        <f t="shared" si="113"/>
        <v>486.13585200000006</v>
      </c>
      <c r="AL167" s="351"/>
      <c r="AM167" s="353">
        <f t="shared" ref="AM167:AP168" si="114">AM251*AM445</f>
        <v>468.27779999999996</v>
      </c>
      <c r="AN167" s="353">
        <f t="shared" si="114"/>
        <v>485.32753500000001</v>
      </c>
      <c r="AO167" s="353">
        <f t="shared" si="114"/>
        <v>523.93020000000013</v>
      </c>
      <c r="AP167" s="353">
        <f t="shared" si="114"/>
        <v>558.38652000000013</v>
      </c>
      <c r="AQ167" s="351"/>
      <c r="AR167" s="353"/>
      <c r="AS167" s="353"/>
      <c r="AT167" s="353"/>
      <c r="AU167" s="353"/>
      <c r="AV167" s="352"/>
      <c r="AW167" s="353"/>
      <c r="AX167" s="353"/>
      <c r="AY167" s="353"/>
      <c r="AZ167" s="353"/>
      <c r="BA167" s="352"/>
      <c r="BB167" s="353"/>
      <c r="BC167" s="353"/>
      <c r="BD167" s="353"/>
      <c r="BE167" s="353"/>
      <c r="BF167" s="352"/>
      <c r="BG167" s="352"/>
      <c r="BH167" s="352"/>
      <c r="BI167" s="352"/>
      <c r="BJ167" s="352"/>
      <c r="BK167" s="352"/>
      <c r="BL167" s="352"/>
      <c r="BM167" s="352"/>
      <c r="BN167" s="352"/>
      <c r="BO167" s="352"/>
      <c r="BP167" s="352"/>
      <c r="BQ167" s="352"/>
      <c r="BR167" s="352"/>
      <c r="BS167" s="352"/>
      <c r="BT167" s="352"/>
      <c r="BU167" s="9"/>
      <c r="BV167" s="9"/>
      <c r="BW167" s="9"/>
      <c r="BX167" s="9"/>
      <c r="BY167" s="9"/>
      <c r="BZ167" s="16"/>
      <c r="CA167" s="16"/>
      <c r="CB167" s="16"/>
      <c r="CC167" s="16"/>
      <c r="CD167" s="16"/>
      <c r="CE167" s="16"/>
      <c r="CF167" s="16"/>
      <c r="CG167" s="16"/>
      <c r="CH167" s="16"/>
      <c r="CI167" s="16"/>
      <c r="CJ167" s="16"/>
      <c r="CK167" s="16"/>
      <c r="CL167" s="16">
        <f t="shared" si="106"/>
        <v>0.26862265423720544</v>
      </c>
      <c r="CM167" s="16">
        <f t="shared" si="107"/>
        <v>0.26581453987070036</v>
      </c>
      <c r="CN167" s="16">
        <f t="shared" si="108"/>
        <v>0.21437143622576937</v>
      </c>
      <c r="CO167" s="16">
        <f t="shared" si="109"/>
        <v>0.14862238138321882</v>
      </c>
      <c r="CP167" s="16"/>
      <c r="CQ167" s="16"/>
      <c r="CR167" s="16"/>
      <c r="CS167" s="16"/>
      <c r="CT167" s="16"/>
      <c r="CU167" s="16"/>
      <c r="CV167" s="16"/>
      <c r="CW167" s="16"/>
      <c r="CX167" s="16"/>
      <c r="CY167" s="16"/>
      <c r="CZ167" s="16"/>
      <c r="DA167" s="16"/>
    </row>
    <row r="168" spans="1:105">
      <c r="A168" s="6"/>
      <c r="B168" s="6"/>
      <c r="D168" s="4" t="str">
        <f t="shared" si="110"/>
        <v>Paraguay</v>
      </c>
      <c r="E168" s="2"/>
      <c r="F168" s="10"/>
      <c r="G168" s="2"/>
      <c r="H168" s="10"/>
      <c r="I168" s="10"/>
      <c r="J168" s="10"/>
      <c r="K168" s="10"/>
      <c r="L168" s="10"/>
      <c r="M168" s="10"/>
      <c r="N168" s="10"/>
      <c r="O168" s="10"/>
      <c r="P168" s="10"/>
      <c r="Q168" s="10"/>
      <c r="R168" s="10"/>
      <c r="S168" s="10"/>
      <c r="T168" s="9"/>
      <c r="U168" s="9"/>
      <c r="V168" s="9"/>
      <c r="W168" s="351"/>
      <c r="X168" s="352"/>
      <c r="Y168" s="352"/>
      <c r="Z168" s="352"/>
      <c r="AA168" s="352"/>
      <c r="AB168" s="351"/>
      <c r="AC168" s="352"/>
      <c r="AD168" s="352"/>
      <c r="AE168" s="352"/>
      <c r="AF168" s="352"/>
      <c r="AG168" s="351"/>
      <c r="AH168" s="353">
        <f t="shared" si="113"/>
        <v>419054.93099999998</v>
      </c>
      <c r="AI168" s="353">
        <f t="shared" si="113"/>
        <v>415466.92215</v>
      </c>
      <c r="AJ168" s="353">
        <f t="shared" si="113"/>
        <v>442297.02946799999</v>
      </c>
      <c r="AK168" s="353">
        <f t="shared" si="113"/>
        <v>480103.93750049995</v>
      </c>
      <c r="AL168" s="351"/>
      <c r="AM168" s="353">
        <f t="shared" si="114"/>
        <v>459058.88024999999</v>
      </c>
      <c r="AN168" s="353">
        <f t="shared" si="114"/>
        <v>458664.54100049997</v>
      </c>
      <c r="AO168" s="353">
        <f t="shared" si="114"/>
        <v>503625.83385750005</v>
      </c>
      <c r="AP168" s="353">
        <f t="shared" si="114"/>
        <v>573012.93564449996</v>
      </c>
      <c r="AQ168" s="351"/>
      <c r="AR168" s="353"/>
      <c r="AS168" s="353"/>
      <c r="AT168" s="353"/>
      <c r="AU168" s="353"/>
      <c r="AV168" s="352"/>
      <c r="AW168" s="353"/>
      <c r="AX168" s="353"/>
      <c r="AY168" s="353"/>
      <c r="AZ168" s="353"/>
      <c r="BA168" s="352"/>
      <c r="BB168" s="353"/>
      <c r="BC168" s="353"/>
      <c r="BD168" s="353"/>
      <c r="BE168" s="353"/>
      <c r="BF168" s="352"/>
      <c r="BG168" s="352"/>
      <c r="BH168" s="352"/>
      <c r="BI168" s="352"/>
      <c r="BJ168" s="352"/>
      <c r="BK168" s="352"/>
      <c r="BL168" s="352"/>
      <c r="BM168" s="352"/>
      <c r="BN168" s="352"/>
      <c r="BO168" s="352"/>
      <c r="BP168" s="352"/>
      <c r="BQ168" s="352"/>
      <c r="BR168" s="352"/>
      <c r="BS168" s="352"/>
      <c r="BT168" s="352"/>
      <c r="BU168" s="9"/>
      <c r="BV168" s="9"/>
      <c r="BW168" s="9"/>
      <c r="BX168" s="9"/>
      <c r="BY168" s="9"/>
      <c r="BZ168" s="16"/>
      <c r="CA168" s="16"/>
      <c r="CB168" s="16"/>
      <c r="CC168" s="16"/>
      <c r="CD168" s="16"/>
      <c r="CE168" s="16"/>
      <c r="CF168" s="16"/>
      <c r="CG168" s="16"/>
      <c r="CH168" s="16"/>
      <c r="CI168" s="16"/>
      <c r="CJ168" s="16"/>
      <c r="CK168" s="16"/>
      <c r="CL168" s="16">
        <f t="shared" si="106"/>
        <v>9.5462304081562088E-2</v>
      </c>
      <c r="CM168" s="16">
        <f t="shared" si="107"/>
        <v>0.10397366564576682</v>
      </c>
      <c r="CN168" s="16">
        <f t="shared" si="108"/>
        <v>0.13865977002664254</v>
      </c>
      <c r="CO168" s="16">
        <f t="shared" si="109"/>
        <v>0.19351850898724043</v>
      </c>
      <c r="CP168" s="16"/>
      <c r="CQ168" s="16"/>
      <c r="CR168" s="16"/>
      <c r="CS168" s="16"/>
      <c r="CT168" s="16"/>
      <c r="CU168" s="16"/>
      <c r="CV168" s="16"/>
      <c r="CW168" s="16"/>
      <c r="CX168" s="16"/>
      <c r="CY168" s="16"/>
      <c r="CZ168" s="16"/>
      <c r="DA168" s="16"/>
    </row>
    <row r="169" spans="1:105">
      <c r="A169" s="6"/>
      <c r="B169" s="6"/>
      <c r="D169" s="4" t="str">
        <f t="shared" si="110"/>
        <v>Ghana</v>
      </c>
      <c r="E169" s="2"/>
      <c r="F169" s="10"/>
      <c r="G169" s="2"/>
      <c r="H169" s="10"/>
      <c r="I169" s="10"/>
      <c r="J169" s="10"/>
      <c r="K169" s="10"/>
      <c r="L169" s="10"/>
      <c r="M169" s="10"/>
      <c r="N169" s="10"/>
      <c r="O169" s="10"/>
      <c r="P169" s="10"/>
      <c r="Q169" s="10"/>
      <c r="R169" s="10"/>
      <c r="S169" s="10"/>
      <c r="T169" s="9"/>
      <c r="U169" s="9"/>
      <c r="V169" s="9"/>
      <c r="W169" s="351"/>
      <c r="X169" s="352"/>
      <c r="Y169" s="352"/>
      <c r="Z169" s="352"/>
      <c r="AA169" s="352"/>
      <c r="AB169" s="351"/>
      <c r="AC169" s="352"/>
      <c r="AD169" s="352"/>
      <c r="AE169" s="352"/>
      <c r="AF169" s="352"/>
      <c r="AG169" s="351"/>
      <c r="AH169" s="353">
        <f t="shared" ref="AH169:AK173" si="115">AH253*AH453</f>
        <v>60.532499999999999</v>
      </c>
      <c r="AI169" s="353">
        <f t="shared" si="115"/>
        <v>69.267600000000002</v>
      </c>
      <c r="AJ169" s="353">
        <f t="shared" si="115"/>
        <v>70.275384000000003</v>
      </c>
      <c r="AK169" s="353">
        <f t="shared" si="115"/>
        <v>72.647783999999973</v>
      </c>
      <c r="AL169" s="351"/>
      <c r="AM169" s="353">
        <f t="shared" ref="AM169:AP173" si="116">AM253*AM453</f>
        <v>65.040150000000011</v>
      </c>
      <c r="AN169" s="353">
        <f t="shared" si="116"/>
        <v>68.316381000000007</v>
      </c>
      <c r="AO169" s="353">
        <f t="shared" si="116"/>
        <v>81.416771999999995</v>
      </c>
      <c r="AP169" s="353">
        <f t="shared" si="116"/>
        <v>82.846260000000001</v>
      </c>
      <c r="AQ169" s="351"/>
      <c r="AR169" s="353"/>
      <c r="AS169" s="353"/>
      <c r="AT169" s="353"/>
      <c r="AU169" s="353"/>
      <c r="AV169" s="352"/>
      <c r="AW169" s="353"/>
      <c r="AX169" s="353"/>
      <c r="AY169" s="353"/>
      <c r="AZ169" s="353"/>
      <c r="BA169" s="352"/>
      <c r="BB169" s="353"/>
      <c r="BC169" s="353"/>
      <c r="BD169" s="353"/>
      <c r="BE169" s="353"/>
      <c r="BF169" s="352"/>
      <c r="BG169" s="352"/>
      <c r="BH169" s="352"/>
      <c r="BI169" s="352"/>
      <c r="BJ169" s="352"/>
      <c r="BK169" s="352"/>
      <c r="BL169" s="352"/>
      <c r="BM169" s="352"/>
      <c r="BN169" s="352"/>
      <c r="BO169" s="352"/>
      <c r="BP169" s="352"/>
      <c r="BQ169" s="352"/>
      <c r="BR169" s="352"/>
      <c r="BS169" s="352"/>
      <c r="BT169" s="352"/>
      <c r="BU169" s="9"/>
      <c r="BV169" s="9"/>
      <c r="BW169" s="9"/>
      <c r="BX169" s="9"/>
      <c r="BY169" s="9"/>
      <c r="BZ169" s="16"/>
      <c r="CA169" s="16"/>
      <c r="CB169" s="16"/>
      <c r="CC169" s="16"/>
      <c r="CD169" s="16"/>
      <c r="CE169" s="16"/>
      <c r="CF169" s="16"/>
      <c r="CG169" s="16"/>
      <c r="CH169" s="16"/>
      <c r="CI169" s="16"/>
      <c r="CJ169" s="16"/>
      <c r="CK169" s="16"/>
      <c r="CL169" s="16">
        <f t="shared" si="106"/>
        <v>7.4466608846487592E-2</v>
      </c>
      <c r="CM169" s="16">
        <f t="shared" si="107"/>
        <v>-1.3732524297073834E-2</v>
      </c>
      <c r="CN169" s="16">
        <f t="shared" si="108"/>
        <v>0.15853898429071545</v>
      </c>
      <c r="CO169" s="16">
        <f t="shared" si="109"/>
        <v>0.14038247883789579</v>
      </c>
      <c r="CP169" s="16"/>
      <c r="CQ169" s="16"/>
      <c r="CR169" s="16"/>
      <c r="CS169" s="16"/>
      <c r="CT169" s="16"/>
      <c r="CU169" s="16"/>
      <c r="CV169" s="16"/>
      <c r="CW169" s="16"/>
      <c r="CX169" s="16"/>
      <c r="CY169" s="16"/>
      <c r="CZ169" s="16"/>
      <c r="DA169" s="16"/>
    </row>
    <row r="170" spans="1:105">
      <c r="A170" s="6"/>
      <c r="B170" s="6"/>
      <c r="D170" s="4" t="str">
        <f t="shared" si="110"/>
        <v>Mauritius</v>
      </c>
      <c r="E170" s="2"/>
      <c r="F170" s="10"/>
      <c r="G170" s="2"/>
      <c r="H170" s="10"/>
      <c r="I170" s="10"/>
      <c r="J170" s="10"/>
      <c r="K170" s="10"/>
      <c r="L170" s="10"/>
      <c r="M170" s="10"/>
      <c r="N170" s="10"/>
      <c r="O170" s="10"/>
      <c r="P170" s="10"/>
      <c r="Q170" s="10"/>
      <c r="R170" s="10"/>
      <c r="S170" s="10"/>
      <c r="T170" s="9"/>
      <c r="U170" s="9"/>
      <c r="V170" s="9"/>
      <c r="W170" s="351"/>
      <c r="X170" s="352"/>
      <c r="Y170" s="352"/>
      <c r="Z170" s="352"/>
      <c r="AA170" s="352"/>
      <c r="AB170" s="351"/>
      <c r="AC170" s="352"/>
      <c r="AD170" s="352"/>
      <c r="AE170" s="352"/>
      <c r="AF170" s="352"/>
      <c r="AG170" s="351"/>
      <c r="AH170" s="353">
        <f t="shared" si="115"/>
        <v>206.52975000000001</v>
      </c>
      <c r="AI170" s="353">
        <f t="shared" si="115"/>
        <v>209.16000000000005</v>
      </c>
      <c r="AJ170" s="353">
        <f t="shared" si="115"/>
        <v>260.48512499999998</v>
      </c>
      <c r="AK170" s="353">
        <f t="shared" si="115"/>
        <v>253.80494999999999</v>
      </c>
      <c r="AL170" s="351"/>
      <c r="AM170" s="353">
        <f t="shared" si="116"/>
        <v>248.54062500000001</v>
      </c>
      <c r="AN170" s="353">
        <f t="shared" si="116"/>
        <v>231.31480199999999</v>
      </c>
      <c r="AO170" s="353">
        <f t="shared" si="116"/>
        <v>238.88628000000003</v>
      </c>
      <c r="AP170" s="353">
        <f t="shared" si="116"/>
        <v>252.25241249999999</v>
      </c>
      <c r="AQ170" s="351"/>
      <c r="AR170" s="353"/>
      <c r="AS170" s="353"/>
      <c r="AT170" s="353"/>
      <c r="AU170" s="353"/>
      <c r="AV170" s="352"/>
      <c r="AW170" s="353"/>
      <c r="AX170" s="353"/>
      <c r="AY170" s="353"/>
      <c r="AZ170" s="353"/>
      <c r="BA170" s="352"/>
      <c r="BB170" s="353"/>
      <c r="BC170" s="353"/>
      <c r="BD170" s="353"/>
      <c r="BE170" s="353"/>
      <c r="BF170" s="352"/>
      <c r="BG170" s="352"/>
      <c r="BH170" s="352"/>
      <c r="BI170" s="352"/>
      <c r="BJ170" s="352"/>
      <c r="BK170" s="352"/>
      <c r="BL170" s="352"/>
      <c r="BM170" s="352"/>
      <c r="BN170" s="352"/>
      <c r="BO170" s="352"/>
      <c r="BP170" s="352"/>
      <c r="BQ170" s="352"/>
      <c r="BR170" s="352"/>
      <c r="BS170" s="352"/>
      <c r="BT170" s="352"/>
      <c r="BU170" s="9"/>
      <c r="BV170" s="9"/>
      <c r="BW170" s="9"/>
      <c r="BX170" s="9"/>
      <c r="BY170" s="9"/>
      <c r="BZ170" s="16"/>
      <c r="CA170" s="16"/>
      <c r="CB170" s="16"/>
      <c r="CC170" s="16"/>
      <c r="CD170" s="16"/>
      <c r="CE170" s="16"/>
      <c r="CF170" s="16"/>
      <c r="CG170" s="16"/>
      <c r="CH170" s="16"/>
      <c r="CI170" s="16"/>
      <c r="CJ170" s="16"/>
      <c r="CK170" s="16"/>
      <c r="CL170" s="16">
        <f t="shared" si="106"/>
        <v>0.20341318865683999</v>
      </c>
      <c r="CM170" s="16">
        <f t="shared" si="107"/>
        <v>0.10592274813539837</v>
      </c>
      <c r="CN170" s="16">
        <f t="shared" si="108"/>
        <v>-8.2917767377311713E-2</v>
      </c>
      <c r="CO170" s="16">
        <f t="shared" si="109"/>
        <v>-6.1170497265715662E-3</v>
      </c>
      <c r="CP170" s="16"/>
      <c r="CQ170" s="16"/>
      <c r="CR170" s="16"/>
      <c r="CS170" s="16"/>
      <c r="CT170" s="16"/>
      <c r="CU170" s="16"/>
      <c r="CV170" s="16"/>
      <c r="CW170" s="16"/>
      <c r="CX170" s="16"/>
      <c r="CY170" s="16"/>
      <c r="CZ170" s="16"/>
      <c r="DA170" s="16"/>
    </row>
    <row r="171" spans="1:105">
      <c r="A171" s="6"/>
      <c r="B171" s="6"/>
      <c r="D171" s="4" t="str">
        <f t="shared" si="110"/>
        <v>Senegal</v>
      </c>
      <c r="E171" s="2"/>
      <c r="F171" s="10"/>
      <c r="G171" s="2"/>
      <c r="H171" s="10"/>
      <c r="I171" s="10"/>
      <c r="J171" s="10"/>
      <c r="K171" s="10"/>
      <c r="L171" s="10"/>
      <c r="M171" s="10"/>
      <c r="N171" s="10"/>
      <c r="O171" s="10"/>
      <c r="P171" s="10"/>
      <c r="Q171" s="10"/>
      <c r="R171" s="10"/>
      <c r="S171" s="10"/>
      <c r="T171" s="9"/>
      <c r="U171" s="9"/>
      <c r="V171" s="9"/>
      <c r="W171" s="351"/>
      <c r="X171" s="352"/>
      <c r="Y171" s="352"/>
      <c r="Z171" s="352"/>
      <c r="AA171" s="352"/>
      <c r="AB171" s="351"/>
      <c r="AC171" s="352"/>
      <c r="AD171" s="352"/>
      <c r="AE171" s="352"/>
      <c r="AF171" s="352"/>
      <c r="AG171" s="351"/>
      <c r="AH171" s="353">
        <f t="shared" si="115"/>
        <v>17056.944000000003</v>
      </c>
      <c r="AI171" s="353">
        <f t="shared" si="115"/>
        <v>17271.290400000002</v>
      </c>
      <c r="AJ171" s="353">
        <f t="shared" si="115"/>
        <v>16276.562975999997</v>
      </c>
      <c r="AK171" s="353">
        <f t="shared" si="115"/>
        <v>17882.794188</v>
      </c>
      <c r="AL171" s="351"/>
      <c r="AM171" s="353">
        <f t="shared" si="116"/>
        <v>18949.349249999999</v>
      </c>
      <c r="AN171" s="353">
        <f t="shared" si="116"/>
        <v>18162.80154</v>
      </c>
      <c r="AO171" s="353">
        <f t="shared" si="116"/>
        <v>18682.329907499996</v>
      </c>
      <c r="AP171" s="353">
        <f t="shared" si="116"/>
        <v>17380.934459999997</v>
      </c>
      <c r="AQ171" s="351"/>
      <c r="AR171" s="353"/>
      <c r="AS171" s="353"/>
      <c r="AT171" s="353"/>
      <c r="AU171" s="353"/>
      <c r="AV171" s="352"/>
      <c r="AW171" s="353"/>
      <c r="AX171" s="353"/>
      <c r="AY171" s="353"/>
      <c r="AZ171" s="353"/>
      <c r="BA171" s="352"/>
      <c r="BB171" s="353"/>
      <c r="BC171" s="353"/>
      <c r="BD171" s="353"/>
      <c r="BE171" s="353"/>
      <c r="BF171" s="352"/>
      <c r="BG171" s="352"/>
      <c r="BH171" s="352"/>
      <c r="BI171" s="352"/>
      <c r="BJ171" s="352"/>
      <c r="BK171" s="352"/>
      <c r="BL171" s="352"/>
      <c r="BM171" s="352"/>
      <c r="BN171" s="352"/>
      <c r="BO171" s="352"/>
      <c r="BP171" s="352"/>
      <c r="BQ171" s="352"/>
      <c r="BR171" s="352"/>
      <c r="BS171" s="352"/>
      <c r="BT171" s="352"/>
      <c r="BU171" s="9"/>
      <c r="BV171" s="9"/>
      <c r="BW171" s="9"/>
      <c r="BX171" s="9"/>
      <c r="BY171" s="9"/>
      <c r="BZ171" s="16"/>
      <c r="CA171" s="16"/>
      <c r="CB171" s="16"/>
      <c r="CC171" s="16"/>
      <c r="CD171" s="16"/>
      <c r="CE171" s="16"/>
      <c r="CF171" s="16"/>
      <c r="CG171" s="16"/>
      <c r="CH171" s="16"/>
      <c r="CI171" s="16"/>
      <c r="CJ171" s="16"/>
      <c r="CK171" s="16"/>
      <c r="CL171" s="16">
        <f t="shared" si="106"/>
        <v>0.11094632485162625</v>
      </c>
      <c r="CM171" s="16">
        <f t="shared" si="107"/>
        <v>5.1618096815742254E-2</v>
      </c>
      <c r="CN171" s="16">
        <f t="shared" si="108"/>
        <v>0.1478055861699632</v>
      </c>
      <c r="CO171" s="16">
        <f t="shared" si="109"/>
        <v>-2.8063831788477933E-2</v>
      </c>
      <c r="CP171" s="16"/>
      <c r="CQ171" s="16"/>
      <c r="CR171" s="16"/>
      <c r="CS171" s="16"/>
      <c r="CT171" s="16"/>
      <c r="CU171" s="16"/>
      <c r="CV171" s="16"/>
      <c r="CW171" s="16"/>
      <c r="CX171" s="16"/>
      <c r="CY171" s="16"/>
      <c r="CZ171" s="16"/>
      <c r="DA171" s="16"/>
    </row>
    <row r="172" spans="1:105">
      <c r="A172" s="6"/>
      <c r="B172" s="6"/>
      <c r="D172" s="4" t="str">
        <f t="shared" si="110"/>
        <v>Tanzania</v>
      </c>
      <c r="E172" s="2"/>
      <c r="F172" s="10"/>
      <c r="G172" s="2"/>
      <c r="H172" s="10"/>
      <c r="I172" s="10"/>
      <c r="J172" s="10"/>
      <c r="K172" s="10"/>
      <c r="L172" s="10"/>
      <c r="M172" s="10"/>
      <c r="N172" s="10"/>
      <c r="O172" s="10"/>
      <c r="P172" s="10"/>
      <c r="Q172" s="10"/>
      <c r="R172" s="10"/>
      <c r="S172" s="10"/>
      <c r="T172" s="9"/>
      <c r="U172" s="9"/>
      <c r="V172" s="9"/>
      <c r="W172" s="351"/>
      <c r="X172" s="352"/>
      <c r="Y172" s="352"/>
      <c r="Z172" s="352"/>
      <c r="AA172" s="352"/>
      <c r="AB172" s="351"/>
      <c r="AC172" s="352"/>
      <c r="AD172" s="352"/>
      <c r="AE172" s="352"/>
      <c r="AF172" s="352"/>
      <c r="AG172" s="351"/>
      <c r="AH172" s="353">
        <f t="shared" si="115"/>
        <v>55606.784999999996</v>
      </c>
      <c r="AI172" s="353">
        <f t="shared" si="115"/>
        <v>61190.956349999993</v>
      </c>
      <c r="AJ172" s="353">
        <f t="shared" si="115"/>
        <v>72379.797658499985</v>
      </c>
      <c r="AK172" s="353">
        <f t="shared" si="115"/>
        <v>83203.818637500008</v>
      </c>
      <c r="AL172" s="351"/>
      <c r="AM172" s="353">
        <f t="shared" si="116"/>
        <v>80806.798949999997</v>
      </c>
      <c r="AN172" s="353">
        <f t="shared" si="116"/>
        <v>86843.874072000006</v>
      </c>
      <c r="AO172" s="353">
        <f t="shared" si="116"/>
        <v>98104.037675999993</v>
      </c>
      <c r="AP172" s="353">
        <f t="shared" si="116"/>
        <v>98832.081347999992</v>
      </c>
      <c r="AQ172" s="351"/>
      <c r="AR172" s="353"/>
      <c r="AS172" s="353"/>
      <c r="AT172" s="353"/>
      <c r="AU172" s="353"/>
      <c r="AV172" s="352"/>
      <c r="AW172" s="353"/>
      <c r="AX172" s="353"/>
      <c r="AY172" s="353"/>
      <c r="AZ172" s="353"/>
      <c r="BA172" s="352"/>
      <c r="BB172" s="353"/>
      <c r="BC172" s="353"/>
      <c r="BD172" s="353"/>
      <c r="BE172" s="353"/>
      <c r="BF172" s="352"/>
      <c r="BG172" s="352"/>
      <c r="BH172" s="352"/>
      <c r="BI172" s="352"/>
      <c r="BJ172" s="352"/>
      <c r="BK172" s="352"/>
      <c r="BL172" s="352"/>
      <c r="BM172" s="352"/>
      <c r="BN172" s="352"/>
      <c r="BO172" s="352"/>
      <c r="BP172" s="352"/>
      <c r="BQ172" s="352"/>
      <c r="BR172" s="352"/>
      <c r="BS172" s="352"/>
      <c r="BT172" s="352"/>
      <c r="BU172" s="9"/>
      <c r="BV172" s="9"/>
      <c r="BW172" s="9"/>
      <c r="BX172" s="9"/>
      <c r="BY172" s="9"/>
      <c r="BZ172" s="16"/>
      <c r="CA172" s="16"/>
      <c r="CB172" s="16"/>
      <c r="CC172" s="16"/>
      <c r="CD172" s="16"/>
      <c r="CE172" s="16"/>
      <c r="CF172" s="16"/>
      <c r="CG172" s="16"/>
      <c r="CH172" s="16"/>
      <c r="CI172" s="16"/>
      <c r="CJ172" s="16"/>
      <c r="CK172" s="16"/>
      <c r="CL172" s="16">
        <f t="shared" si="106"/>
        <v>0.45318235805216944</v>
      </c>
      <c r="CM172" s="16">
        <f t="shared" si="107"/>
        <v>0.41922727233204959</v>
      </c>
      <c r="CN172" s="16">
        <f t="shared" si="108"/>
        <v>0.35540635439285539</v>
      </c>
      <c r="CO172" s="16">
        <f t="shared" si="109"/>
        <v>0.18783107514077857</v>
      </c>
      <c r="CP172" s="16"/>
      <c r="CQ172" s="16"/>
      <c r="CR172" s="16"/>
      <c r="CS172" s="16"/>
      <c r="CT172" s="16"/>
      <c r="CU172" s="16"/>
      <c r="CV172" s="16"/>
      <c r="CW172" s="16"/>
      <c r="CX172" s="16"/>
      <c r="CY172" s="16"/>
      <c r="CZ172" s="16"/>
      <c r="DA172" s="16"/>
    </row>
    <row r="173" spans="1:105">
      <c r="A173" s="6"/>
      <c r="B173" s="6"/>
      <c r="D173" s="4" t="str">
        <f t="shared" si="110"/>
        <v>Chad</v>
      </c>
      <c r="E173" s="2"/>
      <c r="F173" s="10"/>
      <c r="G173" s="2"/>
      <c r="H173" s="10"/>
      <c r="I173" s="10"/>
      <c r="J173" s="10"/>
      <c r="K173" s="10"/>
      <c r="L173" s="10"/>
      <c r="M173" s="10"/>
      <c r="N173" s="10"/>
      <c r="O173" s="10"/>
      <c r="P173" s="10"/>
      <c r="Q173" s="10"/>
      <c r="R173" s="10"/>
      <c r="S173" s="10"/>
      <c r="T173" s="9"/>
      <c r="U173" s="9"/>
      <c r="V173" s="9"/>
      <c r="W173" s="351"/>
      <c r="X173" s="352"/>
      <c r="Y173" s="352"/>
      <c r="Z173" s="352"/>
      <c r="AA173" s="352"/>
      <c r="AB173" s="351"/>
      <c r="AC173" s="352"/>
      <c r="AD173" s="352"/>
      <c r="AE173" s="352"/>
      <c r="AF173" s="352"/>
      <c r="AG173" s="351"/>
      <c r="AH173" s="353">
        <f t="shared" si="115"/>
        <v>8502.6479999999992</v>
      </c>
      <c r="AI173" s="353">
        <f t="shared" si="115"/>
        <v>10490.079600000001</v>
      </c>
      <c r="AJ173" s="353">
        <f t="shared" si="115"/>
        <v>10805.021409000001</v>
      </c>
      <c r="AK173" s="353">
        <f t="shared" si="115"/>
        <v>13460.515036500001</v>
      </c>
      <c r="AL173" s="351"/>
      <c r="AM173" s="353">
        <f t="shared" si="116"/>
        <v>13440.038399999999</v>
      </c>
      <c r="AN173" s="353">
        <f t="shared" si="116"/>
        <v>13469.520291000001</v>
      </c>
      <c r="AO173" s="353">
        <f t="shared" si="116"/>
        <v>13000.704057000001</v>
      </c>
      <c r="AP173" s="353">
        <f t="shared" si="116"/>
        <v>13790.287002000001</v>
      </c>
      <c r="AQ173" s="351"/>
      <c r="AR173" s="353"/>
      <c r="AS173" s="353"/>
      <c r="AT173" s="353"/>
      <c r="AU173" s="353"/>
      <c r="AV173" s="352"/>
      <c r="AW173" s="353"/>
      <c r="AX173" s="353"/>
      <c r="AY173" s="353"/>
      <c r="AZ173" s="353"/>
      <c r="BA173" s="352"/>
      <c r="BB173" s="353"/>
      <c r="BC173" s="353"/>
      <c r="BD173" s="353"/>
      <c r="BE173" s="353"/>
      <c r="BF173" s="352"/>
      <c r="BG173" s="352"/>
      <c r="BH173" s="352"/>
      <c r="BI173" s="352"/>
      <c r="BJ173" s="352"/>
      <c r="BK173" s="352"/>
      <c r="BL173" s="352"/>
      <c r="BM173" s="352"/>
      <c r="BN173" s="352"/>
      <c r="BO173" s="352"/>
      <c r="BP173" s="352"/>
      <c r="BQ173" s="352"/>
      <c r="BR173" s="352"/>
      <c r="BS173" s="352"/>
      <c r="BT173" s="352"/>
      <c r="BU173" s="9"/>
      <c r="BV173" s="9"/>
      <c r="BW173" s="9"/>
      <c r="BX173" s="9"/>
      <c r="BY173" s="9"/>
      <c r="BZ173" s="16"/>
      <c r="CA173" s="16"/>
      <c r="CB173" s="16"/>
      <c r="CC173" s="16"/>
      <c r="CD173" s="16"/>
      <c r="CE173" s="16"/>
      <c r="CF173" s="16"/>
      <c r="CG173" s="16"/>
      <c r="CH173" s="16"/>
      <c r="CI173" s="16"/>
      <c r="CJ173" s="16"/>
      <c r="CK173" s="16"/>
      <c r="CL173" s="16">
        <f t="shared" si="106"/>
        <v>0.58068855725886803</v>
      </c>
      <c r="CM173" s="16">
        <f t="shared" si="107"/>
        <v>0.28402460273037389</v>
      </c>
      <c r="CN173" s="16">
        <f t="shared" si="108"/>
        <v>0.20320946760652547</v>
      </c>
      <c r="CO173" s="16">
        <f t="shared" si="109"/>
        <v>2.4499208581973297E-2</v>
      </c>
      <c r="CP173" s="16"/>
      <c r="CQ173" s="16"/>
      <c r="CR173" s="16"/>
      <c r="CS173" s="16"/>
      <c r="CT173" s="16"/>
      <c r="CU173" s="16"/>
      <c r="CV173" s="16"/>
      <c r="CW173" s="16"/>
      <c r="CX173" s="16"/>
      <c r="CY173" s="16"/>
      <c r="CZ173" s="16"/>
      <c r="DA173" s="16"/>
    </row>
    <row r="174" spans="1:105">
      <c r="A174" s="6"/>
      <c r="B174" s="6"/>
      <c r="D174" s="4" t="str">
        <f t="shared" si="110"/>
        <v>DRC (in $)</v>
      </c>
      <c r="E174" s="2"/>
      <c r="F174" s="10"/>
      <c r="G174" s="2"/>
      <c r="H174" s="10"/>
      <c r="I174" s="10"/>
      <c r="J174" s="10"/>
      <c r="K174" s="10"/>
      <c r="L174" s="10"/>
      <c r="M174" s="10"/>
      <c r="N174" s="10"/>
      <c r="O174" s="10"/>
      <c r="P174" s="10"/>
      <c r="Q174" s="10"/>
      <c r="R174" s="10"/>
      <c r="S174" s="10"/>
      <c r="T174" s="9"/>
      <c r="U174" s="9"/>
      <c r="V174" s="9"/>
      <c r="W174" s="351"/>
      <c r="X174" s="352"/>
      <c r="Y174" s="352"/>
      <c r="Z174" s="352"/>
      <c r="AA174" s="352"/>
      <c r="AB174" s="351"/>
      <c r="AC174" s="352"/>
      <c r="AD174" s="352"/>
      <c r="AE174" s="352"/>
      <c r="AF174" s="352"/>
      <c r="AG174" s="351"/>
      <c r="AH174" s="353">
        <f>AH258</f>
        <v>23.5305</v>
      </c>
      <c r="AI174" s="353">
        <f>AI258</f>
        <v>22.148100000000003</v>
      </c>
      <c r="AJ174" s="353">
        <f>AJ258</f>
        <v>28.529108999999998</v>
      </c>
      <c r="AK174" s="353">
        <f>AK258</f>
        <v>31.081658999999998</v>
      </c>
      <c r="AL174" s="351"/>
      <c r="AM174" s="353">
        <f>AM258</f>
        <v>28.040399999999998</v>
      </c>
      <c r="AN174" s="353">
        <f>AN258</f>
        <v>30.837969000000001</v>
      </c>
      <c r="AO174" s="353">
        <f>AO258</f>
        <v>34.510328999999999</v>
      </c>
      <c r="AP174" s="353">
        <f>AP258</f>
        <v>31.265932500000002</v>
      </c>
      <c r="AQ174" s="351"/>
      <c r="AR174" s="353"/>
      <c r="AS174" s="353"/>
      <c r="AT174" s="353"/>
      <c r="AU174" s="353"/>
      <c r="AV174" s="352"/>
      <c r="AW174" s="353"/>
      <c r="AX174" s="353"/>
      <c r="AY174" s="353"/>
      <c r="AZ174" s="353"/>
      <c r="BA174" s="352"/>
      <c r="BB174" s="353"/>
      <c r="BC174" s="353"/>
      <c r="BD174" s="353"/>
      <c r="BE174" s="353"/>
      <c r="BF174" s="352"/>
      <c r="BG174" s="352"/>
      <c r="BH174" s="352"/>
      <c r="BI174" s="352"/>
      <c r="BJ174" s="352"/>
      <c r="BK174" s="352"/>
      <c r="BL174" s="352"/>
      <c r="BM174" s="352"/>
      <c r="BN174" s="352"/>
      <c r="BO174" s="352"/>
      <c r="BP174" s="352"/>
      <c r="BQ174" s="352"/>
      <c r="BR174" s="352"/>
      <c r="BS174" s="352"/>
      <c r="BT174" s="352"/>
      <c r="BU174" s="9"/>
      <c r="BV174" s="9"/>
      <c r="BW174" s="9"/>
      <c r="BX174" s="9"/>
      <c r="BY174" s="9"/>
      <c r="BZ174" s="16"/>
      <c r="CA174" s="16"/>
      <c r="CB174" s="16"/>
      <c r="CC174" s="16"/>
      <c r="CD174" s="16"/>
      <c r="CE174" s="16"/>
      <c r="CF174" s="16"/>
      <c r="CG174" s="16"/>
      <c r="CH174" s="16"/>
      <c r="CI174" s="16"/>
      <c r="CJ174" s="16"/>
      <c r="CK174" s="16"/>
      <c r="CL174" s="16">
        <f t="shared" si="106"/>
        <v>0.19166188563778919</v>
      </c>
      <c r="CM174" s="16">
        <f t="shared" si="107"/>
        <v>0.39235279775691811</v>
      </c>
      <c r="CN174" s="16">
        <f t="shared" si="108"/>
        <v>0.20965323522722001</v>
      </c>
      <c r="CO174" s="16">
        <f t="shared" si="109"/>
        <v>5.928689327683756E-3</v>
      </c>
      <c r="CP174" s="16"/>
      <c r="CQ174" s="16"/>
      <c r="CR174" s="16"/>
      <c r="CS174" s="16"/>
      <c r="CT174" s="16"/>
      <c r="CU174" s="16"/>
      <c r="CV174" s="16"/>
      <c r="CW174" s="16"/>
      <c r="CX174" s="16"/>
      <c r="CY174" s="16"/>
      <c r="CZ174" s="16"/>
      <c r="DA174" s="16"/>
    </row>
    <row r="175" spans="1:105">
      <c r="A175" s="6"/>
      <c r="B175" s="6"/>
      <c r="D175" s="4" t="str">
        <f t="shared" si="110"/>
        <v>Rwanda</v>
      </c>
      <c r="E175" s="2"/>
      <c r="F175" s="10"/>
      <c r="G175" s="2"/>
      <c r="H175" s="10"/>
      <c r="I175" s="10"/>
      <c r="J175" s="10"/>
      <c r="K175" s="10"/>
      <c r="L175" s="10"/>
      <c r="M175" s="10"/>
      <c r="N175" s="10"/>
      <c r="O175" s="10"/>
      <c r="P175" s="10"/>
      <c r="Q175" s="10"/>
      <c r="R175" s="10"/>
      <c r="S175" s="10"/>
      <c r="T175" s="9"/>
      <c r="U175" s="9"/>
      <c r="V175" s="9"/>
      <c r="W175" s="351"/>
      <c r="X175" s="352"/>
      <c r="Y175" s="352"/>
      <c r="Z175" s="352"/>
      <c r="AA175" s="352"/>
      <c r="AB175" s="351"/>
      <c r="AC175" s="352"/>
      <c r="AD175" s="352"/>
      <c r="AE175" s="352"/>
      <c r="AF175" s="352"/>
      <c r="AG175" s="351"/>
      <c r="AH175" s="353"/>
      <c r="AI175" s="353"/>
      <c r="AJ175" s="353"/>
      <c r="AK175" s="353"/>
      <c r="AL175" s="351"/>
      <c r="AM175" s="353"/>
      <c r="AN175" s="353"/>
      <c r="AO175" s="353">
        <f>AO259*AO459</f>
        <v>3030.2374415209324</v>
      </c>
      <c r="AP175" s="353">
        <f>AP259*AP459</f>
        <v>1496.9207581525623</v>
      </c>
      <c r="AQ175" s="351"/>
      <c r="AR175" s="353"/>
      <c r="AS175" s="353"/>
      <c r="AT175" s="353"/>
      <c r="AU175" s="353"/>
      <c r="AV175" s="352"/>
      <c r="AW175" s="353"/>
      <c r="AX175" s="353"/>
      <c r="AY175" s="353"/>
      <c r="AZ175" s="353"/>
      <c r="BA175" s="352"/>
      <c r="BB175" s="353"/>
      <c r="BC175" s="353"/>
      <c r="BD175" s="353"/>
      <c r="BE175" s="353"/>
      <c r="BF175" s="352"/>
      <c r="BG175" s="352"/>
      <c r="BH175" s="352"/>
      <c r="BI175" s="352"/>
      <c r="BJ175" s="352"/>
      <c r="BK175" s="352"/>
      <c r="BL175" s="352"/>
      <c r="BM175" s="352"/>
      <c r="BN175" s="352"/>
      <c r="BO175" s="352"/>
      <c r="BP175" s="352"/>
      <c r="BQ175" s="352"/>
      <c r="BR175" s="352"/>
      <c r="BS175" s="352"/>
      <c r="BT175" s="352"/>
      <c r="BU175" s="9"/>
      <c r="BV175" s="9"/>
      <c r="BW175" s="9"/>
      <c r="BX175" s="9"/>
      <c r="BY175" s="9"/>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row>
    <row r="176" spans="1:105">
      <c r="A176" s="6"/>
      <c r="B176" s="6"/>
      <c r="D176" s="2"/>
      <c r="E176" s="2"/>
      <c r="F176" s="10"/>
      <c r="G176" s="2"/>
      <c r="H176" s="10"/>
      <c r="I176" s="10"/>
      <c r="J176" s="10"/>
      <c r="K176" s="10"/>
      <c r="L176" s="10"/>
      <c r="M176" s="10"/>
      <c r="N176" s="10"/>
      <c r="O176" s="10"/>
      <c r="P176" s="10"/>
      <c r="Q176" s="10"/>
      <c r="R176" s="10"/>
      <c r="S176" s="10"/>
      <c r="T176" s="9"/>
      <c r="U176" s="9"/>
      <c r="V176" s="9"/>
      <c r="W176" s="351"/>
      <c r="X176" s="352"/>
      <c r="Y176" s="352"/>
      <c r="Z176" s="352"/>
      <c r="AA176" s="352"/>
      <c r="AB176" s="351"/>
      <c r="AC176" s="352"/>
      <c r="AD176" s="352"/>
      <c r="AE176" s="352"/>
      <c r="AF176" s="352"/>
      <c r="AG176" s="351"/>
      <c r="AH176" s="352"/>
      <c r="AI176" s="352"/>
      <c r="AJ176" s="352"/>
      <c r="AK176" s="352"/>
      <c r="AL176" s="351"/>
      <c r="AM176" s="352"/>
      <c r="AN176" s="352"/>
      <c r="AO176" s="352"/>
      <c r="AP176" s="352"/>
      <c r="AQ176" s="351"/>
      <c r="AR176" s="352"/>
      <c r="AS176" s="352"/>
      <c r="AT176" s="352"/>
      <c r="AU176" s="352"/>
      <c r="AV176" s="352"/>
      <c r="AW176" s="352"/>
      <c r="AX176" s="352"/>
      <c r="AY176" s="352"/>
      <c r="AZ176" s="352"/>
      <c r="BA176" s="352"/>
      <c r="BB176" s="352"/>
      <c r="BC176" s="352"/>
      <c r="BD176" s="352"/>
      <c r="BE176" s="352"/>
      <c r="BF176" s="352"/>
      <c r="BG176" s="352"/>
      <c r="BH176" s="352"/>
      <c r="BI176" s="352"/>
      <c r="BJ176" s="352"/>
      <c r="BK176" s="352"/>
      <c r="BL176" s="352"/>
      <c r="BM176" s="352"/>
      <c r="BN176" s="352"/>
      <c r="BO176" s="352"/>
      <c r="BP176" s="352"/>
      <c r="BQ176" s="352"/>
      <c r="BR176" s="352"/>
      <c r="BS176" s="352"/>
      <c r="BT176" s="352"/>
      <c r="BU176" s="9"/>
      <c r="BV176" s="9"/>
      <c r="BW176" s="9"/>
      <c r="BX176" s="9"/>
      <c r="BY176" s="9"/>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row>
    <row r="177" spans="1:105" hidden="1" outlineLevel="1">
      <c r="A177" s="6"/>
      <c r="B177" s="6"/>
      <c r="D177" s="2" t="s">
        <v>180</v>
      </c>
      <c r="E177" s="2"/>
      <c r="F177" s="10"/>
      <c r="G177" s="2"/>
      <c r="H177" s="10"/>
      <c r="I177" s="10"/>
      <c r="J177" s="10"/>
      <c r="K177" s="10"/>
      <c r="L177" s="10"/>
      <c r="M177" s="10"/>
      <c r="N177" s="10"/>
      <c r="O177" s="10"/>
      <c r="P177" s="10"/>
      <c r="Q177" s="10"/>
      <c r="R177" s="10"/>
      <c r="S177" s="10"/>
      <c r="T177" s="9"/>
      <c r="U177" s="9"/>
      <c r="V177" s="9"/>
      <c r="W177" s="351"/>
      <c r="X177" s="352"/>
      <c r="Y177" s="352"/>
      <c r="Z177" s="352"/>
      <c r="AA177" s="352"/>
      <c r="AB177" s="351"/>
      <c r="AC177" s="352"/>
      <c r="AD177" s="352"/>
      <c r="AE177" s="352"/>
      <c r="AF177" s="352"/>
      <c r="AG177" s="351"/>
      <c r="AH177" s="352"/>
      <c r="AI177" s="352"/>
      <c r="AJ177" s="352"/>
      <c r="AK177" s="352"/>
      <c r="AL177" s="351"/>
      <c r="AM177" s="352"/>
      <c r="AN177" s="352"/>
      <c r="AO177" s="352"/>
      <c r="AP177" s="352"/>
      <c r="AQ177" s="351"/>
      <c r="AR177" s="352"/>
      <c r="AS177" s="352"/>
      <c r="AT177" s="352"/>
      <c r="AU177" s="352"/>
      <c r="AV177" s="352"/>
      <c r="AW177" s="352"/>
      <c r="AX177" s="352"/>
      <c r="AY177" s="352"/>
      <c r="AZ177" s="352"/>
      <c r="BA177" s="352"/>
      <c r="BB177" s="352"/>
      <c r="BC177" s="352"/>
      <c r="BD177" s="352"/>
      <c r="BE177" s="352"/>
      <c r="BF177" s="352"/>
      <c r="BG177" s="352"/>
      <c r="BH177" s="352"/>
      <c r="BI177" s="352"/>
      <c r="BJ177" s="352"/>
      <c r="BK177" s="352"/>
      <c r="BL177" s="352"/>
      <c r="BM177" s="352"/>
      <c r="BN177" s="352"/>
      <c r="BO177" s="352"/>
      <c r="BP177" s="352"/>
      <c r="BQ177" s="352"/>
      <c r="BR177" s="352"/>
      <c r="BS177" s="352"/>
      <c r="BT177" s="352"/>
      <c r="BU177" s="9"/>
      <c r="BV177" s="10"/>
      <c r="BW177" s="9"/>
      <c r="BX177" s="9"/>
      <c r="BY177" s="9"/>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row>
    <row r="178" spans="1:105" hidden="1" outlineLevel="1">
      <c r="A178" s="6"/>
      <c r="B178" s="6"/>
      <c r="D178" s="4" t="str">
        <f>D148</f>
        <v>El Sal (in $)</v>
      </c>
      <c r="E178" s="2"/>
      <c r="F178" s="10"/>
      <c r="G178" s="2"/>
      <c r="H178" s="10"/>
      <c r="I178" s="10"/>
      <c r="J178" s="10"/>
      <c r="K178" s="10"/>
      <c r="L178" s="10"/>
      <c r="M178" s="10"/>
      <c r="N178" s="10"/>
      <c r="O178" s="10"/>
      <c r="P178" s="10"/>
      <c r="Q178" s="10"/>
      <c r="R178" s="10"/>
      <c r="S178" s="10"/>
      <c r="T178" s="9"/>
      <c r="U178" s="9"/>
      <c r="V178" s="9"/>
      <c r="W178" s="351"/>
      <c r="X178" s="352"/>
      <c r="Y178" s="352"/>
      <c r="Z178" s="352"/>
      <c r="AA178" s="352"/>
      <c r="AB178" s="351"/>
      <c r="AC178" s="352"/>
      <c r="AD178" s="352"/>
      <c r="AE178" s="352"/>
      <c r="AF178" s="352"/>
      <c r="AG178" s="351"/>
      <c r="AH178" s="353">
        <v>13</v>
      </c>
      <c r="AI178" s="353">
        <v>13</v>
      </c>
      <c r="AJ178" s="353">
        <v>12</v>
      </c>
      <c r="AK178" s="353">
        <v>12</v>
      </c>
      <c r="AL178" s="351"/>
      <c r="AM178" s="353">
        <v>11</v>
      </c>
      <c r="AN178" s="353">
        <v>11</v>
      </c>
      <c r="AO178" s="353">
        <v>11</v>
      </c>
      <c r="AP178" s="353">
        <v>11</v>
      </c>
      <c r="AQ178" s="351"/>
      <c r="AR178" s="353"/>
      <c r="AS178" s="353"/>
      <c r="AT178" s="353"/>
      <c r="AU178" s="353"/>
      <c r="AV178" s="353"/>
      <c r="AW178" s="353"/>
      <c r="AX178" s="353"/>
      <c r="AY178" s="353"/>
      <c r="AZ178" s="353"/>
      <c r="BA178" s="353"/>
      <c r="BB178" s="353"/>
      <c r="BC178" s="353"/>
      <c r="BD178" s="353"/>
      <c r="BE178" s="353"/>
      <c r="BF178" s="353"/>
      <c r="BG178" s="353"/>
      <c r="BH178" s="353"/>
      <c r="BI178" s="353"/>
      <c r="BJ178" s="353"/>
      <c r="BK178" s="353"/>
      <c r="BL178" s="353"/>
      <c r="BM178" s="353"/>
      <c r="BN178" s="353"/>
      <c r="BO178" s="353"/>
      <c r="BP178" s="353"/>
      <c r="BQ178" s="353"/>
      <c r="BR178" s="353"/>
      <c r="BS178" s="353"/>
      <c r="BT178" s="353"/>
      <c r="BU178" s="9"/>
      <c r="BV178" s="7"/>
      <c r="BW178" s="9"/>
      <c r="BX178" s="9"/>
      <c r="BY178" s="9"/>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row>
    <row r="179" spans="1:105" hidden="1" outlineLevel="1">
      <c r="A179" s="6"/>
      <c r="B179" s="6"/>
      <c r="D179" s="4" t="str">
        <f t="shared" ref="D179:D190" si="117">D149</f>
        <v>Guatemala</v>
      </c>
      <c r="E179" s="2"/>
      <c r="F179" s="10"/>
      <c r="G179" s="2"/>
      <c r="H179" s="10"/>
      <c r="I179" s="10"/>
      <c r="J179" s="10"/>
      <c r="K179" s="10"/>
      <c r="L179" s="10"/>
      <c r="M179" s="10"/>
      <c r="N179" s="10"/>
      <c r="O179" s="10"/>
      <c r="P179" s="10"/>
      <c r="Q179" s="10"/>
      <c r="R179" s="10"/>
      <c r="S179" s="10"/>
      <c r="T179" s="9"/>
      <c r="U179" s="9"/>
      <c r="V179" s="9"/>
      <c r="W179" s="351"/>
      <c r="X179" s="352"/>
      <c r="Y179" s="352"/>
      <c r="Z179" s="352"/>
      <c r="AA179" s="352"/>
      <c r="AB179" s="351"/>
      <c r="AC179" s="352"/>
      <c r="AD179" s="352"/>
      <c r="AE179" s="352"/>
      <c r="AF179" s="352"/>
      <c r="AG179" s="351"/>
      <c r="AH179" s="353">
        <v>119</v>
      </c>
      <c r="AI179" s="353">
        <v>115</v>
      </c>
      <c r="AJ179" s="353">
        <v>113</v>
      </c>
      <c r="AK179" s="353">
        <v>104</v>
      </c>
      <c r="AL179" s="351"/>
      <c r="AM179" s="353">
        <v>104</v>
      </c>
      <c r="AN179" s="353">
        <v>102</v>
      </c>
      <c r="AO179" s="353">
        <v>101</v>
      </c>
      <c r="AP179" s="353">
        <v>105</v>
      </c>
      <c r="AQ179" s="351"/>
      <c r="AR179" s="353"/>
      <c r="AS179" s="353"/>
      <c r="AT179" s="353"/>
      <c r="AU179" s="353"/>
      <c r="AV179" s="353"/>
      <c r="AW179" s="353"/>
      <c r="AX179" s="353"/>
      <c r="AY179" s="353"/>
      <c r="AZ179" s="353"/>
      <c r="BA179" s="353"/>
      <c r="BB179" s="353"/>
      <c r="BC179" s="353"/>
      <c r="BD179" s="353"/>
      <c r="BE179" s="353"/>
      <c r="BF179" s="353"/>
      <c r="BG179" s="353"/>
      <c r="BH179" s="353"/>
      <c r="BI179" s="353"/>
      <c r="BJ179" s="353"/>
      <c r="BK179" s="353"/>
      <c r="BL179" s="353"/>
      <c r="BM179" s="353"/>
      <c r="BN179" s="353"/>
      <c r="BO179" s="353"/>
      <c r="BP179" s="353"/>
      <c r="BQ179" s="353"/>
      <c r="BR179" s="353"/>
      <c r="BS179" s="353"/>
      <c r="BT179" s="353"/>
      <c r="BU179" s="9"/>
      <c r="BV179" s="7"/>
      <c r="BW179" s="9"/>
      <c r="BX179" s="9"/>
      <c r="BY179" s="9"/>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row>
    <row r="180" spans="1:105" hidden="1" outlineLevel="1">
      <c r="A180" s="6"/>
      <c r="B180" s="6"/>
      <c r="D180" s="4" t="str">
        <f t="shared" si="117"/>
        <v>Honduras</v>
      </c>
      <c r="E180" s="2"/>
      <c r="F180" s="10"/>
      <c r="G180" s="2"/>
      <c r="H180" s="10"/>
      <c r="I180" s="10"/>
      <c r="J180" s="10"/>
      <c r="K180" s="10"/>
      <c r="L180" s="10"/>
      <c r="M180" s="10"/>
      <c r="N180" s="10"/>
      <c r="O180" s="10"/>
      <c r="P180" s="10"/>
      <c r="Q180" s="10"/>
      <c r="R180" s="10"/>
      <c r="S180" s="10"/>
      <c r="T180" s="9"/>
      <c r="U180" s="9"/>
      <c r="V180" s="9"/>
      <c r="W180" s="351"/>
      <c r="X180" s="352"/>
      <c r="Y180" s="352"/>
      <c r="Z180" s="352"/>
      <c r="AA180" s="352"/>
      <c r="AB180" s="351"/>
      <c r="AC180" s="352"/>
      <c r="AD180" s="352"/>
      <c r="AE180" s="352"/>
      <c r="AF180" s="352"/>
      <c r="AG180" s="351"/>
      <c r="AH180" s="353">
        <v>221</v>
      </c>
      <c r="AI180" s="353">
        <v>216</v>
      </c>
      <c r="AJ180" s="353">
        <v>194</v>
      </c>
      <c r="AK180" s="353">
        <v>197</v>
      </c>
      <c r="AL180" s="351"/>
      <c r="AM180" s="353">
        <v>190</v>
      </c>
      <c r="AN180" s="353">
        <v>191</v>
      </c>
      <c r="AO180" s="353">
        <v>197</v>
      </c>
      <c r="AP180" s="353">
        <v>211</v>
      </c>
      <c r="AQ180" s="351"/>
      <c r="AR180" s="353"/>
      <c r="AS180" s="353"/>
      <c r="AT180" s="353"/>
      <c r="AU180" s="353"/>
      <c r="AV180" s="353"/>
      <c r="AW180" s="353"/>
      <c r="AX180" s="353"/>
      <c r="AY180" s="353"/>
      <c r="AZ180" s="353"/>
      <c r="BA180" s="353"/>
      <c r="BB180" s="353"/>
      <c r="BC180" s="353"/>
      <c r="BD180" s="353"/>
      <c r="BE180" s="353"/>
      <c r="BF180" s="353"/>
      <c r="BG180" s="353"/>
      <c r="BH180" s="353"/>
      <c r="BI180" s="353"/>
      <c r="BJ180" s="353"/>
      <c r="BK180" s="353"/>
      <c r="BL180" s="353"/>
      <c r="BM180" s="353"/>
      <c r="BN180" s="353"/>
      <c r="BO180" s="353"/>
      <c r="BP180" s="353"/>
      <c r="BQ180" s="353"/>
      <c r="BR180" s="353"/>
      <c r="BS180" s="353"/>
      <c r="BT180" s="353"/>
      <c r="BU180" s="9"/>
      <c r="BV180" s="7"/>
      <c r="BW180" s="9"/>
      <c r="BX180" s="9"/>
      <c r="BY180" s="9"/>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row>
    <row r="181" spans="1:105" hidden="1" outlineLevel="1">
      <c r="A181" s="6"/>
      <c r="B181" s="6"/>
      <c r="D181" s="4" t="str">
        <f t="shared" si="117"/>
        <v>Colombia</v>
      </c>
      <c r="E181" s="2"/>
      <c r="F181" s="10"/>
      <c r="G181" s="2"/>
      <c r="H181" s="10"/>
      <c r="I181" s="10"/>
      <c r="J181" s="10"/>
      <c r="K181" s="10"/>
      <c r="L181" s="10"/>
      <c r="M181" s="10"/>
      <c r="N181" s="10"/>
      <c r="O181" s="10"/>
      <c r="P181" s="10"/>
      <c r="Q181" s="10"/>
      <c r="R181" s="10"/>
      <c r="S181" s="10"/>
      <c r="T181" s="9"/>
      <c r="U181" s="9"/>
      <c r="V181" s="9"/>
      <c r="W181" s="351"/>
      <c r="X181" s="352"/>
      <c r="Y181" s="352"/>
      <c r="Z181" s="352"/>
      <c r="AA181" s="352"/>
      <c r="AB181" s="351"/>
      <c r="AC181" s="352"/>
      <c r="AD181" s="352"/>
      <c r="AE181" s="352"/>
      <c r="AF181" s="352"/>
      <c r="AG181" s="351"/>
      <c r="AH181" s="353">
        <v>21276</v>
      </c>
      <c r="AI181" s="353">
        <v>21488</v>
      </c>
      <c r="AJ181" s="353">
        <v>21541</v>
      </c>
      <c r="AK181" s="353">
        <v>22632</v>
      </c>
      <c r="AL181" s="351"/>
      <c r="AM181" s="353">
        <v>22159</v>
      </c>
      <c r="AN181" s="353">
        <v>22159</v>
      </c>
      <c r="AO181" s="353">
        <v>22631</v>
      </c>
      <c r="AP181" s="353">
        <v>23526</v>
      </c>
      <c r="AQ181" s="351"/>
      <c r="AR181" s="353"/>
      <c r="AS181" s="353"/>
      <c r="AT181" s="353"/>
      <c r="AU181" s="353"/>
      <c r="AV181" s="353"/>
      <c r="AW181" s="353"/>
      <c r="AX181" s="353"/>
      <c r="AY181" s="353"/>
      <c r="AZ181" s="353"/>
      <c r="BA181" s="353"/>
      <c r="BB181" s="353"/>
      <c r="BC181" s="353"/>
      <c r="BD181" s="353"/>
      <c r="BE181" s="353"/>
      <c r="BF181" s="353"/>
      <c r="BG181" s="353"/>
      <c r="BH181" s="353"/>
      <c r="BI181" s="353"/>
      <c r="BJ181" s="353"/>
      <c r="BK181" s="353"/>
      <c r="BL181" s="353"/>
      <c r="BM181" s="353"/>
      <c r="BN181" s="353"/>
      <c r="BO181" s="353"/>
      <c r="BP181" s="353"/>
      <c r="BQ181" s="353"/>
      <c r="BR181" s="353"/>
      <c r="BS181" s="353"/>
      <c r="BT181" s="353"/>
      <c r="BU181" s="9"/>
      <c r="BV181" s="7"/>
      <c r="BW181" s="9"/>
      <c r="BX181" s="9"/>
      <c r="BY181" s="9"/>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row>
    <row r="182" spans="1:105" hidden="1" outlineLevel="1">
      <c r="A182" s="6"/>
      <c r="B182" s="6"/>
      <c r="D182" s="4" t="str">
        <f t="shared" si="117"/>
        <v>Bolivia</v>
      </c>
      <c r="E182" s="2"/>
      <c r="F182" s="10"/>
      <c r="G182" s="2"/>
      <c r="H182" s="10"/>
      <c r="I182" s="10"/>
      <c r="J182" s="10"/>
      <c r="K182" s="10"/>
      <c r="L182" s="10"/>
      <c r="M182" s="10"/>
      <c r="N182" s="10"/>
      <c r="O182" s="10"/>
      <c r="P182" s="10"/>
      <c r="Q182" s="10"/>
      <c r="R182" s="10"/>
      <c r="S182" s="10"/>
      <c r="T182" s="9"/>
      <c r="U182" s="9"/>
      <c r="V182" s="9"/>
      <c r="W182" s="351"/>
      <c r="X182" s="352"/>
      <c r="Y182" s="352"/>
      <c r="Z182" s="352"/>
      <c r="AA182" s="352"/>
      <c r="AB182" s="351"/>
      <c r="AC182" s="352"/>
      <c r="AD182" s="352"/>
      <c r="AE182" s="352"/>
      <c r="AF182" s="352"/>
      <c r="AG182" s="351"/>
      <c r="AH182" s="353">
        <v>82</v>
      </c>
      <c r="AI182" s="353">
        <v>75</v>
      </c>
      <c r="AJ182" s="353">
        <v>77</v>
      </c>
      <c r="AK182" s="353">
        <v>82</v>
      </c>
      <c r="AL182" s="351"/>
      <c r="AM182" s="353">
        <v>76</v>
      </c>
      <c r="AN182" s="353">
        <v>77</v>
      </c>
      <c r="AO182" s="353">
        <v>80</v>
      </c>
      <c r="AP182" s="353">
        <v>80</v>
      </c>
      <c r="AQ182" s="351"/>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9"/>
      <c r="BV182" s="9"/>
      <c r="BW182" s="9"/>
      <c r="BX182" s="9"/>
      <c r="BY182" s="9"/>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row>
    <row r="183" spans="1:105" hidden="1" outlineLevel="1">
      <c r="A183" s="6"/>
      <c r="B183" s="6"/>
      <c r="D183" s="4" t="str">
        <f t="shared" si="117"/>
        <v>Paraguay</v>
      </c>
      <c r="E183" s="2"/>
      <c r="F183" s="10"/>
      <c r="G183" s="2"/>
      <c r="H183" s="10"/>
      <c r="I183" s="10"/>
      <c r="J183" s="10"/>
      <c r="K183" s="10"/>
      <c r="L183" s="10"/>
      <c r="M183" s="10"/>
      <c r="N183" s="10"/>
      <c r="O183" s="10"/>
      <c r="P183" s="10"/>
      <c r="Q183" s="10"/>
      <c r="R183" s="10"/>
      <c r="S183" s="10"/>
      <c r="T183" s="9"/>
      <c r="U183" s="9"/>
      <c r="V183" s="9"/>
      <c r="W183" s="351"/>
      <c r="X183" s="352"/>
      <c r="Y183" s="352"/>
      <c r="Z183" s="352"/>
      <c r="AA183" s="352"/>
      <c r="AB183" s="351"/>
      <c r="AC183" s="352"/>
      <c r="AD183" s="352"/>
      <c r="AE183" s="352"/>
      <c r="AF183" s="352"/>
      <c r="AG183" s="351"/>
      <c r="AH183" s="353">
        <v>50346</v>
      </c>
      <c r="AI183" s="353">
        <v>49301</v>
      </c>
      <c r="AJ183" s="353">
        <v>51464</v>
      </c>
      <c r="AK183" s="353">
        <v>53699</v>
      </c>
      <c r="AL183" s="351"/>
      <c r="AM183" s="353">
        <v>49557</v>
      </c>
      <c r="AN183" s="353">
        <v>48473</v>
      </c>
      <c r="AO183" s="353">
        <v>51809</v>
      </c>
      <c r="AP183" s="353">
        <v>56667</v>
      </c>
      <c r="AQ183" s="351"/>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3"/>
      <c r="BR183" s="353"/>
      <c r="BS183" s="353"/>
      <c r="BT183" s="353"/>
      <c r="BU183" s="9"/>
      <c r="BV183" s="9"/>
      <c r="BW183" s="9"/>
      <c r="BX183" s="9"/>
      <c r="BY183" s="9"/>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row>
    <row r="184" spans="1:105" hidden="1" outlineLevel="1">
      <c r="A184" s="6"/>
      <c r="B184" s="6"/>
      <c r="D184" s="4" t="str">
        <f t="shared" si="117"/>
        <v>Ghana</v>
      </c>
      <c r="E184" s="2"/>
      <c r="F184" s="10"/>
      <c r="G184" s="2"/>
      <c r="H184" s="10"/>
      <c r="I184" s="10"/>
      <c r="J184" s="10"/>
      <c r="K184" s="10"/>
      <c r="L184" s="10"/>
      <c r="M184" s="10"/>
      <c r="N184" s="10"/>
      <c r="O184" s="10"/>
      <c r="P184" s="10"/>
      <c r="Q184" s="10"/>
      <c r="R184" s="10"/>
      <c r="S184" s="10"/>
      <c r="T184" s="9"/>
      <c r="U184" s="9"/>
      <c r="V184" s="9"/>
      <c r="W184" s="351"/>
      <c r="X184" s="352"/>
      <c r="Y184" s="352"/>
      <c r="Z184" s="352"/>
      <c r="AA184" s="352"/>
      <c r="AB184" s="351"/>
      <c r="AC184" s="352"/>
      <c r="AD184" s="352"/>
      <c r="AE184" s="352"/>
      <c r="AF184" s="352"/>
      <c r="AG184" s="351"/>
      <c r="AH184" s="353">
        <v>7</v>
      </c>
      <c r="AI184" s="353">
        <v>8</v>
      </c>
      <c r="AJ184" s="353">
        <v>8</v>
      </c>
      <c r="AK184" s="353">
        <v>8</v>
      </c>
      <c r="AL184" s="351"/>
      <c r="AM184" s="353">
        <v>7</v>
      </c>
      <c r="AN184" s="353">
        <v>7</v>
      </c>
      <c r="AO184" s="353">
        <v>8</v>
      </c>
      <c r="AP184" s="353">
        <v>8</v>
      </c>
      <c r="AQ184" s="351"/>
      <c r="AR184" s="353"/>
      <c r="AS184" s="353"/>
      <c r="AT184" s="353"/>
      <c r="AU184" s="353"/>
      <c r="AV184" s="353"/>
      <c r="AW184" s="353"/>
      <c r="AX184" s="353"/>
      <c r="AY184" s="353"/>
      <c r="AZ184" s="353"/>
      <c r="BA184" s="353"/>
      <c r="BB184" s="353"/>
      <c r="BC184" s="353"/>
      <c r="BD184" s="353"/>
      <c r="BE184" s="353"/>
      <c r="BF184" s="353"/>
      <c r="BG184" s="353"/>
      <c r="BH184" s="353"/>
      <c r="BI184" s="353"/>
      <c r="BJ184" s="353"/>
      <c r="BK184" s="353"/>
      <c r="BL184" s="353"/>
      <c r="BM184" s="353"/>
      <c r="BN184" s="353"/>
      <c r="BO184" s="353"/>
      <c r="BP184" s="353"/>
      <c r="BQ184" s="353"/>
      <c r="BR184" s="353"/>
      <c r="BS184" s="353"/>
      <c r="BT184" s="353"/>
      <c r="BU184" s="9"/>
      <c r="BV184" s="9"/>
      <c r="BW184" s="9"/>
      <c r="BX184" s="9"/>
      <c r="BY184" s="9"/>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row>
    <row r="185" spans="1:105" hidden="1" outlineLevel="1">
      <c r="A185" s="6"/>
      <c r="B185" s="6"/>
      <c r="D185" s="4" t="str">
        <f t="shared" si="117"/>
        <v>Mauritius</v>
      </c>
      <c r="E185" s="2"/>
      <c r="F185" s="10"/>
      <c r="G185" s="2"/>
      <c r="H185" s="10"/>
      <c r="I185" s="10"/>
      <c r="J185" s="10"/>
      <c r="K185" s="10"/>
      <c r="L185" s="10"/>
      <c r="M185" s="10"/>
      <c r="N185" s="10"/>
      <c r="O185" s="10"/>
      <c r="P185" s="10"/>
      <c r="Q185" s="10"/>
      <c r="R185" s="10"/>
      <c r="S185" s="10"/>
      <c r="T185" s="9"/>
      <c r="U185" s="9"/>
      <c r="V185" s="9"/>
      <c r="W185" s="351"/>
      <c r="X185" s="352"/>
      <c r="Y185" s="352"/>
      <c r="Z185" s="352"/>
      <c r="AA185" s="352"/>
      <c r="AB185" s="351"/>
      <c r="AC185" s="352"/>
      <c r="AD185" s="352"/>
      <c r="AE185" s="352"/>
      <c r="AF185" s="352"/>
      <c r="AG185" s="351"/>
      <c r="AH185" s="353">
        <v>329</v>
      </c>
      <c r="AI185" s="353">
        <v>336</v>
      </c>
      <c r="AJ185" s="353">
        <v>415</v>
      </c>
      <c r="AK185" s="353">
        <v>394</v>
      </c>
      <c r="AL185" s="351"/>
      <c r="AM185" s="353">
        <v>375</v>
      </c>
      <c r="AN185" s="353">
        <v>344</v>
      </c>
      <c r="AO185" s="353">
        <v>354</v>
      </c>
      <c r="AP185" s="353">
        <v>365</v>
      </c>
      <c r="AQ185" s="351"/>
      <c r="AR185" s="353"/>
      <c r="AS185" s="353"/>
      <c r="AT185" s="353"/>
      <c r="AU185" s="353"/>
      <c r="AV185" s="353"/>
      <c r="AW185" s="353"/>
      <c r="AX185" s="353"/>
      <c r="AY185" s="353"/>
      <c r="AZ185" s="353"/>
      <c r="BA185" s="353"/>
      <c r="BB185" s="353"/>
      <c r="BC185" s="353"/>
      <c r="BD185" s="353"/>
      <c r="BE185" s="353"/>
      <c r="BF185" s="353"/>
      <c r="BG185" s="353"/>
      <c r="BH185" s="353"/>
      <c r="BI185" s="353"/>
      <c r="BJ185" s="353"/>
      <c r="BK185" s="353"/>
      <c r="BL185" s="353"/>
      <c r="BM185" s="353"/>
      <c r="BN185" s="353"/>
      <c r="BO185" s="353"/>
      <c r="BP185" s="353"/>
      <c r="BQ185" s="353"/>
      <c r="BR185" s="353"/>
      <c r="BS185" s="353"/>
      <c r="BT185" s="353"/>
      <c r="BU185" s="9"/>
      <c r="BV185" s="9"/>
      <c r="BW185" s="9"/>
      <c r="BX185" s="9"/>
      <c r="BY185" s="9"/>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row>
    <row r="186" spans="1:105" hidden="1" outlineLevel="1">
      <c r="A186" s="6"/>
      <c r="B186" s="6"/>
      <c r="D186" s="4" t="str">
        <f t="shared" si="117"/>
        <v>Senegal</v>
      </c>
      <c r="E186" s="2"/>
      <c r="F186" s="10"/>
      <c r="G186" s="2"/>
      <c r="H186" s="10"/>
      <c r="I186" s="10"/>
      <c r="J186" s="10"/>
      <c r="K186" s="10"/>
      <c r="L186" s="10"/>
      <c r="M186" s="10"/>
      <c r="N186" s="10"/>
      <c r="O186" s="10"/>
      <c r="P186" s="10"/>
      <c r="Q186" s="10"/>
      <c r="R186" s="10"/>
      <c r="S186" s="10"/>
      <c r="T186" s="9"/>
      <c r="U186" s="9"/>
      <c r="V186" s="9"/>
      <c r="W186" s="351"/>
      <c r="X186" s="352"/>
      <c r="Y186" s="352"/>
      <c r="Z186" s="352"/>
      <c r="AA186" s="352"/>
      <c r="AB186" s="351"/>
      <c r="AC186" s="352"/>
      <c r="AD186" s="352"/>
      <c r="AE186" s="352"/>
      <c r="AF186" s="352"/>
      <c r="AG186" s="351"/>
      <c r="AH186" s="353">
        <v>2976</v>
      </c>
      <c r="AI186" s="353">
        <v>2821</v>
      </c>
      <c r="AJ186" s="353">
        <v>2707</v>
      </c>
      <c r="AK186" s="353">
        <v>2991</v>
      </c>
      <c r="AL186" s="351"/>
      <c r="AM186" s="353">
        <v>2829</v>
      </c>
      <c r="AN186" s="353">
        <v>2509</v>
      </c>
      <c r="AO186" s="353">
        <v>2555</v>
      </c>
      <c r="AP186" s="353">
        <v>2424</v>
      </c>
      <c r="AQ186" s="351"/>
      <c r="AR186" s="353"/>
      <c r="AS186" s="353"/>
      <c r="AT186" s="353"/>
      <c r="AU186" s="353"/>
      <c r="AV186" s="353"/>
      <c r="AW186" s="353"/>
      <c r="AX186" s="353"/>
      <c r="AY186" s="353"/>
      <c r="AZ186" s="353"/>
      <c r="BA186" s="353"/>
      <c r="BB186" s="353"/>
      <c r="BC186" s="353"/>
      <c r="BD186" s="353"/>
      <c r="BE186" s="353"/>
      <c r="BF186" s="353"/>
      <c r="BG186" s="353"/>
      <c r="BH186" s="353"/>
      <c r="BI186" s="353"/>
      <c r="BJ186" s="353"/>
      <c r="BK186" s="353"/>
      <c r="BL186" s="353"/>
      <c r="BM186" s="353"/>
      <c r="BN186" s="353"/>
      <c r="BO186" s="353"/>
      <c r="BP186" s="353"/>
      <c r="BQ186" s="353"/>
      <c r="BR186" s="353"/>
      <c r="BS186" s="353"/>
      <c r="BT186" s="353"/>
      <c r="BU186" s="9"/>
      <c r="BV186" s="9"/>
      <c r="BW186" s="9"/>
      <c r="BX186" s="9"/>
      <c r="BY186" s="9"/>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row>
    <row r="187" spans="1:105" hidden="1" outlineLevel="1">
      <c r="A187" s="6"/>
      <c r="B187" s="6"/>
      <c r="D187" s="4" t="str">
        <f t="shared" si="117"/>
        <v>Tanzania</v>
      </c>
      <c r="E187" s="2"/>
      <c r="F187" s="10"/>
      <c r="G187" s="2"/>
      <c r="H187" s="10"/>
      <c r="I187" s="10"/>
      <c r="J187" s="10"/>
      <c r="K187" s="10"/>
      <c r="L187" s="10"/>
      <c r="M187" s="10"/>
      <c r="N187" s="10"/>
      <c r="O187" s="10"/>
      <c r="P187" s="10"/>
      <c r="Q187" s="10"/>
      <c r="R187" s="10"/>
      <c r="S187" s="10"/>
      <c r="T187" s="9"/>
      <c r="U187" s="9"/>
      <c r="V187" s="9"/>
      <c r="W187" s="351"/>
      <c r="X187" s="352"/>
      <c r="Y187" s="352"/>
      <c r="Z187" s="352"/>
      <c r="AA187" s="352"/>
      <c r="AB187" s="351"/>
      <c r="AC187" s="352"/>
      <c r="AD187" s="352"/>
      <c r="AE187" s="352"/>
      <c r="AF187" s="352"/>
      <c r="AG187" s="351"/>
      <c r="AH187" s="353">
        <v>7465</v>
      </c>
      <c r="AI187" s="353">
        <v>7093</v>
      </c>
      <c r="AJ187" s="353">
        <v>7339</v>
      </c>
      <c r="AK187" s="353">
        <v>7425</v>
      </c>
      <c r="AL187" s="351"/>
      <c r="AM187" s="353">
        <v>6689</v>
      </c>
      <c r="AN187" s="353">
        <v>6836</v>
      </c>
      <c r="AO187" s="353">
        <v>7292</v>
      </c>
      <c r="AP187" s="353">
        <v>7278</v>
      </c>
      <c r="AQ187" s="351"/>
      <c r="AR187" s="353"/>
      <c r="AS187" s="353"/>
      <c r="AT187" s="353"/>
      <c r="AU187" s="353"/>
      <c r="AV187" s="353"/>
      <c r="AW187" s="353"/>
      <c r="AX187" s="353"/>
      <c r="AY187" s="353"/>
      <c r="AZ187" s="353"/>
      <c r="BA187" s="353"/>
      <c r="BB187" s="353"/>
      <c r="BC187" s="353"/>
      <c r="BD187" s="353"/>
      <c r="BE187" s="353"/>
      <c r="BF187" s="353"/>
      <c r="BG187" s="353"/>
      <c r="BH187" s="353"/>
      <c r="BI187" s="353"/>
      <c r="BJ187" s="353"/>
      <c r="BK187" s="353"/>
      <c r="BL187" s="353"/>
      <c r="BM187" s="353"/>
      <c r="BN187" s="353"/>
      <c r="BO187" s="353"/>
      <c r="BP187" s="353"/>
      <c r="BQ187" s="353"/>
      <c r="BR187" s="353"/>
      <c r="BS187" s="353"/>
      <c r="BT187" s="353"/>
      <c r="BU187" s="9"/>
      <c r="BV187" s="9"/>
      <c r="BW187" s="9"/>
      <c r="BX187" s="9"/>
      <c r="BY187" s="9"/>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row>
    <row r="188" spans="1:105" hidden="1" outlineLevel="1">
      <c r="A188" s="6"/>
      <c r="B188" s="6"/>
      <c r="D188" s="4" t="str">
        <f t="shared" si="117"/>
        <v>Chad</v>
      </c>
      <c r="E188" s="2"/>
      <c r="F188" s="10"/>
      <c r="G188" s="2"/>
      <c r="H188" s="10"/>
      <c r="I188" s="10"/>
      <c r="J188" s="10"/>
      <c r="K188" s="10"/>
      <c r="L188" s="10"/>
      <c r="M188" s="10"/>
      <c r="N188" s="10"/>
      <c r="O188" s="10"/>
      <c r="P188" s="10"/>
      <c r="Q188" s="10"/>
      <c r="R188" s="10"/>
      <c r="S188" s="10"/>
      <c r="T188" s="9"/>
      <c r="U188" s="9"/>
      <c r="V188" s="9"/>
      <c r="W188" s="351"/>
      <c r="X188" s="352"/>
      <c r="Y188" s="352"/>
      <c r="Z188" s="352"/>
      <c r="AA188" s="352"/>
      <c r="AB188" s="351"/>
      <c r="AC188" s="352"/>
      <c r="AD188" s="352"/>
      <c r="AE188" s="352"/>
      <c r="AF188" s="352"/>
      <c r="AG188" s="351"/>
      <c r="AH188" s="353">
        <v>4601</v>
      </c>
      <c r="AI188" s="353">
        <v>4686</v>
      </c>
      <c r="AJ188" s="353">
        <v>4342</v>
      </c>
      <c r="AK188" s="353">
        <v>4787</v>
      </c>
      <c r="AL188" s="351"/>
      <c r="AM188" s="353">
        <v>4176</v>
      </c>
      <c r="AN188" s="353">
        <v>3818</v>
      </c>
      <c r="AO188" s="353">
        <v>3494</v>
      </c>
      <c r="AP188" s="353">
        <v>3422</v>
      </c>
      <c r="AQ188" s="351"/>
      <c r="AR188" s="353"/>
      <c r="AS188" s="353"/>
      <c r="AT188" s="353"/>
      <c r="AU188" s="353"/>
      <c r="AV188" s="353"/>
      <c r="AW188" s="353"/>
      <c r="AX188" s="353"/>
      <c r="AY188" s="353"/>
      <c r="AZ188" s="353"/>
      <c r="BA188" s="353"/>
      <c r="BB188" s="353"/>
      <c r="BC188" s="353"/>
      <c r="BD188" s="353"/>
      <c r="BE188" s="353"/>
      <c r="BF188" s="353"/>
      <c r="BG188" s="353"/>
      <c r="BH188" s="353"/>
      <c r="BI188" s="353"/>
      <c r="BJ188" s="353"/>
      <c r="BK188" s="353"/>
      <c r="BL188" s="353"/>
      <c r="BM188" s="353"/>
      <c r="BN188" s="353"/>
      <c r="BO188" s="353"/>
      <c r="BP188" s="353"/>
      <c r="BQ188" s="353"/>
      <c r="BR188" s="353"/>
      <c r="BS188" s="353"/>
      <c r="BT188" s="353"/>
      <c r="BU188" s="9"/>
      <c r="BV188" s="9"/>
      <c r="BW188" s="9"/>
      <c r="BX188" s="9"/>
      <c r="BY188" s="9"/>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row>
    <row r="189" spans="1:105" hidden="1" outlineLevel="1">
      <c r="A189" s="6"/>
      <c r="B189" s="6"/>
      <c r="D189" s="4" t="str">
        <f t="shared" si="117"/>
        <v>DRC (in $)</v>
      </c>
      <c r="E189" s="2"/>
      <c r="F189" s="10"/>
      <c r="G189" s="2"/>
      <c r="H189" s="10"/>
      <c r="I189" s="10"/>
      <c r="J189" s="10"/>
      <c r="K189" s="10"/>
      <c r="L189" s="10"/>
      <c r="M189" s="10"/>
      <c r="N189" s="10"/>
      <c r="O189" s="10"/>
      <c r="P189" s="10"/>
      <c r="Q189" s="10"/>
      <c r="R189" s="10"/>
      <c r="S189" s="10"/>
      <c r="T189" s="9"/>
      <c r="U189" s="9"/>
      <c r="V189" s="9"/>
      <c r="W189" s="351"/>
      <c r="X189" s="352"/>
      <c r="Y189" s="352"/>
      <c r="Z189" s="352"/>
      <c r="AA189" s="352"/>
      <c r="AB189" s="351"/>
      <c r="AC189" s="352"/>
      <c r="AD189" s="352"/>
      <c r="AE189" s="352"/>
      <c r="AF189" s="352"/>
      <c r="AG189" s="351"/>
      <c r="AH189" s="353">
        <v>7</v>
      </c>
      <c r="AI189" s="353">
        <v>6</v>
      </c>
      <c r="AJ189" s="353">
        <v>7</v>
      </c>
      <c r="AK189" s="353">
        <v>7</v>
      </c>
      <c r="AL189" s="351"/>
      <c r="AM189" s="353">
        <v>6</v>
      </c>
      <c r="AN189" s="353">
        <v>6</v>
      </c>
      <c r="AO189" s="353">
        <v>6</v>
      </c>
      <c r="AP189" s="353">
        <v>5</v>
      </c>
      <c r="AQ189" s="351"/>
      <c r="AR189" s="353"/>
      <c r="AS189" s="353"/>
      <c r="AT189" s="353"/>
      <c r="AU189" s="353"/>
      <c r="AV189" s="353"/>
      <c r="AW189" s="353"/>
      <c r="AX189" s="353"/>
      <c r="AY189" s="353"/>
      <c r="AZ189" s="353"/>
      <c r="BA189" s="353"/>
      <c r="BB189" s="353"/>
      <c r="BC189" s="353"/>
      <c r="BD189" s="353"/>
      <c r="BE189" s="353"/>
      <c r="BF189" s="353"/>
      <c r="BG189" s="353"/>
      <c r="BH189" s="353"/>
      <c r="BI189" s="353"/>
      <c r="BJ189" s="353"/>
      <c r="BK189" s="353"/>
      <c r="BL189" s="353"/>
      <c r="BM189" s="353"/>
      <c r="BN189" s="353"/>
      <c r="BO189" s="353"/>
      <c r="BP189" s="353"/>
      <c r="BQ189" s="353"/>
      <c r="BR189" s="353"/>
      <c r="BS189" s="353"/>
      <c r="BT189" s="353"/>
      <c r="BU189" s="9"/>
      <c r="BV189" s="9"/>
      <c r="BW189" s="9"/>
      <c r="BX189" s="9"/>
      <c r="BY189" s="9"/>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row>
    <row r="190" spans="1:105" hidden="1" outlineLevel="1">
      <c r="A190" s="6"/>
      <c r="B190" s="6"/>
      <c r="D190" s="4" t="str">
        <f t="shared" si="117"/>
        <v>Rwanda</v>
      </c>
      <c r="E190" s="2"/>
      <c r="F190" s="10"/>
      <c r="G190" s="2"/>
      <c r="H190" s="10"/>
      <c r="I190" s="10"/>
      <c r="J190" s="10"/>
      <c r="K190" s="10"/>
      <c r="L190" s="10"/>
      <c r="M190" s="10"/>
      <c r="N190" s="10"/>
      <c r="O190" s="10"/>
      <c r="P190" s="10"/>
      <c r="Q190" s="10"/>
      <c r="R190" s="10"/>
      <c r="S190" s="10"/>
      <c r="T190" s="9"/>
      <c r="U190" s="9"/>
      <c r="V190" s="9"/>
      <c r="W190" s="351"/>
      <c r="X190" s="352"/>
      <c r="Y190" s="352"/>
      <c r="Z190" s="352"/>
      <c r="AA190" s="352"/>
      <c r="AB190" s="351"/>
      <c r="AC190" s="352"/>
      <c r="AD190" s="352"/>
      <c r="AE190" s="352"/>
      <c r="AF190" s="352"/>
      <c r="AG190" s="351"/>
      <c r="AH190" s="352"/>
      <c r="AI190" s="352"/>
      <c r="AJ190" s="352"/>
      <c r="AK190" s="353">
        <v>2200</v>
      </c>
      <c r="AL190" s="354"/>
      <c r="AM190" s="353">
        <v>1991</v>
      </c>
      <c r="AN190" s="353">
        <v>2268</v>
      </c>
      <c r="AO190" s="353">
        <v>1804</v>
      </c>
      <c r="AP190" s="353">
        <v>1354</v>
      </c>
      <c r="AQ190" s="351"/>
      <c r="AR190" s="353"/>
      <c r="AS190" s="353"/>
      <c r="AT190" s="353"/>
      <c r="AU190" s="353"/>
      <c r="AV190" s="352"/>
      <c r="AW190" s="353"/>
      <c r="AX190" s="353"/>
      <c r="AY190" s="353"/>
      <c r="AZ190" s="353"/>
      <c r="BA190" s="352"/>
      <c r="BB190" s="353"/>
      <c r="BC190" s="353"/>
      <c r="BD190" s="353"/>
      <c r="BE190" s="353"/>
      <c r="BF190" s="352"/>
      <c r="BG190" s="352"/>
      <c r="BH190" s="352"/>
      <c r="BI190" s="352"/>
      <c r="BJ190" s="352"/>
      <c r="BK190" s="352"/>
      <c r="BL190" s="352"/>
      <c r="BM190" s="352"/>
      <c r="BN190" s="352"/>
      <c r="BO190" s="352"/>
      <c r="BP190" s="352"/>
      <c r="BQ190" s="352"/>
      <c r="BR190" s="352"/>
      <c r="BS190" s="352"/>
      <c r="BT190" s="352"/>
      <c r="BU190" s="9"/>
      <c r="BV190" s="9"/>
      <c r="BW190" s="9"/>
      <c r="BX190" s="9"/>
      <c r="BY190" s="9"/>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row>
    <row r="191" spans="1:105" hidden="1" outlineLevel="1">
      <c r="A191" s="6"/>
      <c r="B191" s="6"/>
      <c r="D191" s="2"/>
      <c r="E191" s="2"/>
      <c r="F191" s="10"/>
      <c r="G191" s="2"/>
      <c r="H191" s="10"/>
      <c r="I191" s="10"/>
      <c r="J191" s="10"/>
      <c r="K191" s="10"/>
      <c r="L191" s="10"/>
      <c r="M191" s="10"/>
      <c r="N191" s="10"/>
      <c r="O191" s="10"/>
      <c r="P191" s="10"/>
      <c r="Q191" s="10"/>
      <c r="R191" s="10"/>
      <c r="S191" s="10"/>
      <c r="T191" s="9"/>
      <c r="U191" s="9"/>
      <c r="V191" s="9"/>
      <c r="W191" s="351"/>
      <c r="X191" s="352"/>
      <c r="Y191" s="352"/>
      <c r="Z191" s="352"/>
      <c r="AA191" s="352"/>
      <c r="AB191" s="351"/>
      <c r="AC191" s="352"/>
      <c r="AD191" s="352"/>
      <c r="AE191" s="352"/>
      <c r="AF191" s="352"/>
      <c r="AG191" s="351"/>
      <c r="AH191" s="352"/>
      <c r="AI191" s="352"/>
      <c r="AJ191" s="352"/>
      <c r="AK191" s="352"/>
      <c r="AL191" s="351"/>
      <c r="AM191" s="352"/>
      <c r="AN191" s="352"/>
      <c r="AO191" s="352"/>
      <c r="AP191" s="352"/>
      <c r="AQ191" s="351"/>
      <c r="AR191" s="352"/>
      <c r="AS191" s="352"/>
      <c r="AT191" s="352"/>
      <c r="AU191" s="352"/>
      <c r="AV191" s="352"/>
      <c r="AW191" s="352"/>
      <c r="AX191" s="352"/>
      <c r="AY191" s="352"/>
      <c r="AZ191" s="352"/>
      <c r="BA191" s="352"/>
      <c r="BB191" s="352"/>
      <c r="BC191" s="352"/>
      <c r="BD191" s="352"/>
      <c r="BE191" s="352"/>
      <c r="BF191" s="352"/>
      <c r="BG191" s="352"/>
      <c r="BH191" s="352"/>
      <c r="BI191" s="352"/>
      <c r="BJ191" s="352"/>
      <c r="BK191" s="352"/>
      <c r="BL191" s="352"/>
      <c r="BM191" s="352"/>
      <c r="BN191" s="352"/>
      <c r="BO191" s="352"/>
      <c r="BP191" s="352"/>
      <c r="BQ191" s="352"/>
      <c r="BR191" s="352"/>
      <c r="BS191" s="352"/>
      <c r="BT191" s="352"/>
      <c r="BU191" s="9"/>
      <c r="BV191" s="9"/>
      <c r="BW191" s="9"/>
      <c r="BX191" s="9"/>
      <c r="BY191" s="9"/>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row>
    <row r="192" spans="1:105" hidden="1" outlineLevel="1">
      <c r="A192" s="6"/>
      <c r="B192" s="6"/>
      <c r="D192" s="2" t="s">
        <v>234</v>
      </c>
      <c r="E192" s="2"/>
      <c r="F192" s="10"/>
      <c r="G192" s="2"/>
      <c r="H192" s="10"/>
      <c r="I192" s="10"/>
      <c r="J192" s="10"/>
      <c r="K192" s="10"/>
      <c r="L192" s="10"/>
      <c r="M192" s="10"/>
      <c r="N192" s="10"/>
      <c r="O192" s="10"/>
      <c r="P192" s="10"/>
      <c r="Q192" s="10"/>
      <c r="R192" s="10"/>
      <c r="S192" s="10"/>
      <c r="T192" s="9"/>
      <c r="U192" s="9"/>
      <c r="V192" s="9"/>
      <c r="W192" s="351"/>
      <c r="X192" s="352"/>
      <c r="Y192" s="352"/>
      <c r="Z192" s="352"/>
      <c r="AA192" s="352"/>
      <c r="AB192" s="351"/>
      <c r="AC192" s="352"/>
      <c r="AD192" s="352"/>
      <c r="AE192" s="352"/>
      <c r="AF192" s="352"/>
      <c r="AG192" s="351"/>
      <c r="AH192" s="352"/>
      <c r="AI192" s="352"/>
      <c r="AJ192" s="352"/>
      <c r="AK192" s="352"/>
      <c r="AL192" s="351"/>
      <c r="AM192" s="352"/>
      <c r="AN192" s="352"/>
      <c r="AO192" s="352"/>
      <c r="AP192" s="352"/>
      <c r="AQ192" s="351"/>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9"/>
      <c r="BV192" s="9"/>
      <c r="BW192" s="9"/>
      <c r="BX192" s="9"/>
      <c r="BY192" s="9"/>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row>
    <row r="193" spans="1:107" hidden="1" outlineLevel="1">
      <c r="A193" s="6"/>
      <c r="B193" s="6"/>
      <c r="D193" s="4" t="str">
        <f>D178</f>
        <v>El Sal (in $)</v>
      </c>
      <c r="E193" s="2"/>
      <c r="F193" s="10"/>
      <c r="G193" s="2"/>
      <c r="H193" s="10"/>
      <c r="I193" s="10"/>
      <c r="J193" s="10"/>
      <c r="K193" s="10"/>
      <c r="L193" s="10"/>
      <c r="M193" s="10"/>
      <c r="N193" s="10"/>
      <c r="O193" s="10"/>
      <c r="P193" s="10"/>
      <c r="Q193" s="10"/>
      <c r="R193" s="10"/>
      <c r="S193" s="10"/>
      <c r="T193" s="9"/>
      <c r="U193" s="9"/>
      <c r="V193" s="9"/>
      <c r="W193" s="351"/>
      <c r="X193" s="352"/>
      <c r="Y193" s="352"/>
      <c r="Z193" s="352"/>
      <c r="AA193" s="352"/>
      <c r="AB193" s="351"/>
      <c r="AC193" s="352"/>
      <c r="AD193" s="352"/>
      <c r="AE193" s="352"/>
      <c r="AF193" s="352"/>
      <c r="AG193" s="351"/>
      <c r="AH193" s="355">
        <f>AH178</f>
        <v>13</v>
      </c>
      <c r="AI193" s="355">
        <f>AI178</f>
        <v>13</v>
      </c>
      <c r="AJ193" s="355">
        <f>AJ178</f>
        <v>12</v>
      </c>
      <c r="AK193" s="355">
        <f>AK178</f>
        <v>12</v>
      </c>
      <c r="AL193" s="351"/>
      <c r="AM193" s="355">
        <f>AM178</f>
        <v>11</v>
      </c>
      <c r="AN193" s="355">
        <f>AN178</f>
        <v>11</v>
      </c>
      <c r="AO193" s="355">
        <f>AO178</f>
        <v>11</v>
      </c>
      <c r="AP193" s="355">
        <f>AP178</f>
        <v>11</v>
      </c>
      <c r="AQ193" s="351"/>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9"/>
      <c r="BV193" s="9"/>
      <c r="BW193" s="9"/>
      <c r="BX193" s="9"/>
      <c r="BY193" s="9"/>
      <c r="BZ193" s="16"/>
      <c r="CA193" s="16"/>
      <c r="CB193" s="16"/>
      <c r="CC193" s="16"/>
      <c r="CD193" s="16"/>
      <c r="CE193" s="16"/>
      <c r="CF193" s="16"/>
      <c r="CG193" s="16"/>
      <c r="CH193" s="16"/>
      <c r="CI193" s="16"/>
      <c r="CJ193" s="16"/>
      <c r="CK193" s="16"/>
      <c r="CL193" s="16">
        <f t="shared" ref="CL193:CL204" si="118">AM193/AH193-1</f>
        <v>-0.15384615384615385</v>
      </c>
      <c r="CM193" s="16">
        <f t="shared" ref="CM193:CM204" si="119">AN193/AI193-1</f>
        <v>-0.15384615384615385</v>
      </c>
      <c r="CN193" s="16">
        <f t="shared" ref="CN193:CN204" si="120">AO193/AJ193-1</f>
        <v>-8.333333333333337E-2</v>
      </c>
      <c r="CO193" s="16">
        <f t="shared" ref="CO193:CO204" si="121">AP193/AK193-1</f>
        <v>-8.333333333333337E-2</v>
      </c>
      <c r="CP193" s="16"/>
      <c r="CQ193" s="16"/>
      <c r="CR193" s="16"/>
      <c r="CS193" s="16"/>
      <c r="CT193" s="16"/>
      <c r="CU193" s="16"/>
      <c r="CV193" s="16"/>
      <c r="CW193" s="16"/>
      <c r="CX193" s="16"/>
      <c r="CY193" s="16"/>
      <c r="CZ193" s="16"/>
      <c r="DA193" s="16"/>
    </row>
    <row r="194" spans="1:107" hidden="1" outlineLevel="1">
      <c r="A194" s="6"/>
      <c r="B194" s="6"/>
      <c r="D194" s="4" t="str">
        <f t="shared" ref="D194:D205" si="122">D179</f>
        <v>Guatemala</v>
      </c>
      <c r="E194" s="2"/>
      <c r="F194" s="10"/>
      <c r="G194" s="2"/>
      <c r="H194" s="10"/>
      <c r="I194" s="10"/>
      <c r="J194" s="10"/>
      <c r="K194" s="10"/>
      <c r="L194" s="10"/>
      <c r="M194" s="10"/>
      <c r="N194" s="10"/>
      <c r="O194" s="10"/>
      <c r="P194" s="10"/>
      <c r="Q194" s="10"/>
      <c r="R194" s="10"/>
      <c r="S194" s="10"/>
      <c r="T194" s="9"/>
      <c r="U194" s="9"/>
      <c r="V194" s="9"/>
      <c r="W194" s="351"/>
      <c r="X194" s="352"/>
      <c r="Y194" s="352"/>
      <c r="Z194" s="352"/>
      <c r="AA194" s="352"/>
      <c r="AB194" s="351"/>
      <c r="AC194" s="352"/>
      <c r="AD194" s="352"/>
      <c r="AE194" s="352"/>
      <c r="AF194" s="352"/>
      <c r="AG194" s="351"/>
      <c r="AH194" s="355">
        <f t="shared" ref="AH194:AK195" si="123">AH179/AH450</f>
        <v>14.989263861034409</v>
      </c>
      <c r="AI194" s="355">
        <f t="shared" si="123"/>
        <v>14.203843683612469</v>
      </c>
      <c r="AJ194" s="355">
        <f t="shared" si="123"/>
        <v>13.73228853780901</v>
      </c>
      <c r="AK194" s="355">
        <f t="shared" si="123"/>
        <v>12.518477018572966</v>
      </c>
      <c r="AL194" s="351"/>
      <c r="AM194" s="355">
        <f t="shared" ref="AM194:AP195" si="124">AM179/AM450</f>
        <v>12.698463815931495</v>
      </c>
      <c r="AN194" s="355">
        <f t="shared" si="124"/>
        <v>12.743225015408155</v>
      </c>
      <c r="AO194" s="355">
        <f t="shared" si="124"/>
        <v>12.573575979331801</v>
      </c>
      <c r="AP194" s="355">
        <f t="shared" si="124"/>
        <v>13.116274448106257</v>
      </c>
      <c r="AQ194" s="351"/>
      <c r="AR194" s="355"/>
      <c r="AS194" s="355"/>
      <c r="AT194" s="355"/>
      <c r="AU194" s="355"/>
      <c r="AV194" s="355"/>
      <c r="AW194" s="355"/>
      <c r="AX194" s="355"/>
      <c r="AY194" s="355"/>
      <c r="AZ194" s="355"/>
      <c r="BA194" s="355"/>
      <c r="BB194" s="355"/>
      <c r="BC194" s="355"/>
      <c r="BD194" s="355"/>
      <c r="BE194" s="355"/>
      <c r="BF194" s="355"/>
      <c r="BG194" s="355"/>
      <c r="BH194" s="355"/>
      <c r="BI194" s="355"/>
      <c r="BJ194" s="355"/>
      <c r="BK194" s="355"/>
      <c r="BL194" s="355"/>
      <c r="BM194" s="355"/>
      <c r="BN194" s="355"/>
      <c r="BO194" s="355"/>
      <c r="BP194" s="355"/>
      <c r="BQ194" s="355"/>
      <c r="BR194" s="355"/>
      <c r="BS194" s="355"/>
      <c r="BT194" s="355"/>
      <c r="BU194" s="9"/>
      <c r="BV194" s="9"/>
      <c r="BW194" s="9"/>
      <c r="BX194" s="9"/>
      <c r="BY194" s="9"/>
      <c r="BZ194" s="16"/>
      <c r="CA194" s="16"/>
      <c r="CB194" s="16"/>
      <c r="CC194" s="16"/>
      <c r="CD194" s="16"/>
      <c r="CE194" s="16"/>
      <c r="CF194" s="16"/>
      <c r="CG194" s="16"/>
      <c r="CH194" s="16"/>
      <c r="CI194" s="16"/>
      <c r="CJ194" s="16"/>
      <c r="CK194" s="16"/>
      <c r="CL194" s="16">
        <f t="shared" si="118"/>
        <v>-0.15282938951111547</v>
      </c>
      <c r="CM194" s="16">
        <f t="shared" si="119"/>
        <v>-0.10283263465434267</v>
      </c>
      <c r="CN194" s="16">
        <f t="shared" si="120"/>
        <v>-8.4378692982377546E-2</v>
      </c>
      <c r="CO194" s="16">
        <f t="shared" si="121"/>
        <v>4.7753207410643705E-2</v>
      </c>
      <c r="CP194" s="16"/>
      <c r="CQ194" s="16"/>
      <c r="CR194" s="16"/>
      <c r="CS194" s="16"/>
      <c r="CT194" s="16"/>
      <c r="CU194" s="16"/>
      <c r="CV194" s="16"/>
      <c r="CW194" s="16"/>
      <c r="CX194" s="16"/>
      <c r="CY194" s="16"/>
      <c r="CZ194" s="16"/>
      <c r="DA194" s="16"/>
    </row>
    <row r="195" spans="1:107" hidden="1" outlineLevel="1">
      <c r="A195" s="6"/>
      <c r="B195" s="6"/>
      <c r="D195" s="4" t="str">
        <f t="shared" si="122"/>
        <v>Honduras</v>
      </c>
      <c r="E195" s="2"/>
      <c r="F195" s="10"/>
      <c r="G195" s="2"/>
      <c r="H195" s="10"/>
      <c r="I195" s="10"/>
      <c r="J195" s="10"/>
      <c r="K195" s="10"/>
      <c r="L195" s="10"/>
      <c r="M195" s="10"/>
      <c r="N195" s="10"/>
      <c r="O195" s="10"/>
      <c r="P195" s="10"/>
      <c r="Q195" s="10"/>
      <c r="R195" s="10"/>
      <c r="S195" s="10"/>
      <c r="T195" s="9"/>
      <c r="U195" s="9"/>
      <c r="V195" s="9"/>
      <c r="W195" s="351"/>
      <c r="X195" s="352"/>
      <c r="Y195" s="352"/>
      <c r="Z195" s="352"/>
      <c r="AA195" s="352"/>
      <c r="AB195" s="351"/>
      <c r="AC195" s="352"/>
      <c r="AD195" s="352"/>
      <c r="AE195" s="352"/>
      <c r="AF195" s="352"/>
      <c r="AG195" s="351"/>
      <c r="AH195" s="355">
        <f t="shared" si="123"/>
        <v>11.701080091427929</v>
      </c>
      <c r="AI195" s="355">
        <f t="shared" si="123"/>
        <v>11.432059206992909</v>
      </c>
      <c r="AJ195" s="355">
        <f t="shared" si="123"/>
        <v>10.267348804387927</v>
      </c>
      <c r="AK195" s="355">
        <f t="shared" si="123"/>
        <v>10.426037798516706</v>
      </c>
      <c r="AL195" s="351"/>
      <c r="AM195" s="355">
        <f t="shared" si="124"/>
        <v>10.055570256681662</v>
      </c>
      <c r="AN195" s="355">
        <f t="shared" si="124"/>
        <v>10.108493487614272</v>
      </c>
      <c r="AO195" s="355">
        <f t="shared" si="124"/>
        <v>10.426038634559408</v>
      </c>
      <c r="AP195" s="355">
        <f t="shared" si="124"/>
        <v>11.167020163343537</v>
      </c>
      <c r="AQ195" s="351"/>
      <c r="AR195" s="355"/>
      <c r="AS195" s="355"/>
      <c r="AT195" s="355"/>
      <c r="AU195" s="355"/>
      <c r="AV195" s="355"/>
      <c r="AW195" s="355"/>
      <c r="AX195" s="355"/>
      <c r="AY195" s="355"/>
      <c r="AZ195" s="355"/>
      <c r="BA195" s="355"/>
      <c r="BB195" s="355"/>
      <c r="BC195" s="355"/>
      <c r="BD195" s="355"/>
      <c r="BE195" s="355"/>
      <c r="BF195" s="355"/>
      <c r="BG195" s="355"/>
      <c r="BH195" s="355"/>
      <c r="BI195" s="355"/>
      <c r="BJ195" s="355"/>
      <c r="BK195" s="355"/>
      <c r="BL195" s="355"/>
      <c r="BM195" s="355"/>
      <c r="BN195" s="355"/>
      <c r="BO195" s="355"/>
      <c r="BP195" s="355"/>
      <c r="BQ195" s="355"/>
      <c r="BR195" s="355"/>
      <c r="BS195" s="355"/>
      <c r="BT195" s="355"/>
      <c r="BU195" s="9"/>
      <c r="BV195" s="9"/>
      <c r="BW195" s="9"/>
      <c r="BX195" s="9"/>
      <c r="BY195" s="9"/>
      <c r="BZ195" s="16"/>
      <c r="CA195" s="16"/>
      <c r="CB195" s="16"/>
      <c r="CC195" s="16"/>
      <c r="CD195" s="16"/>
      <c r="CE195" s="16"/>
      <c r="CF195" s="16"/>
      <c r="CG195" s="16"/>
      <c r="CH195" s="16"/>
      <c r="CI195" s="16"/>
      <c r="CJ195" s="16"/>
      <c r="CK195" s="16"/>
      <c r="CL195" s="16">
        <f t="shared" si="118"/>
        <v>-0.14062888399095297</v>
      </c>
      <c r="CM195" s="16">
        <f t="shared" si="119"/>
        <v>-0.11577666765135552</v>
      </c>
      <c r="CN195" s="16">
        <f t="shared" si="120"/>
        <v>1.5455774727713756E-2</v>
      </c>
      <c r="CO195" s="16">
        <f t="shared" si="121"/>
        <v>7.1070370081743661E-2</v>
      </c>
      <c r="CP195" s="16"/>
      <c r="CQ195" s="16"/>
      <c r="CR195" s="16"/>
      <c r="CS195" s="16"/>
      <c r="CT195" s="16"/>
      <c r="CU195" s="16"/>
      <c r="CV195" s="16"/>
      <c r="CW195" s="16"/>
      <c r="CX195" s="16"/>
      <c r="CY195" s="16"/>
      <c r="CZ195" s="16"/>
      <c r="DA195" s="16"/>
    </row>
    <row r="196" spans="1:107" hidden="1" outlineLevel="1">
      <c r="A196" s="6"/>
      <c r="B196" s="6"/>
      <c r="D196" s="4" t="str">
        <f t="shared" si="122"/>
        <v>Colombia</v>
      </c>
      <c r="E196" s="2"/>
      <c r="F196" s="10"/>
      <c r="G196" s="2"/>
      <c r="H196" s="10"/>
      <c r="I196" s="10"/>
      <c r="J196" s="10"/>
      <c r="K196" s="10"/>
      <c r="L196" s="10"/>
      <c r="M196" s="10"/>
      <c r="N196" s="10"/>
      <c r="O196" s="10"/>
      <c r="P196" s="10"/>
      <c r="Q196" s="10"/>
      <c r="R196" s="10"/>
      <c r="S196" s="10"/>
      <c r="T196" s="9"/>
      <c r="U196" s="9"/>
      <c r="V196" s="9"/>
      <c r="W196" s="351"/>
      <c r="X196" s="352"/>
      <c r="Y196" s="352"/>
      <c r="Z196" s="352"/>
      <c r="AA196" s="352"/>
      <c r="AB196" s="351"/>
      <c r="AC196" s="352"/>
      <c r="AD196" s="352"/>
      <c r="AE196" s="352"/>
      <c r="AF196" s="352"/>
      <c r="AG196" s="351"/>
      <c r="AH196" s="355">
        <f>AH181/AH447</f>
        <v>8.8092755966457474</v>
      </c>
      <c r="AI196" s="355">
        <f>AI181/AI447</f>
        <v>9.6464905703745174</v>
      </c>
      <c r="AJ196" s="355">
        <f>AJ181/AJ447</f>
        <v>10.698786520263155</v>
      </c>
      <c r="AK196" s="355">
        <f>AK181/AK447</f>
        <v>11.503160783200538</v>
      </c>
      <c r="AL196" s="351"/>
      <c r="AM196" s="355">
        <f>AM181/AM447</f>
        <v>11.39263457164793</v>
      </c>
      <c r="AN196" s="355">
        <f>AN181/AN447</f>
        <v>11.367465892511829</v>
      </c>
      <c r="AO196" s="355">
        <f>AO181/AO447</f>
        <v>12.355700189929122</v>
      </c>
      <c r="AP196" s="355">
        <f>AP181/AP447</f>
        <v>12.592109312688118</v>
      </c>
      <c r="AQ196" s="351"/>
      <c r="AR196" s="355"/>
      <c r="AS196" s="355"/>
      <c r="AT196" s="355"/>
      <c r="AU196" s="355"/>
      <c r="AV196" s="355"/>
      <c r="AW196" s="355"/>
      <c r="AX196" s="355"/>
      <c r="AY196" s="355"/>
      <c r="AZ196" s="355"/>
      <c r="BA196" s="355"/>
      <c r="BB196" s="355"/>
      <c r="BC196" s="355"/>
      <c r="BD196" s="355"/>
      <c r="BE196" s="355"/>
      <c r="BF196" s="355"/>
      <c r="BG196" s="355"/>
      <c r="BH196" s="355"/>
      <c r="BI196" s="355"/>
      <c r="BJ196" s="355"/>
      <c r="BK196" s="355"/>
      <c r="BL196" s="355"/>
      <c r="BM196" s="355"/>
      <c r="BN196" s="355"/>
      <c r="BO196" s="355"/>
      <c r="BP196" s="355"/>
      <c r="BQ196" s="355"/>
      <c r="BR196" s="355"/>
      <c r="BS196" s="355"/>
      <c r="BT196" s="355"/>
      <c r="BU196" s="9"/>
      <c r="BV196" s="9"/>
      <c r="BW196" s="9"/>
      <c r="BX196" s="9"/>
      <c r="BY196" s="9"/>
      <c r="BZ196" s="16"/>
      <c r="CA196" s="16"/>
      <c r="CB196" s="16"/>
      <c r="CC196" s="16"/>
      <c r="CD196" s="16"/>
      <c r="CE196" s="16"/>
      <c r="CF196" s="16"/>
      <c r="CG196" s="16"/>
      <c r="CH196" s="16"/>
      <c r="CI196" s="16"/>
      <c r="CJ196" s="16"/>
      <c r="CK196" s="16"/>
      <c r="CL196" s="16">
        <f t="shared" si="118"/>
        <v>0.29325441651363837</v>
      </c>
      <c r="CM196" s="16">
        <f t="shared" si="119"/>
        <v>0.17840429217052511</v>
      </c>
      <c r="CN196" s="16">
        <f t="shared" si="120"/>
        <v>0.15486930845174141</v>
      </c>
      <c r="CO196" s="16">
        <f t="shared" si="121"/>
        <v>9.4665157691084634E-2</v>
      </c>
      <c r="CP196" s="16"/>
      <c r="CQ196" s="16"/>
      <c r="CR196" s="16"/>
      <c r="CS196" s="16"/>
      <c r="CT196" s="16"/>
      <c r="CU196" s="16"/>
      <c r="CV196" s="16"/>
      <c r="CW196" s="16"/>
      <c r="CX196" s="16"/>
      <c r="CY196" s="16"/>
      <c r="CZ196" s="16"/>
      <c r="DA196" s="16"/>
    </row>
    <row r="197" spans="1:107" hidden="1" outlineLevel="1">
      <c r="A197" s="6"/>
      <c r="B197" s="6"/>
      <c r="D197" s="4" t="str">
        <f t="shared" si="122"/>
        <v>Bolivia</v>
      </c>
      <c r="E197" s="2"/>
      <c r="F197" s="10"/>
      <c r="G197" s="2"/>
      <c r="H197" s="10"/>
      <c r="I197" s="10"/>
      <c r="J197" s="10"/>
      <c r="K197" s="10"/>
      <c r="L197" s="10"/>
      <c r="M197" s="10"/>
      <c r="N197" s="10"/>
      <c r="O197" s="10"/>
      <c r="P197" s="10"/>
      <c r="Q197" s="10"/>
      <c r="R197" s="10"/>
      <c r="S197" s="10"/>
      <c r="T197" s="9"/>
      <c r="U197" s="9"/>
      <c r="V197" s="9"/>
      <c r="W197" s="351"/>
      <c r="X197" s="352"/>
      <c r="Y197" s="352"/>
      <c r="Z197" s="352"/>
      <c r="AA197" s="352"/>
      <c r="AB197" s="351"/>
      <c r="AC197" s="352"/>
      <c r="AD197" s="352"/>
      <c r="AE197" s="352"/>
      <c r="AF197" s="352"/>
      <c r="AG197" s="351"/>
      <c r="AH197" s="355">
        <f t="shared" ref="AH197:AK198" si="125">AH182/AH445</f>
        <v>11.687370847091646</v>
      </c>
      <c r="AI197" s="355">
        <f t="shared" si="125"/>
        <v>10.683013832695027</v>
      </c>
      <c r="AJ197" s="355">
        <f t="shared" si="125"/>
        <v>10.972334043447601</v>
      </c>
      <c r="AK197" s="355">
        <f t="shared" si="125"/>
        <v>11.682157253233862</v>
      </c>
      <c r="AL197" s="351"/>
      <c r="AM197" s="355">
        <f t="shared" ref="AM197:AP198" si="126">AM182/AM445</f>
        <v>10.825091606648526</v>
      </c>
      <c r="AN197" s="355">
        <f t="shared" si="126"/>
        <v>10.96866096866097</v>
      </c>
      <c r="AO197" s="355">
        <f t="shared" si="126"/>
        <v>11.396011396011398</v>
      </c>
      <c r="AP197" s="355">
        <f t="shared" si="126"/>
        <v>11.396011396011398</v>
      </c>
      <c r="AQ197" s="351"/>
      <c r="AR197" s="355"/>
      <c r="AS197" s="355"/>
      <c r="AT197" s="355"/>
      <c r="AU197" s="355"/>
      <c r="AV197" s="355"/>
      <c r="AW197" s="355"/>
      <c r="AX197" s="355"/>
      <c r="AY197" s="355"/>
      <c r="AZ197" s="355"/>
      <c r="BA197" s="355"/>
      <c r="BB197" s="355"/>
      <c r="BC197" s="355"/>
      <c r="BD197" s="355"/>
      <c r="BE197" s="355"/>
      <c r="BF197" s="355"/>
      <c r="BG197" s="355"/>
      <c r="BH197" s="355"/>
      <c r="BI197" s="355"/>
      <c r="BJ197" s="355"/>
      <c r="BK197" s="355"/>
      <c r="BL197" s="355"/>
      <c r="BM197" s="355"/>
      <c r="BN197" s="355"/>
      <c r="BO197" s="355"/>
      <c r="BP197" s="355"/>
      <c r="BQ197" s="355"/>
      <c r="BR197" s="355"/>
      <c r="BS197" s="355"/>
      <c r="BT197" s="355"/>
      <c r="BU197" s="9"/>
      <c r="BV197" s="9"/>
      <c r="BW197" s="9"/>
      <c r="BX197" s="9"/>
      <c r="BY197" s="9"/>
      <c r="BZ197" s="16"/>
      <c r="CA197" s="16"/>
      <c r="CB197" s="16"/>
      <c r="CC197" s="16"/>
      <c r="CD197" s="16"/>
      <c r="CE197" s="16"/>
      <c r="CF197" s="16"/>
      <c r="CG197" s="16"/>
      <c r="CH197" s="16"/>
      <c r="CI197" s="16"/>
      <c r="CJ197" s="16"/>
      <c r="CK197" s="16"/>
      <c r="CL197" s="16">
        <f t="shared" si="118"/>
        <v>-7.3778718218537209E-2</v>
      </c>
      <c r="CM197" s="16">
        <f t="shared" si="119"/>
        <v>2.673844108408141E-2</v>
      </c>
      <c r="CN197" s="16">
        <f t="shared" si="120"/>
        <v>3.8613238613238066E-2</v>
      </c>
      <c r="CO197" s="16">
        <f t="shared" si="121"/>
        <v>-2.4494265144672123E-2</v>
      </c>
      <c r="CP197" s="16"/>
      <c r="CQ197" s="16"/>
      <c r="CR197" s="16"/>
      <c r="CS197" s="16"/>
      <c r="CT197" s="16"/>
      <c r="CU197" s="16"/>
      <c r="CV197" s="16"/>
      <c r="CW197" s="16"/>
      <c r="CX197" s="16"/>
      <c r="CY197" s="16"/>
      <c r="CZ197" s="16"/>
      <c r="DA197" s="16"/>
    </row>
    <row r="198" spans="1:107" hidden="1" outlineLevel="1">
      <c r="A198" s="6"/>
      <c r="B198" s="6"/>
      <c r="D198" s="4" t="str">
        <f t="shared" si="122"/>
        <v>Paraguay</v>
      </c>
      <c r="E198" s="2"/>
      <c r="F198" s="10"/>
      <c r="G198" s="2"/>
      <c r="H198" s="10"/>
      <c r="I198" s="10"/>
      <c r="J198" s="10"/>
      <c r="K198" s="10"/>
      <c r="L198" s="10"/>
      <c r="M198" s="10"/>
      <c r="N198" s="10"/>
      <c r="O198" s="10"/>
      <c r="P198" s="10"/>
      <c r="Q198" s="10"/>
      <c r="R198" s="10"/>
      <c r="S198" s="10"/>
      <c r="T198" s="9"/>
      <c r="U198" s="9"/>
      <c r="V198" s="9"/>
      <c r="W198" s="351"/>
      <c r="X198" s="352"/>
      <c r="Y198" s="352"/>
      <c r="Z198" s="352"/>
      <c r="AA198" s="352"/>
      <c r="AB198" s="351"/>
      <c r="AC198" s="352"/>
      <c r="AD198" s="352"/>
      <c r="AE198" s="352"/>
      <c r="AF198" s="352"/>
      <c r="AG198" s="351"/>
      <c r="AH198" s="355">
        <f t="shared" si="125"/>
        <v>9.9230673287908537</v>
      </c>
      <c r="AI198" s="355">
        <f t="shared" si="125"/>
        <v>9.7794070525046912</v>
      </c>
      <c r="AJ198" s="355">
        <f t="shared" si="125"/>
        <v>10.349802320355291</v>
      </c>
      <c r="AK198" s="355">
        <f t="shared" si="125"/>
        <v>11.169662779703749</v>
      </c>
      <c r="AL198" s="351"/>
      <c r="AM198" s="355">
        <f t="shared" si="126"/>
        <v>10.53686151392834</v>
      </c>
      <c r="AN198" s="355">
        <f t="shared" si="126"/>
        <v>10.220566053037061</v>
      </c>
      <c r="AO198" s="355">
        <f t="shared" si="126"/>
        <v>10.834427265770925</v>
      </c>
      <c r="AP198" s="355">
        <f t="shared" si="126"/>
        <v>11.812075407340497</v>
      </c>
      <c r="AQ198" s="351"/>
      <c r="AR198" s="355"/>
      <c r="AS198" s="355"/>
      <c r="AT198" s="355"/>
      <c r="AU198" s="355"/>
      <c r="AV198" s="355"/>
      <c r="AW198" s="355"/>
      <c r="AX198" s="355"/>
      <c r="AY198" s="355"/>
      <c r="AZ198" s="355"/>
      <c r="BA198" s="355"/>
      <c r="BB198" s="355"/>
      <c r="BC198" s="355"/>
      <c r="BD198" s="355"/>
      <c r="BE198" s="355"/>
      <c r="BF198" s="355"/>
      <c r="BG198" s="355"/>
      <c r="BH198" s="355"/>
      <c r="BI198" s="355"/>
      <c r="BJ198" s="355"/>
      <c r="BK198" s="355"/>
      <c r="BL198" s="355"/>
      <c r="BM198" s="355"/>
      <c r="BN198" s="355"/>
      <c r="BO198" s="355"/>
      <c r="BP198" s="355"/>
      <c r="BQ198" s="355"/>
      <c r="BR198" s="355"/>
      <c r="BS198" s="355"/>
      <c r="BT198" s="355"/>
      <c r="BU198" s="9"/>
      <c r="BV198" s="9"/>
      <c r="BW198" s="9"/>
      <c r="BX198" s="9"/>
      <c r="BY198" s="9"/>
      <c r="BZ198" s="16"/>
      <c r="CA198" s="16"/>
      <c r="CB198" s="16"/>
      <c r="CC198" s="16"/>
      <c r="CD198" s="16"/>
      <c r="CE198" s="16"/>
      <c r="CF198" s="16"/>
      <c r="CG198" s="16"/>
      <c r="CH198" s="16"/>
      <c r="CI198" s="16"/>
      <c r="CJ198" s="16"/>
      <c r="CK198" s="16"/>
      <c r="CL198" s="16">
        <f t="shared" si="118"/>
        <v>6.1855287765368638E-2</v>
      </c>
      <c r="CM198" s="16">
        <f t="shared" si="119"/>
        <v>4.5111017279864773E-2</v>
      </c>
      <c r="CN198" s="16">
        <f t="shared" si="120"/>
        <v>4.6824560548611283E-2</v>
      </c>
      <c r="CO198" s="16">
        <f t="shared" si="121"/>
        <v>5.7514057524105988E-2</v>
      </c>
      <c r="CP198" s="16"/>
      <c r="CQ198" s="16"/>
      <c r="CR198" s="16"/>
      <c r="CS198" s="16"/>
      <c r="CT198" s="16"/>
      <c r="CU198" s="16"/>
      <c r="CV198" s="16"/>
      <c r="CW198" s="16"/>
      <c r="CX198" s="16"/>
      <c r="CY198" s="16"/>
      <c r="CZ198" s="16"/>
      <c r="DA198" s="16"/>
    </row>
    <row r="199" spans="1:107" hidden="1" outlineLevel="1">
      <c r="A199" s="6"/>
      <c r="B199" s="6"/>
      <c r="D199" s="4" t="str">
        <f t="shared" si="122"/>
        <v>Ghana</v>
      </c>
      <c r="E199" s="2"/>
      <c r="F199" s="10"/>
      <c r="G199" s="2"/>
      <c r="H199" s="10"/>
      <c r="I199" s="10"/>
      <c r="J199" s="10"/>
      <c r="K199" s="10"/>
      <c r="L199" s="10"/>
      <c r="M199" s="10"/>
      <c r="N199" s="10"/>
      <c r="O199" s="10"/>
      <c r="P199" s="10"/>
      <c r="Q199" s="10"/>
      <c r="R199" s="10"/>
      <c r="S199" s="10"/>
      <c r="T199" s="9"/>
      <c r="U199" s="9"/>
      <c r="V199" s="9"/>
      <c r="W199" s="351"/>
      <c r="X199" s="352"/>
      <c r="Y199" s="352"/>
      <c r="Z199" s="352"/>
      <c r="AA199" s="352"/>
      <c r="AB199" s="351"/>
      <c r="AC199" s="352"/>
      <c r="AD199" s="352"/>
      <c r="AE199" s="352"/>
      <c r="AF199" s="352"/>
      <c r="AG199" s="351"/>
      <c r="AH199" s="355">
        <f t="shared" ref="AH199:AK203" si="127">AH184/AH453</f>
        <v>5.1590674064400819</v>
      </c>
      <c r="AI199" s="355">
        <f t="shared" si="127"/>
        <v>5.4848704594897502</v>
      </c>
      <c r="AJ199" s="355">
        <f t="shared" si="127"/>
        <v>5.422545155782637</v>
      </c>
      <c r="AK199" s="355">
        <f t="shared" si="127"/>
        <v>5.5740300870942221</v>
      </c>
      <c r="AL199" s="351"/>
      <c r="AM199" s="355">
        <f t="shared" ref="AM199:AP203" si="128">AM184/AM453</f>
        <v>4.9126900925954349</v>
      </c>
      <c r="AN199" s="355">
        <f t="shared" si="128"/>
        <v>4.9143499017130035</v>
      </c>
      <c r="AO199" s="355">
        <f t="shared" si="128"/>
        <v>5.5628720434072587</v>
      </c>
      <c r="AP199" s="355">
        <f t="shared" si="128"/>
        <v>5.5366108391740392</v>
      </c>
      <c r="AQ199" s="351"/>
      <c r="AR199" s="355"/>
      <c r="AS199" s="355"/>
      <c r="AT199" s="355"/>
      <c r="AU199" s="355"/>
      <c r="AV199" s="355"/>
      <c r="AW199" s="355"/>
      <c r="AX199" s="355"/>
      <c r="AY199" s="355"/>
      <c r="AZ199" s="355"/>
      <c r="BA199" s="355"/>
      <c r="BB199" s="355"/>
      <c r="BC199" s="355"/>
      <c r="BD199" s="355"/>
      <c r="BE199" s="355"/>
      <c r="BF199" s="355"/>
      <c r="BG199" s="355"/>
      <c r="BH199" s="355"/>
      <c r="BI199" s="355"/>
      <c r="BJ199" s="355"/>
      <c r="BK199" s="355"/>
      <c r="BL199" s="355"/>
      <c r="BM199" s="355"/>
      <c r="BN199" s="355"/>
      <c r="BO199" s="355"/>
      <c r="BP199" s="355"/>
      <c r="BQ199" s="355"/>
      <c r="BR199" s="355"/>
      <c r="BS199" s="355"/>
      <c r="BT199" s="355"/>
      <c r="BU199" s="9"/>
      <c r="BV199" s="9"/>
      <c r="BW199" s="9"/>
      <c r="BX199" s="9"/>
      <c r="BY199" s="9"/>
      <c r="BZ199" s="16"/>
      <c r="CA199" s="16"/>
      <c r="CB199" s="16"/>
      <c r="CC199" s="16"/>
      <c r="CD199" s="16"/>
      <c r="CE199" s="16"/>
      <c r="CF199" s="16"/>
      <c r="CG199" s="16"/>
      <c r="CH199" s="16"/>
      <c r="CI199" s="16"/>
      <c r="CJ199" s="16"/>
      <c r="CK199" s="16"/>
      <c r="CL199" s="16">
        <f t="shared" si="118"/>
        <v>-4.7756172663511509E-2</v>
      </c>
      <c r="CM199" s="16">
        <f t="shared" si="119"/>
        <v>-0.10401714352061864</v>
      </c>
      <c r="CN199" s="16">
        <f t="shared" si="120"/>
        <v>2.587841753147524E-2</v>
      </c>
      <c r="CO199" s="16">
        <f t="shared" si="121"/>
        <v>-6.7131406424987272E-3</v>
      </c>
      <c r="CP199" s="16"/>
      <c r="CQ199" s="16"/>
      <c r="CR199" s="16"/>
      <c r="CS199" s="16"/>
      <c r="CT199" s="16"/>
      <c r="CU199" s="16"/>
      <c r="CV199" s="16"/>
      <c r="CW199" s="16"/>
      <c r="CX199" s="16"/>
      <c r="CY199" s="16"/>
      <c r="CZ199" s="16"/>
      <c r="DA199" s="16"/>
    </row>
    <row r="200" spans="1:107" hidden="1" outlineLevel="1">
      <c r="A200" s="6"/>
      <c r="B200" s="6"/>
      <c r="D200" s="4" t="str">
        <f t="shared" si="122"/>
        <v>Mauritius</v>
      </c>
      <c r="E200" s="2"/>
      <c r="F200" s="10"/>
      <c r="G200" s="2"/>
      <c r="H200" s="10"/>
      <c r="I200" s="10"/>
      <c r="J200" s="10"/>
      <c r="K200" s="10"/>
      <c r="L200" s="10"/>
      <c r="M200" s="10"/>
      <c r="N200" s="10"/>
      <c r="O200" s="10"/>
      <c r="P200" s="10"/>
      <c r="Q200" s="10"/>
      <c r="R200" s="10"/>
      <c r="S200" s="10"/>
      <c r="T200" s="9"/>
      <c r="U200" s="9"/>
      <c r="V200" s="9"/>
      <c r="W200" s="351"/>
      <c r="X200" s="352"/>
      <c r="Y200" s="352"/>
      <c r="Z200" s="352"/>
      <c r="AA200" s="352"/>
      <c r="AB200" s="351"/>
      <c r="AC200" s="352"/>
      <c r="AD200" s="352"/>
      <c r="AE200" s="352"/>
      <c r="AF200" s="352"/>
      <c r="AG200" s="351"/>
      <c r="AH200" s="355">
        <f t="shared" si="127"/>
        <v>9.8998984667993017</v>
      </c>
      <c r="AI200" s="355">
        <f t="shared" si="127"/>
        <v>10.157780469155512</v>
      </c>
      <c r="AJ200" s="355">
        <f t="shared" si="127"/>
        <v>13.190344032488985</v>
      </c>
      <c r="AK200" s="355">
        <f t="shared" si="127"/>
        <v>13.183771246054988</v>
      </c>
      <c r="AL200" s="351"/>
      <c r="AM200" s="355">
        <f t="shared" si="128"/>
        <v>12.369208504655463</v>
      </c>
      <c r="AN200" s="355">
        <f t="shared" si="128"/>
        <v>10.744516680549806</v>
      </c>
      <c r="AO200" s="355">
        <f t="shared" si="128"/>
        <v>11.511800901619779</v>
      </c>
      <c r="AP200" s="355">
        <f t="shared" si="128"/>
        <v>12.117145484213008</v>
      </c>
      <c r="AQ200" s="351"/>
      <c r="AR200" s="355"/>
      <c r="AS200" s="355"/>
      <c r="AT200" s="355"/>
      <c r="AU200" s="355"/>
      <c r="AV200" s="355"/>
      <c r="AW200" s="355"/>
      <c r="AX200" s="355"/>
      <c r="AY200" s="355"/>
      <c r="AZ200" s="355"/>
      <c r="BA200" s="355"/>
      <c r="BB200" s="355"/>
      <c r="BC200" s="355"/>
      <c r="BD200" s="355"/>
      <c r="BE200" s="355"/>
      <c r="BF200" s="355"/>
      <c r="BG200" s="355"/>
      <c r="BH200" s="355"/>
      <c r="BI200" s="355"/>
      <c r="BJ200" s="355"/>
      <c r="BK200" s="355"/>
      <c r="BL200" s="355"/>
      <c r="BM200" s="355"/>
      <c r="BN200" s="355"/>
      <c r="BO200" s="355"/>
      <c r="BP200" s="355"/>
      <c r="BQ200" s="355"/>
      <c r="BR200" s="355"/>
      <c r="BS200" s="355"/>
      <c r="BT200" s="355"/>
      <c r="BU200" s="9"/>
      <c r="BV200" s="9"/>
      <c r="BW200" s="9"/>
      <c r="BX200" s="9"/>
      <c r="BY200" s="9"/>
      <c r="BZ200" s="16"/>
      <c r="CA200" s="16"/>
      <c r="CB200" s="16"/>
      <c r="CC200" s="16"/>
      <c r="CD200" s="16"/>
      <c r="CE200" s="16"/>
      <c r="CF200" s="16"/>
      <c r="CG200" s="16"/>
      <c r="CH200" s="16"/>
      <c r="CI200" s="16"/>
      <c r="CJ200" s="16"/>
      <c r="CK200" s="16"/>
      <c r="CL200" s="16">
        <f t="shared" si="118"/>
        <v>0.24942781445055617</v>
      </c>
      <c r="CM200" s="16">
        <f t="shared" si="119"/>
        <v>5.7762245716565852E-2</v>
      </c>
      <c r="CN200" s="16">
        <f t="shared" si="120"/>
        <v>-0.12725544737383698</v>
      </c>
      <c r="CO200" s="16">
        <f t="shared" si="121"/>
        <v>-8.0904450019272711E-2</v>
      </c>
      <c r="CP200" s="16"/>
      <c r="CQ200" s="16"/>
      <c r="CR200" s="16"/>
      <c r="CS200" s="16"/>
      <c r="CT200" s="16"/>
      <c r="CU200" s="16"/>
      <c r="CV200" s="16"/>
      <c r="CW200" s="16"/>
      <c r="CX200" s="16"/>
      <c r="CY200" s="16"/>
      <c r="CZ200" s="16"/>
      <c r="DA200" s="16"/>
    </row>
    <row r="201" spans="1:107" hidden="1" outlineLevel="1">
      <c r="A201" s="6"/>
      <c r="B201" s="6"/>
      <c r="D201" s="4" t="str">
        <f t="shared" si="122"/>
        <v>Senegal</v>
      </c>
      <c r="E201" s="2"/>
      <c r="F201" s="10"/>
      <c r="G201" s="2"/>
      <c r="H201" s="10"/>
      <c r="I201" s="10"/>
      <c r="J201" s="10"/>
      <c r="K201" s="10"/>
      <c r="L201" s="10"/>
      <c r="M201" s="10"/>
      <c r="N201" s="10"/>
      <c r="O201" s="10"/>
      <c r="P201" s="10"/>
      <c r="Q201" s="10"/>
      <c r="R201" s="10"/>
      <c r="S201" s="10"/>
      <c r="T201" s="9"/>
      <c r="U201" s="9"/>
      <c r="V201" s="9"/>
      <c r="W201" s="351"/>
      <c r="X201" s="352"/>
      <c r="Y201" s="352"/>
      <c r="Z201" s="352"/>
      <c r="AA201" s="352"/>
      <c r="AB201" s="351"/>
      <c r="AC201" s="352"/>
      <c r="AD201" s="352"/>
      <c r="AE201" s="352"/>
      <c r="AF201" s="352"/>
      <c r="AG201" s="351"/>
      <c r="AH201" s="355">
        <f t="shared" si="127"/>
        <v>5.9189844228007553</v>
      </c>
      <c r="AI201" s="355">
        <f t="shared" si="127"/>
        <v>5.8583969622688592</v>
      </c>
      <c r="AJ201" s="355">
        <f t="shared" si="127"/>
        <v>5.9046872588781785</v>
      </c>
      <c r="AK201" s="355">
        <f t="shared" si="127"/>
        <v>6.7300650435220488</v>
      </c>
      <c r="AL201" s="351"/>
      <c r="AM201" s="355">
        <f t="shared" si="128"/>
        <v>5.9677524420079182</v>
      </c>
      <c r="AN201" s="355">
        <f t="shared" si="128"/>
        <v>4.8637212069255353</v>
      </c>
      <c r="AO201" s="355">
        <f t="shared" si="128"/>
        <v>5.0321028046039871</v>
      </c>
      <c r="AP201" s="355">
        <f t="shared" si="128"/>
        <v>5.0043474142070146</v>
      </c>
      <c r="AQ201" s="351"/>
      <c r="AR201" s="355"/>
      <c r="AS201" s="355"/>
      <c r="AT201" s="355"/>
      <c r="AU201" s="355"/>
      <c r="AV201" s="355"/>
      <c r="AW201" s="355"/>
      <c r="AX201" s="355"/>
      <c r="AY201" s="355"/>
      <c r="AZ201" s="355"/>
      <c r="BA201" s="355"/>
      <c r="BB201" s="355"/>
      <c r="BC201" s="355"/>
      <c r="BD201" s="355"/>
      <c r="BE201" s="355"/>
      <c r="BF201" s="355"/>
      <c r="BG201" s="355"/>
      <c r="BH201" s="355"/>
      <c r="BI201" s="355"/>
      <c r="BJ201" s="355"/>
      <c r="BK201" s="355"/>
      <c r="BL201" s="355"/>
      <c r="BM201" s="355"/>
      <c r="BN201" s="355"/>
      <c r="BO201" s="355"/>
      <c r="BP201" s="355"/>
      <c r="BQ201" s="355"/>
      <c r="BR201" s="355"/>
      <c r="BS201" s="355"/>
      <c r="BT201" s="355"/>
      <c r="BU201" s="9"/>
      <c r="BV201" s="9"/>
      <c r="BW201" s="9"/>
      <c r="BX201" s="9"/>
      <c r="BY201" s="9"/>
      <c r="BZ201" s="16"/>
      <c r="CA201" s="16"/>
      <c r="CB201" s="16"/>
      <c r="CC201" s="16"/>
      <c r="CD201" s="16"/>
      <c r="CE201" s="16"/>
      <c r="CF201" s="16"/>
      <c r="CG201" s="16"/>
      <c r="CH201" s="16"/>
      <c r="CI201" s="16"/>
      <c r="CJ201" s="16"/>
      <c r="CK201" s="16"/>
      <c r="CL201" s="16">
        <f t="shared" si="118"/>
        <v>8.2392545280742802E-3</v>
      </c>
      <c r="CM201" s="16">
        <f t="shared" si="119"/>
        <v>-0.16978633604884685</v>
      </c>
      <c r="CN201" s="16">
        <f t="shared" si="120"/>
        <v>-0.14777826767407365</v>
      </c>
      <c r="CO201" s="16">
        <f t="shared" si="121"/>
        <v>-0.25641916061065484</v>
      </c>
      <c r="CP201" s="16"/>
      <c r="CQ201" s="16"/>
      <c r="CR201" s="16"/>
      <c r="CS201" s="16"/>
      <c r="CT201" s="16"/>
      <c r="CU201" s="16"/>
      <c r="CV201" s="16"/>
      <c r="CW201" s="16"/>
      <c r="CX201" s="16"/>
      <c r="CY201" s="16"/>
      <c r="CZ201" s="16"/>
      <c r="DA201" s="16"/>
    </row>
    <row r="202" spans="1:107" hidden="1" outlineLevel="1">
      <c r="A202" s="6"/>
      <c r="B202" s="6"/>
      <c r="D202" s="4" t="str">
        <f t="shared" si="122"/>
        <v>Tanzania</v>
      </c>
      <c r="E202" s="2"/>
      <c r="F202" s="10"/>
      <c r="G202" s="2"/>
      <c r="H202" s="10"/>
      <c r="I202" s="10"/>
      <c r="J202" s="10"/>
      <c r="K202" s="10"/>
      <c r="L202" s="10"/>
      <c r="M202" s="10"/>
      <c r="N202" s="10"/>
      <c r="O202" s="10"/>
      <c r="P202" s="10"/>
      <c r="Q202" s="10"/>
      <c r="R202" s="10"/>
      <c r="S202" s="10"/>
      <c r="T202" s="9"/>
      <c r="U202" s="9"/>
      <c r="V202" s="9"/>
      <c r="W202" s="351"/>
      <c r="X202" s="352"/>
      <c r="Y202" s="352"/>
      <c r="Z202" s="352"/>
      <c r="AA202" s="352"/>
      <c r="AB202" s="351"/>
      <c r="AC202" s="352"/>
      <c r="AD202" s="352"/>
      <c r="AE202" s="352"/>
      <c r="AF202" s="352"/>
      <c r="AG202" s="351"/>
      <c r="AH202" s="355">
        <f t="shared" si="127"/>
        <v>5.6336633079612524</v>
      </c>
      <c r="AI202" s="355">
        <f t="shared" si="127"/>
        <v>5.3412072730642901</v>
      </c>
      <c r="AJ202" s="355">
        <f t="shared" si="127"/>
        <v>5.5712954762425095</v>
      </c>
      <c r="AK202" s="355">
        <f t="shared" si="127"/>
        <v>5.5915769776045963</v>
      </c>
      <c r="AL202" s="351"/>
      <c r="AM202" s="355">
        <f t="shared" si="128"/>
        <v>4.9574972569069491</v>
      </c>
      <c r="AN202" s="355">
        <f t="shared" si="128"/>
        <v>4.8170592890517439</v>
      </c>
      <c r="AO202" s="355">
        <f t="shared" si="128"/>
        <v>4.8193224717863474</v>
      </c>
      <c r="AP202" s="355">
        <f t="shared" si="128"/>
        <v>4.9038620562923034</v>
      </c>
      <c r="AQ202" s="351"/>
      <c r="AR202" s="355"/>
      <c r="AS202" s="355"/>
      <c r="AT202" s="355"/>
      <c r="AU202" s="355"/>
      <c r="AV202" s="355"/>
      <c r="AW202" s="355"/>
      <c r="AX202" s="355"/>
      <c r="AY202" s="355"/>
      <c r="AZ202" s="355"/>
      <c r="BA202" s="355"/>
      <c r="BB202" s="355"/>
      <c r="BC202" s="355"/>
      <c r="BD202" s="355"/>
      <c r="BE202" s="355"/>
      <c r="BF202" s="355"/>
      <c r="BG202" s="355"/>
      <c r="BH202" s="355"/>
      <c r="BI202" s="355"/>
      <c r="BJ202" s="355"/>
      <c r="BK202" s="355"/>
      <c r="BL202" s="355"/>
      <c r="BM202" s="355"/>
      <c r="BN202" s="355"/>
      <c r="BO202" s="355"/>
      <c r="BP202" s="355"/>
      <c r="BQ202" s="355"/>
      <c r="BR202" s="355"/>
      <c r="BS202" s="355"/>
      <c r="BT202" s="355"/>
      <c r="BU202" s="9"/>
      <c r="BV202" s="9"/>
      <c r="BW202" s="9"/>
      <c r="BX202" s="9"/>
      <c r="BY202" s="9"/>
      <c r="BZ202" s="16"/>
      <c r="CA202" s="16"/>
      <c r="CB202" s="16"/>
      <c r="CC202" s="16"/>
      <c r="CD202" s="16"/>
      <c r="CE202" s="16"/>
      <c r="CF202" s="16"/>
      <c r="CG202" s="16"/>
      <c r="CH202" s="16"/>
      <c r="CI202" s="16"/>
      <c r="CJ202" s="16"/>
      <c r="CK202" s="16"/>
      <c r="CL202" s="16">
        <f t="shared" si="118"/>
        <v>-0.12002244615839475</v>
      </c>
      <c r="CM202" s="16">
        <f t="shared" si="119"/>
        <v>-9.8132867199485885E-2</v>
      </c>
      <c r="CN202" s="16">
        <f t="shared" si="120"/>
        <v>-0.13497273796781661</v>
      </c>
      <c r="CO202" s="16">
        <f t="shared" si="121"/>
        <v>-0.12299122842567156</v>
      </c>
      <c r="CP202" s="16"/>
      <c r="CQ202" s="16"/>
      <c r="CR202" s="16"/>
      <c r="CS202" s="16"/>
      <c r="CT202" s="16"/>
      <c r="CU202" s="16"/>
      <c r="CV202" s="16"/>
      <c r="CW202" s="16"/>
      <c r="CX202" s="16"/>
      <c r="CY202" s="16"/>
      <c r="CZ202" s="16"/>
      <c r="DA202" s="16"/>
    </row>
    <row r="203" spans="1:107" hidden="1" outlineLevel="1">
      <c r="A203" s="6"/>
      <c r="B203" s="6"/>
      <c r="D203" s="4" t="str">
        <f t="shared" si="122"/>
        <v>Chad</v>
      </c>
      <c r="E203" s="2"/>
      <c r="F203" s="10"/>
      <c r="G203" s="2"/>
      <c r="H203" s="10"/>
      <c r="I203" s="10"/>
      <c r="J203" s="10"/>
      <c r="K203" s="10"/>
      <c r="L203" s="10"/>
      <c r="M203" s="10"/>
      <c r="N203" s="10"/>
      <c r="O203" s="10"/>
      <c r="P203" s="10"/>
      <c r="Q203" s="10"/>
      <c r="R203" s="10"/>
      <c r="S203" s="10"/>
      <c r="T203" s="9"/>
      <c r="U203" s="9"/>
      <c r="V203" s="9"/>
      <c r="W203" s="351"/>
      <c r="X203" s="352"/>
      <c r="Y203" s="352"/>
      <c r="Z203" s="352"/>
      <c r="AA203" s="352"/>
      <c r="AB203" s="351"/>
      <c r="AC203" s="352"/>
      <c r="AD203" s="352"/>
      <c r="AE203" s="352"/>
      <c r="AF203" s="352"/>
      <c r="AG203" s="351"/>
      <c r="AH203" s="355">
        <f t="shared" si="127"/>
        <v>9.1509567638797957</v>
      </c>
      <c r="AI203" s="355">
        <f t="shared" si="127"/>
        <v>9.7314598245983248</v>
      </c>
      <c r="AJ203" s="355">
        <f t="shared" si="127"/>
        <v>9.4710572877905612</v>
      </c>
      <c r="AK203" s="355">
        <f t="shared" si="127"/>
        <v>10.771254217097978</v>
      </c>
      <c r="AL203" s="351"/>
      <c r="AM203" s="355">
        <f t="shared" si="128"/>
        <v>8.8092379631760576</v>
      </c>
      <c r="AN203" s="355">
        <f t="shared" si="128"/>
        <v>7.4012305970672356</v>
      </c>
      <c r="AO203" s="355">
        <f t="shared" si="128"/>
        <v>6.8762522266601174</v>
      </c>
      <c r="AP203" s="355">
        <f t="shared" si="128"/>
        <v>7.0930335714812793</v>
      </c>
      <c r="AQ203" s="351"/>
      <c r="AR203" s="355"/>
      <c r="AS203" s="446"/>
      <c r="AT203" s="446"/>
      <c r="AU203" s="446"/>
      <c r="AV203" s="355"/>
      <c r="AW203" s="446"/>
      <c r="AX203" s="446"/>
      <c r="AY203" s="446"/>
      <c r="AZ203" s="446"/>
      <c r="BA203" s="355"/>
      <c r="BB203" s="446"/>
      <c r="BC203" s="446"/>
      <c r="BD203" s="446"/>
      <c r="BE203" s="446"/>
      <c r="BF203" s="355"/>
      <c r="BG203" s="355"/>
      <c r="BH203" s="355"/>
      <c r="BI203" s="355"/>
      <c r="BJ203" s="355"/>
      <c r="BK203" s="355"/>
      <c r="BL203" s="355"/>
      <c r="BM203" s="355"/>
      <c r="BN203" s="355"/>
      <c r="BO203" s="355"/>
      <c r="BP203" s="355"/>
      <c r="BQ203" s="355"/>
      <c r="BR203" s="355"/>
      <c r="BS203" s="355"/>
      <c r="BT203" s="355"/>
      <c r="BU203" s="9"/>
      <c r="BV203" s="9"/>
      <c r="BW203" s="9"/>
      <c r="BX203" s="9"/>
      <c r="BY203" s="9"/>
      <c r="BZ203" s="16"/>
      <c r="CA203" s="16"/>
      <c r="CB203" s="16"/>
      <c r="CC203" s="16"/>
      <c r="CD203" s="16"/>
      <c r="CE203" s="16"/>
      <c r="CF203" s="16"/>
      <c r="CG203" s="16"/>
      <c r="CH203" s="16"/>
      <c r="CI203" s="16"/>
      <c r="CJ203" s="16"/>
      <c r="CK203" s="16"/>
      <c r="CL203" s="16">
        <f t="shared" si="118"/>
        <v>-3.7342412331413666E-2</v>
      </c>
      <c r="CM203" s="16">
        <f t="shared" si="119"/>
        <v>-0.23945320327387487</v>
      </c>
      <c r="CN203" s="16">
        <f t="shared" si="120"/>
        <v>-0.27397205848131534</v>
      </c>
      <c r="CO203" s="16">
        <f t="shared" si="121"/>
        <v>-0.34148489781050728</v>
      </c>
      <c r="CP203" s="16"/>
      <c r="CQ203" s="16"/>
      <c r="CR203" s="16"/>
      <c r="CS203" s="16"/>
      <c r="CT203" s="16"/>
      <c r="CU203" s="16"/>
      <c r="CV203" s="16"/>
      <c r="CW203" s="16"/>
      <c r="CX203" s="16"/>
      <c r="CY203" s="16"/>
      <c r="CZ203" s="16"/>
      <c r="DA203" s="16"/>
    </row>
    <row r="204" spans="1:107" hidden="1" outlineLevel="1">
      <c r="A204" s="6"/>
      <c r="B204" s="6"/>
      <c r="D204" s="4" t="str">
        <f t="shared" si="122"/>
        <v>DRC (in $)</v>
      </c>
      <c r="E204" s="2"/>
      <c r="F204" s="10"/>
      <c r="G204" s="2"/>
      <c r="H204" s="10"/>
      <c r="I204" s="10"/>
      <c r="J204" s="10"/>
      <c r="K204" s="10"/>
      <c r="L204" s="10"/>
      <c r="M204" s="10"/>
      <c r="N204" s="10"/>
      <c r="O204" s="10"/>
      <c r="P204" s="10"/>
      <c r="Q204" s="10"/>
      <c r="R204" s="10"/>
      <c r="S204" s="10"/>
      <c r="T204" s="9"/>
      <c r="U204" s="9"/>
      <c r="V204" s="9"/>
      <c r="W204" s="351"/>
      <c r="X204" s="352"/>
      <c r="Y204" s="352"/>
      <c r="Z204" s="352"/>
      <c r="AA204" s="352"/>
      <c r="AB204" s="351"/>
      <c r="AC204" s="352"/>
      <c r="AD204" s="352"/>
      <c r="AE204" s="352"/>
      <c r="AF204" s="352"/>
      <c r="AG204" s="351"/>
      <c r="AH204" s="355">
        <f>AH189</f>
        <v>7</v>
      </c>
      <c r="AI204" s="355">
        <f>AI189</f>
        <v>6</v>
      </c>
      <c r="AJ204" s="355">
        <f>AJ189</f>
        <v>7</v>
      </c>
      <c r="AK204" s="355">
        <f>AK189</f>
        <v>7</v>
      </c>
      <c r="AL204" s="351"/>
      <c r="AM204" s="355">
        <f>AM189</f>
        <v>6</v>
      </c>
      <c r="AN204" s="355">
        <f>AN189</f>
        <v>6</v>
      </c>
      <c r="AO204" s="355">
        <f>AO189</f>
        <v>6</v>
      </c>
      <c r="AP204" s="355">
        <f>AP189</f>
        <v>5</v>
      </c>
      <c r="AQ204" s="351"/>
      <c r="AR204" s="355"/>
      <c r="AS204" s="376"/>
      <c r="AT204" s="376"/>
      <c r="AU204" s="376"/>
      <c r="AV204" s="355"/>
      <c r="AW204" s="376"/>
      <c r="AX204" s="376"/>
      <c r="AY204" s="376"/>
      <c r="AZ204" s="376"/>
      <c r="BA204" s="355"/>
      <c r="BB204" s="376"/>
      <c r="BC204" s="376"/>
      <c r="BD204" s="376"/>
      <c r="BE204" s="376"/>
      <c r="BF204" s="355"/>
      <c r="BG204" s="355"/>
      <c r="BH204" s="355"/>
      <c r="BI204" s="355"/>
      <c r="BJ204" s="355"/>
      <c r="BK204" s="355"/>
      <c r="BL204" s="355"/>
      <c r="BM204" s="355"/>
      <c r="BN204" s="355"/>
      <c r="BO204" s="355"/>
      <c r="BP204" s="355"/>
      <c r="BQ204" s="355"/>
      <c r="BR204" s="355"/>
      <c r="BS204" s="355"/>
      <c r="BT204" s="355"/>
      <c r="BU204" s="9"/>
      <c r="BV204" s="9"/>
      <c r="BW204" s="9"/>
      <c r="BX204" s="9"/>
      <c r="BY204" s="9"/>
      <c r="BZ204" s="16"/>
      <c r="CA204" s="16"/>
      <c r="CB204" s="16"/>
      <c r="CC204" s="16"/>
      <c r="CD204" s="16"/>
      <c r="CE204" s="16"/>
      <c r="CF204" s="16"/>
      <c r="CG204" s="16"/>
      <c r="CH204" s="16"/>
      <c r="CI204" s="16"/>
      <c r="CJ204" s="16"/>
      <c r="CK204" s="16"/>
      <c r="CL204" s="16">
        <f t="shared" si="118"/>
        <v>-0.1428571428571429</v>
      </c>
      <c r="CM204" s="16">
        <f t="shared" si="119"/>
        <v>0</v>
      </c>
      <c r="CN204" s="16">
        <f t="shared" si="120"/>
        <v>-0.1428571428571429</v>
      </c>
      <c r="CO204" s="16">
        <f t="shared" si="121"/>
        <v>-0.2857142857142857</v>
      </c>
      <c r="CP204" s="16"/>
      <c r="CQ204" s="16"/>
      <c r="CR204" s="16"/>
      <c r="CS204" s="16"/>
      <c r="CT204" s="16"/>
      <c r="CU204" s="16"/>
      <c r="CV204" s="16"/>
      <c r="CW204" s="16"/>
      <c r="CX204" s="16"/>
      <c r="CY204" s="16"/>
      <c r="CZ204" s="16"/>
      <c r="DA204" s="16"/>
    </row>
    <row r="205" spans="1:107" hidden="1" outlineLevel="1">
      <c r="A205" s="6"/>
      <c r="B205" s="6"/>
      <c r="D205" s="4" t="str">
        <f t="shared" si="122"/>
        <v>Rwanda</v>
      </c>
      <c r="E205" s="2"/>
      <c r="F205" s="10"/>
      <c r="G205" s="2"/>
      <c r="H205" s="10"/>
      <c r="I205" s="10"/>
      <c r="J205" s="10"/>
      <c r="K205" s="10"/>
      <c r="L205" s="10"/>
      <c r="M205" s="10"/>
      <c r="N205" s="10"/>
      <c r="O205" s="10"/>
      <c r="P205" s="10"/>
      <c r="Q205" s="10"/>
      <c r="R205" s="10"/>
      <c r="S205" s="10"/>
      <c r="T205" s="9"/>
      <c r="U205" s="9"/>
      <c r="V205" s="9"/>
      <c r="W205" s="351"/>
      <c r="X205" s="352"/>
      <c r="Y205" s="352"/>
      <c r="Z205" s="352"/>
      <c r="AA205" s="352"/>
      <c r="AB205" s="351"/>
      <c r="AC205" s="352"/>
      <c r="AD205" s="352"/>
      <c r="AE205" s="352"/>
      <c r="AF205" s="352"/>
      <c r="AG205" s="351"/>
      <c r="AH205" s="352"/>
      <c r="AI205" s="352"/>
      <c r="AJ205" s="355"/>
      <c r="AK205" s="355">
        <f>AK190/AK459</f>
        <v>3.8600178868762756</v>
      </c>
      <c r="AL205" s="351"/>
      <c r="AM205" s="355">
        <f>AM190/AM459</f>
        <v>3.4779829586532096</v>
      </c>
      <c r="AN205" s="355">
        <f>AN190/AN459</f>
        <v>3.9173029759624751</v>
      </c>
      <c r="AO205" s="355">
        <f>AO190/AO459</f>
        <v>3.063360953101065</v>
      </c>
      <c r="AP205" s="355">
        <f>AP190/AP459</f>
        <v>2.2860505267970974</v>
      </c>
      <c r="AQ205" s="351"/>
      <c r="AR205" s="355"/>
      <c r="AS205" s="446"/>
      <c r="AT205" s="446"/>
      <c r="AU205" s="446"/>
      <c r="AV205" s="355"/>
      <c r="AW205" s="446"/>
      <c r="AX205" s="446"/>
      <c r="AY205" s="446"/>
      <c r="AZ205" s="446"/>
      <c r="BA205" s="355"/>
      <c r="BB205" s="446"/>
      <c r="BC205" s="446"/>
      <c r="BD205" s="446"/>
      <c r="BE205" s="446"/>
      <c r="BF205" s="355"/>
      <c r="BG205" s="355"/>
      <c r="BH205" s="355"/>
      <c r="BI205" s="355"/>
      <c r="BJ205" s="355"/>
      <c r="BK205" s="355"/>
      <c r="BL205" s="355"/>
      <c r="BM205" s="355"/>
      <c r="BN205" s="355"/>
      <c r="BO205" s="355"/>
      <c r="BP205" s="355"/>
      <c r="BQ205" s="355"/>
      <c r="BR205" s="355"/>
      <c r="BS205" s="355"/>
      <c r="BT205" s="355"/>
      <c r="BU205" s="9"/>
      <c r="BV205" s="9"/>
      <c r="BW205" s="9"/>
      <c r="BX205" s="9"/>
      <c r="BY205" s="9"/>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row>
    <row r="206" spans="1:107" hidden="1" outlineLevel="1">
      <c r="A206" s="6"/>
      <c r="B206" s="6"/>
      <c r="D206" s="2"/>
      <c r="E206" s="2"/>
      <c r="F206" s="10"/>
      <c r="G206" s="2"/>
      <c r="H206" s="10"/>
      <c r="I206" s="10"/>
      <c r="J206" s="10"/>
      <c r="K206" s="10"/>
      <c r="L206" s="10"/>
      <c r="M206" s="10"/>
      <c r="N206" s="10"/>
      <c r="O206" s="10"/>
      <c r="P206" s="10"/>
      <c r="Q206" s="10"/>
      <c r="R206" s="10"/>
      <c r="S206" s="10"/>
      <c r="T206" s="9"/>
      <c r="U206" s="9"/>
      <c r="V206" s="9"/>
      <c r="W206" s="351"/>
      <c r="X206" s="352"/>
      <c r="Y206" s="352"/>
      <c r="Z206" s="352"/>
      <c r="AA206" s="352"/>
      <c r="AB206" s="351"/>
      <c r="AC206" s="352"/>
      <c r="AD206" s="352"/>
      <c r="AE206" s="352"/>
      <c r="AF206" s="352"/>
      <c r="AG206" s="351"/>
      <c r="AH206" s="352"/>
      <c r="AI206" s="352"/>
      <c r="AJ206" s="352"/>
      <c r="AK206" s="352"/>
      <c r="AL206" s="351"/>
      <c r="AM206" s="352"/>
      <c r="AN206" s="352"/>
      <c r="AO206" s="352"/>
      <c r="AP206" s="352"/>
      <c r="AQ206" s="351"/>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c r="BQ206" s="352"/>
      <c r="BR206" s="352"/>
      <c r="BS206" s="352"/>
      <c r="BT206" s="352"/>
      <c r="BU206" s="9"/>
      <c r="BV206" s="9"/>
      <c r="BW206" s="9"/>
      <c r="BX206" s="9"/>
      <c r="BY206" s="9"/>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row>
    <row r="207" spans="1:107" collapsed="1">
      <c r="D207" s="2" t="s">
        <v>1539</v>
      </c>
      <c r="I207" t="s">
        <v>1823</v>
      </c>
      <c r="N207" s="2"/>
      <c r="S207" s="7"/>
      <c r="T207" s="7"/>
      <c r="U207" s="7"/>
      <c r="V207" s="7"/>
      <c r="W207" s="107"/>
      <c r="AB207" s="107"/>
      <c r="AG207" s="107"/>
      <c r="AL207" s="107"/>
      <c r="AQ207" s="107"/>
      <c r="BU207" s="8"/>
      <c r="BV207" s="8" t="s">
        <v>1544</v>
      </c>
      <c r="BW207" s="8" t="s">
        <v>1544</v>
      </c>
      <c r="BX207" s="8" t="s">
        <v>1544</v>
      </c>
      <c r="BY207" s="8" t="s">
        <v>1544</v>
      </c>
      <c r="BZ207" s="8" t="s">
        <v>1544</v>
      </c>
      <c r="CA207" s="8" t="s">
        <v>1544</v>
      </c>
      <c r="CB207" s="8" t="s">
        <v>1544</v>
      </c>
      <c r="CC207" s="8" t="s">
        <v>1544</v>
      </c>
      <c r="CD207" s="8" t="s">
        <v>1544</v>
      </c>
      <c r="CE207" s="8" t="s">
        <v>1544</v>
      </c>
      <c r="CF207" s="8" t="s">
        <v>1544</v>
      </c>
      <c r="CG207" s="8" t="s">
        <v>1544</v>
      </c>
      <c r="CH207" s="8" t="s">
        <v>1544</v>
      </c>
      <c r="CI207" s="8" t="s">
        <v>1544</v>
      </c>
      <c r="CJ207" s="8" t="s">
        <v>1544</v>
      </c>
      <c r="CK207" s="8" t="s">
        <v>1544</v>
      </c>
      <c r="CL207" s="8" t="s">
        <v>1544</v>
      </c>
      <c r="CM207" s="8" t="s">
        <v>1544</v>
      </c>
      <c r="CN207" s="8" t="s">
        <v>1544</v>
      </c>
      <c r="CO207" s="8" t="s">
        <v>1544</v>
      </c>
      <c r="CP207" s="8" t="s">
        <v>1544</v>
      </c>
      <c r="CQ207" s="8" t="s">
        <v>1544</v>
      </c>
      <c r="CR207" s="8" t="s">
        <v>1544</v>
      </c>
      <c r="CS207" s="8" t="s">
        <v>1544</v>
      </c>
      <c r="CT207" s="8" t="s">
        <v>1544</v>
      </c>
      <c r="CU207" s="8" t="s">
        <v>1544</v>
      </c>
      <c r="CV207" s="8" t="s">
        <v>1544</v>
      </c>
      <c r="CW207" s="8" t="s">
        <v>1544</v>
      </c>
      <c r="CX207" s="8" t="s">
        <v>1544</v>
      </c>
      <c r="CY207" s="8" t="s">
        <v>1544</v>
      </c>
      <c r="CZ207" s="8" t="s">
        <v>1544</v>
      </c>
      <c r="DA207" s="8" t="s">
        <v>1544</v>
      </c>
      <c r="DB207" s="8" t="s">
        <v>1544</v>
      </c>
      <c r="DC207" s="8" t="s">
        <v>1544</v>
      </c>
    </row>
    <row r="208" spans="1:107">
      <c r="G208" s="8" t="s">
        <v>364</v>
      </c>
      <c r="H208" s="8" t="s">
        <v>363</v>
      </c>
      <c r="I208" s="8" t="s">
        <v>362</v>
      </c>
      <c r="J208" s="8" t="s">
        <v>589</v>
      </c>
      <c r="K208" s="8" t="s">
        <v>585</v>
      </c>
      <c r="L208" s="8" t="s">
        <v>586</v>
      </c>
      <c r="M208" s="8" t="s">
        <v>587</v>
      </c>
      <c r="N208" s="8" t="s">
        <v>588</v>
      </c>
      <c r="O208" s="8" t="s">
        <v>580</v>
      </c>
      <c r="P208" s="8" t="s">
        <v>582</v>
      </c>
      <c r="Q208" s="8" t="s">
        <v>581</v>
      </c>
      <c r="R208" s="8" t="str">
        <f t="shared" ref="R208:AU208" si="129">R115</f>
        <v>Q4 05</v>
      </c>
      <c r="S208" s="8" t="str">
        <f t="shared" si="129"/>
        <v>Q1 06</v>
      </c>
      <c r="T208" s="8" t="str">
        <f t="shared" si="129"/>
        <v>Q2 06</v>
      </c>
      <c r="U208" s="8" t="str">
        <f t="shared" si="129"/>
        <v>Q3 06</v>
      </c>
      <c r="V208" s="8" t="str">
        <f t="shared" si="129"/>
        <v>Q4 06</v>
      </c>
      <c r="W208" s="180" t="str">
        <f t="shared" si="129"/>
        <v>FY 06</v>
      </c>
      <c r="X208" s="8" t="str">
        <f t="shared" si="129"/>
        <v>Q1 07</v>
      </c>
      <c r="Y208" s="8" t="str">
        <f t="shared" si="129"/>
        <v>Q2 07</v>
      </c>
      <c r="Z208" s="8" t="str">
        <f t="shared" si="129"/>
        <v>Q3 07</v>
      </c>
      <c r="AA208" s="8" t="str">
        <f t="shared" si="129"/>
        <v>Q4 07</v>
      </c>
      <c r="AB208" s="180" t="str">
        <f>AB115</f>
        <v>FY 07</v>
      </c>
      <c r="AC208" s="8" t="str">
        <f t="shared" si="129"/>
        <v>Q1 08</v>
      </c>
      <c r="AD208" s="8" t="str">
        <f t="shared" si="129"/>
        <v>Q2 08</v>
      </c>
      <c r="AE208" s="8" t="str">
        <f t="shared" si="129"/>
        <v>Q3 08</v>
      </c>
      <c r="AF208" s="8" t="str">
        <f t="shared" si="129"/>
        <v>Q4 08</v>
      </c>
      <c r="AG208" s="180" t="str">
        <f>AG115</f>
        <v>FY 08</v>
      </c>
      <c r="AH208" s="8" t="str">
        <f t="shared" si="129"/>
        <v>Q1 09</v>
      </c>
      <c r="AI208" s="8" t="str">
        <f t="shared" si="129"/>
        <v>Q2 09</v>
      </c>
      <c r="AJ208" s="8" t="str">
        <f t="shared" si="129"/>
        <v>Q3 09</v>
      </c>
      <c r="AK208" s="8" t="str">
        <f t="shared" si="129"/>
        <v>Q4 09</v>
      </c>
      <c r="AL208" s="180" t="str">
        <f>AL115</f>
        <v>FY 09</v>
      </c>
      <c r="AM208" s="8" t="str">
        <f t="shared" si="129"/>
        <v>Q1 10</v>
      </c>
      <c r="AN208" s="8" t="str">
        <f t="shared" si="129"/>
        <v>Q2 10</v>
      </c>
      <c r="AO208" s="8" t="str">
        <f t="shared" si="129"/>
        <v>Q3 10</v>
      </c>
      <c r="AP208" s="8" t="str">
        <f t="shared" si="129"/>
        <v>Q4 10</v>
      </c>
      <c r="AQ208" s="180" t="str">
        <f t="shared" si="129"/>
        <v>FY 10E</v>
      </c>
      <c r="AR208" s="8" t="str">
        <f t="shared" si="129"/>
        <v>Q1 11</v>
      </c>
      <c r="AS208" s="8" t="str">
        <f t="shared" si="129"/>
        <v>Q2 11</v>
      </c>
      <c r="AT208" s="8" t="str">
        <f t="shared" si="129"/>
        <v>Q3 11</v>
      </c>
      <c r="AU208" s="8" t="str">
        <f t="shared" si="129"/>
        <v>Q4 11</v>
      </c>
      <c r="AV208" s="180" t="str">
        <f t="shared" ref="AV208:BA208" si="130">AV115</f>
        <v>FY 11</v>
      </c>
      <c r="AW208" s="8" t="str">
        <f t="shared" si="130"/>
        <v>Q1 12</v>
      </c>
      <c r="AX208" s="8" t="str">
        <f t="shared" si="130"/>
        <v>Q2 12</v>
      </c>
      <c r="AY208" s="8" t="str">
        <f t="shared" si="130"/>
        <v>Q3 12</v>
      </c>
      <c r="AZ208" s="8" t="str">
        <f t="shared" si="130"/>
        <v>Q4 12</v>
      </c>
      <c r="BA208" s="180" t="str">
        <f t="shared" si="130"/>
        <v>FY 12</v>
      </c>
      <c r="BB208" s="8" t="str">
        <f t="shared" ref="BB208:BK208" si="131">BB115</f>
        <v>Q1 13</v>
      </c>
      <c r="BC208" s="8" t="str">
        <f t="shared" si="131"/>
        <v>Q2 13</v>
      </c>
      <c r="BD208" s="8" t="str">
        <f t="shared" si="131"/>
        <v>Q3 13</v>
      </c>
      <c r="BE208" s="8" t="str">
        <f t="shared" si="131"/>
        <v>Q4 13</v>
      </c>
      <c r="BF208" s="180" t="str">
        <f t="shared" si="131"/>
        <v>FY 13</v>
      </c>
      <c r="BG208" s="8" t="str">
        <f t="shared" si="131"/>
        <v>Q1 14</v>
      </c>
      <c r="BH208" s="8" t="str">
        <f>BH115</f>
        <v>Q2 14</v>
      </c>
      <c r="BI208" s="8" t="str">
        <f>BI115</f>
        <v>Q3 14</v>
      </c>
      <c r="BJ208" s="8" t="str">
        <f>BJ115</f>
        <v>Q4 14</v>
      </c>
      <c r="BK208" s="180" t="str">
        <f t="shared" si="131"/>
        <v>FY 14</v>
      </c>
      <c r="BL208" s="8" t="str">
        <f>BL115</f>
        <v>Q1 15</v>
      </c>
      <c r="BM208" s="8" t="str">
        <f>BM115</f>
        <v>Q2 15</v>
      </c>
      <c r="BN208" s="8" t="str">
        <f>BN115</f>
        <v>Q3 15</v>
      </c>
      <c r="BO208" s="8" t="str">
        <f>BO115</f>
        <v>Q4 15</v>
      </c>
      <c r="BP208" s="180" t="str">
        <f>BP115</f>
        <v>FY 15</v>
      </c>
      <c r="BQ208" s="8" t="str">
        <f>BQ2</f>
        <v>Q1 16</v>
      </c>
      <c r="BR208" s="8" t="str">
        <f>BR2</f>
        <v>Q2 16</v>
      </c>
      <c r="BS208" s="8" t="str">
        <f>BS2</f>
        <v>Q3 16</v>
      </c>
      <c r="BT208" s="8" t="str">
        <f>BT2</f>
        <v>Q4 16e</v>
      </c>
      <c r="BU208" s="8"/>
      <c r="BV208" s="8" t="str">
        <f>S208</f>
        <v>Q1 06</v>
      </c>
      <c r="BW208" s="8" t="str">
        <f>T208</f>
        <v>Q2 06</v>
      </c>
      <c r="BX208" s="8" t="str">
        <f>U208</f>
        <v>Q3 06</v>
      </c>
      <c r="BY208" s="8" t="str">
        <f>V208</f>
        <v>Q4 06</v>
      </c>
      <c r="BZ208" s="8" t="str">
        <f t="shared" ref="BZ208:CE208" si="132">BZ115</f>
        <v>Q1 07</v>
      </c>
      <c r="CA208" s="8" t="str">
        <f t="shared" si="132"/>
        <v>Q2 07</v>
      </c>
      <c r="CB208" s="8" t="str">
        <f t="shared" si="132"/>
        <v>Q3 07</v>
      </c>
      <c r="CC208" s="8" t="str">
        <f t="shared" si="132"/>
        <v>Q4 07A</v>
      </c>
      <c r="CD208" s="8" t="str">
        <f t="shared" si="132"/>
        <v>Q1 08</v>
      </c>
      <c r="CE208" s="8" t="str">
        <f t="shared" si="132"/>
        <v>Q2 08</v>
      </c>
      <c r="CF208" s="8" t="str">
        <f t="shared" ref="CF208:CK208" si="133">CF115</f>
        <v>Q3 08</v>
      </c>
      <c r="CG208" s="8" t="str">
        <f t="shared" si="133"/>
        <v>Q4 08</v>
      </c>
      <c r="CH208" s="8" t="str">
        <f t="shared" si="133"/>
        <v>Q1 09</v>
      </c>
      <c r="CI208" s="8" t="str">
        <f t="shared" si="133"/>
        <v>Q2 09</v>
      </c>
      <c r="CJ208" s="8" t="str">
        <f t="shared" si="133"/>
        <v>Q3 09</v>
      </c>
      <c r="CK208" s="8" t="str">
        <f t="shared" si="133"/>
        <v>Q4 09</v>
      </c>
      <c r="CL208" s="8" t="str">
        <f t="shared" ref="CL208:CQ208" si="134">CL115</f>
        <v>Q1 10</v>
      </c>
      <c r="CM208" s="8" t="str">
        <f t="shared" si="134"/>
        <v>Q2 10</v>
      </c>
      <c r="CN208" s="8" t="str">
        <f t="shared" si="134"/>
        <v>Q3 10</v>
      </c>
      <c r="CO208" s="8" t="str">
        <f t="shared" si="134"/>
        <v>Q4 10</v>
      </c>
      <c r="CP208" s="8" t="str">
        <f t="shared" si="134"/>
        <v>Q1 11</v>
      </c>
      <c r="CQ208" s="8" t="str">
        <f t="shared" si="134"/>
        <v>Q2 11</v>
      </c>
      <c r="CR208" s="8" t="str">
        <f t="shared" ref="CR208:CY208" si="135">CR115</f>
        <v>Q3 11</v>
      </c>
      <c r="CS208" s="8" t="str">
        <f t="shared" si="135"/>
        <v>Q4 11</v>
      </c>
      <c r="CT208" s="8" t="str">
        <f t="shared" si="135"/>
        <v>Q1 12</v>
      </c>
      <c r="CU208" s="8" t="str">
        <f t="shared" si="135"/>
        <v>Q2 12</v>
      </c>
      <c r="CV208" s="8" t="str">
        <f t="shared" si="135"/>
        <v>Q3 12</v>
      </c>
      <c r="CW208" s="8">
        <f t="shared" si="135"/>
        <v>0</v>
      </c>
      <c r="CX208" s="8" t="str">
        <f t="shared" si="135"/>
        <v>Q1 13</v>
      </c>
      <c r="CY208" s="8" t="str">
        <f t="shared" si="135"/>
        <v>Q2 13</v>
      </c>
      <c r="CZ208" s="8" t="str">
        <f>CZ115</f>
        <v>Q3 13</v>
      </c>
      <c r="DA208" s="8" t="str">
        <f>DA115</f>
        <v>Q4 13</v>
      </c>
      <c r="DB208" s="8" t="str">
        <f>DB115</f>
        <v>Q1 14</v>
      </c>
      <c r="DC208" s="8" t="str">
        <f>DC115</f>
        <v>Q2 14</v>
      </c>
    </row>
    <row r="209" spans="1:107">
      <c r="D209" s="2"/>
      <c r="S209" s="7"/>
      <c r="T209" s="7"/>
      <c r="U209" s="7"/>
      <c r="V209" s="7"/>
      <c r="W209" s="107"/>
      <c r="AB209" s="107"/>
      <c r="AG209" s="107"/>
      <c r="AL209" s="107"/>
      <c r="AQ209" s="107"/>
      <c r="AV209" s="107"/>
      <c r="BA209" s="107"/>
      <c r="BF209" s="107"/>
      <c r="BK209" s="107"/>
      <c r="BP209" s="107"/>
      <c r="BQ209" s="107"/>
      <c r="BR209" s="107"/>
      <c r="BS209" s="107"/>
      <c r="BT209" s="107"/>
      <c r="BU209" s="21"/>
      <c r="CB209"/>
      <c r="CC209"/>
      <c r="CD209"/>
      <c r="CE209"/>
      <c r="CF209"/>
      <c r="CG209"/>
      <c r="CH209"/>
      <c r="CI209"/>
      <c r="CJ209"/>
      <c r="CK209"/>
      <c r="CL209"/>
      <c r="CM209"/>
      <c r="CN209"/>
      <c r="CO209"/>
      <c r="CP209"/>
      <c r="CQ209"/>
      <c r="CR209"/>
      <c r="CS209"/>
      <c r="CT209"/>
      <c r="CU209"/>
      <c r="CV209"/>
      <c r="CW209"/>
      <c r="CX209"/>
      <c r="CY209"/>
      <c r="CZ209"/>
      <c r="DA209"/>
    </row>
    <row r="210" spans="1:107">
      <c r="D210" s="4" t="s">
        <v>1086</v>
      </c>
      <c r="G210" s="9">
        <v>41.164999999999999</v>
      </c>
      <c r="H210" s="9">
        <v>41.988999999999997</v>
      </c>
      <c r="I210" s="9">
        <v>41.805</v>
      </c>
      <c r="J210" s="9">
        <v>50.195</v>
      </c>
      <c r="K210" s="9">
        <v>55.743000000000002</v>
      </c>
      <c r="L210" s="9">
        <v>51.802999999999997</v>
      </c>
      <c r="M210" s="9">
        <v>59.624000000000002</v>
      </c>
      <c r="N210" s="9">
        <v>64.632000000000005</v>
      </c>
      <c r="O210" s="9">
        <v>70.296000000000006</v>
      </c>
      <c r="P210" s="9">
        <v>45.491999999999997</v>
      </c>
      <c r="Q210" s="9">
        <v>21.832000000000001</v>
      </c>
      <c r="R210" s="9">
        <v>23.902999999999999</v>
      </c>
      <c r="S210" s="9">
        <v>25</v>
      </c>
      <c r="T210" s="9">
        <v>26.198</v>
      </c>
      <c r="U210" s="9">
        <v>28.251000000000001</v>
      </c>
      <c r="V210" s="9">
        <f>V212-V211</f>
        <v>29.6</v>
      </c>
      <c r="W210" s="133"/>
      <c r="X210" s="9"/>
      <c r="Y210" s="9"/>
      <c r="Z210" s="9"/>
      <c r="AA210" s="9"/>
      <c r="AB210" s="133"/>
      <c r="AC210" s="9"/>
      <c r="AD210" s="9"/>
      <c r="AE210" s="9"/>
      <c r="AF210" s="9"/>
      <c r="AG210" s="133"/>
      <c r="AH210" s="9"/>
      <c r="AI210" s="9"/>
      <c r="AJ210" s="9"/>
      <c r="AK210" s="9"/>
      <c r="AL210" s="133"/>
      <c r="AM210" s="9"/>
      <c r="AN210" s="9"/>
      <c r="AO210" s="9"/>
      <c r="AP210" s="9"/>
      <c r="AQ210" s="133"/>
      <c r="AR210" s="9"/>
      <c r="AS210" s="9"/>
      <c r="AT210" s="9"/>
      <c r="AU210" s="9"/>
      <c r="AV210" s="133"/>
      <c r="AW210" s="9"/>
      <c r="AX210" s="9"/>
      <c r="AY210" s="9"/>
      <c r="AZ210" s="9"/>
      <c r="BA210" s="133"/>
      <c r="BB210" s="9"/>
      <c r="BC210" s="9"/>
      <c r="BD210" s="9"/>
      <c r="BE210" s="9"/>
      <c r="BF210" s="133"/>
      <c r="BG210" s="9"/>
      <c r="BH210" s="9"/>
      <c r="BI210" s="9"/>
      <c r="BJ210" s="9"/>
      <c r="BK210" s="133"/>
      <c r="BL210" s="9"/>
      <c r="BM210" s="9"/>
      <c r="BN210" s="9"/>
      <c r="BO210" s="9"/>
      <c r="BP210" s="133"/>
      <c r="BQ210" s="133"/>
      <c r="BR210" s="133"/>
      <c r="BS210" s="133"/>
      <c r="BT210" s="133"/>
      <c r="BU210" s="9"/>
      <c r="BV210" s="16">
        <f t="shared" ref="BV210:BY211" si="136">S210/O210-1</f>
        <v>-0.64436098782292017</v>
      </c>
      <c r="BW210" s="16">
        <f t="shared" si="136"/>
        <v>-0.42411852633430047</v>
      </c>
      <c r="BX210" s="16">
        <f t="shared" si="136"/>
        <v>0.29401795529497976</v>
      </c>
      <c r="BY210" s="16">
        <f t="shared" si="136"/>
        <v>0.23833828389741885</v>
      </c>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row>
    <row r="211" spans="1:107">
      <c r="D211" s="12" t="s">
        <v>2374</v>
      </c>
      <c r="E211" s="11"/>
      <c r="F211" s="11"/>
      <c r="G211" s="13">
        <v>23.099</v>
      </c>
      <c r="H211" s="13">
        <v>25.466999999999999</v>
      </c>
      <c r="I211" s="13">
        <v>27.896000000000001</v>
      </c>
      <c r="J211" s="13">
        <v>29.14</v>
      </c>
      <c r="K211" s="13">
        <v>30.608000000000001</v>
      </c>
      <c r="L211" s="13">
        <v>29.745999999999999</v>
      </c>
      <c r="M211" s="13">
        <v>28.006</v>
      </c>
      <c r="N211" s="13">
        <v>24.888999999999999</v>
      </c>
      <c r="O211" s="13">
        <v>29.704000000000001</v>
      </c>
      <c r="P211" s="13">
        <v>31.611000000000001</v>
      </c>
      <c r="Q211" s="13">
        <v>30.49</v>
      </c>
      <c r="R211" s="13">
        <v>28.913</v>
      </c>
      <c r="S211" s="13">
        <v>28.350999999999999</v>
      </c>
      <c r="T211" s="13">
        <v>28.82</v>
      </c>
      <c r="U211" s="13">
        <v>24.395</v>
      </c>
      <c r="V211" s="13">
        <v>8.6</v>
      </c>
      <c r="W211" s="87"/>
      <c r="X211" s="13"/>
      <c r="Y211" s="13"/>
      <c r="Z211" s="13"/>
      <c r="AA211" s="13"/>
      <c r="AB211" s="87"/>
      <c r="AC211" s="13"/>
      <c r="AD211" s="13"/>
      <c r="AE211" s="13"/>
      <c r="AF211" s="13"/>
      <c r="AG211" s="87"/>
      <c r="AH211" s="13"/>
      <c r="AI211" s="13"/>
      <c r="AJ211" s="13"/>
      <c r="AK211" s="13"/>
      <c r="AL211" s="87"/>
      <c r="AM211" s="13"/>
      <c r="AN211" s="13"/>
      <c r="AO211" s="13"/>
      <c r="AP211" s="13"/>
      <c r="AQ211" s="87"/>
      <c r="AR211" s="13"/>
      <c r="AS211" s="13"/>
      <c r="AT211" s="13"/>
      <c r="AU211" s="13"/>
      <c r="AV211" s="87"/>
      <c r="AW211" s="13"/>
      <c r="AX211" s="13"/>
      <c r="AY211" s="13"/>
      <c r="AZ211" s="13"/>
      <c r="BA211" s="87"/>
      <c r="BB211" s="13"/>
      <c r="BC211" s="13"/>
      <c r="BD211" s="13"/>
      <c r="BE211" s="13"/>
      <c r="BF211" s="87"/>
      <c r="BG211" s="13"/>
      <c r="BH211" s="13"/>
      <c r="BI211" s="13"/>
      <c r="BJ211" s="13"/>
      <c r="BK211" s="87"/>
      <c r="BL211" s="13"/>
      <c r="BM211" s="13"/>
      <c r="BN211" s="13"/>
      <c r="BO211" s="13"/>
      <c r="BP211" s="87"/>
      <c r="BQ211" s="87"/>
      <c r="BR211" s="87"/>
      <c r="BS211" s="87"/>
      <c r="BT211" s="87"/>
      <c r="BU211" s="13"/>
      <c r="BV211" s="20">
        <f t="shared" si="136"/>
        <v>-4.5549420953406972E-2</v>
      </c>
      <c r="BW211" s="20">
        <f t="shared" si="136"/>
        <v>-8.8292050235677433E-2</v>
      </c>
      <c r="BX211" s="20">
        <f t="shared" si="136"/>
        <v>-0.19990160708428995</v>
      </c>
      <c r="BY211" s="20">
        <f t="shared" si="136"/>
        <v>-0.70255594369314844</v>
      </c>
      <c r="BZ211" s="20"/>
      <c r="CA211" s="20"/>
      <c r="CB211" s="20"/>
      <c r="CC211" s="20"/>
      <c r="CD211" s="20"/>
      <c r="CE211" s="20"/>
      <c r="CF211" s="20"/>
      <c r="CG211" s="20"/>
      <c r="CH211" s="20"/>
      <c r="CI211" s="20"/>
      <c r="CJ211" s="20"/>
      <c r="CK211" s="20"/>
      <c r="CL211" s="20"/>
      <c r="CM211" s="20"/>
      <c r="CN211" s="20"/>
      <c r="CO211" s="20"/>
      <c r="CP211" s="16"/>
      <c r="CQ211" s="16"/>
      <c r="CR211" s="16"/>
      <c r="CS211" s="16"/>
      <c r="CT211" s="16"/>
      <c r="CU211" s="16"/>
      <c r="CV211" s="16"/>
      <c r="CW211" s="16"/>
      <c r="CX211" s="16"/>
      <c r="CY211" s="16"/>
      <c r="CZ211" s="16"/>
      <c r="DA211" s="16"/>
      <c r="DB211" s="16"/>
    </row>
    <row r="212" spans="1:107">
      <c r="D212" s="4" t="s">
        <v>1163</v>
      </c>
      <c r="G212" s="9"/>
      <c r="H212" s="9"/>
      <c r="I212" s="9"/>
      <c r="J212" s="9"/>
      <c r="K212" s="9"/>
      <c r="L212" s="9"/>
      <c r="M212" s="9"/>
      <c r="N212" s="9"/>
      <c r="O212" s="9"/>
      <c r="P212" s="9"/>
      <c r="Q212" s="9"/>
      <c r="R212" s="9"/>
      <c r="S212" s="291">
        <f>SUM(S210:S211)</f>
        <v>53.350999999999999</v>
      </c>
      <c r="T212" s="291">
        <f>SUM(T210:T211)</f>
        <v>55.018000000000001</v>
      </c>
      <c r="U212" s="291">
        <f>SUM(U210:U211)</f>
        <v>52.646000000000001</v>
      </c>
      <c r="V212" s="201">
        <v>38.200000000000003</v>
      </c>
      <c r="W212" s="133"/>
      <c r="X212" s="31">
        <v>42.597999999999999</v>
      </c>
      <c r="Y212" s="31">
        <v>47.98</v>
      </c>
      <c r="Z212" s="31">
        <v>49.68</v>
      </c>
      <c r="AA212" s="31">
        <v>54.5</v>
      </c>
      <c r="AB212" s="133">
        <f>Div!G28</f>
        <v>194.75800000000001</v>
      </c>
      <c r="AC212" s="31">
        <v>63.377000000000002</v>
      </c>
      <c r="AD212" s="31">
        <v>66.078000000000003</v>
      </c>
      <c r="AE212" s="31">
        <v>66.691000000000003</v>
      </c>
      <c r="AF212" s="31">
        <v>65</v>
      </c>
      <c r="AG212" s="133">
        <f>Div!H28</f>
        <v>261.14600000000002</v>
      </c>
      <c r="AH212" s="31">
        <v>67.5</v>
      </c>
      <c r="AI212" s="31"/>
      <c r="AJ212" s="31"/>
      <c r="AK212" s="31"/>
      <c r="AL212" s="133"/>
      <c r="AM212" s="31"/>
      <c r="AN212" s="31"/>
      <c r="AO212" s="31"/>
      <c r="AP212" s="31"/>
      <c r="AQ212" s="133"/>
      <c r="AR212" s="31"/>
      <c r="AS212" s="31"/>
      <c r="AT212" s="31"/>
      <c r="AU212" s="31"/>
      <c r="AV212" s="133"/>
      <c r="AW212" s="31"/>
      <c r="AX212" s="31"/>
      <c r="AY212" s="31"/>
      <c r="AZ212" s="31"/>
      <c r="BA212" s="133"/>
      <c r="BB212" s="31"/>
      <c r="BC212" s="31"/>
      <c r="BD212" s="31"/>
      <c r="BE212" s="31"/>
      <c r="BF212" s="133"/>
      <c r="BG212" s="31"/>
      <c r="BH212" s="31"/>
      <c r="BI212" s="31"/>
      <c r="BJ212" s="31"/>
      <c r="BK212" s="133"/>
      <c r="BL212" s="31"/>
      <c r="BM212" s="31"/>
      <c r="BN212" s="31"/>
      <c r="BO212" s="31"/>
      <c r="BP212" s="133"/>
      <c r="BQ212" s="133"/>
      <c r="BR212" s="133"/>
      <c r="BS212" s="133"/>
      <c r="BT212" s="133"/>
      <c r="BU212" s="9"/>
      <c r="BV212" s="16"/>
      <c r="BW212" s="16"/>
      <c r="BX212" s="16"/>
      <c r="BY212" s="16"/>
      <c r="BZ212" s="16"/>
      <c r="CA212" s="16"/>
      <c r="CB212" s="16"/>
      <c r="CC212" s="16">
        <f>AA212/V212-1</f>
        <v>0.42670157068062808</v>
      </c>
      <c r="CD212" s="16">
        <f>AC212/X212-1</f>
        <v>0.48779285412460682</v>
      </c>
      <c r="CE212" s="16">
        <f>AD212/Y212-1</f>
        <v>0.37719883284701972</v>
      </c>
      <c r="CF212" s="16">
        <f>AE212/Z212-1</f>
        <v>0.34241143317230271</v>
      </c>
      <c r="CG212" s="16">
        <f>AF212/AA212-1</f>
        <v>0.19266055045871555</v>
      </c>
      <c r="CH212" s="16">
        <f>AH212/AC212-1</f>
        <v>6.5055146188680357E-2</v>
      </c>
      <c r="CI212" s="16">
        <f>AI212/AD212-1</f>
        <v>-1</v>
      </c>
      <c r="CJ212" s="16"/>
      <c r="CK212" s="16"/>
      <c r="CL212" s="16"/>
      <c r="CM212" s="16"/>
      <c r="CN212" s="16"/>
      <c r="CO212" s="16"/>
      <c r="CP212" s="16"/>
      <c r="CQ212" s="16"/>
      <c r="CR212" s="16"/>
      <c r="CS212" s="16"/>
      <c r="CT212" s="16"/>
      <c r="CU212" s="16"/>
      <c r="CV212" s="16"/>
      <c r="CW212" s="16"/>
      <c r="CX212" s="16"/>
      <c r="CY212" s="16"/>
      <c r="CZ212" s="16"/>
      <c r="DA212" s="16"/>
      <c r="DB212" s="16"/>
    </row>
    <row r="213" spans="1:107">
      <c r="D213" s="4"/>
      <c r="G213" s="9"/>
      <c r="H213" s="9"/>
      <c r="I213" s="9"/>
      <c r="J213" s="9"/>
      <c r="K213" s="9"/>
      <c r="L213" s="9"/>
      <c r="M213" s="9"/>
      <c r="N213" s="9"/>
      <c r="O213" s="9"/>
      <c r="P213" s="9"/>
      <c r="Q213" s="9"/>
      <c r="R213" s="9"/>
      <c r="S213" s="291"/>
      <c r="T213" s="291"/>
      <c r="U213" s="291"/>
      <c r="V213" s="201"/>
      <c r="W213" s="133"/>
      <c r="X213" s="31"/>
      <c r="Y213" s="31"/>
      <c r="Z213" s="31"/>
      <c r="AA213" s="31"/>
      <c r="AB213" s="133"/>
      <c r="AC213" s="31"/>
      <c r="AD213" s="31"/>
      <c r="AE213" s="31"/>
      <c r="AF213" s="31"/>
      <c r="AG213" s="133"/>
      <c r="AH213" s="31"/>
      <c r="AI213" s="31"/>
      <c r="AJ213" s="31"/>
      <c r="AK213" s="31"/>
      <c r="AL213" s="133"/>
      <c r="AM213" s="31"/>
      <c r="AN213" s="31"/>
      <c r="AO213" s="31"/>
      <c r="AP213" s="31"/>
      <c r="AQ213" s="133"/>
      <c r="AR213" s="31"/>
      <c r="AV213" s="133"/>
      <c r="BA213" s="133"/>
      <c r="BF213" s="133"/>
      <c r="BK213" s="133"/>
      <c r="BP213" s="133"/>
      <c r="BQ213" s="133"/>
      <c r="BR213" s="133"/>
      <c r="BS213" s="133"/>
      <c r="BT213" s="133"/>
      <c r="BU213" s="9"/>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row>
    <row r="214" spans="1:107">
      <c r="D214" s="4" t="str">
        <f>D148</f>
        <v>El Sal (in $)</v>
      </c>
      <c r="G214" s="9"/>
      <c r="H214" s="9"/>
      <c r="I214" s="9"/>
      <c r="J214" s="9"/>
      <c r="K214" s="9"/>
      <c r="L214" s="9"/>
      <c r="M214" s="9"/>
      <c r="N214" s="9"/>
      <c r="O214" s="9"/>
      <c r="P214" s="9"/>
      <c r="Q214" s="9"/>
      <c r="R214" s="9"/>
      <c r="S214" s="291"/>
      <c r="T214" s="291"/>
      <c r="U214" s="291"/>
      <c r="V214" s="201"/>
      <c r="W214" s="133"/>
      <c r="X214" s="31"/>
      <c r="Y214" s="31"/>
      <c r="Z214" s="31"/>
      <c r="AA214" s="31"/>
      <c r="AB214" s="133"/>
      <c r="AC214" s="31"/>
      <c r="AD214" s="31"/>
      <c r="AE214" s="31">
        <f>AE148</f>
        <v>108</v>
      </c>
      <c r="AF214" s="36">
        <f>AE214/$AE$217</f>
        <v>0.31785927663469432</v>
      </c>
      <c r="AG214" s="133"/>
      <c r="AH214" s="31">
        <f>AH148</f>
        <v>103</v>
      </c>
      <c r="AI214" s="31">
        <f>AI148</f>
        <v>108</v>
      </c>
      <c r="AJ214" s="31">
        <f>AJ148</f>
        <v>106</v>
      </c>
      <c r="AK214" s="31">
        <f>AK148</f>
        <v>107</v>
      </c>
      <c r="AL214" s="133">
        <f>SUM(AH214:AK214)</f>
        <v>424</v>
      </c>
      <c r="AM214" s="31">
        <f>AM148</f>
        <v>98</v>
      </c>
      <c r="AN214" s="31">
        <f>AN148</f>
        <v>100</v>
      </c>
      <c r="AO214" s="31">
        <f>AO148</f>
        <v>95</v>
      </c>
      <c r="AP214" s="403">
        <f>AP148</f>
        <v>96</v>
      </c>
      <c r="AQ214" s="133" t="e">
        <f>CA!#REF!</f>
        <v>#REF!</v>
      </c>
      <c r="AR214" s="31">
        <v>95</v>
      </c>
      <c r="AS214" s="31">
        <f>AS217-AS215-AS216</f>
        <v>97.205240148146117</v>
      </c>
      <c r="AT214" s="31">
        <f>AT217-AT215-AT216</f>
        <v>96.228933349858664</v>
      </c>
      <c r="AU214" s="31"/>
      <c r="AV214" s="133"/>
      <c r="AW214" s="31"/>
      <c r="AX214" s="31"/>
      <c r="AY214" s="31"/>
      <c r="AZ214" s="31"/>
      <c r="BA214" s="133"/>
      <c r="BB214" s="31"/>
      <c r="BC214" s="31"/>
      <c r="BD214" s="31"/>
      <c r="BE214" s="31"/>
      <c r="BF214" s="133"/>
      <c r="BG214" s="31"/>
      <c r="BH214" s="31"/>
      <c r="BI214" s="31"/>
      <c r="BJ214" s="31"/>
      <c r="BK214" s="133"/>
      <c r="BL214" s="31"/>
      <c r="BM214" s="31"/>
      <c r="BN214" s="31"/>
      <c r="BO214" s="31"/>
      <c r="BP214" s="133"/>
      <c r="BQ214" s="133"/>
      <c r="BR214" s="133"/>
      <c r="BS214" s="133"/>
      <c r="BT214" s="133"/>
      <c r="BU214" s="9"/>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row>
    <row r="215" spans="1:107">
      <c r="D215" s="4" t="str">
        <f>D149</f>
        <v>Guatemala</v>
      </c>
      <c r="G215" s="9"/>
      <c r="H215" s="9"/>
      <c r="I215" s="9"/>
      <c r="J215" s="9"/>
      <c r="K215" s="9"/>
      <c r="L215" s="9"/>
      <c r="M215" s="9"/>
      <c r="N215" s="9"/>
      <c r="O215" s="9"/>
      <c r="P215" s="9"/>
      <c r="Q215" s="9"/>
      <c r="R215" s="9"/>
      <c r="S215" s="291"/>
      <c r="T215" s="291"/>
      <c r="U215" s="291"/>
      <c r="V215" s="201"/>
      <c r="W215" s="133"/>
      <c r="X215" s="31"/>
      <c r="Y215" s="31"/>
      <c r="Z215" s="31"/>
      <c r="AA215" s="31"/>
      <c r="AB215" s="133"/>
      <c r="AC215" s="31"/>
      <c r="AD215" s="31"/>
      <c r="AE215" s="31">
        <f>AE149*$B$123/AE450</f>
        <v>127.20770649370525</v>
      </c>
      <c r="AF215" s="36">
        <f>AE215/$AE$217</f>
        <v>0.37439027378192274</v>
      </c>
      <c r="AG215" s="133"/>
      <c r="AH215" s="31">
        <f>AH149*$B$123/AH450</f>
        <v>122.06803031704577</v>
      </c>
      <c r="AI215" s="31">
        <f>AI149*$B$123/AI450</f>
        <v>121.52932167383034</v>
      </c>
      <c r="AJ215" s="31">
        <f>AJ149*$B$123/AJ450</f>
        <v>125.32232349217293</v>
      </c>
      <c r="AK215" s="31">
        <f>AK149*$B$123/AK450</f>
        <v>127.77272456937696</v>
      </c>
      <c r="AL215" s="133">
        <f>SUM(AH215:AK215)</f>
        <v>496.69240005242602</v>
      </c>
      <c r="AM215" s="31">
        <f>AM149*$B$123/AM450</f>
        <v>126.99074318999571</v>
      </c>
      <c r="AN215" s="31">
        <f>AN149*$B$123/AN450</f>
        <v>133.44155528389661</v>
      </c>
      <c r="AO215" s="31">
        <f>AO149*$B$123/AO450</f>
        <v>135.98135685370426</v>
      </c>
      <c r="AP215" s="31">
        <f>AP149*$B$123/AP450</f>
        <v>146.3401477710141</v>
      </c>
      <c r="AQ215" s="133" t="e">
        <f>CA!#REF!</f>
        <v>#REF!</v>
      </c>
      <c r="AR215" s="31">
        <f>AR149*$B$123/AR450</f>
        <v>145.86200922720997</v>
      </c>
      <c r="AS215" s="31">
        <f>AS149*$B$123/AS450</f>
        <v>148.35997788037599</v>
      </c>
      <c r="AT215" s="31">
        <f>AT149*$B$123/AT450</f>
        <v>149.54765831958815</v>
      </c>
      <c r="AU215" s="31"/>
      <c r="AV215" s="133"/>
      <c r="AW215" s="31"/>
      <c r="AX215" s="31"/>
      <c r="AY215" s="31"/>
      <c r="AZ215" s="31"/>
      <c r="BA215" s="133"/>
      <c r="BB215" s="31"/>
      <c r="BC215" s="31"/>
      <c r="BD215" s="31"/>
      <c r="BE215" s="31"/>
      <c r="BF215" s="133"/>
      <c r="BG215" s="31"/>
      <c r="BH215" s="31"/>
      <c r="BI215" s="31"/>
      <c r="BJ215" s="31"/>
      <c r="BK215" s="133"/>
      <c r="BL215" s="31"/>
      <c r="BM215" s="31"/>
      <c r="BN215" s="31"/>
      <c r="BO215" s="31"/>
      <c r="BP215" s="133"/>
      <c r="BQ215" s="133"/>
      <c r="BR215" s="133"/>
      <c r="BS215" s="133"/>
      <c r="BT215" s="133"/>
      <c r="BU215" s="9"/>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row>
    <row r="216" spans="1:107">
      <c r="D216" s="12" t="str">
        <f>D150</f>
        <v>Honduras</v>
      </c>
      <c r="E216" s="11"/>
      <c r="F216" s="11"/>
      <c r="G216" s="13"/>
      <c r="H216" s="13"/>
      <c r="I216" s="13"/>
      <c r="J216" s="13"/>
      <c r="K216" s="13"/>
      <c r="L216" s="13"/>
      <c r="M216" s="13"/>
      <c r="N216" s="13"/>
      <c r="O216" s="13"/>
      <c r="P216" s="13"/>
      <c r="Q216" s="13"/>
      <c r="R216" s="13"/>
      <c r="S216" s="343"/>
      <c r="T216" s="343"/>
      <c r="U216" s="343"/>
      <c r="V216" s="344"/>
      <c r="W216" s="87"/>
      <c r="X216" s="93"/>
      <c r="Y216" s="93"/>
      <c r="Z216" s="93"/>
      <c r="AA216" s="93"/>
      <c r="AB216" s="87"/>
      <c r="AC216" s="93"/>
      <c r="AD216" s="93"/>
      <c r="AE216" s="93">
        <f>AE150*$B$124/AE451</f>
        <v>104.907911470052</v>
      </c>
      <c r="AF216" s="136">
        <f>AE216/$AE$217</f>
        <v>0.30875882271414146</v>
      </c>
      <c r="AG216" s="87"/>
      <c r="AH216" s="93">
        <f>AH107</f>
        <v>154.08408408408394</v>
      </c>
      <c r="AI216" s="93">
        <f>AI107</f>
        <v>155.24324324324334</v>
      </c>
      <c r="AJ216" s="93">
        <f>AJ107</f>
        <v>143.82282282282293</v>
      </c>
      <c r="AK216" s="93">
        <f>AK107</f>
        <v>146.44744744744727</v>
      </c>
      <c r="AL216" s="87">
        <f>SUM(AH216:AK216)</f>
        <v>599.59759759759754</v>
      </c>
      <c r="AM216" s="93">
        <f>AM107</f>
        <v>146.39639639639643</v>
      </c>
      <c r="AN216" s="93">
        <f>AN107</f>
        <v>146.54354354354385</v>
      </c>
      <c r="AO216" s="13">
        <f>AO150/AO451</f>
        <v>146.01746493781425</v>
      </c>
      <c r="AP216" s="13">
        <f>AP150/AP451</f>
        <v>151.04585566911115</v>
      </c>
      <c r="AQ216" s="87" t="e">
        <f>CA!#REF!</f>
        <v>#REF!</v>
      </c>
      <c r="AR216" s="13">
        <f>AR150/AR451</f>
        <v>150.833553850225</v>
      </c>
      <c r="AS216" s="13">
        <f>AS150/AS451</f>
        <v>150.83478197147787</v>
      </c>
      <c r="AT216" s="13">
        <f>AT150/AT451</f>
        <v>152.50440833055319</v>
      </c>
      <c r="AU216" s="13"/>
      <c r="AV216" s="87"/>
      <c r="AW216" s="13"/>
      <c r="AX216" s="13"/>
      <c r="AY216" s="13"/>
      <c r="AZ216" s="13"/>
      <c r="BA216" s="87"/>
      <c r="BB216" s="13"/>
      <c r="BC216" s="13"/>
      <c r="BD216" s="13"/>
      <c r="BE216" s="13"/>
      <c r="BF216" s="87"/>
      <c r="BG216" s="13"/>
      <c r="BH216" s="13"/>
      <c r="BI216" s="13"/>
      <c r="BJ216" s="13"/>
      <c r="BK216" s="87"/>
      <c r="BL216" s="13"/>
      <c r="BM216" s="13"/>
      <c r="BN216" s="13"/>
      <c r="BO216" s="13"/>
      <c r="BP216" s="87"/>
      <c r="BQ216" s="87"/>
      <c r="BR216" s="87"/>
      <c r="BS216" s="87"/>
      <c r="BT216" s="87"/>
      <c r="BU216" s="13"/>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row>
    <row r="217" spans="1:107">
      <c r="D217" s="2" t="s">
        <v>3023</v>
      </c>
      <c r="E217" s="2"/>
      <c r="F217" s="2"/>
      <c r="G217" s="10">
        <v>29.295000000000002</v>
      </c>
      <c r="H217" s="10">
        <v>30.693000000000001</v>
      </c>
      <c r="I217" s="10">
        <v>37.993000000000002</v>
      </c>
      <c r="J217" s="10">
        <v>67.414000000000001</v>
      </c>
      <c r="K217" s="10">
        <v>68.784000000000006</v>
      </c>
      <c r="L217" s="10">
        <v>70.691000000000003</v>
      </c>
      <c r="M217" s="10">
        <v>77.66</v>
      </c>
      <c r="N217" s="10">
        <v>87.888999999999996</v>
      </c>
      <c r="O217" s="10">
        <v>88.591999999999999</v>
      </c>
      <c r="P217" s="10">
        <v>101.652</v>
      </c>
      <c r="Q217" s="10">
        <v>120.37</v>
      </c>
      <c r="R217" s="10">
        <v>141.98599999999999</v>
      </c>
      <c r="S217" s="10">
        <v>156.56700000000001</v>
      </c>
      <c r="T217" s="10">
        <v>181.42</v>
      </c>
      <c r="U217" s="10">
        <v>207.25800000000001</v>
      </c>
      <c r="V217" s="10">
        <v>250.86600000000001</v>
      </c>
      <c r="W217" s="181">
        <f>Div!F29</f>
        <v>796.11099999999999</v>
      </c>
      <c r="X217" s="10">
        <v>249.47499999999999</v>
      </c>
      <c r="Y217" s="10">
        <v>270.52</v>
      </c>
      <c r="Z217" s="10">
        <v>300.15899999999999</v>
      </c>
      <c r="AA217" s="10">
        <v>329.2</v>
      </c>
      <c r="AB217" s="181">
        <f>Div!G29</f>
        <v>1149.354</v>
      </c>
      <c r="AC217" s="10">
        <v>340.12700000000001</v>
      </c>
      <c r="AD217" s="10">
        <v>342.03899999999999</v>
      </c>
      <c r="AE217" s="10">
        <v>339.77300000000002</v>
      </c>
      <c r="AF217" s="10">
        <v>355</v>
      </c>
      <c r="AG217" s="181">
        <f>Div!H29</f>
        <v>1376.9389999999999</v>
      </c>
      <c r="AH217" s="317">
        <f>SUM(AH214:AH216)</f>
        <v>379.15211440112972</v>
      </c>
      <c r="AI217" s="317">
        <f>SUM(AI214:AI216)</f>
        <v>384.77256491707368</v>
      </c>
      <c r="AJ217" s="317">
        <f>SUM(AJ214:AJ216)</f>
        <v>375.14514631499583</v>
      </c>
      <c r="AK217" s="317">
        <f>SUM(AK214:AK216)</f>
        <v>381.22017201682422</v>
      </c>
      <c r="AL217" s="181">
        <f>Div!I29</f>
        <v>1520.2899976500235</v>
      </c>
      <c r="AM217" s="317">
        <f>SUM(AM214:AM216)</f>
        <v>371.38713958639215</v>
      </c>
      <c r="AN217" s="317">
        <f>SUM(AN214:AN216)</f>
        <v>379.98509882744042</v>
      </c>
      <c r="AO217" s="317">
        <v>375.87099999999998</v>
      </c>
      <c r="AP217" s="317">
        <f>387.865+4</f>
        <v>391.86500000000001</v>
      </c>
      <c r="AQ217" s="181">
        <f>Div!J29</f>
        <v>1519.1082384138324</v>
      </c>
      <c r="AR217" s="10">
        <f>AR219-AR218</f>
        <v>395.87799999999999</v>
      </c>
      <c r="AS217" s="10">
        <f>AS219-AS218</f>
        <v>396.4</v>
      </c>
      <c r="AT217" s="10">
        <f>AT219-AT218</f>
        <v>398.28100000000001</v>
      </c>
      <c r="AU217" s="10">
        <f>AU219-AU218</f>
        <v>411</v>
      </c>
      <c r="AV217" s="181">
        <f>Div!K29</f>
        <v>1842.1333753715019</v>
      </c>
      <c r="AW217" s="10">
        <f>AW219-AW218</f>
        <v>402</v>
      </c>
      <c r="AX217" s="10">
        <f>AX219-AX218</f>
        <v>402</v>
      </c>
      <c r="AY217" s="10">
        <f>AY219-AY218</f>
        <v>394</v>
      </c>
      <c r="AZ217" s="10">
        <f>AZ219-AZ218</f>
        <v>404</v>
      </c>
      <c r="BA217" s="181">
        <f>Div!L29</f>
        <v>2384.0375241523561</v>
      </c>
      <c r="BB217" s="10">
        <f>BB219-BB218</f>
        <v>515.88400000000001</v>
      </c>
      <c r="BC217" s="10"/>
      <c r="BD217" s="10"/>
      <c r="BE217" s="10"/>
      <c r="BF217" s="181">
        <f>Div!M29</f>
        <v>2405.4035208227074</v>
      </c>
      <c r="BG217" s="10"/>
      <c r="BH217" s="10"/>
      <c r="BI217" s="10"/>
      <c r="BJ217" s="10"/>
      <c r="BK217" s="181">
        <f>Div!N29</f>
        <v>2460.9410829557714</v>
      </c>
      <c r="BL217" s="10"/>
      <c r="BM217" s="10"/>
      <c r="BN217" s="10"/>
      <c r="BO217" s="10"/>
      <c r="BP217" s="181">
        <f>Div!O29</f>
        <v>2555.8702045237287</v>
      </c>
      <c r="BQ217" s="181"/>
      <c r="BR217" s="181"/>
      <c r="BS217" s="181"/>
      <c r="BT217" s="181"/>
      <c r="BU217" s="10"/>
      <c r="BV217" s="5">
        <f>S217/O217-1</f>
        <v>0.76728147011016801</v>
      </c>
      <c r="BW217" s="5">
        <f>T217/P217-1</f>
        <v>0.78471648368945024</v>
      </c>
      <c r="BX217" s="5">
        <f>U217/Q217-1</f>
        <v>0.72184099027997006</v>
      </c>
      <c r="BY217" s="5">
        <f>V217/R217-1</f>
        <v>0.76683616694603707</v>
      </c>
      <c r="BZ217" s="5">
        <f>X217/S217-1</f>
        <v>0.59340729527933722</v>
      </c>
      <c r="CA217" s="5">
        <f>Y217/T217-1</f>
        <v>0.49112556498732229</v>
      </c>
      <c r="CB217" s="5">
        <f>Z217/U217-1</f>
        <v>0.44823842746721465</v>
      </c>
      <c r="CC217" s="5">
        <f>AA217/V217-1</f>
        <v>0.31225435092838394</v>
      </c>
      <c r="CD217" s="5">
        <f>AC217/X217-1</f>
        <v>0.36337107926645973</v>
      </c>
      <c r="CE217" s="5">
        <f>AD217/Y217-1</f>
        <v>0.26437601656069787</v>
      </c>
      <c r="CF217" s="5">
        <f>AE217/Z217-1</f>
        <v>0.13197671900559382</v>
      </c>
      <c r="CG217" s="5">
        <f>AF217/AA217-1</f>
        <v>7.8371810449574753E-2</v>
      </c>
      <c r="CH217" s="5">
        <f>AH217/AC217-1</f>
        <v>0.11473689063535009</v>
      </c>
      <c r="CI217" s="5">
        <f>AI217/AD217-1</f>
        <v>0.12493769692074208</v>
      </c>
      <c r="CJ217" s="5">
        <f>AJ217/AE217-1</f>
        <v>0.10410523000649197</v>
      </c>
      <c r="CK217" s="5">
        <f>AK217/AF217-1</f>
        <v>7.3859639484011863E-2</v>
      </c>
      <c r="CL217" s="5">
        <f>AM217/AH217-1</f>
        <v>-2.0479840464564858E-2</v>
      </c>
      <c r="CM217" s="5">
        <f>AN217/AI217-1</f>
        <v>-1.244232704237902E-2</v>
      </c>
      <c r="CN217" s="5">
        <f>AO217/AJ217-1</f>
        <v>1.9348609255220861E-3</v>
      </c>
      <c r="CO217" s="5">
        <f>AP217/AK217-1</f>
        <v>2.7923044908300332E-2</v>
      </c>
      <c r="CP217" s="5">
        <f>AR217/AM217-1</f>
        <v>6.5944287787894185E-2</v>
      </c>
      <c r="CQ217" s="5">
        <f>AS217/AN217-1</f>
        <v>4.3198802329914354E-2</v>
      </c>
      <c r="CR217" s="5">
        <f>AT217/AO217-1</f>
        <v>5.9621519085005348E-2</v>
      </c>
      <c r="CS217" s="5">
        <f>AU217/AP217-1</f>
        <v>4.8830592168221276E-2</v>
      </c>
      <c r="CT217" s="5">
        <f>AW217/AR217-1</f>
        <v>1.5464360232192886E-2</v>
      </c>
      <c r="CU217" s="5">
        <f>AX217/AS217-1</f>
        <v>1.4127144298688332E-2</v>
      </c>
      <c r="CV217" s="5">
        <f>AY217/AT217-1</f>
        <v>-1.074869250604471E-2</v>
      </c>
      <c r="CW217" s="5">
        <f>AZ217/AU217-1</f>
        <v>-1.7031630170316281E-2</v>
      </c>
      <c r="CX217" s="5">
        <f>BB217/AW217-1</f>
        <v>0.28329353233830856</v>
      </c>
      <c r="CY217" s="5">
        <f>BC217/AX217-1</f>
        <v>-1</v>
      </c>
      <c r="CZ217" s="5">
        <f>BD217/AY217-1</f>
        <v>-1</v>
      </c>
      <c r="DA217" s="5">
        <f>BE217/AZ217-1</f>
        <v>-1</v>
      </c>
      <c r="DB217" s="5">
        <f>BG217/BB217-1</f>
        <v>-1</v>
      </c>
      <c r="DC217" s="5" t="e">
        <f>BH217/BC217-1</f>
        <v>#DIV/0!</v>
      </c>
    </row>
    <row r="218" spans="1:107" s="21" customFormat="1">
      <c r="A218"/>
      <c r="B218"/>
      <c r="C218"/>
      <c r="D218" s="12" t="s">
        <v>1195</v>
      </c>
      <c r="E218" s="11"/>
      <c r="F218" s="11"/>
      <c r="G218" s="13"/>
      <c r="H218" s="13"/>
      <c r="I218" s="13"/>
      <c r="J218" s="13"/>
      <c r="K218" s="13"/>
      <c r="L218" s="13"/>
      <c r="M218" s="13"/>
      <c r="N218" s="13"/>
      <c r="O218" s="13"/>
      <c r="P218" s="13"/>
      <c r="Q218" s="13"/>
      <c r="R218" s="13"/>
      <c r="S218" s="13"/>
      <c r="T218" s="13"/>
      <c r="U218" s="13"/>
      <c r="V218" s="13"/>
      <c r="W218" s="87"/>
      <c r="X218" s="13"/>
      <c r="Y218" s="13"/>
      <c r="Z218" s="13"/>
      <c r="AA218" s="13"/>
      <c r="AB218" s="87"/>
      <c r="AC218" s="13"/>
      <c r="AD218" s="13"/>
      <c r="AE218" s="13"/>
      <c r="AF218" s="13">
        <v>43</v>
      </c>
      <c r="AG218" s="87">
        <f>Div!H34</f>
        <v>43</v>
      </c>
      <c r="AH218" s="13">
        <v>43.3</v>
      </c>
      <c r="AI218" s="13">
        <v>50.2</v>
      </c>
      <c r="AJ218" s="13">
        <v>52</v>
      </c>
      <c r="AK218" s="13">
        <v>53.2</v>
      </c>
      <c r="AL218" s="87">
        <f>Div!I34</f>
        <v>199</v>
      </c>
      <c r="AM218" s="13">
        <v>53.9</v>
      </c>
      <c r="AN218" s="13">
        <v>55.554000000000002</v>
      </c>
      <c r="AO218" s="13">
        <v>56.597999999999999</v>
      </c>
      <c r="AP218" s="13">
        <v>59.404000000000003</v>
      </c>
      <c r="AQ218" s="87">
        <f>Div!J34</f>
        <v>225.45600000000002</v>
      </c>
      <c r="AR218" s="13">
        <v>59</v>
      </c>
      <c r="AS218" s="13">
        <v>60</v>
      </c>
      <c r="AT218" s="13">
        <v>62</v>
      </c>
      <c r="AU218" s="13">
        <v>67</v>
      </c>
      <c r="AV218" s="87">
        <f>Div!K34</f>
        <v>0</v>
      </c>
      <c r="AW218" s="13">
        <v>73</v>
      </c>
      <c r="AX218" s="13">
        <v>74</v>
      </c>
      <c r="AY218" s="13">
        <v>75</v>
      </c>
      <c r="AZ218" s="13">
        <v>77</v>
      </c>
      <c r="BA218" s="87">
        <f>Div!L34</f>
        <v>0</v>
      </c>
      <c r="BB218" s="13">
        <v>78</v>
      </c>
      <c r="BC218" s="13"/>
      <c r="BD218" s="13"/>
      <c r="BE218" s="13"/>
      <c r="BF218" s="87">
        <f>Div!M34</f>
        <v>0</v>
      </c>
      <c r="BG218" s="13"/>
      <c r="BH218" s="13"/>
      <c r="BI218" s="13"/>
      <c r="BJ218" s="13"/>
      <c r="BK218" s="87">
        <f>Div!N34</f>
        <v>0</v>
      </c>
      <c r="BL218" s="13"/>
      <c r="BM218" s="13"/>
      <c r="BN218" s="13"/>
      <c r="BO218" s="13"/>
      <c r="BP218" s="87">
        <f>Div!O34</f>
        <v>0</v>
      </c>
      <c r="BQ218" s="87"/>
      <c r="BR218" s="87"/>
      <c r="BS218" s="87"/>
      <c r="BT218" s="87"/>
      <c r="BU218" s="13"/>
      <c r="BV218" s="20"/>
      <c r="BW218" s="20"/>
      <c r="BX218" s="20"/>
      <c r="BY218" s="20"/>
      <c r="BZ218" s="20"/>
      <c r="CA218" s="20"/>
      <c r="CB218" s="20"/>
      <c r="CC218" s="20"/>
      <c r="CD218" s="20"/>
      <c r="CE218" s="20"/>
      <c r="CF218" s="20"/>
      <c r="CG218" s="20"/>
      <c r="CH218" s="20"/>
      <c r="CI218" s="20"/>
      <c r="CJ218" s="20"/>
      <c r="CK218" s="20"/>
      <c r="CL218" s="20"/>
      <c r="CM218" s="20"/>
      <c r="CN218" s="20"/>
      <c r="CO218" s="20"/>
      <c r="CP218" s="5"/>
      <c r="CQ218" s="5"/>
      <c r="CR218" s="5"/>
      <c r="CS218" s="5"/>
      <c r="CT218" s="5"/>
      <c r="CU218" s="5"/>
      <c r="CV218" s="5"/>
      <c r="CW218" s="5"/>
    </row>
    <row r="219" spans="1:107">
      <c r="A219" s="21"/>
      <c r="B219" s="21"/>
      <c r="C219" s="21"/>
      <c r="D219" s="4" t="s">
        <v>1828</v>
      </c>
      <c r="E219" s="21"/>
      <c r="F219" s="21"/>
      <c r="G219" s="9"/>
      <c r="H219" s="9"/>
      <c r="I219" s="9"/>
      <c r="J219" s="9"/>
      <c r="K219" s="9"/>
      <c r="L219" s="9"/>
      <c r="M219" s="9"/>
      <c r="N219" s="9"/>
      <c r="O219" s="9"/>
      <c r="P219" s="9"/>
      <c r="Q219" s="9"/>
      <c r="R219" s="9"/>
      <c r="S219" s="9"/>
      <c r="T219" s="9"/>
      <c r="U219" s="9"/>
      <c r="V219" s="9"/>
      <c r="W219" s="133"/>
      <c r="X219" s="9"/>
      <c r="Y219" s="9"/>
      <c r="Z219" s="9"/>
      <c r="AA219" s="9"/>
      <c r="AB219" s="133"/>
      <c r="AC219" s="9"/>
      <c r="AD219" s="9"/>
      <c r="AE219" s="9"/>
      <c r="AF219" s="9"/>
      <c r="AG219" s="133">
        <f t="shared" ref="AG219:AL219" si="137">AG217+AG218</f>
        <v>1419.9389999999999</v>
      </c>
      <c r="AH219" s="9">
        <f t="shared" si="137"/>
        <v>422.45211440112973</v>
      </c>
      <c r="AI219" s="9">
        <f t="shared" si="137"/>
        <v>434.97256491707367</v>
      </c>
      <c r="AJ219" s="9">
        <f>AJ217+AJ218</f>
        <v>427.14514631499583</v>
      </c>
      <c r="AK219" s="9">
        <f>AK217+AK218</f>
        <v>434.42017201682421</v>
      </c>
      <c r="AL219" s="133">
        <f t="shared" si="137"/>
        <v>1719.2899976500235</v>
      </c>
      <c r="AM219" s="7">
        <f t="shared" ref="AM219:AV219" si="138">AM217+AM218</f>
        <v>425.28713958639213</v>
      </c>
      <c r="AN219" s="7">
        <f t="shared" si="138"/>
        <v>435.5390988274404</v>
      </c>
      <c r="AO219" s="7">
        <f t="shared" si="138"/>
        <v>432.46899999999999</v>
      </c>
      <c r="AP219" s="7">
        <f>AP217+AP218</f>
        <v>451.26900000000001</v>
      </c>
      <c r="AQ219" s="133">
        <f t="shared" si="138"/>
        <v>1744.5642384138323</v>
      </c>
      <c r="AR219" s="9">
        <v>454.87799999999999</v>
      </c>
      <c r="AS219" s="289">
        <f>448.9+7.5</f>
        <v>456.4</v>
      </c>
      <c r="AT219" s="9">
        <v>460.28100000000001</v>
      </c>
      <c r="AU219" s="9">
        <v>478</v>
      </c>
      <c r="AV219" s="133">
        <f t="shared" si="138"/>
        <v>1842.1333753715019</v>
      </c>
      <c r="AW219" s="9">
        <v>475</v>
      </c>
      <c r="AX219" s="9">
        <v>476</v>
      </c>
      <c r="AY219" s="9">
        <v>469</v>
      </c>
      <c r="AZ219" s="9">
        <v>481</v>
      </c>
      <c r="BA219" s="133">
        <f>BA217+BA218</f>
        <v>2384.0375241523561</v>
      </c>
      <c r="BB219" s="9">
        <v>593.88400000000001</v>
      </c>
      <c r="BC219" s="9">
        <v>600.32799999999997</v>
      </c>
      <c r="BD219" s="9">
        <v>595.49400000000003</v>
      </c>
      <c r="BE219" s="9">
        <v>619.47900000000004</v>
      </c>
      <c r="BF219" s="133">
        <f>BF217+BF218</f>
        <v>2405.4035208227074</v>
      </c>
      <c r="BG219" s="9">
        <v>601</v>
      </c>
      <c r="BH219" s="9">
        <v>610</v>
      </c>
      <c r="BI219" s="9">
        <v>606</v>
      </c>
      <c r="BJ219" s="9">
        <v>643</v>
      </c>
      <c r="BK219" s="133">
        <f>BK217+BK218</f>
        <v>2460.9410829557714</v>
      </c>
      <c r="BL219" s="9">
        <v>629</v>
      </c>
      <c r="BM219" s="9">
        <v>633</v>
      </c>
      <c r="BN219" s="9">
        <v>636</v>
      </c>
      <c r="BO219" s="9">
        <v>658</v>
      </c>
      <c r="BP219" s="133">
        <f>BP217+BP218</f>
        <v>2555.8702045237287</v>
      </c>
      <c r="BQ219" s="9">
        <f>'Country quarts'!M25</f>
        <v>622.55899999999997</v>
      </c>
      <c r="BR219" s="9">
        <f>'Country quarts'!N25</f>
        <v>621</v>
      </c>
      <c r="BS219" s="9">
        <f>'Country quarts'!O25</f>
        <v>604</v>
      </c>
      <c r="BT219" s="9">
        <f>'Country quarts'!P25</f>
        <v>590.24613254426561</v>
      </c>
      <c r="BU219" s="9"/>
      <c r="BV219" s="16"/>
      <c r="BW219" s="16"/>
      <c r="BX219" s="16"/>
      <c r="BY219" s="16"/>
      <c r="BZ219" s="16"/>
      <c r="CA219" s="16"/>
      <c r="CB219" s="16"/>
      <c r="CC219" s="16"/>
      <c r="CD219" s="16"/>
      <c r="CE219" s="16"/>
      <c r="CF219" s="16"/>
      <c r="CG219" s="16"/>
      <c r="CH219" s="16"/>
      <c r="CI219" s="16"/>
      <c r="CJ219" s="16"/>
      <c r="CK219" s="16"/>
      <c r="CL219" s="16"/>
      <c r="CM219" s="16"/>
      <c r="CN219" s="16"/>
      <c r="CO219" s="16"/>
      <c r="CP219" s="5">
        <f>AR219/AM219-1</f>
        <v>6.95785450798867E-2</v>
      </c>
      <c r="CQ219" s="5">
        <f>AS219/AN219-1</f>
        <v>4.7896735858437012E-2</v>
      </c>
      <c r="CR219" s="5">
        <f>AT219/AO219-1</f>
        <v>6.4309811801539496E-2</v>
      </c>
      <c r="CS219" s="5">
        <f>AU219/AP219-1</f>
        <v>5.9235179017393058E-2</v>
      </c>
      <c r="CT219" s="5">
        <f>AW219/AR219-1</f>
        <v>4.4236036915392685E-2</v>
      </c>
      <c r="CU219" s="5">
        <f>AX219/AS219-1</f>
        <v>4.2944785276073594E-2</v>
      </c>
      <c r="CV219" s="5">
        <f>AY219/AT219-1</f>
        <v>1.8942776260588712E-2</v>
      </c>
      <c r="CW219" s="5">
        <f>AZ219/AU219-1</f>
        <v>6.2761506276149959E-3</v>
      </c>
      <c r="CX219" s="5">
        <f>BB219/AW219-1</f>
        <v>0.25028210526315786</v>
      </c>
      <c r="CY219" s="5">
        <f>BC219/AX219-1</f>
        <v>0.26119327731092423</v>
      </c>
      <c r="CZ219" s="5">
        <f>BD219/AY219-1</f>
        <v>0.26971002132196165</v>
      </c>
      <c r="DA219" s="5">
        <f>BE219/AZ219-1</f>
        <v>0.28789812889812905</v>
      </c>
      <c r="DB219" s="5">
        <f>BG219/BB219-1</f>
        <v>1.1982137925924841E-2</v>
      </c>
      <c r="DC219" s="5">
        <f>BH219/BC219-1</f>
        <v>1.6111192548073694E-2</v>
      </c>
    </row>
    <row r="220" spans="1:107">
      <c r="A220" s="21"/>
      <c r="B220" s="21"/>
      <c r="C220" s="21"/>
      <c r="D220" s="156" t="s">
        <v>2532</v>
      </c>
      <c r="E220" s="21"/>
      <c r="F220" s="21"/>
      <c r="G220" s="9"/>
      <c r="H220" s="9"/>
      <c r="I220" s="9"/>
      <c r="J220" s="9"/>
      <c r="K220" s="9"/>
      <c r="L220" s="9"/>
      <c r="M220" s="9"/>
      <c r="N220" s="9"/>
      <c r="O220" s="9"/>
      <c r="P220" s="9"/>
      <c r="Q220" s="9"/>
      <c r="R220" s="9"/>
      <c r="S220" s="9"/>
      <c r="T220" s="9"/>
      <c r="U220" s="9"/>
      <c r="V220" s="9"/>
      <c r="W220" s="133"/>
      <c r="X220" s="9"/>
      <c r="Y220" s="9"/>
      <c r="Z220" s="9"/>
      <c r="AA220" s="9"/>
      <c r="AB220" s="133"/>
      <c r="AC220" s="9"/>
      <c r="AD220" s="9"/>
      <c r="AE220" s="9"/>
      <c r="AF220" s="9"/>
      <c r="AG220" s="133"/>
      <c r="AH220" s="9"/>
      <c r="AI220" s="9"/>
      <c r="AJ220" s="9"/>
      <c r="AK220" s="9"/>
      <c r="AL220" s="133"/>
      <c r="AM220" s="7"/>
      <c r="AN220" s="7"/>
      <c r="AO220" s="7"/>
      <c r="AP220" s="7"/>
      <c r="AQ220" s="133"/>
      <c r="AR220" s="9"/>
      <c r="AS220" s="9"/>
      <c r="AT220" s="9"/>
      <c r="AU220" s="9"/>
      <c r="AV220" s="133"/>
      <c r="AW220" s="9"/>
      <c r="AX220" s="9"/>
      <c r="AY220" s="9"/>
      <c r="AZ220" s="9"/>
      <c r="BA220" s="133"/>
      <c r="BB220" s="610"/>
      <c r="BC220" s="610"/>
      <c r="BD220" s="610"/>
      <c r="BE220" s="612"/>
      <c r="BF220" s="133"/>
      <c r="BG220" s="610"/>
      <c r="BH220" s="610"/>
      <c r="BI220" s="610"/>
      <c r="BJ220" s="612"/>
      <c r="BK220" s="133"/>
      <c r="BL220" s="610"/>
      <c r="BM220" s="610"/>
      <c r="BN220" s="610"/>
      <c r="BO220" s="610"/>
      <c r="BP220" s="133"/>
      <c r="BQ220" s="133"/>
      <c r="BR220" s="133"/>
      <c r="BS220" s="133"/>
      <c r="BT220" s="133"/>
      <c r="BU220" s="9"/>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c r="CY220"/>
      <c r="CZ220"/>
      <c r="DA220"/>
    </row>
    <row r="221" spans="1:107">
      <c r="A221" s="21"/>
      <c r="B221" s="21"/>
      <c r="C221" s="21"/>
      <c r="D221" s="4"/>
      <c r="E221" s="21"/>
      <c r="F221" s="21"/>
      <c r="G221" s="9"/>
      <c r="H221" s="9"/>
      <c r="I221" s="9"/>
      <c r="J221" s="9"/>
      <c r="K221" s="9"/>
      <c r="L221" s="9"/>
      <c r="M221" s="9"/>
      <c r="N221" s="9"/>
      <c r="O221" s="9"/>
      <c r="P221" s="9"/>
      <c r="Q221" s="9"/>
      <c r="R221" s="9"/>
      <c r="S221" s="9"/>
      <c r="T221" s="9"/>
      <c r="U221" s="9"/>
      <c r="V221" s="9"/>
      <c r="W221" s="133"/>
      <c r="X221" s="9"/>
      <c r="Y221" s="9"/>
      <c r="Z221" s="9"/>
      <c r="AA221" s="9"/>
      <c r="AB221" s="133"/>
      <c r="AC221" s="9"/>
      <c r="AD221" s="9"/>
      <c r="AE221" s="9"/>
      <c r="AF221" s="9"/>
      <c r="AG221" s="133"/>
      <c r="AH221" s="9"/>
      <c r="AI221" s="9"/>
      <c r="AJ221" s="9"/>
      <c r="AK221" s="9"/>
      <c r="AL221" s="133"/>
      <c r="AM221" s="9"/>
      <c r="AN221" s="9"/>
      <c r="AO221" s="9"/>
      <c r="AP221" s="9"/>
      <c r="AQ221" s="133"/>
      <c r="AR221" s="9"/>
      <c r="AS221" s="9"/>
      <c r="AT221" s="9"/>
      <c r="AU221" s="9"/>
      <c r="AV221" s="133"/>
      <c r="AW221" s="9"/>
      <c r="AX221" s="9"/>
      <c r="AY221" s="9"/>
      <c r="AZ221" s="9"/>
      <c r="BA221" s="133"/>
      <c r="BB221" s="610"/>
      <c r="BC221" s="610"/>
      <c r="BD221" s="610"/>
      <c r="BE221" s="610"/>
      <c r="BF221" s="133"/>
      <c r="BG221" s="610"/>
      <c r="BH221" s="610"/>
      <c r="BI221" s="610"/>
      <c r="BJ221" s="610"/>
      <c r="BK221" s="133"/>
      <c r="BL221" s="610"/>
      <c r="BM221" s="610"/>
      <c r="BN221" s="610"/>
      <c r="BO221" s="610"/>
      <c r="BP221" s="133"/>
      <c r="BQ221" s="133"/>
      <c r="BR221" s="133"/>
      <c r="BS221" s="133"/>
      <c r="BT221" s="133"/>
      <c r="BU221" s="9"/>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c r="CY221"/>
      <c r="CZ221"/>
      <c r="DA221"/>
    </row>
    <row r="222" spans="1:107">
      <c r="D222" s="4" t="s">
        <v>1665</v>
      </c>
      <c r="G222" s="9"/>
      <c r="H222" s="9"/>
      <c r="I222" s="9"/>
      <c r="J222" s="9"/>
      <c r="K222" s="9"/>
      <c r="L222" s="9"/>
      <c r="M222" s="9"/>
      <c r="N222" s="9"/>
      <c r="O222" s="9"/>
      <c r="P222" s="9"/>
      <c r="Q222" s="9"/>
      <c r="R222" s="9"/>
      <c r="S222" s="9"/>
      <c r="T222" s="9"/>
      <c r="U222" s="9"/>
      <c r="V222" s="9">
        <f>V227-V226</f>
        <v>90.311599999999984</v>
      </c>
      <c r="W222" s="133">
        <f>V222</f>
        <v>90.311599999999984</v>
      </c>
      <c r="X222" s="9">
        <f>X303/0.21</f>
        <v>90.554666666666648</v>
      </c>
      <c r="Y222" s="9">
        <f>Y227-Y226</f>
        <v>107.12036000000001</v>
      </c>
      <c r="Z222" s="9">
        <f>Z227-Z226</f>
        <v>116.28335999999999</v>
      </c>
      <c r="AA222" s="9">
        <f>AA227-AA226</f>
        <v>129.81075199999998</v>
      </c>
      <c r="AB222" s="133">
        <f>Colombia!D44</f>
        <v>443.76913866666666</v>
      </c>
      <c r="AC222" s="289">
        <v>109</v>
      </c>
      <c r="AD222" s="289">
        <v>118</v>
      </c>
      <c r="AE222" s="9">
        <f>AE151/AE447</f>
        <v>119.32543044417125</v>
      </c>
      <c r="AF222" s="289">
        <v>115</v>
      </c>
      <c r="AG222" s="133">
        <f>Colombia!E44</f>
        <v>448</v>
      </c>
      <c r="AH222" s="289">
        <v>94</v>
      </c>
      <c r="AI222" s="9">
        <f>AI151/AI447</f>
        <v>103.9866364142173</v>
      </c>
      <c r="AJ222" s="9">
        <f>AJ151/AJ447</f>
        <v>118.1500456147013</v>
      </c>
      <c r="AK222" s="9">
        <f>AK151/AK447</f>
        <v>135.54130842955348</v>
      </c>
      <c r="AL222" s="133">
        <f>Colombia!F44</f>
        <v>451.6779904584721</v>
      </c>
      <c r="AM222" s="9">
        <f>AM151/AM447</f>
        <v>137.65247506403148</v>
      </c>
      <c r="AN222" s="9">
        <f>AN151/AN447</f>
        <v>142.10384006286009</v>
      </c>
      <c r="AO222" s="9">
        <f>AO151/AO447</f>
        <v>161.58718210033814</v>
      </c>
      <c r="AP222" s="9">
        <f>AP151/AP447</f>
        <v>172.98708565862975</v>
      </c>
      <c r="AQ222" s="133">
        <f>Colombia!G44</f>
        <v>612</v>
      </c>
      <c r="AR222" s="9">
        <f>AR151/AR447</f>
        <v>171.08583954775108</v>
      </c>
      <c r="AS222" s="9">
        <f>AS151/AS447</f>
        <v>186.56670168215646</v>
      </c>
      <c r="AT222" s="9">
        <f>AT151/AT447</f>
        <v>194.7278883401427</v>
      </c>
      <c r="AU222" s="9">
        <f>AU151/AU447</f>
        <v>195.16139510671525</v>
      </c>
      <c r="AV222" s="133">
        <f>Colombia!H44</f>
        <v>756</v>
      </c>
      <c r="AW222" s="9">
        <f>AW151/AW447</f>
        <v>196.53346684286183</v>
      </c>
      <c r="AX222" s="9">
        <f>AX151/AX447</f>
        <v>206.37744091718611</v>
      </c>
      <c r="AY222" s="9">
        <f>AY151/AY447</f>
        <v>213.61473463663864</v>
      </c>
      <c r="AZ222" s="9">
        <f>BA222-AW222-AX222-AY222</f>
        <v>232.47435760331345</v>
      </c>
      <c r="BA222" s="133">
        <f>Colombia!I44</f>
        <v>849</v>
      </c>
      <c r="BB222" s="610">
        <f>'LatAm quarts'!G45</f>
        <v>239.93351609664438</v>
      </c>
      <c r="BC222" s="610">
        <f>'LatAm quarts'!H45</f>
        <v>236.30096778465946</v>
      </c>
      <c r="BD222" s="610">
        <f>'LatAm quarts'!I45</f>
        <v>242.19667908098066</v>
      </c>
      <c r="BE222" s="610">
        <f>'LatAm quarts'!J45</f>
        <v>251.39167269885982</v>
      </c>
      <c r="BF222" s="133">
        <f>Colombia!J44</f>
        <v>969</v>
      </c>
      <c r="BG222" s="610">
        <f>'LatAm quarts'!K45</f>
        <v>269.31879178103873</v>
      </c>
      <c r="BH222" s="610">
        <f>'LatAm quarts'!L45</f>
        <v>292.70278291995629</v>
      </c>
      <c r="BI222" s="610">
        <f>'LatAm quarts'!M45+BI228</f>
        <v>490.71709574431816</v>
      </c>
      <c r="BJ222" s="819">
        <v>600</v>
      </c>
      <c r="BK222" s="133">
        <f>Colombia!K44+Div!N31</f>
        <v>1665</v>
      </c>
      <c r="BL222" s="610"/>
      <c r="BM222" s="610"/>
      <c r="BN222" s="610"/>
      <c r="BO222" s="610"/>
      <c r="BP222" s="133">
        <f>Colombia!L44+Div!O31</f>
        <v>1982</v>
      </c>
      <c r="BQ222" s="133"/>
      <c r="BR222" s="133"/>
      <c r="BS222" s="133"/>
      <c r="BT222" s="133"/>
      <c r="BU222" s="9"/>
      <c r="BV222" s="16"/>
      <c r="BW222" s="16"/>
      <c r="BX222" s="16"/>
      <c r="BY222" s="16"/>
      <c r="BZ222" s="16"/>
      <c r="CA222" s="16"/>
      <c r="CB222" s="16"/>
      <c r="CC222" s="16">
        <f>AA222/V222-1</f>
        <v>0.43736521111352245</v>
      </c>
      <c r="CD222" s="16">
        <f>AC222/X222-1</f>
        <v>0.20369279698451059</v>
      </c>
      <c r="CE222" s="16">
        <f>AD222/Y222-1</f>
        <v>0.10156463253110792</v>
      </c>
      <c r="CF222" s="16">
        <f>AE222/Z222-1</f>
        <v>2.6160840589498413E-2</v>
      </c>
      <c r="CG222" s="16">
        <f>AF222/AA222-1</f>
        <v>-0.11409495570906159</v>
      </c>
      <c r="CH222" s="16">
        <f>AH222/AC222-1</f>
        <v>-0.13761467889908252</v>
      </c>
      <c r="CI222" s="16">
        <f>AI222/AD222-1</f>
        <v>-0.11875731852358218</v>
      </c>
      <c r="CJ222" s="16">
        <f>AJ222/AE222-1</f>
        <v>-9.8502458788102265E-3</v>
      </c>
      <c r="CK222" s="16">
        <f>AK222/AF222-1</f>
        <v>0.17862007330046503</v>
      </c>
      <c r="CL222" s="16"/>
      <c r="CM222" s="16"/>
      <c r="CN222" s="16"/>
      <c r="CO222" s="16"/>
      <c r="CP222" s="16"/>
      <c r="CQ222" s="16"/>
      <c r="CR222" s="16"/>
      <c r="CS222" s="16"/>
      <c r="CT222" s="5">
        <f>AW222/AR222-1</f>
        <v>0.14874186760505204</v>
      </c>
      <c r="CU222" s="5">
        <f>AX222/AS222-1</f>
        <v>0.1061858255326833</v>
      </c>
      <c r="CV222" s="5">
        <f>AY222/AT222-1</f>
        <v>9.6990967536735972E-2</v>
      </c>
      <c r="CW222" s="5">
        <f>AZ222/AU222-1</f>
        <v>0.19119028369414592</v>
      </c>
      <c r="CX222" s="5"/>
      <c r="CY222" s="5"/>
      <c r="CZ222" s="5"/>
      <c r="DA222" s="5"/>
      <c r="DB222" s="5"/>
      <c r="DC222" s="5"/>
    </row>
    <row r="223" spans="1:107">
      <c r="D223" s="4" t="s">
        <v>2377</v>
      </c>
      <c r="G223" s="9"/>
      <c r="H223" s="9"/>
      <c r="I223" s="9"/>
      <c r="J223" s="9"/>
      <c r="K223" s="9"/>
      <c r="L223" s="9"/>
      <c r="M223" s="9"/>
      <c r="N223" s="9"/>
      <c r="O223" s="9"/>
      <c r="P223" s="9"/>
      <c r="Q223" s="9"/>
      <c r="R223" s="9"/>
      <c r="S223" s="9"/>
      <c r="T223" s="9"/>
      <c r="U223" s="9"/>
      <c r="V223" s="9"/>
      <c r="W223" s="133"/>
      <c r="X223" s="9"/>
      <c r="Y223" s="9"/>
      <c r="Z223" s="9"/>
      <c r="AA223" s="9"/>
      <c r="AB223" s="133"/>
      <c r="AC223" s="9"/>
      <c r="AD223" s="9"/>
      <c r="AE223" s="9">
        <f>AE152/AE445</f>
        <v>48.17520316668233</v>
      </c>
      <c r="AF223" s="9"/>
      <c r="AG223" s="133"/>
      <c r="AH223" s="9"/>
      <c r="AI223" s="9">
        <f t="shared" ref="AI223:AK224" si="139">AI152/AI445</f>
        <v>56.263872852193806</v>
      </c>
      <c r="AJ223" s="9">
        <f t="shared" si="139"/>
        <v>63.269043055723827</v>
      </c>
      <c r="AK223" s="9">
        <f t="shared" si="139"/>
        <v>69.66554752233364</v>
      </c>
      <c r="AL223" s="133"/>
      <c r="AM223" s="9">
        <f t="shared" ref="AM223:AP224" si="140">AM152/AM445</f>
        <v>68.796305868568922</v>
      </c>
      <c r="AN223" s="9">
        <f t="shared" si="140"/>
        <v>71.794871794871796</v>
      </c>
      <c r="AO223" s="9">
        <f t="shared" si="140"/>
        <v>76.210826210826212</v>
      </c>
      <c r="AP223" s="9">
        <f t="shared" si="140"/>
        <v>82.193732193732203</v>
      </c>
      <c r="AQ223" s="133" t="e">
        <f>SA!#REF!</f>
        <v>#REF!</v>
      </c>
      <c r="AR223" s="9"/>
      <c r="AS223" s="9"/>
      <c r="AT223" s="9"/>
      <c r="AU223" s="9"/>
      <c r="AV223" s="133"/>
      <c r="AW223" s="9"/>
      <c r="AX223" s="9"/>
      <c r="AY223" s="9"/>
      <c r="AZ223" s="9"/>
      <c r="BA223" s="133"/>
      <c r="BB223" s="610"/>
      <c r="BC223" s="610"/>
      <c r="BD223" s="610"/>
      <c r="BE223" s="610"/>
      <c r="BF223" s="133"/>
      <c r="BG223" s="610"/>
      <c r="BH223" s="610"/>
      <c r="BI223" s="610"/>
      <c r="BJ223" s="610"/>
      <c r="BK223" s="133"/>
      <c r="BL223" s="610"/>
      <c r="BM223" s="610"/>
      <c r="BN223" s="610"/>
      <c r="BO223" s="610"/>
      <c r="BP223" s="133"/>
      <c r="BQ223" s="133"/>
      <c r="BR223" s="133"/>
      <c r="BS223" s="133"/>
      <c r="BT223" s="133"/>
      <c r="BU223" s="9"/>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c r="CY223"/>
      <c r="CZ223"/>
      <c r="DA223"/>
    </row>
    <row r="224" spans="1:107">
      <c r="D224" s="4" t="s">
        <v>2378</v>
      </c>
      <c r="E224" s="21"/>
      <c r="F224" s="21"/>
      <c r="G224" s="9"/>
      <c r="H224" s="9"/>
      <c r="I224" s="9"/>
      <c r="J224" s="9"/>
      <c r="K224" s="9"/>
      <c r="L224" s="9"/>
      <c r="M224" s="9"/>
      <c r="N224" s="9"/>
      <c r="O224" s="9"/>
      <c r="P224" s="9"/>
      <c r="Q224" s="9"/>
      <c r="R224" s="9"/>
      <c r="S224" s="9"/>
      <c r="T224" s="9"/>
      <c r="U224" s="9"/>
      <c r="V224" s="9"/>
      <c r="W224" s="133"/>
      <c r="X224" s="9"/>
      <c r="Y224" s="9"/>
      <c r="Z224" s="9"/>
      <c r="AA224" s="9"/>
      <c r="AB224" s="133"/>
      <c r="AC224" s="9"/>
      <c r="AD224" s="9"/>
      <c r="AE224" s="9">
        <f>AE153/AE446</f>
        <v>107.25948321053785</v>
      </c>
      <c r="AF224" s="9"/>
      <c r="AG224" s="133"/>
      <c r="AH224" s="9"/>
      <c r="AI224" s="9">
        <f t="shared" si="139"/>
        <v>90.390435936951647</v>
      </c>
      <c r="AJ224" s="9">
        <f t="shared" si="139"/>
        <v>97.282792348769362</v>
      </c>
      <c r="AK224" s="9">
        <f t="shared" si="139"/>
        <v>109.72640403403717</v>
      </c>
      <c r="AL224" s="133"/>
      <c r="AM224" s="9">
        <f t="shared" si="140"/>
        <v>107.66534775169848</v>
      </c>
      <c r="AN224" s="9">
        <f t="shared" si="140"/>
        <v>108.93158705701079</v>
      </c>
      <c r="AO224" s="9">
        <f t="shared" si="140"/>
        <v>118.22677433306559</v>
      </c>
      <c r="AP224" s="9">
        <f t="shared" si="140"/>
        <v>131.0298869016224</v>
      </c>
      <c r="AQ224" s="133" t="e">
        <f>SA!#REF!</f>
        <v>#REF!</v>
      </c>
      <c r="AR224" s="9"/>
      <c r="AS224" s="9"/>
      <c r="AT224" s="9"/>
      <c r="AU224" s="9"/>
      <c r="AV224" s="133"/>
      <c r="AW224" s="9"/>
      <c r="AX224" s="9"/>
      <c r="AY224" s="9"/>
      <c r="AZ224" s="9"/>
      <c r="BA224" s="133"/>
      <c r="BB224" s="610"/>
      <c r="BC224" s="610"/>
      <c r="BD224" s="610"/>
      <c r="BE224" s="612"/>
      <c r="BF224" s="133"/>
      <c r="BG224" s="610"/>
      <c r="BH224" s="610"/>
      <c r="BI224" s="610"/>
      <c r="BJ224" s="610"/>
      <c r="BK224" s="133"/>
      <c r="BL224" s="612"/>
      <c r="BM224" s="612"/>
      <c r="BN224" s="612"/>
      <c r="BO224" s="612"/>
      <c r="BP224" s="133"/>
      <c r="BQ224" s="133"/>
      <c r="BR224" s="133"/>
      <c r="BS224" s="133"/>
      <c r="BT224" s="133"/>
      <c r="BU224" s="9"/>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c r="CY224"/>
      <c r="CZ224"/>
      <c r="DA224"/>
    </row>
    <row r="225" spans="4:107">
      <c r="D225" s="12" t="s">
        <v>1195</v>
      </c>
      <c r="E225" s="11"/>
      <c r="F225" s="11"/>
      <c r="G225" s="13"/>
      <c r="H225" s="13"/>
      <c r="I225" s="13"/>
      <c r="J225" s="13"/>
      <c r="K225" s="13"/>
      <c r="L225" s="13"/>
      <c r="M225" s="13"/>
      <c r="N225" s="13"/>
      <c r="O225" s="13"/>
      <c r="P225" s="13"/>
      <c r="Q225" s="13"/>
      <c r="R225" s="13"/>
      <c r="S225" s="13"/>
      <c r="T225" s="13"/>
      <c r="U225" s="13"/>
      <c r="V225" s="13"/>
      <c r="W225" s="87"/>
      <c r="X225" s="13"/>
      <c r="Y225" s="13"/>
      <c r="Z225" s="13"/>
      <c r="AA225" s="13"/>
      <c r="AB225" s="87"/>
      <c r="AC225" s="13"/>
      <c r="AD225" s="13"/>
      <c r="AE225" s="13"/>
      <c r="AF225" s="13"/>
      <c r="AG225" s="87"/>
      <c r="AH225" s="13"/>
      <c r="AI225" s="13"/>
      <c r="AJ225" s="13"/>
      <c r="AK225" s="13"/>
      <c r="AL225" s="87"/>
      <c r="AM225" s="13"/>
      <c r="AN225" s="13"/>
      <c r="AO225" s="13"/>
      <c r="AP225" s="13"/>
      <c r="AQ225" s="87"/>
      <c r="AR225" s="13">
        <f>Newquarts!B74/1000</f>
        <v>7.3278508763121152E-3</v>
      </c>
      <c r="AS225" s="13">
        <f>Newquarts!C74/1000</f>
        <v>7.9081869952656245E-3</v>
      </c>
      <c r="AT225" s="13">
        <f>Newquarts!D74/1000</f>
        <v>7.9904723624730205E-3</v>
      </c>
      <c r="AU225" s="13">
        <f>Newquarts!E74/1000</f>
        <v>8.4282028537042662E-3</v>
      </c>
      <c r="AV225" s="87"/>
      <c r="AW225" s="13">
        <f>Newquarts!G74/1000</f>
        <v>8.8777531319521649E-3</v>
      </c>
      <c r="AX225" s="13">
        <f>Newquarts!H74/1000</f>
        <v>9.124390152767458E-3</v>
      </c>
      <c r="AY225" s="13">
        <f>Newquarts!I74/1000</f>
        <v>1.006290722025022E-2</v>
      </c>
      <c r="AZ225" s="13">
        <f>Newquarts!J74/1000</f>
        <v>2.5642944417695615E-2</v>
      </c>
      <c r="BA225" s="87"/>
      <c r="BB225" s="13"/>
      <c r="BC225" s="13"/>
      <c r="BD225" s="13"/>
      <c r="BE225" s="13"/>
      <c r="BF225" s="87"/>
      <c r="BG225" s="13"/>
      <c r="BH225" s="13"/>
      <c r="BI225" s="13"/>
      <c r="BJ225" s="13"/>
      <c r="BK225" s="87"/>
      <c r="BL225" s="13"/>
      <c r="BM225" s="13"/>
      <c r="BN225" s="13"/>
      <c r="BO225" s="13"/>
      <c r="BP225" s="87"/>
      <c r="BQ225" s="87"/>
      <c r="BR225" s="87"/>
      <c r="BS225" s="87"/>
      <c r="BT225" s="87"/>
      <c r="BU225" s="13"/>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c r="CY225"/>
      <c r="CZ225"/>
      <c r="DA225"/>
    </row>
    <row r="226" spans="4:107">
      <c r="D226" s="345" t="s">
        <v>3024</v>
      </c>
      <c r="E226" s="345"/>
      <c r="F226" s="345"/>
      <c r="G226" s="346">
        <v>23.977</v>
      </c>
      <c r="H226" s="346">
        <v>23.888000000000002</v>
      </c>
      <c r="I226" s="346">
        <v>25.454999999999998</v>
      </c>
      <c r="J226" s="346">
        <v>26.023</v>
      </c>
      <c r="K226" s="346">
        <v>25.013999999999999</v>
      </c>
      <c r="L226" s="346">
        <v>26.573</v>
      </c>
      <c r="M226" s="346">
        <v>30.116</v>
      </c>
      <c r="N226" s="346">
        <v>32.302</v>
      </c>
      <c r="O226" s="346">
        <v>31.210999999999999</v>
      </c>
      <c r="P226" s="346">
        <v>33.383000000000003</v>
      </c>
      <c r="Q226" s="346">
        <v>36.582000000000001</v>
      </c>
      <c r="R226" s="346">
        <v>40.018000000000001</v>
      </c>
      <c r="S226" s="346">
        <v>44.69</v>
      </c>
      <c r="T226" s="346">
        <v>51.457999999999998</v>
      </c>
      <c r="U226" s="346">
        <v>62.308</v>
      </c>
      <c r="V226" s="346">
        <f>1.8*R226</f>
        <v>72.03240000000001</v>
      </c>
      <c r="W226" s="347">
        <f>Div!F32</f>
        <v>230.48840000000001</v>
      </c>
      <c r="X226" s="346">
        <f>X227-X222</f>
        <v>76.854333333333344</v>
      </c>
      <c r="Y226" s="346">
        <f>1.58*T226</f>
        <v>81.303640000000001</v>
      </c>
      <c r="Z226" s="346">
        <f>1.58*U226</f>
        <v>98.446640000000002</v>
      </c>
      <c r="AA226" s="346">
        <f>1.52*V226</f>
        <v>109.48924800000002</v>
      </c>
      <c r="AB226" s="347">
        <f>Div!G32</f>
        <v>366.09386133333339</v>
      </c>
      <c r="AC226" s="346">
        <f>AC227-AC222</f>
        <v>122.626</v>
      </c>
      <c r="AD226" s="346">
        <f>AD227-AD222</f>
        <v>136.10400000000001</v>
      </c>
      <c r="AE226" s="346">
        <f>AE227-AE222</f>
        <v>154.09256955582876</v>
      </c>
      <c r="AF226" s="346">
        <f>AF227-AF222</f>
        <v>145</v>
      </c>
      <c r="AG226" s="347">
        <f>Div!H32</f>
        <v>557.82256955582875</v>
      </c>
      <c r="AH226" s="346">
        <f>236.775-AH222</f>
        <v>142.77500000000001</v>
      </c>
      <c r="AI226" s="346">
        <f>AI227-AI222</f>
        <v>145.2133635857827</v>
      </c>
      <c r="AJ226" s="346">
        <f>AJ227-AJ222</f>
        <v>158.8499543852987</v>
      </c>
      <c r="AK226" s="346">
        <f>AK227-AK222</f>
        <v>177.25869157044653</v>
      </c>
      <c r="AL226" s="347">
        <f>Div!I32</f>
        <v>624.097009541528</v>
      </c>
      <c r="AM226" s="346">
        <f>AM227-AM222</f>
        <v>174.64752493596853</v>
      </c>
      <c r="AN226" s="346">
        <f>AN227-AN222</f>
        <v>181.10015993713992</v>
      </c>
      <c r="AO226" s="346">
        <f>AO227-AO222</f>
        <v>193.96081789966186</v>
      </c>
      <c r="AP226" s="346">
        <f>AP227-AP222</f>
        <v>209.83391434137027</v>
      </c>
      <c r="AQ226" s="347">
        <f>Div!J32</f>
        <v>759.54241711414056</v>
      </c>
      <c r="AR226" s="346">
        <f>AR227-AR222-AR225</f>
        <v>213.4068326013726</v>
      </c>
      <c r="AS226" s="346">
        <f>AS227-AS222-AS225</f>
        <v>238.28139013084828</v>
      </c>
      <c r="AT226" s="346">
        <f>AT227-AT222-AT225</f>
        <v>248.88312118749485</v>
      </c>
      <c r="AU226" s="346">
        <f>AU227-AU222-AU225</f>
        <v>254.83017669043105</v>
      </c>
      <c r="AV226" s="347">
        <f>Div!K32</f>
        <v>950.34741615680662</v>
      </c>
      <c r="AW226" s="346">
        <f>AW227-AW222-AW225</f>
        <v>258.45765540400623</v>
      </c>
      <c r="AX226" s="346">
        <f>AX227-AX222-AX225</f>
        <v>259.61343469266114</v>
      </c>
      <c r="AY226" s="346">
        <f>AY227-AY222-AY225</f>
        <v>266.3752024561411</v>
      </c>
      <c r="AZ226" s="346">
        <f>AZ227-AZ222-AZ225</f>
        <v>293.49999945226881</v>
      </c>
      <c r="BA226" s="347">
        <f>Div!L32</f>
        <v>1077.6725471792633</v>
      </c>
      <c r="BB226" s="609">
        <f>BB227-BB222</f>
        <v>289.06648390335562</v>
      </c>
      <c r="BC226" s="609">
        <f>BC227-BC222</f>
        <v>299.19903221534054</v>
      </c>
      <c r="BD226" s="609">
        <f>BD227-BD222</f>
        <v>299.80332091901937</v>
      </c>
      <c r="BE226" s="609">
        <f>BE227-BE222</f>
        <v>337.60832730114021</v>
      </c>
      <c r="BF226" s="347">
        <f>Div!M32</f>
        <v>1222.2071158130318</v>
      </c>
      <c r="BG226" s="609">
        <f>BG227-BG222</f>
        <v>290.68120821896127</v>
      </c>
      <c r="BH226" s="609">
        <f>BH227-BH222</f>
        <v>300.29721708004371</v>
      </c>
      <c r="BI226" s="609">
        <f>BI227-BI222</f>
        <v>319.28290425568184</v>
      </c>
      <c r="BJ226" s="609">
        <f>BJ227-BJ222</f>
        <v>360</v>
      </c>
      <c r="BK226" s="347">
        <f>Div!N32</f>
        <v>1260.6080669791227</v>
      </c>
      <c r="BL226" s="609">
        <f>BL227-BL230</f>
        <v>307</v>
      </c>
      <c r="BM226" s="609">
        <f>BM227-BM230</f>
        <v>298</v>
      </c>
      <c r="BN226" s="609">
        <f>BN227-BN230</f>
        <v>299</v>
      </c>
      <c r="BO226" s="609"/>
      <c r="BP226" s="347">
        <f>Div!O32</f>
        <v>1202.8745703409977</v>
      </c>
      <c r="BQ226" s="347"/>
      <c r="BR226" s="347"/>
      <c r="BS226" s="347"/>
      <c r="BT226" s="347"/>
      <c r="BU226" s="346"/>
      <c r="BV226" s="20">
        <f>S226/O226-1</f>
        <v>0.43186696997853313</v>
      </c>
      <c r="BW226" s="20">
        <f>T226/P226-1</f>
        <v>0.54144324955815826</v>
      </c>
      <c r="BX226" s="20">
        <f>U226/Q226-1</f>
        <v>0.70324203160024057</v>
      </c>
      <c r="BY226" s="20">
        <f>V226/R226-1</f>
        <v>0.80000000000000027</v>
      </c>
      <c r="BZ226" s="20">
        <f>X226/S226-1</f>
        <v>0.71972104124711</v>
      </c>
      <c r="CA226" s="20">
        <f>Y226/T226-1</f>
        <v>0.58000000000000007</v>
      </c>
      <c r="CB226" s="20">
        <f>Z226/U226-1</f>
        <v>0.58000000000000007</v>
      </c>
      <c r="CC226" s="20">
        <f>AA226/V226-1</f>
        <v>0.52</v>
      </c>
      <c r="CD226" s="20">
        <f t="shared" ref="CD226:CG227" si="141">AC226/X226-1</f>
        <v>0.59556390227399869</v>
      </c>
      <c r="CE226" s="20">
        <f t="shared" si="141"/>
        <v>0.6740209909421031</v>
      </c>
      <c r="CF226" s="20">
        <f t="shared" si="141"/>
        <v>0.56523949985320732</v>
      </c>
      <c r="CG226" s="20">
        <f t="shared" si="141"/>
        <v>0.32433095165654957</v>
      </c>
      <c r="CH226" s="20">
        <f t="shared" ref="CH226:CK227" si="142">AH226/AC226-1</f>
        <v>0.16431262538124058</v>
      </c>
      <c r="CI226" s="20">
        <f t="shared" si="142"/>
        <v>6.6929433270019212E-2</v>
      </c>
      <c r="CJ226" s="20">
        <f t="shared" si="142"/>
        <v>3.0873551159430246E-2</v>
      </c>
      <c r="CK226" s="20">
        <f t="shared" si="142"/>
        <v>0.22247373496859679</v>
      </c>
      <c r="CL226" s="16"/>
      <c r="CM226" s="16"/>
      <c r="CN226" s="16"/>
      <c r="CO226" s="16"/>
      <c r="CP226" s="16"/>
      <c r="CQ226" s="16"/>
      <c r="CR226" s="16"/>
      <c r="CS226" s="16"/>
      <c r="CT226" s="16"/>
      <c r="CU226" s="16"/>
      <c r="CV226" s="16"/>
      <c r="CW226" s="16"/>
      <c r="CX226"/>
      <c r="CY226"/>
      <c r="CZ226"/>
      <c r="DA226"/>
    </row>
    <row r="227" spans="4:107">
      <c r="D227" s="2" t="s">
        <v>2357</v>
      </c>
      <c r="E227" s="2"/>
      <c r="F227" s="2"/>
      <c r="G227" s="10"/>
      <c r="H227" s="10"/>
      <c r="I227" s="10"/>
      <c r="J227" s="10"/>
      <c r="K227" s="10"/>
      <c r="L227" s="10"/>
      <c r="M227" s="10"/>
      <c r="N227" s="10"/>
      <c r="O227" s="10"/>
      <c r="P227" s="10"/>
      <c r="Q227" s="10"/>
      <c r="R227" s="10"/>
      <c r="S227" s="10"/>
      <c r="T227" s="10"/>
      <c r="U227" s="10"/>
      <c r="V227" s="10">
        <v>162.34399999999999</v>
      </c>
      <c r="W227" s="181"/>
      <c r="X227" s="10">
        <v>167.40899999999999</v>
      </c>
      <c r="Y227" s="10">
        <v>188.42400000000001</v>
      </c>
      <c r="Z227" s="10">
        <v>214.73</v>
      </c>
      <c r="AA227" s="10">
        <v>239.3</v>
      </c>
      <c r="AB227" s="181">
        <f>SUM(AB222:AB226)</f>
        <v>809.86300000000006</v>
      </c>
      <c r="AC227" s="10">
        <v>231.626</v>
      </c>
      <c r="AD227" s="10">
        <v>254.10400000000001</v>
      </c>
      <c r="AE227" s="10">
        <v>273.41800000000001</v>
      </c>
      <c r="AF227" s="10">
        <v>260</v>
      </c>
      <c r="AG227" s="181">
        <f>SUM(AG222:AG226)</f>
        <v>1005.8225695558287</v>
      </c>
      <c r="AH227" s="10">
        <f>SUM(AH222:AH226)</f>
        <v>236.77500000000001</v>
      </c>
      <c r="AI227" s="10">
        <v>249.2</v>
      </c>
      <c r="AJ227" s="10">
        <v>277</v>
      </c>
      <c r="AK227" s="10">
        <v>312.8</v>
      </c>
      <c r="AL227" s="181">
        <f>SUM(AL222:AL226)</f>
        <v>1075.7750000000001</v>
      </c>
      <c r="AM227" s="15">
        <v>312.3</v>
      </c>
      <c r="AN227" s="15">
        <v>323.20400000000001</v>
      </c>
      <c r="AO227" s="15">
        <v>355.548</v>
      </c>
      <c r="AP227" s="15">
        <v>382.82100000000003</v>
      </c>
      <c r="AQ227" s="181">
        <f>AQ226+AQ222</f>
        <v>1371.5424171141406</v>
      </c>
      <c r="AR227" s="317">
        <f>387.3-2.8</f>
        <v>384.5</v>
      </c>
      <c r="AS227" s="10">
        <v>424.85599999999999</v>
      </c>
      <c r="AT227" s="10">
        <v>443.61900000000003</v>
      </c>
      <c r="AU227" s="10">
        <v>450</v>
      </c>
      <c r="AV227" s="181">
        <f>AV226+AV222</f>
        <v>1706.3474161568065</v>
      </c>
      <c r="AW227" s="10">
        <v>455</v>
      </c>
      <c r="AX227" s="10">
        <v>466</v>
      </c>
      <c r="AY227" s="10">
        <v>480</v>
      </c>
      <c r="AZ227" s="10">
        <f>536-AZ241</f>
        <v>526</v>
      </c>
      <c r="BA227" s="181">
        <f>BA226+BA222</f>
        <v>1926.6725471792633</v>
      </c>
      <c r="BB227" s="10">
        <v>529</v>
      </c>
      <c r="BC227" s="584">
        <f>532+3.5</f>
        <v>535.5</v>
      </c>
      <c r="BD227" s="10">
        <v>542</v>
      </c>
      <c r="BE227" s="10">
        <v>589</v>
      </c>
      <c r="BF227" s="181">
        <f>BF226+BF222</f>
        <v>2191.207115813032</v>
      </c>
      <c r="BG227" s="10">
        <f>560</f>
        <v>560</v>
      </c>
      <c r="BH227" s="10">
        <v>593</v>
      </c>
      <c r="BI227" s="584">
        <f>814-4</f>
        <v>810</v>
      </c>
      <c r="BJ227" s="10">
        <v>960</v>
      </c>
      <c r="BK227" s="181">
        <f>BK226+BK222</f>
        <v>2925.6080669791227</v>
      </c>
      <c r="BL227" s="10">
        <v>832</v>
      </c>
      <c r="BM227" s="10">
        <v>831</v>
      </c>
      <c r="BN227" s="10">
        <v>764</v>
      </c>
      <c r="BO227" s="10">
        <v>759</v>
      </c>
      <c r="BP227" s="181">
        <f>BP226+BP222</f>
        <v>3184.8745703409977</v>
      </c>
      <c r="BQ227" s="9">
        <f>'Country quarts'!M26</f>
        <v>686</v>
      </c>
      <c r="BR227" s="9">
        <f>'Country quarts'!N26</f>
        <v>728</v>
      </c>
      <c r="BS227" s="9">
        <f>'Country quarts'!O26</f>
        <v>726</v>
      </c>
      <c r="BT227" s="9">
        <f ca="1">'Country quarts'!P26</f>
        <v>735.1599427311055</v>
      </c>
      <c r="BU227" s="10"/>
      <c r="BV227" s="16"/>
      <c r="BW227" s="16"/>
      <c r="BX227" s="16"/>
      <c r="BY227" s="16"/>
      <c r="BZ227" s="16"/>
      <c r="CA227" s="16"/>
      <c r="CB227" s="16"/>
      <c r="CC227" s="16">
        <f>AA227/V227-1</f>
        <v>0.47403045385108178</v>
      </c>
      <c r="CD227" s="16">
        <f t="shared" si="141"/>
        <v>0.38359347466384741</v>
      </c>
      <c r="CE227" s="16">
        <f t="shared" si="141"/>
        <v>0.34857555300810938</v>
      </c>
      <c r="CF227" s="16">
        <f t="shared" si="141"/>
        <v>0.27331066921249958</v>
      </c>
      <c r="CG227" s="16">
        <f t="shared" si="141"/>
        <v>8.6502298370246589E-2</v>
      </c>
      <c r="CH227" s="16">
        <f t="shared" si="142"/>
        <v>2.222980149033349E-2</v>
      </c>
      <c r="CI227" s="16">
        <f t="shared" si="142"/>
        <v>-1.9299184585839013E-2</v>
      </c>
      <c r="CJ227" s="16">
        <f t="shared" si="142"/>
        <v>1.3100819989905643E-2</v>
      </c>
      <c r="CK227" s="16">
        <f t="shared" si="142"/>
        <v>0.20307692307692315</v>
      </c>
      <c r="CL227" s="16"/>
      <c r="CM227" s="16"/>
      <c r="CN227" s="16"/>
      <c r="CO227" s="16"/>
      <c r="CP227" s="5">
        <f>AR227/AM227-1</f>
        <v>0.23118796029458855</v>
      </c>
      <c r="CQ227" s="5">
        <f>AS227/AN227-1</f>
        <v>0.31451343423967515</v>
      </c>
      <c r="CR227" s="5">
        <f>AT227/AO227-1</f>
        <v>0.24770495123021363</v>
      </c>
      <c r="CS227" s="5">
        <f>AU227/AP227-1</f>
        <v>0.17548410353663968</v>
      </c>
      <c r="CT227" s="5">
        <f>AW227/AR227-1</f>
        <v>0.18335500650195069</v>
      </c>
      <c r="CU227" s="5">
        <f>AX227/AS227-1</f>
        <v>9.684222418890176E-2</v>
      </c>
      <c r="CV227" s="5">
        <f>AY227/AT227-1</f>
        <v>8.2009562259506508E-2</v>
      </c>
      <c r="CW227" s="5">
        <f>AZ227/AU227-1</f>
        <v>0.16888888888888887</v>
      </c>
      <c r="CX227" s="5">
        <f>BB227/AW227-1</f>
        <v>0.16263736263736273</v>
      </c>
      <c r="CY227" s="5">
        <f>BC227/AX227-1</f>
        <v>0.14914163090128763</v>
      </c>
      <c r="CZ227" s="5">
        <f>BD227/AY227-1</f>
        <v>0.12916666666666665</v>
      </c>
      <c r="DA227" s="5">
        <f>BE227/AZ227-1</f>
        <v>0.1197718631178708</v>
      </c>
      <c r="DB227" s="5">
        <f>BG227/BB227-1</f>
        <v>5.8601134215500839E-2</v>
      </c>
      <c r="DC227" s="5">
        <f>BH227/BC227-1</f>
        <v>0.10737628384687214</v>
      </c>
    </row>
    <row r="228" spans="4:107">
      <c r="D228" s="791" t="s">
        <v>3604</v>
      </c>
      <c r="E228" s="2"/>
      <c r="F228" s="2"/>
      <c r="G228" s="10"/>
      <c r="H228" s="10"/>
      <c r="I228" s="10"/>
      <c r="J228" s="10"/>
      <c r="K228" s="10"/>
      <c r="L228" s="10"/>
      <c r="M228" s="10"/>
      <c r="N228" s="10"/>
      <c r="O228" s="10"/>
      <c r="P228" s="10"/>
      <c r="Q228" s="10"/>
      <c r="R228" s="10"/>
      <c r="S228" s="10"/>
      <c r="T228" s="10"/>
      <c r="U228" s="10"/>
      <c r="V228" s="10"/>
      <c r="W228" s="181"/>
      <c r="X228" s="10"/>
      <c r="Y228" s="10"/>
      <c r="Z228" s="10"/>
      <c r="AA228" s="10"/>
      <c r="AB228" s="181"/>
      <c r="AC228" s="10"/>
      <c r="AD228" s="10"/>
      <c r="AE228" s="10"/>
      <c r="AF228" s="10"/>
      <c r="AG228" s="181"/>
      <c r="AH228" s="10"/>
      <c r="AI228" s="10"/>
      <c r="AJ228" s="10"/>
      <c r="AK228" s="10"/>
      <c r="AL228" s="181"/>
      <c r="AM228" s="19"/>
      <c r="AN228" s="19"/>
      <c r="AO228" s="19"/>
      <c r="AP228" s="19"/>
      <c r="AQ228" s="181"/>
      <c r="AR228" s="19"/>
      <c r="AS228" s="19"/>
      <c r="AT228" s="19"/>
      <c r="AU228" s="19"/>
      <c r="AV228" s="181"/>
      <c r="AW228" s="19"/>
      <c r="AX228" s="19"/>
      <c r="AY228" s="19"/>
      <c r="AZ228" s="19"/>
      <c r="BA228" s="181"/>
      <c r="BB228" s="792"/>
      <c r="BC228" s="792"/>
      <c r="BD228" s="792"/>
      <c r="BE228" s="792"/>
      <c r="BF228" s="292"/>
      <c r="BG228" s="792"/>
      <c r="BH228" s="792"/>
      <c r="BI228" s="584">
        <f>186-4</f>
        <v>182</v>
      </c>
      <c r="BJ228" s="10">
        <v>316</v>
      </c>
      <c r="BK228" s="181">
        <f>Div!N31</f>
        <v>498</v>
      </c>
      <c r="BL228" s="10">
        <v>273</v>
      </c>
      <c r="BM228" s="10">
        <v>275</v>
      </c>
      <c r="BN228" s="10">
        <v>243</v>
      </c>
      <c r="BO228" s="10"/>
      <c r="BP228" s="181">
        <f>Div!O31</f>
        <v>1041.2126727509778</v>
      </c>
      <c r="BQ228" s="181"/>
      <c r="BR228" s="181"/>
      <c r="BS228" s="181"/>
      <c r="BT228" s="181"/>
      <c r="BU228" s="10"/>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row>
    <row r="229" spans="4:107">
      <c r="D229" s="559" t="s">
        <v>3793</v>
      </c>
      <c r="E229" s="23"/>
      <c r="F229" s="23"/>
      <c r="G229" s="218"/>
      <c r="H229" s="218"/>
      <c r="I229" s="218"/>
      <c r="J229" s="218"/>
      <c r="K229" s="218"/>
      <c r="L229" s="218"/>
      <c r="M229" s="218"/>
      <c r="N229" s="218"/>
      <c r="O229" s="218"/>
      <c r="P229" s="218"/>
      <c r="Q229" s="218"/>
      <c r="R229" s="218"/>
      <c r="S229" s="218"/>
      <c r="T229" s="218"/>
      <c r="U229" s="218"/>
      <c r="V229" s="218"/>
      <c r="W229" s="348"/>
      <c r="X229" s="218"/>
      <c r="Y229" s="218"/>
      <c r="Z229" s="218"/>
      <c r="AA229" s="218"/>
      <c r="AB229" s="348"/>
      <c r="AC229" s="218"/>
      <c r="AD229" s="218"/>
      <c r="AE229" s="218"/>
      <c r="AF229" s="218"/>
      <c r="AG229" s="348"/>
      <c r="AH229" s="218"/>
      <c r="AI229" s="218"/>
      <c r="AJ229" s="218"/>
      <c r="AK229" s="218"/>
      <c r="AL229" s="348"/>
      <c r="AM229" s="127"/>
      <c r="AN229" s="127"/>
      <c r="AO229" s="127"/>
      <c r="AP229" s="127"/>
      <c r="AQ229" s="348"/>
      <c r="AR229" s="127"/>
      <c r="AS229" s="127"/>
      <c r="AT229" s="127"/>
      <c r="AU229" s="127"/>
      <c r="AV229" s="348"/>
      <c r="AW229" s="127"/>
      <c r="AX229" s="127"/>
      <c r="AY229" s="127"/>
      <c r="AZ229" s="127"/>
      <c r="BA229" s="348"/>
      <c r="BB229" s="957"/>
      <c r="BC229" s="957"/>
      <c r="BD229" s="957"/>
      <c r="BE229" s="957"/>
      <c r="BF229" s="958"/>
      <c r="BG229" s="957"/>
      <c r="BH229" s="957"/>
      <c r="BI229" s="957"/>
      <c r="BJ229" s="218"/>
      <c r="BK229" s="348"/>
      <c r="BL229" s="218">
        <f>BL230-BL228</f>
        <v>252</v>
      </c>
      <c r="BM229" s="218">
        <f>BM230-BM228</f>
        <v>258</v>
      </c>
      <c r="BN229" s="218">
        <f>BN230-BN228</f>
        <v>222</v>
      </c>
      <c r="BO229" s="218"/>
      <c r="BP229" s="181">
        <f>Div!O30</f>
        <v>940.78732724902216</v>
      </c>
      <c r="BQ229" s="181"/>
      <c r="BR229" s="181"/>
      <c r="BS229" s="181"/>
      <c r="BT229" s="181"/>
      <c r="BU229" s="10"/>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row>
    <row r="230" spans="4:107">
      <c r="D230" s="791" t="s">
        <v>1665</v>
      </c>
      <c r="E230" s="2"/>
      <c r="F230" s="2"/>
      <c r="G230" s="10"/>
      <c r="H230" s="10"/>
      <c r="I230" s="10"/>
      <c r="J230" s="10"/>
      <c r="K230" s="10"/>
      <c r="L230" s="10"/>
      <c r="M230" s="10"/>
      <c r="N230" s="10"/>
      <c r="O230" s="10"/>
      <c r="P230" s="10"/>
      <c r="Q230" s="10"/>
      <c r="R230" s="10"/>
      <c r="S230" s="10"/>
      <c r="T230" s="10"/>
      <c r="U230" s="10"/>
      <c r="V230" s="10"/>
      <c r="W230" s="181"/>
      <c r="X230" s="10"/>
      <c r="Y230" s="10"/>
      <c r="Z230" s="10"/>
      <c r="AA230" s="10"/>
      <c r="AB230" s="181"/>
      <c r="AC230" s="10"/>
      <c r="AD230" s="10"/>
      <c r="AE230" s="10"/>
      <c r="AF230" s="10"/>
      <c r="AG230" s="181"/>
      <c r="AH230" s="10"/>
      <c r="AI230" s="10"/>
      <c r="AJ230" s="10"/>
      <c r="AK230" s="10"/>
      <c r="AL230" s="181"/>
      <c r="AM230" s="19"/>
      <c r="AN230" s="19"/>
      <c r="AO230" s="19"/>
      <c r="AP230" s="19"/>
      <c r="AQ230" s="181"/>
      <c r="AR230" s="19"/>
      <c r="AS230" s="19"/>
      <c r="AT230" s="19"/>
      <c r="AU230" s="19"/>
      <c r="AV230" s="181"/>
      <c r="AW230" s="19"/>
      <c r="AX230" s="19"/>
      <c r="AY230" s="19"/>
      <c r="AZ230" s="19"/>
      <c r="BA230" s="181"/>
      <c r="BB230" s="792"/>
      <c r="BC230" s="792"/>
      <c r="BD230" s="792"/>
      <c r="BE230" s="792"/>
      <c r="BF230" s="292"/>
      <c r="BG230" s="792"/>
      <c r="BH230" s="792"/>
      <c r="BI230" s="792"/>
      <c r="BJ230" s="10"/>
      <c r="BK230" s="181"/>
      <c r="BL230" s="10">
        <v>525</v>
      </c>
      <c r="BM230" s="584">
        <v>533</v>
      </c>
      <c r="BN230" s="10">
        <v>465</v>
      </c>
      <c r="BO230" s="10">
        <v>459</v>
      </c>
      <c r="BP230" s="181"/>
      <c r="BQ230" s="181"/>
      <c r="BR230" s="181"/>
      <c r="BS230" s="181"/>
      <c r="BT230" s="181"/>
      <c r="BU230" s="10"/>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row>
    <row r="231" spans="4:107">
      <c r="D231" s="791"/>
      <c r="E231" s="2"/>
      <c r="F231" s="2"/>
      <c r="G231" s="10"/>
      <c r="H231" s="10"/>
      <c r="I231" s="10"/>
      <c r="J231" s="10"/>
      <c r="K231" s="10"/>
      <c r="L231" s="10"/>
      <c r="M231" s="10"/>
      <c r="N231" s="10"/>
      <c r="O231" s="10"/>
      <c r="P231" s="10"/>
      <c r="Q231" s="10"/>
      <c r="R231" s="10"/>
      <c r="S231" s="10"/>
      <c r="T231" s="10"/>
      <c r="U231" s="10"/>
      <c r="V231" s="10"/>
      <c r="W231" s="181"/>
      <c r="X231" s="10"/>
      <c r="Y231" s="10"/>
      <c r="Z231" s="10"/>
      <c r="AA231" s="10"/>
      <c r="AB231" s="181"/>
      <c r="AC231" s="10"/>
      <c r="AD231" s="10"/>
      <c r="AE231" s="10"/>
      <c r="AF231" s="10"/>
      <c r="AG231" s="181"/>
      <c r="AH231" s="10"/>
      <c r="AI231" s="10"/>
      <c r="AJ231" s="10"/>
      <c r="AK231" s="10"/>
      <c r="AL231" s="181"/>
      <c r="AM231" s="19"/>
      <c r="AN231" s="19"/>
      <c r="AO231" s="19"/>
      <c r="AP231" s="19"/>
      <c r="AQ231" s="181"/>
      <c r="AR231" s="19"/>
      <c r="AS231" s="19"/>
      <c r="AT231" s="19"/>
      <c r="AU231" s="19"/>
      <c r="AV231" s="181"/>
      <c r="AW231" s="19"/>
      <c r="AX231" s="19"/>
      <c r="AY231" s="19"/>
      <c r="AZ231" s="19"/>
      <c r="BA231" s="181"/>
      <c r="BB231" s="611"/>
      <c r="BC231" s="611"/>
      <c r="BD231" s="611"/>
      <c r="BE231" s="611"/>
      <c r="BF231" s="292"/>
      <c r="BG231" s="610">
        <f>BG222-BG228</f>
        <v>269.31879178103873</v>
      </c>
      <c r="BH231" s="610">
        <f>BH222-BH228</f>
        <v>292.70278291995629</v>
      </c>
      <c r="BI231" s="610">
        <f>BI222-BI228</f>
        <v>308.71709574431816</v>
      </c>
      <c r="BJ231" s="610"/>
      <c r="BK231" s="133"/>
      <c r="BL231" s="9"/>
      <c r="BM231" s="9"/>
      <c r="BN231" s="9"/>
      <c r="BO231" s="9"/>
      <c r="BP231" s="133"/>
      <c r="BQ231" s="133"/>
      <c r="BR231" s="133"/>
      <c r="BS231" s="133"/>
      <c r="BT231" s="133"/>
      <c r="BU231" s="9"/>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row>
    <row r="232" spans="4:107">
      <c r="D232" s="4" t="str">
        <f t="shared" ref="D232:D238" si="143">D154</f>
        <v>Ghana</v>
      </c>
      <c r="E232" s="2"/>
      <c r="F232" s="2"/>
      <c r="G232" s="10"/>
      <c r="H232" s="10"/>
      <c r="I232" s="10"/>
      <c r="J232" s="10"/>
      <c r="K232" s="10"/>
      <c r="L232" s="10"/>
      <c r="M232" s="10"/>
      <c r="N232" s="10"/>
      <c r="O232" s="10"/>
      <c r="P232" s="10"/>
      <c r="Q232" s="10"/>
      <c r="R232" s="10"/>
      <c r="S232" s="10"/>
      <c r="T232" s="10"/>
      <c r="U232" s="10"/>
      <c r="V232" s="10"/>
      <c r="W232" s="181"/>
      <c r="X232" s="10"/>
      <c r="Y232" s="10"/>
      <c r="Z232" s="10"/>
      <c r="AA232" s="10"/>
      <c r="AB232" s="181"/>
      <c r="AC232" s="10"/>
      <c r="AD232" s="10"/>
      <c r="AE232" s="31">
        <f>AE154/AE453</f>
        <v>53.370805135581222</v>
      </c>
      <c r="AF232" s="10"/>
      <c r="AG232" s="181"/>
      <c r="AH232" s="10"/>
      <c r="AI232" s="31">
        <f>AI154/AI453</f>
        <v>46.621398905662879</v>
      </c>
      <c r="AJ232" s="31">
        <f>AJ154/AJ453</f>
        <v>48.125088257570901</v>
      </c>
      <c r="AK232" s="31">
        <f>AK154/AK453</f>
        <v>52.953285827395113</v>
      </c>
      <c r="AL232" s="181"/>
      <c r="AM232" s="403">
        <f>AM154/AM453</f>
        <v>50.530526666695899</v>
      </c>
      <c r="AN232" s="31">
        <f>AN154/AN453</f>
        <v>49.84554900308904</v>
      </c>
      <c r="AO232" s="31">
        <f>AO154/AO453</f>
        <v>54.933361428646677</v>
      </c>
      <c r="AP232" s="31">
        <f>AP154/AP453</f>
        <v>58.826490166224161</v>
      </c>
      <c r="AQ232" s="46">
        <f>Africa!K90</f>
        <v>214.22411176986026</v>
      </c>
      <c r="AR232" s="31">
        <f>AR154/AR453</f>
        <v>53.163297365506963</v>
      </c>
      <c r="AS232" s="31">
        <f>AS154/AS453</f>
        <v>53.564556230006588</v>
      </c>
      <c r="AT232" s="31">
        <f>AT154/AT453</f>
        <v>50.559122953989572</v>
      </c>
      <c r="AU232" s="31">
        <f>AU154/AU453</f>
        <v>46.932515337423318</v>
      </c>
      <c r="AV232" s="46">
        <f>Africa!L90</f>
        <v>188.98327887774897</v>
      </c>
      <c r="AW232" s="31"/>
      <c r="AX232" s="31"/>
      <c r="AY232" s="31"/>
      <c r="AZ232" s="31"/>
      <c r="BA232" s="46">
        <f>Africa!M90</f>
        <v>163.74244598563769</v>
      </c>
      <c r="BB232" s="610"/>
      <c r="BC232" s="610"/>
      <c r="BD232" s="610"/>
      <c r="BE232" s="610"/>
      <c r="BF232" s="46">
        <f>Africa!N90</f>
        <v>169</v>
      </c>
      <c r="BG232" s="610"/>
      <c r="BH232" s="610"/>
      <c r="BI232" s="610"/>
      <c r="BJ232" s="610"/>
      <c r="BK232" s="46">
        <f>Africa!O90</f>
        <v>146</v>
      </c>
      <c r="BL232" s="31"/>
      <c r="BM232" s="31"/>
      <c r="BN232" s="31"/>
      <c r="BO232" s="31"/>
      <c r="BP232" s="46">
        <f>Africa!P90</f>
        <v>139.22824284744019</v>
      </c>
      <c r="BQ232" s="46"/>
      <c r="BR232" s="46"/>
      <c r="BS232" s="46"/>
      <c r="BT232" s="46"/>
      <c r="BU232" s="31"/>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row>
    <row r="233" spans="4:107">
      <c r="D233" s="4" t="str">
        <f t="shared" si="143"/>
        <v>Mauritius</v>
      </c>
      <c r="E233" s="2"/>
      <c r="F233" s="2"/>
      <c r="G233" s="10"/>
      <c r="H233" s="10"/>
      <c r="I233" s="10"/>
      <c r="J233" s="10"/>
      <c r="K233" s="10"/>
      <c r="L233" s="10"/>
      <c r="M233" s="10"/>
      <c r="N233" s="10"/>
      <c r="O233" s="10"/>
      <c r="P233" s="10"/>
      <c r="Q233" s="10"/>
      <c r="R233" s="10"/>
      <c r="S233" s="10"/>
      <c r="T233" s="10"/>
      <c r="U233" s="10"/>
      <c r="V233" s="10"/>
      <c r="W233" s="181"/>
      <c r="X233" s="10"/>
      <c r="Y233" s="10"/>
      <c r="Z233" s="10"/>
      <c r="AA233" s="10"/>
      <c r="AB233" s="181"/>
      <c r="AC233" s="10"/>
      <c r="AD233" s="10"/>
      <c r="AE233" s="31">
        <f>AE155*$B$135/AE454</f>
        <v>9.1035977602259468</v>
      </c>
      <c r="AF233" s="10"/>
      <c r="AG233" s="181"/>
      <c r="AH233" s="10"/>
      <c r="AI233" s="31">
        <f>AI155*$B$135/AI454</f>
        <v>7.6787983308497019</v>
      </c>
      <c r="AJ233" s="31">
        <f>AJ155*$B$135/AJ454</f>
        <v>8.7088054575951386</v>
      </c>
      <c r="AK233" s="31">
        <f>AK155*$B$135/AK454</f>
        <v>10.122057872922928</v>
      </c>
      <c r="AL233" s="181"/>
      <c r="AM233" s="31">
        <f>AM155*$B$135/AM454</f>
        <v>9.9613359157491992</v>
      </c>
      <c r="AN233" s="31">
        <f>AN155*$B$135/AN454</f>
        <v>9.0266433740665519</v>
      </c>
      <c r="AO233" s="31">
        <f>AO155*$B$135/AO454</f>
        <v>8.942783186286551</v>
      </c>
      <c r="AP233" s="31">
        <f>AP155*$B$135/AP454</f>
        <v>9.9592976582572668</v>
      </c>
      <c r="AQ233" s="46">
        <f>Africa!K91</f>
        <v>37.854927910574844</v>
      </c>
      <c r="AR233" s="31">
        <f>AR155*$B$135/AR454</f>
        <v>10.264117276886356</v>
      </c>
      <c r="AS233" s="31">
        <f>AS155*$B$135/AS454</f>
        <v>10.543275234635708</v>
      </c>
      <c r="AT233" s="31">
        <f>AT155*$B$135/AT454</f>
        <v>10.124910216374044</v>
      </c>
      <c r="AU233" s="31">
        <f>AU155*$B$135/AU454</f>
        <v>10.824742268041236</v>
      </c>
      <c r="AV233" s="46">
        <f>Africa!L91</f>
        <v>37.854927910574844</v>
      </c>
      <c r="AW233" s="31"/>
      <c r="AX233" s="31"/>
      <c r="AY233" s="31"/>
      <c r="AZ233" s="31"/>
      <c r="BA233" s="46">
        <f>Africa!M91</f>
        <v>0</v>
      </c>
      <c r="BB233" s="610"/>
      <c r="BC233" s="610"/>
      <c r="BD233" s="610"/>
      <c r="BE233" s="610"/>
      <c r="BF233" s="46">
        <f>Africa!N91</f>
        <v>0</v>
      </c>
      <c r="BG233" s="610"/>
      <c r="BH233" s="610"/>
      <c r="BI233" s="610"/>
      <c r="BJ233" s="610"/>
      <c r="BK233" s="46">
        <f>Africa!O91</f>
        <v>0</v>
      </c>
      <c r="BL233" s="31"/>
      <c r="BM233" s="31"/>
      <c r="BN233" s="31"/>
      <c r="BO233" s="31"/>
      <c r="BP233" s="46">
        <f>Africa!P91</f>
        <v>0</v>
      </c>
      <c r="BQ233" s="46"/>
      <c r="BR233" s="46"/>
      <c r="BS233" s="46"/>
      <c r="BT233" s="46"/>
      <c r="BU233" s="31"/>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row>
    <row r="234" spans="4:107">
      <c r="D234" s="4" t="str">
        <f t="shared" si="143"/>
        <v>Senegal</v>
      </c>
      <c r="E234" s="2"/>
      <c r="F234" s="2"/>
      <c r="G234" s="10"/>
      <c r="H234" s="10"/>
      <c r="I234" s="10"/>
      <c r="J234" s="10"/>
      <c r="K234" s="10"/>
      <c r="L234" s="10"/>
      <c r="M234" s="10"/>
      <c r="N234" s="10"/>
      <c r="O234" s="10"/>
      <c r="P234" s="10"/>
      <c r="Q234" s="10"/>
      <c r="R234" s="10"/>
      <c r="S234" s="10"/>
      <c r="T234" s="10"/>
      <c r="U234" s="10"/>
      <c r="V234" s="10"/>
      <c r="W234" s="181"/>
      <c r="X234" s="10"/>
      <c r="Y234" s="10"/>
      <c r="Z234" s="10"/>
      <c r="AA234" s="10"/>
      <c r="AB234" s="181"/>
      <c r="AC234" s="10"/>
      <c r="AD234" s="10"/>
      <c r="AE234" s="31">
        <f>AE156/AE455</f>
        <v>42.666351422555174</v>
      </c>
      <c r="AF234" s="10"/>
      <c r="AG234" s="181"/>
      <c r="AH234" s="10"/>
      <c r="AI234" s="31">
        <f t="shared" ref="AI234:AK236" si="144">AI156/AI455</f>
        <v>37.35584706036591</v>
      </c>
      <c r="AJ234" s="31">
        <f t="shared" si="144"/>
        <v>36.588557103961051</v>
      </c>
      <c r="AK234" s="31">
        <f t="shared" si="144"/>
        <v>41.575196191627185</v>
      </c>
      <c r="AL234" s="181"/>
      <c r="AM234" s="31">
        <f t="shared" ref="AM234:AP236" si="145">AM156/AM455</f>
        <v>41.322835838279644</v>
      </c>
      <c r="AN234" s="31">
        <f t="shared" si="145"/>
        <v>36.422661521292895</v>
      </c>
      <c r="AO234" s="31">
        <f t="shared" si="145"/>
        <v>37.867804549558066</v>
      </c>
      <c r="AP234" s="31">
        <f t="shared" si="145"/>
        <v>37.458283615252505</v>
      </c>
      <c r="AQ234" s="46">
        <f>Africa!K92</f>
        <v>152.87179467264676</v>
      </c>
      <c r="AR234" s="31">
        <f t="shared" ref="AR234:AU236" si="146">AR156/AR455</f>
        <v>41.202844974904664</v>
      </c>
      <c r="AS234" s="31">
        <f t="shared" si="146"/>
        <v>41.986151504079878</v>
      </c>
      <c r="AT234" s="31">
        <f t="shared" si="146"/>
        <v>39.306668703123648</v>
      </c>
      <c r="AU234" s="31">
        <f t="shared" si="146"/>
        <v>35.321311475409836</v>
      </c>
      <c r="AV234" s="46">
        <f>Africa!L92</f>
        <v>135.34324070920522</v>
      </c>
      <c r="AW234" s="31"/>
      <c r="AX234" s="31"/>
      <c r="AY234" s="31"/>
      <c r="AZ234" s="31"/>
      <c r="BA234" s="46">
        <f>Africa!M92</f>
        <v>117.81468674576369</v>
      </c>
      <c r="BB234" s="610"/>
      <c r="BC234" s="610"/>
      <c r="BD234" s="610"/>
      <c r="BE234" s="610"/>
      <c r="BF234" s="46">
        <f>Africa!N92</f>
        <v>116.24828331935663</v>
      </c>
      <c r="BG234" s="610"/>
      <c r="BH234" s="610"/>
      <c r="BI234" s="610"/>
      <c r="BJ234" s="610"/>
      <c r="BK234" s="46">
        <f>Africa!O92</f>
        <v>114.94093281724798</v>
      </c>
      <c r="BL234" s="31"/>
      <c r="BM234" s="31"/>
      <c r="BN234" s="31"/>
      <c r="BO234" s="31"/>
      <c r="BP234" s="46">
        <f ca="1">Africa!P92</f>
        <v>113.26644024469326</v>
      </c>
      <c r="BQ234" s="46"/>
      <c r="BR234" s="46"/>
      <c r="BS234" s="46"/>
      <c r="BT234" s="46"/>
      <c r="BU234" s="31"/>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row>
    <row r="235" spans="4:107">
      <c r="D235" s="4" t="str">
        <f t="shared" si="143"/>
        <v>Tanzania</v>
      </c>
      <c r="E235" s="2"/>
      <c r="F235" s="2"/>
      <c r="G235" s="10"/>
      <c r="H235" s="10"/>
      <c r="I235" s="10"/>
      <c r="J235" s="10"/>
      <c r="K235" s="10"/>
      <c r="L235" s="10"/>
      <c r="M235" s="10"/>
      <c r="N235" s="10"/>
      <c r="O235" s="10"/>
      <c r="P235" s="10"/>
      <c r="Q235" s="10"/>
      <c r="R235" s="10"/>
      <c r="S235" s="10"/>
      <c r="T235" s="10"/>
      <c r="U235" s="10"/>
      <c r="V235" s="10"/>
      <c r="W235" s="181"/>
      <c r="X235" s="10"/>
      <c r="Y235" s="10"/>
      <c r="Z235" s="10"/>
      <c r="AA235" s="10"/>
      <c r="AB235" s="181"/>
      <c r="AC235" s="10"/>
      <c r="AD235" s="10"/>
      <c r="AE235" s="31">
        <f>AE157/AE456</f>
        <v>49.245882398967183</v>
      </c>
      <c r="AF235" s="10"/>
      <c r="AG235" s="181"/>
      <c r="AH235" s="10"/>
      <c r="AI235" s="31">
        <f t="shared" si="144"/>
        <v>46.469934023413288</v>
      </c>
      <c r="AJ235" s="31">
        <f t="shared" si="144"/>
        <v>55.401709205093113</v>
      </c>
      <c r="AK235" s="31">
        <f t="shared" si="144"/>
        <v>62.971323271423394</v>
      </c>
      <c r="AL235" s="181"/>
      <c r="AM235" s="31">
        <f t="shared" si="145"/>
        <v>60.251860815892861</v>
      </c>
      <c r="AN235" s="31">
        <f t="shared" si="145"/>
        <v>61.548572791431326</v>
      </c>
      <c r="AO235" s="31">
        <f t="shared" si="145"/>
        <v>65.44219580825731</v>
      </c>
      <c r="AP235" s="31">
        <f t="shared" si="145"/>
        <v>67.506600104131564</v>
      </c>
      <c r="AQ235" s="46">
        <f>Africa!K93</f>
        <v>255.20237148773441</v>
      </c>
      <c r="AR235" s="31">
        <f t="shared" si="146"/>
        <v>63.842791021728168</v>
      </c>
      <c r="AS235" s="31">
        <f t="shared" si="146"/>
        <v>65.174051817505742</v>
      </c>
      <c r="AT235" s="31">
        <f t="shared" si="146"/>
        <v>67.555503870109305</v>
      </c>
      <c r="AU235" s="31">
        <f t="shared" si="146"/>
        <v>75.720791345583876</v>
      </c>
      <c r="AV235" s="46">
        <f>Africa!L93</f>
        <v>299.33106811904815</v>
      </c>
      <c r="AW235" s="31"/>
      <c r="AX235" s="31"/>
      <c r="AY235" s="31"/>
      <c r="AZ235" s="31"/>
      <c r="BA235" s="46">
        <f>Africa!M93</f>
        <v>343.45976475036196</v>
      </c>
      <c r="BB235" s="610"/>
      <c r="BC235" s="610"/>
      <c r="BD235" s="610"/>
      <c r="BE235" s="610"/>
      <c r="BF235" s="46">
        <f>Africa!N93</f>
        <v>351</v>
      </c>
      <c r="BG235" s="610"/>
      <c r="BH235" s="610"/>
      <c r="BI235" s="610"/>
      <c r="BJ235" s="610"/>
      <c r="BK235" s="46">
        <f>Africa!O93</f>
        <v>368</v>
      </c>
      <c r="BL235" s="31"/>
      <c r="BM235" s="31"/>
      <c r="BN235" s="31"/>
      <c r="BO235" s="31"/>
      <c r="BP235" s="46">
        <f>Africa!P93</f>
        <v>368</v>
      </c>
      <c r="BQ235" s="46"/>
      <c r="BR235" s="46"/>
      <c r="BS235" s="46"/>
      <c r="BT235" s="46"/>
      <c r="BU235" s="31"/>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row>
    <row r="236" spans="4:107">
      <c r="D236" s="4" t="str">
        <f t="shared" si="143"/>
        <v>Chad</v>
      </c>
      <c r="E236" s="2"/>
      <c r="F236" s="2"/>
      <c r="G236" s="10"/>
      <c r="H236" s="10"/>
      <c r="I236" s="10"/>
      <c r="J236" s="10"/>
      <c r="K236" s="10"/>
      <c r="L236" s="10"/>
      <c r="M236" s="10"/>
      <c r="N236" s="10"/>
      <c r="O236" s="10"/>
      <c r="P236" s="10"/>
      <c r="Q236" s="10"/>
      <c r="R236" s="10"/>
      <c r="S236" s="10"/>
      <c r="T236" s="10"/>
      <c r="U236" s="10"/>
      <c r="V236" s="10"/>
      <c r="W236" s="181"/>
      <c r="X236" s="10"/>
      <c r="Y236" s="10"/>
      <c r="Z236" s="10"/>
      <c r="AA236" s="10"/>
      <c r="AB236" s="181"/>
      <c r="AC236" s="10"/>
      <c r="AD236" s="10"/>
      <c r="AE236" s="31">
        <f>AE158/AE457</f>
        <v>11.73593574504441</v>
      </c>
      <c r="AF236" s="10"/>
      <c r="AG236" s="181"/>
      <c r="AH236" s="10"/>
      <c r="AI236" s="31">
        <f t="shared" si="144"/>
        <v>21.861518901738489</v>
      </c>
      <c r="AJ236" s="31">
        <f t="shared" si="144"/>
        <v>23.649286760530924</v>
      </c>
      <c r="AK236" s="31">
        <f t="shared" si="144"/>
        <v>30.457425753632382</v>
      </c>
      <c r="AL236" s="181"/>
      <c r="AM236" s="31">
        <f t="shared" si="145"/>
        <v>28.486577934561659</v>
      </c>
      <c r="AN236" s="31">
        <f t="shared" si="145"/>
        <v>26.200899096375263</v>
      </c>
      <c r="AO236" s="31">
        <f t="shared" si="145"/>
        <v>22.384228055532962</v>
      </c>
      <c r="AP236" s="31">
        <f t="shared" si="145"/>
        <v>28.566975067841902</v>
      </c>
      <c r="AQ236" s="46">
        <f>Africa!K94</f>
        <v>105.29827138100856</v>
      </c>
      <c r="AR236" s="31">
        <f t="shared" si="146"/>
        <v>32.341029003561779</v>
      </c>
      <c r="AS236" s="31">
        <f t="shared" si="146"/>
        <v>35.532982297473403</v>
      </c>
      <c r="AT236" s="31">
        <f t="shared" si="146"/>
        <v>35.49051757000305</v>
      </c>
      <c r="AU236" s="31">
        <f t="shared" si="146"/>
        <v>35.302254098360656</v>
      </c>
      <c r="AV236" s="46">
        <f>Africa!L94</f>
        <v>113.0541233864255</v>
      </c>
      <c r="AW236" s="31"/>
      <c r="AX236" s="31"/>
      <c r="AY236" s="31"/>
      <c r="AZ236" s="31"/>
      <c r="BA236" s="46">
        <f>Africa!M94</f>
        <v>120.80997539184244</v>
      </c>
      <c r="BB236" s="610"/>
      <c r="BC236" s="610"/>
      <c r="BD236" s="610"/>
      <c r="BE236" s="612"/>
      <c r="BF236" s="46">
        <f>Africa!N94</f>
        <v>149</v>
      </c>
      <c r="BG236" s="612"/>
      <c r="BH236" s="612"/>
      <c r="BI236" s="612"/>
      <c r="BJ236" s="612"/>
      <c r="BK236" s="46">
        <f>Africa!O94</f>
        <v>180</v>
      </c>
      <c r="BL236" s="31"/>
      <c r="BM236" s="31"/>
      <c r="BN236" s="31"/>
      <c r="BO236" s="31"/>
      <c r="BP236" s="46">
        <f>Africa!P94</f>
        <v>152.28571428571428</v>
      </c>
      <c r="BQ236" s="46"/>
      <c r="BR236" s="46"/>
      <c r="BS236" s="46"/>
      <c r="BT236" s="46"/>
      <c r="BU236" s="31"/>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row>
    <row r="237" spans="4:107">
      <c r="D237" s="4" t="str">
        <f t="shared" si="143"/>
        <v>DRC (in $)</v>
      </c>
      <c r="E237" s="2"/>
      <c r="F237" s="2"/>
      <c r="G237" s="10"/>
      <c r="H237" s="10"/>
      <c r="I237" s="10"/>
      <c r="J237" s="10"/>
      <c r="K237" s="10"/>
      <c r="L237" s="10"/>
      <c r="M237" s="10"/>
      <c r="N237" s="10"/>
      <c r="O237" s="10"/>
      <c r="P237" s="10"/>
      <c r="Q237" s="10"/>
      <c r="R237" s="10"/>
      <c r="S237" s="10"/>
      <c r="T237" s="10"/>
      <c r="U237" s="10"/>
      <c r="V237" s="10"/>
      <c r="W237" s="181"/>
      <c r="X237" s="10"/>
      <c r="Y237" s="10"/>
      <c r="Z237" s="10"/>
      <c r="AA237" s="10"/>
      <c r="AB237" s="181"/>
      <c r="AC237" s="10"/>
      <c r="AD237" s="10"/>
      <c r="AE237" s="31">
        <f>AE159</f>
        <v>21</v>
      </c>
      <c r="AF237" s="10"/>
      <c r="AG237" s="181"/>
      <c r="AH237" s="10"/>
      <c r="AI237" s="31">
        <f>AI159</f>
        <v>23</v>
      </c>
      <c r="AJ237" s="31">
        <f>AJ159</f>
        <v>28</v>
      </c>
      <c r="AK237" s="31">
        <f>AK159</f>
        <v>28</v>
      </c>
      <c r="AL237" s="181"/>
      <c r="AM237" s="31">
        <f>AM159</f>
        <v>29</v>
      </c>
      <c r="AN237" s="31">
        <f>AN159</f>
        <v>32</v>
      </c>
      <c r="AO237" s="31">
        <f>AO159</f>
        <v>35</v>
      </c>
      <c r="AP237" s="31">
        <f>AP159</f>
        <v>34</v>
      </c>
      <c r="AQ237" s="46">
        <f>Africa!K95</f>
        <v>130</v>
      </c>
      <c r="AR237" s="31">
        <f>AR159</f>
        <v>34.799999999999997</v>
      </c>
      <c r="AS237" s="31">
        <f>AS159</f>
        <v>36.799999999999997</v>
      </c>
      <c r="AT237" s="31">
        <f>AT159</f>
        <v>40.25</v>
      </c>
      <c r="AU237" s="31">
        <f>AU159</f>
        <v>38.080000000000005</v>
      </c>
      <c r="AV237" s="46">
        <f>Africa!L95</f>
        <v>138.3845718289291</v>
      </c>
      <c r="AW237" s="31"/>
      <c r="AX237" s="31"/>
      <c r="AY237" s="31"/>
      <c r="AZ237" s="31"/>
      <c r="BA237" s="46">
        <f>Africa!M95</f>
        <v>146.76914365785817</v>
      </c>
      <c r="BB237" s="610"/>
      <c r="BC237" s="610"/>
      <c r="BD237" s="610"/>
      <c r="BE237" s="612"/>
      <c r="BF237" s="46">
        <f>Africa!N95</f>
        <v>131.25966432561509</v>
      </c>
      <c r="BG237" s="612"/>
      <c r="BH237" s="612"/>
      <c r="BI237" s="612"/>
      <c r="BJ237" s="612"/>
      <c r="BK237" s="46">
        <f>Africa!O95</f>
        <v>127.5593928023995</v>
      </c>
      <c r="BL237" s="31"/>
      <c r="BM237" s="31"/>
      <c r="BN237" s="31"/>
      <c r="BO237" s="31"/>
      <c r="BP237" s="46">
        <f>Africa!P95</f>
        <v>151.17681667701501</v>
      </c>
      <c r="BQ237" s="46"/>
      <c r="BR237" s="46"/>
      <c r="BS237" s="46"/>
      <c r="BT237" s="46"/>
      <c r="BU237" s="31"/>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row>
    <row r="238" spans="4:107">
      <c r="D238" s="12" t="str">
        <f t="shared" si="143"/>
        <v>Rwanda</v>
      </c>
      <c r="E238" s="23"/>
      <c r="F238" s="23"/>
      <c r="G238" s="218"/>
      <c r="H238" s="218"/>
      <c r="I238" s="218"/>
      <c r="J238" s="218"/>
      <c r="K238" s="218"/>
      <c r="L238" s="218"/>
      <c r="M238" s="218"/>
      <c r="N238" s="218"/>
      <c r="O238" s="218"/>
      <c r="P238" s="218"/>
      <c r="Q238" s="218"/>
      <c r="R238" s="218"/>
      <c r="S238" s="218"/>
      <c r="T238" s="218"/>
      <c r="U238" s="218"/>
      <c r="V238" s="218"/>
      <c r="W238" s="348"/>
      <c r="X238" s="218"/>
      <c r="Y238" s="218"/>
      <c r="Z238" s="218"/>
      <c r="AA238" s="218"/>
      <c r="AB238" s="348"/>
      <c r="AC238" s="218"/>
      <c r="AD238" s="218"/>
      <c r="AE238" s="218"/>
      <c r="AF238" s="218"/>
      <c r="AG238" s="348"/>
      <c r="AH238" s="218"/>
      <c r="AI238" s="218"/>
      <c r="AJ238" s="218"/>
      <c r="AK238" s="218"/>
      <c r="AL238" s="348"/>
      <c r="AM238" s="93">
        <f>AM239-SUM(AM232:AM237)</f>
        <v>1.7227400510454061</v>
      </c>
      <c r="AN238" s="93">
        <f>AN239-SUM(AN232:AN237)</f>
        <v>4.2606742137449487</v>
      </c>
      <c r="AO238" s="93">
        <f>AO239-SUM(AO232:AO237)</f>
        <v>5.1456269717184568</v>
      </c>
      <c r="AP238" s="93">
        <f>AP239-SUM(AP232:AP237)</f>
        <v>2.527353388292596</v>
      </c>
      <c r="AQ238" s="400">
        <f>Africa!K96</f>
        <v>13.690400000399876</v>
      </c>
      <c r="AR238" s="93">
        <f>AR239-SUM(AR232:AR237)</f>
        <v>3.5859203574120784</v>
      </c>
      <c r="AS238" s="93">
        <f>AS239-SUM(AS232:AS237)</f>
        <v>2.7019829162986753</v>
      </c>
      <c r="AT238" s="93">
        <f>AT239-SUM(AT232:AT237)</f>
        <v>3.5022766864003643</v>
      </c>
      <c r="AU238" s="93">
        <f>AU239-SUM(AU232:AU237)</f>
        <v>6.81838547518106</v>
      </c>
      <c r="AV238" s="400">
        <f>Africa!L96</f>
        <v>25.815361425365278</v>
      </c>
      <c r="AW238" s="93"/>
      <c r="AX238" s="93"/>
      <c r="AY238" s="93"/>
      <c r="AZ238" s="93"/>
      <c r="BA238" s="400">
        <f>Africa!M96</f>
        <v>37.940322850330681</v>
      </c>
      <c r="BB238" s="609"/>
      <c r="BC238" s="609"/>
      <c r="BD238" s="609"/>
      <c r="BE238" s="609"/>
      <c r="BF238" s="400">
        <f>Africa!N96</f>
        <v>40.084846850049956</v>
      </c>
      <c r="BG238" s="609"/>
      <c r="BH238" s="609"/>
      <c r="BI238" s="609"/>
      <c r="BJ238" s="609"/>
      <c r="BK238" s="400">
        <f>Africa!O96</f>
        <v>63.318580354530283</v>
      </c>
      <c r="BL238" s="93"/>
      <c r="BM238" s="93"/>
      <c r="BN238" s="93"/>
      <c r="BO238" s="93"/>
      <c r="BP238" s="400">
        <f>Africa!P96</f>
        <v>63.694865494453467</v>
      </c>
      <c r="BQ238" s="400"/>
      <c r="BR238" s="400"/>
      <c r="BS238" s="400"/>
      <c r="BT238" s="400"/>
      <c r="BU238" s="93"/>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row>
    <row r="239" spans="4:107">
      <c r="D239" s="2" t="s">
        <v>1831</v>
      </c>
      <c r="E239" s="2"/>
      <c r="F239" s="2"/>
      <c r="G239" s="10">
        <v>17.992000000000001</v>
      </c>
      <c r="H239" s="10">
        <v>18.474</v>
      </c>
      <c r="I239" s="10">
        <v>21.178999999999998</v>
      </c>
      <c r="J239" s="10">
        <v>27.213000000000001</v>
      </c>
      <c r="K239" s="10">
        <v>31.672000000000001</v>
      </c>
      <c r="L239" s="10">
        <v>35.192999999999998</v>
      </c>
      <c r="M239" s="10">
        <v>38.759</v>
      </c>
      <c r="N239" s="10">
        <v>44.354999999999997</v>
      </c>
      <c r="O239" s="10">
        <v>47.954000000000001</v>
      </c>
      <c r="P239" s="10">
        <v>47.985999999999997</v>
      </c>
      <c r="Q239" s="10">
        <v>50.39</v>
      </c>
      <c r="R239" s="10">
        <v>58.067</v>
      </c>
      <c r="S239" s="10">
        <v>66.69</v>
      </c>
      <c r="T239" s="10">
        <v>72.718999999999994</v>
      </c>
      <c r="U239" s="10">
        <v>80.290999999999997</v>
      </c>
      <c r="V239" s="10">
        <v>92.405000000000001</v>
      </c>
      <c r="W239" s="181">
        <f>Div!F33</f>
        <v>312.10500000000002</v>
      </c>
      <c r="X239" s="10">
        <v>103.21899999999999</v>
      </c>
      <c r="Y239" s="10">
        <v>106.425</v>
      </c>
      <c r="Z239" s="10">
        <v>121.726</v>
      </c>
      <c r="AA239" s="10">
        <v>145.5</v>
      </c>
      <c r="AB239" s="181">
        <f>Div!G33</f>
        <v>476.87</v>
      </c>
      <c r="AC239" s="317">
        <v>163</v>
      </c>
      <c r="AD239" s="317">
        <v>178</v>
      </c>
      <c r="AE239" s="317">
        <v>187</v>
      </c>
      <c r="AF239" s="317">
        <f>183</f>
        <v>183</v>
      </c>
      <c r="AG239" s="181">
        <f>Div!H33</f>
        <v>711</v>
      </c>
      <c r="AH239" s="10">
        <v>171</v>
      </c>
      <c r="AI239" s="10">
        <v>183.3</v>
      </c>
      <c r="AJ239" s="10">
        <v>200</v>
      </c>
      <c r="AK239" s="10">
        <v>227.2</v>
      </c>
      <c r="AL239" s="181">
        <f>Div!I33</f>
        <v>781.5</v>
      </c>
      <c r="AM239" s="317">
        <f>217.065+6/AM453</f>
        <v>221.27587722222466</v>
      </c>
      <c r="AN239" s="10">
        <v>219.30500000000001</v>
      </c>
      <c r="AO239" s="317">
        <f>229.716</f>
        <v>229.71600000000001</v>
      </c>
      <c r="AP239" s="317">
        <v>238.845</v>
      </c>
      <c r="AQ239" s="181">
        <f>Div!J33</f>
        <v>909.14187722222471</v>
      </c>
      <c r="AR239" s="10">
        <v>239.2</v>
      </c>
      <c r="AS239" s="10">
        <v>246.303</v>
      </c>
      <c r="AT239" s="10">
        <v>246.78899999999999</v>
      </c>
      <c r="AU239" s="10">
        <v>249</v>
      </c>
      <c r="AV239" s="181">
        <f>Div!K33</f>
        <v>977.3461517447397</v>
      </c>
      <c r="AW239" s="10">
        <v>239</v>
      </c>
      <c r="AX239" s="10">
        <v>239</v>
      </c>
      <c r="AY239" s="10">
        <v>247</v>
      </c>
      <c r="AZ239" s="10">
        <v>249</v>
      </c>
      <c r="BA239" s="181">
        <f>Div!L33</f>
        <v>907.68625147765067</v>
      </c>
      <c r="BB239" s="10">
        <v>228</v>
      </c>
      <c r="BC239" s="10">
        <v>225</v>
      </c>
      <c r="BD239" s="10">
        <v>246</v>
      </c>
      <c r="BE239" s="10">
        <v>257</v>
      </c>
      <c r="BF239" s="181">
        <f>Div!M33</f>
        <v>956.59279449502162</v>
      </c>
      <c r="BG239" s="10">
        <v>244</v>
      </c>
      <c r="BH239" s="10">
        <v>244</v>
      </c>
      <c r="BI239" s="10">
        <v>255</v>
      </c>
      <c r="BJ239" s="10">
        <v>256</v>
      </c>
      <c r="BK239" s="181">
        <f>Div!N33</f>
        <v>999.81890597417782</v>
      </c>
      <c r="BL239" s="10">
        <v>248</v>
      </c>
      <c r="BM239" s="10">
        <v>240</v>
      </c>
      <c r="BN239" s="10">
        <v>241</v>
      </c>
      <c r="BO239" s="10">
        <v>258</v>
      </c>
      <c r="BP239" s="181">
        <f>Div!O33</f>
        <v>988.13223529075731</v>
      </c>
      <c r="BQ239" s="9">
        <f ca="1">'Country quarts'!M27</f>
        <v>219.79675194847232</v>
      </c>
      <c r="BR239" s="9">
        <f>'Country quarts'!N27</f>
        <v>222</v>
      </c>
      <c r="BS239" s="9">
        <f>'Country quarts'!O27</f>
        <v>225</v>
      </c>
      <c r="BT239" s="9">
        <f ca="1">'Country quarts'!P27</f>
        <v>220.47506678186161</v>
      </c>
      <c r="BU239" s="10"/>
      <c r="BV239" s="16">
        <f>S239/O239-1</f>
        <v>0.39070776160487131</v>
      </c>
      <c r="BW239" s="16">
        <f>T239/P239-1</f>
        <v>0.51542116450631426</v>
      </c>
      <c r="BX239" s="16">
        <f>U239/Q239-1</f>
        <v>0.593391545941655</v>
      </c>
      <c r="BY239" s="16">
        <f>V239/R239-1</f>
        <v>0.59135136996917348</v>
      </c>
      <c r="BZ239" s="16">
        <f>X239/S239-1</f>
        <v>0.54774328984855303</v>
      </c>
      <c r="CA239" s="16">
        <f>Y239/T239-1</f>
        <v>0.46351022428801292</v>
      </c>
      <c r="CB239" s="16">
        <f>Z239/U239-1</f>
        <v>0.51606033054763301</v>
      </c>
      <c r="CC239" s="16">
        <f>AA239/V239-1</f>
        <v>0.57459011958227357</v>
      </c>
      <c r="CD239" s="16">
        <f>AC239/X239-1</f>
        <v>0.57916662629942173</v>
      </c>
      <c r="CE239" s="16">
        <f>AD239/Y239-1</f>
        <v>0.6725393469579517</v>
      </c>
      <c r="CF239" s="16">
        <f>AE239/Z239-1</f>
        <v>0.53623712271823609</v>
      </c>
      <c r="CG239" s="16">
        <f>AF239/AA239-1</f>
        <v>0.25773195876288657</v>
      </c>
      <c r="CH239" s="16">
        <f>AH239/AC239-1</f>
        <v>4.9079754601226933E-2</v>
      </c>
      <c r="CI239" s="16">
        <f>AI239/AD239-1</f>
        <v>2.9775280898876488E-2</v>
      </c>
      <c r="CJ239" s="16">
        <f>AJ239/AE239-1</f>
        <v>6.9518716577540163E-2</v>
      </c>
      <c r="CK239" s="16">
        <f>AK239/AF239-1</f>
        <v>0.2415300546448087</v>
      </c>
      <c r="CL239" s="16">
        <f>AM239/AH239-1</f>
        <v>0.29401097790774666</v>
      </c>
      <c r="CM239" s="16">
        <f>AN239/AI239-1</f>
        <v>0.19642662302236769</v>
      </c>
      <c r="CN239" s="16">
        <f>AO239/AJ239-1</f>
        <v>0.14857999999999993</v>
      </c>
      <c r="CO239" s="16">
        <f>AP239/AK239-1</f>
        <v>5.1254401408450834E-2</v>
      </c>
      <c r="CP239" s="5">
        <f>AR239/AM239-1</f>
        <v>8.1003510200862827E-2</v>
      </c>
      <c r="CQ239" s="5">
        <f>AS239/AN239-1</f>
        <v>0.12310708830168027</v>
      </c>
      <c r="CR239" s="5">
        <f>AT239/AO239-1</f>
        <v>7.4322206550697212E-2</v>
      </c>
      <c r="CS239" s="5">
        <f>AU239/AP239-1</f>
        <v>4.2517113609244594E-2</v>
      </c>
      <c r="CT239" s="5">
        <f>AW239/AR239-1</f>
        <v>-8.3612040133773657E-4</v>
      </c>
      <c r="CU239" s="5">
        <f>AX239/AS239-1</f>
        <v>-2.9650471167626868E-2</v>
      </c>
      <c r="CV239" s="5">
        <f>AY239/AT239-1</f>
        <v>8.5498138085582376E-4</v>
      </c>
      <c r="CW239" s="5">
        <f>AZ239/AU239-1</f>
        <v>0</v>
      </c>
      <c r="CX239" s="5">
        <f>BB239/AW239-1</f>
        <v>-4.6025104602510414E-2</v>
      </c>
      <c r="CY239" s="5">
        <f>BC239/AX239-1</f>
        <v>-5.8577405857740628E-2</v>
      </c>
      <c r="CZ239" s="5">
        <f>BD239/AY239-1</f>
        <v>-4.0485829959514552E-3</v>
      </c>
      <c r="DA239" s="5">
        <f>BE239/AZ239-1</f>
        <v>3.2128514056224855E-2</v>
      </c>
      <c r="DB239" s="5">
        <f>BG239/BB239-1</f>
        <v>7.0175438596491224E-2</v>
      </c>
      <c r="DC239" s="5">
        <f>BH239/BC239-1</f>
        <v>8.4444444444444544E-2</v>
      </c>
    </row>
    <row r="240" spans="4:107">
      <c r="D240" s="4"/>
      <c r="G240" s="9">
        <v>3.1749999999999998</v>
      </c>
      <c r="H240" s="9">
        <v>3.351</v>
      </c>
      <c r="I240" s="9">
        <v>2.34</v>
      </c>
      <c r="J240" s="9">
        <v>1.87</v>
      </c>
      <c r="K240" s="9">
        <v>1.244</v>
      </c>
      <c r="L240" s="9">
        <v>1.2090000000000001</v>
      </c>
      <c r="M240" s="9">
        <v>1.1220000000000001</v>
      </c>
      <c r="N240" s="9">
        <v>1.609</v>
      </c>
      <c r="O240" s="9">
        <v>0.48799999999999999</v>
      </c>
      <c r="P240" s="9">
        <v>0.60399999999999998</v>
      </c>
      <c r="Q240" s="9">
        <v>0.96499999999999997</v>
      </c>
      <c r="R240" s="9">
        <v>0.84399999999999997</v>
      </c>
      <c r="S240" s="9">
        <v>0.90300000000000002</v>
      </c>
      <c r="T240" s="9">
        <v>1.016</v>
      </c>
      <c r="U240" s="9">
        <v>0</v>
      </c>
      <c r="V240" s="9">
        <v>0</v>
      </c>
      <c r="W240" s="133">
        <f>Div!F36</f>
        <v>1.919</v>
      </c>
      <c r="X240" s="176"/>
      <c r="Y240" s="176"/>
      <c r="Z240" s="176"/>
      <c r="AA240" s="176"/>
      <c r="AB240" s="133">
        <f>Div!G36</f>
        <v>0</v>
      </c>
      <c r="AC240" s="176"/>
      <c r="AD240" s="176"/>
      <c r="AE240" s="65"/>
      <c r="AF240" s="65"/>
      <c r="AG240" s="133"/>
      <c r="AH240" s="65"/>
      <c r="AI240" s="65"/>
      <c r="AJ240" s="65"/>
      <c r="AK240" s="65"/>
      <c r="AL240" s="133"/>
      <c r="AM240" s="65"/>
      <c r="AN240" s="65"/>
      <c r="AO240" s="65"/>
      <c r="AP240" s="65"/>
      <c r="AQ240" s="133"/>
      <c r="AR240" s="65"/>
      <c r="AS240" s="65"/>
      <c r="AT240" s="65"/>
      <c r="AU240" s="65"/>
      <c r="AV240" s="133"/>
      <c r="AW240" s="65"/>
      <c r="AX240" s="65"/>
      <c r="AY240" s="65"/>
      <c r="AZ240" s="65"/>
      <c r="BA240" s="133"/>
      <c r="BB240" s="612"/>
      <c r="BC240" s="612"/>
      <c r="BD240" s="612"/>
      <c r="BE240" s="612"/>
      <c r="BF240" s="133"/>
      <c r="BG240" s="612"/>
      <c r="BH240" s="612"/>
      <c r="BI240" s="612"/>
      <c r="BJ240" s="612"/>
      <c r="BK240" s="133"/>
      <c r="BL240" s="9"/>
      <c r="BM240" s="9"/>
      <c r="BN240" s="9"/>
      <c r="BO240" s="9"/>
      <c r="BP240" s="133"/>
      <c r="BQ240" s="133"/>
      <c r="BR240" s="133"/>
      <c r="BS240" s="133"/>
      <c r="BT240" s="133"/>
      <c r="BU240" s="9"/>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row>
    <row r="241" spans="4:107">
      <c r="D241" s="4" t="s">
        <v>2634</v>
      </c>
      <c r="G241" s="13">
        <v>0</v>
      </c>
      <c r="H241" s="13">
        <v>0</v>
      </c>
      <c r="I241" s="13">
        <v>0</v>
      </c>
      <c r="J241" s="13">
        <v>0</v>
      </c>
      <c r="K241" s="13">
        <v>0.79400000000000004</v>
      </c>
      <c r="L241" s="13">
        <v>0.83399999999999996</v>
      </c>
      <c r="M241" s="13">
        <v>0.58499999999999996</v>
      </c>
      <c r="N241" s="13">
        <v>0</v>
      </c>
      <c r="O241" s="13">
        <v>0</v>
      </c>
      <c r="P241" s="13">
        <v>0</v>
      </c>
      <c r="Q241" s="13">
        <v>0</v>
      </c>
      <c r="R241" s="13">
        <v>0</v>
      </c>
      <c r="S241" s="13">
        <v>0</v>
      </c>
      <c r="T241" s="13">
        <v>0</v>
      </c>
      <c r="U241" s="13">
        <v>0</v>
      </c>
      <c r="V241" s="13">
        <v>0</v>
      </c>
      <c r="W241" s="87"/>
      <c r="X241" s="13"/>
      <c r="Y241" s="13"/>
      <c r="Z241" s="13"/>
      <c r="AA241" s="13"/>
      <c r="AB241" s="87"/>
      <c r="AC241" s="13"/>
      <c r="AD241" s="13"/>
      <c r="AE241" s="13"/>
      <c r="AF241" s="13"/>
      <c r="AG241" s="87"/>
      <c r="AH241" s="13"/>
      <c r="AI241" s="13"/>
      <c r="AJ241" s="13"/>
      <c r="AK241" s="13"/>
      <c r="AL241" s="87"/>
      <c r="AM241" s="13"/>
      <c r="AN241" s="13"/>
      <c r="AO241" s="13"/>
      <c r="AP241" s="14"/>
      <c r="AQ241" s="87"/>
      <c r="AR241" s="13"/>
      <c r="AS241" s="13"/>
      <c r="AT241" s="13"/>
      <c r="AU241" s="13"/>
      <c r="AV241" s="87"/>
      <c r="AW241" s="13"/>
      <c r="AX241" s="13"/>
      <c r="AY241" s="13">
        <v>3</v>
      </c>
      <c r="AZ241" s="13">
        <v>10</v>
      </c>
      <c r="BA241" s="87">
        <f>Div!L35</f>
        <v>13</v>
      </c>
      <c r="BB241" s="13"/>
      <c r="BC241" s="13"/>
      <c r="BD241" s="13"/>
      <c r="BE241" s="13"/>
      <c r="BF241" s="87">
        <f>Div!M35</f>
        <v>0</v>
      </c>
      <c r="BG241" s="13"/>
      <c r="BH241" s="13"/>
      <c r="BI241" s="13"/>
      <c r="BJ241" s="13"/>
      <c r="BK241" s="87">
        <f>Div!N35</f>
        <v>0</v>
      </c>
      <c r="BL241" s="13"/>
      <c r="BM241" s="13"/>
      <c r="BN241" s="13"/>
      <c r="BO241" s="13"/>
      <c r="BP241" s="87">
        <f>Div!O35</f>
        <v>0</v>
      </c>
      <c r="BQ241" s="87"/>
      <c r="BR241" s="87"/>
      <c r="BS241" s="87"/>
      <c r="BT241" s="87"/>
      <c r="BU241" s="13"/>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row>
    <row r="242" spans="4:107">
      <c r="D242" s="2" t="s">
        <v>1538</v>
      </c>
      <c r="E242" s="2"/>
      <c r="F242" s="2"/>
      <c r="G242" s="10">
        <f t="shared" ref="G242:M242" si="147">SUM(G210:G241)</f>
        <v>138.703</v>
      </c>
      <c r="H242" s="10">
        <f t="shared" si="147"/>
        <v>143.86199999999999</v>
      </c>
      <c r="I242" s="10">
        <f t="shared" si="147"/>
        <v>156.66800000000001</v>
      </c>
      <c r="J242" s="10">
        <f t="shared" si="147"/>
        <v>201.85500000000002</v>
      </c>
      <c r="K242" s="10">
        <f t="shared" si="147"/>
        <v>213.85900000000001</v>
      </c>
      <c r="L242" s="10">
        <f t="shared" si="147"/>
        <v>216.04900000000004</v>
      </c>
      <c r="M242" s="10">
        <f t="shared" si="147"/>
        <v>235.87200000000004</v>
      </c>
      <c r="N242" s="10">
        <f>SUM(N210:N241)</f>
        <v>255.67599999999999</v>
      </c>
      <c r="O242" s="10">
        <f t="shared" ref="O242:U242" si="148">O210+O211+O217+O226+O239+O240+O241</f>
        <v>268.245</v>
      </c>
      <c r="P242" s="10">
        <f t="shared" si="148"/>
        <v>260.72800000000001</v>
      </c>
      <c r="Q242" s="10">
        <f t="shared" si="148"/>
        <v>260.62899999999996</v>
      </c>
      <c r="R242" s="10">
        <f t="shared" si="148"/>
        <v>293.73099999999999</v>
      </c>
      <c r="S242" s="10">
        <f t="shared" si="148"/>
        <v>322.20100000000002</v>
      </c>
      <c r="T242" s="10">
        <f t="shared" si="148"/>
        <v>361.63099999999997</v>
      </c>
      <c r="U242" s="10">
        <f t="shared" si="148"/>
        <v>402.50299999999999</v>
      </c>
      <c r="V242" s="10">
        <f>V212+V217+V227+V239+V240+V241</f>
        <v>543.81500000000005</v>
      </c>
      <c r="W242" s="181">
        <f>W210+W211+W217+W222+W226+W239+W240+W241</f>
        <v>1430.9350000000002</v>
      </c>
      <c r="X242" s="10">
        <f t="shared" ref="X242:AE242" si="149">X212+X217+X227+X239+X240+X241</f>
        <v>562.70100000000002</v>
      </c>
      <c r="Y242" s="10">
        <f t="shared" si="149"/>
        <v>613.34899999999993</v>
      </c>
      <c r="Z242" s="10">
        <f t="shared" si="149"/>
        <v>686.29499999999996</v>
      </c>
      <c r="AA242" s="10">
        <f t="shared" si="149"/>
        <v>768.5</v>
      </c>
      <c r="AB242" s="181">
        <f t="shared" si="149"/>
        <v>2630.8450000000003</v>
      </c>
      <c r="AC242" s="10">
        <f t="shared" si="149"/>
        <v>798.13</v>
      </c>
      <c r="AD242" s="10">
        <f t="shared" si="149"/>
        <v>840.221</v>
      </c>
      <c r="AE242" s="10">
        <f t="shared" si="149"/>
        <v>866.88200000000006</v>
      </c>
      <c r="AF242" s="10">
        <f>AF239+AF227+AF218+AF217</f>
        <v>841</v>
      </c>
      <c r="AG242" s="181">
        <f>AG212+AG219+AG227+AG239+AG240+AG241</f>
        <v>3397.9075695558286</v>
      </c>
      <c r="AH242" s="10">
        <f>AH219+AH227+AH239+AH240+AH241</f>
        <v>830.22711440112971</v>
      </c>
      <c r="AI242" s="10">
        <f>AI219+AI227+AI239+AI240+AI241</f>
        <v>867.47256491707367</v>
      </c>
      <c r="AJ242" s="10">
        <f>AJ219+AJ227+AJ239+AJ240+AJ241</f>
        <v>904.14514631499583</v>
      </c>
      <c r="AK242" s="10">
        <f>AK219+AK227+AK239+AK240+AK241</f>
        <v>974.42017201682415</v>
      </c>
      <c r="AL242" s="181">
        <f>AL219+AL227+AL239+AL240+AL241</f>
        <v>3576.5649976500235</v>
      </c>
      <c r="AM242" s="10">
        <f t="shared" ref="AM242:AZ242" si="150">AM219+AM227+AM239+AM240+AM241</f>
        <v>958.86301680861675</v>
      </c>
      <c r="AN242" s="10">
        <f t="shared" si="150"/>
        <v>978.04809882744053</v>
      </c>
      <c r="AO242" s="10">
        <f t="shared" si="150"/>
        <v>1017.7330000000001</v>
      </c>
      <c r="AP242" s="10">
        <f t="shared" si="150"/>
        <v>1072.9349999999999</v>
      </c>
      <c r="AQ242" s="181">
        <f t="shared" si="150"/>
        <v>4025.2485327501977</v>
      </c>
      <c r="AR242" s="10">
        <f t="shared" si="150"/>
        <v>1078.578</v>
      </c>
      <c r="AS242" s="10">
        <f t="shared" si="150"/>
        <v>1127.559</v>
      </c>
      <c r="AT242" s="10">
        <f t="shared" si="150"/>
        <v>1150.6890000000001</v>
      </c>
      <c r="AU242" s="10">
        <f t="shared" si="150"/>
        <v>1177</v>
      </c>
      <c r="AV242" s="181">
        <f t="shared" si="150"/>
        <v>4525.8269432730476</v>
      </c>
      <c r="AW242" s="10">
        <f t="shared" si="150"/>
        <v>1169</v>
      </c>
      <c r="AX242" s="10">
        <f t="shared" si="150"/>
        <v>1181</v>
      </c>
      <c r="AY242" s="10">
        <f t="shared" si="150"/>
        <v>1199</v>
      </c>
      <c r="AZ242" s="10">
        <f t="shared" si="150"/>
        <v>1266</v>
      </c>
      <c r="BA242" s="181">
        <f t="shared" ref="BA242:BG242" si="151">BA219+BA227+BA239+BA240+BA241</f>
        <v>5231.3963228092698</v>
      </c>
      <c r="BB242" s="10">
        <f t="shared" si="151"/>
        <v>1350.884</v>
      </c>
      <c r="BC242" s="10">
        <f t="shared" si="151"/>
        <v>1360.828</v>
      </c>
      <c r="BD242" s="10">
        <f t="shared" si="151"/>
        <v>1383.4940000000001</v>
      </c>
      <c r="BE242" s="10">
        <f t="shared" si="151"/>
        <v>1465.479</v>
      </c>
      <c r="BF242" s="181">
        <f t="shared" si="151"/>
        <v>5553.2034311307616</v>
      </c>
      <c r="BG242" s="10">
        <f t="shared" si="151"/>
        <v>1405</v>
      </c>
      <c r="BH242" s="10">
        <f t="shared" ref="BH242:BP242" si="152">BH219+BH227+BH239+BH240+BH241</f>
        <v>1447</v>
      </c>
      <c r="BI242" s="10">
        <f t="shared" si="152"/>
        <v>1671</v>
      </c>
      <c r="BJ242" s="10">
        <f t="shared" si="152"/>
        <v>1859</v>
      </c>
      <c r="BK242" s="181">
        <f t="shared" si="152"/>
        <v>6386.3680559090717</v>
      </c>
      <c r="BL242" s="10">
        <f t="shared" si="152"/>
        <v>1709</v>
      </c>
      <c r="BM242" s="10">
        <v>1704</v>
      </c>
      <c r="BN242" s="10">
        <f>BN219+BN227+BN239+BN240+BN241</f>
        <v>1641</v>
      </c>
      <c r="BO242" s="10">
        <f t="shared" si="152"/>
        <v>1675</v>
      </c>
      <c r="BP242" s="181">
        <f t="shared" si="152"/>
        <v>6728.8770101554837</v>
      </c>
      <c r="BQ242" s="10">
        <f>BQ3</f>
        <v>1528</v>
      </c>
      <c r="BR242" s="10">
        <f>BR3</f>
        <v>1572</v>
      </c>
      <c r="BS242" s="10">
        <f>BS3</f>
        <v>1555</v>
      </c>
      <c r="BT242" s="10">
        <f ca="1">BT3</f>
        <v>1545.8811420572326</v>
      </c>
      <c r="BU242" s="10"/>
      <c r="BV242" s="19">
        <f>S242/O242-1</f>
        <v>0.20114447613189435</v>
      </c>
      <c r="BW242" s="19">
        <f>T242/P242-1</f>
        <v>0.38700484796416168</v>
      </c>
      <c r="BX242" s="19">
        <f>U242/Q242-1</f>
        <v>0.54435231689489672</v>
      </c>
      <c r="BY242" s="19">
        <f>V242/R242-1</f>
        <v>0.85140485682478206</v>
      </c>
      <c r="BZ242" s="19">
        <f>(X242-X212)/(S242-S212)-1</f>
        <v>0.93454714524827986</v>
      </c>
      <c r="CA242" s="19">
        <f>(Y242-Y212)/(T242-T212)-1</f>
        <v>0.84391725073627022</v>
      </c>
      <c r="CB242" s="19">
        <f>(Z242-Z212)/(U242-U212)-1</f>
        <v>0.81964345432562458</v>
      </c>
      <c r="CC242" s="19">
        <f>(AA242-AA212)/(V242-V212)-1</f>
        <v>0.4121416492786012</v>
      </c>
      <c r="CD242" s="19">
        <f>(AC242-AC212)/(X242-X212)-1</f>
        <v>0.41270671386244628</v>
      </c>
      <c r="CE242" s="19">
        <f>(AD242-AD212)/(Y242-Y212)-1</f>
        <v>0.36927033494938732</v>
      </c>
      <c r="CF242" s="19">
        <f>(AE242-AE212)/(Z242-Z212)-1</f>
        <v>0.25694650613007863</v>
      </c>
      <c r="CG242" s="318">
        <f>(AF242-AF218-AF212)/(AA242-AA212)-1</f>
        <v>2.6610644257702987E-2</v>
      </c>
      <c r="CH242" s="19">
        <f>(AH242-AH218)/(AC242-AC212)-1</f>
        <v>7.1009052567501785E-2</v>
      </c>
      <c r="CI242" s="19">
        <f>(AI242-AI218)/(AD242-AD212)-1</f>
        <v>5.5712658923575686E-2</v>
      </c>
      <c r="CJ242" s="19">
        <f>(AJ242-AJ218)/(AE242-AE212)-1</f>
        <v>6.4927181529154554E-2</v>
      </c>
      <c r="CK242" s="19">
        <f>(AK242)/(AF242)-1</f>
        <v>0.15864467540644966</v>
      </c>
      <c r="CL242" s="19">
        <f>AM242/AH242-1</f>
        <v>0.15494061826717909</v>
      </c>
      <c r="CM242" s="19">
        <f>AN242/AI242-1</f>
        <v>0.12746862365720735</v>
      </c>
      <c r="CN242" s="19">
        <f>AO242/AJ242-1</f>
        <v>0.12563010944421005</v>
      </c>
      <c r="CO242" s="19">
        <f>AP242/AK242-1</f>
        <v>0.1011009734940862</v>
      </c>
      <c r="CP242" s="19">
        <f>AR242/AM242-1</f>
        <v>0.12485097567933168</v>
      </c>
      <c r="CQ242" s="19">
        <f>AS242/AN242-1</f>
        <v>0.15286661397512513</v>
      </c>
      <c r="CR242" s="19">
        <f>AT242/AO242-1</f>
        <v>0.13063937201603948</v>
      </c>
      <c r="CS242" s="19">
        <f>AU242/AP242-1</f>
        <v>9.6990964037896088E-2</v>
      </c>
      <c r="CT242" s="19">
        <f t="shared" ref="CT242:CW243" si="153">AW242/AR242-1</f>
        <v>8.3834456107949595E-2</v>
      </c>
      <c r="CU242" s="19">
        <f t="shared" si="153"/>
        <v>4.7395302596139111E-2</v>
      </c>
      <c r="CV242" s="19">
        <f t="shared" si="153"/>
        <v>4.1984411078927364E-2</v>
      </c>
      <c r="CW242" s="19">
        <f t="shared" si="153"/>
        <v>7.5615972812234533E-2</v>
      </c>
      <c r="CX242" s="19">
        <f>BB242/AW242-1</f>
        <v>0.15558939264328497</v>
      </c>
      <c r="CY242" s="19">
        <f>BC242/AX242-1</f>
        <v>0.15226756985605427</v>
      </c>
      <c r="CZ242" s="19">
        <f>BD242/AY242-1</f>
        <v>0.15387322768974165</v>
      </c>
      <c r="DA242" s="19">
        <f>BE242/AZ242-1</f>
        <v>0.15756635071090042</v>
      </c>
      <c r="DB242" s="19">
        <f>BG242/BB242-1</f>
        <v>4.0059694244657607E-2</v>
      </c>
      <c r="DC242" s="19">
        <f>BH242/BC242-1</f>
        <v>6.3323212044431809E-2</v>
      </c>
    </row>
    <row r="243" spans="4:107">
      <c r="D243" s="2" t="s">
        <v>605</v>
      </c>
      <c r="E243" s="2"/>
      <c r="F243" s="2"/>
      <c r="G243" s="10"/>
      <c r="H243" s="10"/>
      <c r="I243" s="10"/>
      <c r="J243" s="10"/>
      <c r="K243" s="10"/>
      <c r="L243" s="10"/>
      <c r="M243" s="10"/>
      <c r="N243" s="10"/>
      <c r="O243" s="10"/>
      <c r="P243" s="10"/>
      <c r="Q243" s="10"/>
      <c r="R243" s="10"/>
      <c r="S243" s="10"/>
      <c r="T243" s="10"/>
      <c r="U243" s="10"/>
      <c r="V243" s="10"/>
      <c r="W243" s="181"/>
      <c r="X243" s="10"/>
      <c r="Y243" s="10"/>
      <c r="Z243" s="10"/>
      <c r="AA243" s="10"/>
      <c r="AB243" s="181"/>
      <c r="AC243" s="10"/>
      <c r="AD243" s="10"/>
      <c r="AE243" s="10"/>
      <c r="AF243" s="10"/>
      <c r="AG243" s="181"/>
      <c r="AH243" s="10"/>
      <c r="AI243" s="10"/>
      <c r="AJ243" s="10"/>
      <c r="AK243" s="10">
        <f>AK214+AK215*(AK450/AF450)+AK216*(AK451/AF451)+AK218+AK222*(AK447/AF447)+AK223*(AK445/AF445)+AK224*(AK446/AF446)+AK232*(AK453/AF453)+AK233*(AK454/AF454)+AK234*(AK455/AF455)+AK235*(AK456/AF456)+AK236*(AK457/AF457)+AK237+AK238</f>
        <v>976.4259606006699</v>
      </c>
      <c r="AL243" s="187"/>
      <c r="AM243" s="10">
        <f>AM214+AM215*(AM450/AH450)+AM216*(AM451/AH451)+AM218+AM222*(AM447/AH447)+AM223*(AM445/AH445)+AM224*(AM446/AH446)+AM232*(AM453/AH453)+AM233*(AM454/AH454)+AM234*(AM455/AH455)+AM235*(AM456/AH456)+AM236*(AM457/AH457)+AM237</f>
        <v>927.18775556778428</v>
      </c>
      <c r="AN243" s="10">
        <f>AN214+AN215*(AN450/AI450)+AN216*(AN451/AI451)+AN218+AN222*(AN447/AI447)+AN223*(AN445/AI445)+AN224*(AN446/AI446)+AN232*(AN453/AI453)+AN233*(AN454/AI454)+AN234*(AN455/AI455)+AN235*(AN456/AI456)+AN236*(AN457/AI457)+AN237</f>
        <v>954.92723507604182</v>
      </c>
      <c r="AO243" s="10">
        <f>AO214+AO215*(AO450/AJ450)+AO216*(AO451/AJ451)+AO218+AO222*(AO447/AJ447)+AO223*(AO445/AJ445)+AO224*(AO446/AJ446)+AO232*(AO453/AJ453)+AO233*(AO454/AJ454)+AO234*(AO455/AJ455)+AO235*(AO456/AJ456)+AO236*(AO457/AJ457)+AO237</f>
        <v>1006.4941373157296</v>
      </c>
      <c r="AP243" s="10"/>
      <c r="AQ243" s="181"/>
      <c r="AR243" s="31">
        <f>AR242-AR241</f>
        <v>1078.578</v>
      </c>
      <c r="AS243" s="31">
        <f>AS242-AS241</f>
        <v>1127.559</v>
      </c>
      <c r="AT243" s="31">
        <f>AT242-AT241</f>
        <v>1150.6890000000001</v>
      </c>
      <c r="AU243" s="31">
        <f>AU242-AU241</f>
        <v>1177</v>
      </c>
      <c r="AV243" s="181">
        <f>AV214+AV215*(AV450/AQ450)+AV216*(AV451/AQ451)+AV218+AV222*(AV447/AQ447)+AV223*(AV445/AQ445)+AV224*(AV446/AQ446)+AV232*(AV453/AQ453)+AV233*(AV454/AQ454)+AV234*(AV455/AQ455)+AV235*(AV456/AQ456)+AV236*(AV457/AQ457)+AV237+AV238</f>
        <v>1711.651322409042</v>
      </c>
      <c r="AW243" s="31">
        <f>AW242-AW241</f>
        <v>1169</v>
      </c>
      <c r="AX243" s="31">
        <f>AX242-AX241</f>
        <v>1181</v>
      </c>
      <c r="AY243" s="31">
        <f>AY242-AY241</f>
        <v>1196</v>
      </c>
      <c r="AZ243" s="29"/>
      <c r="BA243" s="187">
        <f>BA242/AV242-1</f>
        <v>0.15589844427987765</v>
      </c>
      <c r="BB243" s="610"/>
      <c r="BC243" s="610"/>
      <c r="BD243" s="610"/>
      <c r="BE243" s="610"/>
      <c r="BF243" s="187"/>
      <c r="BG243" s="29"/>
      <c r="BH243" s="29"/>
      <c r="BI243" s="29"/>
      <c r="BJ243" s="29"/>
      <c r="BK243" s="187"/>
      <c r="BL243" s="18"/>
      <c r="BM243" s="18"/>
      <c r="BN243" s="18"/>
      <c r="BO243" s="18"/>
      <c r="BP243" s="187"/>
      <c r="BQ243" s="187"/>
      <c r="BR243" s="187"/>
      <c r="BS243" s="187"/>
      <c r="BT243" s="187"/>
      <c r="BU243" s="18"/>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36">
        <f t="shared" si="153"/>
        <v>8.3834456107949595E-2</v>
      </c>
      <c r="CU243" s="36">
        <f t="shared" si="153"/>
        <v>4.7395302596139111E-2</v>
      </c>
      <c r="CV243" s="36">
        <f t="shared" si="153"/>
        <v>3.9377277439864189E-2</v>
      </c>
      <c r="CW243" s="36">
        <f t="shared" si="153"/>
        <v>-1</v>
      </c>
      <c r="CX243" s="36"/>
      <c r="CY243" s="36"/>
      <c r="CZ243" s="36"/>
      <c r="DA243" s="36"/>
    </row>
    <row r="244" spans="4:107">
      <c r="D244" s="2" t="s">
        <v>3336</v>
      </c>
      <c r="E244" s="2"/>
      <c r="F244" s="2"/>
      <c r="G244" s="10"/>
      <c r="H244" s="10"/>
      <c r="I244" s="10"/>
      <c r="J244" s="10"/>
      <c r="K244" s="10"/>
      <c r="L244" s="10"/>
      <c r="M244" s="10"/>
      <c r="N244" s="10"/>
      <c r="O244" s="10"/>
      <c r="P244" s="10"/>
      <c r="Q244" s="10"/>
      <c r="R244" s="10"/>
      <c r="S244" s="10"/>
      <c r="T244" s="10"/>
      <c r="U244" s="10"/>
      <c r="V244" s="10"/>
      <c r="W244" s="181"/>
      <c r="X244" s="10"/>
      <c r="Y244" s="10"/>
      <c r="Z244" s="10"/>
      <c r="AA244" s="10"/>
      <c r="AB244" s="181"/>
      <c r="AC244" s="10"/>
      <c r="AD244" s="10"/>
      <c r="AE244" s="10"/>
      <c r="AF244" s="10"/>
      <c r="AG244" s="181"/>
      <c r="AH244" s="10"/>
      <c r="AI244" s="10"/>
      <c r="AJ244" s="10"/>
      <c r="AK244" s="10"/>
      <c r="AL244" s="187"/>
      <c r="AM244" s="10"/>
      <c r="AN244" s="10"/>
      <c r="AO244" s="10"/>
      <c r="AP244" s="10"/>
      <c r="AQ244" s="181"/>
      <c r="AR244" s="31"/>
      <c r="AS244" s="31"/>
      <c r="AT244" s="31"/>
      <c r="AU244" s="31"/>
      <c r="AV244" s="181"/>
      <c r="AW244" s="31"/>
      <c r="AX244" s="31"/>
      <c r="AY244" s="31"/>
      <c r="AZ244" s="29"/>
      <c r="BA244" s="187"/>
      <c r="BB244" s="610"/>
      <c r="BC244" s="610"/>
      <c r="BD244" s="610"/>
      <c r="BE244" s="610"/>
      <c r="BF244" s="187"/>
      <c r="BG244" s="10">
        <f t="shared" ref="BG244:BP244" si="154">BG242-BG228</f>
        <v>1405</v>
      </c>
      <c r="BH244" s="10">
        <f t="shared" si="154"/>
        <v>1447</v>
      </c>
      <c r="BI244" s="10">
        <f t="shared" si="154"/>
        <v>1489</v>
      </c>
      <c r="BJ244" s="10">
        <f t="shared" si="154"/>
        <v>1543</v>
      </c>
      <c r="BK244" s="10">
        <f t="shared" si="154"/>
        <v>5888.3680559090717</v>
      </c>
      <c r="BL244" s="10">
        <f t="shared" si="154"/>
        <v>1436</v>
      </c>
      <c r="BM244" s="10">
        <f t="shared" si="154"/>
        <v>1429</v>
      </c>
      <c r="BN244" s="10">
        <f t="shared" si="154"/>
        <v>1398</v>
      </c>
      <c r="BO244" s="10">
        <f t="shared" si="154"/>
        <v>1675</v>
      </c>
      <c r="BP244" s="10">
        <f t="shared" si="154"/>
        <v>5687.6643374045061</v>
      </c>
      <c r="BQ244" s="10"/>
      <c r="BR244" s="10"/>
      <c r="BS244" s="10"/>
      <c r="BT244" s="10"/>
      <c r="BU244" s="10"/>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36"/>
      <c r="CU244" s="36"/>
      <c r="CV244" s="36"/>
      <c r="CW244" s="36"/>
      <c r="CX244" s="36"/>
      <c r="CY244" s="36"/>
      <c r="CZ244" s="36"/>
      <c r="DA244" s="36"/>
    </row>
    <row r="245" spans="4:107">
      <c r="D245" s="137" t="s">
        <v>2638</v>
      </c>
      <c r="L245" s="7"/>
      <c r="M245" s="7"/>
      <c r="N245" s="7"/>
      <c r="O245" s="7"/>
      <c r="P245" s="7"/>
      <c r="Q245" s="7"/>
      <c r="R245" s="7"/>
      <c r="S245" s="7"/>
      <c r="T245" s="7"/>
      <c r="U245" s="16"/>
      <c r="V245" s="16"/>
      <c r="W245" s="73"/>
      <c r="X245" s="9"/>
      <c r="Y245" s="9"/>
      <c r="Z245" s="9"/>
      <c r="AA245" s="16"/>
      <c r="AB245" s="73"/>
      <c r="AC245" s="16"/>
      <c r="AD245" s="9"/>
      <c r="AE245" s="16"/>
      <c r="AF245" s="16"/>
      <c r="AG245" s="73"/>
      <c r="AH245" s="16"/>
      <c r="AI245" s="16"/>
      <c r="AJ245" s="16"/>
      <c r="AK245" s="147"/>
      <c r="AL245" s="107"/>
      <c r="AM245" s="16">
        <f>AM242/AH242-1</f>
        <v>0.15494061826717909</v>
      </c>
      <c r="AN245" s="16"/>
      <c r="AO245" s="16"/>
      <c r="AP245" s="16"/>
      <c r="AQ245" s="16"/>
      <c r="AR245" s="16"/>
      <c r="AS245" s="16"/>
      <c r="AT245" s="16"/>
      <c r="AU245" s="16"/>
      <c r="AV245" s="16"/>
      <c r="AW245" s="16"/>
      <c r="AX245" s="16"/>
      <c r="AY245" s="9">
        <f>AY241</f>
        <v>3</v>
      </c>
      <c r="AZ245" s="9">
        <f>AZ241</f>
        <v>10</v>
      </c>
      <c r="BA245" s="16"/>
      <c r="BB245" s="9">
        <v>11</v>
      </c>
      <c r="BC245" s="9">
        <v>20</v>
      </c>
      <c r="BD245" s="9">
        <v>25</v>
      </c>
      <c r="BE245" s="9">
        <v>27</v>
      </c>
      <c r="BF245" s="16"/>
      <c r="BG245" s="9">
        <v>31</v>
      </c>
      <c r="BH245" s="9"/>
      <c r="BI245" s="9"/>
      <c r="BJ245" s="9"/>
      <c r="BK245" s="16"/>
      <c r="BL245" s="16"/>
      <c r="BM245" s="16"/>
      <c r="BN245" s="16"/>
      <c r="BO245" s="16"/>
      <c r="BP245" s="16"/>
      <c r="BQ245" s="16"/>
      <c r="BR245" s="16"/>
      <c r="BS245" s="16"/>
      <c r="BT245" s="16"/>
      <c r="BU245" s="16"/>
      <c r="CB245"/>
      <c r="CC245"/>
      <c r="CD245" s="16"/>
      <c r="CE245" s="16"/>
      <c r="CF245" s="16"/>
      <c r="CG245" s="16"/>
      <c r="CH245" s="16"/>
      <c r="CI245" s="16"/>
      <c r="CJ245" s="16"/>
      <c r="CK245" s="16"/>
      <c r="CL245" s="16"/>
      <c r="CM245" s="16"/>
      <c r="CN245" s="16"/>
      <c r="CO245" s="16"/>
      <c r="CP245" s="16"/>
      <c r="CQ245" s="16"/>
      <c r="CR245" s="16"/>
      <c r="CS245" s="5"/>
      <c r="CT245" s="16"/>
      <c r="CU245" s="16"/>
      <c r="CV245" s="16"/>
      <c r="CW245" s="5"/>
      <c r="CX245" s="16"/>
      <c r="CY245" s="16"/>
      <c r="CZ245" s="16"/>
      <c r="DA245" s="16"/>
    </row>
    <row r="246" spans="4:107" ht="15.75">
      <c r="D246" s="137"/>
      <c r="L246" s="7"/>
      <c r="M246" s="7"/>
      <c r="N246" s="7"/>
      <c r="O246" s="7"/>
      <c r="P246" s="7"/>
      <c r="Q246" s="7"/>
      <c r="R246" s="7"/>
      <c r="S246" s="7"/>
      <c r="T246" s="7"/>
      <c r="U246" s="16"/>
      <c r="V246" s="16"/>
      <c r="W246" s="73"/>
      <c r="X246" s="9"/>
      <c r="Y246" s="9"/>
      <c r="Z246" s="9"/>
      <c r="AA246" s="16"/>
      <c r="AB246" s="73"/>
      <c r="AC246" s="16"/>
      <c r="AD246" s="9"/>
      <c r="AE246" s="16"/>
      <c r="AF246" s="16"/>
      <c r="AG246" s="73"/>
      <c r="AH246" s="16"/>
      <c r="AI246" s="16"/>
      <c r="AJ246" s="16"/>
      <c r="AK246" s="147"/>
      <c r="AL246" s="107"/>
      <c r="AM246" s="16">
        <f>AM243/AH242-1</f>
        <v>0.11678809266136225</v>
      </c>
      <c r="AN246" s="16"/>
      <c r="AO246" s="16"/>
      <c r="AP246" s="16"/>
      <c r="AQ246" s="265"/>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640" t="s">
        <v>3182</v>
      </c>
      <c r="BW246" s="225"/>
      <c r="BX246" s="225"/>
      <c r="BY246" s="225"/>
      <c r="BZ246" s="246" t="str">
        <f t="shared" ref="BZ246:CE246" si="155">CD208</f>
        <v>Q1 08</v>
      </c>
      <c r="CA246" s="246" t="str">
        <f t="shared" si="155"/>
        <v>Q2 08</v>
      </c>
      <c r="CB246" s="246" t="str">
        <f t="shared" si="155"/>
        <v>Q3 08</v>
      </c>
      <c r="CC246" s="246" t="str">
        <f t="shared" si="155"/>
        <v>Q4 08</v>
      </c>
      <c r="CD246" s="246" t="str">
        <f t="shared" si="155"/>
        <v>Q1 09</v>
      </c>
      <c r="CE246" s="246" t="str">
        <f t="shared" si="155"/>
        <v>Q2 09</v>
      </c>
      <c r="CF246" s="246" t="str">
        <f t="shared" ref="CF246:CK246" si="156">CJ208</f>
        <v>Q3 09</v>
      </c>
      <c r="CG246" s="246" t="str">
        <f t="shared" si="156"/>
        <v>Q4 09</v>
      </c>
      <c r="CH246" s="246" t="str">
        <f t="shared" si="156"/>
        <v>Q1 10</v>
      </c>
      <c r="CI246" s="246" t="str">
        <f t="shared" si="156"/>
        <v>Q2 10</v>
      </c>
      <c r="CJ246" s="246" t="str">
        <f t="shared" si="156"/>
        <v>Q3 10</v>
      </c>
      <c r="CK246" s="246" t="str">
        <f t="shared" si="156"/>
        <v>Q4 10</v>
      </c>
      <c r="CL246" s="246" t="str">
        <f t="shared" ref="CL246:CV246" si="157">CP208</f>
        <v>Q1 11</v>
      </c>
      <c r="CM246" s="246" t="str">
        <f t="shared" si="157"/>
        <v>Q2 11</v>
      </c>
      <c r="CN246" s="246" t="str">
        <f t="shared" si="157"/>
        <v>Q3 11</v>
      </c>
      <c r="CO246" s="246" t="str">
        <f t="shared" si="157"/>
        <v>Q4 11</v>
      </c>
      <c r="CP246" s="246" t="str">
        <f t="shared" si="157"/>
        <v>Q1 12</v>
      </c>
      <c r="CQ246" s="246" t="str">
        <f t="shared" si="157"/>
        <v>Q2 12</v>
      </c>
      <c r="CR246" s="246" t="str">
        <f t="shared" si="157"/>
        <v>Q3 12</v>
      </c>
      <c r="CS246" s="246" t="s">
        <v>2639</v>
      </c>
      <c r="CT246" s="246" t="str">
        <f t="shared" si="157"/>
        <v>Q1 13</v>
      </c>
      <c r="CU246" s="246" t="str">
        <f t="shared" si="157"/>
        <v>Q2 13</v>
      </c>
      <c r="CV246" s="246" t="str">
        <f t="shared" si="157"/>
        <v>Q3 13</v>
      </c>
      <c r="CW246" s="246" t="s">
        <v>3313</v>
      </c>
      <c r="CX246" s="246" t="s">
        <v>3503</v>
      </c>
      <c r="CY246" s="246" t="s">
        <v>3591</v>
      </c>
      <c r="CZ246" s="246" t="s">
        <v>3608</v>
      </c>
    </row>
    <row r="247" spans="4:107" ht="15.75" hidden="1" outlineLevel="1">
      <c r="D247" s="137" t="str">
        <f t="shared" ref="D247:D259" si="158">D193</f>
        <v>El Sal (in $)</v>
      </c>
      <c r="L247" s="7"/>
      <c r="M247" s="7"/>
      <c r="N247" s="7"/>
      <c r="O247" s="7"/>
      <c r="P247" s="7"/>
      <c r="Q247" s="7"/>
      <c r="R247" s="7"/>
      <c r="S247" s="7"/>
      <c r="T247" s="7"/>
      <c r="U247" s="16"/>
      <c r="V247" s="16"/>
      <c r="W247" s="73"/>
      <c r="X247" s="9"/>
      <c r="Y247" s="9"/>
      <c r="Z247" s="9"/>
      <c r="AA247" s="16"/>
      <c r="AB247" s="73"/>
      <c r="AC247" s="16"/>
      <c r="AD247" s="9"/>
      <c r="AE247" s="16"/>
      <c r="AF247" s="16"/>
      <c r="AG247" s="73"/>
      <c r="AH247" s="31">
        <f>AH193*AVERAGE(AG122,AH122)*3/1000</f>
        <v>99.859499999999997</v>
      </c>
      <c r="AI247" s="31">
        <f>AI193*AVERAGE(AH122,AI122)*3/1000</f>
        <v>103.25835000000001</v>
      </c>
      <c r="AJ247" s="31">
        <f>AJ193*AVERAGE(AI122,AJ122)*3/1000</f>
        <v>97.063704000000001</v>
      </c>
      <c r="AK247" s="31">
        <f>AK193*AVERAGE(AJ122,AK122)*3/1000</f>
        <v>98.462304000000003</v>
      </c>
      <c r="AL247" s="107"/>
      <c r="AM247" s="31">
        <f>AM193*AVERAGE(AL122,AM122)*3/1000</f>
        <v>92.333851499999994</v>
      </c>
      <c r="AN247" s="31">
        <f>AN193*AVERAGE(AM122,AN122)*3/1000</f>
        <v>92.4256575</v>
      </c>
      <c r="AO247" s="31">
        <f>AO193*AVERAGE(AN122,AO122)*3/1000</f>
        <v>90.394672500000013</v>
      </c>
      <c r="AP247" s="31">
        <f>AP193*AVERAGE(AO122,AP122)*3/1000</f>
        <v>89.447110500000008</v>
      </c>
      <c r="AQ247" s="265"/>
      <c r="AR247" s="31"/>
      <c r="AS247" s="31"/>
      <c r="AT247" s="31"/>
      <c r="AU247" s="31"/>
      <c r="AV247" s="16"/>
      <c r="AW247" s="31"/>
      <c r="AX247" s="31"/>
      <c r="AY247" s="31"/>
      <c r="AZ247" s="31"/>
      <c r="BA247" s="16"/>
      <c r="BB247" s="31"/>
      <c r="BC247" s="31"/>
      <c r="BD247" s="31"/>
      <c r="BE247" s="31"/>
      <c r="BF247" s="16"/>
      <c r="BG247" s="16"/>
      <c r="BH247" s="16"/>
      <c r="BI247" s="16"/>
      <c r="BJ247" s="16"/>
      <c r="BK247" s="16"/>
      <c r="BL247" s="16"/>
      <c r="BM247" s="16"/>
      <c r="BN247" s="16"/>
      <c r="BO247" s="16"/>
      <c r="BP247" s="16"/>
      <c r="BQ247" s="16"/>
      <c r="BR247" s="16"/>
      <c r="BS247" s="16"/>
      <c r="BT247" s="16"/>
      <c r="BU247" s="16"/>
      <c r="BV247" s="395" t="s">
        <v>2925</v>
      </c>
      <c r="BW247" s="395"/>
      <c r="BX247" s="395"/>
      <c r="BY247" s="395"/>
      <c r="BZ247" s="396">
        <f t="shared" ref="BZ247:CE247" si="159">CD242</f>
        <v>0.41270671386244628</v>
      </c>
      <c r="CA247" s="396">
        <f t="shared" si="159"/>
        <v>0.36927033494938732</v>
      </c>
      <c r="CB247" s="396">
        <f t="shared" si="159"/>
        <v>0.25694650613007863</v>
      </c>
      <c r="CC247" s="396">
        <f t="shared" si="159"/>
        <v>2.6610644257702987E-2</v>
      </c>
      <c r="CD247" s="395">
        <f t="shared" si="159"/>
        <v>7.1009052567501785E-2</v>
      </c>
      <c r="CE247" s="395">
        <f t="shared" si="159"/>
        <v>5.5712658923575686E-2</v>
      </c>
      <c r="CF247" s="395">
        <f t="shared" ref="CF247:CK247" si="160">CJ242</f>
        <v>6.4927181529154554E-2</v>
      </c>
      <c r="CG247" s="395">
        <f t="shared" si="160"/>
        <v>0.15864467540644966</v>
      </c>
      <c r="CH247" s="395">
        <f t="shared" si="160"/>
        <v>0.15494061826717909</v>
      </c>
      <c r="CI247" s="395">
        <f t="shared" si="160"/>
        <v>0.12746862365720735</v>
      </c>
      <c r="CJ247" s="395">
        <f t="shared" si="160"/>
        <v>0.12563010944421005</v>
      </c>
      <c r="CK247" s="395">
        <f t="shared" si="160"/>
        <v>0.1011009734940862</v>
      </c>
      <c r="CL247" s="395">
        <f t="shared" ref="CL247:CR247" si="161">CP242</f>
        <v>0.12485097567933168</v>
      </c>
      <c r="CM247" s="395">
        <f t="shared" si="161"/>
        <v>0.15286661397512513</v>
      </c>
      <c r="CN247" s="395">
        <f t="shared" si="161"/>
        <v>0.13063937201603948</v>
      </c>
      <c r="CO247" s="395">
        <f t="shared" si="161"/>
        <v>9.6990964037896088E-2</v>
      </c>
      <c r="CP247" s="395">
        <f t="shared" si="161"/>
        <v>8.3834456107949595E-2</v>
      </c>
      <c r="CQ247" s="395">
        <f t="shared" si="161"/>
        <v>4.7395302596139111E-2</v>
      </c>
      <c r="CR247" s="395">
        <f t="shared" si="161"/>
        <v>4.1984411078927364E-2</v>
      </c>
      <c r="CS247" s="395">
        <f>(BA242-BA241-16)/AV242-1</f>
        <v>0.1494907755016659</v>
      </c>
      <c r="CT247" s="395">
        <f>(BB242-BB241-16)/AW242-1</f>
        <v>0.14190248075278022</v>
      </c>
      <c r="CU247" s="395">
        <f>(BC242-BC241-16)/AX242-1</f>
        <v>0.13871972904318364</v>
      </c>
      <c r="CV247" s="395">
        <f>(BD242-BD241-17)/(AY242-AY241)-1</f>
        <v>0.14255351170568575</v>
      </c>
      <c r="CW247" s="395">
        <f>(BE242-BE241-17)/(AZ242-AZ241)-1</f>
        <v>0.15324761146496813</v>
      </c>
    </row>
    <row r="248" spans="4:107" ht="15.75" hidden="1" outlineLevel="1">
      <c r="D248" s="137" t="str">
        <f t="shared" si="158"/>
        <v>Guatemala</v>
      </c>
      <c r="L248" s="7"/>
      <c r="M248" s="7"/>
      <c r="N248" s="7"/>
      <c r="O248" s="7"/>
      <c r="P248" s="7"/>
      <c r="Q248" s="7"/>
      <c r="R248" s="7"/>
      <c r="S248" s="7"/>
      <c r="T248" s="7"/>
      <c r="U248" s="16"/>
      <c r="V248" s="16"/>
      <c r="W248" s="73"/>
      <c r="X248" s="9"/>
      <c r="Y248" s="9"/>
      <c r="Z248" s="9"/>
      <c r="AA248" s="16"/>
      <c r="AB248" s="73"/>
      <c r="AC248" s="16"/>
      <c r="AD248" s="9"/>
      <c r="AE248" s="16"/>
      <c r="AF248" s="16"/>
      <c r="AG248" s="73"/>
      <c r="AH248" s="31">
        <f>AH194*AVERAGE(AG123,AH123)*3/1000*$A$123</f>
        <v>112.42060315254767</v>
      </c>
      <c r="AI248" s="31">
        <f>AI194*AVERAGE(AH123,AI123)*3/1000*$A$123</f>
        <v>112.37022936119756</v>
      </c>
      <c r="AJ248" s="31">
        <f>AJ194*AVERAGE(AI123,AJ123)*3/1000*$A$123</f>
        <v>113.28723397240034</v>
      </c>
      <c r="AK248" s="31">
        <f>AK194*AVERAGE(AJ123,AK123)*3/1000*$A$123</f>
        <v>108.09258058500579</v>
      </c>
      <c r="AL248" s="107"/>
      <c r="AM248" s="31">
        <f>AM194*AVERAGE(AL123,AM123)*3/1000*$A$123</f>
        <v>114.81217646079888</v>
      </c>
      <c r="AN248" s="31">
        <f>AN194*AVERAGE(AM123,AN123)*3/1000*$A$123</f>
        <v>120.01887262975538</v>
      </c>
      <c r="AO248" s="31">
        <f>AO194*AVERAGE(AN123,AO123)*3/1000*$A$123</f>
        <v>122.55097861579151</v>
      </c>
      <c r="AP248" s="31">
        <f>AP194*AVERAGE(AO123,AP123)*3/1000*$A$123</f>
        <v>132.95645239554182</v>
      </c>
      <c r="AQ248" s="265"/>
      <c r="AR248" s="31"/>
      <c r="AS248" s="31"/>
      <c r="AT248" s="31"/>
      <c r="AU248" s="31"/>
      <c r="AV248" s="16"/>
      <c r="AW248" s="31"/>
      <c r="AX248" s="31"/>
      <c r="AY248" s="31"/>
      <c r="AZ248" s="31"/>
      <c r="BA248" s="16"/>
      <c r="BB248" s="31"/>
      <c r="BC248" s="31"/>
      <c r="BD248" s="31"/>
      <c r="BE248" s="31"/>
      <c r="BF248" s="16"/>
      <c r="BG248" s="16"/>
      <c r="BH248" s="16"/>
      <c r="BI248" s="16"/>
      <c r="BJ248" s="16"/>
      <c r="BK248" s="16"/>
      <c r="BL248" s="16"/>
      <c r="BM248" s="16"/>
      <c r="BN248" s="16"/>
      <c r="BO248" s="16"/>
      <c r="BP248" s="16"/>
      <c r="BQ248" s="16"/>
      <c r="BR248" s="16"/>
      <c r="BS248" s="16"/>
      <c r="BT248" s="16"/>
      <c r="BU248" s="16"/>
      <c r="BV248" s="223" t="s">
        <v>266</v>
      </c>
      <c r="BW248" s="545"/>
      <c r="BX248" s="545"/>
      <c r="BY248" s="545"/>
      <c r="BZ248" s="228">
        <f>4.42352419203628%+1%</f>
        <v>5.4235241920362796E-2</v>
      </c>
      <c r="CA248" s="228">
        <f>4.80491741232457%+1%</f>
        <v>5.80491741232457E-2</v>
      </c>
      <c r="CB248" s="228">
        <f>3.30924277258087%+1%</f>
        <v>4.30924277258087E-2</v>
      </c>
      <c r="CC248" s="228">
        <f>-4.04448933196532%+1%</f>
        <v>-3.0444893319653193E-2</v>
      </c>
      <c r="CD248" s="280">
        <f>-10.6537009036889%+2%</f>
        <v>-8.6537009036889004E-2</v>
      </c>
      <c r="CE248" s="280">
        <f>-13%+1%</f>
        <v>-0.12000000000000001</v>
      </c>
      <c r="CF248" s="280">
        <f>-10%+1%</f>
        <v>-9.0000000000000011E-2</v>
      </c>
      <c r="CG248" s="280">
        <f>-2.5%+3%</f>
        <v>4.9999999999999975E-3</v>
      </c>
      <c r="CH248" s="280">
        <f t="shared" ref="CH248:CM248" si="162">CH247-CH249</f>
        <v>4.4940618267179086E-2</v>
      </c>
      <c r="CI248" s="280">
        <f t="shared" si="162"/>
        <v>1.7468623657207347E-2</v>
      </c>
      <c r="CJ248" s="280" t="e">
        <f t="shared" si="162"/>
        <v>#REF!</v>
      </c>
      <c r="CK248" s="280">
        <f t="shared" si="162"/>
        <v>1.1009734940861937E-3</v>
      </c>
      <c r="CL248" s="280">
        <f t="shared" si="162"/>
        <v>5.8509756793316825E-3</v>
      </c>
      <c r="CM248" s="280">
        <f t="shared" si="162"/>
        <v>4.2866613975125131E-2</v>
      </c>
      <c r="CN248" s="280">
        <f t="shared" ref="CN248:CV248" si="163">CN247-CN249</f>
        <v>3.9639372016039481E-2</v>
      </c>
      <c r="CO248" s="280">
        <f t="shared" si="163"/>
        <v>-4.0090359621039184E-3</v>
      </c>
      <c r="CP248" s="280">
        <f t="shared" si="163"/>
        <v>-1.6554389205040987E-4</v>
      </c>
      <c r="CQ248" s="280">
        <f t="shared" si="163"/>
        <v>-4.1604697403860885E-2</v>
      </c>
      <c r="CR248" s="280">
        <f t="shared" si="163"/>
        <v>-4.2015588921072641E-2</v>
      </c>
      <c r="CS248" s="280">
        <f t="shared" si="163"/>
        <v>9.4490775501665902E-2</v>
      </c>
      <c r="CT248" s="280">
        <f t="shared" si="163"/>
        <v>0.10190248075278022</v>
      </c>
      <c r="CU248" s="280">
        <f t="shared" si="163"/>
        <v>9.3919729043183631E-2</v>
      </c>
      <c r="CV248" s="280">
        <f t="shared" si="163"/>
        <v>7.8553511705685752E-2</v>
      </c>
      <c r="CW248" s="280">
        <f>CW247-CW249</f>
        <v>7.2247611464968123E-2</v>
      </c>
    </row>
    <row r="249" spans="4:107" ht="15.75" hidden="1" outlineLevel="1">
      <c r="D249" s="137" t="str">
        <f t="shared" si="158"/>
        <v>Honduras</v>
      </c>
      <c r="L249" s="7"/>
      <c r="M249" s="7"/>
      <c r="N249" s="7"/>
      <c r="O249" s="7"/>
      <c r="P249" s="7"/>
      <c r="Q249" s="7"/>
      <c r="R249" s="7"/>
      <c r="S249" s="7"/>
      <c r="T249" s="7"/>
      <c r="U249" s="16"/>
      <c r="V249" s="16"/>
      <c r="W249" s="73"/>
      <c r="X249" s="9"/>
      <c r="Y249" s="9"/>
      <c r="Z249" s="9"/>
      <c r="AA249" s="16"/>
      <c r="AB249" s="73"/>
      <c r="AC249" s="16"/>
      <c r="AD249" s="9"/>
      <c r="AE249" s="16"/>
      <c r="AF249" s="16"/>
      <c r="AG249" s="73"/>
      <c r="AH249" s="31">
        <f>AH195*AVERAGE(AG124,AH124)*3/1000*$A$124</f>
        <v>74.620713013058761</v>
      </c>
      <c r="AI249" s="31">
        <f>AI195*AVERAGE(AH124,AI124)*3/1000*$A$124</f>
        <v>75.202086073960572</v>
      </c>
      <c r="AJ249" s="31">
        <f>AJ195*AVERAGE(AI124,AJ124)*3/1000*$A$124</f>
        <v>70.049259302679943</v>
      </c>
      <c r="AK249" s="31">
        <f>AK195*AVERAGE(AJ124,AK124)*3/1000*$A$124</f>
        <v>72.962470756856462</v>
      </c>
      <c r="AL249" s="107"/>
      <c r="AM249" s="31">
        <f>AM195*AVERAGE(AL124,AM124)*3/1000*$A$124</f>
        <v>72.151230484255095</v>
      </c>
      <c r="AN249" s="31">
        <f>AN195*AVERAGE(AM124,AN124)*3/1000*$A$124</f>
        <v>72.585030647299448</v>
      </c>
      <c r="AO249" s="31">
        <f>AO195*AVERAGE(AN124,AO124)*3/1000*$A$124</f>
        <v>71.919226329716864</v>
      </c>
      <c r="AP249" s="31">
        <f>AP195*AVERAGE(AO124,AP124)*3/1000*$A$124</f>
        <v>74.51114918147816</v>
      </c>
      <c r="AQ249" s="265"/>
      <c r="AR249" s="31"/>
      <c r="AS249" s="31"/>
      <c r="AT249" s="31"/>
      <c r="AU249" s="31"/>
      <c r="AV249" s="16"/>
      <c r="AW249" s="31"/>
      <c r="AX249" s="31"/>
      <c r="AY249" s="31"/>
      <c r="AZ249" s="31"/>
      <c r="BA249" s="16"/>
      <c r="BB249" s="31"/>
      <c r="BC249" s="31"/>
      <c r="BD249" s="31"/>
      <c r="BE249" s="31"/>
      <c r="BF249" s="16"/>
      <c r="BG249" s="16"/>
      <c r="BH249" s="16"/>
      <c r="BI249" s="16"/>
      <c r="BJ249" s="16"/>
      <c r="BK249" s="16"/>
      <c r="BL249" s="16"/>
      <c r="BM249" s="16"/>
      <c r="BN249" s="16"/>
      <c r="BO249" s="16"/>
      <c r="BP249" s="16"/>
      <c r="BQ249" s="16"/>
      <c r="BR249" s="16"/>
      <c r="BS249" s="16"/>
      <c r="BT249" s="16"/>
      <c r="BU249" s="16"/>
      <c r="BV249" s="644" t="s">
        <v>2641</v>
      </c>
      <c r="BW249" s="644"/>
      <c r="BX249" s="644"/>
      <c r="BY249" s="644"/>
      <c r="BZ249" s="645">
        <f t="shared" ref="BZ249:CF249" si="164">BZ247-BZ248</f>
        <v>0.35847147194208351</v>
      </c>
      <c r="CA249" s="645">
        <f t="shared" si="164"/>
        <v>0.3112211608261416</v>
      </c>
      <c r="CB249" s="645">
        <f t="shared" si="164"/>
        <v>0.21385407840426993</v>
      </c>
      <c r="CC249" s="645">
        <f t="shared" si="164"/>
        <v>5.705553757735618E-2</v>
      </c>
      <c r="CD249" s="644">
        <f t="shared" si="164"/>
        <v>0.15754606160439077</v>
      </c>
      <c r="CE249" s="644">
        <f t="shared" si="164"/>
        <v>0.17571265892357568</v>
      </c>
      <c r="CF249" s="644">
        <f t="shared" si="164"/>
        <v>0.15492718152915458</v>
      </c>
      <c r="CG249" s="644">
        <f>CG247-CG248</f>
        <v>0.15364467540644966</v>
      </c>
      <c r="CH249" s="644">
        <f>CH258</f>
        <v>0.11</v>
      </c>
      <c r="CI249" s="644">
        <f>CI258</f>
        <v>0.11</v>
      </c>
      <c r="CJ249" s="644" t="e">
        <f>CJ258</f>
        <v>#REF!</v>
      </c>
      <c r="CK249" s="644">
        <f>CK258</f>
        <v>0.1</v>
      </c>
      <c r="CL249" s="644">
        <v>0.11899999999999999</v>
      </c>
      <c r="CM249" s="644">
        <v>0.11</v>
      </c>
      <c r="CN249" s="644">
        <v>9.0999999999999998E-2</v>
      </c>
      <c r="CO249" s="644">
        <v>0.10100000000000001</v>
      </c>
      <c r="CP249" s="644">
        <v>8.4000000000000005E-2</v>
      </c>
      <c r="CQ249" s="644">
        <v>8.8999999999999996E-2</v>
      </c>
      <c r="CR249" s="644">
        <v>8.4000000000000005E-2</v>
      </c>
      <c r="CS249" s="644">
        <f>CS258</f>
        <v>5.5E-2</v>
      </c>
      <c r="CT249" s="644">
        <f>CT258</f>
        <v>0.04</v>
      </c>
      <c r="CU249" s="644">
        <f>CU258</f>
        <v>4.48E-2</v>
      </c>
      <c r="CV249" s="644">
        <f>CV258</f>
        <v>6.4000000000000001E-2</v>
      </c>
      <c r="CW249" s="644">
        <f>CW258</f>
        <v>8.1000000000000003E-2</v>
      </c>
    </row>
    <row r="250" spans="4:107" ht="15.75" hidden="1" outlineLevel="1">
      <c r="D250" s="137" t="str">
        <f t="shared" si="158"/>
        <v>Colombia</v>
      </c>
      <c r="L250" s="7"/>
      <c r="M250" s="7"/>
      <c r="N250" s="7"/>
      <c r="O250" s="7"/>
      <c r="P250" s="7"/>
      <c r="Q250" s="7"/>
      <c r="R250" s="7"/>
      <c r="S250" s="7"/>
      <c r="T250" s="7"/>
      <c r="U250" s="16"/>
      <c r="V250" s="16"/>
      <c r="W250" s="73"/>
      <c r="X250" s="9"/>
      <c r="Y250" s="9"/>
      <c r="Z250" s="9"/>
      <c r="AA250" s="16"/>
      <c r="AB250" s="73"/>
      <c r="AC250" s="16"/>
      <c r="AD250" s="9"/>
      <c r="AE250" s="16"/>
      <c r="AF250" s="16"/>
      <c r="AG250" s="73"/>
      <c r="AH250" s="31">
        <f t="shared" ref="AH250:AK252" si="165">AH196*AVERAGE(AG128,AH128)*3/1000</f>
        <v>87.819668422961456</v>
      </c>
      <c r="AI250" s="31">
        <f t="shared" si="165"/>
        <v>97.934066217613221</v>
      </c>
      <c r="AJ250" s="31">
        <f t="shared" si="165"/>
        <v>112.47223970289605</v>
      </c>
      <c r="AK250" s="31">
        <f t="shared" si="165"/>
        <v>126.23932718523056</v>
      </c>
      <c r="AL250" s="107"/>
      <c r="AM250" s="31">
        <f t="shared" ref="AM250:AP252" si="166">AM196*AVERAGE(AL128,AM128)*3/1000</f>
        <v>129.16513371951558</v>
      </c>
      <c r="AN250" s="31">
        <f t="shared" si="166"/>
        <v>132.24255053312854</v>
      </c>
      <c r="AO250" s="31">
        <f t="shared" si="166"/>
        <v>149.57301595080369</v>
      </c>
      <c r="AP250" s="31">
        <f t="shared" si="166"/>
        <v>159.08743095740647</v>
      </c>
      <c r="AQ250" s="265"/>
      <c r="AR250" s="31"/>
      <c r="AS250" s="31"/>
      <c r="AT250" s="31"/>
      <c r="AU250" s="31"/>
      <c r="AV250" s="16"/>
      <c r="AW250" s="31"/>
      <c r="AX250" s="31"/>
      <c r="AY250" s="31"/>
      <c r="AZ250" s="31"/>
      <c r="BA250" s="16"/>
      <c r="BB250" s="31"/>
      <c r="BC250" s="31"/>
      <c r="BD250" s="31"/>
      <c r="BE250" s="31"/>
      <c r="BF250" s="16"/>
      <c r="BG250" s="16"/>
      <c r="BH250" s="16"/>
      <c r="BI250" s="16"/>
      <c r="BJ250" s="16"/>
      <c r="BK250" s="16"/>
      <c r="BL250" s="16"/>
      <c r="BM250" s="16"/>
      <c r="BN250" s="16"/>
      <c r="BO250" s="16"/>
      <c r="BP250" s="16"/>
      <c r="BQ250" s="16"/>
      <c r="BR250" s="16"/>
      <c r="BS250" s="16"/>
      <c r="BT250" s="16"/>
      <c r="BU250" s="16"/>
      <c r="BV250" s="647" t="s">
        <v>1928</v>
      </c>
      <c r="BW250" s="646"/>
      <c r="BX250" s="646"/>
      <c r="BY250" s="646"/>
      <c r="BZ250" s="645">
        <f t="shared" ref="BZ250:CP250" si="167">CD316</f>
        <v>0.35456697419533834</v>
      </c>
      <c r="CA250" s="645">
        <f t="shared" si="167"/>
        <v>0.33114573561202465</v>
      </c>
      <c r="CB250" s="645">
        <f t="shared" si="167"/>
        <v>0.25822651128914798</v>
      </c>
      <c r="CC250" s="645">
        <f t="shared" si="167"/>
        <v>0.18508191007319641</v>
      </c>
      <c r="CD250" s="644">
        <f t="shared" si="167"/>
        <v>7.4472136961134972E-2</v>
      </c>
      <c r="CE250" s="644">
        <f t="shared" si="167"/>
        <v>0.14813226007102642</v>
      </c>
      <c r="CF250" s="644">
        <f t="shared" si="167"/>
        <v>0.14034945544110244</v>
      </c>
      <c r="CG250" s="644">
        <f t="shared" si="167"/>
        <v>0.27827653631284899</v>
      </c>
      <c r="CH250" s="644">
        <f t="shared" si="167"/>
        <v>0.19258765702379921</v>
      </c>
      <c r="CI250" s="644">
        <f t="shared" si="167"/>
        <v>0.17419335454843599</v>
      </c>
      <c r="CJ250" s="644">
        <f t="shared" si="167"/>
        <v>0.15742557202599117</v>
      </c>
      <c r="CK250" s="644">
        <f t="shared" si="167"/>
        <v>9.480074209556788E-2</v>
      </c>
      <c r="CL250" s="644">
        <f t="shared" si="167"/>
        <v>0.12285026992872106</v>
      </c>
      <c r="CM250" s="644">
        <f t="shared" si="167"/>
        <v>0.10923420061666556</v>
      </c>
      <c r="CN250" s="644">
        <f t="shared" si="167"/>
        <v>9.2990760453916188E-2</v>
      </c>
      <c r="CO250" s="644">
        <f t="shared" si="167"/>
        <v>6.9847466896604038E-2</v>
      </c>
      <c r="CP250" s="644">
        <f t="shared" si="167"/>
        <v>2.0819182712812134E-2</v>
      </c>
      <c r="CQ250" s="644">
        <f>CV316</f>
        <v>-2.2299029992189912E-4</v>
      </c>
      <c r="CR250" s="644">
        <f>CW316</f>
        <v>-2.6056303401427505E-2</v>
      </c>
      <c r="CS250" s="644">
        <f>CX316</f>
        <v>-1.4925373134328401E-2</v>
      </c>
      <c r="CT250" s="644">
        <f>CY316</f>
        <v>8.7040618955512628E-2</v>
      </c>
      <c r="CU250" s="644" t="e">
        <f>#REF!</f>
        <v>#REF!</v>
      </c>
      <c r="CV250" s="644"/>
      <c r="CW250" s="644"/>
    </row>
    <row r="251" spans="4:107" ht="15.75" hidden="1" outlineLevel="1">
      <c r="D251" s="137" t="str">
        <f t="shared" si="158"/>
        <v>Bolivia</v>
      </c>
      <c r="L251" s="7"/>
      <c r="M251" s="7"/>
      <c r="N251" s="7"/>
      <c r="O251" s="7"/>
      <c r="P251" s="7"/>
      <c r="Q251" s="7"/>
      <c r="R251" s="7"/>
      <c r="S251" s="7"/>
      <c r="T251" s="7"/>
      <c r="U251" s="16"/>
      <c r="V251" s="16"/>
      <c r="W251" s="73"/>
      <c r="X251" s="9"/>
      <c r="Y251" s="9"/>
      <c r="Z251" s="9"/>
      <c r="AA251" s="16"/>
      <c r="AB251" s="73"/>
      <c r="AC251" s="16"/>
      <c r="AD251" s="9"/>
      <c r="AE251" s="16"/>
      <c r="AF251" s="16"/>
      <c r="AG251" s="73"/>
      <c r="AH251" s="31">
        <f t="shared" si="165"/>
        <v>52.610699868183048</v>
      </c>
      <c r="AI251" s="31">
        <f t="shared" si="165"/>
        <v>54.613169164811872</v>
      </c>
      <c r="AJ251" s="31">
        <f t="shared" si="165"/>
        <v>61.479479882866819</v>
      </c>
      <c r="AK251" s="31">
        <f t="shared" si="165"/>
        <v>69.257505725595422</v>
      </c>
      <c r="AL251" s="107"/>
      <c r="AM251" s="31">
        <f t="shared" si="166"/>
        <v>66.699343188945221</v>
      </c>
      <c r="AN251" s="31">
        <f t="shared" si="166"/>
        <v>69.134976495726505</v>
      </c>
      <c r="AO251" s="31">
        <f t="shared" si="166"/>
        <v>74.633931623931645</v>
      </c>
      <c r="AP251" s="31">
        <f t="shared" si="166"/>
        <v>79.542239316239332</v>
      </c>
      <c r="AQ251" s="265"/>
      <c r="AR251" s="31"/>
      <c r="AS251" s="31"/>
      <c r="AT251" s="31"/>
      <c r="AU251" s="31"/>
      <c r="AV251" s="16"/>
      <c r="AW251" s="31"/>
      <c r="AX251" s="31"/>
      <c r="AY251" s="31"/>
      <c r="AZ251" s="31"/>
      <c r="BA251" s="16"/>
      <c r="BB251" s="31"/>
      <c r="BC251" s="31"/>
      <c r="BD251" s="31"/>
      <c r="BE251" s="31"/>
      <c r="BF251" s="16"/>
      <c r="BG251" s="16"/>
      <c r="BH251" s="16"/>
      <c r="BI251" s="16"/>
      <c r="BJ251" s="16"/>
      <c r="BK251" s="16"/>
      <c r="BL251" s="16"/>
      <c r="BM251" s="16"/>
      <c r="BN251" s="16"/>
      <c r="BO251" s="16"/>
      <c r="BP251" s="16"/>
      <c r="BQ251" s="16"/>
      <c r="BR251" s="16"/>
      <c r="BS251" s="16"/>
      <c r="BT251" s="16"/>
      <c r="BU251" s="16"/>
      <c r="BV251" s="644" t="s">
        <v>31</v>
      </c>
      <c r="BW251" s="644"/>
      <c r="BX251" s="644"/>
      <c r="BY251" s="644"/>
      <c r="BZ251" s="645">
        <f t="shared" ref="BZ251:CO251" si="168">BZ250-BZ248</f>
        <v>0.30033173227497556</v>
      </c>
      <c r="CA251" s="645">
        <f t="shared" si="168"/>
        <v>0.27309656148877892</v>
      </c>
      <c r="CB251" s="645">
        <f t="shared" si="168"/>
        <v>0.21513408356333927</v>
      </c>
      <c r="CC251" s="645">
        <f t="shared" si="168"/>
        <v>0.2155268033928496</v>
      </c>
      <c r="CD251" s="644">
        <f t="shared" si="168"/>
        <v>0.16100914599802396</v>
      </c>
      <c r="CE251" s="644">
        <f t="shared" si="168"/>
        <v>0.26813226007102642</v>
      </c>
      <c r="CF251" s="644">
        <f t="shared" si="168"/>
        <v>0.23034945544110247</v>
      </c>
      <c r="CG251" s="644">
        <f t="shared" si="168"/>
        <v>0.27327653631284898</v>
      </c>
      <c r="CH251" s="644">
        <f t="shared" si="168"/>
        <v>0.14764703875662011</v>
      </c>
      <c r="CI251" s="644">
        <f t="shared" si="168"/>
        <v>0.15672473089122863</v>
      </c>
      <c r="CJ251" s="644" t="e">
        <f t="shared" si="168"/>
        <v>#REF!</v>
      </c>
      <c r="CK251" s="644">
        <f t="shared" si="168"/>
        <v>9.3699768601481687E-2</v>
      </c>
      <c r="CL251" s="644">
        <f t="shared" si="168"/>
        <v>0.11699929424938937</v>
      </c>
      <c r="CM251" s="644">
        <f t="shared" si="168"/>
        <v>6.6367586641540424E-2</v>
      </c>
      <c r="CN251" s="644">
        <f t="shared" si="168"/>
        <v>5.3351388437876707E-2</v>
      </c>
      <c r="CO251" s="644">
        <f t="shared" si="168"/>
        <v>7.3856502858707956E-2</v>
      </c>
      <c r="CP251" s="644">
        <f>CP250-CP248</f>
        <v>2.0984726604862544E-2</v>
      </c>
      <c r="CQ251" s="644">
        <f>CQ250-CQ248</f>
        <v>4.1381707103938986E-2</v>
      </c>
      <c r="CR251" s="644">
        <f>CR250-CR248</f>
        <v>1.5959285519645136E-2</v>
      </c>
      <c r="CS251" s="644">
        <f>CS250-CS248</f>
        <v>-0.1094161486359943</v>
      </c>
      <c r="CT251" s="644">
        <f>CT250-CT248</f>
        <v>-1.4861861797267589E-2</v>
      </c>
      <c r="CU251" s="644"/>
      <c r="CV251" s="644"/>
      <c r="CW251" s="644"/>
    </row>
    <row r="252" spans="4:107" ht="15.75" hidden="1" outlineLevel="1">
      <c r="D252" s="137" t="str">
        <f t="shared" si="158"/>
        <v>Paraguay</v>
      </c>
      <c r="L252" s="7"/>
      <c r="M252" s="7"/>
      <c r="N252" s="7"/>
      <c r="O252" s="7"/>
      <c r="P252" s="7"/>
      <c r="Q252" s="7"/>
      <c r="R252" s="7"/>
      <c r="S252" s="7"/>
      <c r="T252" s="7"/>
      <c r="U252" s="16"/>
      <c r="V252" s="16"/>
      <c r="W252" s="73"/>
      <c r="X252" s="9"/>
      <c r="Y252" s="9"/>
      <c r="Z252" s="9"/>
      <c r="AA252" s="16"/>
      <c r="AB252" s="73"/>
      <c r="AC252" s="16"/>
      <c r="AD252" s="9"/>
      <c r="AE252" s="16"/>
      <c r="AF252" s="16"/>
      <c r="AG252" s="73"/>
      <c r="AH252" s="31">
        <f t="shared" si="165"/>
        <v>82.594650911190669</v>
      </c>
      <c r="AI252" s="31">
        <f t="shared" si="165"/>
        <v>82.41253014251491</v>
      </c>
      <c r="AJ252" s="31">
        <f t="shared" si="165"/>
        <v>88.949300906928315</v>
      </c>
      <c r="AK252" s="31">
        <f t="shared" si="165"/>
        <v>99.86403994652693</v>
      </c>
      <c r="AL252" s="107"/>
      <c r="AM252" s="31">
        <f t="shared" si="166"/>
        <v>97.605582418896688</v>
      </c>
      <c r="AN252" s="31">
        <f t="shared" si="166"/>
        <v>96.70974021582191</v>
      </c>
      <c r="AO252" s="31">
        <f t="shared" si="166"/>
        <v>105.31949016758317</v>
      </c>
      <c r="AP252" s="31">
        <f t="shared" si="166"/>
        <v>119.44292101601252</v>
      </c>
      <c r="AQ252" s="265"/>
      <c r="AR252" s="31"/>
      <c r="AS252" s="31"/>
      <c r="AT252" s="31"/>
      <c r="AU252" s="31"/>
      <c r="AV252" s="16"/>
      <c r="AW252" s="31"/>
      <c r="AX252" s="31"/>
      <c r="AY252" s="31"/>
      <c r="AZ252" s="31"/>
      <c r="BA252" s="16"/>
      <c r="BB252" s="31"/>
      <c r="BC252" s="31"/>
      <c r="BD252" s="31"/>
      <c r="BE252" s="31"/>
      <c r="BF252" s="16"/>
      <c r="BG252" s="16"/>
      <c r="BH252" s="16"/>
      <c r="BI252" s="16"/>
      <c r="BJ252" s="16"/>
      <c r="BK252" s="16"/>
      <c r="BL252" s="16"/>
      <c r="BM252" s="16"/>
      <c r="BN252" s="16"/>
      <c r="BO252" s="16"/>
      <c r="BP252" s="16"/>
      <c r="BQ252" s="16"/>
      <c r="BR252" s="16"/>
      <c r="BS252" s="16"/>
      <c r="BT252" s="16"/>
      <c r="BU252" s="16"/>
      <c r="BV252" s="648" t="s">
        <v>1542</v>
      </c>
      <c r="BW252" s="649"/>
      <c r="BX252" s="649"/>
      <c r="BY252" s="649"/>
      <c r="BZ252" s="650">
        <f>AC333</f>
        <v>0.42316289326300222</v>
      </c>
      <c r="CA252" s="650">
        <f>AD333</f>
        <v>0.42065242358855592</v>
      </c>
      <c r="CB252" s="650">
        <f>AE333</f>
        <v>0.42747455824437469</v>
      </c>
      <c r="CC252" s="650">
        <f>AF333</f>
        <v>0.45422116527942924</v>
      </c>
      <c r="CD252" s="650">
        <f>AH333</f>
        <v>0.4555464323431706</v>
      </c>
      <c r="CE252" s="650">
        <f>AI333</f>
        <v>0.46041917191719012</v>
      </c>
      <c r="CF252" s="650">
        <f>AJ333</f>
        <v>0.46230187896665081</v>
      </c>
      <c r="CG252" s="650">
        <f>AK333</f>
        <v>0.46963621355747004</v>
      </c>
      <c r="CH252" s="650">
        <f>AM333</f>
        <v>0.47039565828830571</v>
      </c>
      <c r="CI252" s="650">
        <f>AN333</f>
        <v>0.47949993518952916</v>
      </c>
      <c r="CJ252" s="650">
        <f>AO333</f>
        <v>0.47536043343391632</v>
      </c>
      <c r="CK252" s="650">
        <f>AP333</f>
        <v>0.46694906960813098</v>
      </c>
      <c r="CL252" s="650">
        <f>AR333</f>
        <v>0.46955899341540436</v>
      </c>
      <c r="CM252" s="650">
        <f>AS333</f>
        <v>0.46135235495437488</v>
      </c>
      <c r="CN252" s="650">
        <f>AT333</f>
        <v>0.45953163713218775</v>
      </c>
      <c r="CO252" s="650">
        <f>AU333</f>
        <v>0.45539507221750214</v>
      </c>
      <c r="CP252" s="650">
        <f>AW333</f>
        <v>0.4422583404619333</v>
      </c>
      <c r="CQ252" s="650">
        <f>AX333</f>
        <v>0.44037764606265878</v>
      </c>
      <c r="CR252" s="650">
        <f>AY333</f>
        <v>0.42952460383653046</v>
      </c>
      <c r="CS252" s="650">
        <f>AZ333</f>
        <v>0.41706161137440756</v>
      </c>
      <c r="CT252" s="650">
        <f>BB333</f>
        <v>0.41602387769786303</v>
      </c>
      <c r="CU252" s="650">
        <f>BC333</f>
        <v>0.40637023929548777</v>
      </c>
      <c r="CV252" s="650">
        <f>BD333</f>
        <v>0.39754418884360898</v>
      </c>
      <c r="CW252" s="650">
        <f>BE333</f>
        <v>0.39263612784625374</v>
      </c>
      <c r="CX252" s="650">
        <f>BG333</f>
        <v>0.38204578749574009</v>
      </c>
      <c r="CY252" s="650">
        <f>BH333</f>
        <v>0.38110065949201133</v>
      </c>
      <c r="CZ252" s="650">
        <f>BI333</f>
        <v>0.36915345673662847</v>
      </c>
    </row>
    <row r="253" spans="4:107" ht="15.75" hidden="1" outlineLevel="1">
      <c r="D253" s="137" t="str">
        <f t="shared" si="158"/>
        <v>Ghana</v>
      </c>
      <c r="L253" s="7"/>
      <c r="M253" s="7"/>
      <c r="N253" s="7"/>
      <c r="O253" s="7"/>
      <c r="P253" s="7"/>
      <c r="Q253" s="7"/>
      <c r="R253" s="7"/>
      <c r="S253" s="7"/>
      <c r="T253" s="7"/>
      <c r="U253" s="16"/>
      <c r="V253" s="16"/>
      <c r="W253" s="73"/>
      <c r="X253" s="9"/>
      <c r="Y253" s="9"/>
      <c r="Z253" s="9"/>
      <c r="AA253" s="16"/>
      <c r="AB253" s="73"/>
      <c r="AC253" s="16"/>
      <c r="AD253" s="9"/>
      <c r="AE253" s="16"/>
      <c r="AF253" s="16"/>
      <c r="AG253" s="73"/>
      <c r="AH253" s="31">
        <f>AH199*AVERAGE(AG134,AH134)*3/1000</f>
        <v>44.613035397190608</v>
      </c>
      <c r="AI253" s="31">
        <f>AI199*AVERAGE(AH134,AI134)*3/1000</f>
        <v>47.490476629969031</v>
      </c>
      <c r="AJ253" s="31">
        <f>AJ199*AVERAGE(AI134,AJ134)*3/1000</f>
        <v>47.63393038499558</v>
      </c>
      <c r="AK253" s="31">
        <f>AK199*AVERAGE(AJ134,AK134)*3/1000</f>
        <v>50.617616722090268</v>
      </c>
      <c r="AL253" s="107"/>
      <c r="AM253" s="31">
        <f>AM199*AVERAGE(AL134,AM134)*3/1000</f>
        <v>45.646014360845854</v>
      </c>
      <c r="AN253" s="31">
        <f>AN199*AVERAGE(AM134,AN134)*3/1000</f>
        <v>47.961514321819735</v>
      </c>
      <c r="AO253" s="31">
        <f>AO199*AVERAGE(AN134,AO134)*3/1000</f>
        <v>56.613885602907857</v>
      </c>
      <c r="AP253" s="31">
        <f>AP199*AVERAGE(AO134,AP134)*3/1000</f>
        <v>57.335937637628824</v>
      </c>
      <c r="AQ253" s="265"/>
      <c r="AR253" s="31"/>
      <c r="AS253" s="31"/>
      <c r="AT253" s="31"/>
      <c r="AU253" s="31"/>
      <c r="AV253" s="16"/>
      <c r="AW253" s="31"/>
      <c r="AX253" s="31"/>
      <c r="AY253" s="31"/>
      <c r="AZ253" s="31"/>
      <c r="BA253" s="16"/>
      <c r="BB253" s="31"/>
      <c r="BC253" s="31"/>
      <c r="BD253" s="31"/>
      <c r="BE253" s="31"/>
      <c r="BF253" s="16"/>
      <c r="BG253" s="16"/>
      <c r="BH253" s="16"/>
      <c r="BI253" s="16"/>
      <c r="BJ253" s="16"/>
      <c r="BK253" s="16"/>
      <c r="BL253" s="16"/>
      <c r="BM253" s="16"/>
      <c r="BN253" s="16"/>
      <c r="BO253" s="16"/>
      <c r="BP253" s="16"/>
      <c r="BQ253" s="16"/>
      <c r="BR253" s="16"/>
      <c r="BS253" s="16"/>
      <c r="BT253" s="16"/>
      <c r="BU253" s="16"/>
      <c r="BV253" s="651"/>
      <c r="BW253" s="651"/>
      <c r="BX253" s="651"/>
      <c r="BY253" s="651"/>
      <c r="BZ253" s="651"/>
      <c r="CA253" s="651"/>
      <c r="CB253" s="652"/>
      <c r="CC253" s="652"/>
      <c r="CD253" s="652"/>
      <c r="CE253" s="652"/>
      <c r="CF253" s="652"/>
      <c r="CG253" s="652"/>
      <c r="CH253" s="652"/>
      <c r="CI253" s="652"/>
      <c r="CJ253" s="653"/>
      <c r="CK253" s="653"/>
      <c r="CL253" s="652"/>
      <c r="CM253" s="653"/>
      <c r="CN253" s="652"/>
      <c r="CO253" s="652"/>
      <c r="CP253" s="653"/>
      <c r="CQ253" s="653"/>
      <c r="CR253" s="653"/>
      <c r="CS253" s="653"/>
      <c r="CT253" s="653"/>
      <c r="CU253" s="653"/>
      <c r="CV253" s="653"/>
      <c r="CW253" s="653"/>
    </row>
    <row r="254" spans="4:107" ht="15.75" hidden="1" outlineLevel="1">
      <c r="D254" s="137" t="str">
        <f t="shared" si="158"/>
        <v>Mauritius</v>
      </c>
      <c r="L254" s="7"/>
      <c r="M254" s="7"/>
      <c r="N254" s="7"/>
      <c r="O254" s="7"/>
      <c r="P254" s="7"/>
      <c r="Q254" s="7"/>
      <c r="R254" s="7"/>
      <c r="S254" s="7"/>
      <c r="T254" s="7"/>
      <c r="U254" s="16"/>
      <c r="V254" s="16"/>
      <c r="W254" s="73"/>
      <c r="X254" s="9"/>
      <c r="Y254" s="9"/>
      <c r="Z254" s="9"/>
      <c r="AA254" s="16"/>
      <c r="AB254" s="73"/>
      <c r="AC254" s="16"/>
      <c r="AD254" s="9"/>
      <c r="AE254" s="16"/>
      <c r="AF254" s="16"/>
      <c r="AG254" s="73"/>
      <c r="AH254" s="31">
        <f>AH200*AVERAGE(AG135,AH135)*3/1000*$A$135</f>
        <v>6.2146612625332622</v>
      </c>
      <c r="AI254" s="31">
        <f>AI200*AVERAGE(AH135,AI135)*3/1000*$A$135</f>
        <v>6.3232183420493069</v>
      </c>
      <c r="AJ254" s="31">
        <f>AJ200*AVERAGE(AI135,AJ135)*3/1000*$A$135</f>
        <v>8.2792491905925232</v>
      </c>
      <c r="AK254" s="31">
        <f>AK200*AVERAGE(AJ135,AK135)*3/1000*$A$135</f>
        <v>8.492655842427471</v>
      </c>
      <c r="AL254" s="107"/>
      <c r="AM254" s="31">
        <f>AM200*AVERAGE(AL135,AM135)*3/1000*$A$135</f>
        <v>8.1980021666730245</v>
      </c>
      <c r="AN254" s="31">
        <f>AN200*AVERAGE(AM135,AN135)*3/1000*$A$135</f>
        <v>7.2249004318228938</v>
      </c>
      <c r="AO254" s="31">
        <f>AO200*AVERAGE(AN135,AO135)*3/1000*$A$135</f>
        <v>7.7683934844310594</v>
      </c>
      <c r="AP254" s="31">
        <f>AP200*AVERAGE(AO135,AP135)*3/1000*$A$135</f>
        <v>8.3741895370033195</v>
      </c>
      <c r="AQ254" s="265"/>
      <c r="AR254" s="31"/>
      <c r="AS254" s="31"/>
      <c r="AT254" s="31"/>
      <c r="AU254" s="31"/>
      <c r="AV254" s="16"/>
      <c r="AW254" s="31"/>
      <c r="AX254" s="31"/>
      <c r="AY254" s="31"/>
      <c r="AZ254" s="31"/>
      <c r="BA254" s="16"/>
      <c r="BB254" s="31"/>
      <c r="BC254" s="31"/>
      <c r="BD254" s="31"/>
      <c r="BE254" s="31"/>
      <c r="BF254" s="16"/>
      <c r="BG254" s="16"/>
      <c r="BH254" s="16"/>
      <c r="BI254" s="16"/>
      <c r="BJ254" s="16"/>
      <c r="BK254" s="16"/>
      <c r="BL254" s="16"/>
      <c r="BM254" s="16"/>
      <c r="BN254" s="16"/>
      <c r="BO254" s="16"/>
      <c r="BP254" s="16"/>
      <c r="BQ254" s="16"/>
      <c r="BR254" s="16"/>
      <c r="BS254" s="16"/>
      <c r="BT254" s="16"/>
      <c r="BU254" s="16"/>
      <c r="BV254" s="641"/>
      <c r="BW254" s="642"/>
      <c r="BX254" s="642"/>
      <c r="BY254" s="642"/>
      <c r="BZ254" s="643" t="str">
        <f>CB246</f>
        <v>Q3 08</v>
      </c>
      <c r="CA254" s="643" t="str">
        <f>CC246</f>
        <v>Q4 08</v>
      </c>
      <c r="CB254" s="643" t="str">
        <f>CD246</f>
        <v>Q1 09</v>
      </c>
      <c r="CC254" s="643" t="str">
        <f>CE246</f>
        <v>Q2 09</v>
      </c>
      <c r="CD254" s="643" t="str">
        <f t="shared" ref="CD254:CO254" si="169">CD246</f>
        <v>Q1 09</v>
      </c>
      <c r="CE254" s="643" t="str">
        <f t="shared" si="169"/>
        <v>Q2 09</v>
      </c>
      <c r="CF254" s="643" t="str">
        <f t="shared" si="169"/>
        <v>Q3 09</v>
      </c>
      <c r="CG254" s="643" t="str">
        <f t="shared" si="169"/>
        <v>Q4 09</v>
      </c>
      <c r="CH254" s="643" t="str">
        <f t="shared" si="169"/>
        <v>Q1 10</v>
      </c>
      <c r="CI254" s="643" t="str">
        <f t="shared" si="169"/>
        <v>Q2 10</v>
      </c>
      <c r="CJ254" s="643" t="str">
        <f t="shared" si="169"/>
        <v>Q3 10</v>
      </c>
      <c r="CK254" s="643" t="str">
        <f t="shared" si="169"/>
        <v>Q4 10</v>
      </c>
      <c r="CL254" s="643" t="str">
        <f t="shared" si="169"/>
        <v>Q1 11</v>
      </c>
      <c r="CM254" s="643" t="str">
        <f t="shared" si="169"/>
        <v>Q2 11</v>
      </c>
      <c r="CN254" s="643" t="str">
        <f t="shared" si="169"/>
        <v>Q3 11</v>
      </c>
      <c r="CO254" s="643" t="str">
        <f t="shared" si="169"/>
        <v>Q4 11</v>
      </c>
      <c r="CP254" s="643"/>
      <c r="CQ254" s="643"/>
      <c r="CR254" s="643"/>
      <c r="CS254" s="643"/>
      <c r="CT254" s="643"/>
      <c r="CU254" s="643"/>
      <c r="CV254" s="643"/>
      <c r="CW254" s="643"/>
    </row>
    <row r="255" spans="4:107" ht="15.75" collapsed="1">
      <c r="D255" s="137" t="str">
        <f t="shared" si="158"/>
        <v>Senegal</v>
      </c>
      <c r="L255" s="7"/>
      <c r="M255" s="7"/>
      <c r="N255" s="7"/>
      <c r="O255" s="7"/>
      <c r="P255" s="7"/>
      <c r="Q255" s="7"/>
      <c r="R255" s="7"/>
      <c r="S255" s="7"/>
      <c r="T255" s="7"/>
      <c r="U255" s="16"/>
      <c r="V255" s="16"/>
      <c r="W255" s="73"/>
      <c r="X255" s="9"/>
      <c r="Y255" s="9"/>
      <c r="Z255" s="9"/>
      <c r="AA255" s="16"/>
      <c r="AB255" s="73"/>
      <c r="AC255" s="16"/>
      <c r="AD255" s="9"/>
      <c r="AE255" s="16"/>
      <c r="AF255" s="16"/>
      <c r="AG255" s="73"/>
      <c r="AH255" s="31">
        <f>AH201*AVERAGE(AG136,AH136)*3/1000</f>
        <v>33.924659219282532</v>
      </c>
      <c r="AI255" s="31">
        <f>AI201*AVERAGE(AH136,AI136)*3/1000</f>
        <v>35.867449561794864</v>
      </c>
      <c r="AJ255" s="31">
        <f>AJ201*AVERAGE(AI136,AJ136)*3/1000</f>
        <v>35.503514600190421</v>
      </c>
      <c r="AK255" s="31">
        <f>AK201*AVERAGE(AJ136,AK136)*3/1000</f>
        <v>40.238170526632587</v>
      </c>
      <c r="AL255" s="107"/>
      <c r="AM255" s="31">
        <f>AM201*AVERAGE(AL136,AM136)*3/1000</f>
        <v>39.973497794679538</v>
      </c>
      <c r="AN255" s="31">
        <f>AN201*AVERAGE(AM136,AN136)*3/1000</f>
        <v>35.208769640206363</v>
      </c>
      <c r="AO255" s="31">
        <f>AO201*AVERAGE(AN136,AO136)*3/1000</f>
        <v>36.79507034210085</v>
      </c>
      <c r="AP255" s="31">
        <f>AP201*AVERAGE(AO136,AP136)*3/1000</f>
        <v>35.882934992327797</v>
      </c>
      <c r="AQ255" s="265"/>
      <c r="AR255" s="31"/>
      <c r="AS255" s="31"/>
      <c r="AT255" s="31"/>
      <c r="AU255" s="31"/>
      <c r="AV255" s="16"/>
      <c r="AW255" s="31"/>
      <c r="AX255" s="31"/>
      <c r="AY255" s="31"/>
      <c r="AZ255" s="31"/>
      <c r="BA255" s="16"/>
      <c r="BB255" s="31"/>
      <c r="BC255" s="31"/>
      <c r="BD255" s="31"/>
      <c r="BE255" s="31"/>
      <c r="BF255" s="16"/>
      <c r="BG255" s="16"/>
      <c r="BH255" s="16"/>
      <c r="BI255" s="16"/>
      <c r="BJ255" s="16"/>
      <c r="BK255" s="16"/>
      <c r="BL255" s="16"/>
      <c r="BM255" s="16"/>
      <c r="BN255" s="16"/>
      <c r="BO255" s="16"/>
      <c r="BP255" s="16"/>
      <c r="BQ255" s="16"/>
      <c r="BR255" s="16"/>
      <c r="BS255" s="16"/>
      <c r="BT255" s="16"/>
      <c r="BU255" s="16"/>
      <c r="BV255" s="395" t="s">
        <v>1828</v>
      </c>
      <c r="BW255" s="395"/>
      <c r="BX255" s="395"/>
      <c r="BY255" s="395"/>
      <c r="BZ255" s="396">
        <v>0.12</v>
      </c>
      <c r="CA255" s="396">
        <v>7.0000000000000007E-2</v>
      </c>
      <c r="CB255" s="396">
        <v>-0.03</v>
      </c>
      <c r="CC255" s="396">
        <v>0</v>
      </c>
      <c r="CD255" s="396"/>
      <c r="CE255" s="396"/>
      <c r="CF255" s="396">
        <v>0</v>
      </c>
      <c r="CG255" s="396">
        <v>-0.04</v>
      </c>
      <c r="CH255" s="396">
        <v>0</v>
      </c>
      <c r="CI255" s="396">
        <v>-0.01</v>
      </c>
      <c r="CJ255" s="396">
        <v>-0.01</v>
      </c>
      <c r="CK255" s="395">
        <v>0.01</v>
      </c>
      <c r="CL255" s="395">
        <v>0.04</v>
      </c>
      <c r="CM255" s="395">
        <v>3.4000000000000002E-2</v>
      </c>
      <c r="CN255" s="395">
        <v>4.9000000000000002E-2</v>
      </c>
      <c r="CO255" s="395">
        <v>6.2E-2</v>
      </c>
      <c r="CP255" s="395">
        <v>4.7E-2</v>
      </c>
      <c r="CQ255" s="395">
        <v>6.3E-2</v>
      </c>
      <c r="CR255" s="395">
        <v>3.3000000000000002E-2</v>
      </c>
      <c r="CS255" s="395">
        <v>2.4E-2</v>
      </c>
      <c r="CT255" s="395">
        <v>2E-3</v>
      </c>
      <c r="CU255" s="395">
        <v>4.0000000000000001E-3</v>
      </c>
      <c r="CV255" s="395">
        <v>8.9999999999999993E-3</v>
      </c>
      <c r="CW255" s="395">
        <v>1.0999999999999999E-2</v>
      </c>
      <c r="CX255" s="395">
        <v>1.9E-2</v>
      </c>
      <c r="CY255" s="395">
        <v>2.5999999999999999E-2</v>
      </c>
      <c r="CZ255" s="395">
        <v>2.1000000000000001E-2</v>
      </c>
    </row>
    <row r="256" spans="4:107" ht="15.75">
      <c r="D256" s="137" t="str">
        <f t="shared" si="158"/>
        <v>Tanzania</v>
      </c>
      <c r="L256" s="7"/>
      <c r="M256" s="7"/>
      <c r="N256" s="7"/>
      <c r="O256" s="7"/>
      <c r="P256" s="7"/>
      <c r="Q256" s="7"/>
      <c r="R256" s="7"/>
      <c r="S256" s="7"/>
      <c r="T256" s="7"/>
      <c r="U256" s="16"/>
      <c r="V256" s="16"/>
      <c r="W256" s="73"/>
      <c r="X256" s="9"/>
      <c r="Y256" s="9"/>
      <c r="Z256" s="9"/>
      <c r="AA256" s="16"/>
      <c r="AB256" s="73"/>
      <c r="AC256" s="16"/>
      <c r="AD256" s="9"/>
      <c r="AE256" s="16"/>
      <c r="AF256" s="16"/>
      <c r="AG256" s="73"/>
      <c r="AH256" s="31">
        <f t="shared" ref="AH256:AK258" si="170">AH202*AVERAGE(AG138,AH138)*3/1000</f>
        <v>41.965157981003365</v>
      </c>
      <c r="AI256" s="31">
        <f t="shared" si="170"/>
        <v>46.078328084361978</v>
      </c>
      <c r="AJ256" s="31">
        <f t="shared" si="170"/>
        <v>54.946074297063518</v>
      </c>
      <c r="AK256" s="31">
        <f t="shared" si="170"/>
        <v>62.658660840704819</v>
      </c>
      <c r="AL256" s="107"/>
      <c r="AM256" s="31">
        <f t="shared" ref="AM256:AP258" si="171">AM202*AVERAGE(AL138,AM138)*3/1000</f>
        <v>59.889293486927244</v>
      </c>
      <c r="AN256" s="31">
        <f t="shared" si="171"/>
        <v>61.195449136303026</v>
      </c>
      <c r="AO256" s="31">
        <f t="shared" si="171"/>
        <v>64.837492230515807</v>
      </c>
      <c r="AP256" s="31">
        <f t="shared" si="171"/>
        <v>66.592318448317044</v>
      </c>
      <c r="AQ256" s="265"/>
      <c r="AR256" s="31"/>
      <c r="AS256" s="31"/>
      <c r="AT256" s="31"/>
      <c r="AU256" s="31"/>
      <c r="AV256" s="16"/>
      <c r="AW256" s="31"/>
      <c r="AX256" s="31"/>
      <c r="AY256" s="31"/>
      <c r="AZ256" s="31"/>
      <c r="BA256" s="16"/>
      <c r="BB256" s="31"/>
      <c r="BC256" s="31"/>
      <c r="BD256" s="31"/>
      <c r="BE256" s="31"/>
      <c r="BF256" s="16"/>
      <c r="BG256" s="16"/>
      <c r="BH256" s="16"/>
      <c r="BI256" s="16"/>
      <c r="BJ256" s="16"/>
      <c r="BK256" s="16"/>
      <c r="BL256" s="16"/>
      <c r="BM256" s="16"/>
      <c r="BN256" s="16"/>
      <c r="BO256" s="16"/>
      <c r="BP256" s="16"/>
      <c r="BQ256" s="16"/>
      <c r="BR256" s="16"/>
      <c r="BS256" s="16"/>
      <c r="BT256" s="16"/>
      <c r="BU256" s="16"/>
      <c r="BV256" s="223" t="s">
        <v>1697</v>
      </c>
      <c r="BW256" s="223"/>
      <c r="BX256" s="223"/>
      <c r="BY256" s="223"/>
      <c r="BZ256" s="285">
        <v>0.1</v>
      </c>
      <c r="CA256" s="285">
        <v>0.11</v>
      </c>
      <c r="CB256" s="285">
        <v>0.16</v>
      </c>
      <c r="CC256" s="285">
        <v>0.16</v>
      </c>
      <c r="CD256" s="285"/>
      <c r="CE256" s="285"/>
      <c r="CF256" s="285">
        <v>0.13</v>
      </c>
      <c r="CG256" s="285">
        <v>0.15</v>
      </c>
      <c r="CH256" s="285">
        <v>0.17</v>
      </c>
      <c r="CI256" s="285">
        <v>0.19</v>
      </c>
      <c r="CJ256" s="285">
        <v>0.21</v>
      </c>
      <c r="CK256" s="716">
        <v>0.19</v>
      </c>
      <c r="CL256" s="716">
        <v>0.19</v>
      </c>
      <c r="CM256" s="716">
        <v>0.19500000000000001</v>
      </c>
      <c r="CN256" s="716">
        <v>0.152</v>
      </c>
      <c r="CO256" s="716">
        <v>0.14399999999999999</v>
      </c>
      <c r="CP256" s="716">
        <v>0.14499999999999999</v>
      </c>
      <c r="CQ256" s="716">
        <v>0.13100000000000001</v>
      </c>
      <c r="CR256" s="716">
        <v>0.14599999999999999</v>
      </c>
      <c r="CS256" s="716">
        <v>0.11</v>
      </c>
      <c r="CT256" s="716">
        <v>8.6999999999999994E-2</v>
      </c>
      <c r="CU256" s="716">
        <v>0.107</v>
      </c>
      <c r="CV256" s="716">
        <v>0.122</v>
      </c>
      <c r="CW256" s="716">
        <v>0.14699999999999999</v>
      </c>
      <c r="CX256" s="716">
        <v>0.14599999999999999</v>
      </c>
      <c r="CY256" s="716">
        <v>0.13900000000000001</v>
      </c>
      <c r="CZ256" s="716">
        <v>0.14000000000000001</v>
      </c>
    </row>
    <row r="257" spans="4:116" ht="15.75">
      <c r="D257" s="137" t="str">
        <f t="shared" si="158"/>
        <v>Chad</v>
      </c>
      <c r="L257" s="7"/>
      <c r="M257" s="7"/>
      <c r="N257" s="7"/>
      <c r="O257" s="7"/>
      <c r="P257" s="7"/>
      <c r="Q257" s="7"/>
      <c r="R257" s="7"/>
      <c r="S257" s="7"/>
      <c r="T257" s="7"/>
      <c r="U257" s="16"/>
      <c r="V257" s="16"/>
      <c r="W257" s="73"/>
      <c r="X257" s="9"/>
      <c r="Y257" s="9"/>
      <c r="Z257" s="9"/>
      <c r="AA257" s="16"/>
      <c r="AB257" s="73"/>
      <c r="AC257" s="16"/>
      <c r="AD257" s="9"/>
      <c r="AE257" s="16"/>
      <c r="AF257" s="16"/>
      <c r="AG257" s="73"/>
      <c r="AH257" s="31">
        <f t="shared" si="170"/>
        <v>16.91096809964986</v>
      </c>
      <c r="AI257" s="31">
        <f t="shared" si="170"/>
        <v>21.784845963345813</v>
      </c>
      <c r="AJ257" s="31">
        <f t="shared" si="170"/>
        <v>23.568626614565293</v>
      </c>
      <c r="AK257" s="31">
        <f t="shared" si="170"/>
        <v>30.287576634888524</v>
      </c>
      <c r="AL257" s="107"/>
      <c r="AM257" s="31">
        <f t="shared" si="171"/>
        <v>28.351651460685822</v>
      </c>
      <c r="AN257" s="31">
        <f t="shared" si="171"/>
        <v>26.110797722778202</v>
      </c>
      <c r="AO257" s="31">
        <f t="shared" si="171"/>
        <v>25.585609679477813</v>
      </c>
      <c r="AP257" s="31">
        <f t="shared" si="171"/>
        <v>28.584152152410265</v>
      </c>
      <c r="AQ257" s="265"/>
      <c r="AR257" s="31"/>
      <c r="AS257" s="31"/>
      <c r="AT257" s="31"/>
      <c r="AU257" s="31"/>
      <c r="AV257" s="16"/>
      <c r="AW257" s="31"/>
      <c r="AX257" s="31"/>
      <c r="AY257" s="31"/>
      <c r="AZ257" s="31"/>
      <c r="BA257" s="16"/>
      <c r="BB257" s="31">
        <v>1181</v>
      </c>
      <c r="BC257" s="582">
        <f>BB257+73+3.5</f>
        <v>1257.5</v>
      </c>
      <c r="BD257" s="582"/>
      <c r="BE257" s="582"/>
      <c r="BF257" s="16"/>
      <c r="BG257" s="16"/>
      <c r="BH257" s="16"/>
      <c r="BI257" s="16"/>
      <c r="BJ257" s="16"/>
      <c r="BK257" s="16"/>
      <c r="BL257" s="16"/>
      <c r="BM257" s="16"/>
      <c r="BN257" s="16"/>
      <c r="BO257" s="16"/>
      <c r="BP257" s="16"/>
      <c r="BQ257" s="16"/>
      <c r="BR257" s="16"/>
      <c r="BS257" s="16"/>
      <c r="BT257" s="16"/>
      <c r="BU257" s="16"/>
      <c r="BV257" s="712" t="s">
        <v>1831</v>
      </c>
      <c r="BW257" s="712"/>
      <c r="BX257" s="712"/>
      <c r="BY257" s="712"/>
      <c r="BZ257" s="713">
        <v>0.59</v>
      </c>
      <c r="CA257" s="713">
        <v>0.42</v>
      </c>
      <c r="CB257" s="713">
        <v>0.25</v>
      </c>
      <c r="CC257" s="713">
        <v>0.23</v>
      </c>
      <c r="CD257" s="713"/>
      <c r="CE257" s="713"/>
      <c r="CF257" s="713">
        <v>0.21</v>
      </c>
      <c r="CG257" s="713">
        <v>0.27</v>
      </c>
      <c r="CH257" s="713">
        <v>0.26</v>
      </c>
      <c r="CI257" s="713">
        <v>0.23</v>
      </c>
      <c r="CJ257" s="713">
        <v>0.24</v>
      </c>
      <c r="CK257" s="712">
        <v>0.12</v>
      </c>
      <c r="CL257" s="712">
        <v>0.13</v>
      </c>
      <c r="CM257" s="712">
        <v>0.11899999999999999</v>
      </c>
      <c r="CN257" s="712">
        <v>7.8E-2</v>
      </c>
      <c r="CO257" s="712">
        <v>0.106</v>
      </c>
      <c r="CP257" s="712">
        <v>5.3999999999999999E-2</v>
      </c>
      <c r="CQ257" s="712">
        <v>5.7000000000000002E-2</v>
      </c>
      <c r="CR257" s="712">
        <v>6.8000000000000005E-2</v>
      </c>
      <c r="CS257" s="712">
        <v>1.9E-2</v>
      </c>
      <c r="CT257" s="712">
        <v>2.8000000000000001E-2</v>
      </c>
      <c r="CU257" s="712">
        <v>5.0000000000000001E-3</v>
      </c>
      <c r="CV257" s="712">
        <v>4.7E-2</v>
      </c>
      <c r="CW257" s="712">
        <v>9.1999999999999998E-2</v>
      </c>
      <c r="CX257" s="712">
        <v>0.11600000000000001</v>
      </c>
      <c r="CY257" s="712">
        <v>0.14599999999999999</v>
      </c>
      <c r="CZ257" s="712">
        <v>0.125</v>
      </c>
    </row>
    <row r="258" spans="4:116" ht="15.75">
      <c r="D258" s="137" t="str">
        <f t="shared" si="158"/>
        <v>DRC (in $)</v>
      </c>
      <c r="L258" s="7"/>
      <c r="M258" s="7"/>
      <c r="N258" s="7"/>
      <c r="O258" s="7"/>
      <c r="P258" s="7"/>
      <c r="Q258" s="7"/>
      <c r="R258" s="7"/>
      <c r="S258" s="7"/>
      <c r="T258" s="7"/>
      <c r="U258" s="16"/>
      <c r="V258" s="16"/>
      <c r="W258" s="73"/>
      <c r="X258" s="9"/>
      <c r="Y258" s="9"/>
      <c r="Z258" s="9"/>
      <c r="AA258" s="16"/>
      <c r="AB258" s="73"/>
      <c r="AC258" s="16"/>
      <c r="AD258" s="9"/>
      <c r="AE258" s="16"/>
      <c r="AF258" s="16"/>
      <c r="AG258" s="73"/>
      <c r="AH258" s="31">
        <f t="shared" si="170"/>
        <v>23.5305</v>
      </c>
      <c r="AI258" s="31">
        <f t="shared" si="170"/>
        <v>22.148100000000003</v>
      </c>
      <c r="AJ258" s="31">
        <f t="shared" si="170"/>
        <v>28.529108999999998</v>
      </c>
      <c r="AK258" s="31">
        <f t="shared" si="170"/>
        <v>31.081658999999998</v>
      </c>
      <c r="AL258" s="107"/>
      <c r="AM258" s="31">
        <f t="shared" si="171"/>
        <v>28.040399999999998</v>
      </c>
      <c r="AN258" s="31">
        <f t="shared" si="171"/>
        <v>30.837969000000001</v>
      </c>
      <c r="AO258" s="31">
        <f t="shared" si="171"/>
        <v>34.510328999999999</v>
      </c>
      <c r="AP258" s="31">
        <f t="shared" si="171"/>
        <v>31.265932500000002</v>
      </c>
      <c r="AQ258" s="265"/>
      <c r="AR258" s="31"/>
      <c r="AS258" s="31"/>
      <c r="AT258" s="31"/>
      <c r="AU258" s="31"/>
      <c r="AV258" s="16"/>
      <c r="AW258" s="31"/>
      <c r="AX258" s="31"/>
      <c r="AY258" s="31"/>
      <c r="AZ258" s="31"/>
      <c r="BA258" s="16"/>
      <c r="BB258" s="31"/>
      <c r="BC258" s="29">
        <f>BC257/BB257-1</f>
        <v>6.4775613886536743E-2</v>
      </c>
      <c r="BD258" s="29"/>
      <c r="BE258" s="29"/>
      <c r="BF258" s="16"/>
      <c r="BG258" s="16"/>
      <c r="BH258" s="16"/>
      <c r="BI258" s="16"/>
      <c r="BJ258" s="16"/>
      <c r="BK258" s="16"/>
      <c r="BL258" s="16"/>
      <c r="BM258" s="16"/>
      <c r="BN258" s="16"/>
      <c r="BO258" s="16"/>
      <c r="BP258" s="16"/>
      <c r="BQ258" s="16"/>
      <c r="BR258" s="16"/>
      <c r="BS258" s="16"/>
      <c r="BT258" s="16"/>
      <c r="BU258" s="16"/>
      <c r="BV258" s="755" t="s">
        <v>3633</v>
      </c>
      <c r="BW258" s="755"/>
      <c r="BX258" s="755"/>
      <c r="BY258" s="755"/>
      <c r="BZ258" s="756">
        <f>CB249</f>
        <v>0.21385407840426993</v>
      </c>
      <c r="CA258" s="756">
        <f>CC249</f>
        <v>5.705553757735618E-2</v>
      </c>
      <c r="CB258" s="756">
        <f>CD249</f>
        <v>0.15754606160439077</v>
      </c>
      <c r="CC258" s="756">
        <f>CE249</f>
        <v>0.17571265892357568</v>
      </c>
      <c r="CD258" s="756"/>
      <c r="CE258" s="756"/>
      <c r="CF258" s="756">
        <f>CF249</f>
        <v>0.15492718152915458</v>
      </c>
      <c r="CG258" s="756">
        <v>0.09</v>
      </c>
      <c r="CH258" s="756">
        <v>0.11</v>
      </c>
      <c r="CI258" s="756">
        <v>0.11</v>
      </c>
      <c r="CJ258" s="756" t="e">
        <f>11.7%+#REF!</f>
        <v>#REF!</v>
      </c>
      <c r="CK258" s="757">
        <v>0.1</v>
      </c>
      <c r="CL258" s="757">
        <f>CL249</f>
        <v>0.11899999999999999</v>
      </c>
      <c r="CM258" s="757">
        <f>CM249</f>
        <v>0.11</v>
      </c>
      <c r="CN258" s="757">
        <f>CN249</f>
        <v>9.0999999999999998E-2</v>
      </c>
      <c r="CO258" s="757">
        <f>CO249</f>
        <v>0.10100000000000001</v>
      </c>
      <c r="CP258" s="757">
        <f>CP249</f>
        <v>8.4000000000000005E-2</v>
      </c>
      <c r="CQ258" s="757">
        <v>8.8999999999999996E-2</v>
      </c>
      <c r="CR258" s="757">
        <v>8.4000000000000005E-2</v>
      </c>
      <c r="CS258" s="757">
        <v>5.5E-2</v>
      </c>
      <c r="CT258" s="757">
        <v>0.04</v>
      </c>
      <c r="CU258" s="757">
        <v>4.48E-2</v>
      </c>
      <c r="CV258" s="757">
        <v>6.4000000000000001E-2</v>
      </c>
      <c r="CW258" s="757">
        <v>8.1000000000000003E-2</v>
      </c>
      <c r="CX258" s="757">
        <v>8.5000000000000006E-2</v>
      </c>
      <c r="CY258" s="757">
        <v>0.09</v>
      </c>
      <c r="CZ258" s="757">
        <v>8.5999999999999993E-2</v>
      </c>
    </row>
    <row r="259" spans="4:116" ht="15.75">
      <c r="D259" s="413" t="str">
        <f t="shared" si="158"/>
        <v>Rwanda</v>
      </c>
      <c r="E259" s="11"/>
      <c r="F259" s="11"/>
      <c r="G259" s="11"/>
      <c r="H259" s="11"/>
      <c r="I259" s="11"/>
      <c r="J259" s="11"/>
      <c r="K259" s="11"/>
      <c r="L259" s="14"/>
      <c r="M259" s="14"/>
      <c r="N259" s="14"/>
      <c r="O259" s="14"/>
      <c r="P259" s="14"/>
      <c r="Q259" s="14"/>
      <c r="R259" s="14"/>
      <c r="S259" s="14"/>
      <c r="T259" s="14"/>
      <c r="U259" s="20"/>
      <c r="V259" s="20"/>
      <c r="W259" s="307"/>
      <c r="X259" s="13"/>
      <c r="Y259" s="13"/>
      <c r="Z259" s="13"/>
      <c r="AA259" s="20"/>
      <c r="AB259" s="307"/>
      <c r="AC259" s="20"/>
      <c r="AD259" s="13"/>
      <c r="AE259" s="20"/>
      <c r="AF259" s="20"/>
      <c r="AG259" s="307"/>
      <c r="AH259" s="93">
        <f>AH238</f>
        <v>0</v>
      </c>
      <c r="AI259" s="93">
        <f>AI238</f>
        <v>0</v>
      </c>
      <c r="AJ259" s="93">
        <f>AJ238</f>
        <v>0</v>
      </c>
      <c r="AK259" s="93">
        <f>AK238</f>
        <v>0</v>
      </c>
      <c r="AL259" s="179"/>
      <c r="AM259" s="93">
        <f>AM238</f>
        <v>1.7227400510454061</v>
      </c>
      <c r="AN259" s="93">
        <f>AN238</f>
        <v>4.2606742137449487</v>
      </c>
      <c r="AO259" s="93">
        <f>AO238</f>
        <v>5.1456269717184568</v>
      </c>
      <c r="AP259" s="93">
        <f>AP238</f>
        <v>2.527353388292596</v>
      </c>
      <c r="AQ259" s="414"/>
      <c r="AR259" s="93"/>
      <c r="AS259" s="93"/>
      <c r="AT259" s="93"/>
      <c r="AU259" s="93"/>
      <c r="AV259" s="16"/>
      <c r="AW259" s="93"/>
      <c r="AX259" s="93"/>
      <c r="AY259" s="93"/>
      <c r="AZ259" s="93"/>
      <c r="BA259" s="16"/>
      <c r="BB259" s="93"/>
      <c r="BC259" s="93"/>
      <c r="BD259" s="93"/>
      <c r="BE259" s="93"/>
      <c r="BF259" s="16"/>
      <c r="BG259" s="16"/>
      <c r="BH259" s="16"/>
      <c r="BI259" s="16"/>
      <c r="BJ259" s="16"/>
      <c r="BK259" s="16"/>
      <c r="BL259" s="16"/>
      <c r="BM259" s="16"/>
      <c r="BN259" s="16"/>
      <c r="BO259" s="16"/>
      <c r="BP259" s="16"/>
      <c r="BQ259" s="16"/>
      <c r="BR259" s="16"/>
      <c r="BS259" s="16"/>
      <c r="BT259" s="16"/>
      <c r="BU259" s="16"/>
      <c r="BV259" s="395" t="s">
        <v>3542</v>
      </c>
      <c r="BW259" s="395"/>
      <c r="BX259" s="395"/>
      <c r="BY259" s="395"/>
      <c r="BZ259" s="396"/>
      <c r="CA259" s="396"/>
      <c r="CB259" s="396"/>
      <c r="CC259" s="396"/>
      <c r="CD259" s="396"/>
      <c r="CE259" s="396"/>
      <c r="CF259" s="396"/>
      <c r="CG259" s="396"/>
      <c r="CH259" s="396"/>
      <c r="CI259" s="396"/>
      <c r="CJ259" s="396"/>
      <c r="CK259" s="395"/>
      <c r="CL259" s="395">
        <f t="shared" ref="CL259:CR259" si="172">CL258</f>
        <v>0.11899999999999999</v>
      </c>
      <c r="CM259" s="395">
        <f t="shared" si="172"/>
        <v>0.11</v>
      </c>
      <c r="CN259" s="395">
        <f t="shared" si="172"/>
        <v>9.0999999999999998E-2</v>
      </c>
      <c r="CO259" s="395">
        <f t="shared" si="172"/>
        <v>0.10100000000000001</v>
      </c>
      <c r="CP259" s="395">
        <f t="shared" si="172"/>
        <v>8.4000000000000005E-2</v>
      </c>
      <c r="CQ259" s="395">
        <f t="shared" si="172"/>
        <v>8.8999999999999996E-2</v>
      </c>
      <c r="CR259" s="395">
        <f t="shared" si="172"/>
        <v>8.4000000000000005E-2</v>
      </c>
      <c r="CS259" s="395">
        <f>CS258</f>
        <v>5.5E-2</v>
      </c>
      <c r="CT259" s="395">
        <f>CT258+1%</f>
        <v>0.05</v>
      </c>
      <c r="CU259" s="395">
        <f>CU258</f>
        <v>4.48E-2</v>
      </c>
      <c r="CV259" s="395">
        <v>6.4000000000000001E-2</v>
      </c>
      <c r="CW259" s="395">
        <f>CW258</f>
        <v>8.1000000000000003E-2</v>
      </c>
      <c r="CX259" s="395">
        <f>CX258</f>
        <v>8.5000000000000006E-2</v>
      </c>
      <c r="CY259" s="395">
        <v>0.09</v>
      </c>
      <c r="CZ259" s="395">
        <v>8.5999999999999993E-2</v>
      </c>
    </row>
    <row r="260" spans="4:116" ht="15.75">
      <c r="D260" s="2" t="s">
        <v>1057</v>
      </c>
      <c r="E260" s="2"/>
      <c r="F260" s="2"/>
      <c r="G260" s="2"/>
      <c r="H260" s="2"/>
      <c r="I260" s="2"/>
      <c r="J260" s="2"/>
      <c r="K260" s="2"/>
      <c r="L260" s="15"/>
      <c r="M260" s="15"/>
      <c r="N260" s="15"/>
      <c r="O260" s="15"/>
      <c r="P260" s="15"/>
      <c r="Q260" s="15"/>
      <c r="R260" s="15"/>
      <c r="S260" s="15"/>
      <c r="T260" s="15"/>
      <c r="U260" s="19"/>
      <c r="V260" s="19"/>
      <c r="W260" s="292"/>
      <c r="X260" s="10"/>
      <c r="Y260" s="10"/>
      <c r="Z260" s="10"/>
      <c r="AA260" s="19"/>
      <c r="AB260" s="292"/>
      <c r="AC260" s="19"/>
      <c r="AD260" s="10">
        <f>AD242-AD261</f>
        <v>764.221</v>
      </c>
      <c r="AE260" s="10">
        <f>AE242-AE261</f>
        <v>754.88200000000006</v>
      </c>
      <c r="AF260" s="10">
        <f>AF242-AF261</f>
        <v>716</v>
      </c>
      <c r="AG260" s="292"/>
      <c r="AH260" s="10">
        <f>SUM(AH247:AH259)</f>
        <v>677.08481732760117</v>
      </c>
      <c r="AI260" s="10">
        <f>SUM(AI247:AI259)</f>
        <v>705.4828495416192</v>
      </c>
      <c r="AJ260" s="10">
        <f>SUM(AJ247:AJ259)</f>
        <v>741.76172185517885</v>
      </c>
      <c r="AK260" s="10">
        <f>SUM(AK247:AK259)</f>
        <v>798.25456776595865</v>
      </c>
      <c r="AL260" s="102"/>
      <c r="AM260" s="10">
        <f>SUM(AM247:AM259)</f>
        <v>784.58891709326849</v>
      </c>
      <c r="AN260" s="10">
        <f>SUM(AN247:AN259)</f>
        <v>795.91690248840723</v>
      </c>
      <c r="AO260" s="10">
        <f>SUM(AO247:AO259)</f>
        <v>845.64772249897874</v>
      </c>
      <c r="AP260" s="10">
        <f>SUM(AP247:AP259)</f>
        <v>885.55012202265823</v>
      </c>
      <c r="AQ260" s="187"/>
      <c r="AR260" s="10"/>
      <c r="AS260" s="10"/>
      <c r="AT260" s="10"/>
      <c r="AU260" s="10"/>
      <c r="AV260" s="16"/>
      <c r="AW260" s="10"/>
      <c r="AX260" s="10"/>
      <c r="AY260" s="10"/>
      <c r="AZ260" s="10"/>
      <c r="BA260" s="16"/>
      <c r="BB260" s="10"/>
      <c r="BC260" s="10"/>
      <c r="BD260" s="10"/>
      <c r="BE260" s="10"/>
      <c r="BF260" s="16"/>
      <c r="BG260" s="16"/>
      <c r="BH260" s="16"/>
      <c r="BI260" s="16"/>
      <c r="BJ260" s="16"/>
      <c r="BK260" s="16"/>
      <c r="BL260" s="16"/>
      <c r="BM260" s="16"/>
      <c r="BN260" s="16"/>
      <c r="BO260" s="16"/>
      <c r="BP260" s="16"/>
      <c r="BQ260" s="16"/>
      <c r="BR260" s="16"/>
      <c r="BS260" s="16"/>
      <c r="BT260" s="16"/>
      <c r="BU260" s="16"/>
      <c r="BV260" s="717" t="s">
        <v>3315</v>
      </c>
      <c r="BW260" s="545"/>
      <c r="BX260" s="545"/>
      <c r="BY260" s="545"/>
      <c r="BZ260" s="545"/>
      <c r="CA260" s="545"/>
      <c r="CB260" s="223"/>
      <c r="CC260" s="223"/>
      <c r="CD260" s="223"/>
      <c r="CE260" s="223"/>
      <c r="CF260" s="223"/>
      <c r="CG260" s="223"/>
      <c r="CH260" s="223"/>
      <c r="CI260" s="223"/>
      <c r="CJ260" s="223"/>
      <c r="CK260" s="223"/>
      <c r="CL260" s="223"/>
      <c r="CM260" s="223"/>
      <c r="CN260" s="223"/>
      <c r="CO260" s="223"/>
      <c r="CP260" s="718">
        <f>CP261-CP259</f>
        <v>2.0000000000000018E-3</v>
      </c>
      <c r="CQ260" s="718">
        <f>CQ261-CQ259</f>
        <v>8.0000000000000071E-3</v>
      </c>
      <c r="CR260" s="718">
        <f>CR261-CR259</f>
        <v>7.9999999999999932E-3</v>
      </c>
      <c r="CS260" s="718">
        <f>CS261-CS259</f>
        <v>-6.3496176720475792E-2</v>
      </c>
      <c r="CT260" s="718">
        <f ca="1">CT261-CT259</f>
        <v>2.4000000000000007E-2</v>
      </c>
      <c r="CU260" s="718">
        <v>3.2000000000000001E-2</v>
      </c>
      <c r="CV260" s="718">
        <v>1.9E-2</v>
      </c>
      <c r="CW260" s="718">
        <v>1.4999999999999999E-2</v>
      </c>
      <c r="CX260" s="718">
        <f>CX261-CX259</f>
        <v>8.9999999999999941E-3</v>
      </c>
      <c r="CY260" s="718">
        <v>6.0000000000000001E-3</v>
      </c>
      <c r="CZ260" s="718">
        <v>3.0000000000000001E-3</v>
      </c>
    </row>
    <row r="261" spans="4:116" ht="15.75">
      <c r="D261" s="2" t="s">
        <v>2053</v>
      </c>
      <c r="E261" s="2"/>
      <c r="F261" s="2"/>
      <c r="G261" s="2"/>
      <c r="H261" s="2"/>
      <c r="I261" s="2"/>
      <c r="J261" s="2"/>
      <c r="K261" s="2"/>
      <c r="L261" s="15"/>
      <c r="M261" s="15"/>
      <c r="N261" s="15"/>
      <c r="O261" s="15"/>
      <c r="P261" s="15"/>
      <c r="Q261" s="15"/>
      <c r="R261" s="15"/>
      <c r="S261" s="15"/>
      <c r="T261" s="15"/>
      <c r="U261" s="19"/>
      <c r="V261" s="19"/>
      <c r="W261" s="292"/>
      <c r="X261" s="10"/>
      <c r="Y261" s="10"/>
      <c r="Z261" s="10"/>
      <c r="AA261" s="19"/>
      <c r="AB261" s="292"/>
      <c r="AC261" s="19"/>
      <c r="AD261" s="10">
        <v>76</v>
      </c>
      <c r="AE261" s="10">
        <v>112</v>
      </c>
      <c r="AF261" s="10">
        <v>125</v>
      </c>
      <c r="AG261" s="292"/>
      <c r="AH261" s="10">
        <f>AH242-AH260</f>
        <v>153.14229707352854</v>
      </c>
      <c r="AI261" s="10">
        <f>AI242-AI260</f>
        <v>161.98971537545447</v>
      </c>
      <c r="AJ261" s="10">
        <f>AJ242-AJ260</f>
        <v>162.38342445981698</v>
      </c>
      <c r="AK261" s="10">
        <f>AK242-AK260</f>
        <v>176.1656042508655</v>
      </c>
      <c r="AL261" s="102"/>
      <c r="AM261" s="10">
        <f>AM242-AM260</f>
        <v>174.27409971534826</v>
      </c>
      <c r="AN261" s="10">
        <f>AN242-AN260</f>
        <v>182.13119633903329</v>
      </c>
      <c r="AO261" s="10">
        <f>AO242-AO260</f>
        <v>172.08527750102132</v>
      </c>
      <c r="AP261" s="10">
        <f>AP242-AP260</f>
        <v>187.38487797734172</v>
      </c>
      <c r="AQ261" s="187"/>
      <c r="AR261" s="31">
        <v>55</v>
      </c>
      <c r="AS261" s="31">
        <v>61</v>
      </c>
      <c r="AT261" s="10"/>
      <c r="AU261" s="16"/>
      <c r="AV261" s="10"/>
      <c r="AW261" s="31">
        <v>65</v>
      </c>
      <c r="AX261">
        <v>70</v>
      </c>
      <c r="BA261" s="16"/>
      <c r="BB261" s="31">
        <v>65</v>
      </c>
      <c r="BC261" s="31"/>
      <c r="BD261" s="31"/>
      <c r="BE261" s="31"/>
      <c r="BF261" s="16"/>
      <c r="BG261" s="16"/>
      <c r="BH261" s="16"/>
      <c r="BI261" s="16"/>
      <c r="BJ261" s="16"/>
      <c r="BK261" s="16"/>
      <c r="BL261" s="16"/>
      <c r="BM261" s="16"/>
      <c r="BN261" s="16"/>
      <c r="BO261" s="16"/>
      <c r="BP261" s="16"/>
      <c r="BQ261" s="16"/>
      <c r="BR261" s="16"/>
      <c r="BS261" s="16"/>
      <c r="BT261" s="16"/>
      <c r="BU261" s="16"/>
      <c r="BV261" s="714" t="s">
        <v>3543</v>
      </c>
      <c r="BW261" s="714"/>
      <c r="BX261" s="714"/>
      <c r="BY261" s="714"/>
      <c r="BZ261" s="715"/>
      <c r="CA261" s="715"/>
      <c r="CB261" s="715"/>
      <c r="CC261" s="715"/>
      <c r="CD261" s="715"/>
      <c r="CE261" s="715"/>
      <c r="CF261" s="715"/>
      <c r="CG261" s="715"/>
      <c r="CH261" s="715">
        <f>AM260/AH260-1</f>
        <v>0.15877493781351837</v>
      </c>
      <c r="CI261" s="715">
        <f>AN260/AI260-1</f>
        <v>0.12818745771856355</v>
      </c>
      <c r="CJ261" s="715"/>
      <c r="CK261" s="714"/>
      <c r="CL261" s="714"/>
      <c r="CM261" s="714"/>
      <c r="CN261" s="714"/>
      <c r="CO261" s="714"/>
      <c r="CP261" s="714">
        <f>CP259+0.2%</f>
        <v>8.6000000000000007E-2</v>
      </c>
      <c r="CQ261" s="714">
        <f>CQ259+0.8%</f>
        <v>9.7000000000000003E-2</v>
      </c>
      <c r="CR261" s="714">
        <f>CR259+0.8%</f>
        <v>9.1999999999999998E-2</v>
      </c>
      <c r="CS261" s="714">
        <f>-(AZ241/AU242)+CS262</f>
        <v>-8.4961767204757861E-3</v>
      </c>
      <c r="CT261" s="714">
        <f ca="1">CT259+CT260</f>
        <v>7.400000000000001E-2</v>
      </c>
      <c r="CU261" s="714">
        <f>CU259+CU260</f>
        <v>7.6800000000000007E-2</v>
      </c>
      <c r="CV261" s="714">
        <f>CV259+CV260</f>
        <v>8.3000000000000004E-2</v>
      </c>
      <c r="CW261" s="714">
        <f>CW259+CW260</f>
        <v>9.6000000000000002E-2</v>
      </c>
      <c r="CX261" s="714">
        <v>9.4E-2</v>
      </c>
      <c r="CY261" s="714">
        <f>CY258+CY260</f>
        <v>9.6000000000000002E-2</v>
      </c>
      <c r="CZ261" s="714">
        <f>CZ258+CZ260</f>
        <v>8.8999999999999996E-2</v>
      </c>
      <c r="DE261" s="6" t="str">
        <f t="shared" ref="DE261:DL261" si="173">CP246</f>
        <v>Q1 12</v>
      </c>
      <c r="DF261" s="6" t="str">
        <f t="shared" si="173"/>
        <v>Q2 12</v>
      </c>
      <c r="DG261" s="6" t="str">
        <f t="shared" si="173"/>
        <v>Q3 12</v>
      </c>
      <c r="DH261" s="6" t="str">
        <f t="shared" si="173"/>
        <v>Q4 12</v>
      </c>
      <c r="DI261" s="6" t="str">
        <f t="shared" si="173"/>
        <v>Q1 13</v>
      </c>
      <c r="DJ261" s="6" t="str">
        <f t="shared" si="173"/>
        <v>Q2 13</v>
      </c>
      <c r="DK261" s="6" t="str">
        <f t="shared" si="173"/>
        <v>Q3 13</v>
      </c>
      <c r="DL261" s="6" t="str">
        <f t="shared" si="173"/>
        <v>Q4 13</v>
      </c>
    </row>
    <row r="262" spans="4:116" ht="15.75" hidden="1" outlineLevel="1">
      <c r="L262" s="7"/>
      <c r="M262" s="7"/>
      <c r="N262" s="7"/>
      <c r="O262" s="7"/>
      <c r="P262" s="7"/>
      <c r="S262" s="7"/>
      <c r="W262" s="107"/>
      <c r="X262" s="9"/>
      <c r="Y262" s="9"/>
      <c r="Z262" s="16"/>
      <c r="AA262" s="16"/>
      <c r="AB262" s="107"/>
      <c r="AC262" s="16"/>
      <c r="AD262" s="16"/>
      <c r="AE262" s="16"/>
      <c r="AF262" s="16"/>
      <c r="AG262" s="107"/>
      <c r="AH262" s="16"/>
      <c r="AI262" s="16"/>
      <c r="AJ262" s="16"/>
      <c r="AK262" s="16"/>
      <c r="AL262" s="107"/>
      <c r="AM262" s="16"/>
      <c r="AN262" s="16"/>
      <c r="AO262" s="16"/>
      <c r="AP262" s="16"/>
      <c r="AQ262" s="107"/>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223" t="s">
        <v>2774</v>
      </c>
      <c r="BW262" s="223"/>
      <c r="BX262" s="223"/>
      <c r="BY262" s="223"/>
      <c r="BZ262" s="285"/>
      <c r="CA262" s="285"/>
      <c r="CB262" s="285"/>
      <c r="CC262" s="285"/>
      <c r="CD262" s="285"/>
      <c r="CE262" s="285"/>
      <c r="CF262" s="285"/>
      <c r="CG262" s="285"/>
      <c r="CH262" s="285"/>
      <c r="CI262" s="285"/>
      <c r="CJ262" s="285"/>
      <c r="CK262" s="716"/>
      <c r="CL262" s="716"/>
      <c r="CM262" s="716"/>
      <c r="CN262" s="716"/>
      <c r="CO262" s="716"/>
      <c r="CP262" s="716"/>
      <c r="CQ262" s="716"/>
      <c r="CR262" s="716"/>
      <c r="CS262" s="716"/>
      <c r="CT262" s="716"/>
      <c r="CU262" s="716"/>
      <c r="CV262" s="716"/>
      <c r="CW262" s="716"/>
      <c r="CZ262" s="21" t="str">
        <f>BV258</f>
        <v>Group revs (all ex-Online, ex-UNE)</v>
      </c>
      <c r="DA262" s="5">
        <f>CP258</f>
        <v>8.4000000000000005E-2</v>
      </c>
      <c r="DB262" s="5">
        <f t="shared" ref="DB262:DH262" si="174">CQ258</f>
        <v>8.8999999999999996E-2</v>
      </c>
      <c r="DC262" s="5">
        <f t="shared" si="174"/>
        <v>8.4000000000000005E-2</v>
      </c>
      <c r="DD262" s="5">
        <f t="shared" si="174"/>
        <v>5.5E-2</v>
      </c>
      <c r="DE262" s="5">
        <f t="shared" si="174"/>
        <v>0.04</v>
      </c>
      <c r="DF262" s="5">
        <f t="shared" si="174"/>
        <v>4.48E-2</v>
      </c>
      <c r="DG262" s="5">
        <f t="shared" si="174"/>
        <v>6.4000000000000001E-2</v>
      </c>
      <c r="DH262" s="5">
        <f t="shared" si="174"/>
        <v>8.1000000000000003E-2</v>
      </c>
    </row>
    <row r="263" spans="4:116" ht="15.75" hidden="1" outlineLevel="1">
      <c r="D263" s="129" t="s">
        <v>1992</v>
      </c>
      <c r="L263" s="7"/>
      <c r="M263" s="7"/>
      <c r="N263" s="7"/>
      <c r="O263" s="7"/>
      <c r="P263" s="7"/>
      <c r="S263" s="7"/>
      <c r="W263" s="107"/>
      <c r="X263" s="9"/>
      <c r="Y263" s="9"/>
      <c r="Z263" s="16"/>
      <c r="AA263" s="16"/>
      <c r="AB263" s="107"/>
      <c r="AC263" s="16"/>
      <c r="AD263" s="16"/>
      <c r="AE263" s="16"/>
      <c r="AF263" s="16"/>
      <c r="AG263" s="107"/>
      <c r="AH263" s="16">
        <f>100%-AH264-AH265</f>
        <v>0.83509999999999995</v>
      </c>
      <c r="AI263" s="16">
        <f>100%-AI264-AI265</f>
        <v>0.81400000000000006</v>
      </c>
      <c r="AJ263" s="16">
        <f>100%-AJ264-AJ265</f>
        <v>0.81</v>
      </c>
      <c r="AK263" s="16">
        <f>100%-AK264-AK265</f>
        <v>0.79</v>
      </c>
      <c r="AL263" s="107"/>
      <c r="AM263" s="16">
        <f>100%-AM264-AM265</f>
        <v>0.78600000000000003</v>
      </c>
      <c r="AN263" s="16">
        <f>100%-AN264-AN265</f>
        <v>0.78100000000000003</v>
      </c>
      <c r="AO263" s="16">
        <f>100%-AO264-AO265</f>
        <v>0.76700000000000002</v>
      </c>
      <c r="AP263" s="16">
        <f>100%-AP264-AP265</f>
        <v>0.755</v>
      </c>
      <c r="AQ263" s="107"/>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754" t="s">
        <v>3314</v>
      </c>
      <c r="BW263" s="395"/>
      <c r="BX263" s="395"/>
      <c r="BY263" s="395"/>
      <c r="BZ263" s="396"/>
      <c r="CA263" s="396"/>
      <c r="CB263" s="396"/>
      <c r="CC263" s="396"/>
      <c r="CD263" s="396"/>
      <c r="CE263" s="396"/>
      <c r="CF263" s="396"/>
      <c r="CG263" s="396"/>
      <c r="CH263" s="396"/>
      <c r="CI263" s="396"/>
      <c r="CJ263" s="396"/>
      <c r="CK263" s="395"/>
      <c r="CL263" s="395"/>
      <c r="CM263" s="395"/>
      <c r="CN263" s="395"/>
      <c r="CO263" s="395"/>
      <c r="CP263" s="395"/>
      <c r="CQ263" s="395"/>
      <c r="CR263" s="395"/>
      <c r="CS263" s="395"/>
      <c r="CT263" s="754"/>
      <c r="CU263" s="754"/>
      <c r="CV263" s="754"/>
      <c r="CW263" s="754"/>
      <c r="CX263" s="754"/>
      <c r="CY263" s="754"/>
      <c r="CZ263" s="4" t="s">
        <v>3373</v>
      </c>
      <c r="DA263" s="5">
        <f>CP261</f>
        <v>8.6000000000000007E-2</v>
      </c>
      <c r="DB263" s="5">
        <f t="shared" ref="DB263:DH263" si="175">CQ261</f>
        <v>9.7000000000000003E-2</v>
      </c>
      <c r="DC263" s="5">
        <f t="shared" si="175"/>
        <v>9.1999999999999998E-2</v>
      </c>
      <c r="DD263" s="5">
        <f t="shared" si="175"/>
        <v>-8.4961767204757861E-3</v>
      </c>
      <c r="DE263" s="5">
        <f t="shared" ca="1" si="175"/>
        <v>7.400000000000001E-2</v>
      </c>
      <c r="DF263" s="5">
        <f t="shared" si="175"/>
        <v>7.6800000000000007E-2</v>
      </c>
      <c r="DG263" s="5">
        <f t="shared" si="175"/>
        <v>8.3000000000000004E-2</v>
      </c>
      <c r="DH263" s="5">
        <f t="shared" si="175"/>
        <v>9.6000000000000002E-2</v>
      </c>
    </row>
    <row r="264" spans="4:116" ht="15.75" collapsed="1">
      <c r="D264" s="129" t="s">
        <v>1993</v>
      </c>
      <c r="L264" s="7"/>
      <c r="M264" s="7"/>
      <c r="N264" s="7"/>
      <c r="O264" s="7"/>
      <c r="P264" s="7"/>
      <c r="S264" s="7"/>
      <c r="W264" s="107"/>
      <c r="X264" s="9"/>
      <c r="Y264" s="9"/>
      <c r="Z264" s="16"/>
      <c r="AA264" s="16"/>
      <c r="AB264" s="107"/>
      <c r="AC264" s="16"/>
      <c r="AD264" s="16"/>
      <c r="AE264" s="16"/>
      <c r="AF264" s="16"/>
      <c r="AG264" s="107"/>
      <c r="AH264" s="16">
        <v>0.10489999999999999</v>
      </c>
      <c r="AI264" s="16">
        <v>9.8000000000000004E-2</v>
      </c>
      <c r="AJ264" s="16">
        <v>0.1</v>
      </c>
      <c r="AK264" s="16">
        <v>0.11</v>
      </c>
      <c r="AL264" s="107"/>
      <c r="AM264" s="16">
        <v>0.114</v>
      </c>
      <c r="AN264" s="16">
        <v>9.7000000000000003E-2</v>
      </c>
      <c r="AO264" s="16">
        <v>0.10299999999999999</v>
      </c>
      <c r="AP264" s="16">
        <v>0.10199999999999999</v>
      </c>
      <c r="AQ264" s="107"/>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223" t="s">
        <v>2775</v>
      </c>
      <c r="BW264" s="223"/>
      <c r="BX264" s="223"/>
      <c r="BY264" s="223"/>
      <c r="BZ264" s="285"/>
      <c r="CA264" s="285"/>
      <c r="CB264" s="285"/>
      <c r="CC264" s="285"/>
      <c r="CD264" s="285"/>
      <c r="CE264" s="285"/>
      <c r="CF264" s="285"/>
      <c r="CG264" s="285"/>
      <c r="CH264" s="285"/>
      <c r="CI264" s="285"/>
      <c r="CJ264" s="285"/>
      <c r="CK264" s="716">
        <f t="shared" ref="CK264:CV264" si="176">CK252</f>
        <v>0.46694906960813098</v>
      </c>
      <c r="CL264" s="716">
        <f t="shared" si="176"/>
        <v>0.46955899341540436</v>
      </c>
      <c r="CM264" s="716">
        <f t="shared" si="176"/>
        <v>0.46135235495437488</v>
      </c>
      <c r="CN264" s="716">
        <f t="shared" si="176"/>
        <v>0.45953163713218775</v>
      </c>
      <c r="CO264" s="716">
        <f t="shared" si="176"/>
        <v>0.45539507221750214</v>
      </c>
      <c r="CP264" s="716">
        <f t="shared" si="176"/>
        <v>0.4422583404619333</v>
      </c>
      <c r="CQ264" s="716">
        <f t="shared" si="176"/>
        <v>0.44037764606265878</v>
      </c>
      <c r="CR264" s="716">
        <f t="shared" si="176"/>
        <v>0.42952460383653046</v>
      </c>
      <c r="CS264" s="716">
        <f t="shared" si="176"/>
        <v>0.41706161137440756</v>
      </c>
      <c r="CT264" s="716">
        <f t="shared" si="176"/>
        <v>0.41602387769786303</v>
      </c>
      <c r="CU264" s="716">
        <f t="shared" si="176"/>
        <v>0.40637023929548777</v>
      </c>
      <c r="CV264" s="716">
        <f t="shared" si="176"/>
        <v>0.39754418884360898</v>
      </c>
      <c r="CW264" s="716">
        <f>CW252</f>
        <v>0.39263612784625374</v>
      </c>
      <c r="CX264" s="716">
        <f>CX252</f>
        <v>0.38204578749574009</v>
      </c>
      <c r="CY264" s="716">
        <f>CY252</f>
        <v>0.38110065949201133</v>
      </c>
      <c r="CZ264" s="716">
        <f>CZ252</f>
        <v>0.36915345673662847</v>
      </c>
    </row>
    <row r="265" spans="4:116" ht="15.75">
      <c r="D265" s="129" t="s">
        <v>1995</v>
      </c>
      <c r="L265" s="7"/>
      <c r="M265" s="7"/>
      <c r="N265" s="7"/>
      <c r="O265" s="7"/>
      <c r="P265" s="7"/>
      <c r="S265" s="7"/>
      <c r="W265" s="107"/>
      <c r="X265" s="9"/>
      <c r="Y265" s="9"/>
      <c r="Z265" s="16"/>
      <c r="AA265" s="16"/>
      <c r="AB265" s="107"/>
      <c r="AC265" s="16"/>
      <c r="AD265" s="16"/>
      <c r="AE265" s="16"/>
      <c r="AF265" s="16"/>
      <c r="AG265" s="107"/>
      <c r="AH265" s="16">
        <v>0.06</v>
      </c>
      <c r="AI265" s="16">
        <v>8.7999999999999995E-2</v>
      </c>
      <c r="AJ265" s="16">
        <v>0.09</v>
      </c>
      <c r="AK265" s="16">
        <v>0.1</v>
      </c>
      <c r="AL265" s="107"/>
      <c r="AM265" s="16">
        <v>0.1</v>
      </c>
      <c r="AN265" s="16">
        <v>0.122</v>
      </c>
      <c r="AO265" s="16">
        <v>0.13</v>
      </c>
      <c r="AP265" s="16">
        <v>0.14299999999999999</v>
      </c>
      <c r="AQ265" s="107"/>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714" t="s">
        <v>2776</v>
      </c>
      <c r="BW265" s="714"/>
      <c r="BX265" s="714"/>
      <c r="BY265" s="714"/>
      <c r="BZ265" s="715">
        <v>0.1</v>
      </c>
      <c r="CA265" s="715">
        <v>0.11</v>
      </c>
      <c r="CB265" s="715">
        <v>0.16</v>
      </c>
      <c r="CC265" s="715">
        <v>0.16</v>
      </c>
      <c r="CD265" s="715"/>
      <c r="CE265" s="715"/>
      <c r="CF265" s="715">
        <v>0.13</v>
      </c>
      <c r="CG265" s="715">
        <v>0.15</v>
      </c>
      <c r="CH265" s="715">
        <v>0.17</v>
      </c>
      <c r="CI265" s="715">
        <v>0.19</v>
      </c>
      <c r="CJ265" s="715">
        <v>0.21</v>
      </c>
      <c r="CK265" s="714"/>
      <c r="CL265" s="714">
        <f>AR24</f>
        <v>0.4505167423018504</v>
      </c>
      <c r="CM265" s="714">
        <f>AS24</f>
        <v>0.43440564972653317</v>
      </c>
      <c r="CN265" s="714">
        <f>AT24</f>
        <v>0.43693647892697329</v>
      </c>
      <c r="CO265" s="714">
        <f>AU24</f>
        <v>0.42565845369583688</v>
      </c>
      <c r="CP265" s="714">
        <f>AW24</f>
        <v>0.41916167664670656</v>
      </c>
      <c r="CQ265" s="714">
        <f>AX24</f>
        <v>0.41328196443691789</v>
      </c>
      <c r="CR265" s="714">
        <f>AY24</f>
        <v>0.39783152627189322</v>
      </c>
      <c r="CS265" s="714">
        <f>AZ24</f>
        <v>0.37993680884676145</v>
      </c>
      <c r="CT265" s="714">
        <f>BB24</f>
        <v>0.38271235724162844</v>
      </c>
      <c r="CU265" s="714">
        <f>BC24</f>
        <v>0.37330213664033957</v>
      </c>
      <c r="CV265" s="714">
        <f>BD24</f>
        <v>0.36068100042356521</v>
      </c>
      <c r="CW265" s="714">
        <f>BE24</f>
        <v>0.3551057367591075</v>
      </c>
      <c r="CX265" s="714">
        <f>BG24</f>
        <v>0.34005290493346252</v>
      </c>
      <c r="CY265" s="714">
        <f>BH24</f>
        <v>0.33134253924322077</v>
      </c>
      <c r="CZ265" s="714">
        <f>BI24</f>
        <v>0.32865594383647073</v>
      </c>
      <c r="DD265" s="21" t="str">
        <f t="shared" ref="DD265:DL265" si="177">CZ262</f>
        <v>Group revs (all ex-Online, ex-UNE)</v>
      </c>
      <c r="DE265" s="456">
        <f t="shared" si="177"/>
        <v>8.4000000000000005E-2</v>
      </c>
      <c r="DF265" s="456">
        <f t="shared" si="177"/>
        <v>8.8999999999999996E-2</v>
      </c>
      <c r="DG265" s="456">
        <f t="shared" si="177"/>
        <v>8.4000000000000005E-2</v>
      </c>
      <c r="DH265" s="456">
        <f t="shared" si="177"/>
        <v>5.5E-2</v>
      </c>
      <c r="DI265" s="456">
        <f t="shared" si="177"/>
        <v>0.04</v>
      </c>
      <c r="DJ265" s="456">
        <f t="shared" si="177"/>
        <v>4.48E-2</v>
      </c>
      <c r="DK265" s="456">
        <f t="shared" si="177"/>
        <v>6.4000000000000001E-2</v>
      </c>
      <c r="DL265" s="456">
        <f t="shared" si="177"/>
        <v>8.1000000000000003E-2</v>
      </c>
    </row>
    <row r="266" spans="4:116">
      <c r="D266" s="129"/>
      <c r="L266" s="7"/>
      <c r="M266" s="7"/>
      <c r="N266" s="7"/>
      <c r="O266" s="7"/>
      <c r="P266" s="7"/>
      <c r="S266" s="7"/>
      <c r="W266" s="107"/>
      <c r="X266" s="9"/>
      <c r="Y266" s="9"/>
      <c r="Z266" s="16"/>
      <c r="AA266" s="16"/>
      <c r="AB266" s="107"/>
      <c r="AC266" s="16"/>
      <c r="AD266" s="16"/>
      <c r="AE266" s="16"/>
      <c r="AF266" s="16"/>
      <c r="AG266" s="107"/>
      <c r="AH266" s="16"/>
      <c r="AI266" s="16"/>
      <c r="AJ266" s="16"/>
      <c r="AK266" s="16"/>
      <c r="AL266" s="107"/>
      <c r="AM266" s="16"/>
      <c r="AN266" s="16"/>
      <c r="AO266" s="16"/>
      <c r="AP266" s="16"/>
      <c r="AQ266" s="107"/>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DD266" s="4" t="s">
        <v>3379</v>
      </c>
      <c r="DE266" s="5">
        <f t="shared" ref="DE266:DL266" si="178">CP275</f>
        <v>7.6554646024039011E-2</v>
      </c>
      <c r="DF266" s="5">
        <f t="shared" si="178"/>
        <v>9.8331309133880967E-2</v>
      </c>
      <c r="DG266" s="5">
        <f t="shared" si="178"/>
        <v>9.29010539213381E-2</v>
      </c>
      <c r="DH266" s="5">
        <f t="shared" si="178"/>
        <v>5.6389948113236443E-2</v>
      </c>
      <c r="DI266" s="5">
        <f t="shared" si="178"/>
        <v>4.6055528107566052E-2</v>
      </c>
      <c r="DJ266" s="5">
        <f t="shared" si="178"/>
        <v>5.6117708201672417E-2</v>
      </c>
      <c r="DK266" s="5">
        <f t="shared" si="178"/>
        <v>6.1532298964090425E-2</v>
      </c>
      <c r="DL266" s="5">
        <f t="shared" si="178"/>
        <v>5.8218609544963801E-2</v>
      </c>
    </row>
    <row r="267" spans="4:116">
      <c r="D267" t="s">
        <v>1990</v>
      </c>
      <c r="L267" s="7"/>
      <c r="M267" s="7"/>
      <c r="N267" s="7"/>
      <c r="O267" s="7"/>
      <c r="P267" s="7"/>
      <c r="S267" s="7"/>
      <c r="W267" s="107"/>
      <c r="X267" s="9"/>
      <c r="Y267" s="9"/>
      <c r="Z267" s="16"/>
      <c r="AA267" s="16"/>
      <c r="AB267" s="107"/>
      <c r="AC267" s="16"/>
      <c r="AD267" s="31">
        <v>598</v>
      </c>
      <c r="AE267" s="31">
        <v>601</v>
      </c>
      <c r="AF267" s="31">
        <v>600</v>
      </c>
      <c r="AG267" s="107"/>
      <c r="AH267" s="31">
        <f t="shared" ref="AH267:AK269" si="179">AH263*AH$260</f>
        <v>565.43353095027976</v>
      </c>
      <c r="AI267" s="31">
        <f t="shared" si="179"/>
        <v>574.26303952687806</v>
      </c>
      <c r="AJ267" s="31">
        <f t="shared" si="179"/>
        <v>600.82699470269495</v>
      </c>
      <c r="AK267" s="31">
        <f t="shared" si="179"/>
        <v>630.6211085351074</v>
      </c>
      <c r="AL267" s="107"/>
      <c r="AM267" s="31">
        <f>AM263*AM$260</f>
        <v>616.68688883530911</v>
      </c>
      <c r="AN267" s="31">
        <f t="shared" ref="AN267:AO269" si="180">AN263*AN$260</f>
        <v>621.61110084344602</v>
      </c>
      <c r="AO267" s="31">
        <f t="shared" si="180"/>
        <v>648.61180315671675</v>
      </c>
      <c r="AP267" s="31">
        <f>AP263*AP$260</f>
        <v>668.59034212710696</v>
      </c>
      <c r="AQ267" s="107"/>
      <c r="AR267" s="31">
        <v>720</v>
      </c>
      <c r="AS267" s="31">
        <v>730</v>
      </c>
      <c r="AT267" s="31">
        <v>736</v>
      </c>
      <c r="AU267" s="31">
        <v>746</v>
      </c>
      <c r="AV267" s="16"/>
      <c r="AW267" s="31">
        <v>723</v>
      </c>
      <c r="AX267" s="31">
        <v>710</v>
      </c>
      <c r="AY267" s="31">
        <v>705</v>
      </c>
      <c r="AZ267" s="31">
        <v>718</v>
      </c>
      <c r="BA267" s="16"/>
      <c r="BB267" s="31">
        <v>723</v>
      </c>
      <c r="BC267" s="31"/>
      <c r="BD267" s="31"/>
      <c r="BE267" s="31"/>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row>
    <row r="268" spans="4:116">
      <c r="D268" t="s">
        <v>1994</v>
      </c>
      <c r="L268" s="7"/>
      <c r="M268" s="7"/>
      <c r="N268" s="7"/>
      <c r="O268" s="7"/>
      <c r="P268" s="7"/>
      <c r="S268" s="7"/>
      <c r="W268" s="107"/>
      <c r="X268" s="9"/>
      <c r="Y268" s="9"/>
      <c r="Z268" s="16"/>
      <c r="AA268" s="16"/>
      <c r="AB268" s="107"/>
      <c r="AC268" s="16"/>
      <c r="AD268" s="31">
        <f>AD270-AD269</f>
        <v>85</v>
      </c>
      <c r="AE268" s="31">
        <f>AE270-AE269</f>
        <v>131.88200000000006</v>
      </c>
      <c r="AF268" s="31">
        <f>AF270-AF269</f>
        <v>86</v>
      </c>
      <c r="AG268" s="107"/>
      <c r="AH268" s="31">
        <f t="shared" si="179"/>
        <v>71.026197337665351</v>
      </c>
      <c r="AI268" s="31">
        <f>AI264*AI$260</f>
        <v>69.13731925507868</v>
      </c>
      <c r="AJ268" s="31">
        <f t="shared" si="179"/>
        <v>74.176172185517885</v>
      </c>
      <c r="AK268" s="31">
        <f t="shared" si="179"/>
        <v>87.808002454255458</v>
      </c>
      <c r="AL268" s="107"/>
      <c r="AM268" s="31">
        <f>AM264*AM$260</f>
        <v>89.443136548632609</v>
      </c>
      <c r="AN268" s="31">
        <f t="shared" si="180"/>
        <v>77.203939541375505</v>
      </c>
      <c r="AO268" s="31">
        <f t="shared" si="180"/>
        <v>87.1017154173948</v>
      </c>
      <c r="AP268" s="31">
        <f>AP264*AP$260</f>
        <v>90.326112446311129</v>
      </c>
      <c r="AQ268" s="107"/>
      <c r="AR268" s="31">
        <v>97</v>
      </c>
      <c r="AS268" s="31">
        <v>98</v>
      </c>
      <c r="AT268" s="31">
        <v>103</v>
      </c>
      <c r="AU268" s="31">
        <v>105</v>
      </c>
      <c r="AV268" s="16"/>
      <c r="AW268" s="31">
        <v>104</v>
      </c>
      <c r="AX268" s="31">
        <v>105</v>
      </c>
      <c r="AY268" s="31">
        <v>111</v>
      </c>
      <c r="AZ268" s="31">
        <v>116</v>
      </c>
      <c r="BA268" s="16"/>
      <c r="BB268" s="31">
        <v>104</v>
      </c>
      <c r="BC268" s="31"/>
      <c r="BD268" s="31"/>
      <c r="BE268" s="31"/>
      <c r="BF268" s="16"/>
      <c r="BG268" s="16"/>
      <c r="BH268" s="16"/>
      <c r="BI268" s="16"/>
      <c r="BJ268" s="16"/>
      <c r="BK268" s="16"/>
      <c r="BL268" s="16"/>
      <c r="BM268" s="16"/>
      <c r="BN268" s="16"/>
      <c r="BO268" s="16"/>
      <c r="BP268" s="16"/>
      <c r="BQ268" s="16"/>
      <c r="BR268" s="16"/>
      <c r="BS268" s="16"/>
      <c r="BT268" s="16"/>
      <c r="BU268" s="16"/>
      <c r="CH268" s="16">
        <f>AM268/AH268-1</f>
        <v>0.25929783518342342</v>
      </c>
      <c r="CI268" s="16">
        <f>AN268/AI268-1</f>
        <v>0.11667534080306807</v>
      </c>
      <c r="CJ268" s="16">
        <f>AO268/AJ268-1</f>
        <v>0.17425465417047348</v>
      </c>
      <c r="CS268" s="5"/>
      <c r="CW268" s="5"/>
      <c r="CX268" s="5"/>
      <c r="CY268" s="5"/>
      <c r="CZ268" s="5"/>
      <c r="DA268" s="5"/>
    </row>
    <row r="269" spans="4:116">
      <c r="D269" s="11" t="s">
        <v>1996</v>
      </c>
      <c r="E269" s="11"/>
      <c r="F269" s="11"/>
      <c r="G269" s="11"/>
      <c r="H269" s="11"/>
      <c r="I269" s="11"/>
      <c r="J269" s="11"/>
      <c r="K269" s="11"/>
      <c r="L269" s="14"/>
      <c r="M269" s="14"/>
      <c r="N269" s="14"/>
      <c r="O269" s="14"/>
      <c r="P269" s="14"/>
      <c r="Q269" s="11"/>
      <c r="R269" s="11"/>
      <c r="S269" s="14"/>
      <c r="T269" s="11"/>
      <c r="U269" s="11"/>
      <c r="V269" s="11"/>
      <c r="W269" s="179"/>
      <c r="X269" s="13"/>
      <c r="Y269" s="13"/>
      <c r="Z269" s="20"/>
      <c r="AA269" s="20"/>
      <c r="AB269" s="179"/>
      <c r="AC269" s="20"/>
      <c r="AD269" s="421">
        <v>15</v>
      </c>
      <c r="AE269" s="421">
        <v>22</v>
      </c>
      <c r="AF269" s="421">
        <v>30</v>
      </c>
      <c r="AG269" s="179"/>
      <c r="AH269" s="93">
        <f t="shared" si="179"/>
        <v>40.625089039656068</v>
      </c>
      <c r="AI269" s="93">
        <f t="shared" si="179"/>
        <v>62.082490759662484</v>
      </c>
      <c r="AJ269" s="93">
        <f t="shared" si="179"/>
        <v>66.758554966966088</v>
      </c>
      <c r="AK269" s="93">
        <f t="shared" si="179"/>
        <v>79.825456776595871</v>
      </c>
      <c r="AL269" s="179"/>
      <c r="AM269" s="93">
        <f>AM265*AM$260</f>
        <v>78.458891709326849</v>
      </c>
      <c r="AN269" s="93">
        <f t="shared" si="180"/>
        <v>97.101862103585674</v>
      </c>
      <c r="AO269" s="93">
        <f t="shared" si="180"/>
        <v>109.93420392486723</v>
      </c>
      <c r="AP269" s="93">
        <f>AP265*AP$260</f>
        <v>126.63366744924012</v>
      </c>
      <c r="AQ269" s="107"/>
      <c r="AR269" s="421">
        <f>106+78+23+0.7</f>
        <v>207.7</v>
      </c>
      <c r="AS269" s="421">
        <f>121+82+27+1</f>
        <v>231</v>
      </c>
      <c r="AT269" s="421">
        <f>131+86+29+3</f>
        <v>249</v>
      </c>
      <c r="AU269" s="421">
        <f>137+87+29+5</f>
        <v>258</v>
      </c>
      <c r="AV269" s="16"/>
      <c r="AW269" s="421">
        <f>150+87+33+6.4</f>
        <v>276.39999999999998</v>
      </c>
      <c r="AX269" s="421">
        <f>161+92+35+9</f>
        <v>297</v>
      </c>
      <c r="AY269" s="421">
        <f>172+92+38+11</f>
        <v>313</v>
      </c>
      <c r="AZ269" s="421">
        <f>183+106+43+14</f>
        <v>346</v>
      </c>
      <c r="BA269" s="16"/>
      <c r="BB269" s="421">
        <f>150+87+33+6.4</f>
        <v>276.39999999999998</v>
      </c>
      <c r="BC269" s="421"/>
      <c r="BD269" s="421"/>
      <c r="BE269" s="421"/>
      <c r="BF269" s="16"/>
      <c r="BG269" s="16"/>
      <c r="BH269" s="16"/>
      <c r="BI269" s="16"/>
      <c r="BJ269" s="16"/>
      <c r="BK269" s="16"/>
      <c r="BL269" s="16"/>
      <c r="BM269" s="16"/>
      <c r="BN269" s="16"/>
      <c r="BO269" s="16"/>
      <c r="BP269" s="16"/>
      <c r="BQ269" s="16"/>
      <c r="BR269" s="16"/>
      <c r="BS269" s="16"/>
      <c r="BT269" s="16"/>
      <c r="BU269" s="16"/>
      <c r="BV269" s="478" t="s">
        <v>3377</v>
      </c>
      <c r="CP269" s="5">
        <f>((Quarts!AW239/Quarts!AR239)-1)-CP257</f>
        <v>-5.4836120401337736E-2</v>
      </c>
      <c r="CQ269" s="5">
        <f>((Quarts!AX239/Quarts!AS239)-1)-CQ257</f>
        <v>-8.6650471167626864E-2</v>
      </c>
      <c r="CR269" s="5">
        <f>((Quarts!AY239/Quarts!AT239)-1)-CR257</f>
        <v>-6.7145018619144181E-2</v>
      </c>
      <c r="CS269" s="5">
        <f>((Quarts!AZ239/Quarts!AU239)-1)-CS257</f>
        <v>-1.9E-2</v>
      </c>
      <c r="CT269" s="5">
        <f>((Quarts!BB239/Quarts!AW239)-1)-CT257</f>
        <v>-7.4025104602510411E-2</v>
      </c>
      <c r="CU269" s="5">
        <f>((Quarts!BC239/Quarts!AX239)-1)-CU257</f>
        <v>-6.3577405857740632E-2</v>
      </c>
      <c r="CV269" s="5">
        <f>((Quarts!BD239/Quarts!AY239)-1)-CV257</f>
        <v>-5.1048582995951455E-2</v>
      </c>
      <c r="CW269" s="5">
        <f>((Quarts!BE239/Quarts!AZ239)-1)-CW257</f>
        <v>-5.9871485943775143E-2</v>
      </c>
    </row>
    <row r="270" spans="4:116">
      <c r="D270" s="4" t="s">
        <v>2052</v>
      </c>
      <c r="E270" s="32"/>
      <c r="F270" s="32"/>
      <c r="G270" s="32"/>
      <c r="H270" s="32"/>
      <c r="I270" s="32"/>
      <c r="J270" s="32"/>
      <c r="K270" s="32"/>
      <c r="L270" s="358"/>
      <c r="M270" s="358"/>
      <c r="N270" s="358"/>
      <c r="O270" s="358"/>
      <c r="P270" s="358"/>
      <c r="Q270" s="32"/>
      <c r="R270" s="32"/>
      <c r="S270" s="358"/>
      <c r="T270" s="32"/>
      <c r="U270" s="32"/>
      <c r="V270" s="32"/>
      <c r="W270" s="415"/>
      <c r="X270" s="149"/>
      <c r="Y270" s="149"/>
      <c r="Z270" s="92"/>
      <c r="AA270" s="92"/>
      <c r="AB270" s="415"/>
      <c r="AC270" s="92"/>
      <c r="AD270" s="31">
        <v>100</v>
      </c>
      <c r="AE270" s="31">
        <f>AE260-AE267</f>
        <v>153.88200000000006</v>
      </c>
      <c r="AF270" s="31">
        <f>AF260-AF267</f>
        <v>116</v>
      </c>
      <c r="AG270" s="415"/>
      <c r="AH270" s="31">
        <f>AH268+AH269</f>
        <v>111.65128637732141</v>
      </c>
      <c r="AI270" s="31">
        <f>AI268+AI269</f>
        <v>131.21981001474117</v>
      </c>
      <c r="AJ270" s="31">
        <f>AJ268+AJ269</f>
        <v>140.93472715248396</v>
      </c>
      <c r="AK270" s="31">
        <f>AK268+AK269</f>
        <v>167.63345923085132</v>
      </c>
      <c r="AL270" s="45"/>
      <c r="AM270" s="31">
        <f>AM268+AM269</f>
        <v>167.90202825795944</v>
      </c>
      <c r="AN270" s="31">
        <f>AN268+AN269</f>
        <v>174.30580164496118</v>
      </c>
      <c r="AO270" s="31">
        <f>AO268+AO269</f>
        <v>197.03591934226205</v>
      </c>
      <c r="AP270" s="31">
        <f>AP268+AP269</f>
        <v>216.95977989555126</v>
      </c>
      <c r="AQ270" s="107"/>
      <c r="AR270" s="31">
        <f>AR268+AR269</f>
        <v>304.7</v>
      </c>
      <c r="AS270" s="31">
        <f>AS268+AS269</f>
        <v>329</v>
      </c>
      <c r="AT270" s="31">
        <f>AT268+AT269</f>
        <v>352</v>
      </c>
      <c r="AU270" s="31">
        <f>AU268+AU269</f>
        <v>363</v>
      </c>
      <c r="AV270" s="16"/>
      <c r="AW270" s="31">
        <f>AW268+AW269</f>
        <v>380.4</v>
      </c>
      <c r="AX270" s="31">
        <f>AX268+AX269</f>
        <v>402</v>
      </c>
      <c r="AY270" s="31">
        <f>AY268+AY269</f>
        <v>424</v>
      </c>
      <c r="AZ270" s="31">
        <f>AZ268+AZ269</f>
        <v>462</v>
      </c>
      <c r="BA270" s="16"/>
      <c r="BB270" s="31">
        <f>BB268+BB269</f>
        <v>380.4</v>
      </c>
      <c r="BC270" s="31"/>
      <c r="BD270" s="31"/>
      <c r="BE270" s="31"/>
      <c r="BF270" s="16"/>
      <c r="BG270" s="16"/>
      <c r="BH270" s="16"/>
      <c r="BI270" s="16"/>
      <c r="BJ270" s="16"/>
      <c r="BK270" s="16"/>
      <c r="BL270" s="16"/>
      <c r="BM270" s="16"/>
      <c r="BN270" s="16"/>
      <c r="BO270" s="16"/>
      <c r="BP270" s="16"/>
      <c r="BQ270" s="16"/>
      <c r="BR270" s="16"/>
      <c r="BS270" s="16"/>
      <c r="BT270" s="16"/>
      <c r="BU270" s="16"/>
      <c r="BV270" s="478" t="s">
        <v>3375</v>
      </c>
      <c r="CH270" s="20">
        <f>AM269/AH269-1</f>
        <v>0.93129156302253069</v>
      </c>
      <c r="CI270" s="20">
        <f>AN269/AI269-1</f>
        <v>0.56407806638255398</v>
      </c>
      <c r="CJ270" s="20">
        <f>AO269/AJ269-1</f>
        <v>0.64674331221317782</v>
      </c>
      <c r="CP270" s="5">
        <f>(Newquarts!G100-Newquarts!B100)*CP258/(Newquarts!G3-Newquarts!B3)</f>
        <v>-6.2511745670604099E-3</v>
      </c>
      <c r="CQ270" s="5">
        <f>(Newquarts!H100-Newquarts!C100)*CQ258/(Newquarts!H3-Newquarts!C3)</f>
        <v>-1.3362773056294073E-2</v>
      </c>
      <c r="CR270" s="5">
        <f>(Newquarts!I100-Newquarts!D100)*CR258/(Newquarts!I3-Newquarts!D3)</f>
        <v>-1.1750222414310986E-2</v>
      </c>
      <c r="CS270" s="5">
        <f>(Newquarts!J100-Newquarts!E100)*CS258/(Newquarts!J3-Newquarts!E3)</f>
        <v>-7.0311119143363658E-3</v>
      </c>
      <c r="CT270" s="5">
        <f>(Newquarts!L100-Newquarts!G100)*CT258/(Newquarts!L3-Newquarts!G3)</f>
        <v>-9.615723269731773E-3</v>
      </c>
      <c r="CU270" s="5">
        <f>(Newquarts!M100-Newquarts!H100)*CU258/(Newquarts!M3-Newquarts!H3)</f>
        <v>-1.2330511205439189E-2</v>
      </c>
      <c r="CV270" s="5">
        <f>(Newquarts!N100-Newquarts!I100)*CV258/(Newquarts!N3-Newquarts!I3)</f>
        <v>-5.1064721016202659E-5</v>
      </c>
      <c r="CW270" s="5">
        <f>(Newquarts!O100-Newquarts!J100)*CW258/(Newquarts!O$3-Newquarts!J$3)</f>
        <v>8.0772334224975054E-3</v>
      </c>
    </row>
    <row r="271" spans="4:116">
      <c r="D271" s="4" t="s">
        <v>2054</v>
      </c>
      <c r="E271" s="32"/>
      <c r="F271" s="32"/>
      <c r="G271" s="32"/>
      <c r="H271" s="32"/>
      <c r="I271" s="32"/>
      <c r="J271" s="32"/>
      <c r="K271" s="32"/>
      <c r="L271" s="358"/>
      <c r="M271" s="358"/>
      <c r="N271" s="358"/>
      <c r="O271" s="358"/>
      <c r="P271" s="358"/>
      <c r="Q271" s="32"/>
      <c r="R271" s="32"/>
      <c r="S271" s="358"/>
      <c r="T271" s="32"/>
      <c r="U271" s="32"/>
      <c r="V271" s="32"/>
      <c r="W271" s="415"/>
      <c r="X271" s="149"/>
      <c r="Y271" s="149"/>
      <c r="Z271" s="92"/>
      <c r="AA271" s="92"/>
      <c r="AB271" s="415"/>
      <c r="AC271" s="92"/>
      <c r="AD271" s="36">
        <f>AD270/AD260</f>
        <v>0.13085220113030133</v>
      </c>
      <c r="AE271" s="36">
        <f>AE270/AE260</f>
        <v>0.20384907839900812</v>
      </c>
      <c r="AF271" s="36">
        <f>AF270/AF260</f>
        <v>0.16201117318435754</v>
      </c>
      <c r="AG271" s="415"/>
      <c r="AH271" s="36">
        <f>AH270/AH260</f>
        <v>0.16489999999999996</v>
      </c>
      <c r="AI271" s="36">
        <f>AI270/AI260</f>
        <v>0.186</v>
      </c>
      <c r="AJ271" s="36">
        <f>AJ270/AJ260</f>
        <v>0.18999999999999997</v>
      </c>
      <c r="AK271" s="36">
        <f>AK270/AK260</f>
        <v>0.21</v>
      </c>
      <c r="AL271" s="416"/>
      <c r="AM271" s="36">
        <f>AM270/AM260</f>
        <v>0.214</v>
      </c>
      <c r="AN271" s="36">
        <f>AN270/AN260</f>
        <v>0.219</v>
      </c>
      <c r="AO271" s="36">
        <f>AO270/AO260</f>
        <v>0.23300000000000001</v>
      </c>
      <c r="AP271" s="36">
        <f>AP270/AP260</f>
        <v>0.245</v>
      </c>
      <c r="AQ271" s="107"/>
      <c r="AR271" s="36"/>
      <c r="AS271" s="36"/>
      <c r="AT271" s="36"/>
      <c r="AU271" s="36"/>
      <c r="AV271" s="16"/>
      <c r="AW271" s="36"/>
      <c r="AX271" s="36"/>
      <c r="AY271" s="36"/>
      <c r="AZ271" s="36"/>
      <c r="BA271" s="16"/>
      <c r="BB271" s="36"/>
      <c r="BC271" s="36"/>
      <c r="BD271" s="36"/>
      <c r="BE271" s="36"/>
      <c r="BF271" s="16"/>
      <c r="BG271" s="16"/>
      <c r="BH271" s="16"/>
      <c r="BI271" s="16"/>
      <c r="BJ271" s="16"/>
      <c r="BK271" s="16"/>
      <c r="BL271" s="16"/>
      <c r="BM271" s="16"/>
      <c r="BN271" s="16"/>
      <c r="BO271" s="16"/>
      <c r="BP271" s="16"/>
      <c r="BQ271" s="16"/>
      <c r="BR271" s="16"/>
      <c r="BS271" s="16"/>
      <c r="BT271" s="16"/>
      <c r="BU271" s="16"/>
    </row>
    <row r="272" spans="4:116">
      <c r="D272" s="129"/>
      <c r="L272" s="7"/>
      <c r="M272" s="7"/>
      <c r="N272" s="7"/>
      <c r="O272" s="7"/>
      <c r="P272" s="7"/>
      <c r="S272" s="7"/>
      <c r="W272" s="107"/>
      <c r="X272" s="9"/>
      <c r="Y272" s="9"/>
      <c r="Z272" s="16"/>
      <c r="AA272" s="16"/>
      <c r="AB272" s="107"/>
      <c r="AC272" s="16"/>
      <c r="AD272" s="16"/>
      <c r="AE272" s="16"/>
      <c r="AF272" s="16"/>
      <c r="AG272" s="107"/>
      <c r="AH272" s="16"/>
      <c r="AI272" s="16"/>
      <c r="AJ272" s="16"/>
      <c r="AK272" s="16"/>
      <c r="AL272" s="107"/>
      <c r="AM272" s="16"/>
      <c r="AN272" s="16"/>
      <c r="AO272" s="16"/>
      <c r="AP272" s="16"/>
      <c r="AQ272" s="107"/>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478" t="s">
        <v>3378</v>
      </c>
      <c r="CP272" s="5">
        <f>((Quarts!AW227/Quarts!AR227)-1)-CP256</f>
        <v>3.83550065019507E-2</v>
      </c>
      <c r="CQ272" s="5">
        <f>((Quarts!AX227/Quarts!AS227)-1)-CQ256</f>
        <v>-3.4157775811098245E-2</v>
      </c>
      <c r="CR272" s="5">
        <f>((Quarts!AY227/Quarts!AT227)-1)-CR256</f>
        <v>-6.3990437740493483E-2</v>
      </c>
      <c r="CS272" s="5">
        <f>((Quarts!AZ227/Quarts!AU227)-1)-CS256</f>
        <v>5.8888888888888866E-2</v>
      </c>
      <c r="CT272" s="5">
        <f>((Quarts!BB227/Quarts!AW227)-1)-CT256</f>
        <v>7.5637362637362732E-2</v>
      </c>
      <c r="CU272" s="5">
        <f>((Quarts!BC227/Quarts!AX227)-1)-CU256</f>
        <v>4.2141630901287627E-2</v>
      </c>
      <c r="CV272" s="5">
        <f>((Quarts!BD227/Quarts!AY227)-1)-CV256</f>
        <v>7.1666666666666545E-3</v>
      </c>
      <c r="CW272" s="5">
        <f>((Quarts!BE227/Quarts!AZ227)-1)-CW256</f>
        <v>-2.7228136882129189E-2</v>
      </c>
    </row>
    <row r="273" spans="4:106">
      <c r="D273" t="s">
        <v>1909</v>
      </c>
      <c r="L273" s="7"/>
      <c r="M273" s="7"/>
      <c r="N273" s="7"/>
      <c r="O273" s="7"/>
      <c r="P273" s="7"/>
      <c r="S273" s="7"/>
      <c r="W273" s="107"/>
      <c r="X273" s="9"/>
      <c r="Y273" s="9"/>
      <c r="Z273" s="16"/>
      <c r="AA273" s="16"/>
      <c r="AB273" s="107"/>
      <c r="AC273" s="16"/>
      <c r="AD273" s="16"/>
      <c r="AE273" s="16"/>
      <c r="AF273" s="16"/>
      <c r="AG273" s="107"/>
      <c r="AH273" s="16"/>
      <c r="AI273" s="16"/>
      <c r="AJ273" s="16">
        <f>(AJ267-AE267)/(AJ$260-AE$260)</f>
        <v>1.318609982162164E-2</v>
      </c>
      <c r="AK273" s="16">
        <f>(AK267-AF267)/(AK$260-AF$260)</f>
        <v>0.37227243868370374</v>
      </c>
      <c r="AL273" s="107"/>
      <c r="AM273" s="16">
        <f t="shared" ref="AM273:AN276" si="181">(AM267-AH267)/(AM$260-AH$260)</f>
        <v>0.47675723992619023</v>
      </c>
      <c r="AN273" s="16">
        <f t="shared" si="181"/>
        <v>0.52356451772019841</v>
      </c>
      <c r="AO273" s="16">
        <f t="shared" ref="AO273:AP276" si="182">(AO267-AJ267)/(AO$260-AJ$260)</f>
        <v>0.4599735109436392</v>
      </c>
      <c r="AP273" s="16">
        <f t="shared" si="182"/>
        <v>0.43495036964136791</v>
      </c>
      <c r="AQ273" s="107"/>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478" t="s">
        <v>3376</v>
      </c>
      <c r="CP273" s="5">
        <f>(Newquarts!G69-Newquarts!B69)*CP258/(Newquarts!G5-Newquarts!B5)</f>
        <v>1.3696528543021407E-2</v>
      </c>
      <c r="CQ273" s="5">
        <f>(Newquarts!H69-Newquarts!C69)*CQ258/(Newquarts!H5-Newquarts!C5)</f>
        <v>4.0314639224130972E-3</v>
      </c>
      <c r="CR273" s="5">
        <f>(Newquarts!I69-Newquarts!D69)*CR258/(Newquarts!I5-Newquarts!D5)</f>
        <v>2.8491684929728926E-3</v>
      </c>
      <c r="CS273" s="5">
        <f>(Newquarts!J69-Newquarts!E69)*CS258/(Newquarts!J5-Newquarts!E5)</f>
        <v>5.6411638010999228E-3</v>
      </c>
      <c r="CT273" s="5">
        <f>(Newquarts!L69-Newquarts!G69)*CT258/(Newquarts!L$3-Newquarts!G$3)</f>
        <v>3.5601951621657183E-3</v>
      </c>
      <c r="CU273" s="5">
        <f>(Newquarts!M69-Newquarts!H69)*CU258/(Newquarts!M$3-Newquarts!H$3)</f>
        <v>1.0128030037667732E-3</v>
      </c>
      <c r="CV273" s="5">
        <f>(Newquarts!N69-Newquarts!I69)*CV258/(Newquarts!N$3-Newquarts!I$3)</f>
        <v>2.5187657569257843E-3</v>
      </c>
      <c r="CW273" s="5">
        <f>(Newquarts!O69-Newquarts!J69)*CW258/(Newquarts!O$3-Newquarts!J$3)</f>
        <v>1.4704157032538686E-2</v>
      </c>
    </row>
    <row r="274" spans="4:106">
      <c r="D274" t="s">
        <v>1910</v>
      </c>
      <c r="L274" s="7"/>
      <c r="M274" s="7"/>
      <c r="N274" s="7"/>
      <c r="O274" s="7"/>
      <c r="P274" s="7"/>
      <c r="S274" s="7"/>
      <c r="W274" s="107"/>
      <c r="X274" s="9"/>
      <c r="Y274" s="9"/>
      <c r="Z274" s="16"/>
      <c r="AA274" s="16"/>
      <c r="AB274" s="107"/>
      <c r="AC274" s="16"/>
      <c r="AD274" s="16"/>
      <c r="AE274" s="16"/>
      <c r="AF274" s="16"/>
      <c r="AG274" s="107"/>
      <c r="AH274" s="16"/>
      <c r="AI274" s="16"/>
      <c r="AJ274" s="16"/>
      <c r="AK274" s="16"/>
      <c r="AL274" s="107"/>
      <c r="AM274" s="16">
        <f t="shared" si="181"/>
        <v>0.17131383129677552</v>
      </c>
      <c r="AN274" s="16">
        <f t="shared" si="181"/>
        <v>8.919892477940003E-2</v>
      </c>
      <c r="AO274" s="16">
        <f t="shared" si="182"/>
        <v>0.12442045272486227</v>
      </c>
      <c r="AP274" s="16">
        <f t="shared" si="182"/>
        <v>2.8845798775169768E-2</v>
      </c>
      <c r="AQ274" s="107"/>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row>
    <row r="275" spans="4:106">
      <c r="D275" t="s">
        <v>1911</v>
      </c>
      <c r="L275" s="7"/>
      <c r="M275" s="7"/>
      <c r="N275" s="7"/>
      <c r="O275" s="7"/>
      <c r="P275" s="7"/>
      <c r="S275" s="7"/>
      <c r="W275" s="107"/>
      <c r="X275" s="9"/>
      <c r="Y275" s="9"/>
      <c r="Z275" s="16"/>
      <c r="AA275" s="16"/>
      <c r="AB275" s="107"/>
      <c r="AC275" s="16"/>
      <c r="AD275" s="16"/>
      <c r="AE275" s="16"/>
      <c r="AF275" s="16"/>
      <c r="AG275" s="107"/>
      <c r="AH275" s="16"/>
      <c r="AI275" s="16"/>
      <c r="AJ275" s="16"/>
      <c r="AK275" s="16"/>
      <c r="AL275" s="107"/>
      <c r="AM275" s="16">
        <f t="shared" si="181"/>
        <v>0.35192892877703486</v>
      </c>
      <c r="AN275" s="16">
        <f t="shared" si="181"/>
        <v>0.38723655750040098</v>
      </c>
      <c r="AO275" s="16">
        <f t="shared" si="182"/>
        <v>0.41560603633149823</v>
      </c>
      <c r="AP275" s="16">
        <f t="shared" si="182"/>
        <v>0.5362038315834613</v>
      </c>
      <c r="AQ275" s="107"/>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478" t="s">
        <v>3374</v>
      </c>
      <c r="CH275" s="36">
        <f>AM270/AH270-1</f>
        <v>0.50380737836320777</v>
      </c>
      <c r="CI275" s="36">
        <f>AN270/AI270-1</f>
        <v>0.32834974860411514</v>
      </c>
      <c r="CJ275" s="36">
        <f>AO270/AJ270-1</f>
        <v>0.39806507113807044</v>
      </c>
      <c r="CP275" s="5">
        <f t="shared" ref="CP275:CW275" si="183">CP258-CP270-CP273</f>
        <v>7.6554646024039011E-2</v>
      </c>
      <c r="CQ275" s="5">
        <f t="shared" si="183"/>
        <v>9.8331309133880967E-2</v>
      </c>
      <c r="CR275" s="5">
        <f t="shared" si="183"/>
        <v>9.29010539213381E-2</v>
      </c>
      <c r="CS275" s="5">
        <f t="shared" si="183"/>
        <v>5.6389948113236443E-2</v>
      </c>
      <c r="CT275" s="5">
        <f t="shared" si="183"/>
        <v>4.6055528107566052E-2</v>
      </c>
      <c r="CU275" s="5">
        <f t="shared" si="183"/>
        <v>5.6117708201672417E-2</v>
      </c>
      <c r="CV275" s="5">
        <f t="shared" si="183"/>
        <v>6.1532298964090425E-2</v>
      </c>
      <c r="CW275" s="5">
        <f t="shared" si="183"/>
        <v>5.8218609544963801E-2</v>
      </c>
    </row>
    <row r="276" spans="4:106">
      <c r="D276" t="s">
        <v>2055</v>
      </c>
      <c r="L276" s="7"/>
      <c r="M276" s="7"/>
      <c r="N276" s="7"/>
      <c r="O276" s="7"/>
      <c r="P276" s="7"/>
      <c r="S276" s="7"/>
      <c r="W276" s="107"/>
      <c r="X276" s="9"/>
      <c r="Y276" s="9"/>
      <c r="Z276" s="16"/>
      <c r="AA276" s="16"/>
      <c r="AB276" s="107"/>
      <c r="AC276" s="16"/>
      <c r="AD276" s="16"/>
      <c r="AE276" s="16"/>
      <c r="AF276" s="16"/>
      <c r="AG276" s="107"/>
      <c r="AH276" s="16"/>
      <c r="AI276" s="16"/>
      <c r="AJ276" s="16">
        <f>(AJ270-AE270)/(AJ$260-AE$260)</f>
        <v>0.986813900178374</v>
      </c>
      <c r="AK276" s="16">
        <f>(AK270-AF270)/(AK$260-AF$260)</f>
        <v>0.62772756131629692</v>
      </c>
      <c r="AL276" s="107"/>
      <c r="AM276" s="16">
        <f t="shared" si="181"/>
        <v>0.52324276007381032</v>
      </c>
      <c r="AN276" s="16">
        <f t="shared" si="181"/>
        <v>0.47643548227980093</v>
      </c>
      <c r="AO276" s="16">
        <f t="shared" si="182"/>
        <v>0.54002648905636075</v>
      </c>
      <c r="AP276" s="16">
        <f t="shared" si="182"/>
        <v>0.56504963035863143</v>
      </c>
      <c r="AQ276" s="107"/>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row>
    <row r="277" spans="4:106">
      <c r="D277" s="129"/>
      <c r="L277" s="7"/>
      <c r="M277" s="7"/>
      <c r="N277" s="7"/>
      <c r="O277" s="7"/>
      <c r="P277" s="7"/>
      <c r="S277" s="7"/>
      <c r="W277" s="107"/>
      <c r="X277" s="9"/>
      <c r="Y277" s="9"/>
      <c r="Z277" s="16"/>
      <c r="AA277" s="16"/>
      <c r="AB277" s="107"/>
      <c r="AC277" s="16"/>
      <c r="AD277" s="16"/>
      <c r="AE277" s="16"/>
      <c r="AF277" s="16"/>
      <c r="AG277" s="107"/>
      <c r="AH277" s="16"/>
      <c r="AI277" s="16"/>
      <c r="AJ277" s="16"/>
      <c r="AK277" s="16"/>
      <c r="AL277" s="107"/>
      <c r="AM277" s="16"/>
      <c r="AN277" s="16"/>
      <c r="AO277" s="16"/>
      <c r="AP277" s="16"/>
      <c r="AQ277" s="107"/>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row>
    <row r="278" spans="4:106">
      <c r="D278" s="23" t="s">
        <v>1108</v>
      </c>
      <c r="E278" s="11"/>
      <c r="F278" s="11"/>
      <c r="G278" s="96" t="s">
        <v>364</v>
      </c>
      <c r="H278" s="96" t="s">
        <v>363</v>
      </c>
      <c r="I278" s="96" t="s">
        <v>362</v>
      </c>
      <c r="J278" s="96" t="s">
        <v>589</v>
      </c>
      <c r="K278" s="96" t="s">
        <v>585</v>
      </c>
      <c r="L278" s="96" t="s">
        <v>586</v>
      </c>
      <c r="M278" s="96" t="s">
        <v>587</v>
      </c>
      <c r="N278" s="96" t="s">
        <v>588</v>
      </c>
      <c r="O278" s="96" t="s">
        <v>580</v>
      </c>
      <c r="P278" s="96" t="s">
        <v>582</v>
      </c>
      <c r="Q278" s="96" t="s">
        <v>581</v>
      </c>
      <c r="R278" s="96" t="str">
        <f t="shared" ref="R278:BJ278" si="184">R208</f>
        <v>Q4 05</v>
      </c>
      <c r="S278" s="96" t="str">
        <f t="shared" si="184"/>
        <v>Q1 06</v>
      </c>
      <c r="T278" s="96" t="str">
        <f t="shared" si="184"/>
        <v>Q2 06</v>
      </c>
      <c r="U278" s="96" t="str">
        <f t="shared" si="184"/>
        <v>Q3 06</v>
      </c>
      <c r="V278" s="96" t="str">
        <f t="shared" si="184"/>
        <v>Q4 06</v>
      </c>
      <c r="W278" s="184" t="str">
        <f t="shared" si="184"/>
        <v>FY 06</v>
      </c>
      <c r="X278" s="96" t="str">
        <f t="shared" si="184"/>
        <v>Q1 07</v>
      </c>
      <c r="Y278" s="96" t="str">
        <f t="shared" si="184"/>
        <v>Q2 07</v>
      </c>
      <c r="Z278" s="96" t="str">
        <f t="shared" si="184"/>
        <v>Q3 07</v>
      </c>
      <c r="AA278" s="96" t="str">
        <f t="shared" si="184"/>
        <v>Q4 07</v>
      </c>
      <c r="AB278" s="184" t="str">
        <f t="shared" si="184"/>
        <v>FY 07</v>
      </c>
      <c r="AC278" s="96" t="str">
        <f t="shared" si="184"/>
        <v>Q1 08</v>
      </c>
      <c r="AD278" s="96" t="str">
        <f t="shared" si="184"/>
        <v>Q2 08</v>
      </c>
      <c r="AE278" s="96" t="str">
        <f t="shared" si="184"/>
        <v>Q3 08</v>
      </c>
      <c r="AF278" s="96" t="str">
        <f t="shared" si="184"/>
        <v>Q4 08</v>
      </c>
      <c r="AG278" s="184" t="str">
        <f t="shared" si="184"/>
        <v>FY 08</v>
      </c>
      <c r="AH278" s="96" t="str">
        <f t="shared" si="184"/>
        <v>Q1 09</v>
      </c>
      <c r="AI278" s="96" t="str">
        <f t="shared" si="184"/>
        <v>Q2 09</v>
      </c>
      <c r="AJ278" s="96" t="str">
        <f t="shared" si="184"/>
        <v>Q3 09</v>
      </c>
      <c r="AK278" s="96" t="str">
        <f t="shared" si="184"/>
        <v>Q4 09</v>
      </c>
      <c r="AL278" s="184" t="str">
        <f t="shared" si="184"/>
        <v>FY 09</v>
      </c>
      <c r="AM278" s="96" t="str">
        <f t="shared" si="184"/>
        <v>Q1 10</v>
      </c>
      <c r="AN278" s="96" t="str">
        <f t="shared" si="184"/>
        <v>Q2 10</v>
      </c>
      <c r="AO278" s="96" t="str">
        <f t="shared" si="184"/>
        <v>Q3 10</v>
      </c>
      <c r="AP278" s="96" t="str">
        <f t="shared" si="184"/>
        <v>Q4 10</v>
      </c>
      <c r="AQ278" s="184" t="str">
        <f t="shared" si="184"/>
        <v>FY 10E</v>
      </c>
      <c r="AR278" s="96" t="str">
        <f t="shared" si="184"/>
        <v>Q1 11</v>
      </c>
      <c r="AS278" s="96" t="str">
        <f t="shared" si="184"/>
        <v>Q2 11</v>
      </c>
      <c r="AT278" s="96" t="str">
        <f t="shared" si="184"/>
        <v>Q3 11</v>
      </c>
      <c r="AU278" s="96" t="str">
        <f t="shared" si="184"/>
        <v>Q4 11</v>
      </c>
      <c r="AV278" s="184" t="str">
        <f t="shared" si="184"/>
        <v>FY 11</v>
      </c>
      <c r="AW278" s="96" t="str">
        <f t="shared" si="184"/>
        <v>Q1 12</v>
      </c>
      <c r="AX278" s="96" t="str">
        <f t="shared" si="184"/>
        <v>Q2 12</v>
      </c>
      <c r="AY278" s="96" t="str">
        <f t="shared" si="184"/>
        <v>Q3 12</v>
      </c>
      <c r="AZ278" s="96" t="str">
        <f t="shared" si="184"/>
        <v>Q4 12</v>
      </c>
      <c r="BA278" s="184" t="str">
        <f t="shared" si="184"/>
        <v>FY 12</v>
      </c>
      <c r="BB278" s="96" t="str">
        <f t="shared" si="184"/>
        <v>Q1 13</v>
      </c>
      <c r="BC278" s="96" t="str">
        <f t="shared" si="184"/>
        <v>Q2 13</v>
      </c>
      <c r="BD278" s="96" t="str">
        <f t="shared" si="184"/>
        <v>Q3 13</v>
      </c>
      <c r="BE278" s="96" t="str">
        <f t="shared" si="184"/>
        <v>Q4 13</v>
      </c>
      <c r="BF278" s="184" t="str">
        <f t="shared" si="184"/>
        <v>FY 13</v>
      </c>
      <c r="BG278" s="96" t="str">
        <f t="shared" si="184"/>
        <v>Q1 14</v>
      </c>
      <c r="BH278" s="96" t="str">
        <f t="shared" si="184"/>
        <v>Q2 14</v>
      </c>
      <c r="BI278" s="96" t="str">
        <f t="shared" si="184"/>
        <v>Q3 14</v>
      </c>
      <c r="BJ278" s="96" t="str">
        <f t="shared" si="184"/>
        <v>Q4 14</v>
      </c>
      <c r="BK278" s="184" t="str">
        <f t="shared" ref="BK278:BT278" si="185">BK208</f>
        <v>FY 14</v>
      </c>
      <c r="BL278" s="96" t="str">
        <f t="shared" si="185"/>
        <v>Q1 15</v>
      </c>
      <c r="BM278" s="96" t="str">
        <f t="shared" si="185"/>
        <v>Q2 15</v>
      </c>
      <c r="BN278" s="96" t="str">
        <f t="shared" si="185"/>
        <v>Q3 15</v>
      </c>
      <c r="BO278" s="96" t="str">
        <f t="shared" si="185"/>
        <v>Q4 15</v>
      </c>
      <c r="BP278" s="184" t="str">
        <f t="shared" si="185"/>
        <v>FY 15</v>
      </c>
      <c r="BQ278" s="96" t="str">
        <f t="shared" si="185"/>
        <v>Q1 16</v>
      </c>
      <c r="BR278" s="96" t="str">
        <f t="shared" si="185"/>
        <v>Q2 16</v>
      </c>
      <c r="BS278" s="96" t="str">
        <f t="shared" si="185"/>
        <v>Q3 16</v>
      </c>
      <c r="BT278" s="96" t="str">
        <f t="shared" si="185"/>
        <v>Q4 16e</v>
      </c>
      <c r="BU278" s="96"/>
      <c r="BV278" s="96" t="str">
        <f>S278</f>
        <v>Q1 06</v>
      </c>
      <c r="BW278" s="96" t="str">
        <f>T278</f>
        <v>Q2 06</v>
      </c>
      <c r="BX278" s="96" t="str">
        <f>U278</f>
        <v>Q3 06</v>
      </c>
      <c r="BY278" s="96" t="str">
        <f>V278</f>
        <v>Q4 06</v>
      </c>
      <c r="BZ278" s="96" t="str">
        <f>BZ208</f>
        <v>Q1 07</v>
      </c>
      <c r="CA278" s="96" t="str">
        <f>CA208</f>
        <v>Q2 07</v>
      </c>
      <c r="CB278" s="96" t="str">
        <f>CB208</f>
        <v>Q3 07</v>
      </c>
      <c r="CC278" s="96" t="str">
        <f>CC208</f>
        <v>Q4 07A</v>
      </c>
      <c r="CD278" s="96" t="str">
        <f>AC278</f>
        <v>Q1 08</v>
      </c>
      <c r="CE278" s="96" t="str">
        <f>AD278</f>
        <v>Q2 08</v>
      </c>
      <c r="CF278" s="96" t="str">
        <f>AE278</f>
        <v>Q3 08</v>
      </c>
      <c r="CG278" s="96" t="str">
        <f>AF278</f>
        <v>Q4 08</v>
      </c>
      <c r="CH278" s="96" t="str">
        <f>AH278</f>
        <v>Q1 09</v>
      </c>
      <c r="CI278" s="96" t="str">
        <f>AI278</f>
        <v>Q2 09</v>
      </c>
      <c r="CJ278" s="96" t="str">
        <f>AJ278</f>
        <v>Q3 09</v>
      </c>
      <c r="CK278" s="96" t="str">
        <f>AK278</f>
        <v>Q4 09</v>
      </c>
      <c r="CL278" s="96" t="str">
        <f>AM278</f>
        <v>Q1 10</v>
      </c>
      <c r="CM278" s="96" t="str">
        <f>AN278</f>
        <v>Q2 10</v>
      </c>
      <c r="CN278" s="96" t="str">
        <f>AO278</f>
        <v>Q3 10</v>
      </c>
      <c r="CO278" s="96" t="str">
        <f>AP278</f>
        <v>Q4 10</v>
      </c>
      <c r="CP278" s="96" t="str">
        <f>AR278</f>
        <v>Q1 11</v>
      </c>
      <c r="CQ278" s="96" t="str">
        <f>AS278</f>
        <v>Q2 11</v>
      </c>
      <c r="CR278" s="96" t="str">
        <f>AT278</f>
        <v>Q3 11</v>
      </c>
      <c r="CS278" s="96" t="str">
        <f>AU278</f>
        <v>Q4 11</v>
      </c>
      <c r="CT278" s="96" t="str">
        <f>AW278</f>
        <v>Q1 12</v>
      </c>
      <c r="CU278" s="96" t="str">
        <f>AX278</f>
        <v>Q2 12</v>
      </c>
      <c r="CV278" s="96" t="str">
        <f>AX278</f>
        <v>Q2 12</v>
      </c>
      <c r="CW278" s="96" t="str">
        <f>AY278</f>
        <v>Q3 12</v>
      </c>
      <c r="CX278" s="96" t="str">
        <f>AZ278</f>
        <v>Q4 12</v>
      </c>
      <c r="CY278" s="96" t="str">
        <f>BB278</f>
        <v>Q1 13</v>
      </c>
      <c r="CZ278" s="96" t="str">
        <f>BC278</f>
        <v>Q2 13</v>
      </c>
      <c r="DA278" s="96" t="str">
        <f>BD278</f>
        <v>Q3 13</v>
      </c>
      <c r="DB278" s="96" t="str">
        <f>BE278</f>
        <v>Q4 13</v>
      </c>
    </row>
    <row r="279" spans="4:106">
      <c r="D279" s="2"/>
      <c r="W279" s="107"/>
      <c r="AB279" s="107"/>
      <c r="AG279" s="107"/>
      <c r="AL279" s="107"/>
      <c r="AQ279" s="107"/>
      <c r="CB279"/>
      <c r="CC279"/>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row>
    <row r="280" spans="4:106">
      <c r="D280" s="4" t="s">
        <v>1086</v>
      </c>
      <c r="H280" s="7"/>
      <c r="I280" s="7"/>
      <c r="J280" s="7"/>
      <c r="K280" s="7"/>
      <c r="L280" s="7"/>
      <c r="M280" s="7"/>
      <c r="N280" s="7"/>
      <c r="O280" s="7"/>
      <c r="P280" s="7"/>
      <c r="Q280" s="7"/>
      <c r="R280" s="7"/>
      <c r="S280" s="7"/>
      <c r="T280" s="7"/>
      <c r="U280" s="7"/>
      <c r="V280" s="7"/>
      <c r="W280" s="128"/>
      <c r="X280" s="7"/>
      <c r="Y280" s="7"/>
      <c r="Z280" s="7"/>
      <c r="AA280" s="7"/>
      <c r="AB280" s="128"/>
      <c r="AC280" s="7"/>
      <c r="AD280" s="7"/>
      <c r="AE280" s="7"/>
      <c r="AF280" s="7"/>
      <c r="AG280" s="128"/>
      <c r="AH280" s="7"/>
      <c r="AI280" s="7"/>
      <c r="AJ280" s="7"/>
      <c r="AK280" s="7"/>
      <c r="AL280" s="128"/>
      <c r="AM280" s="7"/>
      <c r="AN280" s="7"/>
      <c r="AO280" s="7"/>
      <c r="AP280" s="7"/>
      <c r="AQ280" s="128"/>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row>
    <row r="281" spans="4:106">
      <c r="D281" s="12" t="s">
        <v>2374</v>
      </c>
      <c r="E281" s="11"/>
      <c r="F281" s="11"/>
      <c r="G281" s="11"/>
      <c r="H281" s="14"/>
      <c r="I281" s="14"/>
      <c r="J281" s="14"/>
      <c r="K281" s="14"/>
      <c r="L281" s="14"/>
      <c r="M281" s="14"/>
      <c r="N281" s="14"/>
      <c r="O281" s="14"/>
      <c r="P281" s="14"/>
      <c r="Q281" s="14"/>
      <c r="R281" s="14"/>
      <c r="S281" s="14"/>
      <c r="T281" s="14"/>
      <c r="U281" s="14"/>
      <c r="V281" s="14"/>
      <c r="W281" s="183"/>
      <c r="X281" s="14"/>
      <c r="Y281" s="14"/>
      <c r="Z281" s="14"/>
      <c r="AA281" s="14"/>
      <c r="AB281" s="183"/>
      <c r="AC281" s="20"/>
      <c r="AD281" s="20"/>
      <c r="AE281" s="20"/>
      <c r="AF281" s="20"/>
      <c r="AG281" s="183"/>
      <c r="AH281" s="20"/>
      <c r="AI281" s="20"/>
      <c r="AJ281" s="20"/>
      <c r="AK281" s="20"/>
      <c r="AL281" s="183"/>
      <c r="AM281" s="20"/>
      <c r="AN281" s="20"/>
      <c r="AO281" s="20"/>
      <c r="AP281" s="20"/>
      <c r="AQ281" s="183"/>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0"/>
      <c r="BW281" s="20"/>
      <c r="BX281" s="20"/>
      <c r="BY281" s="20"/>
      <c r="BZ281" s="20"/>
      <c r="CA281" s="20"/>
      <c r="CB281" s="20"/>
      <c r="CC281" s="20"/>
      <c r="CD281" s="20"/>
      <c r="CE281" s="20"/>
      <c r="CF281" s="20"/>
      <c r="CG281" s="20"/>
      <c r="CH281" s="20"/>
      <c r="CI281" s="20"/>
      <c r="CJ281" s="20"/>
      <c r="CK281" s="20"/>
      <c r="CL281" s="20"/>
      <c r="CM281" s="20"/>
      <c r="CN281" s="20"/>
      <c r="CO281" s="20"/>
      <c r="CP281" s="16"/>
      <c r="CQ281" s="16"/>
      <c r="CR281" s="16"/>
      <c r="CS281" s="16"/>
      <c r="CT281" s="16"/>
      <c r="CU281" s="16"/>
      <c r="CV281" s="16"/>
      <c r="CW281" s="16"/>
      <c r="CX281" s="16"/>
      <c r="CY281" s="16"/>
      <c r="CZ281" s="16"/>
      <c r="DA281" s="16"/>
    </row>
    <row r="282" spans="4:106">
      <c r="D282" s="4" t="s">
        <v>1163</v>
      </c>
      <c r="H282" s="7"/>
      <c r="I282" s="7"/>
      <c r="J282" s="7"/>
      <c r="K282" s="7"/>
      <c r="L282" s="7"/>
      <c r="M282" s="7"/>
      <c r="N282" s="7"/>
      <c r="O282" s="7"/>
      <c r="P282" s="7"/>
      <c r="Q282" s="7"/>
      <c r="R282" s="7"/>
      <c r="S282" s="7"/>
      <c r="T282" s="7"/>
      <c r="U282" s="7"/>
      <c r="V282" s="202"/>
      <c r="W282" s="128"/>
      <c r="X282" s="35">
        <f>X212/AVERAGE(W120,X120)/3*1000</f>
        <v>8.2784471780149875</v>
      </c>
      <c r="Y282" s="35">
        <f>Y212/AVERAGE(X120,Y120)/3*1000</f>
        <v>6.7771190167612225</v>
      </c>
      <c r="Z282" s="35">
        <f>Z212/AVERAGE(Y120,Z120)/3*1000</f>
        <v>6.5249306726116041</v>
      </c>
      <c r="AA282" s="35">
        <f>AA212/AVERAGE(Z120,AA120)/3*1000</f>
        <v>6.5005333121022328</v>
      </c>
      <c r="AB282" s="128"/>
      <c r="AC282" s="35">
        <f>AC212/AVERAGE(AB120,AC120)/3*1000</f>
        <v>6.6546031837032</v>
      </c>
      <c r="AD282" s="35">
        <f>AD212/AVERAGE(AC120,AD120)/3*1000</f>
        <v>6.2343634968478616</v>
      </c>
      <c r="AE282" s="35">
        <f>AE212/AVERAGE(AD120,AE120)/3*1000</f>
        <v>5.8016182522837063</v>
      </c>
      <c r="AF282" s="35">
        <f>AF212/AVERAGE(AE120,AF120)/3*1000</f>
        <v>5.1997805692599783</v>
      </c>
      <c r="AG282" s="128">
        <f>Asia!I56</f>
        <v>5.9467595755339984</v>
      </c>
      <c r="AH282" s="35">
        <f>AH212/AVERAGE(AG120,AH120)/3*1000</f>
        <v>5.0612979417388368</v>
      </c>
      <c r="AI282" s="35"/>
      <c r="AJ282" s="35"/>
      <c r="AK282" s="35"/>
      <c r="AL282" s="128">
        <f>Asia!J56</f>
        <v>4.7574076604271989</v>
      </c>
      <c r="AM282" s="35"/>
      <c r="AN282" s="35"/>
      <c r="AO282" s="35"/>
      <c r="AP282" s="35"/>
      <c r="AQ282" s="128"/>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16"/>
      <c r="BW282" s="16"/>
      <c r="BX282" s="16"/>
      <c r="BY282" s="16"/>
      <c r="BZ282" s="16"/>
      <c r="CA282" s="16"/>
      <c r="CB282" s="16"/>
      <c r="CC282" s="16"/>
      <c r="CD282" s="16">
        <f t="shared" ref="CD282:CG287" si="186">AC282/X282-1</f>
        <v>-0.19615321078863901</v>
      </c>
      <c r="CE282" s="16">
        <f t="shared" si="186"/>
        <v>-8.0086467209888768E-2</v>
      </c>
      <c r="CF282" s="16">
        <f t="shared" si="186"/>
        <v>-0.11085365601875308</v>
      </c>
      <c r="CG282" s="16">
        <f t="shared" si="186"/>
        <v>-0.20009938883331391</v>
      </c>
      <c r="CH282" s="16">
        <f t="shared" ref="CH282:CH287" si="187">AH282/AC282-1</f>
        <v>-0.23942903851371489</v>
      </c>
      <c r="CI282" s="16"/>
      <c r="CJ282" s="16"/>
      <c r="CK282" s="16"/>
      <c r="CL282" s="16"/>
      <c r="CM282" s="16"/>
      <c r="CN282" s="16"/>
      <c r="CO282" s="16"/>
      <c r="CP282" s="16"/>
      <c r="CQ282" s="16"/>
      <c r="CR282" s="16"/>
      <c r="CS282" s="16"/>
      <c r="CT282" s="16"/>
      <c r="CU282" s="16"/>
      <c r="CV282" s="16"/>
      <c r="CW282" s="16"/>
      <c r="CX282" s="16"/>
      <c r="CY282" s="16"/>
      <c r="CZ282" s="16"/>
      <c r="DA282" s="16"/>
    </row>
    <row r="283" spans="4:106">
      <c r="D283" s="4" t="str">
        <f>D217</f>
        <v>CA ex-Amnet (incs MFS)</v>
      </c>
      <c r="H283" s="7">
        <f t="shared" ref="H283:V283" si="188">H217/AVERAGE(G125:H125)/3*1000</f>
        <v>12.603929134158976</v>
      </c>
      <c r="I283" s="7">
        <f t="shared" si="188"/>
        <v>11.87898957457878</v>
      </c>
      <c r="J283" s="7">
        <f t="shared" si="188"/>
        <v>16.444408342560045</v>
      </c>
      <c r="K283" s="7">
        <f t="shared" si="188"/>
        <v>16.05426296067693</v>
      </c>
      <c r="L283" s="7">
        <f t="shared" si="188"/>
        <v>15.881156978376863</v>
      </c>
      <c r="M283" s="7">
        <f t="shared" si="188"/>
        <v>16.910547861684524</v>
      </c>
      <c r="N283" s="7">
        <f t="shared" si="188"/>
        <v>18.112465491331715</v>
      </c>
      <c r="O283" s="7">
        <f t="shared" si="188"/>
        <v>16.617494324500694</v>
      </c>
      <c r="P283" s="7">
        <f t="shared" si="188"/>
        <v>17.286092638539611</v>
      </c>
      <c r="Q283" s="7">
        <f t="shared" si="188"/>
        <v>18.332457603240965</v>
      </c>
      <c r="R283" s="7">
        <f t="shared" si="188"/>
        <v>18.739651343445423</v>
      </c>
      <c r="S283" s="7">
        <f t="shared" si="188"/>
        <v>17.679775494054009</v>
      </c>
      <c r="T283" s="7">
        <f t="shared" si="188"/>
        <v>17.748743747106911</v>
      </c>
      <c r="U283" s="7">
        <f t="shared" si="188"/>
        <v>17.499789124070787</v>
      </c>
      <c r="V283" s="7">
        <f t="shared" si="188"/>
        <v>17.769026874744746</v>
      </c>
      <c r="W283" s="128">
        <f>W217/AVERAGE(R125,W125)/12*1000</f>
        <v>16.793197155274662</v>
      </c>
      <c r="X283" s="7">
        <f>X217/AVERAGE(W125:X125)/3*1000</f>
        <v>15.007936956257433</v>
      </c>
      <c r="Y283" s="7">
        <f>Y217/AVERAGE(X125:Y125)/3*1000</f>
        <v>14.286002474226629</v>
      </c>
      <c r="Z283" s="7">
        <f>Z217/AVERAGE(Y125:Z125)/3*1000</f>
        <v>14.181546272303462</v>
      </c>
      <c r="AA283" s="7">
        <f>AA217/AVERAGE(Z125:AA125)/3*1000</f>
        <v>13.523004563500562</v>
      </c>
      <c r="AB283" s="128">
        <f>AB217/AVERAGE(W125,AB125)/12*1000</f>
        <v>13.693148493449151</v>
      </c>
      <c r="AC283" s="7">
        <f>AC217/AVERAGE(AB125:AC125)/3*1000</f>
        <v>12.182148308729301</v>
      </c>
      <c r="AD283" s="7">
        <f>AD217/AVERAGE(AC125,(AD125+200))/3*1000</f>
        <v>11.252752415364769</v>
      </c>
      <c r="AE283" s="7">
        <f>AE217/AVERAGE(AD125,(AE125+200))/3*1000</f>
        <v>10.623505169208709</v>
      </c>
      <c r="AF283" s="7">
        <f>AF217/AVERAGE(AE125,(AF125+200))/3*1000</f>
        <v>10.64719531580991</v>
      </c>
      <c r="AG283" s="128">
        <f>CA!I64</f>
        <v>11.470244808526308</v>
      </c>
      <c r="AH283" s="7">
        <f>AH217/AVERAGE(AG125,(AH125+200))/3*1000</f>
        <v>11.030681923081815</v>
      </c>
      <c r="AI283" s="7">
        <f>AI217/AVERAGE(AH125,AI125)/3*1000</f>
        <v>10.843734391774005</v>
      </c>
      <c r="AJ283" s="7">
        <f>AJ217/AVERAGE(AI125,AJ125)/3*1000</f>
        <v>10.212714868337054</v>
      </c>
      <c r="AK283" s="7">
        <f>AK217/AVERAGE(AJ125,AK125)/3*1000</f>
        <v>10.058381753668495</v>
      </c>
      <c r="AL283" s="128">
        <f>CA!J64</f>
        <v>10.521183667940202</v>
      </c>
      <c r="AM283" s="7">
        <f>AM217/AVERAGE(AL125,AM125)/3*1000</f>
        <v>9.4781666122212656</v>
      </c>
      <c r="AN283" s="7">
        <f>AN217/AVERAGE(AM125,AN125)/3*1000</f>
        <v>9.5263921074717537</v>
      </c>
      <c r="AO283" s="7">
        <f>AO217/AVERAGE(AN125,AO125)/3*1000</f>
        <v>9.4594284602205665</v>
      </c>
      <c r="AP283" s="7"/>
      <c r="AQ283" s="128"/>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16">
        <f>S283/O283-1</f>
        <v>6.3925472084386259E-2</v>
      </c>
      <c r="BW283" s="16">
        <f>T283/P283-1</f>
        <v>2.6764354342045715E-2</v>
      </c>
      <c r="BX283" s="16">
        <f>U283/Q283-1</f>
        <v>-4.54204502850164E-2</v>
      </c>
      <c r="BY283" s="16">
        <f>V283/R283-1</f>
        <v>-5.1795225584075344E-2</v>
      </c>
      <c r="BZ283" s="16">
        <f>X283/S283-1</f>
        <v>-0.15112400825989891</v>
      </c>
      <c r="CA283" s="16">
        <f>Y283/T283-1</f>
        <v>-0.19509782338508985</v>
      </c>
      <c r="CB283" s="16">
        <f>Z283/U283-1</f>
        <v>-0.18961616212866905</v>
      </c>
      <c r="CC283" s="16">
        <f>AA283/V283-1</f>
        <v>-0.23895637848795692</v>
      </c>
      <c r="CD283" s="16">
        <f t="shared" si="186"/>
        <v>-0.18828628183635476</v>
      </c>
      <c r="CE283" s="16">
        <f t="shared" si="186"/>
        <v>-0.21232322088240885</v>
      </c>
      <c r="CF283" s="16">
        <f t="shared" si="186"/>
        <v>-0.25089232406508466</v>
      </c>
      <c r="CG283" s="16">
        <f t="shared" si="186"/>
        <v>-0.21266052482542541</v>
      </c>
      <c r="CH283" s="16">
        <f t="shared" si="187"/>
        <v>-9.4520798505004722E-2</v>
      </c>
      <c r="CI283" s="16">
        <f t="shared" ref="CI283:CK287" si="189">AI283/AD283-1</f>
        <v>-3.6348264717197765E-2</v>
      </c>
      <c r="CJ283" s="16">
        <f t="shared" si="189"/>
        <v>-3.8668056759862512E-2</v>
      </c>
      <c r="CK283" s="16">
        <f t="shared" si="189"/>
        <v>-5.5302222292014425E-2</v>
      </c>
      <c r="CL283" s="16">
        <f t="shared" ref="CL283:CO287" si="190">AM283/AH283-1</f>
        <v>-0.14074517982536472</v>
      </c>
      <c r="CM283" s="16">
        <f t="shared" si="190"/>
        <v>-0.12148418955204021</v>
      </c>
      <c r="CN283" s="16">
        <f t="shared" si="190"/>
        <v>-7.3759663108967755E-2</v>
      </c>
      <c r="CO283" s="16">
        <f t="shared" si="190"/>
        <v>-1</v>
      </c>
      <c r="CP283" s="16"/>
      <c r="CQ283" s="16"/>
      <c r="CR283" s="16"/>
      <c r="CS283" s="16"/>
      <c r="CT283" s="16"/>
      <c r="CU283" s="16"/>
      <c r="CV283" s="16"/>
      <c r="CW283" s="16"/>
      <c r="CX283" s="16"/>
      <c r="CY283" s="16"/>
      <c r="CZ283" s="16"/>
      <c r="DA283" s="16"/>
    </row>
    <row r="284" spans="4:106">
      <c r="D284" s="4" t="str">
        <f>D222</f>
        <v>Colombia</v>
      </c>
      <c r="H284" s="7"/>
      <c r="I284" s="7"/>
      <c r="J284" s="7"/>
      <c r="K284" s="7"/>
      <c r="L284" s="7"/>
      <c r="M284" s="7"/>
      <c r="N284" s="7"/>
      <c r="O284" s="7"/>
      <c r="P284" s="7"/>
      <c r="Q284" s="7"/>
      <c r="R284" s="7"/>
      <c r="S284" s="7"/>
      <c r="T284" s="7"/>
      <c r="U284" s="7"/>
      <c r="V284" s="7">
        <f>V222/AVERAGE(U128,V128)/3*1000</f>
        <v>14.975990087599115</v>
      </c>
      <c r="W284" s="128"/>
      <c r="X284" s="7">
        <f>X222/AVERAGE(W128,X128)/3*1000</f>
        <v>13.978190464319308</v>
      </c>
      <c r="Y284" s="7">
        <f>Y222/AVERAGE(X128,Y128)/3*1000</f>
        <v>15.903203381646279</v>
      </c>
      <c r="Z284" s="7">
        <f>Z222/AVERAGE(Y128,Z128)/3*1000</f>
        <v>16.168966659352744</v>
      </c>
      <c r="AA284" s="7">
        <f>AA222/AVERAGE(Z128,AA128)/3*1000</f>
        <v>16.412838986190334</v>
      </c>
      <c r="AB284" s="128"/>
      <c r="AC284" s="7">
        <f>AC222/AVERAGE(AB128,AC128)/3*1000</f>
        <v>12.464265294453972</v>
      </c>
      <c r="AD284" s="7">
        <f>AD222/AVERAGE(AC128,AD128)/3*1000</f>
        <v>12.442335574008171</v>
      </c>
      <c r="AE284" s="7">
        <f>AE222/AVERAGE(AD128,AE128)/3*1000</f>
        <v>12.167177945716814</v>
      </c>
      <c r="AF284" s="7">
        <f>AF222/AVERAGE(AE128,AF128)/3*1000</f>
        <v>11.634485931503736</v>
      </c>
      <c r="AG284" s="128">
        <f>Colombia!E39</f>
        <v>11.724742493973263</v>
      </c>
      <c r="AH284" s="7">
        <f>AH222/AVERAGE(AG128,AH128)/3*1000</f>
        <v>9.42923061490621</v>
      </c>
      <c r="AI284" s="7">
        <f>AI222/AVERAGE(AH128,AI128)/3*1000</f>
        <v>10.242667810665298</v>
      </c>
      <c r="AJ284" s="7">
        <f>AJ222/AVERAGE(AI128,AJ128)/3*1000</f>
        <v>11.238880978365499</v>
      </c>
      <c r="AK284" s="7">
        <f>AK222/AVERAGE(AJ128,AK128)/3*1000</f>
        <v>12.350774504230264</v>
      </c>
      <c r="AL284" s="128">
        <f>Colombia!F39</f>
        <v>9.7213089274221236</v>
      </c>
      <c r="AM284" s="7">
        <f>AM222/AVERAGE(AL128,AM128)/3*1000</f>
        <v>12.141235805111442</v>
      </c>
      <c r="AN284" s="7">
        <f>AN222/AVERAGE(AM128,AN128)/3*1000</f>
        <v>12.215134603781319</v>
      </c>
      <c r="AO284" s="7">
        <f>AO222/AVERAGE(AN128,AO128)/3*1000</f>
        <v>13.348148152765331</v>
      </c>
      <c r="AP284" s="7"/>
      <c r="AQ284" s="128"/>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16"/>
      <c r="BW284" s="16"/>
      <c r="BX284" s="16"/>
      <c r="BY284" s="16"/>
      <c r="BZ284" s="16"/>
      <c r="CA284" s="16"/>
      <c r="CB284" s="16"/>
      <c r="CC284" s="16">
        <f>AA284/V284-1</f>
        <v>9.5943499574095092E-2</v>
      </c>
      <c r="CD284" s="16">
        <f t="shared" si="186"/>
        <v>-0.10830623418172602</v>
      </c>
      <c r="CE284" s="16">
        <f t="shared" si="186"/>
        <v>-0.21762079780934318</v>
      </c>
      <c r="CF284" s="16">
        <f t="shared" si="186"/>
        <v>-0.24749811153337642</v>
      </c>
      <c r="CG284" s="16">
        <f t="shared" si="186"/>
        <v>-0.29113507167815855</v>
      </c>
      <c r="CH284" s="16">
        <f t="shared" si="187"/>
        <v>-0.24349888323527691</v>
      </c>
      <c r="CI284" s="16">
        <f t="shared" si="189"/>
        <v>-0.17678897585256759</v>
      </c>
      <c r="CJ284" s="16">
        <f t="shared" si="189"/>
        <v>-7.6295174730973803E-2</v>
      </c>
      <c r="CK284" s="16">
        <f t="shared" si="189"/>
        <v>6.1565983829759974E-2</v>
      </c>
      <c r="CL284" s="16">
        <f t="shared" si="190"/>
        <v>0.28761680575697834</v>
      </c>
      <c r="CM284" s="16">
        <f t="shared" si="190"/>
        <v>0.19257353939197053</v>
      </c>
      <c r="CN284" s="16">
        <f t="shared" si="190"/>
        <v>0.18767590638784304</v>
      </c>
      <c r="CO284" s="16">
        <f t="shared" si="190"/>
        <v>-1</v>
      </c>
      <c r="CP284" s="16"/>
      <c r="CQ284" s="16"/>
      <c r="CR284" s="16"/>
      <c r="CS284" s="16"/>
      <c r="CT284" s="16"/>
      <c r="CU284" s="16"/>
      <c r="CV284" s="16"/>
      <c r="CW284" s="16"/>
      <c r="CX284" s="16"/>
      <c r="CY284" s="16"/>
      <c r="CZ284" s="16"/>
      <c r="DA284" s="16"/>
    </row>
    <row r="285" spans="4:106">
      <c r="D285" s="345" t="str">
        <f>D226</f>
        <v>SA ex Col, inc MFS</v>
      </c>
      <c r="E285" s="345"/>
      <c r="F285" s="345"/>
      <c r="G285" s="345"/>
      <c r="H285" s="349">
        <f t="shared" ref="H285:U285" si="191">H226/AVERAGE(G131:H131)/3*1000</f>
        <v>8.0724765653856068</v>
      </c>
      <c r="I285" s="349">
        <f t="shared" si="191"/>
        <v>8.4839691977424749</v>
      </c>
      <c r="J285" s="349">
        <f t="shared" si="191"/>
        <v>8.8820762139002465</v>
      </c>
      <c r="K285" s="349">
        <f t="shared" si="191"/>
        <v>9.9328360164776903</v>
      </c>
      <c r="L285" s="349">
        <f t="shared" si="191"/>
        <v>11.702558682344653</v>
      </c>
      <c r="M285" s="349">
        <f t="shared" si="191"/>
        <v>12.411036244874412</v>
      </c>
      <c r="N285" s="349">
        <f t="shared" si="191"/>
        <v>12.092712794701846</v>
      </c>
      <c r="O285" s="349">
        <f t="shared" si="191"/>
        <v>10.819615983537792</v>
      </c>
      <c r="P285" s="349">
        <f t="shared" si="191"/>
        <v>10.897778038935328</v>
      </c>
      <c r="Q285" s="349">
        <f t="shared" si="191"/>
        <v>11.041369368847294</v>
      </c>
      <c r="R285" s="349">
        <f t="shared" si="191"/>
        <v>10.714117425313354</v>
      </c>
      <c r="S285" s="349">
        <f t="shared" si="191"/>
        <v>10.420546828046403</v>
      </c>
      <c r="T285" s="349">
        <f t="shared" si="191"/>
        <v>10.598851156047786</v>
      </c>
      <c r="U285" s="349">
        <f t="shared" si="191"/>
        <v>11.281669378536781</v>
      </c>
      <c r="V285" s="349">
        <f>V226/AVERAGE(U132,V132)/3*1000</f>
        <v>11.498590978671809</v>
      </c>
      <c r="W285" s="350"/>
      <c r="X285" s="349">
        <f>X226/AVERAGE(W132,X132)/3*1000</f>
        <v>11.308479672529211</v>
      </c>
      <c r="Y285" s="349">
        <f>Y226/AVERAGE(X132,Y132)/3*1000</f>
        <v>11.095967772092202</v>
      </c>
      <c r="Z285" s="349">
        <f>Z226/AVERAGE(Y132,Z132)/3*1000</f>
        <v>12.231713461245764</v>
      </c>
      <c r="AA285" s="349">
        <f>AA226/AVERAGE(Z132,AA132)/3*1000</f>
        <v>12.320076641777669</v>
      </c>
      <c r="AB285" s="350"/>
      <c r="AC285" s="349">
        <f>AC226/AVERAGE(AB132,AC132)/3*1000</f>
        <v>12.526917969149045</v>
      </c>
      <c r="AD285" s="349">
        <f>AD226/AVERAGE(AC132,AD132)/3*1000</f>
        <v>12.865593427907321</v>
      </c>
      <c r="AE285" s="349">
        <f>AE226/AVERAGE(AD132,AE132)/3*1000</f>
        <v>13.577872794206643</v>
      </c>
      <c r="AF285" s="349">
        <f>AF226/AVERAGE(AE132,AF132)/3*1000</f>
        <v>11.98853697434296</v>
      </c>
      <c r="AG285" s="350">
        <f>SA!I63</f>
        <v>12.7882294717063</v>
      </c>
      <c r="AH285" s="349">
        <f>AH226/AVERAGE(AG132,AH132)/3*1000</f>
        <v>11.132553606237819</v>
      </c>
      <c r="AI285" s="349">
        <f>AI226/AVERAGE(AH132,AI132)/3*1000</f>
        <v>10.725322844296432</v>
      </c>
      <c r="AJ285" s="349">
        <f>AJ226/AVERAGE(AI132,AJ132)/3*1000</f>
        <v>11.188637158119066</v>
      </c>
      <c r="AK285" s="349">
        <f>AK226/AVERAGE(AJ132,AK132)/3*1000</f>
        <v>11.921250671933587</v>
      </c>
      <c r="AL285" s="350">
        <f>SA!J63</f>
        <v>11.284027799622622</v>
      </c>
      <c r="AM285" s="349">
        <f>AM226/AVERAGE(AL132,AM132)/3*1000</f>
        <v>11.322514712409143</v>
      </c>
      <c r="AN285" s="349">
        <f>AN226/AVERAGE(AM132,AN132)/3*1000</f>
        <v>11.487319538295154</v>
      </c>
      <c r="AO285" s="349">
        <f>AO226/AVERAGE(AN132,AO132)/3*1000</f>
        <v>11.921418167035098</v>
      </c>
      <c r="AP285" s="349"/>
      <c r="AQ285" s="350"/>
      <c r="AR285" s="349"/>
      <c r="AS285" s="349"/>
      <c r="AT285" s="349"/>
      <c r="AU285" s="349"/>
      <c r="AV285" s="349"/>
      <c r="AW285" s="349"/>
      <c r="AX285" s="349"/>
      <c r="AY285" s="349"/>
      <c r="AZ285" s="349"/>
      <c r="BA285" s="349"/>
      <c r="BB285" s="349"/>
      <c r="BC285" s="349"/>
      <c r="BD285" s="349"/>
      <c r="BE285" s="349"/>
      <c r="BF285" s="349"/>
      <c r="BG285" s="349"/>
      <c r="BH285" s="349"/>
      <c r="BI285" s="349"/>
      <c r="BJ285" s="349"/>
      <c r="BK285" s="349"/>
      <c r="BL285" s="349"/>
      <c r="BM285" s="349"/>
      <c r="BN285" s="349"/>
      <c r="BO285" s="349"/>
      <c r="BP285" s="349"/>
      <c r="BQ285" s="349"/>
      <c r="BR285" s="349"/>
      <c r="BS285" s="349"/>
      <c r="BT285" s="349"/>
      <c r="BU285" s="349"/>
      <c r="BV285" s="20">
        <f>S285/O285-1</f>
        <v>-3.6883855776265961E-2</v>
      </c>
      <c r="BW285" s="20">
        <f>T285/P285-1</f>
        <v>-2.7430076279728155E-2</v>
      </c>
      <c r="BX285" s="20">
        <f>U285/Q285-1</f>
        <v>2.1763605732408875E-2</v>
      </c>
      <c r="BY285" s="20">
        <f>V285/R285-1</f>
        <v>7.3218681690480958E-2</v>
      </c>
      <c r="BZ285" s="20">
        <f>X285/S285-1</f>
        <v>8.5209812799168949E-2</v>
      </c>
      <c r="CA285" s="20">
        <f>Y285/T285-1</f>
        <v>4.6902877370889051E-2</v>
      </c>
      <c r="CB285" s="20">
        <f>Z285/U285-1</f>
        <v>8.421130338356031E-2</v>
      </c>
      <c r="CC285" s="20">
        <f>AA285/V285-1</f>
        <v>7.1442289288278449E-2</v>
      </c>
      <c r="CD285" s="20">
        <f t="shared" si="186"/>
        <v>0.10774554422020932</v>
      </c>
      <c r="CE285" s="20">
        <f t="shared" si="186"/>
        <v>0.1594836693979913</v>
      </c>
      <c r="CF285" s="20">
        <f t="shared" si="186"/>
        <v>0.11005484531876664</v>
      </c>
      <c r="CG285" s="20">
        <f t="shared" si="186"/>
        <v>-2.6910519883492467E-2</v>
      </c>
      <c r="CH285" s="20">
        <f t="shared" si="187"/>
        <v>-0.1113094510832775</v>
      </c>
      <c r="CI285" s="20">
        <f t="shared" si="189"/>
        <v>-0.16635614949313837</v>
      </c>
      <c r="CJ285" s="20">
        <f t="shared" si="189"/>
        <v>-0.17596538664782657</v>
      </c>
      <c r="CK285" s="20">
        <f t="shared" si="189"/>
        <v>-5.6125532709599968E-3</v>
      </c>
      <c r="CL285" s="20">
        <f t="shared" si="190"/>
        <v>1.7063569859199657E-2</v>
      </c>
      <c r="CM285" s="20">
        <f t="shared" si="190"/>
        <v>7.1046504152920686E-2</v>
      </c>
      <c r="CN285" s="20">
        <f t="shared" si="190"/>
        <v>6.5493321354539225E-2</v>
      </c>
      <c r="CO285" s="20">
        <f t="shared" si="190"/>
        <v>-1</v>
      </c>
      <c r="CP285" s="16"/>
      <c r="CQ285" s="16"/>
      <c r="CR285" s="16"/>
      <c r="CS285" s="16"/>
      <c r="CT285" s="16"/>
      <c r="CU285" s="16"/>
      <c r="CV285" s="16"/>
      <c r="CW285" s="16"/>
      <c r="CX285" s="16"/>
      <c r="CY285" s="16"/>
      <c r="CZ285" s="16"/>
      <c r="DA285" s="16"/>
    </row>
    <row r="286" spans="4:106">
      <c r="D286" s="4" t="str">
        <f>D227</f>
        <v>SA inc Colombia</v>
      </c>
      <c r="E286" s="4"/>
      <c r="F286" s="4"/>
      <c r="G286" s="4"/>
      <c r="H286" s="35"/>
      <c r="I286" s="35"/>
      <c r="J286" s="35"/>
      <c r="K286" s="35"/>
      <c r="L286" s="35"/>
      <c r="M286" s="35"/>
      <c r="N286" s="35"/>
      <c r="O286" s="35"/>
      <c r="P286" s="35"/>
      <c r="Q286" s="35"/>
      <c r="R286" s="35"/>
      <c r="S286" s="35"/>
      <c r="T286" s="35"/>
      <c r="U286" s="35"/>
      <c r="V286" s="35">
        <f>V227/AVERAGE(SUM(U128:U130),V131)/3*1000</f>
        <v>13.204195030606437</v>
      </c>
      <c r="W286" s="90"/>
      <c r="X286" s="35">
        <f>X227/AVERAGE(W131,X131)/3*1000</f>
        <v>12.611369012548995</v>
      </c>
      <c r="Y286" s="35">
        <f>Y227/AVERAGE(X131,Y131)/3*1000</f>
        <v>13.398481194011003</v>
      </c>
      <c r="Z286" s="35">
        <f>Z227/AVERAGE(Y131,Z131)/3*1000</f>
        <v>14.089675902021733</v>
      </c>
      <c r="AA286" s="35">
        <f>AA227/AVERAGE(Z131,AA131)/3*1000</f>
        <v>14.247306690453062</v>
      </c>
      <c r="AB286" s="90"/>
      <c r="AC286" s="35">
        <f>AC227/AVERAGE(AB131,AC131)/3*1000</f>
        <v>12.497356210208267</v>
      </c>
      <c r="AD286" s="35">
        <f>AD227/AVERAGE(AC131,AD131)/3*1000</f>
        <v>12.665516719651905</v>
      </c>
      <c r="AE286" s="35">
        <f>AE227/AVERAGE(AD131,AE131)/3*1000</f>
        <v>12.923924314843129</v>
      </c>
      <c r="AF286" s="35">
        <f>AF227/AVERAGE(AE131,AF131)/3*1000</f>
        <v>11.829315085613871</v>
      </c>
      <c r="AG286" s="90"/>
      <c r="AH286" s="35">
        <f>AH227/AVERAGE(AG131,AH131)/3*1000</f>
        <v>10.387602000526455</v>
      </c>
      <c r="AI286" s="35">
        <f>AI227/AVERAGE(AH131,AI131)/3*1000</f>
        <v>10.518496007023586</v>
      </c>
      <c r="AJ286" s="35">
        <f>AJ227/AVERAGE(AI131,AJ131)/3*1000</f>
        <v>11.210012832024795</v>
      </c>
      <c r="AK286" s="35">
        <f>AK227/AVERAGE(AJ131,AK131)/3*1000</f>
        <v>12.10364621568357</v>
      </c>
      <c r="AL286" s="90"/>
      <c r="AM286" s="35">
        <f>AM227/AVERAGE(AL131,AM131)/3*1000</f>
        <v>11.669357008340061</v>
      </c>
      <c r="AN286" s="35">
        <f>AN227/AVERAGE(AM131,AN131)/3*1000</f>
        <v>11.796348706628677</v>
      </c>
      <c r="AO286" s="35">
        <f>AO227/AVERAGE(AN131,AO131)/3*1000</f>
        <v>12.530090624200783</v>
      </c>
      <c r="AP286" s="35"/>
      <c r="AQ286" s="90"/>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16"/>
      <c r="BW286" s="16"/>
      <c r="BX286" s="16"/>
      <c r="BY286" s="16"/>
      <c r="BZ286" s="16"/>
      <c r="CA286" s="16"/>
      <c r="CB286" s="16"/>
      <c r="CC286" s="16">
        <f>AA286/V286-1</f>
        <v>7.8998504447167051E-2</v>
      </c>
      <c r="CD286" s="16">
        <f t="shared" si="186"/>
        <v>-9.0404778598801583E-3</v>
      </c>
      <c r="CE286" s="16">
        <f t="shared" si="186"/>
        <v>-5.470504184360292E-2</v>
      </c>
      <c r="CF286" s="16">
        <f t="shared" si="186"/>
        <v>-8.2737998750654795E-2</v>
      </c>
      <c r="CG286" s="16">
        <f t="shared" si="186"/>
        <v>-0.16971569836841205</v>
      </c>
      <c r="CH286" s="16">
        <f t="shared" si="187"/>
        <v>-0.16881604190480648</v>
      </c>
      <c r="CI286" s="16">
        <f t="shared" si="189"/>
        <v>-0.16951702485986897</v>
      </c>
      <c r="CJ286" s="16">
        <f t="shared" si="189"/>
        <v>-0.13261540698206553</v>
      </c>
      <c r="CK286" s="16">
        <f t="shared" si="189"/>
        <v>2.3190787301229809E-2</v>
      </c>
      <c r="CL286" s="16">
        <f t="shared" si="190"/>
        <v>0.1233927722441277</v>
      </c>
      <c r="CM286" s="16">
        <f t="shared" si="190"/>
        <v>0.12148625609134833</v>
      </c>
      <c r="CN286" s="16">
        <f t="shared" si="190"/>
        <v>0.11775881187261317</v>
      </c>
      <c r="CO286" s="16">
        <f t="shared" si="190"/>
        <v>-1</v>
      </c>
      <c r="CP286" s="16"/>
      <c r="CQ286" s="16"/>
      <c r="CR286" s="16"/>
      <c r="CS286" s="16"/>
      <c r="CT286" s="16"/>
      <c r="CU286" s="16"/>
      <c r="CV286" s="16"/>
      <c r="CW286" s="16"/>
      <c r="CX286" s="16"/>
      <c r="CY286" s="16"/>
      <c r="CZ286" s="16"/>
      <c r="DA286" s="16"/>
    </row>
    <row r="287" spans="4:106">
      <c r="D287" s="4" t="s">
        <v>1831</v>
      </c>
      <c r="H287" s="7">
        <f t="shared" ref="H287:V287" si="192">H239/AVERAGE(G142:H142)/3*1000</f>
        <v>13.821368131399508</v>
      </c>
      <c r="I287" s="7">
        <f t="shared" si="192"/>
        <v>14.447508488653087</v>
      </c>
      <c r="J287" s="7">
        <f t="shared" si="192"/>
        <v>15.203893242555816</v>
      </c>
      <c r="K287" s="7">
        <f t="shared" si="192"/>
        <v>14.841222535865972</v>
      </c>
      <c r="L287" s="7">
        <f t="shared" si="192"/>
        <v>14.441708728302348</v>
      </c>
      <c r="M287" s="7">
        <f t="shared" si="192"/>
        <v>13.940080563947634</v>
      </c>
      <c r="N287" s="7">
        <f t="shared" si="192"/>
        <v>14.008807024774789</v>
      </c>
      <c r="O287" s="7">
        <f t="shared" si="192"/>
        <v>13.235572152691814</v>
      </c>
      <c r="P287" s="7">
        <f t="shared" si="192"/>
        <v>11.760902657734594</v>
      </c>
      <c r="Q287" s="7">
        <f t="shared" si="192"/>
        <v>10.765175607594713</v>
      </c>
      <c r="R287" s="7">
        <f t="shared" si="192"/>
        <v>10.457155458140086</v>
      </c>
      <c r="S287" s="7">
        <f t="shared" si="192"/>
        <v>10.393214628765172</v>
      </c>
      <c r="T287" s="7">
        <f t="shared" si="192"/>
        <v>9.7727390318915255</v>
      </c>
      <c r="U287" s="7">
        <f t="shared" si="192"/>
        <v>9.0648579175450283</v>
      </c>
      <c r="V287" s="7">
        <f t="shared" si="192"/>
        <v>9.2760807266472387</v>
      </c>
      <c r="W287" s="128"/>
      <c r="X287" s="7">
        <f>X239/AVERAGE(W142:X142)/3*1000</f>
        <v>9.5668683958934917</v>
      </c>
      <c r="Y287" s="7">
        <f>Y239/AVERAGE(X142:Y142)/3*1000</f>
        <v>9.1391959439746042</v>
      </c>
      <c r="Z287" s="7">
        <f>Z239/AVERAGE(Y142:Z142)/3*1000</f>
        <v>9.4666661378287031</v>
      </c>
      <c r="AA287" s="7">
        <f>AA239/AVERAGE(Z142:AA142)/3*1000</f>
        <v>9.4263062552482442</v>
      </c>
      <c r="AB287" s="128"/>
      <c r="AC287" s="7">
        <f>AC239/AVERAGE(AB142:AC142)/3*1000</f>
        <v>8.9680068830278099</v>
      </c>
      <c r="AD287" s="7">
        <f>AD239/AVERAGE(AC142:AD142)/3*1000</f>
        <v>8.398925164066867</v>
      </c>
      <c r="AE287" s="7">
        <f>AE239/AVERAGE(AD142:AE142)/3*1000</f>
        <v>7.7199110583680186</v>
      </c>
      <c r="AF287" s="7">
        <f>AF239/AVERAGE(AE142:AF142)/3*1000</f>
        <v>6.9247651511307291</v>
      </c>
      <c r="AG287" s="128">
        <f>Africa!I86</f>
        <v>8.1069166160183919</v>
      </c>
      <c r="AH287" s="7">
        <f>AH239/AVERAGE(AG142:AH142)/3*1000</f>
        <v>6.0438977839041463</v>
      </c>
      <c r="AI287" s="7">
        <f>AI239/AVERAGE(AH142:AI142)/3*1000</f>
        <v>5.9935748093287886</v>
      </c>
      <c r="AJ287" s="7">
        <f>AJ239/AVERAGE(AI142:AJ142)/3*1000</f>
        <v>6.1578309336112236</v>
      </c>
      <c r="AK287" s="7">
        <f>AK239/AVERAGE(AJ142:AK142)/3*1000</f>
        <v>6.527569110566132</v>
      </c>
      <c r="AL287" s="128">
        <f>Africa!J86</f>
        <v>6.1508311295806584</v>
      </c>
      <c r="AM287" s="7">
        <f>AM239/AVERAGE(AL142:AM142)/3*1000</f>
        <v>5.9070933484490427</v>
      </c>
      <c r="AN287" s="7">
        <f>AN239/AVERAGE(AM142:AN142)/3*1000</f>
        <v>5.4219663448692996</v>
      </c>
      <c r="AO287" s="7">
        <f>AO239/AVERAGE(AN142:AO142)/3*1000</f>
        <v>5.3239158732017779</v>
      </c>
      <c r="AP287" s="7"/>
      <c r="AQ287" s="128"/>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16">
        <f>S287/O287-1</f>
        <v>-0.21475139050551517</v>
      </c>
      <c r="BW287" s="16">
        <f>T287/P287-1</f>
        <v>-0.1690485572155932</v>
      </c>
      <c r="BX287" s="16">
        <f>U287/Q287-1</f>
        <v>-0.15794611737221731</v>
      </c>
      <c r="BY287" s="16">
        <f>V287/R287-1</f>
        <v>-0.11294416882494296</v>
      </c>
      <c r="BZ287" s="16">
        <f>X287/S287-1</f>
        <v>-7.9508242866900058E-2</v>
      </c>
      <c r="CA287" s="16">
        <f>Y287/T287-1</f>
        <v>-6.4827586805446313E-2</v>
      </c>
      <c r="CB287" s="16">
        <f>Z287/U287-1</f>
        <v>4.4325925892999996E-2</v>
      </c>
      <c r="CC287" s="16">
        <f>AA287/V287-1</f>
        <v>1.6194935450427383E-2</v>
      </c>
      <c r="CD287" s="16">
        <f t="shared" si="186"/>
        <v>-6.2597444438844629E-2</v>
      </c>
      <c r="CE287" s="16">
        <f t="shared" si="186"/>
        <v>-8.0999552306982969E-2</v>
      </c>
      <c r="CF287" s="16">
        <f t="shared" si="186"/>
        <v>-0.18451639194084057</v>
      </c>
      <c r="CG287" s="16">
        <f t="shared" si="186"/>
        <v>-0.26537872167316257</v>
      </c>
      <c r="CH287" s="16">
        <f t="shared" si="187"/>
        <v>-0.32606008640087214</v>
      </c>
      <c r="CI287" s="16">
        <f t="shared" si="189"/>
        <v>-0.28638787794286968</v>
      </c>
      <c r="CJ287" s="16">
        <f t="shared" si="189"/>
        <v>-0.20234431626820026</v>
      </c>
      <c r="CK287" s="16">
        <f t="shared" si="189"/>
        <v>-5.7358774181639927E-2</v>
      </c>
      <c r="CL287" s="16">
        <f t="shared" si="190"/>
        <v>-2.2635133873282198E-2</v>
      </c>
      <c r="CM287" s="16">
        <f t="shared" si="190"/>
        <v>-9.5370206036270777E-2</v>
      </c>
      <c r="CN287" s="16">
        <f t="shared" si="190"/>
        <v>-0.13542350697835759</v>
      </c>
      <c r="CO287" s="16">
        <f t="shared" si="190"/>
        <v>-1</v>
      </c>
      <c r="CP287" s="16"/>
      <c r="CQ287" s="16"/>
      <c r="CR287" s="16"/>
      <c r="CS287" s="16"/>
      <c r="CT287" s="16"/>
      <c r="CU287" s="16"/>
      <c r="CV287" s="16"/>
      <c r="CW287" s="16"/>
      <c r="CX287" s="16"/>
      <c r="CY287" s="16"/>
      <c r="CZ287" s="16"/>
      <c r="DA287" s="16"/>
    </row>
    <row r="288" spans="4:106">
      <c r="D288" s="4" t="s">
        <v>1540</v>
      </c>
      <c r="G288" s="11"/>
      <c r="H288" s="11"/>
      <c r="I288" s="11"/>
      <c r="J288" s="14"/>
      <c r="K288" s="14"/>
      <c r="L288" s="14"/>
      <c r="M288" s="14"/>
      <c r="N288" s="14"/>
      <c r="O288" s="14"/>
      <c r="P288" s="14"/>
      <c r="Q288" s="14"/>
      <c r="R288" s="14"/>
      <c r="S288" s="14"/>
      <c r="T288" s="14"/>
      <c r="U288" s="14"/>
      <c r="V288" s="14"/>
      <c r="W288" s="183"/>
      <c r="X288" s="14"/>
      <c r="Y288" s="14"/>
      <c r="Z288" s="14"/>
      <c r="AA288" s="14"/>
      <c r="AB288" s="183"/>
      <c r="AC288" s="14"/>
      <c r="AD288" s="14"/>
      <c r="AE288" s="14"/>
      <c r="AF288" s="14"/>
      <c r="AG288" s="183"/>
      <c r="AH288" s="14"/>
      <c r="AI288" s="14"/>
      <c r="AJ288" s="14"/>
      <c r="AK288" s="14"/>
      <c r="AL288" s="183"/>
      <c r="AM288" s="14"/>
      <c r="AN288" s="14"/>
      <c r="AO288" s="14"/>
      <c r="AP288" s="14"/>
      <c r="AQ288" s="183"/>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20"/>
      <c r="BW288" s="20"/>
      <c r="BX288" s="20"/>
      <c r="BY288" s="20"/>
      <c r="BZ288" s="20"/>
      <c r="CA288" s="20"/>
      <c r="CB288" s="20"/>
      <c r="CC288" s="20"/>
      <c r="CD288" s="20"/>
      <c r="CE288" s="20"/>
      <c r="CF288" s="20"/>
      <c r="CG288" s="20"/>
      <c r="CH288" s="20"/>
      <c r="CI288" s="20"/>
      <c r="CJ288" s="20"/>
      <c r="CK288" s="20"/>
      <c r="CL288" s="20"/>
      <c r="CM288" s="20"/>
      <c r="CN288" s="20"/>
      <c r="CO288" s="20"/>
      <c r="CP288" s="16"/>
      <c r="CQ288" s="16"/>
      <c r="CR288" s="16"/>
      <c r="CS288" s="16"/>
      <c r="CT288" s="16"/>
      <c r="CU288" s="16"/>
      <c r="CV288" s="16"/>
      <c r="CW288" s="16"/>
      <c r="CX288" s="16"/>
      <c r="CY288" s="16"/>
      <c r="CZ288" s="16"/>
      <c r="DA288" s="16"/>
    </row>
    <row r="289" spans="4:108">
      <c r="D289" s="2" t="s">
        <v>1430</v>
      </c>
      <c r="E289" s="2"/>
      <c r="F289" s="2"/>
      <c r="G289" s="2"/>
      <c r="H289" s="15">
        <f t="shared" ref="H289:V289" si="193">H242/AVERAGE(G143:H143)/3*1000</f>
        <v>16.392899031241679</v>
      </c>
      <c r="I289" s="15">
        <f t="shared" si="193"/>
        <v>15.957097907981156</v>
      </c>
      <c r="J289" s="15">
        <f t="shared" si="193"/>
        <v>18.060970841940271</v>
      </c>
      <c r="K289" s="15">
        <f t="shared" si="193"/>
        <v>18.617043039817119</v>
      </c>
      <c r="L289" s="15">
        <f t="shared" si="193"/>
        <v>18.155225586339611</v>
      </c>
      <c r="M289" s="15">
        <f t="shared" si="193"/>
        <v>18.532687480111726</v>
      </c>
      <c r="N289" s="15">
        <f t="shared" si="193"/>
        <v>18.474007099612457</v>
      </c>
      <c r="O289" s="15">
        <f t="shared" si="193"/>
        <v>17.563210813822991</v>
      </c>
      <c r="P289" s="15">
        <f t="shared" si="193"/>
        <v>15.573081304675013</v>
      </c>
      <c r="Q289" s="15">
        <f t="shared" si="193"/>
        <v>14.056762939924754</v>
      </c>
      <c r="R289" s="15">
        <f t="shared" si="193"/>
        <v>13.942338967613018</v>
      </c>
      <c r="S289" s="15">
        <f t="shared" si="193"/>
        <v>13.422244806405136</v>
      </c>
      <c r="T289" s="15">
        <f t="shared" si="193"/>
        <v>13.208839009341638</v>
      </c>
      <c r="U289" s="15">
        <f t="shared" si="193"/>
        <v>12.762059608583732</v>
      </c>
      <c r="V289" s="15">
        <f t="shared" si="193"/>
        <v>13.831426446049038</v>
      </c>
      <c r="W289" s="185"/>
      <c r="X289" s="15">
        <f>X242/AVERAGE(W143:X143)/3*1000</f>
        <v>11.940177081826757</v>
      </c>
      <c r="Y289" s="15">
        <f>Y242/AVERAGE(X143:Y143)/3*1000</f>
        <v>11.858179575742506</v>
      </c>
      <c r="Z289" s="15">
        <f>Z242/AVERAGE(Y143:Z143)/3*1000</f>
        <v>12.066098261918011</v>
      </c>
      <c r="AA289" s="15">
        <f>AA242/AVERAGE(Z143:AA143)/3*1000</f>
        <v>11.830482167888055</v>
      </c>
      <c r="AB289" s="185">
        <f>AB242/AVERAGE(W143,AB143)/12*1000</f>
        <v>11.491958985643082</v>
      </c>
      <c r="AC289" s="15">
        <f>AC242/AVERAGE(AB143,AC143)/3*1000</f>
        <v>10.763196435637356</v>
      </c>
      <c r="AD289" s="15">
        <f>AD242/AVERAGE(AC143,AD143)/3*1000</f>
        <v>10.252739389486837</v>
      </c>
      <c r="AE289" s="15">
        <f>AE242/AVERAGE(AD143,AE143)/3*1000</f>
        <v>9.7889266433048725</v>
      </c>
      <c r="AF289" s="15">
        <f>AF242/AVERAGE(AE143,AF143)/3*1000</f>
        <v>8.9516819396091432</v>
      </c>
      <c r="AG289" s="185">
        <f>AG242/AVERAGE(AB143,AG143)/12*1000</f>
        <v>11.116358764779127</v>
      </c>
      <c r="AH289" s="15">
        <f>AH242/AVERAGE(AG143,AH143)/3*1000</f>
        <v>9.7490839471947304</v>
      </c>
      <c r="AI289" s="15">
        <f>AI242/AVERAGE(AH143,AI143)/3*1000</f>
        <v>9.6645979307310359</v>
      </c>
      <c r="AJ289" s="15">
        <f>AJ242/AVERAGE(AI143,AJ143)/3*1000</f>
        <v>9.6265362607636149</v>
      </c>
      <c r="AK289" s="15">
        <f>AK242/AVERAGE(AJ143,AK143)/3*1000</f>
        <v>9.8875296693754642</v>
      </c>
      <c r="AL289" s="185">
        <f>AL242/AVERAGE(AG143,AL143)/12*1000</f>
        <v>9.6870750999431863</v>
      </c>
      <c r="AM289" s="15">
        <f>AM242/AVERAGE(AL143,AM143)/3*1000</f>
        <v>9.27287159632575</v>
      </c>
      <c r="AN289" s="15">
        <f>AN242/AVERAGE(AM143,AN143)/3*1000</f>
        <v>9.0783800044000174</v>
      </c>
      <c r="AO289" s="15">
        <f>AO242/AVERAGE(AN143,AO143)/3*1000</f>
        <v>9.1474598484069585</v>
      </c>
      <c r="AP289" s="15"/>
      <c r="AQ289" s="18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9">
        <f>S289/O289-1</f>
        <v>-0.23577499873535313</v>
      </c>
      <c r="BW289" s="19">
        <f>T289/P289-1</f>
        <v>-0.15181596044346302</v>
      </c>
      <c r="BX289" s="19">
        <f>U289/Q289-1</f>
        <v>-9.2105368559907808E-2</v>
      </c>
      <c r="BY289" s="19">
        <f>V289/R289-1</f>
        <v>-7.9550871501274933E-3</v>
      </c>
      <c r="BZ289" s="19">
        <f>X289/S289-1</f>
        <v>-0.11041876719988974</v>
      </c>
      <c r="CA289" s="19">
        <f>Y289/T289-1</f>
        <v>-0.10225421270135171</v>
      </c>
      <c r="CB289" s="19">
        <f>Z289/U289-1</f>
        <v>-5.4533622942617987E-2</v>
      </c>
      <c r="CC289" s="19">
        <f>AA289/V289-1</f>
        <v>-0.14466651620972582</v>
      </c>
      <c r="CD289" s="19">
        <f>AC289/X289-1</f>
        <v>-9.8573131547671444E-2</v>
      </c>
      <c r="CE289" s="19">
        <f>AD289/Y289-1</f>
        <v>-0.13538673250823519</v>
      </c>
      <c r="CF289" s="19">
        <f>AE289/Z289-1</f>
        <v>-0.18872476994490861</v>
      </c>
      <c r="CG289" s="19">
        <f>AF289/AA289-1</f>
        <v>-0.24333752313941637</v>
      </c>
      <c r="CH289" s="19">
        <f>AH289/AC289-1</f>
        <v>-9.422038281163958E-2</v>
      </c>
      <c r="CI289" s="19">
        <f>AI289/AD289-1</f>
        <v>-5.7364323466456368E-2</v>
      </c>
      <c r="CJ289" s="19">
        <f>AJ289/AE289-1</f>
        <v>-1.6589191895959754E-2</v>
      </c>
      <c r="CK289" s="19">
        <f>AK289/AF289-1</f>
        <v>0.10454434552968306</v>
      </c>
      <c r="CL289" s="19">
        <f>AM289/AH289-1</f>
        <v>-4.8846881763286998E-2</v>
      </c>
      <c r="CM289" s="19">
        <f>AN289/AI289-1</f>
        <v>-6.0656214622958116E-2</v>
      </c>
      <c r="CN289" s="19">
        <f>AO289/AJ289-1</f>
        <v>-4.9766229449454524E-2</v>
      </c>
      <c r="CO289" s="19">
        <f>AP289/AK289-1</f>
        <v>-1</v>
      </c>
      <c r="CP289" s="19"/>
      <c r="CQ289" s="19"/>
      <c r="CR289" s="19"/>
      <c r="CS289" s="19"/>
      <c r="CT289" s="19"/>
      <c r="CU289" s="19"/>
      <c r="CV289" s="19"/>
      <c r="CW289" s="19"/>
      <c r="CX289" s="19"/>
      <c r="CY289" s="19"/>
      <c r="CZ289" s="19"/>
      <c r="DA289" s="19"/>
    </row>
    <row r="290" spans="4:108">
      <c r="D290" s="4" t="s">
        <v>2358</v>
      </c>
      <c r="G290" s="7"/>
      <c r="H290" s="7"/>
      <c r="I290" s="7">
        <f t="shared" ref="I290:V290" si="194">I217/AVERAGE(H126:I126)/3*1000</f>
        <v>18.769142340402329</v>
      </c>
      <c r="J290" s="7">
        <f t="shared" si="194"/>
        <v>23.817038901964345</v>
      </c>
      <c r="K290" s="7">
        <f t="shared" si="194"/>
        <v>23.446814702977186</v>
      </c>
      <c r="L290" s="7">
        <f t="shared" si="194"/>
        <v>23.274941023272962</v>
      </c>
      <c r="M290" s="7">
        <f t="shared" si="194"/>
        <v>24.805102198075097</v>
      </c>
      <c r="N290" s="7">
        <f t="shared" si="194"/>
        <v>26.647520497926511</v>
      </c>
      <c r="O290" s="7">
        <f t="shared" si="194"/>
        <v>24.625111707272374</v>
      </c>
      <c r="P290" s="7">
        <f t="shared" si="194"/>
        <v>25.778474319667083</v>
      </c>
      <c r="Q290" s="7">
        <f t="shared" si="194"/>
        <v>26.458739136372827</v>
      </c>
      <c r="R290" s="7">
        <f t="shared" si="194"/>
        <v>26.376437083992048</v>
      </c>
      <c r="S290" s="7">
        <f t="shared" si="194"/>
        <v>25.061417875222379</v>
      </c>
      <c r="T290" s="7">
        <f t="shared" si="194"/>
        <v>25.2120969549816</v>
      </c>
      <c r="U290" s="7">
        <f t="shared" si="194"/>
        <v>24.877119534495812</v>
      </c>
      <c r="V290" s="7">
        <f t="shared" si="194"/>
        <v>25.214863682159045</v>
      </c>
      <c r="W290" s="107"/>
      <c r="X290" s="7">
        <f>X217/AVERAGE(W126:X126)/3*1000</f>
        <v>21.251612849884943</v>
      </c>
      <c r="Y290" s="7">
        <f>Y217/AVERAGE(X126:Y126)/3*1000</f>
        <v>20.233984637504381</v>
      </c>
      <c r="Z290" s="7">
        <f>Z217/AVERAGE(Y126:Z126)/3*1000</f>
        <v>20.114809857490663</v>
      </c>
      <c r="AA290" s="7">
        <f>AA217/AVERAGE(Z126:AA126)/3*1000</f>
        <v>19.236297131080953</v>
      </c>
      <c r="AB290" s="107"/>
      <c r="AC290" s="7">
        <f>AC217/AVERAGE(AB126:AC126)/3*1000</f>
        <v>17.364712850570733</v>
      </c>
      <c r="AD290" s="7">
        <f>AD217/AVERAGE(AC126:AD126)/3*1000</f>
        <v>16.285863196237845</v>
      </c>
      <c r="AE290" s="7">
        <f>AE217/AVERAGE(AD126:AE126)/3*1000</f>
        <v>15.418415518114957</v>
      </c>
      <c r="AF290" s="7">
        <f>AF217/AVERAGE(AE126:AF126)/3*1000</f>
        <v>15.430806362954101</v>
      </c>
      <c r="AG290" s="107"/>
      <c r="AH290" s="7">
        <f>AH217/AVERAGE(AG126:AH126)/3*1000</f>
        <v>16.005525406719904</v>
      </c>
      <c r="AI290" s="7">
        <f>AI217/AVERAGE(AH126:AI126)/3*1000</f>
        <v>15.622433021835969</v>
      </c>
      <c r="AJ290" s="7">
        <f>AJ217/AVERAGE(AI126:AJ126)/3*1000</f>
        <v>14.746508902134263</v>
      </c>
      <c r="AK290" s="7">
        <f>AK217/AVERAGE(AJ126:AK126)/3*1000</f>
        <v>14.564117176123025</v>
      </c>
      <c r="AL290" s="107"/>
      <c r="AM290" s="7">
        <f>AM217/AVERAGE(AL126:AM126)/3*1000</f>
        <v>13.751416019506363</v>
      </c>
      <c r="AN290" s="7">
        <f>AN217/AVERAGE(AM126:AN126)/3*1000</f>
        <v>13.868322338694693</v>
      </c>
      <c r="AO290" s="7">
        <f>AO217/AVERAGE(AN126:AO126)/3*1000</f>
        <v>13.835882934586499</v>
      </c>
      <c r="AP290" s="7"/>
      <c r="AQ290" s="10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row>
    <row r="291" spans="4:108">
      <c r="D291" s="4" t="s">
        <v>2276</v>
      </c>
      <c r="G291" s="7"/>
      <c r="H291" s="7"/>
      <c r="I291" s="7"/>
      <c r="J291" s="7"/>
      <c r="K291" s="7"/>
      <c r="L291" s="7"/>
      <c r="M291" s="7"/>
      <c r="N291" s="7"/>
      <c r="O291" s="7"/>
      <c r="P291" s="7"/>
      <c r="Q291" s="7"/>
      <c r="R291" s="7"/>
      <c r="S291" s="35">
        <f>S242/AVERAGE(R144:S144)/3*1000</f>
        <v>14.216311761152083</v>
      </c>
      <c r="T291" s="35">
        <f>T242/AVERAGE(S144:T144)/3*1000</f>
        <v>14.850071515682973</v>
      </c>
      <c r="U291" s="35">
        <f>U242/AVERAGE(T144:U144)/3*1000</f>
        <v>14.361338459137702</v>
      </c>
      <c r="V291" s="35">
        <f>V242/AVERAGE(U144:V144)/3*1000</f>
        <v>15.472006714932457</v>
      </c>
      <c r="W291" s="107"/>
      <c r="X291" s="35">
        <f>X242/AVERAGE(W144:X144)/3*1000</f>
        <v>12.69276924889942</v>
      </c>
      <c r="Y291" s="35">
        <f>Y242/AVERAGE(X144:Y144)/3*1000</f>
        <v>13.288241239454399</v>
      </c>
      <c r="Z291" s="35">
        <f>Z242/AVERAGE(Y144:Z144)/3*1000</f>
        <v>13.553825856533615</v>
      </c>
      <c r="AA291" s="35">
        <f>AA242/AVERAGE(Z144:AA144)/3*1000</f>
        <v>13.31217895789282</v>
      </c>
      <c r="AB291" s="107"/>
      <c r="AC291" s="35">
        <f>AC242/AVERAGE(AB144:AC144)/3*1000</f>
        <v>12.125810076664322</v>
      </c>
      <c r="AD291" s="35">
        <f>AD242/AVERAGE(AC144:AD144)/3*1000</f>
        <v>11.532459606246508</v>
      </c>
      <c r="AE291" s="35">
        <f>AE242/AVERAGE(AD144:AE144)/3*1000</f>
        <v>10.985551275506912</v>
      </c>
      <c r="AF291" s="35">
        <f>AF242/AVERAGE(AE144:AF144)/3*1000</f>
        <v>10.022328258549742</v>
      </c>
      <c r="AG291" s="107"/>
      <c r="AH291" s="35">
        <f>AH242/AVERAGE(AG144:AH144)/3*1000</f>
        <v>11.102881148376605</v>
      </c>
      <c r="AI291" s="35">
        <f>AI242/AVERAGE(AH144:AI144)/3*1000</f>
        <v>10.994047437612064</v>
      </c>
      <c r="AJ291" s="35">
        <f>AJ242/AVERAGE(AI144:AJ144)/3*1000</f>
        <v>10.942276906084537</v>
      </c>
      <c r="AK291" s="35">
        <f>AK242/AVERAGE(AJ144:AK144)/3*1000</f>
        <v>11.222809904649633</v>
      </c>
      <c r="AL291" s="107"/>
      <c r="AM291" s="35">
        <f>AM242/AVERAGE(AL144:AM144)/3*1000</f>
        <v>10.510513336363804</v>
      </c>
      <c r="AN291" s="35">
        <f>AN242/AVERAGE(AM144:AN144)/3*1000</f>
        <v>10.268690412848208</v>
      </c>
      <c r="AO291" s="35">
        <f>AO242/AVERAGE(AN144:AO144)/3*1000</f>
        <v>10.312437043720928</v>
      </c>
      <c r="AP291" s="35"/>
      <c r="AQ291" s="107"/>
      <c r="AR291" s="35"/>
      <c r="AS291" s="510"/>
      <c r="AT291" s="510"/>
      <c r="AU291" s="510"/>
      <c r="AV291" s="35"/>
      <c r="AW291" s="510"/>
      <c r="AX291" s="510"/>
      <c r="AY291" s="510"/>
      <c r="AZ291" s="510"/>
      <c r="BA291" s="35"/>
      <c r="BB291" s="510"/>
      <c r="BC291" s="510"/>
      <c r="BD291" s="510"/>
      <c r="BE291" s="510"/>
      <c r="BF291" s="35"/>
      <c r="BG291" s="35"/>
      <c r="BH291" s="35"/>
      <c r="BI291" s="35"/>
      <c r="BJ291" s="35"/>
      <c r="BK291" s="35"/>
      <c r="BL291" s="35"/>
      <c r="BM291" s="35"/>
      <c r="BN291" s="35"/>
      <c r="BO291" s="35"/>
      <c r="BP291" s="35"/>
      <c r="BQ291" s="35"/>
      <c r="BR291" s="35"/>
      <c r="BS291" s="35"/>
      <c r="BT291" s="35"/>
      <c r="BU291" s="35"/>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row>
    <row r="292" spans="4:108">
      <c r="D292" s="32" t="s">
        <v>2306</v>
      </c>
      <c r="G292" s="7"/>
      <c r="H292" s="7"/>
      <c r="I292" s="7"/>
      <c r="J292" s="7"/>
      <c r="K292" s="7"/>
      <c r="L292" s="7"/>
      <c r="M292" s="7"/>
      <c r="N292" s="7"/>
      <c r="O292" s="7"/>
      <c r="P292" s="7"/>
      <c r="Q292" s="7"/>
      <c r="R292" s="7"/>
      <c r="S292" s="35">
        <f>S289</f>
        <v>13.422244806405136</v>
      </c>
      <c r="T292" s="35">
        <f>(T242-T222)/AVERAGE(S145,T145)/3*1000</f>
        <v>13.208839009341638</v>
      </c>
      <c r="U292" s="35">
        <f>(U242-U222)/AVERAGE(T145,U145)/3*1000</f>
        <v>12.762059608583732</v>
      </c>
      <c r="V292" s="35">
        <f>(V242-V222)/AVERAGE(U145,V145)/3*1000</f>
        <v>12.549585885449597</v>
      </c>
      <c r="W292" s="107"/>
      <c r="X292" s="35">
        <f>(X242-X222)/AVERAGE(V145,X145)/3*1000</f>
        <v>11.597035118333496</v>
      </c>
      <c r="Y292" s="35">
        <f>(Y242-Y222)/AVERAGE(X145,Y145)/3*1000</f>
        <v>11.252542515066368</v>
      </c>
      <c r="Z292" s="35">
        <f>(Z242-Z222)/AVERAGE(Y145,Z145)/3*1000</f>
        <v>11.472234032176361</v>
      </c>
      <c r="AA292" s="35">
        <f>(AA242-AA222)/AVERAGE(Z145,AA145)/3*1000</f>
        <v>11.195211839296208</v>
      </c>
      <c r="AB292" s="107"/>
      <c r="AC292" s="35">
        <f>(AC242-AC222)/AVERAGE(AB145,AC145)/3*1000</f>
        <v>10.535766981912568</v>
      </c>
      <c r="AD292" s="35">
        <f>(AD242-AD222)/AVERAGE(AC145,AD145)/3*1000</f>
        <v>9.9661876349909448</v>
      </c>
      <c r="AE292" s="35">
        <f>(AE242-AE222)/AVERAGE(AD145,AE145)/3*1000</f>
        <v>9.4927512780111716</v>
      </c>
      <c r="AF292" s="35">
        <f>(AF242-AF222)/AVERAGE(AE145,AF145)/3*1000</f>
        <v>8.6362342307314517</v>
      </c>
      <c r="AG292" s="107"/>
      <c r="AH292" s="35">
        <f>(AH242-AH222)/AVERAGE(AG145,AH145)/3*1000</f>
        <v>9.5308182117251121</v>
      </c>
      <c r="AI292" s="35">
        <f>(AI242-AI222)/AVERAGE(AH145,AI145)/3*1000</f>
        <v>9.5908751034364652</v>
      </c>
      <c r="AJ292" s="35">
        <f>(AJ242-AJ222)/AVERAGE(AI145,AJ145)/3*1000</f>
        <v>9.4233225810309893</v>
      </c>
      <c r="AK292" s="35">
        <f>(AK242-AK222)/AVERAGE(AJ145,AK145)/3*1000</f>
        <v>9.5788560897076103</v>
      </c>
      <c r="AL292" s="107"/>
      <c r="AM292" s="35">
        <f>(AM242-AM222)/AVERAGE(AL145,AM145)/3*1000</f>
        <v>8.7513483637899174</v>
      </c>
      <c r="AN292" s="35">
        <f>(AN242-AN222)/AVERAGE(AM145,AN145)/3*1000</f>
        <v>8.6986602848850367</v>
      </c>
      <c r="AO292" s="35">
        <f>(AO242-AO222)/AVERAGE(AN145,AO145)/3*1000</f>
        <v>8.6345976245211009</v>
      </c>
      <c r="AP292" s="35"/>
      <c r="AQ292" s="107"/>
      <c r="AR292" s="35"/>
      <c r="AS292" s="510"/>
      <c r="AT292" s="510"/>
      <c r="AU292" s="510"/>
      <c r="AV292" s="35"/>
      <c r="AW292" s="510"/>
      <c r="AX292" s="510"/>
      <c r="AY292" s="510"/>
      <c r="AZ292" s="510"/>
      <c r="BA292" s="35"/>
      <c r="BB292" s="510"/>
      <c r="BC292" s="510"/>
      <c r="BD292" s="510"/>
      <c r="BE292" s="510"/>
      <c r="BF292" s="35"/>
      <c r="BG292" s="35"/>
      <c r="BH292" s="35"/>
      <c r="BI292" s="35"/>
      <c r="BJ292" s="35"/>
      <c r="BK292" s="35"/>
      <c r="BL292" s="35"/>
      <c r="BM292" s="35"/>
      <c r="BN292" s="35"/>
      <c r="BO292" s="35"/>
      <c r="BP292" s="35"/>
      <c r="BQ292" s="35"/>
      <c r="BR292" s="35"/>
      <c r="BS292" s="35"/>
      <c r="BT292" s="35"/>
      <c r="BU292" s="35"/>
      <c r="BV292" s="16"/>
      <c r="BW292" s="16"/>
      <c r="BX292" s="16"/>
      <c r="BY292" s="16"/>
      <c r="BZ292" s="92">
        <f>X292/S292-1</f>
        <v>-0.13598393669594255</v>
      </c>
      <c r="CA292" s="92">
        <f>Y292/T292-1</f>
        <v>-0.14810510544429567</v>
      </c>
      <c r="CB292" s="92">
        <f>Z292/U292-1</f>
        <v>-0.10106719573224976</v>
      </c>
      <c r="CC292" s="92">
        <f>AA292/V292-1</f>
        <v>-0.10792181180445914</v>
      </c>
      <c r="CD292" s="16">
        <f>AC292/X292-1</f>
        <v>-9.1512022305010765E-2</v>
      </c>
      <c r="CE292" s="16">
        <f>AD292/Y292-1</f>
        <v>-0.11431682025223044</v>
      </c>
      <c r="CF292" s="16">
        <f>AE292/Z292-1</f>
        <v>-0.172545534602354</v>
      </c>
      <c r="CG292" s="16">
        <f>AF292/AA292-1</f>
        <v>-0.22857786393844848</v>
      </c>
      <c r="CH292" s="16"/>
      <c r="CI292" s="16"/>
      <c r="CJ292" s="16"/>
      <c r="CK292" s="16"/>
      <c r="CL292" s="16"/>
      <c r="CM292" s="16"/>
      <c r="CN292" s="16"/>
      <c r="CO292" s="16"/>
      <c r="CP292" s="16"/>
      <c r="CQ292" s="16"/>
      <c r="CR292" s="16"/>
      <c r="CS292" s="16"/>
      <c r="CT292" s="16"/>
      <c r="CU292" s="16"/>
      <c r="CV292" s="16"/>
      <c r="CW292" s="16"/>
      <c r="CX292" s="16"/>
      <c r="CY292" s="16"/>
      <c r="CZ292" s="16"/>
      <c r="DA292" s="16"/>
    </row>
    <row r="293" spans="4:108">
      <c r="D293" s="32" t="s">
        <v>1665</v>
      </c>
      <c r="G293" s="7"/>
      <c r="H293" s="7"/>
      <c r="I293" s="7"/>
      <c r="J293" s="36"/>
      <c r="K293" s="36"/>
      <c r="L293" s="36"/>
      <c r="M293" s="36"/>
      <c r="N293" s="36"/>
      <c r="O293" s="36"/>
      <c r="P293" s="36"/>
      <c r="Q293" s="36"/>
      <c r="R293" s="36"/>
      <c r="S293" s="36"/>
      <c r="T293" s="36"/>
      <c r="U293" s="36"/>
      <c r="V293" s="36"/>
      <c r="W293" s="107"/>
      <c r="X293" s="36"/>
      <c r="Y293" s="36"/>
      <c r="Z293" s="36"/>
      <c r="AA293" s="36"/>
      <c r="AB293" s="107"/>
      <c r="AC293" s="36"/>
      <c r="AD293" s="35"/>
      <c r="AE293" s="35"/>
      <c r="AF293" s="35"/>
      <c r="AG293" s="107"/>
      <c r="AH293" s="35"/>
      <c r="AI293" s="35"/>
      <c r="AJ293" s="35"/>
      <c r="AK293" s="35"/>
      <c r="AL293" s="107"/>
      <c r="AM293" s="35"/>
      <c r="AN293" s="35"/>
      <c r="AO293" s="35"/>
      <c r="AP293" s="35"/>
      <c r="AQ293" s="107"/>
      <c r="AR293" s="35"/>
      <c r="AS293" s="510"/>
      <c r="AT293" s="510"/>
      <c r="AU293" s="510"/>
      <c r="AV293" s="35"/>
      <c r="AW293" s="510"/>
      <c r="AX293" s="510"/>
      <c r="AY293" s="510"/>
      <c r="AZ293" s="510"/>
      <c r="BA293" s="35"/>
      <c r="BB293" s="510"/>
      <c r="BC293" s="510"/>
      <c r="BD293" s="510"/>
      <c r="BE293" s="510"/>
      <c r="BF293" s="35"/>
      <c r="BG293" s="35"/>
      <c r="BH293" s="35"/>
      <c r="BI293" s="35"/>
      <c r="BJ293" s="35"/>
      <c r="BK293" s="35"/>
      <c r="BL293" s="35"/>
      <c r="BM293" s="35"/>
      <c r="BN293" s="35"/>
      <c r="BO293" s="35"/>
      <c r="BP293" s="35"/>
      <c r="BQ293" s="35"/>
      <c r="BR293" s="35"/>
      <c r="BS293" s="35"/>
      <c r="BT293" s="35"/>
      <c r="BU293" s="35"/>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row>
    <row r="294" spans="4:108">
      <c r="G294" t="s">
        <v>1823</v>
      </c>
      <c r="N294" s="2"/>
      <c r="W294" s="107"/>
      <c r="AB294" s="107"/>
      <c r="AG294" s="107"/>
      <c r="AL294" s="107"/>
      <c r="AQ294" s="107"/>
      <c r="BV294" s="8" t="s">
        <v>1544</v>
      </c>
      <c r="BW294" s="8" t="s">
        <v>1544</v>
      </c>
      <c r="BX294" s="8" t="s">
        <v>1544</v>
      </c>
      <c r="BY294" s="8" t="s">
        <v>1544</v>
      </c>
      <c r="BZ294" s="8" t="s">
        <v>1544</v>
      </c>
      <c r="CA294" s="8" t="s">
        <v>1544</v>
      </c>
      <c r="CB294" s="8" t="s">
        <v>1544</v>
      </c>
      <c r="CC294" s="8" t="s">
        <v>1544</v>
      </c>
      <c r="CD294" s="8" t="s">
        <v>1544</v>
      </c>
      <c r="CE294" s="8" t="s">
        <v>1544</v>
      </c>
      <c r="CF294" s="8" t="s">
        <v>1544</v>
      </c>
      <c r="CG294" s="8" t="s">
        <v>1544</v>
      </c>
      <c r="CH294" s="8" t="s">
        <v>1544</v>
      </c>
      <c r="CI294" s="8" t="s">
        <v>1544</v>
      </c>
      <c r="CJ294" s="8" t="s">
        <v>1544</v>
      </c>
      <c r="CK294" s="8" t="s">
        <v>1544</v>
      </c>
      <c r="CL294" s="8" t="s">
        <v>1544</v>
      </c>
      <c r="CM294" s="8" t="s">
        <v>1544</v>
      </c>
      <c r="CN294" s="8" t="s">
        <v>1544</v>
      </c>
      <c r="CO294" s="8" t="s">
        <v>1544</v>
      </c>
      <c r="CP294" s="8"/>
      <c r="CQ294" s="8"/>
      <c r="CR294" s="8"/>
      <c r="CS294" s="8"/>
      <c r="CT294" s="8"/>
      <c r="CU294" s="8"/>
      <c r="CV294" s="8"/>
      <c r="CW294" s="8"/>
      <c r="CX294" s="8"/>
      <c r="CY294" s="8"/>
      <c r="CZ294" s="8"/>
      <c r="DA294" s="8"/>
    </row>
    <row r="295" spans="4:108">
      <c r="D295" s="2" t="s">
        <v>1541</v>
      </c>
      <c r="G295" s="8" t="str">
        <f>G278</f>
        <v>Q1 03</v>
      </c>
      <c r="H295" s="8" t="str">
        <f t="shared" ref="H295:AE295" si="195">H278</f>
        <v>Q2 03</v>
      </c>
      <c r="I295" s="8" t="str">
        <f t="shared" si="195"/>
        <v>Q3 03</v>
      </c>
      <c r="J295" s="8" t="str">
        <f t="shared" si="195"/>
        <v>Q4 03</v>
      </c>
      <c r="K295" s="8" t="str">
        <f t="shared" si="195"/>
        <v>Q1 04</v>
      </c>
      <c r="L295" s="8" t="str">
        <f t="shared" si="195"/>
        <v>Q2 04</v>
      </c>
      <c r="M295" s="8" t="str">
        <f t="shared" si="195"/>
        <v>Q3 04</v>
      </c>
      <c r="N295" s="8" t="str">
        <f t="shared" si="195"/>
        <v>Q4 04</v>
      </c>
      <c r="O295" s="8" t="str">
        <f t="shared" si="195"/>
        <v>Q1 05</v>
      </c>
      <c r="P295" s="8" t="str">
        <f t="shared" si="195"/>
        <v>Q2 05</v>
      </c>
      <c r="Q295" s="8" t="str">
        <f t="shared" si="195"/>
        <v>Q3 05</v>
      </c>
      <c r="R295" s="8" t="str">
        <f t="shared" si="195"/>
        <v>Q4 05</v>
      </c>
      <c r="S295" s="8" t="str">
        <f t="shared" si="195"/>
        <v>Q1 06</v>
      </c>
      <c r="T295" s="8" t="str">
        <f t="shared" si="195"/>
        <v>Q2 06</v>
      </c>
      <c r="U295" s="8" t="str">
        <f t="shared" si="195"/>
        <v>Q3 06</v>
      </c>
      <c r="V295" s="8" t="str">
        <f t="shared" si="195"/>
        <v>Q4 06</v>
      </c>
      <c r="W295" s="180" t="str">
        <f>W278</f>
        <v>FY 06</v>
      </c>
      <c r="X295" s="8" t="str">
        <f t="shared" si="195"/>
        <v>Q1 07</v>
      </c>
      <c r="Y295" s="8" t="str">
        <f t="shared" si="195"/>
        <v>Q2 07</v>
      </c>
      <c r="Z295" s="8" t="str">
        <f t="shared" si="195"/>
        <v>Q3 07</v>
      </c>
      <c r="AA295" s="8" t="str">
        <f t="shared" si="195"/>
        <v>Q4 07</v>
      </c>
      <c r="AB295" s="180" t="str">
        <f>AB278</f>
        <v>FY 07</v>
      </c>
      <c r="AC295" s="8" t="str">
        <f t="shared" si="195"/>
        <v>Q1 08</v>
      </c>
      <c r="AD295" s="8" t="str">
        <f t="shared" si="195"/>
        <v>Q2 08</v>
      </c>
      <c r="AE295" s="8" t="str">
        <f t="shared" si="195"/>
        <v>Q3 08</v>
      </c>
      <c r="AF295" s="8" t="str">
        <f t="shared" ref="AF295:AL295" si="196">AF278</f>
        <v>Q4 08</v>
      </c>
      <c r="AG295" s="180" t="str">
        <f t="shared" si="196"/>
        <v>FY 08</v>
      </c>
      <c r="AH295" s="8" t="str">
        <f t="shared" si="196"/>
        <v>Q1 09</v>
      </c>
      <c r="AI295" s="8" t="str">
        <f t="shared" si="196"/>
        <v>Q2 09</v>
      </c>
      <c r="AJ295" s="8" t="str">
        <f t="shared" si="196"/>
        <v>Q3 09</v>
      </c>
      <c r="AK295" s="8" t="str">
        <f t="shared" si="196"/>
        <v>Q4 09</v>
      </c>
      <c r="AL295" s="180" t="str">
        <f t="shared" si="196"/>
        <v>FY 09</v>
      </c>
      <c r="AM295" s="8" t="str">
        <f t="shared" ref="AM295:AV295" si="197">AM278</f>
        <v>Q1 10</v>
      </c>
      <c r="AN295" s="8" t="str">
        <f t="shared" si="197"/>
        <v>Q2 10</v>
      </c>
      <c r="AO295" s="8" t="str">
        <f t="shared" si="197"/>
        <v>Q3 10</v>
      </c>
      <c r="AP295" s="8" t="str">
        <f t="shared" si="197"/>
        <v>Q4 10</v>
      </c>
      <c r="AQ295" s="180" t="str">
        <f t="shared" si="197"/>
        <v>FY 10E</v>
      </c>
      <c r="AR295" s="8" t="str">
        <f t="shared" si="197"/>
        <v>Q1 11</v>
      </c>
      <c r="AS295" s="8" t="str">
        <f t="shared" si="197"/>
        <v>Q2 11</v>
      </c>
      <c r="AT295" s="8" t="str">
        <f t="shared" si="197"/>
        <v>Q3 11</v>
      </c>
      <c r="AU295" s="8" t="str">
        <f t="shared" si="197"/>
        <v>Q4 11</v>
      </c>
      <c r="AV295" s="180" t="str">
        <f t="shared" si="197"/>
        <v>FY 11</v>
      </c>
      <c r="AW295" s="8" t="str">
        <f t="shared" ref="AW295:BF295" si="198">AW278</f>
        <v>Q1 12</v>
      </c>
      <c r="AX295" s="8" t="str">
        <f t="shared" si="198"/>
        <v>Q2 12</v>
      </c>
      <c r="AY295" s="8" t="str">
        <f t="shared" si="198"/>
        <v>Q3 12</v>
      </c>
      <c r="AZ295" s="8" t="str">
        <f t="shared" si="198"/>
        <v>Q4 12</v>
      </c>
      <c r="BA295" s="180" t="str">
        <f t="shared" si="198"/>
        <v>FY 12</v>
      </c>
      <c r="BB295" s="8" t="str">
        <f>BB278</f>
        <v>Q1 13</v>
      </c>
      <c r="BC295" s="8" t="str">
        <f>BC278</f>
        <v>Q2 13</v>
      </c>
      <c r="BD295" s="8" t="str">
        <f>BD278</f>
        <v>Q3 13</v>
      </c>
      <c r="BE295" s="8" t="str">
        <f>BE278</f>
        <v>Q4 13</v>
      </c>
      <c r="BF295" s="180" t="str">
        <f t="shared" si="198"/>
        <v>FY 13</v>
      </c>
      <c r="BG295" s="8" t="s">
        <v>3503</v>
      </c>
      <c r="BH295" s="8" t="s">
        <v>3591</v>
      </c>
      <c r="BI295" s="8" t="s">
        <v>3608</v>
      </c>
      <c r="BJ295" s="8" t="s">
        <v>3662</v>
      </c>
      <c r="BK295" s="180" t="str">
        <f>BK278</f>
        <v>FY 14</v>
      </c>
      <c r="BL295" s="8" t="str">
        <f>BL208</f>
        <v>Q1 15</v>
      </c>
      <c r="BM295" s="8" t="str">
        <f>BM208</f>
        <v>Q2 15</v>
      </c>
      <c r="BN295" s="8" t="str">
        <f>BN208</f>
        <v>Q3 15</v>
      </c>
      <c r="BO295" s="8" t="str">
        <f>BO208</f>
        <v>Q4 15</v>
      </c>
      <c r="BP295" s="180" t="str">
        <f>BP278</f>
        <v>FY 15</v>
      </c>
      <c r="BQ295" s="8" t="str">
        <f>BQ208</f>
        <v>Q1 16</v>
      </c>
      <c r="BR295" s="8" t="str">
        <f>BR208</f>
        <v>Q2 16</v>
      </c>
      <c r="BS295" s="8" t="str">
        <f>BS208</f>
        <v>Q3 16</v>
      </c>
      <c r="BT295" s="8" t="str">
        <f>BT208</f>
        <v>Q4 16e</v>
      </c>
      <c r="BU295" s="8"/>
      <c r="BV295" s="8" t="str">
        <f>S295</f>
        <v>Q1 06</v>
      </c>
      <c r="BW295" s="8" t="str">
        <f>T295</f>
        <v>Q2 06</v>
      </c>
      <c r="BX295" s="8" t="str">
        <f>U295</f>
        <v>Q3 06</v>
      </c>
      <c r="BY295" s="8" t="str">
        <f>V295</f>
        <v>Q4 06</v>
      </c>
      <c r="BZ295" s="173" t="str">
        <f t="shared" ref="BZ295:CH295" si="199">BZ278</f>
        <v>Q1 07</v>
      </c>
      <c r="CA295" s="173" t="str">
        <f t="shared" si="199"/>
        <v>Q2 07</v>
      </c>
      <c r="CB295" s="173" t="str">
        <f t="shared" si="199"/>
        <v>Q3 07</v>
      </c>
      <c r="CC295" s="173" t="str">
        <f t="shared" si="199"/>
        <v>Q4 07A</v>
      </c>
      <c r="CD295" s="8" t="str">
        <f t="shared" si="199"/>
        <v>Q1 08</v>
      </c>
      <c r="CE295" s="8" t="str">
        <f t="shared" si="199"/>
        <v>Q2 08</v>
      </c>
      <c r="CF295" s="8" t="str">
        <f t="shared" si="199"/>
        <v>Q3 08</v>
      </c>
      <c r="CG295" s="8" t="str">
        <f t="shared" si="199"/>
        <v>Q4 08</v>
      </c>
      <c r="CH295" s="8" t="str">
        <f t="shared" si="199"/>
        <v>Q1 09</v>
      </c>
      <c r="CI295" s="8" t="str">
        <f t="shared" ref="CI295:CP295" si="200">CI278</f>
        <v>Q2 09</v>
      </c>
      <c r="CJ295" s="8" t="str">
        <f t="shared" si="200"/>
        <v>Q3 09</v>
      </c>
      <c r="CK295" s="8" t="str">
        <f t="shared" si="200"/>
        <v>Q4 09</v>
      </c>
      <c r="CL295" s="8" t="str">
        <f t="shared" si="200"/>
        <v>Q1 10</v>
      </c>
      <c r="CM295" s="8" t="str">
        <f t="shared" si="200"/>
        <v>Q2 10</v>
      </c>
      <c r="CN295" s="8" t="str">
        <f t="shared" si="200"/>
        <v>Q3 10</v>
      </c>
      <c r="CO295" s="8" t="str">
        <f t="shared" si="200"/>
        <v>Q4 10</v>
      </c>
      <c r="CP295" s="8" t="str">
        <f t="shared" si="200"/>
        <v>Q1 11</v>
      </c>
      <c r="CQ295" s="8" t="str">
        <f t="shared" ref="CQ295:CW295" si="201">CQ278</f>
        <v>Q2 11</v>
      </c>
      <c r="CR295" s="8" t="str">
        <f t="shared" si="201"/>
        <v>Q3 11</v>
      </c>
      <c r="CS295" s="8" t="str">
        <f t="shared" si="201"/>
        <v>Q4 11</v>
      </c>
      <c r="CT295" s="8" t="str">
        <f t="shared" si="201"/>
        <v>Q1 12</v>
      </c>
      <c r="CU295" s="8"/>
      <c r="CV295" s="8" t="str">
        <f t="shared" si="201"/>
        <v>Q2 12</v>
      </c>
      <c r="CW295" s="8" t="str">
        <f t="shared" si="201"/>
        <v>Q3 12</v>
      </c>
      <c r="CX295" s="8" t="str">
        <f>CX278</f>
        <v>Q4 12</v>
      </c>
      <c r="CY295" s="8" t="str">
        <f>CY278</f>
        <v>Q1 13</v>
      </c>
      <c r="CZ295" s="8" t="str">
        <f>CZ278</f>
        <v>Q2 13</v>
      </c>
      <c r="DA295" s="8" t="str">
        <f>DA278</f>
        <v>Q3 13</v>
      </c>
      <c r="DB295" s="8" t="str">
        <f>DB278</f>
        <v>Q4 13</v>
      </c>
    </row>
    <row r="296" spans="4:108">
      <c r="D296" s="2"/>
      <c r="W296" s="107"/>
      <c r="AB296" s="107"/>
      <c r="AG296" s="107"/>
      <c r="AL296" s="107"/>
      <c r="AQ296" s="107"/>
      <c r="CB296"/>
      <c r="CC29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row>
    <row r="297" spans="4:108">
      <c r="D297" s="4" t="s">
        <v>1086</v>
      </c>
      <c r="G297" s="9">
        <v>24.725999999999999</v>
      </c>
      <c r="H297" s="9">
        <v>25.341000000000001</v>
      </c>
      <c r="I297" s="9">
        <v>27.632000000000001</v>
      </c>
      <c r="J297" s="9">
        <v>24.452999999999999</v>
      </c>
      <c r="K297" s="9">
        <v>33.107999999999997</v>
      </c>
      <c r="L297" s="9">
        <v>32.42</v>
      </c>
      <c r="M297" s="9">
        <v>35.429000000000002</v>
      </c>
      <c r="N297" s="9">
        <v>40.298000000000002</v>
      </c>
      <c r="O297" s="9">
        <v>43.543999999999997</v>
      </c>
      <c r="P297" s="9">
        <v>27.5</v>
      </c>
      <c r="Q297" s="9">
        <v>6.6219999999999999</v>
      </c>
      <c r="R297" s="9">
        <v>11.013999999999999</v>
      </c>
      <c r="S297" s="9">
        <v>10.096</v>
      </c>
      <c r="T297" s="9">
        <v>8.8369999999999997</v>
      </c>
      <c r="U297" s="9">
        <v>10.465999999999999</v>
      </c>
      <c r="V297" s="9">
        <f>V299-V298</f>
        <v>11.773</v>
      </c>
      <c r="W297" s="133"/>
      <c r="X297" s="9"/>
      <c r="Y297" s="9"/>
      <c r="Z297" s="9"/>
      <c r="AA297" s="9"/>
      <c r="AB297" s="133"/>
      <c r="AC297" s="9"/>
      <c r="AD297" s="9"/>
      <c r="AE297" s="9"/>
      <c r="AF297" s="9"/>
      <c r="AG297" s="133"/>
      <c r="AH297" s="9"/>
      <c r="AI297" s="9"/>
      <c r="AJ297" s="9"/>
      <c r="AK297" s="9"/>
      <c r="AL297" s="133"/>
      <c r="AM297" s="9"/>
      <c r="AN297" s="9"/>
      <c r="AO297" s="9"/>
      <c r="AP297" s="9"/>
      <c r="AQ297" s="133"/>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16">
        <f t="shared" ref="BV297:BY298" si="202">S297/O297-1</f>
        <v>-0.76814256843652395</v>
      </c>
      <c r="BW297" s="16">
        <f t="shared" si="202"/>
        <v>-0.6786545454545454</v>
      </c>
      <c r="BX297" s="16">
        <f t="shared" si="202"/>
        <v>0.58048927816369678</v>
      </c>
      <c r="BY297" s="16">
        <f t="shared" si="202"/>
        <v>6.891229344470684E-2</v>
      </c>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row>
    <row r="298" spans="4:108">
      <c r="D298" s="12" t="s">
        <v>2374</v>
      </c>
      <c r="E298" s="11"/>
      <c r="F298" s="11"/>
      <c r="G298" s="13">
        <v>11.667999999999999</v>
      </c>
      <c r="H298" s="13">
        <v>12.872999999999999</v>
      </c>
      <c r="I298" s="13">
        <v>15.244</v>
      </c>
      <c r="J298" s="13">
        <v>15.734</v>
      </c>
      <c r="K298" s="13">
        <v>16.908000000000001</v>
      </c>
      <c r="L298" s="13">
        <v>14.983000000000001</v>
      </c>
      <c r="M298" s="13">
        <v>12.420999999999999</v>
      </c>
      <c r="N298" s="13">
        <v>4.9080000000000004</v>
      </c>
      <c r="O298" s="13">
        <v>4.9550000000000001</v>
      </c>
      <c r="P298" s="13">
        <v>6.3970000000000002</v>
      </c>
      <c r="Q298" s="13">
        <v>6.1130000000000004</v>
      </c>
      <c r="R298" s="13">
        <v>7.617</v>
      </c>
      <c r="S298" s="13">
        <v>5.0419999999999998</v>
      </c>
      <c r="T298" s="13">
        <v>2.4239999999999999</v>
      </c>
      <c r="U298" s="13">
        <v>-2.105</v>
      </c>
      <c r="V298" s="13">
        <v>4.3</v>
      </c>
      <c r="W298" s="87"/>
      <c r="X298" s="13"/>
      <c r="Y298" s="13"/>
      <c r="Z298" s="13"/>
      <c r="AA298" s="13"/>
      <c r="AB298" s="87"/>
      <c r="AC298" s="13"/>
      <c r="AD298" s="13"/>
      <c r="AE298" s="13"/>
      <c r="AF298" s="13"/>
      <c r="AG298" s="87"/>
      <c r="AH298" s="13"/>
      <c r="AI298" s="13"/>
      <c r="AJ298" s="13"/>
      <c r="AK298" s="13"/>
      <c r="AL298" s="87"/>
      <c r="AM298" s="13"/>
      <c r="AN298" s="13"/>
      <c r="AO298" s="13"/>
      <c r="AP298" s="13"/>
      <c r="AQ298" s="87"/>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20">
        <f t="shared" si="202"/>
        <v>1.7558022199798184E-2</v>
      </c>
      <c r="BW298" s="20">
        <f t="shared" si="202"/>
        <v>-0.62107237767703616</v>
      </c>
      <c r="BX298" s="20">
        <f t="shared" si="202"/>
        <v>-1.3443481105840012</v>
      </c>
      <c r="BY298" s="20">
        <f t="shared" si="202"/>
        <v>-0.43547328344492586</v>
      </c>
      <c r="BZ298" s="20"/>
      <c r="CA298" s="20"/>
      <c r="CB298" s="20"/>
      <c r="CC298" s="20"/>
      <c r="CD298" s="20"/>
      <c r="CE298" s="20"/>
      <c r="CF298" s="20"/>
      <c r="CG298" s="20"/>
      <c r="CH298" s="20"/>
      <c r="CI298" s="20"/>
      <c r="CJ298" s="16"/>
      <c r="CK298" s="16"/>
      <c r="CL298" s="16"/>
      <c r="CM298" s="16"/>
      <c r="CN298" s="16"/>
      <c r="CO298" s="16"/>
      <c r="CP298" s="16"/>
      <c r="CQ298" s="16"/>
      <c r="CR298" s="16"/>
      <c r="CS298" s="16"/>
      <c r="CT298" s="16"/>
      <c r="CU298" s="16"/>
      <c r="CV298" s="16"/>
      <c r="CW298" s="16"/>
      <c r="CX298" s="16"/>
      <c r="CY298" s="16"/>
      <c r="CZ298" s="16"/>
      <c r="DA298" s="16"/>
      <c r="DB298" s="16"/>
    </row>
    <row r="299" spans="4:108">
      <c r="D299" s="4" t="s">
        <v>1163</v>
      </c>
      <c r="E299" s="4"/>
      <c r="F299" s="4"/>
      <c r="G299" s="31"/>
      <c r="H299" s="31"/>
      <c r="I299" s="31"/>
      <c r="J299" s="31"/>
      <c r="K299" s="31"/>
      <c r="L299" s="31"/>
      <c r="M299" s="31"/>
      <c r="N299" s="31"/>
      <c r="O299" s="31"/>
      <c r="P299" s="31"/>
      <c r="Q299" s="31"/>
      <c r="R299" s="31"/>
      <c r="S299" s="31"/>
      <c r="T299" s="31"/>
      <c r="U299" s="31"/>
      <c r="V299" s="31">
        <v>16.073</v>
      </c>
      <c r="W299" s="46"/>
      <c r="X299" s="31">
        <v>17.420999999999999</v>
      </c>
      <c r="Y299" s="31">
        <v>20.3</v>
      </c>
      <c r="Z299" s="31">
        <v>21.4</v>
      </c>
      <c r="AA299" s="31">
        <f>20.4+2.1</f>
        <v>22.5</v>
      </c>
      <c r="AB299" s="133">
        <f>Div!G44</f>
        <v>81.621000000000009</v>
      </c>
      <c r="AC299" s="31">
        <v>25.3</v>
      </c>
      <c r="AD299" s="31">
        <v>27.084</v>
      </c>
      <c r="AE299" s="31">
        <v>25.061</v>
      </c>
      <c r="AF299" s="31">
        <v>24</v>
      </c>
      <c r="AG299" s="133">
        <f>Div!H44</f>
        <v>101.44499999999999</v>
      </c>
      <c r="AH299" s="31">
        <v>24.5</v>
      </c>
      <c r="AI299" s="31"/>
      <c r="AJ299" s="31"/>
      <c r="AK299" s="31"/>
      <c r="AL299" s="133"/>
      <c r="AM299" s="31"/>
      <c r="AN299" s="31"/>
      <c r="AO299" s="31"/>
      <c r="AP299" s="31"/>
      <c r="AQ299" s="133"/>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16"/>
      <c r="BW299" s="16"/>
      <c r="BX299" s="16"/>
      <c r="BY299" s="16"/>
      <c r="BZ299" s="16"/>
      <c r="CA299" s="16"/>
      <c r="CB299" s="16"/>
      <c r="CC299" s="16">
        <f>AA299/V299-1</f>
        <v>0.3998631244944939</v>
      </c>
      <c r="CD299" s="16">
        <f t="shared" ref="CD299:CG300" si="203">AC299/X299-1</f>
        <v>0.45227024855060005</v>
      </c>
      <c r="CE299" s="16">
        <f t="shared" si="203"/>
        <v>0.33418719211822645</v>
      </c>
      <c r="CF299" s="16">
        <f t="shared" si="203"/>
        <v>0.17107476635514018</v>
      </c>
      <c r="CG299" s="16">
        <f t="shared" si="203"/>
        <v>6.6666666666666652E-2</v>
      </c>
      <c r="CH299" s="16">
        <f>AH299/AC299-1</f>
        <v>-3.1620553359683834E-2</v>
      </c>
      <c r="CI299" s="16"/>
      <c r="CJ299" s="16"/>
      <c r="CK299" s="16"/>
      <c r="CL299" s="16"/>
      <c r="CM299" s="16"/>
      <c r="CN299" s="16"/>
      <c r="CO299" s="16"/>
      <c r="CP299" s="16"/>
      <c r="CQ299" s="16"/>
      <c r="CR299" s="16"/>
      <c r="CS299" s="16"/>
      <c r="CT299" s="16"/>
      <c r="CU299" s="16"/>
      <c r="CV299" s="16"/>
      <c r="CW299" s="16"/>
      <c r="CX299" s="16"/>
      <c r="CY299" s="16"/>
      <c r="CZ299" s="16"/>
      <c r="DA299" s="16"/>
      <c r="DB299" s="16"/>
    </row>
    <row r="300" spans="4:108">
      <c r="D300" s="4" t="str">
        <f>D217</f>
        <v>CA ex-Amnet (incs MFS)</v>
      </c>
      <c r="G300" s="9">
        <v>15.552</v>
      </c>
      <c r="H300" s="9">
        <v>16.687999999999999</v>
      </c>
      <c r="I300" s="9">
        <v>21.497</v>
      </c>
      <c r="J300" s="9">
        <v>32.009</v>
      </c>
      <c r="K300" s="9">
        <v>33.75</v>
      </c>
      <c r="L300" s="9">
        <v>36.134</v>
      </c>
      <c r="M300" s="9">
        <v>40.987000000000002</v>
      </c>
      <c r="N300" s="9">
        <v>44.695</v>
      </c>
      <c r="O300" s="9">
        <v>44.331000000000003</v>
      </c>
      <c r="P300" s="9">
        <v>51.136000000000003</v>
      </c>
      <c r="Q300" s="9">
        <v>62.47</v>
      </c>
      <c r="R300" s="9">
        <v>75.070999999999998</v>
      </c>
      <c r="S300" s="9">
        <v>79.015000000000001</v>
      </c>
      <c r="T300" s="9">
        <v>94.11</v>
      </c>
      <c r="U300" s="9">
        <v>110.874</v>
      </c>
      <c r="V300" s="9">
        <v>131.43100000000001</v>
      </c>
      <c r="W300" s="133">
        <f>Div!F45</f>
        <v>415.43000000000006</v>
      </c>
      <c r="X300" s="9">
        <v>136.32599999999999</v>
      </c>
      <c r="Y300" s="9">
        <v>143.053</v>
      </c>
      <c r="Z300" s="9">
        <v>161.1</v>
      </c>
      <c r="AA300" s="9">
        <v>167.7</v>
      </c>
      <c r="AB300" s="133">
        <f>Div!G45</f>
        <v>608.17900000000009</v>
      </c>
      <c r="AC300" s="9">
        <v>187.45</v>
      </c>
      <c r="AD300" s="9">
        <v>187.5</v>
      </c>
      <c r="AE300" s="9">
        <v>184.876</v>
      </c>
      <c r="AF300" s="9">
        <v>199</v>
      </c>
      <c r="AG300" s="133">
        <f>Div!H45</f>
        <v>758.82600000000002</v>
      </c>
      <c r="AH300" s="289">
        <f>183.3+AH111</f>
        <v>207.70699999999999</v>
      </c>
      <c r="AI300" s="289">
        <f>187.2+AI111</f>
        <v>215.40100000000001</v>
      </c>
      <c r="AJ300" s="289">
        <f>180.156+AJ111</f>
        <v>206.39999999999998</v>
      </c>
      <c r="AK300" s="289">
        <f>181.4+AK111</f>
        <v>208.22299999999998</v>
      </c>
      <c r="AL300" s="133">
        <f>Div!I45</f>
        <v>837.73099999999999</v>
      </c>
      <c r="AM300" s="289">
        <f>182.327+AM111</f>
        <v>209.54100000000005</v>
      </c>
      <c r="AN300" s="289">
        <f>190.967+AN111</f>
        <v>218.94399999999999</v>
      </c>
      <c r="AO300" s="289">
        <v>210.32300000000001</v>
      </c>
      <c r="AP300" s="289">
        <f>201.38+4</f>
        <v>205.38</v>
      </c>
      <c r="AQ300" s="133">
        <f>Div!J45</f>
        <v>844.18799999999999</v>
      </c>
      <c r="AR300" s="289">
        <f>246.033-AR301</f>
        <v>218.03299999999999</v>
      </c>
      <c r="AS300" s="9">
        <f>AS302-AS301</f>
        <v>211.33799999999999</v>
      </c>
      <c r="AT300" s="9">
        <f>AT302-AT301</f>
        <v>206.637</v>
      </c>
      <c r="AU300" s="9">
        <f>AU302-AU301</f>
        <v>217</v>
      </c>
      <c r="AV300" s="133">
        <f>Div!K45</f>
        <v>965.00800000000004</v>
      </c>
      <c r="AW300" s="9">
        <f>AW302-AW301</f>
        <v>212.5</v>
      </c>
      <c r="AX300" s="9">
        <f>AX302-AX301</f>
        <v>208.5</v>
      </c>
      <c r="AY300" s="9">
        <f>AY302-AY301</f>
        <v>207.5</v>
      </c>
      <c r="AZ300" s="9">
        <f>AZ302-AZ301</f>
        <v>215.5</v>
      </c>
      <c r="BA300" s="133">
        <f>Div!L45</f>
        <v>958</v>
      </c>
      <c r="BB300" s="9"/>
      <c r="BC300" s="9"/>
      <c r="BD300" s="9"/>
      <c r="BE300" s="9"/>
      <c r="BF300" s="133">
        <f>Div!M45</f>
        <v>1173.2</v>
      </c>
      <c r="BG300" s="9"/>
      <c r="BH300" s="9"/>
      <c r="BI300" s="9"/>
      <c r="BJ300" s="9"/>
      <c r="BK300" s="133">
        <f>Div!N45</f>
        <v>1153.0110656430443</v>
      </c>
      <c r="BL300" s="9"/>
      <c r="BM300" s="9"/>
      <c r="BN300" s="9"/>
      <c r="BO300" s="9"/>
      <c r="BP300" s="133">
        <f>Div!O45</f>
        <v>1172</v>
      </c>
      <c r="BQ300" s="133"/>
      <c r="BR300" s="133"/>
      <c r="BS300" s="133"/>
      <c r="BT300" s="133"/>
      <c r="BU300" s="9"/>
      <c r="BV300" s="16">
        <f>S300/O300-1</f>
        <v>0.78238704292707117</v>
      </c>
      <c r="BW300" s="16">
        <f>T300/P300-1</f>
        <v>0.84038642052565704</v>
      </c>
      <c r="BX300" s="16">
        <f>U300/Q300-1</f>
        <v>0.77483592124219625</v>
      </c>
      <c r="BY300" s="16">
        <f>V300/R300-1</f>
        <v>0.75075595103302217</v>
      </c>
      <c r="BZ300" s="16">
        <f>X300/S300-1</f>
        <v>0.72531797759919003</v>
      </c>
      <c r="CA300" s="16">
        <f>Y300/T300-1</f>
        <v>0.5200616300074381</v>
      </c>
      <c r="CB300" s="16">
        <f>Z300/U300-1</f>
        <v>0.45300070350127175</v>
      </c>
      <c r="CC300" s="16">
        <f>AA300/V300-1</f>
        <v>0.27595468344606666</v>
      </c>
      <c r="CD300" s="16">
        <f t="shared" si="203"/>
        <v>0.37501283687631126</v>
      </c>
      <c r="CE300" s="16">
        <f t="shared" si="203"/>
        <v>0.31070302615114676</v>
      </c>
      <c r="CF300" s="16">
        <f t="shared" si="203"/>
        <v>0.14758535071384249</v>
      </c>
      <c r="CG300" s="16">
        <f t="shared" si="203"/>
        <v>0.18664281454979137</v>
      </c>
      <c r="CH300" s="16">
        <f>AH300/AC300-1</f>
        <v>0.10806615097359296</v>
      </c>
      <c r="CI300" s="16">
        <f>AI300/AD300-1</f>
        <v>0.14880533333333346</v>
      </c>
      <c r="CJ300" s="16"/>
      <c r="CK300" s="16"/>
      <c r="CL300" s="16"/>
      <c r="CM300" s="16"/>
      <c r="CN300" s="16"/>
      <c r="CO300" s="16"/>
      <c r="CP300" s="16"/>
      <c r="CQ300" s="16"/>
      <c r="CR300" s="16"/>
      <c r="CS300" s="16"/>
      <c r="CT300" s="16"/>
      <c r="CU300" s="16"/>
      <c r="CV300" s="16"/>
      <c r="CW300" s="16"/>
      <c r="CX300" s="16"/>
      <c r="CY300" s="16"/>
      <c r="CZ300" s="16"/>
      <c r="DA300" s="16"/>
      <c r="DB300" s="16"/>
    </row>
    <row r="301" spans="4:108">
      <c r="D301" s="4" t="str">
        <f>D218</f>
        <v>Cable</v>
      </c>
      <c r="G301" s="9"/>
      <c r="H301" s="9"/>
      <c r="I301" s="9"/>
      <c r="J301" s="9"/>
      <c r="K301" s="9"/>
      <c r="L301" s="9"/>
      <c r="M301" s="9"/>
      <c r="N301" s="9"/>
      <c r="O301" s="9"/>
      <c r="P301" s="9"/>
      <c r="Q301" s="9"/>
      <c r="R301" s="9"/>
      <c r="S301" s="9"/>
      <c r="T301" s="9"/>
      <c r="U301" s="9"/>
      <c r="V301" s="9"/>
      <c r="W301" s="133"/>
      <c r="X301" s="9"/>
      <c r="Y301" s="9"/>
      <c r="Z301" s="9"/>
      <c r="AA301" s="9"/>
      <c r="AB301" s="133"/>
      <c r="AC301" s="9"/>
      <c r="AD301" s="9"/>
      <c r="AE301" s="9"/>
      <c r="AF301" s="9">
        <v>18</v>
      </c>
      <c r="AG301" s="133">
        <f>Div!H50</f>
        <v>18</v>
      </c>
      <c r="AH301" s="289">
        <f>16+2</f>
        <v>18</v>
      </c>
      <c r="AI301" s="9">
        <v>24.7</v>
      </c>
      <c r="AJ301" s="9">
        <v>23.986999999999998</v>
      </c>
      <c r="AK301" s="9">
        <v>25.4</v>
      </c>
      <c r="AL301" s="133">
        <f>Div!I50</f>
        <v>0</v>
      </c>
      <c r="AM301" s="9">
        <v>25.85</v>
      </c>
      <c r="AN301" s="9">
        <v>25.901</v>
      </c>
      <c r="AO301" s="9">
        <v>28.146999999999998</v>
      </c>
      <c r="AP301" s="9">
        <v>27.946000000000002</v>
      </c>
      <c r="AQ301" s="133">
        <f>Div!J50</f>
        <v>0</v>
      </c>
      <c r="AR301" s="291">
        <v>28</v>
      </c>
      <c r="AS301" s="291">
        <v>28</v>
      </c>
      <c r="AT301" s="291">
        <v>28</v>
      </c>
      <c r="AU301" s="291">
        <v>28</v>
      </c>
      <c r="AV301" s="133">
        <f>Div!K50</f>
        <v>0</v>
      </c>
      <c r="AW301" s="291">
        <v>28.5</v>
      </c>
      <c r="AX301" s="291">
        <v>28.5</v>
      </c>
      <c r="AY301" s="291">
        <v>28.5</v>
      </c>
      <c r="AZ301" s="291">
        <v>28.5</v>
      </c>
      <c r="BA301" s="133">
        <f>Div!L50</f>
        <v>0</v>
      </c>
      <c r="BB301" s="9"/>
      <c r="BC301" s="9"/>
      <c r="BD301" s="9"/>
      <c r="BE301" s="9"/>
      <c r="BF301" s="133">
        <f>Div!M50</f>
        <v>0</v>
      </c>
      <c r="BG301" s="9"/>
      <c r="BH301" s="9"/>
      <c r="BI301" s="9"/>
      <c r="BJ301" s="9"/>
      <c r="BK301" s="133">
        <f>Div!N50</f>
        <v>0</v>
      </c>
      <c r="BL301" s="9"/>
      <c r="BM301" s="9"/>
      <c r="BN301" s="9"/>
      <c r="BO301" s="9"/>
      <c r="BP301" s="133">
        <f>Div!O50</f>
        <v>0</v>
      </c>
      <c r="BQ301" s="133"/>
      <c r="BR301" s="133"/>
      <c r="BS301" s="133"/>
      <c r="BT301" s="133"/>
      <c r="BU301" s="9"/>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row>
    <row r="302" spans="4:108">
      <c r="D302" s="4" t="str">
        <f>D219</f>
        <v>Central America</v>
      </c>
      <c r="G302" s="9"/>
      <c r="H302" s="9"/>
      <c r="I302" s="9"/>
      <c r="J302" s="9"/>
      <c r="K302" s="9"/>
      <c r="L302" s="9"/>
      <c r="M302" s="9"/>
      <c r="N302" s="9"/>
      <c r="O302" s="9"/>
      <c r="P302" s="9"/>
      <c r="Q302" s="9"/>
      <c r="R302" s="9"/>
      <c r="S302" s="9"/>
      <c r="T302" s="9"/>
      <c r="U302" s="9"/>
      <c r="V302" s="9"/>
      <c r="W302" s="133"/>
      <c r="X302" s="9"/>
      <c r="Y302" s="9"/>
      <c r="Z302" s="9"/>
      <c r="AA302" s="9"/>
      <c r="AB302" s="133"/>
      <c r="AC302" s="9"/>
      <c r="AD302" s="9"/>
      <c r="AE302" s="9"/>
      <c r="AF302" s="9">
        <f t="shared" ref="AF302:AP302" si="204">AF300+AF301</f>
        <v>217</v>
      </c>
      <c r="AG302" s="133">
        <f t="shared" si="204"/>
        <v>776.82600000000002</v>
      </c>
      <c r="AH302" s="9">
        <f t="shared" si="204"/>
        <v>225.70699999999999</v>
      </c>
      <c r="AI302" s="9">
        <f t="shared" si="204"/>
        <v>240.101</v>
      </c>
      <c r="AJ302" s="9">
        <f t="shared" si="204"/>
        <v>230.38699999999997</v>
      </c>
      <c r="AK302" s="9">
        <f t="shared" si="204"/>
        <v>233.62299999999999</v>
      </c>
      <c r="AL302" s="133">
        <f t="shared" si="204"/>
        <v>837.73099999999999</v>
      </c>
      <c r="AM302" s="9">
        <f t="shared" si="204"/>
        <v>235.39100000000005</v>
      </c>
      <c r="AN302" s="9">
        <f t="shared" si="204"/>
        <v>244.845</v>
      </c>
      <c r="AO302" s="9">
        <f t="shared" si="204"/>
        <v>238.47</v>
      </c>
      <c r="AP302" s="9">
        <f t="shared" si="204"/>
        <v>233.32599999999999</v>
      </c>
      <c r="AQ302" s="133">
        <f>AQ300+AQ301</f>
        <v>844.18799999999999</v>
      </c>
      <c r="AR302" s="9">
        <f>AR300+AR301</f>
        <v>246.03299999999999</v>
      </c>
      <c r="AS302" s="289">
        <f>231.838+7.5</f>
        <v>239.33799999999999</v>
      </c>
      <c r="AT302" s="9">
        <v>234.637</v>
      </c>
      <c r="AU302" s="9">
        <v>245</v>
      </c>
      <c r="AV302" s="133">
        <f>AV300+AV301</f>
        <v>965.00800000000004</v>
      </c>
      <c r="AW302" s="9">
        <v>241</v>
      </c>
      <c r="AX302" s="9">
        <v>237</v>
      </c>
      <c r="AY302" s="9">
        <v>236</v>
      </c>
      <c r="AZ302" s="9">
        <v>244</v>
      </c>
      <c r="BA302" s="133">
        <f>BA300+BA301</f>
        <v>958</v>
      </c>
      <c r="BB302" s="9">
        <v>295</v>
      </c>
      <c r="BC302" s="691">
        <f>284+13</f>
        <v>297</v>
      </c>
      <c r="BD302" s="417">
        <f>286+2</f>
        <v>288</v>
      </c>
      <c r="BE302" s="417">
        <f>273+20.2</f>
        <v>293.2</v>
      </c>
      <c r="BF302" s="133">
        <f>BF300+BF301</f>
        <v>1173.2</v>
      </c>
      <c r="BG302" s="9">
        <v>285.84851290737316</v>
      </c>
      <c r="BH302" s="9">
        <v>290.7960074605337</v>
      </c>
      <c r="BI302" s="9">
        <v>281.70742620690612</v>
      </c>
      <c r="BJ302" s="9">
        <v>294.65911906823123</v>
      </c>
      <c r="BK302" s="133">
        <f>BK300+BK301</f>
        <v>1153.0110656430443</v>
      </c>
      <c r="BL302" s="9">
        <v>291</v>
      </c>
      <c r="BM302" s="9">
        <v>291</v>
      </c>
      <c r="BN302" s="9">
        <v>292</v>
      </c>
      <c r="BO302" s="1021">
        <f>282+16</f>
        <v>298</v>
      </c>
      <c r="BP302" s="133">
        <f>BP300+BP301</f>
        <v>1172</v>
      </c>
      <c r="BQ302" s="9">
        <f>'Country quarts'!M115</f>
        <v>292.65199999999999</v>
      </c>
      <c r="BR302" s="9">
        <f>'Country quarts'!N115</f>
        <v>280.22399999999999</v>
      </c>
      <c r="BS302" s="9">
        <f>'Country quarts'!O115</f>
        <v>271</v>
      </c>
      <c r="BT302" s="9">
        <f>'Country quarts'!P115</f>
        <v>250.24853665314319</v>
      </c>
      <c r="BU302" s="9"/>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36">
        <f>BB302/AW302-1</f>
        <v>0.22406639004149387</v>
      </c>
      <c r="CZ302" s="36">
        <f>BC302/AX302-1</f>
        <v>0.25316455696202533</v>
      </c>
      <c r="DA302" s="36">
        <f>BD302/AY302-1</f>
        <v>0.22033898305084754</v>
      </c>
      <c r="DB302" s="36">
        <f>BE302/AZ302-1</f>
        <v>0.20163934426229502</v>
      </c>
      <c r="DC302" s="36">
        <f>BG302/BB302-1</f>
        <v>-3.1021990144497802E-2</v>
      </c>
      <c r="DD302" s="36">
        <f>BH302/BC302-1</f>
        <v>-2.0888863769246813E-2</v>
      </c>
    </row>
    <row r="303" spans="4:108">
      <c r="D303" s="4" t="str">
        <f>D222</f>
        <v>Colombia</v>
      </c>
      <c r="G303" s="9"/>
      <c r="H303" s="9"/>
      <c r="I303" s="9"/>
      <c r="J303" s="9"/>
      <c r="K303" s="9"/>
      <c r="L303" s="9"/>
      <c r="M303" s="9"/>
      <c r="N303" s="9"/>
      <c r="O303" s="9"/>
      <c r="P303" s="9"/>
      <c r="Q303" s="9"/>
      <c r="R303" s="9"/>
      <c r="S303" s="9"/>
      <c r="T303" s="9"/>
      <c r="U303" s="9"/>
      <c r="V303" s="9">
        <f>V305-V304</f>
        <v>13.82094</v>
      </c>
      <c r="W303" s="133"/>
      <c r="X303" s="9">
        <f>X305-X304</f>
        <v>19.016479999999994</v>
      </c>
      <c r="Y303" s="9">
        <f>0.25*Y222</f>
        <v>26.780090000000001</v>
      </c>
      <c r="Z303" s="9">
        <f>0.25*Z222</f>
        <v>29.070839999999997</v>
      </c>
      <c r="AA303" s="9">
        <f>AA305-AA304</f>
        <v>20.023554599999997</v>
      </c>
      <c r="AB303" s="133">
        <f>Div!G46</f>
        <v>94.89096459999999</v>
      </c>
      <c r="AC303" s="289">
        <f>0.12*AC222</f>
        <v>13.08</v>
      </c>
      <c r="AD303" s="289">
        <f>0.12*AD222</f>
        <v>14.16</v>
      </c>
      <c r="AE303" s="289">
        <f>0.14*AE222</f>
        <v>16.705560262183976</v>
      </c>
      <c r="AF303" s="289">
        <v>20</v>
      </c>
      <c r="AG303" s="133">
        <f>Div!H46</f>
        <v>63.945560262183974</v>
      </c>
      <c r="AH303" s="9">
        <f>AH328*AH222</f>
        <v>18.8</v>
      </c>
      <c r="AI303" s="9">
        <f>AI328*AI222</f>
        <v>20.797327282843462</v>
      </c>
      <c r="AJ303" s="9">
        <f>AJ328*AJ222</f>
        <v>25.993010035234285</v>
      </c>
      <c r="AK303" s="9">
        <f>AK328*AK222</f>
        <v>33.88532710738837</v>
      </c>
      <c r="AL303" s="133">
        <f>Div!I46</f>
        <v>99.475664425466135</v>
      </c>
      <c r="AM303" s="9">
        <f>AM328*AM222</f>
        <v>37.854430642608662</v>
      </c>
      <c r="AN303" s="9">
        <f>AN328*AN222</f>
        <v>39.789075217600825</v>
      </c>
      <c r="AO303" s="9">
        <f>AO328*AO222</f>
        <v>46.860282809098059</v>
      </c>
      <c r="AP303" s="9">
        <f>AP328*AP222</f>
        <v>51.896125697588921</v>
      </c>
      <c r="AQ303" s="133">
        <f>Div!J46</f>
        <v>176.39991436689647</v>
      </c>
      <c r="AR303" s="9">
        <f>AR328*AR222</f>
        <v>51.325751864325319</v>
      </c>
      <c r="AS303" s="9">
        <f>AS328*AS222</f>
        <v>55.037176996236155</v>
      </c>
      <c r="AT303" s="9">
        <f>AT328*AT222</f>
        <v>56.471087618641377</v>
      </c>
      <c r="AU303" s="9">
        <f>AU328*AU222</f>
        <v>52.693576678813123</v>
      </c>
      <c r="AV303" s="133">
        <f>Div!K46</f>
        <v>215.52759315801597</v>
      </c>
      <c r="AW303" s="9">
        <f>AW328*AW222</f>
        <v>51.098701379144075</v>
      </c>
      <c r="AX303" s="9">
        <f>AX328*AX222</f>
        <v>51.594360229296527</v>
      </c>
      <c r="AY303" s="9">
        <f>AY328*AY222</f>
        <v>51.267536312793275</v>
      </c>
      <c r="AZ303" s="9">
        <f>AZ328*AZ222</f>
        <v>53.469102248762098</v>
      </c>
      <c r="BA303" s="133">
        <f>Div!L46</f>
        <v>207.42970016999595</v>
      </c>
      <c r="BB303" s="9">
        <f>BB328*BB222</f>
        <v>52.785373541261762</v>
      </c>
      <c r="BC303" s="9">
        <f>BC328*BC222</f>
        <v>51.986212912625085</v>
      </c>
      <c r="BD303" s="9">
        <f>BD328*BD222</f>
        <v>55.705236188625555</v>
      </c>
      <c r="BE303" s="9">
        <f>BE328*BE222</f>
        <v>60.334001447726358</v>
      </c>
      <c r="BF303" s="133">
        <f>Div!M46</f>
        <v>236.43600000000001</v>
      </c>
      <c r="BG303" s="9"/>
      <c r="BH303" s="9"/>
      <c r="BI303" s="9"/>
      <c r="BJ303" s="9"/>
      <c r="BK303" s="133">
        <f>Div!N46+Div!N47</f>
        <v>431.25299999999999</v>
      </c>
      <c r="BL303" s="9"/>
      <c r="BM303" s="9"/>
      <c r="BN303" s="9"/>
      <c r="BO303" s="9"/>
      <c r="BP303" s="133">
        <f>Div!O46+Div!O47</f>
        <v>574.46285963048945</v>
      </c>
      <c r="BQ303" s="133"/>
      <c r="BR303" s="133"/>
      <c r="BS303" s="133"/>
      <c r="BT303" s="133"/>
      <c r="BU303" s="9"/>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row>
    <row r="304" spans="4:108">
      <c r="D304" s="345" t="str">
        <f>D226</f>
        <v>SA ex Col, inc MFS</v>
      </c>
      <c r="E304" s="345"/>
      <c r="F304" s="345"/>
      <c r="G304" s="346">
        <v>9.39</v>
      </c>
      <c r="H304" s="346">
        <v>9.2970000000000006</v>
      </c>
      <c r="I304" s="346">
        <v>9.2309999999999999</v>
      </c>
      <c r="J304" s="346">
        <v>9.4090000000000007</v>
      </c>
      <c r="K304" s="346">
        <v>9.7430000000000003</v>
      </c>
      <c r="L304" s="346">
        <v>10.23</v>
      </c>
      <c r="M304" s="346">
        <v>11.722</v>
      </c>
      <c r="N304" s="346">
        <v>12.894</v>
      </c>
      <c r="O304" s="346">
        <v>12.375</v>
      </c>
      <c r="P304" s="346">
        <v>13.814</v>
      </c>
      <c r="Q304" s="346">
        <v>14.134</v>
      </c>
      <c r="R304" s="346">
        <v>16.634</v>
      </c>
      <c r="S304" s="346">
        <v>18.574000000000002</v>
      </c>
      <c r="T304" s="346">
        <v>22.416</v>
      </c>
      <c r="U304" s="346">
        <v>28.393000000000001</v>
      </c>
      <c r="V304" s="346">
        <f>(1+1.09)*R304</f>
        <v>34.765059999999998</v>
      </c>
      <c r="W304" s="347">
        <f>Div!F48</f>
        <v>104.14806000000002</v>
      </c>
      <c r="X304" s="346">
        <f>1.98*S304</f>
        <v>36.776520000000005</v>
      </c>
      <c r="Y304" s="346">
        <f>Y305-Y303</f>
        <v>38.936909999999997</v>
      </c>
      <c r="Z304" s="346">
        <f>Z305-Z303</f>
        <v>50.72916</v>
      </c>
      <c r="AA304" s="346">
        <f>1.59*V304</f>
        <v>55.2764454</v>
      </c>
      <c r="AB304" s="347">
        <f>Div!G48</f>
        <v>181.7190354</v>
      </c>
      <c r="AC304" s="346">
        <f>AC305-AC303</f>
        <v>59.320000000000007</v>
      </c>
      <c r="AD304" s="346">
        <f>AD305-AD303</f>
        <v>68.067000000000007</v>
      </c>
      <c r="AE304" s="346">
        <f>AE305-AE303</f>
        <v>79.890439737816024</v>
      </c>
      <c r="AF304" s="346">
        <f>AF305-AF303</f>
        <v>80</v>
      </c>
      <c r="AG304" s="347">
        <f>Div!H48</f>
        <v>287.27743973781605</v>
      </c>
      <c r="AH304" s="346">
        <f>AH305-AH303</f>
        <v>74.8</v>
      </c>
      <c r="AI304" s="346">
        <f>AI305-AI303</f>
        <v>76.802672717156526</v>
      </c>
      <c r="AJ304" s="346">
        <f>AJ305-AJ303</f>
        <v>86.788989964765705</v>
      </c>
      <c r="AK304" s="346">
        <f>AK305-AK303</f>
        <v>100.71467289261162</v>
      </c>
      <c r="AL304" s="347">
        <f>Div!I48</f>
        <v>339.10633557453383</v>
      </c>
      <c r="AM304" s="346">
        <f>AM305-AM303</f>
        <v>94.464569357391326</v>
      </c>
      <c r="AN304" s="346">
        <f>AN305-AN303</f>
        <v>98.338924782399161</v>
      </c>
      <c r="AO304" s="346">
        <f>AO305-AO303</f>
        <v>104.45471719090193</v>
      </c>
      <c r="AP304" s="346">
        <f>AP305-AP303</f>
        <v>116.08687430241108</v>
      </c>
      <c r="AQ304" s="347">
        <f>Div!J48</f>
        <v>413.34508563310351</v>
      </c>
      <c r="AR304" s="445">
        <f>AR305-AR303</f>
        <v>111.18924813567466</v>
      </c>
      <c r="AS304" s="445">
        <f>AS305-AS303</f>
        <v>126.77482300376386</v>
      </c>
      <c r="AT304" s="93">
        <f>AT305-AT303</f>
        <v>133.66991238135861</v>
      </c>
      <c r="AU304" s="93">
        <f>AU305-AU303</f>
        <v>136.30642332118688</v>
      </c>
      <c r="AV304" s="347">
        <f>Div!K48</f>
        <v>507.94040684198399</v>
      </c>
      <c r="AW304" s="93">
        <f>AW305-AW303</f>
        <v>134.90129862085593</v>
      </c>
      <c r="AX304" s="93">
        <f>AX305-AX303</f>
        <v>133.40563977070349</v>
      </c>
      <c r="AY304" s="93">
        <f>AY305-AY303</f>
        <v>137.73246368720672</v>
      </c>
      <c r="AZ304" s="93">
        <f>AZ305-AZ303</f>
        <v>150.53089775123789</v>
      </c>
      <c r="BA304" s="347">
        <f>Div!L48</f>
        <v>556.57029983000393</v>
      </c>
      <c r="BB304" s="13"/>
      <c r="BC304" s="13"/>
      <c r="BD304" s="13"/>
      <c r="BE304" s="13"/>
      <c r="BF304" s="347">
        <f>Div!M48</f>
        <v>568.56399999999996</v>
      </c>
      <c r="BG304" s="13"/>
      <c r="BH304" s="13"/>
      <c r="BI304" s="13"/>
      <c r="BJ304" s="13"/>
      <c r="BK304" s="347">
        <f>Div!N48</f>
        <v>544.67743937578575</v>
      </c>
      <c r="BL304" s="346"/>
      <c r="BM304" s="346"/>
      <c r="BN304" s="346"/>
      <c r="BO304" s="346"/>
      <c r="BP304" s="347">
        <f>Div!O48</f>
        <v>496.03714036951055</v>
      </c>
      <c r="BQ304" s="347"/>
      <c r="BR304" s="347"/>
      <c r="BS304" s="347"/>
      <c r="BT304" s="347"/>
      <c r="BU304" s="346"/>
      <c r="BV304" s="20">
        <f>S304/O304-1</f>
        <v>0.500929292929293</v>
      </c>
      <c r="BW304" s="20">
        <f>T304/P304-1</f>
        <v>0.6227016070652962</v>
      </c>
      <c r="BX304" s="20">
        <f>U304/Q304-1</f>
        <v>1.0088439224564878</v>
      </c>
      <c r="BY304" s="20">
        <f>V304/R304-1</f>
        <v>1.0899999999999999</v>
      </c>
      <c r="BZ304" s="20">
        <f>X304/S304-1</f>
        <v>0.9800000000000002</v>
      </c>
      <c r="CA304" s="20">
        <f>Y304/T304-1</f>
        <v>0.73701418629550308</v>
      </c>
      <c r="CB304" s="20">
        <f>Z304/U304-1</f>
        <v>0.78667840664952626</v>
      </c>
      <c r="CC304" s="20">
        <f>AA304/V304-1</f>
        <v>0.59000000000000008</v>
      </c>
      <c r="CD304" s="20">
        <f t="shared" ref="CD304:CG305" si="205">AC304/X304-1</f>
        <v>0.6129856767306967</v>
      </c>
      <c r="CE304" s="20">
        <f t="shared" si="205"/>
        <v>0.74813563788189685</v>
      </c>
      <c r="CF304" s="20">
        <f t="shared" si="205"/>
        <v>0.57484255086849512</v>
      </c>
      <c r="CG304" s="20">
        <f t="shared" si="205"/>
        <v>0.44727106493718205</v>
      </c>
      <c r="CH304" s="20">
        <f>AH304/AC304-1</f>
        <v>0.26095751854349269</v>
      </c>
      <c r="CI304" s="20">
        <f>AI304/AD304-1</f>
        <v>0.12833932327201891</v>
      </c>
      <c r="CJ304" s="16"/>
      <c r="CK304" s="16"/>
      <c r="CL304" s="16"/>
      <c r="CM304" s="16"/>
      <c r="CN304" s="16"/>
      <c r="CO304" s="16"/>
      <c r="CP304" s="16"/>
      <c r="CQ304" s="16"/>
      <c r="CR304" s="16"/>
      <c r="CS304" s="16"/>
      <c r="CT304" s="16"/>
      <c r="CU304" s="16"/>
      <c r="CV304" s="16"/>
      <c r="CW304" s="16"/>
      <c r="CX304" s="16"/>
      <c r="CY304" s="16"/>
      <c r="CZ304" s="16"/>
      <c r="DA304" s="16"/>
      <c r="DB304" s="16"/>
      <c r="DC304" s="16"/>
      <c r="DD304" s="16"/>
    </row>
    <row r="305" spans="4:108">
      <c r="D305" s="4" t="str">
        <f>D227</f>
        <v>SA inc Colombia</v>
      </c>
      <c r="E305" s="4"/>
      <c r="F305" s="4"/>
      <c r="G305" s="31"/>
      <c r="H305" s="31"/>
      <c r="I305" s="31"/>
      <c r="J305" s="31"/>
      <c r="K305" s="31"/>
      <c r="L305" s="31"/>
      <c r="M305" s="31"/>
      <c r="N305" s="31"/>
      <c r="O305" s="31">
        <f t="shared" ref="O305:T305" si="206">O304</f>
        <v>12.375</v>
      </c>
      <c r="P305" s="31">
        <f t="shared" si="206"/>
        <v>13.814</v>
      </c>
      <c r="Q305" s="31">
        <f t="shared" si="206"/>
        <v>14.134</v>
      </c>
      <c r="R305" s="31">
        <f t="shared" si="206"/>
        <v>16.634</v>
      </c>
      <c r="S305" s="31">
        <f t="shared" si="206"/>
        <v>18.574000000000002</v>
      </c>
      <c r="T305" s="31">
        <f t="shared" si="206"/>
        <v>22.416</v>
      </c>
      <c r="U305" s="31">
        <f>U304</f>
        <v>28.393000000000001</v>
      </c>
      <c r="V305" s="31">
        <v>48.585999999999999</v>
      </c>
      <c r="W305" s="46"/>
      <c r="X305" s="31">
        <v>55.792999999999999</v>
      </c>
      <c r="Y305" s="31">
        <v>65.716999999999999</v>
      </c>
      <c r="Z305" s="31">
        <v>79.8</v>
      </c>
      <c r="AA305" s="31">
        <v>75.3</v>
      </c>
      <c r="AB305" s="46">
        <f>AB303+AB304</f>
        <v>276.61</v>
      </c>
      <c r="AC305" s="31">
        <v>72.400000000000006</v>
      </c>
      <c r="AD305" s="31">
        <v>82.227000000000004</v>
      </c>
      <c r="AE305" s="31">
        <v>96.596000000000004</v>
      </c>
      <c r="AF305" s="31">
        <v>100</v>
      </c>
      <c r="AG305" s="46">
        <f>AG303+AG304</f>
        <v>351.22300000000001</v>
      </c>
      <c r="AH305" s="31">
        <v>93.6</v>
      </c>
      <c r="AI305" s="31">
        <v>97.6</v>
      </c>
      <c r="AJ305" s="31">
        <v>112.782</v>
      </c>
      <c r="AK305" s="31">
        <v>134.6</v>
      </c>
      <c r="AL305" s="46">
        <f>AL303+AL304</f>
        <v>438.58199999999999</v>
      </c>
      <c r="AM305" s="31">
        <v>132.31899999999999</v>
      </c>
      <c r="AN305" s="31">
        <v>138.12799999999999</v>
      </c>
      <c r="AO305" s="31">
        <v>151.315</v>
      </c>
      <c r="AP305" s="31">
        <v>167.983</v>
      </c>
      <c r="AQ305" s="46">
        <f>AQ303+AQ304</f>
        <v>589.745</v>
      </c>
      <c r="AR305" s="31">
        <f>165.315-2.8</f>
        <v>162.51499999999999</v>
      </c>
      <c r="AS305" s="31">
        <v>181.81200000000001</v>
      </c>
      <c r="AT305" s="31">
        <v>190.14099999999999</v>
      </c>
      <c r="AU305" s="31">
        <v>189</v>
      </c>
      <c r="AV305" s="46">
        <f>AV303+AV304</f>
        <v>723.46799999999996</v>
      </c>
      <c r="AW305" s="31">
        <v>186</v>
      </c>
      <c r="AX305" s="31">
        <v>185</v>
      </c>
      <c r="AY305" s="582">
        <f>181+8</f>
        <v>189</v>
      </c>
      <c r="AZ305" s="582">
        <f>197-AZ311</f>
        <v>204</v>
      </c>
      <c r="BA305" s="46">
        <f>BA303+BA304</f>
        <v>763.99999999999989</v>
      </c>
      <c r="BB305" s="31">
        <v>196</v>
      </c>
      <c r="BC305" s="31">
        <v>189</v>
      </c>
      <c r="BD305" s="31">
        <v>198</v>
      </c>
      <c r="BE305" s="31">
        <v>222</v>
      </c>
      <c r="BF305" s="46">
        <f>BF303+BF304</f>
        <v>805</v>
      </c>
      <c r="BG305" s="31">
        <v>198.34669390609511</v>
      </c>
      <c r="BH305" s="31">
        <v>197.82670830240974</v>
      </c>
      <c r="BI305" s="582">
        <f>276.46-4</f>
        <v>272.45999999999998</v>
      </c>
      <c r="BJ305" s="9">
        <v>307.29703716728091</v>
      </c>
      <c r="BK305" s="46">
        <f>BK303+BK304</f>
        <v>975.93043937578568</v>
      </c>
      <c r="BL305" s="582">
        <f>274+4.5</f>
        <v>278.5</v>
      </c>
      <c r="BM305" s="582">
        <f>272+10</f>
        <v>282</v>
      </c>
      <c r="BN305" s="582">
        <f>269-8</f>
        <v>261</v>
      </c>
      <c r="BO305" s="582">
        <f>231+18</f>
        <v>249</v>
      </c>
      <c r="BP305" s="46">
        <f>BP303+BP304</f>
        <v>1070.5</v>
      </c>
      <c r="BQ305" s="9">
        <f>'Country quarts'!M116</f>
        <v>240</v>
      </c>
      <c r="BR305" s="9">
        <f>'Country quarts'!N116</f>
        <v>251.6</v>
      </c>
      <c r="BS305" s="9">
        <f>'Country quarts'!O116</f>
        <v>251</v>
      </c>
      <c r="BT305" s="9">
        <f ca="1">'Country quarts'!P116</f>
        <v>228.34621816165634</v>
      </c>
      <c r="BU305" s="31"/>
      <c r="BV305" s="16"/>
      <c r="BW305" s="16"/>
      <c r="BX305" s="16"/>
      <c r="BY305" s="16"/>
      <c r="BZ305" s="16"/>
      <c r="CA305" s="16"/>
      <c r="CB305" s="16"/>
      <c r="CC305" s="16">
        <f>AA305/V305-1</f>
        <v>0.54982916889638989</v>
      </c>
      <c r="CD305" s="16">
        <f t="shared" si="205"/>
        <v>0.2976538275410896</v>
      </c>
      <c r="CE305" s="16">
        <f t="shared" si="205"/>
        <v>0.25122875359496022</v>
      </c>
      <c r="CF305" s="16">
        <f t="shared" si="205"/>
        <v>0.21047619047619048</v>
      </c>
      <c r="CG305" s="16">
        <f t="shared" si="205"/>
        <v>0.32802124833997359</v>
      </c>
      <c r="CH305" s="16">
        <f>AH305/AC305-1</f>
        <v>0.29281767955801086</v>
      </c>
      <c r="CI305" s="16">
        <f>AI305/AD305-1</f>
        <v>0.18695805514003894</v>
      </c>
      <c r="CJ305" s="16"/>
      <c r="CK305" s="16"/>
      <c r="CL305" s="16"/>
      <c r="CM305" s="16"/>
      <c r="CN305" s="16"/>
      <c r="CO305" s="16"/>
      <c r="CP305" s="16"/>
      <c r="CQ305" s="16"/>
      <c r="CR305" s="16"/>
      <c r="CS305" s="16"/>
      <c r="CT305" s="16"/>
      <c r="CU305" s="16"/>
      <c r="CV305" s="16"/>
      <c r="CW305" s="16"/>
      <c r="CX305" s="16"/>
      <c r="CY305" s="36">
        <f>BB305/AW305-1</f>
        <v>5.3763440860215006E-2</v>
      </c>
      <c r="CZ305" s="36">
        <f>BC305/AX305-1</f>
        <v>2.1621621621621623E-2</v>
      </c>
      <c r="DA305" s="36">
        <f>BD305/AY305-1</f>
        <v>4.7619047619047672E-2</v>
      </c>
      <c r="DB305" s="36">
        <f>BE305/AZ305-1</f>
        <v>8.8235294117646967E-2</v>
      </c>
      <c r="DC305" s="36">
        <f>BG305/BB305-1</f>
        <v>1.1972928092321977E-2</v>
      </c>
      <c r="DD305" s="36">
        <f>BH305/BC305-1</f>
        <v>4.6702160330210241E-2</v>
      </c>
    </row>
    <row r="306" spans="4:108">
      <c r="D306" s="4" t="s">
        <v>3605</v>
      </c>
      <c r="E306" s="4"/>
      <c r="F306" s="4"/>
      <c r="G306" s="31"/>
      <c r="H306" s="31"/>
      <c r="I306" s="31"/>
      <c r="J306" s="31"/>
      <c r="K306" s="31"/>
      <c r="L306" s="31"/>
      <c r="M306" s="31"/>
      <c r="N306" s="31"/>
      <c r="O306" s="31"/>
      <c r="P306" s="31"/>
      <c r="Q306" s="31"/>
      <c r="R306" s="31"/>
      <c r="S306" s="31"/>
      <c r="T306" s="31"/>
      <c r="U306" s="31"/>
      <c r="V306" s="31"/>
      <c r="W306" s="46"/>
      <c r="X306" s="31"/>
      <c r="Y306" s="31"/>
      <c r="Z306" s="31"/>
      <c r="AA306" s="31"/>
      <c r="AB306" s="46"/>
      <c r="AC306" s="31"/>
      <c r="AD306" s="31"/>
      <c r="AE306" s="31"/>
      <c r="AF306" s="31"/>
      <c r="AG306" s="46"/>
      <c r="AH306" s="31"/>
      <c r="AI306" s="31"/>
      <c r="AJ306" s="31"/>
      <c r="AK306" s="31"/>
      <c r="AL306" s="46"/>
      <c r="AM306" s="31"/>
      <c r="AN306" s="31"/>
      <c r="AO306" s="31"/>
      <c r="AP306" s="31"/>
      <c r="AQ306" s="46"/>
      <c r="AR306" s="31"/>
      <c r="AS306" s="31"/>
      <c r="AT306" s="31"/>
      <c r="AU306" s="31"/>
      <c r="AV306" s="46"/>
      <c r="AW306" s="31"/>
      <c r="AX306" s="31"/>
      <c r="AY306" s="582"/>
      <c r="AZ306" s="582"/>
      <c r="BA306" s="46"/>
      <c r="BB306" s="31"/>
      <c r="BC306" s="31"/>
      <c r="BD306" s="31"/>
      <c r="BE306" s="31"/>
      <c r="BF306" s="46"/>
      <c r="BG306" s="31"/>
      <c r="BH306" s="31"/>
      <c r="BI306" s="582">
        <f>52-4</f>
        <v>48</v>
      </c>
      <c r="BJ306" s="9">
        <v>81</v>
      </c>
      <c r="BK306" s="46">
        <f>Div!N47</f>
        <v>129</v>
      </c>
      <c r="BL306" s="582">
        <f>74+4.5</f>
        <v>78.5</v>
      </c>
      <c r="BM306" s="582">
        <f>81+5</f>
        <v>86</v>
      </c>
      <c r="BN306" s="582">
        <f>85-8</f>
        <v>77</v>
      </c>
      <c r="BO306" s="582"/>
      <c r="BP306" s="46">
        <f>Div!O47</f>
        <v>314.06167509778356</v>
      </c>
      <c r="BQ306" s="46"/>
      <c r="BR306" s="46"/>
      <c r="BS306" s="46"/>
      <c r="BT306" s="46"/>
      <c r="BU306" s="31"/>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36"/>
      <c r="CZ306" s="36"/>
      <c r="DA306" s="36"/>
      <c r="DB306" s="36"/>
      <c r="DC306" s="36"/>
      <c r="DD306" s="36"/>
    </row>
    <row r="307" spans="4:108">
      <c r="D307" s="12" t="s">
        <v>3792</v>
      </c>
      <c r="E307" s="12"/>
      <c r="F307" s="12"/>
      <c r="G307" s="93"/>
      <c r="H307" s="93"/>
      <c r="I307" s="93"/>
      <c r="J307" s="93"/>
      <c r="K307" s="93"/>
      <c r="L307" s="93"/>
      <c r="M307" s="93"/>
      <c r="N307" s="93"/>
      <c r="O307" s="93"/>
      <c r="P307" s="93"/>
      <c r="Q307" s="93"/>
      <c r="R307" s="93"/>
      <c r="S307" s="93"/>
      <c r="T307" s="93"/>
      <c r="U307" s="93"/>
      <c r="V307" s="93"/>
      <c r="W307" s="400"/>
      <c r="X307" s="93"/>
      <c r="Y307" s="93"/>
      <c r="Z307" s="93"/>
      <c r="AA307" s="93"/>
      <c r="AB307" s="400"/>
      <c r="AC307" s="93"/>
      <c r="AD307" s="93"/>
      <c r="AE307" s="93"/>
      <c r="AF307" s="93"/>
      <c r="AG307" s="400"/>
      <c r="AH307" s="93"/>
      <c r="AI307" s="93"/>
      <c r="AJ307" s="93"/>
      <c r="AK307" s="93"/>
      <c r="AL307" s="400"/>
      <c r="AM307" s="93"/>
      <c r="AN307" s="93"/>
      <c r="AO307" s="93"/>
      <c r="AP307" s="93"/>
      <c r="AQ307" s="400"/>
      <c r="AR307" s="93"/>
      <c r="AS307" s="93"/>
      <c r="AT307" s="93"/>
      <c r="AU307" s="93"/>
      <c r="AV307" s="400"/>
      <c r="AW307" s="93"/>
      <c r="AX307" s="93"/>
      <c r="AY307" s="421"/>
      <c r="AZ307" s="421"/>
      <c r="BA307" s="400"/>
      <c r="BB307" s="93"/>
      <c r="BC307" s="93"/>
      <c r="BD307" s="93"/>
      <c r="BE307" s="93"/>
      <c r="BF307" s="400"/>
      <c r="BG307" s="93"/>
      <c r="BH307" s="93"/>
      <c r="BI307" s="421"/>
      <c r="BJ307" s="13"/>
      <c r="BK307" s="400"/>
      <c r="BL307" s="93">
        <f>BL308-BL306</f>
        <v>72</v>
      </c>
      <c r="BM307" s="93">
        <f>BM308-BM306</f>
        <v>73</v>
      </c>
      <c r="BN307" s="93">
        <f>BN308-BN306</f>
        <v>59</v>
      </c>
      <c r="BO307" s="93"/>
      <c r="BP307" s="400"/>
      <c r="BQ307" s="46"/>
      <c r="BR307" s="46"/>
      <c r="BS307" s="46"/>
      <c r="BT307" s="46"/>
      <c r="BU307" s="31"/>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36"/>
      <c r="CZ307" s="36"/>
      <c r="DA307" s="36"/>
      <c r="DB307" s="36"/>
      <c r="DC307" s="36"/>
      <c r="DD307" s="36"/>
    </row>
    <row r="308" spans="4:108">
      <c r="D308" s="4" t="s">
        <v>1665</v>
      </c>
      <c r="E308" s="4"/>
      <c r="F308" s="4"/>
      <c r="G308" s="31"/>
      <c r="H308" s="31"/>
      <c r="I308" s="31"/>
      <c r="J308" s="31"/>
      <c r="K308" s="31"/>
      <c r="L308" s="31"/>
      <c r="M308" s="31"/>
      <c r="N308" s="31"/>
      <c r="O308" s="31"/>
      <c r="P308" s="31"/>
      <c r="Q308" s="31"/>
      <c r="R308" s="31"/>
      <c r="S308" s="31"/>
      <c r="T308" s="31"/>
      <c r="U308" s="31"/>
      <c r="V308" s="31"/>
      <c r="W308" s="46"/>
      <c r="X308" s="31"/>
      <c r="Y308" s="31"/>
      <c r="Z308" s="31"/>
      <c r="AA308" s="31"/>
      <c r="AB308" s="46"/>
      <c r="AC308" s="31"/>
      <c r="AD308" s="31"/>
      <c r="AE308" s="31"/>
      <c r="AF308" s="31"/>
      <c r="AG308" s="46"/>
      <c r="AH308" s="31"/>
      <c r="AI308" s="31"/>
      <c r="AJ308" s="31"/>
      <c r="AK308" s="31"/>
      <c r="AL308" s="46"/>
      <c r="AM308" s="31"/>
      <c r="AN308" s="31"/>
      <c r="AO308" s="31"/>
      <c r="AP308" s="31"/>
      <c r="AQ308" s="46"/>
      <c r="AR308" s="31"/>
      <c r="AS308" s="31"/>
      <c r="AT308" s="31"/>
      <c r="AU308" s="31"/>
      <c r="AV308" s="46"/>
      <c r="AW308" s="31"/>
      <c r="AX308" s="31"/>
      <c r="AY308" s="582"/>
      <c r="AZ308" s="582"/>
      <c r="BA308" s="46"/>
      <c r="BB308" s="31"/>
      <c r="BC308" s="31"/>
      <c r="BD308" s="31"/>
      <c r="BE308" s="31"/>
      <c r="BF308" s="46"/>
      <c r="BG308" s="31"/>
      <c r="BH308" s="31"/>
      <c r="BI308" s="582"/>
      <c r="BJ308" s="9"/>
      <c r="BK308" s="46"/>
      <c r="BL308" s="582">
        <f>146+4.5</f>
        <v>150.5</v>
      </c>
      <c r="BM308" s="582">
        <f>149+10</f>
        <v>159</v>
      </c>
      <c r="BN308" s="582">
        <f>144-8</f>
        <v>136</v>
      </c>
      <c r="BO308" s="582">
        <f>107+18</f>
        <v>125</v>
      </c>
      <c r="BP308" s="46"/>
      <c r="BQ308" s="46"/>
      <c r="BR308" s="46"/>
      <c r="BS308" s="46"/>
      <c r="BT308" s="46"/>
      <c r="BU308" s="31"/>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36"/>
      <c r="CZ308" s="36"/>
      <c r="DA308" s="36"/>
      <c r="DB308" s="36"/>
      <c r="DC308" s="36"/>
      <c r="DD308" s="36"/>
    </row>
    <row r="309" spans="4:108">
      <c r="D309" s="4"/>
      <c r="E309" s="4"/>
      <c r="F309" s="4"/>
      <c r="G309" s="31"/>
      <c r="H309" s="31"/>
      <c r="I309" s="31"/>
      <c r="J309" s="31"/>
      <c r="K309" s="31"/>
      <c r="L309" s="31"/>
      <c r="M309" s="31"/>
      <c r="N309" s="31"/>
      <c r="O309" s="31"/>
      <c r="P309" s="31"/>
      <c r="Q309" s="31"/>
      <c r="R309" s="31"/>
      <c r="S309" s="31"/>
      <c r="T309" s="31"/>
      <c r="U309" s="31"/>
      <c r="V309" s="31"/>
      <c r="W309" s="46"/>
      <c r="X309" s="31"/>
      <c r="Y309" s="31"/>
      <c r="Z309" s="31"/>
      <c r="AA309" s="31"/>
      <c r="AB309" s="46"/>
      <c r="AC309" s="31"/>
      <c r="AD309" s="31"/>
      <c r="AE309" s="31"/>
      <c r="AF309" s="31"/>
      <c r="AG309" s="46"/>
      <c r="AH309" s="31"/>
      <c r="AI309" s="31"/>
      <c r="AJ309" s="31"/>
      <c r="AK309" s="31"/>
      <c r="AL309" s="46"/>
      <c r="AM309" s="31"/>
      <c r="AN309" s="31"/>
      <c r="AO309" s="31"/>
      <c r="AP309" s="31"/>
      <c r="AQ309" s="46"/>
      <c r="AR309" s="31"/>
      <c r="AS309" s="31"/>
      <c r="AT309" s="31"/>
      <c r="AU309" s="31"/>
      <c r="AV309" s="46"/>
      <c r="AW309" s="31"/>
      <c r="AX309" s="31"/>
      <c r="AY309" s="582"/>
      <c r="AZ309" s="582"/>
      <c r="BA309" s="46"/>
      <c r="BB309" s="31"/>
      <c r="BC309" s="31"/>
      <c r="BD309" s="31"/>
      <c r="BE309" s="31"/>
      <c r="BF309" s="46"/>
      <c r="BG309" s="31"/>
      <c r="BH309" s="31"/>
      <c r="BI309" s="31"/>
      <c r="BJ309" s="31"/>
      <c r="BK309" s="46"/>
      <c r="BL309" s="31"/>
      <c r="BM309" s="31"/>
      <c r="BN309" s="31"/>
      <c r="BO309" s="31"/>
      <c r="BP309" s="46"/>
      <c r="BQ309" s="46"/>
      <c r="BR309" s="46"/>
      <c r="BS309" s="46"/>
      <c r="BT309" s="46"/>
      <c r="BU309" s="31"/>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36"/>
      <c r="CZ309" s="36"/>
      <c r="DA309" s="36"/>
      <c r="DB309" s="36"/>
      <c r="DC309" s="36"/>
      <c r="DD309" s="36"/>
    </row>
    <row r="310" spans="4:108">
      <c r="D310" s="4" t="s">
        <v>1831</v>
      </c>
      <c r="G310" s="9">
        <v>6.9550000000000001</v>
      </c>
      <c r="H310" s="9">
        <v>8.3170000000000002</v>
      </c>
      <c r="I310" s="9">
        <v>8.9290000000000003</v>
      </c>
      <c r="J310" s="9">
        <v>11.456</v>
      </c>
      <c r="K310" s="9">
        <v>13.319000000000001</v>
      </c>
      <c r="L310" s="9">
        <v>13.981</v>
      </c>
      <c r="M310" s="9">
        <v>16.748000000000001</v>
      </c>
      <c r="N310" s="9">
        <v>21.76</v>
      </c>
      <c r="O310" s="9">
        <v>21.21</v>
      </c>
      <c r="P310" s="9">
        <v>23.568000000000001</v>
      </c>
      <c r="Q310" s="9">
        <v>21.943000000000001</v>
      </c>
      <c r="R310" s="9">
        <v>21.446000000000002</v>
      </c>
      <c r="S310" s="9">
        <v>29.702000000000002</v>
      </c>
      <c r="T310" s="9">
        <v>28.943999999999999</v>
      </c>
      <c r="U310" s="9">
        <v>31.094999999999999</v>
      </c>
      <c r="V310" s="9">
        <v>32.831000000000003</v>
      </c>
      <c r="W310" s="133">
        <f>Div!F49</f>
        <v>122.572</v>
      </c>
      <c r="X310" s="9">
        <v>38.536999999999999</v>
      </c>
      <c r="Y310" s="289">
        <f>33.4+3</f>
        <v>36.4</v>
      </c>
      <c r="Z310" s="9">
        <v>33.700000000000003</v>
      </c>
      <c r="AA310" s="9">
        <v>43.9</v>
      </c>
      <c r="AB310" s="133">
        <f>Div!G49</f>
        <v>152.53700000000001</v>
      </c>
      <c r="AC310" s="289">
        <v>52.588999999999999</v>
      </c>
      <c r="AD310" s="289">
        <v>56.63</v>
      </c>
      <c r="AE310" s="289">
        <v>64.037000000000006</v>
      </c>
      <c r="AF310" s="289">
        <f>64</f>
        <v>64</v>
      </c>
      <c r="AG310" s="133">
        <f>Div!H49</f>
        <v>237.256</v>
      </c>
      <c r="AH310" s="9">
        <v>58.9</v>
      </c>
      <c r="AI310" s="9">
        <v>61.7</v>
      </c>
      <c r="AJ310" s="9">
        <v>74.819000000000003</v>
      </c>
      <c r="AK310" s="9">
        <v>89.4</v>
      </c>
      <c r="AL310" s="133">
        <f>Div!I49</f>
        <v>284.81899999999996</v>
      </c>
      <c r="AM310" s="9">
        <v>83.334999999999994</v>
      </c>
      <c r="AN310" s="289">
        <f>81.001+5</f>
        <v>86.001000000000005</v>
      </c>
      <c r="AO310" s="9">
        <v>94.004999999999995</v>
      </c>
      <c r="AP310" s="9">
        <v>99.697000000000003</v>
      </c>
      <c r="AQ310" s="133">
        <f>Div!J49</f>
        <v>363.03800000000001</v>
      </c>
      <c r="AR310" s="9">
        <v>97.908000000000001</v>
      </c>
      <c r="AS310" s="9">
        <v>99.052000000000007</v>
      </c>
      <c r="AT310" s="9">
        <v>104</v>
      </c>
      <c r="AU310" s="9">
        <v>102</v>
      </c>
      <c r="AV310" s="133">
        <f>Div!K49</f>
        <v>402.96000000000004</v>
      </c>
      <c r="AW310" s="9">
        <v>90</v>
      </c>
      <c r="AX310" s="555">
        <f>91+(0.006*$AX$3)</f>
        <v>98.085999999999999</v>
      </c>
      <c r="AY310" s="9">
        <v>92</v>
      </c>
      <c r="AZ310" s="9">
        <v>87</v>
      </c>
      <c r="BA310" s="133">
        <f>Div!L49</f>
        <v>367.08600000000001</v>
      </c>
      <c r="BB310" s="9">
        <v>71</v>
      </c>
      <c r="BC310" s="9">
        <v>67</v>
      </c>
      <c r="BD310" s="417">
        <f>55+9</f>
        <v>64</v>
      </c>
      <c r="BE310" s="758">
        <f>58+2.2</f>
        <v>60.2</v>
      </c>
      <c r="BF310" s="133">
        <f>Div!M49</f>
        <v>262.2</v>
      </c>
      <c r="BG310" s="9">
        <v>52.579124618046492</v>
      </c>
      <c r="BH310" s="9">
        <v>62.829938521996937</v>
      </c>
      <c r="BI310" s="793">
        <f>54.688+8</f>
        <v>62.688000000000002</v>
      </c>
      <c r="BJ310" s="9">
        <v>48.38</v>
      </c>
      <c r="BK310" s="133">
        <f>Div!N49</f>
        <v>226.47706314004341</v>
      </c>
      <c r="BL310" s="9">
        <v>57</v>
      </c>
      <c r="BM310" s="9">
        <v>52</v>
      </c>
      <c r="BN310" s="9">
        <v>48</v>
      </c>
      <c r="BO310" s="1021">
        <f>17+26</f>
        <v>43</v>
      </c>
      <c r="BP310" s="133">
        <f>Div!O49</f>
        <v>200</v>
      </c>
      <c r="BQ310" s="9">
        <f>'Country quarts'!M117</f>
        <v>57</v>
      </c>
      <c r="BR310" s="9">
        <f>'Country quarts'!N117</f>
        <v>62</v>
      </c>
      <c r="BS310" s="9">
        <f>'Country quarts'!O117</f>
        <v>64</v>
      </c>
      <c r="BT310" s="9">
        <f ca="1">'Country quarts'!P117</f>
        <v>65.12673786484811</v>
      </c>
      <c r="BU310" s="9"/>
      <c r="BV310" s="16">
        <f>S310/O310-1</f>
        <v>0.40037718057520033</v>
      </c>
      <c r="BW310" s="16">
        <f>T310/P310-1</f>
        <v>0.22810590631364547</v>
      </c>
      <c r="BX310" s="16">
        <f>U310/Q310-1</f>
        <v>0.41708061796472662</v>
      </c>
      <c r="BY310" s="16">
        <f>V310/R310-1</f>
        <v>0.53086822717523074</v>
      </c>
      <c r="BZ310" s="16">
        <f>X310/S310-1</f>
        <v>0.29745471685408376</v>
      </c>
      <c r="CA310" s="16">
        <f>Y310/T310-1</f>
        <v>0.25760088446655605</v>
      </c>
      <c r="CB310" s="16">
        <f>Z310/U310-1</f>
        <v>8.3775526611995721E-2</v>
      </c>
      <c r="CC310" s="16">
        <f>AA310/V310-1</f>
        <v>0.33715086351314283</v>
      </c>
      <c r="CD310" s="16">
        <f>AC310/X310-1</f>
        <v>0.36463658302410673</v>
      </c>
      <c r="CE310" s="16">
        <f>AD310/Y310-1</f>
        <v>0.55576923076923079</v>
      </c>
      <c r="CF310" s="16">
        <f>AE310/Z310-1</f>
        <v>0.90020771513353126</v>
      </c>
      <c r="CG310" s="16">
        <f>AF310/AA310-1</f>
        <v>0.45785876993166297</v>
      </c>
      <c r="CH310" s="16">
        <f>AH310/AC310-1</f>
        <v>0.12000608492270248</v>
      </c>
      <c r="CI310" s="16">
        <f>AI310/AD310-1</f>
        <v>8.9528518453116712E-2</v>
      </c>
      <c r="CJ310" s="16"/>
      <c r="CK310" s="16"/>
      <c r="CL310" s="16"/>
      <c r="CM310" s="16"/>
      <c r="CN310" s="16"/>
      <c r="CO310" s="16"/>
      <c r="CP310" s="16"/>
      <c r="CQ310" s="16"/>
      <c r="CR310" s="16"/>
      <c r="CS310" s="16"/>
      <c r="CT310" s="16"/>
      <c r="CU310" s="16"/>
      <c r="CV310" s="16"/>
      <c r="CW310" s="16"/>
      <c r="CX310" s="16"/>
      <c r="CY310" s="36">
        <f>BB310/AW310-1</f>
        <v>-0.21111111111111114</v>
      </c>
      <c r="CZ310" s="36">
        <f>BC310/AX310-1</f>
        <v>-0.31692596293048958</v>
      </c>
      <c r="DA310" s="36">
        <f>BD310/AY310-1</f>
        <v>-0.30434782608695654</v>
      </c>
      <c r="DB310" s="36">
        <f>BE310/AZ310-1</f>
        <v>-0.30804597701149417</v>
      </c>
      <c r="DC310" s="36">
        <f>BG310/BB310-1</f>
        <v>-0.25944894904159865</v>
      </c>
      <c r="DD310" s="36">
        <f>BH310/BC310-1</f>
        <v>-6.2239723552284576E-2</v>
      </c>
    </row>
    <row r="311" spans="4:108">
      <c r="D311" s="4" t="s">
        <v>1540</v>
      </c>
      <c r="G311" s="13">
        <v>0.67</v>
      </c>
      <c r="H311" s="13">
        <v>0.88700000000000001</v>
      </c>
      <c r="I311" s="13">
        <v>0.32900000000000001</v>
      </c>
      <c r="J311" s="13">
        <v>-8.5000000000000006E-2</v>
      </c>
      <c r="K311" s="13">
        <v>-0.26200000000000001</v>
      </c>
      <c r="L311" s="13">
        <v>-0.22700000000000001</v>
      </c>
      <c r="M311" s="13">
        <v>0.10100000000000001</v>
      </c>
      <c r="N311" s="13">
        <v>-0.78700000000000003</v>
      </c>
      <c r="O311" s="13">
        <v>5.8000000000000003E-2</v>
      </c>
      <c r="P311" s="13">
        <v>-0.185</v>
      </c>
      <c r="Q311" s="13">
        <v>-0.45600000000000002</v>
      </c>
      <c r="R311" s="13">
        <v>-1.613</v>
      </c>
      <c r="S311" s="13">
        <v>-0.22700000000000001</v>
      </c>
      <c r="T311" s="13">
        <v>-0.104</v>
      </c>
      <c r="U311" s="13">
        <v>0</v>
      </c>
      <c r="V311" s="13">
        <v>0</v>
      </c>
      <c r="W311" s="87">
        <f>Div!F52</f>
        <v>-1</v>
      </c>
      <c r="X311" s="290"/>
      <c r="Y311" s="290"/>
      <c r="Z311" s="290"/>
      <c r="AA311" s="290"/>
      <c r="AB311" s="87">
        <f>Div!G52</f>
        <v>-1</v>
      </c>
      <c r="AC311" s="290"/>
      <c r="AD311" s="290"/>
      <c r="AE311" s="290"/>
      <c r="AF311" s="290"/>
      <c r="AG311" s="87">
        <f>Div!H52</f>
        <v>-1</v>
      </c>
      <c r="AH311" s="290"/>
      <c r="AI311" s="290"/>
      <c r="AJ311" s="290"/>
      <c r="AK311" s="290"/>
      <c r="AL311" s="87">
        <f>Div!I52</f>
        <v>-1</v>
      </c>
      <c r="AM311" s="290"/>
      <c r="AN311" s="290"/>
      <c r="AO311" s="290"/>
      <c r="AP311" s="290"/>
      <c r="AQ311" s="87">
        <f>Div!J52</f>
        <v>-1</v>
      </c>
      <c r="AR311" s="290"/>
      <c r="AS311" s="290"/>
      <c r="AT311" s="290"/>
      <c r="AU311" s="290"/>
      <c r="AV311" s="87">
        <f>Div!K52</f>
        <v>-1</v>
      </c>
      <c r="AW311" s="290">
        <v>0</v>
      </c>
      <c r="AX311" s="290">
        <v>0</v>
      </c>
      <c r="AY311" s="290">
        <v>-2</v>
      </c>
      <c r="AZ311" s="290">
        <v>-7</v>
      </c>
      <c r="BA311" s="87">
        <f>Div!L52+Div!L51</f>
        <v>-10</v>
      </c>
      <c r="BB311" s="13">
        <v>0</v>
      </c>
      <c r="BC311" s="13">
        <v>0</v>
      </c>
      <c r="BD311" s="13">
        <v>0</v>
      </c>
      <c r="BE311" s="13">
        <v>0</v>
      </c>
      <c r="BF311" s="87">
        <f>Div!M52+Div!M51</f>
        <v>-1</v>
      </c>
      <c r="BG311" s="13">
        <v>0</v>
      </c>
      <c r="BH311" s="13">
        <v>0</v>
      </c>
      <c r="BI311" s="13">
        <v>0</v>
      </c>
      <c r="BJ311" s="13">
        <v>0</v>
      </c>
      <c r="BK311" s="87">
        <f>Div!N52+Div!N51</f>
        <v>0</v>
      </c>
      <c r="BL311" s="13">
        <v>0</v>
      </c>
      <c r="BM311" s="13">
        <v>-2</v>
      </c>
      <c r="BN311" s="13"/>
      <c r="BO311" s="13">
        <v>7</v>
      </c>
      <c r="BP311" s="87">
        <f>Div!O52+Div!O51</f>
        <v>0</v>
      </c>
      <c r="BQ311" s="87"/>
      <c r="BR311" s="87"/>
      <c r="BS311" s="87"/>
      <c r="BT311" s="87"/>
      <c r="BU311" s="13"/>
      <c r="BV311" s="20"/>
      <c r="BW311" s="20"/>
      <c r="BX311" s="20"/>
      <c r="BY311" s="20"/>
      <c r="BZ311" s="20"/>
      <c r="CA311" s="20"/>
      <c r="CB311" s="20"/>
      <c r="CC311" s="20"/>
      <c r="CD311" s="20"/>
      <c r="CE311" s="20"/>
      <c r="CF311" s="20"/>
      <c r="CG311" s="20"/>
      <c r="CH311" s="20"/>
      <c r="CI311" s="20"/>
      <c r="CJ311" s="20"/>
      <c r="CK311" s="20"/>
      <c r="CL311" s="16"/>
      <c r="CM311" s="16"/>
      <c r="CN311" s="16"/>
      <c r="CO311" s="16"/>
      <c r="CP311" s="16"/>
      <c r="CQ311" s="16"/>
      <c r="CR311" s="16"/>
      <c r="CS311" s="16"/>
      <c r="CT311" s="16"/>
      <c r="CU311" s="16"/>
      <c r="CV311" s="16"/>
      <c r="CW311" s="16"/>
      <c r="CX311" s="16"/>
      <c r="CY311" s="16"/>
      <c r="CZ311" s="16"/>
      <c r="DA311" s="16"/>
      <c r="DB311" s="16"/>
      <c r="DC311" s="16"/>
      <c r="DD311" s="16"/>
    </row>
    <row r="312" spans="4:108">
      <c r="D312" s="2" t="s">
        <v>3348</v>
      </c>
      <c r="E312" s="2"/>
      <c r="F312" s="2"/>
      <c r="G312" s="10">
        <f t="shared" ref="G312:N312" si="207">SUM(G297:G311)</f>
        <v>68.960999999999999</v>
      </c>
      <c r="H312" s="10">
        <f t="shared" si="207"/>
        <v>73.402999999999992</v>
      </c>
      <c r="I312" s="10">
        <f t="shared" si="207"/>
        <v>82.861999999999995</v>
      </c>
      <c r="J312" s="10">
        <f t="shared" si="207"/>
        <v>92.976000000000013</v>
      </c>
      <c r="K312" s="10">
        <f t="shared" si="207"/>
        <v>106.56599999999999</v>
      </c>
      <c r="L312" s="10">
        <f t="shared" si="207"/>
        <v>107.521</v>
      </c>
      <c r="M312" s="10">
        <f t="shared" si="207"/>
        <v>117.408</v>
      </c>
      <c r="N312" s="10">
        <f t="shared" si="207"/>
        <v>123.76800000000001</v>
      </c>
      <c r="O312" s="10">
        <f t="shared" ref="O312:U312" si="208">O297+O298+O300+O304+O310+O311</f>
        <v>126.473</v>
      </c>
      <c r="P312" s="10">
        <f t="shared" si="208"/>
        <v>122.23</v>
      </c>
      <c r="Q312" s="10">
        <f t="shared" si="208"/>
        <v>110.82599999999999</v>
      </c>
      <c r="R312" s="10">
        <f t="shared" si="208"/>
        <v>130.16900000000001</v>
      </c>
      <c r="S312" s="10">
        <f t="shared" si="208"/>
        <v>142.202</v>
      </c>
      <c r="T312" s="10">
        <f t="shared" si="208"/>
        <v>156.62699999999998</v>
      </c>
      <c r="U312" s="10">
        <f t="shared" si="208"/>
        <v>178.72299999999998</v>
      </c>
      <c r="V312" s="10">
        <f>V299+V300+V305+V310+V311</f>
        <v>228.92100000000005</v>
      </c>
      <c r="W312" s="181">
        <f>SUM(W297:W311)</f>
        <v>641.15006000000005</v>
      </c>
      <c r="X312" s="10">
        <f>X299+X300+X305+X310+X311</f>
        <v>248.077</v>
      </c>
      <c r="Y312" s="10">
        <f t="shared" ref="Y312:AD312" si="209">Y299+Y300+Y305+Y310+Y311</f>
        <v>265.46999999999997</v>
      </c>
      <c r="Z312" s="10">
        <f t="shared" si="209"/>
        <v>296</v>
      </c>
      <c r="AA312" s="10">
        <f t="shared" si="209"/>
        <v>309.39999999999998</v>
      </c>
      <c r="AB312" s="181">
        <f>AB299+AB300+AB305+AB310+AB311</f>
        <v>1117.9470000000001</v>
      </c>
      <c r="AC312" s="10">
        <f t="shared" si="209"/>
        <v>337.73899999999998</v>
      </c>
      <c r="AD312" s="10">
        <f t="shared" si="209"/>
        <v>353.44100000000003</v>
      </c>
      <c r="AE312" s="10">
        <f>AE299+AE300+AE305+AE310+AE311</f>
        <v>370.57000000000005</v>
      </c>
      <c r="AF312" s="317">
        <f>406-AF299</f>
        <v>382</v>
      </c>
      <c r="AG312" s="181">
        <f>AG299+AG300+AG305+AG310+AG311</f>
        <v>1447.75</v>
      </c>
      <c r="AH312" s="10">
        <f>AH302+AH305+AH310+AH311</f>
        <v>378.20699999999999</v>
      </c>
      <c r="AI312" s="10">
        <f t="shared" ref="AI312:AX312" si="210">AI302+AI305+AI310+AI311</f>
        <v>399.40100000000001</v>
      </c>
      <c r="AJ312" s="10">
        <f t="shared" si="210"/>
        <v>417.988</v>
      </c>
      <c r="AK312" s="10">
        <f t="shared" si="210"/>
        <v>457.62299999999993</v>
      </c>
      <c r="AL312" s="181">
        <f t="shared" si="210"/>
        <v>1560.1320000000001</v>
      </c>
      <c r="AM312" s="10">
        <f t="shared" si="210"/>
        <v>451.04500000000002</v>
      </c>
      <c r="AN312" s="317">
        <f>AN302+AN305+AN310+AN311</f>
        <v>468.97399999999993</v>
      </c>
      <c r="AO312" s="10">
        <f t="shared" si="210"/>
        <v>483.78999999999996</v>
      </c>
      <c r="AP312" s="10">
        <f t="shared" si="210"/>
        <v>501.00599999999997</v>
      </c>
      <c r="AQ312" s="181">
        <f>AQ302+AQ305+AQ310+AQ311</f>
        <v>1795.971</v>
      </c>
      <c r="AR312" s="10">
        <f t="shared" si="210"/>
        <v>506.45600000000002</v>
      </c>
      <c r="AS312" s="10">
        <f t="shared" si="210"/>
        <v>520.202</v>
      </c>
      <c r="AT312" s="10">
        <f t="shared" si="210"/>
        <v>528.77800000000002</v>
      </c>
      <c r="AU312" s="10">
        <f t="shared" si="210"/>
        <v>536</v>
      </c>
      <c r="AV312" s="181">
        <f>AV302+AV305+AV310+AV311</f>
        <v>2090.4360000000001</v>
      </c>
      <c r="AW312" s="10">
        <f t="shared" si="210"/>
        <v>517</v>
      </c>
      <c r="AX312" s="10">
        <f t="shared" si="210"/>
        <v>520.08600000000001</v>
      </c>
      <c r="AY312" s="10">
        <f t="shared" ref="AY312:BF312" si="211">AY302+AY305+AY310+AY311</f>
        <v>515</v>
      </c>
      <c r="AZ312" s="10">
        <f t="shared" si="211"/>
        <v>528</v>
      </c>
      <c r="BA312" s="181">
        <f t="shared" si="211"/>
        <v>2079.0860000000002</v>
      </c>
      <c r="BB312" s="10">
        <f t="shared" si="211"/>
        <v>562</v>
      </c>
      <c r="BC312" s="10">
        <f>BC302+BC305+BC310+BC311</f>
        <v>553</v>
      </c>
      <c r="BD312" s="10">
        <f>BD302+BD305+BD310+BD311</f>
        <v>550</v>
      </c>
      <c r="BE312" s="10">
        <f>BE302+BE305+BE310+BE311</f>
        <v>575.40000000000009</v>
      </c>
      <c r="BF312" s="181">
        <f t="shared" si="211"/>
        <v>2239.4</v>
      </c>
      <c r="BG312" s="10">
        <f t="shared" ref="BG312:BP312" si="212">BG302+BG305+BG310+BG311</f>
        <v>536.77433143151484</v>
      </c>
      <c r="BH312" s="10">
        <f t="shared" si="212"/>
        <v>551.45265428494042</v>
      </c>
      <c r="BI312" s="10">
        <f t="shared" si="212"/>
        <v>616.85542620690615</v>
      </c>
      <c r="BJ312" s="10">
        <f t="shared" si="212"/>
        <v>650.33615623551214</v>
      </c>
      <c r="BK312" s="181">
        <f t="shared" si="212"/>
        <v>2355.4185681588733</v>
      </c>
      <c r="BL312" s="584">
        <f>BL302+BL305+BL310+BL311</f>
        <v>626.5</v>
      </c>
      <c r="BM312" s="584">
        <f>BM302+BM305+BM310+BM311</f>
        <v>623</v>
      </c>
      <c r="BN312" s="584">
        <f t="shared" si="212"/>
        <v>601</v>
      </c>
      <c r="BO312" s="584">
        <f t="shared" si="212"/>
        <v>597</v>
      </c>
      <c r="BP312" s="181">
        <f t="shared" si="212"/>
        <v>2442.5</v>
      </c>
      <c r="BQ312" s="10">
        <f>'Country quarts'!M119</f>
        <v>589.65200000000004</v>
      </c>
      <c r="BR312" s="10">
        <f>'Country quarts'!N119</f>
        <v>599.82399999999996</v>
      </c>
      <c r="BS312" s="10">
        <f>'Country quarts'!O119</f>
        <v>599</v>
      </c>
      <c r="BT312" s="10">
        <f ca="1">'Country quarts'!P119</f>
        <v>549.72149267964767</v>
      </c>
      <c r="BU312" s="10"/>
      <c r="BV312" s="19">
        <f>S312/O312-1</f>
        <v>0.1243664655697263</v>
      </c>
      <c r="BW312" s="19">
        <f>T312/P312-1</f>
        <v>0.28141209195778427</v>
      </c>
      <c r="BX312" s="19">
        <f>U312/Q312-1</f>
        <v>0.61264504719109225</v>
      </c>
      <c r="BY312" s="19">
        <f>V312/R312-1</f>
        <v>0.75864453134002741</v>
      </c>
      <c r="BZ312" s="19">
        <f>X312/S312-1</f>
        <v>0.74453945795417797</v>
      </c>
      <c r="CA312" s="19">
        <f>Y312/T312-1</f>
        <v>0.69491850064165184</v>
      </c>
      <c r="CB312" s="19">
        <f>Z312/U312-1</f>
        <v>0.65619422234407443</v>
      </c>
      <c r="CC312" s="19">
        <f>AA312/V312-1</f>
        <v>0.35155796104332904</v>
      </c>
      <c r="CD312" s="19">
        <f>(AC312-AC299)/(X312-X299)-1</f>
        <v>0.35456697419533834</v>
      </c>
      <c r="CE312" s="19">
        <f>(AD312-AD299)/(Y312-Y299)-1</f>
        <v>0.33114573561202465</v>
      </c>
      <c r="CF312" s="19">
        <f>(AE312-AE299)/(Z312-Z299)-1</f>
        <v>0.25822651128914798</v>
      </c>
      <c r="CG312" s="19">
        <f>(AF312-AF299-AF301)/(AA312-AA299)-1</f>
        <v>0.18508191007319641</v>
      </c>
      <c r="CH312" s="318">
        <f>(AH312-AH301-AH299)/(AC312-AC299)-1</f>
        <v>7.4472136961134972E-2</v>
      </c>
      <c r="CI312" s="318">
        <f>(AI312-AI301-AI299)/(AD312-AD299)-1</f>
        <v>0.14813226007102642</v>
      </c>
      <c r="CJ312" s="318">
        <f>(AJ312-AJ301-AJ299)/(AE312-AE299)-1</f>
        <v>0.14034945544110244</v>
      </c>
      <c r="CK312" s="19">
        <f>(AK312-AK299)/(AF312-AF299)-1</f>
        <v>0.27827653631284899</v>
      </c>
      <c r="CL312" s="19">
        <f>AM312/AH312-1</f>
        <v>0.19258765702379921</v>
      </c>
      <c r="CM312" s="19">
        <f>AN312/AI312-1</f>
        <v>0.17419335454843599</v>
      </c>
      <c r="CN312" s="19">
        <f>AO312/AJ312-1</f>
        <v>0.15742557202599117</v>
      </c>
      <c r="CO312" s="19">
        <f>AP312/AK312-1</f>
        <v>9.480074209556788E-2</v>
      </c>
      <c r="CP312" s="19">
        <f>AR312/AM312-1</f>
        <v>0.12285026992872106</v>
      </c>
      <c r="CQ312" s="19">
        <f>AS312/AN312-1</f>
        <v>0.10923420061666556</v>
      </c>
      <c r="CR312" s="19">
        <f>AT312/AO312-1</f>
        <v>9.2990760453916188E-2</v>
      </c>
      <c r="CS312" s="19">
        <f>AU312/AP312-1</f>
        <v>6.9847466896604038E-2</v>
      </c>
      <c r="CT312" s="19">
        <f>AW312/AR312-1</f>
        <v>2.0819182712812134E-2</v>
      </c>
      <c r="CU312" s="19"/>
      <c r="CV312" s="19">
        <f>AX312/AS312-1</f>
        <v>-2.2299029992189912E-4</v>
      </c>
      <c r="CW312" s="19">
        <f>AY312/AT312-1</f>
        <v>-2.6056303401427505E-2</v>
      </c>
      <c r="CX312" s="19">
        <f>AZ312/AU312-1</f>
        <v>-1.4925373134328401E-2</v>
      </c>
      <c r="CY312" s="19">
        <f>BB312/AW312-1</f>
        <v>8.7040618955512628E-2</v>
      </c>
      <c r="CZ312" s="19">
        <f>BC312/AX312-1</f>
        <v>6.3285687367089283E-2</v>
      </c>
      <c r="DA312" s="19">
        <f>BD312/AY312-1</f>
        <v>6.7961165048543659E-2</v>
      </c>
      <c r="DB312" s="19">
        <f>BE312/AZ312-1</f>
        <v>8.9772727272727337E-2</v>
      </c>
      <c r="DC312" s="19">
        <f>BG312/BB312-1</f>
        <v>-4.4885531260649758E-2</v>
      </c>
      <c r="DD312" s="19">
        <f>BH312/BC312-1</f>
        <v>-2.7980935172867705E-3</v>
      </c>
    </row>
    <row r="313" spans="4:108">
      <c r="D313" s="4" t="str">
        <f>D245</f>
        <v>Online</v>
      </c>
      <c r="L313" s="7">
        <v>-26.606999999999999</v>
      </c>
      <c r="M313" s="7">
        <v>-28.995000000000001</v>
      </c>
      <c r="N313" s="7">
        <v>-29.634</v>
      </c>
      <c r="O313" s="7">
        <v>-34.863</v>
      </c>
      <c r="P313" s="7">
        <v>-19.553999999999998</v>
      </c>
      <c r="Q313" s="7">
        <v>1.2509999999999999</v>
      </c>
      <c r="R313" s="7">
        <v>0.42499999999999999</v>
      </c>
      <c r="S313" s="7">
        <v>0</v>
      </c>
      <c r="T313" s="7"/>
      <c r="U313" s="7"/>
      <c r="V313" s="7"/>
      <c r="W313" s="107"/>
      <c r="X313" s="196"/>
      <c r="Y313" s="196"/>
      <c r="Z313" s="196"/>
      <c r="AA313" s="196"/>
      <c r="AB313" s="107"/>
      <c r="AC313" s="196"/>
      <c r="AD313" s="196"/>
      <c r="AE313" s="196"/>
      <c r="AF313" s="267">
        <f>406/907</f>
        <v>0.44762954796030868</v>
      </c>
      <c r="AG313" s="107"/>
      <c r="AH313" s="9"/>
      <c r="AI313" s="9"/>
      <c r="AJ313" s="9"/>
      <c r="AK313" s="9"/>
      <c r="AL313" s="107"/>
      <c r="AM313" s="9"/>
      <c r="AN313" s="9"/>
      <c r="AO313" s="9"/>
      <c r="AP313" s="9"/>
      <c r="AQ313" s="107"/>
      <c r="AR313" s="9"/>
      <c r="AS313" s="5">
        <f>77/AS3</f>
        <v>6.8289109483406191E-2</v>
      </c>
      <c r="AT313" s="9"/>
      <c r="AU313" s="9"/>
      <c r="AV313" s="9"/>
      <c r="AW313" s="9">
        <f>AW312-AW311</f>
        <v>517</v>
      </c>
      <c r="AX313" s="9">
        <f>AX312-AX311</f>
        <v>520.08600000000001</v>
      </c>
      <c r="AY313" s="9">
        <f>AY312-AY311</f>
        <v>517</v>
      </c>
      <c r="AZ313" s="9">
        <f>AZ312-AZ311</f>
        <v>535</v>
      </c>
      <c r="BA313" s="9"/>
      <c r="BB313" s="9">
        <f>BB312-BB311</f>
        <v>562</v>
      </c>
      <c r="BC313" s="9">
        <f>BC312-BC311</f>
        <v>553</v>
      </c>
      <c r="BD313" s="9">
        <f>BD312-BD311</f>
        <v>550</v>
      </c>
      <c r="BE313" s="9">
        <f>BE312-BE311</f>
        <v>575.40000000000009</v>
      </c>
      <c r="BF313" s="5"/>
      <c r="BG313" s="29"/>
      <c r="BH313" s="29"/>
      <c r="BI313" s="9"/>
      <c r="BJ313" s="9"/>
      <c r="BK313" s="5"/>
      <c r="BL313" s="5"/>
      <c r="BM313" s="5"/>
      <c r="BN313" s="9"/>
      <c r="BO313" s="9"/>
      <c r="BP313" s="5"/>
      <c r="BQ313" s="5"/>
      <c r="BR313" s="5"/>
      <c r="BS313" s="5"/>
      <c r="BT313" s="5"/>
      <c r="BU313" s="5"/>
      <c r="CB313"/>
      <c r="CC313"/>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row>
    <row r="314" spans="4:108">
      <c r="D314" s="2" t="s">
        <v>3336</v>
      </c>
      <c r="L314" s="7"/>
      <c r="M314" s="7"/>
      <c r="N314" s="7"/>
      <c r="O314" s="7"/>
      <c r="P314" s="7"/>
      <c r="W314" s="107"/>
      <c r="X314" s="65"/>
      <c r="Y314" s="65"/>
      <c r="Z314" s="65"/>
      <c r="AA314" s="65"/>
      <c r="AB314" s="107"/>
      <c r="AC314" s="65"/>
      <c r="AD314" s="65"/>
      <c r="AE314" s="65"/>
      <c r="AG314" s="107"/>
      <c r="AH314" s="16"/>
      <c r="AI314" s="16"/>
      <c r="AJ314" s="16"/>
      <c r="AK314" s="16"/>
      <c r="AL314" s="107"/>
      <c r="AM314" s="16"/>
      <c r="AN314" s="9"/>
      <c r="AO314" s="9"/>
      <c r="AP314" s="9"/>
      <c r="AQ314" s="107"/>
      <c r="AR314" s="9"/>
      <c r="AS314" s="9"/>
      <c r="AT314" s="16"/>
      <c r="AU314" s="9"/>
      <c r="AV314" s="16"/>
      <c r="AW314" s="9"/>
      <c r="AX314" s="9"/>
      <c r="AY314" s="16"/>
      <c r="AZ314" s="16"/>
      <c r="BA314" s="16"/>
      <c r="BB314" s="9"/>
      <c r="BC314" s="9"/>
      <c r="BD314" s="9"/>
      <c r="BE314" s="16">
        <f>BE313/AZ313-1</f>
        <v>7.5514018691589024E-2</v>
      </c>
      <c r="BF314" s="16"/>
      <c r="BG314" s="16"/>
      <c r="BH314" s="16"/>
      <c r="BI314" s="10">
        <f>BI312-BI306</f>
        <v>568.85542620690615</v>
      </c>
      <c r="BJ314" s="10">
        <f>BJ312-BJ306</f>
        <v>569.33615623551214</v>
      </c>
      <c r="BK314" s="10">
        <f>BK312-BK306</f>
        <v>2226.4185681588733</v>
      </c>
      <c r="BL314" s="10"/>
      <c r="BM314" s="10"/>
      <c r="BN314" s="10"/>
      <c r="BO314" s="10"/>
      <c r="BP314" s="10"/>
      <c r="BQ314" s="10"/>
      <c r="BR314" s="10"/>
      <c r="BS314" s="10"/>
      <c r="BT314" s="10"/>
      <c r="BU314" s="10"/>
      <c r="CB314"/>
      <c r="CC314"/>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row>
    <row r="315" spans="4:108" ht="15.75">
      <c r="D315" s="4"/>
      <c r="L315" s="7"/>
      <c r="M315" s="7"/>
      <c r="N315" s="7"/>
      <c r="O315" s="7">
        <v>-3.6850000000000001</v>
      </c>
      <c r="P315" s="7">
        <v>-3.472</v>
      </c>
      <c r="Q315" s="7">
        <v>-1.32</v>
      </c>
      <c r="R315" s="7">
        <v>-3.0750000000000002</v>
      </c>
      <c r="S315" s="7">
        <v>-1.1140000000000001</v>
      </c>
      <c r="T315" s="7">
        <v>-0.98399999999999999</v>
      </c>
      <c r="U315" s="7"/>
      <c r="V315" s="7"/>
      <c r="W315" s="107"/>
      <c r="AB315" s="107"/>
      <c r="AF315">
        <v>64</v>
      </c>
      <c r="AG315" s="107"/>
      <c r="AH315" s="16"/>
      <c r="AI315" s="16"/>
      <c r="AJ315" s="16"/>
      <c r="AK315" s="16"/>
      <c r="AL315" s="107"/>
      <c r="AM315" s="16"/>
      <c r="AN315" s="5"/>
      <c r="AO315" s="5"/>
      <c r="AP315" s="5"/>
      <c r="AQ315" s="107"/>
      <c r="AR315" s="5"/>
      <c r="AS315" s="5"/>
      <c r="AT315" s="5"/>
      <c r="AU315" s="5"/>
      <c r="AV315" s="16"/>
      <c r="AW315" s="5"/>
      <c r="AX315" s="5"/>
      <c r="AY315" s="5"/>
      <c r="AZ315" s="5"/>
      <c r="BA315" s="16"/>
      <c r="BB315" s="5"/>
      <c r="BC315" s="5"/>
      <c r="BD315" s="5"/>
      <c r="BE315" s="5"/>
      <c r="BF315" s="16"/>
      <c r="BG315" s="16"/>
      <c r="BH315" s="16"/>
      <c r="BI315" s="16"/>
      <c r="BJ315" s="16"/>
      <c r="BK315" s="16"/>
      <c r="BL315" s="5">
        <f>BL308/BL230</f>
        <v>0.28666666666666668</v>
      </c>
      <c r="BM315" s="5">
        <f>BM308/BM230</f>
        <v>0.29831144465290804</v>
      </c>
      <c r="BN315" s="5">
        <f>BN308/BN230</f>
        <v>0.2924731182795699</v>
      </c>
      <c r="BO315" s="5">
        <f>BO308/BO230</f>
        <v>0.27233115468409586</v>
      </c>
      <c r="BP315" s="16"/>
      <c r="BQ315" s="16"/>
      <c r="BR315" s="16"/>
      <c r="BS315" s="16"/>
      <c r="BT315" s="16"/>
      <c r="BV315" s="235" t="s">
        <v>1544</v>
      </c>
      <c r="BW315" s="232" t="str">
        <f t="shared" ref="BW315:CF315" si="213">BW295</f>
        <v>Q2 06</v>
      </c>
      <c r="BX315" s="232" t="str">
        <f t="shared" si="213"/>
        <v>Q3 06</v>
      </c>
      <c r="BY315" s="232" t="str">
        <f t="shared" si="213"/>
        <v>Q4 06</v>
      </c>
      <c r="BZ315" s="233" t="str">
        <f t="shared" si="213"/>
        <v>Q1 07</v>
      </c>
      <c r="CA315" s="233" t="str">
        <f t="shared" si="213"/>
        <v>Q2 07</v>
      </c>
      <c r="CB315" s="233" t="str">
        <f t="shared" si="213"/>
        <v>Q3 07</v>
      </c>
      <c r="CC315" s="233" t="str">
        <f t="shared" si="213"/>
        <v>Q4 07A</v>
      </c>
      <c r="CD315" s="232" t="str">
        <f t="shared" si="213"/>
        <v>Q1 08</v>
      </c>
      <c r="CE315" s="232" t="str">
        <f t="shared" si="213"/>
        <v>Q2 08</v>
      </c>
      <c r="CF315" s="232" t="str">
        <f t="shared" si="213"/>
        <v>Q3 08</v>
      </c>
      <c r="CG315" s="232" t="str">
        <f t="shared" ref="CG315:CL315" si="214">CG295</f>
        <v>Q4 08</v>
      </c>
      <c r="CH315" s="232" t="str">
        <f t="shared" si="214"/>
        <v>Q1 09</v>
      </c>
      <c r="CI315" s="232" t="str">
        <f t="shared" si="214"/>
        <v>Q2 09</v>
      </c>
      <c r="CJ315" s="232" t="str">
        <f t="shared" si="214"/>
        <v>Q3 09</v>
      </c>
      <c r="CK315" s="232" t="str">
        <f t="shared" si="214"/>
        <v>Q4 09</v>
      </c>
      <c r="CL315" s="232" t="str">
        <f t="shared" si="214"/>
        <v>Q1 10</v>
      </c>
      <c r="CM315" s="232" t="str">
        <f t="shared" ref="CM315:CR315" si="215">CM295</f>
        <v>Q2 10</v>
      </c>
      <c r="CN315" s="232" t="str">
        <f t="shared" si="215"/>
        <v>Q3 10</v>
      </c>
      <c r="CO315" s="232" t="str">
        <f t="shared" si="215"/>
        <v>Q4 10</v>
      </c>
      <c r="CP315" s="232" t="str">
        <f t="shared" si="215"/>
        <v>Q1 11</v>
      </c>
      <c r="CQ315" s="232" t="str">
        <f t="shared" si="215"/>
        <v>Q2 11</v>
      </c>
      <c r="CR315" s="232" t="str">
        <f t="shared" si="215"/>
        <v>Q3 11</v>
      </c>
      <c r="CS315" s="232" t="str">
        <f t="shared" ref="CS315:CX315" si="216">CS295</f>
        <v>Q4 11</v>
      </c>
      <c r="CT315" s="232" t="str">
        <f t="shared" si="216"/>
        <v>Q1 12</v>
      </c>
      <c r="CU315" s="232"/>
      <c r="CV315" s="232" t="str">
        <f t="shared" si="216"/>
        <v>Q2 12</v>
      </c>
      <c r="CW315" s="232" t="str">
        <f t="shared" si="216"/>
        <v>Q3 12</v>
      </c>
      <c r="CX315" s="232" t="str">
        <f t="shared" si="216"/>
        <v>Q4 12</v>
      </c>
      <c r="CY315" s="232" t="str">
        <f>CY295</f>
        <v>Q1 13</v>
      </c>
      <c r="CZ315" s="232" t="str">
        <f>CZ295</f>
        <v>Q2 13</v>
      </c>
      <c r="DA315" s="232" t="str">
        <f>DA295</f>
        <v>Q3 13</v>
      </c>
      <c r="DB315" s="232" t="str">
        <f>DB295</f>
        <v>Q4 13</v>
      </c>
    </row>
    <row r="316" spans="4:108" ht="15.75">
      <c r="D316" s="4" t="s">
        <v>3</v>
      </c>
      <c r="L316" s="7">
        <f>L312+L313+L314</f>
        <v>80.914000000000001</v>
      </c>
      <c r="M316" s="7">
        <f>M312+M313+M314</f>
        <v>88.412999999999997</v>
      </c>
      <c r="N316" s="7">
        <f>N312+N313+N314</f>
        <v>94.134000000000015</v>
      </c>
      <c r="O316" s="7">
        <f t="shared" ref="O316:T316" si="217">O312+O313+O314+O315</f>
        <v>87.924999999999997</v>
      </c>
      <c r="P316" s="7">
        <f t="shared" si="217"/>
        <v>99.204000000000008</v>
      </c>
      <c r="Q316" s="7">
        <f t="shared" si="217"/>
        <v>110.75700000000001</v>
      </c>
      <c r="R316" s="7">
        <f t="shared" si="217"/>
        <v>127.51900000000002</v>
      </c>
      <c r="S316" s="7">
        <f t="shared" si="217"/>
        <v>141.08799999999999</v>
      </c>
      <c r="T316" s="7">
        <f t="shared" si="217"/>
        <v>155.64299999999997</v>
      </c>
      <c r="U316" s="7">
        <f>U312</f>
        <v>178.72299999999998</v>
      </c>
      <c r="V316" s="7">
        <f>V312-V303</f>
        <v>215.10006000000004</v>
      </c>
      <c r="W316" s="90"/>
      <c r="X316" s="7"/>
      <c r="Y316" s="7"/>
      <c r="Z316" s="7"/>
      <c r="AA316" s="7"/>
      <c r="AB316" s="90"/>
      <c r="AC316" s="7"/>
      <c r="AD316" s="7"/>
      <c r="AE316" s="7"/>
      <c r="AF316" s="16" t="e">
        <f>AF315/AF314</f>
        <v>#DIV/0!</v>
      </c>
      <c r="AG316" s="90"/>
      <c r="AH316" s="16"/>
      <c r="AI316" s="16"/>
      <c r="AJ316" s="16"/>
      <c r="AK316" s="16"/>
      <c r="AL316" s="90"/>
      <c r="AM316" s="16"/>
      <c r="AN316" s="9"/>
      <c r="AO316" s="9"/>
      <c r="AP316" s="9"/>
      <c r="AQ316" s="90"/>
      <c r="AR316" s="9"/>
      <c r="AS316" s="9"/>
      <c r="AT316" s="9"/>
      <c r="AU316" s="9"/>
      <c r="AV316" s="16"/>
      <c r="AW316" s="9"/>
      <c r="AX316" s="9"/>
      <c r="AY316" s="9"/>
      <c r="AZ316" s="9"/>
      <c r="BA316" s="16"/>
      <c r="BB316" s="9"/>
      <c r="BC316" s="9"/>
      <c r="BD316" s="9"/>
      <c r="BE316" s="9"/>
      <c r="BF316" s="16"/>
      <c r="BG316" s="16"/>
      <c r="BH316" s="16"/>
      <c r="BI316" s="16"/>
      <c r="BJ316" s="16"/>
      <c r="BK316" s="16"/>
      <c r="BL316" s="16"/>
      <c r="BM316" s="16"/>
      <c r="BN316" s="16"/>
      <c r="BO316" s="9"/>
      <c r="BP316" s="16"/>
      <c r="BQ316" s="16"/>
      <c r="BR316" s="16"/>
      <c r="BS316" s="16"/>
      <c r="BT316" s="16"/>
      <c r="BV316" s="236" t="s">
        <v>1899</v>
      </c>
      <c r="BW316" s="234">
        <f>T316/P316-1</f>
        <v>0.56891859199225792</v>
      </c>
      <c r="BX316" s="234">
        <f>BX312</f>
        <v>0.61264504719109225</v>
      </c>
      <c r="BY316" s="234">
        <f>(V316/R316)-1</f>
        <v>0.68680792666190937</v>
      </c>
      <c r="BZ316" s="234">
        <f>(X312-X303)/(S312-S303)-1</f>
        <v>0.61081081841324303</v>
      </c>
      <c r="CA316" s="234">
        <f>(Y312-Y303)/(T312-T303)-1</f>
        <v>0.52393846527099419</v>
      </c>
      <c r="CB316" s="234">
        <f>(Z312-Z303)/(U312-U303)-1</f>
        <v>0.49353558299715239</v>
      </c>
      <c r="CC316" s="234">
        <f t="shared" ref="CC316:CK316" si="218">CC312</f>
        <v>0.35155796104332904</v>
      </c>
      <c r="CD316" s="234">
        <f t="shared" si="218"/>
        <v>0.35456697419533834</v>
      </c>
      <c r="CE316" s="234">
        <f t="shared" si="218"/>
        <v>0.33114573561202465</v>
      </c>
      <c r="CF316" s="234">
        <f t="shared" si="218"/>
        <v>0.25822651128914798</v>
      </c>
      <c r="CG316" s="234">
        <f t="shared" si="218"/>
        <v>0.18508191007319641</v>
      </c>
      <c r="CH316" s="234">
        <f t="shared" si="218"/>
        <v>7.4472136961134972E-2</v>
      </c>
      <c r="CI316" s="234">
        <f t="shared" si="218"/>
        <v>0.14813226007102642</v>
      </c>
      <c r="CJ316" s="234">
        <f t="shared" si="218"/>
        <v>0.14034945544110244</v>
      </c>
      <c r="CK316" s="234">
        <f t="shared" si="218"/>
        <v>0.27827653631284899</v>
      </c>
      <c r="CL316" s="234">
        <f t="shared" ref="CL316:CQ316" si="219">CL312</f>
        <v>0.19258765702379921</v>
      </c>
      <c r="CM316" s="234">
        <f t="shared" si="219"/>
        <v>0.17419335454843599</v>
      </c>
      <c r="CN316" s="234">
        <f t="shared" si="219"/>
        <v>0.15742557202599117</v>
      </c>
      <c r="CO316" s="234">
        <f t="shared" si="219"/>
        <v>9.480074209556788E-2</v>
      </c>
      <c r="CP316" s="234">
        <f t="shared" si="219"/>
        <v>0.12285026992872106</v>
      </c>
      <c r="CQ316" s="234">
        <f t="shared" si="219"/>
        <v>0.10923420061666556</v>
      </c>
      <c r="CR316" s="234">
        <f t="shared" ref="CR316:CX316" si="220">CR312</f>
        <v>9.2990760453916188E-2</v>
      </c>
      <c r="CS316" s="234">
        <f t="shared" si="220"/>
        <v>6.9847466896604038E-2</v>
      </c>
      <c r="CT316" s="234">
        <f t="shared" si="220"/>
        <v>2.0819182712812134E-2</v>
      </c>
      <c r="CU316" s="234"/>
      <c r="CV316" s="234">
        <f t="shared" si="220"/>
        <v>-2.2299029992189912E-4</v>
      </c>
      <c r="CW316" s="234">
        <f t="shared" si="220"/>
        <v>-2.6056303401427505E-2</v>
      </c>
      <c r="CX316" s="234">
        <f t="shared" si="220"/>
        <v>-1.4925373134328401E-2</v>
      </c>
      <c r="CY316" s="234">
        <f>CY312</f>
        <v>8.7040618955512628E-2</v>
      </c>
      <c r="CZ316" s="234">
        <f>CZ312</f>
        <v>6.3285687367089283E-2</v>
      </c>
      <c r="DA316" s="234">
        <f>DA312</f>
        <v>6.7961165048543659E-2</v>
      </c>
      <c r="DB316" s="234">
        <f>DB312</f>
        <v>8.9772727272727337E-2</v>
      </c>
    </row>
    <row r="317" spans="4:108">
      <c r="D317" s="4" t="s">
        <v>4</v>
      </c>
      <c r="L317" s="35">
        <f t="shared" ref="L317:Q317" si="221">L312+L313+L314-L311</f>
        <v>81.141000000000005</v>
      </c>
      <c r="M317" s="35">
        <f t="shared" si="221"/>
        <v>88.311999999999998</v>
      </c>
      <c r="N317" s="35">
        <f>N312+N313+N314-N311</f>
        <v>94.921000000000021</v>
      </c>
      <c r="O317" s="35">
        <f>O312+O313+O314-O311</f>
        <v>91.551999999999992</v>
      </c>
      <c r="P317" s="35">
        <f>P312+P313+P314-P311</f>
        <v>102.861</v>
      </c>
      <c r="Q317" s="35">
        <f t="shared" si="221"/>
        <v>112.533</v>
      </c>
      <c r="R317" s="35">
        <f>R312+R313+R314-R311</f>
        <v>132.20700000000002</v>
      </c>
      <c r="S317" s="7"/>
      <c r="T317" s="35"/>
      <c r="U317" s="35"/>
      <c r="V317" s="35"/>
      <c r="W317" s="90"/>
      <c r="X317" s="35"/>
      <c r="Y317" s="35"/>
      <c r="Z317" s="35"/>
      <c r="AA317" s="35"/>
      <c r="AB317" s="90"/>
      <c r="AC317" s="35"/>
      <c r="AD317" s="35"/>
      <c r="AE317" s="35"/>
      <c r="AF317" s="35"/>
      <c r="AG317" s="90"/>
      <c r="AH317" s="16"/>
      <c r="AI317" s="16"/>
      <c r="AJ317" s="16"/>
      <c r="AK317" s="16"/>
      <c r="AL317" s="90"/>
      <c r="AM317" s="16"/>
      <c r="AN317" s="9"/>
      <c r="AO317" s="9"/>
      <c r="AP317" s="9"/>
      <c r="AQ317" s="90"/>
      <c r="AR317" s="9"/>
      <c r="AS317" s="9"/>
      <c r="AT317" s="9"/>
      <c r="AU317" s="9"/>
      <c r="AV317" s="16"/>
      <c r="AW317" s="9"/>
      <c r="AX317" s="9"/>
      <c r="AY317" s="9"/>
      <c r="AZ317" s="9"/>
      <c r="BA317" s="16"/>
      <c r="BB317" s="9"/>
      <c r="BC317" s="9"/>
      <c r="BD317" s="9"/>
      <c r="BE317" s="9"/>
      <c r="BF317" s="16"/>
      <c r="BG317" s="16"/>
      <c r="BH317" s="16"/>
      <c r="BI317" s="16"/>
      <c r="BJ317" s="16"/>
      <c r="BK317" s="16"/>
      <c r="BL317" s="16"/>
      <c r="BM317" s="16"/>
      <c r="BN317" s="16"/>
      <c r="BO317" s="16"/>
      <c r="BP317" s="16"/>
      <c r="BQ317" s="16"/>
      <c r="BR317" s="16"/>
      <c r="BS317" s="16"/>
      <c r="BT317" s="16"/>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161"/>
      <c r="CQ317" s="161"/>
      <c r="CR317" s="161"/>
      <c r="CS317" s="161"/>
      <c r="CT317" s="161"/>
      <c r="CU317" s="161"/>
      <c r="CV317" s="161"/>
      <c r="CW317" s="161"/>
      <c r="CX317" s="161"/>
      <c r="CY317" s="161"/>
      <c r="CZ317" s="161"/>
      <c r="DA317" s="161"/>
    </row>
    <row r="318" spans="4:108">
      <c r="D318" s="196"/>
      <c r="L318" s="35"/>
      <c r="M318" s="35"/>
      <c r="N318" s="35"/>
      <c r="O318" s="35"/>
      <c r="P318" s="35"/>
      <c r="Q318" s="35"/>
      <c r="R318" s="35"/>
      <c r="S318" s="35"/>
      <c r="T318" s="35"/>
      <c r="U318" s="35"/>
      <c r="V318" s="35"/>
      <c r="W318" s="90"/>
      <c r="X318" s="35"/>
      <c r="Y318" s="35"/>
      <c r="Z318" s="35"/>
      <c r="AA318" s="35"/>
      <c r="AB318" s="90"/>
      <c r="AC318" s="35"/>
      <c r="AD318" s="35"/>
      <c r="AE318" s="35"/>
      <c r="AF318" s="35"/>
      <c r="AG318" s="90"/>
      <c r="AH318" s="35"/>
      <c r="AI318" s="35"/>
      <c r="AJ318" s="35"/>
      <c r="AK318" s="35"/>
      <c r="AL318" s="90"/>
      <c r="AM318" s="35"/>
      <c r="AN318" s="35"/>
      <c r="AO318" s="35"/>
      <c r="AP318" s="35"/>
      <c r="AQ318" s="90"/>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161"/>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161"/>
      <c r="CQ318" s="161"/>
      <c r="CR318" s="161"/>
      <c r="CS318" s="161"/>
      <c r="CT318" s="161"/>
      <c r="CU318" s="161"/>
      <c r="CV318" s="161"/>
      <c r="CW318" s="161"/>
      <c r="CX318" s="161"/>
      <c r="CY318" s="161"/>
      <c r="CZ318" s="161"/>
      <c r="DA318" s="161"/>
    </row>
    <row r="319" spans="4:108">
      <c r="S319" s="35"/>
      <c r="T319" s="35"/>
      <c r="U319" s="35"/>
      <c r="V319" s="35"/>
      <c r="W319" s="107"/>
      <c r="AB319" s="107"/>
      <c r="AG319" s="107"/>
      <c r="AL319" s="107"/>
      <c r="AQ319" s="107"/>
      <c r="CB319"/>
      <c r="CC319"/>
      <c r="CD319"/>
      <c r="CE319"/>
      <c r="CF319"/>
      <c r="CG319"/>
      <c r="CH319"/>
      <c r="CI319"/>
      <c r="CJ319"/>
      <c r="CK319"/>
      <c r="CL319"/>
      <c r="CM319"/>
      <c r="CN319"/>
      <c r="CO319"/>
      <c r="CP319"/>
      <c r="CQ319"/>
      <c r="CR319"/>
      <c r="CS319"/>
      <c r="CT319"/>
      <c r="CU319"/>
      <c r="CV319"/>
      <c r="CW319"/>
      <c r="CX319"/>
      <c r="CY319"/>
      <c r="CZ319"/>
      <c r="DA319"/>
    </row>
    <row r="320" spans="4:108">
      <c r="D320" s="2" t="s">
        <v>1542</v>
      </c>
      <c r="G320" s="8" t="str">
        <f>G295</f>
        <v>Q1 03</v>
      </c>
      <c r="H320" s="8" t="str">
        <f t="shared" ref="H320:R320" si="222">H295</f>
        <v>Q2 03</v>
      </c>
      <c r="I320" s="8" t="str">
        <f t="shared" si="222"/>
        <v>Q3 03</v>
      </c>
      <c r="J320" s="8" t="str">
        <f t="shared" si="222"/>
        <v>Q4 03</v>
      </c>
      <c r="K320" s="8" t="str">
        <f t="shared" si="222"/>
        <v>Q1 04</v>
      </c>
      <c r="L320" s="8" t="str">
        <f t="shared" si="222"/>
        <v>Q2 04</v>
      </c>
      <c r="M320" s="8" t="str">
        <f t="shared" si="222"/>
        <v>Q3 04</v>
      </c>
      <c r="N320" s="8" t="str">
        <f t="shared" si="222"/>
        <v>Q4 04</v>
      </c>
      <c r="O320" s="8" t="str">
        <f t="shared" si="222"/>
        <v>Q1 05</v>
      </c>
      <c r="P320" s="8" t="str">
        <f t="shared" si="222"/>
        <v>Q2 05</v>
      </c>
      <c r="Q320" s="8" t="str">
        <f t="shared" si="222"/>
        <v>Q3 05</v>
      </c>
      <c r="R320" s="8" t="str">
        <f t="shared" si="222"/>
        <v>Q4 05</v>
      </c>
      <c r="S320" s="8" t="str">
        <f t="shared" ref="S320:AB320" si="223">S295</f>
        <v>Q1 06</v>
      </c>
      <c r="T320" s="8" t="str">
        <f t="shared" si="223"/>
        <v>Q2 06</v>
      </c>
      <c r="U320" s="8" t="str">
        <f t="shared" si="223"/>
        <v>Q3 06</v>
      </c>
      <c r="V320" s="8" t="str">
        <f t="shared" si="223"/>
        <v>Q4 06</v>
      </c>
      <c r="W320" s="180" t="str">
        <f t="shared" si="223"/>
        <v>FY 06</v>
      </c>
      <c r="X320" s="8" t="str">
        <f t="shared" si="223"/>
        <v>Q1 07</v>
      </c>
      <c r="Y320" s="8" t="str">
        <f>Y295</f>
        <v>Q2 07</v>
      </c>
      <c r="Z320" s="8" t="str">
        <f>Z295</f>
        <v>Q3 07</v>
      </c>
      <c r="AA320" s="8" t="str">
        <f>AA295</f>
        <v>Q4 07</v>
      </c>
      <c r="AB320" s="180" t="str">
        <f t="shared" si="223"/>
        <v>FY 07</v>
      </c>
      <c r="AC320" s="8" t="str">
        <f t="shared" ref="AC320:AL320" si="224">AC295</f>
        <v>Q1 08</v>
      </c>
      <c r="AD320" s="8" t="str">
        <f t="shared" si="224"/>
        <v>Q2 08</v>
      </c>
      <c r="AE320" s="8" t="str">
        <f t="shared" si="224"/>
        <v>Q3 08</v>
      </c>
      <c r="AF320" s="8" t="str">
        <f t="shared" si="224"/>
        <v>Q4 08</v>
      </c>
      <c r="AG320" s="180" t="str">
        <f t="shared" si="224"/>
        <v>FY 08</v>
      </c>
      <c r="AH320" s="8" t="str">
        <f>AH295</f>
        <v>Q1 09</v>
      </c>
      <c r="AI320" s="8" t="str">
        <f>AI295</f>
        <v>Q2 09</v>
      </c>
      <c r="AJ320" s="8" t="str">
        <f>AJ295</f>
        <v>Q3 09</v>
      </c>
      <c r="AK320" s="8" t="str">
        <f>AK295</f>
        <v>Q4 09</v>
      </c>
      <c r="AL320" s="180" t="str">
        <f t="shared" si="224"/>
        <v>FY 09</v>
      </c>
      <c r="AM320" s="8" t="str">
        <f t="shared" ref="AM320:AU320" si="225">AM295</f>
        <v>Q1 10</v>
      </c>
      <c r="AN320" s="8" t="str">
        <f t="shared" si="225"/>
        <v>Q2 10</v>
      </c>
      <c r="AO320" s="8" t="str">
        <f t="shared" si="225"/>
        <v>Q3 10</v>
      </c>
      <c r="AP320" s="8" t="str">
        <f t="shared" si="225"/>
        <v>Q4 10</v>
      </c>
      <c r="AQ320" s="180" t="str">
        <f t="shared" si="225"/>
        <v>FY 10E</v>
      </c>
      <c r="AR320" s="8" t="str">
        <f t="shared" si="225"/>
        <v>Q1 11</v>
      </c>
      <c r="AS320" s="8" t="str">
        <f t="shared" si="225"/>
        <v>Q2 11</v>
      </c>
      <c r="AT320" s="8" t="str">
        <f t="shared" si="225"/>
        <v>Q3 11</v>
      </c>
      <c r="AU320" s="8" t="str">
        <f t="shared" si="225"/>
        <v>Q4 11</v>
      </c>
      <c r="AV320" s="8"/>
      <c r="AW320" s="8" t="str">
        <f>AW295</f>
        <v>Q1 12</v>
      </c>
      <c r="AX320" s="8" t="str">
        <f>AX295</f>
        <v>Q2 12</v>
      </c>
      <c r="AY320" s="8" t="str">
        <f>AY295</f>
        <v>Q3 12</v>
      </c>
      <c r="AZ320" s="8" t="str">
        <f>AZ295</f>
        <v>Q4 12</v>
      </c>
      <c r="BA320" s="8"/>
      <c r="BB320" s="8" t="str">
        <f>BB295</f>
        <v>Q1 13</v>
      </c>
      <c r="BC320" s="8" t="str">
        <f>BC295</f>
        <v>Q2 13</v>
      </c>
      <c r="BD320" s="8" t="str">
        <f>BD295</f>
        <v>Q3 13</v>
      </c>
      <c r="BE320" s="8" t="str">
        <f>BE295</f>
        <v>Q4 13</v>
      </c>
      <c r="BF320" s="8"/>
      <c r="BG320" s="8" t="str">
        <f>BG295</f>
        <v>Q1 14</v>
      </c>
      <c r="BH320" s="8" t="str">
        <f>BH295</f>
        <v>Q2 14</v>
      </c>
      <c r="BI320" s="8" t="str">
        <f>BI295</f>
        <v>Q3 14</v>
      </c>
      <c r="BJ320" s="8" t="str">
        <f>BJ295</f>
        <v>Q4 14</v>
      </c>
      <c r="BK320" s="8"/>
      <c r="BL320" s="8" t="str">
        <f>BL295</f>
        <v>Q1 15</v>
      </c>
      <c r="BM320" s="8" t="str">
        <f>BM295</f>
        <v>Q2 15</v>
      </c>
      <c r="BN320" s="8" t="str">
        <f>BN295</f>
        <v>Q3 15</v>
      </c>
      <c r="BO320" s="8" t="str">
        <f>BO295</f>
        <v>Q4 15</v>
      </c>
      <c r="BP320" s="8"/>
      <c r="BQ320" s="8"/>
      <c r="BR320" s="8"/>
      <c r="BS320" s="8"/>
      <c r="BT320" s="8"/>
      <c r="CB320"/>
      <c r="CC320"/>
      <c r="CD320"/>
      <c r="CE320"/>
      <c r="CF320"/>
      <c r="CG320"/>
      <c r="CH320"/>
      <c r="CI320"/>
      <c r="CJ320"/>
      <c r="CK320"/>
      <c r="CL320"/>
      <c r="CM320"/>
      <c r="CN320"/>
      <c r="CO320"/>
      <c r="CP320"/>
      <c r="CQ320"/>
      <c r="CR320"/>
      <c r="CS320"/>
      <c r="CT320"/>
      <c r="CU320"/>
      <c r="CV320"/>
      <c r="CW320"/>
      <c r="CX320"/>
      <c r="CY320"/>
      <c r="CZ320"/>
      <c r="DA320"/>
    </row>
    <row r="321" spans="4:105">
      <c r="D321" s="2"/>
      <c r="W321" s="107"/>
      <c r="AB321" s="107"/>
      <c r="AG321" s="107"/>
      <c r="AL321" s="107"/>
      <c r="AQ321" s="107"/>
      <c r="CB321"/>
      <c r="CC321"/>
      <c r="CD321"/>
      <c r="CE321"/>
      <c r="CF321"/>
      <c r="CG321"/>
      <c r="CH321"/>
      <c r="CI321"/>
      <c r="CJ321"/>
      <c r="CK321"/>
      <c r="CL321"/>
      <c r="CM321"/>
      <c r="CN321"/>
      <c r="CO321"/>
      <c r="CP321"/>
      <c r="CQ321"/>
      <c r="CR321"/>
      <c r="CS321"/>
      <c r="CT321"/>
      <c r="CU321"/>
      <c r="CV321"/>
      <c r="CW321"/>
      <c r="CX321"/>
      <c r="CY321"/>
      <c r="CZ321"/>
      <c r="DA321"/>
    </row>
    <row r="322" spans="4:105">
      <c r="D322" s="4" t="s">
        <v>1086</v>
      </c>
      <c r="G322" s="5">
        <f t="shared" ref="G322:V322" si="226">G297/G210</f>
        <v>0.60065589699987854</v>
      </c>
      <c r="H322" s="5">
        <f t="shared" si="226"/>
        <v>0.60351520636357148</v>
      </c>
      <c r="I322" s="5">
        <f t="shared" si="226"/>
        <v>0.66097356775505323</v>
      </c>
      <c r="J322" s="5">
        <f t="shared" si="226"/>
        <v>0.48716007570475145</v>
      </c>
      <c r="K322" s="5">
        <f t="shared" si="226"/>
        <v>0.59394004628383823</v>
      </c>
      <c r="L322" s="5">
        <f t="shared" si="226"/>
        <v>0.62583248074435849</v>
      </c>
      <c r="M322" s="5">
        <f t="shared" si="226"/>
        <v>0.59420703072588221</v>
      </c>
      <c r="N322" s="5">
        <f t="shared" si="226"/>
        <v>0.62349919544498078</v>
      </c>
      <c r="O322" s="5">
        <f t="shared" si="226"/>
        <v>0.61943780584955033</v>
      </c>
      <c r="P322" s="5">
        <f t="shared" si="226"/>
        <v>0.60450189044227565</v>
      </c>
      <c r="Q322" s="5">
        <f t="shared" si="226"/>
        <v>0.30331623305240013</v>
      </c>
      <c r="R322" s="5">
        <f t="shared" si="226"/>
        <v>0.46077898171777598</v>
      </c>
      <c r="S322" s="5">
        <f t="shared" si="226"/>
        <v>0.40383999999999998</v>
      </c>
      <c r="T322" s="5">
        <f t="shared" si="226"/>
        <v>0.33731582563554469</v>
      </c>
      <c r="U322" s="5">
        <f t="shared" si="226"/>
        <v>0.37046476230929876</v>
      </c>
      <c r="V322" s="5">
        <f t="shared" si="226"/>
        <v>0.39773648648648646</v>
      </c>
      <c r="W322" s="103"/>
      <c r="X322" s="5"/>
      <c r="Y322" s="5"/>
      <c r="Z322" s="5"/>
      <c r="AA322" s="5"/>
      <c r="AB322" s="103"/>
      <c r="AC322" s="5"/>
      <c r="AD322" s="5"/>
      <c r="AE322" s="5"/>
      <c r="AF322" s="5"/>
      <c r="AG322" s="103"/>
      <c r="AH322" s="5"/>
      <c r="AI322" s="5"/>
      <c r="AJ322" s="5"/>
      <c r="AK322" s="5"/>
      <c r="AL322" s="103"/>
      <c r="AM322" s="5"/>
      <c r="AN322" s="5"/>
      <c r="AO322" s="5"/>
      <c r="AP322" s="5"/>
      <c r="AQ322" s="103"/>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CB322"/>
      <c r="CC322"/>
      <c r="CD322"/>
      <c r="CE322"/>
      <c r="CF322"/>
      <c r="CG322"/>
      <c r="CH322"/>
      <c r="CI322"/>
      <c r="CJ322"/>
      <c r="CK322"/>
      <c r="CL322"/>
      <c r="CM322"/>
      <c r="CN322"/>
      <c r="CO322"/>
      <c r="CP322"/>
      <c r="CQ322"/>
      <c r="CR322"/>
      <c r="CS322"/>
      <c r="CT322"/>
      <c r="CU322"/>
      <c r="CV322"/>
      <c r="CW322"/>
      <c r="CX322"/>
      <c r="CY322"/>
      <c r="CZ322"/>
      <c r="DA322"/>
    </row>
    <row r="323" spans="4:105">
      <c r="D323" s="12" t="s">
        <v>2374</v>
      </c>
      <c r="E323" s="11"/>
      <c r="F323" s="11"/>
      <c r="G323" s="17">
        <f t="shared" ref="G323:V323" si="227">G298/G211</f>
        <v>0.50513009221178407</v>
      </c>
      <c r="H323" s="17">
        <f t="shared" si="227"/>
        <v>0.50547767699375667</v>
      </c>
      <c r="I323" s="17">
        <f t="shared" si="227"/>
        <v>0.54645827358761112</v>
      </c>
      <c r="J323" s="17">
        <f t="shared" si="227"/>
        <v>0.53994509265614277</v>
      </c>
      <c r="K323" s="17">
        <f t="shared" si="227"/>
        <v>0.55240460010454784</v>
      </c>
      <c r="L323" s="17">
        <f t="shared" si="227"/>
        <v>0.50369797619848056</v>
      </c>
      <c r="M323" s="17">
        <f t="shared" si="227"/>
        <v>0.44351210454902518</v>
      </c>
      <c r="N323" s="17">
        <f t="shared" si="227"/>
        <v>0.19719554823415969</v>
      </c>
      <c r="O323" s="17">
        <f t="shared" si="227"/>
        <v>0.16681255049824939</v>
      </c>
      <c r="P323" s="17">
        <f t="shared" si="227"/>
        <v>0.20236626490778528</v>
      </c>
      <c r="Q323" s="17">
        <f t="shared" si="227"/>
        <v>0.20049196457855037</v>
      </c>
      <c r="R323" s="17">
        <f t="shared" si="227"/>
        <v>0.26344550894061497</v>
      </c>
      <c r="S323" s="17">
        <f t="shared" si="227"/>
        <v>0.17784205142675744</v>
      </c>
      <c r="T323" s="17">
        <f t="shared" si="227"/>
        <v>8.4108258154059673E-2</v>
      </c>
      <c r="U323" s="17">
        <f t="shared" si="227"/>
        <v>-8.6288173806107815E-2</v>
      </c>
      <c r="V323" s="17">
        <f t="shared" si="227"/>
        <v>0.5</v>
      </c>
      <c r="W323" s="186"/>
      <c r="X323" s="17"/>
      <c r="Y323" s="17"/>
      <c r="Z323" s="17"/>
      <c r="AA323" s="17"/>
      <c r="AB323" s="186"/>
      <c r="AC323" s="17"/>
      <c r="AD323" s="17"/>
      <c r="AE323" s="17"/>
      <c r="AF323" s="17"/>
      <c r="AG323" s="186"/>
      <c r="AH323" s="17"/>
      <c r="AI323" s="17"/>
      <c r="AJ323" s="17"/>
      <c r="AK323" s="17"/>
      <c r="AL323" s="186"/>
      <c r="AM323" s="17"/>
      <c r="AN323" s="17"/>
      <c r="AO323" s="17"/>
      <c r="AP323" s="17"/>
      <c r="AQ323" s="186"/>
      <c r="AR323" s="17"/>
      <c r="AS323" s="17"/>
      <c r="AT323" s="17"/>
      <c r="AU323" s="17"/>
      <c r="AV323" s="5"/>
      <c r="AW323" s="17"/>
      <c r="AX323" s="17"/>
      <c r="AY323" s="17"/>
      <c r="AZ323" s="17"/>
      <c r="BA323" s="5"/>
      <c r="BB323" s="17"/>
      <c r="BC323" s="17"/>
      <c r="BD323" s="17"/>
      <c r="BE323" s="17"/>
      <c r="BF323" s="5"/>
      <c r="BG323" s="17"/>
      <c r="BH323" s="17"/>
      <c r="BI323" s="17"/>
      <c r="BJ323" s="17"/>
      <c r="BK323" s="5"/>
      <c r="BL323" s="17"/>
      <c r="BM323" s="17"/>
      <c r="BN323" s="17"/>
      <c r="BO323" s="17"/>
      <c r="BP323" s="5"/>
      <c r="BQ323" s="5"/>
      <c r="BR323" s="5"/>
      <c r="BS323" s="5"/>
      <c r="BT323" s="5"/>
      <c r="CB323"/>
      <c r="CC323"/>
      <c r="CD323"/>
      <c r="CE323"/>
      <c r="CF323"/>
      <c r="CG323"/>
      <c r="CH323"/>
      <c r="CI323"/>
      <c r="CJ323"/>
      <c r="CK323"/>
      <c r="CL323"/>
      <c r="CM323"/>
      <c r="CN323"/>
      <c r="CO323"/>
      <c r="CP323"/>
      <c r="CQ323"/>
      <c r="CR323"/>
      <c r="CS323"/>
      <c r="CT323"/>
      <c r="CU323"/>
      <c r="CV323"/>
      <c r="CW323"/>
      <c r="CX323"/>
      <c r="CY323"/>
      <c r="CZ323"/>
      <c r="DA323"/>
    </row>
    <row r="324" spans="4:105">
      <c r="D324" s="4" t="s">
        <v>1163</v>
      </c>
      <c r="E324" s="4"/>
      <c r="F324" s="4"/>
      <c r="G324" s="29"/>
      <c r="H324" s="29"/>
      <c r="I324" s="29"/>
      <c r="J324" s="29"/>
      <c r="K324" s="29"/>
      <c r="L324" s="29"/>
      <c r="M324" s="29"/>
      <c r="N324" s="29"/>
      <c r="O324" s="29"/>
      <c r="P324" s="29"/>
      <c r="Q324" s="29"/>
      <c r="R324" s="29"/>
      <c r="S324" s="29"/>
      <c r="T324" s="29"/>
      <c r="U324" s="29"/>
      <c r="V324" s="29">
        <f>V299/V212</f>
        <v>0.42075916230366489</v>
      </c>
      <c r="W324" s="44"/>
      <c r="X324" s="29">
        <f>X299/X212</f>
        <v>0.40896286210620214</v>
      </c>
      <c r="Y324" s="29">
        <f>Y299/Y212</f>
        <v>0.42309295539808256</v>
      </c>
      <c r="Z324" s="29">
        <f>Z299/Z212</f>
        <v>0.43075684380032203</v>
      </c>
      <c r="AA324" s="29">
        <f>AA299/AA212</f>
        <v>0.41284403669724773</v>
      </c>
      <c r="AB324" s="44"/>
      <c r="AC324" s="29">
        <f>AC299/AC212</f>
        <v>0.3991984473862758</v>
      </c>
      <c r="AD324" s="29">
        <f>AD299/AD212</f>
        <v>0.40987923363297918</v>
      </c>
      <c r="AE324" s="29">
        <f>AE299/AE212</f>
        <v>0.37577784108800288</v>
      </c>
      <c r="AF324" s="29">
        <f>AF299/AF212</f>
        <v>0.36923076923076925</v>
      </c>
      <c r="AG324" s="103"/>
      <c r="AH324" s="29">
        <f>AH299/AH212</f>
        <v>0.36296296296296299</v>
      </c>
      <c r="AI324" s="29"/>
      <c r="AJ324" s="29"/>
      <c r="AK324" s="29"/>
      <c r="AL324" s="103"/>
      <c r="AM324" s="29"/>
      <c r="AN324" s="29"/>
      <c r="AO324" s="29"/>
      <c r="AP324" s="29"/>
      <c r="AQ324" s="103"/>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CB324"/>
      <c r="CC324"/>
      <c r="CD324"/>
      <c r="CE324"/>
      <c r="CF324"/>
      <c r="CG324"/>
      <c r="CH324"/>
      <c r="CI324"/>
      <c r="CJ324"/>
      <c r="CK324"/>
      <c r="CL324"/>
      <c r="CM324"/>
      <c r="CN324"/>
      <c r="CO324"/>
      <c r="CP324"/>
      <c r="CQ324"/>
      <c r="CR324"/>
      <c r="CS324"/>
      <c r="CT324"/>
      <c r="CU324"/>
      <c r="CV324"/>
      <c r="CW324"/>
      <c r="CX324"/>
      <c r="CY324"/>
      <c r="CZ324"/>
      <c r="DA324"/>
    </row>
    <row r="325" spans="4:105">
      <c r="D325" s="4" t="str">
        <f t="shared" ref="D325:D330" si="228">D300</f>
        <v>CA ex-Amnet (incs MFS)</v>
      </c>
      <c r="G325" s="5">
        <f t="shared" ref="G325:AA325" si="229">G300/G217</f>
        <v>0.5308755760368663</v>
      </c>
      <c r="H325" s="5">
        <f t="shared" si="229"/>
        <v>0.54370703417717392</v>
      </c>
      <c r="I325" s="5">
        <f t="shared" si="229"/>
        <v>0.56581475534966963</v>
      </c>
      <c r="J325" s="5">
        <f t="shared" si="229"/>
        <v>0.47481235351707363</v>
      </c>
      <c r="K325" s="5">
        <f t="shared" si="229"/>
        <v>0.49066643405443122</v>
      </c>
      <c r="L325" s="5">
        <f t="shared" si="229"/>
        <v>0.51115417804246654</v>
      </c>
      <c r="M325" s="5">
        <f t="shared" si="229"/>
        <v>0.52777491630182849</v>
      </c>
      <c r="N325" s="5">
        <f t="shared" si="229"/>
        <v>0.50853918010217436</v>
      </c>
      <c r="O325" s="5">
        <f t="shared" si="229"/>
        <v>0.50039506953223767</v>
      </c>
      <c r="P325" s="5">
        <f t="shared" si="229"/>
        <v>0.50304962027308864</v>
      </c>
      <c r="Q325" s="5">
        <f t="shared" si="229"/>
        <v>0.51898313533272411</v>
      </c>
      <c r="R325" s="5">
        <f t="shared" si="229"/>
        <v>0.52872114152099503</v>
      </c>
      <c r="S325" s="5">
        <f t="shared" si="229"/>
        <v>0.50467212120050842</v>
      </c>
      <c r="T325" s="5">
        <f t="shared" si="229"/>
        <v>0.51874104288391576</v>
      </c>
      <c r="U325" s="5">
        <f t="shared" si="229"/>
        <v>0.53495643111484237</v>
      </c>
      <c r="V325" s="5">
        <f t="shared" si="229"/>
        <v>0.52390917860531117</v>
      </c>
      <c r="W325" s="103">
        <f t="shared" si="229"/>
        <v>0.52182421797965373</v>
      </c>
      <c r="X325" s="5">
        <f t="shared" si="229"/>
        <v>0.5464515482513278</v>
      </c>
      <c r="Y325" s="5">
        <f t="shared" si="229"/>
        <v>0.52880748188673665</v>
      </c>
      <c r="Z325" s="5">
        <f t="shared" si="229"/>
        <v>0.53671554076339545</v>
      </c>
      <c r="AA325" s="5">
        <f t="shared" si="229"/>
        <v>0.50941676792223567</v>
      </c>
      <c r="AB325" s="103"/>
      <c r="AC325" s="5">
        <f>AC300/AC217</f>
        <v>0.55111767075239537</v>
      </c>
      <c r="AD325" s="5">
        <f>AD300/AD217</f>
        <v>0.54818310192697328</v>
      </c>
      <c r="AE325" s="5">
        <f>AE300/AE217</f>
        <v>0.54411621876959027</v>
      </c>
      <c r="AF325" s="5">
        <f>AF300/AF217</f>
        <v>0.56056338028169017</v>
      </c>
      <c r="AG325" s="103"/>
      <c r="AH325" s="5">
        <f t="shared" ref="AH325:AK327" si="230">AH300/AH217</f>
        <v>0.54781970642066158</v>
      </c>
      <c r="AI325" s="5">
        <f t="shared" si="230"/>
        <v>0.55981382156605508</v>
      </c>
      <c r="AJ325" s="5">
        <f t="shared" si="230"/>
        <v>0.55018704634044058</v>
      </c>
      <c r="AK325" s="5">
        <f t="shared" si="230"/>
        <v>0.54620142186707421</v>
      </c>
      <c r="AL325" s="103"/>
      <c r="AM325" s="5">
        <f t="shared" ref="AM325:AP327" si="231">AM300/AM217</f>
        <v>0.56421178243641523</v>
      </c>
      <c r="AN325" s="5">
        <f t="shared" si="231"/>
        <v>0.5761910155835539</v>
      </c>
      <c r="AO325" s="5">
        <f t="shared" si="231"/>
        <v>0.55956165812206848</v>
      </c>
      <c r="AP325" s="5">
        <f t="shared" si="231"/>
        <v>0.5241090681739885</v>
      </c>
      <c r="AQ325" s="103"/>
      <c r="AR325" s="5">
        <f t="shared" ref="AR325:AU327" si="232">AR300/AR217</f>
        <v>0.5507580618271285</v>
      </c>
      <c r="AS325" s="5">
        <f t="shared" si="232"/>
        <v>0.53314328960645818</v>
      </c>
      <c r="AT325" s="5">
        <f t="shared" si="232"/>
        <v>0.51882213813865086</v>
      </c>
      <c r="AU325" s="5">
        <f t="shared" si="232"/>
        <v>0.52798053527980537</v>
      </c>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CB325"/>
      <c r="CC325"/>
      <c r="CD325"/>
      <c r="CE325"/>
      <c r="CF325"/>
      <c r="CG325"/>
      <c r="CH325"/>
      <c r="CI325"/>
      <c r="CJ325"/>
      <c r="CK325"/>
      <c r="CL325"/>
      <c r="CM325"/>
      <c r="CN325"/>
      <c r="CO325"/>
      <c r="CP325"/>
      <c r="CQ325"/>
      <c r="CR325"/>
      <c r="CS325"/>
      <c r="CT325"/>
      <c r="CU325"/>
      <c r="CV325"/>
      <c r="CW325"/>
      <c r="CX325"/>
      <c r="CY325"/>
      <c r="CZ325"/>
      <c r="DA325"/>
    </row>
    <row r="326" spans="4:105">
      <c r="D326" s="4" t="str">
        <f t="shared" si="228"/>
        <v>Cable</v>
      </c>
      <c r="G326" s="5"/>
      <c r="H326" s="5"/>
      <c r="I326" s="5"/>
      <c r="J326" s="5"/>
      <c r="K326" s="5"/>
      <c r="L326" s="5"/>
      <c r="M326" s="5"/>
      <c r="N326" s="5"/>
      <c r="O326" s="5"/>
      <c r="P326" s="5"/>
      <c r="Q326" s="5"/>
      <c r="R326" s="5"/>
      <c r="S326" s="5"/>
      <c r="T326" s="5"/>
      <c r="U326" s="5"/>
      <c r="V326" s="5"/>
      <c r="W326" s="103"/>
      <c r="X326" s="5"/>
      <c r="Y326" s="5"/>
      <c r="Z326" s="5"/>
      <c r="AA326" s="5"/>
      <c r="AB326" s="103"/>
      <c r="AC326" s="5"/>
      <c r="AD326" s="5"/>
      <c r="AE326" s="5"/>
      <c r="AF326" s="5">
        <f>AF301/AF218</f>
        <v>0.41860465116279072</v>
      </c>
      <c r="AG326" s="103"/>
      <c r="AH326" s="5">
        <f t="shared" si="230"/>
        <v>0.41570438799076215</v>
      </c>
      <c r="AI326" s="5">
        <f t="shared" si="230"/>
        <v>0.49203187250996011</v>
      </c>
      <c r="AJ326" s="5">
        <f t="shared" si="230"/>
        <v>0.46128846153846148</v>
      </c>
      <c r="AK326" s="5">
        <f t="shared" si="230"/>
        <v>0.47744360902255634</v>
      </c>
      <c r="AL326" s="103"/>
      <c r="AM326" s="5">
        <f t="shared" si="231"/>
        <v>0.47959183673469391</v>
      </c>
      <c r="AN326" s="5">
        <f t="shared" si="231"/>
        <v>0.46623105446952512</v>
      </c>
      <c r="AO326" s="5">
        <f t="shared" si="231"/>
        <v>0.49731439273472561</v>
      </c>
      <c r="AP326" s="5">
        <f t="shared" si="231"/>
        <v>0.47043970103023364</v>
      </c>
      <c r="AQ326" s="103"/>
      <c r="AR326" s="5">
        <f t="shared" si="232"/>
        <v>0.47457627118644069</v>
      </c>
      <c r="AS326" s="5">
        <f t="shared" si="232"/>
        <v>0.46666666666666667</v>
      </c>
      <c r="AT326" s="5">
        <f t="shared" si="232"/>
        <v>0.45161290322580644</v>
      </c>
      <c r="AU326" s="5">
        <f t="shared" si="232"/>
        <v>0.41791044776119401</v>
      </c>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CB326"/>
      <c r="CC326"/>
      <c r="CD326"/>
      <c r="CE326"/>
      <c r="CF326"/>
      <c r="CG326"/>
      <c r="CH326"/>
      <c r="CI326"/>
      <c r="CJ326"/>
      <c r="CK326"/>
      <c r="CL326"/>
      <c r="CM326"/>
      <c r="CN326"/>
      <c r="CO326"/>
      <c r="CP326"/>
      <c r="CQ326"/>
      <c r="CR326"/>
      <c r="CS326"/>
      <c r="CT326"/>
      <c r="CU326"/>
      <c r="CV326"/>
      <c r="CW326"/>
      <c r="CX326"/>
      <c r="CY326"/>
      <c r="CZ326"/>
      <c r="DA326"/>
    </row>
    <row r="327" spans="4:105">
      <c r="D327" s="4" t="str">
        <f t="shared" si="228"/>
        <v>Central America</v>
      </c>
      <c r="G327" s="5"/>
      <c r="H327" s="5"/>
      <c r="I327" s="5"/>
      <c r="J327" s="5"/>
      <c r="K327" s="5"/>
      <c r="L327" s="5"/>
      <c r="M327" s="5"/>
      <c r="N327" s="5"/>
      <c r="O327" s="5"/>
      <c r="P327" s="5"/>
      <c r="Q327" s="5"/>
      <c r="R327" s="5"/>
      <c r="S327" s="5"/>
      <c r="T327" s="5"/>
      <c r="U327" s="5"/>
      <c r="V327" s="5"/>
      <c r="W327" s="103"/>
      <c r="X327" s="5"/>
      <c r="Y327" s="5"/>
      <c r="Z327" s="5"/>
      <c r="AA327" s="5"/>
      <c r="AB327" s="103"/>
      <c r="AC327" s="5"/>
      <c r="AD327" s="5"/>
      <c r="AE327" s="5"/>
      <c r="AF327" s="5"/>
      <c r="AG327" s="103"/>
      <c r="AH327" s="5">
        <f t="shared" si="230"/>
        <v>0.53427830588554015</v>
      </c>
      <c r="AI327" s="5">
        <f t="shared" si="230"/>
        <v>0.5519911354541972</v>
      </c>
      <c r="AJ327" s="5">
        <f t="shared" si="230"/>
        <v>0.53936466792976823</v>
      </c>
      <c r="AK327" s="5">
        <f t="shared" si="230"/>
        <v>0.53778119675103908</v>
      </c>
      <c r="AL327" s="103"/>
      <c r="AM327" s="5">
        <f t="shared" si="231"/>
        <v>0.55348722801476369</v>
      </c>
      <c r="AN327" s="5">
        <f t="shared" si="231"/>
        <v>0.5621653731184465</v>
      </c>
      <c r="AO327" s="5">
        <f t="shared" si="231"/>
        <v>0.55141524594826452</v>
      </c>
      <c r="AP327" s="5">
        <f t="shared" si="231"/>
        <v>0.51704415769751522</v>
      </c>
      <c r="AQ327" s="103"/>
      <c r="AR327" s="5">
        <f t="shared" si="232"/>
        <v>0.54087689446401011</v>
      </c>
      <c r="AS327" s="5">
        <f t="shared" si="232"/>
        <v>0.5244040315512708</v>
      </c>
      <c r="AT327" s="5">
        <f t="shared" si="232"/>
        <v>0.50976903239542803</v>
      </c>
      <c r="AU327" s="5">
        <f t="shared" si="232"/>
        <v>0.5125523012552301</v>
      </c>
      <c r="AV327" s="5"/>
      <c r="AW327" s="5">
        <f>AW302/AW219</f>
        <v>0.50736842105263158</v>
      </c>
      <c r="AX327" s="5">
        <f>AX302/AX219</f>
        <v>0.49789915966386555</v>
      </c>
      <c r="AY327" s="5">
        <f>AY302/AY219</f>
        <v>0.50319829424307039</v>
      </c>
      <c r="AZ327" s="5">
        <f>AZ302/AZ219</f>
        <v>0.5072765072765073</v>
      </c>
      <c r="BA327" s="5"/>
      <c r="BB327" s="5">
        <f>BB302/BB219</f>
        <v>0.49673000114500476</v>
      </c>
      <c r="BC327" s="5">
        <f>BC302/BC219</f>
        <v>0.49472954784717688</v>
      </c>
      <c r="BD327" s="5">
        <f>BD302/BD219</f>
        <v>0.48363207689750021</v>
      </c>
      <c r="BE327" s="5">
        <f>BE302/BE219</f>
        <v>0.47330095128325572</v>
      </c>
      <c r="BF327" s="5"/>
      <c r="BG327" s="5">
        <f>BG302/BG219</f>
        <v>0.47562148570278395</v>
      </c>
      <c r="BH327" s="5">
        <f>BH302/BH219</f>
        <v>0.47671476632874377</v>
      </c>
      <c r="BI327" s="5">
        <f>BI302/BI219</f>
        <v>0.46486373961535665</v>
      </c>
      <c r="BJ327" s="5">
        <f>BJ302/BJ219</f>
        <v>0.45825679481840004</v>
      </c>
      <c r="BK327" s="5"/>
      <c r="BL327" s="5">
        <f>BL302/BL219</f>
        <v>0.4626391096979332</v>
      </c>
      <c r="BM327" s="5">
        <f>BM302/BM219</f>
        <v>0.45971563981042651</v>
      </c>
      <c r="BN327" s="5">
        <f>BN302/BN219</f>
        <v>0.45911949685534592</v>
      </c>
      <c r="BO327" s="5">
        <f>BO302/BO219</f>
        <v>0.45288753799392095</v>
      </c>
      <c r="BP327" s="5"/>
      <c r="BQ327" s="5"/>
      <c r="BR327" s="5"/>
      <c r="BS327" s="5"/>
      <c r="BT327" s="5"/>
      <c r="CB327"/>
      <c r="CC327"/>
      <c r="CD327"/>
      <c r="CE327"/>
      <c r="CF327"/>
      <c r="CG327"/>
      <c r="CH327"/>
      <c r="CI327"/>
      <c r="CJ327"/>
      <c r="CK327"/>
      <c r="CL327"/>
      <c r="CM327"/>
      <c r="CN327"/>
      <c r="CO327"/>
      <c r="CP327"/>
      <c r="CQ327"/>
      <c r="CR327"/>
      <c r="CS327"/>
      <c r="CT327"/>
      <c r="CU327"/>
      <c r="CV327"/>
      <c r="CW327"/>
      <c r="CX327"/>
      <c r="CY327"/>
      <c r="CZ327"/>
      <c r="DA327"/>
    </row>
    <row r="328" spans="4:105">
      <c r="D328" s="4" t="str">
        <f t="shared" si="228"/>
        <v>Colombia</v>
      </c>
      <c r="G328" s="5"/>
      <c r="H328" s="5"/>
      <c r="I328" s="5"/>
      <c r="J328" s="5"/>
      <c r="K328" s="5"/>
      <c r="L328" s="5"/>
      <c r="M328" s="5"/>
      <c r="N328" s="5"/>
      <c r="O328" s="5"/>
      <c r="P328" s="5"/>
      <c r="Q328" s="5"/>
      <c r="R328" s="5"/>
      <c r="S328" s="5"/>
      <c r="T328" s="5"/>
      <c r="U328" s="5"/>
      <c r="V328" s="5">
        <f>V303/V222</f>
        <v>0.15303615482396507</v>
      </c>
      <c r="W328" s="103"/>
      <c r="X328" s="5">
        <f>X303/X222</f>
        <v>0.21</v>
      </c>
      <c r="Y328" s="5">
        <f>Y303/Y222</f>
        <v>0.25</v>
      </c>
      <c r="Z328" s="5">
        <f>Z303/Z222</f>
        <v>0.25</v>
      </c>
      <c r="AA328" s="5">
        <f>AA303/AA222</f>
        <v>0.15425189586760887</v>
      </c>
      <c r="AB328" s="103"/>
      <c r="AC328" s="5">
        <f>AC303/AC222</f>
        <v>0.12</v>
      </c>
      <c r="AD328" s="5">
        <f>AD303/AD222</f>
        <v>0.12</v>
      </c>
      <c r="AE328" s="5">
        <f>AE303/AE222</f>
        <v>0.14000000000000001</v>
      </c>
      <c r="AF328" s="5">
        <f>AF303/AF222</f>
        <v>0.17391304347826086</v>
      </c>
      <c r="AG328" s="103"/>
      <c r="AH328" s="5">
        <v>0.2</v>
      </c>
      <c r="AI328" s="5">
        <v>0.2</v>
      </c>
      <c r="AJ328" s="5">
        <v>0.22</v>
      </c>
      <c r="AK328" s="5">
        <v>0.25</v>
      </c>
      <c r="AL328" s="103"/>
      <c r="AM328" s="68">
        <v>0.27500000000000002</v>
      </c>
      <c r="AN328" s="68">
        <v>0.28000000000000003</v>
      </c>
      <c r="AO328" s="68">
        <v>0.28999999999999998</v>
      </c>
      <c r="AP328" s="68">
        <v>0.3</v>
      </c>
      <c r="AQ328" s="103"/>
      <c r="AR328" s="68">
        <v>0.3</v>
      </c>
      <c r="AS328" s="68">
        <v>0.29499999999999998</v>
      </c>
      <c r="AT328" s="68">
        <v>0.28999999999999998</v>
      </c>
      <c r="AU328" s="68">
        <v>0.27</v>
      </c>
      <c r="AV328" s="5"/>
      <c r="AW328" s="68">
        <v>0.26</v>
      </c>
      <c r="AX328" s="68">
        <v>0.25</v>
      </c>
      <c r="AY328" s="68">
        <v>0.24</v>
      </c>
      <c r="AZ328" s="68">
        <v>0.23</v>
      </c>
      <c r="BA328" s="5"/>
      <c r="BB328" s="68">
        <v>0.22</v>
      </c>
      <c r="BC328" s="68">
        <v>0.22</v>
      </c>
      <c r="BD328" s="68">
        <v>0.23</v>
      </c>
      <c r="BE328" s="68">
        <v>0.24</v>
      </c>
      <c r="BF328" s="5"/>
      <c r="BG328" s="68">
        <v>0.25</v>
      </c>
      <c r="BH328" s="68">
        <v>0.25</v>
      </c>
      <c r="BI328" s="68">
        <v>0.26</v>
      </c>
      <c r="BJ328" s="68">
        <v>0.26500000000000001</v>
      </c>
      <c r="BK328" s="5"/>
      <c r="BL328" s="68">
        <v>0.27700000000000002</v>
      </c>
      <c r="BM328" s="68">
        <f>BM308/BM230</f>
        <v>0.29831144465290804</v>
      </c>
      <c r="BN328" s="68">
        <f>BN308/BN230</f>
        <v>0.2924731182795699</v>
      </c>
      <c r="BO328" s="68">
        <f>BO308/BO230</f>
        <v>0.27233115468409586</v>
      </c>
      <c r="BP328" s="5"/>
      <c r="BQ328" s="5"/>
      <c r="BR328" s="5"/>
      <c r="BS328" s="5"/>
      <c r="BT328" s="5"/>
      <c r="CB328"/>
      <c r="CC328"/>
      <c r="CD328"/>
      <c r="CE328"/>
      <c r="CF328"/>
      <c r="CG328"/>
      <c r="CH328"/>
      <c r="CI328"/>
      <c r="CJ328"/>
      <c r="CK328"/>
      <c r="CL328"/>
      <c r="CM328"/>
      <c r="CN328"/>
      <c r="CO328"/>
      <c r="CP328"/>
      <c r="CQ328"/>
      <c r="CR328"/>
      <c r="CS328"/>
      <c r="CT328"/>
      <c r="CU328"/>
      <c r="CV328"/>
      <c r="CW328"/>
      <c r="CX328"/>
      <c r="CY328"/>
      <c r="CZ328"/>
      <c r="DA328"/>
    </row>
    <row r="329" spans="4:105">
      <c r="D329" s="12" t="str">
        <f t="shared" si="228"/>
        <v>SA ex Col, inc MFS</v>
      </c>
      <c r="E329" s="11"/>
      <c r="F329" s="11"/>
      <c r="G329" s="17">
        <f t="shared" ref="G329:AA329" si="233">G304/G226</f>
        <v>0.39162530758643704</v>
      </c>
      <c r="H329" s="17">
        <f t="shared" si="233"/>
        <v>0.38919122572002679</v>
      </c>
      <c r="I329" s="17">
        <f t="shared" si="233"/>
        <v>0.36263995285798467</v>
      </c>
      <c r="J329" s="17">
        <f t="shared" si="233"/>
        <v>0.36156476962686857</v>
      </c>
      <c r="K329" s="17">
        <f t="shared" si="233"/>
        <v>0.38950187894778926</v>
      </c>
      <c r="L329" s="17">
        <f t="shared" si="233"/>
        <v>0.38497723252925903</v>
      </c>
      <c r="M329" s="17">
        <f t="shared" si="233"/>
        <v>0.38922831717359541</v>
      </c>
      <c r="N329" s="17">
        <f t="shared" si="233"/>
        <v>0.39917033001052565</v>
      </c>
      <c r="O329" s="17">
        <f t="shared" si="233"/>
        <v>0.39649482554227677</v>
      </c>
      <c r="P329" s="17">
        <f t="shared" si="233"/>
        <v>0.41380343288500132</v>
      </c>
      <c r="Q329" s="17">
        <f t="shared" si="233"/>
        <v>0.38636487890219234</v>
      </c>
      <c r="R329" s="17">
        <f t="shared" si="233"/>
        <v>0.41566295167174772</v>
      </c>
      <c r="S329" s="17">
        <f t="shared" si="233"/>
        <v>0.4156187066457821</v>
      </c>
      <c r="T329" s="17">
        <f t="shared" si="233"/>
        <v>0.43561739671188154</v>
      </c>
      <c r="U329" s="17">
        <f t="shared" si="233"/>
        <v>0.45568787314630549</v>
      </c>
      <c r="V329" s="17">
        <f t="shared" si="233"/>
        <v>0.48263087166330698</v>
      </c>
      <c r="W329" s="186">
        <f t="shared" si="233"/>
        <v>0.45185814123400575</v>
      </c>
      <c r="X329" s="17">
        <f t="shared" si="233"/>
        <v>0.47852239951770231</v>
      </c>
      <c r="Y329" s="17">
        <f t="shared" si="233"/>
        <v>0.47890734043395838</v>
      </c>
      <c r="Z329" s="17">
        <f t="shared" si="233"/>
        <v>0.51529600197629899</v>
      </c>
      <c r="AA329" s="17">
        <f t="shared" si="233"/>
        <v>0.50485729338464347</v>
      </c>
      <c r="AB329" s="186"/>
      <c r="AC329" s="17">
        <f t="shared" ref="AC329:AF330" si="234">AC304/AC226</f>
        <v>0.48374732927764102</v>
      </c>
      <c r="AD329" s="17">
        <f t="shared" si="234"/>
        <v>0.50011020983953447</v>
      </c>
      <c r="AE329" s="17">
        <f t="shared" si="234"/>
        <v>0.51845744391244764</v>
      </c>
      <c r="AF329" s="17">
        <f t="shared" si="234"/>
        <v>0.55172413793103448</v>
      </c>
      <c r="AG329" s="186"/>
      <c r="AH329" s="17">
        <f t="shared" ref="AH329:AK330" si="235">AH304/AH226</f>
        <v>0.52390124321484854</v>
      </c>
      <c r="AI329" s="17">
        <f t="shared" si="235"/>
        <v>0.52889534971611929</v>
      </c>
      <c r="AJ329" s="17">
        <f t="shared" si="235"/>
        <v>0.54635829327501451</v>
      </c>
      <c r="AK329" s="17">
        <f t="shared" si="235"/>
        <v>0.56817903821988536</v>
      </c>
      <c r="AL329" s="186"/>
      <c r="AM329" s="17">
        <f t="shared" ref="AM329:AP330" si="236">AM304/AM226</f>
        <v>0.54088696299604078</v>
      </c>
      <c r="AN329" s="17">
        <f t="shared" si="236"/>
        <v>0.54300849218759784</v>
      </c>
      <c r="AO329" s="17">
        <f t="shared" si="236"/>
        <v>0.53853514499478727</v>
      </c>
      <c r="AP329" s="17">
        <f t="shared" si="236"/>
        <v>0.55323218206545033</v>
      </c>
      <c r="AQ329" s="186"/>
      <c r="AR329" s="17">
        <f t="shared" ref="AR329:AU330" si="237">AR304/AR226</f>
        <v>0.52102009471912059</v>
      </c>
      <c r="AS329" s="17">
        <f t="shared" si="237"/>
        <v>0.53203828857195923</v>
      </c>
      <c r="AT329" s="17">
        <f t="shared" si="237"/>
        <v>0.53707905840934489</v>
      </c>
      <c r="AU329" s="17">
        <f t="shared" si="237"/>
        <v>0.53489121693296393</v>
      </c>
      <c r="AV329" s="5"/>
      <c r="AW329" s="17">
        <f t="shared" ref="AW329:AZ330" si="238">AW304/AW226</f>
        <v>0.52194738983446221</v>
      </c>
      <c r="AX329" s="17">
        <f t="shared" si="238"/>
        <v>0.51386262012454575</v>
      </c>
      <c r="AY329" s="17">
        <f t="shared" si="238"/>
        <v>0.51706188270240538</v>
      </c>
      <c r="AZ329" s="17">
        <f t="shared" si="238"/>
        <v>0.51288210573137794</v>
      </c>
      <c r="BA329" s="5"/>
      <c r="BB329" s="17"/>
      <c r="BC329" s="17"/>
      <c r="BD329" s="17"/>
      <c r="BE329" s="17"/>
      <c r="BF329" s="5"/>
      <c r="BG329" s="17"/>
      <c r="BH329" s="17"/>
      <c r="BI329" s="17"/>
      <c r="BJ329" s="17"/>
      <c r="BK329" s="5"/>
      <c r="BL329" s="17"/>
      <c r="BM329" s="17"/>
      <c r="BN329" s="17"/>
      <c r="BO329" s="17"/>
      <c r="BP329" s="5"/>
      <c r="BQ329" s="5"/>
      <c r="BR329" s="5"/>
      <c r="BS329" s="5"/>
      <c r="BT329" s="5"/>
      <c r="CB329"/>
      <c r="CC329"/>
      <c r="CD329"/>
      <c r="CE329"/>
      <c r="CF329"/>
      <c r="CG329"/>
      <c r="CH329"/>
      <c r="CI329"/>
      <c r="CJ329"/>
      <c r="CK329"/>
      <c r="CL329"/>
      <c r="CM329"/>
      <c r="CN329"/>
      <c r="CO329"/>
      <c r="CP329"/>
      <c r="CQ329"/>
      <c r="CR329"/>
      <c r="CS329"/>
      <c r="CT329"/>
      <c r="CU329"/>
      <c r="CV329"/>
      <c r="CW329"/>
      <c r="CX329"/>
      <c r="CY329"/>
      <c r="CZ329"/>
      <c r="DA329"/>
    </row>
    <row r="330" spans="4:105">
      <c r="D330" s="193" t="str">
        <f t="shared" si="228"/>
        <v>SA inc Colombia</v>
      </c>
      <c r="G330" s="5"/>
      <c r="H330" s="5"/>
      <c r="I330" s="5"/>
      <c r="J330" s="5"/>
      <c r="K330" s="5"/>
      <c r="L330" s="5"/>
      <c r="M330" s="5"/>
      <c r="N330" s="5"/>
      <c r="O330" s="5"/>
      <c r="P330" s="5"/>
      <c r="Q330" s="5"/>
      <c r="R330" s="5"/>
      <c r="S330" s="5"/>
      <c r="T330" s="5"/>
      <c r="U330" s="5"/>
      <c r="V330" s="203">
        <f>V305/V227</f>
        <v>0.29927807618390578</v>
      </c>
      <c r="W330" s="103"/>
      <c r="X330" s="203">
        <f>X305/X227</f>
        <v>0.3332735993883244</v>
      </c>
      <c r="Y330" s="203">
        <f>Y305/Y227</f>
        <v>0.34877191865155183</v>
      </c>
      <c r="Z330" s="203">
        <f>Z305/Z227</f>
        <v>0.37162948819447678</v>
      </c>
      <c r="AA330" s="203">
        <f>AA305/AA227</f>
        <v>0.31466778102799831</v>
      </c>
      <c r="AB330" s="103"/>
      <c r="AC330" s="203">
        <f t="shared" si="234"/>
        <v>0.3125728545154689</v>
      </c>
      <c r="AD330" s="203">
        <f t="shared" si="234"/>
        <v>0.32359585051789819</v>
      </c>
      <c r="AE330" s="203">
        <f t="shared" si="234"/>
        <v>0.35329056609294196</v>
      </c>
      <c r="AF330" s="203">
        <f t="shared" si="234"/>
        <v>0.38461538461538464</v>
      </c>
      <c r="AG330" s="103"/>
      <c r="AH330" s="203">
        <f t="shared" si="235"/>
        <v>0.3953120050681026</v>
      </c>
      <c r="AI330" s="203">
        <f t="shared" si="235"/>
        <v>0.391653290529695</v>
      </c>
      <c r="AJ330" s="203">
        <f t="shared" si="235"/>
        <v>0.40715523465703968</v>
      </c>
      <c r="AK330" s="203">
        <f t="shared" si="235"/>
        <v>0.43030690537084393</v>
      </c>
      <c r="AL330" s="103"/>
      <c r="AM330" s="203">
        <f t="shared" si="236"/>
        <v>0.42369196285622795</v>
      </c>
      <c r="AN330" s="203">
        <f t="shared" si="236"/>
        <v>0.42737094837935169</v>
      </c>
      <c r="AO330" s="203">
        <f t="shared" si="236"/>
        <v>0.42558248112772395</v>
      </c>
      <c r="AP330" s="203">
        <f t="shared" si="236"/>
        <v>0.43880299147643415</v>
      </c>
      <c r="AQ330" s="103"/>
      <c r="AR330" s="203">
        <f t="shared" si="237"/>
        <v>0.42266579973992197</v>
      </c>
      <c r="AS330" s="203">
        <f t="shared" si="237"/>
        <v>0.42793793661852492</v>
      </c>
      <c r="AT330" s="203">
        <f t="shared" si="237"/>
        <v>0.42861329203663501</v>
      </c>
      <c r="AU330" s="203">
        <f t="shared" si="237"/>
        <v>0.42</v>
      </c>
      <c r="AV330" s="203"/>
      <c r="AW330" s="203">
        <f t="shared" si="238"/>
        <v>0.40879120879120878</v>
      </c>
      <c r="AX330" s="203">
        <f t="shared" si="238"/>
        <v>0.39699570815450641</v>
      </c>
      <c r="AY330" s="203">
        <f t="shared" si="238"/>
        <v>0.39374999999999999</v>
      </c>
      <c r="AZ330" s="203">
        <f t="shared" si="238"/>
        <v>0.38783269961977185</v>
      </c>
      <c r="BA330" s="203"/>
      <c r="BB330" s="203">
        <f>BB305/BB227</f>
        <v>0.37051039697542532</v>
      </c>
      <c r="BC330" s="203">
        <f>BC305/BC227</f>
        <v>0.35294117647058826</v>
      </c>
      <c r="BD330" s="203">
        <f>BD305/BD227</f>
        <v>0.36531365313653136</v>
      </c>
      <c r="BE330" s="203">
        <f>BE305/BE227</f>
        <v>0.3769100169779287</v>
      </c>
      <c r="BF330" s="203"/>
      <c r="BG330" s="203">
        <f>BG305/BG227</f>
        <v>0.35419052483231273</v>
      </c>
      <c r="BH330" s="203">
        <f>BH305/BH227</f>
        <v>0.33360321804790849</v>
      </c>
      <c r="BI330" s="203">
        <f>BI305/BI227</f>
        <v>0.33637037037037032</v>
      </c>
      <c r="BJ330" s="203">
        <f>BJ305/BJ227</f>
        <v>0.32010108038258428</v>
      </c>
      <c r="BK330" s="203"/>
      <c r="BL330" s="203">
        <f>BL305/BL227</f>
        <v>0.33473557692307693</v>
      </c>
      <c r="BM330" s="203">
        <f>BM305/BM227</f>
        <v>0.33935018050541516</v>
      </c>
      <c r="BN330" s="203">
        <f>BN305/BN227</f>
        <v>0.34162303664921467</v>
      </c>
      <c r="BO330" s="203">
        <f>BO305/BO227</f>
        <v>0.32806324110671936</v>
      </c>
      <c r="BP330" s="203"/>
      <c r="BQ330" s="203"/>
      <c r="BR330" s="203"/>
      <c r="BS330" s="203"/>
      <c r="BT330" s="203"/>
      <c r="CB330"/>
      <c r="CC330"/>
      <c r="CD330"/>
      <c r="CE330"/>
      <c r="CF330"/>
      <c r="CG330"/>
      <c r="CH330"/>
      <c r="CI330"/>
      <c r="CJ330"/>
      <c r="CK330"/>
      <c r="CL330"/>
      <c r="CM330"/>
      <c r="CN330"/>
      <c r="CO330"/>
      <c r="CP330"/>
      <c r="CQ330"/>
      <c r="CR330"/>
      <c r="CS330"/>
      <c r="CT330"/>
      <c r="CU330"/>
      <c r="CV330"/>
      <c r="CW330"/>
      <c r="CX330"/>
      <c r="CY330"/>
      <c r="CZ330"/>
      <c r="DA330"/>
    </row>
    <row r="331" spans="4:105">
      <c r="D331" s="4" t="s">
        <v>1831</v>
      </c>
      <c r="G331" s="5">
        <f t="shared" ref="G331:AA331" si="239">G310/G239</f>
        <v>0.38656069364161849</v>
      </c>
      <c r="H331" s="5">
        <f t="shared" si="239"/>
        <v>0.45020028147666991</v>
      </c>
      <c r="I331" s="5">
        <f t="shared" si="239"/>
        <v>0.42159686481892444</v>
      </c>
      <c r="J331" s="5">
        <f t="shared" si="239"/>
        <v>0.4209752691728218</v>
      </c>
      <c r="K331" s="5">
        <f t="shared" si="239"/>
        <v>0.42052917403384693</v>
      </c>
      <c r="L331" s="5">
        <f t="shared" si="239"/>
        <v>0.39726650186116558</v>
      </c>
      <c r="M331" s="5">
        <f t="shared" si="239"/>
        <v>0.43210609148842855</v>
      </c>
      <c r="N331" s="5">
        <f t="shared" si="239"/>
        <v>0.49058730695524749</v>
      </c>
      <c r="O331" s="5">
        <f t="shared" si="239"/>
        <v>0.44229886975017729</v>
      </c>
      <c r="P331" s="5">
        <f t="shared" si="239"/>
        <v>0.49114325011461685</v>
      </c>
      <c r="Q331" s="5">
        <f t="shared" si="239"/>
        <v>0.43546338559237946</v>
      </c>
      <c r="R331" s="5">
        <f t="shared" si="239"/>
        <v>0.36933197857647204</v>
      </c>
      <c r="S331" s="5">
        <f t="shared" si="239"/>
        <v>0.44537411905832963</v>
      </c>
      <c r="T331" s="5">
        <f t="shared" si="239"/>
        <v>0.39802527537507393</v>
      </c>
      <c r="U331" s="5">
        <f t="shared" si="239"/>
        <v>0.38727877346153367</v>
      </c>
      <c r="V331" s="5">
        <f t="shared" si="239"/>
        <v>0.35529462691412805</v>
      </c>
      <c r="W331" s="103">
        <f t="shared" si="239"/>
        <v>0.39272680668364812</v>
      </c>
      <c r="X331" s="5">
        <f t="shared" si="239"/>
        <v>0.37335180538466756</v>
      </c>
      <c r="Y331" s="5">
        <f t="shared" si="239"/>
        <v>0.34202490016443504</v>
      </c>
      <c r="Z331" s="5">
        <f t="shared" si="239"/>
        <v>0.27685128896045219</v>
      </c>
      <c r="AA331" s="5">
        <f t="shared" si="239"/>
        <v>0.30171821305841923</v>
      </c>
      <c r="AB331" s="103"/>
      <c r="AC331" s="5">
        <f>AC310/AC239</f>
        <v>0.32263190184049079</v>
      </c>
      <c r="AD331" s="5">
        <f>AD310/AD239</f>
        <v>0.31814606741573037</v>
      </c>
      <c r="AE331" s="5">
        <f>AE310/AE239</f>
        <v>0.34244385026737972</v>
      </c>
      <c r="AF331" s="5">
        <f>AF310/AF239</f>
        <v>0.34972677595628415</v>
      </c>
      <c r="AG331" s="103"/>
      <c r="AH331" s="5">
        <f>AH310/AH239</f>
        <v>0.34444444444444444</v>
      </c>
      <c r="AI331" s="5">
        <f>AI310/AI239</f>
        <v>0.3366066557555919</v>
      </c>
      <c r="AJ331" s="5">
        <f>AJ310/AJ239</f>
        <v>0.37409500000000001</v>
      </c>
      <c r="AK331" s="5">
        <f>AK310/AK239</f>
        <v>0.39348591549295781</v>
      </c>
      <c r="AL331" s="103"/>
      <c r="AM331" s="5">
        <f>AM310/AM239</f>
        <v>0.37661131907436829</v>
      </c>
      <c r="AN331" s="5">
        <f>AN310/AN239</f>
        <v>0.39215248170356354</v>
      </c>
      <c r="AO331" s="5">
        <f>AO310/AO239</f>
        <v>0.40922269236796738</v>
      </c>
      <c r="AP331" s="5">
        <f>AP310/AP239</f>
        <v>0.41741296656827653</v>
      </c>
      <c r="AQ331" s="103"/>
      <c r="AR331" s="5">
        <f>AR310/AR239</f>
        <v>0.40931438127090303</v>
      </c>
      <c r="AS331" s="5">
        <f>AS310/AS239</f>
        <v>0.40215506916277921</v>
      </c>
      <c r="AT331" s="5">
        <f>AT310/AT239</f>
        <v>0.42141262373930771</v>
      </c>
      <c r="AU331" s="5">
        <f>AU310/AU239</f>
        <v>0.40963855421686746</v>
      </c>
      <c r="AV331" s="5"/>
      <c r="AW331" s="5">
        <f>AW310/AW239</f>
        <v>0.37656903765690375</v>
      </c>
      <c r="AX331" s="5">
        <f>AX310/AX239</f>
        <v>0.41040167364016733</v>
      </c>
      <c r="AY331" s="5">
        <f>AY310/AY239</f>
        <v>0.37246963562753038</v>
      </c>
      <c r="AZ331" s="5">
        <f>AZ310/AZ239</f>
        <v>0.3493975903614458</v>
      </c>
      <c r="BA331" s="5"/>
      <c r="BB331" s="5">
        <f>BB310/BB239</f>
        <v>0.31140350877192985</v>
      </c>
      <c r="BC331" s="5">
        <f>BC310/BC239</f>
        <v>0.29777777777777775</v>
      </c>
      <c r="BD331" s="5">
        <f>BD310/BD239</f>
        <v>0.26016260162601629</v>
      </c>
      <c r="BE331" s="5">
        <f>BE310/BE239</f>
        <v>0.23424124513618677</v>
      </c>
      <c r="BF331" s="5"/>
      <c r="BG331" s="5">
        <f>BG310/BG239</f>
        <v>0.21548821564773152</v>
      </c>
      <c r="BH331" s="5">
        <f>BH310/BH239</f>
        <v>0.25749974804097103</v>
      </c>
      <c r="BI331" s="5">
        <f>BI310/BI239</f>
        <v>0.24583529411764707</v>
      </c>
      <c r="BJ331" s="5">
        <f>BJ310/BJ239</f>
        <v>0.18898437500000001</v>
      </c>
      <c r="BK331" s="5"/>
      <c r="BL331" s="5">
        <f>BL310/BL239</f>
        <v>0.22983870967741934</v>
      </c>
      <c r="BM331" s="5">
        <f>BM310/BM239</f>
        <v>0.21666666666666667</v>
      </c>
      <c r="BN331" s="5">
        <f>BN310/BN239</f>
        <v>0.19917012448132779</v>
      </c>
      <c r="BO331" s="5">
        <f>BO310/BO239</f>
        <v>0.16666666666666666</v>
      </c>
      <c r="BP331" s="5"/>
      <c r="BQ331" s="5"/>
      <c r="BR331" s="5"/>
      <c r="BS331" s="5"/>
      <c r="BT331" s="5"/>
      <c r="CB331"/>
      <c r="CC331"/>
      <c r="CD331"/>
      <c r="CE331"/>
      <c r="CF331"/>
      <c r="CG331"/>
      <c r="CH331"/>
      <c r="CI331"/>
      <c r="CJ331"/>
      <c r="CK331"/>
      <c r="CL331"/>
      <c r="CM331"/>
      <c r="CN331"/>
      <c r="CO331"/>
      <c r="CP331"/>
      <c r="CQ331"/>
      <c r="CR331"/>
      <c r="CS331"/>
      <c r="CT331"/>
      <c r="CU331"/>
      <c r="CV331"/>
      <c r="CW331"/>
      <c r="CX331"/>
      <c r="CY331"/>
      <c r="CZ331"/>
      <c r="DA331"/>
    </row>
    <row r="332" spans="4:105">
      <c r="D332" s="4" t="s">
        <v>1540</v>
      </c>
      <c r="G332" s="17">
        <f t="shared" ref="G332:T332" si="240">G311/G240</f>
        <v>0.21102362204724412</v>
      </c>
      <c r="H332" s="17">
        <f t="shared" si="240"/>
        <v>0.26469710534168905</v>
      </c>
      <c r="I332" s="17">
        <f t="shared" si="240"/>
        <v>0.14059829059829063</v>
      </c>
      <c r="J332" s="17">
        <f t="shared" si="240"/>
        <v>-4.5454545454545456E-2</v>
      </c>
      <c r="K332" s="17">
        <f t="shared" si="240"/>
        <v>-0.21061093247588425</v>
      </c>
      <c r="L332" s="17">
        <f t="shared" si="240"/>
        <v>-0.18775847808105872</v>
      </c>
      <c r="M332" s="17">
        <f t="shared" si="240"/>
        <v>9.0017825311942953E-2</v>
      </c>
      <c r="N332" s="17">
        <f t="shared" si="240"/>
        <v>-0.48912367930391548</v>
      </c>
      <c r="O332" s="17">
        <f t="shared" si="240"/>
        <v>0.11885245901639345</v>
      </c>
      <c r="P332" s="17">
        <f t="shared" si="240"/>
        <v>-0.30629139072847683</v>
      </c>
      <c r="Q332" s="17">
        <f t="shared" si="240"/>
        <v>-0.472538860103627</v>
      </c>
      <c r="R332" s="17">
        <f t="shared" si="240"/>
        <v>-1.9111374407582939</v>
      </c>
      <c r="S332" s="17">
        <f t="shared" si="240"/>
        <v>-0.25138427464008861</v>
      </c>
      <c r="T332" s="17">
        <f t="shared" si="240"/>
        <v>-0.10236220472440945</v>
      </c>
      <c r="U332" s="17"/>
      <c r="V332" s="17"/>
      <c r="W332" s="186">
        <f>W311/W240</f>
        <v>-0.52110474205315271</v>
      </c>
      <c r="X332" s="17"/>
      <c r="Y332" s="17"/>
      <c r="Z332" s="17"/>
      <c r="AA332" s="17"/>
      <c r="AB332" s="186"/>
      <c r="AC332" s="17"/>
      <c r="AD332" s="17"/>
      <c r="AE332" s="17"/>
      <c r="AF332" s="17"/>
      <c r="AG332" s="186"/>
      <c r="AH332" s="17"/>
      <c r="AI332" s="17"/>
      <c r="AJ332" s="17"/>
      <c r="AK332" s="17"/>
      <c r="AL332" s="186"/>
      <c r="AM332" s="17"/>
      <c r="AN332" s="17"/>
      <c r="AO332" s="17"/>
      <c r="AP332" s="17"/>
      <c r="AQ332" s="186"/>
      <c r="AR332" s="17"/>
      <c r="AS332" s="17"/>
      <c r="AT332" s="17"/>
      <c r="AU332" s="17"/>
      <c r="AV332" s="5"/>
      <c r="AW332" s="17"/>
      <c r="AX332" s="17"/>
      <c r="AY332" s="17"/>
      <c r="AZ332" s="17"/>
      <c r="BA332" s="5"/>
      <c r="BB332" s="17"/>
      <c r="BC332" s="17"/>
      <c r="BD332" s="17"/>
      <c r="BE332" s="17"/>
      <c r="BF332" s="5"/>
      <c r="BG332" s="17"/>
      <c r="BH332" s="17"/>
      <c r="BI332" s="17"/>
      <c r="BJ332" s="17"/>
      <c r="BK332" s="5"/>
      <c r="BL332" s="17"/>
      <c r="BM332" s="17"/>
      <c r="BN332" s="17"/>
      <c r="BO332" s="17"/>
      <c r="BP332" s="5"/>
      <c r="BQ332" s="5"/>
      <c r="BR332" s="5"/>
      <c r="BS332" s="5"/>
      <c r="BT332" s="5"/>
      <c r="CB332"/>
      <c r="CC332"/>
      <c r="CD332"/>
      <c r="CE332"/>
      <c r="CF332"/>
      <c r="CG332"/>
      <c r="CH332"/>
      <c r="CI332"/>
      <c r="CJ332"/>
      <c r="CK332"/>
      <c r="CL332"/>
      <c r="CM332"/>
      <c r="CN332"/>
      <c r="CO332"/>
      <c r="CP332"/>
      <c r="CQ332"/>
      <c r="CR332"/>
      <c r="CS332"/>
      <c r="CT332"/>
      <c r="CU332"/>
      <c r="CV332"/>
      <c r="CW332"/>
      <c r="CX332"/>
      <c r="CY332"/>
      <c r="CZ332"/>
      <c r="DA332"/>
    </row>
    <row r="333" spans="4:105">
      <c r="D333" s="2" t="s">
        <v>1543</v>
      </c>
      <c r="E333" s="2"/>
      <c r="F333" s="2"/>
      <c r="G333" s="18">
        <f t="shared" ref="G333:AA333" si="241">G312/G242</f>
        <v>0.49718463191135015</v>
      </c>
      <c r="H333" s="18">
        <f t="shared" si="241"/>
        <v>0.51023202791564137</v>
      </c>
      <c r="I333" s="18">
        <f t="shared" si="241"/>
        <v>0.5289018816861133</v>
      </c>
      <c r="J333" s="18">
        <f t="shared" si="241"/>
        <v>0.46060786207921528</v>
      </c>
      <c r="K333" s="18">
        <f t="shared" si="241"/>
        <v>0.49830028196147924</v>
      </c>
      <c r="L333" s="18">
        <f t="shared" si="241"/>
        <v>0.49766951015741789</v>
      </c>
      <c r="M333" s="18">
        <f t="shared" si="241"/>
        <v>0.4977614977614977</v>
      </c>
      <c r="N333" s="18">
        <f t="shared" si="241"/>
        <v>0.48408141554154482</v>
      </c>
      <c r="O333" s="18">
        <f t="shared" si="241"/>
        <v>0.47148315905235882</v>
      </c>
      <c r="P333" s="18">
        <f t="shared" si="241"/>
        <v>0.46880273695191926</v>
      </c>
      <c r="Q333" s="18">
        <f t="shared" si="241"/>
        <v>0.42522512843927579</v>
      </c>
      <c r="R333" s="18">
        <f t="shared" si="241"/>
        <v>0.44315717442149455</v>
      </c>
      <c r="S333" s="18">
        <f t="shared" si="241"/>
        <v>0.44134561965977753</v>
      </c>
      <c r="T333" s="18">
        <f t="shared" si="241"/>
        <v>0.43311275858540887</v>
      </c>
      <c r="U333" s="18">
        <f t="shared" si="241"/>
        <v>0.44402898860381163</v>
      </c>
      <c r="V333" s="18">
        <f t="shared" si="241"/>
        <v>0.42095381701497758</v>
      </c>
      <c r="W333" s="187">
        <f t="shared" si="241"/>
        <v>0.44806372057430977</v>
      </c>
      <c r="X333" s="18">
        <f t="shared" si="241"/>
        <v>0.44086824085971055</v>
      </c>
      <c r="Y333" s="18">
        <f t="shared" si="241"/>
        <v>0.43282046599896634</v>
      </c>
      <c r="Z333" s="18">
        <f t="shared" si="241"/>
        <v>0.43130140828652402</v>
      </c>
      <c r="AA333" s="18">
        <f t="shared" si="241"/>
        <v>0.40260247234873126</v>
      </c>
      <c r="AB333" s="187"/>
      <c r="AC333" s="18">
        <f>AC312/AC242</f>
        <v>0.42316289326300222</v>
      </c>
      <c r="AD333" s="18">
        <f>AD312/AD242</f>
        <v>0.42065242358855592</v>
      </c>
      <c r="AE333" s="18">
        <f>AE312/AE242</f>
        <v>0.42747455824437469</v>
      </c>
      <c r="AF333" s="18">
        <f>AF312/AF242</f>
        <v>0.45422116527942924</v>
      </c>
      <c r="AG333" s="187"/>
      <c r="AH333" s="18">
        <f>AH312/AH242</f>
        <v>0.4555464323431706</v>
      </c>
      <c r="AI333" s="18">
        <f>AI312/AI242</f>
        <v>0.46041917191719012</v>
      </c>
      <c r="AJ333" s="18">
        <f>AJ312/AJ242</f>
        <v>0.46230187896665081</v>
      </c>
      <c r="AK333" s="18">
        <f>AK312/AK242</f>
        <v>0.46963621355747004</v>
      </c>
      <c r="AL333" s="187"/>
      <c r="AM333" s="18">
        <f>AM312/AM242</f>
        <v>0.47039565828830571</v>
      </c>
      <c r="AN333" s="18">
        <f>AN312/AN242</f>
        <v>0.47949993518952916</v>
      </c>
      <c r="AO333" s="18">
        <f>AO312/AO242</f>
        <v>0.47536043343391632</v>
      </c>
      <c r="AP333" s="18">
        <f>AP312/AP242</f>
        <v>0.46694906960813098</v>
      </c>
      <c r="AQ333" s="187"/>
      <c r="AR333" s="18">
        <f>AR312/AR242</f>
        <v>0.46955899341540436</v>
      </c>
      <c r="AS333" s="18">
        <f>AS312/AS242</f>
        <v>0.46135235495437488</v>
      </c>
      <c r="AT333" s="18">
        <f>AT312/AT242</f>
        <v>0.45953163713218775</v>
      </c>
      <c r="AU333" s="18">
        <f>AU312/AU242</f>
        <v>0.45539507221750214</v>
      </c>
      <c r="AV333" s="18"/>
      <c r="AW333" s="18">
        <f>AW312/AW242</f>
        <v>0.4422583404619333</v>
      </c>
      <c r="AX333" s="18">
        <f>AX312/AX242</f>
        <v>0.44037764606265878</v>
      </c>
      <c r="AY333" s="18">
        <f>AY312/AY242</f>
        <v>0.42952460383653046</v>
      </c>
      <c r="AZ333" s="18">
        <f>AZ312/AZ242</f>
        <v>0.41706161137440756</v>
      </c>
      <c r="BA333" s="18"/>
      <c r="BB333" s="18">
        <f>BB312/BB242</f>
        <v>0.41602387769786303</v>
      </c>
      <c r="BC333" s="18">
        <f>BC312/BC242</f>
        <v>0.40637023929548777</v>
      </c>
      <c r="BD333" s="18">
        <f>BD312/BD242</f>
        <v>0.39754418884360898</v>
      </c>
      <c r="BE333" s="18">
        <f>BE312/BE242</f>
        <v>0.39263612784625374</v>
      </c>
      <c r="BF333" s="18"/>
      <c r="BG333" s="18">
        <f>BG312/BG242</f>
        <v>0.38204578749574009</v>
      </c>
      <c r="BH333" s="18">
        <f>BH312/BH242</f>
        <v>0.38110065949201133</v>
      </c>
      <c r="BI333" s="18">
        <f>BI312/BI242</f>
        <v>0.36915345673662847</v>
      </c>
      <c r="BJ333" s="18">
        <f>BJ312/BJ242</f>
        <v>0.34983117602770958</v>
      </c>
      <c r="BK333" s="18"/>
      <c r="BL333" s="18">
        <f>BL312/BL242</f>
        <v>0.3665886483323581</v>
      </c>
      <c r="BM333" s="18">
        <f>BM312/BM242</f>
        <v>0.36561032863849763</v>
      </c>
      <c r="BN333" s="18">
        <f>BN312/BN242</f>
        <v>0.36624009750152348</v>
      </c>
      <c r="BO333" s="18">
        <f>BO312/BO242</f>
        <v>0.35641791044776122</v>
      </c>
      <c r="BP333" s="18"/>
      <c r="BQ333" s="18"/>
      <c r="BR333" s="18"/>
      <c r="BS333" s="18"/>
      <c r="BT333" s="18"/>
      <c r="CB333"/>
      <c r="CC333"/>
      <c r="CD333"/>
      <c r="CE333"/>
      <c r="CF333"/>
      <c r="CG333"/>
      <c r="CH333"/>
      <c r="CI333"/>
      <c r="CJ333"/>
      <c r="CK333"/>
      <c r="CL333"/>
      <c r="CM333"/>
      <c r="CN333"/>
      <c r="CO333"/>
      <c r="CP333"/>
      <c r="CQ333"/>
      <c r="CR333"/>
      <c r="CS333"/>
      <c r="CT333"/>
      <c r="CU333"/>
      <c r="CV333"/>
      <c r="CW333"/>
      <c r="CX333"/>
      <c r="CY333"/>
      <c r="CZ333"/>
      <c r="DA333"/>
    </row>
    <row r="334" spans="4:105">
      <c r="D334" s="4" t="s">
        <v>3548</v>
      </c>
      <c r="E334" s="2"/>
      <c r="F334" s="2"/>
      <c r="G334" s="18"/>
      <c r="H334" s="18"/>
      <c r="I334" s="18"/>
      <c r="J334" s="18"/>
      <c r="K334" s="18"/>
      <c r="L334" s="18"/>
      <c r="M334" s="18"/>
      <c r="N334" s="29" t="e">
        <f>N317/#REF!</f>
        <v>#REF!</v>
      </c>
      <c r="O334" s="29" t="e">
        <f>O317/#REF!</f>
        <v>#REF!</v>
      </c>
      <c r="P334" s="29" t="e">
        <f>P317/#REF!</f>
        <v>#REF!</v>
      </c>
      <c r="Q334" s="29" t="e">
        <f>Q317/#REF!</f>
        <v>#REF!</v>
      </c>
      <c r="R334" s="29" t="e">
        <f>R317/#REF!</f>
        <v>#REF!</v>
      </c>
      <c r="S334" s="29" t="e">
        <f>S316/#REF!</f>
        <v>#REF!</v>
      </c>
      <c r="T334" s="29" t="e">
        <f>T316/#REF!</f>
        <v>#REF!</v>
      </c>
      <c r="U334" s="29">
        <f>U333</f>
        <v>0.44402898860381163</v>
      </c>
      <c r="V334" s="29">
        <f>V333</f>
        <v>0.42095381701497758</v>
      </c>
      <c r="W334" s="29"/>
      <c r="X334" s="29"/>
      <c r="Y334" s="29"/>
      <c r="Z334" s="29"/>
      <c r="AA334" s="29"/>
      <c r="AB334" s="29"/>
      <c r="AC334" s="29"/>
      <c r="AD334" s="29"/>
      <c r="AE334" s="29"/>
      <c r="AF334" s="29"/>
      <c r="AG334" s="29"/>
      <c r="AH334" s="29"/>
      <c r="AI334" s="29"/>
      <c r="AJ334" s="29"/>
      <c r="AK334" s="29"/>
      <c r="AL334" s="18"/>
      <c r="AM334" s="29"/>
      <c r="AN334" s="29"/>
      <c r="AO334" s="29"/>
      <c r="AP334" s="29"/>
      <c r="AQ334" s="18"/>
      <c r="AR334" s="29">
        <f>(AR312-AR311)/(AR3-AR241)</f>
        <v>0.470781146295983</v>
      </c>
      <c r="AS334" s="29">
        <f>(AS312-AS311)/(AS3-AS241)</f>
        <v>0.46135235495437488</v>
      </c>
      <c r="AT334" s="29">
        <f>(AT312-AT311)/(AT3-AT241)</f>
        <v>0.45953163713218775</v>
      </c>
      <c r="AU334" s="29">
        <f>(AU312-AU311)/(AU3-AU241)</f>
        <v>0.45539507221750214</v>
      </c>
      <c r="AV334" s="29"/>
      <c r="AW334" s="29">
        <f>(AW312-AW311)/(AW3-AW241)</f>
        <v>0.4422583404619333</v>
      </c>
      <c r="AX334" s="29">
        <f>(AX312-AX311)/(AX3-AX241)</f>
        <v>0.44037764606265878</v>
      </c>
      <c r="AY334" s="29">
        <f>(AY312-AY311)/(AY3-AY241)</f>
        <v>0.43227424749163879</v>
      </c>
      <c r="AZ334" s="29">
        <f>(AZ312-AZ311)/(AZ3-AZ241)</f>
        <v>0.42595541401273884</v>
      </c>
      <c r="BA334" s="29"/>
      <c r="BB334" s="29">
        <f>(BB312-BB311)/(BB3-BB241)</f>
        <v>0.41602387769786303</v>
      </c>
      <c r="BC334" s="29">
        <f>(BC312-BC311)/(BC3-BC241)</f>
        <v>0.40637023929548777</v>
      </c>
      <c r="BD334" s="29">
        <f>(BD312-BD311)/(BD3-BD241)</f>
        <v>0.39754418884360898</v>
      </c>
      <c r="BE334" s="29">
        <f>(BE312-BE311)/(BE3-BE241)</f>
        <v>0.39263612784625374</v>
      </c>
      <c r="BF334" s="29"/>
      <c r="BG334" s="29"/>
      <c r="BH334" s="29"/>
      <c r="BI334" s="29"/>
      <c r="BJ334" s="29"/>
      <c r="BK334" s="29"/>
      <c r="BL334" s="29"/>
      <c r="BM334" s="29"/>
      <c r="BN334" s="29"/>
      <c r="BO334" s="29"/>
      <c r="BP334" s="29"/>
      <c r="BQ334" s="29"/>
      <c r="BR334" s="29"/>
      <c r="BS334" s="29"/>
      <c r="BT334" s="29"/>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row>
    <row r="335" spans="4:105">
      <c r="D335" s="4" t="s">
        <v>3352</v>
      </c>
      <c r="O335" s="5"/>
      <c r="R335" s="29"/>
      <c r="S335" s="29"/>
      <c r="T335" s="29"/>
      <c r="U335" s="29"/>
      <c r="V335" s="29"/>
      <c r="BD335" s="456"/>
      <c r="BE335" s="456"/>
      <c r="BG335" s="456"/>
      <c r="BH335" s="456"/>
      <c r="BI335" s="456"/>
      <c r="BJ335" s="456"/>
      <c r="CB335"/>
      <c r="CC335"/>
      <c r="CD335"/>
      <c r="CE335"/>
      <c r="CF335"/>
      <c r="CG335"/>
      <c r="CH335"/>
      <c r="CI335"/>
      <c r="CJ335"/>
      <c r="CK335"/>
      <c r="CL335"/>
      <c r="CM335"/>
      <c r="CN335"/>
      <c r="CO335"/>
      <c r="CP335"/>
      <c r="CQ335"/>
      <c r="CR335"/>
      <c r="CS335"/>
      <c r="CT335"/>
      <c r="CU335"/>
      <c r="CV335"/>
      <c r="CW335"/>
      <c r="CX335"/>
      <c r="CY335"/>
      <c r="CZ335"/>
      <c r="DA335"/>
    </row>
    <row r="336" spans="4:105">
      <c r="O336" s="5"/>
      <c r="R336" s="29"/>
      <c r="S336" s="29"/>
      <c r="T336" s="29"/>
      <c r="U336" s="29"/>
      <c r="V336" s="29"/>
      <c r="BD336" s="456"/>
      <c r="BE336" s="456"/>
      <c r="BG336" s="191">
        <v>2005.0085937500007</v>
      </c>
      <c r="BH336" s="191">
        <v>1913.3063076923077</v>
      </c>
      <c r="BI336" s="191">
        <v>1911.0662121212117</v>
      </c>
      <c r="BJ336" s="191">
        <v>2179.7424242424245</v>
      </c>
      <c r="BK336" s="191"/>
      <c r="BL336" s="191">
        <v>2450.5269811320754</v>
      </c>
      <c r="BM336" s="956"/>
      <c r="BN336" s="956"/>
      <c r="BO336" s="956"/>
      <c r="CB336"/>
      <c r="CC336"/>
      <c r="CD336"/>
      <c r="CE336"/>
      <c r="CF336"/>
      <c r="CG336"/>
      <c r="CH336"/>
      <c r="CI336"/>
      <c r="CJ336"/>
      <c r="CK336"/>
      <c r="CL336"/>
      <c r="CM336"/>
      <c r="CN336"/>
      <c r="CO336"/>
      <c r="CP336"/>
      <c r="CQ336"/>
      <c r="CR336"/>
      <c r="CS336"/>
      <c r="CT336"/>
      <c r="CU336"/>
      <c r="CV336"/>
      <c r="CW336"/>
      <c r="CX336"/>
      <c r="CY336"/>
      <c r="CZ336"/>
      <c r="DA336"/>
    </row>
    <row r="337" spans="4:105">
      <c r="O337" s="5"/>
      <c r="R337" s="29"/>
      <c r="S337" s="29"/>
      <c r="T337" s="29"/>
      <c r="U337" s="29"/>
      <c r="V337" s="29"/>
      <c r="BD337" s="456"/>
      <c r="BE337" s="456"/>
      <c r="CB337"/>
      <c r="CC337"/>
      <c r="CD337"/>
      <c r="CE337"/>
      <c r="CF337"/>
      <c r="CG337"/>
      <c r="CH337"/>
      <c r="CI337"/>
      <c r="CJ337"/>
      <c r="CK337"/>
      <c r="CL337"/>
      <c r="CM337"/>
      <c r="CN337"/>
      <c r="CO337"/>
      <c r="CP337"/>
      <c r="CQ337"/>
      <c r="CR337"/>
      <c r="CS337"/>
      <c r="CT337"/>
      <c r="CU337"/>
      <c r="CV337"/>
      <c r="CW337"/>
      <c r="CX337"/>
      <c r="CY337"/>
      <c r="CZ337"/>
      <c r="DA337"/>
    </row>
    <row r="338" spans="4:105">
      <c r="O338" s="5"/>
      <c r="R338" s="29"/>
      <c r="S338" s="29"/>
      <c r="T338" s="29"/>
      <c r="U338" s="29"/>
      <c r="V338" s="29"/>
      <c r="BD338" s="456"/>
      <c r="BE338" s="456"/>
      <c r="BF338" t="s">
        <v>3546</v>
      </c>
      <c r="BG338" s="9"/>
      <c r="BH338" s="9"/>
      <c r="BI338" s="9">
        <f>BI306</f>
        <v>48</v>
      </c>
      <c r="BJ338" s="9">
        <f>BJ306</f>
        <v>81</v>
      </c>
      <c r="BL338" s="9">
        <f>BL306</f>
        <v>78.5</v>
      </c>
      <c r="BM338" s="9">
        <f>BM306</f>
        <v>86</v>
      </c>
      <c r="BN338" s="9">
        <f>BN306</f>
        <v>77</v>
      </c>
      <c r="BO338" s="9"/>
      <c r="CB338"/>
      <c r="CC338"/>
      <c r="CD338"/>
      <c r="CE338"/>
      <c r="CF338"/>
      <c r="CG338"/>
      <c r="CH338"/>
      <c r="CI338"/>
      <c r="CJ338"/>
      <c r="CK338"/>
      <c r="CL338"/>
      <c r="CM338"/>
      <c r="CN338"/>
      <c r="CO338"/>
      <c r="CP338"/>
      <c r="CQ338"/>
      <c r="CR338"/>
      <c r="CS338"/>
      <c r="CT338"/>
      <c r="CU338"/>
      <c r="CV338"/>
      <c r="CW338"/>
      <c r="CX338"/>
      <c r="CY338"/>
      <c r="CZ338"/>
      <c r="DA338"/>
    </row>
    <row r="339" spans="4:105">
      <c r="O339" s="5"/>
      <c r="R339" s="29"/>
      <c r="S339" s="29"/>
      <c r="T339" s="29"/>
      <c r="U339" s="29"/>
      <c r="V339" s="29"/>
      <c r="BF339" t="s">
        <v>3547</v>
      </c>
      <c r="BG339" s="9"/>
      <c r="BH339" s="9"/>
      <c r="BI339" s="9">
        <f>BI228</f>
        <v>182</v>
      </c>
      <c r="BJ339" s="9">
        <f>BJ228</f>
        <v>316</v>
      </c>
      <c r="BL339" s="9">
        <f>BL228</f>
        <v>273</v>
      </c>
      <c r="BM339" s="9">
        <f>BM228</f>
        <v>275</v>
      </c>
      <c r="BN339" s="9">
        <f>BN228</f>
        <v>243</v>
      </c>
      <c r="BO339" s="9">
        <f>BO228</f>
        <v>0</v>
      </c>
      <c r="CB339"/>
      <c r="CC339"/>
      <c r="CD339"/>
      <c r="CE339"/>
      <c r="CF339"/>
      <c r="CG339"/>
      <c r="CH339"/>
      <c r="CI339"/>
      <c r="CJ339"/>
      <c r="CK339"/>
      <c r="CL339"/>
      <c r="CM339"/>
      <c r="CN339"/>
      <c r="CO339"/>
      <c r="CP339"/>
      <c r="CQ339"/>
      <c r="CR339"/>
      <c r="CS339"/>
      <c r="CT339"/>
      <c r="CU339"/>
      <c r="CV339"/>
      <c r="CW339"/>
      <c r="CX339"/>
      <c r="CY339"/>
      <c r="CZ339"/>
      <c r="DA339"/>
    </row>
    <row r="340" spans="4:105">
      <c r="O340" s="5"/>
      <c r="R340" s="29"/>
      <c r="S340" s="29"/>
      <c r="T340" s="29"/>
      <c r="U340" s="29"/>
      <c r="V340" s="29"/>
      <c r="BF340" t="s">
        <v>361</v>
      </c>
      <c r="BG340" s="456"/>
      <c r="BH340" s="456"/>
      <c r="BI340" s="456">
        <f>BI338/BI339</f>
        <v>0.26373626373626374</v>
      </c>
      <c r="BJ340" s="456">
        <f>BJ338/BJ339</f>
        <v>0.25632911392405061</v>
      </c>
      <c r="BL340" s="456">
        <f>BL338/BL339</f>
        <v>0.28754578754578752</v>
      </c>
      <c r="BM340" s="456">
        <f>BM338/BM339</f>
        <v>0.31272727272727274</v>
      </c>
      <c r="BN340" s="456">
        <f>BN338/BN339</f>
        <v>0.3168724279835391</v>
      </c>
      <c r="BO340" s="456"/>
      <c r="CB340"/>
      <c r="CC340"/>
      <c r="CD340"/>
      <c r="CE340"/>
      <c r="CF340"/>
      <c r="CG340"/>
      <c r="CH340"/>
      <c r="CI340"/>
      <c r="CJ340"/>
      <c r="CK340"/>
      <c r="CL340"/>
      <c r="CM340"/>
      <c r="CN340"/>
      <c r="CO340"/>
      <c r="CP340"/>
      <c r="CQ340"/>
      <c r="CR340"/>
      <c r="CS340"/>
      <c r="CT340"/>
      <c r="CU340"/>
      <c r="CV340"/>
      <c r="CW340"/>
      <c r="CX340"/>
      <c r="CY340"/>
      <c r="CZ340"/>
      <c r="DA340"/>
    </row>
    <row r="341" spans="4:105">
      <c r="O341" s="5"/>
      <c r="R341" s="29"/>
      <c r="S341" s="29"/>
      <c r="T341" s="29"/>
      <c r="U341" s="29"/>
      <c r="V341" s="29"/>
      <c r="BF341" t="s">
        <v>3347</v>
      </c>
      <c r="BI341">
        <v>25</v>
      </c>
      <c r="BJ341">
        <v>25</v>
      </c>
      <c r="BK341" s="454">
        <f>Div!N78</f>
        <v>89</v>
      </c>
      <c r="BL341" s="454">
        <f>BL379</f>
        <v>28</v>
      </c>
      <c r="BM341" s="454">
        <f>BM379</f>
        <v>54</v>
      </c>
      <c r="BN341" s="454">
        <f>BN379</f>
        <v>87</v>
      </c>
      <c r="BO341" s="454"/>
      <c r="BP341" s="454"/>
      <c r="BQ341" s="454"/>
      <c r="BR341" s="454"/>
      <c r="BS341" s="454"/>
      <c r="BT341" s="454"/>
      <c r="CB341"/>
      <c r="CC341"/>
      <c r="CD341"/>
      <c r="CE341"/>
      <c r="CF341"/>
      <c r="CG341"/>
      <c r="CH341"/>
      <c r="CI341"/>
      <c r="CJ341"/>
      <c r="CK341"/>
      <c r="CL341"/>
      <c r="CM341"/>
      <c r="CN341"/>
      <c r="CO341"/>
      <c r="CP341"/>
      <c r="CQ341"/>
      <c r="CR341"/>
      <c r="CS341"/>
      <c r="CT341"/>
      <c r="CU341"/>
      <c r="CV341"/>
      <c r="CW341"/>
      <c r="CX341"/>
      <c r="CY341"/>
      <c r="CZ341"/>
      <c r="DA341"/>
    </row>
    <row r="342" spans="4:105">
      <c r="D342" s="450"/>
      <c r="O342" s="5"/>
      <c r="R342" s="29"/>
      <c r="S342" s="29"/>
      <c r="T342" s="29"/>
      <c r="U342" s="29"/>
      <c r="V342" s="29"/>
      <c r="BF342" t="s">
        <v>1431</v>
      </c>
      <c r="BG342" s="454"/>
      <c r="BH342" s="454"/>
      <c r="BI342" s="449">
        <f>BI341/BI339</f>
        <v>0.13736263736263737</v>
      </c>
      <c r="BJ342" s="449">
        <f>BJ341/BJ339</f>
        <v>7.9113924050632917E-2</v>
      </c>
      <c r="BL342" s="449">
        <f>BL341/BL339</f>
        <v>0.10256410256410256</v>
      </c>
      <c r="BM342" s="449">
        <f>BM341/BM339</f>
        <v>0.19636363636363635</v>
      </c>
      <c r="BN342" s="449">
        <f>BN341/BN339</f>
        <v>0.35802469135802467</v>
      </c>
      <c r="BO342" s="449"/>
      <c r="CB342"/>
      <c r="CC342"/>
      <c r="CD342"/>
      <c r="CE342"/>
      <c r="CF342"/>
      <c r="CG342"/>
      <c r="CH342"/>
      <c r="CI342"/>
      <c r="CJ342"/>
      <c r="CK342"/>
      <c r="CL342"/>
      <c r="CM342"/>
      <c r="CN342"/>
      <c r="CO342"/>
      <c r="CP342"/>
      <c r="CQ342"/>
      <c r="CR342"/>
      <c r="CS342"/>
      <c r="CT342"/>
      <c r="CU342"/>
      <c r="CV342"/>
      <c r="CW342"/>
      <c r="CX342"/>
      <c r="CY342"/>
      <c r="CZ342"/>
      <c r="DA342"/>
    </row>
    <row r="343" spans="4:105">
      <c r="O343" s="5"/>
      <c r="R343" s="29"/>
      <c r="S343" s="29"/>
      <c r="T343" s="29"/>
      <c r="U343" s="29"/>
      <c r="V343" s="29"/>
      <c r="BG343" s="454"/>
      <c r="BH343" s="454"/>
      <c r="BI343" s="454"/>
      <c r="BJ343" s="454"/>
      <c r="CB343"/>
      <c r="CC343"/>
      <c r="CD343"/>
      <c r="CE343"/>
      <c r="CF343"/>
      <c r="CG343"/>
      <c r="CH343"/>
      <c r="CI343"/>
      <c r="CJ343"/>
      <c r="CK343"/>
      <c r="CL343"/>
      <c r="CM343"/>
      <c r="CN343"/>
      <c r="CO343"/>
      <c r="CP343"/>
      <c r="CQ343"/>
      <c r="CR343"/>
      <c r="CS343"/>
      <c r="CT343"/>
      <c r="CU343"/>
      <c r="CV343"/>
      <c r="CW343"/>
      <c r="CX343"/>
      <c r="CY343"/>
      <c r="CZ343"/>
      <c r="DA343"/>
    </row>
    <row r="344" spans="4:105">
      <c r="O344" s="5"/>
      <c r="R344" s="29"/>
      <c r="S344" s="29"/>
      <c r="T344" s="29"/>
      <c r="U344" s="29"/>
      <c r="V344" s="29"/>
      <c r="BG344" s="454"/>
      <c r="BH344" s="454"/>
      <c r="BI344" s="454">
        <f>BI339*1000/BI336</f>
        <v>95.234795553204222</v>
      </c>
      <c r="BJ344" s="454">
        <f>BJ339*1000/BJ336</f>
        <v>144.97125737680986</v>
      </c>
      <c r="BL344" s="454">
        <f>BL339*1000/BL336</f>
        <v>111.40460892778319</v>
      </c>
      <c r="BM344" s="454"/>
      <c r="BN344" s="454"/>
      <c r="BO344" s="454"/>
      <c r="CB344"/>
      <c r="CC344"/>
      <c r="CD344"/>
      <c r="CE344"/>
      <c r="CF344"/>
      <c r="CG344"/>
      <c r="CH344"/>
      <c r="CI344"/>
      <c r="CJ344"/>
      <c r="CK344"/>
      <c r="CL344"/>
      <c r="CM344"/>
      <c r="CN344"/>
      <c r="CO344"/>
      <c r="CP344"/>
      <c r="CQ344"/>
      <c r="CR344"/>
      <c r="CS344"/>
      <c r="CT344"/>
      <c r="CU344"/>
      <c r="CV344"/>
      <c r="CW344"/>
      <c r="CX344"/>
      <c r="CY344"/>
      <c r="CZ344"/>
      <c r="DA344"/>
    </row>
    <row r="345" spans="4:105">
      <c r="O345" s="5"/>
      <c r="R345" s="29"/>
      <c r="S345" s="29"/>
      <c r="T345" s="29"/>
      <c r="U345" s="29"/>
      <c r="V345" s="29"/>
      <c r="BG345" s="454"/>
      <c r="BH345" s="454"/>
      <c r="BI345" s="454"/>
      <c r="BJ345" s="454"/>
      <c r="CB345"/>
      <c r="CC345"/>
      <c r="CD345"/>
      <c r="CE345"/>
      <c r="CF345"/>
      <c r="CG345"/>
      <c r="CH345"/>
      <c r="CI345"/>
      <c r="CJ345"/>
      <c r="CK345"/>
      <c r="CL345"/>
      <c r="CM345"/>
      <c r="CN345"/>
      <c r="CO345"/>
      <c r="CP345"/>
      <c r="CQ345"/>
      <c r="CR345"/>
      <c r="CS345"/>
      <c r="CT345"/>
      <c r="CU345"/>
      <c r="CV345"/>
      <c r="CW345"/>
      <c r="CX345"/>
      <c r="CY345"/>
      <c r="CZ345"/>
      <c r="DA345"/>
    </row>
    <row r="346" spans="4:105">
      <c r="O346" s="5"/>
      <c r="R346" s="29"/>
      <c r="S346" s="29"/>
      <c r="T346" s="29"/>
      <c r="U346" s="29"/>
      <c r="V346" s="29"/>
      <c r="BF346" t="s">
        <v>3820</v>
      </c>
      <c r="BG346" s="454">
        <v>2006.1738095238102</v>
      </c>
      <c r="BH346" s="454">
        <v>1913</v>
      </c>
      <c r="BI346" s="454">
        <v>1911.0662121212117</v>
      </c>
      <c r="BJ346" s="454">
        <v>2180</v>
      </c>
      <c r="BL346">
        <v>2473</v>
      </c>
      <c r="BM346">
        <v>2499</v>
      </c>
      <c r="BN346">
        <v>2948</v>
      </c>
      <c r="CB346"/>
      <c r="CC346"/>
      <c r="CD346"/>
      <c r="CE346"/>
      <c r="CF346"/>
      <c r="CG346"/>
      <c r="CH346"/>
      <c r="CI346"/>
      <c r="CJ346"/>
      <c r="CK346"/>
      <c r="CL346"/>
      <c r="CM346"/>
      <c r="CN346"/>
      <c r="CO346"/>
      <c r="CP346"/>
      <c r="CQ346"/>
      <c r="CR346"/>
      <c r="CS346"/>
      <c r="CT346"/>
      <c r="CU346"/>
      <c r="CV346"/>
      <c r="CW346"/>
      <c r="CX346"/>
      <c r="CY346"/>
      <c r="CZ346"/>
      <c r="DA346"/>
    </row>
    <row r="347" spans="4:105">
      <c r="O347" s="5"/>
      <c r="R347" s="29"/>
      <c r="S347" s="29"/>
      <c r="T347" s="29"/>
      <c r="U347" s="29"/>
      <c r="V347" s="29"/>
      <c r="BF347" t="s">
        <v>1241</v>
      </c>
      <c r="BG347" s="454"/>
      <c r="BH347" s="454"/>
      <c r="BI347" s="454">
        <f>BI339*BI$346/1000</f>
        <v>347.81405060606056</v>
      </c>
      <c r="BJ347" s="454">
        <f>BJ339*BJ$346/1000</f>
        <v>688.88</v>
      </c>
      <c r="BL347" s="454">
        <f>BL339*BL$346/1000</f>
        <v>675.12900000000002</v>
      </c>
      <c r="BM347" s="454">
        <f>BM339*BM$346/1000</f>
        <v>687.22500000000002</v>
      </c>
      <c r="BN347" s="454">
        <f>BN339*BN$346/1000</f>
        <v>716.36400000000003</v>
      </c>
      <c r="BO347" s="454"/>
      <c r="CB347"/>
      <c r="CC347"/>
      <c r="CD347"/>
      <c r="CE347"/>
      <c r="CF347"/>
      <c r="CG347"/>
      <c r="CH347"/>
      <c r="CI347"/>
      <c r="CJ347"/>
      <c r="CK347"/>
      <c r="CL347"/>
      <c r="CM347"/>
      <c r="CN347"/>
      <c r="CO347"/>
      <c r="CP347"/>
      <c r="CQ347"/>
      <c r="CR347"/>
      <c r="CS347"/>
      <c r="CT347"/>
      <c r="CU347"/>
      <c r="CV347"/>
      <c r="CW347"/>
      <c r="CX347"/>
      <c r="CY347"/>
      <c r="CZ347"/>
      <c r="DA347"/>
    </row>
    <row r="348" spans="4:105">
      <c r="O348" s="5"/>
      <c r="R348" s="29"/>
      <c r="S348" s="29"/>
      <c r="T348" s="29"/>
      <c r="U348" s="29"/>
      <c r="V348" s="29"/>
      <c r="BF348" t="s">
        <v>3343</v>
      </c>
      <c r="BG348" s="454"/>
      <c r="BH348" s="454"/>
      <c r="BI348" s="454">
        <f>BI338*BI$346/1000</f>
        <v>91.731178181818166</v>
      </c>
      <c r="BJ348" s="454">
        <f>BJ338*BJ$346/1000</f>
        <v>176.58</v>
      </c>
      <c r="BL348" s="454">
        <f>BL338*BL$346/1000</f>
        <v>194.13050000000001</v>
      </c>
      <c r="BM348" s="454">
        <f>BM338*BM$346/1000</f>
        <v>214.91399999999999</v>
      </c>
      <c r="BN348" s="454">
        <f>BN338*BN$346/1000</f>
        <v>226.99600000000001</v>
      </c>
      <c r="BO348" s="454"/>
      <c r="CB348"/>
      <c r="CC348"/>
      <c r="CD348"/>
      <c r="CE348"/>
      <c r="CF348"/>
      <c r="CG348"/>
      <c r="CH348"/>
      <c r="CI348"/>
      <c r="CJ348"/>
      <c r="CK348"/>
      <c r="CL348"/>
      <c r="CM348"/>
      <c r="CN348"/>
      <c r="CO348"/>
      <c r="CP348"/>
      <c r="CQ348"/>
      <c r="CR348"/>
      <c r="CS348"/>
      <c r="CT348"/>
      <c r="CU348"/>
      <c r="CV348"/>
      <c r="CW348"/>
      <c r="CX348"/>
      <c r="CY348"/>
      <c r="CZ348"/>
      <c r="DA348"/>
    </row>
    <row r="349" spans="4:105">
      <c r="O349" s="5"/>
      <c r="R349" s="29"/>
      <c r="S349" s="29"/>
      <c r="T349" s="29"/>
      <c r="U349" s="29"/>
      <c r="V349" s="29"/>
      <c r="BF349" t="s">
        <v>1434</v>
      </c>
      <c r="BG349" s="454"/>
      <c r="BH349" s="454"/>
      <c r="BI349" s="456">
        <f>BI348/BI347</f>
        <v>0.26373626373626374</v>
      </c>
      <c r="BJ349" s="456">
        <f>BJ348/BJ347</f>
        <v>0.25632911392405067</v>
      </c>
      <c r="BL349" s="456">
        <f>BL348/BL347</f>
        <v>0.28754578754578758</v>
      </c>
      <c r="BM349" s="456">
        <f>BM348/BM347</f>
        <v>0.31272727272727269</v>
      </c>
      <c r="BN349" s="456">
        <f>BN348/BN347</f>
        <v>0.3168724279835391</v>
      </c>
      <c r="BO349" s="456"/>
      <c r="CB349"/>
      <c r="CC349"/>
      <c r="CD349"/>
      <c r="CE349"/>
      <c r="CF349"/>
      <c r="CG349"/>
      <c r="CH349"/>
      <c r="CI349"/>
      <c r="CJ349"/>
      <c r="CK349"/>
      <c r="CL349"/>
      <c r="CM349"/>
      <c r="CN349"/>
      <c r="CO349"/>
      <c r="CP349"/>
      <c r="CQ349"/>
      <c r="CR349"/>
      <c r="CS349"/>
      <c r="CT349"/>
      <c r="CU349"/>
      <c r="CV349"/>
      <c r="CW349"/>
      <c r="CX349"/>
      <c r="CY349"/>
      <c r="CZ349"/>
      <c r="DA349"/>
    </row>
    <row r="350" spans="4:105">
      <c r="O350" s="5"/>
      <c r="R350" s="29"/>
      <c r="S350" s="29"/>
      <c r="T350" s="29"/>
      <c r="U350" s="29"/>
      <c r="V350" s="29"/>
      <c r="BG350" s="454"/>
      <c r="BH350" s="454"/>
      <c r="BI350" s="454"/>
      <c r="BJ350" s="454"/>
      <c r="CB350"/>
      <c r="CC350"/>
      <c r="CD350"/>
      <c r="CE350"/>
      <c r="CF350"/>
      <c r="CG350"/>
      <c r="CH350"/>
      <c r="CI350"/>
      <c r="CJ350"/>
      <c r="CK350"/>
      <c r="CL350"/>
      <c r="CM350"/>
      <c r="CN350"/>
      <c r="CO350"/>
      <c r="CP350"/>
      <c r="CQ350"/>
      <c r="CR350"/>
      <c r="CS350"/>
      <c r="CT350"/>
      <c r="CU350"/>
      <c r="CV350"/>
      <c r="CW350"/>
      <c r="CX350"/>
      <c r="CY350"/>
      <c r="CZ350"/>
      <c r="DA350"/>
    </row>
    <row r="351" spans="4:105">
      <c r="O351" s="5"/>
      <c r="R351" s="29"/>
      <c r="S351" s="29"/>
      <c r="T351" s="29"/>
      <c r="U351" s="29"/>
      <c r="V351" s="29"/>
      <c r="BG351" s="454"/>
      <c r="BH351" s="454"/>
      <c r="BI351" s="454"/>
      <c r="BJ351" s="454"/>
      <c r="CB351"/>
      <c r="CC351"/>
      <c r="CD351"/>
      <c r="CE351"/>
      <c r="CF351"/>
      <c r="CG351"/>
      <c r="CH351"/>
      <c r="CI351"/>
      <c r="CJ351"/>
      <c r="CK351"/>
      <c r="CL351"/>
      <c r="CM351"/>
      <c r="CN351"/>
      <c r="CO351"/>
      <c r="CP351"/>
      <c r="CQ351"/>
      <c r="CR351"/>
      <c r="CS351"/>
      <c r="CT351"/>
      <c r="CU351"/>
      <c r="CV351"/>
      <c r="CW351"/>
      <c r="CX351"/>
      <c r="CY351"/>
      <c r="CZ351"/>
      <c r="DA351"/>
    </row>
    <row r="352" spans="4:105">
      <c r="O352" s="5"/>
      <c r="R352" s="29"/>
      <c r="S352" s="29"/>
      <c r="T352" s="29"/>
      <c r="U352" s="29"/>
      <c r="V352" s="29"/>
      <c r="BG352" s="454"/>
      <c r="BH352" s="454"/>
      <c r="BI352" s="454"/>
      <c r="BJ352" s="454"/>
      <c r="CB352"/>
      <c r="CC352"/>
      <c r="CD352"/>
      <c r="CE352"/>
      <c r="CF352"/>
      <c r="CG352"/>
      <c r="CH352"/>
      <c r="CI352"/>
      <c r="CJ352"/>
      <c r="CK352"/>
      <c r="CL352"/>
      <c r="CM352"/>
      <c r="CN352"/>
      <c r="CO352"/>
      <c r="CP352"/>
      <c r="CQ352"/>
      <c r="CR352"/>
      <c r="CS352"/>
      <c r="CT352"/>
      <c r="CU352"/>
      <c r="CV352"/>
      <c r="CW352"/>
      <c r="CX352"/>
      <c r="CY352"/>
      <c r="CZ352"/>
      <c r="DA352"/>
    </row>
    <row r="353" spans="4:105">
      <c r="D353" s="455" t="str">
        <f>D320</f>
        <v>EBITDA margin</v>
      </c>
      <c r="E353" s="495" t="str">
        <f t="shared" ref="E353:L353" si="242">BB320</f>
        <v>Q1 13</v>
      </c>
      <c r="F353" s="495" t="str">
        <f t="shared" si="242"/>
        <v>Q2 13</v>
      </c>
      <c r="G353" s="495" t="str">
        <f t="shared" si="242"/>
        <v>Q3 13</v>
      </c>
      <c r="H353" s="495" t="str">
        <f t="shared" si="242"/>
        <v>Q4 13</v>
      </c>
      <c r="I353" s="495">
        <f t="shared" si="242"/>
        <v>0</v>
      </c>
      <c r="J353" s="495" t="str">
        <f t="shared" si="242"/>
        <v>Q1 14</v>
      </c>
      <c r="K353" s="495" t="str">
        <f t="shared" si="242"/>
        <v>Q2 14</v>
      </c>
      <c r="L353" s="495" t="str">
        <f t="shared" si="242"/>
        <v>Q3 14</v>
      </c>
      <c r="M353" s="495" t="e">
        <f>#REF!</f>
        <v>#REF!</v>
      </c>
      <c r="N353" s="495" t="e">
        <f>#REF!</f>
        <v>#REF!</v>
      </c>
      <c r="O353" s="495">
        <f>BK320</f>
        <v>0</v>
      </c>
      <c r="P353" s="495" t="e">
        <f>#REF!</f>
        <v>#REF!</v>
      </c>
      <c r="Q353" s="495" t="e">
        <f>#REF!</f>
        <v>#REF!</v>
      </c>
      <c r="R353" s="495" t="e">
        <f>#REF!</f>
        <v>#REF!</v>
      </c>
      <c r="S353" s="495" t="e">
        <f>#REF!</f>
        <v>#REF!</v>
      </c>
      <c r="T353" s="495" t="e">
        <f>#REF!</f>
        <v>#REF!</v>
      </c>
      <c r="U353" s="495" t="e">
        <f>#REF!</f>
        <v>#REF!</v>
      </c>
      <c r="V353" s="495" t="e">
        <f>#REF!</f>
        <v>#REF!</v>
      </c>
      <c r="W353" s="495" t="e">
        <f>#REF!</f>
        <v>#REF!</v>
      </c>
      <c r="X353" s="495">
        <f t="shared" ref="X353:AZ353" si="243">BV320</f>
        <v>0</v>
      </c>
      <c r="Y353" s="495">
        <f t="shared" si="243"/>
        <v>0</v>
      </c>
      <c r="Z353" s="495">
        <f t="shared" si="243"/>
        <v>0</v>
      </c>
      <c r="AA353" s="495">
        <f t="shared" si="243"/>
        <v>0</v>
      </c>
      <c r="AB353" s="495">
        <f t="shared" si="243"/>
        <v>0</v>
      </c>
      <c r="AC353" s="495">
        <f t="shared" si="243"/>
        <v>0</v>
      </c>
      <c r="AD353" s="495">
        <f t="shared" si="243"/>
        <v>0</v>
      </c>
      <c r="AE353" s="495">
        <f t="shared" si="243"/>
        <v>0</v>
      </c>
      <c r="AF353" s="495">
        <f t="shared" si="243"/>
        <v>0</v>
      </c>
      <c r="AG353" s="495">
        <f t="shared" si="243"/>
        <v>0</v>
      </c>
      <c r="AH353" s="495">
        <f t="shared" si="243"/>
        <v>0</v>
      </c>
      <c r="AI353" s="495">
        <f t="shared" si="243"/>
        <v>0</v>
      </c>
      <c r="AJ353" s="495">
        <f t="shared" si="243"/>
        <v>0</v>
      </c>
      <c r="AK353" s="495">
        <f t="shared" si="243"/>
        <v>0</v>
      </c>
      <c r="AL353" s="495">
        <f t="shared" si="243"/>
        <v>0</v>
      </c>
      <c r="AM353" s="495">
        <f t="shared" si="243"/>
        <v>0</v>
      </c>
      <c r="AN353" s="495">
        <f t="shared" si="243"/>
        <v>0</v>
      </c>
      <c r="AO353" s="495">
        <f t="shared" si="243"/>
        <v>0</v>
      </c>
      <c r="AP353" s="495">
        <f t="shared" si="243"/>
        <v>0</v>
      </c>
      <c r="AQ353" s="495">
        <f t="shared" si="243"/>
        <v>0</v>
      </c>
      <c r="AR353" s="495">
        <f t="shared" si="243"/>
        <v>0</v>
      </c>
      <c r="AS353" s="495">
        <f t="shared" si="243"/>
        <v>0</v>
      </c>
      <c r="AT353" s="495">
        <f t="shared" si="243"/>
        <v>0</v>
      </c>
      <c r="AU353" s="495">
        <f t="shared" si="243"/>
        <v>0</v>
      </c>
      <c r="AV353" s="495">
        <f t="shared" si="243"/>
        <v>0</v>
      </c>
      <c r="AW353" s="495">
        <f t="shared" si="243"/>
        <v>0</v>
      </c>
      <c r="AX353" s="495">
        <f t="shared" si="243"/>
        <v>0</v>
      </c>
      <c r="AY353" s="495">
        <f t="shared" si="243"/>
        <v>0</v>
      </c>
      <c r="AZ353" s="495">
        <f t="shared" si="243"/>
        <v>0</v>
      </c>
      <c r="BA353" s="495" t="str">
        <f>BC320</f>
        <v>Q2 13</v>
      </c>
      <c r="BB353" s="495" t="str">
        <f>BD320</f>
        <v>Q3 13</v>
      </c>
      <c r="BC353" s="495" t="str">
        <f>BE320</f>
        <v>Q4 13</v>
      </c>
      <c r="BD353" s="495" t="str">
        <f>BG320</f>
        <v>Q1 14</v>
      </c>
      <c r="BE353" s="495" t="str">
        <f>BH320</f>
        <v>Q2 14</v>
      </c>
      <c r="BF353" s="495" t="str">
        <f>BI320</f>
        <v>Q3 14</v>
      </c>
      <c r="BG353" s="495" t="str">
        <f>BJ320</f>
        <v>Q4 14</v>
      </c>
      <c r="BL353" s="456">
        <f>(BL338+4.5)/BL339</f>
        <v>0.304029304029304</v>
      </c>
      <c r="BM353" s="456"/>
      <c r="BN353" s="456"/>
      <c r="BO353" s="456"/>
      <c r="CB353"/>
      <c r="CC353"/>
      <c r="CD353"/>
      <c r="CE353"/>
      <c r="CF353"/>
      <c r="CG353"/>
      <c r="CH353"/>
      <c r="CI353"/>
      <c r="CJ353"/>
      <c r="CK353"/>
      <c r="CL353"/>
      <c r="CM353"/>
      <c r="CN353"/>
      <c r="CO353"/>
      <c r="CP353"/>
      <c r="CQ353"/>
      <c r="CR353"/>
      <c r="CS353"/>
      <c r="CT353"/>
      <c r="CU353"/>
      <c r="CV353"/>
      <c r="CW353"/>
      <c r="CX353"/>
      <c r="CY353"/>
      <c r="CZ353"/>
      <c r="DA353"/>
    </row>
    <row r="354" spans="4:105">
      <c r="D354" s="478" t="s">
        <v>1828</v>
      </c>
      <c r="E354" s="456">
        <f t="shared" ref="E354:L354" si="244">BB327</f>
        <v>0.49673000114500476</v>
      </c>
      <c r="F354" s="456">
        <f t="shared" si="244"/>
        <v>0.49472954784717688</v>
      </c>
      <c r="G354" s="456">
        <f t="shared" si="244"/>
        <v>0.48363207689750021</v>
      </c>
      <c r="H354" s="456">
        <f t="shared" si="244"/>
        <v>0.47330095128325572</v>
      </c>
      <c r="I354" s="456">
        <f t="shared" si="244"/>
        <v>0</v>
      </c>
      <c r="J354" s="456">
        <f t="shared" si="244"/>
        <v>0.47562148570278395</v>
      </c>
      <c r="K354" s="456">
        <f t="shared" si="244"/>
        <v>0.47671476632874377</v>
      </c>
      <c r="L354" s="456">
        <f t="shared" si="244"/>
        <v>0.46486373961535665</v>
      </c>
      <c r="M354" s="456" t="e">
        <f>#REF!</f>
        <v>#REF!</v>
      </c>
      <c r="N354" s="456" t="e">
        <f>#REF!</f>
        <v>#REF!</v>
      </c>
      <c r="O354" s="456">
        <f>BK327</f>
        <v>0</v>
      </c>
      <c r="P354" s="456" t="e">
        <f>#REF!</f>
        <v>#REF!</v>
      </c>
      <c r="Q354" s="456" t="e">
        <f>#REF!</f>
        <v>#REF!</v>
      </c>
      <c r="R354" s="456" t="e">
        <f>#REF!</f>
        <v>#REF!</v>
      </c>
      <c r="S354" s="456" t="e">
        <f>#REF!</f>
        <v>#REF!</v>
      </c>
      <c r="T354" s="456" t="e">
        <f>#REF!</f>
        <v>#REF!</v>
      </c>
      <c r="U354" s="456" t="e">
        <f>#REF!</f>
        <v>#REF!</v>
      </c>
      <c r="V354" s="456" t="e">
        <f>#REF!</f>
        <v>#REF!</v>
      </c>
      <c r="W354" s="456" t="e">
        <f>#REF!</f>
        <v>#REF!</v>
      </c>
      <c r="X354" s="456">
        <f t="shared" ref="X354:AZ354" si="245">BV327</f>
        <v>0</v>
      </c>
      <c r="Y354" s="456">
        <f t="shared" si="245"/>
        <v>0</v>
      </c>
      <c r="Z354" s="456">
        <f t="shared" si="245"/>
        <v>0</v>
      </c>
      <c r="AA354" s="456">
        <f t="shared" si="245"/>
        <v>0</v>
      </c>
      <c r="AB354" s="456">
        <f t="shared" si="245"/>
        <v>0</v>
      </c>
      <c r="AC354" s="456">
        <f t="shared" si="245"/>
        <v>0</v>
      </c>
      <c r="AD354" s="456">
        <f t="shared" si="245"/>
        <v>0</v>
      </c>
      <c r="AE354" s="456">
        <f t="shared" si="245"/>
        <v>0</v>
      </c>
      <c r="AF354" s="456">
        <f t="shared" si="245"/>
        <v>0</v>
      </c>
      <c r="AG354" s="456">
        <f t="shared" si="245"/>
        <v>0</v>
      </c>
      <c r="AH354" s="456">
        <f t="shared" si="245"/>
        <v>0</v>
      </c>
      <c r="AI354" s="456">
        <f t="shared" si="245"/>
        <v>0</v>
      </c>
      <c r="AJ354" s="456">
        <f t="shared" si="245"/>
        <v>0</v>
      </c>
      <c r="AK354" s="456">
        <f t="shared" si="245"/>
        <v>0</v>
      </c>
      <c r="AL354" s="456">
        <f t="shared" si="245"/>
        <v>0</v>
      </c>
      <c r="AM354" s="456">
        <f t="shared" si="245"/>
        <v>0</v>
      </c>
      <c r="AN354" s="456">
        <f t="shared" si="245"/>
        <v>0</v>
      </c>
      <c r="AO354" s="456">
        <f t="shared" si="245"/>
        <v>0</v>
      </c>
      <c r="AP354" s="456">
        <f t="shared" si="245"/>
        <v>0</v>
      </c>
      <c r="AQ354" s="456">
        <f t="shared" si="245"/>
        <v>0</v>
      </c>
      <c r="AR354" s="456">
        <f t="shared" si="245"/>
        <v>0</v>
      </c>
      <c r="AS354" s="456">
        <f t="shared" si="245"/>
        <v>0</v>
      </c>
      <c r="AT354" s="456">
        <f t="shared" si="245"/>
        <v>0</v>
      </c>
      <c r="AU354" s="456">
        <f t="shared" si="245"/>
        <v>0</v>
      </c>
      <c r="AV354" s="456">
        <f t="shared" si="245"/>
        <v>0</v>
      </c>
      <c r="AW354" s="456">
        <f t="shared" si="245"/>
        <v>0</v>
      </c>
      <c r="AX354" s="456">
        <f t="shared" si="245"/>
        <v>0</v>
      </c>
      <c r="AY354" s="456">
        <f t="shared" si="245"/>
        <v>0</v>
      </c>
      <c r="AZ354" s="456">
        <f t="shared" si="245"/>
        <v>0</v>
      </c>
      <c r="BA354" s="456">
        <f>BC327</f>
        <v>0.49472954784717688</v>
      </c>
      <c r="BB354" s="456">
        <f>BD327</f>
        <v>0.48363207689750021</v>
      </c>
      <c r="BC354" s="456">
        <f>BE327</f>
        <v>0.47330095128325572</v>
      </c>
      <c r="BD354" s="456">
        <f>BG327</f>
        <v>0.47562148570278395</v>
      </c>
      <c r="BE354" s="456">
        <f>BH327</f>
        <v>0.47671476632874377</v>
      </c>
      <c r="BF354" s="456">
        <f>BI327</f>
        <v>0.46486373961535665</v>
      </c>
      <c r="BG354" s="456">
        <f>BJ327</f>
        <v>0.45825679481840004</v>
      </c>
      <c r="BI354" s="468">
        <f>1.6%*BI3</f>
        <v>26.72</v>
      </c>
      <c r="BJ354" s="468"/>
      <c r="CB354"/>
      <c r="CC354"/>
      <c r="CD354"/>
      <c r="CE354"/>
      <c r="CF354"/>
      <c r="CG354"/>
      <c r="CH354"/>
      <c r="CI354"/>
      <c r="CJ354"/>
      <c r="CK354"/>
      <c r="CL354"/>
      <c r="CM354"/>
      <c r="CN354"/>
      <c r="CO354"/>
      <c r="CP354"/>
      <c r="CQ354"/>
      <c r="CR354"/>
      <c r="CS354"/>
      <c r="CT354"/>
      <c r="CU354"/>
      <c r="CV354"/>
      <c r="CW354"/>
      <c r="CX354"/>
      <c r="CY354"/>
      <c r="CZ354"/>
      <c r="DA354"/>
    </row>
    <row r="355" spans="4:105">
      <c r="D355" s="478" t="s">
        <v>872</v>
      </c>
      <c r="E355" s="456">
        <f t="shared" ref="E355:L355" si="246">BB330</f>
        <v>0.37051039697542532</v>
      </c>
      <c r="F355" s="456">
        <f t="shared" si="246"/>
        <v>0.35294117647058826</v>
      </c>
      <c r="G355" s="456">
        <f t="shared" si="246"/>
        <v>0.36531365313653136</v>
      </c>
      <c r="H355" s="456">
        <f t="shared" si="246"/>
        <v>0.3769100169779287</v>
      </c>
      <c r="I355" s="456">
        <f t="shared" si="246"/>
        <v>0</v>
      </c>
      <c r="J355" s="456">
        <f t="shared" si="246"/>
        <v>0.35419052483231273</v>
      </c>
      <c r="K355" s="456">
        <f t="shared" si="246"/>
        <v>0.33360321804790849</v>
      </c>
      <c r="L355" s="456">
        <f t="shared" si="246"/>
        <v>0.33637037037037032</v>
      </c>
      <c r="M355" s="456" t="e">
        <f>#REF!</f>
        <v>#REF!</v>
      </c>
      <c r="N355" s="456" t="e">
        <f>#REF!</f>
        <v>#REF!</v>
      </c>
      <c r="O355" s="456">
        <f>BK330</f>
        <v>0</v>
      </c>
      <c r="P355" s="456" t="e">
        <f>#REF!</f>
        <v>#REF!</v>
      </c>
      <c r="Q355" s="456" t="e">
        <f>#REF!</f>
        <v>#REF!</v>
      </c>
      <c r="R355" s="456" t="e">
        <f>#REF!</f>
        <v>#REF!</v>
      </c>
      <c r="S355" s="456" t="e">
        <f>#REF!</f>
        <v>#REF!</v>
      </c>
      <c r="T355" s="456" t="e">
        <f>#REF!</f>
        <v>#REF!</v>
      </c>
      <c r="U355" s="456" t="e">
        <f>#REF!</f>
        <v>#REF!</v>
      </c>
      <c r="V355" s="456" t="e">
        <f>#REF!</f>
        <v>#REF!</v>
      </c>
      <c r="W355" s="456" t="e">
        <f>#REF!</f>
        <v>#REF!</v>
      </c>
      <c r="X355" s="456">
        <f t="shared" ref="X355:AZ355" si="247">BV330</f>
        <v>0</v>
      </c>
      <c r="Y355" s="456">
        <f t="shared" si="247"/>
        <v>0</v>
      </c>
      <c r="Z355" s="456">
        <f t="shared" si="247"/>
        <v>0</v>
      </c>
      <c r="AA355" s="456">
        <f t="shared" si="247"/>
        <v>0</v>
      </c>
      <c r="AB355" s="456">
        <f t="shared" si="247"/>
        <v>0</v>
      </c>
      <c r="AC355" s="456">
        <f t="shared" si="247"/>
        <v>0</v>
      </c>
      <c r="AD355" s="456">
        <f t="shared" si="247"/>
        <v>0</v>
      </c>
      <c r="AE355" s="456">
        <f t="shared" si="247"/>
        <v>0</v>
      </c>
      <c r="AF355" s="456">
        <f t="shared" si="247"/>
        <v>0</v>
      </c>
      <c r="AG355" s="456">
        <f t="shared" si="247"/>
        <v>0</v>
      </c>
      <c r="AH355" s="456">
        <f t="shared" si="247"/>
        <v>0</v>
      </c>
      <c r="AI355" s="456">
        <f t="shared" si="247"/>
        <v>0</v>
      </c>
      <c r="AJ355" s="456">
        <f t="shared" si="247"/>
        <v>0</v>
      </c>
      <c r="AK355" s="456">
        <f t="shared" si="247"/>
        <v>0</v>
      </c>
      <c r="AL355" s="456">
        <f t="shared" si="247"/>
        <v>0</v>
      </c>
      <c r="AM355" s="456">
        <f t="shared" si="247"/>
        <v>0</v>
      </c>
      <c r="AN355" s="456">
        <f t="shared" si="247"/>
        <v>0</v>
      </c>
      <c r="AO355" s="456">
        <f t="shared" si="247"/>
        <v>0</v>
      </c>
      <c r="AP355" s="456">
        <f t="shared" si="247"/>
        <v>0</v>
      </c>
      <c r="AQ355" s="456">
        <f t="shared" si="247"/>
        <v>0</v>
      </c>
      <c r="AR355" s="456">
        <f t="shared" si="247"/>
        <v>0</v>
      </c>
      <c r="AS355" s="456">
        <f t="shared" si="247"/>
        <v>0</v>
      </c>
      <c r="AT355" s="456">
        <f t="shared" si="247"/>
        <v>0</v>
      </c>
      <c r="AU355" s="456">
        <f t="shared" si="247"/>
        <v>0</v>
      </c>
      <c r="AV355" s="456">
        <f t="shared" si="247"/>
        <v>0</v>
      </c>
      <c r="AW355" s="456">
        <f t="shared" si="247"/>
        <v>0</v>
      </c>
      <c r="AX355" s="456">
        <f t="shared" si="247"/>
        <v>0</v>
      </c>
      <c r="AY355" s="456">
        <f t="shared" si="247"/>
        <v>0</v>
      </c>
      <c r="AZ355" s="456">
        <f t="shared" si="247"/>
        <v>0</v>
      </c>
      <c r="BA355" s="456">
        <f>BC330</f>
        <v>0.35294117647058826</v>
      </c>
      <c r="BB355" s="456">
        <f>BD330</f>
        <v>0.36531365313653136</v>
      </c>
      <c r="BC355" s="456">
        <f>BE330</f>
        <v>0.3769100169779287</v>
      </c>
      <c r="BD355" s="456">
        <f>BG330</f>
        <v>0.35419052483231273</v>
      </c>
      <c r="BE355" s="456">
        <f>BH330</f>
        <v>0.33360321804790849</v>
      </c>
      <c r="BF355" s="456">
        <f>BI330</f>
        <v>0.33637037037037032</v>
      </c>
      <c r="BG355" s="456">
        <f>BJ330</f>
        <v>0.32010108038258428</v>
      </c>
      <c r="BI355" s="456">
        <f>BI354/BI222</f>
        <v>5.4450925455269063E-2</v>
      </c>
      <c r="BJ355" s="456"/>
      <c r="CB355"/>
      <c r="CC355"/>
      <c r="CD355"/>
      <c r="CE355"/>
      <c r="CF355"/>
      <c r="CG355"/>
      <c r="CH355"/>
      <c r="CI355"/>
      <c r="CJ355"/>
      <c r="CK355"/>
      <c r="CL355"/>
      <c r="CM355"/>
      <c r="CN355"/>
      <c r="CO355"/>
      <c r="CP355"/>
      <c r="CQ355"/>
      <c r="CR355"/>
      <c r="CS355"/>
      <c r="CT355"/>
      <c r="CU355"/>
      <c r="CV355"/>
      <c r="CW355"/>
      <c r="CX355"/>
      <c r="CY355"/>
      <c r="CZ355"/>
      <c r="DA355"/>
    </row>
    <row r="356" spans="4:105">
      <c r="D356" s="608" t="s">
        <v>3648</v>
      </c>
      <c r="E356" s="456">
        <f t="shared" ref="E356:L356" si="248">BB328</f>
        <v>0.22</v>
      </c>
      <c r="F356" s="456">
        <f t="shared" si="248"/>
        <v>0.22</v>
      </c>
      <c r="G356" s="456">
        <f t="shared" si="248"/>
        <v>0.23</v>
      </c>
      <c r="H356" s="456">
        <f t="shared" si="248"/>
        <v>0.24</v>
      </c>
      <c r="I356" s="456">
        <f t="shared" si="248"/>
        <v>0</v>
      </c>
      <c r="J356" s="456">
        <f t="shared" si="248"/>
        <v>0.25</v>
      </c>
      <c r="K356" s="456">
        <f t="shared" si="248"/>
        <v>0.25</v>
      </c>
      <c r="L356" s="456">
        <f t="shared" si="248"/>
        <v>0.26</v>
      </c>
      <c r="M356" s="456" t="e">
        <f>#REF!</f>
        <v>#REF!</v>
      </c>
      <c r="N356" s="456" t="e">
        <f>#REF!</f>
        <v>#REF!</v>
      </c>
      <c r="O356" s="456">
        <f>BK328</f>
        <v>0</v>
      </c>
      <c r="P356" s="456" t="e">
        <f>#REF!</f>
        <v>#REF!</v>
      </c>
      <c r="Q356" s="456" t="e">
        <f>#REF!</f>
        <v>#REF!</v>
      </c>
      <c r="R356" s="456" t="e">
        <f>#REF!</f>
        <v>#REF!</v>
      </c>
      <c r="S356" s="456" t="e">
        <f>#REF!</f>
        <v>#REF!</v>
      </c>
      <c r="T356" s="456" t="e">
        <f>#REF!</f>
        <v>#REF!</v>
      </c>
      <c r="U356" s="456" t="e">
        <f>#REF!</f>
        <v>#REF!</v>
      </c>
      <c r="V356" s="456" t="e">
        <f>#REF!</f>
        <v>#REF!</v>
      </c>
      <c r="W356" s="456" t="e">
        <f>#REF!</f>
        <v>#REF!</v>
      </c>
      <c r="X356" s="456">
        <f t="shared" ref="X356:AZ356" si="249">BV328</f>
        <v>0</v>
      </c>
      <c r="Y356" s="456">
        <f t="shared" si="249"/>
        <v>0</v>
      </c>
      <c r="Z356" s="456">
        <f t="shared" si="249"/>
        <v>0</v>
      </c>
      <c r="AA356" s="456">
        <f t="shared" si="249"/>
        <v>0</v>
      </c>
      <c r="AB356" s="456">
        <f t="shared" si="249"/>
        <v>0</v>
      </c>
      <c r="AC356" s="456">
        <f t="shared" si="249"/>
        <v>0</v>
      </c>
      <c r="AD356" s="456">
        <f t="shared" si="249"/>
        <v>0</v>
      </c>
      <c r="AE356" s="456">
        <f t="shared" si="249"/>
        <v>0</v>
      </c>
      <c r="AF356" s="456">
        <f t="shared" si="249"/>
        <v>0</v>
      </c>
      <c r="AG356" s="456">
        <f t="shared" si="249"/>
        <v>0</v>
      </c>
      <c r="AH356" s="456">
        <f t="shared" si="249"/>
        <v>0</v>
      </c>
      <c r="AI356" s="456">
        <f t="shared" si="249"/>
        <v>0</v>
      </c>
      <c r="AJ356" s="456">
        <f t="shared" si="249"/>
        <v>0</v>
      </c>
      <c r="AK356" s="456">
        <f t="shared" si="249"/>
        <v>0</v>
      </c>
      <c r="AL356" s="456">
        <f t="shared" si="249"/>
        <v>0</v>
      </c>
      <c r="AM356" s="456">
        <f t="shared" si="249"/>
        <v>0</v>
      </c>
      <c r="AN356" s="456">
        <f t="shared" si="249"/>
        <v>0</v>
      </c>
      <c r="AO356" s="456">
        <f t="shared" si="249"/>
        <v>0</v>
      </c>
      <c r="AP356" s="456">
        <f t="shared" si="249"/>
        <v>0</v>
      </c>
      <c r="AQ356" s="456">
        <f t="shared" si="249"/>
        <v>0</v>
      </c>
      <c r="AR356" s="456">
        <f t="shared" si="249"/>
        <v>0</v>
      </c>
      <c r="AS356" s="456">
        <f t="shared" si="249"/>
        <v>0</v>
      </c>
      <c r="AT356" s="456">
        <f t="shared" si="249"/>
        <v>0</v>
      </c>
      <c r="AU356" s="456">
        <f t="shared" si="249"/>
        <v>0</v>
      </c>
      <c r="AV356" s="456">
        <f t="shared" si="249"/>
        <v>0</v>
      </c>
      <c r="AW356" s="456">
        <f t="shared" si="249"/>
        <v>0</v>
      </c>
      <c r="AX356" s="456">
        <f t="shared" si="249"/>
        <v>0</v>
      </c>
      <c r="AY356" s="456">
        <f t="shared" si="249"/>
        <v>0</v>
      </c>
      <c r="AZ356" s="456">
        <f t="shared" si="249"/>
        <v>0</v>
      </c>
      <c r="BA356" s="456">
        <f>BC328</f>
        <v>0.22</v>
      </c>
      <c r="BB356" s="456">
        <f>BD328</f>
        <v>0.23</v>
      </c>
      <c r="BC356" s="456">
        <f>BE328</f>
        <v>0.24</v>
      </c>
      <c r="BD356" s="456">
        <f>BG328</f>
        <v>0.25</v>
      </c>
      <c r="BE356" s="456">
        <f>BH328</f>
        <v>0.25</v>
      </c>
      <c r="BF356" s="456">
        <f>BI328</f>
        <v>0.26</v>
      </c>
      <c r="BG356" s="456">
        <f>BJ328</f>
        <v>0.26500000000000001</v>
      </c>
      <c r="BI356" s="456"/>
      <c r="BJ356" s="456"/>
      <c r="CB356"/>
      <c r="CC356"/>
      <c r="CD356"/>
      <c r="CE356"/>
      <c r="CF356"/>
      <c r="CG356"/>
      <c r="CH356"/>
      <c r="CI356"/>
      <c r="CJ356"/>
      <c r="CK356"/>
      <c r="CL356"/>
      <c r="CM356"/>
      <c r="CN356"/>
      <c r="CO356"/>
      <c r="CP356"/>
      <c r="CQ356"/>
      <c r="CR356"/>
      <c r="CS356"/>
      <c r="CT356"/>
      <c r="CU356"/>
      <c r="CV356"/>
      <c r="CW356"/>
      <c r="CX356"/>
      <c r="CY356"/>
      <c r="CZ356"/>
      <c r="DA356"/>
    </row>
    <row r="357" spans="4:105">
      <c r="D357" s="608" t="s">
        <v>3649</v>
      </c>
      <c r="BF357" s="456">
        <f>BI340</f>
        <v>0.26373626373626374</v>
      </c>
      <c r="BG357" s="456">
        <f>BJ340</f>
        <v>0.25632911392405061</v>
      </c>
      <c r="BI357" s="456"/>
      <c r="BJ357" s="456"/>
      <c r="CB357"/>
      <c r="CC357"/>
      <c r="CD357"/>
      <c r="CE357"/>
      <c r="CF357"/>
      <c r="CG357"/>
      <c r="CH357"/>
      <c r="CI357"/>
      <c r="CJ357"/>
      <c r="CK357"/>
      <c r="CL357"/>
      <c r="CM357"/>
      <c r="CN357"/>
      <c r="CO357"/>
      <c r="CP357"/>
      <c r="CQ357"/>
      <c r="CR357"/>
      <c r="CS357"/>
      <c r="CT357"/>
      <c r="CU357"/>
      <c r="CV357"/>
      <c r="CW357"/>
      <c r="CX357"/>
      <c r="CY357"/>
      <c r="CZ357"/>
      <c r="DA357"/>
    </row>
    <row r="358" spans="4:105">
      <c r="D358" s="487" t="s">
        <v>1831</v>
      </c>
      <c r="E358" s="561">
        <f t="shared" ref="E358:L358" si="250">BB331</f>
        <v>0.31140350877192985</v>
      </c>
      <c r="F358" s="561">
        <f t="shared" si="250"/>
        <v>0.29777777777777775</v>
      </c>
      <c r="G358" s="561">
        <f t="shared" si="250"/>
        <v>0.26016260162601629</v>
      </c>
      <c r="H358" s="561">
        <f t="shared" si="250"/>
        <v>0.23424124513618677</v>
      </c>
      <c r="I358" s="561">
        <f t="shared" si="250"/>
        <v>0</v>
      </c>
      <c r="J358" s="561">
        <f t="shared" si="250"/>
        <v>0.21548821564773152</v>
      </c>
      <c r="K358" s="561">
        <f t="shared" si="250"/>
        <v>0.25749974804097103</v>
      </c>
      <c r="L358" s="561">
        <f t="shared" si="250"/>
        <v>0.24583529411764707</v>
      </c>
      <c r="M358" s="561" t="e">
        <f>#REF!</f>
        <v>#REF!</v>
      </c>
      <c r="N358" s="561" t="e">
        <f>#REF!</f>
        <v>#REF!</v>
      </c>
      <c r="O358" s="561">
        <f>BK331</f>
        <v>0</v>
      </c>
      <c r="P358" s="561" t="e">
        <f>#REF!</f>
        <v>#REF!</v>
      </c>
      <c r="Q358" s="561" t="e">
        <f>#REF!</f>
        <v>#REF!</v>
      </c>
      <c r="R358" s="561" t="e">
        <f>#REF!</f>
        <v>#REF!</v>
      </c>
      <c r="S358" s="561" t="e">
        <f>#REF!</f>
        <v>#REF!</v>
      </c>
      <c r="T358" s="561" t="e">
        <f>#REF!</f>
        <v>#REF!</v>
      </c>
      <c r="U358" s="561" t="e">
        <f>#REF!</f>
        <v>#REF!</v>
      </c>
      <c r="V358" s="561" t="e">
        <f>#REF!</f>
        <v>#REF!</v>
      </c>
      <c r="W358" s="561" t="e">
        <f>#REF!</f>
        <v>#REF!</v>
      </c>
      <c r="X358" s="561">
        <f t="shared" ref="X358:AZ358" si="251">BV331</f>
        <v>0</v>
      </c>
      <c r="Y358" s="561">
        <f t="shared" si="251"/>
        <v>0</v>
      </c>
      <c r="Z358" s="561">
        <f t="shared" si="251"/>
        <v>0</v>
      </c>
      <c r="AA358" s="561">
        <f t="shared" si="251"/>
        <v>0</v>
      </c>
      <c r="AB358" s="561">
        <f t="shared" si="251"/>
        <v>0</v>
      </c>
      <c r="AC358" s="561">
        <f t="shared" si="251"/>
        <v>0</v>
      </c>
      <c r="AD358" s="561">
        <f t="shared" si="251"/>
        <v>0</v>
      </c>
      <c r="AE358" s="561">
        <f t="shared" si="251"/>
        <v>0</v>
      </c>
      <c r="AF358" s="561">
        <f t="shared" si="251"/>
        <v>0</v>
      </c>
      <c r="AG358" s="561">
        <f t="shared" si="251"/>
        <v>0</v>
      </c>
      <c r="AH358" s="561">
        <f t="shared" si="251"/>
        <v>0</v>
      </c>
      <c r="AI358" s="561">
        <f t="shared" si="251"/>
        <v>0</v>
      </c>
      <c r="AJ358" s="561">
        <f t="shared" si="251"/>
        <v>0</v>
      </c>
      <c r="AK358" s="561">
        <f t="shared" si="251"/>
        <v>0</v>
      </c>
      <c r="AL358" s="561">
        <f t="shared" si="251"/>
        <v>0</v>
      </c>
      <c r="AM358" s="561">
        <f t="shared" si="251"/>
        <v>0</v>
      </c>
      <c r="AN358" s="561">
        <f t="shared" si="251"/>
        <v>0</v>
      </c>
      <c r="AO358" s="561">
        <f t="shared" si="251"/>
        <v>0</v>
      </c>
      <c r="AP358" s="561">
        <f t="shared" si="251"/>
        <v>0</v>
      </c>
      <c r="AQ358" s="561">
        <f t="shared" si="251"/>
        <v>0</v>
      </c>
      <c r="AR358" s="561">
        <f t="shared" si="251"/>
        <v>0</v>
      </c>
      <c r="AS358" s="561">
        <f t="shared" si="251"/>
        <v>0</v>
      </c>
      <c r="AT358" s="561">
        <f t="shared" si="251"/>
        <v>0</v>
      </c>
      <c r="AU358" s="561">
        <f t="shared" si="251"/>
        <v>0</v>
      </c>
      <c r="AV358" s="561">
        <f t="shared" si="251"/>
        <v>0</v>
      </c>
      <c r="AW358" s="561">
        <f t="shared" si="251"/>
        <v>0</v>
      </c>
      <c r="AX358" s="561">
        <f t="shared" si="251"/>
        <v>0</v>
      </c>
      <c r="AY358" s="561">
        <f t="shared" si="251"/>
        <v>0</v>
      </c>
      <c r="AZ358" s="561">
        <f t="shared" si="251"/>
        <v>0</v>
      </c>
      <c r="BA358" s="561">
        <f>BC331</f>
        <v>0.29777777777777775</v>
      </c>
      <c r="BB358" s="561">
        <f>BD331</f>
        <v>0.26016260162601629</v>
      </c>
      <c r="BC358" s="561">
        <f>BE331</f>
        <v>0.23424124513618677</v>
      </c>
      <c r="BD358" s="561">
        <f>BG331</f>
        <v>0.21548821564773152</v>
      </c>
      <c r="BE358" s="561">
        <f>BH331</f>
        <v>0.25749974804097103</v>
      </c>
      <c r="BF358" s="561">
        <f>BI331</f>
        <v>0.24583529411764707</v>
      </c>
      <c r="BG358" s="561">
        <f>BJ331</f>
        <v>0.18898437500000001</v>
      </c>
      <c r="BI358" s="456"/>
      <c r="BJ358" s="456"/>
      <c r="CB358"/>
      <c r="CC358"/>
      <c r="CD358"/>
      <c r="CE358"/>
      <c r="CF358"/>
      <c r="CG358"/>
      <c r="CH358"/>
      <c r="CI358"/>
      <c r="CJ358"/>
      <c r="CK358"/>
      <c r="CL358"/>
      <c r="CM358"/>
      <c r="CN358"/>
      <c r="CO358"/>
      <c r="CP358"/>
      <c r="CQ358"/>
      <c r="CR358"/>
      <c r="CS358"/>
      <c r="CT358"/>
      <c r="CU358"/>
      <c r="CV358"/>
      <c r="CW358"/>
      <c r="CX358"/>
      <c r="CY358"/>
      <c r="CZ358"/>
      <c r="DA358"/>
    </row>
    <row r="359" spans="4:105">
      <c r="D359" s="478" t="s">
        <v>884</v>
      </c>
      <c r="E359" s="509">
        <f>BB333</f>
        <v>0.41602387769786303</v>
      </c>
      <c r="F359" s="478"/>
      <c r="G359" s="478"/>
      <c r="H359" s="478"/>
      <c r="I359" s="478"/>
      <c r="J359" s="478"/>
      <c r="K359" s="478"/>
      <c r="L359" s="478"/>
      <c r="M359" s="478"/>
      <c r="N359" s="478"/>
      <c r="O359" s="29"/>
      <c r="P359" s="478"/>
      <c r="Q359" s="478"/>
      <c r="R359" s="29"/>
      <c r="S359" s="29"/>
      <c r="T359" s="29"/>
      <c r="U359" s="29"/>
      <c r="V359" s="29"/>
      <c r="W359" s="478"/>
      <c r="X359" s="478"/>
      <c r="Y359" s="478"/>
      <c r="Z359" s="478"/>
      <c r="AA359" s="478"/>
      <c r="AB359" s="478"/>
      <c r="AC359" s="478"/>
      <c r="AD359" s="478"/>
      <c r="AE359" s="478"/>
      <c r="AF359" s="478"/>
      <c r="AG359" s="478"/>
      <c r="AH359" s="478"/>
      <c r="AI359" s="478"/>
      <c r="AJ359" s="478"/>
      <c r="AK359" s="478"/>
      <c r="AL359" s="478"/>
      <c r="AM359" s="478"/>
      <c r="AN359" s="478"/>
      <c r="AO359" s="478"/>
      <c r="AP359" s="478"/>
      <c r="AQ359" s="478"/>
      <c r="AR359" s="478"/>
      <c r="AS359" s="478"/>
      <c r="AT359" s="478"/>
      <c r="AU359" s="478"/>
      <c r="AV359" s="478"/>
      <c r="AW359" s="478"/>
      <c r="AX359" s="478"/>
      <c r="AY359" s="478"/>
      <c r="AZ359" s="478"/>
      <c r="BA359" s="509">
        <f>BC333</f>
        <v>0.40637023929548777</v>
      </c>
      <c r="BB359" s="509">
        <f>BD333</f>
        <v>0.39754418884360898</v>
      </c>
      <c r="BC359" s="509">
        <f>BE333</f>
        <v>0.39263612784625374</v>
      </c>
      <c r="BD359" s="509">
        <f>BG333</f>
        <v>0.38204578749574009</v>
      </c>
      <c r="BE359" s="509">
        <f>BH333</f>
        <v>0.38110065949201133</v>
      </c>
      <c r="BF359" s="509">
        <f>BI333</f>
        <v>0.36915345673662847</v>
      </c>
      <c r="BG359" s="509">
        <f>BJ333</f>
        <v>0.34983117602770958</v>
      </c>
      <c r="BI359" s="456"/>
      <c r="BJ359" s="456"/>
      <c r="CB359"/>
      <c r="CC359"/>
      <c r="CD359"/>
      <c r="CE359"/>
      <c r="CF359"/>
      <c r="CG359"/>
      <c r="CH359"/>
      <c r="CI359"/>
      <c r="CJ359"/>
      <c r="CK359"/>
      <c r="CL359"/>
      <c r="CM359"/>
      <c r="CN359"/>
      <c r="CO359"/>
      <c r="CP359"/>
      <c r="CQ359"/>
      <c r="CR359"/>
      <c r="CS359"/>
      <c r="CT359"/>
      <c r="CU359"/>
      <c r="CV359"/>
      <c r="CW359"/>
      <c r="CX359"/>
      <c r="CY359"/>
      <c r="CZ359"/>
      <c r="DA359"/>
    </row>
    <row r="360" spans="4:105">
      <c r="O360" s="5"/>
      <c r="R360" s="29"/>
      <c r="S360" s="29"/>
      <c r="T360" s="29"/>
      <c r="U360" s="29"/>
      <c r="V360" s="29"/>
      <c r="BG360" s="456"/>
      <c r="BH360" s="456"/>
      <c r="BI360" s="456"/>
      <c r="BJ360" s="456"/>
      <c r="CB360"/>
      <c r="CC360"/>
      <c r="CD360"/>
      <c r="CE360"/>
      <c r="CF360"/>
      <c r="CG360"/>
      <c r="CH360"/>
      <c r="CI360"/>
      <c r="CJ360"/>
      <c r="CK360"/>
      <c r="CL360"/>
      <c r="CM360"/>
      <c r="CN360"/>
      <c r="CO360"/>
      <c r="CP360"/>
      <c r="CQ360"/>
      <c r="CR360"/>
      <c r="CS360"/>
      <c r="CT360"/>
      <c r="CU360"/>
      <c r="CV360"/>
      <c r="CW360"/>
      <c r="CX360"/>
      <c r="CY360"/>
      <c r="CZ360"/>
      <c r="DA360"/>
    </row>
    <row r="361" spans="4:105">
      <c r="D361" s="2" t="s">
        <v>267</v>
      </c>
      <c r="O361" s="5"/>
      <c r="R361" s="18"/>
      <c r="S361" s="29"/>
      <c r="T361" s="29"/>
      <c r="U361" s="29"/>
      <c r="V361" s="29"/>
      <c r="CB361"/>
      <c r="CC361"/>
      <c r="CD361"/>
      <c r="CE361"/>
      <c r="CF361"/>
      <c r="CG361"/>
      <c r="CH361"/>
      <c r="CI361"/>
      <c r="CJ361"/>
      <c r="CK361"/>
      <c r="CL361"/>
      <c r="CM361"/>
      <c r="CN361"/>
      <c r="CO361"/>
      <c r="CP361"/>
      <c r="CQ361"/>
      <c r="CR361"/>
      <c r="CS361"/>
      <c r="CT361"/>
      <c r="CU361"/>
      <c r="CV361"/>
      <c r="CW361"/>
      <c r="CX361"/>
      <c r="CY361"/>
      <c r="CZ361"/>
      <c r="DA361"/>
    </row>
    <row r="362" spans="4:105">
      <c r="D362" t="s">
        <v>1163</v>
      </c>
      <c r="K362" s="16">
        <f t="shared" ref="K362:R362" si="252">(K298-G298)/(K211-G211)</f>
        <v>0.69782927154081786</v>
      </c>
      <c r="L362" s="16">
        <f t="shared" si="252"/>
        <v>0.49310586585650884</v>
      </c>
      <c r="M362" s="16">
        <f t="shared" si="252"/>
        <v>-25.663636363636499</v>
      </c>
      <c r="N362" s="16">
        <f t="shared" si="252"/>
        <v>2.546694895318748</v>
      </c>
      <c r="O362" s="16">
        <f t="shared" si="252"/>
        <v>13.222345132743365</v>
      </c>
      <c r="P362" s="16">
        <f t="shared" si="252"/>
        <v>-4.6037533512064295</v>
      </c>
      <c r="Q362" s="16">
        <f t="shared" si="252"/>
        <v>-2.5394524959742366</v>
      </c>
      <c r="R362" s="16">
        <f t="shared" si="252"/>
        <v>0.67321073558648092</v>
      </c>
      <c r="S362" s="16"/>
      <c r="T362" s="16"/>
      <c r="U362" s="16"/>
      <c r="V362" s="16"/>
      <c r="X362" s="16"/>
      <c r="Y362" s="16"/>
      <c r="Z362" s="16"/>
      <c r="AA362" s="16"/>
      <c r="AC362" s="16">
        <f>(AC299-X299)/(AC212-X212)</f>
        <v>0.37918090379710284</v>
      </c>
      <c r="AD362" s="16">
        <f>(AD299-Y299)/(AD212-Y212)</f>
        <v>0.37484804950823275</v>
      </c>
      <c r="AE362" s="16">
        <f>(AE299-Z299)/(AE212-Z212)</f>
        <v>0.21521368526247728</v>
      </c>
      <c r="AF362" s="16">
        <f>(AF299-AA299)/(AF212-AA212)</f>
        <v>0.14285714285714285</v>
      </c>
      <c r="AH362" s="16"/>
      <c r="AI362" s="16"/>
      <c r="AJ362" s="16"/>
      <c r="AK362" s="16"/>
      <c r="AM362" s="16"/>
      <c r="AN362" s="16"/>
      <c r="AO362" s="16"/>
      <c r="AP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CB362"/>
      <c r="CC362"/>
      <c r="CD362"/>
      <c r="CE362"/>
      <c r="CF362"/>
      <c r="CG362"/>
      <c r="CH362"/>
      <c r="CI362"/>
      <c r="CJ362"/>
      <c r="CK362"/>
      <c r="CL362"/>
      <c r="CM362"/>
      <c r="CN362"/>
      <c r="CO362"/>
      <c r="CP362"/>
      <c r="CQ362"/>
      <c r="CR362"/>
      <c r="CS362"/>
      <c r="CT362"/>
      <c r="CU362"/>
      <c r="CV362"/>
      <c r="CW362"/>
      <c r="CX362"/>
      <c r="CY362"/>
      <c r="CZ362"/>
      <c r="DA362"/>
    </row>
    <row r="363" spans="4:105">
      <c r="D363" t="str">
        <f>D325</f>
        <v>CA ex-Amnet (incs MFS)</v>
      </c>
      <c r="K363" s="16">
        <f t="shared" ref="K363:V363" si="253">(K300-G300)/(K217-G217)</f>
        <v>0.46083719516827465</v>
      </c>
      <c r="L363" s="16">
        <f t="shared" si="253"/>
        <v>0.48617430871543577</v>
      </c>
      <c r="M363" s="16">
        <f t="shared" si="253"/>
        <v>0.491340408904127</v>
      </c>
      <c r="N363" s="16">
        <f t="shared" si="253"/>
        <v>0.61958485958485976</v>
      </c>
      <c r="O363" s="16">
        <f t="shared" si="253"/>
        <v>0.53417810985460457</v>
      </c>
      <c r="P363" s="16">
        <f t="shared" si="253"/>
        <v>0.4845450728335649</v>
      </c>
      <c r="Q363" s="16">
        <f t="shared" si="253"/>
        <v>0.50299695621634266</v>
      </c>
      <c r="R363" s="16">
        <f t="shared" si="253"/>
        <v>0.56150988040002225</v>
      </c>
      <c r="S363" s="16">
        <f t="shared" si="253"/>
        <v>0.51024641412283922</v>
      </c>
      <c r="T363" s="16">
        <f t="shared" si="253"/>
        <v>0.538737338281015</v>
      </c>
      <c r="U363" s="16">
        <f t="shared" si="253"/>
        <v>0.5570849829665776</v>
      </c>
      <c r="V363" s="16">
        <f t="shared" si="253"/>
        <v>0.51763409257898607</v>
      </c>
      <c r="X363" s="16">
        <f>(X300-S300)/(X217-S217)</f>
        <v>0.61685753648770825</v>
      </c>
      <c r="Y363" s="16">
        <f>(Y300-T300)/(Y217-T217)</f>
        <v>0.549304152637486</v>
      </c>
      <c r="Z363" s="16">
        <f>(Z300-U300)/(Z217-U217)</f>
        <v>0.54064003616753331</v>
      </c>
      <c r="AA363" s="16">
        <f>(AA300-V300)/(AA217-V217)</f>
        <v>0.4630045701738707</v>
      </c>
      <c r="AC363" s="16">
        <f>(AC300-X300)/(AC217-X217)</f>
        <v>0.56395887570048087</v>
      </c>
      <c r="AD363" s="16">
        <f>(AD300-Y300)/(AD217-Y217)</f>
        <v>0.62147121743872258</v>
      </c>
      <c r="AE363" s="16">
        <f>(AE300-Z300)/(AE217-Z217)</f>
        <v>0.60019185136567854</v>
      </c>
      <c r="AF363" s="16">
        <f>(AF300-AA300)/(AF217-AA217)</f>
        <v>1.2131782945736433</v>
      </c>
      <c r="AH363" s="16"/>
      <c r="AI363" s="16"/>
      <c r="AJ363" s="16"/>
      <c r="AK363" s="16"/>
      <c r="AM363" s="16"/>
      <c r="AN363" s="16"/>
      <c r="AO363" s="16"/>
      <c r="AP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row>
    <row r="364" spans="4:105">
      <c r="D364" t="str">
        <f>D329</f>
        <v>SA ex Col, inc MFS</v>
      </c>
      <c r="K364" s="16">
        <f t="shared" ref="K364:V364" si="254">(K304-G304)/(K226-G226)</f>
        <v>0.34040501446480242</v>
      </c>
      <c r="L364" s="16">
        <f t="shared" si="254"/>
        <v>0.34748603351955315</v>
      </c>
      <c r="M364" s="16">
        <f t="shared" si="254"/>
        <v>0.5344346706715295</v>
      </c>
      <c r="N364" s="16">
        <f t="shared" si="254"/>
        <v>0.55502468545946804</v>
      </c>
      <c r="O364" s="16">
        <f t="shared" si="254"/>
        <v>0.4247216395029853</v>
      </c>
      <c r="P364" s="16">
        <f t="shared" si="254"/>
        <v>0.52628487518355338</v>
      </c>
      <c r="Q364" s="16">
        <f t="shared" si="254"/>
        <v>0.37302814723167343</v>
      </c>
      <c r="R364" s="16">
        <f t="shared" si="254"/>
        <v>0.48470710212545354</v>
      </c>
      <c r="S364" s="16">
        <f t="shared" si="254"/>
        <v>0.45990058609689161</v>
      </c>
      <c r="T364" s="16">
        <f t="shared" si="254"/>
        <v>0.47590594744121728</v>
      </c>
      <c r="U364" s="16">
        <f t="shared" si="254"/>
        <v>0.55426416854544047</v>
      </c>
      <c r="V364" s="16">
        <f t="shared" si="254"/>
        <v>0.56634077165275598</v>
      </c>
      <c r="X364" s="16">
        <f>(X304-S304)/(X226-S226)</f>
        <v>0.56592250215041495</v>
      </c>
      <c r="Y364" s="16">
        <f>(Y304-T304)/(Y226-T226)</f>
        <v>0.55354517443753914</v>
      </c>
      <c r="Z364" s="16">
        <f>(Z304-U304)/(Z226-U226)</f>
        <v>0.61806863789008104</v>
      </c>
      <c r="AA364" s="16">
        <f>(AA304-V304)/(AA226-V226)</f>
        <v>0.54760041207952137</v>
      </c>
      <c r="AC364" s="16">
        <f>(AC305-X305)/(AC227-X227)</f>
        <v>0.25860753383060564</v>
      </c>
      <c r="AD364" s="16">
        <f>(AD304-Y304)/(AD226-Y226)</f>
        <v>0.53156749335223352</v>
      </c>
      <c r="AE364" s="16">
        <f>(AE304-Z304)/(AE226-Z226)</f>
        <v>0.5240505454861516</v>
      </c>
      <c r="AF364" s="16">
        <f>(AF304-AA304)/(AF226-AA226)</f>
        <v>0.69622728913203558</v>
      </c>
      <c r="AH364" s="16"/>
      <c r="AI364" s="16"/>
      <c r="AJ364" s="16"/>
      <c r="AK364" s="16"/>
      <c r="AM364" s="16"/>
      <c r="AN364" s="16"/>
      <c r="AO364" s="16"/>
      <c r="AP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row>
    <row r="365" spans="4:105">
      <c r="D365" t="str">
        <f>D331</f>
        <v>Africa</v>
      </c>
      <c r="K365" s="16">
        <f t="shared" ref="K365:V365" si="255">(K310-G310)/(K239-G239)</f>
        <v>0.46520467836257318</v>
      </c>
      <c r="L365" s="16">
        <f t="shared" si="255"/>
        <v>0.33877624259824157</v>
      </c>
      <c r="M365" s="16">
        <f t="shared" si="255"/>
        <v>0.44476678043230944</v>
      </c>
      <c r="N365" s="16">
        <f t="shared" si="255"/>
        <v>0.60109672150274207</v>
      </c>
      <c r="O365" s="16">
        <f t="shared" si="255"/>
        <v>0.48464562093108954</v>
      </c>
      <c r="P365" s="16">
        <f t="shared" si="255"/>
        <v>0.74939419995309953</v>
      </c>
      <c r="Q365" s="16">
        <f t="shared" si="255"/>
        <v>0.44665119078325166</v>
      </c>
      <c r="R365" s="16">
        <f t="shared" si="255"/>
        <v>-2.2899649941656941E-2</v>
      </c>
      <c r="S365" s="16">
        <f t="shared" si="255"/>
        <v>0.45324508966695143</v>
      </c>
      <c r="T365" s="16">
        <f t="shared" si="255"/>
        <v>0.21736141996522856</v>
      </c>
      <c r="U365" s="16">
        <f t="shared" si="255"/>
        <v>0.30607671984214568</v>
      </c>
      <c r="V365" s="16">
        <f t="shared" si="255"/>
        <v>0.33155687576445925</v>
      </c>
      <c r="X365" s="16">
        <f>(X310-S310)/(X239-S239)</f>
        <v>0.24186262969147795</v>
      </c>
      <c r="Y365" s="16">
        <f>(Y310-T310)/(Y239-T239)</f>
        <v>0.22120690678217525</v>
      </c>
      <c r="Z365" s="16">
        <f>(Z310-U310)/(Z239-U239)</f>
        <v>6.2869554724267016E-2</v>
      </c>
      <c r="AA365" s="16">
        <f>(AA310-V310)/(AA239-V239)</f>
        <v>0.20847537432903279</v>
      </c>
      <c r="AC365" s="16">
        <f>(AC310-X310)/(AC239-X239)</f>
        <v>0.23505796155969286</v>
      </c>
      <c r="AD365" s="16">
        <f>(AD310-Y310)/(AD239-Y239)</f>
        <v>0.28264058679706605</v>
      </c>
      <c r="AE365" s="16">
        <f>(AE310-Z310)/(AE239-Z239)</f>
        <v>0.46476391825229041</v>
      </c>
      <c r="AF365" s="16">
        <f>(AF310-AA310)/(AF239-AA239)</f>
        <v>0.53600000000000003</v>
      </c>
      <c r="AH365" s="16"/>
      <c r="AI365" s="16"/>
      <c r="AJ365" s="16"/>
      <c r="AK365" s="16"/>
      <c r="AM365" s="16"/>
      <c r="AN365" s="16"/>
      <c r="AO365" s="16"/>
      <c r="AP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row>
    <row r="366" spans="4:105">
      <c r="K366" s="20"/>
      <c r="L366" s="20"/>
      <c r="M366" s="20"/>
      <c r="N366" s="20"/>
      <c r="O366" s="20"/>
      <c r="P366" s="20"/>
      <c r="Q366" s="20"/>
      <c r="R366" s="20"/>
      <c r="S366" s="20"/>
      <c r="T366" s="20"/>
      <c r="U366" s="20"/>
      <c r="V366" s="20"/>
      <c r="X366" s="20"/>
      <c r="Y366" s="20"/>
      <c r="Z366" s="20"/>
      <c r="AA366" s="20"/>
      <c r="AC366" s="20"/>
      <c r="AD366" s="20"/>
      <c r="AE366" s="20"/>
      <c r="AF366" s="20"/>
      <c r="AH366" s="20"/>
      <c r="AI366" s="16"/>
      <c r="AJ366" s="16"/>
      <c r="AK366" s="16"/>
      <c r="AM366" s="16"/>
      <c r="AN366" s="16"/>
      <c r="AO366" s="16"/>
      <c r="AP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row>
    <row r="367" spans="4:105">
      <c r="D367" s="2" t="str">
        <f>D333</f>
        <v>Total EBITDA margin</v>
      </c>
      <c r="K367" s="19">
        <f t="shared" ref="K367:P367" si="256">(K312-G312)/(K242-G242)</f>
        <v>0.50035925275427096</v>
      </c>
      <c r="L367" s="19">
        <f t="shared" si="256"/>
        <v>0.47263357668278211</v>
      </c>
      <c r="M367" s="19">
        <f t="shared" si="256"/>
        <v>0.43616484015958779</v>
      </c>
      <c r="N367" s="19">
        <f t="shared" si="256"/>
        <v>0.57211868973077462</v>
      </c>
      <c r="O367" s="19">
        <f t="shared" si="256"/>
        <v>0.36603169933438773</v>
      </c>
      <c r="P367" s="19">
        <f t="shared" si="256"/>
        <v>0.32921506748136736</v>
      </c>
      <c r="Q367" s="19" t="e">
        <f>(Q316-M316)/(#REF!-#REF!)</f>
        <v>#REF!</v>
      </c>
      <c r="R367" s="19" t="e">
        <f>(R316-N316)/(#REF!-#REF!)</f>
        <v>#REF!</v>
      </c>
      <c r="S367" s="19" t="e">
        <f>(S316-O316)/(#REF!-#REF!)</f>
        <v>#REF!</v>
      </c>
      <c r="T367" s="19" t="e">
        <f>(T316-P316)/(#REF!-#REF!)</f>
        <v>#REF!</v>
      </c>
      <c r="U367" s="19">
        <f>(U312-Q312)/(U242-Q242)</f>
        <v>0.47857253619408757</v>
      </c>
      <c r="V367" s="19">
        <f>(V312-R312)/(V242-R242)</f>
        <v>0.39487532189184438</v>
      </c>
      <c r="X367" s="19">
        <f>(X312-S312)/(X242-S242)</f>
        <v>0.44022869022869021</v>
      </c>
      <c r="Y367" s="19">
        <f>(Y312-T312)/(Y242-T242)</f>
        <v>0.43240054346530643</v>
      </c>
      <c r="Z367" s="19">
        <f>(Z312-U312)/(Z242-U242)</f>
        <v>0.41324984495686989</v>
      </c>
      <c r="AA367" s="19">
        <f>(AA312-V312)/(AA242-V242)</f>
        <v>0.35818590471103967</v>
      </c>
      <c r="AC367" s="19">
        <f>(AC312-X312)/(AC242-X242)</f>
        <v>0.38084518050027816</v>
      </c>
      <c r="AD367" s="19">
        <f>(AD312-Y312)/(AD242-Y242)</f>
        <v>0.38775609154060453</v>
      </c>
      <c r="AE367" s="19">
        <f>(AE312-Z312)/(AE242-Z242)</f>
        <v>0.4129311633727788</v>
      </c>
      <c r="AF367" s="19">
        <f>(AF312-AA312)/(AF242-AA242)</f>
        <v>1.0013793103448279</v>
      </c>
      <c r="AH367" s="19"/>
      <c r="AI367" s="19"/>
      <c r="AJ367" s="19"/>
      <c r="AK367" s="19"/>
      <c r="AM367" s="19"/>
      <c r="AN367" s="19"/>
      <c r="AO367" s="19"/>
      <c r="AP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row>
    <row r="368" spans="4:105">
      <c r="O368" s="5"/>
      <c r="R368" s="18"/>
      <c r="S368" s="29"/>
      <c r="T368" s="29"/>
      <c r="U368" s="29"/>
      <c r="V368" s="29"/>
    </row>
    <row r="369" spans="4:72">
      <c r="D369" t="str">
        <f t="shared" ref="D369:D376" si="257">D324</f>
        <v>Asia</v>
      </c>
      <c r="O369" s="5"/>
      <c r="R369" s="18"/>
      <c r="S369" s="29"/>
      <c r="T369" s="29"/>
      <c r="U369" s="29"/>
      <c r="V369" s="29"/>
      <c r="AD369" s="9">
        <f>AD378-AD376-AD375-AD371-AD370</f>
        <v>67.02000000000001</v>
      </c>
      <c r="AE369" s="9">
        <f>AE378-AE376-AE375-AE371-AE370</f>
        <v>36.08</v>
      </c>
      <c r="AF369" s="9">
        <f>AF378-AF376-AF375-AF371-AF370</f>
        <v>41.400000000000006</v>
      </c>
      <c r="AH369" s="117">
        <v>25</v>
      </c>
      <c r="AI369" s="117"/>
      <c r="AJ369" s="117"/>
      <c r="AK369" s="117"/>
      <c r="AL369" s="9">
        <f>Div!I75</f>
        <v>0</v>
      </c>
      <c r="AM369" s="117"/>
      <c r="AN369" s="117"/>
      <c r="AO369" s="117"/>
      <c r="AP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row>
    <row r="370" spans="4:72">
      <c r="D370" t="str">
        <f t="shared" si="257"/>
        <v>CA ex-Amnet (incs MFS)</v>
      </c>
      <c r="O370" s="5"/>
      <c r="R370" s="18"/>
      <c r="S370" s="29"/>
      <c r="T370" s="29"/>
      <c r="U370" s="29"/>
      <c r="V370" s="29"/>
      <c r="AD370" s="9">
        <f>0.25*$AD$378</f>
        <v>94.5</v>
      </c>
      <c r="AE370" s="9">
        <f>0.14*$AE$378</f>
        <v>45.92</v>
      </c>
      <c r="AF370" s="9">
        <f>0.19*$AF$378</f>
        <v>87.4</v>
      </c>
      <c r="AH370" s="117">
        <v>27</v>
      </c>
      <c r="AI370" s="117">
        <v>20</v>
      </c>
      <c r="AJ370" s="117">
        <v>23</v>
      </c>
      <c r="AK370" s="117">
        <v>45</v>
      </c>
      <c r="AL370" s="9">
        <f>Div!I76</f>
        <v>176</v>
      </c>
      <c r="AM370" s="117">
        <v>23</v>
      </c>
      <c r="AN370" s="117">
        <v>30</v>
      </c>
      <c r="AO370" s="117">
        <v>40</v>
      </c>
      <c r="AP370" s="117">
        <v>57</v>
      </c>
      <c r="AQ370" s="31">
        <f>Div!J76</f>
        <v>158</v>
      </c>
      <c r="AR370" s="397">
        <f>AR372-AR371</f>
        <v>11</v>
      </c>
      <c r="AS370" s="397">
        <f>AS372-AS371</f>
        <v>25</v>
      </c>
      <c r="AT370" s="397">
        <f>AT372-AT371</f>
        <v>51</v>
      </c>
      <c r="AU370" s="397">
        <f>AU372-AU371</f>
        <v>75</v>
      </c>
      <c r="AV370" s="117"/>
      <c r="AW370" s="397"/>
      <c r="AX370" s="397"/>
      <c r="AY370" s="397"/>
      <c r="AZ370" s="397"/>
      <c r="BA370" s="117"/>
      <c r="BB370" s="397"/>
      <c r="BC370" s="397"/>
      <c r="BD370" s="397"/>
      <c r="BE370" s="397"/>
      <c r="BF370" s="117"/>
      <c r="BG370" s="117"/>
      <c r="BH370" s="117"/>
      <c r="BI370" s="117"/>
      <c r="BJ370" s="117"/>
      <c r="BK370" s="397"/>
      <c r="BL370" s="397"/>
      <c r="BM370" s="397"/>
      <c r="BN370" s="397"/>
      <c r="BO370" s="397"/>
      <c r="BP370" s="397"/>
      <c r="BQ370" s="397"/>
      <c r="BR370" s="397"/>
      <c r="BS370" s="397"/>
      <c r="BT370" s="397"/>
    </row>
    <row r="371" spans="4:72">
      <c r="D371" t="str">
        <f t="shared" si="257"/>
        <v>Cable</v>
      </c>
      <c r="O371" s="5"/>
      <c r="R371" s="18"/>
      <c r="S371" s="29"/>
      <c r="T371" s="29"/>
      <c r="U371" s="29"/>
      <c r="V371" s="29"/>
      <c r="AF371" s="9">
        <f>0.02*$AF$378</f>
        <v>9.2000000000000011</v>
      </c>
      <c r="AH371" s="117">
        <v>14</v>
      </c>
      <c r="AI371" s="117">
        <v>20</v>
      </c>
      <c r="AJ371" s="117">
        <v>6</v>
      </c>
      <c r="AK371" s="397">
        <f>AK378-AK370-AK375-AK376</f>
        <v>18</v>
      </c>
      <c r="AL371" s="9">
        <f>Div!I81</f>
        <v>0</v>
      </c>
      <c r="AM371" s="397">
        <v>10</v>
      </c>
      <c r="AN371" s="397">
        <v>15</v>
      </c>
      <c r="AO371" s="397">
        <v>15</v>
      </c>
      <c r="AP371" s="397">
        <v>26</v>
      </c>
      <c r="AQ371" s="31">
        <f>Div!J81</f>
        <v>0</v>
      </c>
      <c r="AR371" s="534">
        <v>15</v>
      </c>
      <c r="AS371" s="534">
        <v>15</v>
      </c>
      <c r="AT371" s="534">
        <v>15</v>
      </c>
      <c r="AU371" s="534">
        <v>15</v>
      </c>
      <c r="AV371" s="397"/>
      <c r="AW371" s="534"/>
      <c r="AX371" s="534"/>
      <c r="AY371" s="534"/>
      <c r="AZ371" s="534"/>
      <c r="BA371" s="397"/>
      <c r="BB371" s="534"/>
      <c r="BC371" s="534"/>
      <c r="BD371" s="534"/>
      <c r="BE371" s="534"/>
      <c r="BF371" s="397"/>
      <c r="BG371" s="397"/>
      <c r="BH371" s="397"/>
      <c r="BI371" s="397"/>
      <c r="BJ371" s="397"/>
      <c r="BK371" s="534"/>
      <c r="BL371" s="534"/>
      <c r="BM371" s="534"/>
      <c r="BN371" s="534"/>
      <c r="BO371" s="534"/>
      <c r="BP371" s="534"/>
      <c r="BQ371" s="534"/>
      <c r="BR371" s="534"/>
      <c r="BS371" s="534"/>
      <c r="BT371" s="534"/>
    </row>
    <row r="372" spans="4:72">
      <c r="D372" t="str">
        <f t="shared" si="257"/>
        <v>Central America</v>
      </c>
      <c r="O372" s="5"/>
      <c r="R372" s="18"/>
      <c r="S372" s="29"/>
      <c r="T372" s="29"/>
      <c r="U372" s="29"/>
      <c r="V372" s="29"/>
      <c r="AH372" s="117"/>
      <c r="AI372" s="117"/>
      <c r="AJ372" s="117"/>
      <c r="AK372" s="117"/>
      <c r="AM372" s="117"/>
      <c r="AN372" s="117"/>
      <c r="AO372" s="117"/>
      <c r="AP372" s="117">
        <v>82</v>
      </c>
      <c r="AR372" s="117">
        <v>26</v>
      </c>
      <c r="AS372" s="117">
        <v>40</v>
      </c>
      <c r="AT372" s="117">
        <v>66</v>
      </c>
      <c r="AU372" s="117">
        <v>90</v>
      </c>
      <c r="AV372" s="117"/>
      <c r="AW372" s="117"/>
      <c r="AX372" s="117"/>
      <c r="AY372" s="117"/>
      <c r="AZ372" s="117">
        <v>131</v>
      </c>
      <c r="BA372" s="117"/>
      <c r="BB372" s="117">
        <v>46</v>
      </c>
      <c r="BC372" s="117">
        <v>63</v>
      </c>
      <c r="BD372" s="117">
        <v>74</v>
      </c>
      <c r="BE372" s="117">
        <f>101-12</f>
        <v>89</v>
      </c>
      <c r="BF372" s="117"/>
      <c r="BG372" s="117">
        <v>54</v>
      </c>
      <c r="BH372" s="117">
        <v>124</v>
      </c>
      <c r="BI372" s="117">
        <v>107</v>
      </c>
      <c r="BJ372" s="117">
        <v>147</v>
      </c>
      <c r="BK372" s="117"/>
      <c r="BL372" s="117">
        <v>63</v>
      </c>
      <c r="BM372" s="117">
        <v>84</v>
      </c>
      <c r="BN372" s="117">
        <v>93</v>
      </c>
      <c r="BO372" s="117">
        <v>128</v>
      </c>
      <c r="BP372" s="117"/>
      <c r="BQ372" s="117">
        <v>87</v>
      </c>
      <c r="BR372" s="117">
        <v>77</v>
      </c>
      <c r="BS372" s="117">
        <v>67</v>
      </c>
      <c r="BT372" s="397">
        <f>Div!P76-BQ372-BR372-BS372</f>
        <v>134.84716988163984</v>
      </c>
    </row>
    <row r="373" spans="4:72">
      <c r="D373" t="str">
        <f t="shared" si="257"/>
        <v>Colombia</v>
      </c>
      <c r="O373" s="5"/>
      <c r="R373" s="18"/>
      <c r="S373" s="29"/>
      <c r="T373" s="29"/>
      <c r="U373" s="29"/>
      <c r="V373" s="29"/>
      <c r="AH373" s="117"/>
      <c r="AI373" s="117"/>
      <c r="AJ373" s="117"/>
      <c r="AK373" s="117"/>
      <c r="AL373" s="9"/>
      <c r="AM373" s="117"/>
      <c r="AN373" s="117"/>
      <c r="AO373" s="117"/>
      <c r="AP373" s="117"/>
      <c r="AQ373" s="31">
        <f>Div!J77</f>
        <v>133</v>
      </c>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row>
    <row r="374" spans="4:72">
      <c r="D374" t="str">
        <f t="shared" si="257"/>
        <v>SA ex Col, inc MFS</v>
      </c>
      <c r="O374" s="5"/>
      <c r="R374" s="18"/>
      <c r="S374" s="29"/>
      <c r="T374" s="29"/>
      <c r="U374" s="29"/>
      <c r="V374" s="29"/>
      <c r="AH374" s="117"/>
      <c r="AI374" s="117"/>
      <c r="AJ374" s="117"/>
      <c r="AK374" s="117"/>
      <c r="AL374" s="9">
        <f>Div!I79</f>
        <v>81.697961717475025</v>
      </c>
      <c r="AM374" s="117"/>
      <c r="AN374" s="117"/>
      <c r="AO374" s="117"/>
      <c r="AP374" s="117"/>
      <c r="AQ374" s="31">
        <f>Div!J79</f>
        <v>111</v>
      </c>
      <c r="AR374" s="117"/>
      <c r="AS374" s="117"/>
      <c r="AT374" s="117"/>
      <c r="AU374" s="117"/>
      <c r="AV374" s="117"/>
      <c r="AW374" s="117"/>
      <c r="AX374" s="117"/>
      <c r="AY374" s="117"/>
      <c r="AZ374" s="117">
        <v>136</v>
      </c>
      <c r="BA374" s="117"/>
      <c r="BB374" s="711">
        <f>115-70</f>
        <v>45</v>
      </c>
      <c r="BC374" s="711">
        <f>46-15</f>
        <v>31</v>
      </c>
      <c r="BD374" s="711">
        <f>130-42</f>
        <v>88</v>
      </c>
      <c r="BE374" s="711">
        <f>296-52</f>
        <v>244</v>
      </c>
      <c r="BF374" s="117"/>
      <c r="BG374" s="117">
        <v>70</v>
      </c>
      <c r="BH374" s="117">
        <v>105</v>
      </c>
      <c r="BI374" s="117">
        <v>132</v>
      </c>
      <c r="BJ374" s="117">
        <v>193</v>
      </c>
      <c r="BK374" s="117"/>
      <c r="BL374" s="117">
        <v>96</v>
      </c>
      <c r="BM374" s="117">
        <v>152</v>
      </c>
      <c r="BN374" s="117">
        <v>187</v>
      </c>
      <c r="BO374" s="117">
        <v>241</v>
      </c>
      <c r="BP374" s="117"/>
      <c r="BQ374" s="117">
        <v>79</v>
      </c>
      <c r="BR374" s="117">
        <v>120</v>
      </c>
      <c r="BS374" s="117">
        <v>111</v>
      </c>
      <c r="BT374" s="397">
        <f ca="1">(Div!P77+Div!P78+Div!P79)-BQ374-BR374-BS374</f>
        <v>229.08674172540782</v>
      </c>
    </row>
    <row r="375" spans="4:72">
      <c r="D375" t="str">
        <f t="shared" si="257"/>
        <v>SA inc Colombia</v>
      </c>
      <c r="O375" s="5"/>
      <c r="R375" s="18"/>
      <c r="S375" s="29"/>
      <c r="T375" s="29"/>
      <c r="U375" s="29"/>
      <c r="V375" s="29"/>
      <c r="AD375" s="9">
        <f>0.28*$AE$378</f>
        <v>91.84</v>
      </c>
      <c r="AE375" s="9">
        <f>0.27*$AE$378</f>
        <v>88.56</v>
      </c>
      <c r="AF375" s="9">
        <f>0.22*$AF$378</f>
        <v>101.2</v>
      </c>
      <c r="AG375">
        <v>100</v>
      </c>
      <c r="AH375" s="117">
        <v>37</v>
      </c>
      <c r="AI375" s="117">
        <v>45</v>
      </c>
      <c r="AJ375" s="117">
        <v>29</v>
      </c>
      <c r="AK375" s="117">
        <v>52</v>
      </c>
      <c r="AL375" s="9">
        <f>AL374+Div!I77</f>
        <v>163</v>
      </c>
      <c r="AM375" s="117">
        <v>22</v>
      </c>
      <c r="AN375" s="117">
        <v>42</v>
      </c>
      <c r="AO375" s="117">
        <v>68</v>
      </c>
      <c r="AP375" s="117">
        <v>112</v>
      </c>
      <c r="AQ375" s="9">
        <f>AQ373+AQ374</f>
        <v>244</v>
      </c>
      <c r="AR375" s="117">
        <v>28</v>
      </c>
      <c r="AS375" s="117">
        <v>62</v>
      </c>
      <c r="AT375" s="117">
        <v>74</v>
      </c>
      <c r="AU375" s="117">
        <v>160</v>
      </c>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row>
    <row r="376" spans="4:72">
      <c r="D376" s="21" t="str">
        <f t="shared" si="257"/>
        <v>Africa</v>
      </c>
      <c r="E376" s="21"/>
      <c r="F376" s="21"/>
      <c r="G376" s="21"/>
      <c r="H376" s="21"/>
      <c r="I376" s="21"/>
      <c r="J376" s="21"/>
      <c r="K376" s="21"/>
      <c r="L376" s="21"/>
      <c r="M376" s="21"/>
      <c r="N376" s="21"/>
      <c r="O376" s="5"/>
      <c r="P376" s="21"/>
      <c r="Q376" s="21"/>
      <c r="R376" s="18"/>
      <c r="S376" s="29"/>
      <c r="T376" s="29"/>
      <c r="U376" s="29"/>
      <c r="V376" s="29"/>
      <c r="W376" s="21"/>
      <c r="X376" s="21"/>
      <c r="Y376" s="21"/>
      <c r="Z376" s="21"/>
      <c r="AA376" s="21"/>
      <c r="AB376" s="21"/>
      <c r="AC376" s="21"/>
      <c r="AD376" s="9">
        <f>0.38*$AE$378</f>
        <v>124.64</v>
      </c>
      <c r="AE376" s="9">
        <f>0.48*$AE$378</f>
        <v>157.44</v>
      </c>
      <c r="AF376" s="9">
        <f>0.48*$AF$378</f>
        <v>220.79999999999998</v>
      </c>
      <c r="AG376" s="21">
        <v>224</v>
      </c>
      <c r="AH376" s="117">
        <v>107</v>
      </c>
      <c r="AI376" s="117">
        <v>72</v>
      </c>
      <c r="AJ376" s="117">
        <v>82</v>
      </c>
      <c r="AK376" s="117">
        <v>137</v>
      </c>
      <c r="AL376" s="9">
        <f>Div!I80</f>
        <v>398</v>
      </c>
      <c r="AM376" s="117">
        <v>43</v>
      </c>
      <c r="AN376" s="117">
        <v>42</v>
      </c>
      <c r="AO376" s="117">
        <v>73</v>
      </c>
      <c r="AP376" s="117">
        <v>78</v>
      </c>
      <c r="AQ376" s="31">
        <f>Div!J80</f>
        <v>236</v>
      </c>
      <c r="AR376" s="117">
        <v>26</v>
      </c>
      <c r="AS376" s="397">
        <v>46</v>
      </c>
      <c r="AT376" s="397">
        <v>76</v>
      </c>
      <c r="AU376" s="397">
        <v>145</v>
      </c>
      <c r="AV376" s="117"/>
      <c r="AW376" s="397"/>
      <c r="AX376" s="397"/>
      <c r="AY376" s="397"/>
      <c r="AZ376" s="534">
        <f>223+11-103</f>
        <v>131</v>
      </c>
      <c r="BA376" s="117"/>
      <c r="BB376" s="397">
        <v>31</v>
      </c>
      <c r="BC376" s="397">
        <v>42</v>
      </c>
      <c r="BD376" s="397">
        <v>105</v>
      </c>
      <c r="BE376" s="397">
        <v>155</v>
      </c>
      <c r="BF376" s="117"/>
      <c r="BG376" s="117">
        <v>38</v>
      </c>
      <c r="BH376" s="117">
        <v>127</v>
      </c>
      <c r="BI376" s="117">
        <v>80</v>
      </c>
      <c r="BJ376" s="117">
        <v>116</v>
      </c>
      <c r="BK376" s="397"/>
      <c r="BL376" s="397">
        <v>28</v>
      </c>
      <c r="BM376" s="397">
        <v>54</v>
      </c>
      <c r="BN376" s="397">
        <v>66</v>
      </c>
      <c r="BO376" s="397">
        <v>94</v>
      </c>
      <c r="BP376" s="397"/>
      <c r="BQ376" s="397">
        <v>28</v>
      </c>
      <c r="BR376" s="397">
        <v>24</v>
      </c>
      <c r="BS376" s="397">
        <v>35</v>
      </c>
      <c r="BT376" s="397">
        <f ca="1">Africa!Q178-BQ376-BR376-BS376</f>
        <v>90.185654055686314</v>
      </c>
    </row>
    <row r="377" spans="4:72">
      <c r="D377" s="12" t="s">
        <v>2638</v>
      </c>
      <c r="E377" s="11"/>
      <c r="F377" s="11"/>
      <c r="G377" s="11"/>
      <c r="H377" s="11"/>
      <c r="I377" s="11"/>
      <c r="J377" s="11"/>
      <c r="K377" s="11"/>
      <c r="L377" s="11"/>
      <c r="M377" s="11"/>
      <c r="N377" s="11"/>
      <c r="O377" s="17"/>
      <c r="P377" s="11"/>
      <c r="Q377" s="11"/>
      <c r="R377" s="167"/>
      <c r="S377" s="150"/>
      <c r="T377" s="150"/>
      <c r="U377" s="150"/>
      <c r="V377" s="150"/>
      <c r="W377" s="11"/>
      <c r="X377" s="11"/>
      <c r="Y377" s="11"/>
      <c r="Z377" s="11"/>
      <c r="AA377" s="11"/>
      <c r="AB377" s="11"/>
      <c r="AC377" s="11"/>
      <c r="AD377" s="13"/>
      <c r="AE377" s="13"/>
      <c r="AF377" s="13"/>
      <c r="AG377" s="11"/>
      <c r="AH377" s="324"/>
      <c r="AI377" s="324"/>
      <c r="AJ377" s="324"/>
      <c r="AK377" s="324"/>
      <c r="AL377" s="13"/>
      <c r="AM377" s="324"/>
      <c r="AN377" s="324"/>
      <c r="AO377" s="324"/>
      <c r="AP377" s="324"/>
      <c r="AQ377" s="93"/>
      <c r="AR377" s="324"/>
      <c r="AS377" s="447"/>
      <c r="AT377" s="447"/>
      <c r="AU377" s="447"/>
      <c r="AV377" s="324"/>
      <c r="AW377" s="447"/>
      <c r="AX377" s="447"/>
      <c r="AY377" s="447"/>
      <c r="AZ377" s="447"/>
      <c r="BA377" s="324"/>
      <c r="BB377" s="447">
        <v>1</v>
      </c>
      <c r="BC377" s="447">
        <v>3</v>
      </c>
      <c r="BD377" s="447">
        <v>6</v>
      </c>
      <c r="BE377" s="447">
        <f>564-(155+296+101)</f>
        <v>12</v>
      </c>
      <c r="BF377" s="324"/>
      <c r="BG377" s="324"/>
      <c r="BH377" s="324"/>
      <c r="BI377" s="324"/>
      <c r="BJ377" s="324"/>
      <c r="BK377" s="447"/>
      <c r="BL377" s="447"/>
      <c r="BM377" s="447"/>
      <c r="BN377" s="447"/>
      <c r="BO377" s="447"/>
      <c r="BP377" s="397"/>
      <c r="BQ377" s="447"/>
      <c r="BR377" s="447"/>
      <c r="BS377" s="447"/>
      <c r="BT377" s="447"/>
    </row>
    <row r="378" spans="4:72">
      <c r="D378" s="2" t="s">
        <v>1545</v>
      </c>
      <c r="E378" s="2"/>
      <c r="F378" s="2"/>
      <c r="G378" s="2"/>
      <c r="H378" s="2"/>
      <c r="I378" s="2"/>
      <c r="J378" s="2"/>
      <c r="K378" s="2">
        <f>103.3-L378</f>
        <v>61.3</v>
      </c>
      <c r="L378" s="15">
        <v>42</v>
      </c>
      <c r="M378" s="2">
        <f>160.2-L378-K378</f>
        <v>56.899999999999991</v>
      </c>
      <c r="N378" s="15">
        <f>237-M378-L378-K378</f>
        <v>76.800000000000026</v>
      </c>
      <c r="O378" s="10">
        <f>93.1-P378</f>
        <v>49.899999999999991</v>
      </c>
      <c r="P378" s="10">
        <v>43.2</v>
      </c>
      <c r="Q378" s="10">
        <v>91.7</v>
      </c>
      <c r="R378" s="10">
        <f>354-Q378-P378-O378</f>
        <v>169.20000000000005</v>
      </c>
      <c r="S378" s="2">
        <v>95</v>
      </c>
      <c r="T378" s="2">
        <v>146</v>
      </c>
      <c r="U378" s="2">
        <v>188</v>
      </c>
      <c r="V378" s="2">
        <v>247</v>
      </c>
      <c r="W378" s="2"/>
      <c r="X378" s="2">
        <v>184</v>
      </c>
      <c r="Y378" s="2">
        <v>208</v>
      </c>
      <c r="Z378" s="2">
        <v>346</v>
      </c>
      <c r="AA378" s="10">
        <f>AB378-X378-Y378-Z378</f>
        <v>318</v>
      </c>
      <c r="AB378" s="10">
        <f>Div!G83</f>
        <v>1056</v>
      </c>
      <c r="AC378" s="2">
        <v>265</v>
      </c>
      <c r="AD378" s="2">
        <v>378</v>
      </c>
      <c r="AE378" s="2">
        <v>328</v>
      </c>
      <c r="AF378" s="10">
        <f>AG378-AC378-AD378-AE378</f>
        <v>460</v>
      </c>
      <c r="AG378" s="10">
        <f>Div!H83</f>
        <v>1431</v>
      </c>
      <c r="AH378" s="10">
        <f>AH370+AH371+AH375+AH376</f>
        <v>185</v>
      </c>
      <c r="AI378" s="10">
        <v>157</v>
      </c>
      <c r="AJ378" s="10">
        <v>141</v>
      </c>
      <c r="AK378" s="10">
        <v>252</v>
      </c>
      <c r="AL378" s="10">
        <f>Div!I83</f>
        <v>737</v>
      </c>
      <c r="AM378" s="10">
        <f>AM370+AM371+AM375+AM376</f>
        <v>98</v>
      </c>
      <c r="AN378" s="10">
        <v>129</v>
      </c>
      <c r="AO378" s="10">
        <v>196</v>
      </c>
      <c r="AP378" s="10">
        <f>AP370+AP371+AP375+AP376</f>
        <v>273</v>
      </c>
      <c r="AQ378" s="10">
        <f>Div!J83</f>
        <v>688</v>
      </c>
      <c r="AR378" s="10">
        <f>AR372+AR375+AR376</f>
        <v>80</v>
      </c>
      <c r="AS378" s="10">
        <f>AS372+AS375+AS376</f>
        <v>148</v>
      </c>
      <c r="AT378" s="10">
        <f>AT372+AT375+AT376</f>
        <v>216</v>
      </c>
      <c r="AU378" s="10">
        <f>AU372+AU375+AU376</f>
        <v>395</v>
      </c>
      <c r="AV378" s="10">
        <f>Div!K83</f>
        <v>804</v>
      </c>
      <c r="AW378" s="10">
        <v>172</v>
      </c>
      <c r="AX378" s="10">
        <v>264</v>
      </c>
      <c r="AY378" s="10">
        <v>183</v>
      </c>
      <c r="AZ378" s="10">
        <f>501-103</f>
        <v>398</v>
      </c>
      <c r="BA378" s="10">
        <f>Div!L83</f>
        <v>922</v>
      </c>
      <c r="BB378" s="10">
        <f>BB372+BB374+BB376+BB377</f>
        <v>123</v>
      </c>
      <c r="BC378" s="10">
        <f>BC372+BC374+BC376+BC377</f>
        <v>139</v>
      </c>
      <c r="BD378" s="10">
        <f>BD372+BD374+BD376+BD377</f>
        <v>273</v>
      </c>
      <c r="BE378" s="10">
        <f>564-52</f>
        <v>512</v>
      </c>
      <c r="BF378" s="10">
        <f>Div!M83</f>
        <v>1083</v>
      </c>
      <c r="BG378" s="10">
        <f>BG372+BG374+BG376</f>
        <v>162</v>
      </c>
      <c r="BH378" s="10">
        <v>356</v>
      </c>
      <c r="BI378" s="10">
        <f>BI372+BI374+BI376</f>
        <v>319</v>
      </c>
      <c r="BJ378" s="10">
        <f>BJ372+BJ374+BJ376</f>
        <v>456</v>
      </c>
      <c r="BK378" s="10"/>
      <c r="BL378" s="10">
        <f>BL372+BL374+BL376</f>
        <v>187</v>
      </c>
      <c r="BM378" s="10">
        <f>BM372+BM374+BM376</f>
        <v>290</v>
      </c>
      <c r="BN378" s="10">
        <f>BN372+BN374+BN376</f>
        <v>346</v>
      </c>
      <c r="BO378" s="10">
        <f>BO372+BO374+BO376</f>
        <v>463</v>
      </c>
      <c r="BP378" s="10"/>
      <c r="BQ378" s="10">
        <f>BQ372+BQ374+BQ376</f>
        <v>194</v>
      </c>
      <c r="BR378" s="10">
        <f>BR372+BR374+BR376</f>
        <v>221</v>
      </c>
      <c r="BS378" s="10">
        <v>214</v>
      </c>
      <c r="BT378" s="10">
        <f ca="1">Div!P83-BQ378-BR378-BS378</f>
        <v>453.1195656627342</v>
      </c>
    </row>
    <row r="379" spans="4:72">
      <c r="D379" s="4" t="s">
        <v>3605</v>
      </c>
      <c r="E379" s="2"/>
      <c r="F379" s="2"/>
      <c r="G379" s="2"/>
      <c r="H379" s="2"/>
      <c r="I379" s="2"/>
      <c r="J379" s="2"/>
      <c r="K379" s="2"/>
      <c r="L379" s="15"/>
      <c r="M379" s="2"/>
      <c r="N379" s="15"/>
      <c r="O379" s="10"/>
      <c r="P379" s="10"/>
      <c r="Q379" s="10"/>
      <c r="R379" s="10"/>
      <c r="S379" s="2"/>
      <c r="T379" s="2"/>
      <c r="U379" s="2"/>
      <c r="V379" s="2"/>
      <c r="W379" s="2"/>
      <c r="X379" s="2"/>
      <c r="Y379" s="2"/>
      <c r="Z379" s="2"/>
      <c r="AA379" s="10"/>
      <c r="AB379" s="10"/>
      <c r="AC379" s="2"/>
      <c r="AD379" s="2"/>
      <c r="AE379" s="2"/>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31">
        <v>25</v>
      </c>
      <c r="BJ379" s="31">
        <v>64</v>
      </c>
      <c r="BK379" s="10"/>
      <c r="BL379" s="31">
        <v>28</v>
      </c>
      <c r="BM379" s="31">
        <v>54</v>
      </c>
      <c r="BN379" s="31">
        <v>87</v>
      </c>
      <c r="BO379" s="31">
        <f>Colombia!L255-BL379-BM379-BN379</f>
        <v>101.71529491525428</v>
      </c>
      <c r="BP379" s="10"/>
      <c r="BQ379" s="10"/>
      <c r="BR379" s="10"/>
      <c r="BS379" s="10"/>
      <c r="BT379" s="10"/>
    </row>
    <row r="380" spans="4:72">
      <c r="D380" s="12" t="s">
        <v>3934</v>
      </c>
      <c r="E380" s="23"/>
      <c r="F380" s="23"/>
      <c r="G380" s="23"/>
      <c r="H380" s="23"/>
      <c r="I380" s="23"/>
      <c r="J380" s="23"/>
      <c r="K380" s="23"/>
      <c r="L380" s="995"/>
      <c r="M380" s="23"/>
      <c r="N380" s="995"/>
      <c r="O380" s="218"/>
      <c r="P380" s="218"/>
      <c r="Q380" s="218"/>
      <c r="R380" s="218"/>
      <c r="S380" s="23"/>
      <c r="T380" s="23"/>
      <c r="U380" s="23"/>
      <c r="V380" s="23"/>
      <c r="W380" s="23"/>
      <c r="X380" s="23"/>
      <c r="Y380" s="23"/>
      <c r="Z380" s="23"/>
      <c r="AA380" s="218"/>
      <c r="AB380" s="218"/>
      <c r="AC380" s="23"/>
      <c r="AD380" s="23"/>
      <c r="AE380" s="23"/>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93"/>
      <c r="BJ380" s="93"/>
      <c r="BK380" s="218"/>
      <c r="BL380" s="93">
        <f>BL381-BL379</f>
        <v>20</v>
      </c>
      <c r="BM380" s="93">
        <f>BM381-BM379</f>
        <v>42</v>
      </c>
      <c r="BN380" s="93">
        <f>BN381-BN379</f>
        <v>33</v>
      </c>
      <c r="BO380" s="93">
        <f ca="1">Colombia!L62-BL380-BM380-BN380</f>
        <v>64.933845632333771</v>
      </c>
      <c r="BP380" s="10"/>
      <c r="BQ380" s="10"/>
      <c r="BR380" s="10"/>
      <c r="BS380" s="10"/>
      <c r="BT380" s="10"/>
    </row>
    <row r="381" spans="4:72">
      <c r="D381" s="4" t="s">
        <v>3933</v>
      </c>
      <c r="E381" s="2"/>
      <c r="F381" s="2"/>
      <c r="G381" s="2"/>
      <c r="H381" s="2"/>
      <c r="I381" s="2"/>
      <c r="J381" s="2"/>
      <c r="K381" s="2"/>
      <c r="L381" s="15"/>
      <c r="M381" s="2"/>
      <c r="N381" s="15"/>
      <c r="O381" s="10"/>
      <c r="P381" s="10"/>
      <c r="Q381" s="10"/>
      <c r="R381" s="10"/>
      <c r="S381" s="2"/>
      <c r="T381" s="2"/>
      <c r="U381" s="2"/>
      <c r="V381" s="2"/>
      <c r="W381" s="2"/>
      <c r="X381" s="2"/>
      <c r="Y381" s="2"/>
      <c r="Z381" s="2"/>
      <c r="AA381" s="10"/>
      <c r="AB381" s="10"/>
      <c r="AC381" s="2"/>
      <c r="AD381" s="2"/>
      <c r="AE381" s="2"/>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31"/>
      <c r="BJ381" s="31"/>
      <c r="BK381" s="10"/>
      <c r="BL381" s="31">
        <v>48</v>
      </c>
      <c r="BM381" s="31">
        <v>96</v>
      </c>
      <c r="BN381" s="31">
        <v>120</v>
      </c>
      <c r="BO381" s="31">
        <f ca="1">BO379+BO380</f>
        <v>166.64914054758805</v>
      </c>
      <c r="BP381" s="10"/>
      <c r="BQ381" s="10"/>
      <c r="BR381" s="10"/>
      <c r="BS381" s="10"/>
      <c r="BT381" s="10"/>
    </row>
    <row r="382" spans="4:72">
      <c r="D382" s="4" t="s">
        <v>3935</v>
      </c>
      <c r="E382" s="2"/>
      <c r="F382" s="2"/>
      <c r="G382" s="2"/>
      <c r="H382" s="2"/>
      <c r="I382" s="2"/>
      <c r="J382" s="2"/>
      <c r="K382" s="2"/>
      <c r="L382" s="15"/>
      <c r="M382" s="2"/>
      <c r="N382" s="15"/>
      <c r="O382" s="10"/>
      <c r="P382" s="10"/>
      <c r="Q382" s="10"/>
      <c r="R382" s="10"/>
      <c r="S382" s="2"/>
      <c r="T382" s="2"/>
      <c r="U382" s="2"/>
      <c r="V382" s="2"/>
      <c r="W382" s="2"/>
      <c r="X382" s="2"/>
      <c r="Y382" s="2"/>
      <c r="Z382" s="2"/>
      <c r="AA382" s="10"/>
      <c r="AB382" s="10"/>
      <c r="AC382" s="2"/>
      <c r="AD382" s="2"/>
      <c r="AE382" s="2"/>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31"/>
      <c r="BJ382" s="31"/>
      <c r="BK382" s="10"/>
      <c r="BL382" s="31">
        <f>BL374-BL381</f>
        <v>48</v>
      </c>
      <c r="BM382" s="31">
        <f>BM374-BM381</f>
        <v>56</v>
      </c>
      <c r="BN382" s="31">
        <f>BN374-BN381</f>
        <v>67</v>
      </c>
      <c r="BO382" s="31">
        <f ca="1">BO374-BO381</f>
        <v>74.350859452411953</v>
      </c>
      <c r="BP382" s="10"/>
      <c r="BQ382" s="10"/>
      <c r="BR382" s="10"/>
      <c r="BS382" s="10"/>
      <c r="BT382" s="10"/>
    </row>
    <row r="383" spans="4:72">
      <c r="M383" t="s">
        <v>1823</v>
      </c>
      <c r="AU383" s="456">
        <f>SUM(AR378:AU378)/SUM(AR3:AU3)</f>
        <v>0.18516777436280438</v>
      </c>
      <c r="AW383" s="456"/>
      <c r="AX383" s="456"/>
      <c r="AY383" s="456"/>
      <c r="AZ383" s="456">
        <f>SUM(AW378:AZ378)/SUM(AW242:AZ242)</f>
        <v>0.21121495327102804</v>
      </c>
      <c r="BB383" s="456"/>
      <c r="BC383" s="456"/>
      <c r="BD383" s="456"/>
      <c r="BE383" s="456"/>
      <c r="BJ383" s="454"/>
      <c r="BK383" s="456"/>
      <c r="BL383" s="456"/>
      <c r="BM383" s="456"/>
      <c r="BN383" s="456"/>
      <c r="BO383" s="456"/>
      <c r="BP383" s="456"/>
      <c r="BQ383" s="456"/>
      <c r="BR383" s="456"/>
      <c r="BS383" s="456"/>
      <c r="BT383" s="456"/>
    </row>
    <row r="384" spans="4:72">
      <c r="D384" t="str">
        <f>D324</f>
        <v>Asia</v>
      </c>
      <c r="AD384" s="16">
        <f>AD369/AD212</f>
        <v>1.0142558794152365</v>
      </c>
      <c r="AE384" s="16">
        <f>AE369/AE212</f>
        <v>0.5410025340750626</v>
      </c>
      <c r="AF384" s="16">
        <f>AF369/AF212</f>
        <v>0.63692307692307704</v>
      </c>
      <c r="AH384" s="16">
        <f>AH369/AH212</f>
        <v>0.37037037037037035</v>
      </c>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row>
    <row r="385" spans="4:105">
      <c r="D385" t="s">
        <v>215</v>
      </c>
      <c r="AD385" s="16">
        <f>AD370/AD217</f>
        <v>0.27628428337119454</v>
      </c>
      <c r="AE385" s="16">
        <f>AE370/AE217</f>
        <v>0.13514905539875152</v>
      </c>
      <c r="AF385" s="16">
        <f>AF370/AF217</f>
        <v>0.24619718309859157</v>
      </c>
      <c r="AH385" s="16">
        <f t="shared" ref="AH385:AU385" si="258">AH370/AH217</f>
        <v>7.1211524278709262E-2</v>
      </c>
      <c r="AI385" s="16">
        <f t="shared" si="258"/>
        <v>5.197875790419311E-2</v>
      </c>
      <c r="AJ385" s="16">
        <f t="shared" si="258"/>
        <v>6.1309603032122746E-2</v>
      </c>
      <c r="AK385" s="16">
        <f t="shared" si="258"/>
        <v>0.11804202217823362</v>
      </c>
      <c r="AL385" s="16">
        <f t="shared" si="258"/>
        <v>0.11576738666441971</v>
      </c>
      <c r="AM385" s="16">
        <f t="shared" si="258"/>
        <v>6.1929985043679026E-2</v>
      </c>
      <c r="AN385" s="16">
        <f t="shared" si="258"/>
        <v>7.895046435392894E-2</v>
      </c>
      <c r="AO385" s="16">
        <f t="shared" si="258"/>
        <v>0.10641948966533732</v>
      </c>
      <c r="AP385" s="16">
        <f t="shared" si="258"/>
        <v>0.14545825730800147</v>
      </c>
      <c r="AQ385" s="16">
        <f t="shared" si="258"/>
        <v>0.1040083886089478</v>
      </c>
      <c r="AR385" s="16">
        <f t="shared" si="258"/>
        <v>2.7786338215308758E-2</v>
      </c>
      <c r="AS385" s="16">
        <f t="shared" si="258"/>
        <v>6.3067608476286577E-2</v>
      </c>
      <c r="AT385" s="16">
        <f t="shared" si="258"/>
        <v>0.12805029614769473</v>
      </c>
      <c r="AU385" s="16">
        <f t="shared" si="258"/>
        <v>0.18248175182481752</v>
      </c>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row>
    <row r="386" spans="4:105">
      <c r="D386" t="s">
        <v>1193</v>
      </c>
      <c r="AD386" s="16"/>
      <c r="AE386" s="16"/>
      <c r="AF386" s="16">
        <f>AF371/AF218</f>
        <v>0.21395348837209305</v>
      </c>
      <c r="AH386" s="16">
        <f t="shared" ref="AH386:AU386" si="259">AH371/AH218</f>
        <v>0.32332563510392615</v>
      </c>
      <c r="AI386" s="16">
        <f t="shared" si="259"/>
        <v>0.39840637450199201</v>
      </c>
      <c r="AJ386" s="16">
        <f t="shared" si="259"/>
        <v>0.11538461538461539</v>
      </c>
      <c r="AK386" s="16">
        <f t="shared" si="259"/>
        <v>0.33834586466165412</v>
      </c>
      <c r="AL386" s="16">
        <f t="shared" si="259"/>
        <v>0</v>
      </c>
      <c r="AM386" s="16">
        <f t="shared" si="259"/>
        <v>0.1855287569573284</v>
      </c>
      <c r="AN386" s="16">
        <f t="shared" si="259"/>
        <v>0.27000756021168593</v>
      </c>
      <c r="AO386" s="16">
        <f t="shared" si="259"/>
        <v>0.26502703275734124</v>
      </c>
      <c r="AP386" s="16">
        <f t="shared" si="259"/>
        <v>0.43768096424483199</v>
      </c>
      <c r="AQ386" s="16">
        <f t="shared" si="259"/>
        <v>0</v>
      </c>
      <c r="AR386" s="16">
        <f t="shared" si="259"/>
        <v>0.25423728813559321</v>
      </c>
      <c r="AS386" s="16">
        <f t="shared" si="259"/>
        <v>0.25</v>
      </c>
      <c r="AT386" s="16">
        <f t="shared" si="259"/>
        <v>0.24193548387096775</v>
      </c>
      <c r="AU386" s="16">
        <f t="shared" si="259"/>
        <v>0.22388059701492538</v>
      </c>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row>
    <row r="387" spans="4:105">
      <c r="D387" t="s">
        <v>371</v>
      </c>
      <c r="AD387" s="16"/>
      <c r="AE387" s="16"/>
      <c r="AF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f>BB372/BB219</f>
        <v>7.7456203568373613E-2</v>
      </c>
      <c r="BC387" s="16">
        <f>BC372/BC219</f>
        <v>0.10494263136152238</v>
      </c>
      <c r="BD387" s="16">
        <f>BD372/BD219</f>
        <v>0.12426657531394103</v>
      </c>
      <c r="BE387" s="16">
        <f>BE372/BE219</f>
        <v>0.14366911549866904</v>
      </c>
      <c r="BF387" s="16"/>
      <c r="BG387" s="16">
        <f>BG372/BG219</f>
        <v>8.9850249584026626E-2</v>
      </c>
      <c r="BH387" s="16">
        <f>BH372/BH219</f>
        <v>0.20327868852459016</v>
      </c>
      <c r="BI387" s="16">
        <f>BI372/BI219</f>
        <v>0.17656765676567657</v>
      </c>
      <c r="BJ387" s="16">
        <f>BJ372/BJ219</f>
        <v>0.2286158631415241</v>
      </c>
      <c r="BK387" s="16"/>
      <c r="BL387" s="16">
        <f>BL372/BL219</f>
        <v>0.10015898251192369</v>
      </c>
      <c r="BM387" s="16">
        <f>BM372/BM219</f>
        <v>0.13270142180094788</v>
      </c>
      <c r="BN387" s="16">
        <f>BN372/BN219</f>
        <v>0.14622641509433962</v>
      </c>
      <c r="BO387" s="16">
        <f>BO372/BO219</f>
        <v>0.19452887537993921</v>
      </c>
      <c r="BP387" s="16"/>
      <c r="BQ387" s="16">
        <f>BQ372/BQ219</f>
        <v>0.13974579116196217</v>
      </c>
      <c r="BR387" s="16">
        <f>BR372/BR219</f>
        <v>0.12399355877616747</v>
      </c>
      <c r="BS387" s="16">
        <f>BS372/BS219</f>
        <v>0.11092715231788079</v>
      </c>
      <c r="BT387" s="16">
        <f>BT372/BT219</f>
        <v>0.22845921802211377</v>
      </c>
    </row>
    <row r="388" spans="4:105">
      <c r="D388" t="s">
        <v>374</v>
      </c>
      <c r="AD388" s="16">
        <f>AD375/AD227</f>
        <v>0.36142681736611781</v>
      </c>
      <c r="AE388" s="16">
        <f>AE375/AE227</f>
        <v>0.32389967010218784</v>
      </c>
      <c r="AF388" s="16">
        <f>AF375/AF227</f>
        <v>0.38923076923076927</v>
      </c>
      <c r="AH388" s="16">
        <f t="shared" ref="AH388:AU388" si="260">AH375/AH227</f>
        <v>0.15626649772991236</v>
      </c>
      <c r="AI388" s="16">
        <f t="shared" si="260"/>
        <v>0.18057784911717498</v>
      </c>
      <c r="AJ388" s="16">
        <f t="shared" si="260"/>
        <v>0.10469314079422383</v>
      </c>
      <c r="AK388" s="16">
        <f t="shared" si="260"/>
        <v>0.16624040920716113</v>
      </c>
      <c r="AL388" s="16">
        <f t="shared" si="260"/>
        <v>0.15151867258488066</v>
      </c>
      <c r="AM388" s="16">
        <f t="shared" si="260"/>
        <v>7.0445084854306755E-2</v>
      </c>
      <c r="AN388" s="16">
        <f t="shared" si="260"/>
        <v>0.12994888677120334</v>
      </c>
      <c r="AO388" s="16">
        <f t="shared" si="260"/>
        <v>0.19125406414886317</v>
      </c>
      <c r="AP388" s="16">
        <f t="shared" si="260"/>
        <v>0.29256493243578591</v>
      </c>
      <c r="AQ388" s="16">
        <f t="shared" si="260"/>
        <v>0.17790189858903516</v>
      </c>
      <c r="AR388" s="16">
        <f t="shared" si="260"/>
        <v>7.2821846553966188E-2</v>
      </c>
      <c r="AS388" s="16">
        <f t="shared" si="260"/>
        <v>0.14593179806805129</v>
      </c>
      <c r="AT388" s="16">
        <f t="shared" si="260"/>
        <v>0.16680980751500724</v>
      </c>
      <c r="AU388" s="16">
        <f t="shared" si="260"/>
        <v>0.35555555555555557</v>
      </c>
      <c r="AV388" s="16"/>
      <c r="AW388" s="16"/>
      <c r="AX388" s="16"/>
      <c r="AY388" s="16"/>
      <c r="AZ388" s="16"/>
      <c r="BA388" s="16"/>
      <c r="BB388" s="16">
        <f>BB374/BB227</f>
        <v>8.5066162570888462E-2</v>
      </c>
      <c r="BC388" s="16">
        <f>BC374/BC227</f>
        <v>5.7889822595704951E-2</v>
      </c>
      <c r="BD388" s="16">
        <f>BD374/BD227</f>
        <v>0.16236162361623616</v>
      </c>
      <c r="BE388" s="16">
        <f>BE374/BE227</f>
        <v>0.4142614601018676</v>
      </c>
      <c r="BF388" s="16"/>
      <c r="BG388" s="16">
        <f>BG374/BG227</f>
        <v>0.125</v>
      </c>
      <c r="BH388" s="16">
        <f>BH374/BH227</f>
        <v>0.17706576728499157</v>
      </c>
      <c r="BI388" s="16">
        <f>BI374/BI227</f>
        <v>0.16296296296296298</v>
      </c>
      <c r="BJ388" s="16">
        <f>BJ374/BJ227</f>
        <v>0.20104166666666667</v>
      </c>
      <c r="BK388" s="16"/>
      <c r="BL388" s="16">
        <f>BL374/BL227</f>
        <v>0.11538461538461539</v>
      </c>
      <c r="BM388" s="16">
        <f>BM374/BM227</f>
        <v>0.1829121540312876</v>
      </c>
      <c r="BN388" s="16">
        <f>BN374/BN227</f>
        <v>0.24476439790575916</v>
      </c>
      <c r="BO388" s="16">
        <f>BO374/BO227</f>
        <v>0.31752305665349145</v>
      </c>
      <c r="BP388" s="16"/>
      <c r="BQ388" s="16">
        <f>BQ374/BQ227</f>
        <v>0.11516034985422741</v>
      </c>
      <c r="BR388" s="16">
        <f>BR374/BR227</f>
        <v>0.16483516483516483</v>
      </c>
      <c r="BS388" s="16">
        <f>BS374/BS227</f>
        <v>0.15289256198347106</v>
      </c>
      <c r="BT388" s="16">
        <f ca="1">BT374/BT227</f>
        <v>0.31161483156216979</v>
      </c>
    </row>
    <row r="389" spans="4:105">
      <c r="D389" s="11" t="s">
        <v>1831</v>
      </c>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20">
        <f>AD376/AD239</f>
        <v>0.7002247191011236</v>
      </c>
      <c r="AE389" s="20">
        <f>AE376/AE239</f>
        <v>0.84192513368983957</v>
      </c>
      <c r="AF389" s="20">
        <f>AF376/AF239</f>
        <v>1.2065573770491802</v>
      </c>
      <c r="AG389" s="11"/>
      <c r="AH389" s="20">
        <f t="shared" ref="AH389:AU389" si="261">AH376/AH239</f>
        <v>0.6257309941520468</v>
      </c>
      <c r="AI389" s="20">
        <f t="shared" si="261"/>
        <v>0.39279869067103107</v>
      </c>
      <c r="AJ389" s="20">
        <f t="shared" si="261"/>
        <v>0.41</v>
      </c>
      <c r="AK389" s="20">
        <f t="shared" si="261"/>
        <v>0.60299295774647887</v>
      </c>
      <c r="AL389" s="20">
        <f t="shared" si="261"/>
        <v>0.50927703134996805</v>
      </c>
      <c r="AM389" s="20">
        <f t="shared" si="261"/>
        <v>0.19432755409129221</v>
      </c>
      <c r="AN389" s="20">
        <f t="shared" si="261"/>
        <v>0.19151410136567792</v>
      </c>
      <c r="AO389" s="20">
        <f t="shared" si="261"/>
        <v>0.31778369813160595</v>
      </c>
      <c r="AP389" s="20">
        <f t="shared" si="261"/>
        <v>0.32657162594988381</v>
      </c>
      <c r="AQ389" s="20">
        <f t="shared" si="261"/>
        <v>0.25958544635637071</v>
      </c>
      <c r="AR389" s="20">
        <f t="shared" si="261"/>
        <v>0.10869565217391305</v>
      </c>
      <c r="AS389" s="20">
        <f t="shared" si="261"/>
        <v>0.18676183400120988</v>
      </c>
      <c r="AT389" s="20">
        <f t="shared" si="261"/>
        <v>0.30795537888641716</v>
      </c>
      <c r="AU389" s="20">
        <f t="shared" si="261"/>
        <v>0.58232931726907633</v>
      </c>
      <c r="AV389" s="16"/>
      <c r="AW389" s="20"/>
      <c r="AX389" s="20"/>
      <c r="AY389" s="20"/>
      <c r="AZ389" s="20"/>
      <c r="BA389" s="20"/>
      <c r="BB389" s="20">
        <f>BB376/BB239</f>
        <v>0.13596491228070176</v>
      </c>
      <c r="BC389" s="20">
        <f>BC376/BC239</f>
        <v>0.18666666666666668</v>
      </c>
      <c r="BD389" s="20">
        <f>BD376/BD239</f>
        <v>0.42682926829268292</v>
      </c>
      <c r="BE389" s="20">
        <f>BE376/BE239</f>
        <v>0.60311284046692604</v>
      </c>
      <c r="BF389" s="16"/>
      <c r="BG389" s="20">
        <f>BG376/BG239</f>
        <v>0.15573770491803279</v>
      </c>
      <c r="BH389" s="20">
        <f>BH376/BH239</f>
        <v>0.52049180327868849</v>
      </c>
      <c r="BI389" s="20">
        <f>BI376/BI239</f>
        <v>0.31372549019607843</v>
      </c>
      <c r="BJ389" s="20">
        <f>BJ376/BJ239</f>
        <v>0.453125</v>
      </c>
      <c r="BK389" s="16"/>
      <c r="BL389" s="20">
        <f>BL376/BL239</f>
        <v>0.11290322580645161</v>
      </c>
      <c r="BM389" s="20">
        <f>BM376/BM239</f>
        <v>0.22500000000000001</v>
      </c>
      <c r="BN389" s="20">
        <f>BN376/BN239</f>
        <v>0.27385892116182575</v>
      </c>
      <c r="BO389" s="20">
        <f>BO376/BO239</f>
        <v>0.36434108527131781</v>
      </c>
      <c r="BP389" s="20"/>
      <c r="BQ389" s="20">
        <f ca="1">BQ376/BQ239</f>
        <v>0.12739041751883637</v>
      </c>
      <c r="BR389" s="20">
        <f>BR376/BR239</f>
        <v>0.10810810810810811</v>
      </c>
      <c r="BS389" s="20">
        <f>BS376/BS239</f>
        <v>0.15555555555555556</v>
      </c>
      <c r="BT389" s="20">
        <f ca="1">BT376/BT239</f>
        <v>0.40905148764470561</v>
      </c>
    </row>
    <row r="390" spans="4:105">
      <c r="D390" s="2" t="s">
        <v>1431</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19">
        <f>AD378/AD242</f>
        <v>0.44988163828326116</v>
      </c>
      <c r="AE390" s="19">
        <f>AE378/AE242</f>
        <v>0.3783675286832579</v>
      </c>
      <c r="AF390" s="19">
        <f>AF378/AF242</f>
        <v>0.54696789536266355</v>
      </c>
      <c r="AG390" s="2"/>
      <c r="AH390" s="19">
        <f t="shared" ref="AH390:AU390" si="262">AH378/AH242</f>
        <v>0.22283059272696318</v>
      </c>
      <c r="AI390" s="19">
        <f t="shared" si="262"/>
        <v>0.18098555083987983</v>
      </c>
      <c r="AJ390" s="19">
        <f t="shared" si="262"/>
        <v>0.15594841223742731</v>
      </c>
      <c r="AK390" s="19">
        <f t="shared" si="262"/>
        <v>0.25861533580366913</v>
      </c>
      <c r="AL390" s="19">
        <f t="shared" si="262"/>
        <v>0.20606363940938993</v>
      </c>
      <c r="AM390" s="19">
        <f t="shared" si="262"/>
        <v>0.10220437985623154</v>
      </c>
      <c r="AN390" s="19">
        <f t="shared" si="262"/>
        <v>0.13189535377110304</v>
      </c>
      <c r="AO390" s="19">
        <f t="shared" si="262"/>
        <v>0.19258489210824448</v>
      </c>
      <c r="AP390" s="19">
        <f t="shared" si="262"/>
        <v>0.25444225419060801</v>
      </c>
      <c r="AQ390" s="19">
        <f t="shared" si="262"/>
        <v>0.17092112310638696</v>
      </c>
      <c r="AR390" s="19">
        <f t="shared" si="262"/>
        <v>7.4171733523212977E-2</v>
      </c>
      <c r="AS390" s="19">
        <f t="shared" si="262"/>
        <v>0.13125698965641711</v>
      </c>
      <c r="AT390" s="19">
        <f t="shared" si="262"/>
        <v>0.18771362201255073</v>
      </c>
      <c r="AU390" s="19">
        <f t="shared" si="262"/>
        <v>0.33559898045879355</v>
      </c>
      <c r="AV390" s="19"/>
      <c r="AW390" s="19">
        <f>AW378/AW242</f>
        <v>0.14713430282292558</v>
      </c>
      <c r="AX390" s="19">
        <f>AX378/AX242</f>
        <v>0.22353937341236241</v>
      </c>
      <c r="AY390" s="19">
        <f>AY378/AY242</f>
        <v>0.15262718932443703</v>
      </c>
      <c r="AZ390" s="19">
        <f>AZ378/AZ242</f>
        <v>0.31437598736176936</v>
      </c>
      <c r="BA390" s="19"/>
      <c r="BB390" s="19">
        <f>BB378/BB242</f>
        <v>9.1051489247041192E-2</v>
      </c>
      <c r="BC390" s="19">
        <f>BC378/BC242</f>
        <v>0.10214369486812441</v>
      </c>
      <c r="BD390" s="19">
        <f>BD378/BD242</f>
        <v>0.19732647918964591</v>
      </c>
      <c r="BE390" s="19">
        <f>BE378/BE242</f>
        <v>0.34937382248397963</v>
      </c>
      <c r="BF390" s="19"/>
      <c r="BG390" s="19">
        <f>BG378/BG242</f>
        <v>0.11530249110320284</v>
      </c>
      <c r="BH390" s="19">
        <f>BH378/BH242</f>
        <v>0.2460262612301313</v>
      </c>
      <c r="BI390" s="19">
        <f>BI378/BI242</f>
        <v>0.19090365050867744</v>
      </c>
      <c r="BJ390" s="19">
        <f>BJ378/BJ242</f>
        <v>0.24529316837009144</v>
      </c>
      <c r="BK390" s="19"/>
      <c r="BL390" s="19">
        <f>BL378/BL242</f>
        <v>0.10942071386775892</v>
      </c>
      <c r="BM390" s="19">
        <f>BM378/BM242</f>
        <v>0.17018779342723006</v>
      </c>
      <c r="BN390" s="19">
        <f>BN378/BN242</f>
        <v>0.21084704448507008</v>
      </c>
      <c r="BO390" s="19">
        <f>BO378/BO242</f>
        <v>0.27641791044776121</v>
      </c>
      <c r="BP390" s="19"/>
      <c r="BQ390" s="19">
        <f>BQ378/BQ242</f>
        <v>0.12696335078534032</v>
      </c>
      <c r="BR390" s="19">
        <f>BR378/BR242</f>
        <v>0.14058524173027989</v>
      </c>
      <c r="BS390" s="19">
        <f>BS378/BS242</f>
        <v>0.13762057877813505</v>
      </c>
      <c r="BT390" s="19">
        <f ca="1">BT378/BT242</f>
        <v>0.29311410388235304</v>
      </c>
    </row>
    <row r="391" spans="4:105">
      <c r="D391" s="2" t="s">
        <v>3692</v>
      </c>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19"/>
      <c r="AE391" s="19"/>
      <c r="AF391" s="19"/>
      <c r="AG391" s="2"/>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36">
        <f>BI379/BI228</f>
        <v>0.13736263736263737</v>
      </c>
      <c r="BJ391" s="36">
        <f>BJ379/BJ228</f>
        <v>0.20253164556962025</v>
      </c>
      <c r="BK391" s="19"/>
      <c r="BL391" s="36">
        <f>BL379/BL228</f>
        <v>0.10256410256410256</v>
      </c>
      <c r="BM391" s="36">
        <f>BM379/BM228</f>
        <v>0.19636363636363635</v>
      </c>
      <c r="BN391" s="36">
        <f>BN379/BN228</f>
        <v>0.35802469135802467</v>
      </c>
      <c r="BO391" s="36"/>
      <c r="BP391" s="19"/>
      <c r="BQ391" s="19"/>
      <c r="BR391" s="19"/>
      <c r="BS391" s="19"/>
      <c r="BT391" s="19"/>
    </row>
    <row r="393" spans="4:105">
      <c r="D393" s="2" t="s">
        <v>1552</v>
      </c>
      <c r="K393" s="7">
        <f t="shared" ref="K393:V393" si="263">K312-K378</f>
        <v>45.265999999999991</v>
      </c>
      <c r="L393" s="7">
        <f t="shared" si="263"/>
        <v>65.521000000000001</v>
      </c>
      <c r="M393" s="7">
        <f t="shared" si="263"/>
        <v>60.50800000000001</v>
      </c>
      <c r="N393" s="7">
        <f t="shared" si="263"/>
        <v>46.967999999999989</v>
      </c>
      <c r="O393" s="7">
        <f t="shared" si="263"/>
        <v>76.573000000000008</v>
      </c>
      <c r="P393" s="7">
        <f t="shared" si="263"/>
        <v>79.03</v>
      </c>
      <c r="Q393" s="7">
        <f t="shared" si="263"/>
        <v>19.125999999999991</v>
      </c>
      <c r="R393" s="7">
        <f t="shared" si="263"/>
        <v>-39.031000000000034</v>
      </c>
      <c r="S393" s="7">
        <f t="shared" si="263"/>
        <v>47.201999999999998</v>
      </c>
      <c r="T393" s="7">
        <f t="shared" si="263"/>
        <v>10.626999999999981</v>
      </c>
      <c r="U393" s="7">
        <f t="shared" si="263"/>
        <v>-9.2770000000000152</v>
      </c>
      <c r="V393" s="7">
        <f t="shared" si="263"/>
        <v>-18.078999999999951</v>
      </c>
      <c r="W393" s="7"/>
      <c r="X393" s="9">
        <f t="shared" ref="X393:AD393" si="264">X312-X378</f>
        <v>64.076999999999998</v>
      </c>
      <c r="Y393" s="9">
        <f t="shared" si="264"/>
        <v>57.46999999999997</v>
      </c>
      <c r="Z393" s="9">
        <f t="shared" si="264"/>
        <v>-50</v>
      </c>
      <c r="AA393" s="9">
        <f t="shared" si="264"/>
        <v>-8.6000000000000227</v>
      </c>
      <c r="AB393" s="9">
        <f t="shared" si="264"/>
        <v>61.947000000000116</v>
      </c>
      <c r="AC393" s="9">
        <f t="shared" si="264"/>
        <v>72.738999999999976</v>
      </c>
      <c r="AD393" s="9">
        <f t="shared" si="264"/>
        <v>-24.558999999999969</v>
      </c>
      <c r="AE393" s="9"/>
      <c r="AF393" s="9"/>
      <c r="AG393" s="9">
        <f>AG312-AG378</f>
        <v>16.75</v>
      </c>
      <c r="AH393" s="9"/>
      <c r="AI393" s="9"/>
      <c r="AJ393" s="9"/>
      <c r="AK393" s="9"/>
      <c r="AL393" s="7"/>
      <c r="AM393" s="9"/>
      <c r="AN393" s="9"/>
      <c r="AO393" s="9"/>
      <c r="AP393" s="9"/>
      <c r="AQ393" s="7"/>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row>
    <row r="395" spans="4:105">
      <c r="D395" s="2"/>
    </row>
    <row r="396" spans="4:105">
      <c r="D396" s="2" t="s">
        <v>961</v>
      </c>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row>
    <row r="397" spans="4:105">
      <c r="D397" t="s">
        <v>798</v>
      </c>
      <c r="K397" s="9"/>
      <c r="L397" s="9"/>
      <c r="M397" s="9"/>
      <c r="N397" s="9"/>
      <c r="O397" s="9"/>
      <c r="P397" s="9"/>
      <c r="Q397" s="9"/>
      <c r="R397" s="9"/>
      <c r="S397" s="9"/>
      <c r="T397" s="9"/>
      <c r="U397" s="9"/>
      <c r="V397" s="9"/>
      <c r="W397" s="9"/>
      <c r="X397" s="9"/>
      <c r="Y397" s="9"/>
      <c r="Z397" s="9">
        <f>7*2*(92/24)</f>
        <v>53.666666666666671</v>
      </c>
      <c r="AA397" s="9">
        <f>Z397-7</f>
        <v>46.666666666666671</v>
      </c>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row>
    <row r="398" spans="4:105">
      <c r="D398" s="4" t="s">
        <v>360</v>
      </c>
      <c r="K398" s="9"/>
      <c r="L398" s="9"/>
      <c r="M398" s="9"/>
      <c r="N398" s="9"/>
      <c r="O398" s="9"/>
      <c r="P398" s="9"/>
      <c r="Q398" s="9"/>
      <c r="R398" s="9"/>
      <c r="S398" s="9"/>
      <c r="T398" s="9"/>
      <c r="U398" s="9"/>
      <c r="V398" s="9"/>
      <c r="W398" s="9"/>
      <c r="X398" s="9"/>
      <c r="Y398" s="9"/>
      <c r="Z398" s="9">
        <f>5*2*(92/24)</f>
        <v>38.333333333333336</v>
      </c>
      <c r="AA398" s="9">
        <f>Z398-5</f>
        <v>33.333333333333336</v>
      </c>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row>
    <row r="399" spans="4:105">
      <c r="K399" s="9"/>
      <c r="L399" s="9"/>
      <c r="M399" s="9"/>
      <c r="N399" s="9"/>
      <c r="O399" s="9"/>
      <c r="P399" s="9"/>
      <c r="Q399" s="9"/>
      <c r="R399" s="9"/>
      <c r="S399" s="9"/>
      <c r="T399" s="9"/>
      <c r="U399" s="9"/>
      <c r="V399" s="9"/>
      <c r="W399" s="9"/>
      <c r="X399" s="9"/>
      <c r="Y399" s="9"/>
      <c r="Z399" s="16">
        <f>Z398/Z397</f>
        <v>0.7142857142857143</v>
      </c>
      <c r="AA399" s="16">
        <f>AA398/AA397</f>
        <v>0.7142857142857143</v>
      </c>
      <c r="AB399" s="9"/>
      <c r="AC399" s="16"/>
      <c r="AD399" s="16"/>
      <c r="AE399" s="16"/>
      <c r="AF399" s="16"/>
      <c r="AG399" s="9"/>
      <c r="AH399" s="16"/>
      <c r="AI399" s="16"/>
      <c r="AJ399" s="16"/>
      <c r="AK399" s="16"/>
      <c r="AL399" s="9"/>
      <c r="AM399" s="16"/>
      <c r="AN399" s="16"/>
      <c r="AO399" s="16"/>
      <c r="AP399" s="16"/>
      <c r="AQ399" s="9"/>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row>
    <row r="400" spans="4:105">
      <c r="D400" s="2"/>
      <c r="K400" s="9"/>
      <c r="L400" s="9"/>
      <c r="M400" s="9"/>
      <c r="N400" s="9"/>
      <c r="O400" s="9"/>
      <c r="P400" s="9"/>
      <c r="Q400" s="9"/>
      <c r="R400" s="9"/>
      <c r="S400" s="9"/>
      <c r="T400" s="9"/>
      <c r="U400" s="9"/>
      <c r="V400" s="9"/>
      <c r="W400" s="9"/>
      <c r="X400" s="9"/>
      <c r="Y400" s="9"/>
      <c r="Z400" s="16"/>
      <c r="AA400" s="16"/>
      <c r="AB400" s="9"/>
      <c r="AC400" s="16"/>
      <c r="AD400" s="16"/>
      <c r="AE400" s="16"/>
      <c r="AF400" s="16"/>
      <c r="AG400" s="9"/>
      <c r="AH400" s="16"/>
      <c r="AI400" s="16"/>
      <c r="AJ400" s="16"/>
      <c r="AK400" s="16"/>
      <c r="AL400" s="9"/>
      <c r="AM400" s="16"/>
      <c r="AN400" s="16"/>
      <c r="AO400" s="16"/>
      <c r="AP400" s="16"/>
      <c r="AQ400" s="9"/>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row>
    <row r="401" spans="4:105">
      <c r="D401" s="2" t="s">
        <v>962</v>
      </c>
      <c r="K401" s="9"/>
      <c r="L401" s="9"/>
      <c r="M401" s="9"/>
      <c r="N401" s="9"/>
      <c r="O401" s="9"/>
      <c r="P401" s="9"/>
      <c r="Q401" s="9"/>
      <c r="R401" s="9"/>
      <c r="S401" s="9"/>
      <c r="T401" s="9"/>
      <c r="U401" s="9"/>
      <c r="V401" s="9"/>
      <c r="W401" s="9"/>
      <c r="X401" s="9"/>
      <c r="Y401" s="9"/>
      <c r="Z401" s="16"/>
      <c r="AA401" s="16"/>
      <c r="AB401" s="9"/>
      <c r="AC401" s="16"/>
      <c r="AD401" s="16"/>
      <c r="AE401" s="16"/>
      <c r="AF401" s="16"/>
      <c r="AG401" s="9"/>
      <c r="AH401" s="16"/>
      <c r="AI401" s="16"/>
      <c r="AJ401" s="16"/>
      <c r="AK401" s="16"/>
      <c r="AL401" s="9"/>
      <c r="AM401" s="16"/>
      <c r="AN401" s="16"/>
      <c r="AO401" s="16"/>
      <c r="AP401" s="16"/>
      <c r="AQ401" s="9"/>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row>
    <row r="402" spans="4:105">
      <c r="D402" t="str">
        <f>D397</f>
        <v>Revs</v>
      </c>
      <c r="K402" s="9"/>
      <c r="L402" s="9"/>
      <c r="M402" s="9"/>
      <c r="N402" s="9"/>
      <c r="O402" s="9"/>
      <c r="P402" s="9"/>
      <c r="Q402" s="9"/>
      <c r="R402" s="9"/>
      <c r="S402" s="9"/>
      <c r="T402" s="9"/>
      <c r="U402" s="9"/>
      <c r="V402" s="9"/>
      <c r="W402" s="9"/>
      <c r="X402" s="9"/>
      <c r="Y402" s="9"/>
      <c r="Z402" s="9">
        <f>Z222-Z397</f>
        <v>62.616693333333316</v>
      </c>
      <c r="AA402" s="9">
        <f>AA222-AA397</f>
        <v>83.144085333333308</v>
      </c>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row>
    <row r="403" spans="4:105">
      <c r="D403" t="str">
        <f>D398</f>
        <v>EBITDA</v>
      </c>
      <c r="K403" s="9"/>
      <c r="L403" s="9"/>
      <c r="M403" s="9"/>
      <c r="N403" s="9"/>
      <c r="O403" s="9"/>
      <c r="P403" s="9"/>
      <c r="Q403" s="9"/>
      <c r="R403" s="9"/>
      <c r="S403" s="9"/>
      <c r="T403" s="9"/>
      <c r="U403" s="9"/>
      <c r="V403" s="9"/>
      <c r="W403" s="9"/>
      <c r="X403" s="9"/>
      <c r="Y403" s="9"/>
      <c r="Z403" s="9">
        <f>Z303-Z398</f>
        <v>-9.2624933333333388</v>
      </c>
      <c r="AA403" s="9">
        <f>AA303-AA398</f>
        <v>-13.309778733333339</v>
      </c>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row>
    <row r="404" spans="4:105">
      <c r="K404" s="9"/>
      <c r="L404" s="9"/>
      <c r="M404" s="9"/>
      <c r="N404" s="9"/>
      <c r="O404" s="9"/>
      <c r="P404" s="9"/>
      <c r="Q404" s="9"/>
      <c r="R404" s="9"/>
      <c r="S404" s="9"/>
      <c r="T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row>
    <row r="405" spans="4:105">
      <c r="D405" s="175" t="s">
        <v>1193</v>
      </c>
      <c r="K405" s="9"/>
      <c r="L405" s="9"/>
      <c r="M405" s="9"/>
      <c r="N405" s="9"/>
      <c r="O405" s="9"/>
      <c r="P405" s="9"/>
      <c r="Q405" s="9"/>
      <c r="R405" s="9"/>
      <c r="S405" s="9"/>
      <c r="T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row>
    <row r="406" spans="4:105">
      <c r="D406" s="3" t="s">
        <v>1194</v>
      </c>
      <c r="J406" s="21"/>
      <c r="K406" s="9"/>
      <c r="L406" s="9"/>
      <c r="M406" s="9"/>
      <c r="N406" s="9"/>
      <c r="O406" s="9"/>
      <c r="P406" s="9"/>
      <c r="Q406" s="9"/>
      <c r="R406" s="9"/>
      <c r="S406" s="9"/>
      <c r="T406" s="9"/>
      <c r="Y406" s="9"/>
      <c r="Z406" s="16"/>
      <c r="AA406" s="9"/>
      <c r="AC406" s="96" t="s">
        <v>1585</v>
      </c>
      <c r="AD406" s="96" t="s">
        <v>1584</v>
      </c>
      <c r="AE406" s="96"/>
      <c r="AF406" s="96"/>
      <c r="AG406" s="96" t="s">
        <v>945</v>
      </c>
      <c r="AH406" s="96"/>
      <c r="AI406" s="96"/>
      <c r="AJ406" s="96"/>
      <c r="AK406" s="96"/>
      <c r="AL406" s="96" t="s">
        <v>1097</v>
      </c>
      <c r="AM406" s="96"/>
      <c r="AN406" s="96"/>
      <c r="AO406" s="96"/>
      <c r="AP406" s="96"/>
      <c r="AQ406" s="96"/>
      <c r="AR406" s="96"/>
      <c r="AS406" s="96"/>
      <c r="AT406" s="96"/>
      <c r="AU406" s="96"/>
      <c r="AV406" s="8"/>
      <c r="AW406" s="96"/>
      <c r="AX406" s="96"/>
      <c r="AY406" s="96"/>
      <c r="AZ406" s="96"/>
      <c r="BA406" s="8"/>
      <c r="BB406" s="96"/>
      <c r="BC406" s="96"/>
      <c r="BD406" s="96"/>
      <c r="BE406" s="96"/>
      <c r="BF406" s="8"/>
      <c r="BG406" s="8"/>
      <c r="BH406" s="8"/>
      <c r="BI406" s="8"/>
      <c r="BJ406" s="8"/>
      <c r="BK406" s="8"/>
      <c r="BL406" s="8"/>
      <c r="BM406" s="8"/>
      <c r="BN406" s="8"/>
      <c r="BO406" s="8"/>
      <c r="BP406" s="8"/>
      <c r="BQ406" s="8"/>
      <c r="BR406" s="8"/>
      <c r="BS406" s="8"/>
      <c r="BT406" s="8"/>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row>
    <row r="407" spans="4:105">
      <c r="D407" t="s">
        <v>915</v>
      </c>
      <c r="J407" s="2"/>
      <c r="K407" s="10"/>
      <c r="L407" s="10"/>
      <c r="M407" s="10"/>
      <c r="N407" s="10"/>
      <c r="O407" s="10"/>
      <c r="P407" s="10"/>
      <c r="Q407" s="10"/>
      <c r="R407" s="10"/>
      <c r="S407" s="10"/>
      <c r="T407" s="10"/>
      <c r="Y407" s="10"/>
      <c r="Z407" s="16"/>
      <c r="AA407" s="10"/>
      <c r="AC407" s="9">
        <v>39.735999999999997</v>
      </c>
      <c r="AD407" s="9">
        <v>44.94</v>
      </c>
      <c r="AE407" s="9"/>
      <c r="AF407" s="9"/>
      <c r="AG407" s="29">
        <f t="shared" ref="AG407:AG412" si="265">AD407/AC407-1</f>
        <v>0.13096436480773099</v>
      </c>
      <c r="AH407" s="9"/>
      <c r="AI407" s="9"/>
      <c r="AJ407" s="9"/>
      <c r="AK407" s="9"/>
      <c r="AL407" s="16">
        <f t="shared" ref="AL407:AL412" si="266">AD407/AD$412</f>
        <v>0.56571709110134827</v>
      </c>
      <c r="AM407" s="9"/>
      <c r="AN407" s="9"/>
      <c r="AO407" s="9"/>
      <c r="AP407" s="9"/>
      <c r="AQ407" s="16"/>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row>
    <row r="408" spans="4:105">
      <c r="D408" t="s">
        <v>1579</v>
      </c>
      <c r="AC408" s="9">
        <v>20.023</v>
      </c>
      <c r="AD408" s="9">
        <v>24.57</v>
      </c>
      <c r="AE408" s="9"/>
      <c r="AF408" s="9"/>
      <c r="AG408" s="29">
        <f t="shared" si="265"/>
        <v>0.22708884782500127</v>
      </c>
      <c r="AH408" s="9"/>
      <c r="AI408" s="9"/>
      <c r="AJ408" s="9"/>
      <c r="AK408" s="9"/>
      <c r="AL408" s="16">
        <f t="shared" si="266"/>
        <v>0.30929392363952218</v>
      </c>
      <c r="AM408" s="9"/>
      <c r="AN408" s="9"/>
      <c r="AO408" s="9"/>
      <c r="AP408" s="9"/>
      <c r="AQ408" s="16"/>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row>
    <row r="409" spans="4:105">
      <c r="D409" t="s">
        <v>1580</v>
      </c>
      <c r="AC409" s="9">
        <v>3.2250000000000001</v>
      </c>
      <c r="AD409" s="9">
        <v>3.359</v>
      </c>
      <c r="AE409" s="9"/>
      <c r="AF409" s="9"/>
      <c r="AG409" s="29">
        <f t="shared" si="265"/>
        <v>4.1550387596899219E-2</v>
      </c>
      <c r="AH409" s="9"/>
      <c r="AI409" s="9"/>
      <c r="AJ409" s="9"/>
      <c r="AK409" s="9"/>
      <c r="AL409" s="16">
        <f t="shared" si="266"/>
        <v>4.2284016666876471E-2</v>
      </c>
      <c r="AM409" s="9"/>
      <c r="AN409" s="9"/>
      <c r="AO409" s="9"/>
      <c r="AP409" s="9"/>
      <c r="AQ409" s="16"/>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row>
    <row r="410" spans="4:105">
      <c r="D410" t="s">
        <v>1581</v>
      </c>
      <c r="AC410" s="9">
        <v>2.4039999999999999</v>
      </c>
      <c r="AD410" s="9">
        <v>3.129</v>
      </c>
      <c r="AE410" s="9"/>
      <c r="AF410" s="9"/>
      <c r="AG410" s="29">
        <f t="shared" si="265"/>
        <v>0.3015806988352745</v>
      </c>
      <c r="AH410" s="9"/>
      <c r="AI410" s="9"/>
      <c r="AJ410" s="9"/>
      <c r="AK410" s="9"/>
      <c r="AL410" s="16">
        <f t="shared" si="266"/>
        <v>3.9388713352383593E-2</v>
      </c>
      <c r="AM410" s="9"/>
      <c r="AN410" s="9"/>
      <c r="AO410" s="9"/>
      <c r="AP410" s="9"/>
      <c r="AQ410" s="16"/>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row>
    <row r="411" spans="4:105">
      <c r="D411" s="11" t="s">
        <v>1540</v>
      </c>
      <c r="E411" s="11"/>
      <c r="AC411" s="13">
        <v>3.169</v>
      </c>
      <c r="AD411" s="13">
        <v>3.4409999999999998</v>
      </c>
      <c r="AE411" s="13"/>
      <c r="AF411" s="13"/>
      <c r="AG411" s="150">
        <f t="shared" si="265"/>
        <v>8.5831492584411473E-2</v>
      </c>
      <c r="AH411" s="13"/>
      <c r="AI411" s="13"/>
      <c r="AJ411" s="13"/>
      <c r="AK411" s="13"/>
      <c r="AL411" s="20">
        <f t="shared" si="266"/>
        <v>4.3316255239869587E-2</v>
      </c>
      <c r="AM411" s="13"/>
      <c r="AN411" s="13"/>
      <c r="AO411" s="13"/>
      <c r="AP411" s="13"/>
      <c r="AQ411" s="20"/>
      <c r="AR411" s="13"/>
      <c r="AS411" s="13"/>
      <c r="AT411" s="13"/>
      <c r="AU411" s="13"/>
      <c r="AV411" s="9"/>
      <c r="AW411" s="13"/>
      <c r="AX411" s="13"/>
      <c r="AY411" s="13"/>
      <c r="AZ411" s="13"/>
      <c r="BA411" s="9"/>
      <c r="BB411" s="13"/>
      <c r="BC411" s="13"/>
      <c r="BD411" s="13"/>
      <c r="BE411" s="13"/>
      <c r="BF411" s="9"/>
      <c r="BG411" s="9"/>
      <c r="BH411" s="9"/>
      <c r="BI411" s="9"/>
      <c r="BJ411" s="9"/>
      <c r="BK411" s="9"/>
      <c r="BL411" s="9"/>
      <c r="BM411" s="9"/>
      <c r="BN411" s="9"/>
      <c r="BO411" s="9"/>
      <c r="BP411" s="9"/>
      <c r="BQ411" s="9"/>
      <c r="BR411" s="9"/>
      <c r="BS411" s="9"/>
      <c r="BT411" s="9"/>
    </row>
    <row r="412" spans="4:105">
      <c r="D412" s="2" t="s">
        <v>1582</v>
      </c>
      <c r="E412" s="2"/>
      <c r="F412" s="2"/>
      <c r="G412" s="2"/>
      <c r="H412" s="2"/>
      <c r="I412" s="2"/>
      <c r="J412" s="2"/>
      <c r="K412" s="2"/>
      <c r="L412" s="2"/>
      <c r="M412" s="2"/>
      <c r="N412" s="2"/>
      <c r="O412" s="2"/>
      <c r="P412" s="2"/>
      <c r="Q412" s="2"/>
      <c r="R412" s="2"/>
      <c r="S412" s="2"/>
      <c r="T412" s="2"/>
      <c r="U412" s="2"/>
      <c r="V412" s="2"/>
      <c r="W412" s="2"/>
      <c r="X412" s="2"/>
      <c r="Y412" s="2"/>
      <c r="Z412" s="2"/>
      <c r="AA412" s="2"/>
      <c r="AC412" s="10">
        <f>SUM(AC407:AC411)</f>
        <v>68.557000000000002</v>
      </c>
      <c r="AD412" s="10">
        <f>SUM(AD407:AD411)</f>
        <v>79.438999999999993</v>
      </c>
      <c r="AE412" s="10"/>
      <c r="AF412" s="10"/>
      <c r="AG412" s="18">
        <f t="shared" si="265"/>
        <v>0.15872923260936145</v>
      </c>
      <c r="AH412" s="10"/>
      <c r="AI412" s="10"/>
      <c r="AJ412" s="10"/>
      <c r="AK412" s="10"/>
      <c r="AL412" s="19">
        <f t="shared" si="266"/>
        <v>1</v>
      </c>
      <c r="AM412" s="10"/>
      <c r="AN412" s="10"/>
      <c r="AO412" s="10"/>
      <c r="AP412" s="10"/>
      <c r="AQ412" s="19"/>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row>
    <row r="413" spans="4:105">
      <c r="D413" s="11" t="s">
        <v>1540</v>
      </c>
      <c r="E413" s="11"/>
      <c r="AC413" s="13"/>
      <c r="AD413" s="13">
        <f>AD414-AD412</f>
        <v>0.17800000000001148</v>
      </c>
      <c r="AE413" s="9"/>
      <c r="AF413" s="9"/>
      <c r="AH413" s="9"/>
      <c r="AI413" s="9"/>
      <c r="AJ413" s="9"/>
      <c r="AK413" s="9"/>
      <c r="AM413" s="9"/>
      <c r="AN413" s="9"/>
      <c r="AO413" s="9"/>
      <c r="AP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row>
    <row r="414" spans="4:105">
      <c r="D414" s="2" t="s">
        <v>1096</v>
      </c>
      <c r="E414" s="2"/>
      <c r="F414" s="2"/>
      <c r="G414" s="2"/>
      <c r="H414" s="2"/>
      <c r="I414" s="2"/>
      <c r="J414" s="2"/>
      <c r="K414" s="2"/>
      <c r="L414" s="2"/>
      <c r="M414" s="2"/>
      <c r="N414" s="2"/>
      <c r="O414" s="2"/>
      <c r="P414" s="2"/>
      <c r="Q414" s="2"/>
      <c r="R414" s="2"/>
      <c r="S414" s="2"/>
      <c r="T414" s="2"/>
      <c r="U414" s="2"/>
      <c r="V414" s="2"/>
      <c r="W414" s="2"/>
      <c r="X414" s="2"/>
      <c r="Y414" s="2"/>
      <c r="Z414" s="2"/>
      <c r="AA414" s="2"/>
      <c r="AB414" s="2"/>
      <c r="AC414" s="10"/>
      <c r="AD414" s="10">
        <v>79.617000000000004</v>
      </c>
      <c r="AE414" s="10"/>
      <c r="AF414" s="10"/>
      <c r="AH414" s="10"/>
      <c r="AI414" s="10"/>
      <c r="AJ414" s="10"/>
      <c r="AK414" s="10"/>
      <c r="AM414" s="10"/>
      <c r="AN414" s="10"/>
      <c r="AO414" s="10"/>
      <c r="AP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row>
    <row r="416" spans="4:105">
      <c r="D416" t="s">
        <v>360</v>
      </c>
      <c r="AD416" s="9">
        <v>36.307000000000002</v>
      </c>
      <c r="AE416" s="9"/>
      <c r="AF416" s="9"/>
      <c r="AH416" s="9"/>
      <c r="AI416" s="9"/>
      <c r="AJ416" s="9"/>
      <c r="AK416" s="9"/>
      <c r="AM416" s="9"/>
      <c r="AN416" s="9"/>
      <c r="AO416" s="9"/>
      <c r="AP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row>
    <row r="417" spans="4:72">
      <c r="D417" t="s">
        <v>1434</v>
      </c>
      <c r="AD417" s="5">
        <f>AD416/AD414</f>
        <v>0.45602069909692655</v>
      </c>
      <c r="AE417" s="5"/>
      <c r="AF417" s="5"/>
      <c r="AH417" s="5"/>
      <c r="AI417" s="5"/>
      <c r="AJ417" s="5"/>
      <c r="AK417" s="5"/>
      <c r="AM417" s="5"/>
      <c r="AN417" s="5"/>
      <c r="AO417" s="5"/>
      <c r="AP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4:72">
      <c r="D418" t="s">
        <v>150</v>
      </c>
      <c r="AD418" s="9">
        <v>40.305</v>
      </c>
      <c r="AE418" s="9"/>
      <c r="AF418" s="9"/>
      <c r="AH418" s="9"/>
      <c r="AI418" s="9"/>
      <c r="AJ418" s="9"/>
      <c r="AK418" s="9"/>
      <c r="AM418" s="9"/>
      <c r="AN418" s="9"/>
      <c r="AO418" s="9"/>
      <c r="AP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row>
    <row r="420" spans="4:72">
      <c r="D420" s="2" t="s">
        <v>560</v>
      </c>
    </row>
    <row r="421" spans="4:72">
      <c r="D421" t="s">
        <v>1195</v>
      </c>
      <c r="AD421" s="9">
        <v>169.738</v>
      </c>
      <c r="AE421" s="9"/>
      <c r="AF421" s="9"/>
      <c r="AH421" s="9"/>
      <c r="AI421" s="9"/>
      <c r="AJ421" s="9"/>
      <c r="AK421" s="9"/>
      <c r="AM421" s="9"/>
      <c r="AN421" s="9"/>
      <c r="AO421" s="9"/>
      <c r="AP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row>
    <row r="422" spans="4:72">
      <c r="D422" t="s">
        <v>1196</v>
      </c>
      <c r="AD422" s="9">
        <v>17.081</v>
      </c>
      <c r="AE422" s="9"/>
      <c r="AF422" s="9"/>
      <c r="AH422" s="9"/>
      <c r="AI422" s="9"/>
      <c r="AJ422" s="9"/>
      <c r="AK422" s="9"/>
      <c r="AM422" s="9"/>
      <c r="AN422" s="9"/>
      <c r="AO422" s="9"/>
      <c r="AP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row>
    <row r="423" spans="4:72">
      <c r="D423" s="11" t="s">
        <v>1197</v>
      </c>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3">
        <v>24.173999999999999</v>
      </c>
      <c r="AE423" s="13"/>
      <c r="AF423" s="13"/>
      <c r="AH423" s="13"/>
      <c r="AI423" s="9"/>
      <c r="AJ423" s="9"/>
      <c r="AK423" s="9"/>
      <c r="AM423" s="9"/>
      <c r="AN423" s="9"/>
      <c r="AO423" s="9"/>
      <c r="AP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row>
    <row r="424" spans="4:72">
      <c r="D424" s="2" t="s">
        <v>2376</v>
      </c>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10">
        <f>SUM(AD421:AD423)</f>
        <v>210.99299999999999</v>
      </c>
      <c r="AE424" s="10"/>
      <c r="AF424" s="10"/>
      <c r="AH424" s="10"/>
      <c r="AI424" s="10"/>
      <c r="AJ424" s="10"/>
      <c r="AK424" s="10"/>
      <c r="AM424" s="10"/>
      <c r="AN424" s="10"/>
      <c r="AO424" s="10"/>
      <c r="AP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row>
    <row r="426" spans="4:72">
      <c r="D426" s="2" t="s">
        <v>560</v>
      </c>
    </row>
    <row r="427" spans="4:72">
      <c r="D427" t="s">
        <v>1195</v>
      </c>
      <c r="AD427" s="9">
        <v>44.917000000000002</v>
      </c>
      <c r="AE427" s="9"/>
      <c r="AF427" s="9"/>
      <c r="AH427" s="9"/>
      <c r="AI427" s="9"/>
      <c r="AJ427" s="9"/>
      <c r="AK427" s="9"/>
      <c r="AM427" s="9"/>
      <c r="AN427" s="9"/>
      <c r="AO427" s="9"/>
      <c r="AP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row>
    <row r="428" spans="4:72">
      <c r="D428" t="s">
        <v>1196</v>
      </c>
      <c r="AD428" s="9">
        <v>1.6950000000000001</v>
      </c>
      <c r="AE428" s="9"/>
      <c r="AF428" s="9"/>
      <c r="AH428" s="9"/>
      <c r="AI428" s="9"/>
      <c r="AJ428" s="9"/>
      <c r="AK428" s="9"/>
      <c r="AM428" s="9"/>
      <c r="AN428" s="9"/>
      <c r="AO428" s="9"/>
      <c r="AP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row>
    <row r="429" spans="4:72">
      <c r="D429" s="11" t="s">
        <v>1197</v>
      </c>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3">
        <v>19.867999999999999</v>
      </c>
      <c r="AE429" s="13"/>
      <c r="AF429" s="13"/>
      <c r="AH429" s="13"/>
      <c r="AI429" s="9"/>
      <c r="AJ429" s="9"/>
      <c r="AK429" s="9"/>
      <c r="AM429" s="9"/>
      <c r="AN429" s="9"/>
      <c r="AO429" s="9"/>
      <c r="AP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row>
    <row r="430" spans="4:72">
      <c r="D430" s="2" t="s">
        <v>2380</v>
      </c>
      <c r="AD430" s="10">
        <f>SUM(AD427:AD429)</f>
        <v>66.48</v>
      </c>
      <c r="AE430" s="10"/>
      <c r="AF430" s="10"/>
      <c r="AH430" s="10"/>
      <c r="AI430" s="10"/>
      <c r="AJ430" s="10"/>
      <c r="AK430" s="10"/>
      <c r="AM430" s="10"/>
      <c r="AN430" s="10"/>
      <c r="AO430" s="10"/>
      <c r="AP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row>
    <row r="432" spans="4:72">
      <c r="D432" s="2" t="s">
        <v>560</v>
      </c>
    </row>
    <row r="433" spans="1:105">
      <c r="D433" t="s">
        <v>1195</v>
      </c>
      <c r="AD433" s="9">
        <v>138.477</v>
      </c>
      <c r="AE433" s="9"/>
      <c r="AF433" s="9"/>
      <c r="AH433" s="9"/>
      <c r="AI433" s="9"/>
      <c r="AJ433" s="9"/>
      <c r="AK433" s="9"/>
      <c r="AM433" s="9"/>
      <c r="AN433" s="9"/>
      <c r="AO433" s="9"/>
      <c r="AP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row>
    <row r="434" spans="1:105">
      <c r="D434" t="s">
        <v>1196</v>
      </c>
      <c r="AD434" s="9">
        <v>0</v>
      </c>
      <c r="AE434" s="9"/>
      <c r="AF434" s="9"/>
      <c r="AH434" s="9"/>
      <c r="AI434" s="9"/>
      <c r="AJ434" s="9"/>
      <c r="AK434" s="9"/>
      <c r="AM434" s="9"/>
      <c r="AN434" s="9"/>
      <c r="AO434" s="9"/>
      <c r="AP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row>
    <row r="435" spans="1:105">
      <c r="D435" s="11" t="s">
        <v>1197</v>
      </c>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3">
        <v>39.177</v>
      </c>
      <c r="AE435" s="13"/>
      <c r="AF435" s="13"/>
      <c r="AH435" s="13"/>
      <c r="AI435" s="9"/>
      <c r="AJ435" s="9"/>
      <c r="AK435" s="9"/>
      <c r="AM435" s="9"/>
      <c r="AN435" s="9"/>
      <c r="AO435" s="9"/>
      <c r="AP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row>
    <row r="436" spans="1:105">
      <c r="D436" s="2" t="s">
        <v>2172</v>
      </c>
      <c r="AD436" s="10">
        <f>SUM(AD433:AD435)</f>
        <v>177.654</v>
      </c>
      <c r="AE436" s="10"/>
      <c r="AF436" s="10"/>
      <c r="AH436" s="10"/>
      <c r="AI436" s="10"/>
      <c r="AJ436" s="10"/>
      <c r="AK436" s="10"/>
      <c r="AM436" s="10"/>
      <c r="AN436" s="10"/>
      <c r="AO436" s="10"/>
      <c r="AP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row>
    <row r="438" spans="1:105">
      <c r="D438" s="2" t="s">
        <v>2324</v>
      </c>
    </row>
    <row r="439" spans="1:105">
      <c r="D439" t="s">
        <v>1195</v>
      </c>
      <c r="AD439" s="9">
        <f>AD421+AD427+AD433</f>
        <v>353.13200000000001</v>
      </c>
      <c r="AE439" s="9"/>
      <c r="AF439" s="9"/>
      <c r="AH439" s="9"/>
      <c r="AI439" s="9"/>
      <c r="AJ439" s="9"/>
      <c r="AK439" s="9"/>
      <c r="AM439" s="9"/>
      <c r="AN439" s="9"/>
      <c r="AO439" s="9"/>
      <c r="AP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row>
    <row r="440" spans="1:105">
      <c r="D440" t="s">
        <v>1196</v>
      </c>
      <c r="AD440" s="9">
        <f>AD422+AD428+AD434</f>
        <v>18.776</v>
      </c>
      <c r="AE440" s="9"/>
      <c r="AF440" s="9"/>
      <c r="AH440" s="9"/>
      <c r="AI440" s="9"/>
      <c r="AJ440" s="9"/>
      <c r="AK440" s="9"/>
      <c r="AM440" s="9"/>
      <c r="AN440" s="9"/>
      <c r="AO440" s="9"/>
      <c r="AP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row>
    <row r="441" spans="1:105">
      <c r="D441" s="11" t="s">
        <v>1197</v>
      </c>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3">
        <f>AD423+AD429+AD435</f>
        <v>83.218999999999994</v>
      </c>
      <c r="AE441" s="13"/>
      <c r="AF441" s="13"/>
      <c r="AH441" s="13"/>
      <c r="AI441" s="9"/>
      <c r="AJ441" s="9"/>
      <c r="AK441" s="9"/>
      <c r="AM441" s="9"/>
      <c r="AN441" s="9"/>
      <c r="AO441" s="9"/>
      <c r="AP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row>
    <row r="442" spans="1:105">
      <c r="D442" s="2" t="s">
        <v>2324</v>
      </c>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10">
        <f>AD424+AD430+AD436</f>
        <v>455.12700000000001</v>
      </c>
      <c r="AE442" s="10"/>
      <c r="AF442" s="10">
        <v>534</v>
      </c>
      <c r="AH442" s="10"/>
      <c r="AI442" s="10"/>
      <c r="AJ442" s="10"/>
      <c r="AK442" s="10"/>
      <c r="AM442" s="10"/>
      <c r="AN442" s="10"/>
      <c r="AO442" s="10"/>
      <c r="AP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row>
    <row r="443" spans="1:10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10"/>
      <c r="AE443" s="10"/>
      <c r="AF443" s="10"/>
      <c r="AH443" s="10"/>
      <c r="AI443" s="10"/>
      <c r="AJ443" s="10"/>
      <c r="AK443" s="10"/>
      <c r="AM443" s="10"/>
      <c r="AN443" s="10"/>
      <c r="AO443" s="10"/>
      <c r="AP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row>
    <row r="444" spans="1:105">
      <c r="A444" s="6"/>
      <c r="B444" s="6"/>
      <c r="D444" s="2" t="s">
        <v>2188</v>
      </c>
      <c r="E444" s="2"/>
      <c r="F444" s="2" t="str">
        <f t="shared" ref="F444:AP444" si="267">F115</f>
        <v>Q4 02</v>
      </c>
      <c r="G444" s="2" t="str">
        <f t="shared" si="267"/>
        <v>Q1 03</v>
      </c>
      <c r="H444" s="2" t="str">
        <f t="shared" si="267"/>
        <v>Q2 03</v>
      </c>
      <c r="I444" s="2" t="str">
        <f t="shared" si="267"/>
        <v>Q3 03</v>
      </c>
      <c r="J444" s="2" t="str">
        <f t="shared" si="267"/>
        <v>Q4 03</v>
      </c>
      <c r="K444" s="2" t="str">
        <f t="shared" si="267"/>
        <v>Q1 04</v>
      </c>
      <c r="L444" s="2" t="str">
        <f t="shared" si="267"/>
        <v>Q2 04</v>
      </c>
      <c r="M444" s="2" t="str">
        <f t="shared" si="267"/>
        <v>Q3 04</v>
      </c>
      <c r="N444" s="2" t="str">
        <f t="shared" si="267"/>
        <v>Q4 04</v>
      </c>
      <c r="O444" s="2" t="str">
        <f t="shared" si="267"/>
        <v>Q1 05</v>
      </c>
      <c r="P444" s="2" t="str">
        <f t="shared" si="267"/>
        <v>Q2 05</v>
      </c>
      <c r="Q444" s="2" t="str">
        <f t="shared" si="267"/>
        <v>Q3 05</v>
      </c>
      <c r="R444" s="2" t="str">
        <f t="shared" si="267"/>
        <v>Q4 05</v>
      </c>
      <c r="S444" s="8" t="str">
        <f t="shared" si="267"/>
        <v>Q1 06</v>
      </c>
      <c r="T444" s="8" t="str">
        <f t="shared" si="267"/>
        <v>Q2 06</v>
      </c>
      <c r="U444" s="8" t="str">
        <f t="shared" si="267"/>
        <v>Q3 06</v>
      </c>
      <c r="V444" s="8" t="str">
        <f t="shared" si="267"/>
        <v>Q4 06</v>
      </c>
      <c r="W444" s="8" t="str">
        <f t="shared" si="267"/>
        <v>FY 06</v>
      </c>
      <c r="X444" s="8" t="str">
        <f t="shared" si="267"/>
        <v>Q1 07</v>
      </c>
      <c r="Y444" s="8" t="str">
        <f t="shared" si="267"/>
        <v>Q2 07</v>
      </c>
      <c r="Z444" s="8" t="str">
        <f t="shared" si="267"/>
        <v>Q3 07</v>
      </c>
      <c r="AA444" s="8" t="str">
        <f t="shared" si="267"/>
        <v>Q4 07</v>
      </c>
      <c r="AB444" s="8" t="str">
        <f t="shared" si="267"/>
        <v>FY 07</v>
      </c>
      <c r="AC444" s="8" t="str">
        <f t="shared" si="267"/>
        <v>Q1 08</v>
      </c>
      <c r="AD444" s="8" t="str">
        <f t="shared" si="267"/>
        <v>Q2 08</v>
      </c>
      <c r="AE444" s="8" t="str">
        <f t="shared" si="267"/>
        <v>Q3 08</v>
      </c>
      <c r="AF444" s="8" t="str">
        <f t="shared" si="267"/>
        <v>Q4 08</v>
      </c>
      <c r="AG444" s="8" t="str">
        <f t="shared" si="267"/>
        <v>FY 08</v>
      </c>
      <c r="AH444" s="8" t="str">
        <f t="shared" si="267"/>
        <v>Q1 09</v>
      </c>
      <c r="AI444" s="8" t="str">
        <f t="shared" si="267"/>
        <v>Q2 09</v>
      </c>
      <c r="AJ444" s="8" t="str">
        <f t="shared" si="267"/>
        <v>Q3 09</v>
      </c>
      <c r="AK444" s="8" t="str">
        <f t="shared" si="267"/>
        <v>Q4 09</v>
      </c>
      <c r="AL444" s="8" t="str">
        <f t="shared" si="267"/>
        <v>FY 09</v>
      </c>
      <c r="AM444" s="8" t="str">
        <f t="shared" si="267"/>
        <v>Q1 10</v>
      </c>
      <c r="AN444" s="8" t="str">
        <f t="shared" si="267"/>
        <v>Q2 10</v>
      </c>
      <c r="AO444" s="8" t="str">
        <f t="shared" si="267"/>
        <v>Q3 10</v>
      </c>
      <c r="AP444" s="8" t="str">
        <f t="shared" si="267"/>
        <v>Q4 10</v>
      </c>
      <c r="AQ444" s="8" t="s">
        <v>603</v>
      </c>
      <c r="AR444" s="8" t="str">
        <f>AR115</f>
        <v>Q1 11</v>
      </c>
      <c r="AS444" s="8" t="str">
        <f>AS115</f>
        <v>Q2 11</v>
      </c>
      <c r="AT444" s="8" t="str">
        <f>AT115</f>
        <v>Q3 11</v>
      </c>
      <c r="AU444" s="8" t="str">
        <f>AU115</f>
        <v>Q4 11</v>
      </c>
      <c r="AV444" s="8" t="s">
        <v>32</v>
      </c>
      <c r="AW444" s="8" t="str">
        <f>AW115</f>
        <v>Q1 12</v>
      </c>
      <c r="AX444" s="8" t="str">
        <f>AX115</f>
        <v>Q2 12</v>
      </c>
      <c r="AY444" s="8" t="str">
        <f>AY115</f>
        <v>Q3 12</v>
      </c>
      <c r="AZ444" s="8" t="str">
        <f>AZ115</f>
        <v>Q4 12</v>
      </c>
      <c r="BA444" s="8"/>
      <c r="BB444" s="8" t="str">
        <f>BB115</f>
        <v>Q1 13</v>
      </c>
      <c r="BC444" s="8"/>
      <c r="BD444" s="8"/>
      <c r="BE444" s="8"/>
      <c r="BF444" s="8"/>
      <c r="BG444" s="8"/>
      <c r="BH444" s="8"/>
      <c r="BI444" s="8"/>
      <c r="BJ444" s="8"/>
      <c r="BK444" s="8"/>
      <c r="BL444" s="8"/>
      <c r="BM444" s="8"/>
      <c r="BN444" s="8"/>
      <c r="BO444" s="8"/>
      <c r="BP444" s="8"/>
      <c r="BQ444" s="8"/>
      <c r="BR444" s="8"/>
      <c r="BS444" s="8"/>
      <c r="BT444" s="8"/>
      <c r="BU444" s="9"/>
      <c r="BV444" s="9"/>
      <c r="BW444" s="9"/>
      <c r="BX444" s="9"/>
      <c r="BY444" s="9"/>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row>
    <row r="445" spans="1:105">
      <c r="A445" s="6"/>
      <c r="B445" s="6"/>
      <c r="D445" s="4" t="s">
        <v>2377</v>
      </c>
      <c r="E445" s="2"/>
      <c r="F445" s="2"/>
      <c r="G445" s="2"/>
      <c r="H445" s="2"/>
      <c r="I445" s="2"/>
      <c r="J445" s="2"/>
      <c r="K445" s="2"/>
      <c r="L445" s="2"/>
      <c r="M445" s="2"/>
      <c r="N445" s="2"/>
      <c r="O445" s="2"/>
      <c r="P445" s="2"/>
      <c r="Q445" s="2"/>
      <c r="R445" s="2"/>
      <c r="S445" s="8"/>
      <c r="T445" s="8"/>
      <c r="U445" s="8"/>
      <c r="V445" s="8"/>
      <c r="W445" s="8"/>
      <c r="X445" s="101">
        <v>7.9950000000000001</v>
      </c>
      <c r="Y445" s="101">
        <v>7.9712230769230787</v>
      </c>
      <c r="Z445" s="101">
        <v>7.7925384615384585</v>
      </c>
      <c r="AA445" s="101">
        <v>7.643295454545445</v>
      </c>
      <c r="AB445" s="101"/>
      <c r="AC445" s="101">
        <v>7.5481818181818134</v>
      </c>
      <c r="AD445" s="101">
        <v>7.30994923076923</v>
      </c>
      <c r="AE445" s="101">
        <v>7.0575727272727287</v>
      </c>
      <c r="AF445" s="101">
        <v>7.0113696969696946</v>
      </c>
      <c r="AG445" s="101"/>
      <c r="AH445" s="101">
        <v>7.0161203124999973</v>
      </c>
      <c r="AI445" s="101">
        <v>7.0204907692307641</v>
      </c>
      <c r="AJ445" s="101">
        <v>7.0176499999999953</v>
      </c>
      <c r="AK445" s="101">
        <v>7.0192515151515105</v>
      </c>
      <c r="AL445" s="401">
        <f>SA!J71</f>
        <v>7.02</v>
      </c>
      <c r="AM445" s="101">
        <v>7.0207258064516074</v>
      </c>
      <c r="AN445" s="101">
        <v>7.02</v>
      </c>
      <c r="AO445" s="101">
        <v>7.02</v>
      </c>
      <c r="AP445" s="101">
        <v>7.02</v>
      </c>
      <c r="AQ445" s="401">
        <f>SA!K71</f>
        <v>7.0178622614364761</v>
      </c>
      <c r="AR445" s="101">
        <v>6.9756250000000026</v>
      </c>
      <c r="AS445" s="101">
        <v>6.993461538461534</v>
      </c>
      <c r="AT445" s="101">
        <v>6.9838281249999978</v>
      </c>
      <c r="AU445" s="101">
        <v>6.92</v>
      </c>
      <c r="AV445" s="401">
        <f>SA!L71</f>
        <v>6.97</v>
      </c>
      <c r="AW445" s="101">
        <v>6.9045015384615436</v>
      </c>
      <c r="AX445" s="101">
        <v>6.9177984615384673</v>
      </c>
      <c r="AY445" s="101">
        <v>6.9158953846153928</v>
      </c>
      <c r="AZ445" s="101">
        <v>6.9134090909090986</v>
      </c>
      <c r="BA445" s="401"/>
      <c r="BB445" s="101">
        <v>6.9045015384615436</v>
      </c>
      <c r="BC445" s="101"/>
      <c r="BD445" s="101"/>
      <c r="BE445" s="101"/>
      <c r="BF445" s="401"/>
      <c r="BG445" s="401"/>
      <c r="BH445" s="401"/>
      <c r="BI445" s="401"/>
      <c r="BJ445" s="401"/>
      <c r="BK445" s="401"/>
      <c r="BL445" s="401"/>
      <c r="BM445" s="401"/>
      <c r="BN445" s="401"/>
      <c r="BO445" s="401"/>
      <c r="BP445" s="401"/>
      <c r="BQ445" s="401"/>
      <c r="BR445" s="401"/>
      <c r="BS445" s="401"/>
      <c r="BT445" s="401"/>
      <c r="BU445" s="9"/>
      <c r="BV445" s="9"/>
      <c r="BW445" s="9"/>
      <c r="BX445" s="9"/>
      <c r="BY445" s="9"/>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row>
    <row r="446" spans="1:105">
      <c r="A446" s="6"/>
      <c r="B446" s="6"/>
      <c r="D446" s="4" t="s">
        <v>2378</v>
      </c>
      <c r="E446" s="2"/>
      <c r="F446" s="2"/>
      <c r="G446" s="2"/>
      <c r="H446" s="2"/>
      <c r="I446" s="2"/>
      <c r="J446" s="2"/>
      <c r="K446" s="2"/>
      <c r="L446" s="2"/>
      <c r="M446" s="2"/>
      <c r="N446" s="2"/>
      <c r="O446" s="2"/>
      <c r="P446" s="2"/>
      <c r="Q446" s="2"/>
      <c r="R446" s="2"/>
      <c r="S446" s="8"/>
      <c r="T446" s="8"/>
      <c r="U446" s="8"/>
      <c r="V446" s="8"/>
      <c r="W446" s="8"/>
      <c r="X446" s="9">
        <v>5170.0769230769229</v>
      </c>
      <c r="Y446" s="9">
        <v>5059.5769230769229</v>
      </c>
      <c r="Z446" s="9">
        <v>5083.4615384615381</v>
      </c>
      <c r="AA446" s="9">
        <v>4796.931818181818</v>
      </c>
      <c r="AB446" s="9"/>
      <c r="AC446" s="9">
        <v>4624.090909090909</v>
      </c>
      <c r="AD446" s="9">
        <v>4098.2307692307695</v>
      </c>
      <c r="AE446" s="9">
        <v>3974.128787878788</v>
      </c>
      <c r="AF446" s="9">
        <v>4674.9227272727276</v>
      </c>
      <c r="AG446" s="9"/>
      <c r="AH446" s="9">
        <v>5073.6328125</v>
      </c>
      <c r="AI446" s="9">
        <v>5041.3076923076924</v>
      </c>
      <c r="AJ446" s="9">
        <v>4972.462121212121</v>
      </c>
      <c r="AK446" s="9">
        <v>4807.575757575758</v>
      </c>
      <c r="AL446" s="8">
        <v>4974</v>
      </c>
      <c r="AM446" s="9">
        <v>4703.203125</v>
      </c>
      <c r="AN446" s="9">
        <v>4742.6923076923076</v>
      </c>
      <c r="AO446" s="9">
        <v>4781.886363636364</v>
      </c>
      <c r="AP446" s="9">
        <v>4797.378787878788</v>
      </c>
      <c r="AQ446" s="142">
        <f>SA!K72</f>
        <v>4756.2901460518651</v>
      </c>
      <c r="AR446" s="9">
        <v>4509.609375</v>
      </c>
      <c r="AS446" s="9">
        <v>4028.2538461538461</v>
      </c>
      <c r="AT446" s="9">
        <v>3937.546875</v>
      </c>
      <c r="AU446" s="9">
        <v>4302</v>
      </c>
      <c r="AV446" s="142">
        <f>SA!L72</f>
        <v>4196</v>
      </c>
      <c r="AW446" s="9">
        <v>4439.376923076923</v>
      </c>
      <c r="AX446" s="9">
        <v>4401.4692307692312</v>
      </c>
      <c r="AY446" s="9">
        <v>4429.5046153846151</v>
      </c>
      <c r="AZ446" s="9">
        <v>4400.727272727273</v>
      </c>
      <c r="BA446" s="142"/>
      <c r="BB446" s="9">
        <v>4439.376923076923</v>
      </c>
      <c r="BC446" s="9"/>
      <c r="BD446" s="9"/>
      <c r="BE446" s="9"/>
      <c r="BF446" s="142"/>
      <c r="BG446" s="142"/>
      <c r="BH446" s="142"/>
      <c r="BI446" s="142"/>
      <c r="BJ446" s="142"/>
      <c r="BK446" s="142"/>
      <c r="BL446" s="142"/>
      <c r="BM446" s="142"/>
      <c r="BN446" s="142"/>
      <c r="BO446" s="142"/>
      <c r="BP446" s="142"/>
      <c r="BQ446" s="142"/>
      <c r="BR446" s="142"/>
      <c r="BS446" s="142"/>
      <c r="BT446" s="142"/>
      <c r="BU446" s="9"/>
      <c r="BV446" s="9"/>
      <c r="BW446" s="9"/>
      <c r="BX446" s="9"/>
      <c r="BY446" s="9"/>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row>
    <row r="447" spans="1:105">
      <c r="A447" s="6"/>
      <c r="B447" s="6"/>
      <c r="D447" s="4" t="s">
        <v>1665</v>
      </c>
      <c r="E447" s="2"/>
      <c r="F447" s="10"/>
      <c r="G447" s="2"/>
      <c r="H447" s="10"/>
      <c r="I447" s="10"/>
      <c r="J447" s="10"/>
      <c r="K447" s="10"/>
      <c r="L447" s="10"/>
      <c r="M447" s="10"/>
      <c r="N447" s="10"/>
      <c r="O447" s="10"/>
      <c r="P447" s="10"/>
      <c r="Q447" s="10"/>
      <c r="R447" s="10"/>
      <c r="S447" s="9">
        <v>2264.1627692307688</v>
      </c>
      <c r="T447" s="9">
        <v>2442.3235384615382</v>
      </c>
      <c r="U447" s="9">
        <v>2429.2107692307691</v>
      </c>
      <c r="V447" s="9">
        <v>2303.4636923076914</v>
      </c>
      <c r="W447" s="16"/>
      <c r="X447" s="9">
        <v>2220.5775384615386</v>
      </c>
      <c r="Y447" s="9">
        <v>2022.8269230769231</v>
      </c>
      <c r="Z447" s="9">
        <v>2041.6072307692311</v>
      </c>
      <c r="AA447" s="9">
        <v>2019.7140909090911</v>
      </c>
      <c r="AB447" s="9"/>
      <c r="AC447" s="9">
        <v>1892.9296363636363</v>
      </c>
      <c r="AD447" s="9">
        <v>1767.5547692307694</v>
      </c>
      <c r="AE447" s="9">
        <v>1902.8969696969698</v>
      </c>
      <c r="AF447" s="9">
        <v>2291.4984848484855</v>
      </c>
      <c r="AG447" s="16"/>
      <c r="AH447" s="9">
        <v>2415.1815625000004</v>
      </c>
      <c r="AI447" s="9">
        <v>2227.545846153846</v>
      </c>
      <c r="AJ447" s="9">
        <v>2013.4059090909088</v>
      </c>
      <c r="AK447" s="9">
        <v>1967.4592424242435</v>
      </c>
      <c r="AL447" s="8">
        <f>Colombia!F34</f>
        <v>2156</v>
      </c>
      <c r="AM447" s="9">
        <v>1945.0285937499993</v>
      </c>
      <c r="AN447" s="9">
        <v>1949.3350769230769</v>
      </c>
      <c r="AO447" s="9">
        <v>1831.6242424242428</v>
      </c>
      <c r="AP447" s="9">
        <v>1868.3128787878791</v>
      </c>
      <c r="AQ447" s="142">
        <f>Colombia!G34</f>
        <v>1898.5751979712995</v>
      </c>
      <c r="AR447" s="9">
        <v>1877.9204687499998</v>
      </c>
      <c r="AS447" s="9">
        <v>1796.5675384615383</v>
      </c>
      <c r="AT447" s="9">
        <v>1793.4825000000001</v>
      </c>
      <c r="AU447" s="9">
        <v>1921</v>
      </c>
      <c r="AV447" s="142">
        <f>Colombia!H34</f>
        <v>1862</v>
      </c>
      <c r="AW447" s="9">
        <v>1798.2390769230769</v>
      </c>
      <c r="AX447" s="9">
        <v>1786.5210769230771</v>
      </c>
      <c r="AY447" s="9">
        <v>1798.4019999999991</v>
      </c>
      <c r="AZ447" s="9">
        <v>1805.9493939393944</v>
      </c>
      <c r="BA447" s="142"/>
      <c r="BB447" s="9">
        <v>1798.2390769230769</v>
      </c>
      <c r="BC447" s="9"/>
      <c r="BD447" s="9"/>
      <c r="BE447" s="9"/>
      <c r="BF447" s="142"/>
      <c r="BG447" s="142"/>
      <c r="BH447" s="142"/>
      <c r="BI447" s="142"/>
      <c r="BJ447" s="142"/>
      <c r="BK447" s="142"/>
      <c r="BL447" s="142"/>
      <c r="BM447" s="142"/>
      <c r="BN447" s="142"/>
      <c r="BO447" s="142"/>
      <c r="BP447" s="142"/>
      <c r="BQ447" s="142"/>
      <c r="BR447" s="142"/>
      <c r="BS447" s="142"/>
      <c r="BT447" s="142"/>
      <c r="BU447" s="9"/>
      <c r="BV447" s="9"/>
      <c r="BW447" s="9"/>
      <c r="BX447" s="9"/>
      <c r="BY447" s="9"/>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row>
    <row r="448" spans="1:105">
      <c r="A448" s="6"/>
      <c r="B448" s="6"/>
      <c r="D448" s="2"/>
      <c r="E448" s="2"/>
      <c r="F448" s="10"/>
      <c r="G448" s="2"/>
      <c r="H448" s="10"/>
      <c r="I448" s="10"/>
      <c r="J448" s="10"/>
      <c r="K448" s="10"/>
      <c r="L448" s="10"/>
      <c r="M448" s="10"/>
      <c r="N448" s="10"/>
      <c r="O448" s="10"/>
      <c r="P448" s="10"/>
      <c r="Q448" s="10"/>
      <c r="R448" s="10"/>
      <c r="S448" s="10"/>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9"/>
      <c r="BV448" s="9"/>
      <c r="BW448" s="9"/>
      <c r="BX448" s="9"/>
      <c r="BY448" s="9"/>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row>
    <row r="449" spans="1:105">
      <c r="A449" s="6"/>
      <c r="B449" s="6"/>
      <c r="D449" s="4" t="s">
        <v>2376</v>
      </c>
      <c r="E449" s="2"/>
      <c r="F449" s="10"/>
      <c r="G449" s="2"/>
      <c r="H449" s="10"/>
      <c r="I449" s="10"/>
      <c r="J449" s="10"/>
      <c r="K449" s="10"/>
      <c r="L449" s="10"/>
      <c r="M449" s="10"/>
      <c r="N449" s="10"/>
      <c r="O449" s="10"/>
      <c r="P449" s="10"/>
      <c r="Q449" s="10"/>
      <c r="R449" s="10"/>
      <c r="S449" s="10"/>
      <c r="T449" s="16"/>
      <c r="U449" s="16"/>
      <c r="V449" s="16"/>
      <c r="W449" s="16"/>
      <c r="X449" s="101">
        <v>8.7520000000000024</v>
      </c>
      <c r="Y449" s="101">
        <v>8.7519692307692321</v>
      </c>
      <c r="Z449" s="101">
        <v>8.7519692307692321</v>
      </c>
      <c r="AA449" s="101">
        <v>8.7520000000000007</v>
      </c>
      <c r="AB449" s="101"/>
      <c r="AC449" s="101">
        <v>8.752000000000006</v>
      </c>
      <c r="AD449" s="101">
        <v>8.7520000000000024</v>
      </c>
      <c r="AE449" s="101">
        <v>8.751939393939395</v>
      </c>
      <c r="AF449" s="101">
        <v>8.751969696969697</v>
      </c>
      <c r="AG449" s="101"/>
      <c r="AH449" s="101">
        <v>8.7514375000000086</v>
      </c>
      <c r="AI449" s="101">
        <v>8.7479999999999976</v>
      </c>
      <c r="AJ449" s="101">
        <v>8.7476742424242371</v>
      </c>
      <c r="AK449" s="101">
        <v>8.7475378787878739</v>
      </c>
      <c r="AL449" s="189">
        <v>8.75</v>
      </c>
      <c r="AM449" s="101">
        <v>8.7475390624999996</v>
      </c>
      <c r="AN449" s="101">
        <v>8.7475000000000005</v>
      </c>
      <c r="AO449" s="101">
        <v>8.7475000000000005</v>
      </c>
      <c r="AP449" s="101">
        <v>8.7475378787878739</v>
      </c>
      <c r="AQ449" s="189">
        <v>8.75</v>
      </c>
      <c r="AR449" s="101">
        <v>8.75</v>
      </c>
      <c r="AS449" s="101">
        <v>8.75</v>
      </c>
      <c r="AT449" s="101">
        <v>8.75</v>
      </c>
      <c r="AU449" s="101">
        <v>8.75</v>
      </c>
      <c r="AV449" s="189">
        <f>AQ449</f>
        <v>8.75</v>
      </c>
      <c r="AW449" s="101">
        <v>8.7478461538461509</v>
      </c>
      <c r="AX449" s="101">
        <v>8.7478076923076884</v>
      </c>
      <c r="AY449" s="101">
        <v>8.7478076923076884</v>
      </c>
      <c r="AZ449" s="101">
        <v>8.7477272727272677</v>
      </c>
      <c r="BA449" s="189"/>
      <c r="BB449" s="101">
        <v>8.7478461538461509</v>
      </c>
      <c r="BC449" s="101"/>
      <c r="BD449" s="101"/>
      <c r="BE449" s="101"/>
      <c r="BF449" s="189"/>
      <c r="BG449" s="189"/>
      <c r="BH449" s="189"/>
      <c r="BI449" s="189"/>
      <c r="BJ449" s="189"/>
      <c r="BK449" s="189"/>
      <c r="BL449" s="189"/>
      <c r="BM449" s="189"/>
      <c r="BN449" s="189"/>
      <c r="BO449" s="189"/>
      <c r="BP449" s="189"/>
      <c r="BQ449" s="189"/>
      <c r="BR449" s="189"/>
      <c r="BS449" s="189"/>
      <c r="BT449" s="189"/>
      <c r="BU449" s="9"/>
      <c r="BV449" s="9"/>
      <c r="BW449" s="9"/>
      <c r="BX449" s="9"/>
      <c r="BY449" s="9"/>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row>
    <row r="450" spans="1:105">
      <c r="A450" s="6"/>
      <c r="B450" s="6"/>
      <c r="D450" s="4" t="s">
        <v>2379</v>
      </c>
      <c r="E450" s="2"/>
      <c r="F450" s="10"/>
      <c r="G450" s="2"/>
      <c r="H450" s="10"/>
      <c r="I450" s="10"/>
      <c r="J450" s="10"/>
      <c r="K450" s="10"/>
      <c r="L450" s="10"/>
      <c r="M450" s="10"/>
      <c r="N450" s="10"/>
      <c r="O450" s="10"/>
      <c r="P450" s="10"/>
      <c r="Q450" s="10"/>
      <c r="R450" s="10"/>
      <c r="S450" s="10"/>
      <c r="T450" s="16"/>
      <c r="U450" s="16"/>
      <c r="V450" s="16"/>
      <c r="W450" s="16"/>
      <c r="X450" s="101">
        <v>7.6888384615384622</v>
      </c>
      <c r="Y450" s="101">
        <v>7.6647000000000016</v>
      </c>
      <c r="Z450" s="101">
        <v>7.6833615384615399</v>
      </c>
      <c r="AA450" s="101">
        <v>7.6710684848484849</v>
      </c>
      <c r="AB450" s="101"/>
      <c r="AC450" s="101">
        <v>7.6957181818181848</v>
      </c>
      <c r="AD450" s="101">
        <v>7.4946770769230762</v>
      </c>
      <c r="AE450" s="101">
        <v>7.4366563636363656</v>
      </c>
      <c r="AF450" s="101">
        <v>7.6106590909090936</v>
      </c>
      <c r="AG450" s="101"/>
      <c r="AH450" s="101">
        <v>7.9390156249999997</v>
      </c>
      <c r="AI450" s="101">
        <v>8.0964000000000009</v>
      </c>
      <c r="AJ450" s="101">
        <v>8.2287813636363616</v>
      </c>
      <c r="AK450" s="101">
        <v>8.3077198484848438</v>
      </c>
      <c r="AL450" s="189">
        <f>CA!J70</f>
        <v>8.14</v>
      </c>
      <c r="AM450" s="101">
        <v>8.1899670312499993</v>
      </c>
      <c r="AN450" s="101">
        <v>8.0042532307692298</v>
      </c>
      <c r="AO450" s="101">
        <v>8.0327187878787889</v>
      </c>
      <c r="AP450" s="101">
        <v>8.0053219696969684</v>
      </c>
      <c r="AQ450" s="189">
        <f>CA!K70</f>
        <v>8.0580652548987466</v>
      </c>
      <c r="AR450" s="101">
        <v>7.8241757812499984</v>
      </c>
      <c r="AS450" s="101">
        <v>7.6924384615384636</v>
      </c>
      <c r="AT450" s="101">
        <v>7.8152343749999993</v>
      </c>
      <c r="AU450" s="101">
        <v>7.82</v>
      </c>
      <c r="AV450" s="189">
        <f>CA!L70</f>
        <v>7.79</v>
      </c>
      <c r="AW450" s="101">
        <v>7.7697384615384602</v>
      </c>
      <c r="AX450" s="101">
        <v>7.7921999999999993</v>
      </c>
      <c r="AY450" s="101">
        <v>7.8888115384615416</v>
      </c>
      <c r="AZ450" s="101">
        <v>7.8835757575757581</v>
      </c>
      <c r="BA450" s="189"/>
      <c r="BB450" s="101">
        <v>7.7697384615384602</v>
      </c>
      <c r="BC450" s="101"/>
      <c r="BD450" s="101"/>
      <c r="BE450" s="101"/>
      <c r="BF450" s="189"/>
      <c r="BG450" s="189"/>
      <c r="BH450" s="189"/>
      <c r="BI450" s="189"/>
      <c r="BJ450" s="189"/>
      <c r="BK450" s="189"/>
      <c r="BL450" s="189"/>
      <c r="BM450" s="189"/>
      <c r="BN450" s="189"/>
      <c r="BO450" s="189"/>
      <c r="BP450" s="189"/>
      <c r="BQ450" s="189"/>
      <c r="BR450" s="189"/>
      <c r="BS450" s="189"/>
      <c r="BT450" s="189"/>
      <c r="BU450" s="9"/>
      <c r="BV450" s="9"/>
      <c r="BW450" s="9"/>
      <c r="BX450" s="9"/>
      <c r="BY450" s="9"/>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row>
    <row r="451" spans="1:105">
      <c r="A451" s="6"/>
      <c r="B451" s="6"/>
      <c r="D451" s="4" t="s">
        <v>2380</v>
      </c>
      <c r="E451" s="2"/>
      <c r="F451" s="10"/>
      <c r="G451" s="2"/>
      <c r="H451" s="10"/>
      <c r="I451" s="10"/>
      <c r="J451" s="10"/>
      <c r="K451" s="10"/>
      <c r="L451" s="10"/>
      <c r="M451" s="10"/>
      <c r="N451" s="10"/>
      <c r="O451" s="10"/>
      <c r="P451" s="10"/>
      <c r="Q451" s="10"/>
      <c r="R451" s="10"/>
      <c r="S451" s="10"/>
      <c r="T451" s="16"/>
      <c r="U451" s="16"/>
      <c r="V451" s="16"/>
      <c r="W451" s="16"/>
      <c r="X451" s="101">
        <v>18.895</v>
      </c>
      <c r="Y451" s="101">
        <v>18.895553846153835</v>
      </c>
      <c r="Z451" s="101">
        <v>18.895</v>
      </c>
      <c r="AA451" s="101">
        <v>18.895</v>
      </c>
      <c r="AB451" s="101"/>
      <c r="AC451" s="101">
        <v>18.895272727272719</v>
      </c>
      <c r="AD451" s="101">
        <v>18.897461538461542</v>
      </c>
      <c r="AE451" s="101">
        <v>18.895848484848475</v>
      </c>
      <c r="AF451" s="101">
        <v>18.895060606060593</v>
      </c>
      <c r="AG451" s="101"/>
      <c r="AH451" s="101">
        <v>18.887145312499992</v>
      </c>
      <c r="AI451" s="101">
        <v>18.894233846153835</v>
      </c>
      <c r="AJ451" s="101">
        <v>18.894848484848474</v>
      </c>
      <c r="AK451" s="101">
        <v>18.895001515151503</v>
      </c>
      <c r="AL451" s="189">
        <f>CA!J71</f>
        <v>18.89</v>
      </c>
      <c r="AM451" s="101">
        <v>18.895</v>
      </c>
      <c r="AN451" s="101">
        <v>18.895001538461528</v>
      </c>
      <c r="AO451" s="101">
        <v>18.895</v>
      </c>
      <c r="AP451" s="101">
        <v>18.894924242424231</v>
      </c>
      <c r="AQ451" s="189">
        <f>CA!K71</f>
        <v>18.894981445221433</v>
      </c>
      <c r="AR451" s="101">
        <v>18.894999999999989</v>
      </c>
      <c r="AS451" s="101">
        <v>18.894846153846142</v>
      </c>
      <c r="AT451" s="101">
        <v>18.851914062500015</v>
      </c>
      <c r="AU451" s="101">
        <v>18.940000000000001</v>
      </c>
      <c r="AV451" s="189">
        <f>CA!L71</f>
        <v>18.89</v>
      </c>
      <c r="AW451" s="101">
        <v>19.05046153846153</v>
      </c>
      <c r="AX451" s="101">
        <v>19.055076923076914</v>
      </c>
      <c r="AY451" s="101">
        <v>19.378000000000014</v>
      </c>
      <c r="AZ451" s="101">
        <v>19.772106060606035</v>
      </c>
      <c r="BA451" s="189"/>
      <c r="BB451" s="101">
        <v>19.05046153846153</v>
      </c>
      <c r="BC451" s="101"/>
      <c r="BD451" s="101"/>
      <c r="BE451" s="101"/>
      <c r="BF451" s="189"/>
      <c r="BG451" s="189"/>
      <c r="BH451" s="189"/>
      <c r="BI451" s="189"/>
      <c r="BJ451" s="189"/>
      <c r="BK451" s="189"/>
      <c r="BL451" s="189"/>
      <c r="BM451" s="189"/>
      <c r="BN451" s="189"/>
      <c r="BO451" s="189"/>
      <c r="BP451" s="189"/>
      <c r="BQ451" s="189"/>
      <c r="BR451" s="189"/>
      <c r="BS451" s="189"/>
      <c r="BT451" s="189"/>
      <c r="BU451" s="9"/>
      <c r="BV451" s="9"/>
      <c r="BW451" s="9"/>
      <c r="BX451" s="9"/>
      <c r="BY451" s="9"/>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row>
    <row r="452" spans="1:105">
      <c r="A452" s="6"/>
      <c r="B452" s="6"/>
      <c r="D452" s="2"/>
      <c r="E452" s="2"/>
      <c r="F452" s="10"/>
      <c r="G452" s="2"/>
      <c r="H452" s="10"/>
      <c r="I452" s="10"/>
      <c r="J452" s="10"/>
      <c r="K452" s="10"/>
      <c r="L452" s="10"/>
      <c r="M452" s="10"/>
      <c r="N452" s="10"/>
      <c r="O452" s="10"/>
      <c r="P452" s="10"/>
      <c r="Q452" s="10"/>
      <c r="R452" s="10"/>
      <c r="S452" s="10"/>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9"/>
      <c r="BV452" s="9"/>
      <c r="BW452" s="9"/>
      <c r="BX452" s="9"/>
      <c r="BY452" s="9"/>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row>
    <row r="453" spans="1:105">
      <c r="A453" s="6"/>
      <c r="B453" s="6"/>
      <c r="D453" s="4" t="str">
        <f t="shared" ref="D453:D459" si="268">D232</f>
        <v>Ghana</v>
      </c>
      <c r="E453" s="2"/>
      <c r="F453" s="10"/>
      <c r="G453" s="2"/>
      <c r="H453" s="10"/>
      <c r="I453" s="10"/>
      <c r="J453" s="10"/>
      <c r="K453" s="10"/>
      <c r="L453" s="10"/>
      <c r="M453" s="10"/>
      <c r="N453" s="10"/>
      <c r="O453" s="10"/>
      <c r="P453" s="10"/>
      <c r="Q453" s="10"/>
      <c r="R453" s="10"/>
      <c r="S453" s="10"/>
      <c r="T453" s="16"/>
      <c r="U453" s="16"/>
      <c r="V453" s="16"/>
      <c r="W453" s="16"/>
      <c r="X453" s="101">
        <v>0.9255453846153846</v>
      </c>
      <c r="Y453" s="101">
        <v>0.92717323076923053</v>
      </c>
      <c r="Z453" s="101">
        <v>0.93513892307692281</v>
      </c>
      <c r="AA453" s="101">
        <v>0.95786818181818145</v>
      </c>
      <c r="AB453" s="101"/>
      <c r="AC453" s="101">
        <v>0.97195909090909072</v>
      </c>
      <c r="AD453" s="101">
        <v>1.0141507692307694</v>
      </c>
      <c r="AE453" s="101">
        <v>1.1429469696969692</v>
      </c>
      <c r="AF453" s="101">
        <v>1.2003803030303031</v>
      </c>
      <c r="AG453" s="101"/>
      <c r="AH453" s="101">
        <v>1.356834375</v>
      </c>
      <c r="AI453" s="101">
        <v>1.4585576923076919</v>
      </c>
      <c r="AJ453" s="101">
        <v>1.4753219696969695</v>
      </c>
      <c r="AK453" s="101">
        <v>1.4352272727272721</v>
      </c>
      <c r="AL453" s="189">
        <f>Africa!J145</f>
        <v>1.43</v>
      </c>
      <c r="AM453" s="101">
        <v>1.4248812500000003</v>
      </c>
      <c r="AN453" s="101">
        <v>1.4243999999999994</v>
      </c>
      <c r="AO453" s="101">
        <v>1.4381060606060607</v>
      </c>
      <c r="AP453" s="101">
        <v>1.4449272727272726</v>
      </c>
      <c r="AQ453" s="189">
        <f>Africa!K145</f>
        <v>1.4330786458333333</v>
      </c>
      <c r="AR453" s="101">
        <v>1.5168359374999996</v>
      </c>
      <c r="AS453" s="101">
        <v>1.511073846153846</v>
      </c>
      <c r="AT453" s="101">
        <v>1.5312765625</v>
      </c>
      <c r="AU453" s="101">
        <v>1.63</v>
      </c>
      <c r="AV453" s="189">
        <f>Africa!L145</f>
        <v>1.55</v>
      </c>
      <c r="AW453" s="101">
        <v>1.7106584615384619</v>
      </c>
      <c r="AX453" s="101">
        <v>1.8720246153846154</v>
      </c>
      <c r="AY453" s="101">
        <v>1.9365200000000002</v>
      </c>
      <c r="AZ453" s="101">
        <v>1.8897212121212121</v>
      </c>
      <c r="BA453" s="189"/>
      <c r="BB453" s="101">
        <v>1.9126109375000002</v>
      </c>
      <c r="BC453" s="101"/>
      <c r="BD453" s="101"/>
      <c r="BE453" s="101"/>
      <c r="BF453" s="189"/>
      <c r="BG453" s="189"/>
      <c r="BH453" s="189"/>
      <c r="BI453" s="189"/>
      <c r="BJ453" s="189"/>
      <c r="BK453" s="189"/>
      <c r="BL453" s="189"/>
      <c r="BM453" s="189"/>
      <c r="BN453" s="189"/>
      <c r="BO453" s="189"/>
      <c r="BP453" s="189"/>
      <c r="BQ453" s="189"/>
      <c r="BR453" s="189"/>
      <c r="BS453" s="189"/>
      <c r="BT453" s="189"/>
      <c r="BU453" s="9"/>
      <c r="BV453" s="9"/>
      <c r="BW453" s="9"/>
      <c r="BX453" s="9"/>
      <c r="BY453" s="9"/>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row>
    <row r="454" spans="1:105">
      <c r="A454" s="6"/>
      <c r="B454" s="6"/>
      <c r="D454" s="4" t="str">
        <f t="shared" si="268"/>
        <v>Mauritius</v>
      </c>
      <c r="E454" s="2"/>
      <c r="F454" s="10"/>
      <c r="G454" s="2"/>
      <c r="H454" s="10"/>
      <c r="I454" s="10"/>
      <c r="J454" s="10"/>
      <c r="K454" s="10"/>
      <c r="L454" s="10"/>
      <c r="M454" s="10"/>
      <c r="N454" s="10"/>
      <c r="O454" s="10"/>
      <c r="P454" s="10"/>
      <c r="Q454" s="10"/>
      <c r="R454" s="10"/>
      <c r="S454" s="10"/>
      <c r="T454" s="16"/>
      <c r="U454" s="16"/>
      <c r="V454" s="16"/>
      <c r="W454" s="16"/>
      <c r="X454" s="7">
        <v>32.510230769230759</v>
      </c>
      <c r="Y454" s="7">
        <v>31.363538461538464</v>
      </c>
      <c r="Z454" s="7">
        <v>30.769384615384627</v>
      </c>
      <c r="AA454" s="7">
        <v>29.709015151515143</v>
      </c>
      <c r="AB454" s="7"/>
      <c r="AC454" s="7">
        <v>27.621727272727281</v>
      </c>
      <c r="AD454" s="7">
        <v>26.713076923076915</v>
      </c>
      <c r="AE454" s="7">
        <v>27.681363636363638</v>
      </c>
      <c r="AF454" s="7">
        <v>31.704166666666673</v>
      </c>
      <c r="AG454" s="7"/>
      <c r="AH454" s="7">
        <v>33.2326640625</v>
      </c>
      <c r="AI454" s="7">
        <v>33.078092307692302</v>
      </c>
      <c r="AJ454" s="7">
        <v>31.462409090909095</v>
      </c>
      <c r="AK454" s="7">
        <v>29.885227272727263</v>
      </c>
      <c r="AL454" s="10">
        <f>Africa!J146</f>
        <v>32</v>
      </c>
      <c r="AM454" s="7">
        <v>30.317218749999995</v>
      </c>
      <c r="AN454" s="7">
        <v>32.01633076923077</v>
      </c>
      <c r="AO454" s="7">
        <v>30.751053030303027</v>
      </c>
      <c r="AP454" s="7">
        <v>30.122606060606053</v>
      </c>
      <c r="AQ454" s="10">
        <f>Africa!K146</f>
        <v>30.801802152534961</v>
      </c>
      <c r="AR454" s="7">
        <v>29.42289062499999</v>
      </c>
      <c r="AS454" s="7">
        <v>27.959053846153843</v>
      </c>
      <c r="AT454" s="7">
        <v>28.247164062500001</v>
      </c>
      <c r="AU454" s="7">
        <v>29.1</v>
      </c>
      <c r="AV454" s="10">
        <f>Africa!L146</f>
        <v>29</v>
      </c>
      <c r="AW454" s="7">
        <v>29.20384615384615</v>
      </c>
      <c r="AX454" s="7">
        <v>29.632846153846156</v>
      </c>
      <c r="AY454" s="7">
        <v>30.676269230769222</v>
      </c>
      <c r="AZ454" s="7">
        <v>30.875378787878791</v>
      </c>
      <c r="BA454" s="10"/>
      <c r="BB454" s="7">
        <v>30.743203124999997</v>
      </c>
      <c r="BC454" s="7"/>
      <c r="BD454" s="7"/>
      <c r="BE454" s="7"/>
      <c r="BF454" s="10"/>
      <c r="BG454" s="10"/>
      <c r="BH454" s="10"/>
      <c r="BI454" s="10"/>
      <c r="BJ454" s="10"/>
      <c r="BK454" s="10"/>
      <c r="BL454" s="10"/>
      <c r="BM454" s="10"/>
      <c r="BN454" s="10"/>
      <c r="BO454" s="10"/>
      <c r="BP454" s="10"/>
      <c r="BQ454" s="10"/>
      <c r="BR454" s="10"/>
      <c r="BS454" s="10"/>
      <c r="BT454" s="10"/>
      <c r="BU454" s="9"/>
      <c r="BV454" s="9"/>
      <c r="BW454" s="9"/>
      <c r="BX454" s="9"/>
      <c r="BY454" s="9"/>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row>
    <row r="455" spans="1:105">
      <c r="A455" s="6"/>
      <c r="B455" s="6"/>
      <c r="D455" s="4" t="str">
        <f t="shared" si="268"/>
        <v>Senegal</v>
      </c>
      <c r="E455" s="2"/>
      <c r="F455" s="10"/>
      <c r="G455" s="2"/>
      <c r="H455" s="10"/>
      <c r="I455" s="10"/>
      <c r="J455" s="10"/>
      <c r="K455" s="10"/>
      <c r="L455" s="10"/>
      <c r="M455" s="10"/>
      <c r="N455" s="10"/>
      <c r="O455" s="10"/>
      <c r="P455" s="10"/>
      <c r="Q455" s="10"/>
      <c r="R455" s="10"/>
      <c r="S455" s="10"/>
      <c r="T455" s="16"/>
      <c r="U455" s="16"/>
      <c r="V455" s="16"/>
      <c r="W455" s="16"/>
      <c r="X455" s="7">
        <v>500.5660046153846</v>
      </c>
      <c r="Y455" s="7">
        <v>486.74571692307711</v>
      </c>
      <c r="Z455" s="7">
        <v>477.33340307692299</v>
      </c>
      <c r="AA455" s="7">
        <v>453.0612969696972</v>
      </c>
      <c r="AB455" s="7"/>
      <c r="AC455" s="7">
        <v>436.44805454545468</v>
      </c>
      <c r="AD455" s="7">
        <v>419.68556307692319</v>
      </c>
      <c r="AE455" s="7">
        <v>436.94854090909092</v>
      </c>
      <c r="AF455" s="7">
        <v>498.28297424242425</v>
      </c>
      <c r="AG455" s="7"/>
      <c r="AH455" s="7">
        <v>502.78895624999996</v>
      </c>
      <c r="AI455" s="7">
        <v>481.53104307692286</v>
      </c>
      <c r="AJ455" s="7">
        <v>458.44934393939405</v>
      </c>
      <c r="AK455" s="7">
        <v>444.42363939393937</v>
      </c>
      <c r="AL455" s="10">
        <f>Africa!J147</f>
        <v>472</v>
      </c>
      <c r="AM455" s="7">
        <v>474.04781406249998</v>
      </c>
      <c r="AN455" s="7">
        <v>515.86016000000006</v>
      </c>
      <c r="AO455" s="7">
        <v>507.74002424242434</v>
      </c>
      <c r="AP455" s="7">
        <v>484.37884090909091</v>
      </c>
      <c r="AQ455" s="10">
        <f>Africa!K147</f>
        <v>495.50670980350384</v>
      </c>
      <c r="AR455" s="7">
        <v>480.18261874999996</v>
      </c>
      <c r="AS455" s="7">
        <v>456.45479076923067</v>
      </c>
      <c r="AT455" s="7">
        <v>464.69595625000017</v>
      </c>
      <c r="AU455" s="7">
        <v>488</v>
      </c>
      <c r="AV455" s="10">
        <f>Africa!L147</f>
        <v>472</v>
      </c>
      <c r="AW455" s="7">
        <v>501.2208938461539</v>
      </c>
      <c r="AX455" s="7">
        <v>512.52305846153843</v>
      </c>
      <c r="AY455" s="7">
        <v>525.62650615384621</v>
      </c>
      <c r="AZ455" s="7">
        <v>505.63914999999997</v>
      </c>
      <c r="BA455" s="10"/>
      <c r="BB455" s="7">
        <v>497.06894374999985</v>
      </c>
      <c r="BC455" s="7"/>
      <c r="BD455" s="7"/>
      <c r="BE455" s="7"/>
      <c r="BF455" s="10"/>
      <c r="BG455" s="10"/>
      <c r="BH455" s="10"/>
      <c r="BI455" s="10"/>
      <c r="BJ455" s="10"/>
      <c r="BK455" s="10"/>
      <c r="BL455" s="10"/>
      <c r="BM455" s="10"/>
      <c r="BN455" s="10"/>
      <c r="BO455" s="10"/>
      <c r="BP455" s="10"/>
      <c r="BQ455" s="10"/>
      <c r="BR455" s="10"/>
      <c r="BS455" s="10"/>
      <c r="BT455" s="10"/>
      <c r="BU455" s="9"/>
      <c r="BV455" s="9"/>
      <c r="BW455" s="9"/>
      <c r="BX455" s="9"/>
      <c r="BY455" s="9"/>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row>
    <row r="456" spans="1:105">
      <c r="A456" s="6"/>
      <c r="B456" s="6"/>
      <c r="D456" s="4" t="str">
        <f t="shared" si="268"/>
        <v>Tanzania</v>
      </c>
      <c r="E456" s="2"/>
      <c r="F456" s="10"/>
      <c r="G456" s="2"/>
      <c r="H456" s="10"/>
      <c r="I456" s="10"/>
      <c r="J456" s="10"/>
      <c r="K456" s="10"/>
      <c r="L456" s="10"/>
      <c r="M456" s="10"/>
      <c r="N456" s="10"/>
      <c r="O456" s="10"/>
      <c r="P456" s="10"/>
      <c r="Q456" s="10"/>
      <c r="R456" s="10"/>
      <c r="S456" s="10"/>
      <c r="T456" s="16"/>
      <c r="U456" s="16"/>
      <c r="V456" s="16"/>
      <c r="W456" s="16"/>
      <c r="X456" s="7">
        <v>1276.409846153846</v>
      </c>
      <c r="Y456" s="7">
        <v>1262.3</v>
      </c>
      <c r="Z456" s="7">
        <v>1268.5284615384617</v>
      </c>
      <c r="AA456" s="7">
        <v>1157.2534848484847</v>
      </c>
      <c r="AB456" s="7"/>
      <c r="AC456" s="7">
        <v>1171.0972727272726</v>
      </c>
      <c r="AD456" s="7">
        <v>1201.9307692307693</v>
      </c>
      <c r="AE456" s="7">
        <v>1161.8636363636363</v>
      </c>
      <c r="AF456" s="7">
        <v>1262.2878787878788</v>
      </c>
      <c r="AG456" s="7"/>
      <c r="AH456" s="7">
        <v>1325.0703125</v>
      </c>
      <c r="AI456" s="7">
        <v>1327.9769230769232</v>
      </c>
      <c r="AJ456" s="7">
        <v>1317.2878787878788</v>
      </c>
      <c r="AK456" s="7">
        <v>1327.8901515151515</v>
      </c>
      <c r="AL456" s="10">
        <f>Africa!J148</f>
        <v>1325</v>
      </c>
      <c r="AM456" s="7">
        <v>1349.26953125</v>
      </c>
      <c r="AN456" s="7">
        <v>1419.123076923077</v>
      </c>
      <c r="AO456" s="7">
        <v>1513.0757575757575</v>
      </c>
      <c r="AP456" s="7">
        <v>1484.1363636363637</v>
      </c>
      <c r="AQ456" s="10">
        <f>Africa!K148</f>
        <v>1441.4011823462997</v>
      </c>
      <c r="AR456" s="7">
        <v>1502.5859375</v>
      </c>
      <c r="AS456" s="7">
        <v>1541.2076923076922</v>
      </c>
      <c r="AT456" s="7">
        <v>1612.3171875</v>
      </c>
      <c r="AU456" s="7">
        <v>1687</v>
      </c>
      <c r="AV456" s="10">
        <f>Africa!L148</f>
        <v>1586</v>
      </c>
      <c r="AW456" s="7">
        <v>1593.7130769230769</v>
      </c>
      <c r="AX456" s="7">
        <v>1584.4746153846154</v>
      </c>
      <c r="AY456" s="7">
        <v>1577.0438461538463</v>
      </c>
      <c r="AZ456" s="7">
        <v>1590.2901515151511</v>
      </c>
      <c r="BA456" s="10"/>
      <c r="BB456" s="7">
        <v>1614.7828125000001</v>
      </c>
      <c r="BC456" s="7"/>
      <c r="BD456" s="7"/>
      <c r="BE456" s="7"/>
      <c r="BF456" s="10"/>
      <c r="BG456" s="10"/>
      <c r="BH456" s="10"/>
      <c r="BI456" s="10"/>
      <c r="BJ456" s="10"/>
      <c r="BK456" s="10"/>
      <c r="BL456" s="10"/>
      <c r="BM456" s="10"/>
      <c r="BN456" s="10"/>
      <c r="BO456" s="10"/>
      <c r="BP456" s="10"/>
      <c r="BQ456" s="10"/>
      <c r="BR456" s="10"/>
      <c r="BS456" s="10"/>
      <c r="BT456" s="10"/>
      <c r="BU456" s="9"/>
      <c r="BV456" s="9"/>
      <c r="BW456" s="9"/>
      <c r="BX456" s="9"/>
      <c r="BY456" s="9"/>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row>
    <row r="457" spans="1:105">
      <c r="A457" s="6"/>
      <c r="B457" s="6"/>
      <c r="D457" s="4" t="str">
        <f t="shared" si="268"/>
        <v>Chad</v>
      </c>
      <c r="E457" s="2"/>
      <c r="F457" s="10"/>
      <c r="G457" s="2"/>
      <c r="H457" s="10"/>
      <c r="I457" s="10"/>
      <c r="J457" s="10"/>
      <c r="K457" s="10"/>
      <c r="L457" s="10"/>
      <c r="M457" s="10"/>
      <c r="N457" s="10"/>
      <c r="O457" s="10"/>
      <c r="P457" s="10"/>
      <c r="Q457" s="10"/>
      <c r="R457" s="10"/>
      <c r="S457" s="10"/>
      <c r="T457" s="16"/>
      <c r="U457" s="16"/>
      <c r="V457" s="16"/>
      <c r="W457" s="16"/>
      <c r="X457" s="7">
        <f>X455</f>
        <v>500.5660046153846</v>
      </c>
      <c r="Y457" s="7">
        <f t="shared" ref="Y457:AF457" si="269">Y455</f>
        <v>486.74571692307711</v>
      </c>
      <c r="Z457" s="7">
        <f t="shared" si="269"/>
        <v>477.33340307692299</v>
      </c>
      <c r="AA457" s="7">
        <f t="shared" si="269"/>
        <v>453.0612969696972</v>
      </c>
      <c r="AB457" s="7"/>
      <c r="AC457" s="7">
        <f t="shared" si="269"/>
        <v>436.44805454545468</v>
      </c>
      <c r="AD457" s="7">
        <f t="shared" si="269"/>
        <v>419.68556307692319</v>
      </c>
      <c r="AE457" s="7">
        <f t="shared" si="269"/>
        <v>436.94854090909092</v>
      </c>
      <c r="AF457" s="7">
        <f t="shared" si="269"/>
        <v>498.28297424242425</v>
      </c>
      <c r="AG457" s="7"/>
      <c r="AH457" s="7">
        <v>502.78895624999996</v>
      </c>
      <c r="AI457" s="7">
        <v>481.53104307692286</v>
      </c>
      <c r="AJ457" s="7">
        <v>458.44934393939405</v>
      </c>
      <c r="AK457" s="7">
        <v>444.42363939393937</v>
      </c>
      <c r="AL457" s="10">
        <f>Africa!J149</f>
        <v>472</v>
      </c>
      <c r="AM457" s="7">
        <f>AM455</f>
        <v>474.04781406249998</v>
      </c>
      <c r="AN457" s="7">
        <f>AN455</f>
        <v>515.86016000000006</v>
      </c>
      <c r="AO457" s="7">
        <v>508.12563076923084</v>
      </c>
      <c r="AP457" s="7">
        <v>482.4452</v>
      </c>
      <c r="AQ457" s="10">
        <f>Africa!K149</f>
        <v>495.50670980350384</v>
      </c>
      <c r="AR457" s="7">
        <v>480.18261874999996</v>
      </c>
      <c r="AS457" s="7">
        <v>456.45479076923067</v>
      </c>
      <c r="AT457" s="7">
        <v>464.69595625000017</v>
      </c>
      <c r="AU457" s="7">
        <v>488</v>
      </c>
      <c r="AV457" s="10">
        <f>Africa!L149</f>
        <v>472</v>
      </c>
      <c r="AW457" s="7">
        <v>501.2208938461539</v>
      </c>
      <c r="AX457" s="7">
        <v>512.52305846153843</v>
      </c>
      <c r="AY457" s="7">
        <v>525.62650615384621</v>
      </c>
      <c r="AZ457" s="7">
        <v>505.63914999999997</v>
      </c>
      <c r="BA457" s="10"/>
      <c r="BB457" s="7">
        <v>497.06894374999985</v>
      </c>
      <c r="BC457" s="7"/>
      <c r="BD457" s="7"/>
      <c r="BE457" s="7"/>
      <c r="BF457" s="10"/>
      <c r="BG457" s="10"/>
      <c r="BH457" s="10"/>
      <c r="BI457" s="10"/>
      <c r="BJ457" s="10"/>
      <c r="BK457" s="10"/>
      <c r="BL457" s="10"/>
      <c r="BM457" s="10"/>
      <c r="BN457" s="10"/>
      <c r="BO457" s="10"/>
      <c r="BP457" s="10"/>
      <c r="BQ457" s="10"/>
      <c r="BR457" s="10"/>
      <c r="BS457" s="10"/>
      <c r="BT457" s="10"/>
      <c r="BU457" s="9"/>
      <c r="BV457" s="9"/>
      <c r="BW457" s="9"/>
      <c r="BX457" s="9"/>
      <c r="BY457" s="9"/>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row>
    <row r="458" spans="1:105">
      <c r="A458" s="6"/>
      <c r="B458" s="6"/>
      <c r="D458" s="4" t="str">
        <f t="shared" si="268"/>
        <v>DRC (in $)</v>
      </c>
      <c r="E458" s="2"/>
      <c r="F458" s="10"/>
      <c r="G458" s="2"/>
      <c r="H458" s="10"/>
      <c r="I458" s="10"/>
      <c r="J458" s="10"/>
      <c r="K458" s="10"/>
      <c r="L458" s="10"/>
      <c r="M458" s="10"/>
      <c r="N458" s="10"/>
      <c r="O458" s="10"/>
      <c r="P458" s="10"/>
      <c r="Q458" s="10"/>
      <c r="R458" s="10"/>
      <c r="S458" s="10"/>
      <c r="T458" s="16"/>
      <c r="U458" s="16"/>
      <c r="V458" s="16"/>
      <c r="W458" s="16"/>
      <c r="X458" s="7">
        <v>546.16923076923081</v>
      </c>
      <c r="Y458" s="7">
        <v>559.02307692307693</v>
      </c>
      <c r="Z458" s="7">
        <v>559.46923076923076</v>
      </c>
      <c r="AA458" s="7">
        <v>557.38257575757575</v>
      </c>
      <c r="AB458" s="7"/>
      <c r="AC458" s="7">
        <v>550.07909090909084</v>
      </c>
      <c r="AD458" s="7">
        <v>551.63876923076919</v>
      </c>
      <c r="AE458" s="7">
        <v>552.87878787878788</v>
      </c>
      <c r="AF458" s="7">
        <v>582.21903484848542</v>
      </c>
      <c r="AG458" s="7"/>
      <c r="AH458" s="7">
        <v>731.02945624999984</v>
      </c>
      <c r="AI458" s="7">
        <v>796.18728153846132</v>
      </c>
      <c r="AJ458" s="7">
        <v>802.10158636363667</v>
      </c>
      <c r="AK458" s="7">
        <v>891.00559848484841</v>
      </c>
      <c r="AL458" s="10">
        <f>Africa!J150</f>
        <v>805</v>
      </c>
      <c r="AM458" s="7">
        <v>913.02232656250021</v>
      </c>
      <c r="AN458" s="7">
        <v>897.93641076923075</v>
      </c>
      <c r="AO458" s="7">
        <v>902.1173696969696</v>
      </c>
      <c r="AP458" s="7">
        <v>910.17691666666678</v>
      </c>
      <c r="AQ458" s="10">
        <f>Africa!K150</f>
        <v>905.81325592384178</v>
      </c>
      <c r="AR458" s="7">
        <v>921.71427968749992</v>
      </c>
      <c r="AS458" s="7">
        <v>923.22664769230789</v>
      </c>
      <c r="AT458" s="7">
        <v>921.72682812499988</v>
      </c>
      <c r="AU458" s="7">
        <v>910</v>
      </c>
      <c r="AV458" s="10">
        <f>Africa!L150</f>
        <v>919</v>
      </c>
      <c r="AW458" s="7">
        <v>919.66642923076938</v>
      </c>
      <c r="AX458" s="7">
        <v>922.31462923076901</v>
      </c>
      <c r="AY458" s="7">
        <v>919.1413030769229</v>
      </c>
      <c r="AZ458" s="7">
        <v>915.96303484848511</v>
      </c>
      <c r="BA458" s="10"/>
      <c r="BB458" s="7">
        <v>917.06527343749963</v>
      </c>
      <c r="BC458" s="7"/>
      <c r="BD458" s="7"/>
      <c r="BE458" s="7"/>
      <c r="BF458" s="10"/>
      <c r="BG458" s="10"/>
      <c r="BH458" s="10"/>
      <c r="BI458" s="10"/>
      <c r="BJ458" s="10"/>
      <c r="BK458" s="10"/>
      <c r="BL458" s="10"/>
      <c r="BM458" s="10"/>
      <c r="BN458" s="10"/>
      <c r="BO458" s="10"/>
      <c r="BP458" s="10"/>
      <c r="BQ458" s="10"/>
      <c r="BR458" s="10"/>
      <c r="BS458" s="10"/>
      <c r="BT458" s="10"/>
      <c r="BU458" s="9"/>
      <c r="BV458" s="9"/>
      <c r="BW458" s="9"/>
      <c r="BX458" s="9"/>
      <c r="BY458" s="9"/>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row>
    <row r="459" spans="1:105">
      <c r="A459" s="6"/>
      <c r="B459" s="6"/>
      <c r="D459" s="4" t="str">
        <f t="shared" si="268"/>
        <v>Rwanda</v>
      </c>
      <c r="E459" s="2"/>
      <c r="F459" s="10"/>
      <c r="G459" s="2"/>
      <c r="H459" s="10"/>
      <c r="I459" s="10"/>
      <c r="J459" s="10"/>
      <c r="K459" s="10"/>
      <c r="L459" s="10"/>
      <c r="M459" s="10"/>
      <c r="N459" s="10"/>
      <c r="O459" s="10"/>
      <c r="P459" s="10"/>
      <c r="Q459" s="10"/>
      <c r="R459" s="10"/>
      <c r="S459" s="10"/>
      <c r="T459" s="16"/>
      <c r="U459" s="16"/>
      <c r="V459" s="16"/>
      <c r="W459" s="16"/>
      <c r="X459" s="101"/>
      <c r="Y459" s="101"/>
      <c r="Z459" s="101"/>
      <c r="AA459" s="101"/>
      <c r="AB459" s="101"/>
      <c r="AC459" s="101"/>
      <c r="AD459" s="101"/>
      <c r="AE459" s="101"/>
      <c r="AF459" s="101"/>
      <c r="AG459" s="101"/>
      <c r="AH459" s="101"/>
      <c r="AI459" s="101"/>
      <c r="AJ459" s="101"/>
      <c r="AK459" s="101">
        <v>569.94554545454525</v>
      </c>
      <c r="AL459" s="16"/>
      <c r="AM459" s="101">
        <v>572.45823906249996</v>
      </c>
      <c r="AN459" s="101">
        <v>578.96976923076932</v>
      </c>
      <c r="AO459" s="101">
        <v>588.89566969697</v>
      </c>
      <c r="AP459" s="101">
        <v>592.28787121212076</v>
      </c>
      <c r="AQ459" s="10">
        <f>Africa!K151</f>
        <v>583.15288730059001</v>
      </c>
      <c r="AR459" s="101">
        <v>598.23355781250018</v>
      </c>
      <c r="AS459" s="101">
        <v>599.92874769230787</v>
      </c>
      <c r="AT459" s="101">
        <v>600.0024046875003</v>
      </c>
      <c r="AU459" s="101">
        <v>602</v>
      </c>
      <c r="AV459" s="101"/>
      <c r="AW459" s="101">
        <v>605.23623076923059</v>
      </c>
      <c r="AX459" s="101">
        <v>608.02857230769223</v>
      </c>
      <c r="AY459" s="101">
        <v>614.06467384615371</v>
      </c>
      <c r="AZ459" s="101">
        <v>628.25490000000002</v>
      </c>
      <c r="BA459" s="101"/>
      <c r="BB459" s="101">
        <v>633.10931562500002</v>
      </c>
      <c r="BC459" s="101"/>
      <c r="BD459" s="101"/>
      <c r="BE459" s="101"/>
      <c r="BF459" s="101"/>
      <c r="BG459" s="101"/>
      <c r="BH459" s="101"/>
      <c r="BI459" s="101"/>
      <c r="BJ459" s="101"/>
      <c r="BK459" s="101"/>
      <c r="BL459" s="101"/>
      <c r="BM459" s="101"/>
      <c r="BN459" s="101"/>
      <c r="BO459" s="101"/>
      <c r="BP459" s="101"/>
      <c r="BQ459" s="101"/>
      <c r="BR459" s="101"/>
      <c r="BS459" s="101"/>
      <c r="BT459" s="101"/>
      <c r="BU459" s="9"/>
      <c r="BV459" s="9"/>
      <c r="BW459" s="9"/>
      <c r="BX459" s="9"/>
      <c r="BY459" s="9"/>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row>
    <row r="460" spans="1:105">
      <c r="A460" s="6"/>
      <c r="B460" s="6"/>
      <c r="D460" s="2"/>
      <c r="E460" s="2"/>
      <c r="F460" s="10"/>
      <c r="G460" s="2"/>
      <c r="H460" s="10"/>
      <c r="I460" s="10"/>
      <c r="J460" s="10"/>
      <c r="K460" s="10"/>
      <c r="L460" s="10"/>
      <c r="M460" s="10"/>
      <c r="N460" s="10"/>
      <c r="O460" s="10"/>
      <c r="P460" s="10"/>
      <c r="Q460" s="10"/>
      <c r="R460" s="10"/>
      <c r="S460" s="10"/>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9"/>
      <c r="BV460" s="9"/>
      <c r="BW460" s="9"/>
      <c r="BX460" s="9"/>
      <c r="BY460" s="9"/>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row>
    <row r="461" spans="1:105">
      <c r="D461" s="11"/>
      <c r="E461" s="11"/>
      <c r="F461" s="11"/>
      <c r="G461" s="11"/>
      <c r="H461" s="11"/>
      <c r="I461" s="11"/>
      <c r="J461" s="11"/>
      <c r="K461" s="11"/>
      <c r="L461" s="11"/>
      <c r="M461" s="11"/>
      <c r="N461" s="11"/>
      <c r="O461" s="11"/>
      <c r="P461" s="11"/>
      <c r="Q461" s="11"/>
      <c r="R461" s="11"/>
      <c r="S461" s="11"/>
      <c r="T461" s="11"/>
      <c r="U461" s="11"/>
      <c r="V461" s="96" t="str">
        <f t="shared" ref="V461:AK461" si="270">V115</f>
        <v>Q4 06</v>
      </c>
      <c r="W461" s="96" t="str">
        <f t="shared" si="270"/>
        <v>FY 06</v>
      </c>
      <c r="X461" s="96" t="str">
        <f t="shared" si="270"/>
        <v>Q1 07</v>
      </c>
      <c r="Y461" s="96" t="str">
        <f t="shared" si="270"/>
        <v>Q2 07</v>
      </c>
      <c r="Z461" s="96" t="str">
        <f t="shared" si="270"/>
        <v>Q3 07</v>
      </c>
      <c r="AA461" s="96" t="str">
        <f t="shared" si="270"/>
        <v>Q4 07</v>
      </c>
      <c r="AB461" s="96" t="str">
        <f t="shared" si="270"/>
        <v>FY 07</v>
      </c>
      <c r="AC461" s="96" t="str">
        <f t="shared" si="270"/>
        <v>Q1 08</v>
      </c>
      <c r="AD461" s="96" t="str">
        <f t="shared" si="270"/>
        <v>Q2 08</v>
      </c>
      <c r="AE461" s="96" t="str">
        <f t="shared" si="270"/>
        <v>Q3 08</v>
      </c>
      <c r="AF461" s="96" t="str">
        <f t="shared" si="270"/>
        <v>Q4 08</v>
      </c>
      <c r="AG461" s="96" t="str">
        <f t="shared" si="270"/>
        <v>FY 08</v>
      </c>
      <c r="AH461" s="96" t="str">
        <f t="shared" si="270"/>
        <v>Q1 09</v>
      </c>
      <c r="AI461" s="96" t="str">
        <f t="shared" si="270"/>
        <v>Q2 09</v>
      </c>
      <c r="AJ461" s="96" t="str">
        <f t="shared" si="270"/>
        <v>Q3 09</v>
      </c>
      <c r="AK461" s="96" t="str">
        <f t="shared" si="270"/>
        <v>Q4 09</v>
      </c>
      <c r="AM461" s="96" t="str">
        <f t="shared" ref="AM461:AZ461" si="271">AM115</f>
        <v>Q1 10</v>
      </c>
      <c r="AN461" s="96" t="str">
        <f t="shared" si="271"/>
        <v>Q2 10</v>
      </c>
      <c r="AO461" s="96" t="str">
        <f t="shared" si="271"/>
        <v>Q3 10</v>
      </c>
      <c r="AP461" s="96" t="str">
        <f t="shared" si="271"/>
        <v>Q4 10</v>
      </c>
      <c r="AQ461" s="96" t="str">
        <f t="shared" si="271"/>
        <v>FY 10E</v>
      </c>
      <c r="AR461" s="96" t="str">
        <f t="shared" si="271"/>
        <v>Q1 11</v>
      </c>
      <c r="AS461" s="96" t="str">
        <f t="shared" si="271"/>
        <v>Q2 11</v>
      </c>
      <c r="AT461" s="96" t="str">
        <f t="shared" si="271"/>
        <v>Q3 11</v>
      </c>
      <c r="AU461" s="96" t="str">
        <f t="shared" si="271"/>
        <v>Q4 11</v>
      </c>
      <c r="AV461" s="96" t="str">
        <f t="shared" si="271"/>
        <v>FY 11</v>
      </c>
      <c r="AW461" s="96" t="str">
        <f t="shared" si="271"/>
        <v>Q1 12</v>
      </c>
      <c r="AX461" s="96" t="str">
        <f t="shared" si="271"/>
        <v>Q2 12</v>
      </c>
      <c r="AY461" s="96" t="str">
        <f t="shared" si="271"/>
        <v>Q3 12</v>
      </c>
      <c r="AZ461" s="96" t="str">
        <f t="shared" si="271"/>
        <v>Q4 12</v>
      </c>
      <c r="BA461" s="8"/>
      <c r="BB461" s="96" t="str">
        <f>BB115</f>
        <v>Q1 13</v>
      </c>
      <c r="BC461" s="96" t="str">
        <f>BC115</f>
        <v>Q2 13</v>
      </c>
      <c r="BD461" s="96"/>
      <c r="BE461" s="96"/>
      <c r="BF461" s="8"/>
      <c r="BG461" s="8"/>
      <c r="BH461" s="8"/>
      <c r="BI461" s="8"/>
      <c r="BJ461" s="8"/>
      <c r="BK461" s="8"/>
      <c r="BL461" s="8"/>
      <c r="BM461" s="8"/>
      <c r="BN461" s="8"/>
      <c r="BO461" s="8"/>
      <c r="BP461" s="8"/>
      <c r="BQ461" s="8"/>
      <c r="BR461" s="8"/>
      <c r="BS461" s="8"/>
      <c r="BT461" s="8"/>
    </row>
    <row r="462" spans="1:105">
      <c r="D462" s="2" t="s">
        <v>1930</v>
      </c>
    </row>
    <row r="463" spans="1:105">
      <c r="D463" t="str">
        <f>D122</f>
        <v>El Salvador</v>
      </c>
      <c r="AE463" s="16">
        <v>0.46</v>
      </c>
      <c r="AF463" s="16">
        <v>0.45300000000000001</v>
      </c>
      <c r="AH463" s="5">
        <v>0.46</v>
      </c>
      <c r="AI463" s="5">
        <v>0.47</v>
      </c>
      <c r="AJ463" s="5">
        <v>0.47</v>
      </c>
      <c r="AK463" s="5">
        <v>0.46</v>
      </c>
      <c r="AM463" s="5">
        <v>0.46300000000000002</v>
      </c>
      <c r="AN463" s="5">
        <v>0.45900000000000002</v>
      </c>
      <c r="AO463" s="5">
        <v>0.45200000000000001</v>
      </c>
      <c r="AP463" s="5">
        <f>AQ463</f>
        <v>0.44400000000000001</v>
      </c>
      <c r="AQ463" s="5">
        <f>CA!K52</f>
        <v>0.44400000000000001</v>
      </c>
      <c r="AR463" s="5">
        <v>0.442</v>
      </c>
      <c r="AS463" s="5">
        <v>0.443</v>
      </c>
      <c r="AT463" s="5">
        <v>0.44600000000000001</v>
      </c>
      <c r="AU463" s="5">
        <f>AV463</f>
        <v>0.436</v>
      </c>
      <c r="AV463" s="5">
        <f>CA!L52</f>
        <v>0.436</v>
      </c>
      <c r="AW463" s="5">
        <v>0.42</v>
      </c>
      <c r="AX463" s="5">
        <v>0.41799999999999998</v>
      </c>
      <c r="AY463" s="5">
        <v>0.41599999999999998</v>
      </c>
      <c r="AZ463" s="5">
        <v>0.40899999999999997</v>
      </c>
      <c r="BA463" s="16"/>
      <c r="BB463" s="5">
        <v>0.42</v>
      </c>
      <c r="BC463" s="5">
        <v>0.40300000000000002</v>
      </c>
      <c r="BD463" s="5"/>
      <c r="BE463" s="5"/>
      <c r="BF463" s="16"/>
      <c r="BG463" s="16"/>
      <c r="BH463" s="16"/>
      <c r="BI463" s="16"/>
      <c r="BJ463" s="16"/>
      <c r="BK463" s="16"/>
      <c r="BL463" s="16"/>
      <c r="BM463" s="16"/>
      <c r="BN463" s="16"/>
      <c r="BO463" s="16"/>
      <c r="BP463" s="16"/>
      <c r="BQ463" s="16"/>
      <c r="BR463" s="16"/>
      <c r="BS463" s="16"/>
      <c r="BT463" s="16"/>
    </row>
    <row r="464" spans="1:105">
      <c r="D464" t="str">
        <f>D123</f>
        <v>Guatemala</v>
      </c>
      <c r="AE464" s="16">
        <v>0.43</v>
      </c>
      <c r="AF464" s="16">
        <v>0.45</v>
      </c>
      <c r="AH464" s="5">
        <v>0.48</v>
      </c>
      <c r="AI464" s="5">
        <v>0.48</v>
      </c>
      <c r="AJ464" s="5">
        <v>0.49</v>
      </c>
      <c r="AK464" s="5">
        <v>0.49</v>
      </c>
      <c r="AM464" s="5">
        <v>0.49</v>
      </c>
      <c r="AN464" s="5">
        <v>0.504</v>
      </c>
      <c r="AO464" s="5">
        <v>0.51500000000000001</v>
      </c>
      <c r="AP464" s="5">
        <f t="shared" ref="AP464:AP477" si="272">AQ464</f>
        <v>0.52500000000000002</v>
      </c>
      <c r="AQ464" s="5">
        <f>CA!K53</f>
        <v>0.52500000000000002</v>
      </c>
      <c r="AR464" s="5">
        <v>0.53900000000000003</v>
      </c>
      <c r="AS464" s="5">
        <v>0.54300000000000004</v>
      </c>
      <c r="AT464" s="5">
        <v>0.54500000000000004</v>
      </c>
      <c r="AU464" s="5">
        <f t="shared" ref="AU464:AU478" si="273">AV464</f>
        <v>0.54400000000000004</v>
      </c>
      <c r="AV464" s="5">
        <f>CA!L53</f>
        <v>0.54400000000000004</v>
      </c>
      <c r="AW464" s="5">
        <v>0.55400000000000005</v>
      </c>
      <c r="AX464" s="5">
        <v>0.54700000000000004</v>
      </c>
      <c r="AY464" s="5">
        <v>0.53900000000000003</v>
      </c>
      <c r="AZ464" s="5">
        <v>0.54100000000000004</v>
      </c>
      <c r="BA464" s="16"/>
      <c r="BB464" s="5">
        <v>0.55400000000000005</v>
      </c>
      <c r="BC464" s="5">
        <v>0.53</v>
      </c>
      <c r="BD464" s="5"/>
      <c r="BE464" s="5"/>
      <c r="BF464" s="16"/>
      <c r="BG464" s="16"/>
      <c r="BH464" s="16"/>
      <c r="BI464" s="16"/>
      <c r="BJ464" s="16"/>
      <c r="BK464" s="16"/>
      <c r="BL464" s="16"/>
      <c r="BM464" s="16"/>
      <c r="BN464" s="16"/>
      <c r="BO464" s="16"/>
      <c r="BP464" s="16"/>
      <c r="BQ464" s="16"/>
      <c r="BR464" s="16"/>
      <c r="BS464" s="16"/>
      <c r="BT464" s="16"/>
    </row>
    <row r="465" spans="4:72">
      <c r="D465" t="str">
        <f>D124</f>
        <v>Honduras</v>
      </c>
      <c r="AE465" s="16">
        <v>0.72</v>
      </c>
      <c r="AF465" s="16">
        <v>0.70699999999999996</v>
      </c>
      <c r="AH465" s="5">
        <v>0.66</v>
      </c>
      <c r="AI465" s="5">
        <v>0.63</v>
      </c>
      <c r="AJ465" s="5">
        <v>0.65</v>
      </c>
      <c r="AK465" s="5">
        <v>0.65</v>
      </c>
      <c r="AM465" s="5">
        <v>0.66100000000000003</v>
      </c>
      <c r="AN465" s="5">
        <v>0.65400000000000003</v>
      </c>
      <c r="AO465" s="5">
        <v>0.65300000000000002</v>
      </c>
      <c r="AP465" s="5">
        <f t="shared" si="272"/>
        <v>0.64300000000000002</v>
      </c>
      <c r="AQ465" s="5">
        <f>CA!K54</f>
        <v>0.64300000000000002</v>
      </c>
      <c r="AR465" s="5">
        <v>0.64900000000000002</v>
      </c>
      <c r="AS465" s="5">
        <v>0.64200000000000002</v>
      </c>
      <c r="AT465" s="5">
        <v>0.63100000000000001</v>
      </c>
      <c r="AU465" s="5">
        <f t="shared" si="273"/>
        <v>0.63800000000000001</v>
      </c>
      <c r="AV465" s="5">
        <f>CA!L54</f>
        <v>0.63800000000000001</v>
      </c>
      <c r="AW465" s="5">
        <v>0.68</v>
      </c>
      <c r="AX465" s="5">
        <v>0.69099999999999995</v>
      </c>
      <c r="AY465" s="5">
        <v>0.70399999999999996</v>
      </c>
      <c r="AZ465" s="5">
        <v>0.69799999999999995</v>
      </c>
      <c r="BA465" s="16"/>
      <c r="BB465" s="5">
        <v>0.68</v>
      </c>
      <c r="BC465" s="5">
        <v>0.67</v>
      </c>
      <c r="BD465" s="5"/>
      <c r="BE465" s="5"/>
      <c r="BF465" s="16"/>
      <c r="BG465" s="16"/>
      <c r="BH465" s="16"/>
      <c r="BI465" s="16"/>
      <c r="BJ465" s="16"/>
      <c r="BK465" s="16"/>
      <c r="BL465" s="16"/>
      <c r="BM465" s="16"/>
      <c r="BN465" s="16"/>
      <c r="BO465" s="16"/>
      <c r="BP465" s="16"/>
      <c r="BQ465" s="16"/>
      <c r="BR465" s="16"/>
      <c r="BS465" s="16"/>
      <c r="BT465" s="16"/>
    </row>
    <row r="466" spans="4:72">
      <c r="D466" s="2" t="s">
        <v>1405</v>
      </c>
      <c r="AE466" s="19">
        <f>AE125/AE485</f>
        <v>0.51691631718918796</v>
      </c>
      <c r="AF466" s="19">
        <f>AF125/AF485</f>
        <v>0.52284992614147663</v>
      </c>
      <c r="AH466" s="18">
        <f>AH125/AH485</f>
        <v>0.52807266351836668</v>
      </c>
      <c r="AI466" s="18">
        <f>AI125/AI485</f>
        <v>0.52390024299427917</v>
      </c>
      <c r="AJ466" s="18">
        <f>AJ125/AJ485</f>
        <v>0.53381854526236927</v>
      </c>
      <c r="AK466" s="18">
        <f>AK125/AK485</f>
        <v>0.53054698175584125</v>
      </c>
      <c r="AM466" s="18">
        <f>AM125/AM485</f>
        <v>0.53376295338693147</v>
      </c>
      <c r="AN466" s="18">
        <f>AN125/AN485</f>
        <v>0.53676506903860721</v>
      </c>
      <c r="AO466" s="18">
        <f>AO125/AO485</f>
        <v>0.53816487119174472</v>
      </c>
      <c r="AP466" s="18">
        <f t="shared" si="272"/>
        <v>0.53770521458138054</v>
      </c>
      <c r="AQ466" s="18">
        <f t="shared" ref="AQ466:AZ466" si="274">AQ125/AQ485</f>
        <v>0.53770521458138054</v>
      </c>
      <c r="AR466" s="18">
        <f t="shared" si="274"/>
        <v>0.5444250298026565</v>
      </c>
      <c r="AS466" s="18">
        <f t="shared" si="274"/>
        <v>0.5443393522968184</v>
      </c>
      <c r="AT466" s="18">
        <f t="shared" si="274"/>
        <v>0.54325545371213513</v>
      </c>
      <c r="AU466" s="18">
        <f t="shared" si="274"/>
        <v>0.54066637798000472</v>
      </c>
      <c r="AV466" s="18">
        <f t="shared" si="274"/>
        <v>0.54066637798000472</v>
      </c>
      <c r="AW466" s="18">
        <f t="shared" si="274"/>
        <v>0.55039188965568431</v>
      </c>
      <c r="AX466" s="18">
        <f t="shared" si="274"/>
        <v>0.54854475895032395</v>
      </c>
      <c r="AY466" s="18">
        <f t="shared" si="274"/>
        <v>0.54605850035701242</v>
      </c>
      <c r="AZ466" s="18">
        <f t="shared" si="274"/>
        <v>0.54430926764650789</v>
      </c>
      <c r="BA466" s="16"/>
      <c r="BB466" s="18">
        <f>BB125/BB485</f>
        <v>0.55288370120560781</v>
      </c>
      <c r="BC466" s="18">
        <f>BC125/BC485</f>
        <v>0.53635978380915117</v>
      </c>
      <c r="BD466" s="18"/>
      <c r="BE466" s="18"/>
      <c r="BF466" s="16"/>
      <c r="BG466" s="16"/>
      <c r="BH466" s="16"/>
      <c r="BI466" s="16"/>
      <c r="BJ466" s="16"/>
      <c r="BK466" s="16"/>
      <c r="BL466" s="16"/>
      <c r="BM466" s="16"/>
      <c r="BN466" s="16"/>
      <c r="BO466" s="16"/>
      <c r="BP466" s="16"/>
      <c r="BQ466" s="16"/>
      <c r="BR466" s="16"/>
      <c r="BS466" s="16"/>
      <c r="BT466" s="16"/>
    </row>
    <row r="467" spans="4:72">
      <c r="D467" t="str">
        <f>D128</f>
        <v>Colombia</v>
      </c>
      <c r="AE467" s="16">
        <v>0.09</v>
      </c>
      <c r="AF467" s="16">
        <v>8.5000000000000006E-2</v>
      </c>
      <c r="AH467" s="5">
        <v>0.08</v>
      </c>
      <c r="AI467" s="5">
        <v>0.08</v>
      </c>
      <c r="AJ467" s="5">
        <v>0.09</v>
      </c>
      <c r="AK467" s="5">
        <v>0.09</v>
      </c>
      <c r="AM467" s="5">
        <v>8.8999999999999996E-2</v>
      </c>
      <c r="AN467" s="5">
        <v>9.4E-2</v>
      </c>
      <c r="AO467" s="5">
        <v>9.5000000000000001E-2</v>
      </c>
      <c r="AP467" s="5">
        <f t="shared" si="272"/>
        <v>9.8221991079997545E-2</v>
      </c>
      <c r="AQ467" s="5">
        <f>Colombia!G23</f>
        <v>9.8221991079997545E-2</v>
      </c>
      <c r="AR467" s="5">
        <v>0.1</v>
      </c>
      <c r="AS467" s="5">
        <v>0.104</v>
      </c>
      <c r="AT467" s="5">
        <v>0.106</v>
      </c>
      <c r="AU467" s="5">
        <f t="shared" si="273"/>
        <v>0.10771347417006924</v>
      </c>
      <c r="AV467" s="5">
        <f>Colombia!H23</f>
        <v>0.10771347417006924</v>
      </c>
      <c r="AW467" s="5">
        <v>0.10100000000000001</v>
      </c>
      <c r="AX467" s="5">
        <v>0.107</v>
      </c>
      <c r="AY467" s="5">
        <v>0.112</v>
      </c>
      <c r="AZ467" s="5">
        <v>0.11600000000000001</v>
      </c>
      <c r="BA467" s="16"/>
      <c r="BB467" s="5">
        <v>0.10100000000000001</v>
      </c>
      <c r="BC467" s="5">
        <v>0.124</v>
      </c>
      <c r="BD467" s="5"/>
      <c r="BE467" s="5"/>
      <c r="BF467" s="16"/>
      <c r="BG467" s="16"/>
      <c r="BH467" s="16"/>
      <c r="BI467" s="16"/>
      <c r="BJ467" s="16"/>
      <c r="BK467" s="16"/>
      <c r="BL467" s="16"/>
      <c r="BM467" s="16"/>
      <c r="BN467" s="16"/>
      <c r="BO467" s="16"/>
      <c r="BP467" s="16"/>
      <c r="BQ467" s="16"/>
      <c r="BR467" s="16"/>
      <c r="BS467" s="16"/>
      <c r="BT467" s="16"/>
    </row>
    <row r="468" spans="4:72">
      <c r="D468" t="str">
        <f>D129</f>
        <v>Bolivia</v>
      </c>
      <c r="AE468" s="16">
        <v>0.33</v>
      </c>
      <c r="AF468" s="16">
        <v>0.33600000000000002</v>
      </c>
      <c r="AH468" s="5">
        <v>0.35</v>
      </c>
      <c r="AI468" s="5">
        <v>0.36</v>
      </c>
      <c r="AJ468" s="5">
        <v>0.36</v>
      </c>
      <c r="AK468" s="5">
        <v>0.36</v>
      </c>
      <c r="AM468" s="5">
        <v>0.36399999999999999</v>
      </c>
      <c r="AN468" s="5">
        <v>0.36299999999999999</v>
      </c>
      <c r="AO468" s="5">
        <v>0.36299999999999999</v>
      </c>
      <c r="AP468" s="5">
        <f t="shared" si="272"/>
        <v>0.35699999999999998</v>
      </c>
      <c r="AQ468" s="5">
        <f>SA!K50</f>
        <v>0.35699999999999998</v>
      </c>
      <c r="AR468" s="5">
        <v>0.35799999999999998</v>
      </c>
      <c r="AS468" s="5">
        <v>0.35699999999999998</v>
      </c>
      <c r="AT468" s="5">
        <v>0.35099999999999998</v>
      </c>
      <c r="AU468" s="5">
        <f t="shared" si="273"/>
        <v>0.35</v>
      </c>
      <c r="AV468" s="5">
        <f>SA!L50</f>
        <v>0.35</v>
      </c>
      <c r="AW468" s="5">
        <v>0.36099999999999999</v>
      </c>
      <c r="AX468" s="5">
        <v>0.36699999999999999</v>
      </c>
      <c r="AY468" s="5">
        <v>0.37</v>
      </c>
      <c r="AZ468" s="5">
        <v>0.36899999999999999</v>
      </c>
      <c r="BA468" s="16"/>
      <c r="BB468" s="5">
        <v>0.36099999999999999</v>
      </c>
      <c r="BC468" s="5">
        <v>0.34100000000000003</v>
      </c>
      <c r="BD468" s="5"/>
      <c r="BE468" s="5"/>
      <c r="BF468" s="16"/>
      <c r="BG468" s="16"/>
      <c r="BH468" s="16"/>
      <c r="BI468" s="16"/>
      <c r="BJ468" s="16"/>
      <c r="BK468" s="16"/>
      <c r="BL468" s="16"/>
      <c r="BM468" s="16"/>
      <c r="BN468" s="16"/>
      <c r="BO468" s="16"/>
      <c r="BP468" s="16"/>
      <c r="BQ468" s="16"/>
      <c r="BR468" s="16"/>
      <c r="BS468" s="16"/>
      <c r="BT468" s="16"/>
    </row>
    <row r="469" spans="4:72">
      <c r="D469" t="str">
        <f>D130</f>
        <v>Paraguay</v>
      </c>
      <c r="AE469" s="16">
        <v>0.54</v>
      </c>
      <c r="AF469" s="16">
        <v>0.54900000000000004</v>
      </c>
      <c r="AH469" s="5">
        <v>0.55000000000000004</v>
      </c>
      <c r="AI469" s="5">
        <v>0.55000000000000004</v>
      </c>
      <c r="AJ469" s="5">
        <v>0.56000000000000005</v>
      </c>
      <c r="AK469" s="5">
        <v>0.56000000000000005</v>
      </c>
      <c r="AM469" s="5">
        <v>0.57299999999999995</v>
      </c>
      <c r="AN469" s="5">
        <v>0.57599999999999996</v>
      </c>
      <c r="AO469" s="5">
        <v>0.57299999999999995</v>
      </c>
      <c r="AP469" s="5">
        <f t="shared" si="272"/>
        <v>0.57999999999999996</v>
      </c>
      <c r="AQ469" s="5">
        <f>SA!K51</f>
        <v>0.57999999999999996</v>
      </c>
      <c r="AR469" s="5">
        <v>0.58199999999999996</v>
      </c>
      <c r="AS469" s="5">
        <v>0.58299999999999996</v>
      </c>
      <c r="AT469" s="5">
        <v>0.57999999999999996</v>
      </c>
      <c r="AU469" s="5">
        <f t="shared" si="273"/>
        <v>0.57699999999999996</v>
      </c>
      <c r="AV469" s="5">
        <f>SA!L51</f>
        <v>0.57699999999999996</v>
      </c>
      <c r="AW469" s="5">
        <v>0.58699999999999997</v>
      </c>
      <c r="AX469" s="5">
        <v>0.56799999999999995</v>
      </c>
      <c r="AY469" s="5">
        <v>0.56699999999999995</v>
      </c>
      <c r="AZ469" s="5">
        <v>0.57699999999999996</v>
      </c>
      <c r="BA469" s="16"/>
      <c r="BB469" s="5">
        <v>0.58699999999999997</v>
      </c>
      <c r="BC469" s="5">
        <v>0.59299999999999997</v>
      </c>
      <c r="BD469" s="5"/>
      <c r="BE469" s="5"/>
      <c r="BF469" s="16"/>
      <c r="BG469" s="16"/>
      <c r="BH469" s="16"/>
      <c r="BI469" s="16"/>
      <c r="BJ469" s="16"/>
      <c r="BK469" s="16"/>
      <c r="BL469" s="16"/>
      <c r="BM469" s="16"/>
      <c r="BN469" s="16"/>
      <c r="BO469" s="16"/>
      <c r="BP469" s="16"/>
      <c r="BQ469" s="16"/>
      <c r="BR469" s="16"/>
      <c r="BS469" s="16"/>
      <c r="BT469" s="16"/>
    </row>
    <row r="470" spans="4:72">
      <c r="D470" s="2" t="s">
        <v>1406</v>
      </c>
      <c r="AE470" s="19">
        <f>AE131/AE489</f>
        <v>0.1591293641881075</v>
      </c>
      <c r="AF470" s="19">
        <f>AF131/AF489</f>
        <v>0.15492949184090818</v>
      </c>
      <c r="AH470" s="18">
        <f>AH131/AH489</f>
        <v>0.15072134789947439</v>
      </c>
      <c r="AI470" s="18">
        <f>AI131/AI489</f>
        <v>0.15180223639297397</v>
      </c>
      <c r="AJ470" s="18">
        <f>AJ131/AJ489</f>
        <v>0.16743801784658646</v>
      </c>
      <c r="AK470" s="18">
        <f>AK131/AK489</f>
        <v>0.16738729099006094</v>
      </c>
      <c r="AM470" s="18">
        <f>AM131/AM489</f>
        <v>0.16702396999284735</v>
      </c>
      <c r="AN470" s="18">
        <f>AN131/AN489</f>
        <v>0.17339947966766245</v>
      </c>
      <c r="AO470" s="18">
        <f>AO131/AO489</f>
        <v>0.17463060006289197</v>
      </c>
      <c r="AP470" s="18">
        <f t="shared" si="272"/>
        <v>0.17983792970474699</v>
      </c>
      <c r="AQ470" s="18">
        <f t="shared" ref="AQ470:AZ470" si="275">AQ131/AQ489</f>
        <v>0.17983792970474699</v>
      </c>
      <c r="AR470" s="18">
        <f t="shared" si="275"/>
        <v>0.18177526220946136</v>
      </c>
      <c r="AS470" s="18">
        <f t="shared" si="275"/>
        <v>0.18591549236274266</v>
      </c>
      <c r="AT470" s="18">
        <f t="shared" si="275"/>
        <v>0.18744363775692763</v>
      </c>
      <c r="AU470" s="18">
        <f t="shared" si="275"/>
        <v>0.18905313890502176</v>
      </c>
      <c r="AV470" s="18">
        <f t="shared" si="275"/>
        <v>0.18905313890502176</v>
      </c>
      <c r="AW470" s="18">
        <f t="shared" si="275"/>
        <v>0.18111209044067447</v>
      </c>
      <c r="AX470" s="18">
        <f t="shared" si="275"/>
        <v>0.18711855860505028</v>
      </c>
      <c r="AY470" s="18">
        <f t="shared" si="275"/>
        <v>0.19286101810455183</v>
      </c>
      <c r="AZ470" s="18">
        <f t="shared" si="275"/>
        <v>0.19730855314482357</v>
      </c>
      <c r="BA470" s="16"/>
      <c r="BB470" s="18">
        <f>BB131/BB489</f>
        <v>0.17310830369776339</v>
      </c>
      <c r="BC470" s="18">
        <f>BC131/BC489</f>
        <v>0.20005285881957854</v>
      </c>
      <c r="BD470" s="18"/>
      <c r="BE470" s="18"/>
      <c r="BF470" s="16"/>
      <c r="BG470" s="16"/>
      <c r="BH470" s="16"/>
      <c r="BI470" s="16"/>
      <c r="BJ470" s="16"/>
      <c r="BK470" s="16"/>
      <c r="BL470" s="16"/>
      <c r="BM470" s="16"/>
      <c r="BN470" s="16"/>
      <c r="BO470" s="16"/>
      <c r="BP470" s="16"/>
      <c r="BQ470" s="16"/>
      <c r="BR470" s="16"/>
      <c r="BS470" s="16"/>
      <c r="BT470" s="16"/>
    </row>
    <row r="471" spans="4:72">
      <c r="D471" s="4" t="s">
        <v>2557</v>
      </c>
      <c r="AE471" s="18">
        <f>(AE131-AE128)/(AE489-AE486)</f>
        <v>0.44505660633653393</v>
      </c>
      <c r="AF471" s="18">
        <f>(AF131-AF128)/(AF489-AF486)</f>
        <v>0.45227722940866605</v>
      </c>
      <c r="AG471" s="18"/>
      <c r="AH471" s="18">
        <f>(AH131-AH128)/(AH489-AH486)</f>
        <v>0.45533186494399541</v>
      </c>
      <c r="AI471" s="18">
        <f>(AI131-AI128)/(AI489-AI486)</f>
        <v>0.45598435077068067</v>
      </c>
      <c r="AJ471" s="18">
        <f>(AJ131-AJ128)/(AJ489-AJ486)</f>
        <v>0.45849943162124923</v>
      </c>
      <c r="AK471" s="18">
        <f>(AK131-AK128)/(AK489-AK486)</f>
        <v>0.45840370197653968</v>
      </c>
      <c r="AL471" s="18"/>
      <c r="AM471" s="18">
        <f t="shared" ref="AM471:AZ471" si="276">(AM131-AM128)/(AM489-AM486)</f>
        <v>0.46598606644114049</v>
      </c>
      <c r="AN471" s="18">
        <f t="shared" si="276"/>
        <v>0.46658594751254878</v>
      </c>
      <c r="AO471" s="18">
        <f t="shared" si="276"/>
        <v>0.46416896868968899</v>
      </c>
      <c r="AP471" s="18">
        <f t="shared" si="276"/>
        <v>0.46144534482883165</v>
      </c>
      <c r="AQ471" s="18">
        <f t="shared" si="276"/>
        <v>0.46144534482883165</v>
      </c>
      <c r="AR471" s="18">
        <f t="shared" si="276"/>
        <v>0.46147478569911754</v>
      </c>
      <c r="AS471" s="18">
        <f t="shared" si="276"/>
        <v>0.46008007553425107</v>
      </c>
      <c r="AT471" s="18">
        <f t="shared" si="276"/>
        <v>0.45543028143055631</v>
      </c>
      <c r="AU471" s="18">
        <f t="shared" si="276"/>
        <v>0.45198998401235546</v>
      </c>
      <c r="AV471" s="18">
        <f t="shared" si="276"/>
        <v>0.45198998401235546</v>
      </c>
      <c r="AW471" s="18">
        <f t="shared" si="276"/>
        <v>0.46164175554162318</v>
      </c>
      <c r="AX471" s="18">
        <f t="shared" si="276"/>
        <v>0.45847637607885744</v>
      </c>
      <c r="AY471" s="18">
        <f t="shared" si="276"/>
        <v>0.4593772520322012</v>
      </c>
      <c r="AZ471" s="18">
        <f t="shared" si="276"/>
        <v>0.46336766362437942</v>
      </c>
      <c r="BA471" s="16"/>
      <c r="BB471" s="18">
        <f>(BB131-BB128)/(BB489-BB486)</f>
        <v>0.46450646216328045</v>
      </c>
      <c r="BC471" s="18">
        <f>(BC131-BC128)/(BC489-BC486)</f>
        <v>0.45341773210372022</v>
      </c>
      <c r="BD471" s="18"/>
      <c r="BE471" s="18"/>
      <c r="BF471" s="16"/>
      <c r="BG471" s="16"/>
      <c r="BH471" s="16"/>
      <c r="BI471" s="16"/>
      <c r="BJ471" s="16"/>
      <c r="BK471" s="16"/>
      <c r="BL471" s="16"/>
      <c r="BM471" s="16"/>
      <c r="BN471" s="16"/>
      <c r="BO471" s="16"/>
      <c r="BP471" s="16"/>
      <c r="BQ471" s="16"/>
      <c r="BR471" s="16"/>
      <c r="BS471" s="16"/>
      <c r="BT471" s="16"/>
    </row>
    <row r="472" spans="4:72">
      <c r="D472" t="str">
        <f>D134</f>
        <v>Ghana</v>
      </c>
      <c r="AE472" s="16">
        <v>0.31</v>
      </c>
      <c r="AF472" s="16">
        <v>0.28100000000000003</v>
      </c>
      <c r="AH472" s="5">
        <v>0.27</v>
      </c>
      <c r="AI472" s="5">
        <v>0.26</v>
      </c>
      <c r="AJ472" s="5">
        <v>0.25</v>
      </c>
      <c r="AK472" s="5">
        <v>0.25</v>
      </c>
      <c r="AM472" s="5">
        <v>0.248</v>
      </c>
      <c r="AN472" s="5">
        <v>0.26400000000000001</v>
      </c>
      <c r="AO472" s="5">
        <v>0.26100000000000001</v>
      </c>
      <c r="AP472" s="5">
        <f t="shared" si="272"/>
        <v>0.252</v>
      </c>
      <c r="AQ472" s="5">
        <f>Africa!K68</f>
        <v>0.252</v>
      </c>
      <c r="AR472" s="5">
        <v>0.251</v>
      </c>
      <c r="AS472" s="5">
        <v>0.24199999999999999</v>
      </c>
      <c r="AT472" s="5">
        <v>0.23400000000000001</v>
      </c>
      <c r="AU472" s="5">
        <f t="shared" si="273"/>
        <v>0.21299999999999999</v>
      </c>
      <c r="AV472" s="5">
        <f>Africa!L68</f>
        <v>0.21299999999999999</v>
      </c>
      <c r="AW472" s="5">
        <v>0.19800000000000001</v>
      </c>
      <c r="AX472" s="5">
        <v>0.185</v>
      </c>
      <c r="AY472" s="5">
        <v>0.17599999999999999</v>
      </c>
      <c r="AZ472" s="5">
        <v>0.17199999999999999</v>
      </c>
      <c r="BA472" s="16"/>
      <c r="BB472" s="5">
        <v>0.19800000000000001</v>
      </c>
      <c r="BC472" s="5">
        <v>0.16900000000000001</v>
      </c>
      <c r="BD472" s="5"/>
      <c r="BE472" s="5"/>
      <c r="BF472" s="16"/>
      <c r="BG472" s="16"/>
      <c r="BH472" s="16"/>
      <c r="BI472" s="16"/>
      <c r="BJ472" s="16"/>
      <c r="BK472" s="16"/>
      <c r="BL472" s="16"/>
      <c r="BM472" s="16"/>
      <c r="BN472" s="16"/>
      <c r="BO472" s="16"/>
      <c r="BP472" s="16"/>
      <c r="BQ472" s="16"/>
      <c r="BR472" s="16"/>
      <c r="BS472" s="16"/>
      <c r="BT472" s="16"/>
    </row>
    <row r="473" spans="4:72">
      <c r="D473" t="str">
        <f>D135</f>
        <v>Mauritius</v>
      </c>
      <c r="AE473" s="16">
        <v>0.42</v>
      </c>
      <c r="AF473" s="16">
        <v>0.42599999999999999</v>
      </c>
      <c r="AH473" s="5">
        <v>0.43</v>
      </c>
      <c r="AI473" s="5">
        <v>0.43</v>
      </c>
      <c r="AJ473" s="5">
        <v>0.42</v>
      </c>
      <c r="AK473" s="5">
        <v>0.43</v>
      </c>
      <c r="AM473" s="5">
        <v>0.43</v>
      </c>
      <c r="AN473" s="5">
        <v>0.42699999999999999</v>
      </c>
      <c r="AO473" s="5">
        <v>0.42299999999999999</v>
      </c>
      <c r="AP473" s="5">
        <f t="shared" si="272"/>
        <v>0.42599999999999999</v>
      </c>
      <c r="AQ473" s="5">
        <f>Africa!K69</f>
        <v>0.42599999999999999</v>
      </c>
      <c r="AR473" s="5">
        <v>0.42799999999999999</v>
      </c>
      <c r="AS473" s="5">
        <v>0.42599999999999999</v>
      </c>
      <c r="AT473" s="5">
        <v>0.42399999999999999</v>
      </c>
      <c r="AU473" s="5">
        <f t="shared" si="273"/>
        <v>0.41499999999999998</v>
      </c>
      <c r="AV473" s="5">
        <f>Africa!L69</f>
        <v>0.41499999999999998</v>
      </c>
      <c r="AW473" s="5">
        <v>0.41799999999999998</v>
      </c>
      <c r="AX473" s="5">
        <v>0.42399999999999999</v>
      </c>
      <c r="AY473" s="5">
        <v>0.41899999999999998</v>
      </c>
      <c r="AZ473" s="5">
        <v>0.41799999999999998</v>
      </c>
      <c r="BA473" s="16"/>
      <c r="BB473" s="5">
        <v>0.41799999999999998</v>
      </c>
      <c r="BC473" s="5">
        <v>0.41699999999999998</v>
      </c>
      <c r="BD473" s="5"/>
      <c r="BE473" s="5"/>
      <c r="BF473" s="16"/>
      <c r="BG473" s="16"/>
      <c r="BH473" s="16"/>
      <c r="BI473" s="16"/>
      <c r="BJ473" s="16"/>
      <c r="BK473" s="16"/>
      <c r="BL473" s="16"/>
      <c r="BM473" s="16"/>
      <c r="BN473" s="16"/>
      <c r="BO473" s="16"/>
      <c r="BP473" s="16"/>
      <c r="BQ473" s="16"/>
      <c r="BR473" s="16"/>
      <c r="BS473" s="16"/>
      <c r="BT473" s="16"/>
    </row>
    <row r="474" spans="4:72">
      <c r="D474" t="str">
        <f>D136</f>
        <v>Senegal</v>
      </c>
      <c r="AE474" s="16">
        <v>0.38</v>
      </c>
      <c r="AF474" s="16">
        <v>0.36</v>
      </c>
      <c r="AH474" s="5">
        <v>0.37</v>
      </c>
      <c r="AI474" s="5">
        <v>0.38</v>
      </c>
      <c r="AJ474" s="5">
        <v>0.36</v>
      </c>
      <c r="AK474" s="5">
        <v>0.36</v>
      </c>
      <c r="AM474" s="5">
        <v>0.35699999999999998</v>
      </c>
      <c r="AN474" s="5">
        <v>0.35199999999999998</v>
      </c>
      <c r="AO474" s="5">
        <v>0.33900000000000002</v>
      </c>
      <c r="AP474" s="5">
        <f t="shared" si="272"/>
        <v>0.32700000000000001</v>
      </c>
      <c r="AQ474" s="5">
        <f>Africa!K70</f>
        <v>0.32700000000000001</v>
      </c>
      <c r="AR474" s="5">
        <v>0.33100000000000002</v>
      </c>
      <c r="AS474" s="5">
        <v>0.33400000000000002</v>
      </c>
      <c r="AT474" s="5">
        <v>0.32400000000000001</v>
      </c>
      <c r="AU474" s="5">
        <f t="shared" si="273"/>
        <v>0.29899999999999999</v>
      </c>
      <c r="AV474" s="5">
        <f>Africa!L70</f>
        <v>0.29899999999999999</v>
      </c>
      <c r="AW474" s="5">
        <v>0.28899999999999998</v>
      </c>
      <c r="AX474" s="5">
        <v>0.314</v>
      </c>
      <c r="AY474" s="5">
        <v>0.313</v>
      </c>
      <c r="AZ474" s="5">
        <v>0.31</v>
      </c>
      <c r="BA474" s="16"/>
      <c r="BB474" s="5">
        <v>0.28899999999999998</v>
      </c>
      <c r="BC474" s="5">
        <v>0.28899999999999998</v>
      </c>
      <c r="BD474" s="5"/>
      <c r="BE474" s="5"/>
      <c r="BF474" s="16"/>
      <c r="BG474" s="16"/>
      <c r="BH474" s="16"/>
      <c r="BI474" s="16"/>
      <c r="BJ474" s="16"/>
      <c r="BK474" s="16"/>
      <c r="BL474" s="16"/>
      <c r="BM474" s="16"/>
      <c r="BN474" s="16"/>
      <c r="BO474" s="16"/>
      <c r="BP474" s="16"/>
      <c r="BQ474" s="16"/>
      <c r="BR474" s="16"/>
      <c r="BS474" s="16"/>
      <c r="BT474" s="16"/>
    </row>
    <row r="475" spans="4:72">
      <c r="D475" t="str">
        <f>D138</f>
        <v>Tanzania</v>
      </c>
      <c r="AE475" s="16">
        <v>0.25</v>
      </c>
      <c r="AF475" s="16">
        <v>0.26</v>
      </c>
      <c r="AH475" s="5">
        <v>0.28999999999999998</v>
      </c>
      <c r="AI475" s="5">
        <v>0.31</v>
      </c>
      <c r="AJ475" s="5">
        <v>0.32</v>
      </c>
      <c r="AK475" s="5">
        <v>0.32</v>
      </c>
      <c r="AM475" s="5">
        <v>0.316</v>
      </c>
      <c r="AN475" s="5">
        <v>0.32</v>
      </c>
      <c r="AO475" s="5">
        <v>0.33100000000000002</v>
      </c>
      <c r="AP475" s="5">
        <f t="shared" si="272"/>
        <v>0.33600000000000002</v>
      </c>
      <c r="AQ475" s="5">
        <f>Africa!K71</f>
        <v>0.33600000000000002</v>
      </c>
      <c r="AR475" s="5">
        <v>0.308</v>
      </c>
      <c r="AS475" s="5">
        <v>0.30399999999999999</v>
      </c>
      <c r="AT475" s="5">
        <v>0.30499999999999999</v>
      </c>
      <c r="AU475" s="5">
        <f t="shared" si="273"/>
        <v>0.313</v>
      </c>
      <c r="AV475" s="5">
        <f>Africa!L71</f>
        <v>0.313</v>
      </c>
      <c r="AW475" s="5">
        <v>0.314</v>
      </c>
      <c r="AX475" s="5">
        <v>0.317</v>
      </c>
      <c r="AY475" s="5">
        <v>0.31900000000000001</v>
      </c>
      <c r="AZ475" s="5">
        <v>0.317</v>
      </c>
      <c r="BA475" s="16"/>
      <c r="BB475" s="5">
        <v>0.314</v>
      </c>
      <c r="BC475" s="5">
        <v>0.30099999999999999</v>
      </c>
      <c r="BD475" s="5"/>
      <c r="BE475" s="5"/>
      <c r="BF475" s="16"/>
      <c r="BG475" s="16"/>
      <c r="BH475" s="16"/>
      <c r="BI475" s="16"/>
      <c r="BJ475" s="16"/>
      <c r="BK475" s="16"/>
      <c r="BL475" s="16"/>
      <c r="BM475" s="16"/>
      <c r="BN475" s="16"/>
      <c r="BO475" s="16"/>
      <c r="BP475" s="16"/>
      <c r="BQ475" s="16"/>
      <c r="BR475" s="16"/>
      <c r="BS475" s="16"/>
      <c r="BT475" s="16"/>
    </row>
    <row r="476" spans="4:72">
      <c r="D476" t="str">
        <f>D139</f>
        <v>Chad</v>
      </c>
      <c r="AE476" s="16">
        <v>0.4</v>
      </c>
      <c r="AF476" s="16">
        <v>0.44700000000000001</v>
      </c>
      <c r="AH476" s="5">
        <v>0.45</v>
      </c>
      <c r="AI476" s="5">
        <v>0.45</v>
      </c>
      <c r="AJ476" s="5">
        <v>0.49</v>
      </c>
      <c r="AK476" s="5">
        <v>0.5</v>
      </c>
      <c r="AM476" s="5">
        <v>0.52100000000000002</v>
      </c>
      <c r="AN476" s="5">
        <v>0.54500000000000004</v>
      </c>
      <c r="AO476" s="5">
        <v>0.55600000000000005</v>
      </c>
      <c r="AP476" s="5">
        <f t="shared" si="272"/>
        <v>0.56899999999999995</v>
      </c>
      <c r="AQ476" s="5">
        <f>Africa!K72</f>
        <v>0.56899999999999995</v>
      </c>
      <c r="AR476" s="5">
        <v>0.57199999999999995</v>
      </c>
      <c r="AS476" s="5">
        <v>0.57699999999999996</v>
      </c>
      <c r="AT476" s="5">
        <v>0.57399999999999995</v>
      </c>
      <c r="AU476" s="5">
        <f t="shared" si="273"/>
        <v>0.57499999999999996</v>
      </c>
      <c r="AV476" s="5">
        <f>Africa!L72</f>
        <v>0.57499999999999996</v>
      </c>
      <c r="AW476" s="5">
        <v>0.58499999999999996</v>
      </c>
      <c r="AX476" s="5">
        <v>0.55100000000000005</v>
      </c>
      <c r="AY476" s="5">
        <v>0.55200000000000005</v>
      </c>
      <c r="AZ476" s="5">
        <v>0.55400000000000005</v>
      </c>
      <c r="BA476" s="16"/>
      <c r="BB476" s="5">
        <v>0.58499999999999996</v>
      </c>
      <c r="BC476" s="5">
        <v>0.52400000000000002</v>
      </c>
      <c r="BD476" s="5"/>
      <c r="BE476" s="5"/>
      <c r="BF476" s="16"/>
      <c r="BG476" s="16"/>
      <c r="BH476" s="16"/>
      <c r="BI476" s="16"/>
      <c r="BJ476" s="16"/>
      <c r="BK476" s="16"/>
      <c r="BL476" s="16"/>
      <c r="BM476" s="16"/>
      <c r="BN476" s="16"/>
      <c r="BO476" s="16"/>
      <c r="BP476" s="16"/>
      <c r="BQ476" s="16"/>
      <c r="BR476" s="16"/>
      <c r="BS476" s="16"/>
      <c r="BT476" s="16"/>
    </row>
    <row r="477" spans="4:72">
      <c r="D477" t="str">
        <f>D140</f>
        <v>DR Congo</v>
      </c>
      <c r="AE477" s="16">
        <v>0.19</v>
      </c>
      <c r="AF477" s="16">
        <v>0.17899999999999999</v>
      </c>
      <c r="AH477" s="5">
        <v>0.21</v>
      </c>
      <c r="AI477" s="5">
        <v>0.24</v>
      </c>
      <c r="AJ477" s="5">
        <v>0.25</v>
      </c>
      <c r="AK477" s="5">
        <v>0.26</v>
      </c>
      <c r="AM477" s="5">
        <v>0.27</v>
      </c>
      <c r="AN477" s="5">
        <v>0.27900000000000003</v>
      </c>
      <c r="AO477" s="5">
        <v>0.27600000000000002</v>
      </c>
      <c r="AP477" s="5">
        <f t="shared" si="272"/>
        <v>0.39400000000000002</v>
      </c>
      <c r="AQ477" s="5">
        <f>Africa!K73</f>
        <v>0.39400000000000002</v>
      </c>
      <c r="AR477" s="5">
        <v>0.376</v>
      </c>
      <c r="AS477" s="5">
        <v>0.377</v>
      </c>
      <c r="AT477" s="5">
        <v>0.35699999999999998</v>
      </c>
      <c r="AU477" s="5">
        <f t="shared" si="273"/>
        <v>0.34899999999999998</v>
      </c>
      <c r="AV477" s="5">
        <f>Africa!L73</f>
        <v>0.34899999999999998</v>
      </c>
      <c r="AW477" s="5">
        <v>0.33100000000000002</v>
      </c>
      <c r="AX477" s="5">
        <v>0.33300000000000002</v>
      </c>
      <c r="AY477" s="5">
        <v>0.33800000000000002</v>
      </c>
      <c r="AZ477" s="5">
        <v>0.34799999999999998</v>
      </c>
      <c r="BA477" s="16"/>
      <c r="BB477" s="5">
        <v>0.33100000000000002</v>
      </c>
      <c r="BC477" s="5">
        <v>0.33400000000000002</v>
      </c>
      <c r="BD477" s="5"/>
      <c r="BE477" s="5"/>
      <c r="BF477" s="16"/>
      <c r="BG477" s="16"/>
      <c r="BH477" s="16"/>
      <c r="BI477" s="16"/>
      <c r="BJ477" s="16"/>
      <c r="BK477" s="16"/>
      <c r="BL477" s="16"/>
      <c r="BM477" s="16"/>
      <c r="BN477" s="16"/>
      <c r="BO477" s="16"/>
      <c r="BP477" s="16"/>
      <c r="BQ477" s="16"/>
      <c r="BR477" s="16"/>
      <c r="BS477" s="16"/>
      <c r="BT477" s="16"/>
    </row>
    <row r="478" spans="4:72">
      <c r="D478" t="str">
        <f>D141</f>
        <v>Rwanda</v>
      </c>
      <c r="AE478" s="16"/>
      <c r="AF478" s="16"/>
      <c r="AH478" s="5"/>
      <c r="AI478" s="5"/>
      <c r="AJ478" s="5"/>
      <c r="AK478" s="5"/>
      <c r="AM478" s="5">
        <v>0.06</v>
      </c>
      <c r="AN478" s="5">
        <v>0.12</v>
      </c>
      <c r="AO478" s="5">
        <v>0.153</v>
      </c>
      <c r="AP478" s="5">
        <f>AQ478</f>
        <v>0.15</v>
      </c>
      <c r="AQ478" s="5">
        <v>0.15</v>
      </c>
      <c r="AR478" s="5">
        <v>0.151</v>
      </c>
      <c r="AS478" s="5">
        <v>0.308</v>
      </c>
      <c r="AT478" s="5">
        <v>0.33</v>
      </c>
      <c r="AU478" s="5">
        <f t="shared" si="273"/>
        <v>0.34499999999999997</v>
      </c>
      <c r="AV478" s="5">
        <f>Africa!L74</f>
        <v>0.34499999999999997</v>
      </c>
      <c r="AW478" s="5">
        <v>0.34799999999999998</v>
      </c>
      <c r="AX478" s="5">
        <v>0.33700000000000002</v>
      </c>
      <c r="AY478" s="5">
        <v>0.372</v>
      </c>
      <c r="AZ478" s="5">
        <v>0.379</v>
      </c>
      <c r="BA478" s="16"/>
      <c r="BB478" s="5">
        <v>0.34799999999999998</v>
      </c>
      <c r="BC478" s="5">
        <v>0.35</v>
      </c>
      <c r="BD478" s="5"/>
      <c r="BE478" s="5"/>
      <c r="BF478" s="16"/>
      <c r="BG478" s="16"/>
      <c r="BH478" s="16"/>
      <c r="BI478" s="16"/>
      <c r="BJ478" s="16"/>
      <c r="BK478" s="16"/>
      <c r="BL478" s="16"/>
      <c r="BM478" s="16"/>
      <c r="BN478" s="16"/>
      <c r="BO478" s="16"/>
      <c r="BP478" s="16"/>
      <c r="BQ478" s="16"/>
      <c r="BR478" s="16"/>
      <c r="BS478" s="16"/>
      <c r="BT478" s="16"/>
    </row>
    <row r="479" spans="4:72">
      <c r="D479" s="2" t="s">
        <v>1407</v>
      </c>
      <c r="AE479" s="19">
        <f>AE142/AE497</f>
        <v>0.29514299271594352</v>
      </c>
      <c r="AF479" s="19">
        <f>AF142/AF497</f>
        <v>0.2800174048944043</v>
      </c>
      <c r="AH479" s="18">
        <f>AH142/AH497</f>
        <v>0.29416749789758179</v>
      </c>
      <c r="AI479" s="18">
        <f>AI142/AI497</f>
        <v>0.30502512741871063</v>
      </c>
      <c r="AJ479" s="18">
        <f>AJ142/AJ497</f>
        <v>0.30288536587608517</v>
      </c>
      <c r="AK479" s="18">
        <f>AK142/AK497</f>
        <v>0.30721002638366651</v>
      </c>
      <c r="AM479" s="18">
        <f t="shared" ref="AM479:AZ479" si="277">AM142/AM497</f>
        <v>0.29798367615092203</v>
      </c>
      <c r="AN479" s="18">
        <f t="shared" si="277"/>
        <v>0.30339234854376529</v>
      </c>
      <c r="AO479" s="18">
        <f t="shared" si="277"/>
        <v>0.30437915175747943</v>
      </c>
      <c r="AP479" s="18">
        <f t="shared" si="277"/>
        <v>0.31656092849707607</v>
      </c>
      <c r="AQ479" s="18">
        <f t="shared" si="277"/>
        <v>0.31656092849707607</v>
      </c>
      <c r="AR479" s="18">
        <f t="shared" si="277"/>
        <v>0.30815426205722524</v>
      </c>
      <c r="AS479" s="18">
        <f t="shared" si="277"/>
        <v>0.31700139252342019</v>
      </c>
      <c r="AT479" s="18">
        <f t="shared" si="277"/>
        <v>0.31265333285441949</v>
      </c>
      <c r="AU479" s="18">
        <f t="shared" si="277"/>
        <v>0.30564085144002084</v>
      </c>
      <c r="AV479" s="18">
        <f t="shared" si="277"/>
        <v>0.30564085144002084</v>
      </c>
      <c r="AW479" s="18">
        <f t="shared" si="277"/>
        <v>0.29793960863227176</v>
      </c>
      <c r="AX479" s="18">
        <f t="shared" si="277"/>
        <v>0.29716239804734534</v>
      </c>
      <c r="AY479" s="18">
        <f t="shared" si="277"/>
        <v>0.29680621051645351</v>
      </c>
      <c r="AZ479" s="18">
        <f t="shared" si="277"/>
        <v>0.29775325234917693</v>
      </c>
      <c r="BA479" s="16"/>
      <c r="BB479" s="18">
        <f>BB142/BB497</f>
        <v>0.30174590343497848</v>
      </c>
      <c r="BC479" s="18">
        <f>BC142/BC497</f>
        <v>0.2832882689525445</v>
      </c>
      <c r="BD479" s="18"/>
      <c r="BE479" s="18"/>
      <c r="BF479" s="16"/>
      <c r="BG479" s="16"/>
      <c r="BH479" s="16"/>
      <c r="BI479" s="16"/>
      <c r="BJ479" s="16"/>
      <c r="BK479" s="16"/>
      <c r="BL479" s="16"/>
      <c r="BM479" s="16"/>
      <c r="BN479" s="16"/>
      <c r="BO479" s="16"/>
      <c r="BP479" s="16"/>
      <c r="BQ479" s="16"/>
      <c r="BR479" s="16"/>
      <c r="BS479" s="16"/>
      <c r="BT479" s="16"/>
    </row>
    <row r="480" spans="4:72">
      <c r="D480" s="478" t="s">
        <v>2556</v>
      </c>
      <c r="AH480" s="29">
        <f>(AH142-AH141)/(AH497-AH496)</f>
        <v>0.29416749789758179</v>
      </c>
      <c r="AI480" s="29">
        <f>(AI142-AI141)/(AI497-AI496)</f>
        <v>0.30502512741871063</v>
      </c>
      <c r="AJ480" s="29">
        <f>(AJ142-AJ141)/(AJ497-AJ496)</f>
        <v>0.30288536587608517</v>
      </c>
      <c r="AK480" s="29">
        <f>(AK142-AK141)/(AK497-AK496)</f>
        <v>0.30721002638366651</v>
      </c>
      <c r="AM480" s="29">
        <f t="shared" ref="AM480:AZ480" si="278">(AM142-AM141)/(AM497-AM496)</f>
        <v>0.30900649972887462</v>
      </c>
      <c r="AN480" s="29">
        <f t="shared" si="278"/>
        <v>0.31655325136828261</v>
      </c>
      <c r="AO480" s="29">
        <f t="shared" si="278"/>
        <v>0.31655334988605133</v>
      </c>
      <c r="AP480" s="29">
        <f t="shared" si="278"/>
        <v>0.33055283851785844</v>
      </c>
      <c r="AQ480" s="29">
        <f t="shared" si="278"/>
        <v>0.33055283851785844</v>
      </c>
      <c r="AR480" s="29">
        <f t="shared" si="278"/>
        <v>0.3208836165504661</v>
      </c>
      <c r="AS480" s="29">
        <f t="shared" si="278"/>
        <v>0.31748035404560193</v>
      </c>
      <c r="AT480" s="29">
        <f t="shared" si="278"/>
        <v>0.3115444569366646</v>
      </c>
      <c r="AU480" s="29">
        <f t="shared" si="278"/>
        <v>0.30308261089650868</v>
      </c>
      <c r="AV480" s="29">
        <f t="shared" si="278"/>
        <v>0.30308261089650868</v>
      </c>
      <c r="AW480" s="29">
        <f t="shared" si="278"/>
        <v>0.29481752970554037</v>
      </c>
      <c r="AX480" s="29">
        <f t="shared" si="278"/>
        <v>0.29457338341040001</v>
      </c>
      <c r="AY480" s="29">
        <f t="shared" si="278"/>
        <v>0.29187643109128347</v>
      </c>
      <c r="AZ480" s="29">
        <f t="shared" si="278"/>
        <v>0.29234772723481173</v>
      </c>
      <c r="BB480" s="29">
        <f>(BB142-BB141)/(BB497-BB496)</f>
        <v>0.29838132066353068</v>
      </c>
      <c r="BC480" s="29">
        <f>(BC142-BC141)/(BC497-BC496)</f>
        <v>0.27837211354248914</v>
      </c>
      <c r="BD480" s="29"/>
      <c r="BE480" s="29"/>
    </row>
    <row r="481" spans="4:72">
      <c r="D481" s="2" t="s">
        <v>1354</v>
      </c>
    </row>
    <row r="482" spans="4:72">
      <c r="D482" t="str">
        <f>D463</f>
        <v>El Salvador</v>
      </c>
      <c r="AE482" s="9">
        <f t="shared" ref="AE482:AF484" si="279">AE122/AE463</f>
        <v>5337.8021739130436</v>
      </c>
      <c r="AF482" s="9">
        <f t="shared" si="279"/>
        <v>5580.5739514348788</v>
      </c>
      <c r="AH482" s="9">
        <f t="shared" ref="AH482:AK484" si="280">AH122/AH463</f>
        <v>5636.95652173913</v>
      </c>
      <c r="AI482" s="9">
        <f t="shared" si="280"/>
        <v>5749.5744680851067</v>
      </c>
      <c r="AJ482" s="9">
        <f t="shared" si="280"/>
        <v>5723.6765957446814</v>
      </c>
      <c r="AK482" s="9">
        <f t="shared" si="280"/>
        <v>6043.478260869565</v>
      </c>
      <c r="AM482" s="9">
        <f t="shared" ref="AM482:AZ482" si="281">AM122/AM463</f>
        <v>6082.053995680345</v>
      </c>
      <c r="AN482" s="9">
        <f t="shared" si="281"/>
        <v>6068.7668845315902</v>
      </c>
      <c r="AO482" s="9">
        <f t="shared" si="281"/>
        <v>5957.7455752212381</v>
      </c>
      <c r="AP482" s="9">
        <f t="shared" si="281"/>
        <v>6144.4504504504503</v>
      </c>
      <c r="AQ482" s="9">
        <f t="shared" si="281"/>
        <v>6144.4504504504503</v>
      </c>
      <c r="AR482" s="9">
        <f t="shared" si="281"/>
        <v>6318.133484162895</v>
      </c>
      <c r="AS482" s="9">
        <f t="shared" si="281"/>
        <v>6507.4356659142204</v>
      </c>
      <c r="AT482" s="9">
        <f t="shared" si="281"/>
        <v>6531.3901345291479</v>
      </c>
      <c r="AU482" s="9">
        <f t="shared" si="281"/>
        <v>6942.660550458716</v>
      </c>
      <c r="AV482" s="9">
        <f t="shared" si="281"/>
        <v>6942.660550458716</v>
      </c>
      <c r="AW482" s="9">
        <f t="shared" si="281"/>
        <v>7252.3809523809523</v>
      </c>
      <c r="AX482" s="9">
        <f t="shared" si="281"/>
        <v>7351.6746411483255</v>
      </c>
      <c r="AY482" s="9">
        <f t="shared" si="281"/>
        <v>7310.0961538461543</v>
      </c>
      <c r="AZ482" s="9">
        <f t="shared" si="281"/>
        <v>7283.6185819070906</v>
      </c>
      <c r="BA482" s="9"/>
      <c r="BB482" s="9">
        <f t="shared" ref="BB482:BC484" si="282">BB122/BB463</f>
        <v>6783.3333333333339</v>
      </c>
      <c r="BC482" s="9">
        <f t="shared" si="282"/>
        <v>6364.7642679900737</v>
      </c>
      <c r="BD482" s="9"/>
      <c r="BE482" s="9"/>
      <c r="BF482" s="9"/>
      <c r="BG482" s="9"/>
      <c r="BH482" s="9"/>
      <c r="BI482" s="9"/>
      <c r="BJ482" s="9"/>
      <c r="BK482" s="9"/>
      <c r="BL482" s="9"/>
      <c r="BM482" s="9"/>
      <c r="BN482" s="9"/>
      <c r="BO482" s="9"/>
      <c r="BP482" s="9"/>
      <c r="BQ482" s="9"/>
      <c r="BR482" s="9"/>
      <c r="BS482" s="9"/>
      <c r="BT482" s="9"/>
    </row>
    <row r="483" spans="4:72">
      <c r="D483" t="str">
        <f>D464</f>
        <v>Guatemala</v>
      </c>
      <c r="AE483" s="9">
        <f t="shared" si="279"/>
        <v>9908.0255813953499</v>
      </c>
      <c r="AF483" s="9">
        <f t="shared" si="279"/>
        <v>9808.8888888888887</v>
      </c>
      <c r="AH483" s="9">
        <f t="shared" si="280"/>
        <v>9743.75</v>
      </c>
      <c r="AI483" s="9">
        <f t="shared" si="280"/>
        <v>10234.166666666666</v>
      </c>
      <c r="AJ483" s="9">
        <f t="shared" si="280"/>
        <v>10382.110204081633</v>
      </c>
      <c r="AK483" s="9">
        <f t="shared" si="280"/>
        <v>10977.551020408164</v>
      </c>
      <c r="AM483" s="9">
        <f t="shared" ref="AM483:AZ483" si="283">AM123/AM464</f>
        <v>11388.367346938776</v>
      </c>
      <c r="AN483" s="9">
        <f t="shared" si="283"/>
        <v>11578.888888888889</v>
      </c>
      <c r="AO483" s="9">
        <f t="shared" si="283"/>
        <v>11608.605825242717</v>
      </c>
      <c r="AP483" s="9">
        <f t="shared" si="283"/>
        <v>12016.27238095238</v>
      </c>
      <c r="AQ483" s="9">
        <f t="shared" si="283"/>
        <v>12016.27238095238</v>
      </c>
      <c r="AR483" s="9">
        <f t="shared" si="283"/>
        <v>12238.849721706863</v>
      </c>
      <c r="AS483" s="9">
        <f t="shared" si="283"/>
        <v>12449.261510128912</v>
      </c>
      <c r="AT483" s="9">
        <f t="shared" si="283"/>
        <v>12596.330275229357</v>
      </c>
      <c r="AU483" s="9">
        <f t="shared" si="283"/>
        <v>13093.749999999998</v>
      </c>
      <c r="AV483" s="9">
        <f t="shared" si="283"/>
        <v>13093.749999999998</v>
      </c>
      <c r="AW483" s="9">
        <f t="shared" si="283"/>
        <v>13176.895306859205</v>
      </c>
      <c r="AX483" s="9">
        <f t="shared" si="283"/>
        <v>13442.413162705667</v>
      </c>
      <c r="AY483" s="9">
        <f t="shared" si="283"/>
        <v>14055.658627087198</v>
      </c>
      <c r="AZ483" s="9">
        <f t="shared" si="283"/>
        <v>14643.25323475046</v>
      </c>
      <c r="BA483" s="9"/>
      <c r="BB483" s="9">
        <f t="shared" si="282"/>
        <v>14895.306859205775</v>
      </c>
      <c r="BC483" s="9">
        <f t="shared" si="282"/>
        <v>15573.584905660377</v>
      </c>
      <c r="BD483" s="9"/>
      <c r="BE483" s="9"/>
      <c r="BF483" s="9"/>
      <c r="BG483" s="9"/>
      <c r="BH483" s="9"/>
      <c r="BI483" s="9"/>
      <c r="BJ483" s="9"/>
      <c r="BK483" s="9"/>
      <c r="BL483" s="9"/>
      <c r="BM483" s="9"/>
      <c r="BN483" s="9"/>
      <c r="BO483" s="9"/>
      <c r="BP483" s="9"/>
      <c r="BQ483" s="9"/>
      <c r="BR483" s="9"/>
      <c r="BS483" s="9"/>
      <c r="BT483" s="9"/>
    </row>
    <row r="484" spans="4:72">
      <c r="D484" t="str">
        <f>D465</f>
        <v>Honduras</v>
      </c>
      <c r="AE484" s="9">
        <f t="shared" si="279"/>
        <v>5736.4388888888889</v>
      </c>
      <c r="AF484" s="9">
        <f t="shared" si="279"/>
        <v>5997.1711456859975</v>
      </c>
      <c r="AH484" s="9">
        <f t="shared" si="280"/>
        <v>6459.090909090909</v>
      </c>
      <c r="AI484" s="9">
        <f t="shared" si="280"/>
        <v>7155.3968253968251</v>
      </c>
      <c r="AJ484" s="9">
        <f t="shared" si="280"/>
        <v>7059.6953846153838</v>
      </c>
      <c r="AK484" s="9">
        <f t="shared" si="280"/>
        <v>7295.3846153846152</v>
      </c>
      <c r="AM484" s="9">
        <f t="shared" ref="AM484:AZ484" si="284">AM124/AM465</f>
        <v>7299.5461422087747</v>
      </c>
      <c r="AN484" s="9">
        <f t="shared" si="284"/>
        <v>7261.6681957186547</v>
      </c>
      <c r="AO484" s="9">
        <f t="shared" si="284"/>
        <v>6812.0290964777951</v>
      </c>
      <c r="AP484" s="9">
        <f t="shared" si="284"/>
        <v>6918.0668740279934</v>
      </c>
      <c r="AQ484" s="9">
        <f t="shared" si="284"/>
        <v>6918.0668740279934</v>
      </c>
      <c r="AR484" s="9">
        <f t="shared" si="284"/>
        <v>6823.1540832049304</v>
      </c>
      <c r="AS484" s="9">
        <f t="shared" si="284"/>
        <v>6923.2928348909654</v>
      </c>
      <c r="AT484" s="9">
        <f t="shared" si="284"/>
        <v>6988.906497622821</v>
      </c>
      <c r="AU484" s="9">
        <f t="shared" si="284"/>
        <v>7017.2413793103451</v>
      </c>
      <c r="AV484" s="9">
        <f t="shared" si="284"/>
        <v>7017.2413793103451</v>
      </c>
      <c r="AW484" s="9">
        <f t="shared" si="284"/>
        <v>6929.411764705882</v>
      </c>
      <c r="AX484" s="9">
        <f t="shared" si="284"/>
        <v>6882.7785817655576</v>
      </c>
      <c r="AY484" s="9">
        <f t="shared" si="284"/>
        <v>6647.727272727273</v>
      </c>
      <c r="AZ484" s="9">
        <f t="shared" si="284"/>
        <v>6727.7936962750719</v>
      </c>
      <c r="BA484" s="9"/>
      <c r="BB484" s="9">
        <f t="shared" si="282"/>
        <v>6960.2941176470586</v>
      </c>
      <c r="BC484" s="9">
        <f t="shared" si="282"/>
        <v>7092.5373134328356</v>
      </c>
      <c r="BD484" s="9"/>
      <c r="BE484" s="9"/>
      <c r="BF484" s="9"/>
      <c r="BG484" s="9"/>
      <c r="BH484" s="9"/>
      <c r="BI484" s="9"/>
      <c r="BJ484" s="9"/>
      <c r="BK484" s="9"/>
      <c r="BL484" s="9"/>
      <c r="BM484" s="9"/>
      <c r="BN484" s="9"/>
      <c r="BO484" s="9"/>
      <c r="BP484" s="9"/>
      <c r="BQ484" s="9"/>
      <c r="BR484" s="9"/>
      <c r="BS484" s="9"/>
      <c r="BT484" s="9"/>
    </row>
    <row r="485" spans="4:72">
      <c r="D485" s="2" t="s">
        <v>1828</v>
      </c>
      <c r="AE485" s="10">
        <f>SUM(AE482:AE484)</f>
        <v>20982.266644197283</v>
      </c>
      <c r="AF485" s="10">
        <f>SUM(AF482:AF484)</f>
        <v>21386.633986009765</v>
      </c>
      <c r="AH485" s="10">
        <f>SUM(AH482:AH484)</f>
        <v>21839.79743083004</v>
      </c>
      <c r="AI485" s="10">
        <f>SUM(AI482:AI484)</f>
        <v>23139.137960148597</v>
      </c>
      <c r="AJ485" s="10">
        <f>SUM(AJ482:AJ484)</f>
        <v>23165.482184441698</v>
      </c>
      <c r="AK485" s="10">
        <f>SUM(AK482:AK484)</f>
        <v>24316.413896662343</v>
      </c>
      <c r="AM485" s="10">
        <f t="shared" ref="AM485:AX485" si="285">SUM(AM482:AM484)</f>
        <v>24769.967484827896</v>
      </c>
      <c r="AN485" s="10">
        <f t="shared" si="285"/>
        <v>24909.323969139135</v>
      </c>
      <c r="AO485" s="10">
        <f t="shared" si="285"/>
        <v>24378.380496941751</v>
      </c>
      <c r="AP485" s="10">
        <f t="shared" si="285"/>
        <v>25078.789705430823</v>
      </c>
      <c r="AQ485" s="10">
        <f t="shared" si="285"/>
        <v>25078.789705430823</v>
      </c>
      <c r="AR485" s="10">
        <f t="shared" si="285"/>
        <v>25380.137289074686</v>
      </c>
      <c r="AS485" s="10">
        <f t="shared" si="285"/>
        <v>25879.9900109341</v>
      </c>
      <c r="AT485" s="10">
        <f t="shared" si="285"/>
        <v>26116.626907381327</v>
      </c>
      <c r="AU485" s="10">
        <f t="shared" si="285"/>
        <v>27053.651929769057</v>
      </c>
      <c r="AV485" s="10">
        <f t="shared" si="285"/>
        <v>27053.651929769057</v>
      </c>
      <c r="AW485" s="10">
        <f t="shared" si="285"/>
        <v>27358.688023946037</v>
      </c>
      <c r="AX485" s="10">
        <f t="shared" si="285"/>
        <v>27676.866385619549</v>
      </c>
      <c r="AY485" s="10">
        <f>SUM(AY482:AY484)</f>
        <v>28013.482053660624</v>
      </c>
      <c r="AZ485" s="10">
        <f>SUM(AZ482:AZ484)</f>
        <v>28654.665512932621</v>
      </c>
      <c r="BA485" s="9"/>
      <c r="BB485" s="10">
        <f>SUM(BB482:BB484)</f>
        <v>28638.93431018617</v>
      </c>
      <c r="BC485" s="10">
        <f>SUM(BC482:BC484)</f>
        <v>29030.886487083288</v>
      </c>
      <c r="BD485" s="10"/>
      <c r="BE485" s="10"/>
      <c r="BF485" s="9"/>
      <c r="BG485" s="9"/>
      <c r="BH485" s="9"/>
      <c r="BI485" s="9"/>
      <c r="BJ485" s="9"/>
      <c r="BK485" s="9"/>
      <c r="BL485" s="9"/>
      <c r="BM485" s="9"/>
      <c r="BN485" s="9"/>
      <c r="BO485" s="9"/>
      <c r="BP485" s="9"/>
      <c r="BQ485" s="9"/>
      <c r="BR485" s="9"/>
      <c r="BS485" s="9"/>
      <c r="BT485" s="9"/>
    </row>
    <row r="486" spans="4:72">
      <c r="D486" t="str">
        <f>D467</f>
        <v>Colombia</v>
      </c>
      <c r="AE486" s="9">
        <f t="shared" ref="AE486:AF488" si="286">AE128/AE467</f>
        <v>36395.611111111109</v>
      </c>
      <c r="AF486" s="9">
        <f t="shared" si="286"/>
        <v>38988.235294117643</v>
      </c>
      <c r="AH486" s="9">
        <f t="shared" ref="AH486:AK488" si="287">AH128/AH467</f>
        <v>41650</v>
      </c>
      <c r="AI486" s="9">
        <f t="shared" si="287"/>
        <v>42952.5</v>
      </c>
      <c r="AJ486" s="9">
        <f t="shared" si="287"/>
        <v>39691.23333333333</v>
      </c>
      <c r="AK486" s="9">
        <f t="shared" si="287"/>
        <v>41600</v>
      </c>
      <c r="AM486" s="9">
        <f t="shared" ref="AM486:AZ486" si="288">AM128/AM467</f>
        <v>42858.426966292136</v>
      </c>
      <c r="AN486" s="9">
        <f t="shared" si="288"/>
        <v>41927.829787234041</v>
      </c>
      <c r="AO486" s="9">
        <f t="shared" si="288"/>
        <v>43465.010526315797</v>
      </c>
      <c r="AP486" s="9">
        <f t="shared" si="288"/>
        <v>43711.423000000003</v>
      </c>
      <c r="AQ486" s="9">
        <f t="shared" si="288"/>
        <v>43711.423000000003</v>
      </c>
      <c r="AR486" s="9">
        <f t="shared" si="288"/>
        <v>44417.619999999995</v>
      </c>
      <c r="AS486" s="9">
        <f t="shared" si="288"/>
        <v>44192.086538461539</v>
      </c>
      <c r="AT486" s="9">
        <f t="shared" si="288"/>
        <v>44462.264150943396</v>
      </c>
      <c r="AU486" s="9">
        <f t="shared" si="288"/>
        <v>45064</v>
      </c>
      <c r="AV486" s="9">
        <f t="shared" si="288"/>
        <v>45064</v>
      </c>
      <c r="AW486" s="9">
        <f t="shared" si="288"/>
        <v>49524.752475247522</v>
      </c>
      <c r="AX486" s="9">
        <f t="shared" si="288"/>
        <v>48439.252336448597</v>
      </c>
      <c r="AY486" s="9">
        <f t="shared" si="288"/>
        <v>48803.571428571428</v>
      </c>
      <c r="AZ486" s="9">
        <f t="shared" si="288"/>
        <v>49362.068965517239</v>
      </c>
      <c r="BA486" s="9"/>
      <c r="BB486" s="9">
        <f t="shared" ref="BB486:BC488" si="289">BB128/BB467</f>
        <v>59089.108910891082</v>
      </c>
      <c r="BC486" s="9">
        <f t="shared" si="289"/>
        <v>49491.93548387097</v>
      </c>
      <c r="BD486" s="9"/>
      <c r="BE486" s="9"/>
      <c r="BF486" s="9"/>
      <c r="BG486" s="9"/>
      <c r="BH486" s="9"/>
      <c r="BI486" s="9"/>
      <c r="BJ486" s="9"/>
      <c r="BK486" s="9"/>
      <c r="BL486" s="9"/>
      <c r="BM486" s="9"/>
      <c r="BN486" s="9"/>
      <c r="BO486" s="9"/>
      <c r="BP486" s="9"/>
      <c r="BQ486" s="9"/>
      <c r="BR486" s="9"/>
      <c r="BS486" s="9"/>
      <c r="BT486" s="9"/>
    </row>
    <row r="487" spans="4:72">
      <c r="D487" t="str">
        <f>D468</f>
        <v>Bolivia</v>
      </c>
      <c r="AE487" s="9">
        <f t="shared" si="286"/>
        <v>3978.3363636363638</v>
      </c>
      <c r="AF487" s="9">
        <f t="shared" si="286"/>
        <v>4163.6904761904761</v>
      </c>
      <c r="AH487" s="9">
        <f t="shared" si="287"/>
        <v>4577.1428571428578</v>
      </c>
      <c r="AI487" s="9">
        <f t="shared" si="287"/>
        <v>5016.9444444444443</v>
      </c>
      <c r="AJ487" s="9">
        <f t="shared" si="287"/>
        <v>5359.2333333333336</v>
      </c>
      <c r="AK487" s="9">
        <f t="shared" si="287"/>
        <v>5619.4444444444443</v>
      </c>
      <c r="AM487" s="9">
        <f t="shared" ref="AM487:AZ487" si="290">AM129/AM468</f>
        <v>5727.197802197802</v>
      </c>
      <c r="AN487" s="9">
        <f t="shared" si="290"/>
        <v>5832.6997245179064</v>
      </c>
      <c r="AO487" s="9">
        <f t="shared" si="290"/>
        <v>6195.0826446280998</v>
      </c>
      <c r="AP487" s="9">
        <f t="shared" si="290"/>
        <v>6735.0308123249297</v>
      </c>
      <c r="AQ487" s="9">
        <f t="shared" si="290"/>
        <v>6735.0308123249297</v>
      </c>
      <c r="AR487" s="9">
        <f t="shared" si="290"/>
        <v>6987.3966480446925</v>
      </c>
      <c r="AS487" s="9">
        <f t="shared" si="290"/>
        <v>7181.4649859943975</v>
      </c>
      <c r="AT487" s="9">
        <f t="shared" si="290"/>
        <v>7350.4273504273506</v>
      </c>
      <c r="AU487" s="9">
        <f t="shared" si="290"/>
        <v>7677.1428571428578</v>
      </c>
      <c r="AV487" s="9">
        <f t="shared" si="290"/>
        <v>7677.1428571428578</v>
      </c>
      <c r="AW487" s="9">
        <f t="shared" si="290"/>
        <v>7844.8753462603881</v>
      </c>
      <c r="AX487" s="9">
        <f t="shared" si="290"/>
        <v>7792.9155313351503</v>
      </c>
      <c r="AY487" s="9">
        <f t="shared" si="290"/>
        <v>8089.1891891891892</v>
      </c>
      <c r="AZ487" s="9">
        <f t="shared" si="290"/>
        <v>8241.1924119241194</v>
      </c>
      <c r="BA487" s="9"/>
      <c r="BB487" s="9">
        <f t="shared" si="289"/>
        <v>7925.2077562326876</v>
      </c>
      <c r="BC487" s="9">
        <f t="shared" si="289"/>
        <v>8228.7390029325506</v>
      </c>
      <c r="BD487" s="9"/>
      <c r="BE487" s="9"/>
      <c r="BF487" s="9"/>
      <c r="BG487" s="9"/>
      <c r="BH487" s="9"/>
      <c r="BI487" s="9"/>
      <c r="BJ487" s="9"/>
      <c r="BK487" s="9"/>
      <c r="BL487" s="9"/>
      <c r="BM487" s="9"/>
      <c r="BN487" s="9"/>
      <c r="BO487" s="9"/>
      <c r="BP487" s="9"/>
      <c r="BQ487" s="9"/>
      <c r="BR487" s="9"/>
      <c r="BS487" s="9"/>
      <c r="BT487" s="9"/>
    </row>
    <row r="488" spans="4:72">
      <c r="D488" t="str">
        <f>D469</f>
        <v>Paraguay</v>
      </c>
      <c r="AE488" s="9">
        <f t="shared" si="286"/>
        <v>4821.1240740740741</v>
      </c>
      <c r="AF488" s="9">
        <f t="shared" si="286"/>
        <v>5005.4644808743169</v>
      </c>
      <c r="AH488" s="9">
        <f t="shared" si="287"/>
        <v>5092.7272727272721</v>
      </c>
      <c r="AI488" s="9">
        <f t="shared" si="287"/>
        <v>5121.9999999999991</v>
      </c>
      <c r="AJ488" s="9">
        <f t="shared" si="287"/>
        <v>5200.7732142857139</v>
      </c>
      <c r="AK488" s="9">
        <f t="shared" si="287"/>
        <v>5442.8571428571422</v>
      </c>
      <c r="AM488" s="9">
        <f t="shared" ref="AM488:AZ488" si="291">AM130/AM469</f>
        <v>5458.1151832460737</v>
      </c>
      <c r="AN488" s="9">
        <f t="shared" si="291"/>
        <v>5522.0121527777783</v>
      </c>
      <c r="AO488" s="9">
        <f t="shared" si="291"/>
        <v>5758.9284467713787</v>
      </c>
      <c r="AP488" s="9">
        <f t="shared" si="291"/>
        <v>5933.4879310344832</v>
      </c>
      <c r="AQ488" s="9">
        <f t="shared" si="291"/>
        <v>5933.4879310344832</v>
      </c>
      <c r="AR488" s="9">
        <f t="shared" si="291"/>
        <v>5998.905498281787</v>
      </c>
      <c r="AS488" s="9">
        <f t="shared" si="291"/>
        <v>6022.343053173242</v>
      </c>
      <c r="AT488" s="9">
        <f t="shared" si="291"/>
        <v>6162.0689655172418</v>
      </c>
      <c r="AU488" s="9">
        <f t="shared" si="291"/>
        <v>6263.4315424610058</v>
      </c>
      <c r="AV488" s="9">
        <f t="shared" si="291"/>
        <v>6263.4315424610058</v>
      </c>
      <c r="AW488" s="9">
        <f t="shared" si="291"/>
        <v>6298.1260647359459</v>
      </c>
      <c r="AX488" s="9">
        <f t="shared" si="291"/>
        <v>6508.8028169014087</v>
      </c>
      <c r="AY488" s="9">
        <f t="shared" si="291"/>
        <v>6717.8130511463851</v>
      </c>
      <c r="AZ488" s="9">
        <f t="shared" si="291"/>
        <v>6844.0207972270373</v>
      </c>
      <c r="BA488" s="9"/>
      <c r="BB488" s="9">
        <f t="shared" si="289"/>
        <v>6696.7632027257241</v>
      </c>
      <c r="BC488" s="9">
        <f t="shared" si="289"/>
        <v>6627.3187183811133</v>
      </c>
      <c r="BD488" s="9"/>
      <c r="BE488" s="9"/>
      <c r="BF488" s="9"/>
      <c r="BG488" s="9"/>
      <c r="BH488" s="9"/>
      <c r="BI488" s="9"/>
      <c r="BJ488" s="9"/>
      <c r="BK488" s="9"/>
      <c r="BL488" s="9"/>
      <c r="BM488" s="9"/>
      <c r="BN488" s="9"/>
      <c r="BO488" s="9"/>
      <c r="BP488" s="9"/>
      <c r="BQ488" s="9"/>
      <c r="BR488" s="9"/>
      <c r="BS488" s="9"/>
      <c r="BT488" s="9"/>
    </row>
    <row r="489" spans="4:72">
      <c r="D489" s="2" t="s">
        <v>1697</v>
      </c>
      <c r="AE489" s="10">
        <f>SUM(AE486:AE488)</f>
        <v>45195.07154882155</v>
      </c>
      <c r="AF489" s="10">
        <f>SUM(AF486:AF488)</f>
        <v>48157.390251182434</v>
      </c>
      <c r="AH489" s="10">
        <f>SUM(AH486:AH488)</f>
        <v>51319.870129870127</v>
      </c>
      <c r="AI489" s="10">
        <f>SUM(AI486:AI488)</f>
        <v>53091.444444444445</v>
      </c>
      <c r="AJ489" s="10">
        <f>SUM(AJ486:AJ488)</f>
        <v>50251.239880952373</v>
      </c>
      <c r="AK489" s="10">
        <f>SUM(AK486:AK488)</f>
        <v>52662.30158730159</v>
      </c>
      <c r="AM489" s="10">
        <f t="shared" ref="AM489:AX489" si="292">SUM(AM486:AM488)</f>
        <v>54043.73995173601</v>
      </c>
      <c r="AN489" s="10">
        <f t="shared" si="292"/>
        <v>53282.54166452973</v>
      </c>
      <c r="AO489" s="10">
        <f t="shared" si="292"/>
        <v>55419.021617715276</v>
      </c>
      <c r="AP489" s="10">
        <f t="shared" si="292"/>
        <v>56379.941743359414</v>
      </c>
      <c r="AQ489" s="10">
        <f t="shared" si="292"/>
        <v>56379.941743359414</v>
      </c>
      <c r="AR489" s="10">
        <f t="shared" si="292"/>
        <v>57403.922146326469</v>
      </c>
      <c r="AS489" s="10">
        <f t="shared" si="292"/>
        <v>57395.89457762918</v>
      </c>
      <c r="AT489" s="10">
        <f t="shared" si="292"/>
        <v>57974.760466887987</v>
      </c>
      <c r="AU489" s="10">
        <f t="shared" si="292"/>
        <v>59004.574399603858</v>
      </c>
      <c r="AV489" s="10">
        <f t="shared" si="292"/>
        <v>59004.574399603858</v>
      </c>
      <c r="AW489" s="10">
        <f t="shared" si="292"/>
        <v>63667.753886243852</v>
      </c>
      <c r="AX489" s="10">
        <f t="shared" si="292"/>
        <v>62740.970684685155</v>
      </c>
      <c r="AY489" s="10">
        <f>SUM(AY486:AY488)</f>
        <v>63610.573668906996</v>
      </c>
      <c r="AZ489" s="10">
        <f>SUM(AZ486:AZ488)</f>
        <v>64447.282174668399</v>
      </c>
      <c r="BA489" s="9"/>
      <c r="BB489" s="10">
        <f>SUM(BB486:BB488)</f>
        <v>73711.079869849491</v>
      </c>
      <c r="BC489" s="10">
        <f>SUM(BC486:BC488)</f>
        <v>64347.993205184626</v>
      </c>
      <c r="BD489" s="10"/>
      <c r="BE489" s="10"/>
      <c r="BF489" s="9"/>
      <c r="BG489" s="9"/>
      <c r="BH489" s="9"/>
      <c r="BI489" s="9"/>
      <c r="BJ489" s="9"/>
      <c r="BK489" s="9"/>
      <c r="BL489" s="9"/>
      <c r="BM489" s="9"/>
      <c r="BN489" s="9"/>
      <c r="BO489" s="9"/>
      <c r="BP489" s="9"/>
      <c r="BQ489" s="9"/>
      <c r="BR489" s="9"/>
      <c r="BS489" s="9"/>
      <c r="BT489" s="9"/>
    </row>
    <row r="490" spans="4:72">
      <c r="D490" t="str">
        <f t="shared" ref="D490:D496" si="293">D472</f>
        <v>Ghana</v>
      </c>
      <c r="AE490" s="9">
        <f t="shared" ref="AE490:AF492" si="294">AE134/AE472</f>
        <v>8842.3290322580633</v>
      </c>
      <c r="AF490" s="9">
        <f t="shared" si="294"/>
        <v>10281.138790035586</v>
      </c>
      <c r="AH490" s="9">
        <f t="shared" ref="AH490:AK492" si="295">AH134/AH472</f>
        <v>10651.85185185185</v>
      </c>
      <c r="AI490" s="9">
        <f t="shared" si="295"/>
        <v>11139.615384615385</v>
      </c>
      <c r="AJ490" s="9">
        <f t="shared" si="295"/>
        <v>11839.928</v>
      </c>
      <c r="AK490" s="9">
        <f t="shared" si="295"/>
        <v>12376</v>
      </c>
      <c r="AM490" s="9">
        <f t="shared" ref="AM490:AZ490" si="296">AM134/AM472</f>
        <v>12501.209677419356</v>
      </c>
      <c r="AN490" s="9">
        <f t="shared" si="296"/>
        <v>12901.598484848484</v>
      </c>
      <c r="AO490" s="9">
        <f t="shared" si="296"/>
        <v>12945.245210727968</v>
      </c>
      <c r="AP490" s="9">
        <f t="shared" si="296"/>
        <v>13988.674603174604</v>
      </c>
      <c r="AQ490" s="9">
        <f t="shared" si="296"/>
        <v>13988.674603174604</v>
      </c>
      <c r="AR490" s="9">
        <f t="shared" si="296"/>
        <v>14233.095617529882</v>
      </c>
      <c r="AS490" s="9">
        <f t="shared" si="296"/>
        <v>15278.173553719009</v>
      </c>
      <c r="AT490" s="9">
        <f t="shared" si="296"/>
        <v>15504.273504273504</v>
      </c>
      <c r="AU490" s="9">
        <f t="shared" si="296"/>
        <v>16469.483568075117</v>
      </c>
      <c r="AV490" s="9">
        <f t="shared" si="296"/>
        <v>16469.483568075117</v>
      </c>
      <c r="AW490" s="9">
        <f t="shared" si="296"/>
        <v>16838.383838383837</v>
      </c>
      <c r="AX490" s="9">
        <f t="shared" si="296"/>
        <v>17275.675675675677</v>
      </c>
      <c r="AY490" s="9">
        <f t="shared" si="296"/>
        <v>18335.227272727272</v>
      </c>
      <c r="AZ490" s="9">
        <f t="shared" si="296"/>
        <v>18430.232558139538</v>
      </c>
      <c r="BA490" s="9"/>
      <c r="BB490" s="9">
        <f t="shared" ref="BB490:BC492" si="297">BB134/BB472</f>
        <v>16085.858585858585</v>
      </c>
      <c r="BC490" s="9">
        <f t="shared" si="297"/>
        <v>19520.710059171597</v>
      </c>
      <c r="BD490" s="9"/>
      <c r="BE490" s="9"/>
      <c r="BF490" s="9"/>
      <c r="BG490" s="9"/>
      <c r="BH490" s="9"/>
      <c r="BI490" s="9"/>
      <c r="BJ490" s="9"/>
      <c r="BK490" s="9"/>
      <c r="BL490" s="9"/>
      <c r="BM490" s="9"/>
      <c r="BN490" s="9"/>
      <c r="BO490" s="9"/>
      <c r="BP490" s="9"/>
      <c r="BQ490" s="9"/>
      <c r="BR490" s="9"/>
      <c r="BS490" s="9"/>
      <c r="BT490" s="9"/>
    </row>
    <row r="491" spans="4:72">
      <c r="D491" t="str">
        <f t="shared" si="293"/>
        <v>Mauritius</v>
      </c>
      <c r="AE491" s="9">
        <f t="shared" si="294"/>
        <v>943.70238095238108</v>
      </c>
      <c r="AF491" s="9">
        <f t="shared" si="294"/>
        <v>990.61032863849766</v>
      </c>
      <c r="AH491" s="9">
        <f t="shared" si="295"/>
        <v>965.11627906976742</v>
      </c>
      <c r="AI491" s="9">
        <f t="shared" si="295"/>
        <v>965.11627906976742</v>
      </c>
      <c r="AJ491" s="9">
        <f t="shared" si="295"/>
        <v>1004.5238095238095</v>
      </c>
      <c r="AK491" s="9">
        <f t="shared" si="295"/>
        <v>1016.2790697674419</v>
      </c>
      <c r="AM491" s="9">
        <f t="shared" ref="AM491:AZ491" si="298">AM135/AM473</f>
        <v>1038.8372093023256</v>
      </c>
      <c r="AN491" s="9">
        <f t="shared" si="298"/>
        <v>1053.5573770491803</v>
      </c>
      <c r="AO491" s="9">
        <f t="shared" si="298"/>
        <v>1063.5721040189126</v>
      </c>
      <c r="AP491" s="9">
        <f t="shared" si="298"/>
        <v>1106.9929577464789</v>
      </c>
      <c r="AQ491" s="9">
        <f t="shared" si="298"/>
        <v>1106.9929577464789</v>
      </c>
      <c r="AR491" s="9">
        <f t="shared" si="298"/>
        <v>1116.6425233644859</v>
      </c>
      <c r="AS491" s="9">
        <f t="shared" si="298"/>
        <v>1123.68779342723</v>
      </c>
      <c r="AT491" s="9">
        <f t="shared" si="298"/>
        <v>1146.2264150943397</v>
      </c>
      <c r="AU491" s="9">
        <f t="shared" si="298"/>
        <v>1200</v>
      </c>
      <c r="AV491" s="9">
        <f t="shared" si="298"/>
        <v>1200</v>
      </c>
      <c r="AW491" s="9">
        <f t="shared" si="298"/>
        <v>1203.3492822966507</v>
      </c>
      <c r="AX491" s="9">
        <f t="shared" si="298"/>
        <v>1200.4716981132076</v>
      </c>
      <c r="AY491" s="9">
        <f t="shared" si="298"/>
        <v>1233.8902147971362</v>
      </c>
      <c r="AZ491" s="9">
        <f t="shared" si="298"/>
        <v>1265.5502392344499</v>
      </c>
      <c r="BA491" s="9"/>
      <c r="BB491" s="9">
        <f t="shared" si="297"/>
        <v>1272.7272727272727</v>
      </c>
      <c r="BC491" s="9">
        <f t="shared" si="297"/>
        <v>1273.3812949640289</v>
      </c>
      <c r="BD491" s="9"/>
      <c r="BE491" s="9"/>
      <c r="BF491" s="9"/>
      <c r="BG491" s="9"/>
      <c r="BH491" s="9"/>
      <c r="BI491" s="9"/>
      <c r="BJ491" s="9"/>
      <c r="BK491" s="9"/>
      <c r="BL491" s="9"/>
      <c r="BM491" s="9"/>
      <c r="BN491" s="9"/>
      <c r="BO491" s="9"/>
      <c r="BP491" s="9"/>
      <c r="BQ491" s="9"/>
      <c r="BR491" s="9"/>
      <c r="BS491" s="9"/>
      <c r="BT491" s="9"/>
    </row>
    <row r="492" spans="4:72">
      <c r="D492" t="str">
        <f t="shared" si="293"/>
        <v>Senegal</v>
      </c>
      <c r="AE492" s="9">
        <f t="shared" si="294"/>
        <v>4793.9815789473687</v>
      </c>
      <c r="AF492" s="9">
        <f t="shared" si="294"/>
        <v>5144.4444444444443</v>
      </c>
      <c r="AH492" s="9">
        <f t="shared" si="295"/>
        <v>5321.6216216216217</v>
      </c>
      <c r="AI492" s="9">
        <f t="shared" si="295"/>
        <v>5559.4736842105258</v>
      </c>
      <c r="AJ492" s="9">
        <f t="shared" si="295"/>
        <v>5266.4222222222224</v>
      </c>
      <c r="AK492" s="9">
        <f t="shared" si="295"/>
        <v>5805.5555555555557</v>
      </c>
      <c r="AM492" s="9">
        <f t="shared" ref="AM492:AZ492" si="299">AM136/AM474</f>
        <v>6654.0616246498603</v>
      </c>
      <c r="AN492" s="9">
        <f t="shared" si="299"/>
        <v>6961.761363636364</v>
      </c>
      <c r="AO492" s="9">
        <f t="shared" si="299"/>
        <v>7150.9469026548659</v>
      </c>
      <c r="AP492" s="9">
        <f t="shared" si="299"/>
        <v>7205.0886850152901</v>
      </c>
      <c r="AQ492" s="9">
        <f t="shared" si="299"/>
        <v>7205.0886850152901</v>
      </c>
      <c r="AR492" s="9">
        <f t="shared" si="299"/>
        <v>7632.7250755286996</v>
      </c>
      <c r="AS492" s="9">
        <f t="shared" si="299"/>
        <v>7867.2185628742509</v>
      </c>
      <c r="AT492" s="9">
        <f t="shared" si="299"/>
        <v>7839.5061728395058</v>
      </c>
      <c r="AU492" s="9">
        <f t="shared" si="299"/>
        <v>7953.1772575250843</v>
      </c>
      <c r="AV492" s="9">
        <f t="shared" si="299"/>
        <v>7953.1772575250843</v>
      </c>
      <c r="AW492" s="9">
        <f t="shared" si="299"/>
        <v>8595.1557093425617</v>
      </c>
      <c r="AX492" s="9">
        <f t="shared" si="299"/>
        <v>8410.8280254777073</v>
      </c>
      <c r="AY492" s="9">
        <f t="shared" si="299"/>
        <v>8456.869009584665</v>
      </c>
      <c r="AZ492" s="9">
        <f t="shared" si="299"/>
        <v>8519.354838709678</v>
      </c>
      <c r="BA492" s="9"/>
      <c r="BB492" s="9">
        <f t="shared" si="297"/>
        <v>9217.9930795847758</v>
      </c>
      <c r="BC492" s="9">
        <f t="shared" si="297"/>
        <v>9276.8166089965398</v>
      </c>
      <c r="BD492" s="9"/>
      <c r="BE492" s="9"/>
      <c r="BF492" s="9"/>
      <c r="BG492" s="9"/>
      <c r="BH492" s="9"/>
      <c r="BI492" s="9"/>
      <c r="BJ492" s="9"/>
      <c r="BK492" s="9"/>
      <c r="BL492" s="9"/>
      <c r="BM492" s="9"/>
      <c r="BN492" s="9"/>
      <c r="BO492" s="9"/>
      <c r="BP492" s="9"/>
      <c r="BQ492" s="9"/>
      <c r="BR492" s="9"/>
      <c r="BS492" s="9"/>
      <c r="BT492" s="9"/>
    </row>
    <row r="493" spans="4:72">
      <c r="D493" t="str">
        <f t="shared" si="293"/>
        <v>Tanzania</v>
      </c>
      <c r="AE493" s="9">
        <f t="shared" ref="AE493:AF495" si="300">AE138/AE475</f>
        <v>8339.5120000000006</v>
      </c>
      <c r="AF493" s="9">
        <f t="shared" si="300"/>
        <v>8834.6153846153848</v>
      </c>
      <c r="AH493" s="9">
        <f t="shared" ref="AH493:AK495" si="301">AH138/AH475</f>
        <v>9203.4482758620688</v>
      </c>
      <c r="AI493" s="9">
        <f t="shared" si="301"/>
        <v>9942.9032258064526</v>
      </c>
      <c r="AJ493" s="9">
        <f t="shared" si="301"/>
        <v>10914.378124999999</v>
      </c>
      <c r="AK493" s="9">
        <f t="shared" si="301"/>
        <v>12431.25</v>
      </c>
      <c r="AM493" s="9">
        <f t="shared" ref="AM493:AZ493" si="302">AM138/AM475</f>
        <v>12897.784810126581</v>
      </c>
      <c r="AN493" s="9">
        <f t="shared" si="302"/>
        <v>13729.9</v>
      </c>
      <c r="AO493" s="9">
        <f t="shared" si="302"/>
        <v>13823.365558912385</v>
      </c>
      <c r="AP493" s="9">
        <f t="shared" si="302"/>
        <v>13325.922619047618</v>
      </c>
      <c r="AQ493" s="9">
        <f t="shared" si="302"/>
        <v>13325.922619047618</v>
      </c>
      <c r="AR493" s="9">
        <f t="shared" si="302"/>
        <v>15166.438311688311</v>
      </c>
      <c r="AS493" s="9">
        <f t="shared" si="302"/>
        <v>16253.904605263158</v>
      </c>
      <c r="AT493" s="9">
        <f t="shared" si="302"/>
        <v>17255.737704918032</v>
      </c>
      <c r="AU493" s="9">
        <f t="shared" si="302"/>
        <v>17415.335463258787</v>
      </c>
      <c r="AV493" s="9">
        <f t="shared" si="302"/>
        <v>17415.335463258787</v>
      </c>
      <c r="AW493" s="9">
        <f t="shared" si="302"/>
        <v>17509.554140127388</v>
      </c>
      <c r="AX493" s="9">
        <f t="shared" si="302"/>
        <v>17706.624605678233</v>
      </c>
      <c r="AY493" s="9">
        <f t="shared" si="302"/>
        <v>18532.915360501567</v>
      </c>
      <c r="AZ493" s="9">
        <f t="shared" si="302"/>
        <v>19063.091482649841</v>
      </c>
      <c r="BA493" s="9"/>
      <c r="BB493" s="9">
        <f t="shared" ref="BB493:BC496" si="303">BB138/BB475</f>
        <v>19321.656050955415</v>
      </c>
      <c r="BC493" s="9">
        <f t="shared" si="303"/>
        <v>19817.275747508305</v>
      </c>
      <c r="BD493" s="9"/>
      <c r="BE493" s="9"/>
      <c r="BF493" s="9"/>
      <c r="BG493" s="9"/>
      <c r="BH493" s="9"/>
      <c r="BI493" s="9"/>
      <c r="BJ493" s="9"/>
      <c r="BK493" s="9"/>
      <c r="BL493" s="9"/>
      <c r="BM493" s="9"/>
      <c r="BN493" s="9"/>
      <c r="BO493" s="9"/>
      <c r="BP493" s="9"/>
      <c r="BQ493" s="9"/>
      <c r="BR493" s="9"/>
      <c r="BS493" s="9"/>
      <c r="BT493" s="9"/>
    </row>
    <row r="494" spans="4:72">
      <c r="D494" t="str">
        <f t="shared" si="293"/>
        <v>Chad</v>
      </c>
      <c r="AE494" s="9">
        <f t="shared" si="300"/>
        <v>1105.7824999999998</v>
      </c>
      <c r="AF494" s="9">
        <f t="shared" si="300"/>
        <v>1210.2908277404922</v>
      </c>
      <c r="AH494" s="9">
        <f t="shared" si="301"/>
        <v>1535.5555555555554</v>
      </c>
      <c r="AI494" s="9">
        <f t="shared" si="301"/>
        <v>1780.8888888888887</v>
      </c>
      <c r="AJ494" s="9">
        <f t="shared" si="301"/>
        <v>1750.1897959183673</v>
      </c>
      <c r="AK494" s="9">
        <f t="shared" si="301"/>
        <v>2034</v>
      </c>
      <c r="AM494" s="9">
        <f t="shared" ref="AM494:AZ494" si="304">AM139/AM476</f>
        <v>2166.2188099808059</v>
      </c>
      <c r="AN494" s="9">
        <f t="shared" si="304"/>
        <v>2244.6477064220185</v>
      </c>
      <c r="AO494" s="9">
        <f t="shared" si="304"/>
        <v>2261.2302158273378</v>
      </c>
      <c r="AP494" s="9">
        <f t="shared" si="304"/>
        <v>2512.0386643233742</v>
      </c>
      <c r="AQ494" s="9">
        <f t="shared" si="304"/>
        <v>2512.0386643233742</v>
      </c>
      <c r="AR494" s="9">
        <f t="shared" si="304"/>
        <v>2700.2622377622379</v>
      </c>
      <c r="AS494" s="9">
        <f t="shared" si="304"/>
        <v>2906.2599653379552</v>
      </c>
      <c r="AT494" s="9">
        <f t="shared" si="304"/>
        <v>2947.735191637631</v>
      </c>
      <c r="AU494" s="9">
        <f t="shared" si="304"/>
        <v>3293.913043478261</v>
      </c>
      <c r="AV494" s="9">
        <f t="shared" si="304"/>
        <v>3293.913043478261</v>
      </c>
      <c r="AW494" s="9">
        <f t="shared" si="304"/>
        <v>3252.9914529914531</v>
      </c>
      <c r="AX494" s="9">
        <f t="shared" si="304"/>
        <v>3441.0163339382939</v>
      </c>
      <c r="AY494" s="9">
        <f t="shared" si="304"/>
        <v>3461.95652173913</v>
      </c>
      <c r="AZ494" s="9">
        <f t="shared" si="304"/>
        <v>3664.2599277978338</v>
      </c>
      <c r="BA494" s="9"/>
      <c r="BB494" s="9">
        <f t="shared" si="303"/>
        <v>3341.8803418803423</v>
      </c>
      <c r="BC494" s="9">
        <f t="shared" si="303"/>
        <v>3736.6412213740455</v>
      </c>
      <c r="BD494" s="9"/>
      <c r="BE494" s="9"/>
      <c r="BF494" s="9"/>
      <c r="BG494" s="9"/>
      <c r="BH494" s="9"/>
      <c r="BI494" s="9"/>
      <c r="BJ494" s="9"/>
      <c r="BK494" s="9"/>
      <c r="BL494" s="9"/>
      <c r="BM494" s="9"/>
      <c r="BN494" s="9"/>
      <c r="BO494" s="9"/>
      <c r="BP494" s="9"/>
      <c r="BQ494" s="9"/>
      <c r="BR494" s="9"/>
      <c r="BS494" s="9"/>
      <c r="BT494" s="9"/>
    </row>
    <row r="495" spans="4:72">
      <c r="D495" t="str">
        <f t="shared" si="293"/>
        <v>DR Congo</v>
      </c>
      <c r="AE495" s="9">
        <f t="shared" si="300"/>
        <v>5007.8263157894735</v>
      </c>
      <c r="AF495" s="9">
        <f t="shared" si="300"/>
        <v>5854.7486033519554</v>
      </c>
      <c r="AH495" s="9">
        <f t="shared" si="301"/>
        <v>5680.9523809523807</v>
      </c>
      <c r="AI495" s="9">
        <f t="shared" si="301"/>
        <v>5282.916666666667</v>
      </c>
      <c r="AJ495" s="9">
        <f t="shared" si="301"/>
        <v>5796.6319999999996</v>
      </c>
      <c r="AK495" s="9">
        <f t="shared" si="301"/>
        <v>5811.538461538461</v>
      </c>
      <c r="AM495" s="9">
        <f t="shared" ref="AM495:AZ495" si="305">AM140/AM477</f>
        <v>5942.9629629629626</v>
      </c>
      <c r="AN495" s="9">
        <f t="shared" si="305"/>
        <v>6529.8960573476688</v>
      </c>
      <c r="AO495" s="9">
        <f t="shared" si="305"/>
        <v>7292.173913043478</v>
      </c>
      <c r="AP495" s="9">
        <f t="shared" si="305"/>
        <v>5472.4644670050757</v>
      </c>
      <c r="AQ495" s="9">
        <f t="shared" si="305"/>
        <v>5472.4644670050757</v>
      </c>
      <c r="AR495" s="9">
        <f t="shared" si="305"/>
        <v>5717.9441489361707</v>
      </c>
      <c r="AS495" s="9">
        <f t="shared" si="305"/>
        <v>6152.1352785145891</v>
      </c>
      <c r="AT495" s="9">
        <f t="shared" si="305"/>
        <v>6929.9719887955189</v>
      </c>
      <c r="AU495" s="9">
        <f t="shared" si="305"/>
        <v>6825.2148997134673</v>
      </c>
      <c r="AV495" s="9">
        <f t="shared" si="305"/>
        <v>6825.2148997134673</v>
      </c>
      <c r="AW495" s="9">
        <f t="shared" si="305"/>
        <v>6969.7885196374618</v>
      </c>
      <c r="AX495" s="9">
        <f t="shared" si="305"/>
        <v>7669.669669669669</v>
      </c>
      <c r="AY495" s="9">
        <f t="shared" si="305"/>
        <v>8366.8639053254428</v>
      </c>
      <c r="AZ495" s="9">
        <f t="shared" si="305"/>
        <v>8623.5632183908056</v>
      </c>
      <c r="BA495" s="9"/>
      <c r="BB495" s="9">
        <f t="shared" si="303"/>
        <v>8870.0906344410869</v>
      </c>
      <c r="BC495" s="9">
        <f t="shared" si="303"/>
        <v>8874.2514970059874</v>
      </c>
      <c r="BD495" s="9"/>
      <c r="BE495" s="9"/>
      <c r="BF495" s="9"/>
      <c r="BG495" s="9"/>
      <c r="BH495" s="9"/>
      <c r="BI495" s="9"/>
      <c r="BJ495" s="9"/>
      <c r="BK495" s="9"/>
      <c r="BL495" s="9"/>
      <c r="BM495" s="9"/>
      <c r="BN495" s="9"/>
      <c r="BO495" s="9"/>
      <c r="BP495" s="9"/>
      <c r="BQ495" s="9"/>
      <c r="BR495" s="9"/>
      <c r="BS495" s="9"/>
      <c r="BT495" s="9"/>
    </row>
    <row r="496" spans="4:72">
      <c r="D496" t="str">
        <f t="shared" si="293"/>
        <v>Rwanda</v>
      </c>
      <c r="AE496" s="9"/>
      <c r="AF496" s="9"/>
      <c r="AH496" s="9"/>
      <c r="AI496" s="9"/>
      <c r="AJ496" s="9"/>
      <c r="AK496" s="9"/>
      <c r="AM496" s="9">
        <f t="shared" ref="AM496:AZ496" si="306">AM141/AM478</f>
        <v>1908.3333333333335</v>
      </c>
      <c r="AN496" s="9">
        <f t="shared" si="306"/>
        <v>3116.0749999999998</v>
      </c>
      <c r="AO496" s="9">
        <f t="shared" si="306"/>
        <v>3581.7124183006536</v>
      </c>
      <c r="AP496" s="9">
        <f t="shared" si="306"/>
        <v>3663.5466666666671</v>
      </c>
      <c r="AQ496" s="9">
        <f t="shared" si="306"/>
        <v>3663.5466666666671</v>
      </c>
      <c r="AR496" s="9">
        <f t="shared" si="306"/>
        <v>3771.8940397350998</v>
      </c>
      <c r="AS496" s="9">
        <f t="shared" si="306"/>
        <v>2638.2110389610389</v>
      </c>
      <c r="AT496" s="9">
        <f t="shared" si="306"/>
        <v>3300</v>
      </c>
      <c r="AU496" s="9">
        <f t="shared" si="306"/>
        <v>3455.072463768116</v>
      </c>
      <c r="AV496" s="9">
        <f t="shared" si="306"/>
        <v>3455.072463768116</v>
      </c>
      <c r="AW496" s="9">
        <f t="shared" si="306"/>
        <v>3390.8045977011498</v>
      </c>
      <c r="AX496" s="9">
        <f t="shared" si="306"/>
        <v>3620.1780415430267</v>
      </c>
      <c r="AY496" s="9">
        <f t="shared" si="306"/>
        <v>3827.9569892473119</v>
      </c>
      <c r="AZ496" s="9">
        <f t="shared" si="306"/>
        <v>3963.0606860158309</v>
      </c>
      <c r="BA496" s="9"/>
      <c r="BB496" s="9">
        <f t="shared" si="303"/>
        <v>4227.0114942528735</v>
      </c>
      <c r="BC496" s="9">
        <f t="shared" si="303"/>
        <v>4605.7142857142862</v>
      </c>
      <c r="BD496" s="9"/>
      <c r="BE496" s="9"/>
      <c r="BF496" s="9"/>
      <c r="BG496" s="9"/>
      <c r="BH496" s="9"/>
      <c r="BI496" s="9"/>
      <c r="BJ496" s="9"/>
      <c r="BK496" s="9"/>
      <c r="BL496" s="9"/>
      <c r="BM496" s="9"/>
      <c r="BN496" s="9"/>
      <c r="BO496" s="9"/>
      <c r="BP496" s="9"/>
      <c r="BQ496" s="9"/>
      <c r="BR496" s="9"/>
      <c r="BS496" s="9"/>
      <c r="BT496" s="9"/>
    </row>
    <row r="497" spans="4:72">
      <c r="D497" s="2" t="s">
        <v>1831</v>
      </c>
      <c r="AE497" s="10">
        <f>SUM(AE490:AE496)</f>
        <v>29033.133807947288</v>
      </c>
      <c r="AF497" s="10">
        <f>SUM(AF490:AF496)</f>
        <v>32315.848378826358</v>
      </c>
      <c r="AH497" s="10">
        <f>SUM(AH490:AH496)</f>
        <v>33358.545964913239</v>
      </c>
      <c r="AI497" s="10">
        <f>SUM(AI490:AI496)</f>
        <v>34670.914129257682</v>
      </c>
      <c r="AJ497" s="10">
        <f>SUM(AJ490:AJ496)</f>
        <v>36572.073952664396</v>
      </c>
      <c r="AK497" s="10">
        <f>SUM(AK490:AK496)</f>
        <v>39474.623086861458</v>
      </c>
      <c r="AM497" s="10">
        <f t="shared" ref="AM497:AX497" si="307">SUM(AM490:AM496)</f>
        <v>43109.408427775226</v>
      </c>
      <c r="AN497" s="10">
        <f t="shared" si="307"/>
        <v>46537.435989303718</v>
      </c>
      <c r="AO497" s="10">
        <f t="shared" si="307"/>
        <v>48118.246323485604</v>
      </c>
      <c r="AP497" s="10">
        <f t="shared" si="307"/>
        <v>47274.728662979105</v>
      </c>
      <c r="AQ497" s="10">
        <f t="shared" si="307"/>
        <v>47274.728662979105</v>
      </c>
      <c r="AR497" s="10">
        <f t="shared" si="307"/>
        <v>50339.001954544889</v>
      </c>
      <c r="AS497" s="10">
        <f t="shared" si="307"/>
        <v>52219.590798097233</v>
      </c>
      <c r="AT497" s="10">
        <f t="shared" si="307"/>
        <v>54923.450977558532</v>
      </c>
      <c r="AU497" s="10">
        <f t="shared" si="307"/>
        <v>56612.196695818828</v>
      </c>
      <c r="AV497" s="10">
        <f t="shared" si="307"/>
        <v>56612.196695818828</v>
      </c>
      <c r="AW497" s="10">
        <f t="shared" si="307"/>
        <v>57760.027540480507</v>
      </c>
      <c r="AX497" s="10">
        <f t="shared" si="307"/>
        <v>59324.464050095812</v>
      </c>
      <c r="AY497" s="10">
        <f>SUM(AY490:AY496)</f>
        <v>62215.67927392252</v>
      </c>
      <c r="AZ497" s="10">
        <f>SUM(AZ490:AZ496)</f>
        <v>63529.112950937983</v>
      </c>
      <c r="BB497" s="10">
        <f>SUM(BB490:BB496)</f>
        <v>62337.217459700361</v>
      </c>
      <c r="BC497" s="10">
        <f>SUM(BC490:BC496)</f>
        <v>67104.790714734787</v>
      </c>
      <c r="BD497" s="10"/>
      <c r="BE497" s="10"/>
    </row>
    <row r="498" spans="4:72">
      <c r="D498" s="2"/>
    </row>
    <row r="499" spans="4:72">
      <c r="D499" s="2" t="s">
        <v>1355</v>
      </c>
    </row>
    <row r="500" spans="4:72">
      <c r="D500" t="str">
        <f>D482</f>
        <v>El Salvador</v>
      </c>
      <c r="AE500" s="16">
        <f>AE482/CA!I5</f>
        <v>0.91215606769400126</v>
      </c>
      <c r="AF500" s="16"/>
      <c r="AH500" s="16"/>
      <c r="AI500" s="16"/>
      <c r="AJ500" s="16"/>
      <c r="AK500" s="16"/>
      <c r="AM500" s="16"/>
      <c r="AN500" s="16"/>
      <c r="AO500" s="16"/>
      <c r="AP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row>
    <row r="501" spans="4:72">
      <c r="D501" t="str">
        <f>D483</f>
        <v>Guatemala</v>
      </c>
      <c r="AE501" s="16">
        <f>AE483/CA!I6</f>
        <v>0.72727691172906506</v>
      </c>
      <c r="AF501" s="16"/>
      <c r="AH501" s="16"/>
      <c r="AI501" s="16"/>
      <c r="AJ501" s="16"/>
      <c r="AK501" s="16"/>
      <c r="AM501" s="16"/>
      <c r="AN501" s="16"/>
      <c r="AO501" s="16"/>
      <c r="AP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row>
    <row r="502" spans="4:72">
      <c r="D502" t="str">
        <f>D484</f>
        <v>Honduras</v>
      </c>
      <c r="AE502" s="16">
        <f>AE484/CA!I7</f>
        <v>0.74925468317610056</v>
      </c>
      <c r="AF502" s="16"/>
      <c r="AH502" s="16"/>
      <c r="AI502" s="16"/>
      <c r="AJ502" s="16"/>
      <c r="AK502" s="16"/>
      <c r="AM502" s="16"/>
      <c r="AN502" s="16"/>
      <c r="AO502" s="16"/>
      <c r="AP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row>
    <row r="503" spans="4:72">
      <c r="D503" t="str">
        <f>D486</f>
        <v>Colombia</v>
      </c>
      <c r="AE503" s="16">
        <f>AE486/Colombia!E12</f>
        <v>0.82157738428354432</v>
      </c>
      <c r="AF503" s="16"/>
      <c r="AH503" s="16"/>
      <c r="AI503" s="16"/>
      <c r="AJ503" s="16"/>
      <c r="AK503" s="16"/>
      <c r="AM503" s="16"/>
      <c r="AN503" s="16"/>
      <c r="AO503" s="16"/>
      <c r="AP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row>
    <row r="504" spans="4:72">
      <c r="D504" t="str">
        <f>D487</f>
        <v>Bolivia</v>
      </c>
      <c r="AE504" s="16">
        <f>AE487/SA!I5</f>
        <v>0.40608036649554879</v>
      </c>
      <c r="AF504" s="16"/>
      <c r="AH504" s="16"/>
      <c r="AI504" s="16"/>
      <c r="AJ504" s="16"/>
      <c r="AK504" s="16"/>
      <c r="AM504" s="16"/>
      <c r="AN504" s="16"/>
      <c r="AO504" s="16"/>
      <c r="AP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row>
    <row r="505" spans="4:72">
      <c r="D505" t="str">
        <f>D488</f>
        <v>Paraguay</v>
      </c>
      <c r="AE505" s="16">
        <f>AE488/SA!I6</f>
        <v>0.75264273208798327</v>
      </c>
      <c r="AF505" s="16"/>
      <c r="AH505" s="16"/>
      <c r="AI505" s="16"/>
      <c r="AJ505" s="16"/>
      <c r="AK505" s="16"/>
      <c r="AM505" s="16"/>
      <c r="AN505" s="16"/>
      <c r="AO505" s="16"/>
      <c r="AP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row>
    <row r="506" spans="4:72">
      <c r="D506" t="str">
        <f t="shared" ref="D506:D512" si="308">D490</f>
        <v>Ghana</v>
      </c>
      <c r="AE506" s="16">
        <f>AE490/Africa!I5</f>
        <v>0.37707682131332415</v>
      </c>
      <c r="AF506" s="16"/>
      <c r="AH506" s="16"/>
      <c r="AI506" s="16"/>
      <c r="AJ506" s="16"/>
      <c r="AK506" s="16"/>
      <c r="AM506" s="16"/>
      <c r="AN506" s="16"/>
      <c r="AO506" s="16"/>
      <c r="AP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row>
    <row r="507" spans="4:72">
      <c r="D507" t="str">
        <f t="shared" si="308"/>
        <v>Mauritius</v>
      </c>
      <c r="AE507" s="16">
        <f>AE491/Africa!I6</f>
        <v>0.74042620458135866</v>
      </c>
      <c r="AF507" s="16"/>
      <c r="AH507" s="16"/>
      <c r="AI507" s="16"/>
      <c r="AJ507" s="16"/>
      <c r="AK507" s="16"/>
      <c r="AM507" s="16"/>
      <c r="AN507" s="16"/>
      <c r="AO507" s="16"/>
      <c r="AP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row>
    <row r="508" spans="4:72">
      <c r="D508" t="str">
        <f t="shared" si="308"/>
        <v>Senegal</v>
      </c>
      <c r="AE508" s="16">
        <f>AE492/Africa!I7</f>
        <v>0.39138769694213937</v>
      </c>
      <c r="AF508" s="16"/>
      <c r="AH508" s="16"/>
      <c r="AI508" s="16"/>
      <c r="AJ508" s="16"/>
      <c r="AK508" s="16"/>
      <c r="AM508" s="16"/>
      <c r="AN508" s="16"/>
      <c r="AO508" s="16"/>
      <c r="AP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row>
    <row r="509" spans="4:72">
      <c r="D509" t="str">
        <f t="shared" si="308"/>
        <v>Tanzania</v>
      </c>
      <c r="AE509" s="16">
        <f>AE493/Africa!I8</f>
        <v>0.20767091266869833</v>
      </c>
      <c r="AF509" s="16"/>
      <c r="AH509" s="16"/>
      <c r="AI509" s="16"/>
      <c r="AJ509" s="16"/>
      <c r="AK509" s="16"/>
      <c r="AM509" s="16"/>
      <c r="AN509" s="16"/>
      <c r="AO509" s="16"/>
      <c r="AP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row>
    <row r="510" spans="4:72">
      <c r="D510" t="str">
        <f t="shared" si="308"/>
        <v>Chad</v>
      </c>
      <c r="AE510" s="16">
        <f>AE494/Africa!I9</f>
        <v>0.11037385397412199</v>
      </c>
      <c r="AF510" s="16"/>
      <c r="AH510" s="16"/>
      <c r="AI510" s="16"/>
      <c r="AJ510" s="16"/>
      <c r="AK510" s="16"/>
      <c r="AM510" s="16"/>
      <c r="AN510" s="16"/>
      <c r="AO510" s="16"/>
      <c r="AP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row>
    <row r="511" spans="4:72">
      <c r="D511" t="str">
        <f t="shared" si="308"/>
        <v>DR Congo</v>
      </c>
      <c r="AE511" s="16">
        <f>AE495/Africa!I10</f>
        <v>7.7411055644837273E-2</v>
      </c>
      <c r="AF511" s="16"/>
      <c r="AH511" s="16"/>
      <c r="AI511" s="16"/>
      <c r="AJ511" s="16"/>
      <c r="AK511" s="16"/>
      <c r="AM511" s="16"/>
      <c r="AN511" s="16"/>
      <c r="AO511" s="16"/>
      <c r="AP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row>
    <row r="512" spans="4:72">
      <c r="D512" t="str">
        <f t="shared" si="308"/>
        <v>Rwanda</v>
      </c>
      <c r="AE512" s="16"/>
      <c r="AF512" s="16"/>
      <c r="AH512" s="16"/>
      <c r="AI512" s="16"/>
      <c r="AJ512" s="16"/>
      <c r="AK512" s="16"/>
      <c r="AM512" s="16"/>
      <c r="AN512" s="16"/>
      <c r="AO512" s="16"/>
      <c r="AP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row>
    <row r="514" spans="4:103">
      <c r="D514" s="487" t="s">
        <v>2602</v>
      </c>
      <c r="E514" s="455"/>
      <c r="BA514" s="508" t="s">
        <v>4082</v>
      </c>
      <c r="BB514" s="508" t="s">
        <v>4084</v>
      </c>
      <c r="BC514" s="508" t="s">
        <v>4085</v>
      </c>
      <c r="BD514" s="508" t="s">
        <v>4086</v>
      </c>
      <c r="BE514" s="495"/>
      <c r="BF514" s="508" t="s">
        <v>4302</v>
      </c>
      <c r="BG514" s="495"/>
      <c r="BH514" s="495"/>
      <c r="BI514" s="495"/>
      <c r="BJ514" s="495"/>
      <c r="BK514" s="495"/>
      <c r="BL514" s="495"/>
      <c r="BM514" s="495"/>
      <c r="BN514" s="495"/>
      <c r="BO514" s="495"/>
      <c r="BP514" s="495"/>
      <c r="BQ514" s="495"/>
      <c r="BR514" s="495"/>
      <c r="BS514" s="495"/>
      <c r="BT514" s="495"/>
      <c r="BU514" s="495"/>
      <c r="BV514" s="495"/>
      <c r="BW514" s="495"/>
      <c r="BX514" s="495"/>
      <c r="BY514" s="495"/>
      <c r="BZ514" s="495"/>
      <c r="CA514" s="495"/>
      <c r="CB514" s="495"/>
      <c r="CC514" s="495"/>
      <c r="CD514" s="495"/>
      <c r="CE514" s="495"/>
      <c r="CF514" s="495"/>
      <c r="CG514" s="495"/>
      <c r="CH514" s="495"/>
      <c r="CI514" s="495"/>
      <c r="CJ514" s="495"/>
      <c r="CK514" s="495"/>
      <c r="CL514" s="495"/>
      <c r="CM514" s="495"/>
      <c r="CN514" s="495"/>
      <c r="CO514" s="495"/>
      <c r="CP514" s="495"/>
      <c r="CQ514" s="495"/>
      <c r="CR514" s="495"/>
      <c r="CS514" s="495"/>
      <c r="CT514" s="495"/>
      <c r="CU514" s="495"/>
      <c r="CV514" s="495"/>
      <c r="CW514" s="508"/>
      <c r="CX514" s="508"/>
      <c r="CY514" s="508"/>
    </row>
    <row r="515" spans="4:103">
      <c r="D515" s="478" t="s">
        <v>371</v>
      </c>
      <c r="BA515" s="464">
        <f>BQ219</f>
        <v>622.55899999999997</v>
      </c>
      <c r="BB515" s="464" t="e">
        <f>#REF!</f>
        <v>#REF!</v>
      </c>
      <c r="BC515" s="464" t="e">
        <f>#REF!</f>
        <v>#REF!</v>
      </c>
      <c r="BD515" s="464">
        <f>BT219</f>
        <v>590.24613254426561</v>
      </c>
      <c r="CB515"/>
      <c r="CC515"/>
      <c r="CD515"/>
      <c r="CE515"/>
      <c r="CF515"/>
      <c r="CG515"/>
      <c r="CH515"/>
      <c r="CI515"/>
      <c r="CJ515"/>
      <c r="CK515"/>
      <c r="CL515"/>
      <c r="CM515"/>
      <c r="CN515"/>
      <c r="CO515"/>
      <c r="CP515"/>
      <c r="CQ515"/>
      <c r="CR515"/>
      <c r="CS515"/>
      <c r="CT515"/>
      <c r="CU515"/>
      <c r="CV515"/>
      <c r="CW515" s="454"/>
      <c r="CX515"/>
      <c r="CY515"/>
    </row>
    <row r="516" spans="4:103">
      <c r="D516" s="478" t="s">
        <v>1665</v>
      </c>
      <c r="BA516" s="464">
        <f>'Country quarts'!M23</f>
        <v>397</v>
      </c>
      <c r="BB516" s="464" t="e">
        <f>'Country quarts'!#REF!</f>
        <v>#REF!</v>
      </c>
      <c r="BC516" s="464" t="e">
        <f>'Country quarts'!#REF!</f>
        <v>#REF!</v>
      </c>
      <c r="BD516" s="464">
        <f ca="1">'Country quarts'!P23</f>
        <v>435.43577506495399</v>
      </c>
      <c r="CB516"/>
      <c r="CC516"/>
      <c r="CD516"/>
      <c r="CE516"/>
      <c r="CF516"/>
      <c r="CG516"/>
      <c r="CH516"/>
      <c r="CI516"/>
      <c r="CJ516"/>
      <c r="CK516"/>
      <c r="CL516"/>
      <c r="CM516"/>
      <c r="CN516"/>
      <c r="CO516"/>
      <c r="CP516"/>
      <c r="CQ516"/>
      <c r="CR516"/>
      <c r="CS516"/>
      <c r="CT516"/>
      <c r="CU516"/>
      <c r="CV516"/>
      <c r="CW516" s="454"/>
      <c r="CX516"/>
      <c r="CY516"/>
    </row>
    <row r="517" spans="4:103">
      <c r="D517" s="478" t="s">
        <v>4301</v>
      </c>
      <c r="BA517" s="464">
        <f>BQ227-BA516</f>
        <v>289</v>
      </c>
      <c r="BB517" s="464" t="e">
        <f>#REF!-BB516</f>
        <v>#REF!</v>
      </c>
      <c r="BC517" s="464" t="e">
        <f>#REF!-BC516</f>
        <v>#REF!</v>
      </c>
      <c r="BD517" s="464">
        <f ca="1">BT227-BD516</f>
        <v>299.72416766615152</v>
      </c>
      <c r="CB517"/>
      <c r="CC517"/>
      <c r="CD517"/>
      <c r="CE517"/>
      <c r="CF517"/>
      <c r="CG517"/>
      <c r="CH517"/>
      <c r="CI517"/>
      <c r="CJ517"/>
      <c r="CK517"/>
      <c r="CL517"/>
      <c r="CM517"/>
      <c r="CN517"/>
      <c r="CO517"/>
      <c r="CP517"/>
      <c r="CQ517"/>
      <c r="CR517"/>
      <c r="CS517"/>
      <c r="CT517"/>
      <c r="CU517"/>
      <c r="CV517"/>
      <c r="CW517" s="454"/>
      <c r="CX517"/>
      <c r="CY517"/>
    </row>
    <row r="518" spans="4:103">
      <c r="D518" s="487" t="s">
        <v>1831</v>
      </c>
      <c r="E518" s="455"/>
      <c r="F518" s="455"/>
      <c r="G518" s="455"/>
      <c r="H518" s="455"/>
      <c r="I518" s="455"/>
      <c r="J518" s="455"/>
      <c r="K518" s="455"/>
      <c r="L518" s="455"/>
      <c r="M518" s="455"/>
      <c r="N518" s="455"/>
      <c r="O518" s="455"/>
      <c r="P518" s="455"/>
      <c r="Q518" s="455"/>
      <c r="R518" s="455"/>
      <c r="S518" s="455"/>
      <c r="T518" s="455"/>
      <c r="U518" s="455"/>
      <c r="V518" s="455"/>
      <c r="W518" s="455"/>
      <c r="X518" s="455"/>
      <c r="Y518" s="455"/>
      <c r="Z518" s="455"/>
      <c r="AA518" s="455"/>
      <c r="AB518" s="455"/>
      <c r="AC518" s="455"/>
      <c r="AD518" s="455"/>
      <c r="AE518" s="455"/>
      <c r="AF518" s="455"/>
      <c r="AG518" s="455"/>
      <c r="AH518" s="455"/>
      <c r="AI518" s="455"/>
      <c r="AJ518" s="455"/>
      <c r="AK518" s="455"/>
      <c r="AL518" s="455"/>
      <c r="AM518" s="455"/>
      <c r="AN518" s="455"/>
      <c r="AO518" s="455"/>
      <c r="AP518" s="455"/>
      <c r="AQ518" s="455"/>
      <c r="AR518" s="455"/>
      <c r="AS518" s="455"/>
      <c r="AT518" s="455"/>
      <c r="AU518" s="455"/>
      <c r="AV518" s="455"/>
      <c r="AW518" s="455"/>
      <c r="AX518" s="455"/>
      <c r="AY518" s="455"/>
      <c r="AZ518" s="455"/>
      <c r="BA518" s="490">
        <f ca="1">BQ239</f>
        <v>219.79675194847232</v>
      </c>
      <c r="BB518" s="490" t="e">
        <f>#REF!</f>
        <v>#REF!</v>
      </c>
      <c r="BC518" s="490" t="e">
        <f>#REF!</f>
        <v>#REF!</v>
      </c>
      <c r="BD518" s="490">
        <f ca="1">BT239</f>
        <v>220.47506678186161</v>
      </c>
      <c r="CB518"/>
      <c r="CC518"/>
      <c r="CD518"/>
      <c r="CE518"/>
      <c r="CF518"/>
      <c r="CG518"/>
      <c r="CH518"/>
      <c r="CI518"/>
      <c r="CJ518"/>
      <c r="CK518"/>
      <c r="CL518"/>
      <c r="CM518"/>
      <c r="CN518"/>
      <c r="CO518"/>
      <c r="CP518"/>
      <c r="CQ518"/>
      <c r="CR518"/>
      <c r="CS518"/>
      <c r="CT518"/>
      <c r="CU518"/>
      <c r="CV518"/>
      <c r="CW518" s="454"/>
      <c r="CX518"/>
      <c r="CY518"/>
    </row>
    <row r="519" spans="4:103">
      <c r="D519" s="478" t="s">
        <v>758</v>
      </c>
      <c r="BA519" s="464">
        <f>'Country quarts'!M18</f>
        <v>1528</v>
      </c>
      <c r="BB519" s="464" t="e">
        <f>'Country quarts'!#REF!</f>
        <v>#REF!</v>
      </c>
      <c r="BC519" s="464" t="e">
        <f>'Country quarts'!#REF!</f>
        <v>#REF!</v>
      </c>
      <c r="BD519" s="464">
        <f ca="1">'Country quarts'!P18</f>
        <v>1545.8811420572326</v>
      </c>
      <c r="BF519">
        <v>1587</v>
      </c>
      <c r="BG519" s="449" t="e">
        <f>BB519/BF519-1</f>
        <v>#REF!</v>
      </c>
      <c r="CB519"/>
      <c r="CC519"/>
      <c r="CD519"/>
      <c r="CE519"/>
      <c r="CF519"/>
      <c r="CG519"/>
      <c r="CH519"/>
      <c r="CI519"/>
      <c r="CJ519"/>
      <c r="CK519"/>
      <c r="CL519"/>
      <c r="CM519"/>
      <c r="CN519"/>
      <c r="CO519"/>
      <c r="CP519"/>
      <c r="CQ519"/>
      <c r="CR519"/>
      <c r="CS519"/>
      <c r="CT519"/>
      <c r="CU519"/>
      <c r="CV519"/>
      <c r="CW519" s="454"/>
      <c r="CX519"/>
      <c r="CY519"/>
    </row>
    <row r="520" spans="4:103">
      <c r="D520" s="478"/>
      <c r="BA520" s="464"/>
      <c r="BB520" s="464"/>
      <c r="BC520" s="464"/>
      <c r="BD520" s="464"/>
      <c r="CB520"/>
      <c r="CC520"/>
      <c r="CD520"/>
      <c r="CE520"/>
      <c r="CF520"/>
      <c r="CG520"/>
      <c r="CH520"/>
      <c r="CI520"/>
      <c r="CJ520"/>
      <c r="CK520"/>
      <c r="CL520"/>
      <c r="CM520"/>
      <c r="CN520"/>
      <c r="CO520"/>
      <c r="CP520"/>
      <c r="CQ520"/>
      <c r="CR520"/>
      <c r="CS520"/>
      <c r="CT520"/>
      <c r="CU520"/>
      <c r="CV520"/>
      <c r="CW520" s="454"/>
      <c r="CX520"/>
      <c r="CY520"/>
    </row>
    <row r="521" spans="4:103">
      <c r="D521" s="478" t="str">
        <f>D515</f>
        <v>CA</v>
      </c>
      <c r="BA521" s="464">
        <f>BQ302</f>
        <v>292.65199999999999</v>
      </c>
      <c r="BB521" s="464" t="e">
        <f>#REF!</f>
        <v>#REF!</v>
      </c>
      <c r="BC521" s="464" t="e">
        <f>#REF!</f>
        <v>#REF!</v>
      </c>
      <c r="BD521" s="464">
        <f>BT302</f>
        <v>250.24853665314319</v>
      </c>
    </row>
    <row r="522" spans="4:103">
      <c r="D522" s="478" t="str">
        <f>D516</f>
        <v>Colombia</v>
      </c>
      <c r="BA522" s="464">
        <f>'Country quarts'!M107+'Country quarts'!M103</f>
        <v>117</v>
      </c>
      <c r="BB522" s="464" t="e">
        <f>'Country quarts'!#REF!+'Country quarts'!#REF!</f>
        <v>#REF!</v>
      </c>
      <c r="BC522" s="464" t="e">
        <f>'Country quarts'!#REF!+'Country quarts'!#REF!</f>
        <v>#REF!</v>
      </c>
      <c r="BD522" s="464">
        <f ca="1">'Country quarts'!P107+'Country quarts'!P103</f>
        <v>116.86702416014606</v>
      </c>
    </row>
    <row r="523" spans="4:103">
      <c r="D523" s="478" t="str">
        <f>D517</f>
        <v>SA ex-Colombia</v>
      </c>
      <c r="BA523" s="464">
        <f>BQ305-BA522</f>
        <v>123</v>
      </c>
      <c r="BB523" s="464" t="e">
        <f>#REF!-BB522</f>
        <v>#REF!</v>
      </c>
      <c r="BC523" s="464" t="e">
        <f>#REF!-BC522</f>
        <v>#REF!</v>
      </c>
      <c r="BD523" s="464">
        <f ca="1">BT305-BD522</f>
        <v>111.47919400151028</v>
      </c>
    </row>
    <row r="524" spans="4:103">
      <c r="D524" s="487" t="str">
        <f>D518</f>
        <v>Africa</v>
      </c>
      <c r="E524" s="455"/>
      <c r="F524" s="455"/>
      <c r="G524" s="455"/>
      <c r="H524" s="455"/>
      <c r="I524" s="455"/>
      <c r="J524" s="455"/>
      <c r="K524" s="455"/>
      <c r="L524" s="455"/>
      <c r="M524" s="455"/>
      <c r="N524" s="455"/>
      <c r="O524" s="455"/>
      <c r="P524" s="455"/>
      <c r="Q524" s="455"/>
      <c r="R524" s="455"/>
      <c r="S524" s="455"/>
      <c r="T524" s="455"/>
      <c r="U524" s="455"/>
      <c r="V524" s="455"/>
      <c r="W524" s="455"/>
      <c r="X524" s="455"/>
      <c r="Y524" s="455"/>
      <c r="Z524" s="455"/>
      <c r="AA524" s="455"/>
      <c r="AB524" s="455"/>
      <c r="AC524" s="455"/>
      <c r="AD524" s="455"/>
      <c r="AE524" s="455"/>
      <c r="AF524" s="455"/>
      <c r="AG524" s="455"/>
      <c r="AH524" s="455"/>
      <c r="AI524" s="455"/>
      <c r="AJ524" s="455"/>
      <c r="AK524" s="455"/>
      <c r="AL524" s="455"/>
      <c r="AM524" s="455"/>
      <c r="AN524" s="455"/>
      <c r="AO524" s="455"/>
      <c r="AP524" s="455"/>
      <c r="AQ524" s="455"/>
      <c r="AR524" s="455"/>
      <c r="AS524" s="455"/>
      <c r="AT524" s="455"/>
      <c r="AU524" s="455"/>
      <c r="AV524" s="455"/>
      <c r="AW524" s="455"/>
      <c r="AX524" s="455"/>
      <c r="AY524" s="455"/>
      <c r="AZ524" s="455"/>
      <c r="BA524" s="490">
        <f>BQ310</f>
        <v>57</v>
      </c>
      <c r="BB524" s="490" t="e">
        <f>#REF!</f>
        <v>#REF!</v>
      </c>
      <c r="BC524" s="490" t="e">
        <f>#REF!</f>
        <v>#REF!</v>
      </c>
      <c r="BD524" s="490">
        <f ca="1">BT310</f>
        <v>65.12673786484811</v>
      </c>
    </row>
    <row r="525" spans="4:103">
      <c r="D525" s="478" t="s">
        <v>360</v>
      </c>
      <c r="BA525" s="464">
        <f>SUM(BA521:BA524)</f>
        <v>589.65200000000004</v>
      </c>
      <c r="BB525" s="464" t="e">
        <f>SUM(BB521:BB524)</f>
        <v>#REF!</v>
      </c>
      <c r="BC525" s="464" t="e">
        <f>SUM(BC521:BC524)</f>
        <v>#REF!</v>
      </c>
      <c r="BD525" s="464">
        <f ca="1">SUM(BD521:BD524)</f>
        <v>543.72149267964755</v>
      </c>
    </row>
    <row r="526" spans="4:103">
      <c r="D526" s="478" t="s">
        <v>133</v>
      </c>
      <c r="BA526" s="464">
        <f>'Country quarts'!M120</f>
        <v>-41</v>
      </c>
      <c r="BB526" s="464" t="e">
        <f>'Country quarts'!#REF!</f>
        <v>#REF!</v>
      </c>
      <c r="BC526" s="464" t="e">
        <f>'Country quarts'!#REF!</f>
        <v>#REF!</v>
      </c>
      <c r="BD526" s="464">
        <f>'Country quarts'!P120</f>
        <v>-47</v>
      </c>
    </row>
    <row r="527" spans="4:103">
      <c r="D527" s="478" t="s">
        <v>575</v>
      </c>
      <c r="BA527" s="464">
        <f>'Country quarts'!M121</f>
        <v>548.65200000000004</v>
      </c>
      <c r="BB527" s="464" t="e">
        <f>'Country quarts'!#REF!</f>
        <v>#REF!</v>
      </c>
      <c r="BC527" s="464" t="e">
        <f>'Country quarts'!#REF!</f>
        <v>#REF!</v>
      </c>
      <c r="BD527" s="464">
        <f ca="1">'Country quarts'!P121</f>
        <v>502.72149267964767</v>
      </c>
      <c r="BF527">
        <v>570</v>
      </c>
      <c r="BG527" s="449" t="e">
        <f>BB527/BF527-1</f>
        <v>#REF!</v>
      </c>
    </row>
    <row r="528" spans="4:103">
      <c r="D528" s="478" t="s">
        <v>1434</v>
      </c>
      <c r="BA528" s="456">
        <f>BA527/BA519</f>
        <v>0.35906544502617804</v>
      </c>
      <c r="BB528" s="456" t="e">
        <f>BB527/BB519</f>
        <v>#REF!</v>
      </c>
      <c r="BC528" s="456" t="e">
        <f>BC527/BC519</f>
        <v>#REF!</v>
      </c>
      <c r="BD528" s="456">
        <f ca="1">BD527/BD519</f>
        <v>0.3252006114846801</v>
      </c>
    </row>
    <row r="529" spans="4:57">
      <c r="D529" s="478"/>
      <c r="BA529" s="464"/>
      <c r="BB529" s="464"/>
      <c r="BC529" s="464"/>
      <c r="BD529" s="464"/>
    </row>
    <row r="530" spans="4:57">
      <c r="D530" s="478" t="str">
        <f>D521</f>
        <v>CA</v>
      </c>
      <c r="BA530" s="456">
        <f t="shared" ref="BA530:BD534" si="309">BA521/BA515</f>
        <v>0.47007914109345461</v>
      </c>
      <c r="BB530" s="456" t="e">
        <f t="shared" si="309"/>
        <v>#REF!</v>
      </c>
      <c r="BC530" s="456" t="e">
        <f t="shared" si="309"/>
        <v>#REF!</v>
      </c>
      <c r="BD530" s="456">
        <f t="shared" si="309"/>
        <v>0.42397319161489933</v>
      </c>
    </row>
    <row r="531" spans="4:57">
      <c r="D531" s="478" t="str">
        <f>D522</f>
        <v>Colombia</v>
      </c>
      <c r="BA531" s="456">
        <f t="shared" si="309"/>
        <v>0.29471032745591941</v>
      </c>
      <c r="BB531" s="456" t="e">
        <f t="shared" si="309"/>
        <v>#REF!</v>
      </c>
      <c r="BC531" s="456" t="e">
        <f t="shared" si="309"/>
        <v>#REF!</v>
      </c>
      <c r="BD531" s="456">
        <f t="shared" ca="1" si="309"/>
        <v>0.26839095649114497</v>
      </c>
    </row>
    <row r="532" spans="4:57">
      <c r="D532" s="478" t="str">
        <f>D523</f>
        <v>SA ex-Colombia</v>
      </c>
      <c r="BA532" s="456">
        <f t="shared" si="309"/>
        <v>0.42560553633217996</v>
      </c>
      <c r="BB532" s="456" t="e">
        <f t="shared" si="309"/>
        <v>#REF!</v>
      </c>
      <c r="BC532" s="456" t="e">
        <f t="shared" si="309"/>
        <v>#REF!</v>
      </c>
      <c r="BD532" s="456">
        <f t="shared" ca="1" si="309"/>
        <v>0.37193928961271366</v>
      </c>
    </row>
    <row r="533" spans="4:57">
      <c r="D533" s="487" t="str">
        <f>D524</f>
        <v>Africa</v>
      </c>
      <c r="E533" s="455"/>
      <c r="F533" s="455"/>
      <c r="G533" s="455"/>
      <c r="H533" s="455"/>
      <c r="I533" s="455"/>
      <c r="J533" s="455"/>
      <c r="K533" s="455"/>
      <c r="L533" s="455"/>
      <c r="M533" s="455"/>
      <c r="N533" s="455"/>
      <c r="O533" s="455"/>
      <c r="P533" s="455"/>
      <c r="Q533" s="455"/>
      <c r="R533" s="455"/>
      <c r="S533" s="455"/>
      <c r="T533" s="455"/>
      <c r="U533" s="455"/>
      <c r="V533" s="455"/>
      <c r="W533" s="455"/>
      <c r="X533" s="455"/>
      <c r="Y533" s="455"/>
      <c r="Z533" s="455"/>
      <c r="AA533" s="455"/>
      <c r="AB533" s="455"/>
      <c r="AC533" s="455"/>
      <c r="AD533" s="455"/>
      <c r="AE533" s="455"/>
      <c r="AF533" s="455"/>
      <c r="AG533" s="455"/>
      <c r="AH533" s="455"/>
      <c r="AI533" s="455"/>
      <c r="AJ533" s="455"/>
      <c r="AK533" s="455"/>
      <c r="AL533" s="455"/>
      <c r="AM533" s="455"/>
      <c r="AN533" s="455"/>
      <c r="AO533" s="455"/>
      <c r="AP533" s="455"/>
      <c r="AQ533" s="455"/>
      <c r="AR533" s="455"/>
      <c r="AS533" s="455"/>
      <c r="AT533" s="455"/>
      <c r="AU533" s="455"/>
      <c r="AV533" s="455"/>
      <c r="AW533" s="455"/>
      <c r="AX533" s="455"/>
      <c r="AY533" s="455"/>
      <c r="AZ533" s="455"/>
      <c r="BA533" s="561">
        <f t="shared" ca="1" si="309"/>
        <v>0.25933049280620263</v>
      </c>
      <c r="BB533" s="561" t="e">
        <f t="shared" si="309"/>
        <v>#REF!</v>
      </c>
      <c r="BC533" s="561" t="e">
        <f t="shared" si="309"/>
        <v>#REF!</v>
      </c>
      <c r="BD533" s="561">
        <f t="shared" ca="1" si="309"/>
        <v>0.2953927571741462</v>
      </c>
    </row>
    <row r="534" spans="4:57">
      <c r="D534" s="478" t="s">
        <v>1542</v>
      </c>
      <c r="BA534" s="456">
        <f t="shared" si="309"/>
        <v>0.38589790575916233</v>
      </c>
      <c r="BB534" s="456" t="e">
        <f t="shared" si="309"/>
        <v>#REF!</v>
      </c>
      <c r="BC534" s="456" t="e">
        <f t="shared" si="309"/>
        <v>#REF!</v>
      </c>
      <c r="BD534" s="456">
        <f t="shared" ca="1" si="309"/>
        <v>0.3517227022745566</v>
      </c>
      <c r="BE534" s="449"/>
    </row>
    <row r="535" spans="4:57">
      <c r="D535" s="478"/>
      <c r="BA535" s="464"/>
      <c r="BB535" s="464"/>
      <c r="BC535" s="464"/>
      <c r="BD535" s="464"/>
    </row>
    <row r="536" spans="4:57">
      <c r="D536" s="478" t="s">
        <v>4051</v>
      </c>
      <c r="BA536" s="456">
        <f>BA527/BA519</f>
        <v>0.35906544502617804</v>
      </c>
      <c r="BB536" s="456" t="e">
        <f>BB527/BB519</f>
        <v>#REF!</v>
      </c>
      <c r="BC536" s="456" t="e">
        <f>BC527/BC519</f>
        <v>#REF!</v>
      </c>
      <c r="BD536" s="456">
        <f ca="1">BD527/BD519</f>
        <v>0.3252006114846801</v>
      </c>
    </row>
    <row r="538" spans="4:57">
      <c r="D538" s="478" t="s">
        <v>1453</v>
      </c>
      <c r="BA538" s="454">
        <f>Quarts!BQ31</f>
        <v>-303</v>
      </c>
      <c r="BB538" s="454" t="e">
        <f>Quarts!#REF!</f>
        <v>#REF!</v>
      </c>
      <c r="BC538" s="454" t="e">
        <f>Quarts!#REF!</f>
        <v>#REF!</v>
      </c>
      <c r="BD538" s="454">
        <f>Quarts!BT31</f>
        <v>-336</v>
      </c>
    </row>
    <row r="539" spans="4:57">
      <c r="D539" s="478" t="s">
        <v>392</v>
      </c>
      <c r="BA539" s="464">
        <f>BA527+BA538</f>
        <v>245.65200000000004</v>
      </c>
      <c r="BB539" s="464" t="e">
        <f>BB527+BB538</f>
        <v>#REF!</v>
      </c>
      <c r="BC539" s="464" t="e">
        <f>BC527+BC538</f>
        <v>#REF!</v>
      </c>
      <c r="BD539" s="464">
        <f ca="1">BD527+BD538</f>
        <v>166.72149267964767</v>
      </c>
    </row>
    <row r="540" spans="4:57">
      <c r="D540" s="478"/>
      <c r="BA540" s="464"/>
      <c r="BB540" s="464"/>
      <c r="BC540" s="464"/>
      <c r="BD540" s="464"/>
    </row>
    <row r="541" spans="4:57">
      <c r="D541" s="478" t="s">
        <v>2097</v>
      </c>
      <c r="BA541" s="454">
        <f>Quarts!BQ50</f>
        <v>133.65200000000004</v>
      </c>
      <c r="BB541" s="454" t="e">
        <f>Quarts!#REF!</f>
        <v>#REF!</v>
      </c>
      <c r="BC541" s="454" t="e">
        <f>Quarts!#REF!</f>
        <v>#REF!</v>
      </c>
      <c r="BD541" s="454">
        <f ca="1">Quarts!BT50</f>
        <v>-39.319057954811342</v>
      </c>
    </row>
    <row r="542" spans="4:57">
      <c r="D542" s="478" t="s">
        <v>407</v>
      </c>
      <c r="BA542" s="454">
        <f>Quarts!BQ58</f>
        <v>40.652000000000044</v>
      </c>
      <c r="BB542" s="454" t="e">
        <f>Quarts!#REF!</f>
        <v>#REF!</v>
      </c>
      <c r="BC542" s="454" t="e">
        <f>Quarts!#REF!</f>
        <v>#REF!</v>
      </c>
      <c r="BD542" s="454">
        <f ca="1">Quarts!BT58</f>
        <v>-31.319057954811342</v>
      </c>
    </row>
  </sheetData>
  <phoneticPr fontId="0" type="noConversion"/>
  <pageMargins left="0.74803149606299213" right="0.74803149606299213" top="0.98425196850393704" bottom="0.98425196850393704" header="0.51181102362204722" footer="0.51181102362204722"/>
  <pageSetup scale="10" orientation="portrait" r:id="rId1"/>
  <headerFooter alignWithMargins="0"/>
  <ignoredErrors>
    <ignoredError sqref="CT259" formula="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fitToPage="1"/>
  </sheetPr>
  <dimension ref="B2:AA238"/>
  <sheetViews>
    <sheetView zoomScale="70" zoomScaleNormal="70" workbookViewId="0">
      <pane xSplit="2" ySplit="2" topLeftCell="E117" activePane="bottomRight" state="frozen"/>
      <selection pane="topRight" activeCell="C1" sqref="C1"/>
      <selection pane="bottomLeft" activeCell="A3" sqref="A3"/>
      <selection pane="bottomRight" activeCell="K157" sqref="K157"/>
    </sheetView>
  </sheetViews>
  <sheetFormatPr defaultRowHeight="15" outlineLevelCol="1"/>
  <cols>
    <col min="2" max="2" width="23.140625" customWidth="1"/>
    <col min="3" max="7" width="10.5703125" customWidth="1" outlineLevel="1"/>
    <col min="8" max="11" width="10.5703125" bestFit="1" customWidth="1"/>
    <col min="12" max="15" width="10.5703125" customWidth="1"/>
    <col min="16" max="16" width="11" customWidth="1"/>
    <col min="26" max="26" width="8.5703125" customWidth="1"/>
  </cols>
  <sheetData>
    <row r="2" spans="2:26">
      <c r="B2" s="487" t="s">
        <v>2602</v>
      </c>
      <c r="C2" s="508" t="s">
        <v>3503</v>
      </c>
      <c r="D2" s="508" t="s">
        <v>3591</v>
      </c>
      <c r="E2" s="508" t="s">
        <v>3608</v>
      </c>
      <c r="F2" s="508" t="s">
        <v>3662</v>
      </c>
      <c r="G2" s="1033">
        <v>2014</v>
      </c>
      <c r="H2" s="508" t="s">
        <v>3699</v>
      </c>
      <c r="I2" s="508" t="s">
        <v>3790</v>
      </c>
      <c r="J2" s="508" t="s">
        <v>3814</v>
      </c>
      <c r="K2" s="508" t="s">
        <v>3866</v>
      </c>
      <c r="L2" s="1033">
        <v>2015</v>
      </c>
      <c r="M2" s="508" t="s">
        <v>4082</v>
      </c>
      <c r="N2" s="508" t="s">
        <v>4254</v>
      </c>
      <c r="O2" s="508" t="s">
        <v>4387</v>
      </c>
      <c r="P2" s="508" t="str">
        <f t="shared" ref="P2:X2" si="0">P42</f>
        <v>Q4 16E</v>
      </c>
      <c r="Q2" s="1033">
        <v>2016</v>
      </c>
      <c r="S2" s="508" t="str">
        <f t="shared" si="0"/>
        <v>Q1 15</v>
      </c>
      <c r="T2" s="508" t="str">
        <f t="shared" si="0"/>
        <v>Q2 15</v>
      </c>
      <c r="U2" s="508" t="str">
        <f t="shared" si="0"/>
        <v>Q3 15</v>
      </c>
      <c r="V2" s="508" t="str">
        <f t="shared" si="0"/>
        <v>Q4 15</v>
      </c>
      <c r="W2" s="508" t="str">
        <f t="shared" si="0"/>
        <v>Q1 16</v>
      </c>
      <c r="X2" s="508" t="str">
        <f t="shared" si="0"/>
        <v>Q2 16</v>
      </c>
      <c r="Y2" s="508" t="str">
        <f>Y42</f>
        <v>Q3 16</v>
      </c>
      <c r="Z2" s="493" t="s">
        <v>4086</v>
      </c>
    </row>
    <row r="3" spans="2:26">
      <c r="B3" t="str">
        <f>Newquarts!A197</f>
        <v>Ghana</v>
      </c>
      <c r="C3" s="454">
        <f t="shared" ref="C3:E5" si="1">C59/C43</f>
        <v>39.647610174291238</v>
      </c>
      <c r="D3" s="454">
        <f t="shared" si="1"/>
        <v>38.744358117510167</v>
      </c>
      <c r="E3" s="454">
        <f t="shared" si="1"/>
        <v>31.293141666971902</v>
      </c>
      <c r="F3" s="454">
        <f>Africa!O90-C3-D3-E3</f>
        <v>36.314890041226704</v>
      </c>
      <c r="G3" s="1034">
        <f>SUM(C3:F3)</f>
        <v>146</v>
      </c>
      <c r="H3" s="454">
        <f>Newquarts!H197</f>
        <v>35</v>
      </c>
      <c r="I3" s="454">
        <f>Newquarts!I197</f>
        <v>34</v>
      </c>
      <c r="J3" s="454">
        <f>Newquarts!J197</f>
        <v>35</v>
      </c>
      <c r="K3" s="454">
        <f>K59/K43</f>
        <v>35.228242847440185</v>
      </c>
      <c r="L3" s="1034">
        <f>SUM(H3:K3)</f>
        <v>139.22824284744019</v>
      </c>
      <c r="M3" s="454">
        <f>M59/M43</f>
        <v>36.445587158203132</v>
      </c>
      <c r="N3" s="454">
        <f>N59/N43</f>
        <v>40.842242877122878</v>
      </c>
      <c r="O3" s="1100">
        <v>40</v>
      </c>
      <c r="P3" s="454">
        <f>Q3-M3-N3-O3</f>
        <v>38.226655267633589</v>
      </c>
      <c r="Q3" s="1034">
        <f>Africa!Q90</f>
        <v>155.5144853029596</v>
      </c>
      <c r="R3" s="449">
        <f>O3/O$18</f>
        <v>2.5723472668810289E-2</v>
      </c>
      <c r="S3" s="449">
        <f t="shared" ref="S3:V6" si="2">H3/C3-1</f>
        <v>-0.11722295880786515</v>
      </c>
      <c r="T3" s="449">
        <f t="shared" si="2"/>
        <v>-0.12245287696135543</v>
      </c>
      <c r="U3" s="449">
        <f t="shared" si="2"/>
        <v>0.11845593428992363</v>
      </c>
      <c r="V3" s="449">
        <f t="shared" si="2"/>
        <v>-2.9922910204406405E-2</v>
      </c>
      <c r="W3" s="449">
        <f t="shared" ref="W3:W16" si="3">M3/H3-1</f>
        <v>4.1302490234375266E-2</v>
      </c>
      <c r="X3" s="449">
        <f t="shared" ref="X3:X16" si="4">N3/I3-1</f>
        <v>0.20124243756243754</v>
      </c>
      <c r="Y3" s="449">
        <f t="shared" ref="Y3:Y16" si="5">O3/J3-1</f>
        <v>0.14285714285714279</v>
      </c>
    </row>
    <row r="4" spans="2:26">
      <c r="B4" t="str">
        <f>Newquarts!A198</f>
        <v>Senegal</v>
      </c>
      <c r="C4" s="454">
        <f t="shared" ca="1" si="1"/>
        <v>29.070622404303116</v>
      </c>
      <c r="D4" s="454">
        <f t="shared" ca="1" si="1"/>
        <v>28.381512773193563</v>
      </c>
      <c r="E4" s="454">
        <f t="shared" si="1"/>
        <v>28.453586320517548</v>
      </c>
      <c r="F4" s="454">
        <f ca="1">Africa!O92-C4-D4-E4</f>
        <v>29.035211319233749</v>
      </c>
      <c r="G4" s="1034">
        <f t="shared" ref="G4:G17" ca="1" si="6">SUM(C4:F4)</f>
        <v>114.94093281724798</v>
      </c>
      <c r="H4" s="454">
        <f>Newquarts!H198</f>
        <v>28</v>
      </c>
      <c r="I4" s="454">
        <f>Newquarts!I198</f>
        <v>28</v>
      </c>
      <c r="J4" s="454">
        <f>Newquarts!J198</f>
        <v>28</v>
      </c>
      <c r="K4" s="454">
        <f ca="1">K60/K44</f>
        <v>29.26644024469325</v>
      </c>
      <c r="L4" s="1034">
        <f t="shared" ref="L4:L17" ca="1" si="7">SUM(H4:K4)</f>
        <v>113.26644024469326</v>
      </c>
      <c r="M4" s="454">
        <f ca="1">M60/M44</f>
        <v>30.992242594217959</v>
      </c>
      <c r="N4" s="454">
        <f ca="1">N60/N44</f>
        <v>32.619718673142543</v>
      </c>
      <c r="O4" s="1100">
        <v>34</v>
      </c>
      <c r="P4" s="454">
        <f ca="1">Q4-M4-N4-O4</f>
        <v>33.570617237848865</v>
      </c>
      <c r="Q4" s="1034">
        <f ca="1">Africa!Q92</f>
        <v>131.18257850520936</v>
      </c>
      <c r="R4" s="449">
        <f t="shared" ref="R4:R17" si="8">O4/O$18</f>
        <v>2.1864951768488745E-2</v>
      </c>
      <c r="S4" s="449">
        <f t="shared" ca="1" si="2"/>
        <v>-3.6828327560838203E-2</v>
      </c>
      <c r="T4" s="449">
        <f t="shared" ca="1" si="2"/>
        <v>-1.3442298733064795E-2</v>
      </c>
      <c r="U4" s="449">
        <f t="shared" si="2"/>
        <v>-1.5941270650669193E-2</v>
      </c>
      <c r="V4" s="449">
        <f t="shared" ca="1" si="2"/>
        <v>7.9637417794968801E-3</v>
      </c>
      <c r="W4" s="449">
        <f t="shared" ca="1" si="3"/>
        <v>0.10686580693635572</v>
      </c>
      <c r="X4" s="449">
        <f t="shared" ca="1" si="4"/>
        <v>0.16498995261223359</v>
      </c>
      <c r="Y4" s="449">
        <f t="shared" si="5"/>
        <v>0.21428571428571419</v>
      </c>
    </row>
    <row r="5" spans="2:26">
      <c r="B5" t="str">
        <f>Newquarts!A199</f>
        <v>DRC</v>
      </c>
      <c r="C5" s="454">
        <f t="shared" si="1"/>
        <v>30.761171340809366</v>
      </c>
      <c r="D5" s="454">
        <f t="shared" si="1"/>
        <v>30.277405195388251</v>
      </c>
      <c r="E5" s="454">
        <f t="shared" si="1"/>
        <v>31.805393038180064</v>
      </c>
      <c r="F5" s="454">
        <f>Africa!O95-C5-D5-E5</f>
        <v>34.715423228021812</v>
      </c>
      <c r="G5" s="1034">
        <f t="shared" si="6"/>
        <v>127.55939280239949</v>
      </c>
      <c r="H5" s="454">
        <f>Newquarts!H199</f>
        <v>37</v>
      </c>
      <c r="I5" s="454">
        <f>Newquarts!I199</f>
        <v>37</v>
      </c>
      <c r="J5" s="454">
        <f>Newquarts!J199</f>
        <v>37</v>
      </c>
      <c r="K5" s="454">
        <f>K61/K45</f>
        <v>40.176816677015012</v>
      </c>
      <c r="L5" s="1034">
        <f t="shared" si="7"/>
        <v>151.17681667701501</v>
      </c>
      <c r="M5" s="454"/>
      <c r="N5" s="454"/>
      <c r="O5" s="454"/>
      <c r="P5" s="454"/>
      <c r="Q5" s="1034"/>
      <c r="R5" s="449"/>
      <c r="S5" s="449">
        <f t="shared" si="2"/>
        <v>0.20281505505981423</v>
      </c>
      <c r="T5" s="449">
        <f t="shared" si="2"/>
        <v>0.22203338632320158</v>
      </c>
      <c r="U5" s="449">
        <f t="shared" si="2"/>
        <v>0.16332472155222821</v>
      </c>
      <c r="V5" s="449">
        <f t="shared" si="2"/>
        <v>0.15731893611439074</v>
      </c>
      <c r="W5" s="449">
        <f t="shared" si="3"/>
        <v>-1</v>
      </c>
      <c r="X5" s="449">
        <f t="shared" si="4"/>
        <v>-1</v>
      </c>
      <c r="Y5" s="449">
        <f t="shared" si="5"/>
        <v>-1</v>
      </c>
    </row>
    <row r="6" spans="2:26">
      <c r="B6" s="478" t="s">
        <v>4044</v>
      </c>
      <c r="C6" s="535">
        <f>H6/1.08</f>
        <v>85.185185185185176</v>
      </c>
      <c r="D6" s="535">
        <f>I6/1.04</f>
        <v>87.5</v>
      </c>
      <c r="E6" s="535">
        <f>J6/0.9</f>
        <v>97.777777777777771</v>
      </c>
      <c r="F6" s="535">
        <f>K6/0.9</f>
        <v>97.777777777777771</v>
      </c>
      <c r="G6" s="1034">
        <f>Africa!O93</f>
        <v>368</v>
      </c>
      <c r="H6" s="535">
        <f>Newquarts!H200</f>
        <v>92</v>
      </c>
      <c r="I6" s="535">
        <f>Newquarts!I200</f>
        <v>91</v>
      </c>
      <c r="J6" s="535">
        <f>Newquarts!J200</f>
        <v>88</v>
      </c>
      <c r="K6" s="535">
        <f>Newquarts!K200</f>
        <v>88</v>
      </c>
      <c r="L6" s="1034">
        <f t="shared" si="7"/>
        <v>359</v>
      </c>
      <c r="M6" s="454">
        <f>M62/M46</f>
        <v>84.199008264462805</v>
      </c>
      <c r="N6" s="454">
        <f>N62/N46</f>
        <v>86.049250799451812</v>
      </c>
      <c r="O6" s="1100">
        <v>88</v>
      </c>
      <c r="P6" s="454">
        <f t="shared" ref="P6:P16" si="9">Q6-M6-N6-O6</f>
        <v>86.803867136359798</v>
      </c>
      <c r="Q6" s="1034">
        <f>Africa!Q93-Q17</f>
        <v>345.05212620027442</v>
      </c>
      <c r="R6" s="449">
        <f t="shared" si="8"/>
        <v>5.6591639871382639E-2</v>
      </c>
      <c r="S6" s="449">
        <f t="shared" si="2"/>
        <v>8.0000000000000071E-2</v>
      </c>
      <c r="T6" s="449">
        <f t="shared" si="2"/>
        <v>4.0000000000000036E-2</v>
      </c>
      <c r="U6" s="449">
        <f t="shared" si="2"/>
        <v>-9.9999999999999978E-2</v>
      </c>
      <c r="V6" s="449">
        <f t="shared" si="2"/>
        <v>-9.9999999999999978E-2</v>
      </c>
      <c r="W6" s="449">
        <f t="shared" si="3"/>
        <v>-8.4793388429752148E-2</v>
      </c>
      <c r="X6" s="449">
        <f t="shared" si="4"/>
        <v>-5.440383736866139E-2</v>
      </c>
      <c r="Y6" s="449">
        <f t="shared" si="5"/>
        <v>0</v>
      </c>
    </row>
    <row r="7" spans="2:26">
      <c r="B7" s="478" t="s">
        <v>2705</v>
      </c>
      <c r="C7" s="535">
        <v>0</v>
      </c>
      <c r="D7" s="535">
        <v>0</v>
      </c>
      <c r="E7" s="535">
        <f>Quarts!BI228</f>
        <v>182</v>
      </c>
      <c r="F7" s="535">
        <f>Quarts!BJ228</f>
        <v>316</v>
      </c>
      <c r="G7" s="1034">
        <f t="shared" si="6"/>
        <v>498</v>
      </c>
      <c r="H7" s="454">
        <f>Newquarts!H201</f>
        <v>273</v>
      </c>
      <c r="I7" s="454">
        <f>Newquarts!I201</f>
        <v>275</v>
      </c>
      <c r="J7" s="454">
        <f>Newquarts!J201</f>
        <v>243</v>
      </c>
      <c r="K7" s="454">
        <f>K63/K47</f>
        <v>250.21267275097787</v>
      </c>
      <c r="L7" s="1034">
        <f t="shared" si="7"/>
        <v>1041.2126727509778</v>
      </c>
      <c r="M7" s="454">
        <v>225</v>
      </c>
      <c r="N7" s="454">
        <v>240</v>
      </c>
      <c r="O7" s="454">
        <v>240</v>
      </c>
      <c r="P7" s="454">
        <f t="shared" ca="1" si="9"/>
        <v>257.55774461146189</v>
      </c>
      <c r="Q7" s="1034">
        <f ca="1">Colombia!M216</f>
        <v>962.55774461146189</v>
      </c>
      <c r="R7" s="449">
        <f t="shared" si="8"/>
        <v>0.15434083601286175</v>
      </c>
      <c r="S7" s="449"/>
      <c r="T7" s="449"/>
      <c r="U7" s="449">
        <f t="shared" ref="U7:U16" si="10">J7/E7-1</f>
        <v>0.33516483516483508</v>
      </c>
      <c r="V7" s="449">
        <f t="shared" ref="V7:V16" si="11">K7/F7-1</f>
        <v>-0.20818774445893073</v>
      </c>
      <c r="W7" s="449">
        <f t="shared" si="3"/>
        <v>-0.17582417582417587</v>
      </c>
      <c r="X7" s="449">
        <f t="shared" si="4"/>
        <v>-0.12727272727272732</v>
      </c>
      <c r="Y7" s="449">
        <f t="shared" si="5"/>
        <v>-1.2345679012345734E-2</v>
      </c>
    </row>
    <row r="8" spans="2:26">
      <c r="B8" t="str">
        <f>Newquarts!A203</f>
        <v>Honduras</v>
      </c>
      <c r="C8" s="454">
        <f t="shared" ref="C8:E16" si="12">C64/C48</f>
        <v>153.55091695752725</v>
      </c>
      <c r="D8" s="454">
        <f t="shared" si="12"/>
        <v>155.83173996175904</v>
      </c>
      <c r="E8" s="454">
        <f t="shared" si="12"/>
        <v>154.67790064946462</v>
      </c>
      <c r="F8" s="454">
        <f>CA!O106-C8-D8-E8</f>
        <v>164.93944243124906</v>
      </c>
      <c r="G8" s="1034">
        <f t="shared" si="6"/>
        <v>629</v>
      </c>
      <c r="H8" s="535">
        <f>Newquarts!H203</f>
        <v>165</v>
      </c>
      <c r="I8" s="535">
        <f>Newquarts!I203</f>
        <v>163</v>
      </c>
      <c r="J8" s="535">
        <f>Newquarts!J203</f>
        <v>160</v>
      </c>
      <c r="K8" s="535">
        <f>Newquarts!K203</f>
        <v>161</v>
      </c>
      <c r="L8" s="1034">
        <f t="shared" si="7"/>
        <v>649</v>
      </c>
      <c r="M8" s="454">
        <v>156</v>
      </c>
      <c r="N8" s="454">
        <v>154</v>
      </c>
      <c r="O8" s="454">
        <v>149</v>
      </c>
      <c r="P8" s="454">
        <f t="shared" si="9"/>
        <v>147.21516666666673</v>
      </c>
      <c r="Q8" s="1034">
        <f>CA!Q106</f>
        <v>606.21516666666673</v>
      </c>
      <c r="R8" s="449">
        <f t="shared" si="8"/>
        <v>9.5819935691318331E-2</v>
      </c>
      <c r="S8" s="449">
        <f t="shared" ref="S8:S16" si="13">H8/C8-1</f>
        <v>7.4562127464465888E-2</v>
      </c>
      <c r="T8" s="449">
        <f t="shared" ref="T8:T16" si="14">I8/D8-1</f>
        <v>4.6000000000000263E-2</v>
      </c>
      <c r="U8" s="449">
        <f t="shared" si="10"/>
        <v>3.4407625964593791E-2</v>
      </c>
      <c r="V8" s="449">
        <f t="shared" si="11"/>
        <v>-2.3884174538125524E-2</v>
      </c>
      <c r="W8" s="449">
        <f t="shared" si="3"/>
        <v>-5.4545454545454564E-2</v>
      </c>
      <c r="X8" s="449">
        <f t="shared" si="4"/>
        <v>-5.5214723926380382E-2</v>
      </c>
      <c r="Y8" s="449">
        <f t="shared" si="5"/>
        <v>-6.8749999999999978E-2</v>
      </c>
    </row>
    <row r="9" spans="2:26">
      <c r="B9" t="str">
        <f>Newquarts!A204</f>
        <v>Bolivia</v>
      </c>
      <c r="C9" s="454">
        <f t="shared" si="12"/>
        <v>117.27272727272725</v>
      </c>
      <c r="D9" s="454">
        <f t="shared" si="12"/>
        <v>117.43119266055045</v>
      </c>
      <c r="E9" s="454">
        <f t="shared" si="12"/>
        <v>123.14814814814812</v>
      </c>
      <c r="F9" s="454">
        <f>SA!O87-C9-D9-E9</f>
        <v>130.14793191857419</v>
      </c>
      <c r="G9" s="1034">
        <f t="shared" si="6"/>
        <v>488</v>
      </c>
      <c r="H9" s="454">
        <f>Newquarts!H204</f>
        <v>129</v>
      </c>
      <c r="I9" s="454">
        <f>Newquarts!I204</f>
        <v>128</v>
      </c>
      <c r="J9" s="454">
        <f>Newquarts!J204</f>
        <v>133</v>
      </c>
      <c r="K9" s="454">
        <f>Newquarts!K204</f>
        <v>140</v>
      </c>
      <c r="L9" s="1034">
        <f t="shared" si="7"/>
        <v>530</v>
      </c>
      <c r="M9" s="454">
        <v>136</v>
      </c>
      <c r="N9" s="454">
        <v>133</v>
      </c>
      <c r="O9" s="454">
        <v>135</v>
      </c>
      <c r="P9" s="454">
        <f t="shared" si="9"/>
        <v>151.6946454413893</v>
      </c>
      <c r="Q9" s="1034">
        <f>SA!Q87</f>
        <v>555.6946454413893</v>
      </c>
      <c r="R9" s="449">
        <f t="shared" si="8"/>
        <v>8.6816720257234734E-2</v>
      </c>
      <c r="S9" s="449">
        <f t="shared" si="13"/>
        <v>0.10000000000000009</v>
      </c>
      <c r="T9" s="449">
        <f t="shared" si="14"/>
        <v>9.000000000000008E-2</v>
      </c>
      <c r="U9" s="449">
        <f t="shared" si="10"/>
        <v>8.0000000000000293E-2</v>
      </c>
      <c r="V9" s="449">
        <f t="shared" si="11"/>
        <v>7.5698998333601386E-2</v>
      </c>
      <c r="W9" s="449">
        <f t="shared" si="3"/>
        <v>5.4263565891472965E-2</v>
      </c>
      <c r="X9" s="449">
        <f t="shared" si="4"/>
        <v>3.90625E-2</v>
      </c>
      <c r="Y9" s="449">
        <f t="shared" si="5"/>
        <v>1.5037593984962516E-2</v>
      </c>
    </row>
    <row r="10" spans="2:26">
      <c r="B10" t="str">
        <f>Newquarts!A205</f>
        <v>Rwanda</v>
      </c>
      <c r="C10" s="454">
        <f t="shared" si="12"/>
        <v>20.473563284088801</v>
      </c>
      <c r="D10" s="454">
        <f t="shared" si="12"/>
        <v>12.22847410031722</v>
      </c>
      <c r="E10" s="454">
        <f t="shared" si="12"/>
        <v>13.54533566961687</v>
      </c>
      <c r="F10" s="454">
        <f>Africa!O96-C10-D10-E10</f>
        <v>17.071207300507396</v>
      </c>
      <c r="G10" s="1034">
        <f t="shared" si="6"/>
        <v>63.318580354530283</v>
      </c>
      <c r="H10" s="454">
        <f>Newquarts!H205</f>
        <v>20</v>
      </c>
      <c r="I10" s="454">
        <f>Newquarts!I205</f>
        <v>13</v>
      </c>
      <c r="J10" s="454">
        <f>Newquarts!J205</f>
        <v>13.714285714285722</v>
      </c>
      <c r="K10" s="454">
        <f>K66/K50</f>
        <v>16.980579780167748</v>
      </c>
      <c r="L10" s="1034">
        <f t="shared" si="7"/>
        <v>63.694865494453467</v>
      </c>
      <c r="M10" s="454">
        <f>M66/M50</f>
        <v>19.837049737796836</v>
      </c>
      <c r="N10" s="454">
        <f>N66/N50</f>
        <v>12.664370931958773</v>
      </c>
      <c r="O10" s="454">
        <f>O27-O3-O4-O6-O16-O17</f>
        <v>15</v>
      </c>
      <c r="P10" s="454">
        <f t="shared" si="9"/>
        <v>14.734869963513859</v>
      </c>
      <c r="Q10" s="1034">
        <f>Africa!Q96</f>
        <v>62.236290633269469</v>
      </c>
      <c r="R10" s="449">
        <f t="shared" si="8"/>
        <v>9.6463022508038593E-3</v>
      </c>
      <c r="S10" s="449">
        <f t="shared" si="13"/>
        <v>-2.3130476972556879E-2</v>
      </c>
      <c r="T10" s="449">
        <f t="shared" si="14"/>
        <v>6.3092573394972096E-2</v>
      </c>
      <c r="U10" s="449">
        <f t="shared" si="10"/>
        <v>1.2472931552949262E-2</v>
      </c>
      <c r="V10" s="449">
        <f t="shared" si="11"/>
        <v>-5.3087938506232168E-3</v>
      </c>
      <c r="W10" s="449">
        <f t="shared" si="3"/>
        <v>-8.1475131101582665E-3</v>
      </c>
      <c r="X10" s="449">
        <f t="shared" si="4"/>
        <v>-2.5817620618555859E-2</v>
      </c>
      <c r="Y10" s="449">
        <f t="shared" si="5"/>
        <v>9.3749999999999334E-2</v>
      </c>
    </row>
    <row r="11" spans="2:26">
      <c r="B11" s="478" t="s">
        <v>2962</v>
      </c>
      <c r="C11" s="454">
        <f t="shared" si="12"/>
        <v>257.23611008085453</v>
      </c>
      <c r="D11" s="454">
        <f t="shared" si="12"/>
        <v>287.69373673036091</v>
      </c>
      <c r="E11" s="454">
        <f t="shared" si="12"/>
        <v>311.69696969696969</v>
      </c>
      <c r="F11" s="454">
        <f>F67/F51</f>
        <v>323.64363098959808</v>
      </c>
      <c r="G11" s="1034">
        <f>SUM(C11:F11)</f>
        <v>1180.2704474977832</v>
      </c>
      <c r="H11" s="454">
        <f>Newquarts!H208</f>
        <v>252</v>
      </c>
      <c r="I11" s="454">
        <f>Newquarts!I208</f>
        <v>258</v>
      </c>
      <c r="J11" s="454">
        <f>Newquarts!J208</f>
        <v>222</v>
      </c>
      <c r="K11" s="454">
        <f>Newquarts!K208</f>
        <v>208.78732724902213</v>
      </c>
      <c r="L11" s="1034">
        <f t="shared" si="7"/>
        <v>940.78732724902216</v>
      </c>
      <c r="M11" s="454">
        <f>397-M7</f>
        <v>172</v>
      </c>
      <c r="N11" s="454">
        <f>434-N7</f>
        <v>194</v>
      </c>
      <c r="O11" s="454">
        <f>O23-O7</f>
        <v>188</v>
      </c>
      <c r="P11" s="454">
        <f t="shared" si="9"/>
        <v>177.8780304534921</v>
      </c>
      <c r="Q11" s="1034">
        <f>Colombia!M44</f>
        <v>731.8780304534921</v>
      </c>
      <c r="R11" s="449">
        <f t="shared" si="8"/>
        <v>0.12090032154340837</v>
      </c>
      <c r="S11" s="449">
        <f t="shared" si="13"/>
        <v>-2.0355268469923304E-2</v>
      </c>
      <c r="T11" s="449">
        <f t="shared" si="14"/>
        <v>-0.10321301071003564</v>
      </c>
      <c r="U11" s="449">
        <f t="shared" si="10"/>
        <v>-0.28776978417266186</v>
      </c>
      <c r="V11" s="449">
        <f t="shared" si="11"/>
        <v>-0.35488510430247722</v>
      </c>
      <c r="W11" s="449">
        <f t="shared" si="3"/>
        <v>-0.31746031746031744</v>
      </c>
      <c r="X11" s="449">
        <f t="shared" si="4"/>
        <v>-0.24806201550387597</v>
      </c>
      <c r="Y11" s="449">
        <f t="shared" si="5"/>
        <v>-0.15315315315315314</v>
      </c>
    </row>
    <row r="12" spans="2:26">
      <c r="B12" t="str">
        <f>Newquarts!A209</f>
        <v>El Salvador</v>
      </c>
      <c r="C12" s="454">
        <f t="shared" si="12"/>
        <v>109.9009900990099</v>
      </c>
      <c r="D12" s="454">
        <f t="shared" si="12"/>
        <v>108.7378640776699</v>
      </c>
      <c r="E12" s="454">
        <f t="shared" si="12"/>
        <v>108.35913312693498</v>
      </c>
      <c r="F12" s="454">
        <f>CA!O104-C12-D12-E12</f>
        <v>116.00201269638524</v>
      </c>
      <c r="G12" s="1034">
        <f t="shared" si="6"/>
        <v>443</v>
      </c>
      <c r="H12" s="454">
        <f>Newquarts!H209</f>
        <v>111</v>
      </c>
      <c r="I12" s="454">
        <f>Newquarts!I209</f>
        <v>112</v>
      </c>
      <c r="J12" s="454">
        <f>Newquarts!J209</f>
        <v>110.52631578947368</v>
      </c>
      <c r="K12" s="454">
        <f>Newquarts!K209</f>
        <v>116.21621621621622</v>
      </c>
      <c r="L12" s="1034">
        <f t="shared" si="7"/>
        <v>449.7425320056899</v>
      </c>
      <c r="M12" s="454">
        <f>H12*0.969</f>
        <v>107.559</v>
      </c>
      <c r="N12" s="454">
        <f>I12*0.948</f>
        <v>106.17599999999999</v>
      </c>
      <c r="O12" s="454">
        <v>105</v>
      </c>
      <c r="P12" s="454">
        <f t="shared" si="9"/>
        <v>85.226080032798961</v>
      </c>
      <c r="Q12" s="1034">
        <f>CA!Q104</f>
        <v>403.96108003279892</v>
      </c>
      <c r="R12" s="449">
        <f t="shared" si="8"/>
        <v>6.7524115755627015E-2</v>
      </c>
      <c r="S12" s="449">
        <f t="shared" si="13"/>
        <v>1.0000000000000009E-2</v>
      </c>
      <c r="T12" s="449">
        <f t="shared" si="14"/>
        <v>3.0000000000000027E-2</v>
      </c>
      <c r="U12" s="449">
        <f t="shared" si="10"/>
        <v>2.0000000000000018E-2</v>
      </c>
      <c r="V12" s="449">
        <f t="shared" si="11"/>
        <v>1.8465500283311176E-3</v>
      </c>
      <c r="W12" s="449">
        <f t="shared" si="3"/>
        <v>-3.1000000000000028E-2</v>
      </c>
      <c r="X12" s="449">
        <f t="shared" si="4"/>
        <v>-5.2000000000000157E-2</v>
      </c>
      <c r="Y12" s="449">
        <f t="shared" si="5"/>
        <v>-5.0000000000000044E-2</v>
      </c>
    </row>
    <row r="13" spans="2:26">
      <c r="B13" t="str">
        <f>Newquarts!A206</f>
        <v>Guatemala</v>
      </c>
      <c r="C13" s="454">
        <f t="shared" si="12"/>
        <v>303.03815393785084</v>
      </c>
      <c r="D13" s="454">
        <f t="shared" si="12"/>
        <v>308.29490409707836</v>
      </c>
      <c r="E13" s="454">
        <f t="shared" si="12"/>
        <v>307.31968448599264</v>
      </c>
      <c r="F13" s="454">
        <f>CA!O105-C13-D13-E13</f>
        <v>323.34725747907805</v>
      </c>
      <c r="G13" s="1034">
        <f t="shared" si="6"/>
        <v>1242</v>
      </c>
      <c r="H13" s="454">
        <f>Newquarts!H206</f>
        <v>318</v>
      </c>
      <c r="I13" s="454">
        <f>Newquarts!I206</f>
        <v>321</v>
      </c>
      <c r="J13" s="454">
        <f>Newquarts!J206</f>
        <v>327</v>
      </c>
      <c r="K13" s="454">
        <f>Newquarts!K206</f>
        <v>340</v>
      </c>
      <c r="L13" s="1034">
        <f t="shared" si="7"/>
        <v>1306</v>
      </c>
      <c r="M13" s="454">
        <v>320</v>
      </c>
      <c r="N13" s="454">
        <v>322</v>
      </c>
      <c r="O13" s="454">
        <v>312</v>
      </c>
      <c r="P13" s="454">
        <f t="shared" si="9"/>
        <v>316.1208297008593</v>
      </c>
      <c r="Q13" s="1034">
        <f>CA!Q105</f>
        <v>1270.1208297008593</v>
      </c>
      <c r="R13" s="449">
        <f t="shared" si="8"/>
        <v>0.20064308681672025</v>
      </c>
      <c r="S13" s="449">
        <f t="shared" si="13"/>
        <v>4.9372812854508119E-2</v>
      </c>
      <c r="T13" s="449">
        <f t="shared" si="14"/>
        <v>4.1210852771413231E-2</v>
      </c>
      <c r="U13" s="449">
        <f t="shared" si="10"/>
        <v>6.4038577766092786E-2</v>
      </c>
      <c r="V13" s="449">
        <f t="shared" si="11"/>
        <v>5.1501109521547184E-2</v>
      </c>
      <c r="W13" s="449">
        <f t="shared" si="3"/>
        <v>6.2893081761006275E-3</v>
      </c>
      <c r="X13" s="449">
        <f t="shared" si="4"/>
        <v>3.1152647975076775E-3</v>
      </c>
      <c r="Y13" s="449">
        <f t="shared" si="5"/>
        <v>-4.587155963302747E-2</v>
      </c>
    </row>
    <row r="14" spans="2:26">
      <c r="B14" t="str">
        <f>Newquarts!A207</f>
        <v>Paraguay</v>
      </c>
      <c r="C14" s="454">
        <f t="shared" si="12"/>
        <v>184.23815009640592</v>
      </c>
      <c r="D14" s="454">
        <f t="shared" si="12"/>
        <v>190.53373895730508</v>
      </c>
      <c r="E14" s="454">
        <f t="shared" si="12"/>
        <v>198.65597877857519</v>
      </c>
      <c r="F14" s="454">
        <f>SA!O88-C14-D14-E14</f>
        <v>193.57213216771382</v>
      </c>
      <c r="G14" s="1034">
        <f t="shared" si="6"/>
        <v>767</v>
      </c>
      <c r="H14" s="454">
        <f>Newquarts!H207</f>
        <v>177</v>
      </c>
      <c r="I14" s="454">
        <f>Newquarts!I207</f>
        <v>170</v>
      </c>
      <c r="J14" s="454">
        <f>Newquarts!J207</f>
        <v>166</v>
      </c>
      <c r="K14" s="454">
        <f>Newquarts!K207</f>
        <v>159</v>
      </c>
      <c r="L14" s="1034">
        <f t="shared" si="7"/>
        <v>672</v>
      </c>
      <c r="M14" s="454">
        <v>153</v>
      </c>
      <c r="N14" s="454">
        <v>162</v>
      </c>
      <c r="O14" s="454">
        <v>162</v>
      </c>
      <c r="P14" s="454">
        <f t="shared" ca="1" si="9"/>
        <v>148.02952222476222</v>
      </c>
      <c r="Q14" s="1034">
        <f ca="1">SA!Q88</f>
        <v>625.02952222476222</v>
      </c>
      <c r="R14" s="449">
        <f t="shared" si="8"/>
        <v>0.10418006430868167</v>
      </c>
      <c r="S14" s="449">
        <f t="shared" si="13"/>
        <v>-3.9286923433710208E-2</v>
      </c>
      <c r="T14" s="449">
        <f t="shared" si="14"/>
        <v>-0.10776956915702096</v>
      </c>
      <c r="U14" s="449">
        <f t="shared" si="10"/>
        <v>-0.1643845756838459</v>
      </c>
      <c r="V14" s="449">
        <f t="shared" si="11"/>
        <v>-0.17860077161189714</v>
      </c>
      <c r="W14" s="449">
        <f t="shared" si="3"/>
        <v>-0.13559322033898302</v>
      </c>
      <c r="X14" s="449">
        <f t="shared" si="4"/>
        <v>-4.705882352941182E-2</v>
      </c>
      <c r="Y14" s="449">
        <f t="shared" si="5"/>
        <v>-2.4096385542168641E-2</v>
      </c>
    </row>
    <row r="15" spans="2:26">
      <c r="B15" t="str">
        <f>Newquarts!A202</f>
        <v xml:space="preserve">Costa Rica </v>
      </c>
      <c r="C15" s="454">
        <f t="shared" si="12"/>
        <v>34.853795368625242</v>
      </c>
      <c r="D15" s="454">
        <f t="shared" si="12"/>
        <v>34.20897266829644</v>
      </c>
      <c r="E15" s="454">
        <f t="shared" si="12"/>
        <v>34.555846670173487</v>
      </c>
      <c r="F15" s="454">
        <f>F71/F55</f>
        <v>34.505862698681732</v>
      </c>
      <c r="G15" s="1034">
        <f t="shared" si="6"/>
        <v>138.1244774057769</v>
      </c>
      <c r="H15" s="535">
        <f>Newquarts!H202</f>
        <v>35</v>
      </c>
      <c r="I15" s="535">
        <f>Newquarts!I202</f>
        <v>37</v>
      </c>
      <c r="J15" s="535">
        <f>Newquarts!J202</f>
        <v>38</v>
      </c>
      <c r="K15" s="535">
        <f>Newquarts!K202</f>
        <v>41</v>
      </c>
      <c r="L15" s="1034">
        <f t="shared" si="7"/>
        <v>151</v>
      </c>
      <c r="M15" s="454">
        <v>39</v>
      </c>
      <c r="N15" s="454">
        <v>38</v>
      </c>
      <c r="O15" s="1100">
        <v>40</v>
      </c>
      <c r="P15" s="454">
        <f t="shared" si="9"/>
        <v>41.684056143940637</v>
      </c>
      <c r="Q15" s="1034">
        <f>CA!Q107</f>
        <v>158.68405614394064</v>
      </c>
      <c r="R15" s="449">
        <f t="shared" si="8"/>
        <v>2.5723472668810289E-2</v>
      </c>
      <c r="S15" s="449">
        <f t="shared" si="13"/>
        <v>4.194798007747691E-3</v>
      </c>
      <c r="T15" s="449">
        <f t="shared" si="14"/>
        <v>8.158758109360531E-2</v>
      </c>
      <c r="U15" s="449">
        <f t="shared" si="10"/>
        <v>9.9669192385880567E-2</v>
      </c>
      <c r="V15" s="449">
        <f t="shared" si="11"/>
        <v>0.18820388170055447</v>
      </c>
      <c r="W15" s="449">
        <f t="shared" si="3"/>
        <v>0.11428571428571432</v>
      </c>
      <c r="X15" s="449">
        <f t="shared" si="4"/>
        <v>2.7027027027026973E-2</v>
      </c>
      <c r="Y15" s="449">
        <f t="shared" si="5"/>
        <v>5.2631578947368363E-2</v>
      </c>
    </row>
    <row r="16" spans="2:26">
      <c r="B16" t="str">
        <f>Newquarts!A210</f>
        <v>Chad</v>
      </c>
      <c r="C16" s="454">
        <f t="shared" ca="1" si="12"/>
        <v>43.730521988187405</v>
      </c>
      <c r="D16" s="454">
        <f t="shared" ca="1" si="12"/>
        <v>47.170157827023459</v>
      </c>
      <c r="E16" s="454">
        <f t="shared" si="12"/>
        <v>47.180691602898996</v>
      </c>
      <c r="F16" s="454">
        <f ca="1">Africa!O94-C16-D16-E16</f>
        <v>41.91862858189014</v>
      </c>
      <c r="G16" s="1034">
        <f t="shared" ca="1" si="6"/>
        <v>180</v>
      </c>
      <c r="H16" s="454">
        <f>Newquarts!H210</f>
        <v>36</v>
      </c>
      <c r="I16" s="454">
        <f>Newquarts!I210</f>
        <v>37</v>
      </c>
      <c r="J16" s="454">
        <f>Newquarts!J210</f>
        <v>39.285714285714292</v>
      </c>
      <c r="K16" s="535">
        <f>Newquarts!K210</f>
        <v>40</v>
      </c>
      <c r="L16" s="1034">
        <f t="shared" si="7"/>
        <v>152.28571428571428</v>
      </c>
      <c r="M16" s="454">
        <f ca="1">M72/M56</f>
        <v>39.322864193791595</v>
      </c>
      <c r="N16" s="454">
        <f ca="1">N72/N56</f>
        <v>40.480868266421616</v>
      </c>
      <c r="O16" s="1100">
        <v>40</v>
      </c>
      <c r="P16" s="454">
        <f t="shared" ca="1" si="9"/>
        <v>37.139057176505503</v>
      </c>
      <c r="Q16" s="1034">
        <f ca="1">Africa!Q94</f>
        <v>156.94278963671871</v>
      </c>
      <c r="R16" s="449">
        <f t="shared" si="8"/>
        <v>2.5723472668810289E-2</v>
      </c>
      <c r="S16" s="449">
        <f t="shared" ca="1" si="13"/>
        <v>-0.17677634834259681</v>
      </c>
      <c r="T16" s="449">
        <f t="shared" ca="1" si="14"/>
        <v>-0.21560576210743665</v>
      </c>
      <c r="U16" s="449">
        <f t="shared" si="10"/>
        <v>-0.16733492131979688</v>
      </c>
      <c r="V16" s="449">
        <f t="shared" ca="1" si="11"/>
        <v>-4.5770308972346352E-2</v>
      </c>
      <c r="W16" s="449">
        <f t="shared" ca="1" si="3"/>
        <v>9.2301783160877671E-2</v>
      </c>
      <c r="X16" s="449">
        <f t="shared" ca="1" si="4"/>
        <v>9.4077520714097806E-2</v>
      </c>
      <c r="Y16" s="449">
        <f t="shared" si="5"/>
        <v>1.8181818181818077E-2</v>
      </c>
    </row>
    <row r="17" spans="2:27">
      <c r="B17" s="487" t="s">
        <v>781</v>
      </c>
      <c r="C17" s="462">
        <v>0</v>
      </c>
      <c r="D17" s="462">
        <v>0</v>
      </c>
      <c r="E17" s="462">
        <v>0</v>
      </c>
      <c r="F17" s="462">
        <v>0</v>
      </c>
      <c r="G17" s="1035">
        <f t="shared" si="6"/>
        <v>0</v>
      </c>
      <c r="H17" s="462">
        <v>0</v>
      </c>
      <c r="I17" s="462">
        <v>0</v>
      </c>
      <c r="J17" s="462">
        <v>0</v>
      </c>
      <c r="K17" s="658">
        <v>9</v>
      </c>
      <c r="L17" s="1035">
        <f t="shared" si="7"/>
        <v>9</v>
      </c>
      <c r="M17" s="658">
        <v>9</v>
      </c>
      <c r="N17" s="658">
        <v>8</v>
      </c>
      <c r="O17" s="1101">
        <v>8</v>
      </c>
      <c r="P17" s="658">
        <v>10</v>
      </c>
      <c r="Q17" s="1035">
        <f>SUM(M17:P17)</f>
        <v>35</v>
      </c>
      <c r="R17" s="449">
        <f t="shared" si="8"/>
        <v>5.144694533762058E-3</v>
      </c>
      <c r="S17" s="449"/>
      <c r="T17" s="449"/>
      <c r="U17" s="449"/>
      <c r="V17" s="449"/>
      <c r="W17" s="449"/>
      <c r="X17" s="449"/>
      <c r="Y17" s="449"/>
    </row>
    <row r="18" spans="2:27">
      <c r="B18" s="478" t="s">
        <v>3867</v>
      </c>
      <c r="C18" s="454">
        <f>Quarts!BG242</f>
        <v>1405</v>
      </c>
      <c r="D18" s="454">
        <f>Quarts!BH242</f>
        <v>1447</v>
      </c>
      <c r="E18" s="454">
        <f>Quarts!BI242</f>
        <v>1671</v>
      </c>
      <c r="F18" s="454">
        <f>Quarts!BJ242</f>
        <v>1859</v>
      </c>
      <c r="G18" s="1034">
        <f ca="1">SUM(G3:G16)</f>
        <v>6385.2138308777376</v>
      </c>
      <c r="H18" s="454">
        <f>Quarts!BL242</f>
        <v>1709</v>
      </c>
      <c r="I18" s="454">
        <f>Quarts!BM242</f>
        <v>1704</v>
      </c>
      <c r="J18" s="454">
        <f>Quarts!BN242</f>
        <v>1641</v>
      </c>
      <c r="K18" s="454">
        <f>Quarts!BO242</f>
        <v>1675</v>
      </c>
      <c r="L18" s="1034">
        <f ca="1">SUM(L3:L16)</f>
        <v>6718.394611555007</v>
      </c>
      <c r="M18" s="454">
        <v>1528</v>
      </c>
      <c r="N18" s="454">
        <v>1572</v>
      </c>
      <c r="O18" s="454">
        <v>1555</v>
      </c>
      <c r="P18" s="454">
        <f ca="1">SUM(P3:P17)</f>
        <v>1545.8811420572326</v>
      </c>
      <c r="Q18" s="1034">
        <f ca="1">SUM(Q3:Q16)</f>
        <v>6165.069345553803</v>
      </c>
      <c r="S18" s="449">
        <f>H18/C18-1</f>
        <v>0.21637010676156576</v>
      </c>
      <c r="T18" s="449">
        <f>I18/D18-1</f>
        <v>0.17760884588804426</v>
      </c>
      <c r="U18" s="449">
        <f>J18/E18-1</f>
        <v>-1.7953321364452379E-2</v>
      </c>
      <c r="V18" s="449">
        <f>K18/F18-1</f>
        <v>-9.8977945131791256E-2</v>
      </c>
      <c r="W18" s="449">
        <f>M18/H18-1</f>
        <v>-0.10590988882387364</v>
      </c>
      <c r="X18" s="449">
        <f>N18/I18-1</f>
        <v>-7.7464788732394374E-2</v>
      </c>
      <c r="Y18" s="449">
        <f>O18/J18-1</f>
        <v>-5.2407068860450989E-2</v>
      </c>
    </row>
    <row r="19" spans="2:27">
      <c r="B19" s="478" t="s">
        <v>3868</v>
      </c>
      <c r="C19" s="454">
        <f ca="1">C18-SUM(C3:C17)</f>
        <v>-3.959518189866003</v>
      </c>
      <c r="D19" s="454">
        <f ca="1">D18-SUM(D3:D17)</f>
        <v>-3.4057166452839738E-2</v>
      </c>
      <c r="E19" s="454">
        <f>E18-SUM(E3:E17)</f>
        <v>0.53041236777812628</v>
      </c>
      <c r="F19" s="454">
        <f ca="1">F18-SUM(F3:F17)</f>
        <v>8.5913700622768374E-3</v>
      </c>
      <c r="G19" s="454"/>
      <c r="H19" s="454">
        <f>H18-SUM(H3:H17)</f>
        <v>1</v>
      </c>
      <c r="I19" s="454">
        <f>I18-SUM(I3:I17)</f>
        <v>0</v>
      </c>
      <c r="J19" s="454">
        <f>J18-SUM(J3:J17)</f>
        <v>0.47368421052624399</v>
      </c>
      <c r="K19" s="454">
        <f ca="1">K18-SUM(K3:K17)</f>
        <v>0.1317042344676338</v>
      </c>
      <c r="L19" s="454"/>
      <c r="M19" s="454"/>
      <c r="N19" s="454"/>
      <c r="O19" s="454"/>
    </row>
    <row r="20" spans="2:27">
      <c r="M20" s="449"/>
      <c r="N20" s="449"/>
      <c r="O20" s="449"/>
    </row>
    <row r="21" spans="2:27">
      <c r="B21" s="478" t="s">
        <v>2705</v>
      </c>
      <c r="H21" s="535">
        <f>H7</f>
        <v>273</v>
      </c>
      <c r="I21" s="535">
        <f>I7</f>
        <v>275</v>
      </c>
      <c r="J21" s="535">
        <f>J7</f>
        <v>243</v>
      </c>
      <c r="K21" s="454">
        <f>K7</f>
        <v>250.21267275097787</v>
      </c>
      <c r="M21" s="454">
        <f>M7</f>
        <v>225</v>
      </c>
      <c r="N21" s="454">
        <f>N7</f>
        <v>240</v>
      </c>
      <c r="O21" s="454">
        <f>O7</f>
        <v>240</v>
      </c>
      <c r="P21" s="454">
        <f ca="1">P7</f>
        <v>257.55774461146189</v>
      </c>
    </row>
    <row r="22" spans="2:27">
      <c r="B22" s="487" t="s">
        <v>2842</v>
      </c>
      <c r="C22" s="455"/>
      <c r="D22" s="455"/>
      <c r="E22" s="455"/>
      <c r="F22" s="455"/>
      <c r="G22" s="455"/>
      <c r="H22" s="462">
        <f>H11</f>
        <v>252</v>
      </c>
      <c r="I22" s="462">
        <f>I11</f>
        <v>258</v>
      </c>
      <c r="J22" s="462">
        <f>J11</f>
        <v>222</v>
      </c>
      <c r="K22" s="462">
        <f>K11</f>
        <v>208.78732724902213</v>
      </c>
      <c r="L22" s="455"/>
      <c r="M22" s="462">
        <f>M11</f>
        <v>172</v>
      </c>
      <c r="N22" s="462">
        <f>N11</f>
        <v>194</v>
      </c>
      <c r="O22" s="462">
        <f>O11</f>
        <v>188</v>
      </c>
      <c r="P22" s="462">
        <f>P11</f>
        <v>177.8780304534921</v>
      </c>
    </row>
    <row r="23" spans="2:27">
      <c r="B23" s="478" t="s">
        <v>1665</v>
      </c>
      <c r="H23" s="535">
        <f>Quarts!BL230</f>
        <v>525</v>
      </c>
      <c r="I23" s="535">
        <f>Quarts!BM230</f>
        <v>533</v>
      </c>
      <c r="J23" s="535">
        <f>Quarts!BN230</f>
        <v>465</v>
      </c>
      <c r="K23" s="535">
        <f>Quarts!BO230</f>
        <v>459</v>
      </c>
      <c r="M23" s="454">
        <f>M21+M22</f>
        <v>397</v>
      </c>
      <c r="N23" s="454">
        <f>N21+N22</f>
        <v>434</v>
      </c>
      <c r="O23" s="454">
        <v>428</v>
      </c>
      <c r="P23" s="454">
        <f ca="1">P21+P22</f>
        <v>435.43577506495399</v>
      </c>
    </row>
    <row r="25" spans="2:27">
      <c r="B25" t="s">
        <v>1828</v>
      </c>
      <c r="C25" s="454">
        <f t="shared" ref="C25:Q25" si="15">C8+C12+C13+C15</f>
        <v>601.34385636301317</v>
      </c>
      <c r="D25" s="454">
        <f t="shared" si="15"/>
        <v>607.07348080480369</v>
      </c>
      <c r="E25" s="454">
        <f t="shared" si="15"/>
        <v>604.91256493256572</v>
      </c>
      <c r="F25" s="454">
        <f t="shared" si="15"/>
        <v>638.79457530539412</v>
      </c>
      <c r="G25" s="454">
        <f t="shared" si="15"/>
        <v>2452.1244774057768</v>
      </c>
      <c r="H25" s="454">
        <f t="shared" si="15"/>
        <v>629</v>
      </c>
      <c r="I25" s="454">
        <f t="shared" si="15"/>
        <v>633</v>
      </c>
      <c r="J25" s="454">
        <f t="shared" si="15"/>
        <v>635.52631578947376</v>
      </c>
      <c r="K25" s="454">
        <f t="shared" si="15"/>
        <v>658.21621621621625</v>
      </c>
      <c r="L25" s="454">
        <f t="shared" si="15"/>
        <v>2555.74253200569</v>
      </c>
      <c r="M25" s="454">
        <f>M8+M12+M13+M15</f>
        <v>622.55899999999997</v>
      </c>
      <c r="N25" s="454">
        <v>621</v>
      </c>
      <c r="O25" s="454">
        <v>604</v>
      </c>
      <c r="P25" s="454">
        <f t="shared" si="15"/>
        <v>590.24613254426561</v>
      </c>
      <c r="Q25" s="454">
        <f t="shared" si="15"/>
        <v>2438.9811325442656</v>
      </c>
    </row>
    <row r="26" spans="2:27">
      <c r="B26" t="s">
        <v>1697</v>
      </c>
      <c r="C26" s="454">
        <f t="shared" ref="C26:Q26" si="16">C7+C9+C11+C14</f>
        <v>558.74698744998773</v>
      </c>
      <c r="D26" s="454">
        <f t="shared" si="16"/>
        <v>595.65866834821645</v>
      </c>
      <c r="E26" s="454">
        <f t="shared" si="16"/>
        <v>815.501096623693</v>
      </c>
      <c r="F26" s="454">
        <f t="shared" si="16"/>
        <v>963.36369507588597</v>
      </c>
      <c r="G26" s="454">
        <f t="shared" si="16"/>
        <v>2933.2704474977832</v>
      </c>
      <c r="H26" s="454">
        <f t="shared" si="16"/>
        <v>831</v>
      </c>
      <c r="I26" s="454">
        <f t="shared" si="16"/>
        <v>831</v>
      </c>
      <c r="J26" s="454">
        <f t="shared" si="16"/>
        <v>764</v>
      </c>
      <c r="K26" s="454">
        <f t="shared" si="16"/>
        <v>758</v>
      </c>
      <c r="L26" s="454">
        <f t="shared" si="16"/>
        <v>3184</v>
      </c>
      <c r="M26" s="454">
        <f>M7+M9+M11+M14</f>
        <v>686</v>
      </c>
      <c r="N26" s="454">
        <v>728</v>
      </c>
      <c r="O26" s="454">
        <v>726</v>
      </c>
      <c r="P26" s="454">
        <f t="shared" ca="1" si="16"/>
        <v>735.1599427311055</v>
      </c>
      <c r="Q26" s="454">
        <f t="shared" ca="1" si="16"/>
        <v>2875.1599427311057</v>
      </c>
    </row>
    <row r="27" spans="2:27">
      <c r="B27" s="455" t="s">
        <v>1831</v>
      </c>
      <c r="C27" s="462">
        <f t="shared" ref="C27:Q27" ca="1" si="17">C3+C4+C5+C6+C16+C17+C10</f>
        <v>248.86867437686513</v>
      </c>
      <c r="D27" s="462">
        <f t="shared" ca="1" si="17"/>
        <v>244.30190801343264</v>
      </c>
      <c r="E27" s="462">
        <f t="shared" si="17"/>
        <v>250.05592607596316</v>
      </c>
      <c r="F27" s="462">
        <f t="shared" ca="1" si="17"/>
        <v>256.83313824865758</v>
      </c>
      <c r="G27" s="462">
        <f t="shared" ca="1" si="17"/>
        <v>999.81890597417771</v>
      </c>
      <c r="H27" s="462">
        <f t="shared" si="17"/>
        <v>248</v>
      </c>
      <c r="I27" s="462">
        <f t="shared" si="17"/>
        <v>240</v>
      </c>
      <c r="J27" s="462">
        <f t="shared" si="17"/>
        <v>241</v>
      </c>
      <c r="K27" s="462">
        <f t="shared" ca="1" si="17"/>
        <v>258.65207954931623</v>
      </c>
      <c r="L27" s="462">
        <f t="shared" ca="1" si="17"/>
        <v>987.65207954931623</v>
      </c>
      <c r="M27" s="462">
        <f ca="1">M3+M4+M5+M6+M16+M17+M10</f>
        <v>219.79675194847232</v>
      </c>
      <c r="N27" s="462">
        <v>222</v>
      </c>
      <c r="O27" s="462">
        <v>225</v>
      </c>
      <c r="P27" s="462">
        <f t="shared" ca="1" si="17"/>
        <v>220.47506678186161</v>
      </c>
      <c r="Q27" s="462">
        <f t="shared" ca="1" si="17"/>
        <v>885.92827027843157</v>
      </c>
    </row>
    <row r="28" spans="2:27">
      <c r="B28" t="s">
        <v>884</v>
      </c>
      <c r="C28" s="454">
        <f ca="1">SUM(C25:C27)</f>
        <v>1408.959518189866</v>
      </c>
      <c r="D28" s="454">
        <f t="shared" ref="D28:L28" ca="1" si="18">SUM(D25:D27)</f>
        <v>1447.0340571664528</v>
      </c>
      <c r="E28" s="454">
        <f t="shared" si="18"/>
        <v>1670.4695876322221</v>
      </c>
      <c r="F28" s="454">
        <f t="shared" ca="1" si="18"/>
        <v>1858.9914086299377</v>
      </c>
      <c r="G28" s="454">
        <f t="shared" ca="1" si="18"/>
        <v>6385.2138308777376</v>
      </c>
      <c r="H28" s="454">
        <f t="shared" si="18"/>
        <v>1708</v>
      </c>
      <c r="I28" s="454">
        <f t="shared" si="18"/>
        <v>1704</v>
      </c>
      <c r="J28" s="454">
        <f t="shared" si="18"/>
        <v>1640.5263157894738</v>
      </c>
      <c r="K28" s="454">
        <f t="shared" ca="1" si="18"/>
        <v>1674.8682957655324</v>
      </c>
      <c r="L28" s="454">
        <f t="shared" ca="1" si="18"/>
        <v>6727.3946115550061</v>
      </c>
      <c r="M28" s="454">
        <f ca="1">SUM(M25:M27)</f>
        <v>1528.3557519484723</v>
      </c>
      <c r="N28" s="454">
        <f>SUM(N25:N27)</f>
        <v>1571</v>
      </c>
      <c r="O28" s="454">
        <f>SUM(O25:O27)</f>
        <v>1555</v>
      </c>
      <c r="P28" s="454">
        <f ca="1">SUM(P25:P27)</f>
        <v>1545.8811420572329</v>
      </c>
      <c r="Q28" s="454">
        <f ca="1">SUM(Q25:Q27)</f>
        <v>6200.0693455538021</v>
      </c>
      <c r="R28" s="464">
        <f>Master!T5</f>
        <v>6089</v>
      </c>
    </row>
    <row r="30" spans="2:27">
      <c r="B30" s="478" t="s">
        <v>3090</v>
      </c>
      <c r="C30" s="454">
        <f>C18-C32</f>
        <v>82.456584381809989</v>
      </c>
      <c r="D30" s="454">
        <f>D18-D32</f>
        <v>98.278861926891977</v>
      </c>
      <c r="E30" s="454">
        <f>E18-E32</f>
        <v>119.10822044692804</v>
      </c>
      <c r="F30" s="454">
        <f>F18-F32</f>
        <v>174.73363140701099</v>
      </c>
      <c r="H30" s="454">
        <f>H28-H32</f>
        <v>135.86498195650483</v>
      </c>
      <c r="I30" s="454">
        <f>I28-I32</f>
        <v>132.65289378251509</v>
      </c>
      <c r="J30" s="454">
        <f>J28-J32</f>
        <v>119.78653179726734</v>
      </c>
      <c r="K30" s="454">
        <f ca="1">K28-K32</f>
        <v>129.66889596099031</v>
      </c>
      <c r="M30" s="454">
        <f ca="1">M28-M32</f>
        <v>93.355751948472289</v>
      </c>
      <c r="N30" s="454">
        <f>N28-N32</f>
        <v>102</v>
      </c>
      <c r="O30" s="454">
        <f>O28-O32</f>
        <v>89</v>
      </c>
      <c r="P30" s="454">
        <f ca="1">P31*P18</f>
        <v>88.478084657938069</v>
      </c>
      <c r="Q30" s="454">
        <f ca="1">SUM(M30:P30)</f>
        <v>372.83383660641039</v>
      </c>
      <c r="R30" s="454">
        <f>R31*R28</f>
        <v>395.78500000000003</v>
      </c>
    </row>
    <row r="31" spans="2:27">
      <c r="B31" s="478" t="s">
        <v>1431</v>
      </c>
      <c r="C31" s="456">
        <f>C30/C18</f>
        <v>5.8687960414099634E-2</v>
      </c>
      <c r="D31" s="456">
        <f>D30/D18</f>
        <v>6.7919047634341381E-2</v>
      </c>
      <c r="E31" s="456">
        <f>E30/E18</f>
        <v>7.127960529439141E-2</v>
      </c>
      <c r="F31" s="456">
        <f>F30/F18</f>
        <v>9.3993346641748785E-2</v>
      </c>
      <c r="H31" s="456">
        <f>H30/H18</f>
        <v>7.9499696873320563E-2</v>
      </c>
      <c r="I31" s="456">
        <f>I30/I18</f>
        <v>7.7847942360630917E-2</v>
      </c>
      <c r="J31" s="456">
        <f>J30/J18</f>
        <v>7.2996058377371928E-2</v>
      </c>
      <c r="K31" s="456">
        <f ca="1">K30/K18</f>
        <v>7.7414266245367347E-2</v>
      </c>
      <c r="M31" s="456">
        <f ca="1">M30/M18</f>
        <v>6.109669630135621E-2</v>
      </c>
      <c r="N31" s="456">
        <f>N30/N18</f>
        <v>6.4885496183206104E-2</v>
      </c>
      <c r="O31" s="456">
        <f>O30/O18</f>
        <v>5.7234726688102894E-2</v>
      </c>
      <c r="P31" s="1044">
        <f>O31</f>
        <v>5.7234726688102894E-2</v>
      </c>
      <c r="Q31" s="1044"/>
      <c r="R31" s="1044">
        <v>6.5000000000000002E-2</v>
      </c>
    </row>
    <row r="32" spans="2:27">
      <c r="B32" s="478" t="s">
        <v>1194</v>
      </c>
      <c r="C32" s="454">
        <v>1322.54341561819</v>
      </c>
      <c r="D32" s="454">
        <v>1348.721138073108</v>
      </c>
      <c r="E32" s="454">
        <v>1551.891779553072</v>
      </c>
      <c r="F32" s="454">
        <v>1684.266368592989</v>
      </c>
      <c r="H32" s="454">
        <v>1572.1350180434952</v>
      </c>
      <c r="I32" s="454">
        <v>1571.3471062174849</v>
      </c>
      <c r="J32" s="454">
        <v>1520.7397839922064</v>
      </c>
      <c r="K32" s="454">
        <v>1545.1993998045421</v>
      </c>
      <c r="M32" s="454">
        <v>1435</v>
      </c>
      <c r="N32" s="454">
        <v>1469</v>
      </c>
      <c r="O32" s="454">
        <v>1466</v>
      </c>
      <c r="P32" s="454">
        <f ca="1">P18-P30</f>
        <v>1457.4030573992945</v>
      </c>
      <c r="Q32" s="454">
        <f ca="1">SUM(M32:P32)</f>
        <v>5827.403057399295</v>
      </c>
      <c r="R32" s="454">
        <f>R28-R30</f>
        <v>5693.2150000000001</v>
      </c>
      <c r="S32" s="456">
        <f>H32/C32-1</f>
        <v>0.18872091417024661</v>
      </c>
      <c r="T32" s="456">
        <f>I32/D32-1</f>
        <v>0.16506449099065668</v>
      </c>
      <c r="U32" s="456">
        <f>J32/E32-1</f>
        <v>-2.0073561811015606E-2</v>
      </c>
      <c r="V32" s="456">
        <f>K32/F32-1</f>
        <v>-8.2568275055341367E-2</v>
      </c>
      <c r="W32" s="456">
        <f>M32/(H32-28)-1</f>
        <v>-7.0677121345110949E-2</v>
      </c>
      <c r="X32" s="456">
        <f>N32/(I32-28)-1</f>
        <v>-4.8172641085062584E-2</v>
      </c>
      <c r="Y32" s="456">
        <f>O32/(J32-28)-1</f>
        <v>-1.7913225251284692E-2</v>
      </c>
      <c r="Z32" s="456">
        <f ca="1">P32/(K32-28)-1</f>
        <v>-3.9412316148392246E-2</v>
      </c>
      <c r="AA32" s="456"/>
    </row>
    <row r="33" spans="2:27">
      <c r="B33" s="478"/>
      <c r="H33" s="454"/>
      <c r="I33" s="454"/>
      <c r="J33" s="454"/>
      <c r="K33" s="454"/>
      <c r="M33" s="454"/>
      <c r="N33" s="454"/>
      <c r="O33" s="456"/>
      <c r="P33" s="454"/>
      <c r="S33" s="456">
        <f t="shared" ref="S33:X33" si="19">S34-S32</f>
        <v>-0.13272091417024662</v>
      </c>
      <c r="T33" s="456">
        <f t="shared" si="19"/>
        <v>-0.10806449099065668</v>
      </c>
      <c r="U33" s="456">
        <f t="shared" si="19"/>
        <v>7.8073561811015602E-2</v>
      </c>
      <c r="V33" s="456">
        <f t="shared" si="19"/>
        <v>0.14156827505534136</v>
      </c>
      <c r="W33" s="456">
        <f t="shared" si="19"/>
        <v>0.11167712134511096</v>
      </c>
      <c r="X33" s="456">
        <f t="shared" si="19"/>
        <v>6.9172641085062589E-2</v>
      </c>
      <c r="Y33" s="456">
        <f>Y34-Y32</f>
        <v>1.5913225251284691E-2</v>
      </c>
      <c r="Z33" s="595">
        <v>3.0000000000000001E-3</v>
      </c>
      <c r="AA33" s="456"/>
    </row>
    <row r="34" spans="2:27">
      <c r="B34" s="478" t="s">
        <v>4303</v>
      </c>
      <c r="H34" s="454"/>
      <c r="I34" s="454"/>
      <c r="J34" s="454"/>
      <c r="K34" s="454"/>
      <c r="M34" s="454"/>
      <c r="N34" s="454"/>
      <c r="O34" s="456"/>
      <c r="P34" s="454"/>
      <c r="S34" s="456">
        <v>5.6000000000000001E-2</v>
      </c>
      <c r="T34" s="456">
        <v>5.7000000000000002E-2</v>
      </c>
      <c r="U34" s="456">
        <v>5.8000000000000003E-2</v>
      </c>
      <c r="V34" s="456">
        <v>5.8999999999999997E-2</v>
      </c>
      <c r="W34" s="456">
        <v>4.1000000000000002E-2</v>
      </c>
      <c r="X34" s="456">
        <v>2.1000000000000001E-2</v>
      </c>
      <c r="Y34" s="456">
        <v>-2E-3</v>
      </c>
      <c r="Z34" s="456">
        <f ca="1">Z32+Z33</f>
        <v>-3.6412316148392243E-2</v>
      </c>
      <c r="AA34" s="456"/>
    </row>
    <row r="35" spans="2:27">
      <c r="P35" s="456"/>
    </row>
    <row r="36" spans="2:27">
      <c r="B36" s="1037" t="s">
        <v>152</v>
      </c>
      <c r="Z36" s="456"/>
    </row>
    <row r="37" spans="2:27">
      <c r="B37" s="613" t="str">
        <f>B25</f>
        <v>Central America</v>
      </c>
      <c r="C37" s="454">
        <f>Quarts!BG219-C25</f>
        <v>-0.3438563630131739</v>
      </c>
      <c r="D37" s="454">
        <f>Quarts!BH219-D25</f>
        <v>2.9265191951963061</v>
      </c>
      <c r="E37" s="454">
        <f>Quarts!BI219-E25</f>
        <v>1.087435067434285</v>
      </c>
      <c r="F37" s="454">
        <f>Quarts!BJ219-F25</f>
        <v>4.2054246946058811</v>
      </c>
      <c r="G37" s="454">
        <f>Quarts!BK219-G25</f>
        <v>8.8166055499946197</v>
      </c>
      <c r="H37" s="454">
        <f>Quarts!BL219-H25</f>
        <v>0</v>
      </c>
      <c r="I37" s="454">
        <f>Quarts!BM219-I25</f>
        <v>0</v>
      </c>
      <c r="J37" s="454">
        <f>Quarts!BN219-J25</f>
        <v>0.47368421052624399</v>
      </c>
      <c r="K37" s="454">
        <f>Quarts!BO219-K25</f>
        <v>-0.21621621621625309</v>
      </c>
      <c r="L37" s="454">
        <f>Quarts!BP219-L25</f>
        <v>0.12767251803870749</v>
      </c>
      <c r="M37" s="454"/>
      <c r="N37" s="454"/>
      <c r="O37" s="454"/>
      <c r="Z37" s="456"/>
    </row>
    <row r="38" spans="2:27">
      <c r="B38" s="613" t="str">
        <f>B26</f>
        <v>South America</v>
      </c>
      <c r="C38" s="454">
        <f>Quarts!BG227-C26</f>
        <v>1.2530125500122722</v>
      </c>
      <c r="D38" s="454">
        <f>Quarts!BH227-D26</f>
        <v>-2.6586683482164517</v>
      </c>
      <c r="E38" s="454">
        <f>Quarts!BI227-E26</f>
        <v>-5.5010966236930017</v>
      </c>
      <c r="F38" s="454">
        <f>Quarts!BJ227-F26</f>
        <v>-3.3636950758859712</v>
      </c>
      <c r="G38" s="454">
        <f>Quarts!BK227-G26</f>
        <v>-7.6623805186604841</v>
      </c>
      <c r="H38" s="454">
        <f>Quarts!BL227-H26</f>
        <v>1</v>
      </c>
      <c r="I38" s="454">
        <f>Quarts!BM227-I26</f>
        <v>0</v>
      </c>
      <c r="J38" s="454">
        <f>Quarts!BN227-J26</f>
        <v>0</v>
      </c>
      <c r="K38" s="454">
        <f>Quarts!BO227-K26</f>
        <v>1</v>
      </c>
      <c r="L38" s="454">
        <f>Quarts!BP227-L26</f>
        <v>0.87457034099770681</v>
      </c>
      <c r="M38" s="454"/>
      <c r="N38" s="454"/>
      <c r="O38" s="454"/>
      <c r="Z38" s="456"/>
    </row>
    <row r="39" spans="2:27">
      <c r="B39" s="615" t="str">
        <f>B27</f>
        <v>Africa</v>
      </c>
      <c r="C39" s="462">
        <f ca="1">Quarts!BG239-C27</f>
        <v>-4.8686743768651297</v>
      </c>
      <c r="D39" s="462">
        <f ca="1">Quarts!BH239-D27</f>
        <v>-0.30190801343263729</v>
      </c>
      <c r="E39" s="462">
        <f>Quarts!BI239-E27</f>
        <v>4.944073924036843</v>
      </c>
      <c r="F39" s="462">
        <f ca="1">Quarts!BJ239-F27</f>
        <v>-0.83313824865757624</v>
      </c>
      <c r="G39" s="462">
        <f ca="1">Quarts!BK239-G27</f>
        <v>0</v>
      </c>
      <c r="H39" s="462">
        <f>Quarts!BL239-H27</f>
        <v>0</v>
      </c>
      <c r="I39" s="462">
        <f>Quarts!BM239-I27</f>
        <v>0</v>
      </c>
      <c r="J39" s="462">
        <f>Quarts!BN239-J27</f>
        <v>0</v>
      </c>
      <c r="K39" s="462">
        <f ca="1">Quarts!BO239-K27</f>
        <v>-0.6520795493162268</v>
      </c>
      <c r="L39" s="462">
        <f ca="1">Quarts!BP239-L27</f>
        <v>0.48015574144108086</v>
      </c>
      <c r="M39" s="454"/>
      <c r="N39" s="454"/>
      <c r="O39" s="454"/>
      <c r="Z39" s="456"/>
    </row>
    <row r="40" spans="2:27">
      <c r="B40" s="613" t="str">
        <f>B28</f>
        <v>Group</v>
      </c>
      <c r="Z40" s="456"/>
    </row>
    <row r="42" spans="2:27">
      <c r="B42" s="487" t="s">
        <v>1034</v>
      </c>
      <c r="C42" s="495" t="str">
        <f>C2</f>
        <v>Q1 14</v>
      </c>
      <c r="D42" s="495" t="str">
        <f>D2</f>
        <v>Q2 14</v>
      </c>
      <c r="E42" s="495" t="str">
        <f>E2</f>
        <v>Q3 14</v>
      </c>
      <c r="F42" s="495" t="str">
        <f>F2</f>
        <v>Q4 14</v>
      </c>
      <c r="G42" s="495"/>
      <c r="H42" s="495" t="str">
        <f>H2</f>
        <v>Q1 15</v>
      </c>
      <c r="I42" s="495" t="str">
        <f>I2</f>
        <v>Q2 15</v>
      </c>
      <c r="J42" s="495" t="str">
        <f>J2</f>
        <v>Q3 15</v>
      </c>
      <c r="K42" s="495" t="str">
        <f>K2</f>
        <v>Q4 15</v>
      </c>
      <c r="L42" s="495"/>
      <c r="M42" s="508" t="s">
        <v>4082</v>
      </c>
      <c r="N42" s="508" t="s">
        <v>4254</v>
      </c>
      <c r="O42" s="508" t="s">
        <v>4387</v>
      </c>
      <c r="P42" s="508" t="s">
        <v>4040</v>
      </c>
      <c r="Q42" s="506" t="s">
        <v>1823</v>
      </c>
      <c r="S42" s="495" t="str">
        <f>H42</f>
        <v>Q1 15</v>
      </c>
      <c r="T42" s="495" t="str">
        <f>I42</f>
        <v>Q2 15</v>
      </c>
      <c r="U42" s="495" t="str">
        <f>J42</f>
        <v>Q3 15</v>
      </c>
      <c r="V42" s="495" t="str">
        <f>K42</f>
        <v>Q4 15</v>
      </c>
      <c r="W42" s="495" t="str">
        <f>M42</f>
        <v>Q1 16</v>
      </c>
      <c r="X42" s="495" t="str">
        <f>N42</f>
        <v>Q2 16</v>
      </c>
      <c r="Y42" s="495" t="str">
        <f>O42</f>
        <v>Q3 16</v>
      </c>
    </row>
    <row r="43" spans="2:27">
      <c r="B43" s="478" t="str">
        <f t="shared" ref="B43:B56" si="20">B3</f>
        <v>Ghana</v>
      </c>
      <c r="C43" s="531">
        <v>2.494257812499999</v>
      </c>
      <c r="D43" s="531">
        <v>2.9409169230769248</v>
      </c>
      <c r="E43" s="531">
        <v>3.5987409090909095</v>
      </c>
      <c r="F43" s="531">
        <v>3.2139075757575761</v>
      </c>
      <c r="G43" s="531"/>
      <c r="H43" s="531">
        <v>3.4470703125000006</v>
      </c>
      <c r="I43" s="531">
        <v>4.0215507692307693</v>
      </c>
      <c r="J43" s="531">
        <v>3.828940909090909</v>
      </c>
      <c r="K43" s="531">
        <v>3.81</v>
      </c>
      <c r="L43" s="531"/>
      <c r="M43" s="1031">
        <v>3.84</v>
      </c>
      <c r="N43" s="1031">
        <v>3.85</v>
      </c>
      <c r="O43" s="1031">
        <v>3.94</v>
      </c>
      <c r="P43" s="1069">
        <v>3.99</v>
      </c>
      <c r="Q43" s="531"/>
      <c r="S43" s="449">
        <f t="shared" ref="S43:S56" si="21">H43/C43-1</f>
        <v>0.38200241178957994</v>
      </c>
      <c r="T43" s="449">
        <f t="shared" ref="T43:T56" si="22">I43/D43-1</f>
        <v>0.36744793355918226</v>
      </c>
      <c r="U43" s="449">
        <f t="shared" ref="U43:U56" si="23">J43/E43-1</f>
        <v>6.3966816677044624E-2</v>
      </c>
      <c r="V43" s="449">
        <f t="shared" ref="V43:V56" si="24">K43/F43-1</f>
        <v>0.18547279602522915</v>
      </c>
      <c r="W43" s="449"/>
      <c r="X43" s="449"/>
      <c r="Y43" s="449"/>
    </row>
    <row r="44" spans="2:27">
      <c r="B44" s="478" t="str">
        <f t="shared" si="20"/>
        <v>Senegal</v>
      </c>
      <c r="C44" s="454">
        <v>480.37725</v>
      </c>
      <c r="D44" s="454">
        <v>480.047946153846</v>
      </c>
      <c r="E44" s="454">
        <v>497.07581969696969</v>
      </c>
      <c r="F44" s="454">
        <v>526.38106515151503</v>
      </c>
      <c r="G44" s="454"/>
      <c r="H44" s="454">
        <f ca="1">H56</f>
        <v>583.53188593749996</v>
      </c>
      <c r="I44" s="454">
        <f ca="1">I56</f>
        <v>593.63835846153825</v>
      </c>
      <c r="J44" s="454">
        <f>J56</f>
        <v>591</v>
      </c>
      <c r="K44" s="454">
        <f>K56</f>
        <v>611</v>
      </c>
      <c r="L44" s="454"/>
      <c r="M44" s="454">
        <v>601</v>
      </c>
      <c r="N44" s="454">
        <v>586</v>
      </c>
      <c r="O44" s="454">
        <f>O56</f>
        <v>595</v>
      </c>
      <c r="P44" s="454">
        <f>P56</f>
        <v>606</v>
      </c>
      <c r="Q44" s="454"/>
      <c r="S44" s="449">
        <f t="shared" ca="1" si="21"/>
        <v>0.21473672189409454</v>
      </c>
      <c r="T44" s="449">
        <f t="shared" ca="1" si="22"/>
        <v>0.23662305654629079</v>
      </c>
      <c r="U44" s="449">
        <f t="shared" si="23"/>
        <v>0.18895342839305473</v>
      </c>
      <c r="V44" s="449">
        <f t="shared" si="24"/>
        <v>0.160756038639285</v>
      </c>
      <c r="W44" s="449"/>
      <c r="X44" s="449"/>
      <c r="Y44" s="449"/>
    </row>
    <row r="45" spans="2:27">
      <c r="B45" s="478" t="str">
        <f t="shared" si="20"/>
        <v>DRC</v>
      </c>
      <c r="C45" s="454">
        <v>922.32265625000002</v>
      </c>
      <c r="D45" s="454">
        <v>922.46569384615395</v>
      </c>
      <c r="E45" s="454">
        <v>922.91795454545468</v>
      </c>
      <c r="F45" s="454">
        <v>921.86439393939395</v>
      </c>
      <c r="G45" s="454"/>
      <c r="H45" s="454">
        <v>920.1640625</v>
      </c>
      <c r="I45" s="454">
        <v>920.93076923076922</v>
      </c>
      <c r="J45" s="454">
        <v>920.280303030303</v>
      </c>
      <c r="K45" s="454">
        <v>924</v>
      </c>
      <c r="L45" s="454"/>
      <c r="M45" s="535">
        <v>926.17197500000032</v>
      </c>
      <c r="N45" s="535">
        <v>0</v>
      </c>
      <c r="O45" s="535">
        <v>0</v>
      </c>
      <c r="P45" s="1068">
        <v>0</v>
      </c>
      <c r="Q45" s="454"/>
      <c r="R45" t="s">
        <v>1823</v>
      </c>
      <c r="S45" s="449">
        <f t="shared" si="21"/>
        <v>-2.3403889467233929E-3</v>
      </c>
      <c r="T45" s="449">
        <f t="shared" si="22"/>
        <v>-1.6639368007117517E-3</v>
      </c>
      <c r="U45" s="449">
        <f t="shared" si="23"/>
        <v>-2.8579479921926332E-3</v>
      </c>
      <c r="V45" s="449">
        <f t="shared" si="24"/>
        <v>2.3166162774548305E-3</v>
      </c>
      <c r="W45" s="449"/>
      <c r="X45" s="449"/>
      <c r="Y45" s="449"/>
    </row>
    <row r="46" spans="2:27">
      <c r="B46" s="478" t="str">
        <f t="shared" si="20"/>
        <v>Tanzania (ex Zantel)</v>
      </c>
      <c r="C46" s="535">
        <v>1618</v>
      </c>
      <c r="D46" s="535">
        <v>1654</v>
      </c>
      <c r="E46" s="535">
        <v>1670</v>
      </c>
      <c r="F46" s="535">
        <v>1712</v>
      </c>
      <c r="G46" s="454"/>
      <c r="H46" s="535">
        <v>1764</v>
      </c>
      <c r="I46" s="535">
        <v>1899</v>
      </c>
      <c r="J46" s="535">
        <v>2099</v>
      </c>
      <c r="K46" s="535">
        <v>2163</v>
      </c>
      <c r="L46" s="454"/>
      <c r="M46" s="535">
        <v>2178</v>
      </c>
      <c r="N46" s="535">
        <v>2189</v>
      </c>
      <c r="O46" s="535">
        <v>2187</v>
      </c>
      <c r="P46" s="1068">
        <v>2187</v>
      </c>
      <c r="Q46" s="454"/>
      <c r="S46" s="449">
        <f t="shared" si="21"/>
        <v>9.0234857849196493E-2</v>
      </c>
      <c r="T46" s="449">
        <f t="shared" si="22"/>
        <v>0.14812575574365172</v>
      </c>
      <c r="U46" s="449">
        <f t="shared" si="23"/>
        <v>0.2568862275449102</v>
      </c>
      <c r="V46" s="449">
        <f t="shared" si="24"/>
        <v>0.2634345794392523</v>
      </c>
      <c r="W46" s="449"/>
      <c r="X46" s="449"/>
      <c r="Y46" s="449"/>
    </row>
    <row r="47" spans="2:27">
      <c r="B47" s="478" t="str">
        <f t="shared" si="20"/>
        <v>UNE</v>
      </c>
      <c r="C47" s="454">
        <f>C51</f>
        <v>1989</v>
      </c>
      <c r="D47" s="454">
        <f>D51</f>
        <v>1920</v>
      </c>
      <c r="E47" s="454">
        <f>E51</f>
        <v>1925</v>
      </c>
      <c r="F47" s="454">
        <f>F51</f>
        <v>2169</v>
      </c>
      <c r="G47" s="454"/>
      <c r="H47" s="454">
        <f>H51</f>
        <v>2477</v>
      </c>
      <c r="I47" s="454">
        <f>I51</f>
        <v>2521</v>
      </c>
      <c r="J47" s="454">
        <f>J51</f>
        <v>2919</v>
      </c>
      <c r="K47" s="454">
        <f>K51</f>
        <v>3068</v>
      </c>
      <c r="L47" s="454"/>
      <c r="M47" s="454">
        <f>M51</f>
        <v>3191</v>
      </c>
      <c r="N47" s="454">
        <f>N51</f>
        <v>2965</v>
      </c>
      <c r="O47" s="454">
        <f>O51</f>
        <v>2953</v>
      </c>
      <c r="P47" s="454">
        <f>P51</f>
        <v>3005</v>
      </c>
      <c r="Q47" s="454"/>
      <c r="S47" s="449">
        <f t="shared" si="21"/>
        <v>0.24534942182001007</v>
      </c>
      <c r="T47" s="449">
        <f t="shared" si="22"/>
        <v>0.3130208333333333</v>
      </c>
      <c r="U47" s="449">
        <f t="shared" si="23"/>
        <v>0.51636363636363636</v>
      </c>
      <c r="V47" s="449">
        <f t="shared" si="24"/>
        <v>0.41447671738128178</v>
      </c>
      <c r="W47" s="449"/>
      <c r="X47" s="449"/>
      <c r="Y47" s="449"/>
    </row>
    <row r="48" spans="2:27">
      <c r="B48" s="478" t="str">
        <f t="shared" si="20"/>
        <v>Honduras</v>
      </c>
      <c r="C48" s="535">
        <v>20.74</v>
      </c>
      <c r="D48" s="535">
        <v>20.92</v>
      </c>
      <c r="E48" s="535">
        <v>21.1</v>
      </c>
      <c r="F48" s="535">
        <v>21.44</v>
      </c>
      <c r="G48" s="454"/>
      <c r="H48" s="535">
        <v>21.81</v>
      </c>
      <c r="I48" s="535">
        <v>22</v>
      </c>
      <c r="J48" s="535">
        <v>22.03</v>
      </c>
      <c r="K48" s="535">
        <v>22.23</v>
      </c>
      <c r="L48" s="454"/>
      <c r="M48" s="656">
        <v>22.61</v>
      </c>
      <c r="N48" s="656">
        <v>22.75</v>
      </c>
      <c r="O48" s="656">
        <v>22.9</v>
      </c>
      <c r="P48" s="1070">
        <v>23.1</v>
      </c>
      <c r="Q48" s="454"/>
      <c r="S48" s="449">
        <f t="shared" si="21"/>
        <v>5.1591128254580454E-2</v>
      </c>
      <c r="T48" s="449">
        <f t="shared" si="22"/>
        <v>5.1625239005736123E-2</v>
      </c>
      <c r="U48" s="449">
        <f t="shared" si="23"/>
        <v>4.4075829383886322E-2</v>
      </c>
      <c r="V48" s="449">
        <f t="shared" si="24"/>
        <v>3.6847014925373012E-2</v>
      </c>
      <c r="W48" s="449"/>
      <c r="X48" s="449"/>
      <c r="Y48" s="449"/>
    </row>
    <row r="49" spans="2:26">
      <c r="B49" s="478" t="str">
        <f t="shared" si="20"/>
        <v>Bolivia</v>
      </c>
      <c r="C49" s="1031">
        <v>6.91</v>
      </c>
      <c r="D49" s="1031">
        <v>6.91</v>
      </c>
      <c r="E49" s="1031">
        <v>6.91</v>
      </c>
      <c r="F49" s="1031">
        <v>6.91</v>
      </c>
      <c r="G49" s="531"/>
      <c r="H49" s="1031">
        <v>6.91</v>
      </c>
      <c r="I49" s="1031">
        <v>6.91</v>
      </c>
      <c r="J49" s="1031">
        <v>6.91</v>
      </c>
      <c r="K49" s="1031">
        <v>6.91</v>
      </c>
      <c r="L49" s="531"/>
      <c r="M49" s="1031">
        <v>6.9055718749999979</v>
      </c>
      <c r="N49" s="1031">
        <v>6.91</v>
      </c>
      <c r="O49" s="1031">
        <v>6.92</v>
      </c>
      <c r="P49" s="1069">
        <v>6.91</v>
      </c>
      <c r="Q49" s="454"/>
      <c r="S49" s="449">
        <f t="shared" si="21"/>
        <v>0</v>
      </c>
      <c r="T49" s="449">
        <f t="shared" si="22"/>
        <v>0</v>
      </c>
      <c r="U49" s="449">
        <f t="shared" si="23"/>
        <v>0</v>
      </c>
      <c r="V49" s="449">
        <f t="shared" si="24"/>
        <v>0</v>
      </c>
      <c r="W49" s="449"/>
      <c r="X49" s="449"/>
      <c r="Y49" s="449"/>
    </row>
    <row r="50" spans="2:26">
      <c r="B50" s="478" t="str">
        <f t="shared" si="20"/>
        <v>Rwanda</v>
      </c>
      <c r="C50" s="454">
        <v>680.03160468750059</v>
      </c>
      <c r="D50" s="454">
        <v>682.68886923076911</v>
      </c>
      <c r="E50" s="454">
        <v>688.24569242424286</v>
      </c>
      <c r="F50" s="454">
        <v>691.67879242424237</v>
      </c>
      <c r="G50" s="454"/>
      <c r="H50" s="454">
        <v>696.13350468750002</v>
      </c>
      <c r="I50" s="454">
        <v>699.96808000000055</v>
      </c>
      <c r="J50" s="454">
        <v>727.3506954545453</v>
      </c>
      <c r="K50" s="454">
        <v>751</v>
      </c>
      <c r="L50" s="454"/>
      <c r="M50" s="535">
        <v>758</v>
      </c>
      <c r="N50" s="535">
        <v>776</v>
      </c>
      <c r="O50" s="535">
        <v>785</v>
      </c>
      <c r="P50" s="1068">
        <v>809</v>
      </c>
      <c r="Q50" s="454"/>
      <c r="S50" s="449">
        <f t="shared" si="21"/>
        <v>2.3678164204439911E-2</v>
      </c>
      <c r="T50" s="449">
        <f t="shared" si="22"/>
        <v>2.5310520718905272E-2</v>
      </c>
      <c r="U50" s="449">
        <f t="shared" si="23"/>
        <v>5.68183767232322E-2</v>
      </c>
      <c r="V50" s="449">
        <f t="shared" si="24"/>
        <v>8.5764097765445024E-2</v>
      </c>
      <c r="W50" s="449"/>
      <c r="X50" s="449"/>
      <c r="Y50" s="449"/>
    </row>
    <row r="51" spans="2:26">
      <c r="B51" s="478" t="str">
        <f t="shared" si="20"/>
        <v>Colombia mobile</v>
      </c>
      <c r="C51" s="535">
        <v>1989</v>
      </c>
      <c r="D51" s="535">
        <v>1920</v>
      </c>
      <c r="E51" s="535">
        <v>1925</v>
      </c>
      <c r="F51" s="535">
        <v>2169</v>
      </c>
      <c r="G51" s="454"/>
      <c r="H51" s="535">
        <v>2477</v>
      </c>
      <c r="I51" s="535">
        <v>2521</v>
      </c>
      <c r="J51" s="535">
        <v>2919</v>
      </c>
      <c r="K51" s="535">
        <v>3068</v>
      </c>
      <c r="L51" s="454"/>
      <c r="M51" s="535">
        <v>3191</v>
      </c>
      <c r="N51" s="535">
        <v>2965</v>
      </c>
      <c r="O51" s="535">
        <v>2953</v>
      </c>
      <c r="P51" s="1068">
        <v>3005</v>
      </c>
      <c r="Q51" s="454"/>
      <c r="S51" s="449">
        <f t="shared" si="21"/>
        <v>0.24534942182001007</v>
      </c>
      <c r="T51" s="449">
        <f t="shared" si="22"/>
        <v>0.3130208333333333</v>
      </c>
      <c r="U51" s="449">
        <f t="shared" si="23"/>
        <v>0.51636363636363636</v>
      </c>
      <c r="V51" s="449">
        <f t="shared" si="24"/>
        <v>0.41447671738128178</v>
      </c>
      <c r="W51" s="449"/>
      <c r="X51" s="449"/>
      <c r="Y51" s="449"/>
    </row>
    <row r="52" spans="2:26">
      <c r="B52" s="478" t="str">
        <f t="shared" si="20"/>
        <v>El Salvador</v>
      </c>
      <c r="C52" s="531">
        <v>1</v>
      </c>
      <c r="D52" s="531">
        <v>1</v>
      </c>
      <c r="E52" s="531">
        <v>1</v>
      </c>
      <c r="F52" s="531">
        <v>1</v>
      </c>
      <c r="G52" s="531"/>
      <c r="H52" s="531">
        <v>1</v>
      </c>
      <c r="I52" s="531">
        <v>1</v>
      </c>
      <c r="J52" s="531">
        <v>1</v>
      </c>
      <c r="K52" s="531">
        <v>1</v>
      </c>
      <c r="L52" s="531"/>
      <c r="M52" s="1031">
        <v>1</v>
      </c>
      <c r="N52" s="1031">
        <v>1</v>
      </c>
      <c r="O52" s="1031">
        <v>1</v>
      </c>
      <c r="P52" s="1069">
        <v>1</v>
      </c>
      <c r="Q52" s="531"/>
      <c r="S52" s="449">
        <f t="shared" si="21"/>
        <v>0</v>
      </c>
      <c r="T52" s="449">
        <f t="shared" si="22"/>
        <v>0</v>
      </c>
      <c r="U52" s="449">
        <f t="shared" si="23"/>
        <v>0</v>
      </c>
      <c r="V52" s="449">
        <f t="shared" si="24"/>
        <v>0</v>
      </c>
      <c r="W52" s="449"/>
      <c r="X52" s="449"/>
      <c r="Y52" s="449"/>
    </row>
    <row r="53" spans="2:26">
      <c r="B53" s="478" t="str">
        <f t="shared" si="20"/>
        <v>Guatemala</v>
      </c>
      <c r="C53" s="531">
        <v>7.7810468750000004</v>
      </c>
      <c r="D53" s="531">
        <v>7.7633000000000001</v>
      </c>
      <c r="E53" s="531">
        <v>7.7674393939393935</v>
      </c>
      <c r="F53" s="531">
        <v>7.628557121212121</v>
      </c>
      <c r="G53" s="531"/>
      <c r="H53" s="531">
        <v>7.637398437499999</v>
      </c>
      <c r="I53" s="531">
        <v>7.6797115384615395</v>
      </c>
      <c r="J53" s="531">
        <v>7.6649583333333355</v>
      </c>
      <c r="K53" s="531">
        <v>7.65</v>
      </c>
      <c r="L53" s="531"/>
      <c r="M53" s="1031">
        <v>7.68</v>
      </c>
      <c r="N53" s="1031">
        <v>7.68</v>
      </c>
      <c r="O53" s="1031">
        <v>7.55</v>
      </c>
      <c r="P53" s="1069">
        <v>7.52</v>
      </c>
      <c r="Q53" s="454"/>
      <c r="S53" s="449">
        <f t="shared" si="21"/>
        <v>-1.8461325295640374E-2</v>
      </c>
      <c r="T53" s="449">
        <f t="shared" si="22"/>
        <v>-1.0767130155792115E-2</v>
      </c>
      <c r="U53" s="449">
        <f t="shared" si="23"/>
        <v>-1.3193673668830952E-2</v>
      </c>
      <c r="V53" s="449">
        <f t="shared" si="24"/>
        <v>2.8108695323594279E-3</v>
      </c>
      <c r="W53" s="449"/>
      <c r="X53" s="449"/>
      <c r="Y53" s="449"/>
    </row>
    <row r="54" spans="2:26">
      <c r="B54" s="478" t="str">
        <f t="shared" si="20"/>
        <v>Paraguay</v>
      </c>
      <c r="C54" s="454">
        <v>4527.7453124999984</v>
      </c>
      <c r="D54" s="454">
        <v>4419.9076923076927</v>
      </c>
      <c r="E54" s="454">
        <v>4292.9742424242413</v>
      </c>
      <c r="F54" s="535">
        <v>4591</v>
      </c>
      <c r="G54" s="454"/>
      <c r="H54" s="454">
        <v>4760.0296874999985</v>
      </c>
      <c r="I54" s="454">
        <v>5052.8492307692313</v>
      </c>
      <c r="J54" s="535">
        <v>5343</v>
      </c>
      <c r="K54" s="535">
        <v>5690</v>
      </c>
      <c r="L54" s="454"/>
      <c r="M54" s="535">
        <v>5773</v>
      </c>
      <c r="N54" s="535">
        <v>5624</v>
      </c>
      <c r="O54" s="535">
        <v>5554</v>
      </c>
      <c r="P54" s="1068">
        <v>5724</v>
      </c>
      <c r="Q54" s="454"/>
      <c r="S54" s="449">
        <f t="shared" si="21"/>
        <v>5.130243840322013E-2</v>
      </c>
      <c r="T54" s="449">
        <f t="shared" si="22"/>
        <v>0.14320243374383046</v>
      </c>
      <c r="U54" s="449">
        <f t="shared" si="23"/>
        <v>0.24459167427541084</v>
      </c>
      <c r="V54" s="449">
        <f t="shared" si="24"/>
        <v>0.23938139838815076</v>
      </c>
      <c r="W54" s="449"/>
      <c r="X54" s="449"/>
      <c r="Y54" s="449"/>
    </row>
    <row r="55" spans="2:26">
      <c r="B55" s="478" t="str">
        <f t="shared" si="20"/>
        <v xml:space="preserve">Costa Rica </v>
      </c>
      <c r="C55" s="535">
        <v>533.70000000000005</v>
      </c>
      <c r="D55" s="535">
        <v>555.73</v>
      </c>
      <c r="E55" s="535">
        <v>545.9</v>
      </c>
      <c r="F55" s="535">
        <v>544.29999999999995</v>
      </c>
      <c r="G55" s="454"/>
      <c r="H55" s="535">
        <v>542.1</v>
      </c>
      <c r="I55" s="535">
        <v>539.5</v>
      </c>
      <c r="J55" s="535">
        <v>541.1</v>
      </c>
      <c r="K55" s="535">
        <v>541</v>
      </c>
      <c r="L55" s="454"/>
      <c r="M55" s="523">
        <v>543</v>
      </c>
      <c r="N55" s="523">
        <v>546</v>
      </c>
      <c r="O55" s="523">
        <v>545</v>
      </c>
      <c r="P55" s="1071">
        <v>536</v>
      </c>
      <c r="Q55" s="454"/>
      <c r="S55" s="449">
        <f t="shared" si="21"/>
        <v>1.5739179314221419E-2</v>
      </c>
      <c r="T55" s="449">
        <f t="shared" si="22"/>
        <v>-2.9204829683479372E-2</v>
      </c>
      <c r="U55" s="449">
        <f t="shared" si="23"/>
        <v>-8.7928191976551773E-3</v>
      </c>
      <c r="V55" s="449">
        <f t="shared" si="24"/>
        <v>-6.0628329965092265E-3</v>
      </c>
      <c r="W55" s="449"/>
      <c r="X55" s="449"/>
      <c r="Y55" s="449"/>
    </row>
    <row r="56" spans="2:26">
      <c r="B56" s="478" t="str">
        <f t="shared" si="20"/>
        <v>Chad</v>
      </c>
      <c r="C56" s="454">
        <f>C44</f>
        <v>480.37725</v>
      </c>
      <c r="D56" s="454">
        <f>D44</f>
        <v>480.047946153846</v>
      </c>
      <c r="E56" s="454">
        <f>E44</f>
        <v>497.07581969696969</v>
      </c>
      <c r="F56" s="535">
        <v>529</v>
      </c>
      <c r="G56" s="454"/>
      <c r="H56" s="454">
        <f ca="1">H44</f>
        <v>583.53188593749996</v>
      </c>
      <c r="I56" s="454">
        <f ca="1">I44</f>
        <v>593.63835846153825</v>
      </c>
      <c r="J56" s="535">
        <v>591</v>
      </c>
      <c r="K56" s="535">
        <v>611</v>
      </c>
      <c r="L56" s="454"/>
      <c r="M56" s="535">
        <v>601</v>
      </c>
      <c r="N56" s="535">
        <v>586</v>
      </c>
      <c r="O56" s="535">
        <v>595</v>
      </c>
      <c r="P56" s="1068">
        <v>606</v>
      </c>
      <c r="Q56" s="454"/>
      <c r="S56" s="449">
        <f t="shared" ca="1" si="21"/>
        <v>0.21473672189409454</v>
      </c>
      <c r="T56" s="449">
        <f t="shared" ca="1" si="22"/>
        <v>0.23662305654629079</v>
      </c>
      <c r="U56" s="449">
        <f t="shared" si="23"/>
        <v>0.18895342839305473</v>
      </c>
      <c r="V56" s="449">
        <f t="shared" si="24"/>
        <v>0.15500945179584114</v>
      </c>
      <c r="W56" s="449"/>
      <c r="X56" s="449"/>
      <c r="Y56" s="449"/>
    </row>
    <row r="58" spans="2:26">
      <c r="B58" s="487" t="s">
        <v>1147</v>
      </c>
      <c r="C58" s="495" t="str">
        <f t="shared" ref="C58:Q58" si="25">C2</f>
        <v>Q1 14</v>
      </c>
      <c r="D58" s="495" t="str">
        <f t="shared" si="25"/>
        <v>Q2 14</v>
      </c>
      <c r="E58" s="495" t="str">
        <f t="shared" si="25"/>
        <v>Q3 14</v>
      </c>
      <c r="F58" s="495" t="str">
        <f t="shared" si="25"/>
        <v>Q4 14</v>
      </c>
      <c r="G58" s="495">
        <f t="shared" si="25"/>
        <v>2014</v>
      </c>
      <c r="H58" s="495" t="str">
        <f t="shared" si="25"/>
        <v>Q1 15</v>
      </c>
      <c r="I58" s="495" t="str">
        <f t="shared" si="25"/>
        <v>Q2 15</v>
      </c>
      <c r="J58" s="495" t="str">
        <f t="shared" si="25"/>
        <v>Q3 15</v>
      </c>
      <c r="K58" s="495" t="str">
        <f t="shared" si="25"/>
        <v>Q4 15</v>
      </c>
      <c r="L58" s="495">
        <f t="shared" si="25"/>
        <v>2015</v>
      </c>
      <c r="M58" s="495" t="str">
        <f t="shared" si="25"/>
        <v>Q1 16</v>
      </c>
      <c r="N58" s="495" t="str">
        <f t="shared" si="25"/>
        <v>Q2 16</v>
      </c>
      <c r="O58" s="495" t="str">
        <f t="shared" si="25"/>
        <v>Q3 16</v>
      </c>
      <c r="P58" s="495" t="str">
        <f t="shared" si="25"/>
        <v>Q4 16E</v>
      </c>
      <c r="Q58" s="495">
        <f t="shared" si="25"/>
        <v>2016</v>
      </c>
      <c r="S58" s="495" t="str">
        <f>H58</f>
        <v>Q1 15</v>
      </c>
      <c r="T58" s="495" t="str">
        <f>I58</f>
        <v>Q2 15</v>
      </c>
      <c r="U58" s="495" t="str">
        <f>J58</f>
        <v>Q3 15</v>
      </c>
      <c r="V58" s="495" t="str">
        <f>K58</f>
        <v>Q4 15</v>
      </c>
      <c r="W58" s="495" t="str">
        <f>M58</f>
        <v>Q1 16</v>
      </c>
      <c r="X58" s="495" t="str">
        <f>N58</f>
        <v>Q2 16</v>
      </c>
      <c r="Y58" s="495" t="str">
        <f>O58</f>
        <v>Q3 16</v>
      </c>
      <c r="Z58" s="495" t="str">
        <f>P58</f>
        <v>Q4 16E</v>
      </c>
    </row>
    <row r="59" spans="2:26">
      <c r="B59" t="str">
        <f t="shared" ref="B59:B72" si="26">B3</f>
        <v>Ghana</v>
      </c>
      <c r="C59" s="454">
        <f>H59/(1+S59)</f>
        <v>98.89136142418036</v>
      </c>
      <c r="D59" s="454">
        <f t="shared" ref="C59:E61" si="27">I59/(1+T59)</f>
        <v>113.94393846153847</v>
      </c>
      <c r="E59" s="454">
        <f t="shared" si="27"/>
        <v>112.61590909090908</v>
      </c>
      <c r="F59" s="454">
        <f t="shared" ref="F59:F66" si="28">F3*F43</f>
        <v>116.71270021630185</v>
      </c>
      <c r="G59" s="454"/>
      <c r="H59" s="454">
        <f t="shared" ref="H59:J72" si="29">H3*H43</f>
        <v>120.64746093750003</v>
      </c>
      <c r="I59" s="454">
        <f t="shared" si="29"/>
        <v>136.73272615384616</v>
      </c>
      <c r="J59" s="454">
        <f t="shared" si="29"/>
        <v>134.01293181818181</v>
      </c>
      <c r="K59" s="454">
        <f>(1+V59)*F59</f>
        <v>134.21960524874711</v>
      </c>
      <c r="L59" s="454"/>
      <c r="M59" s="454">
        <f>H59*1.16</f>
        <v>139.95105468750003</v>
      </c>
      <c r="N59" s="454">
        <f>I59*1.15</f>
        <v>157.24263507692308</v>
      </c>
      <c r="O59" s="1100">
        <f>O3*O43</f>
        <v>157.6</v>
      </c>
      <c r="P59" s="454">
        <f>P3*P43</f>
        <v>152.52435451785803</v>
      </c>
      <c r="S59" s="538">
        <f>Newquarts!B197</f>
        <v>0.22</v>
      </c>
      <c r="T59" s="538">
        <f>Newquarts!C197</f>
        <v>0.2</v>
      </c>
      <c r="U59" s="538">
        <f>Newquarts!D197</f>
        <v>0.19</v>
      </c>
      <c r="V59" s="538">
        <f>Newquarts!E197</f>
        <v>0.15</v>
      </c>
      <c r="W59" s="449">
        <f t="shared" ref="W59:Z60" si="30">M59/H59-1</f>
        <v>0.15999999999999992</v>
      </c>
      <c r="X59" s="449">
        <f t="shared" si="30"/>
        <v>0.14999999999999991</v>
      </c>
      <c r="Y59" s="449">
        <f t="shared" si="30"/>
        <v>0.17600591123414322</v>
      </c>
      <c r="Z59" s="449">
        <f t="shared" si="30"/>
        <v>0.13637910225698402</v>
      </c>
    </row>
    <row r="60" spans="2:26">
      <c r="B60" t="str">
        <f t="shared" si="26"/>
        <v>Senegal</v>
      </c>
      <c r="C60" s="454">
        <f t="shared" ca="1" si="27"/>
        <v>13964.86564636752</v>
      </c>
      <c r="D60" s="454">
        <f t="shared" ca="1" si="27"/>
        <v>13624.486915510715</v>
      </c>
      <c r="E60" s="454">
        <f t="shared" si="27"/>
        <v>14143.589743589744</v>
      </c>
      <c r="F60" s="454">
        <f t="shared" ca="1" si="28"/>
        <v>15283.585461117587</v>
      </c>
      <c r="G60" s="454"/>
      <c r="H60" s="454">
        <f t="shared" ca="1" si="29"/>
        <v>16338.892806249998</v>
      </c>
      <c r="I60" s="454">
        <f t="shared" ca="1" si="29"/>
        <v>16621.874036923073</v>
      </c>
      <c r="J60" s="454">
        <f t="shared" si="29"/>
        <v>16548</v>
      </c>
      <c r="K60" s="454">
        <f ca="1">(1+V60)*F60</f>
        <v>17881.794989507576</v>
      </c>
      <c r="L60" s="454"/>
      <c r="M60" s="454">
        <f ca="1">H60*1.14</f>
        <v>18626.337799124994</v>
      </c>
      <c r="N60" s="454">
        <f ca="1">I60*1.15</f>
        <v>19115.155142461532</v>
      </c>
      <c r="O60" s="1100">
        <f>O4*O44</f>
        <v>20230</v>
      </c>
      <c r="P60" s="454">
        <f ca="1">P4*P44</f>
        <v>20343.794046136412</v>
      </c>
      <c r="S60" s="538">
        <f>Newquarts!B198</f>
        <v>0.17</v>
      </c>
      <c r="T60" s="538">
        <f>Newquarts!C198</f>
        <v>0.22</v>
      </c>
      <c r="U60" s="538">
        <f>Newquarts!D198</f>
        <v>0.17</v>
      </c>
      <c r="V60" s="1036">
        <v>0.17</v>
      </c>
      <c r="W60" s="449">
        <f t="shared" ca="1" si="30"/>
        <v>0.1399999999999999</v>
      </c>
      <c r="X60" s="449">
        <f t="shared" ca="1" si="30"/>
        <v>0.14999999999999991</v>
      </c>
      <c r="Y60" s="449">
        <f t="shared" si="30"/>
        <v>0.22250423011844322</v>
      </c>
      <c r="Z60" s="449">
        <f t="shared" ca="1" si="30"/>
        <v>0.13768187467049331</v>
      </c>
    </row>
    <row r="61" spans="2:26">
      <c r="B61" t="str">
        <f t="shared" si="26"/>
        <v>DRC</v>
      </c>
      <c r="C61" s="454">
        <f t="shared" si="27"/>
        <v>28371.725260416668</v>
      </c>
      <c r="D61" s="454">
        <f t="shared" si="27"/>
        <v>27929.867591424969</v>
      </c>
      <c r="E61" s="454">
        <f t="shared" si="27"/>
        <v>29353.768286311388</v>
      </c>
      <c r="F61" s="454">
        <f t="shared" si="28"/>
        <v>32002.912594449888</v>
      </c>
      <c r="G61" s="454"/>
      <c r="H61" s="454">
        <f t="shared" si="29"/>
        <v>34046.0703125</v>
      </c>
      <c r="I61" s="454">
        <f t="shared" si="29"/>
        <v>34074.438461538462</v>
      </c>
      <c r="J61" s="454">
        <f t="shared" si="29"/>
        <v>34050.371212121208</v>
      </c>
      <c r="K61" s="454">
        <f>(1+V61)*F61</f>
        <v>37123.378609561871</v>
      </c>
      <c r="L61" s="454"/>
      <c r="M61" s="454"/>
      <c r="N61" s="454"/>
      <c r="O61" s="454"/>
      <c r="P61" s="454"/>
      <c r="S61" s="538">
        <f>Newquarts!B199</f>
        <v>0.2</v>
      </c>
      <c r="T61" s="538">
        <f>Newquarts!C199</f>
        <v>0.22</v>
      </c>
      <c r="U61" s="538">
        <f>Newquarts!D199</f>
        <v>0.16</v>
      </c>
      <c r="V61" s="1036">
        <v>0.16</v>
      </c>
      <c r="W61" s="449"/>
      <c r="X61" s="449"/>
      <c r="Y61" s="449"/>
      <c r="Z61" s="449"/>
    </row>
    <row r="62" spans="2:26">
      <c r="B62" t="str">
        <f t="shared" si="26"/>
        <v>Tanzania (ex Zantel)</v>
      </c>
      <c r="C62" s="454">
        <f>C6*C46</f>
        <v>137829.62962962961</v>
      </c>
      <c r="D62" s="454">
        <f>D6*D46</f>
        <v>144725</v>
      </c>
      <c r="E62" s="454">
        <f>E6*E46</f>
        <v>163288.88888888888</v>
      </c>
      <c r="F62" s="454">
        <f t="shared" si="28"/>
        <v>167395.55555555553</v>
      </c>
      <c r="G62" s="454"/>
      <c r="H62" s="454">
        <f t="shared" si="29"/>
        <v>162288</v>
      </c>
      <c r="I62" s="454">
        <f t="shared" si="29"/>
        <v>172809</v>
      </c>
      <c r="J62" s="454">
        <f t="shared" si="29"/>
        <v>184712</v>
      </c>
      <c r="K62" s="454">
        <f>K6*K46</f>
        <v>190344</v>
      </c>
      <c r="L62" s="454"/>
      <c r="M62" s="454">
        <f>H62*1.13</f>
        <v>183385.43999999997</v>
      </c>
      <c r="N62" s="454">
        <f>I62*1.09</f>
        <v>188361.81000000003</v>
      </c>
      <c r="O62" s="1100">
        <f>O6*O46</f>
        <v>192456</v>
      </c>
      <c r="P62" s="454">
        <f t="shared" ref="P62:P72" si="31">P6*P46</f>
        <v>189840.05742721888</v>
      </c>
      <c r="S62" s="449">
        <f>H62/C62-1</f>
        <v>0.17745364647713235</v>
      </c>
      <c r="T62" s="449">
        <f>I62/D62-1</f>
        <v>0.19405078597339775</v>
      </c>
      <c r="U62" s="449">
        <f>J62/E62-1</f>
        <v>0.13119760479041931</v>
      </c>
      <c r="V62" s="449">
        <f>K62/F62-1</f>
        <v>0.13709112149532721</v>
      </c>
      <c r="W62" s="449">
        <f t="shared" ref="W62:W72" si="32">M62/H62-1</f>
        <v>0.12999999999999989</v>
      </c>
      <c r="X62" s="449">
        <f t="shared" ref="X62:X72" si="33">N62/I62-1</f>
        <v>9.000000000000008E-2</v>
      </c>
      <c r="Y62" s="449">
        <f t="shared" ref="Y62:Y72" si="34">O62/J62-1</f>
        <v>4.1924726060028616E-2</v>
      </c>
      <c r="Z62" s="449">
        <f t="shared" ref="Z62:Z72" si="35">P62/K62-1</f>
        <v>-2.6475358970133867E-3</v>
      </c>
    </row>
    <row r="63" spans="2:26">
      <c r="B63" t="str">
        <f t="shared" si="26"/>
        <v>UNE</v>
      </c>
      <c r="C63" s="454"/>
      <c r="D63" s="454"/>
      <c r="E63" s="454">
        <f>E7*E47</f>
        <v>350350</v>
      </c>
      <c r="F63" s="454">
        <f t="shared" si="28"/>
        <v>685404</v>
      </c>
      <c r="G63" s="454"/>
      <c r="H63" s="454">
        <f t="shared" si="29"/>
        <v>676221</v>
      </c>
      <c r="I63" s="454">
        <f t="shared" si="29"/>
        <v>693275</v>
      </c>
      <c r="J63" s="454">
        <f t="shared" si="29"/>
        <v>709317</v>
      </c>
      <c r="K63" s="454">
        <f>(1+V63)*F63</f>
        <v>767652.4800000001</v>
      </c>
      <c r="L63" s="454"/>
      <c r="M63" s="454">
        <f>M7*M51</f>
        <v>717975</v>
      </c>
      <c r="N63" s="454">
        <f>N7*N51</f>
        <v>711600</v>
      </c>
      <c r="O63" s="454">
        <f>O7*O51</f>
        <v>708720</v>
      </c>
      <c r="P63" s="454">
        <f t="shared" ca="1" si="31"/>
        <v>773961.02255744301</v>
      </c>
      <c r="S63" s="538">
        <f>Newquarts!B201</f>
        <v>4.5999999999999999E-2</v>
      </c>
      <c r="T63" s="538">
        <f>Newquarts!C201</f>
        <v>5.8000000000000003E-2</v>
      </c>
      <c r="U63" s="538">
        <f>Newquarts!D201</f>
        <v>8.6999999999999994E-2</v>
      </c>
      <c r="V63" s="538">
        <v>0.12</v>
      </c>
      <c r="W63" s="449">
        <f t="shared" si="32"/>
        <v>6.1746085968936271E-2</v>
      </c>
      <c r="X63" s="449">
        <f t="shared" si="33"/>
        <v>2.6432512350798687E-2</v>
      </c>
      <c r="Y63" s="449">
        <f t="shared" si="34"/>
        <v>-8.4165471855324192E-4</v>
      </c>
      <c r="Z63" s="449">
        <f t="shared" ca="1" si="35"/>
        <v>8.2179667516255606E-3</v>
      </c>
    </row>
    <row r="64" spans="2:26">
      <c r="B64" t="str">
        <f t="shared" si="26"/>
        <v>Honduras</v>
      </c>
      <c r="C64" s="454">
        <f t="shared" ref="C64:C72" si="36">H64/(1+S64)</f>
        <v>3184.646017699115</v>
      </c>
      <c r="D64" s="454">
        <f t="shared" ref="D64:D72" si="37">I64/(1+T64)</f>
        <v>3259.9999999999995</v>
      </c>
      <c r="E64" s="454">
        <f t="shared" ref="E64:E72" si="38">J64/(1+U64)</f>
        <v>3263.7037037037035</v>
      </c>
      <c r="F64" s="454">
        <f t="shared" si="28"/>
        <v>3536.3016457259801</v>
      </c>
      <c r="G64" s="454"/>
      <c r="H64" s="454">
        <f t="shared" si="29"/>
        <v>3598.6499999999996</v>
      </c>
      <c r="I64" s="454">
        <f t="shared" si="29"/>
        <v>3586</v>
      </c>
      <c r="J64" s="454">
        <f t="shared" si="29"/>
        <v>3524.8</v>
      </c>
      <c r="K64" s="454">
        <f>K8*K48</f>
        <v>3579.03</v>
      </c>
      <c r="L64" s="454"/>
      <c r="M64" s="454">
        <f t="shared" ref="M64:O66" si="39">M8*M48</f>
        <v>3527.16</v>
      </c>
      <c r="N64" s="454">
        <f t="shared" si="39"/>
        <v>3503.5</v>
      </c>
      <c r="O64" s="454">
        <f t="shared" si="39"/>
        <v>3412.1</v>
      </c>
      <c r="P64" s="454">
        <f t="shared" si="31"/>
        <v>3400.6703500000017</v>
      </c>
      <c r="S64" s="449">
        <f>Newquarts!B203</f>
        <v>0.13</v>
      </c>
      <c r="T64" s="449">
        <f>Newquarts!C203</f>
        <v>0.1</v>
      </c>
      <c r="U64" s="449">
        <f>Newquarts!D203</f>
        <v>0.08</v>
      </c>
      <c r="V64" s="449">
        <f>K64/F64-1</f>
        <v>1.2082779851561032E-2</v>
      </c>
      <c r="W64" s="449">
        <f t="shared" si="32"/>
        <v>-1.9865783001958959E-2</v>
      </c>
      <c r="X64" s="449">
        <f t="shared" si="33"/>
        <v>-2.3006134969325132E-2</v>
      </c>
      <c r="Y64" s="449">
        <f t="shared" si="34"/>
        <v>-3.1973445301861192E-2</v>
      </c>
      <c r="Z64" s="449">
        <f t="shared" si="35"/>
        <v>-4.9834633965068376E-2</v>
      </c>
    </row>
    <row r="65" spans="2:26">
      <c r="B65" t="str">
        <f t="shared" si="26"/>
        <v>Bolivia</v>
      </c>
      <c r="C65" s="454">
        <f t="shared" si="36"/>
        <v>810.35454545454536</v>
      </c>
      <c r="D65" s="454">
        <f t="shared" si="37"/>
        <v>811.44954128440361</v>
      </c>
      <c r="E65" s="454">
        <f t="shared" si="38"/>
        <v>850.95370370370358</v>
      </c>
      <c r="F65" s="454">
        <f t="shared" si="28"/>
        <v>899.32220955734761</v>
      </c>
      <c r="G65" s="454"/>
      <c r="H65" s="454">
        <f t="shared" si="29"/>
        <v>891.39</v>
      </c>
      <c r="I65" s="454">
        <f t="shared" si="29"/>
        <v>884.48</v>
      </c>
      <c r="J65" s="454">
        <f t="shared" si="29"/>
        <v>919.03</v>
      </c>
      <c r="K65" s="454">
        <f>K9*K49</f>
        <v>967.4</v>
      </c>
      <c r="L65" s="454"/>
      <c r="M65" s="454">
        <f t="shared" si="39"/>
        <v>939.15777499999967</v>
      </c>
      <c r="N65" s="454">
        <f t="shared" si="39"/>
        <v>919.03</v>
      </c>
      <c r="O65" s="454">
        <f t="shared" si="39"/>
        <v>934.2</v>
      </c>
      <c r="P65" s="454">
        <f t="shared" si="31"/>
        <v>1048.21</v>
      </c>
      <c r="S65" s="449">
        <f>Newquarts!B204</f>
        <v>0.1</v>
      </c>
      <c r="T65" s="449">
        <f>Newquarts!C204</f>
        <v>0.09</v>
      </c>
      <c r="U65" s="449">
        <f>Newquarts!D204</f>
        <v>0.08</v>
      </c>
      <c r="V65" s="449">
        <f>K65/F65-1</f>
        <v>7.5698998333601386E-2</v>
      </c>
      <c r="W65" s="449">
        <f t="shared" si="32"/>
        <v>5.3587963742020461E-2</v>
      </c>
      <c r="X65" s="449">
        <f t="shared" si="33"/>
        <v>3.90625E-2</v>
      </c>
      <c r="Y65" s="449">
        <f t="shared" si="34"/>
        <v>1.6506534063088329E-2</v>
      </c>
      <c r="Z65" s="449">
        <f t="shared" si="35"/>
        <v>8.3533181724209316E-2</v>
      </c>
    </row>
    <row r="66" spans="2:26">
      <c r="B66" t="str">
        <f t="shared" si="26"/>
        <v>Rwanda</v>
      </c>
      <c r="C66" s="454">
        <f t="shared" si="36"/>
        <v>13922.670093750001</v>
      </c>
      <c r="D66" s="454">
        <f t="shared" si="37"/>
        <v>8348.2431559633096</v>
      </c>
      <c r="E66" s="454">
        <f t="shared" si="38"/>
        <v>9322.5189270542578</v>
      </c>
      <c r="F66" s="454">
        <f t="shared" si="28"/>
        <v>11807.792050838867</v>
      </c>
      <c r="G66" s="454"/>
      <c r="H66" s="454">
        <f t="shared" si="29"/>
        <v>13922.670093750001</v>
      </c>
      <c r="I66" s="454">
        <f t="shared" si="29"/>
        <v>9099.5850400000072</v>
      </c>
      <c r="J66" s="454">
        <f t="shared" si="29"/>
        <v>9975.0952519480561</v>
      </c>
      <c r="K66" s="454">
        <f>(1+V66)*F66</f>
        <v>12752.415414905978</v>
      </c>
      <c r="L66" s="454"/>
      <c r="M66" s="454">
        <f>H66*1.08</f>
        <v>15036.483701250001</v>
      </c>
      <c r="N66" s="454">
        <f>I66*1.08</f>
        <v>9827.5518432000081</v>
      </c>
      <c r="O66" s="1100">
        <f t="shared" si="39"/>
        <v>11775</v>
      </c>
      <c r="P66" s="454">
        <f t="shared" si="31"/>
        <v>11920.509800482712</v>
      </c>
      <c r="S66" s="449">
        <f>Newquarts!B205</f>
        <v>0</v>
      </c>
      <c r="T66" s="449">
        <f>Newquarts!C205</f>
        <v>0.09</v>
      </c>
      <c r="U66" s="449">
        <f>Newquarts!D205</f>
        <v>7.0000000000000007E-2</v>
      </c>
      <c r="V66" s="1036">
        <v>0.08</v>
      </c>
      <c r="W66" s="449">
        <f t="shared" si="32"/>
        <v>8.0000000000000071E-2</v>
      </c>
      <c r="X66" s="449">
        <f t="shared" si="33"/>
        <v>8.0000000000000071E-2</v>
      </c>
      <c r="Y66" s="449">
        <f t="shared" si="34"/>
        <v>0.18043985571971732</v>
      </c>
      <c r="Z66" s="449">
        <f t="shared" si="35"/>
        <v>-6.5235140744464126E-2</v>
      </c>
    </row>
    <row r="67" spans="2:26">
      <c r="B67" t="str">
        <f t="shared" si="26"/>
        <v>Colombia mobile</v>
      </c>
      <c r="C67" s="454">
        <f t="shared" si="36"/>
        <v>511642.62295081967</v>
      </c>
      <c r="D67" s="454">
        <f t="shared" si="37"/>
        <v>552371.97452229296</v>
      </c>
      <c r="E67" s="454">
        <f t="shared" si="38"/>
        <v>600016.66666666663</v>
      </c>
      <c r="F67" s="454">
        <f>K67/(1+V67)</f>
        <v>701983.03561643825</v>
      </c>
      <c r="G67" s="454"/>
      <c r="H67" s="454">
        <f t="shared" si="29"/>
        <v>624204</v>
      </c>
      <c r="I67" s="454">
        <f t="shared" si="29"/>
        <v>650418</v>
      </c>
      <c r="J67" s="454">
        <f t="shared" si="29"/>
        <v>648018</v>
      </c>
      <c r="K67" s="454">
        <f t="shared" ref="K67:K72" si="40">K11*K51</f>
        <v>640559.5199999999</v>
      </c>
      <c r="L67" s="454"/>
      <c r="M67" s="454">
        <f t="shared" ref="M67:O72" si="41">M11*M51</f>
        <v>548852</v>
      </c>
      <c r="N67" s="454">
        <f t="shared" si="41"/>
        <v>575210</v>
      </c>
      <c r="O67" s="454">
        <f>O11*O51</f>
        <v>555164</v>
      </c>
      <c r="P67" s="454">
        <f t="shared" si="31"/>
        <v>534523.48151274375</v>
      </c>
      <c r="S67" s="1036">
        <v>0.22</v>
      </c>
      <c r="T67" s="538">
        <v>0.17749999999999999</v>
      </c>
      <c r="U67" s="538">
        <v>0.08</v>
      </c>
      <c r="V67" s="538">
        <v>-8.7499999999999994E-2</v>
      </c>
      <c r="W67" s="449">
        <f t="shared" si="32"/>
        <v>-0.12071694510128095</v>
      </c>
      <c r="X67" s="449">
        <f t="shared" si="33"/>
        <v>-0.11563025623522105</v>
      </c>
      <c r="Y67" s="449">
        <f t="shared" si="34"/>
        <v>-0.14328922962016488</v>
      </c>
      <c r="Z67" s="449">
        <f t="shared" si="35"/>
        <v>-0.165536589772729</v>
      </c>
    </row>
    <row r="68" spans="2:26">
      <c r="B68" t="str">
        <f t="shared" si="26"/>
        <v>El Salvador</v>
      </c>
      <c r="C68" s="454">
        <f t="shared" si="36"/>
        <v>109.9009900990099</v>
      </c>
      <c r="D68" s="454">
        <f t="shared" si="37"/>
        <v>108.7378640776699</v>
      </c>
      <c r="E68" s="454">
        <f t="shared" si="38"/>
        <v>108.35913312693498</v>
      </c>
      <c r="F68" s="454">
        <f>F12*F52</f>
        <v>116.00201269638524</v>
      </c>
      <c r="G68" s="454"/>
      <c r="H68" s="454">
        <f t="shared" si="29"/>
        <v>111</v>
      </c>
      <c r="I68" s="454">
        <f t="shared" si="29"/>
        <v>112</v>
      </c>
      <c r="J68" s="454">
        <f t="shared" si="29"/>
        <v>110.52631578947368</v>
      </c>
      <c r="K68" s="454">
        <f t="shared" si="40"/>
        <v>116.21621621621622</v>
      </c>
      <c r="L68" s="454"/>
      <c r="M68" s="454">
        <f t="shared" si="41"/>
        <v>107.559</v>
      </c>
      <c r="N68" s="454">
        <f t="shared" si="41"/>
        <v>106.17599999999999</v>
      </c>
      <c r="O68" s="454">
        <f>O12*O52</f>
        <v>105</v>
      </c>
      <c r="P68" s="454">
        <f>P12*P52</f>
        <v>85.226080032798961</v>
      </c>
      <c r="S68" s="449">
        <f>Newquarts!B209</f>
        <v>0.01</v>
      </c>
      <c r="T68" s="449">
        <f>Newquarts!C209</f>
        <v>0.03</v>
      </c>
      <c r="U68" s="449">
        <f>Newquarts!D209</f>
        <v>0.02</v>
      </c>
      <c r="V68" s="449">
        <f>K68/F68-1</f>
        <v>1.8465500283311176E-3</v>
      </c>
      <c r="W68" s="449">
        <f t="shared" si="32"/>
        <v>-3.1000000000000028E-2</v>
      </c>
      <c r="X68" s="449">
        <f t="shared" si="33"/>
        <v>-5.2000000000000157E-2</v>
      </c>
      <c r="Y68" s="449">
        <f t="shared" si="34"/>
        <v>-5.0000000000000044E-2</v>
      </c>
      <c r="Z68" s="449">
        <f t="shared" si="35"/>
        <v>-0.26665931134568344</v>
      </c>
    </row>
    <row r="69" spans="2:26">
      <c r="B69" t="str">
        <f t="shared" si="26"/>
        <v>Guatemala</v>
      </c>
      <c r="C69" s="454">
        <f t="shared" si="36"/>
        <v>2357.9540807038834</v>
      </c>
      <c r="D69" s="454">
        <f t="shared" si="37"/>
        <v>2393.3858289768486</v>
      </c>
      <c r="E69" s="454">
        <f t="shared" si="38"/>
        <v>2387.0870238095245</v>
      </c>
      <c r="F69" s="454">
        <f>F13*F53</f>
        <v>2466.6730236664303</v>
      </c>
      <c r="G69" s="454"/>
      <c r="H69" s="454">
        <f t="shared" si="29"/>
        <v>2428.6927031249998</v>
      </c>
      <c r="I69" s="454">
        <f t="shared" si="29"/>
        <v>2465.1874038461542</v>
      </c>
      <c r="J69" s="454">
        <f t="shared" si="29"/>
        <v>2506.4413750000008</v>
      </c>
      <c r="K69" s="454">
        <f t="shared" si="40"/>
        <v>2601</v>
      </c>
      <c r="L69" s="454"/>
      <c r="M69" s="454">
        <f t="shared" si="41"/>
        <v>2457.6</v>
      </c>
      <c r="N69" s="454">
        <f t="shared" si="41"/>
        <v>2472.96</v>
      </c>
      <c r="O69" s="454">
        <f t="shared" si="41"/>
        <v>2355.6</v>
      </c>
      <c r="P69" s="454">
        <f t="shared" si="31"/>
        <v>2377.2286393504619</v>
      </c>
      <c r="S69" s="449">
        <f>Newquarts!B206</f>
        <v>0.03</v>
      </c>
      <c r="T69" s="449">
        <f>Newquarts!C206</f>
        <v>0.03</v>
      </c>
      <c r="U69" s="449">
        <f>Newquarts!D206</f>
        <v>0.05</v>
      </c>
      <c r="V69" s="449">
        <f>K69/F69-1</f>
        <v>5.4456741953543553E-2</v>
      </c>
      <c r="W69" s="449">
        <f t="shared" si="32"/>
        <v>1.1902410229917226E-2</v>
      </c>
      <c r="X69" s="449">
        <f t="shared" si="33"/>
        <v>3.1529433185157885E-3</v>
      </c>
      <c r="Y69" s="449">
        <f t="shared" si="34"/>
        <v>-6.0181489383529185E-2</v>
      </c>
      <c r="Z69" s="449">
        <f t="shared" si="35"/>
        <v>-8.6032818396592936E-2</v>
      </c>
    </row>
    <row r="70" spans="2:26">
      <c r="B70" t="str">
        <f t="shared" si="26"/>
        <v>Paraguay</v>
      </c>
      <c r="C70" s="454">
        <f t="shared" si="36"/>
        <v>834183.42048267298</v>
      </c>
      <c r="D70" s="454">
        <f t="shared" si="37"/>
        <v>842141.53846153861</v>
      </c>
      <c r="E70" s="454">
        <f t="shared" si="38"/>
        <v>852825</v>
      </c>
      <c r="F70" s="454">
        <f>F14*F54</f>
        <v>888689.65878197411</v>
      </c>
      <c r="G70" s="454"/>
      <c r="H70" s="454">
        <f t="shared" si="29"/>
        <v>842525.25468749972</v>
      </c>
      <c r="I70" s="454">
        <f t="shared" si="29"/>
        <v>858984.36923076934</v>
      </c>
      <c r="J70" s="454">
        <f t="shared" si="29"/>
        <v>886938</v>
      </c>
      <c r="K70" s="454">
        <f t="shared" si="40"/>
        <v>904710</v>
      </c>
      <c r="L70" s="454"/>
      <c r="M70" s="454">
        <f t="shared" si="41"/>
        <v>883269</v>
      </c>
      <c r="N70" s="454">
        <f t="shared" si="41"/>
        <v>911088</v>
      </c>
      <c r="O70" s="454">
        <f t="shared" si="41"/>
        <v>899748</v>
      </c>
      <c r="P70" s="454">
        <f t="shared" ca="1" si="31"/>
        <v>847320.98521453899</v>
      </c>
      <c r="S70" s="449">
        <f>Newquarts!B207</f>
        <v>0.01</v>
      </c>
      <c r="T70" s="449">
        <f>Newquarts!C207</f>
        <v>0.02</v>
      </c>
      <c r="U70" s="449">
        <f>Newquarts!D207</f>
        <v>0.04</v>
      </c>
      <c r="V70" s="449">
        <f>K70/F70-1</f>
        <v>1.8026924314594961E-2</v>
      </c>
      <c r="W70" s="449">
        <f t="shared" si="32"/>
        <v>4.8359078954389956E-2</v>
      </c>
      <c r="X70" s="449">
        <f t="shared" si="33"/>
        <v>6.0657251325644035E-2</v>
      </c>
      <c r="Y70" s="449">
        <f t="shared" si="34"/>
        <v>1.4442948661574917E-2</v>
      </c>
      <c r="Z70" s="449">
        <f t="shared" ca="1" si="35"/>
        <v>-6.3433602795880506E-2</v>
      </c>
    </row>
    <row r="71" spans="2:26">
      <c r="B71" t="str">
        <f t="shared" si="26"/>
        <v xml:space="preserve">Costa Rica </v>
      </c>
      <c r="C71" s="454">
        <f t="shared" si="36"/>
        <v>18601.470588235294</v>
      </c>
      <c r="D71" s="454">
        <f t="shared" si="37"/>
        <v>19010.952380952382</v>
      </c>
      <c r="E71" s="454">
        <f t="shared" si="38"/>
        <v>18864.036697247706</v>
      </c>
      <c r="F71" s="454">
        <f>K71/(1+V71)</f>
        <v>18781.541066892463</v>
      </c>
      <c r="G71" s="454"/>
      <c r="H71" s="454">
        <f t="shared" si="29"/>
        <v>18973.5</v>
      </c>
      <c r="I71" s="454">
        <f t="shared" si="29"/>
        <v>19961.5</v>
      </c>
      <c r="J71" s="454">
        <f t="shared" si="29"/>
        <v>20561.8</v>
      </c>
      <c r="K71" s="454">
        <f t="shared" si="40"/>
        <v>22181</v>
      </c>
      <c r="L71" s="454"/>
      <c r="M71" s="454">
        <f t="shared" si="41"/>
        <v>21177</v>
      </c>
      <c r="N71" s="454">
        <f t="shared" si="41"/>
        <v>20748</v>
      </c>
      <c r="O71" s="454">
        <f t="shared" si="41"/>
        <v>21800</v>
      </c>
      <c r="P71" s="454">
        <f t="shared" si="31"/>
        <v>22342.654093152181</v>
      </c>
      <c r="S71" s="538">
        <f>Newquarts!B202</f>
        <v>0.02</v>
      </c>
      <c r="T71" s="538">
        <f>Newquarts!C202</f>
        <v>0.05</v>
      </c>
      <c r="U71" s="538">
        <f>Newquarts!D202</f>
        <v>0.09</v>
      </c>
      <c r="V71" s="538">
        <f>Newquarts!E202</f>
        <v>0.18099999999999999</v>
      </c>
      <c r="W71" s="449">
        <f t="shared" si="32"/>
        <v>0.11613566289825283</v>
      </c>
      <c r="X71" s="449">
        <f t="shared" si="33"/>
        <v>3.9400846629762398E-2</v>
      </c>
      <c r="Y71" s="449">
        <f t="shared" si="34"/>
        <v>6.0218463364102304E-2</v>
      </c>
      <c r="Z71" s="449">
        <f t="shared" si="35"/>
        <v>7.2879533453036327E-3</v>
      </c>
    </row>
    <row r="72" spans="2:26">
      <c r="B72" t="str">
        <f t="shared" si="26"/>
        <v>Chad</v>
      </c>
      <c r="C72" s="454">
        <f t="shared" ca="1" si="36"/>
        <v>21007.14789375</v>
      </c>
      <c r="D72" s="454">
        <f t="shared" ca="1" si="37"/>
        <v>22643.937384615376</v>
      </c>
      <c r="E72" s="454">
        <f t="shared" si="38"/>
        <v>23452.380952380954</v>
      </c>
      <c r="F72" s="454">
        <f ca="1">F16*F56</f>
        <v>22174.954519819883</v>
      </c>
      <c r="G72" s="454"/>
      <c r="H72" s="454">
        <f t="shared" ca="1" si="29"/>
        <v>21007.14789375</v>
      </c>
      <c r="I72" s="454">
        <f t="shared" ca="1" si="29"/>
        <v>21964.619263076915</v>
      </c>
      <c r="J72" s="454">
        <f t="shared" si="29"/>
        <v>23217.857142857145</v>
      </c>
      <c r="K72" s="454">
        <f t="shared" si="40"/>
        <v>24440</v>
      </c>
      <c r="L72" s="454"/>
      <c r="M72" s="454">
        <f ca="1">1.125*H72</f>
        <v>23633.041380468749</v>
      </c>
      <c r="N72" s="454">
        <f ca="1">1.08*I72</f>
        <v>23721.788804123069</v>
      </c>
      <c r="O72" s="1100">
        <f t="shared" si="41"/>
        <v>23800</v>
      </c>
      <c r="P72" s="454">
        <f t="shared" ca="1" si="31"/>
        <v>22506.268648962334</v>
      </c>
      <c r="S72" s="449">
        <f>Newquarts!B210</f>
        <v>0</v>
      </c>
      <c r="T72" s="449">
        <f>Newquarts!C210</f>
        <v>-0.03</v>
      </c>
      <c r="U72" s="449">
        <f>Newquarts!D210</f>
        <v>-0.01</v>
      </c>
      <c r="V72" s="449">
        <f ca="1">K72/F72-1</f>
        <v>0.10214431232116516</v>
      </c>
      <c r="W72" s="449">
        <f t="shared" ca="1" si="32"/>
        <v>0.125</v>
      </c>
      <c r="X72" s="449">
        <f t="shared" ca="1" si="33"/>
        <v>8.0000000000000071E-2</v>
      </c>
      <c r="Y72" s="449">
        <f t="shared" si="34"/>
        <v>2.5073065682202689E-2</v>
      </c>
      <c r="Z72" s="449">
        <f t="shared" ca="1" si="35"/>
        <v>-7.9121577374699936E-2</v>
      </c>
    </row>
    <row r="73" spans="2:26">
      <c r="B73" t="s">
        <v>781</v>
      </c>
      <c r="C73" s="454"/>
      <c r="D73" s="454"/>
      <c r="E73" s="454"/>
      <c r="F73" s="454"/>
      <c r="G73" s="454"/>
      <c r="H73" s="454"/>
      <c r="I73" s="454"/>
      <c r="J73" s="454"/>
      <c r="K73" s="1100">
        <f>K17*K46</f>
        <v>19467</v>
      </c>
      <c r="L73" s="454"/>
      <c r="M73" s="1100">
        <f>M17*M46</f>
        <v>19602</v>
      </c>
      <c r="N73" s="1100">
        <f>N17*N46</f>
        <v>17512</v>
      </c>
      <c r="O73" s="1100">
        <f>O17*O46</f>
        <v>17496</v>
      </c>
      <c r="P73" s="454">
        <f>P17*P46</f>
        <v>21870</v>
      </c>
      <c r="S73" s="449"/>
      <c r="T73" s="449"/>
      <c r="U73" s="449"/>
      <c r="V73" s="449"/>
      <c r="W73" s="449"/>
      <c r="X73" s="449"/>
      <c r="Y73" s="449"/>
      <c r="Z73" s="449">
        <f>P73/K73-1</f>
        <v>0.12343966712898746</v>
      </c>
    </row>
    <row r="74" spans="2:26">
      <c r="C74" s="454"/>
      <c r="D74" s="454"/>
      <c r="E74" s="454"/>
      <c r="F74" s="454"/>
      <c r="G74" s="454"/>
      <c r="H74" s="454"/>
      <c r="I74" s="454"/>
      <c r="J74" s="454"/>
      <c r="K74" s="454"/>
      <c r="L74" s="454"/>
      <c r="M74" s="454"/>
      <c r="N74" s="454"/>
      <c r="O74" s="454"/>
      <c r="P74" s="454"/>
      <c r="S74" s="449"/>
      <c r="T74" s="449"/>
      <c r="U74" s="449"/>
      <c r="V74" s="449"/>
      <c r="W74" s="449"/>
      <c r="X74" s="449"/>
      <c r="Y74" s="449"/>
      <c r="Z74" s="449"/>
    </row>
    <row r="75" spans="2:26">
      <c r="B75" t="s">
        <v>1665</v>
      </c>
      <c r="C75" s="454"/>
      <c r="D75" s="454"/>
      <c r="E75" s="454"/>
      <c r="F75" s="454"/>
      <c r="G75" s="454"/>
      <c r="H75" s="454"/>
      <c r="I75" s="454"/>
      <c r="J75" s="454"/>
      <c r="K75" s="454"/>
      <c r="L75" s="454"/>
      <c r="M75" s="454"/>
      <c r="N75" s="454"/>
      <c r="O75" s="454"/>
      <c r="P75" s="454"/>
      <c r="S75" s="449"/>
      <c r="T75" s="449"/>
      <c r="U75" s="449"/>
      <c r="V75" s="449"/>
      <c r="W75" s="449"/>
      <c r="X75" s="449"/>
      <c r="Y75" s="449"/>
      <c r="Z75" s="449"/>
    </row>
    <row r="76" spans="2:26">
      <c r="B76" t="s">
        <v>2324</v>
      </c>
      <c r="C76" s="454"/>
      <c r="D76" s="454"/>
      <c r="E76" s="454"/>
      <c r="F76" s="454">
        <f>F63+F67</f>
        <v>1387387.0356164384</v>
      </c>
      <c r="G76" s="454"/>
      <c r="H76" s="454">
        <f t="shared" ref="H76:P76" si="42">H63+H67</f>
        <v>1300425</v>
      </c>
      <c r="I76" s="454">
        <f t="shared" si="42"/>
        <v>1343693</v>
      </c>
      <c r="J76" s="454">
        <f t="shared" si="42"/>
        <v>1357335</v>
      </c>
      <c r="K76" s="454">
        <f>K63+K67</f>
        <v>1408212</v>
      </c>
      <c r="L76" s="454"/>
      <c r="M76" s="454">
        <f t="shared" si="42"/>
        <v>1266827</v>
      </c>
      <c r="N76" s="454">
        <f t="shared" si="42"/>
        <v>1286810</v>
      </c>
      <c r="O76" s="454">
        <f t="shared" si="42"/>
        <v>1263884</v>
      </c>
      <c r="P76" s="454">
        <f t="shared" ca="1" si="42"/>
        <v>1308484.5040701868</v>
      </c>
      <c r="S76" s="456">
        <f>Newquarts!B212</f>
        <v>0</v>
      </c>
      <c r="T76" s="456">
        <f>Newquarts!C212</f>
        <v>0</v>
      </c>
      <c r="U76" s="456">
        <f>Newquarts!D212</f>
        <v>0</v>
      </c>
      <c r="V76" s="456">
        <f>K76/F76-1</f>
        <v>1.5010205406964072E-2</v>
      </c>
      <c r="W76" s="456">
        <f>M76/H76-1</f>
        <v>-2.5836168944768034E-2</v>
      </c>
      <c r="X76" s="456">
        <f>N76/I76-1</f>
        <v>-4.2333330604535369E-2</v>
      </c>
      <c r="Y76" s="456">
        <f>O76/J76-1</f>
        <v>-6.8848884026419421E-2</v>
      </c>
      <c r="Z76" s="456">
        <f ca="1">P76/K76-1</f>
        <v>-7.0818524433688412E-2</v>
      </c>
    </row>
    <row r="77" spans="2:26">
      <c r="C77" s="454"/>
      <c r="D77" s="454"/>
      <c r="E77" s="454"/>
      <c r="F77" s="454"/>
      <c r="G77" s="454"/>
      <c r="H77" s="454"/>
      <c r="I77" s="454"/>
      <c r="J77" s="454"/>
      <c r="K77" s="454"/>
      <c r="L77" s="454"/>
      <c r="M77" s="454"/>
      <c r="N77" s="454"/>
      <c r="O77" s="454"/>
      <c r="P77" s="454"/>
      <c r="S77" s="449"/>
      <c r="T77" s="449"/>
      <c r="U77" s="449"/>
      <c r="V77" s="449"/>
      <c r="W77" s="449"/>
      <c r="X77" s="449"/>
      <c r="Y77" s="449"/>
      <c r="Z77" s="449"/>
    </row>
    <row r="78" spans="2:26">
      <c r="B78" t="s">
        <v>4087</v>
      </c>
      <c r="C78" s="454"/>
      <c r="D78" s="454"/>
      <c r="E78" s="454"/>
      <c r="F78" s="456">
        <v>0.15</v>
      </c>
      <c r="G78" s="454"/>
      <c r="H78" s="456">
        <v>0.06</v>
      </c>
      <c r="I78" s="456">
        <v>0.04</v>
      </c>
      <c r="J78" s="456">
        <v>0.03</v>
      </c>
      <c r="K78" s="456">
        <v>-0.01</v>
      </c>
      <c r="L78" s="454"/>
      <c r="M78" s="456">
        <v>-4.0000000000000001E-3</v>
      </c>
      <c r="N78" s="456">
        <v>-4.2999999999999997E-2</v>
      </c>
      <c r="O78" s="456">
        <v>-7.8E-2</v>
      </c>
      <c r="P78" s="454"/>
      <c r="S78" s="449"/>
      <c r="T78" s="449"/>
      <c r="U78" s="449"/>
      <c r="V78" s="449"/>
      <c r="W78" s="449"/>
      <c r="X78" s="449"/>
      <c r="Y78" s="449"/>
      <c r="Z78" s="449"/>
    </row>
    <row r="79" spans="2:26">
      <c r="C79" s="454"/>
      <c r="D79" s="454"/>
      <c r="E79" s="454"/>
      <c r="F79" s="456"/>
      <c r="G79" s="454"/>
      <c r="H79" s="456"/>
      <c r="I79" s="456"/>
      <c r="J79" s="456"/>
      <c r="K79" s="456"/>
      <c r="L79" s="454"/>
      <c r="M79" s="456"/>
      <c r="N79" s="456"/>
      <c r="O79" s="456"/>
      <c r="P79" s="454"/>
      <c r="S79" s="449"/>
      <c r="T79" s="449"/>
      <c r="U79" s="449"/>
      <c r="V79" s="449"/>
      <c r="W79" s="449"/>
      <c r="X79" s="449"/>
      <c r="Y79" s="449"/>
      <c r="Z79" s="449"/>
    </row>
    <row r="80" spans="2:26">
      <c r="B80" s="478" t="s">
        <v>2379</v>
      </c>
      <c r="C80" s="454"/>
      <c r="D80" s="454"/>
      <c r="E80" s="454"/>
      <c r="F80" s="456"/>
      <c r="G80" s="454"/>
      <c r="H80" s="456"/>
      <c r="I80" s="456"/>
      <c r="J80" s="456"/>
      <c r="K80" s="456"/>
      <c r="L80" s="454"/>
      <c r="M80" s="456">
        <v>-1.2999999999999999E-2</v>
      </c>
      <c r="N80" s="456">
        <v>-8.0000000000000002E-3</v>
      </c>
      <c r="O80" s="456"/>
      <c r="P80" s="454"/>
      <c r="S80" s="449"/>
      <c r="T80" s="449"/>
      <c r="U80" s="449"/>
      <c r="V80" s="449"/>
      <c r="W80" s="449"/>
      <c r="X80" s="449"/>
      <c r="Y80" s="449"/>
      <c r="Z80" s="449"/>
    </row>
    <row r="81" spans="2:26">
      <c r="C81" s="454"/>
      <c r="D81" s="454"/>
      <c r="E81" s="454"/>
      <c r="F81" s="456"/>
      <c r="G81" s="454"/>
      <c r="H81" s="456"/>
      <c r="I81" s="456"/>
      <c r="J81" s="456"/>
      <c r="K81" s="456"/>
      <c r="L81" s="454"/>
      <c r="M81" s="456"/>
      <c r="N81" s="456"/>
      <c r="O81" s="456"/>
      <c r="P81" s="454"/>
      <c r="S81" s="449"/>
      <c r="T81" s="449"/>
      <c r="U81" s="449"/>
      <c r="V81" s="449"/>
      <c r="W81" s="449"/>
      <c r="X81" s="449"/>
      <c r="Y81" s="449"/>
      <c r="Z81" s="449"/>
    </row>
    <row r="82" spans="2:26" ht="15.75" thickBot="1"/>
    <row r="83" spans="2:26">
      <c r="B83" s="1005" t="s">
        <v>4103</v>
      </c>
      <c r="C83" s="1066" t="str">
        <f>C2</f>
        <v>Q1 14</v>
      </c>
      <c r="D83" s="1066" t="str">
        <f>D2</f>
        <v>Q2 14</v>
      </c>
      <c r="E83" s="1066" t="str">
        <f>E2</f>
        <v>Q3 14</v>
      </c>
      <c r="F83" s="1066" t="str">
        <f>F2</f>
        <v>Q4 14</v>
      </c>
      <c r="G83" s="1066"/>
      <c r="H83" s="1066" t="str">
        <f>H2</f>
        <v>Q1 15</v>
      </c>
      <c r="I83" s="1066" t="str">
        <f>I2</f>
        <v>Q2 15</v>
      </c>
      <c r="J83" s="1066" t="str">
        <f>J2</f>
        <v>Q3 15</v>
      </c>
      <c r="K83" s="1066" t="str">
        <f>K2</f>
        <v>Q4 15</v>
      </c>
      <c r="L83" s="1066"/>
      <c r="M83" s="1066" t="str">
        <f>M2</f>
        <v>Q1 16</v>
      </c>
      <c r="N83" s="1066" t="str">
        <f>N2</f>
        <v>Q2 16</v>
      </c>
      <c r="O83" s="1066" t="str">
        <f>O2</f>
        <v>Q3 16</v>
      </c>
      <c r="P83" s="1007"/>
      <c r="S83">
        <f>200*2/3</f>
        <v>133.33333333333334</v>
      </c>
    </row>
    <row r="84" spans="2:26">
      <c r="B84" s="1067" t="s">
        <v>4102</v>
      </c>
      <c r="P84" s="1057"/>
      <c r="S84">
        <f>S83*(1-0.28)</f>
        <v>96</v>
      </c>
    </row>
    <row r="85" spans="2:26">
      <c r="B85" s="1010" t="s">
        <v>1828</v>
      </c>
      <c r="C85" s="456">
        <v>-8.9999999999999993E-3</v>
      </c>
      <c r="D85" s="456">
        <v>-8.9999999999999993E-3</v>
      </c>
      <c r="E85" s="456">
        <v>-3.0000000000000001E-3</v>
      </c>
      <c r="F85" s="456">
        <v>1.2999999999999999E-2</v>
      </c>
      <c r="G85" s="456"/>
      <c r="H85" s="456">
        <v>3.5000000000000003E-2</v>
      </c>
      <c r="I85" s="456">
        <v>0.04</v>
      </c>
      <c r="J85" s="456">
        <v>4.5999999999999999E-2</v>
      </c>
      <c r="K85" s="456">
        <v>0.04</v>
      </c>
      <c r="L85" s="456"/>
      <c r="M85" s="456">
        <v>1.5657101668368437E-2</v>
      </c>
      <c r="N85" s="456">
        <v>-1.034062333411437E-2</v>
      </c>
      <c r="O85" s="456">
        <v>-3.5999999999999997E-2</v>
      </c>
      <c r="P85" s="1057"/>
      <c r="S85">
        <f>1/(10%)</f>
        <v>10</v>
      </c>
    </row>
    <row r="86" spans="2:26">
      <c r="B86" s="1010" t="s">
        <v>1697</v>
      </c>
      <c r="C86" s="456">
        <v>0.15</v>
      </c>
      <c r="D86" s="456">
        <v>0.14499999999999999</v>
      </c>
      <c r="E86" s="456">
        <v>0.109</v>
      </c>
      <c r="F86" s="456">
        <v>7.3999999999999996E-2</v>
      </c>
      <c r="G86" s="456"/>
      <c r="H86" s="456">
        <v>3.2000000000000001E-2</v>
      </c>
      <c r="I86" s="456">
        <v>3.3000000000000002E-2</v>
      </c>
      <c r="J86" s="456">
        <v>4.4999999999999998E-2</v>
      </c>
      <c r="K86" s="456">
        <v>5.2999999999999999E-2</v>
      </c>
      <c r="L86" s="456"/>
      <c r="M86" s="456">
        <v>4.2215276156109718E-2</v>
      </c>
      <c r="N86" s="456">
        <v>2.4835351799661735E-2</v>
      </c>
      <c r="O86" s="456">
        <v>-7.0000000000000001E-3</v>
      </c>
      <c r="P86" s="1057"/>
      <c r="S86">
        <f>S84*S85</f>
        <v>960</v>
      </c>
    </row>
    <row r="87" spans="2:26">
      <c r="B87" s="1010" t="s">
        <v>1831</v>
      </c>
      <c r="C87" s="456">
        <v>0.108</v>
      </c>
      <c r="D87" s="456">
        <v>0.13900000000000001</v>
      </c>
      <c r="E87" s="456">
        <v>0.123</v>
      </c>
      <c r="F87" s="456">
        <v>0.127</v>
      </c>
      <c r="G87" s="456"/>
      <c r="H87" s="456">
        <v>0.158</v>
      </c>
      <c r="I87" s="456">
        <v>0.153</v>
      </c>
      <c r="J87" s="456">
        <v>0.113</v>
      </c>
      <c r="K87" s="456">
        <v>0.13500000000000001</v>
      </c>
      <c r="L87" s="456"/>
      <c r="M87" s="456">
        <v>0.1214961284621742</v>
      </c>
      <c r="N87" s="456">
        <v>9.7952360050249807E-2</v>
      </c>
      <c r="O87" s="456">
        <v>0.112</v>
      </c>
      <c r="P87" s="1057"/>
      <c r="S87">
        <v>47</v>
      </c>
    </row>
    <row r="88" spans="2:26" ht="15.75" thickBot="1">
      <c r="B88" s="1060" t="s">
        <v>884</v>
      </c>
      <c r="C88" s="1061">
        <v>7.4999999999999997E-2</v>
      </c>
      <c r="D88" s="1061">
        <v>7.1999999999999995E-2</v>
      </c>
      <c r="E88" s="1061">
        <v>5.8999999999999997E-2</v>
      </c>
      <c r="F88" s="1061">
        <v>5.7000000000000002E-2</v>
      </c>
      <c r="G88" s="1061"/>
      <c r="H88" s="1061">
        <v>5.6000000000000001E-2</v>
      </c>
      <c r="I88" s="1061">
        <v>5.7000000000000002E-2</v>
      </c>
      <c r="J88" s="1061">
        <v>5.8000000000000003E-2</v>
      </c>
      <c r="K88" s="1061">
        <v>5.8999999999999997E-2</v>
      </c>
      <c r="L88" s="1061"/>
      <c r="M88" s="1061">
        <v>4.1000000000000002E-2</v>
      </c>
      <c r="N88" s="1061">
        <v>2.1000000000000001E-2</v>
      </c>
      <c r="O88" s="1061">
        <v>-2E-3</v>
      </c>
      <c r="P88" s="1063"/>
      <c r="S88">
        <f>S86+S87</f>
        <v>1007</v>
      </c>
    </row>
    <row r="89" spans="2:26" ht="15.75" thickBot="1">
      <c r="S89" s="468">
        <f>S88/SOP!I35</f>
        <v>6.053028618142255</v>
      </c>
      <c r="T89" s="454">
        <f>S89*8.5</f>
        <v>51.450743254209165</v>
      </c>
    </row>
    <row r="90" spans="2:26">
      <c r="B90" s="1056" t="s">
        <v>4100</v>
      </c>
      <c r="C90" s="1006"/>
      <c r="D90" s="1006"/>
      <c r="E90" s="1006"/>
      <c r="F90" s="1006"/>
      <c r="G90" s="1006"/>
      <c r="H90" s="1006"/>
      <c r="I90" s="1006"/>
      <c r="J90" s="1006"/>
      <c r="K90" s="1006"/>
      <c r="L90" s="1006"/>
      <c r="M90" s="1006"/>
      <c r="N90" s="1006"/>
      <c r="O90" s="1006"/>
      <c r="P90" s="1007"/>
    </row>
    <row r="91" spans="2:26">
      <c r="B91" s="1010" t="str">
        <f>Newquarts!A189</f>
        <v>Mobile (voice, internet, other VAS)</v>
      </c>
      <c r="C91" s="456">
        <f>Newquarts!B189</f>
        <v>7.0000000000000007E-2</v>
      </c>
      <c r="D91" s="456">
        <f>Newquarts!C189</f>
        <v>0.06</v>
      </c>
      <c r="E91" s="456">
        <f>Newquarts!D189</f>
        <v>0.05</v>
      </c>
      <c r="F91" s="456">
        <f>Newquarts!E189</f>
        <v>0.04</v>
      </c>
      <c r="H91" s="456">
        <f>Newquarts!F189</f>
        <v>3.5999999999999997E-2</v>
      </c>
      <c r="I91" s="456">
        <f>Newquarts!G189</f>
        <v>3.3000000000000002E-2</v>
      </c>
      <c r="J91" s="456">
        <f>Newquarts!H189</f>
        <v>2.9000000000000001E-2</v>
      </c>
      <c r="K91" s="456">
        <f>Newquarts!I189</f>
        <v>1.2999999999999999E-2</v>
      </c>
      <c r="L91" s="456"/>
      <c r="M91" s="456">
        <f>Newquarts!J189</f>
        <v>0.01</v>
      </c>
      <c r="N91" s="456">
        <v>-8.9999999999999993E-3</v>
      </c>
      <c r="O91" s="456"/>
      <c r="P91" s="1057"/>
    </row>
    <row r="92" spans="2:26">
      <c r="B92" s="1010" t="str">
        <f>Newquarts!A190</f>
        <v>Cable</v>
      </c>
      <c r="C92" s="456">
        <f>Newquarts!B190</f>
        <v>0.13</v>
      </c>
      <c r="D92" s="456">
        <f>Newquarts!C190</f>
        <v>0.16</v>
      </c>
      <c r="E92" s="456">
        <f>Newquarts!D190</f>
        <v>0.11</v>
      </c>
      <c r="F92" s="456">
        <f>Newquarts!E190</f>
        <v>0.15</v>
      </c>
      <c r="H92" s="456">
        <f>Newquarts!F190</f>
        <v>0.18</v>
      </c>
      <c r="I92" s="456">
        <f>Newquarts!G190</f>
        <v>0.246</v>
      </c>
      <c r="J92" s="456">
        <f>Newquarts!H190</f>
        <v>0.252</v>
      </c>
      <c r="K92" s="456">
        <f>Newquarts!I190</f>
        <v>0.17799999999999999</v>
      </c>
      <c r="L92" s="456"/>
      <c r="M92" s="456">
        <f>Newquarts!J190</f>
        <v>0.112</v>
      </c>
      <c r="N92" s="456">
        <v>7.6999999999999999E-2</v>
      </c>
      <c r="O92" s="456"/>
      <c r="P92" s="1057"/>
    </row>
    <row r="93" spans="2:26">
      <c r="B93" s="1010" t="str">
        <f>Newquarts!A191</f>
        <v>MFS</v>
      </c>
      <c r="C93" s="456">
        <f>Newquarts!B191</f>
        <v>0.49</v>
      </c>
      <c r="D93" s="456">
        <f>Newquarts!C191</f>
        <v>0.41</v>
      </c>
      <c r="E93" s="456">
        <f>Newquarts!D191</f>
        <v>0.45</v>
      </c>
      <c r="F93" s="456">
        <f>Newquarts!E191</f>
        <v>0.53</v>
      </c>
      <c r="H93" s="456">
        <f>Newquarts!F191</f>
        <v>0.42899999999999999</v>
      </c>
      <c r="I93" s="456">
        <f>Newquarts!G191</f>
        <v>0.38</v>
      </c>
      <c r="J93" s="456">
        <f>Newquarts!H191</f>
        <v>0.23100000000000001</v>
      </c>
      <c r="K93" s="456">
        <f>Newquarts!I191</f>
        <v>0.13</v>
      </c>
      <c r="L93" s="456"/>
      <c r="M93" s="456">
        <f>Newquarts!J191</f>
        <v>0.184</v>
      </c>
      <c r="N93" s="456">
        <v>0.23799999999999999</v>
      </c>
      <c r="O93" s="456"/>
      <c r="P93" s="1057"/>
    </row>
    <row r="94" spans="2:26">
      <c r="B94" s="1058" t="str">
        <f>Newquarts!A192</f>
        <v>Other</v>
      </c>
      <c r="C94" s="561">
        <f>Newquarts!B192</f>
        <v>0.22</v>
      </c>
      <c r="D94" s="561">
        <f>Newquarts!C192</f>
        <v>0.27</v>
      </c>
      <c r="E94" s="561">
        <f>Newquarts!D192</f>
        <v>0.5</v>
      </c>
      <c r="F94" s="561">
        <f>Newquarts!E192</f>
        <v>0.7</v>
      </c>
      <c r="G94" s="455"/>
      <c r="H94" s="561">
        <f>Newquarts!F192</f>
        <v>0.64600000000000002</v>
      </c>
      <c r="I94" s="561">
        <f>Newquarts!G192</f>
        <v>0.42399999999999999</v>
      </c>
      <c r="J94" s="561">
        <f>Newquarts!H192</f>
        <v>0.246</v>
      </c>
      <c r="K94" s="561">
        <f>Newquarts!I192</f>
        <v>-5.5E-2</v>
      </c>
      <c r="L94" s="561"/>
      <c r="M94" s="561">
        <f>Newquarts!J192</f>
        <v>0.20799999999999999</v>
      </c>
      <c r="N94" s="561">
        <f>Newquarts!K192</f>
        <v>0.24</v>
      </c>
      <c r="O94" s="561"/>
      <c r="P94" s="1059"/>
    </row>
    <row r="95" spans="2:26">
      <c r="B95" s="1065" t="s">
        <v>4101</v>
      </c>
      <c r="C95" s="456">
        <f>C88</f>
        <v>7.4999999999999997E-2</v>
      </c>
      <c r="D95" s="456">
        <f t="shared" ref="D95:O95" si="43">D88</f>
        <v>7.1999999999999995E-2</v>
      </c>
      <c r="E95" s="456">
        <f t="shared" si="43"/>
        <v>5.8999999999999997E-2</v>
      </c>
      <c r="F95" s="456">
        <f t="shared" si="43"/>
        <v>5.7000000000000002E-2</v>
      </c>
      <c r="G95" s="456"/>
      <c r="H95" s="456">
        <f t="shared" si="43"/>
        <v>5.6000000000000001E-2</v>
      </c>
      <c r="I95" s="456">
        <f t="shared" si="43"/>
        <v>5.7000000000000002E-2</v>
      </c>
      <c r="J95" s="456">
        <f t="shared" si="43"/>
        <v>5.8000000000000003E-2</v>
      </c>
      <c r="K95" s="456">
        <f t="shared" si="43"/>
        <v>5.8999999999999997E-2</v>
      </c>
      <c r="L95" s="456"/>
      <c r="M95" s="456">
        <f t="shared" si="43"/>
        <v>4.1000000000000002E-2</v>
      </c>
      <c r="N95" s="456">
        <f t="shared" si="43"/>
        <v>2.1000000000000001E-2</v>
      </c>
      <c r="O95" s="456">
        <f t="shared" si="43"/>
        <v>-2E-3</v>
      </c>
      <c r="P95" s="1057"/>
    </row>
    <row r="96" spans="2:26" ht="15.75" thickBot="1">
      <c r="B96" s="1064" t="str">
        <f>Newquarts!A194</f>
        <v>Total</v>
      </c>
      <c r="C96" s="1061">
        <f>Newquarts!B194</f>
        <v>8.5000000000000006E-2</v>
      </c>
      <c r="D96" s="1061">
        <f>Newquarts!C194</f>
        <v>0.09</v>
      </c>
      <c r="E96" s="1061">
        <f>Newquarts!D194</f>
        <v>8.5999999999999993E-2</v>
      </c>
      <c r="F96" s="1061">
        <f>Newquarts!E194</f>
        <v>0.108</v>
      </c>
      <c r="G96" s="1062"/>
      <c r="H96" s="1061">
        <f>Newquarts!F194</f>
        <v>9.7000000000000003E-2</v>
      </c>
      <c r="I96" s="1061">
        <f>Newquarts!G194</f>
        <v>0.09</v>
      </c>
      <c r="J96" s="1061">
        <f>Newquarts!H194</f>
        <v>7.1999999999999995E-2</v>
      </c>
      <c r="K96" s="1061">
        <f>Newquarts!I194</f>
        <v>4.3999999999999997E-2</v>
      </c>
      <c r="L96" s="1061"/>
      <c r="M96" s="1061">
        <f>Newquarts!J194</f>
        <v>2.1000000000000001E-2</v>
      </c>
      <c r="N96" s="1061">
        <f>Newquarts!K194</f>
        <v>5.0000000000000001E-3</v>
      </c>
      <c r="O96" s="1061">
        <v>-0.02</v>
      </c>
      <c r="P96" s="1109">
        <f ca="1">Z34-1.8%</f>
        <v>-5.4412316148392245E-2</v>
      </c>
      <c r="R96" s="456">
        <f ca="1">AVERAGE(M96:P96)</f>
        <v>-1.210307903709806E-2</v>
      </c>
    </row>
    <row r="98" spans="2:24">
      <c r="B98" s="487" t="s">
        <v>3357</v>
      </c>
      <c r="C98" s="1038" t="str">
        <f t="shared" ref="C98:Q98" si="44">C58</f>
        <v>Q1 14</v>
      </c>
      <c r="D98" s="1038" t="str">
        <f t="shared" si="44"/>
        <v>Q2 14</v>
      </c>
      <c r="E98" s="1038" t="str">
        <f t="shared" si="44"/>
        <v>Q3 14</v>
      </c>
      <c r="F98" s="1038" t="str">
        <f t="shared" si="44"/>
        <v>Q4 14</v>
      </c>
      <c r="G98" s="1038">
        <f t="shared" si="44"/>
        <v>2014</v>
      </c>
      <c r="H98" s="1038" t="str">
        <f t="shared" si="44"/>
        <v>Q1 15</v>
      </c>
      <c r="I98" s="1038" t="str">
        <f t="shared" si="44"/>
        <v>Q2 15</v>
      </c>
      <c r="J98" s="1038" t="str">
        <f t="shared" si="44"/>
        <v>Q3 15</v>
      </c>
      <c r="K98" s="1038" t="str">
        <f t="shared" si="44"/>
        <v>Q4 15</v>
      </c>
      <c r="L98" s="1038">
        <f t="shared" si="44"/>
        <v>2015</v>
      </c>
      <c r="M98" s="1038" t="str">
        <f t="shared" si="44"/>
        <v>Q1 16</v>
      </c>
      <c r="N98" s="1038" t="str">
        <f t="shared" si="44"/>
        <v>Q2 16</v>
      </c>
      <c r="O98" s="1038" t="str">
        <f t="shared" si="44"/>
        <v>Q3 16</v>
      </c>
      <c r="P98" s="1038" t="str">
        <f t="shared" si="44"/>
        <v>Q4 16E</v>
      </c>
      <c r="Q98" s="1038">
        <f t="shared" si="44"/>
        <v>2016</v>
      </c>
    </row>
    <row r="99" spans="2:24">
      <c r="B99" t="str">
        <f>B59</f>
        <v>Ghana</v>
      </c>
      <c r="H99" s="468">
        <f t="shared" ref="H99:K112" si="45">H135*H3</f>
        <v>3.01</v>
      </c>
      <c r="I99" s="468">
        <f t="shared" si="45"/>
        <v>2.7377688442211063</v>
      </c>
      <c r="J99" s="468">
        <f t="shared" si="45"/>
        <v>1.9082914572864329</v>
      </c>
      <c r="K99" s="468">
        <f t="shared" si="45"/>
        <v>2.9239441563375355</v>
      </c>
      <c r="L99" s="454">
        <f>Africa!P161</f>
        <v>10.580004457845074</v>
      </c>
      <c r="M99" s="468">
        <f t="shared" ref="M99:P100" si="46">M135*M3</f>
        <v>6.1957498168945326</v>
      </c>
      <c r="N99" s="468">
        <f t="shared" si="46"/>
        <v>8.5768710041958034</v>
      </c>
      <c r="O99" s="468">
        <f t="shared" si="46"/>
        <v>8.4</v>
      </c>
      <c r="P99" s="468">
        <f t="shared" si="46"/>
        <v>8.0275976062030541</v>
      </c>
      <c r="Q99" s="454">
        <f>SUM(M99:P99)</f>
        <v>31.200218427293386</v>
      </c>
      <c r="X99" s="449">
        <f>O99/O$119</f>
        <v>1.4023372287145243E-2</v>
      </c>
    </row>
    <row r="100" spans="2:24">
      <c r="B100" t="str">
        <f>B60</f>
        <v>Senegal</v>
      </c>
      <c r="H100" s="468">
        <f t="shared" si="45"/>
        <v>2.4079999999999999</v>
      </c>
      <c r="I100" s="468">
        <f t="shared" si="45"/>
        <v>2.2546331658291461</v>
      </c>
      <c r="J100" s="468">
        <f t="shared" si="45"/>
        <v>1.5266331658291463</v>
      </c>
      <c r="K100" s="468">
        <f t="shared" ca="1" si="45"/>
        <v>2.42911454030954</v>
      </c>
      <c r="L100" s="454">
        <f ca="1">Africa!P163</f>
        <v>8.6183808719678314</v>
      </c>
      <c r="M100" s="468">
        <f t="shared" ca="1" si="46"/>
        <v>5.2686812410170534</v>
      </c>
      <c r="N100" s="468">
        <f t="shared" ca="1" si="46"/>
        <v>6.8501409213599338</v>
      </c>
      <c r="O100" s="468">
        <f t="shared" si="46"/>
        <v>7.14</v>
      </c>
      <c r="P100" s="468">
        <f t="shared" ca="1" si="46"/>
        <v>7.0498296199482615</v>
      </c>
      <c r="Q100" s="454">
        <f ca="1">SUM(M100:P100)</f>
        <v>26.308651782325249</v>
      </c>
      <c r="X100" s="449">
        <f t="shared" ref="X100:X113" si="47">O100/O$119</f>
        <v>1.1919866444073455E-2</v>
      </c>
    </row>
    <row r="101" spans="2:24">
      <c r="B101" t="str">
        <f>B61</f>
        <v>DRC</v>
      </c>
      <c r="H101" s="468">
        <f t="shared" si="45"/>
        <v>3.1819999999999999</v>
      </c>
      <c r="I101" s="468">
        <f t="shared" si="45"/>
        <v>2.979336683417086</v>
      </c>
      <c r="J101" s="468">
        <f t="shared" si="45"/>
        <v>2.0173366834170863</v>
      </c>
      <c r="K101" s="468">
        <f t="shared" si="45"/>
        <v>3.3346757841922461</v>
      </c>
      <c r="L101" s="454">
        <f>Africa!P166</f>
        <v>11.513349151026418</v>
      </c>
      <c r="M101" s="468"/>
      <c r="N101" s="468"/>
      <c r="O101" s="468"/>
      <c r="P101" s="468"/>
      <c r="Q101" s="454"/>
      <c r="X101" s="449">
        <f t="shared" si="47"/>
        <v>0</v>
      </c>
    </row>
    <row r="102" spans="2:24">
      <c r="B102" s="478" t="s">
        <v>4047</v>
      </c>
      <c r="H102" s="468">
        <f t="shared" si="45"/>
        <v>33.119999999999997</v>
      </c>
      <c r="I102" s="468">
        <f t="shared" si="45"/>
        <v>31.849999999999998</v>
      </c>
      <c r="J102" s="468">
        <f t="shared" si="45"/>
        <v>30.799999999999997</v>
      </c>
      <c r="K102" s="468">
        <f t="shared" si="45"/>
        <v>30.4</v>
      </c>
      <c r="L102" s="454">
        <f>Africa!P164</f>
        <v>126.16999999999999</v>
      </c>
      <c r="M102" s="454">
        <f>M138*M6</f>
        <v>28.627662809917357</v>
      </c>
      <c r="N102" s="454">
        <f>N138*N6</f>
        <v>29.084646770214714</v>
      </c>
      <c r="O102" s="454">
        <f>O138*O6</f>
        <v>29.744000000000003</v>
      </c>
      <c r="P102" s="454">
        <f>P138*P6</f>
        <v>29.513314826362333</v>
      </c>
      <c r="Q102" s="454">
        <f>SUM(M102:P102)</f>
        <v>116.9696244064944</v>
      </c>
      <c r="X102" s="449">
        <f t="shared" si="47"/>
        <v>4.9656093489148588E-2</v>
      </c>
    </row>
    <row r="103" spans="2:24">
      <c r="B103" t="str">
        <f t="shared" ref="B103:B112" si="48">B63</f>
        <v>UNE</v>
      </c>
      <c r="H103" s="468">
        <f t="shared" si="45"/>
        <v>78.5</v>
      </c>
      <c r="I103" s="468">
        <f t="shared" si="45"/>
        <v>86</v>
      </c>
      <c r="J103" s="468">
        <f t="shared" si="45"/>
        <v>77</v>
      </c>
      <c r="K103" s="468">
        <f t="shared" si="45"/>
        <v>72.561675097783578</v>
      </c>
      <c r="L103" s="454">
        <f>Colombia!L240</f>
        <v>314.06167509778356</v>
      </c>
      <c r="M103" s="454">
        <v>73</v>
      </c>
      <c r="N103" s="454">
        <v>77</v>
      </c>
      <c r="O103" s="454">
        <v>77</v>
      </c>
      <c r="P103" s="468">
        <f ca="1">Q103-M103-N103-O103</f>
        <v>71.897516546773033</v>
      </c>
      <c r="Q103" s="454">
        <f ca="1">Colombia!M240</f>
        <v>298.89751654677303</v>
      </c>
      <c r="X103" s="449">
        <f t="shared" si="47"/>
        <v>0.1285475792988314</v>
      </c>
    </row>
    <row r="104" spans="2:24">
      <c r="B104" t="str">
        <f t="shared" si="48"/>
        <v>Honduras</v>
      </c>
      <c r="H104" s="468">
        <f t="shared" si="45"/>
        <v>69.3</v>
      </c>
      <c r="I104" s="468">
        <f t="shared" si="45"/>
        <v>70.09</v>
      </c>
      <c r="J104" s="468">
        <f t="shared" si="45"/>
        <v>68.8</v>
      </c>
      <c r="K104" s="468">
        <f t="shared" si="45"/>
        <v>67.137</v>
      </c>
      <c r="L104" s="468">
        <f>CA!P116-L111</f>
        <v>275.76000000000005</v>
      </c>
      <c r="M104" s="468">
        <f>M140*M8</f>
        <v>66.611999999999995</v>
      </c>
      <c r="N104" s="468">
        <f>N140*N8</f>
        <v>62.524000000000001</v>
      </c>
      <c r="O104" s="468">
        <v>68</v>
      </c>
      <c r="P104" s="468">
        <f>Q104-M104-N104-O104</f>
        <v>30.749813696806768</v>
      </c>
      <c r="Q104" s="468">
        <f>CA!Q116-Q111</f>
        <v>227.88581369680676</v>
      </c>
      <c r="X104" s="449">
        <f t="shared" si="47"/>
        <v>0.11352253756260434</v>
      </c>
    </row>
    <row r="105" spans="2:24">
      <c r="B105" t="str">
        <f t="shared" si="48"/>
        <v>Bolivia</v>
      </c>
      <c r="H105" s="468">
        <f t="shared" si="45"/>
        <v>47.73</v>
      </c>
      <c r="I105" s="468">
        <f t="shared" si="45"/>
        <v>46.08</v>
      </c>
      <c r="J105" s="468">
        <f t="shared" si="45"/>
        <v>49</v>
      </c>
      <c r="K105" s="468">
        <f t="shared" si="45"/>
        <v>53</v>
      </c>
      <c r="L105" s="454">
        <f>SA!P97</f>
        <v>195.81</v>
      </c>
      <c r="M105" s="468">
        <v>53</v>
      </c>
      <c r="N105" s="468">
        <v>50</v>
      </c>
      <c r="O105" s="468">
        <v>52</v>
      </c>
      <c r="P105" s="468">
        <f ca="1">Q105-M105-N105-O105</f>
        <v>46.07261377811966</v>
      </c>
      <c r="Q105" s="454">
        <f ca="1">SA!Q97</f>
        <v>201.07261377811966</v>
      </c>
      <c r="X105" s="449">
        <f t="shared" si="47"/>
        <v>8.681135225375626E-2</v>
      </c>
    </row>
    <row r="106" spans="2:24">
      <c r="B106" t="str">
        <f t="shared" si="48"/>
        <v>Rwanda</v>
      </c>
      <c r="H106" s="468">
        <f t="shared" si="45"/>
        <v>1.7199999999999998</v>
      </c>
      <c r="I106" s="468">
        <f t="shared" si="45"/>
        <v>1.0467939698492466</v>
      </c>
      <c r="J106" s="468">
        <f t="shared" si="45"/>
        <v>0.74773869346733735</v>
      </c>
      <c r="K106" s="468">
        <f t="shared" si="45"/>
        <v>1.4093881217539233</v>
      </c>
      <c r="L106" s="454">
        <f>Africa!P167</f>
        <v>4.9239207850705071</v>
      </c>
      <c r="M106" s="468">
        <f>M142*M10</f>
        <v>3.3722984554254625</v>
      </c>
      <c r="N106" s="468">
        <f>N142*N10</f>
        <v>2.6595178957113421</v>
      </c>
      <c r="O106" s="468">
        <f>O142*O10</f>
        <v>3.15</v>
      </c>
      <c r="P106" s="468">
        <f>P142*P10</f>
        <v>3.0943226923379101</v>
      </c>
      <c r="Q106" s="454">
        <f>SUM(M106:P106)</f>
        <v>12.276139043474714</v>
      </c>
      <c r="X106" s="449">
        <f t="shared" si="47"/>
        <v>5.2587646076794657E-3</v>
      </c>
    </row>
    <row r="107" spans="2:24">
      <c r="B107" t="str">
        <f t="shared" si="48"/>
        <v>Colombia mobile</v>
      </c>
      <c r="H107" s="468">
        <f t="shared" si="45"/>
        <v>72.240000000000009</v>
      </c>
      <c r="I107" s="468">
        <f t="shared" si="45"/>
        <v>76.964352720450279</v>
      </c>
      <c r="J107" s="468">
        <f t="shared" si="45"/>
        <v>59</v>
      </c>
      <c r="K107" s="468">
        <f>K143*K11</f>
        <v>52.196831812255532</v>
      </c>
      <c r="L107" s="454">
        <f>Colombia!L59</f>
        <v>260.40118453270583</v>
      </c>
      <c r="M107" s="468">
        <f>117-M103</f>
        <v>44</v>
      </c>
      <c r="N107" s="468">
        <f>123+3-N103</f>
        <v>49</v>
      </c>
      <c r="O107" s="468">
        <f>122-O103</f>
        <v>45</v>
      </c>
      <c r="P107" s="468">
        <f>Q107-M107-N107-O107</f>
        <v>44.969507613373025</v>
      </c>
      <c r="Q107" s="454">
        <f>Colombia!M59</f>
        <v>182.96950761337303</v>
      </c>
      <c r="X107" s="449">
        <f t="shared" si="47"/>
        <v>7.512520868113523E-2</v>
      </c>
    </row>
    <row r="108" spans="2:24">
      <c r="B108" t="str">
        <f t="shared" si="48"/>
        <v>El Salvador</v>
      </c>
      <c r="H108" s="468">
        <f t="shared" si="45"/>
        <v>42.18</v>
      </c>
      <c r="I108" s="468">
        <f t="shared" si="45"/>
        <v>41.44</v>
      </c>
      <c r="J108" s="468">
        <f t="shared" si="45"/>
        <v>42</v>
      </c>
      <c r="K108" s="468">
        <f t="shared" si="45"/>
        <v>43</v>
      </c>
      <c r="L108" s="468">
        <f>CA!P114</f>
        <v>168.62</v>
      </c>
      <c r="M108" s="468">
        <v>41</v>
      </c>
      <c r="N108" s="468">
        <v>38</v>
      </c>
      <c r="O108" s="468">
        <v>37</v>
      </c>
      <c r="P108" s="468">
        <f>Q108-M108-N108-O108</f>
        <v>30.435891511889594</v>
      </c>
      <c r="Q108" s="468">
        <f>CA!Q114</f>
        <v>146.43589151188959</v>
      </c>
      <c r="X108" s="449">
        <f t="shared" si="47"/>
        <v>6.1769616026711188E-2</v>
      </c>
    </row>
    <row r="109" spans="2:24">
      <c r="B109" t="str">
        <f t="shared" si="48"/>
        <v>Guatemala</v>
      </c>
      <c r="H109" s="468">
        <f t="shared" si="45"/>
        <v>163.77000000000001</v>
      </c>
      <c r="I109" s="468">
        <f t="shared" si="45"/>
        <v>165.95699999999999</v>
      </c>
      <c r="J109" s="468">
        <f t="shared" si="45"/>
        <v>170.078</v>
      </c>
      <c r="K109" s="468">
        <f t="shared" si="45"/>
        <v>170</v>
      </c>
      <c r="L109" s="468">
        <f>CA!P115</f>
        <v>669.80499999999995</v>
      </c>
      <c r="M109" s="468">
        <f>162+8</f>
        <v>170</v>
      </c>
      <c r="N109" s="454">
        <f>157+8.4</f>
        <v>165.4</v>
      </c>
      <c r="O109" s="454">
        <v>150</v>
      </c>
      <c r="P109" s="468">
        <f>Q109-M109-N109-O109</f>
        <v>175.06283144444683</v>
      </c>
      <c r="Q109" s="468">
        <f>CA!Q115</f>
        <v>660.46283144444681</v>
      </c>
      <c r="X109" s="449">
        <f t="shared" si="47"/>
        <v>0.25041736227045075</v>
      </c>
    </row>
    <row r="110" spans="2:24">
      <c r="B110" t="str">
        <f t="shared" si="48"/>
        <v>Paraguay</v>
      </c>
      <c r="H110" s="468">
        <f t="shared" si="45"/>
        <v>80.712000000000003</v>
      </c>
      <c r="I110" s="468">
        <f t="shared" si="45"/>
        <v>76.5</v>
      </c>
      <c r="J110" s="468">
        <f t="shared" si="45"/>
        <v>76.36</v>
      </c>
      <c r="K110" s="468">
        <f t="shared" si="45"/>
        <v>71</v>
      </c>
      <c r="L110" s="454">
        <f>SA!P98</f>
        <v>300.22714036951055</v>
      </c>
      <c r="M110" s="454">
        <f>M146*M14</f>
        <v>69.615000000000009</v>
      </c>
      <c r="N110" s="454">
        <f>N146*N14</f>
        <v>75.492000000000004</v>
      </c>
      <c r="O110" s="454">
        <v>77</v>
      </c>
      <c r="P110" s="468">
        <f ca="1">Q110-M110-N110-O110</f>
        <v>65.40658022339062</v>
      </c>
      <c r="Q110" s="454">
        <f ca="1">SA!Q98</f>
        <v>287.51358022339065</v>
      </c>
      <c r="X110" s="449">
        <f t="shared" si="47"/>
        <v>0.1285475792988314</v>
      </c>
    </row>
    <row r="111" spans="2:24">
      <c r="B111" t="str">
        <f t="shared" si="48"/>
        <v xml:space="preserve">Costa Rica </v>
      </c>
      <c r="H111" s="468">
        <f t="shared" si="45"/>
        <v>13.685</v>
      </c>
      <c r="I111" s="468">
        <f t="shared" si="45"/>
        <v>14.43</v>
      </c>
      <c r="J111" s="468">
        <f t="shared" si="45"/>
        <v>13.299999999999999</v>
      </c>
      <c r="K111" s="468">
        <f t="shared" si="45"/>
        <v>16.400000000000002</v>
      </c>
      <c r="L111" s="468">
        <f>SUM(H111:K111)</f>
        <v>57.814999999999998</v>
      </c>
      <c r="M111" s="468">
        <f>M147*M15</f>
        <v>14.04</v>
      </c>
      <c r="N111" s="468">
        <f>N147*N15</f>
        <v>13.299999999999999</v>
      </c>
      <c r="O111" s="468">
        <v>15</v>
      </c>
      <c r="P111" s="656">
        <v>14</v>
      </c>
      <c r="Q111" s="468">
        <f>SUM(M111:P111)</f>
        <v>56.339999999999996</v>
      </c>
      <c r="X111" s="449">
        <f t="shared" si="47"/>
        <v>2.5041736227045076E-2</v>
      </c>
    </row>
    <row r="112" spans="2:24">
      <c r="B112" t="str">
        <f t="shared" si="48"/>
        <v>Chad</v>
      </c>
      <c r="H112" s="468">
        <f t="shared" si="45"/>
        <v>12.6</v>
      </c>
      <c r="I112" s="468">
        <f t="shared" si="45"/>
        <v>10.729999999999999</v>
      </c>
      <c r="J112" s="468">
        <f t="shared" si="45"/>
        <v>11</v>
      </c>
      <c r="K112" s="468">
        <f t="shared" si="45"/>
        <v>2</v>
      </c>
      <c r="L112" s="454">
        <f>Africa!P165</f>
        <v>36.33</v>
      </c>
      <c r="M112" s="468">
        <f ca="1">M117-M99-M100-M102-M106-M113</f>
        <v>12.372337190082641</v>
      </c>
      <c r="N112" s="468">
        <f ca="1">N117-N99-N100-N102-N106-N113</f>
        <v>12.915353229785291</v>
      </c>
      <c r="O112" s="468">
        <f>O117-O99-O100-O102-O106-O113</f>
        <v>14.255999999999997</v>
      </c>
      <c r="P112" s="468">
        <f ca="1">P117-P99-P100-P102-P106</f>
        <v>17.441673119996551</v>
      </c>
      <c r="Q112" s="454">
        <f ca="1">SUM(M112:P112)</f>
        <v>56.98536353986448</v>
      </c>
      <c r="X112" s="449">
        <f t="shared" si="47"/>
        <v>2.3799666110183634E-2</v>
      </c>
    </row>
    <row r="113" spans="2:25">
      <c r="B113" s="478" t="s">
        <v>781</v>
      </c>
      <c r="H113" s="468"/>
      <c r="I113" s="468"/>
      <c r="J113" s="468"/>
      <c r="K113" s="468"/>
      <c r="L113" s="454"/>
      <c r="M113" s="468">
        <f ca="1">16-M99-M100-M106</f>
        <v>1.1632704866629506</v>
      </c>
      <c r="N113" s="468">
        <f ca="1">20-N99-N100-N106</f>
        <v>1.9134701787329207</v>
      </c>
      <c r="O113" s="468">
        <f>20-O99-O100-O106</f>
        <v>1.31</v>
      </c>
      <c r="P113" s="656">
        <v>2</v>
      </c>
      <c r="Q113" s="454"/>
      <c r="S113" s="468">
        <f ca="1">M113+M99+M100+M106</f>
        <v>16</v>
      </c>
      <c r="T113" s="468">
        <f ca="1">N113+N99+N100+N106</f>
        <v>20</v>
      </c>
      <c r="U113" s="478" t="s">
        <v>4370</v>
      </c>
      <c r="X113" s="449">
        <f t="shared" si="47"/>
        <v>2.1869782971619366E-3</v>
      </c>
    </row>
    <row r="114" spans="2:25">
      <c r="M114" s="468"/>
      <c r="N114" s="468"/>
      <c r="O114" s="468"/>
      <c r="S114" s="468">
        <f ca="1">M112</f>
        <v>12.372337190082641</v>
      </c>
      <c r="T114" s="468">
        <f ca="1">N112</f>
        <v>12.915353229785291</v>
      </c>
      <c r="U114" s="478" t="s">
        <v>3789</v>
      </c>
    </row>
    <row r="115" spans="2:25">
      <c r="B115" t="s">
        <v>1828</v>
      </c>
      <c r="C115" s="454"/>
      <c r="D115" s="454"/>
      <c r="E115" s="454"/>
      <c r="F115" s="454"/>
      <c r="G115" s="454"/>
      <c r="H115" s="454">
        <f t="shared" ref="H115:P115" si="49">H104+H108+H109+H111</f>
        <v>288.935</v>
      </c>
      <c r="I115" s="454">
        <f t="shared" si="49"/>
        <v>291.91699999999997</v>
      </c>
      <c r="J115" s="454">
        <f t="shared" si="49"/>
        <v>294.178</v>
      </c>
      <c r="K115" s="454">
        <f t="shared" si="49"/>
        <v>296.53699999999998</v>
      </c>
      <c r="L115" s="454">
        <f t="shared" si="49"/>
        <v>1172</v>
      </c>
      <c r="M115" s="454">
        <f>M104+M108+M109+M111+1</f>
        <v>292.65199999999999</v>
      </c>
      <c r="N115" s="454">
        <f>N104+N108+N109+N111+1</f>
        <v>280.22399999999999</v>
      </c>
      <c r="O115" s="454">
        <f>O104+O108+O109+O111+1</f>
        <v>271</v>
      </c>
      <c r="P115" s="454">
        <f t="shared" si="49"/>
        <v>250.24853665314319</v>
      </c>
      <c r="Q115" s="454">
        <f>Q104+Q108+Q109+Q111</f>
        <v>1091.1245366531432</v>
      </c>
      <c r="S115" s="454">
        <f>M102</f>
        <v>28.627662809917357</v>
      </c>
      <c r="T115" s="454">
        <f>N102</f>
        <v>29.084646770214714</v>
      </c>
      <c r="U115" s="478" t="s">
        <v>4371</v>
      </c>
    </row>
    <row r="116" spans="2:25">
      <c r="B116" t="s">
        <v>1697</v>
      </c>
      <c r="C116" s="454"/>
      <c r="D116" s="454"/>
      <c r="E116" s="454"/>
      <c r="F116" s="454"/>
      <c r="G116" s="454"/>
      <c r="H116" s="454">
        <f t="shared" ref="H116:P116" si="50">H103+H107+H105+H110</f>
        <v>279.18200000000002</v>
      </c>
      <c r="I116" s="454">
        <f t="shared" si="50"/>
        <v>285.54435272045026</v>
      </c>
      <c r="J116" s="454">
        <f t="shared" si="50"/>
        <v>261.36</v>
      </c>
      <c r="K116" s="454">
        <f t="shared" si="50"/>
        <v>248.7585069100391</v>
      </c>
      <c r="L116" s="454">
        <f t="shared" si="50"/>
        <v>1070.5</v>
      </c>
      <c r="M116" s="454">
        <v>240</v>
      </c>
      <c r="N116" s="454">
        <f>249+2.6</f>
        <v>251.6</v>
      </c>
      <c r="O116" s="454">
        <f t="shared" si="50"/>
        <v>251</v>
      </c>
      <c r="P116" s="454">
        <f t="shared" ca="1" si="50"/>
        <v>228.34621816165634</v>
      </c>
      <c r="Q116" s="454">
        <f ca="1">Q103+Q107+Q105+Q110</f>
        <v>970.45321816165642</v>
      </c>
      <c r="S116" s="483">
        <f ca="1">S117-S113-S114-S115</f>
        <v>0</v>
      </c>
      <c r="T116" s="483">
        <f ca="1">T117-T113-T114-T115</f>
        <v>0</v>
      </c>
    </row>
    <row r="117" spans="2:25">
      <c r="B117" t="s">
        <v>1831</v>
      </c>
      <c r="C117" s="454"/>
      <c r="D117" s="454"/>
      <c r="E117" s="454"/>
      <c r="F117" s="454"/>
      <c r="G117" s="454"/>
      <c r="H117" s="454">
        <f>H99+H100+H101+H102+H106+H112</f>
        <v>56.04</v>
      </c>
      <c r="I117" s="454">
        <f>I99+I100+I101+I102+I106+I112</f>
        <v>51.598532663316583</v>
      </c>
      <c r="J117" s="454">
        <f>J99+J100+J101+J102+J106+J112</f>
        <v>48</v>
      </c>
      <c r="K117" s="454">
        <f ca="1">K99+K100+K101+K102+K106+K112</f>
        <v>42.497122602593237</v>
      </c>
      <c r="L117" s="454">
        <f ca="1">L99+L100+L101+L102+L106+L112</f>
        <v>198.1356552659098</v>
      </c>
      <c r="M117" s="454">
        <v>57</v>
      </c>
      <c r="N117" s="454">
        <f>62</f>
        <v>62</v>
      </c>
      <c r="O117" s="454">
        <v>64</v>
      </c>
      <c r="P117" s="454">
        <f ca="1">Q117-M117-N117-O117</f>
        <v>65.12673786484811</v>
      </c>
      <c r="Q117" s="454">
        <f ca="1">Div!P49</f>
        <v>248.12673786484811</v>
      </c>
      <c r="R117" s="449"/>
      <c r="S117" s="454">
        <f>M117</f>
        <v>57</v>
      </c>
      <c r="T117" s="454">
        <f>N117</f>
        <v>62</v>
      </c>
    </row>
    <row r="118" spans="2:25">
      <c r="B118" s="487" t="s">
        <v>4367</v>
      </c>
      <c r="C118" s="462"/>
      <c r="D118" s="462"/>
      <c r="E118" s="462"/>
      <c r="F118" s="462"/>
      <c r="G118" s="462"/>
      <c r="H118" s="462"/>
      <c r="I118" s="462"/>
      <c r="J118" s="462"/>
      <c r="K118" s="462">
        <v>7</v>
      </c>
      <c r="L118" s="462">
        <v>7</v>
      </c>
      <c r="M118" s="462">
        <v>0</v>
      </c>
      <c r="N118" s="462">
        <v>6</v>
      </c>
      <c r="O118" s="462">
        <v>13</v>
      </c>
      <c r="P118" s="462">
        <f>Q118-M118-N118-O118</f>
        <v>6</v>
      </c>
      <c r="Q118" s="462">
        <f>Div!P52</f>
        <v>25</v>
      </c>
    </row>
    <row r="119" spans="2:25">
      <c r="B119" s="478" t="s">
        <v>4050</v>
      </c>
      <c r="C119" s="454"/>
      <c r="D119" s="454"/>
      <c r="E119" s="454"/>
      <c r="F119" s="454"/>
      <c r="G119" s="454"/>
      <c r="H119" s="454">
        <f>SUM(H115:H118)</f>
        <v>624.15699999999993</v>
      </c>
      <c r="I119" s="454">
        <f t="shared" ref="I119:P119" si="51">SUM(I115:I118)</f>
        <v>629.05988538376687</v>
      </c>
      <c r="J119" s="454">
        <f t="shared" si="51"/>
        <v>603.53800000000001</v>
      </c>
      <c r="K119" s="454">
        <f t="shared" ca="1" si="51"/>
        <v>594.79262951263229</v>
      </c>
      <c r="L119" s="454">
        <f t="shared" ca="1" si="51"/>
        <v>2447.6356552659099</v>
      </c>
      <c r="M119" s="454">
        <f>SUM(M115:M118)</f>
        <v>589.65200000000004</v>
      </c>
      <c r="N119" s="454">
        <f>SUM(N115:N118)</f>
        <v>599.82399999999996</v>
      </c>
      <c r="O119" s="454">
        <f>SUM(O115:O118)</f>
        <v>599</v>
      </c>
      <c r="P119" s="454">
        <f t="shared" ca="1" si="51"/>
        <v>549.72149267964767</v>
      </c>
      <c r="Q119" s="454">
        <f ca="1">SUM(Q115:Q118)</f>
        <v>2334.704492679648</v>
      </c>
    </row>
    <row r="120" spans="2:25">
      <c r="B120" s="478" t="s">
        <v>133</v>
      </c>
      <c r="C120" s="454"/>
      <c r="D120" s="454"/>
      <c r="E120" s="454"/>
      <c r="F120" s="454"/>
      <c r="G120" s="454"/>
      <c r="H120" s="454">
        <f>Quarts!BL22</f>
        <v>-57</v>
      </c>
      <c r="I120" s="454">
        <f>Quarts!BM22</f>
        <v>-52</v>
      </c>
      <c r="J120" s="454">
        <f>Quarts!BN22</f>
        <v>-50</v>
      </c>
      <c r="K120" s="454">
        <f>Quarts!BO22</f>
        <v>-45</v>
      </c>
      <c r="L120" s="454">
        <f>SUM(H120:K120)</f>
        <v>-204</v>
      </c>
      <c r="M120" s="454">
        <v>-41</v>
      </c>
      <c r="N120" s="454">
        <v>-40</v>
      </c>
      <c r="O120" s="454">
        <v>-37</v>
      </c>
      <c r="P120" s="454">
        <f>Q120-M120-N120-O120</f>
        <v>-47</v>
      </c>
      <c r="Q120" s="454">
        <f>Master!S11</f>
        <v>-165</v>
      </c>
    </row>
    <row r="121" spans="2:25">
      <c r="B121" s="478" t="s">
        <v>575</v>
      </c>
      <c r="C121" s="454"/>
      <c r="D121" s="454"/>
      <c r="E121" s="454"/>
      <c r="F121" s="454"/>
      <c r="G121" s="454"/>
      <c r="H121" s="454">
        <f t="shared" ref="H121:P121" si="52">H119+H120</f>
        <v>567.15699999999993</v>
      </c>
      <c r="I121" s="454">
        <f t="shared" si="52"/>
        <v>577.05988538376687</v>
      </c>
      <c r="J121" s="454">
        <f t="shared" si="52"/>
        <v>553.53800000000001</v>
      </c>
      <c r="K121" s="454">
        <f t="shared" ca="1" si="52"/>
        <v>549.79262951263229</v>
      </c>
      <c r="L121" s="454">
        <f t="shared" ca="1" si="52"/>
        <v>2243.6356552659099</v>
      </c>
      <c r="M121" s="454">
        <f>M119+M120</f>
        <v>548.65200000000004</v>
      </c>
      <c r="N121" s="454">
        <f>N119+N120</f>
        <v>559.82399999999996</v>
      </c>
      <c r="O121" s="454">
        <f>O119+O120</f>
        <v>562</v>
      </c>
      <c r="P121" s="454">
        <f t="shared" ca="1" si="52"/>
        <v>502.72149267964767</v>
      </c>
      <c r="Q121" s="454">
        <f ca="1">Q119+Q120</f>
        <v>2169.704492679648</v>
      </c>
    </row>
    <row r="122" spans="2:25">
      <c r="B122" s="478"/>
      <c r="C122" s="454"/>
      <c r="D122" s="454"/>
      <c r="E122" s="454"/>
      <c r="F122" s="454"/>
      <c r="G122" s="454"/>
      <c r="H122" s="456"/>
      <c r="I122" s="456"/>
      <c r="J122" s="456"/>
      <c r="K122" s="456"/>
      <c r="L122" s="454"/>
      <c r="M122" s="449"/>
      <c r="N122" s="449"/>
      <c r="O122" s="449"/>
      <c r="P122" s="456"/>
    </row>
    <row r="123" spans="2:25">
      <c r="B123" s="478" t="s">
        <v>4407</v>
      </c>
      <c r="C123" s="454"/>
      <c r="D123" s="454"/>
      <c r="E123" s="454"/>
      <c r="F123" s="454"/>
      <c r="G123" s="454"/>
      <c r="H123" s="454">
        <f>H18-H121</f>
        <v>1141.8430000000001</v>
      </c>
      <c r="I123" s="454">
        <f t="shared" ref="I123:P123" si="53">I18-I121</f>
        <v>1126.9401146162331</v>
      </c>
      <c r="J123" s="454">
        <f t="shared" si="53"/>
        <v>1087.462</v>
      </c>
      <c r="K123" s="454">
        <f t="shared" ca="1" si="53"/>
        <v>1125.2073704873678</v>
      </c>
      <c r="L123" s="454">
        <f t="shared" ca="1" si="53"/>
        <v>4474.7589562890971</v>
      </c>
      <c r="M123" s="454">
        <f t="shared" si="53"/>
        <v>979.34799999999996</v>
      </c>
      <c r="N123" s="454">
        <f t="shared" si="53"/>
        <v>1012.176</v>
      </c>
      <c r="O123" s="454">
        <f t="shared" si="53"/>
        <v>993</v>
      </c>
      <c r="P123" s="454">
        <f t="shared" ca="1" si="53"/>
        <v>1043.1596493775851</v>
      </c>
      <c r="S123" s="456">
        <f>Newquarts!B259</f>
        <v>0</v>
      </c>
      <c r="T123" s="456">
        <f>Newquarts!C259</f>
        <v>0</v>
      </c>
      <c r="U123" s="456">
        <f>Newquarts!D259</f>
        <v>0</v>
      </c>
      <c r="V123" s="456"/>
      <c r="W123" s="456">
        <f>M123/H123-1</f>
        <v>-0.14230940680986803</v>
      </c>
      <c r="X123" s="456">
        <f>N123/I123-1</f>
        <v>-0.10183692383274046</v>
      </c>
      <c r="Y123" s="456">
        <f>O123/J123-1</f>
        <v>-8.6864644465737606E-2</v>
      </c>
    </row>
    <row r="124" spans="2:25">
      <c r="B124" s="478"/>
      <c r="C124" s="454"/>
      <c r="D124" s="454"/>
      <c r="E124" s="454"/>
      <c r="F124" s="454"/>
      <c r="G124" s="454"/>
      <c r="H124" s="456"/>
      <c r="I124" s="456"/>
      <c r="J124" s="456"/>
      <c r="K124" s="456"/>
      <c r="L124" s="454"/>
      <c r="M124" s="454"/>
      <c r="N124" s="454"/>
      <c r="O124" s="454"/>
      <c r="P124" s="456"/>
    </row>
    <row r="125" spans="2:25">
      <c r="B125" s="478" t="s">
        <v>2278</v>
      </c>
      <c r="C125" s="454"/>
      <c r="D125" s="454"/>
      <c r="E125" s="454"/>
      <c r="F125" s="454"/>
      <c r="G125" s="454"/>
      <c r="H125" s="454">
        <f>-Quarts!BL20</f>
        <v>-9</v>
      </c>
      <c r="I125" s="454">
        <f>-Quarts!BM20</f>
        <v>-13</v>
      </c>
      <c r="J125" s="454">
        <f>-Quarts!BN20</f>
        <v>-6</v>
      </c>
      <c r="K125" s="454">
        <f>-Quarts!BO20</f>
        <v>-60</v>
      </c>
      <c r="L125" s="454"/>
      <c r="M125" s="454">
        <v>-8</v>
      </c>
      <c r="N125" s="454">
        <v>-18</v>
      </c>
      <c r="O125" s="454">
        <v>-10</v>
      </c>
      <c r="P125" s="454">
        <f>-Master!S13-M125-N125-O125</f>
        <v>-18.040550634459009</v>
      </c>
    </row>
    <row r="126" spans="2:25">
      <c r="B126" s="478" t="s">
        <v>761</v>
      </c>
      <c r="C126" s="454"/>
      <c r="D126" s="454"/>
      <c r="E126" s="454"/>
      <c r="F126" s="454"/>
      <c r="G126" s="454"/>
      <c r="H126" s="454">
        <f>H121+H125</f>
        <v>558.15699999999993</v>
      </c>
      <c r="I126" s="454">
        <f>I121+I125</f>
        <v>564.05988538376687</v>
      </c>
      <c r="J126" s="454">
        <f>J121+J125</f>
        <v>547.53800000000001</v>
      </c>
      <c r="K126" s="454">
        <f ca="1">K121+K125</f>
        <v>489.79262951263229</v>
      </c>
      <c r="L126" s="454"/>
      <c r="M126" s="454">
        <f>M121+M125</f>
        <v>540.65200000000004</v>
      </c>
      <c r="N126" s="454">
        <f>N121+N125</f>
        <v>541.82399999999996</v>
      </c>
      <c r="O126" s="454">
        <f>O121+O125</f>
        <v>552</v>
      </c>
      <c r="P126" s="454">
        <f ca="1">P121+P125</f>
        <v>484.68094204518866</v>
      </c>
    </row>
    <row r="128" spans="2:25">
      <c r="B128" s="1037" t="s">
        <v>152</v>
      </c>
      <c r="M128" s="454"/>
      <c r="N128" s="454"/>
      <c r="O128" s="454"/>
    </row>
    <row r="129" spans="2:16">
      <c r="B129" s="613" t="str">
        <f>B115</f>
        <v>Central America</v>
      </c>
      <c r="C129" s="454"/>
      <c r="D129" s="454"/>
      <c r="E129" s="454"/>
      <c r="F129" s="454"/>
      <c r="G129" s="454"/>
      <c r="H129" s="454">
        <f>Quarts!BL302-H115</f>
        <v>2.0649999999999977</v>
      </c>
      <c r="I129" s="454">
        <f>Quarts!BM302-I115</f>
        <v>-0.91699999999997317</v>
      </c>
      <c r="J129" s="454">
        <f>Quarts!BN302-J115</f>
        <v>-2.1779999999999973</v>
      </c>
      <c r="K129" s="454">
        <f>Quarts!BO302-K115</f>
        <v>1.4630000000000223</v>
      </c>
    </row>
    <row r="130" spans="2:16">
      <c r="B130" s="613" t="str">
        <f>B116</f>
        <v>South America</v>
      </c>
      <c r="C130" s="454"/>
      <c r="D130" s="454"/>
      <c r="E130" s="454"/>
      <c r="F130" s="454"/>
      <c r="G130" s="454"/>
      <c r="H130" s="454">
        <f>Quarts!BL305-H116</f>
        <v>-0.68200000000001637</v>
      </c>
      <c r="I130" s="454">
        <f>Quarts!BM305-I116</f>
        <v>-3.544352720450263</v>
      </c>
      <c r="J130" s="454">
        <f>Quarts!BN305-J116</f>
        <v>-0.36000000000001364</v>
      </c>
      <c r="K130" s="454">
        <f>Quarts!BO305-K116</f>
        <v>0.24149308996089758</v>
      </c>
    </row>
    <row r="131" spans="2:16">
      <c r="B131" s="615" t="str">
        <f>B117</f>
        <v>Africa</v>
      </c>
      <c r="C131" s="462"/>
      <c r="D131" s="462"/>
      <c r="E131" s="462"/>
      <c r="F131" s="462"/>
      <c r="G131" s="462"/>
      <c r="H131" s="462">
        <f>Quarts!BL310-H117</f>
        <v>0.96000000000000085</v>
      </c>
      <c r="I131" s="462">
        <f>Quarts!BM310-I117</f>
        <v>0.40146733668341739</v>
      </c>
      <c r="J131" s="462">
        <f>Quarts!BN310-J117</f>
        <v>0</v>
      </c>
      <c r="K131" s="462">
        <f ca="1">Quarts!BO310-K117</f>
        <v>0.50287739740676329</v>
      </c>
    </row>
    <row r="132" spans="2:16">
      <c r="B132" s="613" t="str">
        <f>B119</f>
        <v>Group (pre one-offs)</v>
      </c>
      <c r="H132" s="454">
        <f>Quarts!BL312-H119</f>
        <v>2.3430000000000746</v>
      </c>
      <c r="I132" s="454">
        <f>Quarts!BM312-I119</f>
        <v>-6.0598853837668685</v>
      </c>
      <c r="J132" s="454">
        <f>Quarts!BN312-J119</f>
        <v>-2.5380000000000109</v>
      </c>
      <c r="K132" s="454">
        <f ca="1">Quarts!BO312-K119</f>
        <v>2.2073704873677116</v>
      </c>
    </row>
    <row r="134" spans="2:16">
      <c r="B134" s="487" t="s">
        <v>1542</v>
      </c>
      <c r="C134" s="1038" t="str">
        <f t="shared" ref="C134:P134" si="54">C98</f>
        <v>Q1 14</v>
      </c>
      <c r="D134" s="1038" t="str">
        <f t="shared" si="54"/>
        <v>Q2 14</v>
      </c>
      <c r="E134" s="1038" t="str">
        <f t="shared" si="54"/>
        <v>Q3 14</v>
      </c>
      <c r="F134" s="1038" t="str">
        <f t="shared" si="54"/>
        <v>Q4 14</v>
      </c>
      <c r="G134" s="1038">
        <f t="shared" si="54"/>
        <v>2014</v>
      </c>
      <c r="H134" s="1038" t="str">
        <f t="shared" si="54"/>
        <v>Q1 15</v>
      </c>
      <c r="I134" s="1038" t="str">
        <f t="shared" si="54"/>
        <v>Q2 15</v>
      </c>
      <c r="J134" s="1038" t="str">
        <f t="shared" si="54"/>
        <v>Q3 15</v>
      </c>
      <c r="K134" s="1038" t="str">
        <f t="shared" si="54"/>
        <v>Q4 15</v>
      </c>
      <c r="L134" s="1038">
        <f t="shared" si="54"/>
        <v>2015</v>
      </c>
      <c r="M134" s="1038" t="str">
        <f t="shared" si="54"/>
        <v>Q1 16</v>
      </c>
      <c r="N134" s="1038" t="str">
        <f t="shared" si="54"/>
        <v>Q2 16</v>
      </c>
      <c r="O134" s="1038" t="str">
        <f>O98</f>
        <v>Q3 16</v>
      </c>
      <c r="P134" s="1038" t="str">
        <f t="shared" si="54"/>
        <v>Q4 16E</v>
      </c>
    </row>
    <row r="135" spans="2:16">
      <c r="B135" t="str">
        <f>B99</f>
        <v>Ghana</v>
      </c>
      <c r="H135" s="456">
        <v>8.5999999999999993E-2</v>
      </c>
      <c r="I135" s="456">
        <v>8.0522613065326654E-2</v>
      </c>
      <c r="J135" s="456">
        <v>5.4522613065326651E-2</v>
      </c>
      <c r="K135" s="456">
        <v>8.3000000000000004E-2</v>
      </c>
      <c r="M135" s="456">
        <v>0.17</v>
      </c>
      <c r="N135" s="456">
        <v>0.21</v>
      </c>
      <c r="O135" s="1099">
        <v>0.21</v>
      </c>
      <c r="P135" s="595">
        <v>0.21</v>
      </c>
    </row>
    <row r="136" spans="2:16">
      <c r="B136" t="str">
        <f>B100</f>
        <v>Senegal</v>
      </c>
      <c r="H136" s="456">
        <v>8.5999999999999993E-2</v>
      </c>
      <c r="I136" s="456">
        <v>8.0522613065326654E-2</v>
      </c>
      <c r="J136" s="456">
        <v>5.4522613065326651E-2</v>
      </c>
      <c r="K136" s="456">
        <v>8.3000000000000004E-2</v>
      </c>
      <c r="M136" s="456">
        <v>0.17</v>
      </c>
      <c r="N136" s="456">
        <v>0.21</v>
      </c>
      <c r="O136" s="1099">
        <v>0.21</v>
      </c>
      <c r="P136" s="456">
        <f>P135</f>
        <v>0.21</v>
      </c>
    </row>
    <row r="137" spans="2:16">
      <c r="B137" t="str">
        <f>B101</f>
        <v>DRC</v>
      </c>
      <c r="H137" s="456">
        <v>8.5999999999999993E-2</v>
      </c>
      <c r="I137" s="456">
        <v>8.0522613065326654E-2</v>
      </c>
      <c r="J137" s="456">
        <v>5.4522613065326651E-2</v>
      </c>
      <c r="K137" s="456">
        <v>8.3000000000000004E-2</v>
      </c>
      <c r="M137" s="456"/>
      <c r="N137" s="456"/>
      <c r="O137" s="1099"/>
      <c r="P137" s="456"/>
    </row>
    <row r="138" spans="2:16">
      <c r="B138" s="478" t="s">
        <v>4048</v>
      </c>
      <c r="H138" s="456">
        <v>0.36</v>
      </c>
      <c r="I138" s="456">
        <v>0.35</v>
      </c>
      <c r="J138" s="456">
        <v>0.35</v>
      </c>
      <c r="K138" s="456">
        <v>0.34545454545454546</v>
      </c>
      <c r="M138" s="456">
        <v>0.34</v>
      </c>
      <c r="N138" s="456">
        <v>0.33800000000000002</v>
      </c>
      <c r="O138" s="1099">
        <v>0.33800000000000002</v>
      </c>
      <c r="P138" s="595">
        <v>0.34</v>
      </c>
    </row>
    <row r="139" spans="2:16">
      <c r="B139" t="str">
        <f t="shared" ref="B139:B148" si="55">B103</f>
        <v>UNE</v>
      </c>
      <c r="H139" s="456">
        <v>0.28754578754578752</v>
      </c>
      <c r="I139" s="456">
        <v>0.31272727272727274</v>
      </c>
      <c r="J139" s="456">
        <v>0.3168724279835391</v>
      </c>
      <c r="K139" s="595">
        <v>0.28999999999999998</v>
      </c>
      <c r="M139" s="456">
        <f>M103/M7</f>
        <v>0.32444444444444442</v>
      </c>
      <c r="N139" s="456">
        <f>N103/N7</f>
        <v>0.32083333333333336</v>
      </c>
      <c r="O139" s="456">
        <f>O103/O7</f>
        <v>0.32083333333333336</v>
      </c>
      <c r="P139" s="456">
        <f ca="1">P103/P7</f>
        <v>0.27915105661153328</v>
      </c>
    </row>
    <row r="140" spans="2:16">
      <c r="B140" t="str">
        <f t="shared" si="55"/>
        <v>Honduras</v>
      </c>
      <c r="H140" s="456">
        <v>0.42</v>
      </c>
      <c r="I140" s="456">
        <v>0.43</v>
      </c>
      <c r="J140" s="456">
        <v>0.43</v>
      </c>
      <c r="K140" s="456">
        <v>0.41699999999999998</v>
      </c>
      <c r="M140" s="456">
        <v>0.42699999999999999</v>
      </c>
      <c r="N140" s="456">
        <v>0.40600000000000003</v>
      </c>
      <c r="O140" s="1099">
        <v>0.40600000000000003</v>
      </c>
      <c r="P140" s="456">
        <f>P104/P8</f>
        <v>0.20887666938850336</v>
      </c>
    </row>
    <row r="141" spans="2:16">
      <c r="B141" t="str">
        <f t="shared" si="55"/>
        <v>Bolivia</v>
      </c>
      <c r="H141" s="456">
        <v>0.37</v>
      </c>
      <c r="I141" s="456">
        <v>0.36</v>
      </c>
      <c r="J141" s="456">
        <v>0.36842105263157893</v>
      </c>
      <c r="K141" s="456">
        <v>0.37857142857142856</v>
      </c>
      <c r="M141" s="456">
        <f>M105/M9</f>
        <v>0.38970588235294118</v>
      </c>
      <c r="N141" s="456">
        <f>N105/N9</f>
        <v>0.37593984962406013</v>
      </c>
      <c r="O141" s="456">
        <f>O105/O9</f>
        <v>0.38518518518518519</v>
      </c>
      <c r="P141" s="456">
        <f ca="1">P105/P9</f>
        <v>0.30371944668225531</v>
      </c>
    </row>
    <row r="142" spans="2:16">
      <c r="B142" t="str">
        <f t="shared" si="55"/>
        <v>Rwanda</v>
      </c>
      <c r="H142" s="456">
        <v>8.5999999999999993E-2</v>
      </c>
      <c r="I142" s="456">
        <v>8.0522613065326654E-2</v>
      </c>
      <c r="J142" s="456">
        <v>5.4522613065326651E-2</v>
      </c>
      <c r="K142" s="456">
        <v>8.3000000000000004E-2</v>
      </c>
      <c r="M142" s="456">
        <v>0.17</v>
      </c>
      <c r="N142" s="456">
        <v>0.21</v>
      </c>
      <c r="O142" s="1099">
        <v>0.21</v>
      </c>
      <c r="P142" s="456">
        <f>P135</f>
        <v>0.21</v>
      </c>
    </row>
    <row r="143" spans="2:16">
      <c r="B143" t="str">
        <f t="shared" si="55"/>
        <v>Colombia mobile</v>
      </c>
      <c r="H143" s="456">
        <v>0.28666666666666668</v>
      </c>
      <c r="I143" s="456">
        <v>0.29831144465290804</v>
      </c>
      <c r="J143" s="456">
        <v>0.26576576576576577</v>
      </c>
      <c r="K143" s="595">
        <v>0.25</v>
      </c>
      <c r="M143" s="456">
        <f t="shared" ref="M143:O145" si="56">M107/M11</f>
        <v>0.2558139534883721</v>
      </c>
      <c r="N143" s="456">
        <f t="shared" si="56"/>
        <v>0.25257731958762886</v>
      </c>
      <c r="O143" s="456">
        <f t="shared" si="56"/>
        <v>0.23936170212765959</v>
      </c>
      <c r="P143" s="456">
        <f t="shared" ref="P143:P149" si="57">P107/P11</f>
        <v>0.25281091486523249</v>
      </c>
    </row>
    <row r="144" spans="2:16">
      <c r="B144" t="str">
        <f t="shared" si="55"/>
        <v>El Salvador</v>
      </c>
      <c r="H144" s="456">
        <v>0.38</v>
      </c>
      <c r="I144" s="456">
        <v>0.37</v>
      </c>
      <c r="J144" s="456">
        <v>0.38</v>
      </c>
      <c r="K144" s="456">
        <v>0.37</v>
      </c>
      <c r="M144" s="456">
        <f t="shared" si="56"/>
        <v>0.38118613970007159</v>
      </c>
      <c r="N144" s="456">
        <f t="shared" si="56"/>
        <v>0.35789632308619657</v>
      </c>
      <c r="O144" s="456">
        <f t="shared" si="56"/>
        <v>0.35238095238095241</v>
      </c>
      <c r="P144" s="456">
        <f t="shared" si="57"/>
        <v>0.35711945803651235</v>
      </c>
    </row>
    <row r="145" spans="2:17">
      <c r="B145" t="str">
        <f t="shared" si="55"/>
        <v>Guatemala</v>
      </c>
      <c r="H145" s="456">
        <v>0.51500000000000001</v>
      </c>
      <c r="I145" s="456">
        <v>0.51700000000000002</v>
      </c>
      <c r="J145" s="456">
        <v>0.52011620795107039</v>
      </c>
      <c r="K145" s="456">
        <v>0.5</v>
      </c>
      <c r="M145" s="456">
        <f t="shared" si="56"/>
        <v>0.53125</v>
      </c>
      <c r="N145" s="456">
        <f t="shared" si="56"/>
        <v>0.51366459627329197</v>
      </c>
      <c r="O145" s="456">
        <f t="shared" si="56"/>
        <v>0.48076923076923078</v>
      </c>
      <c r="P145" s="456">
        <f t="shared" si="57"/>
        <v>0.55378455007253502</v>
      </c>
    </row>
    <row r="146" spans="2:17">
      <c r="B146" t="str">
        <f t="shared" si="55"/>
        <v>Paraguay</v>
      </c>
      <c r="H146" s="456">
        <v>0.45600000000000002</v>
      </c>
      <c r="I146" s="456">
        <v>0.45</v>
      </c>
      <c r="J146" s="456">
        <v>0.46</v>
      </c>
      <c r="K146" s="456">
        <v>0.44654088050314467</v>
      </c>
      <c r="M146" s="456">
        <v>0.45500000000000002</v>
      </c>
      <c r="N146" s="456">
        <v>0.46600000000000003</v>
      </c>
      <c r="O146" s="1099">
        <v>0.46600000000000003</v>
      </c>
      <c r="P146" s="456">
        <f t="shared" ca="1" si="57"/>
        <v>0.44184821541259744</v>
      </c>
    </row>
    <row r="147" spans="2:17">
      <c r="B147" t="str">
        <f t="shared" si="55"/>
        <v xml:space="preserve">Costa Rica </v>
      </c>
      <c r="H147" s="456">
        <v>0.39100000000000001</v>
      </c>
      <c r="I147" s="456">
        <v>0.39</v>
      </c>
      <c r="J147" s="456">
        <v>0.35</v>
      </c>
      <c r="K147" s="456">
        <v>0.4</v>
      </c>
      <c r="M147" s="456">
        <v>0.36</v>
      </c>
      <c r="N147" s="456">
        <v>0.35</v>
      </c>
      <c r="O147" s="1099">
        <v>0.35</v>
      </c>
      <c r="P147" s="456">
        <f t="shared" si="57"/>
        <v>0.33585982975495765</v>
      </c>
    </row>
    <row r="148" spans="2:17">
      <c r="B148" t="str">
        <f t="shared" si="55"/>
        <v>Chad</v>
      </c>
      <c r="H148" s="456">
        <v>0.35</v>
      </c>
      <c r="I148" s="456">
        <v>0.28999999999999998</v>
      </c>
      <c r="J148" s="456">
        <v>0.27999999999999997</v>
      </c>
      <c r="K148" s="456">
        <v>0.05</v>
      </c>
      <c r="M148" s="456">
        <f t="shared" ref="M148:O149" ca="1" si="58">M112/M16</f>
        <v>0.3146346901158848</v>
      </c>
      <c r="N148" s="456">
        <f t="shared" ca="1" si="58"/>
        <v>0.3190483253665391</v>
      </c>
      <c r="O148" s="456">
        <f t="shared" si="58"/>
        <v>0.35639999999999994</v>
      </c>
      <c r="P148" s="456">
        <f t="shared" ca="1" si="57"/>
        <v>0.46963155357186365</v>
      </c>
    </row>
    <row r="149" spans="2:17">
      <c r="B149" s="478" t="s">
        <v>781</v>
      </c>
      <c r="H149" s="456"/>
      <c r="I149" s="456"/>
      <c r="J149" s="456"/>
      <c r="K149" s="456"/>
      <c r="M149" s="456">
        <f t="shared" ca="1" si="58"/>
        <v>0.1292522762958834</v>
      </c>
      <c r="N149" s="456">
        <f t="shared" ca="1" si="58"/>
        <v>0.23918377234161509</v>
      </c>
      <c r="O149" s="456">
        <f t="shared" si="58"/>
        <v>0.16375000000000001</v>
      </c>
      <c r="P149" s="456">
        <f t="shared" si="57"/>
        <v>0.2</v>
      </c>
    </row>
    <row r="151" spans="2:17">
      <c r="B151" s="1081" t="str">
        <f>B115</f>
        <v>Central America</v>
      </c>
      <c r="C151" s="1082"/>
      <c r="D151" s="1082"/>
      <c r="E151" s="1082"/>
      <c r="F151" s="1082"/>
      <c r="G151" s="1082"/>
      <c r="H151" s="1083">
        <f t="shared" ref="H151:K153" si="59">H115/H25</f>
        <v>0.45935612082670907</v>
      </c>
      <c r="I151" s="1083">
        <f t="shared" si="59"/>
        <v>0.46116429699842015</v>
      </c>
      <c r="J151" s="1083">
        <f t="shared" si="59"/>
        <v>0.46288877846790882</v>
      </c>
      <c r="K151" s="1083">
        <f t="shared" si="59"/>
        <v>0.45051609591853486</v>
      </c>
      <c r="L151" s="1082"/>
      <c r="M151" s="1083">
        <f t="shared" ref="M151:P153" si="60">M115/M25</f>
        <v>0.47007914109345461</v>
      </c>
      <c r="N151" s="1083">
        <f t="shared" si="60"/>
        <v>0.45124637681159419</v>
      </c>
      <c r="O151" s="1083">
        <f t="shared" si="60"/>
        <v>0.44867549668874174</v>
      </c>
      <c r="P151" s="1084">
        <f t="shared" si="60"/>
        <v>0.42397319161489933</v>
      </c>
    </row>
    <row r="152" spans="2:17">
      <c r="B152" s="1085" t="str">
        <f>B116</f>
        <v>South America</v>
      </c>
      <c r="H152" s="456">
        <f t="shared" si="59"/>
        <v>0.33595908543922987</v>
      </c>
      <c r="I152" s="456">
        <f t="shared" si="59"/>
        <v>0.34361534623399548</v>
      </c>
      <c r="J152" s="456">
        <f t="shared" si="59"/>
        <v>0.34209424083769635</v>
      </c>
      <c r="K152" s="456">
        <f t="shared" si="59"/>
        <v>0.32817744974939195</v>
      </c>
      <c r="M152" s="456">
        <f t="shared" si="60"/>
        <v>0.3498542274052478</v>
      </c>
      <c r="N152" s="456">
        <f t="shared" si="60"/>
        <v>0.3456043956043956</v>
      </c>
      <c r="O152" s="456">
        <f t="shared" si="60"/>
        <v>0.34573002754820936</v>
      </c>
      <c r="P152" s="623">
        <f t="shared" ca="1" si="60"/>
        <v>0.31060753570624972</v>
      </c>
    </row>
    <row r="153" spans="2:17">
      <c r="B153" s="1086" t="str">
        <f>B117</f>
        <v>Africa</v>
      </c>
      <c r="C153" s="455"/>
      <c r="D153" s="455"/>
      <c r="E153" s="455"/>
      <c r="F153" s="455"/>
      <c r="G153" s="455"/>
      <c r="H153" s="561">
        <f t="shared" si="59"/>
        <v>0.22596774193548386</v>
      </c>
      <c r="I153" s="561">
        <f t="shared" si="59"/>
        <v>0.21499388609715242</v>
      </c>
      <c r="J153" s="561">
        <f t="shared" si="59"/>
        <v>0.19917012448132779</v>
      </c>
      <c r="K153" s="561">
        <f t="shared" ca="1" si="59"/>
        <v>0.16430226533125736</v>
      </c>
      <c r="L153" s="455"/>
      <c r="M153" s="561">
        <f t="shared" ca="1" si="60"/>
        <v>0.25933049280620263</v>
      </c>
      <c r="N153" s="561">
        <f t="shared" si="60"/>
        <v>0.27927927927927926</v>
      </c>
      <c r="O153" s="561">
        <f t="shared" si="60"/>
        <v>0.28444444444444444</v>
      </c>
      <c r="P153" s="1087">
        <f t="shared" ca="1" si="60"/>
        <v>0.2953927571741462</v>
      </c>
    </row>
    <row r="154" spans="2:17">
      <c r="B154" s="1085" t="str">
        <f>B119</f>
        <v>Group (pre one-offs)</v>
      </c>
      <c r="H154" s="456">
        <f>H119/H28</f>
        <v>0.36543149882903975</v>
      </c>
      <c r="I154" s="456">
        <f>I119/I28</f>
        <v>0.36916659940361907</v>
      </c>
      <c r="J154" s="456">
        <f>J119/J28</f>
        <v>0.36789290984921397</v>
      </c>
      <c r="K154" s="456">
        <f ca="1">K119/K28</f>
        <v>0.35512800082036916</v>
      </c>
      <c r="M154" s="456">
        <f ca="1">M119/M28</f>
        <v>0.38580808116713905</v>
      </c>
      <c r="N154" s="456">
        <f>N119/N28</f>
        <v>0.38181031190324632</v>
      </c>
      <c r="O154" s="456">
        <f>O119/O28</f>
        <v>0.38520900321543411</v>
      </c>
      <c r="P154" s="623">
        <f ca="1">P119/P28</f>
        <v>0.35560398385356295</v>
      </c>
    </row>
    <row r="155" spans="2:17">
      <c r="B155" s="1088" t="s">
        <v>4051</v>
      </c>
      <c r="C155" s="454"/>
      <c r="D155" s="454"/>
      <c r="E155" s="454"/>
      <c r="F155" s="454"/>
      <c r="G155" s="454"/>
      <c r="H155" s="456">
        <f t="shared" ref="H155:Q155" si="61">H121/H18</f>
        <v>0.3318648332358104</v>
      </c>
      <c r="I155" s="456">
        <f t="shared" si="61"/>
        <v>0.33865016747873644</v>
      </c>
      <c r="J155" s="456">
        <f t="shared" si="61"/>
        <v>0.33731748933577088</v>
      </c>
      <c r="K155" s="456">
        <f t="shared" ca="1" si="61"/>
        <v>0.32823440567918344</v>
      </c>
      <c r="L155" s="456">
        <f t="shared" ca="1" si="61"/>
        <v>0.33395413413303643</v>
      </c>
      <c r="M155" s="456">
        <f t="shared" si="61"/>
        <v>0.35906544502617804</v>
      </c>
      <c r="N155" s="456">
        <f t="shared" si="61"/>
        <v>0.3561221374045801</v>
      </c>
      <c r="O155" s="456">
        <f>O121/O18</f>
        <v>0.36141479099678459</v>
      </c>
      <c r="P155" s="623">
        <f t="shared" ca="1" si="61"/>
        <v>0.3252006114846801</v>
      </c>
      <c r="Q155" s="456">
        <f t="shared" ca="1" si="61"/>
        <v>0.35193513179935615</v>
      </c>
    </row>
    <row r="156" spans="2:17">
      <c r="B156" s="1085"/>
      <c r="P156" s="618"/>
    </row>
    <row r="157" spans="2:17">
      <c r="B157" s="1086" t="s">
        <v>1665</v>
      </c>
      <c r="C157" s="455"/>
      <c r="D157" s="455"/>
      <c r="E157" s="455"/>
      <c r="F157" s="455"/>
      <c r="G157" s="455"/>
      <c r="H157" s="561">
        <f>(H107+H103)/(H7+H11)</f>
        <v>0.28712380952380956</v>
      </c>
      <c r="I157" s="561">
        <f>(I107+I103)/(I7+I11)</f>
        <v>0.30574925463499114</v>
      </c>
      <c r="J157" s="561">
        <f>(J107+J103)/(J7+J11)</f>
        <v>0.2924731182795699</v>
      </c>
      <c r="K157" s="561">
        <f>(K107+K103)/(K7+K11)</f>
        <v>0.2718050259477976</v>
      </c>
      <c r="L157" s="455"/>
      <c r="M157" s="561">
        <f>(M107+M103)/(M7+M11)</f>
        <v>0.29471032745591941</v>
      </c>
      <c r="N157" s="561">
        <f>(N107+N103)/(N7+N11)</f>
        <v>0.29032258064516131</v>
      </c>
      <c r="O157" s="561">
        <f>(O107+O103)/(O7+O11)</f>
        <v>0.28504672897196259</v>
      </c>
      <c r="P157" s="1087">
        <f ca="1">(P107+P103)/(P7+P11)</f>
        <v>0.26839095649114497</v>
      </c>
    </row>
    <row r="159" spans="2:17">
      <c r="B159" s="478" t="s">
        <v>4076</v>
      </c>
    </row>
    <row r="161" spans="2:15">
      <c r="B161" s="487" t="s">
        <v>2602</v>
      </c>
      <c r="C161" s="495">
        <f t="shared" ref="C161:C177" si="62">G2</f>
        <v>2014</v>
      </c>
      <c r="D161" s="495" t="str">
        <f t="shared" ref="D161:D177" si="63">H2</f>
        <v>Q1 15</v>
      </c>
      <c r="E161" s="495" t="str">
        <f t="shared" ref="E161:E177" si="64">I2</f>
        <v>Q2 15</v>
      </c>
      <c r="F161" s="495" t="str">
        <f t="shared" ref="F161:F177" si="65">J2</f>
        <v>Q3 15</v>
      </c>
      <c r="G161" s="495" t="str">
        <f t="shared" ref="G161:G177" si="66">K2</f>
        <v>Q4 15</v>
      </c>
      <c r="H161" s="495" t="str">
        <f t="shared" ref="H161:I163" si="67">M2</f>
        <v>Q1 16</v>
      </c>
      <c r="I161" s="495" t="str">
        <f t="shared" si="67"/>
        <v>Q2 16</v>
      </c>
      <c r="J161" s="1045" t="e">
        <f>#REF!</f>
        <v>#REF!</v>
      </c>
      <c r="K161" s="1045" t="str">
        <f>P2</f>
        <v>Q4 16E</v>
      </c>
      <c r="M161" s="495"/>
      <c r="N161" s="493"/>
      <c r="O161" s="493"/>
    </row>
    <row r="162" spans="2:15">
      <c r="B162" t="str">
        <f t="shared" ref="B162:B177" si="68">B3</f>
        <v>Ghana</v>
      </c>
      <c r="C162" s="505">
        <f t="shared" si="62"/>
        <v>146</v>
      </c>
      <c r="D162" s="505">
        <f t="shared" si="63"/>
        <v>35</v>
      </c>
      <c r="E162" s="505">
        <f t="shared" si="64"/>
        <v>34</v>
      </c>
      <c r="F162" s="505">
        <f t="shared" si="65"/>
        <v>35</v>
      </c>
      <c r="G162" s="505">
        <f t="shared" si="66"/>
        <v>35.228242847440185</v>
      </c>
      <c r="H162" s="505">
        <f t="shared" si="67"/>
        <v>36.445587158203132</v>
      </c>
      <c r="I162" s="505">
        <f t="shared" si="67"/>
        <v>40.842242877122878</v>
      </c>
      <c r="J162" s="1046" t="e">
        <f>#REF!</f>
        <v>#REF!</v>
      </c>
      <c r="K162" s="1046">
        <f>P3</f>
        <v>38.226655267633589</v>
      </c>
      <c r="M162" s="505"/>
      <c r="N162" s="505"/>
      <c r="O162" s="505"/>
    </row>
    <row r="163" spans="2:15">
      <c r="B163" t="str">
        <f t="shared" si="68"/>
        <v>Senegal</v>
      </c>
      <c r="C163" s="505">
        <f t="shared" ca="1" si="62"/>
        <v>114.94093281724798</v>
      </c>
      <c r="D163" s="505">
        <f t="shared" si="63"/>
        <v>28</v>
      </c>
      <c r="E163" s="505">
        <f t="shared" si="64"/>
        <v>28</v>
      </c>
      <c r="F163" s="505">
        <f t="shared" si="65"/>
        <v>28</v>
      </c>
      <c r="G163" s="505">
        <f t="shared" ca="1" si="66"/>
        <v>29.26644024469325</v>
      </c>
      <c r="H163" s="505">
        <f t="shared" ca="1" si="67"/>
        <v>30.992242594217959</v>
      </c>
      <c r="I163" s="505">
        <f t="shared" ca="1" si="67"/>
        <v>32.619718673142543</v>
      </c>
      <c r="J163" s="1046" t="e">
        <f>#REF!</f>
        <v>#REF!</v>
      </c>
      <c r="K163" s="1046">
        <f ca="1">P4</f>
        <v>33.570617237848865</v>
      </c>
      <c r="M163" s="505"/>
      <c r="N163" s="505"/>
      <c r="O163" s="505"/>
    </row>
    <row r="164" spans="2:15">
      <c r="B164" t="str">
        <f t="shared" si="68"/>
        <v>DRC</v>
      </c>
      <c r="C164" s="505">
        <f t="shared" si="62"/>
        <v>127.55939280239949</v>
      </c>
      <c r="D164" s="505">
        <f t="shared" si="63"/>
        <v>37</v>
      </c>
      <c r="E164" s="505">
        <f t="shared" si="64"/>
        <v>37</v>
      </c>
      <c r="F164" s="505">
        <f t="shared" si="65"/>
        <v>37</v>
      </c>
      <c r="G164" s="505">
        <f t="shared" si="66"/>
        <v>40.176816677015012</v>
      </c>
      <c r="H164" s="505"/>
      <c r="I164" s="505"/>
      <c r="J164" s="505"/>
      <c r="K164" s="505"/>
      <c r="M164" s="505"/>
      <c r="N164" s="505"/>
      <c r="O164" s="505"/>
    </row>
    <row r="165" spans="2:15">
      <c r="B165" t="str">
        <f t="shared" si="68"/>
        <v>Tanzania (ex Zantel)</v>
      </c>
      <c r="C165" s="505">
        <f t="shared" si="62"/>
        <v>368</v>
      </c>
      <c r="D165" s="505">
        <f t="shared" si="63"/>
        <v>92</v>
      </c>
      <c r="E165" s="505">
        <f t="shared" si="64"/>
        <v>91</v>
      </c>
      <c r="F165" s="505">
        <f t="shared" si="65"/>
        <v>88</v>
      </c>
      <c r="G165" s="505">
        <f t="shared" si="66"/>
        <v>88</v>
      </c>
      <c r="H165" s="505">
        <f t="shared" ref="H165:H177" si="69">M6</f>
        <v>84.199008264462805</v>
      </c>
      <c r="I165" s="505">
        <f t="shared" ref="I165:I177" si="70">N6</f>
        <v>86.049250799451812</v>
      </c>
      <c r="J165" s="1046" t="e">
        <f>#REF!</f>
        <v>#REF!</v>
      </c>
      <c r="K165" s="1046">
        <f t="shared" ref="K165:K177" si="71">P6</f>
        <v>86.803867136359798</v>
      </c>
      <c r="M165" s="505"/>
      <c r="N165" s="505"/>
      <c r="O165" s="505"/>
    </row>
    <row r="166" spans="2:15">
      <c r="B166" t="str">
        <f t="shared" si="68"/>
        <v>UNE</v>
      </c>
      <c r="C166" s="505">
        <f t="shared" si="62"/>
        <v>498</v>
      </c>
      <c r="D166" s="505">
        <f t="shared" si="63"/>
        <v>273</v>
      </c>
      <c r="E166" s="505">
        <f t="shared" si="64"/>
        <v>275</v>
      </c>
      <c r="F166" s="505">
        <f t="shared" si="65"/>
        <v>243</v>
      </c>
      <c r="G166" s="505">
        <f t="shared" si="66"/>
        <v>250.21267275097787</v>
      </c>
      <c r="H166" s="505">
        <f t="shared" si="69"/>
        <v>225</v>
      </c>
      <c r="I166" s="505">
        <f t="shared" si="70"/>
        <v>240</v>
      </c>
      <c r="J166" s="1046" t="e">
        <f>#REF!</f>
        <v>#REF!</v>
      </c>
      <c r="K166" s="1046">
        <f t="shared" ca="1" si="71"/>
        <v>257.55774461146189</v>
      </c>
      <c r="M166" s="505"/>
      <c r="N166" s="505"/>
      <c r="O166" s="505"/>
    </row>
    <row r="167" spans="2:15">
      <c r="B167" t="str">
        <f t="shared" si="68"/>
        <v>Honduras</v>
      </c>
      <c r="C167" s="505">
        <f t="shared" si="62"/>
        <v>629</v>
      </c>
      <c r="D167" s="505">
        <f t="shared" si="63"/>
        <v>165</v>
      </c>
      <c r="E167" s="505">
        <f t="shared" si="64"/>
        <v>163</v>
      </c>
      <c r="F167" s="505">
        <f t="shared" si="65"/>
        <v>160</v>
      </c>
      <c r="G167" s="505">
        <f t="shared" si="66"/>
        <v>161</v>
      </c>
      <c r="H167" s="505">
        <f t="shared" si="69"/>
        <v>156</v>
      </c>
      <c r="I167" s="505">
        <f t="shared" si="70"/>
        <v>154</v>
      </c>
      <c r="J167" s="1046" t="e">
        <f>#REF!</f>
        <v>#REF!</v>
      </c>
      <c r="K167" s="1046">
        <f t="shared" si="71"/>
        <v>147.21516666666673</v>
      </c>
      <c r="M167" s="505"/>
      <c r="N167" s="505"/>
      <c r="O167" s="505"/>
    </row>
    <row r="168" spans="2:15">
      <c r="B168" t="str">
        <f t="shared" si="68"/>
        <v>Bolivia</v>
      </c>
      <c r="C168" s="505">
        <f t="shared" si="62"/>
        <v>488</v>
      </c>
      <c r="D168" s="505">
        <f t="shared" si="63"/>
        <v>129</v>
      </c>
      <c r="E168" s="505">
        <f t="shared" si="64"/>
        <v>128</v>
      </c>
      <c r="F168" s="505">
        <f t="shared" si="65"/>
        <v>133</v>
      </c>
      <c r="G168" s="505">
        <f t="shared" si="66"/>
        <v>140</v>
      </c>
      <c r="H168" s="505">
        <f t="shared" si="69"/>
        <v>136</v>
      </c>
      <c r="I168" s="505">
        <f t="shared" si="70"/>
        <v>133</v>
      </c>
      <c r="J168" s="1046" t="e">
        <f>#REF!</f>
        <v>#REF!</v>
      </c>
      <c r="K168" s="1046">
        <f t="shared" si="71"/>
        <v>151.6946454413893</v>
      </c>
      <c r="M168" s="505"/>
      <c r="N168" s="505"/>
      <c r="O168" s="505"/>
    </row>
    <row r="169" spans="2:15">
      <c r="B169" t="str">
        <f t="shared" si="68"/>
        <v>Rwanda</v>
      </c>
      <c r="C169" s="505">
        <f t="shared" si="62"/>
        <v>63.318580354530283</v>
      </c>
      <c r="D169" s="505">
        <f t="shared" si="63"/>
        <v>20</v>
      </c>
      <c r="E169" s="505">
        <f t="shared" si="64"/>
        <v>13</v>
      </c>
      <c r="F169" s="505">
        <f t="shared" si="65"/>
        <v>13.714285714285722</v>
      </c>
      <c r="G169" s="505">
        <f t="shared" si="66"/>
        <v>16.980579780167748</v>
      </c>
      <c r="H169" s="505">
        <f t="shared" si="69"/>
        <v>19.837049737796836</v>
      </c>
      <c r="I169" s="505">
        <f t="shared" si="70"/>
        <v>12.664370931958773</v>
      </c>
      <c r="J169" s="1046" t="e">
        <f>#REF!</f>
        <v>#REF!</v>
      </c>
      <c r="K169" s="1046">
        <f t="shared" si="71"/>
        <v>14.734869963513859</v>
      </c>
      <c r="M169" s="505"/>
      <c r="N169" s="505"/>
      <c r="O169" s="505"/>
    </row>
    <row r="170" spans="2:15">
      <c r="B170" t="str">
        <f t="shared" si="68"/>
        <v>Colombia mobile</v>
      </c>
      <c r="C170" s="505">
        <f t="shared" si="62"/>
        <v>1180.2704474977832</v>
      </c>
      <c r="D170" s="505">
        <f t="shared" si="63"/>
        <v>252</v>
      </c>
      <c r="E170" s="505">
        <f t="shared" si="64"/>
        <v>258</v>
      </c>
      <c r="F170" s="505">
        <f t="shared" si="65"/>
        <v>222</v>
      </c>
      <c r="G170" s="505">
        <f t="shared" si="66"/>
        <v>208.78732724902213</v>
      </c>
      <c r="H170" s="505">
        <f t="shared" si="69"/>
        <v>172</v>
      </c>
      <c r="I170" s="505">
        <f t="shared" si="70"/>
        <v>194</v>
      </c>
      <c r="J170" s="1046" t="e">
        <f>#REF!</f>
        <v>#REF!</v>
      </c>
      <c r="K170" s="1046">
        <f t="shared" si="71"/>
        <v>177.8780304534921</v>
      </c>
      <c r="M170" s="505"/>
      <c r="N170" s="505"/>
      <c r="O170" s="505"/>
    </row>
    <row r="171" spans="2:15">
      <c r="B171" t="str">
        <f t="shared" si="68"/>
        <v>El Salvador</v>
      </c>
      <c r="C171" s="505">
        <f t="shared" si="62"/>
        <v>443</v>
      </c>
      <c r="D171" s="505">
        <f t="shared" si="63"/>
        <v>111</v>
      </c>
      <c r="E171" s="505">
        <f t="shared" si="64"/>
        <v>112</v>
      </c>
      <c r="F171" s="505">
        <f t="shared" si="65"/>
        <v>110.52631578947368</v>
      </c>
      <c r="G171" s="505">
        <f t="shared" si="66"/>
        <v>116.21621621621622</v>
      </c>
      <c r="H171" s="505">
        <f t="shared" si="69"/>
        <v>107.559</v>
      </c>
      <c r="I171" s="505">
        <f t="shared" si="70"/>
        <v>106.17599999999999</v>
      </c>
      <c r="J171" s="1046" t="e">
        <f>#REF!</f>
        <v>#REF!</v>
      </c>
      <c r="K171" s="1046">
        <f t="shared" si="71"/>
        <v>85.226080032798961</v>
      </c>
      <c r="M171" s="505"/>
      <c r="N171" s="505"/>
      <c r="O171" s="505"/>
    </row>
    <row r="172" spans="2:15">
      <c r="B172" t="str">
        <f t="shared" si="68"/>
        <v>Guatemala</v>
      </c>
      <c r="C172" s="505">
        <f t="shared" si="62"/>
        <v>1242</v>
      </c>
      <c r="D172" s="505">
        <f t="shared" si="63"/>
        <v>318</v>
      </c>
      <c r="E172" s="505">
        <f t="shared" si="64"/>
        <v>321</v>
      </c>
      <c r="F172" s="505">
        <f t="shared" si="65"/>
        <v>327</v>
      </c>
      <c r="G172" s="505">
        <f t="shared" si="66"/>
        <v>340</v>
      </c>
      <c r="H172" s="505">
        <f t="shared" si="69"/>
        <v>320</v>
      </c>
      <c r="I172" s="505">
        <f t="shared" si="70"/>
        <v>322</v>
      </c>
      <c r="J172" s="1046" t="e">
        <f>#REF!</f>
        <v>#REF!</v>
      </c>
      <c r="K172" s="1046">
        <f t="shared" si="71"/>
        <v>316.1208297008593</v>
      </c>
      <c r="M172" s="505"/>
      <c r="N172" s="505"/>
      <c r="O172" s="505"/>
    </row>
    <row r="173" spans="2:15">
      <c r="B173" t="str">
        <f t="shared" si="68"/>
        <v>Paraguay</v>
      </c>
      <c r="C173" s="505">
        <f t="shared" si="62"/>
        <v>767</v>
      </c>
      <c r="D173" s="505">
        <f t="shared" si="63"/>
        <v>177</v>
      </c>
      <c r="E173" s="505">
        <f t="shared" si="64"/>
        <v>170</v>
      </c>
      <c r="F173" s="505">
        <f t="shared" si="65"/>
        <v>166</v>
      </c>
      <c r="G173" s="505">
        <f t="shared" si="66"/>
        <v>159</v>
      </c>
      <c r="H173" s="505">
        <f t="shared" si="69"/>
        <v>153</v>
      </c>
      <c r="I173" s="505">
        <f t="shared" si="70"/>
        <v>162</v>
      </c>
      <c r="J173" s="1046" t="e">
        <f>#REF!</f>
        <v>#REF!</v>
      </c>
      <c r="K173" s="1046">
        <f t="shared" ca="1" si="71"/>
        <v>148.02952222476222</v>
      </c>
      <c r="M173" s="505"/>
      <c r="N173" s="505"/>
      <c r="O173" s="505"/>
    </row>
    <row r="174" spans="2:15">
      <c r="B174" t="str">
        <f t="shared" si="68"/>
        <v xml:space="preserve">Costa Rica </v>
      </c>
      <c r="C174" s="505">
        <f t="shared" si="62"/>
        <v>138.1244774057769</v>
      </c>
      <c r="D174" s="505">
        <f t="shared" si="63"/>
        <v>35</v>
      </c>
      <c r="E174" s="505">
        <f t="shared" si="64"/>
        <v>37</v>
      </c>
      <c r="F174" s="505">
        <f t="shared" si="65"/>
        <v>38</v>
      </c>
      <c r="G174" s="505">
        <f t="shared" si="66"/>
        <v>41</v>
      </c>
      <c r="H174" s="505">
        <f t="shared" si="69"/>
        <v>39</v>
      </c>
      <c r="I174" s="505">
        <f t="shared" si="70"/>
        <v>38</v>
      </c>
      <c r="J174" s="1046" t="e">
        <f>#REF!</f>
        <v>#REF!</v>
      </c>
      <c r="K174" s="1046">
        <f t="shared" si="71"/>
        <v>41.684056143940637</v>
      </c>
      <c r="M174" s="505"/>
      <c r="N174" s="505"/>
      <c r="O174" s="505"/>
    </row>
    <row r="175" spans="2:15">
      <c r="B175" t="str">
        <f t="shared" si="68"/>
        <v>Chad</v>
      </c>
      <c r="C175" s="505">
        <f t="shared" ca="1" si="62"/>
        <v>180</v>
      </c>
      <c r="D175" s="505">
        <f t="shared" si="63"/>
        <v>36</v>
      </c>
      <c r="E175" s="505">
        <f t="shared" si="64"/>
        <v>37</v>
      </c>
      <c r="F175" s="505">
        <f t="shared" si="65"/>
        <v>39.285714285714292</v>
      </c>
      <c r="G175" s="505">
        <f t="shared" si="66"/>
        <v>40</v>
      </c>
      <c r="H175" s="505">
        <f t="shared" ca="1" si="69"/>
        <v>39.322864193791595</v>
      </c>
      <c r="I175" s="505">
        <f t="shared" ca="1" si="70"/>
        <v>40.480868266421616</v>
      </c>
      <c r="J175" s="1046" t="e">
        <f>#REF!</f>
        <v>#REF!</v>
      </c>
      <c r="K175" s="1046">
        <f t="shared" ca="1" si="71"/>
        <v>37.139057176505503</v>
      </c>
      <c r="M175" s="505"/>
      <c r="N175" s="505"/>
      <c r="O175" s="505"/>
    </row>
    <row r="176" spans="2:15">
      <c r="B176" s="455" t="str">
        <f t="shared" si="68"/>
        <v>Zantel</v>
      </c>
      <c r="C176" s="774">
        <f t="shared" si="62"/>
        <v>0</v>
      </c>
      <c r="D176" s="774">
        <f t="shared" si="63"/>
        <v>0</v>
      </c>
      <c r="E176" s="774">
        <f t="shared" si="64"/>
        <v>0</v>
      </c>
      <c r="F176" s="774">
        <f t="shared" si="65"/>
        <v>0</v>
      </c>
      <c r="G176" s="774">
        <f t="shared" si="66"/>
        <v>9</v>
      </c>
      <c r="H176" s="774">
        <f t="shared" si="69"/>
        <v>9</v>
      </c>
      <c r="I176" s="774">
        <f t="shared" si="70"/>
        <v>8</v>
      </c>
      <c r="J176" s="1047" t="e">
        <f>#REF!</f>
        <v>#REF!</v>
      </c>
      <c r="K176" s="1047">
        <f t="shared" si="71"/>
        <v>10</v>
      </c>
      <c r="M176" s="774"/>
      <c r="N176" s="505"/>
      <c r="O176" s="505"/>
    </row>
    <row r="177" spans="2:15">
      <c r="B177" t="str">
        <f t="shared" si="68"/>
        <v>Reported Group</v>
      </c>
      <c r="C177" s="505">
        <f t="shared" ca="1" si="62"/>
        <v>6385.2138308777376</v>
      </c>
      <c r="D177" s="505">
        <f t="shared" si="63"/>
        <v>1709</v>
      </c>
      <c r="E177" s="505">
        <f t="shared" si="64"/>
        <v>1704</v>
      </c>
      <c r="F177" s="505">
        <f t="shared" si="65"/>
        <v>1641</v>
      </c>
      <c r="G177" s="505">
        <f t="shared" si="66"/>
        <v>1675</v>
      </c>
      <c r="H177" s="505">
        <f t="shared" si="69"/>
        <v>1528</v>
      </c>
      <c r="I177" s="505">
        <f t="shared" si="70"/>
        <v>1572</v>
      </c>
      <c r="J177" s="1046" t="e">
        <f>#REF!</f>
        <v>#REF!</v>
      </c>
      <c r="K177" s="1046">
        <f t="shared" ca="1" si="71"/>
        <v>1545.8811420572326</v>
      </c>
      <c r="M177" s="505"/>
      <c r="N177" s="505"/>
      <c r="O177" s="505"/>
    </row>
    <row r="178" spans="2:15">
      <c r="C178" s="493"/>
      <c r="D178" s="493"/>
      <c r="E178" s="493"/>
      <c r="F178" s="493"/>
      <c r="G178" s="493"/>
      <c r="H178" s="493"/>
      <c r="I178" s="493"/>
      <c r="J178" s="1048"/>
      <c r="K178" s="1048"/>
      <c r="M178" s="493"/>
      <c r="N178" s="493"/>
      <c r="O178" s="493"/>
    </row>
    <row r="179" spans="2:15">
      <c r="B179" s="487" t="s">
        <v>4077</v>
      </c>
      <c r="C179" s="495"/>
      <c r="D179" s="495" t="str">
        <f t="shared" ref="D179:K179" si="72">D161</f>
        <v>Q1 15</v>
      </c>
      <c r="E179" s="495" t="str">
        <f t="shared" si="72"/>
        <v>Q2 15</v>
      </c>
      <c r="F179" s="495" t="str">
        <f t="shared" si="72"/>
        <v>Q3 15</v>
      </c>
      <c r="G179" s="495" t="str">
        <f t="shared" si="72"/>
        <v>Q4 15</v>
      </c>
      <c r="H179" s="495" t="str">
        <f t="shared" si="72"/>
        <v>Q1 16</v>
      </c>
      <c r="I179" s="495" t="str">
        <f t="shared" si="72"/>
        <v>Q2 16</v>
      </c>
      <c r="J179" s="1045" t="e">
        <f t="shared" si="72"/>
        <v>#REF!</v>
      </c>
      <c r="K179" s="1045" t="str">
        <f t="shared" si="72"/>
        <v>Q4 16E</v>
      </c>
      <c r="M179" s="493"/>
      <c r="N179" s="493"/>
      <c r="O179" s="493"/>
    </row>
    <row r="180" spans="2:15">
      <c r="B180" t="str">
        <f>B162</f>
        <v>Ghana</v>
      </c>
      <c r="D180" s="770">
        <f t="shared" ref="D180:D188" si="73">S59</f>
        <v>0.22</v>
      </c>
      <c r="E180" s="770">
        <f t="shared" ref="E180:E188" si="74">T59</f>
        <v>0.2</v>
      </c>
      <c r="F180" s="770">
        <f t="shared" ref="F180:F188" si="75">U59</f>
        <v>0.19</v>
      </c>
      <c r="G180" s="770">
        <f t="shared" ref="G180:G188" si="76">V59</f>
        <v>0.15</v>
      </c>
      <c r="H180" s="770">
        <f t="shared" ref="H180:H188" si="77">W59</f>
        <v>0.15999999999999992</v>
      </c>
      <c r="I180" s="770">
        <f t="shared" ref="I180:I188" si="78">X59</f>
        <v>0.14999999999999991</v>
      </c>
      <c r="J180" s="1049" t="e">
        <f>#REF!</f>
        <v>#REF!</v>
      </c>
      <c r="K180" s="1049">
        <f t="shared" ref="K180:K188" si="79">Z59</f>
        <v>0.13637910225698402</v>
      </c>
      <c r="M180" s="770"/>
      <c r="N180" s="770"/>
      <c r="O180" s="770"/>
    </row>
    <row r="181" spans="2:15">
      <c r="B181" t="str">
        <f t="shared" ref="B181:B188" si="80">B163</f>
        <v>Senegal</v>
      </c>
      <c r="C181" s="493"/>
      <c r="D181" s="770">
        <f t="shared" si="73"/>
        <v>0.17</v>
      </c>
      <c r="E181" s="770">
        <f t="shared" si="74"/>
        <v>0.22</v>
      </c>
      <c r="F181" s="770">
        <f t="shared" si="75"/>
        <v>0.17</v>
      </c>
      <c r="G181" s="770">
        <f t="shared" si="76"/>
        <v>0.17</v>
      </c>
      <c r="H181" s="770">
        <f t="shared" ca="1" si="77"/>
        <v>0.1399999999999999</v>
      </c>
      <c r="I181" s="770">
        <f t="shared" ca="1" si="78"/>
        <v>0.14999999999999991</v>
      </c>
      <c r="J181" s="1049" t="e">
        <f>#REF!</f>
        <v>#REF!</v>
      </c>
      <c r="K181" s="1049">
        <f t="shared" ca="1" si="79"/>
        <v>0.13768187467049331</v>
      </c>
      <c r="M181" s="770"/>
      <c r="N181" s="770"/>
      <c r="O181" s="770"/>
    </row>
    <row r="182" spans="2:15">
      <c r="B182" t="str">
        <f t="shared" si="80"/>
        <v>DRC</v>
      </c>
      <c r="C182" s="493"/>
      <c r="D182" s="770">
        <f t="shared" si="73"/>
        <v>0.2</v>
      </c>
      <c r="E182" s="770">
        <f t="shared" si="74"/>
        <v>0.22</v>
      </c>
      <c r="F182" s="770">
        <f t="shared" si="75"/>
        <v>0.16</v>
      </c>
      <c r="G182" s="770">
        <f t="shared" si="76"/>
        <v>0.16</v>
      </c>
      <c r="H182" s="770">
        <f t="shared" si="77"/>
        <v>0</v>
      </c>
      <c r="I182" s="770">
        <f t="shared" si="78"/>
        <v>0</v>
      </c>
      <c r="J182" s="1049" t="e">
        <f>#REF!</f>
        <v>#REF!</v>
      </c>
      <c r="K182" s="1049">
        <f t="shared" si="79"/>
        <v>0</v>
      </c>
      <c r="M182" s="770"/>
      <c r="N182" s="770"/>
      <c r="O182" s="770"/>
    </row>
    <row r="183" spans="2:15">
      <c r="B183" t="str">
        <f t="shared" si="80"/>
        <v>Tanzania (ex Zantel)</v>
      </c>
      <c r="C183" s="493"/>
      <c r="D183" s="770">
        <f t="shared" si="73"/>
        <v>0.17745364647713235</v>
      </c>
      <c r="E183" s="770">
        <f t="shared" si="74"/>
        <v>0.19405078597339775</v>
      </c>
      <c r="F183" s="770">
        <f t="shared" si="75"/>
        <v>0.13119760479041931</v>
      </c>
      <c r="G183" s="770">
        <f t="shared" si="76"/>
        <v>0.13709112149532721</v>
      </c>
      <c r="H183" s="770">
        <f t="shared" si="77"/>
        <v>0.12999999999999989</v>
      </c>
      <c r="I183" s="770">
        <f t="shared" si="78"/>
        <v>9.000000000000008E-2</v>
      </c>
      <c r="J183" s="1049" t="e">
        <f>#REF!</f>
        <v>#REF!</v>
      </c>
      <c r="K183" s="1049">
        <f t="shared" si="79"/>
        <v>-2.6475358970133867E-3</v>
      </c>
      <c r="M183" s="770"/>
      <c r="N183" s="770"/>
      <c r="O183" s="770"/>
    </row>
    <row r="184" spans="2:15">
      <c r="B184" t="str">
        <f t="shared" si="80"/>
        <v>UNE</v>
      </c>
      <c r="D184" s="770">
        <f t="shared" si="73"/>
        <v>4.5999999999999999E-2</v>
      </c>
      <c r="E184" s="770">
        <f t="shared" si="74"/>
        <v>5.8000000000000003E-2</v>
      </c>
      <c r="F184" s="770">
        <f t="shared" si="75"/>
        <v>8.6999999999999994E-2</v>
      </c>
      <c r="G184" s="770">
        <f t="shared" si="76"/>
        <v>0.12</v>
      </c>
      <c r="H184" s="770">
        <f t="shared" si="77"/>
        <v>6.1746085968936271E-2</v>
      </c>
      <c r="I184" s="770">
        <f t="shared" si="78"/>
        <v>2.6432512350798687E-2</v>
      </c>
      <c r="J184" s="1049" t="e">
        <f>#REF!</f>
        <v>#REF!</v>
      </c>
      <c r="K184" s="1049">
        <f t="shared" ca="1" si="79"/>
        <v>8.2179667516255606E-3</v>
      </c>
      <c r="M184" s="770"/>
      <c r="N184" s="770"/>
      <c r="O184" s="770"/>
    </row>
    <row r="185" spans="2:15">
      <c r="B185" t="str">
        <f t="shared" si="80"/>
        <v>Honduras</v>
      </c>
      <c r="D185" s="770">
        <f t="shared" si="73"/>
        <v>0.13</v>
      </c>
      <c r="E185" s="770">
        <f t="shared" si="74"/>
        <v>0.1</v>
      </c>
      <c r="F185" s="770">
        <f t="shared" si="75"/>
        <v>0.08</v>
      </c>
      <c r="G185" s="770">
        <f t="shared" si="76"/>
        <v>1.2082779851561032E-2</v>
      </c>
      <c r="H185" s="770">
        <f t="shared" si="77"/>
        <v>-1.9865783001958959E-2</v>
      </c>
      <c r="I185" s="770">
        <f t="shared" si="78"/>
        <v>-2.3006134969325132E-2</v>
      </c>
      <c r="J185" s="1049" t="e">
        <f>#REF!</f>
        <v>#REF!</v>
      </c>
      <c r="K185" s="1049">
        <f t="shared" si="79"/>
        <v>-4.9834633965068376E-2</v>
      </c>
      <c r="M185" s="770"/>
      <c r="N185" s="770"/>
      <c r="O185" s="770"/>
    </row>
    <row r="186" spans="2:15">
      <c r="B186" t="str">
        <f t="shared" si="80"/>
        <v>Bolivia</v>
      </c>
      <c r="D186" s="770">
        <f t="shared" si="73"/>
        <v>0.1</v>
      </c>
      <c r="E186" s="770">
        <f t="shared" si="74"/>
        <v>0.09</v>
      </c>
      <c r="F186" s="770">
        <f t="shared" si="75"/>
        <v>0.08</v>
      </c>
      <c r="G186" s="770">
        <f t="shared" si="76"/>
        <v>7.5698998333601386E-2</v>
      </c>
      <c r="H186" s="770">
        <f t="shared" si="77"/>
        <v>5.3587963742020461E-2</v>
      </c>
      <c r="I186" s="770">
        <f t="shared" si="78"/>
        <v>3.90625E-2</v>
      </c>
      <c r="J186" s="1049" t="e">
        <f>#REF!</f>
        <v>#REF!</v>
      </c>
      <c r="K186" s="1049">
        <f t="shared" si="79"/>
        <v>8.3533181724209316E-2</v>
      </c>
      <c r="M186" s="770"/>
      <c r="N186" s="770"/>
      <c r="O186" s="770"/>
    </row>
    <row r="187" spans="2:15">
      <c r="B187" t="str">
        <f t="shared" si="80"/>
        <v>Rwanda</v>
      </c>
      <c r="D187" s="770">
        <f t="shared" si="73"/>
        <v>0</v>
      </c>
      <c r="E187" s="770">
        <f t="shared" si="74"/>
        <v>0.09</v>
      </c>
      <c r="F187" s="770">
        <f t="shared" si="75"/>
        <v>7.0000000000000007E-2</v>
      </c>
      <c r="G187" s="770">
        <f t="shared" si="76"/>
        <v>0.08</v>
      </c>
      <c r="H187" s="770">
        <f t="shared" si="77"/>
        <v>8.0000000000000071E-2</v>
      </c>
      <c r="I187" s="770">
        <f t="shared" si="78"/>
        <v>8.0000000000000071E-2</v>
      </c>
      <c r="J187" s="1049" t="e">
        <f>#REF!</f>
        <v>#REF!</v>
      </c>
      <c r="K187" s="1049">
        <f t="shared" si="79"/>
        <v>-6.5235140744464126E-2</v>
      </c>
      <c r="M187" s="770"/>
      <c r="N187" s="770"/>
      <c r="O187" s="770"/>
    </row>
    <row r="188" spans="2:15">
      <c r="B188" t="str">
        <f t="shared" si="80"/>
        <v>Colombia mobile</v>
      </c>
      <c r="D188" s="770">
        <f t="shared" si="73"/>
        <v>0.22</v>
      </c>
      <c r="E188" s="770">
        <f t="shared" si="74"/>
        <v>0.17749999999999999</v>
      </c>
      <c r="F188" s="770">
        <f t="shared" si="75"/>
        <v>0.08</v>
      </c>
      <c r="G188" s="770">
        <f t="shared" si="76"/>
        <v>-8.7499999999999994E-2</v>
      </c>
      <c r="H188" s="770">
        <f t="shared" si="77"/>
        <v>-0.12071694510128095</v>
      </c>
      <c r="I188" s="770">
        <f t="shared" si="78"/>
        <v>-0.11563025623522105</v>
      </c>
      <c r="J188" s="1049" t="e">
        <f>#REF!</f>
        <v>#REF!</v>
      </c>
      <c r="K188" s="1049">
        <f t="shared" si="79"/>
        <v>-0.165536589772729</v>
      </c>
      <c r="M188" s="770"/>
      <c r="N188" s="770"/>
      <c r="O188" s="770"/>
    </row>
    <row r="189" spans="2:15">
      <c r="B189" s="1078" t="s">
        <v>3688</v>
      </c>
      <c r="C189" s="613"/>
      <c r="D189" s="1079">
        <f>H78</f>
        <v>0.06</v>
      </c>
      <c r="E189" s="1079">
        <f>I78</f>
        <v>0.04</v>
      </c>
      <c r="F189" s="1079">
        <f>J78</f>
        <v>0.03</v>
      </c>
      <c r="G189" s="1079">
        <f>K78</f>
        <v>-0.01</v>
      </c>
      <c r="H189" s="1079">
        <f>M78</f>
        <v>-4.0000000000000001E-3</v>
      </c>
      <c r="I189" s="1079">
        <f>N78</f>
        <v>-4.2999999999999997E-2</v>
      </c>
      <c r="J189" s="1080"/>
      <c r="K189" s="1080"/>
      <c r="M189" s="770"/>
      <c r="N189" s="770"/>
      <c r="O189" s="770"/>
    </row>
    <row r="190" spans="2:15">
      <c r="B190" t="str">
        <f t="shared" ref="B190:B195" si="81">B171</f>
        <v>El Salvador</v>
      </c>
      <c r="D190" s="770">
        <f t="shared" ref="D190:I194" si="82">S68</f>
        <v>0.01</v>
      </c>
      <c r="E190" s="770">
        <f t="shared" si="82"/>
        <v>0.03</v>
      </c>
      <c r="F190" s="770">
        <f t="shared" si="82"/>
        <v>0.02</v>
      </c>
      <c r="G190" s="770">
        <f t="shared" si="82"/>
        <v>1.8465500283311176E-3</v>
      </c>
      <c r="H190" s="770">
        <f t="shared" si="82"/>
        <v>-3.1000000000000028E-2</v>
      </c>
      <c r="I190" s="770">
        <f t="shared" si="82"/>
        <v>-5.2000000000000157E-2</v>
      </c>
      <c r="J190" s="1049" t="e">
        <f>#REF!</f>
        <v>#REF!</v>
      </c>
      <c r="K190" s="1049">
        <f>Z68</f>
        <v>-0.26665931134568344</v>
      </c>
      <c r="M190" s="770"/>
      <c r="N190" s="770"/>
      <c r="O190" s="770"/>
    </row>
    <row r="191" spans="2:15">
      <c r="B191" t="str">
        <f t="shared" si="81"/>
        <v>Guatemala</v>
      </c>
      <c r="D191" s="770">
        <f t="shared" si="82"/>
        <v>0.03</v>
      </c>
      <c r="E191" s="770">
        <f t="shared" si="82"/>
        <v>0.03</v>
      </c>
      <c r="F191" s="770">
        <f t="shared" si="82"/>
        <v>0.05</v>
      </c>
      <c r="G191" s="770">
        <f t="shared" si="82"/>
        <v>5.4456741953543553E-2</v>
      </c>
      <c r="H191" s="770">
        <f t="shared" si="82"/>
        <v>1.1902410229917226E-2</v>
      </c>
      <c r="I191" s="770">
        <f t="shared" si="82"/>
        <v>3.1529433185157885E-3</v>
      </c>
      <c r="J191" s="1049" t="e">
        <f>#REF!</f>
        <v>#REF!</v>
      </c>
      <c r="K191" s="1049">
        <f>Z69</f>
        <v>-8.6032818396592936E-2</v>
      </c>
      <c r="M191" s="770"/>
      <c r="N191" s="770"/>
      <c r="O191" s="770"/>
    </row>
    <row r="192" spans="2:15">
      <c r="B192" t="str">
        <f t="shared" si="81"/>
        <v>Paraguay</v>
      </c>
      <c r="D192" s="770">
        <f t="shared" si="82"/>
        <v>0.01</v>
      </c>
      <c r="E192" s="770">
        <f t="shared" si="82"/>
        <v>0.02</v>
      </c>
      <c r="F192" s="770">
        <f t="shared" si="82"/>
        <v>0.04</v>
      </c>
      <c r="G192" s="770">
        <f t="shared" si="82"/>
        <v>1.8026924314594961E-2</v>
      </c>
      <c r="H192" s="770">
        <f t="shared" si="82"/>
        <v>4.8359078954389956E-2</v>
      </c>
      <c r="I192" s="770">
        <f t="shared" si="82"/>
        <v>6.0657251325644035E-2</v>
      </c>
      <c r="J192" s="1049" t="e">
        <f>#REF!</f>
        <v>#REF!</v>
      </c>
      <c r="K192" s="1049">
        <f ca="1">Z70</f>
        <v>-6.3433602795880506E-2</v>
      </c>
      <c r="M192" s="770"/>
      <c r="N192" s="770"/>
      <c r="O192" s="770"/>
    </row>
    <row r="193" spans="2:15">
      <c r="B193" t="str">
        <f t="shared" si="81"/>
        <v xml:space="preserve">Costa Rica </v>
      </c>
      <c r="D193" s="770">
        <f t="shared" si="82"/>
        <v>0.02</v>
      </c>
      <c r="E193" s="770">
        <f t="shared" si="82"/>
        <v>0.05</v>
      </c>
      <c r="F193" s="770">
        <f t="shared" si="82"/>
        <v>0.09</v>
      </c>
      <c r="G193" s="770">
        <f t="shared" si="82"/>
        <v>0.18099999999999999</v>
      </c>
      <c r="H193" s="770">
        <f t="shared" si="82"/>
        <v>0.11613566289825283</v>
      </c>
      <c r="I193" s="770">
        <f t="shared" si="82"/>
        <v>3.9400846629762398E-2</v>
      </c>
      <c r="J193" s="1049" t="e">
        <f>#REF!</f>
        <v>#REF!</v>
      </c>
      <c r="K193" s="1049">
        <f>Z71</f>
        <v>7.2879533453036327E-3</v>
      </c>
      <c r="M193" s="770"/>
      <c r="N193" s="770"/>
      <c r="O193" s="770"/>
    </row>
    <row r="194" spans="2:15">
      <c r="B194" t="str">
        <f t="shared" si="81"/>
        <v>Chad</v>
      </c>
      <c r="D194" s="770">
        <f t="shared" si="82"/>
        <v>0</v>
      </c>
      <c r="E194" s="770">
        <f t="shared" si="82"/>
        <v>-0.03</v>
      </c>
      <c r="F194" s="770">
        <f t="shared" si="82"/>
        <v>-0.01</v>
      </c>
      <c r="G194" s="770">
        <f t="shared" ca="1" si="82"/>
        <v>0.10214431232116516</v>
      </c>
      <c r="H194" s="770">
        <f t="shared" ca="1" si="82"/>
        <v>0.125</v>
      </c>
      <c r="I194" s="770">
        <f t="shared" ca="1" si="82"/>
        <v>8.0000000000000071E-2</v>
      </c>
      <c r="J194" s="1049" t="e">
        <f>#REF!</f>
        <v>#REF!</v>
      </c>
      <c r="K194" s="1049">
        <f ca="1">Z72</f>
        <v>-7.9121577374699936E-2</v>
      </c>
      <c r="M194" s="770"/>
      <c r="N194" s="770"/>
      <c r="O194" s="770"/>
    </row>
    <row r="195" spans="2:15">
      <c r="B195" t="str">
        <f t="shared" si="81"/>
        <v>Zantel</v>
      </c>
      <c r="D195" s="770"/>
      <c r="E195" s="770"/>
      <c r="F195" s="770"/>
      <c r="G195" s="770"/>
      <c r="I195" s="770"/>
      <c r="J195" s="770"/>
      <c r="K195" s="770"/>
      <c r="L195" s="770"/>
      <c r="M195" s="770"/>
      <c r="N195" s="770"/>
      <c r="O195" s="770"/>
    </row>
    <row r="197" spans="2:15">
      <c r="B197" s="487" t="s">
        <v>3018</v>
      </c>
      <c r="C197" s="1038" t="str">
        <f t="shared" ref="C197:C211" si="83">H98</f>
        <v>Q1 15</v>
      </c>
      <c r="D197" s="1038" t="str">
        <f t="shared" ref="D197:D211" si="84">I98</f>
        <v>Q2 15</v>
      </c>
      <c r="E197" s="1038" t="str">
        <f t="shared" ref="E197:E211" si="85">J98</f>
        <v>Q3 15</v>
      </c>
      <c r="F197" s="1038" t="str">
        <f t="shared" ref="F197:F211" si="86">K98</f>
        <v>Q4 15</v>
      </c>
      <c r="G197" s="1038" t="str">
        <f t="shared" ref="G197:G211" si="87">M98</f>
        <v>Q1 16</v>
      </c>
      <c r="H197" s="1038" t="str">
        <f t="shared" ref="H197:H211" si="88">N98</f>
        <v>Q2 16</v>
      </c>
      <c r="I197" s="1051" t="e">
        <f>#REF!</f>
        <v>#REF!</v>
      </c>
      <c r="J197" s="1051" t="str">
        <f t="shared" ref="J197:J211" si="89">P98</f>
        <v>Q4 16E</v>
      </c>
      <c r="K197" s="1051">
        <f t="shared" ref="K197:K211" si="90">Q98</f>
        <v>2016</v>
      </c>
      <c r="M197" s="1042"/>
      <c r="N197" s="1042"/>
      <c r="O197" s="1042"/>
    </row>
    <row r="198" spans="2:15">
      <c r="B198" t="str">
        <f t="shared" ref="B198:B211" si="91">B162</f>
        <v>Ghana</v>
      </c>
      <c r="C198" s="464">
        <f t="shared" si="83"/>
        <v>3.01</v>
      </c>
      <c r="D198" s="464">
        <f t="shared" si="84"/>
        <v>2.7377688442211063</v>
      </c>
      <c r="E198" s="464">
        <f t="shared" si="85"/>
        <v>1.9082914572864329</v>
      </c>
      <c r="F198" s="464">
        <f t="shared" si="86"/>
        <v>2.9239441563375355</v>
      </c>
      <c r="G198" s="464">
        <f t="shared" si="87"/>
        <v>6.1957498168945326</v>
      </c>
      <c r="H198" s="464">
        <f t="shared" si="88"/>
        <v>8.5768710041958034</v>
      </c>
      <c r="I198" s="1052" t="e">
        <f>#REF!</f>
        <v>#REF!</v>
      </c>
      <c r="J198" s="1052">
        <f t="shared" si="89"/>
        <v>8.0275976062030541</v>
      </c>
      <c r="K198" s="1052">
        <f t="shared" si="90"/>
        <v>31.200218427293386</v>
      </c>
      <c r="M198" s="464"/>
      <c r="N198" s="464"/>
      <c r="O198" s="464"/>
    </row>
    <row r="199" spans="2:15">
      <c r="B199" t="str">
        <f t="shared" si="91"/>
        <v>Senegal</v>
      </c>
      <c r="C199" s="464">
        <f t="shared" si="83"/>
        <v>2.4079999999999999</v>
      </c>
      <c r="D199" s="464">
        <f t="shared" si="84"/>
        <v>2.2546331658291461</v>
      </c>
      <c r="E199" s="464">
        <f t="shared" si="85"/>
        <v>1.5266331658291463</v>
      </c>
      <c r="F199" s="464">
        <f t="shared" ca="1" si="86"/>
        <v>2.42911454030954</v>
      </c>
      <c r="G199" s="464">
        <f t="shared" ca="1" si="87"/>
        <v>5.2686812410170534</v>
      </c>
      <c r="H199" s="464">
        <f t="shared" ca="1" si="88"/>
        <v>6.8501409213599338</v>
      </c>
      <c r="I199" s="1052" t="e">
        <f>#REF!</f>
        <v>#REF!</v>
      </c>
      <c r="J199" s="1052">
        <f t="shared" ca="1" si="89"/>
        <v>7.0498296199482615</v>
      </c>
      <c r="K199" s="1052">
        <f t="shared" ca="1" si="90"/>
        <v>26.308651782325249</v>
      </c>
      <c r="M199" s="464"/>
      <c r="N199" s="464"/>
      <c r="O199" s="464"/>
    </row>
    <row r="200" spans="2:15">
      <c r="B200" t="str">
        <f t="shared" si="91"/>
        <v>DRC</v>
      </c>
      <c r="C200" s="464">
        <f t="shared" si="83"/>
        <v>3.1819999999999999</v>
      </c>
      <c r="D200" s="464">
        <f t="shared" si="84"/>
        <v>2.979336683417086</v>
      </c>
      <c r="E200" s="464">
        <f t="shared" si="85"/>
        <v>2.0173366834170863</v>
      </c>
      <c r="F200" s="464">
        <f t="shared" si="86"/>
        <v>3.3346757841922461</v>
      </c>
      <c r="G200" s="464">
        <f t="shared" si="87"/>
        <v>0</v>
      </c>
      <c r="H200" s="464">
        <f t="shared" si="88"/>
        <v>0</v>
      </c>
      <c r="I200" s="1052" t="e">
        <f>#REF!</f>
        <v>#REF!</v>
      </c>
      <c r="J200" s="1052">
        <f t="shared" si="89"/>
        <v>0</v>
      </c>
      <c r="K200" s="1052">
        <f t="shared" si="90"/>
        <v>0</v>
      </c>
      <c r="M200" s="464"/>
      <c r="N200" s="464"/>
      <c r="O200" s="464"/>
    </row>
    <row r="201" spans="2:15">
      <c r="B201" t="str">
        <f t="shared" si="91"/>
        <v>Tanzania (ex Zantel)</v>
      </c>
      <c r="C201" s="464">
        <f t="shared" si="83"/>
        <v>33.119999999999997</v>
      </c>
      <c r="D201" s="464">
        <f t="shared" si="84"/>
        <v>31.849999999999998</v>
      </c>
      <c r="E201" s="464">
        <f t="shared" si="85"/>
        <v>30.799999999999997</v>
      </c>
      <c r="F201" s="464">
        <f t="shared" si="86"/>
        <v>30.4</v>
      </c>
      <c r="G201" s="464">
        <f t="shared" si="87"/>
        <v>28.627662809917357</v>
      </c>
      <c r="H201" s="464">
        <f t="shared" si="88"/>
        <v>29.084646770214714</v>
      </c>
      <c r="I201" s="1052" t="e">
        <f>#REF!</f>
        <v>#REF!</v>
      </c>
      <c r="J201" s="1052">
        <f t="shared" si="89"/>
        <v>29.513314826362333</v>
      </c>
      <c r="K201" s="1052">
        <f t="shared" si="90"/>
        <v>116.9696244064944</v>
      </c>
      <c r="M201" s="464"/>
      <c r="N201" s="464"/>
      <c r="O201" s="464"/>
    </row>
    <row r="202" spans="2:15">
      <c r="B202" t="str">
        <f t="shared" si="91"/>
        <v>UNE</v>
      </c>
      <c r="C202" s="464">
        <f t="shared" si="83"/>
        <v>78.5</v>
      </c>
      <c r="D202" s="464">
        <f t="shared" si="84"/>
        <v>86</v>
      </c>
      <c r="E202" s="464">
        <f t="shared" si="85"/>
        <v>77</v>
      </c>
      <c r="F202" s="464">
        <f t="shared" si="86"/>
        <v>72.561675097783578</v>
      </c>
      <c r="G202" s="464">
        <f t="shared" si="87"/>
        <v>73</v>
      </c>
      <c r="H202" s="464">
        <f t="shared" si="88"/>
        <v>77</v>
      </c>
      <c r="I202" s="1052" t="e">
        <f>#REF!</f>
        <v>#REF!</v>
      </c>
      <c r="J202" s="1052">
        <f t="shared" ca="1" si="89"/>
        <v>71.897516546773033</v>
      </c>
      <c r="K202" s="1052">
        <f t="shared" ca="1" si="90"/>
        <v>298.89751654677303</v>
      </c>
      <c r="M202" s="464"/>
      <c r="N202" s="464"/>
      <c r="O202" s="464"/>
    </row>
    <row r="203" spans="2:15">
      <c r="B203" t="str">
        <f t="shared" si="91"/>
        <v>Honduras</v>
      </c>
      <c r="C203" s="464">
        <f t="shared" si="83"/>
        <v>69.3</v>
      </c>
      <c r="D203" s="464">
        <f t="shared" si="84"/>
        <v>70.09</v>
      </c>
      <c r="E203" s="464">
        <f t="shared" si="85"/>
        <v>68.8</v>
      </c>
      <c r="F203" s="464">
        <f t="shared" si="86"/>
        <v>67.137</v>
      </c>
      <c r="G203" s="464">
        <f t="shared" si="87"/>
        <v>66.611999999999995</v>
      </c>
      <c r="H203" s="464">
        <f t="shared" si="88"/>
        <v>62.524000000000001</v>
      </c>
      <c r="I203" s="1052" t="e">
        <f>#REF!</f>
        <v>#REF!</v>
      </c>
      <c r="J203" s="1052">
        <f t="shared" si="89"/>
        <v>30.749813696806768</v>
      </c>
      <c r="K203" s="1052">
        <f t="shared" si="90"/>
        <v>227.88581369680676</v>
      </c>
      <c r="M203" s="464"/>
      <c r="N203" s="464"/>
      <c r="O203" s="464"/>
    </row>
    <row r="204" spans="2:15">
      <c r="B204" t="str">
        <f t="shared" si="91"/>
        <v>Bolivia</v>
      </c>
      <c r="C204" s="464">
        <f t="shared" si="83"/>
        <v>47.73</v>
      </c>
      <c r="D204" s="464">
        <f t="shared" si="84"/>
        <v>46.08</v>
      </c>
      <c r="E204" s="464">
        <f t="shared" si="85"/>
        <v>49</v>
      </c>
      <c r="F204" s="464">
        <f t="shared" si="86"/>
        <v>53</v>
      </c>
      <c r="G204" s="464">
        <f t="shared" si="87"/>
        <v>53</v>
      </c>
      <c r="H204" s="464">
        <f t="shared" si="88"/>
        <v>50</v>
      </c>
      <c r="I204" s="1052" t="e">
        <f>#REF!</f>
        <v>#REF!</v>
      </c>
      <c r="J204" s="1052">
        <f t="shared" ca="1" si="89"/>
        <v>46.07261377811966</v>
      </c>
      <c r="K204" s="1052">
        <f t="shared" ca="1" si="90"/>
        <v>201.07261377811966</v>
      </c>
      <c r="M204" s="464"/>
      <c r="N204" s="464"/>
      <c r="O204" s="464"/>
    </row>
    <row r="205" spans="2:15">
      <c r="B205" t="str">
        <f t="shared" si="91"/>
        <v>Rwanda</v>
      </c>
      <c r="C205" s="464">
        <f t="shared" si="83"/>
        <v>1.7199999999999998</v>
      </c>
      <c r="D205" s="464">
        <f t="shared" si="84"/>
        <v>1.0467939698492466</v>
      </c>
      <c r="E205" s="464">
        <f t="shared" si="85"/>
        <v>0.74773869346733735</v>
      </c>
      <c r="F205" s="464">
        <f t="shared" si="86"/>
        <v>1.4093881217539233</v>
      </c>
      <c r="G205" s="464">
        <f t="shared" si="87"/>
        <v>3.3722984554254625</v>
      </c>
      <c r="H205" s="464">
        <f t="shared" si="88"/>
        <v>2.6595178957113421</v>
      </c>
      <c r="I205" s="1052" t="e">
        <f>#REF!</f>
        <v>#REF!</v>
      </c>
      <c r="J205" s="1052">
        <f t="shared" si="89"/>
        <v>3.0943226923379101</v>
      </c>
      <c r="K205" s="1052">
        <f t="shared" si="90"/>
        <v>12.276139043474714</v>
      </c>
      <c r="M205" s="464"/>
      <c r="N205" s="464"/>
      <c r="O205" s="464"/>
    </row>
    <row r="206" spans="2:15">
      <c r="B206" t="str">
        <f t="shared" si="91"/>
        <v>Colombia mobile</v>
      </c>
      <c r="C206" s="464">
        <f t="shared" si="83"/>
        <v>72.240000000000009</v>
      </c>
      <c r="D206" s="464">
        <f t="shared" si="84"/>
        <v>76.964352720450279</v>
      </c>
      <c r="E206" s="464">
        <f t="shared" si="85"/>
        <v>59</v>
      </c>
      <c r="F206" s="464">
        <f t="shared" si="86"/>
        <v>52.196831812255532</v>
      </c>
      <c r="G206" s="464">
        <f t="shared" si="87"/>
        <v>44</v>
      </c>
      <c r="H206" s="464">
        <f t="shared" si="88"/>
        <v>49</v>
      </c>
      <c r="I206" s="1052" t="e">
        <f>#REF!</f>
        <v>#REF!</v>
      </c>
      <c r="J206" s="1052">
        <f t="shared" si="89"/>
        <v>44.969507613373025</v>
      </c>
      <c r="K206" s="1052">
        <f t="shared" si="90"/>
        <v>182.96950761337303</v>
      </c>
      <c r="M206" s="464"/>
      <c r="N206" s="464"/>
      <c r="O206" s="464"/>
    </row>
    <row r="207" spans="2:15">
      <c r="B207" t="str">
        <f t="shared" si="91"/>
        <v>El Salvador</v>
      </c>
      <c r="C207" s="464">
        <f t="shared" si="83"/>
        <v>42.18</v>
      </c>
      <c r="D207" s="464">
        <f t="shared" si="84"/>
        <v>41.44</v>
      </c>
      <c r="E207" s="464">
        <f t="shared" si="85"/>
        <v>42</v>
      </c>
      <c r="F207" s="464">
        <f t="shared" si="86"/>
        <v>43</v>
      </c>
      <c r="G207" s="464">
        <f t="shared" si="87"/>
        <v>41</v>
      </c>
      <c r="H207" s="464">
        <f t="shared" si="88"/>
        <v>38</v>
      </c>
      <c r="I207" s="1052" t="e">
        <f>#REF!</f>
        <v>#REF!</v>
      </c>
      <c r="J207" s="1052">
        <f t="shared" si="89"/>
        <v>30.435891511889594</v>
      </c>
      <c r="K207" s="1052">
        <f t="shared" si="90"/>
        <v>146.43589151188959</v>
      </c>
      <c r="M207" s="464"/>
      <c r="N207" s="464"/>
      <c r="O207" s="464"/>
    </row>
    <row r="208" spans="2:15">
      <c r="B208" t="str">
        <f t="shared" si="91"/>
        <v>Guatemala</v>
      </c>
      <c r="C208" s="464">
        <f t="shared" si="83"/>
        <v>163.77000000000001</v>
      </c>
      <c r="D208" s="464">
        <f t="shared" si="84"/>
        <v>165.95699999999999</v>
      </c>
      <c r="E208" s="464">
        <f t="shared" si="85"/>
        <v>170.078</v>
      </c>
      <c r="F208" s="464">
        <f t="shared" si="86"/>
        <v>170</v>
      </c>
      <c r="G208" s="464">
        <f t="shared" si="87"/>
        <v>170</v>
      </c>
      <c r="H208" s="464">
        <f t="shared" si="88"/>
        <v>165.4</v>
      </c>
      <c r="I208" s="1052" t="e">
        <f>#REF!</f>
        <v>#REF!</v>
      </c>
      <c r="J208" s="1052">
        <f t="shared" si="89"/>
        <v>175.06283144444683</v>
      </c>
      <c r="K208" s="1052">
        <f t="shared" si="90"/>
        <v>660.46283144444681</v>
      </c>
      <c r="M208" s="464"/>
      <c r="N208" s="464"/>
      <c r="O208" s="464"/>
    </row>
    <row r="209" spans="2:15">
      <c r="B209" t="str">
        <f t="shared" si="91"/>
        <v>Paraguay</v>
      </c>
      <c r="C209" s="464">
        <f t="shared" si="83"/>
        <v>80.712000000000003</v>
      </c>
      <c r="D209" s="464">
        <f t="shared" si="84"/>
        <v>76.5</v>
      </c>
      <c r="E209" s="464">
        <f t="shared" si="85"/>
        <v>76.36</v>
      </c>
      <c r="F209" s="464">
        <f t="shared" si="86"/>
        <v>71</v>
      </c>
      <c r="G209" s="464">
        <f t="shared" si="87"/>
        <v>69.615000000000009</v>
      </c>
      <c r="H209" s="464">
        <f t="shared" si="88"/>
        <v>75.492000000000004</v>
      </c>
      <c r="I209" s="1052" t="e">
        <f>#REF!</f>
        <v>#REF!</v>
      </c>
      <c r="J209" s="1052">
        <f t="shared" ca="1" si="89"/>
        <v>65.40658022339062</v>
      </c>
      <c r="K209" s="1052">
        <f t="shared" ca="1" si="90"/>
        <v>287.51358022339065</v>
      </c>
      <c r="M209" s="464"/>
      <c r="N209" s="464"/>
      <c r="O209" s="464"/>
    </row>
    <row r="210" spans="2:15">
      <c r="B210" t="str">
        <f t="shared" si="91"/>
        <v xml:space="preserve">Costa Rica </v>
      </c>
      <c r="C210" s="464">
        <f t="shared" si="83"/>
        <v>13.685</v>
      </c>
      <c r="D210" s="464">
        <f t="shared" si="84"/>
        <v>14.43</v>
      </c>
      <c r="E210" s="464">
        <f t="shared" si="85"/>
        <v>13.299999999999999</v>
      </c>
      <c r="F210" s="464">
        <f t="shared" si="86"/>
        <v>16.400000000000002</v>
      </c>
      <c r="G210" s="464">
        <f t="shared" si="87"/>
        <v>14.04</v>
      </c>
      <c r="H210" s="464">
        <f t="shared" si="88"/>
        <v>13.299999999999999</v>
      </c>
      <c r="I210" s="1052" t="e">
        <f>#REF!</f>
        <v>#REF!</v>
      </c>
      <c r="J210" s="1052">
        <f t="shared" si="89"/>
        <v>14</v>
      </c>
      <c r="K210" s="1052">
        <f t="shared" si="90"/>
        <v>56.339999999999996</v>
      </c>
      <c r="M210" s="464"/>
      <c r="N210" s="464"/>
      <c r="O210" s="464"/>
    </row>
    <row r="211" spans="2:15">
      <c r="B211" t="str">
        <f t="shared" si="91"/>
        <v>Chad</v>
      </c>
      <c r="C211" s="464">
        <f t="shared" si="83"/>
        <v>12.6</v>
      </c>
      <c r="D211" s="464">
        <f t="shared" si="84"/>
        <v>10.729999999999999</v>
      </c>
      <c r="E211" s="464">
        <f t="shared" si="85"/>
        <v>11</v>
      </c>
      <c r="F211" s="464">
        <f t="shared" si="86"/>
        <v>2</v>
      </c>
      <c r="G211" s="464">
        <f t="shared" ca="1" si="87"/>
        <v>12.372337190082641</v>
      </c>
      <c r="H211" s="464">
        <f t="shared" ca="1" si="88"/>
        <v>12.915353229785291</v>
      </c>
      <c r="I211" s="1052" t="e">
        <f>#REF!</f>
        <v>#REF!</v>
      </c>
      <c r="J211" s="1052">
        <f t="shared" ca="1" si="89"/>
        <v>17.441673119996551</v>
      </c>
      <c r="K211" s="1052">
        <f t="shared" ca="1" si="90"/>
        <v>56.98536353986448</v>
      </c>
      <c r="M211" s="464"/>
      <c r="N211" s="464"/>
      <c r="O211" s="464"/>
    </row>
    <row r="212" spans="2:15">
      <c r="B212" s="487" t="s">
        <v>4049</v>
      </c>
      <c r="C212" s="490">
        <f t="shared" ref="C212:F215" si="92">H118</f>
        <v>0</v>
      </c>
      <c r="D212" s="490">
        <f t="shared" si="92"/>
        <v>0</v>
      </c>
      <c r="E212" s="490">
        <f t="shared" si="92"/>
        <v>0</v>
      </c>
      <c r="F212" s="490">
        <f t="shared" si="92"/>
        <v>7</v>
      </c>
      <c r="G212" s="490">
        <f t="shared" ref="G212:H215" si="93">M118</f>
        <v>0</v>
      </c>
      <c r="H212" s="490">
        <f t="shared" si="93"/>
        <v>6</v>
      </c>
      <c r="I212" s="1053" t="e">
        <f>#REF!</f>
        <v>#REF!</v>
      </c>
      <c r="J212" s="1053">
        <f t="shared" ref="J212:K215" si="94">P118</f>
        <v>6</v>
      </c>
      <c r="K212" s="1053">
        <f t="shared" si="94"/>
        <v>25</v>
      </c>
      <c r="M212" s="464"/>
      <c r="N212" s="464"/>
      <c r="O212" s="464"/>
    </row>
    <row r="213" spans="2:15">
      <c r="B213" s="478" t="s">
        <v>4078</v>
      </c>
      <c r="C213" s="464">
        <f t="shared" si="92"/>
        <v>624.15699999999993</v>
      </c>
      <c r="D213" s="464">
        <f t="shared" si="92"/>
        <v>629.05988538376687</v>
      </c>
      <c r="E213" s="464">
        <f t="shared" si="92"/>
        <v>603.53800000000001</v>
      </c>
      <c r="F213" s="464">
        <f t="shared" ca="1" si="92"/>
        <v>594.79262951263229</v>
      </c>
      <c r="G213" s="464">
        <f t="shared" si="93"/>
        <v>589.65200000000004</v>
      </c>
      <c r="H213" s="464">
        <f t="shared" si="93"/>
        <v>599.82399999999996</v>
      </c>
      <c r="I213" s="1052" t="e">
        <f>#REF!</f>
        <v>#REF!</v>
      </c>
      <c r="J213" s="1052">
        <f t="shared" ca="1" si="94"/>
        <v>549.72149267964767</v>
      </c>
      <c r="K213" s="1052">
        <f t="shared" ca="1" si="94"/>
        <v>2334.704492679648</v>
      </c>
      <c r="M213" s="464"/>
      <c r="N213" s="464"/>
      <c r="O213" s="464"/>
    </row>
    <row r="214" spans="2:15">
      <c r="B214" s="478" t="s">
        <v>800</v>
      </c>
      <c r="C214" s="464">
        <f t="shared" si="92"/>
        <v>-57</v>
      </c>
      <c r="D214" s="464">
        <f t="shared" si="92"/>
        <v>-52</v>
      </c>
      <c r="E214" s="464">
        <f t="shared" si="92"/>
        <v>-50</v>
      </c>
      <c r="F214" s="464">
        <f t="shared" si="92"/>
        <v>-45</v>
      </c>
      <c r="G214" s="464">
        <f t="shared" si="93"/>
        <v>-41</v>
      </c>
      <c r="H214" s="464">
        <f t="shared" si="93"/>
        <v>-40</v>
      </c>
      <c r="I214" s="1052" t="e">
        <f>#REF!</f>
        <v>#REF!</v>
      </c>
      <c r="J214" s="1052">
        <f t="shared" si="94"/>
        <v>-47</v>
      </c>
      <c r="K214" s="1052">
        <f t="shared" si="94"/>
        <v>-165</v>
      </c>
      <c r="M214" s="464"/>
      <c r="N214" s="464"/>
      <c r="O214" s="464"/>
    </row>
    <row r="215" spans="2:15">
      <c r="B215" s="478" t="s">
        <v>575</v>
      </c>
      <c r="C215" s="464">
        <f t="shared" si="92"/>
        <v>567.15699999999993</v>
      </c>
      <c r="D215" s="464">
        <f t="shared" si="92"/>
        <v>577.05988538376687</v>
      </c>
      <c r="E215" s="464">
        <f t="shared" si="92"/>
        <v>553.53800000000001</v>
      </c>
      <c r="F215" s="464">
        <f t="shared" ca="1" si="92"/>
        <v>549.79262951263229</v>
      </c>
      <c r="G215" s="464">
        <f t="shared" si="93"/>
        <v>548.65200000000004</v>
      </c>
      <c r="H215" s="464">
        <f t="shared" si="93"/>
        <v>559.82399999999996</v>
      </c>
      <c r="I215" s="1052" t="e">
        <f>#REF!</f>
        <v>#REF!</v>
      </c>
      <c r="J215" s="1052">
        <f t="shared" ca="1" si="94"/>
        <v>502.72149267964767</v>
      </c>
      <c r="K215" s="1052">
        <f t="shared" ca="1" si="94"/>
        <v>2169.704492679648</v>
      </c>
      <c r="M215" s="464"/>
      <c r="N215" s="464"/>
      <c r="O215" s="464"/>
    </row>
    <row r="216" spans="2:15">
      <c r="I216" s="1050"/>
      <c r="J216" s="1050"/>
      <c r="K216" s="1050"/>
    </row>
    <row r="217" spans="2:15">
      <c r="B217" s="487" t="s">
        <v>1542</v>
      </c>
      <c r="C217" s="1038" t="str">
        <f t="shared" ref="C217:H217" si="95">C197</f>
        <v>Q1 15</v>
      </c>
      <c r="D217" s="1038" t="str">
        <f t="shared" si="95"/>
        <v>Q2 15</v>
      </c>
      <c r="E217" s="1038" t="str">
        <f t="shared" si="95"/>
        <v>Q3 15</v>
      </c>
      <c r="F217" s="1038" t="str">
        <f t="shared" si="95"/>
        <v>Q4 15</v>
      </c>
      <c r="G217" s="1038" t="str">
        <f t="shared" si="95"/>
        <v>Q1 16</v>
      </c>
      <c r="H217" s="1038" t="str">
        <f t="shared" si="95"/>
        <v>Q2 16</v>
      </c>
      <c r="I217" s="1051" t="e">
        <f>I197</f>
        <v>#REF!</v>
      </c>
      <c r="J217" s="1051" t="str">
        <f>J197</f>
        <v>Q4 16E</v>
      </c>
      <c r="K217" s="1051">
        <f>K197</f>
        <v>2016</v>
      </c>
      <c r="M217" s="1042"/>
      <c r="N217" s="1042"/>
      <c r="O217" s="1042"/>
    </row>
    <row r="218" spans="2:15">
      <c r="B218" t="str">
        <f t="shared" ref="B218:B231" si="96">B198</f>
        <v>Ghana</v>
      </c>
      <c r="C218" s="456">
        <f t="shared" ref="C218:C231" si="97">H135</f>
        <v>8.5999999999999993E-2</v>
      </c>
      <c r="D218" s="456">
        <f t="shared" ref="D218:D231" si="98">I135</f>
        <v>8.0522613065326654E-2</v>
      </c>
      <c r="E218" s="456">
        <f t="shared" ref="E218:E231" si="99">J135</f>
        <v>5.4522613065326651E-2</v>
      </c>
      <c r="F218" s="456">
        <f t="shared" ref="F218:F231" si="100">K135</f>
        <v>8.3000000000000004E-2</v>
      </c>
      <c r="G218" s="456">
        <f>M135</f>
        <v>0.17</v>
      </c>
      <c r="H218" s="456">
        <f>N135</f>
        <v>0.21</v>
      </c>
      <c r="I218" s="1054" t="e">
        <f>#REF!</f>
        <v>#REF!</v>
      </c>
      <c r="J218" s="1054">
        <f>P135</f>
        <v>0.21</v>
      </c>
      <c r="K218" s="1054">
        <f>Q99/Q3</f>
        <v>0.20062580258367491</v>
      </c>
      <c r="M218" s="456"/>
      <c r="N218" s="456"/>
      <c r="O218" s="456"/>
    </row>
    <row r="219" spans="2:15">
      <c r="B219" t="str">
        <f t="shared" si="96"/>
        <v>Senegal</v>
      </c>
      <c r="C219" s="456">
        <f t="shared" si="97"/>
        <v>8.5999999999999993E-2</v>
      </c>
      <c r="D219" s="456">
        <f t="shared" si="98"/>
        <v>8.0522613065326654E-2</v>
      </c>
      <c r="E219" s="456">
        <f t="shared" si="99"/>
        <v>5.4522613065326651E-2</v>
      </c>
      <c r="F219" s="456">
        <f t="shared" si="100"/>
        <v>8.3000000000000004E-2</v>
      </c>
      <c r="G219" s="456">
        <f>M136</f>
        <v>0.17</v>
      </c>
      <c r="H219" s="456">
        <f>N136</f>
        <v>0.21</v>
      </c>
      <c r="I219" s="1054" t="e">
        <f>#REF!</f>
        <v>#REF!</v>
      </c>
      <c r="J219" s="1054">
        <f>P136</f>
        <v>0.21</v>
      </c>
      <c r="K219" s="1054">
        <f ca="1">Q100/Q4</f>
        <v>0.20054989071037746</v>
      </c>
      <c r="M219" s="456"/>
      <c r="N219" s="456"/>
      <c r="O219" s="456"/>
    </row>
    <row r="220" spans="2:15">
      <c r="B220" t="str">
        <f t="shared" si="96"/>
        <v>DRC</v>
      </c>
      <c r="C220" s="456">
        <f t="shared" si="97"/>
        <v>8.5999999999999993E-2</v>
      </c>
      <c r="D220" s="456">
        <f t="shared" si="98"/>
        <v>8.0522613065326654E-2</v>
      </c>
      <c r="E220" s="456">
        <f t="shared" si="99"/>
        <v>5.4522613065326651E-2</v>
      </c>
      <c r="F220" s="456">
        <f t="shared" si="100"/>
        <v>8.3000000000000004E-2</v>
      </c>
      <c r="G220" s="456"/>
      <c r="H220" s="456"/>
      <c r="I220" s="1054"/>
      <c r="J220" s="1054"/>
      <c r="K220" s="1054"/>
      <c r="M220" s="456"/>
      <c r="N220" s="456"/>
      <c r="O220" s="456"/>
    </row>
    <row r="221" spans="2:15">
      <c r="B221" t="str">
        <f t="shared" si="96"/>
        <v>Tanzania (ex Zantel)</v>
      </c>
      <c r="C221" s="456">
        <f t="shared" si="97"/>
        <v>0.36</v>
      </c>
      <c r="D221" s="456">
        <f t="shared" si="98"/>
        <v>0.35</v>
      </c>
      <c r="E221" s="456">
        <f t="shared" si="99"/>
        <v>0.35</v>
      </c>
      <c r="F221" s="456">
        <f t="shared" si="100"/>
        <v>0.34545454545454546</v>
      </c>
      <c r="G221" s="456">
        <f t="shared" ref="G221:G231" si="101">M138</f>
        <v>0.34</v>
      </c>
      <c r="H221" s="456">
        <f t="shared" ref="H221:H231" si="102">N138</f>
        <v>0.33800000000000002</v>
      </c>
      <c r="I221" s="1054" t="e">
        <f>#REF!</f>
        <v>#REF!</v>
      </c>
      <c r="J221" s="1054">
        <f t="shared" ref="J221:J231" si="103">P138</f>
        <v>0.34</v>
      </c>
      <c r="K221" s="1054">
        <f t="shared" ref="K221:K231" si="104">Q102/Q6</f>
        <v>0.33899117126031891</v>
      </c>
      <c r="M221" s="456"/>
      <c r="N221" s="456"/>
      <c r="O221" s="456"/>
    </row>
    <row r="222" spans="2:15">
      <c r="B222" t="str">
        <f t="shared" si="96"/>
        <v>UNE</v>
      </c>
      <c r="C222" s="456">
        <f t="shared" si="97"/>
        <v>0.28754578754578752</v>
      </c>
      <c r="D222" s="456">
        <f t="shared" si="98"/>
        <v>0.31272727272727274</v>
      </c>
      <c r="E222" s="456">
        <f t="shared" si="99"/>
        <v>0.3168724279835391</v>
      </c>
      <c r="F222" s="456">
        <f t="shared" si="100"/>
        <v>0.28999999999999998</v>
      </c>
      <c r="G222" s="456">
        <f t="shared" si="101"/>
        <v>0.32444444444444442</v>
      </c>
      <c r="H222" s="456">
        <f t="shared" si="102"/>
        <v>0.32083333333333336</v>
      </c>
      <c r="I222" s="1054" t="e">
        <f>#REF!</f>
        <v>#REF!</v>
      </c>
      <c r="J222" s="1054">
        <f t="shared" ca="1" si="103"/>
        <v>0.27915105661153328</v>
      </c>
      <c r="K222" s="1054">
        <f t="shared" ca="1" si="104"/>
        <v>0.31052424461809669</v>
      </c>
      <c r="M222" s="456"/>
      <c r="N222" s="456"/>
      <c r="O222" s="456"/>
    </row>
    <row r="223" spans="2:15">
      <c r="B223" t="str">
        <f t="shared" si="96"/>
        <v>Honduras</v>
      </c>
      <c r="C223" s="456">
        <f t="shared" si="97"/>
        <v>0.42</v>
      </c>
      <c r="D223" s="456">
        <f t="shared" si="98"/>
        <v>0.43</v>
      </c>
      <c r="E223" s="456">
        <f t="shared" si="99"/>
        <v>0.43</v>
      </c>
      <c r="F223" s="456">
        <f t="shared" si="100"/>
        <v>0.41699999999999998</v>
      </c>
      <c r="G223" s="456">
        <f t="shared" si="101"/>
        <v>0.42699999999999999</v>
      </c>
      <c r="H223" s="456">
        <f t="shared" si="102"/>
        <v>0.40600000000000003</v>
      </c>
      <c r="I223" s="1054" t="e">
        <f>#REF!</f>
        <v>#REF!</v>
      </c>
      <c r="J223" s="1054">
        <f t="shared" si="103"/>
        <v>0.20887666938850336</v>
      </c>
      <c r="K223" s="1054">
        <f t="shared" si="104"/>
        <v>0.37591572469204154</v>
      </c>
      <c r="M223" s="456"/>
      <c r="N223" s="456"/>
      <c r="O223" s="456"/>
    </row>
    <row r="224" spans="2:15">
      <c r="B224" t="str">
        <f t="shared" si="96"/>
        <v>Bolivia</v>
      </c>
      <c r="C224" s="456">
        <f t="shared" si="97"/>
        <v>0.37</v>
      </c>
      <c r="D224" s="456">
        <f t="shared" si="98"/>
        <v>0.36</v>
      </c>
      <c r="E224" s="456">
        <f t="shared" si="99"/>
        <v>0.36842105263157893</v>
      </c>
      <c r="F224" s="456">
        <f t="shared" si="100"/>
        <v>0.37857142857142856</v>
      </c>
      <c r="G224" s="456">
        <f t="shared" si="101"/>
        <v>0.38970588235294118</v>
      </c>
      <c r="H224" s="456">
        <f t="shared" si="102"/>
        <v>0.37593984962406013</v>
      </c>
      <c r="I224" s="1054" t="e">
        <f>#REF!</f>
        <v>#REF!</v>
      </c>
      <c r="J224" s="1054">
        <f t="shared" ca="1" si="103"/>
        <v>0.30371944668225531</v>
      </c>
      <c r="K224" s="1054">
        <f t="shared" ca="1" si="104"/>
        <v>0.36184011386038695</v>
      </c>
      <c r="M224" s="456"/>
      <c r="N224" s="456"/>
      <c r="O224" s="456"/>
    </row>
    <row r="225" spans="2:15">
      <c r="B225" t="str">
        <f t="shared" si="96"/>
        <v>Rwanda</v>
      </c>
      <c r="C225" s="456">
        <f t="shared" si="97"/>
        <v>8.5999999999999993E-2</v>
      </c>
      <c r="D225" s="456">
        <f t="shared" si="98"/>
        <v>8.0522613065326654E-2</v>
      </c>
      <c r="E225" s="456">
        <f t="shared" si="99"/>
        <v>5.4522613065326651E-2</v>
      </c>
      <c r="F225" s="456">
        <f t="shared" si="100"/>
        <v>8.3000000000000004E-2</v>
      </c>
      <c r="G225" s="456">
        <f t="shared" si="101"/>
        <v>0.17</v>
      </c>
      <c r="H225" s="456">
        <f t="shared" si="102"/>
        <v>0.21</v>
      </c>
      <c r="I225" s="1054" t="e">
        <f>#REF!</f>
        <v>#REF!</v>
      </c>
      <c r="J225" s="1054">
        <f t="shared" si="103"/>
        <v>0.21</v>
      </c>
      <c r="K225" s="1054">
        <f t="shared" si="104"/>
        <v>0.19725049353941243</v>
      </c>
      <c r="M225" s="456"/>
      <c r="N225" s="456"/>
      <c r="O225" s="456"/>
    </row>
    <row r="226" spans="2:15">
      <c r="B226" t="str">
        <f t="shared" si="96"/>
        <v>Colombia mobile</v>
      </c>
      <c r="C226" s="456">
        <f t="shared" si="97"/>
        <v>0.28666666666666668</v>
      </c>
      <c r="D226" s="456">
        <f t="shared" si="98"/>
        <v>0.29831144465290804</v>
      </c>
      <c r="E226" s="456">
        <f t="shared" si="99"/>
        <v>0.26576576576576577</v>
      </c>
      <c r="F226" s="456">
        <f t="shared" si="100"/>
        <v>0.25</v>
      </c>
      <c r="G226" s="456">
        <f t="shared" si="101"/>
        <v>0.2558139534883721</v>
      </c>
      <c r="H226" s="456">
        <f t="shared" si="102"/>
        <v>0.25257731958762886</v>
      </c>
      <c r="I226" s="1054" t="e">
        <f>#REF!</f>
        <v>#REF!</v>
      </c>
      <c r="J226" s="1054">
        <f t="shared" si="103"/>
        <v>0.25281091486523249</v>
      </c>
      <c r="K226" s="1054">
        <f t="shared" si="104"/>
        <v>0.25</v>
      </c>
      <c r="M226" s="456"/>
      <c r="N226" s="456"/>
      <c r="O226" s="456"/>
    </row>
    <row r="227" spans="2:15">
      <c r="B227" t="str">
        <f t="shared" si="96"/>
        <v>El Salvador</v>
      </c>
      <c r="C227" s="456">
        <f t="shared" si="97"/>
        <v>0.38</v>
      </c>
      <c r="D227" s="456">
        <f t="shared" si="98"/>
        <v>0.37</v>
      </c>
      <c r="E227" s="456">
        <f t="shared" si="99"/>
        <v>0.38</v>
      </c>
      <c r="F227" s="456">
        <f t="shared" si="100"/>
        <v>0.37</v>
      </c>
      <c r="G227" s="456">
        <f t="shared" si="101"/>
        <v>0.38118613970007159</v>
      </c>
      <c r="H227" s="456">
        <f t="shared" si="102"/>
        <v>0.35789632308619657</v>
      </c>
      <c r="I227" s="1054" t="e">
        <f>#REF!</f>
        <v>#REF!</v>
      </c>
      <c r="J227" s="1054">
        <f t="shared" si="103"/>
        <v>0.35711945803651235</v>
      </c>
      <c r="K227" s="1054">
        <f t="shared" si="104"/>
        <v>0.36249999999999999</v>
      </c>
      <c r="M227" s="456"/>
      <c r="N227" s="456"/>
      <c r="O227" s="456"/>
    </row>
    <row r="228" spans="2:15">
      <c r="B228" t="str">
        <f t="shared" si="96"/>
        <v>Guatemala</v>
      </c>
      <c r="C228" s="456">
        <f t="shared" si="97"/>
        <v>0.51500000000000001</v>
      </c>
      <c r="D228" s="456">
        <f t="shared" si="98"/>
        <v>0.51700000000000002</v>
      </c>
      <c r="E228" s="456">
        <f t="shared" si="99"/>
        <v>0.52011620795107039</v>
      </c>
      <c r="F228" s="456">
        <f t="shared" si="100"/>
        <v>0.5</v>
      </c>
      <c r="G228" s="456">
        <f t="shared" si="101"/>
        <v>0.53125</v>
      </c>
      <c r="H228" s="456">
        <f t="shared" si="102"/>
        <v>0.51366459627329197</v>
      </c>
      <c r="I228" s="1054" t="e">
        <f>#REF!</f>
        <v>#REF!</v>
      </c>
      <c r="J228" s="1054">
        <f t="shared" si="103"/>
        <v>0.55378455007253502</v>
      </c>
      <c r="K228" s="1054">
        <f t="shared" si="104"/>
        <v>0.52</v>
      </c>
      <c r="M228" s="456"/>
      <c r="N228" s="456"/>
      <c r="O228" s="456"/>
    </row>
    <row r="229" spans="2:15">
      <c r="B229" t="str">
        <f t="shared" si="96"/>
        <v>Paraguay</v>
      </c>
      <c r="C229" s="456">
        <f t="shared" si="97"/>
        <v>0.45600000000000002</v>
      </c>
      <c r="D229" s="456">
        <f t="shared" si="98"/>
        <v>0.45</v>
      </c>
      <c r="E229" s="456">
        <f t="shared" si="99"/>
        <v>0.46</v>
      </c>
      <c r="F229" s="456">
        <f t="shared" si="100"/>
        <v>0.44654088050314467</v>
      </c>
      <c r="G229" s="456">
        <f t="shared" si="101"/>
        <v>0.45500000000000002</v>
      </c>
      <c r="H229" s="456">
        <f t="shared" si="102"/>
        <v>0.46600000000000003</v>
      </c>
      <c r="I229" s="1054" t="e">
        <f>#REF!</f>
        <v>#REF!</v>
      </c>
      <c r="J229" s="1054">
        <f t="shared" ca="1" si="103"/>
        <v>0.44184821541259744</v>
      </c>
      <c r="K229" s="1054">
        <f t="shared" ca="1" si="104"/>
        <v>0.46</v>
      </c>
      <c r="M229" s="456"/>
      <c r="N229" s="456"/>
      <c r="O229" s="456"/>
    </row>
    <row r="230" spans="2:15">
      <c r="B230" t="str">
        <f t="shared" si="96"/>
        <v xml:space="preserve">Costa Rica </v>
      </c>
      <c r="C230" s="456">
        <f t="shared" si="97"/>
        <v>0.39100000000000001</v>
      </c>
      <c r="D230" s="456">
        <f t="shared" si="98"/>
        <v>0.39</v>
      </c>
      <c r="E230" s="456">
        <f t="shared" si="99"/>
        <v>0.35</v>
      </c>
      <c r="F230" s="456">
        <f t="shared" si="100"/>
        <v>0.4</v>
      </c>
      <c r="G230" s="456">
        <f t="shared" si="101"/>
        <v>0.36</v>
      </c>
      <c r="H230" s="456">
        <f t="shared" si="102"/>
        <v>0.35</v>
      </c>
      <c r="I230" s="1054" t="e">
        <f>#REF!</f>
        <v>#REF!</v>
      </c>
      <c r="J230" s="1054">
        <f t="shared" si="103"/>
        <v>0.33585982975495765</v>
      </c>
      <c r="K230" s="1054">
        <f t="shared" si="104"/>
        <v>0.35504512153946061</v>
      </c>
      <c r="M230" s="456"/>
      <c r="N230" s="456"/>
      <c r="O230" s="456"/>
    </row>
    <row r="231" spans="2:15">
      <c r="B231" s="455" t="str">
        <f t="shared" si="96"/>
        <v>Chad</v>
      </c>
      <c r="C231" s="561">
        <f t="shared" si="97"/>
        <v>0.35</v>
      </c>
      <c r="D231" s="561">
        <f t="shared" si="98"/>
        <v>0.28999999999999998</v>
      </c>
      <c r="E231" s="561">
        <f t="shared" si="99"/>
        <v>0.27999999999999997</v>
      </c>
      <c r="F231" s="561">
        <f t="shared" si="100"/>
        <v>0.05</v>
      </c>
      <c r="G231" s="561">
        <f t="shared" ca="1" si="101"/>
        <v>0.3146346901158848</v>
      </c>
      <c r="H231" s="561">
        <f t="shared" ca="1" si="102"/>
        <v>0.3190483253665391</v>
      </c>
      <c r="I231" s="1055" t="e">
        <f>#REF!</f>
        <v>#REF!</v>
      </c>
      <c r="J231" s="1055">
        <f t="shared" ca="1" si="103"/>
        <v>0.46963155357186365</v>
      </c>
      <c r="K231" s="1055">
        <f t="shared" ca="1" si="104"/>
        <v>0.36309641030193618</v>
      </c>
      <c r="M231" s="456"/>
      <c r="N231" s="456"/>
      <c r="O231" s="456"/>
    </row>
    <row r="232" spans="2:15">
      <c r="B232" s="478" t="s">
        <v>4051</v>
      </c>
      <c r="C232" s="456">
        <f>H155</f>
        <v>0.3318648332358104</v>
      </c>
      <c r="D232" s="456">
        <f>I155</f>
        <v>0.33865016747873644</v>
      </c>
      <c r="E232" s="456">
        <f>J155</f>
        <v>0.33731748933577088</v>
      </c>
      <c r="F232" s="456">
        <f ca="1">K155</f>
        <v>0.32823440567918344</v>
      </c>
      <c r="G232" s="456">
        <f>M155</f>
        <v>0.35906544502617804</v>
      </c>
      <c r="H232" s="456">
        <f>N155</f>
        <v>0.3561221374045801</v>
      </c>
      <c r="I232" s="1054" t="e">
        <f>#REF!</f>
        <v>#REF!</v>
      </c>
      <c r="J232" s="1054">
        <f ca="1">P155</f>
        <v>0.3252006114846801</v>
      </c>
      <c r="K232" s="1054">
        <f ca="1">Q155</f>
        <v>0.35193513179935615</v>
      </c>
      <c r="M232" s="456"/>
      <c r="N232" s="456"/>
      <c r="O232" s="456"/>
    </row>
    <row r="234" spans="2:15">
      <c r="B234" s="478" t="s">
        <v>4104</v>
      </c>
      <c r="C234" s="456">
        <f t="shared" ref="C234:H234" si="105">(H107+H103)/(H7+H11)</f>
        <v>0.28712380952380956</v>
      </c>
      <c r="D234" s="456">
        <f t="shared" si="105"/>
        <v>0.30574925463499114</v>
      </c>
      <c r="E234" s="456">
        <f t="shared" si="105"/>
        <v>0.2924731182795699</v>
      </c>
      <c r="F234" s="456">
        <f t="shared" si="105"/>
        <v>0.2718050259477976</v>
      </c>
      <c r="G234" s="456">
        <f t="shared" si="105"/>
        <v>0.28983998972274949</v>
      </c>
      <c r="H234" s="456">
        <f t="shared" si="105"/>
        <v>0.29471032745591941</v>
      </c>
    </row>
    <row r="236" spans="2:15">
      <c r="B236" t="str">
        <f>B151</f>
        <v>Central America</v>
      </c>
      <c r="C236" s="456">
        <f t="shared" ref="C236:F238" si="106">H151</f>
        <v>0.45935612082670907</v>
      </c>
      <c r="D236" s="456">
        <f t="shared" si="106"/>
        <v>0.46116429699842015</v>
      </c>
      <c r="E236" s="456">
        <f t="shared" si="106"/>
        <v>0.46288877846790882</v>
      </c>
      <c r="F236" s="456">
        <f t="shared" si="106"/>
        <v>0.45051609591853486</v>
      </c>
      <c r="G236" s="456">
        <f t="shared" ref="G236:H238" si="107">M151</f>
        <v>0.47007914109345461</v>
      </c>
      <c r="H236" s="456">
        <f t="shared" si="107"/>
        <v>0.45124637681159419</v>
      </c>
    </row>
    <row r="237" spans="2:15">
      <c r="B237" t="str">
        <f>B152</f>
        <v>South America</v>
      </c>
      <c r="C237" s="456">
        <f t="shared" si="106"/>
        <v>0.33595908543922987</v>
      </c>
      <c r="D237" s="456">
        <f t="shared" si="106"/>
        <v>0.34361534623399548</v>
      </c>
      <c r="E237" s="456">
        <f t="shared" si="106"/>
        <v>0.34209424083769635</v>
      </c>
      <c r="F237" s="456">
        <f t="shared" si="106"/>
        <v>0.32817744974939195</v>
      </c>
      <c r="G237" s="456">
        <f t="shared" si="107"/>
        <v>0.3498542274052478</v>
      </c>
      <c r="H237" s="456">
        <f t="shared" si="107"/>
        <v>0.3456043956043956</v>
      </c>
    </row>
    <row r="238" spans="2:15">
      <c r="B238" t="str">
        <f>B153</f>
        <v>Africa</v>
      </c>
      <c r="C238" s="456">
        <f t="shared" si="106"/>
        <v>0.22596774193548386</v>
      </c>
      <c r="D238" s="456">
        <f t="shared" si="106"/>
        <v>0.21499388609715242</v>
      </c>
      <c r="E238" s="456">
        <f t="shared" si="106"/>
        <v>0.19917012448132779</v>
      </c>
      <c r="F238" s="456">
        <f t="shared" ca="1" si="106"/>
        <v>0.16430226533125736</v>
      </c>
      <c r="G238" s="456">
        <f t="shared" ca="1" si="107"/>
        <v>0.25933049280620263</v>
      </c>
      <c r="H238" s="456">
        <f t="shared" si="107"/>
        <v>0.27927927927927926</v>
      </c>
    </row>
  </sheetData>
  <pageMargins left="0.70866141732283472" right="0.70866141732283472" top="0.74803149606299213" bottom="0.74803149606299213" header="0.31496062992125984" footer="0.31496062992125984"/>
  <pageSetup paperSize="9" scale="34" fitToHeight="3"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P66"/>
  <sheetViews>
    <sheetView showGridLines="0" zoomScale="70" zoomScaleNormal="70" workbookViewId="0">
      <selection activeCell="L54" sqref="L54"/>
    </sheetView>
  </sheetViews>
  <sheetFormatPr defaultRowHeight="15"/>
  <cols>
    <col min="2" max="2" width="40.42578125" customWidth="1"/>
  </cols>
  <sheetData>
    <row r="2" spans="2:10" ht="15.75" thickBot="1"/>
    <row r="3" spans="2:10">
      <c r="B3" s="451" t="s">
        <v>5529</v>
      </c>
      <c r="C3" s="560" t="s">
        <v>5040</v>
      </c>
      <c r="D3" s="560" t="s">
        <v>5041</v>
      </c>
      <c r="E3" s="560" t="s">
        <v>5042</v>
      </c>
      <c r="F3" t="s">
        <v>5043</v>
      </c>
      <c r="G3" t="s">
        <v>5054</v>
      </c>
      <c r="H3" t="s">
        <v>5530</v>
      </c>
    </row>
    <row r="4" spans="2:10">
      <c r="B4" s="478" t="s">
        <v>758</v>
      </c>
      <c r="C4" s="464">
        <f>'New (new) quarts'!W34</f>
        <v>1487</v>
      </c>
      <c r="D4" s="464">
        <f>'New (new) quarts'!X34</f>
        <v>1513</v>
      </c>
      <c r="E4" s="464">
        <f>'New (new) quarts'!Y34</f>
        <v>1498</v>
      </c>
      <c r="F4">
        <f>'New (new) quarts'!Z34</f>
        <v>1514</v>
      </c>
      <c r="G4" s="464" t="e">
        <f>'New (new) quarts'!#REF!</f>
        <v>#REF!</v>
      </c>
      <c r="H4" t="e">
        <f>F4/G4-1</f>
        <v>#REF!</v>
      </c>
    </row>
    <row r="5" spans="2:10">
      <c r="B5" s="478" t="s">
        <v>1531</v>
      </c>
      <c r="C5" s="464">
        <f>'New (new) quarts'!W71</f>
        <v>1393</v>
      </c>
      <c r="D5" s="464">
        <f>'New (new) quarts'!X71</f>
        <v>1409</v>
      </c>
      <c r="E5" s="464">
        <f>'New (new) quarts'!Y71</f>
        <v>1399</v>
      </c>
      <c r="F5">
        <f>'New (new) quarts'!Z71</f>
        <v>1395</v>
      </c>
      <c r="G5" s="464" t="e">
        <f>'New (new) quarts'!#REF!</f>
        <v>#REF!</v>
      </c>
      <c r="H5" t="e">
        <f>F5/G5-1</f>
        <v>#REF!</v>
      </c>
    </row>
    <row r="6" spans="2:10">
      <c r="B6" s="478"/>
      <c r="C6" s="464"/>
      <c r="D6" s="464"/>
      <c r="E6" s="464"/>
      <c r="G6" s="464"/>
    </row>
    <row r="7" spans="2:10">
      <c r="B7" s="450" t="s">
        <v>5496</v>
      </c>
      <c r="C7" s="598">
        <f>'New (new) quarts'!W49+'New (new) quarts'!W55</f>
        <v>1259</v>
      </c>
      <c r="D7" s="598">
        <f>'New (new) quarts'!X49+'New (new) quarts'!X55</f>
        <v>1280</v>
      </c>
      <c r="E7" s="598">
        <f>'New (new) quarts'!Y49+'New (new) quarts'!Y55</f>
        <v>1268</v>
      </c>
      <c r="F7">
        <f>'New (new) quarts'!Z49+'New (new) quarts'!Z55</f>
        <v>1263</v>
      </c>
      <c r="G7" s="598" t="e">
        <f>'New (new) quarts'!#REF!+'New (new) quarts'!#REF!</f>
        <v>#REF!</v>
      </c>
      <c r="H7" t="e">
        <f>F7/G7-1</f>
        <v>#REF!</v>
      </c>
    </row>
    <row r="8" spans="2:10">
      <c r="B8" s="478" t="s">
        <v>945</v>
      </c>
      <c r="C8" s="456">
        <f>'New (new) quarts'!W375</f>
        <v>3.9E-2</v>
      </c>
      <c r="D8" s="456">
        <f>'New (new) quarts'!X375</f>
        <v>5.5E-2</v>
      </c>
      <c r="E8" s="456">
        <f>'New (new) quarts'!Y375</f>
        <v>4.7E-2</v>
      </c>
      <c r="F8">
        <f>'New (new) quarts'!Z375</f>
        <v>3.6999999999999998E-2</v>
      </c>
      <c r="G8" s="456" t="e">
        <f>'New (new) quarts'!#REF!</f>
        <v>#REF!</v>
      </c>
    </row>
    <row r="9" spans="2:10">
      <c r="C9" s="464"/>
      <c r="D9" s="464"/>
      <c r="E9" s="464"/>
      <c r="G9" s="464"/>
      <c r="H9" s="1057"/>
    </row>
    <row r="10" spans="2:10">
      <c r="B10" s="478" t="s">
        <v>360</v>
      </c>
      <c r="C10" s="464">
        <f>'New (new) quarts'!W137</f>
        <v>560</v>
      </c>
      <c r="D10" s="464">
        <f>'New (new) quarts'!X137</f>
        <v>557</v>
      </c>
      <c r="E10" s="464">
        <f>'New (new) quarts'!Y137</f>
        <v>561</v>
      </c>
      <c r="F10">
        <f>'New (new) quarts'!Z137</f>
        <v>504</v>
      </c>
      <c r="G10" s="464" t="e">
        <f>'New (new) quarts'!#REF!</f>
        <v>#REF!</v>
      </c>
      <c r="H10" t="e">
        <f>F10/G10-1</f>
        <v>#REF!</v>
      </c>
    </row>
    <row r="11" spans="2:10">
      <c r="B11" s="478" t="s">
        <v>1434</v>
      </c>
      <c r="C11" s="456">
        <f>C10/C4</f>
        <v>0.3765971755211836</v>
      </c>
      <c r="D11" s="456">
        <f>D10/D4</f>
        <v>0.36814276272306673</v>
      </c>
      <c r="E11" s="456">
        <f>E10/E4</f>
        <v>0.37449933244325767</v>
      </c>
      <c r="F11">
        <f>F10/F4</f>
        <v>0.33289299867899602</v>
      </c>
      <c r="G11" s="456" t="e">
        <f>G10/G4</f>
        <v>#REF!</v>
      </c>
      <c r="H11" s="1057"/>
    </row>
    <row r="12" spans="2:10">
      <c r="B12" s="478" t="s">
        <v>5531</v>
      </c>
      <c r="C12" s="464">
        <f>'New (new) quarts'!W143</f>
        <v>557</v>
      </c>
      <c r="D12" s="464">
        <f>'New (new) quarts'!X143</f>
        <v>552</v>
      </c>
      <c r="E12" s="464">
        <f>'New (new) quarts'!Y143</f>
        <v>560</v>
      </c>
      <c r="F12">
        <f>'New (new) quarts'!Z143</f>
        <v>559</v>
      </c>
      <c r="G12" s="464" t="e">
        <f>'New (new) quarts'!#REF!</f>
        <v>#REF!</v>
      </c>
      <c r="H12" t="e">
        <f>F12/G12-1</f>
        <v>#REF!</v>
      </c>
    </row>
    <row r="13" spans="2:10">
      <c r="C13" s="464"/>
      <c r="D13" s="464"/>
      <c r="E13" s="464"/>
      <c r="G13" s="464"/>
      <c r="H13" s="1057"/>
    </row>
    <row r="14" spans="2:10">
      <c r="B14" s="450" t="s">
        <v>5497</v>
      </c>
      <c r="C14" s="639">
        <f>'New (new) quarts'!W113+'New (new) quarts'!W119+'New (new) quarts'!W132</f>
        <v>520</v>
      </c>
      <c r="D14" s="639">
        <f>'New (new) quarts'!X113+'New (new) quarts'!X119+'New (new) quarts'!X132</f>
        <v>520</v>
      </c>
      <c r="E14" s="639">
        <f>'New (new) quarts'!Y113+'New (new) quarts'!Y119+'New (new) quarts'!Y132</f>
        <v>522</v>
      </c>
      <c r="F14">
        <f>'New (new) quarts'!Z113+'New (new) quarts'!Z119+'New (new) quarts'!Z132</f>
        <v>522</v>
      </c>
      <c r="G14" s="639" t="e">
        <f>'New (new) quarts'!#REF!+'New (new) quarts'!#REF!+'New (new) quarts'!#REF!</f>
        <v>#REF!</v>
      </c>
      <c r="H14" t="e">
        <f>F14/G14-1</f>
        <v>#REF!</v>
      </c>
      <c r="J14" s="449"/>
    </row>
    <row r="15" spans="2:10">
      <c r="B15" s="478" t="s">
        <v>5523</v>
      </c>
      <c r="C15" s="456">
        <f>'New (new) quarts'!W208</f>
        <v>0.40739689578713978</v>
      </c>
      <c r="D15" s="456">
        <f>'New (new) quarts'!X208</f>
        <v>0.39931358381502891</v>
      </c>
      <c r="E15" s="456">
        <f>'New (new) quarts'!Y208</f>
        <v>0.40700000000000003</v>
      </c>
      <c r="F15">
        <f>'New (new) quarts'!Z208</f>
        <v>0.4040550325850833</v>
      </c>
      <c r="G15" s="456" t="e">
        <f>'New (new) quarts'!#REF!</f>
        <v>#REF!</v>
      </c>
      <c r="H15" s="1057"/>
    </row>
    <row r="16" spans="2:10">
      <c r="B16" s="478" t="s">
        <v>945</v>
      </c>
      <c r="C16" s="456">
        <f>'New (new) quarts'!W173</f>
        <v>3.6999999999999998E-2</v>
      </c>
      <c r="D16" s="456">
        <f>'New (new) quarts'!X173</f>
        <v>4.3999999999999997E-2</v>
      </c>
      <c r="E16" s="456">
        <f>'New (new) quarts'!Y173</f>
        <v>4.2000000000000003E-2</v>
      </c>
      <c r="F16">
        <f>'New (new) quarts'!Z173</f>
        <v>0.04</v>
      </c>
      <c r="G16" s="456" t="e">
        <f>'New (new) quarts'!#REF!</f>
        <v>#REF!</v>
      </c>
      <c r="H16" s="1057"/>
    </row>
    <row r="17" spans="1:16">
      <c r="C17" s="464"/>
      <c r="D17" s="464"/>
      <c r="E17" s="464"/>
      <c r="G17" s="464"/>
      <c r="H17" s="1057"/>
    </row>
    <row r="18" spans="1:16">
      <c r="B18" s="478" t="s">
        <v>1545</v>
      </c>
      <c r="C18" s="464">
        <f>'New (new) quarts'!W417</f>
        <v>160</v>
      </c>
      <c r="D18" s="464">
        <f>'New (new) quarts'!X417</f>
        <v>228</v>
      </c>
      <c r="E18" s="464">
        <f>'New (new) quarts'!Y417</f>
        <v>261</v>
      </c>
      <c r="F18">
        <f>'New (new) quarts'!Z417</f>
        <v>367</v>
      </c>
      <c r="G18" s="464" t="e">
        <f>'New (new) quarts'!#REF!</f>
        <v>#REF!</v>
      </c>
      <c r="H18" t="e">
        <f>F18/G18-1</f>
        <v>#REF!</v>
      </c>
    </row>
    <row r="19" spans="1:16" ht="15.75" thickBot="1">
      <c r="B19" s="478" t="s">
        <v>150</v>
      </c>
      <c r="C19" s="464">
        <f>'New (new) quarts'!W539</f>
        <v>4100</v>
      </c>
      <c r="D19" s="464">
        <f>'New (new) quarts'!X539</f>
        <v>3981</v>
      </c>
      <c r="E19" s="464">
        <f>'New (new) quarts'!Y539</f>
        <v>3786</v>
      </c>
      <c r="F19">
        <f>'New (new) quarts'!Z539</f>
        <v>5116</v>
      </c>
      <c r="G19" t="e">
        <f>'New (new) quarts'!#REF!</f>
        <v>#REF!</v>
      </c>
      <c r="H19" t="e">
        <f>F19/G19-1</f>
        <v>#REF!</v>
      </c>
    </row>
    <row r="20" spans="1:16">
      <c r="B20" s="478"/>
    </row>
    <row r="21" spans="1:16">
      <c r="B21" s="499" t="s">
        <v>5535</v>
      </c>
    </row>
    <row r="22" spans="1:16">
      <c r="B22" s="478" t="s">
        <v>5536</v>
      </c>
      <c r="C22" s="456">
        <f>'New (new) quarts'!W608</f>
        <v>8.9999999999999993E-3</v>
      </c>
      <c r="D22" s="456">
        <f>'New (new) quarts'!X608</f>
        <v>2.1000000000000001E-2</v>
      </c>
      <c r="E22" s="456">
        <f>'New (new) quarts'!Y608</f>
        <v>0.01</v>
      </c>
      <c r="F22" s="456">
        <f>'New (new) quarts'!Z608</f>
        <v>1.2999999999999999E-2</v>
      </c>
    </row>
    <row r="23" spans="1:16">
      <c r="B23" s="499" t="s">
        <v>5537</v>
      </c>
    </row>
    <row r="24" spans="1:16">
      <c r="A24" s="478"/>
      <c r="B24" s="478" t="s">
        <v>5528</v>
      </c>
      <c r="C24" s="456">
        <f>'New (new) quarts'!W611</f>
        <v>8.8999999999999996E-2</v>
      </c>
      <c r="D24" s="456">
        <f>'New (new) quarts'!X611</f>
        <v>7.0999999999999994E-2</v>
      </c>
      <c r="E24" s="456">
        <f>'New (new) quarts'!Y611</f>
        <v>6.5000000000000002E-2</v>
      </c>
      <c r="F24" s="768" t="s">
        <v>5534</v>
      </c>
      <c r="G24" s="456"/>
    </row>
    <row r="25" spans="1:16">
      <c r="B25" s="478" t="s">
        <v>5527</v>
      </c>
      <c r="C25" s="456">
        <f>'New (new) quarts'!W610</f>
        <v>7.5999999999999998E-2</v>
      </c>
      <c r="D25" s="456">
        <f>'New (new) quarts'!X610</f>
        <v>0.126</v>
      </c>
      <c r="E25" s="456">
        <f>'New (new) quarts'!Y610</f>
        <v>0.125</v>
      </c>
      <c r="F25" s="456">
        <f>'New (new) quarts'!Z610</f>
        <v>0.115</v>
      </c>
      <c r="G25" s="456"/>
    </row>
    <row r="26" spans="1:16">
      <c r="B26" s="478" t="s">
        <v>5533</v>
      </c>
      <c r="C26" s="454">
        <f>'Earning snaps'!O11-'Earning snaps'!N11</f>
        <v>99</v>
      </c>
      <c r="D26" s="454">
        <f>'Earning snaps'!P11-'Earning snaps'!O11</f>
        <v>105</v>
      </c>
      <c r="E26" s="454">
        <f>'Earning snaps'!Q11-'Earning snaps'!P11</f>
        <v>169</v>
      </c>
      <c r="F26" s="454">
        <f>'New (new) quarts'!Z751</f>
        <v>1175</v>
      </c>
      <c r="G26" s="454" t="e">
        <f>'New (new) quarts'!#REF!</f>
        <v>#REF!</v>
      </c>
    </row>
    <row r="27" spans="1:16">
      <c r="B27" s="487" t="s">
        <v>5532</v>
      </c>
      <c r="C27" s="462">
        <f>'Earning snaps'!O12-'Earning snaps'!N12</f>
        <v>-15</v>
      </c>
      <c r="D27" s="462">
        <f>'Earning snaps'!P12-'Earning snaps'!O12</f>
        <v>-91</v>
      </c>
      <c r="E27" s="462">
        <f>'Earning snaps'!Q12-'Earning snaps'!P12</f>
        <v>-86</v>
      </c>
      <c r="F27" s="462">
        <v>93</v>
      </c>
      <c r="G27" s="462" t="e">
        <f>'New (new) quarts'!#REF!</f>
        <v>#REF!</v>
      </c>
      <c r="H27" s="455"/>
    </row>
    <row r="28" spans="1:16">
      <c r="B28" s="478" t="s">
        <v>5538</v>
      </c>
      <c r="C28" s="454"/>
      <c r="D28" s="454"/>
      <c r="E28" s="454"/>
      <c r="F28" s="454"/>
      <c r="G28" s="454"/>
    </row>
    <row r="29" spans="1:16" ht="15.75" thickBot="1">
      <c r="K29" s="599" t="s">
        <v>5649</v>
      </c>
    </row>
    <row r="30" spans="1:16">
      <c r="B30" s="451" t="s">
        <v>4537</v>
      </c>
      <c r="C30" s="560" t="str">
        <f>'New (new) quarts'!R349</f>
        <v>Q1 17</v>
      </c>
      <c r="D30" s="560" t="str">
        <f>'New (new) quarts'!S349</f>
        <v>Q2 17</v>
      </c>
      <c r="E30" s="560" t="str">
        <f>'New (new) quarts'!T349</f>
        <v>Q3 17</v>
      </c>
      <c r="F30" s="560" t="str">
        <f>'New (new) quarts'!U349</f>
        <v>Q4 17</v>
      </c>
      <c r="G30" s="560" t="str">
        <f>'New (new) quarts'!W349</f>
        <v>Q1 18</v>
      </c>
      <c r="H30" s="560" t="str">
        <f>'New (new) quarts'!X349</f>
        <v>Q2 18</v>
      </c>
      <c r="I30" s="560" t="str">
        <f>'New (new) quarts'!Y349</f>
        <v>Q3 18</v>
      </c>
      <c r="J30" s="560" t="str">
        <f>'New (new) quarts'!Z349</f>
        <v>Q4 18</v>
      </c>
      <c r="K30" t="str">
        <f>'New (new) quarts'!AC349</f>
        <v>Q1 19</v>
      </c>
      <c r="L30" s="560" t="e">
        <f>'New (new) quarts'!#REF!</f>
        <v>#REF!</v>
      </c>
    </row>
    <row r="31" spans="1:16">
      <c r="B31" t="str">
        <f>'New (new) quarts'!B350</f>
        <v>El Salvador</v>
      </c>
      <c r="C31" s="456">
        <f>'New (new) quarts'!R350</f>
        <v>-6.2981310996317541E-2</v>
      </c>
      <c r="D31" s="456">
        <f>'New (new) quarts'!S350</f>
        <v>-1.4E-2</v>
      </c>
      <c r="E31" s="456">
        <f>'New (new) quarts'!T350</f>
        <v>3.0000000000000001E-3</v>
      </c>
      <c r="F31" s="456">
        <f>'New (new) quarts'!U350</f>
        <v>5.3999999999999999E-2</v>
      </c>
      <c r="G31" s="456">
        <f>'New (new) quarts'!W350</f>
        <v>2.1000000000000001E-2</v>
      </c>
      <c r="H31" s="456">
        <f>'New (new) quarts'!X350</f>
        <v>-3.5999999999999997E-2</v>
      </c>
      <c r="I31" s="456">
        <f>'New (new) quarts'!Y350</f>
        <v>-7.6999999999999999E-2</v>
      </c>
      <c r="J31" s="456">
        <f>'New (new) quarts'!Z350</f>
        <v>-8.8999999999999996E-2</v>
      </c>
      <c r="K31">
        <f>'New (new) quarts'!AC350</f>
        <v>-7.5999999999999998E-2</v>
      </c>
      <c r="L31" s="456" t="e">
        <f>'New (new) quarts'!#REF!</f>
        <v>#REF!</v>
      </c>
      <c r="O31" s="456"/>
      <c r="P31" s="456"/>
    </row>
    <row r="32" spans="1:16">
      <c r="B32" t="str">
        <f>'New (new) quarts'!B351</f>
        <v>Guatemala</v>
      </c>
      <c r="C32" s="456">
        <f>'New (new) quarts'!R351</f>
        <v>-4.1168651147424629E-2</v>
      </c>
      <c r="D32" s="456">
        <f>'New (new) quarts'!S351</f>
        <v>-2.5000000000000001E-2</v>
      </c>
      <c r="E32" s="456">
        <f>'New (new) quarts'!T351</f>
        <v>3.5000000000000003E-2</v>
      </c>
      <c r="F32" s="456">
        <f>'New (new) quarts'!U351</f>
        <v>3.4000000000000002E-2</v>
      </c>
      <c r="G32" s="456">
        <f>'New (new) quarts'!W351</f>
        <v>5.7000000000000002E-2</v>
      </c>
      <c r="H32" s="456">
        <f>'New (new) quarts'!X351</f>
        <v>6.4000000000000001E-2</v>
      </c>
      <c r="I32" s="456">
        <f>'New (new) quarts'!Y351</f>
        <v>6.4000000000000001E-2</v>
      </c>
      <c r="J32" s="456">
        <f>'New (new) quarts'!Z351</f>
        <v>6.8000000000000005E-2</v>
      </c>
      <c r="K32">
        <f>'New (new) quarts'!AC351</f>
        <v>7.0000000000000007E-2</v>
      </c>
      <c r="L32" s="456" t="e">
        <f>'New (new) quarts'!#REF!</f>
        <v>#REF!</v>
      </c>
      <c r="O32" s="456"/>
      <c r="P32" s="456"/>
    </row>
    <row r="33" spans="2:16">
      <c r="B33" t="str">
        <f>'New (new) quarts'!B352</f>
        <v>Honduras (JV)</v>
      </c>
      <c r="C33" s="456">
        <f>'New (new) quarts'!R352</f>
        <v>-1.3202736752249256E-2</v>
      </c>
      <c r="D33" s="456">
        <f>'New (new) quarts'!S352</f>
        <v>-6.4573330764599035E-3</v>
      </c>
      <c r="E33" s="456">
        <f>'New (new) quarts'!T352</f>
        <v>-8.0000000000000002E-3</v>
      </c>
      <c r="F33" s="456">
        <f>'New (new) quarts'!U352</f>
        <v>-1E-3</v>
      </c>
      <c r="G33" s="456">
        <f>'New (new) quarts'!W352</f>
        <v>0</v>
      </c>
      <c r="H33" s="456">
        <f>'New (new) quarts'!X352</f>
        <v>3.0000000000000001E-3</v>
      </c>
      <c r="I33" s="456">
        <f>'New (new) quarts'!Y352</f>
        <v>2.5999999999999999E-2</v>
      </c>
      <c r="J33" s="456">
        <f>'New (new) quarts'!Z352</f>
        <v>4.8000000000000001E-2</v>
      </c>
      <c r="K33">
        <f>'New (new) quarts'!AC352</f>
        <v>3.1E-2</v>
      </c>
      <c r="L33" s="456" t="e">
        <f>'New (new) quarts'!#REF!</f>
        <v>#REF!</v>
      </c>
      <c r="O33" s="456"/>
      <c r="P33" s="456"/>
    </row>
    <row r="34" spans="2:16" hidden="1">
      <c r="B34" t="str">
        <f>'New (new) quarts'!B353</f>
        <v>Panama</v>
      </c>
      <c r="C34" s="456"/>
      <c r="D34" s="456"/>
      <c r="E34" s="456"/>
      <c r="F34" s="456"/>
      <c r="G34" s="456"/>
      <c r="H34" s="456"/>
      <c r="I34" s="456"/>
      <c r="J34" s="456"/>
      <c r="L34" s="456"/>
      <c r="O34" s="456"/>
      <c r="P34" s="456"/>
    </row>
    <row r="35" spans="2:16">
      <c r="B35" t="str">
        <f>'New (new) quarts'!B357</f>
        <v>Costa Rica/old Nicaragua</v>
      </c>
      <c r="C35" s="456">
        <f>'New (new) quarts'!R357</f>
        <v>0.01</v>
      </c>
      <c r="D35" s="456">
        <f>'New (new) quarts'!S357</f>
        <v>3.6999999999999998E-2</v>
      </c>
      <c r="E35" s="456">
        <f>'New (new) quarts'!T357</f>
        <v>1.6E-2</v>
      </c>
      <c r="F35" s="456">
        <f>'New (new) quarts'!U357</f>
        <v>6.7000000000000004E-2</v>
      </c>
      <c r="G35" s="456">
        <f>'New (new) quarts'!W357</f>
        <v>3.4000000000000002E-2</v>
      </c>
      <c r="H35" s="456">
        <f>'New (new) quarts'!X357</f>
        <v>0.01</v>
      </c>
      <c r="I35" s="456">
        <f>'New (new) quarts'!Y357</f>
        <v>-1.4E-2</v>
      </c>
      <c r="J35" s="768" t="s">
        <v>2619</v>
      </c>
      <c r="K35" t="s">
        <v>2619</v>
      </c>
      <c r="L35" s="456" t="e">
        <f>'New (new) quarts'!#REF!</f>
        <v>#REF!</v>
      </c>
      <c r="O35" s="456"/>
      <c r="P35" s="456"/>
    </row>
    <row r="36" spans="2:16">
      <c r="B36" t="str">
        <f>'New (new) quarts'!B361</f>
        <v>Bolivia</v>
      </c>
      <c r="C36" s="456">
        <f>'New (new) quarts'!R361</f>
        <v>4.5614700614393655E-3</v>
      </c>
      <c r="D36" s="456">
        <f>'New (new) quarts'!S361</f>
        <v>2.5999999999999999E-2</v>
      </c>
      <c r="E36" s="456">
        <f>'New (new) quarts'!T361</f>
        <v>6.1063926969062265E-2</v>
      </c>
      <c r="F36" s="456">
        <f>'New (new) quarts'!U361</f>
        <v>9.0999999999999998E-2</v>
      </c>
      <c r="G36" s="456">
        <f>'New (new) quarts'!W361</f>
        <v>0.108</v>
      </c>
      <c r="H36" s="456">
        <f>'New (new) quarts'!X361</f>
        <v>0.157</v>
      </c>
      <c r="I36" s="456">
        <f>'New (new) quarts'!Y361</f>
        <v>0.13700000000000001</v>
      </c>
      <c r="J36" s="456">
        <f>'New (new) quarts'!Z361</f>
        <v>8.6999999999999994E-2</v>
      </c>
      <c r="K36">
        <f>'New (new) quarts'!AC361</f>
        <v>0.121</v>
      </c>
      <c r="L36" s="456" t="e">
        <f>'New (new) quarts'!#REF!</f>
        <v>#REF!</v>
      </c>
      <c r="O36" s="456"/>
      <c r="P36" s="456"/>
    </row>
    <row r="37" spans="2:16">
      <c r="B37" t="str">
        <f>'New (new) quarts'!B362</f>
        <v>Colombia</v>
      </c>
      <c r="C37" s="456">
        <f>'New (new) quarts'!R362</f>
        <v>-3.0000000000000001E-3</v>
      </c>
      <c r="D37" s="456">
        <f>'New (new) quarts'!S362</f>
        <v>-2.5000000000000001E-2</v>
      </c>
      <c r="E37" s="456">
        <f>'New (new) quarts'!T362</f>
        <v>3.0000000000000001E-3</v>
      </c>
      <c r="F37" s="456">
        <f>'New (new) quarts'!U362</f>
        <v>-2E-3</v>
      </c>
      <c r="G37" s="456">
        <f>'New (new) quarts'!W362</f>
        <v>2.1999999999999999E-2</v>
      </c>
      <c r="H37" s="456">
        <f>'New (new) quarts'!X362</f>
        <v>5.8000000000000003E-2</v>
      </c>
      <c r="I37" s="456">
        <f>'New (new) quarts'!Y362</f>
        <v>4.3999999999999997E-2</v>
      </c>
      <c r="J37" s="456">
        <f>'New (new) quarts'!Z362</f>
        <v>0.03</v>
      </c>
      <c r="K37">
        <f>'New (new) quarts'!AC362</f>
        <v>2.8000000000000001E-2</v>
      </c>
      <c r="L37" s="456" t="e">
        <f>'New (new) quarts'!#REF!</f>
        <v>#REF!</v>
      </c>
      <c r="O37" s="456"/>
      <c r="P37" s="456"/>
    </row>
    <row r="38" spans="2:16">
      <c r="B38" t="str">
        <f>'New (new) quarts'!B363</f>
        <v>Paraguay</v>
      </c>
      <c r="C38" s="456">
        <f>'New (new) quarts'!R363</f>
        <v>2.9000000000000001E-2</v>
      </c>
      <c r="D38" s="456">
        <f>'New (new) quarts'!S363</f>
        <v>4.4999999999999998E-2</v>
      </c>
      <c r="E38" s="456">
        <f>'New (new) quarts'!T363</f>
        <v>6.5000000000000002E-2</v>
      </c>
      <c r="F38" s="456">
        <f>'New (new) quarts'!U363</f>
        <v>8.8999999999999996E-2</v>
      </c>
      <c r="G38" s="456">
        <f>'New (new) quarts'!W363</f>
        <v>7.8E-2</v>
      </c>
      <c r="H38" s="456">
        <f>'New (new) quarts'!X363</f>
        <v>6.2E-2</v>
      </c>
      <c r="I38" s="456">
        <f>'New (new) quarts'!Y363</f>
        <v>5.3999999999999999E-2</v>
      </c>
      <c r="J38" s="456">
        <f>'New (new) quarts'!Z363</f>
        <v>2.5999999999999999E-2</v>
      </c>
      <c r="K38">
        <f>'New (new) quarts'!AC363</f>
        <v>-6.0000000000000001E-3</v>
      </c>
      <c r="L38" s="456" t="e">
        <f>'New (new) quarts'!#REF!</f>
        <v>#REF!</v>
      </c>
      <c r="O38" s="456"/>
      <c r="P38" s="456"/>
    </row>
    <row r="39" spans="2:16" ht="15.75" thickBot="1">
      <c r="B39" s="478" t="s">
        <v>2032</v>
      </c>
      <c r="C39" s="456"/>
      <c r="D39" s="456"/>
      <c r="E39" s="456"/>
      <c r="F39" s="456"/>
      <c r="G39" s="456"/>
      <c r="H39" s="456"/>
      <c r="I39" s="456"/>
      <c r="J39" s="456"/>
      <c r="K39">
        <f>'New (new) quarts'!AC353</f>
        <v>4.2999999999999997E-2</v>
      </c>
      <c r="L39" s="456"/>
      <c r="O39" s="456"/>
      <c r="P39" s="456"/>
    </row>
    <row r="40" spans="2:16" ht="15.75" thickBot="1">
      <c r="B40" t="s">
        <v>2554</v>
      </c>
      <c r="C40">
        <f>'New (new) quarts'!R375</f>
        <v>-1.2958094728063385E-2</v>
      </c>
      <c r="D40">
        <f>'New (new) quarts'!S375</f>
        <v>-5.4741310601249538E-3</v>
      </c>
      <c r="E40">
        <f>'New (new) quarts'!T375</f>
        <v>2.3193429069260873E-2</v>
      </c>
      <c r="F40">
        <f>'New (new) quarts'!U375</f>
        <v>3.1E-2</v>
      </c>
      <c r="G40">
        <f>'New (new) quarts'!W375</f>
        <v>3.9E-2</v>
      </c>
      <c r="H40">
        <f>'New (new) quarts'!X375</f>
        <v>5.5E-2</v>
      </c>
      <c r="I40">
        <f>'New (new) quarts'!Y375</f>
        <v>4.7E-2</v>
      </c>
      <c r="J40">
        <f>'New (new) quarts'!Z375</f>
        <v>3.6999999999999998E-2</v>
      </c>
      <c r="K40">
        <f>'New (new) quarts'!AC375</f>
        <v>3.6999999999999998E-2</v>
      </c>
      <c r="L40" t="e">
        <f>'New (new) quarts'!#REF!</f>
        <v>#REF!</v>
      </c>
      <c r="O40" s="456"/>
      <c r="P40" s="456"/>
    </row>
    <row r="41" spans="2:16">
      <c r="C41" s="456"/>
      <c r="D41" s="456"/>
      <c r="E41" s="456"/>
      <c r="F41" s="456"/>
      <c r="G41" s="456"/>
      <c r="H41" s="456"/>
      <c r="I41" s="456"/>
      <c r="J41" s="456"/>
      <c r="L41" s="456"/>
      <c r="O41" s="456"/>
      <c r="P41" s="456"/>
    </row>
    <row r="42" spans="2:16">
      <c r="B42" s="478" t="s">
        <v>1831</v>
      </c>
      <c r="C42" s="456">
        <f>'New (new) quarts'!R372</f>
        <v>-3.5999999999999997E-2</v>
      </c>
      <c r="D42" s="456">
        <f>'New (new) quarts'!S372</f>
        <v>-6.2E-2</v>
      </c>
      <c r="E42" s="456">
        <f>'New (new) quarts'!T372</f>
        <v>-3.2324491418243187E-2</v>
      </c>
      <c r="F42" s="456">
        <f>'New (new) quarts'!U372</f>
        <v>-6.3E-2</v>
      </c>
      <c r="G42" s="456">
        <f>'New (new) quarts'!W372</f>
        <v>1.6792046044407143E-2</v>
      </c>
      <c r="H42" s="456">
        <f>'New (new) quarts'!X372</f>
        <v>3.1358501189027624E-2</v>
      </c>
      <c r="I42" s="456">
        <f>'New (new) quarts'!Y372</f>
        <v>-1.7673043326528047E-3</v>
      </c>
      <c r="J42" s="456">
        <f>'New (new) quarts'!Z372</f>
        <v>-0.01</v>
      </c>
      <c r="K42">
        <f>'New (new) quarts'!AC372</f>
        <v>0</v>
      </c>
      <c r="L42" s="456" t="e">
        <f>'New (new) quarts'!#REF!</f>
        <v>#REF!</v>
      </c>
      <c r="O42" s="456"/>
      <c r="P42" s="456"/>
    </row>
    <row r="43" spans="2:16">
      <c r="B43" s="478" t="s">
        <v>884</v>
      </c>
      <c r="C43" s="456">
        <f>'New (new) quarts'!R378</f>
        <v>-1.4999999999999999E-2</v>
      </c>
      <c r="D43" s="456">
        <f>'New (new) quarts'!S378</f>
        <v>-1.2999999999999999E-2</v>
      </c>
      <c r="E43" s="456">
        <f>'New (new) quarts'!T378</f>
        <v>1.6541255508379551E-2</v>
      </c>
      <c r="F43" s="456">
        <f>'New (new) quarts'!U378</f>
        <v>1.2999999999999999E-2</v>
      </c>
      <c r="G43" s="456">
        <f>'New (new) quarts'!W378</f>
        <v>3.5999999999999997E-2</v>
      </c>
      <c r="H43" s="456">
        <f>'New (new) quarts'!X378</f>
        <v>4.3999999999999997E-2</v>
      </c>
      <c r="I43" s="456">
        <f>'New (new) quarts'!Y378</f>
        <v>3.7999999999999999E-2</v>
      </c>
      <c r="J43" s="456">
        <f>'New (new) quarts'!Z378</f>
        <v>0</v>
      </c>
      <c r="K43">
        <f>'New (new) quarts'!AC378</f>
        <v>0</v>
      </c>
      <c r="L43" s="456" t="e">
        <f>'New (new) quarts'!#REF!</f>
        <v>#REF!</v>
      </c>
    </row>
    <row r="45" spans="2:16">
      <c r="B45" s="616" t="s">
        <v>5507</v>
      </c>
      <c r="C45" s="560" t="str">
        <f t="shared" ref="C45:L45" si="0">C30</f>
        <v>Q1 17</v>
      </c>
      <c r="D45" s="560" t="str">
        <f t="shared" si="0"/>
        <v>Q2 17</v>
      </c>
      <c r="E45" s="560" t="str">
        <f t="shared" si="0"/>
        <v>Q3 17</v>
      </c>
      <c r="F45" s="560" t="str">
        <f t="shared" si="0"/>
        <v>Q4 17</v>
      </c>
      <c r="G45" s="560" t="str">
        <f t="shared" si="0"/>
        <v>Q1 18</v>
      </c>
      <c r="H45" s="560" t="str">
        <f t="shared" si="0"/>
        <v>Q2 18</v>
      </c>
      <c r="I45" s="560" t="str">
        <f t="shared" si="0"/>
        <v>Q3 18</v>
      </c>
      <c r="J45" s="560" t="str">
        <f t="shared" si="0"/>
        <v>Q4 18</v>
      </c>
      <c r="K45" t="str">
        <f t="shared" si="0"/>
        <v>Q1 19</v>
      </c>
      <c r="L45" s="560" t="e">
        <f t="shared" si="0"/>
        <v>#REF!</v>
      </c>
    </row>
    <row r="46" spans="2:16">
      <c r="B46" t="str">
        <f>'New (new) quarts'!B179</f>
        <v>El Salvador</v>
      </c>
      <c r="C46" s="456">
        <f>'New (new) quarts'!R179</f>
        <v>0.33333333333333331</v>
      </c>
      <c r="D46" s="456">
        <f>'New (new) quarts'!S179</f>
        <v>0.35849056603773582</v>
      </c>
      <c r="E46" s="456">
        <f>'New (new) quarts'!T179</f>
        <v>0.3619047619047619</v>
      </c>
      <c r="F46" s="456">
        <f>'New (new) quarts'!U179</f>
        <v>0.40909090909090912</v>
      </c>
      <c r="G46" s="456">
        <f>'New (new) quarts'!W179</f>
        <v>0.35576923076923078</v>
      </c>
      <c r="H46" s="456">
        <f>'New (new) quarts'!X179</f>
        <v>0.36893203883495146</v>
      </c>
      <c r="I46" s="456">
        <f>'New (new) quarts'!Y179</f>
        <v>0.34693877551020408</v>
      </c>
      <c r="J46" s="456">
        <f>'New (new) quarts'!Z179</f>
        <v>0.34653465346534651</v>
      </c>
      <c r="K46">
        <f>'New (new) quarts'!AC179</f>
        <v>0.33</v>
      </c>
      <c r="L46" s="456" t="e">
        <f>'New (new) quarts'!#REF!</f>
        <v>#REF!</v>
      </c>
    </row>
    <row r="47" spans="2:16">
      <c r="B47" t="str">
        <f>'New (new) quarts'!B180</f>
        <v>Guatemala</v>
      </c>
      <c r="C47" s="456">
        <f>'New (new) quarts'!R180</f>
        <v>0.50312500000000004</v>
      </c>
      <c r="D47" s="456">
        <f>'New (new) quarts'!S180</f>
        <v>0.50769230769230766</v>
      </c>
      <c r="E47" s="456">
        <f>'New (new) quarts'!T180</f>
        <v>0.50450450450450446</v>
      </c>
      <c r="F47" s="456">
        <f>'New (new) quarts'!U180</f>
        <v>0.48997134670487108</v>
      </c>
      <c r="G47" s="456">
        <f>'New (new) quarts'!W180</f>
        <v>0.5194029850746269</v>
      </c>
      <c r="H47" s="456">
        <f>'New (new) quarts'!X180</f>
        <v>0.50737463126843663</v>
      </c>
      <c r="I47" s="456">
        <f>'New (new) quarts'!Y180</f>
        <v>0.50146627565982405</v>
      </c>
      <c r="J47" s="456">
        <f>'New (new) quarts'!Z180</f>
        <v>0.48044692737430167</v>
      </c>
      <c r="K47">
        <f>'New (new) quarts'!AC180</f>
        <v>0.52</v>
      </c>
      <c r="L47" s="456" t="e">
        <f>'New (new) quarts'!#REF!</f>
        <v>#REF!</v>
      </c>
    </row>
    <row r="48" spans="2:16">
      <c r="B48" t="str">
        <f>'New (new) quarts'!B181</f>
        <v>Honduras (JV)</v>
      </c>
      <c r="C48" s="456">
        <f>'New (new) quarts'!R181</f>
        <v>0.42857142857142855</v>
      </c>
      <c r="D48" s="456">
        <f>'New (new) quarts'!S181</f>
        <v>0.42567567567567566</v>
      </c>
      <c r="E48" s="456">
        <f>'New (new) quarts'!T181</f>
        <v>0.44755244755244755</v>
      </c>
      <c r="F48" s="456">
        <f>'New (new) quarts'!U181</f>
        <v>0.43537414965986393</v>
      </c>
      <c r="G48" s="456">
        <f>'New (new) quarts'!W181</f>
        <v>0.4206896551724138</v>
      </c>
      <c r="H48" s="456">
        <f>'New (new) quarts'!X181</f>
        <v>0.41095890410958902</v>
      </c>
      <c r="I48" s="456">
        <f>'New (new) quarts'!Y181</f>
        <v>0.44444444444444442</v>
      </c>
      <c r="J48" s="456">
        <f>'New (new) quarts'!Z181</f>
        <v>0.46357615894039733</v>
      </c>
      <c r="K48">
        <f>'New (new) quarts'!AC181</f>
        <v>0.45200000000000001</v>
      </c>
      <c r="L48" s="456" t="e">
        <f>'New (new) quarts'!#REF!</f>
        <v>#REF!</v>
      </c>
    </row>
    <row r="49" spans="2:15">
      <c r="B49" t="str">
        <f>'New (new) quarts'!B182</f>
        <v>Panama</v>
      </c>
      <c r="C49" s="456"/>
      <c r="D49" s="456"/>
      <c r="E49" s="456"/>
      <c r="F49" s="456"/>
      <c r="G49" s="456"/>
      <c r="H49" s="456"/>
      <c r="I49" s="456"/>
      <c r="J49" s="456"/>
      <c r="L49" s="456"/>
    </row>
    <row r="50" spans="2:15">
      <c r="B50" t="str">
        <f>'New (new) quarts'!B185</f>
        <v>Costa Rica/old Nicaragua</v>
      </c>
      <c r="C50" s="456">
        <f>'New (new) quarts'!R185</f>
        <v>0.42105263157894735</v>
      </c>
      <c r="D50" s="456">
        <f>'New (new) quarts'!S185</f>
        <v>0.36842105263157893</v>
      </c>
      <c r="E50" s="456">
        <f>'New (new) quarts'!T185</f>
        <v>0.42105263157894735</v>
      </c>
      <c r="F50" s="456">
        <f>'New (new) quarts'!U185</f>
        <v>0.42857142857142855</v>
      </c>
      <c r="G50" s="456">
        <f>'New (new) quarts'!W185</f>
        <v>0.38400000000000001</v>
      </c>
      <c r="H50" s="456">
        <f>'New (new) quarts'!X185</f>
        <v>0.35000000000000003</v>
      </c>
      <c r="I50" s="456">
        <f>'New (new) quarts'!Y185</f>
        <v>0.42637837837837839</v>
      </c>
      <c r="J50" s="456">
        <f>'New (new) quarts'!Z185</f>
        <v>0.46831955922865015</v>
      </c>
      <c r="K50">
        <f>'New (new) quarts'!AC185</f>
        <v>0.39189189189189189</v>
      </c>
      <c r="L50" s="456" t="e">
        <f>'New (new) quarts'!#REF!</f>
        <v>#REF!</v>
      </c>
    </row>
    <row r="51" spans="2:15">
      <c r="B51" t="str">
        <f>'New (new) quarts'!B191</f>
        <v>Bolivia</v>
      </c>
      <c r="C51" s="456">
        <f>'New (new) quarts'!R191</f>
        <v>0.38805970149253732</v>
      </c>
      <c r="D51" s="456">
        <f>'New (new) quarts'!S191</f>
        <v>0.38345864661654133</v>
      </c>
      <c r="E51" s="456">
        <f>'New (new) quarts'!T191</f>
        <v>0.39007092198581561</v>
      </c>
      <c r="F51" s="456">
        <f>'New (new) quarts'!U191</f>
        <v>0.39864864864864863</v>
      </c>
      <c r="G51" s="456">
        <f>'New (new) quarts'!W191</f>
        <v>0.3783783783783784</v>
      </c>
      <c r="H51" s="456">
        <f>'New (new) quarts'!X191</f>
        <v>0.38562091503267976</v>
      </c>
      <c r="I51" s="456">
        <f>'New (new) quarts'!Y191</f>
        <v>0.38364779874213839</v>
      </c>
      <c r="J51" s="456">
        <f>'New (new) quarts'!Z191</f>
        <v>0.38750000000000001</v>
      </c>
      <c r="K51">
        <f>'New (new) quarts'!AC191</f>
        <v>0.379</v>
      </c>
      <c r="L51" s="456" t="e">
        <f>'New (new) quarts'!#REF!</f>
        <v>#REF!</v>
      </c>
    </row>
    <row r="52" spans="2:15">
      <c r="B52" t="str">
        <f>'New (new) quarts'!B192</f>
        <v>Colombia</v>
      </c>
      <c r="C52" s="456">
        <f>'New (new) quarts'!R192</f>
        <v>0.30232558139534882</v>
      </c>
      <c r="D52" s="456">
        <f>'New (new) quarts'!S192</f>
        <v>0.26511627906976742</v>
      </c>
      <c r="E52" s="456">
        <f>'New (new) quarts'!T192</f>
        <v>0.25</v>
      </c>
      <c r="F52" s="456">
        <f>'New (new) quarts'!U192</f>
        <v>0.26174496644295303</v>
      </c>
      <c r="G52" s="456">
        <f>'New (new) quarts'!W192</f>
        <v>0.29256594724220625</v>
      </c>
      <c r="H52" s="456">
        <f>'New (new) quarts'!X192</f>
        <v>0.29398148148148145</v>
      </c>
      <c r="I52" s="456">
        <f>'New (new) quarts'!Y192</f>
        <v>0.30382775119617222</v>
      </c>
      <c r="J52" s="456">
        <f>'New (new) quarts'!Z192</f>
        <v>0.29949238578680204</v>
      </c>
      <c r="K52">
        <f>'New (new) quarts'!AC192</f>
        <v>0.312</v>
      </c>
      <c r="L52" s="456" t="e">
        <f>'New (new) quarts'!#REF!</f>
        <v>#REF!</v>
      </c>
    </row>
    <row r="53" spans="2:15" ht="15.75" thickBot="1">
      <c r="B53" t="str">
        <f>'New (new) quarts'!B193</f>
        <v>Paraguay</v>
      </c>
      <c r="C53" s="456">
        <f>'New (new) quarts'!R193</f>
        <v>0.47169811320754718</v>
      </c>
      <c r="D53" s="456">
        <f>'New (new) quarts'!S193</f>
        <v>0.46666666666666667</v>
      </c>
      <c r="E53" s="456">
        <f>'New (new) quarts'!T193</f>
        <v>0.47023809523809523</v>
      </c>
      <c r="F53" s="456">
        <f>'New (new) quarts'!U193</f>
        <v>0.47368421052631576</v>
      </c>
      <c r="G53" s="456">
        <f>'New (new) quarts'!W193</f>
        <v>0.50289017341040465</v>
      </c>
      <c r="H53" s="456">
        <f>'New (new) quarts'!X193</f>
        <v>0.48255813953488375</v>
      </c>
      <c r="I53" s="456">
        <f>'New (new) quarts'!Y193</f>
        <v>0.49122807017543857</v>
      </c>
      <c r="J53" s="456">
        <f>'New (new) quarts'!Z193</f>
        <v>0.47239263803680981</v>
      </c>
      <c r="K53">
        <f>'New (new) quarts'!AC193</f>
        <v>0.48099999999999998</v>
      </c>
      <c r="L53" s="456" t="e">
        <f>'New (new) quarts'!#REF!</f>
        <v>#REF!</v>
      </c>
    </row>
    <row r="54" spans="2:15" ht="15.75" thickBot="1">
      <c r="B54" t="s">
        <v>5524</v>
      </c>
      <c r="C54">
        <f>'New (new) quarts'!R208</f>
        <v>0.39924812030075185</v>
      </c>
      <c r="D54">
        <f>'New (new) quarts'!S208</f>
        <v>0.38810408921933087</v>
      </c>
      <c r="E54">
        <f>'New (new) quarts'!T208</f>
        <v>0.39632352941176469</v>
      </c>
      <c r="F54">
        <f>'New (new) quarts'!U208</f>
        <v>0.39232409381663114</v>
      </c>
      <c r="G54">
        <f>'New (new) quarts'!W208</f>
        <v>0.40739689578713978</v>
      </c>
      <c r="H54">
        <f>'New (new) quarts'!X208</f>
        <v>0.39931358381502891</v>
      </c>
      <c r="I54">
        <f>'New (new) quarts'!Y208</f>
        <v>0.40700000000000003</v>
      </c>
      <c r="J54">
        <f>'New (new) quarts'!Z208</f>
        <v>0.4040550325850833</v>
      </c>
      <c r="K54">
        <f>'New (new) quarts'!AC208</f>
        <v>0.41334642356241236</v>
      </c>
      <c r="L54" t="e">
        <f>'New (new) quarts'!#REF!</f>
        <v>#REF!</v>
      </c>
    </row>
    <row r="55" spans="2:15">
      <c r="C55" s="456"/>
      <c r="D55" s="456"/>
      <c r="E55" s="456"/>
      <c r="F55" s="456"/>
      <c r="G55" s="456"/>
      <c r="H55" s="456"/>
      <c r="I55" s="456"/>
      <c r="J55" s="456"/>
      <c r="K55" s="456"/>
      <c r="L55" s="456"/>
    </row>
    <row r="56" spans="2:15">
      <c r="B56" s="478" t="s">
        <v>1831</v>
      </c>
      <c r="C56" s="456">
        <f>'New (new) quarts'!R205</f>
        <v>0.30285714285714288</v>
      </c>
      <c r="D56" s="456">
        <f>'New (new) quarts'!S205</f>
        <v>0.27325581395348836</v>
      </c>
      <c r="E56" s="456">
        <f>'New (new) quarts'!T205</f>
        <v>0.28187919463087246</v>
      </c>
      <c r="F56" s="456">
        <f>'New (new) quarts'!U205</f>
        <v>0.32666666666666666</v>
      </c>
      <c r="G56" s="456">
        <f>'New (new) quarts'!W205</f>
        <v>0.30597014925373134</v>
      </c>
      <c r="H56" s="456">
        <f>'New (new) quarts'!X205</f>
        <v>0.27906976744186046</v>
      </c>
      <c r="I56" s="456">
        <f>'New (new) quarts'!Y205</f>
        <v>0.32183908045977011</v>
      </c>
      <c r="J56" s="456">
        <f>'New (new) quarts'!Z205</f>
        <v>0.30827067669172931</v>
      </c>
      <c r="K56" s="456">
        <f>'New (new) quarts'!AC205</f>
        <v>0.28225806451612906</v>
      </c>
      <c r="L56" s="456" t="e">
        <f>'New (new) quarts'!#REF!</f>
        <v>#REF!</v>
      </c>
    </row>
    <row r="57" spans="2:15">
      <c r="B57" s="478" t="s">
        <v>884</v>
      </c>
      <c r="C57" s="456">
        <f>'New (new) quarts'!R210</f>
        <v>0.36411960132890364</v>
      </c>
      <c r="D57" s="456">
        <f>'New (new) quarts'!S210</f>
        <v>0.35266974291364533</v>
      </c>
      <c r="E57" s="456">
        <f>'New (new) quarts'!T210</f>
        <v>0.36845593108018554</v>
      </c>
      <c r="F57" s="456">
        <f>'New (new) quarts'!U210</f>
        <v>0.36007702182284979</v>
      </c>
      <c r="G57" s="456">
        <f>'New (new) quarts'!W210</f>
        <v>0.3765971755211836</v>
      </c>
      <c r="H57" s="456">
        <f>'New (new) quarts'!X210</f>
        <v>0.36814276272306673</v>
      </c>
      <c r="I57" s="456">
        <f>'New (new) quarts'!Y210</f>
        <v>0.37449933244325767</v>
      </c>
      <c r="J57" s="456">
        <f>'New (new) quarts'!Z210</f>
        <v>0.33289299867899602</v>
      </c>
      <c r="K57" s="456">
        <f>'New (new) quarts'!AC210</f>
        <v>0.37032258064516127</v>
      </c>
      <c r="L57" s="456" t="e">
        <f>'New (new) quarts'!#REF!</f>
        <v>#REF!</v>
      </c>
    </row>
    <row r="58" spans="2:15">
      <c r="C58" s="456"/>
      <c r="D58" s="456"/>
      <c r="E58" s="456"/>
      <c r="F58" s="456"/>
      <c r="G58" s="456"/>
      <c r="H58" s="456"/>
      <c r="I58" s="456"/>
      <c r="J58" s="456"/>
      <c r="K58" s="456"/>
      <c r="L58" s="456"/>
      <c r="M58" s="456"/>
      <c r="N58" s="456"/>
      <c r="O58" s="456"/>
    </row>
    <row r="59" spans="2:15">
      <c r="C59" s="456"/>
      <c r="D59" s="456"/>
      <c r="E59" s="456"/>
      <c r="F59" s="456"/>
      <c r="G59" s="456"/>
      <c r="H59" s="456"/>
      <c r="I59" s="456"/>
      <c r="J59" s="456"/>
      <c r="K59" s="456"/>
      <c r="L59" s="456"/>
      <c r="M59" s="456"/>
      <c r="N59" s="456"/>
      <c r="O59" s="456"/>
    </row>
    <row r="60" spans="2:15">
      <c r="C60" s="456"/>
      <c r="D60" s="456"/>
      <c r="E60" s="456"/>
      <c r="F60" s="456"/>
      <c r="G60" s="456"/>
      <c r="H60" s="456"/>
      <c r="I60" s="456"/>
      <c r="J60" s="456"/>
      <c r="K60" s="456"/>
      <c r="L60" s="456"/>
      <c r="M60" s="456"/>
      <c r="N60" s="456"/>
      <c r="O60" s="456"/>
    </row>
    <row r="61" spans="2:15">
      <c r="C61" s="456"/>
      <c r="D61" s="456"/>
      <c r="E61" s="456"/>
      <c r="F61" s="456"/>
      <c r="G61" s="456"/>
      <c r="H61" s="456"/>
      <c r="I61" s="456"/>
      <c r="J61" s="456"/>
      <c r="K61" s="456"/>
      <c r="L61" s="456"/>
      <c r="M61" s="456"/>
      <c r="N61" s="456"/>
      <c r="O61" s="456"/>
    </row>
    <row r="62" spans="2:15">
      <c r="C62" s="456"/>
      <c r="D62" s="456"/>
      <c r="E62" s="456"/>
      <c r="F62" s="456"/>
      <c r="G62" s="456"/>
      <c r="H62" s="456"/>
      <c r="I62" s="456"/>
      <c r="J62" s="456"/>
      <c r="K62" s="456"/>
      <c r="L62" s="456"/>
      <c r="M62" s="456"/>
      <c r="N62" s="456"/>
      <c r="O62" s="456"/>
    </row>
    <row r="63" spans="2:15">
      <c r="C63" s="456"/>
      <c r="D63" s="456"/>
      <c r="E63" s="456"/>
      <c r="F63" s="456"/>
      <c r="G63" s="456"/>
      <c r="H63" s="456"/>
      <c r="I63" s="456"/>
      <c r="J63" s="456"/>
      <c r="K63" s="456"/>
      <c r="L63" s="456"/>
      <c r="M63" s="456"/>
      <c r="N63" s="456"/>
      <c r="O63" s="456"/>
    </row>
    <row r="64" spans="2:15">
      <c r="C64" s="456"/>
      <c r="D64" s="456"/>
      <c r="E64" s="456"/>
      <c r="F64" s="456"/>
      <c r="G64" s="456"/>
      <c r="H64" s="456"/>
      <c r="I64" s="456"/>
      <c r="J64" s="456"/>
      <c r="K64" s="456"/>
      <c r="L64" s="456"/>
      <c r="M64" s="456"/>
      <c r="N64" s="456"/>
      <c r="O64" s="456"/>
    </row>
    <row r="66" spans="3:15">
      <c r="C66" s="456"/>
      <c r="D66" s="456"/>
      <c r="E66" s="456"/>
      <c r="F66" s="456"/>
      <c r="G66" s="456"/>
      <c r="H66" s="456"/>
      <c r="I66" s="456"/>
      <c r="J66" s="456"/>
      <c r="K66" s="456"/>
      <c r="L66" s="456"/>
      <c r="M66" s="456"/>
      <c r="N66" s="456"/>
      <c r="O66" s="45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AU250"/>
  <sheetViews>
    <sheetView zoomScale="70" zoomScaleNormal="70" workbookViewId="0">
      <selection activeCell="H39" sqref="H39"/>
    </sheetView>
  </sheetViews>
  <sheetFormatPr defaultColWidth="9.140625" defaultRowHeight="15" outlineLevelCol="1"/>
  <cols>
    <col min="1" max="1" width="37.42578125" style="630" customWidth="1"/>
    <col min="2" max="4" width="12.28515625" style="631" customWidth="1" outlineLevel="1"/>
    <col min="5" max="5" width="12.5703125" style="631" customWidth="1" outlineLevel="1" collapsed="1"/>
    <col min="6" max="6" width="10.42578125" style="632" customWidth="1" outlineLevel="1"/>
    <col min="7" max="10" width="10.42578125" style="631" customWidth="1" outlineLevel="1"/>
    <col min="11" max="11" width="10.42578125" style="632" customWidth="1" outlineLevel="1"/>
    <col min="12" max="27" width="10.42578125" style="630" customWidth="1"/>
    <col min="28" max="28" width="18.42578125" style="630" customWidth="1"/>
    <col min="29" max="32" width="10" style="630" customWidth="1"/>
    <col min="33" max="42" width="9.140625" style="630"/>
    <col min="43" max="43" width="9.85546875" style="630" bestFit="1" customWidth="1"/>
    <col min="44" max="16384" width="9.140625" style="630"/>
  </cols>
  <sheetData>
    <row r="1" spans="1:47" ht="18">
      <c r="A1" s="822" t="s">
        <v>2832</v>
      </c>
      <c r="B1" s="823" t="s">
        <v>2209</v>
      </c>
      <c r="C1" s="823" t="s">
        <v>2210</v>
      </c>
      <c r="D1" s="823" t="s">
        <v>2211</v>
      </c>
      <c r="E1" s="823" t="s">
        <v>2212</v>
      </c>
      <c r="F1" s="824" t="s">
        <v>2833</v>
      </c>
      <c r="G1" s="823" t="s">
        <v>2213</v>
      </c>
      <c r="H1" s="823" t="s">
        <v>2214</v>
      </c>
      <c r="I1" s="823" t="s">
        <v>2215</v>
      </c>
      <c r="J1" s="823" t="s">
        <v>2216</v>
      </c>
      <c r="K1" s="824" t="s">
        <v>2834</v>
      </c>
      <c r="L1" s="823" t="s">
        <v>2835</v>
      </c>
      <c r="M1" s="823" t="s">
        <v>2836</v>
      </c>
      <c r="N1" s="823" t="s">
        <v>2837</v>
      </c>
      <c r="O1" s="823" t="s">
        <v>2838</v>
      </c>
      <c r="P1" s="824" t="s">
        <v>2839</v>
      </c>
      <c r="Q1" s="823" t="s">
        <v>3504</v>
      </c>
      <c r="R1" s="823" t="s">
        <v>3592</v>
      </c>
      <c r="S1" s="823" t="s">
        <v>3625</v>
      </c>
      <c r="T1" s="823" t="s">
        <v>3663</v>
      </c>
      <c r="U1" s="824" t="s">
        <v>3469</v>
      </c>
      <c r="V1" s="823" t="s">
        <v>3684</v>
      </c>
      <c r="W1" s="823" t="s">
        <v>3685</v>
      </c>
      <c r="X1" s="823" t="s">
        <v>3686</v>
      </c>
      <c r="Y1" s="823" t="s">
        <v>3796</v>
      </c>
      <c r="Z1" s="824" t="s">
        <v>3683</v>
      </c>
      <c r="AC1" s="688" t="str">
        <f>G1</f>
        <v>Q1 2012</v>
      </c>
      <c r="AD1" s="688" t="str">
        <f>H1</f>
        <v>Q2 2012</v>
      </c>
      <c r="AE1" s="688" t="str">
        <f>I1</f>
        <v>Q3 2012</v>
      </c>
      <c r="AF1" s="688" t="str">
        <f>J1</f>
        <v>Q4 2012</v>
      </c>
      <c r="AG1" s="688" t="str">
        <f>L1</f>
        <v>Q1 2013</v>
      </c>
      <c r="AH1" s="688" t="str">
        <f>M1</f>
        <v>Q2 2013</v>
      </c>
      <c r="AI1" s="688" t="str">
        <f>N1</f>
        <v>Q3 2013</v>
      </c>
      <c r="AJ1" s="688" t="str">
        <f>O1</f>
        <v>Q4 2013</v>
      </c>
      <c r="AK1" s="688" t="str">
        <f>Q1</f>
        <v>Q1 2014</v>
      </c>
      <c r="AL1" s="688" t="str">
        <f>R1</f>
        <v>Q2 2014</v>
      </c>
      <c r="AM1" s="688" t="str">
        <f>S1</f>
        <v>Q3 2014</v>
      </c>
      <c r="AN1" s="688" t="str">
        <f>T1</f>
        <v>Q4 2014</v>
      </c>
      <c r="AO1" s="688" t="e">
        <f>#REF!</f>
        <v>#REF!</v>
      </c>
      <c r="AP1" s="688" t="str">
        <f>X1</f>
        <v>Q3 2015</v>
      </c>
      <c r="AQ1" s="688" t="str">
        <f>Y1</f>
        <v>Q4 2015e</v>
      </c>
    </row>
    <row r="2" spans="1:47" ht="18">
      <c r="A2" s="826" t="s">
        <v>2840</v>
      </c>
      <c r="B2" s="827"/>
      <c r="C2" s="827"/>
      <c r="D2" s="827"/>
      <c r="E2" s="827"/>
      <c r="F2" s="828"/>
      <c r="G2" s="827"/>
      <c r="H2" s="827"/>
      <c r="I2" s="827"/>
      <c r="J2" s="827"/>
      <c r="K2" s="828"/>
      <c r="L2" s="827"/>
      <c r="M2" s="827"/>
      <c r="N2" s="827"/>
      <c r="O2" s="827"/>
      <c r="P2" s="828"/>
      <c r="Q2" s="827"/>
      <c r="R2" s="827"/>
      <c r="S2" s="827"/>
      <c r="T2" s="827"/>
      <c r="U2" s="828"/>
      <c r="V2" s="827"/>
      <c r="W2" s="827"/>
      <c r="X2" s="827"/>
      <c r="Y2" s="827"/>
      <c r="Z2" s="828"/>
    </row>
    <row r="3" spans="1:47" ht="18">
      <c r="A3" s="825" t="s">
        <v>2841</v>
      </c>
      <c r="B3" s="829">
        <f>B5+B11+B30+B33</f>
        <v>1078.9839345155326</v>
      </c>
      <c r="C3" s="829">
        <f>C5+C11+C30+C33</f>
        <v>1122.8800709639856</v>
      </c>
      <c r="D3" s="829">
        <f>D5+D11+D30+D33</f>
        <v>1150.7185340500205</v>
      </c>
      <c r="E3" s="829">
        <f>E5+E11+E30+E33</f>
        <v>1177.4171710902929</v>
      </c>
      <c r="F3" s="830"/>
      <c r="G3" s="829">
        <f t="shared" ref="G3:U3" si="0">G5+G11+G30+G33</f>
        <v>1285.3331105838331</v>
      </c>
      <c r="H3" s="829">
        <f t="shared" si="0"/>
        <v>1298.7477910756363</v>
      </c>
      <c r="I3" s="829">
        <f t="shared" si="0"/>
        <v>1310.5297301529781</v>
      </c>
      <c r="J3" s="829">
        <f t="shared" si="0"/>
        <v>1374.3818392382193</v>
      </c>
      <c r="K3" s="831">
        <f t="shared" si="0"/>
        <v>5268.9924710506666</v>
      </c>
      <c r="L3" s="829">
        <f t="shared" si="0"/>
        <v>1350.1754023202318</v>
      </c>
      <c r="M3" s="829">
        <f t="shared" si="0"/>
        <v>1356.5354336168202</v>
      </c>
      <c r="N3" s="829">
        <f t="shared" si="0"/>
        <v>1382.7507840033215</v>
      </c>
      <c r="O3" s="829">
        <f t="shared" si="0"/>
        <v>1463.9159103291074</v>
      </c>
      <c r="P3" s="831">
        <f t="shared" si="0"/>
        <v>5553.3775302694812</v>
      </c>
      <c r="Q3" s="829">
        <f t="shared" si="0"/>
        <v>1404.922458416009</v>
      </c>
      <c r="R3" s="829">
        <f t="shared" si="0"/>
        <v>1447.2595321882313</v>
      </c>
      <c r="S3" s="829">
        <f t="shared" si="0"/>
        <v>1674.516462547519</v>
      </c>
      <c r="T3" s="829">
        <f t="shared" si="0"/>
        <v>1859.5728639803858</v>
      </c>
      <c r="U3" s="831">
        <f t="shared" si="0"/>
        <v>6385.8863454444654</v>
      </c>
      <c r="V3" s="829">
        <v>1709</v>
      </c>
      <c r="W3" s="829">
        <v>1704</v>
      </c>
      <c r="X3" s="829">
        <f>X5+X11+X30+X33</f>
        <v>1639.9472965967032</v>
      </c>
      <c r="Y3" s="829">
        <f>Y5+Y11+Y30+Y33</f>
        <v>1674.9993607559288</v>
      </c>
      <c r="Z3" s="831">
        <f ca="1">Z5+Z11+Z30+Z33</f>
        <v>6728.8770101554837</v>
      </c>
      <c r="AQ3" s="820"/>
      <c r="AR3" s="820"/>
      <c r="AS3" s="820"/>
      <c r="AT3" s="820"/>
      <c r="AU3" s="820">
        <f>F3/1000</f>
        <v>0</v>
      </c>
    </row>
    <row r="4" spans="1:47" ht="18">
      <c r="A4" s="825"/>
      <c r="B4" s="829"/>
      <c r="C4" s="829"/>
      <c r="D4" s="829"/>
      <c r="E4" s="829"/>
      <c r="F4" s="830"/>
      <c r="G4" s="829"/>
      <c r="H4" s="829"/>
      <c r="I4" s="829"/>
      <c r="J4" s="829"/>
      <c r="K4" s="832"/>
      <c r="L4" s="829"/>
      <c r="M4" s="829"/>
      <c r="N4" s="829"/>
      <c r="O4" s="829"/>
      <c r="P4" s="832"/>
      <c r="Q4" s="829"/>
      <c r="R4" s="829"/>
      <c r="S4" s="829"/>
      <c r="T4" s="829"/>
      <c r="U4" s="832"/>
      <c r="V4" s="829"/>
      <c r="W4" s="829"/>
      <c r="X4" s="829"/>
      <c r="Y4" s="829"/>
      <c r="Z4" s="832"/>
      <c r="AQ4" s="820"/>
      <c r="AR4" s="820"/>
      <c r="AS4" s="820"/>
      <c r="AT4" s="820"/>
    </row>
    <row r="5" spans="1:47" ht="18">
      <c r="A5" s="825" t="s">
        <v>2842</v>
      </c>
      <c r="B5" s="833">
        <v>956.92273185134025</v>
      </c>
      <c r="C5" s="833">
        <v>992.54718149149562</v>
      </c>
      <c r="D5" s="833">
        <v>1015.7431094308431</v>
      </c>
      <c r="E5" s="833">
        <v>1028.401080200832</v>
      </c>
      <c r="F5" s="834">
        <f>SUM(B5:E5)</f>
        <v>3993.6141029745108</v>
      </c>
      <c r="G5" s="835">
        <v>1117.8497177572162</v>
      </c>
      <c r="H5" s="836">
        <v>1121.8800597391419</v>
      </c>
      <c r="I5" s="836">
        <v>1132.5567243624434</v>
      </c>
      <c r="J5" s="837">
        <v>1164.3144307388668</v>
      </c>
      <c r="K5" s="838">
        <v>4536.6009325976684</v>
      </c>
      <c r="L5" s="835">
        <v>1137.4678926186727</v>
      </c>
      <c r="M5" s="836">
        <v>1138.3945304977065</v>
      </c>
      <c r="N5" s="836">
        <v>1155.7994344121248</v>
      </c>
      <c r="O5" s="837">
        <v>1210.8162444976499</v>
      </c>
      <c r="P5" s="838">
        <v>4642.4781020261544</v>
      </c>
      <c r="Q5" s="835">
        <v>1159.6255661385242</v>
      </c>
      <c r="R5" s="836">
        <v>1176.6093672851141</v>
      </c>
      <c r="S5" s="836">
        <v>1199.2928031847507</v>
      </c>
      <c r="T5" s="837">
        <v>1207.4728639803857</v>
      </c>
      <c r="U5" s="838">
        <v>4743.0006005887744</v>
      </c>
      <c r="V5" s="836">
        <v>1120</v>
      </c>
      <c r="W5" s="836">
        <v>1100</v>
      </c>
      <c r="X5" s="836">
        <v>1075</v>
      </c>
      <c r="Y5" s="837">
        <f>Y37+Y68+Y99</f>
        <v>1091.994532247428</v>
      </c>
      <c r="Z5" s="838">
        <f>Z37+Z68+Z99</f>
        <v>4387.5358574872234</v>
      </c>
      <c r="AC5" s="633">
        <f t="shared" ref="AC5:AF8" si="1">G5/B5-1</f>
        <v>0.16817134816573298</v>
      </c>
      <c r="AD5" s="633">
        <f t="shared" si="1"/>
        <v>0.13030401038799821</v>
      </c>
      <c r="AE5" s="633">
        <f t="shared" si="1"/>
        <v>0.11500310841099881</v>
      </c>
      <c r="AF5" s="633">
        <f t="shared" si="1"/>
        <v>0.13215986754068054</v>
      </c>
      <c r="AG5" s="633">
        <f t="shared" ref="AG5:AJ8" si="2">L5/G5-1</f>
        <v>1.7549921559059989E-2</v>
      </c>
      <c r="AH5" s="633">
        <f t="shared" si="2"/>
        <v>1.4720353227781313E-2</v>
      </c>
      <c r="AI5" s="633">
        <f t="shared" si="2"/>
        <v>2.052233636488765E-2</v>
      </c>
      <c r="AJ5" s="633">
        <f t="shared" si="2"/>
        <v>3.9939223057875672E-2</v>
      </c>
      <c r="AK5" s="633">
        <f t="shared" ref="AK5:AN8" si="3">Q5/L5-1</f>
        <v>1.9479823266782548E-2</v>
      </c>
      <c r="AL5" s="633">
        <f t="shared" si="3"/>
        <v>3.3569062186814991E-2</v>
      </c>
      <c r="AM5" s="633">
        <f t="shared" si="3"/>
        <v>3.7630550316671396E-2</v>
      </c>
      <c r="AN5" s="633">
        <f t="shared" si="3"/>
        <v>-2.7612616963619274E-3</v>
      </c>
      <c r="AQ5" s="821"/>
      <c r="AR5" s="821"/>
      <c r="AS5" s="821"/>
      <c r="AT5" s="821"/>
    </row>
    <row r="6" spans="1:47" ht="18">
      <c r="A6" s="839" t="s">
        <v>2843</v>
      </c>
      <c r="B6" s="840">
        <v>816.87051405211309</v>
      </c>
      <c r="C6" s="840">
        <v>827.39611144596597</v>
      </c>
      <c r="D6" s="840">
        <v>838.93604412589468</v>
      </c>
      <c r="E6" s="840">
        <v>849.61474855568133</v>
      </c>
      <c r="F6" s="841">
        <f>SUM(B6:E6)</f>
        <v>3332.8174181796549</v>
      </c>
      <c r="G6" s="842">
        <v>904.3912646572453</v>
      </c>
      <c r="H6" s="842">
        <v>889.2708308066226</v>
      </c>
      <c r="I6" s="842">
        <v>889.02671637665742</v>
      </c>
      <c r="J6" s="843">
        <v>909.09111955236233</v>
      </c>
      <c r="K6" s="844">
        <v>3591.7799313928872</v>
      </c>
      <c r="L6" s="842">
        <v>864.30457784774001</v>
      </c>
      <c r="M6" s="842">
        <v>855.58654393345228</v>
      </c>
      <c r="N6" s="842">
        <v>869.47008572978154</v>
      </c>
      <c r="O6" s="843">
        <v>902.14941385582438</v>
      </c>
      <c r="P6" s="844">
        <v>3491.5106213667982</v>
      </c>
      <c r="Q6" s="842">
        <v>845.68160572868862</v>
      </c>
      <c r="R6" s="842">
        <v>842.00715313578326</v>
      </c>
      <c r="S6" s="842">
        <v>842.78253718739506</v>
      </c>
      <c r="T6" s="843">
        <v>835.17705072734691</v>
      </c>
      <c r="U6" s="844">
        <v>3365.6483467792136</v>
      </c>
      <c r="V6" s="842"/>
      <c r="W6" s="842"/>
      <c r="X6" s="842"/>
      <c r="Y6" s="843"/>
      <c r="Z6" s="844"/>
      <c r="AC6" s="634">
        <f t="shared" si="1"/>
        <v>0.107141522554147</v>
      </c>
      <c r="AD6" s="634">
        <f t="shared" si="1"/>
        <v>7.4782463326451554E-2</v>
      </c>
      <c r="AE6" s="634">
        <f t="shared" si="1"/>
        <v>5.9707378889594986E-2</v>
      </c>
      <c r="AF6" s="634">
        <f t="shared" si="1"/>
        <v>7.0003929543112298E-2</v>
      </c>
      <c r="AG6" s="634">
        <f t="shared" si="2"/>
        <v>-4.4324495797399943E-2</v>
      </c>
      <c r="AH6" s="634">
        <f t="shared" si="2"/>
        <v>-3.7878546901866317E-2</v>
      </c>
      <c r="AI6" s="634">
        <f t="shared" si="2"/>
        <v>-2.1997798588754947E-2</v>
      </c>
      <c r="AJ6" s="634">
        <f t="shared" si="2"/>
        <v>-7.6358744984287297E-3</v>
      </c>
      <c r="AK6" s="634">
        <f t="shared" si="3"/>
        <v>-2.1546770196943399E-2</v>
      </c>
      <c r="AL6" s="634">
        <f t="shared" si="3"/>
        <v>-1.5871440351597266E-2</v>
      </c>
      <c r="AM6" s="634">
        <f t="shared" si="3"/>
        <v>-3.0694038794890299E-2</v>
      </c>
      <c r="AN6" s="634">
        <f t="shared" si="3"/>
        <v>-7.4236442544738601E-2</v>
      </c>
      <c r="AQ6" s="820"/>
      <c r="AR6" s="820"/>
      <c r="AS6" s="820"/>
      <c r="AT6" s="820"/>
    </row>
    <row r="7" spans="1:47" ht="18">
      <c r="A7" s="839" t="s">
        <v>2844</v>
      </c>
      <c r="B7" s="840">
        <v>70.796815083316488</v>
      </c>
      <c r="C7" s="840">
        <v>85.044615057094319</v>
      </c>
      <c r="D7" s="840">
        <v>93.83652936038952</v>
      </c>
      <c r="E7" s="840">
        <v>97.11201759364927</v>
      </c>
      <c r="F7" s="841">
        <f>SUM(B7:E7)</f>
        <v>346.78997709444963</v>
      </c>
      <c r="G7" s="842">
        <v>116.60227857350907</v>
      </c>
      <c r="H7" s="842">
        <v>129.88321526227085</v>
      </c>
      <c r="I7" s="842">
        <v>138.94419962716353</v>
      </c>
      <c r="J7" s="843">
        <v>147.39918608794295</v>
      </c>
      <c r="K7" s="844">
        <v>532.82887955088631</v>
      </c>
      <c r="L7" s="842">
        <v>162.93644816214368</v>
      </c>
      <c r="M7" s="842">
        <v>169.97445484839577</v>
      </c>
      <c r="N7" s="842">
        <v>177.74370012377983</v>
      </c>
      <c r="O7" s="843">
        <v>190.74409105579002</v>
      </c>
      <c r="P7" s="844">
        <v>701.39869419010927</v>
      </c>
      <c r="Q7" s="842">
        <v>199.82303787732624</v>
      </c>
      <c r="R7" s="842">
        <v>219.46520402294982</v>
      </c>
      <c r="S7" s="842">
        <v>243.86416964607014</v>
      </c>
      <c r="T7" s="843">
        <v>260.08180532524136</v>
      </c>
      <c r="U7" s="844">
        <v>923.23421687158759</v>
      </c>
      <c r="V7" s="842">
        <v>259</v>
      </c>
      <c r="W7" s="842">
        <v>277</v>
      </c>
      <c r="X7" s="842">
        <v>289</v>
      </c>
      <c r="Y7" s="843"/>
      <c r="Z7" s="844"/>
      <c r="AC7" s="634">
        <f t="shared" si="1"/>
        <v>0.64699892835979833</v>
      </c>
      <c r="AD7" s="634">
        <f t="shared" si="1"/>
        <v>0.52723620625567347</v>
      </c>
      <c r="AE7" s="634">
        <f t="shared" si="1"/>
        <v>0.48070480200235277</v>
      </c>
      <c r="AF7" s="634">
        <f t="shared" si="1"/>
        <v>0.5178264208731902</v>
      </c>
      <c r="AG7" s="634">
        <f t="shared" si="2"/>
        <v>0.39736933236192606</v>
      </c>
      <c r="AH7" s="634">
        <f t="shared" si="2"/>
        <v>0.30867144384414402</v>
      </c>
      <c r="AI7" s="634">
        <f t="shared" si="2"/>
        <v>0.27924519771771039</v>
      </c>
      <c r="AJ7" s="634">
        <f t="shared" si="2"/>
        <v>0.29406475109018682</v>
      </c>
      <c r="AK7" s="634">
        <f t="shared" si="3"/>
        <v>0.22638636186837369</v>
      </c>
      <c r="AL7" s="634">
        <f t="shared" si="3"/>
        <v>0.29116580617185117</v>
      </c>
      <c r="AM7" s="634">
        <f t="shared" si="3"/>
        <v>0.37199894835228675</v>
      </c>
      <c r="AN7" s="634">
        <f t="shared" si="3"/>
        <v>0.36351172864993764</v>
      </c>
      <c r="AQ7" s="820"/>
      <c r="AR7" s="820"/>
      <c r="AS7" s="820"/>
      <c r="AT7" s="820"/>
    </row>
    <row r="8" spans="1:47" ht="18">
      <c r="A8" s="839" t="s">
        <v>2416</v>
      </c>
      <c r="B8" s="840">
        <v>69.255402715910577</v>
      </c>
      <c r="C8" s="840">
        <v>80.106454988435317</v>
      </c>
      <c r="D8" s="840">
        <v>82.97053594455889</v>
      </c>
      <c r="E8" s="840">
        <v>81.674314051501199</v>
      </c>
      <c r="F8" s="841">
        <f>SUM(B8:E8)</f>
        <v>314.00670770040597</v>
      </c>
      <c r="G8" s="842">
        <v>96.856174526461913</v>
      </c>
      <c r="H8" s="842">
        <v>102.72601367024846</v>
      </c>
      <c r="I8" s="842">
        <v>104.58580835862249</v>
      </c>
      <c r="J8" s="843">
        <v>107.82412509856137</v>
      </c>
      <c r="K8" s="844">
        <v>411.99212165389417</v>
      </c>
      <c r="L8" s="842">
        <v>110.22686660878904</v>
      </c>
      <c r="M8" s="842">
        <v>112.83353171585838</v>
      </c>
      <c r="N8" s="842">
        <v>108.58564855856334</v>
      </c>
      <c r="O8" s="843">
        <v>117.92273958603558</v>
      </c>
      <c r="P8" s="844">
        <v>449.56878646924639</v>
      </c>
      <c r="Q8" s="842">
        <v>114.12092253250927</v>
      </c>
      <c r="R8" s="842">
        <v>115.13701012638128</v>
      </c>
      <c r="S8" s="842">
        <v>112.64609635128554</v>
      </c>
      <c r="T8" s="843">
        <v>112.2140079277975</v>
      </c>
      <c r="U8" s="844">
        <v>454.11803693797356</v>
      </c>
      <c r="V8" s="842"/>
      <c r="W8" s="842"/>
      <c r="X8" s="842"/>
      <c r="Y8" s="843"/>
      <c r="Z8" s="844"/>
      <c r="AC8" s="634">
        <f t="shared" si="1"/>
        <v>0.39853600915110121</v>
      </c>
      <c r="AD8" s="634">
        <f t="shared" si="1"/>
        <v>0.28236873901208903</v>
      </c>
      <c r="AE8" s="634">
        <f t="shared" si="1"/>
        <v>0.26051744957399059</v>
      </c>
      <c r="AF8" s="634">
        <f t="shared" si="1"/>
        <v>0.3201717865738174</v>
      </c>
      <c r="AG8" s="634">
        <f t="shared" si="2"/>
        <v>0.13804687360096124</v>
      </c>
      <c r="AH8" s="634">
        <f t="shared" si="2"/>
        <v>9.8392974520116638E-2</v>
      </c>
      <c r="AI8" s="634">
        <f t="shared" si="2"/>
        <v>3.824457890333921E-2</v>
      </c>
      <c r="AJ8" s="634">
        <f t="shared" si="2"/>
        <v>9.3658209405762749E-2</v>
      </c>
      <c r="AK8" s="634">
        <f t="shared" si="3"/>
        <v>3.5327647818755414E-2</v>
      </c>
      <c r="AL8" s="634">
        <f t="shared" si="3"/>
        <v>2.0414839237006266E-2</v>
      </c>
      <c r="AM8" s="634">
        <f t="shared" si="3"/>
        <v>3.7393963628004512E-2</v>
      </c>
      <c r="AN8" s="634">
        <f t="shared" si="3"/>
        <v>-4.8410778771578955E-2</v>
      </c>
      <c r="AQ8" s="820"/>
      <c r="AR8" s="820"/>
      <c r="AS8" s="820"/>
      <c r="AT8" s="820"/>
    </row>
    <row r="9" spans="1:47" ht="18">
      <c r="A9" s="825" t="s">
        <v>2845</v>
      </c>
      <c r="B9" s="845">
        <v>8.9</v>
      </c>
      <c r="C9" s="845">
        <v>8.9</v>
      </c>
      <c r="D9" s="845">
        <v>8.8000000000000007</v>
      </c>
      <c r="E9" s="845">
        <v>8.6999999999999993</v>
      </c>
      <c r="F9" s="846">
        <v>8.9</v>
      </c>
      <c r="G9" s="845">
        <v>8.6826329992613971</v>
      </c>
      <c r="H9" s="845">
        <v>8.5686010176072696</v>
      </c>
      <c r="I9" s="845">
        <v>8.4352100340705416</v>
      </c>
      <c r="J9" s="845">
        <v>8.4214426346645475</v>
      </c>
      <c r="K9" s="846">
        <v>8.3000000000000007</v>
      </c>
      <c r="L9" s="847">
        <v>8.059655404544948</v>
      </c>
      <c r="M9" s="847">
        <v>8.045876885907747</v>
      </c>
      <c r="N9" s="847">
        <v>8.0310583416358501</v>
      </c>
      <c r="O9" s="848">
        <v>8.1420545401240307</v>
      </c>
      <c r="P9" s="834"/>
      <c r="Q9" s="847">
        <v>7.5663514498119637</v>
      </c>
      <c r="R9" s="847">
        <v>7.6</v>
      </c>
      <c r="S9" s="847">
        <v>7.5</v>
      </c>
      <c r="T9" s="847"/>
      <c r="U9" s="834"/>
      <c r="V9" s="946"/>
      <c r="W9" s="946"/>
      <c r="X9" s="847"/>
      <c r="Y9" s="847"/>
      <c r="Z9" s="834"/>
      <c r="AC9" s="635"/>
      <c r="AD9" s="635"/>
      <c r="AE9" s="635"/>
      <c r="AF9" s="635"/>
      <c r="AG9" s="635"/>
      <c r="AH9" s="635"/>
      <c r="AI9" s="635"/>
      <c r="AJ9" s="635"/>
      <c r="AK9" s="635"/>
      <c r="AL9" s="635"/>
      <c r="AM9" s="635">
        <f>S9/N9-1</f>
        <v>-6.6125573871460452E-2</v>
      </c>
      <c r="AN9" s="635">
        <f>T9/O9-1</f>
        <v>-1</v>
      </c>
      <c r="AQ9" s="820"/>
      <c r="AR9" s="820"/>
      <c r="AS9" s="820"/>
      <c r="AT9" s="820"/>
    </row>
    <row r="10" spans="1:47" ht="18">
      <c r="A10" s="839"/>
      <c r="B10" s="840"/>
      <c r="C10" s="840"/>
      <c r="D10" s="840"/>
      <c r="E10" s="840"/>
      <c r="F10" s="849"/>
      <c r="G10" s="840"/>
      <c r="H10" s="840"/>
      <c r="I10" s="840"/>
      <c r="J10" s="840"/>
      <c r="K10" s="850" t="e">
        <f>(K6/1000)/Master!O5</f>
        <v>#DIV/0!</v>
      </c>
      <c r="L10" s="851"/>
      <c r="M10" s="852"/>
      <c r="N10" s="852"/>
      <c r="O10" s="853"/>
      <c r="P10" s="849"/>
      <c r="Q10" s="851"/>
      <c r="R10" s="854"/>
      <c r="S10" s="854"/>
      <c r="T10" s="854"/>
      <c r="U10" s="849"/>
      <c r="V10" s="894"/>
      <c r="W10" s="894"/>
      <c r="X10" s="854"/>
      <c r="Y10" s="854"/>
      <c r="Z10" s="849"/>
    </row>
    <row r="11" spans="1:47" ht="18">
      <c r="A11" s="825" t="s">
        <v>2846</v>
      </c>
      <c r="B11" s="833">
        <v>66.435718625045141</v>
      </c>
      <c r="C11" s="833">
        <v>68.187887708371875</v>
      </c>
      <c r="D11" s="833">
        <v>70.141628820355692</v>
      </c>
      <c r="E11" s="833">
        <v>75.739951944656582</v>
      </c>
      <c r="F11" s="834">
        <f>SUM(B11:E11)</f>
        <v>280.50518709842925</v>
      </c>
      <c r="G11" s="855">
        <v>87.909408207150051</v>
      </c>
      <c r="H11" s="856">
        <v>89.598193066230635</v>
      </c>
      <c r="I11" s="856">
        <v>91.530718616251818</v>
      </c>
      <c r="J11" s="857">
        <v>109.38089395135094</v>
      </c>
      <c r="K11" s="858">
        <v>378.41921384098345</v>
      </c>
      <c r="L11" s="855">
        <v>111.46904689354993</v>
      </c>
      <c r="M11" s="856">
        <v>112.12162206100567</v>
      </c>
      <c r="N11" s="856">
        <v>117.99844906708019</v>
      </c>
      <c r="O11" s="857">
        <v>117.87736543258086</v>
      </c>
      <c r="P11" s="858">
        <v>459.46648345421664</v>
      </c>
      <c r="Q11" s="855">
        <v>124.94245668011821</v>
      </c>
      <c r="R11" s="856">
        <v>129.1758533282642</v>
      </c>
      <c r="S11" s="856">
        <v>302.67225117815701</v>
      </c>
      <c r="T11" s="857">
        <v>413.8</v>
      </c>
      <c r="U11" s="858">
        <v>970.40417509661938</v>
      </c>
      <c r="V11" s="856">
        <v>397</v>
      </c>
      <c r="W11" s="856">
        <v>416</v>
      </c>
      <c r="X11" s="856">
        <v>388</v>
      </c>
      <c r="Y11" s="857">
        <f>Y43+Y74+Y105</f>
        <v>391.81235600228615</v>
      </c>
      <c r="Z11" s="858">
        <f ca="1">Z43+Z74+Z105</f>
        <v>1476.0098120504517</v>
      </c>
      <c r="AC11" s="633">
        <f t="shared" ref="AC11:AF15" si="4">G11/B11-1</f>
        <v>0.32322506667384343</v>
      </c>
      <c r="AD11" s="633">
        <f t="shared" si="4"/>
        <v>0.31398986062491097</v>
      </c>
      <c r="AE11" s="633">
        <f t="shared" si="4"/>
        <v>0.30494144712089755</v>
      </c>
      <c r="AF11" s="633">
        <f t="shared" si="4"/>
        <v>0.44416376222783849</v>
      </c>
      <c r="AG11" s="633">
        <f t="shared" ref="AG11:AJ15" si="5">L11/G11-1</f>
        <v>0.26799905910962174</v>
      </c>
      <c r="AH11" s="633">
        <f t="shared" si="5"/>
        <v>0.25138262529609046</v>
      </c>
      <c r="AI11" s="633">
        <f t="shared" si="5"/>
        <v>0.28916773353212655</v>
      </c>
      <c r="AJ11" s="633">
        <f t="shared" si="5"/>
        <v>7.767783910240178E-2</v>
      </c>
      <c r="AK11" s="633">
        <f t="shared" ref="AK11:AN15" si="6">Q11/L11-1</f>
        <v>0.12087131057498901</v>
      </c>
      <c r="AL11" s="633">
        <f t="shared" si="6"/>
        <v>0.15210474976877597</v>
      </c>
      <c r="AM11" s="633">
        <f t="shared" si="6"/>
        <v>1.5650527915506145</v>
      </c>
      <c r="AN11" s="633">
        <f t="shared" si="6"/>
        <v>2.510427964532937</v>
      </c>
      <c r="AQ11" s="821"/>
      <c r="AR11" s="821"/>
      <c r="AS11" s="821"/>
      <c r="AT11" s="821"/>
    </row>
    <row r="12" spans="1:47" ht="18">
      <c r="A12" s="839" t="s">
        <v>2587</v>
      </c>
      <c r="B12" s="840">
        <v>28.5655539264848</v>
      </c>
      <c r="C12" s="840">
        <v>29.722759279151902</v>
      </c>
      <c r="D12" s="840">
        <v>30.357887247765099</v>
      </c>
      <c r="E12" s="840">
        <v>31.945240530488729</v>
      </c>
      <c r="F12" s="841">
        <f>SUM(B12:E12)</f>
        <v>120.59144098389054</v>
      </c>
      <c r="G12" s="859">
        <v>33.922723022523577</v>
      </c>
      <c r="H12" s="859">
        <v>34.82732174236294</v>
      </c>
      <c r="I12" s="859">
        <v>34.54864287029023</v>
      </c>
      <c r="J12" s="859">
        <v>49.083215731579223</v>
      </c>
      <c r="K12" s="860">
        <v>152.38190336675598</v>
      </c>
      <c r="L12" s="859">
        <v>53.630295389870781</v>
      </c>
      <c r="M12" s="859">
        <v>54.438152878279105</v>
      </c>
      <c r="N12" s="859">
        <v>55.256267368896175</v>
      </c>
      <c r="O12" s="859">
        <v>60.485461610410589</v>
      </c>
      <c r="P12" s="860">
        <v>223.81017724745666</v>
      </c>
      <c r="Q12" s="859">
        <v>60.777862253957572</v>
      </c>
      <c r="R12" s="859">
        <v>62.092746351460647</v>
      </c>
      <c r="S12" s="859">
        <v>86.246883503733514</v>
      </c>
      <c r="T12" s="859">
        <v>106.04140319531992</v>
      </c>
      <c r="U12" s="860">
        <v>315.15889530447168</v>
      </c>
      <c r="V12" s="859"/>
      <c r="W12" s="859"/>
      <c r="X12" s="859"/>
      <c r="Y12" s="859"/>
      <c r="Z12" s="860"/>
      <c r="AC12" s="634">
        <f t="shared" si="4"/>
        <v>0.18753947883614575</v>
      </c>
      <c r="AD12" s="634">
        <f t="shared" si="4"/>
        <v>0.17173918529130217</v>
      </c>
      <c r="AE12" s="634">
        <f t="shared" si="4"/>
        <v>0.13804503549019698</v>
      </c>
      <c r="AF12" s="634">
        <f t="shared" si="4"/>
        <v>0.53647976714195988</v>
      </c>
      <c r="AG12" s="634">
        <f t="shared" si="5"/>
        <v>0.58095490607466926</v>
      </c>
      <c r="AH12" s="634">
        <f t="shared" si="5"/>
        <v>0.56308754606479305</v>
      </c>
      <c r="AI12" s="634">
        <f t="shared" si="5"/>
        <v>0.59937591691664571</v>
      </c>
      <c r="AJ12" s="634">
        <f t="shared" si="5"/>
        <v>0.23230437755314748</v>
      </c>
      <c r="AK12" s="634">
        <f t="shared" si="6"/>
        <v>0.13327479947904153</v>
      </c>
      <c r="AL12" s="634">
        <f t="shared" si="6"/>
        <v>0.14061082289652282</v>
      </c>
      <c r="AM12" s="634">
        <f t="shared" si="6"/>
        <v>0.56085250796875208</v>
      </c>
      <c r="AN12" s="634">
        <f t="shared" si="6"/>
        <v>0.75317176015514398</v>
      </c>
      <c r="AQ12" s="820"/>
      <c r="AR12" s="820"/>
      <c r="AS12" s="820"/>
      <c r="AT12" s="820"/>
    </row>
    <row r="13" spans="1:47" ht="18">
      <c r="A13" s="839" t="s">
        <v>2844</v>
      </c>
      <c r="B13" s="840">
        <v>23.288387479257118</v>
      </c>
      <c r="C13" s="840">
        <v>23.95085994531653</v>
      </c>
      <c r="D13" s="840">
        <v>24.162650741804711</v>
      </c>
      <c r="E13" s="840">
        <v>25.64573560508936</v>
      </c>
      <c r="F13" s="841">
        <f>SUM(B13:E13)</f>
        <v>97.047633771467716</v>
      </c>
      <c r="G13" s="859">
        <v>45.877560257600109</v>
      </c>
      <c r="H13" s="859">
        <v>46.364869315015788</v>
      </c>
      <c r="I13" s="859">
        <v>47.585603523345284</v>
      </c>
      <c r="J13" s="859">
        <v>49.543938017356133</v>
      </c>
      <c r="K13" s="860">
        <v>189.3719711133173</v>
      </c>
      <c r="L13" s="859">
        <v>49.815371948323453</v>
      </c>
      <c r="M13" s="859">
        <v>51.918259709535462</v>
      </c>
      <c r="N13" s="859">
        <v>52.914743027872376</v>
      </c>
      <c r="O13" s="859">
        <v>53.475699019999091</v>
      </c>
      <c r="P13" s="860">
        <v>208.12407370573038</v>
      </c>
      <c r="Q13" s="859">
        <v>54.711471274369018</v>
      </c>
      <c r="R13" s="859">
        <v>57.429701641656621</v>
      </c>
      <c r="S13" s="859">
        <v>111.42159037941389</v>
      </c>
      <c r="T13" s="859">
        <v>142.31130482901918</v>
      </c>
      <c r="U13" s="860">
        <v>365.87406812445874</v>
      </c>
      <c r="V13" s="859"/>
      <c r="W13" s="859"/>
      <c r="X13" s="859"/>
      <c r="Y13" s="859"/>
      <c r="Z13" s="860"/>
      <c r="AC13" s="634">
        <f t="shared" si="4"/>
        <v>0.96997582157472628</v>
      </c>
      <c r="AD13" s="634">
        <f t="shared" si="4"/>
        <v>0.93583317763428386</v>
      </c>
      <c r="AE13" s="634">
        <f t="shared" si="4"/>
        <v>0.96938672134244119</v>
      </c>
      <c r="AF13" s="634">
        <f t="shared" si="4"/>
        <v>0.93185872225572686</v>
      </c>
      <c r="AG13" s="634">
        <f t="shared" si="5"/>
        <v>8.5833066723965512E-2</v>
      </c>
      <c r="AH13" s="634">
        <f t="shared" si="5"/>
        <v>0.11977582330251813</v>
      </c>
      <c r="AI13" s="634">
        <f t="shared" si="5"/>
        <v>0.11199058349470414</v>
      </c>
      <c r="AJ13" s="634">
        <f t="shared" si="5"/>
        <v>7.9359073177945438E-2</v>
      </c>
      <c r="AK13" s="634">
        <f t="shared" si="6"/>
        <v>9.8284909548092658E-2</v>
      </c>
      <c r="AL13" s="634">
        <f t="shared" si="6"/>
        <v>0.10615613780114641</v>
      </c>
      <c r="AM13" s="634">
        <f t="shared" si="6"/>
        <v>1.1056814037767042</v>
      </c>
      <c r="AN13" s="634">
        <f t="shared" si="6"/>
        <v>1.6612331851108095</v>
      </c>
      <c r="AQ13" s="820"/>
      <c r="AR13" s="820"/>
      <c r="AS13" s="820"/>
      <c r="AT13" s="820"/>
    </row>
    <row r="14" spans="1:47" ht="18">
      <c r="A14" s="839" t="s">
        <v>1580</v>
      </c>
      <c r="B14" s="840">
        <v>0.77065818839797795</v>
      </c>
      <c r="C14" s="840">
        <v>0.69689702475790205</v>
      </c>
      <c r="D14" s="840">
        <v>1.1998524610632819</v>
      </c>
      <c r="E14" s="840">
        <v>1.7364425671466879</v>
      </c>
      <c r="F14" s="841">
        <f>SUM(B14:E14)</f>
        <v>4.4038502413658502</v>
      </c>
      <c r="G14" s="859">
        <v>5.0094105639934305</v>
      </c>
      <c r="H14" s="859">
        <v>4.9399921427869611</v>
      </c>
      <c r="I14" s="859">
        <v>5.0801821845394084</v>
      </c>
      <c r="J14" s="859">
        <v>5.5175052335972588</v>
      </c>
      <c r="K14" s="860">
        <v>20.547090124917055</v>
      </c>
      <c r="L14" s="859">
        <v>5.1523715065378495</v>
      </c>
      <c r="M14" s="859">
        <v>6.0197555908864473</v>
      </c>
      <c r="N14" s="859">
        <v>6.0247730519687428</v>
      </c>
      <c r="O14" s="859">
        <v>6.6592199734622168</v>
      </c>
      <c r="P14" s="860">
        <v>23.856120122855259</v>
      </c>
      <c r="Q14" s="859">
        <v>6.5833491736362584</v>
      </c>
      <c r="R14" s="859">
        <v>6.6965548598105986</v>
      </c>
      <c r="S14" s="859">
        <v>83.290372328209713</v>
      </c>
      <c r="T14" s="859">
        <v>130.77356861500459</v>
      </c>
      <c r="U14" s="860">
        <v>227.34384497666116</v>
      </c>
      <c r="V14" s="859"/>
      <c r="W14" s="859"/>
      <c r="X14" s="859"/>
      <c r="Y14" s="859"/>
      <c r="Z14" s="860"/>
      <c r="AC14" s="634">
        <f t="shared" si="4"/>
        <v>5.5001717225724276</v>
      </c>
      <c r="AD14" s="634">
        <f t="shared" si="4"/>
        <v>6.0885539287573875</v>
      </c>
      <c r="AE14" s="634">
        <f t="shared" si="4"/>
        <v>3.2340057210346238</v>
      </c>
      <c r="AF14" s="634">
        <f t="shared" si="4"/>
        <v>2.1774763749679269</v>
      </c>
      <c r="AG14" s="634">
        <f t="shared" si="5"/>
        <v>2.8538475878178371E-2</v>
      </c>
      <c r="AH14" s="634">
        <f t="shared" si="5"/>
        <v>0.21857594443264095</v>
      </c>
      <c r="AI14" s="634">
        <f t="shared" si="5"/>
        <v>0.18593641588367071</v>
      </c>
      <c r="AJ14" s="634">
        <f t="shared" si="5"/>
        <v>0.20692590066119276</v>
      </c>
      <c r="AK14" s="634">
        <f t="shared" si="6"/>
        <v>0.27773184935958906</v>
      </c>
      <c r="AL14" s="634">
        <f t="shared" si="6"/>
        <v>0.1124296923198651</v>
      </c>
      <c r="AM14" s="634">
        <f t="shared" si="6"/>
        <v>12.82464893030162</v>
      </c>
      <c r="AN14" s="634">
        <f t="shared" si="6"/>
        <v>18.637970984012064</v>
      </c>
      <c r="AQ14" s="820"/>
      <c r="AR14" s="820"/>
      <c r="AS14" s="820"/>
      <c r="AT14" s="820"/>
    </row>
    <row r="15" spans="1:47" ht="18">
      <c r="A15" s="839" t="s">
        <v>1540</v>
      </c>
      <c r="B15" s="840">
        <v>13.811119030905243</v>
      </c>
      <c r="C15" s="840">
        <v>13.586202483542854</v>
      </c>
      <c r="D15" s="840">
        <v>14.283634490390471</v>
      </c>
      <c r="E15" s="840">
        <v>16.296659303984146</v>
      </c>
      <c r="F15" s="841">
        <f>SUM(B15:E15)</f>
        <v>57.977615308822706</v>
      </c>
      <c r="G15" s="859">
        <v>3.0997143630329296</v>
      </c>
      <c r="H15" s="859">
        <v>3.4660098660649727</v>
      </c>
      <c r="I15" s="859">
        <v>4.3162900380768789</v>
      </c>
      <c r="J15" s="859">
        <v>5.2362349688183265</v>
      </c>
      <c r="K15" s="860">
        <v>16.118249235993108</v>
      </c>
      <c r="L15" s="859">
        <v>2.871008048817846</v>
      </c>
      <c r="M15" s="859">
        <v>0.25454611769534802</v>
      </c>
      <c r="N15" s="859">
        <v>3.8026656183429286</v>
      </c>
      <c r="O15" s="859">
        <v>2.74301517129103</v>
      </c>
      <c r="P15" s="860">
        <v>3.6761123781744001</v>
      </c>
      <c r="Q15" s="859">
        <v>2.8697739781553833</v>
      </c>
      <c r="R15" s="859">
        <v>2.9568504753363301</v>
      </c>
      <c r="S15" s="859">
        <v>21.713404966799882</v>
      </c>
      <c r="T15" s="859">
        <v>34.48733727073639</v>
      </c>
      <c r="U15" s="860">
        <v>62.027366691027986</v>
      </c>
      <c r="V15" s="859"/>
      <c r="W15" s="859"/>
      <c r="X15" s="859"/>
      <c r="Y15" s="859"/>
      <c r="Z15" s="860"/>
      <c r="AC15" s="634">
        <f t="shared" si="4"/>
        <v>-0.77556385140866024</v>
      </c>
      <c r="AD15" s="634">
        <f t="shared" si="4"/>
        <v>-0.74488751582619228</v>
      </c>
      <c r="AE15" s="634">
        <f t="shared" si="4"/>
        <v>-0.69781570363056211</v>
      </c>
      <c r="AF15" s="634">
        <f t="shared" si="4"/>
        <v>-0.67869273872969837</v>
      </c>
      <c r="AG15" s="634">
        <f t="shared" si="5"/>
        <v>-7.3783028830858077E-2</v>
      </c>
      <c r="AH15" s="634">
        <f t="shared" si="5"/>
        <v>-0.92655932108342809</v>
      </c>
      <c r="AI15" s="634">
        <f t="shared" si="5"/>
        <v>-0.11899673451110238</v>
      </c>
      <c r="AJ15" s="634">
        <f t="shared" si="5"/>
        <v>-0.47614742508202368</v>
      </c>
      <c r="AK15" s="634">
        <f t="shared" si="6"/>
        <v>-4.2983880277547293E-4</v>
      </c>
      <c r="AL15" s="634">
        <f t="shared" si="6"/>
        <v>10.616168033154679</v>
      </c>
      <c r="AM15" s="634">
        <f t="shared" si="6"/>
        <v>4.7100484623367542</v>
      </c>
      <c r="AN15" s="634">
        <f t="shared" si="6"/>
        <v>11.572784004874661</v>
      </c>
      <c r="AQ15" s="820"/>
      <c r="AR15" s="820"/>
      <c r="AS15" s="820"/>
      <c r="AT15" s="820"/>
    </row>
    <row r="16" spans="1:47" ht="18">
      <c r="A16" s="825"/>
      <c r="B16" s="833"/>
      <c r="C16" s="833"/>
      <c r="D16" s="833"/>
      <c r="E16" s="833"/>
      <c r="F16" s="834"/>
      <c r="G16" s="833"/>
      <c r="H16" s="833"/>
      <c r="I16" s="833"/>
      <c r="J16" s="833"/>
      <c r="K16" s="834"/>
      <c r="L16" s="861"/>
      <c r="M16" s="861"/>
      <c r="N16" s="861"/>
      <c r="O16" s="862"/>
      <c r="P16" s="834"/>
      <c r="Q16" s="861"/>
      <c r="R16" s="863"/>
      <c r="S16" s="863"/>
      <c r="T16" s="863"/>
      <c r="U16" s="834"/>
      <c r="V16" s="946"/>
      <c r="W16" s="946"/>
      <c r="X16" s="863"/>
      <c r="Y16" s="863"/>
      <c r="Z16" s="834"/>
    </row>
    <row r="17" spans="1:46" ht="18">
      <c r="A17" s="825" t="s">
        <v>2848</v>
      </c>
      <c r="B17" s="833">
        <v>44.742029319267381</v>
      </c>
      <c r="C17" s="833">
        <v>46.493864690572266</v>
      </c>
      <c r="D17" s="833">
        <v>47.171096100368679</v>
      </c>
      <c r="E17" s="833">
        <v>49.942020331315824</v>
      </c>
      <c r="F17" s="834">
        <f t="shared" ref="F17:F22" si="7">SUM(B17:E17)</f>
        <v>188.34901044152417</v>
      </c>
      <c r="G17" s="864">
        <v>54.412388121359932</v>
      </c>
      <c r="H17" s="865">
        <v>55.413219873432134</v>
      </c>
      <c r="I17" s="865">
        <v>56.009136589843614</v>
      </c>
      <c r="J17" s="866">
        <v>72.076408075509477</v>
      </c>
      <c r="K17" s="867">
        <v>237.91115266014512</v>
      </c>
      <c r="L17" s="864">
        <v>77.718153438365363</v>
      </c>
      <c r="M17" s="865">
        <v>79.386762432928549</v>
      </c>
      <c r="N17" s="865">
        <v>80.233615592950599</v>
      </c>
      <c r="O17" s="866">
        <v>86.655504553903953</v>
      </c>
      <c r="P17" s="867">
        <v>323.99403601814845</v>
      </c>
      <c r="Q17" s="864">
        <v>87.132339951030957</v>
      </c>
      <c r="R17" s="865">
        <v>89.901437240622911</v>
      </c>
      <c r="S17" s="865">
        <v>184.19133389067656</v>
      </c>
      <c r="T17" s="866">
        <v>255.10736626638496</v>
      </c>
      <c r="U17" s="867">
        <v>616.33247734871532</v>
      </c>
      <c r="V17" s="865"/>
      <c r="W17" s="865"/>
      <c r="X17" s="865"/>
      <c r="Y17" s="866"/>
      <c r="Z17" s="867"/>
      <c r="AQ17" s="821"/>
      <c r="AR17" s="821"/>
      <c r="AS17" s="821"/>
      <c r="AT17" s="821"/>
    </row>
    <row r="18" spans="1:46" ht="18">
      <c r="A18" s="839" t="s">
        <v>2587</v>
      </c>
      <c r="B18" s="840">
        <v>28.534003256484802</v>
      </c>
      <c r="C18" s="868">
        <v>29.691150609151901</v>
      </c>
      <c r="D18" s="868">
        <v>30.326212977765099</v>
      </c>
      <c r="E18" s="868">
        <v>31.896980751266501</v>
      </c>
      <c r="F18" s="841">
        <f t="shared" si="7"/>
        <v>120.44834759466829</v>
      </c>
      <c r="G18" s="869">
        <v>33.707393602523574</v>
      </c>
      <c r="H18" s="869">
        <v>34.612564072362943</v>
      </c>
      <c r="I18" s="869">
        <v>34.336167830290229</v>
      </c>
      <c r="J18" s="870">
        <v>48.857901421428622</v>
      </c>
      <c r="K18" s="871">
        <v>151.51402692660534</v>
      </c>
      <c r="L18" s="869">
        <v>53.39737364177526</v>
      </c>
      <c r="M18" s="869">
        <v>54.197345238949922</v>
      </c>
      <c r="N18" s="869">
        <v>54.980536525885142</v>
      </c>
      <c r="O18" s="870">
        <v>60.199108662267349</v>
      </c>
      <c r="P18" s="871">
        <v>222.77436406887767</v>
      </c>
      <c r="Q18" s="869">
        <v>60.483925756656888</v>
      </c>
      <c r="R18" s="869">
        <v>61.785210686052331</v>
      </c>
      <c r="S18" s="869">
        <v>84.921559400471182</v>
      </c>
      <c r="T18" s="870">
        <v>104.00614177099014</v>
      </c>
      <c r="U18" s="871">
        <v>311.19683761417059</v>
      </c>
      <c r="V18" s="869"/>
      <c r="W18" s="869"/>
      <c r="X18" s="869"/>
      <c r="Y18" s="870"/>
      <c r="Z18" s="871"/>
      <c r="AQ18" s="820"/>
      <c r="AR18" s="820"/>
      <c r="AS18" s="820"/>
      <c r="AT18" s="820"/>
    </row>
    <row r="19" spans="1:46" ht="18">
      <c r="A19" s="839" t="s">
        <v>2844</v>
      </c>
      <c r="B19" s="840">
        <v>15.932322623380619</v>
      </c>
      <c r="C19" s="868">
        <v>16.543151452105732</v>
      </c>
      <c r="D19" s="868">
        <v>16.587651177214973</v>
      </c>
      <c r="E19" s="868">
        <v>17.719181899712787</v>
      </c>
      <c r="F19" s="841">
        <f t="shared" si="7"/>
        <v>66.78230715241412</v>
      </c>
      <c r="G19" s="869">
        <v>18.432344438166471</v>
      </c>
      <c r="H19" s="869">
        <v>18.36047930159932</v>
      </c>
      <c r="I19" s="869">
        <v>19.108522890705039</v>
      </c>
      <c r="J19" s="870">
        <v>20.504144500699798</v>
      </c>
      <c r="K19" s="871">
        <v>76.405491131170621</v>
      </c>
      <c r="L19" s="869">
        <v>21.696915143373751</v>
      </c>
      <c r="M19" s="869">
        <v>22.295439309536533</v>
      </c>
      <c r="N19" s="869">
        <v>22.373894138481564</v>
      </c>
      <c r="O19" s="870">
        <v>23.355310753162787</v>
      </c>
      <c r="P19" s="871">
        <v>89.721559344554635</v>
      </c>
      <c r="Q19" s="869">
        <v>23.685484492023235</v>
      </c>
      <c r="R19" s="869">
        <v>24.972925371499677</v>
      </c>
      <c r="S19" s="869">
        <v>60.745470087097964</v>
      </c>
      <c r="T19" s="870">
        <v>87.233661162724147</v>
      </c>
      <c r="U19" s="871">
        <v>196.63754111334501</v>
      </c>
      <c r="V19" s="869"/>
      <c r="W19" s="869"/>
      <c r="X19" s="869"/>
      <c r="Y19" s="870"/>
      <c r="Z19" s="871"/>
      <c r="AQ19" s="820"/>
      <c r="AR19" s="820"/>
      <c r="AS19" s="820"/>
      <c r="AT19" s="820"/>
    </row>
    <row r="20" spans="1:46" ht="18">
      <c r="A20" s="839" t="s">
        <v>1580</v>
      </c>
      <c r="B20" s="840">
        <v>0.27570343940195802</v>
      </c>
      <c r="C20" s="868">
        <v>0.25956262931463403</v>
      </c>
      <c r="D20" s="868">
        <v>0.25723194538860999</v>
      </c>
      <c r="E20" s="868">
        <v>0.325857680336538</v>
      </c>
      <c r="F20" s="841">
        <f t="shared" si="7"/>
        <v>1.1183556944417401</v>
      </c>
      <c r="G20" s="869">
        <v>2.2225241313143842</v>
      </c>
      <c r="H20" s="869">
        <v>2.4404350244099993</v>
      </c>
      <c r="I20" s="869">
        <v>2.5563736637815166</v>
      </c>
      <c r="J20" s="870">
        <v>2.7126468005996722</v>
      </c>
      <c r="K20" s="871">
        <v>9.9319796201055723</v>
      </c>
      <c r="L20" s="869">
        <v>2.623864653216359</v>
      </c>
      <c r="M20" s="869">
        <v>2.8939778844420867</v>
      </c>
      <c r="N20" s="869">
        <v>2.8791849285839031</v>
      </c>
      <c r="O20" s="870">
        <v>3.1010851384738234</v>
      </c>
      <c r="P20" s="871">
        <v>11.498112604716173</v>
      </c>
      <c r="Q20" s="869">
        <v>2.9629297023508321</v>
      </c>
      <c r="R20" s="869">
        <v>3.0545942982891043</v>
      </c>
      <c r="S20" s="869">
        <v>37.38691490301639</v>
      </c>
      <c r="T20" s="870">
        <v>61.00547173343751</v>
      </c>
      <c r="U20" s="871">
        <v>104.40991063709383</v>
      </c>
      <c r="V20" s="869"/>
      <c r="W20" s="869"/>
      <c r="X20" s="869"/>
      <c r="Y20" s="870"/>
      <c r="Z20" s="871"/>
      <c r="AQ20" s="820"/>
      <c r="AR20" s="820"/>
      <c r="AS20" s="820"/>
      <c r="AT20" s="820"/>
    </row>
    <row r="21" spans="1:46" ht="18">
      <c r="A21" s="839" t="s">
        <v>1540</v>
      </c>
      <c r="B21" s="840">
        <v>0</v>
      </c>
      <c r="C21" s="868">
        <v>0</v>
      </c>
      <c r="D21" s="868">
        <v>0</v>
      </c>
      <c r="E21" s="868">
        <v>0</v>
      </c>
      <c r="F21" s="841">
        <f t="shared" si="7"/>
        <v>0</v>
      </c>
      <c r="G21" s="869">
        <v>5.0125949355498273E-2</v>
      </c>
      <c r="H21" s="869">
        <v>2.58524940125816E-4</v>
      </c>
      <c r="I21" s="869">
        <v>8.0722050668230703E-3</v>
      </c>
      <c r="J21" s="870">
        <v>1.71535278138072E-3</v>
      </c>
      <c r="K21" s="871">
        <v>5.9654982263576253E-2</v>
      </c>
      <c r="L21" s="869">
        <v>0</v>
      </c>
      <c r="M21" s="869">
        <v>0</v>
      </c>
      <c r="N21" s="869">
        <v>0</v>
      </c>
      <c r="O21" s="870">
        <v>0</v>
      </c>
      <c r="P21" s="871">
        <v>0</v>
      </c>
      <c r="Q21" s="869">
        <v>0</v>
      </c>
      <c r="R21" s="869">
        <v>8.8706884781802109E-2</v>
      </c>
      <c r="S21" s="869">
        <v>1.1373895000910699</v>
      </c>
      <c r="T21" s="870">
        <v>2.8620915992331435</v>
      </c>
      <c r="U21" s="871">
        <v>4.0881879841060158</v>
      </c>
      <c r="V21" s="869"/>
      <c r="W21" s="869"/>
      <c r="X21" s="869"/>
      <c r="Y21" s="870"/>
      <c r="Z21" s="871"/>
      <c r="AQ21" s="820"/>
      <c r="AR21" s="820"/>
      <c r="AS21" s="820"/>
      <c r="AT21" s="820"/>
    </row>
    <row r="22" spans="1:46" ht="18">
      <c r="A22" s="825" t="s">
        <v>2852</v>
      </c>
      <c r="B22" s="845"/>
      <c r="C22" s="845"/>
      <c r="D22" s="845"/>
      <c r="E22" s="845"/>
      <c r="F22" s="841">
        <f t="shared" si="7"/>
        <v>0</v>
      </c>
      <c r="G22" s="845">
        <v>32.235617125509258</v>
      </c>
      <c r="H22" s="845">
        <v>31.125080975682092</v>
      </c>
      <c r="I22" s="845">
        <v>43.108296740184208</v>
      </c>
      <c r="J22" s="845">
        <v>34.740893138764093</v>
      </c>
      <c r="K22" s="846">
        <v>30.1</v>
      </c>
      <c r="L22" s="847">
        <v>33.596314795423929</v>
      </c>
      <c r="M22" s="847">
        <v>32.955214835655823</v>
      </c>
      <c r="N22" s="847">
        <v>31.940715562366623</v>
      </c>
      <c r="O22" s="848">
        <v>33.421037361032099</v>
      </c>
      <c r="P22" s="834"/>
      <c r="Q22" s="847">
        <v>33.537234553491977</v>
      </c>
      <c r="R22" s="863"/>
      <c r="S22" s="863"/>
      <c r="T22" s="863"/>
      <c r="U22" s="834"/>
      <c r="V22" s="946"/>
      <c r="W22" s="946"/>
      <c r="X22" s="863"/>
      <c r="Y22" s="863"/>
      <c r="Z22" s="834"/>
    </row>
    <row r="23" spans="1:46" ht="18">
      <c r="A23" s="825"/>
      <c r="B23" s="833"/>
      <c r="C23" s="833"/>
      <c r="D23" s="833"/>
      <c r="E23" s="833"/>
      <c r="F23" s="834"/>
      <c r="G23" s="833"/>
      <c r="H23" s="833"/>
      <c r="I23" s="833"/>
      <c r="J23" s="833"/>
      <c r="K23" s="834"/>
      <c r="L23" s="861"/>
      <c r="M23" s="861"/>
      <c r="N23" s="861"/>
      <c r="O23" s="862"/>
      <c r="P23" s="834"/>
      <c r="Q23" s="861"/>
      <c r="R23" s="854"/>
      <c r="S23" s="854"/>
      <c r="T23" s="854"/>
      <c r="U23" s="834"/>
      <c r="V23" s="946"/>
      <c r="W23" s="946"/>
      <c r="X23" s="854"/>
      <c r="Y23" s="854"/>
      <c r="Z23" s="834"/>
    </row>
    <row r="24" spans="1:46" ht="18">
      <c r="A24" s="825" t="s">
        <v>2854</v>
      </c>
      <c r="B24" s="833">
        <v>21.693689305777752</v>
      </c>
      <c r="C24" s="833">
        <v>21.694023017799601</v>
      </c>
      <c r="D24" s="833">
        <v>22.970532719987009</v>
      </c>
      <c r="E24" s="833">
        <v>25.797931613340754</v>
      </c>
      <c r="F24" s="834">
        <f>SUM(B24:E24)</f>
        <v>92.156176656905117</v>
      </c>
      <c r="G24" s="872">
        <v>33.497020085790119</v>
      </c>
      <c r="H24" s="873">
        <v>34.184973192798523</v>
      </c>
      <c r="I24" s="873">
        <v>35.521582026408197</v>
      </c>
      <c r="J24" s="874">
        <v>37.304485875841465</v>
      </c>
      <c r="K24" s="875">
        <v>140.50806118083833</v>
      </c>
      <c r="L24" s="872">
        <v>33.750893455184553</v>
      </c>
      <c r="M24" s="873">
        <v>32.734859628077118</v>
      </c>
      <c r="N24" s="873">
        <v>37.764833474129603</v>
      </c>
      <c r="O24" s="874">
        <v>31.221860878676917</v>
      </c>
      <c r="P24" s="875">
        <v>135.47244743606817</v>
      </c>
      <c r="Q24" s="872">
        <v>37.810116729087262</v>
      </c>
      <c r="R24" s="873">
        <v>39.274416087641285</v>
      </c>
      <c r="S24" s="873">
        <v>118.48091728748041</v>
      </c>
      <c r="T24" s="874">
        <v>158.5062476436951</v>
      </c>
      <c r="U24" s="875">
        <v>354.07169774790407</v>
      </c>
      <c r="V24" s="873"/>
      <c r="W24" s="873"/>
      <c r="X24" s="873"/>
      <c r="Y24" s="874"/>
      <c r="Z24" s="875"/>
      <c r="AQ24" s="821"/>
      <c r="AR24" s="821"/>
      <c r="AS24" s="821"/>
      <c r="AT24" s="821"/>
    </row>
    <row r="25" spans="1:46" ht="18">
      <c r="A25" s="839" t="s">
        <v>2587</v>
      </c>
      <c r="B25" s="840">
        <v>3.1550670000000537E-2</v>
      </c>
      <c r="C25" s="868">
        <v>3.1608670000001442E-2</v>
      </c>
      <c r="D25" s="868">
        <v>3.1674269999999526E-2</v>
      </c>
      <c r="E25" s="868">
        <v>4.8259779222229557E-2</v>
      </c>
      <c r="F25" s="841">
        <f>SUM(B25:E25)</f>
        <v>0.14309338922223108</v>
      </c>
      <c r="G25" s="876">
        <v>0.21532941999999999</v>
      </c>
      <c r="H25" s="876">
        <v>0.21475766999999998</v>
      </c>
      <c r="I25" s="876">
        <v>0.21247504</v>
      </c>
      <c r="J25" s="877">
        <v>0.22531431015059919</v>
      </c>
      <c r="K25" s="878">
        <v>0.86787644015059928</v>
      </c>
      <c r="L25" s="876">
        <v>0.23292174809551716</v>
      </c>
      <c r="M25" s="876">
        <v>0.24080763932918445</v>
      </c>
      <c r="N25" s="876">
        <v>0.2757308430110248</v>
      </c>
      <c r="O25" s="877">
        <v>0.28635294814324425</v>
      </c>
      <c r="P25" s="878">
        <v>1.0358131785789706</v>
      </c>
      <c r="Q25" s="876">
        <v>0.29393649730068649</v>
      </c>
      <c r="R25" s="876">
        <v>0.30753566540832267</v>
      </c>
      <c r="S25" s="876">
        <v>1.3253241032623269</v>
      </c>
      <c r="T25" s="877">
        <v>2.0352614243297702</v>
      </c>
      <c r="U25" s="878">
        <v>3.9620576903011062</v>
      </c>
      <c r="V25" s="876"/>
      <c r="W25" s="876"/>
      <c r="X25" s="876"/>
      <c r="Y25" s="877"/>
      <c r="Z25" s="878"/>
      <c r="AQ25" s="820"/>
      <c r="AR25" s="820"/>
      <c r="AS25" s="820"/>
      <c r="AT25" s="820"/>
    </row>
    <row r="26" spans="1:46" ht="18">
      <c r="A26" s="839" t="s">
        <v>2844</v>
      </c>
      <c r="B26" s="840">
        <v>7.3560648558764985</v>
      </c>
      <c r="C26" s="868">
        <v>7.4077084932108006</v>
      </c>
      <c r="D26" s="868">
        <v>7.5749995645897412</v>
      </c>
      <c r="E26" s="868">
        <v>7.9265537053765707</v>
      </c>
      <c r="F26" s="841">
        <f>SUM(B26:E26)</f>
        <v>30.26532661905361</v>
      </c>
      <c r="G26" s="876">
        <v>27.445215819433642</v>
      </c>
      <c r="H26" s="876">
        <v>28.004390013416465</v>
      </c>
      <c r="I26" s="876">
        <v>28.477080632640249</v>
      </c>
      <c r="J26" s="877">
        <v>29.039793516656335</v>
      </c>
      <c r="K26" s="878">
        <v>112.96647998214664</v>
      </c>
      <c r="L26" s="876">
        <v>28.118456804949702</v>
      </c>
      <c r="M26" s="876">
        <v>29.622820399998933</v>
      </c>
      <c r="N26" s="876">
        <v>30.540848889390812</v>
      </c>
      <c r="O26" s="877">
        <v>30.120388266836304</v>
      </c>
      <c r="P26" s="878">
        <v>118.40251436117575</v>
      </c>
      <c r="Q26" s="876">
        <v>31.025986782345779</v>
      </c>
      <c r="R26" s="876">
        <v>32.456776270156944</v>
      </c>
      <c r="S26" s="876">
        <v>50.676120292315929</v>
      </c>
      <c r="T26" s="877">
        <v>55.077643666295025</v>
      </c>
      <c r="U26" s="878">
        <v>169.23652701111368</v>
      </c>
      <c r="V26" s="876"/>
      <c r="W26" s="876"/>
      <c r="X26" s="876"/>
      <c r="Y26" s="877"/>
      <c r="Z26" s="878"/>
      <c r="AQ26" s="820"/>
      <c r="AR26" s="820"/>
      <c r="AS26" s="820"/>
      <c r="AT26" s="820"/>
    </row>
    <row r="27" spans="1:46" ht="18">
      <c r="A27" s="839" t="s">
        <v>1580</v>
      </c>
      <c r="B27" s="840">
        <v>0.49495474899601993</v>
      </c>
      <c r="C27" s="868">
        <v>0.43733439544326802</v>
      </c>
      <c r="D27" s="868">
        <v>0.94262051567467187</v>
      </c>
      <c r="E27" s="868">
        <v>1.4105848868101498</v>
      </c>
      <c r="F27" s="841">
        <f>SUM(B27:E27)</f>
        <v>3.2854945469241095</v>
      </c>
      <c r="G27" s="876">
        <v>2.7868864326790463</v>
      </c>
      <c r="H27" s="876">
        <v>2.4995571183769623</v>
      </c>
      <c r="I27" s="876">
        <v>2.5238085207578922</v>
      </c>
      <c r="J27" s="877">
        <v>2.8048584329975865</v>
      </c>
      <c r="K27" s="878">
        <v>10.615110504811488</v>
      </c>
      <c r="L27" s="876">
        <v>2.5285068533214905</v>
      </c>
      <c r="M27" s="876">
        <v>3.1257777064443601</v>
      </c>
      <c r="N27" s="876">
        <v>3.1455881233848406</v>
      </c>
      <c r="O27" s="877">
        <v>3.5581348349883943</v>
      </c>
      <c r="P27" s="878">
        <v>12.358007518139086</v>
      </c>
      <c r="Q27" s="876">
        <v>3.6204194712854263</v>
      </c>
      <c r="R27" s="876">
        <v>3.6419605615214947</v>
      </c>
      <c r="S27" s="876">
        <v>45.903457425193338</v>
      </c>
      <c r="T27" s="877">
        <v>69.768096881567075</v>
      </c>
      <c r="U27" s="878">
        <v>122.93393433956733</v>
      </c>
      <c r="V27" s="876"/>
      <c r="W27" s="876"/>
      <c r="X27" s="876"/>
      <c r="Y27" s="877"/>
      <c r="Z27" s="878"/>
      <c r="AQ27" s="820"/>
      <c r="AR27" s="820"/>
      <c r="AS27" s="820"/>
      <c r="AT27" s="820"/>
    </row>
    <row r="28" spans="1:46" ht="18">
      <c r="A28" s="839" t="s">
        <v>1540</v>
      </c>
      <c r="B28" s="840">
        <v>13.811119030905243</v>
      </c>
      <c r="C28" s="868">
        <v>13.586202483542854</v>
      </c>
      <c r="D28" s="868">
        <v>14.283634490390471</v>
      </c>
      <c r="E28" s="868">
        <v>16.296659303984146</v>
      </c>
      <c r="F28" s="841">
        <f>SUM(B28:E28)</f>
        <v>57.977615308822706</v>
      </c>
      <c r="G28" s="876">
        <v>3.0495884136774318</v>
      </c>
      <c r="H28" s="876">
        <v>3.4662683910050989</v>
      </c>
      <c r="I28" s="876">
        <v>4.3082178330100556</v>
      </c>
      <c r="J28" s="877">
        <v>5.2345196160369456</v>
      </c>
      <c r="K28" s="878">
        <v>16.058594253729531</v>
      </c>
      <c r="L28" s="876">
        <v>2.871008048817846</v>
      </c>
      <c r="M28" s="876">
        <v>0.25454611769534802</v>
      </c>
      <c r="N28" s="876">
        <v>3.8026656183429286</v>
      </c>
      <c r="O28" s="877">
        <v>2.74301517129103</v>
      </c>
      <c r="P28" s="878">
        <v>3.6761123781744001</v>
      </c>
      <c r="Q28" s="876">
        <v>2.8697739781553833</v>
      </c>
      <c r="R28" s="876">
        <v>2.8681435905545278</v>
      </c>
      <c r="S28" s="876">
        <v>20.57601546670881</v>
      </c>
      <c r="T28" s="877">
        <v>31.625245671503244</v>
      </c>
      <c r="U28" s="878">
        <v>57.939178706921957</v>
      </c>
      <c r="V28" s="876"/>
      <c r="W28" s="876"/>
      <c r="X28" s="876"/>
      <c r="Y28" s="877"/>
      <c r="Z28" s="878"/>
      <c r="AQ28" s="820"/>
      <c r="AR28" s="820"/>
      <c r="AS28" s="820"/>
      <c r="AT28" s="820"/>
    </row>
    <row r="29" spans="1:46" ht="18">
      <c r="A29" s="839"/>
      <c r="B29" s="840"/>
      <c r="C29" s="840"/>
      <c r="D29" s="840"/>
      <c r="E29" s="840"/>
      <c r="F29" s="849"/>
      <c r="G29" s="840"/>
      <c r="H29" s="840"/>
      <c r="I29" s="840"/>
      <c r="J29" s="840"/>
      <c r="K29" s="849"/>
      <c r="L29" s="852"/>
      <c r="M29" s="852"/>
      <c r="N29" s="852"/>
      <c r="O29" s="853"/>
      <c r="P29" s="849"/>
      <c r="Q29" s="852"/>
      <c r="R29" s="879"/>
      <c r="S29" s="879"/>
      <c r="T29" s="879"/>
      <c r="U29" s="849"/>
      <c r="V29" s="894"/>
      <c r="W29" s="894"/>
      <c r="X29" s="879"/>
      <c r="Y29" s="879"/>
      <c r="Z29" s="849"/>
    </row>
    <row r="30" spans="1:46" ht="18">
      <c r="A30" s="825" t="s">
        <v>2702</v>
      </c>
      <c r="B30" s="833">
        <v>0.69179052662072327</v>
      </c>
      <c r="C30" s="833">
        <v>1.4305805716516509</v>
      </c>
      <c r="D30" s="833">
        <v>2.8355986379588884</v>
      </c>
      <c r="E30" s="833">
        <v>4.6135849185127382</v>
      </c>
      <c r="F30" s="834">
        <f>SUM(B30:E30)</f>
        <v>9.571554654744002</v>
      </c>
      <c r="G30" s="880">
        <v>6.4154905393521711</v>
      </c>
      <c r="H30" s="880">
        <v>8.6298052655714557</v>
      </c>
      <c r="I30" s="880">
        <v>11.437314522148514</v>
      </c>
      <c r="J30" s="881">
        <v>14.319801133399551</v>
      </c>
      <c r="K30" s="882">
        <v>40.802411460471696</v>
      </c>
      <c r="L30" s="880">
        <v>16.179724647305669</v>
      </c>
      <c r="M30" s="880">
        <v>18.526858899010715</v>
      </c>
      <c r="N30" s="880">
        <v>21.646322918509384</v>
      </c>
      <c r="O30" s="881">
        <v>23.465709219678693</v>
      </c>
      <c r="P30" s="882">
        <v>79.818615684504465</v>
      </c>
      <c r="Q30" s="880">
        <v>23.015328948069179</v>
      </c>
      <c r="R30" s="880">
        <v>25.285609354936366</v>
      </c>
      <c r="S30" s="880">
        <v>30.567995334440397</v>
      </c>
      <c r="T30" s="881">
        <v>33.9</v>
      </c>
      <c r="U30" s="882">
        <v>112.66411443877374</v>
      </c>
      <c r="V30" s="880">
        <v>31</v>
      </c>
      <c r="W30" s="880">
        <v>31</v>
      </c>
      <c r="X30" s="880">
        <v>31</v>
      </c>
      <c r="Y30" s="881">
        <f>Y62+Y93+Y124</f>
        <v>31.577363619516721</v>
      </c>
      <c r="Z30" s="882">
        <f>Z62+Z93+Z124</f>
        <v>125</v>
      </c>
      <c r="AQ30" s="821"/>
      <c r="AR30" s="821"/>
      <c r="AS30" s="821"/>
      <c r="AT30" s="821"/>
    </row>
    <row r="31" spans="1:46" ht="18">
      <c r="A31" s="825" t="s">
        <v>2860</v>
      </c>
      <c r="B31" s="845"/>
      <c r="C31" s="845"/>
      <c r="D31" s="845"/>
      <c r="E31" s="845"/>
      <c r="F31" s="846">
        <v>0.9</v>
      </c>
      <c r="G31" s="845">
        <v>1.1618058063076997</v>
      </c>
      <c r="H31" s="845">
        <v>1.2013823344075238</v>
      </c>
      <c r="I31" s="845">
        <v>1.2668172253815568</v>
      </c>
      <c r="J31" s="845">
        <v>1.315542481308795</v>
      </c>
      <c r="K31" s="846">
        <v>1.2203932547848508</v>
      </c>
      <c r="L31" s="847">
        <v>1.3015348047419721</v>
      </c>
      <c r="M31" s="847">
        <v>1.3371012710483707</v>
      </c>
      <c r="N31" s="847">
        <v>1.3907356209975832</v>
      </c>
      <c r="O31" s="848">
        <v>1.3294243953123919</v>
      </c>
      <c r="P31" s="834"/>
      <c r="Q31" s="883">
        <v>1.1267480659188955</v>
      </c>
      <c r="R31" s="884">
        <v>1.1399999999999999</v>
      </c>
      <c r="S31" s="884">
        <v>1.28</v>
      </c>
      <c r="T31" s="884">
        <v>1.2</v>
      </c>
      <c r="U31" s="834"/>
      <c r="V31" s="952">
        <v>1.06</v>
      </c>
      <c r="W31" s="952"/>
      <c r="X31" s="884"/>
      <c r="Y31" s="884"/>
      <c r="Z31" s="834"/>
    </row>
    <row r="32" spans="1:46" ht="18">
      <c r="A32" s="839"/>
      <c r="B32" s="840"/>
      <c r="C32" s="840"/>
      <c r="D32" s="840"/>
      <c r="E32" s="840"/>
      <c r="F32" s="849"/>
      <c r="G32" s="840"/>
      <c r="H32" s="840"/>
      <c r="I32" s="840"/>
      <c r="J32" s="840"/>
      <c r="K32" s="849"/>
      <c r="L32" s="885"/>
      <c r="M32" s="885"/>
      <c r="N32" s="886"/>
      <c r="O32" s="886"/>
      <c r="P32" s="849"/>
      <c r="Q32" s="885"/>
      <c r="R32" s="885"/>
      <c r="S32" s="885"/>
      <c r="T32" s="885"/>
      <c r="U32" s="849"/>
      <c r="V32" s="894"/>
      <c r="W32" s="894"/>
      <c r="X32" s="885"/>
      <c r="Y32" s="885"/>
      <c r="Z32" s="849"/>
    </row>
    <row r="33" spans="1:46" ht="18">
      <c r="A33" s="887" t="s">
        <v>2861</v>
      </c>
      <c r="B33" s="888">
        <v>54.933693512526276</v>
      </c>
      <c r="C33" s="888">
        <v>60.714421192466546</v>
      </c>
      <c r="D33" s="888">
        <v>61.998197160862937</v>
      </c>
      <c r="E33" s="888">
        <v>68.662554026291502</v>
      </c>
      <c r="F33" s="889">
        <f>SUM(B33:E33)</f>
        <v>246.30886589214725</v>
      </c>
      <c r="G33" s="890">
        <v>73.158494080114494</v>
      </c>
      <c r="H33" s="891">
        <v>78.639733004692502</v>
      </c>
      <c r="I33" s="891">
        <v>75.004972652134398</v>
      </c>
      <c r="J33" s="892">
        <v>86.36671341460189</v>
      </c>
      <c r="K33" s="893">
        <v>313.16991315154331</v>
      </c>
      <c r="L33" s="891">
        <v>85.058738160703612</v>
      </c>
      <c r="M33" s="891">
        <v>87.492422159097572</v>
      </c>
      <c r="N33" s="891">
        <v>87.306577605607131</v>
      </c>
      <c r="O33" s="892">
        <v>111.7565911791981</v>
      </c>
      <c r="P33" s="893">
        <v>371.61432910460638</v>
      </c>
      <c r="Q33" s="891">
        <v>97.339106649297335</v>
      </c>
      <c r="R33" s="891">
        <v>116.18870221991655</v>
      </c>
      <c r="S33" s="891">
        <v>141.98341285017096</v>
      </c>
      <c r="T33" s="892">
        <v>204.4</v>
      </c>
      <c r="U33" s="893">
        <v>559.81745532029731</v>
      </c>
      <c r="V33" s="891">
        <v>154</v>
      </c>
      <c r="W33" s="891">
        <v>157</v>
      </c>
      <c r="X33" s="891">
        <f>X65+X96+X127</f>
        <v>145.94729659670315</v>
      </c>
      <c r="Y33" s="892">
        <f>Y65+Y96+Y127</f>
        <v>159.61510888669793</v>
      </c>
      <c r="Z33" s="893">
        <f ca="1">Z65+Z96+Z127</f>
        <v>740.33134061780856</v>
      </c>
      <c r="AQ33" s="820"/>
      <c r="AR33" s="820"/>
      <c r="AS33" s="820"/>
      <c r="AT33" s="820"/>
    </row>
    <row r="34" spans="1:46" ht="18">
      <c r="A34" s="839"/>
      <c r="B34" s="894"/>
      <c r="C34" s="894"/>
      <c r="D34" s="894"/>
      <c r="E34" s="894"/>
      <c r="F34" s="849"/>
      <c r="G34" s="894">
        <f>G35-G33</f>
        <v>1212.1746165037184</v>
      </c>
      <c r="H34" s="894">
        <f>H35-H33</f>
        <v>1220.108058070944</v>
      </c>
      <c r="I34" s="894">
        <f>I35-I33</f>
        <v>1235.5247575008436</v>
      </c>
      <c r="J34" s="894">
        <f>J35-J33</f>
        <v>1288.0151258236172</v>
      </c>
      <c r="K34" s="849"/>
      <c r="L34" s="894">
        <f>L35-L33</f>
        <v>1265.1166641595285</v>
      </c>
      <c r="M34" s="894">
        <f>M35-M33</f>
        <v>1269.043011457723</v>
      </c>
      <c r="N34" s="894">
        <f>N35-N33</f>
        <v>1295.4442063977144</v>
      </c>
      <c r="O34" s="894">
        <f>O35-O33</f>
        <v>1352.1593191499096</v>
      </c>
      <c r="P34" s="849"/>
      <c r="Q34" s="894">
        <f>Q35-Q33</f>
        <v>1307.5833517667115</v>
      </c>
      <c r="R34" s="894">
        <f>R35-R33</f>
        <v>1331.0708299683147</v>
      </c>
      <c r="S34" s="894">
        <f>S35-S33</f>
        <v>1532.5330496973481</v>
      </c>
      <c r="T34" s="894">
        <f>T35-T33</f>
        <v>1655.1728639803855</v>
      </c>
      <c r="U34" s="849"/>
      <c r="V34" s="894">
        <f>V35-V33</f>
        <v>1548</v>
      </c>
      <c r="W34" s="894">
        <f>W35-W33</f>
        <v>1547</v>
      </c>
      <c r="X34" s="894">
        <f>X35-X33</f>
        <v>1494</v>
      </c>
      <c r="Y34" s="894">
        <f>Y35-Y33</f>
        <v>1515.3842518692309</v>
      </c>
      <c r="Z34" s="849"/>
    </row>
    <row r="35" spans="1:46" ht="18">
      <c r="A35" s="839"/>
      <c r="B35" s="829"/>
      <c r="C35" s="829"/>
      <c r="D35" s="829"/>
      <c r="E35" s="829"/>
      <c r="F35" s="830"/>
      <c r="G35" s="829">
        <f>G33+G30+G11+G5</f>
        <v>1285.3331105838329</v>
      </c>
      <c r="H35" s="829">
        <f>H33+H30+H11+H5</f>
        <v>1298.7477910756365</v>
      </c>
      <c r="I35" s="829">
        <f>I33+I30+I11+I5</f>
        <v>1310.5297301529781</v>
      </c>
      <c r="J35" s="829">
        <f>J33+J30+J11+J5</f>
        <v>1374.3818392382191</v>
      </c>
      <c r="K35" s="830"/>
      <c r="L35" s="829">
        <f>L33+L30+L11+L5</f>
        <v>1350.175402320232</v>
      </c>
      <c r="M35" s="829">
        <f>M33+M30+M11+M5</f>
        <v>1356.5354336168205</v>
      </c>
      <c r="N35" s="829">
        <f>N33+N30+N11+N5</f>
        <v>1382.7507840033215</v>
      </c>
      <c r="O35" s="829">
        <f>O33+O30+O11+O5</f>
        <v>1463.9159103291076</v>
      </c>
      <c r="P35" s="830"/>
      <c r="Q35" s="829">
        <f>Q33+Q30+Q11+Q5</f>
        <v>1404.9224584160088</v>
      </c>
      <c r="R35" s="829">
        <f>R33+R30+R11+R5</f>
        <v>1447.2595321882313</v>
      </c>
      <c r="S35" s="829">
        <f>S33+S30+S11+S5</f>
        <v>1674.516462547519</v>
      </c>
      <c r="T35" s="829">
        <f>T33+T30+T11+T5</f>
        <v>1859.5728639803856</v>
      </c>
      <c r="U35" s="830"/>
      <c r="V35" s="829">
        <f>V33+V30+V11+V5</f>
        <v>1702</v>
      </c>
      <c r="W35" s="829">
        <f>W33+W30+W11+W5</f>
        <v>1704</v>
      </c>
      <c r="X35" s="829">
        <f>X33+X30+X11+X5</f>
        <v>1639.9472965967032</v>
      </c>
      <c r="Y35" s="829">
        <f>Y33+Y30+Y11+Y5</f>
        <v>1674.9993607559288</v>
      </c>
      <c r="Z35" s="830"/>
    </row>
    <row r="36" spans="1:46" ht="18">
      <c r="A36" s="825" t="s">
        <v>2863</v>
      </c>
      <c r="B36" s="787"/>
      <c r="C36" s="787"/>
      <c r="D36" s="787"/>
      <c r="E36" s="787"/>
      <c r="F36" s="830"/>
      <c r="G36" s="829">
        <f>G37+G43+G62+G65</f>
        <v>602.49242933677431</v>
      </c>
      <c r="H36" s="829">
        <f>H37+H43+H62+H65</f>
        <v>603.68962417152022</v>
      </c>
      <c r="I36" s="829">
        <f>I37+I43+I62+I65</f>
        <v>593.19551538772657</v>
      </c>
      <c r="J36" s="829">
        <f>J37+J43+J62+J65</f>
        <v>611.04918454129268</v>
      </c>
      <c r="K36" s="830"/>
      <c r="L36" s="829">
        <f>L37+L43+L62+L65</f>
        <v>593.20753244769276</v>
      </c>
      <c r="M36" s="829">
        <f>M37+M43+M62+M65</f>
        <v>599.01144356260761</v>
      </c>
      <c r="N36" s="829">
        <f>N37+N43+N62+N65</f>
        <v>594.71115016852002</v>
      </c>
      <c r="O36" s="829">
        <f>O37+O43+O62+O65</f>
        <v>618.48729939617988</v>
      </c>
      <c r="P36" s="830"/>
      <c r="Q36" s="829">
        <f>Q37+Q43+Q62+Q65</f>
        <v>601.16973414721451</v>
      </c>
      <c r="R36" s="829">
        <f>R37+R43+R62+R65</f>
        <v>610.19752047466443</v>
      </c>
      <c r="S36" s="829">
        <f>S37+S43+S62+S65</f>
        <v>605.7648280059899</v>
      </c>
      <c r="T36" s="829">
        <f>T37+T43+T62+T65</f>
        <v>643.08635850664473</v>
      </c>
      <c r="U36" s="830"/>
      <c r="V36" s="829">
        <f>V37+V43+V62+V65</f>
        <v>628.965395066616</v>
      </c>
      <c r="W36" s="829">
        <f>W37+W43+W62+W65</f>
        <v>632.9784128586482</v>
      </c>
      <c r="X36" s="829">
        <f>X37+X43+X62+X65</f>
        <v>635.69981889571011</v>
      </c>
      <c r="Y36" s="829">
        <f>Y37+Y43+Y62+Y65</f>
        <v>657.85451309633072</v>
      </c>
      <c r="Z36" s="830"/>
    </row>
    <row r="37" spans="1:46" ht="18">
      <c r="A37" s="825" t="s">
        <v>2842</v>
      </c>
      <c r="B37" s="833">
        <v>371.44090050241448</v>
      </c>
      <c r="C37" s="833">
        <v>362.81383183682266</v>
      </c>
      <c r="D37" s="833">
        <v>370.47756999101989</v>
      </c>
      <c r="E37" s="833">
        <v>380.88479005096178</v>
      </c>
      <c r="F37" s="834">
        <f>SUM(B37:E37)</f>
        <v>1485.6170923812188</v>
      </c>
      <c r="G37" s="855">
        <v>485.56338726636949</v>
      </c>
      <c r="H37" s="856">
        <v>485.59766223433746</v>
      </c>
      <c r="I37" s="856">
        <v>477.86379567345705</v>
      </c>
      <c r="J37" s="857">
        <v>489.62935010998177</v>
      </c>
      <c r="K37" s="858">
        <v>1938.6541952841455</v>
      </c>
      <c r="L37" s="855">
        <v>471.00875375849796</v>
      </c>
      <c r="M37" s="856">
        <v>476.64384685327371</v>
      </c>
      <c r="N37" s="856">
        <v>466.40190234016291</v>
      </c>
      <c r="O37" s="857">
        <v>474.56080564347627</v>
      </c>
      <c r="P37" s="858">
        <v>1888.6153085954109</v>
      </c>
      <c r="Q37" s="855">
        <v>463.1564433218478</v>
      </c>
      <c r="R37" s="856">
        <v>466.29901463801656</v>
      </c>
      <c r="S37" s="856">
        <v>460.99956238063146</v>
      </c>
      <c r="T37" s="857">
        <v>476.48409489494026</v>
      </c>
      <c r="U37" s="858">
        <v>1866.939115235436</v>
      </c>
      <c r="V37" s="856">
        <v>467.39473087893703</v>
      </c>
      <c r="W37" s="856">
        <v>462.97135168106399</v>
      </c>
      <c r="X37" s="856">
        <v>460.42756355082497</v>
      </c>
      <c r="Y37" s="857">
        <v>469.09983087008203</v>
      </c>
      <c r="Z37" s="858">
        <f>CA!P59</f>
        <v>1859.8934769809082</v>
      </c>
      <c r="AC37" s="633">
        <f t="shared" ref="AC37:AF40" si="8">G37/B37-1</f>
        <v>0.30724265047169519</v>
      </c>
      <c r="AD37" s="633">
        <f t="shared" si="8"/>
        <v>0.3384210292531995</v>
      </c>
      <c r="AE37" s="633">
        <f t="shared" si="8"/>
        <v>0.28985891287572452</v>
      </c>
      <c r="AF37" s="633">
        <f t="shared" si="8"/>
        <v>0.28550512622063517</v>
      </c>
      <c r="AG37" s="633">
        <f t="shared" ref="AG37:AJ40" si="9">L37/G37-1</f>
        <v>-2.9974734276839499E-2</v>
      </c>
      <c r="AH37" s="633">
        <f t="shared" si="9"/>
        <v>-1.8438753061259305E-2</v>
      </c>
      <c r="AI37" s="633">
        <f t="shared" si="9"/>
        <v>-2.3985690979457464E-2</v>
      </c>
      <c r="AJ37" s="633">
        <f t="shared" si="9"/>
        <v>-3.0775410957534999E-2</v>
      </c>
      <c r="AK37" s="633">
        <f t="shared" ref="AK37:AN40" si="10">Q37/L37-1</f>
        <v>-1.6671262209016824E-2</v>
      </c>
      <c r="AL37" s="633">
        <f t="shared" si="10"/>
        <v>-2.1703484233672743E-2</v>
      </c>
      <c r="AM37" s="633">
        <f t="shared" si="10"/>
        <v>-1.1583014418306004E-2</v>
      </c>
      <c r="AN37" s="633">
        <f t="shared" si="10"/>
        <v>4.0527772807872342E-3</v>
      </c>
      <c r="AO37" s="940">
        <v>-0.01</v>
      </c>
      <c r="AP37" s="940">
        <v>-0.01</v>
      </c>
      <c r="AQ37" s="633">
        <f>Y37/T37-1</f>
        <v>-1.5497398767290171E-2</v>
      </c>
      <c r="AR37" s="821"/>
      <c r="AS37" s="821"/>
      <c r="AT37" s="821"/>
    </row>
    <row r="38" spans="1:46" ht="18">
      <c r="A38" s="839" t="s">
        <v>2843</v>
      </c>
      <c r="B38" s="840">
        <v>306.9282268673611</v>
      </c>
      <c r="C38" s="840">
        <v>291.72646828038472</v>
      </c>
      <c r="D38" s="840">
        <v>296.62100608779934</v>
      </c>
      <c r="E38" s="840">
        <v>304.42189504489801</v>
      </c>
      <c r="F38" s="841">
        <f>SUM(B38:E38)</f>
        <v>1199.6975962804431</v>
      </c>
      <c r="G38" s="859">
        <v>383.56544968165747</v>
      </c>
      <c r="H38" s="859">
        <v>374.14814942916053</v>
      </c>
      <c r="I38" s="859">
        <v>365.1044810444364</v>
      </c>
      <c r="J38" s="859">
        <v>375.13774152843047</v>
      </c>
      <c r="K38" s="860">
        <v>1497.9558216836849</v>
      </c>
      <c r="L38" s="859">
        <v>353.29512087637119</v>
      </c>
      <c r="M38" s="859">
        <v>355.06260532259006</v>
      </c>
      <c r="N38" s="859">
        <v>342.76316337567027</v>
      </c>
      <c r="O38" s="859">
        <v>343.0144230843556</v>
      </c>
      <c r="P38" s="860">
        <v>1394.135312658987</v>
      </c>
      <c r="Q38" s="859">
        <v>326.53979409839116</v>
      </c>
      <c r="R38" s="859">
        <v>323.1049943105877</v>
      </c>
      <c r="S38" s="859">
        <v>314.43211049422496</v>
      </c>
      <c r="T38" s="859">
        <v>320.44224500004049</v>
      </c>
      <c r="U38" s="860">
        <v>1284.5191439032442</v>
      </c>
      <c r="V38" s="859"/>
      <c r="W38" s="859"/>
      <c r="X38" s="859"/>
      <c r="Y38" s="859"/>
      <c r="Z38" s="860"/>
      <c r="AC38" s="634">
        <f t="shared" si="8"/>
        <v>0.24969102254454789</v>
      </c>
      <c r="AD38" s="634">
        <f t="shared" si="8"/>
        <v>0.28253069265404651</v>
      </c>
      <c r="AE38" s="634">
        <f t="shared" si="8"/>
        <v>0.23087870902968377</v>
      </c>
      <c r="AF38" s="634">
        <f t="shared" si="8"/>
        <v>0.23229553338501763</v>
      </c>
      <c r="AG38" s="634">
        <f t="shared" si="9"/>
        <v>-7.8918288470479658E-2</v>
      </c>
      <c r="AH38" s="634">
        <f t="shared" si="9"/>
        <v>-5.1010660177497558E-2</v>
      </c>
      <c r="AI38" s="634">
        <f t="shared" si="9"/>
        <v>-6.1191573450031123E-2</v>
      </c>
      <c r="AJ38" s="634">
        <f t="shared" si="9"/>
        <v>-8.5630729430726582E-2</v>
      </c>
      <c r="AK38" s="634">
        <f t="shared" si="10"/>
        <v>-7.573081312759633E-2</v>
      </c>
      <c r="AL38" s="634">
        <f t="shared" si="10"/>
        <v>-9.0005566716797603E-2</v>
      </c>
      <c r="AM38" s="634">
        <f t="shared" si="10"/>
        <v>-8.2654893841069832E-2</v>
      </c>
      <c r="AN38" s="634">
        <f t="shared" si="10"/>
        <v>-6.5805332269553207E-2</v>
      </c>
      <c r="AQ38" s="820"/>
      <c r="AR38" s="820"/>
      <c r="AS38" s="820"/>
      <c r="AT38" s="820"/>
    </row>
    <row r="39" spans="1:46" ht="18">
      <c r="A39" s="839" t="s">
        <v>2844</v>
      </c>
      <c r="B39" s="840">
        <v>27.922947372841371</v>
      </c>
      <c r="C39" s="840">
        <v>32.954174169323267</v>
      </c>
      <c r="D39" s="840">
        <v>34.290747187513709</v>
      </c>
      <c r="E39" s="840">
        <v>35.609263395304318</v>
      </c>
      <c r="F39" s="841">
        <f>SUM(B39:E39)</f>
        <v>130.77713212498267</v>
      </c>
      <c r="G39" s="859">
        <v>47.666925489780439</v>
      </c>
      <c r="H39" s="859">
        <v>54.354464328653577</v>
      </c>
      <c r="I39" s="859">
        <v>55.098680497816531</v>
      </c>
      <c r="J39" s="859">
        <v>56.307406031583533</v>
      </c>
      <c r="K39" s="860">
        <v>213.42747634783407</v>
      </c>
      <c r="L39" s="859">
        <v>59.9990496348439</v>
      </c>
      <c r="M39" s="859">
        <v>62.942806028282703</v>
      </c>
      <c r="N39" s="859">
        <v>66.710126791120999</v>
      </c>
      <c r="O39" s="859">
        <v>70.95398716110229</v>
      </c>
      <c r="P39" s="860">
        <v>260.60596961534992</v>
      </c>
      <c r="Q39" s="859">
        <v>77.059744176292398</v>
      </c>
      <c r="R39" s="859">
        <v>83.383350002442796</v>
      </c>
      <c r="S39" s="859">
        <v>89.205226076479505</v>
      </c>
      <c r="T39" s="859">
        <v>96.133687986309809</v>
      </c>
      <c r="U39" s="860">
        <v>345.78200824152452</v>
      </c>
      <c r="V39" s="859">
        <v>105</v>
      </c>
      <c r="W39" s="859">
        <v>113</v>
      </c>
      <c r="X39" s="859"/>
      <c r="Y39" s="859"/>
      <c r="Z39" s="860"/>
      <c r="AC39" s="634">
        <f t="shared" si="8"/>
        <v>0.70708789632080915</v>
      </c>
      <c r="AD39" s="634">
        <f t="shared" si="8"/>
        <v>0.64939543164919122</v>
      </c>
      <c r="AE39" s="634">
        <f t="shared" si="8"/>
        <v>0.6068089795920113</v>
      </c>
      <c r="AF39" s="634">
        <f t="shared" si="8"/>
        <v>0.58125725338673018</v>
      </c>
      <c r="AG39" s="634">
        <f t="shared" si="9"/>
        <v>0.25871448637289207</v>
      </c>
      <c r="AH39" s="634">
        <f t="shared" si="9"/>
        <v>0.1580061878211112</v>
      </c>
      <c r="AI39" s="634">
        <f t="shared" si="9"/>
        <v>0.21073909916526246</v>
      </c>
      <c r="AJ39" s="634">
        <f t="shared" si="9"/>
        <v>0.2601182004602256</v>
      </c>
      <c r="AK39" s="634">
        <f t="shared" si="10"/>
        <v>0.28434941295371208</v>
      </c>
      <c r="AL39" s="634">
        <f t="shared" si="10"/>
        <v>0.32474789835355211</v>
      </c>
      <c r="AM39" s="634">
        <f t="shared" si="10"/>
        <v>0.3372066636268567</v>
      </c>
      <c r="AN39" s="634">
        <f t="shared" si="10"/>
        <v>0.35487365590937903</v>
      </c>
      <c r="AQ39" s="820"/>
      <c r="AR39" s="820"/>
      <c r="AS39" s="820"/>
      <c r="AT39" s="820"/>
    </row>
    <row r="40" spans="1:46" ht="18">
      <c r="A40" s="839" t="s">
        <v>2416</v>
      </c>
      <c r="B40" s="840">
        <v>36.589726262212039</v>
      </c>
      <c r="C40" s="840">
        <v>38.133189387114676</v>
      </c>
      <c r="D40" s="840">
        <v>39.565816715706838</v>
      </c>
      <c r="E40" s="840">
        <v>40.853631610759415</v>
      </c>
      <c r="F40" s="841">
        <f>SUM(B40:E40)</f>
        <v>155.14236397579296</v>
      </c>
      <c r="G40" s="859">
        <v>54.33101209493158</v>
      </c>
      <c r="H40" s="859">
        <v>57.095048476523345</v>
      </c>
      <c r="I40" s="859">
        <v>57.660634131204084</v>
      </c>
      <c r="J40" s="859">
        <v>58.184202549967736</v>
      </c>
      <c r="K40" s="860">
        <v>227.27089725262675</v>
      </c>
      <c r="L40" s="859">
        <v>57.714583247282846</v>
      </c>
      <c r="M40" s="859">
        <v>58.638435502400895</v>
      </c>
      <c r="N40" s="859">
        <v>56.928612173371633</v>
      </c>
      <c r="O40" s="859">
        <v>60.592395398018489</v>
      </c>
      <c r="P40" s="860">
        <v>233.87402632107387</v>
      </c>
      <c r="Q40" s="859">
        <v>59.556905047164207</v>
      </c>
      <c r="R40" s="859">
        <v>59.810670324986049</v>
      </c>
      <c r="S40" s="859">
        <v>57.362225809926997</v>
      </c>
      <c r="T40" s="859">
        <v>59.908161908590046</v>
      </c>
      <c r="U40" s="860">
        <v>236.63796309066731</v>
      </c>
      <c r="V40" s="859"/>
      <c r="W40" s="859"/>
      <c r="X40" s="859"/>
      <c r="Y40" s="859"/>
      <c r="Z40" s="860"/>
      <c r="AC40" s="634">
        <f t="shared" si="8"/>
        <v>0.48487069035664843</v>
      </c>
      <c r="AD40" s="634">
        <f t="shared" si="8"/>
        <v>0.49725342658634109</v>
      </c>
      <c r="AE40" s="634">
        <f t="shared" si="8"/>
        <v>0.45733461147824528</v>
      </c>
      <c r="AF40" s="634">
        <f t="shared" si="8"/>
        <v>0.42421126974288526</v>
      </c>
      <c r="AG40" s="634">
        <f t="shared" si="9"/>
        <v>6.2276976295586373E-2</v>
      </c>
      <c r="AH40" s="634">
        <f t="shared" si="9"/>
        <v>2.7031889227875361E-2</v>
      </c>
      <c r="AI40" s="634">
        <f t="shared" si="9"/>
        <v>-1.2695350456374932E-2</v>
      </c>
      <c r="AJ40" s="634">
        <f t="shared" si="9"/>
        <v>4.1389118394853597E-2</v>
      </c>
      <c r="AK40" s="634">
        <f t="shared" si="10"/>
        <v>3.1921252761850205E-2</v>
      </c>
      <c r="AL40" s="634">
        <f t="shared" si="10"/>
        <v>1.9990895264201836E-2</v>
      </c>
      <c r="AM40" s="634">
        <f t="shared" si="10"/>
        <v>7.6167961944131335E-3</v>
      </c>
      <c r="AN40" s="634">
        <f t="shared" si="10"/>
        <v>-1.1292398739707554E-2</v>
      </c>
      <c r="AQ40" s="820"/>
      <c r="AR40" s="820"/>
      <c r="AS40" s="820"/>
      <c r="AT40" s="820"/>
    </row>
    <row r="41" spans="1:46" ht="18">
      <c r="A41" s="825" t="s">
        <v>2845</v>
      </c>
      <c r="B41" s="845">
        <v>1.15E-2</v>
      </c>
      <c r="C41" s="845">
        <v>1.11E-2</v>
      </c>
      <c r="D41" s="845">
        <v>1.12E-2</v>
      </c>
      <c r="E41" s="845">
        <v>1.1300000000000001E-2</v>
      </c>
      <c r="F41" s="846">
        <v>11.2</v>
      </c>
      <c r="G41" s="845">
        <v>10.920025606790404</v>
      </c>
      <c r="H41" s="845">
        <v>10.71969597006739</v>
      </c>
      <c r="I41" s="845">
        <v>10.464893234361421</v>
      </c>
      <c r="J41" s="845">
        <v>10.577438397778669</v>
      </c>
      <c r="K41" s="846">
        <v>10.7</v>
      </c>
      <c r="L41" s="895">
        <v>10.008229702579412</v>
      </c>
      <c r="M41" s="895">
        <v>10.135449703603255</v>
      </c>
      <c r="N41" s="895">
        <v>9.9964757091681626</v>
      </c>
      <c r="O41" s="896">
        <v>10.086952627884072</v>
      </c>
      <c r="P41" s="834"/>
      <c r="Q41" s="895">
        <v>9.8291257899635482</v>
      </c>
      <c r="R41" s="895"/>
      <c r="S41" s="895"/>
      <c r="T41" s="895"/>
      <c r="U41" s="834"/>
      <c r="V41" s="946"/>
      <c r="W41" s="946"/>
      <c r="X41" s="895"/>
      <c r="Y41" s="895"/>
      <c r="Z41" s="834"/>
      <c r="AQ41" s="820"/>
      <c r="AR41" s="820"/>
      <c r="AS41" s="820"/>
      <c r="AT41" s="820"/>
    </row>
    <row r="42" spans="1:46" ht="18">
      <c r="A42" s="839"/>
      <c r="B42" s="840"/>
      <c r="C42" s="840"/>
      <c r="D42" s="840"/>
      <c r="E42" s="840"/>
      <c r="F42" s="849"/>
      <c r="G42" s="840"/>
      <c r="H42" s="840"/>
      <c r="I42" s="840"/>
      <c r="J42" s="840"/>
      <c r="K42" s="849"/>
      <c r="L42" s="897"/>
      <c r="M42" s="897"/>
      <c r="N42" s="897"/>
      <c r="O42" s="898"/>
      <c r="P42" s="849"/>
      <c r="Q42" s="897"/>
      <c r="R42" s="897"/>
      <c r="S42" s="897"/>
      <c r="T42" s="897"/>
      <c r="U42" s="849"/>
      <c r="V42" s="894"/>
      <c r="W42" s="894"/>
      <c r="X42" s="897"/>
      <c r="Y42" s="897"/>
      <c r="Z42" s="849"/>
    </row>
    <row r="43" spans="1:46" ht="18">
      <c r="A43" s="825" t="s">
        <v>2846</v>
      </c>
      <c r="B43" s="833">
        <v>59.013696174084401</v>
      </c>
      <c r="C43" s="833">
        <v>60.149546987748877</v>
      </c>
      <c r="D43" s="833">
        <v>61.959984451233041</v>
      </c>
      <c r="E43" s="833">
        <v>66.951310172129681</v>
      </c>
      <c r="F43" s="834">
        <f>SUM(B43:E43)</f>
        <v>248.07453778519601</v>
      </c>
      <c r="G43" s="833">
        <v>78.974620325135447</v>
      </c>
      <c r="H43" s="833">
        <v>80.411867320090209</v>
      </c>
      <c r="I43" s="833">
        <v>81.426150830253718</v>
      </c>
      <c r="J43" s="833">
        <v>83.719980946631239</v>
      </c>
      <c r="K43" s="834">
        <v>324.5326194221106</v>
      </c>
      <c r="L43" s="899">
        <v>84.588318216250457</v>
      </c>
      <c r="M43" s="900">
        <v>85.836306121440259</v>
      </c>
      <c r="N43" s="900">
        <v>86.913875968266623</v>
      </c>
      <c r="O43" s="901">
        <v>87.172530500138549</v>
      </c>
      <c r="P43" s="834">
        <v>344.51103080609585</v>
      </c>
      <c r="Q43" s="899">
        <v>89.188986719363683</v>
      </c>
      <c r="R43" s="899">
        <v>90.087759686342011</v>
      </c>
      <c r="S43" s="899">
        <v>91.052298366461116</v>
      </c>
      <c r="T43" s="899">
        <v>93.352368378899769</v>
      </c>
      <c r="U43" s="834">
        <v>363.68141315106658</v>
      </c>
      <c r="V43" s="946">
        <v>101.632708532766</v>
      </c>
      <c r="W43" s="946">
        <v>111.17361359730499</v>
      </c>
      <c r="X43" s="946">
        <v>114.58975640686199</v>
      </c>
      <c r="Y43" s="857">
        <v>119.280111253906</v>
      </c>
      <c r="Z43" s="834">
        <f>Cable!M12</f>
        <v>447</v>
      </c>
      <c r="AC43" s="633">
        <f t="shared" ref="AC43:AF47" si="11">G43/B43-1</f>
        <v>0.33824222926434477</v>
      </c>
      <c r="AD43" s="633">
        <f t="shared" si="11"/>
        <v>0.33686571798235354</v>
      </c>
      <c r="AE43" s="633">
        <f t="shared" si="11"/>
        <v>0.31417319664342314</v>
      </c>
      <c r="AF43" s="633">
        <f t="shared" si="11"/>
        <v>0.25046068152198719</v>
      </c>
      <c r="AG43" s="633">
        <f t="shared" ref="AG43:AJ47" si="12">L43/G43-1</f>
        <v>7.1082302998148439E-2</v>
      </c>
      <c r="AH43" s="633">
        <f t="shared" si="12"/>
        <v>6.74581872319584E-2</v>
      </c>
      <c r="AI43" s="633">
        <f t="shared" si="12"/>
        <v>6.739511916083285E-2</v>
      </c>
      <c r="AJ43" s="633">
        <f t="shared" si="12"/>
        <v>4.1239253932800146E-2</v>
      </c>
      <c r="AK43" s="633">
        <f t="shared" ref="AK43:AN47" si="13">Q43/L43-1</f>
        <v>5.4388934549468138E-2</v>
      </c>
      <c r="AL43" s="633">
        <f t="shared" si="13"/>
        <v>4.9529782408003875E-2</v>
      </c>
      <c r="AM43" s="633">
        <f t="shared" si="13"/>
        <v>4.7615209333265573E-2</v>
      </c>
      <c r="AN43" s="633">
        <f t="shared" si="13"/>
        <v>7.0892032654155779E-2</v>
      </c>
      <c r="AO43" s="940">
        <v>7.0000000000000007E-2</v>
      </c>
      <c r="AP43" s="940">
        <v>7.0000000000000007E-2</v>
      </c>
      <c r="AQ43" s="633">
        <f>Y43/T43-1</f>
        <v>0.27774060075016394</v>
      </c>
      <c r="AR43" s="821"/>
      <c r="AS43" s="821"/>
      <c r="AT43" s="821"/>
    </row>
    <row r="44" spans="1:46" ht="18">
      <c r="A44" s="839" t="s">
        <v>2587</v>
      </c>
      <c r="B44" s="840">
        <v>28.5655539264848</v>
      </c>
      <c r="C44" s="840">
        <v>29.722759279151902</v>
      </c>
      <c r="D44" s="840">
        <v>30.357887247765099</v>
      </c>
      <c r="E44" s="840">
        <v>31.945240530488729</v>
      </c>
      <c r="F44" s="841">
        <f>SUM(B44:E44)</f>
        <v>120.59144098389054</v>
      </c>
      <c r="G44" s="840">
        <v>33.922723022523577</v>
      </c>
      <c r="H44" s="840">
        <v>34.82732174236294</v>
      </c>
      <c r="I44" s="840">
        <v>34.54864287029023</v>
      </c>
      <c r="J44" s="840">
        <v>35.540385000684317</v>
      </c>
      <c r="K44" s="849">
        <v>138.83907263586107</v>
      </c>
      <c r="L44" s="902">
        <v>37.608328614219779</v>
      </c>
      <c r="M44" s="902">
        <v>37.770139011399905</v>
      </c>
      <c r="N44" s="902">
        <v>38.051002654534763</v>
      </c>
      <c r="O44" s="902">
        <v>39.394930729354918</v>
      </c>
      <c r="P44" s="849">
        <v>152.82440100950936</v>
      </c>
      <c r="Q44" s="902">
        <v>39.740820149137001</v>
      </c>
      <c r="R44" s="902">
        <v>39.480594139235194</v>
      </c>
      <c r="S44" s="902">
        <v>38.870282956402598</v>
      </c>
      <c r="T44" s="902">
        <v>40.19360750494441</v>
      </c>
      <c r="U44" s="849">
        <v>158.28530474971919</v>
      </c>
      <c r="V44" s="894"/>
      <c r="W44" s="894"/>
      <c r="X44" s="902"/>
      <c r="Y44" s="902"/>
      <c r="Z44" s="849"/>
      <c r="AC44" s="634">
        <f t="shared" si="11"/>
        <v>0.18753947883614575</v>
      </c>
      <c r="AD44" s="634">
        <f t="shared" si="11"/>
        <v>0.17173918529130217</v>
      </c>
      <c r="AE44" s="634">
        <f t="shared" si="11"/>
        <v>0.13804503549019698</v>
      </c>
      <c r="AF44" s="634">
        <f t="shared" si="11"/>
        <v>0.11254084835468259</v>
      </c>
      <c r="AG44" s="634">
        <f t="shared" si="12"/>
        <v>0.10864710327791438</v>
      </c>
      <c r="AH44" s="634">
        <f t="shared" si="12"/>
        <v>8.4497375101267425E-2</v>
      </c>
      <c r="AI44" s="634">
        <f t="shared" si="12"/>
        <v>0.10137474277625969</v>
      </c>
      <c r="AJ44" s="634">
        <f t="shared" si="12"/>
        <v>0.10845537347432743</v>
      </c>
      <c r="AK44" s="634">
        <f t="shared" si="13"/>
        <v>5.6702640438823559E-2</v>
      </c>
      <c r="AL44" s="634">
        <f t="shared" si="13"/>
        <v>4.5285910314469158E-2</v>
      </c>
      <c r="AM44" s="634">
        <f t="shared" si="13"/>
        <v>2.1531109424529182E-2</v>
      </c>
      <c r="AN44" s="634">
        <f t="shared" si="13"/>
        <v>2.0273592586732558E-2</v>
      </c>
      <c r="AQ44" s="820"/>
      <c r="AR44" s="820"/>
      <c r="AS44" s="820"/>
      <c r="AT44" s="820"/>
    </row>
    <row r="45" spans="1:46" ht="18">
      <c r="A45" s="839" t="s">
        <v>2844</v>
      </c>
      <c r="B45" s="840">
        <v>17.182109223855381</v>
      </c>
      <c r="C45" s="840">
        <v>17.547141478206953</v>
      </c>
      <c r="D45" s="840">
        <v>17.78395690975298</v>
      </c>
      <c r="E45" s="840">
        <v>19.012344101757293</v>
      </c>
      <c r="F45" s="841">
        <f>SUM(B45:E45)</f>
        <v>71.525551713572611</v>
      </c>
      <c r="G45" s="840">
        <v>38.844934846575228</v>
      </c>
      <c r="H45" s="840">
        <v>39.157790821757168</v>
      </c>
      <c r="I45" s="840">
        <v>40.02014051966303</v>
      </c>
      <c r="J45" s="840">
        <v>40.320228871360037</v>
      </c>
      <c r="K45" s="849">
        <v>158.34309505935545</v>
      </c>
      <c r="L45" s="902">
        <v>40.009548379952449</v>
      </c>
      <c r="M45" s="902">
        <v>41.562783845892383</v>
      </c>
      <c r="N45" s="902">
        <v>42.094273810192675</v>
      </c>
      <c r="O45" s="902">
        <v>41.878707125390399</v>
      </c>
      <c r="P45" s="849">
        <v>165.54531316142791</v>
      </c>
      <c r="Q45" s="902">
        <v>42.391366085396193</v>
      </c>
      <c r="R45" s="902">
        <v>43.514896574888148</v>
      </c>
      <c r="S45" s="902">
        <v>44.198475447823718</v>
      </c>
      <c r="T45" s="902">
        <v>44.599540790450874</v>
      </c>
      <c r="U45" s="849">
        <v>174.70427889855893</v>
      </c>
      <c r="V45" s="894"/>
      <c r="W45" s="894"/>
      <c r="X45" s="902"/>
      <c r="Y45" s="902"/>
      <c r="Z45" s="849"/>
      <c r="AC45" s="634">
        <f t="shared" si="11"/>
        <v>1.2607780186057429</v>
      </c>
      <c r="AD45" s="634">
        <f t="shared" si="11"/>
        <v>1.2315766286144112</v>
      </c>
      <c r="AE45" s="634">
        <f t="shared" si="11"/>
        <v>1.2503507359329804</v>
      </c>
      <c r="AF45" s="634">
        <f t="shared" si="11"/>
        <v>1.1207394867018672</v>
      </c>
      <c r="AG45" s="634">
        <f t="shared" si="12"/>
        <v>2.9981091176418895E-2</v>
      </c>
      <c r="AH45" s="634">
        <f t="shared" si="12"/>
        <v>6.1417995593329833E-2</v>
      </c>
      <c r="AI45" s="634">
        <f t="shared" si="12"/>
        <v>5.18272365763075E-2</v>
      </c>
      <c r="AJ45" s="634">
        <f t="shared" si="12"/>
        <v>3.8652515068865911E-2</v>
      </c>
      <c r="AK45" s="634">
        <f t="shared" si="13"/>
        <v>5.9531231965547438E-2</v>
      </c>
      <c r="AL45" s="634">
        <f t="shared" si="13"/>
        <v>4.6967805049677569E-2</v>
      </c>
      <c r="AM45" s="634">
        <f t="shared" si="13"/>
        <v>4.9987835569253347E-2</v>
      </c>
      <c r="AN45" s="634">
        <f t="shared" si="13"/>
        <v>6.4969380666741738E-2</v>
      </c>
      <c r="AQ45" s="820"/>
      <c r="AR45" s="820"/>
      <c r="AS45" s="820"/>
      <c r="AT45" s="820"/>
    </row>
    <row r="46" spans="1:46" ht="18">
      <c r="A46" s="839" t="s">
        <v>1580</v>
      </c>
      <c r="B46" s="840">
        <v>0.77065818839797795</v>
      </c>
      <c r="C46" s="840">
        <v>0.69689702475790205</v>
      </c>
      <c r="D46" s="840">
        <v>1.1998524610632819</v>
      </c>
      <c r="E46" s="840">
        <v>1.7364425671466879</v>
      </c>
      <c r="F46" s="841">
        <f>SUM(B46:E46)</f>
        <v>4.4038502413658502</v>
      </c>
      <c r="G46" s="840">
        <v>5.0094105639934305</v>
      </c>
      <c r="H46" s="840">
        <v>4.9399921427869611</v>
      </c>
      <c r="I46" s="840">
        <v>5.0801821845394084</v>
      </c>
      <c r="J46" s="840">
        <v>5.5175052335972588</v>
      </c>
      <c r="K46" s="849">
        <v>20.547090124917055</v>
      </c>
      <c r="L46" s="902">
        <v>5.1523715065378495</v>
      </c>
      <c r="M46" s="902">
        <v>6.0186316546750334</v>
      </c>
      <c r="N46" s="902">
        <v>6.0247730519687428</v>
      </c>
      <c r="O46" s="902">
        <v>6.6386850516757789</v>
      </c>
      <c r="P46" s="849">
        <v>23.834461264857403</v>
      </c>
      <c r="Q46" s="902">
        <v>6.5792414230222835</v>
      </c>
      <c r="R46" s="902">
        <v>6.6906042460508965</v>
      </c>
      <c r="S46" s="902">
        <v>6.4165554852568665</v>
      </c>
      <c r="T46" s="902">
        <v>6.3517780134804491</v>
      </c>
      <c r="U46" s="849">
        <v>26.038179167810497</v>
      </c>
      <c r="V46" s="894"/>
      <c r="W46" s="894"/>
      <c r="X46" s="902"/>
      <c r="Y46" s="902"/>
      <c r="Z46" s="849"/>
      <c r="AC46" s="634">
        <f t="shared" si="11"/>
        <v>5.5001717225724276</v>
      </c>
      <c r="AD46" s="634">
        <f t="shared" si="11"/>
        <v>6.0885539287573875</v>
      </c>
      <c r="AE46" s="634">
        <f t="shared" si="11"/>
        <v>3.2340057210346238</v>
      </c>
      <c r="AF46" s="634">
        <f t="shared" si="11"/>
        <v>2.1774763749679269</v>
      </c>
      <c r="AG46" s="634">
        <f t="shared" si="12"/>
        <v>2.8538475878178371E-2</v>
      </c>
      <c r="AH46" s="634">
        <f t="shared" si="12"/>
        <v>0.21834842661906406</v>
      </c>
      <c r="AI46" s="634">
        <f t="shared" si="12"/>
        <v>0.18593641588367071</v>
      </c>
      <c r="AJ46" s="634">
        <f t="shared" si="12"/>
        <v>0.20320412407611665</v>
      </c>
      <c r="AK46" s="634">
        <f t="shared" si="13"/>
        <v>0.27693459500617879</v>
      </c>
      <c r="AL46" s="634">
        <f t="shared" si="13"/>
        <v>0.11164873179336388</v>
      </c>
      <c r="AM46" s="634">
        <f t="shared" si="13"/>
        <v>6.5028579484848636E-2</v>
      </c>
      <c r="AN46" s="634">
        <f t="shared" si="13"/>
        <v>-4.3217449835627808E-2</v>
      </c>
      <c r="AQ46" s="820"/>
      <c r="AR46" s="820"/>
      <c r="AS46" s="820"/>
      <c r="AT46" s="820"/>
    </row>
    <row r="47" spans="1:46" ht="18">
      <c r="A47" s="839" t="s">
        <v>1540</v>
      </c>
      <c r="B47" s="840">
        <v>12.495374835346247</v>
      </c>
      <c r="C47" s="840">
        <v>12.182749205632119</v>
      </c>
      <c r="D47" s="840">
        <v>12.618287832651678</v>
      </c>
      <c r="E47" s="840">
        <v>14.257282972736983</v>
      </c>
      <c r="F47" s="841">
        <f>SUM(B47:E47)</f>
        <v>51.55369484636703</v>
      </c>
      <c r="G47" s="840">
        <v>1.1975518920432247</v>
      </c>
      <c r="H47" s="840">
        <v>1.486762613183146</v>
      </c>
      <c r="I47" s="840">
        <v>1.7771852557610437</v>
      </c>
      <c r="J47" s="840">
        <v>2.3418618409896355</v>
      </c>
      <c r="K47" s="849">
        <v>6.8033616019770502</v>
      </c>
      <c r="L47" s="902">
        <v>1.818069715540374</v>
      </c>
      <c r="M47" s="902">
        <v>0.48475160947294582</v>
      </c>
      <c r="N47" s="902">
        <v>0.74382645157045868</v>
      </c>
      <c r="O47" s="902">
        <v>0.73979240628253695</v>
      </c>
      <c r="P47" s="849">
        <v>2.3068553703012418</v>
      </c>
      <c r="Q47" s="902">
        <v>0.47755906180822172</v>
      </c>
      <c r="R47" s="902">
        <v>0.40166472616776128</v>
      </c>
      <c r="S47" s="902">
        <v>1.5669844769779453</v>
      </c>
      <c r="T47" s="902">
        <v>2.20744207002403</v>
      </c>
      <c r="U47" s="849">
        <v>4.6536503349779581</v>
      </c>
      <c r="V47" s="894"/>
      <c r="W47" s="894"/>
      <c r="X47" s="902"/>
      <c r="Y47" s="902"/>
      <c r="Z47" s="849"/>
      <c r="AC47" s="634">
        <f t="shared" si="11"/>
        <v>-0.90416038671719923</v>
      </c>
      <c r="AD47" s="634">
        <f t="shared" si="11"/>
        <v>-0.87796164986341418</v>
      </c>
      <c r="AE47" s="634">
        <f t="shared" si="11"/>
        <v>-0.8591579714038291</v>
      </c>
      <c r="AF47" s="634">
        <f t="shared" si="11"/>
        <v>-0.8357427677161362</v>
      </c>
      <c r="AG47" s="634">
        <f t="shared" si="12"/>
        <v>0.518155269612945</v>
      </c>
      <c r="AH47" s="634">
        <f t="shared" si="12"/>
        <v>-0.67395493727468914</v>
      </c>
      <c r="AI47" s="634">
        <f t="shared" si="12"/>
        <v>-0.58145812364849381</v>
      </c>
      <c r="AJ47" s="634">
        <f t="shared" si="12"/>
        <v>-0.6841007469638295</v>
      </c>
      <c r="AK47" s="634">
        <f t="shared" si="13"/>
        <v>-0.73732632047815638</v>
      </c>
      <c r="AL47" s="634">
        <f t="shared" si="13"/>
        <v>-0.17140094366168712</v>
      </c>
      <c r="AM47" s="634">
        <f t="shared" si="13"/>
        <v>1.1066533378445111</v>
      </c>
      <c r="AN47" s="634">
        <f t="shared" si="13"/>
        <v>1.9838668946555491</v>
      </c>
      <c r="AQ47" s="820"/>
      <c r="AR47" s="820"/>
      <c r="AS47" s="820"/>
      <c r="AT47" s="820"/>
    </row>
    <row r="48" spans="1:46" ht="18">
      <c r="A48" s="839"/>
      <c r="B48" s="840"/>
      <c r="C48" s="840"/>
      <c r="D48" s="840"/>
      <c r="E48" s="840"/>
      <c r="F48" s="834"/>
      <c r="G48" s="840"/>
      <c r="H48" s="840"/>
      <c r="I48" s="840"/>
      <c r="J48" s="840"/>
      <c r="K48" s="849"/>
      <c r="L48" s="897"/>
      <c r="M48" s="897"/>
      <c r="N48" s="897"/>
      <c r="O48" s="898"/>
      <c r="P48" s="849"/>
      <c r="Q48" s="897"/>
      <c r="R48" s="897"/>
      <c r="S48" s="897"/>
      <c r="T48" s="897"/>
      <c r="U48" s="849"/>
      <c r="V48" s="894"/>
      <c r="W48" s="894"/>
      <c r="X48" s="897"/>
      <c r="Y48" s="897"/>
      <c r="Z48" s="849"/>
    </row>
    <row r="49" spans="1:46" ht="18">
      <c r="A49" s="825" t="s">
        <v>2848</v>
      </c>
      <c r="B49" s="833">
        <v>41.069692589015361</v>
      </c>
      <c r="C49" s="833">
        <v>42.485993398364535</v>
      </c>
      <c r="D49" s="833">
        <v>43.25008141721441</v>
      </c>
      <c r="E49" s="833">
        <v>45.868285499791639</v>
      </c>
      <c r="F49" s="834">
        <f>SUM(B49:E49)</f>
        <v>172.67405290438592</v>
      </c>
      <c r="G49" s="833">
        <v>50.311488368204401</v>
      </c>
      <c r="H49" s="833">
        <v>51.54001263504675</v>
      </c>
      <c r="I49" s="833">
        <v>52.065537943464314</v>
      </c>
      <c r="J49" s="833">
        <v>53.288990619682757</v>
      </c>
      <c r="K49" s="834">
        <v>207.2060295663982</v>
      </c>
      <c r="L49" s="899">
        <v>55.729321831516145</v>
      </c>
      <c r="M49" s="900">
        <v>56.811556155034111</v>
      </c>
      <c r="N49" s="900">
        <v>57.07086185796382</v>
      </c>
      <c r="O49" s="901">
        <v>59.197682759128035</v>
      </c>
      <c r="P49" s="834">
        <v>228.8094226036421</v>
      </c>
      <c r="Q49" s="899">
        <v>59.412726221199549</v>
      </c>
      <c r="R49" s="899">
        <v>59.789251007664213</v>
      </c>
      <c r="S49" s="899">
        <v>60.104339027131388</v>
      </c>
      <c r="T49" s="899">
        <v>63.296784498013437</v>
      </c>
      <c r="U49" s="834">
        <v>242.60310075400861</v>
      </c>
      <c r="V49" s="946"/>
      <c r="W49" s="946"/>
      <c r="X49" s="899"/>
      <c r="Y49" s="899"/>
      <c r="Z49" s="834"/>
      <c r="AQ49" s="821"/>
      <c r="AR49" s="821"/>
      <c r="AS49" s="821"/>
      <c r="AT49" s="821"/>
    </row>
    <row r="50" spans="1:46" ht="18">
      <c r="A50" s="839" t="s">
        <v>2587</v>
      </c>
      <c r="B50" s="840">
        <v>28.534003256484802</v>
      </c>
      <c r="C50" s="840">
        <v>29.691150609151901</v>
      </c>
      <c r="D50" s="840">
        <v>30.326212977765099</v>
      </c>
      <c r="E50" s="840">
        <v>31.896980751266501</v>
      </c>
      <c r="F50" s="841">
        <f>SUM(B50:E50)</f>
        <v>120.44834759466829</v>
      </c>
      <c r="G50" s="840">
        <v>33.707393602523574</v>
      </c>
      <c r="H50" s="840">
        <v>34.612564072362943</v>
      </c>
      <c r="I50" s="840">
        <v>34.336167830290229</v>
      </c>
      <c r="J50" s="840">
        <v>35.315070690533723</v>
      </c>
      <c r="K50" s="849">
        <v>137.97119619571046</v>
      </c>
      <c r="L50" s="902">
        <v>37.375406866124258</v>
      </c>
      <c r="M50" s="902">
        <v>37.529331372070722</v>
      </c>
      <c r="N50" s="902">
        <v>37.775271811523737</v>
      </c>
      <c r="O50" s="898">
        <v>39.108577781211679</v>
      </c>
      <c r="P50" s="849">
        <v>151.7885878309304</v>
      </c>
      <c r="Q50" s="902">
        <v>39.446883651836309</v>
      </c>
      <c r="R50" s="902">
        <v>39.17305847382687</v>
      </c>
      <c r="S50" s="902">
        <v>38.523699197317008</v>
      </c>
      <c r="T50" s="902">
        <v>39.88940428013116</v>
      </c>
      <c r="U50" s="849">
        <v>157.03304560311136</v>
      </c>
      <c r="V50" s="894"/>
      <c r="W50" s="894"/>
      <c r="X50" s="902"/>
      <c r="Y50" s="902"/>
      <c r="Z50" s="849"/>
      <c r="AQ50" s="820"/>
      <c r="AR50" s="820"/>
      <c r="AS50" s="820"/>
      <c r="AT50" s="820"/>
    </row>
    <row r="51" spans="1:46" ht="18">
      <c r="A51" s="839" t="s">
        <v>2844</v>
      </c>
      <c r="B51" s="840">
        <v>12.259985893128599</v>
      </c>
      <c r="C51" s="840">
        <v>12.535280159898001</v>
      </c>
      <c r="D51" s="840">
        <v>12.6666364940607</v>
      </c>
      <c r="E51" s="840">
        <v>13.6454470681886</v>
      </c>
      <c r="F51" s="841">
        <f>SUM(B51:E51)</f>
        <v>51.107349615275908</v>
      </c>
      <c r="G51" s="840">
        <v>14.331437218293884</v>
      </c>
      <c r="H51" s="840">
        <v>14.487273657898315</v>
      </c>
      <c r="I51" s="840">
        <v>15.172996449392565</v>
      </c>
      <c r="J51" s="840">
        <v>15.261273128549362</v>
      </c>
      <c r="K51" s="849">
        <v>59.252980454134132</v>
      </c>
      <c r="L51" s="902">
        <v>15.730050312175527</v>
      </c>
      <c r="M51" s="902">
        <v>16.389370834732716</v>
      </c>
      <c r="N51" s="902">
        <v>16.416405117856186</v>
      </c>
      <c r="O51" s="898">
        <v>16.99987402461538</v>
      </c>
      <c r="P51" s="849">
        <v>65.535700289379818</v>
      </c>
      <c r="Q51" s="902">
        <v>17.002970270303663</v>
      </c>
      <c r="R51" s="902">
        <v>17.491278780734532</v>
      </c>
      <c r="S51" s="902">
        <v>18.144371198315248</v>
      </c>
      <c r="T51" s="902">
        <v>18.81830062515326</v>
      </c>
      <c r="U51" s="849">
        <v>71.456920874506721</v>
      </c>
      <c r="V51" s="894"/>
      <c r="W51" s="894"/>
      <c r="X51" s="902"/>
      <c r="Y51" s="902"/>
      <c r="Z51" s="849"/>
      <c r="AQ51" s="820"/>
      <c r="AR51" s="820"/>
      <c r="AS51" s="820"/>
      <c r="AT51" s="820"/>
    </row>
    <row r="52" spans="1:46" ht="18">
      <c r="A52" s="839" t="s">
        <v>1580</v>
      </c>
      <c r="B52" s="840">
        <v>0.27570343940195802</v>
      </c>
      <c r="C52" s="840">
        <v>0.25956262931463403</v>
      </c>
      <c r="D52" s="840">
        <v>0.25723194538860999</v>
      </c>
      <c r="E52" s="840">
        <v>0.325857680336538</v>
      </c>
      <c r="F52" s="841">
        <f>SUM(B52:E52)</f>
        <v>1.1183556944417401</v>
      </c>
      <c r="G52" s="840">
        <v>2.2225241313143842</v>
      </c>
      <c r="H52" s="840">
        <v>2.4404350244099993</v>
      </c>
      <c r="I52" s="840">
        <v>2.5563736637815166</v>
      </c>
      <c r="J52" s="840">
        <v>2.7126468005996722</v>
      </c>
      <c r="K52" s="849">
        <v>9.9319796201055723</v>
      </c>
      <c r="L52" s="902">
        <v>2.623864653216359</v>
      </c>
      <c r="M52" s="902">
        <v>2.8928539482306732</v>
      </c>
      <c r="N52" s="902">
        <v>2.8791849285839031</v>
      </c>
      <c r="O52" s="898">
        <v>3.0892309533009881</v>
      </c>
      <c r="P52" s="849">
        <v>11.485134483331924</v>
      </c>
      <c r="Q52" s="902">
        <v>2.9628722990595788</v>
      </c>
      <c r="R52" s="902">
        <v>3.0545967467580559</v>
      </c>
      <c r="S52" s="902">
        <v>2.73191689985959</v>
      </c>
      <c r="T52" s="902">
        <v>2.784643491325105</v>
      </c>
      <c r="U52" s="849">
        <v>11.53402943700233</v>
      </c>
      <c r="V52" s="894"/>
      <c r="W52" s="894"/>
      <c r="X52" s="902"/>
      <c r="Y52" s="902"/>
      <c r="Z52" s="849"/>
      <c r="AQ52" s="820"/>
      <c r="AR52" s="820"/>
      <c r="AS52" s="820"/>
      <c r="AT52" s="820"/>
    </row>
    <row r="53" spans="1:46" ht="18">
      <c r="A53" s="839" t="s">
        <v>1540</v>
      </c>
      <c r="B53" s="840">
        <v>0</v>
      </c>
      <c r="C53" s="840">
        <v>0</v>
      </c>
      <c r="D53" s="840">
        <v>0</v>
      </c>
      <c r="E53" s="840">
        <v>0</v>
      </c>
      <c r="F53" s="841">
        <f>SUM(B53:E53)</f>
        <v>0</v>
      </c>
      <c r="G53" s="840">
        <v>5.0133416072558397E-2</v>
      </c>
      <c r="H53" s="840">
        <v>2.6011962451119803E-4</v>
      </c>
      <c r="I53" s="840">
        <v>0</v>
      </c>
      <c r="J53" s="840">
        <v>0</v>
      </c>
      <c r="K53" s="849">
        <v>4.9873296448047201E-2</v>
      </c>
      <c r="L53" s="902">
        <v>0</v>
      </c>
      <c r="M53" s="902">
        <v>0</v>
      </c>
      <c r="N53" s="902">
        <v>0</v>
      </c>
      <c r="O53" s="898">
        <v>0</v>
      </c>
      <c r="P53" s="849">
        <v>0</v>
      </c>
      <c r="Q53" s="902">
        <v>0</v>
      </c>
      <c r="R53" s="902">
        <v>7.031700634475431E-2</v>
      </c>
      <c r="S53" s="902">
        <v>0.70435173163955089</v>
      </c>
      <c r="T53" s="902">
        <v>1.8044361014039136</v>
      </c>
      <c r="U53" s="849">
        <v>2.579104839388219</v>
      </c>
      <c r="V53" s="894"/>
      <c r="W53" s="894"/>
      <c r="X53" s="902"/>
      <c r="Y53" s="902"/>
      <c r="Z53" s="849"/>
      <c r="AQ53" s="820"/>
      <c r="AR53" s="820"/>
      <c r="AS53" s="820"/>
      <c r="AT53" s="820"/>
    </row>
    <row r="54" spans="1:46" ht="18">
      <c r="A54" s="825" t="s">
        <v>2852</v>
      </c>
      <c r="B54" s="845"/>
      <c r="C54" s="845"/>
      <c r="D54" s="845"/>
      <c r="E54" s="845"/>
      <c r="F54" s="846">
        <v>27.619010381379709</v>
      </c>
      <c r="G54" s="845">
        <v>29.791018056579571</v>
      </c>
      <c r="H54" s="845">
        <v>28.91701628253541</v>
      </c>
      <c r="I54" s="845">
        <v>32.566216639618517</v>
      </c>
      <c r="J54" s="845">
        <v>28.323809335036945</v>
      </c>
      <c r="K54" s="846">
        <v>29.13510263742829</v>
      </c>
      <c r="L54" s="895">
        <v>29.331283766658544</v>
      </c>
      <c r="M54" s="895">
        <v>29.56431666258041</v>
      </c>
      <c r="N54" s="895">
        <v>29.070148927817687</v>
      </c>
      <c r="O54" s="896">
        <v>29.596451466108132</v>
      </c>
      <c r="P54" s="834"/>
      <c r="Q54" s="895">
        <v>29.197071296703552</v>
      </c>
      <c r="R54" s="895"/>
      <c r="S54" s="895"/>
      <c r="T54" s="895"/>
      <c r="U54" s="834"/>
      <c r="V54" s="946"/>
      <c r="W54" s="946"/>
      <c r="X54" s="895"/>
      <c r="Y54" s="895"/>
      <c r="Z54" s="834"/>
    </row>
    <row r="55" spans="1:46" ht="18">
      <c r="A55" s="839"/>
      <c r="B55" s="840"/>
      <c r="C55" s="840"/>
      <c r="D55" s="840"/>
      <c r="E55" s="840"/>
      <c r="F55" s="849"/>
      <c r="G55" s="840"/>
      <c r="H55" s="840"/>
      <c r="I55" s="840"/>
      <c r="J55" s="840"/>
      <c r="K55" s="849"/>
      <c r="L55" s="897"/>
      <c r="M55" s="897"/>
      <c r="N55" s="897"/>
      <c r="O55" s="898"/>
      <c r="P55" s="849"/>
      <c r="Q55" s="897"/>
      <c r="R55" s="897"/>
      <c r="S55" s="897"/>
      <c r="T55" s="897"/>
      <c r="U55" s="849"/>
      <c r="V55" s="894"/>
      <c r="W55" s="894"/>
      <c r="X55" s="897"/>
      <c r="Y55" s="897"/>
      <c r="Z55" s="849"/>
    </row>
    <row r="56" spans="1:46" ht="18">
      <c r="A56" s="825" t="s">
        <v>2854</v>
      </c>
      <c r="B56" s="833">
        <v>17.944003585069041</v>
      </c>
      <c r="C56" s="833">
        <v>17.66355358938435</v>
      </c>
      <c r="D56" s="833">
        <v>18.70990303401863</v>
      </c>
      <c r="E56" s="833">
        <v>21.083024672338048</v>
      </c>
      <c r="F56" s="834">
        <f>SUM(B56:E56)</f>
        <v>75.400484880810069</v>
      </c>
      <c r="G56" s="833">
        <v>28.663131956931057</v>
      </c>
      <c r="H56" s="833">
        <v>28.871854685043473</v>
      </c>
      <c r="I56" s="833">
        <v>29.360612886789401</v>
      </c>
      <c r="J56" s="833">
        <v>30.430990326948489</v>
      </c>
      <c r="K56" s="834">
        <v>117.32658985571241</v>
      </c>
      <c r="L56" s="899">
        <v>28.858996384734304</v>
      </c>
      <c r="M56" s="900">
        <v>29.024749966406148</v>
      </c>
      <c r="N56" s="900">
        <v>29.843014110302814</v>
      </c>
      <c r="O56" s="901">
        <v>27.974847741010521</v>
      </c>
      <c r="P56" s="937">
        <v>115.70160820245378</v>
      </c>
      <c r="Q56" s="899">
        <v>29.776260498164135</v>
      </c>
      <c r="R56" s="899">
        <v>30.298508678677781</v>
      </c>
      <c r="S56" s="899">
        <v>30.947959339329728</v>
      </c>
      <c r="T56" s="899">
        <v>30.055583880886328</v>
      </c>
      <c r="U56" s="849">
        <v>121.07831239705797</v>
      </c>
      <c r="V56" s="894"/>
      <c r="W56" s="894"/>
      <c r="X56" s="899"/>
      <c r="Y56" s="899"/>
      <c r="Z56" s="849"/>
      <c r="AQ56" s="821"/>
      <c r="AR56" s="821"/>
      <c r="AS56" s="821"/>
      <c r="AT56" s="821"/>
    </row>
    <row r="57" spans="1:46" ht="18">
      <c r="A57" s="839" t="s">
        <v>2587</v>
      </c>
      <c r="B57" s="840">
        <v>3.1550670000000537E-2</v>
      </c>
      <c r="C57" s="840">
        <v>3.1608670000001442E-2</v>
      </c>
      <c r="D57" s="840">
        <v>3.1674269999999526E-2</v>
      </c>
      <c r="E57" s="840">
        <v>4.8259779222229557E-2</v>
      </c>
      <c r="F57" s="841">
        <f>SUM(B57:E57)</f>
        <v>0.14309338922223108</v>
      </c>
      <c r="G57" s="840">
        <v>0.21532941999999999</v>
      </c>
      <c r="H57" s="840">
        <v>0.21475766999999998</v>
      </c>
      <c r="I57" s="840">
        <v>0.21247504</v>
      </c>
      <c r="J57" s="840">
        <v>0.22531431015059919</v>
      </c>
      <c r="K57" s="849">
        <v>0.86787644015059928</v>
      </c>
      <c r="L57" s="902">
        <v>0.23292174809551716</v>
      </c>
      <c r="M57" s="902">
        <v>0.24080763932918445</v>
      </c>
      <c r="N57" s="902">
        <v>0.2757308430110248</v>
      </c>
      <c r="O57" s="898">
        <v>0.28635294814324425</v>
      </c>
      <c r="P57" s="849">
        <v>1.0358131785789706</v>
      </c>
      <c r="Q57" s="902">
        <v>0.29393649730068649</v>
      </c>
      <c r="R57" s="902">
        <v>0.30753566540832267</v>
      </c>
      <c r="S57" s="902">
        <v>0.3465837590855898</v>
      </c>
      <c r="T57" s="902">
        <v>0.30420322481325002</v>
      </c>
      <c r="U57" s="849">
        <v>1.2522591466078488</v>
      </c>
      <c r="V57" s="894"/>
      <c r="W57" s="894"/>
      <c r="X57" s="902"/>
      <c r="Y57" s="902"/>
      <c r="Z57" s="849"/>
      <c r="AQ57" s="820"/>
      <c r="AR57" s="820"/>
      <c r="AS57" s="820"/>
      <c r="AT57" s="820"/>
    </row>
    <row r="58" spans="1:46" ht="18">
      <c r="A58" s="839" t="s">
        <v>2844</v>
      </c>
      <c r="B58" s="840">
        <v>4.9221233307267793</v>
      </c>
      <c r="C58" s="840">
        <v>5.0118613183089513</v>
      </c>
      <c r="D58" s="840">
        <v>5.1173204156922818</v>
      </c>
      <c r="E58" s="840">
        <v>5.3668970335686916</v>
      </c>
      <c r="F58" s="841">
        <f>SUM(B58:E58)</f>
        <v>20.418202098296703</v>
      </c>
      <c r="G58" s="840">
        <v>24.513497628281343</v>
      </c>
      <c r="H58" s="840">
        <v>24.670517163858854</v>
      </c>
      <c r="I58" s="840">
        <v>24.847144070270463</v>
      </c>
      <c r="J58" s="840">
        <v>25.058955742810671</v>
      </c>
      <c r="K58" s="849">
        <v>99.090114605221345</v>
      </c>
      <c r="L58" s="902">
        <v>24.279498067776927</v>
      </c>
      <c r="M58" s="902">
        <v>25.17341301115966</v>
      </c>
      <c r="N58" s="902">
        <v>25.677868692336489</v>
      </c>
      <c r="O58" s="898">
        <v>24.878833100775019</v>
      </c>
      <c r="P58" s="849">
        <v>100.00961287204811</v>
      </c>
      <c r="Q58" s="902">
        <v>25.388395815092526</v>
      </c>
      <c r="R58" s="902">
        <v>26.023617794153608</v>
      </c>
      <c r="S58" s="902">
        <v>26.054104249508466</v>
      </c>
      <c r="T58" s="902">
        <v>25.781240165297618</v>
      </c>
      <c r="U58" s="849">
        <v>103.24735802405223</v>
      </c>
      <c r="V58" s="894"/>
      <c r="W58" s="894"/>
      <c r="X58" s="902"/>
      <c r="Y58" s="902"/>
      <c r="Z58" s="849"/>
      <c r="AQ58" s="820"/>
      <c r="AR58" s="820"/>
      <c r="AS58" s="820"/>
      <c r="AT58" s="820"/>
    </row>
    <row r="59" spans="1:46" ht="18">
      <c r="A59" s="839" t="s">
        <v>1580</v>
      </c>
      <c r="B59" s="840">
        <v>0.49495474899601993</v>
      </c>
      <c r="C59" s="840">
        <v>0.43733439544326802</v>
      </c>
      <c r="D59" s="840">
        <v>0.94262051567467187</v>
      </c>
      <c r="E59" s="840">
        <v>1.4105848868101498</v>
      </c>
      <c r="F59" s="841">
        <f>SUM(B59:E59)</f>
        <v>3.2854945469241095</v>
      </c>
      <c r="G59" s="840">
        <v>2.7868864326790463</v>
      </c>
      <c r="H59" s="840">
        <v>2.4995571183769623</v>
      </c>
      <c r="I59" s="840">
        <v>2.5238085207578922</v>
      </c>
      <c r="J59" s="840">
        <v>2.8048584329975865</v>
      </c>
      <c r="K59" s="849">
        <v>10.615110504811488</v>
      </c>
      <c r="L59" s="902">
        <v>2.5285068533214905</v>
      </c>
      <c r="M59" s="902">
        <v>3.1257777064443601</v>
      </c>
      <c r="N59" s="902">
        <v>3.1455881233848406</v>
      </c>
      <c r="O59" s="898">
        <v>3.5494540983747909</v>
      </c>
      <c r="P59" s="849">
        <v>12.349326781525482</v>
      </c>
      <c r="Q59" s="902">
        <v>3.6163691239627056</v>
      </c>
      <c r="R59" s="902">
        <v>3.6360074992928402</v>
      </c>
      <c r="S59" s="902">
        <v>3.6846385853972765</v>
      </c>
      <c r="T59" s="902">
        <v>3.5671345221553441</v>
      </c>
      <c r="U59" s="849">
        <v>14.504149730808168</v>
      </c>
      <c r="V59" s="894"/>
      <c r="W59" s="894"/>
      <c r="X59" s="902"/>
      <c r="Y59" s="902"/>
      <c r="Z59" s="849"/>
      <c r="AQ59" s="820"/>
      <c r="AR59" s="820"/>
      <c r="AS59" s="820"/>
      <c r="AT59" s="820"/>
    </row>
    <row r="60" spans="1:46" ht="18">
      <c r="A60" s="839" t="s">
        <v>1540</v>
      </c>
      <c r="B60" s="840">
        <v>12.495374835346247</v>
      </c>
      <c r="C60" s="840">
        <v>12.182749205632119</v>
      </c>
      <c r="D60" s="840">
        <v>12.618287832651678</v>
      </c>
      <c r="E60" s="840">
        <v>14.257282972736983</v>
      </c>
      <c r="F60" s="841">
        <f>SUM(B60:E60)</f>
        <v>51.55369484636703</v>
      </c>
      <c r="G60" s="840">
        <v>1.147418475970666</v>
      </c>
      <c r="H60" s="840">
        <v>1.4870227328076571</v>
      </c>
      <c r="I60" s="840">
        <v>1.7771852557610437</v>
      </c>
      <c r="J60" s="840">
        <v>2.3418618409896355</v>
      </c>
      <c r="K60" s="849">
        <v>6.753488305529002</v>
      </c>
      <c r="L60" s="902">
        <v>1.818069715540374</v>
      </c>
      <c r="M60" s="902">
        <v>0.48475160947294582</v>
      </c>
      <c r="N60" s="902">
        <v>0.74382645157045868</v>
      </c>
      <c r="O60" s="898">
        <v>0.73979240628253695</v>
      </c>
      <c r="P60" s="849">
        <v>2.3068553703012418</v>
      </c>
      <c r="Q60" s="902">
        <v>0.47755906180822172</v>
      </c>
      <c r="R60" s="902">
        <v>0.33134771982300698</v>
      </c>
      <c r="S60" s="902">
        <v>0.86263274533839451</v>
      </c>
      <c r="T60" s="902">
        <v>0.40300596862011606</v>
      </c>
      <c r="U60" s="849">
        <v>2.0745454955897396</v>
      </c>
      <c r="V60" s="894"/>
      <c r="W60" s="894"/>
      <c r="X60" s="902"/>
      <c r="Y60" s="902"/>
      <c r="Z60" s="849"/>
      <c r="AQ60" s="820"/>
      <c r="AR60" s="820"/>
      <c r="AS60" s="820"/>
      <c r="AT60" s="820"/>
    </row>
    <row r="61" spans="1:46" ht="18">
      <c r="A61" s="839"/>
      <c r="B61" s="840"/>
      <c r="C61" s="840"/>
      <c r="D61" s="840"/>
      <c r="E61" s="840"/>
      <c r="F61" s="849"/>
      <c r="G61" s="840"/>
      <c r="H61" s="840"/>
      <c r="I61" s="840"/>
      <c r="J61" s="840"/>
      <c r="K61" s="849"/>
      <c r="L61" s="897"/>
      <c r="M61" s="897"/>
      <c r="N61" s="897"/>
      <c r="O61" s="898"/>
      <c r="P61" s="849"/>
      <c r="Q61" s="897"/>
      <c r="R61" s="897"/>
      <c r="S61" s="897"/>
      <c r="T61" s="897"/>
      <c r="U61" s="849"/>
      <c r="V61" s="894"/>
      <c r="W61" s="894"/>
      <c r="X61" s="897"/>
      <c r="Y61" s="897"/>
      <c r="Z61" s="849"/>
    </row>
    <row r="62" spans="1:46" ht="18">
      <c r="A62" s="825" t="s">
        <v>2702</v>
      </c>
      <c r="B62" s="833">
        <v>1.6556384427492501E-3</v>
      </c>
      <c r="C62" s="833">
        <v>2.1252685371528902E-2</v>
      </c>
      <c r="D62" s="833">
        <v>9.2962105039548798E-2</v>
      </c>
      <c r="E62" s="833">
        <v>0.12093160732409799</v>
      </c>
      <c r="F62" s="834">
        <f>SUM(B62:E62)</f>
        <v>0.23680203617792495</v>
      </c>
      <c r="G62" s="833">
        <v>0.23168644368491689</v>
      </c>
      <c r="H62" s="833">
        <v>0.35931585518541309</v>
      </c>
      <c r="I62" s="833">
        <v>0.54491436725318398</v>
      </c>
      <c r="J62" s="833">
        <v>0.72069319672363308</v>
      </c>
      <c r="K62" s="834">
        <v>1.856609862847147</v>
      </c>
      <c r="L62" s="903">
        <v>0.90403843525510896</v>
      </c>
      <c r="M62" s="903">
        <v>1.067667470830769</v>
      </c>
      <c r="N62" s="903">
        <v>1.147731972578832</v>
      </c>
      <c r="O62" s="904">
        <v>1.383436067532462</v>
      </c>
      <c r="P62" s="834">
        <v>4.5028739461971714</v>
      </c>
      <c r="Q62" s="903">
        <v>1.0625942120998526</v>
      </c>
      <c r="R62" s="903">
        <v>1.2869078850270435</v>
      </c>
      <c r="S62" s="903">
        <v>1.5175730187471299</v>
      </c>
      <c r="T62" s="903">
        <v>1.7288699118013766</v>
      </c>
      <c r="U62" s="834">
        <v>5.5959450276754019</v>
      </c>
      <c r="V62" s="946">
        <v>1.7916573147034101</v>
      </c>
      <c r="W62" s="946">
        <v>1.92677703013526</v>
      </c>
      <c r="X62" s="946">
        <v>2.0372338189300301</v>
      </c>
      <c r="Y62" s="857">
        <v>2.19607743896879</v>
      </c>
      <c r="Z62" s="834">
        <f>CA!P98</f>
        <v>8</v>
      </c>
      <c r="AQ62" s="821"/>
      <c r="AR62" s="821"/>
      <c r="AS62" s="821"/>
      <c r="AT62" s="821"/>
    </row>
    <row r="63" spans="1:46" ht="18">
      <c r="A63" s="825" t="s">
        <v>2860</v>
      </c>
      <c r="B63" s="845"/>
      <c r="C63" s="845"/>
      <c r="D63" s="845"/>
      <c r="E63" s="845"/>
      <c r="F63" s="846">
        <v>0.49958235480574881</v>
      </c>
      <c r="G63" s="845">
        <v>0.91635419597673196</v>
      </c>
      <c r="H63" s="845">
        <v>0.90808561149756251</v>
      </c>
      <c r="I63" s="845">
        <v>0.88428786884969834</v>
      </c>
      <c r="J63" s="845">
        <v>0.88340153709105895</v>
      </c>
      <c r="K63" s="846">
        <v>0.7</v>
      </c>
      <c r="L63" s="895">
        <v>0.83414570065546767</v>
      </c>
      <c r="M63" s="895">
        <v>0.74617613845876207</v>
      </c>
      <c r="N63" s="895">
        <v>0.65389617576756431</v>
      </c>
      <c r="O63" s="896">
        <v>0.60394398560441032</v>
      </c>
      <c r="P63" s="834"/>
      <c r="Q63" s="895">
        <v>0.34225524505150129</v>
      </c>
      <c r="R63" s="895"/>
      <c r="S63" s="895"/>
      <c r="T63" s="895"/>
      <c r="U63" s="834"/>
      <c r="V63" s="946"/>
      <c r="W63" s="946"/>
      <c r="X63" s="895"/>
      <c r="Y63" s="895"/>
      <c r="Z63" s="834"/>
    </row>
    <row r="64" spans="1:46" ht="18">
      <c r="A64" s="825"/>
      <c r="B64" s="840"/>
      <c r="C64" s="840"/>
      <c r="D64" s="840"/>
      <c r="E64" s="840"/>
      <c r="F64" s="849"/>
      <c r="G64" s="840"/>
      <c r="H64" s="840"/>
      <c r="I64" s="840"/>
      <c r="J64" s="840"/>
      <c r="K64" s="849"/>
      <c r="L64" s="897"/>
      <c r="M64" s="897"/>
      <c r="N64" s="897"/>
      <c r="O64" s="898"/>
      <c r="P64" s="849"/>
      <c r="Q64" s="897"/>
      <c r="R64" s="897"/>
      <c r="S64" s="897"/>
      <c r="T64" s="897"/>
      <c r="U64" s="849"/>
      <c r="V64" s="894"/>
      <c r="W64" s="894"/>
      <c r="X64" s="897"/>
      <c r="Y64" s="897"/>
      <c r="Z64" s="849"/>
    </row>
    <row r="65" spans="1:46" ht="18">
      <c r="A65" s="905" t="s">
        <v>2861</v>
      </c>
      <c r="B65" s="906">
        <v>24.429691753661885</v>
      </c>
      <c r="C65" s="906">
        <v>25.970165219798854</v>
      </c>
      <c r="D65" s="906">
        <v>27.780468903558791</v>
      </c>
      <c r="E65" s="906">
        <v>30.13595711326349</v>
      </c>
      <c r="F65" s="907">
        <f>SUM(B65:E65)</f>
        <v>108.31628299028301</v>
      </c>
      <c r="G65" s="906">
        <v>37.7227353015844</v>
      </c>
      <c r="H65" s="906">
        <v>37.320778761907199</v>
      </c>
      <c r="I65" s="906">
        <v>33.360654516762601</v>
      </c>
      <c r="J65" s="906">
        <v>36.979160287955999</v>
      </c>
      <c r="K65" s="908">
        <v>145.38332886821019</v>
      </c>
      <c r="L65" s="909">
        <v>36.706422037689336</v>
      </c>
      <c r="M65" s="909">
        <v>35.463623117062852</v>
      </c>
      <c r="N65" s="909">
        <v>40.247639887511625</v>
      </c>
      <c r="O65" s="910">
        <v>55.3705271850326</v>
      </c>
      <c r="P65" s="889">
        <v>167.78821222729641</v>
      </c>
      <c r="Q65" s="909">
        <v>47.76170989390323</v>
      </c>
      <c r="R65" s="909">
        <v>52.523838265278783</v>
      </c>
      <c r="S65" s="909">
        <v>52.195394240150101</v>
      </c>
      <c r="T65" s="909">
        <v>71.521025321003293</v>
      </c>
      <c r="U65" s="889">
        <v>224.00196772033541</v>
      </c>
      <c r="V65" s="947">
        <v>58.146298340209569</v>
      </c>
      <c r="W65" s="959">
        <v>56.906670550143986</v>
      </c>
      <c r="X65" s="959">
        <v>58.645265119093111</v>
      </c>
      <c r="Y65" s="942">
        <v>67.278493533373876</v>
      </c>
      <c r="Z65" s="889">
        <f>CA!P60</f>
        <v>240.97672754282053</v>
      </c>
      <c r="AQ65" s="820"/>
      <c r="AR65" s="820"/>
      <c r="AS65" s="820"/>
      <c r="AT65" s="820"/>
    </row>
    <row r="66" spans="1:46" ht="18">
      <c r="A66" s="839"/>
      <c r="B66" s="787"/>
      <c r="C66" s="787"/>
      <c r="D66" s="787"/>
      <c r="E66" s="787"/>
      <c r="F66" s="830"/>
      <c r="G66" s="787"/>
      <c r="H66" s="787"/>
      <c r="I66" s="787"/>
      <c r="J66" s="787"/>
      <c r="K66" s="830"/>
      <c r="L66" s="787"/>
      <c r="M66" s="787"/>
      <c r="N66" s="787"/>
      <c r="O66" s="787"/>
      <c r="P66" s="830"/>
      <c r="Q66" s="787"/>
      <c r="R66" s="787"/>
      <c r="S66" s="787"/>
      <c r="T66" s="787"/>
      <c r="U66" s="830"/>
      <c r="V66" s="787"/>
      <c r="W66" s="787"/>
      <c r="X66" s="787"/>
      <c r="Y66" s="787"/>
      <c r="Z66" s="830"/>
    </row>
    <row r="67" spans="1:46" ht="18">
      <c r="A67" s="825" t="s">
        <v>2864</v>
      </c>
      <c r="B67" s="840"/>
      <c r="C67" s="840"/>
      <c r="D67" s="840"/>
      <c r="E67" s="840"/>
      <c r="F67" s="849"/>
      <c r="G67" s="829">
        <f>G68+G74+G93+G96</f>
        <v>454.832332740178</v>
      </c>
      <c r="H67" s="829">
        <f>H68+H74+H93+H96</f>
        <v>465.93374312062593</v>
      </c>
      <c r="I67" s="829">
        <f>I68+I74+I93+I96</f>
        <v>480.056909710941</v>
      </c>
      <c r="J67" s="829">
        <f>J68+J74+J93+J96</f>
        <v>525.82629806949012</v>
      </c>
      <c r="K67" s="849"/>
      <c r="L67" s="829">
        <f>L68+L74+L93+L96</f>
        <v>529.33774291424004</v>
      </c>
      <c r="M67" s="829">
        <f>M68+M74+M93+M96</f>
        <v>531.92439351049893</v>
      </c>
      <c r="N67" s="829">
        <f>N68+N74+N93+N96</f>
        <v>541.74874304872606</v>
      </c>
      <c r="O67" s="829">
        <f>O68+O74+O93+O96</f>
        <v>588.70390895982302</v>
      </c>
      <c r="P67" s="849"/>
      <c r="Q67" s="829">
        <f>Q68+Q74+Q93+Q96</f>
        <v>559.63709732303005</v>
      </c>
      <c r="R67" s="829">
        <f>R68+R74+R93+R96</f>
        <v>592.74587011015603</v>
      </c>
      <c r="S67" s="829">
        <f>S68+S74+S93+S96</f>
        <v>810.03414195860637</v>
      </c>
      <c r="T67" s="829">
        <f>T68+T74+T93+T96</f>
        <v>959.6086111932218</v>
      </c>
      <c r="U67" s="849"/>
      <c r="V67" s="829">
        <f>V68+V74+V93+V96</f>
        <v>831.607296617781</v>
      </c>
      <c r="W67" s="829">
        <f>W68+W74+W93+W96</f>
        <v>831.23627568178927</v>
      </c>
      <c r="X67" s="829">
        <f>X68+X74+X93+X96</f>
        <v>763.4741133659802</v>
      </c>
      <c r="Y67" s="829">
        <f>Y68+Y74+Y93+Y96</f>
        <v>758.7357581409151</v>
      </c>
      <c r="Z67" s="841">
        <f ca="1">Z68+Z74+Z93+Z96</f>
        <v>3184.8745703409977</v>
      </c>
    </row>
    <row r="68" spans="1:46" ht="18">
      <c r="A68" s="825" t="s">
        <v>2842</v>
      </c>
      <c r="B68" s="833">
        <v>352.77635388052914</v>
      </c>
      <c r="C68" s="833">
        <v>389.18322070528802</v>
      </c>
      <c r="D68" s="833">
        <v>405.62777431020072</v>
      </c>
      <c r="E68" s="833">
        <v>407.59337164905679</v>
      </c>
      <c r="F68" s="834">
        <f>SUM(B68:E68)</f>
        <v>1555.1807205450746</v>
      </c>
      <c r="G68" s="833">
        <v>411.3105998750658</v>
      </c>
      <c r="H68" s="833">
        <v>418.62266971935742</v>
      </c>
      <c r="I68" s="833">
        <v>432.51072935331166</v>
      </c>
      <c r="J68" s="833">
        <v>451.17385743872876</v>
      </c>
      <c r="K68" s="834">
        <v>1713.6178563864635</v>
      </c>
      <c r="L68" s="833">
        <v>453.11645218807814</v>
      </c>
      <c r="M68" s="833">
        <v>453.36162796441539</v>
      </c>
      <c r="N68" s="911">
        <v>463.41363736419305</v>
      </c>
      <c r="O68" s="911">
        <v>502.32774720995798</v>
      </c>
      <c r="P68" s="834">
        <v>1872.2194647266447</v>
      </c>
      <c r="Q68" s="833">
        <v>475.19550112737488</v>
      </c>
      <c r="R68" s="833">
        <v>490.50588195032935</v>
      </c>
      <c r="S68" s="833">
        <v>512.24675687504146</v>
      </c>
      <c r="T68" s="833">
        <v>504.33044417966528</v>
      </c>
      <c r="U68" s="834">
        <v>1982.278584132411</v>
      </c>
      <c r="V68" s="833">
        <v>434.56958357230201</v>
      </c>
      <c r="W68" s="833">
        <v>426.2861421819</v>
      </c>
      <c r="X68" s="833">
        <v>405.13399496640699</v>
      </c>
      <c r="Y68" s="857">
        <v>399.49075988103499</v>
      </c>
      <c r="Z68" s="834">
        <f>Colombia!L42+SA!P58</f>
        <v>1665.4804806016441</v>
      </c>
      <c r="AC68" s="633">
        <f t="shared" ref="AC68:AF71" si="14">G68/B68-1</f>
        <v>0.16592451662551011</v>
      </c>
      <c r="AD68" s="633">
        <f t="shared" si="14"/>
        <v>7.5644188772369114E-2</v>
      </c>
      <c r="AE68" s="633">
        <f t="shared" si="14"/>
        <v>6.6274936643150983E-2</v>
      </c>
      <c r="AF68" s="633">
        <f t="shared" si="14"/>
        <v>0.10692147817162079</v>
      </c>
      <c r="AG68" s="633">
        <f t="shared" ref="AG68:AJ71" si="15">L68/G68-1</f>
        <v>0.10164059065268605</v>
      </c>
      <c r="AH68" s="633">
        <f t="shared" si="15"/>
        <v>8.2983939375158133E-2</v>
      </c>
      <c r="AI68" s="633">
        <f t="shared" si="15"/>
        <v>7.1450037914868147E-2</v>
      </c>
      <c r="AJ68" s="633">
        <f t="shared" si="15"/>
        <v>0.11337955186859672</v>
      </c>
      <c r="AK68" s="633">
        <f t="shared" ref="AK68:AN71" si="16">Q68/L68-1</f>
        <v>4.8727096164083328E-2</v>
      </c>
      <c r="AL68" s="633">
        <f t="shared" si="16"/>
        <v>8.1930740704039939E-2</v>
      </c>
      <c r="AM68" s="633">
        <f t="shared" si="16"/>
        <v>0.10537695823670989</v>
      </c>
      <c r="AN68" s="633">
        <f t="shared" si="16"/>
        <v>3.9868332594221734E-3</v>
      </c>
      <c r="AO68" s="940">
        <v>-7.0000000000000007E-2</v>
      </c>
      <c r="AP68" s="940">
        <v>-7.0000000000000007E-2</v>
      </c>
      <c r="AQ68" s="633">
        <f>Y68/T68-1</f>
        <v>-0.20787895220000174</v>
      </c>
      <c r="AR68" s="821"/>
      <c r="AS68" s="821"/>
      <c r="AT68" s="821"/>
    </row>
    <row r="69" spans="1:46" ht="18">
      <c r="A69" s="839" t="s">
        <v>2843</v>
      </c>
      <c r="B69" s="840">
        <v>289.86532209299804</v>
      </c>
      <c r="C69" s="840">
        <v>309.67261664192421</v>
      </c>
      <c r="D69" s="840">
        <v>318.9355157810063</v>
      </c>
      <c r="E69" s="840">
        <v>320.84123946069832</v>
      </c>
      <c r="F69" s="841">
        <f>SUM(B69:E69)</f>
        <v>1239.3146939766268</v>
      </c>
      <c r="G69" s="840">
        <v>316.10509656683416</v>
      </c>
      <c r="H69" s="840">
        <v>315.53105296369085</v>
      </c>
      <c r="I69" s="840">
        <v>322.89767853354658</v>
      </c>
      <c r="J69" s="840">
        <v>334.78141169963226</v>
      </c>
      <c r="K69" s="849">
        <v>1289.3152397637036</v>
      </c>
      <c r="L69" s="840">
        <v>321.87637690042578</v>
      </c>
      <c r="M69" s="840">
        <v>316.83747032856388</v>
      </c>
      <c r="N69" s="912">
        <v>325.73998974241124</v>
      </c>
      <c r="O69" s="912">
        <v>351.03478257719894</v>
      </c>
      <c r="P69" s="849">
        <v>1315.4886195485997</v>
      </c>
      <c r="Q69" s="840">
        <v>322.26189651137787</v>
      </c>
      <c r="R69" s="840">
        <v>324.30174560779182</v>
      </c>
      <c r="S69" s="840">
        <v>328.73960358449904</v>
      </c>
      <c r="T69" s="840">
        <v>316.26018798905369</v>
      </c>
      <c r="U69" s="849">
        <v>1291.5634336927226</v>
      </c>
      <c r="V69" s="972"/>
      <c r="W69" s="840"/>
      <c r="X69" s="840"/>
      <c r="Y69" s="840"/>
      <c r="Z69" s="849"/>
      <c r="AC69" s="634">
        <f t="shared" si="14"/>
        <v>9.0524020894840129E-2</v>
      </c>
      <c r="AD69" s="634">
        <f t="shared" si="14"/>
        <v>1.891816068626051E-2</v>
      </c>
      <c r="AE69" s="634">
        <f t="shared" si="14"/>
        <v>1.2423084154919994E-2</v>
      </c>
      <c r="AF69" s="634">
        <f t="shared" si="14"/>
        <v>4.3448816811598068E-2</v>
      </c>
      <c r="AG69" s="634">
        <f t="shared" si="15"/>
        <v>1.8257473214676301E-2</v>
      </c>
      <c r="AH69" s="634">
        <f t="shared" si="15"/>
        <v>4.1403765258671843E-3</v>
      </c>
      <c r="AI69" s="634">
        <f t="shared" si="15"/>
        <v>8.8025136067040322E-3</v>
      </c>
      <c r="AJ69" s="634">
        <f t="shared" si="15"/>
        <v>4.8549203478923442E-2</v>
      </c>
      <c r="AK69" s="634">
        <f t="shared" si="16"/>
        <v>1.1977257065725055E-3</v>
      </c>
      <c r="AL69" s="634">
        <f t="shared" si="16"/>
        <v>2.3558688533548144E-2</v>
      </c>
      <c r="AM69" s="634">
        <f t="shared" si="16"/>
        <v>9.2086140374101344E-3</v>
      </c>
      <c r="AN69" s="634">
        <f t="shared" si="16"/>
        <v>-9.9063102330885666E-2</v>
      </c>
      <c r="AQ69" s="820"/>
      <c r="AR69" s="820"/>
      <c r="AS69" s="820"/>
      <c r="AT69" s="820"/>
    </row>
    <row r="70" spans="1:46" ht="18">
      <c r="A70" s="839" t="s">
        <v>2844</v>
      </c>
      <c r="B70" s="840">
        <v>39.628182197535097</v>
      </c>
      <c r="C70" s="840">
        <v>47.760529192210718</v>
      </c>
      <c r="D70" s="840">
        <v>54.9428489414518</v>
      </c>
      <c r="E70" s="840">
        <v>56.886329241524102</v>
      </c>
      <c r="F70" s="841">
        <f>SUM(B70:E70)</f>
        <v>199.21788957272173</v>
      </c>
      <c r="G70" s="840">
        <v>64.673444629259649</v>
      </c>
      <c r="H70" s="840">
        <v>70.74698410602781</v>
      </c>
      <c r="I70" s="840">
        <v>77.059104024976733</v>
      </c>
      <c r="J70" s="840">
        <v>81.992822889303184</v>
      </c>
      <c r="K70" s="849">
        <v>294.47235564956731</v>
      </c>
      <c r="L70" s="840">
        <v>93.222538963695001</v>
      </c>
      <c r="M70" s="840">
        <v>96.3171544146809</v>
      </c>
      <c r="N70" s="912">
        <v>98.923197901182505</v>
      </c>
      <c r="O70" s="912">
        <v>106.02612416305</v>
      </c>
      <c r="P70" s="849">
        <v>394.48901544260838</v>
      </c>
      <c r="Q70" s="840">
        <v>108.8348681714114</v>
      </c>
      <c r="R70" s="840">
        <v>120.4005479862078</v>
      </c>
      <c r="S70" s="840">
        <v>136.73909941165701</v>
      </c>
      <c r="T70" s="840">
        <v>144.6105189644604</v>
      </c>
      <c r="U70" s="849">
        <v>510.58503453373663</v>
      </c>
      <c r="V70" s="840">
        <v>134</v>
      </c>
      <c r="W70" s="840">
        <v>142</v>
      </c>
      <c r="X70" s="840"/>
      <c r="Y70" s="840"/>
      <c r="Z70" s="849"/>
      <c r="AC70" s="634">
        <f t="shared" si="14"/>
        <v>0.63200634101461217</v>
      </c>
      <c r="AD70" s="634">
        <f t="shared" si="14"/>
        <v>0.4812855992719185</v>
      </c>
      <c r="AE70" s="634">
        <f t="shared" si="14"/>
        <v>0.40253200388448107</v>
      </c>
      <c r="AF70" s="634">
        <f t="shared" si="14"/>
        <v>0.44134494143898162</v>
      </c>
      <c r="AG70" s="634">
        <f t="shared" si="15"/>
        <v>0.44143457176423739</v>
      </c>
      <c r="AH70" s="634">
        <f t="shared" si="15"/>
        <v>0.36143124165309048</v>
      </c>
      <c r="AI70" s="634">
        <f t="shared" si="15"/>
        <v>0.28373148316283414</v>
      </c>
      <c r="AJ70" s="634">
        <f t="shared" si="15"/>
        <v>0.2931146950043868</v>
      </c>
      <c r="AK70" s="634">
        <f t="shared" si="16"/>
        <v>0.16747376097315403</v>
      </c>
      <c r="AL70" s="634">
        <f t="shared" si="16"/>
        <v>0.25004261928087068</v>
      </c>
      <c r="AM70" s="634">
        <f t="shared" si="16"/>
        <v>0.3822753642502541</v>
      </c>
      <c r="AN70" s="634">
        <f t="shared" si="16"/>
        <v>0.36391403633763142</v>
      </c>
      <c r="AQ70" s="820"/>
      <c r="AR70" s="820"/>
      <c r="AS70" s="820"/>
      <c r="AT70" s="820"/>
    </row>
    <row r="71" spans="1:46" ht="18">
      <c r="A71" s="839" t="s">
        <v>2416</v>
      </c>
      <c r="B71" s="840">
        <v>23.28284958999599</v>
      </c>
      <c r="C71" s="840">
        <v>31.750074871153124</v>
      </c>
      <c r="D71" s="840">
        <v>31.749409587742573</v>
      </c>
      <c r="E71" s="840">
        <v>29.865802946834354</v>
      </c>
      <c r="F71" s="841">
        <f>SUM(B71:E71)</f>
        <v>116.64813699572603</v>
      </c>
      <c r="G71" s="840">
        <v>30.532058678972032</v>
      </c>
      <c r="H71" s="840">
        <v>32.344632649638775</v>
      </c>
      <c r="I71" s="840">
        <v>32.553946794788367</v>
      </c>
      <c r="J71" s="840">
        <v>34.399622849793325</v>
      </c>
      <c r="K71" s="849">
        <v>129.83026097319248</v>
      </c>
      <c r="L71" s="840">
        <v>38.017536323957309</v>
      </c>
      <c r="M71" s="840">
        <v>40.207003221170609</v>
      </c>
      <c r="N71" s="912">
        <v>38.750449720599228</v>
      </c>
      <c r="O71" s="912">
        <v>45.266840469709052</v>
      </c>
      <c r="P71" s="849">
        <v>162.2418297354362</v>
      </c>
      <c r="Q71" s="840">
        <v>44.098736444585555</v>
      </c>
      <c r="R71" s="840">
        <v>45.803588356329769</v>
      </c>
      <c r="S71" s="840">
        <v>46.768053878885425</v>
      </c>
      <c r="T71" s="840">
        <v>43.459737226151233</v>
      </c>
      <c r="U71" s="849">
        <v>180.13011590595201</v>
      </c>
      <c r="V71" s="840"/>
      <c r="W71" s="840"/>
      <c r="X71" s="840"/>
      <c r="Y71" s="840"/>
      <c r="Z71" s="849"/>
      <c r="AC71" s="634">
        <f t="shared" si="14"/>
        <v>0.31135403168565889</v>
      </c>
      <c r="AD71" s="634">
        <f t="shared" si="14"/>
        <v>1.8726185084553704E-2</v>
      </c>
      <c r="AE71" s="634">
        <f t="shared" si="14"/>
        <v>2.5340225770888125E-2</v>
      </c>
      <c r="AF71" s="634">
        <f t="shared" si="14"/>
        <v>0.15180639579755661</v>
      </c>
      <c r="AG71" s="634">
        <f t="shared" si="15"/>
        <v>0.24516779964597202</v>
      </c>
      <c r="AH71" s="634">
        <f t="shared" si="15"/>
        <v>0.2430811521867644</v>
      </c>
      <c r="AI71" s="634">
        <f t="shared" si="15"/>
        <v>0.19034567344082753</v>
      </c>
      <c r="AJ71" s="634">
        <f t="shared" si="15"/>
        <v>0.31591095249409173</v>
      </c>
      <c r="AK71" s="634">
        <f t="shared" si="16"/>
        <v>0.15995776445924226</v>
      </c>
      <c r="AL71" s="634">
        <f t="shared" si="16"/>
        <v>0.13919428673590706</v>
      </c>
      <c r="AM71" s="634">
        <f t="shared" si="16"/>
        <v>0.20690351250360184</v>
      </c>
      <c r="AN71" s="634">
        <f t="shared" si="16"/>
        <v>-3.9921126034123566E-2</v>
      </c>
      <c r="AQ71" s="820"/>
      <c r="AR71" s="820"/>
      <c r="AS71" s="820"/>
      <c r="AT71" s="820"/>
    </row>
    <row r="72" spans="1:46" ht="18">
      <c r="A72" s="825" t="s">
        <v>2845</v>
      </c>
      <c r="B72" s="845">
        <v>1.14E-2</v>
      </c>
      <c r="C72" s="845">
        <v>1.23E-2</v>
      </c>
      <c r="D72" s="845">
        <v>1.26E-2</v>
      </c>
      <c r="E72" s="845">
        <v>1.23E-2</v>
      </c>
      <c r="F72" s="846">
        <v>12.2</v>
      </c>
      <c r="G72" s="845">
        <v>12.087238989738148</v>
      </c>
      <c r="H72" s="845">
        <v>11.992598215109245</v>
      </c>
      <c r="I72" s="845">
        <v>12.00998743420803</v>
      </c>
      <c r="J72" s="845">
        <v>12.0387813560111</v>
      </c>
      <c r="K72" s="846">
        <v>12</v>
      </c>
      <c r="L72" s="845">
        <v>11.7</v>
      </c>
      <c r="M72" s="845"/>
      <c r="N72" s="913">
        <v>11.618500869331053</v>
      </c>
      <c r="O72" s="913">
        <v>12.151734743360841</v>
      </c>
      <c r="P72" s="834"/>
      <c r="Q72" s="845">
        <v>11.178779761176211</v>
      </c>
      <c r="R72" s="845"/>
      <c r="S72" s="845"/>
      <c r="T72" s="845"/>
      <c r="U72" s="834"/>
      <c r="V72" s="845"/>
      <c r="W72" s="845"/>
      <c r="X72" s="845"/>
      <c r="Y72" s="845"/>
      <c r="Z72" s="834"/>
      <c r="AQ72" s="820"/>
      <c r="AR72" s="820"/>
      <c r="AS72" s="820"/>
      <c r="AT72" s="820"/>
    </row>
    <row r="73" spans="1:46" ht="18">
      <c r="A73" s="839"/>
      <c r="B73" s="840"/>
      <c r="C73" s="840"/>
      <c r="D73" s="840"/>
      <c r="E73" s="840"/>
      <c r="F73" s="849"/>
      <c r="G73" s="840"/>
      <c r="H73" s="840"/>
      <c r="I73" s="840"/>
      <c r="J73" s="840"/>
      <c r="K73" s="849"/>
      <c r="L73" s="840"/>
      <c r="M73" s="840"/>
      <c r="N73" s="912"/>
      <c r="O73" s="912"/>
      <c r="P73" s="849"/>
      <c r="Q73" s="840"/>
      <c r="R73" s="840"/>
      <c r="S73" s="840"/>
      <c r="T73" s="840"/>
      <c r="U73" s="849"/>
      <c r="V73" s="894"/>
      <c r="W73" s="894"/>
      <c r="X73" s="894"/>
      <c r="Y73" s="894"/>
      <c r="Z73" s="849"/>
    </row>
    <row r="74" spans="1:46" ht="18">
      <c r="A74" s="825" t="s">
        <v>2846</v>
      </c>
      <c r="B74" s="833">
        <v>7.3278508763121151</v>
      </c>
      <c r="C74" s="833">
        <v>7.9081869952656252</v>
      </c>
      <c r="D74" s="833">
        <v>7.9904723624730201</v>
      </c>
      <c r="E74" s="833">
        <v>8.428202853704267</v>
      </c>
      <c r="F74" s="834">
        <f>SUM(B74:E74)</f>
        <v>31.654713087755027</v>
      </c>
      <c r="G74" s="833">
        <v>8.877753131952165</v>
      </c>
      <c r="H74" s="833">
        <v>9.1243901527674574</v>
      </c>
      <c r="I74" s="833">
        <v>10.062907220250221</v>
      </c>
      <c r="J74" s="833">
        <v>25.642944417695617</v>
      </c>
      <c r="K74" s="834">
        <v>53.707994922665456</v>
      </c>
      <c r="L74" s="833">
        <v>26.850048319675963</v>
      </c>
      <c r="M74" s="833">
        <v>26.274991817662862</v>
      </c>
      <c r="N74" s="911">
        <v>31.054248263172127</v>
      </c>
      <c r="O74" s="911">
        <v>30.682063732442064</v>
      </c>
      <c r="P74" s="834">
        <v>114.861352132953</v>
      </c>
      <c r="Q74" s="833">
        <v>35.715674514848629</v>
      </c>
      <c r="R74" s="833">
        <v>38.897116369114521</v>
      </c>
      <c r="S74" s="914">
        <f>211.460254078954-4</f>
        <v>207.46025407895399</v>
      </c>
      <c r="T74" s="833">
        <v>319.96954906285458</v>
      </c>
      <c r="U74" s="834">
        <v>606.04259402577145</v>
      </c>
      <c r="V74" s="946">
        <v>295.08391278682495</v>
      </c>
      <c r="W74" s="946">
        <v>304.39005278983501</v>
      </c>
      <c r="X74" s="946">
        <v>272.90095028731196</v>
      </c>
      <c r="Y74" s="857">
        <v>270.05208886007398</v>
      </c>
      <c r="Z74" s="834">
        <f ca="1">Cable!M25+Colombia!L217</f>
        <v>1025.0098120504517</v>
      </c>
      <c r="AC74" s="633">
        <f>G74/B74-1</f>
        <v>0.21150843293635213</v>
      </c>
      <c r="AD74" s="633">
        <f>H74/C74-1</f>
        <v>0.15379038940656486</v>
      </c>
      <c r="AE74" s="633">
        <f>I74/D74-1</f>
        <v>0.25936324709792125</v>
      </c>
      <c r="AF74" s="633">
        <f>J74/E74-1</f>
        <v>2.0425162828663201</v>
      </c>
      <c r="AG74" s="633">
        <f>L74/G74-1</f>
        <v>2.0244193458183939</v>
      </c>
      <c r="AH74" s="633">
        <f>M74/H74-1</f>
        <v>1.879643612093195</v>
      </c>
      <c r="AI74" s="633">
        <f>N74/I74-1</f>
        <v>2.0860115852682921</v>
      </c>
      <c r="AJ74" s="633">
        <f>O74/J74-1</f>
        <v>0.19651094791084378</v>
      </c>
      <c r="AK74" s="633">
        <f>Q74/L74-1</f>
        <v>0.33019032553009797</v>
      </c>
      <c r="AL74" s="633">
        <f>R74/M74-1</f>
        <v>0.4803854798145617</v>
      </c>
      <c r="AM74" s="633">
        <f>S74/N74-1</f>
        <v>5.6805756275538437</v>
      </c>
      <c r="AN74" s="633">
        <f>T74/O74-1</f>
        <v>9.4285536935551946</v>
      </c>
      <c r="AQ74" s="821"/>
      <c r="AR74" s="821"/>
      <c r="AS74" s="821"/>
      <c r="AT74" s="821"/>
    </row>
    <row r="75" spans="1:46" ht="18">
      <c r="A75" s="839" t="s">
        <v>2587</v>
      </c>
      <c r="B75" s="840">
        <v>0</v>
      </c>
      <c r="C75" s="840">
        <v>0</v>
      </c>
      <c r="D75" s="840">
        <v>0</v>
      </c>
      <c r="E75" s="840">
        <v>0</v>
      </c>
      <c r="F75" s="841">
        <f>SUM(B75:E75)</f>
        <v>0</v>
      </c>
      <c r="G75" s="840">
        <v>0</v>
      </c>
      <c r="H75" s="840">
        <v>0</v>
      </c>
      <c r="I75" s="840">
        <v>0</v>
      </c>
      <c r="J75" s="840">
        <v>13.542830730894901</v>
      </c>
      <c r="K75" s="849">
        <v>13.542830730894901</v>
      </c>
      <c r="L75" s="840">
        <v>16.021966775651002</v>
      </c>
      <c r="M75" s="840">
        <v>16.6680138668792</v>
      </c>
      <c r="N75" s="912">
        <v>17.205264714361402</v>
      </c>
      <c r="O75" s="912">
        <v>21.09053088105567</v>
      </c>
      <c r="P75" s="849">
        <v>70.985776237947277</v>
      </c>
      <c r="Q75" s="840">
        <v>21.037042104820578</v>
      </c>
      <c r="R75" s="840">
        <v>22.61215221222546</v>
      </c>
      <c r="S75" s="840">
        <v>47.376600547330902</v>
      </c>
      <c r="T75" s="840">
        <v>65.847795690375492</v>
      </c>
      <c r="U75" s="849">
        <v>156.87359055475244</v>
      </c>
      <c r="V75" s="894"/>
      <c r="W75" s="894"/>
      <c r="X75" s="840"/>
      <c r="Y75" s="840"/>
      <c r="Z75" s="849"/>
      <c r="AC75" s="634"/>
      <c r="AD75" s="634"/>
      <c r="AE75" s="634"/>
      <c r="AF75" s="634"/>
      <c r="AG75" s="634"/>
      <c r="AH75" s="634"/>
      <c r="AI75" s="634"/>
      <c r="AJ75" s="634"/>
      <c r="AK75" s="634"/>
      <c r="AQ75" s="820"/>
      <c r="AR75" s="820"/>
      <c r="AS75" s="820"/>
      <c r="AT75" s="820"/>
    </row>
    <row r="76" spans="1:46" ht="18">
      <c r="A76" s="839" t="s">
        <v>2844</v>
      </c>
      <c r="B76" s="840">
        <v>6.1062782554017394</v>
      </c>
      <c r="C76" s="840">
        <v>6.4037184671095799</v>
      </c>
      <c r="D76" s="840">
        <v>6.3786938320517299</v>
      </c>
      <c r="E76" s="840">
        <v>6.6333915033320698</v>
      </c>
      <c r="F76" s="841">
        <f>SUM(B76:E76)</f>
        <v>25.522082057895119</v>
      </c>
      <c r="G76" s="840">
        <v>6.9932850609624611</v>
      </c>
      <c r="H76" s="840">
        <v>7.1601985498856298</v>
      </c>
      <c r="I76" s="840">
        <v>7.5306228579343859</v>
      </c>
      <c r="J76" s="840">
        <v>9.221430088972026</v>
      </c>
      <c r="K76" s="849">
        <v>30.905536557754502</v>
      </c>
      <c r="L76" s="840">
        <v>9.7887062107474918</v>
      </c>
      <c r="M76" s="840">
        <v>10.331588741740539</v>
      </c>
      <c r="N76" s="912">
        <v>10.790144382038255</v>
      </c>
      <c r="O76" s="912">
        <v>11.57422069460844</v>
      </c>
      <c r="P76" s="849">
        <v>42.48466002913473</v>
      </c>
      <c r="Q76" s="840">
        <v>12.282309743066916</v>
      </c>
      <c r="R76" s="840">
        <v>13.882633238147825</v>
      </c>
      <c r="S76" s="840">
        <v>67.190534213290562</v>
      </c>
      <c r="T76" s="840">
        <v>97.685385924720791</v>
      </c>
      <c r="U76" s="849">
        <v>191.04086311922609</v>
      </c>
      <c r="V76" s="894"/>
      <c r="W76" s="894"/>
      <c r="X76" s="840"/>
      <c r="Y76" s="840"/>
      <c r="Z76" s="849"/>
      <c r="AC76" s="634"/>
      <c r="AD76" s="634"/>
      <c r="AE76" s="634"/>
      <c r="AF76" s="634"/>
      <c r="AG76" s="634"/>
      <c r="AH76" s="634"/>
      <c r="AI76" s="634"/>
      <c r="AJ76" s="634"/>
      <c r="AK76" s="634"/>
      <c r="AQ76" s="820"/>
      <c r="AR76" s="820"/>
      <c r="AS76" s="820"/>
      <c r="AT76" s="820"/>
    </row>
    <row r="77" spans="1:46" ht="18">
      <c r="A77" s="839" t="s">
        <v>1580</v>
      </c>
      <c r="B77" s="840">
        <v>0</v>
      </c>
      <c r="C77" s="840">
        <v>0</v>
      </c>
      <c r="D77" s="840">
        <v>0</v>
      </c>
      <c r="E77" s="840">
        <v>0</v>
      </c>
      <c r="F77" s="841">
        <f>SUM(B77:E77)</f>
        <v>0</v>
      </c>
      <c r="G77" s="840">
        <v>0</v>
      </c>
      <c r="H77" s="840">
        <v>0</v>
      </c>
      <c r="I77" s="840">
        <v>0</v>
      </c>
      <c r="J77" s="840">
        <v>0</v>
      </c>
      <c r="K77" s="849">
        <v>0</v>
      </c>
      <c r="L77" s="840">
        <v>0</v>
      </c>
      <c r="M77" s="840">
        <v>1.1239362114136E-3</v>
      </c>
      <c r="N77" s="912">
        <v>0</v>
      </c>
      <c r="O77" s="912">
        <v>2.0534921786438873E-2</v>
      </c>
      <c r="P77" s="849">
        <v>2.1658857997852471E-2</v>
      </c>
      <c r="Q77" s="840">
        <v>4.1077506139740819E-3</v>
      </c>
      <c r="R77" s="840">
        <v>5.9506137597025478E-3</v>
      </c>
      <c r="S77" s="840">
        <v>76.873816842952863</v>
      </c>
      <c r="T77" s="840">
        <v>124.42179060152414</v>
      </c>
      <c r="U77" s="849">
        <v>201.30566580885068</v>
      </c>
      <c r="V77" s="894"/>
      <c r="W77" s="894"/>
      <c r="X77" s="840"/>
      <c r="Y77" s="840"/>
      <c r="Z77" s="849"/>
      <c r="AC77" s="634"/>
      <c r="AD77" s="634"/>
      <c r="AE77" s="634"/>
      <c r="AF77" s="634"/>
      <c r="AG77" s="634"/>
      <c r="AH77" s="634"/>
      <c r="AI77" s="634"/>
      <c r="AJ77" s="634"/>
      <c r="AK77" s="634"/>
      <c r="AQ77" s="820"/>
      <c r="AR77" s="820"/>
      <c r="AS77" s="820"/>
      <c r="AT77" s="820"/>
    </row>
    <row r="78" spans="1:46" ht="18">
      <c r="A78" s="839" t="s">
        <v>1540</v>
      </c>
      <c r="B78" s="840">
        <v>1.2215726209103754</v>
      </c>
      <c r="C78" s="840">
        <v>1.5044685281560446</v>
      </c>
      <c r="D78" s="840">
        <v>1.6117785304212904</v>
      </c>
      <c r="E78" s="840">
        <v>1.7948113503721987</v>
      </c>
      <c r="F78" s="841">
        <f>SUM(B78:E78)</f>
        <v>6.1326310298599092</v>
      </c>
      <c r="G78" s="840">
        <v>1.8844680709897053</v>
      </c>
      <c r="H78" s="840">
        <v>1.9641916028818271</v>
      </c>
      <c r="I78" s="840">
        <v>2.5322843623158353</v>
      </c>
      <c r="J78" s="840">
        <v>2.8786835978286915</v>
      </c>
      <c r="K78" s="849">
        <v>9.2596276340160593</v>
      </c>
      <c r="L78" s="840">
        <v>1.0393753332774718</v>
      </c>
      <c r="M78" s="840">
        <v>0.72573472716829401</v>
      </c>
      <c r="N78" s="912">
        <v>3.0588391667724699</v>
      </c>
      <c r="O78" s="912">
        <v>2.0032227650084899</v>
      </c>
      <c r="P78" s="849">
        <v>1.3692570078731583</v>
      </c>
      <c r="Q78" s="840">
        <v>2.3922149163471613</v>
      </c>
      <c r="R78" s="840">
        <v>2.3963803049815255</v>
      </c>
      <c r="S78" s="840">
        <v>20.019302475379359</v>
      </c>
      <c r="T78" s="840">
        <v>32.014576846234213</v>
      </c>
      <c r="U78" s="849">
        <v>56.82247454294226</v>
      </c>
      <c r="V78" s="894"/>
      <c r="W78" s="894"/>
      <c r="X78" s="840"/>
      <c r="Y78" s="840"/>
      <c r="Z78" s="849"/>
      <c r="AC78" s="634"/>
      <c r="AD78" s="634"/>
      <c r="AE78" s="634"/>
      <c r="AF78" s="634"/>
      <c r="AG78" s="634"/>
      <c r="AH78" s="634"/>
      <c r="AI78" s="634"/>
      <c r="AJ78" s="634"/>
      <c r="AK78" s="634"/>
      <c r="AQ78" s="820"/>
      <c r="AR78" s="820"/>
      <c r="AS78" s="820"/>
      <c r="AT78" s="820"/>
    </row>
    <row r="79" spans="1:46" ht="18">
      <c r="A79" s="839"/>
      <c r="B79" s="840"/>
      <c r="C79" s="840"/>
      <c r="D79" s="840"/>
      <c r="E79" s="840"/>
      <c r="F79" s="834"/>
      <c r="G79" s="840"/>
      <c r="H79" s="840"/>
      <c r="I79" s="840"/>
      <c r="J79" s="840"/>
      <c r="K79" s="849"/>
      <c r="L79" s="840"/>
      <c r="M79" s="840"/>
      <c r="N79" s="912"/>
      <c r="O79" s="912"/>
      <c r="P79" s="849"/>
      <c r="Q79" s="840"/>
      <c r="R79" s="840"/>
      <c r="S79" s="840"/>
      <c r="T79" s="840"/>
      <c r="U79" s="849"/>
      <c r="V79" s="894"/>
      <c r="W79" s="894"/>
      <c r="X79" s="840"/>
      <c r="Y79" s="840"/>
      <c r="Z79" s="849"/>
    </row>
    <row r="80" spans="1:46" ht="18">
      <c r="A80" s="825" t="s">
        <v>2848</v>
      </c>
      <c r="B80" s="833">
        <v>3.6723367302520202</v>
      </c>
      <c r="C80" s="833">
        <v>4.0078712922077306</v>
      </c>
      <c r="D80" s="833">
        <v>3.92101468315427</v>
      </c>
      <c r="E80" s="833">
        <v>4.0737348315241899</v>
      </c>
      <c r="F80" s="834">
        <f>SUM(B80:E80)</f>
        <v>15.67495753713821</v>
      </c>
      <c r="G80" s="833">
        <v>4.1008997531555273</v>
      </c>
      <c r="H80" s="833">
        <v>3.8732072383853908</v>
      </c>
      <c r="I80" s="833">
        <v>3.9435986463792974</v>
      </c>
      <c r="J80" s="833">
        <v>18.78741745582672</v>
      </c>
      <c r="K80" s="834">
        <v>30.705123093746931</v>
      </c>
      <c r="L80" s="833">
        <v>21.988831606849224</v>
      </c>
      <c r="M80" s="833">
        <v>22.575206277894431</v>
      </c>
      <c r="N80" s="911">
        <v>23.162753734986776</v>
      </c>
      <c r="O80" s="911">
        <v>27.457821794775914</v>
      </c>
      <c r="P80" s="834">
        <v>95.184613414506359</v>
      </c>
      <c r="Q80" s="833">
        <v>27.719613729831401</v>
      </c>
      <c r="R80" s="833">
        <v>30.112186232958699</v>
      </c>
      <c r="S80" s="833">
        <v>124.08699486354519</v>
      </c>
      <c r="T80" s="833">
        <v>191.81058176837152</v>
      </c>
      <c r="U80" s="834">
        <v>373.72937659470676</v>
      </c>
      <c r="V80" s="946"/>
      <c r="W80" s="946"/>
      <c r="X80" s="833"/>
      <c r="Y80" s="833"/>
      <c r="Z80" s="834"/>
      <c r="AQ80" s="821"/>
      <c r="AR80" s="821"/>
      <c r="AS80" s="821"/>
      <c r="AT80" s="821"/>
    </row>
    <row r="81" spans="1:46" ht="18">
      <c r="A81" s="839" t="s">
        <v>2587</v>
      </c>
      <c r="B81" s="840">
        <v>0</v>
      </c>
      <c r="C81" s="840">
        <v>0</v>
      </c>
      <c r="D81" s="840">
        <v>0</v>
      </c>
      <c r="E81" s="840">
        <v>0</v>
      </c>
      <c r="F81" s="841">
        <f>SUM(B81:E81)</f>
        <v>0</v>
      </c>
      <c r="G81" s="840">
        <v>0</v>
      </c>
      <c r="H81" s="840">
        <v>0</v>
      </c>
      <c r="I81" s="840">
        <v>0</v>
      </c>
      <c r="J81" s="840">
        <v>13.542830730894901</v>
      </c>
      <c r="K81" s="849">
        <v>13.542830730894901</v>
      </c>
      <c r="L81" s="840">
        <v>16.021966775651002</v>
      </c>
      <c r="M81" s="840">
        <v>16.6680138668792</v>
      </c>
      <c r="N81" s="912">
        <v>17.205264714361402</v>
      </c>
      <c r="O81" s="912">
        <v>21.09053088105567</v>
      </c>
      <c r="P81" s="849">
        <v>70.985776237947277</v>
      </c>
      <c r="Q81" s="840">
        <v>21.037042104820578</v>
      </c>
      <c r="R81" s="840">
        <v>22.61215221222546</v>
      </c>
      <c r="S81" s="840">
        <v>46.397860203154167</v>
      </c>
      <c r="T81" s="840">
        <v>64.116737490858981</v>
      </c>
      <c r="U81" s="849">
        <v>154.16379201105917</v>
      </c>
      <c r="V81" s="894"/>
      <c r="W81" s="894"/>
      <c r="X81" s="840"/>
      <c r="Y81" s="840"/>
      <c r="Z81" s="849"/>
      <c r="AQ81" s="820"/>
      <c r="AR81" s="820"/>
      <c r="AS81" s="820"/>
      <c r="AT81" s="820"/>
    </row>
    <row r="82" spans="1:46" ht="18">
      <c r="A82" s="839" t="s">
        <v>2844</v>
      </c>
      <c r="B82" s="840">
        <v>3.6723367302520202</v>
      </c>
      <c r="C82" s="840">
        <v>4.0078712922077306</v>
      </c>
      <c r="D82" s="840">
        <v>3.92101468315427</v>
      </c>
      <c r="E82" s="840">
        <v>4.0737348315241899</v>
      </c>
      <c r="F82" s="841">
        <f>SUM(B82:E82)</f>
        <v>15.67495753713821</v>
      </c>
      <c r="G82" s="840">
        <v>4.1009072198725871</v>
      </c>
      <c r="H82" s="840">
        <v>3.873205643701005</v>
      </c>
      <c r="I82" s="840">
        <v>3.935526441312474</v>
      </c>
      <c r="J82" s="840">
        <v>5.242871372150435</v>
      </c>
      <c r="K82" s="849">
        <v>17.152510677036503</v>
      </c>
      <c r="L82" s="840">
        <v>5.966864831198226</v>
      </c>
      <c r="M82" s="840">
        <v>5.9060684748038161</v>
      </c>
      <c r="N82" s="912">
        <v>5.9574890206253768</v>
      </c>
      <c r="O82" s="912">
        <v>6.3554367285474056</v>
      </c>
      <c r="P82" s="849">
        <v>24.185859055174824</v>
      </c>
      <c r="Q82" s="840">
        <v>6.6825142217195719</v>
      </c>
      <c r="R82" s="840">
        <v>7.4816465907651439</v>
      </c>
      <c r="S82" s="840">
        <v>42.601098888782715</v>
      </c>
      <c r="T82" s="840">
        <v>68.415360537570891</v>
      </c>
      <c r="U82" s="849">
        <v>125.18062023883833</v>
      </c>
      <c r="V82" s="894"/>
      <c r="W82" s="894"/>
      <c r="X82" s="840"/>
      <c r="Y82" s="840"/>
      <c r="Z82" s="849"/>
      <c r="AQ82" s="820"/>
      <c r="AR82" s="820"/>
      <c r="AS82" s="820"/>
      <c r="AT82" s="820"/>
    </row>
    <row r="83" spans="1:46" ht="18">
      <c r="A83" s="839" t="s">
        <v>1580</v>
      </c>
      <c r="B83" s="840">
        <v>0</v>
      </c>
      <c r="C83" s="840">
        <v>0</v>
      </c>
      <c r="D83" s="840">
        <v>0</v>
      </c>
      <c r="E83" s="840">
        <v>0</v>
      </c>
      <c r="F83" s="841">
        <f>SUM(B83:E83)</f>
        <v>0</v>
      </c>
      <c r="G83" s="840">
        <v>0</v>
      </c>
      <c r="H83" s="840">
        <v>0</v>
      </c>
      <c r="I83" s="840">
        <v>0</v>
      </c>
      <c r="J83" s="840">
        <v>0</v>
      </c>
      <c r="K83" s="849">
        <v>0</v>
      </c>
      <c r="L83" s="840">
        <v>0</v>
      </c>
      <c r="M83" s="840">
        <v>1.1239362114136E-3</v>
      </c>
      <c r="N83" s="912">
        <v>0</v>
      </c>
      <c r="O83" s="912">
        <v>1.18541851728354E-2</v>
      </c>
      <c r="P83" s="849">
        <v>1.2978121384249001E-2</v>
      </c>
      <c r="Q83" s="840">
        <v>5.7403291253381404E-5</v>
      </c>
      <c r="R83" s="840">
        <v>2.4484689515529E-6</v>
      </c>
      <c r="S83" s="840">
        <v>34.654998003156798</v>
      </c>
      <c r="T83" s="840">
        <v>58.220828242112404</v>
      </c>
      <c r="U83" s="849">
        <v>92.875881200091513</v>
      </c>
      <c r="V83" s="894"/>
      <c r="W83" s="894"/>
      <c r="X83" s="840"/>
      <c r="Y83" s="840"/>
      <c r="Z83" s="849"/>
      <c r="AQ83" s="820"/>
      <c r="AR83" s="820"/>
      <c r="AS83" s="820"/>
      <c r="AT83" s="820"/>
    </row>
    <row r="84" spans="1:46" ht="18">
      <c r="A84" s="839" t="s">
        <v>1540</v>
      </c>
      <c r="B84" s="840">
        <v>0</v>
      </c>
      <c r="C84" s="840">
        <v>0</v>
      </c>
      <c r="D84" s="840">
        <v>0</v>
      </c>
      <c r="E84" s="840">
        <v>0</v>
      </c>
      <c r="F84" s="841">
        <f>SUM(B84:E84)</f>
        <v>0</v>
      </c>
      <c r="G84" s="840">
        <v>0</v>
      </c>
      <c r="H84" s="840">
        <v>0</v>
      </c>
      <c r="I84" s="840">
        <v>8.0722050668230703E-3</v>
      </c>
      <c r="J84" s="840">
        <v>1.71535278138072E-3</v>
      </c>
      <c r="K84" s="849">
        <v>9.7816858155290488E-3</v>
      </c>
      <c r="L84" s="840">
        <v>0</v>
      </c>
      <c r="M84" s="840">
        <v>0</v>
      </c>
      <c r="N84" s="912">
        <v>0</v>
      </c>
      <c r="O84" s="912">
        <v>0</v>
      </c>
      <c r="P84" s="849">
        <v>0</v>
      </c>
      <c r="Q84" s="840">
        <v>0</v>
      </c>
      <c r="R84" s="840">
        <v>1.8389878437047799E-2</v>
      </c>
      <c r="S84" s="840">
        <v>0.43303776845151903</v>
      </c>
      <c r="T84" s="840">
        <v>1.0576554978292299</v>
      </c>
      <c r="U84" s="849">
        <v>1.5090831447177968</v>
      </c>
      <c r="V84" s="894"/>
      <c r="W84" s="894"/>
      <c r="X84" s="840"/>
      <c r="Y84" s="840"/>
      <c r="Z84" s="849"/>
      <c r="AQ84" s="820"/>
      <c r="AR84" s="820"/>
      <c r="AS84" s="820"/>
      <c r="AT84" s="820"/>
    </row>
    <row r="85" spans="1:46" ht="18">
      <c r="A85" s="825" t="s">
        <v>2852</v>
      </c>
      <c r="B85" s="845"/>
      <c r="C85" s="845"/>
      <c r="D85" s="845"/>
      <c r="E85" s="845"/>
      <c r="F85" s="846">
        <v>27.619010381379709</v>
      </c>
      <c r="G85" s="845">
        <v>0</v>
      </c>
      <c r="H85" s="845">
        <v>0</v>
      </c>
      <c r="I85" s="845">
        <v>0</v>
      </c>
      <c r="J85" s="845">
        <v>46.740368890627245</v>
      </c>
      <c r="K85" s="846">
        <v>46.7</v>
      </c>
      <c r="L85" s="845">
        <v>53.2</v>
      </c>
      <c r="M85" s="845"/>
      <c r="N85" s="913">
        <v>42.119794834569184</v>
      </c>
      <c r="O85" s="913">
        <v>46.239892660208234</v>
      </c>
      <c r="P85" s="834"/>
      <c r="Q85" s="845">
        <v>47.888165320539997</v>
      </c>
      <c r="R85" s="845"/>
      <c r="S85" s="845"/>
      <c r="T85" s="845"/>
      <c r="U85" s="834"/>
      <c r="V85" s="946"/>
      <c r="W85" s="946"/>
      <c r="X85" s="845"/>
      <c r="Y85" s="845"/>
      <c r="Z85" s="834"/>
    </row>
    <row r="86" spans="1:46" ht="18">
      <c r="A86" s="839"/>
      <c r="B86" s="840"/>
      <c r="C86" s="840"/>
      <c r="D86" s="840"/>
      <c r="E86" s="840"/>
      <c r="F86" s="849"/>
      <c r="G86" s="840"/>
      <c r="H86" s="840"/>
      <c r="I86" s="840"/>
      <c r="J86" s="840"/>
      <c r="K86" s="849"/>
      <c r="L86" s="840"/>
      <c r="M86" s="840"/>
      <c r="N86" s="912"/>
      <c r="O86" s="912"/>
      <c r="P86" s="849"/>
      <c r="Q86" s="840"/>
      <c r="R86" s="840"/>
      <c r="S86" s="840"/>
      <c r="T86" s="840"/>
      <c r="U86" s="849"/>
      <c r="V86" s="894"/>
      <c r="W86" s="894"/>
      <c r="X86" s="840"/>
      <c r="Y86" s="840"/>
      <c r="Z86" s="849"/>
    </row>
    <row r="87" spans="1:46" ht="18">
      <c r="A87" s="825" t="s">
        <v>2854</v>
      </c>
      <c r="B87" s="833">
        <v>3.6555141460600953</v>
      </c>
      <c r="C87" s="833">
        <v>3.900315703057895</v>
      </c>
      <c r="D87" s="833">
        <v>4.0694576793187505</v>
      </c>
      <c r="E87" s="833">
        <v>4.3544680221800771</v>
      </c>
      <c r="F87" s="834">
        <f>SUM(B87:E87)</f>
        <v>15.979755550616817</v>
      </c>
      <c r="G87" s="833">
        <v>4.7768533787966385</v>
      </c>
      <c r="H87" s="833">
        <v>5.251182914382067</v>
      </c>
      <c r="I87" s="833">
        <v>6.1193085738709234</v>
      </c>
      <c r="J87" s="833">
        <v>6.8555269618689021</v>
      </c>
      <c r="K87" s="834">
        <v>23.002871828918529</v>
      </c>
      <c r="L87" s="833">
        <v>3.91940889806552</v>
      </c>
      <c r="M87" s="833">
        <v>2.6157561620549701</v>
      </c>
      <c r="N87" s="911">
        <v>6.0368573183445395</v>
      </c>
      <c r="O87" s="911">
        <v>1.50457429801345</v>
      </c>
      <c r="P87" s="849">
        <v>14.076596676478479</v>
      </c>
      <c r="Q87" s="833">
        <v>5.6474012218712097</v>
      </c>
      <c r="R87" s="833">
        <v>6.5342220588797701</v>
      </c>
      <c r="S87" s="833">
        <v>87.373259215408495</v>
      </c>
      <c r="T87" s="833">
        <v>128.15896729448312</v>
      </c>
      <c r="U87" s="849">
        <v>232.31321743106463</v>
      </c>
      <c r="V87" s="894"/>
      <c r="W87" s="894"/>
      <c r="X87" s="833"/>
      <c r="Y87" s="833"/>
      <c r="Z87" s="849"/>
      <c r="AQ87" s="821"/>
      <c r="AR87" s="821"/>
      <c r="AS87" s="821"/>
      <c r="AT87" s="821"/>
    </row>
    <row r="88" spans="1:46" ht="18">
      <c r="A88" s="839" t="s">
        <v>2587</v>
      </c>
      <c r="B88" s="840">
        <v>0</v>
      </c>
      <c r="C88" s="840">
        <v>0</v>
      </c>
      <c r="D88" s="840">
        <v>0</v>
      </c>
      <c r="E88" s="840">
        <v>0</v>
      </c>
      <c r="F88" s="841">
        <f>SUM(B88:E88)</f>
        <v>0</v>
      </c>
      <c r="G88" s="840">
        <v>0</v>
      </c>
      <c r="H88" s="840">
        <v>0</v>
      </c>
      <c r="I88" s="840">
        <v>0</v>
      </c>
      <c r="J88" s="840">
        <v>0</v>
      </c>
      <c r="K88" s="849">
        <v>0</v>
      </c>
      <c r="L88" s="840">
        <v>0</v>
      </c>
      <c r="M88" s="840">
        <v>0</v>
      </c>
      <c r="N88" s="912">
        <v>0</v>
      </c>
      <c r="O88" s="912">
        <v>0</v>
      </c>
      <c r="P88" s="849">
        <v>0</v>
      </c>
      <c r="Q88" s="840">
        <v>0</v>
      </c>
      <c r="R88" s="840">
        <v>0</v>
      </c>
      <c r="S88" s="840">
        <v>0.97874034417673705</v>
      </c>
      <c r="T88" s="840">
        <v>1.73105819951652</v>
      </c>
      <c r="U88" s="849">
        <v>2.7097985436932572</v>
      </c>
      <c r="V88" s="894"/>
      <c r="W88" s="894"/>
      <c r="X88" s="840"/>
      <c r="Y88" s="840"/>
      <c r="Z88" s="849"/>
      <c r="AQ88" s="820"/>
      <c r="AR88" s="820"/>
      <c r="AS88" s="820"/>
      <c r="AT88" s="820"/>
    </row>
    <row r="89" spans="1:46" ht="18">
      <c r="A89" s="839" t="s">
        <v>2844</v>
      </c>
      <c r="B89" s="840">
        <v>2.4339415251497192</v>
      </c>
      <c r="C89" s="840">
        <v>2.3958471749018497</v>
      </c>
      <c r="D89" s="840">
        <v>2.4576791488974599</v>
      </c>
      <c r="E89" s="840">
        <v>2.5596566718078799</v>
      </c>
      <c r="F89" s="841">
        <f>SUM(B89:E89)</f>
        <v>9.8471245207569105</v>
      </c>
      <c r="G89" s="840">
        <v>2.8923778410898739</v>
      </c>
      <c r="H89" s="840">
        <v>3.2869929061846257</v>
      </c>
      <c r="I89" s="840">
        <v>3.5950964166219115</v>
      </c>
      <c r="J89" s="840">
        <v>3.9785587168215901</v>
      </c>
      <c r="K89" s="849">
        <v>13.753025880717999</v>
      </c>
      <c r="L89" s="840">
        <v>3.8218413795492654</v>
      </c>
      <c r="M89" s="840">
        <v>4.425520266936724</v>
      </c>
      <c r="N89" s="912">
        <v>4.83265536141288</v>
      </c>
      <c r="O89" s="912">
        <v>5.2187839660610358</v>
      </c>
      <c r="P89" s="849">
        <v>18.298800973959906</v>
      </c>
      <c r="Q89" s="840">
        <v>5.5997955213473452</v>
      </c>
      <c r="R89" s="840">
        <v>6.4009866473826822</v>
      </c>
      <c r="S89" s="840">
        <v>24.589435324507846</v>
      </c>
      <c r="T89" s="840">
        <v>29.270025387149893</v>
      </c>
      <c r="U89" s="849">
        <v>65.860242880387759</v>
      </c>
      <c r="V89" s="894"/>
      <c r="W89" s="894"/>
      <c r="X89" s="840"/>
      <c r="Y89" s="840"/>
      <c r="Z89" s="849"/>
      <c r="AQ89" s="820"/>
      <c r="AR89" s="820"/>
      <c r="AS89" s="820"/>
      <c r="AT89" s="820"/>
    </row>
    <row r="90" spans="1:46" ht="18">
      <c r="A90" s="839" t="s">
        <v>1580</v>
      </c>
      <c r="B90" s="840">
        <v>0</v>
      </c>
      <c r="C90" s="840">
        <v>0</v>
      </c>
      <c r="D90" s="840">
        <v>0</v>
      </c>
      <c r="E90" s="840">
        <v>0</v>
      </c>
      <c r="F90" s="841">
        <f>SUM(B90:E90)</f>
        <v>0</v>
      </c>
      <c r="G90" s="840">
        <v>0</v>
      </c>
      <c r="H90" s="840">
        <v>0</v>
      </c>
      <c r="I90" s="840">
        <v>0</v>
      </c>
      <c r="J90" s="840">
        <v>0</v>
      </c>
      <c r="K90" s="849">
        <v>0</v>
      </c>
      <c r="L90" s="840">
        <v>0</v>
      </c>
      <c r="M90" s="840">
        <v>0</v>
      </c>
      <c r="N90" s="912">
        <v>0</v>
      </c>
      <c r="O90" s="912">
        <v>8.6807366136034698E-3</v>
      </c>
      <c r="P90" s="849">
        <v>8.6807366136034698E-3</v>
      </c>
      <c r="Q90" s="840">
        <v>4.0503473227207001E-3</v>
      </c>
      <c r="R90" s="840">
        <v>5.9530622286541003E-3</v>
      </c>
      <c r="S90" s="840">
        <v>42.218818839796064</v>
      </c>
      <c r="T90" s="840">
        <v>66.200962359411733</v>
      </c>
      <c r="U90" s="849">
        <v>108.42978460875916</v>
      </c>
      <c r="V90" s="894"/>
      <c r="W90" s="894"/>
      <c r="X90" s="840"/>
      <c r="Y90" s="840"/>
      <c r="Z90" s="849"/>
      <c r="AQ90" s="820"/>
      <c r="AR90" s="820"/>
      <c r="AS90" s="820"/>
      <c r="AT90" s="820"/>
    </row>
    <row r="91" spans="1:46" ht="18">
      <c r="A91" s="839" t="s">
        <v>1540</v>
      </c>
      <c r="B91" s="840">
        <v>1.2215726209103754</v>
      </c>
      <c r="C91" s="840">
        <v>1.5044685281560446</v>
      </c>
      <c r="D91" s="840">
        <v>1.6117785304212904</v>
      </c>
      <c r="E91" s="840">
        <v>1.7948113503721987</v>
      </c>
      <c r="F91" s="841">
        <f>SUM(B91:E91)</f>
        <v>6.1326310298599092</v>
      </c>
      <c r="G91" s="840">
        <v>1.8844755377067655</v>
      </c>
      <c r="H91" s="840">
        <v>1.9641900081974417</v>
      </c>
      <c r="I91" s="840">
        <v>2.5242121572490119</v>
      </c>
      <c r="J91" s="840">
        <v>2.8769682450473111</v>
      </c>
      <c r="K91" s="849">
        <v>9.2498459482005302</v>
      </c>
      <c r="L91" s="840">
        <v>1.0393753332774718</v>
      </c>
      <c r="M91" s="840">
        <v>0.72573472716829401</v>
      </c>
      <c r="N91" s="912">
        <v>3.0588391667724699</v>
      </c>
      <c r="O91" s="912">
        <v>2.0032227650084899</v>
      </c>
      <c r="P91" s="849">
        <v>1.3692570078731583</v>
      </c>
      <c r="Q91" s="840">
        <v>2.3922149163471613</v>
      </c>
      <c r="R91" s="840">
        <v>2.377990426544478</v>
      </c>
      <c r="S91" s="840">
        <v>19.586264706927839</v>
      </c>
      <c r="T91" s="840">
        <v>30.956921348404983</v>
      </c>
      <c r="U91" s="849">
        <v>55.313391398224461</v>
      </c>
      <c r="V91" s="894"/>
      <c r="W91" s="894"/>
      <c r="X91" s="840"/>
      <c r="Y91" s="840"/>
      <c r="Z91" s="849"/>
      <c r="AQ91" s="820"/>
      <c r="AR91" s="820"/>
      <c r="AS91" s="820"/>
      <c r="AT91" s="820"/>
    </row>
    <row r="92" spans="1:46" ht="18">
      <c r="A92" s="839"/>
      <c r="B92" s="840"/>
      <c r="C92" s="840"/>
      <c r="D92" s="840"/>
      <c r="E92" s="840"/>
      <c r="F92" s="849"/>
      <c r="G92" s="840"/>
      <c r="H92" s="840"/>
      <c r="I92" s="840"/>
      <c r="J92" s="840"/>
      <c r="K92" s="849"/>
      <c r="L92" s="840"/>
      <c r="M92" s="840"/>
      <c r="N92" s="912"/>
      <c r="O92" s="912">
        <v>0</v>
      </c>
      <c r="P92" s="849"/>
      <c r="Q92" s="840"/>
      <c r="R92" s="840"/>
      <c r="S92" s="840"/>
      <c r="T92" s="840"/>
      <c r="U92" s="849"/>
      <c r="V92" s="894"/>
      <c r="W92" s="894"/>
      <c r="X92" s="840"/>
      <c r="Y92" s="840"/>
      <c r="Z92" s="849"/>
    </row>
    <row r="93" spans="1:46" ht="18">
      <c r="A93" s="825" t="s">
        <v>2702</v>
      </c>
      <c r="B93" s="833">
        <v>0.58983548909745109</v>
      </c>
      <c r="C93" s="833">
        <v>1.0317939743537901</v>
      </c>
      <c r="D93" s="833">
        <v>1.5827998662126199</v>
      </c>
      <c r="E93" s="833">
        <v>2.1559168984633601</v>
      </c>
      <c r="F93" s="834">
        <f>SUM(B93:E93)</f>
        <v>5.3603462281272209</v>
      </c>
      <c r="G93" s="833">
        <v>2.34527333917891</v>
      </c>
      <c r="H93" s="833">
        <v>2.8793816784119035</v>
      </c>
      <c r="I93" s="833">
        <v>3.6269102298801723</v>
      </c>
      <c r="J93" s="833">
        <v>4.6171762918353458</v>
      </c>
      <c r="K93" s="834">
        <v>13.468741539306331</v>
      </c>
      <c r="L93" s="833">
        <v>5.0109141807096815</v>
      </c>
      <c r="M93" s="833">
        <v>5.590225217861736</v>
      </c>
      <c r="N93" s="911">
        <v>6.0416501822373654</v>
      </c>
      <c r="O93" s="911">
        <v>7.0245309064946415</v>
      </c>
      <c r="P93" s="834">
        <v>23.667320487303428</v>
      </c>
      <c r="Q93" s="833">
        <v>6.7143280651272015</v>
      </c>
      <c r="R93" s="833">
        <v>7.4313895685363613</v>
      </c>
      <c r="S93" s="833">
        <v>8.1833816556680965</v>
      </c>
      <c r="T93" s="833">
        <v>10.045960290788347</v>
      </c>
      <c r="U93" s="834">
        <v>32.375059580120009</v>
      </c>
      <c r="V93" s="946">
        <v>8.4011512305022205</v>
      </c>
      <c r="W93" s="946">
        <v>7.7007053004004398</v>
      </c>
      <c r="X93" s="946">
        <v>7.1920068943885296</v>
      </c>
      <c r="Y93" s="857">
        <v>6.4580053161311302</v>
      </c>
      <c r="Z93" s="834">
        <f>SA!P81</f>
        <v>30</v>
      </c>
      <c r="AQ93" s="821"/>
      <c r="AR93" s="821"/>
      <c r="AS93" s="821"/>
      <c r="AT93" s="821"/>
    </row>
    <row r="94" spans="1:46" ht="18">
      <c r="A94" s="825" t="s">
        <v>2860</v>
      </c>
      <c r="B94" s="915"/>
      <c r="C94" s="915"/>
      <c r="D94" s="915"/>
      <c r="E94" s="915"/>
      <c r="F94" s="846">
        <v>1.3</v>
      </c>
      <c r="G94" s="915">
        <v>1.4560204794926255</v>
      </c>
      <c r="H94" s="915">
        <v>1.5366797656251736</v>
      </c>
      <c r="I94" s="915">
        <v>1.6797963250408827</v>
      </c>
      <c r="J94" s="915">
        <v>1.8381543214229541</v>
      </c>
      <c r="K94" s="916">
        <v>1.6102434097098197</v>
      </c>
      <c r="L94" s="915">
        <v>1.7600887009174342</v>
      </c>
      <c r="M94" s="915"/>
      <c r="N94" s="913">
        <v>1.810978631713944</v>
      </c>
      <c r="O94" s="913">
        <v>1.9049020012283415</v>
      </c>
      <c r="P94" s="834"/>
      <c r="Q94" s="915">
        <v>1.7530555409023572</v>
      </c>
      <c r="R94" s="915"/>
      <c r="S94" s="915"/>
      <c r="T94" s="915"/>
      <c r="U94" s="834"/>
      <c r="V94" s="946"/>
      <c r="W94" s="946"/>
      <c r="X94" s="915"/>
      <c r="Y94" s="915"/>
      <c r="Z94" s="834"/>
    </row>
    <row r="95" spans="1:46" ht="18">
      <c r="A95" s="825"/>
      <c r="B95" s="868"/>
      <c r="C95" s="868"/>
      <c r="D95" s="868"/>
      <c r="E95" s="868"/>
      <c r="F95" s="849"/>
      <c r="G95" s="868"/>
      <c r="H95" s="868"/>
      <c r="I95" s="868"/>
      <c r="J95" s="868"/>
      <c r="K95" s="841"/>
      <c r="L95" s="868"/>
      <c r="M95" s="868"/>
      <c r="N95" s="917"/>
      <c r="O95" s="917"/>
      <c r="P95" s="849"/>
      <c r="Q95" s="868"/>
      <c r="R95" s="868"/>
      <c r="S95" s="868"/>
      <c r="T95" s="868"/>
      <c r="U95" s="849"/>
      <c r="V95" s="894"/>
      <c r="W95" s="894"/>
      <c r="X95" s="868"/>
      <c r="Y95" s="868"/>
      <c r="Z95" s="849"/>
    </row>
    <row r="96" spans="1:46" ht="18">
      <c r="A96" s="905" t="s">
        <v>2861</v>
      </c>
      <c r="B96" s="906">
        <v>24.204260627351498</v>
      </c>
      <c r="C96" s="906">
        <v>29.499152761295242</v>
      </c>
      <c r="D96" s="906">
        <v>28.417160570296414</v>
      </c>
      <c r="E96" s="906">
        <v>32.146121652788864</v>
      </c>
      <c r="F96" s="907">
        <f>SUM(B96:E96)</f>
        <v>114.26669561173202</v>
      </c>
      <c r="G96" s="906">
        <v>32.298706393981121</v>
      </c>
      <c r="H96" s="906">
        <v>35.307301570089187</v>
      </c>
      <c r="I96" s="906">
        <v>33.856362907498912</v>
      </c>
      <c r="J96" s="906">
        <v>44.392319921230374</v>
      </c>
      <c r="K96" s="908">
        <v>145.85469079279957</v>
      </c>
      <c r="L96" s="906">
        <v>44.360328225776229</v>
      </c>
      <c r="M96" s="906">
        <v>46.697548510558974</v>
      </c>
      <c r="N96" s="918">
        <v>41.239207239123466</v>
      </c>
      <c r="O96" s="918">
        <v>48.669567110928348</v>
      </c>
      <c r="P96" s="908">
        <v>180.96665108638703</v>
      </c>
      <c r="Q96" s="906">
        <v>42.011593615679303</v>
      </c>
      <c r="R96" s="906">
        <v>55.911482222175792</v>
      </c>
      <c r="S96" s="906">
        <v>82.143749348942833</v>
      </c>
      <c r="T96" s="906">
        <v>125.2626576599137</v>
      </c>
      <c r="U96" s="908">
        <v>305.32948284671164</v>
      </c>
      <c r="V96" s="948">
        <v>93.552649028151791</v>
      </c>
      <c r="W96" s="906">
        <v>92.859375409653921</v>
      </c>
      <c r="X96" s="906">
        <v>78.24716121787273</v>
      </c>
      <c r="Y96" s="943">
        <v>82.734904083675019</v>
      </c>
      <c r="Z96" s="908">
        <f ca="1">Colombia!L43+SA!P59+Colombia!L218</f>
        <v>464.38427768890176</v>
      </c>
      <c r="AQ96" s="820"/>
      <c r="AR96" s="820"/>
      <c r="AS96" s="820"/>
      <c r="AT96" s="820"/>
    </row>
    <row r="97" spans="1:46" ht="18">
      <c r="A97" s="839"/>
      <c r="B97" s="787"/>
      <c r="C97" s="787"/>
      <c r="D97" s="787"/>
      <c r="E97" s="787"/>
      <c r="F97" s="830"/>
      <c r="G97" s="787"/>
      <c r="H97" s="787"/>
      <c r="I97" s="787"/>
      <c r="J97" s="787"/>
      <c r="K97" s="830"/>
      <c r="L97" s="787"/>
      <c r="M97" s="787"/>
      <c r="N97" s="787"/>
      <c r="O97" s="787"/>
      <c r="P97" s="830"/>
      <c r="Q97" s="787"/>
      <c r="R97" s="787"/>
      <c r="S97" s="787"/>
      <c r="T97" s="787"/>
      <c r="U97" s="830"/>
      <c r="V97" s="787"/>
      <c r="W97" s="787"/>
      <c r="X97" s="787"/>
      <c r="Y97" s="787"/>
      <c r="Z97" s="830"/>
    </row>
    <row r="98" spans="1:46" ht="18">
      <c r="A98" s="825" t="s">
        <v>2865</v>
      </c>
      <c r="B98" s="787"/>
      <c r="C98" s="787"/>
      <c r="D98" s="787"/>
      <c r="E98" s="787"/>
      <c r="F98" s="830"/>
      <c r="G98" s="829">
        <f>G99+G105+G124+G127</f>
        <v>228.00834850688074</v>
      </c>
      <c r="H98" s="829">
        <f>H99+H105+H124+H127</f>
        <v>229.12442378349027</v>
      </c>
      <c r="I98" s="829">
        <f>I99+I105+I124+I127</f>
        <v>237.27730505431066</v>
      </c>
      <c r="J98" s="829">
        <f>J99+J105+J124+J127</f>
        <v>237.5063566274363</v>
      </c>
      <c r="K98" s="830"/>
      <c r="L98" s="829">
        <f>L99+L105+L124+L127</f>
        <v>227.63012695829912</v>
      </c>
      <c r="M98" s="829">
        <f>M99+M105+M124+M127</f>
        <v>225.59959654371391</v>
      </c>
      <c r="N98" s="829">
        <f>N99+N105+N124+N127</f>
        <v>246.29089078607552</v>
      </c>
      <c r="O98" s="829">
        <f>O99+O105+O124+O127</f>
        <v>256.72470197310457</v>
      </c>
      <c r="P98" s="830"/>
      <c r="Q98" s="829">
        <f>Q99+Q105+Q124+Q127</f>
        <v>244.1156269457644</v>
      </c>
      <c r="R98" s="829">
        <f>R99+R105+R124+R127</f>
        <v>244.3161416034109</v>
      </c>
      <c r="S98" s="829">
        <f>S99+S105+S124+S127</f>
        <v>254.71749258292309</v>
      </c>
      <c r="T98" s="829">
        <f>T99+T105+T124+T127</f>
        <v>256.49292259283925</v>
      </c>
      <c r="U98" s="830"/>
      <c r="V98" s="829">
        <f>V99+V105+V124+V127</f>
        <v>248.07761434435076</v>
      </c>
      <c r="W98" s="829">
        <f>W99+W105+W124+W127</f>
        <v>240.03951978216935</v>
      </c>
      <c r="X98" s="829">
        <f>X99+X105+X124+X127</f>
        <v>241.20763346316994</v>
      </c>
      <c r="Y98" s="829">
        <f>Y99+Y105+Y124+Y127</f>
        <v>258.409089518683</v>
      </c>
      <c r="Z98" s="830"/>
    </row>
    <row r="99" spans="1:46" ht="18">
      <c r="A99" s="825" t="s">
        <v>2842</v>
      </c>
      <c r="B99" s="833">
        <v>232.70547746839659</v>
      </c>
      <c r="C99" s="833">
        <v>240.55012894938486</v>
      </c>
      <c r="D99" s="833">
        <v>239.63776512962252</v>
      </c>
      <c r="E99" s="833">
        <v>239.92291850081324</v>
      </c>
      <c r="F99" s="834">
        <f>SUM(B99:E99)</f>
        <v>952.81629004821718</v>
      </c>
      <c r="G99" s="833">
        <v>220.97573061578089</v>
      </c>
      <c r="H99" s="833">
        <v>217.65972778544702</v>
      </c>
      <c r="I99" s="833">
        <v>222.18219933567477</v>
      </c>
      <c r="J99" s="833">
        <v>223.51122319015616</v>
      </c>
      <c r="K99" s="834">
        <v>884.32888092705878</v>
      </c>
      <c r="L99" s="919">
        <v>213.34268667209668</v>
      </c>
      <c r="M99" s="919">
        <v>208.38905568001744</v>
      </c>
      <c r="N99" s="919">
        <v>225.98389470776885</v>
      </c>
      <c r="O99" s="920">
        <v>233.9276916442156</v>
      </c>
      <c r="P99" s="921">
        <v>881.64332870409851</v>
      </c>
      <c r="Q99" s="919">
        <v>221.27362168930156</v>
      </c>
      <c r="R99" s="919">
        <v>219.80447069676828</v>
      </c>
      <c r="S99" s="919">
        <v>226.04648392907771</v>
      </c>
      <c r="T99" s="919">
        <v>226.65832490578009</v>
      </c>
      <c r="U99" s="922">
        <v>893.78290122092767</v>
      </c>
      <c r="V99" s="949">
        <v>218.269892633132</v>
      </c>
      <c r="W99" s="949">
        <v>210.560338735855</v>
      </c>
      <c r="X99" s="949">
        <v>209.92772703937302</v>
      </c>
      <c r="Y99" s="857">
        <v>223.40394149631098</v>
      </c>
      <c r="Z99" s="922">
        <f>Africa!P78</f>
        <v>862.16189990467103</v>
      </c>
      <c r="AC99" s="633">
        <f t="shared" ref="AC99:AF102" si="17">G99/B99-1</f>
        <v>-5.0405976602801328E-2</v>
      </c>
      <c r="AD99" s="633">
        <f t="shared" si="17"/>
        <v>-9.5158548714618707E-2</v>
      </c>
      <c r="AE99" s="633">
        <f t="shared" si="17"/>
        <v>-7.2841464635199915E-2</v>
      </c>
      <c r="AF99" s="633">
        <f t="shared" si="17"/>
        <v>-6.8404033317064905E-2</v>
      </c>
      <c r="AG99" s="633">
        <f t="shared" ref="AG99:AJ102" si="18">L99/G99-1</f>
        <v>-3.4542453700293851E-2</v>
      </c>
      <c r="AH99" s="633">
        <f t="shared" si="18"/>
        <v>-4.2592500687899104E-2</v>
      </c>
      <c r="AI99" s="633">
        <f t="shared" si="18"/>
        <v>1.711071086460203E-2</v>
      </c>
      <c r="AJ99" s="633">
        <f t="shared" si="18"/>
        <v>4.6603782599307975E-2</v>
      </c>
      <c r="AK99" s="633">
        <f t="shared" ref="AK99:AN102" si="19">Q99/L99-1</f>
        <v>3.7174628017104583E-2</v>
      </c>
      <c r="AL99" s="633">
        <f t="shared" si="19"/>
        <v>5.4779340400098908E-2</v>
      </c>
      <c r="AM99" s="633">
        <f t="shared" si="19"/>
        <v>2.7696319416836701E-4</v>
      </c>
      <c r="AN99" s="633">
        <f t="shared" si="19"/>
        <v>-3.1075272394392783E-2</v>
      </c>
      <c r="AO99" s="940">
        <v>0</v>
      </c>
      <c r="AP99" s="940">
        <v>0.05</v>
      </c>
      <c r="AQ99" s="633">
        <f>Y99/T99-1</f>
        <v>-1.4358102270551676E-2</v>
      </c>
      <c r="AR99" s="821"/>
      <c r="AS99" s="821"/>
      <c r="AT99" s="821"/>
    </row>
    <row r="100" spans="1:46" ht="18">
      <c r="A100" s="839" t="s">
        <v>2843</v>
      </c>
      <c r="B100" s="840">
        <v>220.076965091754</v>
      </c>
      <c r="C100" s="840">
        <v>225.99702652365698</v>
      </c>
      <c r="D100" s="840">
        <v>223.37952225708901</v>
      </c>
      <c r="E100" s="840">
        <v>224.35161405008498</v>
      </c>
      <c r="F100" s="841">
        <f>SUM(B100:E100)</f>
        <v>893.80512792258503</v>
      </c>
      <c r="G100" s="840">
        <v>204.72071840875364</v>
      </c>
      <c r="H100" s="840">
        <v>199.59162841377122</v>
      </c>
      <c r="I100" s="840">
        <v>201.02455679867447</v>
      </c>
      <c r="J100" s="840">
        <v>199.17196632429963</v>
      </c>
      <c r="K100" s="849">
        <v>804.50886994549887</v>
      </c>
      <c r="L100" s="923">
        <v>189.13308007094301</v>
      </c>
      <c r="M100" s="923">
        <v>183.68646828229839</v>
      </c>
      <c r="N100" s="923">
        <v>200.96693261170003</v>
      </c>
      <c r="O100" s="924">
        <v>208.10020819426987</v>
      </c>
      <c r="P100" s="925">
        <v>781.88668915921119</v>
      </c>
      <c r="Q100" s="923">
        <v>196.8799151189196</v>
      </c>
      <c r="R100" s="923">
        <v>194.60041321740363</v>
      </c>
      <c r="S100" s="923">
        <v>199.61082310867101</v>
      </c>
      <c r="T100" s="923">
        <v>198.47461773825276</v>
      </c>
      <c r="U100" s="849">
        <v>789.56576918324697</v>
      </c>
      <c r="V100" s="894"/>
      <c r="W100" s="894"/>
      <c r="X100" s="923"/>
      <c r="Y100" s="923"/>
      <c r="Z100" s="849"/>
      <c r="AC100" s="634">
        <f t="shared" si="17"/>
        <v>-6.9776710509426021E-2</v>
      </c>
      <c r="AD100" s="634">
        <f t="shared" si="17"/>
        <v>-0.11683958198946343</v>
      </c>
      <c r="AE100" s="634">
        <f t="shared" si="17"/>
        <v>-0.10007616290219323</v>
      </c>
      <c r="AF100" s="634">
        <f t="shared" si="17"/>
        <v>-0.11223296891532131</v>
      </c>
      <c r="AG100" s="634">
        <f t="shared" si="18"/>
        <v>-7.6140990804300146E-2</v>
      </c>
      <c r="AH100" s="634">
        <f t="shared" si="18"/>
        <v>-7.9688513280226414E-2</v>
      </c>
      <c r="AI100" s="634">
        <f t="shared" si="18"/>
        <v>-2.866524761556688E-4</v>
      </c>
      <c r="AJ100" s="634">
        <f t="shared" si="18"/>
        <v>4.4826799849095877E-2</v>
      </c>
      <c r="AK100" s="634">
        <f t="shared" si="19"/>
        <v>4.095970437889962E-2</v>
      </c>
      <c r="AL100" s="634">
        <f t="shared" si="19"/>
        <v>5.9416161882606122E-2</v>
      </c>
      <c r="AM100" s="634">
        <f t="shared" si="19"/>
        <v>-6.7479235782994529E-3</v>
      </c>
      <c r="AN100" s="634">
        <f t="shared" si="19"/>
        <v>-4.6254593109446795E-2</v>
      </c>
      <c r="AQ100" s="820"/>
      <c r="AR100" s="820"/>
      <c r="AS100" s="820"/>
      <c r="AT100" s="820"/>
    </row>
    <row r="101" spans="1:46" ht="18">
      <c r="A101" s="839" t="s">
        <v>2844</v>
      </c>
      <c r="B101" s="840">
        <v>3.24568551294001</v>
      </c>
      <c r="C101" s="840">
        <v>4.3299116955603303</v>
      </c>
      <c r="D101" s="840">
        <v>4.6029332314240197</v>
      </c>
      <c r="E101" s="840">
        <v>4.6164249568208398</v>
      </c>
      <c r="F101" s="841">
        <f>SUM(B101:E101)</f>
        <v>16.794955396745202</v>
      </c>
      <c r="G101" s="840">
        <v>4.2619084544689718</v>
      </c>
      <c r="H101" s="840">
        <v>4.7817668275894505</v>
      </c>
      <c r="I101" s="840">
        <v>6.7864151043702572</v>
      </c>
      <c r="J101" s="840">
        <v>9.0989571670562128</v>
      </c>
      <c r="K101" s="849">
        <v>24.929047553484892</v>
      </c>
      <c r="L101" s="923">
        <v>9.7148595636047652</v>
      </c>
      <c r="M101" s="923">
        <v>10.714494405432168</v>
      </c>
      <c r="N101" s="923">
        <v>12.110375431476317</v>
      </c>
      <c r="O101" s="924">
        <v>13.763979731637724</v>
      </c>
      <c r="P101" s="925">
        <v>46.303709132150978</v>
      </c>
      <c r="Q101" s="923">
        <v>13.928425529622448</v>
      </c>
      <c r="R101" s="923">
        <v>15.681306034299222</v>
      </c>
      <c r="S101" s="923">
        <v>17.919844157933611</v>
      </c>
      <c r="T101" s="923">
        <v>19.337598374471163</v>
      </c>
      <c r="U101" s="849">
        <v>66.867174096326437</v>
      </c>
      <c r="V101" s="894">
        <v>20</v>
      </c>
      <c r="W101" s="894">
        <v>22</v>
      </c>
      <c r="X101" s="894">
        <v>23</v>
      </c>
      <c r="Y101" s="923"/>
      <c r="Z101" s="849"/>
      <c r="AC101" s="634">
        <f t="shared" si="17"/>
        <v>0.31309963256681828</v>
      </c>
      <c r="AD101" s="634">
        <f t="shared" si="17"/>
        <v>0.10435666216759776</v>
      </c>
      <c r="AE101" s="634">
        <f t="shared" si="17"/>
        <v>0.4743674876793138</v>
      </c>
      <c r="AF101" s="634">
        <f t="shared" si="17"/>
        <v>0.9709964425203883</v>
      </c>
      <c r="AG101" s="634">
        <f t="shared" si="18"/>
        <v>1.2794622801946653</v>
      </c>
      <c r="AH101" s="634">
        <f t="shared" si="18"/>
        <v>1.2406977988998853</v>
      </c>
      <c r="AI101" s="634">
        <f t="shared" si="18"/>
        <v>0.78450260486977608</v>
      </c>
      <c r="AJ101" s="634">
        <f t="shared" si="18"/>
        <v>0.51269859599644496</v>
      </c>
      <c r="AK101" s="634">
        <f t="shared" si="19"/>
        <v>0.43372381643098201</v>
      </c>
      <c r="AL101" s="634">
        <f t="shared" si="19"/>
        <v>0.46356005621216423</v>
      </c>
      <c r="AM101" s="634">
        <f t="shared" si="19"/>
        <v>0.47971004361745773</v>
      </c>
      <c r="AN101" s="634">
        <f t="shared" si="19"/>
        <v>0.40494237506191499</v>
      </c>
      <c r="AQ101" s="820"/>
      <c r="AR101" s="820"/>
      <c r="AS101" s="820"/>
      <c r="AT101" s="820"/>
    </row>
    <row r="102" spans="1:46" ht="18">
      <c r="A102" s="839" t="s">
        <v>2416</v>
      </c>
      <c r="B102" s="840">
        <v>9.3828268637025509</v>
      </c>
      <c r="C102" s="840">
        <v>10.223190730167529</v>
      </c>
      <c r="D102" s="840">
        <v>11.655309641109481</v>
      </c>
      <c r="E102" s="840">
        <v>10.954879493907429</v>
      </c>
      <c r="F102" s="841">
        <f>SUM(B102:E102)</f>
        <v>42.216206728886988</v>
      </c>
      <c r="G102" s="840">
        <v>11.993103752558296</v>
      </c>
      <c r="H102" s="840">
        <v>13.286332544086344</v>
      </c>
      <c r="I102" s="840">
        <v>14.371227432630047</v>
      </c>
      <c r="J102" s="840">
        <v>15.240299698800317</v>
      </c>
      <c r="K102" s="849">
        <v>54.890963428075004</v>
      </c>
      <c r="L102" s="923">
        <v>14.494747037548894</v>
      </c>
      <c r="M102" s="923">
        <v>13.988092992286878</v>
      </c>
      <c r="N102" s="923">
        <v>12.906586664592474</v>
      </c>
      <c r="O102" s="924">
        <v>12.063503718308034</v>
      </c>
      <c r="P102" s="925">
        <v>53.452930412736286</v>
      </c>
      <c r="Q102" s="923">
        <v>10.465281040759514</v>
      </c>
      <c r="R102" s="923">
        <v>9.5227514450654578</v>
      </c>
      <c r="S102" s="923">
        <v>8.5158166624731138</v>
      </c>
      <c r="T102" s="923">
        <v>8.8461087930562083</v>
      </c>
      <c r="U102" s="849">
        <v>37.349957941354297</v>
      </c>
      <c r="V102" s="894"/>
      <c r="W102" s="894"/>
      <c r="X102" s="923"/>
      <c r="Y102" s="923"/>
      <c r="Z102" s="849"/>
      <c r="AC102" s="634">
        <f t="shared" si="17"/>
        <v>0.27819727751277146</v>
      </c>
      <c r="AD102" s="634">
        <f t="shared" si="17"/>
        <v>0.29962678920582153</v>
      </c>
      <c r="AE102" s="634">
        <f t="shared" si="17"/>
        <v>0.23301978884724295</v>
      </c>
      <c r="AF102" s="634">
        <f t="shared" si="17"/>
        <v>0.39118825608955632</v>
      </c>
      <c r="AG102" s="634">
        <f t="shared" si="18"/>
        <v>0.20859014785534247</v>
      </c>
      <c r="AH102" s="634">
        <f t="shared" si="18"/>
        <v>5.2818220970457519E-2</v>
      </c>
      <c r="AI102" s="634">
        <f t="shared" si="18"/>
        <v>-0.1019147998946901</v>
      </c>
      <c r="AJ102" s="634">
        <f t="shared" si="18"/>
        <v>-0.20844708065303685</v>
      </c>
      <c r="AK102" s="634">
        <f t="shared" si="19"/>
        <v>-0.27799491680337562</v>
      </c>
      <c r="AL102" s="634">
        <f t="shared" si="19"/>
        <v>-0.31922446824478778</v>
      </c>
      <c r="AM102" s="634">
        <f t="shared" si="19"/>
        <v>-0.34019606548374726</v>
      </c>
      <c r="AN102" s="634">
        <f t="shared" si="19"/>
        <v>-0.26670484797621308</v>
      </c>
      <c r="AQ102" s="820"/>
      <c r="AR102" s="820"/>
      <c r="AS102" s="820"/>
      <c r="AT102" s="820"/>
    </row>
    <row r="103" spans="1:46" ht="18">
      <c r="A103" s="825" t="s">
        <v>2845</v>
      </c>
      <c r="B103" s="845">
        <v>5.1999999999999998E-3</v>
      </c>
      <c r="C103" s="845">
        <v>5.0999999999999995E-3</v>
      </c>
      <c r="D103" s="845">
        <v>4.7999999999999996E-3</v>
      </c>
      <c r="E103" s="845">
        <v>4.7000000000000002E-3</v>
      </c>
      <c r="F103" s="846">
        <v>5</v>
      </c>
      <c r="G103" s="845">
        <v>4.3959900868046917</v>
      </c>
      <c r="H103" s="845">
        <v>4.2898416593033479</v>
      </c>
      <c r="I103" s="845">
        <v>4.2237730719048399</v>
      </c>
      <c r="J103" s="845">
        <v>4.1009455156959556</v>
      </c>
      <c r="K103" s="846">
        <v>4.3</v>
      </c>
      <c r="L103" s="926">
        <v>3.8792075841334666</v>
      </c>
      <c r="M103" s="926">
        <v>3.7795669395419242</v>
      </c>
      <c r="N103" s="926">
        <v>3.9596542177877416</v>
      </c>
      <c r="O103" s="927">
        <v>3.8999700192029665</v>
      </c>
      <c r="P103" s="928">
        <v>3.8615106668853794</v>
      </c>
      <c r="Q103" s="926">
        <v>3.4900983064696471</v>
      </c>
      <c r="R103" s="926"/>
      <c r="S103" s="926"/>
      <c r="T103" s="926"/>
      <c r="U103" s="834"/>
      <c r="V103" s="946"/>
      <c r="W103" s="946"/>
      <c r="X103" s="926"/>
      <c r="Y103" s="926"/>
      <c r="Z103" s="834"/>
      <c r="AQ103" s="820"/>
      <c r="AR103" s="820"/>
      <c r="AS103" s="820"/>
      <c r="AT103" s="820"/>
    </row>
    <row r="104" spans="1:46" ht="18">
      <c r="A104" s="839"/>
      <c r="B104" s="840"/>
      <c r="C104" s="840"/>
      <c r="D104" s="840"/>
      <c r="E104" s="840"/>
      <c r="F104" s="849"/>
      <c r="G104" s="840"/>
      <c r="H104" s="840"/>
      <c r="I104" s="840"/>
      <c r="J104" s="840"/>
      <c r="K104" s="849"/>
      <c r="L104" s="929"/>
      <c r="M104" s="929"/>
      <c r="N104" s="929"/>
      <c r="O104" s="924"/>
      <c r="P104" s="925"/>
      <c r="Q104" s="929"/>
      <c r="R104" s="929"/>
      <c r="S104" s="929"/>
      <c r="T104" s="929"/>
      <c r="U104" s="849"/>
      <c r="V104" s="894"/>
      <c r="W104" s="894"/>
      <c r="X104" s="929"/>
      <c r="Y104" s="929"/>
      <c r="Z104" s="849"/>
    </row>
    <row r="105" spans="1:46" ht="18">
      <c r="A105" s="825" t="s">
        <v>2846</v>
      </c>
      <c r="B105" s="833">
        <v>9.4171574648618708E-2</v>
      </c>
      <c r="C105" s="833">
        <v>0.13015372535736</v>
      </c>
      <c r="D105" s="833">
        <v>0.19117200664962911</v>
      </c>
      <c r="E105" s="833">
        <v>0.36043891882262902</v>
      </c>
      <c r="F105" s="834">
        <f>SUM(B105:E105)</f>
        <v>0.77593622547823682</v>
      </c>
      <c r="G105" s="833">
        <v>5.7034750062424103E-2</v>
      </c>
      <c r="H105" s="833">
        <v>6.19355933729826E-2</v>
      </c>
      <c r="I105" s="833">
        <v>4.1660565747871296E-2</v>
      </c>
      <c r="J105" s="833">
        <v>1.7968587024076003E-2</v>
      </c>
      <c r="K105" s="834">
        <v>0.17859949620735399</v>
      </c>
      <c r="L105" s="919">
        <v>3.0680357623507799E-2</v>
      </c>
      <c r="M105" s="919">
        <v>1.03241219025454E-2</v>
      </c>
      <c r="N105" s="919">
        <v>3.0324835641443101E-2</v>
      </c>
      <c r="O105" s="920">
        <v>2.2771200000247099E-2</v>
      </c>
      <c r="P105" s="921">
        <v>9.4100515167743398E-2</v>
      </c>
      <c r="Q105" s="919">
        <v>3.7795445905905604E-2</v>
      </c>
      <c r="R105" s="919">
        <v>0.190977272807695</v>
      </c>
      <c r="S105" s="919">
        <v>0.15969873274219343</v>
      </c>
      <c r="T105" s="919">
        <v>0.29169646832565399</v>
      </c>
      <c r="U105" s="834">
        <v>0.68016791978144808</v>
      </c>
      <c r="V105" s="946">
        <v>0.23273148263528601</v>
      </c>
      <c r="W105" s="946">
        <v>0.50005630475334995</v>
      </c>
      <c r="X105" s="946">
        <v>0.55920935200032706</v>
      </c>
      <c r="Y105" s="857">
        <v>2.4801558883061898</v>
      </c>
      <c r="Z105" s="834">
        <f>Africa!P155</f>
        <v>4</v>
      </c>
      <c r="AC105" s="633">
        <f>G105/B105-1</f>
        <v>-0.39435280470527123</v>
      </c>
      <c r="AD105" s="633">
        <f>H105/C105-1</f>
        <v>-0.52413507025690187</v>
      </c>
      <c r="AE105" s="633">
        <f>I105/D105-1</f>
        <v>-0.78207810610983031</v>
      </c>
      <c r="AF105" s="633">
        <f>J105/E105-1</f>
        <v>-0.95014803872242692</v>
      </c>
      <c r="AG105" s="633">
        <f>L105/G105-1</f>
        <v>-0.46207605731719026</v>
      </c>
      <c r="AH105" s="633">
        <f>M105/H105-1</f>
        <v>-0.83330874315884151</v>
      </c>
      <c r="AI105" s="633">
        <f>N105/I105-1</f>
        <v>-0.27209736360835213</v>
      </c>
      <c r="AJ105" s="633">
        <f>O105/J105-1</f>
        <v>0.26727827679138616</v>
      </c>
      <c r="AK105" s="633">
        <f>Q105/L105-1</f>
        <v>0.23191021335898987</v>
      </c>
      <c r="AL105" s="633">
        <f>R105/M105-1</f>
        <v>17.4981613555541</v>
      </c>
      <c r="AM105" s="633">
        <f>S105/N105-1</f>
        <v>4.2662686990442555</v>
      </c>
      <c r="AN105" s="633">
        <f>T105/O105-1</f>
        <v>11.809885659187424</v>
      </c>
      <c r="AQ105" s="821"/>
      <c r="AR105" s="821"/>
      <c r="AS105" s="821"/>
      <c r="AT105" s="821"/>
    </row>
    <row r="106" spans="1:46" ht="18">
      <c r="A106" s="839" t="s">
        <v>2587</v>
      </c>
      <c r="B106" s="840">
        <v>0</v>
      </c>
      <c r="C106" s="840">
        <v>0</v>
      </c>
      <c r="D106" s="840">
        <v>0</v>
      </c>
      <c r="E106" s="840">
        <v>0</v>
      </c>
      <c r="F106" s="841">
        <f>SUM(B106:E106)</f>
        <v>0</v>
      </c>
      <c r="G106" s="840">
        <v>0</v>
      </c>
      <c r="H106" s="840">
        <v>0</v>
      </c>
      <c r="I106" s="840">
        <v>0</v>
      </c>
      <c r="J106" s="840">
        <v>0</v>
      </c>
      <c r="K106" s="849">
        <v>0</v>
      </c>
      <c r="L106" s="923">
        <v>0</v>
      </c>
      <c r="M106" s="923">
        <v>0</v>
      </c>
      <c r="N106" s="923">
        <v>0</v>
      </c>
      <c r="O106" s="923">
        <v>0</v>
      </c>
      <c r="P106" s="925">
        <v>0</v>
      </c>
      <c r="Q106" s="923">
        <v>0</v>
      </c>
      <c r="R106" s="923">
        <v>0</v>
      </c>
      <c r="S106" s="923">
        <v>0</v>
      </c>
      <c r="T106" s="923">
        <v>0</v>
      </c>
      <c r="U106" s="849">
        <v>0</v>
      </c>
      <c r="V106" s="894"/>
      <c r="W106" s="894"/>
      <c r="X106" s="923"/>
      <c r="Y106" s="923"/>
      <c r="Z106" s="849"/>
      <c r="AQ106" s="820"/>
      <c r="AR106" s="820"/>
      <c r="AS106" s="820"/>
      <c r="AT106" s="820"/>
    </row>
    <row r="107" spans="1:46" ht="18">
      <c r="A107" s="839" t="s">
        <v>2844</v>
      </c>
      <c r="B107" s="840">
        <v>0</v>
      </c>
      <c r="C107" s="840">
        <v>0</v>
      </c>
      <c r="D107" s="840">
        <v>0</v>
      </c>
      <c r="E107" s="840">
        <v>0</v>
      </c>
      <c r="F107" s="841">
        <f>SUM(B107:E107)</f>
        <v>0</v>
      </c>
      <c r="G107" s="840">
        <v>3.9340350062424104E-2</v>
      </c>
      <c r="H107" s="840">
        <v>4.6879943372982603E-2</v>
      </c>
      <c r="I107" s="840">
        <v>3.4840145747871296E-2</v>
      </c>
      <c r="J107" s="840">
        <v>2.279057024076E-3</v>
      </c>
      <c r="K107" s="849">
        <v>0.12333949620735399</v>
      </c>
      <c r="L107" s="923">
        <v>1.7117357623507801E-2</v>
      </c>
      <c r="M107" s="923">
        <v>2.38871219025454E-2</v>
      </c>
      <c r="N107" s="923">
        <v>228</v>
      </c>
      <c r="O107" s="923">
        <v>2.2771200000247099E-2</v>
      </c>
      <c r="P107" s="925">
        <v>9.4100515167743398E-2</v>
      </c>
      <c r="Q107" s="923">
        <v>3.7795445905905604E-2</v>
      </c>
      <c r="R107" s="923">
        <v>3.2171828620652002E-2</v>
      </c>
      <c r="S107" s="923">
        <v>3.2580718299618394E-2</v>
      </c>
      <c r="T107" s="923">
        <v>2.6378113847508999E-2</v>
      </c>
      <c r="U107" s="849">
        <v>0.12892610667368501</v>
      </c>
      <c r="V107" s="894"/>
      <c r="W107" s="894"/>
      <c r="X107" s="923"/>
      <c r="Y107" s="923"/>
      <c r="Z107" s="849"/>
      <c r="AQ107" s="820"/>
      <c r="AR107" s="820"/>
      <c r="AS107" s="820"/>
      <c r="AT107" s="820"/>
    </row>
    <row r="108" spans="1:46" ht="18">
      <c r="A108" s="839" t="s">
        <v>1580</v>
      </c>
      <c r="B108" s="840">
        <v>0</v>
      </c>
      <c r="C108" s="840">
        <v>0</v>
      </c>
      <c r="D108" s="840">
        <v>0</v>
      </c>
      <c r="E108" s="840">
        <v>0</v>
      </c>
      <c r="F108" s="841">
        <f>SUM(B108:E108)</f>
        <v>0</v>
      </c>
      <c r="G108" s="840">
        <v>0</v>
      </c>
      <c r="H108" s="840">
        <v>0</v>
      </c>
      <c r="I108" s="840">
        <v>0</v>
      </c>
      <c r="J108" s="840">
        <v>0</v>
      </c>
      <c r="K108" s="849">
        <v>0</v>
      </c>
      <c r="L108" s="923">
        <v>0</v>
      </c>
      <c r="M108" s="923">
        <v>0</v>
      </c>
      <c r="N108" s="923">
        <v>0</v>
      </c>
      <c r="O108" s="923">
        <v>0</v>
      </c>
      <c r="P108" s="925">
        <v>0</v>
      </c>
      <c r="Q108" s="923">
        <v>0</v>
      </c>
      <c r="R108" s="923">
        <v>0</v>
      </c>
      <c r="S108" s="923">
        <v>0</v>
      </c>
      <c r="T108" s="923">
        <v>0</v>
      </c>
      <c r="U108" s="849">
        <v>0</v>
      </c>
      <c r="V108" s="894"/>
      <c r="W108" s="894"/>
      <c r="X108" s="923"/>
      <c r="Y108" s="923"/>
      <c r="Z108" s="849"/>
      <c r="AQ108" s="820"/>
      <c r="AR108" s="820"/>
      <c r="AS108" s="820"/>
      <c r="AT108" s="820"/>
    </row>
    <row r="109" spans="1:46" ht="18">
      <c r="A109" s="839" t="s">
        <v>1540</v>
      </c>
      <c r="B109" s="840">
        <v>9.4171574648618708E-2</v>
      </c>
      <c r="C109" s="930">
        <v>-0.10101525024530901</v>
      </c>
      <c r="D109" s="840">
        <v>5.3568127317502094E-2</v>
      </c>
      <c r="E109" s="840">
        <v>0.244564980874965</v>
      </c>
      <c r="F109" s="841">
        <f>SUM(B109:E109)</f>
        <v>0.29128943259577678</v>
      </c>
      <c r="G109" s="840">
        <v>1.7694400000000002E-2</v>
      </c>
      <c r="H109" s="840">
        <v>1.505565E-2</v>
      </c>
      <c r="I109" s="840">
        <v>6.8204200000000006E-3</v>
      </c>
      <c r="J109" s="840">
        <v>1.568953E-2</v>
      </c>
      <c r="K109" s="849">
        <v>5.5259999999999997E-2</v>
      </c>
      <c r="L109" s="923">
        <v>1.3563E-2</v>
      </c>
      <c r="M109" s="923">
        <v>1.3563E-2</v>
      </c>
      <c r="N109" s="923">
        <v>0</v>
      </c>
      <c r="O109" s="923">
        <v>0</v>
      </c>
      <c r="P109" s="925">
        <v>0</v>
      </c>
      <c r="Q109" s="923">
        <v>0</v>
      </c>
      <c r="R109" s="923">
        <v>0.15880544418704301</v>
      </c>
      <c r="S109" s="923">
        <v>0.12711801444257501</v>
      </c>
      <c r="T109" s="923">
        <v>0.265318354478145</v>
      </c>
      <c r="U109" s="849">
        <v>0.5512418131077631</v>
      </c>
      <c r="V109" s="894"/>
      <c r="W109" s="894"/>
      <c r="X109" s="923"/>
      <c r="Y109" s="923"/>
      <c r="Z109" s="849"/>
      <c r="AQ109" s="820"/>
      <c r="AR109" s="820"/>
      <c r="AS109" s="820"/>
      <c r="AT109" s="820"/>
    </row>
    <row r="110" spans="1:46" ht="18">
      <c r="A110" s="839"/>
      <c r="B110" s="840"/>
      <c r="C110" s="840"/>
      <c r="D110" s="840"/>
      <c r="E110" s="840"/>
      <c r="F110" s="834"/>
      <c r="G110" s="840"/>
      <c r="H110" s="840"/>
      <c r="I110" s="840"/>
      <c r="J110" s="840"/>
      <c r="K110" s="849"/>
      <c r="L110" s="929"/>
      <c r="M110" s="929"/>
      <c r="N110" s="929"/>
      <c r="O110" s="924"/>
      <c r="P110" s="925"/>
      <c r="Q110" s="929"/>
      <c r="R110" s="929"/>
      <c r="S110" s="929"/>
      <c r="T110" s="929"/>
      <c r="U110" s="849"/>
      <c r="V110" s="894"/>
      <c r="W110" s="894"/>
      <c r="X110" s="929"/>
      <c r="Y110" s="929"/>
      <c r="Z110" s="849"/>
    </row>
    <row r="111" spans="1:46" ht="18">
      <c r="A111" s="825" t="s">
        <v>2848</v>
      </c>
      <c r="B111" s="833">
        <v>0</v>
      </c>
      <c r="C111" s="833">
        <v>0</v>
      </c>
      <c r="D111" s="833">
        <v>0</v>
      </c>
      <c r="E111" s="833">
        <v>0</v>
      </c>
      <c r="F111" s="834">
        <f>SUM(B111:E111)</f>
        <v>0</v>
      </c>
      <c r="G111" s="833">
        <v>0</v>
      </c>
      <c r="H111" s="833">
        <v>0</v>
      </c>
      <c r="I111" s="833">
        <v>0</v>
      </c>
      <c r="J111" s="833">
        <v>0</v>
      </c>
      <c r="K111" s="834">
        <v>0</v>
      </c>
      <c r="L111" s="919">
        <v>0</v>
      </c>
      <c r="M111" s="919">
        <v>0</v>
      </c>
      <c r="N111" s="919">
        <v>0</v>
      </c>
      <c r="O111" s="920">
        <v>0</v>
      </c>
      <c r="P111" s="921">
        <v>0</v>
      </c>
      <c r="Q111" s="919">
        <v>0</v>
      </c>
      <c r="R111" s="919">
        <v>0</v>
      </c>
      <c r="S111" s="919">
        <v>0</v>
      </c>
      <c r="T111" s="919">
        <v>0</v>
      </c>
      <c r="U111" s="834">
        <v>0</v>
      </c>
      <c r="V111" s="946"/>
      <c r="W111" s="946"/>
      <c r="X111" s="919"/>
      <c r="Y111" s="919"/>
      <c r="Z111" s="834"/>
      <c r="AQ111" s="821"/>
      <c r="AR111" s="821"/>
      <c r="AS111" s="821"/>
      <c r="AT111" s="821"/>
    </row>
    <row r="112" spans="1:46" ht="18">
      <c r="A112" s="839" t="s">
        <v>2587</v>
      </c>
      <c r="B112" s="840">
        <v>0</v>
      </c>
      <c r="C112" s="840">
        <v>0</v>
      </c>
      <c r="D112" s="840">
        <v>0</v>
      </c>
      <c r="E112" s="840">
        <v>0</v>
      </c>
      <c r="F112" s="841">
        <f>SUM(B112:E112)</f>
        <v>0</v>
      </c>
      <c r="G112" s="840">
        <v>0</v>
      </c>
      <c r="H112" s="840">
        <v>0</v>
      </c>
      <c r="I112" s="840">
        <v>0</v>
      </c>
      <c r="J112" s="840">
        <v>0</v>
      </c>
      <c r="K112" s="849">
        <v>0</v>
      </c>
      <c r="L112" s="923">
        <v>0</v>
      </c>
      <c r="M112" s="923">
        <v>0</v>
      </c>
      <c r="N112" s="923">
        <v>0</v>
      </c>
      <c r="O112" s="924">
        <v>0</v>
      </c>
      <c r="P112" s="925">
        <v>0</v>
      </c>
      <c r="Q112" s="923">
        <v>0</v>
      </c>
      <c r="R112" s="923">
        <v>0</v>
      </c>
      <c r="S112" s="923">
        <v>0</v>
      </c>
      <c r="T112" s="923">
        <v>0</v>
      </c>
      <c r="U112" s="849">
        <v>0</v>
      </c>
      <c r="V112" s="894"/>
      <c r="W112" s="894"/>
      <c r="X112" s="923"/>
      <c r="Y112" s="923"/>
      <c r="Z112" s="849"/>
      <c r="AQ112" s="820"/>
      <c r="AR112" s="820"/>
      <c r="AS112" s="820"/>
      <c r="AT112" s="820"/>
    </row>
    <row r="113" spans="1:46" ht="18">
      <c r="A113" s="839" t="s">
        <v>2844</v>
      </c>
      <c r="B113" s="840">
        <v>0</v>
      </c>
      <c r="C113" s="840">
        <v>0</v>
      </c>
      <c r="D113" s="840">
        <v>0</v>
      </c>
      <c r="E113" s="840">
        <v>0</v>
      </c>
      <c r="F113" s="841">
        <f>SUM(B113:E113)</f>
        <v>0</v>
      </c>
      <c r="G113" s="840">
        <v>0</v>
      </c>
      <c r="H113" s="840">
        <v>0</v>
      </c>
      <c r="I113" s="840">
        <v>0</v>
      </c>
      <c r="J113" s="840">
        <v>0</v>
      </c>
      <c r="K113" s="849">
        <v>0</v>
      </c>
      <c r="L113" s="923">
        <v>0</v>
      </c>
      <c r="M113" s="923">
        <v>0</v>
      </c>
      <c r="N113" s="923">
        <v>0</v>
      </c>
      <c r="O113" s="924">
        <v>0</v>
      </c>
      <c r="P113" s="925">
        <v>0</v>
      </c>
      <c r="Q113" s="923">
        <v>0</v>
      </c>
      <c r="R113" s="923">
        <v>0</v>
      </c>
      <c r="S113" s="923">
        <v>0</v>
      </c>
      <c r="T113" s="923">
        <v>0</v>
      </c>
      <c r="U113" s="849">
        <v>0</v>
      </c>
      <c r="V113" s="894"/>
      <c r="W113" s="894"/>
      <c r="X113" s="923"/>
      <c r="Y113" s="923"/>
      <c r="Z113" s="849"/>
      <c r="AQ113" s="820"/>
      <c r="AR113" s="820"/>
      <c r="AS113" s="820"/>
      <c r="AT113" s="820"/>
    </row>
    <row r="114" spans="1:46" ht="18">
      <c r="A114" s="839" t="s">
        <v>1580</v>
      </c>
      <c r="B114" s="840">
        <v>0</v>
      </c>
      <c r="C114" s="840">
        <v>0</v>
      </c>
      <c r="D114" s="840">
        <v>0</v>
      </c>
      <c r="E114" s="840">
        <v>0</v>
      </c>
      <c r="F114" s="841">
        <f>SUM(B114:E114)</f>
        <v>0</v>
      </c>
      <c r="G114" s="840">
        <v>0</v>
      </c>
      <c r="H114" s="840">
        <v>0</v>
      </c>
      <c r="I114" s="840">
        <v>0</v>
      </c>
      <c r="J114" s="840">
        <v>0</v>
      </c>
      <c r="K114" s="849">
        <v>0</v>
      </c>
      <c r="L114" s="923">
        <v>0</v>
      </c>
      <c r="M114" s="923">
        <v>0</v>
      </c>
      <c r="N114" s="923">
        <v>0</v>
      </c>
      <c r="O114" s="924">
        <v>0</v>
      </c>
      <c r="P114" s="925">
        <v>0</v>
      </c>
      <c r="Q114" s="923">
        <v>0</v>
      </c>
      <c r="R114" s="923">
        <v>0</v>
      </c>
      <c r="S114" s="923">
        <v>0</v>
      </c>
      <c r="T114" s="923">
        <v>0</v>
      </c>
      <c r="U114" s="849">
        <v>0</v>
      </c>
      <c r="V114" s="894"/>
      <c r="W114" s="894"/>
      <c r="X114" s="923"/>
      <c r="Y114" s="923"/>
      <c r="Z114" s="849"/>
      <c r="AQ114" s="820"/>
      <c r="AR114" s="820"/>
      <c r="AS114" s="820"/>
      <c r="AT114" s="820"/>
    </row>
    <row r="115" spans="1:46" ht="18">
      <c r="A115" s="839" t="s">
        <v>1540</v>
      </c>
      <c r="B115" s="840">
        <v>0</v>
      </c>
      <c r="C115" s="840">
        <v>0</v>
      </c>
      <c r="D115" s="840">
        <v>0</v>
      </c>
      <c r="E115" s="840">
        <v>0</v>
      </c>
      <c r="F115" s="841">
        <f>SUM(B115:E115)</f>
        <v>0</v>
      </c>
      <c r="G115" s="840">
        <v>0</v>
      </c>
      <c r="H115" s="840">
        <v>0</v>
      </c>
      <c r="I115" s="840">
        <v>0</v>
      </c>
      <c r="J115" s="840">
        <v>0</v>
      </c>
      <c r="K115" s="849">
        <v>0</v>
      </c>
      <c r="L115" s="923">
        <v>0</v>
      </c>
      <c r="M115" s="923">
        <v>0</v>
      </c>
      <c r="N115" s="923">
        <v>0</v>
      </c>
      <c r="O115" s="924">
        <v>0</v>
      </c>
      <c r="P115" s="925">
        <v>0</v>
      </c>
      <c r="Q115" s="923">
        <v>0</v>
      </c>
      <c r="R115" s="923">
        <v>0</v>
      </c>
      <c r="S115" s="923">
        <v>0</v>
      </c>
      <c r="T115" s="923">
        <v>0</v>
      </c>
      <c r="U115" s="849">
        <v>0</v>
      </c>
      <c r="V115" s="894"/>
      <c r="W115" s="894"/>
      <c r="X115" s="923"/>
      <c r="Y115" s="923"/>
      <c r="Z115" s="849"/>
      <c r="AQ115" s="820"/>
      <c r="AR115" s="820"/>
      <c r="AS115" s="820"/>
      <c r="AT115" s="820"/>
    </row>
    <row r="116" spans="1:46" ht="18">
      <c r="A116" s="825" t="s">
        <v>2852</v>
      </c>
      <c r="B116" s="833"/>
      <c r="C116" s="833"/>
      <c r="D116" s="833"/>
      <c r="E116" s="833"/>
      <c r="F116" s="846">
        <v>27.619010381379709</v>
      </c>
      <c r="G116" s="833" t="s">
        <v>2619</v>
      </c>
      <c r="H116" s="833" t="s">
        <v>2619</v>
      </c>
      <c r="I116" s="833" t="s">
        <v>2619</v>
      </c>
      <c r="J116" s="833" t="s">
        <v>2619</v>
      </c>
      <c r="K116" s="834" t="s">
        <v>2619</v>
      </c>
      <c r="L116" s="919" t="s">
        <v>2619</v>
      </c>
      <c r="M116" s="919" t="s">
        <v>2619</v>
      </c>
      <c r="N116" s="919" t="s">
        <v>2619</v>
      </c>
      <c r="O116" s="920" t="s">
        <v>2619</v>
      </c>
      <c r="P116" s="928" t="s">
        <v>2619</v>
      </c>
      <c r="Q116" s="919" t="s">
        <v>2619</v>
      </c>
      <c r="R116" s="919"/>
      <c r="S116" s="919"/>
      <c r="T116" s="919"/>
      <c r="U116" s="834"/>
      <c r="V116" s="946"/>
      <c r="W116" s="946"/>
      <c r="X116" s="919"/>
      <c r="Y116" s="919"/>
      <c r="Z116" s="834"/>
    </row>
    <row r="117" spans="1:46" ht="18">
      <c r="A117" s="839"/>
      <c r="B117" s="840"/>
      <c r="C117" s="840"/>
      <c r="D117" s="840"/>
      <c r="E117" s="840"/>
      <c r="F117" s="849"/>
      <c r="G117" s="840"/>
      <c r="H117" s="840"/>
      <c r="I117" s="840"/>
      <c r="J117" s="840"/>
      <c r="K117" s="849"/>
      <c r="L117" s="929"/>
      <c r="M117" s="929"/>
      <c r="N117" s="929"/>
      <c r="O117" s="924"/>
      <c r="P117" s="925"/>
      <c r="Q117" s="929"/>
      <c r="R117" s="929"/>
      <c r="S117" s="929"/>
      <c r="T117" s="929"/>
      <c r="U117" s="849"/>
      <c r="V117" s="894"/>
      <c r="W117" s="894"/>
      <c r="X117" s="929"/>
      <c r="Y117" s="929"/>
      <c r="Z117" s="849"/>
    </row>
    <row r="118" spans="1:46" ht="18">
      <c r="A118" s="825" t="s">
        <v>2854</v>
      </c>
      <c r="B118" s="833">
        <v>9.4171574648618708E-2</v>
      </c>
      <c r="C118" s="833">
        <v>0.13015372535736</v>
      </c>
      <c r="D118" s="833">
        <v>0.19117200664962911</v>
      </c>
      <c r="E118" s="833">
        <v>0.36043891882262902</v>
      </c>
      <c r="F118" s="834">
        <f>SUM(B118:E118)</f>
        <v>0.77593622547823682</v>
      </c>
      <c r="G118" s="833">
        <v>5.7034750062424103E-2</v>
      </c>
      <c r="H118" s="833">
        <v>6.19355933729826E-2</v>
      </c>
      <c r="I118" s="833">
        <v>4.1660565747871296E-2</v>
      </c>
      <c r="J118" s="833">
        <v>1.7968587024076003E-2</v>
      </c>
      <c r="K118" s="834">
        <v>0.17859949620735399</v>
      </c>
      <c r="L118" s="919">
        <v>3.0680357623507803E-2</v>
      </c>
      <c r="M118" s="919">
        <v>1.0324121902545398E-2</v>
      </c>
      <c r="N118" s="919">
        <v>3.0324835641443101E-2</v>
      </c>
      <c r="O118" s="920">
        <v>2.2771200000247099E-2</v>
      </c>
      <c r="P118" s="921">
        <v>9.4100515167743398E-2</v>
      </c>
      <c r="Q118" s="919">
        <v>3.7795445905905604E-2</v>
      </c>
      <c r="R118" s="919">
        <v>0.19097727280769503</v>
      </c>
      <c r="S118" s="919">
        <v>0.15969873274219337</v>
      </c>
      <c r="T118" s="919">
        <v>0.29169646832565399</v>
      </c>
      <c r="U118" s="834">
        <v>0.68016791978144808</v>
      </c>
      <c r="V118" s="946"/>
      <c r="W118" s="946"/>
      <c r="X118" s="919"/>
      <c r="Y118" s="919"/>
      <c r="Z118" s="834"/>
      <c r="AQ118" s="821"/>
      <c r="AR118" s="821"/>
      <c r="AS118" s="821"/>
      <c r="AT118" s="821"/>
    </row>
    <row r="119" spans="1:46" ht="18">
      <c r="A119" s="839" t="s">
        <v>2587</v>
      </c>
      <c r="B119" s="840">
        <v>0</v>
      </c>
      <c r="C119" s="840">
        <v>0</v>
      </c>
      <c r="D119" s="840">
        <v>0</v>
      </c>
      <c r="E119" s="840">
        <v>0</v>
      </c>
      <c r="F119" s="841">
        <f>SUM(B119:E119)</f>
        <v>0</v>
      </c>
      <c r="G119" s="840"/>
      <c r="H119" s="840"/>
      <c r="I119" s="840"/>
      <c r="J119" s="840"/>
      <c r="K119" s="849"/>
      <c r="L119" s="923"/>
      <c r="M119" s="923"/>
      <c r="N119" s="923"/>
      <c r="O119" s="924"/>
      <c r="P119" s="925"/>
      <c r="Q119" s="923"/>
      <c r="R119" s="923"/>
      <c r="S119" s="923"/>
      <c r="T119" s="923"/>
      <c r="U119" s="849"/>
      <c r="V119" s="894"/>
      <c r="W119" s="894"/>
      <c r="X119" s="923"/>
      <c r="Y119" s="923"/>
      <c r="Z119" s="849"/>
      <c r="AQ119" s="820"/>
      <c r="AR119" s="820"/>
      <c r="AS119" s="820"/>
      <c r="AT119" s="820"/>
    </row>
    <row r="120" spans="1:46" ht="18">
      <c r="A120" s="839" t="s">
        <v>2844</v>
      </c>
      <c r="B120" s="840">
        <v>0</v>
      </c>
      <c r="C120" s="840">
        <v>0</v>
      </c>
      <c r="D120" s="840">
        <v>0</v>
      </c>
      <c r="E120" s="840">
        <v>0</v>
      </c>
      <c r="F120" s="841">
        <f>SUM(B120:E120)</f>
        <v>0</v>
      </c>
      <c r="G120" s="840">
        <v>3.9340350062424104E-2</v>
      </c>
      <c r="H120" s="840">
        <v>4.6879943372982603E-2</v>
      </c>
      <c r="I120" s="840">
        <v>3.4840145747871296E-2</v>
      </c>
      <c r="J120" s="840">
        <v>2.279057024076E-3</v>
      </c>
      <c r="K120" s="849">
        <v>0.12333949620735399</v>
      </c>
      <c r="L120" s="923">
        <v>1.7117357623507801E-2</v>
      </c>
      <c r="M120" s="923">
        <v>2.38871219025454E-2</v>
      </c>
      <c r="N120" s="923">
        <v>3.0324835641443101E-2</v>
      </c>
      <c r="O120" s="924">
        <v>2.2771200000247099E-2</v>
      </c>
      <c r="P120" s="925">
        <v>9.4100515167743398E-2</v>
      </c>
      <c r="Q120" s="923">
        <v>3.7795445905905604E-2</v>
      </c>
      <c r="R120" s="923">
        <v>3.2171828620652002E-2</v>
      </c>
      <c r="S120" s="923">
        <v>3.2580718299618394E-2</v>
      </c>
      <c r="T120" s="923">
        <v>2.6378113847508999E-2</v>
      </c>
      <c r="U120" s="849">
        <v>0.12892610667368501</v>
      </c>
      <c r="V120" s="894"/>
      <c r="W120" s="894"/>
      <c r="X120" s="923"/>
      <c r="Y120" s="923"/>
      <c r="Z120" s="849"/>
      <c r="AQ120" s="820"/>
      <c r="AR120" s="820"/>
      <c r="AS120" s="820"/>
      <c r="AT120" s="820"/>
    </row>
    <row r="121" spans="1:46" ht="18">
      <c r="A121" s="839" t="s">
        <v>1580</v>
      </c>
      <c r="B121" s="840">
        <v>0</v>
      </c>
      <c r="C121" s="840">
        <v>0</v>
      </c>
      <c r="D121" s="840">
        <v>0</v>
      </c>
      <c r="E121" s="840">
        <v>0</v>
      </c>
      <c r="F121" s="841">
        <f>SUM(B121:E121)</f>
        <v>0</v>
      </c>
      <c r="G121" s="840"/>
      <c r="H121" s="840"/>
      <c r="I121" s="840"/>
      <c r="J121" s="840"/>
      <c r="K121" s="849"/>
      <c r="L121" s="923"/>
      <c r="M121" s="923"/>
      <c r="N121" s="923"/>
      <c r="O121" s="924"/>
      <c r="P121" s="925"/>
      <c r="Q121" s="923"/>
      <c r="R121" s="923"/>
      <c r="S121" s="923"/>
      <c r="T121" s="923"/>
      <c r="U121" s="849"/>
      <c r="V121" s="894"/>
      <c r="W121" s="894"/>
      <c r="X121" s="923"/>
      <c r="Y121" s="923"/>
      <c r="Z121" s="849"/>
      <c r="AQ121" s="820"/>
      <c r="AR121" s="820"/>
      <c r="AS121" s="820"/>
      <c r="AT121" s="820"/>
    </row>
    <row r="122" spans="1:46" ht="18">
      <c r="A122" s="839" t="s">
        <v>1540</v>
      </c>
      <c r="B122" s="840">
        <v>9.4171574648618708E-2</v>
      </c>
      <c r="C122" s="840">
        <v>-0.10101525024530901</v>
      </c>
      <c r="D122" s="840">
        <v>5.3568127317502094E-2</v>
      </c>
      <c r="E122" s="840">
        <v>0.244564980874965</v>
      </c>
      <c r="F122" s="841">
        <f>SUM(B122:E122)</f>
        <v>0.29128943259577678</v>
      </c>
      <c r="G122" s="840">
        <v>1.7694400000000002E-2</v>
      </c>
      <c r="H122" s="840">
        <v>1.505565E-2</v>
      </c>
      <c r="I122" s="840">
        <v>6.8204200000000006E-3</v>
      </c>
      <c r="J122" s="840">
        <v>1.568953E-2</v>
      </c>
      <c r="K122" s="849">
        <v>5.5259999999999997E-2</v>
      </c>
      <c r="L122" s="923">
        <v>1.3563E-2</v>
      </c>
      <c r="M122" s="923">
        <v>1.3563E-2</v>
      </c>
      <c r="N122" s="923">
        <v>0</v>
      </c>
      <c r="O122" s="924">
        <v>0</v>
      </c>
      <c r="P122" s="925">
        <v>0</v>
      </c>
      <c r="Q122" s="923">
        <v>0</v>
      </c>
      <c r="R122" s="923">
        <v>0.15880544418704301</v>
      </c>
      <c r="S122" s="923">
        <v>0.12711801444257501</v>
      </c>
      <c r="T122" s="923">
        <v>0.265318354478145</v>
      </c>
      <c r="U122" s="849">
        <v>0.5512418131077631</v>
      </c>
      <c r="V122" s="894"/>
      <c r="W122" s="894"/>
      <c r="X122" s="923"/>
      <c r="Y122" s="923"/>
      <c r="Z122" s="849"/>
      <c r="AQ122" s="820"/>
      <c r="AR122" s="820"/>
      <c r="AS122" s="820"/>
      <c r="AT122" s="820"/>
    </row>
    <row r="123" spans="1:46" ht="18">
      <c r="A123" s="839"/>
      <c r="B123" s="787"/>
      <c r="C123" s="787"/>
      <c r="D123" s="787"/>
      <c r="E123" s="787"/>
      <c r="F123" s="849"/>
      <c r="G123" s="787"/>
      <c r="H123" s="787"/>
      <c r="I123" s="787"/>
      <c r="J123" s="787"/>
      <c r="K123" s="830"/>
      <c r="L123" s="931"/>
      <c r="M123" s="931"/>
      <c r="N123" s="931"/>
      <c r="O123" s="932"/>
      <c r="P123" s="830"/>
      <c r="Q123" s="931"/>
      <c r="R123" s="931"/>
      <c r="S123" s="931"/>
      <c r="T123" s="931"/>
      <c r="U123" s="830"/>
      <c r="V123" s="787"/>
      <c r="W123" s="787"/>
      <c r="X123" s="931"/>
      <c r="Y123" s="931"/>
      <c r="Z123" s="830"/>
    </row>
    <row r="124" spans="1:46" ht="18">
      <c r="A124" s="825" t="s">
        <v>2702</v>
      </c>
      <c r="B124" s="833">
        <v>0.100299399080523</v>
      </c>
      <c r="C124" s="833">
        <v>0.37753391192633201</v>
      </c>
      <c r="D124" s="833">
        <v>1.1598366667067201</v>
      </c>
      <c r="E124" s="833">
        <v>2.3367364127252799</v>
      </c>
      <c r="F124" s="834">
        <f>SUM(B124:E124)</f>
        <v>3.9744063904388551</v>
      </c>
      <c r="G124" s="833">
        <v>3.8385307564883444</v>
      </c>
      <c r="H124" s="833">
        <v>5.3911077319741398</v>
      </c>
      <c r="I124" s="833">
        <v>7.2654899250151583</v>
      </c>
      <c r="J124" s="833">
        <v>8.9819316448405715</v>
      </c>
      <c r="K124" s="834">
        <v>25.477060058318216</v>
      </c>
      <c r="L124" s="919">
        <v>10.264772031340879</v>
      </c>
      <c r="M124" s="919">
        <v>11.868966210318209</v>
      </c>
      <c r="N124" s="919">
        <v>14.456940763693185</v>
      </c>
      <c r="O124" s="920">
        <v>15.057742245651589</v>
      </c>
      <c r="P124" s="933">
        <v>51.64842125100386</v>
      </c>
      <c r="Q124" s="919">
        <v>15.238406670842124</v>
      </c>
      <c r="R124" s="919">
        <v>16.56731190137296</v>
      </c>
      <c r="S124" s="919">
        <v>20.867040660025172</v>
      </c>
      <c r="T124" s="919">
        <v>22.020350598738084</v>
      </c>
      <c r="U124" s="933">
        <v>74.693109830978329</v>
      </c>
      <c r="V124" s="950">
        <v>20.839379180797501</v>
      </c>
      <c r="W124" s="950">
        <v>21.400981932646999</v>
      </c>
      <c r="X124" s="950">
        <v>21.665826812059297</v>
      </c>
      <c r="Y124" s="857">
        <v>22.9232808644168</v>
      </c>
      <c r="Z124" s="933">
        <f>Africa!P154</f>
        <v>87</v>
      </c>
      <c r="AQ124" s="821"/>
      <c r="AR124" s="821"/>
      <c r="AS124" s="821"/>
      <c r="AT124" s="821"/>
    </row>
    <row r="125" spans="1:46" ht="18">
      <c r="A125" s="825" t="s">
        <v>2860</v>
      </c>
      <c r="B125" s="915"/>
      <c r="C125" s="915"/>
      <c r="D125" s="915"/>
      <c r="E125" s="915"/>
      <c r="F125" s="846">
        <v>0.6</v>
      </c>
      <c r="G125" s="915">
        <v>1.0492312686968164</v>
      </c>
      <c r="H125" s="915">
        <v>1.0971414210585564</v>
      </c>
      <c r="I125" s="915">
        <v>1.1619149986578794</v>
      </c>
      <c r="J125" s="915">
        <v>1.1884915569206393</v>
      </c>
      <c r="K125" s="916">
        <v>1.1310214320744449</v>
      </c>
      <c r="L125" s="926">
        <v>1.2075479281700519</v>
      </c>
      <c r="M125" s="926">
        <v>1.270027815744774</v>
      </c>
      <c r="N125" s="926">
        <v>1.3803599819897647</v>
      </c>
      <c r="O125" s="927">
        <v>1.2899907066179628</v>
      </c>
      <c r="P125" s="928">
        <v>1.2614414589255476</v>
      </c>
      <c r="Q125" s="926">
        <v>1.1294756573169897</v>
      </c>
      <c r="R125" s="926"/>
      <c r="S125" s="926"/>
      <c r="T125" s="926"/>
      <c r="U125" s="834"/>
      <c r="V125" s="946"/>
      <c r="W125" s="946"/>
      <c r="X125" s="926"/>
      <c r="Y125" s="926"/>
      <c r="Z125" s="834"/>
    </row>
    <row r="126" spans="1:46" ht="18">
      <c r="A126" s="825"/>
      <c r="B126" s="868"/>
      <c r="C126" s="868"/>
      <c r="D126" s="868"/>
      <c r="E126" s="868"/>
      <c r="F126" s="849"/>
      <c r="G126" s="868"/>
      <c r="H126" s="868"/>
      <c r="I126" s="868"/>
      <c r="J126" s="868"/>
      <c r="K126" s="841"/>
      <c r="L126" s="929"/>
      <c r="M126" s="929"/>
      <c r="N126" s="929"/>
      <c r="O126" s="924"/>
      <c r="P126" s="925"/>
      <c r="Q126" s="929"/>
      <c r="R126" s="929"/>
      <c r="S126" s="929"/>
      <c r="T126" s="929"/>
      <c r="U126" s="849"/>
      <c r="V126" s="894"/>
      <c r="W126" s="894"/>
      <c r="X126" s="941"/>
      <c r="Y126" s="857"/>
      <c r="Z126" s="849"/>
    </row>
    <row r="127" spans="1:46" ht="18">
      <c r="A127" s="905" t="s">
        <v>2861</v>
      </c>
      <c r="B127" s="906">
        <v>6.2997411315128895</v>
      </c>
      <c r="C127" s="906">
        <v>5.2451032113724496</v>
      </c>
      <c r="D127" s="906">
        <v>5.8005676870077334</v>
      </c>
      <c r="E127" s="906">
        <v>6.3804752602391455</v>
      </c>
      <c r="F127" s="907">
        <f>SUM(B127:E127)</f>
        <v>23.725887290132217</v>
      </c>
      <c r="G127" s="906">
        <v>3.1370523845490532</v>
      </c>
      <c r="H127" s="906">
        <v>6.0116526726961315</v>
      </c>
      <c r="I127" s="906">
        <v>7.7879552278728807</v>
      </c>
      <c r="J127" s="906">
        <v>4.9952332054154827</v>
      </c>
      <c r="K127" s="908">
        <v>21.931893490533547</v>
      </c>
      <c r="L127" s="934">
        <v>3.991987897238054</v>
      </c>
      <c r="M127" s="934">
        <v>5.3312505314757255</v>
      </c>
      <c r="N127" s="934">
        <v>5.8197304789720512</v>
      </c>
      <c r="O127" s="935">
        <v>7.7164968832371388</v>
      </c>
      <c r="P127" s="936">
        <v>22.859465790922968</v>
      </c>
      <c r="Q127" s="934">
        <v>7.5658031397147996</v>
      </c>
      <c r="R127" s="934">
        <v>7.7533817324619712</v>
      </c>
      <c r="S127" s="934">
        <v>7.6442692610780174</v>
      </c>
      <c r="T127" s="934">
        <v>7.5225506199954433</v>
      </c>
      <c r="U127" s="908">
        <v>30.486004753250231</v>
      </c>
      <c r="V127" s="948">
        <v>8.7356110477859943</v>
      </c>
      <c r="W127" s="906">
        <v>7.5781428089140093</v>
      </c>
      <c r="X127" s="906">
        <v>9.0548702597372923</v>
      </c>
      <c r="Y127" s="944">
        <v>9.6017112696490301</v>
      </c>
      <c r="Z127" s="908">
        <f>Africa!P79</f>
        <v>34.970335386086276</v>
      </c>
      <c r="AQ127" s="820"/>
      <c r="AR127" s="820"/>
      <c r="AS127" s="820"/>
      <c r="AT127" s="820"/>
    </row>
    <row r="129" spans="1:33">
      <c r="B129" s="636" t="s">
        <v>2847</v>
      </c>
      <c r="C129" s="630"/>
      <c r="D129" s="630"/>
      <c r="E129" s="630"/>
      <c r="F129" s="630"/>
      <c r="G129" s="630"/>
      <c r="H129" s="630"/>
      <c r="I129" s="630"/>
      <c r="J129" s="630"/>
    </row>
    <row r="130" spans="1:33">
      <c r="A130" s="689" t="s">
        <v>3322</v>
      </c>
      <c r="B130" s="778"/>
      <c r="C130" s="778"/>
      <c r="D130" s="778"/>
      <c r="E130" s="690" t="str">
        <f t="shared" ref="E130:K130" si="20">AG1</f>
        <v>Q1 2013</v>
      </c>
      <c r="F130" s="690" t="str">
        <f t="shared" si="20"/>
        <v>Q2 2013</v>
      </c>
      <c r="G130" s="690" t="str">
        <f t="shared" si="20"/>
        <v>Q3 2013</v>
      </c>
      <c r="H130" s="690" t="str">
        <f t="shared" si="20"/>
        <v>Q4 2013</v>
      </c>
      <c r="I130" s="690" t="str">
        <f t="shared" si="20"/>
        <v>Q1 2014</v>
      </c>
      <c r="J130" s="690" t="str">
        <f t="shared" si="20"/>
        <v>Q2 2014</v>
      </c>
      <c r="K130" s="690" t="str">
        <f t="shared" si="20"/>
        <v>Q3 2014</v>
      </c>
      <c r="P130" s="690"/>
      <c r="Q130" s="690"/>
      <c r="R130" s="690"/>
      <c r="S130" s="690"/>
      <c r="T130" s="690"/>
      <c r="U130" s="690" t="str">
        <f>F130</f>
        <v>Q2 2013</v>
      </c>
      <c r="V130" s="690"/>
      <c r="W130" s="690"/>
      <c r="X130" s="690"/>
      <c r="Y130" s="690"/>
      <c r="Z130" s="690"/>
      <c r="AA130" s="690" t="str">
        <f>F130</f>
        <v>Q2 2013</v>
      </c>
      <c r="AB130" s="690" t="str">
        <f>G130</f>
        <v>Q3 2013</v>
      </c>
      <c r="AC130" s="690" t="str">
        <f>H130</f>
        <v>Q4 2013</v>
      </c>
      <c r="AD130" s="690" t="str">
        <f>I130</f>
        <v>Q1 2014</v>
      </c>
      <c r="AE130" s="690" t="str">
        <f>J130</f>
        <v>Q2 2014</v>
      </c>
    </row>
    <row r="131" spans="1:33">
      <c r="A131" s="704" t="s">
        <v>2849</v>
      </c>
      <c r="B131" s="778"/>
      <c r="C131" s="778"/>
      <c r="D131" s="778"/>
      <c r="E131" s="779">
        <f t="shared" ref="E131:K131" si="21">AG38</f>
        <v>-7.8918288470479658E-2</v>
      </c>
      <c r="F131" s="779">
        <f t="shared" si="21"/>
        <v>-5.1010660177497558E-2</v>
      </c>
      <c r="G131" s="779">
        <f t="shared" si="21"/>
        <v>-6.1191573450031123E-2</v>
      </c>
      <c r="H131" s="779">
        <f t="shared" si="21"/>
        <v>-8.5630729430726582E-2</v>
      </c>
      <c r="I131" s="779">
        <f t="shared" si="21"/>
        <v>-7.573081312759633E-2</v>
      </c>
      <c r="J131" s="779">
        <f t="shared" si="21"/>
        <v>-9.0005566716797603E-2</v>
      </c>
      <c r="K131" s="779">
        <f t="shared" si="21"/>
        <v>-8.2654893841069832E-2</v>
      </c>
      <c r="P131" s="634"/>
      <c r="Q131" s="634"/>
      <c r="R131" s="634"/>
      <c r="S131" s="634"/>
      <c r="T131" s="634"/>
      <c r="U131" s="634">
        <f>(M38-H38)/(M$35-H$35-16000)*F$151</f>
        <v>-1.1469084258743351E-2</v>
      </c>
      <c r="V131" s="634"/>
      <c r="W131" s="634"/>
      <c r="X131" s="634"/>
      <c r="Y131" s="634"/>
      <c r="Z131" s="634"/>
      <c r="AA131" s="634">
        <f>(M38-H38)/(M$35-H$35-16000)*F$151</f>
        <v>-1.1469084258743351E-2</v>
      </c>
      <c r="AB131" s="634">
        <f>(N38-I38)/(N$35-I$35-17000)*G$151</f>
        <v>-1.7047547380827616E-2</v>
      </c>
      <c r="AC131" s="634">
        <f>(O38-J38)/(O$35-J$35)*H$151</f>
        <v>-2.3372921212259267E-2</v>
      </c>
      <c r="AD131" s="634">
        <f>(Q38-L38)/(Q$35-L$35)*I$151</f>
        <v>-1.9816185905921501E-2</v>
      </c>
      <c r="AE131" s="634">
        <f>(R38-M38)/(R$35-M$35)*J$151</f>
        <v>-2.3558257469763491E-2</v>
      </c>
      <c r="AF131" s="635"/>
      <c r="AG131" s="635"/>
    </row>
    <row r="132" spans="1:33">
      <c r="A132" s="704" t="s">
        <v>2850</v>
      </c>
      <c r="B132" s="778"/>
      <c r="C132" s="778"/>
      <c r="D132" s="778"/>
      <c r="E132" s="779">
        <f t="shared" ref="E132:K132" si="22">AG69</f>
        <v>1.8257473214676301E-2</v>
      </c>
      <c r="F132" s="779">
        <f t="shared" si="22"/>
        <v>4.1403765258671843E-3</v>
      </c>
      <c r="G132" s="779">
        <f t="shared" si="22"/>
        <v>8.8025136067040322E-3</v>
      </c>
      <c r="H132" s="779">
        <f t="shared" si="22"/>
        <v>4.8549203478923442E-2</v>
      </c>
      <c r="I132" s="779">
        <f t="shared" si="22"/>
        <v>1.1977257065725055E-3</v>
      </c>
      <c r="J132" s="779">
        <f t="shared" si="22"/>
        <v>2.3558688533548144E-2</v>
      </c>
      <c r="K132" s="779">
        <f t="shared" si="22"/>
        <v>9.2086140374101344E-3</v>
      </c>
      <c r="P132" s="634"/>
      <c r="Q132" s="634"/>
      <c r="R132" s="634"/>
      <c r="S132" s="634"/>
      <c r="T132" s="634"/>
      <c r="U132" s="634">
        <f>(M69-H69)/(M$35-H$35-16000)*F$151</f>
        <v>7.8506595102289785E-4</v>
      </c>
      <c r="V132" s="634"/>
      <c r="W132" s="634"/>
      <c r="X132" s="634"/>
      <c r="Y132" s="634"/>
      <c r="Z132" s="634"/>
      <c r="AA132" s="634">
        <f>(M69-H69)/(M$35-H$35-16000)*F$151</f>
        <v>7.8506595102289785E-4</v>
      </c>
      <c r="AB132" s="634">
        <f>(N69-I69)/(N$35-I$35-17000)*G$151</f>
        <v>2.1688261955971609E-3</v>
      </c>
      <c r="AC132" s="634">
        <f>(O69-J69)/(O$35-J$35)*H$151</f>
        <v>1.182594997513607E-2</v>
      </c>
      <c r="AD132" s="634">
        <f>(Q69-L69)/(Q$35-L$35)*I$151</f>
        <v>2.8553298355871794E-4</v>
      </c>
      <c r="AE132" s="634">
        <f>(R69-M69)/(R$35-M$35)*J$151</f>
        <v>5.5024550736035927E-3</v>
      </c>
      <c r="AF132" s="635"/>
      <c r="AG132" s="635"/>
    </row>
    <row r="133" spans="1:33">
      <c r="A133" s="780" t="s">
        <v>2851</v>
      </c>
      <c r="B133" s="778"/>
      <c r="C133" s="778"/>
      <c r="D133" s="778"/>
      <c r="E133" s="781">
        <f t="shared" ref="E133:K133" si="23">AG100</f>
        <v>-7.6140990804300146E-2</v>
      </c>
      <c r="F133" s="781">
        <f t="shared" si="23"/>
        <v>-7.9688513280226414E-2</v>
      </c>
      <c r="G133" s="781">
        <f t="shared" si="23"/>
        <v>-2.866524761556688E-4</v>
      </c>
      <c r="H133" s="781">
        <f t="shared" si="23"/>
        <v>4.4826799849095877E-2</v>
      </c>
      <c r="I133" s="781">
        <f t="shared" si="23"/>
        <v>4.095970437889962E-2</v>
      </c>
      <c r="J133" s="781">
        <f t="shared" si="23"/>
        <v>5.9416161882606122E-2</v>
      </c>
      <c r="K133" s="781">
        <f t="shared" si="23"/>
        <v>-6.7479235782994529E-3</v>
      </c>
      <c r="P133" s="637"/>
      <c r="Q133" s="637"/>
      <c r="R133" s="637"/>
      <c r="S133" s="637"/>
      <c r="T133" s="637"/>
      <c r="U133" s="637">
        <f>(M100-H100)/(M$35-H$35-16000)*F$151</f>
        <v>-9.5578947436907209E-3</v>
      </c>
      <c r="V133" s="637"/>
      <c r="W133" s="637"/>
      <c r="X133" s="637"/>
      <c r="Y133" s="637"/>
      <c r="Z133" s="637"/>
      <c r="AA133" s="637">
        <f>(M100-H100)/(M$35-H$35-16000)*F$151</f>
        <v>-9.5578947436907209E-3</v>
      </c>
      <c r="AB133" s="637">
        <f>(N100-I100)/(N$35-I$35-17000)*G$151</f>
        <v>-4.3970148596102444E-5</v>
      </c>
      <c r="AC133" s="637">
        <f>(O100-J100)/(O$35-J$35)*H$151</f>
        <v>6.4961873149596543E-3</v>
      </c>
      <c r="AD133" s="637">
        <f>(Q100-L100)/(Q$35-L$35)*I$151</f>
        <v>5.7376508523736399E-3</v>
      </c>
      <c r="AE133" s="637">
        <f>(R100-M100)/(R$35-M$35)*J$151</f>
        <v>8.0454551091277086E-3</v>
      </c>
      <c r="AF133" s="635"/>
      <c r="AG133" s="635"/>
    </row>
    <row r="134" spans="1:33" ht="15.75">
      <c r="A134" s="782" t="str">
        <f>A6</f>
        <v>Voice/SMS</v>
      </c>
      <c r="B134" s="778"/>
      <c r="C134" s="778"/>
      <c r="D134" s="778"/>
      <c r="E134" s="783">
        <f t="shared" ref="E134:K134" si="24">AG6</f>
        <v>-4.4324495797399943E-2</v>
      </c>
      <c r="F134" s="783">
        <f t="shared" si="24"/>
        <v>-3.7878546901866317E-2</v>
      </c>
      <c r="G134" s="783">
        <f t="shared" si="24"/>
        <v>-2.1997798588754947E-2</v>
      </c>
      <c r="H134" s="783">
        <f t="shared" si="24"/>
        <v>-7.6358744984287297E-3</v>
      </c>
      <c r="I134" s="783">
        <f t="shared" si="24"/>
        <v>-2.1546770196943399E-2</v>
      </c>
      <c r="J134" s="783">
        <f t="shared" si="24"/>
        <v>-1.5871440351597266E-2</v>
      </c>
      <c r="K134" s="783">
        <f t="shared" si="24"/>
        <v>-3.0694038794890299E-2</v>
      </c>
      <c r="P134" s="633"/>
      <c r="Q134" s="633"/>
      <c r="R134" s="633"/>
      <c r="S134" s="633"/>
      <c r="T134" s="633"/>
      <c r="U134" s="633">
        <f>(M6-H6)/(M$35-H$35-16000)*F$151</f>
        <v>-2.0241913051411209E-2</v>
      </c>
      <c r="V134" s="633"/>
      <c r="W134" s="633"/>
      <c r="X134" s="633"/>
      <c r="Y134" s="633"/>
      <c r="Z134" s="633"/>
      <c r="AA134" s="633">
        <f>(M6-H6)/(M$35-H$35-16000)*F$151</f>
        <v>-2.0241913051411209E-2</v>
      </c>
      <c r="AB134" s="633">
        <f>(N6-I6)/(N$35-I$35-17000)*G$151</f>
        <v>-1.4922691333826532E-2</v>
      </c>
      <c r="AC134" s="633">
        <f>(O6-J6)/(O$35-J$35)*H$151</f>
        <v>-5.0507839221635405E-3</v>
      </c>
      <c r="AD134" s="633">
        <f>(Q6-L6)/(Q$35-L$35)*I$151</f>
        <v>-1.3793002069989166E-2</v>
      </c>
      <c r="AE134" s="633">
        <f>(R6-M6)/(R$35-M$35)*J$151</f>
        <v>-1.0010347287032062E-2</v>
      </c>
      <c r="AF134" s="727"/>
      <c r="AG134" s="727"/>
    </row>
    <row r="135" spans="1:33">
      <c r="A135" s="704"/>
      <c r="B135" s="778"/>
      <c r="C135" s="778"/>
      <c r="D135" s="778"/>
      <c r="E135" s="704"/>
      <c r="F135" s="704"/>
      <c r="G135" s="704"/>
      <c r="H135" s="704"/>
      <c r="I135" s="704"/>
      <c r="J135" s="704"/>
      <c r="K135" s="704"/>
      <c r="AF135" s="635"/>
      <c r="AG135" s="635"/>
    </row>
    <row r="136" spans="1:33">
      <c r="A136" s="704" t="s">
        <v>2853</v>
      </c>
      <c r="B136" s="778"/>
      <c r="C136" s="778"/>
      <c r="D136" s="778"/>
      <c r="E136" s="779">
        <f t="shared" ref="E136:K136" si="25">AG39</f>
        <v>0.25871448637289207</v>
      </c>
      <c r="F136" s="779">
        <f t="shared" si="25"/>
        <v>0.1580061878211112</v>
      </c>
      <c r="G136" s="779">
        <f t="shared" si="25"/>
        <v>0.21073909916526246</v>
      </c>
      <c r="H136" s="779">
        <f t="shared" si="25"/>
        <v>0.2601182004602256</v>
      </c>
      <c r="I136" s="779">
        <f t="shared" si="25"/>
        <v>0.28434941295371208</v>
      </c>
      <c r="J136" s="779">
        <f t="shared" si="25"/>
        <v>0.32474789835355211</v>
      </c>
      <c r="K136" s="779">
        <f t="shared" si="25"/>
        <v>0.3372066636268567</v>
      </c>
      <c r="P136" s="634"/>
      <c r="Q136" s="634"/>
      <c r="R136" s="634"/>
      <c r="S136" s="634"/>
      <c r="T136" s="634"/>
      <c r="U136" s="634">
        <f>(M39-H39)/(M$35-H$35-16000)*F$151</f>
        <v>5.1609958849439018E-3</v>
      </c>
      <c r="V136" s="634"/>
      <c r="W136" s="634"/>
      <c r="X136" s="634"/>
      <c r="Y136" s="634"/>
      <c r="Z136" s="634"/>
      <c r="AA136" s="634">
        <f>(M39-H39)/(M$35-H$35-16000)*F$151</f>
        <v>5.1609958849439018E-3</v>
      </c>
      <c r="AB136" s="634">
        <f>(N39-I39)/(N$35-I$35-17000)*G$151</f>
        <v>8.8601166582837187E-3</v>
      </c>
      <c r="AC136" s="634">
        <f>(O39-J39)/(O$35-J$35)*H$151</f>
        <v>1.0656850018941566E-2</v>
      </c>
      <c r="AD136" s="634">
        <f>(Q39-L39)/(Q$35-L$35)*I$151</f>
        <v>1.2635909758191628E-2</v>
      </c>
      <c r="AE136" s="634">
        <f>(R39-M39)/(R$35-M$35)*J$151</f>
        <v>1.5068197606649387E-2</v>
      </c>
      <c r="AF136" s="635"/>
      <c r="AG136" s="635"/>
    </row>
    <row r="137" spans="1:33">
      <c r="A137" s="704" t="s">
        <v>2855</v>
      </c>
      <c r="B137" s="778"/>
      <c r="C137" s="778"/>
      <c r="D137" s="778"/>
      <c r="E137" s="779">
        <f t="shared" ref="E137:K137" si="26">AG70</f>
        <v>0.44143457176423739</v>
      </c>
      <c r="F137" s="779">
        <f t="shared" si="26"/>
        <v>0.36143124165309048</v>
      </c>
      <c r="G137" s="779">
        <f t="shared" si="26"/>
        <v>0.28373148316283414</v>
      </c>
      <c r="H137" s="779">
        <f t="shared" si="26"/>
        <v>0.2931146950043868</v>
      </c>
      <c r="I137" s="779">
        <f t="shared" si="26"/>
        <v>0.16747376097315403</v>
      </c>
      <c r="J137" s="779">
        <f t="shared" si="26"/>
        <v>0.25004261928087068</v>
      </c>
      <c r="K137" s="779">
        <f t="shared" si="26"/>
        <v>0.3822753642502541</v>
      </c>
      <c r="P137" s="634"/>
      <c r="Q137" s="634"/>
      <c r="R137" s="634"/>
      <c r="S137" s="634"/>
      <c r="T137" s="634"/>
      <c r="U137" s="634">
        <f>(M70-H70)/(M$35-H$35-16000)*F$151</f>
        <v>1.5365893481621968E-2</v>
      </c>
      <c r="V137" s="634"/>
      <c r="W137" s="634"/>
      <c r="X137" s="634"/>
      <c r="Y137" s="634"/>
      <c r="Z137" s="634"/>
      <c r="AA137" s="634">
        <f>(M70-H70)/(M$35-H$35-16000)*F$151</f>
        <v>1.5365893481621968E-2</v>
      </c>
      <c r="AB137" s="634">
        <f>(N70-I70)/(N$35-I$35-17000)*G$151</f>
        <v>1.6683401660528202E-2</v>
      </c>
      <c r="AC137" s="634">
        <f>(O70-J70)/(O$35-J$35)*H$151</f>
        <v>1.7486626050783528E-2</v>
      </c>
      <c r="AD137" s="634">
        <f>(Q70-L70)/(Q$35-L$35)*I$151</f>
        <v>1.1563185924500735E-2</v>
      </c>
      <c r="AE137" s="634">
        <f>(R70-M70)/(R$35-M$35)*J$151</f>
        <v>1.7753604494734992E-2</v>
      </c>
      <c r="AF137" s="635"/>
      <c r="AG137" s="635"/>
    </row>
    <row r="138" spans="1:33">
      <c r="A138" s="780" t="s">
        <v>2856</v>
      </c>
      <c r="B138" s="778"/>
      <c r="C138" s="778"/>
      <c r="D138" s="778"/>
      <c r="E138" s="781">
        <f t="shared" ref="E138:K138" si="27">AG101</f>
        <v>1.2794622801946653</v>
      </c>
      <c r="F138" s="781">
        <f t="shared" si="27"/>
        <v>1.2406977988998853</v>
      </c>
      <c r="G138" s="781">
        <f t="shared" si="27"/>
        <v>0.78450260486977608</v>
      </c>
      <c r="H138" s="781">
        <f t="shared" si="27"/>
        <v>0.51269859599644496</v>
      </c>
      <c r="I138" s="781">
        <f t="shared" si="27"/>
        <v>0.43372381643098201</v>
      </c>
      <c r="J138" s="781">
        <f t="shared" si="27"/>
        <v>0.46356005621216423</v>
      </c>
      <c r="K138" s="781">
        <f t="shared" si="27"/>
        <v>0.47971004361745773</v>
      </c>
      <c r="P138" s="637"/>
      <c r="Q138" s="637"/>
      <c r="R138" s="637"/>
      <c r="S138" s="637"/>
      <c r="T138" s="637"/>
      <c r="U138" s="637">
        <f>(M101-H101)/(M$35-H$35-16000)*F$151</f>
        <v>3.5651565443724355E-3</v>
      </c>
      <c r="V138" s="637"/>
      <c r="W138" s="637"/>
      <c r="X138" s="637"/>
      <c r="Y138" s="637"/>
      <c r="Z138" s="637"/>
      <c r="AA138" s="637">
        <f>(M101-H101)/(M$35-H$35-16000)*F$151</f>
        <v>3.5651565443724355E-3</v>
      </c>
      <c r="AB138" s="637">
        <f>(N101-I101)/(N$35-I$35-17000)*G$151</f>
        <v>4.0624491032985521E-3</v>
      </c>
      <c r="AC138" s="637">
        <f>(O101-J101)/(O$35-J$35)*H$151</f>
        <v>3.3942696501048073E-3</v>
      </c>
      <c r="AD138" s="637">
        <f>(Q101-L101)/(Q$35-L$35)*I$151</f>
        <v>3.1207545025459769E-3</v>
      </c>
      <c r="AE138" s="637">
        <f>(R101-M101)/(R$35-M$35)*J$151</f>
        <v>3.6613946866278601E-3</v>
      </c>
      <c r="AF138" s="635"/>
      <c r="AG138" s="635"/>
    </row>
    <row r="139" spans="1:33" ht="15.75">
      <c r="A139" s="782" t="str">
        <f>A7</f>
        <v>Internet</v>
      </c>
      <c r="B139" s="778"/>
      <c r="C139" s="778"/>
      <c r="D139" s="778"/>
      <c r="E139" s="783">
        <f t="shared" ref="E139:K139" si="28">AG7</f>
        <v>0.39736933236192606</v>
      </c>
      <c r="F139" s="783">
        <f t="shared" si="28"/>
        <v>0.30867144384414402</v>
      </c>
      <c r="G139" s="783">
        <f t="shared" si="28"/>
        <v>0.27924519771771039</v>
      </c>
      <c r="H139" s="783">
        <f t="shared" si="28"/>
        <v>0.29406475109018682</v>
      </c>
      <c r="I139" s="783">
        <f t="shared" si="28"/>
        <v>0.22638636186837369</v>
      </c>
      <c r="J139" s="783">
        <f t="shared" si="28"/>
        <v>0.29116580617185117</v>
      </c>
      <c r="K139" s="783">
        <f t="shared" si="28"/>
        <v>0.37199894835228675</v>
      </c>
      <c r="P139" s="633"/>
      <c r="Q139" s="633"/>
      <c r="R139" s="633"/>
      <c r="S139" s="633"/>
      <c r="T139" s="633"/>
      <c r="U139" s="633">
        <f>(M7-H7)/(M$35-H$35-16000)*F$151</f>
        <v>2.4092045910938293E-2</v>
      </c>
      <c r="V139" s="633"/>
      <c r="W139" s="633"/>
      <c r="X139" s="633"/>
      <c r="Y139" s="633"/>
      <c r="Z139" s="633"/>
      <c r="AA139" s="633">
        <f>(M7-H7)/(M$35-H$35-16000)*F$151</f>
        <v>2.4092045910938293E-2</v>
      </c>
      <c r="AB139" s="633">
        <f>(N7-I7)/(N$35-I$35-17000)*G$151</f>
        <v>2.9605967422110472E-2</v>
      </c>
      <c r="AC139" s="633">
        <f>(O7-J7)/(O$35-J$35)*H$151</f>
        <v>3.1537745719829889E-2</v>
      </c>
      <c r="AD139" s="633">
        <f>(Q7-L7)/(Q$35-L$35)*I$151</f>
        <v>2.7319850185238328E-2</v>
      </c>
      <c r="AE139" s="633">
        <f>(R7-M7)/(R$35-M$35)*J$151</f>
        <v>3.6483196788012241E-2</v>
      </c>
      <c r="AF139" s="727"/>
      <c r="AG139" s="727"/>
    </row>
    <row r="140" spans="1:33">
      <c r="A140" s="704"/>
      <c r="B140" s="778"/>
      <c r="C140" s="778"/>
      <c r="D140" s="778"/>
      <c r="E140" s="704"/>
      <c r="F140" s="704"/>
      <c r="G140" s="704"/>
      <c r="H140" s="704"/>
      <c r="I140" s="704"/>
      <c r="J140" s="704"/>
      <c r="K140" s="704"/>
      <c r="AF140" s="635"/>
      <c r="AG140" s="635"/>
    </row>
    <row r="141" spans="1:33">
      <c r="A141" s="704" t="s">
        <v>2857</v>
      </c>
      <c r="B141" s="778"/>
      <c r="C141" s="778"/>
      <c r="D141" s="778"/>
      <c r="E141" s="779">
        <f t="shared" ref="E141:K141" si="29">AG40</f>
        <v>6.2276976295586373E-2</v>
      </c>
      <c r="F141" s="779">
        <f t="shared" si="29"/>
        <v>2.7031889227875361E-2</v>
      </c>
      <c r="G141" s="779">
        <f t="shared" si="29"/>
        <v>-1.2695350456374932E-2</v>
      </c>
      <c r="H141" s="779">
        <f t="shared" si="29"/>
        <v>4.1389118394853597E-2</v>
      </c>
      <c r="I141" s="779">
        <f t="shared" si="29"/>
        <v>3.1921252761850205E-2</v>
      </c>
      <c r="J141" s="779">
        <f t="shared" si="29"/>
        <v>1.9990895264201836E-2</v>
      </c>
      <c r="K141" s="779">
        <f t="shared" si="29"/>
        <v>7.6167961944131335E-3</v>
      </c>
      <c r="P141" s="634"/>
      <c r="Q141" s="634"/>
      <c r="R141" s="634"/>
      <c r="S141" s="634"/>
      <c r="T141" s="634"/>
      <c r="U141" s="634">
        <f>(M40-H40)/(M$35-H$35-16000)*F$151</f>
        <v>9.2746823170459277E-4</v>
      </c>
      <c r="V141" s="634"/>
      <c r="W141" s="634"/>
      <c r="X141" s="634"/>
      <c r="Y141" s="634"/>
      <c r="Z141" s="634"/>
      <c r="AA141" s="634">
        <f>(M40-H40)/(M$35-H$35-16000)*F$151</f>
        <v>9.2746823170459277E-4</v>
      </c>
      <c r="AB141" s="634">
        <f>(N40-I40)/(N$35-I$35-17000)*G$151</f>
        <v>-5.5856951657785143E-4</v>
      </c>
      <c r="AC141" s="634">
        <f>(O40-J40)/(O$35-J$35)*H$151</f>
        <v>1.7522007198418354E-3</v>
      </c>
      <c r="AD141" s="634">
        <f>(Q40-L40)/(Q$35-L$35)*I$151</f>
        <v>1.3645055277376516E-3</v>
      </c>
      <c r="AE141" s="634">
        <f>(R40-M40)/(R$35-M$35)*J$151</f>
        <v>8.641387416322159E-4</v>
      </c>
      <c r="AF141" s="635"/>
      <c r="AG141" s="635"/>
    </row>
    <row r="142" spans="1:33">
      <c r="A142" s="704" t="s">
        <v>2858</v>
      </c>
      <c r="B142" s="778"/>
      <c r="C142" s="778"/>
      <c r="D142" s="778"/>
      <c r="E142" s="779">
        <f t="shared" ref="E142:K142" si="30">AG71</f>
        <v>0.24516779964597202</v>
      </c>
      <c r="F142" s="779">
        <f t="shared" si="30"/>
        <v>0.2430811521867644</v>
      </c>
      <c r="G142" s="779">
        <f t="shared" si="30"/>
        <v>0.19034567344082753</v>
      </c>
      <c r="H142" s="779">
        <f t="shared" si="30"/>
        <v>0.31591095249409173</v>
      </c>
      <c r="I142" s="779">
        <f t="shared" si="30"/>
        <v>0.15995776445924226</v>
      </c>
      <c r="J142" s="779">
        <f t="shared" si="30"/>
        <v>0.13919428673590706</v>
      </c>
      <c r="K142" s="779">
        <f t="shared" si="30"/>
        <v>0.20690351250360184</v>
      </c>
      <c r="P142" s="634"/>
      <c r="Q142" s="634"/>
      <c r="R142" s="634"/>
      <c r="S142" s="634"/>
      <c r="T142" s="634"/>
      <c r="U142" s="634">
        <f>(M71-H71)/(M$35-H$35-16000)*F$151</f>
        <v>4.7247377415516783E-3</v>
      </c>
      <c r="V142" s="634"/>
      <c r="W142" s="634"/>
      <c r="X142" s="634"/>
      <c r="Y142" s="634"/>
      <c r="Z142" s="634"/>
      <c r="AA142" s="634">
        <f>(M71-H71)/(M$35-H$35-16000)*F$151</f>
        <v>4.7247377415516783E-3</v>
      </c>
      <c r="AB142" s="634">
        <f>(N71-I71)/(N$35-I$35-17000)*G$151</f>
        <v>4.7282429259254905E-3</v>
      </c>
      <c r="AC142" s="634">
        <f>(O71-J71)/(O$35-J$35)*H$151</f>
        <v>7.9069857514554465E-3</v>
      </c>
      <c r="AD142" s="634">
        <f>(Q71-L71)/(Q$35-L$35)*I$151</f>
        <v>4.5040074868627541E-3</v>
      </c>
      <c r="AE142" s="634">
        <f>(R71-M71)/(R$35-M$35)*J$151</f>
        <v>4.1256461102806806E-3</v>
      </c>
      <c r="AF142" s="635"/>
      <c r="AG142" s="635"/>
    </row>
    <row r="143" spans="1:33">
      <c r="A143" s="780" t="s">
        <v>2859</v>
      </c>
      <c r="B143" s="778"/>
      <c r="C143" s="778"/>
      <c r="D143" s="778"/>
      <c r="E143" s="781">
        <f t="shared" ref="E143:K143" si="31">AG102</f>
        <v>0.20859014785534247</v>
      </c>
      <c r="F143" s="781">
        <f t="shared" si="31"/>
        <v>5.2818220970457519E-2</v>
      </c>
      <c r="G143" s="781">
        <f t="shared" si="31"/>
        <v>-0.1019147998946901</v>
      </c>
      <c r="H143" s="781">
        <f t="shared" si="31"/>
        <v>-0.20844708065303685</v>
      </c>
      <c r="I143" s="781">
        <f t="shared" si="31"/>
        <v>-0.27799491680337562</v>
      </c>
      <c r="J143" s="781">
        <f t="shared" si="31"/>
        <v>-0.31922446824478778</v>
      </c>
      <c r="K143" s="781">
        <f t="shared" si="31"/>
        <v>-0.34019606548374726</v>
      </c>
      <c r="P143" s="637"/>
      <c r="Q143" s="637"/>
      <c r="R143" s="637"/>
      <c r="S143" s="637"/>
      <c r="T143" s="637"/>
      <c r="U143" s="637">
        <f>(M102-H102)/(M$35-H$35-16000)*F$151</f>
        <v>4.21709209070681E-4</v>
      </c>
      <c r="V143" s="637"/>
      <c r="W143" s="637"/>
      <c r="X143" s="637"/>
      <c r="Y143" s="637"/>
      <c r="Z143" s="637"/>
      <c r="AA143" s="637">
        <f>(M102-H102)/(M$35-H$35-16000)*F$151</f>
        <v>4.21709209070681E-4</v>
      </c>
      <c r="AB143" s="637">
        <f>(N102-I102)/(N$35-I$35-17000)*G$151</f>
        <v>-1.1175944614904728E-3</v>
      </c>
      <c r="AC143" s="637">
        <f>(O102-J102)/(O$35-J$35)*H$151</f>
        <v>-2.311436232490595E-3</v>
      </c>
      <c r="AD143" s="637">
        <f>(Q102-L102)/(Q$35-L$35)*I$151</f>
        <v>-2.9844018709457168E-3</v>
      </c>
      <c r="AE143" s="637">
        <f>(R102-M102)/(R$35-M$35)*J$151</f>
        <v>-3.2917249609292075E-3</v>
      </c>
      <c r="AF143" s="635"/>
      <c r="AG143" s="635"/>
    </row>
    <row r="144" spans="1:33" ht="15.75">
      <c r="A144" s="782" t="str">
        <f>A8</f>
        <v>Other VAS</v>
      </c>
      <c r="B144" s="778"/>
      <c r="C144" s="778"/>
      <c r="D144" s="778"/>
      <c r="E144" s="783">
        <f t="shared" ref="E144:K144" si="32">AG8</f>
        <v>0.13804687360096124</v>
      </c>
      <c r="F144" s="783">
        <f t="shared" si="32"/>
        <v>9.8392974520116638E-2</v>
      </c>
      <c r="G144" s="783">
        <f t="shared" si="32"/>
        <v>3.824457890333921E-2</v>
      </c>
      <c r="H144" s="783">
        <f t="shared" si="32"/>
        <v>9.3658209405762749E-2</v>
      </c>
      <c r="I144" s="783">
        <f t="shared" si="32"/>
        <v>3.5327647818755414E-2</v>
      </c>
      <c r="J144" s="783">
        <f t="shared" si="32"/>
        <v>2.0414839237006266E-2</v>
      </c>
      <c r="K144" s="783">
        <f t="shared" si="32"/>
        <v>3.7393963628004512E-2</v>
      </c>
      <c r="P144" s="633"/>
      <c r="Q144" s="633"/>
      <c r="R144" s="633"/>
      <c r="S144" s="633"/>
      <c r="T144" s="633"/>
      <c r="U144" s="633">
        <f>(M8-H8)/(M$35-H$35-16000)*F$151</f>
        <v>6.0739151823269548E-3</v>
      </c>
      <c r="V144" s="633"/>
      <c r="W144" s="633"/>
      <c r="X144" s="633"/>
      <c r="Y144" s="633"/>
      <c r="Z144" s="633"/>
      <c r="AA144" s="633">
        <f>(M8-H8)/(M$35-H$35-16000)*F$151</f>
        <v>6.0739151823269548E-3</v>
      </c>
      <c r="AB144" s="633">
        <f>(N8-I8)/(N$35-I$35-17000)*G$151</f>
        <v>3.0520789478571744E-3</v>
      </c>
      <c r="AC144" s="633">
        <f>(O8-J8)/(O$35-J$35)*H$151</f>
        <v>7.3477502388066959E-3</v>
      </c>
      <c r="AD144" s="633">
        <f>(Q8-L8)/(Q$35-L$35)*I$151</f>
        <v>2.884111143654691E-3</v>
      </c>
      <c r="AE144" s="633">
        <f>(R8-M8)/(R$35-M$35)*J$151</f>
        <v>1.6980598909836938E-3</v>
      </c>
      <c r="AF144" s="727"/>
      <c r="AG144" s="727"/>
    </row>
    <row r="145" spans="1:33">
      <c r="A145" s="703" t="s">
        <v>3098</v>
      </c>
      <c r="B145" s="778"/>
      <c r="C145" s="778"/>
      <c r="D145" s="778"/>
      <c r="E145" s="783">
        <f t="shared" ref="E145:K145" si="33">AG5</f>
        <v>1.7549921559059989E-2</v>
      </c>
      <c r="F145" s="783">
        <f t="shared" si="33"/>
        <v>1.4720353227781313E-2</v>
      </c>
      <c r="G145" s="783">
        <f t="shared" si="33"/>
        <v>2.052233636488765E-2</v>
      </c>
      <c r="H145" s="783">
        <f t="shared" si="33"/>
        <v>3.9939223057875672E-2</v>
      </c>
      <c r="I145" s="783">
        <f t="shared" si="33"/>
        <v>1.9479823266782548E-2</v>
      </c>
      <c r="J145" s="783">
        <f t="shared" si="33"/>
        <v>3.3569062186814991E-2</v>
      </c>
      <c r="K145" s="783">
        <f t="shared" si="33"/>
        <v>3.7630550316671396E-2</v>
      </c>
      <c r="AF145" s="635"/>
      <c r="AG145" s="635"/>
    </row>
    <row r="146" spans="1:33">
      <c r="A146" s="704"/>
      <c r="B146" s="778"/>
      <c r="C146" s="778"/>
      <c r="D146" s="778"/>
      <c r="E146" s="704"/>
      <c r="F146" s="704"/>
      <c r="G146" s="704"/>
      <c r="H146" s="704"/>
      <c r="I146" s="704"/>
      <c r="J146" s="704"/>
      <c r="K146" s="704"/>
      <c r="AF146" s="635"/>
      <c r="AG146" s="635"/>
    </row>
    <row r="147" spans="1:33">
      <c r="A147" s="704" t="str">
        <f>A11</f>
        <v>Cable &amp; Digital Media</v>
      </c>
      <c r="B147" s="778"/>
      <c r="C147" s="778"/>
      <c r="D147" s="778"/>
      <c r="E147" s="678">
        <f>(L11-16000)/G11-1</f>
        <v>-181.73754876914492</v>
      </c>
      <c r="F147" s="678">
        <f>(M11-16000)/H11-1</f>
        <v>-178.32364721010319</v>
      </c>
      <c r="G147" s="678">
        <f>(N11-17000)/I11-1</f>
        <v>-185.44082823944333</v>
      </c>
      <c r="H147" s="779">
        <f>(O11)/J11-1</f>
        <v>7.767783910240178E-2</v>
      </c>
      <c r="I147" s="779">
        <f>(Q11)/L11-1</f>
        <v>0.12087131057498901</v>
      </c>
      <c r="J147" s="779">
        <f>(R11)/M11-1</f>
        <v>0.15210474976877597</v>
      </c>
      <c r="K147" s="779">
        <f>(S11)/N11-1</f>
        <v>1.5650527915506145</v>
      </c>
      <c r="Q147" s="595"/>
      <c r="R147" s="595"/>
      <c r="S147" s="595"/>
      <c r="T147" s="595"/>
      <c r="U147" s="634">
        <f>(M11-16000-H11)/(M$35-16000-H$35)*F$151</f>
        <v>-9.6013518929162363</v>
      </c>
      <c r="V147" s="634"/>
      <c r="W147" s="634"/>
      <c r="X147" s="595"/>
      <c r="Y147" s="595"/>
      <c r="Z147" s="595"/>
      <c r="AA147" s="634">
        <f>(M11-16000-H11)/(M$35-16000-H$35)*F$151</f>
        <v>-9.6013518929162363</v>
      </c>
      <c r="AB147" s="634">
        <f>(N11-17000-I11)/(N$35-17000-I$35)*G$151</f>
        <v>-12.951657546576874</v>
      </c>
      <c r="AC147" s="634">
        <f>(O11-J11)/(O$35-J$35)*H$151</f>
        <v>6.1820312511836392E-3</v>
      </c>
      <c r="AD147" s="634">
        <f>(Q11-L11)/(Q$35-L$35)*I$151</f>
        <v>9.9790069967314564E-3</v>
      </c>
      <c r="AE147" s="634">
        <f>(R11-M11)/(R$35-M$35)*J$151</f>
        <v>1.2571902542780023E-2</v>
      </c>
      <c r="AF147" s="635"/>
      <c r="AG147" s="635"/>
    </row>
    <row r="148" spans="1:33">
      <c r="A148" s="780" t="str">
        <f>A30</f>
        <v>MFS</v>
      </c>
      <c r="B148" s="778"/>
      <c r="C148" s="778"/>
      <c r="D148" s="778"/>
      <c r="E148" s="781">
        <f>L30/G30-1</f>
        <v>1.5219777892369053</v>
      </c>
      <c r="F148" s="781">
        <f>M30/H30-1</f>
        <v>1.1468455346175053</v>
      </c>
      <c r="G148" s="781">
        <f>N30/I30-1</f>
        <v>0.89260537310493548</v>
      </c>
      <c r="H148" s="781">
        <f>O30/J30-1</f>
        <v>0.63868960197688751</v>
      </c>
      <c r="I148" s="781">
        <f>Q30/L30-1</f>
        <v>0.42247964349021294</v>
      </c>
      <c r="J148" s="781">
        <f>R30/M30-1</f>
        <v>0.36480822209352226</v>
      </c>
      <c r="K148" s="781">
        <f>S30/N30-1</f>
        <v>0.41215648724810672</v>
      </c>
      <c r="Q148" s="637"/>
      <c r="R148" s="637"/>
      <c r="S148" s="637"/>
      <c r="T148" s="637"/>
      <c r="U148" s="637">
        <f>(M30-H30)/(M$35-H$35-16000)*F$151</f>
        <v>5.9474407122686859E-3</v>
      </c>
      <c r="V148" s="637"/>
      <c r="W148" s="637"/>
      <c r="X148" s="637"/>
      <c r="Y148" s="637"/>
      <c r="Z148" s="637"/>
      <c r="AA148" s="637">
        <f>(M30-H30)/(M$35-H$35-16000)*F$151</f>
        <v>5.9474407122686859E-3</v>
      </c>
      <c r="AB148" s="637">
        <f>(N30-I30)/(N$35-I$35-17000)*G$151</f>
        <v>7.7899861113178807E-3</v>
      </c>
      <c r="AC148" s="637">
        <f>(O30-J30)/(O$35-J$35)*H$151</f>
        <v>6.6545612181171292E-3</v>
      </c>
      <c r="AD148" s="637">
        <f>(Q30-L30)/(Q$35-L$35)*I$151</f>
        <v>5.0627528016113756E-3</v>
      </c>
      <c r="AE148" s="637">
        <f>(R30-M30)/(R$35-M$35)*J$151</f>
        <v>4.9823618966629811E-3</v>
      </c>
      <c r="AF148" s="635"/>
      <c r="AG148" s="635"/>
    </row>
    <row r="149" spans="1:33">
      <c r="A149" s="704" t="s">
        <v>1194</v>
      </c>
      <c r="B149" s="778"/>
      <c r="C149" s="778"/>
      <c r="D149" s="778"/>
      <c r="E149" s="678">
        <f>(L34-16000)/G34-1</f>
        <v>-13.15574318685238</v>
      </c>
      <c r="F149" s="678">
        <f>(M34-16000)/H34-1</f>
        <v>-13.073485533595038</v>
      </c>
      <c r="G149" s="678">
        <f>(N34-17000)/I34-1</f>
        <v>-13.710838611901762</v>
      </c>
      <c r="H149" s="779">
        <f>(O34/J34-1)</f>
        <v>4.980080749073168E-2</v>
      </c>
      <c r="I149" s="779">
        <f>(Q34/L34-1)</f>
        <v>3.3567408295420265E-2</v>
      </c>
      <c r="J149" s="779">
        <f>(R34/M34-1)</f>
        <v>4.8877632949053229E-2</v>
      </c>
      <c r="K149" s="779">
        <f>(S34/N34-1)</f>
        <v>0.18301740988051862</v>
      </c>
      <c r="Q149" s="595"/>
      <c r="R149" s="595"/>
      <c r="S149" s="595"/>
      <c r="T149" s="595"/>
      <c r="U149" s="634">
        <f t="shared" ref="U149:AE149" si="34">U134+U139+U144+U147+U148</f>
        <v>-9.5854804041621122</v>
      </c>
      <c r="V149" s="634"/>
      <c r="W149" s="634"/>
      <c r="X149" s="595"/>
      <c r="Y149" s="595"/>
      <c r="Z149" s="595"/>
      <c r="AA149" s="634">
        <f t="shared" si="34"/>
        <v>-9.5854804041621122</v>
      </c>
      <c r="AB149" s="634">
        <f t="shared" si="34"/>
        <v>-12.926132205429415</v>
      </c>
      <c r="AC149" s="634">
        <f t="shared" si="34"/>
        <v>4.6671304505773815E-2</v>
      </c>
      <c r="AD149" s="634">
        <f t="shared" si="34"/>
        <v>3.1452719057246684E-2</v>
      </c>
      <c r="AE149" s="634">
        <f t="shared" si="34"/>
        <v>4.5725173831406882E-2</v>
      </c>
      <c r="AF149" s="635"/>
      <c r="AG149" s="635"/>
    </row>
    <row r="150" spans="1:33">
      <c r="A150" s="780" t="s">
        <v>2862</v>
      </c>
      <c r="B150" s="778"/>
      <c r="C150" s="778"/>
      <c r="D150" s="778"/>
      <c r="E150" s="781">
        <f>L33/G33-1</f>
        <v>0.16266387423936557</v>
      </c>
      <c r="F150" s="781">
        <f>M33/H33-1</f>
        <v>0.11257272648518302</v>
      </c>
      <c r="G150" s="781">
        <f>N33/I33-1</f>
        <v>0.16401052514913039</v>
      </c>
      <c r="H150" s="781">
        <f>O33/J33-1</f>
        <v>0.29397758419626951</v>
      </c>
      <c r="I150" s="781">
        <f>Q33/L33-1</f>
        <v>0.14437515479470342</v>
      </c>
      <c r="J150" s="781">
        <f>R33/M33-1</f>
        <v>0.32798589126538547</v>
      </c>
      <c r="K150" s="781">
        <f>S33/N33-1</f>
        <v>0.62626249641301124</v>
      </c>
      <c r="Q150" s="637"/>
      <c r="R150" s="637"/>
      <c r="S150" s="637"/>
      <c r="T150" s="637"/>
      <c r="U150" s="637">
        <f>(M33-H33)/(M$35-H$35-16000)*F$151</f>
        <v>5.3198503150550082E-3</v>
      </c>
      <c r="V150" s="637"/>
      <c r="W150" s="637"/>
      <c r="X150" s="637"/>
      <c r="Y150" s="637"/>
      <c r="Z150" s="637"/>
      <c r="AA150" s="637">
        <f>(M33-H33)/(M$35-H$35-16000)*F$151</f>
        <v>5.3198503150550082E-3</v>
      </c>
      <c r="AB150" s="637">
        <f>(N33-I33)/(N$35-I$35-17000)*G$151</f>
        <v>9.38674237633416E-3</v>
      </c>
      <c r="AC150" s="637">
        <f>(O33-J33)/(O$35-J$35)*H$151</f>
        <v>1.8473670882226661E-2</v>
      </c>
      <c r="AD150" s="637">
        <f>(Q33-L33)/(Q$35-L$35)*I$151</f>
        <v>9.0953875085343239E-3</v>
      </c>
      <c r="AE150" s="637">
        <f>(R33-M33)/(R$35-M$35)*J$151</f>
        <v>2.115409546237091E-2</v>
      </c>
      <c r="AF150" s="635"/>
      <c r="AG150" s="635"/>
    </row>
    <row r="151" spans="1:33" ht="15.75">
      <c r="A151" s="782" t="s">
        <v>3323</v>
      </c>
      <c r="B151" s="778"/>
      <c r="C151" s="778"/>
      <c r="D151" s="778"/>
      <c r="E151" s="784">
        <f>(L35-16000)/G35-1</f>
        <v>-12.397687087532837</v>
      </c>
      <c r="F151" s="784">
        <f>(M35+3500-16000)/H35-1</f>
        <v>-9.58016055384706</v>
      </c>
      <c r="G151" s="784">
        <f>(N35-17000)/I35-1</f>
        <v>-12.916745463053079</v>
      </c>
      <c r="H151" s="783">
        <f>(O35)/J35-1</f>
        <v>6.5144975388000459E-2</v>
      </c>
      <c r="I151" s="783">
        <f>(Q35)/L35-1</f>
        <v>4.0548106565780895E-2</v>
      </c>
      <c r="J151" s="783">
        <f>(R35)/M35-1</f>
        <v>6.6879269293777632E-2</v>
      </c>
      <c r="K151" s="783">
        <f>(S35)/N35-1</f>
        <v>0.21100380626759185</v>
      </c>
      <c r="Q151" s="692"/>
      <c r="R151" s="692"/>
      <c r="S151" s="692"/>
      <c r="T151" s="692"/>
      <c r="U151" s="633">
        <f>F151</f>
        <v>-9.58016055384706</v>
      </c>
      <c r="V151" s="633"/>
      <c r="W151" s="633"/>
      <c r="X151" s="692"/>
      <c r="Y151" s="692"/>
      <c r="Z151" s="692"/>
      <c r="AA151" s="633">
        <f>F151</f>
        <v>-9.58016055384706</v>
      </c>
      <c r="AB151" s="633">
        <f>G151</f>
        <v>-12.916745463053079</v>
      </c>
      <c r="AC151" s="633">
        <f>H151</f>
        <v>6.5144975388000459E-2</v>
      </c>
      <c r="AD151" s="633">
        <f>I151</f>
        <v>4.0548106565780895E-2</v>
      </c>
      <c r="AE151" s="633">
        <f>J151</f>
        <v>6.6879269293777632E-2</v>
      </c>
      <c r="AF151" s="635"/>
      <c r="AG151" s="635"/>
    </row>
    <row r="152" spans="1:33">
      <c r="AB152" s="635"/>
      <c r="AC152" s="635"/>
    </row>
    <row r="153" spans="1:33">
      <c r="A153" s="703" t="s">
        <v>360</v>
      </c>
    </row>
    <row r="155" spans="1:33">
      <c r="A155" s="723" t="s">
        <v>2702</v>
      </c>
      <c r="B155" s="724" t="str">
        <f>G1</f>
        <v>Q1 2012</v>
      </c>
      <c r="C155" s="724" t="str">
        <f>H1</f>
        <v>Q2 2012</v>
      </c>
      <c r="D155" s="724" t="str">
        <f>I1</f>
        <v>Q3 2012</v>
      </c>
      <c r="E155" s="724" t="str">
        <f>L1</f>
        <v>Q1 2013</v>
      </c>
      <c r="F155" s="724" t="str">
        <f>M1</f>
        <v>Q2 2013</v>
      </c>
      <c r="G155" s="724" t="str">
        <f>N1</f>
        <v>Q3 2013</v>
      </c>
      <c r="H155" s="724" t="str">
        <f>O1</f>
        <v>Q4 2013</v>
      </c>
      <c r="I155" s="724" t="str">
        <f>Q1</f>
        <v>Q1 2014</v>
      </c>
      <c r="J155" s="724" t="str">
        <f>R1</f>
        <v>Q2 2014</v>
      </c>
      <c r="K155" s="724" t="str">
        <f>S1</f>
        <v>Q3 2014</v>
      </c>
      <c r="L155" s="724" t="str">
        <f>T1</f>
        <v>Q4 2014</v>
      </c>
      <c r="M155" s="724" t="str">
        <f>V1</f>
        <v>Q1 2015</v>
      </c>
      <c r="N155" s="724" t="str">
        <f>W1</f>
        <v>Q2 2015</v>
      </c>
      <c r="O155" s="724" t="str">
        <f>X1</f>
        <v>Q3 2015</v>
      </c>
    </row>
    <row r="156" spans="1:33">
      <c r="A156" s="704" t="s">
        <v>3102</v>
      </c>
      <c r="B156" s="759">
        <f>G30/1000</f>
        <v>6.4154905393521708E-3</v>
      </c>
      <c r="C156" s="759">
        <f>H30/1000</f>
        <v>8.6298052655714563E-3</v>
      </c>
      <c r="D156" s="759">
        <f>I30/1000</f>
        <v>1.1437314522148514E-2</v>
      </c>
      <c r="E156" s="777">
        <f>L30</f>
        <v>16.179724647305669</v>
      </c>
      <c r="F156" s="777">
        <f>M30</f>
        <v>18.526858899010715</v>
      </c>
      <c r="G156" s="777">
        <f>N30</f>
        <v>21.646322918509384</v>
      </c>
      <c r="H156" s="777">
        <f>O30</f>
        <v>23.465709219678693</v>
      </c>
      <c r="I156" s="777">
        <f>Q30</f>
        <v>23.015328948069179</v>
      </c>
      <c r="J156" s="777">
        <f>R30</f>
        <v>25.285609354936366</v>
      </c>
      <c r="K156" s="777">
        <f>S30</f>
        <v>30.567995334440397</v>
      </c>
      <c r="L156" s="777">
        <f>T30</f>
        <v>33.9</v>
      </c>
      <c r="M156" s="759">
        <v>31.032187726003098</v>
      </c>
      <c r="N156" s="759">
        <v>31.028464263182798</v>
      </c>
      <c r="O156" s="759">
        <v>30.8950675253779</v>
      </c>
      <c r="P156" s="719"/>
      <c r="U156" s="719"/>
      <c r="V156" s="719"/>
      <c r="W156" s="719"/>
      <c r="AA156" s="719"/>
    </row>
    <row r="157" spans="1:33">
      <c r="A157" s="704" t="s">
        <v>2054</v>
      </c>
      <c r="B157" s="721">
        <f>(G30/(G34))</f>
        <v>5.2925465126933639E-3</v>
      </c>
      <c r="C157" s="721">
        <f>(H30/(H34))</f>
        <v>7.0729844037057165E-3</v>
      </c>
      <c r="D157" s="721">
        <f>(I30/(I34))</f>
        <v>9.257050053196287E-3</v>
      </c>
      <c r="E157" s="721">
        <f>(L30/(L34))</f>
        <v>1.2789116692296957E-2</v>
      </c>
      <c r="F157" s="721">
        <f>(M30/(M34))</f>
        <v>1.459907877963041E-2</v>
      </c>
      <c r="G157" s="721">
        <f>(N30/(N34))</f>
        <v>1.6709575612447292E-2</v>
      </c>
      <c r="H157" s="721">
        <f>(O30/(O34))</f>
        <v>1.7354248783665059E-2</v>
      </c>
      <c r="I157" s="721">
        <f>(Q30/(Q34))</f>
        <v>1.7601423968095449E-2</v>
      </c>
      <c r="J157" s="721">
        <f>(R30/(R34))</f>
        <v>1.899644165107147E-2</v>
      </c>
      <c r="K157" s="721">
        <f>(S30/(S34))</f>
        <v>1.9946059460497188E-2</v>
      </c>
      <c r="L157" s="721">
        <f>(T30/(T34))</f>
        <v>2.0481244429344226E-2</v>
      </c>
      <c r="M157" s="721">
        <f>(V30/(V34))</f>
        <v>2.0025839793281652E-2</v>
      </c>
      <c r="N157" s="721">
        <f>(W30/(W34))</f>
        <v>2.0038784744667099E-2</v>
      </c>
      <c r="O157" s="721">
        <f>(X30/(X34))</f>
        <v>2.0749665327978582E-2</v>
      </c>
      <c r="P157" s="719"/>
      <c r="U157" s="719"/>
      <c r="V157" s="719"/>
      <c r="W157" s="719"/>
      <c r="AA157" s="719"/>
    </row>
    <row r="158" spans="1:33">
      <c r="A158" s="704" t="s">
        <v>2171</v>
      </c>
      <c r="B158" s="722">
        <f>G31</f>
        <v>1.1618058063076997</v>
      </c>
      <c r="C158" s="722">
        <f>H31</f>
        <v>1.2013823344075238</v>
      </c>
      <c r="D158" s="722">
        <f>I31</f>
        <v>1.2668172253815568</v>
      </c>
      <c r="E158" s="722">
        <f>L31</f>
        <v>1.3015348047419721</v>
      </c>
      <c r="F158" s="722">
        <f>M31</f>
        <v>1.3371012710483707</v>
      </c>
      <c r="G158" s="722">
        <f>N31</f>
        <v>1.3907356209975832</v>
      </c>
      <c r="H158" s="722">
        <f>O31</f>
        <v>1.3294243953123919</v>
      </c>
      <c r="I158" s="722">
        <f>Q31</f>
        <v>1.1267480659188955</v>
      </c>
      <c r="J158" s="722">
        <f>R31</f>
        <v>1.1399999999999999</v>
      </c>
      <c r="K158" s="722">
        <f>S31</f>
        <v>1.28</v>
      </c>
      <c r="L158" s="722">
        <f>T31</f>
        <v>1.2</v>
      </c>
      <c r="M158" s="722">
        <v>1.0618252536128783</v>
      </c>
      <c r="N158" s="722">
        <v>1.0257781972272493</v>
      </c>
      <c r="O158" s="722">
        <v>0.98247057519256675</v>
      </c>
    </row>
    <row r="159" spans="1:33">
      <c r="A159" s="704" t="s">
        <v>3184</v>
      </c>
      <c r="B159" s="725">
        <v>2090.7889999999998</v>
      </c>
      <c r="C159" s="725">
        <v>2698.0307999999995</v>
      </c>
      <c r="D159" s="725">
        <v>3320.893</v>
      </c>
      <c r="E159" s="726">
        <v>4351.6751999999997</v>
      </c>
      <c r="F159" s="726">
        <v>4885.6499999999996</v>
      </c>
      <c r="G159" s="726">
        <v>5490.7879999999996</v>
      </c>
      <c r="H159" s="726">
        <v>6277</v>
      </c>
      <c r="I159" s="726">
        <v>7341</v>
      </c>
      <c r="J159" s="726">
        <v>7455</v>
      </c>
      <c r="K159" s="726">
        <v>8017</v>
      </c>
      <c r="L159" s="726">
        <v>9498</v>
      </c>
      <c r="M159" s="726">
        <v>9608.1280000000006</v>
      </c>
      <c r="N159" s="726">
        <v>10199.411</v>
      </c>
      <c r="O159" s="726">
        <v>10745.630999999999</v>
      </c>
    </row>
    <row r="160" spans="1:33">
      <c r="A160" s="704" t="s">
        <v>590</v>
      </c>
      <c r="B160" s="725">
        <v>43799</v>
      </c>
      <c r="C160" s="725">
        <v>44550</v>
      </c>
      <c r="D160" s="725">
        <v>46031</v>
      </c>
      <c r="E160" s="726">
        <v>47404</v>
      </c>
      <c r="F160" s="726">
        <v>47454</v>
      </c>
      <c r="G160" s="726">
        <v>48919</v>
      </c>
      <c r="H160" s="726">
        <f>Quarts!BE143</f>
        <v>50614</v>
      </c>
      <c r="I160" s="726">
        <f>Quarts!BG143</f>
        <v>51629</v>
      </c>
      <c r="J160" s="726">
        <f>Quarts!BH143</f>
        <v>52314</v>
      </c>
      <c r="K160" s="726">
        <f>Quarts!BI143</f>
        <v>53777</v>
      </c>
      <c r="L160" s="726">
        <v>56277</v>
      </c>
      <c r="M160" s="726">
        <v>57412.781999999999</v>
      </c>
      <c r="N160" s="726">
        <v>59330.495000000003</v>
      </c>
      <c r="O160" s="726">
        <v>60146.245999999999</v>
      </c>
    </row>
    <row r="161" spans="1:15">
      <c r="A161" s="704" t="s">
        <v>1931</v>
      </c>
      <c r="B161" s="720">
        <f t="shared" ref="B161:O161" si="35">B159/B160</f>
        <v>4.7735998538779419E-2</v>
      </c>
      <c r="C161" s="720">
        <f t="shared" si="35"/>
        <v>6.0561858585858573E-2</v>
      </c>
      <c r="D161" s="720">
        <f t="shared" si="35"/>
        <v>7.2144706828007207E-2</v>
      </c>
      <c r="E161" s="720">
        <f t="shared" si="35"/>
        <v>9.1799746856805323E-2</v>
      </c>
      <c r="F161" s="720">
        <f t="shared" si="35"/>
        <v>0.10295549374130736</v>
      </c>
      <c r="G161" s="720">
        <f t="shared" si="35"/>
        <v>0.11224244158711338</v>
      </c>
      <c r="H161" s="720">
        <f t="shared" si="35"/>
        <v>0.12401707037578535</v>
      </c>
      <c r="I161" s="720">
        <f t="shared" si="35"/>
        <v>0.14218753026399891</v>
      </c>
      <c r="J161" s="720">
        <f t="shared" si="35"/>
        <v>0.14250487441220325</v>
      </c>
      <c r="K161" s="720">
        <f t="shared" si="35"/>
        <v>0.14907860237648066</v>
      </c>
      <c r="L161" s="720">
        <f t="shared" si="35"/>
        <v>0.16877232261847647</v>
      </c>
      <c r="M161" s="720">
        <f t="shared" si="35"/>
        <v>0.1673517231755117</v>
      </c>
      <c r="N161" s="720">
        <f t="shared" si="35"/>
        <v>0.17190840898934012</v>
      </c>
      <c r="O161" s="720">
        <f t="shared" si="35"/>
        <v>0.17865838210417986</v>
      </c>
    </row>
    <row r="162" spans="1:15">
      <c r="F162" s="631"/>
    </row>
    <row r="163" spans="1:15">
      <c r="A163" s="723" t="s">
        <v>1796</v>
      </c>
      <c r="B163" s="724" t="str">
        <f>B155</f>
        <v>Q1 2012</v>
      </c>
      <c r="C163" s="724" t="str">
        <f>C155</f>
        <v>Q2 2012</v>
      </c>
      <c r="D163" s="724" t="str">
        <f>D155</f>
        <v>Q3 2012</v>
      </c>
      <c r="E163" s="724" t="e">
        <f>#REF!</f>
        <v>#REF!</v>
      </c>
      <c r="F163" s="724" t="str">
        <f>E155</f>
        <v>Q1 2013</v>
      </c>
      <c r="G163" s="724" t="str">
        <f>F155</f>
        <v>Q2 2013</v>
      </c>
      <c r="H163" s="724" t="str">
        <f>G155</f>
        <v>Q3 2013</v>
      </c>
      <c r="I163" s="724" t="str">
        <f>H155</f>
        <v>Q4 2013</v>
      </c>
    </row>
    <row r="164" spans="1:15">
      <c r="F164" s="631"/>
    </row>
    <row r="165" spans="1:15">
      <c r="F165" s="631"/>
    </row>
    <row r="166" spans="1:15" ht="18">
      <c r="D166" s="787"/>
      <c r="F166" s="631"/>
    </row>
    <row r="167" spans="1:15" ht="15.75">
      <c r="A167" s="817" t="s">
        <v>3626</v>
      </c>
      <c r="B167" s="818" t="s">
        <v>3503</v>
      </c>
      <c r="C167" s="818" t="s">
        <v>3591</v>
      </c>
      <c r="D167" s="818" t="s">
        <v>3608</v>
      </c>
      <c r="E167" s="818" t="s">
        <v>3662</v>
      </c>
      <c r="F167" s="818" t="s">
        <v>3699</v>
      </c>
      <c r="G167" s="818" t="s">
        <v>3790</v>
      </c>
      <c r="H167" s="818" t="s">
        <v>3814</v>
      </c>
      <c r="I167" s="818" t="s">
        <v>3866</v>
      </c>
      <c r="J167" s="818" t="s">
        <v>4082</v>
      </c>
      <c r="K167" s="818" t="s">
        <v>4254</v>
      </c>
    </row>
    <row r="168" spans="1:15" ht="15.75">
      <c r="A168" s="810" t="s">
        <v>3544</v>
      </c>
      <c r="B168" s="811">
        <v>-0.01</v>
      </c>
      <c r="C168" s="811">
        <v>-0.02</v>
      </c>
      <c r="D168" s="811">
        <v>-0.01</v>
      </c>
      <c r="E168" s="811">
        <v>0</v>
      </c>
      <c r="F168" s="811">
        <v>1.4E-2</v>
      </c>
      <c r="G168" s="811">
        <v>3.0000000000000001E-3</v>
      </c>
      <c r="H168" s="811">
        <v>3.0000000000000001E-3</v>
      </c>
    </row>
    <row r="169" spans="1:15" ht="15.75">
      <c r="A169" s="810" t="s">
        <v>1195</v>
      </c>
      <c r="B169" s="811">
        <v>7.0000000000000007E-2</v>
      </c>
      <c r="C169" s="811">
        <v>0.08</v>
      </c>
      <c r="D169" s="811">
        <v>0.08</v>
      </c>
      <c r="E169" s="811">
        <v>7.0000000000000007E-2</v>
      </c>
      <c r="F169" s="811">
        <v>0.13300000000000001</v>
      </c>
      <c r="G169" s="811">
        <v>0.21199999999999999</v>
      </c>
      <c r="H169" s="811">
        <v>0.23799999999999999</v>
      </c>
    </row>
    <row r="170" spans="1:15" ht="15.75">
      <c r="A170" s="810" t="s">
        <v>2702</v>
      </c>
      <c r="B170" s="811">
        <v>0.19</v>
      </c>
      <c r="C170" s="811">
        <v>0.22</v>
      </c>
      <c r="D170" s="811">
        <v>0.34</v>
      </c>
      <c r="E170" s="811">
        <v>0.28000000000000003</v>
      </c>
      <c r="F170" s="811">
        <v>0.73399999999999999</v>
      </c>
      <c r="G170" s="811">
        <v>0.54100000000000004</v>
      </c>
      <c r="H170" s="811">
        <v>0.375</v>
      </c>
    </row>
    <row r="171" spans="1:15" ht="15.75">
      <c r="A171" s="809" t="s">
        <v>1540</v>
      </c>
      <c r="B171" s="812">
        <v>0.33</v>
      </c>
      <c r="C171" s="812">
        <v>0.51</v>
      </c>
      <c r="D171" s="812">
        <v>0.28000000000000003</v>
      </c>
      <c r="E171" s="812">
        <v>0.28999999999999998</v>
      </c>
      <c r="F171" s="812">
        <v>0.25</v>
      </c>
      <c r="G171" s="812">
        <v>0.114</v>
      </c>
      <c r="H171" s="812">
        <v>0.154</v>
      </c>
      <c r="I171" s="724"/>
    </row>
    <row r="172" spans="1:15" ht="15.75">
      <c r="A172" s="815" t="s">
        <v>2324</v>
      </c>
      <c r="B172" s="816">
        <f>Quarts!CX255</f>
        <v>1.9E-2</v>
      </c>
      <c r="C172" s="816">
        <f>Quarts!CY255</f>
        <v>2.5999999999999999E-2</v>
      </c>
      <c r="D172" s="816">
        <f>Quarts!CZ255</f>
        <v>2.1000000000000001E-2</v>
      </c>
      <c r="E172" s="816">
        <v>0.04</v>
      </c>
      <c r="F172" s="816">
        <v>5.1999999999999998E-2</v>
      </c>
      <c r="G172" s="816">
        <v>4.4999999999999998E-2</v>
      </c>
      <c r="H172" s="816">
        <v>5.2999999999999999E-2</v>
      </c>
      <c r="I172" s="816">
        <v>3.3000000000000002E-2</v>
      </c>
    </row>
    <row r="173" spans="1:15" ht="15.75">
      <c r="A173" s="810"/>
      <c r="B173" s="813"/>
      <c r="C173" s="813"/>
      <c r="D173" s="813"/>
      <c r="E173" s="813"/>
      <c r="F173" s="813"/>
    </row>
    <row r="174" spans="1:15" ht="15.75">
      <c r="A174" s="817" t="s">
        <v>3627</v>
      </c>
      <c r="B174" s="818" t="s">
        <v>3503</v>
      </c>
      <c r="C174" s="818" t="s">
        <v>3591</v>
      </c>
      <c r="D174" s="818" t="s">
        <v>3608</v>
      </c>
      <c r="E174" s="818" t="s">
        <v>3662</v>
      </c>
      <c r="F174" s="818" t="str">
        <f t="shared" ref="F174:K174" si="36">F167</f>
        <v>Q1 15</v>
      </c>
      <c r="G174" s="818" t="str">
        <f t="shared" si="36"/>
        <v>Q2 15</v>
      </c>
      <c r="H174" s="818" t="str">
        <f t="shared" si="36"/>
        <v>Q3 15</v>
      </c>
      <c r="I174" s="818" t="str">
        <f t="shared" si="36"/>
        <v>Q4 15</v>
      </c>
      <c r="J174" s="818" t="str">
        <f t="shared" si="36"/>
        <v>Q1 16</v>
      </c>
      <c r="K174" s="818" t="str">
        <f t="shared" si="36"/>
        <v>Q2 16</v>
      </c>
    </row>
    <row r="175" spans="1:15" ht="15.75">
      <c r="A175" s="810" t="str">
        <f>A168</f>
        <v>Mobile (voice, internet, other VAS)</v>
      </c>
      <c r="B175" s="811">
        <v>0.14000000000000001</v>
      </c>
      <c r="C175" s="811">
        <v>0.11</v>
      </c>
      <c r="D175" s="811">
        <v>0.08</v>
      </c>
      <c r="E175" s="811">
        <v>0.05</v>
      </c>
      <c r="F175" s="811">
        <v>1.0999999999999999E-2</v>
      </c>
      <c r="G175" s="811">
        <v>1.7999999999999999E-2</v>
      </c>
      <c r="H175" s="811">
        <v>2.4E-2</v>
      </c>
    </row>
    <row r="176" spans="1:15" ht="15.75">
      <c r="A176" s="810" t="str">
        <f>A169</f>
        <v>Cable</v>
      </c>
      <c r="B176" s="811">
        <v>0.3</v>
      </c>
      <c r="C176" s="811">
        <v>0.4</v>
      </c>
      <c r="D176" s="811">
        <v>0.16</v>
      </c>
      <c r="E176" s="811">
        <v>0.39</v>
      </c>
      <c r="F176" s="811">
        <v>0.30399999999999999</v>
      </c>
      <c r="G176" s="811">
        <v>0.32500000000000001</v>
      </c>
      <c r="H176" s="811">
        <v>0.27100000000000002</v>
      </c>
    </row>
    <row r="177" spans="1:11" ht="15.75">
      <c r="A177" s="810" t="str">
        <f>A170</f>
        <v>MFS</v>
      </c>
      <c r="B177" s="811">
        <v>0.49</v>
      </c>
      <c r="C177" s="811">
        <v>0.39</v>
      </c>
      <c r="D177" s="811">
        <v>0.32</v>
      </c>
      <c r="E177" s="811">
        <v>0.47</v>
      </c>
      <c r="F177" s="811">
        <v>0.308</v>
      </c>
      <c r="G177" s="811">
        <v>0.17599999999999999</v>
      </c>
      <c r="H177" s="811">
        <v>7.2999999999999995E-2</v>
      </c>
    </row>
    <row r="178" spans="1:11" ht="15.75">
      <c r="A178" s="809" t="str">
        <f>A171</f>
        <v>Other</v>
      </c>
      <c r="B178" s="812">
        <v>7.0000000000000007E-2</v>
      </c>
      <c r="C178" s="812">
        <v>0.23</v>
      </c>
      <c r="D178" s="812">
        <v>0.73</v>
      </c>
      <c r="E178" s="812">
        <v>1.26</v>
      </c>
      <c r="F178" s="812">
        <v>1.1240000000000001</v>
      </c>
      <c r="G178" s="812">
        <v>0.74099999999999999</v>
      </c>
      <c r="H178" s="812">
        <v>0.29399999999999998</v>
      </c>
      <c r="I178" s="724"/>
    </row>
    <row r="179" spans="1:11" ht="15.75">
      <c r="A179" s="815" t="str">
        <f>A172</f>
        <v>Total</v>
      </c>
      <c r="B179" s="816">
        <f>Quarts!CX256</f>
        <v>0.14599999999999999</v>
      </c>
      <c r="C179" s="816">
        <f>Quarts!CY256</f>
        <v>0.13900000000000001</v>
      </c>
      <c r="D179" s="816">
        <f>Quarts!CZ256</f>
        <v>0.14000000000000001</v>
      </c>
      <c r="E179" s="816">
        <v>0.17</v>
      </c>
      <c r="F179" s="816">
        <v>0.11899999999999999</v>
      </c>
      <c r="G179" s="816">
        <v>0.109</v>
      </c>
      <c r="H179" s="816">
        <v>7.0999999999999994E-2</v>
      </c>
      <c r="I179" s="816">
        <v>2.5999999999999999E-2</v>
      </c>
    </row>
    <row r="180" spans="1:11" ht="15.75">
      <c r="A180" s="810"/>
      <c r="B180" s="813"/>
      <c r="C180" s="813"/>
      <c r="D180" s="813"/>
      <c r="E180" s="813"/>
      <c r="F180" s="813"/>
      <c r="G180" s="813"/>
      <c r="H180" s="813"/>
    </row>
    <row r="181" spans="1:11" ht="15.75">
      <c r="A181" s="817" t="s">
        <v>3628</v>
      </c>
      <c r="B181" s="818" t="s">
        <v>3503</v>
      </c>
      <c r="C181" s="818" t="s">
        <v>3591</v>
      </c>
      <c r="D181" s="818" t="s">
        <v>3608</v>
      </c>
      <c r="E181" s="818" t="s">
        <v>3662</v>
      </c>
      <c r="F181" s="818" t="str">
        <f t="shared" ref="F181:K181" si="37">F174</f>
        <v>Q1 15</v>
      </c>
      <c r="G181" s="818" t="str">
        <f t="shared" si="37"/>
        <v>Q2 15</v>
      </c>
      <c r="H181" s="818" t="str">
        <f t="shared" si="37"/>
        <v>Q3 15</v>
      </c>
      <c r="I181" s="818" t="str">
        <f t="shared" si="37"/>
        <v>Q4 15</v>
      </c>
      <c r="J181" s="818" t="str">
        <f t="shared" si="37"/>
        <v>Q1 16</v>
      </c>
      <c r="K181" s="818" t="str">
        <f t="shared" si="37"/>
        <v>Q2 16</v>
      </c>
    </row>
    <row r="182" spans="1:11" ht="15.75">
      <c r="A182" s="810" t="str">
        <f>A175</f>
        <v>Mobile (voice, internet, other VAS)</v>
      </c>
      <c r="B182" s="811">
        <v>0.08</v>
      </c>
      <c r="C182" s="811">
        <v>0.12</v>
      </c>
      <c r="D182" s="811">
        <v>0.1</v>
      </c>
      <c r="E182" s="811">
        <v>0.1</v>
      </c>
      <c r="F182" s="811">
        <v>0.13300000000000001</v>
      </c>
      <c r="G182" s="811">
        <v>0.128</v>
      </c>
      <c r="H182" s="811">
        <v>9.1999999999999998E-2</v>
      </c>
      <c r="I182" s="811">
        <v>0.114</v>
      </c>
      <c r="J182" s="811">
        <v>9.9000000000000005E-2</v>
      </c>
    </row>
    <row r="183" spans="1:11" ht="15.75">
      <c r="A183" s="810" t="str">
        <f>A176</f>
        <v>Cable</v>
      </c>
      <c r="B183" s="811" t="s">
        <v>2619</v>
      </c>
      <c r="C183" s="811" t="s">
        <v>2619</v>
      </c>
      <c r="D183" s="811" t="s">
        <v>2619</v>
      </c>
      <c r="E183" s="811" t="s">
        <v>2619</v>
      </c>
      <c r="F183" s="811" t="s">
        <v>2619</v>
      </c>
      <c r="G183" s="811">
        <v>0.89500000000000002</v>
      </c>
      <c r="H183" s="811" t="s">
        <v>3819</v>
      </c>
      <c r="I183" s="811" t="s">
        <v>3819</v>
      </c>
      <c r="J183" s="811" t="s">
        <v>3819</v>
      </c>
    </row>
    <row r="184" spans="1:11" ht="15.75">
      <c r="A184" s="810" t="str">
        <f>A177</f>
        <v>MFS</v>
      </c>
      <c r="B184" s="811">
        <v>0.49</v>
      </c>
      <c r="C184" s="811">
        <v>0.44</v>
      </c>
      <c r="D184" s="811">
        <v>0.51</v>
      </c>
      <c r="E184" s="811">
        <v>0.56999999999999995</v>
      </c>
      <c r="F184" s="811">
        <v>0.46100000000000002</v>
      </c>
      <c r="G184" s="811">
        <v>0.46</v>
      </c>
      <c r="H184" s="811">
        <v>0.28299999999999997</v>
      </c>
      <c r="I184" s="811">
        <v>0.27300000000000002</v>
      </c>
      <c r="J184" s="811">
        <v>0.30399999999999999</v>
      </c>
    </row>
    <row r="185" spans="1:11" ht="15.75">
      <c r="A185" s="809" t="str">
        <f>A178</f>
        <v>Other</v>
      </c>
      <c r="B185" s="812">
        <v>0.22</v>
      </c>
      <c r="C185" s="812">
        <v>0.56000000000000005</v>
      </c>
      <c r="D185" s="812">
        <v>0.28000000000000003</v>
      </c>
      <c r="E185" s="812">
        <v>0.05</v>
      </c>
      <c r="F185" s="812">
        <v>0.34599999999999997</v>
      </c>
      <c r="G185" s="812">
        <v>0.152</v>
      </c>
      <c r="H185" s="812">
        <v>0.39900000000000002</v>
      </c>
      <c r="I185" s="812">
        <v>0.26900000000000002</v>
      </c>
      <c r="J185" s="812">
        <v>1.4999999999999999E-2</v>
      </c>
    </row>
    <row r="186" spans="1:11" ht="15.75">
      <c r="A186" s="815" t="str">
        <f>A179</f>
        <v>Total</v>
      </c>
      <c r="B186" s="816">
        <f>Quarts!CX257</f>
        <v>0.11600000000000001</v>
      </c>
      <c r="C186" s="816">
        <f>Quarts!CY257</f>
        <v>0.14599999999999999</v>
      </c>
      <c r="D186" s="816">
        <f>Quarts!CZ257</f>
        <v>0.125</v>
      </c>
      <c r="E186" s="816">
        <v>0.13</v>
      </c>
      <c r="F186" s="816">
        <v>0.161</v>
      </c>
      <c r="G186" s="816">
        <v>0.153</v>
      </c>
      <c r="H186" s="816">
        <v>0.11899999999999999</v>
      </c>
      <c r="I186" s="816">
        <v>0.13400000000000001</v>
      </c>
      <c r="J186" s="816">
        <v>0.11899999999999999</v>
      </c>
    </row>
    <row r="187" spans="1:11" ht="15.75">
      <c r="A187" s="810"/>
      <c r="B187" s="814"/>
      <c r="C187" s="814"/>
      <c r="D187" s="814"/>
      <c r="E187" s="814"/>
      <c r="F187" s="814"/>
      <c r="G187" s="814"/>
      <c r="H187" s="814"/>
    </row>
    <row r="188" spans="1:11" ht="15.75">
      <c r="A188" s="817" t="s">
        <v>3629</v>
      </c>
      <c r="B188" s="818" t="s">
        <v>3503</v>
      </c>
      <c r="C188" s="818" t="s">
        <v>3591</v>
      </c>
      <c r="D188" s="818" t="s">
        <v>3608</v>
      </c>
      <c r="E188" s="818" t="s">
        <v>3662</v>
      </c>
      <c r="F188" s="818" t="str">
        <f t="shared" ref="F188:K188" si="38">F181</f>
        <v>Q1 15</v>
      </c>
      <c r="G188" s="818" t="str">
        <f t="shared" si="38"/>
        <v>Q2 15</v>
      </c>
      <c r="H188" s="818" t="str">
        <f t="shared" si="38"/>
        <v>Q3 15</v>
      </c>
      <c r="I188" s="818" t="str">
        <f t="shared" si="38"/>
        <v>Q4 15</v>
      </c>
      <c r="J188" s="818" t="str">
        <f t="shared" si="38"/>
        <v>Q1 16</v>
      </c>
      <c r="K188" s="818" t="str">
        <f t="shared" si="38"/>
        <v>Q2 16</v>
      </c>
    </row>
    <row r="189" spans="1:11" ht="15.75">
      <c r="A189" s="810" t="str">
        <f>A182</f>
        <v>Mobile (voice, internet, other VAS)</v>
      </c>
      <c r="B189" s="811">
        <v>7.0000000000000007E-2</v>
      </c>
      <c r="C189" s="811">
        <v>0.06</v>
      </c>
      <c r="D189" s="811">
        <v>0.05</v>
      </c>
      <c r="E189" s="811">
        <v>0.04</v>
      </c>
      <c r="F189" s="811">
        <v>3.5999999999999997E-2</v>
      </c>
      <c r="G189" s="811">
        <v>3.3000000000000002E-2</v>
      </c>
      <c r="H189" s="811">
        <v>2.9000000000000001E-2</v>
      </c>
      <c r="I189" s="811">
        <v>1.2999999999999999E-2</v>
      </c>
      <c r="J189" s="811">
        <v>0.01</v>
      </c>
      <c r="K189" s="811">
        <v>-8.9999999999999993E-3</v>
      </c>
    </row>
    <row r="190" spans="1:11" ht="15.75">
      <c r="A190" s="810" t="str">
        <f>A183</f>
        <v>Cable</v>
      </c>
      <c r="B190" s="811">
        <v>0.13</v>
      </c>
      <c r="C190" s="811">
        <v>0.16</v>
      </c>
      <c r="D190" s="811">
        <v>0.11</v>
      </c>
      <c r="E190" s="811">
        <v>0.15</v>
      </c>
      <c r="F190" s="811">
        <v>0.18</v>
      </c>
      <c r="G190" s="811">
        <v>0.246</v>
      </c>
      <c r="H190" s="811">
        <v>0.252</v>
      </c>
      <c r="I190" s="811">
        <v>0.17799999999999999</v>
      </c>
      <c r="J190" s="811">
        <v>0.112</v>
      </c>
      <c r="K190" s="811">
        <v>7.6999999999999999E-2</v>
      </c>
    </row>
    <row r="191" spans="1:11" ht="15.75">
      <c r="A191" s="810" t="str">
        <f>A184</f>
        <v>MFS</v>
      </c>
      <c r="B191" s="811">
        <v>0.49</v>
      </c>
      <c r="C191" s="811">
        <v>0.41</v>
      </c>
      <c r="D191" s="811">
        <v>0.45</v>
      </c>
      <c r="E191" s="811">
        <v>0.53</v>
      </c>
      <c r="F191" s="811">
        <v>0.42899999999999999</v>
      </c>
      <c r="G191" s="811">
        <v>0.38</v>
      </c>
      <c r="H191" s="811">
        <v>0.23100000000000001</v>
      </c>
      <c r="I191" s="811">
        <v>0.13</v>
      </c>
      <c r="J191" s="811">
        <v>0.184</v>
      </c>
      <c r="K191" s="811">
        <v>0.24</v>
      </c>
    </row>
    <row r="192" spans="1:11" ht="15.75">
      <c r="A192" s="809" t="str">
        <f>A185</f>
        <v>Other</v>
      </c>
      <c r="B192" s="812">
        <v>0.22</v>
      </c>
      <c r="C192" s="812">
        <v>0.27</v>
      </c>
      <c r="D192" s="812">
        <v>0.5</v>
      </c>
      <c r="E192" s="812">
        <v>0.7</v>
      </c>
      <c r="F192" s="812">
        <v>0.64600000000000002</v>
      </c>
      <c r="G192" s="812">
        <v>0.42399999999999999</v>
      </c>
      <c r="H192" s="812">
        <v>0.246</v>
      </c>
      <c r="I192" s="812">
        <v>-5.5E-2</v>
      </c>
      <c r="J192" s="812">
        <v>0.20799999999999999</v>
      </c>
      <c r="K192" s="812">
        <v>0.24</v>
      </c>
    </row>
    <row r="193" spans="1:36" ht="15.75">
      <c r="A193" s="815" t="s">
        <v>1531</v>
      </c>
      <c r="B193" s="816"/>
      <c r="C193" s="816"/>
      <c r="D193" s="816">
        <v>5.8999999999999997E-2</v>
      </c>
      <c r="E193" s="816">
        <v>5.7000000000000002E-2</v>
      </c>
      <c r="F193" s="816">
        <v>5.6000000000000001E-2</v>
      </c>
      <c r="G193" s="816">
        <v>5.7000000000000002E-2</v>
      </c>
      <c r="H193" s="816">
        <v>5.8000000000000003E-2</v>
      </c>
      <c r="I193" s="816">
        <v>5.8999999999999997E-2</v>
      </c>
      <c r="J193" s="816">
        <v>4.1000000000000002E-2</v>
      </c>
      <c r="K193" s="816">
        <v>2.1000000000000001E-2</v>
      </c>
    </row>
    <row r="194" spans="1:36" ht="15.75">
      <c r="A194" s="815" t="str">
        <f>A186</f>
        <v>Total</v>
      </c>
      <c r="B194" s="816">
        <f>Quarts!CX258</f>
        <v>8.5000000000000006E-2</v>
      </c>
      <c r="C194" s="816">
        <f>Quarts!CY258</f>
        <v>0.09</v>
      </c>
      <c r="D194" s="816">
        <f>Quarts!CZ258</f>
        <v>8.5999999999999993E-2</v>
      </c>
      <c r="E194" s="816">
        <v>0.108</v>
      </c>
      <c r="F194" s="816">
        <v>9.7000000000000003E-2</v>
      </c>
      <c r="G194" s="816">
        <v>0.09</v>
      </c>
      <c r="H194" s="816">
        <v>7.1999999999999995E-2</v>
      </c>
      <c r="I194" s="816">
        <v>4.3999999999999997E-2</v>
      </c>
      <c r="J194" s="816">
        <v>2.1000000000000001E-2</v>
      </c>
      <c r="K194" s="816">
        <v>5.0000000000000001E-3</v>
      </c>
    </row>
    <row r="195" spans="1:36">
      <c r="F195" s="631"/>
      <c r="J195" s="630" t="s">
        <v>1241</v>
      </c>
      <c r="L195" s="630" t="s">
        <v>1241</v>
      </c>
      <c r="M195" s="630" t="s">
        <v>3343</v>
      </c>
      <c r="P195" s="632"/>
      <c r="U195" s="630" t="s">
        <v>3821</v>
      </c>
      <c r="V195" s="630" t="s">
        <v>3822</v>
      </c>
    </row>
    <row r="196" spans="1:36">
      <c r="A196" s="974" t="s">
        <v>945</v>
      </c>
      <c r="B196" s="976" t="s">
        <v>3699</v>
      </c>
      <c r="C196" s="976" t="s">
        <v>3790</v>
      </c>
      <c r="D196" s="976" t="s">
        <v>3814</v>
      </c>
      <c r="E196" s="976" t="s">
        <v>3866</v>
      </c>
      <c r="F196" s="974">
        <v>2015</v>
      </c>
      <c r="G196" s="975"/>
      <c r="H196" s="976" t="s">
        <v>3699</v>
      </c>
      <c r="I196" s="976" t="s">
        <v>3790</v>
      </c>
      <c r="J196" s="976" t="s">
        <v>3814</v>
      </c>
      <c r="K196" s="976" t="s">
        <v>3866</v>
      </c>
      <c r="L196" s="976" t="s">
        <v>3691</v>
      </c>
      <c r="M196" s="977" t="s">
        <v>3169</v>
      </c>
      <c r="N196" s="630" t="s">
        <v>3992</v>
      </c>
      <c r="O196" s="975" t="s">
        <v>3993</v>
      </c>
      <c r="P196" s="975" t="s">
        <v>3826</v>
      </c>
      <c r="Q196" s="724" t="s">
        <v>3790</v>
      </c>
      <c r="R196" s="976" t="s">
        <v>3699</v>
      </c>
      <c r="S196" s="976" t="s">
        <v>3662</v>
      </c>
      <c r="U196" s="976" t="s">
        <v>3814</v>
      </c>
      <c r="V196" s="976"/>
      <c r="AC196" s="631" t="str">
        <f>S196</f>
        <v>Q4 14</v>
      </c>
      <c r="AD196" s="778" t="s">
        <v>3699</v>
      </c>
      <c r="AE196" s="631" t="s">
        <v>3790</v>
      </c>
      <c r="AF196" s="631" t="s">
        <v>3814</v>
      </c>
      <c r="AG196" s="778" t="s">
        <v>3866</v>
      </c>
    </row>
    <row r="197" spans="1:36">
      <c r="A197" s="704" t="s">
        <v>2382</v>
      </c>
      <c r="B197" s="960">
        <v>0.22</v>
      </c>
      <c r="C197" s="960">
        <v>0.2</v>
      </c>
      <c r="D197" s="960">
        <v>0.19</v>
      </c>
      <c r="E197" s="960">
        <v>0.15</v>
      </c>
      <c r="F197" s="635">
        <f>Africa!P108</f>
        <v>0.25059414817047054</v>
      </c>
      <c r="G197" s="630"/>
      <c r="H197" s="982">
        <v>35</v>
      </c>
      <c r="I197" s="982">
        <v>34</v>
      </c>
      <c r="J197" s="535">
        <v>35</v>
      </c>
      <c r="L197" s="979">
        <f>Africa!P90-H197-I197-J197</f>
        <v>35.228242847440185</v>
      </c>
      <c r="M197" s="973">
        <f>$L$217/4</f>
        <v>1.5500000000000007</v>
      </c>
      <c r="O197" s="1023">
        <v>8.3000000000000004E-2</v>
      </c>
      <c r="P197" s="978">
        <f>P198</f>
        <v>5.4522613065326651E-2</v>
      </c>
      <c r="Q197" s="634">
        <f>P197+2.6%</f>
        <v>8.0522613065326654E-2</v>
      </c>
      <c r="R197" s="634">
        <v>8.5999999999999993E-2</v>
      </c>
      <c r="U197" s="973">
        <f>M197</f>
        <v>1.5500000000000007</v>
      </c>
      <c r="W197" s="635">
        <f>U197/U$213</f>
        <v>3.5542918073573856E-3</v>
      </c>
      <c r="Y197" s="630" t="s">
        <v>2379</v>
      </c>
      <c r="Z197" s="635">
        <v>0.21251607786341142</v>
      </c>
      <c r="AB197" s="1024" t="str">
        <f>A197</f>
        <v>Ghana</v>
      </c>
      <c r="AC197" s="1025"/>
      <c r="AD197" s="1025">
        <f>R197</f>
        <v>8.5999999999999993E-2</v>
      </c>
      <c r="AE197" s="1025">
        <f>Q197</f>
        <v>8.0522613065326654E-2</v>
      </c>
      <c r="AF197" s="1025">
        <f>P197</f>
        <v>5.4522613065326651E-2</v>
      </c>
      <c r="AG197" s="1026">
        <f>O197</f>
        <v>8.3000000000000004E-2</v>
      </c>
      <c r="AI197" s="634"/>
      <c r="AJ197" s="634"/>
    </row>
    <row r="198" spans="1:36">
      <c r="A198" s="704" t="s">
        <v>2384</v>
      </c>
      <c r="B198" s="960">
        <v>0.17</v>
      </c>
      <c r="C198" s="960">
        <v>0.22</v>
      </c>
      <c r="D198" s="960">
        <v>0.17</v>
      </c>
      <c r="F198" s="635">
        <f ca="1">Africa!P110</f>
        <v>0.18649281776299476</v>
      </c>
      <c r="G198" s="632"/>
      <c r="H198" s="982">
        <v>28</v>
      </c>
      <c r="I198" s="982">
        <v>28</v>
      </c>
      <c r="J198" s="973">
        <v>28</v>
      </c>
      <c r="L198" s="979">
        <f ca="1">Africa!P92-H198-I198-J198</f>
        <v>29.266440244693257</v>
      </c>
      <c r="M198" s="973">
        <f>$L$217/4</f>
        <v>1.5500000000000007</v>
      </c>
      <c r="O198" s="1023">
        <v>8.3000000000000004E-2</v>
      </c>
      <c r="P198" s="978">
        <f>P199</f>
        <v>5.4522613065326651E-2</v>
      </c>
      <c r="Q198" s="634">
        <f>P198+2.6%</f>
        <v>8.0522613065326654E-2</v>
      </c>
      <c r="R198" s="634">
        <f>R197</f>
        <v>8.5999999999999993E-2</v>
      </c>
      <c r="U198" s="973">
        <f>M198</f>
        <v>1.5500000000000007</v>
      </c>
      <c r="W198" s="635">
        <f>U198/U$213</f>
        <v>3.5542918073573856E-3</v>
      </c>
      <c r="Y198" s="630" t="s">
        <v>2378</v>
      </c>
      <c r="Z198" s="635">
        <v>0.17554325649292801</v>
      </c>
      <c r="AB198" s="1027" t="str">
        <f>A198</f>
        <v>Senegal</v>
      </c>
      <c r="AC198" s="634"/>
      <c r="AD198" s="634">
        <f>R198</f>
        <v>8.5999999999999993E-2</v>
      </c>
      <c r="AE198" s="634">
        <f>Q198</f>
        <v>8.0522613065326654E-2</v>
      </c>
      <c r="AF198" s="634">
        <f>P198</f>
        <v>5.4522613065326651E-2</v>
      </c>
      <c r="AG198" s="1028">
        <f>O198</f>
        <v>8.3000000000000004E-2</v>
      </c>
      <c r="AI198" s="634"/>
      <c r="AJ198" s="634"/>
    </row>
    <row r="199" spans="1:36">
      <c r="A199" s="704" t="s">
        <v>1961</v>
      </c>
      <c r="B199" s="960">
        <v>0.2</v>
      </c>
      <c r="C199" s="960">
        <v>0.22</v>
      </c>
      <c r="D199" s="960">
        <v>0.16</v>
      </c>
      <c r="F199" s="635">
        <f>Africa!P113</f>
        <v>0.18302183885267209</v>
      </c>
      <c r="G199" s="630"/>
      <c r="H199" s="982">
        <v>37</v>
      </c>
      <c r="I199" s="982">
        <v>37</v>
      </c>
      <c r="J199" s="982">
        <v>37</v>
      </c>
      <c r="L199" s="979">
        <f>Africa!P95-H199-I199-J199</f>
        <v>40.176816677015012</v>
      </c>
      <c r="M199" s="973">
        <f>$L$217/4</f>
        <v>1.5500000000000007</v>
      </c>
      <c r="O199" s="1023">
        <v>8.3000000000000004E-2</v>
      </c>
      <c r="P199" s="978">
        <f>P205</f>
        <v>5.4522613065326651E-2</v>
      </c>
      <c r="Q199" s="634">
        <f>P199+2.6%</f>
        <v>8.0522613065326654E-2</v>
      </c>
      <c r="R199" s="634">
        <f>R198</f>
        <v>8.5999999999999993E-2</v>
      </c>
      <c r="U199" s="973">
        <f>M199</f>
        <v>1.5500000000000007</v>
      </c>
      <c r="W199" s="635">
        <f>U199/U$213</f>
        <v>3.5542918073573856E-3</v>
      </c>
      <c r="Y199" s="630" t="s">
        <v>2377</v>
      </c>
      <c r="Z199" s="635">
        <v>0.11264562032678722</v>
      </c>
      <c r="AB199" s="1027" t="str">
        <f>A199</f>
        <v>DRC</v>
      </c>
      <c r="AC199" s="634"/>
      <c r="AD199" s="634">
        <f>R199</f>
        <v>8.5999999999999993E-2</v>
      </c>
      <c r="AE199" s="634">
        <f>Q199</f>
        <v>8.0522613065326654E-2</v>
      </c>
      <c r="AF199" s="634">
        <f>P199</f>
        <v>5.4522613065326651E-2</v>
      </c>
      <c r="AG199" s="1028">
        <f>O199</f>
        <v>8.3000000000000004E-2</v>
      </c>
      <c r="AI199" s="634"/>
      <c r="AJ199" s="634"/>
    </row>
    <row r="200" spans="1:36">
      <c r="A200" s="704" t="s">
        <v>578</v>
      </c>
      <c r="B200" s="960">
        <v>0.18</v>
      </c>
      <c r="C200" s="960">
        <v>0.19</v>
      </c>
      <c r="D200" s="960">
        <v>0.14000000000000001</v>
      </c>
      <c r="E200" s="960">
        <v>0.13</v>
      </c>
      <c r="F200" s="635">
        <f>Africa!P111</f>
        <v>0.22754027261462206</v>
      </c>
      <c r="G200" s="630"/>
      <c r="H200" s="982">
        <v>92</v>
      </c>
      <c r="I200" s="982">
        <v>91</v>
      </c>
      <c r="J200" s="523">
        <v>88</v>
      </c>
      <c r="K200" s="1032">
        <v>88</v>
      </c>
      <c r="L200" s="979">
        <f>Africa!P93-H200-I200-J200</f>
        <v>97</v>
      </c>
      <c r="M200" s="973">
        <f>0.35*J200</f>
        <v>30.799999999999997</v>
      </c>
      <c r="N200" s="535">
        <f>0.3*K200+4</f>
        <v>30.4</v>
      </c>
      <c r="O200" s="634">
        <f>N200/K200</f>
        <v>0.34545454545454546</v>
      </c>
      <c r="P200" s="978">
        <f>M200/J200</f>
        <v>0.35</v>
      </c>
      <c r="Q200" s="634">
        <v>0.35</v>
      </c>
      <c r="R200" s="635">
        <v>0.36</v>
      </c>
      <c r="S200" s="635">
        <v>0.36699999999999999</v>
      </c>
      <c r="U200" s="973">
        <f>M200</f>
        <v>30.799999999999997</v>
      </c>
      <c r="W200" s="635">
        <f>U200/U$213</f>
        <v>7.0627217849424134E-2</v>
      </c>
      <c r="Y200" s="630" t="s">
        <v>2380</v>
      </c>
      <c r="Z200" s="635">
        <v>0.10549515221526806</v>
      </c>
      <c r="AB200" s="1030" t="s">
        <v>2227</v>
      </c>
      <c r="AC200" s="637"/>
      <c r="AD200" s="637">
        <f>R205</f>
        <v>8.5999999999999993E-2</v>
      </c>
      <c r="AE200" s="637">
        <f>Q205</f>
        <v>8.0522613065326654E-2</v>
      </c>
      <c r="AF200" s="637">
        <f>P205</f>
        <v>5.4522613065326651E-2</v>
      </c>
      <c r="AG200" s="1029">
        <f>O205</f>
        <v>8.3000000000000004E-2</v>
      </c>
      <c r="AI200" s="634"/>
      <c r="AJ200" s="634"/>
    </row>
    <row r="201" spans="1:36">
      <c r="A201" s="704" t="s">
        <v>3825</v>
      </c>
      <c r="B201" s="960">
        <v>4.5999999999999999E-2</v>
      </c>
      <c r="C201" s="960">
        <v>5.8000000000000003E-2</v>
      </c>
      <c r="D201" s="960">
        <v>8.6999999999999994E-2</v>
      </c>
      <c r="E201" s="960">
        <v>0.12</v>
      </c>
      <c r="F201" s="635"/>
      <c r="G201" s="630"/>
      <c r="H201" s="631">
        <v>273</v>
      </c>
      <c r="I201" s="631">
        <v>275</v>
      </c>
      <c r="J201" s="630">
        <v>243</v>
      </c>
      <c r="K201" s="1022">
        <f>'Country quarts'!K7</f>
        <v>250.21267275097787</v>
      </c>
      <c r="L201" s="631"/>
      <c r="M201" s="973">
        <f>85-8</f>
        <v>77</v>
      </c>
      <c r="P201" s="978">
        <f>M201/J201</f>
        <v>0.3168724279835391</v>
      </c>
      <c r="Q201" s="634">
        <f>Quarts!BM340</f>
        <v>0.31272727272727274</v>
      </c>
      <c r="R201" s="635">
        <f>Quarts!BL340</f>
        <v>0.28754578754578752</v>
      </c>
      <c r="U201" s="973">
        <f>M201*0.5</f>
        <v>38.5</v>
      </c>
      <c r="V201" s="973">
        <f>M201-U201</f>
        <v>38.5</v>
      </c>
      <c r="W201" s="635"/>
      <c r="Z201" s="635"/>
      <c r="AB201" s="630" t="str">
        <f>A200</f>
        <v>Tanzania</v>
      </c>
      <c r="AC201" s="634">
        <f>S200</f>
        <v>0.36699999999999999</v>
      </c>
      <c r="AD201" s="634">
        <f>R200</f>
        <v>0.36</v>
      </c>
      <c r="AE201" s="634">
        <f>Q200</f>
        <v>0.35</v>
      </c>
      <c r="AF201" s="634">
        <f>P200</f>
        <v>0.35</v>
      </c>
      <c r="AG201" s="634">
        <f>O200</f>
        <v>0.34545454545454546</v>
      </c>
      <c r="AI201" s="634"/>
      <c r="AJ201" s="634"/>
    </row>
    <row r="202" spans="1:36">
      <c r="A202" s="704" t="s">
        <v>4025</v>
      </c>
      <c r="B202" s="960">
        <v>0.02</v>
      </c>
      <c r="C202" s="960">
        <v>0.05</v>
      </c>
      <c r="D202" s="960">
        <v>0.09</v>
      </c>
      <c r="E202" s="960">
        <v>0.18099999999999999</v>
      </c>
      <c r="F202" s="630"/>
      <c r="H202" s="982">
        <v>35</v>
      </c>
      <c r="I202" s="982">
        <v>37</v>
      </c>
      <c r="J202" s="523">
        <v>38</v>
      </c>
      <c r="K202" s="1032">
        <v>41</v>
      </c>
      <c r="L202" s="631"/>
      <c r="M202" s="973">
        <f>0.35*J202</f>
        <v>13.299999999999999</v>
      </c>
      <c r="N202" s="973">
        <f>O202*M202</f>
        <v>5.32</v>
      </c>
      <c r="O202" s="635">
        <v>0.4</v>
      </c>
      <c r="P202" s="978">
        <f>M202/J202</f>
        <v>0.35</v>
      </c>
      <c r="Q202" s="635">
        <v>0.39</v>
      </c>
      <c r="R202" s="635">
        <v>0.39100000000000001</v>
      </c>
      <c r="S202" s="635">
        <v>0.44</v>
      </c>
      <c r="U202" s="973">
        <f>M202</f>
        <v>13.299999999999999</v>
      </c>
      <c r="V202" s="973"/>
      <c r="W202" s="635">
        <f t="shared" ref="W202:W210" si="39">U202/U$213</f>
        <v>3.0498116798614968E-2</v>
      </c>
      <c r="Y202" s="630" t="s">
        <v>2384</v>
      </c>
      <c r="Z202" s="635">
        <v>4.1380023793513689E-3</v>
      </c>
      <c r="AB202" s="630" t="str">
        <f>A202</f>
        <v xml:space="preserve">Costa Rica </v>
      </c>
      <c r="AC202" s="634">
        <f>S202</f>
        <v>0.44</v>
      </c>
      <c r="AD202" s="634">
        <f>R202</f>
        <v>0.39100000000000001</v>
      </c>
      <c r="AE202" s="634">
        <f>Q202</f>
        <v>0.39</v>
      </c>
      <c r="AF202" s="634">
        <f>P202</f>
        <v>0.35</v>
      </c>
      <c r="AG202" s="634">
        <f>O202</f>
        <v>0.4</v>
      </c>
      <c r="AI202" s="634"/>
      <c r="AJ202" s="634"/>
    </row>
    <row r="203" spans="1:36">
      <c r="A203" s="704" t="s">
        <v>2380</v>
      </c>
      <c r="B203" s="960">
        <v>0.13</v>
      </c>
      <c r="C203" s="960">
        <v>0.1</v>
      </c>
      <c r="D203" s="960">
        <v>0.08</v>
      </c>
      <c r="E203" s="960">
        <v>1.2E-2</v>
      </c>
      <c r="F203" s="635">
        <f>CA!P79</f>
        <v>7.8707478217282301E-2</v>
      </c>
      <c r="G203" s="632"/>
      <c r="H203" s="631">
        <v>165</v>
      </c>
      <c r="I203" s="631">
        <v>163</v>
      </c>
      <c r="J203" s="630">
        <v>160</v>
      </c>
      <c r="K203" s="632">
        <v>161</v>
      </c>
      <c r="L203" s="631"/>
      <c r="M203" s="973">
        <f>0.43*J203</f>
        <v>68.8</v>
      </c>
      <c r="N203" s="973">
        <f>O203*K203</f>
        <v>67.137</v>
      </c>
      <c r="O203" s="634">
        <v>0.41699999999999998</v>
      </c>
      <c r="P203" s="978">
        <f>M203/J203</f>
        <v>0.43</v>
      </c>
      <c r="Q203" s="634">
        <f>P203</f>
        <v>0.43</v>
      </c>
      <c r="R203" s="635">
        <v>0.42</v>
      </c>
      <c r="S203" s="635">
        <f>O203-1.1%</f>
        <v>0.40599999999999997</v>
      </c>
      <c r="U203" s="973">
        <f>0.667*M203</f>
        <v>45.889600000000002</v>
      </c>
      <c r="V203" s="973">
        <f>M203-U203</f>
        <v>22.910399999999996</v>
      </c>
      <c r="W203" s="635">
        <f t="shared" si="39"/>
        <v>0.10522905117606929</v>
      </c>
      <c r="Y203" s="630" t="s">
        <v>2376</v>
      </c>
      <c r="Z203" s="635">
        <v>9.6553388851531904E-2</v>
      </c>
      <c r="AB203" s="630" t="str">
        <f>A203</f>
        <v>Honduras</v>
      </c>
      <c r="AC203" s="634">
        <f>S203</f>
        <v>0.40599999999999997</v>
      </c>
      <c r="AD203" s="634">
        <f>R203</f>
        <v>0.42</v>
      </c>
      <c r="AE203" s="634">
        <f>Q203</f>
        <v>0.43</v>
      </c>
      <c r="AF203" s="634">
        <f>P203</f>
        <v>0.43</v>
      </c>
      <c r="AG203" s="634">
        <f>O203</f>
        <v>0.41699999999999998</v>
      </c>
      <c r="AI203" s="634"/>
      <c r="AJ203" s="634"/>
    </row>
    <row r="204" spans="1:36">
      <c r="A204" s="704" t="s">
        <v>2377</v>
      </c>
      <c r="B204" s="960">
        <v>0.1</v>
      </c>
      <c r="C204" s="960">
        <v>0.09</v>
      </c>
      <c r="D204" s="960">
        <v>0.08</v>
      </c>
      <c r="E204" s="960">
        <v>8.4000000000000005E-2</v>
      </c>
      <c r="F204" s="635">
        <f>SA!P76</f>
        <v>8.4493843562430282E-2</v>
      </c>
      <c r="G204" s="632"/>
      <c r="H204" s="631">
        <v>129</v>
      </c>
      <c r="I204" s="631">
        <v>128</v>
      </c>
      <c r="J204" s="630">
        <v>133</v>
      </c>
      <c r="K204" s="632">
        <v>140</v>
      </c>
      <c r="L204" s="631"/>
      <c r="M204" s="630">
        <v>49</v>
      </c>
      <c r="N204" s="630">
        <v>53</v>
      </c>
      <c r="O204" s="634">
        <f>N204/K204</f>
        <v>0.37857142857142856</v>
      </c>
      <c r="P204" s="978">
        <f>M204/J204</f>
        <v>0.36842105263157893</v>
      </c>
      <c r="Q204" s="634">
        <v>0.36</v>
      </c>
      <c r="R204" s="634">
        <v>0.37</v>
      </c>
      <c r="S204" s="634">
        <f>O204-2.5%</f>
        <v>0.35357142857142854</v>
      </c>
      <c r="U204" s="973">
        <f>M204</f>
        <v>49</v>
      </c>
      <c r="W204" s="635">
        <f t="shared" si="39"/>
        <v>0.11236148294226568</v>
      </c>
      <c r="Y204" s="630" t="s">
        <v>2705</v>
      </c>
      <c r="Z204" s="635">
        <v>8.8507273113904245E-2</v>
      </c>
      <c r="AB204" s="630" t="str">
        <f>A204</f>
        <v>Bolivia</v>
      </c>
      <c r="AC204" s="634">
        <f>S204</f>
        <v>0.35357142857142854</v>
      </c>
      <c r="AD204" s="634">
        <f>R204</f>
        <v>0.37</v>
      </c>
      <c r="AE204" s="634">
        <f>Q204</f>
        <v>0.36</v>
      </c>
      <c r="AF204" s="634">
        <f>P204</f>
        <v>0.36842105263157893</v>
      </c>
      <c r="AG204" s="634">
        <f>O204</f>
        <v>0.37857142857142856</v>
      </c>
      <c r="AI204" s="634"/>
      <c r="AJ204" s="634"/>
    </row>
    <row r="205" spans="1:36">
      <c r="A205" s="704" t="s">
        <v>2227</v>
      </c>
      <c r="B205" s="960"/>
      <c r="C205" s="960">
        <v>0.09</v>
      </c>
      <c r="D205" s="960">
        <v>7.0000000000000007E-2</v>
      </c>
      <c r="F205" s="635">
        <f>Africa!P114</f>
        <v>5.3919802444395426E-2</v>
      </c>
      <c r="G205" s="630"/>
      <c r="H205" s="973">
        <f>H217-H197-H198-H199</f>
        <v>20</v>
      </c>
      <c r="I205" s="973">
        <f>I217-I197-I198-I199</f>
        <v>13</v>
      </c>
      <c r="J205" s="973">
        <f>J217-J197-J198-J199</f>
        <v>13.714285714285722</v>
      </c>
      <c r="L205" s="979">
        <f>Africa!P96-H205-I205-J205</f>
        <v>16.980579780167744</v>
      </c>
      <c r="M205" s="973">
        <f>$L$217/4</f>
        <v>1.5500000000000007</v>
      </c>
      <c r="O205" s="1023">
        <v>8.3000000000000004E-2</v>
      </c>
      <c r="P205" s="978">
        <f>M217</f>
        <v>5.4522613065326651E-2</v>
      </c>
      <c r="Q205" s="634">
        <f>P205+2.6%</f>
        <v>8.0522613065326654E-2</v>
      </c>
      <c r="R205" s="634">
        <f>R199</f>
        <v>8.5999999999999993E-2</v>
      </c>
      <c r="U205" s="973">
        <f>M205</f>
        <v>1.5500000000000007</v>
      </c>
      <c r="W205" s="635">
        <f t="shared" si="39"/>
        <v>3.5542918073573856E-3</v>
      </c>
      <c r="Y205" s="630" t="s">
        <v>578</v>
      </c>
      <c r="Z205" s="635">
        <v>7.0805818491123398E-2</v>
      </c>
      <c r="AB205" s="630" t="str">
        <f>A206</f>
        <v>Guatemala</v>
      </c>
      <c r="AC205" s="634">
        <f>S206</f>
        <v>0.5</v>
      </c>
      <c r="AD205" s="634">
        <f>R206</f>
        <v>0.51500000000000001</v>
      </c>
      <c r="AE205" s="634">
        <f>Q206</f>
        <v>0.51700000000000002</v>
      </c>
      <c r="AF205" s="634">
        <f>P206</f>
        <v>0.52011620795107039</v>
      </c>
      <c r="AG205" s="634">
        <f>O206</f>
        <v>0.5</v>
      </c>
      <c r="AI205" s="634"/>
      <c r="AJ205" s="634"/>
    </row>
    <row r="206" spans="1:36">
      <c r="A206" s="704" t="s">
        <v>2379</v>
      </c>
      <c r="B206" s="960">
        <v>0.03</v>
      </c>
      <c r="C206" s="960">
        <v>0.03</v>
      </c>
      <c r="D206" s="960">
        <v>0.05</v>
      </c>
      <c r="E206" s="960">
        <v>3.6999999999999998E-2</v>
      </c>
      <c r="F206" s="635">
        <f>CA!P77</f>
        <v>4.1737787088051981E-2</v>
      </c>
      <c r="G206" s="632"/>
      <c r="H206" s="535">
        <v>318</v>
      </c>
      <c r="I206" s="535">
        <v>321</v>
      </c>
      <c r="J206" s="535">
        <v>327</v>
      </c>
      <c r="K206" s="454">
        <v>340</v>
      </c>
      <c r="L206" s="631"/>
      <c r="M206" s="535">
        <f>0.514*J206+2</f>
        <v>170.078</v>
      </c>
      <c r="N206" s="523">
        <f>154+16</f>
        <v>170</v>
      </c>
      <c r="O206" s="634">
        <f>N206/K206</f>
        <v>0.5</v>
      </c>
      <c r="P206" s="978">
        <f>M206/J206</f>
        <v>0.52011620795107039</v>
      </c>
      <c r="Q206" s="634">
        <v>0.51700000000000002</v>
      </c>
      <c r="R206" s="634">
        <v>0.51500000000000001</v>
      </c>
      <c r="S206" s="634">
        <f>O206</f>
        <v>0.5</v>
      </c>
      <c r="U206" s="973">
        <f>0.55*M206</f>
        <v>93.542900000000003</v>
      </c>
      <c r="V206" s="973">
        <f>M206-U206</f>
        <v>76.5351</v>
      </c>
      <c r="W206" s="635">
        <f t="shared" si="39"/>
        <v>0.21450242781061357</v>
      </c>
      <c r="Y206" s="630" t="s">
        <v>579</v>
      </c>
      <c r="Z206" s="635">
        <v>2.2988902107507599E-2</v>
      </c>
      <c r="AB206" s="630" t="str">
        <f>A207</f>
        <v>Paraguay</v>
      </c>
      <c r="AC206" s="634">
        <f>S207</f>
        <v>0.47654088050314469</v>
      </c>
      <c r="AD206" s="634">
        <f>R207</f>
        <v>0.45600000000000002</v>
      </c>
      <c r="AE206" s="634">
        <f>Q207</f>
        <v>0.45</v>
      </c>
      <c r="AF206" s="634">
        <f>P207</f>
        <v>0.46</v>
      </c>
      <c r="AG206" s="634">
        <f>O207</f>
        <v>0.44654088050314467</v>
      </c>
      <c r="AI206" s="634"/>
      <c r="AJ206" s="634"/>
    </row>
    <row r="207" spans="1:36">
      <c r="A207" s="704" t="s">
        <v>2378</v>
      </c>
      <c r="B207" s="960">
        <v>0.01</v>
      </c>
      <c r="C207" s="960">
        <v>0.02</v>
      </c>
      <c r="D207" s="960">
        <v>0.04</v>
      </c>
      <c r="E207" s="960">
        <v>0</v>
      </c>
      <c r="F207" s="635">
        <f>SA!P78</f>
        <v>1.828307348894298E-2</v>
      </c>
      <c r="G207" s="632"/>
      <c r="H207" s="631">
        <v>177</v>
      </c>
      <c r="I207" s="631">
        <v>170</v>
      </c>
      <c r="J207" s="630">
        <v>166</v>
      </c>
      <c r="K207" s="632">
        <v>159</v>
      </c>
      <c r="L207" s="631"/>
      <c r="M207" s="973">
        <f>0.46*J207</f>
        <v>76.36</v>
      </c>
      <c r="N207" s="630">
        <v>71</v>
      </c>
      <c r="O207" s="634">
        <f>N207/K207</f>
        <v>0.44654088050314467</v>
      </c>
      <c r="P207" s="978">
        <f>M207/J207</f>
        <v>0.46</v>
      </c>
      <c r="Q207" s="635">
        <v>0.45</v>
      </c>
      <c r="R207" s="634">
        <v>0.45600000000000002</v>
      </c>
      <c r="S207" s="634">
        <f>O207+3%</f>
        <v>0.47654088050314469</v>
      </c>
      <c r="U207" s="973">
        <f>M207</f>
        <v>76.36</v>
      </c>
      <c r="V207" s="973"/>
      <c r="W207" s="635">
        <f t="shared" si="39"/>
        <v>0.17510046607084506</v>
      </c>
      <c r="Y207" s="630" t="s">
        <v>2382</v>
      </c>
      <c r="Z207" s="635">
        <v>4.1380023793513689E-3</v>
      </c>
      <c r="AB207" s="630" t="str">
        <f>A209</f>
        <v>El Salvador</v>
      </c>
      <c r="AC207" s="634">
        <f>S209</f>
        <v>0.378</v>
      </c>
      <c r="AD207" s="634">
        <f>R209</f>
        <v>0.38</v>
      </c>
      <c r="AE207" s="634">
        <f>Q209</f>
        <v>0.37</v>
      </c>
      <c r="AF207" s="634">
        <f>P209</f>
        <v>0.38</v>
      </c>
      <c r="AG207" s="634">
        <f>O209</f>
        <v>0.37</v>
      </c>
      <c r="AI207" s="634"/>
      <c r="AJ207" s="634"/>
    </row>
    <row r="208" spans="1:36">
      <c r="A208" s="704" t="s">
        <v>3824</v>
      </c>
      <c r="B208" s="960">
        <v>0.06</v>
      </c>
      <c r="C208" s="960">
        <v>0.04</v>
      </c>
      <c r="D208" s="960">
        <v>0.03</v>
      </c>
      <c r="E208" s="960">
        <v>-8.9999999999999993E-3</v>
      </c>
      <c r="F208" s="635">
        <f ca="1">Colombia!L57</f>
        <v>0.111870806365862</v>
      </c>
      <c r="G208" s="632"/>
      <c r="H208" s="630">
        <f>H216-H201</f>
        <v>252</v>
      </c>
      <c r="I208" s="630">
        <f>I216-I201</f>
        <v>258</v>
      </c>
      <c r="J208" s="630">
        <f>J216-J201</f>
        <v>222</v>
      </c>
      <c r="K208" s="973">
        <f>K216-K201</f>
        <v>208.78732724902213</v>
      </c>
      <c r="L208" s="631"/>
      <c r="M208" s="630">
        <f>144-8-M201</f>
        <v>59</v>
      </c>
      <c r="P208" s="978">
        <f>M208/J208</f>
        <v>0.26576576576576577</v>
      </c>
      <c r="Q208" s="634">
        <f>Quarts!BM315</f>
        <v>0.29831144465290804</v>
      </c>
      <c r="R208" s="635">
        <f>Quarts!BL315</f>
        <v>0.28666666666666668</v>
      </c>
      <c r="U208" s="973">
        <f>M208*0.5</f>
        <v>29.5</v>
      </c>
      <c r="V208" s="973">
        <f>M208-U208</f>
        <v>29.5</v>
      </c>
      <c r="W208" s="635">
        <f t="shared" si="39"/>
        <v>6.7646198914221176E-2</v>
      </c>
      <c r="Y208" s="630" t="s">
        <v>2962</v>
      </c>
      <c r="Z208" s="635">
        <v>6.7817261217147415E-2</v>
      </c>
      <c r="AB208" s="630" t="str">
        <f>A210</f>
        <v>Chad</v>
      </c>
      <c r="AC208" s="634">
        <v>0.36</v>
      </c>
      <c r="AD208" s="634">
        <f>R210</f>
        <v>0.35</v>
      </c>
      <c r="AE208" s="634">
        <f>Q210</f>
        <v>0.28999999999999998</v>
      </c>
      <c r="AF208" s="634">
        <f>P210</f>
        <v>0.27999999999999997</v>
      </c>
      <c r="AG208" s="634">
        <f>O210</f>
        <v>0.05</v>
      </c>
    </row>
    <row r="209" spans="1:33">
      <c r="A209" s="704" t="s">
        <v>2376</v>
      </c>
      <c r="B209" s="960">
        <v>0.01</v>
      </c>
      <c r="C209" s="960">
        <v>0.03</v>
      </c>
      <c r="D209" s="960">
        <v>0.02</v>
      </c>
      <c r="E209" s="960">
        <v>0</v>
      </c>
      <c r="F209" s="635">
        <f>CA!P75</f>
        <v>1.5220162541060622E-2</v>
      </c>
      <c r="G209" s="632"/>
      <c r="H209" s="631">
        <v>111</v>
      </c>
      <c r="I209" s="631">
        <v>112</v>
      </c>
      <c r="J209" s="973">
        <f>M209/P209</f>
        <v>110.52631578947368</v>
      </c>
      <c r="K209" s="1022">
        <f>N209/O209</f>
        <v>116.21621621621622</v>
      </c>
      <c r="L209" s="631"/>
      <c r="M209" s="630">
        <v>42</v>
      </c>
      <c r="N209" s="630">
        <v>43</v>
      </c>
      <c r="O209" s="634">
        <v>0.37</v>
      </c>
      <c r="P209" s="978">
        <v>0.38</v>
      </c>
      <c r="Q209" s="634">
        <v>0.37</v>
      </c>
      <c r="R209" s="634">
        <v>0.38</v>
      </c>
      <c r="S209" s="634">
        <f>O209+0.8%</f>
        <v>0.378</v>
      </c>
      <c r="U209" s="630">
        <f>M209</f>
        <v>42</v>
      </c>
      <c r="V209" s="973"/>
      <c r="W209" s="635">
        <f t="shared" si="39"/>
        <v>9.630984252194201E-2</v>
      </c>
      <c r="Y209" s="630" t="s">
        <v>3794</v>
      </c>
      <c r="Z209" s="635">
        <v>3.0575239802985103E-2</v>
      </c>
      <c r="AB209" s="630" t="str">
        <f>A212</f>
        <v>Colombia</v>
      </c>
      <c r="AC209" s="634"/>
      <c r="AD209" s="634">
        <f>R212</f>
        <v>0.28666666666666668</v>
      </c>
      <c r="AE209" s="634">
        <f>Q212</f>
        <v>0.29831144465290804</v>
      </c>
      <c r="AF209" s="634">
        <f>P212</f>
        <v>0.2924731182795699</v>
      </c>
      <c r="AG209" s="634">
        <f>O212</f>
        <v>0.27233115468409586</v>
      </c>
    </row>
    <row r="210" spans="1:33">
      <c r="A210" s="704" t="s">
        <v>579</v>
      </c>
      <c r="B210" s="960">
        <v>0</v>
      </c>
      <c r="C210" s="960">
        <v>-0.03</v>
      </c>
      <c r="D210" s="960">
        <v>-0.01</v>
      </c>
      <c r="E210" s="960">
        <v>0.11</v>
      </c>
      <c r="F210" s="635">
        <f ca="1">Africa!P112</f>
        <v>1.8650585007942366E-2</v>
      </c>
      <c r="G210" s="630"/>
      <c r="H210" s="982">
        <v>36</v>
      </c>
      <c r="I210" s="982">
        <v>37</v>
      </c>
      <c r="J210" s="454">
        <f>M210/P210</f>
        <v>39.285714285714292</v>
      </c>
      <c r="K210" s="1032">
        <v>40</v>
      </c>
      <c r="L210" s="979">
        <f>Africa!P94-H210-I210-J210</f>
        <v>39.999999999999986</v>
      </c>
      <c r="M210" s="523">
        <v>11</v>
      </c>
      <c r="N210" s="523">
        <f>0+2</f>
        <v>2</v>
      </c>
      <c r="O210" s="634">
        <f>N210/K210</f>
        <v>0.05</v>
      </c>
      <c r="P210" s="978">
        <f>Q210-1%</f>
        <v>0.27999999999999997</v>
      </c>
      <c r="Q210" s="635">
        <v>0.28999999999999998</v>
      </c>
      <c r="R210" s="635">
        <v>0.35</v>
      </c>
      <c r="U210" s="630">
        <f>M210</f>
        <v>11</v>
      </c>
      <c r="W210" s="635">
        <f t="shared" si="39"/>
        <v>2.5224006374794338E-2</v>
      </c>
      <c r="Y210" s="630" t="s">
        <v>1961</v>
      </c>
      <c r="Z210" s="635">
        <v>4.1380023793513689E-3</v>
      </c>
    </row>
    <row r="211" spans="1:33">
      <c r="A211" s="974" t="s">
        <v>2705</v>
      </c>
      <c r="B211" s="724"/>
      <c r="C211" s="724"/>
      <c r="D211" s="724"/>
      <c r="F211" s="724"/>
      <c r="G211" s="975"/>
      <c r="H211" s="724"/>
      <c r="I211" s="724"/>
      <c r="J211" s="724"/>
      <c r="L211" s="724"/>
      <c r="M211" s="981"/>
      <c r="P211" s="975"/>
      <c r="Q211" s="974"/>
      <c r="R211" s="974"/>
      <c r="U211" s="974"/>
      <c r="V211" s="974"/>
      <c r="W211" s="980">
        <f>U201/U$213</f>
        <v>8.8284022311780175E-2</v>
      </c>
      <c r="Y211" s="630" t="s">
        <v>2227</v>
      </c>
      <c r="Z211" s="635">
        <v>4.1380023793513689E-3</v>
      </c>
      <c r="AB211" s="704" t="s">
        <v>4030</v>
      </c>
      <c r="AC211" s="634">
        <f>Quarts!BJ22/Quarts!BJ3</f>
        <v>-3.388918773534158E-2</v>
      </c>
      <c r="AD211" s="634">
        <f>Quarts!BL22/Quarts!BL3</f>
        <v>-3.3352837916910474E-2</v>
      </c>
      <c r="AE211" s="634">
        <f>Quarts!BM22/Quarts!BM3</f>
        <v>-3.0516431924882629E-2</v>
      </c>
      <c r="AF211" s="634">
        <f>Quarts!BN22/Quarts!BN3</f>
        <v>-3.0469226081657527E-2</v>
      </c>
      <c r="AG211" s="634">
        <f>Quarts!BO22/Quarts!BO3</f>
        <v>-2.6833631484794274E-2</v>
      </c>
    </row>
    <row r="212" spans="1:33">
      <c r="A212" s="704" t="s">
        <v>1665</v>
      </c>
      <c r="F212" s="631"/>
      <c r="G212" s="632"/>
      <c r="L212" s="631"/>
      <c r="M212" s="631"/>
      <c r="O212" s="634">
        <f>Quarts!BO315</f>
        <v>0.27233115468409586</v>
      </c>
      <c r="P212" s="634">
        <f>Quarts!BN315</f>
        <v>0.2924731182795699</v>
      </c>
      <c r="Q212" s="634">
        <f>Quarts!BM315</f>
        <v>0.29831144465290804</v>
      </c>
      <c r="R212" s="634">
        <f>Quarts!BL315</f>
        <v>0.28666666666666668</v>
      </c>
      <c r="W212" s="635"/>
      <c r="Z212" s="635"/>
      <c r="AB212" s="704" t="s">
        <v>4031</v>
      </c>
      <c r="AC212" s="634">
        <f>Quarts!BJ311/Quarts!BJ3</f>
        <v>0</v>
      </c>
      <c r="AD212" s="634">
        <f>Quarts!BL311/Quarts!BL3</f>
        <v>0</v>
      </c>
      <c r="AE212" s="634">
        <f>Quarts!BM311/Quarts!BM3</f>
        <v>-1.1737089201877935E-3</v>
      </c>
      <c r="AF212" s="634">
        <f>Quarts!BN311/Quarts!BN3</f>
        <v>0</v>
      </c>
      <c r="AG212" s="634">
        <f>Quarts!BO311/Quarts!BO3</f>
        <v>4.1741204531902205E-3</v>
      </c>
    </row>
    <row r="213" spans="1:33">
      <c r="F213" s="631"/>
      <c r="G213" s="632"/>
      <c r="H213" s="979">
        <f>SUM(H197:H210)</f>
        <v>1708</v>
      </c>
      <c r="I213" s="979">
        <f>SUM(I197:I210)</f>
        <v>1704</v>
      </c>
      <c r="J213" s="979">
        <f>SUM(J197:J210)</f>
        <v>1640.5263157894738</v>
      </c>
      <c r="L213" s="979">
        <f ca="1">SUM(L197:L210)</f>
        <v>258.65207954931617</v>
      </c>
      <c r="M213" s="979">
        <f>SUM(M197:M210)</f>
        <v>603.53800000000001</v>
      </c>
      <c r="P213" s="632"/>
      <c r="U213" s="973">
        <f>SUM(U197:U210)</f>
        <v>436.09250000000003</v>
      </c>
      <c r="V213" s="973">
        <f>Quarts!BN312</f>
        <v>601</v>
      </c>
      <c r="W213" s="635">
        <f>U213/U$213</f>
        <v>1</v>
      </c>
    </row>
    <row r="214" spans="1:33">
      <c r="F214" s="631"/>
      <c r="G214" s="632"/>
      <c r="L214" s="631"/>
      <c r="M214" s="631"/>
      <c r="P214" s="632"/>
      <c r="V214" s="973">
        <f>V213-V203-V208-V206</f>
        <v>472.05450000000002</v>
      </c>
      <c r="AB214" s="704" t="s">
        <v>4032</v>
      </c>
      <c r="AC214" s="634">
        <f>Quarts!BJ24</f>
        <v>0.31594198829236803</v>
      </c>
      <c r="AD214" s="634">
        <f>Quarts!BL24</f>
        <v>0.33323581041544764</v>
      </c>
      <c r="AE214" s="634">
        <f>Quarts!BM24</f>
        <v>0.335093896713615</v>
      </c>
      <c r="AF214" s="634">
        <f>Quarts!BN24</f>
        <v>0.33577087141986595</v>
      </c>
      <c r="AG214" s="634">
        <f>Quarts!BO24</f>
        <v>0.3291592128801431</v>
      </c>
    </row>
    <row r="215" spans="1:33">
      <c r="F215" s="631"/>
      <c r="G215" s="632"/>
      <c r="K215" s="631"/>
      <c r="L215" s="631"/>
      <c r="M215" s="632"/>
      <c r="Q215" s="635"/>
    </row>
    <row r="216" spans="1:33">
      <c r="A216" s="630" t="s">
        <v>1665</v>
      </c>
      <c r="F216" s="631"/>
      <c r="G216" s="632"/>
      <c r="H216" s="631">
        <v>525</v>
      </c>
      <c r="I216" s="631">
        <v>533</v>
      </c>
      <c r="J216" s="630">
        <v>465</v>
      </c>
      <c r="K216" s="979">
        <f>Quarts!BO230</f>
        <v>459</v>
      </c>
      <c r="L216" s="973">
        <f>Quarts!BN308</f>
        <v>136</v>
      </c>
      <c r="M216" s="978">
        <f>L216/J216</f>
        <v>0.2924731182795699</v>
      </c>
      <c r="P216" s="973">
        <f>0.5*L216</f>
        <v>68</v>
      </c>
      <c r="Q216" s="973">
        <f>L216-P216</f>
        <v>68</v>
      </c>
    </row>
    <row r="217" spans="1:33">
      <c r="A217" s="630" t="s">
        <v>3823</v>
      </c>
      <c r="F217" s="631"/>
      <c r="G217" s="632"/>
      <c r="H217" s="979">
        <f>Quarts!BL239-H210-H200</f>
        <v>120</v>
      </c>
      <c r="I217" s="979">
        <f>Quarts!BM239-I210-I200</f>
        <v>112</v>
      </c>
      <c r="J217" s="979">
        <f>Quarts!BN239-J210-J200</f>
        <v>113.71428571428572</v>
      </c>
      <c r="K217" s="631"/>
      <c r="L217" s="979">
        <f>Quarts!BN310-M200-M210</f>
        <v>6.2000000000000028</v>
      </c>
      <c r="M217" s="978">
        <f>L217/J217</f>
        <v>5.4522613065326651E-2</v>
      </c>
    </row>
    <row r="218" spans="1:33">
      <c r="A218" s="630" t="s">
        <v>371</v>
      </c>
      <c r="F218" s="631"/>
      <c r="G218" s="632"/>
      <c r="H218" s="979">
        <f>Quarts!BL219</f>
        <v>629</v>
      </c>
      <c r="I218" s="979">
        <f>Quarts!BM219</f>
        <v>633</v>
      </c>
      <c r="J218" s="979">
        <f>Quarts!BN219</f>
        <v>636</v>
      </c>
      <c r="K218" s="631"/>
      <c r="L218" s="979">
        <f>Quarts!BN302</f>
        <v>292</v>
      </c>
      <c r="M218" s="632"/>
    </row>
    <row r="219" spans="1:33">
      <c r="F219" s="631"/>
      <c r="G219" s="632"/>
      <c r="H219" s="979">
        <f>H203+H209+H206+H202</f>
        <v>629</v>
      </c>
      <c r="I219" s="979">
        <f>I203+I209+I206+I202</f>
        <v>633</v>
      </c>
      <c r="J219" s="979">
        <f>J203+J209+J206+J202</f>
        <v>635.52631578947376</v>
      </c>
      <c r="K219" s="631"/>
      <c r="L219" s="979">
        <f>M203+M209+M206+M202</f>
        <v>294.178</v>
      </c>
      <c r="M219" s="632"/>
    </row>
    <row r="236" spans="1:1">
      <c r="A236" s="630" t="s">
        <v>2382</v>
      </c>
    </row>
    <row r="237" spans="1:1">
      <c r="A237" s="630" t="s">
        <v>2384</v>
      </c>
    </row>
    <row r="238" spans="1:1">
      <c r="A238" s="630" t="s">
        <v>1961</v>
      </c>
    </row>
    <row r="239" spans="1:1">
      <c r="A239" s="630" t="s">
        <v>578</v>
      </c>
    </row>
    <row r="240" spans="1:1">
      <c r="A240" s="630" t="s">
        <v>3825</v>
      </c>
    </row>
    <row r="241" spans="1:1">
      <c r="A241" s="630" t="s">
        <v>2380</v>
      </c>
    </row>
    <row r="242" spans="1:1">
      <c r="A242" s="630" t="s">
        <v>2377</v>
      </c>
    </row>
    <row r="243" spans="1:1">
      <c r="A243" s="630" t="s">
        <v>2227</v>
      </c>
    </row>
    <row r="244" spans="1:1">
      <c r="A244" s="630" t="s">
        <v>3824</v>
      </c>
    </row>
    <row r="245" spans="1:1">
      <c r="A245" s="630" t="s">
        <v>2376</v>
      </c>
    </row>
    <row r="246" spans="1:1">
      <c r="A246" s="630" t="s">
        <v>2379</v>
      </c>
    </row>
    <row r="247" spans="1:1">
      <c r="A247" s="630" t="s">
        <v>2378</v>
      </c>
    </row>
    <row r="248" spans="1:1">
      <c r="A248" s="630" t="s">
        <v>3794</v>
      </c>
    </row>
    <row r="249" spans="1:1">
      <c r="A249" s="630" t="s">
        <v>579</v>
      </c>
    </row>
    <row r="250" spans="1:1">
      <c r="A250" s="630" t="s">
        <v>2705</v>
      </c>
    </row>
  </sheetData>
  <hyperlinks>
    <hyperlink ref="A1" location="Index!Print_Area" display="Back to index" xr:uid="{00000000-0004-0000-0B00-000000000000}"/>
  </hyperlinks>
  <pageMargins left="0.70866141732283472" right="0.70866141732283472" top="0.74803149606299213" bottom="0.74803149606299213" header="0.31496062992125984" footer="0.31496062992125984"/>
  <pageSetup paperSize="9" scale="18"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E4337-CE66-4B82-AA36-B627AB85C2EC}">
  <dimension ref="A1:AG161"/>
  <sheetViews>
    <sheetView topLeftCell="A124" zoomScale="72" zoomScaleNormal="72" workbookViewId="0">
      <selection activeCell="T136" sqref="T136"/>
    </sheetView>
  </sheetViews>
  <sheetFormatPr defaultRowHeight="15"/>
  <cols>
    <col min="1" max="1" width="59.85546875" customWidth="1"/>
    <col min="2" max="2" width="9.140625" customWidth="1"/>
    <col min="20" max="20" width="28.7109375" customWidth="1"/>
    <col min="21" max="21" width="10.5703125" customWidth="1"/>
    <col min="24" max="24" width="35" bestFit="1" customWidth="1"/>
  </cols>
  <sheetData>
    <row r="1" spans="1:33" ht="27" customHeight="1">
      <c r="A1" s="1366"/>
      <c r="B1" s="1365">
        <v>2020</v>
      </c>
      <c r="C1" s="1365">
        <v>2021</v>
      </c>
      <c r="D1" s="1365">
        <v>2022</v>
      </c>
      <c r="E1" s="1365">
        <v>2023</v>
      </c>
      <c r="F1" s="1365">
        <v>2024</v>
      </c>
      <c r="G1" s="1365">
        <v>2025</v>
      </c>
      <c r="H1" s="1365">
        <v>2026</v>
      </c>
      <c r="I1" s="1365">
        <v>2027</v>
      </c>
      <c r="J1" s="1365">
        <v>2028</v>
      </c>
      <c r="K1" s="1365">
        <v>2029</v>
      </c>
      <c r="L1" s="1365">
        <v>2030</v>
      </c>
      <c r="M1" s="1370"/>
      <c r="N1" s="1370"/>
      <c r="O1" s="1370"/>
      <c r="P1" s="1293"/>
      <c r="Q1" s="1293"/>
      <c r="R1" s="1293"/>
      <c r="S1" s="1293"/>
      <c r="T1" s="1293"/>
      <c r="U1" s="1293"/>
      <c r="V1" s="1293"/>
      <c r="W1" s="1293"/>
      <c r="X1" s="1293"/>
      <c r="Y1" s="1293"/>
      <c r="Z1" s="1293"/>
    </row>
    <row r="2" spans="1:33" ht="15.75">
      <c r="A2" s="1362"/>
      <c r="B2" s="1370"/>
      <c r="C2" s="1370"/>
      <c r="D2" s="1370"/>
      <c r="E2" s="1370"/>
      <c r="F2" s="1370"/>
      <c r="G2" s="1370"/>
      <c r="H2" s="1370"/>
      <c r="I2" s="1370"/>
      <c r="J2" s="1370"/>
      <c r="K2" s="1370"/>
      <c r="L2" s="1370"/>
      <c r="M2" s="1370"/>
      <c r="N2" s="1370"/>
      <c r="O2" s="1370"/>
      <c r="P2" s="1293"/>
      <c r="Q2" s="1293"/>
      <c r="R2" s="1293"/>
      <c r="S2" s="1293"/>
      <c r="T2" s="1293"/>
      <c r="U2" s="1293"/>
      <c r="V2" s="1293"/>
      <c r="W2" s="1293"/>
      <c r="X2" s="1293"/>
      <c r="Y2" s="1293"/>
      <c r="Z2" s="1293"/>
    </row>
    <row r="3" spans="1:33" ht="15.75">
      <c r="A3" s="1362"/>
      <c r="B3" s="1370"/>
      <c r="C3" s="1370"/>
      <c r="D3" s="1370"/>
      <c r="E3" s="1370"/>
      <c r="F3" s="1370"/>
      <c r="G3" s="1370"/>
      <c r="H3" s="1370"/>
      <c r="I3" s="1370"/>
      <c r="J3" s="1370"/>
      <c r="K3" s="1370"/>
      <c r="L3" s="1370"/>
      <c r="M3" s="1370"/>
      <c r="N3" s="1370"/>
      <c r="O3" s="1370"/>
      <c r="P3" s="1293"/>
      <c r="Q3" s="1293"/>
      <c r="R3" s="1293"/>
      <c r="S3" s="1293"/>
      <c r="T3" s="1293"/>
      <c r="U3" s="1293"/>
      <c r="V3" s="1293"/>
      <c r="W3" s="1293"/>
      <c r="X3" s="1293"/>
      <c r="Y3" s="1293"/>
      <c r="Z3" s="1293"/>
    </row>
    <row r="4" spans="1:33" ht="15.75">
      <c r="A4" s="1377" t="s">
        <v>1250</v>
      </c>
      <c r="B4" s="1378"/>
      <c r="C4" s="1378"/>
      <c r="D4" s="1378"/>
      <c r="E4" s="1378"/>
      <c r="F4" s="1378"/>
      <c r="G4" s="1378"/>
      <c r="H4" s="1378"/>
      <c r="I4" s="1378"/>
      <c r="J4" s="1378"/>
      <c r="K4" s="1378"/>
      <c r="L4" s="1378"/>
      <c r="M4" s="1370"/>
      <c r="N4" s="1370"/>
      <c r="Q4" s="1293"/>
      <c r="T4" s="1377" t="s">
        <v>1250</v>
      </c>
      <c r="U4" s="1408"/>
      <c r="V4" s="1293"/>
      <c r="W4" s="1293"/>
      <c r="X4" s="1427" t="s">
        <v>1250</v>
      </c>
      <c r="Y4" s="1377"/>
      <c r="Z4" s="1377"/>
      <c r="AA4" s="1377"/>
    </row>
    <row r="5" spans="1:33" ht="16.5" thickBot="1">
      <c r="A5" s="1379" t="s">
        <v>1130</v>
      </c>
      <c r="B5" s="1380">
        <f t="shared" ref="B5:L5" si="0">B1</f>
        <v>2020</v>
      </c>
      <c r="C5" s="1380">
        <f t="shared" si="0"/>
        <v>2021</v>
      </c>
      <c r="D5" s="1380">
        <f t="shared" si="0"/>
        <v>2022</v>
      </c>
      <c r="E5" s="1380">
        <f t="shared" si="0"/>
        <v>2023</v>
      </c>
      <c r="F5" s="1380">
        <f t="shared" si="0"/>
        <v>2024</v>
      </c>
      <c r="G5" s="1380">
        <f t="shared" si="0"/>
        <v>2025</v>
      </c>
      <c r="H5" s="1380">
        <f t="shared" si="0"/>
        <v>2026</v>
      </c>
      <c r="I5" s="1380">
        <f t="shared" si="0"/>
        <v>2027</v>
      </c>
      <c r="J5" s="1380">
        <f t="shared" si="0"/>
        <v>2028</v>
      </c>
      <c r="K5" s="1380">
        <f t="shared" si="0"/>
        <v>2029</v>
      </c>
      <c r="L5" s="1380">
        <f t="shared" si="0"/>
        <v>2030</v>
      </c>
      <c r="M5" s="1370"/>
      <c r="N5" s="1370"/>
      <c r="Q5" s="1293"/>
      <c r="T5" s="1379" t="s">
        <v>1130</v>
      </c>
      <c r="U5" s="1409"/>
      <c r="V5" s="1293"/>
      <c r="W5" s="1293"/>
      <c r="X5" s="1428" t="s">
        <v>1130</v>
      </c>
      <c r="Y5" s="1422" t="s">
        <v>1938</v>
      </c>
      <c r="Z5" s="1422" t="s">
        <v>8343</v>
      </c>
      <c r="AA5" s="1422" t="s">
        <v>245</v>
      </c>
      <c r="AC5" s="1431" t="s">
        <v>8349</v>
      </c>
    </row>
    <row r="6" spans="1:33" ht="15.75">
      <c r="A6" s="1385" t="s">
        <v>758</v>
      </c>
      <c r="B6" s="1386">
        <f>Master!W5</f>
        <v>6232</v>
      </c>
      <c r="C6" s="1386">
        <f>Master!X5</f>
        <v>6572</v>
      </c>
      <c r="D6" s="1386">
        <f>Master!Y5</f>
        <v>5624.5300000000007</v>
      </c>
      <c r="E6" s="1386">
        <f>Master!Z5</f>
        <v>5661</v>
      </c>
      <c r="F6" s="1386">
        <f>Master!AA5</f>
        <v>5804.2592000000004</v>
      </c>
      <c r="G6" s="1386">
        <f>Master!AB5</f>
        <v>5523.9546913835384</v>
      </c>
      <c r="H6" s="1386">
        <f>Master!AC5</f>
        <v>5603.0529567956419</v>
      </c>
      <c r="I6" s="1386">
        <f>Master!AD5</f>
        <v>5697.2603768103054</v>
      </c>
      <c r="J6" s="1386">
        <f>Master!AE5</f>
        <v>5798.6244029074151</v>
      </c>
      <c r="K6" s="1386">
        <f>Master!AF5</f>
        <v>5882.0473511545479</v>
      </c>
      <c r="L6" s="1386">
        <f>Master!AG5</f>
        <v>5952.0055851318775</v>
      </c>
      <c r="M6" s="1370"/>
      <c r="N6" s="1370"/>
      <c r="Q6" s="1293"/>
      <c r="T6" s="1410" t="s">
        <v>1938</v>
      </c>
      <c r="U6" s="1411">
        <f ca="1">SUMPRODUCT(Y6:Y11,AC6:AC11)</f>
        <v>0.11177345853144544</v>
      </c>
      <c r="V6" s="1293"/>
      <c r="W6" s="1293"/>
      <c r="X6" s="1315" t="str">
        <f>SOP!B15</f>
        <v>Guatemala / El Salvador / Costa Rica</v>
      </c>
      <c r="Y6" s="1423">
        <f>SOP!C259</f>
        <v>0.12</v>
      </c>
      <c r="Z6" s="1423">
        <f>SOP!C261</f>
        <v>0</v>
      </c>
      <c r="AA6" s="1424">
        <f>SOP!I15</f>
        <v>9453.2596494214886</v>
      </c>
      <c r="AC6" s="1432">
        <f ca="1">AA6/SUM($AA$6:$AA$11)</f>
        <v>0.61311455700156658</v>
      </c>
    </row>
    <row r="7" spans="1:33" ht="15.75">
      <c r="A7" s="1381" t="s">
        <v>945</v>
      </c>
      <c r="B7" s="1383"/>
      <c r="C7" s="1384">
        <f>C6/B6-1</f>
        <v>5.4557124518613609E-2</v>
      </c>
      <c r="D7" s="1384">
        <f t="shared" ref="D7:L7" si="1">D6/C6-1</f>
        <v>-0.14416768107121114</v>
      </c>
      <c r="E7" s="1384">
        <f t="shared" si="1"/>
        <v>6.4840973379107769E-3</v>
      </c>
      <c r="F7" s="1384">
        <f t="shared" si="1"/>
        <v>2.5306341635753515E-2</v>
      </c>
      <c r="G7" s="1384">
        <f t="shared" si="1"/>
        <v>-4.829289991330199E-2</v>
      </c>
      <c r="H7" s="1384">
        <f t="shared" si="1"/>
        <v>1.4319137254236391E-2</v>
      </c>
      <c r="I7" s="1384">
        <f t="shared" si="1"/>
        <v>1.6813587296262256E-2</v>
      </c>
      <c r="J7" s="1384">
        <f t="shared" si="1"/>
        <v>1.7791713805058729E-2</v>
      </c>
      <c r="K7" s="1384">
        <f t="shared" si="1"/>
        <v>1.4386679055347074E-2</v>
      </c>
      <c r="L7" s="1384">
        <f t="shared" si="1"/>
        <v>1.1893517648000174E-2</v>
      </c>
      <c r="M7" s="1370"/>
      <c r="N7" s="1370"/>
      <c r="Q7" s="1293"/>
      <c r="T7" s="1400" t="s">
        <v>8343</v>
      </c>
      <c r="U7" s="1412">
        <f ca="1">SUMPRODUCT(Z6:Z11,AC6:AC11)</f>
        <v>3.5122574329641729E-4</v>
      </c>
      <c r="V7" s="1293"/>
      <c r="W7" s="1293"/>
      <c r="X7" s="1429" t="str">
        <f>SOP!B11</f>
        <v>Colombia</v>
      </c>
      <c r="Y7" s="1425">
        <f>SOP!C142</f>
        <v>9.5000000000000001E-2</v>
      </c>
      <c r="Z7" s="1425">
        <f>SOP!C144</f>
        <v>0</v>
      </c>
      <c r="AA7" s="1426">
        <f>SOP!I11</f>
        <v>3465.664918967087</v>
      </c>
      <c r="AC7" s="1432">
        <f t="shared" ref="AC7:AC11" ca="1" si="2">AA7/SUM($AA$6:$AA$11)</f>
        <v>0.22477427790089424</v>
      </c>
    </row>
    <row r="8" spans="1:33" ht="15.75">
      <c r="A8" s="1385"/>
      <c r="B8" s="1387"/>
      <c r="C8" s="1387"/>
      <c r="D8" s="1387"/>
      <c r="E8" s="1387"/>
      <c r="F8" s="1387"/>
      <c r="G8" s="1387"/>
      <c r="H8" s="1387"/>
      <c r="I8" s="1387"/>
      <c r="J8" s="1387"/>
      <c r="K8" s="1387"/>
      <c r="L8" s="1387"/>
      <c r="M8" s="1370"/>
      <c r="N8" s="1370"/>
      <c r="Q8" s="1293"/>
      <c r="T8" s="1410" t="s">
        <v>8344</v>
      </c>
      <c r="U8" s="1413">
        <f ca="1">1/(U6-U7)</f>
        <v>8.9748695119163067</v>
      </c>
      <c r="V8" s="1293"/>
      <c r="W8" s="1293"/>
      <c r="X8" s="1315" t="str">
        <f>SOP!B16</f>
        <v>Bolivia / Paraguay</v>
      </c>
      <c r="Y8" s="1423">
        <f>SOP!C273</f>
        <v>0.105</v>
      </c>
      <c r="Z8" s="1423">
        <f>SOP!C275</f>
        <v>0</v>
      </c>
      <c r="AA8" s="1424">
        <f ca="1">SOP!I16</f>
        <v>2397.206965439379</v>
      </c>
      <c r="AC8" s="1432">
        <f t="shared" ca="1" si="2"/>
        <v>0.15547679225613778</v>
      </c>
    </row>
    <row r="9" spans="1:33" ht="15.75">
      <c r="A9" s="1381" t="s">
        <v>8306</v>
      </c>
      <c r="B9" s="1382">
        <f>Master!W14</f>
        <v>2641</v>
      </c>
      <c r="C9" s="1382">
        <f>Master!X14</f>
        <v>2613</v>
      </c>
      <c r="D9" s="1382">
        <f>Master!Y14</f>
        <v>2228.1349999999998</v>
      </c>
      <c r="E9" s="1382">
        <f>Master!Z14</f>
        <v>2111.2855</v>
      </c>
      <c r="F9" s="1382">
        <f ca="1">Master!AA14</f>
        <v>2468.6458000000002</v>
      </c>
      <c r="G9" s="1382">
        <f>Master!AB14</f>
        <v>2381.685419914671</v>
      </c>
      <c r="H9" s="1382">
        <f>Master!AC14</f>
        <v>2396.1990022089599</v>
      </c>
      <c r="I9" s="1382">
        <f>Master!AD14</f>
        <v>2461.0081072440548</v>
      </c>
      <c r="J9" s="1382">
        <f>Master!AE14</f>
        <v>2531.4814825398967</v>
      </c>
      <c r="K9" s="1382">
        <f>Master!AF14</f>
        <v>2605.2274230211528</v>
      </c>
      <c r="L9" s="1382">
        <f>Master!AG14</f>
        <v>2675.7831928277733</v>
      </c>
      <c r="M9" s="1370"/>
      <c r="N9" s="1370"/>
      <c r="Q9" s="1293"/>
      <c r="T9" s="1414" t="s">
        <v>8345</v>
      </c>
      <c r="U9" s="1415">
        <f>U12-U10-U11</f>
        <v>13907.595112753153</v>
      </c>
      <c r="V9" s="1293"/>
      <c r="W9" s="1293"/>
      <c r="X9" s="1429" t="str">
        <f>SOP!B17</f>
        <v>Panama</v>
      </c>
      <c r="Y9" s="1425">
        <f ca="1">AG9*'New CA'!C27+(1-HY!AG9)*Onda!C67</f>
        <v>8.7889093107268404E-2</v>
      </c>
      <c r="Z9" s="1425">
        <f ca="1">AG9*'New CA'!C28+(1-HY!AG9)*Onda!C70</f>
        <v>1.519175301417864E-3</v>
      </c>
      <c r="AA9" s="1426">
        <f ca="1">SOP!I17</f>
        <v>2330.9218428507816</v>
      </c>
      <c r="AC9" s="1432">
        <f t="shared" ca="1" si="2"/>
        <v>0.15117770653556417</v>
      </c>
      <c r="AE9" s="1430">
        <f>'New CA'!C33</f>
        <v>698.85649304974299</v>
      </c>
      <c r="AF9" s="1430">
        <f ca="1">Onda!C73</f>
        <v>1632.0653498010386</v>
      </c>
      <c r="AG9" s="138">
        <f ca="1">AE9/(AE9+AF9)</f>
        <v>0.29981978812083304</v>
      </c>
    </row>
    <row r="10" spans="1:33" ht="15.75">
      <c r="A10" s="1385" t="s">
        <v>945</v>
      </c>
      <c r="B10" s="1387"/>
      <c r="C10" s="1388">
        <f>C9/B9-1</f>
        <v>-1.0602044680045442E-2</v>
      </c>
      <c r="D10" s="1388">
        <f t="shared" ref="D10" si="3">D9/C9-1</f>
        <v>-0.14728855721393042</v>
      </c>
      <c r="E10" s="1388">
        <f t="shared" ref="E10" si="4">E9/D9-1</f>
        <v>-5.2442737984906618E-2</v>
      </c>
      <c r="F10" s="1388">
        <f t="shared" ref="F10" ca="1" si="5">F9/E9-1</f>
        <v>0.1692619496510539</v>
      </c>
      <c r="G10" s="1388">
        <f t="shared" ref="G10" ca="1" si="6">G9/F9-1</f>
        <v>-3.5225944558481936E-2</v>
      </c>
      <c r="H10" s="1388">
        <f t="shared" ref="H10" si="7">H9/G9-1</f>
        <v>6.093828417864211E-3</v>
      </c>
      <c r="I10" s="1388">
        <f t="shared" ref="I10" si="8">I9/H9-1</f>
        <v>2.7046628838151676E-2</v>
      </c>
      <c r="J10" s="1388">
        <f t="shared" ref="J10" si="9">J9/I9-1</f>
        <v>2.8635978519697458E-2</v>
      </c>
      <c r="K10" s="1388">
        <f t="shared" ref="K10" si="10">K9/J9-1</f>
        <v>2.9131534632939493E-2</v>
      </c>
      <c r="L10" s="1388">
        <f t="shared" ref="L10" si="11">L9/K9-1</f>
        <v>2.7082384126296599E-2</v>
      </c>
      <c r="M10" s="1370"/>
      <c r="N10" s="1370"/>
      <c r="Q10" s="1293"/>
      <c r="T10" s="1399" t="s">
        <v>8356</v>
      </c>
      <c r="U10" s="1416">
        <f>SOP!I29</f>
        <v>-887.38393981123295</v>
      </c>
      <c r="V10" s="1293"/>
      <c r="W10" s="1293"/>
      <c r="X10" s="1315" t="str">
        <f>SOP!B18</f>
        <v>Nicaragua wireless</v>
      </c>
      <c r="Y10" s="1423">
        <f>'New CA'!C152</f>
        <v>0.1</v>
      </c>
      <c r="Z10" s="1423">
        <f>'New CA'!C153</f>
        <v>5.0000000000000001E-3</v>
      </c>
      <c r="AA10" s="1424">
        <f>SOP!I18</f>
        <v>374.853644204283</v>
      </c>
      <c r="AC10" s="1432">
        <f t="shared" ca="1" si="2"/>
        <v>2.4312061080518043E-2</v>
      </c>
    </row>
    <row r="11" spans="1:33" ht="15.75">
      <c r="A11" s="1381" t="s">
        <v>8307</v>
      </c>
      <c r="B11" s="1384">
        <f>B9/B6</f>
        <v>0.42378048780487804</v>
      </c>
      <c r="C11" s="1384">
        <f t="shared" ref="C11:L11" si="12">C9/C6</f>
        <v>0.39759586122945828</v>
      </c>
      <c r="D11" s="1384">
        <f t="shared" si="12"/>
        <v>0.39614598908708809</v>
      </c>
      <c r="E11" s="1384">
        <f t="shared" si="12"/>
        <v>0.37295274686451158</v>
      </c>
      <c r="F11" s="1384">
        <f t="shared" ca="1" si="12"/>
        <v>0.42531625741317686</v>
      </c>
      <c r="G11" s="1384">
        <f t="shared" si="12"/>
        <v>0.43115585716691501</v>
      </c>
      <c r="H11" s="1384">
        <f t="shared" si="12"/>
        <v>0.42765953145289104</v>
      </c>
      <c r="I11" s="1384">
        <f t="shared" si="12"/>
        <v>0.43196342530897036</v>
      </c>
      <c r="J11" s="1384">
        <f t="shared" si="12"/>
        <v>0.43656586573715972</v>
      </c>
      <c r="K11" s="1384">
        <f t="shared" si="12"/>
        <v>0.4429116713094447</v>
      </c>
      <c r="L11" s="1384">
        <f t="shared" si="12"/>
        <v>0.44955992640730802</v>
      </c>
      <c r="M11" s="1370"/>
      <c r="N11" s="1370"/>
      <c r="Q11" s="1293"/>
      <c r="T11" s="1400" t="s">
        <v>8357</v>
      </c>
      <c r="U11" s="1417">
        <f>SOP!I28+SOP!I23+SOP!I22</f>
        <v>-39.551007734552286</v>
      </c>
      <c r="V11" s="1293"/>
      <c r="W11" s="1293"/>
      <c r="X11" s="1429" t="str">
        <f>SOP!B14</f>
        <v>Corporate costs</v>
      </c>
      <c r="Y11" s="1425">
        <f>SOP!C172</f>
        <v>0.09</v>
      </c>
      <c r="Z11" s="1425">
        <f>SOP!C174</f>
        <v>0</v>
      </c>
      <c r="AA11" s="1426">
        <f>SOP!I14</f>
        <v>-2603.4839195745049</v>
      </c>
      <c r="AC11" s="1432">
        <f t="shared" ca="1" si="2"/>
        <v>-0.16885539477468067</v>
      </c>
    </row>
    <row r="12" spans="1:33" ht="15.75">
      <c r="A12" s="1385"/>
      <c r="B12" s="1387"/>
      <c r="C12" s="1387"/>
      <c r="D12" s="1387"/>
      <c r="E12" s="1387"/>
      <c r="F12" s="1387"/>
      <c r="G12" s="1387"/>
      <c r="H12" s="1387"/>
      <c r="I12" s="1387"/>
      <c r="J12" s="1387"/>
      <c r="K12" s="1387"/>
      <c r="L12" s="1387"/>
      <c r="M12" s="1370"/>
      <c r="N12" s="1370"/>
      <c r="Q12" s="1293"/>
      <c r="T12" s="1401" t="s">
        <v>8350</v>
      </c>
      <c r="U12" s="1418">
        <f>SOP!I30-SOP!I26</f>
        <v>12980.66016520737</v>
      </c>
      <c r="V12" s="1293"/>
      <c r="W12" s="1293"/>
      <c r="X12" s="1293"/>
      <c r="Y12" s="1293"/>
      <c r="Z12" s="1293"/>
      <c r="AA12" s="1293"/>
      <c r="AB12" s="1293"/>
      <c r="AC12" s="1293"/>
    </row>
    <row r="13" spans="1:33" ht="15.75">
      <c r="A13" s="1381" t="s">
        <v>8308</v>
      </c>
      <c r="B13" s="1382">
        <f>Master!W435</f>
        <v>208.3876953125</v>
      </c>
      <c r="C13" s="1382">
        <f>Master!X435</f>
        <v>277</v>
      </c>
      <c r="D13" s="1382">
        <f>Master!Y435</f>
        <v>285</v>
      </c>
      <c r="E13" s="1382">
        <f>Master!Z435</f>
        <v>292</v>
      </c>
      <c r="F13" s="1382">
        <f>Master!AA435</f>
        <v>324</v>
      </c>
      <c r="G13" s="1382">
        <f ca="1">Master!AB435</f>
        <v>356.40000000000003</v>
      </c>
      <c r="H13" s="1382">
        <f ca="1">Master!AC435</f>
        <v>363.52800000000002</v>
      </c>
      <c r="I13" s="1382">
        <f ca="1">Master!AD435</f>
        <v>370.79855999999995</v>
      </c>
      <c r="J13" s="1382">
        <f ca="1">Master!AE435</f>
        <v>378.2145311999999</v>
      </c>
      <c r="K13" s="1382">
        <f ca="1">Master!AF435</f>
        <v>385.77882182399986</v>
      </c>
      <c r="L13" s="1382">
        <f ca="1">Master!AG435</f>
        <v>393.49439826047984</v>
      </c>
      <c r="M13" s="1370"/>
      <c r="N13" s="1370"/>
      <c r="Q13" s="1293"/>
      <c r="T13" s="1400"/>
      <c r="U13" s="1400"/>
      <c r="V13" s="1293"/>
      <c r="W13" s="1293"/>
      <c r="X13" s="1293"/>
      <c r="Y13" s="1293"/>
      <c r="Z13" s="1293"/>
    </row>
    <row r="14" spans="1:33" ht="15.75">
      <c r="A14" s="1385" t="s">
        <v>7865</v>
      </c>
      <c r="B14" s="1386">
        <f>B9-B13</f>
        <v>2432.6123046875</v>
      </c>
      <c r="C14" s="1386">
        <f t="shared" ref="C14:L14" si="13">C9-C13</f>
        <v>2336</v>
      </c>
      <c r="D14" s="1386">
        <f t="shared" si="13"/>
        <v>1943.1349999999998</v>
      </c>
      <c r="E14" s="1386">
        <f t="shared" si="13"/>
        <v>1819.2855</v>
      </c>
      <c r="F14" s="1386">
        <f t="shared" ca="1" si="13"/>
        <v>2144.6458000000002</v>
      </c>
      <c r="G14" s="1386">
        <f t="shared" ca="1" si="13"/>
        <v>2025.2854199146709</v>
      </c>
      <c r="H14" s="1386">
        <f t="shared" ca="1" si="13"/>
        <v>2032.6710022089599</v>
      </c>
      <c r="I14" s="1386">
        <f t="shared" ca="1" si="13"/>
        <v>2090.2095472440551</v>
      </c>
      <c r="J14" s="1386">
        <f t="shared" ca="1" si="13"/>
        <v>2153.2669513398969</v>
      </c>
      <c r="K14" s="1386">
        <f t="shared" ca="1" si="13"/>
        <v>2219.448601197153</v>
      </c>
      <c r="L14" s="1386">
        <f t="shared" ca="1" si="13"/>
        <v>2282.2887945672933</v>
      </c>
      <c r="M14" s="1370"/>
      <c r="N14" s="1370"/>
      <c r="Q14" s="1293"/>
      <c r="T14" s="1419" t="s">
        <v>245</v>
      </c>
      <c r="U14" s="1420">
        <f>U9</f>
        <v>13907.595112753153</v>
      </c>
      <c r="V14" s="1293"/>
      <c r="W14" s="1293"/>
      <c r="X14" s="1293"/>
      <c r="Y14" s="1293"/>
      <c r="Z14" s="1293"/>
    </row>
    <row r="15" spans="1:33" ht="15.75">
      <c r="A15" s="1381" t="s">
        <v>945</v>
      </c>
      <c r="B15" s="1383"/>
      <c r="C15" s="1384">
        <f>C14/B14-1</f>
        <v>-3.9715455069159078E-2</v>
      </c>
      <c r="D15" s="1384">
        <f t="shared" ref="D15" si="14">D14/C14-1</f>
        <v>-0.16817851027397268</v>
      </c>
      <c r="E15" s="1384">
        <f t="shared" ref="E15" si="15">E14/D14-1</f>
        <v>-6.3736950855190155E-2</v>
      </c>
      <c r="F15" s="1384">
        <f t="shared" ref="F15" ca="1" si="16">F14/E14-1</f>
        <v>0.17883960488884254</v>
      </c>
      <c r="G15" s="1384">
        <f t="shared" ref="G15" ca="1" si="17">G14/F14-1</f>
        <v>-5.5655055060993885E-2</v>
      </c>
      <c r="H15" s="1384">
        <f t="shared" ref="H15" ca="1" si="18">H14/G14-1</f>
        <v>3.6466871393368017E-3</v>
      </c>
      <c r="I15" s="1384">
        <f t="shared" ref="I15" ca="1" si="19">I14/H14-1</f>
        <v>2.8306865681936078E-2</v>
      </c>
      <c r="J15" s="1384">
        <f t="shared" ref="J15" ca="1" si="20">J14/I14-1</f>
        <v>3.0167982047055064E-2</v>
      </c>
      <c r="K15" s="1384">
        <f t="shared" ref="K15" ca="1" si="21">K14/J14-1</f>
        <v>3.0735459816570332E-2</v>
      </c>
      <c r="L15" s="1384">
        <f t="shared" ref="L15" ca="1" si="22">L14/K14-1</f>
        <v>2.8313425837500628E-2</v>
      </c>
      <c r="M15" s="1370"/>
      <c r="N15" s="1370"/>
      <c r="Q15" s="1293"/>
      <c r="T15" s="1400" t="s">
        <v>8635</v>
      </c>
      <c r="U15" s="1417">
        <f ca="1">-SOP!I32</f>
        <v>-5411.8432365614617</v>
      </c>
      <c r="V15" s="1293"/>
      <c r="W15" s="1293"/>
      <c r="X15" s="1293"/>
      <c r="Y15" s="1293"/>
      <c r="Z15" s="1293"/>
    </row>
    <row r="16" spans="1:33" ht="15.75">
      <c r="A16" s="1385" t="s">
        <v>8307</v>
      </c>
      <c r="B16" s="1388">
        <f>B14/B6</f>
        <v>0.39034215415396339</v>
      </c>
      <c r="C16" s="1388">
        <f t="shared" ref="C16:L16" si="23">C14/C6</f>
        <v>0.35544735240413877</v>
      </c>
      <c r="D16" s="1388">
        <f t="shared" si="23"/>
        <v>0.3454750885851795</v>
      </c>
      <c r="E16" s="1388">
        <f t="shared" si="23"/>
        <v>0.32137175410704821</v>
      </c>
      <c r="F16" s="1388">
        <f t="shared" ca="1" si="23"/>
        <v>0.36949518036685891</v>
      </c>
      <c r="G16" s="1388">
        <f t="shared" ca="1" si="23"/>
        <v>0.36663686309262877</v>
      </c>
      <c r="H16" s="1388">
        <f t="shared" ca="1" si="23"/>
        <v>0.36277918803955661</v>
      </c>
      <c r="I16" s="1388">
        <f t="shared" ca="1" si="23"/>
        <v>0.36687976483432017</v>
      </c>
      <c r="J16" s="1388">
        <f t="shared" ca="1" si="23"/>
        <v>0.37134099429862272</v>
      </c>
      <c r="K16" s="1388">
        <f t="shared" ca="1" si="23"/>
        <v>0.37732586439677546</v>
      </c>
      <c r="L16" s="1388">
        <f t="shared" ca="1" si="23"/>
        <v>0.38344869841326351</v>
      </c>
      <c r="M16" s="1370"/>
      <c r="N16" s="1370"/>
      <c r="Q16" s="1293"/>
      <c r="T16" s="1565" t="s">
        <v>1377</v>
      </c>
      <c r="U16" s="1421">
        <f>U10+U11</f>
        <v>-926.93494754578523</v>
      </c>
      <c r="V16" s="1293"/>
      <c r="W16" s="1293"/>
      <c r="X16" s="1293"/>
      <c r="Y16" s="1293"/>
      <c r="Z16" s="1293"/>
    </row>
    <row r="17" spans="1:26" ht="15.75">
      <c r="A17" s="1381"/>
      <c r="B17" s="1383"/>
      <c r="C17" s="1383"/>
      <c r="D17" s="1383"/>
      <c r="E17" s="1383"/>
      <c r="F17" s="1383"/>
      <c r="G17" s="1383"/>
      <c r="H17" s="1383"/>
      <c r="I17" s="1383"/>
      <c r="J17" s="1383"/>
      <c r="K17" s="1383"/>
      <c r="L17" s="1383"/>
      <c r="M17" s="1370"/>
      <c r="N17" s="1370"/>
      <c r="Q17" s="1293"/>
      <c r="T17" s="1414" t="s">
        <v>1589</v>
      </c>
      <c r="U17" s="1415">
        <f ca="1">U14+U15+U16</f>
        <v>7568.8169286459051</v>
      </c>
      <c r="V17" s="1293"/>
      <c r="W17" s="1293"/>
      <c r="X17" s="1293"/>
      <c r="Y17" s="1293"/>
      <c r="Z17" s="1293"/>
    </row>
    <row r="18" spans="1:26" ht="15.75">
      <c r="A18" s="1385" t="s">
        <v>1545</v>
      </c>
      <c r="B18" s="1386">
        <f ca="1">'New split'!J437</f>
        <v>990</v>
      </c>
      <c r="C18" s="1386">
        <f ca="1">'New split'!K437</f>
        <v>1111</v>
      </c>
      <c r="D18" s="1386">
        <f>'New split'!L437</f>
        <v>973</v>
      </c>
      <c r="E18" s="1386">
        <f>'New split'!M437</f>
        <v>809</v>
      </c>
      <c r="F18" s="1386">
        <f>'New split'!N437</f>
        <v>743.43599501951292</v>
      </c>
      <c r="G18" s="1386">
        <f>'New split'!O437</f>
        <v>642.75648302236209</v>
      </c>
      <c r="H18" s="1386">
        <f>'New split'!P437</f>
        <v>662.07541764864868</v>
      </c>
      <c r="I18" s="1386">
        <f>'New split'!Q437</f>
        <v>692.29876300118679</v>
      </c>
      <c r="J18" s="1386">
        <f>'New split'!R437</f>
        <v>732.1464896361382</v>
      </c>
      <c r="K18" s="1386">
        <f>'New split'!S437</f>
        <v>741.41671191452178</v>
      </c>
      <c r="L18" s="1386">
        <f>'New split'!T437</f>
        <v>749.89168900760694</v>
      </c>
      <c r="M18" s="1370"/>
      <c r="N18" s="1370"/>
      <c r="Q18" s="1293"/>
      <c r="T18" s="1410" t="s">
        <v>8346</v>
      </c>
      <c r="U18" s="1433">
        <f ca="1">U17/(U14+U16)</f>
        <v>0.58308412918265407</v>
      </c>
      <c r="V18" s="1293"/>
      <c r="W18" s="1293"/>
      <c r="X18" s="1293"/>
      <c r="Y18" s="1293"/>
      <c r="Z18" s="1293"/>
    </row>
    <row r="19" spans="1:26" ht="15.75">
      <c r="A19" s="1381" t="s">
        <v>945</v>
      </c>
      <c r="B19" s="1383"/>
      <c r="C19" s="1384">
        <f ca="1">C18/B18-1</f>
        <v>0.12222222222222223</v>
      </c>
      <c r="D19" s="1384">
        <f t="shared" ref="D19" ca="1" si="24">D18/C18-1</f>
        <v>-0.12421242124212417</v>
      </c>
      <c r="E19" s="1384">
        <f t="shared" ref="E19" si="25">E18/D18-1</f>
        <v>-0.16855087358684484</v>
      </c>
      <c r="F19" s="1384">
        <f t="shared" ref="F19" si="26">F18/E18-1</f>
        <v>-8.10432694443598E-2</v>
      </c>
      <c r="G19" s="1384">
        <f t="shared" ref="G19" si="27">G18/F18-1</f>
        <v>-0.13542458620732822</v>
      </c>
      <c r="H19" s="1384">
        <f t="shared" ref="H19" si="28">H18/G18-1</f>
        <v>3.0056382372753765E-2</v>
      </c>
      <c r="I19" s="1384">
        <f t="shared" ref="I19" si="29">I18/H18-1</f>
        <v>4.5649399670925517E-2</v>
      </c>
      <c r="J19" s="1384">
        <f t="shared" ref="J19" si="30">J18/I18-1</f>
        <v>5.7558569745534971E-2</v>
      </c>
      <c r="K19" s="1384">
        <f t="shared" ref="K19" si="31">K18/J18-1</f>
        <v>1.266170419391166E-2</v>
      </c>
      <c r="L19" s="1384">
        <f t="shared" ref="L19" si="32">L18/K18-1</f>
        <v>1.143078778356732E-2</v>
      </c>
      <c r="M19" s="1370"/>
      <c r="N19" s="1370"/>
      <c r="Q19" s="1293"/>
      <c r="T19" s="1400" t="s">
        <v>8347</v>
      </c>
      <c r="U19" s="1434">
        <f>U14+U16</f>
        <v>12980.660165207368</v>
      </c>
      <c r="V19" s="1293"/>
      <c r="W19" s="1293"/>
      <c r="X19" s="1293"/>
      <c r="Y19" s="1293"/>
      <c r="Z19" s="1293"/>
    </row>
    <row r="20" spans="1:26" ht="15.75">
      <c r="A20" s="1385" t="s">
        <v>8309</v>
      </c>
      <c r="B20" s="1388">
        <f ca="1">B18/B6</f>
        <v>0.15885750962772785</v>
      </c>
      <c r="C20" s="1388">
        <f t="shared" ref="C20:L20" ca="1" si="33">C18/C6</f>
        <v>0.16905051734631771</v>
      </c>
      <c r="D20" s="1388">
        <f t="shared" si="33"/>
        <v>0.17299223223984936</v>
      </c>
      <c r="E20" s="1388">
        <f t="shared" si="33"/>
        <v>0.1429076134958488</v>
      </c>
      <c r="F20" s="1388">
        <f t="shared" si="33"/>
        <v>0.12808456159564907</v>
      </c>
      <c r="G20" s="1388">
        <f t="shared" si="33"/>
        <v>0.11635802951551297</v>
      </c>
      <c r="H20" s="1388">
        <f t="shared" si="33"/>
        <v>0.1181633339455864</v>
      </c>
      <c r="I20" s="1388">
        <f t="shared" si="33"/>
        <v>0.12151432745097397</v>
      </c>
      <c r="J20" s="1388">
        <f t="shared" si="33"/>
        <v>0.1262620992090886</v>
      </c>
      <c r="K20" s="1388">
        <f t="shared" si="33"/>
        <v>0.12604738922562295</v>
      </c>
      <c r="L20" s="1388">
        <f t="shared" si="33"/>
        <v>0.1259897488807534</v>
      </c>
      <c r="M20" s="1370"/>
      <c r="N20" s="1370"/>
      <c r="Q20" s="1293"/>
      <c r="T20" s="1419" t="s">
        <v>8348</v>
      </c>
      <c r="U20" s="1435">
        <f ca="1">U19/-U15</f>
        <v>2.3985654420867752</v>
      </c>
      <c r="V20" s="1293"/>
      <c r="W20" s="1293"/>
      <c r="X20" s="1293"/>
      <c r="Y20" s="1293"/>
      <c r="Z20" s="1293"/>
    </row>
    <row r="21" spans="1:26" ht="15.75">
      <c r="A21" s="1381"/>
      <c r="B21" s="1383"/>
      <c r="C21" s="1383"/>
      <c r="D21" s="1383"/>
      <c r="E21" s="1383"/>
      <c r="F21" s="1383"/>
      <c r="G21" s="1383"/>
      <c r="H21" s="1383"/>
      <c r="I21" s="1383"/>
      <c r="J21" s="1383"/>
      <c r="K21" s="1383"/>
      <c r="L21" s="1383"/>
      <c r="M21" s="1370"/>
      <c r="N21" s="1370"/>
      <c r="O21" s="1370"/>
      <c r="P21" s="1293"/>
      <c r="Q21" s="1293"/>
      <c r="R21" s="1293"/>
      <c r="S21" s="1293"/>
      <c r="T21" s="1293"/>
      <c r="U21" s="1293"/>
      <c r="V21" s="1293"/>
      <c r="W21" s="1293"/>
      <c r="X21" s="1293"/>
      <c r="Y21" s="1293"/>
      <c r="Z21" s="1293"/>
    </row>
    <row r="22" spans="1:26" ht="15.75">
      <c r="A22" s="1385" t="s">
        <v>1552</v>
      </c>
      <c r="B22" s="1386">
        <f ca="1">B9-B18</f>
        <v>1651</v>
      </c>
      <c r="C22" s="1386">
        <f t="shared" ref="C22:L22" ca="1" si="34">C9-C18</f>
        <v>1502</v>
      </c>
      <c r="D22" s="1386">
        <f t="shared" si="34"/>
        <v>1255.1349999999998</v>
      </c>
      <c r="E22" s="1386">
        <f t="shared" si="34"/>
        <v>1302.2855</v>
      </c>
      <c r="F22" s="1386">
        <f t="shared" ca="1" si="34"/>
        <v>1725.2098049804872</v>
      </c>
      <c r="G22" s="1386">
        <f t="shared" si="34"/>
        <v>1738.9289368923089</v>
      </c>
      <c r="H22" s="1386">
        <f t="shared" si="34"/>
        <v>1734.1235845603112</v>
      </c>
      <c r="I22" s="1386">
        <f t="shared" si="34"/>
        <v>1768.7093442428682</v>
      </c>
      <c r="J22" s="1386">
        <f t="shared" si="34"/>
        <v>1799.3349929037586</v>
      </c>
      <c r="K22" s="1386">
        <f t="shared" si="34"/>
        <v>1863.8107111066311</v>
      </c>
      <c r="L22" s="1386">
        <f t="shared" si="34"/>
        <v>1925.8915038201662</v>
      </c>
      <c r="M22" s="1370"/>
      <c r="N22" s="1370"/>
      <c r="O22" s="1370"/>
      <c r="P22" s="1293"/>
      <c r="Q22" s="1293"/>
      <c r="R22" s="1293"/>
      <c r="S22" s="1293"/>
      <c r="T22" s="1293"/>
      <c r="U22" s="1293"/>
      <c r="V22" s="1293"/>
      <c r="W22" s="1293"/>
      <c r="X22" s="1293"/>
      <c r="Y22" s="1293"/>
      <c r="Z22" s="1293"/>
    </row>
    <row r="23" spans="1:26" ht="15.75">
      <c r="A23" s="1381" t="s">
        <v>945</v>
      </c>
      <c r="B23" s="1383"/>
      <c r="C23" s="1384">
        <f ca="1">C22/B22-1</f>
        <v>-9.0248334342822534E-2</v>
      </c>
      <c r="D23" s="1384">
        <f t="shared" ref="D23" ca="1" si="35">D22/C22-1</f>
        <v>-0.16435752330226383</v>
      </c>
      <c r="E23" s="1384">
        <f t="shared" ref="E23" si="36">E22/D22-1</f>
        <v>3.7566078549319482E-2</v>
      </c>
      <c r="F23" s="1384">
        <f t="shared" ref="F23" ca="1" si="37">F22/E22-1</f>
        <v>0.32475544339585083</v>
      </c>
      <c r="G23" s="1384">
        <f t="shared" ref="G23" ca="1" si="38">G22/F22-1</f>
        <v>7.9521527597490316E-3</v>
      </c>
      <c r="H23" s="1384">
        <f t="shared" ref="H23" si="39">H22/G22-1</f>
        <v>-2.7633977617196326E-3</v>
      </c>
      <c r="I23" s="1384">
        <f t="shared" ref="I23" si="40">I22/H22-1</f>
        <v>1.9944230036711197E-2</v>
      </c>
      <c r="J23" s="1384">
        <f t="shared" ref="J23" si="41">J22/I22-1</f>
        <v>1.7315252367822165E-2</v>
      </c>
      <c r="K23" s="1384">
        <f t="shared" ref="K23" si="42">K22/J22-1</f>
        <v>3.5833081920349841E-2</v>
      </c>
      <c r="L23" s="1384">
        <f t="shared" ref="L23" si="43">L22/K22-1</f>
        <v>3.3308528781162972E-2</v>
      </c>
      <c r="M23" s="1370"/>
      <c r="N23" s="1370"/>
      <c r="O23" s="1370"/>
      <c r="P23" s="1293"/>
      <c r="Q23" s="1293"/>
      <c r="R23" s="1293"/>
      <c r="S23" s="1293"/>
      <c r="T23" s="1293"/>
      <c r="U23" s="1293"/>
      <c r="V23" s="1293"/>
      <c r="W23" s="1293"/>
      <c r="X23" s="1293"/>
      <c r="Y23" s="1293"/>
      <c r="Z23" s="1293"/>
    </row>
    <row r="24" spans="1:26" ht="15.75">
      <c r="A24" s="1385" t="s">
        <v>8307</v>
      </c>
      <c r="B24" s="1388">
        <f ca="1">B22/B6</f>
        <v>0.26492297817715021</v>
      </c>
      <c r="C24" s="1388">
        <f t="shared" ref="C24:L24" ca="1" si="44">C22/C6</f>
        <v>0.2285453438831406</v>
      </c>
      <c r="D24" s="1388">
        <f t="shared" si="44"/>
        <v>0.22315375684723873</v>
      </c>
      <c r="E24" s="1388">
        <f t="shared" si="44"/>
        <v>0.23004513336866278</v>
      </c>
      <c r="F24" s="1388">
        <f t="shared" ca="1" si="44"/>
        <v>0.29723169581752779</v>
      </c>
      <c r="G24" s="1388">
        <f t="shared" si="44"/>
        <v>0.31479782765140207</v>
      </c>
      <c r="H24" s="1388">
        <f t="shared" si="44"/>
        <v>0.30949619750730462</v>
      </c>
      <c r="I24" s="1388">
        <f t="shared" si="44"/>
        <v>0.31044909785799646</v>
      </c>
      <c r="J24" s="1388">
        <f t="shared" si="44"/>
        <v>0.31030376652807118</v>
      </c>
      <c r="K24" s="1388">
        <f t="shared" si="44"/>
        <v>0.31686428208382172</v>
      </c>
      <c r="L24" s="1388">
        <f t="shared" si="44"/>
        <v>0.32357017752655465</v>
      </c>
      <c r="M24" s="1370"/>
      <c r="N24" s="1370"/>
      <c r="O24" s="1370"/>
      <c r="P24" s="1293"/>
      <c r="Q24" s="1293"/>
      <c r="R24" s="1293"/>
      <c r="S24" s="1293"/>
      <c r="T24" s="1293"/>
      <c r="U24" s="1293"/>
      <c r="V24" s="1293"/>
      <c r="W24" s="1293"/>
      <c r="X24" s="1293"/>
      <c r="Y24" s="1293"/>
      <c r="Z24" s="1293"/>
    </row>
    <row r="25" spans="1:26" ht="15.75">
      <c r="A25" s="1381"/>
      <c r="B25" s="1383"/>
      <c r="C25" s="1383"/>
      <c r="D25" s="1383"/>
      <c r="E25" s="1383"/>
      <c r="F25" s="1383"/>
      <c r="G25" s="1383"/>
      <c r="H25" s="1383"/>
      <c r="I25" s="1383"/>
      <c r="J25" s="1383"/>
      <c r="K25" s="1383"/>
      <c r="L25" s="1383"/>
      <c r="M25" s="1370"/>
      <c r="N25" s="1370"/>
      <c r="O25" s="1370"/>
      <c r="P25" s="1293"/>
      <c r="Q25" s="1293"/>
      <c r="R25" s="1293"/>
      <c r="S25" s="1293"/>
      <c r="T25" s="1293"/>
      <c r="U25" s="1293"/>
      <c r="V25" s="1293"/>
      <c r="W25" s="1293"/>
      <c r="X25" s="1293"/>
      <c r="Y25" s="1293"/>
      <c r="Z25" s="1293"/>
    </row>
    <row r="26" spans="1:26" ht="15.75">
      <c r="A26" s="1385"/>
      <c r="B26" s="1387"/>
      <c r="C26" s="1387"/>
      <c r="D26" s="1387"/>
      <c r="E26" s="1387"/>
      <c r="F26" s="1387"/>
      <c r="G26" s="1387"/>
      <c r="H26" s="1387"/>
      <c r="I26" s="1387"/>
      <c r="J26" s="1387"/>
      <c r="K26" s="1387"/>
      <c r="L26" s="1387"/>
      <c r="M26" s="1370"/>
      <c r="N26" s="1370"/>
      <c r="O26" s="1370"/>
      <c r="P26" s="1293"/>
      <c r="Q26" s="1293"/>
      <c r="R26" s="1293"/>
      <c r="S26" s="1293"/>
      <c r="T26" s="1293"/>
      <c r="U26" s="1293"/>
      <c r="V26" s="1293"/>
      <c r="W26" s="1293"/>
      <c r="X26" s="1293"/>
      <c r="Y26" s="1293"/>
      <c r="Z26" s="1293"/>
    </row>
    <row r="27" spans="1:26" ht="15.75">
      <c r="A27" s="1381"/>
      <c r="B27" s="1383"/>
      <c r="C27" s="1383"/>
      <c r="D27" s="1383"/>
      <c r="E27" s="1383"/>
      <c r="F27" s="1383"/>
      <c r="G27" s="1383"/>
      <c r="H27" s="1383"/>
      <c r="I27" s="1383"/>
      <c r="J27" s="1383"/>
      <c r="K27" s="1383"/>
      <c r="L27" s="1383"/>
      <c r="M27" s="1370"/>
      <c r="N27" s="1370"/>
      <c r="O27" s="1370"/>
      <c r="P27" s="1293"/>
      <c r="Q27" s="1293"/>
      <c r="R27" s="1293"/>
      <c r="S27" s="1293"/>
      <c r="T27" s="1293"/>
      <c r="U27" s="1293"/>
      <c r="V27" s="1293"/>
      <c r="W27" s="1293"/>
      <c r="X27" s="1293"/>
      <c r="Y27" s="1293"/>
      <c r="Z27" s="1293"/>
    </row>
    <row r="28" spans="1:26" ht="15.75">
      <c r="A28" s="1385" t="s">
        <v>1552</v>
      </c>
      <c r="B28" s="1386">
        <f ca="1">B57</f>
        <v>1651</v>
      </c>
      <c r="C28" s="1386">
        <f t="shared" ref="C28:L28" ca="1" si="45">C57</f>
        <v>1502</v>
      </c>
      <c r="D28" s="1386">
        <f t="shared" si="45"/>
        <v>1255.1349999999998</v>
      </c>
      <c r="E28" s="1386">
        <f t="shared" si="45"/>
        <v>1302.2855</v>
      </c>
      <c r="F28" s="1386">
        <f t="shared" ca="1" si="45"/>
        <v>1725.2098049804872</v>
      </c>
      <c r="G28" s="1386">
        <f t="shared" si="45"/>
        <v>1738.9289368923089</v>
      </c>
      <c r="H28" s="1386">
        <f t="shared" si="45"/>
        <v>1734.1235845603112</v>
      </c>
      <c r="I28" s="1386">
        <f t="shared" si="45"/>
        <v>1768.7093442428682</v>
      </c>
      <c r="J28" s="1386">
        <f t="shared" si="45"/>
        <v>1799.3349929037586</v>
      </c>
      <c r="K28" s="1386">
        <f t="shared" si="45"/>
        <v>1863.8107111066311</v>
      </c>
      <c r="L28" s="1386">
        <f t="shared" si="45"/>
        <v>1925.8915038201662</v>
      </c>
      <c r="M28" s="1370"/>
      <c r="N28" s="1370"/>
      <c r="O28" s="1370"/>
      <c r="P28" s="1293"/>
      <c r="Q28" s="1293"/>
      <c r="R28" s="1293"/>
      <c r="S28" s="1293"/>
      <c r="T28" s="1293"/>
      <c r="U28" s="1293"/>
      <c r="V28" s="1293"/>
      <c r="W28" s="1293"/>
      <c r="X28" s="1293"/>
      <c r="Y28" s="1293"/>
      <c r="Z28" s="1293"/>
    </row>
    <row r="29" spans="1:26" ht="15.75">
      <c r="A29" s="1381" t="s">
        <v>8327</v>
      </c>
      <c r="B29" s="1382">
        <f t="shared" ref="B29:L35" si="46">B58</f>
        <v>-208.3876953125</v>
      </c>
      <c r="C29" s="1382">
        <f t="shared" si="46"/>
        <v>-277</v>
      </c>
      <c r="D29" s="1382">
        <f t="shared" si="46"/>
        <v>-285</v>
      </c>
      <c r="E29" s="1382">
        <f t="shared" si="46"/>
        <v>-292</v>
      </c>
      <c r="F29" s="1382">
        <f t="shared" si="46"/>
        <v>-324</v>
      </c>
      <c r="G29" s="1382">
        <f t="shared" ca="1" si="46"/>
        <v>-356.40000000000003</v>
      </c>
      <c r="H29" s="1382">
        <f t="shared" ca="1" si="46"/>
        <v>-363.52800000000002</v>
      </c>
      <c r="I29" s="1382">
        <f t="shared" ca="1" si="46"/>
        <v>-370.79855999999995</v>
      </c>
      <c r="J29" s="1382">
        <f t="shared" ca="1" si="46"/>
        <v>-378.2145311999999</v>
      </c>
      <c r="K29" s="1382">
        <f t="shared" ca="1" si="46"/>
        <v>-385.77882182399986</v>
      </c>
      <c r="L29" s="1382">
        <f t="shared" ca="1" si="46"/>
        <v>-393.49439826047984</v>
      </c>
      <c r="M29" s="1370"/>
      <c r="N29" s="1370"/>
      <c r="O29" s="1370"/>
      <c r="P29" s="1293"/>
      <c r="Q29" s="1293"/>
      <c r="R29" s="1293"/>
      <c r="S29" s="1293"/>
      <c r="T29" s="1293"/>
      <c r="U29" s="1293"/>
      <c r="V29" s="1293"/>
      <c r="W29" s="1293"/>
      <c r="X29" s="1293"/>
      <c r="Y29" s="1293"/>
      <c r="Z29" s="1293"/>
    </row>
    <row r="30" spans="1:26" ht="15.75">
      <c r="A30" s="1385" t="s">
        <v>8328</v>
      </c>
      <c r="B30" s="1386">
        <f t="shared" si="46"/>
        <v>-665.6123046875</v>
      </c>
      <c r="C30" s="1386">
        <f t="shared" si="46"/>
        <v>-466</v>
      </c>
      <c r="D30" s="1386">
        <f t="shared" si="46"/>
        <v>-403</v>
      </c>
      <c r="E30" s="1386">
        <f t="shared" si="46"/>
        <v>-494</v>
      </c>
      <c r="F30" s="1386">
        <f t="shared" si="46"/>
        <v>-550</v>
      </c>
      <c r="G30" s="1386">
        <f t="shared" ca="1" si="46"/>
        <v>-517.39554709684376</v>
      </c>
      <c r="H30" s="1386">
        <f t="shared" ca="1" si="46"/>
        <v>-514.40210562505342</v>
      </c>
      <c r="I30" s="1386">
        <f t="shared" ca="1" si="46"/>
        <v>-534.91308082361172</v>
      </c>
      <c r="J30" s="1386">
        <f t="shared" ca="1" si="46"/>
        <v>-546.30412074254639</v>
      </c>
      <c r="K30" s="1386">
        <f t="shared" ca="1" si="46"/>
        <v>-555.2573514764772</v>
      </c>
      <c r="L30" s="1386">
        <f t="shared" ca="1" si="46"/>
        <v>-562.20544656677043</v>
      </c>
      <c r="M30" s="1370"/>
      <c r="N30" s="1370"/>
      <c r="O30" s="1370"/>
      <c r="P30" s="1293"/>
      <c r="Q30" s="1293"/>
      <c r="R30" s="1293"/>
      <c r="S30" s="1293"/>
      <c r="T30" s="1293"/>
      <c r="U30" s="1293"/>
      <c r="V30" s="1293"/>
      <c r="W30" s="1293"/>
      <c r="X30" s="1293"/>
      <c r="Y30" s="1293"/>
      <c r="Z30" s="1293"/>
    </row>
    <row r="31" spans="1:26" ht="15.75">
      <c r="A31" s="1381" t="s">
        <v>8310</v>
      </c>
      <c r="B31" s="1382">
        <f t="shared" si="46"/>
        <v>-204</v>
      </c>
      <c r="C31" s="1382">
        <f t="shared" si="46"/>
        <v>-158</v>
      </c>
      <c r="D31" s="1382">
        <f t="shared" si="46"/>
        <v>-222</v>
      </c>
      <c r="E31" s="1382">
        <f t="shared" si="46"/>
        <v>-424</v>
      </c>
      <c r="F31" s="1382">
        <f t="shared" si="46"/>
        <v>-281</v>
      </c>
      <c r="G31" s="1382">
        <f t="shared" ca="1" si="46"/>
        <v>-267.30215329751451</v>
      </c>
      <c r="H31" s="1382">
        <f t="shared" ca="1" si="46"/>
        <v>-348.1306027258467</v>
      </c>
      <c r="I31" s="1382">
        <f t="shared" ca="1" si="46"/>
        <v>-344.46528864977483</v>
      </c>
      <c r="J31" s="1382">
        <f t="shared" ca="1" si="46"/>
        <v>-350.34330438073926</v>
      </c>
      <c r="K31" s="1382">
        <f t="shared" ca="1" si="46"/>
        <v>-361.15754461674925</v>
      </c>
      <c r="L31" s="1382">
        <f t="shared" ca="1" si="46"/>
        <v>-374.78229820533898</v>
      </c>
      <c r="M31" s="1370"/>
      <c r="N31" s="1370"/>
      <c r="O31" s="1370"/>
      <c r="P31" s="1293"/>
      <c r="Q31" s="1293"/>
      <c r="R31" s="1293"/>
      <c r="S31" s="1293"/>
      <c r="T31" s="1293"/>
      <c r="U31" s="1293"/>
      <c r="V31" s="1293"/>
      <c r="W31" s="1293"/>
      <c r="X31" s="1293"/>
      <c r="Y31" s="1293"/>
      <c r="Z31" s="1293"/>
    </row>
    <row r="32" spans="1:26" ht="15.75">
      <c r="A32" s="1385" t="s">
        <v>8311</v>
      </c>
      <c r="B32" s="1386">
        <f t="shared" si="46"/>
        <v>65.999999999999886</v>
      </c>
      <c r="C32" s="1386">
        <f t="shared" si="46"/>
        <v>314</v>
      </c>
      <c r="D32" s="1386">
        <f t="shared" si="46"/>
        <v>-427.99999999999989</v>
      </c>
      <c r="E32" s="1386">
        <f t="shared" si="46"/>
        <v>101</v>
      </c>
      <c r="F32" s="1386">
        <f t="shared" si="46"/>
        <v>156</v>
      </c>
      <c r="G32" s="1386">
        <f t="shared" si="46"/>
        <v>64.541628537852972</v>
      </c>
      <c r="H32" s="1386">
        <f t="shared" si="46"/>
        <v>40.494988985792226</v>
      </c>
      <c r="I32" s="1386">
        <f t="shared" si="46"/>
        <v>43.820909170173103</v>
      </c>
      <c r="J32" s="1386">
        <f t="shared" si="46"/>
        <v>45.999465567884883</v>
      </c>
      <c r="K32" s="1386">
        <f t="shared" si="46"/>
        <v>43.823631762797149</v>
      </c>
      <c r="L32" s="1386">
        <f t="shared" si="46"/>
        <v>42.196848881666767</v>
      </c>
      <c r="M32" s="1370"/>
      <c r="N32" s="1370"/>
      <c r="O32" s="1370"/>
      <c r="P32" s="1293"/>
      <c r="Q32" s="1293"/>
      <c r="R32" s="1293"/>
      <c r="S32" s="1293"/>
      <c r="T32" s="1293"/>
      <c r="U32" s="1293"/>
      <c r="V32" s="1293"/>
      <c r="W32" s="1293"/>
      <c r="X32" s="1293"/>
      <c r="Y32" s="1293"/>
      <c r="Z32" s="1293"/>
    </row>
    <row r="33" spans="1:26" ht="15.75">
      <c r="A33" s="1406" t="s">
        <v>7049</v>
      </c>
      <c r="B33" s="1389">
        <f t="shared" ca="1" si="46"/>
        <v>638.99999999999989</v>
      </c>
      <c r="C33" s="1389">
        <f t="shared" ca="1" si="46"/>
        <v>915</v>
      </c>
      <c r="D33" s="1389">
        <f t="shared" si="46"/>
        <v>-82.865000000000123</v>
      </c>
      <c r="E33" s="1389">
        <f t="shared" si="46"/>
        <v>193.28549999999996</v>
      </c>
      <c r="F33" s="1389">
        <f t="shared" ca="1" si="46"/>
        <v>726.20980498048721</v>
      </c>
      <c r="G33" s="1389">
        <f t="shared" ca="1" si="46"/>
        <v>662.37286503580356</v>
      </c>
      <c r="H33" s="1389">
        <f t="shared" ca="1" si="46"/>
        <v>548.55786519520325</v>
      </c>
      <c r="I33" s="1389">
        <f t="shared" ca="1" si="46"/>
        <v>562.35332393965473</v>
      </c>
      <c r="J33" s="1389">
        <f t="shared" ca="1" si="46"/>
        <v>570.47250214835799</v>
      </c>
      <c r="K33" s="1389">
        <f t="shared" ca="1" si="46"/>
        <v>605.44062495220203</v>
      </c>
      <c r="L33" s="1389">
        <f t="shared" ca="1" si="46"/>
        <v>637.60620966924375</v>
      </c>
      <c r="M33" s="1370"/>
      <c r="N33" s="1370"/>
      <c r="O33" s="1370"/>
      <c r="P33" s="1293"/>
      <c r="Q33" s="1293"/>
      <c r="R33" s="1293"/>
      <c r="S33" s="1293"/>
      <c r="T33" s="1293"/>
      <c r="U33" s="1293"/>
      <c r="V33" s="1293"/>
      <c r="W33" s="1293"/>
      <c r="X33" s="1293"/>
      <c r="Y33" s="1293"/>
      <c r="Z33" s="1293"/>
    </row>
    <row r="34" spans="1:26" ht="15.75">
      <c r="A34" s="1385" t="s">
        <v>8312</v>
      </c>
      <c r="B34" s="1386">
        <f t="shared" si="46"/>
        <v>0</v>
      </c>
      <c r="C34" s="1386">
        <f t="shared" si="46"/>
        <v>0</v>
      </c>
      <c r="D34" s="1386">
        <f t="shared" si="46"/>
        <v>0</v>
      </c>
      <c r="E34" s="1386">
        <f t="shared" si="46"/>
        <v>0</v>
      </c>
      <c r="F34" s="1386">
        <f t="shared" si="46"/>
        <v>556.76724999999999</v>
      </c>
      <c r="G34" s="1386">
        <f t="shared" si="46"/>
        <v>499.089</v>
      </c>
      <c r="H34" s="1386">
        <f t="shared" si="46"/>
        <v>524.42975000000001</v>
      </c>
      <c r="I34" s="1386">
        <f t="shared" si="46"/>
        <v>547.27049999999997</v>
      </c>
      <c r="J34" s="1386">
        <f t="shared" si="46"/>
        <v>567.61125000000004</v>
      </c>
      <c r="K34" s="1386">
        <f t="shared" si="46"/>
        <v>585.452</v>
      </c>
      <c r="L34" s="1386">
        <f t="shared" si="46"/>
        <v>600.79274999999996</v>
      </c>
      <c r="M34" s="1370"/>
      <c r="N34" s="1370"/>
      <c r="O34" s="1370"/>
      <c r="P34" s="1293"/>
      <c r="Q34" s="1293"/>
      <c r="R34" s="1293"/>
      <c r="S34" s="1293"/>
      <c r="T34" s="1293"/>
      <c r="U34" s="1293"/>
      <c r="V34" s="1293"/>
      <c r="W34" s="1293"/>
      <c r="X34" s="1293"/>
      <c r="Y34" s="1293"/>
      <c r="Z34" s="1293"/>
    </row>
    <row r="35" spans="1:26" ht="15.75">
      <c r="A35" s="1381" t="s">
        <v>8331</v>
      </c>
      <c r="B35" s="1382">
        <f t="shared" si="46"/>
        <v>-136.69999999999999</v>
      </c>
      <c r="C35" s="1382">
        <f t="shared" si="46"/>
        <v>-2005</v>
      </c>
      <c r="D35" s="1382">
        <f t="shared" si="46"/>
        <v>347.06999999999994</v>
      </c>
      <c r="E35" s="1382">
        <f t="shared" si="46"/>
        <v>-236</v>
      </c>
      <c r="F35" s="1382">
        <f t="shared" si="46"/>
        <v>-135</v>
      </c>
      <c r="G35" s="1382">
        <f t="shared" si="46"/>
        <v>875</v>
      </c>
      <c r="H35" s="1382">
        <f t="shared" si="46"/>
        <v>-100</v>
      </c>
      <c r="I35" s="1382">
        <f t="shared" si="46"/>
        <v>-100</v>
      </c>
      <c r="J35" s="1382">
        <f t="shared" si="46"/>
        <v>-100</v>
      </c>
      <c r="K35" s="1382">
        <f t="shared" si="46"/>
        <v>-100</v>
      </c>
      <c r="L35" s="1382">
        <f t="shared" si="46"/>
        <v>-100</v>
      </c>
      <c r="M35" s="1370"/>
      <c r="N35" s="1370"/>
      <c r="O35" s="1370"/>
      <c r="P35" s="1293"/>
      <c r="Q35" s="1293"/>
      <c r="R35" s="1293"/>
      <c r="S35" s="1293"/>
      <c r="T35" s="1293"/>
      <c r="U35" s="1293"/>
      <c r="V35" s="1293"/>
      <c r="W35" s="1293"/>
      <c r="X35" s="1293"/>
      <c r="Y35" s="1293"/>
      <c r="Z35" s="1293"/>
    </row>
    <row r="36" spans="1:26" ht="15.75">
      <c r="A36" s="1385" t="s">
        <v>1540</v>
      </c>
      <c r="B36" s="1386">
        <f t="shared" ref="B36:L36" ca="1" si="47">B65</f>
        <v>102.7000000000001</v>
      </c>
      <c r="C36" s="1386">
        <f t="shared" ca="1" si="47"/>
        <v>-560</v>
      </c>
      <c r="D36" s="1386">
        <f t="shared" si="47"/>
        <v>1201.7950000000001</v>
      </c>
      <c r="E36" s="1386">
        <f t="shared" si="47"/>
        <v>-141.28549999999996</v>
      </c>
      <c r="F36" s="1386">
        <f t="shared" ca="1" si="47"/>
        <v>-277.97705498048708</v>
      </c>
      <c r="G36" s="1386">
        <f t="shared" ca="1" si="47"/>
        <v>-1319.3051015972653</v>
      </c>
      <c r="H36" s="1386">
        <f t="shared" ca="1" si="47"/>
        <v>-1171.3460170744204</v>
      </c>
      <c r="I36" s="1386">
        <f t="shared" ca="1" si="47"/>
        <v>-1184.0775419888801</v>
      </c>
      <c r="J36" s="1386">
        <f t="shared" ca="1" si="47"/>
        <v>-1193.9970290917363</v>
      </c>
      <c r="K36" s="1386">
        <f t="shared" ca="1" si="47"/>
        <v>-1195.4871960862683</v>
      </c>
      <c r="L36" s="1386">
        <f t="shared" ca="1" si="47"/>
        <v>-1216.345658701327</v>
      </c>
      <c r="M36" s="1370"/>
      <c r="N36" s="1370"/>
      <c r="O36" s="1370"/>
      <c r="P36" s="1293"/>
      <c r="Q36" s="1293"/>
      <c r="R36" s="1293"/>
      <c r="S36" s="1293"/>
      <c r="T36" s="1293"/>
      <c r="U36" s="1293"/>
      <c r="V36" s="1293"/>
      <c r="W36" s="1293"/>
      <c r="X36" s="1293"/>
      <c r="Y36" s="1293"/>
      <c r="Z36" s="1293"/>
    </row>
    <row r="37" spans="1:26" ht="15.75">
      <c r="A37" s="1377" t="s">
        <v>1936</v>
      </c>
      <c r="B37" s="1390">
        <f t="shared" ref="B37:L37" ca="1" si="48">B66</f>
        <v>605</v>
      </c>
      <c r="C37" s="1390">
        <f t="shared" ca="1" si="48"/>
        <v>-1650</v>
      </c>
      <c r="D37" s="1390">
        <f t="shared" si="48"/>
        <v>1466</v>
      </c>
      <c r="E37" s="1390">
        <f t="shared" si="48"/>
        <v>-184</v>
      </c>
      <c r="F37" s="1390">
        <f t="shared" ca="1" si="48"/>
        <v>870</v>
      </c>
      <c r="G37" s="1390">
        <f t="shared" ca="1" si="48"/>
        <v>717.15676343853829</v>
      </c>
      <c r="H37" s="1390">
        <f t="shared" ca="1" si="48"/>
        <v>-198.35840187921713</v>
      </c>
      <c r="I37" s="1390">
        <f t="shared" ca="1" si="48"/>
        <v>-174.45371804922524</v>
      </c>
      <c r="J37" s="1390">
        <f t="shared" ca="1" si="48"/>
        <v>-155.91327694337815</v>
      </c>
      <c r="K37" s="1390">
        <f t="shared" ca="1" si="48"/>
        <v>-104.59457113406643</v>
      </c>
      <c r="L37" s="1390">
        <f t="shared" ca="1" si="48"/>
        <v>-77.946699032083416</v>
      </c>
      <c r="M37" s="1370"/>
      <c r="N37" s="1370"/>
      <c r="O37" s="1370"/>
      <c r="P37" s="1293"/>
      <c r="Q37" s="1293"/>
      <c r="R37" s="1293"/>
      <c r="S37" s="1293"/>
      <c r="T37" s="1293"/>
      <c r="U37" s="1293"/>
      <c r="V37" s="1293"/>
      <c r="W37" s="1293"/>
      <c r="X37" s="1293"/>
      <c r="Y37" s="1293"/>
      <c r="Z37" s="1293"/>
    </row>
    <row r="38" spans="1:26" ht="15.75">
      <c r="A38" s="1385" t="s">
        <v>169</v>
      </c>
      <c r="B38" s="1386">
        <f t="shared" ref="B38:L38" si="49">B67</f>
        <v>-605</v>
      </c>
      <c r="C38" s="1386">
        <f t="shared" si="49"/>
        <v>1650</v>
      </c>
      <c r="D38" s="1386">
        <f t="shared" si="49"/>
        <v>-1466</v>
      </c>
      <c r="E38" s="1386">
        <f t="shared" si="49"/>
        <v>184</v>
      </c>
      <c r="F38" s="1386">
        <f t="shared" si="49"/>
        <v>-870</v>
      </c>
      <c r="G38" s="1386">
        <f t="shared" ca="1" si="49"/>
        <v>-717.15676343853829</v>
      </c>
      <c r="H38" s="1386">
        <f t="shared" ca="1" si="49"/>
        <v>198.35840187921713</v>
      </c>
      <c r="I38" s="1386">
        <f t="shared" ca="1" si="49"/>
        <v>174.45371804922524</v>
      </c>
      <c r="J38" s="1386">
        <f t="shared" ca="1" si="49"/>
        <v>155.91327694337815</v>
      </c>
      <c r="K38" s="1386">
        <f t="shared" ca="1" si="49"/>
        <v>104.59457113406643</v>
      </c>
      <c r="L38" s="1386">
        <f t="shared" ca="1" si="49"/>
        <v>77.946699032083416</v>
      </c>
      <c r="M38" s="1370"/>
      <c r="N38" s="1370"/>
      <c r="O38" s="1370"/>
      <c r="P38" s="1293"/>
      <c r="Q38" s="1293"/>
      <c r="R38" s="1293"/>
      <c r="S38" s="1293"/>
      <c r="T38" s="1293"/>
      <c r="U38" s="1293"/>
      <c r="V38" s="1293"/>
      <c r="W38" s="1293"/>
      <c r="X38" s="1293"/>
      <c r="Y38" s="1293"/>
      <c r="Z38" s="1293"/>
    </row>
    <row r="39" spans="1:26" ht="15.75">
      <c r="A39" s="1381"/>
      <c r="B39" s="1383"/>
      <c r="C39" s="1383"/>
      <c r="D39" s="1383"/>
      <c r="E39" s="1383"/>
      <c r="F39" s="1383"/>
      <c r="G39" s="1383"/>
      <c r="H39" s="1383"/>
      <c r="I39" s="1383"/>
      <c r="J39" s="1383"/>
      <c r="K39" s="1383"/>
      <c r="L39" s="1383"/>
      <c r="M39" s="1370"/>
      <c r="N39" s="1370"/>
      <c r="O39" s="1370"/>
      <c r="P39" s="1293"/>
      <c r="Q39" s="1293"/>
      <c r="R39" s="1293"/>
      <c r="S39" s="1293"/>
      <c r="T39" s="1293"/>
      <c r="U39" s="1293"/>
      <c r="V39" s="1293"/>
      <c r="W39" s="1293"/>
      <c r="X39" s="1293"/>
      <c r="Y39" s="1293"/>
      <c r="Z39" s="1293"/>
    </row>
    <row r="40" spans="1:26" ht="15.75">
      <c r="A40" s="1402" t="s">
        <v>8313</v>
      </c>
      <c r="B40" s="1386"/>
      <c r="C40" s="1386"/>
      <c r="D40" s="1386">
        <f t="shared" ref="D40:L40" si="50">D122</f>
        <v>1039</v>
      </c>
      <c r="E40" s="1386">
        <f t="shared" si="50"/>
        <v>780</v>
      </c>
      <c r="F40" s="1386">
        <f t="shared" si="50"/>
        <v>699</v>
      </c>
      <c r="G40" s="1386">
        <f t="shared" ca="1" si="50"/>
        <v>1440.0067634385387</v>
      </c>
      <c r="H40" s="1386">
        <f t="shared" ca="1" si="50"/>
        <v>1266.0946115593206</v>
      </c>
      <c r="I40" s="1386">
        <f t="shared" ca="1" si="50"/>
        <v>1116.6982997600953</v>
      </c>
      <c r="J40" s="1386">
        <f t="shared" ca="1" si="50"/>
        <v>986.46886422296757</v>
      </c>
      <c r="K40" s="1386">
        <f t="shared" ca="1" si="50"/>
        <v>908.20023053030673</v>
      </c>
      <c r="L40" s="1386">
        <f t="shared" ca="1" si="50"/>
        <v>857.23761737566474</v>
      </c>
      <c r="M40" s="1370"/>
      <c r="N40" s="1370"/>
      <c r="O40" s="1370"/>
      <c r="P40" s="1293"/>
      <c r="Q40" s="1293"/>
      <c r="R40" s="1293"/>
      <c r="S40" s="1293"/>
      <c r="T40" s="1293"/>
      <c r="U40" s="1293"/>
      <c r="V40" s="1293"/>
      <c r="W40" s="1293"/>
      <c r="X40" s="1293"/>
      <c r="Y40" s="1293"/>
      <c r="Z40" s="1293"/>
    </row>
    <row r="41" spans="1:26" ht="15.75">
      <c r="A41" s="1400" t="s">
        <v>8314</v>
      </c>
      <c r="B41" s="1382"/>
      <c r="C41" s="1382"/>
      <c r="D41" s="1382">
        <f t="shared" ref="D41:L41" si="51">D123</f>
        <v>600</v>
      </c>
      <c r="E41" s="1382">
        <f t="shared" si="51"/>
        <v>600</v>
      </c>
      <c r="F41" s="1382">
        <f t="shared" si="51"/>
        <v>600</v>
      </c>
      <c r="G41" s="1382">
        <f t="shared" si="51"/>
        <v>600</v>
      </c>
      <c r="H41" s="1382">
        <f t="shared" si="51"/>
        <v>600</v>
      </c>
      <c r="I41" s="1382">
        <f t="shared" si="51"/>
        <v>600</v>
      </c>
      <c r="J41" s="1382">
        <f t="shared" si="51"/>
        <v>600</v>
      </c>
      <c r="K41" s="1382">
        <f t="shared" si="51"/>
        <v>600</v>
      </c>
      <c r="L41" s="1382">
        <f t="shared" si="51"/>
        <v>600</v>
      </c>
      <c r="M41" s="1370"/>
      <c r="N41" s="1370"/>
      <c r="O41" s="1370"/>
      <c r="P41" s="1293"/>
      <c r="Q41" s="1293"/>
      <c r="R41" s="1293"/>
      <c r="S41" s="1293"/>
      <c r="T41" s="1293"/>
      <c r="U41" s="1293"/>
      <c r="V41" s="1293"/>
      <c r="W41" s="1293"/>
      <c r="X41" s="1293"/>
      <c r="Y41" s="1293"/>
      <c r="Z41" s="1293"/>
    </row>
    <row r="42" spans="1:26" ht="15.75">
      <c r="A42" s="1405" t="s">
        <v>8315</v>
      </c>
      <c r="B42" s="1404"/>
      <c r="C42" s="1404"/>
      <c r="D42" s="1404">
        <f>D40+D41</f>
        <v>1639</v>
      </c>
      <c r="E42" s="1404">
        <f t="shared" ref="E42:L42" si="52">E40+E41</f>
        <v>1380</v>
      </c>
      <c r="F42" s="1404">
        <f t="shared" si="52"/>
        <v>1299</v>
      </c>
      <c r="G42" s="1404">
        <f t="shared" ca="1" si="52"/>
        <v>2040.0067634385387</v>
      </c>
      <c r="H42" s="1404">
        <f t="shared" ca="1" si="52"/>
        <v>1866.0946115593206</v>
      </c>
      <c r="I42" s="1404">
        <f t="shared" ca="1" si="52"/>
        <v>1716.6982997600953</v>
      </c>
      <c r="J42" s="1404">
        <f t="shared" ca="1" si="52"/>
        <v>1586.4688642229676</v>
      </c>
      <c r="K42" s="1404">
        <f t="shared" ca="1" si="52"/>
        <v>1508.2002305303067</v>
      </c>
      <c r="L42" s="1404">
        <f t="shared" ca="1" si="52"/>
        <v>1457.2376173756647</v>
      </c>
      <c r="M42" s="1370"/>
      <c r="N42" s="1370"/>
      <c r="O42" s="1370"/>
      <c r="P42" s="1293"/>
      <c r="Q42" s="1293"/>
      <c r="R42" s="1293"/>
      <c r="S42" s="1293"/>
      <c r="T42" s="1293"/>
      <c r="U42" s="1293"/>
      <c r="V42" s="1293"/>
      <c r="W42" s="1293"/>
      <c r="X42" s="1293"/>
      <c r="Y42" s="1293"/>
      <c r="Z42" s="1293"/>
    </row>
    <row r="43" spans="1:26" ht="15.75">
      <c r="A43" s="1381"/>
      <c r="B43" s="1383"/>
      <c r="C43" s="1383"/>
      <c r="D43" s="1383"/>
      <c r="E43" s="1383"/>
      <c r="F43" s="1383"/>
      <c r="G43" s="1383"/>
      <c r="H43" s="1383"/>
      <c r="I43" s="1383"/>
      <c r="J43" s="1383"/>
      <c r="K43" s="1383"/>
      <c r="L43" s="1383"/>
      <c r="M43" s="1370"/>
      <c r="N43" s="1370"/>
      <c r="O43" s="1370"/>
      <c r="P43" s="1293"/>
      <c r="Q43" s="1293"/>
      <c r="R43" s="1293"/>
      <c r="S43" s="1293"/>
      <c r="T43" s="1293"/>
      <c r="U43" s="1293"/>
      <c r="V43" s="1293"/>
      <c r="W43" s="1293"/>
      <c r="X43" s="1293"/>
      <c r="Y43" s="1293"/>
      <c r="Z43" s="1293"/>
    </row>
    <row r="44" spans="1:26" ht="15.75">
      <c r="A44" s="1385"/>
      <c r="B44" s="1387"/>
      <c r="C44" s="1387"/>
      <c r="D44" s="1387"/>
      <c r="E44" s="1387"/>
      <c r="F44" s="1387"/>
      <c r="G44" s="1387"/>
      <c r="H44" s="1387"/>
      <c r="I44" s="1387"/>
      <c r="J44" s="1387"/>
      <c r="K44" s="1387"/>
      <c r="L44" s="1387"/>
      <c r="M44" s="1370"/>
      <c r="N44" s="1370"/>
      <c r="O44" s="1370"/>
      <c r="P44" s="1293"/>
      <c r="Q44" s="1293"/>
      <c r="R44" s="1293"/>
      <c r="S44" s="1293"/>
      <c r="T44" s="1293"/>
      <c r="U44" s="1293"/>
      <c r="V44" s="1293"/>
      <c r="W44" s="1293"/>
      <c r="X44" s="1293"/>
      <c r="Y44" s="1293"/>
      <c r="Z44" s="1293"/>
    </row>
    <row r="45" spans="1:26" ht="15.75">
      <c r="A45" s="1381" t="s">
        <v>150</v>
      </c>
      <c r="B45" s="1382">
        <f>B88</f>
        <v>6631</v>
      </c>
      <c r="C45" s="1382">
        <f t="shared" ref="C45:L45" si="53">C88</f>
        <v>8281</v>
      </c>
      <c r="D45" s="1382">
        <f t="shared" si="53"/>
        <v>6815</v>
      </c>
      <c r="E45" s="1382">
        <f t="shared" si="53"/>
        <v>6999</v>
      </c>
      <c r="F45" s="1382">
        <f t="shared" si="53"/>
        <v>6129</v>
      </c>
      <c r="G45" s="1382">
        <f t="shared" ca="1" si="53"/>
        <v>5411.8432365614617</v>
      </c>
      <c r="H45" s="1382">
        <f t="shared" ca="1" si="53"/>
        <v>5610.2016384406788</v>
      </c>
      <c r="I45" s="1382">
        <f t="shared" ca="1" si="53"/>
        <v>5784.6553564899041</v>
      </c>
      <c r="J45" s="1382">
        <f t="shared" ca="1" si="53"/>
        <v>5940.5686334332822</v>
      </c>
      <c r="K45" s="1382">
        <f t="shared" ca="1" si="53"/>
        <v>6045.1632045673487</v>
      </c>
      <c r="L45" s="1382">
        <f t="shared" ca="1" si="53"/>
        <v>6123.1099035994321</v>
      </c>
      <c r="M45" s="1370"/>
      <c r="N45" s="1370"/>
      <c r="O45" s="1370"/>
      <c r="P45" s="1293"/>
      <c r="Q45" s="1293"/>
      <c r="R45" s="1293"/>
      <c r="S45" s="1293"/>
      <c r="T45" s="1293"/>
      <c r="U45" s="1293"/>
      <c r="V45" s="1293"/>
      <c r="W45" s="1293"/>
      <c r="X45" s="1293"/>
      <c r="Y45" s="1293"/>
      <c r="Z45" s="1293"/>
    </row>
    <row r="46" spans="1:26" ht="15.75">
      <c r="A46" s="1385" t="s">
        <v>8329</v>
      </c>
      <c r="B46" s="1392">
        <f t="shared" ref="B46:L46" si="54">B88/B9</f>
        <v>2.5107913669064748</v>
      </c>
      <c r="C46" s="1392">
        <f t="shared" si="54"/>
        <v>3.1691542288557213</v>
      </c>
      <c r="D46" s="1392">
        <f t="shared" si="54"/>
        <v>3.0586117986567243</v>
      </c>
      <c r="E46" s="1392">
        <f t="shared" si="54"/>
        <v>3.3150419495610612</v>
      </c>
      <c r="F46" s="1392">
        <f t="shared" ca="1" si="54"/>
        <v>2.4827377017796555</v>
      </c>
      <c r="G46" s="1392">
        <f t="shared" ca="1" si="54"/>
        <v>2.2722745797198325</v>
      </c>
      <c r="H46" s="1392">
        <f t="shared" ca="1" si="54"/>
        <v>2.3412920351226498</v>
      </c>
      <c r="I46" s="1392">
        <f t="shared" ca="1" si="54"/>
        <v>2.3505226738028977</v>
      </c>
      <c r="J46" s="1392">
        <f t="shared" ca="1" si="54"/>
        <v>2.3466767086413629</v>
      </c>
      <c r="K46" s="1392">
        <f t="shared" ca="1" si="54"/>
        <v>2.3203975020181051</v>
      </c>
      <c r="L46" s="1392">
        <f t="shared" ca="1" si="54"/>
        <v>2.288343061579857</v>
      </c>
      <c r="M46" s="1370"/>
      <c r="N46" s="1370"/>
      <c r="O46" s="1370"/>
      <c r="P46" s="1293"/>
      <c r="Q46" s="1293"/>
      <c r="R46" s="1293"/>
      <c r="S46" s="1293"/>
      <c r="T46" s="1293"/>
      <c r="U46" s="1293"/>
      <c r="V46" s="1293"/>
      <c r="W46" s="1293"/>
      <c r="X46" s="1293"/>
      <c r="Y46" s="1293"/>
      <c r="Z46" s="1293"/>
    </row>
    <row r="47" spans="1:26" ht="15.75">
      <c r="A47" s="1381" t="s">
        <v>8326</v>
      </c>
      <c r="B47" s="1382">
        <f>B89</f>
        <v>5610</v>
      </c>
      <c r="C47" s="1382">
        <f t="shared" ref="C47:L47" si="55">C89</f>
        <v>7114</v>
      </c>
      <c r="D47" s="1382">
        <f t="shared" si="55"/>
        <v>5799</v>
      </c>
      <c r="E47" s="1382">
        <f t="shared" si="55"/>
        <v>5956</v>
      </c>
      <c r="F47" s="1382">
        <f t="shared" si="55"/>
        <v>5175</v>
      </c>
      <c r="G47" s="1382">
        <f t="shared" ca="1" si="55"/>
        <v>4433.9932365614613</v>
      </c>
      <c r="H47" s="1382">
        <f t="shared" ca="1" si="55"/>
        <v>4607.9053884406794</v>
      </c>
      <c r="I47" s="1382">
        <f t="shared" ca="1" si="55"/>
        <v>4757.3017002399047</v>
      </c>
      <c r="J47" s="1382">
        <f t="shared" ca="1" si="55"/>
        <v>4887.5311357770324</v>
      </c>
      <c r="K47" s="1382">
        <f t="shared" ca="1" si="55"/>
        <v>4965.7997694696933</v>
      </c>
      <c r="L47" s="1382">
        <f t="shared" ca="1" si="55"/>
        <v>5016.7623826243353</v>
      </c>
      <c r="M47" s="1370"/>
      <c r="N47" s="1370"/>
      <c r="O47" s="1370"/>
      <c r="P47" s="1293"/>
      <c r="Q47" s="1293"/>
      <c r="R47" s="1293"/>
      <c r="S47" s="1293"/>
      <c r="T47" s="1293"/>
      <c r="U47" s="1293"/>
      <c r="V47" s="1293"/>
      <c r="W47" s="1293"/>
      <c r="X47" s="1293"/>
      <c r="Y47" s="1293"/>
      <c r="Z47" s="1293"/>
    </row>
    <row r="48" spans="1:26" ht="15.75">
      <c r="A48" s="1385" t="s">
        <v>8330</v>
      </c>
      <c r="B48" s="1392">
        <f t="shared" ref="B48:L48" si="56">B89/B14</f>
        <v>2.3061627983998361</v>
      </c>
      <c r="C48" s="1392">
        <f t="shared" si="56"/>
        <v>3.0453767123287672</v>
      </c>
      <c r="D48" s="1392">
        <f t="shared" si="56"/>
        <v>2.9843526054545881</v>
      </c>
      <c r="E48" s="1392">
        <f t="shared" si="56"/>
        <v>3.2738127138373829</v>
      </c>
      <c r="F48" s="1392">
        <f t="shared" ca="1" si="56"/>
        <v>2.4129858646122355</v>
      </c>
      <c r="G48" s="1392">
        <f t="shared" ca="1" si="56"/>
        <v>2.1893177094753753</v>
      </c>
      <c r="H48" s="1392">
        <f t="shared" ca="1" si="56"/>
        <v>2.2669213972320859</v>
      </c>
      <c r="I48" s="1392">
        <f t="shared" ca="1" si="56"/>
        <v>2.2759927139900471</v>
      </c>
      <c r="J48" s="1392">
        <f t="shared" ca="1" si="56"/>
        <v>2.2698212744758406</v>
      </c>
      <c r="K48" s="1392">
        <f t="shared" ca="1" si="56"/>
        <v>2.2374024641936652</v>
      </c>
      <c r="L48" s="1392">
        <f t="shared" ca="1" si="56"/>
        <v>2.1981277718078971</v>
      </c>
      <c r="M48" s="1370"/>
      <c r="N48" s="1370"/>
      <c r="O48" s="1370"/>
      <c r="P48" s="1293"/>
      <c r="Q48" s="1293"/>
      <c r="R48" s="1293"/>
      <c r="S48" s="1293"/>
      <c r="T48" s="1293"/>
      <c r="U48" s="1293"/>
      <c r="V48" s="1293"/>
      <c r="W48" s="1293"/>
      <c r="X48" s="1293"/>
      <c r="Y48" s="1293"/>
      <c r="Z48" s="1293"/>
    </row>
    <row r="49" spans="1:26" ht="15.75">
      <c r="A49" s="1362"/>
      <c r="B49" s="1370"/>
      <c r="C49" s="1370"/>
      <c r="D49" s="1370"/>
      <c r="E49" s="1370"/>
      <c r="F49" s="1370"/>
      <c r="G49" s="1370"/>
      <c r="H49" s="1370"/>
      <c r="I49" s="1370"/>
      <c r="J49" s="1370"/>
      <c r="K49" s="1370"/>
      <c r="L49" s="1370"/>
      <c r="M49" s="1370"/>
      <c r="N49" s="1370"/>
      <c r="O49" s="1370"/>
      <c r="P49" s="1293"/>
      <c r="Q49" s="1293"/>
      <c r="R49" s="1293"/>
      <c r="S49" s="1293"/>
      <c r="T49" s="1293"/>
      <c r="U49" s="1293"/>
      <c r="V49" s="1293"/>
      <c r="W49" s="1293"/>
      <c r="X49" s="1293"/>
      <c r="Y49" s="1293"/>
      <c r="Z49" s="1293"/>
    </row>
    <row r="50" spans="1:26" ht="15.75">
      <c r="A50" s="1362"/>
      <c r="B50" s="1370"/>
      <c r="C50" s="1370"/>
      <c r="D50" s="1370"/>
      <c r="E50" s="1370"/>
      <c r="F50" s="1370"/>
      <c r="G50" s="1370"/>
      <c r="H50" s="1370"/>
      <c r="I50" s="1370"/>
      <c r="J50" s="1370"/>
      <c r="K50" s="1370"/>
      <c r="L50" s="1370"/>
      <c r="M50" s="1370"/>
      <c r="N50" s="1370"/>
      <c r="O50" s="1370"/>
      <c r="P50" s="1293"/>
      <c r="Q50" s="1293"/>
      <c r="R50" s="1293"/>
      <c r="S50" s="1293"/>
      <c r="T50" s="1293"/>
      <c r="U50" s="1293"/>
      <c r="V50" s="1293"/>
      <c r="W50" s="1293"/>
      <c r="X50" s="1293"/>
      <c r="Y50" s="1293"/>
      <c r="Z50" s="1293"/>
    </row>
    <row r="51" spans="1:26" ht="15.75">
      <c r="A51" s="1362"/>
      <c r="B51" s="1370"/>
      <c r="C51" s="1370"/>
      <c r="D51" s="1370"/>
      <c r="E51" s="1370"/>
      <c r="F51" s="1370"/>
      <c r="G51" s="1370"/>
      <c r="H51" s="1370"/>
      <c r="I51" s="1370"/>
      <c r="J51" s="1370"/>
      <c r="K51" s="1370"/>
      <c r="L51" s="1370"/>
      <c r="M51" s="1370"/>
      <c r="N51" s="1370"/>
      <c r="O51" s="1370"/>
      <c r="P51" s="1293"/>
      <c r="Q51" s="1293"/>
      <c r="R51" s="1293"/>
      <c r="S51" s="1293"/>
      <c r="T51" s="1293"/>
      <c r="U51" s="1293"/>
      <c r="V51" s="1293"/>
      <c r="W51" s="1293"/>
      <c r="X51" s="1293"/>
      <c r="Y51" s="1293"/>
      <c r="Z51" s="1293"/>
    </row>
    <row r="52" spans="1:26" ht="15.75">
      <c r="A52" s="1362"/>
      <c r="B52" s="1370"/>
      <c r="C52" s="1370"/>
      <c r="D52" s="1370"/>
      <c r="E52" s="1370"/>
      <c r="F52" s="1370"/>
      <c r="G52" s="1370"/>
      <c r="H52" s="1370"/>
      <c r="I52" s="1370"/>
      <c r="J52" s="1370"/>
      <c r="K52" s="1370"/>
      <c r="L52" s="1370"/>
      <c r="M52" s="1370"/>
      <c r="N52" s="1370"/>
      <c r="O52" s="1370"/>
      <c r="P52" s="1293"/>
      <c r="Q52" s="1293"/>
      <c r="R52" s="1293"/>
      <c r="S52" s="1293"/>
      <c r="T52" s="1293"/>
      <c r="U52" s="1293"/>
      <c r="V52" s="1293"/>
      <c r="W52" s="1293"/>
      <c r="X52" s="1293"/>
      <c r="Y52" s="1293"/>
      <c r="Z52" s="1293"/>
    </row>
    <row r="53" spans="1:26" ht="15.75">
      <c r="A53" s="1362"/>
      <c r="B53" s="1370"/>
      <c r="C53" s="1370"/>
      <c r="D53" s="1370"/>
      <c r="E53" s="1370"/>
      <c r="F53" s="1370"/>
      <c r="G53" s="1370"/>
      <c r="H53" s="1370"/>
      <c r="I53" s="1370"/>
      <c r="J53" s="1370"/>
      <c r="K53" s="1370"/>
      <c r="L53" s="1370"/>
      <c r="M53" s="1370"/>
      <c r="N53" s="1370"/>
      <c r="O53" s="1370"/>
      <c r="P53" s="1293"/>
      <c r="Q53" s="1293"/>
      <c r="R53" s="1293"/>
      <c r="S53" s="1293"/>
      <c r="T53" s="1293"/>
      <c r="U53" s="1293"/>
      <c r="V53" s="1293"/>
      <c r="W53" s="1293"/>
      <c r="X53" s="1293"/>
      <c r="Y53" s="1293"/>
      <c r="Z53" s="1293"/>
    </row>
    <row r="54" spans="1:26" ht="15.75">
      <c r="A54" s="1362"/>
      <c r="B54" s="1370"/>
      <c r="C54" s="1370"/>
      <c r="D54" s="1370"/>
      <c r="E54" s="1370"/>
      <c r="F54" s="1370"/>
      <c r="G54" s="1370"/>
      <c r="H54" s="1370"/>
      <c r="I54" s="1370"/>
      <c r="J54" s="1370"/>
      <c r="K54" s="1370"/>
      <c r="L54" s="1370"/>
      <c r="M54" s="1370"/>
      <c r="N54" s="1370"/>
      <c r="O54" s="1370"/>
      <c r="P54" s="1293"/>
      <c r="Q54" s="1293"/>
      <c r="R54" s="1293"/>
      <c r="S54" s="1293"/>
      <c r="T54" s="1293"/>
      <c r="U54" s="1293"/>
      <c r="V54" s="1293"/>
      <c r="W54" s="1293"/>
      <c r="X54" s="1293"/>
      <c r="Y54" s="1293"/>
      <c r="Z54" s="1293"/>
    </row>
    <row r="55" spans="1:26" ht="15.75">
      <c r="A55" s="1362"/>
      <c r="B55" s="1370"/>
      <c r="C55" s="1370"/>
      <c r="D55" s="1370"/>
      <c r="E55" s="1370"/>
      <c r="F55" s="1370"/>
      <c r="G55" s="1370"/>
      <c r="H55" s="1370"/>
      <c r="I55" s="1370"/>
      <c r="J55" s="1370"/>
      <c r="K55" s="1370"/>
      <c r="L55" s="1370"/>
      <c r="M55" s="1370"/>
      <c r="N55" s="1370"/>
      <c r="O55" s="1370"/>
      <c r="P55" s="1293"/>
      <c r="Q55" s="1293"/>
      <c r="R55" s="1293"/>
      <c r="S55" s="1293"/>
      <c r="T55" s="1293"/>
      <c r="U55" s="1293"/>
      <c r="V55" s="1293"/>
      <c r="W55" s="1293"/>
      <c r="X55" s="1293"/>
      <c r="Y55" s="1293"/>
      <c r="Z55" s="1293"/>
    </row>
    <row r="56" spans="1:26" ht="15.75">
      <c r="A56" s="1363" t="s">
        <v>7732</v>
      </c>
      <c r="B56" s="1369">
        <f t="shared" ref="B56:L56" si="57">B1</f>
        <v>2020</v>
      </c>
      <c r="C56" s="1369">
        <f t="shared" si="57"/>
        <v>2021</v>
      </c>
      <c r="D56" s="1369">
        <f t="shared" si="57"/>
        <v>2022</v>
      </c>
      <c r="E56" s="1369">
        <f t="shared" si="57"/>
        <v>2023</v>
      </c>
      <c r="F56" s="1369">
        <f t="shared" si="57"/>
        <v>2024</v>
      </c>
      <c r="G56" s="1369">
        <f t="shared" si="57"/>
        <v>2025</v>
      </c>
      <c r="H56" s="1369">
        <f t="shared" si="57"/>
        <v>2026</v>
      </c>
      <c r="I56" s="1369">
        <f t="shared" si="57"/>
        <v>2027</v>
      </c>
      <c r="J56" s="1369">
        <f t="shared" si="57"/>
        <v>2028</v>
      </c>
      <c r="K56" s="1369">
        <f t="shared" si="57"/>
        <v>2029</v>
      </c>
      <c r="L56" s="1369">
        <f t="shared" si="57"/>
        <v>2030</v>
      </c>
      <c r="M56" s="1370"/>
      <c r="N56" s="1370"/>
      <c r="O56" s="1370"/>
      <c r="P56" s="1293"/>
      <c r="Q56" s="1293"/>
      <c r="R56" s="1293"/>
      <c r="S56" s="1293"/>
      <c r="T56" s="1293"/>
      <c r="U56" s="1293"/>
      <c r="V56" s="1293"/>
      <c r="W56" s="1293"/>
      <c r="X56" s="1293"/>
      <c r="Y56" s="1293"/>
      <c r="Z56" s="1293"/>
    </row>
    <row r="57" spans="1:26" ht="15.75">
      <c r="A57" s="1362" t="s">
        <v>1552</v>
      </c>
      <c r="B57" s="1371">
        <f ca="1">B22</f>
        <v>1651</v>
      </c>
      <c r="C57" s="1371">
        <f t="shared" ref="C57:L57" ca="1" si="58">C22</f>
        <v>1502</v>
      </c>
      <c r="D57" s="1371">
        <f t="shared" si="58"/>
        <v>1255.1349999999998</v>
      </c>
      <c r="E57" s="1371">
        <f t="shared" si="58"/>
        <v>1302.2855</v>
      </c>
      <c r="F57" s="1371">
        <f t="shared" ca="1" si="58"/>
        <v>1725.2098049804872</v>
      </c>
      <c r="G57" s="1371">
        <f t="shared" si="58"/>
        <v>1738.9289368923089</v>
      </c>
      <c r="H57" s="1371">
        <f t="shared" si="58"/>
        <v>1734.1235845603112</v>
      </c>
      <c r="I57" s="1371">
        <f t="shared" si="58"/>
        <v>1768.7093442428682</v>
      </c>
      <c r="J57" s="1371">
        <f t="shared" si="58"/>
        <v>1799.3349929037586</v>
      </c>
      <c r="K57" s="1371">
        <f t="shared" si="58"/>
        <v>1863.8107111066311</v>
      </c>
      <c r="L57" s="1371">
        <f t="shared" si="58"/>
        <v>1925.8915038201662</v>
      </c>
      <c r="M57" s="1370"/>
      <c r="N57" s="1370"/>
      <c r="O57" s="1370"/>
      <c r="P57" s="1293"/>
      <c r="Q57" s="1293"/>
      <c r="R57" s="1293"/>
      <c r="S57" s="1293"/>
      <c r="T57" s="1293"/>
      <c r="U57" s="1293"/>
      <c r="V57" s="1293"/>
      <c r="W57" s="1293"/>
      <c r="X57" s="1293"/>
      <c r="Y57" s="1293"/>
      <c r="Z57" s="1293"/>
    </row>
    <row r="58" spans="1:26" ht="15.75">
      <c r="A58" s="1362" t="s">
        <v>8327</v>
      </c>
      <c r="B58" s="1371">
        <f>-B13</f>
        <v>-208.3876953125</v>
      </c>
      <c r="C58" s="1371">
        <f t="shared" ref="C58:L58" si="59">-C13</f>
        <v>-277</v>
      </c>
      <c r="D58" s="1371">
        <f t="shared" si="59"/>
        <v>-285</v>
      </c>
      <c r="E58" s="1371">
        <f t="shared" si="59"/>
        <v>-292</v>
      </c>
      <c r="F58" s="1371">
        <f t="shared" si="59"/>
        <v>-324</v>
      </c>
      <c r="G58" s="1371">
        <f t="shared" ca="1" si="59"/>
        <v>-356.40000000000003</v>
      </c>
      <c r="H58" s="1371">
        <f t="shared" ca="1" si="59"/>
        <v>-363.52800000000002</v>
      </c>
      <c r="I58" s="1371">
        <f t="shared" ca="1" si="59"/>
        <v>-370.79855999999995</v>
      </c>
      <c r="J58" s="1371">
        <f t="shared" ca="1" si="59"/>
        <v>-378.2145311999999</v>
      </c>
      <c r="K58" s="1371">
        <f t="shared" ca="1" si="59"/>
        <v>-385.77882182399986</v>
      </c>
      <c r="L58" s="1371">
        <f t="shared" ca="1" si="59"/>
        <v>-393.49439826047984</v>
      </c>
      <c r="M58" s="1370"/>
      <c r="N58" s="1370"/>
      <c r="O58" s="1370"/>
      <c r="P58" s="1293"/>
      <c r="Q58" s="1293"/>
      <c r="R58" s="1293"/>
      <c r="S58" s="1293"/>
      <c r="T58" s="1293"/>
      <c r="U58" s="1293"/>
      <c r="V58" s="1293"/>
      <c r="W58" s="1293"/>
      <c r="X58" s="1293"/>
      <c r="Y58" s="1293"/>
      <c r="Z58" s="1293"/>
    </row>
    <row r="59" spans="1:26" ht="15.75">
      <c r="A59" s="1362" t="s">
        <v>8328</v>
      </c>
      <c r="B59" s="1371">
        <f>Master!W402+Master!W411</f>
        <v>-665.6123046875</v>
      </c>
      <c r="C59" s="1371">
        <f>Master!X402+Master!X411</f>
        <v>-466</v>
      </c>
      <c r="D59" s="1371">
        <f>Master!Y402+Master!Y411</f>
        <v>-403</v>
      </c>
      <c r="E59" s="1371">
        <f>Master!Z402+Master!Z411</f>
        <v>-494</v>
      </c>
      <c r="F59" s="1371">
        <f>Master!AA402+Master!AA411</f>
        <v>-550</v>
      </c>
      <c r="G59" s="1371">
        <f ca="1">Master!AB402+Master!AB411</f>
        <v>-517.39554709684376</v>
      </c>
      <c r="H59" s="1371">
        <f ca="1">Master!AC402+Master!AC411</f>
        <v>-514.40210562505342</v>
      </c>
      <c r="I59" s="1371">
        <f ca="1">Master!AD402+Master!AD411</f>
        <v>-534.91308082361172</v>
      </c>
      <c r="J59" s="1371">
        <f ca="1">Master!AE402+Master!AE411</f>
        <v>-546.30412074254639</v>
      </c>
      <c r="K59" s="1371">
        <f ca="1">Master!AF402+Master!AF411</f>
        <v>-555.2573514764772</v>
      </c>
      <c r="L59" s="1371">
        <f ca="1">Master!AG402+Master!AG411</f>
        <v>-562.20544656677043</v>
      </c>
      <c r="M59" s="1370"/>
      <c r="N59" s="1370"/>
      <c r="O59" s="1370"/>
      <c r="P59" s="1293"/>
      <c r="Q59" s="1293"/>
      <c r="R59" s="1293"/>
      <c r="S59" s="1293"/>
      <c r="T59" s="1293"/>
      <c r="U59" s="1293"/>
      <c r="V59" s="1293"/>
      <c r="W59" s="1293"/>
      <c r="X59" s="1293"/>
      <c r="Y59" s="1293"/>
      <c r="Z59" s="1293"/>
    </row>
    <row r="60" spans="1:26" ht="15.75">
      <c r="A60" s="1362" t="s">
        <v>8310</v>
      </c>
      <c r="B60" s="1371">
        <f>-Master!W176</f>
        <v>-204</v>
      </c>
      <c r="C60" s="1371">
        <f>-Master!X176</f>
        <v>-158</v>
      </c>
      <c r="D60" s="1371">
        <f>-Master!Y176</f>
        <v>-222</v>
      </c>
      <c r="E60" s="1371">
        <f>-Master!Z176</f>
        <v>-424</v>
      </c>
      <c r="F60" s="1371">
        <f>-Master!AA176</f>
        <v>-281</v>
      </c>
      <c r="G60" s="1371">
        <f ca="1">-Master!AB176</f>
        <v>-267.30215329751451</v>
      </c>
      <c r="H60" s="1371">
        <f ca="1">-Master!AC176</f>
        <v>-348.1306027258467</v>
      </c>
      <c r="I60" s="1371">
        <f ca="1">-Master!AD176</f>
        <v>-344.46528864977483</v>
      </c>
      <c r="J60" s="1371">
        <f ca="1">-Master!AE176</f>
        <v>-350.34330438073926</v>
      </c>
      <c r="K60" s="1371">
        <f ca="1">-Master!AF176</f>
        <v>-361.15754461674925</v>
      </c>
      <c r="L60" s="1371">
        <f ca="1">-Master!AG176</f>
        <v>-374.78229820533898</v>
      </c>
      <c r="M60" s="1370"/>
      <c r="N60" s="1370"/>
      <c r="O60" s="1370"/>
      <c r="P60" s="1293"/>
      <c r="Q60" s="1293"/>
      <c r="R60" s="1293"/>
      <c r="S60" s="1293"/>
      <c r="T60" s="1293"/>
      <c r="U60" s="1293"/>
      <c r="V60" s="1293"/>
      <c r="W60" s="1293"/>
      <c r="X60" s="1293"/>
      <c r="Y60" s="1293"/>
      <c r="Z60" s="1293"/>
    </row>
    <row r="61" spans="1:26" ht="15.75">
      <c r="A61" s="1362" t="s">
        <v>8311</v>
      </c>
      <c r="B61" s="1371">
        <f>Master!W319</f>
        <v>65.999999999999886</v>
      </c>
      <c r="C61" s="1371">
        <f>Master!X319</f>
        <v>314</v>
      </c>
      <c r="D61" s="1371">
        <f>Master!Y319</f>
        <v>-427.99999999999989</v>
      </c>
      <c r="E61" s="1371">
        <f>Master!Z319</f>
        <v>101</v>
      </c>
      <c r="F61" s="1371">
        <f>Master!AA319</f>
        <v>156</v>
      </c>
      <c r="G61" s="1371">
        <f>Master!AB319</f>
        <v>64.541628537852972</v>
      </c>
      <c r="H61" s="1371">
        <f>Master!AC319</f>
        <v>40.494988985792226</v>
      </c>
      <c r="I61" s="1371">
        <f>Master!AD319</f>
        <v>43.820909170173103</v>
      </c>
      <c r="J61" s="1371">
        <f>Master!AE319</f>
        <v>45.999465567884883</v>
      </c>
      <c r="K61" s="1371">
        <f>Master!AF319</f>
        <v>43.823631762797149</v>
      </c>
      <c r="L61" s="1371">
        <f>Master!AG319</f>
        <v>42.196848881666767</v>
      </c>
      <c r="M61" s="1370"/>
      <c r="N61" s="1370"/>
      <c r="O61" s="1370"/>
      <c r="P61" s="1293"/>
      <c r="Q61" s="1293"/>
      <c r="R61" s="1293"/>
      <c r="S61" s="1293"/>
      <c r="T61" s="1293"/>
      <c r="U61" s="1293"/>
      <c r="V61" s="1293"/>
      <c r="W61" s="1293"/>
      <c r="X61" s="1293"/>
      <c r="Y61" s="1293"/>
      <c r="Z61" s="1293"/>
    </row>
    <row r="62" spans="1:26" ht="15.75">
      <c r="A62" s="1368" t="s">
        <v>7049</v>
      </c>
      <c r="B62" s="1372">
        <f ca="1">SUM(B57:B61)</f>
        <v>638.99999999999989</v>
      </c>
      <c r="C62" s="1372">
        <f t="shared" ref="C62:L62" ca="1" si="60">SUM(C57:C61)</f>
        <v>915</v>
      </c>
      <c r="D62" s="1372">
        <f t="shared" si="60"/>
        <v>-82.865000000000123</v>
      </c>
      <c r="E62" s="1372">
        <f t="shared" si="60"/>
        <v>193.28549999999996</v>
      </c>
      <c r="F62" s="1372">
        <f t="shared" ca="1" si="60"/>
        <v>726.20980498048721</v>
      </c>
      <c r="G62" s="1372">
        <f t="shared" ca="1" si="60"/>
        <v>662.37286503580356</v>
      </c>
      <c r="H62" s="1372">
        <f t="shared" ca="1" si="60"/>
        <v>548.55786519520325</v>
      </c>
      <c r="I62" s="1372">
        <f t="shared" ca="1" si="60"/>
        <v>562.35332393965473</v>
      </c>
      <c r="J62" s="1372">
        <f t="shared" ca="1" si="60"/>
        <v>570.47250214835799</v>
      </c>
      <c r="K62" s="1372">
        <f t="shared" ca="1" si="60"/>
        <v>605.44062495220203</v>
      </c>
      <c r="L62" s="1372">
        <f t="shared" ca="1" si="60"/>
        <v>637.60620966924375</v>
      </c>
      <c r="M62" s="1370"/>
      <c r="N62" s="1370"/>
      <c r="O62" s="1370"/>
      <c r="P62" s="1293"/>
      <c r="Q62" s="1293"/>
      <c r="R62" s="1293"/>
      <c r="S62" s="1293"/>
      <c r="T62" s="1293"/>
      <c r="U62" s="1293"/>
      <c r="V62" s="1293"/>
      <c r="W62" s="1293"/>
      <c r="X62" s="1293"/>
      <c r="Y62" s="1293"/>
      <c r="Z62" s="1293"/>
    </row>
    <row r="63" spans="1:26" ht="15.75">
      <c r="A63" s="1362" t="s">
        <v>8312</v>
      </c>
      <c r="B63" s="1371">
        <f>Master!W364</f>
        <v>0</v>
      </c>
      <c r="C63" s="1371">
        <f>Master!X364</f>
        <v>0</v>
      </c>
      <c r="D63" s="1371">
        <f>Master!Y364</f>
        <v>0</v>
      </c>
      <c r="E63" s="1371">
        <f>Master!Z364</f>
        <v>0</v>
      </c>
      <c r="F63" s="1371">
        <f>Master!AA364</f>
        <v>556.76724999999999</v>
      </c>
      <c r="G63" s="1371">
        <f>Master!AB364</f>
        <v>499.089</v>
      </c>
      <c r="H63" s="1371">
        <f>Master!AC364</f>
        <v>524.42975000000001</v>
      </c>
      <c r="I63" s="1371">
        <f>Master!AD364</f>
        <v>547.27049999999997</v>
      </c>
      <c r="J63" s="1371">
        <f>Master!AE364</f>
        <v>567.61125000000004</v>
      </c>
      <c r="K63" s="1371">
        <f>Master!AF364</f>
        <v>585.452</v>
      </c>
      <c r="L63" s="1371">
        <f>Master!AG364</f>
        <v>600.79274999999996</v>
      </c>
      <c r="M63" s="1370"/>
      <c r="N63" s="1370"/>
      <c r="O63" s="1370"/>
      <c r="P63" s="1293"/>
      <c r="Q63" s="1293"/>
      <c r="R63" s="1293"/>
      <c r="S63" s="1293"/>
      <c r="T63" s="1293"/>
      <c r="U63" s="1293"/>
      <c r="V63" s="1293"/>
      <c r="W63" s="1293"/>
      <c r="X63" s="1293"/>
      <c r="Y63" s="1293"/>
      <c r="Z63" s="1293"/>
    </row>
    <row r="64" spans="1:26" ht="15.75">
      <c r="A64" s="1362" t="s">
        <v>8331</v>
      </c>
      <c r="B64" s="1371">
        <f>-Master!W229</f>
        <v>-136.69999999999999</v>
      </c>
      <c r="C64" s="1371">
        <f>-Master!X229</f>
        <v>-2005</v>
      </c>
      <c r="D64" s="1371">
        <f>-Master!Y229</f>
        <v>347.06999999999994</v>
      </c>
      <c r="E64" s="1371">
        <f>-Master!Z229</f>
        <v>-236</v>
      </c>
      <c r="F64" s="1371">
        <f>-Master!AA229</f>
        <v>-135</v>
      </c>
      <c r="G64" s="1371">
        <f>-Master!AB229</f>
        <v>875</v>
      </c>
      <c r="H64" s="1371">
        <f>-Master!AC229</f>
        <v>-100</v>
      </c>
      <c r="I64" s="1371">
        <f>-Master!AD229</f>
        <v>-100</v>
      </c>
      <c r="J64" s="1371">
        <f>-Master!AE229</f>
        <v>-100</v>
      </c>
      <c r="K64" s="1371">
        <f>-Master!AF229</f>
        <v>-100</v>
      </c>
      <c r="L64" s="1371">
        <f>-Master!AG229</f>
        <v>-100</v>
      </c>
      <c r="M64" s="1370"/>
      <c r="N64" s="1370"/>
      <c r="O64" s="1370"/>
      <c r="P64" s="1293"/>
      <c r="Q64" s="1293"/>
      <c r="R64" s="1293"/>
      <c r="S64" s="1293"/>
      <c r="T64" s="1293"/>
      <c r="U64" s="1293"/>
      <c r="V64" s="1293"/>
      <c r="W64" s="1293"/>
      <c r="X64" s="1293"/>
      <c r="Y64" s="1293"/>
      <c r="Z64" s="1293"/>
    </row>
    <row r="65" spans="1:26" ht="15.75">
      <c r="A65" s="1362" t="s">
        <v>1540</v>
      </c>
      <c r="B65" s="1371">
        <f t="shared" ref="B65:L65" ca="1" si="61">-B67-SUM(B62:B64)</f>
        <v>102.7000000000001</v>
      </c>
      <c r="C65" s="1371">
        <f t="shared" ca="1" si="61"/>
        <v>-560</v>
      </c>
      <c r="D65" s="1371">
        <f t="shared" si="61"/>
        <v>1201.7950000000001</v>
      </c>
      <c r="E65" s="1371">
        <f t="shared" si="61"/>
        <v>-141.28549999999996</v>
      </c>
      <c r="F65" s="1371">
        <f t="shared" ca="1" si="61"/>
        <v>-277.97705498048708</v>
      </c>
      <c r="G65" s="1371">
        <f t="shared" ca="1" si="61"/>
        <v>-1319.3051015972653</v>
      </c>
      <c r="H65" s="1371">
        <f t="shared" ca="1" si="61"/>
        <v>-1171.3460170744204</v>
      </c>
      <c r="I65" s="1371">
        <f t="shared" ca="1" si="61"/>
        <v>-1184.0775419888801</v>
      </c>
      <c r="J65" s="1371">
        <f t="shared" ca="1" si="61"/>
        <v>-1193.9970290917363</v>
      </c>
      <c r="K65" s="1371">
        <f t="shared" ca="1" si="61"/>
        <v>-1195.4871960862683</v>
      </c>
      <c r="L65" s="1371">
        <f t="shared" ca="1" si="61"/>
        <v>-1216.345658701327</v>
      </c>
      <c r="M65" s="1370"/>
      <c r="N65" s="1370"/>
      <c r="O65" s="1370"/>
      <c r="P65" s="1293"/>
      <c r="Q65" s="1293"/>
      <c r="R65" s="1293"/>
      <c r="S65" s="1293"/>
      <c r="T65" s="1293"/>
      <c r="U65" s="1293"/>
      <c r="V65" s="1293"/>
      <c r="W65" s="1293"/>
      <c r="X65" s="1293"/>
      <c r="Y65" s="1293"/>
      <c r="Z65" s="1293"/>
    </row>
    <row r="66" spans="1:26" ht="15.75">
      <c r="A66" s="1364" t="s">
        <v>1936</v>
      </c>
      <c r="B66" s="1391">
        <f t="shared" ref="B66:L66" ca="1" si="62">SUM(B62:B65)</f>
        <v>605</v>
      </c>
      <c r="C66" s="1391">
        <f t="shared" ca="1" si="62"/>
        <v>-1650</v>
      </c>
      <c r="D66" s="1391">
        <f t="shared" si="62"/>
        <v>1466</v>
      </c>
      <c r="E66" s="1391">
        <f t="shared" si="62"/>
        <v>-184</v>
      </c>
      <c r="F66" s="1391">
        <f t="shared" ca="1" si="62"/>
        <v>870</v>
      </c>
      <c r="G66" s="1391">
        <f t="shared" ca="1" si="62"/>
        <v>717.15676343853829</v>
      </c>
      <c r="H66" s="1391">
        <f t="shared" ca="1" si="62"/>
        <v>-198.35840187921713</v>
      </c>
      <c r="I66" s="1391">
        <f t="shared" ca="1" si="62"/>
        <v>-174.45371804922524</v>
      </c>
      <c r="J66" s="1391">
        <f t="shared" ca="1" si="62"/>
        <v>-155.91327694337815</v>
      </c>
      <c r="K66" s="1391">
        <f t="shared" ca="1" si="62"/>
        <v>-104.59457113406643</v>
      </c>
      <c r="L66" s="1391">
        <f t="shared" ca="1" si="62"/>
        <v>-77.946699032083416</v>
      </c>
      <c r="M66" s="1370"/>
      <c r="N66" s="1370"/>
      <c r="O66" s="1370"/>
      <c r="P66" s="1293"/>
      <c r="Q66" s="1293"/>
      <c r="R66" s="1293"/>
      <c r="S66" s="1293"/>
      <c r="T66" s="1293"/>
      <c r="U66" s="1293"/>
      <c r="V66" s="1293"/>
      <c r="W66" s="1293"/>
      <c r="X66" s="1293"/>
      <c r="Y66" s="1293"/>
      <c r="Z66" s="1293"/>
    </row>
    <row r="67" spans="1:26" ht="15.75">
      <c r="A67" s="1362" t="s">
        <v>169</v>
      </c>
      <c r="B67" s="1371">
        <f>Master!W428-Master!V428</f>
        <v>-605</v>
      </c>
      <c r="C67" s="1371">
        <f>Master!X428-Master!W428</f>
        <v>1650</v>
      </c>
      <c r="D67" s="1371">
        <f>Master!Y428-Master!X428</f>
        <v>-1466</v>
      </c>
      <c r="E67" s="1371">
        <f>Master!Z428-Master!Y428</f>
        <v>184</v>
      </c>
      <c r="F67" s="1371">
        <f>Master!AA428-Master!Z428</f>
        <v>-870</v>
      </c>
      <c r="G67" s="1371">
        <f ca="1">Master!AB428-Master!AA428</f>
        <v>-717.15676343853829</v>
      </c>
      <c r="H67" s="1371">
        <f ca="1">Master!AC428-Master!AB428</f>
        <v>198.35840187921713</v>
      </c>
      <c r="I67" s="1371">
        <f ca="1">Master!AD428-Master!AC428</f>
        <v>174.45371804922524</v>
      </c>
      <c r="J67" s="1371">
        <f ca="1">Master!AE428-Master!AD428</f>
        <v>155.91327694337815</v>
      </c>
      <c r="K67" s="1371">
        <f ca="1">Master!AF428-Master!AE428</f>
        <v>104.59457113406643</v>
      </c>
      <c r="L67" s="1371">
        <f ca="1">Master!AG428-Master!AF428</f>
        <v>77.946699032083416</v>
      </c>
      <c r="M67" s="1370"/>
      <c r="N67" s="1370"/>
      <c r="O67" s="1370"/>
      <c r="P67" s="1293"/>
      <c r="Q67" s="1293"/>
      <c r="R67" s="1293"/>
      <c r="S67" s="1293"/>
      <c r="T67" s="1293"/>
      <c r="U67" s="1293"/>
      <c r="V67" s="1293"/>
      <c r="W67" s="1293"/>
      <c r="X67" s="1293"/>
      <c r="Y67" s="1293"/>
      <c r="Z67" s="1293"/>
    </row>
    <row r="68" spans="1:26" ht="15.75">
      <c r="A68" s="1362"/>
      <c r="B68" s="1370"/>
      <c r="C68" s="1370"/>
      <c r="D68" s="1370"/>
      <c r="E68" s="1370"/>
      <c r="F68" s="1370"/>
      <c r="G68" s="1370"/>
      <c r="H68" s="1370"/>
      <c r="I68" s="1370"/>
      <c r="J68" s="1370"/>
      <c r="K68" s="1370"/>
      <c r="L68" s="1370"/>
      <c r="M68" s="1370"/>
      <c r="N68" s="1370"/>
      <c r="O68" s="1370"/>
      <c r="P68" s="1293"/>
      <c r="Q68" s="1293"/>
      <c r="R68" s="1293"/>
      <c r="S68" s="1293"/>
      <c r="T68" s="1293"/>
      <c r="U68" s="1293"/>
      <c r="V68" s="1293"/>
      <c r="W68" s="1293"/>
      <c r="X68" s="1293"/>
      <c r="Y68" s="1293"/>
      <c r="Z68" s="1293"/>
    </row>
    <row r="70" spans="1:26" ht="15.75">
      <c r="A70" s="1293"/>
      <c r="B70" s="1370"/>
      <c r="C70" s="1370"/>
      <c r="D70" s="1370"/>
      <c r="E70" s="1370"/>
      <c r="F70" s="1370"/>
      <c r="G70" s="1370"/>
      <c r="H70" s="1370"/>
      <c r="I70" s="1370"/>
      <c r="J70" s="1370"/>
      <c r="K70" s="1370"/>
      <c r="L70" s="1370"/>
      <c r="M70" s="1370"/>
      <c r="N70" s="1370"/>
      <c r="O70" s="1370"/>
      <c r="P70" s="1293"/>
      <c r="Q70" s="1293"/>
      <c r="R70" s="1293"/>
      <c r="S70" s="1293"/>
      <c r="T70" s="1293"/>
      <c r="U70" s="1293"/>
      <c r="V70" s="1293"/>
      <c r="W70" s="1293"/>
      <c r="X70" s="1293"/>
      <c r="Y70" s="1293"/>
      <c r="Z70" s="1293"/>
    </row>
    <row r="76" spans="1:26" ht="15.75">
      <c r="A76" s="1362"/>
      <c r="B76" s="1370"/>
      <c r="C76" s="1370"/>
      <c r="D76" s="1370"/>
      <c r="E76" s="1370"/>
      <c r="F76" s="1370"/>
      <c r="G76" s="1370"/>
      <c r="H76" s="1370"/>
      <c r="I76" s="1370"/>
      <c r="J76" s="1370"/>
      <c r="K76" s="1370"/>
      <c r="L76" s="1370"/>
      <c r="M76" s="1370"/>
      <c r="N76" s="1370"/>
      <c r="O76" s="1370"/>
      <c r="P76" s="1293"/>
      <c r="Q76" s="1293"/>
      <c r="R76" s="1293"/>
      <c r="S76" s="1293"/>
      <c r="T76" s="1293"/>
      <c r="U76" s="1293"/>
      <c r="V76" s="1293"/>
      <c r="W76" s="1293"/>
      <c r="X76" s="1293"/>
      <c r="Y76" s="1293"/>
      <c r="Z76" s="1293"/>
    </row>
    <row r="77" spans="1:26" ht="15.75">
      <c r="A77" s="1362"/>
      <c r="B77" s="1370"/>
      <c r="C77" s="1370"/>
      <c r="D77" s="1370"/>
      <c r="E77" s="1370"/>
      <c r="F77" s="1370"/>
      <c r="G77" s="1370"/>
      <c r="H77" s="1370"/>
      <c r="I77" s="1370"/>
      <c r="J77" s="1370"/>
      <c r="K77" s="1370"/>
      <c r="L77" s="1370"/>
      <c r="M77" s="1370"/>
      <c r="N77" s="1370"/>
      <c r="O77" s="1370"/>
      <c r="P77" s="1293"/>
      <c r="Q77" s="1293"/>
      <c r="R77" s="1293"/>
      <c r="S77" s="1293"/>
      <c r="T77" s="1293"/>
      <c r="U77" s="1293"/>
      <c r="V77" s="1293"/>
      <c r="W77" s="1293"/>
      <c r="X77" s="1293"/>
      <c r="Y77" s="1293"/>
      <c r="Z77" s="1293"/>
    </row>
    <row r="78" spans="1:26" ht="15.75">
      <c r="A78" s="1362"/>
      <c r="B78" s="1370"/>
      <c r="C78" s="1370"/>
      <c r="D78" s="1370"/>
      <c r="E78" s="1370"/>
      <c r="F78" s="1370"/>
      <c r="G78" s="1370"/>
      <c r="H78" s="1370"/>
      <c r="I78" s="1370"/>
      <c r="J78" s="1370"/>
      <c r="K78" s="1370"/>
      <c r="L78" s="1370"/>
      <c r="M78" s="1370"/>
      <c r="N78" s="1370"/>
      <c r="O78" s="1370"/>
      <c r="P78" s="1293"/>
      <c r="Q78" s="1293"/>
      <c r="R78" s="1293"/>
      <c r="S78" s="1293"/>
      <c r="T78" s="1293"/>
      <c r="U78" s="1293"/>
      <c r="V78" s="1293"/>
      <c r="W78" s="1293"/>
      <c r="X78" s="1293"/>
      <c r="Y78" s="1293"/>
      <c r="Z78" s="1293"/>
    </row>
    <row r="79" spans="1:26" ht="15.75">
      <c r="A79" s="1362"/>
      <c r="B79" s="1370"/>
      <c r="C79" s="1370"/>
      <c r="D79" s="1370"/>
      <c r="E79" s="1370"/>
      <c r="F79" s="1370"/>
      <c r="G79" s="1370"/>
      <c r="H79" s="1370"/>
      <c r="I79" s="1370"/>
      <c r="J79" s="1370"/>
      <c r="K79" s="1370"/>
      <c r="L79" s="1370"/>
      <c r="M79" s="1370"/>
      <c r="N79" s="1370"/>
      <c r="O79" s="1370"/>
      <c r="P79" s="1293"/>
      <c r="Q79" s="1293"/>
      <c r="R79" s="1293"/>
      <c r="S79" s="1293"/>
      <c r="T79" s="1293"/>
      <c r="U79" s="1293"/>
      <c r="V79" s="1293"/>
      <c r="W79" s="1293"/>
      <c r="X79" s="1293"/>
      <c r="Y79" s="1293"/>
      <c r="Z79" s="1293"/>
    </row>
    <row r="80" spans="1:26" ht="15.75">
      <c r="A80" s="1363" t="s">
        <v>1381</v>
      </c>
      <c r="B80" s="1369">
        <f t="shared" ref="B80:L80" si="63">B1</f>
        <v>2020</v>
      </c>
      <c r="C80" s="1369">
        <f t="shared" si="63"/>
        <v>2021</v>
      </c>
      <c r="D80" s="1369">
        <f t="shared" si="63"/>
        <v>2022</v>
      </c>
      <c r="E80" s="1369">
        <f t="shared" si="63"/>
        <v>2023</v>
      </c>
      <c r="F80" s="1369">
        <f t="shared" si="63"/>
        <v>2024</v>
      </c>
      <c r="G80" s="1369">
        <f t="shared" si="63"/>
        <v>2025</v>
      </c>
      <c r="H80" s="1369">
        <f t="shared" si="63"/>
        <v>2026</v>
      </c>
      <c r="I80" s="1369">
        <f t="shared" si="63"/>
        <v>2027</v>
      </c>
      <c r="J80" s="1369">
        <f t="shared" si="63"/>
        <v>2028</v>
      </c>
      <c r="K80" s="1369">
        <f t="shared" si="63"/>
        <v>2029</v>
      </c>
      <c r="L80" s="1369">
        <f t="shared" si="63"/>
        <v>2030</v>
      </c>
      <c r="M80" s="1370"/>
      <c r="N80" s="1370"/>
      <c r="O80" s="1370"/>
      <c r="P80" s="1293"/>
      <c r="Q80" s="1293"/>
      <c r="R80" s="1293"/>
      <c r="S80" s="1293"/>
      <c r="T80" s="1293"/>
      <c r="U80" s="1293"/>
      <c r="V80" s="1293"/>
      <c r="W80" s="1293"/>
      <c r="X80" s="1293"/>
      <c r="Y80" s="1293"/>
      <c r="Z80" s="1293"/>
    </row>
    <row r="81" spans="1:26" ht="15.75">
      <c r="A81" s="1362" t="s">
        <v>8321</v>
      </c>
      <c r="B81" s="1371">
        <f>Master!W144</f>
        <v>270</v>
      </c>
      <c r="C81" s="1371">
        <f>Master!X144</f>
        <v>2084</v>
      </c>
      <c r="D81" s="1371">
        <f>Master!Y144</f>
        <v>343</v>
      </c>
      <c r="E81" s="1371">
        <f>Master!Z144</f>
        <v>343</v>
      </c>
      <c r="F81" s="1371">
        <f>Master!AA144</f>
        <v>343</v>
      </c>
      <c r="G81" s="1371">
        <f>Master!AB144</f>
        <v>343</v>
      </c>
      <c r="H81" s="1371">
        <f>Master!AC144</f>
        <v>343</v>
      </c>
      <c r="I81" s="1371">
        <f>Master!AD144</f>
        <v>343</v>
      </c>
      <c r="J81" s="1371">
        <f>Master!AE144</f>
        <v>343</v>
      </c>
      <c r="K81" s="1371">
        <f>Master!AF144</f>
        <v>343</v>
      </c>
      <c r="L81" s="1371">
        <f>Master!AG144</f>
        <v>343</v>
      </c>
      <c r="M81" s="1370"/>
      <c r="N81" s="1370"/>
      <c r="O81" s="1370"/>
      <c r="P81" s="1293"/>
      <c r="Q81" s="1293"/>
      <c r="R81" s="1293"/>
      <c r="S81" s="1293"/>
      <c r="T81" s="1293"/>
      <c r="U81" s="1293"/>
      <c r="V81" s="1293"/>
      <c r="W81" s="1293"/>
      <c r="X81" s="1293"/>
      <c r="Y81" s="1293"/>
      <c r="Z81" s="1293"/>
    </row>
    <row r="82" spans="1:26" ht="15.75">
      <c r="A82" s="1362" t="s">
        <v>8322</v>
      </c>
      <c r="B82" s="1371">
        <f>Master!W140</f>
        <v>7483</v>
      </c>
      <c r="C82" s="1371">
        <f>Master!X140</f>
        <v>7166</v>
      </c>
      <c r="D82" s="1371">
        <f>Master!Y140</f>
        <v>7511</v>
      </c>
      <c r="E82" s="1371">
        <f>Master!Z140</f>
        <v>7436</v>
      </c>
      <c r="F82" s="1371">
        <f>Master!AA140</f>
        <v>6485</v>
      </c>
      <c r="G82" s="1371">
        <f>Master!AB140</f>
        <v>6508.85</v>
      </c>
      <c r="H82" s="1371">
        <f>Master!AC140</f>
        <v>6533.2962499999994</v>
      </c>
      <c r="I82" s="1371">
        <f>Master!AD140</f>
        <v>6558.3536562499994</v>
      </c>
      <c r="J82" s="1371">
        <f>Master!AE140</f>
        <v>6584.0374976562498</v>
      </c>
      <c r="K82" s="1371">
        <f>Master!AF140</f>
        <v>6610.3634350976554</v>
      </c>
      <c r="L82" s="1371">
        <f>Master!AG140</f>
        <v>6637.3475209750968</v>
      </c>
      <c r="M82" s="1370"/>
      <c r="N82" s="1370"/>
      <c r="O82" s="1370"/>
      <c r="P82" s="1293"/>
      <c r="Q82" s="1293"/>
      <c r="R82" s="1293"/>
      <c r="S82" s="1293"/>
      <c r="T82" s="1293"/>
      <c r="U82" s="1293"/>
      <c r="V82" s="1293"/>
      <c r="W82" s="1293"/>
      <c r="X82" s="1293"/>
      <c r="Y82" s="1293"/>
      <c r="Z82" s="1293"/>
    </row>
    <row r="83" spans="1:26" ht="15.75">
      <c r="A83" s="1368" t="s">
        <v>134</v>
      </c>
      <c r="B83" s="1372">
        <f t="shared" ref="B83:C83" si="64">B81+B82</f>
        <v>7753</v>
      </c>
      <c r="C83" s="1372">
        <f t="shared" si="64"/>
        <v>9250</v>
      </c>
      <c r="D83" s="1372">
        <f>D81+D82</f>
        <v>7854</v>
      </c>
      <c r="E83" s="1372">
        <f t="shared" ref="E83:L83" si="65">E81+E82</f>
        <v>7779</v>
      </c>
      <c r="F83" s="1372">
        <f t="shared" si="65"/>
        <v>6828</v>
      </c>
      <c r="G83" s="1372">
        <f t="shared" si="65"/>
        <v>6851.85</v>
      </c>
      <c r="H83" s="1372">
        <f t="shared" si="65"/>
        <v>6876.2962499999994</v>
      </c>
      <c r="I83" s="1372">
        <f t="shared" si="65"/>
        <v>6901.3536562499994</v>
      </c>
      <c r="J83" s="1372">
        <f t="shared" si="65"/>
        <v>6927.0374976562498</v>
      </c>
      <c r="K83" s="1372">
        <f t="shared" si="65"/>
        <v>6953.3634350976554</v>
      </c>
      <c r="L83" s="1372">
        <f t="shared" si="65"/>
        <v>6980.3475209750968</v>
      </c>
      <c r="M83" s="1370"/>
      <c r="N83" s="1370"/>
      <c r="O83" s="1370"/>
      <c r="P83" s="1293"/>
      <c r="Q83" s="1293"/>
      <c r="R83" s="1293"/>
      <c r="S83" s="1293"/>
      <c r="T83" s="1293"/>
      <c r="U83" s="1293"/>
      <c r="V83" s="1293"/>
      <c r="W83" s="1293"/>
      <c r="X83" s="1293"/>
      <c r="Y83" s="1293"/>
      <c r="Z83" s="1293"/>
    </row>
    <row r="84" spans="1:26" ht="15.75">
      <c r="A84" s="1373" t="s">
        <v>8324</v>
      </c>
      <c r="B84" s="1371">
        <f>Master!W434</f>
        <v>1021</v>
      </c>
      <c r="C84" s="1371">
        <f>Master!X434</f>
        <v>1167</v>
      </c>
      <c r="D84" s="1371">
        <f>Master!Y434</f>
        <v>1016</v>
      </c>
      <c r="E84" s="1371">
        <f>Master!Z434</f>
        <v>1043</v>
      </c>
      <c r="F84" s="1371">
        <f>Master!AA434</f>
        <v>954</v>
      </c>
      <c r="G84" s="1371">
        <f>Master!AB434</f>
        <v>977.84999999999991</v>
      </c>
      <c r="H84" s="1371">
        <f>Master!AC434</f>
        <v>1002.2962499999999</v>
      </c>
      <c r="I84" s="1371">
        <f>Master!AD434</f>
        <v>1027.3536562499999</v>
      </c>
      <c r="J84" s="1371">
        <f>Master!AE434</f>
        <v>1053.0374976562498</v>
      </c>
      <c r="K84" s="1371">
        <f>Master!AF434</f>
        <v>1079.3634350976558</v>
      </c>
      <c r="L84" s="1371">
        <f>Master!AG434</f>
        <v>1106.347520975097</v>
      </c>
      <c r="M84" s="1370"/>
      <c r="N84" s="1370"/>
      <c r="O84" s="1370"/>
      <c r="P84" s="1293"/>
      <c r="Q84" s="1293"/>
      <c r="R84" s="1293"/>
      <c r="S84" s="1293"/>
      <c r="T84" s="1293"/>
      <c r="U84" s="1293"/>
      <c r="V84" s="1293"/>
      <c r="W84" s="1293"/>
      <c r="X84" s="1293"/>
      <c r="Y84" s="1293"/>
      <c r="Z84" s="1293"/>
    </row>
    <row r="85" spans="1:26" ht="15.75">
      <c r="A85" s="1362" t="s">
        <v>8325</v>
      </c>
      <c r="B85" s="1371">
        <f>B83-B84</f>
        <v>6732</v>
      </c>
      <c r="C85" s="1371">
        <f t="shared" ref="C85:L85" si="66">C83-C84</f>
        <v>8083</v>
      </c>
      <c r="D85" s="1371">
        <f t="shared" si="66"/>
        <v>6838</v>
      </c>
      <c r="E85" s="1371">
        <f t="shared" si="66"/>
        <v>6736</v>
      </c>
      <c r="F85" s="1371">
        <f t="shared" si="66"/>
        <v>5874</v>
      </c>
      <c r="G85" s="1371">
        <f t="shared" si="66"/>
        <v>5874</v>
      </c>
      <c r="H85" s="1371">
        <f t="shared" si="66"/>
        <v>5874</v>
      </c>
      <c r="I85" s="1371">
        <f t="shared" si="66"/>
        <v>5874</v>
      </c>
      <c r="J85" s="1371">
        <f t="shared" si="66"/>
        <v>5874</v>
      </c>
      <c r="K85" s="1371">
        <f t="shared" si="66"/>
        <v>5874</v>
      </c>
      <c r="L85" s="1371">
        <f t="shared" si="66"/>
        <v>5874</v>
      </c>
      <c r="M85" s="1370"/>
      <c r="N85" s="1370"/>
      <c r="O85" s="1370"/>
      <c r="P85" s="1293"/>
      <c r="Q85" s="1293"/>
      <c r="R85" s="1293"/>
      <c r="S85" s="1293"/>
      <c r="T85" s="1293"/>
      <c r="U85" s="1293"/>
      <c r="V85" s="1293"/>
      <c r="W85" s="1293"/>
      <c r="X85" s="1293"/>
      <c r="Y85" s="1293"/>
      <c r="Z85" s="1293"/>
    </row>
    <row r="86" spans="1:26" ht="15.75">
      <c r="A86" s="1362"/>
      <c r="B86" s="1370"/>
      <c r="C86" s="1370"/>
      <c r="D86" s="1370"/>
      <c r="E86" s="1370"/>
      <c r="F86" s="1370"/>
      <c r="G86" s="1370"/>
      <c r="H86" s="1370"/>
      <c r="I86" s="1370"/>
      <c r="J86" s="1370"/>
      <c r="K86" s="1370"/>
      <c r="L86" s="1370"/>
      <c r="M86" s="1370"/>
      <c r="N86" s="1370"/>
      <c r="O86" s="1370"/>
      <c r="P86" s="1293"/>
      <c r="Q86" s="1293"/>
      <c r="R86" s="1293"/>
      <c r="S86" s="1293"/>
      <c r="T86" s="1293"/>
      <c r="U86" s="1293"/>
      <c r="V86" s="1293"/>
      <c r="W86" s="1293"/>
      <c r="X86" s="1293"/>
      <c r="Y86" s="1293"/>
      <c r="Z86" s="1293"/>
    </row>
    <row r="87" spans="1:26" ht="15.75">
      <c r="A87" s="1362" t="s">
        <v>8323</v>
      </c>
      <c r="B87" s="1371">
        <f>Master!W127</f>
        <v>1122</v>
      </c>
      <c r="C87" s="1371">
        <f>Master!X127</f>
        <v>969</v>
      </c>
      <c r="D87" s="1371">
        <f>Master!Y127</f>
        <v>1039</v>
      </c>
      <c r="E87" s="1371">
        <f>Master!Z127</f>
        <v>780</v>
      </c>
      <c r="F87" s="1371">
        <f>Master!AA127</f>
        <v>699</v>
      </c>
      <c r="G87" s="1371">
        <f ca="1">Master!AB127</f>
        <v>1440.0067634385387</v>
      </c>
      <c r="H87" s="1371">
        <f ca="1">Master!AC127</f>
        <v>1266.0946115593206</v>
      </c>
      <c r="I87" s="1371">
        <f ca="1">Master!AD127</f>
        <v>1116.6982997600953</v>
      </c>
      <c r="J87" s="1371">
        <f ca="1">Master!AE127</f>
        <v>986.46886422296757</v>
      </c>
      <c r="K87" s="1371">
        <f ca="1">Master!AF127</f>
        <v>908.20023053030673</v>
      </c>
      <c r="L87" s="1371">
        <f ca="1">Master!AG127</f>
        <v>857.23761737566474</v>
      </c>
      <c r="M87" s="1370"/>
      <c r="N87" s="1370"/>
      <c r="O87" s="1370"/>
      <c r="P87" s="1293"/>
      <c r="Q87" s="1293"/>
      <c r="R87" s="1293"/>
      <c r="S87" s="1293"/>
      <c r="T87" s="1293"/>
      <c r="U87" s="1293"/>
      <c r="V87" s="1293"/>
      <c r="W87" s="1293"/>
      <c r="X87" s="1293"/>
      <c r="Y87" s="1293"/>
      <c r="Z87" s="1293"/>
    </row>
    <row r="88" spans="1:26" ht="15.75">
      <c r="A88" s="1367" t="s">
        <v>150</v>
      </c>
      <c r="B88" s="1374">
        <f t="shared" ref="B88:C88" si="67">B83-B87</f>
        <v>6631</v>
      </c>
      <c r="C88" s="1374">
        <f t="shared" si="67"/>
        <v>8281</v>
      </c>
      <c r="D88" s="1374">
        <f>D83-D87</f>
        <v>6815</v>
      </c>
      <c r="E88" s="1374">
        <f t="shared" ref="E88:L88" si="68">E83-E87</f>
        <v>6999</v>
      </c>
      <c r="F88" s="1374">
        <f t="shared" si="68"/>
        <v>6129</v>
      </c>
      <c r="G88" s="1374">
        <f t="shared" ca="1" si="68"/>
        <v>5411.8432365614617</v>
      </c>
      <c r="H88" s="1374">
        <f t="shared" ca="1" si="68"/>
        <v>5610.2016384406788</v>
      </c>
      <c r="I88" s="1374">
        <f t="shared" ca="1" si="68"/>
        <v>5784.6553564899041</v>
      </c>
      <c r="J88" s="1374">
        <f t="shared" ca="1" si="68"/>
        <v>5940.5686334332822</v>
      </c>
      <c r="K88" s="1374">
        <f t="shared" ca="1" si="68"/>
        <v>6045.1632045673487</v>
      </c>
      <c r="L88" s="1374">
        <f t="shared" ca="1" si="68"/>
        <v>6123.1099035994321</v>
      </c>
      <c r="M88" s="1370"/>
      <c r="N88" s="1370"/>
      <c r="O88" s="1370"/>
      <c r="P88" s="1293"/>
      <c r="Q88" s="1293"/>
      <c r="R88" s="1293"/>
      <c r="S88" s="1293"/>
      <c r="T88" s="1293"/>
      <c r="U88" s="1293"/>
      <c r="V88" s="1293"/>
      <c r="W88" s="1293"/>
      <c r="X88" s="1293"/>
      <c r="Y88" s="1293"/>
      <c r="Z88" s="1293"/>
    </row>
    <row r="89" spans="1:26" ht="15.75">
      <c r="A89" s="1293" t="s">
        <v>8326</v>
      </c>
      <c r="B89" s="1371">
        <f>B85-B87</f>
        <v>5610</v>
      </c>
      <c r="C89" s="1371">
        <f t="shared" ref="C89:L89" si="69">C85-C87</f>
        <v>7114</v>
      </c>
      <c r="D89" s="1371">
        <f t="shared" si="69"/>
        <v>5799</v>
      </c>
      <c r="E89" s="1371">
        <f t="shared" si="69"/>
        <v>5956</v>
      </c>
      <c r="F89" s="1371">
        <f t="shared" si="69"/>
        <v>5175</v>
      </c>
      <c r="G89" s="1371">
        <f t="shared" ca="1" si="69"/>
        <v>4433.9932365614613</v>
      </c>
      <c r="H89" s="1371">
        <f t="shared" ca="1" si="69"/>
        <v>4607.9053884406794</v>
      </c>
      <c r="I89" s="1371">
        <f t="shared" ca="1" si="69"/>
        <v>4757.3017002399047</v>
      </c>
      <c r="J89" s="1371">
        <f t="shared" ca="1" si="69"/>
        <v>4887.5311357770324</v>
      </c>
      <c r="K89" s="1371">
        <f t="shared" ca="1" si="69"/>
        <v>4965.7997694696933</v>
      </c>
      <c r="L89" s="1371">
        <f t="shared" ca="1" si="69"/>
        <v>5016.7623826243353</v>
      </c>
      <c r="M89" s="1370"/>
      <c r="N89" s="1370"/>
      <c r="O89" s="1370"/>
      <c r="P89" s="1293"/>
      <c r="Q89" s="1293"/>
      <c r="R89" s="1293"/>
      <c r="S89" s="1293"/>
      <c r="T89" s="1293"/>
      <c r="U89" s="1293"/>
      <c r="V89" s="1293"/>
      <c r="W89" s="1293"/>
      <c r="X89" s="1293"/>
      <c r="Y89" s="1293"/>
      <c r="Z89" s="1293"/>
    </row>
    <row r="90" spans="1:26" ht="15.75">
      <c r="A90" s="1293"/>
      <c r="B90" s="1370"/>
      <c r="C90" s="1370"/>
      <c r="D90" s="1370"/>
      <c r="E90" s="1370"/>
      <c r="F90" s="1370"/>
      <c r="G90" s="1370"/>
      <c r="H90" s="1370"/>
      <c r="I90" s="1370"/>
      <c r="J90" s="1370"/>
      <c r="K90" s="1370"/>
      <c r="L90" s="1370"/>
      <c r="M90" s="1370"/>
      <c r="N90" s="1370"/>
      <c r="O90" s="1370"/>
      <c r="P90" s="1293"/>
      <c r="Q90" s="1293"/>
      <c r="R90" s="1293"/>
      <c r="S90" s="1293"/>
      <c r="T90" s="1293"/>
      <c r="U90" s="1293"/>
      <c r="V90" s="1293"/>
      <c r="W90" s="1293"/>
      <c r="X90" s="1293"/>
      <c r="Y90" s="1293"/>
      <c r="Z90" s="1293"/>
    </row>
    <row r="91" spans="1:26" ht="15.75">
      <c r="A91" s="1362" t="s">
        <v>152</v>
      </c>
      <c r="B91" s="1371">
        <f>Master!W428-B88</f>
        <v>0</v>
      </c>
      <c r="C91" s="1371">
        <f>Master!X428-C88</f>
        <v>0</v>
      </c>
      <c r="D91" s="1371">
        <f>Master!Y428-D88</f>
        <v>0</v>
      </c>
      <c r="E91" s="1371">
        <f>Master!Z428-E88</f>
        <v>0</v>
      </c>
      <c r="F91" s="1371">
        <f>Master!AA428-F88</f>
        <v>0</v>
      </c>
      <c r="G91" s="1371">
        <f ca="1">Master!AB428-G88</f>
        <v>0</v>
      </c>
      <c r="H91" s="1371">
        <f ca="1">Master!AC428-H88</f>
        <v>0</v>
      </c>
      <c r="I91" s="1371">
        <f ca="1">Master!AD428-I88</f>
        <v>0</v>
      </c>
      <c r="J91" s="1371">
        <f ca="1">Master!AE428-J88</f>
        <v>0</v>
      </c>
      <c r="K91" s="1371">
        <f ca="1">Master!AF428-K88</f>
        <v>0</v>
      </c>
      <c r="L91" s="1371">
        <f ca="1">Master!AG428-L88</f>
        <v>0</v>
      </c>
      <c r="M91" s="1370"/>
      <c r="N91" s="1370"/>
      <c r="O91" s="1370"/>
      <c r="P91" s="1293"/>
      <c r="Q91" s="1293"/>
      <c r="R91" s="1293"/>
      <c r="S91" s="1293"/>
      <c r="T91" s="1293"/>
      <c r="U91" s="1293"/>
      <c r="V91" s="1293"/>
      <c r="W91" s="1293"/>
      <c r="X91" s="1293"/>
      <c r="Y91" s="1293"/>
      <c r="Z91" s="1293"/>
    </row>
    <row r="92" spans="1:26" ht="15.75">
      <c r="A92" s="1293"/>
      <c r="B92" s="1370"/>
      <c r="C92" s="1370"/>
      <c r="D92" s="1370"/>
      <c r="E92" s="1370"/>
      <c r="F92" s="1370"/>
      <c r="G92" s="1370"/>
      <c r="H92" s="1370"/>
      <c r="I92" s="1370"/>
      <c r="J92" s="1370"/>
      <c r="K92" s="1370"/>
      <c r="L92" s="1370"/>
      <c r="M92" s="1370"/>
      <c r="N92" s="1370"/>
      <c r="O92" s="1370"/>
      <c r="P92" s="1293"/>
      <c r="Q92" s="1293"/>
      <c r="R92" s="1293"/>
      <c r="S92" s="1293"/>
      <c r="T92" s="1293"/>
      <c r="U92" s="1293"/>
      <c r="V92" s="1293"/>
      <c r="W92" s="1293"/>
      <c r="X92" s="1293"/>
      <c r="Y92" s="1293"/>
      <c r="Z92" s="1293"/>
    </row>
    <row r="93" spans="1:26" ht="15.75">
      <c r="A93" s="1293"/>
      <c r="B93" s="1370"/>
      <c r="C93" s="1370"/>
      <c r="D93" s="1370"/>
      <c r="E93" s="1370"/>
      <c r="F93" s="1370"/>
      <c r="G93" s="1370"/>
      <c r="H93" s="1370"/>
      <c r="I93" s="1370"/>
      <c r="J93" s="1370"/>
      <c r="K93" s="1370"/>
      <c r="L93" s="1370"/>
      <c r="M93" s="1370"/>
      <c r="N93" s="1370"/>
      <c r="O93" s="1370"/>
      <c r="P93" s="1293"/>
      <c r="Q93" s="1293"/>
      <c r="R93" s="1293"/>
      <c r="S93" s="1293"/>
      <c r="T93" s="1293"/>
      <c r="U93" s="1293"/>
      <c r="V93" s="1293"/>
      <c r="W93" s="1293"/>
      <c r="X93" s="1293"/>
      <c r="Y93" s="1293"/>
      <c r="Z93" s="1293"/>
    </row>
    <row r="94" spans="1:26" ht="15.75">
      <c r="A94" s="1293"/>
      <c r="B94" s="1370"/>
      <c r="C94" s="1370"/>
      <c r="D94" s="1370"/>
      <c r="E94" s="1370"/>
      <c r="F94" s="1370"/>
      <c r="G94" s="1370"/>
      <c r="H94" s="1370"/>
      <c r="I94" s="1370"/>
      <c r="J94" s="1370"/>
      <c r="K94" s="1370"/>
      <c r="L94" s="1370"/>
      <c r="M94" s="1370"/>
      <c r="N94" s="1370"/>
      <c r="O94" s="1370"/>
      <c r="P94" s="1293"/>
      <c r="Q94" s="1293"/>
      <c r="R94" s="1293"/>
      <c r="S94" s="1293"/>
      <c r="T94" s="1293"/>
      <c r="U94" s="1293"/>
      <c r="V94" s="1293"/>
      <c r="W94" s="1293"/>
      <c r="X94" s="1293"/>
      <c r="Y94" s="1293"/>
      <c r="Z94" s="1293"/>
    </row>
    <row r="95" spans="1:26" ht="15.75">
      <c r="A95" s="1363" t="s">
        <v>8332</v>
      </c>
      <c r="B95" s="1369">
        <f t="shared" ref="B95:L95" si="70">B1</f>
        <v>2020</v>
      </c>
      <c r="C95" s="1369">
        <f t="shared" si="70"/>
        <v>2021</v>
      </c>
      <c r="D95" s="1369">
        <f t="shared" si="70"/>
        <v>2022</v>
      </c>
      <c r="E95" s="1369">
        <f t="shared" si="70"/>
        <v>2023</v>
      </c>
      <c r="F95" s="1369">
        <f t="shared" si="70"/>
        <v>2024</v>
      </c>
      <c r="G95" s="1369">
        <f t="shared" si="70"/>
        <v>2025</v>
      </c>
      <c r="H95" s="1369">
        <f t="shared" si="70"/>
        <v>2026</v>
      </c>
      <c r="I95" s="1369">
        <f t="shared" si="70"/>
        <v>2027</v>
      </c>
      <c r="J95" s="1369">
        <f t="shared" si="70"/>
        <v>2028</v>
      </c>
      <c r="K95" s="1369">
        <f t="shared" si="70"/>
        <v>2029</v>
      </c>
      <c r="L95" s="1369">
        <f t="shared" si="70"/>
        <v>2030</v>
      </c>
      <c r="M95" s="1370"/>
      <c r="N95" s="1370"/>
      <c r="O95" s="1370"/>
      <c r="P95" s="1293"/>
      <c r="Q95" s="1293"/>
      <c r="R95" s="1293"/>
      <c r="S95" s="1293"/>
      <c r="T95" s="1293"/>
      <c r="U95" s="1293"/>
      <c r="V95" s="1293"/>
      <c r="W95" s="1293"/>
      <c r="X95" s="1293"/>
      <c r="Y95" s="1293"/>
      <c r="Z95" s="1293"/>
    </row>
    <row r="96" spans="1:26" ht="15.75">
      <c r="A96" s="1293" t="s">
        <v>1866</v>
      </c>
      <c r="B96" s="1370"/>
      <c r="C96" s="1370"/>
      <c r="D96" s="1393">
        <f>4879+101</f>
        <v>4980</v>
      </c>
      <c r="E96" s="1370"/>
      <c r="F96" s="1370"/>
      <c r="G96" s="1370"/>
      <c r="H96" s="1370"/>
      <c r="I96" s="1370"/>
      <c r="J96" s="1370"/>
      <c r="K96" s="1370"/>
      <c r="L96" s="1370"/>
      <c r="M96" s="1370"/>
      <c r="N96" s="1370"/>
      <c r="O96" s="1370"/>
      <c r="P96" s="1293"/>
      <c r="Q96" s="1293"/>
      <c r="R96" s="1293"/>
      <c r="S96" s="1293"/>
      <c r="T96" s="1293"/>
      <c r="U96" s="1293"/>
      <c r="V96" s="1293"/>
      <c r="W96" s="1293"/>
      <c r="X96" s="1293"/>
      <c r="Y96" s="1293"/>
      <c r="Z96" s="1293"/>
    </row>
    <row r="97" spans="1:26" ht="15.75">
      <c r="A97" s="1293" t="s">
        <v>8317</v>
      </c>
      <c r="B97" s="1370"/>
      <c r="C97" s="1370"/>
      <c r="D97" s="1393">
        <f>1776+18</f>
        <v>1794</v>
      </c>
      <c r="E97" s="1370"/>
      <c r="F97" s="1370"/>
      <c r="G97" s="1370"/>
      <c r="H97" s="1370"/>
      <c r="I97" s="1370"/>
      <c r="J97" s="1370"/>
      <c r="K97" s="1370"/>
      <c r="L97" s="1370"/>
      <c r="M97" s="1370"/>
      <c r="N97" s="1370"/>
      <c r="O97" s="1370"/>
      <c r="P97" s="1293"/>
      <c r="Q97" s="1293"/>
      <c r="R97" s="1293"/>
      <c r="S97" s="1293"/>
      <c r="T97" s="1293"/>
      <c r="U97" s="1293"/>
      <c r="V97" s="1293"/>
      <c r="W97" s="1293"/>
      <c r="X97" s="1293"/>
      <c r="Y97" s="1293"/>
      <c r="Z97" s="1293"/>
    </row>
    <row r="98" spans="1:26" ht="15.75">
      <c r="A98" s="1293" t="s">
        <v>8333</v>
      </c>
      <c r="B98" s="1370"/>
      <c r="C98" s="1370"/>
      <c r="D98" s="1393">
        <v>30</v>
      </c>
      <c r="E98" s="1370"/>
      <c r="F98" s="1370"/>
      <c r="G98" s="1370"/>
      <c r="H98" s="1370"/>
      <c r="I98" s="1370"/>
      <c r="J98" s="1370"/>
      <c r="K98" s="1370"/>
      <c r="L98" s="1370"/>
      <c r="M98" s="1370"/>
      <c r="N98" s="1370"/>
      <c r="O98" s="1370"/>
      <c r="P98" s="1293"/>
      <c r="Q98" s="1293"/>
      <c r="R98" s="1293"/>
      <c r="S98" s="1293"/>
      <c r="T98" s="1293"/>
      <c r="U98" s="1293"/>
      <c r="V98" s="1293"/>
      <c r="W98" s="1293"/>
      <c r="X98" s="1293"/>
      <c r="Y98" s="1293"/>
      <c r="Z98" s="1293"/>
    </row>
    <row r="99" spans="1:26" ht="15.75">
      <c r="A99" s="1375" t="s">
        <v>8334</v>
      </c>
      <c r="B99" s="1376"/>
      <c r="C99" s="1376"/>
      <c r="D99" s="1372">
        <f>D96+D97+D98</f>
        <v>6804</v>
      </c>
      <c r="E99" s="1370"/>
      <c r="F99" s="1370"/>
      <c r="G99" s="1370"/>
      <c r="H99" s="1370"/>
      <c r="I99" s="1370"/>
      <c r="J99" s="1370"/>
      <c r="K99" s="1370"/>
      <c r="L99" s="1370"/>
      <c r="M99" s="1370"/>
      <c r="N99" s="1370"/>
      <c r="O99" s="1370"/>
      <c r="P99" s="1293"/>
      <c r="Q99" s="1293"/>
      <c r="R99" s="1293"/>
      <c r="S99" s="1293"/>
      <c r="T99" s="1293"/>
      <c r="U99" s="1293"/>
      <c r="V99" s="1293"/>
      <c r="W99" s="1293"/>
      <c r="X99" s="1293"/>
      <c r="Y99" s="1293"/>
      <c r="Z99" s="1293"/>
    </row>
    <row r="100" spans="1:26" ht="15.75">
      <c r="A100" s="1293"/>
      <c r="B100" s="1370"/>
      <c r="C100" s="1370"/>
      <c r="D100" s="1370"/>
      <c r="E100" s="1370"/>
      <c r="F100" s="1370"/>
      <c r="G100" s="1370"/>
      <c r="H100" s="1370"/>
      <c r="I100" s="1370"/>
      <c r="J100" s="1370"/>
      <c r="K100" s="1370"/>
      <c r="L100" s="1370"/>
      <c r="M100" s="1370"/>
      <c r="N100" s="1370"/>
      <c r="O100" s="1370"/>
      <c r="P100" s="1293"/>
      <c r="Q100" s="1293"/>
      <c r="R100" s="1293"/>
      <c r="S100" s="1293"/>
      <c r="T100" s="1293"/>
      <c r="U100" s="1293"/>
      <c r="V100" s="1293"/>
      <c r="W100" s="1293"/>
      <c r="X100" s="1293"/>
      <c r="Y100" s="1293"/>
      <c r="Z100" s="1293"/>
    </row>
    <row r="101" spans="1:26" ht="15.75">
      <c r="A101" s="1334" t="s">
        <v>8335</v>
      </c>
      <c r="B101" s="1370"/>
      <c r="C101" s="1370"/>
      <c r="D101" s="1370"/>
      <c r="E101" s="1370"/>
      <c r="F101" s="1370"/>
      <c r="G101" s="1370"/>
      <c r="H101" s="1370"/>
      <c r="I101" s="1370"/>
      <c r="J101" s="1370"/>
      <c r="K101" s="1370"/>
      <c r="L101" s="1370"/>
      <c r="M101" s="1370"/>
      <c r="N101" s="1370"/>
      <c r="O101" s="1370"/>
      <c r="P101" s="1293"/>
      <c r="Q101" s="1293"/>
      <c r="R101" s="1293"/>
      <c r="S101" s="1293"/>
      <c r="T101" s="1293"/>
      <c r="U101" s="1293"/>
      <c r="V101" s="1293"/>
      <c r="W101" s="1293"/>
      <c r="X101" s="1293"/>
      <c r="Y101" s="1293"/>
      <c r="Z101" s="1293"/>
    </row>
    <row r="102" spans="1:26" ht="15.75">
      <c r="A102" s="1293" t="s">
        <v>3311</v>
      </c>
      <c r="B102" s="1370"/>
      <c r="C102" s="1370"/>
      <c r="D102" s="1393">
        <f>191+214+779+147+670+446+508</f>
        <v>2955</v>
      </c>
      <c r="E102" s="1370"/>
      <c r="F102" s="1370"/>
      <c r="G102" s="1370"/>
      <c r="H102" s="1370"/>
      <c r="I102" s="1370"/>
      <c r="J102" s="1370"/>
      <c r="K102" s="1370"/>
      <c r="L102" s="1370"/>
      <c r="M102" s="1370"/>
      <c r="N102" s="1370"/>
      <c r="O102" s="1370"/>
      <c r="P102" s="1293"/>
      <c r="Q102" s="1293"/>
      <c r="R102" s="1293"/>
      <c r="S102" s="1293"/>
      <c r="T102" s="1293"/>
      <c r="U102" s="1293"/>
      <c r="V102" s="1293"/>
      <c r="W102" s="1293"/>
      <c r="X102" s="1293"/>
      <c r="Y102" s="1293"/>
      <c r="Z102" s="1293"/>
    </row>
    <row r="103" spans="1:26" ht="15.75">
      <c r="A103" s="1293" t="s">
        <v>8336</v>
      </c>
      <c r="B103" s="1370"/>
      <c r="C103" s="1370"/>
      <c r="D103" s="1393">
        <f>16+7+9+1+3+2+3+13+19+22</f>
        <v>95</v>
      </c>
      <c r="E103" s="1370"/>
      <c r="F103" s="1370"/>
      <c r="G103" s="1370"/>
      <c r="H103" s="1370"/>
      <c r="I103" s="1370"/>
      <c r="J103" s="1370"/>
      <c r="K103" s="1370"/>
      <c r="L103" s="1370"/>
      <c r="M103" s="1370"/>
      <c r="N103" s="1370"/>
      <c r="O103" s="1370"/>
      <c r="P103" s="1293"/>
      <c r="Q103" s="1293"/>
      <c r="R103" s="1293"/>
      <c r="S103" s="1293"/>
      <c r="T103" s="1293"/>
      <c r="U103" s="1293"/>
      <c r="V103" s="1293"/>
      <c r="W103" s="1293"/>
      <c r="X103" s="1293"/>
      <c r="Y103" s="1293"/>
      <c r="Z103" s="1293"/>
    </row>
    <row r="104" spans="1:26" ht="15.75">
      <c r="A104" s="1293" t="s">
        <v>8337</v>
      </c>
      <c r="B104" s="1370"/>
      <c r="C104" s="1370"/>
      <c r="D104" s="1393">
        <f>35+14+14+41+15+21+8+48</f>
        <v>196</v>
      </c>
      <c r="E104" s="1370"/>
      <c r="F104" s="1370"/>
      <c r="G104" s="1370"/>
      <c r="H104" s="1370"/>
      <c r="I104" s="1370"/>
      <c r="J104" s="1370"/>
      <c r="K104" s="1370"/>
      <c r="L104" s="1370"/>
      <c r="M104" s="1370"/>
      <c r="N104" s="1370"/>
      <c r="O104" s="1370"/>
      <c r="P104" s="1293"/>
      <c r="Q104" s="1293"/>
      <c r="R104" s="1293"/>
      <c r="S104" s="1293"/>
      <c r="T104" s="1293"/>
      <c r="U104" s="1293"/>
      <c r="V104" s="1293"/>
      <c r="W104" s="1293"/>
      <c r="X104" s="1293"/>
      <c r="Y104" s="1293"/>
      <c r="Z104" s="1293"/>
    </row>
    <row r="105" spans="1:26" ht="15.75">
      <c r="A105" s="1293" t="s">
        <v>8338</v>
      </c>
      <c r="B105" s="1370"/>
      <c r="C105" s="1370"/>
      <c r="D105" s="1393">
        <f>31+33+53+26+31+24+59+18</f>
        <v>275</v>
      </c>
      <c r="E105" s="1370"/>
      <c r="F105" s="1370"/>
      <c r="G105" s="1370"/>
      <c r="H105" s="1370"/>
      <c r="I105" s="1370"/>
      <c r="J105" s="1370"/>
      <c r="K105" s="1370"/>
      <c r="L105" s="1370"/>
      <c r="M105" s="1370"/>
      <c r="N105" s="1370"/>
      <c r="O105" s="1370"/>
      <c r="P105" s="1293"/>
      <c r="Q105" s="1293"/>
      <c r="R105" s="1293"/>
      <c r="S105" s="1293"/>
      <c r="T105" s="1293"/>
      <c r="U105" s="1293"/>
      <c r="V105" s="1293"/>
      <c r="W105" s="1293"/>
      <c r="X105" s="1293"/>
      <c r="Y105" s="1293"/>
      <c r="Z105" s="1293"/>
    </row>
    <row r="106" spans="1:26" ht="15.75">
      <c r="A106" s="1293" t="s">
        <v>2032</v>
      </c>
      <c r="B106" s="1370"/>
      <c r="C106" s="1370"/>
      <c r="D106" s="1393">
        <v>589</v>
      </c>
      <c r="E106" s="1370"/>
      <c r="F106" s="1370"/>
      <c r="G106" s="1370"/>
      <c r="H106" s="1370"/>
      <c r="I106" s="1370"/>
      <c r="J106" s="1370"/>
      <c r="K106" s="1370"/>
      <c r="L106" s="1370"/>
      <c r="M106" s="1370"/>
      <c r="N106" s="1370"/>
      <c r="O106" s="1370"/>
      <c r="P106" s="1293"/>
      <c r="Q106" s="1293"/>
      <c r="R106" s="1293"/>
      <c r="S106" s="1293"/>
      <c r="T106" s="1293"/>
      <c r="U106" s="1293"/>
      <c r="V106" s="1293"/>
      <c r="W106" s="1293"/>
      <c r="X106" s="1293"/>
      <c r="Y106" s="1293"/>
      <c r="Z106" s="1293"/>
    </row>
    <row r="107" spans="1:26" ht="15.75">
      <c r="A107" s="1293" t="s">
        <v>2379</v>
      </c>
      <c r="B107" s="1370"/>
      <c r="C107" s="1370"/>
      <c r="D107" s="1393">
        <v>870</v>
      </c>
      <c r="E107" s="1370"/>
      <c r="F107" s="1370"/>
      <c r="G107" s="1370"/>
      <c r="H107" s="1370"/>
      <c r="I107" s="1370"/>
      <c r="J107" s="1370"/>
      <c r="K107" s="1370"/>
      <c r="L107" s="1370"/>
      <c r="M107" s="1370"/>
      <c r="N107" s="1370"/>
      <c r="O107" s="1370"/>
      <c r="P107" s="1293"/>
      <c r="Q107" s="1293"/>
      <c r="R107" s="1293"/>
      <c r="S107" s="1293"/>
      <c r="T107" s="1293"/>
      <c r="U107" s="1293"/>
      <c r="V107" s="1293"/>
      <c r="W107" s="1293"/>
      <c r="X107" s="1293"/>
      <c r="Y107" s="1293"/>
      <c r="Z107" s="1293"/>
    </row>
    <row r="108" spans="1:26" ht="15.75">
      <c r="A108" s="1375" t="s">
        <v>8334</v>
      </c>
      <c r="B108" s="1376"/>
      <c r="C108" s="1376"/>
      <c r="D108" s="1372">
        <f>SUM(D102:D107)</f>
        <v>4980</v>
      </c>
      <c r="E108" s="1370"/>
      <c r="F108" s="1370"/>
      <c r="G108" s="1370"/>
      <c r="H108" s="1370"/>
      <c r="I108" s="1370"/>
      <c r="J108" s="1370"/>
      <c r="K108" s="1370"/>
      <c r="L108" s="1370"/>
      <c r="M108" s="1370"/>
      <c r="N108" s="1370"/>
      <c r="O108" s="1370"/>
      <c r="P108" s="1293"/>
      <c r="Q108" s="1293"/>
      <c r="R108" s="1293"/>
      <c r="S108" s="1293"/>
      <c r="T108" s="1293"/>
      <c r="U108" s="1293"/>
      <c r="V108" s="1293"/>
      <c r="W108" s="1293"/>
      <c r="X108" s="1293"/>
      <c r="Y108" s="1293"/>
      <c r="Z108" s="1293"/>
    </row>
    <row r="109" spans="1:26" ht="15.75">
      <c r="A109" s="1293"/>
      <c r="B109" s="1370"/>
      <c r="C109" s="1370"/>
      <c r="D109" s="1370"/>
      <c r="E109" s="1370"/>
      <c r="F109" s="1370"/>
      <c r="G109" s="1370"/>
      <c r="H109" s="1370"/>
      <c r="I109" s="1370"/>
      <c r="J109" s="1370"/>
      <c r="K109" s="1370"/>
      <c r="L109" s="1370"/>
      <c r="M109" s="1370"/>
      <c r="N109" s="1370"/>
      <c r="O109" s="1370"/>
      <c r="P109" s="1293"/>
      <c r="Q109" s="1293"/>
      <c r="R109" s="1293"/>
      <c r="S109" s="1293"/>
      <c r="T109" s="1293"/>
      <c r="U109" s="1293"/>
      <c r="V109" s="1293"/>
      <c r="W109" s="1293"/>
      <c r="X109" s="1293"/>
      <c r="Y109" s="1293"/>
      <c r="Z109" s="1293"/>
    </row>
    <row r="110" spans="1:26" ht="15.75">
      <c r="A110" s="1293"/>
      <c r="B110" s="1370"/>
      <c r="C110" s="1370"/>
      <c r="D110" s="1370"/>
      <c r="E110" s="1370"/>
      <c r="F110" s="1370"/>
      <c r="G110" s="1370"/>
      <c r="H110" s="1370"/>
      <c r="I110" s="1370"/>
      <c r="J110" s="1370"/>
      <c r="K110" s="1370"/>
      <c r="L110" s="1370"/>
      <c r="M110" s="1370"/>
      <c r="N110" s="1370"/>
      <c r="O110" s="1370"/>
      <c r="P110" s="1293"/>
      <c r="Q110" s="1293"/>
      <c r="R110" s="1293"/>
      <c r="S110" s="1293"/>
      <c r="T110" s="1293"/>
      <c r="U110" s="1293"/>
      <c r="V110" s="1293"/>
      <c r="W110" s="1293"/>
      <c r="X110" s="1293"/>
      <c r="Y110" s="1293"/>
      <c r="Z110" s="1293"/>
    </row>
    <row r="111" spans="1:26" ht="15.75">
      <c r="A111" s="1293"/>
      <c r="B111" s="1370"/>
      <c r="C111" s="1370"/>
      <c r="D111" s="1370"/>
      <c r="E111" s="1370"/>
      <c r="F111" s="1370"/>
      <c r="G111" s="1370"/>
      <c r="H111" s="1370"/>
      <c r="I111" s="1370"/>
      <c r="J111" s="1370"/>
      <c r="K111" s="1370"/>
      <c r="L111" s="1370"/>
      <c r="M111" s="1370"/>
      <c r="N111" s="1370"/>
      <c r="O111" s="1370"/>
      <c r="P111" s="1293"/>
      <c r="Q111" s="1293"/>
      <c r="R111" s="1293"/>
      <c r="S111" s="1293"/>
      <c r="T111" s="1293"/>
      <c r="U111" s="1293"/>
      <c r="V111" s="1293"/>
      <c r="W111" s="1293"/>
      <c r="X111" s="1293"/>
      <c r="Y111" s="1293"/>
      <c r="Z111" s="1293"/>
    </row>
    <row r="112" spans="1:26" ht="15.75">
      <c r="A112" s="1363" t="s">
        <v>8316</v>
      </c>
      <c r="B112" s="1369">
        <f t="shared" ref="B112:L112" si="71">B1</f>
        <v>2020</v>
      </c>
      <c r="C112" s="1369">
        <f t="shared" si="71"/>
        <v>2021</v>
      </c>
      <c r="D112" s="1369">
        <f t="shared" si="71"/>
        <v>2022</v>
      </c>
      <c r="E112" s="1369">
        <f t="shared" si="71"/>
        <v>2023</v>
      </c>
      <c r="F112" s="1369">
        <f t="shared" si="71"/>
        <v>2024</v>
      </c>
      <c r="G112" s="1369">
        <f t="shared" si="71"/>
        <v>2025</v>
      </c>
      <c r="H112" s="1369">
        <f t="shared" si="71"/>
        <v>2026</v>
      </c>
      <c r="I112" s="1369">
        <f t="shared" si="71"/>
        <v>2027</v>
      </c>
      <c r="J112" s="1369">
        <f t="shared" si="71"/>
        <v>2028</v>
      </c>
      <c r="K112" s="1369">
        <f t="shared" si="71"/>
        <v>2029</v>
      </c>
      <c r="L112" s="1369">
        <f t="shared" si="71"/>
        <v>2030</v>
      </c>
      <c r="M112" s="1369">
        <v>2031</v>
      </c>
      <c r="N112" s="1369">
        <v>2032</v>
      </c>
      <c r="O112" s="1369" t="s">
        <v>8320</v>
      </c>
      <c r="P112" s="1371"/>
      <c r="Q112" s="1371"/>
      <c r="R112" s="1293"/>
      <c r="S112" s="1293"/>
      <c r="T112" s="1293"/>
      <c r="U112" s="1293"/>
      <c r="V112" s="1293"/>
      <c r="W112" s="1293"/>
      <c r="X112" s="1293"/>
      <c r="Y112" s="1293"/>
      <c r="Z112" s="1293"/>
    </row>
    <row r="113" spans="1:26" ht="15.75">
      <c r="A113" s="1362" t="s">
        <v>8317</v>
      </c>
      <c r="B113" s="1394"/>
      <c r="C113" s="1394"/>
      <c r="D113" s="1394"/>
      <c r="E113" s="1394">
        <v>29</v>
      </c>
      <c r="F113" s="1394">
        <v>128</v>
      </c>
      <c r="G113" s="1394">
        <v>397</v>
      </c>
      <c r="H113" s="1394">
        <v>533</v>
      </c>
      <c r="I113" s="1394">
        <v>411</v>
      </c>
      <c r="J113" s="1394">
        <v>325</v>
      </c>
      <c r="K113" s="1394">
        <v>44</v>
      </c>
      <c r="L113" s="1394">
        <v>63</v>
      </c>
      <c r="M113" s="1394"/>
      <c r="N113" s="1394"/>
      <c r="O113" s="1394"/>
      <c r="P113" s="1371">
        <f>SUM(E113:O113)</f>
        <v>1930</v>
      </c>
      <c r="Q113" s="1371"/>
      <c r="R113" s="1293"/>
      <c r="S113" s="1293"/>
      <c r="T113" s="1293"/>
      <c r="V113" s="1293"/>
      <c r="W113" s="1293"/>
      <c r="X113" s="1293"/>
      <c r="Y113" s="1293"/>
      <c r="Z113" s="1293"/>
    </row>
    <row r="114" spans="1:26" ht="15.75">
      <c r="A114" s="1362" t="s">
        <v>8318</v>
      </c>
      <c r="B114" s="1394"/>
      <c r="C114" s="1394"/>
      <c r="D114" s="1394"/>
      <c r="E114" s="1394">
        <v>37</v>
      </c>
      <c r="F114" s="1394">
        <v>106</v>
      </c>
      <c r="G114" s="1394">
        <v>26</v>
      </c>
      <c r="H114" s="1394">
        <v>130</v>
      </c>
      <c r="I114" s="1394">
        <v>7</v>
      </c>
      <c r="J114" s="1394">
        <v>50</v>
      </c>
      <c r="K114" s="1394">
        <v>14</v>
      </c>
      <c r="L114" s="1394">
        <v>40</v>
      </c>
      <c r="M114" s="1394">
        <v>68</v>
      </c>
      <c r="N114" s="1394">
        <v>0</v>
      </c>
      <c r="O114" s="1394">
        <v>52</v>
      </c>
      <c r="P114" s="1371">
        <f>SUM(E114:O114)</f>
        <v>530</v>
      </c>
      <c r="Q114" s="1371"/>
      <c r="R114" s="1293"/>
      <c r="S114" s="1293"/>
      <c r="T114" s="1293"/>
      <c r="V114" s="1293"/>
      <c r="W114" s="1293"/>
      <c r="X114" s="1293"/>
      <c r="Y114" s="1293"/>
      <c r="Z114" s="1293"/>
    </row>
    <row r="115" spans="1:26" ht="15.75">
      <c r="A115" s="1362" t="s">
        <v>8319</v>
      </c>
      <c r="B115" s="1394"/>
      <c r="C115" s="1394"/>
      <c r="D115" s="1394"/>
      <c r="E115" s="1394"/>
      <c r="F115" s="1394"/>
      <c r="G115" s="1394"/>
      <c r="H115" s="1394">
        <v>148</v>
      </c>
      <c r="I115" s="1394">
        <v>503</v>
      </c>
      <c r="J115" s="1394">
        <v>450</v>
      </c>
      <c r="K115" s="1394">
        <v>675</v>
      </c>
      <c r="L115" s="1394">
        <v>600</v>
      </c>
      <c r="M115" s="1394">
        <v>808</v>
      </c>
      <c r="N115" s="1394">
        <v>881</v>
      </c>
      <c r="O115" s="1394"/>
      <c r="P115" s="1371">
        <f>SUM(E115:O115)</f>
        <v>4065</v>
      </c>
      <c r="Q115" s="1371">
        <f>P114+P115</f>
        <v>4595</v>
      </c>
      <c r="R115" s="1293"/>
      <c r="S115" s="1293"/>
      <c r="T115" s="1293"/>
      <c r="W115" s="1293"/>
      <c r="X115" s="1293"/>
      <c r="Y115" s="1293"/>
      <c r="Z115" s="1293"/>
    </row>
    <row r="116" spans="1:26" ht="15.75">
      <c r="A116" s="1362" t="s">
        <v>8339</v>
      </c>
      <c r="B116" s="1394"/>
      <c r="C116" s="1394"/>
      <c r="D116" s="1394"/>
      <c r="E116" s="1394"/>
      <c r="F116" s="1395"/>
      <c r="G116" s="1394"/>
      <c r="H116" s="1394"/>
      <c r="I116" s="1395">
        <f>2250/T116</f>
        <v>206.04395604395606</v>
      </c>
      <c r="J116" s="1394"/>
      <c r="K116" s="1394"/>
      <c r="L116" s="1394"/>
      <c r="M116" s="1394"/>
      <c r="N116" s="1394"/>
      <c r="O116" s="1394"/>
      <c r="P116" s="1371">
        <f>SUM(E116:O116)</f>
        <v>206.04395604395606</v>
      </c>
      <c r="Q116" s="1371"/>
      <c r="R116" s="1293"/>
      <c r="S116" s="1293" t="s">
        <v>8340</v>
      </c>
      <c r="T116" s="1293">
        <v>10.92</v>
      </c>
      <c r="V116" s="1293"/>
      <c r="W116" s="1293"/>
      <c r="Z116" s="1293"/>
    </row>
    <row r="117" spans="1:26" ht="15.75">
      <c r="A117" s="1397" t="s">
        <v>8334</v>
      </c>
      <c r="B117" s="1391"/>
      <c r="C117" s="1391"/>
      <c r="D117" s="1391"/>
      <c r="E117" s="1391">
        <f>SUM(E113:E116)</f>
        <v>66</v>
      </c>
      <c r="F117" s="1391">
        <f t="shared" ref="F117:O117" si="72">SUM(F113:F116)</f>
        <v>234</v>
      </c>
      <c r="G117" s="1391">
        <f t="shared" si="72"/>
        <v>423</v>
      </c>
      <c r="H117" s="1391">
        <f t="shared" si="72"/>
        <v>811</v>
      </c>
      <c r="I117" s="1391">
        <f t="shared" si="72"/>
        <v>1127.0439560439561</v>
      </c>
      <c r="J117" s="1391">
        <f t="shared" si="72"/>
        <v>825</v>
      </c>
      <c r="K117" s="1391">
        <f t="shared" si="72"/>
        <v>733</v>
      </c>
      <c r="L117" s="1391">
        <f t="shared" si="72"/>
        <v>703</v>
      </c>
      <c r="M117" s="1391">
        <f t="shared" si="72"/>
        <v>876</v>
      </c>
      <c r="N117" s="1391">
        <f t="shared" si="72"/>
        <v>881</v>
      </c>
      <c r="O117" s="1398">
        <f t="shared" si="72"/>
        <v>52</v>
      </c>
      <c r="P117" s="1396">
        <f>SUM(E113:O116)</f>
        <v>6731.0439560439563</v>
      </c>
      <c r="Q117" s="1371"/>
      <c r="R117" s="1293"/>
      <c r="S117" s="1293"/>
      <c r="T117" s="1293"/>
      <c r="U117" s="1293"/>
      <c r="V117" s="1293"/>
      <c r="W117" s="1293"/>
      <c r="X117" s="1293"/>
      <c r="Y117" s="1293"/>
      <c r="Z117" s="1293"/>
    </row>
    <row r="118" spans="1:26" ht="15.75">
      <c r="A118" s="1293"/>
      <c r="B118" s="1370"/>
      <c r="C118" s="1370"/>
      <c r="D118" s="1370"/>
      <c r="E118" s="1370"/>
      <c r="F118" s="1370"/>
      <c r="G118" s="1370"/>
      <c r="H118" s="1370"/>
      <c r="I118" s="1370"/>
      <c r="J118" s="1370"/>
      <c r="K118" s="1370"/>
      <c r="L118" s="1370"/>
      <c r="M118" s="1370"/>
      <c r="N118" s="1370"/>
      <c r="O118" s="1370"/>
      <c r="P118" s="1293"/>
      <c r="Q118" s="1293"/>
      <c r="R118" s="1293"/>
      <c r="S118" s="1293"/>
      <c r="T118" s="1293"/>
      <c r="U118" s="1293"/>
      <c r="V118" s="1293"/>
      <c r="W118" s="1293"/>
      <c r="X118" s="1293"/>
      <c r="Y118" s="1293"/>
      <c r="Z118" s="1293"/>
    </row>
    <row r="119" spans="1:26" ht="15.75">
      <c r="A119" s="1293"/>
      <c r="B119" s="1370"/>
      <c r="C119" s="1370"/>
      <c r="D119" s="1370"/>
      <c r="E119" s="1370"/>
      <c r="F119" s="1370"/>
      <c r="G119" s="1370"/>
      <c r="H119" s="1370"/>
      <c r="I119" s="1370"/>
      <c r="J119" s="1370"/>
      <c r="K119" s="1370"/>
      <c r="L119" s="1370"/>
      <c r="M119" s="1370"/>
      <c r="N119" s="1370"/>
      <c r="O119" s="1370"/>
      <c r="P119" s="1293"/>
      <c r="Q119" s="1293"/>
      <c r="R119" s="1293"/>
      <c r="S119" s="1293"/>
      <c r="T119" s="1293"/>
      <c r="U119" s="1293"/>
      <c r="V119" s="1293"/>
      <c r="W119" s="1293"/>
      <c r="X119" s="1293"/>
      <c r="Y119" s="1293"/>
      <c r="Z119" s="1293"/>
    </row>
    <row r="120" spans="1:26" ht="15.75">
      <c r="A120" s="1293"/>
      <c r="B120" s="1370"/>
      <c r="C120" s="1370"/>
      <c r="D120" s="1370"/>
      <c r="E120" s="1370"/>
      <c r="F120" s="1370"/>
      <c r="G120" s="1370"/>
      <c r="H120" s="1370"/>
      <c r="I120" s="1370"/>
      <c r="J120" s="1370"/>
      <c r="K120" s="1370"/>
      <c r="L120" s="1370"/>
      <c r="M120" s="1370"/>
      <c r="N120" s="1370"/>
      <c r="O120" s="1370"/>
      <c r="P120" s="1293"/>
      <c r="Q120" s="1293"/>
      <c r="R120" s="1293"/>
      <c r="S120" s="1293"/>
      <c r="T120" s="1293"/>
      <c r="U120" s="1293"/>
      <c r="V120" s="1293"/>
      <c r="W120" s="1293"/>
      <c r="X120" s="1293"/>
      <c r="Y120" s="1293"/>
      <c r="Z120" s="1293"/>
    </row>
    <row r="121" spans="1:26" ht="15.75">
      <c r="A121" s="1363" t="s">
        <v>7744</v>
      </c>
      <c r="B121" s="1369">
        <f t="shared" ref="B121:L121" si="73">B1</f>
        <v>2020</v>
      </c>
      <c r="C121" s="1369">
        <f t="shared" si="73"/>
        <v>2021</v>
      </c>
      <c r="D121" s="1369">
        <f t="shared" si="73"/>
        <v>2022</v>
      </c>
      <c r="E121" s="1369">
        <f t="shared" si="73"/>
        <v>2023</v>
      </c>
      <c r="F121" s="1369">
        <f t="shared" si="73"/>
        <v>2024</v>
      </c>
      <c r="G121" s="1369">
        <f t="shared" si="73"/>
        <v>2025</v>
      </c>
      <c r="H121" s="1369">
        <f t="shared" si="73"/>
        <v>2026</v>
      </c>
      <c r="I121" s="1369">
        <f t="shared" si="73"/>
        <v>2027</v>
      </c>
      <c r="J121" s="1369">
        <f t="shared" si="73"/>
        <v>2028</v>
      </c>
      <c r="K121" s="1369">
        <f t="shared" si="73"/>
        <v>2029</v>
      </c>
      <c r="L121" s="1369">
        <f t="shared" si="73"/>
        <v>2030</v>
      </c>
      <c r="M121" s="1370"/>
      <c r="N121" s="1370"/>
      <c r="O121" s="1370"/>
      <c r="P121" s="1293"/>
      <c r="Q121" s="1293"/>
      <c r="R121" s="1293"/>
      <c r="S121" s="1293"/>
      <c r="T121" s="1293"/>
      <c r="U121" s="1293"/>
      <c r="V121" s="1293"/>
      <c r="W121" s="1293"/>
      <c r="X121" s="1293"/>
      <c r="Y121" s="1293"/>
      <c r="Z121" s="1293"/>
    </row>
    <row r="122" spans="1:26" ht="15.75">
      <c r="A122" s="1362" t="s">
        <v>8313</v>
      </c>
      <c r="B122" s="1371">
        <f>B87</f>
        <v>1122</v>
      </c>
      <c r="C122" s="1371">
        <f t="shared" ref="C122:L122" si="74">C87</f>
        <v>969</v>
      </c>
      <c r="D122" s="1371">
        <f t="shared" si="74"/>
        <v>1039</v>
      </c>
      <c r="E122" s="1371">
        <f t="shared" si="74"/>
        <v>780</v>
      </c>
      <c r="F122" s="1371">
        <f t="shared" si="74"/>
        <v>699</v>
      </c>
      <c r="G122" s="1371">
        <f t="shared" ca="1" si="74"/>
        <v>1440.0067634385387</v>
      </c>
      <c r="H122" s="1371">
        <f t="shared" ca="1" si="74"/>
        <v>1266.0946115593206</v>
      </c>
      <c r="I122" s="1371">
        <f t="shared" ca="1" si="74"/>
        <v>1116.6982997600953</v>
      </c>
      <c r="J122" s="1371">
        <f t="shared" ca="1" si="74"/>
        <v>986.46886422296757</v>
      </c>
      <c r="K122" s="1371">
        <f t="shared" ca="1" si="74"/>
        <v>908.20023053030673</v>
      </c>
      <c r="L122" s="1371">
        <f t="shared" ca="1" si="74"/>
        <v>857.23761737566474</v>
      </c>
      <c r="M122" s="1370"/>
      <c r="N122" s="1370"/>
      <c r="O122" s="1370"/>
      <c r="P122" s="1293"/>
      <c r="Q122" s="1293"/>
      <c r="R122" s="1293"/>
      <c r="S122" s="1293"/>
      <c r="T122" s="1293"/>
      <c r="U122" s="1293"/>
      <c r="V122" s="1293"/>
      <c r="W122" s="1293"/>
      <c r="X122" s="1293"/>
      <c r="Y122" s="1293"/>
      <c r="Z122" s="1293"/>
    </row>
    <row r="123" spans="1:26" ht="15.75">
      <c r="A123" s="1362" t="s">
        <v>8341</v>
      </c>
      <c r="B123" s="1370"/>
      <c r="C123" s="1370"/>
      <c r="D123" s="1394">
        <v>600</v>
      </c>
      <c r="E123" s="1403">
        <f>D123</f>
        <v>600</v>
      </c>
      <c r="F123" s="1403">
        <f t="shared" ref="F123:L123" si="75">E123</f>
        <v>600</v>
      </c>
      <c r="G123" s="1403">
        <f t="shared" si="75"/>
        <v>600</v>
      </c>
      <c r="H123" s="1403">
        <f t="shared" si="75"/>
        <v>600</v>
      </c>
      <c r="I123" s="1403">
        <f t="shared" si="75"/>
        <v>600</v>
      </c>
      <c r="J123" s="1403">
        <f t="shared" si="75"/>
        <v>600</v>
      </c>
      <c r="K123" s="1403">
        <f t="shared" si="75"/>
        <v>600</v>
      </c>
      <c r="L123" s="1403">
        <f t="shared" si="75"/>
        <v>600</v>
      </c>
      <c r="M123" s="1370"/>
      <c r="N123" s="1370"/>
      <c r="O123" s="1370"/>
      <c r="P123" s="1293"/>
      <c r="Q123" s="1293"/>
      <c r="R123" s="1293"/>
      <c r="S123" s="1293"/>
      <c r="T123" s="1293"/>
      <c r="U123" s="1293"/>
      <c r="V123" s="1293"/>
      <c r="W123" s="1293"/>
      <c r="X123" s="1293"/>
      <c r="Y123" s="1293"/>
      <c r="Z123" s="1293"/>
    </row>
    <row r="124" spans="1:26" ht="15.75">
      <c r="A124" s="1364" t="s">
        <v>8315</v>
      </c>
      <c r="B124" s="1372">
        <f>B122+B123</f>
        <v>1122</v>
      </c>
      <c r="C124" s="1372">
        <f t="shared" ref="C124:L124" si="76">C122+C123</f>
        <v>969</v>
      </c>
      <c r="D124" s="1372">
        <f t="shared" si="76"/>
        <v>1639</v>
      </c>
      <c r="E124" s="1372">
        <f t="shared" si="76"/>
        <v>1380</v>
      </c>
      <c r="F124" s="1372">
        <f t="shared" si="76"/>
        <v>1299</v>
      </c>
      <c r="G124" s="1372">
        <f t="shared" ca="1" si="76"/>
        <v>2040.0067634385387</v>
      </c>
      <c r="H124" s="1372">
        <f t="shared" ca="1" si="76"/>
        <v>1866.0946115593206</v>
      </c>
      <c r="I124" s="1372">
        <f t="shared" ca="1" si="76"/>
        <v>1716.6982997600953</v>
      </c>
      <c r="J124" s="1372">
        <f t="shared" ca="1" si="76"/>
        <v>1586.4688642229676</v>
      </c>
      <c r="K124" s="1372">
        <f t="shared" ca="1" si="76"/>
        <v>1508.2002305303067</v>
      </c>
      <c r="L124" s="1372">
        <f t="shared" ca="1" si="76"/>
        <v>1457.2376173756647</v>
      </c>
      <c r="M124" s="1370"/>
      <c r="N124" s="1370"/>
      <c r="O124" s="1370"/>
      <c r="P124" s="1293"/>
      <c r="Q124" s="1293"/>
      <c r="R124" s="1293"/>
      <c r="S124" s="1293"/>
      <c r="T124" s="1293"/>
      <c r="U124" s="1293"/>
      <c r="V124" s="1293"/>
      <c r="W124" s="1293"/>
      <c r="X124" s="1293"/>
      <c r="Y124" s="1293"/>
      <c r="Z124" s="1293"/>
    </row>
    <row r="125" spans="1:26" ht="15.75">
      <c r="A125" s="1293"/>
      <c r="B125" s="1370"/>
      <c r="C125" s="1370"/>
      <c r="D125" s="1370"/>
      <c r="E125" s="1370"/>
      <c r="F125" s="1370"/>
      <c r="G125" s="1370"/>
      <c r="H125" s="1370"/>
      <c r="I125" s="1370"/>
      <c r="J125" s="1370"/>
      <c r="K125" s="1370"/>
      <c r="L125" s="1370"/>
      <c r="M125" s="1370"/>
      <c r="N125" s="1370"/>
      <c r="O125" s="1370"/>
      <c r="P125" s="1293"/>
      <c r="Q125" s="1293"/>
      <c r="R125" s="1293"/>
      <c r="S125" s="1293"/>
      <c r="T125" s="1293"/>
      <c r="U125" s="1293"/>
      <c r="V125" s="1293"/>
      <c r="W125" s="1293"/>
      <c r="X125" s="1293"/>
      <c r="Y125" s="1293"/>
      <c r="Z125" s="1293"/>
    </row>
    <row r="126" spans="1:26" ht="15.75">
      <c r="A126" s="1293"/>
      <c r="B126" s="1370"/>
      <c r="C126" s="1370"/>
      <c r="D126" s="1370"/>
      <c r="E126" s="1370"/>
      <c r="F126" s="1370"/>
      <c r="G126" s="1370"/>
      <c r="H126" s="1370"/>
      <c r="I126" s="1370"/>
      <c r="J126" s="1370"/>
      <c r="K126" s="1370"/>
      <c r="L126" s="1370"/>
      <c r="M126" s="1370"/>
      <c r="N126" s="1370"/>
      <c r="O126" s="1370"/>
      <c r="P126" s="1293"/>
      <c r="Q126" s="1293"/>
      <c r="R126" s="1293"/>
      <c r="S126" s="1293"/>
      <c r="T126" s="1293"/>
      <c r="U126" s="1293"/>
      <c r="V126" s="1293"/>
      <c r="W126" s="1293"/>
      <c r="X126" s="1293"/>
      <c r="Y126" s="1293"/>
      <c r="Z126" s="1293"/>
    </row>
    <row r="127" spans="1:26" ht="15.75">
      <c r="A127" s="1293"/>
      <c r="B127" s="1370"/>
      <c r="C127" s="1370"/>
      <c r="D127" s="1370"/>
      <c r="E127" s="1370"/>
      <c r="F127" s="1370"/>
      <c r="G127" s="1370"/>
      <c r="H127" s="1370"/>
      <c r="I127" s="1370"/>
      <c r="J127" s="1370"/>
      <c r="K127" s="1370"/>
      <c r="L127" s="1370"/>
      <c r="M127" s="1370"/>
      <c r="N127" s="1370"/>
      <c r="O127" s="1370"/>
      <c r="P127" s="1293"/>
      <c r="Q127" s="1293"/>
      <c r="R127" s="1293"/>
      <c r="S127" s="1293"/>
      <c r="T127" s="1293"/>
      <c r="U127" s="1293"/>
      <c r="V127" s="1293"/>
      <c r="W127" s="1293"/>
      <c r="X127" s="1293"/>
      <c r="Y127" s="1293"/>
      <c r="Z127" s="1293"/>
    </row>
    <row r="128" spans="1:26" ht="15.75">
      <c r="A128" s="1362" t="s">
        <v>8342</v>
      </c>
      <c r="B128" s="1407">
        <f>B14/-B59</f>
        <v>3.6546985197781061</v>
      </c>
      <c r="C128" s="1407">
        <f t="shared" ref="C128:L128" si="77">C14/-C59</f>
        <v>5.0128755364806867</v>
      </c>
      <c r="D128" s="1407">
        <f t="shared" si="77"/>
        <v>4.8216749379652599</v>
      </c>
      <c r="E128" s="1407">
        <f t="shared" si="77"/>
        <v>3.6827641700404858</v>
      </c>
      <c r="F128" s="1407">
        <f t="shared" ca="1" si="77"/>
        <v>3.8993560000000005</v>
      </c>
      <c r="G128" s="1407">
        <f t="shared" ca="1" si="77"/>
        <v>3.9143850991349702</v>
      </c>
      <c r="H128" s="1407">
        <f t="shared" ca="1" si="77"/>
        <v>3.9515215431302479</v>
      </c>
      <c r="I128" s="1407">
        <f t="shared" ca="1" si="77"/>
        <v>3.9075685792273687</v>
      </c>
      <c r="J128" s="1407">
        <f t="shared" ca="1" si="77"/>
        <v>3.9415169492280926</v>
      </c>
      <c r="K128" s="1407">
        <f t="shared" ca="1" si="77"/>
        <v>3.9971530233601551</v>
      </c>
      <c r="L128" s="1407">
        <f t="shared" ca="1" si="77"/>
        <v>4.059528075554204</v>
      </c>
      <c r="M128" s="1370"/>
      <c r="N128" s="1370"/>
      <c r="O128" s="1370"/>
      <c r="P128" s="1293"/>
      <c r="Q128" s="1293"/>
      <c r="R128" s="1293"/>
      <c r="S128" s="1293"/>
      <c r="T128" s="1293"/>
      <c r="U128" s="1293"/>
      <c r="V128" s="1293"/>
      <c r="W128" s="1293"/>
      <c r="X128" s="1293"/>
      <c r="Y128" s="1293"/>
      <c r="Z128" s="1293"/>
    </row>
    <row r="129" spans="1:26" ht="15.75">
      <c r="A129" s="1293"/>
      <c r="B129" s="1370"/>
      <c r="C129" s="1370"/>
      <c r="D129" s="1370"/>
      <c r="E129" s="1370"/>
      <c r="F129" s="1370"/>
      <c r="G129" s="1370"/>
      <c r="H129" s="1370"/>
      <c r="I129" s="1370"/>
      <c r="J129" s="1370"/>
      <c r="K129" s="1370"/>
      <c r="L129" s="1370"/>
      <c r="M129" s="1370"/>
      <c r="N129" s="1370"/>
      <c r="O129" s="1370"/>
      <c r="P129" s="1293"/>
      <c r="Q129" s="1293"/>
      <c r="R129" s="1293"/>
      <c r="S129" s="1293"/>
      <c r="T129" s="1293"/>
      <c r="U129" s="1293"/>
      <c r="V129" s="1293"/>
      <c r="W129" s="1293"/>
      <c r="X129" s="1293"/>
      <c r="Y129" s="1293"/>
      <c r="Z129" s="1293"/>
    </row>
    <row r="130" spans="1:26" ht="15.75">
      <c r="A130" s="1293"/>
      <c r="B130" s="1370"/>
      <c r="C130" s="1370"/>
      <c r="D130" s="1370"/>
      <c r="E130" s="1370"/>
      <c r="F130" s="1370"/>
      <c r="G130" s="1370"/>
      <c r="H130" s="1370"/>
      <c r="I130" s="1370"/>
      <c r="J130" s="1370"/>
      <c r="K130" s="1370"/>
      <c r="L130" s="1370"/>
      <c r="M130" s="1370"/>
      <c r="N130" s="1370"/>
      <c r="O130" s="1370"/>
      <c r="P130" s="1293"/>
      <c r="Q130" s="1293"/>
      <c r="R130" s="1293"/>
      <c r="S130" s="1293"/>
      <c r="T130" s="1293"/>
      <c r="U130" s="1293"/>
      <c r="V130" s="1293"/>
      <c r="W130" s="1293"/>
      <c r="X130" s="1293"/>
      <c r="Y130" s="1293"/>
      <c r="Z130" s="1293"/>
    </row>
    <row r="131" spans="1:26" ht="15.75">
      <c r="A131" s="1293"/>
      <c r="B131" s="1370"/>
      <c r="C131" s="1370"/>
      <c r="D131" s="1370"/>
      <c r="E131" s="1370"/>
      <c r="F131" s="1370"/>
      <c r="G131" s="1370"/>
      <c r="H131" s="1370"/>
      <c r="I131" s="1370"/>
      <c r="J131" s="1370"/>
      <c r="K131" s="1370"/>
      <c r="L131" s="1370"/>
      <c r="M131" s="1370"/>
      <c r="N131" s="1370"/>
      <c r="O131" s="1370"/>
      <c r="P131" s="1293"/>
      <c r="Q131" s="1293"/>
      <c r="R131" s="1293"/>
      <c r="S131" s="1293"/>
      <c r="T131" s="1293"/>
      <c r="U131" s="1293"/>
      <c r="V131" s="1293"/>
      <c r="W131" s="1293"/>
      <c r="X131" s="1293"/>
      <c r="Y131" s="1293"/>
      <c r="Z131" s="1293"/>
    </row>
    <row r="132" spans="1:26" ht="15.75">
      <c r="A132" s="1293"/>
      <c r="B132" s="1370"/>
      <c r="C132" s="1370"/>
      <c r="D132" s="1370"/>
      <c r="E132" s="1370"/>
      <c r="F132" s="1370"/>
      <c r="G132" s="1370"/>
      <c r="H132" s="1370"/>
      <c r="I132" s="1370"/>
      <c r="J132" s="1370"/>
      <c r="K132" s="1370"/>
      <c r="L132" s="1370"/>
      <c r="M132" s="1370"/>
      <c r="N132" s="1370"/>
      <c r="O132" s="1370"/>
      <c r="P132" s="1293"/>
      <c r="Q132" s="1293"/>
      <c r="R132" s="1293"/>
      <c r="S132" s="1293"/>
      <c r="T132" s="1293"/>
      <c r="U132" s="1293"/>
      <c r="V132" s="1293"/>
      <c r="W132" s="1293"/>
      <c r="X132" s="1293"/>
      <c r="Y132" s="1293"/>
      <c r="Z132" s="1293"/>
    </row>
    <row r="133" spans="1:26" ht="15.75">
      <c r="A133" s="1293"/>
      <c r="B133" s="1370"/>
      <c r="C133" s="1370"/>
      <c r="D133" s="1370"/>
      <c r="E133" s="1370"/>
      <c r="F133" s="1370"/>
      <c r="G133" s="1370"/>
      <c r="H133" s="1370"/>
      <c r="I133" s="1370"/>
      <c r="J133" s="1370"/>
      <c r="K133" s="1370"/>
      <c r="L133" s="1370"/>
      <c r="M133" s="1370"/>
      <c r="N133" s="1370"/>
      <c r="O133" s="1370"/>
      <c r="P133" s="1293"/>
      <c r="Q133" s="1293"/>
      <c r="R133" s="1293"/>
      <c r="S133" s="1293"/>
      <c r="T133" s="1293"/>
      <c r="U133" s="1293"/>
      <c r="V133" s="1293"/>
      <c r="W133" s="1293"/>
      <c r="X133" s="1293"/>
      <c r="Y133" s="1293"/>
      <c r="Z133" s="1293"/>
    </row>
    <row r="134" spans="1:26" ht="15.75">
      <c r="A134" s="1293"/>
      <c r="B134" s="1370"/>
      <c r="C134" s="1370"/>
      <c r="D134" s="1370"/>
      <c r="E134" s="1370"/>
      <c r="F134" s="1370"/>
      <c r="G134" s="1370"/>
      <c r="H134" s="1370"/>
      <c r="I134" s="1370"/>
      <c r="J134" s="1370"/>
      <c r="K134" s="1370"/>
      <c r="L134" s="1370"/>
      <c r="M134" s="1370"/>
      <c r="N134" s="1370"/>
      <c r="O134" s="1370"/>
      <c r="P134" s="1370"/>
      <c r="Q134" s="1293"/>
      <c r="R134" s="1293"/>
      <c r="S134" s="1293"/>
      <c r="T134" s="1293"/>
      <c r="U134" s="1293"/>
      <c r="V134" s="1293"/>
      <c r="W134" s="1293"/>
      <c r="X134" s="1293"/>
      <c r="Y134" s="1293"/>
      <c r="Z134" s="1293"/>
    </row>
    <row r="135" spans="1:26" ht="15.75">
      <c r="A135" s="1408" t="s">
        <v>1250</v>
      </c>
      <c r="B135" s="1499"/>
      <c r="C135" s="1499"/>
      <c r="D135" s="1499"/>
      <c r="E135" s="1499"/>
      <c r="F135" s="1499"/>
      <c r="G135" s="1499"/>
      <c r="H135" s="1499"/>
      <c r="I135" s="1499"/>
      <c r="J135" s="1499"/>
      <c r="K135" s="1499"/>
      <c r="L135" s="1499"/>
      <c r="M135" s="1499"/>
      <c r="N135" s="1499"/>
      <c r="O135" s="1499"/>
      <c r="P135" s="1499"/>
      <c r="Q135" s="1499"/>
      <c r="R135" s="1499"/>
      <c r="S135" s="1499"/>
      <c r="U135" s="1293"/>
      <c r="V135" s="1293"/>
      <c r="W135" s="1293"/>
      <c r="X135" s="1293"/>
      <c r="Y135" s="1293"/>
      <c r="Z135" s="1293"/>
    </row>
    <row r="136" spans="1:26" ht="16.5" thickBot="1">
      <c r="A136" s="1409" t="s">
        <v>914</v>
      </c>
      <c r="B136" s="1500" t="s">
        <v>5797</v>
      </c>
      <c r="C136" s="1500" t="s">
        <v>5798</v>
      </c>
      <c r="D136" s="1500" t="s">
        <v>5799</v>
      </c>
      <c r="E136" s="1500" t="s">
        <v>5800</v>
      </c>
      <c r="F136" s="1500" t="s">
        <v>7045</v>
      </c>
      <c r="G136" s="1500" t="s">
        <v>7046</v>
      </c>
      <c r="H136" s="1500" t="s">
        <v>7047</v>
      </c>
      <c r="I136" s="1500" t="s">
        <v>7048</v>
      </c>
      <c r="J136" s="1500" t="s">
        <v>7410</v>
      </c>
      <c r="K136" s="1500" t="s">
        <v>7293</v>
      </c>
      <c r="L136" s="1500" t="s">
        <v>7411</v>
      </c>
      <c r="M136" s="1500" t="s">
        <v>7412</v>
      </c>
      <c r="N136" s="1500" t="s">
        <v>7993</v>
      </c>
      <c r="O136" s="1500" t="s">
        <v>8245</v>
      </c>
      <c r="P136" s="1500" t="s">
        <v>8510</v>
      </c>
      <c r="Q136" s="1500" t="s">
        <v>8529</v>
      </c>
      <c r="R136" s="1500" t="s">
        <v>8649</v>
      </c>
      <c r="S136" s="1500" t="s">
        <v>8887</v>
      </c>
      <c r="U136" s="1293"/>
      <c r="V136" s="1293"/>
      <c r="W136" s="1293"/>
      <c r="X136" s="1293"/>
      <c r="Y136" s="1293"/>
      <c r="Z136" s="1293"/>
    </row>
    <row r="137" spans="1:26" ht="15.75">
      <c r="A137" s="1362" t="s">
        <v>758</v>
      </c>
      <c r="B137" s="1503">
        <v>998.38</v>
      </c>
      <c r="C137" s="1503">
        <v>883.41</v>
      </c>
      <c r="D137" s="1503">
        <v>931.98</v>
      </c>
      <c r="E137" s="1503">
        <v>991.24</v>
      </c>
      <c r="F137" s="1503">
        <v>999.41099999999994</v>
      </c>
      <c r="G137" s="1503">
        <v>1000.67</v>
      </c>
      <c r="H137" s="1503">
        <v>1006.068</v>
      </c>
      <c r="I137" s="1503">
        <v>1254.4829999999999</v>
      </c>
      <c r="J137" s="1501">
        <f>'New (new) quarts'!AU34</f>
        <v>1408</v>
      </c>
      <c r="K137" s="1501">
        <f>'New (new) quarts'!AV34</f>
        <v>1447.26</v>
      </c>
      <c r="L137" s="1501">
        <f>'New (new) quarts'!AW34</f>
        <v>1388</v>
      </c>
      <c r="M137" s="1501">
        <f>'New (new) quarts'!AX34</f>
        <v>1381.27</v>
      </c>
      <c r="N137" s="1501">
        <f>'New (new) quarts'!AZ34</f>
        <v>1369</v>
      </c>
      <c r="O137" s="1501">
        <f>'New (new) quarts'!BA34</f>
        <v>1393</v>
      </c>
      <c r="P137" s="1501">
        <f>'New (new) quarts'!BB34</f>
        <v>1424</v>
      </c>
      <c r="Q137" s="1501">
        <f>'New (new) quarts'!BC34</f>
        <v>1475</v>
      </c>
      <c r="R137" s="1501">
        <f>'New (new) quarts'!BE34</f>
        <v>1487</v>
      </c>
      <c r="S137" s="1501">
        <f>'New (new) quarts'!BF34</f>
        <v>1458</v>
      </c>
      <c r="U137" s="1293"/>
      <c r="V137" s="1293"/>
      <c r="W137" s="1293"/>
      <c r="X137" s="1293"/>
      <c r="Y137" s="1293"/>
      <c r="Z137" s="1293"/>
    </row>
    <row r="138" spans="1:26" ht="15.75">
      <c r="A138" s="1362" t="s">
        <v>360</v>
      </c>
      <c r="B138" s="1501">
        <f>B148+B149</f>
        <v>281.55</v>
      </c>
      <c r="C138" s="1501">
        <f t="shared" ref="C138:O138" si="78">C148+C149</f>
        <v>254.15</v>
      </c>
      <c r="D138" s="1501">
        <f t="shared" si="78"/>
        <v>268.36</v>
      </c>
      <c r="E138" s="1501">
        <f t="shared" si="78"/>
        <v>290.43</v>
      </c>
      <c r="F138" s="1501">
        <f t="shared" si="78"/>
        <v>296.44800000000004</v>
      </c>
      <c r="G138" s="1501">
        <f t="shared" si="78"/>
        <v>276.73899999999998</v>
      </c>
      <c r="H138" s="1501">
        <f t="shared" si="78"/>
        <v>283.35399999999998</v>
      </c>
      <c r="I138" s="1501">
        <f t="shared" si="78"/>
        <v>383.49599999999998</v>
      </c>
      <c r="J138" s="1501">
        <f t="shared" si="78"/>
        <v>489.90809999999999</v>
      </c>
      <c r="K138" s="1501">
        <f t="shared" si="78"/>
        <v>503.10850000000005</v>
      </c>
      <c r="L138" s="1501">
        <f t="shared" si="78"/>
        <v>466.1377</v>
      </c>
      <c r="M138" s="1501">
        <f t="shared" si="78"/>
        <v>476.98069999999996</v>
      </c>
      <c r="N138" s="1501">
        <f t="shared" si="78"/>
        <v>436.2749</v>
      </c>
      <c r="O138" s="1501">
        <f t="shared" si="78"/>
        <v>439.92719999999997</v>
      </c>
      <c r="P138" s="1501">
        <f t="shared" ref="P138:Q138" si="79">P148+P149</f>
        <v>455.58169999999996</v>
      </c>
      <c r="Q138" s="1501">
        <f t="shared" si="79"/>
        <v>479.50170000000003</v>
      </c>
      <c r="R138" s="1501">
        <f>R148+R149</f>
        <v>550.80830000000003</v>
      </c>
      <c r="S138" s="1501">
        <f>S148+S149</f>
        <v>550.90470000000005</v>
      </c>
      <c r="T138" s="1501" t="s">
        <v>7865</v>
      </c>
      <c r="U138" s="1293"/>
      <c r="V138" s="1293"/>
      <c r="W138" s="1293"/>
      <c r="X138" s="1293"/>
      <c r="Y138" s="1293"/>
      <c r="Z138" s="1293"/>
    </row>
    <row r="139" spans="1:26" ht="15.75">
      <c r="A139" s="1362" t="s">
        <v>1545</v>
      </c>
      <c r="B139" s="1327">
        <f>-B153-B154</f>
        <v>270.08000000000004</v>
      </c>
      <c r="C139" s="1327">
        <f t="shared" ref="C139:O139" si="80">-C153-C154</f>
        <v>196.64999999999998</v>
      </c>
      <c r="D139" s="1327">
        <f t="shared" si="80"/>
        <v>168.78</v>
      </c>
      <c r="E139" s="1327">
        <f t="shared" si="80"/>
        <v>179.49</v>
      </c>
      <c r="F139" s="1327">
        <f t="shared" si="80"/>
        <v>252.6</v>
      </c>
      <c r="G139" s="1327">
        <f t="shared" si="80"/>
        <v>176.14099999999999</v>
      </c>
      <c r="H139" s="1327">
        <f t="shared" si="80"/>
        <v>176.447</v>
      </c>
      <c r="I139" s="1327">
        <f t="shared" si="80"/>
        <v>259.48500000000001</v>
      </c>
      <c r="J139" s="1327">
        <f t="shared" si="80"/>
        <v>306.62099999999998</v>
      </c>
      <c r="K139" s="1327">
        <f t="shared" si="80"/>
        <v>267.029</v>
      </c>
      <c r="L139" s="1327">
        <f t="shared" si="80"/>
        <v>278.70800000000003</v>
      </c>
      <c r="M139" s="1327">
        <f t="shared" si="80"/>
        <v>197.309</v>
      </c>
      <c r="N139" s="1327">
        <f t="shared" si="80"/>
        <v>341.59</v>
      </c>
      <c r="O139" s="1327">
        <f t="shared" si="80"/>
        <v>272.03499999999997</v>
      </c>
      <c r="P139" s="1327">
        <f t="shared" ref="P139:Q139" si="81">-P153-P154</f>
        <v>215.69099999999997</v>
      </c>
      <c r="Q139" s="1327">
        <f t="shared" si="81"/>
        <v>337.637</v>
      </c>
      <c r="R139" s="1327">
        <f>-R153</f>
        <v>133</v>
      </c>
      <c r="S139" s="1327">
        <f>-S153</f>
        <v>154</v>
      </c>
      <c r="U139" s="1293"/>
      <c r="V139" s="1293"/>
      <c r="W139" s="1293"/>
      <c r="X139" s="1293"/>
      <c r="Y139" s="1293"/>
      <c r="Z139" s="1293"/>
    </row>
    <row r="140" spans="1:26" ht="15.75">
      <c r="A140" s="1362" t="s">
        <v>1552</v>
      </c>
      <c r="B140" s="1501">
        <f>B138-B139</f>
        <v>11.46999999999997</v>
      </c>
      <c r="C140" s="1501">
        <f t="shared" ref="C140:E140" si="82">C138-C139</f>
        <v>57.500000000000028</v>
      </c>
      <c r="D140" s="1501">
        <f t="shared" si="82"/>
        <v>99.580000000000013</v>
      </c>
      <c r="E140" s="1501">
        <f t="shared" si="82"/>
        <v>110.94</v>
      </c>
      <c r="F140" s="1501">
        <f>F138-F139</f>
        <v>43.848000000000042</v>
      </c>
      <c r="G140" s="1501">
        <f t="shared" ref="G140:I140" si="83">G138-G139</f>
        <v>100.59799999999998</v>
      </c>
      <c r="H140" s="1501">
        <f t="shared" si="83"/>
        <v>106.90699999999998</v>
      </c>
      <c r="I140" s="1501">
        <f t="shared" si="83"/>
        <v>124.01099999999997</v>
      </c>
      <c r="J140" s="1501">
        <f>J138-J139</f>
        <v>183.28710000000001</v>
      </c>
      <c r="K140" s="1501">
        <f t="shared" ref="K140:M140" si="84">K138-K139</f>
        <v>236.07950000000005</v>
      </c>
      <c r="L140" s="1501">
        <f t="shared" si="84"/>
        <v>187.42969999999997</v>
      </c>
      <c r="M140" s="1501">
        <f t="shared" si="84"/>
        <v>279.67169999999999</v>
      </c>
      <c r="N140" s="1501">
        <f>N138-N139</f>
        <v>94.684900000000027</v>
      </c>
      <c r="O140" s="1501">
        <f t="shared" ref="O140:P140" si="85">O138-O139</f>
        <v>167.8922</v>
      </c>
      <c r="P140" s="1501">
        <f t="shared" si="85"/>
        <v>239.89069999999998</v>
      </c>
      <c r="Q140" s="1501">
        <f t="shared" ref="Q140" si="86">Q138-Q139</f>
        <v>141.86470000000003</v>
      </c>
      <c r="R140" s="1501">
        <f t="shared" ref="R140:S140" si="87">R138-R139</f>
        <v>417.80830000000003</v>
      </c>
      <c r="S140" s="1501">
        <f t="shared" si="87"/>
        <v>396.90470000000005</v>
      </c>
      <c r="U140" s="1293"/>
      <c r="V140" s="1293"/>
      <c r="W140" s="1293"/>
      <c r="X140" s="1293"/>
      <c r="Y140" s="1293"/>
      <c r="Z140" s="1293"/>
    </row>
    <row r="141" spans="1:26" ht="15.75">
      <c r="A141" s="1362" t="s">
        <v>3805</v>
      </c>
      <c r="B141" s="1503">
        <v>-103.64</v>
      </c>
      <c r="C141" s="1503">
        <v>-91.88</v>
      </c>
      <c r="D141" s="1503">
        <v>-109.13</v>
      </c>
      <c r="E141" s="1503">
        <v>-94.72</v>
      </c>
      <c r="F141" s="1503">
        <v>-91.522000000000006</v>
      </c>
      <c r="G141" s="1503">
        <v>-90.108999999999995</v>
      </c>
      <c r="H141" s="1503">
        <v>-84.923000000000002</v>
      </c>
      <c r="I141" s="1503">
        <v>-84.180999999999997</v>
      </c>
      <c r="J141" s="1503">
        <v>-102.491</v>
      </c>
      <c r="K141" s="1503">
        <v>-90.040999999999997</v>
      </c>
      <c r="L141" s="1503">
        <v>-119.589</v>
      </c>
      <c r="M141" s="1503">
        <v>-90.417000000000002</v>
      </c>
      <c r="N141" s="1503">
        <v>-128.715</v>
      </c>
      <c r="O141" s="1503">
        <v>-100.871</v>
      </c>
      <c r="P141" s="1503">
        <v>-136.67699999999999</v>
      </c>
      <c r="Q141" s="1503">
        <v>-107.36199999999999</v>
      </c>
      <c r="R141" s="1503">
        <f>'New (new) quarts'!BE483</f>
        <v>-132</v>
      </c>
      <c r="S141" s="1503">
        <f>'New (new) quarts'!BF483</f>
        <v>-105</v>
      </c>
      <c r="U141" s="1293"/>
      <c r="V141" s="1293"/>
      <c r="W141" s="1293"/>
      <c r="X141" s="1293"/>
      <c r="Y141" s="1293"/>
      <c r="Z141" s="1293"/>
    </row>
    <row r="142" spans="1:26" ht="15.75">
      <c r="A142" s="1362" t="s">
        <v>3806</v>
      </c>
      <c r="B142" s="1503">
        <v>-10.88</v>
      </c>
      <c r="C142" s="1503">
        <v>-32.25</v>
      </c>
      <c r="D142" s="1503">
        <v>-64.959999999999994</v>
      </c>
      <c r="E142" s="1503">
        <v>-33.99</v>
      </c>
      <c r="F142" s="1503">
        <v>-8.94</v>
      </c>
      <c r="G142" s="1503">
        <v>-40.777000000000001</v>
      </c>
      <c r="H142" s="1503">
        <v>-29.707000000000001</v>
      </c>
      <c r="I142" s="1503">
        <v>-47.774000000000001</v>
      </c>
      <c r="J142" s="1503">
        <v>-62.185000000000002</v>
      </c>
      <c r="K142" s="1503">
        <v>-93.739000000000004</v>
      </c>
      <c r="L142" s="1503">
        <v>-66.486000000000004</v>
      </c>
      <c r="M142" s="1503">
        <v>-94.08</v>
      </c>
      <c r="N142" s="1503">
        <v>-37.159999999999997</v>
      </c>
      <c r="O142" s="1503">
        <v>-82.783000000000001</v>
      </c>
      <c r="P142" s="1503">
        <v>-57.21</v>
      </c>
      <c r="Q142" s="1503">
        <v>-55.63</v>
      </c>
      <c r="R142" s="1503">
        <f>'New (new) quarts'!BE484</f>
        <v>-38</v>
      </c>
      <c r="S142" s="1503">
        <f>'New (new) quarts'!BF484</f>
        <v>-82</v>
      </c>
      <c r="U142" s="1293"/>
      <c r="V142" s="1293"/>
      <c r="W142" s="1293"/>
      <c r="X142" s="1293"/>
      <c r="Y142" s="1293"/>
      <c r="Z142" s="1293"/>
    </row>
    <row r="143" spans="1:26" ht="15.75">
      <c r="A143" s="1362" t="s">
        <v>8416</v>
      </c>
      <c r="B143" s="1503">
        <v>-130.28</v>
      </c>
      <c r="C143" s="1503">
        <v>24.14</v>
      </c>
      <c r="D143" s="1503">
        <v>33.159999999999997</v>
      </c>
      <c r="E143" s="1503">
        <v>63.49</v>
      </c>
      <c r="F143" s="1503">
        <v>-168.83</v>
      </c>
      <c r="G143" s="1503">
        <v>-22.960999999999999</v>
      </c>
      <c r="H143" s="1503">
        <v>7.0149999999999997</v>
      </c>
      <c r="I143" s="1503">
        <v>107.95399999999999</v>
      </c>
      <c r="J143" s="1503">
        <v>-131.48599999999999</v>
      </c>
      <c r="K143" s="1503">
        <v>-68.915999999999997</v>
      </c>
      <c r="L143" s="1503">
        <v>-23.753</v>
      </c>
      <c r="M143" s="1503">
        <v>73.611000000000004</v>
      </c>
      <c r="N143" s="1503">
        <v>-124.035</v>
      </c>
      <c r="O143" s="1503">
        <v>-37.555999999999997</v>
      </c>
      <c r="P143" s="1503">
        <v>17.757000000000001</v>
      </c>
      <c r="Q143" s="1503">
        <v>21.151</v>
      </c>
      <c r="R143" s="1503">
        <f>'New (new) quarts'!BE501</f>
        <v>-202</v>
      </c>
      <c r="S143" s="1503">
        <f>'New (new) quarts'!BF501</f>
        <v>50</v>
      </c>
      <c r="U143" s="1293"/>
      <c r="V143" s="1293"/>
      <c r="W143" s="1293"/>
      <c r="X143" s="1293"/>
      <c r="Y143" s="1293"/>
      <c r="Z143" s="1293"/>
    </row>
    <row r="144" spans="1:26" ht="15.75">
      <c r="A144" s="1362" t="s">
        <v>7049</v>
      </c>
      <c r="B144" s="1501">
        <f>SUM(B140:B143)</f>
        <v>-233.33000000000004</v>
      </c>
      <c r="C144" s="1501">
        <f t="shared" ref="C144:E144" si="88">SUM(C140:C143)</f>
        <v>-42.489999999999966</v>
      </c>
      <c r="D144" s="1501">
        <f t="shared" si="88"/>
        <v>-41.34999999999998</v>
      </c>
      <c r="E144" s="1501">
        <f t="shared" si="88"/>
        <v>45.72</v>
      </c>
      <c r="F144" s="1501">
        <f>SUM(F140:F143)</f>
        <v>-225.44399999999996</v>
      </c>
      <c r="G144" s="1501">
        <f t="shared" ref="G144:I144" si="89">SUM(G140:G143)</f>
        <v>-53.249000000000009</v>
      </c>
      <c r="H144" s="1501">
        <f t="shared" si="89"/>
        <v>-0.70800000000002061</v>
      </c>
      <c r="I144" s="1501">
        <f t="shared" si="89"/>
        <v>100.00999999999996</v>
      </c>
      <c r="J144" s="1501">
        <f>SUM(J140:J143)</f>
        <v>-112.87489999999998</v>
      </c>
      <c r="K144" s="1501">
        <f t="shared" ref="K144:M144" si="90">SUM(K140:K143)</f>
        <v>-16.616499999999945</v>
      </c>
      <c r="L144" s="1501">
        <f t="shared" si="90"/>
        <v>-22.398300000000035</v>
      </c>
      <c r="M144" s="1501">
        <f t="shared" si="90"/>
        <v>168.78569999999999</v>
      </c>
      <c r="N144" s="1501">
        <f>SUM(N140:N143)</f>
        <v>-195.22509999999997</v>
      </c>
      <c r="O144" s="1501">
        <f t="shared" ref="O144:P144" si="91">SUM(O140:O143)</f>
        <v>-53.317799999999991</v>
      </c>
      <c r="P144" s="1501">
        <f t="shared" si="91"/>
        <v>63.760699999999986</v>
      </c>
      <c r="Q144" s="1501">
        <f t="shared" ref="Q144" si="92">SUM(Q140:Q143)</f>
        <v>2.370000000003003E-2</v>
      </c>
      <c r="R144" s="1501">
        <f t="shared" ref="R144:S144" si="93">SUM(R140:R143)</f>
        <v>45.808300000000031</v>
      </c>
      <c r="S144" s="1501">
        <f t="shared" si="93"/>
        <v>259.90470000000005</v>
      </c>
      <c r="U144" s="1293"/>
      <c r="V144" s="1293"/>
      <c r="W144" s="1293"/>
      <c r="X144" s="1293"/>
      <c r="Y144" s="1293"/>
      <c r="Z144" s="1293"/>
    </row>
    <row r="145" spans="1:26" ht="15.75">
      <c r="A145" s="1362" t="s">
        <v>7890</v>
      </c>
      <c r="B145" s="1503">
        <v>5831.43</v>
      </c>
      <c r="C145" s="1503">
        <v>5784</v>
      </c>
      <c r="D145" s="1503">
        <v>5752.9650000000001</v>
      </c>
      <c r="E145" s="1503">
        <v>5836.3760000000002</v>
      </c>
      <c r="F145" s="1503">
        <f>'New (new) quarts'!AP539-'New (new) quarts'!AP535</f>
        <v>5337</v>
      </c>
      <c r="G145" s="1503">
        <f>'New (new) quarts'!AQ539-'New (new) quarts'!AQ535</f>
        <v>5095</v>
      </c>
      <c r="H145" s="1503">
        <f>'New (new) quarts'!AR539-'New (new) quarts'!AR535</f>
        <v>5019</v>
      </c>
      <c r="I145" s="1503">
        <f>'New (new) quarts'!AS539-'New (new) quarts'!AS535</f>
        <v>7054</v>
      </c>
      <c r="J145" s="1503">
        <f>'New (new) quarts'!AU539-'New (new) quarts'!AU535</f>
        <v>6724</v>
      </c>
      <c r="K145" s="1503">
        <f>'New (new) quarts'!AV539-'New (new) quarts'!AV535</f>
        <v>6084</v>
      </c>
      <c r="L145" s="1503">
        <f>'New (new) quarts'!AW539-'New (new) quarts'!AW535</f>
        <v>5981</v>
      </c>
      <c r="M145" s="1503">
        <f>'New (new) quarts'!AX539-'New (new) quarts'!AX535</f>
        <v>5764.7199999999993</v>
      </c>
      <c r="N145" s="1503">
        <f>'New (new) quarts'!AZ539-'New (new) quarts'!AZ535</f>
        <v>5983</v>
      </c>
      <c r="O145" s="1503">
        <f>'New (new) quarts'!BA539-'New (new) quarts'!BA535</f>
        <v>6083</v>
      </c>
      <c r="P145" s="1503">
        <f>'New (new) quarts'!BB539-'New (new) quarts'!BB535</f>
        <v>6015</v>
      </c>
      <c r="Q145" s="1503">
        <f>'New (new) quarts'!BC539-'New (new) quarts'!BC535</f>
        <v>5955.6440000000002</v>
      </c>
      <c r="R145" s="1503">
        <f>'New (new) quarts'!BE539-'New (new) quarts'!BE535</f>
        <v>5974</v>
      </c>
      <c r="S145" s="1503">
        <f>'New (new) quarts'!BF539-'New (new) quarts'!BF535</f>
        <v>5650</v>
      </c>
      <c r="U145" s="1293"/>
      <c r="V145" s="1293"/>
      <c r="W145" s="1293"/>
      <c r="X145" s="1293"/>
      <c r="Y145" s="1293"/>
      <c r="Z145" s="1293"/>
    </row>
    <row r="146" spans="1:26" ht="15.75">
      <c r="A146" s="1362" t="s">
        <v>169</v>
      </c>
      <c r="B146" s="1501"/>
      <c r="C146" s="1501">
        <f>C145-B145</f>
        <v>-47.430000000000291</v>
      </c>
      <c r="D146" s="1501">
        <f t="shared" ref="D146:S146" si="94">D145-C145</f>
        <v>-31.034999999999854</v>
      </c>
      <c r="E146" s="1501">
        <f t="shared" si="94"/>
        <v>83.411000000000058</v>
      </c>
      <c r="F146" s="1501">
        <f t="shared" si="94"/>
        <v>-499.3760000000002</v>
      </c>
      <c r="G146" s="1501">
        <f t="shared" si="94"/>
        <v>-242</v>
      </c>
      <c r="H146" s="1501">
        <f t="shared" si="94"/>
        <v>-76</v>
      </c>
      <c r="I146" s="1501">
        <f t="shared" si="94"/>
        <v>2035</v>
      </c>
      <c r="J146" s="1501">
        <f t="shared" si="94"/>
        <v>-330</v>
      </c>
      <c r="K146" s="1501">
        <f t="shared" si="94"/>
        <v>-640</v>
      </c>
      <c r="L146" s="1501">
        <f t="shared" si="94"/>
        <v>-103</v>
      </c>
      <c r="M146" s="1501">
        <f t="shared" si="94"/>
        <v>-216.28000000000065</v>
      </c>
      <c r="N146" s="1501">
        <f t="shared" si="94"/>
        <v>218.28000000000065</v>
      </c>
      <c r="O146" s="1501">
        <f t="shared" si="94"/>
        <v>100</v>
      </c>
      <c r="P146" s="1501">
        <f t="shared" si="94"/>
        <v>-68</v>
      </c>
      <c r="Q146" s="1501">
        <f t="shared" si="94"/>
        <v>-59.355999999999767</v>
      </c>
      <c r="R146" s="1501">
        <f t="shared" si="94"/>
        <v>18.355999999999767</v>
      </c>
      <c r="S146" s="1501">
        <f t="shared" si="94"/>
        <v>-324</v>
      </c>
      <c r="U146" s="1293"/>
      <c r="V146" s="1293"/>
      <c r="W146" s="1293"/>
      <c r="X146" s="1293"/>
      <c r="Y146" s="1293"/>
      <c r="Z146" s="1293"/>
    </row>
    <row r="147" spans="1:26" ht="15.75">
      <c r="A147" s="1362"/>
      <c r="B147" s="1362"/>
      <c r="C147" s="1362"/>
      <c r="D147" s="1362"/>
      <c r="E147" s="1362"/>
      <c r="F147" s="1362"/>
      <c r="G147" s="1362"/>
      <c r="H147" s="1362"/>
      <c r="I147" s="1362"/>
      <c r="J147" s="1362"/>
      <c r="K147" s="1362"/>
      <c r="L147" s="1362"/>
      <c r="M147" s="1362"/>
      <c r="N147" s="1362"/>
      <c r="O147" s="1362"/>
      <c r="P147" s="1362"/>
      <c r="Q147" s="1362"/>
      <c r="R147" s="1362"/>
      <c r="S147" s="1362"/>
      <c r="U147" s="1293"/>
      <c r="V147" s="1293"/>
      <c r="W147" s="1293"/>
      <c r="X147" s="1293"/>
      <c r="Y147" s="1293"/>
      <c r="Z147" s="1293"/>
    </row>
    <row r="148" spans="1:26" ht="15.75">
      <c r="A148" s="1362" t="s">
        <v>360</v>
      </c>
      <c r="B148" s="1503">
        <v>349.81</v>
      </c>
      <c r="C148" s="1503">
        <v>312.3</v>
      </c>
      <c r="D148" s="1503">
        <v>336.2</v>
      </c>
      <c r="E148" s="1503">
        <v>363.44</v>
      </c>
      <c r="F148" s="1503">
        <v>361.97</v>
      </c>
      <c r="G148" s="1503">
        <v>342.53699999999998</v>
      </c>
      <c r="H148" s="1503">
        <v>351.58499999999998</v>
      </c>
      <c r="I148" s="1503">
        <v>461.24799999999999</v>
      </c>
      <c r="J148" s="1501">
        <f>'New (new) quarts'!AU137</f>
        <v>563.90809999999999</v>
      </c>
      <c r="K148" s="1501">
        <f>'New (new) quarts'!AV137</f>
        <v>577.10850000000005</v>
      </c>
      <c r="L148" s="1501">
        <f>'New (new) quarts'!AW137</f>
        <v>539.1377</v>
      </c>
      <c r="M148" s="1501">
        <f>'New (new) quarts'!AX137</f>
        <v>547.98069999999996</v>
      </c>
      <c r="N148" s="1501">
        <f>'New (new) quarts'!AZ137</f>
        <v>507.2749</v>
      </c>
      <c r="O148" s="1501">
        <f>'New (new) quarts'!BA137</f>
        <v>514.92719999999997</v>
      </c>
      <c r="P148" s="1501">
        <f>'New (new) quarts'!BB137</f>
        <v>532.58169999999996</v>
      </c>
      <c r="Q148" s="1501">
        <f>'New (new) quarts'!BC137</f>
        <v>556.50170000000003</v>
      </c>
      <c r="R148" s="1501">
        <f>'New (new) quarts'!BE137</f>
        <v>631.80830000000003</v>
      </c>
      <c r="S148" s="1501">
        <f>'New (new) quarts'!BF137</f>
        <v>633.90470000000005</v>
      </c>
      <c r="U148" s="1293"/>
      <c r="V148" s="1293"/>
      <c r="W148" s="1293"/>
      <c r="X148" s="1293"/>
      <c r="Y148" s="1293"/>
      <c r="Z148" s="1293"/>
    </row>
    <row r="149" spans="1:26" ht="15.75">
      <c r="A149" s="1362" t="s">
        <v>8419</v>
      </c>
      <c r="B149" s="1502">
        <f>B150+B151</f>
        <v>-68.260000000000005</v>
      </c>
      <c r="C149" s="1502">
        <f t="shared" ref="C149:I149" si="95">C150+C151</f>
        <v>-58.150000000000006</v>
      </c>
      <c r="D149" s="1502">
        <f t="shared" si="95"/>
        <v>-67.84</v>
      </c>
      <c r="E149" s="1502">
        <f t="shared" si="95"/>
        <v>-73.009999999999991</v>
      </c>
      <c r="F149" s="1502">
        <f t="shared" si="95"/>
        <v>-65.521999999999991</v>
      </c>
      <c r="G149" s="1502">
        <f t="shared" si="95"/>
        <v>-65.798000000000002</v>
      </c>
      <c r="H149" s="1502">
        <f t="shared" si="95"/>
        <v>-68.231000000000009</v>
      </c>
      <c r="I149" s="1502">
        <f t="shared" si="95"/>
        <v>-77.75200000000001</v>
      </c>
      <c r="J149" s="1502">
        <f>'New (new) quarts'!AU442+'New (new) quarts'!AU458</f>
        <v>-74</v>
      </c>
      <c r="K149" s="1502">
        <f>'New (new) quarts'!AV442+'New (new) quarts'!AV458</f>
        <v>-74</v>
      </c>
      <c r="L149" s="1502">
        <f>'New (new) quarts'!AW442+'New (new) quarts'!AW458</f>
        <v>-73</v>
      </c>
      <c r="M149" s="1502">
        <f>'New (new) quarts'!AX442+'New (new) quarts'!AX458</f>
        <v>-71</v>
      </c>
      <c r="N149" s="1502">
        <f>'New (new) quarts'!AZ442+'New (new) quarts'!AZ458</f>
        <v>-71</v>
      </c>
      <c r="O149" s="1502">
        <f>'New (new) quarts'!BA442+'New (new) quarts'!BA458</f>
        <v>-75</v>
      </c>
      <c r="P149" s="1502">
        <f>'New (new) quarts'!BB442+'New (new) quarts'!BB458</f>
        <v>-77</v>
      </c>
      <c r="Q149" s="1502">
        <f>'New (new) quarts'!BC442+'New (new) quarts'!BC458</f>
        <v>-77</v>
      </c>
      <c r="R149" s="1502">
        <f>'New (new) quarts'!BE442+'New (new) quarts'!BE458</f>
        <v>-81</v>
      </c>
      <c r="S149" s="1502">
        <f>'New (new) quarts'!BF442+'New (new) quarts'!BF458</f>
        <v>-83</v>
      </c>
      <c r="U149" s="1293"/>
      <c r="V149" s="1293"/>
      <c r="W149" s="1293"/>
      <c r="X149" s="1293"/>
      <c r="Y149" s="1293"/>
      <c r="Z149" s="1293"/>
    </row>
    <row r="150" spans="1:26" ht="15.75">
      <c r="A150" s="1362" t="s">
        <v>8421</v>
      </c>
      <c r="B150" s="1503">
        <v>-37.42</v>
      </c>
      <c r="C150" s="1503">
        <v>-36.21</v>
      </c>
      <c r="D150" s="1503">
        <v>-37.39</v>
      </c>
      <c r="E150" s="1503">
        <v>-40.15</v>
      </c>
      <c r="F150" s="1503">
        <v>-36.15</v>
      </c>
      <c r="G150" s="1503">
        <v>-33.25</v>
      </c>
      <c r="H150" s="1503">
        <v>-39.904000000000003</v>
      </c>
      <c r="I150" s="1503">
        <v>-30.847000000000001</v>
      </c>
      <c r="J150" s="1501"/>
      <c r="K150" s="1501"/>
      <c r="L150" s="1501"/>
      <c r="M150" s="1501"/>
      <c r="N150" s="1501"/>
      <c r="O150" s="1501"/>
      <c r="P150" s="1501"/>
      <c r="Q150" s="1501"/>
      <c r="R150" s="1501"/>
      <c r="S150" s="1501"/>
      <c r="U150" s="1293"/>
      <c r="V150" s="1293"/>
      <c r="W150" s="1293"/>
      <c r="X150" s="1293"/>
      <c r="Y150" s="1293"/>
      <c r="Z150" s="1293"/>
    </row>
    <row r="151" spans="1:26" ht="15.75">
      <c r="A151" s="1362" t="s">
        <v>8422</v>
      </c>
      <c r="B151" s="1503">
        <v>-30.84</v>
      </c>
      <c r="C151" s="1503">
        <v>-21.94</v>
      </c>
      <c r="D151" s="1503">
        <v>-30.45</v>
      </c>
      <c r="E151" s="1503">
        <v>-32.86</v>
      </c>
      <c r="F151" s="1503">
        <v>-29.372</v>
      </c>
      <c r="G151" s="1503">
        <v>-32.548000000000002</v>
      </c>
      <c r="H151" s="1503">
        <v>-28.327000000000002</v>
      </c>
      <c r="I151" s="1503">
        <v>-46.905000000000001</v>
      </c>
      <c r="J151" s="1501"/>
      <c r="K151" s="1501"/>
      <c r="L151" s="1501"/>
      <c r="M151" s="1501"/>
      <c r="N151" s="1501"/>
      <c r="O151" s="1501"/>
      <c r="P151" s="1501"/>
      <c r="Q151" s="1501"/>
      <c r="R151" s="1501"/>
      <c r="S151" s="1501"/>
      <c r="U151" s="1293"/>
      <c r="V151" s="1293"/>
      <c r="W151" s="1293"/>
      <c r="X151" s="1293"/>
      <c r="Y151" s="1293"/>
      <c r="Z151" s="1293"/>
    </row>
    <row r="152" spans="1:26" ht="15.75">
      <c r="A152" s="1362"/>
      <c r="B152" s="1362"/>
      <c r="C152" s="1362"/>
      <c r="D152" s="1362"/>
      <c r="E152" s="1362"/>
      <c r="F152" s="1362"/>
      <c r="G152" s="1362"/>
      <c r="H152" s="1362"/>
      <c r="I152" s="1362"/>
      <c r="J152" s="1501"/>
      <c r="K152" s="1501"/>
      <c r="L152" s="1501"/>
      <c r="M152" s="1501"/>
      <c r="N152" s="1501"/>
      <c r="O152" s="1501"/>
      <c r="P152" s="1501"/>
      <c r="Q152" s="1501"/>
      <c r="R152" s="1501"/>
      <c r="S152" s="1501"/>
      <c r="U152" s="1293"/>
      <c r="V152" s="1293"/>
      <c r="W152" s="1293"/>
      <c r="X152" s="1293"/>
      <c r="Y152" s="1293"/>
      <c r="Z152" s="1293"/>
    </row>
    <row r="153" spans="1:26" ht="15.75">
      <c r="A153" s="1362" t="s">
        <v>8423</v>
      </c>
      <c r="B153" s="1503">
        <v>-231.55</v>
      </c>
      <c r="C153" s="1503">
        <v>-144.01</v>
      </c>
      <c r="D153" s="1503">
        <v>-165.17</v>
      </c>
      <c r="E153" s="1503">
        <v>-173.68</v>
      </c>
      <c r="F153" s="1503">
        <v>-232.602</v>
      </c>
      <c r="G153" s="1503">
        <v>-174.667</v>
      </c>
      <c r="H153" s="1503">
        <v>-172.53800000000001</v>
      </c>
      <c r="I153" s="1503">
        <v>-247.67400000000001</v>
      </c>
      <c r="J153" s="1503">
        <v>-276.375</v>
      </c>
      <c r="K153" s="1503">
        <v>-247.852</v>
      </c>
      <c r="L153" s="1503">
        <v>-252.989</v>
      </c>
      <c r="M153" s="1503">
        <v>-179.55799999999999</v>
      </c>
      <c r="N153" s="1503">
        <v>-288.99299999999999</v>
      </c>
      <c r="O153" s="1503">
        <v>-223.78299999999999</v>
      </c>
      <c r="P153" s="1503">
        <v>-203.54499999999999</v>
      </c>
      <c r="Q153" s="1503">
        <v>-214.61</v>
      </c>
      <c r="R153" s="1503">
        <f>'New (new) quarts'!BE485</f>
        <v>-133</v>
      </c>
      <c r="S153" s="1503">
        <f>'New (new) quarts'!BF485</f>
        <v>-154</v>
      </c>
      <c r="U153" s="1293"/>
      <c r="V153" s="1293"/>
      <c r="W153" s="1293"/>
      <c r="X153" s="1293"/>
      <c r="Y153" s="1293"/>
      <c r="Z153" s="1293"/>
    </row>
    <row r="154" spans="1:26" ht="15.75">
      <c r="A154" s="1362" t="s">
        <v>8424</v>
      </c>
      <c r="B154" s="1503">
        <v>-38.53</v>
      </c>
      <c r="C154" s="1503">
        <v>-52.64</v>
      </c>
      <c r="D154" s="1503">
        <v>-3.61</v>
      </c>
      <c r="E154" s="1503">
        <v>-5.81</v>
      </c>
      <c r="F154" s="1503">
        <v>-19.998000000000001</v>
      </c>
      <c r="G154" s="1503">
        <v>-1.474</v>
      </c>
      <c r="H154" s="1503">
        <v>-3.9089999999999998</v>
      </c>
      <c r="I154" s="1503">
        <v>-11.811</v>
      </c>
      <c r="J154" s="1503">
        <v>-30.245999999999999</v>
      </c>
      <c r="K154" s="1503">
        <v>-19.177</v>
      </c>
      <c r="L154" s="1503">
        <v>-25.719000000000001</v>
      </c>
      <c r="M154" s="1503">
        <v>-17.751000000000001</v>
      </c>
      <c r="N154" s="1503">
        <v>-52.597000000000001</v>
      </c>
      <c r="O154" s="1503">
        <v>-48.252000000000002</v>
      </c>
      <c r="P154" s="1503">
        <v>-12.146000000000001</v>
      </c>
      <c r="Q154" s="1503">
        <v>-123.027</v>
      </c>
      <c r="R154" s="1503">
        <f>'New (new) quarts'!BE486</f>
        <v>-78</v>
      </c>
      <c r="S154" s="1503">
        <f>'New (new) quarts'!BF486</f>
        <v>-22</v>
      </c>
      <c r="U154" s="1293"/>
      <c r="V154" s="1293"/>
      <c r="W154" s="1293"/>
      <c r="X154" s="1293"/>
      <c r="Y154" s="1293"/>
      <c r="Z154" s="1293"/>
    </row>
    <row r="155" spans="1:26" ht="15.75">
      <c r="A155" s="1362"/>
      <c r="B155" s="1362"/>
      <c r="C155" s="1362"/>
      <c r="D155" s="1362"/>
      <c r="E155" s="1362"/>
      <c r="F155" s="1362"/>
      <c r="G155" s="1362"/>
      <c r="H155" s="1362"/>
      <c r="I155" s="1362"/>
      <c r="J155" s="1501"/>
      <c r="K155" s="1501"/>
      <c r="L155" s="1501"/>
      <c r="M155" s="1501"/>
      <c r="N155" s="1501"/>
      <c r="O155" s="1501"/>
      <c r="P155" s="1501"/>
      <c r="Q155" s="1501"/>
      <c r="R155" s="1293"/>
      <c r="S155" s="1293"/>
      <c r="U155" s="1293"/>
      <c r="V155" s="1293"/>
      <c r="W155" s="1293"/>
      <c r="X155" s="1293"/>
      <c r="Y155" s="1293"/>
      <c r="Z155" s="1293"/>
    </row>
    <row r="156" spans="1:26" ht="15.75">
      <c r="A156" s="1362"/>
      <c r="B156" s="1362"/>
      <c r="C156" s="1362"/>
      <c r="D156" s="1362"/>
      <c r="E156" s="1362"/>
      <c r="F156" s="1362"/>
      <c r="G156" s="1362"/>
      <c r="H156" s="1362"/>
      <c r="I156" s="1362"/>
      <c r="J156" s="1362"/>
      <c r="K156" s="1362"/>
      <c r="L156" s="1362"/>
      <c r="M156" s="1362"/>
      <c r="N156" s="1362"/>
      <c r="O156" s="1362"/>
      <c r="P156" s="1362"/>
      <c r="Q156" s="1362"/>
      <c r="R156" s="1293"/>
      <c r="S156" s="1293"/>
      <c r="T156" s="1293"/>
      <c r="U156" s="1293"/>
      <c r="V156" s="1293"/>
      <c r="W156" s="1293"/>
      <c r="X156" s="1293"/>
      <c r="Y156" s="1293"/>
      <c r="Z156" s="1293"/>
    </row>
    <row r="157" spans="1:26" ht="16.5" thickBot="1">
      <c r="A157" s="1409" t="s">
        <v>8417</v>
      </c>
      <c r="B157" s="1500">
        <v>2023</v>
      </c>
      <c r="C157" s="1500">
        <v>2024</v>
      </c>
      <c r="D157" s="1500">
        <v>2025</v>
      </c>
      <c r="E157" s="1500">
        <v>2026</v>
      </c>
      <c r="F157" s="1500">
        <v>2027</v>
      </c>
      <c r="G157" s="1500">
        <v>2028</v>
      </c>
      <c r="H157" s="1500">
        <v>2029</v>
      </c>
      <c r="I157" s="1500">
        <v>2030</v>
      </c>
      <c r="J157" s="1500">
        <v>2031</v>
      </c>
      <c r="K157" s="1500">
        <v>2032</v>
      </c>
      <c r="L157" s="1500" t="s">
        <v>8420</v>
      </c>
      <c r="M157" s="1362"/>
      <c r="N157" s="1362"/>
      <c r="O157" s="1362"/>
      <c r="P157" s="1362"/>
      <c r="Q157" s="1362"/>
      <c r="R157" s="1293"/>
      <c r="S157" s="1293"/>
      <c r="T157" s="1293"/>
      <c r="U157" s="1293"/>
      <c r="V157" s="1293"/>
      <c r="W157" s="1293"/>
      <c r="X157" s="1293"/>
      <c r="Y157" s="1293"/>
      <c r="Z157" s="1293"/>
    </row>
    <row r="158" spans="1:26" ht="15.75">
      <c r="A158" s="1362" t="s">
        <v>8418</v>
      </c>
      <c r="B158" s="1503"/>
      <c r="C158" s="1503">
        <v>195</v>
      </c>
      <c r="D158" s="1503">
        <v>445</v>
      </c>
      <c r="E158" s="1503">
        <v>637</v>
      </c>
      <c r="F158" s="1503">
        <v>990</v>
      </c>
      <c r="G158" s="1503">
        <v>1002</v>
      </c>
      <c r="H158" s="1503">
        <v>736</v>
      </c>
      <c r="I158" s="1503">
        <v>685</v>
      </c>
      <c r="J158" s="1503">
        <v>849</v>
      </c>
      <c r="K158" s="1503">
        <v>1186</v>
      </c>
      <c r="L158" s="1503">
        <v>55</v>
      </c>
      <c r="M158" s="1362"/>
      <c r="N158" s="1362"/>
      <c r="O158" s="1362"/>
      <c r="P158" s="1362"/>
      <c r="Q158" s="1362"/>
      <c r="R158" s="1293"/>
      <c r="S158" s="1293"/>
      <c r="T158" s="1293"/>
      <c r="U158" s="1293"/>
      <c r="V158" s="1293"/>
      <c r="W158" s="1293"/>
      <c r="X158" s="1293"/>
      <c r="Y158" s="1293"/>
      <c r="Z158" s="1293"/>
    </row>
    <row r="159" spans="1:26" ht="15.75">
      <c r="A159" s="1362"/>
      <c r="B159" s="1362"/>
      <c r="C159" s="1362"/>
      <c r="D159" s="1362"/>
      <c r="E159" s="1362"/>
      <c r="F159" s="1362"/>
      <c r="G159" s="1362"/>
      <c r="H159" s="1362"/>
      <c r="I159" s="1362"/>
      <c r="J159" s="1362"/>
      <c r="K159" s="1362"/>
      <c r="L159" s="1362"/>
      <c r="M159" s="1362"/>
      <c r="N159" s="1362"/>
      <c r="O159" s="1362"/>
      <c r="P159" s="1362"/>
      <c r="Q159" s="1362"/>
      <c r="R159" s="1293"/>
      <c r="S159" s="1293"/>
      <c r="T159" s="1293"/>
      <c r="U159" s="1293"/>
      <c r="V159" s="1293"/>
      <c r="W159" s="1293"/>
      <c r="X159" s="1293"/>
      <c r="Y159" s="1293"/>
      <c r="Z159" s="1293"/>
    </row>
    <row r="160" spans="1:26" ht="15.75">
      <c r="A160" s="1362"/>
      <c r="B160" s="1362"/>
      <c r="C160" s="1362"/>
      <c r="D160" s="1362"/>
      <c r="E160" s="1362"/>
      <c r="F160" s="1362"/>
      <c r="G160" s="1362"/>
      <c r="H160" s="1362"/>
      <c r="I160" s="1362"/>
      <c r="J160" s="1362"/>
      <c r="K160" s="1362"/>
      <c r="L160" s="1362"/>
      <c r="M160" s="1362"/>
      <c r="N160" s="1362"/>
      <c r="O160" s="1362"/>
      <c r="P160" s="1362"/>
      <c r="Q160" s="1362"/>
      <c r="R160" s="1293"/>
      <c r="S160" s="1293"/>
      <c r="T160" s="1293"/>
      <c r="U160" s="1293"/>
      <c r="V160" s="1293"/>
      <c r="W160" s="1293"/>
      <c r="X160" s="1293"/>
      <c r="Y160" s="1293"/>
      <c r="Z160" s="1293"/>
    </row>
    <row r="161" spans="13:15" ht="15.75">
      <c r="M161" s="1362"/>
      <c r="N161" s="1362"/>
      <c r="O161" s="136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8">
    <pageSetUpPr fitToPage="1"/>
  </sheetPr>
  <dimension ref="A2:AM4782"/>
  <sheetViews>
    <sheetView topLeftCell="A2828" zoomScale="85" zoomScaleNormal="85" workbookViewId="0">
      <selection activeCell="C2842" sqref="C2842"/>
    </sheetView>
  </sheetViews>
  <sheetFormatPr defaultRowHeight="15"/>
  <cols>
    <col min="2" max="2" width="19" customWidth="1"/>
    <col min="3" max="16" width="9" customWidth="1"/>
  </cols>
  <sheetData>
    <row r="2" spans="2:3">
      <c r="B2" s="627" t="s">
        <v>2639</v>
      </c>
    </row>
    <row r="4" spans="2:3">
      <c r="B4" s="478" t="s">
        <v>3324</v>
      </c>
    </row>
    <row r="5" spans="2:3">
      <c r="B5" s="478" t="s">
        <v>3325</v>
      </c>
    </row>
    <row r="7" spans="2:3">
      <c r="B7" s="478" t="s">
        <v>3326</v>
      </c>
    </row>
    <row r="10" spans="2:3">
      <c r="B10" s="627" t="s">
        <v>3297</v>
      </c>
    </row>
    <row r="11" spans="2:3">
      <c r="B11" s="627"/>
    </row>
    <row r="12" spans="2:3">
      <c r="B12" s="478" t="s">
        <v>3305</v>
      </c>
    </row>
    <row r="13" spans="2:3">
      <c r="B13" s="478" t="s">
        <v>3306</v>
      </c>
    </row>
    <row r="14" spans="2:3">
      <c r="B14" s="478" t="s">
        <v>3298</v>
      </c>
    </row>
    <row r="15" spans="2:3">
      <c r="C15" s="478" t="s">
        <v>3299</v>
      </c>
    </row>
    <row r="16" spans="2:3">
      <c r="C16" s="478" t="s">
        <v>3300</v>
      </c>
    </row>
    <row r="17" spans="2:3">
      <c r="B17" s="478" t="s">
        <v>3308</v>
      </c>
    </row>
    <row r="18" spans="2:3">
      <c r="C18" s="478" t="s">
        <v>3301</v>
      </c>
    </row>
    <row r="19" spans="2:3">
      <c r="C19" s="478" t="s">
        <v>3302</v>
      </c>
    </row>
    <row r="20" spans="2:3">
      <c r="B20" s="478" t="s">
        <v>3303</v>
      </c>
      <c r="C20" s="478"/>
    </row>
    <row r="21" spans="2:3">
      <c r="B21" s="478"/>
      <c r="C21" s="478" t="s">
        <v>3304</v>
      </c>
    </row>
    <row r="22" spans="2:3">
      <c r="B22" s="478"/>
      <c r="C22" s="478" t="s">
        <v>3307</v>
      </c>
    </row>
    <row r="24" spans="2:3">
      <c r="B24" s="627" t="s">
        <v>3283</v>
      </c>
    </row>
    <row r="25" spans="2:3">
      <c r="B25" s="478" t="s">
        <v>3280</v>
      </c>
    </row>
    <row r="26" spans="2:3">
      <c r="B26" s="478" t="s">
        <v>3279</v>
      </c>
    </row>
    <row r="27" spans="2:3">
      <c r="B27" s="478" t="s">
        <v>3281</v>
      </c>
    </row>
    <row r="28" spans="2:3">
      <c r="B28" s="478"/>
      <c r="C28" s="478" t="s">
        <v>3282</v>
      </c>
    </row>
    <row r="29" spans="2:3">
      <c r="B29" s="478" t="s">
        <v>2380</v>
      </c>
    </row>
    <row r="30" spans="2:3">
      <c r="B30" s="478"/>
      <c r="C30" s="478" t="s">
        <v>3284</v>
      </c>
    </row>
    <row r="31" spans="2:3">
      <c r="B31" s="478" t="s">
        <v>1665</v>
      </c>
      <c r="C31" s="478"/>
    </row>
    <row r="32" spans="2:3">
      <c r="B32" s="478"/>
      <c r="C32" s="478" t="s">
        <v>3285</v>
      </c>
    </row>
    <row r="33" spans="1:18">
      <c r="B33" s="478"/>
      <c r="C33" s="478" t="s">
        <v>3286</v>
      </c>
    </row>
    <row r="34" spans="1:18">
      <c r="B34" s="478"/>
      <c r="C34" s="478" t="s">
        <v>3287</v>
      </c>
    </row>
    <row r="35" spans="1:18">
      <c r="B35" s="478"/>
      <c r="C35" s="478" t="s">
        <v>3288</v>
      </c>
    </row>
    <row r="36" spans="1:18">
      <c r="B36" s="478"/>
      <c r="C36" s="478" t="s">
        <v>3290</v>
      </c>
    </row>
    <row r="37" spans="1:18">
      <c r="B37" s="478"/>
      <c r="D37" s="478" t="s">
        <v>3289</v>
      </c>
    </row>
    <row r="38" spans="1:18">
      <c r="B38" s="478"/>
      <c r="C38" s="478" t="s">
        <v>3291</v>
      </c>
      <c r="D38" s="478"/>
    </row>
    <row r="39" spans="1:18">
      <c r="B39" s="478"/>
      <c r="C39" s="478"/>
      <c r="D39" s="478" t="s">
        <v>3292</v>
      </c>
    </row>
    <row r="40" spans="1:18">
      <c r="B40" s="478"/>
      <c r="D40" s="478" t="s">
        <v>3293</v>
      </c>
    </row>
    <row r="41" spans="1:18">
      <c r="A41" s="478" t="s">
        <v>1823</v>
      </c>
      <c r="B41" s="478"/>
      <c r="D41" s="478"/>
      <c r="E41" s="478" t="s">
        <v>3295</v>
      </c>
    </row>
    <row r="42" spans="1:18">
      <c r="B42" s="478"/>
      <c r="D42" s="478"/>
      <c r="E42" s="478" t="s">
        <v>3294</v>
      </c>
    </row>
    <row r="43" spans="1:18">
      <c r="B43" s="478"/>
      <c r="D43" s="478" t="s">
        <v>3296</v>
      </c>
    </row>
    <row r="44" spans="1:18">
      <c r="B44" s="499" t="s">
        <v>2755</v>
      </c>
    </row>
    <row r="45" spans="1:18">
      <c r="B45" s="478" t="s">
        <v>3153</v>
      </c>
      <c r="O45" s="478" t="s">
        <v>1455</v>
      </c>
    </row>
    <row r="46" spans="1:18">
      <c r="B46" s="478"/>
      <c r="C46" s="478" t="s">
        <v>3159</v>
      </c>
      <c r="O46" t="s">
        <v>3206</v>
      </c>
    </row>
    <row r="47" spans="1:18">
      <c r="B47" s="478"/>
      <c r="C47" s="450" t="s">
        <v>3202</v>
      </c>
      <c r="O47" s="478" t="s">
        <v>3210</v>
      </c>
      <c r="R47" s="731" t="s">
        <v>3254</v>
      </c>
    </row>
    <row r="48" spans="1:18">
      <c r="B48" s="478"/>
      <c r="C48" s="450" t="s">
        <v>3203</v>
      </c>
      <c r="O48" s="478" t="s">
        <v>3212</v>
      </c>
    </row>
    <row r="49" spans="2:16">
      <c r="B49" s="478" t="s">
        <v>3154</v>
      </c>
      <c r="O49" s="478" t="s">
        <v>3217</v>
      </c>
    </row>
    <row r="50" spans="2:16">
      <c r="B50" s="478"/>
      <c r="C50" s="478" t="s">
        <v>3165</v>
      </c>
      <c r="P50" t="s">
        <v>3218</v>
      </c>
    </row>
    <row r="51" spans="2:16">
      <c r="B51" s="478"/>
      <c r="C51" s="450" t="s">
        <v>3205</v>
      </c>
      <c r="O51" s="450" t="s">
        <v>3250</v>
      </c>
    </row>
    <row r="52" spans="2:16">
      <c r="B52" s="478" t="s">
        <v>3155</v>
      </c>
      <c r="O52" s="450" t="s">
        <v>3251</v>
      </c>
    </row>
    <row r="53" spans="2:16">
      <c r="B53" s="478"/>
      <c r="C53" s="450" t="s">
        <v>3204</v>
      </c>
      <c r="O53" s="450" t="s">
        <v>3252</v>
      </c>
    </row>
    <row r="54" spans="2:16">
      <c r="B54" s="478" t="s">
        <v>3156</v>
      </c>
      <c r="O54" s="450" t="s">
        <v>3253</v>
      </c>
    </row>
    <row r="55" spans="2:16">
      <c r="B55" s="478" t="s">
        <v>3183</v>
      </c>
    </row>
    <row r="56" spans="2:16">
      <c r="B56" s="478" t="s">
        <v>3157</v>
      </c>
    </row>
    <row r="57" spans="2:16">
      <c r="B57" s="478" t="s">
        <v>3158</v>
      </c>
    </row>
    <row r="58" spans="2:16">
      <c r="B58" s="478" t="s">
        <v>3160</v>
      </c>
    </row>
    <row r="59" spans="2:16">
      <c r="C59" s="450" t="s">
        <v>3196</v>
      </c>
    </row>
    <row r="60" spans="2:16">
      <c r="B60" s="478" t="s">
        <v>3161</v>
      </c>
      <c r="C60" s="478"/>
    </row>
    <row r="61" spans="2:16">
      <c r="B61" s="478" t="s">
        <v>3193</v>
      </c>
      <c r="C61" s="478"/>
    </row>
    <row r="62" spans="2:16">
      <c r="B62" s="478"/>
      <c r="C62" s="450" t="s">
        <v>3194</v>
      </c>
    </row>
    <row r="63" spans="2:16">
      <c r="B63" s="478"/>
      <c r="C63" s="450"/>
      <c r="D63" s="450" t="s">
        <v>3227</v>
      </c>
    </row>
    <row r="64" spans="2:16">
      <c r="B64" s="478"/>
      <c r="C64" s="450"/>
      <c r="D64" s="450"/>
      <c r="E64" s="478" t="s">
        <v>3234</v>
      </c>
    </row>
    <row r="65" spans="1:7">
      <c r="B65" s="478"/>
      <c r="C65" s="450"/>
      <c r="D65" s="450"/>
      <c r="E65" s="478" t="s">
        <v>3235</v>
      </c>
    </row>
    <row r="66" spans="1:7">
      <c r="B66" s="478"/>
      <c r="C66" s="450"/>
      <c r="D66" s="450" t="s">
        <v>3228</v>
      </c>
      <c r="G66" s="450" t="s">
        <v>3230</v>
      </c>
    </row>
    <row r="67" spans="1:7">
      <c r="B67" s="478"/>
      <c r="C67" s="450"/>
      <c r="D67" s="450" t="s">
        <v>3229</v>
      </c>
    </row>
    <row r="68" spans="1:7">
      <c r="B68" s="478"/>
      <c r="C68" s="450"/>
      <c r="D68" s="450" t="s">
        <v>3231</v>
      </c>
    </row>
    <row r="69" spans="1:7">
      <c r="B69" s="478"/>
      <c r="C69" s="450"/>
      <c r="D69" s="450"/>
      <c r="E69" s="478" t="s">
        <v>3232</v>
      </c>
    </row>
    <row r="70" spans="1:7">
      <c r="B70" s="478"/>
      <c r="C70" s="450"/>
      <c r="D70" s="450" t="s">
        <v>3233</v>
      </c>
      <c r="E70" s="478"/>
    </row>
    <row r="71" spans="1:7">
      <c r="B71" s="478"/>
      <c r="C71" s="450" t="s">
        <v>3226</v>
      </c>
    </row>
    <row r="72" spans="1:7">
      <c r="B72" s="478"/>
      <c r="C72" s="450" t="s">
        <v>3239</v>
      </c>
    </row>
    <row r="73" spans="1:7">
      <c r="A73" s="478" t="s">
        <v>1823</v>
      </c>
      <c r="B73" s="478" t="s">
        <v>2638</v>
      </c>
      <c r="C73" s="478"/>
    </row>
    <row r="74" spans="1:7">
      <c r="C74" s="478" t="s">
        <v>3162</v>
      </c>
    </row>
    <row r="75" spans="1:7">
      <c r="C75" s="478" t="s">
        <v>3163</v>
      </c>
    </row>
    <row r="76" spans="1:7">
      <c r="C76" s="478" t="s">
        <v>3164</v>
      </c>
    </row>
    <row r="77" spans="1:7">
      <c r="C77" s="450" t="s">
        <v>3236</v>
      </c>
    </row>
    <row r="78" spans="1:7">
      <c r="C78" s="450" t="s">
        <v>3237</v>
      </c>
      <c r="D78" s="450"/>
    </row>
    <row r="79" spans="1:7">
      <c r="C79" s="450" t="s">
        <v>3238</v>
      </c>
      <c r="D79" s="450"/>
    </row>
    <row r="80" spans="1:7">
      <c r="B80" s="478" t="s">
        <v>3180</v>
      </c>
      <c r="C80" s="478"/>
    </row>
    <row r="81" spans="2:4">
      <c r="B81" s="478"/>
      <c r="C81" s="450" t="s">
        <v>3195</v>
      </c>
    </row>
    <row r="82" spans="2:4">
      <c r="B82" s="478" t="s">
        <v>3181</v>
      </c>
      <c r="C82" s="478"/>
    </row>
    <row r="83" spans="2:4">
      <c r="B83" s="478"/>
      <c r="C83" s="450" t="s">
        <v>3240</v>
      </c>
    </row>
    <row r="84" spans="2:4">
      <c r="B84" s="478"/>
      <c r="C84" s="450" t="s">
        <v>3241</v>
      </c>
    </row>
    <row r="85" spans="2:4">
      <c r="B85" s="478" t="s">
        <v>1831</v>
      </c>
      <c r="C85" s="478"/>
    </row>
    <row r="86" spans="2:4">
      <c r="B86" s="478"/>
      <c r="C86" s="450" t="s">
        <v>3197</v>
      </c>
    </row>
    <row r="87" spans="2:4">
      <c r="B87" s="478"/>
      <c r="C87" s="450" t="s">
        <v>3198</v>
      </c>
    </row>
    <row r="88" spans="2:4">
      <c r="B88" s="478"/>
      <c r="C88" s="450" t="s">
        <v>3199</v>
      </c>
    </row>
    <row r="89" spans="2:4">
      <c r="B89" s="478"/>
      <c r="C89" s="450" t="s">
        <v>3200</v>
      </c>
    </row>
    <row r="90" spans="2:4">
      <c r="C90" s="450" t="s">
        <v>3201</v>
      </c>
    </row>
    <row r="91" spans="2:4">
      <c r="C91" s="450" t="s">
        <v>3219</v>
      </c>
      <c r="D91" s="478"/>
    </row>
    <row r="92" spans="2:4">
      <c r="C92" s="450" t="s">
        <v>3220</v>
      </c>
      <c r="D92" s="478"/>
    </row>
    <row r="93" spans="2:4">
      <c r="C93" s="450" t="s">
        <v>3221</v>
      </c>
    </row>
    <row r="94" spans="2:4">
      <c r="C94" s="450" t="s">
        <v>3222</v>
      </c>
    </row>
    <row r="95" spans="2:4">
      <c r="C95" s="450" t="s">
        <v>3225</v>
      </c>
    </row>
    <row r="96" spans="2:4">
      <c r="C96" s="450" t="s">
        <v>3223</v>
      </c>
    </row>
    <row r="97" spans="2:39">
      <c r="C97" s="450" t="s">
        <v>3224</v>
      </c>
    </row>
    <row r="98" spans="2:39">
      <c r="B98" s="478" t="s">
        <v>3258</v>
      </c>
      <c r="C98" s="450"/>
    </row>
    <row r="99" spans="2:39">
      <c r="C99" s="450"/>
    </row>
    <row r="100" spans="2:39">
      <c r="B100" s="499" t="s">
        <v>3185</v>
      </c>
      <c r="C100" s="478"/>
    </row>
    <row r="101" spans="2:39">
      <c r="B101" s="478" t="s">
        <v>3186</v>
      </c>
      <c r="C101" s="478"/>
    </row>
    <row r="102" spans="2:39">
      <c r="B102" s="478" t="s">
        <v>3187</v>
      </c>
      <c r="C102" s="478"/>
    </row>
    <row r="103" spans="2:39">
      <c r="C103" s="728" t="s">
        <v>3188</v>
      </c>
    </row>
    <row r="104" spans="2:39">
      <c r="B104" s="478" t="s">
        <v>3189</v>
      </c>
      <c r="C104" s="728"/>
    </row>
    <row r="105" spans="2:39">
      <c r="B105" s="478" t="s">
        <v>3190</v>
      </c>
      <c r="C105" s="478"/>
    </row>
    <row r="106" spans="2:39">
      <c r="B106" s="478" t="s">
        <v>3191</v>
      </c>
      <c r="C106" s="478"/>
    </row>
    <row r="107" spans="2:39">
      <c r="C107" s="478"/>
    </row>
    <row r="108" spans="2:39">
      <c r="C108" s="478"/>
    </row>
    <row r="109" spans="2:39">
      <c r="B109" s="478" t="s">
        <v>3166</v>
      </c>
      <c r="C109" s="478"/>
    </row>
    <row r="110" spans="2:39">
      <c r="B110" s="487"/>
      <c r="C110" s="508" t="s">
        <v>3167</v>
      </c>
      <c r="D110" s="508" t="s">
        <v>3168</v>
      </c>
      <c r="E110" s="508" t="s">
        <v>3169</v>
      </c>
      <c r="F110" s="508" t="s">
        <v>3177</v>
      </c>
      <c r="J110" s="478" t="s">
        <v>3243</v>
      </c>
    </row>
    <row r="111" spans="2:39">
      <c r="B111" s="478" t="s">
        <v>3213</v>
      </c>
      <c r="C111" s="478">
        <v>70</v>
      </c>
      <c r="D111" s="478">
        <v>15</v>
      </c>
      <c r="E111" s="478">
        <v>42</v>
      </c>
      <c r="F111">
        <f>55+12</f>
        <v>67</v>
      </c>
      <c r="G111" s="478" t="s">
        <v>3248</v>
      </c>
      <c r="J111">
        <v>17</v>
      </c>
      <c r="K111" s="478" t="s">
        <v>3170</v>
      </c>
      <c r="M111" s="478" t="s">
        <v>3244</v>
      </c>
      <c r="AM111">
        <f>32-AM115</f>
        <v>32</v>
      </c>
    </row>
    <row r="112" spans="2:39">
      <c r="B112" s="478"/>
      <c r="C112" s="478"/>
      <c r="D112" s="478"/>
      <c r="E112" s="478"/>
      <c r="G112" s="478" t="s">
        <v>3249</v>
      </c>
      <c r="J112">
        <v>53</v>
      </c>
      <c r="K112" s="478" t="s">
        <v>3242</v>
      </c>
      <c r="M112" s="478" t="s">
        <v>3244</v>
      </c>
    </row>
    <row r="113" spans="2:39">
      <c r="B113" s="478" t="s">
        <v>3170</v>
      </c>
      <c r="C113" s="730">
        <v>70</v>
      </c>
      <c r="D113" s="478">
        <v>23</v>
      </c>
      <c r="E113" s="478">
        <v>19</v>
      </c>
      <c r="J113" s="478" t="s">
        <v>3245</v>
      </c>
    </row>
    <row r="114" spans="2:39">
      <c r="B114" s="478" t="s">
        <v>3175</v>
      </c>
      <c r="C114" s="478" t="s">
        <v>3171</v>
      </c>
      <c r="D114" s="478" t="s">
        <v>3172</v>
      </c>
      <c r="E114" s="478" t="s">
        <v>3173</v>
      </c>
      <c r="AM114">
        <f>AM130</f>
        <v>0</v>
      </c>
    </row>
    <row r="115" spans="2:39">
      <c r="B115" s="478"/>
      <c r="C115" s="478"/>
      <c r="D115" s="478"/>
      <c r="E115" s="478"/>
      <c r="J115" s="478" t="s">
        <v>3246</v>
      </c>
    </row>
    <row r="116" spans="2:39">
      <c r="B116" s="478" t="s">
        <v>3174</v>
      </c>
      <c r="C116" s="478"/>
      <c r="D116" s="478">
        <v>55</v>
      </c>
      <c r="E116" s="478"/>
      <c r="J116">
        <v>15</v>
      </c>
      <c r="K116" s="478" t="s">
        <v>3170</v>
      </c>
    </row>
    <row r="117" spans="2:39">
      <c r="B117" s="478" t="s">
        <v>3175</v>
      </c>
      <c r="C117" s="478"/>
      <c r="D117" s="478" t="s">
        <v>3172</v>
      </c>
      <c r="E117" s="478"/>
    </row>
    <row r="118" spans="2:39">
      <c r="C118" s="478"/>
      <c r="J118" s="478" t="s">
        <v>3247</v>
      </c>
    </row>
    <row r="119" spans="2:39">
      <c r="B119" s="478" t="s">
        <v>3178</v>
      </c>
      <c r="C119" s="478"/>
      <c r="E119">
        <v>12</v>
      </c>
      <c r="J119">
        <v>42</v>
      </c>
      <c r="K119" s="478" t="s">
        <v>3170</v>
      </c>
    </row>
    <row r="120" spans="2:39">
      <c r="B120" s="478" t="s">
        <v>3175</v>
      </c>
      <c r="C120" s="478"/>
      <c r="E120" s="478" t="s">
        <v>3179</v>
      </c>
    </row>
    <row r="121" spans="2:39">
      <c r="C121" s="478"/>
      <c r="J121" s="478" t="s">
        <v>3259</v>
      </c>
    </row>
    <row r="122" spans="2:39">
      <c r="B122" s="478" t="s">
        <v>3176</v>
      </c>
      <c r="C122" s="478"/>
      <c r="J122">
        <f>E119</f>
        <v>12</v>
      </c>
      <c r="K122" s="478" t="s">
        <v>3178</v>
      </c>
      <c r="AM122">
        <f>AM131+32</f>
        <v>32</v>
      </c>
    </row>
    <row r="123" spans="2:39">
      <c r="C123" s="478"/>
      <c r="J123">
        <v>55</v>
      </c>
      <c r="K123" s="478" t="s">
        <v>3260</v>
      </c>
    </row>
    <row r="124" spans="2:39">
      <c r="C124" s="487" t="s">
        <v>3264</v>
      </c>
      <c r="D124" s="487" t="s">
        <v>3265</v>
      </c>
      <c r="E124" s="487" t="s">
        <v>2602</v>
      </c>
      <c r="F124" s="487" t="s">
        <v>1145</v>
      </c>
      <c r="G124" s="455"/>
      <c r="K124" s="478"/>
    </row>
    <row r="125" spans="2:39">
      <c r="B125" s="478" t="s">
        <v>2377</v>
      </c>
      <c r="C125">
        <v>1900</v>
      </c>
      <c r="D125" s="478">
        <f>2*10</f>
        <v>20</v>
      </c>
      <c r="E125">
        <v>17</v>
      </c>
      <c r="F125" s="454">
        <f>SA!N5/1000</f>
        <v>11.788033212285994</v>
      </c>
      <c r="G125" s="468">
        <f>E125*100/D125/F125</f>
        <v>7.2107024530105122</v>
      </c>
      <c r="K125" s="487" t="s">
        <v>2602</v>
      </c>
      <c r="L125" s="495" t="s">
        <v>2753</v>
      </c>
      <c r="M125" s="495" t="s">
        <v>2754</v>
      </c>
      <c r="N125" s="495" t="s">
        <v>2755</v>
      </c>
      <c r="O125" s="495" t="s">
        <v>3192</v>
      </c>
      <c r="P125" s="495" t="s">
        <v>2324</v>
      </c>
      <c r="Q125" s="493" t="s">
        <v>3266</v>
      </c>
    </row>
    <row r="126" spans="2:39">
      <c r="B126" s="478"/>
      <c r="C126" s="506" t="s">
        <v>2867</v>
      </c>
      <c r="D126">
        <f>2*15</f>
        <v>30</v>
      </c>
      <c r="E126">
        <f>J116</f>
        <v>15</v>
      </c>
      <c r="F126" s="454">
        <f>F125</f>
        <v>11.788033212285994</v>
      </c>
      <c r="G126" s="468">
        <f>E126*100/D126/F126</f>
        <v>4.2415896782414775</v>
      </c>
      <c r="K126" s="478" t="s">
        <v>1665</v>
      </c>
      <c r="L126">
        <f>J112</f>
        <v>53</v>
      </c>
      <c r="O126">
        <v>55</v>
      </c>
      <c r="P126">
        <f>SUM(L126:O126)</f>
        <v>108</v>
      </c>
      <c r="Q126" s="468">
        <f>Analysis!F2485</f>
        <v>7.1904879830036501</v>
      </c>
    </row>
    <row r="127" spans="2:39">
      <c r="B127" s="487"/>
      <c r="C127" s="508">
        <v>700</v>
      </c>
      <c r="D127" s="455">
        <f>2*12</f>
        <v>24</v>
      </c>
      <c r="E127" s="455">
        <v>42</v>
      </c>
      <c r="F127" s="462">
        <f>F126</f>
        <v>11.788033212285994</v>
      </c>
      <c r="G127" s="483">
        <f>E127*100/D127/F127</f>
        <v>14.845563873845173</v>
      </c>
      <c r="K127" s="478" t="s">
        <v>2377</v>
      </c>
      <c r="L127">
        <f>J111</f>
        <v>17</v>
      </c>
      <c r="M127">
        <f>J116</f>
        <v>15</v>
      </c>
      <c r="N127">
        <f>J119</f>
        <v>42</v>
      </c>
      <c r="P127">
        <f>SUM(L127:O127)</f>
        <v>74</v>
      </c>
      <c r="Q127" s="468">
        <f>G128</f>
        <v>8.483179356482955</v>
      </c>
    </row>
    <row r="128" spans="2:39">
      <c r="C128" s="478"/>
      <c r="D128">
        <f>SUM(D125:D127)</f>
        <v>74</v>
      </c>
      <c r="E128">
        <f>SUM(E125:E127)</f>
        <v>74</v>
      </c>
      <c r="F128" s="454">
        <f>F127</f>
        <v>11.788033212285994</v>
      </c>
      <c r="G128" s="468">
        <f>E128*100/D128/F128</f>
        <v>8.483179356482955</v>
      </c>
      <c r="K128" s="487" t="s">
        <v>2380</v>
      </c>
      <c r="L128" s="455"/>
      <c r="M128" s="455"/>
      <c r="N128" s="455"/>
      <c r="O128" s="455">
        <f>J122</f>
        <v>12</v>
      </c>
      <c r="P128" s="455">
        <f>SUM(L128:O128)</f>
        <v>12</v>
      </c>
      <c r="Q128" s="468">
        <f>G129</f>
        <v>4.7682793867120958</v>
      </c>
    </row>
    <row r="129" spans="2:39">
      <c r="B129" t="s">
        <v>2380</v>
      </c>
      <c r="C129" t="str">
        <f>C126</f>
        <v>AWS</v>
      </c>
      <c r="D129">
        <v>30</v>
      </c>
      <c r="E129">
        <f>E119</f>
        <v>12</v>
      </c>
      <c r="F129" s="468">
        <f>CA!M7/1000</f>
        <v>8.3887701948566971</v>
      </c>
      <c r="G129" s="468">
        <f>E129*100/D129/F129</f>
        <v>4.7682793867120958</v>
      </c>
      <c r="K129" s="478" t="s">
        <v>2324</v>
      </c>
      <c r="L129">
        <f>SUM(L126:L128)</f>
        <v>70</v>
      </c>
      <c r="M129">
        <f>SUM(M126:M128)</f>
        <v>15</v>
      </c>
      <c r="N129">
        <f>SUM(N126:N128)</f>
        <v>42</v>
      </c>
      <c r="O129">
        <f>SUM(O126:O128)</f>
        <v>67</v>
      </c>
      <c r="P129">
        <f>SUM(L129:O129)</f>
        <v>194</v>
      </c>
    </row>
    <row r="130" spans="2:39">
      <c r="B130" s="499"/>
      <c r="K130" s="478"/>
    </row>
    <row r="131" spans="2:39">
      <c r="B131" s="499"/>
      <c r="K131" s="478"/>
    </row>
    <row r="132" spans="2:39">
      <c r="B132" s="499" t="s">
        <v>2915</v>
      </c>
      <c r="K132" s="478"/>
    </row>
    <row r="133" spans="2:39">
      <c r="B133" s="499"/>
    </row>
    <row r="134" spans="2:39">
      <c r="B134" s="478" t="s">
        <v>2885</v>
      </c>
      <c r="AM134" s="456"/>
    </row>
    <row r="135" spans="2:39">
      <c r="B135" s="478" t="s">
        <v>2886</v>
      </c>
    </row>
    <row r="136" spans="2:39">
      <c r="B136" s="478" t="s">
        <v>2887</v>
      </c>
    </row>
    <row r="137" spans="2:39">
      <c r="B137" s="478" t="s">
        <v>2888</v>
      </c>
    </row>
    <row r="138" spans="2:39">
      <c r="B138" s="478" t="s">
        <v>2889</v>
      </c>
    </row>
    <row r="139" spans="2:39">
      <c r="B139" s="478" t="s">
        <v>2890</v>
      </c>
    </row>
    <row r="140" spans="2:39">
      <c r="B140" s="478" t="s">
        <v>2891</v>
      </c>
    </row>
    <row r="141" spans="2:39">
      <c r="B141" s="478" t="s">
        <v>2892</v>
      </c>
    </row>
    <row r="142" spans="2:39">
      <c r="B142" s="478" t="s">
        <v>2901</v>
      </c>
    </row>
    <row r="144" spans="2:39">
      <c r="B144" s="478" t="s">
        <v>2894</v>
      </c>
      <c r="E144" s="478"/>
    </row>
    <row r="145" spans="2:3">
      <c r="B145" s="478" t="s">
        <v>2893</v>
      </c>
    </row>
    <row r="146" spans="2:3">
      <c r="B146" s="478"/>
    </row>
    <row r="147" spans="2:3">
      <c r="B147" s="499" t="s">
        <v>2705</v>
      </c>
    </row>
    <row r="148" spans="2:3">
      <c r="B148" s="478" t="s">
        <v>2895</v>
      </c>
    </row>
    <row r="149" spans="2:3">
      <c r="B149" s="478" t="s">
        <v>2896</v>
      </c>
    </row>
    <row r="150" spans="2:3">
      <c r="B150" s="478" t="s">
        <v>2897</v>
      </c>
    </row>
    <row r="151" spans="2:3">
      <c r="B151" s="478" t="s">
        <v>2898</v>
      </c>
    </row>
    <row r="152" spans="2:3">
      <c r="B152" s="478" t="s">
        <v>2899</v>
      </c>
    </row>
    <row r="153" spans="2:3">
      <c r="B153" s="478" t="s">
        <v>2900</v>
      </c>
    </row>
    <row r="154" spans="2:3">
      <c r="B154" s="478" t="s">
        <v>2902</v>
      </c>
    </row>
    <row r="155" spans="2:3">
      <c r="B155" s="478" t="s">
        <v>2903</v>
      </c>
    </row>
    <row r="157" spans="2:3">
      <c r="B157" s="478" t="s">
        <v>2904</v>
      </c>
    </row>
    <row r="158" spans="2:3">
      <c r="B158" s="478" t="s">
        <v>2905</v>
      </c>
    </row>
    <row r="159" spans="2:3">
      <c r="B159" s="478" t="s">
        <v>2906</v>
      </c>
      <c r="C159" s="449"/>
    </row>
    <row r="160" spans="2:3">
      <c r="B160" s="478" t="s">
        <v>2907</v>
      </c>
    </row>
    <row r="162" spans="2:2">
      <c r="B162" s="478" t="s">
        <v>2908</v>
      </c>
    </row>
    <row r="163" spans="2:2">
      <c r="B163" s="499" t="s">
        <v>1034</v>
      </c>
    </row>
    <row r="164" spans="2:2">
      <c r="B164" s="478" t="s">
        <v>2909</v>
      </c>
    </row>
    <row r="165" spans="2:2">
      <c r="B165" s="499" t="s">
        <v>2631</v>
      </c>
    </row>
    <row r="166" spans="2:2">
      <c r="B166" s="478" t="s">
        <v>2910</v>
      </c>
    </row>
    <row r="167" spans="2:2">
      <c r="B167" s="478" t="s">
        <v>2911</v>
      </c>
    </row>
    <row r="168" spans="2:2">
      <c r="B168" s="478" t="s">
        <v>2912</v>
      </c>
    </row>
    <row r="169" spans="2:2">
      <c r="B169" s="478" t="s">
        <v>2913</v>
      </c>
    </row>
    <row r="170" spans="2:2">
      <c r="B170" s="499" t="s">
        <v>1831</v>
      </c>
    </row>
    <row r="171" spans="2:2">
      <c r="B171" s="478" t="s">
        <v>2914</v>
      </c>
    </row>
    <row r="172" spans="2:2">
      <c r="B172" s="499" t="s">
        <v>2916</v>
      </c>
    </row>
    <row r="174" spans="2:2">
      <c r="B174" s="627" t="s">
        <v>2917</v>
      </c>
    </row>
    <row r="175" spans="2:2">
      <c r="B175" s="478" t="s">
        <v>2920</v>
      </c>
    </row>
    <row r="176" spans="2:2">
      <c r="B176" s="478" t="s">
        <v>2918</v>
      </c>
    </row>
    <row r="177" spans="2:39">
      <c r="B177" s="478" t="s">
        <v>2919</v>
      </c>
    </row>
    <row r="179" spans="2:39">
      <c r="B179" s="478" t="s">
        <v>2921</v>
      </c>
    </row>
    <row r="180" spans="2:39">
      <c r="B180" s="478" t="s">
        <v>2923</v>
      </c>
    </row>
    <row r="181" spans="2:39">
      <c r="B181" s="478" t="s">
        <v>2922</v>
      </c>
    </row>
    <row r="182" spans="2:39">
      <c r="B182" s="478" t="s">
        <v>2924</v>
      </c>
    </row>
    <row r="184" spans="2:39">
      <c r="B184" s="740" t="s">
        <v>494</v>
      </c>
      <c r="C184" s="740" t="s">
        <v>3271</v>
      </c>
      <c r="D184" s="740" t="s">
        <v>3272</v>
      </c>
      <c r="E184" s="740" t="s">
        <v>3273</v>
      </c>
      <c r="F184" s="740" t="s">
        <v>3274</v>
      </c>
      <c r="G184" s="740" t="s">
        <v>714</v>
      </c>
    </row>
    <row r="185" spans="2:39">
      <c r="B185" s="740" t="s">
        <v>2379</v>
      </c>
      <c r="C185" s="742"/>
      <c r="D185" s="741">
        <v>0.11</v>
      </c>
      <c r="E185" s="478"/>
      <c r="F185" s="478"/>
      <c r="G185" s="478"/>
    </row>
    <row r="186" spans="2:39">
      <c r="B186" s="740" t="s">
        <v>2376</v>
      </c>
      <c r="C186" s="742">
        <v>41518</v>
      </c>
      <c r="D186" s="741">
        <v>0.06</v>
      </c>
      <c r="E186" s="741">
        <v>0.05</v>
      </c>
      <c r="F186" s="743">
        <v>-0.17</v>
      </c>
      <c r="G186" s="478"/>
    </row>
    <row r="187" spans="2:39">
      <c r="B187" s="740" t="s">
        <v>2380</v>
      </c>
      <c r="C187" s="742">
        <v>41487</v>
      </c>
      <c r="D187" s="741">
        <v>0.02</v>
      </c>
      <c r="E187" s="741">
        <v>1.4999999999999999E-2</v>
      </c>
      <c r="F187" s="743">
        <v>-0.25</v>
      </c>
      <c r="G187" s="478" t="s">
        <v>3275</v>
      </c>
    </row>
    <row r="188" spans="2:39">
      <c r="B188" s="478"/>
      <c r="C188" s="478"/>
      <c r="D188" s="478"/>
      <c r="E188" s="478"/>
      <c r="F188" s="478"/>
      <c r="G188" s="478"/>
    </row>
    <row r="189" spans="2:39">
      <c r="B189" s="740" t="s">
        <v>2377</v>
      </c>
      <c r="C189" s="742">
        <v>41487</v>
      </c>
      <c r="D189" s="741">
        <v>0.08</v>
      </c>
      <c r="E189" s="741">
        <v>7.0000000000000007E-2</v>
      </c>
      <c r="F189" s="743">
        <v>-0.13</v>
      </c>
      <c r="G189" s="478"/>
    </row>
    <row r="190" spans="2:39">
      <c r="B190" s="740" t="s">
        <v>1665</v>
      </c>
      <c r="C190" s="742">
        <v>41275</v>
      </c>
      <c r="D190" s="741">
        <v>0.05</v>
      </c>
      <c r="E190" s="741">
        <v>0.04</v>
      </c>
      <c r="F190" s="743">
        <v>-0.17</v>
      </c>
      <c r="G190" s="478"/>
      <c r="AM190" t="s">
        <v>5799</v>
      </c>
    </row>
    <row r="191" spans="2:39">
      <c r="B191" s="740" t="s">
        <v>2378</v>
      </c>
      <c r="C191" s="742">
        <v>41183</v>
      </c>
      <c r="D191" s="741">
        <v>7.0000000000000007E-2</v>
      </c>
      <c r="E191" s="741">
        <v>0.04</v>
      </c>
      <c r="F191" s="743">
        <v>-0.4</v>
      </c>
      <c r="G191" s="478" t="s">
        <v>3276</v>
      </c>
    </row>
    <row r="192" spans="2:39">
      <c r="B192" s="478"/>
      <c r="C192" s="478"/>
      <c r="D192" s="478"/>
      <c r="E192" s="478"/>
      <c r="F192" s="478"/>
      <c r="G192" s="478"/>
    </row>
    <row r="193" spans="2:7">
      <c r="B193" s="740" t="s">
        <v>579</v>
      </c>
      <c r="C193" s="478"/>
      <c r="D193" s="741">
        <v>0.14000000000000001</v>
      </c>
      <c r="E193" s="478"/>
      <c r="F193" s="478"/>
      <c r="G193" s="478"/>
    </row>
    <row r="194" spans="2:7">
      <c r="B194" s="740" t="s">
        <v>1961</v>
      </c>
      <c r="C194" s="742">
        <v>41306</v>
      </c>
      <c r="D194" s="741">
        <v>0.08</v>
      </c>
      <c r="E194" s="741">
        <v>0.06</v>
      </c>
      <c r="F194" s="743">
        <v>-0.25</v>
      </c>
      <c r="G194" s="478"/>
    </row>
    <row r="195" spans="2:7">
      <c r="B195" s="740" t="s">
        <v>2382</v>
      </c>
      <c r="C195" s="478"/>
      <c r="D195" s="741">
        <v>0.03</v>
      </c>
      <c r="E195" s="478"/>
      <c r="F195" s="478"/>
      <c r="G195" s="478"/>
    </row>
    <row r="196" spans="2:7">
      <c r="B196" s="740" t="s">
        <v>2383</v>
      </c>
      <c r="C196" s="478"/>
      <c r="D196" s="741">
        <v>0.02</v>
      </c>
      <c r="E196" s="478"/>
      <c r="F196" s="478"/>
      <c r="G196" s="478"/>
    </row>
    <row r="197" spans="2:7">
      <c r="B197" s="740" t="s">
        <v>2227</v>
      </c>
      <c r="C197" s="478"/>
      <c r="D197" s="741">
        <v>0.05</v>
      </c>
      <c r="E197" s="478"/>
      <c r="F197" s="478"/>
      <c r="G197" s="478"/>
    </row>
    <row r="198" spans="2:7">
      <c r="B198" s="740" t="s">
        <v>2384</v>
      </c>
      <c r="C198" s="478"/>
      <c r="D198" s="741">
        <v>0.05</v>
      </c>
      <c r="E198" s="478"/>
      <c r="F198" s="478"/>
      <c r="G198" s="478"/>
    </row>
    <row r="199" spans="2:7">
      <c r="B199" s="740" t="s">
        <v>578</v>
      </c>
      <c r="C199" s="742">
        <v>41334</v>
      </c>
      <c r="D199" s="741">
        <v>7.0000000000000007E-2</v>
      </c>
      <c r="E199" s="741">
        <v>0.02</v>
      </c>
      <c r="F199" s="743">
        <v>-0.7</v>
      </c>
      <c r="G199" s="478"/>
    </row>
    <row r="201" spans="2:7">
      <c r="B201" s="776" t="s">
        <v>3473</v>
      </c>
    </row>
    <row r="203" spans="2:7">
      <c r="B203" s="487" t="s">
        <v>3471</v>
      </c>
      <c r="C203" s="455"/>
      <c r="D203" s="508" t="s">
        <v>1972</v>
      </c>
      <c r="E203" s="508" t="s">
        <v>2170</v>
      </c>
      <c r="G203" s="494">
        <v>42005</v>
      </c>
    </row>
    <row r="204" spans="2:7">
      <c r="B204" s="478" t="s">
        <v>2377</v>
      </c>
      <c r="C204" s="449">
        <v>0.04</v>
      </c>
      <c r="D204">
        <v>8.3000000000000007</v>
      </c>
      <c r="E204">
        <v>0.57299999999999995</v>
      </c>
    </row>
    <row r="205" spans="2:7">
      <c r="B205" s="486" t="s">
        <v>1665</v>
      </c>
      <c r="C205" s="449">
        <v>0.19</v>
      </c>
      <c r="E205">
        <v>56.9</v>
      </c>
      <c r="F205">
        <f>E205*0.5</f>
        <v>28.45</v>
      </c>
    </row>
    <row r="206" spans="2:7">
      <c r="B206" s="478" t="s">
        <v>2382</v>
      </c>
      <c r="C206" s="449">
        <v>0.11</v>
      </c>
      <c r="E206">
        <v>4</v>
      </c>
    </row>
    <row r="207" spans="2:7">
      <c r="B207" s="478" t="s">
        <v>2227</v>
      </c>
      <c r="C207" s="449">
        <v>0.11</v>
      </c>
      <c r="E207">
        <v>25.6</v>
      </c>
    </row>
    <row r="208" spans="2:7">
      <c r="B208" s="478" t="s">
        <v>578</v>
      </c>
      <c r="C208" s="449">
        <v>7.0000000000000007E-2</v>
      </c>
      <c r="E208">
        <v>32.4</v>
      </c>
    </row>
    <row r="209" spans="2:5">
      <c r="B209" s="478" t="s">
        <v>2384</v>
      </c>
      <c r="C209" s="449">
        <v>0.49</v>
      </c>
      <c r="E209">
        <v>12</v>
      </c>
    </row>
    <row r="211" spans="2:5">
      <c r="B211" s="478" t="s">
        <v>3472</v>
      </c>
    </row>
    <row r="212" spans="2:5">
      <c r="B212" s="478" t="s">
        <v>3474</v>
      </c>
    </row>
    <row r="214" spans="2:5">
      <c r="B214" s="450" t="s">
        <v>1828</v>
      </c>
    </row>
    <row r="215" spans="2:5">
      <c r="B215" s="478" t="s">
        <v>3475</v>
      </c>
    </row>
    <row r="217" spans="2:5">
      <c r="B217" s="450" t="s">
        <v>1697</v>
      </c>
    </row>
    <row r="218" spans="2:5">
      <c r="B218" s="450"/>
    </row>
    <row r="219" spans="2:5">
      <c r="B219" s="478" t="s">
        <v>1665</v>
      </c>
    </row>
    <row r="220" spans="2:5">
      <c r="C220" s="478" t="s">
        <v>3476</v>
      </c>
    </row>
    <row r="221" spans="2:5">
      <c r="C221" s="478" t="s">
        <v>3478</v>
      </c>
    </row>
    <row r="222" spans="2:5">
      <c r="C222" s="478" t="s">
        <v>3479</v>
      </c>
    </row>
    <row r="223" spans="2:5">
      <c r="B223" s="478" t="s">
        <v>2378</v>
      </c>
    </row>
    <row r="224" spans="2:5">
      <c r="C224" s="478" t="s">
        <v>3477</v>
      </c>
    </row>
    <row r="225" spans="2:3">
      <c r="B225" s="478" t="s">
        <v>1195</v>
      </c>
    </row>
    <row r="226" spans="2:3">
      <c r="C226" s="478" t="s">
        <v>3480</v>
      </c>
    </row>
    <row r="227" spans="2:3">
      <c r="C227" s="478" t="s">
        <v>3481</v>
      </c>
    </row>
    <row r="228" spans="2:3">
      <c r="B228" s="478" t="s">
        <v>2377</v>
      </c>
      <c r="C228" s="478" t="s">
        <v>3482</v>
      </c>
    </row>
    <row r="229" spans="2:3">
      <c r="C229" s="478" t="s">
        <v>3483</v>
      </c>
    </row>
    <row r="230" spans="2:3">
      <c r="B230" s="478"/>
    </row>
    <row r="231" spans="2:3">
      <c r="B231" s="450" t="s">
        <v>1831</v>
      </c>
    </row>
    <row r="232" spans="2:3">
      <c r="B232" s="478" t="s">
        <v>3484</v>
      </c>
    </row>
    <row r="233" spans="2:3">
      <c r="B233" s="478" t="s">
        <v>3485</v>
      </c>
    </row>
    <row r="234" spans="2:3">
      <c r="B234" s="478" t="s">
        <v>3486</v>
      </c>
    </row>
    <row r="235" spans="2:3">
      <c r="B235" s="478" t="s">
        <v>3487</v>
      </c>
    </row>
    <row r="236" spans="2:3">
      <c r="B236" s="478" t="s">
        <v>3488</v>
      </c>
    </row>
    <row r="238" spans="2:3">
      <c r="B238" s="478" t="s">
        <v>3489</v>
      </c>
    </row>
    <row r="239" spans="2:3">
      <c r="B239" s="478" t="s">
        <v>3490</v>
      </c>
    </row>
    <row r="240" spans="2:3">
      <c r="B240" s="478" t="s">
        <v>3491</v>
      </c>
    </row>
    <row r="242" spans="2:3">
      <c r="B242" s="450" t="s">
        <v>3492</v>
      </c>
    </row>
    <row r="243" spans="2:3">
      <c r="B243" s="478" t="s">
        <v>3493</v>
      </c>
    </row>
    <row r="244" spans="2:3">
      <c r="B244" s="478" t="s">
        <v>3494</v>
      </c>
    </row>
    <row r="246" spans="2:3">
      <c r="B246" s="478" t="s">
        <v>3495</v>
      </c>
    </row>
    <row r="247" spans="2:3">
      <c r="B247" s="478" t="s">
        <v>3496</v>
      </c>
      <c r="C247" s="478" t="s">
        <v>3497</v>
      </c>
    </row>
    <row r="248" spans="2:3">
      <c r="B248" s="478" t="s">
        <v>3498</v>
      </c>
      <c r="C248" s="478" t="s">
        <v>3500</v>
      </c>
    </row>
    <row r="249" spans="2:3">
      <c r="C249" s="478" t="s">
        <v>3499</v>
      </c>
    </row>
    <row r="250" spans="2:3">
      <c r="B250" s="450" t="s">
        <v>1540</v>
      </c>
      <c r="C250" s="478"/>
    </row>
    <row r="251" spans="2:3">
      <c r="B251" s="478" t="s">
        <v>3501</v>
      </c>
    </row>
    <row r="253" spans="2:3">
      <c r="B253" s="450" t="s">
        <v>1034</v>
      </c>
    </row>
    <row r="254" spans="2:3">
      <c r="B254" s="478" t="s">
        <v>3502</v>
      </c>
    </row>
    <row r="256" spans="2:3">
      <c r="B256" s="627" t="s">
        <v>3505</v>
      </c>
    </row>
    <row r="258" spans="2:3">
      <c r="B258" s="478" t="s">
        <v>3506</v>
      </c>
    </row>
    <row r="259" spans="2:3">
      <c r="B259" s="478" t="s">
        <v>2376</v>
      </c>
      <c r="C259" s="478" t="s">
        <v>3507</v>
      </c>
    </row>
    <row r="260" spans="2:3">
      <c r="C260" s="478" t="s">
        <v>3508</v>
      </c>
    </row>
    <row r="261" spans="2:3">
      <c r="B261" s="478" t="s">
        <v>3509</v>
      </c>
      <c r="C261" s="478" t="s">
        <v>3510</v>
      </c>
    </row>
    <row r="262" spans="2:3">
      <c r="B262" s="478" t="s">
        <v>3511</v>
      </c>
      <c r="C262" s="478" t="s">
        <v>3512</v>
      </c>
    </row>
    <row r="264" spans="2:3">
      <c r="B264" s="478" t="s">
        <v>3513</v>
      </c>
    </row>
    <row r="265" spans="2:3">
      <c r="C265" s="478" t="s">
        <v>3514</v>
      </c>
    </row>
    <row r="267" spans="2:3">
      <c r="B267" s="478" t="s">
        <v>549</v>
      </c>
    </row>
    <row r="268" spans="2:3">
      <c r="B268" s="583">
        <v>8.0000000000000002E-3</v>
      </c>
      <c r="C268" s="478" t="s">
        <v>3516</v>
      </c>
    </row>
    <row r="269" spans="2:3">
      <c r="B269" s="583">
        <v>1.6E-2</v>
      </c>
      <c r="C269" s="478" t="s">
        <v>3515</v>
      </c>
    </row>
    <row r="270" spans="2:3">
      <c r="C270" s="478" t="s">
        <v>3517</v>
      </c>
    </row>
    <row r="271" spans="2:3">
      <c r="B271" s="583">
        <v>8.0000000000000002E-3</v>
      </c>
      <c r="C271" s="478" t="s">
        <v>3518</v>
      </c>
    </row>
    <row r="273" spans="2:39">
      <c r="B273" s="627" t="s">
        <v>1877</v>
      </c>
      <c r="AM273" s="583">
        <v>-2.5999999999999999E-2</v>
      </c>
    </row>
    <row r="274" spans="2:39">
      <c r="B274" s="450"/>
      <c r="AM274" s="583">
        <v>3.9E-2</v>
      </c>
    </row>
    <row r="275" spans="2:39">
      <c r="B275" s="450" t="s">
        <v>3519</v>
      </c>
      <c r="AM275" s="449">
        <v>-0.06</v>
      </c>
    </row>
    <row r="276" spans="2:39">
      <c r="B276" s="478" t="s">
        <v>3520</v>
      </c>
      <c r="AM276" s="583">
        <v>-9.4E-2</v>
      </c>
    </row>
    <row r="277" spans="2:39">
      <c r="B277" s="478" t="s">
        <v>3530</v>
      </c>
      <c r="AM277" s="449">
        <v>0</v>
      </c>
    </row>
    <row r="278" spans="2:39">
      <c r="B278" s="478" t="s">
        <v>3531</v>
      </c>
    </row>
    <row r="280" spans="2:39">
      <c r="B280" s="450" t="s">
        <v>3521</v>
      </c>
    </row>
    <row r="281" spans="2:39">
      <c r="B281" s="478" t="s">
        <v>3522</v>
      </c>
      <c r="AM281" s="583">
        <v>-0.106</v>
      </c>
    </row>
    <row r="282" spans="2:39">
      <c r="B282" s="478" t="s">
        <v>3523</v>
      </c>
      <c r="AM282" s="583">
        <v>-2E-3</v>
      </c>
    </row>
    <row r="283" spans="2:39">
      <c r="B283" s="478" t="s">
        <v>3524</v>
      </c>
      <c r="AM283" s="449">
        <v>-0.05</v>
      </c>
    </row>
    <row r="284" spans="2:39">
      <c r="B284" s="478" t="s">
        <v>3525</v>
      </c>
    </row>
    <row r="286" spans="2:39">
      <c r="B286" s="478" t="s">
        <v>3526</v>
      </c>
    </row>
    <row r="287" spans="2:39">
      <c r="B287" s="478" t="s">
        <v>3527</v>
      </c>
    </row>
    <row r="289" spans="2:39">
      <c r="B289" s="478" t="s">
        <v>3528</v>
      </c>
    </row>
    <row r="291" spans="2:39">
      <c r="B291" s="450" t="s">
        <v>1453</v>
      </c>
    </row>
    <row r="292" spans="2:39">
      <c r="B292" s="478" t="s">
        <v>3529</v>
      </c>
    </row>
    <row r="293" spans="2:39">
      <c r="B293" s="478" t="s">
        <v>3532</v>
      </c>
    </row>
    <row r="295" spans="2:39">
      <c r="B295" s="450" t="s">
        <v>133</v>
      </c>
      <c r="AM295" s="583">
        <v>-3.1E-2</v>
      </c>
    </row>
    <row r="296" spans="2:39">
      <c r="B296" s="478" t="s">
        <v>3533</v>
      </c>
    </row>
    <row r="297" spans="2:39">
      <c r="B297" s="478" t="s">
        <v>3540</v>
      </c>
    </row>
    <row r="299" spans="2:39">
      <c r="B299" s="450" t="s">
        <v>2702</v>
      </c>
    </row>
    <row r="300" spans="2:39">
      <c r="B300" s="478" t="s">
        <v>3534</v>
      </c>
    </row>
    <row r="301" spans="2:39">
      <c r="B301" s="478"/>
      <c r="C301" s="478" t="s">
        <v>3535</v>
      </c>
    </row>
    <row r="302" spans="2:39">
      <c r="B302" s="478" t="s">
        <v>3536</v>
      </c>
    </row>
    <row r="303" spans="2:39">
      <c r="B303" s="478" t="s">
        <v>3537</v>
      </c>
    </row>
    <row r="304" spans="2:39">
      <c r="B304" s="478"/>
      <c r="C304" s="478" t="s">
        <v>3538</v>
      </c>
    </row>
    <row r="305" spans="2:3">
      <c r="B305" s="478"/>
    </row>
    <row r="306" spans="2:3">
      <c r="B306" s="450" t="s">
        <v>798</v>
      </c>
    </row>
    <row r="307" spans="2:3">
      <c r="B307" s="478" t="s">
        <v>3539</v>
      </c>
    </row>
    <row r="308" spans="2:3">
      <c r="B308" s="478" t="s">
        <v>3541</v>
      </c>
    </row>
    <row r="310" spans="2:3">
      <c r="B310" s="450" t="s">
        <v>560</v>
      </c>
    </row>
    <row r="311" spans="2:3">
      <c r="B311" s="478" t="s">
        <v>2384</v>
      </c>
    </row>
    <row r="313" spans="2:3">
      <c r="B313" s="627" t="s">
        <v>3555</v>
      </c>
    </row>
    <row r="314" spans="2:3">
      <c r="B314" s="478" t="s">
        <v>3589</v>
      </c>
      <c r="C314" s="478" t="s">
        <v>3549</v>
      </c>
    </row>
    <row r="315" spans="2:3">
      <c r="B315" s="478" t="s">
        <v>3550</v>
      </c>
    </row>
    <row r="316" spans="2:3">
      <c r="B316" s="478" t="s">
        <v>3551</v>
      </c>
      <c r="C316" s="478" t="s">
        <v>3552</v>
      </c>
    </row>
    <row r="317" spans="2:3">
      <c r="C317" s="478" t="s">
        <v>3553</v>
      </c>
    </row>
    <row r="318" spans="2:3">
      <c r="C318" s="478" t="s">
        <v>3554</v>
      </c>
    </row>
    <row r="320" spans="2:3">
      <c r="B320" s="499" t="s">
        <v>2817</v>
      </c>
    </row>
    <row r="321" spans="2:39">
      <c r="B321" s="478" t="s">
        <v>3558</v>
      </c>
    </row>
    <row r="322" spans="2:39">
      <c r="B322" s="785" t="s">
        <v>3556</v>
      </c>
    </row>
    <row r="323" spans="2:39">
      <c r="B323" s="785" t="s">
        <v>3559</v>
      </c>
    </row>
    <row r="324" spans="2:39">
      <c r="B324" s="785" t="s">
        <v>3560</v>
      </c>
    </row>
    <row r="325" spans="2:39">
      <c r="B325" s="478" t="s">
        <v>3557</v>
      </c>
    </row>
    <row r="327" spans="2:39">
      <c r="B327" s="786" t="s">
        <v>3561</v>
      </c>
    </row>
    <row r="328" spans="2:39">
      <c r="B328" s="478" t="s">
        <v>3562</v>
      </c>
    </row>
    <row r="329" spans="2:39">
      <c r="B329" s="478" t="s">
        <v>3587</v>
      </c>
    </row>
    <row r="331" spans="2:39">
      <c r="B331" s="478" t="s">
        <v>3563</v>
      </c>
    </row>
    <row r="332" spans="2:39">
      <c r="B332" s="478" t="s">
        <v>3564</v>
      </c>
    </row>
    <row r="334" spans="2:39">
      <c r="B334" s="478" t="s">
        <v>3565</v>
      </c>
    </row>
    <row r="335" spans="2:39">
      <c r="B335" s="478" t="s">
        <v>3566</v>
      </c>
      <c r="AM335">
        <v>220</v>
      </c>
    </row>
    <row r="337" spans="2:39">
      <c r="B337" s="478" t="s">
        <v>3567</v>
      </c>
    </row>
    <row r="339" spans="2:39">
      <c r="B339" s="499" t="s">
        <v>3568</v>
      </c>
    </row>
    <row r="340" spans="2:39">
      <c r="B340" s="478" t="s">
        <v>1453</v>
      </c>
    </row>
    <row r="341" spans="2:39">
      <c r="B341" s="478" t="s">
        <v>3569</v>
      </c>
      <c r="C341" s="478" t="s">
        <v>3570</v>
      </c>
    </row>
    <row r="342" spans="2:39">
      <c r="B342" s="478" t="s">
        <v>3571</v>
      </c>
    </row>
    <row r="344" spans="2:39">
      <c r="B344" s="478" t="s">
        <v>3572</v>
      </c>
    </row>
    <row r="345" spans="2:39">
      <c r="B345" s="478" t="s">
        <v>3573</v>
      </c>
    </row>
    <row r="347" spans="2:39">
      <c r="B347" s="499" t="s">
        <v>3574</v>
      </c>
    </row>
    <row r="348" spans="2:39">
      <c r="B348" s="478" t="s">
        <v>3575</v>
      </c>
      <c r="AM348">
        <v>-419</v>
      </c>
    </row>
    <row r="349" spans="2:39">
      <c r="B349" s="478" t="s">
        <v>3577</v>
      </c>
    </row>
    <row r="350" spans="2:39">
      <c r="B350" s="478" t="s">
        <v>3578</v>
      </c>
      <c r="AM350">
        <v>8</v>
      </c>
    </row>
    <row r="351" spans="2:39">
      <c r="B351" s="478"/>
    </row>
    <row r="352" spans="2:39">
      <c r="B352" s="478" t="s">
        <v>3576</v>
      </c>
    </row>
    <row r="354" spans="2:39">
      <c r="B354" s="499" t="s">
        <v>2705</v>
      </c>
      <c r="AL354">
        <v>20</v>
      </c>
      <c r="AM354">
        <v>-13</v>
      </c>
    </row>
    <row r="355" spans="2:39">
      <c r="B355" s="478" t="s">
        <v>3579</v>
      </c>
    </row>
    <row r="356" spans="2:39">
      <c r="B356" s="478" t="s">
        <v>3580</v>
      </c>
    </row>
    <row r="357" spans="2:39">
      <c r="B357" s="478" t="s">
        <v>3581</v>
      </c>
    </row>
    <row r="358" spans="2:39">
      <c r="B358" s="478" t="s">
        <v>3582</v>
      </c>
      <c r="AM358">
        <v>-200</v>
      </c>
    </row>
    <row r="359" spans="2:39">
      <c r="AM359">
        <v>0</v>
      </c>
    </row>
    <row r="360" spans="2:39">
      <c r="B360" s="478" t="s">
        <v>3583</v>
      </c>
    </row>
    <row r="361" spans="2:39">
      <c r="B361" s="478" t="s">
        <v>3585</v>
      </c>
    </row>
    <row r="362" spans="2:39">
      <c r="B362" s="478" t="s">
        <v>3584</v>
      </c>
    </row>
    <row r="364" spans="2:39">
      <c r="B364" s="478" t="s">
        <v>3586</v>
      </c>
      <c r="AM364">
        <v>-21</v>
      </c>
    </row>
    <row r="366" spans="2:39">
      <c r="B366" s="478" t="s">
        <v>3588</v>
      </c>
    </row>
    <row r="368" spans="2:39">
      <c r="B368" s="450" t="s">
        <v>3608</v>
      </c>
    </row>
    <row r="369" spans="2:39">
      <c r="B369" s="478" t="s">
        <v>3609</v>
      </c>
      <c r="AM369">
        <v>-10</v>
      </c>
    </row>
    <row r="370" spans="2:39">
      <c r="B370" s="478" t="s">
        <v>3610</v>
      </c>
    </row>
    <row r="371" spans="2:39">
      <c r="B371" s="478" t="s">
        <v>3611</v>
      </c>
    </row>
    <row r="372" spans="2:39">
      <c r="C372" s="478" t="s">
        <v>3612</v>
      </c>
    </row>
    <row r="373" spans="2:39">
      <c r="B373" s="478" t="s">
        <v>3613</v>
      </c>
    </row>
    <row r="374" spans="2:39">
      <c r="C374" s="478" t="s">
        <v>3614</v>
      </c>
    </row>
    <row r="375" spans="2:39">
      <c r="B375" s="478" t="s">
        <v>3615</v>
      </c>
    </row>
    <row r="376" spans="2:39">
      <c r="C376" s="478" t="s">
        <v>3616</v>
      </c>
    </row>
    <row r="377" spans="2:39">
      <c r="B377" s="478" t="s">
        <v>3617</v>
      </c>
    </row>
    <row r="378" spans="2:39">
      <c r="C378" s="478" t="s">
        <v>3498</v>
      </c>
      <c r="D378" s="478" t="s">
        <v>3619</v>
      </c>
    </row>
    <row r="379" spans="2:39">
      <c r="D379" s="478" t="s">
        <v>3618</v>
      </c>
    </row>
    <row r="380" spans="2:39">
      <c r="C380" s="478" t="s">
        <v>3620</v>
      </c>
    </row>
    <row r="381" spans="2:39">
      <c r="C381" s="478" t="s">
        <v>3623</v>
      </c>
    </row>
    <row r="382" spans="2:39">
      <c r="B382" s="478" t="s">
        <v>337</v>
      </c>
    </row>
    <row r="383" spans="2:39">
      <c r="C383" s="478" t="s">
        <v>3622</v>
      </c>
    </row>
    <row r="384" spans="2:39">
      <c r="C384" s="478" t="s">
        <v>3621</v>
      </c>
    </row>
    <row r="386" spans="2:4">
      <c r="B386" s="450" t="s">
        <v>3634</v>
      </c>
    </row>
    <row r="387" spans="2:4">
      <c r="B387" s="478" t="s">
        <v>3635</v>
      </c>
      <c r="D387" s="450" t="s">
        <v>1877</v>
      </c>
    </row>
    <row r="388" spans="2:4">
      <c r="B388" s="478" t="s">
        <v>3636</v>
      </c>
      <c r="D388" s="478" t="s">
        <v>3642</v>
      </c>
    </row>
    <row r="389" spans="2:4">
      <c r="D389" s="478" t="s">
        <v>3637</v>
      </c>
    </row>
    <row r="390" spans="2:4">
      <c r="D390" s="478" t="s">
        <v>3639</v>
      </c>
    </row>
    <row r="391" spans="2:4">
      <c r="D391" s="478" t="s">
        <v>3638</v>
      </c>
    </row>
    <row r="392" spans="2:4">
      <c r="D392" s="478" t="s">
        <v>3640</v>
      </c>
    </row>
    <row r="393" spans="2:4">
      <c r="D393" s="478" t="s">
        <v>3641</v>
      </c>
    </row>
    <row r="395" spans="2:4">
      <c r="B395" s="478" t="s">
        <v>3643</v>
      </c>
    </row>
    <row r="396" spans="2:4">
      <c r="B396" s="478" t="s">
        <v>3644</v>
      </c>
    </row>
    <row r="398" spans="2:4">
      <c r="B398" s="478" t="s">
        <v>3645</v>
      </c>
    </row>
    <row r="399" spans="2:4">
      <c r="B399" s="478" t="s">
        <v>3646</v>
      </c>
    </row>
    <row r="400" spans="2:4">
      <c r="B400" s="478" t="s">
        <v>3647</v>
      </c>
    </row>
    <row r="402" spans="2:3">
      <c r="B402" s="478" t="s">
        <v>3650</v>
      </c>
    </row>
    <row r="403" spans="2:3">
      <c r="B403" s="478" t="s">
        <v>3651</v>
      </c>
    </row>
    <row r="405" spans="2:3">
      <c r="B405" s="478" t="s">
        <v>3652</v>
      </c>
    </row>
    <row r="407" spans="2:3">
      <c r="B407" s="450" t="s">
        <v>3663</v>
      </c>
    </row>
    <row r="409" spans="2:3">
      <c r="B409" s="478" t="s">
        <v>3668</v>
      </c>
    </row>
    <row r="410" spans="2:3">
      <c r="C410" s="478" t="s">
        <v>3669</v>
      </c>
    </row>
    <row r="411" spans="2:3">
      <c r="C411" s="478" t="s">
        <v>3675</v>
      </c>
    </row>
    <row r="412" spans="2:3">
      <c r="C412" s="478" t="s">
        <v>3677</v>
      </c>
    </row>
    <row r="413" spans="2:3">
      <c r="B413" s="478" t="s">
        <v>3672</v>
      </c>
    </row>
    <row r="414" spans="2:3">
      <c r="C414" s="478" t="s">
        <v>3673</v>
      </c>
    </row>
    <row r="415" spans="2:3">
      <c r="C415" s="478" t="s">
        <v>3674</v>
      </c>
    </row>
    <row r="416" spans="2:3">
      <c r="C416" s="478" t="s">
        <v>3678</v>
      </c>
    </row>
    <row r="417" spans="2:3">
      <c r="B417" s="478" t="s">
        <v>3679</v>
      </c>
    </row>
    <row r="419" spans="2:3">
      <c r="B419" s="478" t="s">
        <v>3680</v>
      </c>
    </row>
    <row r="420" spans="2:3">
      <c r="C420" t="s">
        <v>3676</v>
      </c>
    </row>
    <row r="421" spans="2:3">
      <c r="B421" s="478" t="s">
        <v>3681</v>
      </c>
    </row>
    <row r="422" spans="2:3">
      <c r="B422" s="478" t="s">
        <v>3682</v>
      </c>
    </row>
    <row r="424" spans="2:3">
      <c r="B424" s="450" t="s">
        <v>3693</v>
      </c>
    </row>
    <row r="425" spans="2:3">
      <c r="B425" s="478" t="s">
        <v>3694</v>
      </c>
    </row>
    <row r="426" spans="2:3">
      <c r="B426" s="478" t="s">
        <v>3695</v>
      </c>
    </row>
    <row r="428" spans="2:3">
      <c r="B428" s="478" t="s">
        <v>3696</v>
      </c>
    </row>
    <row r="430" spans="2:3">
      <c r="B430" s="478" t="s">
        <v>3697</v>
      </c>
    </row>
    <row r="431" spans="2:3">
      <c r="B431" s="478" t="s">
        <v>3698</v>
      </c>
    </row>
    <row r="433" spans="2:3">
      <c r="B433" s="627" t="s">
        <v>3703</v>
      </c>
    </row>
    <row r="435" spans="2:3">
      <c r="B435" s="450" t="s">
        <v>374</v>
      </c>
    </row>
    <row r="436" spans="2:3">
      <c r="B436" t="s">
        <v>3700</v>
      </c>
    </row>
    <row r="438" spans="2:3">
      <c r="B438" t="s">
        <v>1665</v>
      </c>
      <c r="C438" t="s">
        <v>3701</v>
      </c>
    </row>
    <row r="439" spans="2:3">
      <c r="C439" t="s">
        <v>3702</v>
      </c>
    </row>
    <row r="440" spans="2:3">
      <c r="C440" t="s">
        <v>3704</v>
      </c>
    </row>
    <row r="441" spans="2:3">
      <c r="C441" t="s">
        <v>3705</v>
      </c>
    </row>
    <row r="443" spans="2:3">
      <c r="B443" s="450" t="s">
        <v>371</v>
      </c>
    </row>
    <row r="444" spans="2:3">
      <c r="B444" s="478" t="s">
        <v>2380</v>
      </c>
      <c r="C444" s="478" t="s">
        <v>3706</v>
      </c>
    </row>
    <row r="445" spans="2:3">
      <c r="C445" s="478" t="s">
        <v>3707</v>
      </c>
    </row>
    <row r="447" spans="2:3">
      <c r="B447" s="450" t="s">
        <v>1831</v>
      </c>
    </row>
    <row r="448" spans="2:3">
      <c r="C448" s="478" t="s">
        <v>3708</v>
      </c>
    </row>
    <row r="449" spans="2:39">
      <c r="C449" s="478" t="s">
        <v>3709</v>
      </c>
    </row>
    <row r="451" spans="2:39">
      <c r="B451" s="478" t="s">
        <v>3710</v>
      </c>
    </row>
    <row r="453" spans="2:39">
      <c r="B453" s="478" t="s">
        <v>3711</v>
      </c>
    </row>
    <row r="455" spans="2:39">
      <c r="B455" s="627" t="s">
        <v>3185</v>
      </c>
    </row>
    <row r="457" spans="2:39">
      <c r="B457" s="478" t="s">
        <v>3712</v>
      </c>
    </row>
    <row r="459" spans="2:39">
      <c r="B459" s="478" t="s">
        <v>3713</v>
      </c>
    </row>
    <row r="460" spans="2:39">
      <c r="B460" s="478" t="s">
        <v>3714</v>
      </c>
    </row>
    <row r="461" spans="2:39">
      <c r="B461" s="478" t="s">
        <v>3715</v>
      </c>
    </row>
    <row r="463" spans="2:39">
      <c r="B463" s="478" t="s">
        <v>3717</v>
      </c>
    </row>
    <row r="464" spans="2:39">
      <c r="AM464" s="583">
        <v>-3.7999999999999999E-2</v>
      </c>
    </row>
    <row r="465" spans="2:39">
      <c r="B465" s="478" t="s">
        <v>3716</v>
      </c>
    </row>
    <row r="466" spans="2:39">
      <c r="AM466" s="583">
        <v>1.2E-2</v>
      </c>
    </row>
    <row r="467" spans="2:39">
      <c r="B467" s="478" t="s">
        <v>3718</v>
      </c>
      <c r="AM467" s="449">
        <v>-0.08</v>
      </c>
    </row>
    <row r="468" spans="2:39">
      <c r="B468" s="478" t="s">
        <v>3719</v>
      </c>
      <c r="AM468" s="449">
        <v>-0.02</v>
      </c>
    </row>
    <row r="470" spans="2:39">
      <c r="B470" s="478" t="s">
        <v>3720</v>
      </c>
      <c r="AK470">
        <f>AK295</f>
        <v>0</v>
      </c>
      <c r="AL470">
        <f>AL295</f>
        <v>0</v>
      </c>
      <c r="AM470">
        <f>AM295</f>
        <v>-3.1E-2</v>
      </c>
    </row>
    <row r="471" spans="2:39">
      <c r="B471" s="478" t="s">
        <v>3721</v>
      </c>
    </row>
    <row r="473" spans="2:39">
      <c r="B473" s="478" t="s">
        <v>3722</v>
      </c>
    </row>
    <row r="475" spans="2:39">
      <c r="B475" s="478" t="s">
        <v>3723</v>
      </c>
    </row>
    <row r="476" spans="2:39">
      <c r="B476" s="478" t="s">
        <v>3724</v>
      </c>
    </row>
    <row r="477" spans="2:39">
      <c r="B477" s="478" t="s">
        <v>3725</v>
      </c>
      <c r="C477" s="478" t="s">
        <v>3726</v>
      </c>
    </row>
    <row r="478" spans="2:39">
      <c r="C478" s="478" t="s">
        <v>3727</v>
      </c>
    </row>
    <row r="479" spans="2:39">
      <c r="C479" s="478" t="s">
        <v>3728</v>
      </c>
    </row>
    <row r="481" spans="2:3">
      <c r="B481" s="478" t="s">
        <v>3729</v>
      </c>
    </row>
    <row r="482" spans="2:3">
      <c r="B482" s="478" t="s">
        <v>3730</v>
      </c>
    </row>
    <row r="483" spans="2:3">
      <c r="B483" s="478" t="s">
        <v>3731</v>
      </c>
    </row>
    <row r="484" spans="2:3">
      <c r="B484" s="478" t="s">
        <v>3732</v>
      </c>
    </row>
    <row r="486" spans="2:3">
      <c r="B486" s="478" t="s">
        <v>3733</v>
      </c>
    </row>
    <row r="488" spans="2:3">
      <c r="B488" s="478" t="s">
        <v>3734</v>
      </c>
    </row>
    <row r="489" spans="2:3">
      <c r="B489" s="478" t="s">
        <v>3735</v>
      </c>
    </row>
    <row r="491" spans="2:3">
      <c r="B491" s="478" t="s">
        <v>3736</v>
      </c>
    </row>
    <row r="492" spans="2:3">
      <c r="C492" s="478" t="s">
        <v>3737</v>
      </c>
    </row>
    <row r="493" spans="2:3">
      <c r="C493" s="478" t="s">
        <v>3738</v>
      </c>
    </row>
    <row r="495" spans="2:3">
      <c r="B495" s="450" t="s">
        <v>3759</v>
      </c>
    </row>
    <row r="496" spans="2:3">
      <c r="C496" s="478" t="s">
        <v>3739</v>
      </c>
    </row>
    <row r="497" spans="2:4">
      <c r="C497" s="478" t="s">
        <v>3740</v>
      </c>
    </row>
    <row r="498" spans="2:4">
      <c r="C498" s="478" t="s">
        <v>3741</v>
      </c>
    </row>
    <row r="499" spans="2:4">
      <c r="D499" s="478" t="s">
        <v>3742</v>
      </c>
    </row>
    <row r="500" spans="2:4">
      <c r="D500" s="478" t="s">
        <v>3743</v>
      </c>
    </row>
    <row r="501" spans="2:4">
      <c r="D501" s="478" t="s">
        <v>3744</v>
      </c>
    </row>
    <row r="503" spans="2:4">
      <c r="C503" s="478" t="s">
        <v>3745</v>
      </c>
    </row>
    <row r="504" spans="2:4">
      <c r="C504" s="478" t="s">
        <v>3746</v>
      </c>
    </row>
    <row r="506" spans="2:4">
      <c r="B506" s="478" t="s">
        <v>3747</v>
      </c>
    </row>
    <row r="507" spans="2:4">
      <c r="B507" s="478"/>
    </row>
    <row r="508" spans="2:4">
      <c r="B508" s="478" t="s">
        <v>3748</v>
      </c>
    </row>
    <row r="509" spans="2:4">
      <c r="C509" s="478" t="s">
        <v>3749</v>
      </c>
      <c r="D509" s="478"/>
    </row>
    <row r="510" spans="2:4">
      <c r="C510" s="478" t="s">
        <v>3750</v>
      </c>
    </row>
    <row r="512" spans="2:4">
      <c r="B512" s="450" t="s">
        <v>3751</v>
      </c>
    </row>
    <row r="513" spans="2:4">
      <c r="C513" s="478" t="s">
        <v>3752</v>
      </c>
    </row>
    <row r="514" spans="2:4">
      <c r="C514" s="478" t="s">
        <v>3753</v>
      </c>
    </row>
    <row r="515" spans="2:4">
      <c r="C515" s="478" t="s">
        <v>3754</v>
      </c>
    </row>
    <row r="517" spans="2:4">
      <c r="B517" s="450" t="s">
        <v>3755</v>
      </c>
    </row>
    <row r="518" spans="2:4">
      <c r="C518" s="478" t="s">
        <v>3756</v>
      </c>
    </row>
    <row r="519" spans="2:4">
      <c r="C519" s="478" t="s">
        <v>3757</v>
      </c>
    </row>
    <row r="520" spans="2:4">
      <c r="C520" s="478" t="s">
        <v>3758</v>
      </c>
    </row>
    <row r="522" spans="2:4">
      <c r="B522" s="450" t="s">
        <v>3760</v>
      </c>
    </row>
    <row r="523" spans="2:4">
      <c r="C523" s="478" t="s">
        <v>3761</v>
      </c>
    </row>
    <row r="524" spans="2:4">
      <c r="C524" s="478" t="s">
        <v>3762</v>
      </c>
    </row>
    <row r="525" spans="2:4">
      <c r="C525" s="478" t="s">
        <v>3765</v>
      </c>
    </row>
    <row r="526" spans="2:4">
      <c r="C526" s="478"/>
      <c r="D526" s="478" t="s">
        <v>3766</v>
      </c>
    </row>
    <row r="527" spans="2:4">
      <c r="D527" s="478" t="s">
        <v>3767</v>
      </c>
    </row>
    <row r="528" spans="2:4">
      <c r="D528" s="478" t="s">
        <v>3768</v>
      </c>
    </row>
    <row r="529" spans="2:3">
      <c r="B529" s="450" t="s">
        <v>1381</v>
      </c>
    </row>
    <row r="530" spans="2:3">
      <c r="C530" s="478" t="s">
        <v>3763</v>
      </c>
    </row>
    <row r="531" spans="2:3">
      <c r="C531" s="478" t="s">
        <v>3764</v>
      </c>
    </row>
    <row r="533" spans="2:3">
      <c r="C533" s="478" t="s">
        <v>3769</v>
      </c>
    </row>
    <row r="534" spans="2:3">
      <c r="C534" s="478" t="s">
        <v>3770</v>
      </c>
    </row>
    <row r="535" spans="2:3">
      <c r="C535" s="478" t="s">
        <v>3771</v>
      </c>
    </row>
    <row r="536" spans="2:3">
      <c r="C536" s="478" t="s">
        <v>3772</v>
      </c>
    </row>
    <row r="537" spans="2:3">
      <c r="C537" s="478" t="s">
        <v>3773</v>
      </c>
    </row>
    <row r="538" spans="2:3">
      <c r="C538" s="478" t="s">
        <v>3774</v>
      </c>
    </row>
    <row r="540" spans="2:3">
      <c r="B540" s="450" t="s">
        <v>1665</v>
      </c>
    </row>
    <row r="541" spans="2:3">
      <c r="C541" s="478" t="s">
        <v>3775</v>
      </c>
    </row>
    <row r="542" spans="2:3">
      <c r="C542" s="478" t="s">
        <v>3776</v>
      </c>
    </row>
    <row r="544" spans="2:3">
      <c r="B544" s="3" t="s">
        <v>3814</v>
      </c>
    </row>
    <row r="546" spans="2:3">
      <c r="B546" t="s">
        <v>3815</v>
      </c>
    </row>
    <row r="547" spans="2:3">
      <c r="B547" t="s">
        <v>3816</v>
      </c>
    </row>
    <row r="548" spans="2:3">
      <c r="B548" t="s">
        <v>3817</v>
      </c>
    </row>
    <row r="549" spans="2:3">
      <c r="C549" t="s">
        <v>3818</v>
      </c>
    </row>
    <row r="551" spans="2:3">
      <c r="B551" t="s">
        <v>3827</v>
      </c>
    </row>
    <row r="552" spans="2:3">
      <c r="B552" t="s">
        <v>3828</v>
      </c>
    </row>
    <row r="554" spans="2:3">
      <c r="B554" t="s">
        <v>3829</v>
      </c>
    </row>
    <row r="556" spans="2:3">
      <c r="B556" s="478" t="s">
        <v>3830</v>
      </c>
    </row>
    <row r="558" spans="2:3">
      <c r="B558" s="478" t="s">
        <v>3831</v>
      </c>
    </row>
    <row r="559" spans="2:3">
      <c r="B559" s="478" t="s">
        <v>3832</v>
      </c>
    </row>
    <row r="562" spans="2:3">
      <c r="B562" s="487" t="s">
        <v>2379</v>
      </c>
      <c r="C562" s="508" t="s">
        <v>2602</v>
      </c>
    </row>
    <row r="563" spans="2:3">
      <c r="B563" s="478" t="s">
        <v>3833</v>
      </c>
      <c r="C563" s="464">
        <f>Newquarts!M206*4</f>
        <v>680.31200000000001</v>
      </c>
    </row>
    <row r="564" spans="2:3">
      <c r="B564" s="478" t="s">
        <v>1243</v>
      </c>
      <c r="C564" s="953">
        <f>SOP!E15</f>
        <v>5.321140649100248</v>
      </c>
    </row>
    <row r="565" spans="2:3">
      <c r="B565" s="478" t="s">
        <v>245</v>
      </c>
      <c r="C565" s="464">
        <f>C563*C564</f>
        <v>3620.0358372706878</v>
      </c>
    </row>
    <row r="566" spans="2:3">
      <c r="B566" s="478" t="s">
        <v>3834</v>
      </c>
      <c r="C566" s="464">
        <f>C563*C567</f>
        <v>761.9494400000001</v>
      </c>
    </row>
    <row r="567" spans="2:3">
      <c r="B567" s="478" t="s">
        <v>3055</v>
      </c>
      <c r="C567" s="468">
        <v>1.1200000000000001</v>
      </c>
    </row>
    <row r="568" spans="2:3">
      <c r="B568" s="478" t="s">
        <v>3835</v>
      </c>
      <c r="C568" s="464">
        <f>C565-C566</f>
        <v>2858.0863972706875</v>
      </c>
    </row>
    <row r="569" spans="2:3">
      <c r="B569" s="486" t="s">
        <v>3837</v>
      </c>
      <c r="C569" s="449">
        <v>0.55000000000000004</v>
      </c>
    </row>
    <row r="570" spans="2:3">
      <c r="B570" s="486" t="s">
        <v>3838</v>
      </c>
      <c r="C570" s="464">
        <f>C568*C569</f>
        <v>1571.9475184988783</v>
      </c>
    </row>
    <row r="571" spans="2:3">
      <c r="B571" s="478" t="s">
        <v>3836</v>
      </c>
      <c r="C571" s="449">
        <f>C570/Valuation!E10</f>
        <v>0.5319543744213715</v>
      </c>
    </row>
    <row r="573" spans="2:3">
      <c r="B573" s="499" t="s">
        <v>1877</v>
      </c>
    </row>
    <row r="575" spans="2:3">
      <c r="B575" s="478" t="s">
        <v>3839</v>
      </c>
      <c r="C575" s="478" t="s">
        <v>3840</v>
      </c>
    </row>
    <row r="576" spans="2:3">
      <c r="C576" s="478" t="s">
        <v>3841</v>
      </c>
    </row>
    <row r="577" spans="2:4">
      <c r="C577" s="478" t="s">
        <v>3842</v>
      </c>
    </row>
    <row r="578" spans="2:4">
      <c r="B578" s="478" t="s">
        <v>3843</v>
      </c>
    </row>
    <row r="579" spans="2:4">
      <c r="C579" s="478" t="s">
        <v>3844</v>
      </c>
    </row>
    <row r="580" spans="2:4">
      <c r="B580" s="478" t="s">
        <v>3845</v>
      </c>
    </row>
    <row r="581" spans="2:4">
      <c r="C581" s="478" t="s">
        <v>3847</v>
      </c>
    </row>
    <row r="582" spans="2:4">
      <c r="C582" s="478" t="s">
        <v>3846</v>
      </c>
    </row>
    <row r="583" spans="2:4">
      <c r="C583" s="478" t="s">
        <v>3848</v>
      </c>
    </row>
    <row r="584" spans="2:4">
      <c r="B584" s="478" t="s">
        <v>1665</v>
      </c>
    </row>
    <row r="585" spans="2:4">
      <c r="C585" s="478" t="s">
        <v>3849</v>
      </c>
    </row>
    <row r="586" spans="2:4">
      <c r="B586" s="478" t="s">
        <v>3854</v>
      </c>
    </row>
    <row r="587" spans="2:4">
      <c r="C587" s="478" t="s">
        <v>3850</v>
      </c>
    </row>
    <row r="588" spans="2:4">
      <c r="C588" s="478" t="s">
        <v>3857</v>
      </c>
    </row>
    <row r="589" spans="2:4">
      <c r="D589" s="478" t="s">
        <v>3851</v>
      </c>
    </row>
    <row r="590" spans="2:4">
      <c r="D590" s="478" t="s">
        <v>3852</v>
      </c>
    </row>
    <row r="591" spans="2:4">
      <c r="D591" s="478" t="s">
        <v>3853</v>
      </c>
    </row>
    <row r="592" spans="2:4">
      <c r="C592" s="478" t="s">
        <v>2377</v>
      </c>
      <c r="D592" s="478" t="s">
        <v>3855</v>
      </c>
    </row>
    <row r="593" spans="2:5">
      <c r="E593" s="478" t="s">
        <v>3856</v>
      </c>
    </row>
    <row r="594" spans="2:5">
      <c r="B594" s="478" t="s">
        <v>2842</v>
      </c>
    </row>
    <row r="595" spans="2:5">
      <c r="C595" s="478" t="s">
        <v>3858</v>
      </c>
    </row>
    <row r="596" spans="2:5">
      <c r="C596" s="478" t="s">
        <v>3859</v>
      </c>
    </row>
    <row r="597" spans="2:5">
      <c r="B597" s="478" t="s">
        <v>1665</v>
      </c>
    </row>
    <row r="598" spans="2:5">
      <c r="C598" s="478" t="s">
        <v>3860</v>
      </c>
    </row>
    <row r="599" spans="2:5">
      <c r="C599" s="478" t="s">
        <v>3861</v>
      </c>
    </row>
    <row r="600" spans="2:5">
      <c r="B600" s="478" t="s">
        <v>2377</v>
      </c>
      <c r="D600" s="478" t="s">
        <v>3863</v>
      </c>
    </row>
    <row r="601" spans="2:5">
      <c r="C601" s="478" t="s">
        <v>3862</v>
      </c>
    </row>
    <row r="602" spans="2:5">
      <c r="B602" s="478" t="s">
        <v>3864</v>
      </c>
    </row>
    <row r="603" spans="2:5">
      <c r="C603" s="478" t="s">
        <v>3865</v>
      </c>
    </row>
    <row r="605" spans="2:5">
      <c r="B605" s="988">
        <v>42339</v>
      </c>
    </row>
    <row r="607" spans="2:5">
      <c r="B607" s="478" t="s">
        <v>2282</v>
      </c>
    </row>
    <row r="608" spans="2:5">
      <c r="B608" s="478" t="s">
        <v>3877</v>
      </c>
    </row>
    <row r="609" spans="2:5">
      <c r="C609" s="486" t="s">
        <v>3878</v>
      </c>
    </row>
    <row r="610" spans="2:5">
      <c r="C610" s="486"/>
    </row>
    <row r="611" spans="2:5">
      <c r="B611" s="478" t="s">
        <v>3889</v>
      </c>
      <c r="C611">
        <v>2016</v>
      </c>
      <c r="D611" s="568" t="s">
        <v>3888</v>
      </c>
    </row>
    <row r="612" spans="2:5">
      <c r="C612" s="486"/>
    </row>
    <row r="613" spans="2:5">
      <c r="C613" s="486"/>
      <c r="D613" s="506" t="s">
        <v>3890</v>
      </c>
      <c r="E613" s="478" t="s">
        <v>3891</v>
      </c>
    </row>
    <row r="614" spans="2:5">
      <c r="C614" s="486"/>
      <c r="D614">
        <v>215</v>
      </c>
      <c r="E614" s="478" t="s">
        <v>3892</v>
      </c>
    </row>
    <row r="615" spans="2:5">
      <c r="C615" s="486"/>
      <c r="D615">
        <v>115</v>
      </c>
      <c r="E615" s="478" t="s">
        <v>3893</v>
      </c>
    </row>
    <row r="616" spans="2:5">
      <c r="C616" s="486"/>
      <c r="E616" s="478" t="s">
        <v>3894</v>
      </c>
    </row>
    <row r="617" spans="2:5">
      <c r="C617" s="486"/>
      <c r="D617" s="455">
        <f>D618-D614-D615-D616</f>
        <v>70</v>
      </c>
      <c r="E617" s="478" t="s">
        <v>3895</v>
      </c>
    </row>
    <row r="618" spans="2:5">
      <c r="C618" s="486"/>
      <c r="D618">
        <v>400</v>
      </c>
      <c r="E618" s="478"/>
    </row>
    <row r="619" spans="2:5">
      <c r="C619" s="486"/>
      <c r="D619" s="478" t="s">
        <v>3896</v>
      </c>
      <c r="E619" s="478"/>
    </row>
    <row r="620" spans="2:5">
      <c r="C620" s="486"/>
      <c r="D620" s="478">
        <v>2.2000000000000002</v>
      </c>
      <c r="E620" s="478"/>
    </row>
    <row r="621" spans="2:5">
      <c r="C621" s="486"/>
      <c r="D621">
        <v>1.3</v>
      </c>
    </row>
    <row r="622" spans="2:5">
      <c r="C622" s="486"/>
      <c r="D622">
        <v>900</v>
      </c>
      <c r="E622" s="478" t="s">
        <v>3897</v>
      </c>
    </row>
    <row r="623" spans="2:5">
      <c r="C623" s="486"/>
      <c r="D623" s="455">
        <v>400</v>
      </c>
      <c r="E623" s="478" t="s">
        <v>3898</v>
      </c>
    </row>
    <row r="624" spans="2:5">
      <c r="C624" s="486"/>
      <c r="D624">
        <v>500</v>
      </c>
    </row>
    <row r="625" spans="2:7">
      <c r="C625" s="486"/>
      <c r="D625">
        <v>50</v>
      </c>
    </row>
    <row r="626" spans="2:7">
      <c r="C626" s="486"/>
      <c r="D626">
        <f>D624-D625</f>
        <v>450</v>
      </c>
      <c r="E626" s="478" t="s">
        <v>2097</v>
      </c>
      <c r="G626" s="478" t="s">
        <v>1823</v>
      </c>
    </row>
    <row r="627" spans="2:7">
      <c r="C627" s="486"/>
      <c r="E627" s="478" t="s">
        <v>3899</v>
      </c>
    </row>
    <row r="628" spans="2:7">
      <c r="C628" s="486"/>
      <c r="D628">
        <f>D626+D618</f>
        <v>850</v>
      </c>
      <c r="E628" s="486">
        <v>0.27</v>
      </c>
    </row>
    <row r="629" spans="2:7">
      <c r="C629" s="486"/>
      <c r="D629" s="454">
        <f>D628*E628</f>
        <v>229.50000000000003</v>
      </c>
      <c r="E629" s="478"/>
    </row>
    <row r="630" spans="2:7">
      <c r="C630" s="486"/>
      <c r="D630">
        <v>50</v>
      </c>
      <c r="E630" s="478" t="s">
        <v>3900</v>
      </c>
    </row>
    <row r="631" spans="2:7">
      <c r="C631" s="486"/>
      <c r="D631" s="454">
        <f>D629+D630</f>
        <v>279.5</v>
      </c>
      <c r="E631" s="478"/>
    </row>
    <row r="632" spans="2:7">
      <c r="C632" s="486"/>
      <c r="E632" s="478"/>
    </row>
    <row r="633" spans="2:7">
      <c r="B633" s="478" t="s">
        <v>3901</v>
      </c>
      <c r="C633" s="486"/>
      <c r="E633" s="478"/>
    </row>
    <row r="634" spans="2:7">
      <c r="C634" s="486"/>
      <c r="E634" s="478"/>
    </row>
    <row r="635" spans="2:7">
      <c r="C635" s="486"/>
      <c r="E635" s="478"/>
    </row>
    <row r="636" spans="2:7">
      <c r="B636" s="478" t="s">
        <v>3880</v>
      </c>
    </row>
    <row r="637" spans="2:7">
      <c r="C637" s="478" t="s">
        <v>3881</v>
      </c>
    </row>
    <row r="638" spans="2:7">
      <c r="C638" s="478" t="s">
        <v>3902</v>
      </c>
    </row>
    <row r="639" spans="2:7">
      <c r="C639" s="478" t="s">
        <v>3903</v>
      </c>
    </row>
    <row r="640" spans="2:7">
      <c r="C640" s="478"/>
      <c r="D640" s="478" t="s">
        <v>3904</v>
      </c>
    </row>
    <row r="641" spans="2:37">
      <c r="C641" s="478"/>
    </row>
    <row r="642" spans="2:37">
      <c r="B642" s="478" t="s">
        <v>3882</v>
      </c>
    </row>
    <row r="644" spans="2:37">
      <c r="B644" s="478" t="s">
        <v>3883</v>
      </c>
      <c r="C644" s="478" t="s">
        <v>3886</v>
      </c>
    </row>
    <row r="645" spans="2:37">
      <c r="C645" s="478"/>
    </row>
    <row r="646" spans="2:37">
      <c r="B646" s="478" t="s">
        <v>1665</v>
      </c>
      <c r="AK646" t="s">
        <v>5799</v>
      </c>
    </row>
    <row r="647" spans="2:37">
      <c r="B647" s="478"/>
      <c r="C647" s="478" t="s">
        <v>3887</v>
      </c>
      <c r="AK647">
        <v>269</v>
      </c>
    </row>
    <row r="648" spans="2:37">
      <c r="AK648">
        <v>586</v>
      </c>
    </row>
    <row r="649" spans="2:37">
      <c r="B649" s="450" t="s">
        <v>3997</v>
      </c>
      <c r="AK649">
        <v>174</v>
      </c>
    </row>
    <row r="650" spans="2:37">
      <c r="AK650">
        <v>532</v>
      </c>
    </row>
    <row r="651" spans="2:37">
      <c r="B651" s="478" t="s">
        <v>3994</v>
      </c>
      <c r="AK651">
        <v>1731</v>
      </c>
    </row>
    <row r="653" spans="2:37">
      <c r="B653" s="478" t="s">
        <v>3995</v>
      </c>
    </row>
    <row r="654" spans="2:37">
      <c r="B654" s="478" t="s">
        <v>3996</v>
      </c>
      <c r="AK654">
        <v>446</v>
      </c>
    </row>
    <row r="655" spans="2:37">
      <c r="AK655">
        <v>453</v>
      </c>
    </row>
    <row r="656" spans="2:37">
      <c r="B656" s="478" t="s">
        <v>3998</v>
      </c>
    </row>
    <row r="657" spans="2:37">
      <c r="B657" s="478" t="s">
        <v>3999</v>
      </c>
      <c r="AK657">
        <v>4453</v>
      </c>
    </row>
    <row r="658" spans="2:37">
      <c r="B658" s="478" t="s">
        <v>4000</v>
      </c>
    </row>
    <row r="660" spans="2:37">
      <c r="B660" s="478" t="s">
        <v>4001</v>
      </c>
      <c r="AK660">
        <f>AK647-AJ647</f>
        <v>269</v>
      </c>
    </row>
    <row r="661" spans="2:37">
      <c r="AK661">
        <f t="shared" ref="AK661:AK670" si="0">AK648-AJ648</f>
        <v>586</v>
      </c>
    </row>
    <row r="662" spans="2:37">
      <c r="B662" s="478" t="s">
        <v>4002</v>
      </c>
      <c r="C662" s="478" t="s">
        <v>4003</v>
      </c>
      <c r="AK662">
        <f t="shared" si="0"/>
        <v>174</v>
      </c>
    </row>
    <row r="663" spans="2:37">
      <c r="C663" s="478" t="s">
        <v>4004</v>
      </c>
      <c r="AK663">
        <f t="shared" si="0"/>
        <v>532</v>
      </c>
    </row>
    <row r="664" spans="2:37">
      <c r="B664" s="478" t="s">
        <v>3593</v>
      </c>
      <c r="C664" s="478" t="s">
        <v>4005</v>
      </c>
      <c r="AK664">
        <f t="shared" si="0"/>
        <v>1731</v>
      </c>
    </row>
    <row r="665" spans="2:37">
      <c r="C665" s="478" t="s">
        <v>4006</v>
      </c>
      <c r="AK665">
        <f t="shared" si="0"/>
        <v>0</v>
      </c>
    </row>
    <row r="666" spans="2:37">
      <c r="AK666">
        <f t="shared" si="0"/>
        <v>0</v>
      </c>
    </row>
    <row r="667" spans="2:37">
      <c r="B667" s="478" t="s">
        <v>1545</v>
      </c>
      <c r="AK667">
        <f t="shared" si="0"/>
        <v>446</v>
      </c>
    </row>
    <row r="668" spans="2:37">
      <c r="C668" s="478" t="s">
        <v>4007</v>
      </c>
      <c r="AK668">
        <f t="shared" si="0"/>
        <v>453</v>
      </c>
    </row>
    <row r="669" spans="2:37">
      <c r="C669" s="478" t="s">
        <v>4008</v>
      </c>
      <c r="AK669" s="455">
        <f t="shared" si="0"/>
        <v>0</v>
      </c>
    </row>
    <row r="670" spans="2:37">
      <c r="B670" s="478" t="s">
        <v>4009</v>
      </c>
      <c r="AK670">
        <f t="shared" si="0"/>
        <v>4453</v>
      </c>
    </row>
    <row r="671" spans="2:37">
      <c r="C671" s="478" t="s">
        <v>4010</v>
      </c>
    </row>
    <row r="672" spans="2:37">
      <c r="C672" s="478" t="s">
        <v>4011</v>
      </c>
    </row>
    <row r="673" spans="2:6">
      <c r="C673" s="478" t="s">
        <v>4012</v>
      </c>
      <c r="F673" s="478" t="s">
        <v>4013</v>
      </c>
    </row>
    <row r="675" spans="2:6">
      <c r="B675" s="478" t="s">
        <v>4014</v>
      </c>
    </row>
    <row r="676" spans="2:6">
      <c r="C676" s="478" t="s">
        <v>4015</v>
      </c>
    </row>
    <row r="678" spans="2:6">
      <c r="B678" s="478" t="s">
        <v>3952</v>
      </c>
    </row>
    <row r="679" spans="2:6">
      <c r="C679" s="478" t="s">
        <v>4016</v>
      </c>
    </row>
    <row r="680" spans="2:6">
      <c r="C680" s="478" t="s">
        <v>4017</v>
      </c>
    </row>
    <row r="681" spans="2:6">
      <c r="C681" s="478" t="s">
        <v>4018</v>
      </c>
    </row>
    <row r="682" spans="2:6">
      <c r="D682" s="478" t="s">
        <v>4019</v>
      </c>
    </row>
    <row r="684" spans="2:6">
      <c r="B684" s="478" t="s">
        <v>3869</v>
      </c>
    </row>
    <row r="685" spans="2:6">
      <c r="C685" s="478" t="s">
        <v>4022</v>
      </c>
    </row>
    <row r="686" spans="2:6">
      <c r="C686" s="478" t="s">
        <v>4020</v>
      </c>
    </row>
    <row r="687" spans="2:6">
      <c r="D687" s="478" t="s">
        <v>4021</v>
      </c>
    </row>
    <row r="689" spans="2:19">
      <c r="B689" s="478" t="s">
        <v>3175</v>
      </c>
      <c r="O689" s="478" t="s">
        <v>5799</v>
      </c>
      <c r="P689" s="478" t="s">
        <v>6420</v>
      </c>
      <c r="R689" t="s">
        <v>6420</v>
      </c>
      <c r="S689" s="455"/>
    </row>
    <row r="690" spans="2:19">
      <c r="O690" s="478" t="s">
        <v>4023</v>
      </c>
      <c r="P690" s="478" t="s">
        <v>4023</v>
      </c>
      <c r="Q690" t="e">
        <f>O690/P690-1</f>
        <v>#VALUE!</v>
      </c>
      <c r="R690" s="478">
        <v>1499</v>
      </c>
      <c r="S690" s="509" t="e">
        <f>O690/R690-1</f>
        <v>#VALUE!</v>
      </c>
    </row>
    <row r="691" spans="2:19">
      <c r="Q691" t="e">
        <f>O691/P691-1</f>
        <v>#DIV/0!</v>
      </c>
      <c r="R691">
        <v>1394</v>
      </c>
      <c r="S691" s="509">
        <f>O691/R691-1</f>
        <v>-1</v>
      </c>
    </row>
    <row r="692" spans="2:19">
      <c r="B692" s="478" t="s">
        <v>1665</v>
      </c>
      <c r="O692" s="478" t="s">
        <v>4024</v>
      </c>
      <c r="P692" s="478" t="s">
        <v>4024</v>
      </c>
      <c r="Q692" t="e">
        <f>O692/P692-1</f>
        <v>#VALUE!</v>
      </c>
      <c r="R692" s="478">
        <v>595</v>
      </c>
      <c r="S692" s="509" t="e">
        <f>O692/R692-1</f>
        <v>#VALUE!</v>
      </c>
    </row>
    <row r="693" spans="2:19">
      <c r="Q693" t="e">
        <f>O693/P693-1</f>
        <v>#DIV/0!</v>
      </c>
    </row>
    <row r="694" spans="2:19">
      <c r="B694" s="478" t="s">
        <v>4026</v>
      </c>
    </row>
    <row r="695" spans="2:19">
      <c r="O695" s="478" t="s">
        <v>4027</v>
      </c>
      <c r="P695" s="478" t="s">
        <v>4027</v>
      </c>
      <c r="R695" s="478" t="s">
        <v>4027</v>
      </c>
      <c r="S695" s="478" t="s">
        <v>4027</v>
      </c>
    </row>
    <row r="696" spans="2:19">
      <c r="O696" s="478" t="s">
        <v>4028</v>
      </c>
      <c r="P696" s="478" t="s">
        <v>4028</v>
      </c>
      <c r="R696" s="478" t="s">
        <v>4028</v>
      </c>
      <c r="S696" s="478" t="s">
        <v>4028</v>
      </c>
    </row>
    <row r="698" spans="2:19">
      <c r="B698" s="478" t="s">
        <v>3365</v>
      </c>
      <c r="O698" s="478" t="s">
        <v>4029</v>
      </c>
      <c r="P698" s="478" t="s">
        <v>4029</v>
      </c>
      <c r="Q698" t="e">
        <f t="shared" ref="Q698:Q707" si="1">O698/P698-1</f>
        <v>#VALUE!</v>
      </c>
      <c r="R698" s="478">
        <v>1409</v>
      </c>
      <c r="S698" s="509" t="e">
        <f>O698/R698-1</f>
        <v>#VALUE!</v>
      </c>
    </row>
    <row r="699" spans="2:19">
      <c r="Q699" t="e">
        <f t="shared" si="1"/>
        <v>#DIV/0!</v>
      </c>
      <c r="R699">
        <v>1304</v>
      </c>
      <c r="S699" s="509">
        <f>O699/R699-1</f>
        <v>-1</v>
      </c>
    </row>
    <row r="700" spans="2:19">
      <c r="B700" s="627" t="s">
        <v>3866</v>
      </c>
      <c r="Q700" t="e">
        <f t="shared" si="1"/>
        <v>#DIV/0!</v>
      </c>
      <c r="R700">
        <v>568</v>
      </c>
      <c r="S700" s="509">
        <f>O700/R700-1</f>
        <v>-1</v>
      </c>
    </row>
    <row r="702" spans="2:19">
      <c r="B702" s="478" t="s">
        <v>4041</v>
      </c>
      <c r="Q702" t="e">
        <f t="shared" si="1"/>
        <v>#DIV/0!</v>
      </c>
      <c r="R702">
        <v>183</v>
      </c>
      <c r="S702" s="509">
        <f>O702/R702-1</f>
        <v>-1</v>
      </c>
    </row>
    <row r="703" spans="2:19">
      <c r="B703" s="478" t="s">
        <v>4042</v>
      </c>
      <c r="Q703" t="e">
        <f t="shared" si="1"/>
        <v>#DIV/0!</v>
      </c>
      <c r="R703">
        <v>12</v>
      </c>
      <c r="S703" s="509">
        <f>O703/R703-1</f>
        <v>-1</v>
      </c>
    </row>
    <row r="704" spans="2:19">
      <c r="Q704" t="e">
        <f t="shared" si="1"/>
        <v>#DIV/0!</v>
      </c>
      <c r="R704">
        <v>-52</v>
      </c>
      <c r="S704" s="509">
        <f>O704/R704-1</f>
        <v>-1</v>
      </c>
    </row>
    <row r="705" spans="2:25">
      <c r="B705" s="450" t="s">
        <v>4105</v>
      </c>
      <c r="O705">
        <f>AM335</f>
        <v>220</v>
      </c>
      <c r="Q705" t="e">
        <f t="shared" si="1"/>
        <v>#DIV/0!</v>
      </c>
    </row>
    <row r="706" spans="2:25">
      <c r="O706" t="e">
        <f>O705/O690</f>
        <v>#VALUE!</v>
      </c>
    </row>
    <row r="707" spans="2:25">
      <c r="B707" s="478" t="s">
        <v>4113</v>
      </c>
      <c r="Q707" s="455" t="e">
        <f t="shared" si="1"/>
        <v>#DIV/0!</v>
      </c>
      <c r="S707" s="455"/>
    </row>
    <row r="708" spans="2:25">
      <c r="B708" s="478"/>
      <c r="C708" s="478" t="s">
        <v>4114</v>
      </c>
    </row>
    <row r="709" spans="2:25">
      <c r="B709" s="478"/>
      <c r="C709" s="478"/>
    </row>
    <row r="711" spans="2:25">
      <c r="B711" s="478" t="s">
        <v>1665</v>
      </c>
      <c r="F711" s="499" t="s">
        <v>1877</v>
      </c>
      <c r="Y711" t="s">
        <v>5799</v>
      </c>
    </row>
    <row r="712" spans="2:25">
      <c r="B712" s="478"/>
      <c r="C712" s="478" t="s">
        <v>4107</v>
      </c>
      <c r="F712" s="478" t="s">
        <v>4109</v>
      </c>
    </row>
    <row r="713" spans="2:25">
      <c r="C713" s="478" t="s">
        <v>4106</v>
      </c>
      <c r="F713" s="478" t="s">
        <v>4110</v>
      </c>
    </row>
    <row r="714" spans="2:25">
      <c r="C714" s="478" t="s">
        <v>4108</v>
      </c>
      <c r="G714" s="478" t="s">
        <v>4111</v>
      </c>
    </row>
    <row r="715" spans="2:25">
      <c r="F715" s="478" t="s">
        <v>4112</v>
      </c>
    </row>
    <row r="716" spans="2:25">
      <c r="B716" s="478"/>
      <c r="F716" s="478" t="s">
        <v>4115</v>
      </c>
    </row>
    <row r="717" spans="2:25">
      <c r="C717" s="478"/>
      <c r="F717" s="478" t="s">
        <v>4137</v>
      </c>
    </row>
    <row r="718" spans="2:25">
      <c r="B718" s="478" t="s">
        <v>361</v>
      </c>
    </row>
    <row r="719" spans="2:25">
      <c r="C719" s="583">
        <v>0.29499999999999998</v>
      </c>
      <c r="D719" s="478" t="s">
        <v>4116</v>
      </c>
    </row>
    <row r="720" spans="2:25">
      <c r="C720" s="478" t="s">
        <v>4117</v>
      </c>
    </row>
    <row r="722" spans="2:25">
      <c r="B722" s="478" t="s">
        <v>4118</v>
      </c>
    </row>
    <row r="724" spans="2:25">
      <c r="B724" s="478" t="s">
        <v>4119</v>
      </c>
    </row>
    <row r="725" spans="2:25">
      <c r="B725" s="478" t="s">
        <v>4120</v>
      </c>
    </row>
    <row r="727" spans="2:25">
      <c r="B727" s="627" t="s">
        <v>4122</v>
      </c>
    </row>
    <row r="728" spans="2:25">
      <c r="B728" s="450"/>
    </row>
    <row r="729" spans="2:25">
      <c r="B729" s="450" t="s">
        <v>4124</v>
      </c>
    </row>
    <row r="730" spans="2:25">
      <c r="C730" s="478" t="s">
        <v>4121</v>
      </c>
    </row>
    <row r="731" spans="2:25" ht="15.75" thickBot="1">
      <c r="C731" s="478" t="s">
        <v>4123</v>
      </c>
    </row>
    <row r="732" spans="2:25" ht="15.75" thickBot="1">
      <c r="C732" s="478" t="s">
        <v>4125</v>
      </c>
      <c r="Y732" s="1195"/>
    </row>
    <row r="733" spans="2:25">
      <c r="C733" s="478" t="s">
        <v>4126</v>
      </c>
    </row>
    <row r="735" spans="2:25">
      <c r="B735" s="478" t="s">
        <v>4127</v>
      </c>
    </row>
    <row r="736" spans="2:25">
      <c r="B736" s="478"/>
    </row>
    <row r="737" spans="2:4">
      <c r="B737" s="450" t="s">
        <v>1455</v>
      </c>
    </row>
    <row r="738" spans="2:4">
      <c r="B738" s="478" t="s">
        <v>4130</v>
      </c>
    </row>
    <row r="739" spans="2:4">
      <c r="C739" s="478" t="s">
        <v>4128</v>
      </c>
      <c r="D739" s="478" t="s">
        <v>4129</v>
      </c>
    </row>
    <row r="741" spans="2:4">
      <c r="B741" s="450" t="s">
        <v>4131</v>
      </c>
    </row>
    <row r="742" spans="2:4">
      <c r="C742" s="478" t="s">
        <v>4132</v>
      </c>
    </row>
    <row r="743" spans="2:4">
      <c r="C743" s="478" t="s">
        <v>4133</v>
      </c>
    </row>
    <row r="744" spans="2:4">
      <c r="C744" s="478" t="s">
        <v>4134</v>
      </c>
    </row>
    <row r="745" spans="2:4">
      <c r="D745" s="478" t="s">
        <v>4135</v>
      </c>
    </row>
    <row r="746" spans="2:4">
      <c r="C746" s="478" t="s">
        <v>4136</v>
      </c>
    </row>
    <row r="748" spans="2:4">
      <c r="B748" s="450" t="s">
        <v>4138</v>
      </c>
    </row>
    <row r="749" spans="2:4">
      <c r="C749" s="478" t="s">
        <v>4139</v>
      </c>
    </row>
    <row r="751" spans="2:4">
      <c r="B751" s="450" t="s">
        <v>3174</v>
      </c>
    </row>
    <row r="752" spans="2:4">
      <c r="C752" s="478" t="s">
        <v>4140</v>
      </c>
    </row>
    <row r="753" spans="2:4">
      <c r="C753" s="478" t="s">
        <v>4141</v>
      </c>
    </row>
    <row r="754" spans="2:4">
      <c r="C754" s="478" t="s">
        <v>4142</v>
      </c>
    </row>
    <row r="755" spans="2:4">
      <c r="C755" s="478" t="s">
        <v>4146</v>
      </c>
    </row>
    <row r="756" spans="2:4">
      <c r="C756" s="478"/>
      <c r="D756" s="478" t="s">
        <v>4147</v>
      </c>
    </row>
    <row r="757" spans="2:4">
      <c r="C757" s="478" t="s">
        <v>4148</v>
      </c>
      <c r="D757" s="478"/>
    </row>
    <row r="758" spans="2:4">
      <c r="C758" s="478"/>
      <c r="D758" s="478" t="s">
        <v>4149</v>
      </c>
    </row>
    <row r="760" spans="2:4">
      <c r="B760" s="450" t="s">
        <v>4143</v>
      </c>
    </row>
    <row r="761" spans="2:4">
      <c r="C761" s="478" t="s">
        <v>4144</v>
      </c>
    </row>
    <row r="762" spans="2:4">
      <c r="C762" s="478" t="s">
        <v>4145</v>
      </c>
    </row>
    <row r="764" spans="2:4">
      <c r="B764" s="450" t="s">
        <v>4150</v>
      </c>
    </row>
    <row r="765" spans="2:4">
      <c r="C765" s="478" t="s">
        <v>4151</v>
      </c>
    </row>
    <row r="766" spans="2:4">
      <c r="C766" s="478" t="s">
        <v>4152</v>
      </c>
    </row>
    <row r="768" spans="2:4">
      <c r="B768" s="450" t="s">
        <v>2379</v>
      </c>
    </row>
    <row r="769" spans="2:3">
      <c r="C769" s="478" t="s">
        <v>4153</v>
      </c>
    </row>
    <row r="770" spans="2:3">
      <c r="C770" s="478" t="s">
        <v>4154</v>
      </c>
    </row>
    <row r="772" spans="2:3">
      <c r="B772" s="627" t="s">
        <v>4155</v>
      </c>
    </row>
    <row r="774" spans="2:3">
      <c r="B774" s="478" t="s">
        <v>4156</v>
      </c>
    </row>
    <row r="775" spans="2:3">
      <c r="B775" s="478" t="s">
        <v>4157</v>
      </c>
    </row>
    <row r="777" spans="2:3">
      <c r="B777" s="478" t="s">
        <v>4223</v>
      </c>
    </row>
    <row r="778" spans="2:3">
      <c r="B778" s="478" t="s">
        <v>4224</v>
      </c>
    </row>
    <row r="779" spans="2:3">
      <c r="B779" s="478" t="s">
        <v>4225</v>
      </c>
    </row>
    <row r="780" spans="2:3">
      <c r="B780" s="478" t="s">
        <v>4226</v>
      </c>
    </row>
    <row r="781" spans="2:3">
      <c r="B781" s="478" t="s">
        <v>4227</v>
      </c>
    </row>
    <row r="782" spans="2:3">
      <c r="B782" s="478" t="s">
        <v>4228</v>
      </c>
    </row>
    <row r="784" spans="2:3">
      <c r="B784" s="627" t="s">
        <v>4310</v>
      </c>
    </row>
    <row r="786" spans="2:3">
      <c r="B786" s="478" t="s">
        <v>4255</v>
      </c>
    </row>
    <row r="787" spans="2:3">
      <c r="B787" s="478" t="s">
        <v>4256</v>
      </c>
    </row>
    <row r="788" spans="2:3">
      <c r="C788" s="478" t="s">
        <v>4257</v>
      </c>
    </row>
    <row r="789" spans="2:3">
      <c r="B789" s="478" t="s">
        <v>4258</v>
      </c>
    </row>
    <row r="790" spans="2:3">
      <c r="B790" s="478" t="s">
        <v>4259</v>
      </c>
    </row>
    <row r="791" spans="2:3">
      <c r="B791" s="478" t="s">
        <v>4260</v>
      </c>
    </row>
    <row r="792" spans="2:3">
      <c r="B792" s="478" t="s">
        <v>4261</v>
      </c>
    </row>
    <row r="793" spans="2:3">
      <c r="B793" s="608" t="s">
        <v>4262</v>
      </c>
    </row>
    <row r="794" spans="2:3">
      <c r="B794" s="478" t="s">
        <v>4263</v>
      </c>
    </row>
    <row r="795" spans="2:3">
      <c r="B795" s="478" t="s">
        <v>4264</v>
      </c>
    </row>
    <row r="797" spans="2:3">
      <c r="B797" s="608" t="s">
        <v>4266</v>
      </c>
    </row>
    <row r="798" spans="2:3">
      <c r="B798" s="478" t="s">
        <v>4265</v>
      </c>
    </row>
    <row r="800" spans="2:3">
      <c r="B800" s="478" t="s">
        <v>4267</v>
      </c>
    </row>
    <row r="801" spans="2:3">
      <c r="C801" s="478" t="s">
        <v>4268</v>
      </c>
    </row>
    <row r="802" spans="2:3">
      <c r="C802" s="478" t="s">
        <v>4269</v>
      </c>
    </row>
    <row r="803" spans="2:3">
      <c r="C803" s="478" t="s">
        <v>4270</v>
      </c>
    </row>
    <row r="804" spans="2:3">
      <c r="C804" s="478" t="s">
        <v>4300</v>
      </c>
    </row>
    <row r="805" spans="2:3">
      <c r="C805" s="478"/>
    </row>
    <row r="806" spans="2:3">
      <c r="B806" s="478" t="s">
        <v>4271</v>
      </c>
    </row>
    <row r="807" spans="2:3">
      <c r="B807" s="478" t="s">
        <v>4272</v>
      </c>
    </row>
    <row r="808" spans="2:3">
      <c r="B808" s="478" t="s">
        <v>4273</v>
      </c>
    </row>
    <row r="809" spans="2:3">
      <c r="C809" s="478" t="s">
        <v>4274</v>
      </c>
    </row>
    <row r="810" spans="2:3">
      <c r="C810" s="478" t="s">
        <v>4275</v>
      </c>
    </row>
    <row r="811" spans="2:3">
      <c r="C811" s="478" t="s">
        <v>4276</v>
      </c>
    </row>
    <row r="812" spans="2:3">
      <c r="B812" s="499" t="s">
        <v>1831</v>
      </c>
    </row>
    <row r="813" spans="2:3">
      <c r="B813" s="478" t="s">
        <v>4277</v>
      </c>
    </row>
    <row r="814" spans="2:3">
      <c r="B814" s="478" t="s">
        <v>4278</v>
      </c>
    </row>
    <row r="815" spans="2:3">
      <c r="B815" s="478" t="s">
        <v>4279</v>
      </c>
    </row>
    <row r="817" spans="2:2">
      <c r="B817" s="499" t="s">
        <v>4280</v>
      </c>
    </row>
    <row r="818" spans="2:2">
      <c r="B818" s="478" t="s">
        <v>4281</v>
      </c>
    </row>
    <row r="819" spans="2:2">
      <c r="B819" s="478" t="s">
        <v>4282</v>
      </c>
    </row>
    <row r="820" spans="2:2">
      <c r="B820" s="478" t="s">
        <v>4283</v>
      </c>
    </row>
    <row r="822" spans="2:2">
      <c r="B822" s="478" t="s">
        <v>4284</v>
      </c>
    </row>
    <row r="824" spans="2:2">
      <c r="B824" s="499" t="s">
        <v>1643</v>
      </c>
    </row>
    <row r="825" spans="2:2">
      <c r="B825" s="478" t="s">
        <v>4285</v>
      </c>
    </row>
    <row r="826" spans="2:2">
      <c r="B826" s="478" t="s">
        <v>4286</v>
      </c>
    </row>
    <row r="827" spans="2:2">
      <c r="B827" s="478" t="s">
        <v>4287</v>
      </c>
    </row>
    <row r="829" spans="2:2">
      <c r="B829" s="499" t="s">
        <v>4288</v>
      </c>
    </row>
    <row r="830" spans="2:2">
      <c r="B830" s="478" t="s">
        <v>4289</v>
      </c>
    </row>
    <row r="831" spans="2:2">
      <c r="B831" s="478" t="s">
        <v>4290</v>
      </c>
    </row>
    <row r="833" spans="2:3">
      <c r="B833" s="499" t="s">
        <v>4291</v>
      </c>
    </row>
    <row r="834" spans="2:3">
      <c r="B834" s="478" t="s">
        <v>4292</v>
      </c>
    </row>
    <row r="836" spans="2:3">
      <c r="B836" s="499" t="s">
        <v>578</v>
      </c>
    </row>
    <row r="837" spans="2:3">
      <c r="B837" s="478" t="s">
        <v>4293</v>
      </c>
    </row>
    <row r="838" spans="2:3">
      <c r="B838" s="478" t="s">
        <v>4294</v>
      </c>
    </row>
    <row r="840" spans="2:3">
      <c r="B840" s="499" t="s">
        <v>1831</v>
      </c>
    </row>
    <row r="841" spans="2:3">
      <c r="B841" s="478" t="s">
        <v>4295</v>
      </c>
    </row>
    <row r="842" spans="2:3">
      <c r="B842" s="478" t="s">
        <v>4296</v>
      </c>
    </row>
    <row r="844" spans="2:3">
      <c r="B844" s="478" t="s">
        <v>4297</v>
      </c>
    </row>
    <row r="845" spans="2:3">
      <c r="C845" s="478" t="s">
        <v>4298</v>
      </c>
    </row>
    <row r="846" spans="2:3">
      <c r="C846" s="478" t="s">
        <v>4299</v>
      </c>
    </row>
    <row r="848" spans="2:3">
      <c r="B848" s="627" t="s">
        <v>4311</v>
      </c>
    </row>
    <row r="850" spans="2:3">
      <c r="B850" s="478" t="s">
        <v>4312</v>
      </c>
    </row>
    <row r="852" spans="2:3">
      <c r="B852" s="478" t="s">
        <v>4313</v>
      </c>
      <c r="C852" s="478" t="s">
        <v>4317</v>
      </c>
    </row>
    <row r="853" spans="2:3">
      <c r="B853" s="478" t="s">
        <v>4314</v>
      </c>
      <c r="C853" s="478" t="s">
        <v>4316</v>
      </c>
    </row>
    <row r="854" spans="2:3">
      <c r="B854" s="478" t="s">
        <v>4315</v>
      </c>
    </row>
    <row r="856" spans="2:3">
      <c r="B856" s="478" t="s">
        <v>4318</v>
      </c>
    </row>
    <row r="858" spans="2:3">
      <c r="B858" s="478" t="s">
        <v>4319</v>
      </c>
    </row>
    <row r="859" spans="2:3">
      <c r="B859" s="478" t="s">
        <v>4320</v>
      </c>
    </row>
    <row r="861" spans="2:3">
      <c r="B861" s="478" t="s">
        <v>4321</v>
      </c>
    </row>
    <row r="863" spans="2:3">
      <c r="B863" s="627" t="s">
        <v>1877</v>
      </c>
    </row>
    <row r="864" spans="2:3">
      <c r="B864" s="478" t="s">
        <v>4323</v>
      </c>
    </row>
    <row r="865" spans="2:5">
      <c r="C865" s="478" t="s">
        <v>4324</v>
      </c>
    </row>
    <row r="866" spans="2:5">
      <c r="B866" s="478" t="s">
        <v>1545</v>
      </c>
      <c r="C866" s="478" t="s">
        <v>4325</v>
      </c>
    </row>
    <row r="867" spans="2:5">
      <c r="B867" s="478"/>
      <c r="C867" s="478" t="s">
        <v>4326</v>
      </c>
    </row>
    <row r="868" spans="2:5">
      <c r="B868" s="478"/>
      <c r="C868" s="478"/>
      <c r="D868" s="478" t="s">
        <v>4327</v>
      </c>
    </row>
    <row r="869" spans="2:5">
      <c r="B869" s="478"/>
      <c r="C869" s="478"/>
      <c r="D869" s="478" t="s">
        <v>4328</v>
      </c>
    </row>
    <row r="870" spans="2:5">
      <c r="B870" s="478"/>
      <c r="C870" s="478"/>
      <c r="D870" s="478"/>
      <c r="E870" s="478" t="s">
        <v>4329</v>
      </c>
    </row>
    <row r="871" spans="2:5">
      <c r="D871" s="478" t="s">
        <v>4330</v>
      </c>
    </row>
    <row r="872" spans="2:5">
      <c r="B872" s="478" t="s">
        <v>4322</v>
      </c>
    </row>
    <row r="873" spans="2:5">
      <c r="C873" s="478" t="s">
        <v>4331</v>
      </c>
      <c r="D873" s="478" t="s">
        <v>4332</v>
      </c>
    </row>
    <row r="874" spans="2:5">
      <c r="C874" s="478" t="s">
        <v>4333</v>
      </c>
    </row>
    <row r="876" spans="2:5">
      <c r="B876" s="478" t="s">
        <v>4334</v>
      </c>
    </row>
    <row r="877" spans="2:5">
      <c r="B877" s="478"/>
      <c r="C877" s="478" t="s">
        <v>4337</v>
      </c>
    </row>
    <row r="878" spans="2:5">
      <c r="B878" s="478"/>
      <c r="D878" s="478" t="s">
        <v>4338</v>
      </c>
    </row>
    <row r="879" spans="2:5">
      <c r="B879" s="478"/>
      <c r="D879" s="478" t="s">
        <v>4339</v>
      </c>
    </row>
    <row r="880" spans="2:5">
      <c r="B880" s="478"/>
      <c r="D880" s="478" t="s">
        <v>4340</v>
      </c>
    </row>
    <row r="881" spans="2:7">
      <c r="B881" s="478"/>
      <c r="C881" s="478" t="s">
        <v>1665</v>
      </c>
      <c r="D881" s="478"/>
    </row>
    <row r="882" spans="2:7">
      <c r="B882" s="478"/>
      <c r="C882" s="478"/>
      <c r="D882" s="478" t="s">
        <v>4341</v>
      </c>
    </row>
    <row r="883" spans="2:7">
      <c r="B883" s="478"/>
      <c r="C883" s="478"/>
      <c r="D883" s="478" t="s">
        <v>4342</v>
      </c>
    </row>
    <row r="884" spans="2:7">
      <c r="B884" s="478"/>
      <c r="C884" s="478"/>
      <c r="D884" s="478" t="s">
        <v>4343</v>
      </c>
    </row>
    <row r="885" spans="2:7">
      <c r="B885" s="478"/>
      <c r="C885" s="478"/>
      <c r="D885" s="478" t="s">
        <v>4344</v>
      </c>
    </row>
    <row r="886" spans="2:7">
      <c r="B886" s="478"/>
      <c r="C886" s="478"/>
      <c r="D886" s="478" t="s">
        <v>4345</v>
      </c>
    </row>
    <row r="887" spans="2:7">
      <c r="B887" s="478"/>
      <c r="C887" s="478"/>
      <c r="D887" s="478" t="s">
        <v>4346</v>
      </c>
    </row>
    <row r="888" spans="2:7">
      <c r="B888" s="478" t="s">
        <v>4335</v>
      </c>
      <c r="C888" s="478" t="s">
        <v>4336</v>
      </c>
    </row>
    <row r="890" spans="2:7">
      <c r="B890" s="478" t="s">
        <v>4347</v>
      </c>
    </row>
    <row r="891" spans="2:7">
      <c r="B891" s="478"/>
      <c r="C891" s="478" t="s">
        <v>4351</v>
      </c>
    </row>
    <row r="892" spans="2:7">
      <c r="B892" s="478"/>
      <c r="C892" s="478" t="s">
        <v>4352</v>
      </c>
    </row>
    <row r="893" spans="2:7">
      <c r="C893" s="478" t="s">
        <v>4348</v>
      </c>
    </row>
    <row r="894" spans="2:7">
      <c r="D894" s="478" t="s">
        <v>4350</v>
      </c>
    </row>
    <row r="895" spans="2:7">
      <c r="C895" s="478" t="s">
        <v>4359</v>
      </c>
      <c r="D895" s="478"/>
      <c r="G895" s="478" t="s">
        <v>1823</v>
      </c>
    </row>
    <row r="896" spans="2:7">
      <c r="C896" s="478"/>
      <c r="D896" s="478" t="s">
        <v>4360</v>
      </c>
      <c r="G896" s="478"/>
    </row>
    <row r="897" spans="2:4">
      <c r="C897" s="478" t="s">
        <v>4361</v>
      </c>
      <c r="D897" s="478"/>
    </row>
    <row r="898" spans="2:4">
      <c r="C898" s="478" t="s">
        <v>4362</v>
      </c>
      <c r="D898" s="478"/>
    </row>
    <row r="899" spans="2:4">
      <c r="D899" s="478"/>
    </row>
    <row r="900" spans="2:4">
      <c r="B900" s="478" t="s">
        <v>2376</v>
      </c>
      <c r="C900" s="478" t="s">
        <v>4349</v>
      </c>
    </row>
    <row r="901" spans="2:4">
      <c r="D901" s="478" t="s">
        <v>4355</v>
      </c>
    </row>
    <row r="902" spans="2:4">
      <c r="C902" s="478" t="s">
        <v>4353</v>
      </c>
    </row>
    <row r="903" spans="2:4">
      <c r="D903" s="478" t="s">
        <v>4354</v>
      </c>
    </row>
    <row r="905" spans="2:4">
      <c r="B905" s="478" t="s">
        <v>4356</v>
      </c>
    </row>
    <row r="906" spans="2:4">
      <c r="C906" s="478" t="s">
        <v>4357</v>
      </c>
    </row>
    <row r="907" spans="2:4">
      <c r="C907" s="478" t="s">
        <v>4358</v>
      </c>
    </row>
    <row r="909" spans="2:4">
      <c r="B909" s="478" t="s">
        <v>1665</v>
      </c>
    </row>
    <row r="910" spans="2:4">
      <c r="C910" s="478" t="s">
        <v>4364</v>
      </c>
    </row>
    <row r="911" spans="2:4">
      <c r="C911" s="478"/>
      <c r="D911" s="478" t="s">
        <v>4365</v>
      </c>
    </row>
    <row r="912" spans="2:4">
      <c r="C912" s="478"/>
      <c r="D912" s="478" t="s">
        <v>4366</v>
      </c>
    </row>
    <row r="913" spans="2:3">
      <c r="C913" s="478" t="s">
        <v>4363</v>
      </c>
    </row>
    <row r="915" spans="2:3">
      <c r="B915" s="499" t="s">
        <v>4369</v>
      </c>
    </row>
    <row r="916" spans="2:3">
      <c r="B916" s="478" t="s">
        <v>4368</v>
      </c>
    </row>
    <row r="918" spans="2:3">
      <c r="B918" s="627" t="s">
        <v>4387</v>
      </c>
    </row>
    <row r="920" spans="2:3">
      <c r="B920" s="478" t="s">
        <v>4388</v>
      </c>
    </row>
    <row r="921" spans="2:3">
      <c r="B921" s="478" t="s">
        <v>4389</v>
      </c>
    </row>
    <row r="923" spans="2:3">
      <c r="C923" s="478" t="s">
        <v>4399</v>
      </c>
    </row>
    <row r="924" spans="2:3">
      <c r="C924" s="478" t="s">
        <v>4400</v>
      </c>
    </row>
    <row r="925" spans="2:3">
      <c r="C925" s="478" t="s">
        <v>4401</v>
      </c>
    </row>
    <row r="926" spans="2:3">
      <c r="C926" s="486" t="s">
        <v>4402</v>
      </c>
    </row>
    <row r="928" spans="2:3">
      <c r="B928" s="478" t="s">
        <v>4390</v>
      </c>
    </row>
    <row r="929" spans="2:3">
      <c r="C929" s="478" t="s">
        <v>4391</v>
      </c>
    </row>
    <row r="930" spans="2:3">
      <c r="C930" s="478" t="s">
        <v>4392</v>
      </c>
    </row>
    <row r="931" spans="2:3">
      <c r="C931" s="478" t="s">
        <v>4393</v>
      </c>
    </row>
    <row r="932" spans="2:3">
      <c r="C932" s="478"/>
    </row>
    <row r="933" spans="2:3">
      <c r="C933" s="478" t="s">
        <v>4398</v>
      </c>
    </row>
    <row r="935" spans="2:3">
      <c r="B935" s="478" t="s">
        <v>1719</v>
      </c>
      <c r="C935" s="478" t="s">
        <v>4396</v>
      </c>
    </row>
    <row r="936" spans="2:3">
      <c r="B936" s="478"/>
      <c r="C936" s="478" t="s">
        <v>4397</v>
      </c>
    </row>
    <row r="938" spans="2:3">
      <c r="B938" s="478" t="s">
        <v>4394</v>
      </c>
    </row>
    <row r="940" spans="2:3">
      <c r="B940" s="478" t="s">
        <v>4395</v>
      </c>
    </row>
    <row r="942" spans="2:3">
      <c r="B942" s="478" t="s">
        <v>4403</v>
      </c>
    </row>
    <row r="943" spans="2:3">
      <c r="C943" s="478" t="s">
        <v>4404</v>
      </c>
    </row>
    <row r="944" spans="2:3">
      <c r="C944" s="478" t="s">
        <v>4405</v>
      </c>
    </row>
    <row r="946" spans="2:3">
      <c r="B946" s="478" t="s">
        <v>4406</v>
      </c>
    </row>
    <row r="948" spans="2:3">
      <c r="B948" s="627" t="s">
        <v>4436</v>
      </c>
    </row>
    <row r="950" spans="2:3">
      <c r="B950" t="s">
        <v>4437</v>
      </c>
    </row>
    <row r="951" spans="2:3">
      <c r="B951" t="s">
        <v>4438</v>
      </c>
    </row>
    <row r="952" spans="2:3">
      <c r="C952" t="s">
        <v>4439</v>
      </c>
    </row>
    <row r="953" spans="2:3">
      <c r="C953" t="s">
        <v>4440</v>
      </c>
    </row>
    <row r="954" spans="2:3">
      <c r="B954" t="s">
        <v>4441</v>
      </c>
    </row>
    <row r="955" spans="2:3">
      <c r="B955" t="s">
        <v>4442</v>
      </c>
    </row>
    <row r="956" spans="2:3">
      <c r="C956" t="s">
        <v>4443</v>
      </c>
    </row>
    <row r="957" spans="2:3">
      <c r="C957" t="s">
        <v>4444</v>
      </c>
    </row>
    <row r="958" spans="2:3">
      <c r="C958" t="s">
        <v>4445</v>
      </c>
    </row>
    <row r="959" spans="2:3">
      <c r="C959" t="s">
        <v>4446</v>
      </c>
    </row>
    <row r="960" spans="2:3">
      <c r="B960" t="s">
        <v>1665</v>
      </c>
    </row>
    <row r="961" spans="3:5">
      <c r="C961" t="s">
        <v>4555</v>
      </c>
    </row>
    <row r="962" spans="3:5">
      <c r="C962" t="s">
        <v>1823</v>
      </c>
      <c r="D962" t="s">
        <v>4556</v>
      </c>
    </row>
    <row r="963" spans="3:5">
      <c r="D963" t="s">
        <v>4557</v>
      </c>
    </row>
    <row r="965" spans="3:5">
      <c r="C965" t="s">
        <v>4447</v>
      </c>
    </row>
    <row r="966" spans="3:5">
      <c r="C966" t="s">
        <v>4448</v>
      </c>
    </row>
    <row r="967" spans="3:5">
      <c r="C967" t="s">
        <v>4449</v>
      </c>
    </row>
    <row r="968" spans="3:5">
      <c r="D968" t="s">
        <v>4450</v>
      </c>
    </row>
    <row r="969" spans="3:5">
      <c r="D969" t="s">
        <v>4451</v>
      </c>
    </row>
    <row r="970" spans="3:5">
      <c r="D970" t="s">
        <v>4452</v>
      </c>
    </row>
    <row r="971" spans="3:5">
      <c r="E971" t="s">
        <v>4453</v>
      </c>
    </row>
    <row r="972" spans="3:5">
      <c r="D972" t="s">
        <v>4454</v>
      </c>
    </row>
    <row r="973" spans="3:5">
      <c r="C973" t="s">
        <v>4455</v>
      </c>
    </row>
    <row r="974" spans="3:5">
      <c r="D974" t="s">
        <v>4553</v>
      </c>
    </row>
    <row r="975" spans="3:5">
      <c r="D975" t="s">
        <v>4554</v>
      </c>
    </row>
    <row r="977" spans="2:6">
      <c r="C977" t="s">
        <v>4456</v>
      </c>
    </row>
    <row r="979" spans="2:6">
      <c r="B979" t="s">
        <v>2705</v>
      </c>
      <c r="C979" t="s">
        <v>4457</v>
      </c>
    </row>
    <row r="980" spans="2:6">
      <c r="D980" t="s">
        <v>4459</v>
      </c>
    </row>
    <row r="981" spans="2:6">
      <c r="E981" t="s">
        <v>4460</v>
      </c>
    </row>
    <row r="982" spans="2:6">
      <c r="E982" t="s">
        <v>4461</v>
      </c>
    </row>
    <row r="983" spans="2:6">
      <c r="E983" t="s">
        <v>4462</v>
      </c>
    </row>
    <row r="984" spans="2:6">
      <c r="F984" t="s">
        <v>4463</v>
      </c>
    </row>
    <row r="985" spans="2:6">
      <c r="F985" t="s">
        <v>4464</v>
      </c>
    </row>
    <row r="986" spans="2:6">
      <c r="E986" t="s">
        <v>4465</v>
      </c>
    </row>
    <row r="987" spans="2:6">
      <c r="F987" t="s">
        <v>4467</v>
      </c>
    </row>
    <row r="988" spans="2:6">
      <c r="E988" t="s">
        <v>4466</v>
      </c>
    </row>
    <row r="989" spans="2:6">
      <c r="F989" t="s">
        <v>4468</v>
      </c>
    </row>
    <row r="990" spans="2:6">
      <c r="D990" t="s">
        <v>4458</v>
      </c>
    </row>
    <row r="991" spans="2:6">
      <c r="C991" t="s">
        <v>4469</v>
      </c>
    </row>
    <row r="992" spans="2:6">
      <c r="C992" t="s">
        <v>4470</v>
      </c>
    </row>
    <row r="993" spans="2:4">
      <c r="D993" t="s">
        <v>4471</v>
      </c>
    </row>
    <row r="994" spans="2:4">
      <c r="D994" t="s">
        <v>4472</v>
      </c>
    </row>
    <row r="995" spans="2:4">
      <c r="B995" t="s">
        <v>4473</v>
      </c>
    </row>
    <row r="996" spans="2:4">
      <c r="C996" t="s">
        <v>4484</v>
      </c>
    </row>
    <row r="997" spans="2:4">
      <c r="C997" t="s">
        <v>4485</v>
      </c>
    </row>
    <row r="998" spans="2:4">
      <c r="D998" t="s">
        <v>4486</v>
      </c>
    </row>
    <row r="999" spans="2:4">
      <c r="D999" t="s">
        <v>4487</v>
      </c>
    </row>
    <row r="1000" spans="2:4">
      <c r="B1000" t="s">
        <v>4474</v>
      </c>
    </row>
    <row r="1001" spans="2:4">
      <c r="B1001" t="s">
        <v>4475</v>
      </c>
    </row>
    <row r="1002" spans="2:4">
      <c r="B1002" t="s">
        <v>4476</v>
      </c>
    </row>
    <row r="1003" spans="2:4">
      <c r="B1003" t="s">
        <v>4477</v>
      </c>
    </row>
    <row r="1004" spans="2:4">
      <c r="B1004" t="s">
        <v>4478</v>
      </c>
    </row>
    <row r="1005" spans="2:4">
      <c r="C1005" t="s">
        <v>4479</v>
      </c>
    </row>
    <row r="1006" spans="2:4">
      <c r="C1006" t="s">
        <v>4480</v>
      </c>
    </row>
    <row r="1007" spans="2:4">
      <c r="C1007" t="s">
        <v>4481</v>
      </c>
    </row>
    <row r="1009" spans="2:5">
      <c r="B1009" t="s">
        <v>4482</v>
      </c>
    </row>
    <row r="1010" spans="2:5">
      <c r="C1010" t="s">
        <v>4483</v>
      </c>
    </row>
    <row r="1012" spans="2:5">
      <c r="B1012" t="s">
        <v>578</v>
      </c>
    </row>
    <row r="1013" spans="2:5">
      <c r="C1013" t="s">
        <v>4488</v>
      </c>
    </row>
    <row r="1014" spans="2:5">
      <c r="D1014" t="s">
        <v>4492</v>
      </c>
    </row>
    <row r="1015" spans="2:5">
      <c r="C1015" t="s">
        <v>4489</v>
      </c>
    </row>
    <row r="1016" spans="2:5">
      <c r="D1016" t="s">
        <v>4490</v>
      </c>
    </row>
    <row r="1017" spans="2:5">
      <c r="D1017" t="s">
        <v>4491</v>
      </c>
    </row>
    <row r="1019" spans="2:5">
      <c r="B1019" s="627" t="s">
        <v>4436</v>
      </c>
    </row>
    <row r="1021" spans="2:5">
      <c r="B1021" s="455"/>
      <c r="C1021" s="455">
        <v>2015</v>
      </c>
      <c r="D1021" s="455">
        <v>2016</v>
      </c>
    </row>
    <row r="1022" spans="2:5">
      <c r="B1022" t="s">
        <v>4573</v>
      </c>
      <c r="C1022">
        <v>1900</v>
      </c>
      <c r="D1022">
        <v>4200</v>
      </c>
    </row>
    <row r="1023" spans="2:5">
      <c r="B1023" t="s">
        <v>4575</v>
      </c>
      <c r="D1023" s="493" t="s">
        <v>4574</v>
      </c>
    </row>
    <row r="1024" spans="2:5">
      <c r="B1024" t="s">
        <v>4576</v>
      </c>
      <c r="C1024" s="449">
        <v>0.1</v>
      </c>
      <c r="D1024" s="449">
        <v>0.3</v>
      </c>
      <c r="E1024" t="s">
        <v>4577</v>
      </c>
    </row>
    <row r="1025" spans="2:5">
      <c r="E1025" t="s">
        <v>4578</v>
      </c>
    </row>
    <row r="1026" spans="2:5">
      <c r="B1026" t="s">
        <v>4579</v>
      </c>
    </row>
    <row r="1027" spans="2:5">
      <c r="B1027" t="s">
        <v>4580</v>
      </c>
      <c r="C1027" t="s">
        <v>4581</v>
      </c>
    </row>
    <row r="1028" spans="2:5">
      <c r="B1028" s="498">
        <v>2016</v>
      </c>
      <c r="C1028" t="s">
        <v>4582</v>
      </c>
    </row>
    <row r="1029" spans="2:5">
      <c r="C1029" t="s">
        <v>4583</v>
      </c>
    </row>
    <row r="1030" spans="2:5">
      <c r="B1030" t="s">
        <v>4584</v>
      </c>
    </row>
    <row r="1032" spans="2:5">
      <c r="B1032" s="627" t="s">
        <v>1665</v>
      </c>
    </row>
    <row r="1034" spans="2:5">
      <c r="B1034" t="s">
        <v>4585</v>
      </c>
    </row>
    <row r="1035" spans="2:5">
      <c r="B1035" t="s">
        <v>4586</v>
      </c>
    </row>
    <row r="1037" spans="2:5">
      <c r="B1037" s="478" t="s">
        <v>4587</v>
      </c>
    </row>
    <row r="1038" spans="2:5">
      <c r="B1038" s="478" t="s">
        <v>4588</v>
      </c>
    </row>
    <row r="1040" spans="2:5">
      <c r="B1040" s="478" t="s">
        <v>4589</v>
      </c>
    </row>
    <row r="1041" spans="2:2">
      <c r="B1041" s="478" t="s">
        <v>4590</v>
      </c>
    </row>
    <row r="1042" spans="2:2">
      <c r="B1042" s="478" t="s">
        <v>4591</v>
      </c>
    </row>
    <row r="1043" spans="2:2">
      <c r="B1043" s="478" t="s">
        <v>4592</v>
      </c>
    </row>
    <row r="1044" spans="2:2">
      <c r="B1044" s="478" t="s">
        <v>4593</v>
      </c>
    </row>
    <row r="1045" spans="2:2">
      <c r="B1045" s="478" t="s">
        <v>4594</v>
      </c>
    </row>
    <row r="1047" spans="2:2">
      <c r="B1047" s="478" t="s">
        <v>4595</v>
      </c>
    </row>
    <row r="1048" spans="2:2">
      <c r="B1048" s="478" t="s">
        <v>4596</v>
      </c>
    </row>
    <row r="1050" spans="2:2">
      <c r="B1050" s="627" t="s">
        <v>565</v>
      </c>
    </row>
    <row r="1051" spans="2:2">
      <c r="B1051" s="478" t="s">
        <v>4597</v>
      </c>
    </row>
    <row r="1052" spans="2:2">
      <c r="B1052" s="478" t="s">
        <v>4598</v>
      </c>
    </row>
    <row r="1053" spans="2:2">
      <c r="B1053" s="478" t="s">
        <v>4599</v>
      </c>
    </row>
    <row r="1054" spans="2:2">
      <c r="B1054" s="478" t="s">
        <v>4600</v>
      </c>
    </row>
    <row r="1055" spans="2:2">
      <c r="B1055" s="478" t="s">
        <v>4601</v>
      </c>
    </row>
    <row r="1057" spans="2:2">
      <c r="B1057" s="627" t="s">
        <v>4602</v>
      </c>
    </row>
    <row r="1058" spans="2:2">
      <c r="B1058" s="478" t="s">
        <v>4603</v>
      </c>
    </row>
    <row r="1059" spans="2:2">
      <c r="B1059" s="499" t="s">
        <v>1665</v>
      </c>
    </row>
    <row r="1060" spans="2:2">
      <c r="B1060" s="478" t="s">
        <v>4604</v>
      </c>
    </row>
    <row r="1061" spans="2:2">
      <c r="B1061" s="478" t="s">
        <v>4605</v>
      </c>
    </row>
    <row r="1062" spans="2:2">
      <c r="B1062" s="478" t="s">
        <v>4606</v>
      </c>
    </row>
    <row r="1063" spans="2:2">
      <c r="B1063" s="478" t="s">
        <v>4607</v>
      </c>
    </row>
    <row r="1064" spans="2:2">
      <c r="B1064" s="499" t="s">
        <v>1831</v>
      </c>
    </row>
    <row r="1065" spans="2:2">
      <c r="B1065" s="478" t="s">
        <v>4608</v>
      </c>
    </row>
    <row r="1066" spans="2:2">
      <c r="B1066" s="478" t="s">
        <v>4609</v>
      </c>
    </row>
    <row r="1067" spans="2:2">
      <c r="B1067" s="478" t="s">
        <v>4610</v>
      </c>
    </row>
    <row r="1069" spans="2:2">
      <c r="B1069" s="478" t="s">
        <v>4611</v>
      </c>
    </row>
    <row r="1071" spans="2:2">
      <c r="B1071" s="478" t="s">
        <v>4612</v>
      </c>
    </row>
    <row r="1072" spans="2:2">
      <c r="B1072" s="478" t="s">
        <v>4613</v>
      </c>
    </row>
    <row r="1073" spans="2:3">
      <c r="B1073" s="478" t="s">
        <v>4615</v>
      </c>
    </row>
    <row r="1075" spans="2:3">
      <c r="B1075" s="499" t="s">
        <v>1665</v>
      </c>
    </row>
    <row r="1076" spans="2:3">
      <c r="B1076" s="478" t="s">
        <v>4619</v>
      </c>
    </row>
    <row r="1077" spans="2:3">
      <c r="B1077" s="478" t="s">
        <v>4620</v>
      </c>
    </row>
    <row r="1079" spans="2:3">
      <c r="B1079" s="499" t="s">
        <v>1877</v>
      </c>
    </row>
    <row r="1080" spans="2:3">
      <c r="B1080" s="478" t="s">
        <v>4622</v>
      </c>
      <c r="C1080" s="478" t="s">
        <v>4623</v>
      </c>
    </row>
    <row r="1081" spans="2:3">
      <c r="C1081" s="478" t="s">
        <v>4624</v>
      </c>
    </row>
    <row r="1082" spans="2:3">
      <c r="C1082" s="478" t="s">
        <v>4625</v>
      </c>
    </row>
    <row r="1083" spans="2:3">
      <c r="B1083" s="478" t="s">
        <v>4626</v>
      </c>
    </row>
    <row r="1085" spans="2:3">
      <c r="B1085" s="478" t="s">
        <v>4627</v>
      </c>
    </row>
    <row r="1087" spans="2:3">
      <c r="B1087" s="627" t="s">
        <v>4630</v>
      </c>
    </row>
    <row r="1089" spans="2:3">
      <c r="B1089" s="1113">
        <v>42736</v>
      </c>
    </row>
    <row r="1090" spans="2:3">
      <c r="B1090" s="567" t="s">
        <v>4631</v>
      </c>
    </row>
    <row r="1091" spans="2:3">
      <c r="B1091" s="567" t="s">
        <v>4632</v>
      </c>
      <c r="C1091" s="449">
        <f>14/22-1</f>
        <v>-0.36363636363636365</v>
      </c>
    </row>
    <row r="1092" spans="2:3">
      <c r="B1092" s="988">
        <v>42795</v>
      </c>
    </row>
    <row r="1093" spans="2:3">
      <c r="B1093" s="567" t="s">
        <v>4633</v>
      </c>
    </row>
    <row r="1095" spans="2:3">
      <c r="B1095" s="567" t="s">
        <v>4638</v>
      </c>
    </row>
    <row r="1097" spans="2:3">
      <c r="B1097" s="627" t="s">
        <v>4650</v>
      </c>
    </row>
    <row r="1099" spans="2:3">
      <c r="B1099" t="s">
        <v>4651</v>
      </c>
    </row>
    <row r="1100" spans="2:3">
      <c r="B1100" t="s">
        <v>4652</v>
      </c>
    </row>
    <row r="1101" spans="2:3">
      <c r="C1101" t="s">
        <v>4653</v>
      </c>
    </row>
    <row r="1102" spans="2:3">
      <c r="C1102" t="s">
        <v>4654</v>
      </c>
    </row>
    <row r="1103" spans="2:3">
      <c r="B1103" s="499" t="s">
        <v>1831</v>
      </c>
    </row>
    <row r="1104" spans="2:3">
      <c r="B1104" s="478" t="s">
        <v>4662</v>
      </c>
    </row>
    <row r="1105" spans="2:4">
      <c r="B1105" s="478" t="s">
        <v>4655</v>
      </c>
      <c r="C1105" s="478" t="s">
        <v>4656</v>
      </c>
    </row>
    <row r="1106" spans="2:4">
      <c r="B1106" s="478" t="s">
        <v>4657</v>
      </c>
      <c r="C1106" s="478" t="s">
        <v>4658</v>
      </c>
    </row>
    <row r="1107" spans="2:4">
      <c r="D1107" s="478" t="s">
        <v>4659</v>
      </c>
    </row>
    <row r="1108" spans="2:4">
      <c r="D1108" s="478" t="s">
        <v>4660</v>
      </c>
    </row>
    <row r="1109" spans="2:4">
      <c r="B1109" s="478" t="s">
        <v>4661</v>
      </c>
    </row>
    <row r="1111" spans="2:4">
      <c r="B1111" s="499" t="s">
        <v>1697</v>
      </c>
    </row>
    <row r="1112" spans="2:4">
      <c r="B1112" s="478" t="s">
        <v>4676</v>
      </c>
    </row>
    <row r="1113" spans="2:4">
      <c r="B1113" s="478" t="s">
        <v>4663</v>
      </c>
    </row>
    <row r="1114" spans="2:4">
      <c r="B1114" s="478" t="s">
        <v>4664</v>
      </c>
    </row>
    <row r="1115" spans="2:4">
      <c r="B1115" s="478"/>
      <c r="C1115" s="478" t="s">
        <v>4670</v>
      </c>
    </row>
    <row r="1116" spans="2:4">
      <c r="C1116" s="478" t="s">
        <v>4665</v>
      </c>
    </row>
    <row r="1117" spans="2:4">
      <c r="C1117" s="478" t="s">
        <v>4671</v>
      </c>
    </row>
    <row r="1118" spans="2:4">
      <c r="C1118" s="478"/>
      <c r="D1118" s="478" t="s">
        <v>4672</v>
      </c>
    </row>
    <row r="1119" spans="2:4">
      <c r="C1119" s="478" t="s">
        <v>4666</v>
      </c>
    </row>
    <row r="1120" spans="2:4">
      <c r="D1120" s="478" t="s">
        <v>4667</v>
      </c>
    </row>
    <row r="1121" spans="2:5">
      <c r="B1121" s="478" t="s">
        <v>4668</v>
      </c>
      <c r="C1121" s="478" t="s">
        <v>4669</v>
      </c>
    </row>
    <row r="1122" spans="2:5">
      <c r="B1122" s="478" t="s">
        <v>4673</v>
      </c>
      <c r="C1122" s="478" t="s">
        <v>4674</v>
      </c>
    </row>
    <row r="1123" spans="2:5">
      <c r="C1123" s="478" t="s">
        <v>4675</v>
      </c>
    </row>
    <row r="1125" spans="2:5">
      <c r="B1125" s="499" t="s">
        <v>1828</v>
      </c>
    </row>
    <row r="1126" spans="2:5">
      <c r="B1126" s="478" t="s">
        <v>4676</v>
      </c>
    </row>
    <row r="1127" spans="2:5">
      <c r="B1127" s="478" t="s">
        <v>4677</v>
      </c>
    </row>
    <row r="1128" spans="2:5">
      <c r="C1128" s="478" t="s">
        <v>4678</v>
      </c>
    </row>
    <row r="1129" spans="2:5">
      <c r="C1129" s="478" t="s">
        <v>4680</v>
      </c>
    </row>
    <row r="1130" spans="2:5">
      <c r="C1130" s="478" t="s">
        <v>4679</v>
      </c>
    </row>
    <row r="1132" spans="2:5">
      <c r="B1132" s="499" t="s">
        <v>4681</v>
      </c>
    </row>
    <row r="1133" spans="2:5">
      <c r="B1133" s="478" t="s">
        <v>4682</v>
      </c>
    </row>
    <row r="1134" spans="2:5">
      <c r="B1134" s="478" t="s">
        <v>4683</v>
      </c>
      <c r="E1134">
        <f>1345/4</f>
        <v>336.25</v>
      </c>
    </row>
    <row r="1135" spans="2:5">
      <c r="C1135" s="478" t="s">
        <v>4684</v>
      </c>
    </row>
    <row r="1136" spans="2:5">
      <c r="B1136" s="478" t="s">
        <v>4685</v>
      </c>
    </row>
    <row r="1138" spans="2:3">
      <c r="B1138" s="499" t="s">
        <v>150</v>
      </c>
    </row>
    <row r="1139" spans="2:3">
      <c r="B1139" s="478" t="s">
        <v>4686</v>
      </c>
    </row>
    <row r="1141" spans="2:3">
      <c r="B1141" s="627" t="s">
        <v>4700</v>
      </c>
    </row>
    <row r="1143" spans="2:3">
      <c r="B1143" s="478" t="s">
        <v>4701</v>
      </c>
    </row>
    <row r="1144" spans="2:3">
      <c r="B1144" s="478" t="s">
        <v>4702</v>
      </c>
    </row>
    <row r="1145" spans="2:3">
      <c r="B1145" s="478" t="s">
        <v>4703</v>
      </c>
    </row>
    <row r="1146" spans="2:3">
      <c r="C1146" s="478" t="s">
        <v>4704</v>
      </c>
    </row>
    <row r="1148" spans="2:3">
      <c r="B1148" s="478" t="s">
        <v>4705</v>
      </c>
    </row>
    <row r="1151" spans="2:3">
      <c r="B1151" s="478" t="s">
        <v>4522</v>
      </c>
    </row>
    <row r="1152" spans="2:3">
      <c r="C1152" s="478" t="s">
        <v>4706</v>
      </c>
    </row>
    <row r="1153" spans="2:4">
      <c r="C1153" s="478" t="s">
        <v>4707</v>
      </c>
    </row>
    <row r="1154" spans="2:4">
      <c r="C1154" s="478" t="s">
        <v>4708</v>
      </c>
    </row>
    <row r="1155" spans="2:4">
      <c r="C1155" s="478" t="s">
        <v>4709</v>
      </c>
    </row>
    <row r="1157" spans="2:4">
      <c r="B1157" s="478" t="s">
        <v>1665</v>
      </c>
    </row>
    <row r="1158" spans="2:4">
      <c r="C1158" s="478" t="s">
        <v>4710</v>
      </c>
    </row>
    <row r="1159" spans="2:4">
      <c r="D1159" s="478" t="s">
        <v>4711</v>
      </c>
    </row>
    <row r="1160" spans="2:4">
      <c r="D1160" s="478" t="s">
        <v>4712</v>
      </c>
    </row>
    <row r="1161" spans="2:4">
      <c r="D1161" s="478" t="s">
        <v>4713</v>
      </c>
    </row>
    <row r="1162" spans="2:4">
      <c r="C1162" s="478" t="s">
        <v>4720</v>
      </c>
      <c r="D1162" s="478"/>
    </row>
    <row r="1163" spans="2:4">
      <c r="C1163" s="478"/>
      <c r="D1163" s="478" t="s">
        <v>4721</v>
      </c>
    </row>
    <row r="1164" spans="2:4">
      <c r="D1164" s="478" t="s">
        <v>4722</v>
      </c>
    </row>
    <row r="1165" spans="2:4">
      <c r="C1165" s="478" t="s">
        <v>2789</v>
      </c>
      <c r="D1165" s="478"/>
    </row>
    <row r="1166" spans="2:4">
      <c r="C1166" s="478"/>
      <c r="D1166" s="478" t="s">
        <v>4727</v>
      </c>
    </row>
    <row r="1167" spans="2:4">
      <c r="C1167" s="478"/>
      <c r="D1167" s="478" t="s">
        <v>4728</v>
      </c>
    </row>
    <row r="1168" spans="2:4">
      <c r="C1168" s="478"/>
      <c r="D1168" s="478" t="s">
        <v>4729</v>
      </c>
    </row>
    <row r="1169" spans="2:5">
      <c r="C1169" s="478"/>
      <c r="D1169" s="478"/>
      <c r="E1169" s="478" t="s">
        <v>4730</v>
      </c>
    </row>
    <row r="1170" spans="2:5">
      <c r="D1170" s="478"/>
    </row>
    <row r="1171" spans="2:5">
      <c r="B1171" s="478" t="s">
        <v>2409</v>
      </c>
    </row>
    <row r="1172" spans="2:5">
      <c r="C1172" s="478" t="s">
        <v>4714</v>
      </c>
    </row>
    <row r="1173" spans="2:5">
      <c r="C1173" s="478" t="s">
        <v>4715</v>
      </c>
    </row>
    <row r="1174" spans="2:5">
      <c r="C1174" s="478"/>
      <c r="D1174" s="478" t="s">
        <v>4718</v>
      </c>
    </row>
    <row r="1175" spans="2:5">
      <c r="C1175" s="478"/>
      <c r="D1175" s="478" t="s">
        <v>4719</v>
      </c>
    </row>
    <row r="1176" spans="2:5">
      <c r="C1176" s="478" t="s">
        <v>4716</v>
      </c>
    </row>
    <row r="1177" spans="2:5">
      <c r="C1177" s="478" t="s">
        <v>4717</v>
      </c>
    </row>
    <row r="1178" spans="2:5">
      <c r="C1178" s="478" t="s">
        <v>4738</v>
      </c>
    </row>
    <row r="1180" spans="2:5">
      <c r="B1180" s="478" t="s">
        <v>4061</v>
      </c>
    </row>
    <row r="1181" spans="2:5">
      <c r="C1181" s="478" t="s">
        <v>4723</v>
      </c>
    </row>
    <row r="1182" spans="2:5">
      <c r="C1182" s="478" t="s">
        <v>4724</v>
      </c>
    </row>
    <row r="1183" spans="2:5">
      <c r="C1183" s="478" t="s">
        <v>4725</v>
      </c>
    </row>
    <row r="1184" spans="2:5">
      <c r="C1184" s="478" t="s">
        <v>4726</v>
      </c>
    </row>
    <row r="1186" spans="2:4">
      <c r="B1186" s="478" t="s">
        <v>4731</v>
      </c>
    </row>
    <row r="1187" spans="2:4">
      <c r="C1187" s="478" t="s">
        <v>4732</v>
      </c>
    </row>
    <row r="1188" spans="2:4">
      <c r="C1188" s="478" t="s">
        <v>4733</v>
      </c>
    </row>
    <row r="1189" spans="2:4">
      <c r="D1189" s="478" t="s">
        <v>4734</v>
      </c>
    </row>
    <row r="1191" spans="2:4">
      <c r="B1191" s="478" t="s">
        <v>2376</v>
      </c>
    </row>
    <row r="1192" spans="2:4">
      <c r="C1192" s="478" t="s">
        <v>4735</v>
      </c>
    </row>
    <row r="1194" spans="2:4">
      <c r="B1194" s="478" t="s">
        <v>579</v>
      </c>
    </row>
    <row r="1195" spans="2:4">
      <c r="C1195" s="478" t="s">
        <v>4736</v>
      </c>
    </row>
    <row r="1196" spans="2:4">
      <c r="C1196" s="478" t="s">
        <v>4737</v>
      </c>
    </row>
    <row r="1199" spans="2:4">
      <c r="B1199" s="627" t="s">
        <v>4761</v>
      </c>
    </row>
    <row r="1201" spans="2:4">
      <c r="B1201" s="478" t="s">
        <v>1195</v>
      </c>
    </row>
    <row r="1202" spans="2:4">
      <c r="C1202" s="478" t="s">
        <v>4769</v>
      </c>
    </row>
    <row r="1203" spans="2:4">
      <c r="C1203" s="478" t="s">
        <v>4762</v>
      </c>
    </row>
    <row r="1204" spans="2:4">
      <c r="C1204" s="478" t="s">
        <v>4763</v>
      </c>
    </row>
    <row r="1205" spans="2:4">
      <c r="C1205" s="478" t="s">
        <v>4764</v>
      </c>
    </row>
    <row r="1206" spans="2:4">
      <c r="C1206" s="478" t="s">
        <v>4765</v>
      </c>
    </row>
    <row r="1207" spans="2:4">
      <c r="C1207" s="478" t="s">
        <v>4766</v>
      </c>
    </row>
    <row r="1208" spans="2:4">
      <c r="C1208" s="478" t="s">
        <v>4767</v>
      </c>
    </row>
    <row r="1209" spans="2:4">
      <c r="C1209" s="478" t="s">
        <v>4768</v>
      </c>
    </row>
    <row r="1210" spans="2:4">
      <c r="C1210" s="478" t="s">
        <v>4770</v>
      </c>
    </row>
    <row r="1211" spans="2:4">
      <c r="B1211" s="478" t="s">
        <v>2379</v>
      </c>
    </row>
    <row r="1212" spans="2:4">
      <c r="C1212" s="478" t="s">
        <v>4771</v>
      </c>
    </row>
    <row r="1213" spans="2:4">
      <c r="C1213" s="478" t="s">
        <v>4772</v>
      </c>
    </row>
    <row r="1214" spans="2:4">
      <c r="D1214" s="478" t="s">
        <v>4773</v>
      </c>
    </row>
    <row r="1215" spans="2:4">
      <c r="C1215" s="478" t="s">
        <v>4774</v>
      </c>
    </row>
    <row r="1216" spans="2:4">
      <c r="B1216" s="478" t="s">
        <v>565</v>
      </c>
    </row>
    <row r="1217" spans="2:4">
      <c r="C1217" s="478" t="s">
        <v>4775</v>
      </c>
    </row>
    <row r="1218" spans="2:4">
      <c r="C1218" s="478" t="s">
        <v>4776</v>
      </c>
    </row>
    <row r="1219" spans="2:4">
      <c r="C1219" s="478" t="s">
        <v>4777</v>
      </c>
    </row>
    <row r="1220" spans="2:4">
      <c r="C1220" s="478" t="s">
        <v>4778</v>
      </c>
    </row>
    <row r="1222" spans="2:4">
      <c r="C1222" s="478" t="s">
        <v>4779</v>
      </c>
    </row>
    <row r="1224" spans="2:4">
      <c r="B1224" s="478" t="s">
        <v>1665</v>
      </c>
    </row>
    <row r="1225" spans="2:4">
      <c r="C1225" s="478" t="s">
        <v>4780</v>
      </c>
    </row>
    <row r="1226" spans="2:4">
      <c r="C1226" s="478" t="s">
        <v>4781</v>
      </c>
    </row>
    <row r="1227" spans="2:4">
      <c r="D1227" s="478" t="s">
        <v>4782</v>
      </c>
    </row>
    <row r="1228" spans="2:4">
      <c r="D1228" s="478" t="s">
        <v>4783</v>
      </c>
    </row>
    <row r="1229" spans="2:4">
      <c r="C1229" s="478" t="s">
        <v>4784</v>
      </c>
    </row>
    <row r="1230" spans="2:4">
      <c r="C1230" s="478" t="s">
        <v>4785</v>
      </c>
    </row>
    <row r="1231" spans="2:4">
      <c r="C1231" s="478" t="s">
        <v>4786</v>
      </c>
    </row>
    <row r="1232" spans="2:4">
      <c r="C1232" s="478" t="s">
        <v>4787</v>
      </c>
    </row>
    <row r="1233" spans="2:6">
      <c r="D1233" s="478" t="s">
        <v>4788</v>
      </c>
    </row>
    <row r="1234" spans="2:6">
      <c r="B1234" s="478" t="s">
        <v>2376</v>
      </c>
    </row>
    <row r="1235" spans="2:6">
      <c r="C1235" s="478" t="s">
        <v>4789</v>
      </c>
    </row>
    <row r="1236" spans="2:6">
      <c r="B1236" s="478" t="s">
        <v>1831</v>
      </c>
    </row>
    <row r="1237" spans="2:6">
      <c r="C1237" s="478" t="s">
        <v>4790</v>
      </c>
    </row>
    <row r="1239" spans="2:6">
      <c r="B1239" s="627" t="s">
        <v>4811</v>
      </c>
    </row>
    <row r="1241" spans="2:6">
      <c r="B1241" s="499" t="s">
        <v>2697</v>
      </c>
    </row>
    <row r="1242" spans="2:6">
      <c r="F1242" s="478" t="s">
        <v>4835</v>
      </c>
    </row>
    <row r="1243" spans="2:6">
      <c r="B1243" s="478" t="s">
        <v>4795</v>
      </c>
      <c r="F1243" s="478" t="s">
        <v>4836</v>
      </c>
    </row>
    <row r="1244" spans="2:6">
      <c r="C1244" s="478" t="s">
        <v>4796</v>
      </c>
    </row>
    <row r="1246" spans="2:6">
      <c r="B1246" s="478" t="s">
        <v>4807</v>
      </c>
    </row>
    <row r="1248" spans="2:6">
      <c r="B1248" s="478" t="s">
        <v>4806</v>
      </c>
    </row>
    <row r="1249" spans="2:3">
      <c r="C1249" s="478" t="s">
        <v>4809</v>
      </c>
    </row>
    <row r="1251" spans="2:3">
      <c r="B1251" s="478" t="s">
        <v>4810</v>
      </c>
    </row>
    <row r="1252" spans="2:3">
      <c r="C1252" s="478" t="s">
        <v>4813</v>
      </c>
    </row>
    <row r="1254" spans="2:3">
      <c r="B1254" s="478" t="s">
        <v>4818</v>
      </c>
      <c r="C1254" s="478" t="s">
        <v>4819</v>
      </c>
    </row>
    <row r="1256" spans="2:3">
      <c r="B1256" s="499" t="s">
        <v>4815</v>
      </c>
    </row>
    <row r="1258" spans="2:3">
      <c r="B1258" s="478" t="s">
        <v>4812</v>
      </c>
    </row>
    <row r="1259" spans="2:3">
      <c r="B1259" s="478" t="s">
        <v>4814</v>
      </c>
    </row>
    <row r="1261" spans="2:3">
      <c r="B1261" s="478" t="s">
        <v>4816</v>
      </c>
    </row>
    <row r="1262" spans="2:3">
      <c r="B1262" s="478" t="s">
        <v>4817</v>
      </c>
    </row>
    <row r="1264" spans="2:3">
      <c r="B1264" s="478" t="s">
        <v>4820</v>
      </c>
    </row>
    <row r="1266" spans="2:3">
      <c r="B1266" s="478" t="s">
        <v>4821</v>
      </c>
    </row>
    <row r="1267" spans="2:3">
      <c r="B1267" s="478" t="s">
        <v>4822</v>
      </c>
    </row>
    <row r="1269" spans="2:3">
      <c r="B1269" s="478" t="s">
        <v>4823</v>
      </c>
    </row>
    <row r="1271" spans="2:3">
      <c r="B1271" s="478" t="s">
        <v>4824</v>
      </c>
    </row>
    <row r="1272" spans="2:3">
      <c r="B1272" s="478" t="s">
        <v>4825</v>
      </c>
    </row>
    <row r="1274" spans="2:3">
      <c r="B1274" s="478" t="s">
        <v>4826</v>
      </c>
    </row>
    <row r="1275" spans="2:3">
      <c r="B1275" s="478"/>
      <c r="C1275" s="478" t="s">
        <v>4829</v>
      </c>
    </row>
    <row r="1276" spans="2:3">
      <c r="B1276" s="478" t="s">
        <v>4827</v>
      </c>
    </row>
    <row r="1277" spans="2:3">
      <c r="B1277" s="478" t="s">
        <v>4828</v>
      </c>
    </row>
    <row r="1279" spans="2:3">
      <c r="B1279" s="499" t="s">
        <v>1877</v>
      </c>
    </row>
    <row r="1281" spans="2:3">
      <c r="B1281" s="478" t="s">
        <v>4830</v>
      </c>
    </row>
    <row r="1282" spans="2:3">
      <c r="B1282" s="478" t="s">
        <v>4831</v>
      </c>
    </row>
    <row r="1283" spans="2:3">
      <c r="C1283" s="478" t="s">
        <v>4832</v>
      </c>
    </row>
    <row r="1284" spans="2:3">
      <c r="C1284" s="478" t="s">
        <v>4833</v>
      </c>
    </row>
    <row r="1286" spans="2:3">
      <c r="B1286" s="478" t="s">
        <v>4834</v>
      </c>
    </row>
    <row r="1288" spans="2:3">
      <c r="B1288" s="478" t="s">
        <v>4837</v>
      </c>
    </row>
    <row r="1290" spans="2:3">
      <c r="B1290" s="499" t="s">
        <v>4171</v>
      </c>
    </row>
    <row r="1291" spans="2:3">
      <c r="B1291" s="478" t="s">
        <v>4838</v>
      </c>
    </row>
    <row r="1292" spans="2:3">
      <c r="B1292" s="478" t="s">
        <v>4839</v>
      </c>
    </row>
    <row r="1293" spans="2:3">
      <c r="B1293" s="478" t="s">
        <v>4840</v>
      </c>
    </row>
    <row r="1294" spans="2:3">
      <c r="B1294" s="478" t="s">
        <v>4841</v>
      </c>
    </row>
    <row r="1296" spans="2:3">
      <c r="B1296" s="478" t="s">
        <v>4842</v>
      </c>
    </row>
    <row r="1297" spans="2:4">
      <c r="B1297" s="478" t="s">
        <v>4843</v>
      </c>
    </row>
    <row r="1298" spans="2:4">
      <c r="B1298" s="478" t="s">
        <v>4844</v>
      </c>
    </row>
    <row r="1299" spans="2:4">
      <c r="B1299" s="478" t="s">
        <v>4845</v>
      </c>
    </row>
    <row r="1301" spans="2:4">
      <c r="C1301" s="506" t="s">
        <v>4848</v>
      </c>
      <c r="D1301" s="506" t="s">
        <v>4847</v>
      </c>
    </row>
    <row r="1302" spans="2:4">
      <c r="B1302" s="478" t="s">
        <v>4846</v>
      </c>
      <c r="C1302">
        <f>D1302-120</f>
        <v>250</v>
      </c>
      <c r="D1302">
        <v>370</v>
      </c>
    </row>
    <row r="1303" spans="2:4">
      <c r="B1303" s="478" t="s">
        <v>4850</v>
      </c>
      <c r="D1303">
        <f>D1302-C1302</f>
        <v>120</v>
      </c>
    </row>
    <row r="1305" spans="2:4">
      <c r="B1305" s="478" t="s">
        <v>4849</v>
      </c>
    </row>
    <row r="1307" spans="2:4">
      <c r="B1307" s="478" t="s">
        <v>4851</v>
      </c>
    </row>
    <row r="1308" spans="2:4">
      <c r="C1308" s="478" t="s">
        <v>4852</v>
      </c>
    </row>
    <row r="1309" spans="2:4">
      <c r="C1309" s="478" t="s">
        <v>4853</v>
      </c>
    </row>
    <row r="1311" spans="2:4">
      <c r="B1311" s="478" t="s">
        <v>4854</v>
      </c>
    </row>
    <row r="1312" spans="2:4">
      <c r="C1312" s="478" t="s">
        <v>4855</v>
      </c>
    </row>
    <row r="1314" spans="2:4">
      <c r="B1314" s="627" t="s">
        <v>4862</v>
      </c>
    </row>
    <row r="1316" spans="2:4">
      <c r="B1316" t="s">
        <v>4872</v>
      </c>
    </row>
    <row r="1317" spans="2:4">
      <c r="B1317" t="s">
        <v>4818</v>
      </c>
    </row>
    <row r="1318" spans="2:4">
      <c r="C1318" t="s">
        <v>4873</v>
      </c>
    </row>
    <row r="1319" spans="2:4">
      <c r="D1319" t="s">
        <v>4874</v>
      </c>
    </row>
    <row r="1320" spans="2:4">
      <c r="D1320" t="s">
        <v>4875</v>
      </c>
    </row>
    <row r="1321" spans="2:4">
      <c r="C1321" t="s">
        <v>4876</v>
      </c>
    </row>
    <row r="1322" spans="2:4">
      <c r="C1322" t="s">
        <v>4877</v>
      </c>
    </row>
    <row r="1324" spans="2:4">
      <c r="C1324" t="s">
        <v>4883</v>
      </c>
    </row>
    <row r="1325" spans="2:4">
      <c r="C1325" t="s">
        <v>4884</v>
      </c>
    </row>
    <row r="1326" spans="2:4">
      <c r="C1326" t="s">
        <v>4885</v>
      </c>
    </row>
    <row r="1327" spans="2:4">
      <c r="D1327" t="s">
        <v>4886</v>
      </c>
    </row>
    <row r="1329" spans="2:4">
      <c r="B1329" t="s">
        <v>4878</v>
      </c>
      <c r="C1329" t="s">
        <v>4879</v>
      </c>
    </row>
    <row r="1331" spans="2:4">
      <c r="B1331" t="s">
        <v>4881</v>
      </c>
      <c r="C1331" t="s">
        <v>4882</v>
      </c>
    </row>
    <row r="1333" spans="2:4">
      <c r="B1333" t="s">
        <v>4887</v>
      </c>
    </row>
    <row r="1334" spans="2:4">
      <c r="B1334" t="s">
        <v>4888</v>
      </c>
    </row>
    <row r="1335" spans="2:4">
      <c r="C1335" t="s">
        <v>4889</v>
      </c>
    </row>
    <row r="1337" spans="2:4">
      <c r="B1337" t="s">
        <v>4880</v>
      </c>
    </row>
    <row r="1339" spans="2:4">
      <c r="B1339" t="s">
        <v>4890</v>
      </c>
      <c r="C1339" t="s">
        <v>4891</v>
      </c>
    </row>
    <row r="1340" spans="2:4">
      <c r="C1340" t="s">
        <v>4892</v>
      </c>
    </row>
    <row r="1341" spans="2:4">
      <c r="C1341" t="s">
        <v>4893</v>
      </c>
    </row>
    <row r="1343" spans="2:4">
      <c r="C1343" t="s">
        <v>4900</v>
      </c>
    </row>
    <row r="1344" spans="2:4">
      <c r="D1344" t="s">
        <v>4901</v>
      </c>
    </row>
    <row r="1345" spans="2:4">
      <c r="D1345" t="s">
        <v>4902</v>
      </c>
    </row>
    <row r="1346" spans="2:4">
      <c r="D1346" t="s">
        <v>4903</v>
      </c>
    </row>
    <row r="1348" spans="2:4">
      <c r="C1348" t="s">
        <v>4904</v>
      </c>
    </row>
    <row r="1349" spans="2:4">
      <c r="D1349" t="s">
        <v>4905</v>
      </c>
    </row>
    <row r="1351" spans="2:4">
      <c r="B1351" t="s">
        <v>2881</v>
      </c>
    </row>
    <row r="1352" spans="2:4">
      <c r="C1352" t="s">
        <v>4894</v>
      </c>
    </row>
    <row r="1353" spans="2:4">
      <c r="C1353" t="s">
        <v>4895</v>
      </c>
    </row>
    <row r="1354" spans="2:4">
      <c r="D1354" t="s">
        <v>4896</v>
      </c>
    </row>
    <row r="1355" spans="2:4">
      <c r="D1355" t="s">
        <v>4897</v>
      </c>
    </row>
    <row r="1356" spans="2:4">
      <c r="C1356" t="s">
        <v>2376</v>
      </c>
    </row>
    <row r="1357" spans="2:4">
      <c r="D1357" t="s">
        <v>4898</v>
      </c>
    </row>
    <row r="1358" spans="2:4">
      <c r="C1358" t="s">
        <v>2379</v>
      </c>
    </row>
    <row r="1359" spans="2:4">
      <c r="D1359" t="s">
        <v>4899</v>
      </c>
    </row>
    <row r="1361" spans="2:3">
      <c r="B1361" t="s">
        <v>6</v>
      </c>
    </row>
    <row r="1363" spans="2:3">
      <c r="B1363" s="627" t="s">
        <v>4916</v>
      </c>
    </row>
    <row r="1365" spans="2:3">
      <c r="B1365" s="627" t="s">
        <v>1665</v>
      </c>
    </row>
    <row r="1366" spans="2:3">
      <c r="B1366" s="478"/>
    </row>
    <row r="1367" spans="2:3">
      <c r="B1367" s="478" t="s">
        <v>4978</v>
      </c>
    </row>
    <row r="1368" spans="2:3">
      <c r="B1368" s="478"/>
      <c r="C1368" s="478" t="s">
        <v>4979</v>
      </c>
    </row>
    <row r="1369" spans="2:3">
      <c r="B1369" s="478"/>
    </row>
    <row r="1370" spans="2:3">
      <c r="B1370" s="478" t="s">
        <v>4911</v>
      </c>
    </row>
    <row r="1371" spans="2:3">
      <c r="C1371" s="478" t="s">
        <v>4912</v>
      </c>
    </row>
    <row r="1372" spans="2:3">
      <c r="B1372" s="478" t="s">
        <v>4913</v>
      </c>
    </row>
    <row r="1373" spans="2:3">
      <c r="B1373" s="478" t="s">
        <v>4914</v>
      </c>
    </row>
    <row r="1374" spans="2:3">
      <c r="C1374" s="478" t="s">
        <v>4915</v>
      </c>
    </row>
    <row r="1375" spans="2:3">
      <c r="B1375" s="478" t="s">
        <v>4917</v>
      </c>
    </row>
    <row r="1376" spans="2:3">
      <c r="B1376" s="478"/>
      <c r="C1376" s="478" t="s">
        <v>4918</v>
      </c>
    </row>
    <row r="1377" spans="2:13">
      <c r="B1377" s="478" t="s">
        <v>4919</v>
      </c>
    </row>
    <row r="1378" spans="2:13">
      <c r="C1378" s="478" t="s">
        <v>4920</v>
      </c>
    </row>
    <row r="1379" spans="2:13">
      <c r="C1379" s="478" t="s">
        <v>4921</v>
      </c>
    </row>
    <row r="1380" spans="2:13">
      <c r="D1380" s="478" t="s">
        <v>4922</v>
      </c>
    </row>
    <row r="1381" spans="2:13">
      <c r="C1381" s="478" t="s">
        <v>4926</v>
      </c>
      <c r="D1381" s="478"/>
    </row>
    <row r="1382" spans="2:13">
      <c r="C1382" s="478" t="s">
        <v>4927</v>
      </c>
      <c r="D1382" s="478"/>
    </row>
    <row r="1383" spans="2:13">
      <c r="D1383" s="478" t="s">
        <v>4928</v>
      </c>
    </row>
    <row r="1384" spans="2:13">
      <c r="D1384" s="478" t="s">
        <v>4929</v>
      </c>
    </row>
    <row r="1385" spans="2:13">
      <c r="B1385" s="478" t="s">
        <v>4924</v>
      </c>
    </row>
    <row r="1386" spans="2:13">
      <c r="C1386" s="478" t="s">
        <v>4923</v>
      </c>
    </row>
    <row r="1387" spans="2:13">
      <c r="C1387" s="478" t="s">
        <v>4925</v>
      </c>
    </row>
    <row r="1389" spans="2:13">
      <c r="B1389" s="478" t="s">
        <v>4930</v>
      </c>
    </row>
    <row r="1390" spans="2:13">
      <c r="B1390" s="478"/>
    </row>
    <row r="1391" spans="2:13">
      <c r="B1391" s="478" t="s">
        <v>4644</v>
      </c>
      <c r="M1391" s="478" t="s">
        <v>521</v>
      </c>
    </row>
    <row r="1392" spans="2:13">
      <c r="B1392" s="478"/>
      <c r="C1392" s="478" t="s">
        <v>5016</v>
      </c>
      <c r="M1392" s="478"/>
    </row>
    <row r="1393" spans="2:5">
      <c r="B1393" s="478"/>
      <c r="C1393" s="478" t="s">
        <v>4986</v>
      </c>
    </row>
    <row r="1394" spans="2:5">
      <c r="B1394" s="478"/>
      <c r="C1394" s="478"/>
      <c r="D1394" s="478" t="s">
        <v>4987</v>
      </c>
    </row>
    <row r="1395" spans="2:5">
      <c r="B1395" s="478"/>
      <c r="C1395" s="478"/>
      <c r="D1395" s="478" t="s">
        <v>4988</v>
      </c>
    </row>
    <row r="1396" spans="2:5">
      <c r="B1396" s="478"/>
      <c r="C1396" s="478" t="s">
        <v>5009</v>
      </c>
      <c r="D1396" s="478"/>
    </row>
    <row r="1397" spans="2:5">
      <c r="B1397" s="478"/>
      <c r="C1397" s="478" t="s">
        <v>5010</v>
      </c>
      <c r="D1397" s="478"/>
    </row>
    <row r="1398" spans="2:5">
      <c r="B1398" s="478"/>
      <c r="C1398" s="478" t="s">
        <v>5011</v>
      </c>
      <c r="D1398" s="478"/>
    </row>
    <row r="1399" spans="2:5">
      <c r="B1399" s="478"/>
      <c r="C1399" s="478" t="s">
        <v>5012</v>
      </c>
      <c r="D1399" s="478"/>
    </row>
    <row r="1400" spans="2:5">
      <c r="B1400" s="478"/>
      <c r="C1400" s="478"/>
    </row>
    <row r="1401" spans="2:5">
      <c r="B1401" s="478"/>
      <c r="C1401" s="478" t="s">
        <v>4981</v>
      </c>
    </row>
    <row r="1402" spans="2:5">
      <c r="B1402" s="478"/>
      <c r="C1402" s="478" t="s">
        <v>5013</v>
      </c>
      <c r="E1402" s="478" t="s">
        <v>5014</v>
      </c>
    </row>
    <row r="1403" spans="2:5">
      <c r="B1403" s="478"/>
      <c r="C1403" s="478"/>
      <c r="E1403" s="478" t="s">
        <v>5015</v>
      </c>
    </row>
    <row r="1404" spans="2:5">
      <c r="B1404" s="478"/>
      <c r="C1404" s="478" t="s">
        <v>4982</v>
      </c>
    </row>
    <row r="1405" spans="2:5">
      <c r="B1405" s="478"/>
      <c r="C1405" s="478"/>
      <c r="D1405" s="478" t="s">
        <v>4983</v>
      </c>
    </row>
    <row r="1406" spans="2:5">
      <c r="B1406" s="478"/>
      <c r="C1406" s="478" t="s">
        <v>4984</v>
      </c>
      <c r="D1406" s="478"/>
    </row>
    <row r="1407" spans="2:5">
      <c r="B1407" s="478"/>
      <c r="C1407" s="478"/>
      <c r="D1407" s="478" t="s">
        <v>4985</v>
      </c>
    </row>
    <row r="1408" spans="2:5">
      <c r="B1408" s="478"/>
    </row>
    <row r="1409" spans="2:6">
      <c r="B1409" s="478" t="s">
        <v>4951</v>
      </c>
      <c r="C1409" s="478" t="s">
        <v>4952</v>
      </c>
    </row>
    <row r="1410" spans="2:6">
      <c r="B1410" s="478"/>
      <c r="C1410" s="478"/>
    </row>
    <row r="1411" spans="2:6">
      <c r="C1411" s="478" t="s">
        <v>4931</v>
      </c>
    </row>
    <row r="1412" spans="2:6">
      <c r="D1412" s="478" t="s">
        <v>5006</v>
      </c>
      <c r="E1412" s="1124">
        <v>42736</v>
      </c>
      <c r="F1412" s="449">
        <v>0.3</v>
      </c>
    </row>
    <row r="1413" spans="2:6">
      <c r="E1413" s="1124">
        <v>42795</v>
      </c>
      <c r="F1413" s="506" t="s">
        <v>4932</v>
      </c>
    </row>
    <row r="1414" spans="2:6">
      <c r="E1414" s="478" t="s">
        <v>4933</v>
      </c>
      <c r="F1414" s="478" t="s">
        <v>4934</v>
      </c>
    </row>
    <row r="1415" spans="2:6">
      <c r="E1415" s="478" t="s">
        <v>4936</v>
      </c>
      <c r="F1415" s="478" t="s">
        <v>4935</v>
      </c>
    </row>
    <row r="1416" spans="2:6">
      <c r="E1416" s="478" t="s">
        <v>4937</v>
      </c>
    </row>
    <row r="1417" spans="2:6">
      <c r="C1417" s="478" t="s">
        <v>4720</v>
      </c>
      <c r="D1417" s="478" t="s">
        <v>4938</v>
      </c>
    </row>
    <row r="1418" spans="2:6">
      <c r="D1418" s="478" t="s">
        <v>4939</v>
      </c>
    </row>
    <row r="1419" spans="2:6">
      <c r="C1419" s="478" t="s">
        <v>4940</v>
      </c>
    </row>
    <row r="1420" spans="2:6">
      <c r="D1420" s="478" t="s">
        <v>4941</v>
      </c>
    </row>
    <row r="1421" spans="2:6">
      <c r="D1421" s="478" t="s">
        <v>4942</v>
      </c>
    </row>
    <row r="1422" spans="2:6">
      <c r="D1422" s="478" t="s">
        <v>4945</v>
      </c>
    </row>
    <row r="1423" spans="2:6">
      <c r="E1423" s="478" t="s">
        <v>4943</v>
      </c>
    </row>
    <row r="1424" spans="2:6">
      <c r="E1424" s="478" t="s">
        <v>4944</v>
      </c>
    </row>
    <row r="1425" spans="2:4">
      <c r="D1425" s="478" t="s">
        <v>4946</v>
      </c>
    </row>
    <row r="1426" spans="2:4">
      <c r="C1426" s="478" t="s">
        <v>4947</v>
      </c>
    </row>
    <row r="1427" spans="2:4">
      <c r="C1427" s="478"/>
      <c r="D1427" s="478" t="s">
        <v>4950</v>
      </c>
    </row>
    <row r="1428" spans="2:4">
      <c r="D1428" s="478" t="s">
        <v>4948</v>
      </c>
    </row>
    <row r="1429" spans="2:4">
      <c r="D1429" s="478" t="s">
        <v>4949</v>
      </c>
    </row>
    <row r="1431" spans="2:4">
      <c r="B1431" s="478" t="s">
        <v>4953</v>
      </c>
    </row>
    <row r="1432" spans="2:4">
      <c r="B1432" s="478"/>
      <c r="C1432" s="478" t="s">
        <v>5007</v>
      </c>
    </row>
    <row r="1433" spans="2:4">
      <c r="B1433" s="478"/>
      <c r="C1433" s="478" t="s">
        <v>5008</v>
      </c>
    </row>
    <row r="1434" spans="2:4">
      <c r="C1434">
        <v>1097</v>
      </c>
      <c r="D1434" s="478" t="s">
        <v>4699</v>
      </c>
    </row>
    <row r="1435" spans="2:4">
      <c r="C1435">
        <v>542</v>
      </c>
      <c r="D1435" s="478" t="s">
        <v>4954</v>
      </c>
    </row>
    <row r="1436" spans="2:4">
      <c r="D1436" s="478" t="s">
        <v>4955</v>
      </c>
    </row>
    <row r="1438" spans="2:4">
      <c r="C1438" s="478" t="s">
        <v>4956</v>
      </c>
    </row>
    <row r="1439" spans="2:4">
      <c r="C1439" s="478" t="s">
        <v>4957</v>
      </c>
    </row>
    <row r="1440" spans="2:4">
      <c r="D1440" s="478" t="s">
        <v>4958</v>
      </c>
    </row>
    <row r="1441" spans="2:5">
      <c r="D1441" s="478" t="s">
        <v>4959</v>
      </c>
    </row>
    <row r="1442" spans="2:5">
      <c r="D1442" s="478" t="s">
        <v>4960</v>
      </c>
    </row>
    <row r="1443" spans="2:5">
      <c r="D1443" s="478"/>
      <c r="E1443" s="478" t="s">
        <v>4964</v>
      </c>
    </row>
    <row r="1444" spans="2:5">
      <c r="D1444" s="478"/>
      <c r="E1444" s="478" t="s">
        <v>4965</v>
      </c>
    </row>
    <row r="1445" spans="2:5">
      <c r="C1445" s="478" t="s">
        <v>4961</v>
      </c>
    </row>
    <row r="1446" spans="2:5">
      <c r="C1446" s="478" t="s">
        <v>4954</v>
      </c>
    </row>
    <row r="1447" spans="2:5">
      <c r="D1447" s="478" t="s">
        <v>4962</v>
      </c>
    </row>
    <row r="1448" spans="2:5">
      <c r="D1448" s="478" t="s">
        <v>4963</v>
      </c>
    </row>
    <row r="1449" spans="2:5">
      <c r="C1449" s="478" t="s">
        <v>4966</v>
      </c>
    </row>
    <row r="1450" spans="2:5">
      <c r="C1450" s="478" t="s">
        <v>4967</v>
      </c>
    </row>
    <row r="1451" spans="2:5">
      <c r="C1451" s="478"/>
    </row>
    <row r="1452" spans="2:5">
      <c r="C1452" s="478" t="s">
        <v>4980</v>
      </c>
    </row>
    <row r="1454" spans="2:5">
      <c r="B1454" s="478" t="s">
        <v>4171</v>
      </c>
    </row>
    <row r="1455" spans="2:5">
      <c r="C1455" s="478" t="s">
        <v>4968</v>
      </c>
    </row>
    <row r="1456" spans="2:5">
      <c r="D1456" s="449">
        <v>0.46</v>
      </c>
    </row>
    <row r="1457" spans="2:5">
      <c r="C1457" s="478" t="s">
        <v>4969</v>
      </c>
    </row>
    <row r="1458" spans="2:5">
      <c r="B1458" s="613" t="s">
        <v>5035</v>
      </c>
      <c r="C1458" s="478" t="s">
        <v>5115</v>
      </c>
      <c r="D1458" s="478" t="s">
        <v>5032</v>
      </c>
    </row>
    <row r="1459" spans="2:5">
      <c r="B1459" s="613" t="s">
        <v>5035</v>
      </c>
      <c r="C1459" s="478" t="s">
        <v>5116</v>
      </c>
      <c r="D1459" s="478" t="s">
        <v>5033</v>
      </c>
    </row>
    <row r="1460" spans="2:5">
      <c r="B1460" s="613" t="s">
        <v>5035</v>
      </c>
      <c r="C1460" s="478" t="s">
        <v>5117</v>
      </c>
      <c r="D1460" s="478" t="s">
        <v>5034</v>
      </c>
    </row>
    <row r="1461" spans="2:5">
      <c r="D1461" s="478" t="s">
        <v>4970</v>
      </c>
    </row>
    <row r="1462" spans="2:5">
      <c r="C1462" s="478" t="s">
        <v>4971</v>
      </c>
    </row>
    <row r="1463" spans="2:5">
      <c r="C1463" s="478" t="s">
        <v>4972</v>
      </c>
    </row>
    <row r="1464" spans="2:5">
      <c r="C1464" s="478" t="s">
        <v>4973</v>
      </c>
    </row>
    <row r="1465" spans="2:5">
      <c r="D1465" s="478" t="s">
        <v>4974</v>
      </c>
    </row>
    <row r="1466" spans="2:5">
      <c r="D1466" s="478" t="s">
        <v>4975</v>
      </c>
      <c r="E1466" s="478" t="s">
        <v>4976</v>
      </c>
    </row>
    <row r="1467" spans="2:5">
      <c r="C1467" s="478" t="s">
        <v>4977</v>
      </c>
    </row>
    <row r="1469" spans="2:5">
      <c r="B1469" s="1125">
        <v>43040</v>
      </c>
    </row>
    <row r="1471" spans="2:5">
      <c r="B1471" s="478" t="s">
        <v>4996</v>
      </c>
    </row>
    <row r="1472" spans="2:5">
      <c r="B1472" s="478" t="s">
        <v>4997</v>
      </c>
    </row>
    <row r="1473" spans="2:5">
      <c r="B1473" s="478" t="s">
        <v>4998</v>
      </c>
    </row>
    <row r="1474" spans="2:5">
      <c r="B1474" s="478" t="s">
        <v>4999</v>
      </c>
    </row>
    <row r="1475" spans="2:5">
      <c r="C1475" s="478" t="s">
        <v>5000</v>
      </c>
    </row>
    <row r="1476" spans="2:5">
      <c r="C1476" s="478" t="s">
        <v>5001</v>
      </c>
    </row>
    <row r="1477" spans="2:5">
      <c r="C1477" s="478" t="s">
        <v>5002</v>
      </c>
    </row>
    <row r="1478" spans="2:5">
      <c r="D1478" s="478" t="s">
        <v>5003</v>
      </c>
      <c r="E1478" s="478" t="s">
        <v>5004</v>
      </c>
    </row>
    <row r="1479" spans="2:5">
      <c r="C1479" s="478" t="s">
        <v>5005</v>
      </c>
    </row>
    <row r="1481" spans="2:5">
      <c r="B1481" s="478" t="s">
        <v>1665</v>
      </c>
    </row>
    <row r="1482" spans="2:5">
      <c r="C1482" s="478" t="s">
        <v>5017</v>
      </c>
    </row>
    <row r="1483" spans="2:5">
      <c r="C1483" s="478" t="s">
        <v>5018</v>
      </c>
    </row>
    <row r="1484" spans="2:5">
      <c r="D1484" s="478" t="s">
        <v>5019</v>
      </c>
    </row>
    <row r="1485" spans="2:5">
      <c r="D1485" s="478" t="s">
        <v>5020</v>
      </c>
    </row>
    <row r="1486" spans="2:5">
      <c r="E1486" s="478" t="s">
        <v>5021</v>
      </c>
    </row>
    <row r="1487" spans="2:5">
      <c r="D1487" s="478" t="s">
        <v>5022</v>
      </c>
    </row>
    <row r="1488" spans="2:5">
      <c r="D1488" s="478" t="s">
        <v>5023</v>
      </c>
    </row>
    <row r="1489" spans="2:5">
      <c r="C1489" s="478" t="s">
        <v>5024</v>
      </c>
    </row>
    <row r="1490" spans="2:5">
      <c r="D1490" s="478" t="s">
        <v>5025</v>
      </c>
    </row>
    <row r="1491" spans="2:5">
      <c r="D1491" s="478" t="s">
        <v>5026</v>
      </c>
    </row>
    <row r="1492" spans="2:5">
      <c r="D1492" s="478" t="s">
        <v>5027</v>
      </c>
    </row>
    <row r="1493" spans="2:5">
      <c r="E1493" s="478" t="s">
        <v>5028</v>
      </c>
    </row>
    <row r="1494" spans="2:5">
      <c r="E1494" s="478" t="s">
        <v>5029</v>
      </c>
    </row>
    <row r="1495" spans="2:5">
      <c r="E1495" s="478" t="s">
        <v>5030</v>
      </c>
    </row>
    <row r="1496" spans="2:5">
      <c r="D1496" s="478" t="s">
        <v>5031</v>
      </c>
    </row>
    <row r="1498" spans="2:5">
      <c r="B1498" s="478" t="s">
        <v>565</v>
      </c>
    </row>
    <row r="1499" spans="2:5">
      <c r="C1499" s="494">
        <v>43132</v>
      </c>
    </row>
    <row r="1500" spans="2:5">
      <c r="C1500" s="478" t="s">
        <v>5036</v>
      </c>
    </row>
    <row r="1502" spans="2:5">
      <c r="B1502" t="s">
        <v>2378</v>
      </c>
      <c r="C1502" t="s">
        <v>5037</v>
      </c>
    </row>
    <row r="1503" spans="2:5">
      <c r="C1503" t="s">
        <v>5038</v>
      </c>
    </row>
    <row r="1505" spans="2:4">
      <c r="B1505" s="1125">
        <v>43101</v>
      </c>
    </row>
    <row r="1506" spans="2:4">
      <c r="B1506" s="455"/>
      <c r="C1506" s="495" t="s">
        <v>5059</v>
      </c>
    </row>
    <row r="1507" spans="2:4">
      <c r="B1507" t="s">
        <v>1194</v>
      </c>
      <c r="C1507">
        <v>1457</v>
      </c>
      <c r="D1507" t="s">
        <v>5072</v>
      </c>
    </row>
    <row r="1508" spans="2:4">
      <c r="B1508" t="s">
        <v>360</v>
      </c>
      <c r="C1508">
        <v>548</v>
      </c>
      <c r="D1508" t="s">
        <v>5072</v>
      </c>
    </row>
    <row r="1509" spans="2:4">
      <c r="B1509" t="s">
        <v>1453</v>
      </c>
      <c r="C1509">
        <v>336</v>
      </c>
      <c r="D1509" t="s">
        <v>5057</v>
      </c>
    </row>
    <row r="1510" spans="2:4">
      <c r="D1510" t="s">
        <v>5058</v>
      </c>
    </row>
    <row r="1511" spans="2:4">
      <c r="D1511" t="s">
        <v>5060</v>
      </c>
    </row>
    <row r="1512" spans="2:4">
      <c r="D1512" t="s">
        <v>5061</v>
      </c>
    </row>
    <row r="1513" spans="2:4">
      <c r="B1513" t="s">
        <v>5062</v>
      </c>
      <c r="C1513" s="493" t="s">
        <v>5063</v>
      </c>
    </row>
    <row r="1514" spans="2:4">
      <c r="B1514" t="s">
        <v>2282</v>
      </c>
      <c r="C1514" t="s">
        <v>5064</v>
      </c>
    </row>
    <row r="1516" spans="2:4">
      <c r="B1516" t="s">
        <v>5065</v>
      </c>
      <c r="C1516" t="s">
        <v>5066</v>
      </c>
    </row>
    <row r="1517" spans="2:4">
      <c r="B1517" t="s">
        <v>2377</v>
      </c>
      <c r="C1517" t="s">
        <v>5067</v>
      </c>
    </row>
    <row r="1518" spans="2:4">
      <c r="B1518" t="s">
        <v>1665</v>
      </c>
      <c r="C1518" t="s">
        <v>5068</v>
      </c>
    </row>
    <row r="1519" spans="2:4">
      <c r="D1519" t="s">
        <v>5069</v>
      </c>
    </row>
    <row r="1520" spans="2:4">
      <c r="D1520" t="s">
        <v>5070</v>
      </c>
    </row>
    <row r="1521" spans="2:4">
      <c r="B1521" t="s">
        <v>2379</v>
      </c>
      <c r="C1521" t="s">
        <v>5071</v>
      </c>
    </row>
    <row r="1522" spans="2:4">
      <c r="B1522" t="s">
        <v>2380</v>
      </c>
      <c r="C1522" t="s">
        <v>5073</v>
      </c>
    </row>
    <row r="1523" spans="2:4">
      <c r="D1523" t="s">
        <v>5074</v>
      </c>
    </row>
    <row r="1524" spans="2:4">
      <c r="B1524" t="s">
        <v>2554</v>
      </c>
      <c r="C1524" t="s">
        <v>5075</v>
      </c>
    </row>
    <row r="1525" spans="2:4">
      <c r="C1525" t="s">
        <v>5076</v>
      </c>
    </row>
    <row r="1527" spans="2:4">
      <c r="B1527" t="s">
        <v>5077</v>
      </c>
    </row>
    <row r="1528" spans="2:4">
      <c r="B1528" t="s">
        <v>5078</v>
      </c>
    </row>
    <row r="1529" spans="2:4">
      <c r="B1529" t="s">
        <v>5079</v>
      </c>
    </row>
    <row r="1531" spans="2:4">
      <c r="B1531" t="s">
        <v>5080</v>
      </c>
    </row>
    <row r="1532" spans="2:4">
      <c r="C1532" s="493" t="s">
        <v>5083</v>
      </c>
    </row>
    <row r="1533" spans="2:4">
      <c r="C1533" s="456">
        <v>3.3000000000000002E-2</v>
      </c>
    </row>
    <row r="1534" spans="2:4">
      <c r="C1534">
        <v>2018</v>
      </c>
    </row>
    <row r="1535" spans="2:4">
      <c r="C1535" t="s">
        <v>5081</v>
      </c>
      <c r="D1535" t="s">
        <v>5082</v>
      </c>
    </row>
    <row r="1537" spans="2:8">
      <c r="B1537" s="499" t="s">
        <v>5039</v>
      </c>
    </row>
    <row r="1539" spans="2:8">
      <c r="B1539" s="478" t="s">
        <v>5084</v>
      </c>
      <c r="C1539" s="478" t="s">
        <v>5090</v>
      </c>
      <c r="D1539">
        <v>42</v>
      </c>
      <c r="F1539" s="506">
        <v>2018</v>
      </c>
      <c r="G1539" s="506">
        <v>2018</v>
      </c>
    </row>
    <row r="1540" spans="2:8">
      <c r="B1540" s="478"/>
      <c r="C1540" s="478"/>
      <c r="F1540" s="506"/>
      <c r="G1540" s="506"/>
    </row>
    <row r="1541" spans="2:8">
      <c r="B1541" s="455"/>
      <c r="C1541" s="508" t="s">
        <v>821</v>
      </c>
      <c r="D1541" s="508" t="s">
        <v>1644</v>
      </c>
      <c r="E1541" s="508" t="s">
        <v>565</v>
      </c>
      <c r="F1541" s="506" t="s">
        <v>821</v>
      </c>
      <c r="G1541" s="506" t="s">
        <v>1643</v>
      </c>
      <c r="H1541" s="506" t="s">
        <v>5087</v>
      </c>
    </row>
    <row r="1542" spans="2:8">
      <c r="B1542" s="478" t="s">
        <v>5124</v>
      </c>
      <c r="C1542" s="456">
        <f>'New split'!H243</f>
        <v>-8.5499255165155663E-4</v>
      </c>
      <c r="D1542" s="456" t="e">
        <f ca="1">C1542-H1542</f>
        <v>#DIV/0!</v>
      </c>
      <c r="E1542" s="506" t="s">
        <v>4871</v>
      </c>
      <c r="F1542" s="454">
        <f ca="1">'New (new) quarts'!AA71</f>
        <v>5595</v>
      </c>
      <c r="G1542">
        <f>'New (new) quarts'!AA72</f>
        <v>0</v>
      </c>
      <c r="H1542" s="456" t="e">
        <f ca="1">F1542/G1542-1</f>
        <v>#DIV/0!</v>
      </c>
    </row>
    <row r="1543" spans="2:8">
      <c r="B1543" s="478" t="s">
        <v>5125</v>
      </c>
      <c r="C1543" s="456">
        <f>'New split'!H342</f>
        <v>0</v>
      </c>
      <c r="D1543" s="456" t="e">
        <f>C1543-H1543</f>
        <v>#REF!</v>
      </c>
      <c r="E1543" s="506" t="s">
        <v>5086</v>
      </c>
      <c r="F1543" s="454">
        <f>'New (new) quarts'!AA137</f>
        <v>2182</v>
      </c>
      <c r="G1543" s="454" t="e">
        <f>'New (new) quarts'!#REF!</f>
        <v>#REF!</v>
      </c>
      <c r="H1543" s="456" t="e">
        <f>F1543/G1543-1</f>
        <v>#REF!</v>
      </c>
    </row>
    <row r="1544" spans="2:8">
      <c r="B1544" s="478" t="s">
        <v>5127</v>
      </c>
      <c r="C1544" s="464">
        <f>('New split'!H437-'New split'!H433)</f>
        <v>957.00000000000011</v>
      </c>
      <c r="D1544" s="593" t="s">
        <v>5126</v>
      </c>
      <c r="E1544" s="464">
        <v>1000</v>
      </c>
      <c r="F1544" s="454"/>
      <c r="G1544" s="454"/>
      <c r="H1544" s="456"/>
    </row>
    <row r="1545" spans="2:8">
      <c r="B1545" s="478" t="s">
        <v>5128</v>
      </c>
      <c r="C1545" s="464">
        <f>Cable!P36</f>
        <v>2000.1000000000004</v>
      </c>
      <c r="D1545" s="593"/>
      <c r="E1545" s="464">
        <v>1000</v>
      </c>
      <c r="F1545" s="454"/>
      <c r="G1545" s="454"/>
      <c r="H1545" s="456"/>
    </row>
    <row r="1546" spans="2:8">
      <c r="B1546" s="478" t="s">
        <v>5129</v>
      </c>
      <c r="C1546" s="464">
        <f>Cable!P39</f>
        <v>815.40000000000009</v>
      </c>
      <c r="D1546" s="593"/>
      <c r="E1546" s="464">
        <v>300</v>
      </c>
      <c r="F1546" s="454"/>
      <c r="G1546" s="454"/>
      <c r="H1546" s="456"/>
    </row>
    <row r="1547" spans="2:8">
      <c r="B1547" s="478" t="s">
        <v>5130</v>
      </c>
      <c r="C1547" s="570"/>
      <c r="D1547" s="593"/>
      <c r="E1547" s="570">
        <v>3</v>
      </c>
      <c r="F1547" s="454"/>
      <c r="G1547" s="454"/>
      <c r="H1547" s="456"/>
    </row>
    <row r="1548" spans="2:8">
      <c r="B1548" s="478"/>
      <c r="C1548" s="456"/>
      <c r="D1548" s="456"/>
      <c r="E1548" s="506"/>
      <c r="F1548" s="454"/>
      <c r="G1548" s="454"/>
      <c r="H1548" s="456"/>
    </row>
    <row r="1549" spans="2:8">
      <c r="B1549" s="478" t="s">
        <v>5085</v>
      </c>
    </row>
    <row r="1550" spans="2:8">
      <c r="B1550" s="478" t="s">
        <v>5088</v>
      </c>
    </row>
    <row r="1551" spans="2:8">
      <c r="B1551" s="478"/>
      <c r="C1551" s="478" t="s">
        <v>5100</v>
      </c>
      <c r="D1551" s="478"/>
    </row>
    <row r="1552" spans="2:8">
      <c r="B1552" s="478"/>
      <c r="C1552" s="478" t="s">
        <v>5101</v>
      </c>
      <c r="D1552" s="478"/>
    </row>
    <row r="1553" spans="2:4">
      <c r="B1553" s="478"/>
      <c r="C1553" s="478"/>
      <c r="D1553" s="478"/>
    </row>
    <row r="1554" spans="2:4">
      <c r="B1554" s="478" t="s">
        <v>5089</v>
      </c>
    </row>
    <row r="1556" spans="2:4">
      <c r="B1556" s="478" t="s">
        <v>5091</v>
      </c>
    </row>
    <row r="1557" spans="2:4">
      <c r="C1557" s="478" t="s">
        <v>5092</v>
      </c>
    </row>
    <row r="1558" spans="2:4">
      <c r="C1558" s="478" t="s">
        <v>5093</v>
      </c>
    </row>
    <row r="1559" spans="2:4">
      <c r="C1559" s="478" t="s">
        <v>5094</v>
      </c>
    </row>
    <row r="1561" spans="2:4">
      <c r="C1561" s="478" t="s">
        <v>5095</v>
      </c>
    </row>
    <row r="1562" spans="2:4">
      <c r="C1562" s="478" t="s">
        <v>5096</v>
      </c>
    </row>
    <row r="1564" spans="2:4">
      <c r="C1564" s="478" t="s">
        <v>5097</v>
      </c>
      <c r="D1564" s="478" t="s">
        <v>5098</v>
      </c>
    </row>
    <row r="1565" spans="2:4">
      <c r="D1565" s="478" t="s">
        <v>5099</v>
      </c>
    </row>
    <row r="1566" spans="2:4">
      <c r="C1566" s="478" t="s">
        <v>2377</v>
      </c>
    </row>
    <row r="1568" spans="2:4">
      <c r="B1568" s="478" t="s">
        <v>5102</v>
      </c>
      <c r="C1568" s="478" t="s">
        <v>5103</v>
      </c>
    </row>
    <row r="1569" spans="2:3">
      <c r="C1569" s="478" t="s">
        <v>5104</v>
      </c>
    </row>
    <row r="1570" spans="2:3">
      <c r="C1570" s="478" t="s">
        <v>5105</v>
      </c>
    </row>
    <row r="1571" spans="2:3">
      <c r="C1571" s="478" t="s">
        <v>5106</v>
      </c>
    </row>
    <row r="1573" spans="2:3">
      <c r="B1573" s="478" t="s">
        <v>538</v>
      </c>
      <c r="C1573" s="478" t="s">
        <v>5107</v>
      </c>
    </row>
    <row r="1574" spans="2:3">
      <c r="C1574" s="478" t="s">
        <v>5108</v>
      </c>
    </row>
    <row r="1576" spans="2:3">
      <c r="B1576" s="478" t="s">
        <v>5109</v>
      </c>
    </row>
    <row r="1577" spans="2:3">
      <c r="B1577" s="478" t="s">
        <v>5110</v>
      </c>
    </row>
    <row r="1578" spans="2:3">
      <c r="B1578" s="478" t="s">
        <v>5111</v>
      </c>
    </row>
    <row r="1579" spans="2:3">
      <c r="B1579" s="478" t="s">
        <v>5112</v>
      </c>
    </row>
    <row r="1580" spans="2:3">
      <c r="C1580" s="478" t="s">
        <v>5113</v>
      </c>
    </row>
    <row r="1582" spans="2:3">
      <c r="B1582" s="627" t="s">
        <v>5119</v>
      </c>
    </row>
    <row r="1584" spans="2:3">
      <c r="B1584" s="478" t="s">
        <v>5120</v>
      </c>
      <c r="C1584" s="478" t="s">
        <v>5121</v>
      </c>
    </row>
    <row r="1585" spans="2:3">
      <c r="B1585" s="478" t="s">
        <v>5123</v>
      </c>
      <c r="C1585" s="478"/>
    </row>
    <row r="1586" spans="2:3">
      <c r="B1586" s="478" t="s">
        <v>5122</v>
      </c>
    </row>
    <row r="1588" spans="2:3">
      <c r="B1588" s="499" t="s">
        <v>5131</v>
      </c>
    </row>
    <row r="1589" spans="2:3">
      <c r="B1589" s="478" t="s">
        <v>5132</v>
      </c>
    </row>
    <row r="1590" spans="2:3">
      <c r="B1590" s="478" t="s">
        <v>5133</v>
      </c>
    </row>
    <row r="1591" spans="2:3">
      <c r="B1591" s="478" t="s">
        <v>5134</v>
      </c>
    </row>
    <row r="1593" spans="2:3">
      <c r="B1593" s="627" t="s">
        <v>1877</v>
      </c>
    </row>
    <row r="1594" spans="2:3">
      <c r="B1594" s="478" t="s">
        <v>5135</v>
      </c>
    </row>
    <row r="1595" spans="2:3">
      <c r="B1595" s="478" t="s">
        <v>2842</v>
      </c>
    </row>
    <row r="1596" spans="2:3">
      <c r="C1596" s="478" t="s">
        <v>5136</v>
      </c>
    </row>
    <row r="1597" spans="2:3">
      <c r="C1597" s="478" t="s">
        <v>5137</v>
      </c>
    </row>
    <row r="1598" spans="2:3">
      <c r="C1598" s="478" t="s">
        <v>5138</v>
      </c>
    </row>
    <row r="1599" spans="2:3">
      <c r="C1599" s="478" t="s">
        <v>5139</v>
      </c>
    </row>
    <row r="1600" spans="2:3">
      <c r="C1600" s="478" t="s">
        <v>5140</v>
      </c>
    </row>
    <row r="1601" spans="2:6">
      <c r="B1601" s="478" t="s">
        <v>4699</v>
      </c>
    </row>
    <row r="1602" spans="2:6">
      <c r="C1602" s="478" t="s">
        <v>5142</v>
      </c>
    </row>
    <row r="1603" spans="2:6">
      <c r="C1603" s="478" t="s">
        <v>5141</v>
      </c>
    </row>
    <row r="1604" spans="2:6">
      <c r="B1604" s="478" t="s">
        <v>5143</v>
      </c>
    </row>
    <row r="1605" spans="2:6">
      <c r="C1605" s="478" t="s">
        <v>5144</v>
      </c>
    </row>
    <row r="1606" spans="2:6">
      <c r="B1606" s="478" t="s">
        <v>5145</v>
      </c>
    </row>
    <row r="1608" spans="2:6">
      <c r="B1608" s="478" t="s">
        <v>5146</v>
      </c>
    </row>
    <row r="1609" spans="2:6">
      <c r="C1609" s="478" t="s">
        <v>5147</v>
      </c>
    </row>
    <row r="1610" spans="2:6">
      <c r="C1610" s="478" t="s">
        <v>5150</v>
      </c>
      <c r="F1610" s="478" t="s">
        <v>5151</v>
      </c>
    </row>
    <row r="1611" spans="2:6">
      <c r="C1611" s="478"/>
      <c r="F1611" s="478"/>
    </row>
    <row r="1612" spans="2:6">
      <c r="B1612" s="478" t="s">
        <v>5148</v>
      </c>
    </row>
    <row r="1613" spans="2:6">
      <c r="C1613" s="478" t="s">
        <v>5149</v>
      </c>
    </row>
    <row r="1614" spans="2:6">
      <c r="C1614" s="478" t="s">
        <v>5152</v>
      </c>
    </row>
    <row r="1615" spans="2:6">
      <c r="C1615" s="478" t="s">
        <v>5153</v>
      </c>
    </row>
    <row r="1616" spans="2:6">
      <c r="B1616" s="478" t="s">
        <v>4143</v>
      </c>
    </row>
    <row r="1617" spans="2:4">
      <c r="C1617" s="478" t="s">
        <v>5154</v>
      </c>
    </row>
    <row r="1618" spans="2:4">
      <c r="C1618" s="478" t="s">
        <v>5155</v>
      </c>
    </row>
    <row r="1619" spans="2:4">
      <c r="C1619" s="478" t="s">
        <v>5156</v>
      </c>
    </row>
    <row r="1621" spans="2:4">
      <c r="C1621" s="478" t="s">
        <v>5157</v>
      </c>
    </row>
    <row r="1622" spans="2:4">
      <c r="C1622" s="478" t="s">
        <v>5158</v>
      </c>
    </row>
    <row r="1623" spans="2:4">
      <c r="C1623" s="478" t="s">
        <v>5159</v>
      </c>
    </row>
    <row r="1624" spans="2:4">
      <c r="D1624" s="478" t="s">
        <v>5160</v>
      </c>
    </row>
    <row r="1626" spans="2:4">
      <c r="B1626" s="478" t="s">
        <v>2379</v>
      </c>
    </row>
    <row r="1627" spans="2:4">
      <c r="C1627" s="478" t="s">
        <v>5161</v>
      </c>
    </row>
    <row r="1628" spans="2:4">
      <c r="C1628" s="478" t="s">
        <v>5162</v>
      </c>
    </row>
    <row r="1629" spans="2:4">
      <c r="D1629" s="478" t="s">
        <v>5163</v>
      </c>
    </row>
    <row r="1630" spans="2:4">
      <c r="C1630" s="478" t="s">
        <v>5164</v>
      </c>
    </row>
    <row r="1631" spans="2:4">
      <c r="B1631" s="478" t="s">
        <v>5165</v>
      </c>
    </row>
    <row r="1633" spans="2:4">
      <c r="B1633" s="478" t="s">
        <v>1545</v>
      </c>
      <c r="C1633" s="478" t="s">
        <v>5166</v>
      </c>
    </row>
    <row r="1634" spans="2:4">
      <c r="C1634" s="478" t="s">
        <v>5167</v>
      </c>
    </row>
    <row r="1635" spans="2:4">
      <c r="C1635" s="478" t="s">
        <v>5168</v>
      </c>
    </row>
    <row r="1636" spans="2:4">
      <c r="C1636" s="478" t="s">
        <v>5169</v>
      </c>
    </row>
    <row r="1637" spans="2:4">
      <c r="C1637" s="478" t="s">
        <v>5170</v>
      </c>
    </row>
    <row r="1638" spans="2:4">
      <c r="B1638" s="478" t="s">
        <v>2380</v>
      </c>
    </row>
    <row r="1639" spans="2:4">
      <c r="C1639" s="478" t="s">
        <v>5171</v>
      </c>
    </row>
    <row r="1640" spans="2:4">
      <c r="C1640" s="478" t="s">
        <v>5172</v>
      </c>
    </row>
    <row r="1641" spans="2:4">
      <c r="C1641" s="478" t="s">
        <v>5173</v>
      </c>
    </row>
    <row r="1642" spans="2:4">
      <c r="B1642" s="478" t="s">
        <v>2409</v>
      </c>
    </row>
    <row r="1643" spans="2:4">
      <c r="C1643" s="478" t="s">
        <v>5174</v>
      </c>
    </row>
    <row r="1644" spans="2:4">
      <c r="C1644" s="478" t="s">
        <v>5175</v>
      </c>
    </row>
    <row r="1645" spans="2:4">
      <c r="D1645" s="478" t="s">
        <v>5176</v>
      </c>
    </row>
    <row r="1646" spans="2:4">
      <c r="D1646" s="478" t="s">
        <v>5177</v>
      </c>
    </row>
    <row r="1647" spans="2:4">
      <c r="C1647" s="478" t="s">
        <v>5178</v>
      </c>
    </row>
    <row r="1648" spans="2:4">
      <c r="C1648" s="478" t="s">
        <v>5179</v>
      </c>
    </row>
    <row r="1650" spans="2:4">
      <c r="B1650" s="499" t="s">
        <v>5180</v>
      </c>
    </row>
    <row r="1652" spans="2:4">
      <c r="B1652" s="478" t="s">
        <v>4637</v>
      </c>
      <c r="C1652" s="478" t="s">
        <v>5181</v>
      </c>
    </row>
    <row r="1653" spans="2:4">
      <c r="C1653" s="478" t="s">
        <v>5182</v>
      </c>
    </row>
    <row r="1655" spans="2:4">
      <c r="B1655" s="478" t="s">
        <v>5183</v>
      </c>
      <c r="C1655" s="478" t="s">
        <v>5184</v>
      </c>
    </row>
    <row r="1656" spans="2:4">
      <c r="C1656" s="478" t="s">
        <v>5185</v>
      </c>
      <c r="D1656" s="478"/>
    </row>
    <row r="1658" spans="2:4">
      <c r="B1658" s="627" t="s">
        <v>5188</v>
      </c>
    </row>
    <row r="1660" spans="2:4">
      <c r="B1660" t="s">
        <v>5189</v>
      </c>
    </row>
    <row r="1662" spans="2:4">
      <c r="B1662" t="s">
        <v>5190</v>
      </c>
    </row>
    <row r="1663" spans="2:4">
      <c r="B1663" t="s">
        <v>5191</v>
      </c>
    </row>
    <row r="1665" spans="2:3">
      <c r="B1665" t="s">
        <v>5192</v>
      </c>
    </row>
    <row r="1666" spans="2:3">
      <c r="C1666" t="s">
        <v>5193</v>
      </c>
    </row>
    <row r="1668" spans="2:3">
      <c r="B1668" s="478" t="s">
        <v>5197</v>
      </c>
    </row>
    <row r="1669" spans="2:3">
      <c r="B1669" s="478" t="s">
        <v>5198</v>
      </c>
    </row>
    <row r="1670" spans="2:3">
      <c r="B1670" s="478" t="s">
        <v>5199</v>
      </c>
    </row>
    <row r="1671" spans="2:3">
      <c r="B1671" s="478" t="s">
        <v>5200</v>
      </c>
    </row>
    <row r="1672" spans="2:3">
      <c r="B1672" s="478"/>
    </row>
    <row r="1673" spans="2:3">
      <c r="B1673" s="478" t="s">
        <v>5201</v>
      </c>
    </row>
    <row r="1674" spans="2:3">
      <c r="B1674" s="478" t="s">
        <v>5202</v>
      </c>
    </row>
    <row r="1675" spans="2:3">
      <c r="B1675" s="478"/>
    </row>
    <row r="1676" spans="2:3">
      <c r="B1676" s="499" t="s">
        <v>1877</v>
      </c>
    </row>
    <row r="1678" spans="2:3">
      <c r="B1678" t="s">
        <v>5195</v>
      </c>
    </row>
    <row r="1679" spans="2:3">
      <c r="C1679" t="s">
        <v>5196</v>
      </c>
    </row>
    <row r="1680" spans="2:3">
      <c r="B1680" t="s">
        <v>5194</v>
      </c>
    </row>
    <row r="1681" spans="2:3">
      <c r="C1681" s="478" t="s">
        <v>5217</v>
      </c>
    </row>
    <row r="1682" spans="2:3">
      <c r="C1682" s="478" t="s">
        <v>5218</v>
      </c>
    </row>
    <row r="1684" spans="2:3">
      <c r="B1684" s="478" t="s">
        <v>5204</v>
      </c>
    </row>
    <row r="1685" spans="2:3">
      <c r="C1685" s="478" t="s">
        <v>5203</v>
      </c>
    </row>
    <row r="1686" spans="2:3">
      <c r="C1686" s="478" t="s">
        <v>5205</v>
      </c>
    </row>
    <row r="1687" spans="2:3">
      <c r="C1687" s="478" t="s">
        <v>5206</v>
      </c>
    </row>
    <row r="1689" spans="2:3">
      <c r="B1689" s="478" t="s">
        <v>5207</v>
      </c>
    </row>
    <row r="1690" spans="2:3">
      <c r="B1690" s="478" t="s">
        <v>5208</v>
      </c>
    </row>
    <row r="1691" spans="2:3">
      <c r="C1691" s="478" t="s">
        <v>5209</v>
      </c>
    </row>
    <row r="1692" spans="2:3">
      <c r="C1692" s="478" t="s">
        <v>5211</v>
      </c>
    </row>
    <row r="1693" spans="2:3">
      <c r="C1693" s="478" t="s">
        <v>5210</v>
      </c>
    </row>
    <row r="1695" spans="2:3">
      <c r="B1695" s="478" t="s">
        <v>2376</v>
      </c>
    </row>
    <row r="1696" spans="2:3">
      <c r="C1696" s="478" t="s">
        <v>5212</v>
      </c>
    </row>
    <row r="1698" spans="2:3">
      <c r="B1698" s="478" t="s">
        <v>5213</v>
      </c>
    </row>
    <row r="1699" spans="2:3">
      <c r="B1699" s="478"/>
      <c r="C1699" s="478" t="s">
        <v>1931</v>
      </c>
    </row>
    <row r="1700" spans="2:3">
      <c r="C1700" s="478" t="s">
        <v>5214</v>
      </c>
    </row>
    <row r="1701" spans="2:3">
      <c r="C1701" s="478" t="s">
        <v>2171</v>
      </c>
    </row>
    <row r="1703" spans="2:3">
      <c r="B1703" s="478" t="s">
        <v>5215</v>
      </c>
      <c r="C1703" s="478" t="s">
        <v>5216</v>
      </c>
    </row>
    <row r="1706" spans="2:3">
      <c r="B1706" s="478" t="s">
        <v>5219</v>
      </c>
    </row>
    <row r="1708" spans="2:3">
      <c r="B1708" s="478" t="s">
        <v>5220</v>
      </c>
    </row>
    <row r="1709" spans="2:3">
      <c r="C1709" s="478" t="s">
        <v>5221</v>
      </c>
    </row>
    <row r="1710" spans="2:3">
      <c r="C1710" s="478" t="s">
        <v>5222</v>
      </c>
    </row>
    <row r="1712" spans="2:3">
      <c r="B1712" s="478" t="s">
        <v>5223</v>
      </c>
    </row>
    <row r="1713" spans="2:4">
      <c r="C1713" s="478" t="s">
        <v>5224</v>
      </c>
    </row>
    <row r="1714" spans="2:4">
      <c r="C1714" s="478" t="s">
        <v>5225</v>
      </c>
    </row>
    <row r="1715" spans="2:4">
      <c r="C1715" s="478" t="s">
        <v>5226</v>
      </c>
    </row>
    <row r="1717" spans="2:4">
      <c r="B1717" s="478" t="s">
        <v>5227</v>
      </c>
    </row>
    <row r="1718" spans="2:4">
      <c r="C1718" s="478" t="s">
        <v>5228</v>
      </c>
    </row>
    <row r="1719" spans="2:4">
      <c r="D1719" s="478" t="s">
        <v>5229</v>
      </c>
    </row>
    <row r="1720" spans="2:4">
      <c r="D1720" s="478" t="s">
        <v>5230</v>
      </c>
    </row>
    <row r="1721" spans="2:4">
      <c r="D1721" s="478" t="s">
        <v>5231</v>
      </c>
    </row>
    <row r="1722" spans="2:4">
      <c r="C1722" s="478" t="s">
        <v>5232</v>
      </c>
    </row>
    <row r="1723" spans="2:4">
      <c r="C1723" s="478" t="s">
        <v>5233</v>
      </c>
    </row>
    <row r="1724" spans="2:4">
      <c r="C1724" s="478" t="s">
        <v>5234</v>
      </c>
    </row>
    <row r="1725" spans="2:4">
      <c r="C1725" s="478" t="s">
        <v>5235</v>
      </c>
    </row>
    <row r="1726" spans="2:4">
      <c r="D1726" s="478" t="s">
        <v>5236</v>
      </c>
    </row>
    <row r="1727" spans="2:4">
      <c r="B1727" s="478" t="s">
        <v>5237</v>
      </c>
    </row>
    <row r="1728" spans="2:4">
      <c r="C1728" s="478" t="s">
        <v>5238</v>
      </c>
    </row>
    <row r="1729" spans="2:4">
      <c r="C1729" s="478" t="s">
        <v>5239</v>
      </c>
    </row>
    <row r="1730" spans="2:4">
      <c r="D1730" s="478" t="s">
        <v>5240</v>
      </c>
    </row>
    <row r="1731" spans="2:4">
      <c r="B1731" s="478" t="s">
        <v>5241</v>
      </c>
    </row>
    <row r="1732" spans="2:4">
      <c r="C1732" s="478" t="s">
        <v>5242</v>
      </c>
    </row>
    <row r="1733" spans="2:4">
      <c r="C1733" s="478" t="s">
        <v>5243</v>
      </c>
    </row>
    <row r="1734" spans="2:4">
      <c r="C1734" s="478" t="s">
        <v>5244</v>
      </c>
    </row>
    <row r="1735" spans="2:4">
      <c r="B1735" s="478" t="s">
        <v>5245</v>
      </c>
    </row>
    <row r="1736" spans="2:4">
      <c r="C1736" s="478" t="s">
        <v>5246</v>
      </c>
    </row>
    <row r="1737" spans="2:4">
      <c r="C1737" s="478" t="s">
        <v>5247</v>
      </c>
    </row>
    <row r="1738" spans="2:4">
      <c r="D1738" s="478" t="s">
        <v>5248</v>
      </c>
    </row>
    <row r="1739" spans="2:4">
      <c r="D1739" s="478" t="s">
        <v>5249</v>
      </c>
    </row>
    <row r="1740" spans="2:4">
      <c r="C1740" s="478" t="s">
        <v>5250</v>
      </c>
    </row>
    <row r="1742" spans="2:4">
      <c r="B1742" s="627" t="s">
        <v>5251</v>
      </c>
    </row>
    <row r="1743" spans="2:4">
      <c r="C1743" t="s">
        <v>1823</v>
      </c>
    </row>
    <row r="1744" spans="2:4">
      <c r="B1744" s="450" t="s">
        <v>1665</v>
      </c>
    </row>
    <row r="1745" spans="2:3">
      <c r="B1745" t="s">
        <v>5252</v>
      </c>
    </row>
    <row r="1746" spans="2:3">
      <c r="C1746" s="478" t="s">
        <v>5253</v>
      </c>
    </row>
    <row r="1747" spans="2:3">
      <c r="C1747" s="478" t="s">
        <v>5254</v>
      </c>
    </row>
    <row r="1748" spans="2:3">
      <c r="B1748" s="478" t="s">
        <v>5255</v>
      </c>
    </row>
    <row r="1749" spans="2:3">
      <c r="B1749" s="478" t="s">
        <v>5256</v>
      </c>
    </row>
    <row r="1750" spans="2:3">
      <c r="C1750" s="478" t="s">
        <v>5257</v>
      </c>
    </row>
    <row r="1751" spans="2:3">
      <c r="C1751" s="478" t="s">
        <v>5258</v>
      </c>
    </row>
    <row r="1752" spans="2:3">
      <c r="B1752" s="478" t="s">
        <v>5259</v>
      </c>
    </row>
    <row r="1753" spans="2:3">
      <c r="B1753" s="478" t="s">
        <v>5260</v>
      </c>
    </row>
    <row r="1755" spans="2:3">
      <c r="B1755" s="478" t="s">
        <v>5261</v>
      </c>
    </row>
    <row r="1757" spans="2:3">
      <c r="B1757" s="478" t="s">
        <v>5262</v>
      </c>
    </row>
    <row r="1758" spans="2:3">
      <c r="B1758" s="478" t="s">
        <v>5263</v>
      </c>
      <c r="C1758" s="478" t="s">
        <v>5264</v>
      </c>
    </row>
    <row r="1759" spans="2:3">
      <c r="C1759" s="478" t="s">
        <v>5265</v>
      </c>
    </row>
    <row r="1760" spans="2:3">
      <c r="B1760" s="478" t="s">
        <v>5266</v>
      </c>
    </row>
    <row r="1761" spans="2:3">
      <c r="C1761" s="478" t="s">
        <v>5267</v>
      </c>
    </row>
    <row r="1762" spans="2:3">
      <c r="B1762" s="478" t="s">
        <v>5268</v>
      </c>
    </row>
    <row r="1763" spans="2:3">
      <c r="C1763" s="478" t="s">
        <v>5269</v>
      </c>
    </row>
    <row r="1764" spans="2:3">
      <c r="C1764" s="478" t="s">
        <v>5270</v>
      </c>
    </row>
    <row r="1765" spans="2:3">
      <c r="B1765" s="478" t="s">
        <v>5271</v>
      </c>
    </row>
    <row r="1766" spans="2:3">
      <c r="B1766" s="478" t="s">
        <v>5272</v>
      </c>
    </row>
    <row r="1767" spans="2:3">
      <c r="B1767" s="478" t="s">
        <v>1823</v>
      </c>
    </row>
    <row r="1768" spans="2:3">
      <c r="B1768" s="478" t="s">
        <v>5273</v>
      </c>
    </row>
    <row r="1770" spans="2:3">
      <c r="B1770" s="478" t="s">
        <v>5274</v>
      </c>
    </row>
    <row r="1771" spans="2:3">
      <c r="B1771" s="478"/>
      <c r="C1771" s="478" t="s">
        <v>5275</v>
      </c>
    </row>
    <row r="1772" spans="2:3">
      <c r="B1772" s="478"/>
      <c r="C1772" s="478" t="s">
        <v>5276</v>
      </c>
    </row>
    <row r="1774" spans="2:3">
      <c r="B1774" s="450" t="s">
        <v>2377</v>
      </c>
    </row>
    <row r="1775" spans="2:3">
      <c r="B1775" s="478" t="s">
        <v>5277</v>
      </c>
    </row>
    <row r="1776" spans="2:3">
      <c r="B1776" s="478" t="s">
        <v>5278</v>
      </c>
    </row>
    <row r="1777" spans="2:3">
      <c r="B1777" s="478" t="s">
        <v>5279</v>
      </c>
    </row>
    <row r="1778" spans="2:3">
      <c r="B1778" s="478" t="s">
        <v>5280</v>
      </c>
    </row>
    <row r="1779" spans="2:3">
      <c r="C1779" s="478" t="s">
        <v>5281</v>
      </c>
    </row>
    <row r="1780" spans="2:3">
      <c r="C1780" s="478" t="s">
        <v>5282</v>
      </c>
    </row>
    <row r="1781" spans="2:3">
      <c r="C1781" s="478" t="s">
        <v>5283</v>
      </c>
    </row>
    <row r="1782" spans="2:3">
      <c r="C1782" s="478" t="s">
        <v>5284</v>
      </c>
    </row>
    <row r="1783" spans="2:3">
      <c r="B1783" s="478" t="s">
        <v>5285</v>
      </c>
    </row>
    <row r="1785" spans="2:3">
      <c r="B1785" s="450" t="s">
        <v>2379</v>
      </c>
    </row>
    <row r="1786" spans="2:3">
      <c r="B1786" s="478" t="s">
        <v>5286</v>
      </c>
    </row>
    <row r="1787" spans="2:3">
      <c r="B1787" s="478" t="s">
        <v>5287</v>
      </c>
    </row>
    <row r="1788" spans="2:3">
      <c r="B1788" s="478" t="s">
        <v>5288</v>
      </c>
    </row>
    <row r="1789" spans="2:3">
      <c r="B1789" s="478" t="s">
        <v>5298</v>
      </c>
    </row>
    <row r="1791" spans="2:3">
      <c r="B1791" s="450" t="s">
        <v>2172</v>
      </c>
    </row>
    <row r="1792" spans="2:3">
      <c r="B1792" s="478" t="s">
        <v>5289</v>
      </c>
    </row>
    <row r="1793" spans="2:3">
      <c r="B1793" s="478" t="s">
        <v>5290</v>
      </c>
    </row>
    <row r="1794" spans="2:3">
      <c r="C1794" s="478" t="s">
        <v>5291</v>
      </c>
    </row>
    <row r="1795" spans="2:3">
      <c r="C1795" s="478" t="s">
        <v>5292</v>
      </c>
    </row>
    <row r="1796" spans="2:3">
      <c r="B1796" s="478" t="s">
        <v>5293</v>
      </c>
    </row>
    <row r="1797" spans="2:3">
      <c r="C1797" s="478" t="s">
        <v>5294</v>
      </c>
    </row>
    <row r="1799" spans="2:3">
      <c r="B1799" s="450" t="s">
        <v>2376</v>
      </c>
    </row>
    <row r="1800" spans="2:3">
      <c r="B1800" s="478" t="s">
        <v>5297</v>
      </c>
    </row>
    <row r="1801" spans="2:3">
      <c r="B1801" s="478" t="s">
        <v>5295</v>
      </c>
    </row>
    <row r="1802" spans="2:3">
      <c r="C1802" s="478" t="s">
        <v>5296</v>
      </c>
    </row>
    <row r="1803" spans="2:3">
      <c r="B1803" s="450" t="s">
        <v>4143</v>
      </c>
    </row>
    <row r="1804" spans="2:3">
      <c r="B1804" s="478" t="s">
        <v>5299</v>
      </c>
    </row>
    <row r="1805" spans="2:3">
      <c r="B1805" s="478" t="s">
        <v>5300</v>
      </c>
      <c r="C1805" s="499" t="s">
        <v>5303</v>
      </c>
    </row>
    <row r="1806" spans="2:3">
      <c r="B1806" s="478" t="s">
        <v>2379</v>
      </c>
      <c r="C1806" s="478" t="s">
        <v>5301</v>
      </c>
    </row>
    <row r="1807" spans="2:3">
      <c r="B1807" s="478" t="s">
        <v>2033</v>
      </c>
      <c r="C1807" s="478" t="s">
        <v>5301</v>
      </c>
    </row>
    <row r="1808" spans="2:3">
      <c r="B1808" s="478" t="s">
        <v>2172</v>
      </c>
      <c r="C1808" s="478" t="s">
        <v>5302</v>
      </c>
    </row>
    <row r="1810" spans="2:3">
      <c r="B1810" s="450" t="s">
        <v>5304</v>
      </c>
    </row>
    <row r="1811" spans="2:3">
      <c r="B1811" s="478" t="s">
        <v>5305</v>
      </c>
    </row>
    <row r="1812" spans="2:3">
      <c r="B1812" s="478" t="s">
        <v>5306</v>
      </c>
    </row>
    <row r="1814" spans="2:3">
      <c r="B1814" s="627" t="s">
        <v>5041</v>
      </c>
    </row>
    <row r="1816" spans="2:3">
      <c r="B1816" s="478" t="s">
        <v>5317</v>
      </c>
    </row>
    <row r="1817" spans="2:3">
      <c r="C1817" s="478" t="s">
        <v>5318</v>
      </c>
    </row>
    <row r="1818" spans="2:3">
      <c r="C1818" s="478" t="s">
        <v>5319</v>
      </c>
    </row>
    <row r="1819" spans="2:3">
      <c r="B1819" s="478" t="s">
        <v>5320</v>
      </c>
    </row>
    <row r="1820" spans="2:3">
      <c r="B1820" s="478" t="s">
        <v>5321</v>
      </c>
    </row>
    <row r="1822" spans="2:3">
      <c r="B1822" s="450" t="s">
        <v>5322</v>
      </c>
    </row>
    <row r="1823" spans="2:3">
      <c r="B1823" s="478" t="s">
        <v>5323</v>
      </c>
    </row>
    <row r="1825" spans="2:3">
      <c r="B1825" s="450" t="s">
        <v>5324</v>
      </c>
    </row>
    <row r="1826" spans="2:3">
      <c r="B1826" s="478" t="s">
        <v>5325</v>
      </c>
    </row>
    <row r="1827" spans="2:3">
      <c r="B1827" s="478" t="s">
        <v>5326</v>
      </c>
    </row>
    <row r="1828" spans="2:3">
      <c r="C1828" s="478" t="s">
        <v>5327</v>
      </c>
    </row>
    <row r="1829" spans="2:3">
      <c r="B1829" s="478" t="s">
        <v>1823</v>
      </c>
      <c r="C1829" s="478"/>
    </row>
    <row r="1830" spans="2:3">
      <c r="B1830" s="499" t="s">
        <v>5330</v>
      </c>
      <c r="C1830" s="478"/>
    </row>
    <row r="1831" spans="2:3">
      <c r="B1831" s="478" t="s">
        <v>5329</v>
      </c>
      <c r="C1831" s="478"/>
    </row>
    <row r="1832" spans="2:3">
      <c r="B1832" s="478" t="s">
        <v>5328</v>
      </c>
    </row>
    <row r="1834" spans="2:3">
      <c r="B1834" s="478" t="s">
        <v>5331</v>
      </c>
    </row>
    <row r="1836" spans="2:3">
      <c r="B1836" s="478" t="s">
        <v>5333</v>
      </c>
    </row>
    <row r="1837" spans="2:3">
      <c r="B1837" s="478" t="s">
        <v>5334</v>
      </c>
    </row>
    <row r="1838" spans="2:3">
      <c r="B1838" s="478"/>
      <c r="C1838" s="478" t="s">
        <v>5335</v>
      </c>
    </row>
    <row r="1839" spans="2:3">
      <c r="B1839" s="478"/>
      <c r="C1839" s="478" t="s">
        <v>5336</v>
      </c>
    </row>
    <row r="1840" spans="2:3">
      <c r="B1840" s="478" t="s">
        <v>5332</v>
      </c>
    </row>
    <row r="1842" spans="2:4">
      <c r="B1842" s="478" t="s">
        <v>5337</v>
      </c>
    </row>
    <row r="1844" spans="2:4">
      <c r="B1844" s="450" t="s">
        <v>5386</v>
      </c>
    </row>
    <row r="1845" spans="2:4">
      <c r="B1845" s="1128" t="s">
        <v>5385</v>
      </c>
      <c r="C1845" s="1128"/>
      <c r="D1845" s="1128"/>
    </row>
    <row r="1846" spans="2:4">
      <c r="B1846" s="1128" t="s">
        <v>5384</v>
      </c>
      <c r="C1846" s="1128"/>
      <c r="D1846" s="1128"/>
    </row>
    <row r="1847" spans="2:4">
      <c r="B1847" s="1128" t="s">
        <v>5383</v>
      </c>
      <c r="C1847" s="1128"/>
      <c r="D1847" s="1128"/>
    </row>
    <row r="1848" spans="2:4">
      <c r="B1848" s="1128" t="s">
        <v>5382</v>
      </c>
      <c r="C1848" s="1128"/>
      <c r="D1848" s="1128"/>
    </row>
    <row r="1849" spans="2:4">
      <c r="B1849" s="1128"/>
      <c r="C1849" s="1128"/>
      <c r="D1849" s="1128"/>
    </row>
    <row r="1850" spans="2:4">
      <c r="B1850" s="1128" t="s">
        <v>5381</v>
      </c>
      <c r="C1850" s="1128"/>
      <c r="D1850" s="1128"/>
    </row>
    <row r="1851" spans="2:4">
      <c r="B1851" s="1128" t="s">
        <v>5380</v>
      </c>
      <c r="C1851" s="1128"/>
      <c r="D1851" s="1128"/>
    </row>
    <row r="1852" spans="2:4">
      <c r="B1852" s="1128" t="s">
        <v>5379</v>
      </c>
      <c r="C1852" s="1128"/>
      <c r="D1852" s="1128"/>
    </row>
    <row r="1853" spans="2:4">
      <c r="B1853" s="1128" t="s">
        <v>5378</v>
      </c>
      <c r="C1853" s="1128"/>
      <c r="D1853" s="1128"/>
    </row>
    <row r="1854" spans="2:4">
      <c r="B1854" s="1128" t="s">
        <v>5377</v>
      </c>
      <c r="C1854" s="1128"/>
      <c r="D1854" s="1128"/>
    </row>
    <row r="1855" spans="2:4">
      <c r="B1855" s="1128"/>
      <c r="C1855" s="1128"/>
      <c r="D1855" s="1128"/>
    </row>
    <row r="1856" spans="2:4">
      <c r="B1856" s="1128" t="s">
        <v>2172</v>
      </c>
      <c r="C1856" s="1128"/>
      <c r="D1856" s="1128"/>
    </row>
    <row r="1857" spans="2:4">
      <c r="B1857" s="1128" t="s">
        <v>5376</v>
      </c>
      <c r="C1857" s="1128"/>
      <c r="D1857" s="1128"/>
    </row>
    <row r="1858" spans="2:4">
      <c r="B1858" s="1128"/>
      <c r="C1858" s="1128" t="s">
        <v>5375</v>
      </c>
      <c r="D1858" s="1128"/>
    </row>
    <row r="1859" spans="2:4">
      <c r="B1859" s="1128"/>
      <c r="C1859" s="1128" t="s">
        <v>5374</v>
      </c>
      <c r="D1859" s="1128"/>
    </row>
    <row r="1860" spans="2:4">
      <c r="B1860" s="1128" t="s">
        <v>5373</v>
      </c>
      <c r="C1860" s="1128"/>
      <c r="D1860" s="1128"/>
    </row>
    <row r="1861" spans="2:4">
      <c r="B1861" s="1128" t="s">
        <v>5372</v>
      </c>
      <c r="C1861" s="1128"/>
      <c r="D1861" s="1128"/>
    </row>
    <row r="1862" spans="2:4">
      <c r="B1862" s="1128"/>
      <c r="C1862" s="1128" t="s">
        <v>5371</v>
      </c>
      <c r="D1862" s="1128"/>
    </row>
    <row r="1863" spans="2:4">
      <c r="B1863" s="1128"/>
      <c r="C1863" s="1128" t="s">
        <v>5370</v>
      </c>
      <c r="D1863" s="1128"/>
    </row>
    <row r="1864" spans="2:4">
      <c r="B1864" s="1128"/>
      <c r="C1864" s="1128" t="s">
        <v>5369</v>
      </c>
      <c r="D1864" s="1128"/>
    </row>
    <row r="1865" spans="2:4">
      <c r="B1865" s="1128" t="s">
        <v>5368</v>
      </c>
      <c r="C1865" s="1128"/>
      <c r="D1865" s="1128"/>
    </row>
    <row r="1866" spans="2:4">
      <c r="B1866" s="1128" t="s">
        <v>5367</v>
      </c>
      <c r="C1866" s="1128"/>
      <c r="D1866" s="1128"/>
    </row>
    <row r="1867" spans="2:4">
      <c r="B1867" s="1128" t="s">
        <v>5366</v>
      </c>
      <c r="C1867" s="1128"/>
      <c r="D1867" s="1128"/>
    </row>
    <row r="1868" spans="2:4">
      <c r="B1868" s="1128"/>
      <c r="C1868" s="1128" t="s">
        <v>5365</v>
      </c>
      <c r="D1868" s="1128"/>
    </row>
    <row r="1869" spans="2:4">
      <c r="B1869" s="1128"/>
      <c r="C1869" s="1128" t="s">
        <v>5364</v>
      </c>
      <c r="D1869" s="1128"/>
    </row>
    <row r="1870" spans="2:4">
      <c r="B1870" s="1128"/>
      <c r="C1870" s="1128"/>
      <c r="D1870" s="1128" t="s">
        <v>5363</v>
      </c>
    </row>
    <row r="1871" spans="2:4">
      <c r="B1871" s="1128"/>
      <c r="C1871" s="1128"/>
      <c r="D1871" s="1128" t="s">
        <v>5362</v>
      </c>
    </row>
    <row r="1872" spans="2:4">
      <c r="B1872" s="1128"/>
      <c r="C1872" s="1128"/>
      <c r="D1872" s="1128" t="s">
        <v>5361</v>
      </c>
    </row>
    <row r="1873" spans="2:3">
      <c r="C1873" s="1128" t="s">
        <v>5360</v>
      </c>
    </row>
    <row r="1874" spans="2:3">
      <c r="B1874" s="1128" t="s">
        <v>5359</v>
      </c>
      <c r="C1874" s="1128"/>
    </row>
    <row r="1875" spans="2:3">
      <c r="B1875" s="1128"/>
      <c r="C1875" s="1128"/>
    </row>
    <row r="1876" spans="2:3">
      <c r="B1876" s="1128" t="s">
        <v>5358</v>
      </c>
      <c r="C1876" s="1128"/>
    </row>
    <row r="1877" spans="2:3">
      <c r="B1877" s="1128" t="s">
        <v>5357</v>
      </c>
      <c r="C1877" s="1128"/>
    </row>
    <row r="1878" spans="2:3">
      <c r="B1878" s="1128" t="s">
        <v>5356</v>
      </c>
      <c r="C1878" s="1128"/>
    </row>
    <row r="1879" spans="2:3">
      <c r="B1879" s="1128"/>
      <c r="C1879" s="1128"/>
    </row>
    <row r="1880" spans="2:3">
      <c r="B1880" s="1129" t="s">
        <v>1915</v>
      </c>
      <c r="C1880" s="1128"/>
    </row>
    <row r="1881" spans="2:3">
      <c r="B1881" s="1128" t="s">
        <v>5355</v>
      </c>
      <c r="C1881" s="1128"/>
    </row>
    <row r="1882" spans="2:3">
      <c r="B1882" s="1128" t="s">
        <v>5354</v>
      </c>
      <c r="C1882" s="1128"/>
    </row>
    <row r="1883" spans="2:3">
      <c r="C1883" s="1128"/>
    </row>
    <row r="1884" spans="2:3">
      <c r="B1884" s="1128"/>
      <c r="C1884" s="1128"/>
    </row>
    <row r="1885" spans="2:3">
      <c r="B1885" s="1128" t="s">
        <v>5353</v>
      </c>
      <c r="C1885" s="1128"/>
    </row>
    <row r="1886" spans="2:3">
      <c r="B1886" s="1128" t="s">
        <v>5352</v>
      </c>
      <c r="C1886" s="1128"/>
    </row>
    <row r="1887" spans="2:3">
      <c r="B1887" s="1128"/>
      <c r="C1887" s="1128"/>
    </row>
    <row r="1888" spans="2:3">
      <c r="B1888" s="1129" t="s">
        <v>5351</v>
      </c>
      <c r="C1888" s="1128"/>
    </row>
    <row r="1889" spans="2:3">
      <c r="B1889" s="1128" t="s">
        <v>5350</v>
      </c>
      <c r="C1889" s="1128"/>
    </row>
    <row r="1890" spans="2:3">
      <c r="B1890" s="1128" t="s">
        <v>5349</v>
      </c>
      <c r="C1890" s="1128"/>
    </row>
    <row r="1891" spans="2:3">
      <c r="B1891" s="1128" t="s">
        <v>5348</v>
      </c>
      <c r="C1891" s="1128"/>
    </row>
    <row r="1892" spans="2:3">
      <c r="B1892" s="1128"/>
      <c r="C1892" s="1128"/>
    </row>
    <row r="1893" spans="2:3">
      <c r="B1893" s="1128" t="s">
        <v>5347</v>
      </c>
      <c r="C1893" s="1128"/>
    </row>
    <row r="1894" spans="2:3">
      <c r="B1894" s="1128"/>
      <c r="C1894" s="1128"/>
    </row>
    <row r="1895" spans="2:3">
      <c r="B1895" s="1129" t="s">
        <v>2378</v>
      </c>
    </row>
    <row r="1896" spans="2:3">
      <c r="B1896" s="1128" t="s">
        <v>5346</v>
      </c>
    </row>
    <row r="1898" spans="2:3">
      <c r="B1898" s="1129" t="s">
        <v>2377</v>
      </c>
    </row>
    <row r="1899" spans="2:3">
      <c r="B1899" s="1128" t="s">
        <v>946</v>
      </c>
    </row>
    <row r="1901" spans="2:3" ht="15.75">
      <c r="B1901" s="1127" t="s">
        <v>5345</v>
      </c>
    </row>
    <row r="1902" spans="2:3">
      <c r="B1902" t="s">
        <v>5344</v>
      </c>
    </row>
    <row r="1903" spans="2:3">
      <c r="C1903" t="s">
        <v>5343</v>
      </c>
    </row>
    <row r="1904" spans="2:3">
      <c r="C1904" t="s">
        <v>5342</v>
      </c>
    </row>
    <row r="1905" spans="2:3">
      <c r="B1905" t="s">
        <v>5341</v>
      </c>
    </row>
    <row r="1906" spans="2:3">
      <c r="C1906" t="s">
        <v>5340</v>
      </c>
    </row>
    <row r="1908" spans="2:3">
      <c r="B1908" t="s">
        <v>5339</v>
      </c>
    </row>
    <row r="1909" spans="2:3">
      <c r="B1909" t="s">
        <v>5338</v>
      </c>
    </row>
    <row r="1911" spans="2:3">
      <c r="B1911" s="627" t="s">
        <v>5432</v>
      </c>
    </row>
    <row r="1913" spans="2:3">
      <c r="B1913" s="478" t="s">
        <v>5454</v>
      </c>
    </row>
    <row r="1914" spans="2:3">
      <c r="B1914" s="478" t="s">
        <v>5452</v>
      </c>
    </row>
    <row r="1915" spans="2:3">
      <c r="B1915" s="478"/>
      <c r="C1915" s="478" t="s">
        <v>5453</v>
      </c>
    </row>
    <row r="1916" spans="2:3">
      <c r="B1916" s="478" t="s">
        <v>5451</v>
      </c>
    </row>
    <row r="1917" spans="2:3">
      <c r="B1917" s="478" t="s">
        <v>5450</v>
      </c>
    </row>
    <row r="1918" spans="2:3">
      <c r="B1918" s="478" t="s">
        <v>5448</v>
      </c>
    </row>
    <row r="1919" spans="2:3">
      <c r="B1919" s="478"/>
      <c r="C1919" s="478" t="s">
        <v>5449</v>
      </c>
    </row>
    <row r="1920" spans="2:3">
      <c r="B1920" t="s">
        <v>5433</v>
      </c>
    </row>
    <row r="1921" spans="2:3">
      <c r="B1921" s="478" t="s">
        <v>5434</v>
      </c>
    </row>
    <row r="1922" spans="2:3">
      <c r="B1922" s="478" t="s">
        <v>5435</v>
      </c>
    </row>
    <row r="1923" spans="2:3">
      <c r="B1923" s="478" t="s">
        <v>5436</v>
      </c>
    </row>
    <row r="1924" spans="2:3">
      <c r="B1924" s="478" t="s">
        <v>5437</v>
      </c>
    </row>
    <row r="1925" spans="2:3">
      <c r="B1925" s="478" t="s">
        <v>5438</v>
      </c>
    </row>
    <row r="1927" spans="2:3">
      <c r="B1927" s="499" t="s">
        <v>1877</v>
      </c>
    </row>
    <row r="1928" spans="2:3">
      <c r="B1928" s="478" t="s">
        <v>5439</v>
      </c>
    </row>
    <row r="1929" spans="2:3">
      <c r="B1929" s="478" t="s">
        <v>5440</v>
      </c>
    </row>
    <row r="1930" spans="2:3">
      <c r="B1930" s="478" t="s">
        <v>5441</v>
      </c>
    </row>
    <row r="1931" spans="2:3">
      <c r="B1931" s="478" t="s">
        <v>5442</v>
      </c>
    </row>
    <row r="1932" spans="2:3">
      <c r="B1932" s="478"/>
      <c r="C1932" s="1131">
        <v>0.4</v>
      </c>
    </row>
    <row r="1933" spans="2:3">
      <c r="B1933" s="478" t="s">
        <v>5443</v>
      </c>
    </row>
    <row r="1934" spans="2:3">
      <c r="B1934" s="478"/>
      <c r="C1934" s="478" t="s">
        <v>5446</v>
      </c>
    </row>
    <row r="1936" spans="2:3">
      <c r="B1936" s="478" t="s">
        <v>5444</v>
      </c>
    </row>
    <row r="1937" spans="2:3">
      <c r="C1937" s="478" t="s">
        <v>5445</v>
      </c>
    </row>
    <row r="1938" spans="2:3">
      <c r="C1938" s="478" t="s">
        <v>5447</v>
      </c>
    </row>
    <row r="1939" spans="2:3">
      <c r="B1939" s="478" t="s">
        <v>5455</v>
      </c>
    </row>
    <row r="1940" spans="2:3">
      <c r="C1940" s="478" t="s">
        <v>5456</v>
      </c>
    </row>
    <row r="1941" spans="2:3">
      <c r="C1941" s="478" t="s">
        <v>5457</v>
      </c>
    </row>
    <row r="1942" spans="2:3">
      <c r="C1942" s="478" t="s">
        <v>5458</v>
      </c>
    </row>
    <row r="1943" spans="2:3">
      <c r="B1943" s="478" t="s">
        <v>5459</v>
      </c>
    </row>
    <row r="1944" spans="2:3">
      <c r="C1944" s="478" t="s">
        <v>5460</v>
      </c>
    </row>
    <row r="1945" spans="2:3">
      <c r="C1945" s="478" t="s">
        <v>5461</v>
      </c>
    </row>
    <row r="1946" spans="2:3">
      <c r="B1946" s="478" t="s">
        <v>516</v>
      </c>
    </row>
    <row r="1947" spans="2:3">
      <c r="C1947" s="478" t="s">
        <v>5462</v>
      </c>
    </row>
    <row r="1948" spans="2:3">
      <c r="B1948" s="478" t="s">
        <v>5463</v>
      </c>
    </row>
    <row r="1949" spans="2:3">
      <c r="C1949" s="478" t="s">
        <v>5464</v>
      </c>
    </row>
    <row r="1951" spans="2:3">
      <c r="B1951" s="627" t="s">
        <v>5485</v>
      </c>
    </row>
    <row r="1953" spans="2:2">
      <c r="B1953" s="478" t="s">
        <v>5486</v>
      </c>
    </row>
    <row r="1968" spans="2:2">
      <c r="B1968" s="450" t="s">
        <v>5650</v>
      </c>
    </row>
    <row r="1990" spans="2:3">
      <c r="B1990" s="627" t="s">
        <v>5651</v>
      </c>
    </row>
    <row r="1992" spans="2:3">
      <c r="B1992" s="450" t="s">
        <v>1665</v>
      </c>
    </row>
    <row r="1993" spans="2:3">
      <c r="B1993" s="478" t="s">
        <v>5652</v>
      </c>
    </row>
    <row r="1994" spans="2:3">
      <c r="B1994" s="478" t="s">
        <v>5653</v>
      </c>
    </row>
    <row r="1995" spans="2:3">
      <c r="B1995" s="478"/>
      <c r="C1995" s="478" t="s">
        <v>5705</v>
      </c>
    </row>
    <row r="1996" spans="2:3">
      <c r="C1996" s="478" t="s">
        <v>5654</v>
      </c>
    </row>
    <row r="1997" spans="2:3">
      <c r="B1997" s="450" t="s">
        <v>2380</v>
      </c>
    </row>
    <row r="1998" spans="2:3">
      <c r="B1998" s="478" t="s">
        <v>5655</v>
      </c>
    </row>
    <row r="1999" spans="2:3">
      <c r="B1999" s="450" t="s">
        <v>1719</v>
      </c>
    </row>
    <row r="2000" spans="2:3">
      <c r="B2000" s="478" t="s">
        <v>5656</v>
      </c>
    </row>
    <row r="2001" spans="1:3">
      <c r="B2001" s="450" t="s">
        <v>2032</v>
      </c>
    </row>
    <row r="2002" spans="1:3">
      <c r="B2002" s="478" t="s">
        <v>5657</v>
      </c>
    </row>
    <row r="2003" spans="1:3">
      <c r="B2003" s="450" t="s">
        <v>5641</v>
      </c>
    </row>
    <row r="2004" spans="1:3">
      <c r="B2004" s="478" t="s">
        <v>5661</v>
      </c>
    </row>
    <row r="2005" spans="1:3">
      <c r="B2005" s="478" t="s">
        <v>5662</v>
      </c>
    </row>
    <row r="2007" spans="1:3">
      <c r="B2007" s="478" t="s">
        <v>5659</v>
      </c>
    </row>
    <row r="2008" spans="1:3">
      <c r="A2008" s="478" t="s">
        <v>5668</v>
      </c>
      <c r="B2008" s="478" t="s">
        <v>5660</v>
      </c>
    </row>
    <row r="2009" spans="1:3">
      <c r="B2009" s="478" t="s">
        <v>5663</v>
      </c>
    </row>
    <row r="2011" spans="1:3">
      <c r="B2011" s="478" t="s">
        <v>5664</v>
      </c>
    </row>
    <row r="2013" spans="1:3">
      <c r="B2013" s="627" t="s">
        <v>1877</v>
      </c>
    </row>
    <row r="2014" spans="1:3">
      <c r="B2014" s="478" t="s">
        <v>5665</v>
      </c>
    </row>
    <row r="2015" spans="1:3">
      <c r="C2015" s="478" t="s">
        <v>5666</v>
      </c>
    </row>
    <row r="2016" spans="1:3">
      <c r="A2016" s="478" t="s">
        <v>5668</v>
      </c>
      <c r="B2016" s="478" t="s">
        <v>1665</v>
      </c>
    </row>
    <row r="2017" spans="2:5">
      <c r="C2017" s="478" t="s">
        <v>5667</v>
      </c>
    </row>
    <row r="2018" spans="2:5">
      <c r="C2018" s="478" t="s">
        <v>5678</v>
      </c>
    </row>
    <row r="2019" spans="2:5">
      <c r="C2019" s="478"/>
      <c r="D2019" s="478" t="s">
        <v>5679</v>
      </c>
    </row>
    <row r="2020" spans="2:5">
      <c r="B2020" s="478" t="s">
        <v>2378</v>
      </c>
    </row>
    <row r="2021" spans="2:5">
      <c r="B2021" s="478"/>
      <c r="C2021" s="478" t="s">
        <v>5700</v>
      </c>
    </row>
    <row r="2022" spans="2:5">
      <c r="B2022" s="478"/>
      <c r="C2022" s="478"/>
      <c r="D2022" s="478" t="s">
        <v>5701</v>
      </c>
    </row>
    <row r="2023" spans="2:5">
      <c r="B2023" s="478"/>
      <c r="C2023" s="478"/>
      <c r="D2023" s="478" t="s">
        <v>5702</v>
      </c>
    </row>
    <row r="2024" spans="2:5">
      <c r="C2024" s="478" t="s">
        <v>5669</v>
      </c>
    </row>
    <row r="2025" spans="2:5">
      <c r="D2025" s="478" t="s">
        <v>5677</v>
      </c>
    </row>
    <row r="2026" spans="2:5">
      <c r="D2026" s="478" t="s">
        <v>5670</v>
      </c>
    </row>
    <row r="2027" spans="2:5">
      <c r="E2027" s="478" t="s">
        <v>5671</v>
      </c>
    </row>
    <row r="2028" spans="2:5">
      <c r="C2028" s="478" t="s">
        <v>5672</v>
      </c>
    </row>
    <row r="2029" spans="2:5">
      <c r="C2029" s="478" t="s">
        <v>5673</v>
      </c>
    </row>
    <row r="2030" spans="2:5">
      <c r="C2030" s="478" t="s">
        <v>5674</v>
      </c>
    </row>
    <row r="2031" spans="2:5">
      <c r="C2031" s="478" t="s">
        <v>5675</v>
      </c>
    </row>
    <row r="2032" spans="2:5">
      <c r="C2032" s="478" t="s">
        <v>5676</v>
      </c>
    </row>
    <row r="2033" spans="2:4">
      <c r="D2033" s="478" t="s">
        <v>5680</v>
      </c>
    </row>
    <row r="2034" spans="2:4">
      <c r="B2034" s="478" t="s">
        <v>5658</v>
      </c>
    </row>
    <row r="2035" spans="2:4">
      <c r="C2035" s="478" t="s">
        <v>5681</v>
      </c>
    </row>
    <row r="2036" spans="2:4">
      <c r="C2036" s="478" t="s">
        <v>5682</v>
      </c>
    </row>
    <row r="2037" spans="2:4">
      <c r="C2037" s="478" t="s">
        <v>5683</v>
      </c>
    </row>
    <row r="2038" spans="2:4">
      <c r="C2038" s="478" t="s">
        <v>5684</v>
      </c>
    </row>
    <row r="2039" spans="2:4">
      <c r="D2039" s="478" t="s">
        <v>5685</v>
      </c>
    </row>
    <row r="2040" spans="2:4">
      <c r="B2040" s="478" t="s">
        <v>5692</v>
      </c>
    </row>
    <row r="2041" spans="2:4">
      <c r="C2041" s="478" t="s">
        <v>5686</v>
      </c>
    </row>
    <row r="2042" spans="2:4">
      <c r="C2042" s="478" t="s">
        <v>5687</v>
      </c>
      <c r="D2042" s="478" t="s">
        <v>5688</v>
      </c>
    </row>
    <row r="2043" spans="2:4">
      <c r="D2043" s="478" t="s">
        <v>5689</v>
      </c>
    </row>
    <row r="2044" spans="2:4">
      <c r="C2044" s="478" t="s">
        <v>5690</v>
      </c>
    </row>
    <row r="2045" spans="2:4">
      <c r="C2045" s="478" t="s">
        <v>5691</v>
      </c>
    </row>
    <row r="2046" spans="2:4">
      <c r="B2046" s="478" t="s">
        <v>5693</v>
      </c>
    </row>
    <row r="2047" spans="2:4">
      <c r="C2047" s="478" t="s">
        <v>5694</v>
      </c>
    </row>
    <row r="2048" spans="2:4">
      <c r="C2048" s="478" t="s">
        <v>5695</v>
      </c>
    </row>
    <row r="2049" spans="2:4">
      <c r="D2049" s="478" t="s">
        <v>5696</v>
      </c>
    </row>
    <row r="2050" spans="2:4">
      <c r="D2050" s="478" t="s">
        <v>5697</v>
      </c>
    </row>
    <row r="2051" spans="2:4">
      <c r="B2051" s="478" t="s">
        <v>5698</v>
      </c>
      <c r="C2051" s="478" t="s">
        <v>5699</v>
      </c>
    </row>
    <row r="2052" spans="2:4">
      <c r="B2052" s="478" t="s">
        <v>5703</v>
      </c>
    </row>
    <row r="2053" spans="2:4">
      <c r="C2053" s="478" t="s">
        <v>5704</v>
      </c>
    </row>
    <row r="2054" spans="2:4">
      <c r="B2054" s="478" t="s">
        <v>5708</v>
      </c>
    </row>
    <row r="2055" spans="2:4">
      <c r="B2055" s="478"/>
      <c r="C2055" s="478" t="s">
        <v>5709</v>
      </c>
    </row>
    <row r="2056" spans="2:4">
      <c r="C2056" s="478" t="s">
        <v>5706</v>
      </c>
    </row>
    <row r="2057" spans="2:4">
      <c r="C2057" s="478" t="s">
        <v>5707</v>
      </c>
    </row>
    <row r="2059" spans="2:4">
      <c r="B2059" s="627" t="s">
        <v>5710</v>
      </c>
    </row>
    <row r="2061" spans="2:4">
      <c r="B2061" t="s">
        <v>5711</v>
      </c>
    </row>
    <row r="2062" spans="2:4">
      <c r="B2062" t="s">
        <v>5712</v>
      </c>
    </row>
    <row r="2063" spans="2:4">
      <c r="C2063" t="s">
        <v>5714</v>
      </c>
    </row>
    <row r="2064" spans="2:4">
      <c r="C2064" t="s">
        <v>5715</v>
      </c>
    </row>
    <row r="2065" spans="2:6">
      <c r="C2065" t="s">
        <v>5716</v>
      </c>
    </row>
    <row r="2066" spans="2:6">
      <c r="B2066" t="s">
        <v>5717</v>
      </c>
    </row>
    <row r="2067" spans="2:6">
      <c r="B2067" t="s">
        <v>5713</v>
      </c>
    </row>
    <row r="2069" spans="2:6">
      <c r="B2069" t="s">
        <v>5718</v>
      </c>
      <c r="C2069" s="493" t="s">
        <v>2408</v>
      </c>
      <c r="D2069" s="493" t="s">
        <v>5719</v>
      </c>
      <c r="E2069" s="493" t="s">
        <v>5720</v>
      </c>
      <c r="F2069" s="493"/>
    </row>
    <row r="2070" spans="2:6">
      <c r="C2070">
        <v>56.2</v>
      </c>
      <c r="D2070">
        <v>11</v>
      </c>
      <c r="E2070">
        <f>C2070*D2070</f>
        <v>618.20000000000005</v>
      </c>
      <c r="F2070">
        <f>E2070*9.4</f>
        <v>5811.0800000000008</v>
      </c>
    </row>
    <row r="2072" spans="2:6">
      <c r="B2072" s="627" t="s">
        <v>5769</v>
      </c>
    </row>
    <row r="2074" spans="2:6">
      <c r="B2074">
        <v>43761</v>
      </c>
      <c r="C2074" s="478" t="s">
        <v>5766</v>
      </c>
    </row>
    <row r="2075" spans="2:6">
      <c r="C2075" s="478"/>
    </row>
    <row r="2076" spans="2:6">
      <c r="B2076">
        <v>43762</v>
      </c>
      <c r="C2076" t="s">
        <v>5764</v>
      </c>
    </row>
    <row r="2077" spans="2:6">
      <c r="B2077">
        <v>43763</v>
      </c>
      <c r="C2077" t="s">
        <v>5765</v>
      </c>
    </row>
    <row r="2078" spans="2:6">
      <c r="B2078" s="478" t="s">
        <v>5767</v>
      </c>
      <c r="C2078" s="478" t="s">
        <v>5768</v>
      </c>
    </row>
    <row r="2080" spans="2:6">
      <c r="B2080" s="478" t="s">
        <v>5770</v>
      </c>
    </row>
    <row r="2081" spans="2:3">
      <c r="B2081" s="478" t="s">
        <v>5771</v>
      </c>
    </row>
    <row r="2082" spans="2:3">
      <c r="C2082" s="478" t="s">
        <v>5772</v>
      </c>
    </row>
    <row r="2084" spans="2:3">
      <c r="B2084" s="499" t="s">
        <v>5497</v>
      </c>
    </row>
    <row r="2086" spans="2:3">
      <c r="B2086" s="478" t="s">
        <v>5773</v>
      </c>
    </row>
    <row r="2087" spans="2:3">
      <c r="B2087" s="478" t="s">
        <v>5774</v>
      </c>
    </row>
    <row r="2089" spans="2:3">
      <c r="B2089" s="478" t="s">
        <v>5775</v>
      </c>
    </row>
    <row r="2090" spans="2:3">
      <c r="B2090" s="478" t="s">
        <v>5776</v>
      </c>
    </row>
    <row r="2092" spans="2:3">
      <c r="B2092" s="499" t="s">
        <v>5780</v>
      </c>
    </row>
    <row r="2093" spans="2:3">
      <c r="B2093" s="478" t="s">
        <v>5777</v>
      </c>
    </row>
    <row r="2095" spans="2:3">
      <c r="B2095" s="499" t="s">
        <v>2032</v>
      </c>
    </row>
    <row r="2096" spans="2:3">
      <c r="B2096" s="478" t="s">
        <v>5778</v>
      </c>
    </row>
    <row r="2097" spans="2:3">
      <c r="B2097" s="478" t="s">
        <v>5779</v>
      </c>
    </row>
    <row r="2098" spans="2:3">
      <c r="B2098" s="478" t="s">
        <v>5781</v>
      </c>
    </row>
    <row r="2099" spans="2:3">
      <c r="B2099" s="478"/>
      <c r="C2099" s="478" t="s">
        <v>5785</v>
      </c>
    </row>
    <row r="2100" spans="2:3">
      <c r="B2100" s="478" t="s">
        <v>5789</v>
      </c>
      <c r="C2100" s="478"/>
    </row>
    <row r="2101" spans="2:3">
      <c r="B2101" s="478"/>
      <c r="C2101" s="478" t="s">
        <v>5790</v>
      </c>
    </row>
    <row r="2102" spans="2:3">
      <c r="B2102" s="478"/>
      <c r="C2102" s="478" t="s">
        <v>5791</v>
      </c>
    </row>
    <row r="2103" spans="2:3">
      <c r="B2103" s="478" t="s">
        <v>5792</v>
      </c>
      <c r="C2103" s="478"/>
    </row>
    <row r="2104" spans="2:3">
      <c r="B2104" s="478"/>
      <c r="C2104" s="478" t="s">
        <v>5793</v>
      </c>
    </row>
    <row r="2105" spans="2:3">
      <c r="B2105" s="478"/>
      <c r="C2105" s="478" t="s">
        <v>5794</v>
      </c>
    </row>
    <row r="2107" spans="2:3">
      <c r="B2107" s="499" t="s">
        <v>2033</v>
      </c>
    </row>
    <row r="2108" spans="2:3">
      <c r="B2108" s="478" t="s">
        <v>5782</v>
      </c>
    </row>
    <row r="2109" spans="2:3">
      <c r="B2109" s="478" t="s">
        <v>5783</v>
      </c>
    </row>
    <row r="2110" spans="2:3">
      <c r="B2110" s="478" t="s">
        <v>5784</v>
      </c>
    </row>
    <row r="2112" spans="2:3">
      <c r="B2112" s="478" t="s">
        <v>5786</v>
      </c>
    </row>
    <row r="2113" spans="2:4">
      <c r="C2113" s="478" t="s">
        <v>5787</v>
      </c>
    </row>
    <row r="2114" spans="2:4">
      <c r="C2114" s="478" t="s">
        <v>5788</v>
      </c>
    </row>
    <row r="2116" spans="2:4">
      <c r="B2116" s="499" t="s">
        <v>5844</v>
      </c>
    </row>
    <row r="2118" spans="2:4">
      <c r="B2118" s="478" t="s">
        <v>5864</v>
      </c>
    </row>
    <row r="2119" spans="2:4">
      <c r="B2119" s="478"/>
      <c r="C2119" s="478" t="s">
        <v>5865</v>
      </c>
    </row>
    <row r="2120" spans="2:4">
      <c r="C2120" s="478" t="s">
        <v>5866</v>
      </c>
    </row>
    <row r="2121" spans="2:4">
      <c r="B2121" s="499" t="s">
        <v>2697</v>
      </c>
    </row>
    <row r="2122" spans="2:4">
      <c r="B2122" s="499"/>
    </row>
    <row r="2123" spans="2:4">
      <c r="B2123" s="499" t="s">
        <v>5845</v>
      </c>
    </row>
    <row r="2124" spans="2:4">
      <c r="B2124" s="478"/>
      <c r="C2124" s="478" t="s">
        <v>5846</v>
      </c>
    </row>
    <row r="2125" spans="2:4">
      <c r="B2125" s="499" t="s">
        <v>1712</v>
      </c>
    </row>
    <row r="2126" spans="2:4">
      <c r="C2126" s="478" t="s">
        <v>5848</v>
      </c>
    </row>
    <row r="2127" spans="2:4">
      <c r="C2127" s="478"/>
      <c r="D2127" s="478" t="s">
        <v>5851</v>
      </c>
    </row>
    <row r="2128" spans="2:4">
      <c r="C2128" s="478"/>
      <c r="D2128" s="478" t="s">
        <v>5852</v>
      </c>
    </row>
    <row r="2129" spans="2:4">
      <c r="C2129" s="478"/>
      <c r="D2129" s="478" t="s">
        <v>5853</v>
      </c>
    </row>
    <row r="2130" spans="2:4">
      <c r="C2130" s="478"/>
      <c r="D2130" s="478" t="s">
        <v>5854</v>
      </c>
    </row>
    <row r="2131" spans="2:4">
      <c r="C2131" s="478"/>
      <c r="D2131" s="478" t="s">
        <v>5856</v>
      </c>
    </row>
    <row r="2132" spans="2:4">
      <c r="C2132" s="478" t="s">
        <v>5849</v>
      </c>
    </row>
    <row r="2133" spans="2:4">
      <c r="C2133" s="478"/>
      <c r="D2133" s="478" t="s">
        <v>5850</v>
      </c>
    </row>
    <row r="2134" spans="2:4">
      <c r="C2134" s="478"/>
      <c r="D2134" s="478" t="s">
        <v>5855</v>
      </c>
    </row>
    <row r="2135" spans="2:4">
      <c r="C2135" s="478" t="s">
        <v>1665</v>
      </c>
    </row>
    <row r="2136" spans="2:4">
      <c r="C2136" s="478"/>
      <c r="D2136" s="478" t="s">
        <v>5857</v>
      </c>
    </row>
    <row r="2137" spans="2:4">
      <c r="C2137" s="478"/>
      <c r="D2137" s="478" t="s">
        <v>5858</v>
      </c>
    </row>
    <row r="2138" spans="2:4">
      <c r="C2138" s="478"/>
      <c r="D2138" s="478" t="s">
        <v>5859</v>
      </c>
    </row>
    <row r="2139" spans="2:4">
      <c r="C2139" s="478"/>
      <c r="D2139" s="478" t="s">
        <v>5860</v>
      </c>
    </row>
    <row r="2140" spans="2:4">
      <c r="C2140" s="478"/>
      <c r="D2140" s="478" t="s">
        <v>5861</v>
      </c>
    </row>
    <row r="2141" spans="2:4">
      <c r="C2141" s="478"/>
      <c r="D2141" s="478" t="s">
        <v>5862</v>
      </c>
    </row>
    <row r="2142" spans="2:4">
      <c r="C2142" s="478"/>
      <c r="D2142" s="478" t="s">
        <v>5863</v>
      </c>
    </row>
    <row r="2143" spans="2:4">
      <c r="B2143" s="499" t="s">
        <v>5847</v>
      </c>
    </row>
    <row r="2145" spans="2:2">
      <c r="B2145" s="499" t="s">
        <v>538</v>
      </c>
    </row>
    <row r="2147" spans="2:2">
      <c r="B2147" s="499" t="s">
        <v>5868</v>
      </c>
    </row>
    <row r="2148" spans="2:2">
      <c r="B2148" t="s">
        <v>5867</v>
      </c>
    </row>
    <row r="2149" spans="2:2">
      <c r="B2149" s="478" t="s">
        <v>5871</v>
      </c>
    </row>
    <row r="2150" spans="2:2">
      <c r="B2150" s="478" t="s">
        <v>5869</v>
      </c>
    </row>
    <row r="2151" spans="2:2">
      <c r="B2151" s="478" t="s">
        <v>5870</v>
      </c>
    </row>
    <row r="2153" spans="2:2">
      <c r="B2153" s="499" t="s">
        <v>5872</v>
      </c>
    </row>
    <row r="2154" spans="2:2">
      <c r="B2154" s="478" t="s">
        <v>5873</v>
      </c>
    </row>
    <row r="2155" spans="2:2">
      <c r="B2155" s="478" t="s">
        <v>5874</v>
      </c>
    </row>
    <row r="2157" spans="2:2">
      <c r="B2157" s="499" t="s">
        <v>5868</v>
      </c>
    </row>
    <row r="2159" spans="2:2">
      <c r="B2159" s="627" t="s">
        <v>6024</v>
      </c>
    </row>
    <row r="2161" spans="2:6">
      <c r="B2161" s="478" t="s">
        <v>1665</v>
      </c>
    </row>
    <row r="2162" spans="2:6">
      <c r="C2162" s="478" t="s">
        <v>6008</v>
      </c>
    </row>
    <row r="2163" spans="2:6">
      <c r="C2163" s="478" t="s">
        <v>6009</v>
      </c>
    </row>
    <row r="2164" spans="2:6">
      <c r="C2164" s="478" t="s">
        <v>6010</v>
      </c>
    </row>
    <row r="2165" spans="2:6">
      <c r="C2165" s="478" t="s">
        <v>6011</v>
      </c>
    </row>
    <row r="2167" spans="2:6">
      <c r="B2167" s="451"/>
      <c r="C2167" s="560" t="s">
        <v>5617</v>
      </c>
      <c r="D2167" s="560" t="s">
        <v>5618</v>
      </c>
      <c r="E2167" s="560" t="s">
        <v>5619</v>
      </c>
      <c r="F2167" s="560" t="s">
        <v>5620</v>
      </c>
    </row>
    <row r="2168" spans="2:6">
      <c r="B2168" s="478" t="s">
        <v>2842</v>
      </c>
      <c r="C2168" s="449">
        <v>0.06</v>
      </c>
      <c r="D2168" s="770">
        <v>0.05</v>
      </c>
      <c r="E2168" t="s">
        <v>6014</v>
      </c>
    </row>
    <row r="2169" spans="2:6">
      <c r="B2169" s="478" t="s">
        <v>5322</v>
      </c>
      <c r="C2169" s="449">
        <v>0.06</v>
      </c>
      <c r="D2169" s="506" t="s">
        <v>6016</v>
      </c>
      <c r="E2169" t="s">
        <v>6014</v>
      </c>
    </row>
    <row r="2170" spans="2:6">
      <c r="B2170" s="487" t="s">
        <v>4171</v>
      </c>
      <c r="C2170" s="455"/>
      <c r="D2170" s="495" t="s">
        <v>6012</v>
      </c>
      <c r="E2170" s="455" t="s">
        <v>6013</v>
      </c>
      <c r="F2170" s="495" t="s">
        <v>2016</v>
      </c>
    </row>
    <row r="2171" spans="2:6">
      <c r="B2171" s="478" t="s">
        <v>2324</v>
      </c>
      <c r="C2171" s="456">
        <f>'New (new) quarts'!AB362</f>
        <v>2.8000000000000001E-2</v>
      </c>
      <c r="D2171" s="456">
        <f>'New (new) quarts'!AE362</f>
        <v>6.0000000000000001E-3</v>
      </c>
      <c r="E2171" s="456">
        <f>'New (new) quarts'!AF362</f>
        <v>1.7000000000000001E-2</v>
      </c>
    </row>
    <row r="2173" spans="2:6">
      <c r="B2173" s="499" t="s">
        <v>6015</v>
      </c>
    </row>
    <row r="2174" spans="2:6">
      <c r="B2174" s="478" t="s">
        <v>6026</v>
      </c>
    </row>
    <row r="2175" spans="2:6">
      <c r="B2175" s="478" t="s">
        <v>6027</v>
      </c>
    </row>
    <row r="2176" spans="2:6">
      <c r="B2176" s="478"/>
      <c r="C2176" s="478" t="s">
        <v>6028</v>
      </c>
    </row>
    <row r="2177" spans="2:4">
      <c r="B2177" s="478"/>
      <c r="C2177" s="478" t="s">
        <v>6029</v>
      </c>
    </row>
    <row r="2178" spans="2:4">
      <c r="B2178" s="499"/>
      <c r="D2178" s="478" t="s">
        <v>6030</v>
      </c>
    </row>
    <row r="2179" spans="2:4">
      <c r="B2179" s="499"/>
      <c r="C2179" s="478" t="s">
        <v>6031</v>
      </c>
      <c r="D2179" s="478"/>
    </row>
    <row r="2180" spans="2:4">
      <c r="B2180" s="499"/>
      <c r="C2180" s="478" t="s">
        <v>6032</v>
      </c>
      <c r="D2180" s="478"/>
    </row>
    <row r="2181" spans="2:4">
      <c r="B2181" s="499"/>
      <c r="C2181" s="478"/>
      <c r="D2181" s="478" t="s">
        <v>6033</v>
      </c>
    </row>
    <row r="2182" spans="2:4">
      <c r="B2182" s="499"/>
      <c r="C2182" s="478"/>
      <c r="D2182" s="478" t="s">
        <v>6034</v>
      </c>
    </row>
    <row r="2183" spans="2:4">
      <c r="B2183" s="499"/>
      <c r="C2183" s="478"/>
      <c r="D2183" s="478" t="s">
        <v>6035</v>
      </c>
    </row>
    <row r="2184" spans="2:4">
      <c r="B2184" s="499"/>
      <c r="C2184" s="478" t="s">
        <v>6036</v>
      </c>
      <c r="D2184" s="478"/>
    </row>
    <row r="2185" spans="2:4">
      <c r="B2185" s="499"/>
      <c r="C2185" s="478" t="s">
        <v>6037</v>
      </c>
      <c r="D2185" s="478"/>
    </row>
    <row r="2186" spans="2:4">
      <c r="B2186" s="478" t="s">
        <v>6021</v>
      </c>
    </row>
    <row r="2187" spans="2:4">
      <c r="B2187" s="478"/>
      <c r="C2187" s="478" t="s">
        <v>6022</v>
      </c>
    </row>
    <row r="2188" spans="2:4">
      <c r="B2188" s="478"/>
      <c r="C2188" s="478" t="s">
        <v>6023</v>
      </c>
    </row>
    <row r="2189" spans="2:4">
      <c r="B2189" s="478" t="s">
        <v>6018</v>
      </c>
    </row>
    <row r="2190" spans="2:4">
      <c r="B2190" s="478" t="s">
        <v>6017</v>
      </c>
    </row>
    <row r="2191" spans="2:4">
      <c r="B2191" s="478" t="s">
        <v>6019</v>
      </c>
    </row>
    <row r="2192" spans="2:4">
      <c r="B2192" s="478" t="s">
        <v>6020</v>
      </c>
    </row>
    <row r="2194" spans="2:6">
      <c r="B2194" s="499" t="s">
        <v>6038</v>
      </c>
    </row>
    <row r="2196" spans="2:6">
      <c r="B2196" s="478" t="s">
        <v>1665</v>
      </c>
    </row>
    <row r="2197" spans="2:6">
      <c r="C2197" s="478" t="s">
        <v>6039</v>
      </c>
    </row>
    <row r="2198" spans="2:6">
      <c r="C2198" s="478" t="s">
        <v>6040</v>
      </c>
    </row>
    <row r="2199" spans="2:6">
      <c r="D2199" s="478" t="s">
        <v>6041</v>
      </c>
    </row>
    <row r="2200" spans="2:6">
      <c r="D2200" s="478" t="s">
        <v>6042</v>
      </c>
    </row>
    <row r="2201" spans="2:6">
      <c r="D2201" s="478" t="s">
        <v>6043</v>
      </c>
    </row>
    <row r="2202" spans="2:6">
      <c r="E2202" s="478" t="s">
        <v>6044</v>
      </c>
    </row>
    <row r="2203" spans="2:6">
      <c r="E2203" s="478" t="s">
        <v>6045</v>
      </c>
    </row>
    <row r="2204" spans="2:6">
      <c r="F2204" s="478" t="s">
        <v>6046</v>
      </c>
    </row>
    <row r="2205" spans="2:6">
      <c r="C2205" s="478" t="s">
        <v>6047</v>
      </c>
    </row>
    <row r="2206" spans="2:6">
      <c r="D2206" s="478" t="s">
        <v>6048</v>
      </c>
    </row>
    <row r="2207" spans="2:6">
      <c r="C2207" s="478" t="s">
        <v>6049</v>
      </c>
    </row>
    <row r="2208" spans="2:6">
      <c r="C2208" s="478" t="s">
        <v>6050</v>
      </c>
    </row>
    <row r="2209" spans="2:5">
      <c r="C2209" s="478" t="s">
        <v>6051</v>
      </c>
    </row>
    <row r="2210" spans="2:5">
      <c r="C2210" s="478" t="s">
        <v>6052</v>
      </c>
    </row>
    <row r="2211" spans="2:5">
      <c r="D2211" s="478" t="s">
        <v>6053</v>
      </c>
    </row>
    <row r="2213" spans="2:5">
      <c r="B2213" s="478" t="s">
        <v>6063</v>
      </c>
    </row>
    <row r="2214" spans="2:5">
      <c r="C2214" s="478" t="s">
        <v>6054</v>
      </c>
      <c r="D2214" s="478" t="s">
        <v>6055</v>
      </c>
      <c r="E2214" s="478" t="s">
        <v>6062</v>
      </c>
    </row>
    <row r="2215" spans="2:5">
      <c r="E2215" s="478" t="s">
        <v>6056</v>
      </c>
    </row>
    <row r="2216" spans="2:5">
      <c r="E2216" s="478" t="s">
        <v>6057</v>
      </c>
    </row>
    <row r="2217" spans="2:5">
      <c r="E2217" s="478" t="s">
        <v>6058</v>
      </c>
    </row>
    <row r="2218" spans="2:5">
      <c r="C2218" s="478" t="s">
        <v>6059</v>
      </c>
    </row>
    <row r="2219" spans="2:5">
      <c r="D2219" s="478" t="s">
        <v>6060</v>
      </c>
    </row>
    <row r="2220" spans="2:5">
      <c r="C2220" s="478" t="s">
        <v>6061</v>
      </c>
    </row>
    <row r="2221" spans="2:5">
      <c r="C2221" s="478" t="s">
        <v>6064</v>
      </c>
    </row>
    <row r="2222" spans="2:5">
      <c r="D2222" s="478" t="s">
        <v>6065</v>
      </c>
    </row>
    <row r="2223" spans="2:5">
      <c r="C2223" s="478" t="s">
        <v>6066</v>
      </c>
    </row>
    <row r="2224" spans="2:5">
      <c r="C2224" s="478" t="s">
        <v>6067</v>
      </c>
    </row>
    <row r="2225" spans="2:4">
      <c r="D2225" s="478" t="s">
        <v>6068</v>
      </c>
    </row>
    <row r="2226" spans="2:4">
      <c r="D2226" s="478" t="s">
        <v>6069</v>
      </c>
    </row>
    <row r="2227" spans="2:4">
      <c r="B2227" s="478" t="s">
        <v>468</v>
      </c>
    </row>
    <row r="2228" spans="2:4">
      <c r="C2228" s="478" t="s">
        <v>6070</v>
      </c>
    </row>
    <row r="2229" spans="2:4">
      <c r="C2229" s="478" t="s">
        <v>6071</v>
      </c>
    </row>
    <row r="2231" spans="2:4">
      <c r="B2231" s="499" t="s">
        <v>5620</v>
      </c>
    </row>
    <row r="2232" spans="2:4">
      <c r="B2232" s="499"/>
    </row>
    <row r="2233" spans="2:4">
      <c r="B2233" s="499" t="s">
        <v>1877</v>
      </c>
      <c r="C2233" s="478" t="s">
        <v>1823</v>
      </c>
    </row>
    <row r="2234" spans="2:4">
      <c r="B2234" s="478" t="s">
        <v>468</v>
      </c>
    </row>
    <row r="2235" spans="2:4">
      <c r="B2235" s="478"/>
      <c r="C2235" s="478" t="s">
        <v>6129</v>
      </c>
    </row>
    <row r="2236" spans="2:4">
      <c r="B2236" s="478"/>
      <c r="C2236" s="478" t="s">
        <v>6130</v>
      </c>
    </row>
    <row r="2237" spans="2:4">
      <c r="B2237" s="478"/>
      <c r="C2237" s="478" t="s">
        <v>6128</v>
      </c>
    </row>
    <row r="2238" spans="2:4">
      <c r="B2238" s="478" t="s">
        <v>6113</v>
      </c>
    </row>
    <row r="2239" spans="2:4">
      <c r="B2239" s="478"/>
      <c r="C2239" s="478" t="s">
        <v>6126</v>
      </c>
    </row>
    <row r="2240" spans="2:4">
      <c r="B2240" s="478" t="s">
        <v>1665</v>
      </c>
      <c r="C2240" s="478"/>
    </row>
    <row r="2241" spans="2:4">
      <c r="C2241" s="478" t="s">
        <v>6111</v>
      </c>
    </row>
    <row r="2242" spans="2:4">
      <c r="C2242" s="478" t="s">
        <v>6112</v>
      </c>
    </row>
    <row r="2243" spans="2:4">
      <c r="C2243" s="478" t="s">
        <v>6132</v>
      </c>
    </row>
    <row r="2244" spans="2:4">
      <c r="B2244" s="478" t="s">
        <v>2032</v>
      </c>
    </row>
    <row r="2245" spans="2:4">
      <c r="C2245" s="478" t="s">
        <v>6114</v>
      </c>
    </row>
    <row r="2246" spans="2:4">
      <c r="C2246" s="478" t="s">
        <v>6127</v>
      </c>
    </row>
    <row r="2247" spans="2:4">
      <c r="C2247" s="478"/>
    </row>
    <row r="2248" spans="2:4">
      <c r="B2248" s="499"/>
    </row>
    <row r="2249" spans="2:4">
      <c r="B2249" s="478" t="s">
        <v>1665</v>
      </c>
      <c r="C2249" s="478" t="s">
        <v>5116</v>
      </c>
      <c r="D2249" s="478" t="s">
        <v>6109</v>
      </c>
    </row>
    <row r="2250" spans="2:4">
      <c r="C2250" s="478" t="s">
        <v>6107</v>
      </c>
      <c r="D2250" s="478" t="s">
        <v>6108</v>
      </c>
    </row>
    <row r="2251" spans="2:4">
      <c r="C2251" s="478" t="s">
        <v>4171</v>
      </c>
      <c r="D2251" s="478" t="s">
        <v>6110</v>
      </c>
    </row>
    <row r="2252" spans="2:4">
      <c r="B2252" s="478" t="s">
        <v>1719</v>
      </c>
    </row>
    <row r="2253" spans="2:4">
      <c r="C2253" s="478" t="s">
        <v>6115</v>
      </c>
    </row>
    <row r="2254" spans="2:4">
      <c r="B2254" s="478" t="s">
        <v>2172</v>
      </c>
    </row>
    <row r="2255" spans="2:4">
      <c r="C2255" s="478" t="s">
        <v>6116</v>
      </c>
    </row>
    <row r="2257" spans="2:3">
      <c r="B2257" s="499" t="s">
        <v>1877</v>
      </c>
    </row>
    <row r="2258" spans="2:3">
      <c r="B2258" s="478" t="s">
        <v>6131</v>
      </c>
    </row>
    <row r="2260" spans="2:3">
      <c r="B2260" s="478" t="s">
        <v>2377</v>
      </c>
    </row>
    <row r="2262" spans="2:3">
      <c r="B2262" s="478" t="s">
        <v>1531</v>
      </c>
    </row>
    <row r="2264" spans="2:3">
      <c r="B2264" s="478" t="s">
        <v>1665</v>
      </c>
    </row>
    <row r="2265" spans="2:3">
      <c r="C2265" s="478" t="s">
        <v>6133</v>
      </c>
    </row>
    <row r="2266" spans="2:3">
      <c r="C2266" s="478" t="s">
        <v>6134</v>
      </c>
    </row>
    <row r="2267" spans="2:3">
      <c r="C2267" s="478" t="s">
        <v>6135</v>
      </c>
    </row>
    <row r="2269" spans="2:3">
      <c r="C2269" s="478" t="s">
        <v>6136</v>
      </c>
    </row>
    <row r="2270" spans="2:3">
      <c r="C2270" s="478" t="s">
        <v>6140</v>
      </c>
    </row>
    <row r="2271" spans="2:3">
      <c r="C2271" s="478" t="s">
        <v>6141</v>
      </c>
    </row>
    <row r="2272" spans="2:3">
      <c r="B2272" s="478" t="s">
        <v>4061</v>
      </c>
    </row>
    <row r="2274" spans="2:4">
      <c r="B2274" s="478" t="s">
        <v>574</v>
      </c>
    </row>
    <row r="2275" spans="2:4">
      <c r="C2275" s="478" t="s">
        <v>6137</v>
      </c>
    </row>
    <row r="2276" spans="2:4">
      <c r="C2276" s="478" t="s">
        <v>6138</v>
      </c>
    </row>
    <row r="2277" spans="2:4">
      <c r="D2277" s="478" t="s">
        <v>6139</v>
      </c>
    </row>
    <row r="2279" spans="2:4">
      <c r="B2279" s="499" t="s">
        <v>6144</v>
      </c>
    </row>
    <row r="2280" spans="2:4">
      <c r="B2280" s="478" t="s">
        <v>6143</v>
      </c>
    </row>
    <row r="2281" spans="2:4">
      <c r="B2281" s="478" t="s">
        <v>6145</v>
      </c>
    </row>
    <row r="2282" spans="2:4">
      <c r="B2282" s="478" t="s">
        <v>2032</v>
      </c>
    </row>
    <row r="2283" spans="2:4">
      <c r="C2283" s="478" t="s">
        <v>6146</v>
      </c>
    </row>
    <row r="2284" spans="2:4">
      <c r="C2284" s="478" t="s">
        <v>6147</v>
      </c>
    </row>
    <row r="2285" spans="2:4">
      <c r="C2285" s="478" t="s">
        <v>6148</v>
      </c>
    </row>
    <row r="2286" spans="2:4">
      <c r="B2286" s="478" t="s">
        <v>6149</v>
      </c>
    </row>
    <row r="2287" spans="2:4">
      <c r="B2287" s="478"/>
      <c r="C2287" s="478" t="s">
        <v>6153</v>
      </c>
    </row>
    <row r="2288" spans="2:4">
      <c r="B2288" s="478" t="s">
        <v>6150</v>
      </c>
    </row>
    <row r="2290" spans="2:6">
      <c r="B2290" s="478" t="s">
        <v>6151</v>
      </c>
    </row>
    <row r="2291" spans="2:6">
      <c r="C2291" s="478" t="s">
        <v>6152</v>
      </c>
    </row>
    <row r="2292" spans="2:6">
      <c r="C2292" s="478" t="s">
        <v>6154</v>
      </c>
    </row>
    <row r="2293" spans="2:6">
      <c r="B2293" s="478" t="s">
        <v>6155</v>
      </c>
    </row>
    <row r="2294" spans="2:6">
      <c r="C2294" s="478" t="s">
        <v>6156</v>
      </c>
    </row>
    <row r="2295" spans="2:6">
      <c r="C2295" s="478" t="s">
        <v>6157</v>
      </c>
    </row>
    <row r="2296" spans="2:6">
      <c r="C2296" s="478" t="s">
        <v>2916</v>
      </c>
    </row>
    <row r="2297" spans="2:6">
      <c r="B2297" s="478" t="s">
        <v>6158</v>
      </c>
    </row>
    <row r="2299" spans="2:6">
      <c r="B2299" s="478" t="s">
        <v>6159</v>
      </c>
    </row>
    <row r="2301" spans="2:6">
      <c r="B2301" s="478" t="s">
        <v>6160</v>
      </c>
    </row>
    <row r="2302" spans="2:6">
      <c r="B2302" s="478" t="s">
        <v>6161</v>
      </c>
    </row>
    <row r="2303" spans="2:6">
      <c r="B2303" s="478"/>
      <c r="C2303" s="478" t="s">
        <v>6162</v>
      </c>
      <c r="F2303" s="478" t="s">
        <v>1823</v>
      </c>
    </row>
    <row r="2304" spans="2:6">
      <c r="C2304" s="478" t="s">
        <v>4565</v>
      </c>
      <c r="D2304" s="454">
        <f>0.075*6345</f>
        <v>475.875</v>
      </c>
    </row>
    <row r="2305" spans="2:3">
      <c r="B2305" s="499" t="s">
        <v>6163</v>
      </c>
    </row>
    <row r="2306" spans="2:3">
      <c r="C2306" s="478"/>
    </row>
    <row r="2307" spans="2:3">
      <c r="B2307" s="478" t="s">
        <v>6165</v>
      </c>
      <c r="C2307">
        <v>0.1</v>
      </c>
    </row>
    <row r="2308" spans="2:3">
      <c r="B2308" s="478" t="s">
        <v>6164</v>
      </c>
      <c r="C2308" s="506" t="s">
        <v>6169</v>
      </c>
    </row>
    <row r="2309" spans="2:3">
      <c r="B2309" s="478" t="s">
        <v>2377</v>
      </c>
    </row>
    <row r="2310" spans="2:3">
      <c r="C2310" s="478" t="s">
        <v>6166</v>
      </c>
    </row>
    <row r="2311" spans="2:3">
      <c r="C2311" s="478" t="s">
        <v>6167</v>
      </c>
    </row>
    <row r="2312" spans="2:3">
      <c r="C2312" s="478" t="s">
        <v>6168</v>
      </c>
    </row>
    <row r="2313" spans="2:3">
      <c r="B2313" s="478" t="s">
        <v>6170</v>
      </c>
    </row>
    <row r="2314" spans="2:3">
      <c r="C2314" s="478" t="s">
        <v>6171</v>
      </c>
    </row>
    <row r="2315" spans="2:3">
      <c r="C2315" s="478" t="s">
        <v>6172</v>
      </c>
    </row>
    <row r="2316" spans="2:3">
      <c r="B2316" s="478" t="s">
        <v>6173</v>
      </c>
    </row>
    <row r="2317" spans="2:3">
      <c r="B2317" s="478" t="s">
        <v>6174</v>
      </c>
    </row>
    <row r="2318" spans="2:3">
      <c r="B2318" s="478" t="s">
        <v>6175</v>
      </c>
    </row>
    <row r="2319" spans="2:3">
      <c r="B2319" s="478" t="s">
        <v>6176</v>
      </c>
    </row>
    <row r="2320" spans="2:3">
      <c r="B2320" s="478" t="s">
        <v>758</v>
      </c>
    </row>
    <row r="2321" spans="2:5">
      <c r="C2321" s="478" t="s">
        <v>6177</v>
      </c>
    </row>
    <row r="2322" spans="2:5">
      <c r="D2322" s="478" t="s">
        <v>6178</v>
      </c>
    </row>
    <row r="2323" spans="2:5">
      <c r="D2323" s="478"/>
      <c r="E2323" s="478" t="s">
        <v>6192</v>
      </c>
    </row>
    <row r="2324" spans="2:5">
      <c r="D2324" s="478" t="s">
        <v>6179</v>
      </c>
      <c r="E2324" s="478" t="s">
        <v>6184</v>
      </c>
    </row>
    <row r="2325" spans="2:5">
      <c r="D2325" s="478"/>
      <c r="E2325" s="478" t="s">
        <v>6189</v>
      </c>
    </row>
    <row r="2326" spans="2:5">
      <c r="D2326" s="478"/>
      <c r="E2326" s="478" t="s">
        <v>6190</v>
      </c>
    </row>
    <row r="2327" spans="2:5">
      <c r="C2327" s="478" t="s">
        <v>6180</v>
      </c>
    </row>
    <row r="2328" spans="2:5">
      <c r="D2328" s="478" t="s">
        <v>6186</v>
      </c>
    </row>
    <row r="2329" spans="2:5">
      <c r="D2329" s="478"/>
      <c r="E2329" s="478" t="s">
        <v>6185</v>
      </c>
    </row>
    <row r="2330" spans="2:5">
      <c r="D2330" s="478"/>
      <c r="E2330" s="478" t="s">
        <v>6187</v>
      </c>
    </row>
    <row r="2331" spans="2:5">
      <c r="D2331" s="478"/>
      <c r="E2331" s="478" t="s">
        <v>6191</v>
      </c>
    </row>
    <row r="2332" spans="2:5">
      <c r="D2332" s="478" t="s">
        <v>6181</v>
      </c>
    </row>
    <row r="2333" spans="2:5">
      <c r="C2333" s="478" t="s">
        <v>6188</v>
      </c>
      <c r="D2333" s="478"/>
    </row>
    <row r="2334" spans="2:5">
      <c r="B2334" s="478" t="s">
        <v>2377</v>
      </c>
      <c r="C2334" s="478"/>
      <c r="D2334" s="478"/>
    </row>
    <row r="2335" spans="2:5">
      <c r="B2335" s="478" t="s">
        <v>6182</v>
      </c>
    </row>
    <row r="2336" spans="2:5">
      <c r="B2336" s="478" t="s">
        <v>6183</v>
      </c>
    </row>
    <row r="2338" spans="2:4">
      <c r="B2338" s="478" t="s">
        <v>6193</v>
      </c>
    </row>
    <row r="2339" spans="2:4">
      <c r="C2339" s="478" t="s">
        <v>6194</v>
      </c>
    </row>
    <row r="2340" spans="2:4">
      <c r="C2340" s="478" t="s">
        <v>6195</v>
      </c>
    </row>
    <row r="2341" spans="2:4">
      <c r="B2341" s="478" t="s">
        <v>6196</v>
      </c>
    </row>
    <row r="2343" spans="2:4">
      <c r="B2343" s="499" t="s">
        <v>6210</v>
      </c>
    </row>
    <row r="2345" spans="2:4">
      <c r="B2345" s="478" t="s">
        <v>6211</v>
      </c>
    </row>
    <row r="2346" spans="2:4">
      <c r="C2346" s="478" t="s">
        <v>6212</v>
      </c>
    </row>
    <row r="2347" spans="2:4">
      <c r="C2347" s="478" t="s">
        <v>6213</v>
      </c>
    </row>
    <row r="2348" spans="2:4">
      <c r="D2348" s="478" t="s">
        <v>6214</v>
      </c>
    </row>
    <row r="2349" spans="2:4">
      <c r="D2349" s="478" t="s">
        <v>6216</v>
      </c>
    </row>
    <row r="2350" spans="2:4">
      <c r="D2350" s="478" t="s">
        <v>6215</v>
      </c>
    </row>
    <row r="2351" spans="2:4">
      <c r="B2351" s="478" t="s">
        <v>6217</v>
      </c>
    </row>
    <row r="2352" spans="2:4">
      <c r="C2352" s="478" t="s">
        <v>6218</v>
      </c>
    </row>
    <row r="2353" spans="2:5">
      <c r="C2353" s="478" t="s">
        <v>6219</v>
      </c>
    </row>
    <row r="2354" spans="2:5">
      <c r="D2354" s="478" t="s">
        <v>6220</v>
      </c>
    </row>
    <row r="2355" spans="2:5">
      <c r="D2355" s="478" t="s">
        <v>6221</v>
      </c>
    </row>
    <row r="2356" spans="2:5">
      <c r="C2356" s="478" t="s">
        <v>6222</v>
      </c>
    </row>
    <row r="2357" spans="2:5">
      <c r="D2357" s="478" t="s">
        <v>2032</v>
      </c>
    </row>
    <row r="2358" spans="2:5">
      <c r="C2358" s="478" t="s">
        <v>2376</v>
      </c>
    </row>
    <row r="2359" spans="2:5">
      <c r="D2359" s="478" t="s">
        <v>6223</v>
      </c>
    </row>
    <row r="2360" spans="2:5">
      <c r="D2360" s="478" t="s">
        <v>6224</v>
      </c>
    </row>
    <row r="2361" spans="2:5">
      <c r="E2361" s="478" t="s">
        <v>6225</v>
      </c>
    </row>
    <row r="2362" spans="2:5">
      <c r="D2362" s="478" t="s">
        <v>6226</v>
      </c>
    </row>
    <row r="2363" spans="2:5">
      <c r="B2363" s="478" t="s">
        <v>6227</v>
      </c>
    </row>
    <row r="2364" spans="2:5">
      <c r="C2364" s="478" t="s">
        <v>6228</v>
      </c>
    </row>
    <row r="2365" spans="2:5">
      <c r="B2365" s="478" t="s">
        <v>4171</v>
      </c>
    </row>
    <row r="2366" spans="2:5">
      <c r="C2366" s="478" t="s">
        <v>6229</v>
      </c>
    </row>
    <row r="2367" spans="2:5">
      <c r="C2367" s="478"/>
      <c r="D2367" s="478" t="s">
        <v>6231</v>
      </c>
    </row>
    <row r="2368" spans="2:5">
      <c r="D2368" s="478" t="s">
        <v>6230</v>
      </c>
    </row>
    <row r="2369" spans="2:5">
      <c r="B2369" s="478" t="s">
        <v>1719</v>
      </c>
    </row>
    <row r="2370" spans="2:5">
      <c r="B2370" s="478"/>
      <c r="C2370" s="478" t="s">
        <v>6236</v>
      </c>
    </row>
    <row r="2371" spans="2:5">
      <c r="B2371" s="478"/>
      <c r="C2371" s="478" t="s">
        <v>6237</v>
      </c>
    </row>
    <row r="2372" spans="2:5">
      <c r="C2372" s="478" t="s">
        <v>6232</v>
      </c>
    </row>
    <row r="2373" spans="2:5">
      <c r="D2373" s="478" t="s">
        <v>6233</v>
      </c>
    </row>
    <row r="2374" spans="2:5">
      <c r="D2374" s="478" t="s">
        <v>6234</v>
      </c>
    </row>
    <row r="2375" spans="2:5">
      <c r="E2375" s="478" t="s">
        <v>6235</v>
      </c>
    </row>
    <row r="2376" spans="2:5">
      <c r="B2376" s="478" t="s">
        <v>2032</v>
      </c>
    </row>
    <row r="2377" spans="2:5">
      <c r="C2377" s="478" t="s">
        <v>6238</v>
      </c>
    </row>
    <row r="2378" spans="2:5">
      <c r="D2378" s="478" t="s">
        <v>2032</v>
      </c>
      <c r="E2378" s="478" t="s">
        <v>6240</v>
      </c>
    </row>
    <row r="2379" spans="2:5">
      <c r="D2379" s="478" t="s">
        <v>1665</v>
      </c>
      <c r="E2379" s="478" t="s">
        <v>6239</v>
      </c>
    </row>
    <row r="2380" spans="2:5">
      <c r="D2380" s="478" t="s">
        <v>2172</v>
      </c>
      <c r="E2380" s="478" t="s">
        <v>6241</v>
      </c>
    </row>
    <row r="2381" spans="2:5">
      <c r="B2381" s="478" t="s">
        <v>2991</v>
      </c>
      <c r="C2381" s="478" t="s">
        <v>6256</v>
      </c>
    </row>
    <row r="2382" spans="2:5">
      <c r="C2382" s="478" t="s">
        <v>6255</v>
      </c>
    </row>
    <row r="2383" spans="2:5">
      <c r="C2383" s="478" t="s">
        <v>6257</v>
      </c>
    </row>
    <row r="2384" spans="2:5">
      <c r="C2384" s="478"/>
    </row>
    <row r="2390" spans="2:4">
      <c r="B2390" s="478"/>
    </row>
    <row r="2391" spans="2:4">
      <c r="B2391" s="478" t="s">
        <v>6283</v>
      </c>
    </row>
    <row r="2392" spans="2:4">
      <c r="B2392" s="478" t="s">
        <v>6282</v>
      </c>
    </row>
    <row r="2393" spans="2:4">
      <c r="B2393" s="478" t="s">
        <v>6281</v>
      </c>
    </row>
    <row r="2394" spans="2:4">
      <c r="B2394" s="478"/>
    </row>
    <row r="2395" spans="2:4">
      <c r="B2395" s="478" t="s">
        <v>6284</v>
      </c>
    </row>
    <row r="2396" spans="2:4">
      <c r="B2396" s="478" t="s">
        <v>6285</v>
      </c>
      <c r="C2396" s="478" t="s">
        <v>6286</v>
      </c>
    </row>
    <row r="2397" spans="2:4">
      <c r="B2397" s="478"/>
      <c r="C2397" s="478" t="s">
        <v>6287</v>
      </c>
    </row>
    <row r="2398" spans="2:4">
      <c r="B2398" s="478"/>
      <c r="C2398" s="478" t="s">
        <v>6288</v>
      </c>
    </row>
    <row r="2399" spans="2:4">
      <c r="B2399" s="478"/>
      <c r="D2399" s="478" t="s">
        <v>6289</v>
      </c>
    </row>
    <row r="2400" spans="2:4">
      <c r="B2400" s="478"/>
      <c r="D2400" s="478" t="s">
        <v>6290</v>
      </c>
    </row>
    <row r="2401" spans="2:8">
      <c r="B2401" s="478"/>
      <c r="C2401" s="478" t="s">
        <v>27</v>
      </c>
    </row>
    <row r="2402" spans="2:8">
      <c r="B2402" s="478"/>
      <c r="D2402" s="478" t="s">
        <v>6291</v>
      </c>
    </row>
    <row r="2403" spans="2:8">
      <c r="B2403" s="478"/>
      <c r="C2403" s="478" t="s">
        <v>6292</v>
      </c>
    </row>
    <row r="2404" spans="2:8">
      <c r="B2404" s="478"/>
      <c r="C2404" s="478" t="s">
        <v>6293</v>
      </c>
    </row>
    <row r="2405" spans="2:8">
      <c r="B2405" s="478"/>
      <c r="D2405" s="478" t="s">
        <v>6294</v>
      </c>
    </row>
    <row r="2406" spans="2:8">
      <c r="B2406" s="478"/>
    </row>
    <row r="2407" spans="2:8">
      <c r="B2407" s="627" t="s">
        <v>396</v>
      </c>
    </row>
    <row r="2409" spans="2:8">
      <c r="B2409" s="478" t="s">
        <v>3368</v>
      </c>
      <c r="C2409" s="478" t="s">
        <v>6320</v>
      </c>
    </row>
    <row r="2410" spans="2:8">
      <c r="C2410" s="478" t="s">
        <v>6321</v>
      </c>
    </row>
    <row r="2411" spans="2:8">
      <c r="B2411" s="478"/>
      <c r="C2411" s="478"/>
      <c r="D2411" s="478" t="s">
        <v>6305</v>
      </c>
    </row>
    <row r="2412" spans="2:8">
      <c r="B2412" s="478"/>
      <c r="C2412" s="478" t="s">
        <v>6312</v>
      </c>
      <c r="D2412" s="478"/>
    </row>
    <row r="2413" spans="2:8">
      <c r="B2413" s="478"/>
      <c r="C2413" s="478"/>
      <c r="D2413" s="478"/>
      <c r="F2413" s="1166">
        <v>2019</v>
      </c>
      <c r="G2413" s="1166">
        <v>2018</v>
      </c>
      <c r="H2413" s="1166">
        <v>2017</v>
      </c>
    </row>
    <row r="2414" spans="2:8">
      <c r="B2414" s="478"/>
      <c r="C2414" s="478"/>
      <c r="D2414" s="478" t="s">
        <v>6313</v>
      </c>
      <c r="F2414">
        <v>209</v>
      </c>
      <c r="G2414">
        <v>173</v>
      </c>
      <c r="H2414">
        <v>181</v>
      </c>
    </row>
    <row r="2415" spans="2:8">
      <c r="B2415" s="478"/>
      <c r="C2415" s="478"/>
      <c r="D2415" s="478" t="s">
        <v>6314</v>
      </c>
      <c r="F2415">
        <v>306</v>
      </c>
      <c r="G2415">
        <v>284</v>
      </c>
      <c r="H2415">
        <v>277</v>
      </c>
    </row>
    <row r="2416" spans="2:8">
      <c r="B2416" s="478"/>
      <c r="C2416" s="478"/>
      <c r="D2416" s="478"/>
    </row>
    <row r="2417" spans="2:4">
      <c r="B2417" s="478" t="s">
        <v>6311</v>
      </c>
      <c r="C2417" s="478" t="s">
        <v>6322</v>
      </c>
      <c r="D2417" s="478"/>
    </row>
    <row r="2418" spans="2:4">
      <c r="C2418" s="478" t="s">
        <v>6309</v>
      </c>
    </row>
    <row r="2419" spans="2:4">
      <c r="B2419" s="478"/>
      <c r="C2419" s="478"/>
      <c r="D2419" s="478" t="s">
        <v>6304</v>
      </c>
    </row>
    <row r="2420" spans="2:4">
      <c r="B2420" s="478" t="s">
        <v>1665</v>
      </c>
      <c r="C2420" s="478"/>
      <c r="D2420" s="478"/>
    </row>
    <row r="2421" spans="2:4">
      <c r="B2421" s="478"/>
      <c r="C2421" s="478" t="s">
        <v>6325</v>
      </c>
      <c r="D2421" s="478"/>
    </row>
    <row r="2422" spans="2:4">
      <c r="B2422" s="478"/>
      <c r="C2422" s="478" t="s">
        <v>6326</v>
      </c>
      <c r="D2422" s="478"/>
    </row>
    <row r="2423" spans="2:4">
      <c r="B2423" s="478" t="s">
        <v>6323</v>
      </c>
      <c r="C2423" s="478"/>
      <c r="D2423" s="478"/>
    </row>
    <row r="2424" spans="2:4">
      <c r="C2424" s="499" t="s">
        <v>6307</v>
      </c>
      <c r="D2424" s="478"/>
    </row>
    <row r="2425" spans="2:4">
      <c r="C2425" s="478" t="s">
        <v>6301</v>
      </c>
    </row>
    <row r="2426" spans="2:4">
      <c r="C2426" s="478" t="s">
        <v>6302</v>
      </c>
    </row>
    <row r="2427" spans="2:4">
      <c r="C2427" s="499" t="s">
        <v>1665</v>
      </c>
    </row>
    <row r="2428" spans="2:4">
      <c r="C2428" s="478" t="s">
        <v>6308</v>
      </c>
    </row>
    <row r="2429" spans="2:4">
      <c r="C2429" s="478"/>
    </row>
    <row r="2430" spans="2:4">
      <c r="B2430" s="499" t="s">
        <v>6324</v>
      </c>
    </row>
    <row r="2431" spans="2:4">
      <c r="B2431" s="499"/>
    </row>
    <row r="2432" spans="2:4">
      <c r="B2432" s="769">
        <v>2005</v>
      </c>
    </row>
    <row r="2433" spans="2:4">
      <c r="C2433" s="478" t="s">
        <v>6315</v>
      </c>
    </row>
    <row r="2434" spans="2:4">
      <c r="C2434" s="478" t="s">
        <v>6310</v>
      </c>
    </row>
    <row r="2435" spans="2:4">
      <c r="B2435" s="769" t="s">
        <v>6317</v>
      </c>
      <c r="C2435" s="478"/>
    </row>
    <row r="2436" spans="2:4">
      <c r="C2436" s="478" t="s">
        <v>6316</v>
      </c>
    </row>
    <row r="2437" spans="2:4">
      <c r="C2437" s="478"/>
      <c r="D2437" s="478" t="s">
        <v>6318</v>
      </c>
    </row>
    <row r="2438" spans="2:4">
      <c r="C2438" s="478"/>
      <c r="D2438" s="478" t="s">
        <v>6319</v>
      </c>
    </row>
    <row r="2439" spans="2:4">
      <c r="B2439" s="988">
        <v>40360</v>
      </c>
    </row>
    <row r="2440" spans="2:4">
      <c r="C2440" s="478" t="s">
        <v>6297</v>
      </c>
    </row>
    <row r="2441" spans="2:4">
      <c r="C2441" s="478" t="s">
        <v>6303</v>
      </c>
    </row>
    <row r="2443" spans="2:4">
      <c r="B2443" s="988">
        <v>41640</v>
      </c>
      <c r="C2443" s="478" t="s">
        <v>6300</v>
      </c>
    </row>
    <row r="2444" spans="2:4">
      <c r="B2444" s="478"/>
      <c r="C2444" s="478"/>
      <c r="D2444" s="478" t="s">
        <v>6306</v>
      </c>
    </row>
    <row r="2445" spans="2:4">
      <c r="B2445" s="478"/>
      <c r="C2445" s="478" t="s">
        <v>6280</v>
      </c>
    </row>
    <row r="2446" spans="2:4">
      <c r="B2446" s="478"/>
      <c r="C2446" s="478" t="s">
        <v>6296</v>
      </c>
    </row>
    <row r="2447" spans="2:4">
      <c r="B2447" s="988">
        <v>42339</v>
      </c>
    </row>
    <row r="2448" spans="2:4">
      <c r="B2448" s="988"/>
      <c r="C2448" s="478" t="s">
        <v>6298</v>
      </c>
    </row>
    <row r="2449" spans="2:5">
      <c r="B2449" s="478"/>
      <c r="C2449" s="478" t="s">
        <v>6299</v>
      </c>
    </row>
    <row r="2450" spans="2:5">
      <c r="B2450" s="478"/>
    </row>
    <row r="2451" spans="2:5">
      <c r="B2451" s="627" t="s">
        <v>5797</v>
      </c>
    </row>
    <row r="2452" spans="2:5">
      <c r="B2452" s="478"/>
    </row>
    <row r="2453" spans="2:5">
      <c r="B2453" s="478" t="s">
        <v>6337</v>
      </c>
    </row>
    <row r="2454" spans="2:5">
      <c r="B2454" s="478"/>
    </row>
    <row r="2455" spans="2:5">
      <c r="B2455" s="478" t="s">
        <v>6336</v>
      </c>
    </row>
    <row r="2456" spans="2:5">
      <c r="B2456" s="478"/>
    </row>
    <row r="2457" spans="2:5">
      <c r="B2457" s="450"/>
      <c r="C2457" s="450" t="s">
        <v>6398</v>
      </c>
      <c r="D2457" s="450"/>
      <c r="E2457" s="450"/>
    </row>
    <row r="2458" spans="2:5">
      <c r="B2458" s="451"/>
      <c r="C2458" s="560" t="s">
        <v>6399</v>
      </c>
      <c r="D2458" s="560" t="s">
        <v>6400</v>
      </c>
      <c r="E2458" s="560" t="s">
        <v>6401</v>
      </c>
    </row>
    <row r="2459" spans="2:5">
      <c r="B2459" s="478" t="s">
        <v>1665</v>
      </c>
      <c r="C2459" s="506" t="str">
        <f>Analysis!C4567</f>
        <v>late March</v>
      </c>
      <c r="D2459" s="506" t="s">
        <v>6406</v>
      </c>
      <c r="E2459" s="506" t="s">
        <v>6350</v>
      </c>
    </row>
    <row r="2460" spans="2:5">
      <c r="C2460" s="493"/>
      <c r="D2460" s="493"/>
      <c r="E2460" s="506" t="s">
        <v>6344</v>
      </c>
    </row>
    <row r="2461" spans="2:5">
      <c r="B2461" s="478"/>
      <c r="C2461" s="493"/>
      <c r="D2461" s="493"/>
      <c r="E2461" s="506"/>
    </row>
    <row r="2462" spans="2:5">
      <c r="B2462" s="478" t="s">
        <v>2378</v>
      </c>
      <c r="C2462" s="506" t="str">
        <f>Analysis!C4568</f>
        <v>Mar-20th</v>
      </c>
      <c r="D2462" s="506" t="s">
        <v>6407</v>
      </c>
      <c r="E2462" s="506" t="s">
        <v>6342</v>
      </c>
    </row>
    <row r="2463" spans="2:5">
      <c r="C2463" s="493"/>
      <c r="D2463" s="493"/>
      <c r="E2463" s="506" t="s">
        <v>6341</v>
      </c>
    </row>
    <row r="2464" spans="2:5">
      <c r="B2464" s="478"/>
      <c r="C2464" s="493"/>
      <c r="D2464" s="493"/>
      <c r="E2464" s="506" t="s">
        <v>6343</v>
      </c>
    </row>
    <row r="2465" spans="2:5">
      <c r="B2465" s="478"/>
      <c r="C2465" s="493"/>
      <c r="D2465" s="493"/>
      <c r="E2465" s="506"/>
    </row>
    <row r="2466" spans="2:5">
      <c r="B2466" s="478" t="s">
        <v>2377</v>
      </c>
      <c r="C2466" s="506" t="str">
        <f>Analysis!C4569</f>
        <v>Mar-25th</v>
      </c>
      <c r="D2466" s="506" t="s">
        <v>6408</v>
      </c>
      <c r="E2466" s="506" t="s">
        <v>6402</v>
      </c>
    </row>
    <row r="2467" spans="2:5">
      <c r="B2467" s="478"/>
      <c r="C2467" s="493"/>
      <c r="D2467" s="493"/>
      <c r="E2467" s="506" t="s">
        <v>6350</v>
      </c>
    </row>
    <row r="2468" spans="2:5">
      <c r="C2468" s="493"/>
      <c r="D2468" s="493"/>
      <c r="E2468" s="506" t="s">
        <v>6351</v>
      </c>
    </row>
    <row r="2469" spans="2:5">
      <c r="B2469" s="478"/>
      <c r="C2469" s="493"/>
      <c r="D2469" s="493"/>
      <c r="E2469" s="506" t="s">
        <v>6414</v>
      </c>
    </row>
    <row r="2470" spans="2:5">
      <c r="B2470" s="478"/>
      <c r="C2470" s="493"/>
      <c r="D2470" s="493"/>
      <c r="E2470" s="506" t="s">
        <v>6403</v>
      </c>
    </row>
    <row r="2471" spans="2:5">
      <c r="B2471" s="478"/>
      <c r="C2471" s="493"/>
      <c r="D2471" s="493"/>
      <c r="E2471" s="493"/>
    </row>
    <row r="2472" spans="2:5">
      <c r="B2472" s="478" t="s">
        <v>2379</v>
      </c>
      <c r="C2472" s="506" t="s">
        <v>6410</v>
      </c>
      <c r="D2472" s="506" t="s">
        <v>6409</v>
      </c>
      <c r="E2472" s="506" t="s">
        <v>6345</v>
      </c>
    </row>
    <row r="2473" spans="2:5">
      <c r="C2473" s="506" t="s">
        <v>6404</v>
      </c>
      <c r="D2473" s="493"/>
      <c r="E2473" s="506" t="s">
        <v>6346</v>
      </c>
    </row>
    <row r="2474" spans="2:5">
      <c r="C2474" s="506" t="s">
        <v>6405</v>
      </c>
      <c r="D2474" s="493"/>
      <c r="E2474" s="493"/>
    </row>
    <row r="2475" spans="2:5">
      <c r="B2475" s="478"/>
      <c r="C2475" s="493"/>
      <c r="D2475" s="493"/>
      <c r="E2475" s="493"/>
    </row>
    <row r="2476" spans="2:5">
      <c r="B2476" s="478" t="s">
        <v>2380</v>
      </c>
      <c r="C2476" s="506" t="s">
        <v>6347</v>
      </c>
      <c r="D2476" s="506" t="s">
        <v>6407</v>
      </c>
      <c r="E2476" s="506" t="s">
        <v>6402</v>
      </c>
    </row>
    <row r="2477" spans="2:5">
      <c r="C2477" s="493"/>
      <c r="D2477" s="493"/>
      <c r="E2477" s="506" t="s">
        <v>6348</v>
      </c>
    </row>
    <row r="2478" spans="2:5">
      <c r="B2478" s="478"/>
      <c r="C2478" s="493"/>
      <c r="D2478" s="493"/>
      <c r="E2478" s="493"/>
    </row>
    <row r="2479" spans="2:5">
      <c r="B2479" s="478" t="s">
        <v>2032</v>
      </c>
      <c r="C2479" s="506" t="s">
        <v>6340</v>
      </c>
      <c r="D2479" s="506" t="s">
        <v>6411</v>
      </c>
      <c r="E2479" s="506" t="s">
        <v>6349</v>
      </c>
    </row>
    <row r="2480" spans="2:5">
      <c r="C2480" s="493"/>
      <c r="D2480" s="493"/>
      <c r="E2480" s="506" t="s">
        <v>6351</v>
      </c>
    </row>
    <row r="2481" spans="2:5">
      <c r="B2481" s="478"/>
      <c r="C2481" s="493"/>
      <c r="D2481" s="493"/>
      <c r="E2481" s="506" t="s">
        <v>6352</v>
      </c>
    </row>
    <row r="2482" spans="2:5">
      <c r="B2482" s="478"/>
      <c r="C2482" s="493"/>
      <c r="D2482" s="493"/>
    </row>
    <row r="2483" spans="2:5">
      <c r="B2483" s="478" t="s">
        <v>2376</v>
      </c>
      <c r="C2483" s="506" t="s">
        <v>6340</v>
      </c>
      <c r="D2483" s="506" t="s">
        <v>6412</v>
      </c>
      <c r="E2483" s="506" t="s">
        <v>6353</v>
      </c>
    </row>
    <row r="2484" spans="2:5">
      <c r="E2484" s="506" t="s">
        <v>6413</v>
      </c>
    </row>
    <row r="2485" spans="2:5">
      <c r="B2485" s="487"/>
      <c r="C2485" s="455"/>
      <c r="D2485" s="455"/>
      <c r="E2485" s="508" t="s">
        <v>6354</v>
      </c>
    </row>
    <row r="2486" spans="2:5">
      <c r="B2486" s="478"/>
    </row>
    <row r="2487" spans="2:5">
      <c r="B2487" s="499" t="s">
        <v>1877</v>
      </c>
    </row>
    <row r="2489" spans="2:5">
      <c r="B2489" s="478" t="s">
        <v>6359</v>
      </c>
    </row>
    <row r="2490" spans="2:5">
      <c r="B2490" s="478" t="s">
        <v>6360</v>
      </c>
    </row>
    <row r="2492" spans="2:5">
      <c r="B2492" s="478" t="s">
        <v>6355</v>
      </c>
    </row>
    <row r="2494" spans="2:5">
      <c r="B2494" s="478" t="s">
        <v>6358</v>
      </c>
    </row>
    <row r="2495" spans="2:5">
      <c r="C2495" s="478" t="s">
        <v>6356</v>
      </c>
    </row>
    <row r="2496" spans="2:5">
      <c r="C2496" s="478" t="s">
        <v>6357</v>
      </c>
    </row>
    <row r="2498" spans="2:4">
      <c r="B2498" s="478" t="s">
        <v>6361</v>
      </c>
    </row>
    <row r="2500" spans="2:4">
      <c r="B2500" s="478" t="s">
        <v>6362</v>
      </c>
    </row>
    <row r="2501" spans="2:4">
      <c r="C2501" s="478" t="s">
        <v>6363</v>
      </c>
    </row>
    <row r="2503" spans="2:4">
      <c r="B2503" s="627" t="s">
        <v>6387</v>
      </c>
    </row>
    <row r="2504" spans="2:4">
      <c r="B2504" s="499"/>
    </row>
    <row r="2505" spans="2:4">
      <c r="B2505" s="478" t="s">
        <v>6367</v>
      </c>
    </row>
    <row r="2506" spans="2:4">
      <c r="C2506" s="478" t="s">
        <v>6364</v>
      </c>
    </row>
    <row r="2507" spans="2:4">
      <c r="C2507" s="478" t="s">
        <v>6366</v>
      </c>
    </row>
    <row r="2508" spans="2:4">
      <c r="C2508" s="478" t="s">
        <v>6365</v>
      </c>
    </row>
    <row r="2509" spans="2:4">
      <c r="B2509" s="478" t="s">
        <v>6373</v>
      </c>
    </row>
    <row r="2510" spans="2:4">
      <c r="B2510" s="478"/>
      <c r="C2510" s="454">
        <f>(0.065*'New split'!I65)/12</f>
        <v>29.847089999999998</v>
      </c>
      <c r="D2510" s="478" t="s">
        <v>6374</v>
      </c>
    </row>
    <row r="2511" spans="2:4">
      <c r="B2511" s="478"/>
      <c r="C2511" s="1171" t="s">
        <v>6376</v>
      </c>
      <c r="D2511" s="478" t="s">
        <v>6377</v>
      </c>
    </row>
    <row r="2512" spans="2:4">
      <c r="B2512" s="478" t="s">
        <v>1545</v>
      </c>
      <c r="C2512" s="1171"/>
      <c r="D2512" s="478"/>
    </row>
    <row r="2513" spans="2:4">
      <c r="B2513" s="478"/>
      <c r="C2513" s="1172" t="s">
        <v>6379</v>
      </c>
      <c r="D2513" s="478"/>
    </row>
    <row r="2514" spans="2:4">
      <c r="B2514" s="478"/>
      <c r="C2514" s="1172" t="s">
        <v>6378</v>
      </c>
      <c r="D2514" s="478"/>
    </row>
    <row r="2515" spans="2:4">
      <c r="B2515" s="478" t="s">
        <v>6380</v>
      </c>
      <c r="C2515" s="1172"/>
      <c r="D2515" s="478"/>
    </row>
    <row r="2516" spans="2:4">
      <c r="B2516" s="478"/>
      <c r="C2516" s="1172" t="s">
        <v>6382</v>
      </c>
      <c r="D2516" s="478"/>
    </row>
    <row r="2517" spans="2:4">
      <c r="B2517" s="478"/>
      <c r="C2517" s="1172" t="s">
        <v>6381</v>
      </c>
      <c r="D2517" s="478"/>
    </row>
    <row r="2518" spans="2:4">
      <c r="B2518" s="478" t="s">
        <v>6368</v>
      </c>
    </row>
    <row r="2520" spans="2:4">
      <c r="B2520" s="478" t="s">
        <v>2172</v>
      </c>
    </row>
    <row r="2521" spans="2:4">
      <c r="C2521" s="478" t="s">
        <v>6375</v>
      </c>
    </row>
    <row r="2523" spans="2:4">
      <c r="B2523" s="499" t="s">
        <v>6369</v>
      </c>
    </row>
    <row r="2524" spans="2:4">
      <c r="B2524" s="478" t="s">
        <v>6370</v>
      </c>
    </row>
    <row r="2526" spans="2:4">
      <c r="B2526" s="478" t="s">
        <v>6371</v>
      </c>
    </row>
    <row r="2527" spans="2:4">
      <c r="B2527" s="478" t="s">
        <v>6372</v>
      </c>
    </row>
    <row r="2529" spans="2:4">
      <c r="B2529" s="478" t="s">
        <v>6383</v>
      </c>
    </row>
    <row r="2531" spans="2:4">
      <c r="B2531" s="478" t="s">
        <v>6384</v>
      </c>
    </row>
    <row r="2532" spans="2:4">
      <c r="C2532" s="456">
        <f>250/Master!V14</f>
        <v>9.8039215686274508E-2</v>
      </c>
    </row>
    <row r="2533" spans="2:4">
      <c r="B2533" s="478" t="s">
        <v>6385</v>
      </c>
    </row>
    <row r="2534" spans="2:4">
      <c r="C2534" s="478" t="s">
        <v>6386</v>
      </c>
    </row>
    <row r="2536" spans="2:4">
      <c r="B2536" s="478" t="s">
        <v>1665</v>
      </c>
    </row>
    <row r="2537" spans="2:4">
      <c r="C2537" s="478" t="s">
        <v>6388</v>
      </c>
    </row>
    <row r="2538" spans="2:4">
      <c r="D2538" s="478" t="s">
        <v>6389</v>
      </c>
    </row>
    <row r="2539" spans="2:4">
      <c r="C2539" s="478" t="s">
        <v>6390</v>
      </c>
    </row>
    <row r="2541" spans="2:4">
      <c r="B2541" s="478" t="s">
        <v>6392</v>
      </c>
    </row>
    <row r="2542" spans="2:4">
      <c r="B2542" s="478" t="s">
        <v>6391</v>
      </c>
    </row>
    <row r="2544" spans="2:4">
      <c r="B2544" s="478" t="s">
        <v>6393</v>
      </c>
    </row>
    <row r="2546" spans="2:3">
      <c r="B2546" s="499" t="s">
        <v>6447</v>
      </c>
    </row>
    <row r="2547" spans="2:3">
      <c r="B2547" t="s">
        <v>6440</v>
      </c>
    </row>
    <row r="2548" spans="2:3">
      <c r="C2548" t="s">
        <v>6441</v>
      </c>
    </row>
    <row r="2549" spans="2:3">
      <c r="C2549" t="s">
        <v>6442</v>
      </c>
    </row>
    <row r="2550" spans="2:3">
      <c r="B2550" t="s">
        <v>6443</v>
      </c>
    </row>
    <row r="2551" spans="2:3">
      <c r="C2551" t="s">
        <v>6444</v>
      </c>
    </row>
    <row r="2552" spans="2:3">
      <c r="B2552" t="s">
        <v>6445</v>
      </c>
    </row>
    <row r="2553" spans="2:3">
      <c r="B2553" t="s">
        <v>6446</v>
      </c>
    </row>
    <row r="2555" spans="2:3">
      <c r="B2555" s="478" t="s">
        <v>6448</v>
      </c>
    </row>
    <row r="2557" spans="2:3">
      <c r="B2557" s="478" t="s">
        <v>6449</v>
      </c>
    </row>
    <row r="2559" spans="2:3">
      <c r="B2559" s="478" t="s">
        <v>6450</v>
      </c>
    </row>
    <row r="2560" spans="2:3">
      <c r="C2560" s="478" t="s">
        <v>6451</v>
      </c>
    </row>
    <row r="2561" spans="2:4">
      <c r="C2561" s="478" t="s">
        <v>6461</v>
      </c>
    </row>
    <row r="2562" spans="2:4">
      <c r="C2562" s="478"/>
      <c r="D2562" s="478" t="s">
        <v>6462</v>
      </c>
    </row>
    <row r="2563" spans="2:4">
      <c r="C2563" s="478"/>
    </row>
    <row r="2564" spans="2:4">
      <c r="B2564" s="478" t="s">
        <v>6452</v>
      </c>
    </row>
    <row r="2565" spans="2:4">
      <c r="C2565" s="478" t="s">
        <v>6453</v>
      </c>
    </row>
    <row r="2566" spans="2:4">
      <c r="D2566" s="478" t="s">
        <v>6454</v>
      </c>
    </row>
    <row r="2567" spans="2:4">
      <c r="C2567" s="478" t="s">
        <v>6457</v>
      </c>
      <c r="D2567" s="478" t="s">
        <v>6455</v>
      </c>
    </row>
    <row r="2568" spans="2:4">
      <c r="C2568" s="478" t="s">
        <v>4498</v>
      </c>
    </row>
    <row r="2569" spans="2:4">
      <c r="D2569" s="478" t="s">
        <v>6456</v>
      </c>
    </row>
    <row r="2570" spans="2:4">
      <c r="B2570" s="478" t="s">
        <v>6458</v>
      </c>
    </row>
    <row r="2571" spans="2:4">
      <c r="C2571" s="478" t="s">
        <v>6459</v>
      </c>
    </row>
    <row r="2572" spans="2:4">
      <c r="C2572" s="478" t="s">
        <v>6460</v>
      </c>
    </row>
    <row r="2573" spans="2:4">
      <c r="C2573" s="478"/>
    </row>
    <row r="2574" spans="2:4">
      <c r="B2574" s="627" t="s">
        <v>6464</v>
      </c>
    </row>
    <row r="2575" spans="2:4">
      <c r="B2575" s="478" t="s">
        <v>6468</v>
      </c>
    </row>
    <row r="2576" spans="2:4">
      <c r="B2576" s="478" t="s">
        <v>6463</v>
      </c>
    </row>
    <row r="2577" spans="2:3">
      <c r="C2577" s="478" t="s">
        <v>6465</v>
      </c>
    </row>
    <row r="2578" spans="2:3">
      <c r="B2578" s="478" t="s">
        <v>6466</v>
      </c>
    </row>
    <row r="2579" spans="2:3">
      <c r="B2579" s="478" t="s">
        <v>6467</v>
      </c>
    </row>
    <row r="2581" spans="2:3">
      <c r="B2581" s="478" t="s">
        <v>6469</v>
      </c>
    </row>
    <row r="2582" spans="2:3">
      <c r="C2582" s="478" t="s">
        <v>6470</v>
      </c>
    </row>
    <row r="2583" spans="2:3">
      <c r="C2583" s="478" t="s">
        <v>6471</v>
      </c>
    </row>
    <row r="2584" spans="2:3">
      <c r="C2584" s="478"/>
    </row>
    <row r="2585" spans="2:3">
      <c r="B2585" s="478" t="s">
        <v>6476</v>
      </c>
      <c r="C2585" s="478"/>
    </row>
    <row r="2586" spans="2:3">
      <c r="B2586" s="478" t="s">
        <v>6475</v>
      </c>
      <c r="C2586" s="478"/>
    </row>
    <row r="2587" spans="2:3">
      <c r="B2587" s="478" t="s">
        <v>6477</v>
      </c>
      <c r="C2587" s="478"/>
    </row>
    <row r="2588" spans="2:3">
      <c r="C2588" s="478"/>
    </row>
    <row r="2589" spans="2:3">
      <c r="B2589" s="478" t="s">
        <v>2377</v>
      </c>
    </row>
    <row r="2590" spans="2:3">
      <c r="C2590" s="478" t="s">
        <v>6472</v>
      </c>
    </row>
    <row r="2591" spans="2:3">
      <c r="C2591" s="478" t="s">
        <v>6474</v>
      </c>
    </row>
    <row r="2592" spans="2:3">
      <c r="B2592" s="478" t="s">
        <v>2376</v>
      </c>
    </row>
    <row r="2593" spans="2:4">
      <c r="C2593" s="478" t="s">
        <v>6473</v>
      </c>
    </row>
    <row r="2594" spans="2:4">
      <c r="C2594" s="478" t="s">
        <v>6478</v>
      </c>
    </row>
    <row r="2595" spans="2:4">
      <c r="C2595" s="478"/>
      <c r="D2595" s="478" t="s">
        <v>6480</v>
      </c>
    </row>
    <row r="2596" spans="2:4">
      <c r="D2596" s="478" t="s">
        <v>6479</v>
      </c>
    </row>
    <row r="2597" spans="2:4">
      <c r="C2597" s="478" t="s">
        <v>6481</v>
      </c>
    </row>
    <row r="2598" spans="2:4">
      <c r="B2598" s="478" t="s">
        <v>1665</v>
      </c>
    </row>
    <row r="2599" spans="2:4">
      <c r="C2599" s="478" t="s">
        <v>6482</v>
      </c>
    </row>
    <row r="2600" spans="2:4">
      <c r="D2600" s="478" t="s">
        <v>6483</v>
      </c>
    </row>
    <row r="2601" spans="2:4">
      <c r="D2601" s="478" t="s">
        <v>6484</v>
      </c>
    </row>
    <row r="2602" spans="2:4">
      <c r="C2602" s="478" t="s">
        <v>6485</v>
      </c>
    </row>
    <row r="2603" spans="2:4">
      <c r="C2603" s="478" t="s">
        <v>6486</v>
      </c>
    </row>
    <row r="2605" spans="2:4">
      <c r="C2605" s="478" t="s">
        <v>6487</v>
      </c>
    </row>
    <row r="2606" spans="2:4">
      <c r="C2606" s="478" t="s">
        <v>6488</v>
      </c>
    </row>
    <row r="2608" spans="2:4">
      <c r="C2608" s="478" t="s">
        <v>6489</v>
      </c>
    </row>
    <row r="2609" spans="3:5">
      <c r="D2609" s="478" t="s">
        <v>6492</v>
      </c>
    </row>
    <row r="2610" spans="3:5">
      <c r="D2610" s="478" t="s">
        <v>6490</v>
      </c>
      <c r="E2610" s="478" t="s">
        <v>6491</v>
      </c>
    </row>
    <row r="2611" spans="3:5">
      <c r="C2611" s="478" t="s">
        <v>6493</v>
      </c>
    </row>
    <row r="2612" spans="3:5">
      <c r="E2612" s="478" t="s">
        <v>6494</v>
      </c>
    </row>
    <row r="2613" spans="3:5">
      <c r="D2613" s="478" t="s">
        <v>6495</v>
      </c>
    </row>
    <row r="2614" spans="3:5">
      <c r="E2614" s="478" t="s">
        <v>6496</v>
      </c>
    </row>
    <row r="2615" spans="3:5">
      <c r="E2615" s="478" t="s">
        <v>6497</v>
      </c>
    </row>
    <row r="2616" spans="3:5">
      <c r="C2616" s="478" t="s">
        <v>6498</v>
      </c>
    </row>
    <row r="2618" spans="3:5">
      <c r="C2618" s="478" t="s">
        <v>6499</v>
      </c>
    </row>
    <row r="2619" spans="3:5">
      <c r="D2619" s="478" t="s">
        <v>6500</v>
      </c>
    </row>
    <row r="2620" spans="3:5">
      <c r="D2620" s="478" t="s">
        <v>6501</v>
      </c>
    </row>
    <row r="2621" spans="3:5">
      <c r="E2621" s="478" t="s">
        <v>6502</v>
      </c>
    </row>
    <row r="2622" spans="3:5">
      <c r="E2622" s="478" t="s">
        <v>6504</v>
      </c>
    </row>
    <row r="2623" spans="3:5">
      <c r="D2623" s="478" t="s">
        <v>6503</v>
      </c>
    </row>
    <row r="2625" spans="2:4">
      <c r="B2625" s="499" t="s">
        <v>6507</v>
      </c>
    </row>
    <row r="2627" spans="2:4">
      <c r="B2627" s="478" t="s">
        <v>6523</v>
      </c>
    </row>
    <row r="2628" spans="2:4">
      <c r="B2628" s="478"/>
    </row>
    <row r="2629" spans="2:4">
      <c r="B2629" s="478" t="s">
        <v>6511</v>
      </c>
    </row>
    <row r="2630" spans="2:4">
      <c r="B2630" s="478"/>
    </row>
    <row r="2631" spans="2:4">
      <c r="B2631" s="478" t="s">
        <v>6533</v>
      </c>
    </row>
    <row r="2632" spans="2:4">
      <c r="B2632" s="478"/>
      <c r="C2632" s="478" t="s">
        <v>6536</v>
      </c>
    </row>
    <row r="2633" spans="2:4">
      <c r="B2633" s="478"/>
      <c r="C2633" s="478" t="s">
        <v>6534</v>
      </c>
    </row>
    <row r="2634" spans="2:4">
      <c r="B2634" s="478"/>
      <c r="C2634" s="478"/>
      <c r="D2634" s="1186" t="s">
        <v>6576</v>
      </c>
    </row>
    <row r="2635" spans="2:4">
      <c r="B2635" s="478" t="s">
        <v>6572</v>
      </c>
    </row>
    <row r="2636" spans="2:4">
      <c r="B2636" s="478"/>
      <c r="C2636" s="478" t="s">
        <v>6542</v>
      </c>
    </row>
    <row r="2637" spans="2:4">
      <c r="B2637" s="478"/>
      <c r="D2637" s="478" t="s">
        <v>6535</v>
      </c>
    </row>
    <row r="2638" spans="2:4">
      <c r="B2638" s="478"/>
      <c r="C2638" s="478" t="s">
        <v>6541</v>
      </c>
      <c r="D2638" s="478"/>
    </row>
    <row r="2639" spans="2:4">
      <c r="B2639" s="478"/>
      <c r="C2639" s="478"/>
      <c r="D2639" s="478" t="s">
        <v>6571</v>
      </c>
    </row>
    <row r="2640" spans="2:4">
      <c r="B2640" s="478"/>
      <c r="C2640" s="478"/>
      <c r="D2640" s="1186" t="s">
        <v>6583</v>
      </c>
    </row>
    <row r="2641" spans="1:5">
      <c r="B2641" s="478"/>
      <c r="C2641" s="478"/>
      <c r="D2641" s="1186" t="s">
        <v>6577</v>
      </c>
    </row>
    <row r="2642" spans="1:5">
      <c r="B2642" s="478"/>
      <c r="C2642" s="478"/>
      <c r="D2642" s="1186" t="s">
        <v>6578</v>
      </c>
    </row>
    <row r="2643" spans="1:5">
      <c r="B2643" s="478"/>
      <c r="C2643" s="478"/>
      <c r="D2643" s="1186" t="s">
        <v>6579</v>
      </c>
    </row>
    <row r="2644" spans="1:5">
      <c r="B2644" s="478"/>
      <c r="C2644" s="478"/>
      <c r="D2644" s="1186" t="s">
        <v>6580</v>
      </c>
    </row>
    <row r="2645" spans="1:5">
      <c r="B2645" s="478"/>
      <c r="C2645" s="478"/>
      <c r="D2645" s="1186"/>
      <c r="E2645" s="1186" t="s">
        <v>6581</v>
      </c>
    </row>
    <row r="2646" spans="1:5">
      <c r="B2646" s="478"/>
      <c r="C2646" s="478"/>
      <c r="D2646" s="1186"/>
      <c r="E2646" s="1186" t="s">
        <v>6582</v>
      </c>
    </row>
    <row r="2647" spans="1:5">
      <c r="B2647" s="478"/>
      <c r="C2647" s="478"/>
      <c r="D2647" s="1186"/>
      <c r="E2647" s="1186" t="s">
        <v>6585</v>
      </c>
    </row>
    <row r="2648" spans="1:5">
      <c r="A2648" s="478" t="s">
        <v>1823</v>
      </c>
      <c r="B2648" s="478" t="s">
        <v>6508</v>
      </c>
    </row>
    <row r="2649" spans="1:5">
      <c r="B2649" s="478"/>
      <c r="C2649" s="478" t="s">
        <v>6512</v>
      </c>
    </row>
    <row r="2650" spans="1:5">
      <c r="B2650" s="478"/>
      <c r="C2650" s="478" t="s">
        <v>6524</v>
      </c>
    </row>
    <row r="2651" spans="1:5">
      <c r="B2651" s="478" t="s">
        <v>6509</v>
      </c>
    </row>
    <row r="2652" spans="1:5">
      <c r="C2652" s="478" t="s">
        <v>6510</v>
      </c>
    </row>
    <row r="2653" spans="1:5">
      <c r="B2653" s="478" t="s">
        <v>6543</v>
      </c>
      <c r="C2653" s="478"/>
    </row>
    <row r="2654" spans="1:5">
      <c r="B2654" s="478"/>
      <c r="C2654" s="478" t="s">
        <v>6544</v>
      </c>
    </row>
    <row r="2655" spans="1:5">
      <c r="B2655" s="478" t="s">
        <v>6526</v>
      </c>
    </row>
    <row r="2656" spans="1:5">
      <c r="C2656" s="478" t="s">
        <v>6531</v>
      </c>
    </row>
    <row r="2657" spans="2:4">
      <c r="C2657" s="478" t="s">
        <v>6532</v>
      </c>
    </row>
    <row r="2658" spans="2:4">
      <c r="B2658" s="478" t="s">
        <v>6092</v>
      </c>
    </row>
    <row r="2659" spans="2:4">
      <c r="C2659" s="478" t="s">
        <v>6513</v>
      </c>
      <c r="D2659" s="478" t="s">
        <v>6514</v>
      </c>
    </row>
    <row r="2660" spans="2:4">
      <c r="C2660" s="478" t="s">
        <v>6515</v>
      </c>
      <c r="D2660" s="478" t="s">
        <v>3347</v>
      </c>
    </row>
    <row r="2661" spans="2:4">
      <c r="C2661" s="478" t="s">
        <v>6516</v>
      </c>
      <c r="D2661" s="478" t="s">
        <v>6517</v>
      </c>
    </row>
    <row r="2662" spans="2:4">
      <c r="C2662" s="478" t="s">
        <v>6537</v>
      </c>
    </row>
    <row r="2663" spans="2:4">
      <c r="B2663" s="478" t="s">
        <v>6518</v>
      </c>
    </row>
    <row r="2664" spans="2:4">
      <c r="C2664" s="478" t="s">
        <v>6520</v>
      </c>
    </row>
    <row r="2665" spans="2:4">
      <c r="C2665" s="478"/>
      <c r="D2665" s="478" t="s">
        <v>6521</v>
      </c>
    </row>
    <row r="2666" spans="2:4">
      <c r="C2666" s="478"/>
      <c r="D2666" s="478" t="s">
        <v>6522</v>
      </c>
    </row>
    <row r="2667" spans="2:4">
      <c r="C2667" s="478" t="s">
        <v>6519</v>
      </c>
    </row>
    <row r="2669" spans="2:4">
      <c r="B2669" s="478" t="s">
        <v>6525</v>
      </c>
    </row>
    <row r="2670" spans="2:4">
      <c r="B2670" s="478" t="s">
        <v>4565</v>
      </c>
      <c r="C2670" s="478" t="s">
        <v>6527</v>
      </c>
    </row>
    <row r="2671" spans="2:4">
      <c r="B2671" s="478" t="s">
        <v>6528</v>
      </c>
      <c r="C2671" s="478" t="s">
        <v>6529</v>
      </c>
    </row>
    <row r="2672" spans="2:4">
      <c r="B2672" s="478" t="s">
        <v>4171</v>
      </c>
      <c r="C2672" s="478" t="s">
        <v>6530</v>
      </c>
    </row>
    <row r="2674" spans="2:5">
      <c r="B2674" s="478" t="s">
        <v>6539</v>
      </c>
    </row>
    <row r="2675" spans="2:5">
      <c r="B2675" s="478" t="s">
        <v>6538</v>
      </c>
    </row>
    <row r="2676" spans="2:5">
      <c r="B2676" s="478" t="s">
        <v>6540</v>
      </c>
    </row>
    <row r="2678" spans="2:5">
      <c r="B2678" s="478" t="s">
        <v>6545</v>
      </c>
    </row>
    <row r="2680" spans="2:5">
      <c r="B2680" s="499" t="s">
        <v>1877</v>
      </c>
    </row>
    <row r="2681" spans="2:5">
      <c r="B2681" s="478" t="s">
        <v>6546</v>
      </c>
    </row>
    <row r="2682" spans="2:5">
      <c r="B2682" s="478"/>
      <c r="C2682" s="478" t="s">
        <v>6554</v>
      </c>
    </row>
    <row r="2683" spans="2:5">
      <c r="B2683" s="478"/>
      <c r="C2683" s="478" t="s">
        <v>6555</v>
      </c>
    </row>
    <row r="2684" spans="2:5">
      <c r="B2684" s="478"/>
      <c r="C2684" s="478"/>
      <c r="D2684" s="478" t="s">
        <v>6556</v>
      </c>
    </row>
    <row r="2685" spans="2:5">
      <c r="B2685" s="478"/>
      <c r="C2685" s="478"/>
      <c r="D2685" s="478" t="s">
        <v>6557</v>
      </c>
    </row>
    <row r="2686" spans="2:5">
      <c r="B2686" s="478"/>
      <c r="C2686" s="478"/>
      <c r="D2686" s="478"/>
      <c r="E2686" s="478" t="s">
        <v>6558</v>
      </c>
    </row>
    <row r="2687" spans="2:5">
      <c r="B2687" s="478"/>
      <c r="C2687" s="478"/>
      <c r="D2687" s="478" t="s">
        <v>6559</v>
      </c>
      <c r="E2687" s="478"/>
    </row>
    <row r="2688" spans="2:5">
      <c r="B2688" s="478"/>
      <c r="C2688" s="478"/>
      <c r="D2688" s="478"/>
      <c r="E2688" s="478" t="s">
        <v>6560</v>
      </c>
    </row>
    <row r="2689" spans="2:5">
      <c r="B2689" s="478"/>
      <c r="C2689" s="478"/>
      <c r="D2689" s="478"/>
      <c r="E2689" s="478" t="s">
        <v>6561</v>
      </c>
    </row>
    <row r="2690" spans="2:5">
      <c r="B2690" s="478" t="s">
        <v>6547</v>
      </c>
    </row>
    <row r="2691" spans="2:5">
      <c r="B2691" s="478"/>
      <c r="C2691" s="478" t="s">
        <v>6552</v>
      </c>
    </row>
    <row r="2692" spans="2:5">
      <c r="B2692" s="478"/>
      <c r="C2692" s="478" t="s">
        <v>6553</v>
      </c>
    </row>
    <row r="2693" spans="2:5">
      <c r="B2693" s="478" t="s">
        <v>6548</v>
      </c>
    </row>
    <row r="2694" spans="2:5">
      <c r="C2694" s="478" t="s">
        <v>6549</v>
      </c>
    </row>
    <row r="2695" spans="2:5">
      <c r="C2695" s="478" t="s">
        <v>6550</v>
      </c>
    </row>
    <row r="2696" spans="2:5">
      <c r="C2696" s="478" t="s">
        <v>6551</v>
      </c>
    </row>
    <row r="2697" spans="2:5">
      <c r="B2697" s="478" t="s">
        <v>6562</v>
      </c>
    </row>
    <row r="2698" spans="2:5">
      <c r="C2698" s="478" t="s">
        <v>6563</v>
      </c>
    </row>
    <row r="2699" spans="2:5">
      <c r="C2699" s="478" t="s">
        <v>6566</v>
      </c>
    </row>
    <row r="2700" spans="2:5">
      <c r="C2700" s="478"/>
      <c r="D2700" s="478" t="s">
        <v>6586</v>
      </c>
    </row>
    <row r="2701" spans="2:5">
      <c r="B2701" s="478" t="s">
        <v>6564</v>
      </c>
    </row>
    <row r="2702" spans="2:5">
      <c r="C2702" s="478" t="s">
        <v>6565</v>
      </c>
    </row>
    <row r="2703" spans="2:5">
      <c r="D2703" s="478" t="s">
        <v>6567</v>
      </c>
    </row>
    <row r="2704" spans="2:5">
      <c r="D2704" s="478" t="s">
        <v>6568</v>
      </c>
    </row>
    <row r="2705" spans="2:4">
      <c r="C2705" s="478" t="s">
        <v>6569</v>
      </c>
    </row>
    <row r="2706" spans="2:4">
      <c r="C2706" s="478" t="s">
        <v>6570</v>
      </c>
    </row>
    <row r="2707" spans="2:4">
      <c r="B2707" s="478" t="s">
        <v>4378</v>
      </c>
    </row>
    <row r="2708" spans="2:4">
      <c r="C2708" s="478" t="s">
        <v>6573</v>
      </c>
    </row>
    <row r="2709" spans="2:4">
      <c r="C2709" s="478" t="s">
        <v>6574</v>
      </c>
    </row>
    <row r="2710" spans="2:4">
      <c r="B2710" s="478" t="s">
        <v>2916</v>
      </c>
    </row>
    <row r="2711" spans="2:4">
      <c r="C2711" s="478" t="s">
        <v>6575</v>
      </c>
    </row>
    <row r="2712" spans="2:4">
      <c r="B2712" s="478" t="s">
        <v>6610</v>
      </c>
    </row>
    <row r="2713" spans="2:4">
      <c r="C2713" s="478" t="s">
        <v>2842</v>
      </c>
      <c r="D2713" s="478" t="s">
        <v>6584</v>
      </c>
    </row>
    <row r="2714" spans="2:4">
      <c r="B2714" s="478" t="s">
        <v>6564</v>
      </c>
      <c r="C2714" s="478"/>
    </row>
    <row r="2715" spans="2:4">
      <c r="C2715" s="478" t="s">
        <v>6587</v>
      </c>
    </row>
    <row r="2716" spans="2:4">
      <c r="C2716" s="478" t="s">
        <v>6588</v>
      </c>
    </row>
    <row r="2717" spans="2:4">
      <c r="C2717" s="478" t="s">
        <v>6589</v>
      </c>
    </row>
    <row r="2719" spans="2:4">
      <c r="B2719" s="499" t="s">
        <v>6608</v>
      </c>
    </row>
    <row r="2721" spans="2:29">
      <c r="B2721" s="478" t="s">
        <v>1665</v>
      </c>
    </row>
    <row r="2722" spans="2:29">
      <c r="B2722" s="478"/>
      <c r="C2722" s="478" t="s">
        <v>6623</v>
      </c>
      <c r="K2722" s="455">
        <v>2019</v>
      </c>
      <c r="L2722" s="455">
        <f>K2722+1</f>
        <v>2020</v>
      </c>
      <c r="M2722" s="455">
        <f t="shared" ref="M2722:AC2722" si="2">L2722+1</f>
        <v>2021</v>
      </c>
      <c r="N2722" s="455">
        <f t="shared" si="2"/>
        <v>2022</v>
      </c>
      <c r="O2722" s="455">
        <f t="shared" si="2"/>
        <v>2023</v>
      </c>
      <c r="P2722" s="455">
        <f t="shared" si="2"/>
        <v>2024</v>
      </c>
      <c r="Q2722" s="455">
        <f t="shared" si="2"/>
        <v>2025</v>
      </c>
      <c r="R2722" s="455">
        <f t="shared" si="2"/>
        <v>2026</v>
      </c>
      <c r="S2722" s="455">
        <f t="shared" si="2"/>
        <v>2027</v>
      </c>
      <c r="T2722" s="455">
        <f t="shared" si="2"/>
        <v>2028</v>
      </c>
      <c r="U2722" s="455">
        <f t="shared" si="2"/>
        <v>2029</v>
      </c>
      <c r="V2722" s="455">
        <f t="shared" si="2"/>
        <v>2030</v>
      </c>
      <c r="W2722" s="455">
        <f t="shared" si="2"/>
        <v>2031</v>
      </c>
      <c r="X2722" s="455">
        <f t="shared" si="2"/>
        <v>2032</v>
      </c>
      <c r="Y2722" s="455">
        <f t="shared" si="2"/>
        <v>2033</v>
      </c>
      <c r="Z2722" s="455">
        <f t="shared" si="2"/>
        <v>2034</v>
      </c>
      <c r="AA2722" s="455">
        <f t="shared" si="2"/>
        <v>2035</v>
      </c>
      <c r="AB2722" s="455">
        <f t="shared" si="2"/>
        <v>2036</v>
      </c>
      <c r="AC2722" s="455">
        <f t="shared" si="2"/>
        <v>2037</v>
      </c>
    </row>
    <row r="2723" spans="2:29">
      <c r="B2723" s="478"/>
      <c r="C2723" s="478"/>
      <c r="K2723">
        <v>736</v>
      </c>
    </row>
    <row r="2724" spans="2:29">
      <c r="C2724" s="478" t="s">
        <v>6609</v>
      </c>
      <c r="E2724" s="478" t="s">
        <v>6611</v>
      </c>
      <c r="J2724" s="463" t="s">
        <v>7987</v>
      </c>
      <c r="K2724">
        <f>734*0.05</f>
        <v>36.700000000000003</v>
      </c>
    </row>
    <row r="2725" spans="2:29">
      <c r="C2725" s="478" t="s">
        <v>6612</v>
      </c>
      <c r="E2725" s="478" t="s">
        <v>6613</v>
      </c>
      <c r="J2725" s="463" t="s">
        <v>7988</v>
      </c>
      <c r="L2725" s="454">
        <f>$K$2723*0.5/12</f>
        <v>30.666666666666668</v>
      </c>
      <c r="R2725" s="454">
        <f>$K$2723*0.5/12</f>
        <v>30.666666666666668</v>
      </c>
      <c r="S2725" s="454">
        <f t="shared" ref="S2725:AC2725" si="3">$K$2723*0.5/12</f>
        <v>30.666666666666668</v>
      </c>
      <c r="T2725" s="454">
        <f t="shared" si="3"/>
        <v>30.666666666666668</v>
      </c>
      <c r="U2725" s="454">
        <f t="shared" si="3"/>
        <v>30.666666666666668</v>
      </c>
      <c r="V2725" s="454">
        <f t="shared" si="3"/>
        <v>30.666666666666668</v>
      </c>
      <c r="W2725" s="454">
        <f t="shared" si="3"/>
        <v>30.666666666666668</v>
      </c>
      <c r="X2725" s="454">
        <f t="shared" si="3"/>
        <v>30.666666666666668</v>
      </c>
      <c r="Y2725" s="454">
        <f t="shared" si="3"/>
        <v>30.666666666666668</v>
      </c>
      <c r="Z2725" s="454">
        <f t="shared" si="3"/>
        <v>30.666666666666668</v>
      </c>
      <c r="AA2725" s="454">
        <f t="shared" si="3"/>
        <v>30.666666666666668</v>
      </c>
      <c r="AB2725" s="454">
        <f t="shared" si="3"/>
        <v>30.666666666666668</v>
      </c>
      <c r="AC2725" s="454">
        <f t="shared" si="3"/>
        <v>30.666666666666668</v>
      </c>
    </row>
    <row r="2726" spans="2:29">
      <c r="C2726">
        <f>734/2</f>
        <v>367</v>
      </c>
      <c r="E2726" s="478" t="s">
        <v>6614</v>
      </c>
      <c r="J2726" s="463" t="s">
        <v>7989</v>
      </c>
    </row>
    <row r="2727" spans="2:29">
      <c r="C2727" s="478" t="s">
        <v>6616</v>
      </c>
    </row>
    <row r="2728" spans="2:29">
      <c r="C2728" s="478" t="s">
        <v>6617</v>
      </c>
    </row>
    <row r="2730" spans="2:29">
      <c r="C2730" s="478" t="s">
        <v>6618</v>
      </c>
    </row>
    <row r="2731" spans="2:29">
      <c r="C2731" s="478"/>
      <c r="D2731" s="478" t="s">
        <v>6632</v>
      </c>
    </row>
    <row r="2732" spans="2:29">
      <c r="B2732" s="478" t="s">
        <v>2172</v>
      </c>
    </row>
    <row r="2733" spans="2:29">
      <c r="C2733" s="478" t="s">
        <v>6620</v>
      </c>
    </row>
    <row r="2734" spans="2:29">
      <c r="B2734" s="478" t="s">
        <v>6622</v>
      </c>
    </row>
    <row r="2736" spans="2:29">
      <c r="B2736" s="478" t="s">
        <v>6624</v>
      </c>
    </row>
    <row r="2737" spans="2:4">
      <c r="C2737" s="478" t="s">
        <v>6625</v>
      </c>
    </row>
    <row r="2738" spans="2:4">
      <c r="B2738" s="478" t="s">
        <v>6626</v>
      </c>
    </row>
    <row r="2739" spans="2:4">
      <c r="C2739" s="478" t="s">
        <v>6627</v>
      </c>
    </row>
    <row r="2740" spans="2:4">
      <c r="B2740" s="478" t="s">
        <v>4403</v>
      </c>
    </row>
    <row r="2741" spans="2:4">
      <c r="C2741" s="478" t="s">
        <v>6628</v>
      </c>
    </row>
    <row r="2742" spans="2:4">
      <c r="D2742" s="478" t="s">
        <v>6629</v>
      </c>
    </row>
    <row r="2743" spans="2:4">
      <c r="D2743" s="478" t="s">
        <v>6630</v>
      </c>
    </row>
    <row r="2744" spans="2:4">
      <c r="C2744" s="478" t="s">
        <v>6631</v>
      </c>
    </row>
    <row r="2745" spans="2:4">
      <c r="B2745" s="478" t="s">
        <v>6633</v>
      </c>
    </row>
    <row r="2746" spans="2:4">
      <c r="C2746" s="478" t="s">
        <v>6634</v>
      </c>
    </row>
    <row r="2748" spans="2:4">
      <c r="C2748" s="478" t="s">
        <v>6635</v>
      </c>
    </row>
    <row r="2749" spans="2:4">
      <c r="D2749" s="478" t="s">
        <v>6636</v>
      </c>
    </row>
    <row r="2750" spans="2:4">
      <c r="D2750" s="478" t="s">
        <v>6637</v>
      </c>
    </row>
    <row r="2751" spans="2:4">
      <c r="B2751" s="478" t="s">
        <v>2377</v>
      </c>
    </row>
    <row r="2752" spans="2:4">
      <c r="C2752" s="478" t="s">
        <v>6638</v>
      </c>
    </row>
    <row r="2753" spans="2:4">
      <c r="B2753" s="478" t="s">
        <v>6652</v>
      </c>
    </row>
    <row r="2754" spans="2:4">
      <c r="C2754" s="478" t="s">
        <v>6639</v>
      </c>
    </row>
    <row r="2755" spans="2:4">
      <c r="C2755" s="478"/>
      <c r="D2755" s="478" t="s">
        <v>6659</v>
      </c>
    </row>
    <row r="2756" spans="2:4">
      <c r="C2756" s="478" t="s">
        <v>6658</v>
      </c>
    </row>
    <row r="2757" spans="2:4">
      <c r="B2757" s="478" t="s">
        <v>6640</v>
      </c>
    </row>
    <row r="2758" spans="2:4">
      <c r="C2758" s="478" t="s">
        <v>6641</v>
      </c>
    </row>
    <row r="2759" spans="2:4">
      <c r="C2759" s="478" t="s">
        <v>6642</v>
      </c>
    </row>
    <row r="2760" spans="2:4">
      <c r="C2760" s="478" t="s">
        <v>6643</v>
      </c>
    </row>
    <row r="2761" spans="2:4">
      <c r="C2761" s="478" t="s">
        <v>6644</v>
      </c>
    </row>
    <row r="2762" spans="2:4">
      <c r="C2762" s="478" t="s">
        <v>6645</v>
      </c>
    </row>
    <row r="2763" spans="2:4">
      <c r="C2763" s="478" t="s">
        <v>6646</v>
      </c>
    </row>
    <row r="2765" spans="2:4">
      <c r="C2765" s="478" t="s">
        <v>6647</v>
      </c>
    </row>
    <row r="2766" spans="2:4">
      <c r="C2766" s="478" t="s">
        <v>6648</v>
      </c>
    </row>
    <row r="2768" spans="2:4">
      <c r="C2768" s="478" t="s">
        <v>6649</v>
      </c>
    </row>
    <row r="2770" spans="2:4">
      <c r="C2770" s="478" t="s">
        <v>6650</v>
      </c>
    </row>
    <row r="2772" spans="2:4">
      <c r="C2772" s="478" t="s">
        <v>6651</v>
      </c>
    </row>
    <row r="2773" spans="2:4">
      <c r="C2773" s="478" t="s">
        <v>6668</v>
      </c>
    </row>
    <row r="2774" spans="2:4">
      <c r="B2774" s="478" t="s">
        <v>2032</v>
      </c>
    </row>
    <row r="2775" spans="2:4">
      <c r="C2775" s="478" t="s">
        <v>6653</v>
      </c>
    </row>
    <row r="2776" spans="2:4">
      <c r="D2776" s="478" t="s">
        <v>6654</v>
      </c>
    </row>
    <row r="2777" spans="2:4">
      <c r="D2777" s="478" t="s">
        <v>6655</v>
      </c>
    </row>
    <row r="2778" spans="2:4">
      <c r="C2778" s="478" t="s">
        <v>6656</v>
      </c>
    </row>
    <row r="2779" spans="2:4">
      <c r="C2779" s="478" t="s">
        <v>6657</v>
      </c>
    </row>
    <row r="2780" spans="2:4">
      <c r="B2780" s="478" t="s">
        <v>4171</v>
      </c>
    </row>
    <row r="2781" spans="2:4">
      <c r="C2781" s="478" t="s">
        <v>6660</v>
      </c>
    </row>
    <row r="2782" spans="2:4">
      <c r="D2782" s="478" t="s">
        <v>6661</v>
      </c>
    </row>
    <row r="2783" spans="2:4">
      <c r="D2783" s="478" t="s">
        <v>6662</v>
      </c>
    </row>
    <row r="2784" spans="2:4">
      <c r="C2784" s="478" t="s">
        <v>6663</v>
      </c>
    </row>
    <row r="2785" spans="2:11">
      <c r="B2785" s="478" t="s">
        <v>6664</v>
      </c>
    </row>
    <row r="2786" spans="2:11">
      <c r="C2786" s="478" t="s">
        <v>6665</v>
      </c>
    </row>
    <row r="2787" spans="2:11">
      <c r="D2787" s="478" t="s">
        <v>6666</v>
      </c>
    </row>
    <row r="2788" spans="2:11">
      <c r="D2788" s="478" t="s">
        <v>6667</v>
      </c>
    </row>
    <row r="2789" spans="2:11">
      <c r="B2789" s="478" t="s">
        <v>6669</v>
      </c>
      <c r="K2789" s="478" t="s">
        <v>1823</v>
      </c>
    </row>
    <row r="2790" spans="2:11">
      <c r="C2790" s="478" t="s">
        <v>6670</v>
      </c>
    </row>
    <row r="2791" spans="2:11">
      <c r="B2791" s="499" t="s">
        <v>3261</v>
      </c>
      <c r="C2791" s="478"/>
    </row>
    <row r="2792" spans="2:11">
      <c r="B2792" s="478" t="s">
        <v>6671</v>
      </c>
    </row>
    <row r="2793" spans="2:11">
      <c r="C2793" s="478" t="s">
        <v>6672</v>
      </c>
    </row>
    <row r="2794" spans="2:11">
      <c r="B2794" s="478" t="s">
        <v>6673</v>
      </c>
    </row>
    <row r="2795" spans="2:11">
      <c r="C2795" s="478" t="s">
        <v>6674</v>
      </c>
    </row>
    <row r="2796" spans="2:11">
      <c r="B2796" s="478" t="s">
        <v>6675</v>
      </c>
    </row>
    <row r="2797" spans="2:11">
      <c r="C2797" s="478" t="s">
        <v>6676</v>
      </c>
    </row>
    <row r="2798" spans="2:11">
      <c r="B2798" s="478" t="s">
        <v>6677</v>
      </c>
    </row>
    <row r="2799" spans="2:11">
      <c r="C2799" s="478" t="s">
        <v>6678</v>
      </c>
      <c r="D2799" s="478" t="s">
        <v>6681</v>
      </c>
    </row>
    <row r="2800" spans="2:11">
      <c r="D2800" s="478" t="s">
        <v>6679</v>
      </c>
    </row>
    <row r="2801" spans="1:4">
      <c r="D2801" s="478" t="s">
        <v>6680</v>
      </c>
    </row>
    <row r="2802" spans="1:4">
      <c r="D2802" s="478" t="s">
        <v>6682</v>
      </c>
    </row>
    <row r="2803" spans="1:4">
      <c r="C2803" s="478" t="s">
        <v>6683</v>
      </c>
    </row>
    <row r="2804" spans="1:4">
      <c r="D2804" s="478" t="s">
        <v>6684</v>
      </c>
    </row>
    <row r="2805" spans="1:4">
      <c r="D2805" s="478" t="s">
        <v>6685</v>
      </c>
    </row>
    <row r="2806" spans="1:4">
      <c r="B2806" s="478" t="s">
        <v>6686</v>
      </c>
    </row>
    <row r="2807" spans="1:4">
      <c r="C2807" s="478" t="s">
        <v>6687</v>
      </c>
    </row>
    <row r="2808" spans="1:4">
      <c r="D2808" s="478" t="s">
        <v>6688</v>
      </c>
    </row>
    <row r="2809" spans="1:4">
      <c r="B2809" s="478" t="s">
        <v>6689</v>
      </c>
    </row>
    <row r="2810" spans="1:4">
      <c r="C2810" s="478" t="s">
        <v>6690</v>
      </c>
    </row>
    <row r="2811" spans="1:4">
      <c r="A2811" s="478" t="s">
        <v>1823</v>
      </c>
      <c r="C2811" s="478" t="s">
        <v>6691</v>
      </c>
    </row>
    <row r="2812" spans="1:4">
      <c r="B2812" s="478" t="s">
        <v>6692</v>
      </c>
    </row>
    <row r="2814" spans="1:4">
      <c r="B2814" s="478" t="s">
        <v>6695</v>
      </c>
    </row>
    <row r="2815" spans="1:4">
      <c r="B2815" s="478"/>
      <c r="C2815" s="478" t="s">
        <v>6696</v>
      </c>
    </row>
    <row r="2816" spans="1:4">
      <c r="B2816" s="478"/>
      <c r="C2816" s="478" t="s">
        <v>6697</v>
      </c>
    </row>
    <row r="2817" spans="2:4">
      <c r="B2817" s="478"/>
      <c r="C2817" s="478"/>
      <c r="D2817" s="478" t="s">
        <v>6699</v>
      </c>
    </row>
    <row r="2818" spans="2:4">
      <c r="B2818" s="478"/>
      <c r="C2818" s="478"/>
      <c r="D2818" s="478" t="s">
        <v>6700</v>
      </c>
    </row>
    <row r="2819" spans="2:4">
      <c r="B2819" s="478"/>
      <c r="C2819" s="478"/>
      <c r="D2819" s="478" t="s">
        <v>6701</v>
      </c>
    </row>
    <row r="2820" spans="2:4">
      <c r="B2820" s="478"/>
      <c r="C2820" s="478" t="s">
        <v>6698</v>
      </c>
    </row>
    <row r="2821" spans="2:4">
      <c r="B2821" s="478" t="s">
        <v>3261</v>
      </c>
      <c r="C2821" s="478"/>
    </row>
    <row r="2822" spans="2:4">
      <c r="B2822" s="478"/>
      <c r="C2822" s="478" t="s">
        <v>6702</v>
      </c>
    </row>
    <row r="2823" spans="2:4">
      <c r="B2823" s="478"/>
      <c r="C2823" s="478" t="s">
        <v>6703</v>
      </c>
    </row>
    <row r="2824" spans="2:4">
      <c r="B2824" s="478" t="s">
        <v>6704</v>
      </c>
      <c r="C2824" s="478"/>
    </row>
    <row r="2825" spans="2:4">
      <c r="B2825" s="478"/>
      <c r="C2825" s="478" t="s">
        <v>6705</v>
      </c>
    </row>
    <row r="2826" spans="2:4">
      <c r="B2826" s="478" t="s">
        <v>6706</v>
      </c>
      <c r="C2826" s="478"/>
    </row>
    <row r="2827" spans="2:4">
      <c r="B2827" s="478"/>
      <c r="C2827" s="478"/>
    </row>
    <row r="2828" spans="2:4">
      <c r="B2828" s="478"/>
      <c r="C2828" s="478"/>
    </row>
    <row r="2829" spans="2:4">
      <c r="B2829" s="499" t="s">
        <v>6693</v>
      </c>
    </row>
    <row r="2830" spans="2:4">
      <c r="B2830" s="478" t="s">
        <v>6694</v>
      </c>
    </row>
    <row r="2832" spans="2:4">
      <c r="B2832" s="499" t="s">
        <v>6709</v>
      </c>
    </row>
    <row r="2833" spans="1:4">
      <c r="C2833" s="478" t="s">
        <v>6708</v>
      </c>
    </row>
    <row r="2834" spans="1:4">
      <c r="C2834" s="478" t="s">
        <v>6711</v>
      </c>
    </row>
    <row r="2836" spans="1:4">
      <c r="C2836" s="478" t="s">
        <v>1886</v>
      </c>
      <c r="D2836" s="506" t="s">
        <v>6710</v>
      </c>
    </row>
    <row r="2838" spans="1:4">
      <c r="B2838" s="478" t="s">
        <v>6712</v>
      </c>
      <c r="C2838" s="478" t="s">
        <v>6713</v>
      </c>
    </row>
    <row r="2839" spans="1:4">
      <c r="B2839" s="478"/>
      <c r="C2839" s="478"/>
      <c r="D2839" s="478" t="s">
        <v>6715</v>
      </c>
    </row>
    <row r="2840" spans="1:4">
      <c r="C2840" s="478" t="s">
        <v>6714</v>
      </c>
    </row>
    <row r="2842" spans="1:4">
      <c r="B2842" s="478" t="s">
        <v>6716</v>
      </c>
      <c r="C2842" s="506">
        <v>630</v>
      </c>
    </row>
    <row r="2843" spans="1:4">
      <c r="B2843" s="478" t="s">
        <v>6720</v>
      </c>
      <c r="C2843">
        <f>0.1*630</f>
        <v>63</v>
      </c>
      <c r="D2843" s="478" t="s">
        <v>6717</v>
      </c>
    </row>
    <row r="2844" spans="1:4">
      <c r="D2844" s="478" t="s">
        <v>6718</v>
      </c>
    </row>
    <row r="2845" spans="1:4">
      <c r="B2845" s="478" t="s">
        <v>2808</v>
      </c>
      <c r="C2845" s="454">
        <f>C2842-C2846-C2843</f>
        <v>283.5</v>
      </c>
    </row>
    <row r="2846" spans="1:4">
      <c r="A2846" s="449">
        <v>0.45</v>
      </c>
      <c r="B2846" s="478" t="s">
        <v>6719</v>
      </c>
      <c r="C2846" s="454">
        <f>0.45*C2842</f>
        <v>283.5</v>
      </c>
    </row>
    <row r="2848" spans="1:4">
      <c r="B2848" s="478" t="s">
        <v>6721</v>
      </c>
    </row>
    <row r="2849" spans="2:4">
      <c r="C2849" s="478" t="s">
        <v>6722</v>
      </c>
    </row>
    <row r="2850" spans="2:4">
      <c r="C2850" s="478" t="s">
        <v>6725</v>
      </c>
    </row>
    <row r="2851" spans="2:4">
      <c r="C2851" s="454">
        <f>C2845</f>
        <v>283.5</v>
      </c>
      <c r="D2851" s="449">
        <v>7.0000000000000007E-2</v>
      </c>
    </row>
    <row r="2852" spans="2:4">
      <c r="C2852" s="478" t="s">
        <v>6723</v>
      </c>
    </row>
    <row r="2853" spans="2:4">
      <c r="C2853" s="478" t="s">
        <v>6724</v>
      </c>
    </row>
    <row r="2854" spans="2:4">
      <c r="B2854" s="478" t="s">
        <v>6726</v>
      </c>
    </row>
    <row r="2856" spans="2:4">
      <c r="B2856" s="499" t="s">
        <v>5799</v>
      </c>
    </row>
    <row r="2858" spans="2:4">
      <c r="B2858" s="478" t="s">
        <v>6732</v>
      </c>
    </row>
    <row r="2859" spans="2:4">
      <c r="B2859" s="478" t="s">
        <v>6733</v>
      </c>
    </row>
    <row r="2860" spans="2:4">
      <c r="B2860" s="478" t="s">
        <v>6734</v>
      </c>
    </row>
    <row r="2862" spans="2:4">
      <c r="B2862" s="627" t="s">
        <v>6746</v>
      </c>
    </row>
    <row r="2864" spans="2:4">
      <c r="B2864" s="478" t="s">
        <v>6747</v>
      </c>
    </row>
    <row r="2865" spans="2:3">
      <c r="B2865" s="478" t="s">
        <v>6748</v>
      </c>
    </row>
    <row r="2866" spans="2:3">
      <c r="B2866" s="478"/>
    </row>
    <row r="2867" spans="2:3">
      <c r="B2867" s="478" t="s">
        <v>6749</v>
      </c>
    </row>
    <row r="2868" spans="2:3">
      <c r="B2868" s="478" t="s">
        <v>6774</v>
      </c>
    </row>
    <row r="2869" spans="2:3">
      <c r="B2869" s="478"/>
      <c r="C2869" t="s">
        <v>6775</v>
      </c>
    </row>
    <row r="2870" spans="2:3">
      <c r="B2870" s="478" t="s">
        <v>6752</v>
      </c>
    </row>
    <row r="2871" spans="2:3">
      <c r="B2871" s="478"/>
    </row>
    <row r="2872" spans="2:3">
      <c r="B2872" s="478" t="s">
        <v>6750</v>
      </c>
    </row>
    <row r="2873" spans="2:3">
      <c r="C2873" s="478" t="s">
        <v>6751</v>
      </c>
    </row>
    <row r="2874" spans="2:3">
      <c r="B2874" s="478" t="s">
        <v>6776</v>
      </c>
      <c r="C2874" s="478"/>
    </row>
    <row r="2876" spans="2:3">
      <c r="B2876" s="499" t="s">
        <v>1877</v>
      </c>
    </row>
    <row r="2878" spans="2:3">
      <c r="B2878" s="478" t="s">
        <v>6754</v>
      </c>
    </row>
    <row r="2879" spans="2:3">
      <c r="B2879" s="478"/>
      <c r="C2879" s="478" t="s">
        <v>6755</v>
      </c>
    </row>
    <row r="2880" spans="2:3">
      <c r="B2880" s="478" t="s">
        <v>6753</v>
      </c>
    </row>
    <row r="2881" spans="2:4">
      <c r="C2881" s="478" t="s">
        <v>6756</v>
      </c>
    </row>
    <row r="2882" spans="2:4">
      <c r="D2882" s="478" t="s">
        <v>6757</v>
      </c>
    </row>
    <row r="2883" spans="2:4">
      <c r="C2883" s="478" t="s">
        <v>6758</v>
      </c>
    </row>
    <row r="2884" spans="2:4">
      <c r="C2884" s="478" t="s">
        <v>6759</v>
      </c>
    </row>
    <row r="2885" spans="2:4">
      <c r="C2885" s="478" t="s">
        <v>6760</v>
      </c>
    </row>
    <row r="2886" spans="2:4">
      <c r="B2886" s="478" t="s">
        <v>6761</v>
      </c>
    </row>
    <row r="2887" spans="2:4">
      <c r="C2887" s="478" t="s">
        <v>6762</v>
      </c>
    </row>
    <row r="2888" spans="2:4">
      <c r="C2888" s="478" t="s">
        <v>6771</v>
      </c>
    </row>
    <row r="2889" spans="2:4">
      <c r="B2889" s="478" t="s">
        <v>6763</v>
      </c>
    </row>
    <row r="2890" spans="2:4">
      <c r="C2890" s="478" t="s">
        <v>6764</v>
      </c>
    </row>
    <row r="2891" spans="2:4">
      <c r="C2891" s="478" t="s">
        <v>6765</v>
      </c>
    </row>
    <row r="2892" spans="2:4">
      <c r="C2892" s="478" t="s">
        <v>6766</v>
      </c>
    </row>
    <row r="2893" spans="2:4">
      <c r="C2893" s="478" t="s">
        <v>6767</v>
      </c>
    </row>
    <row r="2894" spans="2:4">
      <c r="C2894" s="478" t="s">
        <v>6768</v>
      </c>
    </row>
    <row r="2895" spans="2:4">
      <c r="C2895" s="478" t="s">
        <v>6769</v>
      </c>
    </row>
    <row r="2896" spans="2:4">
      <c r="C2896" s="478" t="s">
        <v>6770</v>
      </c>
    </row>
    <row r="2897" spans="1:3">
      <c r="B2897" s="478" t="s">
        <v>6772</v>
      </c>
    </row>
    <row r="2898" spans="1:3">
      <c r="C2898" s="478" t="s">
        <v>6773</v>
      </c>
    </row>
    <row r="2899" spans="1:3">
      <c r="B2899" s="478" t="s">
        <v>5215</v>
      </c>
    </row>
    <row r="2900" spans="1:3">
      <c r="C2900" s="478" t="s">
        <v>6777</v>
      </c>
    </row>
    <row r="2901" spans="1:3">
      <c r="B2901" s="478" t="s">
        <v>395</v>
      </c>
    </row>
    <row r="2902" spans="1:3">
      <c r="C2902" s="478" t="s">
        <v>6778</v>
      </c>
    </row>
    <row r="2904" spans="1:3">
      <c r="B2904" s="499" t="s">
        <v>6780</v>
      </c>
    </row>
    <row r="2906" spans="1:3">
      <c r="B2906" s="478" t="s">
        <v>6782</v>
      </c>
    </row>
    <row r="2907" spans="1:3">
      <c r="B2907" s="478"/>
      <c r="C2907" s="478" t="s">
        <v>6783</v>
      </c>
    </row>
    <row r="2908" spans="1:3">
      <c r="B2908" s="478"/>
      <c r="C2908" s="478" t="s">
        <v>6784</v>
      </c>
    </row>
    <row r="2909" spans="1:3">
      <c r="B2909" s="478"/>
      <c r="C2909" s="478" t="s">
        <v>6785</v>
      </c>
    </row>
    <row r="2910" spans="1:3">
      <c r="B2910" s="478"/>
      <c r="C2910" s="478" t="s">
        <v>6788</v>
      </c>
    </row>
    <row r="2911" spans="1:3">
      <c r="B2911" s="478" t="s">
        <v>6786</v>
      </c>
      <c r="C2911" s="478"/>
    </row>
    <row r="2912" spans="1:3">
      <c r="A2912" s="478" t="s">
        <v>6798</v>
      </c>
      <c r="B2912" s="478" t="s">
        <v>6787</v>
      </c>
      <c r="C2912" s="478"/>
    </row>
    <row r="2914" spans="1:4">
      <c r="B2914" s="478" t="s">
        <v>6781</v>
      </c>
    </row>
    <row r="2915" spans="1:4">
      <c r="B2915" s="478"/>
      <c r="C2915" s="478" t="s">
        <v>6800</v>
      </c>
    </row>
    <row r="2917" spans="1:4">
      <c r="B2917" s="478" t="s">
        <v>6789</v>
      </c>
    </row>
    <row r="2918" spans="1:4">
      <c r="C2918" s="478" t="s">
        <v>6790</v>
      </c>
    </row>
    <row r="2919" spans="1:4">
      <c r="C2919" s="478" t="s">
        <v>6792</v>
      </c>
    </row>
    <row r="2920" spans="1:4">
      <c r="C2920" s="478" t="s">
        <v>6795</v>
      </c>
    </row>
    <row r="2921" spans="1:4">
      <c r="C2921" s="478"/>
      <c r="D2921" s="478" t="s">
        <v>6796</v>
      </c>
    </row>
    <row r="2922" spans="1:4">
      <c r="A2922" s="478" t="s">
        <v>6798</v>
      </c>
      <c r="B2922" s="478" t="s">
        <v>6763</v>
      </c>
    </row>
    <row r="2923" spans="1:4">
      <c r="A2923" s="478"/>
      <c r="B2923" s="478"/>
      <c r="C2923" s="478" t="s">
        <v>6802</v>
      </c>
    </row>
    <row r="2924" spans="1:4">
      <c r="C2924" s="478" t="s">
        <v>6791</v>
      </c>
    </row>
    <row r="2925" spans="1:4">
      <c r="C2925" s="478" t="s">
        <v>6801</v>
      </c>
    </row>
    <row r="2926" spans="1:4">
      <c r="C2926" s="478" t="s">
        <v>6803</v>
      </c>
    </row>
    <row r="2927" spans="1:4">
      <c r="C2927" s="478" t="s">
        <v>6804</v>
      </c>
    </row>
    <row r="2928" spans="1:4">
      <c r="C2928" s="478" t="s">
        <v>4171</v>
      </c>
    </row>
    <row r="2929" spans="2:4">
      <c r="B2929" s="478" t="s">
        <v>6793</v>
      </c>
    </row>
    <row r="2930" spans="2:4">
      <c r="C2930" s="478" t="s">
        <v>6794</v>
      </c>
    </row>
    <row r="2931" spans="2:4">
      <c r="B2931" s="478" t="s">
        <v>584</v>
      </c>
    </row>
    <row r="2932" spans="2:4">
      <c r="C2932" s="478" t="s">
        <v>6797</v>
      </c>
    </row>
    <row r="2933" spans="2:4">
      <c r="B2933" s="478" t="s">
        <v>6799</v>
      </c>
    </row>
    <row r="2935" spans="2:4">
      <c r="B2935" s="478" t="s">
        <v>1195</v>
      </c>
    </row>
    <row r="2936" spans="2:4">
      <c r="C2936" s="478" t="s">
        <v>4128</v>
      </c>
    </row>
    <row r="2937" spans="2:4">
      <c r="C2937" s="478" t="s">
        <v>6805</v>
      </c>
    </row>
    <row r="2938" spans="2:4">
      <c r="C2938" s="498">
        <v>2021</v>
      </c>
    </row>
    <row r="2939" spans="2:4">
      <c r="C2939" s="478" t="s">
        <v>2377</v>
      </c>
      <c r="D2939" s="478" t="s">
        <v>6806</v>
      </c>
    </row>
    <row r="2940" spans="2:4">
      <c r="C2940" s="478" t="s">
        <v>6807</v>
      </c>
    </row>
    <row r="2941" spans="2:4">
      <c r="C2941" s="478" t="s">
        <v>6808</v>
      </c>
    </row>
    <row r="2942" spans="2:4">
      <c r="C2942" s="478" t="s">
        <v>6809</v>
      </c>
    </row>
    <row r="2943" spans="2:4">
      <c r="C2943" s="478" t="s">
        <v>6810</v>
      </c>
    </row>
    <row r="2944" spans="2:4">
      <c r="C2944" s="478" t="s">
        <v>6811</v>
      </c>
    </row>
    <row r="2945" spans="2:4">
      <c r="D2945" s="478" t="s">
        <v>6812</v>
      </c>
    </row>
    <row r="2946" spans="2:4">
      <c r="B2946" s="478" t="s">
        <v>2379</v>
      </c>
    </row>
    <row r="2947" spans="2:4">
      <c r="C2947" s="478" t="s">
        <v>6813</v>
      </c>
    </row>
    <row r="2948" spans="2:4">
      <c r="C2948" s="478" t="s">
        <v>6814</v>
      </c>
    </row>
    <row r="2949" spans="2:4">
      <c r="C2949" s="478" t="s">
        <v>6815</v>
      </c>
    </row>
    <row r="2950" spans="2:4">
      <c r="B2950" s="478" t="s">
        <v>2032</v>
      </c>
    </row>
    <row r="2951" spans="2:4">
      <c r="C2951" s="478" t="s">
        <v>6816</v>
      </c>
    </row>
    <row r="2952" spans="2:4">
      <c r="C2952" s="478" t="s">
        <v>6817</v>
      </c>
    </row>
    <row r="2953" spans="2:4">
      <c r="D2953" s="478" t="s">
        <v>6818</v>
      </c>
    </row>
    <row r="2954" spans="2:4">
      <c r="C2954" s="478" t="s">
        <v>6819</v>
      </c>
    </row>
    <row r="2955" spans="2:4">
      <c r="C2955" s="478" t="s">
        <v>6820</v>
      </c>
    </row>
    <row r="2956" spans="2:4">
      <c r="C2956" s="478" t="s">
        <v>6821</v>
      </c>
    </row>
    <row r="2957" spans="2:4">
      <c r="D2957" s="478" t="s">
        <v>6822</v>
      </c>
    </row>
    <row r="2958" spans="2:4">
      <c r="B2958" s="478" t="s">
        <v>6171</v>
      </c>
    </row>
    <row r="2959" spans="2:4">
      <c r="C2959" s="478" t="s">
        <v>6823</v>
      </c>
    </row>
    <row r="2960" spans="2:4">
      <c r="C2960" s="478" t="s">
        <v>6824</v>
      </c>
    </row>
    <row r="2961" spans="2:4">
      <c r="B2961" s="478" t="s">
        <v>6825</v>
      </c>
    </row>
    <row r="2962" spans="2:4">
      <c r="C2962" s="478" t="s">
        <v>6826</v>
      </c>
    </row>
    <row r="2963" spans="2:4">
      <c r="C2963" s="478"/>
      <c r="D2963" s="478" t="s">
        <v>6834</v>
      </c>
    </row>
    <row r="2964" spans="2:4">
      <c r="C2964" s="478" t="s">
        <v>6827</v>
      </c>
    </row>
    <row r="2965" spans="2:4">
      <c r="C2965" s="478" t="s">
        <v>6828</v>
      </c>
    </row>
    <row r="2966" spans="2:4">
      <c r="D2966" s="478" t="s">
        <v>6829</v>
      </c>
    </row>
    <row r="2967" spans="2:4">
      <c r="D2967" s="478" t="s">
        <v>6830</v>
      </c>
    </row>
    <row r="2968" spans="2:4">
      <c r="D2968" s="478" t="s">
        <v>6831</v>
      </c>
    </row>
    <row r="2969" spans="2:4">
      <c r="C2969" s="478" t="s">
        <v>6832</v>
      </c>
    </row>
    <row r="2970" spans="2:4">
      <c r="C2970" s="478" t="s">
        <v>6833</v>
      </c>
    </row>
    <row r="2971" spans="2:4">
      <c r="B2971" s="478" t="s">
        <v>6835</v>
      </c>
    </row>
    <row r="2972" spans="2:4">
      <c r="C2972" s="478" t="s">
        <v>2032</v>
      </c>
      <c r="D2972" s="478" t="s">
        <v>6836</v>
      </c>
    </row>
    <row r="2973" spans="2:4">
      <c r="D2973" s="478" t="s">
        <v>6837</v>
      </c>
    </row>
    <row r="2974" spans="2:4">
      <c r="C2974" s="478" t="s">
        <v>2379</v>
      </c>
    </row>
    <row r="2975" spans="2:4">
      <c r="D2975" s="478" t="s">
        <v>6838</v>
      </c>
    </row>
    <row r="2976" spans="2:4">
      <c r="D2976" s="478" t="s">
        <v>6839</v>
      </c>
    </row>
    <row r="2977" spans="2:4">
      <c r="D2977" s="478" t="s">
        <v>6840</v>
      </c>
    </row>
    <row r="2978" spans="2:4">
      <c r="B2978" s="478" t="s">
        <v>395</v>
      </c>
    </row>
    <row r="2979" spans="2:4">
      <c r="C2979" s="478" t="s">
        <v>6841</v>
      </c>
    </row>
    <row r="2980" spans="2:4">
      <c r="C2980" s="478" t="s">
        <v>6842</v>
      </c>
    </row>
    <row r="2981" spans="2:4">
      <c r="C2981" s="478" t="s">
        <v>6843</v>
      </c>
    </row>
    <row r="2982" spans="2:4">
      <c r="C2982" s="478" t="s">
        <v>6844</v>
      </c>
    </row>
    <row r="2983" spans="2:4">
      <c r="D2983" s="478" t="s">
        <v>6845</v>
      </c>
    </row>
    <row r="2984" spans="2:4">
      <c r="D2984" s="478" t="s">
        <v>6846</v>
      </c>
    </row>
    <row r="2985" spans="2:4">
      <c r="B2985" s="478" t="s">
        <v>5658</v>
      </c>
    </row>
    <row r="2986" spans="2:4">
      <c r="B2986" s="478"/>
      <c r="C2986" s="478" t="s">
        <v>6849</v>
      </c>
    </row>
    <row r="2987" spans="2:4">
      <c r="C2987" s="478" t="s">
        <v>6848</v>
      </c>
    </row>
    <row r="2988" spans="2:4">
      <c r="C2988" s="478" t="s">
        <v>6847</v>
      </c>
    </row>
    <row r="2989" spans="2:4">
      <c r="C2989" s="478" t="s">
        <v>6850</v>
      </c>
    </row>
    <row r="2990" spans="2:4">
      <c r="B2990" s="478" t="s">
        <v>2409</v>
      </c>
    </row>
    <row r="2991" spans="2:4">
      <c r="C2991" s="478" t="s">
        <v>6851</v>
      </c>
    </row>
    <row r="2992" spans="2:4">
      <c r="C2992" s="478"/>
      <c r="D2992" s="478" t="s">
        <v>6853</v>
      </c>
    </row>
    <row r="2993" spans="2:5">
      <c r="C2993" s="478" t="s">
        <v>6852</v>
      </c>
    </row>
    <row r="2994" spans="2:5">
      <c r="B2994" s="478" t="s">
        <v>6564</v>
      </c>
    </row>
    <row r="2995" spans="2:5">
      <c r="C2995" s="478" t="s">
        <v>6854</v>
      </c>
    </row>
    <row r="2996" spans="2:5">
      <c r="C2996" s="478" t="s">
        <v>6855</v>
      </c>
    </row>
    <row r="2998" spans="2:5">
      <c r="B2998" s="627" t="s">
        <v>6856</v>
      </c>
    </row>
    <row r="3000" spans="2:5">
      <c r="B3000" s="478" t="s">
        <v>6857</v>
      </c>
      <c r="D3000" s="478" t="s">
        <v>6858</v>
      </c>
    </row>
    <row r="3001" spans="2:5">
      <c r="B3001" s="478" t="s">
        <v>6859</v>
      </c>
    </row>
    <row r="3002" spans="2:5">
      <c r="B3002" s="478" t="s">
        <v>6864</v>
      </c>
    </row>
    <row r="3003" spans="2:5">
      <c r="C3003" s="478" t="s">
        <v>6860</v>
      </c>
    </row>
    <row r="3004" spans="2:5">
      <c r="D3004" s="478" t="s">
        <v>6861</v>
      </c>
    </row>
    <row r="3005" spans="2:5">
      <c r="D3005" s="478" t="s">
        <v>6862</v>
      </c>
    </row>
    <row r="3006" spans="2:5">
      <c r="C3006" s="478" t="s">
        <v>6863</v>
      </c>
    </row>
    <row r="3007" spans="2:5">
      <c r="C3007" s="478"/>
      <c r="D3007" s="478" t="s">
        <v>6869</v>
      </c>
    </row>
    <row r="3008" spans="2:5">
      <c r="C3008" s="478"/>
      <c r="E3008" s="478" t="s">
        <v>6878</v>
      </c>
    </row>
    <row r="3009" spans="2:7">
      <c r="C3009" s="478"/>
      <c r="F3009" s="478" t="s">
        <v>6870</v>
      </c>
    </row>
    <row r="3010" spans="2:7">
      <c r="C3010" s="478"/>
      <c r="G3010" s="478" t="s">
        <v>6871</v>
      </c>
    </row>
    <row r="3011" spans="2:7">
      <c r="C3011" s="478"/>
      <c r="G3011" s="478" t="s">
        <v>6872</v>
      </c>
    </row>
    <row r="3012" spans="2:7">
      <c r="C3012" s="478"/>
      <c r="E3012" s="478" t="s">
        <v>6873</v>
      </c>
    </row>
    <row r="3013" spans="2:7">
      <c r="C3013" s="478" t="s">
        <v>1195</v>
      </c>
      <c r="E3013" s="478"/>
    </row>
    <row r="3014" spans="2:7">
      <c r="C3014" s="478"/>
      <c r="D3014" s="478" t="s">
        <v>6879</v>
      </c>
      <c r="E3014" s="478"/>
    </row>
    <row r="3015" spans="2:7">
      <c r="C3015" s="478"/>
      <c r="D3015" s="478" t="s">
        <v>6880</v>
      </c>
      <c r="E3015" s="478"/>
    </row>
    <row r="3016" spans="2:7">
      <c r="C3016" s="478"/>
      <c r="D3016" s="478" t="s">
        <v>6881</v>
      </c>
      <c r="E3016" s="478"/>
    </row>
    <row r="3017" spans="2:7">
      <c r="B3017" s="478" t="s">
        <v>6865</v>
      </c>
    </row>
    <row r="3018" spans="2:7">
      <c r="B3018" s="478" t="s">
        <v>6866</v>
      </c>
    </row>
    <row r="3019" spans="2:7">
      <c r="B3019" s="478" t="s">
        <v>6867</v>
      </c>
    </row>
    <row r="3020" spans="2:7">
      <c r="B3020" s="478" t="s">
        <v>6868</v>
      </c>
    </row>
    <row r="3021" spans="2:7">
      <c r="B3021" s="478" t="s">
        <v>6874</v>
      </c>
    </row>
    <row r="3022" spans="2:7">
      <c r="C3022" s="478" t="s">
        <v>6875</v>
      </c>
    </row>
    <row r="3023" spans="2:7">
      <c r="C3023" s="478" t="s">
        <v>6876</v>
      </c>
    </row>
    <row r="3024" spans="2:7">
      <c r="D3024" s="478" t="s">
        <v>6877</v>
      </c>
    </row>
    <row r="3025" spans="2:4">
      <c r="B3025" s="478" t="s">
        <v>6882</v>
      </c>
    </row>
    <row r="3026" spans="2:4">
      <c r="C3026" s="478" t="s">
        <v>6883</v>
      </c>
    </row>
    <row r="3027" spans="2:4">
      <c r="C3027" s="478" t="s">
        <v>6884</v>
      </c>
    </row>
    <row r="3028" spans="2:4">
      <c r="D3028" s="478" t="s">
        <v>6885</v>
      </c>
    </row>
    <row r="3029" spans="2:4">
      <c r="D3029" s="478" t="s">
        <v>6886</v>
      </c>
    </row>
    <row r="3030" spans="2:4">
      <c r="C3030" s="478" t="s">
        <v>6887</v>
      </c>
    </row>
    <row r="3031" spans="2:4">
      <c r="B3031" s="478" t="s">
        <v>6888</v>
      </c>
    </row>
    <row r="3032" spans="2:4">
      <c r="B3032" s="478" t="s">
        <v>1665</v>
      </c>
    </row>
    <row r="3033" spans="2:4">
      <c r="C3033" s="478" t="s">
        <v>6890</v>
      </c>
    </row>
    <row r="3034" spans="2:4">
      <c r="C3034" s="478" t="s">
        <v>6889</v>
      </c>
    </row>
    <row r="3035" spans="2:4">
      <c r="D3035" s="478" t="s">
        <v>6893</v>
      </c>
    </row>
    <row r="3036" spans="2:4">
      <c r="D3036" s="478" t="s">
        <v>6891</v>
      </c>
    </row>
    <row r="3037" spans="2:4">
      <c r="D3037" s="478" t="s">
        <v>6892</v>
      </c>
    </row>
    <row r="3038" spans="2:4">
      <c r="D3038" s="478" t="s">
        <v>6894</v>
      </c>
    </row>
    <row r="3039" spans="2:4">
      <c r="D3039" s="478" t="s">
        <v>6895</v>
      </c>
    </row>
    <row r="3040" spans="2:4">
      <c r="C3040" s="478" t="s">
        <v>6896</v>
      </c>
    </row>
    <row r="3041" spans="2:5">
      <c r="C3041" s="478" t="s">
        <v>6897</v>
      </c>
    </row>
    <row r="3043" spans="2:5">
      <c r="C3043" s="478" t="s">
        <v>6898</v>
      </c>
    </row>
    <row r="3044" spans="2:5">
      <c r="B3044" s="478" t="s">
        <v>6899</v>
      </c>
    </row>
    <row r="3045" spans="2:5">
      <c r="C3045" s="478" t="s">
        <v>6900</v>
      </c>
    </row>
    <row r="3046" spans="2:5">
      <c r="B3046" s="478" t="s">
        <v>2377</v>
      </c>
    </row>
    <row r="3047" spans="2:5">
      <c r="C3047" s="478" t="s">
        <v>6901</v>
      </c>
    </row>
    <row r="3048" spans="2:5">
      <c r="C3048" s="478" t="s">
        <v>6902</v>
      </c>
    </row>
    <row r="3049" spans="2:5">
      <c r="C3049" s="478" t="s">
        <v>6903</v>
      </c>
    </row>
    <row r="3050" spans="2:5">
      <c r="D3050" s="478" t="s">
        <v>6904</v>
      </c>
    </row>
    <row r="3051" spans="2:5">
      <c r="C3051" s="478" t="s">
        <v>6905</v>
      </c>
    </row>
    <row r="3052" spans="2:5">
      <c r="D3052" s="478" t="s">
        <v>6906</v>
      </c>
    </row>
    <row r="3053" spans="2:5">
      <c r="D3053" s="478" t="s">
        <v>6907</v>
      </c>
    </row>
    <row r="3054" spans="2:5">
      <c r="E3054" s="478" t="s">
        <v>6908</v>
      </c>
    </row>
    <row r="3055" spans="2:5">
      <c r="E3055" s="478" t="s">
        <v>6909</v>
      </c>
    </row>
    <row r="3056" spans="2:5">
      <c r="C3056" s="478" t="s">
        <v>6910</v>
      </c>
    </row>
    <row r="3057" spans="2:5">
      <c r="D3057" s="478" t="s">
        <v>6911</v>
      </c>
    </row>
    <row r="3058" spans="2:5">
      <c r="C3058" s="478" t="s">
        <v>861</v>
      </c>
    </row>
    <row r="3059" spans="2:5">
      <c r="D3059" s="478" t="s">
        <v>6912</v>
      </c>
    </row>
    <row r="3060" spans="2:5">
      <c r="E3060" s="478" t="s">
        <v>6913</v>
      </c>
    </row>
    <row r="3061" spans="2:5">
      <c r="D3061" s="478" t="s">
        <v>6914</v>
      </c>
    </row>
    <row r="3062" spans="2:5">
      <c r="E3062" s="478" t="s">
        <v>6915</v>
      </c>
    </row>
    <row r="3063" spans="2:5">
      <c r="B3063" s="478" t="s">
        <v>2916</v>
      </c>
    </row>
    <row r="3064" spans="2:5">
      <c r="C3064" s="478" t="s">
        <v>6916</v>
      </c>
    </row>
    <row r="3065" spans="2:5">
      <c r="C3065" s="478" t="s">
        <v>6917</v>
      </c>
    </row>
    <row r="3066" spans="2:5">
      <c r="D3066" s="478" t="s">
        <v>6918</v>
      </c>
    </row>
    <row r="3067" spans="2:5">
      <c r="C3067" s="478" t="s">
        <v>6919</v>
      </c>
    </row>
    <row r="3068" spans="2:5">
      <c r="D3068" s="478" t="s">
        <v>6920</v>
      </c>
    </row>
    <row r="3069" spans="2:5">
      <c r="D3069" s="478" t="s">
        <v>6921</v>
      </c>
    </row>
    <row r="3070" spans="2:5">
      <c r="C3070" s="478" t="s">
        <v>6922</v>
      </c>
    </row>
    <row r="3071" spans="2:5">
      <c r="D3071" s="478" t="s">
        <v>6923</v>
      </c>
    </row>
    <row r="3072" spans="2:5">
      <c r="D3072" s="478" t="s">
        <v>6924</v>
      </c>
    </row>
    <row r="3073" spans="2:4">
      <c r="D3073" s="478" t="s">
        <v>6925</v>
      </c>
    </row>
    <row r="3074" spans="2:4">
      <c r="C3074" s="478" t="s">
        <v>6926</v>
      </c>
    </row>
    <row r="3075" spans="2:4">
      <c r="C3075" s="478" t="s">
        <v>6927</v>
      </c>
    </row>
    <row r="3076" spans="2:4">
      <c r="C3076" s="478" t="s">
        <v>6928</v>
      </c>
    </row>
    <row r="3077" spans="2:4">
      <c r="D3077" s="478" t="s">
        <v>6929</v>
      </c>
    </row>
    <row r="3078" spans="2:4">
      <c r="D3078" s="478" t="s">
        <v>6930</v>
      </c>
    </row>
    <row r="3079" spans="2:4">
      <c r="C3079" s="478" t="s">
        <v>6931</v>
      </c>
      <c r="D3079" s="478"/>
    </row>
    <row r="3080" spans="2:4">
      <c r="C3080" s="478" t="s">
        <v>6932</v>
      </c>
    </row>
    <row r="3081" spans="2:4">
      <c r="B3081" s="478" t="s">
        <v>1381</v>
      </c>
    </row>
    <row r="3082" spans="2:4">
      <c r="C3082" s="478" t="s">
        <v>6933</v>
      </c>
    </row>
    <row r="3083" spans="2:4">
      <c r="C3083" s="478" t="s">
        <v>6934</v>
      </c>
    </row>
    <row r="3084" spans="2:4">
      <c r="D3084" s="478" t="s">
        <v>6935</v>
      </c>
    </row>
    <row r="3085" spans="2:4">
      <c r="C3085" s="478" t="s">
        <v>6936</v>
      </c>
    </row>
    <row r="3086" spans="2:4">
      <c r="C3086" s="478" t="s">
        <v>6940</v>
      </c>
    </row>
    <row r="3087" spans="2:4">
      <c r="C3087" s="499" t="s">
        <v>6937</v>
      </c>
    </row>
    <row r="3088" spans="2:4">
      <c r="C3088" s="499" t="s">
        <v>6938</v>
      </c>
    </row>
    <row r="3089" spans="2:4">
      <c r="C3089" s="499" t="s">
        <v>6939</v>
      </c>
    </row>
    <row r="3090" spans="2:4">
      <c r="B3090" s="478" t="s">
        <v>6941</v>
      </c>
    </row>
    <row r="3091" spans="2:4">
      <c r="C3091" s="478" t="s">
        <v>6942</v>
      </c>
    </row>
    <row r="3092" spans="2:4">
      <c r="C3092" s="478" t="s">
        <v>6943</v>
      </c>
    </row>
    <row r="3093" spans="2:4">
      <c r="C3093" s="478" t="s">
        <v>6944</v>
      </c>
    </row>
    <row r="3094" spans="2:4">
      <c r="D3094" s="478" t="s">
        <v>6945</v>
      </c>
    </row>
    <row r="3095" spans="2:4">
      <c r="C3095" s="478" t="s">
        <v>6946</v>
      </c>
    </row>
    <row r="3096" spans="2:4">
      <c r="C3096" s="478" t="s">
        <v>6947</v>
      </c>
    </row>
    <row r="3098" spans="2:4">
      <c r="B3098" s="627" t="s">
        <v>6951</v>
      </c>
    </row>
    <row r="3099" spans="2:4">
      <c r="B3099" s="627"/>
    </row>
    <row r="3100" spans="2:4">
      <c r="B3100" s="478" t="s">
        <v>6948</v>
      </c>
    </row>
    <row r="3101" spans="2:4">
      <c r="C3101" s="499" t="s">
        <v>6949</v>
      </c>
    </row>
    <row r="3102" spans="2:4">
      <c r="C3102" s="478" t="s">
        <v>2377</v>
      </c>
    </row>
    <row r="3103" spans="2:4">
      <c r="C3103" s="478" t="s">
        <v>6950</v>
      </c>
    </row>
    <row r="3104" spans="2:4">
      <c r="C3104" s="478"/>
      <c r="D3104" s="478" t="s">
        <v>6955</v>
      </c>
    </row>
    <row r="3105" spans="2:4">
      <c r="C3105" s="478"/>
      <c r="D3105" s="478" t="s">
        <v>6952</v>
      </c>
    </row>
    <row r="3106" spans="2:4">
      <c r="C3106" s="478" t="s">
        <v>6953</v>
      </c>
    </row>
    <row r="3107" spans="2:4">
      <c r="B3107" s="478" t="s">
        <v>6954</v>
      </c>
    </row>
    <row r="3108" spans="2:4">
      <c r="B3108" s="478"/>
      <c r="C3108" s="478" t="s">
        <v>6957</v>
      </c>
    </row>
    <row r="3109" spans="2:4">
      <c r="B3109" s="478" t="s">
        <v>6956</v>
      </c>
    </row>
    <row r="3110" spans="2:4">
      <c r="B3110" s="478" t="s">
        <v>6958</v>
      </c>
    </row>
    <row r="3111" spans="2:4">
      <c r="C3111" s="478" t="s">
        <v>6959</v>
      </c>
    </row>
    <row r="3113" spans="2:4">
      <c r="B3113" s="478" t="s">
        <v>2377</v>
      </c>
    </row>
    <row r="3114" spans="2:4">
      <c r="C3114" s="478" t="s">
        <v>6960</v>
      </c>
    </row>
    <row r="3115" spans="2:4">
      <c r="D3115" s="478" t="s">
        <v>6961</v>
      </c>
    </row>
    <row r="3116" spans="2:4">
      <c r="C3116" s="478" t="s">
        <v>6962</v>
      </c>
    </row>
    <row r="3117" spans="2:4">
      <c r="C3117" s="478" t="s">
        <v>6963</v>
      </c>
      <c r="D3117">
        <v>146</v>
      </c>
    </row>
    <row r="3118" spans="2:4">
      <c r="C3118" s="478" t="s">
        <v>3343</v>
      </c>
      <c r="D3118">
        <v>59</v>
      </c>
    </row>
    <row r="3119" spans="2:4">
      <c r="C3119" s="478" t="s">
        <v>6964</v>
      </c>
    </row>
    <row r="3120" spans="2:4">
      <c r="B3120" s="478" t="s">
        <v>1665</v>
      </c>
    </row>
    <row r="3121" spans="2:9">
      <c r="C3121" s="478" t="s">
        <v>6965</v>
      </c>
    </row>
    <row r="3122" spans="2:9">
      <c r="D3122" s="478" t="s">
        <v>6966</v>
      </c>
    </row>
    <row r="3123" spans="2:9">
      <c r="C3123" s="478" t="s">
        <v>6967</v>
      </c>
    </row>
    <row r="3124" spans="2:9">
      <c r="D3124" s="478" t="s">
        <v>6968</v>
      </c>
    </row>
    <row r="3125" spans="2:9">
      <c r="C3125" s="478" t="s">
        <v>6969</v>
      </c>
    </row>
    <row r="3126" spans="2:9">
      <c r="C3126" s="478" t="s">
        <v>6970</v>
      </c>
    </row>
    <row r="3127" spans="2:9">
      <c r="C3127" s="478" t="s">
        <v>6971</v>
      </c>
    </row>
    <row r="3128" spans="2:9">
      <c r="D3128" s="478" t="s">
        <v>6972</v>
      </c>
      <c r="G3128" s="627">
        <v>2021</v>
      </c>
      <c r="H3128" s="599" t="s">
        <v>1644</v>
      </c>
      <c r="I3128" s="599" t="s">
        <v>1644</v>
      </c>
    </row>
    <row r="3129" spans="2:9">
      <c r="C3129" s="478" t="s">
        <v>6963</v>
      </c>
      <c r="D3129">
        <v>324</v>
      </c>
      <c r="G3129" s="464">
        <f>Cons!G62</f>
        <v>1319</v>
      </c>
      <c r="H3129">
        <v>1311</v>
      </c>
      <c r="I3129" s="478" t="s">
        <v>6973</v>
      </c>
    </row>
    <row r="3130" spans="2:9">
      <c r="C3130" s="478" t="s">
        <v>3343</v>
      </c>
      <c r="D3130">
        <v>118</v>
      </c>
      <c r="G3130" s="464">
        <f>Cons!G64</f>
        <v>441</v>
      </c>
      <c r="H3130">
        <v>480</v>
      </c>
    </row>
    <row r="3131" spans="2:9">
      <c r="B3131" s="478" t="s">
        <v>2376</v>
      </c>
    </row>
    <row r="3132" spans="2:9">
      <c r="B3132" s="499" t="s">
        <v>6987</v>
      </c>
      <c r="C3132" s="478" t="s">
        <v>6974</v>
      </c>
    </row>
    <row r="3133" spans="2:9">
      <c r="C3133" s="478" t="s">
        <v>6975</v>
      </c>
    </row>
    <row r="3134" spans="2:9">
      <c r="D3134" s="478" t="s">
        <v>6976</v>
      </c>
    </row>
    <row r="3135" spans="2:9">
      <c r="C3135" s="478" t="s">
        <v>6963</v>
      </c>
      <c r="D3135">
        <v>85</v>
      </c>
    </row>
    <row r="3136" spans="2:9">
      <c r="C3136" s="478" t="s">
        <v>3343</v>
      </c>
      <c r="D3136">
        <v>35</v>
      </c>
      <c r="E3136" s="478" t="s">
        <v>6977</v>
      </c>
    </row>
    <row r="3137" spans="2:5">
      <c r="B3137" s="478" t="s">
        <v>2379</v>
      </c>
    </row>
    <row r="3138" spans="2:5">
      <c r="B3138" s="499" t="s">
        <v>6986</v>
      </c>
      <c r="C3138" s="478" t="s">
        <v>6978</v>
      </c>
    </row>
    <row r="3139" spans="2:5">
      <c r="C3139" s="478" t="s">
        <v>6979</v>
      </c>
    </row>
    <row r="3140" spans="2:5">
      <c r="C3140" s="478" t="s">
        <v>6980</v>
      </c>
    </row>
    <row r="3141" spans="2:5">
      <c r="C3141" s="478" t="s">
        <v>6981</v>
      </c>
    </row>
    <row r="3142" spans="2:5">
      <c r="C3142" s="478" t="s">
        <v>6982</v>
      </c>
    </row>
    <row r="3143" spans="2:5">
      <c r="C3143" s="478" t="s">
        <v>6983</v>
      </c>
    </row>
    <row r="3144" spans="2:5">
      <c r="C3144" s="478" t="s">
        <v>6963</v>
      </c>
      <c r="D3144">
        <v>326</v>
      </c>
      <c r="E3144" s="478" t="s">
        <v>6984</v>
      </c>
    </row>
    <row r="3145" spans="2:5">
      <c r="C3145" s="478" t="s">
        <v>3343</v>
      </c>
      <c r="D3145">
        <v>35</v>
      </c>
      <c r="E3145" s="478" t="s">
        <v>6985</v>
      </c>
    </row>
    <row r="3146" spans="2:5">
      <c r="B3146" s="478" t="s">
        <v>2380</v>
      </c>
    </row>
    <row r="3147" spans="2:5">
      <c r="C3147" s="478" t="s">
        <v>6988</v>
      </c>
    </row>
    <row r="3148" spans="2:5">
      <c r="C3148" s="478" t="s">
        <v>6989</v>
      </c>
    </row>
    <row r="3149" spans="2:5">
      <c r="C3149" s="478" t="s">
        <v>6990</v>
      </c>
    </row>
    <row r="3150" spans="2:5">
      <c r="C3150" s="478" t="s">
        <v>6991</v>
      </c>
    </row>
    <row r="3151" spans="2:5">
      <c r="C3151" s="478" t="s">
        <v>6992</v>
      </c>
    </row>
    <row r="3152" spans="2:5">
      <c r="C3152" s="478" t="s">
        <v>6963</v>
      </c>
      <c r="D3152">
        <v>134</v>
      </c>
    </row>
    <row r="3153" spans="2:4">
      <c r="C3153" s="478" t="s">
        <v>3343</v>
      </c>
      <c r="D3153">
        <v>65</v>
      </c>
    </row>
    <row r="3154" spans="2:4">
      <c r="B3154" s="478" t="s">
        <v>2032</v>
      </c>
    </row>
    <row r="3155" spans="2:4">
      <c r="C3155" s="478" t="s">
        <v>6993</v>
      </c>
    </row>
    <row r="3156" spans="2:4">
      <c r="C3156" s="478" t="s">
        <v>6994</v>
      </c>
    </row>
    <row r="3157" spans="2:4">
      <c r="C3157" s="478" t="s">
        <v>6996</v>
      </c>
    </row>
    <row r="3158" spans="2:4">
      <c r="C3158" s="478" t="s">
        <v>6995</v>
      </c>
    </row>
    <row r="3159" spans="2:4">
      <c r="C3159" s="478" t="s">
        <v>6963</v>
      </c>
      <c r="D3159">
        <v>144</v>
      </c>
    </row>
    <row r="3160" spans="2:4">
      <c r="C3160" s="478" t="s">
        <v>3343</v>
      </c>
      <c r="D3160">
        <v>66</v>
      </c>
    </row>
    <row r="3161" spans="2:4">
      <c r="B3161" s="478" t="s">
        <v>2378</v>
      </c>
    </row>
    <row r="3162" spans="2:4">
      <c r="C3162" s="478" t="s">
        <v>6997</v>
      </c>
    </row>
    <row r="3163" spans="2:4">
      <c r="C3163" s="478" t="s">
        <v>6998</v>
      </c>
    </row>
    <row r="3164" spans="2:4">
      <c r="C3164" s="478" t="s">
        <v>6999</v>
      </c>
    </row>
    <row r="3165" spans="2:4">
      <c r="C3165" s="478" t="s">
        <v>7000</v>
      </c>
    </row>
    <row r="3166" spans="2:4">
      <c r="C3166" s="478" t="s">
        <v>6963</v>
      </c>
      <c r="D3166">
        <v>126</v>
      </c>
    </row>
    <row r="3167" spans="2:4">
      <c r="C3167" s="478" t="s">
        <v>3343</v>
      </c>
      <c r="D3167">
        <v>63</v>
      </c>
    </row>
    <row r="3168" spans="2:4">
      <c r="B3168" s="478" t="s">
        <v>7001</v>
      </c>
    </row>
    <row r="3169" spans="2:5">
      <c r="C3169" s="478" t="s">
        <v>7002</v>
      </c>
    </row>
    <row r="3170" spans="2:5">
      <c r="C3170" s="478" t="s">
        <v>7003</v>
      </c>
    </row>
    <row r="3171" spans="2:5">
      <c r="C3171" s="478" t="s">
        <v>6963</v>
      </c>
      <c r="D3171">
        <v>87</v>
      </c>
    </row>
    <row r="3172" spans="2:5">
      <c r="C3172" s="478" t="s">
        <v>3343</v>
      </c>
      <c r="D3172">
        <v>34</v>
      </c>
    </row>
    <row r="3173" spans="2:5">
      <c r="B3173" s="627" t="s">
        <v>7004</v>
      </c>
      <c r="D3173" s="1166" t="s">
        <v>7005</v>
      </c>
      <c r="E3173" s="1166" t="s">
        <v>7006</v>
      </c>
    </row>
    <row r="3174" spans="2:5">
      <c r="C3174" s="478" t="s">
        <v>6963</v>
      </c>
      <c r="D3174">
        <v>1372</v>
      </c>
      <c r="E3174">
        <v>1357</v>
      </c>
    </row>
    <row r="3175" spans="2:5">
      <c r="C3175" s="478" t="s">
        <v>3343</v>
      </c>
      <c r="D3175">
        <v>603</v>
      </c>
      <c r="E3175">
        <v>590</v>
      </c>
    </row>
    <row r="3177" spans="2:5">
      <c r="B3177" s="478" t="s">
        <v>7007</v>
      </c>
    </row>
    <row r="3178" spans="2:5">
      <c r="C3178" s="478" t="s">
        <v>7008</v>
      </c>
    </row>
    <row r="3179" spans="2:5">
      <c r="C3179" s="1197" t="s">
        <v>7009</v>
      </c>
    </row>
    <row r="3180" spans="2:5">
      <c r="B3180" s="478" t="s">
        <v>7010</v>
      </c>
    </row>
    <row r="3181" spans="2:5">
      <c r="C3181" s="478" t="s">
        <v>7011</v>
      </c>
    </row>
    <row r="3182" spans="2:5">
      <c r="C3182" s="478" t="s">
        <v>7012</v>
      </c>
    </row>
    <row r="3183" spans="2:5">
      <c r="D3183" s="478" t="s">
        <v>7013</v>
      </c>
    </row>
    <row r="3185" spans="2:3">
      <c r="B3185" s="627" t="s">
        <v>565</v>
      </c>
    </row>
    <row r="3187" spans="2:3">
      <c r="B3187" s="478" t="s">
        <v>7014</v>
      </c>
    </row>
    <row r="3188" spans="2:3">
      <c r="B3188" s="478"/>
      <c r="C3188" s="478" t="s">
        <v>7016</v>
      </c>
    </row>
    <row r="3189" spans="2:3">
      <c r="B3189" s="478" t="s">
        <v>2379</v>
      </c>
    </row>
    <row r="3190" spans="2:3">
      <c r="C3190" s="478" t="s">
        <v>7015</v>
      </c>
    </row>
    <row r="3191" spans="2:3">
      <c r="C3191" s="478" t="s">
        <v>7017</v>
      </c>
    </row>
    <row r="3192" spans="2:3">
      <c r="C3192" s="478" t="s">
        <v>7018</v>
      </c>
    </row>
    <row r="3193" spans="2:3">
      <c r="B3193" s="478" t="s">
        <v>7019</v>
      </c>
    </row>
    <row r="3194" spans="2:3">
      <c r="B3194" s="478" t="s">
        <v>2376</v>
      </c>
    </row>
    <row r="3195" spans="2:3">
      <c r="C3195" s="478" t="s">
        <v>7020</v>
      </c>
    </row>
    <row r="3196" spans="2:3">
      <c r="C3196" s="478" t="s">
        <v>7021</v>
      </c>
    </row>
    <row r="3197" spans="2:3">
      <c r="C3197" s="478" t="s">
        <v>7029</v>
      </c>
    </row>
    <row r="3198" spans="2:3">
      <c r="B3198" s="478" t="s">
        <v>6825</v>
      </c>
    </row>
    <row r="3199" spans="2:3">
      <c r="C3199" s="478" t="s">
        <v>7022</v>
      </c>
    </row>
    <row r="3200" spans="2:3">
      <c r="C3200" s="478" t="s">
        <v>7023</v>
      </c>
    </row>
    <row r="3201" spans="2:5">
      <c r="C3201" s="478" t="s">
        <v>7024</v>
      </c>
    </row>
    <row r="3202" spans="2:5">
      <c r="C3202" s="478" t="s">
        <v>7025</v>
      </c>
    </row>
    <row r="3203" spans="2:5">
      <c r="C3203" s="478" t="s">
        <v>7026</v>
      </c>
    </row>
    <row r="3204" spans="2:5">
      <c r="C3204" s="478" t="s">
        <v>7027</v>
      </c>
    </row>
    <row r="3205" spans="2:5">
      <c r="C3205" s="478" t="s">
        <v>7028</v>
      </c>
    </row>
    <row r="3207" spans="2:5">
      <c r="B3207" s="627" t="s">
        <v>7045</v>
      </c>
    </row>
    <row r="3209" spans="2:5">
      <c r="B3209" s="478" t="s">
        <v>1665</v>
      </c>
      <c r="C3209" s="478" t="s">
        <v>7053</v>
      </c>
    </row>
    <row r="3210" spans="2:5">
      <c r="C3210" s="478" t="s">
        <v>5322</v>
      </c>
      <c r="D3210" s="583">
        <v>7.4999999999999997E-2</v>
      </c>
      <c r="E3210" s="478" t="s">
        <v>7052</v>
      </c>
    </row>
    <row r="3212" spans="2:5">
      <c r="B3212" s="478" t="s">
        <v>1552</v>
      </c>
      <c r="C3212" s="478" t="s">
        <v>7054</v>
      </c>
    </row>
    <row r="3214" spans="2:5">
      <c r="B3214" s="478" t="s">
        <v>565</v>
      </c>
    </row>
    <row r="3215" spans="2:5">
      <c r="C3215" s="478" t="s">
        <v>7055</v>
      </c>
    </row>
    <row r="3216" spans="2:5">
      <c r="B3216" s="478" t="s">
        <v>7056</v>
      </c>
    </row>
    <row r="3217" spans="2:4">
      <c r="C3217" s="478" t="s">
        <v>7057</v>
      </c>
    </row>
    <row r="3218" spans="2:4">
      <c r="D3218" s="478" t="s">
        <v>7058</v>
      </c>
    </row>
    <row r="3219" spans="2:4">
      <c r="D3219" s="478" t="s">
        <v>7059</v>
      </c>
    </row>
    <row r="3220" spans="2:4">
      <c r="C3220" s="478" t="s">
        <v>7060</v>
      </c>
    </row>
    <row r="3221" spans="2:4">
      <c r="C3221" s="478" t="s">
        <v>7061</v>
      </c>
    </row>
    <row r="3222" spans="2:4">
      <c r="C3222" s="478" t="s">
        <v>7064</v>
      </c>
    </row>
    <row r="3223" spans="2:4">
      <c r="B3223" s="478" t="s">
        <v>7062</v>
      </c>
    </row>
    <row r="3224" spans="2:4">
      <c r="C3224" s="478" t="s">
        <v>7063</v>
      </c>
    </row>
    <row r="3225" spans="2:4">
      <c r="B3225" s="478" t="s">
        <v>1665</v>
      </c>
      <c r="C3225" s="478"/>
    </row>
    <row r="3226" spans="2:4">
      <c r="C3226" s="478" t="s">
        <v>7065</v>
      </c>
    </row>
    <row r="3227" spans="2:4">
      <c r="C3227" s="478" t="s">
        <v>7066</v>
      </c>
    </row>
    <row r="3228" spans="2:4">
      <c r="C3228" s="478" t="s">
        <v>7067</v>
      </c>
    </row>
    <row r="3229" spans="2:4">
      <c r="C3229" s="478"/>
      <c r="D3229" s="478" t="s">
        <v>7068</v>
      </c>
    </row>
    <row r="3230" spans="2:4">
      <c r="C3230" s="478"/>
      <c r="D3230" s="478" t="s">
        <v>7069</v>
      </c>
    </row>
    <row r="3231" spans="2:4">
      <c r="C3231" s="478"/>
      <c r="D3231" s="478" t="s">
        <v>7070</v>
      </c>
    </row>
    <row r="3232" spans="2:4">
      <c r="C3232" s="478" t="s">
        <v>7071</v>
      </c>
      <c r="D3232" s="478"/>
    </row>
    <row r="3233" spans="2:6">
      <c r="C3233" s="478" t="s">
        <v>7072</v>
      </c>
      <c r="D3233" s="478"/>
    </row>
    <row r="3234" spans="2:6">
      <c r="C3234" s="478" t="s">
        <v>7073</v>
      </c>
      <c r="D3234" s="478"/>
    </row>
    <row r="3235" spans="2:6">
      <c r="C3235" s="478" t="s">
        <v>7074</v>
      </c>
      <c r="D3235" s="478"/>
    </row>
    <row r="3236" spans="2:6">
      <c r="C3236" s="478"/>
      <c r="D3236" s="478" t="s">
        <v>7075</v>
      </c>
    </row>
    <row r="3237" spans="2:6">
      <c r="C3237" s="478"/>
      <c r="D3237" s="478"/>
      <c r="E3237" s="478" t="s">
        <v>3064</v>
      </c>
      <c r="F3237" s="478" t="s">
        <v>7076</v>
      </c>
    </row>
    <row r="3238" spans="2:6">
      <c r="C3238" s="478"/>
      <c r="D3238" s="478"/>
      <c r="E3238" s="478" t="s">
        <v>3065</v>
      </c>
    </row>
    <row r="3239" spans="2:6">
      <c r="C3239" s="478" t="s">
        <v>7080</v>
      </c>
      <c r="D3239" s="478"/>
      <c r="E3239" s="478"/>
    </row>
    <row r="3240" spans="2:6">
      <c r="C3240" s="478"/>
      <c r="D3240" s="478" t="s">
        <v>7082</v>
      </c>
      <c r="E3240" s="478"/>
    </row>
    <row r="3241" spans="2:6">
      <c r="C3241" s="478" t="s">
        <v>7081</v>
      </c>
      <c r="D3241" s="478"/>
      <c r="E3241" s="478"/>
    </row>
    <row r="3242" spans="2:6">
      <c r="C3242" s="478"/>
      <c r="D3242" s="478" t="s">
        <v>2789</v>
      </c>
      <c r="E3242" s="478"/>
    </row>
    <row r="3243" spans="2:6">
      <c r="C3243" s="478" t="s">
        <v>5322</v>
      </c>
      <c r="D3243" s="478"/>
      <c r="E3243" s="478"/>
    </row>
    <row r="3244" spans="2:6">
      <c r="C3244" s="478"/>
      <c r="D3244" s="478" t="s">
        <v>7077</v>
      </c>
      <c r="E3244" s="478"/>
    </row>
    <row r="3245" spans="2:6">
      <c r="C3245" s="478"/>
      <c r="D3245" s="478" t="s">
        <v>7078</v>
      </c>
      <c r="E3245" s="478"/>
    </row>
    <row r="3246" spans="2:6">
      <c r="C3246" s="478" t="s">
        <v>7079</v>
      </c>
      <c r="D3246" s="478"/>
      <c r="E3246" s="478"/>
    </row>
    <row r="3247" spans="2:6">
      <c r="B3247" s="478" t="s">
        <v>7083</v>
      </c>
      <c r="C3247" s="478"/>
      <c r="D3247" s="478"/>
      <c r="E3247" s="478"/>
    </row>
    <row r="3248" spans="2:6">
      <c r="C3248" s="478" t="s">
        <v>7084</v>
      </c>
      <c r="D3248" s="478"/>
      <c r="E3248" s="478"/>
    </row>
    <row r="3249" spans="2:5">
      <c r="C3249" s="478" t="s">
        <v>7085</v>
      </c>
      <c r="D3249" s="478"/>
      <c r="E3249" s="478"/>
    </row>
    <row r="3250" spans="2:5">
      <c r="C3250" s="478" t="s">
        <v>7086</v>
      </c>
      <c r="D3250" s="478"/>
      <c r="E3250" s="478"/>
    </row>
    <row r="3251" spans="2:5">
      <c r="C3251" s="478" t="s">
        <v>7087</v>
      </c>
      <c r="D3251" s="478"/>
      <c r="E3251" s="478"/>
    </row>
    <row r="3252" spans="2:5">
      <c r="C3252" s="478" t="s">
        <v>7088</v>
      </c>
      <c r="D3252" s="478"/>
      <c r="E3252" s="478"/>
    </row>
    <row r="3253" spans="2:5">
      <c r="B3253" s="478" t="s">
        <v>2377</v>
      </c>
      <c r="C3253" s="478"/>
      <c r="D3253" s="478"/>
      <c r="E3253" s="478"/>
    </row>
    <row r="3254" spans="2:5">
      <c r="B3254" s="478"/>
      <c r="C3254" s="478" t="s">
        <v>7089</v>
      </c>
      <c r="D3254" s="478"/>
      <c r="E3254" s="478"/>
    </row>
    <row r="3255" spans="2:5">
      <c r="B3255" s="478"/>
      <c r="C3255" s="478" t="s">
        <v>7090</v>
      </c>
      <c r="D3255" s="478"/>
      <c r="E3255" s="478"/>
    </row>
    <row r="3256" spans="2:5">
      <c r="B3256" s="478" t="s">
        <v>7095</v>
      </c>
      <c r="C3256" s="478"/>
      <c r="D3256" s="478"/>
      <c r="E3256" s="478"/>
    </row>
    <row r="3257" spans="2:5">
      <c r="B3257" s="478"/>
      <c r="C3257" s="478" t="s">
        <v>7096</v>
      </c>
      <c r="D3257" s="478"/>
      <c r="E3257" s="478"/>
    </row>
    <row r="3258" spans="2:5">
      <c r="B3258" s="478"/>
      <c r="C3258" s="478" t="s">
        <v>7097</v>
      </c>
      <c r="D3258" s="478"/>
      <c r="E3258" s="478"/>
    </row>
    <row r="3259" spans="2:5">
      <c r="B3259" s="478"/>
      <c r="C3259" s="478" t="s">
        <v>7098</v>
      </c>
      <c r="D3259" s="478"/>
      <c r="E3259" s="478"/>
    </row>
    <row r="3260" spans="2:5">
      <c r="B3260" s="478"/>
      <c r="C3260" s="478" t="s">
        <v>7099</v>
      </c>
      <c r="D3260" s="478"/>
      <c r="E3260" s="478"/>
    </row>
    <row r="3261" spans="2:5">
      <c r="B3261" s="478"/>
      <c r="C3261" s="478" t="s">
        <v>7100</v>
      </c>
      <c r="D3261" s="478"/>
      <c r="E3261" s="478"/>
    </row>
    <row r="3262" spans="2:5">
      <c r="B3262" s="478" t="s">
        <v>4143</v>
      </c>
      <c r="C3262" s="478"/>
      <c r="D3262" s="478"/>
      <c r="E3262" s="478"/>
    </row>
    <row r="3263" spans="2:5">
      <c r="B3263" s="478"/>
      <c r="C3263" s="478"/>
      <c r="D3263" s="478"/>
      <c r="E3263" s="478"/>
    </row>
    <row r="3264" spans="2:5">
      <c r="B3264" s="478" t="s">
        <v>7101</v>
      </c>
      <c r="C3264" s="478"/>
      <c r="D3264" s="478"/>
      <c r="E3264" s="478"/>
    </row>
    <row r="3265" spans="2:5">
      <c r="B3265" s="478"/>
      <c r="C3265" s="478" t="s">
        <v>7102</v>
      </c>
      <c r="D3265" s="478"/>
      <c r="E3265" s="478"/>
    </row>
    <row r="3266" spans="2:5">
      <c r="B3266" s="627" t="s">
        <v>7091</v>
      </c>
      <c r="C3266" s="478"/>
      <c r="D3266" s="478"/>
      <c r="E3266" s="478"/>
    </row>
    <row r="3267" spans="2:5">
      <c r="B3267" s="478" t="s">
        <v>7092</v>
      </c>
      <c r="C3267" s="478"/>
      <c r="D3267" s="478"/>
      <c r="E3267" s="478"/>
    </row>
    <row r="3268" spans="2:5">
      <c r="B3268" s="478" t="s">
        <v>7093</v>
      </c>
      <c r="C3268" s="478"/>
      <c r="D3268" s="478"/>
      <c r="E3268" s="478"/>
    </row>
    <row r="3269" spans="2:5">
      <c r="B3269" s="478" t="s">
        <v>7094</v>
      </c>
      <c r="C3269" s="478"/>
      <c r="D3269" s="478"/>
      <c r="E3269" s="478"/>
    </row>
    <row r="3270" spans="2:5">
      <c r="C3270" s="478"/>
      <c r="D3270" s="478"/>
      <c r="E3270" s="478"/>
    </row>
    <row r="3271" spans="2:5">
      <c r="B3271" s="627" t="s">
        <v>7095</v>
      </c>
      <c r="C3271" s="478"/>
      <c r="D3271" s="478"/>
      <c r="E3271" s="478"/>
    </row>
    <row r="3272" spans="2:5">
      <c r="B3272" s="478" t="s">
        <v>7103</v>
      </c>
      <c r="C3272" s="478"/>
      <c r="D3272" s="478"/>
      <c r="E3272" s="478"/>
    </row>
    <row r="3273" spans="2:5">
      <c r="C3273" s="478"/>
      <c r="D3273" s="478"/>
      <c r="E3273" s="478"/>
    </row>
    <row r="3274" spans="2:5">
      <c r="B3274" s="478" t="s">
        <v>7105</v>
      </c>
      <c r="C3274" s="478"/>
      <c r="D3274" s="478"/>
      <c r="E3274" s="478"/>
    </row>
    <row r="3275" spans="2:5">
      <c r="B3275" s="478" t="s">
        <v>7104</v>
      </c>
    </row>
    <row r="3276" spans="2:5">
      <c r="B3276" s="478"/>
      <c r="C3276" s="478" t="s">
        <v>7108</v>
      </c>
    </row>
    <row r="3277" spans="2:5">
      <c r="C3277" s="478" t="s">
        <v>7106</v>
      </c>
    </row>
    <row r="3278" spans="2:5">
      <c r="C3278" s="478" t="s">
        <v>7107</v>
      </c>
    </row>
    <row r="3279" spans="2:5">
      <c r="B3279" s="478" t="s">
        <v>7109</v>
      </c>
    </row>
    <row r="3280" spans="2:5">
      <c r="C3280" s="478" t="s">
        <v>7110</v>
      </c>
    </row>
    <row r="3281" spans="2:4">
      <c r="C3281" s="478" t="s">
        <v>7111</v>
      </c>
    </row>
    <row r="3282" spans="2:4">
      <c r="D3282" s="478" t="s">
        <v>7112</v>
      </c>
    </row>
    <row r="3283" spans="2:4">
      <c r="B3283" s="478" t="s">
        <v>7113</v>
      </c>
    </row>
    <row r="3284" spans="2:4">
      <c r="B3284" s="478" t="s">
        <v>7114</v>
      </c>
    </row>
    <row r="3285" spans="2:4">
      <c r="C3285" s="478" t="s">
        <v>7115</v>
      </c>
    </row>
    <row r="3286" spans="2:4">
      <c r="B3286" s="478" t="s">
        <v>7116</v>
      </c>
    </row>
    <row r="3287" spans="2:4">
      <c r="C3287" s="478" t="s">
        <v>7117</v>
      </c>
    </row>
    <row r="3288" spans="2:4">
      <c r="C3288" s="478" t="s">
        <v>7118</v>
      </c>
    </row>
    <row r="3289" spans="2:4">
      <c r="B3289" s="478" t="s">
        <v>7119</v>
      </c>
    </row>
    <row r="3290" spans="2:4">
      <c r="C3290" s="478" t="s">
        <v>7120</v>
      </c>
    </row>
    <row r="3291" spans="2:4">
      <c r="C3291" s="478" t="s">
        <v>7121</v>
      </c>
    </row>
    <row r="3292" spans="2:4">
      <c r="C3292" s="478" t="s">
        <v>7122</v>
      </c>
    </row>
    <row r="3293" spans="2:4">
      <c r="C3293" s="478" t="s">
        <v>7123</v>
      </c>
    </row>
    <row r="3294" spans="2:4">
      <c r="B3294" s="478" t="s">
        <v>7124</v>
      </c>
    </row>
    <row r="3295" spans="2:4">
      <c r="C3295" s="478" t="s">
        <v>7125</v>
      </c>
    </row>
    <row r="3296" spans="2:4">
      <c r="C3296" s="478" t="s">
        <v>7126</v>
      </c>
    </row>
    <row r="3297" spans="2:4">
      <c r="C3297" s="478"/>
      <c r="D3297" s="478" t="s">
        <v>7131</v>
      </c>
    </row>
    <row r="3298" spans="2:4">
      <c r="C3298" s="478"/>
      <c r="D3298" s="478" t="s">
        <v>7132</v>
      </c>
    </row>
    <row r="3299" spans="2:4">
      <c r="C3299" s="478" t="s">
        <v>7127</v>
      </c>
    </row>
    <row r="3300" spans="2:4">
      <c r="D3300" s="478" t="s">
        <v>7128</v>
      </c>
    </row>
    <row r="3301" spans="2:4">
      <c r="D3301" s="478" t="s">
        <v>7129</v>
      </c>
    </row>
    <row r="3302" spans="2:4">
      <c r="C3302" s="478" t="s">
        <v>7130</v>
      </c>
    </row>
    <row r="3303" spans="2:4">
      <c r="B3303" s="478" t="s">
        <v>7133</v>
      </c>
    </row>
    <row r="3304" spans="2:4">
      <c r="C3304" s="478" t="s">
        <v>7134</v>
      </c>
    </row>
    <row r="3305" spans="2:4">
      <c r="B3305" s="478" t="s">
        <v>2379</v>
      </c>
    </row>
    <row r="3306" spans="2:4">
      <c r="C3306" s="478" t="s">
        <v>7135</v>
      </c>
    </row>
    <row r="3307" spans="2:4">
      <c r="C3307" s="478" t="s">
        <v>7136</v>
      </c>
    </row>
    <row r="3308" spans="2:4">
      <c r="B3308" s="478" t="s">
        <v>1665</v>
      </c>
    </row>
    <row r="3309" spans="2:4">
      <c r="C3309" s="478" t="s">
        <v>7138</v>
      </c>
    </row>
    <row r="3310" spans="2:4">
      <c r="C3310" s="478" t="s">
        <v>7137</v>
      </c>
    </row>
    <row r="3311" spans="2:4">
      <c r="C3311" s="478" t="s">
        <v>7139</v>
      </c>
    </row>
    <row r="3312" spans="2:4">
      <c r="B3312" s="478" t="s">
        <v>7140</v>
      </c>
    </row>
    <row r="3313" spans="2:4">
      <c r="C3313" s="478" t="s">
        <v>7141</v>
      </c>
    </row>
    <row r="3314" spans="2:4">
      <c r="C3314" s="478" t="s">
        <v>7142</v>
      </c>
    </row>
    <row r="3315" spans="2:4">
      <c r="C3315" s="478" t="s">
        <v>7143</v>
      </c>
    </row>
    <row r="3316" spans="2:4">
      <c r="B3316" s="478" t="s">
        <v>1665</v>
      </c>
    </row>
    <row r="3317" spans="2:4">
      <c r="C3317" s="478" t="s">
        <v>7144</v>
      </c>
    </row>
    <row r="3318" spans="2:4">
      <c r="C3318" s="478" t="s">
        <v>7145</v>
      </c>
    </row>
    <row r="3319" spans="2:4">
      <c r="B3319" s="478" t="s">
        <v>7146</v>
      </c>
    </row>
    <row r="3320" spans="2:4">
      <c r="C3320" s="478" t="s">
        <v>7147</v>
      </c>
    </row>
    <row r="3321" spans="2:4">
      <c r="C3321" s="478" t="s">
        <v>7148</v>
      </c>
    </row>
    <row r="3322" spans="2:4">
      <c r="C3322" s="478" t="s">
        <v>7149</v>
      </c>
    </row>
    <row r="3323" spans="2:4">
      <c r="D3323" s="478" t="s">
        <v>7150</v>
      </c>
    </row>
    <row r="3324" spans="2:4">
      <c r="B3324" s="478" t="s">
        <v>1886</v>
      </c>
    </row>
    <row r="3325" spans="2:4">
      <c r="C3325" s="478" t="s">
        <v>7151</v>
      </c>
    </row>
    <row r="3326" spans="2:4">
      <c r="B3326" s="478" t="s">
        <v>7152</v>
      </c>
    </row>
    <row r="3327" spans="2:4">
      <c r="C3327" s="478" t="s">
        <v>7153</v>
      </c>
    </row>
    <row r="3328" spans="2:4">
      <c r="C3328" s="478" t="s">
        <v>7154</v>
      </c>
    </row>
    <row r="3330" spans="2:4">
      <c r="B3330">
        <v>44407</v>
      </c>
    </row>
    <row r="3332" spans="2:4">
      <c r="B3332" s="478" t="s">
        <v>7163</v>
      </c>
    </row>
    <row r="3333" spans="2:4">
      <c r="C3333" s="478" t="s">
        <v>7158</v>
      </c>
    </row>
    <row r="3334" spans="2:4">
      <c r="D3334" s="478" t="s">
        <v>7159</v>
      </c>
    </row>
    <row r="3335" spans="2:4">
      <c r="C3335" s="478" t="s">
        <v>7160</v>
      </c>
    </row>
    <row r="3336" spans="2:4">
      <c r="D3336" s="478" t="s">
        <v>7161</v>
      </c>
    </row>
    <row r="3337" spans="2:4">
      <c r="C3337" s="478" t="s">
        <v>7162</v>
      </c>
    </row>
    <row r="3338" spans="2:4">
      <c r="B3338" s="478" t="s">
        <v>7164</v>
      </c>
    </row>
    <row r="3339" spans="2:4">
      <c r="C3339" s="478" t="s">
        <v>7165</v>
      </c>
    </row>
    <row r="3340" spans="2:4">
      <c r="B3340" s="478" t="s">
        <v>2378</v>
      </c>
    </row>
    <row r="3341" spans="2:4">
      <c r="C3341" s="478" t="s">
        <v>7166</v>
      </c>
    </row>
    <row r="3342" spans="2:4">
      <c r="C3342" s="478" t="s">
        <v>7167</v>
      </c>
    </row>
    <row r="3343" spans="2:4">
      <c r="C3343" s="478" t="s">
        <v>7168</v>
      </c>
    </row>
    <row r="3344" spans="2:4">
      <c r="D3344" s="478" t="s">
        <v>7169</v>
      </c>
    </row>
    <row r="3345" spans="2:4">
      <c r="D3345" s="478" t="s">
        <v>7170</v>
      </c>
    </row>
    <row r="3346" spans="2:4">
      <c r="B3346" s="478" t="s">
        <v>2032</v>
      </c>
    </row>
    <row r="3347" spans="2:4">
      <c r="C3347" s="478" t="s">
        <v>7171</v>
      </c>
    </row>
    <row r="3348" spans="2:4">
      <c r="C3348" s="478" t="s">
        <v>7172</v>
      </c>
    </row>
    <row r="3349" spans="2:4">
      <c r="C3349" s="478" t="s">
        <v>7173</v>
      </c>
    </row>
    <row r="3350" spans="2:4">
      <c r="C3350" s="478" t="s">
        <v>7174</v>
      </c>
    </row>
    <row r="3351" spans="2:4">
      <c r="C3351" s="478" t="s">
        <v>7175</v>
      </c>
    </row>
    <row r="3352" spans="2:4">
      <c r="D3352" s="478" t="s">
        <v>7176</v>
      </c>
    </row>
    <row r="3353" spans="2:4">
      <c r="B3353" s="478" t="s">
        <v>6099</v>
      </c>
    </row>
    <row r="3354" spans="2:4">
      <c r="C3354" s="478" t="s">
        <v>7177</v>
      </c>
    </row>
    <row r="3355" spans="2:4">
      <c r="B3355" s="478" t="s">
        <v>7178</v>
      </c>
    </row>
    <row r="3357" spans="2:4">
      <c r="B3357" s="499" t="s">
        <v>7194</v>
      </c>
    </row>
    <row r="3358" spans="2:4">
      <c r="B3358" s="499"/>
    </row>
    <row r="3359" spans="2:4">
      <c r="B3359" s="478" t="s">
        <v>5668</v>
      </c>
      <c r="C3359" s="478" t="s">
        <v>2916</v>
      </c>
    </row>
    <row r="3360" spans="2:4">
      <c r="B3360" s="478"/>
      <c r="C3360" s="478"/>
    </row>
    <row r="3361" spans="2:5">
      <c r="C3361" s="478" t="s">
        <v>7179</v>
      </c>
    </row>
    <row r="3362" spans="2:5">
      <c r="C3362" s="478" t="s">
        <v>7180</v>
      </c>
    </row>
    <row r="3363" spans="2:5">
      <c r="C3363" s="478" t="s">
        <v>7181</v>
      </c>
    </row>
    <row r="3364" spans="2:5">
      <c r="C3364" s="478" t="s">
        <v>7182</v>
      </c>
    </row>
    <row r="3365" spans="2:5">
      <c r="D3365" s="478" t="s">
        <v>7183</v>
      </c>
    </row>
    <row r="3366" spans="2:5">
      <c r="D3366" s="478" t="s">
        <v>7184</v>
      </c>
    </row>
    <row r="3367" spans="2:5">
      <c r="C3367" s="478" t="s">
        <v>7185</v>
      </c>
    </row>
    <row r="3368" spans="2:5">
      <c r="C3368" s="478" t="s">
        <v>7186</v>
      </c>
    </row>
    <row r="3370" spans="2:5">
      <c r="B3370" s="478" t="s">
        <v>5668</v>
      </c>
      <c r="C3370" s="478" t="s">
        <v>7187</v>
      </c>
    </row>
    <row r="3371" spans="2:5">
      <c r="D3371" s="478" t="s">
        <v>7188</v>
      </c>
    </row>
    <row r="3372" spans="2:5">
      <c r="D3372" s="478" t="s">
        <v>7189</v>
      </c>
    </row>
    <row r="3373" spans="2:5">
      <c r="B3373" s="478" t="s">
        <v>5668</v>
      </c>
      <c r="C3373" s="478" t="s">
        <v>7195</v>
      </c>
      <c r="D3373" s="478"/>
    </row>
    <row r="3374" spans="2:5">
      <c r="D3374" s="478" t="s">
        <v>7190</v>
      </c>
    </row>
    <row r="3375" spans="2:5">
      <c r="E3375" s="478" t="s">
        <v>7191</v>
      </c>
    </row>
    <row r="3376" spans="2:5">
      <c r="B3376" s="478" t="s">
        <v>5668</v>
      </c>
      <c r="C3376" s="478" t="s">
        <v>5658</v>
      </c>
    </row>
    <row r="3377" spans="2:5">
      <c r="C3377" s="478" t="s">
        <v>7192</v>
      </c>
    </row>
    <row r="3378" spans="2:5">
      <c r="D3378" s="478" t="s">
        <v>7193</v>
      </c>
    </row>
    <row r="3380" spans="2:5">
      <c r="B3380" s="499" t="s">
        <v>7199</v>
      </c>
    </row>
    <row r="3381" spans="2:5">
      <c r="B3381" s="478" t="s">
        <v>7197</v>
      </c>
    </row>
    <row r="3382" spans="2:5">
      <c r="B3382" s="478" t="s">
        <v>7198</v>
      </c>
    </row>
    <row r="3384" spans="2:5">
      <c r="B3384" s="478" t="s">
        <v>7200</v>
      </c>
    </row>
    <row r="3385" spans="2:5">
      <c r="C3385" s="478" t="s">
        <v>7201</v>
      </c>
    </row>
    <row r="3386" spans="2:5">
      <c r="B3386" s="478" t="s">
        <v>1712</v>
      </c>
    </row>
    <row r="3387" spans="2:5">
      <c r="C3387" s="478" t="s">
        <v>7202</v>
      </c>
    </row>
    <row r="3388" spans="2:5">
      <c r="C3388" s="478" t="s">
        <v>2032</v>
      </c>
    </row>
    <row r="3389" spans="2:5">
      <c r="D3389" s="478" t="s">
        <v>7203</v>
      </c>
    </row>
    <row r="3390" spans="2:5">
      <c r="D3390" s="478" t="s">
        <v>7204</v>
      </c>
    </row>
    <row r="3391" spans="2:5">
      <c r="E3391" s="478" t="s">
        <v>7205</v>
      </c>
    </row>
    <row r="3392" spans="2:5">
      <c r="D3392" s="478" t="s">
        <v>7206</v>
      </c>
    </row>
    <row r="3393" spans="2:5">
      <c r="D3393" s="478"/>
      <c r="E3393" s="478" t="s">
        <v>7208</v>
      </c>
    </row>
    <row r="3394" spans="2:5">
      <c r="D3394" s="478"/>
      <c r="E3394" s="478" t="s">
        <v>7209</v>
      </c>
    </row>
    <row r="3395" spans="2:5">
      <c r="D3395" s="478" t="s">
        <v>7210</v>
      </c>
      <c r="E3395" s="478"/>
    </row>
    <row r="3396" spans="2:5">
      <c r="D3396" s="478" t="s">
        <v>7211</v>
      </c>
      <c r="E3396" s="478"/>
    </row>
    <row r="3397" spans="2:5">
      <c r="D3397" s="478"/>
      <c r="E3397" s="478" t="s">
        <v>7212</v>
      </c>
    </row>
    <row r="3398" spans="2:5">
      <c r="D3398" s="478"/>
      <c r="E3398" s="478"/>
    </row>
    <row r="3399" spans="2:5">
      <c r="C3399" s="478" t="s">
        <v>1665</v>
      </c>
    </row>
    <row r="3400" spans="2:5">
      <c r="D3400" s="478" t="s">
        <v>7207</v>
      </c>
    </row>
    <row r="3402" spans="2:5">
      <c r="B3402" s="499" t="s">
        <v>7213</v>
      </c>
    </row>
    <row r="3403" spans="2:5">
      <c r="B3403" s="478" t="s">
        <v>7214</v>
      </c>
    </row>
    <row r="3404" spans="2:5">
      <c r="B3404" s="478" t="s">
        <v>7215</v>
      </c>
    </row>
    <row r="3406" spans="2:5">
      <c r="B3406" s="478" t="s">
        <v>7218</v>
      </c>
    </row>
    <row r="3407" spans="2:5">
      <c r="C3407" s="478" t="s">
        <v>7216</v>
      </c>
    </row>
    <row r="3408" spans="2:5">
      <c r="C3408" s="478" t="s">
        <v>7217</v>
      </c>
    </row>
    <row r="3409" spans="2:3">
      <c r="C3409" s="478" t="s">
        <v>7219</v>
      </c>
    </row>
    <row r="3410" spans="2:3">
      <c r="B3410" s="478" t="s">
        <v>7220</v>
      </c>
    </row>
    <row r="3411" spans="2:3">
      <c r="C3411" s="478" t="s">
        <v>7221</v>
      </c>
    </row>
    <row r="3412" spans="2:3">
      <c r="C3412" s="478" t="s">
        <v>7222</v>
      </c>
    </row>
    <row r="3413" spans="2:3">
      <c r="C3413" s="478" t="s">
        <v>7223</v>
      </c>
    </row>
    <row r="3414" spans="2:3">
      <c r="C3414" s="478" t="s">
        <v>7224</v>
      </c>
    </row>
    <row r="3415" spans="2:3">
      <c r="C3415" s="478" t="s">
        <v>7225</v>
      </c>
    </row>
    <row r="3416" spans="2:3">
      <c r="C3416" s="478" t="s">
        <v>7226</v>
      </c>
    </row>
    <row r="3417" spans="2:3">
      <c r="C3417" s="478" t="s">
        <v>7227</v>
      </c>
    </row>
    <row r="3418" spans="2:3">
      <c r="C3418" s="478" t="s">
        <v>7228</v>
      </c>
    </row>
    <row r="3419" spans="2:3">
      <c r="C3419" s="478" t="s">
        <v>3034</v>
      </c>
    </row>
    <row r="3421" spans="2:3">
      <c r="B3421" s="627" t="s">
        <v>7047</v>
      </c>
    </row>
    <row r="3423" spans="2:3">
      <c r="B3423" s="499" t="s">
        <v>7263</v>
      </c>
    </row>
    <row r="3424" spans="2:3">
      <c r="C3424" s="463" t="s">
        <v>7264</v>
      </c>
    </row>
    <row r="3425" spans="2:4">
      <c r="C3425" s="463" t="s">
        <v>7265</v>
      </c>
    </row>
    <row r="3426" spans="2:4">
      <c r="C3426" s="463"/>
    </row>
    <row r="3427" spans="2:4">
      <c r="C3427" s="463" t="s">
        <v>7268</v>
      </c>
    </row>
    <row r="3428" spans="2:4">
      <c r="C3428" s="463" t="s">
        <v>7269</v>
      </c>
    </row>
    <row r="3429" spans="2:4">
      <c r="C3429" s="463" t="s">
        <v>7270</v>
      </c>
    </row>
    <row r="3430" spans="2:4">
      <c r="C3430" s="463" t="s">
        <v>7271</v>
      </c>
    </row>
    <row r="3431" spans="2:4">
      <c r="C3431" s="499" t="s">
        <v>1665</v>
      </c>
    </row>
    <row r="3432" spans="2:4">
      <c r="C3432" s="463"/>
      <c r="D3432" s="463" t="s">
        <v>7272</v>
      </c>
    </row>
    <row r="3433" spans="2:4">
      <c r="C3433" s="463" t="s">
        <v>7279</v>
      </c>
      <c r="D3433" s="463"/>
    </row>
    <row r="3434" spans="2:4">
      <c r="C3434" s="463" t="s">
        <v>7281</v>
      </c>
      <c r="D3434" s="463"/>
    </row>
    <row r="3435" spans="2:4">
      <c r="C3435" s="463"/>
    </row>
    <row r="3436" spans="2:4">
      <c r="B3436" s="499" t="s">
        <v>5322</v>
      </c>
    </row>
    <row r="3437" spans="2:4">
      <c r="B3437" s="463" t="s">
        <v>7249</v>
      </c>
    </row>
    <row r="3438" spans="2:4">
      <c r="C3438" s="463" t="s">
        <v>7260</v>
      </c>
    </row>
    <row r="3439" spans="2:4">
      <c r="C3439" s="463" t="s">
        <v>7261</v>
      </c>
    </row>
    <row r="3440" spans="2:4">
      <c r="C3440" s="463" t="s">
        <v>7262</v>
      </c>
    </row>
    <row r="3441" spans="2:4">
      <c r="B3441" s="499" t="s">
        <v>1665</v>
      </c>
    </row>
    <row r="3442" spans="2:4">
      <c r="B3442" s="499"/>
      <c r="C3442" s="463" t="s">
        <v>7257</v>
      </c>
    </row>
    <row r="3443" spans="2:4">
      <c r="C3443" s="463" t="s">
        <v>7256</v>
      </c>
    </row>
    <row r="3444" spans="2:4">
      <c r="C3444" s="463" t="s">
        <v>7250</v>
      </c>
    </row>
    <row r="3445" spans="2:4">
      <c r="B3445" s="499" t="s">
        <v>7258</v>
      </c>
    </row>
    <row r="3446" spans="2:4">
      <c r="B3446" s="499"/>
      <c r="C3446" s="463" t="s">
        <v>7259</v>
      </c>
    </row>
    <row r="3447" spans="2:4">
      <c r="C3447" s="463" t="s">
        <v>7251</v>
      </c>
    </row>
    <row r="3448" spans="2:4">
      <c r="C3448" s="463" t="s">
        <v>7252</v>
      </c>
    </row>
    <row r="3449" spans="2:4">
      <c r="C3449" s="463"/>
      <c r="D3449" s="463" t="s">
        <v>7273</v>
      </c>
    </row>
    <row r="3450" spans="2:4">
      <c r="C3450" s="463"/>
      <c r="D3450" s="463" t="s">
        <v>7274</v>
      </c>
    </row>
    <row r="3451" spans="2:4">
      <c r="C3451" s="463"/>
    </row>
    <row r="3452" spans="2:4">
      <c r="B3452" s="499" t="s">
        <v>2032</v>
      </c>
    </row>
    <row r="3453" spans="2:4">
      <c r="C3453" s="463" t="s">
        <v>7253</v>
      </c>
    </row>
    <row r="3454" spans="2:4">
      <c r="C3454" s="463" t="s">
        <v>7254</v>
      </c>
    </row>
    <row r="3455" spans="2:4">
      <c r="D3455" s="463" t="s">
        <v>7255</v>
      </c>
    </row>
    <row r="3457" spans="2:3">
      <c r="B3457" s="463" t="s">
        <v>7266</v>
      </c>
    </row>
    <row r="3458" spans="2:3">
      <c r="B3458" s="463" t="s">
        <v>7267</v>
      </c>
    </row>
    <row r="3460" spans="2:3">
      <c r="B3460" s="463" t="s">
        <v>2378</v>
      </c>
    </row>
    <row r="3461" spans="2:3">
      <c r="C3461" s="463" t="s">
        <v>7275</v>
      </c>
    </row>
    <row r="3462" spans="2:3">
      <c r="C3462" s="463" t="s">
        <v>7276</v>
      </c>
    </row>
    <row r="3463" spans="2:3">
      <c r="C3463" s="463" t="s">
        <v>7277</v>
      </c>
    </row>
    <row r="3464" spans="2:3">
      <c r="C3464" s="463" t="s">
        <v>7278</v>
      </c>
    </row>
    <row r="3465" spans="2:3">
      <c r="B3465" s="463" t="s">
        <v>7280</v>
      </c>
    </row>
    <row r="3466" spans="2:3">
      <c r="C3466" s="463" t="s">
        <v>7282</v>
      </c>
    </row>
    <row r="3467" spans="2:3">
      <c r="B3467" s="463" t="s">
        <v>7283</v>
      </c>
    </row>
    <row r="3468" spans="2:3">
      <c r="C3468" s="463" t="s">
        <v>7284</v>
      </c>
    </row>
    <row r="3469" spans="2:3">
      <c r="B3469" s="499" t="s">
        <v>1545</v>
      </c>
    </row>
    <row r="3470" spans="2:3">
      <c r="C3470" s="463" t="s">
        <v>7285</v>
      </c>
    </row>
    <row r="3471" spans="2:3">
      <c r="C3471" t="e">
        <f>450+'New (new) quarts'!#REF!+'New (new) quarts'!#REF!+'New (new) quarts'!#REF!</f>
        <v>#REF!</v>
      </c>
    </row>
    <row r="3472" spans="2:3">
      <c r="B3472" s="499" t="s">
        <v>1719</v>
      </c>
    </row>
    <row r="3473" spans="2:3">
      <c r="C3473" s="463" t="s">
        <v>7286</v>
      </c>
    </row>
    <row r="3474" spans="2:3">
      <c r="B3474" s="499" t="s">
        <v>1665</v>
      </c>
    </row>
    <row r="3475" spans="2:3">
      <c r="C3475" s="463" t="s">
        <v>7287</v>
      </c>
    </row>
    <row r="3476" spans="2:3">
      <c r="C3476" s="463" t="s">
        <v>7288</v>
      </c>
    </row>
    <row r="3478" spans="2:3">
      <c r="B3478" s="627" t="s">
        <v>3032</v>
      </c>
    </row>
    <row r="3479" spans="2:3">
      <c r="B3479" s="463" t="s">
        <v>7307</v>
      </c>
    </row>
    <row r="3480" spans="2:3">
      <c r="B3480" s="569">
        <v>44256</v>
      </c>
      <c r="C3480" s="463" t="s">
        <v>7308</v>
      </c>
    </row>
    <row r="3481" spans="2:3">
      <c r="B3481" s="463" t="s">
        <v>7309</v>
      </c>
    </row>
    <row r="3482" spans="2:3">
      <c r="C3482" s="463" t="s">
        <v>7310</v>
      </c>
    </row>
    <row r="3483" spans="2:3">
      <c r="B3483" s="463" t="s">
        <v>7311</v>
      </c>
    </row>
    <row r="3484" spans="2:3">
      <c r="B3484" s="463" t="s">
        <v>7312</v>
      </c>
    </row>
    <row r="3485" spans="2:3">
      <c r="C3485" s="463" t="s">
        <v>7313</v>
      </c>
    </row>
    <row r="3487" spans="2:3">
      <c r="B3487" s="627" t="s">
        <v>7361</v>
      </c>
    </row>
    <row r="3489" spans="2:4">
      <c r="B3489" s="463" t="s">
        <v>2379</v>
      </c>
    </row>
    <row r="3490" spans="2:4">
      <c r="C3490" s="463" t="s">
        <v>7362</v>
      </c>
    </row>
    <row r="3491" spans="2:4">
      <c r="C3491" s="463" t="s">
        <v>7156</v>
      </c>
    </row>
    <row r="3492" spans="2:4">
      <c r="C3492" s="463" t="s">
        <v>7363</v>
      </c>
    </row>
    <row r="3493" spans="2:4">
      <c r="C3493" s="463" t="s">
        <v>7364</v>
      </c>
    </row>
    <row r="3494" spans="2:4">
      <c r="B3494" s="463" t="s">
        <v>3032</v>
      </c>
      <c r="C3494" s="463"/>
    </row>
    <row r="3495" spans="2:4">
      <c r="B3495" s="463"/>
      <c r="C3495" s="463" t="s">
        <v>7385</v>
      </c>
    </row>
    <row r="3496" spans="2:4">
      <c r="B3496" s="463"/>
      <c r="C3496" s="463" t="s">
        <v>7386</v>
      </c>
    </row>
    <row r="3497" spans="2:4">
      <c r="B3497" s="463" t="s">
        <v>1665</v>
      </c>
    </row>
    <row r="3498" spans="2:4">
      <c r="C3498" s="463" t="s">
        <v>7365</v>
      </c>
    </row>
    <row r="3499" spans="2:4">
      <c r="C3499" s="463" t="s">
        <v>7366</v>
      </c>
    </row>
    <row r="3500" spans="2:4">
      <c r="C3500" s="463" t="s">
        <v>7367</v>
      </c>
    </row>
    <row r="3501" spans="2:4">
      <c r="C3501" s="463" t="s">
        <v>7368</v>
      </c>
    </row>
    <row r="3502" spans="2:4">
      <c r="D3502" s="463" t="s">
        <v>7369</v>
      </c>
    </row>
    <row r="3503" spans="2:4">
      <c r="D3503" s="463" t="s">
        <v>7375</v>
      </c>
    </row>
    <row r="3504" spans="2:4">
      <c r="D3504" s="463" t="s">
        <v>7376</v>
      </c>
    </row>
    <row r="3505" spans="2:4">
      <c r="C3505" s="463" t="s">
        <v>7370</v>
      </c>
    </row>
    <row r="3506" spans="2:4">
      <c r="C3506" s="463" t="s">
        <v>7371</v>
      </c>
    </row>
    <row r="3507" spans="2:4">
      <c r="C3507" s="463" t="s">
        <v>7372</v>
      </c>
    </row>
    <row r="3508" spans="2:4">
      <c r="D3508" s="463" t="s">
        <v>7373</v>
      </c>
    </row>
    <row r="3509" spans="2:4">
      <c r="D3509" s="463" t="s">
        <v>7374</v>
      </c>
    </row>
    <row r="3510" spans="2:4">
      <c r="C3510" s="463" t="s">
        <v>7377</v>
      </c>
    </row>
    <row r="3511" spans="2:4">
      <c r="C3511" s="463" t="s">
        <v>7378</v>
      </c>
    </row>
    <row r="3512" spans="2:4">
      <c r="B3512" s="463" t="s">
        <v>3034</v>
      </c>
    </row>
    <row r="3513" spans="2:4">
      <c r="C3513" s="463" t="s">
        <v>7380</v>
      </c>
    </row>
    <row r="3514" spans="2:4">
      <c r="C3514" s="463" t="s">
        <v>7379</v>
      </c>
    </row>
    <row r="3515" spans="2:4">
      <c r="B3515" s="463" t="s">
        <v>1719</v>
      </c>
    </row>
    <row r="3516" spans="2:4">
      <c r="C3516" s="463" t="s">
        <v>7381</v>
      </c>
    </row>
    <row r="3517" spans="2:4">
      <c r="B3517" s="463" t="s">
        <v>2378</v>
      </c>
    </row>
    <row r="3518" spans="2:4">
      <c r="C3518" s="463" t="s">
        <v>7382</v>
      </c>
    </row>
    <row r="3519" spans="2:4">
      <c r="C3519" s="463" t="s">
        <v>7383</v>
      </c>
    </row>
    <row r="3520" spans="2:4">
      <c r="B3520" s="463" t="s">
        <v>2377</v>
      </c>
    </row>
    <row r="3521" spans="2:4">
      <c r="C3521" s="463" t="s">
        <v>7384</v>
      </c>
    </row>
    <row r="3522" spans="2:4">
      <c r="B3522" s="463" t="s">
        <v>2916</v>
      </c>
    </row>
    <row r="3523" spans="2:4">
      <c r="C3523" s="463" t="s">
        <v>7387</v>
      </c>
    </row>
    <row r="3524" spans="2:4">
      <c r="C3524" s="463" t="s">
        <v>7389</v>
      </c>
    </row>
    <row r="3525" spans="2:4">
      <c r="C3525" s="463"/>
      <c r="D3525" s="463" t="s">
        <v>7390</v>
      </c>
    </row>
    <row r="3526" spans="2:4">
      <c r="C3526" s="463" t="s">
        <v>7391</v>
      </c>
      <c r="D3526" s="463"/>
    </row>
    <row r="3527" spans="2:4">
      <c r="C3527" s="463"/>
      <c r="D3527" s="463" t="s">
        <v>7392</v>
      </c>
    </row>
    <row r="3528" spans="2:4">
      <c r="C3528" s="463"/>
      <c r="D3528" s="463" t="s">
        <v>7393</v>
      </c>
    </row>
    <row r="3529" spans="2:4">
      <c r="C3529" s="463" t="s">
        <v>7394</v>
      </c>
      <c r="D3529" s="463"/>
    </row>
    <row r="3530" spans="2:4">
      <c r="C3530" s="463" t="s">
        <v>7395</v>
      </c>
      <c r="D3530" s="463"/>
    </row>
    <row r="3531" spans="2:4">
      <c r="B3531" s="463" t="s">
        <v>7388</v>
      </c>
    </row>
    <row r="3532" spans="2:4">
      <c r="B3532" s="463" t="s">
        <v>1886</v>
      </c>
    </row>
    <row r="3533" spans="2:4">
      <c r="C3533" s="463" t="s">
        <v>7396</v>
      </c>
    </row>
    <row r="3534" spans="2:4">
      <c r="C3534" s="463" t="s">
        <v>7397</v>
      </c>
    </row>
    <row r="3535" spans="2:4">
      <c r="C3535" s="463" t="s">
        <v>7398</v>
      </c>
    </row>
    <row r="3536" spans="2:4">
      <c r="B3536" s="463" t="s">
        <v>7399</v>
      </c>
    </row>
    <row r="3537" spans="2:4">
      <c r="C3537" s="463" t="s">
        <v>7400</v>
      </c>
    </row>
    <row r="3538" spans="2:4">
      <c r="C3538" s="463" t="s">
        <v>7401</v>
      </c>
    </row>
    <row r="3539" spans="2:4">
      <c r="C3539" s="463" t="s">
        <v>7402</v>
      </c>
    </row>
    <row r="3540" spans="2:4">
      <c r="B3540" s="463" t="s">
        <v>7403</v>
      </c>
    </row>
    <row r="3541" spans="2:4">
      <c r="B3541" s="463" t="s">
        <v>7404</v>
      </c>
    </row>
    <row r="3542" spans="2:4">
      <c r="C3542" s="463" t="s">
        <v>7405</v>
      </c>
    </row>
    <row r="3543" spans="2:4">
      <c r="D3543" s="463" t="s">
        <v>7406</v>
      </c>
    </row>
    <row r="3544" spans="2:4">
      <c r="D3544" s="463" t="s">
        <v>7407</v>
      </c>
    </row>
    <row r="3546" spans="2:4">
      <c r="B3546" s="627" t="s">
        <v>7410</v>
      </c>
    </row>
    <row r="3548" spans="2:4">
      <c r="B3548" s="463" t="s">
        <v>7506</v>
      </c>
    </row>
    <row r="3549" spans="2:4">
      <c r="B3549" s="463"/>
      <c r="C3549" s="463" t="s">
        <v>7507</v>
      </c>
    </row>
    <row r="3550" spans="2:4">
      <c r="B3550" s="463"/>
      <c r="C3550" s="463" t="s">
        <v>5698</v>
      </c>
    </row>
    <row r="3551" spans="2:4">
      <c r="B3551" s="463" t="s">
        <v>7501</v>
      </c>
    </row>
    <row r="3552" spans="2:4">
      <c r="B3552" s="463" t="s">
        <v>7494</v>
      </c>
    </row>
    <row r="3553" spans="2:4">
      <c r="B3553" s="463" t="s">
        <v>7508</v>
      </c>
    </row>
    <row r="3554" spans="2:4">
      <c r="B3554" s="463" t="s">
        <v>2379</v>
      </c>
    </row>
    <row r="3555" spans="2:4">
      <c r="B3555" s="463" t="s">
        <v>7495</v>
      </c>
    </row>
    <row r="3556" spans="2:4">
      <c r="B3556" s="463" t="s">
        <v>7496</v>
      </c>
    </row>
    <row r="3557" spans="2:4">
      <c r="B3557" s="463" t="s">
        <v>7498</v>
      </c>
    </row>
    <row r="3558" spans="2:4">
      <c r="B3558" s="463" t="s">
        <v>1381</v>
      </c>
    </row>
    <row r="3559" spans="2:4">
      <c r="B3559" s="1212"/>
      <c r="C3559" s="1217" t="s">
        <v>5083</v>
      </c>
      <c r="D3559" s="1217" t="s">
        <v>7492</v>
      </c>
    </row>
    <row r="3560" spans="2:4">
      <c r="C3560">
        <v>7981</v>
      </c>
      <c r="D3560">
        <v>7795</v>
      </c>
    </row>
    <row r="3561" spans="2:4">
      <c r="C3561" s="1219" t="s">
        <v>7500</v>
      </c>
      <c r="D3561">
        <f>C3560-D3560</f>
        <v>186</v>
      </c>
    </row>
    <row r="3562" spans="2:4">
      <c r="C3562" s="1219" t="s">
        <v>7499</v>
      </c>
      <c r="D3562">
        <v>-69</v>
      </c>
    </row>
    <row r="3563" spans="2:4">
      <c r="C3563" s="1219" t="s">
        <v>7500</v>
      </c>
      <c r="D3563">
        <f>D3561-D3562</f>
        <v>255</v>
      </c>
    </row>
    <row r="3565" spans="2:4">
      <c r="B3565" s="463" t="s">
        <v>7502</v>
      </c>
    </row>
    <row r="3566" spans="2:4">
      <c r="B3566" s="463"/>
      <c r="C3566" s="1219" t="s">
        <v>7505</v>
      </c>
    </row>
    <row r="3567" spans="2:4">
      <c r="C3567" s="1275" t="s">
        <v>7503</v>
      </c>
    </row>
    <row r="3568" spans="2:4">
      <c r="C3568" s="1275" t="s">
        <v>7504</v>
      </c>
    </row>
    <row r="3569" spans="2:3">
      <c r="B3569" s="463" t="s">
        <v>7509</v>
      </c>
    </row>
    <row r="3571" spans="2:3">
      <c r="B3571" s="463" t="s">
        <v>2964</v>
      </c>
    </row>
    <row r="3572" spans="2:3">
      <c r="C3572" s="463" t="s">
        <v>7510</v>
      </c>
    </row>
    <row r="3573" spans="2:3">
      <c r="C3573" s="463" t="s">
        <v>7512</v>
      </c>
    </row>
    <row r="3574" spans="2:3">
      <c r="C3574" s="463" t="s">
        <v>7513</v>
      </c>
    </row>
    <row r="3575" spans="2:3">
      <c r="B3575" s="463" t="s">
        <v>7083</v>
      </c>
    </row>
    <row r="3576" spans="2:3">
      <c r="C3576" s="463" t="s">
        <v>7511</v>
      </c>
    </row>
    <row r="3577" spans="2:3">
      <c r="B3577" s="463" t="s">
        <v>2032</v>
      </c>
    </row>
    <row r="3578" spans="2:3">
      <c r="C3578" s="463" t="s">
        <v>7514</v>
      </c>
    </row>
    <row r="3579" spans="2:3">
      <c r="C3579" s="463" t="s">
        <v>7515</v>
      </c>
    </row>
    <row r="3580" spans="2:3">
      <c r="C3580" s="463" t="s">
        <v>7516</v>
      </c>
    </row>
    <row r="3582" spans="2:3">
      <c r="B3582" s="451" t="s">
        <v>7518</v>
      </c>
      <c r="C3582" s="560" t="s">
        <v>914</v>
      </c>
    </row>
    <row r="3583" spans="2:3">
      <c r="B3583" s="463" t="s">
        <v>2376</v>
      </c>
      <c r="C3583">
        <v>43</v>
      </c>
    </row>
    <row r="3584" spans="2:3">
      <c r="B3584" s="463" t="s">
        <v>2379</v>
      </c>
      <c r="C3584">
        <v>216</v>
      </c>
    </row>
    <row r="3585" spans="2:4">
      <c r="B3585" s="463" t="s">
        <v>7522</v>
      </c>
      <c r="C3585">
        <v>61</v>
      </c>
    </row>
    <row r="3586" spans="2:4">
      <c r="B3586" s="463" t="s">
        <v>1665</v>
      </c>
      <c r="C3586">
        <v>108</v>
      </c>
    </row>
    <row r="3587" spans="2:4">
      <c r="B3587" s="463" t="s">
        <v>2378</v>
      </c>
      <c r="C3587">
        <v>63</v>
      </c>
    </row>
    <row r="3588" spans="2:4">
      <c r="B3588" s="463" t="s">
        <v>2032</v>
      </c>
      <c r="C3588">
        <v>71</v>
      </c>
    </row>
    <row r="3589" spans="2:4">
      <c r="B3589" s="463" t="s">
        <v>2033</v>
      </c>
      <c r="C3589">
        <v>26</v>
      </c>
    </row>
    <row r="3590" spans="2:4">
      <c r="B3590" s="1212" t="s">
        <v>7523</v>
      </c>
      <c r="C3590" s="455">
        <v>11</v>
      </c>
    </row>
    <row r="3591" spans="2:4">
      <c r="B3591" s="463" t="s">
        <v>7517</v>
      </c>
      <c r="C3591">
        <f>SUM(C3583:C3590)</f>
        <v>599</v>
      </c>
    </row>
    <row r="3593" spans="2:4">
      <c r="B3593" s="450" t="s">
        <v>1928</v>
      </c>
      <c r="C3593" s="450">
        <v>564</v>
      </c>
    </row>
    <row r="3594" spans="2:4">
      <c r="B3594" s="463" t="s">
        <v>7519</v>
      </c>
      <c r="C3594">
        <f>C3591-C3593</f>
        <v>35</v>
      </c>
    </row>
    <row r="3596" spans="2:4">
      <c r="B3596" s="463" t="s">
        <v>7520</v>
      </c>
    </row>
    <row r="3597" spans="2:4">
      <c r="C3597" s="463" t="s">
        <v>7521</v>
      </c>
    </row>
    <row r="3599" spans="2:4">
      <c r="B3599" s="627" t="s">
        <v>1747</v>
      </c>
    </row>
    <row r="3600" spans="2:4">
      <c r="B3600" s="463" t="s">
        <v>7525</v>
      </c>
      <c r="D3600" s="463" t="s">
        <v>7527</v>
      </c>
    </row>
    <row r="3601" spans="2:6">
      <c r="D3601" s="463" t="s">
        <v>7526</v>
      </c>
    </row>
    <row r="3602" spans="2:6">
      <c r="B3602" s="463" t="s">
        <v>2282</v>
      </c>
      <c r="D3602" s="463" t="s">
        <v>7528</v>
      </c>
    </row>
    <row r="3603" spans="2:6">
      <c r="D3603" s="463" t="s">
        <v>7529</v>
      </c>
    </row>
    <row r="3604" spans="2:6">
      <c r="B3604" s="463" t="s">
        <v>7044</v>
      </c>
      <c r="D3604" s="463" t="s">
        <v>7530</v>
      </c>
    </row>
    <row r="3605" spans="2:6">
      <c r="E3605" s="463" t="s">
        <v>7531</v>
      </c>
    </row>
    <row r="3606" spans="2:6">
      <c r="E3606" s="463" t="s">
        <v>7532</v>
      </c>
    </row>
    <row r="3607" spans="2:6">
      <c r="D3607" s="463" t="s">
        <v>7533</v>
      </c>
    </row>
    <row r="3608" spans="2:6">
      <c r="E3608" s="463" t="s">
        <v>7534</v>
      </c>
    </row>
    <row r="3609" spans="2:6">
      <c r="F3609" s="463" t="s">
        <v>7535</v>
      </c>
    </row>
    <row r="3610" spans="2:6">
      <c r="F3610" s="463" t="s">
        <v>7536</v>
      </c>
    </row>
    <row r="3611" spans="2:6">
      <c r="F3611" s="463" t="s">
        <v>7537</v>
      </c>
    </row>
    <row r="3612" spans="2:6">
      <c r="F3612" s="463" t="s">
        <v>7538</v>
      </c>
    </row>
    <row r="3613" spans="2:6">
      <c r="D3613" s="463" t="s">
        <v>7539</v>
      </c>
    </row>
    <row r="3614" spans="2:6">
      <c r="B3614" s="463" t="s">
        <v>7541</v>
      </c>
    </row>
    <row r="3615" spans="2:6">
      <c r="D3615" s="463" t="s">
        <v>7540</v>
      </c>
    </row>
    <row r="3616" spans="2:6">
      <c r="B3616" s="463" t="s">
        <v>7237</v>
      </c>
    </row>
    <row r="3617" spans="2:5">
      <c r="B3617" s="463"/>
      <c r="D3617" s="499" t="s">
        <v>1665</v>
      </c>
    </row>
    <row r="3618" spans="2:5">
      <c r="D3618" s="463" t="s">
        <v>7542</v>
      </c>
    </row>
    <row r="3619" spans="2:5">
      <c r="D3619" s="463" t="s">
        <v>7543</v>
      </c>
    </row>
    <row r="3620" spans="2:5">
      <c r="D3620" s="499" t="s">
        <v>2032</v>
      </c>
    </row>
    <row r="3621" spans="2:5">
      <c r="D3621" s="463" t="s">
        <v>7544</v>
      </c>
    </row>
    <row r="3622" spans="2:5">
      <c r="D3622" s="463" t="s">
        <v>7545</v>
      </c>
    </row>
    <row r="3623" spans="2:5">
      <c r="E3623" s="463" t="s">
        <v>7546</v>
      </c>
    </row>
    <row r="3624" spans="2:5">
      <c r="D3624" s="463" t="s">
        <v>7549</v>
      </c>
    </row>
    <row r="3625" spans="2:5">
      <c r="E3625" s="463" t="s">
        <v>7547</v>
      </c>
    </row>
    <row r="3626" spans="2:5">
      <c r="E3626" s="463" t="s">
        <v>7548</v>
      </c>
    </row>
    <row r="3627" spans="2:5">
      <c r="B3627" s="463" t="s">
        <v>5812</v>
      </c>
    </row>
    <row r="3628" spans="2:5">
      <c r="D3628" s="463" t="s">
        <v>7550</v>
      </c>
    </row>
    <row r="3629" spans="2:5">
      <c r="E3629" s="463" t="s">
        <v>7551</v>
      </c>
    </row>
    <row r="3631" spans="2:5">
      <c r="B3631" s="627" t="s">
        <v>7553</v>
      </c>
    </row>
    <row r="3633" spans="2:3">
      <c r="B3633" s="1284">
        <v>42887</v>
      </c>
    </row>
    <row r="3634" spans="2:3">
      <c r="B3634" s="463" t="s">
        <v>7576</v>
      </c>
    </row>
    <row r="3635" spans="2:3">
      <c r="B3635" s="463" t="s">
        <v>7577</v>
      </c>
    </row>
    <row r="3636" spans="2:3">
      <c r="C3636" s="463" t="s">
        <v>7578</v>
      </c>
    </row>
    <row r="3637" spans="2:3">
      <c r="C3637" s="463" t="s">
        <v>7579</v>
      </c>
    </row>
    <row r="3638" spans="2:3">
      <c r="C3638" s="463" t="s">
        <v>7580</v>
      </c>
    </row>
    <row r="3640" spans="2:3">
      <c r="B3640" s="463" t="s">
        <v>7581</v>
      </c>
    </row>
    <row r="3641" spans="2:3">
      <c r="B3641" s="463" t="s">
        <v>7582</v>
      </c>
    </row>
    <row r="3642" spans="2:3">
      <c r="B3642" s="463" t="s">
        <v>7583</v>
      </c>
    </row>
    <row r="3644" spans="2:3">
      <c r="B3644" s="463" t="s">
        <v>7584</v>
      </c>
    </row>
    <row r="3645" spans="2:3">
      <c r="C3645" s="463" t="s">
        <v>7585</v>
      </c>
    </row>
    <row r="3646" spans="2:3">
      <c r="B3646" s="463" t="s">
        <v>7586</v>
      </c>
    </row>
    <row r="3647" spans="2:3">
      <c r="C3647" s="463" t="s">
        <v>7587</v>
      </c>
    </row>
    <row r="3648" spans="2:3">
      <c r="C3648" s="463" t="s">
        <v>7589</v>
      </c>
    </row>
    <row r="3649" spans="2:4">
      <c r="C3649" s="463" t="s">
        <v>7588</v>
      </c>
    </row>
    <row r="3650" spans="2:4">
      <c r="B3650" s="463" t="s">
        <v>7590</v>
      </c>
    </row>
    <row r="3651" spans="2:4">
      <c r="C3651" s="463" t="s">
        <v>7591</v>
      </c>
    </row>
    <row r="3652" spans="2:4">
      <c r="C3652" s="463" t="s">
        <v>7592</v>
      </c>
    </row>
    <row r="3653" spans="2:4">
      <c r="B3653" s="463" t="s">
        <v>7593</v>
      </c>
    </row>
    <row r="3654" spans="2:4">
      <c r="C3654" s="463" t="s">
        <v>7594</v>
      </c>
    </row>
    <row r="3655" spans="2:4">
      <c r="B3655" s="463" t="s">
        <v>800</v>
      </c>
    </row>
    <row r="3656" spans="2:4">
      <c r="C3656" s="463" t="s">
        <v>7595</v>
      </c>
    </row>
    <row r="3657" spans="2:4">
      <c r="B3657" s="463" t="s">
        <v>2380</v>
      </c>
    </row>
    <row r="3658" spans="2:4">
      <c r="C3658" s="463" t="s">
        <v>7596</v>
      </c>
    </row>
    <row r="3659" spans="2:4">
      <c r="D3659" s="463" t="s">
        <v>7597</v>
      </c>
    </row>
    <row r="3660" spans="2:4">
      <c r="B3660" s="463" t="s">
        <v>7095</v>
      </c>
    </row>
    <row r="3661" spans="2:4">
      <c r="C3661" s="463" t="s">
        <v>7598</v>
      </c>
    </row>
    <row r="3662" spans="2:4">
      <c r="C3662" s="463" t="s">
        <v>7599</v>
      </c>
    </row>
    <row r="3663" spans="2:4">
      <c r="C3663" s="463" t="s">
        <v>7600</v>
      </c>
    </row>
    <row r="3664" spans="2:4">
      <c r="C3664" s="463" t="s">
        <v>7601</v>
      </c>
    </row>
    <row r="3665" spans="3:4">
      <c r="C3665" s="463" t="s">
        <v>7602</v>
      </c>
    </row>
    <row r="3666" spans="3:4">
      <c r="C3666" s="463" t="s">
        <v>7603</v>
      </c>
    </row>
    <row r="3667" spans="3:4">
      <c r="C3667" s="463" t="s">
        <v>7604</v>
      </c>
    </row>
    <row r="3668" spans="3:4">
      <c r="C3668" s="463" t="s">
        <v>7605</v>
      </c>
    </row>
    <row r="3669" spans="3:4">
      <c r="C3669" s="463" t="s">
        <v>7606</v>
      </c>
    </row>
    <row r="3670" spans="3:4">
      <c r="C3670" s="463" t="s">
        <v>7607</v>
      </c>
    </row>
    <row r="3672" spans="3:4">
      <c r="C3672" s="463" t="s">
        <v>7608</v>
      </c>
    </row>
    <row r="3673" spans="3:4">
      <c r="D3673" s="463" t="s">
        <v>7609</v>
      </c>
    </row>
    <row r="3674" spans="3:4">
      <c r="C3674" s="463" t="s">
        <v>7610</v>
      </c>
    </row>
    <row r="3675" spans="3:4">
      <c r="C3675" s="463"/>
      <c r="D3675" s="463" t="s">
        <v>7612</v>
      </c>
    </row>
    <row r="3676" spans="3:4">
      <c r="C3676" s="463" t="s">
        <v>7613</v>
      </c>
    </row>
    <row r="3677" spans="3:4">
      <c r="C3677" s="463" t="s">
        <v>7611</v>
      </c>
    </row>
    <row r="3678" spans="3:4">
      <c r="C3678" s="463" t="s">
        <v>7614</v>
      </c>
    </row>
    <row r="3679" spans="3:4">
      <c r="D3679" s="463" t="s">
        <v>7615</v>
      </c>
    </row>
    <row r="3680" spans="3:4">
      <c r="D3680" s="463" t="s">
        <v>7616</v>
      </c>
    </row>
    <row r="3681" spans="2:4">
      <c r="C3681" s="463" t="s">
        <v>7617</v>
      </c>
    </row>
    <row r="3682" spans="2:4">
      <c r="D3682" s="463" t="s">
        <v>7618</v>
      </c>
    </row>
    <row r="3683" spans="2:4">
      <c r="D3683" s="463" t="s">
        <v>7619</v>
      </c>
    </row>
    <row r="3684" spans="2:4">
      <c r="D3684" s="463" t="s">
        <v>7620</v>
      </c>
    </row>
    <row r="3685" spans="2:4">
      <c r="C3685" s="463" t="s">
        <v>7621</v>
      </c>
    </row>
    <row r="3686" spans="2:4">
      <c r="C3686" s="463" t="s">
        <v>7622</v>
      </c>
    </row>
    <row r="3687" spans="2:4">
      <c r="D3687" s="463" t="s">
        <v>7623</v>
      </c>
    </row>
    <row r="3688" spans="2:4">
      <c r="C3688" s="463" t="s">
        <v>7624</v>
      </c>
    </row>
    <row r="3689" spans="2:4">
      <c r="C3689" s="463" t="s">
        <v>2035</v>
      </c>
    </row>
    <row r="3690" spans="2:4">
      <c r="D3690" s="463" t="s">
        <v>7625</v>
      </c>
    </row>
    <row r="3691" spans="2:4">
      <c r="C3691" s="463" t="s">
        <v>7626</v>
      </c>
    </row>
    <row r="3693" spans="2:4">
      <c r="B3693" s="463" t="s">
        <v>7293</v>
      </c>
    </row>
    <row r="3694" spans="2:4">
      <c r="C3694" s="1292" t="s">
        <v>7637</v>
      </c>
    </row>
    <row r="3695" spans="2:4">
      <c r="C3695" s="1292" t="s">
        <v>7638</v>
      </c>
    </row>
    <row r="3696" spans="2:4" ht="17.25">
      <c r="C3696" s="1292" t="s">
        <v>7639</v>
      </c>
    </row>
    <row r="3697" spans="3:3">
      <c r="C3697" s="1292" t="s">
        <v>7640</v>
      </c>
    </row>
    <row r="3698" spans="3:3">
      <c r="C3698" s="1292" t="s">
        <v>7641</v>
      </c>
    </row>
    <row r="3699" spans="3:3">
      <c r="C3699" s="1292" t="s">
        <v>7642</v>
      </c>
    </row>
    <row r="3700" spans="3:3">
      <c r="C3700" s="1292" t="s">
        <v>7643</v>
      </c>
    </row>
    <row r="3701" spans="3:3">
      <c r="C3701" s="1292" t="s">
        <v>7644</v>
      </c>
    </row>
    <row r="3702" spans="3:3">
      <c r="C3702" s="1292" t="s">
        <v>7645</v>
      </c>
    </row>
    <row r="3703" spans="3:3">
      <c r="C3703" s="1292" t="s">
        <v>7646</v>
      </c>
    </row>
    <row r="3704" spans="3:3">
      <c r="C3704" s="1292" t="s">
        <v>7647</v>
      </c>
    </row>
    <row r="3705" spans="3:3">
      <c r="C3705" s="1292" t="s">
        <v>7648</v>
      </c>
    </row>
    <row r="3706" spans="3:3">
      <c r="C3706" s="1292" t="s">
        <v>7649</v>
      </c>
    </row>
    <row r="3707" spans="3:3">
      <c r="C3707" s="1292" t="s">
        <v>7650</v>
      </c>
    </row>
    <row r="3708" spans="3:3">
      <c r="C3708" s="1292" t="s">
        <v>7651</v>
      </c>
    </row>
    <row r="3709" spans="3:3">
      <c r="C3709" s="1292" t="s">
        <v>7652</v>
      </c>
    </row>
    <row r="3710" spans="3:3">
      <c r="C3710" s="1292" t="s">
        <v>7653</v>
      </c>
    </row>
    <row r="3711" spans="3:3">
      <c r="C3711" s="1292" t="s">
        <v>7654</v>
      </c>
    </row>
    <row r="3712" spans="3:3">
      <c r="C3712" s="1292" t="s">
        <v>7655</v>
      </c>
    </row>
    <row r="3713" spans="2:4">
      <c r="C3713" s="1292" t="s">
        <v>7656</v>
      </c>
    </row>
    <row r="3714" spans="2:4">
      <c r="C3714" s="1292" t="s">
        <v>7657</v>
      </c>
    </row>
    <row r="3715" spans="2:4" ht="15.75">
      <c r="C3715" s="1293" t="s">
        <v>7658</v>
      </c>
    </row>
    <row r="3716" spans="2:4">
      <c r="B3716" s="627" t="s">
        <v>7686</v>
      </c>
    </row>
    <row r="3718" spans="2:4">
      <c r="B3718" t="s">
        <v>2379</v>
      </c>
    </row>
    <row r="3719" spans="2:4">
      <c r="C3719" t="s">
        <v>7687</v>
      </c>
    </row>
    <row r="3720" spans="2:4">
      <c r="C3720" t="s">
        <v>7690</v>
      </c>
    </row>
    <row r="3721" spans="2:4">
      <c r="C3721" t="s">
        <v>7688</v>
      </c>
    </row>
    <row r="3722" spans="2:4">
      <c r="D3722" t="s">
        <v>7689</v>
      </c>
    </row>
    <row r="3723" spans="2:4">
      <c r="B3723" t="s">
        <v>2032</v>
      </c>
    </row>
    <row r="3724" spans="2:4">
      <c r="C3724" t="s">
        <v>7691</v>
      </c>
    </row>
    <row r="3725" spans="2:4">
      <c r="C3725" t="s">
        <v>7692</v>
      </c>
    </row>
    <row r="3726" spans="2:4">
      <c r="C3726" t="s">
        <v>7693</v>
      </c>
    </row>
    <row r="3727" spans="2:4">
      <c r="C3727" t="s">
        <v>1610</v>
      </c>
    </row>
    <row r="3728" spans="2:4">
      <c r="D3728" t="s">
        <v>7694</v>
      </c>
    </row>
    <row r="3729" spans="2:4">
      <c r="D3729" t="s">
        <v>7695</v>
      </c>
    </row>
    <row r="3730" spans="2:4">
      <c r="D3730" t="s">
        <v>7696</v>
      </c>
    </row>
    <row r="3731" spans="2:4">
      <c r="D3731" t="s">
        <v>7697</v>
      </c>
    </row>
    <row r="3732" spans="2:4">
      <c r="B3732" t="s">
        <v>1665</v>
      </c>
    </row>
    <row r="3733" spans="2:4">
      <c r="C3733" t="s">
        <v>7698</v>
      </c>
    </row>
    <row r="3734" spans="2:4">
      <c r="C3734" t="s">
        <v>7699</v>
      </c>
    </row>
    <row r="3735" spans="2:4">
      <c r="C3735" t="s">
        <v>7701</v>
      </c>
    </row>
    <row r="3736" spans="2:4">
      <c r="C3736" t="s">
        <v>7700</v>
      </c>
    </row>
    <row r="3737" spans="2:4">
      <c r="C3737" t="s">
        <v>7702</v>
      </c>
    </row>
    <row r="3738" spans="2:4">
      <c r="D3738" t="s">
        <v>7703</v>
      </c>
    </row>
    <row r="3739" spans="2:4">
      <c r="C3739" t="s">
        <v>7704</v>
      </c>
    </row>
    <row r="3740" spans="2:4">
      <c r="C3740" t="s">
        <v>7711</v>
      </c>
    </row>
    <row r="3741" spans="2:4">
      <c r="D3741" t="s">
        <v>7705</v>
      </c>
    </row>
    <row r="3742" spans="2:4">
      <c r="D3742" t="s">
        <v>7706</v>
      </c>
    </row>
    <row r="3743" spans="2:4">
      <c r="D3743" t="s">
        <v>7707</v>
      </c>
    </row>
    <row r="3744" spans="2:4">
      <c r="C3744" t="s">
        <v>7708</v>
      </c>
    </row>
    <row r="3745" spans="2:5">
      <c r="C3745" t="s">
        <v>7709</v>
      </c>
    </row>
    <row r="3746" spans="2:5">
      <c r="C3746" t="s">
        <v>7710</v>
      </c>
    </row>
    <row r="3747" spans="2:5">
      <c r="B3747" t="s">
        <v>7712</v>
      </c>
    </row>
    <row r="3748" spans="2:5">
      <c r="C3748" t="s">
        <v>7713</v>
      </c>
    </row>
    <row r="3749" spans="2:5">
      <c r="D3749" t="s">
        <v>7715</v>
      </c>
    </row>
    <row r="3750" spans="2:5">
      <c r="D3750" t="s">
        <v>7179</v>
      </c>
    </row>
    <row r="3751" spans="2:5">
      <c r="D3751" t="s">
        <v>7716</v>
      </c>
    </row>
    <row r="3752" spans="2:5">
      <c r="E3752" t="s">
        <v>7717</v>
      </c>
    </row>
    <row r="3753" spans="2:5">
      <c r="E3753" t="s">
        <v>7718</v>
      </c>
    </row>
    <row r="3754" spans="2:5">
      <c r="D3754" t="s">
        <v>7719</v>
      </c>
    </row>
    <row r="3755" spans="2:5">
      <c r="E3755" t="s">
        <v>7720</v>
      </c>
    </row>
    <row r="3756" spans="2:5">
      <c r="D3756" t="s">
        <v>7721</v>
      </c>
    </row>
    <row r="3757" spans="2:5">
      <c r="E3757" t="s">
        <v>7722</v>
      </c>
    </row>
    <row r="3758" spans="2:5">
      <c r="E3758" t="s">
        <v>7723</v>
      </c>
    </row>
    <row r="3759" spans="2:5">
      <c r="E3759" t="s">
        <v>7724</v>
      </c>
    </row>
    <row r="3760" spans="2:5">
      <c r="D3760" t="s">
        <v>7725</v>
      </c>
    </row>
    <row r="3761" spans="2:5">
      <c r="D3761" t="s">
        <v>7726</v>
      </c>
    </row>
    <row r="3762" spans="2:5">
      <c r="E3762" t="s">
        <v>7727</v>
      </c>
    </row>
    <row r="3763" spans="2:5">
      <c r="D3763" t="s">
        <v>7728</v>
      </c>
    </row>
    <row r="3764" spans="2:5">
      <c r="E3764" t="s">
        <v>7729</v>
      </c>
    </row>
    <row r="3765" spans="2:5">
      <c r="E3765" t="s">
        <v>7730</v>
      </c>
    </row>
    <row r="3766" spans="2:5">
      <c r="E3766" t="s">
        <v>7731</v>
      </c>
    </row>
    <row r="3767" spans="2:5">
      <c r="C3767" t="s">
        <v>7714</v>
      </c>
    </row>
    <row r="3768" spans="2:5">
      <c r="B3768" t="s">
        <v>7732</v>
      </c>
    </row>
    <row r="3769" spans="2:5">
      <c r="C3769" t="s">
        <v>7733</v>
      </c>
    </row>
    <row r="3770" spans="2:5">
      <c r="C3770" t="s">
        <v>7734</v>
      </c>
    </row>
    <row r="3771" spans="2:5">
      <c r="C3771" t="s">
        <v>7735</v>
      </c>
    </row>
    <row r="3772" spans="2:5">
      <c r="D3772" t="s">
        <v>7736</v>
      </c>
    </row>
    <row r="3773" spans="2:5">
      <c r="D3773" t="s">
        <v>7737</v>
      </c>
    </row>
    <row r="3774" spans="2:5">
      <c r="D3774" t="s">
        <v>7738</v>
      </c>
    </row>
    <row r="3775" spans="2:5">
      <c r="C3775" t="s">
        <v>7739</v>
      </c>
    </row>
    <row r="3776" spans="2:5">
      <c r="D3776" t="s">
        <v>7740</v>
      </c>
    </row>
    <row r="3777" spans="2:5">
      <c r="D3777" t="s">
        <v>7741</v>
      </c>
    </row>
    <row r="3778" spans="2:5">
      <c r="E3778" t="s">
        <v>7742</v>
      </c>
    </row>
    <row r="3779" spans="2:5">
      <c r="C3779" t="s">
        <v>7743</v>
      </c>
    </row>
    <row r="3780" spans="2:5">
      <c r="B3780" t="s">
        <v>7744</v>
      </c>
    </row>
    <row r="3781" spans="2:5">
      <c r="C3781" t="s">
        <v>7745</v>
      </c>
    </row>
    <row r="3782" spans="2:5">
      <c r="C3782" t="s">
        <v>7746</v>
      </c>
    </row>
    <row r="3783" spans="2:5">
      <c r="C3783" t="s">
        <v>7747</v>
      </c>
    </row>
    <row r="3785" spans="2:5">
      <c r="B3785" s="627" t="s">
        <v>7411</v>
      </c>
    </row>
    <row r="3787" spans="2:5">
      <c r="B3787" s="463" t="s">
        <v>574</v>
      </c>
    </row>
    <row r="3788" spans="2:5">
      <c r="B3788" s="463"/>
      <c r="C3788" s="463" t="s">
        <v>7774</v>
      </c>
    </row>
    <row r="3789" spans="2:5">
      <c r="B3789" s="463"/>
      <c r="C3789" s="463" t="s">
        <v>4061</v>
      </c>
    </row>
    <row r="3790" spans="2:5">
      <c r="B3790" s="463"/>
      <c r="D3790" s="463" t="s">
        <v>7769</v>
      </c>
    </row>
    <row r="3791" spans="2:5">
      <c r="B3791" s="463" t="s">
        <v>7759</v>
      </c>
    </row>
    <row r="3792" spans="2:5">
      <c r="B3792" s="463"/>
      <c r="C3792" s="463" t="s">
        <v>7762</v>
      </c>
    </row>
    <row r="3793" spans="2:3">
      <c r="B3793" s="463" t="s">
        <v>7763</v>
      </c>
      <c r="C3793" s="463"/>
    </row>
    <row r="3794" spans="2:3">
      <c r="B3794" s="463"/>
      <c r="C3794" s="463" t="s">
        <v>7771</v>
      </c>
    </row>
    <row r="3795" spans="2:3">
      <c r="B3795" s="463" t="s">
        <v>2379</v>
      </c>
    </row>
    <row r="3796" spans="2:3">
      <c r="B3796" s="463"/>
      <c r="C3796" s="463" t="s">
        <v>7764</v>
      </c>
    </row>
    <row r="3797" spans="2:3">
      <c r="B3797" s="463"/>
      <c r="C3797" s="463" t="s">
        <v>7757</v>
      </c>
    </row>
    <row r="3798" spans="2:3">
      <c r="B3798" s="463" t="s">
        <v>7755</v>
      </c>
    </row>
    <row r="3799" spans="2:3">
      <c r="B3799" s="463"/>
      <c r="C3799" s="463" t="s">
        <v>7756</v>
      </c>
    </row>
    <row r="3800" spans="2:3">
      <c r="B3800" s="463" t="s">
        <v>1665</v>
      </c>
      <c r="C3800" s="463"/>
    </row>
    <row r="3801" spans="2:3">
      <c r="B3801" s="463"/>
      <c r="C3801" s="463" t="s">
        <v>7765</v>
      </c>
    </row>
    <row r="3802" spans="2:3">
      <c r="B3802" s="463"/>
      <c r="C3802" s="463" t="s">
        <v>7758</v>
      </c>
    </row>
    <row r="3803" spans="2:3">
      <c r="B3803" s="463" t="s">
        <v>7751</v>
      </c>
    </row>
    <row r="3804" spans="2:3">
      <c r="B3804" s="463"/>
      <c r="C3804" t="s">
        <v>7770</v>
      </c>
    </row>
    <row r="3805" spans="2:3">
      <c r="B3805" s="463" t="s">
        <v>7750</v>
      </c>
    </row>
    <row r="3806" spans="2:3">
      <c r="B3806" s="463"/>
    </row>
    <row r="3807" spans="2:3">
      <c r="B3807" s="627" t="s">
        <v>6369</v>
      </c>
    </row>
    <row r="3808" spans="2:3">
      <c r="B3808" s="463" t="s">
        <v>7752</v>
      </c>
    </row>
    <row r="3809" spans="2:5">
      <c r="B3809" s="463" t="s">
        <v>7753</v>
      </c>
    </row>
    <row r="3810" spans="2:5">
      <c r="C3810" s="463" t="s">
        <v>7754</v>
      </c>
    </row>
    <row r="3811" spans="2:5">
      <c r="B3811" s="463" t="s">
        <v>7760</v>
      </c>
      <c r="C3811" s="463" t="s">
        <v>7761</v>
      </c>
    </row>
    <row r="3813" spans="2:5">
      <c r="B3813" s="451" t="s">
        <v>945</v>
      </c>
      <c r="C3813" s="560" t="s">
        <v>7410</v>
      </c>
      <c r="D3813" s="560" t="s">
        <v>7293</v>
      </c>
      <c r="E3813" s="560" t="s">
        <v>7411</v>
      </c>
    </row>
    <row r="3814" spans="2:5">
      <c r="B3814" s="463" t="s">
        <v>7049</v>
      </c>
      <c r="C3814" s="456">
        <v>-7.5999999999999998E-2</v>
      </c>
      <c r="D3814" s="456">
        <v>-7.0000000000000001E-3</v>
      </c>
      <c r="E3814" s="456">
        <v>4.4999999999999998E-2</v>
      </c>
    </row>
    <row r="3815" spans="2:5">
      <c r="E3815" s="456"/>
    </row>
    <row r="3816" spans="2:5">
      <c r="B3816" s="627" t="s">
        <v>1877</v>
      </c>
      <c r="E3816" s="456"/>
    </row>
    <row r="3818" spans="2:5">
      <c r="B3818" s="463" t="s">
        <v>7767</v>
      </c>
    </row>
    <row r="3819" spans="2:5">
      <c r="C3819" s="463" t="s">
        <v>7766</v>
      </c>
    </row>
    <row r="3820" spans="2:5">
      <c r="C3820" s="463" t="s">
        <v>7768</v>
      </c>
    </row>
    <row r="3821" spans="2:5">
      <c r="B3821" s="463" t="s">
        <v>7759</v>
      </c>
    </row>
    <row r="3822" spans="2:5">
      <c r="C3822" s="463" t="s">
        <v>1665</v>
      </c>
    </row>
    <row r="3823" spans="2:5">
      <c r="C3823" s="463" t="s">
        <v>7772</v>
      </c>
    </row>
    <row r="3824" spans="2:5">
      <c r="C3824" s="463" t="s">
        <v>7773</v>
      </c>
    </row>
    <row r="3825" spans="2:19">
      <c r="B3825" s="463" t="s">
        <v>2377</v>
      </c>
    </row>
    <row r="3826" spans="2:19">
      <c r="C3826" s="463" t="s">
        <v>7775</v>
      </c>
    </row>
    <row r="3827" spans="2:19">
      <c r="B3827" s="463" t="s">
        <v>574</v>
      </c>
    </row>
    <row r="3828" spans="2:19">
      <c r="C3828" s="463" t="s">
        <v>7776</v>
      </c>
    </row>
    <row r="3829" spans="2:19">
      <c r="C3829" s="463" t="s">
        <v>7777</v>
      </c>
    </row>
    <row r="3830" spans="2:19">
      <c r="C3830" s="463" t="s">
        <v>7778</v>
      </c>
    </row>
    <row r="3831" spans="2:19">
      <c r="D3831" s="463" t="s">
        <v>7779</v>
      </c>
    </row>
    <row r="3832" spans="2:19">
      <c r="C3832" s="463" t="s">
        <v>7780</v>
      </c>
    </row>
    <row r="3833" spans="2:19">
      <c r="D3833" s="463" t="s">
        <v>7782</v>
      </c>
    </row>
    <row r="3834" spans="2:19">
      <c r="D3834" s="463" t="s">
        <v>7781</v>
      </c>
    </row>
    <row r="3835" spans="2:19">
      <c r="B3835" s="463" t="s">
        <v>2379</v>
      </c>
    </row>
    <row r="3836" spans="2:19">
      <c r="C3836" s="463" t="s">
        <v>7783</v>
      </c>
    </row>
    <row r="3837" spans="2:19">
      <c r="D3837" s="463" t="s">
        <v>7784</v>
      </c>
    </row>
    <row r="3838" spans="2:19">
      <c r="D3838" s="463" t="s">
        <v>7785</v>
      </c>
    </row>
    <row r="3839" spans="2:19">
      <c r="C3839" t="s">
        <v>7786</v>
      </c>
      <c r="D3839" s="463"/>
    </row>
    <row r="3840" spans="2:19">
      <c r="D3840" s="463" t="s">
        <v>7787</v>
      </c>
      <c r="S3840" t="s">
        <v>1823</v>
      </c>
    </row>
    <row r="3841" spans="2:4">
      <c r="D3841" s="463" t="s">
        <v>7788</v>
      </c>
    </row>
    <row r="3842" spans="2:4">
      <c r="C3842" t="s">
        <v>4563</v>
      </c>
      <c r="D3842" s="463"/>
    </row>
    <row r="3843" spans="2:4">
      <c r="B3843" t="s">
        <v>7789</v>
      </c>
      <c r="D3843" s="463"/>
    </row>
    <row r="3844" spans="2:4">
      <c r="C3844" t="s">
        <v>7790</v>
      </c>
      <c r="D3844" s="463"/>
    </row>
    <row r="3845" spans="2:4">
      <c r="C3845" t="s">
        <v>7791</v>
      </c>
      <c r="D3845" s="463"/>
    </row>
    <row r="3846" spans="2:4">
      <c r="C3846" t="s">
        <v>7792</v>
      </c>
      <c r="D3846" s="463"/>
    </row>
    <row r="3847" spans="2:4">
      <c r="D3847" s="463" t="s">
        <v>7793</v>
      </c>
    </row>
    <row r="3848" spans="2:4">
      <c r="B3848" t="s">
        <v>7048</v>
      </c>
    </row>
    <row r="3849" spans="2:4">
      <c r="C3849" t="s">
        <v>2916</v>
      </c>
    </row>
    <row r="3851" spans="2:4">
      <c r="B3851" s="450" t="s">
        <v>6709</v>
      </c>
    </row>
    <row r="3852" spans="2:4">
      <c r="C3852" s="463" t="s">
        <v>7796</v>
      </c>
    </row>
    <row r="3854" spans="2:4">
      <c r="B3854" s="627" t="s">
        <v>7411</v>
      </c>
    </row>
    <row r="3856" spans="2:4">
      <c r="B3856" t="s">
        <v>7803</v>
      </c>
    </row>
    <row r="3857" spans="2:4">
      <c r="C3857" s="463" t="s">
        <v>7806</v>
      </c>
    </row>
    <row r="3858" spans="2:4">
      <c r="C3858" s="463" t="s">
        <v>7808</v>
      </c>
    </row>
    <row r="3859" spans="2:4">
      <c r="C3859" s="463"/>
      <c r="D3859" s="463" t="s">
        <v>7809</v>
      </c>
    </row>
    <row r="3860" spans="2:4">
      <c r="C3860" s="463"/>
      <c r="D3860" s="463" t="s">
        <v>7810</v>
      </c>
    </row>
    <row r="3861" spans="2:4">
      <c r="C3861" t="s">
        <v>7804</v>
      </c>
    </row>
    <row r="3862" spans="2:4">
      <c r="C3862" t="s">
        <v>7805</v>
      </c>
    </row>
    <row r="3863" spans="2:4">
      <c r="C3863" s="463" t="s">
        <v>7807</v>
      </c>
    </row>
    <row r="3864" spans="2:4">
      <c r="B3864" s="463" t="s">
        <v>7811</v>
      </c>
    </row>
    <row r="3865" spans="2:4">
      <c r="C3865" s="463" t="s">
        <v>7812</v>
      </c>
    </row>
    <row r="3866" spans="2:4">
      <c r="C3866" s="463" t="s">
        <v>7816</v>
      </c>
    </row>
    <row r="3867" spans="2:4">
      <c r="B3867" s="463" t="s">
        <v>7813</v>
      </c>
    </row>
    <row r="3868" spans="2:4">
      <c r="B3868" s="463" t="s">
        <v>7814</v>
      </c>
      <c r="C3868" s="463" t="s">
        <v>7815</v>
      </c>
    </row>
    <row r="3870" spans="2:4">
      <c r="B3870" s="627" t="s">
        <v>1250</v>
      </c>
    </row>
    <row r="3872" spans="2:4">
      <c r="B3872" s="463" t="s">
        <v>7900</v>
      </c>
      <c r="C3872" s="463" t="s">
        <v>7901</v>
      </c>
    </row>
    <row r="3873" spans="2:3">
      <c r="B3873" s="463" t="s">
        <v>7902</v>
      </c>
      <c r="C3873" s="463" t="s">
        <v>7903</v>
      </c>
    </row>
    <row r="3874" spans="2:3">
      <c r="C3874" s="463" t="s">
        <v>6110</v>
      </c>
    </row>
    <row r="3875" spans="2:3">
      <c r="B3875" s="463" t="s">
        <v>7904</v>
      </c>
    </row>
    <row r="3876" spans="2:3">
      <c r="C3876" s="1131">
        <v>0.2</v>
      </c>
    </row>
    <row r="3877" spans="2:3">
      <c r="B3877" s="463" t="s">
        <v>7905</v>
      </c>
    </row>
    <row r="3878" spans="2:3">
      <c r="C3878" s="463" t="s">
        <v>7906</v>
      </c>
    </row>
    <row r="3879" spans="2:3">
      <c r="B3879" s="463" t="s">
        <v>7907</v>
      </c>
    </row>
    <row r="3880" spans="2:3">
      <c r="C3880" s="463" t="s">
        <v>7908</v>
      </c>
    </row>
    <row r="3881" spans="2:3">
      <c r="B3881" s="463" t="s">
        <v>7909</v>
      </c>
    </row>
    <row r="3882" spans="2:3">
      <c r="C3882" s="463" t="s">
        <v>3564</v>
      </c>
    </row>
    <row r="3883" spans="2:3">
      <c r="B3883" s="463" t="s">
        <v>7910</v>
      </c>
    </row>
    <row r="3884" spans="2:3">
      <c r="C3884" s="463" t="s">
        <v>7911</v>
      </c>
    </row>
    <row r="3885" spans="2:3">
      <c r="B3885" s="463" t="s">
        <v>7912</v>
      </c>
    </row>
    <row r="3886" spans="2:3">
      <c r="C3886" s="463" t="s">
        <v>7913</v>
      </c>
    </row>
    <row r="3887" spans="2:3">
      <c r="C3887" s="463" t="s">
        <v>7914</v>
      </c>
    </row>
    <row r="3888" spans="2:3">
      <c r="B3888" s="463" t="s">
        <v>7915</v>
      </c>
    </row>
    <row r="3889" spans="2:4">
      <c r="C3889" s="463" t="s">
        <v>7916</v>
      </c>
    </row>
    <row r="3890" spans="2:4">
      <c r="C3890" s="463" t="s">
        <v>7917</v>
      </c>
    </row>
    <row r="3891" spans="2:4">
      <c r="C3891" s="463" t="s">
        <v>7918</v>
      </c>
    </row>
    <row r="3892" spans="2:4">
      <c r="C3892" s="463" t="s">
        <v>7919</v>
      </c>
    </row>
    <row r="3893" spans="2:4">
      <c r="D3893" s="463" t="s">
        <v>7920</v>
      </c>
    </row>
    <row r="3894" spans="2:4">
      <c r="D3894" s="463" t="s">
        <v>7921</v>
      </c>
    </row>
    <row r="3895" spans="2:4">
      <c r="D3895" s="463" t="s">
        <v>7922</v>
      </c>
    </row>
    <row r="3896" spans="2:4">
      <c r="D3896" s="463" t="s">
        <v>7923</v>
      </c>
    </row>
    <row r="3897" spans="2:4">
      <c r="B3897" s="463" t="s">
        <v>2377</v>
      </c>
    </row>
    <row r="3898" spans="2:4">
      <c r="C3898" s="463" t="s">
        <v>7924</v>
      </c>
    </row>
    <row r="3899" spans="2:4">
      <c r="C3899" s="463" t="s">
        <v>7925</v>
      </c>
    </row>
    <row r="3900" spans="2:4">
      <c r="C3900" s="463" t="s">
        <v>7926</v>
      </c>
    </row>
    <row r="3901" spans="2:4">
      <c r="C3901" s="463" t="s">
        <v>7927</v>
      </c>
    </row>
    <row r="3902" spans="2:4">
      <c r="C3902" s="463" t="s">
        <v>7928</v>
      </c>
    </row>
    <row r="3903" spans="2:4">
      <c r="B3903" s="463" t="s">
        <v>1665</v>
      </c>
    </row>
    <row r="3904" spans="2:4">
      <c r="C3904" s="463" t="s">
        <v>7929</v>
      </c>
    </row>
    <row r="3905" spans="1:4">
      <c r="C3905" s="463" t="s">
        <v>6712</v>
      </c>
      <c r="D3905" s="463" t="s">
        <v>7930</v>
      </c>
    </row>
    <row r="3906" spans="1:4">
      <c r="A3906" s="463" t="s">
        <v>1823</v>
      </c>
      <c r="C3906" s="463" t="s">
        <v>7931</v>
      </c>
    </row>
    <row r="3907" spans="1:4">
      <c r="B3907" s="463" t="s">
        <v>2032</v>
      </c>
    </row>
    <row r="3908" spans="1:4">
      <c r="C3908" s="463" t="s">
        <v>7934</v>
      </c>
    </row>
    <row r="3909" spans="1:4">
      <c r="C3909" s="463"/>
      <c r="D3909" s="463" t="s">
        <v>7935</v>
      </c>
    </row>
    <row r="3910" spans="1:4">
      <c r="C3910" s="463" t="s">
        <v>7932</v>
      </c>
    </row>
    <row r="3911" spans="1:4">
      <c r="C3911" s="463" t="s">
        <v>7933</v>
      </c>
    </row>
    <row r="3913" spans="1:4">
      <c r="B3913" s="1345">
        <v>45021</v>
      </c>
    </row>
    <row r="3914" spans="1:4">
      <c r="C3914" t="s">
        <v>7939</v>
      </c>
    </row>
    <row r="3915" spans="1:4">
      <c r="C3915" t="s">
        <v>7940</v>
      </c>
    </row>
    <row r="3916" spans="1:4">
      <c r="C3916" s="463" t="s">
        <v>7941</v>
      </c>
    </row>
    <row r="3918" spans="1:4">
      <c r="B3918" s="627" t="s">
        <v>7994</v>
      </c>
    </row>
    <row r="3920" spans="1:4">
      <c r="B3920" s="463" t="s">
        <v>1545</v>
      </c>
    </row>
    <row r="3921" spans="2:3">
      <c r="C3921" s="463" t="s">
        <v>8019</v>
      </c>
    </row>
    <row r="3922" spans="2:3">
      <c r="C3922" s="463" t="s">
        <v>8020</v>
      </c>
    </row>
    <row r="3923" spans="2:3">
      <c r="C3923" s="463" t="s">
        <v>8021</v>
      </c>
    </row>
    <row r="3924" spans="2:3">
      <c r="B3924" s="463" t="s">
        <v>8009</v>
      </c>
    </row>
    <row r="3925" spans="2:3">
      <c r="B3925" s="463"/>
      <c r="C3925" s="463" t="s">
        <v>8022</v>
      </c>
    </row>
    <row r="3926" spans="2:3">
      <c r="B3926" s="463"/>
      <c r="C3926" s="463" t="s">
        <v>8010</v>
      </c>
    </row>
    <row r="3927" spans="2:3">
      <c r="B3927" s="463" t="s">
        <v>8005</v>
      </c>
    </row>
    <row r="3928" spans="2:3">
      <c r="B3928" s="463"/>
      <c r="C3928" s="463" t="s">
        <v>8014</v>
      </c>
    </row>
    <row r="3929" spans="2:3">
      <c r="B3929" s="463" t="s">
        <v>7780</v>
      </c>
    </row>
    <row r="3930" spans="2:3">
      <c r="C3930" s="463" t="s">
        <v>7995</v>
      </c>
    </row>
    <row r="3931" spans="2:3">
      <c r="C3931" s="463" t="s">
        <v>8006</v>
      </c>
    </row>
    <row r="3932" spans="2:3">
      <c r="B3932" s="463" t="s">
        <v>7996</v>
      </c>
    </row>
    <row r="3933" spans="2:3">
      <c r="C3933" s="463" t="s">
        <v>7998</v>
      </c>
    </row>
    <row r="3934" spans="2:3">
      <c r="C3934" s="463" t="s">
        <v>7999</v>
      </c>
    </row>
    <row r="3935" spans="2:3">
      <c r="B3935" s="463" t="s">
        <v>1665</v>
      </c>
      <c r="C3935" s="463"/>
    </row>
    <row r="3936" spans="2:3">
      <c r="B3936" s="463"/>
      <c r="C3936" s="463" t="s">
        <v>8011</v>
      </c>
    </row>
    <row r="3937" spans="2:3">
      <c r="C3937" s="463" t="s">
        <v>8007</v>
      </c>
    </row>
    <row r="3938" spans="2:3">
      <c r="B3938" s="463" t="s">
        <v>800</v>
      </c>
    </row>
    <row r="3939" spans="2:3">
      <c r="C3939" s="463" t="s">
        <v>8000</v>
      </c>
    </row>
    <row r="3940" spans="2:3">
      <c r="C3940" s="463" t="s">
        <v>8012</v>
      </c>
    </row>
    <row r="3941" spans="2:3">
      <c r="B3941" s="463" t="s">
        <v>8001</v>
      </c>
    </row>
    <row r="3942" spans="2:3">
      <c r="B3942" s="463"/>
      <c r="C3942" s="463" t="s">
        <v>8013</v>
      </c>
    </row>
    <row r="3943" spans="2:3">
      <c r="B3943" s="463" t="s">
        <v>8002</v>
      </c>
    </row>
    <row r="3944" spans="2:3">
      <c r="C3944" s="463" t="s">
        <v>8003</v>
      </c>
    </row>
    <row r="3945" spans="2:3">
      <c r="B3945" s="463" t="s">
        <v>8004</v>
      </c>
    </row>
    <row r="3947" spans="2:3">
      <c r="B3947" s="463" t="s">
        <v>7997</v>
      </c>
    </row>
    <row r="3949" spans="2:3">
      <c r="B3949" s="463" t="s">
        <v>8015</v>
      </c>
    </row>
    <row r="3951" spans="2:3">
      <c r="B3951" s="463" t="s">
        <v>2379</v>
      </c>
    </row>
    <row r="3952" spans="2:3">
      <c r="B3952" s="463"/>
      <c r="C3952" s="463" t="s">
        <v>8016</v>
      </c>
    </row>
    <row r="3953" spans="2:3">
      <c r="C3953" s="463" t="s">
        <v>8017</v>
      </c>
    </row>
    <row r="3954" spans="2:3">
      <c r="B3954" s="463" t="s">
        <v>8018</v>
      </c>
    </row>
    <row r="3956" spans="2:3">
      <c r="B3956" s="463" t="s">
        <v>395</v>
      </c>
    </row>
    <row r="3958" spans="2:3">
      <c r="B3958" s="463" t="s">
        <v>7095</v>
      </c>
    </row>
    <row r="3959" spans="2:3">
      <c r="B3959" s="463"/>
      <c r="C3959" s="463" t="s">
        <v>8031</v>
      </c>
    </row>
    <row r="3961" spans="2:3">
      <c r="B3961" s="627" t="s">
        <v>1877</v>
      </c>
    </row>
    <row r="3963" spans="2:3">
      <c r="B3963" s="463" t="s">
        <v>8023</v>
      </c>
    </row>
    <row r="3964" spans="2:3">
      <c r="C3964" s="463" t="s">
        <v>8024</v>
      </c>
    </row>
    <row r="3965" spans="2:3">
      <c r="C3965" s="463" t="s">
        <v>8025</v>
      </c>
    </row>
    <row r="3966" spans="2:3">
      <c r="C3966" s="463" t="s">
        <v>8026</v>
      </c>
    </row>
    <row r="3967" spans="2:3">
      <c r="C3967" s="463" t="s">
        <v>8027</v>
      </c>
    </row>
    <row r="3968" spans="2:3">
      <c r="C3968" s="463" t="s">
        <v>8028</v>
      </c>
    </row>
    <row r="3969" spans="2:4">
      <c r="C3969" s="463" t="s">
        <v>8029</v>
      </c>
    </row>
    <row r="3970" spans="2:4">
      <c r="C3970" s="463" t="s">
        <v>8030</v>
      </c>
    </row>
    <row r="3971" spans="2:4">
      <c r="B3971" s="463" t="s">
        <v>8032</v>
      </c>
    </row>
    <row r="3973" spans="2:4">
      <c r="B3973" s="463" t="s">
        <v>2377</v>
      </c>
    </row>
    <row r="3974" spans="2:4">
      <c r="C3974" s="463" t="s">
        <v>8033</v>
      </c>
    </row>
    <row r="3975" spans="2:4">
      <c r="B3975" s="463" t="s">
        <v>2379</v>
      </c>
    </row>
    <row r="3976" spans="2:4">
      <c r="C3976" s="463" t="s">
        <v>8034</v>
      </c>
    </row>
    <row r="3977" spans="2:4">
      <c r="C3977" s="463" t="s">
        <v>8035</v>
      </c>
    </row>
    <row r="3978" spans="2:4">
      <c r="D3978" s="463" t="s">
        <v>8036</v>
      </c>
    </row>
    <row r="3979" spans="2:4">
      <c r="D3979" s="463" t="s">
        <v>8037</v>
      </c>
    </row>
    <row r="3980" spans="2:4">
      <c r="D3980" s="463" t="s">
        <v>8038</v>
      </c>
    </row>
    <row r="3981" spans="2:4">
      <c r="D3981" s="463" t="s">
        <v>8039</v>
      </c>
    </row>
    <row r="3982" spans="2:4">
      <c r="D3982" s="463" t="s">
        <v>8040</v>
      </c>
    </row>
    <row r="3983" spans="2:4">
      <c r="D3983" s="463" t="s">
        <v>8041</v>
      </c>
    </row>
    <row r="3984" spans="2:4">
      <c r="D3984" s="463" t="s">
        <v>8042</v>
      </c>
    </row>
    <row r="3985" spans="2:5">
      <c r="B3985" s="463" t="s">
        <v>1545</v>
      </c>
    </row>
    <row r="3986" spans="2:5">
      <c r="C3986" s="463" t="s">
        <v>8043</v>
      </c>
    </row>
    <row r="3987" spans="2:5">
      <c r="C3987" s="463" t="s">
        <v>8044</v>
      </c>
    </row>
    <row r="3988" spans="2:5">
      <c r="C3988" s="463" t="s">
        <v>8046</v>
      </c>
    </row>
    <row r="3989" spans="2:5">
      <c r="D3989" s="463" t="s">
        <v>8045</v>
      </c>
    </row>
    <row r="3990" spans="2:5">
      <c r="D3990" s="463" t="s">
        <v>8047</v>
      </c>
    </row>
    <row r="3991" spans="2:5">
      <c r="D3991" s="463" t="s">
        <v>8048</v>
      </c>
    </row>
    <row r="3992" spans="2:5">
      <c r="E3992" s="463" t="s">
        <v>8049</v>
      </c>
    </row>
    <row r="3993" spans="2:5">
      <c r="C3993" s="463" t="s">
        <v>8050</v>
      </c>
    </row>
    <row r="3994" spans="2:5">
      <c r="B3994" s="463" t="s">
        <v>3054</v>
      </c>
    </row>
    <row r="3995" spans="2:5">
      <c r="C3995" s="463" t="s">
        <v>8051</v>
      </c>
    </row>
    <row r="3996" spans="2:5">
      <c r="C3996" s="463" t="s">
        <v>8052</v>
      </c>
    </row>
    <row r="3997" spans="2:5">
      <c r="B3997" s="463" t="s">
        <v>4953</v>
      </c>
    </row>
    <row r="3998" spans="2:5">
      <c r="B3998" s="463"/>
      <c r="C3998" s="463" t="s">
        <v>8053</v>
      </c>
    </row>
    <row r="3999" spans="2:5">
      <c r="B3999" s="463"/>
      <c r="C3999" s="463"/>
      <c r="D3999" s="463" t="s">
        <v>8054</v>
      </c>
    </row>
    <row r="4000" spans="2:5">
      <c r="B4000" s="463"/>
      <c r="C4000" s="463" t="s">
        <v>8055</v>
      </c>
      <c r="D4000" s="463"/>
    </row>
    <row r="4001" spans="2:4">
      <c r="B4001" s="463"/>
      <c r="C4001" s="463" t="s">
        <v>8056</v>
      </c>
      <c r="D4001" s="463"/>
    </row>
    <row r="4002" spans="2:4">
      <c r="B4002" s="463"/>
      <c r="C4002" s="463" t="s">
        <v>8057</v>
      </c>
      <c r="D4002" s="463"/>
    </row>
    <row r="4003" spans="2:4">
      <c r="B4003" s="463" t="s">
        <v>8058</v>
      </c>
    </row>
    <row r="4004" spans="2:4">
      <c r="C4004" s="463" t="s">
        <v>8059</v>
      </c>
    </row>
    <row r="4005" spans="2:4">
      <c r="D4005" s="463" t="s">
        <v>8060</v>
      </c>
    </row>
    <row r="4006" spans="2:4">
      <c r="D4006" s="463" t="s">
        <v>8061</v>
      </c>
    </row>
    <row r="4007" spans="2:4">
      <c r="C4007" s="463" t="s">
        <v>8062</v>
      </c>
    </row>
    <row r="4008" spans="2:4">
      <c r="C4008" s="463" t="s">
        <v>8067</v>
      </c>
    </row>
    <row r="4009" spans="2:4">
      <c r="C4009" s="463"/>
      <c r="D4009" s="463" t="s">
        <v>8068</v>
      </c>
    </row>
    <row r="4010" spans="2:4">
      <c r="C4010" s="463"/>
      <c r="D4010" s="463" t="s">
        <v>8069</v>
      </c>
    </row>
    <row r="4011" spans="2:4">
      <c r="B4011" s="463" t="s">
        <v>8063</v>
      </c>
    </row>
    <row r="4012" spans="2:4">
      <c r="C4012" s="463" t="s">
        <v>8064</v>
      </c>
    </row>
    <row r="4013" spans="2:4">
      <c r="B4013" s="463" t="s">
        <v>2379</v>
      </c>
    </row>
    <row r="4014" spans="2:4">
      <c r="C4014" s="463" t="s">
        <v>8065</v>
      </c>
    </row>
    <row r="4015" spans="2:4">
      <c r="C4015" s="463" t="s">
        <v>8066</v>
      </c>
    </row>
    <row r="4016" spans="2:4">
      <c r="B4016" s="463" t="s">
        <v>7187</v>
      </c>
    </row>
    <row r="4017" spans="2:3">
      <c r="C4017" s="463" t="s">
        <v>8070</v>
      </c>
    </row>
    <row r="4018" spans="2:3">
      <c r="C4018" s="463" t="s">
        <v>8071</v>
      </c>
    </row>
    <row r="4019" spans="2:3">
      <c r="B4019" s="463" t="s">
        <v>7780</v>
      </c>
    </row>
    <row r="4020" spans="2:3">
      <c r="C4020" s="463" t="s">
        <v>8072</v>
      </c>
    </row>
    <row r="4021" spans="2:3">
      <c r="C4021" s="463" t="s">
        <v>8073</v>
      </c>
    </row>
    <row r="4022" spans="2:3">
      <c r="C4022" s="463" t="s">
        <v>8074</v>
      </c>
    </row>
    <row r="4023" spans="2:3">
      <c r="C4023" s="463" t="s">
        <v>8075</v>
      </c>
    </row>
    <row r="4024" spans="2:3">
      <c r="B4024" s="463" t="s">
        <v>8076</v>
      </c>
    </row>
    <row r="4025" spans="2:3">
      <c r="C4025" s="463" t="s">
        <v>8077</v>
      </c>
    </row>
    <row r="4027" spans="2:3">
      <c r="B4027" s="627" t="s">
        <v>8078</v>
      </c>
    </row>
    <row r="4029" spans="2:3">
      <c r="B4029" s="463" t="s">
        <v>8079</v>
      </c>
      <c r="C4029" s="463" t="s">
        <v>8080</v>
      </c>
    </row>
    <row r="4030" spans="2:3">
      <c r="C4030" s="463" t="s">
        <v>8081</v>
      </c>
    </row>
    <row r="4031" spans="2:3">
      <c r="C4031" s="463" t="s">
        <v>8083</v>
      </c>
    </row>
    <row r="4032" spans="2:3">
      <c r="C4032" s="463" t="s">
        <v>8082</v>
      </c>
    </row>
    <row r="4033" spans="2:4">
      <c r="B4033" s="463" t="s">
        <v>8084</v>
      </c>
    </row>
    <row r="4034" spans="2:4">
      <c r="C4034" s="463" t="s">
        <v>8085</v>
      </c>
    </row>
    <row r="4035" spans="2:4">
      <c r="C4035" s="463" t="s">
        <v>8086</v>
      </c>
    </row>
    <row r="4036" spans="2:4">
      <c r="B4036" s="463" t="s">
        <v>2032</v>
      </c>
    </row>
    <row r="4037" spans="2:4">
      <c r="C4037" s="463" t="s">
        <v>8087</v>
      </c>
    </row>
    <row r="4038" spans="2:4">
      <c r="C4038" s="463" t="s">
        <v>8088</v>
      </c>
    </row>
    <row r="4039" spans="2:4">
      <c r="B4039" s="463" t="s">
        <v>8089</v>
      </c>
    </row>
    <row r="4040" spans="2:4">
      <c r="C4040" s="463" t="s">
        <v>8090</v>
      </c>
    </row>
    <row r="4041" spans="2:4">
      <c r="C4041" s="463" t="s">
        <v>8091</v>
      </c>
    </row>
    <row r="4042" spans="2:4">
      <c r="C4042" s="463" t="s">
        <v>8092</v>
      </c>
    </row>
    <row r="4043" spans="2:4">
      <c r="C4043" s="463" t="s">
        <v>8093</v>
      </c>
    </row>
    <row r="4044" spans="2:4">
      <c r="C4044" s="463" t="s">
        <v>8094</v>
      </c>
    </row>
    <row r="4045" spans="2:4">
      <c r="D4045" s="463" t="s">
        <v>8095</v>
      </c>
    </row>
    <row r="4046" spans="2:4">
      <c r="B4046" s="463" t="s">
        <v>8096</v>
      </c>
    </row>
    <row r="4047" spans="2:4">
      <c r="C4047" s="463" t="s">
        <v>8097</v>
      </c>
    </row>
    <row r="4048" spans="2:4">
      <c r="C4048" s="463" t="s">
        <v>8098</v>
      </c>
    </row>
    <row r="4049" spans="3:9">
      <c r="C4049" s="463" t="s">
        <v>8099</v>
      </c>
    </row>
    <row r="4050" spans="3:9">
      <c r="C4050" s="463" t="s">
        <v>8100</v>
      </c>
    </row>
    <row r="4051" spans="3:9">
      <c r="C4051" s="463" t="s">
        <v>8101</v>
      </c>
    </row>
    <row r="4052" spans="3:9">
      <c r="D4052" s="463" t="s">
        <v>8102</v>
      </c>
    </row>
    <row r="4053" spans="3:9">
      <c r="D4053" s="463" t="s">
        <v>8103</v>
      </c>
    </row>
    <row r="4054" spans="3:9">
      <c r="F4054">
        <v>250</v>
      </c>
      <c r="G4054">
        <v>50</v>
      </c>
      <c r="H4054">
        <v>30</v>
      </c>
      <c r="I4054" s="454">
        <f>F4054*100/G4054/H4054</f>
        <v>16.666666666666668</v>
      </c>
    </row>
    <row r="4055" spans="3:9">
      <c r="D4055" s="463" t="s">
        <v>8108</v>
      </c>
    </row>
    <row r="4056" spans="3:9">
      <c r="C4056" s="463" t="s">
        <v>8104</v>
      </c>
    </row>
    <row r="4057" spans="3:9">
      <c r="D4057" s="463" t="s">
        <v>8105</v>
      </c>
    </row>
    <row r="4058" spans="3:9">
      <c r="D4058" s="463" t="s">
        <v>8106</v>
      </c>
    </row>
    <row r="4059" spans="3:9">
      <c r="D4059" s="463" t="s">
        <v>8107</v>
      </c>
    </row>
    <row r="4060" spans="3:9">
      <c r="C4060" s="463" t="s">
        <v>6712</v>
      </c>
    </row>
    <row r="4061" spans="3:9">
      <c r="D4061" s="463" t="s">
        <v>8109</v>
      </c>
    </row>
    <row r="4062" spans="3:9">
      <c r="D4062" s="463" t="s">
        <v>8110</v>
      </c>
    </row>
    <row r="4063" spans="3:9">
      <c r="D4063" s="463" t="s">
        <v>8111</v>
      </c>
    </row>
    <row r="4064" spans="3:9">
      <c r="D4064" s="463" t="s">
        <v>5964</v>
      </c>
    </row>
    <row r="4065" spans="2:4">
      <c r="D4065" s="463" t="s">
        <v>8112</v>
      </c>
    </row>
    <row r="4066" spans="2:4">
      <c r="C4066" s="463" t="s">
        <v>8113</v>
      </c>
    </row>
    <row r="4067" spans="2:4">
      <c r="C4067" s="463" t="s">
        <v>8114</v>
      </c>
    </row>
    <row r="4068" spans="2:4">
      <c r="B4068" s="463" t="s">
        <v>8115</v>
      </c>
    </row>
    <row r="4069" spans="2:4">
      <c r="C4069" s="463" t="s">
        <v>8116</v>
      </c>
    </row>
    <row r="4070" spans="2:4">
      <c r="C4070" s="463" t="s">
        <v>8117</v>
      </c>
    </row>
    <row r="4071" spans="2:4">
      <c r="C4071" s="463" t="s">
        <v>8118</v>
      </c>
    </row>
    <row r="4072" spans="2:4">
      <c r="B4072" s="463" t="s">
        <v>27</v>
      </c>
    </row>
    <row r="4073" spans="2:4">
      <c r="C4073" s="463" t="s">
        <v>8119</v>
      </c>
    </row>
    <row r="4074" spans="2:4">
      <c r="C4074" s="463" t="s">
        <v>8120</v>
      </c>
    </row>
    <row r="4075" spans="2:4">
      <c r="D4075" s="463" t="s">
        <v>8121</v>
      </c>
    </row>
    <row r="4076" spans="2:4">
      <c r="D4076" s="463" t="s">
        <v>8122</v>
      </c>
    </row>
    <row r="4077" spans="2:4">
      <c r="D4077" s="463" t="s">
        <v>8123</v>
      </c>
    </row>
    <row r="4078" spans="2:4">
      <c r="D4078" s="463" t="s">
        <v>8124</v>
      </c>
    </row>
    <row r="4079" spans="2:4">
      <c r="D4079" s="463" t="s">
        <v>8125</v>
      </c>
    </row>
    <row r="4080" spans="2:4">
      <c r="C4080" s="463" t="s">
        <v>8126</v>
      </c>
    </row>
    <row r="4081" spans="2:4">
      <c r="D4081" s="463" t="s">
        <v>8127</v>
      </c>
    </row>
    <row r="4082" spans="2:4">
      <c r="D4082" s="463" t="s">
        <v>8128</v>
      </c>
    </row>
    <row r="4083" spans="2:4">
      <c r="B4083" s="463" t="s">
        <v>8130</v>
      </c>
    </row>
    <row r="4084" spans="2:4">
      <c r="C4084" s="463" t="s">
        <v>8131</v>
      </c>
    </row>
    <row r="4085" spans="2:4">
      <c r="B4085" s="463" t="s">
        <v>1250</v>
      </c>
    </row>
    <row r="4086" spans="2:4">
      <c r="C4086" s="463" t="s">
        <v>8132</v>
      </c>
    </row>
    <row r="4087" spans="2:4">
      <c r="C4087" s="463" t="s">
        <v>8133</v>
      </c>
    </row>
    <row r="4088" spans="2:4">
      <c r="D4088" s="463" t="s">
        <v>8134</v>
      </c>
    </row>
    <row r="4089" spans="2:4">
      <c r="C4089" s="463" t="s">
        <v>8135</v>
      </c>
    </row>
    <row r="4090" spans="2:4">
      <c r="C4090" s="463" t="s">
        <v>8136</v>
      </c>
    </row>
    <row r="4091" spans="2:4">
      <c r="B4091" s="463" t="s">
        <v>5961</v>
      </c>
    </row>
    <row r="4092" spans="2:4">
      <c r="C4092" s="463" t="s">
        <v>8137</v>
      </c>
    </row>
    <row r="4093" spans="2:4">
      <c r="C4093" s="463" t="s">
        <v>8138</v>
      </c>
    </row>
    <row r="4094" spans="2:4">
      <c r="C4094" s="463" t="s">
        <v>8139</v>
      </c>
    </row>
    <row r="4095" spans="2:4">
      <c r="C4095" s="463" t="s">
        <v>8140</v>
      </c>
    </row>
    <row r="4096" spans="2:4">
      <c r="C4096" s="463" t="s">
        <v>8141</v>
      </c>
    </row>
    <row r="4097" spans="2:4">
      <c r="D4097" s="463" t="s">
        <v>8143</v>
      </c>
    </row>
    <row r="4098" spans="2:4">
      <c r="D4098" s="463" t="s">
        <v>8144</v>
      </c>
    </row>
    <row r="4099" spans="2:4">
      <c r="D4099" s="463" t="s">
        <v>8145</v>
      </c>
    </row>
    <row r="4100" spans="2:4">
      <c r="D4100" s="463" t="s">
        <v>8146</v>
      </c>
    </row>
    <row r="4101" spans="2:4">
      <c r="D4101" s="463" t="s">
        <v>8142</v>
      </c>
    </row>
    <row r="4102" spans="2:4">
      <c r="D4102" s="463" t="s">
        <v>8147</v>
      </c>
    </row>
    <row r="4103" spans="2:4">
      <c r="D4103" s="463" t="s">
        <v>8148</v>
      </c>
    </row>
    <row r="4104" spans="2:4">
      <c r="B4104" s="463" t="s">
        <v>8149</v>
      </c>
    </row>
    <row r="4105" spans="2:4">
      <c r="B4105" s="463" t="s">
        <v>8151</v>
      </c>
    </row>
    <row r="4106" spans="2:4">
      <c r="C4106" s="463" t="s">
        <v>8150</v>
      </c>
    </row>
    <row r="4108" spans="2:4">
      <c r="B4108" s="627" t="s">
        <v>8245</v>
      </c>
    </row>
    <row r="4110" spans="2:4">
      <c r="B4110" s="463" t="s">
        <v>2379</v>
      </c>
    </row>
    <row r="4111" spans="2:4">
      <c r="C4111" s="463" t="s">
        <v>8246</v>
      </c>
    </row>
    <row r="4112" spans="2:4">
      <c r="C4112" s="463" t="s">
        <v>8247</v>
      </c>
    </row>
    <row r="4113" spans="2:5">
      <c r="C4113" s="463" t="s">
        <v>8248</v>
      </c>
    </row>
    <row r="4114" spans="2:5">
      <c r="C4114" s="463" t="s">
        <v>8249</v>
      </c>
    </row>
    <row r="4115" spans="2:5">
      <c r="C4115" s="463" t="s">
        <v>8250</v>
      </c>
    </row>
    <row r="4116" spans="2:5">
      <c r="C4116" s="463" t="s">
        <v>8251</v>
      </c>
    </row>
    <row r="4117" spans="2:5">
      <c r="D4117" s="463" t="s">
        <v>8252</v>
      </c>
    </row>
    <row r="4118" spans="2:5">
      <c r="C4118" s="463" t="s">
        <v>8253</v>
      </c>
    </row>
    <row r="4119" spans="2:5">
      <c r="B4119" s="463" t="s">
        <v>8254</v>
      </c>
    </row>
    <row r="4120" spans="2:5">
      <c r="C4120" s="463" t="s">
        <v>2379</v>
      </c>
    </row>
    <row r="4121" spans="2:5">
      <c r="D4121" s="463" t="s">
        <v>8255</v>
      </c>
    </row>
    <row r="4122" spans="2:5">
      <c r="D4122" s="463"/>
      <c r="E4122" s="463" t="s">
        <v>8261</v>
      </c>
    </row>
    <row r="4123" spans="2:5">
      <c r="D4123" s="463" t="s">
        <v>8256</v>
      </c>
    </row>
    <row r="4124" spans="2:5">
      <c r="D4124" s="463" t="s">
        <v>8257</v>
      </c>
    </row>
    <row r="4125" spans="2:5">
      <c r="C4125" s="463" t="s">
        <v>5981</v>
      </c>
      <c r="D4125" s="463" t="s">
        <v>8258</v>
      </c>
    </row>
    <row r="4126" spans="2:5">
      <c r="D4126" s="463" t="s">
        <v>8259</v>
      </c>
    </row>
    <row r="4127" spans="2:5">
      <c r="D4127" s="463" t="s">
        <v>8260</v>
      </c>
    </row>
    <row r="4128" spans="2:5">
      <c r="B4128" s="463" t="s">
        <v>8262</v>
      </c>
    </row>
    <row r="4129" spans="2:4">
      <c r="C4129" s="463" t="s">
        <v>8264</v>
      </c>
    </row>
    <row r="4130" spans="2:4">
      <c r="C4130" s="463" t="s">
        <v>8263</v>
      </c>
    </row>
    <row r="4131" spans="2:4">
      <c r="C4131" s="463"/>
    </row>
    <row r="4132" spans="2:4">
      <c r="B4132" s="463" t="s">
        <v>2578</v>
      </c>
    </row>
    <row r="4133" spans="2:4">
      <c r="C4133" s="463" t="s">
        <v>8265</v>
      </c>
    </row>
    <row r="4134" spans="2:4">
      <c r="D4134" s="463" t="s">
        <v>8266</v>
      </c>
    </row>
    <row r="4135" spans="2:4">
      <c r="D4135" s="463" t="s">
        <v>8267</v>
      </c>
    </row>
    <row r="4136" spans="2:4">
      <c r="C4136" s="463" t="s">
        <v>8268</v>
      </c>
    </row>
    <row r="4137" spans="2:4">
      <c r="C4137" s="463" t="s">
        <v>8269</v>
      </c>
    </row>
    <row r="4138" spans="2:4">
      <c r="D4138" s="463" t="s">
        <v>8270</v>
      </c>
    </row>
    <row r="4139" spans="2:4">
      <c r="B4139" s="463" t="s">
        <v>8271</v>
      </c>
    </row>
    <row r="4140" spans="2:4">
      <c r="C4140" s="463" t="s">
        <v>8272</v>
      </c>
    </row>
    <row r="4141" spans="2:4">
      <c r="C4141" s="463" t="s">
        <v>8273</v>
      </c>
    </row>
    <row r="4142" spans="2:4">
      <c r="B4142" s="463" t="s">
        <v>8274</v>
      </c>
    </row>
    <row r="4143" spans="2:4">
      <c r="C4143" s="463" t="s">
        <v>8275</v>
      </c>
    </row>
    <row r="4144" spans="2:4">
      <c r="C4144" s="463" t="s">
        <v>8276</v>
      </c>
    </row>
    <row r="4145" spans="2:4">
      <c r="C4145" s="463" t="s">
        <v>8277</v>
      </c>
    </row>
    <row r="4146" spans="2:4">
      <c r="C4146" s="463" t="s">
        <v>8278</v>
      </c>
    </row>
    <row r="4147" spans="2:4">
      <c r="D4147" s="463" t="s">
        <v>8279</v>
      </c>
    </row>
    <row r="4148" spans="2:4">
      <c r="C4148" s="463" t="s">
        <v>8280</v>
      </c>
    </row>
    <row r="4149" spans="2:4">
      <c r="B4149" s="463" t="s">
        <v>2377</v>
      </c>
    </row>
    <row r="4150" spans="2:4">
      <c r="C4150" s="463" t="s">
        <v>8281</v>
      </c>
    </row>
    <row r="4151" spans="2:4">
      <c r="C4151" s="463" t="s">
        <v>8282</v>
      </c>
    </row>
    <row r="4152" spans="2:4">
      <c r="C4152" s="463" t="s">
        <v>8284</v>
      </c>
    </row>
    <row r="4153" spans="2:4">
      <c r="C4153" s="463" t="s">
        <v>8283</v>
      </c>
    </row>
    <row r="4154" spans="2:4">
      <c r="C4154" s="463" t="s">
        <v>8285</v>
      </c>
    </row>
    <row r="4155" spans="2:4">
      <c r="C4155" s="463" t="s">
        <v>8286</v>
      </c>
    </row>
    <row r="4157" spans="2:4">
      <c r="C4157" s="463" t="s">
        <v>8287</v>
      </c>
    </row>
    <row r="4158" spans="2:4">
      <c r="C4158" s="463" t="s">
        <v>8288</v>
      </c>
    </row>
    <row r="4159" spans="2:4">
      <c r="C4159" s="463" t="s">
        <v>8289</v>
      </c>
    </row>
    <row r="4160" spans="2:4">
      <c r="C4160" s="463" t="s">
        <v>8290</v>
      </c>
    </row>
    <row r="4162" spans="2:6">
      <c r="C4162" s="463" t="s">
        <v>8291</v>
      </c>
    </row>
    <row r="4163" spans="2:6">
      <c r="D4163" s="463" t="s">
        <v>8292</v>
      </c>
    </row>
    <row r="4164" spans="2:6">
      <c r="B4164" s="463" t="s">
        <v>1545</v>
      </c>
    </row>
    <row r="4165" spans="2:6">
      <c r="C4165" s="463" t="s">
        <v>8293</v>
      </c>
    </row>
    <row r="4166" spans="2:6">
      <c r="C4166" s="463" t="s">
        <v>8295</v>
      </c>
    </row>
    <row r="4167" spans="2:6">
      <c r="C4167" s="463"/>
      <c r="D4167" s="463" t="s">
        <v>8296</v>
      </c>
    </row>
    <row r="4168" spans="2:6">
      <c r="C4168" s="463" t="s">
        <v>8294</v>
      </c>
    </row>
    <row r="4169" spans="2:6">
      <c r="B4169" s="463" t="s">
        <v>8297</v>
      </c>
    </row>
    <row r="4170" spans="2:6">
      <c r="C4170" s="463" t="s">
        <v>8298</v>
      </c>
    </row>
    <row r="4171" spans="2:6">
      <c r="C4171" s="463" t="s">
        <v>8299</v>
      </c>
    </row>
    <row r="4172" spans="2:6">
      <c r="C4172" s="463" t="s">
        <v>4252</v>
      </c>
    </row>
    <row r="4173" spans="2:6">
      <c r="D4173" s="463" t="s">
        <v>8300</v>
      </c>
    </row>
    <row r="4174" spans="2:6">
      <c r="B4174" s="463" t="s">
        <v>7780</v>
      </c>
    </row>
    <row r="4175" spans="2:6">
      <c r="C4175" s="463" t="s">
        <v>8301</v>
      </c>
    </row>
    <row r="4176" spans="2:6">
      <c r="C4176" s="463" t="s">
        <v>8302</v>
      </c>
      <c r="F4176" s="463" t="s">
        <v>8303</v>
      </c>
    </row>
    <row r="4177" spans="2:3">
      <c r="C4177" s="463" t="s">
        <v>8304</v>
      </c>
    </row>
    <row r="4179" spans="2:3">
      <c r="B4179" s="627" t="s">
        <v>8245</v>
      </c>
    </row>
    <row r="4181" spans="2:3">
      <c r="B4181" s="463" t="s">
        <v>8369</v>
      </c>
    </row>
    <row r="4182" spans="2:3">
      <c r="B4182" s="463" t="s">
        <v>7780</v>
      </c>
    </row>
    <row r="4183" spans="2:3">
      <c r="C4183" s="463" t="s">
        <v>8370</v>
      </c>
    </row>
    <row r="4184" spans="2:3">
      <c r="C4184" s="463" t="s">
        <v>8371</v>
      </c>
    </row>
    <row r="4185" spans="2:3">
      <c r="B4185" s="463" t="s">
        <v>8372</v>
      </c>
    </row>
    <row r="4186" spans="2:3">
      <c r="C4186" s="463" t="s">
        <v>8373</v>
      </c>
    </row>
    <row r="4187" spans="2:3">
      <c r="C4187" s="463" t="s">
        <v>8374</v>
      </c>
    </row>
    <row r="4188" spans="2:3">
      <c r="C4188" s="463" t="s">
        <v>8375</v>
      </c>
    </row>
    <row r="4189" spans="2:3">
      <c r="B4189" s="463" t="s">
        <v>8376</v>
      </c>
    </row>
    <row r="4190" spans="2:3">
      <c r="C4190" s="463" t="s">
        <v>8379</v>
      </c>
    </row>
    <row r="4191" spans="2:3">
      <c r="C4191" s="463" t="s">
        <v>8380</v>
      </c>
    </row>
    <row r="4192" spans="2:3">
      <c r="C4192" s="463" t="s">
        <v>8381</v>
      </c>
    </row>
    <row r="4193" spans="2:4">
      <c r="B4193" s="463" t="s">
        <v>5372</v>
      </c>
    </row>
    <row r="4194" spans="2:4">
      <c r="C4194" s="463" t="s">
        <v>8377</v>
      </c>
    </row>
    <row r="4195" spans="2:4">
      <c r="B4195" s="463" t="s">
        <v>2409</v>
      </c>
    </row>
    <row r="4196" spans="2:4">
      <c r="C4196" s="463" t="s">
        <v>8378</v>
      </c>
    </row>
    <row r="4197" spans="2:4">
      <c r="B4197" s="463" t="s">
        <v>2379</v>
      </c>
    </row>
    <row r="4198" spans="2:4">
      <c r="C4198" s="463" t="s">
        <v>8382</v>
      </c>
    </row>
    <row r="4199" spans="2:4">
      <c r="C4199" s="463" t="s">
        <v>8384</v>
      </c>
    </row>
    <row r="4200" spans="2:4">
      <c r="C4200" s="463" t="s">
        <v>8383</v>
      </c>
    </row>
    <row r="4201" spans="2:4">
      <c r="C4201" s="463"/>
      <c r="D4201" s="463" t="s">
        <v>8387</v>
      </c>
    </row>
    <row r="4202" spans="2:4">
      <c r="C4202" s="463"/>
      <c r="D4202" s="463" t="s">
        <v>8388</v>
      </c>
    </row>
    <row r="4203" spans="2:4">
      <c r="C4203" s="463" t="s">
        <v>8385</v>
      </c>
    </row>
    <row r="4204" spans="2:4">
      <c r="C4204" s="463" t="s">
        <v>8386</v>
      </c>
    </row>
    <row r="4205" spans="2:4">
      <c r="D4205" s="463" t="s">
        <v>8389</v>
      </c>
    </row>
    <row r="4206" spans="2:4">
      <c r="D4206" s="463" t="s">
        <v>8390</v>
      </c>
    </row>
    <row r="4207" spans="2:4">
      <c r="C4207" s="463" t="s">
        <v>8391</v>
      </c>
    </row>
    <row r="4208" spans="2:4">
      <c r="D4208" s="463" t="s">
        <v>8392</v>
      </c>
    </row>
    <row r="4209" spans="2:3">
      <c r="C4209" s="463" t="s">
        <v>8393</v>
      </c>
    </row>
    <row r="4210" spans="2:3">
      <c r="C4210" s="463" t="s">
        <v>8394</v>
      </c>
    </row>
    <row r="4211" spans="2:3">
      <c r="C4211" s="463" t="s">
        <v>8395</v>
      </c>
    </row>
    <row r="4212" spans="2:3">
      <c r="C4212" s="463" t="s">
        <v>8396</v>
      </c>
    </row>
    <row r="4213" spans="2:3">
      <c r="B4213" s="463" t="s">
        <v>2377</v>
      </c>
    </row>
    <row r="4214" spans="2:3">
      <c r="C4214" s="463" t="s">
        <v>8397</v>
      </c>
    </row>
    <row r="4215" spans="2:3">
      <c r="C4215" s="463" t="s">
        <v>8398</v>
      </c>
    </row>
    <row r="4216" spans="2:3">
      <c r="B4216" s="463" t="s">
        <v>7900</v>
      </c>
    </row>
    <row r="4217" spans="2:3">
      <c r="C4217" s="463" t="s">
        <v>8399</v>
      </c>
    </row>
    <row r="4218" spans="2:3">
      <c r="C4218" s="463" t="s">
        <v>8400</v>
      </c>
    </row>
    <row r="4220" spans="2:3">
      <c r="B4220" s="1345">
        <v>45191</v>
      </c>
    </row>
    <row r="4222" spans="2:3">
      <c r="B4222" t="s">
        <v>6507</v>
      </c>
    </row>
    <row r="4223" spans="2:3">
      <c r="C4223" t="s">
        <v>8425</v>
      </c>
    </row>
    <row r="4224" spans="2:3">
      <c r="C4224" t="s">
        <v>8426</v>
      </c>
    </row>
    <row r="4225" spans="2:4">
      <c r="C4225" t="s">
        <v>8427</v>
      </c>
    </row>
    <row r="4226" spans="2:4">
      <c r="B4226" t="s">
        <v>1665</v>
      </c>
    </row>
    <row r="4227" spans="2:4">
      <c r="C4227" t="s">
        <v>8428</v>
      </c>
    </row>
    <row r="4228" spans="2:4">
      <c r="C4228" t="s">
        <v>8432</v>
      </c>
    </row>
    <row r="4229" spans="2:4">
      <c r="D4229" t="s">
        <v>8429</v>
      </c>
    </row>
    <row r="4230" spans="2:4">
      <c r="D4230" t="s">
        <v>8430</v>
      </c>
    </row>
    <row r="4231" spans="2:4">
      <c r="D4231" t="s">
        <v>8431</v>
      </c>
    </row>
    <row r="4232" spans="2:4">
      <c r="C4232" t="s">
        <v>8433</v>
      </c>
    </row>
    <row r="4233" spans="2:4">
      <c r="C4233" t="s">
        <v>8434</v>
      </c>
    </row>
    <row r="4234" spans="2:4">
      <c r="D4234" t="s">
        <v>8435</v>
      </c>
    </row>
    <row r="4235" spans="2:4">
      <c r="D4235" t="s">
        <v>8436</v>
      </c>
    </row>
    <row r="4236" spans="2:4">
      <c r="D4236" t="s">
        <v>8437</v>
      </c>
    </row>
    <row r="4237" spans="2:4">
      <c r="C4237" t="s">
        <v>8438</v>
      </c>
    </row>
    <row r="4238" spans="2:4">
      <c r="B4238" t="s">
        <v>8439</v>
      </c>
    </row>
    <row r="4239" spans="2:4">
      <c r="C4239" t="s">
        <v>8445</v>
      </c>
    </row>
    <row r="4240" spans="2:4">
      <c r="C4240" t="s">
        <v>8440</v>
      </c>
    </row>
    <row r="4241" spans="2:4">
      <c r="C4241" t="s">
        <v>8441</v>
      </c>
    </row>
    <row r="4242" spans="2:4">
      <c r="C4242" t="s">
        <v>8442</v>
      </c>
    </row>
    <row r="4243" spans="2:4">
      <c r="C4243" t="s">
        <v>8443</v>
      </c>
    </row>
    <row r="4244" spans="2:4">
      <c r="C4244" t="s">
        <v>8448</v>
      </c>
    </row>
    <row r="4245" spans="2:4">
      <c r="C4245" t="s">
        <v>8449</v>
      </c>
    </row>
    <row r="4246" spans="2:4">
      <c r="B4246" t="s">
        <v>8444</v>
      </c>
    </row>
    <row r="4247" spans="2:4">
      <c r="B4247" t="s">
        <v>8446</v>
      </c>
    </row>
    <row r="4248" spans="2:4">
      <c r="C4248" t="s">
        <v>8447</v>
      </c>
    </row>
    <row r="4249" spans="2:4">
      <c r="B4249" t="s">
        <v>8450</v>
      </c>
    </row>
    <row r="4250" spans="2:4">
      <c r="C4250" t="s">
        <v>8451</v>
      </c>
    </row>
    <row r="4251" spans="2:4">
      <c r="C4251" t="s">
        <v>8452</v>
      </c>
    </row>
    <row r="4252" spans="2:4">
      <c r="D4252" t="s">
        <v>8453</v>
      </c>
    </row>
    <row r="4253" spans="2:4">
      <c r="D4253" t="s">
        <v>8454</v>
      </c>
    </row>
    <row r="4254" spans="2:4">
      <c r="D4254" t="s">
        <v>8455</v>
      </c>
    </row>
    <row r="4255" spans="2:4">
      <c r="C4255" t="s">
        <v>8456</v>
      </c>
    </row>
    <row r="4256" spans="2:4">
      <c r="C4256" t="s">
        <v>8459</v>
      </c>
    </row>
    <row r="4257" spans="2:5">
      <c r="D4257" t="s">
        <v>8460</v>
      </c>
    </row>
    <row r="4258" spans="2:5">
      <c r="D4258" t="s">
        <v>8457</v>
      </c>
    </row>
    <row r="4259" spans="2:5">
      <c r="B4259" t="s">
        <v>1606</v>
      </c>
    </row>
    <row r="4260" spans="2:5">
      <c r="C4260" t="s">
        <v>8458</v>
      </c>
    </row>
    <row r="4261" spans="2:5">
      <c r="C4261" t="s">
        <v>8463</v>
      </c>
    </row>
    <row r="4262" spans="2:5">
      <c r="C4262" t="s">
        <v>8464</v>
      </c>
    </row>
    <row r="4263" spans="2:5">
      <c r="B4263" t="s">
        <v>8461</v>
      </c>
    </row>
    <row r="4264" spans="2:5">
      <c r="C4264" t="s">
        <v>8462</v>
      </c>
    </row>
    <row r="4265" spans="2:5">
      <c r="D4265" t="s">
        <v>8465</v>
      </c>
    </row>
    <row r="4266" spans="2:5">
      <c r="C4266" t="s">
        <v>8466</v>
      </c>
    </row>
    <row r="4267" spans="2:5">
      <c r="D4267" t="s">
        <v>8467</v>
      </c>
    </row>
    <row r="4268" spans="2:5">
      <c r="D4268" t="s">
        <v>8468</v>
      </c>
    </row>
    <row r="4269" spans="2:5">
      <c r="D4269" t="s">
        <v>8469</v>
      </c>
    </row>
    <row r="4270" spans="2:5">
      <c r="E4270" t="s">
        <v>8470</v>
      </c>
    </row>
    <row r="4271" spans="2:5">
      <c r="B4271" t="s">
        <v>8471</v>
      </c>
      <c r="C4271" t="s">
        <v>8472</v>
      </c>
    </row>
    <row r="4272" spans="2:5">
      <c r="D4272" t="s">
        <v>8473</v>
      </c>
    </row>
    <row r="4273" spans="2:5">
      <c r="D4273" t="s">
        <v>8474</v>
      </c>
    </row>
    <row r="4274" spans="2:5">
      <c r="B4274" t="s">
        <v>8479</v>
      </c>
      <c r="C4274" t="s">
        <v>8475</v>
      </c>
    </row>
    <row r="4275" spans="2:5">
      <c r="D4275" t="s">
        <v>8476</v>
      </c>
    </row>
    <row r="4276" spans="2:5">
      <c r="B4276" t="s">
        <v>8477</v>
      </c>
      <c r="C4276" t="s">
        <v>8478</v>
      </c>
    </row>
    <row r="4277" spans="2:5">
      <c r="D4277" t="s">
        <v>8480</v>
      </c>
    </row>
    <row r="4278" spans="2:5">
      <c r="D4278" t="s">
        <v>8481</v>
      </c>
    </row>
    <row r="4279" spans="2:5">
      <c r="D4279" t="s">
        <v>8482</v>
      </c>
    </row>
    <row r="4280" spans="2:5">
      <c r="B4280" t="s">
        <v>8483</v>
      </c>
    </row>
    <row r="4281" spans="2:5">
      <c r="C4281" t="s">
        <v>8484</v>
      </c>
    </row>
    <row r="4282" spans="2:5">
      <c r="C4282" t="s">
        <v>8485</v>
      </c>
    </row>
    <row r="4283" spans="2:5">
      <c r="C4283" t="s">
        <v>8486</v>
      </c>
    </row>
    <row r="4284" spans="2:5">
      <c r="C4284" t="s">
        <v>2842</v>
      </c>
    </row>
    <row r="4285" spans="2:5">
      <c r="D4285" t="s">
        <v>8487</v>
      </c>
    </row>
    <row r="4286" spans="2:5">
      <c r="D4286" t="s">
        <v>8488</v>
      </c>
    </row>
    <row r="4287" spans="2:5">
      <c r="D4287" t="s">
        <v>8489</v>
      </c>
    </row>
    <row r="4288" spans="2:5">
      <c r="E4288" t="s">
        <v>8490</v>
      </c>
    </row>
    <row r="4289" spans="2:4">
      <c r="D4289" t="s">
        <v>8491</v>
      </c>
    </row>
    <row r="4290" spans="2:4">
      <c r="B4290" t="s">
        <v>4951</v>
      </c>
    </row>
    <row r="4291" spans="2:4">
      <c r="C4291" t="s">
        <v>8492</v>
      </c>
    </row>
    <row r="4292" spans="2:4">
      <c r="B4292" t="s">
        <v>6712</v>
      </c>
    </row>
    <row r="4293" spans="2:4">
      <c r="C4293" t="s">
        <v>8493</v>
      </c>
    </row>
    <row r="4294" spans="2:4">
      <c r="C4294" t="s">
        <v>8494</v>
      </c>
    </row>
    <row r="4295" spans="2:4">
      <c r="C4295" t="s">
        <v>8495</v>
      </c>
    </row>
    <row r="4296" spans="2:4">
      <c r="C4296" t="s">
        <v>8496</v>
      </c>
    </row>
    <row r="4297" spans="2:4">
      <c r="C4297" t="s">
        <v>8497</v>
      </c>
    </row>
    <row r="4298" spans="2:4">
      <c r="B4298" t="s">
        <v>3261</v>
      </c>
    </row>
    <row r="4299" spans="2:4">
      <c r="C4299" t="s">
        <v>8498</v>
      </c>
    </row>
    <row r="4300" spans="2:4">
      <c r="C4300" t="s">
        <v>8499</v>
      </c>
    </row>
    <row r="4301" spans="2:4">
      <c r="D4301" t="s">
        <v>8500</v>
      </c>
    </row>
    <row r="4302" spans="2:4">
      <c r="D4302" t="s">
        <v>8502</v>
      </c>
    </row>
    <row r="4303" spans="2:4">
      <c r="D4303" t="s">
        <v>8501</v>
      </c>
    </row>
    <row r="4304" spans="2:4">
      <c r="C4304" t="s">
        <v>8503</v>
      </c>
    </row>
    <row r="4305" spans="2:4">
      <c r="D4305" t="s">
        <v>8504</v>
      </c>
    </row>
    <row r="4306" spans="2:4">
      <c r="D4306" t="s">
        <v>8505</v>
      </c>
    </row>
    <row r="4307" spans="2:4">
      <c r="D4307" t="s">
        <v>8506</v>
      </c>
    </row>
    <row r="4308" spans="2:4">
      <c r="D4308" t="s">
        <v>8507</v>
      </c>
    </row>
    <row r="4309" spans="2:4">
      <c r="B4309" t="s">
        <v>8508</v>
      </c>
    </row>
    <row r="4312" spans="2:4">
      <c r="B4312" s="1345" t="s">
        <v>8511</v>
      </c>
    </row>
    <row r="4357" spans="2:9">
      <c r="B4357" s="627" t="s">
        <v>8516</v>
      </c>
      <c r="G4357">
        <v>3934</v>
      </c>
    </row>
    <row r="4358" spans="2:9">
      <c r="C4358" s="455"/>
      <c r="D4358" s="455" t="s">
        <v>8517</v>
      </c>
      <c r="E4358" s="455" t="s">
        <v>8518</v>
      </c>
      <c r="F4358" s="455" t="s">
        <v>8519</v>
      </c>
      <c r="G4358" s="455" t="s">
        <v>1654</v>
      </c>
      <c r="H4358" s="1212" t="s">
        <v>8522</v>
      </c>
    </row>
    <row r="4359" spans="2:9">
      <c r="C4359" s="498">
        <v>700</v>
      </c>
      <c r="D4359">
        <v>10</v>
      </c>
      <c r="E4359" s="454">
        <v>511.7</v>
      </c>
      <c r="F4359" s="454">
        <f>E4359</f>
        <v>511.7</v>
      </c>
      <c r="G4359" s="454">
        <f>F4359*1000/$G$4357</f>
        <v>130.0711743772242</v>
      </c>
    </row>
    <row r="4360" spans="2:9">
      <c r="C4360" s="498">
        <v>1.9</v>
      </c>
      <c r="E4360" s="454"/>
      <c r="F4360" s="454">
        <v>295.5</v>
      </c>
      <c r="G4360" s="454">
        <f t="shared" ref="G4360:G4363" si="4">F4360*1000/$G$4357</f>
        <v>75.114387391967469</v>
      </c>
    </row>
    <row r="4361" spans="2:9">
      <c r="C4361" s="498" t="s">
        <v>2867</v>
      </c>
      <c r="D4361" s="493" t="s">
        <v>8520</v>
      </c>
      <c r="E4361" s="454">
        <f>156.6</f>
        <v>156.6</v>
      </c>
      <c r="F4361" s="454">
        <f>E4361*3</f>
        <v>469.79999999999995</v>
      </c>
      <c r="G4361" s="454">
        <f t="shared" si="4"/>
        <v>119.42043721403151</v>
      </c>
    </row>
    <row r="4362" spans="2:9">
      <c r="C4362" s="1115">
        <v>3.5</v>
      </c>
      <c r="D4362" s="495" t="s">
        <v>8521</v>
      </c>
      <c r="E4362" s="462">
        <v>318</v>
      </c>
      <c r="F4362" s="462">
        <f>4*E4362</f>
        <v>1272</v>
      </c>
      <c r="G4362" s="462">
        <f t="shared" si="4"/>
        <v>323.33502796136247</v>
      </c>
    </row>
    <row r="4363" spans="2:9">
      <c r="F4363" s="454">
        <f>SUM(F4359:F4362)</f>
        <v>2549</v>
      </c>
      <c r="G4363" s="454">
        <f t="shared" si="4"/>
        <v>647.9410269445857</v>
      </c>
      <c r="H4363" s="454">
        <v>3300</v>
      </c>
      <c r="I4363" s="454">
        <f>H4363*1000/$G$4357</f>
        <v>838.84087442806299</v>
      </c>
    </row>
    <row r="4364" spans="2:9">
      <c r="C4364" s="463" t="s">
        <v>8523</v>
      </c>
      <c r="G4364" s="454"/>
      <c r="H4364" s="454">
        <f>H4363*0.5</f>
        <v>1650</v>
      </c>
      <c r="I4364" s="454">
        <f>H4364*1000/$G$4357</f>
        <v>419.42043721403149</v>
      </c>
    </row>
    <row r="4365" spans="2:9">
      <c r="C4365" s="463" t="s">
        <v>8524</v>
      </c>
      <c r="H4365" s="454">
        <f>H4363-H4364</f>
        <v>1650</v>
      </c>
      <c r="I4365" s="454">
        <f>H4365*1000/$G$4357</f>
        <v>419.42043721403149</v>
      </c>
    </row>
    <row r="4366" spans="2:9">
      <c r="I4366" s="454">
        <f>H4366*1000/$G$4357</f>
        <v>0</v>
      </c>
    </row>
    <row r="4367" spans="2:9">
      <c r="C4367" s="450" t="s">
        <v>5598</v>
      </c>
      <c r="I4367" s="454"/>
    </row>
    <row r="4368" spans="2:9">
      <c r="C4368" s="451"/>
      <c r="D4368" s="455"/>
      <c r="E4368" s="455"/>
      <c r="F4368" s="455"/>
      <c r="G4368" s="455"/>
      <c r="H4368" s="1212" t="s">
        <v>4564</v>
      </c>
      <c r="I4368" s="1518" t="s">
        <v>8528</v>
      </c>
    </row>
    <row r="4369" spans="3:9">
      <c r="C4369" s="463" t="s">
        <v>1975</v>
      </c>
      <c r="E4369" s="454">
        <v>411</v>
      </c>
      <c r="F4369" s="454">
        <f>E4369</f>
        <v>411</v>
      </c>
      <c r="G4369" s="454">
        <f t="shared" ref="G4369:G4373" si="5">F4369*1000/$G$4357</f>
        <v>104.47381799694966</v>
      </c>
    </row>
    <row r="4370" spans="3:9">
      <c r="C4370" s="463" t="s">
        <v>8525</v>
      </c>
      <c r="E4370">
        <v>318</v>
      </c>
      <c r="F4370" s="454">
        <f t="shared" ref="F4370:F4372" si="6">E4370</f>
        <v>318</v>
      </c>
      <c r="G4370" s="454">
        <f t="shared" si="5"/>
        <v>80.833756990340618</v>
      </c>
    </row>
    <row r="4371" spans="3:9">
      <c r="C4371" s="463" t="s">
        <v>6712</v>
      </c>
      <c r="E4371">
        <v>318</v>
      </c>
      <c r="F4371" s="454">
        <f t="shared" si="6"/>
        <v>318</v>
      </c>
      <c r="G4371" s="454">
        <f t="shared" si="5"/>
        <v>80.833756990340618</v>
      </c>
    </row>
    <row r="4372" spans="3:9">
      <c r="C4372" s="1212" t="s">
        <v>8526</v>
      </c>
      <c r="D4372" s="455"/>
      <c r="E4372" s="455">
        <v>318</v>
      </c>
      <c r="F4372" s="462">
        <f t="shared" si="6"/>
        <v>318</v>
      </c>
      <c r="G4372" s="462">
        <f t="shared" si="5"/>
        <v>80.833756990340618</v>
      </c>
      <c r="H4372" s="455"/>
      <c r="I4372" s="455"/>
    </row>
    <row r="4373" spans="3:9">
      <c r="C4373" s="463" t="s">
        <v>2324</v>
      </c>
      <c r="D4373">
        <v>240</v>
      </c>
      <c r="E4373" s="454">
        <f>SUM(E4369:E4372)</f>
        <v>1365</v>
      </c>
      <c r="F4373" s="454">
        <f>SUM(F4369:F4372)</f>
        <v>1365</v>
      </c>
      <c r="G4373" s="454">
        <f t="shared" si="5"/>
        <v>346.97508896797154</v>
      </c>
      <c r="H4373">
        <v>51.5</v>
      </c>
      <c r="I4373" s="468">
        <f>G4373*100/H4373/D4373</f>
        <v>2.8072418201292195</v>
      </c>
    </row>
    <row r="4375" spans="3:9">
      <c r="C4375" s="450" t="s">
        <v>8527</v>
      </c>
    </row>
    <row r="4376" spans="3:9">
      <c r="C4376" s="463" t="s">
        <v>1975</v>
      </c>
      <c r="E4376" s="454">
        <v>568</v>
      </c>
    </row>
    <row r="4377" spans="3:9">
      <c r="C4377" s="463" t="s">
        <v>8525</v>
      </c>
    </row>
    <row r="4378" spans="3:9">
      <c r="C4378" s="463" t="s">
        <v>6712</v>
      </c>
    </row>
    <row r="4379" spans="3:9">
      <c r="C4379" s="463" t="s">
        <v>8526</v>
      </c>
    </row>
    <row r="4381" spans="3:9">
      <c r="C4381" s="450" t="s">
        <v>2324</v>
      </c>
    </row>
    <row r="4382" spans="3:9">
      <c r="C4382" s="463" t="s">
        <v>1975</v>
      </c>
      <c r="E4382" s="454">
        <f>E4369+E4376</f>
        <v>979</v>
      </c>
    </row>
    <row r="4383" spans="3:9">
      <c r="C4383" s="463" t="s">
        <v>8525</v>
      </c>
    </row>
    <row r="4384" spans="3:9">
      <c r="C4384" s="463" t="s">
        <v>6712</v>
      </c>
    </row>
    <row r="4385" spans="2:4">
      <c r="C4385" s="463" t="s">
        <v>8526</v>
      </c>
    </row>
    <row r="4387" spans="2:4">
      <c r="B4387" s="627" t="s">
        <v>8529</v>
      </c>
    </row>
    <row r="4389" spans="2:4">
      <c r="B4389" s="463" t="s">
        <v>574</v>
      </c>
    </row>
    <row r="4390" spans="2:4">
      <c r="C4390" s="463" t="s">
        <v>8596</v>
      </c>
    </row>
    <row r="4391" spans="2:4">
      <c r="C4391" s="463" t="s">
        <v>8597</v>
      </c>
    </row>
    <row r="4392" spans="2:4">
      <c r="C4392" s="463" t="s">
        <v>8598</v>
      </c>
    </row>
    <row r="4393" spans="2:4">
      <c r="B4393" s="463" t="s">
        <v>8599</v>
      </c>
    </row>
    <row r="4394" spans="2:4">
      <c r="C4394" s="498">
        <v>2025</v>
      </c>
    </row>
    <row r="4395" spans="2:4">
      <c r="C4395" s="463" t="s">
        <v>8600</v>
      </c>
    </row>
    <row r="4396" spans="2:4">
      <c r="D4396" s="463" t="s">
        <v>8601</v>
      </c>
    </row>
    <row r="4397" spans="2:4">
      <c r="B4397" s="463" t="s">
        <v>8602</v>
      </c>
    </row>
    <row r="4398" spans="2:4">
      <c r="B4398" s="463" t="s">
        <v>8604</v>
      </c>
      <c r="C4398" s="463" t="s">
        <v>8603</v>
      </c>
    </row>
    <row r="4399" spans="2:4">
      <c r="C4399" s="463" t="s">
        <v>8605</v>
      </c>
    </row>
    <row r="4400" spans="2:4">
      <c r="B4400" s="463" t="s">
        <v>8606</v>
      </c>
    </row>
    <row r="4401" spans="2:9">
      <c r="C4401" s="463" t="s">
        <v>8607</v>
      </c>
    </row>
    <row r="4402" spans="2:9">
      <c r="C4402" s="463" t="s">
        <v>8608</v>
      </c>
    </row>
    <row r="4403" spans="2:9">
      <c r="D4403" s="463" t="s">
        <v>8609</v>
      </c>
    </row>
    <row r="4404" spans="2:9">
      <c r="D4404" s="463"/>
      <c r="E4404" s="463" t="s">
        <v>8611</v>
      </c>
    </row>
    <row r="4405" spans="2:9">
      <c r="D4405" s="463" t="s">
        <v>8610</v>
      </c>
    </row>
    <row r="4406" spans="2:9">
      <c r="B4406" s="463" t="s">
        <v>395</v>
      </c>
    </row>
    <row r="4407" spans="2:9">
      <c r="C4407" s="463" t="s">
        <v>8612</v>
      </c>
      <c r="F4407" s="454">
        <f>0.07*'New split'!M6</f>
        <v>109.512382</v>
      </c>
      <c r="G4407" s="454">
        <f>0.07*'New split'!N6</f>
        <v>112.210784</v>
      </c>
      <c r="H4407" s="454">
        <f>0.07*'New split'!O6</f>
        <v>115.66722171527275</v>
      </c>
    </row>
    <row r="4408" spans="2:9">
      <c r="C4408" s="463" t="s">
        <v>8613</v>
      </c>
      <c r="F4408">
        <v>80</v>
      </c>
      <c r="G4408">
        <v>80</v>
      </c>
      <c r="H4408">
        <v>80</v>
      </c>
      <c r="I4408" s="463" t="s">
        <v>8614</v>
      </c>
    </row>
    <row r="4409" spans="2:9">
      <c r="F4409" s="464">
        <f>F4410-F4407-F4408</f>
        <v>43.487617999999998</v>
      </c>
      <c r="G4409" s="464">
        <f>G4410-G4407-G4408</f>
        <v>46.789215999999996</v>
      </c>
      <c r="H4409" s="464">
        <f ca="1">H4410-H4407-H4408</f>
        <v>71.634931582241762</v>
      </c>
      <c r="I4409" s="463" t="s">
        <v>8615</v>
      </c>
    </row>
    <row r="4410" spans="2:9">
      <c r="C4410" s="463" t="s">
        <v>8616</v>
      </c>
      <c r="F4410" s="464">
        <f>-Valuation!M25</f>
        <v>233</v>
      </c>
      <c r="G4410" s="464">
        <f>-Valuation!N25</f>
        <v>239</v>
      </c>
      <c r="H4410" s="464">
        <f ca="1">-Valuation!O25</f>
        <v>267.30215329751451</v>
      </c>
    </row>
    <row r="4411" spans="2:9">
      <c r="C4411" s="463" t="s">
        <v>8617</v>
      </c>
    </row>
    <row r="4412" spans="2:9">
      <c r="B4412" s="463" t="s">
        <v>8618</v>
      </c>
    </row>
    <row r="4413" spans="2:9">
      <c r="C4413" s="463" t="s">
        <v>8619</v>
      </c>
    </row>
    <row r="4414" spans="2:9">
      <c r="C4414" s="463" t="s">
        <v>8620</v>
      </c>
    </row>
    <row r="4415" spans="2:9">
      <c r="C4415" s="463" t="s">
        <v>8621</v>
      </c>
    </row>
    <row r="4416" spans="2:9">
      <c r="B4416" s="463" t="s">
        <v>1502</v>
      </c>
    </row>
    <row r="4417" spans="1:4">
      <c r="C4417" s="463" t="s">
        <v>8622</v>
      </c>
    </row>
    <row r="4418" spans="1:4">
      <c r="C4418" s="463" t="s">
        <v>8623</v>
      </c>
    </row>
    <row r="4420" spans="1:4">
      <c r="B4420" s="627" t="s">
        <v>8649</v>
      </c>
    </row>
    <row r="4421" spans="1:4">
      <c r="B4421" s="627"/>
    </row>
    <row r="4422" spans="1:4">
      <c r="B4422" s="463" t="s">
        <v>8650</v>
      </c>
    </row>
    <row r="4423" spans="1:4">
      <c r="C4423" t="s">
        <v>8647</v>
      </c>
    </row>
    <row r="4424" spans="1:4">
      <c r="D4424" s="463" t="s">
        <v>8653</v>
      </c>
    </row>
    <row r="4425" spans="1:4">
      <c r="D4425" s="463" t="s">
        <v>8654</v>
      </c>
    </row>
    <row r="4426" spans="1:4">
      <c r="C4426" t="s">
        <v>8648</v>
      </c>
    </row>
    <row r="4428" spans="1:4">
      <c r="B4428" s="463" t="s">
        <v>8651</v>
      </c>
    </row>
    <row r="4429" spans="1:4">
      <c r="C4429" s="463" t="s">
        <v>8652</v>
      </c>
    </row>
    <row r="4430" spans="1:4">
      <c r="B4430" s="463" t="s">
        <v>1545</v>
      </c>
    </row>
    <row r="4431" spans="1:4">
      <c r="A4431" s="463" t="s">
        <v>5907</v>
      </c>
      <c r="C4431" s="463" t="s">
        <v>8656</v>
      </c>
    </row>
    <row r="4432" spans="1:4">
      <c r="C4432" s="463" t="s">
        <v>8655</v>
      </c>
    </row>
    <row r="4433" spans="1:4">
      <c r="D4433" s="463" t="s">
        <v>8657</v>
      </c>
    </row>
    <row r="4434" spans="1:4">
      <c r="D4434" s="463" t="s">
        <v>8658</v>
      </c>
    </row>
    <row r="4435" spans="1:4">
      <c r="B4435" s="463" t="s">
        <v>2379</v>
      </c>
    </row>
    <row r="4436" spans="1:4">
      <c r="C4436" s="463" t="s">
        <v>8659</v>
      </c>
    </row>
    <row r="4437" spans="1:4">
      <c r="A4437" s="463" t="s">
        <v>6987</v>
      </c>
      <c r="C4437" s="463" t="s">
        <v>8660</v>
      </c>
    </row>
    <row r="4438" spans="1:4">
      <c r="B4438" s="463" t="s">
        <v>1665</v>
      </c>
    </row>
    <row r="4439" spans="1:4">
      <c r="C4439" s="463" t="s">
        <v>8661</v>
      </c>
    </row>
    <row r="4440" spans="1:4">
      <c r="C4440" s="463" t="s">
        <v>8662</v>
      </c>
    </row>
    <row r="4441" spans="1:4">
      <c r="C4441" s="463" t="s">
        <v>8663</v>
      </c>
    </row>
    <row r="4442" spans="1:4">
      <c r="A4442" s="463" t="s">
        <v>5907</v>
      </c>
      <c r="C4442" s="463" t="s">
        <v>8664</v>
      </c>
    </row>
    <row r="4443" spans="1:4">
      <c r="C4443" s="463" t="s">
        <v>8665</v>
      </c>
    </row>
    <row r="4444" spans="1:4">
      <c r="C4444" s="463" t="s">
        <v>8666</v>
      </c>
    </row>
    <row r="4445" spans="1:4">
      <c r="B4445" s="463" t="s">
        <v>2378</v>
      </c>
    </row>
    <row r="4446" spans="1:4">
      <c r="C4446" s="463" t="s">
        <v>8667</v>
      </c>
    </row>
    <row r="4447" spans="1:4">
      <c r="C4447" s="463" t="s">
        <v>8668</v>
      </c>
    </row>
    <row r="4448" spans="1:4">
      <c r="C4448" s="463" t="s">
        <v>8669</v>
      </c>
    </row>
    <row r="4449" spans="1:5">
      <c r="B4449" s="463" t="s">
        <v>2032</v>
      </c>
    </row>
    <row r="4450" spans="1:5">
      <c r="C4450" s="463" t="s">
        <v>8670</v>
      </c>
    </row>
    <row r="4451" spans="1:5">
      <c r="D4451" s="463" t="s">
        <v>8671</v>
      </c>
    </row>
    <row r="4452" spans="1:5">
      <c r="C4452" s="463" t="s">
        <v>8672</v>
      </c>
    </row>
    <row r="4453" spans="1:5">
      <c r="D4453" s="463" t="s">
        <v>8673</v>
      </c>
    </row>
    <row r="4454" spans="1:5">
      <c r="D4454" s="463" t="s">
        <v>8674</v>
      </c>
    </row>
    <row r="4455" spans="1:5">
      <c r="E4455" s="463" t="s">
        <v>8675</v>
      </c>
    </row>
    <row r="4456" spans="1:5">
      <c r="D4456" s="463" t="s">
        <v>8676</v>
      </c>
    </row>
    <row r="4457" spans="1:5">
      <c r="A4457" s="463" t="s">
        <v>8678</v>
      </c>
      <c r="C4457" s="463" t="s">
        <v>8677</v>
      </c>
    </row>
    <row r="4458" spans="1:5">
      <c r="C4458" s="463" t="s">
        <v>8679</v>
      </c>
    </row>
    <row r="4459" spans="1:5">
      <c r="D4459" s="463" t="s">
        <v>8680</v>
      </c>
    </row>
    <row r="4460" spans="1:5">
      <c r="B4460" s="463" t="s">
        <v>2377</v>
      </c>
    </row>
    <row r="4461" spans="1:5">
      <c r="C4461" s="463" t="s">
        <v>8681</v>
      </c>
    </row>
    <row r="4462" spans="1:5">
      <c r="C4462" s="463" t="s">
        <v>8682</v>
      </c>
    </row>
    <row r="4463" spans="1:5">
      <c r="D4463" s="463" t="s">
        <v>8683</v>
      </c>
    </row>
    <row r="4464" spans="1:5">
      <c r="C4464" s="463" t="s">
        <v>2091</v>
      </c>
    </row>
    <row r="4465" spans="2:5">
      <c r="D4465" s="463" t="s">
        <v>8684</v>
      </c>
    </row>
    <row r="4466" spans="2:5">
      <c r="D4466" s="463" t="s">
        <v>8685</v>
      </c>
    </row>
    <row r="4467" spans="2:5">
      <c r="E4467" s="463" t="s">
        <v>8686</v>
      </c>
    </row>
    <row r="4468" spans="2:5">
      <c r="E4468" s="463" t="s">
        <v>8687</v>
      </c>
    </row>
    <row r="4469" spans="2:5">
      <c r="D4469" s="463" t="s">
        <v>8688</v>
      </c>
    </row>
    <row r="4470" spans="2:5">
      <c r="D4470" s="463" t="s">
        <v>8689</v>
      </c>
    </row>
    <row r="4471" spans="2:5">
      <c r="C4471" s="463" t="s">
        <v>8690</v>
      </c>
    </row>
    <row r="4472" spans="2:5">
      <c r="C4472" s="463" t="s">
        <v>8691</v>
      </c>
    </row>
    <row r="4473" spans="2:5">
      <c r="C4473" s="463" t="s">
        <v>8694</v>
      </c>
    </row>
    <row r="4474" spans="2:5">
      <c r="B4474" s="463" t="s">
        <v>8692</v>
      </c>
    </row>
    <row r="4475" spans="2:5">
      <c r="C4475" s="463" t="s">
        <v>2377</v>
      </c>
    </row>
    <row r="4476" spans="2:5">
      <c r="B4476" s="463" t="s">
        <v>8693</v>
      </c>
    </row>
    <row r="4478" spans="2:5">
      <c r="B4478" s="463" t="s">
        <v>861</v>
      </c>
    </row>
    <row r="4479" spans="2:5">
      <c r="C4479" s="463" t="s">
        <v>8695</v>
      </c>
    </row>
    <row r="4480" spans="2:5">
      <c r="C4480" s="463" t="s">
        <v>8709</v>
      </c>
    </row>
    <row r="4481" spans="2:4">
      <c r="B4481" s="463" t="s">
        <v>2380</v>
      </c>
    </row>
    <row r="4482" spans="2:4">
      <c r="C4482" s="463" t="s">
        <v>8696</v>
      </c>
    </row>
    <row r="4483" spans="2:4">
      <c r="C4483" s="463" t="s">
        <v>8697</v>
      </c>
    </row>
    <row r="4484" spans="2:4">
      <c r="C4484" s="463" t="s">
        <v>8698</v>
      </c>
    </row>
    <row r="4485" spans="2:4">
      <c r="C4485" s="463" t="s">
        <v>8699</v>
      </c>
    </row>
    <row r="4486" spans="2:4">
      <c r="D4486" s="463" t="s">
        <v>8700</v>
      </c>
    </row>
    <row r="4487" spans="2:4">
      <c r="C4487" s="463" t="s">
        <v>8701</v>
      </c>
    </row>
    <row r="4488" spans="2:4">
      <c r="C4488" s="463" t="s">
        <v>8702</v>
      </c>
    </row>
    <row r="4489" spans="2:4">
      <c r="C4489" s="463"/>
      <c r="D4489" s="463" t="s">
        <v>8704</v>
      </c>
    </row>
    <row r="4490" spans="2:4">
      <c r="C4490" s="463"/>
      <c r="D4490" s="463" t="s">
        <v>8705</v>
      </c>
    </row>
    <row r="4491" spans="2:4">
      <c r="D4491" s="463" t="s">
        <v>8703</v>
      </c>
    </row>
    <row r="4492" spans="2:4">
      <c r="C4492" s="463" t="s">
        <v>8706</v>
      </c>
    </row>
    <row r="4493" spans="2:4">
      <c r="D4493" s="463" t="s">
        <v>8707</v>
      </c>
    </row>
    <row r="4494" spans="2:4">
      <c r="B4494" s="463" t="s">
        <v>8708</v>
      </c>
    </row>
    <row r="4495" spans="2:4">
      <c r="C4495" s="463" t="s">
        <v>8710</v>
      </c>
    </row>
    <row r="4496" spans="2:4">
      <c r="B4496" s="463" t="s">
        <v>468</v>
      </c>
    </row>
    <row r="4497" spans="2:4">
      <c r="C4497" s="463" t="s">
        <v>8711</v>
      </c>
    </row>
    <row r="4498" spans="2:4">
      <c r="C4498" s="463" t="s">
        <v>8712</v>
      </c>
    </row>
    <row r="4499" spans="2:4">
      <c r="C4499" s="463" t="s">
        <v>8713</v>
      </c>
    </row>
    <row r="4500" spans="2:4">
      <c r="B4500" s="463" t="s">
        <v>8714</v>
      </c>
    </row>
    <row r="4501" spans="2:4">
      <c r="C4501" s="463" t="s">
        <v>8715</v>
      </c>
    </row>
    <row r="4502" spans="2:4">
      <c r="C4502" s="463" t="s">
        <v>8716</v>
      </c>
    </row>
    <row r="4503" spans="2:4">
      <c r="C4503" s="463" t="s">
        <v>8717</v>
      </c>
    </row>
    <row r="4504" spans="2:4">
      <c r="D4504" s="463" t="s">
        <v>8718</v>
      </c>
    </row>
    <row r="4505" spans="2:4">
      <c r="D4505" s="463" t="s">
        <v>8719</v>
      </c>
    </row>
    <row r="4506" spans="2:4">
      <c r="C4506" s="463" t="s">
        <v>8720</v>
      </c>
    </row>
    <row r="4508" spans="2:4">
      <c r="B4508" s="627" t="s">
        <v>8649</v>
      </c>
    </row>
    <row r="4510" spans="2:4">
      <c r="B4510" s="463" t="s">
        <v>8730</v>
      </c>
    </row>
    <row r="4511" spans="2:4">
      <c r="B4511" s="463"/>
      <c r="C4511" s="463" t="s">
        <v>8732</v>
      </c>
    </row>
    <row r="4512" spans="2:4">
      <c r="B4512" s="463"/>
      <c r="C4512" s="463"/>
      <c r="D4512" s="463" t="s">
        <v>8733</v>
      </c>
    </row>
    <row r="4513" spans="2:4">
      <c r="B4513" s="463"/>
      <c r="C4513" s="463"/>
      <c r="D4513" s="463" t="s">
        <v>8734</v>
      </c>
    </row>
    <row r="4514" spans="2:4">
      <c r="B4514" s="463"/>
      <c r="C4514" s="463"/>
      <c r="D4514" s="463" t="s">
        <v>8735</v>
      </c>
    </row>
    <row r="4515" spans="2:4">
      <c r="B4515" s="463"/>
      <c r="C4515" s="463"/>
      <c r="D4515" s="463" t="s">
        <v>8736</v>
      </c>
    </row>
    <row r="4516" spans="2:4">
      <c r="C4516" s="463" t="s">
        <v>8731</v>
      </c>
    </row>
    <row r="4517" spans="2:4">
      <c r="B4517" s="463" t="s">
        <v>8737</v>
      </c>
    </row>
    <row r="4518" spans="2:4">
      <c r="C4518" s="463" t="s">
        <v>8738</v>
      </c>
    </row>
    <row r="4519" spans="2:4">
      <c r="B4519" s="463" t="s">
        <v>8739</v>
      </c>
    </row>
    <row r="4520" spans="2:4">
      <c r="B4520" s="463" t="s">
        <v>8740</v>
      </c>
    </row>
    <row r="4521" spans="2:4">
      <c r="C4521" s="463" t="s">
        <v>4403</v>
      </c>
    </row>
    <row r="4522" spans="2:4">
      <c r="C4522" s="463" t="s">
        <v>8744</v>
      </c>
    </row>
    <row r="4523" spans="2:4">
      <c r="C4523" s="463" t="s">
        <v>8741</v>
      </c>
    </row>
    <row r="4524" spans="2:4">
      <c r="C4524" s="463" t="s">
        <v>8742</v>
      </c>
    </row>
    <row r="4525" spans="2:4">
      <c r="C4525" s="463" t="s">
        <v>8743</v>
      </c>
    </row>
    <row r="4526" spans="2:4">
      <c r="B4526" s="463" t="s">
        <v>8745</v>
      </c>
    </row>
    <row r="4527" spans="2:4">
      <c r="C4527" s="463" t="s">
        <v>8746</v>
      </c>
    </row>
    <row r="4528" spans="2:4">
      <c r="D4528" s="463" t="s">
        <v>8747</v>
      </c>
    </row>
    <row r="4529" spans="2:11">
      <c r="D4529" s="463" t="s">
        <v>8748</v>
      </c>
    </row>
    <row r="4530" spans="2:11">
      <c r="B4530" s="627" t="s">
        <v>8757</v>
      </c>
      <c r="D4530" s="463"/>
    </row>
    <row r="4532" spans="2:11">
      <c r="B4532" t="s">
        <v>8640</v>
      </c>
    </row>
    <row r="4533" spans="2:11">
      <c r="C4533" t="s">
        <v>8756</v>
      </c>
    </row>
    <row r="4534" spans="2:11">
      <c r="C4534" t="s">
        <v>8758</v>
      </c>
    </row>
    <row r="4535" spans="2:11">
      <c r="C4535" s="463" t="s">
        <v>8759</v>
      </c>
    </row>
    <row r="4536" spans="2:11">
      <c r="C4536" s="463" t="s">
        <v>8760</v>
      </c>
    </row>
    <row r="4537" spans="2:11">
      <c r="B4537" s="463" t="s">
        <v>8628</v>
      </c>
    </row>
    <row r="4538" spans="2:11">
      <c r="C4538" s="463" t="s">
        <v>8761</v>
      </c>
    </row>
    <row r="4539" spans="2:11">
      <c r="D4539" s="463" t="s">
        <v>8762</v>
      </c>
      <c r="F4539" s="463" t="s">
        <v>8763</v>
      </c>
    </row>
    <row r="4540" spans="2:11">
      <c r="D4540" s="463" t="s">
        <v>8764</v>
      </c>
      <c r="F4540" s="463" t="s">
        <v>8765</v>
      </c>
    </row>
    <row r="4541" spans="2:11">
      <c r="G4541" s="463" t="s">
        <v>8766</v>
      </c>
      <c r="I4541" s="463" t="s">
        <v>8767</v>
      </c>
      <c r="K4541" s="463" t="s">
        <v>8768</v>
      </c>
    </row>
    <row r="4542" spans="2:11">
      <c r="D4542" s="463" t="s">
        <v>8769</v>
      </c>
      <c r="F4542" s="463" t="s">
        <v>8770</v>
      </c>
    </row>
    <row r="4543" spans="2:11">
      <c r="F4543" s="463" t="s">
        <v>8771</v>
      </c>
    </row>
    <row r="4544" spans="2:11">
      <c r="C4544" s="463" t="s">
        <v>8772</v>
      </c>
    </row>
    <row r="4545" spans="2:4">
      <c r="D4545" s="463" t="s">
        <v>8773</v>
      </c>
    </row>
    <row r="4546" spans="2:4">
      <c r="B4546" s="463" t="s">
        <v>2380</v>
      </c>
    </row>
    <row r="4547" spans="2:4">
      <c r="C4547" s="463" t="s">
        <v>8774</v>
      </c>
    </row>
    <row r="4548" spans="2:4">
      <c r="C4548" s="463" t="s">
        <v>8775</v>
      </c>
    </row>
    <row r="4549" spans="2:4">
      <c r="D4549" s="463" t="s">
        <v>8776</v>
      </c>
    </row>
    <row r="4550" spans="2:4">
      <c r="D4550" s="463" t="s">
        <v>8777</v>
      </c>
    </row>
    <row r="4551" spans="2:4">
      <c r="C4551" s="463" t="s">
        <v>8778</v>
      </c>
    </row>
    <row r="4552" spans="2:4">
      <c r="B4552" s="463" t="s">
        <v>4088</v>
      </c>
    </row>
    <row r="4553" spans="2:4">
      <c r="C4553" s="463" t="s">
        <v>8779</v>
      </c>
    </row>
    <row r="4554" spans="2:4">
      <c r="C4554" s="463" t="s">
        <v>8780</v>
      </c>
    </row>
    <row r="4555" spans="2:4">
      <c r="D4555" s="463" t="s">
        <v>8781</v>
      </c>
    </row>
    <row r="4556" spans="2:4">
      <c r="C4556" s="463" t="s">
        <v>8782</v>
      </c>
    </row>
    <row r="4557" spans="2:4">
      <c r="B4557" s="463" t="s">
        <v>8783</v>
      </c>
    </row>
    <row r="4558" spans="2:4">
      <c r="C4558" s="463" t="s">
        <v>8784</v>
      </c>
    </row>
    <row r="4559" spans="2:4">
      <c r="C4559" s="463" t="s">
        <v>8785</v>
      </c>
    </row>
    <row r="4560" spans="2:4">
      <c r="D4560" s="463" t="s">
        <v>8786</v>
      </c>
    </row>
    <row r="4561" spans="2:5">
      <c r="E4561" s="463" t="s">
        <v>8787</v>
      </c>
    </row>
    <row r="4562" spans="2:5">
      <c r="C4562" s="463" t="s">
        <v>8788</v>
      </c>
    </row>
    <row r="4563" spans="2:5">
      <c r="D4563" s="463" t="s">
        <v>8789</v>
      </c>
    </row>
    <row r="4564" spans="2:5">
      <c r="D4564" s="463" t="s">
        <v>8790</v>
      </c>
    </row>
    <row r="4565" spans="2:5">
      <c r="B4565" s="463" t="s">
        <v>8791</v>
      </c>
    </row>
    <row r="4566" spans="2:5">
      <c r="C4566" s="463" t="s">
        <v>8792</v>
      </c>
    </row>
    <row r="4567" spans="2:5">
      <c r="C4567" s="463" t="s">
        <v>8793</v>
      </c>
    </row>
    <row r="4569" spans="2:5">
      <c r="B4569" s="627" t="s">
        <v>5415</v>
      </c>
    </row>
    <row r="4570" spans="2:5">
      <c r="B4570" s="627"/>
    </row>
    <row r="4571" spans="2:5">
      <c r="B4571" s="463" t="s">
        <v>8798</v>
      </c>
    </row>
    <row r="4572" spans="2:5">
      <c r="C4572" s="463" t="s">
        <v>8799</v>
      </c>
    </row>
    <row r="4573" spans="2:5">
      <c r="C4573" s="463" t="s">
        <v>8800</v>
      </c>
    </row>
    <row r="4574" spans="2:5">
      <c r="C4574" s="463" t="s">
        <v>8801</v>
      </c>
    </row>
    <row r="4575" spans="2:5">
      <c r="D4575" s="463" t="s">
        <v>8802</v>
      </c>
    </row>
    <row r="4576" spans="2:5">
      <c r="C4576" s="463" t="s">
        <v>8803</v>
      </c>
    </row>
    <row r="4577" spans="2:4">
      <c r="D4577" s="463" t="s">
        <v>8804</v>
      </c>
    </row>
    <row r="4578" spans="2:4">
      <c r="D4578" s="463" t="s">
        <v>8805</v>
      </c>
    </row>
    <row r="4579" spans="2:4">
      <c r="D4579" s="463" t="s">
        <v>1455</v>
      </c>
    </row>
    <row r="4580" spans="2:4">
      <c r="C4580" s="463" t="s">
        <v>8806</v>
      </c>
    </row>
    <row r="4581" spans="2:4">
      <c r="B4581" s="463" t="s">
        <v>8807</v>
      </c>
    </row>
    <row r="4582" spans="2:4">
      <c r="C4582" s="463" t="s">
        <v>8808</v>
      </c>
    </row>
    <row r="4583" spans="2:4">
      <c r="B4583" s="463" t="s">
        <v>8809</v>
      </c>
    </row>
    <row r="4584" spans="2:4">
      <c r="B4584" s="463" t="s">
        <v>395</v>
      </c>
    </row>
    <row r="4585" spans="2:4">
      <c r="C4585" s="463" t="s">
        <v>8810</v>
      </c>
    </row>
    <row r="4586" spans="2:4">
      <c r="B4586" s="463" t="s">
        <v>8811</v>
      </c>
    </row>
    <row r="4588" spans="2:4">
      <c r="B4588" s="463" t="s">
        <v>8812</v>
      </c>
    </row>
    <row r="4589" spans="2:4">
      <c r="B4589" s="463" t="s">
        <v>8813</v>
      </c>
    </row>
    <row r="4590" spans="2:4">
      <c r="C4590" s="463" t="s">
        <v>8814</v>
      </c>
    </row>
    <row r="4591" spans="2:4">
      <c r="C4591" s="463" t="s">
        <v>8815</v>
      </c>
    </row>
    <row r="4592" spans="2:4">
      <c r="C4592" s="463" t="s">
        <v>8816</v>
      </c>
    </row>
    <row r="4593" spans="2:4">
      <c r="D4593" s="463" t="s">
        <v>8817</v>
      </c>
    </row>
    <row r="4594" spans="2:4">
      <c r="D4594" s="463" t="s">
        <v>8818</v>
      </c>
    </row>
    <row r="4595" spans="2:4">
      <c r="D4595" s="463" t="s">
        <v>8819</v>
      </c>
    </row>
    <row r="4596" spans="2:4">
      <c r="D4596" s="463" t="s">
        <v>8820</v>
      </c>
    </row>
    <row r="4597" spans="2:4">
      <c r="C4597" s="463" t="s">
        <v>8821</v>
      </c>
    </row>
    <row r="4598" spans="2:4">
      <c r="D4598" s="499" t="s">
        <v>8822</v>
      </c>
    </row>
    <row r="4599" spans="2:4">
      <c r="D4599" s="463" t="s">
        <v>6605</v>
      </c>
    </row>
    <row r="4600" spans="2:4">
      <c r="D4600" s="463" t="s">
        <v>8823</v>
      </c>
    </row>
    <row r="4601" spans="2:4">
      <c r="D4601" s="463" t="s">
        <v>8824</v>
      </c>
    </row>
    <row r="4602" spans="2:4">
      <c r="D4602" s="463" t="s">
        <v>8825</v>
      </c>
    </row>
    <row r="4603" spans="2:4">
      <c r="B4603" s="463" t="s">
        <v>8826</v>
      </c>
    </row>
    <row r="4604" spans="2:4">
      <c r="C4604" s="463" t="s">
        <v>8827</v>
      </c>
    </row>
    <row r="4605" spans="2:4">
      <c r="C4605" s="463" t="s">
        <v>8828</v>
      </c>
    </row>
    <row r="4606" spans="2:4">
      <c r="D4606" s="463" t="s">
        <v>8829</v>
      </c>
    </row>
    <row r="4607" spans="2:4">
      <c r="C4607" s="463" t="s">
        <v>8830</v>
      </c>
    </row>
    <row r="4608" spans="2:4">
      <c r="C4608" s="463" t="s">
        <v>8831</v>
      </c>
    </row>
    <row r="4609" spans="2:6">
      <c r="D4609" s="463" t="s">
        <v>8832</v>
      </c>
    </row>
    <row r="4610" spans="2:6">
      <c r="D4610" s="463" t="s">
        <v>8833</v>
      </c>
    </row>
    <row r="4611" spans="2:6">
      <c r="E4611" s="463" t="s">
        <v>8834</v>
      </c>
    </row>
    <row r="4612" spans="2:6">
      <c r="E4612" s="463" t="s">
        <v>8835</v>
      </c>
    </row>
    <row r="4613" spans="2:6">
      <c r="F4613" s="463" t="s">
        <v>8836</v>
      </c>
    </row>
    <row r="4614" spans="2:6">
      <c r="F4614" s="463" t="s">
        <v>8837</v>
      </c>
    </row>
    <row r="4615" spans="2:6">
      <c r="B4615" s="463" t="s">
        <v>8838</v>
      </c>
    </row>
    <row r="4617" spans="2:6">
      <c r="B4617" s="463" t="s">
        <v>8839</v>
      </c>
    </row>
    <row r="4618" spans="2:6">
      <c r="C4618" s="463" t="s">
        <v>8840</v>
      </c>
    </row>
    <row r="4619" spans="2:6">
      <c r="C4619" s="463" t="s">
        <v>8841</v>
      </c>
    </row>
    <row r="4620" spans="2:6">
      <c r="C4620" s="463" t="s">
        <v>8842</v>
      </c>
    </row>
    <row r="4621" spans="2:6">
      <c r="B4621" s="463" t="s">
        <v>8843</v>
      </c>
    </row>
    <row r="4622" spans="2:6">
      <c r="C4622" s="463" t="s">
        <v>8844</v>
      </c>
    </row>
    <row r="4623" spans="2:6">
      <c r="C4623" s="463" t="s">
        <v>8845</v>
      </c>
    </row>
    <row r="4624" spans="2:6">
      <c r="C4624" s="463" t="s">
        <v>8846</v>
      </c>
    </row>
    <row r="4625" spans="3:3">
      <c r="C4625" s="463" t="s">
        <v>8847</v>
      </c>
    </row>
    <row r="4665" spans="4:4">
      <c r="D4665" s="449"/>
    </row>
    <row r="4717" spans="2:3">
      <c r="B4717" s="463" t="s">
        <v>8959</v>
      </c>
    </row>
    <row r="4718" spans="2:3">
      <c r="C4718" s="463" t="s">
        <v>8960</v>
      </c>
    </row>
    <row r="4719" spans="2:3">
      <c r="C4719" s="463" t="s">
        <v>8961</v>
      </c>
    </row>
    <row r="4720" spans="2:3">
      <c r="C4720" s="463" t="s">
        <v>8962</v>
      </c>
    </row>
    <row r="4721" spans="2:4">
      <c r="C4721" s="463" t="s">
        <v>8963</v>
      </c>
    </row>
    <row r="4722" spans="2:4">
      <c r="C4722" s="463" t="s">
        <v>8964</v>
      </c>
    </row>
    <row r="4723" spans="2:4">
      <c r="B4723" s="463" t="s">
        <v>8965</v>
      </c>
    </row>
    <row r="4724" spans="2:4">
      <c r="C4724" s="463" t="s">
        <v>8966</v>
      </c>
    </row>
    <row r="4725" spans="2:4">
      <c r="C4725" s="463" t="s">
        <v>8967</v>
      </c>
    </row>
    <row r="4726" spans="2:4">
      <c r="B4726" s="463" t="s">
        <v>8992</v>
      </c>
    </row>
    <row r="4727" spans="2:4">
      <c r="C4727" s="463" t="s">
        <v>8968</v>
      </c>
    </row>
    <row r="4728" spans="2:4">
      <c r="C4728" s="463" t="s">
        <v>8969</v>
      </c>
    </row>
    <row r="4729" spans="2:4">
      <c r="C4729" s="463" t="s">
        <v>8970</v>
      </c>
    </row>
    <row r="4730" spans="2:4">
      <c r="C4730" s="463" t="s">
        <v>8971</v>
      </c>
    </row>
    <row r="4731" spans="2:4">
      <c r="C4731" s="463" t="s">
        <v>8972</v>
      </c>
    </row>
    <row r="4732" spans="2:4">
      <c r="C4732" s="463" t="s">
        <v>8973</v>
      </c>
    </row>
    <row r="4733" spans="2:4">
      <c r="B4733" s="463" t="s">
        <v>8974</v>
      </c>
    </row>
    <row r="4734" spans="2:4">
      <c r="C4734" s="463" t="s">
        <v>8975</v>
      </c>
    </row>
    <row r="4735" spans="2:4">
      <c r="C4735" s="463" t="s">
        <v>8976</v>
      </c>
    </row>
    <row r="4736" spans="2:4">
      <c r="C4736" s="463"/>
      <c r="D4736" s="463" t="s">
        <v>8979</v>
      </c>
    </row>
    <row r="4737" spans="2:4">
      <c r="C4737" s="463"/>
      <c r="D4737" s="463" t="s">
        <v>8980</v>
      </c>
    </row>
    <row r="4738" spans="2:4">
      <c r="C4738" s="463"/>
      <c r="D4738" s="463" t="s">
        <v>8981</v>
      </c>
    </row>
    <row r="4739" spans="2:4">
      <c r="C4739" s="463" t="s">
        <v>8977</v>
      </c>
    </row>
    <row r="4740" spans="2:4">
      <c r="C4740" s="463" t="s">
        <v>8978</v>
      </c>
    </row>
    <row r="4741" spans="2:4">
      <c r="B4741" s="463" t="s">
        <v>8982</v>
      </c>
    </row>
    <row r="4742" spans="2:4">
      <c r="C4742" s="463" t="s">
        <v>8983</v>
      </c>
    </row>
    <row r="4743" spans="2:4">
      <c r="B4743" s="463" t="s">
        <v>8984</v>
      </c>
    </row>
    <row r="4744" spans="2:4">
      <c r="C4744" s="463" t="s">
        <v>8988</v>
      </c>
    </row>
    <row r="4745" spans="2:4">
      <c r="D4745" s="463" t="s">
        <v>8985</v>
      </c>
    </row>
    <row r="4746" spans="2:4">
      <c r="C4746" s="463" t="s">
        <v>8986</v>
      </c>
    </row>
    <row r="4747" spans="2:4">
      <c r="D4747" s="463" t="s">
        <v>8987</v>
      </c>
    </row>
    <row r="4748" spans="2:4">
      <c r="C4748" s="463" t="s">
        <v>8989</v>
      </c>
    </row>
    <row r="4749" spans="2:4">
      <c r="D4749" s="463" t="s">
        <v>8990</v>
      </c>
    </row>
    <row r="4751" spans="2:4">
      <c r="B4751" s="499" t="s">
        <v>1250</v>
      </c>
    </row>
    <row r="4753" spans="2:3">
      <c r="B4753" t="s">
        <v>9039</v>
      </c>
    </row>
    <row r="4754" spans="2:3">
      <c r="B4754" t="s">
        <v>9038</v>
      </c>
    </row>
    <row r="4755" spans="2:3">
      <c r="B4755" t="s">
        <v>9040</v>
      </c>
    </row>
    <row r="4756" spans="2:3">
      <c r="B4756" s="463" t="s">
        <v>9041</v>
      </c>
    </row>
    <row r="4757" spans="2:3">
      <c r="B4757" s="463" t="s">
        <v>9043</v>
      </c>
    </row>
    <row r="4758" spans="2:3">
      <c r="B4758" s="463" t="s">
        <v>9042</v>
      </c>
    </row>
    <row r="4760" spans="2:3">
      <c r="B4760" s="499" t="s">
        <v>1877</v>
      </c>
    </row>
    <row r="4761" spans="2:3">
      <c r="B4761" s="499"/>
    </row>
    <row r="4762" spans="2:3">
      <c r="B4762" s="463" t="s">
        <v>9064</v>
      </c>
    </row>
    <row r="4763" spans="2:3">
      <c r="B4763" s="463" t="s">
        <v>9046</v>
      </c>
    </row>
    <row r="4764" spans="2:3">
      <c r="C4764" s="463" t="s">
        <v>9044</v>
      </c>
    </row>
    <row r="4765" spans="2:3">
      <c r="C4765" s="463" t="s">
        <v>9045</v>
      </c>
    </row>
    <row r="4766" spans="2:3">
      <c r="B4766" s="463" t="s">
        <v>9047</v>
      </c>
    </row>
    <row r="4767" spans="2:3">
      <c r="C4767" s="463" t="s">
        <v>9050</v>
      </c>
    </row>
    <row r="4768" spans="2:3">
      <c r="C4768" s="463" t="s">
        <v>9051</v>
      </c>
    </row>
    <row r="4769" spans="2:5">
      <c r="C4769" s="463" t="s">
        <v>9052</v>
      </c>
    </row>
    <row r="4770" spans="2:5">
      <c r="B4770" s="463" t="s">
        <v>9048</v>
      </c>
    </row>
    <row r="4771" spans="2:5">
      <c r="C4771" s="463" t="s">
        <v>9049</v>
      </c>
    </row>
    <row r="4772" spans="2:5">
      <c r="B4772" s="463" t="s">
        <v>9053</v>
      </c>
    </row>
    <row r="4773" spans="2:5">
      <c r="C4773" s="463" t="s">
        <v>9054</v>
      </c>
    </row>
    <row r="4774" spans="2:5">
      <c r="C4774" s="463" t="s">
        <v>9055</v>
      </c>
    </row>
    <row r="4775" spans="2:5">
      <c r="C4775" s="463" t="s">
        <v>9056</v>
      </c>
    </row>
    <row r="4776" spans="2:5">
      <c r="C4776" s="463" t="s">
        <v>9057</v>
      </c>
    </row>
    <row r="4777" spans="2:5">
      <c r="C4777" s="463" t="s">
        <v>9058</v>
      </c>
    </row>
    <row r="4778" spans="2:5">
      <c r="C4778" s="463" t="s">
        <v>9059</v>
      </c>
    </row>
    <row r="4779" spans="2:5">
      <c r="C4779" s="463" t="s">
        <v>9060</v>
      </c>
    </row>
    <row r="4780" spans="2:5">
      <c r="D4780" s="463" t="s">
        <v>9061</v>
      </c>
    </row>
    <row r="4781" spans="2:5">
      <c r="D4781" s="463" t="s">
        <v>9062</v>
      </c>
    </row>
    <row r="4782" spans="2:5">
      <c r="E4782" s="463" t="s">
        <v>9063</v>
      </c>
    </row>
  </sheetData>
  <pageMargins left="0.70866141732283472" right="0.70866141732283472" top="0.74803149606299213" bottom="0.74803149606299213" header="0.31496062992125984" footer="0.31496062992125984"/>
  <pageSetup paperSize="9" scale="10"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B2:BV610"/>
  <sheetViews>
    <sheetView zoomScale="80" zoomScaleNormal="80" workbookViewId="0">
      <pane ySplit="2" topLeftCell="A3" activePane="bottomLeft" state="frozen"/>
      <selection pane="bottomLeft" activeCell="A50" sqref="A50:XFD50"/>
    </sheetView>
  </sheetViews>
  <sheetFormatPr defaultRowHeight="15" outlineLevelRow="1"/>
  <cols>
    <col min="2" max="2" width="26.5703125" customWidth="1"/>
    <col min="3" max="14" width="10.28515625" customWidth="1"/>
    <col min="15" max="15" width="9.42578125" bestFit="1" customWidth="1"/>
    <col min="23" max="32" width="9.85546875" customWidth="1"/>
    <col min="34" max="34" width="9.85546875" bestFit="1" customWidth="1"/>
  </cols>
  <sheetData>
    <row r="2" spans="2:40">
      <c r="B2" s="682" t="s">
        <v>2962</v>
      </c>
      <c r="C2" s="682">
        <v>2006</v>
      </c>
      <c r="D2" s="682">
        <f t="shared" ref="D2:W2" si="0">C2+1</f>
        <v>2007</v>
      </c>
      <c r="E2" s="682">
        <f t="shared" si="0"/>
        <v>2008</v>
      </c>
      <c r="F2" s="682">
        <f t="shared" si="0"/>
        <v>2009</v>
      </c>
      <c r="G2" s="682">
        <f t="shared" si="0"/>
        <v>2010</v>
      </c>
      <c r="H2" s="682">
        <f t="shared" si="0"/>
        <v>2011</v>
      </c>
      <c r="I2" s="682">
        <f t="shared" si="0"/>
        <v>2012</v>
      </c>
      <c r="J2" s="682">
        <f t="shared" si="0"/>
        <v>2013</v>
      </c>
      <c r="K2" s="682">
        <f t="shared" si="0"/>
        <v>2014</v>
      </c>
      <c r="L2" s="682">
        <f t="shared" si="0"/>
        <v>2015</v>
      </c>
      <c r="M2" s="682">
        <f t="shared" si="0"/>
        <v>2016</v>
      </c>
      <c r="N2" s="682">
        <f t="shared" si="0"/>
        <v>2017</v>
      </c>
      <c r="O2" s="682">
        <f t="shared" si="0"/>
        <v>2018</v>
      </c>
      <c r="P2" s="682">
        <f t="shared" si="0"/>
        <v>2019</v>
      </c>
      <c r="Q2" s="682">
        <f t="shared" si="0"/>
        <v>2020</v>
      </c>
      <c r="R2" s="682">
        <f t="shared" si="0"/>
        <v>2021</v>
      </c>
      <c r="S2" s="682">
        <f t="shared" si="0"/>
        <v>2022</v>
      </c>
      <c r="T2" s="682">
        <f t="shared" si="0"/>
        <v>2023</v>
      </c>
      <c r="U2" s="682">
        <f t="shared" si="0"/>
        <v>2024</v>
      </c>
      <c r="V2" s="682">
        <f t="shared" si="0"/>
        <v>2025</v>
      </c>
      <c r="W2" s="682">
        <f t="shared" si="0"/>
        <v>2026</v>
      </c>
      <c r="X2" s="394"/>
      <c r="Y2" s="394"/>
      <c r="Z2" s="394"/>
      <c r="AA2" s="394"/>
      <c r="AB2" s="394"/>
      <c r="AC2" s="394"/>
      <c r="AD2" s="394"/>
      <c r="AE2" s="394"/>
      <c r="AF2" s="394"/>
      <c r="AN2" t="s">
        <v>1823</v>
      </c>
    </row>
    <row r="3" spans="2:40">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2:40">
      <c r="B4" s="2" t="s">
        <v>365</v>
      </c>
    </row>
    <row r="5" spans="2:40">
      <c r="B5" t="s">
        <v>955</v>
      </c>
      <c r="C5" s="107">
        <v>19521</v>
      </c>
      <c r="D5" s="107">
        <v>22335</v>
      </c>
      <c r="E5" s="107">
        <v>27390</v>
      </c>
      <c r="F5" s="107">
        <v>27797</v>
      </c>
      <c r="G5" s="133">
        <v>29413</v>
      </c>
      <c r="H5" s="133">
        <v>28819</v>
      </c>
      <c r="I5" s="133">
        <v>30371</v>
      </c>
      <c r="J5" s="133">
        <v>28977</v>
      </c>
      <c r="K5" s="133">
        <v>29776</v>
      </c>
      <c r="L5" s="133">
        <v>28973</v>
      </c>
      <c r="M5" s="133">
        <v>28954</v>
      </c>
      <c r="N5" s="9">
        <f t="shared" ref="N5:O7" si="1">N21*N$8</f>
        <v>27218.162929943806</v>
      </c>
      <c r="O5" s="9">
        <f t="shared" si="1"/>
        <v>27224.824027893657</v>
      </c>
      <c r="P5" s="9">
        <f t="shared" ref="P5:Q7" si="2">P21*P$8</f>
        <v>27228.170009877442</v>
      </c>
      <c r="Q5" s="9">
        <f t="shared" si="2"/>
        <v>27228.139060735455</v>
      </c>
      <c r="R5" s="9">
        <f t="shared" ref="R5:V7" si="3">R21*R$8</f>
        <v>27224.668843810294</v>
      </c>
      <c r="S5" s="9">
        <f t="shared" si="3"/>
        <v>27217.696508016164</v>
      </c>
      <c r="T5" s="9">
        <f t="shared" si="3"/>
        <v>27207.158695369726</v>
      </c>
      <c r="U5" s="9">
        <f t="shared" si="3"/>
        <v>27192.991548996633</v>
      </c>
      <c r="V5" s="9">
        <f t="shared" si="3"/>
        <v>27175.130721628429</v>
      </c>
      <c r="W5" s="9">
        <f t="shared" ref="W5" si="4">W21*W$8</f>
        <v>27153.511384604739</v>
      </c>
      <c r="X5" s="9"/>
      <c r="Y5" s="9"/>
      <c r="Z5" s="9"/>
      <c r="AA5" s="9"/>
      <c r="AB5" s="9"/>
      <c r="AC5" s="9"/>
      <c r="AD5" s="9"/>
      <c r="AE5" s="9"/>
      <c r="AF5" s="9"/>
    </row>
    <row r="6" spans="2:40">
      <c r="B6" t="s">
        <v>1606</v>
      </c>
      <c r="C6" s="107">
        <v>7760</v>
      </c>
      <c r="D6" s="107">
        <v>8372</v>
      </c>
      <c r="E6" s="107">
        <v>9963</v>
      </c>
      <c r="F6" s="107">
        <v>8964</v>
      </c>
      <c r="G6" s="133">
        <v>10005</v>
      </c>
      <c r="H6" s="133">
        <v>11391</v>
      </c>
      <c r="I6" s="133">
        <v>11704</v>
      </c>
      <c r="J6" s="133">
        <v>12121.7</v>
      </c>
      <c r="K6" s="133">
        <v>12843</v>
      </c>
      <c r="L6" s="133">
        <v>12897</v>
      </c>
      <c r="M6" s="133">
        <v>13725</v>
      </c>
      <c r="N6" s="9">
        <f t="shared" si="1"/>
        <v>16145.777766747224</v>
      </c>
      <c r="O6" s="9">
        <f t="shared" si="1"/>
        <v>16097.278260170609</v>
      </c>
      <c r="P6" s="9">
        <f t="shared" si="2"/>
        <v>16046.300106153851</v>
      </c>
      <c r="Q6" s="9">
        <f t="shared" si="2"/>
        <v>15992.818994729045</v>
      </c>
      <c r="R6" s="9">
        <f t="shared" si="3"/>
        <v>15936.811031380916</v>
      </c>
      <c r="S6" s="9">
        <f t="shared" si="3"/>
        <v>15878.252763785984</v>
      </c>
      <c r="T6" s="9">
        <f t="shared" si="3"/>
        <v>15817.121209392511</v>
      </c>
      <c r="U6" s="9">
        <f t="shared" si="3"/>
        <v>15753.393883862427</v>
      </c>
      <c r="V6" s="9">
        <f t="shared" si="3"/>
        <v>15687.048830396867</v>
      </c>
      <c r="W6" s="9">
        <f t="shared" ref="W6" si="5">W22*W$8</f>
        <v>15618.064649967555</v>
      </c>
      <c r="X6" s="9"/>
      <c r="Y6" s="9"/>
      <c r="Z6" s="9"/>
      <c r="AA6" s="9"/>
      <c r="AB6" s="9"/>
      <c r="AC6" s="9"/>
      <c r="AD6" s="9"/>
      <c r="AE6" s="9"/>
      <c r="AF6" s="9"/>
    </row>
    <row r="7" spans="2:40">
      <c r="B7" s="12" t="s">
        <v>887</v>
      </c>
      <c r="C7" s="179">
        <v>2120</v>
      </c>
      <c r="D7" s="179">
        <v>2770</v>
      </c>
      <c r="E7" s="179">
        <v>3314</v>
      </c>
      <c r="F7" s="179">
        <v>3744</v>
      </c>
      <c r="G7" s="87">
        <f>Quarts!AP128</f>
        <v>4293.4229999999998</v>
      </c>
      <c r="H7" s="87">
        <f>Quarts!AU128</f>
        <v>4854</v>
      </c>
      <c r="I7" s="87">
        <f>Quarts!AZ128</f>
        <v>5726</v>
      </c>
      <c r="J7" s="87">
        <v>6753</v>
      </c>
      <c r="K7" s="87">
        <v>8012</v>
      </c>
      <c r="L7" s="87">
        <v>8926</v>
      </c>
      <c r="M7" s="87">
        <v>7764</v>
      </c>
      <c r="N7" s="13">
        <f t="shared" si="1"/>
        <v>7954.332317144509</v>
      </c>
      <c r="O7" s="13">
        <f t="shared" si="1"/>
        <v>8251.8290072503369</v>
      </c>
      <c r="P7" s="13">
        <f t="shared" si="2"/>
        <v>8551.2425977786388</v>
      </c>
      <c r="Q7" s="13">
        <f t="shared" si="2"/>
        <v>8852.4853848541752</v>
      </c>
      <c r="R7" s="13">
        <f t="shared" si="3"/>
        <v>9155.4654280708637</v>
      </c>
      <c r="S7" s="13">
        <f t="shared" si="3"/>
        <v>9460.0864255175475</v>
      </c>
      <c r="T7" s="13">
        <f t="shared" si="3"/>
        <v>9766.2475857435784</v>
      </c>
      <c r="U7" s="13">
        <f t="shared" si="3"/>
        <v>10073.843496596572</v>
      </c>
      <c r="V7" s="13">
        <f t="shared" si="3"/>
        <v>10382.763990863274</v>
      </c>
      <c r="W7" s="13">
        <f t="shared" ref="W7" si="6">W23*W$8</f>
        <v>10692.894008643076</v>
      </c>
      <c r="X7" s="9"/>
      <c r="Y7" s="9"/>
      <c r="Z7" s="9"/>
      <c r="AA7" s="9"/>
      <c r="AB7" s="9"/>
      <c r="AC7" s="9"/>
      <c r="AD7" s="9"/>
      <c r="AE7" s="9"/>
      <c r="AF7" s="9"/>
    </row>
    <row r="8" spans="2:40">
      <c r="B8" t="s">
        <v>2324</v>
      </c>
      <c r="C8" s="31">
        <f>SUM(C5:C7)</f>
        <v>29401</v>
      </c>
      <c r="D8" s="31">
        <f t="shared" ref="D8:L8" si="7">SUM(D5:D7)</f>
        <v>33477</v>
      </c>
      <c r="E8" s="31">
        <f t="shared" si="7"/>
        <v>40667</v>
      </c>
      <c r="F8" s="31">
        <f t="shared" si="7"/>
        <v>40505</v>
      </c>
      <c r="G8" s="31">
        <f t="shared" si="7"/>
        <v>43711.423000000003</v>
      </c>
      <c r="H8" s="31">
        <f t="shared" si="7"/>
        <v>45064</v>
      </c>
      <c r="I8" s="31">
        <f t="shared" si="7"/>
        <v>47801</v>
      </c>
      <c r="J8" s="31">
        <f t="shared" si="7"/>
        <v>47851.7</v>
      </c>
      <c r="K8" s="31">
        <f t="shared" si="7"/>
        <v>50631</v>
      </c>
      <c r="L8" s="31">
        <f t="shared" si="7"/>
        <v>50796</v>
      </c>
      <c r="M8" s="9">
        <f t="shared" ref="M8:V8" si="8">M12*M14</f>
        <v>51058.90744523918</v>
      </c>
      <c r="N8" s="9">
        <f t="shared" si="8"/>
        <v>51318.27301383554</v>
      </c>
      <c r="O8" s="9">
        <f t="shared" si="8"/>
        <v>51573.931295314607</v>
      </c>
      <c r="P8" s="9">
        <f t="shared" si="8"/>
        <v>51825.712713809931</v>
      </c>
      <c r="Q8" s="9">
        <f t="shared" si="8"/>
        <v>52073.443440318675</v>
      </c>
      <c r="R8" s="9">
        <f t="shared" si="8"/>
        <v>52316.945303262073</v>
      </c>
      <c r="S8" s="9">
        <f t="shared" si="8"/>
        <v>52556.035697319698</v>
      </c>
      <c r="T8" s="9">
        <f t="shared" si="8"/>
        <v>52790.527490505818</v>
      </c>
      <c r="U8" s="9">
        <f t="shared" si="8"/>
        <v>53020.228929455632</v>
      </c>
      <c r="V8" s="9">
        <f t="shared" si="8"/>
        <v>53244.94354288857</v>
      </c>
      <c r="W8" s="9">
        <f t="shared" ref="W8" si="9">W12*W14</f>
        <v>53464.47004321537</v>
      </c>
      <c r="X8" s="9"/>
      <c r="Y8" s="9"/>
      <c r="Z8" s="9"/>
      <c r="AA8" s="9"/>
      <c r="AB8" s="9"/>
      <c r="AC8" s="9"/>
      <c r="AD8" s="9"/>
      <c r="AE8" s="9"/>
      <c r="AF8" s="9"/>
    </row>
    <row r="10" spans="2:40">
      <c r="B10" t="s">
        <v>584</v>
      </c>
      <c r="D10" s="9">
        <f t="shared" ref="D10:W10" si="10">D7-C7</f>
        <v>650</v>
      </c>
      <c r="E10" s="9">
        <f t="shared" si="10"/>
        <v>544</v>
      </c>
      <c r="F10" s="9">
        <f t="shared" si="10"/>
        <v>430</v>
      </c>
      <c r="G10" s="9">
        <f t="shared" si="10"/>
        <v>549.42299999999977</v>
      </c>
      <c r="H10" s="9">
        <f t="shared" si="10"/>
        <v>560.57700000000023</v>
      </c>
      <c r="I10" s="9">
        <f t="shared" si="10"/>
        <v>872</v>
      </c>
      <c r="J10" s="9">
        <f t="shared" si="10"/>
        <v>1027</v>
      </c>
      <c r="K10" s="9">
        <f t="shared" si="10"/>
        <v>1259</v>
      </c>
      <c r="L10" s="9">
        <f t="shared" si="10"/>
        <v>914</v>
      </c>
      <c r="M10" s="9">
        <f t="shared" si="10"/>
        <v>-1162</v>
      </c>
      <c r="N10" s="9">
        <f t="shared" si="10"/>
        <v>190.33231714450903</v>
      </c>
      <c r="O10" s="9">
        <f t="shared" si="10"/>
        <v>297.49669010582784</v>
      </c>
      <c r="P10" s="9">
        <f t="shared" si="10"/>
        <v>299.41359052830194</v>
      </c>
      <c r="Q10" s="9">
        <f t="shared" si="10"/>
        <v>301.2427870755364</v>
      </c>
      <c r="R10" s="9">
        <f t="shared" si="10"/>
        <v>302.9800432166885</v>
      </c>
      <c r="S10" s="9">
        <f t="shared" si="10"/>
        <v>304.62099744668376</v>
      </c>
      <c r="T10" s="9">
        <f t="shared" si="10"/>
        <v>306.16116022603092</v>
      </c>
      <c r="U10" s="9">
        <f t="shared" si="10"/>
        <v>307.59591085299326</v>
      </c>
      <c r="V10" s="9">
        <f t="shared" si="10"/>
        <v>308.92049426670201</v>
      </c>
      <c r="W10" s="9">
        <f t="shared" si="10"/>
        <v>310.13001777980207</v>
      </c>
      <c r="X10" s="9"/>
      <c r="Y10" s="9"/>
      <c r="Z10" s="9"/>
      <c r="AA10" s="9"/>
      <c r="AB10" s="9"/>
      <c r="AC10" s="9"/>
      <c r="AD10" s="9"/>
      <c r="AE10" s="9"/>
      <c r="AF10" s="9"/>
    </row>
    <row r="12" spans="2:40">
      <c r="B12" t="s">
        <v>2354</v>
      </c>
      <c r="C12">
        <v>43000</v>
      </c>
      <c r="D12">
        <f t="shared" ref="D12:W12" si="11">(1+D13)*C12</f>
        <v>43644.999999999993</v>
      </c>
      <c r="E12" s="454">
        <f t="shared" si="11"/>
        <v>44299.674999999988</v>
      </c>
      <c r="F12" s="454">
        <f t="shared" si="11"/>
        <v>44964.170124999982</v>
      </c>
      <c r="G12" s="454">
        <f t="shared" si="11"/>
        <v>45638.632676874979</v>
      </c>
      <c r="H12" s="454">
        <f t="shared" si="11"/>
        <v>46323.212167028098</v>
      </c>
      <c r="I12" s="454">
        <f t="shared" si="11"/>
        <v>47018.060349533516</v>
      </c>
      <c r="J12" s="9">
        <f t="shared" si="11"/>
        <v>47723.331254776516</v>
      </c>
      <c r="K12" s="9">
        <f t="shared" si="11"/>
        <v>48439.181223598156</v>
      </c>
      <c r="L12" s="9">
        <f t="shared" si="11"/>
        <v>49165.768941952127</v>
      </c>
      <c r="M12" s="9">
        <f t="shared" si="11"/>
        <v>49903.255476081402</v>
      </c>
      <c r="N12" s="9">
        <f t="shared" si="11"/>
        <v>50651.804308222621</v>
      </c>
      <c r="O12" s="9">
        <f t="shared" si="11"/>
        <v>51411.581372845954</v>
      </c>
      <c r="P12" s="9">
        <f t="shared" si="11"/>
        <v>52182.755093438638</v>
      </c>
      <c r="Q12" s="9">
        <f t="shared" si="11"/>
        <v>52965.496419840216</v>
      </c>
      <c r="R12" s="9">
        <f t="shared" si="11"/>
        <v>53759.978866137812</v>
      </c>
      <c r="S12" s="9">
        <f t="shared" si="11"/>
        <v>54566.378549129877</v>
      </c>
      <c r="T12" s="9">
        <f t="shared" si="11"/>
        <v>55384.874227366818</v>
      </c>
      <c r="U12" s="9">
        <f t="shared" si="11"/>
        <v>56215.647340777316</v>
      </c>
      <c r="V12" s="9">
        <f t="shared" si="11"/>
        <v>57058.882050888969</v>
      </c>
      <c r="W12" s="9">
        <f t="shared" si="11"/>
        <v>57914.765281652297</v>
      </c>
      <c r="X12" s="9"/>
      <c r="Y12" s="9"/>
      <c r="Z12" s="9"/>
      <c r="AA12" s="9"/>
      <c r="AB12" s="9"/>
      <c r="AC12" s="9"/>
      <c r="AD12" s="9"/>
      <c r="AE12" s="9"/>
      <c r="AF12" s="9"/>
      <c r="AJ12">
        <f>44000000/70000</f>
        <v>628.57142857142856</v>
      </c>
    </row>
    <row r="13" spans="2:40">
      <c r="B13" t="s">
        <v>401</v>
      </c>
      <c r="D13" s="68">
        <v>1.4999999999999999E-2</v>
      </c>
      <c r="E13" s="68">
        <v>1.4999999999999999E-2</v>
      </c>
      <c r="F13" s="68">
        <v>1.4999999999999999E-2</v>
      </c>
      <c r="G13" s="68">
        <v>1.4999999999999999E-2</v>
      </c>
      <c r="H13" s="68">
        <v>1.4999999999999999E-2</v>
      </c>
      <c r="I13" s="68">
        <v>1.4999999999999999E-2</v>
      </c>
      <c r="J13" s="68">
        <v>1.4999999999999999E-2</v>
      </c>
      <c r="K13" s="68">
        <v>1.4999999999999999E-2</v>
      </c>
      <c r="L13" s="68">
        <v>1.4999999999999999E-2</v>
      </c>
      <c r="M13" s="68">
        <v>1.4999999999999999E-2</v>
      </c>
      <c r="N13" s="68">
        <v>1.4999999999999999E-2</v>
      </c>
      <c r="O13" s="68">
        <v>1.4999999999999999E-2</v>
      </c>
      <c r="P13" s="68">
        <v>1.4999999999999999E-2</v>
      </c>
      <c r="Q13" s="68">
        <v>1.4999999999999999E-2</v>
      </c>
      <c r="R13" s="68">
        <v>1.4999999999999999E-2</v>
      </c>
      <c r="S13" s="68">
        <v>1.4999999999999999E-2</v>
      </c>
      <c r="T13" s="68">
        <v>1.4999999999999999E-2</v>
      </c>
      <c r="U13" s="68">
        <v>1.4999999999999999E-2</v>
      </c>
      <c r="V13" s="68">
        <v>1.4999999999999999E-2</v>
      </c>
      <c r="W13" s="68">
        <v>1.4999999999999999E-2</v>
      </c>
      <c r="X13" s="68"/>
      <c r="Y13" s="68"/>
      <c r="Z13" s="68"/>
      <c r="AA13" s="68"/>
      <c r="AB13" s="68"/>
      <c r="AC13" s="68"/>
      <c r="AD13" s="68"/>
      <c r="AE13" s="68"/>
      <c r="AF13" s="68"/>
      <c r="AJ13">
        <f>22000000/17000</f>
        <v>1294.1176470588234</v>
      </c>
    </row>
    <row r="14" spans="2:40">
      <c r="B14" t="s">
        <v>1931</v>
      </c>
      <c r="C14" s="16">
        <f t="shared" ref="C14:L14" si="12">C8/C12</f>
        <v>0.68374418604651166</v>
      </c>
      <c r="D14" s="16">
        <f t="shared" si="12"/>
        <v>0.76702944208958657</v>
      </c>
      <c r="E14" s="16">
        <f t="shared" si="12"/>
        <v>0.91799770540077352</v>
      </c>
      <c r="F14" s="16">
        <f t="shared" si="12"/>
        <v>0.90082836817395873</v>
      </c>
      <c r="G14" s="16">
        <f t="shared" si="12"/>
        <v>0.95777240544168429</v>
      </c>
      <c r="H14" s="16">
        <f t="shared" si="12"/>
        <v>0.97281682102511058</v>
      </c>
      <c r="I14" s="16">
        <f t="shared" si="12"/>
        <v>1.0166518917336465</v>
      </c>
      <c r="J14" s="16">
        <f t="shared" si="12"/>
        <v>1.0026898529890582</v>
      </c>
      <c r="K14" s="16">
        <f t="shared" si="12"/>
        <v>1.0452488816085532</v>
      </c>
      <c r="L14" s="16">
        <f t="shared" si="12"/>
        <v>1.0331578472813598</v>
      </c>
      <c r="M14" s="171">
        <f t="shared" ref="M14:W14" si="13">L14+M15</f>
        <v>1.0231578472813598</v>
      </c>
      <c r="N14" s="171">
        <f t="shared" si="13"/>
        <v>1.0131578472813598</v>
      </c>
      <c r="O14" s="171">
        <f t="shared" si="13"/>
        <v>1.0031578472813598</v>
      </c>
      <c r="P14" s="171">
        <f t="shared" si="13"/>
        <v>0.99315784728135981</v>
      </c>
      <c r="Q14" s="171">
        <f t="shared" si="13"/>
        <v>0.9831578472813598</v>
      </c>
      <c r="R14" s="171">
        <f t="shared" si="13"/>
        <v>0.97315784728135979</v>
      </c>
      <c r="S14" s="171">
        <f t="shared" si="13"/>
        <v>0.96315784728135978</v>
      </c>
      <c r="T14" s="171">
        <f t="shared" si="13"/>
        <v>0.95315784728135977</v>
      </c>
      <c r="U14" s="171">
        <f t="shared" si="13"/>
        <v>0.94315784728135976</v>
      </c>
      <c r="V14" s="171">
        <f t="shared" si="13"/>
        <v>0.93315784728135975</v>
      </c>
      <c r="W14" s="171">
        <f t="shared" si="13"/>
        <v>0.92315784728135974</v>
      </c>
      <c r="X14" s="171"/>
      <c r="Y14" s="171"/>
      <c r="Z14" s="171"/>
      <c r="AA14" s="171"/>
      <c r="AB14" s="171"/>
      <c r="AC14" s="171"/>
      <c r="AD14" s="171"/>
      <c r="AE14" s="171"/>
      <c r="AF14" s="171"/>
    </row>
    <row r="15" spans="2:40">
      <c r="B15" t="s">
        <v>1933</v>
      </c>
      <c r="C15" s="16"/>
      <c r="D15" s="171">
        <f t="shared" ref="D15:L15" si="14">D14-C14</f>
        <v>8.3285256043074907E-2</v>
      </c>
      <c r="E15" s="171">
        <f t="shared" si="14"/>
        <v>0.15096826331118696</v>
      </c>
      <c r="F15" s="171">
        <f t="shared" si="14"/>
        <v>-1.7169337226814796E-2</v>
      </c>
      <c r="G15" s="171">
        <f t="shared" si="14"/>
        <v>5.6944037267725567E-2</v>
      </c>
      <c r="H15" s="171">
        <f t="shared" si="14"/>
        <v>1.5044415583426285E-2</v>
      </c>
      <c r="I15" s="171">
        <f t="shared" si="14"/>
        <v>4.3835070708535873E-2</v>
      </c>
      <c r="J15" s="171">
        <f t="shared" si="14"/>
        <v>-1.3962038744588234E-2</v>
      </c>
      <c r="K15" s="171">
        <f t="shared" si="14"/>
        <v>4.255902861949501E-2</v>
      </c>
      <c r="L15" s="171">
        <f t="shared" si="14"/>
        <v>-1.2091034327193384E-2</v>
      </c>
      <c r="M15" s="65">
        <v>-0.01</v>
      </c>
      <c r="N15" s="65">
        <v>-0.01</v>
      </c>
      <c r="O15" s="65">
        <v>-0.01</v>
      </c>
      <c r="P15" s="65">
        <v>-0.01</v>
      </c>
      <c r="Q15" s="65">
        <v>-0.01</v>
      </c>
      <c r="R15" s="65">
        <v>-0.01</v>
      </c>
      <c r="S15" s="65">
        <v>-0.01</v>
      </c>
      <c r="T15" s="65">
        <v>-0.01</v>
      </c>
      <c r="U15" s="65">
        <v>-0.01</v>
      </c>
      <c r="V15" s="65">
        <v>-0.01</v>
      </c>
      <c r="W15" s="65">
        <v>-0.01</v>
      </c>
      <c r="X15" s="65"/>
      <c r="Y15" s="65"/>
      <c r="Z15" s="65"/>
      <c r="AA15" s="65"/>
      <c r="AB15" s="65"/>
      <c r="AC15" s="65"/>
      <c r="AD15" s="65"/>
      <c r="AE15" s="65"/>
      <c r="AF15" s="65"/>
    </row>
    <row r="16" spans="2:40">
      <c r="C16" s="16"/>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row>
    <row r="17" spans="2:42">
      <c r="B17" t="s">
        <v>1924</v>
      </c>
      <c r="C17" s="73">
        <v>0.56000000000000005</v>
      </c>
      <c r="D17" s="171">
        <f t="shared" ref="D17:O17" si="15">D14/D18</f>
        <v>0.62821227051859618</v>
      </c>
      <c r="E17" s="171">
        <f t="shared" si="15"/>
        <v>0.75185826148942647</v>
      </c>
      <c r="F17" s="171">
        <f t="shared" si="15"/>
        <v>0.73779623501339853</v>
      </c>
      <c r="G17" s="171">
        <f t="shared" si="15"/>
        <v>0.78443452682003201</v>
      </c>
      <c r="H17" s="171">
        <f t="shared" si="15"/>
        <v>0.79675620047905393</v>
      </c>
      <c r="I17" s="171">
        <f t="shared" si="15"/>
        <v>0.83265798962437365</v>
      </c>
      <c r="J17" s="171">
        <f t="shared" si="15"/>
        <v>0.82122280398546055</v>
      </c>
      <c r="K17" s="171">
        <f t="shared" si="15"/>
        <v>0.85607948944369117</v>
      </c>
      <c r="L17" s="171">
        <f t="shared" si="15"/>
        <v>0.84617669339597801</v>
      </c>
      <c r="M17" s="171">
        <f t="shared" si="15"/>
        <v>0.83798649578365181</v>
      </c>
      <c r="N17" s="171">
        <f t="shared" si="15"/>
        <v>0.82979629817132572</v>
      </c>
      <c r="O17" s="171">
        <f t="shared" si="15"/>
        <v>0.82160610055899963</v>
      </c>
      <c r="P17" s="171">
        <f t="shared" ref="P17:V17" si="16">P14/P18</f>
        <v>0.81341590294667343</v>
      </c>
      <c r="Q17" s="171">
        <f t="shared" si="16"/>
        <v>0.80522570533434734</v>
      </c>
      <c r="R17" s="171">
        <f t="shared" si="16"/>
        <v>0.79703550772202125</v>
      </c>
      <c r="S17" s="171">
        <f t="shared" si="16"/>
        <v>0.78884531010969516</v>
      </c>
      <c r="T17" s="171">
        <f t="shared" si="16"/>
        <v>0.78065511249736896</v>
      </c>
      <c r="U17" s="171">
        <f t="shared" si="16"/>
        <v>0.77246491488504287</v>
      </c>
      <c r="V17" s="171">
        <f t="shared" si="16"/>
        <v>0.76427471727271679</v>
      </c>
      <c r="W17" s="171">
        <f t="shared" ref="W17" si="17">W14/W18</f>
        <v>0.7560845196603907</v>
      </c>
      <c r="X17" s="171"/>
      <c r="Y17" s="171"/>
      <c r="Z17" s="171"/>
      <c r="AA17" s="171"/>
      <c r="AB17" s="171"/>
      <c r="AC17" s="171"/>
      <c r="AD17" s="171"/>
      <c r="AE17" s="171"/>
      <c r="AF17" s="171"/>
    </row>
    <row r="18" spans="2:42">
      <c r="B18" t="s">
        <v>1925</v>
      </c>
      <c r="C18" s="7">
        <f>C14/C17</f>
        <v>1.220971760797342</v>
      </c>
      <c r="D18" s="178">
        <f t="shared" ref="D18:W18" si="18">C18</f>
        <v>1.220971760797342</v>
      </c>
      <c r="E18" s="178">
        <f t="shared" si="18"/>
        <v>1.220971760797342</v>
      </c>
      <c r="F18" s="178">
        <f t="shared" si="18"/>
        <v>1.220971760797342</v>
      </c>
      <c r="G18" s="178">
        <f t="shared" si="18"/>
        <v>1.220971760797342</v>
      </c>
      <c r="H18" s="178">
        <f t="shared" si="18"/>
        <v>1.220971760797342</v>
      </c>
      <c r="I18" s="178">
        <f t="shared" si="18"/>
        <v>1.220971760797342</v>
      </c>
      <c r="J18" s="178">
        <f t="shared" si="18"/>
        <v>1.220971760797342</v>
      </c>
      <c r="K18" s="178">
        <f t="shared" si="18"/>
        <v>1.220971760797342</v>
      </c>
      <c r="L18" s="178">
        <f t="shared" si="18"/>
        <v>1.220971760797342</v>
      </c>
      <c r="M18" s="178">
        <f t="shared" si="18"/>
        <v>1.220971760797342</v>
      </c>
      <c r="N18" s="178">
        <f t="shared" si="18"/>
        <v>1.220971760797342</v>
      </c>
      <c r="O18" s="178">
        <f t="shared" si="18"/>
        <v>1.220971760797342</v>
      </c>
      <c r="P18" s="178">
        <f t="shared" si="18"/>
        <v>1.220971760797342</v>
      </c>
      <c r="Q18" s="178">
        <f t="shared" si="18"/>
        <v>1.220971760797342</v>
      </c>
      <c r="R18" s="178">
        <f t="shared" si="18"/>
        <v>1.220971760797342</v>
      </c>
      <c r="S18" s="178">
        <f t="shared" si="18"/>
        <v>1.220971760797342</v>
      </c>
      <c r="T18" s="178">
        <f t="shared" si="18"/>
        <v>1.220971760797342</v>
      </c>
      <c r="U18" s="178">
        <f t="shared" si="18"/>
        <v>1.220971760797342</v>
      </c>
      <c r="V18" s="178">
        <f t="shared" si="18"/>
        <v>1.220971760797342</v>
      </c>
      <c r="W18" s="178">
        <f t="shared" si="18"/>
        <v>1.220971760797342</v>
      </c>
      <c r="X18" s="178"/>
      <c r="Y18" s="178"/>
      <c r="Z18" s="178"/>
      <c r="AA18" s="178"/>
      <c r="AB18" s="178"/>
      <c r="AC18" s="178"/>
      <c r="AD18" s="178"/>
      <c r="AE18" s="178"/>
      <c r="AF18" s="178"/>
    </row>
    <row r="20" spans="2:42">
      <c r="B20" s="2" t="s">
        <v>1930</v>
      </c>
    </row>
    <row r="21" spans="2:42">
      <c r="B21" t="str">
        <f>B5</f>
        <v>AMX</v>
      </c>
      <c r="C21" s="16">
        <f>C5/C$8</f>
        <v>0.66395700826502502</v>
      </c>
      <c r="D21" s="16">
        <f t="shared" ref="D21:I22" si="19">D5/D$8</f>
        <v>0.66717447799982077</v>
      </c>
      <c r="E21" s="16">
        <f t="shared" si="19"/>
        <v>0.67351906951582363</v>
      </c>
      <c r="F21" s="16">
        <f>F5/F$8</f>
        <v>0.68626095543760035</v>
      </c>
      <c r="G21" s="16">
        <f t="shared" si="19"/>
        <v>0.67289047075863895</v>
      </c>
      <c r="H21" s="16">
        <f t="shared" si="19"/>
        <v>0.63951269305876091</v>
      </c>
      <c r="I21" s="16">
        <f t="shared" si="19"/>
        <v>0.63536327691889294</v>
      </c>
      <c r="J21" s="16">
        <f t="shared" ref="J21:K23" si="20">J5/J$8</f>
        <v>0.6055584232117146</v>
      </c>
      <c r="K21" s="16">
        <f t="shared" si="20"/>
        <v>0.58809820070707675</v>
      </c>
      <c r="L21" s="16">
        <f>L5/L$8</f>
        <v>0.5703795574454682</v>
      </c>
      <c r="M21" s="16">
        <f>L21-2%</f>
        <v>0.55037955744546818</v>
      </c>
      <c r="N21" s="16">
        <f>M21-2%</f>
        <v>0.53037955744546816</v>
      </c>
      <c r="O21" s="16">
        <f t="shared" ref="O21:W21" si="21">N21-0.25%</f>
        <v>0.52787955744546822</v>
      </c>
      <c r="P21" s="16">
        <f t="shared" si="21"/>
        <v>0.52537955744546827</v>
      </c>
      <c r="Q21" s="16">
        <f t="shared" si="21"/>
        <v>0.52287955744546832</v>
      </c>
      <c r="R21" s="16">
        <f t="shared" si="21"/>
        <v>0.52037955744546838</v>
      </c>
      <c r="S21" s="16">
        <f t="shared" si="21"/>
        <v>0.51787955744546843</v>
      </c>
      <c r="T21" s="16">
        <f t="shared" si="21"/>
        <v>0.51537955744546848</v>
      </c>
      <c r="U21" s="16">
        <f t="shared" si="21"/>
        <v>0.51287955744546854</v>
      </c>
      <c r="V21" s="16">
        <f t="shared" si="21"/>
        <v>0.51037955744546859</v>
      </c>
      <c r="W21" s="16">
        <f t="shared" si="21"/>
        <v>0.50787955744546864</v>
      </c>
      <c r="X21" s="16"/>
      <c r="Y21" s="16"/>
      <c r="Z21" s="16"/>
      <c r="AA21" s="16"/>
      <c r="AB21" s="16"/>
      <c r="AC21" s="16"/>
      <c r="AD21" s="16"/>
      <c r="AE21" s="16"/>
      <c r="AF21" s="16"/>
    </row>
    <row r="22" spans="2:42">
      <c r="B22" t="str">
        <f>B6</f>
        <v>TEF</v>
      </c>
      <c r="C22" s="16">
        <f>C6/C$8</f>
        <v>0.26393660079589132</v>
      </c>
      <c r="D22" s="16">
        <f t="shared" si="19"/>
        <v>0.25008214595095141</v>
      </c>
      <c r="E22" s="16">
        <f t="shared" si="19"/>
        <v>0.24498979516561339</v>
      </c>
      <c r="F22" s="16">
        <f>F6/F$8</f>
        <v>0.22130601160350574</v>
      </c>
      <c r="G22" s="16">
        <f t="shared" si="19"/>
        <v>0.22888753816136342</v>
      </c>
      <c r="H22" s="16">
        <f t="shared" si="19"/>
        <v>0.25277383277116988</v>
      </c>
      <c r="I22" s="16">
        <f t="shared" si="19"/>
        <v>0.24484843413317714</v>
      </c>
      <c r="J22" s="16">
        <f t="shared" si="20"/>
        <v>0.25331806393503264</v>
      </c>
      <c r="K22" s="16">
        <f t="shared" si="20"/>
        <v>0.25365882562066716</v>
      </c>
      <c r="L22" s="16">
        <f>L6/L$8</f>
        <v>0.25389794472005672</v>
      </c>
      <c r="M22" s="16">
        <f t="shared" ref="M22:V22" si="22">M24-M21-M23</f>
        <v>0.29756078463241686</v>
      </c>
      <c r="N22" s="16">
        <f t="shared" si="22"/>
        <v>0.31462044255453181</v>
      </c>
      <c r="O22" s="16">
        <f t="shared" si="22"/>
        <v>0.31212044255453175</v>
      </c>
      <c r="P22" s="16">
        <f t="shared" si="22"/>
        <v>0.30962044255453169</v>
      </c>
      <c r="Q22" s="16">
        <f t="shared" si="22"/>
        <v>0.30712044255453164</v>
      </c>
      <c r="R22" s="16">
        <f t="shared" si="22"/>
        <v>0.30462044255453158</v>
      </c>
      <c r="S22" s="16">
        <f t="shared" si="22"/>
        <v>0.30212044255453152</v>
      </c>
      <c r="T22" s="16">
        <f t="shared" si="22"/>
        <v>0.29962044255453146</v>
      </c>
      <c r="U22" s="16">
        <f t="shared" si="22"/>
        <v>0.29712044255453141</v>
      </c>
      <c r="V22" s="16">
        <f t="shared" si="22"/>
        <v>0.29462044255453135</v>
      </c>
      <c r="W22" s="16">
        <f t="shared" ref="W22" si="23">W24-W21-W23</f>
        <v>0.29212044255453129</v>
      </c>
      <c r="X22" s="16"/>
      <c r="Y22" s="16"/>
      <c r="Z22" s="16"/>
      <c r="AA22" s="16"/>
      <c r="AB22" s="16"/>
      <c r="AC22" s="16"/>
      <c r="AD22" s="16"/>
      <c r="AE22" s="16"/>
      <c r="AF22" s="16"/>
    </row>
    <row r="23" spans="2:42">
      <c r="B23" s="11" t="str">
        <f>B7</f>
        <v>Tigo</v>
      </c>
      <c r="C23" s="20">
        <f t="shared" ref="C23:I23" si="24">C7/C$8</f>
        <v>7.2106390939083706E-2</v>
      </c>
      <c r="D23" s="20">
        <f t="shared" si="24"/>
        <v>8.2743376049227824E-2</v>
      </c>
      <c r="E23" s="20">
        <f t="shared" si="24"/>
        <v>8.149113531856296E-2</v>
      </c>
      <c r="F23" s="20">
        <f>F7/F$8</f>
        <v>9.2433032958893963E-2</v>
      </c>
      <c r="G23" s="20">
        <f t="shared" si="24"/>
        <v>9.8221991079997545E-2</v>
      </c>
      <c r="H23" s="20">
        <f t="shared" si="24"/>
        <v>0.10771347417006924</v>
      </c>
      <c r="I23" s="20">
        <f t="shared" si="24"/>
        <v>0.11978828894792996</v>
      </c>
      <c r="J23" s="20">
        <f t="shared" si="20"/>
        <v>0.14112351285325286</v>
      </c>
      <c r="K23" s="20">
        <f t="shared" si="20"/>
        <v>0.15824297367225612</v>
      </c>
      <c r="L23" s="20">
        <f>L7/L$8</f>
        <v>0.17572249783447516</v>
      </c>
      <c r="M23" s="20">
        <f>M7/M$8</f>
        <v>0.15205965792211498</v>
      </c>
      <c r="N23" s="66">
        <v>0.155</v>
      </c>
      <c r="O23" s="66">
        <f t="shared" ref="O23:W23" si="25">N23+0.5%</f>
        <v>0.16</v>
      </c>
      <c r="P23" s="66">
        <f t="shared" si="25"/>
        <v>0.16500000000000001</v>
      </c>
      <c r="Q23" s="66">
        <f t="shared" si="25"/>
        <v>0.17</v>
      </c>
      <c r="R23" s="66">
        <f t="shared" si="25"/>
        <v>0.17500000000000002</v>
      </c>
      <c r="S23" s="66">
        <f t="shared" si="25"/>
        <v>0.18000000000000002</v>
      </c>
      <c r="T23" s="66">
        <f t="shared" si="25"/>
        <v>0.18500000000000003</v>
      </c>
      <c r="U23" s="66">
        <f t="shared" si="25"/>
        <v>0.19000000000000003</v>
      </c>
      <c r="V23" s="66">
        <f t="shared" si="25"/>
        <v>0.19500000000000003</v>
      </c>
      <c r="W23" s="66">
        <f t="shared" si="25"/>
        <v>0.20000000000000004</v>
      </c>
      <c r="X23" s="65"/>
      <c r="Y23" s="65"/>
      <c r="Z23" s="65"/>
      <c r="AA23" s="65"/>
      <c r="AB23" s="65"/>
      <c r="AC23" s="65"/>
      <c r="AD23" s="65"/>
      <c r="AE23" s="65"/>
      <c r="AF23" s="65"/>
    </row>
    <row r="24" spans="2:42">
      <c r="B24" t="s">
        <v>2324</v>
      </c>
      <c r="C24" s="16">
        <f>SUM(C21:C23)</f>
        <v>1</v>
      </c>
      <c r="D24" s="16">
        <f t="shared" ref="D24:W24" si="26">C24</f>
        <v>1</v>
      </c>
      <c r="E24" s="16">
        <f t="shared" si="26"/>
        <v>1</v>
      </c>
      <c r="F24" s="16">
        <f t="shared" si="26"/>
        <v>1</v>
      </c>
      <c r="G24" s="16">
        <f t="shared" si="26"/>
        <v>1</v>
      </c>
      <c r="H24" s="16">
        <f t="shared" si="26"/>
        <v>1</v>
      </c>
      <c r="I24" s="16">
        <f t="shared" si="26"/>
        <v>1</v>
      </c>
      <c r="J24" s="16">
        <f t="shared" si="26"/>
        <v>1</v>
      </c>
      <c r="K24" s="16">
        <f t="shared" si="26"/>
        <v>1</v>
      </c>
      <c r="L24" s="16">
        <f t="shared" si="26"/>
        <v>1</v>
      </c>
      <c r="M24" s="16">
        <f t="shared" si="26"/>
        <v>1</v>
      </c>
      <c r="N24" s="16">
        <f t="shared" si="26"/>
        <v>1</v>
      </c>
      <c r="O24" s="16">
        <f t="shared" si="26"/>
        <v>1</v>
      </c>
      <c r="P24" s="16">
        <f t="shared" si="26"/>
        <v>1</v>
      </c>
      <c r="Q24" s="16">
        <f t="shared" si="26"/>
        <v>1</v>
      </c>
      <c r="R24" s="16">
        <f t="shared" si="26"/>
        <v>1</v>
      </c>
      <c r="S24" s="16">
        <f t="shared" si="26"/>
        <v>1</v>
      </c>
      <c r="T24" s="16">
        <f t="shared" si="26"/>
        <v>1</v>
      </c>
      <c r="U24" s="16">
        <f t="shared" si="26"/>
        <v>1</v>
      </c>
      <c r="V24" s="16">
        <f t="shared" si="26"/>
        <v>1</v>
      </c>
      <c r="W24" s="16">
        <f t="shared" si="26"/>
        <v>1</v>
      </c>
      <c r="X24" s="16"/>
      <c r="Y24" s="16"/>
      <c r="Z24" s="16"/>
      <c r="AA24" s="16"/>
      <c r="AB24" s="16"/>
      <c r="AC24" s="16"/>
      <c r="AD24" s="16"/>
      <c r="AE24" s="16"/>
      <c r="AF24" s="16"/>
    </row>
    <row r="26" spans="2:42">
      <c r="B26" s="2" t="s">
        <v>247</v>
      </c>
    </row>
    <row r="27" spans="2:42">
      <c r="B27" t="str">
        <f>B21</f>
        <v>AMX</v>
      </c>
      <c r="D27" s="16">
        <f t="shared" ref="D27:W27" si="27">(D5-C5)/(D$8-C$8)</f>
        <v>0.69038272816486757</v>
      </c>
      <c r="E27" s="16">
        <f t="shared" si="27"/>
        <v>0.70305980528511824</v>
      </c>
      <c r="F27" s="16">
        <f t="shared" si="27"/>
        <v>-2.5123456790123457</v>
      </c>
      <c r="G27" s="16">
        <f t="shared" si="27"/>
        <v>0.5039884007818054</v>
      </c>
      <c r="H27" s="16">
        <f t="shared" si="27"/>
        <v>-0.43916168913119258</v>
      </c>
      <c r="I27" s="16">
        <f t="shared" si="27"/>
        <v>0.56704420898794305</v>
      </c>
      <c r="J27" s="16">
        <f t="shared" si="27"/>
        <v>-27.49506903353215</v>
      </c>
      <c r="K27" s="16">
        <f t="shared" si="27"/>
        <v>0.28748245961213226</v>
      </c>
      <c r="L27" s="16">
        <f t="shared" si="27"/>
        <v>-4.8666666666666663</v>
      </c>
      <c r="M27" s="16">
        <f t="shared" si="27"/>
        <v>-7.2268778781501522E-2</v>
      </c>
      <c r="N27" s="16">
        <f t="shared" si="27"/>
        <v>-6.6926272421209578</v>
      </c>
      <c r="O27" s="16">
        <f t="shared" si="27"/>
        <v>2.6054692659726542E-2</v>
      </c>
      <c r="P27" s="16">
        <f t="shared" si="27"/>
        <v>1.3289233191950503E-2</v>
      </c>
      <c r="Q27" s="16">
        <f t="shared" si="27"/>
        <v>-1.2493057451049228E-4</v>
      </c>
      <c r="R27" s="16">
        <f t="shared" si="27"/>
        <v>-1.4251295177844361E-2</v>
      </c>
      <c r="S27" s="16">
        <f t="shared" si="27"/>
        <v>-2.9161923554523399E-2</v>
      </c>
      <c r="T27" s="16">
        <f t="shared" si="27"/>
        <v>-4.4938940093627748E-2</v>
      </c>
      <c r="U27" s="16">
        <f t="shared" si="27"/>
        <v>-6.1676350125903875E-2</v>
      </c>
      <c r="V27" s="16">
        <f t="shared" si="27"/>
        <v>-7.9482269067179104E-2</v>
      </c>
      <c r="W27" s="16">
        <f t="shared" si="27"/>
        <v>-9.8481673016728444E-2</v>
      </c>
      <c r="X27" s="16"/>
      <c r="Y27" s="16"/>
      <c r="Z27" s="16"/>
      <c r="AA27" s="16"/>
      <c r="AB27" s="16"/>
      <c r="AC27" s="16"/>
      <c r="AD27" s="16"/>
      <c r="AE27" s="16"/>
      <c r="AF27" s="16"/>
    </row>
    <row r="28" spans="2:42">
      <c r="B28" t="str">
        <f>B22</f>
        <v>TEF</v>
      </c>
      <c r="D28" s="16">
        <f t="shared" ref="D28:W28" si="28">(D6-C6)/(D$8-C$8)</f>
        <v>0.15014720314033367</v>
      </c>
      <c r="E28" s="16">
        <f t="shared" si="28"/>
        <v>0.22127955493741308</v>
      </c>
      <c r="F28" s="16">
        <f t="shared" si="28"/>
        <v>6.166666666666667</v>
      </c>
      <c r="G28" s="16">
        <f t="shared" si="28"/>
        <v>0.32466084481055657</v>
      </c>
      <c r="H28" s="16">
        <f t="shared" si="28"/>
        <v>1.0247106079727828</v>
      </c>
      <c r="I28" s="16">
        <f t="shared" si="28"/>
        <v>0.1143587869930581</v>
      </c>
      <c r="J28" s="16">
        <f t="shared" si="28"/>
        <v>8.2386587771208024</v>
      </c>
      <c r="K28" s="16">
        <f t="shared" si="28"/>
        <v>0.25952577987262926</v>
      </c>
      <c r="L28" s="16">
        <f t="shared" si="28"/>
        <v>0.32727272727272727</v>
      </c>
      <c r="M28" s="16">
        <f t="shared" si="28"/>
        <v>3.149397306899119</v>
      </c>
      <c r="N28" s="16">
        <f t="shared" si="28"/>
        <v>9.3334584842854653</v>
      </c>
      <c r="O28" s="16">
        <f t="shared" si="28"/>
        <v>-0.18970442223122483</v>
      </c>
      <c r="P28" s="16">
        <f t="shared" si="28"/>
        <v>-0.20246988169901606</v>
      </c>
      <c r="Q28" s="16">
        <f t="shared" si="28"/>
        <v>-0.21588404546546339</v>
      </c>
      <c r="R28" s="16">
        <f t="shared" si="28"/>
        <v>-0.23001041006880579</v>
      </c>
      <c r="S28" s="16">
        <f t="shared" si="28"/>
        <v>-0.24492103844547722</v>
      </c>
      <c r="T28" s="16">
        <f t="shared" si="28"/>
        <v>-0.26069805498459953</v>
      </c>
      <c r="U28" s="16">
        <f t="shared" si="28"/>
        <v>-0.27743546501686267</v>
      </c>
      <c r="V28" s="16">
        <f t="shared" si="28"/>
        <v>-0.29524138395814603</v>
      </c>
      <c r="W28" s="16">
        <f t="shared" si="28"/>
        <v>-0.31424078790769283</v>
      </c>
      <c r="X28" s="16"/>
      <c r="Y28" s="16"/>
      <c r="Z28" s="16"/>
      <c r="AA28" s="16"/>
      <c r="AB28" s="16"/>
      <c r="AC28" s="16"/>
      <c r="AD28" s="16"/>
      <c r="AE28" s="16"/>
      <c r="AF28" s="16"/>
      <c r="AH28" t="s">
        <v>1823</v>
      </c>
    </row>
    <row r="29" spans="2:42">
      <c r="B29" t="str">
        <f>B23</f>
        <v>Tigo</v>
      </c>
      <c r="D29" s="16">
        <f t="shared" ref="D29:W29" si="29">(D7-C7)/(D$8-C$8)</f>
        <v>0.15947006869479882</v>
      </c>
      <c r="E29" s="16">
        <f t="shared" si="29"/>
        <v>7.5660639777468702E-2</v>
      </c>
      <c r="F29" s="16">
        <f t="shared" si="29"/>
        <v>-2.6543209876543208</v>
      </c>
      <c r="G29" s="16">
        <f t="shared" si="29"/>
        <v>0.17135075440763722</v>
      </c>
      <c r="H29" s="16">
        <f t="shared" si="29"/>
        <v>0.41445108115841189</v>
      </c>
      <c r="I29" s="16">
        <f t="shared" si="29"/>
        <v>0.31859700401899893</v>
      </c>
      <c r="J29" s="16">
        <f t="shared" si="29"/>
        <v>20.256410256411421</v>
      </c>
      <c r="K29" s="16">
        <f t="shared" si="29"/>
        <v>0.45299176051523715</v>
      </c>
      <c r="L29" s="16">
        <f t="shared" si="29"/>
        <v>5.5393939393939391</v>
      </c>
      <c r="M29" s="16">
        <f t="shared" si="29"/>
        <v>-4.4198063654791984</v>
      </c>
      <c r="N29" s="16">
        <f t="shared" si="29"/>
        <v>0.73383802705406564</v>
      </c>
      <c r="O29" s="16">
        <f t="shared" si="29"/>
        <v>1.1636497295714876</v>
      </c>
      <c r="P29" s="16">
        <f t="shared" si="29"/>
        <v>1.1891806485070799</v>
      </c>
      <c r="Q29" s="16">
        <f t="shared" si="29"/>
        <v>1.2160089760399739</v>
      </c>
      <c r="R29" s="16">
        <f t="shared" si="29"/>
        <v>1.2442617052466503</v>
      </c>
      <c r="S29" s="16">
        <f t="shared" si="29"/>
        <v>1.2740829619999929</v>
      </c>
      <c r="T29" s="16">
        <f t="shared" si="29"/>
        <v>1.3056369950782274</v>
      </c>
      <c r="U29" s="16">
        <f t="shared" si="29"/>
        <v>1.3391118151427746</v>
      </c>
      <c r="V29" s="16">
        <f t="shared" si="29"/>
        <v>1.3747236530253251</v>
      </c>
      <c r="W29" s="16">
        <f t="shared" si="29"/>
        <v>1.4127224609244213</v>
      </c>
      <c r="X29" s="16"/>
      <c r="Y29" s="16"/>
      <c r="Z29" s="16"/>
      <c r="AA29" s="16"/>
      <c r="AB29" s="16"/>
      <c r="AC29" s="16"/>
      <c r="AD29" s="16"/>
      <c r="AE29" s="16"/>
      <c r="AF29" s="16"/>
    </row>
    <row r="30" spans="2:42">
      <c r="AI30" s="2">
        <f t="shared" ref="AI30:AP30" si="30">D2</f>
        <v>2007</v>
      </c>
      <c r="AJ30" s="2">
        <f t="shared" si="30"/>
        <v>2008</v>
      </c>
      <c r="AK30" s="2">
        <f t="shared" si="30"/>
        <v>2009</v>
      </c>
      <c r="AL30" s="2">
        <f t="shared" si="30"/>
        <v>2010</v>
      </c>
      <c r="AM30" s="2">
        <f t="shared" si="30"/>
        <v>2011</v>
      </c>
      <c r="AN30" s="2">
        <f t="shared" si="30"/>
        <v>2012</v>
      </c>
      <c r="AO30" s="2">
        <f t="shared" si="30"/>
        <v>2013</v>
      </c>
      <c r="AP30" s="2">
        <f t="shared" si="30"/>
        <v>2014</v>
      </c>
    </row>
    <row r="31" spans="2:42">
      <c r="B31" t="s">
        <v>1105</v>
      </c>
      <c r="C31">
        <f t="shared" ref="C31:I31" si="31">C39*C34</f>
        <v>33040</v>
      </c>
      <c r="D31" s="9">
        <f t="shared" si="31"/>
        <v>30692.049484389914</v>
      </c>
      <c r="E31" s="9">
        <f t="shared" si="31"/>
        <v>23027.394258163487</v>
      </c>
      <c r="F31" s="9">
        <f t="shared" si="31"/>
        <v>20959.142047522098</v>
      </c>
      <c r="G31" s="9">
        <f t="shared" si="31"/>
        <v>21731.955405776149</v>
      </c>
      <c r="H31" s="9">
        <f t="shared" si="31"/>
        <v>22158.952517626363</v>
      </c>
      <c r="I31" s="9">
        <f t="shared" si="31"/>
        <v>20464.598435704622</v>
      </c>
      <c r="J31" s="9">
        <f>J39*J34</f>
        <v>20144.09883585267</v>
      </c>
      <c r="K31" s="9">
        <f>K39*K34</f>
        <v>20898.52705755999</v>
      </c>
      <c r="L31" s="9">
        <f t="shared" ref="L31:W31" si="32">(1+L32)*K31</f>
        <v>20271.571245833191</v>
      </c>
      <c r="M31" s="9">
        <f t="shared" si="32"/>
        <v>19055.2769710832</v>
      </c>
      <c r="N31" s="9">
        <f>(1+N32)*M31</f>
        <v>19626.935280215697</v>
      </c>
      <c r="O31" s="9">
        <f t="shared" si="32"/>
        <v>19234.396574611383</v>
      </c>
      <c r="P31" s="9">
        <f t="shared" si="32"/>
        <v>18849.708643119156</v>
      </c>
      <c r="Q31" s="9">
        <f t="shared" si="32"/>
        <v>18095.720297394389</v>
      </c>
      <c r="R31" s="9">
        <f t="shared" si="32"/>
        <v>18095.720297394389</v>
      </c>
      <c r="S31" s="9">
        <f t="shared" si="32"/>
        <v>18276.677500368332</v>
      </c>
      <c r="T31" s="9">
        <f t="shared" si="32"/>
        <v>18459.444275372014</v>
      </c>
      <c r="U31" s="9">
        <f t="shared" si="32"/>
        <v>18644.038718125736</v>
      </c>
      <c r="V31" s="9">
        <f t="shared" si="32"/>
        <v>18830.479105306993</v>
      </c>
      <c r="W31" s="9">
        <f t="shared" si="32"/>
        <v>19018.783896360062</v>
      </c>
      <c r="X31" s="9"/>
      <c r="Y31" s="9"/>
      <c r="Z31" s="9"/>
      <c r="AA31" s="9"/>
      <c r="AB31" s="9"/>
      <c r="AC31" s="9"/>
      <c r="AD31" s="9"/>
      <c r="AE31" s="9"/>
      <c r="AF31" s="9"/>
      <c r="AI31" s="2"/>
      <c r="AJ31" s="2"/>
      <c r="AK31" s="2"/>
      <c r="AL31" s="2"/>
      <c r="AM31" s="2"/>
      <c r="AN31" s="2"/>
      <c r="AO31" s="2"/>
      <c r="AP31" s="2"/>
    </row>
    <row r="32" spans="2:42">
      <c r="B32" t="s">
        <v>2353</v>
      </c>
      <c r="D32" s="16">
        <f t="shared" ref="D32:K32" si="33">D31/C31-1</f>
        <v>-7.106387759110433E-2</v>
      </c>
      <c r="E32" s="16">
        <f t="shared" si="33"/>
        <v>-0.24972770978115022</v>
      </c>
      <c r="F32" s="16">
        <f t="shared" si="33"/>
        <v>-8.9817032159779431E-2</v>
      </c>
      <c r="G32" s="16">
        <f t="shared" si="33"/>
        <v>3.6872375620232711E-2</v>
      </c>
      <c r="H32" s="16">
        <f t="shared" si="33"/>
        <v>1.9648352109940426E-2</v>
      </c>
      <c r="I32" s="16">
        <f t="shared" si="33"/>
        <v>-7.6463636111588129E-2</v>
      </c>
      <c r="J32" s="16">
        <f t="shared" si="33"/>
        <v>-1.5661172187614314E-2</v>
      </c>
      <c r="K32" s="16">
        <f t="shared" si="33"/>
        <v>3.7451574669827403E-2</v>
      </c>
      <c r="L32" s="65">
        <v>-0.03</v>
      </c>
      <c r="M32" s="65">
        <v>-0.06</v>
      </c>
      <c r="N32" s="65">
        <v>0.03</v>
      </c>
      <c r="O32" s="43">
        <v>-0.02</v>
      </c>
      <c r="P32" s="65">
        <v>-0.02</v>
      </c>
      <c r="Q32" s="65">
        <v>-0.04</v>
      </c>
      <c r="R32" s="65">
        <v>0</v>
      </c>
      <c r="S32" s="65">
        <v>0.01</v>
      </c>
      <c r="T32" s="65">
        <v>0.01</v>
      </c>
      <c r="U32" s="65">
        <v>0.01</v>
      </c>
      <c r="V32" s="65">
        <v>0.01</v>
      </c>
      <c r="W32" s="65">
        <v>0.01</v>
      </c>
      <c r="X32" s="65"/>
      <c r="Y32" s="65"/>
      <c r="Z32" s="65"/>
      <c r="AA32" s="65"/>
      <c r="AB32" s="65"/>
      <c r="AC32" s="65"/>
      <c r="AD32" s="65"/>
      <c r="AE32" s="65"/>
      <c r="AF32" s="65"/>
      <c r="AI32" s="2"/>
      <c r="AJ32" s="2"/>
      <c r="AK32" s="2"/>
      <c r="AL32" s="2"/>
      <c r="AM32" s="2"/>
      <c r="AN32" s="2"/>
      <c r="AO32" s="2"/>
      <c r="AP32" s="2"/>
    </row>
    <row r="33" spans="2:42">
      <c r="D33" s="16"/>
      <c r="E33" s="16"/>
      <c r="F33" s="16"/>
      <c r="G33" t="s">
        <v>1823</v>
      </c>
      <c r="AI33" s="2"/>
      <c r="AJ33" s="2"/>
      <c r="AK33" s="2"/>
      <c r="AL33" s="2"/>
      <c r="AM33" s="2"/>
      <c r="AN33" s="2"/>
      <c r="AO33" s="2"/>
      <c r="AP33" s="2"/>
    </row>
    <row r="34" spans="2:42">
      <c r="B34" t="s">
        <v>1106</v>
      </c>
      <c r="C34" s="107">
        <v>2360</v>
      </c>
      <c r="D34" s="107">
        <v>2076</v>
      </c>
      <c r="E34" s="107">
        <v>1964</v>
      </c>
      <c r="F34" s="133">
        <v>2156</v>
      </c>
      <c r="G34" s="133">
        <v>1898.5751979712995</v>
      </c>
      <c r="H34" s="133">
        <v>1862</v>
      </c>
      <c r="I34" s="133">
        <v>1810</v>
      </c>
      <c r="J34" s="133">
        <v>1871</v>
      </c>
      <c r="K34" s="133">
        <v>2010.84</v>
      </c>
      <c r="L34" s="133">
        <v>2746</v>
      </c>
      <c r="M34" s="133">
        <v>3043</v>
      </c>
      <c r="N34" s="133">
        <v>2951</v>
      </c>
      <c r="O34" s="133">
        <v>2919</v>
      </c>
      <c r="P34" s="133">
        <v>3281</v>
      </c>
      <c r="Q34" s="133">
        <v>3749</v>
      </c>
      <c r="R34" s="133">
        <v>3720</v>
      </c>
      <c r="S34" s="9">
        <f>AVERAGE(R36:S36)</f>
        <v>3775.8</v>
      </c>
      <c r="T34" s="9">
        <f>AVERAGE(S36:T36)</f>
        <v>3889.0740000000001</v>
      </c>
      <c r="U34" s="9">
        <f>AVERAGE(T36:U36)</f>
        <v>4005.74622</v>
      </c>
      <c r="V34" s="9">
        <f>AVERAGE(U36:V36)</f>
        <v>4125.9186066000002</v>
      </c>
      <c r="W34" s="9">
        <f>AVERAGE(V36:W36)</f>
        <v>4249.6961647980006</v>
      </c>
      <c r="X34" s="9"/>
      <c r="Y34" s="9"/>
      <c r="Z34" s="9"/>
      <c r="AA34" s="9"/>
      <c r="AB34" s="9"/>
      <c r="AC34" s="9"/>
      <c r="AD34" s="9"/>
      <c r="AE34" s="9"/>
      <c r="AF34" s="9"/>
      <c r="AG34" s="9">
        <f>AVERAGE(Q36:AG36)</f>
        <v>3991.0692527994288</v>
      </c>
      <c r="AI34" s="2"/>
      <c r="AJ34" s="2"/>
      <c r="AK34" s="2"/>
      <c r="AL34" s="2"/>
      <c r="AM34" s="2"/>
      <c r="AN34" s="2"/>
      <c r="AO34" s="2"/>
      <c r="AP34" s="2"/>
    </row>
    <row r="35" spans="2:42">
      <c r="B35" s="478" t="s">
        <v>3922</v>
      </c>
      <c r="D35" s="16">
        <f t="shared" ref="D35:M35" si="34">D34/C34-1</f>
        <v>-0.12033898305084745</v>
      </c>
      <c r="E35" s="16">
        <f t="shared" si="34"/>
        <v>-5.3949903660886367E-2</v>
      </c>
      <c r="F35" s="16">
        <f t="shared" si="34"/>
        <v>9.775967413441955E-2</v>
      </c>
      <c r="G35" s="16">
        <f t="shared" si="34"/>
        <v>-0.11939925882592783</v>
      </c>
      <c r="H35" s="16">
        <f t="shared" si="34"/>
        <v>-1.9264550601093666E-2</v>
      </c>
      <c r="I35" s="16">
        <f t="shared" si="34"/>
        <v>-2.7926960257787292E-2</v>
      </c>
      <c r="J35" s="16">
        <f t="shared" si="34"/>
        <v>3.3701657458563572E-2</v>
      </c>
      <c r="K35" s="16">
        <f t="shared" si="34"/>
        <v>7.4740780331373546E-2</v>
      </c>
      <c r="L35" s="16">
        <f t="shared" si="34"/>
        <v>0.36559845636649357</v>
      </c>
      <c r="M35" s="16">
        <f t="shared" si="34"/>
        <v>0.10815731973780052</v>
      </c>
      <c r="N35" s="16">
        <f t="shared" ref="N35:W35" si="35">N34/M34-1</f>
        <v>-3.0233322379231042E-2</v>
      </c>
      <c r="O35" s="16">
        <f t="shared" si="35"/>
        <v>-1.0843781768891891E-2</v>
      </c>
      <c r="P35" s="16">
        <f t="shared" si="35"/>
        <v>0.12401507365536135</v>
      </c>
      <c r="Q35" s="16">
        <f t="shared" si="35"/>
        <v>0.14263943919536737</v>
      </c>
      <c r="R35" s="16">
        <f t="shared" si="35"/>
        <v>-7.7353961056281229E-3</v>
      </c>
      <c r="S35" s="16">
        <f t="shared" si="35"/>
        <v>1.5000000000000124E-2</v>
      </c>
      <c r="T35" s="16">
        <f t="shared" si="35"/>
        <v>3.0000000000000027E-2</v>
      </c>
      <c r="U35" s="16">
        <f t="shared" si="35"/>
        <v>3.0000000000000027E-2</v>
      </c>
      <c r="V35" s="16">
        <f t="shared" si="35"/>
        <v>3.0000000000000027E-2</v>
      </c>
      <c r="W35" s="16">
        <f t="shared" si="35"/>
        <v>3.0000000000000027E-2</v>
      </c>
      <c r="X35" s="16"/>
      <c r="Y35" s="16"/>
      <c r="Z35" s="16"/>
      <c r="AA35" s="16"/>
      <c r="AB35" s="16"/>
      <c r="AC35" s="16"/>
      <c r="AD35" s="16"/>
      <c r="AE35" s="16"/>
      <c r="AF35" s="16"/>
      <c r="AI35" s="2"/>
      <c r="AJ35" s="2"/>
      <c r="AK35" s="2"/>
      <c r="AL35" s="2"/>
      <c r="AM35" s="2"/>
      <c r="AN35" s="2"/>
      <c r="AO35" s="2"/>
      <c r="AP35" s="2"/>
    </row>
    <row r="36" spans="2:42">
      <c r="B36" s="478" t="s">
        <v>3921</v>
      </c>
      <c r="D36" s="16"/>
      <c r="E36" s="16"/>
      <c r="F36" s="16"/>
      <c r="G36" s="16"/>
      <c r="H36" s="16"/>
      <c r="I36" s="16"/>
      <c r="J36" s="133">
        <v>1940</v>
      </c>
      <c r="K36" s="133">
        <v>2378</v>
      </c>
      <c r="L36" s="133">
        <v>3175</v>
      </c>
      <c r="M36" s="133">
        <v>3055</v>
      </c>
      <c r="N36" s="133">
        <v>2987</v>
      </c>
      <c r="O36" s="133">
        <v>3015</v>
      </c>
      <c r="P36" s="133">
        <v>3281</v>
      </c>
      <c r="Q36" s="133">
        <v>3875</v>
      </c>
      <c r="R36" s="133">
        <v>3720</v>
      </c>
      <c r="S36" s="9">
        <f>(1+S37)*R36</f>
        <v>3831.6</v>
      </c>
      <c r="T36" s="9">
        <f>(1+T37)*S36</f>
        <v>3946.5480000000002</v>
      </c>
      <c r="U36" s="9">
        <f>(1+U37)*T36</f>
        <v>4064.9444400000002</v>
      </c>
      <c r="V36" s="9">
        <f>(1+V37)*U36</f>
        <v>4186.8927732000002</v>
      </c>
      <c r="W36" s="9">
        <f>(1+W37)*V36</f>
        <v>4312.4995563960001</v>
      </c>
      <c r="X36" s="9"/>
      <c r="Y36" s="9"/>
      <c r="Z36" s="9"/>
      <c r="AA36" s="9"/>
      <c r="AB36" s="9"/>
      <c r="AC36" s="9"/>
      <c r="AD36" s="9"/>
      <c r="AE36" s="9"/>
      <c r="AF36" s="9"/>
      <c r="AI36" s="2"/>
      <c r="AJ36" s="2"/>
      <c r="AK36" s="2"/>
      <c r="AL36" s="2"/>
      <c r="AM36" s="2"/>
      <c r="AN36" s="2"/>
      <c r="AO36" s="2"/>
      <c r="AP36" s="2"/>
    </row>
    <row r="37" spans="2:42">
      <c r="B37" s="478" t="s">
        <v>3923</v>
      </c>
      <c r="D37" s="16"/>
      <c r="E37" s="16"/>
      <c r="F37" s="16"/>
      <c r="G37" s="16"/>
      <c r="H37" s="16"/>
      <c r="I37" s="16"/>
      <c r="J37" s="16"/>
      <c r="K37" s="16">
        <f t="shared" ref="K37:R37" si="36">(1/K36)/(1/J36)-1</f>
        <v>-0.18418839360807404</v>
      </c>
      <c r="L37" s="16">
        <f t="shared" si="36"/>
        <v>-0.25102362204724404</v>
      </c>
      <c r="M37" s="16">
        <f t="shared" si="36"/>
        <v>3.9279869067103235E-2</v>
      </c>
      <c r="N37" s="16">
        <f t="shared" si="36"/>
        <v>2.2765316370940702E-2</v>
      </c>
      <c r="O37" s="16">
        <f t="shared" si="36"/>
        <v>-9.2868988391376917E-3</v>
      </c>
      <c r="P37" s="16">
        <f t="shared" si="36"/>
        <v>-8.1072843645230153E-2</v>
      </c>
      <c r="Q37" s="16">
        <f t="shared" si="36"/>
        <v>-0.15329032258064512</v>
      </c>
      <c r="R37" s="16">
        <f t="shared" si="36"/>
        <v>4.1666666666666519E-2</v>
      </c>
      <c r="S37" s="68">
        <v>0.03</v>
      </c>
      <c r="T37" s="68">
        <v>0.03</v>
      </c>
      <c r="U37" s="68">
        <v>0.03</v>
      </c>
      <c r="V37" s="68">
        <v>0.03</v>
      </c>
      <c r="W37" s="68">
        <v>0.03</v>
      </c>
      <c r="X37" s="68"/>
      <c r="Y37" s="68"/>
      <c r="Z37" s="68"/>
      <c r="AA37" s="68"/>
      <c r="AB37" s="68"/>
      <c r="AC37" s="68"/>
      <c r="AD37" s="68"/>
      <c r="AE37" s="68"/>
      <c r="AF37" s="68"/>
      <c r="AI37" s="2"/>
      <c r="AJ37" s="2"/>
      <c r="AK37" s="2"/>
      <c r="AL37" s="2"/>
      <c r="AM37" s="2"/>
      <c r="AN37" s="2"/>
      <c r="AO37" s="2"/>
      <c r="AP37" s="2"/>
    </row>
    <row r="38" spans="2:42">
      <c r="AI38" s="2"/>
      <c r="AJ38" s="2"/>
      <c r="AK38" s="2"/>
      <c r="AL38" s="2"/>
      <c r="AM38" s="2"/>
      <c r="AN38" s="2"/>
      <c r="AO38" s="2"/>
      <c r="AP38" s="2"/>
    </row>
    <row r="39" spans="2:42">
      <c r="B39" t="s">
        <v>366</v>
      </c>
      <c r="C39" s="128">
        <v>14</v>
      </c>
      <c r="D39" s="7">
        <f t="shared" ref="D39:K39" si="37">D42/AVERAGE(C7:D7)/12*1000</f>
        <v>14.784224221767781</v>
      </c>
      <c r="E39" s="7">
        <f t="shared" si="37"/>
        <v>11.724742493973263</v>
      </c>
      <c r="F39" s="7">
        <f t="shared" si="37"/>
        <v>9.7213089274221236</v>
      </c>
      <c r="G39" s="7">
        <f t="shared" si="37"/>
        <v>11.446454914715824</v>
      </c>
      <c r="H39" s="7">
        <f t="shared" si="37"/>
        <v>11.90061896757592</v>
      </c>
      <c r="I39" s="7">
        <f t="shared" si="37"/>
        <v>11.306407975527415</v>
      </c>
      <c r="J39" s="7">
        <f t="shared" si="37"/>
        <v>10.766487886612865</v>
      </c>
      <c r="K39" s="7">
        <f t="shared" si="37"/>
        <v>10.392933827435296</v>
      </c>
      <c r="L39" s="7">
        <f t="shared" ref="L39:Q39" si="38">L31/L34</f>
        <v>7.3822182249938786</v>
      </c>
      <c r="M39" s="7">
        <f t="shared" si="38"/>
        <v>6.2620036053510351</v>
      </c>
      <c r="N39" s="7">
        <f>N31/N34</f>
        <v>6.6509438428382577</v>
      </c>
      <c r="O39" s="7">
        <f t="shared" si="38"/>
        <v>6.5893787511515525</v>
      </c>
      <c r="P39" s="7">
        <f t="shared" si="38"/>
        <v>5.7451108330140679</v>
      </c>
      <c r="Q39" s="7">
        <f t="shared" si="38"/>
        <v>4.8268125626552116</v>
      </c>
      <c r="R39" s="7">
        <f t="shared" ref="R39:W39" si="39">R31/R34</f>
        <v>4.8644409401597821</v>
      </c>
      <c r="S39" s="7">
        <f t="shared" si="39"/>
        <v>4.8404781769077632</v>
      </c>
      <c r="T39" s="7">
        <f t="shared" si="39"/>
        <v>4.7464883093949908</v>
      </c>
      <c r="U39" s="7">
        <f t="shared" si="39"/>
        <v>4.6543234878533406</v>
      </c>
      <c r="V39" s="7">
        <f t="shared" si="39"/>
        <v>4.5639482744969646</v>
      </c>
      <c r="W39" s="7">
        <f t="shared" si="39"/>
        <v>4.4753279196523632</v>
      </c>
      <c r="X39" s="7"/>
      <c r="Y39" s="7"/>
      <c r="Z39" s="7"/>
      <c r="AA39" s="7"/>
      <c r="AB39" s="7"/>
      <c r="AC39" s="7"/>
      <c r="AD39" s="7"/>
      <c r="AE39" s="7"/>
      <c r="AF39" s="7"/>
      <c r="AG39" s="195" t="e">
        <f>#REF!</f>
        <v>#REF!</v>
      </c>
      <c r="AH39" s="194" t="s">
        <v>1182</v>
      </c>
      <c r="AI39" s="190">
        <v>-0.05</v>
      </c>
      <c r="AJ39" s="190">
        <v>-0.03</v>
      </c>
      <c r="AK39" s="190">
        <v>-0.01</v>
      </c>
      <c r="AL39" s="190">
        <v>-0.01</v>
      </c>
      <c r="AM39" s="190">
        <v>-0.01</v>
      </c>
      <c r="AN39" s="190">
        <v>-0.01</v>
      </c>
      <c r="AO39" s="190">
        <v>-0.01</v>
      </c>
      <c r="AP39" s="190">
        <v>-0.01</v>
      </c>
    </row>
    <row r="40" spans="2:42">
      <c r="B40" t="s">
        <v>2353</v>
      </c>
      <c r="D40" s="16">
        <f t="shared" ref="D40:W40" si="40">D39/C39-1</f>
        <v>5.6016015840555822E-2</v>
      </c>
      <c r="E40" s="16">
        <f t="shared" si="40"/>
        <v>-0.20694232459555384</v>
      </c>
      <c r="F40" s="16">
        <f t="shared" si="40"/>
        <v>-0.17087228718080094</v>
      </c>
      <c r="G40" s="16">
        <f t="shared" si="40"/>
        <v>0.17746025768478191</v>
      </c>
      <c r="H40" s="16">
        <f t="shared" si="40"/>
        <v>3.967726743729294E-2</v>
      </c>
      <c r="I40" s="16">
        <f t="shared" si="40"/>
        <v>-4.9931099690484482E-2</v>
      </c>
      <c r="J40" s="16">
        <f t="shared" si="40"/>
        <v>-4.7753458930829384E-2</v>
      </c>
      <c r="K40" s="16">
        <f t="shared" si="40"/>
        <v>-3.4695999578659986E-2</v>
      </c>
      <c r="L40" s="16">
        <f t="shared" si="40"/>
        <v>-0.28968871085214865</v>
      </c>
      <c r="M40" s="16">
        <f t="shared" si="40"/>
        <v>-0.15174498849819251</v>
      </c>
      <c r="N40" s="16">
        <f t="shared" si="40"/>
        <v>6.2111148763131396E-2</v>
      </c>
      <c r="O40" s="16">
        <f t="shared" si="40"/>
        <v>-9.2565947242208013E-3</v>
      </c>
      <c r="P40" s="16">
        <f t="shared" si="40"/>
        <v>-0.12812557147211201</v>
      </c>
      <c r="Q40" s="16">
        <f t="shared" si="40"/>
        <v>-0.15983995732195266</v>
      </c>
      <c r="R40" s="16">
        <f t="shared" si="40"/>
        <v>7.7956989247311981E-3</v>
      </c>
      <c r="S40" s="16">
        <f t="shared" si="40"/>
        <v>-4.9261083743843415E-3</v>
      </c>
      <c r="T40" s="16">
        <f t="shared" si="40"/>
        <v>-1.9417475728155442E-2</v>
      </c>
      <c r="U40" s="16">
        <f t="shared" si="40"/>
        <v>-1.9417475728155331E-2</v>
      </c>
      <c r="V40" s="16">
        <f t="shared" si="40"/>
        <v>-1.9417475728155442E-2</v>
      </c>
      <c r="W40" s="16">
        <f t="shared" si="40"/>
        <v>-1.9417475728155331E-2</v>
      </c>
      <c r="X40" s="16"/>
      <c r="Y40" s="16"/>
      <c r="Z40" s="16"/>
      <c r="AA40" s="16"/>
      <c r="AB40" s="16"/>
      <c r="AC40" s="16"/>
      <c r="AD40" s="16"/>
      <c r="AE40" s="16"/>
      <c r="AF40" s="16"/>
      <c r="AH40" s="194" t="s">
        <v>1660</v>
      </c>
      <c r="AI40" s="190">
        <v>-0.05</v>
      </c>
      <c r="AJ40" s="190">
        <v>-0.03</v>
      </c>
      <c r="AK40" s="190">
        <v>-0.02</v>
      </c>
      <c r="AL40" s="190">
        <v>-1.4999999999999999E-2</v>
      </c>
      <c r="AM40" s="190">
        <v>-0.01</v>
      </c>
      <c r="AN40" s="190">
        <v>-0.01</v>
      </c>
      <c r="AO40" s="190">
        <v>-0.01</v>
      </c>
      <c r="AP40" s="190">
        <v>-0.01</v>
      </c>
    </row>
    <row r="41" spans="2:42">
      <c r="AH41" s="194" t="s">
        <v>1056</v>
      </c>
      <c r="AI41" s="16">
        <v>-0.05</v>
      </c>
      <c r="AJ41" s="16">
        <v>-0.03</v>
      </c>
      <c r="AK41" s="16">
        <v>-0.01</v>
      </c>
      <c r="AL41" s="16">
        <v>-0.01</v>
      </c>
      <c r="AM41" s="16">
        <v>-0.01</v>
      </c>
      <c r="AN41" s="16">
        <v>-0.01</v>
      </c>
      <c r="AO41" s="16">
        <v>-0.01</v>
      </c>
      <c r="AP41" s="16">
        <v>-0.01</v>
      </c>
    </row>
    <row r="42" spans="2:42">
      <c r="B42" s="478" t="s">
        <v>1531</v>
      </c>
      <c r="C42" s="485">
        <f t="shared" ref="C42:I42" si="41">C44-C43</f>
        <v>315.3</v>
      </c>
      <c r="D42" s="485">
        <f t="shared" si="41"/>
        <v>433.76913866666666</v>
      </c>
      <c r="E42" s="485">
        <f t="shared" si="41"/>
        <v>428</v>
      </c>
      <c r="F42" s="485">
        <f t="shared" si="41"/>
        <v>411.6779904584721</v>
      </c>
      <c r="G42" s="485">
        <f t="shared" si="41"/>
        <v>552</v>
      </c>
      <c r="H42" s="454">
        <f t="shared" si="41"/>
        <v>653.15997394944122</v>
      </c>
      <c r="I42" s="454">
        <f t="shared" si="41"/>
        <v>717.73077828648036</v>
      </c>
      <c r="J42" s="454">
        <f>J44-J43</f>
        <v>806.13001402225166</v>
      </c>
      <c r="K42" s="9">
        <f>K50*1000/K34</f>
        <v>920.71000777249276</v>
      </c>
      <c r="L42" s="454">
        <f>L39*AVERAGE(K7,L7)*12/1000</f>
        <v>750.24007376967791</v>
      </c>
      <c r="M42" s="454">
        <f t="shared" ref="M42:W42" si="42">M39*AVERAGE(L7,M7)*12/1000</f>
        <v>627.0770410398527</v>
      </c>
      <c r="N42" s="454">
        <f>N39*AVERAGE(M7,N7)*12/1000</f>
        <v>627.25047326638719</v>
      </c>
      <c r="O42" s="454">
        <f t="shared" si="42"/>
        <v>640.73121041220895</v>
      </c>
      <c r="P42" s="454">
        <f t="shared" si="42"/>
        <v>579.21305223577838</v>
      </c>
      <c r="Q42" s="454">
        <f>Q39*AVERAGE(P7,Q7)*12/1000</f>
        <v>504.02719718163672</v>
      </c>
      <c r="R42" s="454">
        <f t="shared" si="42"/>
        <v>525.59167909665712</v>
      </c>
      <c r="S42" s="454">
        <f t="shared" si="42"/>
        <v>540.64903499033744</v>
      </c>
      <c r="T42" s="454">
        <f t="shared" si="42"/>
        <v>547.54541770184539</v>
      </c>
      <c r="U42" s="454">
        <f t="shared" si="42"/>
        <v>554.05321155411218</v>
      </c>
      <c r="V42" s="454">
        <f t="shared" si="42"/>
        <v>560.17739066672425</v>
      </c>
      <c r="W42" s="454">
        <f t="shared" si="42"/>
        <v>565.92288402141253</v>
      </c>
      <c r="X42" s="454"/>
      <c r="Y42" s="454"/>
      <c r="Z42" s="454"/>
      <c r="AA42" s="454"/>
      <c r="AB42" s="454"/>
      <c r="AC42" s="454"/>
      <c r="AD42" s="454"/>
      <c r="AE42" s="454"/>
      <c r="AF42" s="454"/>
      <c r="AH42" s="194"/>
      <c r="AI42" s="16"/>
      <c r="AJ42" s="16"/>
      <c r="AK42" s="16"/>
      <c r="AL42" s="16"/>
      <c r="AM42" s="16"/>
      <c r="AN42" s="16"/>
      <c r="AO42" s="16"/>
      <c r="AP42" s="16"/>
    </row>
    <row r="43" spans="2:42">
      <c r="B43" s="487" t="s">
        <v>1540</v>
      </c>
      <c r="C43" s="455">
        <v>5</v>
      </c>
      <c r="D43" s="455">
        <v>10</v>
      </c>
      <c r="E43" s="455">
        <v>20</v>
      </c>
      <c r="F43" s="455">
        <v>40</v>
      </c>
      <c r="G43" s="455">
        <v>60</v>
      </c>
      <c r="H43" s="462">
        <f>SUM(Newquarts!B96:E96)*0.9</f>
        <v>102.84002605055882</v>
      </c>
      <c r="I43" s="462">
        <f>SUM(Newquarts!G96:J96)*0.9</f>
        <v>131.26922171351964</v>
      </c>
      <c r="J43" s="462">
        <f>SUM(Newquarts!L96:O96)*0.9</f>
        <v>162.86998597774831</v>
      </c>
      <c r="K43" s="462">
        <f>K44-K42</f>
        <v>246.28999222750724</v>
      </c>
      <c r="L43" s="462">
        <f>L44-L42</f>
        <v>190.54725347934425</v>
      </c>
      <c r="M43" s="290">
        <f>L43*0.55</f>
        <v>104.80098941363934</v>
      </c>
      <c r="N43" s="290">
        <f>M43*0.9</f>
        <v>94.320890472275408</v>
      </c>
      <c r="O43" s="290">
        <f t="shared" ref="O43:W43" si="43">N43*1.05</f>
        <v>99.036934995889183</v>
      </c>
      <c r="P43" s="290">
        <f t="shared" si="43"/>
        <v>103.98878174568365</v>
      </c>
      <c r="Q43" s="290">
        <v>85</v>
      </c>
      <c r="R43" s="290">
        <v>105</v>
      </c>
      <c r="S43" s="290">
        <f t="shared" si="43"/>
        <v>110.25</v>
      </c>
      <c r="T43" s="290">
        <f t="shared" si="43"/>
        <v>115.7625</v>
      </c>
      <c r="U43" s="290">
        <f t="shared" si="43"/>
        <v>121.55062500000001</v>
      </c>
      <c r="V43" s="290">
        <f t="shared" si="43"/>
        <v>127.62815625000002</v>
      </c>
      <c r="W43" s="290">
        <f t="shared" si="43"/>
        <v>134.00956406250003</v>
      </c>
      <c r="X43" s="176"/>
      <c r="Y43" s="176"/>
      <c r="Z43" s="176"/>
      <c r="AA43" s="176"/>
      <c r="AB43" s="176"/>
      <c r="AC43" s="176"/>
      <c r="AD43" s="176"/>
      <c r="AE43" s="176"/>
      <c r="AF43" s="176"/>
      <c r="AH43" s="69">
        <f>J42*J34/1000</f>
        <v>1508.2692562356328</v>
      </c>
      <c r="AI43" s="69">
        <f>K42*K34/1000</f>
        <v>1851.4005120292393</v>
      </c>
      <c r="AJ43" s="69">
        <f>L42*L34/1000</f>
        <v>2060.1592425715357</v>
      </c>
      <c r="AK43" s="16"/>
      <c r="AL43" s="16"/>
      <c r="AM43" s="16"/>
      <c r="AN43" s="16"/>
      <c r="AO43" s="16"/>
      <c r="AP43" s="16"/>
    </row>
    <row r="44" spans="2:42">
      <c r="B44" s="478" t="s">
        <v>3081</v>
      </c>
      <c r="C44" s="133">
        <f>230+90.3</f>
        <v>320.3</v>
      </c>
      <c r="D44" s="133">
        <f>SUM(Quarts!X222:AA222)</f>
        <v>443.76913866666666</v>
      </c>
      <c r="E44" s="133">
        <v>448</v>
      </c>
      <c r="F44" s="133">
        <f>SUM(Quarts!AH222:AK222)</f>
        <v>451.6779904584721</v>
      </c>
      <c r="G44" s="133">
        <v>612</v>
      </c>
      <c r="H44" s="133">
        <v>756</v>
      </c>
      <c r="I44" s="133">
        <v>849</v>
      </c>
      <c r="J44" s="133">
        <v>969</v>
      </c>
      <c r="K44" s="133">
        <v>1167</v>
      </c>
      <c r="L44" s="133">
        <f>'Country quarts'!L11</f>
        <v>940.78732724902216</v>
      </c>
      <c r="M44" s="9">
        <f t="shared" ref="M44:V44" si="44">M42+M43</f>
        <v>731.8780304534921</v>
      </c>
      <c r="N44" s="9">
        <f>N42+N43</f>
        <v>721.57136373866263</v>
      </c>
      <c r="O44" s="9">
        <f t="shared" si="44"/>
        <v>739.76814540809812</v>
      </c>
      <c r="P44" s="9">
        <f t="shared" si="44"/>
        <v>683.20183398146207</v>
      </c>
      <c r="Q44" s="9">
        <f t="shared" si="44"/>
        <v>589.02719718163667</v>
      </c>
      <c r="R44" s="9">
        <f t="shared" si="44"/>
        <v>630.59167909665712</v>
      </c>
      <c r="S44" s="9">
        <f t="shared" si="44"/>
        <v>650.89903499033744</v>
      </c>
      <c r="T44" s="9">
        <f t="shared" si="44"/>
        <v>663.30791770184544</v>
      </c>
      <c r="U44" s="9">
        <f t="shared" si="44"/>
        <v>675.60383655411215</v>
      </c>
      <c r="V44" s="9">
        <f t="shared" si="44"/>
        <v>687.80554691672432</v>
      </c>
      <c r="W44" s="9">
        <f t="shared" ref="W44" si="45">W42+W43</f>
        <v>699.9324480839125</v>
      </c>
      <c r="X44" s="9"/>
      <c r="Y44" s="9"/>
      <c r="Z44" s="9"/>
      <c r="AA44" s="9"/>
      <c r="AB44" s="9"/>
      <c r="AC44" s="9"/>
      <c r="AD44" s="9"/>
      <c r="AE44" s="9"/>
      <c r="AF44" s="9"/>
      <c r="AH44" s="69">
        <f>J43*J34/1000</f>
        <v>304.72974376436707</v>
      </c>
      <c r="AI44" s="69">
        <f>K43*K34/1000</f>
        <v>495.24976797076067</v>
      </c>
      <c r="AJ44" s="69">
        <f>L43*L34/1000</f>
        <v>523.24275805427931</v>
      </c>
      <c r="AK44" s="146"/>
      <c r="AL44" s="146"/>
      <c r="AM44" s="146"/>
    </row>
    <row r="45" spans="2:42">
      <c r="B45" t="s">
        <v>2353</v>
      </c>
      <c r="D45" s="16">
        <f t="shared" ref="D45:W45" si="46">D44/C44-1</f>
        <v>0.38547967114163795</v>
      </c>
      <c r="E45" s="16">
        <f t="shared" si="46"/>
        <v>9.5339242067289387E-3</v>
      </c>
      <c r="F45" s="16">
        <f t="shared" si="46"/>
        <v>8.2098001305179746E-3</v>
      </c>
      <c r="G45" s="16">
        <f t="shared" si="46"/>
        <v>0.35494757975431646</v>
      </c>
      <c r="H45" s="16">
        <f t="shared" si="46"/>
        <v>0.23529411764705888</v>
      </c>
      <c r="I45" s="16">
        <f t="shared" si="46"/>
        <v>0.12301587301587302</v>
      </c>
      <c r="J45" s="16">
        <f t="shared" si="46"/>
        <v>0.14134275618374548</v>
      </c>
      <c r="K45" s="16">
        <f>K44/J44-1</f>
        <v>0.20433436532507732</v>
      </c>
      <c r="L45" s="16">
        <f t="shared" si="46"/>
        <v>-0.19384119344556794</v>
      </c>
      <c r="M45" s="16">
        <f t="shared" si="46"/>
        <v>-0.22205794098694609</v>
      </c>
      <c r="N45" s="16">
        <f t="shared" si="46"/>
        <v>-1.4082492281457304E-2</v>
      </c>
      <c r="O45" s="16">
        <f t="shared" si="46"/>
        <v>2.5218270269419918E-2</v>
      </c>
      <c r="P45" s="16">
        <f t="shared" si="46"/>
        <v>-7.6464919147648414E-2</v>
      </c>
      <c r="Q45" s="16">
        <f t="shared" si="46"/>
        <v>-0.13784306791304768</v>
      </c>
      <c r="R45" s="16">
        <f t="shared" si="46"/>
        <v>7.0564622675993949E-2</v>
      </c>
      <c r="S45" s="16">
        <f t="shared" si="46"/>
        <v>3.2203653436675861E-2</v>
      </c>
      <c r="T45" s="16">
        <f t="shared" si="46"/>
        <v>1.9064220477285287E-2</v>
      </c>
      <c r="U45" s="16">
        <f t="shared" si="46"/>
        <v>1.8537271339784667E-2</v>
      </c>
      <c r="V45" s="16">
        <f t="shared" si="46"/>
        <v>1.8060451558189028E-2</v>
      </c>
      <c r="W45" s="16">
        <f t="shared" si="46"/>
        <v>1.7631293061753261E-2</v>
      </c>
      <c r="X45" s="16"/>
      <c r="Y45" s="16"/>
      <c r="Z45" s="16"/>
      <c r="AA45" s="16"/>
      <c r="AB45" s="16"/>
      <c r="AC45" s="16"/>
      <c r="AD45" s="16"/>
      <c r="AE45" s="16"/>
      <c r="AF45" s="16"/>
      <c r="AH45" s="69">
        <f>AH43+AH44</f>
        <v>1812.9989999999998</v>
      </c>
      <c r="AI45" s="69">
        <f>AI43+AI44</f>
        <v>2346.6502799999998</v>
      </c>
      <c r="AJ45" s="69">
        <f>AJ43+AJ44</f>
        <v>2583.4020006258152</v>
      </c>
      <c r="AK45" s="5"/>
      <c r="AL45" s="5"/>
      <c r="AM45" s="5"/>
    </row>
    <row r="46" spans="2:42">
      <c r="B46" t="s">
        <v>2226</v>
      </c>
      <c r="D46" s="9"/>
      <c r="E46" s="9"/>
      <c r="F46" s="9"/>
      <c r="G46" s="9">
        <f t="shared" ref="G46:W46" si="47">G44*G34/F34-1</f>
        <v>537.92765359853217</v>
      </c>
      <c r="H46" s="9">
        <f t="shared" si="47"/>
        <v>740.43599974557321</v>
      </c>
      <c r="I46" s="9">
        <f t="shared" si="47"/>
        <v>824.29001074113853</v>
      </c>
      <c r="J46" s="9">
        <f>J44*J34/I34-1</f>
        <v>1000.656906077348</v>
      </c>
      <c r="K46" s="9">
        <f>K44*K34/J34-1</f>
        <v>1253.2224906467129</v>
      </c>
      <c r="L46" s="9">
        <f>L44*L34/K34-1</f>
        <v>1283.737721860424</v>
      </c>
      <c r="M46" s="9">
        <f t="shared" si="47"/>
        <v>810.03599660232214</v>
      </c>
      <c r="N46" s="9">
        <f t="shared" si="47"/>
        <v>698.75586407913022</v>
      </c>
      <c r="O46" s="9">
        <f t="shared" si="47"/>
        <v>730.74626107971483</v>
      </c>
      <c r="P46" s="9">
        <f t="shared" si="47"/>
        <v>766.92915974415121</v>
      </c>
      <c r="Q46" s="9">
        <f>Q44*Q34/P34-1</f>
        <v>672.0457062584444</v>
      </c>
      <c r="R46" s="9">
        <f t="shared" si="47"/>
        <v>624.71380267793131</v>
      </c>
      <c r="S46" s="9">
        <f t="shared" si="47"/>
        <v>659.66252051519257</v>
      </c>
      <c r="T46" s="9">
        <f t="shared" si="47"/>
        <v>682.20715523290073</v>
      </c>
      <c r="U46" s="9">
        <f t="shared" si="47"/>
        <v>694.87195165073558</v>
      </c>
      <c r="V46" s="9">
        <f t="shared" si="47"/>
        <v>707.43971332422609</v>
      </c>
      <c r="W46" s="9">
        <f t="shared" si="47"/>
        <v>719.93042152643</v>
      </c>
      <c r="X46" s="9"/>
      <c r="Y46" s="9"/>
      <c r="Z46" s="9"/>
      <c r="AA46" s="9"/>
      <c r="AB46" s="9"/>
      <c r="AC46" s="9"/>
      <c r="AD46" s="9"/>
      <c r="AE46" s="9"/>
      <c r="AF46" s="9"/>
      <c r="AH46" s="53"/>
      <c r="AI46" s="53">
        <f>AI45/AH45-1</f>
        <v>0.29434725556936336</v>
      </c>
      <c r="AJ46" s="53">
        <f>AJ45/AI45-1</f>
        <v>0.10088922181698723</v>
      </c>
      <c r="AK46" s="5"/>
      <c r="AL46" s="5"/>
      <c r="AM46" s="5"/>
    </row>
    <row r="47" spans="2:42">
      <c r="B47" t="s">
        <v>2353</v>
      </c>
      <c r="D47" s="16"/>
      <c r="E47" s="16"/>
      <c r="F47" s="9"/>
      <c r="G47" s="16">
        <f t="shared" ref="G47:W47" si="48">G46/F44-1</f>
        <v>0.19095387635008088</v>
      </c>
      <c r="H47" s="16">
        <f t="shared" si="48"/>
        <v>0.20986274468230914</v>
      </c>
      <c r="I47" s="16">
        <f t="shared" si="48"/>
        <v>9.0330702038543098E-2</v>
      </c>
      <c r="J47" s="16">
        <f>J46/I44-1</f>
        <v>0.17863004249393177</v>
      </c>
      <c r="K47" s="16">
        <f>K46/J44-1</f>
        <v>0.29331526382529716</v>
      </c>
      <c r="L47" s="16">
        <f t="shared" si="48"/>
        <v>0.10003232378785265</v>
      </c>
      <c r="M47" s="16">
        <f t="shared" si="48"/>
        <v>-0.13898075246084896</v>
      </c>
      <c r="N47" s="16">
        <f t="shared" si="48"/>
        <v>-4.5256402018022723E-2</v>
      </c>
      <c r="O47" s="16">
        <f t="shared" si="48"/>
        <v>1.2715162771308686E-2</v>
      </c>
      <c r="P47" s="16">
        <f t="shared" si="48"/>
        <v>3.6715577042141456E-2</v>
      </c>
      <c r="Q47" s="16">
        <f>Q46/P44-1</f>
        <v>-1.6329182926813401E-2</v>
      </c>
      <c r="R47" s="16">
        <f t="shared" si="48"/>
        <v>6.058566678592614E-2</v>
      </c>
      <c r="S47" s="16">
        <f t="shared" si="48"/>
        <v>4.6100896003227199E-2</v>
      </c>
      <c r="T47" s="16">
        <f t="shared" si="48"/>
        <v>4.8099810507520768E-2</v>
      </c>
      <c r="U47" s="16">
        <f t="shared" si="48"/>
        <v>4.7585794027982686E-2</v>
      </c>
      <c r="V47" s="16">
        <f t="shared" si="48"/>
        <v>4.7122107731790708E-2</v>
      </c>
      <c r="W47" s="16">
        <f t="shared" si="48"/>
        <v>4.6706332558255959E-2</v>
      </c>
      <c r="X47" s="16"/>
      <c r="Y47" s="16"/>
      <c r="Z47" s="16"/>
      <c r="AA47" s="16"/>
      <c r="AB47" s="16"/>
      <c r="AC47" s="16"/>
      <c r="AD47" s="16"/>
      <c r="AE47" s="16"/>
      <c r="AF47" s="16"/>
      <c r="AH47" s="53"/>
      <c r="AI47" s="53"/>
      <c r="AJ47" s="21"/>
      <c r="AK47" s="5"/>
      <c r="AL47" s="5"/>
      <c r="AM47" s="5"/>
    </row>
    <row r="48" spans="2:42">
      <c r="B48" t="s">
        <v>35</v>
      </c>
      <c r="D48" s="16"/>
      <c r="E48" s="16"/>
      <c r="F48" s="9"/>
      <c r="G48" s="55">
        <f t="shared" ref="G48:O48" si="49">G45-G47</f>
        <v>0.16399370340423558</v>
      </c>
      <c r="H48" s="55">
        <f t="shared" si="49"/>
        <v>2.5431372964749732E-2</v>
      </c>
      <c r="I48" s="55">
        <f t="shared" si="49"/>
        <v>3.2685170977329925E-2</v>
      </c>
      <c r="J48" s="55">
        <f>J45-J47</f>
        <v>-3.7287286310186296E-2</v>
      </c>
      <c r="K48" s="55">
        <f t="shared" si="49"/>
        <v>-8.898089850021984E-2</v>
      </c>
      <c r="L48" s="55">
        <f t="shared" si="49"/>
        <v>-0.29387351723342059</v>
      </c>
      <c r="M48" s="55">
        <f t="shared" si="49"/>
        <v>-8.3077188526097134E-2</v>
      </c>
      <c r="N48" s="55">
        <f t="shared" si="49"/>
        <v>3.1173909736565419E-2</v>
      </c>
      <c r="O48" s="55">
        <f t="shared" si="49"/>
        <v>1.2503107498111232E-2</v>
      </c>
      <c r="P48" s="55">
        <f t="shared" ref="P48:V48" si="50">P45-P47</f>
        <v>-0.11318049618978987</v>
      </c>
      <c r="Q48" s="55">
        <f t="shared" si="50"/>
        <v>-0.12151388498623428</v>
      </c>
      <c r="R48" s="55">
        <f t="shared" si="50"/>
        <v>9.9789558900678088E-3</v>
      </c>
      <c r="S48" s="55">
        <f t="shared" si="50"/>
        <v>-1.3897242566551338E-2</v>
      </c>
      <c r="T48" s="55">
        <f t="shared" si="50"/>
        <v>-2.9035590030235481E-2</v>
      </c>
      <c r="U48" s="55">
        <f t="shared" si="50"/>
        <v>-2.904852268819802E-2</v>
      </c>
      <c r="V48" s="55">
        <f t="shared" si="50"/>
        <v>-2.906165617360168E-2</v>
      </c>
      <c r="W48" s="55">
        <f t="shared" ref="W48" si="51">W45-W47</f>
        <v>-2.9075039496502697E-2</v>
      </c>
      <c r="X48" s="55"/>
      <c r="Y48" s="55"/>
      <c r="Z48" s="55"/>
      <c r="AA48" s="55"/>
      <c r="AB48" s="55"/>
      <c r="AC48" s="55"/>
      <c r="AD48" s="55"/>
      <c r="AE48" s="55"/>
      <c r="AF48" s="55"/>
      <c r="AH48" s="53"/>
      <c r="AI48" s="53"/>
      <c r="AJ48" s="21"/>
      <c r="AK48" s="5"/>
      <c r="AL48" s="5"/>
      <c r="AM48" s="5"/>
    </row>
    <row r="49" spans="2:43">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H49" s="53"/>
      <c r="AI49" s="53"/>
      <c r="AJ49" s="21"/>
      <c r="AK49" s="5"/>
      <c r="AL49" s="5"/>
      <c r="AM49" s="5"/>
    </row>
    <row r="50" spans="2:43">
      <c r="B50" s="478" t="s">
        <v>3211</v>
      </c>
      <c r="C50" s="9">
        <f t="shared" ref="C50:I50" si="52">C42*C34/1000</f>
        <v>744.10799999999995</v>
      </c>
      <c r="D50" s="9">
        <f t="shared" si="52"/>
        <v>900.50473187199998</v>
      </c>
      <c r="E50" s="9">
        <f t="shared" si="52"/>
        <v>840.59199999999998</v>
      </c>
      <c r="F50" s="9">
        <f t="shared" si="52"/>
        <v>887.57774742846584</v>
      </c>
      <c r="G50" s="9">
        <f t="shared" si="52"/>
        <v>1048.0135092801575</v>
      </c>
      <c r="H50" s="9">
        <f t="shared" si="52"/>
        <v>1216.1838714938594</v>
      </c>
      <c r="I50" s="9">
        <f t="shared" si="52"/>
        <v>1299.0927086985296</v>
      </c>
      <c r="J50" s="9">
        <f>J42*J34/1000</f>
        <v>1508.2692562356328</v>
      </c>
      <c r="K50" s="9">
        <f>(1+K51)*J50</f>
        <v>1851.4005120292393</v>
      </c>
      <c r="L50" s="9">
        <f>L42*L34/1000</f>
        <v>2060.1592425715357</v>
      </c>
      <c r="M50" s="9">
        <f>M42*M34/1000</f>
        <v>1908.1954358842718</v>
      </c>
      <c r="N50" s="9">
        <f>N42*N34/1000</f>
        <v>1851.0161466091088</v>
      </c>
      <c r="O50" s="9">
        <f>O42*O34/1000</f>
        <v>1870.2944031932379</v>
      </c>
      <c r="P50" s="9">
        <f>P42*P34/1000</f>
        <v>1900.398024385589</v>
      </c>
      <c r="Q50" s="9">
        <f t="shared" ref="Q50:V50" si="53">Q42*Q34/1000</f>
        <v>1889.597962233956</v>
      </c>
      <c r="R50" s="9">
        <f t="shared" si="53"/>
        <v>1955.2010462395644</v>
      </c>
      <c r="S50" s="9">
        <f t="shared" si="53"/>
        <v>2041.3826263165163</v>
      </c>
      <c r="T50" s="9">
        <f t="shared" si="53"/>
        <v>2129.4446478033865</v>
      </c>
      <c r="U50" s="9">
        <f t="shared" si="53"/>
        <v>2219.3965578617454</v>
      </c>
      <c r="V50" s="9">
        <f t="shared" si="53"/>
        <v>2311.2463191484749</v>
      </c>
      <c r="W50" s="9">
        <f t="shared" ref="W50" si="54">W42*W34/1000</f>
        <v>2405.0003097972203</v>
      </c>
      <c r="X50" s="9"/>
      <c r="Y50" s="9"/>
      <c r="Z50" s="9"/>
      <c r="AA50" s="9"/>
      <c r="AB50" s="9"/>
      <c r="AC50" s="9"/>
      <c r="AD50" s="9"/>
      <c r="AE50" s="9"/>
      <c r="AF50" s="9"/>
      <c r="AH50" s="53"/>
      <c r="AI50" s="53"/>
      <c r="AJ50" s="21"/>
      <c r="AK50" s="5"/>
      <c r="AL50" s="5"/>
      <c r="AM50" s="5"/>
    </row>
    <row r="51" spans="2:43">
      <c r="B51" t="s">
        <v>1536</v>
      </c>
      <c r="D51" s="16"/>
      <c r="E51" s="16"/>
      <c r="F51" s="16"/>
      <c r="G51" s="16"/>
      <c r="H51" s="16">
        <f t="shared" ref="H51:W51" si="55">H50/G50-1</f>
        <v>0.16046583438529538</v>
      </c>
      <c r="I51" s="16">
        <f t="shared" si="55"/>
        <v>6.817130135333227E-2</v>
      </c>
      <c r="J51" s="16">
        <f t="shared" si="55"/>
        <v>0.16101741325810592</v>
      </c>
      <c r="K51" s="73">
        <f>AVERAGE('LatAm quarts'!Z38:AC38)</f>
        <v>0.22750000000000001</v>
      </c>
      <c r="L51" s="16">
        <f>L50/K50-1</f>
        <v>0.11275719607179169</v>
      </c>
      <c r="M51" s="16">
        <f t="shared" si="55"/>
        <v>-7.3763136143582542E-2</v>
      </c>
      <c r="N51" s="16">
        <f t="shared" si="55"/>
        <v>-2.9965111644167486E-2</v>
      </c>
      <c r="O51" s="16">
        <f>O50/N50-1</f>
        <v>1.0414958626614457E-2</v>
      </c>
      <c r="P51" s="16">
        <f t="shared" si="55"/>
        <v>1.609565913310429E-2</v>
      </c>
      <c r="Q51" s="16">
        <f t="shared" si="55"/>
        <v>-5.6830527147726517E-3</v>
      </c>
      <c r="R51" s="16">
        <f t="shared" si="55"/>
        <v>3.4718011617693501E-2</v>
      </c>
      <c r="S51" s="16">
        <f t="shared" si="55"/>
        <v>4.4078116796584466E-2</v>
      </c>
      <c r="T51" s="16">
        <f t="shared" si="55"/>
        <v>4.313842018229086E-2</v>
      </c>
      <c r="U51" s="16">
        <f t="shared" si="55"/>
        <v>4.2241957381305095E-2</v>
      </c>
      <c r="V51" s="16">
        <f t="shared" si="55"/>
        <v>4.1385015652732671E-2</v>
      </c>
      <c r="W51" s="16">
        <f t="shared" si="55"/>
        <v>4.056425741903924E-2</v>
      </c>
      <c r="X51" s="16"/>
      <c r="Y51" s="16"/>
      <c r="Z51" s="16"/>
      <c r="AA51" s="16"/>
      <c r="AB51" s="16"/>
      <c r="AC51" s="16"/>
      <c r="AD51" s="16"/>
      <c r="AE51" s="16"/>
      <c r="AF51" s="16"/>
      <c r="AH51" s="53"/>
      <c r="AI51" s="53"/>
      <c r="AJ51" s="21"/>
      <c r="AK51" s="5"/>
      <c r="AL51" s="5"/>
      <c r="AM51" s="5"/>
    </row>
    <row r="52" spans="2:43">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H52" s="53"/>
      <c r="AI52" s="53"/>
      <c r="AJ52" s="21"/>
      <c r="AK52" s="5"/>
      <c r="AL52" s="5"/>
      <c r="AM52" s="5"/>
    </row>
    <row r="53" spans="2:43">
      <c r="B53" s="478" t="s">
        <v>3670</v>
      </c>
      <c r="D53" s="16"/>
      <c r="E53" s="16"/>
      <c r="F53" s="16"/>
      <c r="G53" s="16"/>
      <c r="H53" s="16"/>
      <c r="I53" s="9">
        <f>I43*I34/1000</f>
        <v>237.59729130147053</v>
      </c>
      <c r="J53" s="9">
        <f>J43*J34/1000</f>
        <v>304.72974376436707</v>
      </c>
      <c r="K53" s="9">
        <f>K43*K34/1000</f>
        <v>495.24976797076067</v>
      </c>
      <c r="L53" s="9">
        <f t="shared" ref="L53:Q53" si="56">L43*L34/1000</f>
        <v>523.24275805427931</v>
      </c>
      <c r="M53" s="9">
        <f t="shared" si="56"/>
        <v>318.90941078570449</v>
      </c>
      <c r="N53" s="9">
        <f t="shared" si="56"/>
        <v>278.34094778368473</v>
      </c>
      <c r="O53" s="9">
        <f t="shared" si="56"/>
        <v>289.08881325300058</v>
      </c>
      <c r="P53" s="9">
        <f t="shared" si="56"/>
        <v>341.1871929075881</v>
      </c>
      <c r="Q53" s="9">
        <f t="shared" si="56"/>
        <v>318.66500000000002</v>
      </c>
      <c r="R53" s="9">
        <f t="shared" ref="R53:W53" si="57">R43*R34/1000</f>
        <v>390.6</v>
      </c>
      <c r="S53" s="9">
        <f t="shared" si="57"/>
        <v>416.28194999999999</v>
      </c>
      <c r="T53" s="9">
        <f t="shared" si="57"/>
        <v>450.20892892500001</v>
      </c>
      <c r="U53" s="9">
        <f t="shared" si="57"/>
        <v>486.90095663238753</v>
      </c>
      <c r="V53" s="9">
        <f t="shared" si="57"/>
        <v>526.58338459792719</v>
      </c>
      <c r="W53" s="9">
        <f t="shared" si="57"/>
        <v>569.49993044265841</v>
      </c>
      <c r="X53" s="9"/>
      <c r="Y53" s="9"/>
      <c r="Z53" s="9"/>
      <c r="AA53" s="9"/>
      <c r="AB53" s="9"/>
      <c r="AC53" s="9"/>
      <c r="AD53" s="9"/>
      <c r="AE53" s="9"/>
      <c r="AF53" s="9"/>
      <c r="AH53" s="53"/>
      <c r="AI53" s="53"/>
      <c r="AJ53" s="21"/>
      <c r="AK53" s="5"/>
      <c r="AL53" s="5"/>
      <c r="AM53" s="5"/>
    </row>
    <row r="54" spans="2:43">
      <c r="B54" t="s">
        <v>1536</v>
      </c>
      <c r="D54" s="16"/>
      <c r="E54" s="16"/>
      <c r="F54" s="16"/>
      <c r="G54" s="16"/>
      <c r="H54" s="16"/>
      <c r="I54" s="16"/>
      <c r="J54" s="16">
        <f t="shared" ref="J54:W54" si="58">J53/I53-1</f>
        <v>0.28254721295503682</v>
      </c>
      <c r="K54" s="16">
        <f t="shared" si="58"/>
        <v>0.62520980673850346</v>
      </c>
      <c r="L54" s="16">
        <f t="shared" si="58"/>
        <v>5.6522974656237235E-2</v>
      </c>
      <c r="M54" s="16">
        <f t="shared" si="58"/>
        <v>-0.39051347414420978</v>
      </c>
      <c r="N54" s="16">
        <f t="shared" si="58"/>
        <v>-0.12720999014130785</v>
      </c>
      <c r="O54" s="16">
        <f t="shared" si="58"/>
        <v>3.8614029142663764E-2</v>
      </c>
      <c r="P54" s="16">
        <f t="shared" si="58"/>
        <v>0.18021582733812957</v>
      </c>
      <c r="Q54" s="16">
        <f t="shared" si="58"/>
        <v>-6.6011249471747635E-2</v>
      </c>
      <c r="R54" s="16">
        <f t="shared" si="58"/>
        <v>0.22573862834010638</v>
      </c>
      <c r="S54" s="16">
        <f t="shared" si="58"/>
        <v>6.5749999999999975E-2</v>
      </c>
      <c r="T54" s="16">
        <f t="shared" si="58"/>
        <v>8.1500000000000128E-2</v>
      </c>
      <c r="U54" s="16">
        <f t="shared" si="58"/>
        <v>8.1500000000000128E-2</v>
      </c>
      <c r="V54" s="16">
        <f t="shared" si="58"/>
        <v>8.1500000000000128E-2</v>
      </c>
      <c r="W54" s="16">
        <f t="shared" si="58"/>
        <v>8.150000000000035E-2</v>
      </c>
      <c r="X54" s="16"/>
      <c r="Y54" s="16"/>
      <c r="Z54" s="16"/>
      <c r="AA54" s="16"/>
      <c r="AB54" s="16"/>
      <c r="AC54" s="16"/>
      <c r="AD54" s="16"/>
      <c r="AE54" s="16"/>
      <c r="AF54" s="16"/>
      <c r="AH54" s="53"/>
      <c r="AI54" s="53"/>
      <c r="AJ54" s="21"/>
      <c r="AK54" s="5"/>
      <c r="AL54" s="5"/>
      <c r="AM54" s="5"/>
    </row>
    <row r="55" spans="2:43">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H55" s="53"/>
      <c r="AI55" s="53"/>
      <c r="AJ55" s="21"/>
      <c r="AK55" s="5"/>
      <c r="AL55" s="5"/>
      <c r="AM55" s="5"/>
    </row>
    <row r="56" spans="2:43">
      <c r="B56" t="s">
        <v>1535</v>
      </c>
      <c r="C56" s="9">
        <f t="shared" ref="C56:Q56" si="59">C44*C34/1000</f>
        <v>755.90800000000002</v>
      </c>
      <c r="D56" s="9">
        <f t="shared" si="59"/>
        <v>921.26473187200008</v>
      </c>
      <c r="E56" s="9">
        <f t="shared" si="59"/>
        <v>879.87199999999996</v>
      </c>
      <c r="F56" s="9">
        <f t="shared" si="59"/>
        <v>973.81774742846585</v>
      </c>
      <c r="G56" s="9">
        <f t="shared" si="59"/>
        <v>1161.9280211584353</v>
      </c>
      <c r="H56" s="9">
        <f t="shared" si="59"/>
        <v>1407.672</v>
      </c>
      <c r="I56" s="9">
        <f t="shared" si="59"/>
        <v>1536.69</v>
      </c>
      <c r="J56" s="9">
        <f t="shared" si="59"/>
        <v>1812.999</v>
      </c>
      <c r="K56" s="9">
        <f t="shared" si="59"/>
        <v>2346.6502799999998</v>
      </c>
      <c r="L56" s="9">
        <f ca="1">L272-L212</f>
        <v>2609.1719390822755</v>
      </c>
      <c r="M56" s="9">
        <f ca="1">M272-M212</f>
        <v>2302.3367831473211</v>
      </c>
      <c r="N56" s="9">
        <f t="shared" si="59"/>
        <v>2129.3570943927934</v>
      </c>
      <c r="O56" s="9">
        <f t="shared" si="59"/>
        <v>2159.3832164462387</v>
      </c>
      <c r="P56" s="9">
        <f t="shared" si="59"/>
        <v>2241.5852172931773</v>
      </c>
      <c r="Q56" s="9">
        <f t="shared" si="59"/>
        <v>2208.2629622339559</v>
      </c>
      <c r="R56" s="9">
        <f t="shared" ref="R56:W56" si="60">R44*R34/1000</f>
        <v>2345.8010462395646</v>
      </c>
      <c r="S56" s="9">
        <f t="shared" si="60"/>
        <v>2457.6645763165166</v>
      </c>
      <c r="T56" s="9">
        <f t="shared" si="60"/>
        <v>2579.6535767283867</v>
      </c>
      <c r="U56" s="9">
        <f t="shared" si="60"/>
        <v>2706.2975144941329</v>
      </c>
      <c r="V56" s="9">
        <f t="shared" si="60"/>
        <v>2837.8297037464022</v>
      </c>
      <c r="W56" s="9">
        <f t="shared" si="60"/>
        <v>2974.5002402398786</v>
      </c>
      <c r="X56" s="9"/>
      <c r="Y56" s="9"/>
      <c r="Z56" s="9"/>
      <c r="AA56" s="9"/>
      <c r="AB56" s="9"/>
      <c r="AC56" s="9"/>
      <c r="AD56" s="9"/>
      <c r="AE56" s="9"/>
      <c r="AF56" s="9"/>
      <c r="AG56" s="16">
        <f ca="1">((L56/F56)^(1/6)-1)</f>
        <v>0.17852147961334186</v>
      </c>
      <c r="AH56" s="53"/>
      <c r="AI56" s="53"/>
      <c r="AJ56" s="21"/>
      <c r="AK56" s="5"/>
      <c r="AL56" s="5"/>
      <c r="AM56" s="5"/>
    </row>
    <row r="57" spans="2:43">
      <c r="B57" t="s">
        <v>1536</v>
      </c>
      <c r="D57" s="16">
        <f t="shared" ref="D57:W57" si="61">D56/C56-1</f>
        <v>0.21875245647883079</v>
      </c>
      <c r="E57" s="16">
        <f t="shared" si="61"/>
        <v>-4.493033374662081E-2</v>
      </c>
      <c r="F57" s="16">
        <f t="shared" si="61"/>
        <v>0.10677206165040576</v>
      </c>
      <c r="G57" s="16">
        <f t="shared" si="61"/>
        <v>0.19316784298366629</v>
      </c>
      <c r="H57" s="16">
        <f t="shared" si="61"/>
        <v>0.21149673161041371</v>
      </c>
      <c r="I57" s="16">
        <f t="shared" si="61"/>
        <v>9.165345336129449E-2</v>
      </c>
      <c r="J57" s="16">
        <f t="shared" si="61"/>
        <v>0.17980789879546299</v>
      </c>
      <c r="K57" s="16">
        <f t="shared" si="61"/>
        <v>0.29434725556936314</v>
      </c>
      <c r="L57" s="16">
        <f t="shared" ca="1" si="61"/>
        <v>0.111870806365862</v>
      </c>
      <c r="M57" s="16">
        <f t="shared" ca="1" si="61"/>
        <v>-0.11759867233697052</v>
      </c>
      <c r="N57" s="16">
        <f t="shared" ca="1" si="61"/>
        <v>-7.5132226536407276E-2</v>
      </c>
      <c r="O57" s="16">
        <f t="shared" si="61"/>
        <v>1.4101027081137696E-2</v>
      </c>
      <c r="P57" s="16">
        <f t="shared" si="61"/>
        <v>3.8067351927566051E-2</v>
      </c>
      <c r="Q57" s="16">
        <f t="shared" si="61"/>
        <v>-1.4865486621766566E-2</v>
      </c>
      <c r="R57" s="16">
        <f t="shared" si="61"/>
        <v>6.2283381262922655E-2</v>
      </c>
      <c r="S57" s="16">
        <f t="shared" si="61"/>
        <v>4.7686708238226183E-2</v>
      </c>
      <c r="T57" s="16">
        <f t="shared" si="61"/>
        <v>4.9636147091603577E-2</v>
      </c>
      <c r="U57" s="16">
        <f t="shared" si="61"/>
        <v>4.9093389479978544E-2</v>
      </c>
      <c r="V57" s="16">
        <f t="shared" si="61"/>
        <v>4.8602265104934483E-2</v>
      </c>
      <c r="W57" s="16">
        <f t="shared" si="61"/>
        <v>4.816023185360585E-2</v>
      </c>
      <c r="X57" s="16"/>
      <c r="Y57" s="16"/>
      <c r="Z57" s="16"/>
      <c r="AA57" s="16"/>
      <c r="AB57" s="16"/>
      <c r="AC57" s="16"/>
      <c r="AD57" s="16"/>
      <c r="AE57" s="16"/>
      <c r="AF57" s="16"/>
      <c r="AH57" s="53"/>
      <c r="AI57" s="53"/>
      <c r="AJ57" s="21"/>
      <c r="AK57" s="5"/>
      <c r="AL57" s="5"/>
      <c r="AM57" s="5"/>
    </row>
    <row r="58" spans="2:43">
      <c r="AH58" s="21"/>
      <c r="AI58" s="21"/>
      <c r="AJ58" s="5"/>
      <c r="AK58" s="21"/>
      <c r="AL58" s="21"/>
      <c r="AM58" s="21"/>
      <c r="AN58" s="21"/>
      <c r="AO58" s="21"/>
      <c r="AP58" s="21"/>
      <c r="AQ58" s="21"/>
    </row>
    <row r="59" spans="2:43">
      <c r="B59" t="s">
        <v>954</v>
      </c>
      <c r="C59" s="9">
        <f>C60*C44</f>
        <v>12.812000000000001</v>
      </c>
      <c r="D59" s="133">
        <f>SUM(Quarts!X303:AA303)</f>
        <v>94.89096459999999</v>
      </c>
      <c r="E59" s="133">
        <f>SUM(Quarts!AC303:AF303)</f>
        <v>63.945560262183974</v>
      </c>
      <c r="F59" s="133">
        <f>SUM(Quarts!AH303:AK303)</f>
        <v>99.475664425466135</v>
      </c>
      <c r="G59" s="133">
        <f>SUM(Quarts!AM303:AP303)</f>
        <v>176.39991436689647</v>
      </c>
      <c r="H59" s="133">
        <f>SUM(Quarts!AR303:AU303)</f>
        <v>215.52759315801597</v>
      </c>
      <c r="I59" s="133">
        <f>SUM(Quarts!AW303:AZ303)</f>
        <v>207.42970016999595</v>
      </c>
      <c r="J59" s="9">
        <f t="shared" ref="J59:Q59" si="62">J60*J44</f>
        <v>236.43600000000001</v>
      </c>
      <c r="K59" s="9">
        <f t="shared" si="62"/>
        <v>302.25299999999999</v>
      </c>
      <c r="L59" s="133">
        <f>SUM('Country quarts'!H107:K107)</f>
        <v>260.40118453270583</v>
      </c>
      <c r="M59" s="9">
        <f t="shared" si="62"/>
        <v>182.96950761337303</v>
      </c>
      <c r="N59" s="9">
        <f t="shared" si="62"/>
        <v>173.17712729727901</v>
      </c>
      <c r="O59" s="9">
        <f t="shared" si="62"/>
        <v>203.436239987227</v>
      </c>
      <c r="P59" s="9">
        <f t="shared" si="62"/>
        <v>215.20857770416055</v>
      </c>
      <c r="Q59" s="9">
        <f t="shared" si="62"/>
        <v>206.15951901357283</v>
      </c>
      <c r="R59" s="9">
        <f t="shared" ref="R59:W59" si="63">R60*R44</f>
        <v>201.78933731093028</v>
      </c>
      <c r="S59" s="9">
        <f t="shared" si="63"/>
        <v>195.26971049710122</v>
      </c>
      <c r="T59" s="9">
        <f t="shared" si="63"/>
        <v>212.25853366459054</v>
      </c>
      <c r="U59" s="9">
        <f t="shared" si="63"/>
        <v>222.94926606285702</v>
      </c>
      <c r="V59" s="9">
        <f t="shared" si="63"/>
        <v>233.85388595168629</v>
      </c>
      <c r="W59" s="9">
        <f t="shared" si="63"/>
        <v>237.97703234853026</v>
      </c>
      <c r="X59" s="9"/>
      <c r="Y59" s="9"/>
      <c r="Z59" s="9"/>
      <c r="AA59" s="9"/>
      <c r="AB59" s="9"/>
      <c r="AC59" s="9"/>
      <c r="AD59" s="9"/>
      <c r="AE59" s="9"/>
      <c r="AF59" s="9"/>
      <c r="AG59" s="16">
        <f>Q59/M59-1</f>
        <v>0.12674249224740697</v>
      </c>
      <c r="AH59" s="21"/>
      <c r="AI59" s="21"/>
      <c r="AJ59" s="5"/>
      <c r="AK59" s="21"/>
      <c r="AL59" s="21"/>
      <c r="AM59" s="21"/>
      <c r="AN59" s="21"/>
      <c r="AO59" s="21"/>
      <c r="AP59" s="21"/>
      <c r="AQ59" s="21"/>
    </row>
    <row r="60" spans="2:43">
      <c r="B60" t="s">
        <v>1434</v>
      </c>
      <c r="C60" s="65">
        <v>0.04</v>
      </c>
      <c r="D60" s="16">
        <f t="shared" ref="D60:I60" si="64">D59/D44</f>
        <v>0.21382957112589235</v>
      </c>
      <c r="E60" s="16">
        <f t="shared" si="64"/>
        <v>0.14273562558523209</v>
      </c>
      <c r="F60" s="16">
        <f t="shared" si="64"/>
        <v>0.22023580189172859</v>
      </c>
      <c r="G60" s="16">
        <f t="shared" si="64"/>
        <v>0.28823515419427526</v>
      </c>
      <c r="H60" s="16">
        <f t="shared" si="64"/>
        <v>0.28508940893917456</v>
      </c>
      <c r="I60" s="16">
        <f t="shared" si="64"/>
        <v>0.24432237946995991</v>
      </c>
      <c r="J60" s="73">
        <v>0.24399999999999999</v>
      </c>
      <c r="K60" s="73">
        <v>0.25900000000000001</v>
      </c>
      <c r="L60" s="16">
        <f>L59/L44</f>
        <v>0.27679070177757487</v>
      </c>
      <c r="M60" s="43">
        <v>0.25</v>
      </c>
      <c r="N60" s="43">
        <v>0.24</v>
      </c>
      <c r="O60" s="43">
        <v>0.27500000000000002</v>
      </c>
      <c r="P60" s="43">
        <v>0.315</v>
      </c>
      <c r="Q60" s="43">
        <v>0.35</v>
      </c>
      <c r="R60" s="43">
        <v>0.32</v>
      </c>
      <c r="S60" s="43">
        <v>0.3</v>
      </c>
      <c r="T60" s="43">
        <v>0.32</v>
      </c>
      <c r="U60" s="43">
        <v>0.33</v>
      </c>
      <c r="V60" s="43">
        <v>0.34</v>
      </c>
      <c r="W60" s="43">
        <v>0.34</v>
      </c>
      <c r="X60" s="43"/>
      <c r="Y60" s="43"/>
      <c r="Z60" s="43"/>
      <c r="AA60" s="43"/>
      <c r="AB60" s="43"/>
      <c r="AC60" s="43"/>
      <c r="AD60" s="43"/>
      <c r="AE60" s="43"/>
      <c r="AF60" s="43"/>
      <c r="AG60" s="43"/>
      <c r="AH60" s="21"/>
      <c r="AI60" s="16"/>
      <c r="AJ60" s="5"/>
      <c r="AK60" s="21"/>
      <c r="AL60" s="21"/>
      <c r="AM60" s="21"/>
      <c r="AN60" s="21"/>
      <c r="AO60" s="21"/>
      <c r="AP60" s="21"/>
      <c r="AQ60" s="21"/>
    </row>
    <row r="61" spans="2:43">
      <c r="AH61" s="21"/>
      <c r="AI61" s="21"/>
      <c r="AJ61" s="5"/>
      <c r="AK61" s="21"/>
      <c r="AL61" s="21"/>
      <c r="AM61" s="21"/>
      <c r="AN61" s="21"/>
      <c r="AO61" s="21"/>
      <c r="AP61" s="21"/>
      <c r="AQ61" s="21"/>
    </row>
    <row r="62" spans="2:43">
      <c r="B62" t="s">
        <v>1545</v>
      </c>
      <c r="C62" s="454">
        <f>D62</f>
        <v>183</v>
      </c>
      <c r="D62" s="133">
        <v>183</v>
      </c>
      <c r="E62" s="133">
        <v>174</v>
      </c>
      <c r="F62" s="9">
        <f>F63*F44</f>
        <v>81.302038282524975</v>
      </c>
      <c r="G62" s="133">
        <v>133</v>
      </c>
      <c r="H62" s="9">
        <f>H63*H44</f>
        <v>151.20000000000002</v>
      </c>
      <c r="I62" s="133">
        <v>170</v>
      </c>
      <c r="J62" s="9">
        <f t="shared" ref="J62:O62" si="65">J63*J44</f>
        <v>222.87</v>
      </c>
      <c r="K62" s="9">
        <f t="shared" si="65"/>
        <v>233.4</v>
      </c>
      <c r="L62" s="133">
        <f ca="1">SUM(Quarts!BL380:BO380)</f>
        <v>159.93384563233377</v>
      </c>
      <c r="M62" s="9">
        <f t="shared" si="65"/>
        <v>124.41926517709366</v>
      </c>
      <c r="N62" s="9">
        <f t="shared" si="65"/>
        <v>115.45141819818602</v>
      </c>
      <c r="O62" s="9">
        <f t="shared" si="65"/>
        <v>110.96522181121472</v>
      </c>
      <c r="P62" s="9">
        <f t="shared" ref="P62:V62" si="66">P63*P44</f>
        <v>102.48027509721931</v>
      </c>
      <c r="Q62" s="9">
        <f t="shared" si="66"/>
        <v>70.683263661796403</v>
      </c>
      <c r="R62" s="9">
        <f t="shared" si="66"/>
        <v>94.588751864498562</v>
      </c>
      <c r="S62" s="9">
        <f t="shared" si="66"/>
        <v>97.634855248550608</v>
      </c>
      <c r="T62" s="9">
        <f t="shared" si="66"/>
        <v>99.496187655276813</v>
      </c>
      <c r="U62" s="9">
        <f t="shared" si="66"/>
        <v>101.34057548311682</v>
      </c>
      <c r="V62" s="9">
        <f t="shared" si="66"/>
        <v>103.17083203750865</v>
      </c>
      <c r="W62" s="9">
        <f t="shared" ref="W62" si="67">W63*W44</f>
        <v>104.98986721258687</v>
      </c>
      <c r="X62" s="9"/>
      <c r="Y62" s="9"/>
      <c r="Z62" s="9"/>
      <c r="AA62" s="9"/>
      <c r="AB62" s="9"/>
      <c r="AC62" s="9"/>
      <c r="AD62" s="9"/>
      <c r="AE62" s="9"/>
      <c r="AF62" s="9"/>
      <c r="AG62" s="16">
        <f>Q62/M62-1</f>
        <v>-0.43189454172399644</v>
      </c>
      <c r="AL62" s="16"/>
    </row>
    <row r="63" spans="2:43">
      <c r="B63" t="s">
        <v>956</v>
      </c>
      <c r="D63" s="449">
        <f>D62/D44</f>
        <v>0.41237658064694505</v>
      </c>
      <c r="E63" s="449">
        <f>E62/E44</f>
        <v>0.38839285714285715</v>
      </c>
      <c r="F63" s="65">
        <v>0.18</v>
      </c>
      <c r="G63" s="449">
        <f>G62/G44</f>
        <v>0.2173202614379085</v>
      </c>
      <c r="H63" s="65">
        <v>0.2</v>
      </c>
      <c r="I63" s="449">
        <f>I62/I44</f>
        <v>0.20023557126030625</v>
      </c>
      <c r="J63" s="65">
        <v>0.23</v>
      </c>
      <c r="K63" s="65">
        <v>0.2</v>
      </c>
      <c r="L63" s="449">
        <f ca="1">L62/L44</f>
        <v>0.17</v>
      </c>
      <c r="M63" s="65">
        <v>0.17</v>
      </c>
      <c r="N63" s="65">
        <v>0.16</v>
      </c>
      <c r="O63" s="65">
        <v>0.15</v>
      </c>
      <c r="P63" s="65">
        <v>0.15</v>
      </c>
      <c r="Q63" s="65">
        <v>0.12</v>
      </c>
      <c r="R63" s="65">
        <v>0.15</v>
      </c>
      <c r="S63" s="65">
        <v>0.15</v>
      </c>
      <c r="T63" s="65">
        <v>0.15</v>
      </c>
      <c r="U63" s="65">
        <v>0.15</v>
      </c>
      <c r="V63" s="65">
        <v>0.15</v>
      </c>
      <c r="W63" s="65">
        <v>0.15</v>
      </c>
      <c r="X63" s="65"/>
      <c r="Y63" s="65"/>
      <c r="Z63" s="65"/>
      <c r="AA63" s="65"/>
      <c r="AB63" s="65"/>
      <c r="AC63" s="65"/>
      <c r="AD63" s="65"/>
      <c r="AE63" s="65"/>
      <c r="AF63" s="65"/>
      <c r="AL63" s="16"/>
    </row>
    <row r="65" spans="2:33">
      <c r="B65" t="s">
        <v>1552</v>
      </c>
      <c r="C65" s="9">
        <f t="shared" ref="C65:O65" si="68">C59-C62</f>
        <v>-170.18799999999999</v>
      </c>
      <c r="D65" s="9">
        <f t="shared" si="68"/>
        <v>-88.10903540000001</v>
      </c>
      <c r="E65" s="9">
        <f t="shared" si="68"/>
        <v>-110.05443973781603</v>
      </c>
      <c r="F65" s="9">
        <f t="shared" si="68"/>
        <v>18.17362614294116</v>
      </c>
      <c r="G65" s="9">
        <f t="shared" si="68"/>
        <v>43.399914366896468</v>
      </c>
      <c r="H65" s="9">
        <f t="shared" si="68"/>
        <v>64.327593158015958</v>
      </c>
      <c r="I65" s="9">
        <f t="shared" si="68"/>
        <v>37.429700169995954</v>
      </c>
      <c r="J65" s="9">
        <f t="shared" si="68"/>
        <v>13.566000000000003</v>
      </c>
      <c r="K65" s="9">
        <f t="shared" si="68"/>
        <v>68.85299999999998</v>
      </c>
      <c r="L65" s="9">
        <f t="shared" ca="1" si="68"/>
        <v>100.46733890037206</v>
      </c>
      <c r="M65" s="9">
        <f>M59-M62</f>
        <v>58.550242436279362</v>
      </c>
      <c r="N65" s="9">
        <f t="shared" si="68"/>
        <v>57.725709099092995</v>
      </c>
      <c r="O65" s="9">
        <f t="shared" si="68"/>
        <v>92.471018176012279</v>
      </c>
      <c r="P65" s="9">
        <f t="shared" ref="P65:U65" si="69">P59-P62</f>
        <v>112.72830260694124</v>
      </c>
      <c r="Q65" s="9">
        <f t="shared" si="69"/>
        <v>135.47625535177644</v>
      </c>
      <c r="R65" s="9">
        <f t="shared" si="69"/>
        <v>107.20058544643172</v>
      </c>
      <c r="S65" s="9">
        <f t="shared" si="69"/>
        <v>97.634855248550608</v>
      </c>
      <c r="T65" s="9">
        <f t="shared" si="69"/>
        <v>112.76234600931373</v>
      </c>
      <c r="U65" s="9">
        <f t="shared" si="69"/>
        <v>121.6086905797402</v>
      </c>
      <c r="V65" s="9">
        <f>V59-V62</f>
        <v>130.68305391417766</v>
      </c>
      <c r="W65" s="9">
        <f>W59-W62</f>
        <v>132.98716513594337</v>
      </c>
      <c r="X65" s="9"/>
      <c r="Y65" s="9"/>
      <c r="Z65" s="9"/>
      <c r="AA65" s="9"/>
      <c r="AB65" s="9"/>
      <c r="AC65" s="9"/>
      <c r="AD65" s="9"/>
      <c r="AE65" s="9"/>
      <c r="AF65" s="9"/>
      <c r="AG65" s="16">
        <f>Q65/M65-1</f>
        <v>1.31384618943664</v>
      </c>
    </row>
    <row r="67" spans="2:33">
      <c r="B67" t="s">
        <v>166</v>
      </c>
      <c r="D67" s="176">
        <v>95</v>
      </c>
      <c r="E67" s="176">
        <v>120</v>
      </c>
      <c r="F67" s="176">
        <v>150</v>
      </c>
      <c r="G67" s="176">
        <v>110</v>
      </c>
      <c r="H67" s="176">
        <v>140</v>
      </c>
      <c r="I67" s="176">
        <v>200</v>
      </c>
      <c r="J67" s="9">
        <f t="shared" ref="J67:O67" si="70">J68*J44</f>
        <v>242.25</v>
      </c>
      <c r="K67" s="9">
        <f t="shared" si="70"/>
        <v>303.42</v>
      </c>
      <c r="L67" s="9">
        <f t="shared" si="70"/>
        <v>263.42045162972624</v>
      </c>
      <c r="M67" s="9">
        <f t="shared" si="70"/>
        <v>190.28828791790795</v>
      </c>
      <c r="N67" s="9">
        <f t="shared" si="70"/>
        <v>173.17712729727901</v>
      </c>
      <c r="O67" s="9">
        <f t="shared" si="70"/>
        <v>147.95362908161962</v>
      </c>
      <c r="P67" s="9">
        <f t="shared" ref="P67:V67" si="71">P68*P44</f>
        <v>109.31229343703393</v>
      </c>
      <c r="Q67" s="9">
        <f t="shared" si="71"/>
        <v>82.463807605429139</v>
      </c>
      <c r="R67" s="9">
        <f t="shared" si="71"/>
        <v>88.282835073531999</v>
      </c>
      <c r="S67" s="9">
        <f t="shared" si="71"/>
        <v>130.17980699806751</v>
      </c>
      <c r="T67" s="9">
        <f t="shared" si="71"/>
        <v>132.66158354036909</v>
      </c>
      <c r="U67" s="9">
        <f t="shared" si="71"/>
        <v>135.12076731082243</v>
      </c>
      <c r="V67" s="9">
        <f t="shared" si="71"/>
        <v>137.56110938334487</v>
      </c>
      <c r="W67" s="9">
        <f t="shared" ref="W67" si="72">W68*W44</f>
        <v>139.98648961678251</v>
      </c>
      <c r="X67" s="9">
        <f>W67</f>
        <v>139.98648961678251</v>
      </c>
      <c r="Y67" s="9">
        <f t="shared" ref="Y67:AF67" si="73">X67</f>
        <v>139.98648961678251</v>
      </c>
      <c r="Z67" s="9">
        <f t="shared" si="73"/>
        <v>139.98648961678251</v>
      </c>
      <c r="AA67" s="9">
        <f t="shared" si="73"/>
        <v>139.98648961678251</v>
      </c>
      <c r="AB67" s="9">
        <f t="shared" si="73"/>
        <v>139.98648961678251</v>
      </c>
      <c r="AC67" s="9">
        <f t="shared" si="73"/>
        <v>139.98648961678251</v>
      </c>
      <c r="AD67" s="9">
        <f t="shared" si="73"/>
        <v>139.98648961678251</v>
      </c>
      <c r="AE67" s="9">
        <f t="shared" si="73"/>
        <v>139.98648961678251</v>
      </c>
      <c r="AF67" s="9">
        <f t="shared" si="73"/>
        <v>139.98648961678251</v>
      </c>
    </row>
    <row r="68" spans="2:33">
      <c r="B68" t="s">
        <v>1431</v>
      </c>
      <c r="D68" s="171">
        <f t="shared" ref="D68:I68" si="74">D67/D44</f>
        <v>0.21407527410633759</v>
      </c>
      <c r="E68" s="171">
        <f t="shared" si="74"/>
        <v>0.26785714285714285</v>
      </c>
      <c r="F68" s="171">
        <f t="shared" si="74"/>
        <v>0.33209499503782264</v>
      </c>
      <c r="G68" s="171">
        <f t="shared" si="74"/>
        <v>0.17973856209150327</v>
      </c>
      <c r="H68" s="171">
        <f t="shared" si="74"/>
        <v>0.18518518518518517</v>
      </c>
      <c r="I68" s="171">
        <f t="shared" si="74"/>
        <v>0.23557126030624265</v>
      </c>
      <c r="J68" s="65">
        <v>0.25</v>
      </c>
      <c r="K68" s="65">
        <v>0.26</v>
      </c>
      <c r="L68" s="65">
        <v>0.28000000000000003</v>
      </c>
      <c r="M68" s="65">
        <v>0.26</v>
      </c>
      <c r="N68" s="65">
        <v>0.24</v>
      </c>
      <c r="O68" s="65">
        <v>0.2</v>
      </c>
      <c r="P68" s="65">
        <v>0.16</v>
      </c>
      <c r="Q68" s="65">
        <v>0.14000000000000001</v>
      </c>
      <c r="R68" s="65">
        <v>0.14000000000000001</v>
      </c>
      <c r="S68" s="65">
        <v>0.2</v>
      </c>
      <c r="T68" s="65">
        <v>0.2</v>
      </c>
      <c r="U68" s="65">
        <v>0.2</v>
      </c>
      <c r="V68" s="65">
        <v>0.2</v>
      </c>
      <c r="W68" s="65">
        <v>0.2</v>
      </c>
      <c r="X68" s="65"/>
      <c r="Y68" s="65"/>
      <c r="Z68" s="65"/>
      <c r="AA68" s="65"/>
      <c r="AB68" s="65"/>
      <c r="AC68" s="65"/>
      <c r="AD68" s="65"/>
      <c r="AE68" s="65"/>
      <c r="AF68" s="65"/>
    </row>
    <row r="70" spans="2:33">
      <c r="B70" t="s">
        <v>392</v>
      </c>
      <c r="D70" s="9">
        <f t="shared" ref="D70:O70" si="75">D59-D67</f>
        <v>-0.10903540000001044</v>
      </c>
      <c r="E70" s="9">
        <f t="shared" si="75"/>
        <v>-56.054439737816026</v>
      </c>
      <c r="F70" s="9">
        <f t="shared" si="75"/>
        <v>-50.524335574533865</v>
      </c>
      <c r="G70" s="9">
        <f t="shared" si="75"/>
        <v>66.399914366896468</v>
      </c>
      <c r="H70" s="9">
        <f t="shared" si="75"/>
        <v>75.527593158015975</v>
      </c>
      <c r="I70" s="9">
        <f t="shared" si="75"/>
        <v>7.4297001699959537</v>
      </c>
      <c r="J70" s="9">
        <f t="shared" si="75"/>
        <v>-5.813999999999993</v>
      </c>
      <c r="K70" s="9">
        <f t="shared" si="75"/>
        <v>-1.16700000000003</v>
      </c>
      <c r="L70" s="9">
        <f>L59-L67</f>
        <v>-3.0192670970204176</v>
      </c>
      <c r="M70" s="9">
        <f t="shared" si="75"/>
        <v>-7.3187803045349256</v>
      </c>
      <c r="N70" s="9">
        <f t="shared" si="75"/>
        <v>0</v>
      </c>
      <c r="O70" s="9">
        <f t="shared" si="75"/>
        <v>55.482610905607373</v>
      </c>
      <c r="P70" s="9">
        <f t="shared" ref="P70:V70" si="76">P59-P67</f>
        <v>105.89628426712662</v>
      </c>
      <c r="Q70" s="9">
        <f t="shared" si="76"/>
        <v>123.69571140814369</v>
      </c>
      <c r="R70" s="9">
        <f t="shared" si="76"/>
        <v>113.50650223739828</v>
      </c>
      <c r="S70" s="9">
        <f t="shared" si="76"/>
        <v>65.08990349903371</v>
      </c>
      <c r="T70" s="9">
        <f t="shared" si="76"/>
        <v>79.596950124221451</v>
      </c>
      <c r="U70" s="9">
        <f t="shared" si="76"/>
        <v>87.828498752034591</v>
      </c>
      <c r="V70" s="9">
        <f t="shared" si="76"/>
        <v>96.292776568341424</v>
      </c>
      <c r="W70" s="9">
        <f t="shared" ref="W70:AF70" si="77">W59-W67</f>
        <v>97.990542731747752</v>
      </c>
      <c r="X70" s="9">
        <f t="shared" si="77"/>
        <v>-139.98648961678251</v>
      </c>
      <c r="Y70" s="9">
        <f t="shared" si="77"/>
        <v>-139.98648961678251</v>
      </c>
      <c r="Z70" s="9">
        <f t="shared" si="77"/>
        <v>-139.98648961678251</v>
      </c>
      <c r="AA70" s="9">
        <f t="shared" si="77"/>
        <v>-139.98648961678251</v>
      </c>
      <c r="AB70" s="9">
        <f t="shared" si="77"/>
        <v>-139.98648961678251</v>
      </c>
      <c r="AC70" s="9">
        <f t="shared" si="77"/>
        <v>-139.98648961678251</v>
      </c>
      <c r="AD70" s="9">
        <f t="shared" si="77"/>
        <v>-139.98648961678251</v>
      </c>
      <c r="AE70" s="9">
        <f t="shared" si="77"/>
        <v>-139.98648961678251</v>
      </c>
      <c r="AF70" s="9">
        <f t="shared" si="77"/>
        <v>-139.98648961678251</v>
      </c>
    </row>
    <row r="72" spans="2:33">
      <c r="B72" s="478" t="s">
        <v>2938</v>
      </c>
      <c r="K72" s="73">
        <v>0.08</v>
      </c>
      <c r="L72" s="73">
        <v>0.1</v>
      </c>
      <c r="M72" s="73">
        <v>0.09</v>
      </c>
      <c r="N72" s="73">
        <v>0.08</v>
      </c>
      <c r="O72" s="73">
        <v>0.08</v>
      </c>
      <c r="P72" s="73">
        <v>0.08</v>
      </c>
      <c r="Q72" s="73">
        <v>0.08</v>
      </c>
      <c r="R72" s="73">
        <v>0.08</v>
      </c>
      <c r="S72" s="73">
        <v>0.12</v>
      </c>
      <c r="T72" s="73">
        <v>0.1</v>
      </c>
      <c r="U72" s="73">
        <v>0.08</v>
      </c>
      <c r="V72" s="73">
        <v>0.08</v>
      </c>
      <c r="W72" s="73">
        <v>0.08</v>
      </c>
      <c r="X72" s="73"/>
      <c r="Y72" s="73"/>
      <c r="Z72" s="73"/>
      <c r="AA72" s="73"/>
      <c r="AB72" s="73"/>
      <c r="AC72" s="73"/>
      <c r="AD72" s="73"/>
      <c r="AE72" s="73"/>
      <c r="AF72" s="73"/>
    </row>
    <row r="73" spans="2:33">
      <c r="B73" t="s">
        <v>1848</v>
      </c>
      <c r="D73" s="9">
        <f>-11%*C81</f>
        <v>-24.75</v>
      </c>
      <c r="E73" s="9">
        <f>-11%*D81</f>
        <v>-37.164493894000003</v>
      </c>
      <c r="F73" s="9">
        <f>-11%*E81</f>
        <v>-53.35857659349977</v>
      </c>
      <c r="G73" s="9">
        <f>-10%*F81</f>
        <v>-52.026291948237464</v>
      </c>
      <c r="H73" s="9">
        <f>-8%*G81</f>
        <v>-42.656110703145067</v>
      </c>
      <c r="I73" s="9">
        <f>-8%*H81</f>
        <v>-32.32</v>
      </c>
      <c r="J73" s="9">
        <f>-8%*I81</f>
        <v>-45.6</v>
      </c>
      <c r="K73" s="9">
        <f t="shared" ref="K73:W73" si="78">-K72*J81</f>
        <v>-44</v>
      </c>
      <c r="L73" s="9">
        <f t="shared" si="78"/>
        <v>-56.900000000000006</v>
      </c>
      <c r="M73" s="9">
        <f t="shared" ca="1" si="78"/>
        <v>-47.288939498966513</v>
      </c>
      <c r="N73" s="9">
        <f t="shared" ca="1" si="78"/>
        <v>-41.989567676220986</v>
      </c>
      <c r="O73" s="9">
        <f t="shared" ca="1" si="78"/>
        <v>-41.926623110529498</v>
      </c>
      <c r="P73" s="9">
        <f t="shared" ca="1" si="78"/>
        <v>-41.740712715621669</v>
      </c>
      <c r="Q73" s="9">
        <f t="shared" ca="1" si="78"/>
        <v>-41.533749041918199</v>
      </c>
      <c r="R73" s="9">
        <f t="shared" ca="1" si="78"/>
        <v>-41.256573371518236</v>
      </c>
      <c r="S73" s="9">
        <f t="shared" ca="1" si="78"/>
        <v>-61.619245856786456</v>
      </c>
      <c r="T73" s="9">
        <f t="shared" ca="1" si="78"/>
        <v>-51.174499486826598</v>
      </c>
      <c r="U73" s="9">
        <f t="shared" ca="1" si="78"/>
        <v>-40.727355144136205</v>
      </c>
      <c r="V73" s="9">
        <f t="shared" ca="1" si="78"/>
        <v>-40.460351174723264</v>
      </c>
      <c r="W73" s="9">
        <f t="shared" ca="1" si="78"/>
        <v>-40.166459274237788</v>
      </c>
      <c r="X73" s="9">
        <f ca="1">W73</f>
        <v>-40.166459274237788</v>
      </c>
      <c r="Y73" s="9">
        <f t="shared" ref="Y73:AF73" ca="1" si="79">X73</f>
        <v>-40.166459274237788</v>
      </c>
      <c r="Z73" s="9">
        <f t="shared" ca="1" si="79"/>
        <v>-40.166459274237788</v>
      </c>
      <c r="AA73" s="9">
        <f t="shared" ca="1" si="79"/>
        <v>-40.166459274237788</v>
      </c>
      <c r="AB73" s="9">
        <f t="shared" ca="1" si="79"/>
        <v>-40.166459274237788</v>
      </c>
      <c r="AC73" s="9">
        <f t="shared" ca="1" si="79"/>
        <v>-40.166459274237788</v>
      </c>
      <c r="AD73" s="9">
        <f t="shared" ca="1" si="79"/>
        <v>-40.166459274237788</v>
      </c>
      <c r="AE73" s="9">
        <f t="shared" ca="1" si="79"/>
        <v>-40.166459274237788</v>
      </c>
      <c r="AF73" s="9">
        <f t="shared" ca="1" si="79"/>
        <v>-40.166459274237788</v>
      </c>
    </row>
    <row r="74" spans="2:33">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row>
    <row r="75" spans="2:33">
      <c r="B75" s="478" t="s">
        <v>2520</v>
      </c>
      <c r="D75" s="9"/>
      <c r="E75" s="9">
        <f t="shared" ref="E75:Q75" si="80">E70+E73</f>
        <v>-93.218933631816029</v>
      </c>
      <c r="F75" s="9">
        <f t="shared" si="80"/>
        <v>-103.88291216803364</v>
      </c>
      <c r="G75" s="9">
        <f t="shared" si="80"/>
        <v>14.373622418659004</v>
      </c>
      <c r="H75" s="9">
        <f t="shared" si="80"/>
        <v>32.871482454870907</v>
      </c>
      <c r="I75" s="9">
        <f t="shared" si="80"/>
        <v>-24.890299830004047</v>
      </c>
      <c r="J75" s="9">
        <f t="shared" si="80"/>
        <v>-51.413999999999994</v>
      </c>
      <c r="K75" s="9">
        <f t="shared" si="80"/>
        <v>-45.16700000000003</v>
      </c>
      <c r="L75" s="9">
        <f t="shared" si="80"/>
        <v>-59.919267097020423</v>
      </c>
      <c r="M75" s="9">
        <f t="shared" ca="1" si="80"/>
        <v>-54.607719803501439</v>
      </c>
      <c r="N75" s="9">
        <f t="shared" ca="1" si="80"/>
        <v>-41.989567676220986</v>
      </c>
      <c r="O75" s="9">
        <f t="shared" ca="1" si="80"/>
        <v>13.555987795077876</v>
      </c>
      <c r="P75" s="9">
        <f t="shared" ca="1" si="80"/>
        <v>64.155571551504949</v>
      </c>
      <c r="Q75" s="9">
        <f t="shared" ca="1" si="80"/>
        <v>82.161962366225495</v>
      </c>
      <c r="R75" s="9">
        <f t="shared" ref="R75:W75" ca="1" si="81">R70+R73</f>
        <v>72.249928865880037</v>
      </c>
      <c r="S75" s="9">
        <f t="shared" ca="1" si="81"/>
        <v>3.4706576422472537</v>
      </c>
      <c r="T75" s="9">
        <f t="shared" ca="1" si="81"/>
        <v>28.422450637394853</v>
      </c>
      <c r="U75" s="9">
        <f t="shared" ca="1" si="81"/>
        <v>47.101143607898386</v>
      </c>
      <c r="V75" s="9">
        <f t="shared" ca="1" si="81"/>
        <v>55.832425393618159</v>
      </c>
      <c r="W75" s="9">
        <f t="shared" ca="1" si="81"/>
        <v>57.824083457509964</v>
      </c>
      <c r="X75" s="9"/>
      <c r="Y75" s="9"/>
      <c r="Z75" s="9"/>
      <c r="AA75" s="9"/>
      <c r="AB75" s="9"/>
      <c r="AC75" s="9"/>
      <c r="AD75" s="9"/>
      <c r="AE75" s="9"/>
      <c r="AF75" s="9"/>
    </row>
    <row r="76" spans="2:33">
      <c r="B76" t="s">
        <v>395</v>
      </c>
      <c r="D76" s="9">
        <f t="shared" ref="D76:Q76" si="82">IF(D75&lt;0, 0, -$C$94*D75)</f>
        <v>0</v>
      </c>
      <c r="E76" s="9">
        <f t="shared" si="82"/>
        <v>0</v>
      </c>
      <c r="F76" s="9">
        <f t="shared" si="82"/>
        <v>0</v>
      </c>
      <c r="G76" s="9">
        <f t="shared" si="82"/>
        <v>-4.3120867255977009</v>
      </c>
      <c r="H76" s="9">
        <f t="shared" si="82"/>
        <v>-9.8614447364612712</v>
      </c>
      <c r="I76" s="9">
        <f t="shared" si="82"/>
        <v>0</v>
      </c>
      <c r="J76" s="9">
        <f t="shared" si="82"/>
        <v>0</v>
      </c>
      <c r="K76" s="9">
        <f t="shared" si="82"/>
        <v>0</v>
      </c>
      <c r="L76" s="9">
        <f t="shared" si="82"/>
        <v>0</v>
      </c>
      <c r="M76" s="9">
        <f t="shared" ca="1" si="82"/>
        <v>0</v>
      </c>
      <c r="N76" s="9">
        <f t="shared" ca="1" si="82"/>
        <v>0</v>
      </c>
      <c r="O76" s="9">
        <f t="shared" ca="1" si="82"/>
        <v>-4.0667963385233623</v>
      </c>
      <c r="P76" s="9">
        <f t="shared" ca="1" si="82"/>
        <v>-19.246671465451485</v>
      </c>
      <c r="Q76" s="9">
        <f t="shared" ca="1" si="82"/>
        <v>-24.648588709867649</v>
      </c>
      <c r="R76" s="9">
        <f t="shared" ref="R76:W76" ca="1" si="83">IF(R75&lt;0, 0, -$C$94*R75)</f>
        <v>-21.674978659764012</v>
      </c>
      <c r="S76" s="9">
        <f t="shared" ca="1" si="83"/>
        <v>-1.0411972926741762</v>
      </c>
      <c r="T76" s="9">
        <f t="shared" ca="1" si="83"/>
        <v>-8.5267351912184548</v>
      </c>
      <c r="U76" s="9">
        <f t="shared" ca="1" si="83"/>
        <v>-14.130343082369516</v>
      </c>
      <c r="V76" s="9">
        <f t="shared" ca="1" si="83"/>
        <v>-16.749727618085448</v>
      </c>
      <c r="W76" s="9">
        <f t="shared" ca="1" si="83"/>
        <v>-17.34722503725299</v>
      </c>
      <c r="X76" s="9"/>
      <c r="Y76" s="9"/>
      <c r="Z76" s="9"/>
      <c r="AA76" s="9"/>
      <c r="AB76" s="9"/>
      <c r="AC76" s="9"/>
      <c r="AD76" s="9"/>
      <c r="AE76" s="9"/>
      <c r="AF76" s="9"/>
    </row>
    <row r="77" spans="2:33">
      <c r="B77" t="s">
        <v>1824</v>
      </c>
      <c r="D77" s="9">
        <f t="shared" ref="D77:Q77" si="84">D70+D73</f>
        <v>-24.85903540000001</v>
      </c>
      <c r="E77" s="9">
        <f t="shared" si="84"/>
        <v>-93.218933631816029</v>
      </c>
      <c r="F77" s="9">
        <f t="shared" si="84"/>
        <v>-103.88291216803364</v>
      </c>
      <c r="G77" s="9">
        <f t="shared" si="84"/>
        <v>14.373622418659004</v>
      </c>
      <c r="H77" s="9">
        <f t="shared" si="84"/>
        <v>32.871482454870907</v>
      </c>
      <c r="I77" s="9">
        <f t="shared" si="84"/>
        <v>-24.890299830004047</v>
      </c>
      <c r="J77" s="9">
        <f t="shared" si="84"/>
        <v>-51.413999999999994</v>
      </c>
      <c r="K77" s="9">
        <f t="shared" si="84"/>
        <v>-45.16700000000003</v>
      </c>
      <c r="L77" s="9">
        <f t="shared" si="84"/>
        <v>-59.919267097020423</v>
      </c>
      <c r="M77" s="9">
        <f t="shared" ca="1" si="84"/>
        <v>-54.607719803501439</v>
      </c>
      <c r="N77" s="9">
        <f t="shared" ca="1" si="84"/>
        <v>-41.989567676220986</v>
      </c>
      <c r="O77" s="9">
        <f t="shared" ca="1" si="84"/>
        <v>13.555987795077876</v>
      </c>
      <c r="P77" s="9">
        <f t="shared" ca="1" si="84"/>
        <v>64.155571551504949</v>
      </c>
      <c r="Q77" s="9">
        <f t="shared" ca="1" si="84"/>
        <v>82.161962366225495</v>
      </c>
      <c r="R77" s="9">
        <f t="shared" ref="R77:AF77" ca="1" si="85">R70+R73</f>
        <v>72.249928865880037</v>
      </c>
      <c r="S77" s="9">
        <f t="shared" ca="1" si="85"/>
        <v>3.4706576422472537</v>
      </c>
      <c r="T77" s="9">
        <f t="shared" ca="1" si="85"/>
        <v>28.422450637394853</v>
      </c>
      <c r="U77" s="9">
        <f t="shared" ca="1" si="85"/>
        <v>47.101143607898386</v>
      </c>
      <c r="V77" s="9">
        <f t="shared" ca="1" si="85"/>
        <v>55.832425393618159</v>
      </c>
      <c r="W77" s="9">
        <f t="shared" ca="1" si="85"/>
        <v>57.824083457509964</v>
      </c>
      <c r="X77" s="9">
        <f t="shared" ca="1" si="85"/>
        <v>-180.15294889102029</v>
      </c>
      <c r="Y77" s="9">
        <f t="shared" ca="1" si="85"/>
        <v>-180.15294889102029</v>
      </c>
      <c r="Z77" s="9">
        <f t="shared" ca="1" si="85"/>
        <v>-180.15294889102029</v>
      </c>
      <c r="AA77" s="9">
        <f t="shared" ca="1" si="85"/>
        <v>-180.15294889102029</v>
      </c>
      <c r="AB77" s="9">
        <f t="shared" ca="1" si="85"/>
        <v>-180.15294889102029</v>
      </c>
      <c r="AC77" s="9">
        <f t="shared" ca="1" si="85"/>
        <v>-180.15294889102029</v>
      </c>
      <c r="AD77" s="9">
        <f t="shared" ca="1" si="85"/>
        <v>-180.15294889102029</v>
      </c>
      <c r="AE77" s="9">
        <f t="shared" ca="1" si="85"/>
        <v>-180.15294889102029</v>
      </c>
      <c r="AF77" s="9">
        <f t="shared" ca="1" si="85"/>
        <v>-180.15294889102029</v>
      </c>
    </row>
    <row r="78" spans="2:33">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row>
    <row r="79" spans="2:33">
      <c r="B79" t="s">
        <v>574</v>
      </c>
      <c r="D79" s="9">
        <f t="shared" ref="D79:Q79" si="86">D65+D73+D76</f>
        <v>-112.85903540000001</v>
      </c>
      <c r="E79" s="9">
        <f t="shared" si="86"/>
        <v>-147.21893363181601</v>
      </c>
      <c r="F79" s="9">
        <f t="shared" si="86"/>
        <v>-35.18495045055861</v>
      </c>
      <c r="G79" s="9">
        <f t="shared" si="86"/>
        <v>-12.938464306938698</v>
      </c>
      <c r="H79" s="9">
        <f t="shared" si="86"/>
        <v>11.810037718409619</v>
      </c>
      <c r="I79" s="9">
        <f t="shared" si="86"/>
        <v>5.1097001699959534</v>
      </c>
      <c r="J79" s="9">
        <f t="shared" si="86"/>
        <v>-32.033999999999999</v>
      </c>
      <c r="K79" s="9">
        <f t="shared" si="86"/>
        <v>24.85299999999998</v>
      </c>
      <c r="L79" s="9">
        <f t="shared" ca="1" si="86"/>
        <v>43.56733890037205</v>
      </c>
      <c r="M79" s="9">
        <f t="shared" ca="1" si="86"/>
        <v>11.261302937312848</v>
      </c>
      <c r="N79" s="9">
        <f t="shared" ca="1" si="86"/>
        <v>15.736141422872009</v>
      </c>
      <c r="O79" s="9">
        <f t="shared" ca="1" si="86"/>
        <v>46.477598726959421</v>
      </c>
      <c r="P79" s="9">
        <f t="shared" ca="1" si="86"/>
        <v>51.740918425868088</v>
      </c>
      <c r="Q79" s="9">
        <f t="shared" ca="1" si="86"/>
        <v>69.293917599990593</v>
      </c>
      <c r="R79" s="9">
        <f t="shared" ref="R79:W79" ca="1" si="87">R65+R73+R76</f>
        <v>44.269033415149465</v>
      </c>
      <c r="S79" s="9">
        <f t="shared" ca="1" si="87"/>
        <v>34.974412099089975</v>
      </c>
      <c r="T79" s="9">
        <f t="shared" ca="1" si="87"/>
        <v>53.061111331268677</v>
      </c>
      <c r="U79" s="9">
        <f t="shared" ca="1" si="87"/>
        <v>66.75099235323448</v>
      </c>
      <c r="V79" s="9">
        <f t="shared" ca="1" si="87"/>
        <v>73.472975121368961</v>
      </c>
      <c r="W79" s="9">
        <f t="shared" ca="1" si="87"/>
        <v>75.473480824452594</v>
      </c>
      <c r="X79" s="9"/>
      <c r="Y79" s="9"/>
      <c r="Z79" s="9"/>
      <c r="AA79" s="9"/>
      <c r="AB79" s="9"/>
      <c r="AC79" s="9"/>
      <c r="AD79" s="9"/>
      <c r="AE79" s="9"/>
      <c r="AF79" s="9"/>
    </row>
    <row r="81" spans="2:32">
      <c r="B81" s="478" t="s">
        <v>3928</v>
      </c>
      <c r="C81">
        <v>225</v>
      </c>
      <c r="D81" s="9">
        <f>C81-D79</f>
        <v>337.85903540000004</v>
      </c>
      <c r="E81" s="9">
        <f>D81-E79</f>
        <v>485.07796903181605</v>
      </c>
      <c r="F81" s="9">
        <f>E81-F79</f>
        <v>520.26291948237463</v>
      </c>
      <c r="G81" s="9">
        <f>F81-G79</f>
        <v>533.20138378931335</v>
      </c>
      <c r="H81" s="133">
        <f>504-100</f>
        <v>404</v>
      </c>
      <c r="I81" s="133">
        <v>570</v>
      </c>
      <c r="J81" s="133">
        <f>650-100</f>
        <v>550</v>
      </c>
      <c r="K81" s="133">
        <f>669-100</f>
        <v>569</v>
      </c>
      <c r="L81" s="9">
        <f t="shared" ref="L81:W81" ca="1" si="88">K81-L79+L85</f>
        <v>525.43266109962792</v>
      </c>
      <c r="M81" s="9">
        <f t="shared" ca="1" si="88"/>
        <v>524.86959595276232</v>
      </c>
      <c r="N81" s="9">
        <f t="shared" ca="1" si="88"/>
        <v>524.08278888161874</v>
      </c>
      <c r="O81" s="9">
        <f t="shared" ca="1" si="88"/>
        <v>521.75890894527083</v>
      </c>
      <c r="P81" s="9">
        <f t="shared" ca="1" si="88"/>
        <v>519.17186302397749</v>
      </c>
      <c r="Q81" s="9">
        <f t="shared" ca="1" si="88"/>
        <v>515.70716714397793</v>
      </c>
      <c r="R81" s="9">
        <f t="shared" ca="1" si="88"/>
        <v>513.4937154732205</v>
      </c>
      <c r="S81" s="9">
        <f t="shared" ca="1" si="88"/>
        <v>511.74499486826596</v>
      </c>
      <c r="T81" s="9">
        <f t="shared" ca="1" si="88"/>
        <v>509.09193930170255</v>
      </c>
      <c r="U81" s="9">
        <f t="shared" ca="1" si="88"/>
        <v>505.7543896840408</v>
      </c>
      <c r="V81" s="9">
        <f t="shared" ca="1" si="88"/>
        <v>502.08074092797233</v>
      </c>
      <c r="W81" s="9">
        <f t="shared" ca="1" si="88"/>
        <v>498.30706688674968</v>
      </c>
      <c r="X81" s="9"/>
      <c r="Y81" s="9"/>
      <c r="Z81" s="9"/>
      <c r="AA81" s="9"/>
      <c r="AB81" s="9"/>
      <c r="AC81" s="9"/>
      <c r="AD81" s="9"/>
      <c r="AE81" s="9"/>
      <c r="AF81" s="9"/>
    </row>
    <row r="82" spans="2:32">
      <c r="B82" s="478" t="s">
        <v>3055</v>
      </c>
      <c r="D82" s="7">
        <f t="shared" ref="D82:Q82" si="89">D81/D59</f>
        <v>3.5604974280132891</v>
      </c>
      <c r="E82" s="7">
        <f t="shared" si="89"/>
        <v>7.5857959026856898</v>
      </c>
      <c r="F82" s="7">
        <f t="shared" si="89"/>
        <v>5.2300522191755814</v>
      </c>
      <c r="G82" s="7">
        <f t="shared" si="89"/>
        <v>3.022685048929791</v>
      </c>
      <c r="H82" s="7">
        <f t="shared" si="89"/>
        <v>1.8744699649840371</v>
      </c>
      <c r="I82" s="7">
        <f t="shared" si="89"/>
        <v>2.747918931246899</v>
      </c>
      <c r="J82" s="7">
        <f t="shared" si="89"/>
        <v>2.3262108985095331</v>
      </c>
      <c r="K82" s="7">
        <f t="shared" si="89"/>
        <v>1.8825288748167925</v>
      </c>
      <c r="L82" s="7">
        <f t="shared" ca="1" si="89"/>
        <v>2.017781378539139</v>
      </c>
      <c r="M82" s="7">
        <f t="shared" ca="1" si="89"/>
        <v>2.8686178522262153</v>
      </c>
      <c r="N82" s="7">
        <f t="shared" ca="1" si="89"/>
        <v>3.026281802111018</v>
      </c>
      <c r="O82" s="7">
        <f t="shared" ca="1" si="89"/>
        <v>2.5647294158505392</v>
      </c>
      <c r="P82" s="7">
        <f t="shared" ca="1" si="89"/>
        <v>2.412412500293851</v>
      </c>
      <c r="Q82" s="7">
        <f t="shared" ca="1" si="89"/>
        <v>2.5014957815749734</v>
      </c>
      <c r="R82" s="7">
        <f t="shared" ref="R82:W82" ca="1" si="90">R81/R59</f>
        <v>2.5447019268515443</v>
      </c>
      <c r="S82" s="7">
        <f t="shared" ca="1" si="90"/>
        <v>2.620708524458343</v>
      </c>
      <c r="T82" s="7">
        <f t="shared" ca="1" si="90"/>
        <v>2.3984521635590212</v>
      </c>
      <c r="U82" s="7">
        <f t="shared" ca="1" si="90"/>
        <v>2.2684729966388466</v>
      </c>
      <c r="V82" s="7">
        <f t="shared" ca="1" si="90"/>
        <v>2.1469848101292666</v>
      </c>
      <c r="W82" s="7">
        <f t="shared" ca="1" si="90"/>
        <v>2.0939292416965349</v>
      </c>
      <c r="X82" s="7"/>
      <c r="Y82" s="7"/>
      <c r="Z82" s="7"/>
      <c r="AA82" s="7"/>
      <c r="AB82" s="7"/>
      <c r="AC82" s="7"/>
      <c r="AD82" s="7"/>
      <c r="AE82" s="7"/>
      <c r="AF82" s="7"/>
    </row>
    <row r="83" spans="2:32">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row>
    <row r="84" spans="2:32">
      <c r="B84" s="478" t="s">
        <v>3879</v>
      </c>
      <c r="D84" s="73">
        <v>0</v>
      </c>
      <c r="E84" s="73">
        <v>0</v>
      </c>
      <c r="F84" s="73">
        <v>0</v>
      </c>
      <c r="G84" s="73">
        <v>0</v>
      </c>
      <c r="H84" s="73">
        <v>0</v>
      </c>
      <c r="I84" s="73">
        <v>0</v>
      </c>
      <c r="J84" s="73">
        <v>0</v>
      </c>
      <c r="K84" s="73">
        <v>0</v>
      </c>
      <c r="L84" s="73">
        <v>0</v>
      </c>
      <c r="M84" s="73">
        <v>0.95</v>
      </c>
      <c r="N84" s="73">
        <v>0.95</v>
      </c>
      <c r="O84" s="73">
        <v>0.95</v>
      </c>
      <c r="P84" s="73">
        <v>0.95</v>
      </c>
      <c r="Q84" s="73">
        <v>0.95</v>
      </c>
      <c r="R84" s="73">
        <v>0.95</v>
      </c>
      <c r="S84" s="73">
        <v>0.95</v>
      </c>
      <c r="T84" s="73">
        <v>0.95</v>
      </c>
      <c r="U84" s="73">
        <v>0.95</v>
      </c>
      <c r="V84" s="73">
        <v>0.95</v>
      </c>
      <c r="W84" s="73">
        <v>0.95</v>
      </c>
      <c r="X84" s="73"/>
      <c r="Y84" s="73"/>
      <c r="Z84" s="73"/>
      <c r="AA84" s="73"/>
      <c r="AB84" s="73"/>
      <c r="AC84" s="73"/>
      <c r="AD84" s="73"/>
      <c r="AE84" s="73"/>
      <c r="AF84" s="73"/>
    </row>
    <row r="85" spans="2:32">
      <c r="B85" s="478" t="s">
        <v>3365</v>
      </c>
      <c r="D85" s="9">
        <f t="shared" ref="D85:Q85" si="91">IF(D79&lt;0,0,D84*D79)</f>
        <v>0</v>
      </c>
      <c r="E85" s="9">
        <f t="shared" si="91"/>
        <v>0</v>
      </c>
      <c r="F85" s="9">
        <f t="shared" si="91"/>
        <v>0</v>
      </c>
      <c r="G85" s="9">
        <f t="shared" si="91"/>
        <v>0</v>
      </c>
      <c r="H85" s="9">
        <f t="shared" si="91"/>
        <v>0</v>
      </c>
      <c r="I85" s="9">
        <f t="shared" si="91"/>
        <v>0</v>
      </c>
      <c r="J85" s="9">
        <f t="shared" si="91"/>
        <v>0</v>
      </c>
      <c r="K85" s="9">
        <f t="shared" si="91"/>
        <v>0</v>
      </c>
      <c r="L85" s="9">
        <f t="shared" ca="1" si="91"/>
        <v>0</v>
      </c>
      <c r="M85" s="9">
        <f t="shared" ca="1" si="91"/>
        <v>10.698237790447205</v>
      </c>
      <c r="N85" s="9">
        <f t="shared" ca="1" si="91"/>
        <v>14.949334351728409</v>
      </c>
      <c r="O85" s="9">
        <f t="shared" ca="1" si="91"/>
        <v>44.15371879061145</v>
      </c>
      <c r="P85" s="9">
        <f t="shared" ca="1" si="91"/>
        <v>49.153872504574679</v>
      </c>
      <c r="Q85" s="9">
        <f t="shared" ca="1" si="91"/>
        <v>65.829221719991054</v>
      </c>
      <c r="R85" s="9">
        <f t="shared" ref="R85:W85" ca="1" si="92">IF(R79&lt;0,0,R84*R79)</f>
        <v>42.055581744391993</v>
      </c>
      <c r="S85" s="9">
        <f t="shared" ca="1" si="92"/>
        <v>33.225691494135475</v>
      </c>
      <c r="T85" s="9">
        <f t="shared" ca="1" si="92"/>
        <v>50.408055764705239</v>
      </c>
      <c r="U85" s="9">
        <f t="shared" ca="1" si="92"/>
        <v>63.413442735572751</v>
      </c>
      <c r="V85" s="9">
        <f t="shared" ca="1" si="92"/>
        <v>69.799326365300516</v>
      </c>
      <c r="W85" s="9">
        <f t="shared" ca="1" si="92"/>
        <v>71.69980678322996</v>
      </c>
      <c r="X85" s="9"/>
      <c r="Y85" s="9"/>
      <c r="Z85" s="9"/>
      <c r="AA85" s="9"/>
      <c r="AB85" s="9"/>
      <c r="AC85" s="9"/>
      <c r="AD85" s="9"/>
      <c r="AE85" s="9"/>
      <c r="AF85" s="9"/>
    </row>
    <row r="86" spans="2:32">
      <c r="B86" s="478" t="s">
        <v>3367</v>
      </c>
      <c r="D86" s="9" t="e">
        <f>(1-SOP!#REF!)*D85</f>
        <v>#REF!</v>
      </c>
      <c r="E86" s="9" t="e">
        <f>(1-SOP!#REF!)*E85</f>
        <v>#REF!</v>
      </c>
      <c r="F86" s="9" t="e">
        <f>(1-SOP!#REF!)*F85</f>
        <v>#REF!</v>
      </c>
      <c r="G86" s="9" t="e">
        <f>(1-SOP!#REF!)*G85</f>
        <v>#REF!</v>
      </c>
      <c r="H86" s="9" t="e">
        <f>(1-SOP!#REF!)*H85</f>
        <v>#REF!</v>
      </c>
      <c r="I86" s="9" t="e">
        <f>(1-SOP!#REF!)*I85</f>
        <v>#REF!</v>
      </c>
      <c r="J86" s="9" t="e">
        <f>(1-SOP!#REF!)*J85</f>
        <v>#REF!</v>
      </c>
      <c r="K86" s="9" t="e">
        <f>(1-SOP!#REF!)*K85</f>
        <v>#REF!</v>
      </c>
      <c r="L86" s="9" t="e">
        <f ca="1">(1-SOP!#REF!)*L85</f>
        <v>#REF!</v>
      </c>
      <c r="M86" s="9" t="e">
        <f ca="1">(1-SOP!#REF!)*M85</f>
        <v>#REF!</v>
      </c>
      <c r="N86" s="9" t="e">
        <f ca="1">(1-SOP!#REF!)*N85</f>
        <v>#REF!</v>
      </c>
      <c r="O86" s="9" t="e">
        <f ca="1">(1-SOP!#REF!)*O85</f>
        <v>#REF!</v>
      </c>
      <c r="P86" s="9" t="e">
        <f ca="1">(1-SOP!#REF!)*P85</f>
        <v>#REF!</v>
      </c>
      <c r="Q86" s="9" t="e">
        <f ca="1">(1-SOP!#REF!)*Q85</f>
        <v>#REF!</v>
      </c>
      <c r="R86" s="9" t="e">
        <f ca="1">(1-SOP!#REF!)*R85</f>
        <v>#REF!</v>
      </c>
      <c r="S86" s="9" t="e">
        <f ca="1">(1-SOP!#REF!)*S85</f>
        <v>#REF!</v>
      </c>
      <c r="T86" s="9" t="e">
        <f ca="1">(1-SOP!#REF!)*T85</f>
        <v>#REF!</v>
      </c>
      <c r="U86" s="9" t="e">
        <f ca="1">(1-SOP!#REF!)*U85</f>
        <v>#REF!</v>
      </c>
      <c r="V86" s="9" t="e">
        <f ca="1">(1-SOP!#REF!)*V85</f>
        <v>#REF!</v>
      </c>
      <c r="W86" s="9" t="e">
        <f ca="1">(1-SOP!#REF!)*W85</f>
        <v>#REF!</v>
      </c>
      <c r="X86" s="9"/>
      <c r="Y86" s="9"/>
      <c r="Z86" s="9"/>
      <c r="AA86" s="9"/>
      <c r="AB86" s="9"/>
      <c r="AC86" s="9"/>
      <c r="AD86" s="9"/>
      <c r="AE86" s="9"/>
      <c r="AF86" s="9"/>
    </row>
    <row r="87" spans="2:32">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row>
    <row r="88" spans="2:32">
      <c r="B88" s="478" t="s">
        <v>2519</v>
      </c>
      <c r="D88" s="9"/>
      <c r="E88" s="9"/>
      <c r="F88" s="9"/>
      <c r="G88" s="9"/>
      <c r="H88" s="9">
        <f>H89/$C$94</f>
        <v>770</v>
      </c>
      <c r="I88" s="9">
        <f>H88-I75</f>
        <v>794.8902998300041</v>
      </c>
      <c r="J88" s="9">
        <f>I88-J75</f>
        <v>846.30429983000408</v>
      </c>
      <c r="K88" s="9">
        <f>J88-K75</f>
        <v>891.47129983000411</v>
      </c>
      <c r="L88" s="9">
        <v>0</v>
      </c>
      <c r="M88" s="9">
        <v>0</v>
      </c>
      <c r="N88" s="9">
        <v>0</v>
      </c>
      <c r="O88" s="9">
        <v>0</v>
      </c>
      <c r="P88" s="9">
        <v>0</v>
      </c>
      <c r="Q88" s="9">
        <v>0</v>
      </c>
      <c r="R88" s="9">
        <v>0</v>
      </c>
      <c r="S88" s="9">
        <v>0</v>
      </c>
      <c r="T88" s="9">
        <v>0</v>
      </c>
      <c r="U88" s="9">
        <v>0</v>
      </c>
      <c r="V88" s="9">
        <v>0</v>
      </c>
      <c r="W88" s="9">
        <v>0</v>
      </c>
      <c r="X88" s="9"/>
      <c r="Y88" s="9"/>
      <c r="Z88" s="9"/>
      <c r="AA88" s="9"/>
      <c r="AB88" s="9"/>
      <c r="AC88" s="9"/>
      <c r="AD88" s="9"/>
      <c r="AE88" s="9"/>
      <c r="AF88" s="9"/>
    </row>
    <row r="89" spans="2:32">
      <c r="B89" s="478" t="s">
        <v>2518</v>
      </c>
      <c r="D89" s="9"/>
      <c r="E89" s="9"/>
      <c r="F89" s="9"/>
      <c r="G89" s="9"/>
      <c r="H89" s="133">
        <v>231</v>
      </c>
      <c r="I89" s="9">
        <f t="shared" ref="I89:O89" si="93">I88*$C$94</f>
        <v>238.46708994900121</v>
      </c>
      <c r="J89" s="9">
        <f t="shared" si="93"/>
        <v>253.89128994900122</v>
      </c>
      <c r="K89" s="9">
        <f t="shared" si="93"/>
        <v>267.44138994900123</v>
      </c>
      <c r="L89" s="9">
        <f t="shared" si="93"/>
        <v>0</v>
      </c>
      <c r="M89" s="9">
        <f t="shared" si="93"/>
        <v>0</v>
      </c>
      <c r="N89" s="9">
        <f t="shared" si="93"/>
        <v>0</v>
      </c>
      <c r="O89" s="9">
        <f t="shared" si="93"/>
        <v>0</v>
      </c>
      <c r="P89" s="9">
        <f t="shared" ref="P89:V89" si="94">P88*$C$94</f>
        <v>0</v>
      </c>
      <c r="Q89" s="9">
        <f t="shared" si="94"/>
        <v>0</v>
      </c>
      <c r="R89" s="9">
        <f t="shared" si="94"/>
        <v>0</v>
      </c>
      <c r="S89" s="9">
        <f t="shared" si="94"/>
        <v>0</v>
      </c>
      <c r="T89" s="9">
        <f t="shared" si="94"/>
        <v>0</v>
      </c>
      <c r="U89" s="9">
        <f t="shared" si="94"/>
        <v>0</v>
      </c>
      <c r="V89" s="9">
        <f t="shared" si="94"/>
        <v>0</v>
      </c>
      <c r="W89" s="9">
        <f t="shared" ref="W89" si="95">W88*$C$94</f>
        <v>0</v>
      </c>
      <c r="X89" s="9"/>
      <c r="Y89" s="9"/>
      <c r="Z89" s="9"/>
      <c r="AA89" s="9"/>
      <c r="AB89" s="9"/>
      <c r="AC89" s="9"/>
      <c r="AD89" s="9"/>
      <c r="AE89" s="9"/>
      <c r="AF89" s="9"/>
    </row>
    <row r="90" spans="2:32">
      <c r="B90" s="478" t="s">
        <v>2530</v>
      </c>
      <c r="D90" s="9"/>
      <c r="E90" s="9"/>
      <c r="F90" s="29"/>
      <c r="G90" s="29">
        <f>(G70*(1-0.3))/(SUM(C62:G62))</f>
        <v>6.1619799096205526E-2</v>
      </c>
      <c r="H90" s="29">
        <f>(H70*(1-0.3))/(SUM(D62:H62))</f>
        <v>7.3175316344142011E-2</v>
      </c>
      <c r="I90" s="29">
        <f>(I70*(1-0.3))/(SUM(E62:I62))</f>
        <v>7.3301975729155042E-3</v>
      </c>
      <c r="J90" s="29">
        <f>(J70*(1-0.3))/(SUM(F62:J62))</f>
        <v>-5.3664953275661589E-3</v>
      </c>
      <c r="K90" s="29"/>
      <c r="L90" s="29"/>
      <c r="M90" s="29"/>
      <c r="N90" s="29"/>
      <c r="O90" s="29"/>
      <c r="P90" s="29"/>
      <c r="Q90" s="29"/>
      <c r="R90" s="29"/>
      <c r="S90" s="29"/>
      <c r="T90" s="29"/>
      <c r="U90" s="29"/>
      <c r="V90" s="29"/>
      <c r="W90" s="29"/>
      <c r="X90" s="29"/>
      <c r="Y90" s="29"/>
      <c r="Z90" s="29"/>
      <c r="AA90" s="29"/>
      <c r="AB90" s="29"/>
      <c r="AC90" s="29"/>
      <c r="AD90" s="29"/>
      <c r="AE90" s="29"/>
      <c r="AF90" s="29"/>
    </row>
    <row r="91" spans="2:32">
      <c r="B91" s="478"/>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row>
    <row r="92" spans="2:32">
      <c r="B92" t="s">
        <v>1938</v>
      </c>
      <c r="C92" s="5">
        <f>SOP!O232</f>
        <v>8.4269999999999998E-2</v>
      </c>
    </row>
    <row r="93" spans="2:32">
      <c r="B93" t="s">
        <v>246</v>
      </c>
      <c r="C93" s="16">
        <v>1.4999999999999999E-2</v>
      </c>
    </row>
    <row r="94" spans="2:32">
      <c r="B94" s="163" t="s">
        <v>395</v>
      </c>
      <c r="C94" s="16">
        <v>0.3</v>
      </c>
    </row>
    <row r="95" spans="2:32">
      <c r="B95" s="163"/>
      <c r="C95" s="16"/>
    </row>
    <row r="96" spans="2:32">
      <c r="B96" s="11" t="s">
        <v>957</v>
      </c>
      <c r="C96" s="11">
        <v>-15</v>
      </c>
      <c r="D96" s="11">
        <f t="shared" ref="D96:W96" si="96">C96+1</f>
        <v>-14</v>
      </c>
      <c r="E96" s="11">
        <f t="shared" si="96"/>
        <v>-13</v>
      </c>
      <c r="F96" s="11">
        <f t="shared" si="96"/>
        <v>-12</v>
      </c>
      <c r="G96" s="11">
        <f t="shared" si="96"/>
        <v>-11</v>
      </c>
      <c r="H96" s="11">
        <f t="shared" si="96"/>
        <v>-10</v>
      </c>
      <c r="I96" s="11">
        <f t="shared" si="96"/>
        <v>-9</v>
      </c>
      <c r="J96" s="11">
        <f t="shared" si="96"/>
        <v>-8</v>
      </c>
      <c r="K96" s="11">
        <f t="shared" si="96"/>
        <v>-7</v>
      </c>
      <c r="L96" s="11">
        <f t="shared" si="96"/>
        <v>-6</v>
      </c>
      <c r="M96" s="11">
        <f t="shared" si="96"/>
        <v>-5</v>
      </c>
      <c r="N96" s="11">
        <f t="shared" si="96"/>
        <v>-4</v>
      </c>
      <c r="O96" s="11">
        <f t="shared" si="96"/>
        <v>-3</v>
      </c>
      <c r="P96" s="11">
        <f t="shared" si="96"/>
        <v>-2</v>
      </c>
      <c r="Q96" s="11">
        <f t="shared" si="96"/>
        <v>-1</v>
      </c>
      <c r="R96" s="11">
        <f t="shared" si="96"/>
        <v>0</v>
      </c>
      <c r="S96" s="11">
        <f t="shared" si="96"/>
        <v>1</v>
      </c>
      <c r="T96" s="11">
        <f t="shared" si="96"/>
        <v>2</v>
      </c>
      <c r="U96" s="11">
        <f t="shared" si="96"/>
        <v>3</v>
      </c>
      <c r="V96" s="11">
        <f t="shared" si="96"/>
        <v>4</v>
      </c>
      <c r="W96" s="11">
        <f t="shared" si="96"/>
        <v>5</v>
      </c>
      <c r="X96" s="21"/>
      <c r="Y96" s="21"/>
      <c r="Z96" s="21"/>
      <c r="AA96" s="21"/>
      <c r="AB96" s="21"/>
      <c r="AC96" s="21"/>
      <c r="AD96" s="21"/>
      <c r="AE96" s="21"/>
      <c r="AF96" s="21"/>
    </row>
    <row r="97" spans="2:32">
      <c r="B97" s="21" t="s">
        <v>1936</v>
      </c>
      <c r="C97" s="21"/>
      <c r="D97" s="9">
        <f>D65*(1-$C$94)</f>
        <v>-61.676324780000002</v>
      </c>
      <c r="E97" s="9">
        <f t="shared" ref="E97:Q97" si="97">E65*(1-$C$94)</f>
        <v>-77.038107816471211</v>
      </c>
      <c r="F97" s="9">
        <f t="shared" si="97"/>
        <v>12.72153830005881</v>
      </c>
      <c r="G97" s="9">
        <f t="shared" si="97"/>
        <v>30.379940056827525</v>
      </c>
      <c r="H97" s="9">
        <f t="shared" si="97"/>
        <v>45.029315210611166</v>
      </c>
      <c r="I97" s="9">
        <f t="shared" si="97"/>
        <v>26.200790118997165</v>
      </c>
      <c r="J97" s="9">
        <f t="shared" si="97"/>
        <v>9.4962000000000018</v>
      </c>
      <c r="K97" s="9">
        <f t="shared" si="97"/>
        <v>48.197099999999985</v>
      </c>
      <c r="L97" s="9">
        <f t="shared" ca="1" si="97"/>
        <v>70.327137230260433</v>
      </c>
      <c r="M97" s="9">
        <f t="shared" si="97"/>
        <v>40.985169705395549</v>
      </c>
      <c r="N97" s="9">
        <f t="shared" si="97"/>
        <v>40.407996369365094</v>
      </c>
      <c r="O97" s="9">
        <f t="shared" si="97"/>
        <v>64.729712723208593</v>
      </c>
      <c r="P97" s="9">
        <f t="shared" si="97"/>
        <v>78.909811824858863</v>
      </c>
      <c r="Q97" s="9">
        <f t="shared" si="97"/>
        <v>94.833378746243511</v>
      </c>
      <c r="R97" s="9">
        <f t="shared" ref="R97:W97" si="98">R65*(1-$C$94)</f>
        <v>75.04040981250219</v>
      </c>
      <c r="S97" s="9">
        <f t="shared" si="98"/>
        <v>68.344398673985424</v>
      </c>
      <c r="T97" s="9">
        <f t="shared" si="98"/>
        <v>78.933642206519607</v>
      </c>
      <c r="U97" s="9">
        <f t="shared" si="98"/>
        <v>85.126083405818136</v>
      </c>
      <c r="V97" s="9">
        <f t="shared" si="98"/>
        <v>91.478137739924364</v>
      </c>
      <c r="W97" s="9">
        <f t="shared" si="98"/>
        <v>93.091015595160357</v>
      </c>
      <c r="X97" s="9"/>
      <c r="Y97" s="9"/>
      <c r="Z97" s="9"/>
      <c r="AA97" s="9"/>
      <c r="AB97" s="9"/>
      <c r="AC97" s="9"/>
      <c r="AD97" s="9"/>
      <c r="AE97" s="9"/>
      <c r="AF97" s="9"/>
    </row>
    <row r="98" spans="2:32">
      <c r="B98" s="21" t="s">
        <v>1937</v>
      </c>
      <c r="C98" s="21"/>
      <c r="D98" s="172">
        <f>1/((1+$C$92)^D96)</f>
        <v>3.104017663639024</v>
      </c>
      <c r="E98" s="172">
        <f t="shared" ref="E98:O98" si="99">1/((1+$C$92)^E96)</f>
        <v>2.8627718775203812</v>
      </c>
      <c r="F98" s="172">
        <f t="shared" si="99"/>
        <v>2.6402758330677609</v>
      </c>
      <c r="G98" s="172">
        <f t="shared" si="99"/>
        <v>2.4350722910970153</v>
      </c>
      <c r="H98" s="172">
        <f t="shared" si="99"/>
        <v>2.2458172697732253</v>
      </c>
      <c r="I98" s="172">
        <f t="shared" si="99"/>
        <v>2.0712712421935726</v>
      </c>
      <c r="J98" s="172">
        <f t="shared" si="99"/>
        <v>1.9102910180984189</v>
      </c>
      <c r="K98" s="172">
        <f t="shared" si="99"/>
        <v>1.7618222565398087</v>
      </c>
      <c r="L98" s="172">
        <f t="shared" si="99"/>
        <v>1.6248925604690794</v>
      </c>
      <c r="M98" s="172">
        <f t="shared" si="99"/>
        <v>1.4986051080165266</v>
      </c>
      <c r="N98" s="172">
        <f t="shared" si="99"/>
        <v>1.3821327787511657</v>
      </c>
      <c r="O98" s="172">
        <f t="shared" si="99"/>
        <v>1.2747127364504833</v>
      </c>
      <c r="P98" s="172">
        <f t="shared" ref="P98:V98" si="100">1/((1+$C$92)^P96)</f>
        <v>1.1756414329000002</v>
      </c>
      <c r="Q98" s="172">
        <f t="shared" si="100"/>
        <v>1.0842700000000001</v>
      </c>
      <c r="R98" s="172">
        <f t="shared" si="100"/>
        <v>1</v>
      </c>
      <c r="S98" s="172">
        <f t="shared" si="100"/>
        <v>0.92227950602709652</v>
      </c>
      <c r="T98" s="172">
        <f t="shared" si="100"/>
        <v>0.85059948723758505</v>
      </c>
      <c r="U98" s="172">
        <f t="shared" si="100"/>
        <v>0.78449047491638157</v>
      </c>
      <c r="V98" s="172">
        <f t="shared" si="100"/>
        <v>0.72351948768884267</v>
      </c>
      <c r="W98" s="172">
        <f t="shared" ref="W98" si="101">1/((1+$C$92)^W96)</f>
        <v>0.66728719570664374</v>
      </c>
      <c r="X98" s="172"/>
      <c r="Y98" s="172"/>
      <c r="Z98" s="172"/>
      <c r="AA98" s="172"/>
      <c r="AB98" s="172"/>
      <c r="AC98" s="172"/>
      <c r="AD98" s="172"/>
      <c r="AE98" s="172"/>
      <c r="AF98" s="172"/>
    </row>
    <row r="99" spans="2:32">
      <c r="B99" s="21" t="s">
        <v>958</v>
      </c>
      <c r="C99" s="21"/>
      <c r="D99" s="9">
        <f t="shared" ref="D99:O99" si="102">D97*D98</f>
        <v>-191.44440154545725</v>
      </c>
      <c r="E99" s="9">
        <f t="shared" si="102"/>
        <v>-220.54252855437684</v>
      </c>
      <c r="F99" s="9">
        <f t="shared" si="102"/>
        <v>33.588370133091203</v>
      </c>
      <c r="G99" s="9">
        <f t="shared" si="102"/>
        <v>73.977350237568984</v>
      </c>
      <c r="H99" s="9">
        <f t="shared" si="102"/>
        <v>101.12761374605273</v>
      </c>
      <c r="I99" s="9">
        <f t="shared" si="102"/>
        <v>54.268943096228341</v>
      </c>
      <c r="J99" s="9">
        <f t="shared" si="102"/>
        <v>18.14050556606621</v>
      </c>
      <c r="K99" s="9">
        <f t="shared" si="102"/>
        <v>84.914723480674795</v>
      </c>
      <c r="L99" s="9">
        <f t="shared" ca="1" si="102"/>
        <v>114.27404208453819</v>
      </c>
      <c r="M99" s="9">
        <f t="shared" si="102"/>
        <v>61.420584673429971</v>
      </c>
      <c r="N99" s="9">
        <f t="shared" si="102"/>
        <v>55.849216305757594</v>
      </c>
      <c r="O99" s="9">
        <f t="shared" si="102"/>
        <v>82.511789235054891</v>
      </c>
      <c r="P99" s="9">
        <f t="shared" ref="P99:V99" si="103">P97*P98</f>
        <v>92.769644243646454</v>
      </c>
      <c r="Q99" s="9">
        <f>Q97*Q98</f>
        <v>102.82498757318946</v>
      </c>
      <c r="R99" s="9">
        <f t="shared" si="103"/>
        <v>75.04040981250219</v>
      </c>
      <c r="S99" s="9">
        <f t="shared" si="103"/>
        <v>63.032638248762225</v>
      </c>
      <c r="T99" s="9">
        <f t="shared" si="103"/>
        <v>67.140915586660583</v>
      </c>
      <c r="U99" s="9">
        <f t="shared" si="103"/>
        <v>66.78060159880178</v>
      </c>
      <c r="V99" s="9">
        <f t="shared" si="103"/>
        <v>66.186215352319465</v>
      </c>
      <c r="W99" s="9">
        <f t="shared" ref="W99" si="104">W97*W98</f>
        <v>62.118442741977994</v>
      </c>
      <c r="X99" s="9"/>
      <c r="Y99" s="9"/>
      <c r="Z99" s="9"/>
      <c r="AA99" s="9"/>
      <c r="AB99" s="9"/>
      <c r="AC99" s="9"/>
      <c r="AD99" s="9"/>
      <c r="AE99" s="9"/>
      <c r="AF99" s="9"/>
    </row>
    <row r="100" spans="2:32">
      <c r="B100" s="21" t="s">
        <v>1604</v>
      </c>
      <c r="C100" s="21"/>
      <c r="D100" s="9">
        <f>SUM(S99:V99)</f>
        <v>263.14037078654405</v>
      </c>
      <c r="E100" s="21"/>
      <c r="F100" s="21" t="s">
        <v>1823</v>
      </c>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2:32">
      <c r="B101" s="21" t="s">
        <v>242</v>
      </c>
      <c r="C101" s="21"/>
      <c r="D101" s="9">
        <f>1/(C92-C93)</f>
        <v>14.436263894904</v>
      </c>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2:32">
      <c r="B102" s="21" t="s">
        <v>243</v>
      </c>
      <c r="C102" s="21"/>
      <c r="D102" s="9">
        <f>D101*V97</f>
        <v>1320.6025370279251</v>
      </c>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2:32">
      <c r="B103" s="21" t="s">
        <v>244</v>
      </c>
      <c r="C103" s="21"/>
      <c r="D103" s="9">
        <f>D102*V98</f>
        <v>955.48167103103026</v>
      </c>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2:32">
      <c r="B104" s="4" t="s">
        <v>2516</v>
      </c>
      <c r="C104" s="21"/>
      <c r="D104" s="517">
        <v>0</v>
      </c>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2:32">
      <c r="B105" s="2" t="s">
        <v>245</v>
      </c>
      <c r="C105" s="21"/>
      <c r="D105" s="10">
        <f>D100+D103+D104</f>
        <v>1218.6220418175744</v>
      </c>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7" spans="2:32">
      <c r="B107" s="681" t="s">
        <v>2964</v>
      </c>
      <c r="C107" s="681">
        <f t="shared" ref="C107:Q107" si="105">C2</f>
        <v>2006</v>
      </c>
      <c r="D107" s="681">
        <f t="shared" si="105"/>
        <v>2007</v>
      </c>
      <c r="E107" s="681">
        <f t="shared" si="105"/>
        <v>2008</v>
      </c>
      <c r="F107" s="681">
        <f t="shared" si="105"/>
        <v>2009</v>
      </c>
      <c r="G107" s="681">
        <f t="shared" si="105"/>
        <v>2010</v>
      </c>
      <c r="H107" s="681">
        <f t="shared" si="105"/>
        <v>2011</v>
      </c>
      <c r="I107" s="681">
        <f t="shared" si="105"/>
        <v>2012</v>
      </c>
      <c r="J107" s="681">
        <f t="shared" si="105"/>
        <v>2013</v>
      </c>
      <c r="K107" s="681">
        <f t="shared" si="105"/>
        <v>2014</v>
      </c>
      <c r="L107" s="681">
        <f t="shared" si="105"/>
        <v>2015</v>
      </c>
      <c r="M107" s="681">
        <f t="shared" si="105"/>
        <v>2016</v>
      </c>
      <c r="N107" s="681">
        <f t="shared" si="105"/>
        <v>2017</v>
      </c>
      <c r="O107" s="681">
        <f t="shared" si="105"/>
        <v>2018</v>
      </c>
      <c r="P107" s="681">
        <f t="shared" si="105"/>
        <v>2019</v>
      </c>
      <c r="Q107" s="681">
        <f t="shared" si="105"/>
        <v>2020</v>
      </c>
      <c r="R107" s="681">
        <f t="shared" ref="R107:W107" si="106">R2</f>
        <v>2021</v>
      </c>
      <c r="S107" s="681">
        <f t="shared" si="106"/>
        <v>2022</v>
      </c>
      <c r="T107" s="681">
        <f t="shared" si="106"/>
        <v>2023</v>
      </c>
      <c r="U107" s="681">
        <f t="shared" si="106"/>
        <v>2024</v>
      </c>
      <c r="V107" s="681">
        <f t="shared" si="106"/>
        <v>2025</v>
      </c>
      <c r="W107" s="681">
        <f t="shared" si="106"/>
        <v>2026</v>
      </c>
      <c r="X107" s="671"/>
      <c r="Y107" s="671"/>
      <c r="Z107" s="671"/>
      <c r="AA107" s="671"/>
      <c r="AB107" s="671"/>
      <c r="AC107" s="671"/>
      <c r="AD107" s="671"/>
      <c r="AE107" s="671"/>
      <c r="AF107" s="671"/>
    </row>
    <row r="108" spans="2:32">
      <c r="B108" s="478" t="s">
        <v>3004</v>
      </c>
      <c r="C108" s="450"/>
      <c r="D108" s="450"/>
      <c r="E108" s="450"/>
      <c r="F108" s="450"/>
      <c r="G108" s="478">
        <f>H108/I108*H108</f>
        <v>11669823.898462944</v>
      </c>
      <c r="H108" s="478">
        <v>11806075.897435898</v>
      </c>
      <c r="I108" s="478">
        <v>11943918.717948718</v>
      </c>
      <c r="J108" s="478">
        <f t="shared" ref="J108:W108" si="107">(1+J109)*I108</f>
        <v>12083370.933770528</v>
      </c>
      <c r="K108" s="478">
        <f t="shared" si="107"/>
        <v>12224451.335530041</v>
      </c>
      <c r="L108" s="478">
        <f t="shared" si="107"/>
        <v>12367178.933247512</v>
      </c>
      <c r="M108" s="478">
        <f t="shared" si="107"/>
        <v>12511572.958896272</v>
      </c>
      <c r="N108" s="478">
        <f t="shared" si="107"/>
        <v>12657652.868994152</v>
      </c>
      <c r="O108" s="478">
        <f t="shared" si="107"/>
        <v>12805438.347225176</v>
      </c>
      <c r="P108" s="478">
        <f t="shared" si="107"/>
        <v>12954949.307091858</v>
      </c>
      <c r="Q108" s="478">
        <f t="shared" si="107"/>
        <v>13106205.894598464</v>
      </c>
      <c r="R108" s="478">
        <f t="shared" si="107"/>
        <v>13259228.490965607</v>
      </c>
      <c r="S108" s="478">
        <f t="shared" si="107"/>
        <v>13414037.715376537</v>
      </c>
      <c r="T108" s="478">
        <f t="shared" si="107"/>
        <v>13570654.427755494</v>
      </c>
      <c r="U108" s="478">
        <f t="shared" si="107"/>
        <v>13729099.731578492</v>
      </c>
      <c r="V108" s="478">
        <f t="shared" si="107"/>
        <v>13889394.976716936</v>
      </c>
      <c r="W108" s="478">
        <f t="shared" si="107"/>
        <v>14051561.762314431</v>
      </c>
      <c r="X108" s="478"/>
      <c r="Y108" s="478"/>
      <c r="Z108" s="478"/>
      <c r="AA108" s="478"/>
      <c r="AB108" s="478"/>
      <c r="AC108" s="478"/>
      <c r="AD108" s="478"/>
      <c r="AE108" s="478"/>
      <c r="AF108" s="478"/>
    </row>
    <row r="109" spans="2:32">
      <c r="B109" s="478" t="s">
        <v>2353</v>
      </c>
      <c r="C109" s="450"/>
      <c r="D109" s="450"/>
      <c r="E109" s="450"/>
      <c r="F109" s="450"/>
      <c r="G109" s="478"/>
      <c r="H109" s="509">
        <f>H108/G108-1</f>
        <v>1.167558312434358E-2</v>
      </c>
      <c r="I109" s="509">
        <f>I108/H108-1</f>
        <v>1.1675583124343358E-2</v>
      </c>
      <c r="J109" s="678">
        <f t="shared" ref="J109:W109" si="108">I109</f>
        <v>1.1675583124343358E-2</v>
      </c>
      <c r="K109" s="678">
        <f t="shared" si="108"/>
        <v>1.1675583124343358E-2</v>
      </c>
      <c r="L109" s="678">
        <f t="shared" si="108"/>
        <v>1.1675583124343358E-2</v>
      </c>
      <c r="M109" s="678">
        <f t="shared" si="108"/>
        <v>1.1675583124343358E-2</v>
      </c>
      <c r="N109" s="678">
        <f t="shared" si="108"/>
        <v>1.1675583124343358E-2</v>
      </c>
      <c r="O109" s="678">
        <f t="shared" si="108"/>
        <v>1.1675583124343358E-2</v>
      </c>
      <c r="P109" s="678">
        <f t="shared" si="108"/>
        <v>1.1675583124343358E-2</v>
      </c>
      <c r="Q109" s="678">
        <f t="shared" si="108"/>
        <v>1.1675583124343358E-2</v>
      </c>
      <c r="R109" s="678">
        <f t="shared" si="108"/>
        <v>1.1675583124343358E-2</v>
      </c>
      <c r="S109" s="678">
        <f t="shared" si="108"/>
        <v>1.1675583124343358E-2</v>
      </c>
      <c r="T109" s="678">
        <f t="shared" si="108"/>
        <v>1.1675583124343358E-2</v>
      </c>
      <c r="U109" s="678">
        <f t="shared" si="108"/>
        <v>1.1675583124343358E-2</v>
      </c>
      <c r="V109" s="678">
        <f t="shared" si="108"/>
        <v>1.1675583124343358E-2</v>
      </c>
      <c r="W109" s="678">
        <f t="shared" si="108"/>
        <v>1.1675583124343358E-2</v>
      </c>
      <c r="X109" s="678"/>
      <c r="Y109" s="678"/>
      <c r="Z109" s="678"/>
      <c r="AA109" s="678"/>
      <c r="AB109" s="678"/>
      <c r="AC109" s="678"/>
      <c r="AD109" s="678"/>
      <c r="AE109" s="678"/>
      <c r="AF109" s="678"/>
    </row>
    <row r="110" spans="2:32">
      <c r="B110" s="478"/>
      <c r="C110" s="450"/>
      <c r="D110" s="450"/>
      <c r="E110" s="450"/>
      <c r="F110" s="450"/>
      <c r="G110" s="478"/>
      <c r="H110" s="509"/>
      <c r="I110" s="509"/>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row>
    <row r="111" spans="2:32">
      <c r="B111" s="450" t="s">
        <v>2965</v>
      </c>
      <c r="C111" s="598"/>
      <c r="D111" s="598"/>
      <c r="E111" s="598"/>
      <c r="F111" s="598"/>
      <c r="G111" s="598"/>
      <c r="H111" s="598"/>
      <c r="I111" s="598"/>
      <c r="J111" s="598"/>
      <c r="K111" s="598"/>
      <c r="L111" s="598"/>
      <c r="M111" s="598"/>
      <c r="N111" s="598"/>
      <c r="O111" s="598"/>
      <c r="P111" s="598"/>
      <c r="Q111" s="598"/>
      <c r="R111" s="598"/>
      <c r="S111" s="598"/>
      <c r="T111" s="598"/>
      <c r="U111" s="598"/>
      <c r="V111" s="598"/>
      <c r="W111" s="598"/>
      <c r="X111" s="598"/>
      <c r="Y111" s="598"/>
      <c r="Z111" s="598"/>
      <c r="AA111" s="598"/>
      <c r="AB111" s="598"/>
      <c r="AC111" s="598"/>
      <c r="AD111" s="598"/>
      <c r="AE111" s="598"/>
      <c r="AF111" s="598"/>
    </row>
    <row r="112" spans="2:32">
      <c r="B112" s="478" t="s">
        <v>3083</v>
      </c>
      <c r="C112" s="598"/>
      <c r="D112" s="598"/>
      <c r="E112" s="598"/>
      <c r="F112" s="598"/>
      <c r="G112" s="491">
        <v>1965515</v>
      </c>
      <c r="H112" s="491">
        <v>1919122</v>
      </c>
      <c r="I112" s="491">
        <v>1555323</v>
      </c>
      <c r="J112" s="491">
        <f t="shared" ref="J112:O112" si="109">J128*J$117</f>
        <v>1527811.9398259774</v>
      </c>
      <c r="K112" s="491">
        <f>K128*K$117</f>
        <v>1544796.5958716404</v>
      </c>
      <c r="L112" s="491">
        <f t="shared" si="109"/>
        <v>1560680.437626967</v>
      </c>
      <c r="M112" s="491">
        <f t="shared" si="109"/>
        <v>1575421.4338280535</v>
      </c>
      <c r="N112" s="491">
        <f t="shared" si="109"/>
        <v>1588976.5532056889</v>
      </c>
      <c r="O112" s="491">
        <f t="shared" si="109"/>
        <v>1601301.7448953665</v>
      </c>
      <c r="P112" s="491">
        <f t="shared" ref="P112:Q116" si="110">P128*P$117</f>
        <v>1612351.9185031841</v>
      </c>
      <c r="Q112" s="491">
        <f t="shared" si="110"/>
        <v>1622080.9238220011</v>
      </c>
      <c r="R112" s="491">
        <f t="shared" ref="R112:V116" si="111">R128*R$117</f>
        <v>1630441.5301921288</v>
      </c>
      <c r="S112" s="491">
        <f t="shared" si="111"/>
        <v>1637385.4055007461</v>
      </c>
      <c r="T112" s="491">
        <f t="shared" si="111"/>
        <v>1642863.0948141403</v>
      </c>
      <c r="U112" s="491">
        <f t="shared" si="111"/>
        <v>1646823.9986367789</v>
      </c>
      <c r="V112" s="491">
        <f t="shared" si="111"/>
        <v>1649216.3507911279</v>
      </c>
      <c r="W112" s="491">
        <f t="shared" ref="W112" si="112">W128*W$117</f>
        <v>1649987.1959120366</v>
      </c>
      <c r="X112" s="491"/>
      <c r="Y112" s="491"/>
      <c r="Z112" s="491"/>
      <c r="AA112" s="491"/>
      <c r="AB112" s="491"/>
      <c r="AC112" s="491"/>
      <c r="AD112" s="491"/>
      <c r="AE112" s="491"/>
      <c r="AF112" s="491"/>
    </row>
    <row r="113" spans="2:32">
      <c r="B113" s="478" t="s">
        <v>955</v>
      </c>
      <c r="C113" s="598"/>
      <c r="D113" s="598"/>
      <c r="E113" s="598"/>
      <c r="F113" s="598"/>
      <c r="G113" s="491">
        <v>819196.33190201561</v>
      </c>
      <c r="H113" s="491">
        <v>812363.96273813653</v>
      </c>
      <c r="I113" s="491">
        <v>889217</v>
      </c>
      <c r="J113" s="491">
        <f t="shared" ref="J113:O113" si="113">J129*J$117</f>
        <v>975020.06049724645</v>
      </c>
      <c r="K113" s="491">
        <f t="shared" si="113"/>
        <v>1027934.0168563843</v>
      </c>
      <c r="L113" s="491">
        <f t="shared" si="113"/>
        <v>1079343.7389444262</v>
      </c>
      <c r="M113" s="491">
        <f t="shared" si="113"/>
        <v>1129178.8666844941</v>
      </c>
      <c r="N113" s="491">
        <f t="shared" si="113"/>
        <v>1177367.2648890438</v>
      </c>
      <c r="O113" s="491">
        <f t="shared" si="113"/>
        <v>1223834.9874636533</v>
      </c>
      <c r="P113" s="491">
        <f t="shared" si="110"/>
        <v>1268506.240970951</v>
      </c>
      <c r="Q113" s="491">
        <f t="shared" si="110"/>
        <v>1311303.3475440769</v>
      </c>
      <c r="R113" s="491">
        <f t="shared" si="111"/>
        <v>1352146.7071389158</v>
      </c>
      <c r="S113" s="491">
        <f t="shared" si="111"/>
        <v>1390954.7591141684</v>
      </c>
      <c r="T113" s="491">
        <f t="shared" si="111"/>
        <v>1427643.9431281537</v>
      </c>
      <c r="U113" s="491">
        <f t="shared" si="111"/>
        <v>1462128.6593410617</v>
      </c>
      <c r="V113" s="491">
        <f t="shared" si="111"/>
        <v>1494321.2279112022</v>
      </c>
      <c r="W113" s="491">
        <f t="shared" ref="W113" si="114">W129*W$117</f>
        <v>1524131.8477736111</v>
      </c>
      <c r="X113" s="491"/>
      <c r="Y113" s="491"/>
      <c r="Z113" s="491"/>
      <c r="AA113" s="491"/>
      <c r="AB113" s="491"/>
      <c r="AC113" s="491"/>
      <c r="AD113" s="491"/>
      <c r="AE113" s="491"/>
      <c r="AF113" s="491"/>
    </row>
    <row r="114" spans="2:32">
      <c r="B114" s="478" t="s">
        <v>1606</v>
      </c>
      <c r="C114" s="598"/>
      <c r="D114" s="598"/>
      <c r="E114" s="598"/>
      <c r="F114" s="598"/>
      <c r="G114" s="491">
        <v>1555652.8181391631</v>
      </c>
      <c r="H114" s="491">
        <v>1542678.1575719244</v>
      </c>
      <c r="I114" s="491">
        <v>1270078</v>
      </c>
      <c r="J114" s="491">
        <f t="shared" ref="J114:O114" si="115">J130*J$117</f>
        <v>1196668.2817073094</v>
      </c>
      <c r="K114" s="491">
        <f t="shared" si="115"/>
        <v>1154876.2557354451</v>
      </c>
      <c r="L114" s="491">
        <f t="shared" si="115"/>
        <v>1113271.8298294896</v>
      </c>
      <c r="M114" s="491">
        <f t="shared" si="115"/>
        <v>1071879.0923580185</v>
      </c>
      <c r="N114" s="491">
        <f t="shared" si="115"/>
        <v>1030722.8371960531</v>
      </c>
      <c r="O114" s="491">
        <f t="shared" si="115"/>
        <v>989828.578884118</v>
      </c>
      <c r="P114" s="491">
        <f t="shared" si="110"/>
        <v>949222.56806809094</v>
      </c>
      <c r="Q114" s="491">
        <f t="shared" si="110"/>
        <v>908931.8072245972</v>
      </c>
      <c r="R114" s="491">
        <f t="shared" si="111"/>
        <v>868984.06667678908</v>
      </c>
      <c r="S114" s="491">
        <f t="shared" si="111"/>
        <v>829407.90090541879</v>
      </c>
      <c r="T114" s="491">
        <f t="shared" si="111"/>
        <v>790232.66516019648</v>
      </c>
      <c r="U114" s="491">
        <f t="shared" si="111"/>
        <v>751488.53237650101</v>
      </c>
      <c r="V114" s="491">
        <f t="shared" si="111"/>
        <v>713206.51040259609</v>
      </c>
      <c r="W114" s="491">
        <f t="shared" ref="W114" si="116">W130*W$117</f>
        <v>675418.45954258263</v>
      </c>
      <c r="X114" s="491"/>
      <c r="Y114" s="491"/>
      <c r="Z114" s="491"/>
      <c r="AA114" s="491"/>
      <c r="AB114" s="491"/>
      <c r="AC114" s="491"/>
      <c r="AD114" s="491"/>
      <c r="AE114" s="491"/>
      <c r="AF114" s="491"/>
    </row>
    <row r="115" spans="2:32">
      <c r="B115" s="478" t="s">
        <v>2803</v>
      </c>
      <c r="C115" s="598"/>
      <c r="D115" s="598"/>
      <c r="E115" s="598"/>
      <c r="F115" s="598"/>
      <c r="G115" s="491">
        <v>1750435.5966199611</v>
      </c>
      <c r="H115" s="491">
        <v>1735836.3830639939</v>
      </c>
      <c r="I115" s="491">
        <v>1641147</v>
      </c>
      <c r="J115" s="491">
        <f t="shared" ref="J115:O115" si="117">J131*J$117</f>
        <v>1626868.5447063711</v>
      </c>
      <c r="K115" s="491">
        <f t="shared" si="117"/>
        <v>1612055.3229069046</v>
      </c>
      <c r="L115" s="491">
        <f t="shared" si="117"/>
        <v>1596696.7936082107</v>
      </c>
      <c r="M115" s="491">
        <f t="shared" si="117"/>
        <v>1580782.2425713749</v>
      </c>
      <c r="N115" s="491">
        <f t="shared" si="117"/>
        <v>1564300.7797034136</v>
      </c>
      <c r="O115" s="491">
        <f t="shared" si="117"/>
        <v>1547241.3364114324</v>
      </c>
      <c r="P115" s="491">
        <f t="shared" si="110"/>
        <v>1529592.6629189753</v>
      </c>
      <c r="Q115" s="491">
        <f t="shared" si="110"/>
        <v>1511343.3255440388</v>
      </c>
      <c r="R115" s="491">
        <f t="shared" si="111"/>
        <v>1492481.7039382237</v>
      </c>
      <c r="S115" s="491">
        <f t="shared" si="111"/>
        <v>1472995.9882864885</v>
      </c>
      <c r="T115" s="491">
        <f t="shared" si="111"/>
        <v>1452874.1764669586</v>
      </c>
      <c r="U115" s="491">
        <f t="shared" si="111"/>
        <v>1432104.0711702439</v>
      </c>
      <c r="V115" s="491">
        <f t="shared" si="111"/>
        <v>1410673.2769777011</v>
      </c>
      <c r="W115" s="491">
        <f t="shared" ref="W115" si="118">W131*W$117</f>
        <v>1388569.1973980807</v>
      </c>
      <c r="X115" s="491"/>
      <c r="Y115" s="491"/>
      <c r="Z115" s="491"/>
      <c r="AA115" s="491"/>
      <c r="AB115" s="491"/>
      <c r="AC115" s="491"/>
      <c r="AD115" s="491"/>
      <c r="AE115" s="491"/>
      <c r="AF115" s="491"/>
    </row>
    <row r="116" spans="2:32">
      <c r="B116" s="487" t="s">
        <v>1377</v>
      </c>
      <c r="C116" s="670"/>
      <c r="D116" s="670"/>
      <c r="E116" s="670"/>
      <c r="F116" s="670"/>
      <c r="G116" s="597">
        <f>G117-SUM(G112:G115)</f>
        <v>1095365.2533388603</v>
      </c>
      <c r="H116" s="597">
        <f>H117-SUM(H112:H115)</f>
        <v>1116229.496625945</v>
      </c>
      <c r="I116" s="597">
        <f>I117-SUM(I112:I115)</f>
        <v>934933</v>
      </c>
      <c r="J116" s="597">
        <f t="shared" ref="J116:O116" si="119">J132*J$117</f>
        <v>909598.27459361672</v>
      </c>
      <c r="K116" s="597">
        <f t="shared" si="119"/>
        <v>839524.19211618754</v>
      </c>
      <c r="L116" s="597">
        <f t="shared" si="119"/>
        <v>770322.64166528767</v>
      </c>
      <c r="M116" s="597">
        <f t="shared" si="119"/>
        <v>702051.5715890344</v>
      </c>
      <c r="N116" s="597">
        <f t="shared" si="119"/>
        <v>634770.50163104245</v>
      </c>
      <c r="O116" s="597">
        <f t="shared" si="119"/>
        <v>568540.55566160206</v>
      </c>
      <c r="P116" s="597">
        <f t="shared" si="110"/>
        <v>503424.49500492279</v>
      </c>
      <c r="Q116" s="597">
        <f t="shared" si="110"/>
        <v>439486.75237243314</v>
      </c>
      <c r="R116" s="597">
        <f t="shared" si="111"/>
        <v>376793.46641228819</v>
      </c>
      <c r="S116" s="597">
        <f t="shared" si="111"/>
        <v>315412.5168854061</v>
      </c>
      <c r="T116" s="597">
        <f t="shared" si="111"/>
        <v>255413.56047848272</v>
      </c>
      <c r="U116" s="597">
        <f t="shared" si="111"/>
        <v>196868.06726467714</v>
      </c>
      <c r="V116" s="597">
        <f t="shared" si="111"/>
        <v>139849.3578227082</v>
      </c>
      <c r="W116" s="597">
        <f t="shared" ref="W116" si="120">W132*W$117</f>
        <v>84432.641025419711</v>
      </c>
      <c r="X116" s="491"/>
      <c r="Y116" s="491"/>
      <c r="Z116" s="491"/>
      <c r="AA116" s="491"/>
      <c r="AB116" s="491"/>
      <c r="AC116" s="491"/>
      <c r="AD116" s="491"/>
      <c r="AE116" s="491"/>
      <c r="AF116" s="491"/>
    </row>
    <row r="117" spans="2:32">
      <c r="B117" s="478" t="s">
        <v>2324</v>
      </c>
      <c r="C117" s="598"/>
      <c r="D117" s="598"/>
      <c r="E117" s="598"/>
      <c r="F117" s="598"/>
      <c r="G117" s="491">
        <v>7186165</v>
      </c>
      <c r="H117" s="491">
        <v>7126230</v>
      </c>
      <c r="I117" s="491">
        <v>6290698</v>
      </c>
      <c r="J117" s="491">
        <f t="shared" ref="J117:O117" si="121">J120+J121</f>
        <v>6235967.1013305206</v>
      </c>
      <c r="K117" s="491">
        <f t="shared" si="121"/>
        <v>6179186.3834865615</v>
      </c>
      <c r="L117" s="491">
        <f t="shared" si="121"/>
        <v>6120315.4416743806</v>
      </c>
      <c r="M117" s="491">
        <f t="shared" si="121"/>
        <v>6059313.2070309753</v>
      </c>
      <c r="N117" s="491">
        <f t="shared" si="121"/>
        <v>5996137.9366252413</v>
      </c>
      <c r="O117" s="491">
        <f t="shared" si="121"/>
        <v>5930747.2033161717</v>
      </c>
      <c r="P117" s="491">
        <f t="shared" ref="P117:V117" si="122">P120+P121</f>
        <v>5863097.8854661239</v>
      </c>
      <c r="Q117" s="491">
        <f t="shared" si="122"/>
        <v>5793146.1565071465</v>
      </c>
      <c r="R117" s="491">
        <f t="shared" si="122"/>
        <v>5720847.4743583463</v>
      </c>
      <c r="S117" s="491">
        <f t="shared" si="122"/>
        <v>5646156.5706922272</v>
      </c>
      <c r="T117" s="491">
        <f t="shared" si="122"/>
        <v>5569027.4400479328</v>
      </c>
      <c r="U117" s="491">
        <f t="shared" si="122"/>
        <v>5489413.3287892621</v>
      </c>
      <c r="V117" s="491">
        <f t="shared" si="122"/>
        <v>5407266.7239053361</v>
      </c>
      <c r="W117" s="491">
        <f t="shared" ref="W117" si="123">W120+W121</f>
        <v>5322539.3416517302</v>
      </c>
      <c r="X117" s="491"/>
      <c r="Y117" s="491"/>
      <c r="Z117" s="491"/>
      <c r="AA117" s="491"/>
      <c r="AB117" s="491"/>
      <c r="AC117" s="491"/>
      <c r="AD117" s="491"/>
      <c r="AE117" s="491"/>
      <c r="AF117" s="491"/>
    </row>
    <row r="118" spans="2:32">
      <c r="B118" s="478" t="s">
        <v>2353</v>
      </c>
      <c r="C118" s="598"/>
      <c r="D118" s="598"/>
      <c r="E118" s="598"/>
      <c r="F118" s="598"/>
      <c r="G118" s="491"/>
      <c r="H118" s="509">
        <f>H117/G117-1</f>
        <v>-8.340331734659534E-3</v>
      </c>
      <c r="I118" s="509">
        <f>I117/H117-1</f>
        <v>-0.11724740851754711</v>
      </c>
      <c r="J118" s="509">
        <f t="shared" ref="J118:W118" si="124">J117/I117-1</f>
        <v>-8.7002902809003579E-3</v>
      </c>
      <c r="K118" s="509">
        <f t="shared" si="124"/>
        <v>-9.1053587873874964E-3</v>
      </c>
      <c r="L118" s="509">
        <f t="shared" si="124"/>
        <v>-9.5272966631188005E-3</v>
      </c>
      <c r="M118" s="509">
        <f t="shared" si="124"/>
        <v>-9.9671716637397267E-3</v>
      </c>
      <c r="N118" s="509">
        <f t="shared" si="124"/>
        <v>-1.0426143730683513E-2</v>
      </c>
      <c r="O118" s="509">
        <f t="shared" si="124"/>
        <v>-1.0905475157543365E-2</v>
      </c>
      <c r="P118" s="509">
        <f t="shared" si="124"/>
        <v>-1.1406542132199049E-2</v>
      </c>
      <c r="Q118" s="509">
        <f t="shared" si="124"/>
        <v>-1.1930847876918227E-2</v>
      </c>
      <c r="R118" s="509">
        <f t="shared" si="124"/>
        <v>-1.2480037650627995E-2</v>
      </c>
      <c r="S118" s="509">
        <f t="shared" si="124"/>
        <v>-1.3055915928696593E-2</v>
      </c>
      <c r="T118" s="509">
        <f t="shared" si="124"/>
        <v>-1.36604661380898E-2</v>
      </c>
      <c r="U118" s="509">
        <f t="shared" si="124"/>
        <v>-1.429587340262517E-2</v>
      </c>
      <c r="V118" s="509">
        <f t="shared" si="124"/>
        <v>-1.4964550847921698E-2</v>
      </c>
      <c r="W118" s="509">
        <f t="shared" si="124"/>
        <v>-1.5669170133411181E-2</v>
      </c>
      <c r="X118" s="509"/>
      <c r="Y118" s="509"/>
      <c r="Z118" s="509"/>
      <c r="AA118" s="509"/>
      <c r="AB118" s="509"/>
      <c r="AC118" s="509"/>
      <c r="AD118" s="509"/>
      <c r="AE118" s="509"/>
      <c r="AF118" s="509"/>
    </row>
    <row r="119" spans="2:32">
      <c r="B119" s="478"/>
      <c r="C119" s="598"/>
      <c r="D119" s="598"/>
      <c r="E119" s="598"/>
      <c r="F119" s="598"/>
      <c r="G119" s="598"/>
      <c r="H119" s="598"/>
      <c r="I119" s="491"/>
      <c r="J119" s="598"/>
      <c r="K119" s="598"/>
      <c r="L119" s="598"/>
      <c r="M119" s="598"/>
      <c r="N119" s="598"/>
      <c r="O119" s="598"/>
      <c r="P119" s="598"/>
      <c r="Q119" s="598"/>
      <c r="R119" s="598"/>
      <c r="S119" s="598"/>
      <c r="T119" s="598"/>
      <c r="U119" s="598"/>
      <c r="V119" s="598"/>
      <c r="W119" s="598"/>
      <c r="X119" s="598"/>
      <c r="Y119" s="598"/>
      <c r="Z119" s="598"/>
      <c r="AA119" s="598"/>
      <c r="AB119" s="598"/>
      <c r="AC119" s="598"/>
      <c r="AD119" s="598"/>
      <c r="AE119" s="598"/>
      <c r="AF119" s="598"/>
    </row>
    <row r="120" spans="2:32">
      <c r="B120" s="608" t="s">
        <v>3006</v>
      </c>
      <c r="C120" s="598"/>
      <c r="D120" s="598"/>
      <c r="E120" s="598"/>
      <c r="F120" s="598"/>
      <c r="G120" s="491">
        <f>G117-G121</f>
        <v>6467548.5</v>
      </c>
      <c r="H120" s="491">
        <f>H117-H121</f>
        <v>6413607</v>
      </c>
      <c r="I120" s="491">
        <f>I117-I121</f>
        <v>5661628.2000000002</v>
      </c>
      <c r="J120" s="491">
        <f t="shared" ref="J120:O120" si="125">J124*J108</f>
        <v>5606897.3013305208</v>
      </c>
      <c r="K120" s="491">
        <f t="shared" si="125"/>
        <v>5550116.5834865617</v>
      </c>
      <c r="L120" s="491">
        <f t="shared" si="125"/>
        <v>5491245.6416743807</v>
      </c>
      <c r="M120" s="491">
        <f t="shared" si="125"/>
        <v>5430243.4070309754</v>
      </c>
      <c r="N120" s="491">
        <f t="shared" si="125"/>
        <v>5367068.1366252415</v>
      </c>
      <c r="O120" s="491">
        <f t="shared" si="125"/>
        <v>5301677.4033161718</v>
      </c>
      <c r="P120" s="491">
        <f t="shared" ref="P120:V120" si="126">P124*P108</f>
        <v>5234028.0854661241</v>
      </c>
      <c r="Q120" s="491">
        <f t="shared" si="126"/>
        <v>5164076.3565071467</v>
      </c>
      <c r="R120" s="491">
        <f t="shared" si="126"/>
        <v>5091777.6743583465</v>
      </c>
      <c r="S120" s="491">
        <f t="shared" si="126"/>
        <v>5017086.7706922274</v>
      </c>
      <c r="T120" s="491">
        <f t="shared" si="126"/>
        <v>4939957.640047933</v>
      </c>
      <c r="U120" s="491">
        <f t="shared" si="126"/>
        <v>4860343.5287892623</v>
      </c>
      <c r="V120" s="491">
        <f t="shared" si="126"/>
        <v>4778196.9239053363</v>
      </c>
      <c r="W120" s="491">
        <f t="shared" ref="W120" si="127">W124*W108</f>
        <v>4693469.5416517304</v>
      </c>
      <c r="X120" s="491"/>
      <c r="Y120" s="491"/>
      <c r="Z120" s="491"/>
      <c r="AA120" s="491"/>
      <c r="AB120" s="491"/>
      <c r="AC120" s="491"/>
      <c r="AD120" s="491"/>
      <c r="AE120" s="491"/>
      <c r="AF120" s="491"/>
    </row>
    <row r="121" spans="2:32">
      <c r="B121" s="608" t="s">
        <v>3007</v>
      </c>
      <c r="C121" s="598"/>
      <c r="D121" s="598"/>
      <c r="E121" s="598"/>
      <c r="F121" s="598"/>
      <c r="G121" s="491">
        <f>G122*G117</f>
        <v>718616.5</v>
      </c>
      <c r="H121" s="491">
        <f>H122*H117</f>
        <v>712623</v>
      </c>
      <c r="I121" s="491">
        <f>I122*I117</f>
        <v>629069.80000000005</v>
      </c>
      <c r="J121" s="491">
        <f t="shared" ref="J121:W121" si="128">I121</f>
        <v>629069.80000000005</v>
      </c>
      <c r="K121" s="491">
        <f t="shared" si="128"/>
        <v>629069.80000000005</v>
      </c>
      <c r="L121" s="491">
        <f t="shared" si="128"/>
        <v>629069.80000000005</v>
      </c>
      <c r="M121" s="491">
        <f t="shared" si="128"/>
        <v>629069.80000000005</v>
      </c>
      <c r="N121" s="491">
        <f t="shared" si="128"/>
        <v>629069.80000000005</v>
      </c>
      <c r="O121" s="491">
        <f t="shared" si="128"/>
        <v>629069.80000000005</v>
      </c>
      <c r="P121" s="491">
        <f t="shared" si="128"/>
        <v>629069.80000000005</v>
      </c>
      <c r="Q121" s="491">
        <f t="shared" si="128"/>
        <v>629069.80000000005</v>
      </c>
      <c r="R121" s="491">
        <f t="shared" si="128"/>
        <v>629069.80000000005</v>
      </c>
      <c r="S121" s="491">
        <f t="shared" si="128"/>
        <v>629069.80000000005</v>
      </c>
      <c r="T121" s="491">
        <f t="shared" si="128"/>
        <v>629069.80000000005</v>
      </c>
      <c r="U121" s="491">
        <f t="shared" si="128"/>
        <v>629069.80000000005</v>
      </c>
      <c r="V121" s="491">
        <f t="shared" si="128"/>
        <v>629069.80000000005</v>
      </c>
      <c r="W121" s="491">
        <f t="shared" si="128"/>
        <v>629069.80000000005</v>
      </c>
      <c r="X121" s="491"/>
      <c r="Y121" s="491"/>
      <c r="Z121" s="491"/>
      <c r="AA121" s="491"/>
      <c r="AB121" s="491"/>
      <c r="AC121" s="491"/>
      <c r="AD121" s="491"/>
      <c r="AE121" s="491"/>
      <c r="AF121" s="491"/>
    </row>
    <row r="122" spans="2:32">
      <c r="B122" s="608" t="s">
        <v>70</v>
      </c>
      <c r="C122" s="598"/>
      <c r="D122" s="598"/>
      <c r="E122" s="598"/>
      <c r="F122" s="598"/>
      <c r="G122" s="680">
        <v>0.1</v>
      </c>
      <c r="H122" s="680">
        <v>0.1</v>
      </c>
      <c r="I122" s="680">
        <v>0.1</v>
      </c>
      <c r="J122" s="680">
        <v>0.1</v>
      </c>
      <c r="K122" s="680">
        <v>0.1</v>
      </c>
      <c r="L122" s="680">
        <v>0.1</v>
      </c>
      <c r="M122" s="680">
        <v>0.1</v>
      </c>
      <c r="N122" s="680">
        <v>0.1</v>
      </c>
      <c r="O122" s="680">
        <v>0.1</v>
      </c>
      <c r="P122" s="680">
        <v>0.1</v>
      </c>
      <c r="Q122" s="680">
        <v>0.1</v>
      </c>
      <c r="R122" s="680">
        <v>0.1</v>
      </c>
      <c r="S122" s="680">
        <v>0.1</v>
      </c>
      <c r="T122" s="680">
        <v>0.1</v>
      </c>
      <c r="U122" s="680">
        <v>0.1</v>
      </c>
      <c r="V122" s="680">
        <v>0.1</v>
      </c>
      <c r="W122" s="680">
        <v>0.1</v>
      </c>
      <c r="X122" s="680"/>
      <c r="Y122" s="680"/>
      <c r="Z122" s="680"/>
      <c r="AA122" s="680"/>
      <c r="AB122" s="680"/>
      <c r="AC122" s="680"/>
      <c r="AD122" s="680"/>
      <c r="AE122" s="680"/>
      <c r="AF122" s="680"/>
    </row>
    <row r="123" spans="2:32">
      <c r="B123" s="608"/>
      <c r="C123" s="598"/>
      <c r="D123" s="598"/>
      <c r="E123" s="598"/>
      <c r="F123" s="598"/>
      <c r="G123" s="598"/>
      <c r="H123" s="598"/>
      <c r="I123" s="491"/>
      <c r="J123" s="598"/>
      <c r="K123" s="598"/>
      <c r="L123" s="598"/>
      <c r="M123" s="598"/>
      <c r="N123" s="598"/>
      <c r="O123" s="598"/>
      <c r="P123" s="598"/>
      <c r="Q123" s="598"/>
      <c r="R123" s="598"/>
      <c r="S123" s="598"/>
      <c r="T123" s="598"/>
      <c r="U123" s="598"/>
      <c r="V123" s="598"/>
      <c r="W123" s="598"/>
      <c r="X123" s="598"/>
      <c r="Y123" s="598"/>
      <c r="Z123" s="598"/>
      <c r="AA123" s="598"/>
      <c r="AB123" s="598"/>
      <c r="AC123" s="598"/>
      <c r="AD123" s="598"/>
      <c r="AE123" s="598"/>
      <c r="AF123" s="598"/>
    </row>
    <row r="124" spans="2:32">
      <c r="B124" s="450" t="s">
        <v>3005</v>
      </c>
      <c r="C124" s="450"/>
      <c r="D124" s="450"/>
      <c r="E124" s="450"/>
      <c r="F124" s="450"/>
      <c r="G124" s="677">
        <f>G120/G108</f>
        <v>0.55421131940575852</v>
      </c>
      <c r="H124" s="677">
        <f>H120/H108</f>
        <v>0.54324629586643081</v>
      </c>
      <c r="I124" s="677">
        <f>I120/I108</f>
        <v>0.47401764309497446</v>
      </c>
      <c r="J124" s="677">
        <f t="shared" ref="J124:W124" si="129">I124+J125</f>
        <v>0.46401764309497445</v>
      </c>
      <c r="K124" s="677">
        <f t="shared" si="129"/>
        <v>0.45401764309497444</v>
      </c>
      <c r="L124" s="677">
        <f t="shared" si="129"/>
        <v>0.44401764309497443</v>
      </c>
      <c r="M124" s="677">
        <f t="shared" si="129"/>
        <v>0.43401764309497443</v>
      </c>
      <c r="N124" s="677">
        <f t="shared" si="129"/>
        <v>0.42401764309497442</v>
      </c>
      <c r="O124" s="677">
        <f t="shared" si="129"/>
        <v>0.41401764309497441</v>
      </c>
      <c r="P124" s="677">
        <f t="shared" si="129"/>
        <v>0.4040176430949744</v>
      </c>
      <c r="Q124" s="677">
        <f t="shared" si="129"/>
        <v>0.39401764309497439</v>
      </c>
      <c r="R124" s="677">
        <f t="shared" si="129"/>
        <v>0.38401764309497438</v>
      </c>
      <c r="S124" s="677">
        <f t="shared" si="129"/>
        <v>0.37401764309497437</v>
      </c>
      <c r="T124" s="677">
        <f t="shared" si="129"/>
        <v>0.36401764309497436</v>
      </c>
      <c r="U124" s="677">
        <f t="shared" si="129"/>
        <v>0.35401764309497435</v>
      </c>
      <c r="V124" s="677">
        <f t="shared" si="129"/>
        <v>0.34401764309497435</v>
      </c>
      <c r="W124" s="677">
        <f t="shared" si="129"/>
        <v>0.33401764309497434</v>
      </c>
      <c r="X124" s="677"/>
      <c r="Y124" s="677"/>
      <c r="Z124" s="677"/>
      <c r="AA124" s="677"/>
      <c r="AB124" s="677"/>
      <c r="AC124" s="677"/>
      <c r="AD124" s="677"/>
      <c r="AE124" s="677"/>
      <c r="AF124" s="677"/>
    </row>
    <row r="125" spans="2:32">
      <c r="B125" s="608" t="s">
        <v>1933</v>
      </c>
      <c r="C125" s="598"/>
      <c r="D125" s="598"/>
      <c r="E125" s="598"/>
      <c r="F125" s="598"/>
      <c r="G125" s="677"/>
      <c r="H125" s="509">
        <f>H124-G124</f>
        <v>-1.0965023539327712E-2</v>
      </c>
      <c r="I125" s="509">
        <f>I124-H124</f>
        <v>-6.9228652771456345E-2</v>
      </c>
      <c r="J125" s="678">
        <v>-0.01</v>
      </c>
      <c r="K125" s="678">
        <v>-0.01</v>
      </c>
      <c r="L125" s="678">
        <v>-0.01</v>
      </c>
      <c r="M125" s="678">
        <v>-0.01</v>
      </c>
      <c r="N125" s="678">
        <v>-0.01</v>
      </c>
      <c r="O125" s="678">
        <v>-0.01</v>
      </c>
      <c r="P125" s="678">
        <v>-0.01</v>
      </c>
      <c r="Q125" s="678">
        <v>-0.01</v>
      </c>
      <c r="R125" s="678">
        <v>-0.01</v>
      </c>
      <c r="S125" s="678">
        <v>-0.01</v>
      </c>
      <c r="T125" s="678">
        <v>-0.01</v>
      </c>
      <c r="U125" s="678">
        <v>-0.01</v>
      </c>
      <c r="V125" s="678">
        <v>-0.01</v>
      </c>
      <c r="W125" s="678">
        <v>-0.01</v>
      </c>
      <c r="X125" s="678"/>
      <c r="Y125" s="678"/>
      <c r="Z125" s="678"/>
      <c r="AA125" s="678"/>
      <c r="AB125" s="678"/>
      <c r="AC125" s="678"/>
      <c r="AD125" s="678"/>
      <c r="AE125" s="678"/>
      <c r="AF125" s="678"/>
    </row>
    <row r="126" spans="2:32">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row>
    <row r="127" spans="2:32">
      <c r="B127" s="450" t="s">
        <v>2966</v>
      </c>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row>
    <row r="128" spans="2:32">
      <c r="B128" s="478" t="str">
        <f t="shared" ref="B128:B133" si="130">B112</f>
        <v>UNE  (inc Edatel/Pereira)</v>
      </c>
      <c r="C128" s="450"/>
      <c r="D128" s="450"/>
      <c r="E128" s="450"/>
      <c r="F128" s="450"/>
      <c r="G128" s="456">
        <f t="shared" ref="G128:H133" si="131">G112/G$117</f>
        <v>0.2735137587294475</v>
      </c>
      <c r="H128" s="456">
        <f t="shared" si="131"/>
        <v>0.26930396577152294</v>
      </c>
      <c r="I128" s="456">
        <f t="shared" ref="I128:I133" si="132">I112/I$117</f>
        <v>0.24724172103000336</v>
      </c>
      <c r="J128" s="678">
        <v>0.245</v>
      </c>
      <c r="K128" s="678">
        <f t="shared" ref="K128:W128" si="133">J128+0.5%</f>
        <v>0.25</v>
      </c>
      <c r="L128" s="678">
        <f t="shared" si="133"/>
        <v>0.255</v>
      </c>
      <c r="M128" s="678">
        <f t="shared" si="133"/>
        <v>0.26</v>
      </c>
      <c r="N128" s="678">
        <f t="shared" si="133"/>
        <v>0.26500000000000001</v>
      </c>
      <c r="O128" s="678">
        <f t="shared" si="133"/>
        <v>0.27</v>
      </c>
      <c r="P128" s="678">
        <f t="shared" si="133"/>
        <v>0.27500000000000002</v>
      </c>
      <c r="Q128" s="678">
        <f t="shared" si="133"/>
        <v>0.28000000000000003</v>
      </c>
      <c r="R128" s="678">
        <f t="shared" si="133"/>
        <v>0.28500000000000003</v>
      </c>
      <c r="S128" s="678">
        <f t="shared" si="133"/>
        <v>0.29000000000000004</v>
      </c>
      <c r="T128" s="678">
        <f t="shared" si="133"/>
        <v>0.29500000000000004</v>
      </c>
      <c r="U128" s="678">
        <f t="shared" si="133"/>
        <v>0.30000000000000004</v>
      </c>
      <c r="V128" s="678">
        <f t="shared" si="133"/>
        <v>0.30500000000000005</v>
      </c>
      <c r="W128" s="678">
        <f t="shared" si="133"/>
        <v>0.31000000000000005</v>
      </c>
      <c r="X128" s="678"/>
      <c r="Y128" s="678"/>
      <c r="Z128" s="678"/>
      <c r="AA128" s="678"/>
      <c r="AB128" s="678"/>
      <c r="AC128" s="678"/>
      <c r="AD128" s="678"/>
      <c r="AE128" s="678"/>
      <c r="AF128" s="678"/>
    </row>
    <row r="129" spans="2:32">
      <c r="B129" s="478" t="str">
        <f t="shared" si="130"/>
        <v>AMX</v>
      </c>
      <c r="C129" s="450"/>
      <c r="D129" s="450"/>
      <c r="E129" s="450"/>
      <c r="F129" s="450"/>
      <c r="G129" s="456">
        <f t="shared" si="131"/>
        <v>0.11399631540634199</v>
      </c>
      <c r="H129" s="456">
        <f t="shared" si="131"/>
        <v>0.113996315406342</v>
      </c>
      <c r="I129" s="456">
        <f t="shared" si="132"/>
        <v>0.14135426625153522</v>
      </c>
      <c r="J129" s="678">
        <f>I129+1.5%</f>
        <v>0.1563542662515352</v>
      </c>
      <c r="K129" s="678">
        <f t="shared" ref="K129:W129" si="134">J129+1%</f>
        <v>0.16635426625153521</v>
      </c>
      <c r="L129" s="678">
        <f t="shared" si="134"/>
        <v>0.17635426625153522</v>
      </c>
      <c r="M129" s="678">
        <f t="shared" si="134"/>
        <v>0.18635426625153523</v>
      </c>
      <c r="N129" s="678">
        <f t="shared" si="134"/>
        <v>0.19635426625153524</v>
      </c>
      <c r="O129" s="678">
        <f t="shared" si="134"/>
        <v>0.20635426625153525</v>
      </c>
      <c r="P129" s="678">
        <f t="shared" si="134"/>
        <v>0.21635426625153525</v>
      </c>
      <c r="Q129" s="678">
        <f t="shared" si="134"/>
        <v>0.22635426625153526</v>
      </c>
      <c r="R129" s="678">
        <f t="shared" si="134"/>
        <v>0.23635426625153527</v>
      </c>
      <c r="S129" s="678">
        <f t="shared" si="134"/>
        <v>0.24635426625153528</v>
      </c>
      <c r="T129" s="678">
        <f t="shared" si="134"/>
        <v>0.25635426625153529</v>
      </c>
      <c r="U129" s="678">
        <f t="shared" si="134"/>
        <v>0.2663542662515353</v>
      </c>
      <c r="V129" s="678">
        <f t="shared" si="134"/>
        <v>0.27635426625153531</v>
      </c>
      <c r="W129" s="678">
        <f t="shared" si="134"/>
        <v>0.28635426625153532</v>
      </c>
      <c r="X129" s="678"/>
      <c r="Y129" s="678"/>
      <c r="Z129" s="678"/>
      <c r="AA129" s="678"/>
      <c r="AB129" s="678"/>
      <c r="AC129" s="678"/>
      <c r="AD129" s="678"/>
      <c r="AE129" s="678"/>
      <c r="AF129" s="678"/>
    </row>
    <row r="130" spans="2:32">
      <c r="B130" s="478" t="str">
        <f t="shared" si="130"/>
        <v>TEF</v>
      </c>
      <c r="C130" s="450"/>
      <c r="D130" s="450"/>
      <c r="E130" s="450"/>
      <c r="F130" s="450"/>
      <c r="G130" s="456">
        <f t="shared" si="131"/>
        <v>0.21647886155399482</v>
      </c>
      <c r="H130" s="456">
        <f t="shared" si="131"/>
        <v>0.21647886155399479</v>
      </c>
      <c r="I130" s="456">
        <f t="shared" si="132"/>
        <v>0.20189778622340479</v>
      </c>
      <c r="J130" s="678">
        <f>I130-1%</f>
        <v>0.19189778622340478</v>
      </c>
      <c r="K130" s="678">
        <f t="shared" ref="K130:W130" si="135">J130-0.5%</f>
        <v>0.18689778622340478</v>
      </c>
      <c r="L130" s="678">
        <f t="shared" si="135"/>
        <v>0.18189778622340477</v>
      </c>
      <c r="M130" s="678">
        <f t="shared" si="135"/>
        <v>0.17689778622340477</v>
      </c>
      <c r="N130" s="678">
        <f t="shared" si="135"/>
        <v>0.17189778622340476</v>
      </c>
      <c r="O130" s="678">
        <f t="shared" si="135"/>
        <v>0.16689778622340476</v>
      </c>
      <c r="P130" s="678">
        <f t="shared" si="135"/>
        <v>0.16189778622340475</v>
      </c>
      <c r="Q130" s="678">
        <f t="shared" si="135"/>
        <v>0.15689778622340475</v>
      </c>
      <c r="R130" s="678">
        <f t="shared" si="135"/>
        <v>0.15189778622340475</v>
      </c>
      <c r="S130" s="678">
        <f t="shared" si="135"/>
        <v>0.14689778622340474</v>
      </c>
      <c r="T130" s="678">
        <f t="shared" si="135"/>
        <v>0.14189778622340474</v>
      </c>
      <c r="U130" s="678">
        <f t="shared" si="135"/>
        <v>0.13689778622340473</v>
      </c>
      <c r="V130" s="678">
        <f t="shared" si="135"/>
        <v>0.13189778622340473</v>
      </c>
      <c r="W130" s="678">
        <f t="shared" si="135"/>
        <v>0.12689778622340472</v>
      </c>
      <c r="X130" s="678"/>
      <c r="Y130" s="678"/>
      <c r="Z130" s="678"/>
      <c r="AA130" s="678"/>
      <c r="AB130" s="678"/>
      <c r="AC130" s="678"/>
      <c r="AD130" s="678"/>
      <c r="AE130" s="678"/>
      <c r="AF130" s="678"/>
    </row>
    <row r="131" spans="2:32">
      <c r="B131" s="478" t="str">
        <f t="shared" si="130"/>
        <v>ETB</v>
      </c>
      <c r="C131" s="450"/>
      <c r="D131" s="450"/>
      <c r="E131" s="450"/>
      <c r="F131" s="450"/>
      <c r="G131" s="456">
        <f t="shared" si="131"/>
        <v>0.2435841087172311</v>
      </c>
      <c r="H131" s="456">
        <f t="shared" si="131"/>
        <v>0.2435841087172311</v>
      </c>
      <c r="I131" s="456">
        <f t="shared" si="132"/>
        <v>0.26088472217232489</v>
      </c>
      <c r="J131" s="678">
        <f t="shared" ref="J131:W131" si="136">I131</f>
        <v>0.26088472217232489</v>
      </c>
      <c r="K131" s="678">
        <f t="shared" si="136"/>
        <v>0.26088472217232489</v>
      </c>
      <c r="L131" s="678">
        <f t="shared" si="136"/>
        <v>0.26088472217232489</v>
      </c>
      <c r="M131" s="678">
        <f t="shared" si="136"/>
        <v>0.26088472217232489</v>
      </c>
      <c r="N131" s="678">
        <f t="shared" si="136"/>
        <v>0.26088472217232489</v>
      </c>
      <c r="O131" s="678">
        <f t="shared" si="136"/>
        <v>0.26088472217232489</v>
      </c>
      <c r="P131" s="678">
        <f t="shared" si="136"/>
        <v>0.26088472217232489</v>
      </c>
      <c r="Q131" s="678">
        <f t="shared" si="136"/>
        <v>0.26088472217232489</v>
      </c>
      <c r="R131" s="678">
        <f t="shared" si="136"/>
        <v>0.26088472217232489</v>
      </c>
      <c r="S131" s="678">
        <f t="shared" si="136"/>
        <v>0.26088472217232489</v>
      </c>
      <c r="T131" s="678">
        <f t="shared" si="136"/>
        <v>0.26088472217232489</v>
      </c>
      <c r="U131" s="678">
        <f t="shared" si="136"/>
        <v>0.26088472217232489</v>
      </c>
      <c r="V131" s="678">
        <f t="shared" si="136"/>
        <v>0.26088472217232489</v>
      </c>
      <c r="W131" s="678">
        <f t="shared" si="136"/>
        <v>0.26088472217232489</v>
      </c>
      <c r="X131" s="678"/>
      <c r="Y131" s="678"/>
      <c r="Z131" s="678"/>
      <c r="AA131" s="678"/>
      <c r="AB131" s="678"/>
      <c r="AC131" s="678"/>
      <c r="AD131" s="678"/>
      <c r="AE131" s="678"/>
      <c r="AF131" s="678"/>
    </row>
    <row r="132" spans="2:32">
      <c r="B132" s="487" t="str">
        <f t="shared" si="130"/>
        <v>Others</v>
      </c>
      <c r="C132" s="451"/>
      <c r="D132" s="451"/>
      <c r="E132" s="451"/>
      <c r="F132" s="451"/>
      <c r="G132" s="561">
        <f t="shared" si="131"/>
        <v>0.15242695559298464</v>
      </c>
      <c r="H132" s="561">
        <f t="shared" si="131"/>
        <v>0.15663674855090909</v>
      </c>
      <c r="I132" s="561">
        <f t="shared" si="132"/>
        <v>0.14862150432273175</v>
      </c>
      <c r="J132" s="672">
        <f t="shared" ref="J132:O132" si="137">J133-SUM(J128:J131)</f>
        <v>0.14586322535273522</v>
      </c>
      <c r="K132" s="672">
        <f t="shared" si="137"/>
        <v>0.13586322535273521</v>
      </c>
      <c r="L132" s="672">
        <f t="shared" si="137"/>
        <v>0.1258632253527352</v>
      </c>
      <c r="M132" s="672">
        <f t="shared" si="137"/>
        <v>0.11586322535273519</v>
      </c>
      <c r="N132" s="672">
        <f t="shared" si="137"/>
        <v>0.10586322535273518</v>
      </c>
      <c r="O132" s="672">
        <f t="shared" si="137"/>
        <v>9.5863225352735171E-2</v>
      </c>
      <c r="P132" s="672">
        <f t="shared" ref="P132:V132" si="138">P133-SUM(P128:P131)</f>
        <v>8.5863225352735162E-2</v>
      </c>
      <c r="Q132" s="672">
        <f t="shared" si="138"/>
        <v>7.5863225352735153E-2</v>
      </c>
      <c r="R132" s="672">
        <f t="shared" si="138"/>
        <v>6.5863225352734922E-2</v>
      </c>
      <c r="S132" s="672">
        <f t="shared" si="138"/>
        <v>5.5863225352735135E-2</v>
      </c>
      <c r="T132" s="672">
        <f t="shared" si="138"/>
        <v>4.5863225352734904E-2</v>
      </c>
      <c r="U132" s="672">
        <f t="shared" si="138"/>
        <v>3.5863225352735117E-2</v>
      </c>
      <c r="V132" s="672">
        <f t="shared" si="138"/>
        <v>2.5863225352734887E-2</v>
      </c>
      <c r="W132" s="672">
        <f t="shared" ref="W132" si="139">W133-SUM(W128:W131)</f>
        <v>1.58632253527351E-2</v>
      </c>
      <c r="X132" s="509"/>
      <c r="Y132" s="509"/>
      <c r="Z132" s="509"/>
      <c r="AA132" s="509"/>
      <c r="AB132" s="509"/>
      <c r="AC132" s="509"/>
      <c r="AD132" s="509"/>
      <c r="AE132" s="509"/>
      <c r="AF132" s="509"/>
    </row>
    <row r="133" spans="2:32">
      <c r="B133" s="478" t="str">
        <f t="shared" si="130"/>
        <v>Total</v>
      </c>
      <c r="C133" s="450"/>
      <c r="D133" s="450"/>
      <c r="E133" s="450"/>
      <c r="F133" s="450"/>
      <c r="G133" s="456">
        <f t="shared" si="131"/>
        <v>1</v>
      </c>
      <c r="H133" s="456">
        <f t="shared" si="131"/>
        <v>1</v>
      </c>
      <c r="I133" s="456">
        <f t="shared" si="132"/>
        <v>1</v>
      </c>
      <c r="J133" s="456">
        <v>1</v>
      </c>
      <c r="K133" s="456">
        <v>1</v>
      </c>
      <c r="L133" s="456">
        <v>1</v>
      </c>
      <c r="M133" s="456">
        <v>1</v>
      </c>
      <c r="N133" s="456">
        <v>1</v>
      </c>
      <c r="O133" s="456">
        <v>1</v>
      </c>
      <c r="P133" s="456">
        <v>1</v>
      </c>
      <c r="Q133" s="456">
        <v>1</v>
      </c>
      <c r="R133" s="456">
        <v>1</v>
      </c>
      <c r="S133" s="456">
        <v>1</v>
      </c>
      <c r="T133" s="456">
        <v>1</v>
      </c>
      <c r="U133" s="456">
        <v>1</v>
      </c>
      <c r="V133" s="456">
        <v>1</v>
      </c>
      <c r="W133" s="456">
        <v>1</v>
      </c>
      <c r="X133" s="456"/>
      <c r="Y133" s="456"/>
      <c r="Z133" s="456"/>
      <c r="AA133" s="456"/>
      <c r="AB133" s="456"/>
      <c r="AC133" s="456"/>
      <c r="AD133" s="456"/>
      <c r="AE133" s="456"/>
      <c r="AF133" s="456"/>
    </row>
    <row r="134" spans="2:32">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row>
    <row r="135" spans="2:32">
      <c r="B135" s="450" t="s">
        <v>2963</v>
      </c>
      <c r="C135" s="598"/>
      <c r="D135" s="598"/>
      <c r="E135" s="598"/>
      <c r="F135" s="598"/>
      <c r="G135" s="598"/>
      <c r="H135" s="598"/>
      <c r="I135" s="598"/>
      <c r="J135" s="598"/>
      <c r="K135" s="598"/>
      <c r="L135" s="598"/>
      <c r="M135" s="598"/>
      <c r="N135" s="598"/>
      <c r="O135" s="598"/>
      <c r="P135" s="598"/>
      <c r="Q135" s="598"/>
      <c r="R135" s="598"/>
      <c r="S135" s="598"/>
      <c r="T135" s="598"/>
      <c r="U135" s="598"/>
      <c r="V135" s="598"/>
      <c r="W135" s="598"/>
      <c r="X135" s="598"/>
      <c r="Y135" s="598"/>
      <c r="Z135" s="598"/>
      <c r="AA135" s="598"/>
      <c r="AB135" s="598"/>
      <c r="AC135" s="598"/>
      <c r="AD135" s="598"/>
      <c r="AE135" s="598"/>
      <c r="AF135" s="598"/>
    </row>
    <row r="136" spans="2:32">
      <c r="B136" s="478" t="str">
        <f t="shared" ref="B136:B141" si="140">B128</f>
        <v>UNE  (inc Edatel/Pereira)</v>
      </c>
      <c r="C136" s="491"/>
      <c r="D136" s="491"/>
      <c r="E136" s="491"/>
      <c r="F136" s="491"/>
      <c r="G136" s="491">
        <v>699832</v>
      </c>
      <c r="H136" s="491">
        <v>1009776</v>
      </c>
      <c r="I136" s="491">
        <v>1159022</v>
      </c>
      <c r="J136" s="491">
        <f t="shared" ref="J136:O136" ca="1" si="141">J151*J$141</f>
        <v>1312792.798100776</v>
      </c>
      <c r="K136" s="491">
        <f t="shared" ca="1" si="141"/>
        <v>1495630.026239346</v>
      </c>
      <c r="L136" s="491">
        <f t="shared" ca="1" si="141"/>
        <v>1715995.8172598113</v>
      </c>
      <c r="M136" s="491">
        <f t="shared" ca="1" si="141"/>
        <v>1951450.1652626572</v>
      </c>
      <c r="N136" s="491">
        <f t="shared" ca="1" si="141"/>
        <v>2027402.4964645312</v>
      </c>
      <c r="O136" s="491">
        <f t="shared" ca="1" si="141"/>
        <v>2130241.0740192439</v>
      </c>
      <c r="P136" s="491">
        <f t="shared" ref="P136:Q140" ca="1" si="142">P151*P$141</f>
        <v>2309251.9454582999</v>
      </c>
      <c r="Q136" s="491">
        <f t="shared" ca="1" si="142"/>
        <v>2497547.4931961335</v>
      </c>
      <c r="R136" s="491">
        <f t="shared" ref="R136:V140" ca="1" si="143">R151*R$141</f>
        <v>2614191.0336776804</v>
      </c>
      <c r="S136" s="491">
        <f t="shared" ca="1" si="143"/>
        <v>2733245.8963002809</v>
      </c>
      <c r="T136" s="491">
        <f t="shared" ca="1" si="143"/>
        <v>2854753.1880695601</v>
      </c>
      <c r="U136" s="491">
        <f t="shared" ca="1" si="143"/>
        <v>2978754.6646925677</v>
      </c>
      <c r="V136" s="491">
        <f t="shared" ca="1" si="143"/>
        <v>3105292.7405599044</v>
      </c>
      <c r="W136" s="491">
        <f t="shared" ref="W136" ca="1" si="144">W151*W$141</f>
        <v>3234410.4988834504</v>
      </c>
      <c r="X136" s="491"/>
      <c r="Y136" s="491"/>
      <c r="Z136" s="491"/>
      <c r="AA136" s="491"/>
      <c r="AB136" s="491"/>
      <c r="AC136" s="491"/>
      <c r="AD136" s="491"/>
      <c r="AE136" s="491"/>
      <c r="AF136" s="491"/>
    </row>
    <row r="137" spans="2:32">
      <c r="B137" s="478" t="str">
        <f t="shared" si="140"/>
        <v>AMX</v>
      </c>
      <c r="C137" s="491"/>
      <c r="D137" s="491"/>
      <c r="E137" s="491"/>
      <c r="F137" s="491"/>
      <c r="G137" s="491">
        <v>591955</v>
      </c>
      <c r="H137" s="491">
        <v>847278</v>
      </c>
      <c r="I137" s="491">
        <v>1161903</v>
      </c>
      <c r="J137" s="491">
        <f t="shared" ref="J137:O137" ca="1" si="145">J152*J$141</f>
        <v>1453298.6387169065</v>
      </c>
      <c r="K137" s="491">
        <f t="shared" ca="1" si="145"/>
        <v>1729802.8700912567</v>
      </c>
      <c r="L137" s="491">
        <f t="shared" ca="1" si="145"/>
        <v>1918946.3481377827</v>
      </c>
      <c r="M137" s="491">
        <f t="shared" ca="1" si="145"/>
        <v>2112296.0852275547</v>
      </c>
      <c r="N137" s="491">
        <f t="shared" ca="1" si="145"/>
        <v>2267183.0418611071</v>
      </c>
      <c r="O137" s="491">
        <f t="shared" ca="1" si="145"/>
        <v>2382184.3203382455</v>
      </c>
      <c r="P137" s="491">
        <f t="shared" ca="1" si="142"/>
        <v>2499589.2444627951</v>
      </c>
      <c r="Q137" s="491">
        <f t="shared" ca="1" si="142"/>
        <v>2619438.9475855166</v>
      </c>
      <c r="R137" s="491">
        <f t="shared" ca="1" si="143"/>
        <v>2741775.2129634493</v>
      </c>
      <c r="S137" s="491">
        <f t="shared" ca="1" si="143"/>
        <v>2866640.4837551559</v>
      </c>
      <c r="T137" s="491">
        <f t="shared" ca="1" si="143"/>
        <v>2994077.8731714343</v>
      </c>
      <c r="U137" s="491">
        <f t="shared" ca="1" si="143"/>
        <v>3124131.1747840312</v>
      </c>
      <c r="V137" s="491">
        <f t="shared" ca="1" si="143"/>
        <v>3256844.8729949351</v>
      </c>
      <c r="W137" s="491">
        <f t="shared" ref="W137" ca="1" si="146">W152*W$141</f>
        <v>3392264.1536688786</v>
      </c>
      <c r="X137" s="491"/>
      <c r="Y137" s="491"/>
      <c r="Z137" s="491"/>
      <c r="AA137" s="491"/>
      <c r="AB137" s="491"/>
      <c r="AC137" s="491"/>
      <c r="AD137" s="491"/>
      <c r="AE137" s="491"/>
      <c r="AF137" s="491"/>
    </row>
    <row r="138" spans="2:32">
      <c r="B138" s="478" t="str">
        <f t="shared" si="140"/>
        <v>TEF</v>
      </c>
      <c r="C138" s="491"/>
      <c r="D138" s="491"/>
      <c r="E138" s="491"/>
      <c r="F138" s="491"/>
      <c r="G138" s="491">
        <v>547972</v>
      </c>
      <c r="H138" s="491">
        <v>612332</v>
      </c>
      <c r="I138" s="491">
        <v>705449</v>
      </c>
      <c r="J138" s="491">
        <f t="shared" ref="J138:O138" ca="1" si="147">J153*J$141</f>
        <v>764732.30494294257</v>
      </c>
      <c r="K138" s="491">
        <f t="shared" ca="1" si="147"/>
        <v>817899.15436385327</v>
      </c>
      <c r="L138" s="491">
        <f t="shared" ca="1" si="147"/>
        <v>864710.7058939226</v>
      </c>
      <c r="M138" s="491">
        <f t="shared" ca="1" si="147"/>
        <v>904922.30267150619</v>
      </c>
      <c r="N138" s="491">
        <f t="shared" ca="1" si="147"/>
        <v>920921.66362450051</v>
      </c>
      <c r="O138" s="491">
        <f t="shared" ca="1" si="147"/>
        <v>914725.24969798804</v>
      </c>
      <c r="P138" s="491">
        <f t="shared" ca="1" si="142"/>
        <v>904289.94213608152</v>
      </c>
      <c r="Q138" s="491">
        <f t="shared" ca="1" si="142"/>
        <v>889469.54981145402</v>
      </c>
      <c r="R138" s="491">
        <f t="shared" ca="1" si="143"/>
        <v>931010.65272268024</v>
      </c>
      <c r="S138" s="491">
        <f t="shared" ca="1" si="143"/>
        <v>973410.51712897164</v>
      </c>
      <c r="T138" s="491">
        <f t="shared" ca="1" si="143"/>
        <v>1016683.7827638615</v>
      </c>
      <c r="U138" s="491">
        <f t="shared" ca="1" si="143"/>
        <v>1060845.320387587</v>
      </c>
      <c r="V138" s="491">
        <f t="shared" ca="1" si="143"/>
        <v>1105910.2353420944</v>
      </c>
      <c r="W138" s="491">
        <f t="shared" ref="W138" ca="1" si="148">W153*W$141</f>
        <v>1151893.8711614634</v>
      </c>
      <c r="X138" s="491"/>
      <c r="Y138" s="491"/>
      <c r="Z138" s="491"/>
      <c r="AA138" s="491"/>
      <c r="AB138" s="491"/>
      <c r="AC138" s="491"/>
      <c r="AD138" s="491"/>
      <c r="AE138" s="491"/>
      <c r="AF138" s="491"/>
    </row>
    <row r="139" spans="2:32">
      <c r="B139" s="478" t="str">
        <f t="shared" si="140"/>
        <v>ETB</v>
      </c>
      <c r="C139" s="491"/>
      <c r="D139" s="491"/>
      <c r="E139" s="491"/>
      <c r="F139" s="491"/>
      <c r="G139" s="491">
        <v>483456</v>
      </c>
      <c r="H139" s="491">
        <v>561162</v>
      </c>
      <c r="I139" s="491">
        <v>551607</v>
      </c>
      <c r="J139" s="491">
        <f t="shared" ref="J139:O139" ca="1" si="149">J154*J$141</f>
        <v>533295.22138590494</v>
      </c>
      <c r="K139" s="491">
        <f t="shared" ca="1" si="149"/>
        <v>597164.26688892429</v>
      </c>
      <c r="L139" s="491">
        <f t="shared" ca="1" si="149"/>
        <v>719288.26309707854</v>
      </c>
      <c r="M139" s="491">
        <f t="shared" ca="1" si="149"/>
        <v>854316.07038930466</v>
      </c>
      <c r="N139" s="491">
        <f t="shared" ca="1" si="149"/>
        <v>984100.32900764758</v>
      </c>
      <c r="O139" s="491">
        <f t="shared" ca="1" si="149"/>
        <v>1104564.1624525459</v>
      </c>
      <c r="P139" s="491">
        <f t="shared" ca="1" si="142"/>
        <v>1233024.9908278934</v>
      </c>
      <c r="Q139" s="491">
        <f t="shared" ca="1" si="142"/>
        <v>1369717.8677305644</v>
      </c>
      <c r="R139" s="491">
        <f t="shared" ca="1" si="143"/>
        <v>1433688.1193426654</v>
      </c>
      <c r="S139" s="491">
        <f t="shared" ca="1" si="143"/>
        <v>1498980.8006704985</v>
      </c>
      <c r="T139" s="491">
        <f t="shared" ca="1" si="143"/>
        <v>1565618.4558299403</v>
      </c>
      <c r="U139" s="491">
        <f t="shared" ca="1" si="143"/>
        <v>1633623.9847010463</v>
      </c>
      <c r="V139" s="491">
        <f t="shared" ca="1" si="143"/>
        <v>1703020.6484024981</v>
      </c>
      <c r="W139" s="491">
        <f t="shared" ref="W139" ca="1" si="150">W154*W$141</f>
        <v>1773832.0748513923</v>
      </c>
      <c r="X139" s="491"/>
      <c r="Y139" s="491"/>
      <c r="Z139" s="491"/>
      <c r="AA139" s="491"/>
      <c r="AB139" s="491"/>
      <c r="AC139" s="491"/>
      <c r="AD139" s="491"/>
      <c r="AE139" s="491"/>
      <c r="AF139" s="491"/>
    </row>
    <row r="140" spans="2:32">
      <c r="B140" s="487" t="str">
        <f t="shared" si="140"/>
        <v>Others</v>
      </c>
      <c r="C140" s="597"/>
      <c r="D140" s="597"/>
      <c r="E140" s="597"/>
      <c r="F140" s="597"/>
      <c r="G140" s="597">
        <f ca="1">G141-SUM(G136:G139)</f>
        <v>328148</v>
      </c>
      <c r="H140" s="597">
        <f ca="1">H141-SUM(H136:H139)</f>
        <v>300620</v>
      </c>
      <c r="I140" s="597">
        <f ca="1">I141-SUM(I136:I139)</f>
        <v>460920</v>
      </c>
      <c r="J140" s="597">
        <f t="shared" ref="J140:O140" ca="1" si="151">J155*J$141</f>
        <v>510634.70420579164</v>
      </c>
      <c r="K140" s="597">
        <f t="shared" ca="1" si="151"/>
        <v>482143.65819284134</v>
      </c>
      <c r="L140" s="597">
        <f t="shared" ca="1" si="151"/>
        <v>463828.5293140721</v>
      </c>
      <c r="M140" s="597">
        <f t="shared" ca="1" si="151"/>
        <v>432371.14787942026</v>
      </c>
      <c r="N140" s="597">
        <f t="shared" ca="1" si="151"/>
        <v>514430.63110569824</v>
      </c>
      <c r="O140" s="597">
        <f t="shared" ca="1" si="151"/>
        <v>522888.25839972839</v>
      </c>
      <c r="P140" s="597">
        <f t="shared" ca="1" si="142"/>
        <v>456130.00352763955</v>
      </c>
      <c r="Q140" s="597">
        <f t="shared" ca="1" si="142"/>
        <v>381035.30060139688</v>
      </c>
      <c r="R140" s="597">
        <f t="shared" ca="1" si="143"/>
        <v>398830.88071816193</v>
      </c>
      <c r="S140" s="597">
        <f t="shared" ca="1" si="143"/>
        <v>416994.3412693796</v>
      </c>
      <c r="T140" s="597">
        <f t="shared" ca="1" si="143"/>
        <v>435531.95369544812</v>
      </c>
      <c r="U140" s="597">
        <f t="shared" ca="1" si="143"/>
        <v>454450.08840511082</v>
      </c>
      <c r="V140" s="597">
        <f t="shared" ca="1" si="143"/>
        <v>473755.21629836707</v>
      </c>
      <c r="W140" s="597">
        <f t="shared" ref="W140" ca="1" si="152">W155*W$141</f>
        <v>493453.91031312285</v>
      </c>
      <c r="X140" s="491"/>
      <c r="Y140" s="491"/>
      <c r="Z140" s="491"/>
      <c r="AA140" s="491"/>
      <c r="AB140" s="491"/>
      <c r="AC140" s="491"/>
      <c r="AD140" s="491"/>
      <c r="AE140" s="491"/>
      <c r="AF140" s="491"/>
    </row>
    <row r="141" spans="2:32">
      <c r="B141" s="478" t="str">
        <f t="shared" si="140"/>
        <v>Total</v>
      </c>
      <c r="C141" s="491"/>
      <c r="D141" s="491"/>
      <c r="E141" s="491"/>
      <c r="F141" s="491"/>
      <c r="G141" s="491">
        <f ca="1">SUM(G136:G140)</f>
        <v>2651363</v>
      </c>
      <c r="H141" s="491">
        <f ca="1">SUM(H136:H140)</f>
        <v>3331168</v>
      </c>
      <c r="I141" s="491">
        <f ca="1">SUM(I136:I140)</f>
        <v>4038901</v>
      </c>
      <c r="J141" s="491">
        <f t="shared" ref="J141:O141" ca="1" si="153">J143+J144</f>
        <v>4574753.6673523216</v>
      </c>
      <c r="K141" s="491">
        <f t="shared" ca="1" si="153"/>
        <v>5122639.9757762216</v>
      </c>
      <c r="L141" s="491">
        <f t="shared" ca="1" si="153"/>
        <v>5682769.6637026677</v>
      </c>
      <c r="M141" s="491">
        <f t="shared" ca="1" si="153"/>
        <v>6255355.771430444</v>
      </c>
      <c r="N141" s="491">
        <f t="shared" ca="1" si="153"/>
        <v>6714038.162063485</v>
      </c>
      <c r="O141" s="491">
        <f t="shared" ca="1" si="153"/>
        <v>7054603.064907752</v>
      </c>
      <c r="P141" s="491">
        <f t="shared" ref="P141:V141" ca="1" si="154">P143+P144</f>
        <v>7402286.1264127102</v>
      </c>
      <c r="Q141" s="491">
        <f t="shared" ca="1" si="154"/>
        <v>7757209.1589250667</v>
      </c>
      <c r="R141" s="491">
        <f t="shared" ca="1" si="154"/>
        <v>8119495.8994246386</v>
      </c>
      <c r="S141" s="491">
        <f t="shared" ca="1" si="154"/>
        <v>8489272.0391242877</v>
      </c>
      <c r="T141" s="491">
        <f t="shared" ca="1" si="154"/>
        <v>8866665.2535302453</v>
      </c>
      <c r="U141" s="491">
        <f t="shared" ca="1" si="154"/>
        <v>9251805.2329703439</v>
      </c>
      <c r="V141" s="491">
        <f t="shared" ca="1" si="154"/>
        <v>9644823.7135978006</v>
      </c>
      <c r="W141" s="491">
        <f t="shared" ref="W141" ca="1" si="155">W143+W144</f>
        <v>10045854.508878309</v>
      </c>
      <c r="X141" s="491"/>
      <c r="Y141" s="491"/>
      <c r="Z141" s="491"/>
      <c r="AA141" s="491"/>
      <c r="AB141" s="491"/>
      <c r="AC141" s="491"/>
      <c r="AD141" s="491"/>
      <c r="AE141" s="491"/>
      <c r="AF141" s="491"/>
    </row>
    <row r="142" spans="2:32">
      <c r="B142" s="478"/>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1"/>
      <c r="AC142" s="491"/>
      <c r="AD142" s="491"/>
      <c r="AE142" s="491"/>
      <c r="AF142" s="491"/>
    </row>
    <row r="143" spans="2:32">
      <c r="B143" s="608" t="s">
        <v>3008</v>
      </c>
      <c r="C143" s="491"/>
      <c r="D143" s="491"/>
      <c r="E143" s="491"/>
      <c r="F143" s="491"/>
      <c r="G143" s="491">
        <f ca="1">G141-G144</f>
        <v>2321887</v>
      </c>
      <c r="H143" s="491">
        <f ca="1">H141-H144</f>
        <v>2928555</v>
      </c>
      <c r="I143" s="491">
        <f ca="1">I141-I144</f>
        <v>3636534</v>
      </c>
      <c r="J143" s="491">
        <f t="shared" ref="J143:O143" ca="1" si="156">J146*J108</f>
        <v>4162327.4923523213</v>
      </c>
      <c r="K143" s="491">
        <f t="shared" ca="1" si="156"/>
        <v>4699903.1464012219</v>
      </c>
      <c r="L143" s="491">
        <f t="shared" ca="1" si="156"/>
        <v>5249464.4135932932</v>
      </c>
      <c r="M143" s="491">
        <f t="shared" ca="1" si="156"/>
        <v>5811217.8900683345</v>
      </c>
      <c r="N143" s="491">
        <f t="shared" ca="1" si="156"/>
        <v>6258796.833667323</v>
      </c>
      <c r="O143" s="491">
        <f t="shared" ca="1" si="156"/>
        <v>6587980.7033016859</v>
      </c>
      <c r="P143" s="491">
        <f t="shared" ref="P143:V143" ca="1" si="157">P146*P108</f>
        <v>6923998.2057664925</v>
      </c>
      <c r="Q143" s="491">
        <f t="shared" ca="1" si="157"/>
        <v>7266964.0402626935</v>
      </c>
      <c r="R143" s="491">
        <f t="shared" ca="1" si="157"/>
        <v>7616994.6527957069</v>
      </c>
      <c r="S143" s="491">
        <f t="shared" ca="1" si="157"/>
        <v>7974208.2613296323</v>
      </c>
      <c r="T143" s="491">
        <f t="shared" ca="1" si="157"/>
        <v>8338724.8812907226</v>
      </c>
      <c r="U143" s="491">
        <f t="shared" ca="1" si="157"/>
        <v>8710666.3514248338</v>
      </c>
      <c r="V143" s="491">
        <f t="shared" ca="1" si="157"/>
        <v>9090156.3600136526</v>
      </c>
      <c r="W143" s="491">
        <f t="shared" ref="W143" ca="1" si="158">W146*W108</f>
        <v>9477320.4714545589</v>
      </c>
      <c r="X143" s="491"/>
      <c r="Y143" s="491"/>
      <c r="Z143" s="491"/>
      <c r="AA143" s="491"/>
      <c r="AB143" s="491"/>
      <c r="AC143" s="491"/>
      <c r="AD143" s="491"/>
      <c r="AE143" s="491"/>
      <c r="AF143" s="491"/>
    </row>
    <row r="144" spans="2:32">
      <c r="B144" s="608" t="s">
        <v>3009</v>
      </c>
      <c r="C144" s="491"/>
      <c r="D144" s="491"/>
      <c r="E144" s="491"/>
      <c r="F144" s="491"/>
      <c r="G144" s="491">
        <v>329476</v>
      </c>
      <c r="H144" s="491">
        <v>402613</v>
      </c>
      <c r="I144" s="491">
        <v>402367</v>
      </c>
      <c r="J144" s="679">
        <f t="shared" ref="J144:W144" si="159">I144*1.025</f>
        <v>412426.17499999999</v>
      </c>
      <c r="K144" s="679">
        <f t="shared" si="159"/>
        <v>422736.82937499997</v>
      </c>
      <c r="L144" s="679">
        <f t="shared" si="159"/>
        <v>433305.25010937493</v>
      </c>
      <c r="M144" s="679">
        <f t="shared" si="159"/>
        <v>444137.88136210927</v>
      </c>
      <c r="N144" s="679">
        <f t="shared" si="159"/>
        <v>455241.32839616196</v>
      </c>
      <c r="O144" s="679">
        <f t="shared" si="159"/>
        <v>466622.36160606594</v>
      </c>
      <c r="P144" s="679">
        <f t="shared" si="159"/>
        <v>478287.92064621754</v>
      </c>
      <c r="Q144" s="679">
        <f t="shared" si="159"/>
        <v>490245.11866237293</v>
      </c>
      <c r="R144" s="679">
        <f t="shared" si="159"/>
        <v>502501.24662893219</v>
      </c>
      <c r="S144" s="679">
        <f t="shared" si="159"/>
        <v>515063.77779465547</v>
      </c>
      <c r="T144" s="679">
        <f t="shared" si="159"/>
        <v>527940.37223952182</v>
      </c>
      <c r="U144" s="679">
        <f t="shared" si="159"/>
        <v>541138.88154550979</v>
      </c>
      <c r="V144" s="679">
        <f t="shared" si="159"/>
        <v>554667.35358414752</v>
      </c>
      <c r="W144" s="679">
        <f t="shared" si="159"/>
        <v>568534.0374237512</v>
      </c>
      <c r="X144" s="679"/>
      <c r="Y144" s="679"/>
      <c r="Z144" s="679"/>
      <c r="AA144" s="679"/>
      <c r="AB144" s="679"/>
      <c r="AC144" s="679"/>
      <c r="AD144" s="679"/>
      <c r="AE144" s="679"/>
      <c r="AF144" s="679"/>
    </row>
    <row r="145" spans="2:32">
      <c r="B145" s="608"/>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1"/>
      <c r="AC145" s="491"/>
      <c r="AD145" s="491"/>
      <c r="AE145" s="491"/>
      <c r="AF145" s="491"/>
    </row>
    <row r="146" spans="2:32">
      <c r="B146" s="674" t="s">
        <v>3010</v>
      </c>
      <c r="C146" s="598"/>
      <c r="D146" s="598"/>
      <c r="E146" s="598"/>
      <c r="F146" s="598"/>
      <c r="G146" s="677">
        <f ca="1">G143/G108</f>
        <v>0.19896504182088132</v>
      </c>
      <c r="H146" s="677">
        <f ca="1">H143/H108</f>
        <v>0.24805490202176644</v>
      </c>
      <c r="I146" s="677">
        <f ca="1">I143/I108</f>
        <v>0.30446741022569085</v>
      </c>
      <c r="J146" s="677">
        <f t="shared" ref="J146:W146" ca="1" si="160">I146+J147</f>
        <v>0.34446741022569083</v>
      </c>
      <c r="K146" s="677">
        <f t="shared" ca="1" si="160"/>
        <v>0.38446741022569081</v>
      </c>
      <c r="L146" s="677">
        <f t="shared" ca="1" si="160"/>
        <v>0.42446741022569079</v>
      </c>
      <c r="M146" s="677">
        <f t="shared" ca="1" si="160"/>
        <v>0.46446741022569077</v>
      </c>
      <c r="N146" s="677">
        <f t="shared" ca="1" si="160"/>
        <v>0.49446741022569074</v>
      </c>
      <c r="O146" s="677">
        <f t="shared" ca="1" si="160"/>
        <v>0.51446741022569076</v>
      </c>
      <c r="P146" s="677">
        <f t="shared" ca="1" si="160"/>
        <v>0.53446741022569078</v>
      </c>
      <c r="Q146" s="677">
        <f t="shared" ca="1" si="160"/>
        <v>0.55446741022569079</v>
      </c>
      <c r="R146" s="677">
        <f t="shared" ca="1" si="160"/>
        <v>0.57446741022569081</v>
      </c>
      <c r="S146" s="677">
        <f t="shared" ca="1" si="160"/>
        <v>0.59446741022569083</v>
      </c>
      <c r="T146" s="677">
        <f t="shared" ca="1" si="160"/>
        <v>0.61446741022569085</v>
      </c>
      <c r="U146" s="677">
        <f t="shared" ca="1" si="160"/>
        <v>0.63446741022569086</v>
      </c>
      <c r="V146" s="677">
        <f t="shared" ca="1" si="160"/>
        <v>0.65446741022569088</v>
      </c>
      <c r="W146" s="677">
        <f t="shared" ca="1" si="160"/>
        <v>0.6744674102256909</v>
      </c>
      <c r="X146" s="677"/>
      <c r="Y146" s="677"/>
      <c r="Z146" s="677"/>
      <c r="AA146" s="677"/>
      <c r="AB146" s="677"/>
      <c r="AC146" s="677"/>
      <c r="AD146" s="677"/>
      <c r="AE146" s="677"/>
      <c r="AF146" s="677"/>
    </row>
    <row r="147" spans="2:32">
      <c r="B147" s="608" t="s">
        <v>1933</v>
      </c>
      <c r="C147" s="598"/>
      <c r="D147" s="598"/>
      <c r="E147" s="598"/>
      <c r="F147" s="598"/>
      <c r="G147" s="677"/>
      <c r="H147" s="509">
        <f ca="1">H146-G146</f>
        <v>4.9089860200885127E-2</v>
      </c>
      <c r="I147" s="509">
        <f ca="1">I146-H146</f>
        <v>5.6412508203924405E-2</v>
      </c>
      <c r="J147" s="678">
        <v>0.04</v>
      </c>
      <c r="K147" s="678">
        <v>0.04</v>
      </c>
      <c r="L147" s="678">
        <v>0.04</v>
      </c>
      <c r="M147" s="678">
        <v>0.04</v>
      </c>
      <c r="N147" s="678">
        <v>0.03</v>
      </c>
      <c r="O147" s="678">
        <v>0.02</v>
      </c>
      <c r="P147" s="678">
        <v>0.02</v>
      </c>
      <c r="Q147" s="678">
        <v>0.02</v>
      </c>
      <c r="R147" s="678">
        <v>0.02</v>
      </c>
      <c r="S147" s="678">
        <v>0.02</v>
      </c>
      <c r="T147" s="678">
        <v>0.02</v>
      </c>
      <c r="U147" s="678">
        <v>0.02</v>
      </c>
      <c r="V147" s="678">
        <v>0.02</v>
      </c>
      <c r="W147" s="678">
        <v>0.02</v>
      </c>
      <c r="X147" s="678"/>
      <c r="Y147" s="678"/>
      <c r="Z147" s="678"/>
      <c r="AA147" s="678"/>
      <c r="AB147" s="678"/>
      <c r="AC147" s="678"/>
      <c r="AD147" s="678"/>
      <c r="AE147" s="678"/>
      <c r="AF147" s="678"/>
    </row>
    <row r="148" spans="2:32">
      <c r="B148" s="608" t="s">
        <v>3011</v>
      </c>
      <c r="C148" s="598"/>
      <c r="D148" s="598"/>
      <c r="E148" s="598"/>
      <c r="F148" s="598"/>
      <c r="G148" s="509">
        <f ca="1">G141/G117</f>
        <v>0.368953816117498</v>
      </c>
      <c r="H148" s="509">
        <f t="shared" ref="H148:O148" ca="1" si="161">H141/H117</f>
        <v>0.46745165396008831</v>
      </c>
      <c r="I148" s="509">
        <f t="shared" ca="1" si="161"/>
        <v>0.6420433789700285</v>
      </c>
      <c r="J148" s="509">
        <f t="shared" ca="1" si="161"/>
        <v>0.73360772964569387</v>
      </c>
      <c r="K148" s="509">
        <f t="shared" ca="1" si="161"/>
        <v>0.82901528742782615</v>
      </c>
      <c r="L148" s="509">
        <f t="shared" ca="1" si="161"/>
        <v>0.9285092766636861</v>
      </c>
      <c r="M148" s="509">
        <f t="shared" ca="1" si="161"/>
        <v>1.0323539248923441</v>
      </c>
      <c r="N148" s="509">
        <f t="shared" ca="1" si="161"/>
        <v>1.1197271031830689</v>
      </c>
      <c r="O148" s="509">
        <f t="shared" ca="1" si="161"/>
        <v>1.1894965040767844</v>
      </c>
      <c r="P148" s="509">
        <f t="shared" ref="P148:V148" ca="1" si="162">P141/P117</f>
        <v>1.26252132763501</v>
      </c>
      <c r="Q148" s="509">
        <f t="shared" ca="1" si="162"/>
        <v>1.3390321855097318</v>
      </c>
      <c r="R148" s="509">
        <f t="shared" ca="1" si="162"/>
        <v>1.4192820094955121</v>
      </c>
      <c r="S148" s="509">
        <f t="shared" ca="1" si="162"/>
        <v>1.5035488181801324</v>
      </c>
      <c r="T148" s="509">
        <f t="shared" ca="1" si="162"/>
        <v>1.5921389055777269</v>
      </c>
      <c r="U148" s="509">
        <f t="shared" ca="1" si="162"/>
        <v>1.6853905287927937</v>
      </c>
      <c r="V148" s="509">
        <f t="shared" ca="1" si="162"/>
        <v>1.7836781882717887</v>
      </c>
      <c r="W148" s="509">
        <f t="shared" ref="W148" ca="1" si="163">W141/W117</f>
        <v>1.8874176147960242</v>
      </c>
      <c r="X148" s="509"/>
      <c r="Y148" s="509"/>
      <c r="Z148" s="509"/>
      <c r="AA148" s="509"/>
      <c r="AB148" s="509"/>
      <c r="AC148" s="509"/>
      <c r="AD148" s="509"/>
      <c r="AE148" s="509"/>
      <c r="AF148" s="509"/>
    </row>
    <row r="149" spans="2:32">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row>
    <row r="150" spans="2:32">
      <c r="B150" s="450" t="s">
        <v>2979</v>
      </c>
      <c r="C150" s="450"/>
      <c r="D150" s="450"/>
      <c r="E150" s="450"/>
      <c r="F150" s="450"/>
      <c r="G150" s="450"/>
      <c r="H150" s="450"/>
      <c r="I150" s="450"/>
      <c r="J150" s="450"/>
      <c r="K150" s="450"/>
      <c r="L150" s="450"/>
      <c r="M150" s="450"/>
      <c r="N150" s="450"/>
      <c r="O150" s="509"/>
      <c r="P150" s="509"/>
      <c r="Q150" s="509"/>
      <c r="R150" s="509"/>
      <c r="S150" s="509"/>
      <c r="T150" s="509"/>
      <c r="U150" s="509"/>
      <c r="V150" s="509"/>
      <c r="W150" s="509"/>
      <c r="X150" s="509"/>
      <c r="Y150" s="509"/>
      <c r="Z150" s="509"/>
      <c r="AA150" s="509"/>
      <c r="AB150" s="509"/>
      <c r="AC150" s="509"/>
      <c r="AD150" s="509"/>
      <c r="AE150" s="509"/>
      <c r="AF150" s="509"/>
    </row>
    <row r="151" spans="2:32">
      <c r="B151" s="478" t="str">
        <f t="shared" ref="B151:B156" si="164">B136</f>
        <v>UNE  (inc Edatel/Pereira)</v>
      </c>
      <c r="C151" s="450"/>
      <c r="D151" s="450"/>
      <c r="E151" s="450"/>
      <c r="F151" s="450"/>
      <c r="G151" s="509">
        <f t="shared" ref="G151:I156" ca="1" si="165">G136/G$141</f>
        <v>0.26395178630764632</v>
      </c>
      <c r="H151" s="509">
        <f t="shared" ca="1" si="165"/>
        <v>0.3031297130616048</v>
      </c>
      <c r="I151" s="509">
        <f t="shared" ca="1" si="165"/>
        <v>0.28696469658454121</v>
      </c>
      <c r="J151" s="678">
        <f ca="1">I151</f>
        <v>0.28696469658454121</v>
      </c>
      <c r="K151" s="678">
        <f ca="1">J151+0.5%</f>
        <v>0.29196469658454122</v>
      </c>
      <c r="L151" s="678">
        <f t="shared" ref="L151:Q151" ca="1" si="166">K151+1%</f>
        <v>0.30196469658454123</v>
      </c>
      <c r="M151" s="678">
        <f t="shared" ca="1" si="166"/>
        <v>0.31196469658454123</v>
      </c>
      <c r="N151" s="678">
        <f ca="1">M151-1%</f>
        <v>0.30196469658454123</v>
      </c>
      <c r="O151" s="678">
        <f ca="1">N151</f>
        <v>0.30196469658454123</v>
      </c>
      <c r="P151" s="678">
        <f t="shared" ca="1" si="166"/>
        <v>0.31196469658454123</v>
      </c>
      <c r="Q151" s="678">
        <f t="shared" ca="1" si="166"/>
        <v>0.32196469658454124</v>
      </c>
      <c r="R151" s="678">
        <f t="shared" ref="R151:W151" ca="1" si="167">Q151</f>
        <v>0.32196469658454124</v>
      </c>
      <c r="S151" s="678">
        <f t="shared" ca="1" si="167"/>
        <v>0.32196469658454124</v>
      </c>
      <c r="T151" s="678">
        <f t="shared" ca="1" si="167"/>
        <v>0.32196469658454124</v>
      </c>
      <c r="U151" s="678">
        <f t="shared" ca="1" si="167"/>
        <v>0.32196469658454124</v>
      </c>
      <c r="V151" s="678">
        <f t="shared" ca="1" si="167"/>
        <v>0.32196469658454124</v>
      </c>
      <c r="W151" s="678">
        <f t="shared" ca="1" si="167"/>
        <v>0.32196469658454124</v>
      </c>
      <c r="X151" s="678"/>
      <c r="Y151" s="678"/>
      <c r="Z151" s="678"/>
      <c r="AA151" s="678"/>
      <c r="AB151" s="678"/>
      <c r="AC151" s="678"/>
      <c r="AD151" s="678"/>
      <c r="AE151" s="678"/>
      <c r="AF151" s="678"/>
    </row>
    <row r="152" spans="2:32">
      <c r="B152" s="478" t="str">
        <f t="shared" si="164"/>
        <v>AMX</v>
      </c>
      <c r="C152" s="450"/>
      <c r="D152" s="450"/>
      <c r="E152" s="450"/>
      <c r="F152" s="450"/>
      <c r="G152" s="509">
        <f t="shared" ca="1" si="165"/>
        <v>0.22326441154983304</v>
      </c>
      <c r="H152" s="509">
        <f t="shared" ca="1" si="165"/>
        <v>0.25434862486671339</v>
      </c>
      <c r="I152" s="509">
        <f t="shared" ca="1" si="165"/>
        <v>0.28767800943870619</v>
      </c>
      <c r="J152" s="678">
        <f ca="1">I152+3%</f>
        <v>0.31767800943870617</v>
      </c>
      <c r="K152" s="678">
        <f ca="1">J152+2%</f>
        <v>0.33767800943870618</v>
      </c>
      <c r="L152" s="678">
        <f t="shared" ref="L152:W154" ca="1" si="168">K152</f>
        <v>0.33767800943870618</v>
      </c>
      <c r="M152" s="678">
        <f t="shared" ca="1" si="168"/>
        <v>0.33767800943870618</v>
      </c>
      <c r="N152" s="678">
        <f t="shared" ca="1" si="168"/>
        <v>0.33767800943870618</v>
      </c>
      <c r="O152" s="678">
        <f t="shared" ca="1" si="168"/>
        <v>0.33767800943870618</v>
      </c>
      <c r="P152" s="678">
        <f t="shared" ca="1" si="168"/>
        <v>0.33767800943870618</v>
      </c>
      <c r="Q152" s="678">
        <f t="shared" ca="1" si="168"/>
        <v>0.33767800943870618</v>
      </c>
      <c r="R152" s="678">
        <f t="shared" ca="1" si="168"/>
        <v>0.33767800943870618</v>
      </c>
      <c r="S152" s="678">
        <f t="shared" ca="1" si="168"/>
        <v>0.33767800943870618</v>
      </c>
      <c r="T152" s="678">
        <f t="shared" ca="1" si="168"/>
        <v>0.33767800943870618</v>
      </c>
      <c r="U152" s="678">
        <f t="shared" ca="1" si="168"/>
        <v>0.33767800943870618</v>
      </c>
      <c r="V152" s="678">
        <f t="shared" ca="1" si="168"/>
        <v>0.33767800943870618</v>
      </c>
      <c r="W152" s="678">
        <f t="shared" ca="1" si="168"/>
        <v>0.33767800943870618</v>
      </c>
      <c r="X152" s="678"/>
      <c r="Y152" s="678"/>
      <c r="Z152" s="678"/>
      <c r="AA152" s="678"/>
      <c r="AB152" s="678"/>
      <c r="AC152" s="678"/>
      <c r="AD152" s="678"/>
      <c r="AE152" s="678"/>
      <c r="AF152" s="678"/>
    </row>
    <row r="153" spans="2:32">
      <c r="B153" s="478" t="str">
        <f t="shared" si="164"/>
        <v>TEF</v>
      </c>
      <c r="C153" s="450"/>
      <c r="D153" s="450"/>
      <c r="E153" s="450"/>
      <c r="F153" s="450"/>
      <c r="G153" s="509">
        <f t="shared" ca="1" si="165"/>
        <v>0.20667558534987476</v>
      </c>
      <c r="H153" s="509">
        <f t="shared" ca="1" si="165"/>
        <v>0.18381900882813476</v>
      </c>
      <c r="I153" s="509">
        <f t="shared" ca="1" si="165"/>
        <v>0.17466360279689946</v>
      </c>
      <c r="J153" s="678">
        <f t="shared" ref="J153:Q153" ca="1" si="169">I153-0.75%</f>
        <v>0.16716360279689946</v>
      </c>
      <c r="K153" s="678">
        <f t="shared" ca="1" si="169"/>
        <v>0.15966360279689945</v>
      </c>
      <c r="L153" s="678">
        <f t="shared" ca="1" si="169"/>
        <v>0.15216360279689944</v>
      </c>
      <c r="M153" s="678">
        <f t="shared" ca="1" si="169"/>
        <v>0.14466360279689944</v>
      </c>
      <c r="N153" s="678">
        <f t="shared" ca="1" si="169"/>
        <v>0.13716360279689943</v>
      </c>
      <c r="O153" s="678">
        <f t="shared" ca="1" si="169"/>
        <v>0.12966360279689942</v>
      </c>
      <c r="P153" s="678">
        <f t="shared" ca="1" si="169"/>
        <v>0.12216360279689942</v>
      </c>
      <c r="Q153" s="678">
        <f t="shared" ca="1" si="169"/>
        <v>0.11466360279689941</v>
      </c>
      <c r="R153" s="678">
        <f t="shared" ca="1" si="168"/>
        <v>0.11466360279689941</v>
      </c>
      <c r="S153" s="678">
        <f t="shared" ca="1" si="168"/>
        <v>0.11466360279689941</v>
      </c>
      <c r="T153" s="678">
        <f t="shared" ca="1" si="168"/>
        <v>0.11466360279689941</v>
      </c>
      <c r="U153" s="678">
        <f t="shared" ca="1" si="168"/>
        <v>0.11466360279689941</v>
      </c>
      <c r="V153" s="678">
        <f t="shared" ca="1" si="168"/>
        <v>0.11466360279689941</v>
      </c>
      <c r="W153" s="678">
        <f t="shared" ca="1" si="168"/>
        <v>0.11466360279689941</v>
      </c>
      <c r="X153" s="678"/>
      <c r="Y153" s="678"/>
      <c r="Z153" s="678"/>
      <c r="AA153" s="678"/>
      <c r="AB153" s="678"/>
      <c r="AC153" s="678"/>
      <c r="AD153" s="678"/>
      <c r="AE153" s="678"/>
      <c r="AF153" s="678"/>
    </row>
    <row r="154" spans="2:32">
      <c r="B154" s="478" t="str">
        <f t="shared" si="164"/>
        <v>ETB</v>
      </c>
      <c r="C154" s="450"/>
      <c r="D154" s="450"/>
      <c r="E154" s="450"/>
      <c r="F154" s="450"/>
      <c r="G154" s="509">
        <f t="shared" ca="1" si="165"/>
        <v>0.18234244047306988</v>
      </c>
      <c r="H154" s="509">
        <f t="shared" ca="1" si="165"/>
        <v>0.16845803033650658</v>
      </c>
      <c r="I154" s="509">
        <f t="shared" ca="1" si="165"/>
        <v>0.13657353819764337</v>
      </c>
      <c r="J154" s="678">
        <f ca="1">I154-2%</f>
        <v>0.11657353819764336</v>
      </c>
      <c r="K154" s="678">
        <f ca="1">J154</f>
        <v>0.11657353819764336</v>
      </c>
      <c r="L154" s="678">
        <f t="shared" ref="L154:Q154" ca="1" si="170">K154+1%</f>
        <v>0.12657353819764336</v>
      </c>
      <c r="M154" s="678">
        <f t="shared" ca="1" si="170"/>
        <v>0.13657353819764337</v>
      </c>
      <c r="N154" s="678">
        <f t="shared" ca="1" si="170"/>
        <v>0.14657353819764338</v>
      </c>
      <c r="O154" s="678">
        <f t="shared" ca="1" si="170"/>
        <v>0.15657353819764339</v>
      </c>
      <c r="P154" s="678">
        <f t="shared" ca="1" si="170"/>
        <v>0.16657353819764339</v>
      </c>
      <c r="Q154" s="678">
        <f t="shared" ca="1" si="170"/>
        <v>0.1765735381976434</v>
      </c>
      <c r="R154" s="678">
        <f t="shared" ca="1" si="168"/>
        <v>0.1765735381976434</v>
      </c>
      <c r="S154" s="678">
        <f t="shared" ca="1" si="168"/>
        <v>0.1765735381976434</v>
      </c>
      <c r="T154" s="678">
        <f t="shared" ca="1" si="168"/>
        <v>0.1765735381976434</v>
      </c>
      <c r="U154" s="678">
        <f t="shared" ca="1" si="168"/>
        <v>0.1765735381976434</v>
      </c>
      <c r="V154" s="678">
        <f t="shared" ca="1" si="168"/>
        <v>0.1765735381976434</v>
      </c>
      <c r="W154" s="678">
        <f t="shared" ca="1" si="168"/>
        <v>0.1765735381976434</v>
      </c>
      <c r="X154" s="678"/>
      <c r="Y154" s="678"/>
      <c r="Z154" s="678"/>
      <c r="AA154" s="678"/>
      <c r="AB154" s="678"/>
      <c r="AC154" s="678"/>
      <c r="AD154" s="678"/>
      <c r="AE154" s="678"/>
      <c r="AF154" s="678"/>
    </row>
    <row r="155" spans="2:32">
      <c r="B155" s="487" t="str">
        <f t="shared" si="164"/>
        <v>Others</v>
      </c>
      <c r="C155" s="451"/>
      <c r="D155" s="451"/>
      <c r="E155" s="451"/>
      <c r="F155" s="451"/>
      <c r="G155" s="672">
        <f t="shared" ca="1" si="165"/>
        <v>0.12376577631957601</v>
      </c>
      <c r="H155" s="672">
        <f t="shared" ca="1" si="165"/>
        <v>9.0244622907040412E-2</v>
      </c>
      <c r="I155" s="672">
        <f t="shared" ca="1" si="165"/>
        <v>0.11412015298220976</v>
      </c>
      <c r="J155" s="672">
        <f t="shared" ref="J155:O155" ca="1" si="171">J156-SUM(J151:J154)</f>
        <v>0.11162015298220984</v>
      </c>
      <c r="K155" s="672">
        <f t="shared" ca="1" si="171"/>
        <v>9.412015298220977E-2</v>
      </c>
      <c r="L155" s="672">
        <f t="shared" ca="1" si="171"/>
        <v>8.1620152982209704E-2</v>
      </c>
      <c r="M155" s="672">
        <f t="shared" ca="1" si="171"/>
        <v>6.9120152982209637E-2</v>
      </c>
      <c r="N155" s="672">
        <f t="shared" ca="1" si="171"/>
        <v>7.6620152982209699E-2</v>
      </c>
      <c r="O155" s="672">
        <f t="shared" ca="1" si="171"/>
        <v>7.4120152982209753E-2</v>
      </c>
      <c r="P155" s="672">
        <f t="shared" ref="P155:V155" ca="1" si="172">P156-SUM(P151:P154)</f>
        <v>6.1620152982209686E-2</v>
      </c>
      <c r="Q155" s="672">
        <f t="shared" ca="1" si="172"/>
        <v>4.9120152982209619E-2</v>
      </c>
      <c r="R155" s="672">
        <f t="shared" ca="1" si="172"/>
        <v>4.9120152982209619E-2</v>
      </c>
      <c r="S155" s="672">
        <f t="shared" ca="1" si="172"/>
        <v>4.9120152982209619E-2</v>
      </c>
      <c r="T155" s="672">
        <f t="shared" ca="1" si="172"/>
        <v>4.9120152982209619E-2</v>
      </c>
      <c r="U155" s="672">
        <f t="shared" ca="1" si="172"/>
        <v>4.9120152982209619E-2</v>
      </c>
      <c r="V155" s="672">
        <f t="shared" ca="1" si="172"/>
        <v>4.9120152982209619E-2</v>
      </c>
      <c r="W155" s="672">
        <f t="shared" ref="W155" ca="1" si="173">W156-SUM(W151:W154)</f>
        <v>4.9120152982209619E-2</v>
      </c>
      <c r="X155" s="509"/>
      <c r="Y155" s="509"/>
      <c r="Z155" s="509"/>
      <c r="AA155" s="509"/>
      <c r="AB155" s="509"/>
      <c r="AC155" s="509"/>
      <c r="AD155" s="509"/>
      <c r="AE155" s="509"/>
      <c r="AF155" s="509"/>
    </row>
    <row r="156" spans="2:32">
      <c r="B156" s="478" t="str">
        <f t="shared" si="164"/>
        <v>Total</v>
      </c>
      <c r="C156" s="450"/>
      <c r="D156" s="450"/>
      <c r="E156" s="450"/>
      <c r="F156" s="450"/>
      <c r="G156" s="509">
        <f t="shared" ca="1" si="165"/>
        <v>1</v>
      </c>
      <c r="H156" s="509">
        <f t="shared" ca="1" si="165"/>
        <v>1</v>
      </c>
      <c r="I156" s="509">
        <f t="shared" ca="1" si="165"/>
        <v>1</v>
      </c>
      <c r="J156" s="509">
        <v>1</v>
      </c>
      <c r="K156" s="509">
        <v>1</v>
      </c>
      <c r="L156" s="509">
        <v>1</v>
      </c>
      <c r="M156" s="509">
        <v>1</v>
      </c>
      <c r="N156" s="509">
        <v>1</v>
      </c>
      <c r="O156" s="509">
        <v>1</v>
      </c>
      <c r="P156" s="509">
        <v>1</v>
      </c>
      <c r="Q156" s="509">
        <v>1</v>
      </c>
      <c r="R156" s="509">
        <v>1</v>
      </c>
      <c r="S156" s="509">
        <v>1</v>
      </c>
      <c r="T156" s="509">
        <v>1</v>
      </c>
      <c r="U156" s="509">
        <v>1</v>
      </c>
      <c r="V156" s="509">
        <v>1</v>
      </c>
      <c r="W156" s="509">
        <v>1</v>
      </c>
      <c r="X156" s="509"/>
      <c r="Y156" s="509"/>
      <c r="Z156" s="509"/>
      <c r="AA156" s="509"/>
      <c r="AB156" s="509"/>
      <c r="AC156" s="509"/>
      <c r="AD156" s="509"/>
      <c r="AE156" s="509"/>
      <c r="AF156" s="509"/>
    </row>
    <row r="157" spans="2:32">
      <c r="B157" s="478"/>
      <c r="C157" s="450"/>
      <c r="D157" s="450"/>
      <c r="E157" s="450"/>
      <c r="F157" s="450"/>
      <c r="G157" s="509"/>
      <c r="H157" s="509"/>
      <c r="I157" s="509"/>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row>
    <row r="158" spans="2:32">
      <c r="B158" s="450" t="s">
        <v>3000</v>
      </c>
      <c r="C158" s="598"/>
      <c r="D158" s="598"/>
      <c r="E158" s="598"/>
      <c r="F158" s="598"/>
      <c r="G158" s="598"/>
      <c r="H158" s="598"/>
      <c r="I158" s="598"/>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row>
    <row r="159" spans="2:32">
      <c r="B159" s="478" t="str">
        <f>B151</f>
        <v>UNE  (inc Edatel/Pereira)</v>
      </c>
      <c r="C159" s="491"/>
      <c r="D159" s="491"/>
      <c r="E159" s="491"/>
      <c r="F159" s="491"/>
      <c r="G159" s="491">
        <v>912762</v>
      </c>
      <c r="H159" s="491">
        <v>1034766</v>
      </c>
      <c r="I159" s="491">
        <v>1049135</v>
      </c>
      <c r="J159" s="491">
        <f t="shared" ref="J159:O159" si="174">J168*J$165</f>
        <v>1208415.5135779278</v>
      </c>
      <c r="K159" s="491">
        <f t="shared" si="174"/>
        <v>1396647.5462973884</v>
      </c>
      <c r="L159" s="491">
        <f t="shared" si="174"/>
        <v>1599004.0293668294</v>
      </c>
      <c r="M159" s="491">
        <f t="shared" si="174"/>
        <v>1815904.6407471763</v>
      </c>
      <c r="N159" s="491">
        <f t="shared" si="174"/>
        <v>2047778.2816423937</v>
      </c>
      <c r="O159" s="491">
        <f t="shared" si="174"/>
        <v>2257497.0483640595</v>
      </c>
      <c r="P159" s="491">
        <f t="shared" ref="P159:Q164" si="175">P168*P$165</f>
        <v>2440306.5065844404</v>
      </c>
      <c r="Q159" s="491">
        <f t="shared" si="175"/>
        <v>2591249.742078484</v>
      </c>
      <c r="R159" s="491">
        <f t="shared" ref="R159:V164" si="176">R168*R$165</f>
        <v>2748036.8631253554</v>
      </c>
      <c r="S159" s="491">
        <f t="shared" si="176"/>
        <v>2910814.716645679</v>
      </c>
      <c r="T159" s="491">
        <f t="shared" si="176"/>
        <v>3079733.1434704834</v>
      </c>
      <c r="U159" s="491">
        <f t="shared" si="176"/>
        <v>3254945.0324551375</v>
      </c>
      <c r="V159" s="491">
        <f t="shared" si="176"/>
        <v>3436606.3754980569</v>
      </c>
      <c r="W159" s="491">
        <f t="shared" ref="W159" si="177">W168*W$165</f>
        <v>3624876.3234785181</v>
      </c>
      <c r="X159" s="491"/>
      <c r="Y159" s="491"/>
      <c r="Z159" s="491"/>
      <c r="AA159" s="491"/>
      <c r="AB159" s="491"/>
      <c r="AC159" s="491"/>
      <c r="AD159" s="491"/>
      <c r="AE159" s="491"/>
      <c r="AF159" s="491"/>
    </row>
    <row r="160" spans="2:32">
      <c r="B160" s="478" t="str">
        <f>B152</f>
        <v>AMX</v>
      </c>
      <c r="C160" s="491"/>
      <c r="D160" s="491"/>
      <c r="E160" s="491"/>
      <c r="F160" s="491"/>
      <c r="G160" s="491">
        <v>1719643</v>
      </c>
      <c r="H160" s="491">
        <v>1814313</v>
      </c>
      <c r="I160" s="491">
        <v>1954784</v>
      </c>
      <c r="J160" s="491">
        <f t="shared" ref="J160:O160" si="178">J169*J$165</f>
        <v>2152250.4641286791</v>
      </c>
      <c r="K160" s="491">
        <f t="shared" si="178"/>
        <v>2279071.9650249579</v>
      </c>
      <c r="L160" s="491">
        <f t="shared" si="178"/>
        <v>2388774.0164290341</v>
      </c>
      <c r="M160" s="491">
        <f t="shared" si="178"/>
        <v>2480708.5405779099</v>
      </c>
      <c r="N160" s="491">
        <f t="shared" si="178"/>
        <v>2554211.9626322477</v>
      </c>
      <c r="O160" s="491">
        <f t="shared" si="178"/>
        <v>2565906.5709010977</v>
      </c>
      <c r="P160" s="491">
        <f t="shared" si="175"/>
        <v>2521374.2616591933</v>
      </c>
      <c r="Q160" s="491">
        <f t="shared" si="175"/>
        <v>2426508.5949959494</v>
      </c>
      <c r="R160" s="491">
        <f t="shared" si="176"/>
        <v>2323780.3011564072</v>
      </c>
      <c r="S160" s="491">
        <f t="shared" si="176"/>
        <v>2212956.7869521612</v>
      </c>
      <c r="T160" s="491">
        <f t="shared" si="176"/>
        <v>2093800.3767047799</v>
      </c>
      <c r="U160" s="491">
        <f t="shared" si="176"/>
        <v>1966068.2168292718</v>
      </c>
      <c r="V160" s="491">
        <f t="shared" si="176"/>
        <v>1829512.1787837474</v>
      </c>
      <c r="W160" s="491">
        <f t="shared" ref="W160" si="179">W169*W$165</f>
        <v>1683878.7603589846</v>
      </c>
      <c r="X160" s="491"/>
      <c r="Y160" s="491"/>
      <c r="Z160" s="491"/>
      <c r="AA160" s="491"/>
      <c r="AB160" s="491"/>
      <c r="AC160" s="491"/>
      <c r="AD160" s="491"/>
      <c r="AE160" s="491"/>
      <c r="AF160" s="491"/>
    </row>
    <row r="161" spans="2:32">
      <c r="B161" s="478" t="str">
        <f>B153</f>
        <v>TEF</v>
      </c>
      <c r="C161" s="491"/>
      <c r="D161" s="491"/>
      <c r="E161" s="491"/>
      <c r="F161" s="491"/>
      <c r="G161" s="491">
        <v>203717</v>
      </c>
      <c r="H161" s="491">
        <v>249466</v>
      </c>
      <c r="I161" s="491">
        <v>274008</v>
      </c>
      <c r="J161" s="491">
        <f t="shared" ref="J161:O161" si="180">J170*J$165</f>
        <v>315608.11339290068</v>
      </c>
      <c r="K161" s="491">
        <f t="shared" si="180"/>
        <v>336591.24875835585</v>
      </c>
      <c r="L161" s="491">
        <f t="shared" si="180"/>
        <v>355547.90556093515</v>
      </c>
      <c r="M161" s="491">
        <f t="shared" si="180"/>
        <v>372399.02395259484</v>
      </c>
      <c r="N161" s="491">
        <f t="shared" si="180"/>
        <v>387063.63701676606</v>
      </c>
      <c r="O161" s="491">
        <f t="shared" si="180"/>
        <v>392920.38528901519</v>
      </c>
      <c r="P161" s="491">
        <f t="shared" si="175"/>
        <v>390626.97460077226</v>
      </c>
      <c r="Q161" s="491">
        <f t="shared" si="175"/>
        <v>380879.11770948209</v>
      </c>
      <c r="R161" s="491">
        <f t="shared" si="176"/>
        <v>370187.42559400038</v>
      </c>
      <c r="S161" s="491">
        <f t="shared" si="176"/>
        <v>358523.44696033071</v>
      </c>
      <c r="T161" s="491">
        <f t="shared" si="176"/>
        <v>345858.10443208402</v>
      </c>
      <c r="U161" s="491">
        <f t="shared" si="176"/>
        <v>332161.68275400926</v>
      </c>
      <c r="V161" s="491">
        <f t="shared" si="176"/>
        <v>317403.81679309037</v>
      </c>
      <c r="W161" s="491">
        <f t="shared" ref="W161" si="181">W170*W$165</f>
        <v>301553.47933394671</v>
      </c>
      <c r="X161" s="491"/>
      <c r="Y161" s="491"/>
      <c r="Z161" s="491"/>
      <c r="AA161" s="491"/>
      <c r="AB161" s="491"/>
      <c r="AC161" s="491"/>
      <c r="AD161" s="491"/>
      <c r="AE161" s="491"/>
      <c r="AF161" s="491"/>
    </row>
    <row r="162" spans="2:32">
      <c r="B162" s="478" t="str">
        <f>B154</f>
        <v>ETB</v>
      </c>
      <c r="C162" s="491"/>
      <c r="D162" s="491"/>
      <c r="E162" s="491"/>
      <c r="F162" s="491"/>
      <c r="G162" s="491">
        <v>0</v>
      </c>
      <c r="H162" s="491">
        <v>0</v>
      </c>
      <c r="I162" s="491">
        <v>0</v>
      </c>
      <c r="J162" s="491">
        <f t="shared" ref="J162:O162" si="182">J171*J$165</f>
        <v>0</v>
      </c>
      <c r="K162" s="491">
        <f t="shared" si="182"/>
        <v>0</v>
      </c>
      <c r="L162" s="491">
        <f t="shared" si="182"/>
        <v>121430.44187809058</v>
      </c>
      <c r="M162" s="491">
        <f t="shared" si="182"/>
        <v>332143.67865795252</v>
      </c>
      <c r="N162" s="491">
        <f t="shared" si="182"/>
        <v>578139.12884053914</v>
      </c>
      <c r="O162" s="491">
        <f t="shared" si="182"/>
        <v>769527.86541261594</v>
      </c>
      <c r="P162" s="491">
        <f t="shared" si="175"/>
        <v>804422.45058592316</v>
      </c>
      <c r="Q162" s="491">
        <f t="shared" si="175"/>
        <v>826920.75766942557</v>
      </c>
      <c r="R162" s="491">
        <f t="shared" si="176"/>
        <v>849834.76820380567</v>
      </c>
      <c r="S162" s="491">
        <f t="shared" si="176"/>
        <v>873171.12239730265</v>
      </c>
      <c r="T162" s="491">
        <f t="shared" si="176"/>
        <v>896936.55884638417</v>
      </c>
      <c r="U162" s="491">
        <f t="shared" si="176"/>
        <v>921137.91592803621</v>
      </c>
      <c r="V162" s="491">
        <f t="shared" si="176"/>
        <v>945782.13321115531</v>
      </c>
      <c r="W162" s="491">
        <f t="shared" ref="W162" si="183">W171*W$165</f>
        <v>970876.25288729521</v>
      </c>
      <c r="X162" s="491"/>
      <c r="Y162" s="491"/>
      <c r="Z162" s="491"/>
      <c r="AA162" s="491"/>
      <c r="AB162" s="491"/>
      <c r="AC162" s="491"/>
      <c r="AD162" s="491"/>
      <c r="AE162" s="491"/>
      <c r="AF162" s="491"/>
    </row>
    <row r="163" spans="2:32">
      <c r="B163" s="478" t="s">
        <v>3001</v>
      </c>
      <c r="C163" s="491"/>
      <c r="D163" s="491"/>
      <c r="E163" s="491"/>
      <c r="F163" s="491"/>
      <c r="G163" s="491">
        <v>370490</v>
      </c>
      <c r="H163" s="491">
        <v>435495</v>
      </c>
      <c r="I163" s="491">
        <v>683178</v>
      </c>
      <c r="J163" s="491">
        <f t="shared" ref="J163:O163" si="184">J172*J$165</f>
        <v>935864.23544210452</v>
      </c>
      <c r="K163" s="491">
        <f t="shared" si="184"/>
        <v>1149199.4068324028</v>
      </c>
      <c r="L163" s="491">
        <f t="shared" si="184"/>
        <v>1326460.8923281496</v>
      </c>
      <c r="M163" s="491">
        <f t="shared" si="184"/>
        <v>1517714.2406170799</v>
      </c>
      <c r="N163" s="491">
        <f t="shared" si="184"/>
        <v>1651111.4866852029</v>
      </c>
      <c r="O163" s="491">
        <f t="shared" si="184"/>
        <v>1758159.9093010877</v>
      </c>
      <c r="P163" s="491">
        <f t="shared" si="175"/>
        <v>1837884.4565993266</v>
      </c>
      <c r="Q163" s="491">
        <f t="shared" si="175"/>
        <v>1889286.9116880051</v>
      </c>
      <c r="R163" s="491">
        <f t="shared" si="176"/>
        <v>1941639.1350363414</v>
      </c>
      <c r="S163" s="491">
        <f t="shared" si="176"/>
        <v>1994956.297697186</v>
      </c>
      <c r="T163" s="491">
        <f t="shared" si="176"/>
        <v>2049253.7955134786</v>
      </c>
      <c r="U163" s="491">
        <f t="shared" si="176"/>
        <v>2104547.2522992515</v>
      </c>
      <c r="V163" s="491">
        <f t="shared" si="176"/>
        <v>2160852.5230642711</v>
      </c>
      <c r="W163" s="491">
        <f t="shared" ref="W163" si="185">W172*W$165</f>
        <v>2218185.6972829024</v>
      </c>
      <c r="X163" s="491"/>
      <c r="Y163" s="491"/>
      <c r="Z163" s="491"/>
      <c r="AA163" s="491"/>
      <c r="AB163" s="491"/>
      <c r="AC163" s="491"/>
      <c r="AD163" s="491"/>
      <c r="AE163" s="491"/>
      <c r="AF163" s="491"/>
    </row>
    <row r="164" spans="2:32">
      <c r="B164" s="487" t="str">
        <f>B155</f>
        <v>Others</v>
      </c>
      <c r="C164" s="597"/>
      <c r="D164" s="597"/>
      <c r="E164" s="597"/>
      <c r="F164" s="597"/>
      <c r="G164" s="597">
        <v>303188</v>
      </c>
      <c r="H164" s="597">
        <v>337855</v>
      </c>
      <c r="I164" s="597">
        <v>349913</v>
      </c>
      <c r="J164" s="597">
        <f t="shared" ref="J164:O164" si="186">J173*J$165</f>
        <v>353381.86915645417</v>
      </c>
      <c r="K164" s="597">
        <f t="shared" si="186"/>
        <v>350963.4260066413</v>
      </c>
      <c r="L164" s="597">
        <f t="shared" si="186"/>
        <v>280304.80834148935</v>
      </c>
      <c r="M164" s="597">
        <f t="shared" si="186"/>
        <v>124003.44860633652</v>
      </c>
      <c r="N164" s="597">
        <f t="shared" si="186"/>
        <v>8434.613689588592</v>
      </c>
      <c r="O164" s="597">
        <f t="shared" si="186"/>
        <v>-48733.125141716031</v>
      </c>
      <c r="P164" s="597">
        <f t="shared" si="175"/>
        <v>49609.855829575339</v>
      </c>
      <c r="Q164" s="597">
        <f t="shared" si="175"/>
        <v>154362.45255290956</v>
      </c>
      <c r="R164" s="597">
        <f t="shared" si="176"/>
        <v>264869.18892214511</v>
      </c>
      <c r="S164" s="597">
        <f t="shared" si="176"/>
        <v>381288.85332036734</v>
      </c>
      <c r="T164" s="597">
        <f t="shared" si="176"/>
        <v>503783.60949663084</v>
      </c>
      <c r="U164" s="597">
        <f t="shared" si="176"/>
        <v>632519.059014656</v>
      </c>
      <c r="V164" s="597">
        <f t="shared" si="176"/>
        <v>767664.30476123141</v>
      </c>
      <c r="W164" s="597">
        <f t="shared" ref="W164" si="187">W173*W$165</f>
        <v>909392.01553130592</v>
      </c>
      <c r="X164" s="491"/>
      <c r="Y164" s="491"/>
      <c r="Z164" s="491"/>
      <c r="AA164" s="491"/>
      <c r="AB164" s="491"/>
      <c r="AC164" s="491"/>
      <c r="AD164" s="491"/>
      <c r="AE164" s="491"/>
      <c r="AF164" s="491"/>
    </row>
    <row r="165" spans="2:32">
      <c r="B165" s="478" t="str">
        <f>B156</f>
        <v>Total</v>
      </c>
      <c r="C165" s="491"/>
      <c r="D165" s="491"/>
      <c r="E165" s="491"/>
      <c r="F165" s="491"/>
      <c r="G165" s="491">
        <f>SUM(G159:G164)</f>
        <v>3509800</v>
      </c>
      <c r="H165" s="491">
        <f>SUM(H159:H164)</f>
        <v>3871895</v>
      </c>
      <c r="I165" s="491">
        <f>SUM(I159:I164)</f>
        <v>4311018</v>
      </c>
      <c r="J165" s="491">
        <f t="shared" ref="J165:O165" si="188">J176*J$108</f>
        <v>4965520.1956980666</v>
      </c>
      <c r="K165" s="491">
        <f t="shared" si="188"/>
        <v>5512473.5929197464</v>
      </c>
      <c r="L165" s="491">
        <f t="shared" si="188"/>
        <v>6071522.0939045288</v>
      </c>
      <c r="M165" s="491">
        <f t="shared" si="188"/>
        <v>6642873.5731590502</v>
      </c>
      <c r="N165" s="491">
        <f t="shared" si="188"/>
        <v>7226739.1105067385</v>
      </c>
      <c r="O165" s="491">
        <f t="shared" si="188"/>
        <v>7695278.6541261589</v>
      </c>
      <c r="P165" s="491">
        <f t="shared" ref="P165:V165" si="189">P176*P$108</f>
        <v>8044224.5058592316</v>
      </c>
      <c r="Q165" s="491">
        <f t="shared" si="189"/>
        <v>8269207.5766942557</v>
      </c>
      <c r="R165" s="491">
        <f t="shared" si="189"/>
        <v>8498347.6820380557</v>
      </c>
      <c r="S165" s="491">
        <f t="shared" si="189"/>
        <v>8731711.2239730265</v>
      </c>
      <c r="T165" s="491">
        <f t="shared" si="189"/>
        <v>8969365.588463841</v>
      </c>
      <c r="U165" s="491">
        <f t="shared" si="189"/>
        <v>9211379.1592803616</v>
      </c>
      <c r="V165" s="491">
        <f t="shared" si="189"/>
        <v>9457821.3321115524</v>
      </c>
      <c r="W165" s="491">
        <f t="shared" ref="W165" si="190">W176*W$108</f>
        <v>9708762.5288729519</v>
      </c>
      <c r="X165" s="491"/>
      <c r="Y165" s="491"/>
      <c r="Z165" s="491"/>
      <c r="AA165" s="491"/>
      <c r="AB165" s="491"/>
      <c r="AC165" s="491"/>
      <c r="AD165" s="491"/>
      <c r="AE165" s="491"/>
      <c r="AF165" s="491"/>
    </row>
    <row r="166" spans="2:32">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row>
    <row r="167" spans="2:32">
      <c r="B167" s="450" t="s">
        <v>3002</v>
      </c>
      <c r="C167" s="450"/>
      <c r="D167" s="450"/>
      <c r="E167" s="450"/>
      <c r="F167" s="450"/>
      <c r="G167" s="450"/>
      <c r="H167" s="450"/>
      <c r="I167" s="450"/>
      <c r="J167" s="450"/>
      <c r="K167" s="450"/>
      <c r="L167" s="450"/>
      <c r="M167" s="450"/>
      <c r="N167" s="450"/>
      <c r="O167" s="509"/>
      <c r="P167" s="509"/>
      <c r="Q167" s="509"/>
      <c r="R167" s="509"/>
      <c r="S167" s="509"/>
      <c r="T167" s="509"/>
      <c r="U167" s="509"/>
      <c r="V167" s="509"/>
      <c r="W167" s="509"/>
      <c r="X167" s="509"/>
      <c r="Y167" s="509"/>
      <c r="Z167" s="509"/>
      <c r="AA167" s="509"/>
      <c r="AB167" s="509"/>
      <c r="AC167" s="509"/>
      <c r="AD167" s="509"/>
      <c r="AE167" s="509"/>
      <c r="AF167" s="509"/>
    </row>
    <row r="168" spans="2:32">
      <c r="B168" s="478" t="str">
        <f t="shared" ref="B168:B174" si="191">B159</f>
        <v>UNE  (inc Edatel/Pereira)</v>
      </c>
      <c r="C168" s="450"/>
      <c r="D168" s="450"/>
      <c r="E168" s="450"/>
      <c r="F168" s="450"/>
      <c r="G168" s="509">
        <f t="shared" ref="G168:I174" si="192">G159/G$165</f>
        <v>0.26006097213516438</v>
      </c>
      <c r="H168" s="509">
        <f t="shared" si="192"/>
        <v>0.26725053236206042</v>
      </c>
      <c r="I168" s="509">
        <f t="shared" si="192"/>
        <v>0.24336131280361159</v>
      </c>
      <c r="J168" s="678">
        <f>I168</f>
        <v>0.24336131280361159</v>
      </c>
      <c r="K168" s="678">
        <f t="shared" ref="K168:W168" si="193">J168+1%</f>
        <v>0.25336131280361157</v>
      </c>
      <c r="L168" s="678">
        <f t="shared" si="193"/>
        <v>0.26336131280361158</v>
      </c>
      <c r="M168" s="678">
        <f t="shared" si="193"/>
        <v>0.27336131280361159</v>
      </c>
      <c r="N168" s="678">
        <f t="shared" si="193"/>
        <v>0.2833613128036116</v>
      </c>
      <c r="O168" s="678">
        <f t="shared" si="193"/>
        <v>0.29336131280361161</v>
      </c>
      <c r="P168" s="678">
        <f t="shared" si="193"/>
        <v>0.30336131280361162</v>
      </c>
      <c r="Q168" s="678">
        <f t="shared" si="193"/>
        <v>0.31336131280361162</v>
      </c>
      <c r="R168" s="678">
        <f t="shared" si="193"/>
        <v>0.32336131280361163</v>
      </c>
      <c r="S168" s="678">
        <f t="shared" si="193"/>
        <v>0.33336131280361164</v>
      </c>
      <c r="T168" s="678">
        <f t="shared" si="193"/>
        <v>0.34336131280361165</v>
      </c>
      <c r="U168" s="678">
        <f t="shared" si="193"/>
        <v>0.35336131280361166</v>
      </c>
      <c r="V168" s="678">
        <f t="shared" si="193"/>
        <v>0.36336131280361167</v>
      </c>
      <c r="W168" s="678">
        <f t="shared" si="193"/>
        <v>0.37336131280361168</v>
      </c>
      <c r="X168" s="678"/>
      <c r="Y168" s="678"/>
      <c r="Z168" s="678"/>
      <c r="AA168" s="678"/>
      <c r="AB168" s="678"/>
      <c r="AC168" s="678"/>
      <c r="AD168" s="678"/>
      <c r="AE168" s="678"/>
      <c r="AF168" s="678"/>
    </row>
    <row r="169" spans="2:32">
      <c r="B169" s="478" t="str">
        <f t="shared" si="191"/>
        <v>AMX</v>
      </c>
      <c r="C169" s="450"/>
      <c r="D169" s="450"/>
      <c r="E169" s="450"/>
      <c r="F169" s="450"/>
      <c r="G169" s="509">
        <f t="shared" si="192"/>
        <v>0.48995469827340588</v>
      </c>
      <c r="H169" s="509">
        <f t="shared" si="192"/>
        <v>0.46858527930122074</v>
      </c>
      <c r="I169" s="509">
        <f t="shared" si="192"/>
        <v>0.45343907169953823</v>
      </c>
      <c r="J169" s="678">
        <f t="shared" ref="J169:W169" si="194">I169-2%</f>
        <v>0.43343907169953821</v>
      </c>
      <c r="K169" s="678">
        <f t="shared" si="194"/>
        <v>0.4134390716995382</v>
      </c>
      <c r="L169" s="678">
        <f t="shared" si="194"/>
        <v>0.39343907169953818</v>
      </c>
      <c r="M169" s="678">
        <f t="shared" si="194"/>
        <v>0.37343907169953816</v>
      </c>
      <c r="N169" s="678">
        <f t="shared" si="194"/>
        <v>0.35343907169953814</v>
      </c>
      <c r="O169" s="678">
        <f t="shared" si="194"/>
        <v>0.33343907169953813</v>
      </c>
      <c r="P169" s="678">
        <f t="shared" si="194"/>
        <v>0.31343907169953811</v>
      </c>
      <c r="Q169" s="678">
        <f t="shared" si="194"/>
        <v>0.29343907169953809</v>
      </c>
      <c r="R169" s="678">
        <f t="shared" si="194"/>
        <v>0.27343907169953807</v>
      </c>
      <c r="S169" s="678">
        <f t="shared" si="194"/>
        <v>0.25343907169953805</v>
      </c>
      <c r="T169" s="678">
        <f t="shared" si="194"/>
        <v>0.23343907169953806</v>
      </c>
      <c r="U169" s="678">
        <f t="shared" si="194"/>
        <v>0.21343907169953807</v>
      </c>
      <c r="V169" s="678">
        <f t="shared" si="194"/>
        <v>0.19343907169953808</v>
      </c>
      <c r="W169" s="678">
        <f t="shared" si="194"/>
        <v>0.17343907169953809</v>
      </c>
      <c r="X169" s="678"/>
      <c r="Y169" s="678"/>
      <c r="Z169" s="678"/>
      <c r="AA169" s="678"/>
      <c r="AB169" s="678"/>
      <c r="AC169" s="678"/>
      <c r="AD169" s="678"/>
      <c r="AE169" s="678"/>
      <c r="AF169" s="678"/>
    </row>
    <row r="170" spans="2:32">
      <c r="B170" s="478" t="str">
        <f t="shared" si="191"/>
        <v>TEF</v>
      </c>
      <c r="C170" s="450"/>
      <c r="D170" s="450"/>
      <c r="E170" s="450"/>
      <c r="F170" s="450"/>
      <c r="G170" s="509">
        <f t="shared" si="192"/>
        <v>5.8042338594791729E-2</v>
      </c>
      <c r="H170" s="509">
        <f t="shared" si="192"/>
        <v>6.4429949675804746E-2</v>
      </c>
      <c r="I170" s="509">
        <f t="shared" si="192"/>
        <v>6.3559929464455961E-2</v>
      </c>
      <c r="J170" s="678">
        <f>I170</f>
        <v>6.3559929464455961E-2</v>
      </c>
      <c r="K170" s="678">
        <f t="shared" ref="K170:W170" si="195">J170-0.25%</f>
        <v>6.1059929464455959E-2</v>
      </c>
      <c r="L170" s="678">
        <f t="shared" si="195"/>
        <v>5.8559929464455956E-2</v>
      </c>
      <c r="M170" s="678">
        <f t="shared" si="195"/>
        <v>5.6059929464455954E-2</v>
      </c>
      <c r="N170" s="678">
        <f t="shared" si="195"/>
        <v>5.3559929464455952E-2</v>
      </c>
      <c r="O170" s="678">
        <f t="shared" si="195"/>
        <v>5.105992946445595E-2</v>
      </c>
      <c r="P170" s="678">
        <f t="shared" si="195"/>
        <v>4.8559929464455948E-2</v>
      </c>
      <c r="Q170" s="678">
        <f t="shared" si="195"/>
        <v>4.6059929464455945E-2</v>
      </c>
      <c r="R170" s="678">
        <f t="shared" si="195"/>
        <v>4.3559929464455943E-2</v>
      </c>
      <c r="S170" s="678">
        <f t="shared" si="195"/>
        <v>4.1059929464455941E-2</v>
      </c>
      <c r="T170" s="678">
        <f t="shared" si="195"/>
        <v>3.8559929464455939E-2</v>
      </c>
      <c r="U170" s="678">
        <f t="shared" si="195"/>
        <v>3.6059929464455936E-2</v>
      </c>
      <c r="V170" s="678">
        <f t="shared" si="195"/>
        <v>3.3559929464455934E-2</v>
      </c>
      <c r="W170" s="678">
        <f t="shared" si="195"/>
        <v>3.1059929464455936E-2</v>
      </c>
      <c r="X170" s="678"/>
      <c r="Y170" s="678"/>
      <c r="Z170" s="678"/>
      <c r="AA170" s="678"/>
      <c r="AB170" s="678"/>
      <c r="AC170" s="678"/>
      <c r="AD170" s="678"/>
      <c r="AE170" s="678"/>
      <c r="AF170" s="678"/>
    </row>
    <row r="171" spans="2:32">
      <c r="B171" s="478" t="str">
        <f t="shared" si="191"/>
        <v>ETB</v>
      </c>
      <c r="C171" s="450"/>
      <c r="D171" s="450"/>
      <c r="E171" s="450"/>
      <c r="F171" s="450"/>
      <c r="G171" s="509">
        <f t="shared" si="192"/>
        <v>0</v>
      </c>
      <c r="H171" s="509">
        <f t="shared" si="192"/>
        <v>0</v>
      </c>
      <c r="I171" s="509">
        <f t="shared" si="192"/>
        <v>0</v>
      </c>
      <c r="J171" s="678">
        <v>0</v>
      </c>
      <c r="K171" s="678">
        <v>0</v>
      </c>
      <c r="L171" s="678">
        <v>0.02</v>
      </c>
      <c r="M171" s="678">
        <v>0.05</v>
      </c>
      <c r="N171" s="678">
        <v>0.08</v>
      </c>
      <c r="O171" s="678">
        <v>0.1</v>
      </c>
      <c r="P171" s="678">
        <v>0.1</v>
      </c>
      <c r="Q171" s="678">
        <v>0.1</v>
      </c>
      <c r="R171" s="678">
        <v>0.1</v>
      </c>
      <c r="S171" s="678">
        <v>0.1</v>
      </c>
      <c r="T171" s="678">
        <v>0.1</v>
      </c>
      <c r="U171" s="678">
        <v>0.1</v>
      </c>
      <c r="V171" s="678">
        <v>0.1</v>
      </c>
      <c r="W171" s="678">
        <v>0.1</v>
      </c>
      <c r="X171" s="678"/>
      <c r="Y171" s="678"/>
      <c r="Z171" s="678"/>
      <c r="AA171" s="678"/>
      <c r="AB171" s="678"/>
      <c r="AC171" s="678"/>
      <c r="AD171" s="678"/>
      <c r="AE171" s="678"/>
      <c r="AF171" s="678"/>
    </row>
    <row r="172" spans="2:32">
      <c r="B172" s="478" t="str">
        <f t="shared" si="191"/>
        <v>DirectTV</v>
      </c>
      <c r="C172" s="450"/>
      <c r="D172" s="450"/>
      <c r="E172" s="450"/>
      <c r="F172" s="450"/>
      <c r="G172" s="509">
        <f t="shared" si="192"/>
        <v>0.10555872129466067</v>
      </c>
      <c r="H172" s="509">
        <f t="shared" si="192"/>
        <v>0.11247593232771033</v>
      </c>
      <c r="I172" s="509">
        <f t="shared" si="192"/>
        <v>0.15847254639159475</v>
      </c>
      <c r="J172" s="678">
        <f>I172+3%</f>
        <v>0.18847254639159475</v>
      </c>
      <c r="K172" s="678">
        <f>J172+2%</f>
        <v>0.20847254639159474</v>
      </c>
      <c r="L172" s="678">
        <f>K172+1%</f>
        <v>0.21847254639159475</v>
      </c>
      <c r="M172" s="678">
        <f>L172+1%</f>
        <v>0.22847254639159476</v>
      </c>
      <c r="N172" s="678">
        <f t="shared" ref="N172:W172" si="196">M172</f>
        <v>0.22847254639159476</v>
      </c>
      <c r="O172" s="678">
        <f t="shared" si="196"/>
        <v>0.22847254639159476</v>
      </c>
      <c r="P172" s="678">
        <f t="shared" si="196"/>
        <v>0.22847254639159476</v>
      </c>
      <c r="Q172" s="678">
        <f t="shared" si="196"/>
        <v>0.22847254639159476</v>
      </c>
      <c r="R172" s="678">
        <f t="shared" si="196"/>
        <v>0.22847254639159476</v>
      </c>
      <c r="S172" s="678">
        <f t="shared" si="196"/>
        <v>0.22847254639159476</v>
      </c>
      <c r="T172" s="678">
        <f t="shared" si="196"/>
        <v>0.22847254639159476</v>
      </c>
      <c r="U172" s="678">
        <f t="shared" si="196"/>
        <v>0.22847254639159476</v>
      </c>
      <c r="V172" s="678">
        <f t="shared" si="196"/>
        <v>0.22847254639159476</v>
      </c>
      <c r="W172" s="678">
        <f t="shared" si="196"/>
        <v>0.22847254639159476</v>
      </c>
      <c r="X172" s="678"/>
      <c r="Y172" s="678"/>
      <c r="Z172" s="678"/>
      <c r="AA172" s="678"/>
      <c r="AB172" s="678"/>
      <c r="AC172" s="678"/>
      <c r="AD172" s="678"/>
      <c r="AE172" s="678"/>
      <c r="AF172" s="678"/>
    </row>
    <row r="173" spans="2:32">
      <c r="B173" s="487" t="str">
        <f t="shared" si="191"/>
        <v>Others</v>
      </c>
      <c r="C173" s="451"/>
      <c r="D173" s="451"/>
      <c r="E173" s="451"/>
      <c r="F173" s="451"/>
      <c r="G173" s="672">
        <f t="shared" si="192"/>
        <v>8.6383269701977322E-2</v>
      </c>
      <c r="H173" s="672">
        <f t="shared" si="192"/>
        <v>8.7258306333203764E-2</v>
      </c>
      <c r="I173" s="672">
        <f t="shared" si="192"/>
        <v>8.1167139640799454E-2</v>
      </c>
      <c r="J173" s="672">
        <f t="shared" ref="J173:O173" si="197">J174-SUM(J168:J172)</f>
        <v>7.1167139640799459E-2</v>
      </c>
      <c r="K173" s="672">
        <f t="shared" si="197"/>
        <v>6.3667139640799508E-2</v>
      </c>
      <c r="L173" s="672">
        <f t="shared" si="197"/>
        <v>4.6167139640799437E-2</v>
      </c>
      <c r="M173" s="672">
        <f t="shared" si="197"/>
        <v>1.8667139640799468E-2</v>
      </c>
      <c r="N173" s="672">
        <f t="shared" si="197"/>
        <v>1.1671396407995083E-3</v>
      </c>
      <c r="O173" s="672">
        <f t="shared" si="197"/>
        <v>-6.3328603592003319E-3</v>
      </c>
      <c r="P173" s="672">
        <f t="shared" ref="P173:V173" si="198">P174-SUM(P168:P172)</f>
        <v>6.1671396407995127E-3</v>
      </c>
      <c r="Q173" s="672">
        <f t="shared" si="198"/>
        <v>1.8667139640799579E-2</v>
      </c>
      <c r="R173" s="672">
        <f t="shared" si="198"/>
        <v>3.1167139640799535E-2</v>
      </c>
      <c r="S173" s="672">
        <f t="shared" si="198"/>
        <v>4.3667139640799602E-2</v>
      </c>
      <c r="T173" s="672">
        <f t="shared" si="198"/>
        <v>5.6167139640799557E-2</v>
      </c>
      <c r="U173" s="672">
        <f t="shared" si="198"/>
        <v>6.8667139640799624E-2</v>
      </c>
      <c r="V173" s="672">
        <f t="shared" si="198"/>
        <v>8.1167139640799579E-2</v>
      </c>
      <c r="W173" s="672">
        <f t="shared" ref="W173" si="199">W174-SUM(W168:W172)</f>
        <v>9.3667139640799646E-2</v>
      </c>
      <c r="X173" s="509"/>
      <c r="Y173" s="509"/>
      <c r="Z173" s="509"/>
      <c r="AA173" s="509"/>
      <c r="AB173" s="509"/>
      <c r="AC173" s="509"/>
      <c r="AD173" s="509"/>
      <c r="AE173" s="509"/>
      <c r="AF173" s="509"/>
    </row>
    <row r="174" spans="2:32">
      <c r="B174" s="478" t="str">
        <f t="shared" si="191"/>
        <v>Total</v>
      </c>
      <c r="C174" s="450"/>
      <c r="D174" s="450"/>
      <c r="E174" s="450"/>
      <c r="F174" s="450"/>
      <c r="G174" s="509">
        <f t="shared" si="192"/>
        <v>1</v>
      </c>
      <c r="H174" s="509">
        <f t="shared" si="192"/>
        <v>1</v>
      </c>
      <c r="I174" s="509">
        <f t="shared" si="192"/>
        <v>1</v>
      </c>
      <c r="J174" s="509">
        <v>1</v>
      </c>
      <c r="K174" s="509">
        <v>1</v>
      </c>
      <c r="L174" s="509">
        <v>1</v>
      </c>
      <c r="M174" s="509">
        <v>1</v>
      </c>
      <c r="N174" s="509">
        <v>1</v>
      </c>
      <c r="O174" s="509">
        <v>1</v>
      </c>
      <c r="P174" s="509">
        <v>1</v>
      </c>
      <c r="Q174" s="509">
        <v>1</v>
      </c>
      <c r="R174" s="509">
        <v>1</v>
      </c>
      <c r="S174" s="509">
        <v>1</v>
      </c>
      <c r="T174" s="509">
        <v>1</v>
      </c>
      <c r="U174" s="509">
        <v>1</v>
      </c>
      <c r="V174" s="509">
        <v>1</v>
      </c>
      <c r="W174" s="509">
        <v>1</v>
      </c>
      <c r="X174" s="509"/>
      <c r="Y174" s="509"/>
      <c r="Z174" s="509"/>
      <c r="AA174" s="509"/>
      <c r="AB174" s="509"/>
      <c r="AC174" s="509"/>
      <c r="AD174" s="509"/>
      <c r="AE174" s="509"/>
      <c r="AF174" s="509"/>
    </row>
    <row r="175" spans="2:32">
      <c r="B175" s="478"/>
      <c r="C175" s="450"/>
      <c r="D175" s="450"/>
      <c r="E175" s="450"/>
      <c r="F175" s="450"/>
      <c r="G175" s="509"/>
      <c r="H175" s="509"/>
      <c r="I175" s="509"/>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row>
    <row r="176" spans="2:32">
      <c r="B176" s="450" t="s">
        <v>3003</v>
      </c>
      <c r="C176" s="450"/>
      <c r="D176" s="450"/>
      <c r="E176" s="450"/>
      <c r="F176" s="450"/>
      <c r="G176" s="677">
        <f>G165/G108</f>
        <v>0.30075860874492572</v>
      </c>
      <c r="H176" s="677">
        <f>H165/H108</f>
        <v>0.3279578272778102</v>
      </c>
      <c r="I176" s="677">
        <f>I165/I108</f>
        <v>0.36093832366102924</v>
      </c>
      <c r="J176" s="677">
        <f t="shared" ref="J176:W176" si="200">I176+J177</f>
        <v>0.41093832366102923</v>
      </c>
      <c r="K176" s="677">
        <f t="shared" si="200"/>
        <v>0.45093832366102921</v>
      </c>
      <c r="L176" s="677">
        <f t="shared" si="200"/>
        <v>0.49093832366102919</v>
      </c>
      <c r="M176" s="677">
        <f t="shared" si="200"/>
        <v>0.53093832366102922</v>
      </c>
      <c r="N176" s="677">
        <f t="shared" si="200"/>
        <v>0.57093832366102926</v>
      </c>
      <c r="O176" s="677">
        <f t="shared" si="200"/>
        <v>0.60093832366102928</v>
      </c>
      <c r="P176" s="677">
        <f t="shared" si="200"/>
        <v>0.6209383236610293</v>
      </c>
      <c r="Q176" s="677">
        <f t="shared" si="200"/>
        <v>0.63093832366102931</v>
      </c>
      <c r="R176" s="677">
        <f t="shared" si="200"/>
        <v>0.64093832366102932</v>
      </c>
      <c r="S176" s="677">
        <f t="shared" si="200"/>
        <v>0.65093832366102933</v>
      </c>
      <c r="T176" s="677">
        <f t="shared" si="200"/>
        <v>0.66093832366102934</v>
      </c>
      <c r="U176" s="677">
        <f t="shared" si="200"/>
        <v>0.67093832366102935</v>
      </c>
      <c r="V176" s="677">
        <f t="shared" si="200"/>
        <v>0.68093832366102935</v>
      </c>
      <c r="W176" s="677">
        <f t="shared" si="200"/>
        <v>0.69093832366102936</v>
      </c>
      <c r="X176" s="677"/>
      <c r="Y176" s="677"/>
      <c r="Z176" s="677"/>
      <c r="AA176" s="677"/>
      <c r="AB176" s="677"/>
      <c r="AC176" s="677"/>
      <c r="AD176" s="677"/>
      <c r="AE176" s="677"/>
      <c r="AF176" s="677"/>
    </row>
    <row r="177" spans="2:40">
      <c r="B177" s="608" t="s">
        <v>1933</v>
      </c>
      <c r="C177" s="598"/>
      <c r="D177" s="598"/>
      <c r="E177" s="598"/>
      <c r="F177" s="598"/>
      <c r="G177" s="677"/>
      <c r="H177" s="509">
        <f>H176-G176</f>
        <v>2.7199218532884484E-2</v>
      </c>
      <c r="I177" s="509">
        <f>I176-H176</f>
        <v>3.2980496383219038E-2</v>
      </c>
      <c r="J177" s="678">
        <v>0.05</v>
      </c>
      <c r="K177" s="678">
        <v>0.04</v>
      </c>
      <c r="L177" s="678">
        <v>0.04</v>
      </c>
      <c r="M177" s="678">
        <v>0.04</v>
      </c>
      <c r="N177" s="678">
        <v>0.04</v>
      </c>
      <c r="O177" s="678">
        <v>0.03</v>
      </c>
      <c r="P177" s="678">
        <v>0.02</v>
      </c>
      <c r="Q177" s="678">
        <v>0.01</v>
      </c>
      <c r="R177" s="678">
        <v>0.01</v>
      </c>
      <c r="S177" s="678">
        <v>0.01</v>
      </c>
      <c r="T177" s="678">
        <v>0.01</v>
      </c>
      <c r="U177" s="678">
        <v>0.01</v>
      </c>
      <c r="V177" s="678">
        <v>0.01</v>
      </c>
      <c r="W177" s="678">
        <v>0.01</v>
      </c>
      <c r="X177" s="678"/>
      <c r="Y177" s="678"/>
      <c r="Z177" s="678"/>
      <c r="AA177" s="678"/>
      <c r="AB177" s="678"/>
      <c r="AC177" s="678"/>
      <c r="AD177" s="678"/>
      <c r="AE177" s="678"/>
      <c r="AF177" s="678"/>
    </row>
    <row r="178" spans="2:40">
      <c r="B178" s="478" t="s">
        <v>3012</v>
      </c>
      <c r="G178" s="449">
        <f ca="1">G165/G141</f>
        <v>1.3237719618173747</v>
      </c>
      <c r="H178" s="449">
        <f t="shared" ref="H178:O178" ca="1" si="201">H165/H141</f>
        <v>1.1623235453750755</v>
      </c>
      <c r="I178" s="449">
        <f t="shared" ca="1" si="201"/>
        <v>1.0673740208041742</v>
      </c>
      <c r="J178" s="449">
        <f t="shared" ca="1" si="201"/>
        <v>1.0854180479999276</v>
      </c>
      <c r="K178" s="449">
        <f t="shared" ca="1" si="201"/>
        <v>1.0761001395739225</v>
      </c>
      <c r="L178" s="449">
        <f t="shared" ca="1" si="201"/>
        <v>1.0684089718935688</v>
      </c>
      <c r="M178" s="449">
        <f t="shared" ca="1" si="201"/>
        <v>1.0619497620740428</v>
      </c>
      <c r="N178" s="449">
        <f t="shared" ca="1" si="201"/>
        <v>1.0763625311723997</v>
      </c>
      <c r="O178" s="449">
        <f t="shared" ca="1" si="201"/>
        <v>1.0908166743505907</v>
      </c>
      <c r="P178" s="449">
        <f t="shared" ref="P178:V178" ca="1" si="202">P165/P141</f>
        <v>1.0867216382187617</v>
      </c>
      <c r="Q178" s="449">
        <f t="shared" ca="1" si="202"/>
        <v>1.0660029151309023</v>
      </c>
      <c r="R178" s="449">
        <f t="shared" ca="1" si="202"/>
        <v>1.0466595201606375</v>
      </c>
      <c r="S178" s="449">
        <f t="shared" ca="1" si="202"/>
        <v>1.028558300845045</v>
      </c>
      <c r="T178" s="449">
        <f t="shared" ca="1" si="202"/>
        <v>1.0115827463873981</v>
      </c>
      <c r="U178" s="449">
        <f t="shared" ca="1" si="202"/>
        <v>0.99563046641471464</v>
      </c>
      <c r="V178" s="449">
        <f t="shared" ca="1" si="202"/>
        <v>0.98061111462072637</v>
      </c>
      <c r="W178" s="449">
        <f t="shared" ref="W178" ca="1" si="203">W165/W141</f>
        <v>0.9664446683248854</v>
      </c>
      <c r="X178" s="449"/>
      <c r="Y178" s="449"/>
      <c r="Z178" s="449"/>
      <c r="AA178" s="449"/>
      <c r="AB178" s="449"/>
      <c r="AC178" s="449"/>
      <c r="AD178" s="449"/>
      <c r="AE178" s="449"/>
      <c r="AF178" s="449"/>
      <c r="AH178" s="478" t="s">
        <v>1106</v>
      </c>
    </row>
    <row r="179" spans="2:40">
      <c r="B179" s="450"/>
      <c r="H179" s="599"/>
      <c r="I179" s="599"/>
      <c r="J179" s="599"/>
      <c r="K179" s="599"/>
      <c r="L179" s="599"/>
      <c r="M179" s="599"/>
      <c r="AI179" s="599" t="s">
        <v>2602</v>
      </c>
      <c r="AJ179" s="599" t="s">
        <v>2602</v>
      </c>
      <c r="AK179" s="599" t="s">
        <v>2602</v>
      </c>
      <c r="AL179" s="599" t="s">
        <v>2602</v>
      </c>
      <c r="AM179" s="599" t="s">
        <v>2602</v>
      </c>
      <c r="AN179" s="599" t="s">
        <v>2602</v>
      </c>
    </row>
    <row r="180" spans="2:40">
      <c r="B180" s="451" t="s">
        <v>3015</v>
      </c>
      <c r="C180" s="455"/>
      <c r="D180" s="455"/>
      <c r="E180" s="455"/>
      <c r="F180" s="455"/>
      <c r="G180" s="451">
        <f>G107</f>
        <v>2010</v>
      </c>
      <c r="H180" s="451">
        <f>H107</f>
        <v>2011</v>
      </c>
      <c r="I180" s="451">
        <v>2012</v>
      </c>
      <c r="J180" s="451">
        <f t="shared" ref="J180:W180" si="204">I180+1</f>
        <v>2013</v>
      </c>
      <c r="K180" s="451">
        <f t="shared" si="204"/>
        <v>2014</v>
      </c>
      <c r="L180" s="451">
        <f t="shared" si="204"/>
        <v>2015</v>
      </c>
      <c r="M180" s="451">
        <f t="shared" si="204"/>
        <v>2016</v>
      </c>
      <c r="N180" s="451">
        <f t="shared" si="204"/>
        <v>2017</v>
      </c>
      <c r="O180" s="451">
        <f t="shared" si="204"/>
        <v>2018</v>
      </c>
      <c r="P180" s="451">
        <f t="shared" si="204"/>
        <v>2019</v>
      </c>
      <c r="Q180" s="451">
        <f t="shared" si="204"/>
        <v>2020</v>
      </c>
      <c r="R180" s="451">
        <f t="shared" si="204"/>
        <v>2021</v>
      </c>
      <c r="S180" s="451">
        <f t="shared" si="204"/>
        <v>2022</v>
      </c>
      <c r="T180" s="451">
        <f t="shared" si="204"/>
        <v>2023</v>
      </c>
      <c r="U180" s="451">
        <f t="shared" si="204"/>
        <v>2024</v>
      </c>
      <c r="V180" s="451">
        <f t="shared" si="204"/>
        <v>2025</v>
      </c>
      <c r="W180" s="451">
        <f t="shared" si="204"/>
        <v>2026</v>
      </c>
      <c r="X180" s="450"/>
      <c r="Y180" s="450"/>
      <c r="Z180" s="450"/>
      <c r="AA180" s="450"/>
      <c r="AB180" s="450"/>
      <c r="AC180" s="450"/>
      <c r="AD180" s="450"/>
      <c r="AE180" s="450"/>
      <c r="AF180" s="450"/>
      <c r="AI180" s="455">
        <f t="shared" ref="AI180:AN180" si="205">H180</f>
        <v>2011</v>
      </c>
      <c r="AJ180" s="455">
        <f t="shared" si="205"/>
        <v>2012</v>
      </c>
      <c r="AK180" s="455">
        <f t="shared" si="205"/>
        <v>2013</v>
      </c>
      <c r="AL180" s="455">
        <f t="shared" si="205"/>
        <v>2014</v>
      </c>
      <c r="AM180" s="455">
        <f t="shared" si="205"/>
        <v>2015</v>
      </c>
      <c r="AN180" s="455">
        <f t="shared" si="205"/>
        <v>2016</v>
      </c>
    </row>
    <row r="181" spans="2:40">
      <c r="B181" s="478" t="s">
        <v>2842</v>
      </c>
      <c r="I181">
        <v>22</v>
      </c>
      <c r="J181" s="489">
        <v>20</v>
      </c>
      <c r="K181" s="489">
        <v>0</v>
      </c>
      <c r="L181" s="489">
        <v>0</v>
      </c>
      <c r="M181" s="489">
        <v>0</v>
      </c>
      <c r="N181" s="489">
        <v>0</v>
      </c>
      <c r="O181" s="489">
        <v>0</v>
      </c>
      <c r="P181" s="489">
        <v>0</v>
      </c>
      <c r="Q181" s="489">
        <v>0</v>
      </c>
      <c r="R181" s="489">
        <v>0</v>
      </c>
      <c r="S181" s="489">
        <v>0</v>
      </c>
      <c r="T181" s="489">
        <v>0</v>
      </c>
      <c r="U181" s="489">
        <v>0</v>
      </c>
      <c r="V181" s="489">
        <v>0</v>
      </c>
      <c r="W181" s="489">
        <v>0</v>
      </c>
      <c r="X181" s="489"/>
      <c r="Y181" s="489"/>
      <c r="Z181" s="489"/>
      <c r="AA181" s="489"/>
      <c r="AB181" s="489"/>
      <c r="AC181" s="489"/>
      <c r="AD181" s="489"/>
      <c r="AE181" s="489"/>
      <c r="AF181" s="489"/>
      <c r="AJ181" s="454">
        <f>I181/I$215*1000</f>
        <v>12.154696132596685</v>
      </c>
    </row>
    <row r="182" spans="2:40">
      <c r="B182" s="487" t="s">
        <v>1211</v>
      </c>
      <c r="C182" s="455"/>
      <c r="D182" s="455"/>
      <c r="E182" s="455"/>
      <c r="F182" s="455"/>
      <c r="G182" s="455"/>
      <c r="H182" s="455"/>
      <c r="I182" s="455">
        <v>1841</v>
      </c>
      <c r="J182" s="462">
        <f>J183-J181</f>
        <v>2477.7849999999999</v>
      </c>
      <c r="K182" s="462">
        <f ca="1">K183-K181</f>
        <v>2638.2448164974639</v>
      </c>
      <c r="L182" s="462">
        <f>L183-L181</f>
        <v>2859.1699993741854</v>
      </c>
      <c r="M182" s="462">
        <f t="shared" ref="M182:V182" ca="1" si="206">M212-M207-M181</f>
        <v>2585.8528721026787</v>
      </c>
      <c r="N182" s="462">
        <f t="shared" ca="1" si="206"/>
        <v>2683.221022288672</v>
      </c>
      <c r="O182" s="462">
        <f t="shared" ca="1" si="206"/>
        <v>2339.963697639736</v>
      </c>
      <c r="P182" s="462">
        <f t="shared" ca="1" si="206"/>
        <v>2394.8622771222731</v>
      </c>
      <c r="Q182" s="462">
        <f t="shared" ca="1" si="206"/>
        <v>2394.7194227528107</v>
      </c>
      <c r="R182" s="462">
        <f t="shared" ca="1" si="206"/>
        <v>2496.8210920001679</v>
      </c>
      <c r="S182" s="462">
        <f t="shared" ca="1" si="206"/>
        <v>2632.5577261602502</v>
      </c>
      <c r="T182" s="462">
        <f t="shared" ca="1" si="206"/>
        <v>2742.799569615057</v>
      </c>
      <c r="U182" s="462">
        <f t="shared" ca="1" si="206"/>
        <v>2860.3066520022085</v>
      </c>
      <c r="V182" s="462">
        <f t="shared" ca="1" si="206"/>
        <v>2985.8657059765524</v>
      </c>
      <c r="W182" s="462">
        <f t="shared" ref="W182" ca="1" si="207">W212-W207-W181</f>
        <v>3120.3311148519442</v>
      </c>
      <c r="X182" s="454"/>
      <c r="Y182" s="454"/>
      <c r="Z182" s="454"/>
      <c r="AA182" s="454"/>
      <c r="AB182" s="454"/>
      <c r="AC182" s="454"/>
      <c r="AD182" s="454"/>
      <c r="AE182" s="454"/>
      <c r="AF182" s="454"/>
      <c r="AI182" s="455"/>
      <c r="AJ182" s="462">
        <f>I182/I$215*1000</f>
        <v>1017.1270718232043</v>
      </c>
      <c r="AK182" s="455"/>
      <c r="AL182" s="455"/>
      <c r="AM182" s="455"/>
      <c r="AN182" s="455"/>
    </row>
    <row r="183" spans="2:40">
      <c r="B183" s="478" t="s">
        <v>4639</v>
      </c>
      <c r="F183" s="521">
        <f>G183</f>
        <v>1725</v>
      </c>
      <c r="G183" s="521">
        <f>H183</f>
        <v>1725</v>
      </c>
      <c r="H183">
        <f>I183-139</f>
        <v>1725</v>
      </c>
      <c r="I183">
        <v>1864</v>
      </c>
      <c r="J183" s="535">
        <f>J216*J215/1000</f>
        <v>2497.7849999999999</v>
      </c>
      <c r="K183" s="454">
        <f ca="1">K212</f>
        <v>2638.2448164974639</v>
      </c>
      <c r="L183" s="535">
        <f>L216*L215/1000</f>
        <v>2859.1699993741854</v>
      </c>
      <c r="M183" s="454">
        <f t="shared" ref="M183:V183" ca="1" si="208">M212</f>
        <v>2929.0632168526786</v>
      </c>
      <c r="N183" s="454">
        <f t="shared" ca="1" si="208"/>
        <v>3043.5918842761721</v>
      </c>
      <c r="O183" s="454">
        <f t="shared" ca="1" si="208"/>
        <v>2664.2974734284862</v>
      </c>
      <c r="P183" s="454">
        <f t="shared" ca="1" si="208"/>
        <v>2735.4127417004606</v>
      </c>
      <c r="Q183" s="454">
        <f t="shared" ca="1" si="208"/>
        <v>2718.2423641020891</v>
      </c>
      <c r="R183" s="454">
        <f t="shared" ca="1" si="208"/>
        <v>2836.5201804169101</v>
      </c>
      <c r="S183" s="454">
        <f t="shared" ca="1" si="208"/>
        <v>2989.2417689978297</v>
      </c>
      <c r="T183" s="454">
        <f t="shared" ca="1" si="208"/>
        <v>3117.3178145945153</v>
      </c>
      <c r="U183" s="454">
        <f t="shared" ca="1" si="208"/>
        <v>3253.5508092306395</v>
      </c>
      <c r="V183" s="454">
        <f t="shared" ca="1" si="208"/>
        <v>3398.7720710664053</v>
      </c>
      <c r="W183" s="454">
        <f t="shared" ref="W183" ca="1" si="209">W212</f>
        <v>3553.8827981962895</v>
      </c>
      <c r="X183" s="454"/>
      <c r="Y183" s="454"/>
      <c r="Z183" s="454"/>
      <c r="AA183" s="454"/>
      <c r="AB183" s="454"/>
      <c r="AC183" s="454"/>
      <c r="AD183" s="454"/>
      <c r="AE183" s="454"/>
      <c r="AF183" s="454"/>
      <c r="AI183" s="454">
        <f>H183/H$215*1000</f>
        <v>926.42320085929111</v>
      </c>
      <c r="AK183" s="454">
        <f>J183/J$215*1000</f>
        <v>1335</v>
      </c>
      <c r="AL183" s="454">
        <f ca="1">K183/K$215*1000</f>
        <v>1312.0113069649819</v>
      </c>
      <c r="AM183" s="454">
        <f>L183/L$215*1000</f>
        <v>1041.2126727509778</v>
      </c>
      <c r="AN183" s="454">
        <f ca="1">M183/M$215*1000</f>
        <v>962.55774461146189</v>
      </c>
    </row>
    <row r="184" spans="2:40">
      <c r="B184" s="478" t="s">
        <v>2941</v>
      </c>
      <c r="I184" s="449">
        <f t="shared" ref="I184:W184" si="210">I183/H183-1</f>
        <v>8.0579710144927486E-2</v>
      </c>
      <c r="J184" s="449">
        <f t="shared" si="210"/>
        <v>0.34001341201716739</v>
      </c>
      <c r="K184" s="449">
        <f t="shared" ca="1" si="210"/>
        <v>5.6233749701220859E-2</v>
      </c>
      <c r="L184" s="449">
        <f ca="1">L183/K183-1</f>
        <v>8.3739454919131484E-2</v>
      </c>
      <c r="M184" s="449">
        <f t="shared" ca="1" si="210"/>
        <v>2.4445282195109552E-2</v>
      </c>
      <c r="N184" s="449">
        <f ca="1">N183/M183-1</f>
        <v>3.91007837470152E-2</v>
      </c>
      <c r="O184" s="449">
        <f t="shared" ca="1" si="210"/>
        <v>-0.12462065390803534</v>
      </c>
      <c r="P184" s="449">
        <f t="shared" ca="1" si="210"/>
        <v>2.66919399883907E-2</v>
      </c>
      <c r="Q184" s="449">
        <f t="shared" ca="1" si="210"/>
        <v>-6.2770701242319538E-3</v>
      </c>
      <c r="R184" s="449">
        <f t="shared" ca="1" si="210"/>
        <v>4.3512608690392307E-2</v>
      </c>
      <c r="S184" s="449">
        <f t="shared" ca="1" si="210"/>
        <v>5.384117822792045E-2</v>
      </c>
      <c r="T184" s="449">
        <f t="shared" ca="1" si="210"/>
        <v>4.2845663045724125E-2</v>
      </c>
      <c r="U184" s="449">
        <f t="shared" ca="1" si="210"/>
        <v>4.3701990858395989E-2</v>
      </c>
      <c r="V184" s="449">
        <f t="shared" ca="1" si="210"/>
        <v>4.4634699241136389E-2</v>
      </c>
      <c r="W184" s="449">
        <f t="shared" ca="1" si="210"/>
        <v>4.5637284256374588E-2</v>
      </c>
      <c r="X184" s="449"/>
      <c r="Y184" s="449"/>
      <c r="Z184" s="449"/>
      <c r="AA184" s="449"/>
      <c r="AB184" s="449"/>
      <c r="AC184" s="449"/>
      <c r="AD184" s="449"/>
      <c r="AE184" s="449"/>
      <c r="AF184" s="449"/>
      <c r="AI184" s="454"/>
      <c r="AJ184" s="449">
        <f>I216/AI183-1</f>
        <v>0.11162398911041715</v>
      </c>
      <c r="AK184" s="449">
        <f>AK183/I216-1</f>
        <v>0.29632510729613748</v>
      </c>
      <c r="AL184" s="449">
        <f ca="1">AL183/AK183-1</f>
        <v>-1.721999478278502E-2</v>
      </c>
      <c r="AM184" s="449">
        <f ca="1">AM183/AL183-1</f>
        <v>-0.2063996192536105</v>
      </c>
      <c r="AN184" s="449">
        <f ca="1">AN183/AM183-1</f>
        <v>-7.5541654647462653E-2</v>
      </c>
    </row>
    <row r="185" spans="2:40">
      <c r="B185" s="478"/>
      <c r="I185" s="449"/>
      <c r="AI185" s="454"/>
      <c r="AJ185" s="454"/>
    </row>
    <row r="186" spans="2:40" hidden="1" outlineLevel="1">
      <c r="B186" s="608" t="s">
        <v>2988</v>
      </c>
      <c r="I186" s="449"/>
      <c r="AI186" s="454"/>
      <c r="AJ186" s="454"/>
    </row>
    <row r="187" spans="2:40" hidden="1" outlineLevel="1">
      <c r="B187" s="674" t="s">
        <v>2974</v>
      </c>
      <c r="I187" s="449"/>
      <c r="AI187" s="454"/>
      <c r="AJ187" s="454"/>
    </row>
    <row r="188" spans="2:40" hidden="1" outlineLevel="1">
      <c r="B188" s="478" t="s">
        <v>2990</v>
      </c>
      <c r="I188" s="449"/>
      <c r="AI188" s="454">
        <f>AJ188-9</f>
        <v>475</v>
      </c>
      <c r="AJ188">
        <v>484</v>
      </c>
    </row>
    <row r="189" spans="2:40" hidden="1" outlineLevel="1">
      <c r="B189" s="478" t="s">
        <v>2844</v>
      </c>
      <c r="I189" s="449"/>
      <c r="AI189" s="454">
        <v>279</v>
      </c>
      <c r="AJ189">
        <v>339</v>
      </c>
    </row>
    <row r="190" spans="2:40" hidden="1" outlineLevel="1">
      <c r="B190" s="487" t="s">
        <v>2587</v>
      </c>
      <c r="C190" s="455"/>
      <c r="D190" s="455"/>
      <c r="E190" s="455"/>
      <c r="F190" s="455"/>
      <c r="G190" s="455"/>
      <c r="H190" s="455"/>
      <c r="I190" s="476"/>
      <c r="J190" s="455"/>
      <c r="K190" s="455"/>
      <c r="L190" s="455"/>
      <c r="M190" s="455"/>
      <c r="N190" s="455"/>
      <c r="O190" s="455"/>
      <c r="P190" s="455"/>
      <c r="Q190" s="455"/>
      <c r="R190" s="455"/>
      <c r="S190" s="455"/>
      <c r="T190" s="455"/>
      <c r="U190" s="455"/>
      <c r="V190" s="455"/>
      <c r="W190" s="455"/>
      <c r="AH190" s="455"/>
      <c r="AI190" s="462">
        <f>AJ190/1.19</f>
        <v>43.69747899159664</v>
      </c>
      <c r="AJ190" s="455">
        <v>52</v>
      </c>
    </row>
    <row r="191" spans="2:40" hidden="1" outlineLevel="1">
      <c r="B191" s="478" t="s">
        <v>2324</v>
      </c>
      <c r="I191" s="449"/>
      <c r="AI191" s="454">
        <f>SUM(AI188:AI190)</f>
        <v>797.69747899159665</v>
      </c>
      <c r="AJ191">
        <f>SUM(AJ188:AJ190)</f>
        <v>875</v>
      </c>
    </row>
    <row r="192" spans="2:40" hidden="1" outlineLevel="1">
      <c r="B192" s="478"/>
      <c r="I192" s="449"/>
      <c r="AI192" s="454"/>
    </row>
    <row r="193" spans="2:40" hidden="1" outlineLevel="1">
      <c r="B193" s="450" t="s">
        <v>2991</v>
      </c>
      <c r="I193" s="449"/>
      <c r="AI193" s="454"/>
      <c r="AJ193" s="454"/>
    </row>
    <row r="194" spans="2:40" hidden="1" outlineLevel="1">
      <c r="B194" s="478" t="s">
        <v>2990</v>
      </c>
      <c r="I194" s="449"/>
      <c r="AI194" s="454">
        <f>AJ194/(1-0.06)</f>
        <v>116.44893617021278</v>
      </c>
      <c r="AJ194" s="454">
        <v>109.462</v>
      </c>
    </row>
    <row r="195" spans="2:40" hidden="1" outlineLevel="1">
      <c r="B195" s="478" t="str">
        <f>B189</f>
        <v>Internet</v>
      </c>
      <c r="I195" s="449"/>
      <c r="AI195" s="454">
        <f>AJ195/(1.044)</f>
        <v>60.612068965517246</v>
      </c>
      <c r="AJ195" s="454">
        <v>63.279000000000003</v>
      </c>
    </row>
    <row r="196" spans="2:40" hidden="1" outlineLevel="1">
      <c r="B196" s="478" t="s">
        <v>2993</v>
      </c>
      <c r="I196" s="449"/>
      <c r="AI196" s="454">
        <f>AJ196/(1.067)</f>
        <v>14.723523898781632</v>
      </c>
      <c r="AJ196" s="454">
        <v>15.71</v>
      </c>
    </row>
    <row r="197" spans="2:40" hidden="1" outlineLevel="1">
      <c r="B197" s="478" t="s">
        <v>2842</v>
      </c>
      <c r="I197" s="449"/>
      <c r="AI197" s="454">
        <f>AJ197/(1.397)</f>
        <v>2.453829634931997</v>
      </c>
      <c r="AJ197" s="454">
        <v>3.4279999999999999</v>
      </c>
    </row>
    <row r="198" spans="2:40" hidden="1" outlineLevel="1">
      <c r="B198" s="478" t="s">
        <v>2994</v>
      </c>
      <c r="I198" s="449"/>
      <c r="AI198" s="454">
        <f>AJ198/(1-0.206)</f>
        <v>20.380352644836268</v>
      </c>
      <c r="AJ198" s="454">
        <v>16.181999999999999</v>
      </c>
    </row>
    <row r="199" spans="2:40" hidden="1" outlineLevel="1">
      <c r="B199" s="478" t="s">
        <v>2587</v>
      </c>
      <c r="I199" s="449"/>
      <c r="AI199" s="454">
        <f>AJ199/(1.11)</f>
        <v>9.5558558558558548</v>
      </c>
      <c r="AJ199" s="454">
        <v>10.606999999999999</v>
      </c>
    </row>
    <row r="200" spans="2:40" hidden="1" outlineLevel="1">
      <c r="B200" s="487" t="s">
        <v>1984</v>
      </c>
      <c r="C200" s="455"/>
      <c r="D200" s="455"/>
      <c r="E200" s="455"/>
      <c r="F200" s="455"/>
      <c r="G200" s="455"/>
      <c r="H200" s="455"/>
      <c r="I200" s="476"/>
      <c r="J200" s="455"/>
      <c r="K200" s="455"/>
      <c r="L200" s="455"/>
      <c r="M200" s="455"/>
      <c r="N200" s="455"/>
      <c r="O200" s="455"/>
      <c r="P200" s="455"/>
      <c r="Q200" s="455"/>
      <c r="R200" s="455"/>
      <c r="S200" s="455"/>
      <c r="T200" s="455"/>
      <c r="U200" s="455"/>
      <c r="V200" s="455"/>
      <c r="W200" s="455"/>
      <c r="AH200" s="455"/>
      <c r="AI200" s="462">
        <f>AJ200</f>
        <v>7.782</v>
      </c>
      <c r="AJ200" s="462">
        <v>7.782</v>
      </c>
    </row>
    <row r="201" spans="2:40" hidden="1" outlineLevel="1">
      <c r="B201" s="478" t="s">
        <v>2324</v>
      </c>
      <c r="I201" s="449"/>
      <c r="AI201" s="454">
        <f>SUM(AI194:AI200)</f>
        <v>231.9565671701358</v>
      </c>
      <c r="AJ201" s="454">
        <f>SUM(AJ194:AJ200)</f>
        <v>226.45000000000002</v>
      </c>
    </row>
    <row r="202" spans="2:40" hidden="1" outlineLevel="1">
      <c r="B202" s="478"/>
      <c r="I202" s="449"/>
      <c r="AI202" s="454"/>
      <c r="AJ202" s="454"/>
    </row>
    <row r="203" spans="2:40" hidden="1" outlineLevel="1">
      <c r="B203" s="487" t="s">
        <v>2992</v>
      </c>
      <c r="C203" s="455"/>
      <c r="D203" s="455"/>
      <c r="E203" s="455"/>
      <c r="F203" s="455"/>
      <c r="G203" s="455"/>
      <c r="H203" s="455"/>
      <c r="I203" s="476"/>
      <c r="J203" s="455"/>
      <c r="K203" s="455"/>
      <c r="L203" s="455"/>
      <c r="M203" s="455"/>
      <c r="N203" s="455"/>
      <c r="O203" s="455"/>
      <c r="P203" s="455"/>
      <c r="Q203" s="455"/>
      <c r="R203" s="455"/>
      <c r="S203" s="455"/>
      <c r="T203" s="455"/>
      <c r="U203" s="455"/>
      <c r="V203" s="455"/>
      <c r="W203" s="455"/>
      <c r="AH203" s="455"/>
      <c r="AI203" s="462">
        <f>AI204-AI201-AI191</f>
        <v>-103.23084530244137</v>
      </c>
      <c r="AJ203" s="462">
        <f>AJ204-AJ201-AJ191</f>
        <v>-71.615745856353669</v>
      </c>
      <c r="AK203" s="455"/>
      <c r="AL203" s="455"/>
      <c r="AM203" s="455"/>
      <c r="AN203" s="455"/>
    </row>
    <row r="204" spans="2:40" hidden="1" outlineLevel="1">
      <c r="B204" s="450" t="s">
        <v>2324</v>
      </c>
      <c r="H204" s="450"/>
      <c r="I204" s="675"/>
      <c r="J204" s="450"/>
      <c r="K204" s="450"/>
      <c r="L204" s="450"/>
      <c r="M204" s="450"/>
      <c r="AH204" s="450"/>
      <c r="AI204" s="639">
        <f>AI183</f>
        <v>926.42320085929111</v>
      </c>
      <c r="AJ204" s="639">
        <f>I216</f>
        <v>1029.8342541436464</v>
      </c>
    </row>
    <row r="205" spans="2:40" hidden="1" outlineLevel="1">
      <c r="B205" s="450"/>
      <c r="H205" s="450"/>
      <c r="I205" s="675"/>
      <c r="J205" s="450"/>
      <c r="K205" s="450"/>
      <c r="L205" s="450"/>
      <c r="M205" s="450"/>
      <c r="AH205" s="450"/>
      <c r="AI205" s="639"/>
      <c r="AJ205" s="639"/>
    </row>
    <row r="206" spans="2:40" collapsed="1">
      <c r="B206" s="450" t="s">
        <v>3016</v>
      </c>
      <c r="H206" s="450"/>
      <c r="I206" s="675"/>
      <c r="J206" s="450"/>
      <c r="K206" s="450"/>
      <c r="L206" s="450"/>
      <c r="M206" s="450"/>
      <c r="AH206" s="450"/>
      <c r="AI206" s="639"/>
      <c r="AJ206" s="639"/>
    </row>
    <row r="207" spans="2:40">
      <c r="B207" s="478" t="s">
        <v>3060</v>
      </c>
      <c r="H207" s="485">
        <f>I207</f>
        <v>282.36</v>
      </c>
      <c r="I207" s="535">
        <f>156*I215/1000</f>
        <v>282.36</v>
      </c>
      <c r="J207" s="485">
        <f>I207*1.05</f>
        <v>296.47800000000001</v>
      </c>
      <c r="K207" s="485">
        <f t="shared" ref="K207:W207" si="211">J207*1.05</f>
        <v>311.30190000000005</v>
      </c>
      <c r="L207" s="485">
        <f>K207*1.05</f>
        <v>326.86699500000009</v>
      </c>
      <c r="M207" s="485">
        <f>L207*1.05</f>
        <v>343.2103447500001</v>
      </c>
      <c r="N207" s="485">
        <f>M207*1.05</f>
        <v>360.37086198750012</v>
      </c>
      <c r="O207" s="485">
        <f>N207*0.9</f>
        <v>324.33377578875013</v>
      </c>
      <c r="P207" s="485">
        <f>O207*1.05</f>
        <v>340.55046457818764</v>
      </c>
      <c r="Q207" s="485">
        <f>P207*0.95</f>
        <v>323.52294134927826</v>
      </c>
      <c r="R207" s="485">
        <f t="shared" si="211"/>
        <v>339.6990884167422</v>
      </c>
      <c r="S207" s="485">
        <f t="shared" si="211"/>
        <v>356.68404283757934</v>
      </c>
      <c r="T207" s="485">
        <f t="shared" si="211"/>
        <v>374.5182449794583</v>
      </c>
      <c r="U207" s="485">
        <f t="shared" si="211"/>
        <v>393.24415722843122</v>
      </c>
      <c r="V207" s="485">
        <f t="shared" si="211"/>
        <v>412.90636508985278</v>
      </c>
      <c r="W207" s="485">
        <f t="shared" si="211"/>
        <v>433.55168334434546</v>
      </c>
      <c r="X207" s="485"/>
      <c r="Y207" s="485"/>
      <c r="Z207" s="485"/>
      <c r="AA207" s="485"/>
      <c r="AB207" s="485"/>
      <c r="AC207" s="485"/>
      <c r="AD207" s="485"/>
      <c r="AE207" s="485"/>
      <c r="AF207" s="485"/>
      <c r="AH207" s="450"/>
      <c r="AI207" s="639"/>
      <c r="AJ207" s="639"/>
    </row>
    <row r="208" spans="2:40">
      <c r="B208" s="478" t="s">
        <v>3085</v>
      </c>
      <c r="H208" s="454">
        <f t="shared" ref="H208:I211" si="212">AI208*H$215/1000</f>
        <v>1101.2779191489362</v>
      </c>
      <c r="I208" s="454">
        <f t="shared" si="212"/>
        <v>1074.1662200000001</v>
      </c>
      <c r="J208" s="454">
        <f t="shared" ref="J208:K210" si="213">J227*12*AVERAGE(I221:J221)/1000000</f>
        <v>1054.4321494204842</v>
      </c>
      <c r="K208" s="454">
        <f t="shared" si="213"/>
        <v>1050.8321192085853</v>
      </c>
      <c r="L208" s="454">
        <f>L227*12*AVERAGE(K221:L221)/1000000</f>
        <v>1024.8074210545406</v>
      </c>
      <c r="M208" s="454">
        <f t="shared" ref="M208:W210" si="214">M227*12*AVERAGE(L221:M221)/1000000</f>
        <v>997.2803951226964</v>
      </c>
      <c r="N208" s="454">
        <f>N227*12*AVERAGE(M221:N221)/1000000</f>
        <v>981.12159587981171</v>
      </c>
      <c r="O208" s="454">
        <f t="shared" si="214"/>
        <v>850.66537624055979</v>
      </c>
      <c r="P208" s="454">
        <f>P227*12*AVERAGE(O221:P221)/1000000</f>
        <v>829.12264515682614</v>
      </c>
      <c r="Q208" s="454">
        <f>Q227*12*AVERAGE(P221:Q221)/1000000</f>
        <v>737.45068805014228</v>
      </c>
      <c r="R208" s="454">
        <f t="shared" si="214"/>
        <v>761.09025423930643</v>
      </c>
      <c r="S208" s="454">
        <f t="shared" si="214"/>
        <v>764.67150295213276</v>
      </c>
      <c r="T208" s="454">
        <f t="shared" si="214"/>
        <v>767.57814907368345</v>
      </c>
      <c r="U208" s="454">
        <f t="shared" si="214"/>
        <v>769.78677986751507</v>
      </c>
      <c r="V208" s="454">
        <f t="shared" si="214"/>
        <v>771.27344176613019</v>
      </c>
      <c r="W208" s="454">
        <f t="shared" si="214"/>
        <v>772.01362992854047</v>
      </c>
      <c r="X208" s="454"/>
      <c r="Y208" s="454"/>
      <c r="Z208" s="454"/>
      <c r="AA208" s="454"/>
      <c r="AB208" s="454"/>
      <c r="AC208" s="454"/>
      <c r="AD208" s="454"/>
      <c r="AE208" s="454"/>
      <c r="AF208" s="454"/>
      <c r="AH208" s="450"/>
      <c r="AI208" s="485">
        <f>AI188+AI194</f>
        <v>591.44893617021273</v>
      </c>
      <c r="AJ208" s="485">
        <f>AJ188+AJ194</f>
        <v>593.46199999999999</v>
      </c>
    </row>
    <row r="209" spans="2:40">
      <c r="B209" s="478" t="s">
        <v>3086</v>
      </c>
      <c r="H209" s="454">
        <f t="shared" si="212"/>
        <v>632.35767241379313</v>
      </c>
      <c r="I209" s="454">
        <f t="shared" si="212"/>
        <v>728.12499000000003</v>
      </c>
      <c r="J209" s="454">
        <f t="shared" ca="1" si="213"/>
        <v>821.55748202344773</v>
      </c>
      <c r="K209" s="454">
        <f t="shared" ca="1" si="213"/>
        <v>924.10158638782559</v>
      </c>
      <c r="L209" s="454">
        <f ca="1">L228*12*AVERAGE(K222:L222)/1000000</f>
        <v>1056.7741121955353</v>
      </c>
      <c r="M209" s="454">
        <f t="shared" ca="1" si="214"/>
        <v>1188.2524983372798</v>
      </c>
      <c r="N209" s="454">
        <f ca="1">N228*12*AVERAGE(M222:N222)/1000000</f>
        <v>1169.7826825477935</v>
      </c>
      <c r="O209" s="454">
        <f t="shared" ca="1" si="214"/>
        <v>977.8777677777839</v>
      </c>
      <c r="P209" s="454">
        <f ca="1">P228*12*AVERAGE(O222:P222)/1000000</f>
        <v>998.88592938244744</v>
      </c>
      <c r="Q209" s="454">
        <f t="shared" ca="1" si="214"/>
        <v>995.00748380146774</v>
      </c>
      <c r="R209" s="454">
        <f ca="1">R228*12*AVERAGE(Q222:R222)/1000000</f>
        <v>1031.6766281863074</v>
      </c>
      <c r="S209" s="454">
        <f t="shared" ca="1" si="214"/>
        <v>1052.2652969329818</v>
      </c>
      <c r="T209" s="454">
        <f t="shared" ca="1" si="214"/>
        <v>1072.1128931397977</v>
      </c>
      <c r="U209" s="454">
        <f t="shared" ca="1" si="214"/>
        <v>1091.2357741262445</v>
      </c>
      <c r="V209" s="454">
        <f t="shared" ca="1" si="214"/>
        <v>1109.649989161182</v>
      </c>
      <c r="W209" s="454">
        <f t="shared" ca="1" si="214"/>
        <v>1127.3712848191494</v>
      </c>
      <c r="X209" s="454"/>
      <c r="Y209" s="454"/>
      <c r="Z209" s="454"/>
      <c r="AA209" s="454"/>
      <c r="AB209" s="454"/>
      <c r="AC209" s="454"/>
      <c r="AD209" s="454"/>
      <c r="AE209" s="454"/>
      <c r="AF209" s="454"/>
      <c r="AH209" s="450"/>
      <c r="AI209" s="485">
        <f>AI189+AI195</f>
        <v>339.61206896551727</v>
      </c>
      <c r="AJ209" s="485">
        <f>AJ189+AJ195</f>
        <v>402.279</v>
      </c>
    </row>
    <row r="210" spans="2:40">
      <c r="B210" s="478" t="s">
        <v>3087</v>
      </c>
      <c r="H210" s="454">
        <f t="shared" si="212"/>
        <v>99.157709485956545</v>
      </c>
      <c r="I210" s="454">
        <f t="shared" si="212"/>
        <v>113.31867</v>
      </c>
      <c r="J210" s="454">
        <f t="shared" si="213"/>
        <v>141.17561962153573</v>
      </c>
      <c r="K210" s="454">
        <f t="shared" si="213"/>
        <v>195.48872430670056</v>
      </c>
      <c r="L210" s="454">
        <f>L229*12*AVERAGE(K223:L223)/1000000</f>
        <v>269.75904607329585</v>
      </c>
      <c r="M210" s="454">
        <f t="shared" si="214"/>
        <v>369.01588132383222</v>
      </c>
      <c r="N210" s="454">
        <f t="shared" si="214"/>
        <v>501.01264654219682</v>
      </c>
      <c r="O210" s="454">
        <f t="shared" si="214"/>
        <v>480.1164563025219</v>
      </c>
      <c r="P210" s="454">
        <f t="shared" si="214"/>
        <v>535.5496052641289</v>
      </c>
      <c r="Q210" s="454">
        <f t="shared" si="214"/>
        <v>630.95715358233065</v>
      </c>
      <c r="R210" s="454">
        <f t="shared" si="214"/>
        <v>672.75011225568369</v>
      </c>
      <c r="S210" s="454">
        <f t="shared" si="214"/>
        <v>784.31682895626545</v>
      </c>
      <c r="T210" s="454">
        <f t="shared" si="214"/>
        <v>871.80443008270527</v>
      </c>
      <c r="U210" s="454">
        <f t="shared" si="214"/>
        <v>967.98000068957856</v>
      </c>
      <c r="V210" s="454">
        <f t="shared" si="214"/>
        <v>1073.63817773037</v>
      </c>
      <c r="W210" s="454">
        <f t="shared" si="214"/>
        <v>1189.6421027853835</v>
      </c>
      <c r="X210" s="454"/>
      <c r="Y210" s="454"/>
      <c r="Z210" s="454"/>
      <c r="AA210" s="454"/>
      <c r="AB210" s="454"/>
      <c r="AC210" s="454"/>
      <c r="AD210" s="454"/>
      <c r="AE210" s="454"/>
      <c r="AF210" s="454"/>
      <c r="AH210" s="450"/>
      <c r="AI210" s="485">
        <f>AI190+AI199</f>
        <v>53.253334847452493</v>
      </c>
      <c r="AJ210" s="485">
        <f>AJ190+AJ199</f>
        <v>62.606999999999999</v>
      </c>
    </row>
    <row r="211" spans="2:40">
      <c r="B211" s="487" t="s">
        <v>1540</v>
      </c>
      <c r="C211" s="455"/>
      <c r="D211" s="455"/>
      <c r="E211" s="455"/>
      <c r="F211" s="455"/>
      <c r="G211" s="455"/>
      <c r="H211" s="462">
        <f t="shared" si="212"/>
        <v>-107.79330104868575</v>
      </c>
      <c r="I211" s="462">
        <f t="shared" si="212"/>
        <v>-51.609880000000032</v>
      </c>
      <c r="J211" s="676">
        <f ca="1">J212-SUM(J207:J210)</f>
        <v>184.14174893453219</v>
      </c>
      <c r="K211" s="789">
        <f ca="1">J211*0.85</f>
        <v>156.52048659435235</v>
      </c>
      <c r="L211" s="676">
        <f ca="1">L212-SUM(L207:L210)</f>
        <v>156.52048659435241</v>
      </c>
      <c r="M211" s="789">
        <f ca="1">L211*0.2</f>
        <v>31.304097318870483</v>
      </c>
      <c r="N211" s="789">
        <f ca="1">M211</f>
        <v>31.304097318870483</v>
      </c>
      <c r="O211" s="789">
        <f ca="1">N211</f>
        <v>31.304097318870483</v>
      </c>
      <c r="P211" s="789">
        <f t="shared" ref="P211:W211" ca="1" si="215">O211</f>
        <v>31.304097318870483</v>
      </c>
      <c r="Q211" s="789">
        <f t="shared" ca="1" si="215"/>
        <v>31.304097318870483</v>
      </c>
      <c r="R211" s="789">
        <f t="shared" ca="1" si="215"/>
        <v>31.304097318870483</v>
      </c>
      <c r="S211" s="789">
        <f t="shared" ca="1" si="215"/>
        <v>31.304097318870483</v>
      </c>
      <c r="T211" s="789">
        <f t="shared" ca="1" si="215"/>
        <v>31.304097318870483</v>
      </c>
      <c r="U211" s="789">
        <f t="shared" ca="1" si="215"/>
        <v>31.304097318870483</v>
      </c>
      <c r="V211" s="789">
        <f t="shared" ca="1" si="215"/>
        <v>31.304097318870483</v>
      </c>
      <c r="W211" s="789">
        <f t="shared" ca="1" si="215"/>
        <v>31.304097318870483</v>
      </c>
      <c r="X211" s="788"/>
      <c r="Y211" s="788"/>
      <c r="Z211" s="788"/>
      <c r="AA211" s="788"/>
      <c r="AB211" s="788"/>
      <c r="AC211" s="788"/>
      <c r="AD211" s="788"/>
      <c r="AE211" s="788"/>
      <c r="AF211" s="788"/>
      <c r="AH211" s="451"/>
      <c r="AI211" s="676">
        <f>AI212-AI208-AI209-AI210</f>
        <v>-57.891139123891378</v>
      </c>
      <c r="AJ211" s="676">
        <f>AJ212-AJ208-AJ209-AJ210</f>
        <v>-28.513745856353609</v>
      </c>
      <c r="AK211" s="455"/>
      <c r="AL211" s="455"/>
      <c r="AM211" s="455"/>
      <c r="AN211" s="455"/>
    </row>
    <row r="212" spans="2:40">
      <c r="B212" s="450" t="s">
        <v>3082</v>
      </c>
      <c r="H212" s="454">
        <f t="shared" ref="H212:O212" si="216">SUM(H207:H211)</f>
        <v>2007.3600000000001</v>
      </c>
      <c r="I212" s="454">
        <f t="shared" si="216"/>
        <v>2146.36</v>
      </c>
      <c r="J212" s="454">
        <f>J183</f>
        <v>2497.7849999999999</v>
      </c>
      <c r="K212" s="454">
        <f t="shared" ca="1" si="216"/>
        <v>2638.2448164974639</v>
      </c>
      <c r="L212" s="454">
        <f t="shared" ca="1" si="216"/>
        <v>2834.7280609177242</v>
      </c>
      <c r="M212" s="454">
        <f t="shared" ca="1" si="216"/>
        <v>2929.0632168526786</v>
      </c>
      <c r="N212" s="454">
        <f t="shared" ca="1" si="216"/>
        <v>3043.5918842761721</v>
      </c>
      <c r="O212" s="454">
        <f t="shared" ca="1" si="216"/>
        <v>2664.2974734284862</v>
      </c>
      <c r="P212" s="454">
        <f t="shared" ref="P212:V212" ca="1" si="217">SUM(P207:P211)</f>
        <v>2735.4127417004606</v>
      </c>
      <c r="Q212" s="454">
        <f t="shared" ca="1" si="217"/>
        <v>2718.2423641020891</v>
      </c>
      <c r="R212" s="454">
        <f t="shared" ca="1" si="217"/>
        <v>2836.5201804169101</v>
      </c>
      <c r="S212" s="454">
        <f ca="1">SUM(S207:S211)</f>
        <v>2989.2417689978297</v>
      </c>
      <c r="T212" s="454">
        <f t="shared" ca="1" si="217"/>
        <v>3117.3178145945153</v>
      </c>
      <c r="U212" s="454">
        <f t="shared" ca="1" si="217"/>
        <v>3253.5508092306395</v>
      </c>
      <c r="V212" s="454">
        <f t="shared" ca="1" si="217"/>
        <v>3398.7720710664053</v>
      </c>
      <c r="W212" s="454">
        <f t="shared" ref="W212" ca="1" si="218">SUM(W207:W211)</f>
        <v>3553.8827981962895</v>
      </c>
      <c r="X212" s="454"/>
      <c r="Y212" s="454"/>
      <c r="Z212" s="454"/>
      <c r="AA212" s="454"/>
      <c r="AB212" s="454"/>
      <c r="AC212" s="454"/>
      <c r="AD212" s="454"/>
      <c r="AE212" s="454"/>
      <c r="AF212" s="454"/>
      <c r="AH212" s="450"/>
      <c r="AI212" s="639">
        <f>AI183</f>
        <v>926.42320085929111</v>
      </c>
      <c r="AJ212" s="639">
        <f>I216</f>
        <v>1029.8342541436464</v>
      </c>
      <c r="AK212" s="450"/>
      <c r="AL212" s="450"/>
      <c r="AM212" s="450"/>
      <c r="AN212" s="450"/>
    </row>
    <row r="213" spans="2:40">
      <c r="B213" s="478" t="s">
        <v>2353</v>
      </c>
      <c r="H213" s="454"/>
      <c r="I213" s="449">
        <f>I212/H212-1</f>
        <v>6.9245177745895115E-2</v>
      </c>
      <c r="J213" s="449">
        <f t="shared" ref="J213:W213" si="219">J212/I212-1</f>
        <v>0.16373068823496517</v>
      </c>
      <c r="K213" s="449">
        <f t="shared" ca="1" si="219"/>
        <v>5.6233749701220859E-2</v>
      </c>
      <c r="L213" s="449">
        <f t="shared" ca="1" si="219"/>
        <v>7.4474985487173795E-2</v>
      </c>
      <c r="M213" s="449">
        <f ca="1">M212/L212-1</f>
        <v>3.3278379409845016E-2</v>
      </c>
      <c r="N213" s="449">
        <f t="shared" ca="1" si="219"/>
        <v>3.91007837470152E-2</v>
      </c>
      <c r="O213" s="449">
        <f t="shared" ca="1" si="219"/>
        <v>-0.12462065390803534</v>
      </c>
      <c r="P213" s="449">
        <f t="shared" ca="1" si="219"/>
        <v>2.66919399883907E-2</v>
      </c>
      <c r="Q213" s="449">
        <f t="shared" ca="1" si="219"/>
        <v>-6.2770701242319538E-3</v>
      </c>
      <c r="R213" s="449">
        <f t="shared" ca="1" si="219"/>
        <v>4.3512608690392307E-2</v>
      </c>
      <c r="S213" s="449">
        <f t="shared" ca="1" si="219"/>
        <v>5.384117822792045E-2</v>
      </c>
      <c r="T213" s="449">
        <f t="shared" ca="1" si="219"/>
        <v>4.2845663045724125E-2</v>
      </c>
      <c r="U213" s="449">
        <f t="shared" ca="1" si="219"/>
        <v>4.3701990858395989E-2</v>
      </c>
      <c r="V213" s="449">
        <f t="shared" ca="1" si="219"/>
        <v>4.4634699241136389E-2</v>
      </c>
      <c r="W213" s="449">
        <f t="shared" ca="1" si="219"/>
        <v>4.5637284256374588E-2</v>
      </c>
      <c r="X213" s="449"/>
      <c r="Y213" s="449"/>
      <c r="Z213" s="449"/>
      <c r="AA213" s="449"/>
      <c r="AB213" s="449"/>
      <c r="AC213" s="449"/>
      <c r="AD213" s="449"/>
      <c r="AE213" s="449"/>
      <c r="AF213" s="449"/>
      <c r="AH213" s="450"/>
      <c r="AI213" s="639"/>
      <c r="AJ213" s="639"/>
      <c r="AK213" s="450"/>
      <c r="AL213" s="450"/>
      <c r="AM213" s="450"/>
      <c r="AN213" s="450"/>
    </row>
    <row r="214" spans="2:40">
      <c r="B214" s="478"/>
    </row>
    <row r="215" spans="2:40">
      <c r="B215" s="478" t="s">
        <v>3017</v>
      </c>
      <c r="H215" s="454">
        <f t="shared" ref="H215:Q215" si="220">H34</f>
        <v>1862</v>
      </c>
      <c r="I215" s="454">
        <f t="shared" si="220"/>
        <v>1810</v>
      </c>
      <c r="J215" s="454">
        <f t="shared" si="220"/>
        <v>1871</v>
      </c>
      <c r="K215" s="454">
        <f t="shared" si="220"/>
        <v>2010.84</v>
      </c>
      <c r="L215" s="454">
        <f t="shared" si="220"/>
        <v>2746</v>
      </c>
      <c r="M215" s="454">
        <f>M34</f>
        <v>3043</v>
      </c>
      <c r="N215" s="454">
        <f t="shared" si="220"/>
        <v>2951</v>
      </c>
      <c r="O215" s="454">
        <f t="shared" si="220"/>
        <v>2919</v>
      </c>
      <c r="P215" s="454">
        <f t="shared" si="220"/>
        <v>3281</v>
      </c>
      <c r="Q215" s="454">
        <f t="shared" si="220"/>
        <v>3749</v>
      </c>
      <c r="R215" s="454">
        <f t="shared" ref="R215:W215" si="221">R34</f>
        <v>3720</v>
      </c>
      <c r="S215" s="454">
        <f t="shared" si="221"/>
        <v>3775.8</v>
      </c>
      <c r="T215" s="454">
        <f t="shared" si="221"/>
        <v>3889.0740000000001</v>
      </c>
      <c r="U215" s="454">
        <f t="shared" si="221"/>
        <v>4005.74622</v>
      </c>
      <c r="V215" s="454">
        <f t="shared" si="221"/>
        <v>4125.9186066000002</v>
      </c>
      <c r="W215" s="454">
        <f t="shared" si="221"/>
        <v>4249.6961647980006</v>
      </c>
      <c r="X215" s="454"/>
      <c r="Y215" s="454"/>
      <c r="Z215" s="454"/>
      <c r="AA215" s="454"/>
      <c r="AB215" s="454"/>
      <c r="AC215" s="454"/>
      <c r="AD215" s="454"/>
      <c r="AE215" s="454"/>
      <c r="AF215" s="454"/>
    </row>
    <row r="216" spans="2:40">
      <c r="B216" s="478" t="s">
        <v>2969</v>
      </c>
      <c r="H216" s="464">
        <f>H183/H$215*1000</f>
        <v>926.42320085929111</v>
      </c>
      <c r="I216" s="464">
        <f>I183/I$215*1000</f>
        <v>1029.8342541436464</v>
      </c>
      <c r="J216" s="489">
        <v>1335</v>
      </c>
      <c r="K216" s="464">
        <f ca="1">K183/K$215*1000</f>
        <v>1312.0113069649819</v>
      </c>
      <c r="L216" s="489">
        <f>'Country quarts'!L7</f>
        <v>1041.2126727509778</v>
      </c>
      <c r="M216" s="464">
        <f ca="1">M183/M$215*1000</f>
        <v>962.55774461146189</v>
      </c>
      <c r="N216" s="464">
        <f ca="1">N183/N$215*1000</f>
        <v>1031.3764433331658</v>
      </c>
      <c r="O216" s="464">
        <f ca="1">O183/O$215*1000</f>
        <v>912.74322488129019</v>
      </c>
      <c r="P216" s="464">
        <f ca="1">P183/P$215*1000</f>
        <v>833.71311847011907</v>
      </c>
      <c r="Q216" s="464">
        <f t="shared" ref="Q216:V216" ca="1" si="222">Q183/Q$215*1000</f>
        <v>725.0579792216829</v>
      </c>
      <c r="R216" s="464">
        <f t="shared" ca="1" si="222"/>
        <v>762.50542484325547</v>
      </c>
      <c r="S216" s="464">
        <f t="shared" ca="1" si="222"/>
        <v>791.68435007093319</v>
      </c>
      <c r="T216" s="464">
        <f t="shared" ca="1" si="222"/>
        <v>801.55785531324818</v>
      </c>
      <c r="U216" s="464">
        <f t="shared" ca="1" si="222"/>
        <v>812.22090230934282</v>
      </c>
      <c r="V216" s="464">
        <f t="shared" ca="1" si="222"/>
        <v>823.76129903037361</v>
      </c>
      <c r="W216" s="464">
        <f t="shared" ref="W216" ca="1" si="223">W183/W$215*1000</f>
        <v>836.26750251808062</v>
      </c>
      <c r="X216" s="464"/>
      <c r="Y216" s="464"/>
      <c r="Z216" s="464"/>
      <c r="AA216" s="464"/>
      <c r="AB216" s="464"/>
      <c r="AC216" s="464"/>
      <c r="AD216" s="464"/>
      <c r="AE216" s="464"/>
      <c r="AF216" s="464"/>
    </row>
    <row r="217" spans="2:40">
      <c r="B217" s="608" t="s">
        <v>3688</v>
      </c>
      <c r="H217" s="464"/>
      <c r="I217" s="464"/>
      <c r="J217" s="464">
        <f>J216-J218</f>
        <v>1185</v>
      </c>
      <c r="K217" s="464">
        <f t="shared" ref="K217:W217" ca="1" si="224">J217/J216*K216</f>
        <v>1164.5943061823996</v>
      </c>
      <c r="L217" s="464">
        <f t="shared" ca="1" si="224"/>
        <v>924.22248480142969</v>
      </c>
      <c r="M217" s="464">
        <f ca="1">L217/L216*M216</f>
        <v>854.4051890371403</v>
      </c>
      <c r="N217" s="464">
        <f t="shared" ca="1" si="224"/>
        <v>915.49144970022576</v>
      </c>
      <c r="O217" s="464">
        <f t="shared" ca="1" si="224"/>
        <v>810.18780635530243</v>
      </c>
      <c r="P217" s="464">
        <f t="shared" ca="1" si="224"/>
        <v>740.03748718134148</v>
      </c>
      <c r="Q217" s="464">
        <f t="shared" ca="1" si="224"/>
        <v>643.59079054508925</v>
      </c>
      <c r="R217" s="464">
        <f t="shared" ca="1" si="224"/>
        <v>676.83065800693464</v>
      </c>
      <c r="S217" s="464">
        <f t="shared" ca="1" si="224"/>
        <v>702.73105231015427</v>
      </c>
      <c r="T217" s="464">
        <f t="shared" ca="1" si="224"/>
        <v>711.49517494097313</v>
      </c>
      <c r="U217" s="464">
        <f t="shared" ca="1" si="224"/>
        <v>720.96012676896726</v>
      </c>
      <c r="V217" s="464">
        <f t="shared" ca="1" si="224"/>
        <v>731.2038497011182</v>
      </c>
      <c r="W217" s="464">
        <f t="shared" ca="1" si="224"/>
        <v>742.30486178571209</v>
      </c>
      <c r="X217" s="464"/>
      <c r="Y217" s="464"/>
      <c r="Z217" s="464"/>
      <c r="AA217" s="464"/>
      <c r="AB217" s="464"/>
      <c r="AC217" s="464"/>
      <c r="AD217" s="464"/>
      <c r="AE217" s="464"/>
      <c r="AF217" s="464"/>
      <c r="AI217" s="478" t="s">
        <v>3797</v>
      </c>
      <c r="AJ217" s="478" t="s">
        <v>3798</v>
      </c>
      <c r="AK217" s="454">
        <f>L42</f>
        <v>750.24007376967791</v>
      </c>
    </row>
    <row r="218" spans="2:40">
      <c r="B218" s="608" t="s">
        <v>3689</v>
      </c>
      <c r="H218" s="464"/>
      <c r="I218" s="464"/>
      <c r="J218" s="489">
        <v>150</v>
      </c>
      <c r="K218" s="464">
        <f t="shared" ref="K218:Q218" ca="1" si="225">K216-K217</f>
        <v>147.41700078258236</v>
      </c>
      <c r="L218" s="464">
        <f t="shared" ca="1" si="225"/>
        <v>116.99018794954816</v>
      </c>
      <c r="M218" s="464">
        <f ca="1">M216-M217</f>
        <v>108.15255557432158</v>
      </c>
      <c r="N218" s="464">
        <f t="shared" ca="1" si="225"/>
        <v>115.88499363294</v>
      </c>
      <c r="O218" s="464">
        <f t="shared" ca="1" si="225"/>
        <v>102.55541852598776</v>
      </c>
      <c r="P218" s="464">
        <f t="shared" ca="1" si="225"/>
        <v>93.675631288777595</v>
      </c>
      <c r="Q218" s="464">
        <f t="shared" ca="1" si="225"/>
        <v>81.467188676593651</v>
      </c>
      <c r="R218" s="464">
        <f t="shared" ref="R218:W218" ca="1" si="226">R216-R217</f>
        <v>85.674766836320828</v>
      </c>
      <c r="S218" s="464">
        <f t="shared" ca="1" si="226"/>
        <v>88.953297760778923</v>
      </c>
      <c r="T218" s="464">
        <f t="shared" ca="1" si="226"/>
        <v>90.062680372275054</v>
      </c>
      <c r="U218" s="464">
        <f t="shared" ca="1" si="226"/>
        <v>91.260775540375562</v>
      </c>
      <c r="V218" s="464">
        <f t="shared" ca="1" si="226"/>
        <v>92.557449329255405</v>
      </c>
      <c r="W218" s="464">
        <f t="shared" ca="1" si="226"/>
        <v>93.962640732368527</v>
      </c>
      <c r="X218" s="464"/>
      <c r="Y218" s="464"/>
      <c r="Z218" s="464"/>
      <c r="AA218" s="464"/>
      <c r="AB218" s="464"/>
      <c r="AC218" s="464"/>
      <c r="AD218" s="464"/>
      <c r="AE218" s="464"/>
      <c r="AF218" s="464"/>
      <c r="AJ218" s="478" t="s">
        <v>3800</v>
      </c>
      <c r="AK218" s="454">
        <f>L43</f>
        <v>190.54725347934425</v>
      </c>
    </row>
    <row r="219" spans="2:40">
      <c r="B219" s="478"/>
      <c r="AJ219" s="478" t="s">
        <v>3799</v>
      </c>
      <c r="AK219" s="464">
        <f ca="1">L217</f>
        <v>924.22248480142969</v>
      </c>
    </row>
    <row r="220" spans="2:40">
      <c r="B220" s="450" t="s">
        <v>560</v>
      </c>
      <c r="AJ220" s="487" t="s">
        <v>3801</v>
      </c>
      <c r="AK220" s="490">
        <f ca="1">L218</f>
        <v>116.99018794954816</v>
      </c>
    </row>
    <row r="221" spans="2:40">
      <c r="B221" s="478" t="s">
        <v>1908</v>
      </c>
      <c r="G221" s="464">
        <f t="shared" ref="G221:Q221" si="227">G112</f>
        <v>1965515</v>
      </c>
      <c r="H221" s="464">
        <f t="shared" si="227"/>
        <v>1919122</v>
      </c>
      <c r="I221" s="464">
        <f t="shared" si="227"/>
        <v>1555323</v>
      </c>
      <c r="J221" s="464">
        <f t="shared" si="227"/>
        <v>1527811.9398259774</v>
      </c>
      <c r="K221" s="464">
        <f t="shared" si="227"/>
        <v>1544796.5958716404</v>
      </c>
      <c r="L221" s="464">
        <f t="shared" si="227"/>
        <v>1560680.437626967</v>
      </c>
      <c r="M221" s="464">
        <f>M112</f>
        <v>1575421.4338280535</v>
      </c>
      <c r="N221" s="464">
        <f t="shared" si="227"/>
        <v>1588976.5532056889</v>
      </c>
      <c r="O221" s="464">
        <f t="shared" si="227"/>
        <v>1601301.7448953665</v>
      </c>
      <c r="P221" s="464">
        <f t="shared" si="227"/>
        <v>1612351.9185031841</v>
      </c>
      <c r="Q221" s="464">
        <f t="shared" si="227"/>
        <v>1622080.9238220011</v>
      </c>
      <c r="R221" s="464">
        <f t="shared" ref="R221:W221" si="228">R112</f>
        <v>1630441.5301921288</v>
      </c>
      <c r="S221" s="464">
        <f t="shared" si="228"/>
        <v>1637385.4055007461</v>
      </c>
      <c r="T221" s="464">
        <f t="shared" si="228"/>
        <v>1642863.0948141403</v>
      </c>
      <c r="U221" s="464">
        <f t="shared" si="228"/>
        <v>1646823.9986367789</v>
      </c>
      <c r="V221" s="464">
        <f t="shared" si="228"/>
        <v>1649216.3507911279</v>
      </c>
      <c r="W221" s="464">
        <f t="shared" si="228"/>
        <v>1649987.1959120366</v>
      </c>
      <c r="X221" s="464"/>
      <c r="Y221" s="464"/>
      <c r="Z221" s="464"/>
      <c r="AA221" s="464"/>
      <c r="AB221" s="464"/>
      <c r="AC221" s="464"/>
      <c r="AD221" s="464"/>
      <c r="AE221" s="464"/>
      <c r="AF221" s="464"/>
      <c r="AJ221" s="478" t="s">
        <v>1107</v>
      </c>
      <c r="AK221" s="454">
        <f ca="1">SUM(AK217:AK220)</f>
        <v>1982</v>
      </c>
    </row>
    <row r="222" spans="2:40">
      <c r="B222" s="478" t="s">
        <v>2844</v>
      </c>
      <c r="G222" s="464">
        <f t="shared" ref="G222:Q222" si="229">G136</f>
        <v>699832</v>
      </c>
      <c r="H222" s="464">
        <f t="shared" si="229"/>
        <v>1009776</v>
      </c>
      <c r="I222" s="464">
        <f t="shared" si="229"/>
        <v>1159022</v>
      </c>
      <c r="J222" s="464">
        <f t="shared" ca="1" si="229"/>
        <v>1312792.798100776</v>
      </c>
      <c r="K222" s="464">
        <f t="shared" ca="1" si="229"/>
        <v>1495630.026239346</v>
      </c>
      <c r="L222" s="464">
        <f t="shared" ca="1" si="229"/>
        <v>1715995.8172598113</v>
      </c>
      <c r="M222" s="464">
        <f ca="1">M136</f>
        <v>1951450.1652626572</v>
      </c>
      <c r="N222" s="464">
        <f t="shared" ca="1" si="229"/>
        <v>2027402.4964645312</v>
      </c>
      <c r="O222" s="464">
        <f t="shared" ca="1" si="229"/>
        <v>2130241.0740192439</v>
      </c>
      <c r="P222" s="464">
        <f t="shared" ca="1" si="229"/>
        <v>2309251.9454582999</v>
      </c>
      <c r="Q222" s="464">
        <f t="shared" ca="1" si="229"/>
        <v>2497547.4931961335</v>
      </c>
      <c r="R222" s="464">
        <f t="shared" ref="R222:W222" ca="1" si="230">R136</f>
        <v>2614191.0336776804</v>
      </c>
      <c r="S222" s="464">
        <f t="shared" ca="1" si="230"/>
        <v>2733245.8963002809</v>
      </c>
      <c r="T222" s="464">
        <f t="shared" ca="1" si="230"/>
        <v>2854753.1880695601</v>
      </c>
      <c r="U222" s="464">
        <f t="shared" ca="1" si="230"/>
        <v>2978754.6646925677</v>
      </c>
      <c r="V222" s="464">
        <f t="shared" ca="1" si="230"/>
        <v>3105292.7405599044</v>
      </c>
      <c r="W222" s="464">
        <f t="shared" ca="1" si="230"/>
        <v>3234410.4988834504</v>
      </c>
      <c r="X222" s="464"/>
      <c r="Y222" s="464"/>
      <c r="Z222" s="464"/>
      <c r="AA222" s="464"/>
      <c r="AB222" s="464"/>
      <c r="AC222" s="464"/>
      <c r="AD222" s="464"/>
      <c r="AE222" s="464"/>
      <c r="AF222" s="464"/>
    </row>
    <row r="223" spans="2:40">
      <c r="B223" s="487" t="s">
        <v>2587</v>
      </c>
      <c r="C223" s="455"/>
      <c r="D223" s="455"/>
      <c r="E223" s="455"/>
      <c r="F223" s="455"/>
      <c r="G223" s="490">
        <f t="shared" ref="G223:Q223" si="231">G159</f>
        <v>912762</v>
      </c>
      <c r="H223" s="490">
        <f t="shared" si="231"/>
        <v>1034766</v>
      </c>
      <c r="I223" s="490">
        <f t="shared" si="231"/>
        <v>1049135</v>
      </c>
      <c r="J223" s="490">
        <f t="shared" si="231"/>
        <v>1208415.5135779278</v>
      </c>
      <c r="K223" s="490">
        <f t="shared" si="231"/>
        <v>1396647.5462973884</v>
      </c>
      <c r="L223" s="490">
        <f t="shared" si="231"/>
        <v>1599004.0293668294</v>
      </c>
      <c r="M223" s="490">
        <f>M159</f>
        <v>1815904.6407471763</v>
      </c>
      <c r="N223" s="490">
        <f t="shared" si="231"/>
        <v>2047778.2816423937</v>
      </c>
      <c r="O223" s="490">
        <f t="shared" si="231"/>
        <v>2257497.0483640595</v>
      </c>
      <c r="P223" s="490">
        <f t="shared" si="231"/>
        <v>2440306.5065844404</v>
      </c>
      <c r="Q223" s="490">
        <f t="shared" si="231"/>
        <v>2591249.742078484</v>
      </c>
      <c r="R223" s="490">
        <f t="shared" ref="R223:W223" si="232">R159</f>
        <v>2748036.8631253554</v>
      </c>
      <c r="S223" s="490">
        <f t="shared" si="232"/>
        <v>2910814.716645679</v>
      </c>
      <c r="T223" s="490">
        <f t="shared" si="232"/>
        <v>3079733.1434704834</v>
      </c>
      <c r="U223" s="490">
        <f t="shared" si="232"/>
        <v>3254945.0324551375</v>
      </c>
      <c r="V223" s="490">
        <f t="shared" si="232"/>
        <v>3436606.3754980569</v>
      </c>
      <c r="W223" s="490">
        <f t="shared" si="232"/>
        <v>3624876.3234785181</v>
      </c>
      <c r="X223" s="464"/>
      <c r="Y223" s="464"/>
      <c r="Z223" s="464"/>
      <c r="AA223" s="464"/>
      <c r="AB223" s="464"/>
      <c r="AC223" s="464"/>
      <c r="AD223" s="464"/>
      <c r="AE223" s="464"/>
      <c r="AF223" s="464"/>
      <c r="AJ223" t="s">
        <v>3802</v>
      </c>
    </row>
    <row r="224" spans="2:40">
      <c r="B224" s="478" t="s">
        <v>2999</v>
      </c>
      <c r="G224" s="464">
        <f>SUM(G221:G223)</f>
        <v>3578109</v>
      </c>
      <c r="H224" s="464">
        <f>SUM(H221:H223)</f>
        <v>3963664</v>
      </c>
      <c r="I224" s="464">
        <f>SUM(I221:I223)</f>
        <v>3763480</v>
      </c>
      <c r="J224" s="464">
        <f t="shared" ref="J224:O224" ca="1" si="233">SUM(J221:J223)</f>
        <v>4049020.2515046811</v>
      </c>
      <c r="K224" s="464">
        <f t="shared" ca="1" si="233"/>
        <v>4437074.1684083743</v>
      </c>
      <c r="L224" s="464">
        <f t="shared" ca="1" si="233"/>
        <v>4875680.2842536075</v>
      </c>
      <c r="M224" s="464">
        <f t="shared" ca="1" si="233"/>
        <v>5342776.2398378868</v>
      </c>
      <c r="N224" s="464">
        <f t="shared" ca="1" si="233"/>
        <v>5664157.3313126136</v>
      </c>
      <c r="O224" s="464">
        <f t="shared" ca="1" si="233"/>
        <v>5989039.86727867</v>
      </c>
      <c r="P224" s="464">
        <f t="shared" ref="P224:V224" ca="1" si="234">SUM(P221:P223)</f>
        <v>6361910.3705459246</v>
      </c>
      <c r="Q224" s="464">
        <f t="shared" ca="1" si="234"/>
        <v>6710878.1590966191</v>
      </c>
      <c r="R224" s="464">
        <f t="shared" ca="1" si="234"/>
        <v>6992669.4269951656</v>
      </c>
      <c r="S224" s="464">
        <f t="shared" ca="1" si="234"/>
        <v>7281446.0184467062</v>
      </c>
      <c r="T224" s="464">
        <f t="shared" ca="1" si="234"/>
        <v>7577349.4263541829</v>
      </c>
      <c r="U224" s="464">
        <f t="shared" ca="1" si="234"/>
        <v>7880523.6957844831</v>
      </c>
      <c r="V224" s="464">
        <f t="shared" ca="1" si="234"/>
        <v>8191115.4668490887</v>
      </c>
      <c r="W224" s="464">
        <f t="shared" ref="W224" ca="1" si="235">SUM(W221:W223)</f>
        <v>8509274.0182740055</v>
      </c>
      <c r="X224" s="464"/>
      <c r="Y224" s="464"/>
      <c r="Z224" s="464"/>
      <c r="AA224" s="464"/>
      <c r="AB224" s="464"/>
      <c r="AC224" s="464"/>
      <c r="AD224" s="464"/>
      <c r="AE224" s="464"/>
      <c r="AF224" s="464"/>
      <c r="AJ224" s="478" t="s">
        <v>3798</v>
      </c>
      <c r="AK224" s="454">
        <f>SA!P58</f>
        <v>915.2404068319662</v>
      </c>
    </row>
    <row r="225" spans="2:37">
      <c r="B225" s="478"/>
      <c r="AJ225" s="478" t="s">
        <v>3800</v>
      </c>
      <c r="AK225" s="454">
        <f>SA!P59</f>
        <v>156.84683626000935</v>
      </c>
    </row>
    <row r="226" spans="2:37">
      <c r="B226" s="450" t="s">
        <v>2171</v>
      </c>
      <c r="AJ226" s="478" t="s">
        <v>3803</v>
      </c>
      <c r="AK226" s="454">
        <f>SA!P81</f>
        <v>30</v>
      </c>
    </row>
    <row r="227" spans="2:37">
      <c r="B227" s="478" t="str">
        <f>B221</f>
        <v>Voice</v>
      </c>
      <c r="H227" s="570">
        <f>H208*1000000/AVERAGE(G112:H112)/12</f>
        <v>47.24928477439618</v>
      </c>
      <c r="I227" s="570">
        <f>I208*1000000/AVERAGE(I112)/12</f>
        <v>57.55322313543018</v>
      </c>
      <c r="J227" s="684">
        <v>57</v>
      </c>
      <c r="K227" s="684">
        <f>J227</f>
        <v>57</v>
      </c>
      <c r="L227" s="684">
        <v>55</v>
      </c>
      <c r="M227" s="684">
        <v>53</v>
      </c>
      <c r="N227" s="684">
        <f>M227*0.975</f>
        <v>51.674999999999997</v>
      </c>
      <c r="O227" s="684">
        <f>N227*0.86</f>
        <v>44.4405</v>
      </c>
      <c r="P227" s="684">
        <v>43</v>
      </c>
      <c r="Q227" s="684">
        <v>38</v>
      </c>
      <c r="R227" s="684">
        <v>39</v>
      </c>
      <c r="S227" s="684">
        <f>R227</f>
        <v>39</v>
      </c>
      <c r="T227" s="684">
        <f>S227</f>
        <v>39</v>
      </c>
      <c r="U227" s="684">
        <f>T227</f>
        <v>39</v>
      </c>
      <c r="V227" s="684">
        <f>U227</f>
        <v>39</v>
      </c>
      <c r="W227" s="684">
        <f>V227</f>
        <v>39</v>
      </c>
      <c r="X227" s="684"/>
      <c r="Y227" s="684"/>
      <c r="Z227" s="684"/>
      <c r="AA227" s="684"/>
      <c r="AB227" s="684"/>
      <c r="AC227" s="684"/>
      <c r="AD227" s="684"/>
      <c r="AE227" s="684"/>
      <c r="AF227" s="684"/>
      <c r="AJ227" s="478" t="s">
        <v>3799</v>
      </c>
      <c r="AK227" s="454">
        <f>Cable!M25</f>
        <v>100.78732724902216</v>
      </c>
    </row>
    <row r="228" spans="2:37">
      <c r="B228" s="478" t="str">
        <f>B222</f>
        <v>Internet</v>
      </c>
      <c r="H228" s="570">
        <f>H209*1000000/AVERAGE(G136:H136)/12</f>
        <v>61.647433448076306</v>
      </c>
      <c r="I228" s="570">
        <f>I209*1000000/AVERAGE(H136:I136)/12</f>
        <v>55.954572532803887</v>
      </c>
      <c r="J228" s="684">
        <f>I228*0.99</f>
        <v>55.395026807475844</v>
      </c>
      <c r="K228" s="684">
        <f>J228*0.99</f>
        <v>54.841076539401087</v>
      </c>
      <c r="L228" s="684">
        <f>K228</f>
        <v>54.841076539401087</v>
      </c>
      <c r="M228" s="684">
        <v>54</v>
      </c>
      <c r="N228" s="684">
        <v>49</v>
      </c>
      <c r="O228" s="684">
        <f>N228*0.8</f>
        <v>39.200000000000003</v>
      </c>
      <c r="P228" s="684">
        <v>37.5</v>
      </c>
      <c r="Q228" s="684">
        <v>34.5</v>
      </c>
      <c r="R228" s="684">
        <f t="shared" ref="R228:W228" si="236">Q228*0.975</f>
        <v>33.637499999999996</v>
      </c>
      <c r="S228" s="684">
        <f t="shared" si="236"/>
        <v>32.796562499999993</v>
      </c>
      <c r="T228" s="684">
        <f t="shared" si="236"/>
        <v>31.976648437499993</v>
      </c>
      <c r="U228" s="684">
        <f t="shared" si="236"/>
        <v>31.177232226562491</v>
      </c>
      <c r="V228" s="684">
        <f t="shared" si="236"/>
        <v>30.397801420898428</v>
      </c>
      <c r="W228" s="684">
        <f t="shared" si="236"/>
        <v>29.637856385375969</v>
      </c>
      <c r="X228" s="684"/>
      <c r="Y228" s="684"/>
      <c r="Z228" s="684"/>
      <c r="AA228" s="684"/>
      <c r="AB228" s="684"/>
      <c r="AC228" s="684"/>
      <c r="AD228" s="684"/>
      <c r="AE228" s="684"/>
      <c r="AF228" s="684"/>
      <c r="AJ228" s="487" t="s">
        <v>3801</v>
      </c>
      <c r="AK228" s="455">
        <v>0</v>
      </c>
    </row>
    <row r="229" spans="2:37">
      <c r="B229" s="487" t="str">
        <f>B223</f>
        <v>TV</v>
      </c>
      <c r="C229" s="455"/>
      <c r="D229" s="455"/>
      <c r="E229" s="455"/>
      <c r="F229" s="455"/>
      <c r="G229" s="455"/>
      <c r="H229" s="571">
        <f>H210*1000000/AVERAGE(G159:H159)/12</f>
        <v>8.4857752568004639</v>
      </c>
      <c r="I229" s="571">
        <f>I210*1000000/AVERAGE(H159:I159)/12</f>
        <v>9.0630241071912732</v>
      </c>
      <c r="J229" s="683">
        <f>I229*1.15</f>
        <v>10.422477723269964</v>
      </c>
      <c r="K229" s="683">
        <f>J229*1.2</f>
        <v>12.506973267923955</v>
      </c>
      <c r="L229" s="683">
        <f>K229*1.2</f>
        <v>15.008367921508746</v>
      </c>
      <c r="M229" s="683">
        <f>L229*1.2</f>
        <v>18.010041505810495</v>
      </c>
      <c r="N229" s="683">
        <f>M229*1.2</f>
        <v>21.612049806972593</v>
      </c>
      <c r="O229" s="683">
        <f>N229*0.86</f>
        <v>18.586362833996429</v>
      </c>
      <c r="P229" s="683">
        <v>19</v>
      </c>
      <c r="Q229" s="683">
        <f>P229*1.1</f>
        <v>20.900000000000002</v>
      </c>
      <c r="R229" s="683">
        <v>21</v>
      </c>
      <c r="S229" s="683">
        <f>R229*1.1</f>
        <v>23.1</v>
      </c>
      <c r="T229" s="683">
        <f>S229*1.05</f>
        <v>24.255000000000003</v>
      </c>
      <c r="U229" s="683">
        <f>T229*1.05</f>
        <v>25.467750000000002</v>
      </c>
      <c r="V229" s="683">
        <f>U229*1.05</f>
        <v>26.741137500000004</v>
      </c>
      <c r="W229" s="683">
        <f>V229*1.05</f>
        <v>28.078194375000006</v>
      </c>
      <c r="X229" s="684"/>
      <c r="Y229" s="684"/>
      <c r="Z229" s="684"/>
      <c r="AA229" s="684"/>
      <c r="AB229" s="684"/>
      <c r="AC229" s="684"/>
      <c r="AD229" s="684"/>
      <c r="AE229" s="684"/>
      <c r="AF229" s="684"/>
      <c r="AJ229" s="478" t="s">
        <v>1107</v>
      </c>
      <c r="AK229" s="454">
        <f>SUM(AK224:AK228)</f>
        <v>1202.8745703409977</v>
      </c>
    </row>
    <row r="230" spans="2:37">
      <c r="B230" s="478" t="s">
        <v>3084</v>
      </c>
      <c r="H230" s="570">
        <f t="shared" ref="H230:W230" si="237">H212*1000000/AVERAGE(G224:H224)/12</f>
        <v>44.360921496841662</v>
      </c>
      <c r="I230" s="570">
        <f t="shared" si="237"/>
        <v>46.294810432763605</v>
      </c>
      <c r="J230" s="570">
        <f t="shared" ca="1" si="237"/>
        <v>53.286078284582636</v>
      </c>
      <c r="K230" s="570">
        <f t="shared" ca="1" si="237"/>
        <v>51.815057393710816</v>
      </c>
      <c r="L230" s="570">
        <f t="shared" ca="1" si="237"/>
        <v>50.732001925012959</v>
      </c>
      <c r="M230" s="570">
        <f t="shared" ca="1" si="237"/>
        <v>47.774064669926538</v>
      </c>
      <c r="N230" s="570">
        <f t="shared" ca="1" si="237"/>
        <v>46.085979420788561</v>
      </c>
      <c r="O230" s="570">
        <f t="shared" ca="1" si="237"/>
        <v>38.105386130291123</v>
      </c>
      <c r="P230" s="570">
        <f t="shared" ca="1" si="237"/>
        <v>36.912311590451573</v>
      </c>
      <c r="Q230" s="570">
        <f t="shared" ca="1" si="237"/>
        <v>34.655222410256684</v>
      </c>
      <c r="R230" s="570">
        <f t="shared" ca="1" si="237"/>
        <v>34.498611431293348</v>
      </c>
      <c r="S230" s="570">
        <f t="shared" ca="1" si="237"/>
        <v>34.902825565890311</v>
      </c>
      <c r="T230" s="570">
        <f t="shared" ca="1" si="237"/>
        <v>34.966022045944385</v>
      </c>
      <c r="U230" s="570">
        <f t="shared" ca="1" si="237"/>
        <v>35.079759286449793</v>
      </c>
      <c r="V230" s="570">
        <f t="shared" ca="1" si="237"/>
        <v>35.246063336303642</v>
      </c>
      <c r="W230" s="570">
        <f t="shared" ca="1" si="237"/>
        <v>35.467065018275278</v>
      </c>
      <c r="X230" s="570"/>
      <c r="Y230" s="570"/>
      <c r="Z230" s="570"/>
      <c r="AA230" s="570"/>
      <c r="AB230" s="570"/>
      <c r="AC230" s="570"/>
      <c r="AD230" s="570"/>
      <c r="AE230" s="570"/>
      <c r="AF230" s="570"/>
    </row>
    <row r="231" spans="2:37">
      <c r="B231" s="478" t="s">
        <v>2353</v>
      </c>
      <c r="H231" s="570"/>
      <c r="I231" s="570"/>
      <c r="J231" s="570"/>
      <c r="K231" s="570"/>
      <c r="L231" s="570"/>
      <c r="M231" s="570"/>
      <c r="N231" s="570"/>
      <c r="O231" s="570"/>
      <c r="P231" s="570"/>
      <c r="Q231" s="570"/>
      <c r="R231" s="570"/>
      <c r="S231" s="570"/>
      <c r="T231" s="570"/>
      <c r="U231" s="570"/>
      <c r="V231" s="570"/>
      <c r="W231" s="570"/>
      <c r="X231" s="570"/>
      <c r="Y231" s="570"/>
      <c r="Z231" s="570"/>
      <c r="AA231" s="570"/>
      <c r="AB231" s="570"/>
      <c r="AC231" s="570"/>
      <c r="AD231" s="570"/>
      <c r="AE231" s="570"/>
      <c r="AF231" s="570"/>
      <c r="AJ231" t="s">
        <v>1107</v>
      </c>
      <c r="AK231" s="454">
        <f ca="1">AK221+AK229</f>
        <v>3184.8745703409977</v>
      </c>
    </row>
    <row r="232" spans="2:37">
      <c r="B232" s="478"/>
    </row>
    <row r="233" spans="2:37">
      <c r="B233" s="450" t="s">
        <v>360</v>
      </c>
      <c r="I233" s="454"/>
    </row>
    <row r="234" spans="2:37">
      <c r="B234" s="478" t="s">
        <v>3060</v>
      </c>
      <c r="I234" s="535">
        <f>48*I215/1000</f>
        <v>86.88</v>
      </c>
      <c r="J234" s="454">
        <f>I234</f>
        <v>86.88</v>
      </c>
      <c r="K234" s="485">
        <f t="shared" ref="K234:W234" si="238">J234*1.075</f>
        <v>93.395999999999987</v>
      </c>
      <c r="L234" s="485">
        <f t="shared" si="238"/>
        <v>100.40069999999999</v>
      </c>
      <c r="M234" s="485">
        <f t="shared" si="238"/>
        <v>107.93075249999998</v>
      </c>
      <c r="N234" s="485">
        <f ca="1">N237-N236</f>
        <v>135.08751621634474</v>
      </c>
      <c r="O234" s="485">
        <f ca="1">O237-O236</f>
        <v>134.46668769716496</v>
      </c>
      <c r="P234" s="485">
        <f t="shared" ca="1" si="238"/>
        <v>144.55168927445231</v>
      </c>
      <c r="Q234" s="485">
        <f t="shared" ca="1" si="238"/>
        <v>155.39306597003622</v>
      </c>
      <c r="R234" s="485">
        <f t="shared" ca="1" si="238"/>
        <v>167.04754591778894</v>
      </c>
      <c r="S234" s="485">
        <f t="shared" ca="1" si="238"/>
        <v>179.5761118616231</v>
      </c>
      <c r="T234" s="485">
        <f t="shared" ca="1" si="238"/>
        <v>193.04432025124484</v>
      </c>
      <c r="U234" s="485">
        <f t="shared" ca="1" si="238"/>
        <v>207.52264427008819</v>
      </c>
      <c r="V234" s="485">
        <f t="shared" ca="1" si="238"/>
        <v>223.08684259034479</v>
      </c>
      <c r="W234" s="485">
        <f t="shared" ca="1" si="238"/>
        <v>239.81835578462065</v>
      </c>
      <c r="X234" s="485"/>
      <c r="Y234" s="485"/>
      <c r="Z234" s="485"/>
      <c r="AA234" s="485"/>
      <c r="AB234" s="485"/>
      <c r="AC234" s="485"/>
      <c r="AD234" s="485"/>
      <c r="AE234" s="485"/>
      <c r="AF234" s="485"/>
    </row>
    <row r="235" spans="2:37">
      <c r="B235" s="478" t="s">
        <v>2842</v>
      </c>
      <c r="I235">
        <v>-81</v>
      </c>
      <c r="J235" s="523">
        <v>-60</v>
      </c>
      <c r="K235" s="523">
        <v>-25</v>
      </c>
      <c r="L235" s="523">
        <v>0</v>
      </c>
      <c r="M235" s="523">
        <v>0</v>
      </c>
      <c r="N235" s="523">
        <v>0</v>
      </c>
      <c r="O235" s="523">
        <v>0</v>
      </c>
      <c r="P235" s="523">
        <v>0</v>
      </c>
      <c r="Q235" s="523">
        <v>0</v>
      </c>
      <c r="R235" s="523">
        <v>0</v>
      </c>
      <c r="S235" s="523">
        <v>0</v>
      </c>
      <c r="T235" s="523">
        <v>0</v>
      </c>
      <c r="U235" s="523">
        <v>0</v>
      </c>
      <c r="V235" s="523">
        <v>0</v>
      </c>
      <c r="W235" s="523">
        <v>0</v>
      </c>
      <c r="X235" s="523"/>
      <c r="Y235" s="523"/>
      <c r="Z235" s="523"/>
      <c r="AA235" s="523"/>
      <c r="AB235" s="523"/>
      <c r="AC235" s="523"/>
      <c r="AD235" s="523"/>
      <c r="AE235" s="523"/>
      <c r="AF235" s="523"/>
    </row>
    <row r="236" spans="2:37">
      <c r="B236" s="487" t="s">
        <v>1211</v>
      </c>
      <c r="C236" s="455"/>
      <c r="D236" s="455"/>
      <c r="E236" s="455"/>
      <c r="F236" s="455"/>
      <c r="G236" s="455"/>
      <c r="H236" s="455"/>
      <c r="I236" s="455">
        <f>513+28</f>
        <v>541</v>
      </c>
      <c r="J236" s="462">
        <f t="shared" ref="J236:Q236" ca="1" si="239">J238*J182</f>
        <v>728.12693373166746</v>
      </c>
      <c r="K236" s="462">
        <f t="shared" ca="1" si="239"/>
        <v>685.94365228934066</v>
      </c>
      <c r="L236" s="462">
        <f t="shared" si="239"/>
        <v>857.7509998122556</v>
      </c>
      <c r="M236" s="462">
        <f t="shared" ca="1" si="239"/>
        <v>801.61439035183037</v>
      </c>
      <c r="N236" s="462">
        <f t="shared" ca="1" si="239"/>
        <v>737.8857811293849</v>
      </c>
      <c r="O236" s="462">
        <f t="shared" ca="1" si="239"/>
        <v>713.68892778011946</v>
      </c>
      <c r="P236" s="462">
        <f t="shared" ca="1" si="239"/>
        <v>742.40730590790463</v>
      </c>
      <c r="Q236" s="462">
        <f t="shared" ca="1" si="239"/>
        <v>790.2574095084276</v>
      </c>
      <c r="R236" s="462">
        <f t="shared" ref="R236:W236" ca="1" si="240">R238*R182</f>
        <v>749.0463276000504</v>
      </c>
      <c r="S236" s="462">
        <f t="shared" ca="1" si="240"/>
        <v>816.09289510967756</v>
      </c>
      <c r="T236" s="462">
        <f t="shared" ca="1" si="240"/>
        <v>822.83987088451704</v>
      </c>
      <c r="U236" s="462">
        <f t="shared" ca="1" si="240"/>
        <v>858.09199560066247</v>
      </c>
      <c r="V236" s="462">
        <f t="shared" ca="1" si="240"/>
        <v>895.75971179296573</v>
      </c>
      <c r="W236" s="462">
        <f t="shared" ca="1" si="240"/>
        <v>936.09933445558318</v>
      </c>
      <c r="X236" s="454"/>
      <c r="Y236" s="454"/>
      <c r="Z236" s="454"/>
      <c r="AA236" s="454"/>
      <c r="AB236" s="454"/>
      <c r="AC236" s="454"/>
      <c r="AD236" s="454"/>
      <c r="AE236" s="454"/>
      <c r="AF236" s="454"/>
    </row>
    <row r="237" spans="2:37">
      <c r="B237" s="450" t="s">
        <v>2324</v>
      </c>
      <c r="H237" s="639">
        <f>414.5+29</f>
        <v>443.5</v>
      </c>
      <c r="I237" s="639">
        <f>SUM(I234:I236)</f>
        <v>546.88</v>
      </c>
      <c r="J237" s="639">
        <f>J240*J215/1000</f>
        <v>587.49400000000003</v>
      </c>
      <c r="K237" s="639">
        <f t="shared" ref="K237:Q237" ca="1" si="241">K235+K236+K234</f>
        <v>754.33965228934062</v>
      </c>
      <c r="L237" s="639">
        <f>L240*L215/1000</f>
        <v>862.41335981851364</v>
      </c>
      <c r="M237" s="639">
        <f t="shared" ca="1" si="241"/>
        <v>909.54514285183041</v>
      </c>
      <c r="N237">
        <f>N240*N215/1000</f>
        <v>872.97329734572963</v>
      </c>
      <c r="O237">
        <f>O240*O215/1000</f>
        <v>848.15561547728441</v>
      </c>
      <c r="P237">
        <f>P240*P215/1000</f>
        <v>977.05365655264916</v>
      </c>
      <c r="Q237" s="639">
        <f t="shared" ca="1" si="241"/>
        <v>945.65047547846382</v>
      </c>
      <c r="R237" s="639">
        <f t="shared" ref="R237:W237" ca="1" si="242">R235+R236+R234</f>
        <v>916.09387351783937</v>
      </c>
      <c r="S237" s="639">
        <f t="shared" ca="1" si="242"/>
        <v>995.66900697130063</v>
      </c>
      <c r="T237" s="639">
        <f t="shared" ca="1" si="242"/>
        <v>1015.8841911357619</v>
      </c>
      <c r="U237" s="639">
        <f t="shared" ca="1" si="242"/>
        <v>1065.6146398707506</v>
      </c>
      <c r="V237" s="639">
        <f t="shared" ca="1" si="242"/>
        <v>1118.8465543833106</v>
      </c>
      <c r="W237" s="639">
        <f t="shared" ca="1" si="242"/>
        <v>1175.9176902402039</v>
      </c>
      <c r="X237" s="639"/>
      <c r="Y237" s="639"/>
      <c r="Z237" s="639"/>
      <c r="AA237" s="639"/>
      <c r="AB237" s="639"/>
      <c r="AC237" s="639"/>
      <c r="AD237" s="639"/>
      <c r="AE237" s="639"/>
      <c r="AF237" s="639"/>
    </row>
    <row r="238" spans="2:37">
      <c r="B238" s="478" t="s">
        <v>3013</v>
      </c>
      <c r="H238" s="509"/>
      <c r="I238" s="509">
        <f>I236/I182</f>
        <v>0.29386203150461704</v>
      </c>
      <c r="J238" s="509">
        <f ca="1">J236/J182</f>
        <v>0.29386203150461704</v>
      </c>
      <c r="K238" s="538">
        <v>0.26</v>
      </c>
      <c r="L238" s="538">
        <v>0.3</v>
      </c>
      <c r="M238" s="538">
        <v>0.31</v>
      </c>
      <c r="N238" s="538">
        <v>0.27500000000000002</v>
      </c>
      <c r="O238" s="538">
        <v>0.30499999999999999</v>
      </c>
      <c r="P238" s="538">
        <v>0.31</v>
      </c>
      <c r="Q238" s="538">
        <v>0.33</v>
      </c>
      <c r="R238" s="538">
        <v>0.3</v>
      </c>
      <c r="S238" s="538">
        <v>0.31</v>
      </c>
      <c r="T238" s="538">
        <v>0.3</v>
      </c>
      <c r="U238" s="538">
        <v>0.3</v>
      </c>
      <c r="V238" s="538">
        <v>0.3</v>
      </c>
      <c r="W238" s="538">
        <v>0.3</v>
      </c>
      <c r="X238" s="538"/>
      <c r="Y238" s="538"/>
      <c r="Z238" s="538"/>
      <c r="AA238" s="538"/>
      <c r="AB238" s="538"/>
      <c r="AC238" s="538"/>
      <c r="AD238" s="538"/>
      <c r="AE238" s="538"/>
      <c r="AF238" s="538"/>
    </row>
    <row r="239" spans="2:37">
      <c r="B239" s="478" t="s">
        <v>1434</v>
      </c>
      <c r="H239" s="456">
        <f t="shared" ref="H239:O239" si="243">H237/H212</f>
        <v>0.22093695201657898</v>
      </c>
      <c r="I239" s="456">
        <f t="shared" si="243"/>
        <v>0.25479416314131831</v>
      </c>
      <c r="J239" s="456">
        <f t="shared" si="243"/>
        <v>0.23520599250936333</v>
      </c>
      <c r="K239" s="456">
        <f t="shared" ca="1" si="243"/>
        <v>0.28592481166732758</v>
      </c>
      <c r="L239" s="456">
        <f t="shared" ca="1" si="243"/>
        <v>0.30423142583183554</v>
      </c>
      <c r="M239" s="456">
        <f t="shared" ca="1" si="243"/>
        <v>0.31052424461809669</v>
      </c>
      <c r="N239" s="456">
        <f t="shared" ca="1" si="243"/>
        <v>0.28682337532035457</v>
      </c>
      <c r="O239" s="456">
        <f t="shared" ca="1" si="243"/>
        <v>0.31834118522278071</v>
      </c>
      <c r="P239" s="456">
        <f ca="1">P237/P212</f>
        <v>0.35718692161434729</v>
      </c>
      <c r="Q239" s="456">
        <f t="shared" ref="Q239:V239" ca="1" si="244">Q237/Q212</f>
        <v>0.34789041917932084</v>
      </c>
      <c r="R239" s="456">
        <f t="shared" ca="1" si="244"/>
        <v>0.32296398941296883</v>
      </c>
      <c r="S239" s="456">
        <f t="shared" ca="1" si="244"/>
        <v>0.3330841343439101</v>
      </c>
      <c r="T239" s="456">
        <f t="shared" ca="1" si="244"/>
        <v>0.32588406173398232</v>
      </c>
      <c r="U239" s="456">
        <f t="shared" ca="1" si="244"/>
        <v>0.32752358956482203</v>
      </c>
      <c r="V239" s="456">
        <f t="shared" ca="1" si="244"/>
        <v>0.32919140530428659</v>
      </c>
      <c r="W239" s="456">
        <f t="shared" ref="W239" ca="1" si="245">W237/W212</f>
        <v>0.33088251836470806</v>
      </c>
      <c r="X239" s="456"/>
      <c r="Y239" s="456"/>
      <c r="Z239" s="456"/>
      <c r="AA239" s="456"/>
      <c r="AB239" s="456"/>
      <c r="AC239" s="456"/>
      <c r="AD239" s="456"/>
      <c r="AE239" s="456"/>
      <c r="AF239" s="456"/>
    </row>
    <row r="240" spans="2:37">
      <c r="B240" s="478" t="s">
        <v>3018</v>
      </c>
      <c r="H240" s="485">
        <f>H237/H$215*1000</f>
        <v>238.18474758324382</v>
      </c>
      <c r="I240" s="485">
        <f>I237/I$215*1000</f>
        <v>302.1436464088398</v>
      </c>
      <c r="J240" s="788">
        <v>314</v>
      </c>
      <c r="K240" s="485">
        <f t="shared" ref="K240:Q240" ca="1" si="246">K237/K$215*1000</f>
        <v>375.13658584936678</v>
      </c>
      <c r="L240" s="788">
        <f>SUM('Country quarts'!H103:K103)</f>
        <v>314.06167509778356</v>
      </c>
      <c r="M240" s="485">
        <f t="shared" ca="1" si="246"/>
        <v>298.89751654677303</v>
      </c>
      <c r="N240" s="788">
        <f>N282-N59</f>
        <v>295.82287270272099</v>
      </c>
      <c r="O240" s="788">
        <f>O282-O59</f>
        <v>290.563760012773</v>
      </c>
      <c r="P240" s="485">
        <f>P282-P59</f>
        <v>297.79142229583942</v>
      </c>
      <c r="Q240" s="485">
        <f t="shared" ca="1" si="246"/>
        <v>252.24072432074257</v>
      </c>
      <c r="R240" s="485">
        <f t="shared" ref="R240:W240" ca="1" si="247">R237/R$215*1000</f>
        <v>246.26179395640844</v>
      </c>
      <c r="S240" s="485">
        <f t="shared" ca="1" si="247"/>
        <v>263.69749641699786</v>
      </c>
      <c r="T240" s="485">
        <f t="shared" ca="1" si="247"/>
        <v>261.21492960426099</v>
      </c>
      <c r="U240" s="485">
        <f t="shared" ca="1" si="247"/>
        <v>266.02150544393464</v>
      </c>
      <c r="V240" s="485">
        <f t="shared" ca="1" si="247"/>
        <v>271.17513966309338</v>
      </c>
      <c r="W240" s="485">
        <f t="shared" ca="1" si="247"/>
        <v>276.70629725974737</v>
      </c>
      <c r="X240" s="485"/>
      <c r="Y240" s="485"/>
      <c r="Z240" s="485"/>
      <c r="AA240" s="485"/>
      <c r="AB240" s="485"/>
      <c r="AC240" s="485"/>
      <c r="AD240" s="485"/>
      <c r="AE240" s="485"/>
      <c r="AF240" s="485"/>
      <c r="AG240" s="16">
        <f ca="1">Q240/M240-1</f>
        <v>-0.15609628599483316</v>
      </c>
    </row>
    <row r="242" spans="2:33">
      <c r="B242" s="478" t="s">
        <v>1453</v>
      </c>
      <c r="H242">
        <v>-402</v>
      </c>
      <c r="I242">
        <v>-612</v>
      </c>
      <c r="J242" s="523">
        <v>-650</v>
      </c>
      <c r="K242" s="523">
        <v>-625</v>
      </c>
      <c r="L242" s="523">
        <v>-750</v>
      </c>
      <c r="M242" s="523">
        <v>-800</v>
      </c>
      <c r="N242" s="523">
        <v>-800</v>
      </c>
      <c r="O242" s="523">
        <v>-700</v>
      </c>
      <c r="P242" s="523">
        <v>-700</v>
      </c>
      <c r="Q242" s="523">
        <v>-700</v>
      </c>
      <c r="R242" s="523">
        <v>-700</v>
      </c>
      <c r="S242" s="523">
        <v>-700</v>
      </c>
      <c r="T242" s="523">
        <v>-700</v>
      </c>
      <c r="U242" s="523">
        <v>-700</v>
      </c>
      <c r="V242" s="523">
        <v>-700</v>
      </c>
      <c r="W242" s="523">
        <v>-700</v>
      </c>
      <c r="X242" s="523"/>
      <c r="Y242" s="523"/>
      <c r="Z242" s="523"/>
      <c r="AA242" s="523"/>
      <c r="AB242" s="523"/>
      <c r="AC242" s="523"/>
      <c r="AD242" s="523"/>
      <c r="AE242" s="523"/>
      <c r="AF242" s="523"/>
    </row>
    <row r="243" spans="2:33">
      <c r="B243" s="478" t="s">
        <v>3402</v>
      </c>
      <c r="J243" s="449">
        <f>-J242/J253</f>
        <v>1.3011528213997601</v>
      </c>
      <c r="K243" s="449">
        <f t="shared" ref="K243:Q243" ca="1" si="248">-K242/K253</f>
        <v>1.0080847885890893</v>
      </c>
      <c r="L243" s="449">
        <f t="shared" si="248"/>
        <v>1.0088995705910346</v>
      </c>
      <c r="M243" s="449">
        <f t="shared" ca="1" si="248"/>
        <v>1.3005946022623571</v>
      </c>
      <c r="N243" s="449">
        <f t="shared" ca="1" si="248"/>
        <v>1.3142366493565814</v>
      </c>
      <c r="O243" s="449">
        <f t="shared" ca="1" si="248"/>
        <v>1.4596301380283063</v>
      </c>
      <c r="P243" s="449">
        <f t="shared" ca="1" si="248"/>
        <v>1.1631949114341753</v>
      </c>
      <c r="Q243" s="449">
        <f t="shared" ca="1" si="248"/>
        <v>1.170542488719259</v>
      </c>
      <c r="R243" s="449">
        <f t="shared" ref="R243:W243" ca="1" si="249">-R242/R253</f>
        <v>1.1217329613183009</v>
      </c>
      <c r="S243" s="449">
        <f t="shared" ca="1" si="249"/>
        <v>1.2324899794073712</v>
      </c>
      <c r="T243" s="449">
        <f t="shared" ca="1" si="249"/>
        <v>1.3208942121800087</v>
      </c>
      <c r="U243" s="449">
        <f t="shared" ca="1" si="249"/>
        <v>1.2655856017804807</v>
      </c>
      <c r="V243" s="449">
        <f t="shared" ca="1" si="249"/>
        <v>1.2115102080180293</v>
      </c>
      <c r="W243" s="449">
        <f t="shared" ca="1" si="249"/>
        <v>1.1586333294146247</v>
      </c>
      <c r="X243" s="449"/>
      <c r="Y243" s="449"/>
      <c r="Z243" s="449"/>
      <c r="AA243" s="449"/>
      <c r="AB243" s="449"/>
      <c r="AC243" s="449"/>
      <c r="AD243" s="449"/>
      <c r="AE243" s="449"/>
      <c r="AF243" s="449"/>
    </row>
    <row r="244" spans="2:33">
      <c r="B244" s="478" t="s">
        <v>392</v>
      </c>
      <c r="H244" s="454">
        <f t="shared" ref="H244:O244" si="250">H237+H242</f>
        <v>41.5</v>
      </c>
      <c r="I244" s="454">
        <f t="shared" si="250"/>
        <v>-65.12</v>
      </c>
      <c r="J244" s="454">
        <f>J237+J242</f>
        <v>-62.505999999999972</v>
      </c>
      <c r="K244" s="454">
        <f t="shared" ca="1" si="250"/>
        <v>129.33965228934062</v>
      </c>
      <c r="L244" s="454">
        <f t="shared" si="250"/>
        <v>112.41335981851364</v>
      </c>
      <c r="M244" s="454">
        <f t="shared" ca="1" si="250"/>
        <v>109.54514285183041</v>
      </c>
      <c r="N244" s="454">
        <f t="shared" si="250"/>
        <v>72.973297345729634</v>
      </c>
      <c r="O244" s="454">
        <f t="shared" si="250"/>
        <v>148.15561547728441</v>
      </c>
      <c r="P244" s="454">
        <f t="shared" ref="P244:V244" si="251">P237+P242</f>
        <v>277.05365655264916</v>
      </c>
      <c r="Q244" s="454">
        <f t="shared" ca="1" si="251"/>
        <v>245.65047547846382</v>
      </c>
      <c r="R244" s="454">
        <f t="shared" ca="1" si="251"/>
        <v>216.09387351783937</v>
      </c>
      <c r="S244" s="454">
        <f t="shared" ca="1" si="251"/>
        <v>295.66900697130063</v>
      </c>
      <c r="T244" s="454">
        <f t="shared" ca="1" si="251"/>
        <v>315.88419113576185</v>
      </c>
      <c r="U244" s="454">
        <f t="shared" ca="1" si="251"/>
        <v>365.61463987075058</v>
      </c>
      <c r="V244" s="454">
        <f t="shared" ca="1" si="251"/>
        <v>418.8465543833106</v>
      </c>
      <c r="W244" s="454">
        <f t="shared" ref="W244" ca="1" si="252">W237+W242</f>
        <v>475.91769024020391</v>
      </c>
      <c r="X244" s="454"/>
      <c r="Y244" s="454"/>
      <c r="Z244" s="454"/>
      <c r="AA244" s="454"/>
      <c r="AB244" s="454"/>
      <c r="AC244" s="454"/>
      <c r="AD244" s="454"/>
      <c r="AE244" s="454"/>
      <c r="AF244" s="454"/>
    </row>
    <row r="245" spans="2:33">
      <c r="B245" s="487" t="s">
        <v>2926</v>
      </c>
      <c r="C245" s="455"/>
      <c r="D245" s="455"/>
      <c r="E245" s="455"/>
      <c r="F245" s="455"/>
      <c r="G245" s="455"/>
      <c r="H245" s="487">
        <v>-46</v>
      </c>
      <c r="I245" s="462">
        <v>-33.6</v>
      </c>
      <c r="J245" s="657">
        <v>0</v>
      </c>
      <c r="K245" s="657">
        <v>0</v>
      </c>
      <c r="L245" s="657">
        <v>0</v>
      </c>
      <c r="M245" s="657">
        <v>0</v>
      </c>
      <c r="N245" s="657">
        <v>0</v>
      </c>
      <c r="O245" s="657">
        <v>0</v>
      </c>
      <c r="P245" s="657">
        <v>0</v>
      </c>
      <c r="Q245" s="657">
        <v>0</v>
      </c>
      <c r="R245" s="657">
        <v>0</v>
      </c>
      <c r="S245" s="657">
        <v>0</v>
      </c>
      <c r="T245" s="657">
        <v>0</v>
      </c>
      <c r="U245" s="657">
        <v>0</v>
      </c>
      <c r="V245" s="657">
        <v>0</v>
      </c>
      <c r="W245" s="657">
        <v>0</v>
      </c>
      <c r="X245" s="523"/>
      <c r="Y245" s="523"/>
      <c r="Z245" s="523"/>
      <c r="AA245" s="523"/>
      <c r="AB245" s="523"/>
      <c r="AC245" s="523"/>
      <c r="AD245" s="523"/>
      <c r="AE245" s="523"/>
      <c r="AF245" s="523"/>
    </row>
    <row r="246" spans="2:33">
      <c r="B246" s="478" t="s">
        <v>2097</v>
      </c>
      <c r="H246" s="454">
        <f>H244+H245</f>
        <v>-4.5</v>
      </c>
      <c r="I246" s="454">
        <f>I244+I245</f>
        <v>-98.72</v>
      </c>
      <c r="J246" s="454">
        <f t="shared" ref="J246:O246" si="253">J244+J245</f>
        <v>-62.505999999999972</v>
      </c>
      <c r="K246" s="454">
        <f t="shared" ca="1" si="253"/>
        <v>129.33965228934062</v>
      </c>
      <c r="L246" s="454">
        <f>L244+L245</f>
        <v>112.41335981851364</v>
      </c>
      <c r="M246" s="454">
        <f t="shared" ca="1" si="253"/>
        <v>109.54514285183041</v>
      </c>
      <c r="N246" s="454">
        <f t="shared" si="253"/>
        <v>72.973297345729634</v>
      </c>
      <c r="O246" s="454">
        <f t="shared" si="253"/>
        <v>148.15561547728441</v>
      </c>
      <c r="P246" s="454">
        <f t="shared" ref="P246:V246" si="254">P244+P245</f>
        <v>277.05365655264916</v>
      </c>
      <c r="Q246" s="454">
        <f t="shared" ca="1" si="254"/>
        <v>245.65047547846382</v>
      </c>
      <c r="R246" s="454">
        <f t="shared" ca="1" si="254"/>
        <v>216.09387351783937</v>
      </c>
      <c r="S246" s="454">
        <f t="shared" ca="1" si="254"/>
        <v>295.66900697130063</v>
      </c>
      <c r="T246" s="454">
        <f t="shared" ca="1" si="254"/>
        <v>315.88419113576185</v>
      </c>
      <c r="U246" s="454">
        <f t="shared" ca="1" si="254"/>
        <v>365.61463987075058</v>
      </c>
      <c r="V246" s="454">
        <f t="shared" ca="1" si="254"/>
        <v>418.8465543833106</v>
      </c>
      <c r="W246" s="454">
        <f t="shared" ref="W246" ca="1" si="255">W244+W245</f>
        <v>475.91769024020391</v>
      </c>
      <c r="X246" s="454"/>
      <c r="Y246" s="454"/>
      <c r="Z246" s="454"/>
      <c r="AA246" s="454"/>
      <c r="AB246" s="454"/>
      <c r="AC246" s="454"/>
      <c r="AD246" s="454"/>
      <c r="AE246" s="454"/>
      <c r="AF246" s="454"/>
    </row>
    <row r="248" spans="2:33">
      <c r="B248" s="487" t="s">
        <v>395</v>
      </c>
      <c r="C248" s="455"/>
      <c r="D248" s="455"/>
      <c r="E248" s="455"/>
      <c r="F248" s="455"/>
      <c r="G248" s="455"/>
      <c r="H248" s="462">
        <v>-0.13</v>
      </c>
      <c r="I248" s="455">
        <v>11</v>
      </c>
      <c r="J248" s="658">
        <f t="shared" ref="J248:O248" si="256">IF(J246&lt;0, 0, -0.28*J246)</f>
        <v>0</v>
      </c>
      <c r="K248" s="658">
        <f t="shared" ca="1" si="256"/>
        <v>-36.215102641015378</v>
      </c>
      <c r="L248" s="658">
        <f t="shared" si="256"/>
        <v>-31.475740749183821</v>
      </c>
      <c r="M248" s="658">
        <f t="shared" ca="1" si="256"/>
        <v>-30.672639998512516</v>
      </c>
      <c r="N248" s="658">
        <f t="shared" si="256"/>
        <v>-20.432523256804298</v>
      </c>
      <c r="O248" s="658">
        <f t="shared" si="256"/>
        <v>-41.483572333639643</v>
      </c>
      <c r="P248" s="658">
        <f t="shared" ref="P248:V248" si="257">IF(P246&lt;0, 0, -0.28*P246)</f>
        <v>-77.575023834741771</v>
      </c>
      <c r="Q248" s="658">
        <f t="shared" ca="1" si="257"/>
        <v>-68.782133133969879</v>
      </c>
      <c r="R248" s="658">
        <f t="shared" ca="1" si="257"/>
        <v>-60.506284584995029</v>
      </c>
      <c r="S248" s="658">
        <f t="shared" ca="1" si="257"/>
        <v>-82.787321951964188</v>
      </c>
      <c r="T248" s="658">
        <f t="shared" ca="1" si="257"/>
        <v>-88.447573518013328</v>
      </c>
      <c r="U248" s="658">
        <f t="shared" ca="1" si="257"/>
        <v>-102.37209916381018</v>
      </c>
      <c r="V248" s="658">
        <f t="shared" ca="1" si="257"/>
        <v>-117.27703522732698</v>
      </c>
      <c r="W248" s="658">
        <f t="shared" ref="W248" ca="1" si="258">IF(W246&lt;0, 0, -0.28*W246)</f>
        <v>-133.2569532672571</v>
      </c>
      <c r="X248" s="535"/>
      <c r="Y248" s="535"/>
      <c r="Z248" s="535"/>
      <c r="AA248" s="535"/>
      <c r="AB248" s="535"/>
      <c r="AC248" s="535"/>
      <c r="AD248" s="535"/>
      <c r="AE248" s="535"/>
      <c r="AF248" s="535"/>
    </row>
    <row r="249" spans="2:33">
      <c r="B249" s="478" t="s">
        <v>407</v>
      </c>
      <c r="H249" s="454">
        <f>H246+H248</f>
        <v>-4.63</v>
      </c>
      <c r="I249" s="454">
        <f>I246+I248</f>
        <v>-87.72</v>
      </c>
      <c r="J249" s="454">
        <f t="shared" ref="J249:O249" si="259">J246+J248</f>
        <v>-62.505999999999972</v>
      </c>
      <c r="K249" s="454">
        <f t="shared" ca="1" si="259"/>
        <v>93.124549648325242</v>
      </c>
      <c r="L249" s="454">
        <f t="shared" si="259"/>
        <v>80.937619069329827</v>
      </c>
      <c r="M249" s="454">
        <f t="shared" ca="1" si="259"/>
        <v>78.872502853317883</v>
      </c>
      <c r="N249" s="454">
        <f t="shared" si="259"/>
        <v>52.540774088925332</v>
      </c>
      <c r="O249" s="454">
        <f t="shared" si="259"/>
        <v>106.67204314364477</v>
      </c>
      <c r="P249" s="454">
        <f t="shared" ref="P249:V249" si="260">P246+P248</f>
        <v>199.47863271790737</v>
      </c>
      <c r="Q249" s="454">
        <f t="shared" ca="1" si="260"/>
        <v>176.86834234449395</v>
      </c>
      <c r="R249" s="454">
        <f t="shared" ca="1" si="260"/>
        <v>155.58758893284434</v>
      </c>
      <c r="S249" s="454">
        <f t="shared" ca="1" si="260"/>
        <v>212.88168501933643</v>
      </c>
      <c r="T249" s="454">
        <f t="shared" ca="1" si="260"/>
        <v>227.43661761774854</v>
      </c>
      <c r="U249" s="454">
        <f t="shared" ca="1" si="260"/>
        <v>263.24254070694042</v>
      </c>
      <c r="V249" s="454">
        <f t="shared" ca="1" si="260"/>
        <v>301.56951915598364</v>
      </c>
      <c r="W249" s="454">
        <f t="shared" ref="W249" ca="1" si="261">W246+W248</f>
        <v>342.66073697294678</v>
      </c>
      <c r="X249" s="454"/>
      <c r="Y249" s="454"/>
      <c r="Z249" s="454"/>
      <c r="AA249" s="454"/>
      <c r="AB249" s="454"/>
      <c r="AC249" s="454"/>
      <c r="AD249" s="454"/>
      <c r="AE249" s="454"/>
      <c r="AF249" s="454"/>
    </row>
    <row r="250" spans="2:33">
      <c r="B250" s="478" t="s">
        <v>3026</v>
      </c>
      <c r="H250" s="485">
        <f>H246/H$215*1000</f>
        <v>-2.4167561761546725</v>
      </c>
      <c r="I250" s="485">
        <f t="shared" ref="I250:O250" si="262">I246/I$215*1000</f>
        <v>-54.541436464088399</v>
      </c>
      <c r="J250" s="485">
        <f t="shared" si="262"/>
        <v>-33.407803313735954</v>
      </c>
      <c r="K250" s="485">
        <f t="shared" ca="1" si="262"/>
        <v>64.321205212419002</v>
      </c>
      <c r="L250" s="485">
        <f t="shared" si="262"/>
        <v>40.93713030535821</v>
      </c>
      <c r="M250" s="485">
        <f t="shared" ca="1" si="262"/>
        <v>35.999061075198952</v>
      </c>
      <c r="N250" s="485">
        <f t="shared" si="262"/>
        <v>24.728328480423464</v>
      </c>
      <c r="O250" s="485">
        <f t="shared" si="262"/>
        <v>50.755606535554783</v>
      </c>
      <c r="P250" s="485">
        <f t="shared" ref="P250:V250" si="263">P246/P$215*1000</f>
        <v>84.441833755760186</v>
      </c>
      <c r="Q250" s="485">
        <f t="shared" ca="1" si="263"/>
        <v>65.52426659868334</v>
      </c>
      <c r="R250" s="485">
        <f t="shared" ca="1" si="263"/>
        <v>58.089750945655744</v>
      </c>
      <c r="S250" s="485">
        <f t="shared" ca="1" si="263"/>
        <v>78.306321036945974</v>
      </c>
      <c r="T250" s="485">
        <f t="shared" ca="1" si="263"/>
        <v>81.223497196443645</v>
      </c>
      <c r="U250" s="485">
        <f t="shared" ca="1" si="263"/>
        <v>91.272541941199307</v>
      </c>
      <c r="V250" s="485">
        <f t="shared" ca="1" si="263"/>
        <v>101.51595179636004</v>
      </c>
      <c r="W250" s="485">
        <f t="shared" ref="W250" ca="1" si="264">W246/W$215*1000</f>
        <v>111.98863913670533</v>
      </c>
      <c r="X250" s="485"/>
      <c r="Y250" s="485"/>
      <c r="Z250" s="485"/>
      <c r="AA250" s="485"/>
      <c r="AB250" s="485"/>
      <c r="AC250" s="485"/>
      <c r="AD250" s="485"/>
      <c r="AE250" s="485"/>
      <c r="AF250" s="485"/>
    </row>
    <row r="251" spans="2:33">
      <c r="B251" s="478"/>
    </row>
    <row r="253" spans="2:33">
      <c r="B253" s="478" t="s">
        <v>1545</v>
      </c>
      <c r="F253" s="454">
        <f t="shared" ref="F253:Q253" si="265">F254*F183</f>
        <v>258.75</v>
      </c>
      <c r="G253" s="454">
        <f t="shared" si="265"/>
        <v>293.25</v>
      </c>
      <c r="H253" s="454">
        <f t="shared" si="265"/>
        <v>310.5</v>
      </c>
      <c r="I253" s="454">
        <f t="shared" si="265"/>
        <v>354.16</v>
      </c>
      <c r="J253" s="454">
        <f t="shared" si="265"/>
        <v>499.55700000000002</v>
      </c>
      <c r="K253" s="454">
        <f t="shared" ca="1" si="265"/>
        <v>619.98753187690397</v>
      </c>
      <c r="L253" s="454">
        <f t="shared" si="265"/>
        <v>743.38419983728818</v>
      </c>
      <c r="M253" s="454">
        <f t="shared" ca="1" si="265"/>
        <v>615.10327553906245</v>
      </c>
      <c r="N253" s="454">
        <f t="shared" ca="1" si="265"/>
        <v>608.7183768552344</v>
      </c>
      <c r="O253" s="454">
        <f t="shared" ca="1" si="265"/>
        <v>479.5735452171275</v>
      </c>
      <c r="P253" s="454">
        <f t="shared" ca="1" si="265"/>
        <v>601.79080317410137</v>
      </c>
      <c r="Q253" s="454">
        <f t="shared" ca="1" si="265"/>
        <v>598.0133201024596</v>
      </c>
      <c r="R253" s="454">
        <f t="shared" ref="R253:W253" ca="1" si="266">R254*R183</f>
        <v>624.03443969172019</v>
      </c>
      <c r="S253" s="454">
        <f t="shared" ca="1" si="266"/>
        <v>567.9559361095877</v>
      </c>
      <c r="T253" s="454">
        <f t="shared" ca="1" si="266"/>
        <v>529.94402848106768</v>
      </c>
      <c r="U253" s="454">
        <f t="shared" ca="1" si="266"/>
        <v>553.10363756920879</v>
      </c>
      <c r="V253" s="454">
        <f t="shared" ca="1" si="266"/>
        <v>577.79125208128892</v>
      </c>
      <c r="W253" s="454">
        <f t="shared" ca="1" si="266"/>
        <v>604.16007569336921</v>
      </c>
      <c r="X253" s="454"/>
      <c r="Y253" s="454"/>
      <c r="Z253" s="454"/>
      <c r="AA253" s="454"/>
      <c r="AB253" s="454"/>
      <c r="AC253" s="454"/>
      <c r="AD253" s="454"/>
      <c r="AE253" s="454"/>
      <c r="AF253" s="454"/>
    </row>
    <row r="254" spans="2:33">
      <c r="B254" s="478" t="s">
        <v>1431</v>
      </c>
      <c r="F254" s="767">
        <v>0.15</v>
      </c>
      <c r="G254" s="767">
        <v>0.17</v>
      </c>
      <c r="H254" s="767">
        <v>0.18</v>
      </c>
      <c r="I254" s="767">
        <v>0.19</v>
      </c>
      <c r="J254" s="538">
        <v>0.2</v>
      </c>
      <c r="K254" s="538">
        <v>0.23499999999999999</v>
      </c>
      <c r="L254" s="538">
        <v>0.26</v>
      </c>
      <c r="M254" s="538">
        <v>0.21</v>
      </c>
      <c r="N254" s="538">
        <v>0.2</v>
      </c>
      <c r="O254" s="538">
        <v>0.18</v>
      </c>
      <c r="P254" s="538">
        <v>0.22</v>
      </c>
      <c r="Q254" s="538">
        <v>0.22</v>
      </c>
      <c r="R254" s="538">
        <v>0.22</v>
      </c>
      <c r="S254" s="538">
        <v>0.19</v>
      </c>
      <c r="T254" s="538">
        <v>0.17</v>
      </c>
      <c r="U254" s="538">
        <v>0.17</v>
      </c>
      <c r="V254" s="538">
        <v>0.17</v>
      </c>
      <c r="W254" s="538">
        <v>0.17</v>
      </c>
      <c r="X254" s="538"/>
      <c r="Y254" s="538"/>
      <c r="Z254" s="538"/>
      <c r="AA254" s="538"/>
      <c r="AB254" s="538"/>
      <c r="AC254" s="538"/>
      <c r="AD254" s="538"/>
      <c r="AE254" s="538"/>
      <c r="AF254" s="538"/>
    </row>
    <row r="255" spans="2:33">
      <c r="B255" s="478" t="s">
        <v>3019</v>
      </c>
      <c r="J255" s="485">
        <f t="shared" ref="J255:O255" si="267">J253/J$215*1000</f>
        <v>267</v>
      </c>
      <c r="K255" s="485">
        <f t="shared" ca="1" si="267"/>
        <v>308.32265713677072</v>
      </c>
      <c r="L255" s="485">
        <f t="shared" si="267"/>
        <v>270.71529491525428</v>
      </c>
      <c r="M255" s="485">
        <f t="shared" ca="1" si="267"/>
        <v>202.13712636840697</v>
      </c>
      <c r="N255" s="485">
        <f t="shared" ca="1" si="267"/>
        <v>206.27528866663314</v>
      </c>
      <c r="O255" s="485">
        <f t="shared" ca="1" si="267"/>
        <v>164.29378047863224</v>
      </c>
      <c r="P255" s="485">
        <f t="shared" ref="P255:V255" ca="1" si="268">P253/P$215*1000</f>
        <v>183.4168860634262</v>
      </c>
      <c r="Q255" s="485">
        <f t="shared" ca="1" si="268"/>
        <v>159.51275542877022</v>
      </c>
      <c r="R255" s="485">
        <f t="shared" ca="1" si="268"/>
        <v>167.75119346551617</v>
      </c>
      <c r="S255" s="485">
        <f t="shared" ca="1" si="268"/>
        <v>150.42002651347732</v>
      </c>
      <c r="T255" s="485">
        <f t="shared" ca="1" si="268"/>
        <v>136.26483540325222</v>
      </c>
      <c r="U255" s="485">
        <f t="shared" ca="1" si="268"/>
        <v>138.07755339258833</v>
      </c>
      <c r="V255" s="485">
        <f t="shared" ca="1" si="268"/>
        <v>140.03942083516353</v>
      </c>
      <c r="W255" s="485">
        <f t="shared" ref="W255" ca="1" si="269">W253/W$215*1000</f>
        <v>142.16547542807371</v>
      </c>
      <c r="X255" s="485"/>
      <c r="Y255" s="485"/>
      <c r="Z255" s="485"/>
      <c r="AA255" s="485"/>
      <c r="AB255" s="485"/>
      <c r="AC255" s="485"/>
      <c r="AD255" s="485"/>
      <c r="AE255" s="485"/>
      <c r="AF255" s="485"/>
      <c r="AG255" s="16">
        <f ca="1">Q255/M255-1</f>
        <v>-0.21086859057227958</v>
      </c>
    </row>
    <row r="256" spans="2:33">
      <c r="B256" s="478"/>
    </row>
    <row r="257" spans="2:34">
      <c r="B257" s="478" t="s">
        <v>1552</v>
      </c>
      <c r="J257" s="454">
        <f t="shared" ref="J257:O257" si="270">J237-J253</f>
        <v>87.937000000000012</v>
      </c>
      <c r="K257" s="454">
        <f t="shared" ca="1" si="270"/>
        <v>134.35212041243665</v>
      </c>
      <c r="L257" s="454">
        <f t="shared" si="270"/>
        <v>119.02915998122546</v>
      </c>
      <c r="M257" s="454">
        <f t="shared" ca="1" si="270"/>
        <v>294.44186731276795</v>
      </c>
      <c r="N257" s="454">
        <f t="shared" ca="1" si="270"/>
        <v>264.25492049049524</v>
      </c>
      <c r="O257" s="454">
        <f t="shared" ca="1" si="270"/>
        <v>368.58207026015691</v>
      </c>
      <c r="P257" s="454">
        <f t="shared" ref="P257:V257" ca="1" si="271">P237-P253</f>
        <v>375.26285337854779</v>
      </c>
      <c r="Q257" s="454">
        <f ca="1">Q237-Q253</f>
        <v>347.63715537600422</v>
      </c>
      <c r="R257" s="454">
        <f t="shared" ca="1" si="271"/>
        <v>292.05943382611918</v>
      </c>
      <c r="S257" s="454">
        <f t="shared" ca="1" si="271"/>
        <v>427.71307086171294</v>
      </c>
      <c r="T257" s="454">
        <f t="shared" ca="1" si="271"/>
        <v>485.94016265469418</v>
      </c>
      <c r="U257" s="454">
        <f t="shared" ca="1" si="271"/>
        <v>512.51100230154179</v>
      </c>
      <c r="V257" s="454">
        <f t="shared" ca="1" si="271"/>
        <v>541.05530230202169</v>
      </c>
      <c r="W257" s="454">
        <f t="shared" ref="W257" ca="1" si="272">W237-W253</f>
        <v>571.7576145468347</v>
      </c>
      <c r="X257" s="454"/>
      <c r="Y257" s="454"/>
      <c r="Z257" s="454"/>
      <c r="AA257" s="454"/>
      <c r="AB257" s="454"/>
      <c r="AC257" s="454"/>
      <c r="AD257" s="454"/>
      <c r="AE257" s="454"/>
      <c r="AF257" s="454"/>
    </row>
    <row r="258" spans="2:34">
      <c r="B258" s="478" t="s">
        <v>3027</v>
      </c>
      <c r="J258" s="485">
        <f t="shared" ref="J258:O258" si="273">J257/J$215*1000</f>
        <v>47.000000000000007</v>
      </c>
      <c r="K258" s="485">
        <f t="shared" ca="1" si="273"/>
        <v>66.813928712596066</v>
      </c>
      <c r="L258" s="485">
        <f t="shared" si="273"/>
        <v>43.346380182529302</v>
      </c>
      <c r="M258" s="485">
        <f t="shared" ca="1" si="273"/>
        <v>96.76039017836608</v>
      </c>
      <c r="N258" s="485">
        <f t="shared" ca="1" si="273"/>
        <v>89.547584036087841</v>
      </c>
      <c r="O258" s="485">
        <f t="shared" ca="1" si="273"/>
        <v>126.26997953414076</v>
      </c>
      <c r="P258" s="485">
        <f t="shared" ref="P258:V258" ca="1" si="274">P257/P$215*1000</f>
        <v>114.37453623241322</v>
      </c>
      <c r="Q258" s="485">
        <f t="shared" ca="1" si="274"/>
        <v>92.727968891972324</v>
      </c>
      <c r="R258" s="485">
        <f t="shared" ca="1" si="274"/>
        <v>78.510600490892259</v>
      </c>
      <c r="S258" s="485">
        <f t="shared" ca="1" si="274"/>
        <v>113.27746990352055</v>
      </c>
      <c r="T258" s="485">
        <f t="shared" ca="1" si="274"/>
        <v>124.95009420100882</v>
      </c>
      <c r="U258" s="485">
        <f t="shared" ca="1" si="274"/>
        <v>127.94395205134632</v>
      </c>
      <c r="V258" s="485">
        <f t="shared" ca="1" si="274"/>
        <v>131.13571882792985</v>
      </c>
      <c r="W258" s="485">
        <f t="shared" ref="W258" ca="1" si="275">W257/W$215*1000</f>
        <v>134.54082183167367</v>
      </c>
      <c r="X258" s="485"/>
      <c r="Y258" s="485"/>
      <c r="Z258" s="485"/>
      <c r="AA258" s="485"/>
      <c r="AB258" s="485"/>
      <c r="AC258" s="485"/>
      <c r="AD258" s="485"/>
      <c r="AE258" s="485"/>
      <c r="AF258" s="485"/>
      <c r="AG258" s="16">
        <f ca="1">Q258/M258-1</f>
        <v>-4.1674297498805801E-2</v>
      </c>
    </row>
    <row r="259" spans="2:34">
      <c r="B259" s="478"/>
    </row>
    <row r="260" spans="2:34">
      <c r="B260" s="451" t="s">
        <v>4641</v>
      </c>
      <c r="C260" s="451"/>
      <c r="D260" s="451"/>
      <c r="E260" s="451"/>
      <c r="F260" s="451"/>
      <c r="G260" s="451"/>
      <c r="H260" s="451"/>
      <c r="I260" s="451"/>
      <c r="J260" s="451">
        <f>J2</f>
        <v>2013</v>
      </c>
      <c r="K260" s="451">
        <f t="shared" ref="K260:Q260" si="276">K2</f>
        <v>2014</v>
      </c>
      <c r="L260" s="451">
        <f t="shared" si="276"/>
        <v>2015</v>
      </c>
      <c r="M260" s="451">
        <f t="shared" si="276"/>
        <v>2016</v>
      </c>
      <c r="N260" s="451">
        <f t="shared" si="276"/>
        <v>2017</v>
      </c>
      <c r="O260" s="451">
        <f t="shared" si="276"/>
        <v>2018</v>
      </c>
      <c r="P260" s="451">
        <f t="shared" si="276"/>
        <v>2019</v>
      </c>
      <c r="Q260" s="451">
        <f t="shared" si="276"/>
        <v>2020</v>
      </c>
      <c r="R260" s="451">
        <f t="shared" ref="R260:W260" si="277">R2</f>
        <v>2021</v>
      </c>
      <c r="S260" s="451">
        <f t="shared" si="277"/>
        <v>2022</v>
      </c>
      <c r="T260" s="451">
        <f t="shared" si="277"/>
        <v>2023</v>
      </c>
      <c r="U260" s="451">
        <f t="shared" si="277"/>
        <v>2024</v>
      </c>
      <c r="V260" s="451">
        <f t="shared" si="277"/>
        <v>2025</v>
      </c>
      <c r="W260" s="451">
        <f t="shared" si="277"/>
        <v>2026</v>
      </c>
      <c r="X260" s="450"/>
      <c r="Y260" s="450"/>
      <c r="Z260" s="450"/>
      <c r="AA260" s="450"/>
      <c r="AB260" s="450"/>
      <c r="AC260" s="450"/>
      <c r="AD260" s="450"/>
      <c r="AE260" s="450"/>
      <c r="AF260" s="450"/>
      <c r="AH260" s="508" t="s">
        <v>4187</v>
      </c>
    </row>
    <row r="261" spans="2:34">
      <c r="B261" s="478" t="s">
        <v>4642</v>
      </c>
      <c r="C261" s="450"/>
      <c r="D261" s="450"/>
      <c r="E261" s="450"/>
      <c r="F261" s="450"/>
      <c r="G261" s="450"/>
      <c r="H261" s="450"/>
      <c r="I261" s="450"/>
      <c r="J261" s="450"/>
      <c r="K261" s="450"/>
      <c r="L261" s="485">
        <f>L50</f>
        <v>2060.1592425715357</v>
      </c>
      <c r="M261" s="485">
        <f>M50</f>
        <v>1908.1954358842718</v>
      </c>
      <c r="N261" s="485">
        <f t="shared" ref="N261:V261" si="278">N50</f>
        <v>1851.0161466091088</v>
      </c>
      <c r="O261" s="485">
        <f t="shared" si="278"/>
        <v>1870.2944031932379</v>
      </c>
      <c r="P261" s="485">
        <f t="shared" si="278"/>
        <v>1900.398024385589</v>
      </c>
      <c r="Q261" s="485">
        <f t="shared" si="278"/>
        <v>1889.597962233956</v>
      </c>
      <c r="R261" s="485">
        <f t="shared" si="278"/>
        <v>1955.2010462395644</v>
      </c>
      <c r="S261" s="485">
        <f t="shared" si="278"/>
        <v>2041.3826263165163</v>
      </c>
      <c r="T261" s="485">
        <f t="shared" si="278"/>
        <v>2129.4446478033865</v>
      </c>
      <c r="U261" s="485">
        <f t="shared" si="278"/>
        <v>2219.3965578617454</v>
      </c>
      <c r="V261" s="485">
        <f t="shared" si="278"/>
        <v>2311.2463191484749</v>
      </c>
      <c r="W261" s="485">
        <f t="shared" ref="W261" si="279">W50</f>
        <v>2405.0003097972203</v>
      </c>
      <c r="X261" s="485"/>
      <c r="Y261" s="485"/>
      <c r="Z261" s="485"/>
      <c r="AA261" s="485"/>
      <c r="AB261" s="485"/>
      <c r="AC261" s="485"/>
      <c r="AD261" s="485"/>
      <c r="AE261" s="485"/>
      <c r="AF261" s="485"/>
      <c r="AH261" s="506"/>
    </row>
    <row r="262" spans="2:34">
      <c r="B262" s="478" t="s">
        <v>2353</v>
      </c>
      <c r="C262" s="450"/>
      <c r="D262" s="450"/>
      <c r="E262" s="450"/>
      <c r="F262" s="450"/>
      <c r="G262" s="450"/>
      <c r="H262" s="450"/>
      <c r="I262" s="450"/>
      <c r="J262" s="450"/>
      <c r="K262" s="450"/>
      <c r="L262" s="450"/>
      <c r="M262" s="486">
        <f>M261/L261-1</f>
        <v>-7.3763136143582542E-2</v>
      </c>
      <c r="N262" s="486">
        <f t="shared" ref="N262:W262" si="280">N261/M261-1</f>
        <v>-2.9965111644167486E-2</v>
      </c>
      <c r="O262" s="486">
        <f t="shared" si="280"/>
        <v>1.0414958626614457E-2</v>
      </c>
      <c r="P262" s="486">
        <f t="shared" si="280"/>
        <v>1.609565913310429E-2</v>
      </c>
      <c r="Q262" s="486">
        <f t="shared" si="280"/>
        <v>-5.6830527147726517E-3</v>
      </c>
      <c r="R262" s="486">
        <f t="shared" si="280"/>
        <v>3.4718011617693501E-2</v>
      </c>
      <c r="S262" s="486">
        <f t="shared" si="280"/>
        <v>4.4078116796584466E-2</v>
      </c>
      <c r="T262" s="486">
        <f t="shared" si="280"/>
        <v>4.313842018229086E-2</v>
      </c>
      <c r="U262" s="486">
        <f t="shared" si="280"/>
        <v>4.2241957381305095E-2</v>
      </c>
      <c r="V262" s="486">
        <f t="shared" si="280"/>
        <v>4.1385015652732671E-2</v>
      </c>
      <c r="W262" s="486">
        <f t="shared" si="280"/>
        <v>4.056425741903924E-2</v>
      </c>
      <c r="X262" s="486"/>
      <c r="Y262" s="486"/>
      <c r="Z262" s="486"/>
      <c r="AA262" s="486"/>
      <c r="AB262" s="486"/>
      <c r="AC262" s="486"/>
      <c r="AD262" s="486"/>
      <c r="AE262" s="486"/>
      <c r="AF262" s="486"/>
      <c r="AH262" s="506"/>
    </row>
    <row r="263" spans="2:34">
      <c r="B263" s="478" t="s">
        <v>4643</v>
      </c>
      <c r="C263" s="450"/>
      <c r="D263" s="450"/>
      <c r="E263" s="450"/>
      <c r="F263" s="450"/>
      <c r="G263" s="450"/>
      <c r="H263" s="450"/>
      <c r="I263" s="450"/>
      <c r="J263" s="450"/>
      <c r="K263" s="450"/>
      <c r="L263" s="485">
        <f>L265-L261</f>
        <v>2788.2407574284639</v>
      </c>
      <c r="M263" s="485">
        <f>M265-M261</f>
        <v>2871.8045641157282</v>
      </c>
      <c r="N263" s="485">
        <f t="shared" ref="N263:V263" ca="1" si="281">N265-N261</f>
        <v>2915.6728320598577</v>
      </c>
      <c r="O263" s="485">
        <f t="shared" ca="1" si="281"/>
        <v>2628.3782866814877</v>
      </c>
      <c r="P263" s="485">
        <f ca="1">P265-P261</f>
        <v>2751.5919346080486</v>
      </c>
      <c r="Q263" s="485">
        <f ca="1">Q265-Q261</f>
        <v>2811.9073641020891</v>
      </c>
      <c r="R263" s="485">
        <f t="shared" ca="1" si="281"/>
        <v>2902.1201804169104</v>
      </c>
      <c r="S263" s="485">
        <f t="shared" ca="1" si="281"/>
        <v>3080.5237189978297</v>
      </c>
      <c r="T263" s="485">
        <f t="shared" ca="1" si="281"/>
        <v>3242.526743519516</v>
      </c>
      <c r="U263" s="485">
        <f t="shared" ca="1" si="281"/>
        <v>3415.4517658630275</v>
      </c>
      <c r="V263" s="485">
        <f t="shared" ca="1" si="281"/>
        <v>3600.3554556643321</v>
      </c>
      <c r="W263" s="485">
        <f t="shared" ref="W263" ca="1" si="282">W265-W261</f>
        <v>3798.3827286389478</v>
      </c>
      <c r="X263" s="485"/>
      <c r="Y263" s="485"/>
      <c r="Z263" s="485"/>
      <c r="AA263" s="485"/>
      <c r="AB263" s="485"/>
      <c r="AC263" s="485"/>
      <c r="AD263" s="485"/>
      <c r="AE263" s="485"/>
      <c r="AF263" s="485"/>
      <c r="AH263" s="506"/>
    </row>
    <row r="264" spans="2:34">
      <c r="B264" s="478" t="s">
        <v>2353</v>
      </c>
      <c r="C264" s="450"/>
      <c r="D264" s="450"/>
      <c r="E264" s="450"/>
      <c r="F264" s="450"/>
      <c r="G264" s="450"/>
      <c r="H264" s="450"/>
      <c r="I264" s="450"/>
      <c r="J264" s="450"/>
      <c r="K264" s="450"/>
      <c r="L264" s="450"/>
      <c r="M264" s="486">
        <f>M263/L263-1</f>
        <v>2.9970082915054208E-2</v>
      </c>
      <c r="N264" s="486">
        <f t="shared" ref="N264:W264" ca="1" si="283">N263/M263-1</f>
        <v>1.5275506032785158E-2</v>
      </c>
      <c r="O264" s="486">
        <f t="shared" ca="1" si="283"/>
        <v>-9.8534561978067647E-2</v>
      </c>
      <c r="P264" s="486">
        <f t="shared" ca="1" si="283"/>
        <v>4.6878201874862802E-2</v>
      </c>
      <c r="Q264" s="486">
        <f t="shared" ca="1" si="283"/>
        <v>2.1920194173934426E-2</v>
      </c>
      <c r="R264" s="486">
        <f t="shared" ca="1" si="283"/>
        <v>3.2082428271469121E-2</v>
      </c>
      <c r="S264" s="486">
        <f t="shared" ca="1" si="283"/>
        <v>6.1473518493396995E-2</v>
      </c>
      <c r="T264" s="486">
        <f t="shared" ca="1" si="283"/>
        <v>5.2589442347936055E-2</v>
      </c>
      <c r="U264" s="486">
        <f t="shared" ca="1" si="283"/>
        <v>5.3330330332392206E-2</v>
      </c>
      <c r="V264" s="486">
        <f t="shared" ca="1" si="283"/>
        <v>5.4137403329595157E-2</v>
      </c>
      <c r="W264" s="486">
        <f t="shared" ca="1" si="283"/>
        <v>5.5002145041836092E-2</v>
      </c>
      <c r="X264" s="486"/>
      <c r="Y264" s="486"/>
      <c r="Z264" s="486"/>
      <c r="AA264" s="486"/>
      <c r="AB264" s="486"/>
      <c r="AC264" s="486"/>
      <c r="AD264" s="486"/>
      <c r="AE264" s="486"/>
      <c r="AF264" s="486"/>
      <c r="AH264" s="506"/>
    </row>
    <row r="265" spans="2:34">
      <c r="B265" s="478" t="s">
        <v>1194</v>
      </c>
      <c r="C265" s="450"/>
      <c r="D265" s="450"/>
      <c r="E265" s="450"/>
      <c r="F265" s="450"/>
      <c r="G265" s="450"/>
      <c r="H265" s="450"/>
      <c r="I265" s="450"/>
      <c r="J265" s="454"/>
      <c r="K265" s="449"/>
      <c r="L265" s="535">
        <v>4848.3999999999996</v>
      </c>
      <c r="M265" s="535">
        <v>4780</v>
      </c>
      <c r="N265" s="454">
        <f ca="1">N272-N268</f>
        <v>4766.6889786689662</v>
      </c>
      <c r="O265" s="454">
        <f t="shared" ref="O265:V265" ca="1" si="284">O272-O268</f>
        <v>4498.6726898747256</v>
      </c>
      <c r="P265" s="454">
        <f ca="1">P272-P268</f>
        <v>4651.9899589936376</v>
      </c>
      <c r="Q265" s="454">
        <f ca="1">Q272-Q268</f>
        <v>4701.5053263360451</v>
      </c>
      <c r="R265" s="454">
        <f t="shared" ca="1" si="284"/>
        <v>4857.3212266564751</v>
      </c>
      <c r="S265" s="454">
        <f t="shared" ca="1" si="284"/>
        <v>5121.9063453143463</v>
      </c>
      <c r="T265" s="454">
        <f t="shared" ca="1" si="284"/>
        <v>5371.9713913229025</v>
      </c>
      <c r="U265" s="454">
        <f t="shared" ca="1" si="284"/>
        <v>5634.8483237247729</v>
      </c>
      <c r="V265" s="454">
        <f t="shared" ca="1" si="284"/>
        <v>5911.601774812807</v>
      </c>
      <c r="W265" s="454">
        <f t="shared" ref="W265" ca="1" si="285">W272-W268</f>
        <v>6203.3830384361681</v>
      </c>
      <c r="X265" s="454"/>
      <c r="Y265" s="454"/>
      <c r="Z265" s="454"/>
      <c r="AA265" s="454"/>
      <c r="AB265" s="454"/>
      <c r="AC265" s="454"/>
      <c r="AD265" s="454"/>
      <c r="AE265" s="454"/>
      <c r="AF265" s="454"/>
    </row>
    <row r="266" spans="2:34">
      <c r="B266" s="478" t="s">
        <v>2353</v>
      </c>
      <c r="C266" s="450"/>
      <c r="D266" s="450"/>
      <c r="E266" s="450"/>
      <c r="F266" s="450"/>
      <c r="G266" s="450"/>
      <c r="H266" s="450"/>
      <c r="I266" s="450"/>
      <c r="J266" s="454"/>
      <c r="K266" s="449"/>
      <c r="L266" s="449"/>
      <c r="M266" s="456">
        <f>M265/L265-1</f>
        <v>-1.4107746885570371E-2</v>
      </c>
      <c r="N266" s="456">
        <f t="shared" ref="N266:W266" ca="1" si="286">N265/M265-1</f>
        <v>-2.7847324960321718E-3</v>
      </c>
      <c r="O266" s="456">
        <f t="shared" ca="1" si="286"/>
        <v>-5.6226930264092978E-2</v>
      </c>
      <c r="P266" s="456">
        <f t="shared" ca="1" si="286"/>
        <v>3.4080556574828558E-2</v>
      </c>
      <c r="Q266" s="456">
        <f t="shared" ca="1" si="286"/>
        <v>1.0643911052877542E-2</v>
      </c>
      <c r="R266" s="456">
        <f t="shared" ca="1" si="286"/>
        <v>3.3141704519105586E-2</v>
      </c>
      <c r="S266" s="456">
        <f t="shared" ca="1" si="286"/>
        <v>5.4471406421682689E-2</v>
      </c>
      <c r="T266" s="456">
        <f t="shared" ca="1" si="286"/>
        <v>4.8822651011048324E-2</v>
      </c>
      <c r="U266" s="456">
        <f t="shared" ca="1" si="286"/>
        <v>4.8934909226524104E-2</v>
      </c>
      <c r="V266" s="456">
        <f t="shared" ca="1" si="286"/>
        <v>4.9114623001084379E-2</v>
      </c>
      <c r="W266" s="456">
        <f t="shared" ca="1" si="286"/>
        <v>4.935739495622582E-2</v>
      </c>
      <c r="X266" s="456"/>
      <c r="Y266" s="456"/>
      <c r="Z266" s="456"/>
      <c r="AA266" s="456"/>
      <c r="AB266" s="456"/>
      <c r="AC266" s="456"/>
      <c r="AD266" s="456"/>
      <c r="AE266" s="456"/>
      <c r="AF266" s="456"/>
    </row>
    <row r="267" spans="2:34">
      <c r="B267" s="478"/>
      <c r="C267" s="450"/>
      <c r="D267" s="450"/>
      <c r="E267" s="450"/>
      <c r="F267" s="450"/>
      <c r="G267" s="450"/>
      <c r="H267" s="450"/>
      <c r="I267" s="450"/>
      <c r="J267" s="454"/>
      <c r="K267" s="449"/>
      <c r="L267" s="449"/>
      <c r="M267" s="449"/>
      <c r="N267" s="449"/>
      <c r="O267" s="449"/>
      <c r="P267" s="449"/>
      <c r="Q267" s="449"/>
      <c r="R267" s="449"/>
      <c r="S267" s="449"/>
      <c r="T267" s="449"/>
      <c r="U267" s="449"/>
      <c r="V267" s="449"/>
      <c r="W267" s="449"/>
      <c r="X267" s="449"/>
      <c r="Y267" s="449"/>
      <c r="Z267" s="449"/>
      <c r="AA267" s="449"/>
      <c r="AB267" s="449"/>
      <c r="AC267" s="449"/>
      <c r="AD267" s="449"/>
      <c r="AE267" s="449"/>
      <c r="AF267" s="449"/>
    </row>
    <row r="268" spans="2:34">
      <c r="B268" s="478" t="s">
        <v>4640</v>
      </c>
      <c r="C268" s="450"/>
      <c r="D268" s="450"/>
      <c r="E268" s="450"/>
      <c r="F268" s="450"/>
      <c r="G268" s="450"/>
      <c r="H268" s="450"/>
      <c r="I268" s="450"/>
      <c r="J268" s="454"/>
      <c r="K268" s="449"/>
      <c r="L268" s="454">
        <f>L272-L265</f>
        <v>595.5</v>
      </c>
      <c r="M268" s="454">
        <f>M272-M265</f>
        <v>451.39999999999964</v>
      </c>
      <c r="N268" s="535">
        <f>M268*0.9</f>
        <v>406.25999999999971</v>
      </c>
      <c r="O268" s="535">
        <f>N268*0.8</f>
        <v>325.00799999999981</v>
      </c>
      <c r="P268" s="535">
        <f t="shared" ref="P268:W268" si="287">O268</f>
        <v>325.00799999999981</v>
      </c>
      <c r="Q268" s="535">
        <v>225</v>
      </c>
      <c r="R268" s="535">
        <v>325</v>
      </c>
      <c r="S268" s="535">
        <f t="shared" si="287"/>
        <v>325</v>
      </c>
      <c r="T268" s="535">
        <f t="shared" si="287"/>
        <v>325</v>
      </c>
      <c r="U268" s="535">
        <f t="shared" si="287"/>
        <v>325</v>
      </c>
      <c r="V268" s="535">
        <f t="shared" si="287"/>
        <v>325</v>
      </c>
      <c r="W268" s="535">
        <f t="shared" si="287"/>
        <v>325</v>
      </c>
      <c r="X268" s="535"/>
      <c r="Y268" s="535"/>
      <c r="Z268" s="535"/>
      <c r="AA268" s="535"/>
      <c r="AB268" s="535"/>
      <c r="AC268" s="535"/>
      <c r="AD268" s="535"/>
      <c r="AE268" s="535"/>
      <c r="AF268" s="535"/>
    </row>
    <row r="269" spans="2:34">
      <c r="B269" s="478" t="s">
        <v>4644</v>
      </c>
      <c r="C269" s="450"/>
      <c r="D269" s="450"/>
      <c r="E269" s="450"/>
      <c r="F269" s="450"/>
      <c r="G269" s="450"/>
      <c r="H269" s="450"/>
      <c r="I269" s="450"/>
      <c r="J269" s="454"/>
      <c r="K269" s="449"/>
      <c r="L269" s="454">
        <f>L53</f>
        <v>523.24275805427931</v>
      </c>
      <c r="M269" s="454">
        <f>M53</f>
        <v>318.90941078570449</v>
      </c>
      <c r="N269" s="454"/>
      <c r="O269" s="454"/>
      <c r="P269" s="454"/>
      <c r="Q269" s="454"/>
      <c r="R269" s="454"/>
      <c r="S269" s="454"/>
      <c r="T269" s="454"/>
      <c r="U269" s="454"/>
      <c r="V269" s="454"/>
      <c r="W269" s="454"/>
      <c r="X269" s="454"/>
      <c r="Y269" s="454"/>
      <c r="Z269" s="454"/>
      <c r="AA269" s="454"/>
      <c r="AB269" s="454"/>
      <c r="AC269" s="454"/>
      <c r="AD269" s="454"/>
      <c r="AE269" s="454"/>
      <c r="AF269" s="454"/>
    </row>
    <row r="270" spans="2:34">
      <c r="B270" s="478" t="s">
        <v>4643</v>
      </c>
      <c r="C270" s="450"/>
      <c r="D270" s="450"/>
      <c r="E270" s="450"/>
      <c r="F270" s="450"/>
      <c r="G270" s="450"/>
      <c r="H270" s="450"/>
      <c r="I270" s="450"/>
      <c r="J270" s="454"/>
      <c r="K270" s="449"/>
      <c r="L270" s="454">
        <f>L268-L269</f>
        <v>72.257241945720693</v>
      </c>
      <c r="M270" s="454">
        <f>M268-M269</f>
        <v>132.49058921429514</v>
      </c>
      <c r="N270" s="454"/>
      <c r="O270" s="454"/>
      <c r="P270" s="454"/>
      <c r="Q270" s="454"/>
      <c r="R270" s="454"/>
      <c r="S270" s="454"/>
      <c r="T270" s="454"/>
      <c r="U270" s="454"/>
      <c r="V270" s="454"/>
      <c r="W270" s="454"/>
      <c r="X270" s="454"/>
      <c r="Y270" s="454"/>
      <c r="Z270" s="454"/>
      <c r="AA270" s="454"/>
      <c r="AB270" s="454"/>
      <c r="AC270" s="454"/>
      <c r="AD270" s="454"/>
      <c r="AE270" s="454"/>
      <c r="AF270" s="454"/>
    </row>
    <row r="271" spans="2:34">
      <c r="B271" s="478"/>
      <c r="C271" s="450"/>
      <c r="D271" s="450"/>
      <c r="E271" s="450"/>
      <c r="F271" s="450"/>
      <c r="G271" s="450"/>
      <c r="H271" s="450"/>
      <c r="I271" s="450"/>
      <c r="J271" s="454"/>
      <c r="K271" s="449"/>
      <c r="L271" s="449"/>
      <c r="M271" s="449"/>
      <c r="N271" s="449"/>
      <c r="O271" s="449"/>
      <c r="P271" s="449"/>
      <c r="Q271" s="449"/>
      <c r="R271" s="449"/>
      <c r="S271" s="449"/>
      <c r="T271" s="449"/>
      <c r="U271" s="449"/>
      <c r="V271" s="449"/>
      <c r="W271" s="449"/>
      <c r="X271" s="449"/>
      <c r="Y271" s="449"/>
      <c r="Z271" s="449"/>
      <c r="AA271" s="449"/>
      <c r="AB271" s="449"/>
      <c r="AC271" s="449"/>
      <c r="AD271" s="449"/>
      <c r="AE271" s="449"/>
      <c r="AF271" s="449"/>
    </row>
    <row r="272" spans="2:34" ht="15.75" thickBot="1">
      <c r="B272" s="478" t="s">
        <v>4410</v>
      </c>
      <c r="C272" s="450"/>
      <c r="D272" s="450"/>
      <c r="E272" s="450"/>
      <c r="F272" s="450"/>
      <c r="G272" s="450"/>
      <c r="H272" s="450"/>
      <c r="I272" s="450"/>
      <c r="J272" s="454"/>
      <c r="K272" s="454">
        <f ca="1">(K212+K56)</f>
        <v>4984.8950964974638</v>
      </c>
      <c r="L272" s="535">
        <v>5443.9</v>
      </c>
      <c r="M272" s="535">
        <v>5231.3999999999996</v>
      </c>
      <c r="N272" s="454">
        <f t="shared" ref="N272:V272" ca="1" si="288">(N212+N56)</f>
        <v>5172.9489786689655</v>
      </c>
      <c r="O272" s="454">
        <f t="shared" ca="1" si="288"/>
        <v>4823.6806898747254</v>
      </c>
      <c r="P272" s="454">
        <f t="shared" ca="1" si="288"/>
        <v>4976.9979589936374</v>
      </c>
      <c r="Q272" s="454">
        <f t="shared" ca="1" si="288"/>
        <v>4926.5053263360451</v>
      </c>
      <c r="R272" s="454">
        <f t="shared" ca="1" si="288"/>
        <v>5182.3212266564751</v>
      </c>
      <c r="S272" s="454">
        <f t="shared" ca="1" si="288"/>
        <v>5446.9063453143463</v>
      </c>
      <c r="T272" s="454">
        <f t="shared" ca="1" si="288"/>
        <v>5696.9713913229025</v>
      </c>
      <c r="U272" s="454">
        <f t="shared" ca="1" si="288"/>
        <v>5959.8483237247729</v>
      </c>
      <c r="V272" s="454">
        <f t="shared" ca="1" si="288"/>
        <v>6236.601774812807</v>
      </c>
      <c r="W272" s="454">
        <f t="shared" ref="W272" ca="1" si="289">(W212+W56)</f>
        <v>6528.3830384361681</v>
      </c>
      <c r="X272" s="454"/>
      <c r="Y272" s="454"/>
      <c r="Z272" s="454"/>
      <c r="AA272" s="454"/>
      <c r="AB272" s="454"/>
      <c r="AC272" s="454"/>
      <c r="AD272" s="454"/>
      <c r="AE272" s="454"/>
      <c r="AF272" s="454"/>
    </row>
    <row r="273" spans="2:35" ht="15.75" thickBot="1">
      <c r="B273" s="1103" t="s">
        <v>2353</v>
      </c>
      <c r="C273" s="1104"/>
      <c r="D273" s="1104"/>
      <c r="E273" s="1104"/>
      <c r="F273" s="1104"/>
      <c r="G273" s="1104"/>
      <c r="H273" s="1104"/>
      <c r="I273" s="1104"/>
      <c r="J273" s="1105"/>
      <c r="K273" s="1106"/>
      <c r="L273" s="1106"/>
      <c r="M273" s="1107">
        <f>M272/L272-1</f>
        <v>-3.9034515696467653E-2</v>
      </c>
      <c r="N273" s="1107">
        <f t="shared" ref="N273:W273" ca="1" si="290">N272/M272-1</f>
        <v>-1.1173112614411895E-2</v>
      </c>
      <c r="O273" s="1107">
        <f t="shared" ca="1" si="290"/>
        <v>-6.7518216443748669E-2</v>
      </c>
      <c r="P273" s="1107">
        <f t="shared" ca="1" si="290"/>
        <v>3.1784290664333748E-2</v>
      </c>
      <c r="Q273" s="1107">
        <f t="shared" ca="1" si="290"/>
        <v>-1.0145198586298365E-2</v>
      </c>
      <c r="R273" s="1107">
        <f t="shared" ca="1" si="290"/>
        <v>5.1926443467521066E-2</v>
      </c>
      <c r="S273" s="1107">
        <f t="shared" ca="1" si="290"/>
        <v>5.105532966519255E-2</v>
      </c>
      <c r="T273" s="1107">
        <f t="shared" ca="1" si="290"/>
        <v>4.5909554920780415E-2</v>
      </c>
      <c r="U273" s="1107">
        <f t="shared" ca="1" si="290"/>
        <v>4.6143277602246791E-2</v>
      </c>
      <c r="V273" s="1107">
        <f t="shared" ca="1" si="290"/>
        <v>4.6436324559862241E-2</v>
      </c>
      <c r="W273" s="617">
        <f t="shared" ca="1" si="290"/>
        <v>4.6785296569960888E-2</v>
      </c>
      <c r="X273" s="456"/>
      <c r="Y273" s="456"/>
      <c r="Z273" s="456"/>
      <c r="AA273" s="456"/>
      <c r="AB273" s="456"/>
      <c r="AC273" s="456"/>
      <c r="AD273" s="456"/>
      <c r="AE273" s="456"/>
      <c r="AF273" s="456"/>
    </row>
    <row r="274" spans="2:35">
      <c r="B274" s="478"/>
      <c r="C274" s="450"/>
      <c r="D274" s="450"/>
      <c r="E274" s="450"/>
      <c r="F274" s="450"/>
      <c r="G274" s="450"/>
      <c r="H274" s="450"/>
      <c r="I274" s="450"/>
      <c r="J274" s="454"/>
      <c r="K274" s="449"/>
      <c r="L274" s="449"/>
      <c r="M274" s="449"/>
      <c r="N274" s="449"/>
      <c r="O274" s="449"/>
      <c r="P274" s="449"/>
      <c r="Q274" s="449"/>
      <c r="R274" s="449"/>
      <c r="S274" s="449"/>
      <c r="T274" s="449"/>
      <c r="U274" s="449"/>
      <c r="V274" s="449"/>
      <c r="W274" s="449"/>
      <c r="X274" s="449"/>
      <c r="Y274" s="449"/>
      <c r="Z274" s="449"/>
      <c r="AA274" s="449"/>
      <c r="AB274" s="449"/>
      <c r="AC274" s="449"/>
      <c r="AD274" s="449"/>
      <c r="AE274" s="449"/>
      <c r="AF274" s="449"/>
    </row>
    <row r="275" spans="2:35">
      <c r="B275" s="478" t="s">
        <v>4538</v>
      </c>
      <c r="J275" s="454"/>
      <c r="K275" s="454">
        <f t="shared" ref="K275:V275" ca="1" si="291">K282*K215/1000</f>
        <v>1362.1220748093406</v>
      </c>
      <c r="L275" s="454">
        <f t="shared" si="291"/>
        <v>1496.8446000000001</v>
      </c>
      <c r="M275" s="454">
        <f t="shared" si="291"/>
        <v>1472.8119999999999</v>
      </c>
      <c r="N275" s="454">
        <f t="shared" si="291"/>
        <v>1384.019</v>
      </c>
      <c r="O275" s="454">
        <f t="shared" si="291"/>
        <v>1441.9860000000001</v>
      </c>
      <c r="P275" s="454">
        <f t="shared" si="291"/>
        <v>1683.153</v>
      </c>
      <c r="Q275" s="454">
        <f t="shared" si="291"/>
        <v>1713.2929999999999</v>
      </c>
      <c r="R275" s="454">
        <f t="shared" si="291"/>
        <v>1640.52</v>
      </c>
      <c r="S275" s="454">
        <f t="shared" ca="1" si="291"/>
        <v>1732.9683798662552</v>
      </c>
      <c r="T275" s="454">
        <f t="shared" ca="1" si="291"/>
        <v>1841.3733356888458</v>
      </c>
      <c r="U275" s="454">
        <f t="shared" ca="1" si="291"/>
        <v>1958.6928196538145</v>
      </c>
      <c r="V275" s="454">
        <f t="shared" ca="1" si="291"/>
        <v>2083.7086536570878</v>
      </c>
      <c r="W275" s="454">
        <f t="shared" ref="W275" ca="1" si="292">W282*W215/1000</f>
        <v>2187.2477719217627</v>
      </c>
      <c r="X275" s="454"/>
      <c r="Y275" s="454"/>
      <c r="Z275" s="454"/>
      <c r="AA275" s="454"/>
      <c r="AB275" s="454"/>
      <c r="AC275" s="454"/>
      <c r="AD275" s="454"/>
      <c r="AE275" s="454"/>
      <c r="AF275" s="454"/>
    </row>
    <row r="276" spans="2:35">
      <c r="B276" s="478" t="s">
        <v>1434</v>
      </c>
      <c r="J276" s="454"/>
      <c r="K276" s="456">
        <f ca="1">K275/K272</f>
        <v>0.27324989762902097</v>
      </c>
      <c r="L276" s="456">
        <f t="shared" ref="L276:V276" si="293">L275/L272</f>
        <v>0.27495813662998958</v>
      </c>
      <c r="M276" s="456">
        <f t="shared" si="293"/>
        <v>0.28153305042627214</v>
      </c>
      <c r="N276" s="456">
        <f t="shared" ca="1" si="293"/>
        <v>0.26754932354970129</v>
      </c>
      <c r="O276" s="456">
        <f t="shared" ca="1" si="293"/>
        <v>0.29893894159015105</v>
      </c>
      <c r="P276" s="456">
        <f t="shared" ca="1" si="293"/>
        <v>0.33818639546726642</v>
      </c>
      <c r="Q276" s="456">
        <f t="shared" ca="1" si="293"/>
        <v>0.34777045522332056</v>
      </c>
      <c r="R276" s="456">
        <f t="shared" ca="1" si="293"/>
        <v>0.31656084759115349</v>
      </c>
      <c r="S276" s="456">
        <f t="shared" ca="1" si="293"/>
        <v>0.31815644881741473</v>
      </c>
      <c r="T276" s="456">
        <f t="shared" ca="1" si="293"/>
        <v>0.32321969151775182</v>
      </c>
      <c r="U276" s="456">
        <f t="shared" ca="1" si="293"/>
        <v>0.32864809861967675</v>
      </c>
      <c r="V276" s="456">
        <f t="shared" ca="1" si="293"/>
        <v>0.33410962073486417</v>
      </c>
      <c r="W276" s="456">
        <f t="shared" ref="W276" ca="1" si="294">W275/W272</f>
        <v>0.33503667892098804</v>
      </c>
      <c r="X276" s="456"/>
      <c r="Y276" s="456"/>
      <c r="Z276" s="456"/>
      <c r="AA276" s="456"/>
      <c r="AB276" s="456"/>
      <c r="AC276" s="456"/>
      <c r="AD276" s="456"/>
      <c r="AE276" s="456"/>
      <c r="AF276" s="456"/>
    </row>
    <row r="277" spans="2:35">
      <c r="B277" s="478"/>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4"/>
    </row>
    <row r="278" spans="2:35">
      <c r="B278" s="627" t="s">
        <v>2602</v>
      </c>
      <c r="C278" s="450"/>
      <c r="D278" s="450"/>
      <c r="E278" s="450"/>
      <c r="F278" s="450"/>
      <c r="G278" s="450"/>
      <c r="H278" s="450"/>
      <c r="I278" s="450"/>
      <c r="J278" s="454"/>
      <c r="K278" s="449"/>
      <c r="L278" s="449"/>
      <c r="M278" s="449"/>
      <c r="N278" s="449"/>
      <c r="O278" s="449"/>
      <c r="P278" s="449"/>
      <c r="Q278" s="449"/>
      <c r="R278" s="449"/>
      <c r="S278" s="449"/>
      <c r="T278" s="449"/>
      <c r="U278" s="449"/>
      <c r="V278" s="449"/>
      <c r="W278" s="449"/>
      <c r="X278" s="449"/>
      <c r="Y278" s="449"/>
      <c r="Z278" s="449"/>
      <c r="AA278" s="449"/>
      <c r="AB278" s="449"/>
      <c r="AC278" s="449"/>
      <c r="AD278" s="449"/>
      <c r="AE278" s="449"/>
      <c r="AF278" s="449"/>
    </row>
    <row r="279" spans="2:35">
      <c r="B279" s="478" t="s">
        <v>758</v>
      </c>
      <c r="C279" s="450"/>
      <c r="D279" s="450"/>
      <c r="E279" s="450"/>
      <c r="F279" s="450"/>
      <c r="G279" s="450"/>
      <c r="H279" s="450"/>
      <c r="I279" s="450"/>
      <c r="J279" s="454">
        <f>J216+J44</f>
        <v>2304</v>
      </c>
      <c r="K279" s="454">
        <f ca="1">K216+K44</f>
        <v>2479.0113069649819</v>
      </c>
      <c r="L279" s="454">
        <f>L272*1000/L215</f>
        <v>1982.4836125273125</v>
      </c>
      <c r="M279" s="454">
        <f>M272*1000/M215</f>
        <v>1719.1587249424911</v>
      </c>
      <c r="N279" s="454">
        <f t="shared" ref="N279:V279" ca="1" si="295">N216+N44</f>
        <v>1752.9478070718283</v>
      </c>
      <c r="O279" s="454">
        <f t="shared" ca="1" si="295"/>
        <v>1652.5113702893882</v>
      </c>
      <c r="P279" s="454">
        <f t="shared" ca="1" si="295"/>
        <v>1516.914952451581</v>
      </c>
      <c r="Q279" s="454">
        <f t="shared" ca="1" si="295"/>
        <v>1314.0851764033196</v>
      </c>
      <c r="R279" s="454">
        <f t="shared" ca="1" si="295"/>
        <v>1393.0971039399126</v>
      </c>
      <c r="S279" s="454">
        <f t="shared" ca="1" si="295"/>
        <v>1442.5833850612707</v>
      </c>
      <c r="T279" s="454">
        <f t="shared" ca="1" si="295"/>
        <v>1464.8657730150935</v>
      </c>
      <c r="U279" s="454">
        <f t="shared" ca="1" si="295"/>
        <v>1487.824738863455</v>
      </c>
      <c r="V279" s="454">
        <f t="shared" ca="1" si="295"/>
        <v>1511.566845947098</v>
      </c>
      <c r="W279" s="454">
        <f t="shared" ref="W279" ca="1" si="296">W216+W44</f>
        <v>1536.1999506019931</v>
      </c>
      <c r="X279" s="454"/>
      <c r="Y279" s="454"/>
      <c r="Z279" s="454"/>
      <c r="AA279" s="454"/>
      <c r="AB279" s="454"/>
      <c r="AC279" s="454"/>
      <c r="AD279" s="454"/>
      <c r="AE279" s="454"/>
      <c r="AF279" s="454"/>
      <c r="AH279">
        <v>505</v>
      </c>
      <c r="AI279" s="449">
        <f>AH279/L279</f>
        <v>0.25473098330241184</v>
      </c>
    </row>
    <row r="280" spans="2:35">
      <c r="B280" s="478" t="s">
        <v>2353</v>
      </c>
      <c r="C280" s="450"/>
      <c r="D280" s="450"/>
      <c r="E280" s="450"/>
      <c r="F280" s="450"/>
      <c r="G280" s="450"/>
      <c r="H280" s="450"/>
      <c r="I280" s="450"/>
      <c r="J280" s="454"/>
      <c r="K280" s="449">
        <f ca="1">K279/J279-1</f>
        <v>7.5959768647995585E-2</v>
      </c>
      <c r="L280" s="449">
        <f t="shared" ref="L280:W280" ca="1" si="297">L279/K279-1</f>
        <v>-0.20029262998625097</v>
      </c>
      <c r="M280" s="449">
        <f t="shared" si="297"/>
        <v>-0.1328257575098587</v>
      </c>
      <c r="N280" s="449">
        <f t="shared" ca="1" si="297"/>
        <v>1.9654428435901039E-2</v>
      </c>
      <c r="O280" s="449">
        <f t="shared" ca="1" si="297"/>
        <v>-5.7295737144742342E-2</v>
      </c>
      <c r="P280" s="449">
        <f t="shared" ca="1" si="297"/>
        <v>-8.2054756339777213E-2</v>
      </c>
      <c r="Q280" s="449">
        <f t="shared" ca="1" si="297"/>
        <v>-0.13371202895749401</v>
      </c>
      <c r="R280" s="449">
        <f t="shared" ca="1" si="297"/>
        <v>6.0126945311756996E-2</v>
      </c>
      <c r="S280" s="449">
        <f t="shared" ca="1" si="297"/>
        <v>3.5522492280977813E-2</v>
      </c>
      <c r="T280" s="449">
        <f t="shared" ca="1" si="297"/>
        <v>1.5446169826000222E-2</v>
      </c>
      <c r="U280" s="449">
        <f t="shared" ca="1" si="297"/>
        <v>1.5673085050724955E-2</v>
      </c>
      <c r="V280" s="449">
        <f t="shared" ca="1" si="297"/>
        <v>1.5957596660060691E-2</v>
      </c>
      <c r="W280" s="449">
        <f t="shared" ca="1" si="297"/>
        <v>1.6296404436854983E-2</v>
      </c>
      <c r="X280" s="449"/>
      <c r="Y280" s="449"/>
      <c r="Z280" s="449"/>
      <c r="AA280" s="449"/>
      <c r="AB280" s="449"/>
      <c r="AC280" s="449"/>
      <c r="AD280" s="449"/>
      <c r="AE280" s="449"/>
      <c r="AF280" s="449"/>
    </row>
    <row r="281" spans="2:35">
      <c r="B281" s="478"/>
      <c r="C281" s="450"/>
      <c r="D281" s="450"/>
      <c r="E281" s="450"/>
      <c r="F281" s="450"/>
      <c r="G281" s="450"/>
      <c r="H281" s="450"/>
      <c r="I281" s="450"/>
      <c r="J281" s="454"/>
      <c r="K281" s="449"/>
      <c r="L281" s="449"/>
      <c r="M281" s="449"/>
      <c r="N281" s="449"/>
      <c r="O281" s="449"/>
      <c r="P281" s="449"/>
      <c r="Q281" s="449"/>
      <c r="R281" s="449"/>
      <c r="S281" s="449"/>
      <c r="T281" s="449"/>
      <c r="U281" s="449"/>
      <c r="V281" s="449"/>
      <c r="W281" s="449"/>
      <c r="X281" s="449"/>
      <c r="Y281" s="449"/>
      <c r="Z281" s="449"/>
      <c r="AA281" s="449"/>
      <c r="AB281" s="449"/>
      <c r="AC281" s="449"/>
      <c r="AD281" s="449"/>
      <c r="AE281" s="449"/>
      <c r="AF281" s="449"/>
    </row>
    <row r="282" spans="2:35">
      <c r="B282" s="478" t="s">
        <v>360</v>
      </c>
      <c r="J282" s="454">
        <f>J240+J59</f>
        <v>550.43600000000004</v>
      </c>
      <c r="K282" s="454">
        <f ca="1">K240+K59</f>
        <v>677.38958584936677</v>
      </c>
      <c r="L282" s="535">
        <v>545.1</v>
      </c>
      <c r="M282" s="535">
        <f>461+23</f>
        <v>484</v>
      </c>
      <c r="N282" s="535">
        <f>'New (new) quarts'!V116</f>
        <v>469</v>
      </c>
      <c r="O282" s="535">
        <f>'New (new) quarts'!AA116</f>
        <v>494</v>
      </c>
      <c r="P282" s="523">
        <f>'New (new) quarts'!AJ116</f>
        <v>513</v>
      </c>
      <c r="Q282" s="523">
        <f>'New (new) quarts'!AO116</f>
        <v>457</v>
      </c>
      <c r="R282" s="523">
        <f>'New (new) quarts'!AT116</f>
        <v>441</v>
      </c>
      <c r="S282" s="454">
        <f ca="1">S240+S59</f>
        <v>458.96720691409905</v>
      </c>
      <c r="T282" s="454">
        <f ca="1">T240+T59</f>
        <v>473.47346326885156</v>
      </c>
      <c r="U282" s="454">
        <f ca="1">U240+U59</f>
        <v>488.97077150679166</v>
      </c>
      <c r="V282" s="454">
        <f ca="1">V240+V59</f>
        <v>505.0290256147797</v>
      </c>
      <c r="W282" s="454">
        <f ca="1">W240+W59</f>
        <v>514.68332960827763</v>
      </c>
      <c r="X282" s="454"/>
      <c r="Y282" s="454"/>
      <c r="Z282" s="454"/>
      <c r="AA282" s="454"/>
      <c r="AB282" s="454"/>
      <c r="AC282" s="454"/>
      <c r="AD282" s="454"/>
      <c r="AE282" s="454"/>
      <c r="AF282" s="454"/>
      <c r="AH282">
        <v>150</v>
      </c>
      <c r="AI282" s="449">
        <f>AH282/L282</f>
        <v>0.27517886626307098</v>
      </c>
    </row>
    <row r="283" spans="2:35">
      <c r="B283" s="478" t="s">
        <v>1434</v>
      </c>
      <c r="J283" s="454"/>
      <c r="K283" s="456">
        <f t="shared" ref="K283:V283" ca="1" si="298">K282/K279</f>
        <v>0.27324989762902097</v>
      </c>
      <c r="L283" s="456">
        <f t="shared" si="298"/>
        <v>0.27495813662998952</v>
      </c>
      <c r="M283" s="456">
        <f t="shared" si="298"/>
        <v>0.28153305042627214</v>
      </c>
      <c r="N283" s="456">
        <f t="shared" ca="1" si="298"/>
        <v>0.26754932354970135</v>
      </c>
      <c r="O283" s="456">
        <f t="shared" ca="1" si="298"/>
        <v>0.29893894159015111</v>
      </c>
      <c r="P283" s="456">
        <f t="shared" ca="1" si="298"/>
        <v>0.33818639546726642</v>
      </c>
      <c r="Q283" s="456">
        <f t="shared" ca="1" si="298"/>
        <v>0.34777045522332062</v>
      </c>
      <c r="R283" s="456">
        <f t="shared" ca="1" si="298"/>
        <v>0.31656084759115349</v>
      </c>
      <c r="S283" s="456">
        <f t="shared" ca="1" si="298"/>
        <v>0.31815644881741473</v>
      </c>
      <c r="T283" s="456">
        <f t="shared" ca="1" si="298"/>
        <v>0.32321969151775182</v>
      </c>
      <c r="U283" s="456">
        <f t="shared" ca="1" si="298"/>
        <v>0.32864809861967681</v>
      </c>
      <c r="V283" s="456">
        <f t="shared" ca="1" si="298"/>
        <v>0.33410962073486411</v>
      </c>
      <c r="W283" s="456">
        <f t="shared" ref="W283" ca="1" si="299">W282/W279</f>
        <v>0.33503667892098804</v>
      </c>
      <c r="X283" s="456"/>
      <c r="Y283" s="456"/>
      <c r="Z283" s="456"/>
      <c r="AA283" s="456"/>
      <c r="AB283" s="456"/>
      <c r="AC283" s="456"/>
      <c r="AD283" s="456"/>
      <c r="AE283" s="456"/>
      <c r="AF283" s="456"/>
    </row>
    <row r="284" spans="2:35">
      <c r="B284" s="478"/>
      <c r="J284" s="454"/>
      <c r="K284" s="454"/>
      <c r="L284" s="454"/>
      <c r="M284" s="454"/>
      <c r="N284" s="454"/>
      <c r="O284" s="454"/>
      <c r="P284" s="454"/>
      <c r="Q284" s="454"/>
      <c r="R284" s="454"/>
      <c r="S284" s="454"/>
      <c r="T284" s="454"/>
      <c r="U284" s="454"/>
      <c r="V284" s="454"/>
      <c r="W284" s="454"/>
      <c r="X284" s="454"/>
      <c r="Y284" s="454"/>
      <c r="Z284" s="454"/>
      <c r="AA284" s="454"/>
      <c r="AB284" s="454"/>
      <c r="AC284" s="454"/>
      <c r="AD284" s="454"/>
      <c r="AE284" s="454"/>
      <c r="AF284" s="454"/>
    </row>
    <row r="285" spans="2:35">
      <c r="B285" s="478" t="s">
        <v>1545</v>
      </c>
      <c r="J285" s="454"/>
      <c r="K285" s="454">
        <f t="shared" ref="K285:V285" ca="1" si="300">K62+K255</f>
        <v>541.72265713677075</v>
      </c>
      <c r="L285" s="454">
        <f t="shared" ca="1" si="300"/>
        <v>430.64914054758805</v>
      </c>
      <c r="M285" s="454">
        <f t="shared" ca="1" si="300"/>
        <v>326.55639154550062</v>
      </c>
      <c r="N285" s="535">
        <f>(113+762)*1000/N$34</f>
        <v>296.50965774313789</v>
      </c>
      <c r="O285" s="535">
        <f>(131+768)*1000/O$34</f>
        <v>307.98218568002738</v>
      </c>
      <c r="P285" s="454">
        <f ca="1">P62+P255</f>
        <v>285.89716116064551</v>
      </c>
      <c r="Q285" s="454">
        <f t="shared" ca="1" si="300"/>
        <v>230.19601909056661</v>
      </c>
      <c r="R285" s="454">
        <f t="shared" ca="1" si="300"/>
        <v>262.33994533001476</v>
      </c>
      <c r="S285" s="454">
        <f t="shared" ca="1" si="300"/>
        <v>248.05488176202795</v>
      </c>
      <c r="T285" s="454">
        <f t="shared" ca="1" si="300"/>
        <v>235.76102305852902</v>
      </c>
      <c r="U285" s="454">
        <f t="shared" ca="1" si="300"/>
        <v>239.41812887570515</v>
      </c>
      <c r="V285" s="454">
        <f t="shared" ca="1" si="300"/>
        <v>243.21025287267219</v>
      </c>
      <c r="W285" s="454">
        <f t="shared" ref="W285" ca="1" si="301">W62+W255</f>
        <v>247.15534264066059</v>
      </c>
      <c r="X285" s="454"/>
      <c r="Y285" s="454"/>
      <c r="Z285" s="454"/>
      <c r="AA285" s="454"/>
      <c r="AB285" s="454"/>
      <c r="AC285" s="454"/>
      <c r="AD285" s="454"/>
      <c r="AE285" s="454"/>
      <c r="AF285" s="454"/>
    </row>
    <row r="286" spans="2:35">
      <c r="B286" s="478" t="s">
        <v>1431</v>
      </c>
      <c r="J286" s="454"/>
      <c r="K286" s="456">
        <f t="shared" ref="K286:V286" ca="1" si="302">K285/K279</f>
        <v>0.21852367337525139</v>
      </c>
      <c r="L286" s="456">
        <f t="shared" ca="1" si="302"/>
        <v>0.21722708718816966</v>
      </c>
      <c r="M286" s="456">
        <f t="shared" ca="1" si="302"/>
        <v>0.1899512748925638</v>
      </c>
      <c r="N286" s="456">
        <f t="shared" ca="1" si="302"/>
        <v>0.1691491649363113</v>
      </c>
      <c r="O286" s="456">
        <f t="shared" ca="1" si="302"/>
        <v>0.18637220367572627</v>
      </c>
      <c r="P286" s="456">
        <f t="shared" ca="1" si="302"/>
        <v>0.1884727688250348</v>
      </c>
      <c r="Q286" s="456">
        <f t="shared" ca="1" si="302"/>
        <v>0.17517587385059638</v>
      </c>
      <c r="R286" s="456">
        <f t="shared" ca="1" si="302"/>
        <v>0.18831418469543387</v>
      </c>
      <c r="S286" s="456">
        <f t="shared" ca="1" si="302"/>
        <v>0.17195184994556992</v>
      </c>
      <c r="T286" s="456">
        <f t="shared" ca="1" si="302"/>
        <v>0.16094377205173446</v>
      </c>
      <c r="U286" s="456">
        <f t="shared" ca="1" si="302"/>
        <v>0.16091823359423096</v>
      </c>
      <c r="V286" s="456">
        <f t="shared" ca="1" si="302"/>
        <v>0.16089943592291789</v>
      </c>
      <c r="W286" s="456">
        <f t="shared" ref="W286" ca="1" si="303">W285/W279</f>
        <v>0.16088748248156592</v>
      </c>
      <c r="X286" s="456"/>
      <c r="Y286" s="456"/>
      <c r="Z286" s="456"/>
      <c r="AA286" s="456"/>
      <c r="AB286" s="456"/>
      <c r="AC286" s="456"/>
      <c r="AD286" s="456"/>
      <c r="AE286" s="456"/>
      <c r="AF286" s="456"/>
    </row>
    <row r="287" spans="2:35">
      <c r="B287" s="478" t="s">
        <v>1552</v>
      </c>
      <c r="J287" s="454"/>
      <c r="K287" s="454">
        <f t="shared" ref="K287:V287" ca="1" si="304">K282-K285</f>
        <v>135.66692871259602</v>
      </c>
      <c r="L287" s="454">
        <f t="shared" ca="1" si="304"/>
        <v>114.45085945241198</v>
      </c>
      <c r="M287" s="454">
        <f t="shared" ca="1" si="304"/>
        <v>157.44360845449938</v>
      </c>
      <c r="N287" s="454">
        <f t="shared" si="304"/>
        <v>172.49034225686211</v>
      </c>
      <c r="O287" s="454">
        <f t="shared" si="304"/>
        <v>186.01781431997262</v>
      </c>
      <c r="P287" s="454">
        <f t="shared" ca="1" si="304"/>
        <v>227.10283883935449</v>
      </c>
      <c r="Q287" s="454">
        <f t="shared" ca="1" si="304"/>
        <v>226.80398090943339</v>
      </c>
      <c r="R287" s="454">
        <f t="shared" ca="1" si="304"/>
        <v>178.66005466998524</v>
      </c>
      <c r="S287" s="454">
        <f t="shared" ca="1" si="304"/>
        <v>210.91232515207111</v>
      </c>
      <c r="T287" s="454">
        <f t="shared" ca="1" si="304"/>
        <v>237.71244021032254</v>
      </c>
      <c r="U287" s="454">
        <f t="shared" ca="1" si="304"/>
        <v>249.55264263108651</v>
      </c>
      <c r="V287" s="454">
        <f t="shared" ca="1" si="304"/>
        <v>261.81877274210751</v>
      </c>
      <c r="W287" s="454">
        <f t="shared" ref="W287" ca="1" si="305">W282-W285</f>
        <v>267.52798696761704</v>
      </c>
      <c r="X287" s="454"/>
      <c r="Y287" s="454"/>
      <c r="Z287" s="454"/>
      <c r="AA287" s="454"/>
      <c r="AB287" s="454"/>
      <c r="AC287" s="454"/>
      <c r="AD287" s="454"/>
      <c r="AE287" s="454"/>
      <c r="AF287" s="454"/>
    </row>
    <row r="288" spans="2:35">
      <c r="B288" s="478"/>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4"/>
    </row>
    <row r="289" spans="2:33">
      <c r="B289" s="478" t="s">
        <v>3932</v>
      </c>
      <c r="J289" s="454"/>
      <c r="K289" s="454">
        <f t="shared" ref="K289:V289" ca="1" si="306">K290*K279</f>
        <v>694.12316595019502</v>
      </c>
      <c r="L289" s="454">
        <f t="shared" si="306"/>
        <v>555.09541150764755</v>
      </c>
      <c r="M289" s="454">
        <f t="shared" si="306"/>
        <v>464.17285573447259</v>
      </c>
      <c r="N289" s="535">
        <f>(985+222-116)*1000/N$34</f>
        <v>369.70518468315828</v>
      </c>
      <c r="O289" s="535">
        <f>(909+213-54)*1000/O$34</f>
        <v>365.87872559095581</v>
      </c>
      <c r="P289" s="454">
        <f t="shared" ca="1" si="306"/>
        <v>364.05958858837943</v>
      </c>
      <c r="Q289" s="454">
        <f t="shared" ca="1" si="306"/>
        <v>315.3804423367967</v>
      </c>
      <c r="R289" s="454">
        <f t="shared" ca="1" si="306"/>
        <v>334.34330494557901</v>
      </c>
      <c r="S289" s="454">
        <f t="shared" ca="1" si="306"/>
        <v>317.36834471347959</v>
      </c>
      <c r="T289" s="454">
        <f t="shared" ca="1" si="306"/>
        <v>322.2704700633206</v>
      </c>
      <c r="U289" s="454">
        <f t="shared" ca="1" si="306"/>
        <v>327.32144254996007</v>
      </c>
      <c r="V289" s="454">
        <f t="shared" ca="1" si="306"/>
        <v>332.54470610836159</v>
      </c>
      <c r="W289" s="454">
        <f t="shared" ref="W289" ca="1" si="307">W290*W279</f>
        <v>337.96398913243848</v>
      </c>
      <c r="X289" s="454"/>
      <c r="Y289" s="454"/>
      <c r="Z289" s="454"/>
      <c r="AA289" s="454"/>
      <c r="AB289" s="454"/>
      <c r="AC289" s="454"/>
      <c r="AD289" s="454"/>
      <c r="AE289" s="454"/>
      <c r="AF289" s="454"/>
    </row>
    <row r="290" spans="2:33">
      <c r="B290" s="478" t="s">
        <v>1431</v>
      </c>
      <c r="J290" s="454"/>
      <c r="K290" s="595">
        <v>0.28000000000000003</v>
      </c>
      <c r="L290" s="595">
        <v>0.28000000000000003</v>
      </c>
      <c r="M290" s="595">
        <v>0.27</v>
      </c>
      <c r="N290" s="449">
        <f ca="1">N289/N279</f>
        <v>0.21090484450916075</v>
      </c>
      <c r="O290" s="449">
        <f ca="1">O289/O279</f>
        <v>0.2214076902399062</v>
      </c>
      <c r="P290" s="595">
        <v>0.24</v>
      </c>
      <c r="Q290" s="595">
        <v>0.24</v>
      </c>
      <c r="R290" s="595">
        <v>0.24</v>
      </c>
      <c r="S290" s="595">
        <v>0.22</v>
      </c>
      <c r="T290" s="595">
        <v>0.22</v>
      </c>
      <c r="U290" s="595">
        <v>0.22</v>
      </c>
      <c r="V290" s="595">
        <v>0.22</v>
      </c>
      <c r="W290" s="595">
        <v>0.22</v>
      </c>
      <c r="X290" s="595"/>
      <c r="Y290" s="595"/>
      <c r="Z290" s="595"/>
      <c r="AA290" s="595"/>
      <c r="AB290" s="595"/>
      <c r="AC290" s="595"/>
      <c r="AD290" s="595"/>
      <c r="AE290" s="595"/>
      <c r="AF290" s="595"/>
    </row>
    <row r="291" spans="2:33">
      <c r="B291" s="478" t="s">
        <v>392</v>
      </c>
      <c r="J291" s="454"/>
      <c r="K291" s="454">
        <f t="shared" ref="K291:V291" ca="1" si="308">K282-K289</f>
        <v>-16.733580100828249</v>
      </c>
      <c r="L291" s="454">
        <f t="shared" si="308"/>
        <v>-9.9954115076475318</v>
      </c>
      <c r="M291" s="454">
        <f t="shared" si="308"/>
        <v>19.827144265527409</v>
      </c>
      <c r="N291" s="454">
        <f t="shared" si="308"/>
        <v>99.294815316841721</v>
      </c>
      <c r="O291" s="454">
        <f t="shared" si="308"/>
        <v>128.12127440904419</v>
      </c>
      <c r="P291" s="454">
        <f t="shared" ca="1" si="308"/>
        <v>148.94041141162057</v>
      </c>
      <c r="Q291" s="454">
        <f t="shared" ca="1" si="308"/>
        <v>141.6195576632033</v>
      </c>
      <c r="R291" s="454">
        <f t="shared" ca="1" si="308"/>
        <v>106.65669505442099</v>
      </c>
      <c r="S291" s="454">
        <f t="shared" ca="1" si="308"/>
        <v>141.59886220061946</v>
      </c>
      <c r="T291" s="454">
        <f t="shared" ca="1" si="308"/>
        <v>151.20299320553096</v>
      </c>
      <c r="U291" s="454">
        <f t="shared" ca="1" si="308"/>
        <v>161.6493289568316</v>
      </c>
      <c r="V291" s="454">
        <f t="shared" ca="1" si="308"/>
        <v>172.4843195064181</v>
      </c>
      <c r="W291" s="454">
        <f t="shared" ref="W291" ca="1" si="309">W282-W289</f>
        <v>176.71934047583915</v>
      </c>
      <c r="X291" s="454"/>
      <c r="Y291" s="454"/>
      <c r="Z291" s="454"/>
      <c r="AA291" s="454"/>
      <c r="AB291" s="454"/>
      <c r="AC291" s="454"/>
      <c r="AD291" s="454"/>
      <c r="AE291" s="454"/>
      <c r="AF291" s="454"/>
    </row>
    <row r="292" spans="2:33">
      <c r="B292" s="478"/>
      <c r="J292" s="454"/>
      <c r="K292" s="454"/>
      <c r="L292" s="454"/>
      <c r="M292" s="454"/>
      <c r="N292" s="454"/>
      <c r="O292" s="454"/>
      <c r="P292" s="454"/>
      <c r="Q292" s="454"/>
      <c r="R292" s="454"/>
      <c r="S292" s="454"/>
      <c r="T292" s="454"/>
      <c r="U292" s="454"/>
      <c r="V292" s="454"/>
      <c r="W292" s="454"/>
      <c r="X292" s="454"/>
      <c r="Y292" s="454"/>
      <c r="Z292" s="454"/>
      <c r="AA292" s="454"/>
      <c r="AB292" s="454"/>
      <c r="AC292" s="454"/>
      <c r="AD292" s="454"/>
      <c r="AE292" s="454"/>
      <c r="AF292" s="454"/>
    </row>
    <row r="293" spans="2:33">
      <c r="B293" s="478" t="s">
        <v>2938</v>
      </c>
      <c r="J293" s="454"/>
      <c r="K293" s="449">
        <f>L293</f>
        <v>0.09</v>
      </c>
      <c r="L293" s="538">
        <v>0.09</v>
      </c>
      <c r="M293" s="449">
        <f t="shared" ref="M293:U293" si="310">L293</f>
        <v>0.09</v>
      </c>
      <c r="N293" s="449">
        <f>N294/N310</f>
        <v>0.12657829572812718</v>
      </c>
      <c r="O293" s="449">
        <f>O294/O310</f>
        <v>0.13711509031382166</v>
      </c>
      <c r="P293" s="449">
        <f t="shared" si="310"/>
        <v>0.13711509031382166</v>
      </c>
      <c r="Q293" s="449">
        <f t="shared" si="310"/>
        <v>0.13711509031382166</v>
      </c>
      <c r="R293" s="449">
        <f t="shared" si="310"/>
        <v>0.13711509031382166</v>
      </c>
      <c r="S293" s="449">
        <f t="shared" si="310"/>
        <v>0.13711509031382166</v>
      </c>
      <c r="T293" s="449">
        <f t="shared" si="310"/>
        <v>0.13711509031382166</v>
      </c>
      <c r="U293" s="449">
        <f t="shared" si="310"/>
        <v>0.13711509031382166</v>
      </c>
      <c r="V293" s="449">
        <v>0.12</v>
      </c>
      <c r="W293" s="449">
        <v>0.1</v>
      </c>
      <c r="X293" s="449"/>
      <c r="Y293" s="449"/>
      <c r="Z293" s="449"/>
      <c r="AA293" s="449"/>
      <c r="AB293" s="449"/>
      <c r="AC293" s="449"/>
      <c r="AD293" s="449"/>
      <c r="AE293" s="449"/>
      <c r="AF293" s="449"/>
    </row>
    <row r="294" spans="2:33">
      <c r="B294" s="478" t="s">
        <v>1382</v>
      </c>
      <c r="J294" s="454"/>
      <c r="K294" s="454">
        <f>K293*J308</f>
        <v>39.96</v>
      </c>
      <c r="L294" s="454">
        <f>L293*K308</f>
        <v>68.039999999999992</v>
      </c>
      <c r="M294" s="454">
        <f>M293*L308</f>
        <v>59.960352755905511</v>
      </c>
      <c r="N294" s="535">
        <f>(385-35)*1000/N$34</f>
        <v>118.60386309725517</v>
      </c>
      <c r="O294" s="535">
        <f>(371-36)*1000/O$34</f>
        <v>114.76533059266872</v>
      </c>
      <c r="P294" s="454">
        <f t="shared" ref="P294:W294" si="311">P293*O308</f>
        <v>139.17181666852898</v>
      </c>
      <c r="Q294" s="454">
        <f t="shared" si="311"/>
        <v>113.39417968953052</v>
      </c>
      <c r="R294" s="454">
        <f t="shared" si="311"/>
        <v>154.80293696430465</v>
      </c>
      <c r="S294" s="454">
        <f t="shared" si="311"/>
        <v>149.4554484420656</v>
      </c>
      <c r="T294" s="454">
        <f t="shared" si="311"/>
        <v>153.93911189532758</v>
      </c>
      <c r="U294" s="454">
        <f t="shared" si="311"/>
        <v>158.55728525218743</v>
      </c>
      <c r="V294" s="454">
        <f t="shared" si="311"/>
        <v>76.319999999999993</v>
      </c>
      <c r="W294" s="454">
        <f t="shared" si="311"/>
        <v>65.50800000000001</v>
      </c>
      <c r="X294" s="454"/>
      <c r="Y294" s="454"/>
      <c r="Z294" s="454"/>
      <c r="AA294" s="454"/>
      <c r="AB294" s="454"/>
      <c r="AC294" s="454"/>
      <c r="AD294" s="454"/>
      <c r="AE294" s="454"/>
      <c r="AF294" s="454"/>
    </row>
    <row r="295" spans="2:33">
      <c r="B295" s="478" t="s">
        <v>5828</v>
      </c>
      <c r="J295" s="454"/>
      <c r="K295" s="454"/>
      <c r="L295" s="454"/>
      <c r="M295" s="454"/>
      <c r="N295" s="535">
        <f>(-11+7)*1000/N$34</f>
        <v>-1.3554727211114876</v>
      </c>
      <c r="O295" s="535">
        <f>(108-4)*1000/O$34</f>
        <v>35.628639945186706</v>
      </c>
      <c r="P295" s="454"/>
      <c r="Q295" s="454"/>
      <c r="R295" s="454"/>
      <c r="S295" s="454"/>
      <c r="T295" s="454"/>
      <c r="U295" s="454"/>
      <c r="V295" s="454"/>
      <c r="W295" s="454"/>
      <c r="X295" s="454"/>
      <c r="Y295" s="454"/>
      <c r="Z295" s="454"/>
      <c r="AA295" s="454"/>
      <c r="AB295" s="454"/>
      <c r="AC295" s="454"/>
      <c r="AD295" s="454"/>
      <c r="AE295" s="454"/>
      <c r="AF295" s="454"/>
    </row>
    <row r="296" spans="2:33">
      <c r="B296" s="478" t="s">
        <v>2097</v>
      </c>
      <c r="J296" s="454"/>
      <c r="K296" s="454">
        <f ca="1">K291-K294</f>
        <v>-56.69358010082825</v>
      </c>
      <c r="L296" s="454">
        <f t="shared" ref="L296:Q296" si="312">L291-L294</f>
        <v>-78.035411507647524</v>
      </c>
      <c r="M296" s="454">
        <f t="shared" si="312"/>
        <v>-40.133208490378102</v>
      </c>
      <c r="N296" s="454">
        <f t="shared" si="312"/>
        <v>-19.309047780413451</v>
      </c>
      <c r="O296" s="454">
        <f>O291-O294-O295</f>
        <v>-22.272696128811234</v>
      </c>
      <c r="P296" s="454">
        <f t="shared" ca="1" si="312"/>
        <v>9.7685947430915974</v>
      </c>
      <c r="Q296" s="454">
        <f t="shared" ca="1" si="312"/>
        <v>28.225377973672778</v>
      </c>
      <c r="R296" s="454">
        <f t="shared" ref="R296:W296" ca="1" si="313">R291-R294</f>
        <v>-48.146241909883656</v>
      </c>
      <c r="S296" s="454">
        <f t="shared" ca="1" si="313"/>
        <v>-7.8565862414461378</v>
      </c>
      <c r="T296" s="454">
        <f t="shared" ca="1" si="313"/>
        <v>-2.7361186897966263</v>
      </c>
      <c r="U296" s="454">
        <f t="shared" ca="1" si="313"/>
        <v>3.0920437046441691</v>
      </c>
      <c r="V296" s="454">
        <f t="shared" ca="1" si="313"/>
        <v>96.16431950641811</v>
      </c>
      <c r="W296" s="454">
        <f t="shared" ca="1" si="313"/>
        <v>111.21134047583914</v>
      </c>
      <c r="X296" s="454"/>
      <c r="Y296" s="454"/>
      <c r="Z296" s="454"/>
      <c r="AA296" s="454"/>
      <c r="AB296" s="454"/>
      <c r="AC296" s="454"/>
      <c r="AD296" s="454"/>
      <c r="AE296" s="454"/>
      <c r="AF296" s="454"/>
    </row>
    <row r="297" spans="2:33">
      <c r="B297" s="478"/>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4"/>
    </row>
    <row r="298" spans="2:33">
      <c r="B298" s="478" t="s">
        <v>682</v>
      </c>
      <c r="J298" s="454"/>
      <c r="K298" s="595">
        <v>0.28000000000000003</v>
      </c>
      <c r="L298" s="456">
        <f t="shared" ref="L298:O298" si="314">K298</f>
        <v>0.28000000000000003</v>
      </c>
      <c r="M298" s="456">
        <f t="shared" si="314"/>
        <v>0.28000000000000003</v>
      </c>
      <c r="N298" s="456">
        <f t="shared" si="314"/>
        <v>0.28000000000000003</v>
      </c>
      <c r="O298" s="456">
        <f t="shared" si="314"/>
        <v>0.28000000000000003</v>
      </c>
      <c r="P298" s="1216">
        <v>0.28000000000000003</v>
      </c>
      <c r="Q298" s="1216">
        <v>0.28000000000000003</v>
      </c>
      <c r="R298" s="1216">
        <v>0.3</v>
      </c>
      <c r="S298" s="1216">
        <v>0.35</v>
      </c>
      <c r="T298" s="1216">
        <v>0.33</v>
      </c>
      <c r="U298" s="1216">
        <v>0.3</v>
      </c>
      <c r="V298" s="1216">
        <v>0.28000000000000003</v>
      </c>
      <c r="W298" s="1216">
        <v>0.28000000000000003</v>
      </c>
      <c r="X298" s="1216"/>
      <c r="Y298" s="1216"/>
      <c r="Z298" s="1216"/>
      <c r="AA298" s="1216"/>
      <c r="AB298" s="1216"/>
      <c r="AC298" s="1216"/>
      <c r="AD298" s="1216"/>
      <c r="AE298" s="1216"/>
      <c r="AF298" s="1216"/>
    </row>
    <row r="299" spans="2:33">
      <c r="B299" s="478" t="s">
        <v>272</v>
      </c>
      <c r="J299" s="454"/>
      <c r="K299" s="454">
        <f ca="1">IF(K296&lt;0,0, K298*K296)</f>
        <v>0</v>
      </c>
      <c r="L299" s="454">
        <f t="shared" ref="L299:Q299" si="315">IF(L296&lt;0,0, L298*L296)</f>
        <v>0</v>
      </c>
      <c r="M299" s="454">
        <f t="shared" si="315"/>
        <v>0</v>
      </c>
      <c r="N299" s="535">
        <f>(47)*1000/N$34</f>
        <v>15.926804473059979</v>
      </c>
      <c r="O299" s="535">
        <f>(13)*1000/O$34</f>
        <v>4.4535799931483382</v>
      </c>
      <c r="P299" s="454">
        <f t="shared" ca="1" si="315"/>
        <v>2.7352065280656475</v>
      </c>
      <c r="Q299" s="454">
        <f t="shared" ca="1" si="315"/>
        <v>7.9031058326283787</v>
      </c>
      <c r="R299" s="454">
        <f t="shared" ref="R299:W299" ca="1" si="316">IF(R296&lt;0,0, R298*R296)</f>
        <v>0</v>
      </c>
      <c r="S299" s="454">
        <f t="shared" ca="1" si="316"/>
        <v>0</v>
      </c>
      <c r="T299" s="454">
        <f t="shared" ca="1" si="316"/>
        <v>0</v>
      </c>
      <c r="U299" s="454">
        <f t="shared" ca="1" si="316"/>
        <v>0.92761311139325064</v>
      </c>
      <c r="V299" s="454">
        <f t="shared" ca="1" si="316"/>
        <v>26.926009461797072</v>
      </c>
      <c r="W299" s="454">
        <f t="shared" ca="1" si="316"/>
        <v>31.139175333234963</v>
      </c>
      <c r="X299" s="454"/>
      <c r="Y299" s="454"/>
      <c r="Z299" s="454"/>
      <c r="AA299" s="454"/>
      <c r="AB299" s="454"/>
      <c r="AC299" s="454"/>
      <c r="AD299" s="454"/>
      <c r="AE299" s="454"/>
      <c r="AF299" s="454"/>
    </row>
    <row r="300" spans="2:33">
      <c r="B300" s="478"/>
      <c r="J300" s="454"/>
      <c r="K300" s="454"/>
      <c r="L300" s="454"/>
      <c r="M300" s="454"/>
      <c r="N300" s="454"/>
      <c r="O300" s="454"/>
      <c r="P300" s="454"/>
      <c r="Q300" s="454"/>
      <c r="R300" s="454"/>
      <c r="S300" s="454"/>
      <c r="T300" s="454"/>
      <c r="U300" s="454"/>
      <c r="V300" s="454"/>
      <c r="W300" s="454"/>
      <c r="X300" s="454"/>
      <c r="Y300" s="454"/>
      <c r="Z300" s="454"/>
      <c r="AA300" s="454"/>
      <c r="AB300" s="454"/>
      <c r="AC300" s="454"/>
      <c r="AD300" s="454"/>
      <c r="AE300" s="454"/>
      <c r="AF300" s="454"/>
    </row>
    <row r="301" spans="2:33">
      <c r="B301" s="478" t="s">
        <v>407</v>
      </c>
      <c r="J301" s="454"/>
      <c r="K301" s="454">
        <f ca="1">K296-K299</f>
        <v>-56.69358010082825</v>
      </c>
      <c r="L301" s="454">
        <f t="shared" ref="L301:Q301" si="317">L296-L299</f>
        <v>-78.035411507647524</v>
      </c>
      <c r="M301" s="454">
        <f t="shared" si="317"/>
        <v>-40.133208490378102</v>
      </c>
      <c r="N301" s="454">
        <f t="shared" si="317"/>
        <v>-35.235852253473432</v>
      </c>
      <c r="O301" s="454">
        <f t="shared" si="317"/>
        <v>-26.726276121959572</v>
      </c>
      <c r="P301" s="454">
        <f ca="1">P296-P299</f>
        <v>7.0333882150259495</v>
      </c>
      <c r="Q301" s="454">
        <f t="shared" ca="1" si="317"/>
        <v>20.322272141044401</v>
      </c>
      <c r="R301" s="454">
        <f t="shared" ref="R301:W301" ca="1" si="318">R296-R299</f>
        <v>-48.146241909883656</v>
      </c>
      <c r="S301" s="454">
        <f t="shared" ca="1" si="318"/>
        <v>-7.8565862414461378</v>
      </c>
      <c r="T301" s="454">
        <f t="shared" ca="1" si="318"/>
        <v>-2.7361186897966263</v>
      </c>
      <c r="U301" s="454">
        <f t="shared" ca="1" si="318"/>
        <v>2.1644305932509185</v>
      </c>
      <c r="V301" s="454">
        <f t="shared" ca="1" si="318"/>
        <v>69.238310044621045</v>
      </c>
      <c r="W301" s="454">
        <f t="shared" ca="1" si="318"/>
        <v>80.072165142604177</v>
      </c>
      <c r="X301" s="454"/>
      <c r="Y301" s="454"/>
      <c r="Z301" s="454"/>
      <c r="AA301" s="454"/>
      <c r="AB301" s="454"/>
      <c r="AC301" s="454"/>
      <c r="AD301" s="454"/>
      <c r="AE301" s="454"/>
      <c r="AF301" s="454"/>
      <c r="AG301" s="454"/>
    </row>
    <row r="302" spans="2:33">
      <c r="B302" s="478" t="s">
        <v>574</v>
      </c>
      <c r="J302" s="454"/>
      <c r="K302" s="454">
        <f ca="1">K282-K285-K294-K299</f>
        <v>95.70692871259601</v>
      </c>
      <c r="L302" s="454">
        <f ca="1">L282-L285-L294-L299</f>
        <v>46.410859452411984</v>
      </c>
      <c r="M302" s="454">
        <f ca="1">M282-M285-M294-M299</f>
        <v>97.483255698593865</v>
      </c>
      <c r="N302" s="454">
        <f>N282-N285-N294-N299</f>
        <v>37.959674686546954</v>
      </c>
      <c r="O302" s="454">
        <f>O282-O285-O294-O299+O306</f>
        <v>66.798903734155559</v>
      </c>
      <c r="P302" s="454">
        <f ca="1">P282-P285-P294-P299-P306</f>
        <v>-54.804184357240132</v>
      </c>
      <c r="Q302" s="454">
        <f t="shared" ref="Q302:V302" ca="1" si="319">Q282-Q285-Q294-Q299-Q306</f>
        <v>-34.49330461272551</v>
      </c>
      <c r="R302" s="454">
        <f t="shared" ca="1" si="319"/>
        <v>3.8571177056805936</v>
      </c>
      <c r="S302" s="454">
        <f t="shared" ca="1" si="319"/>
        <v>21.456876710005503</v>
      </c>
      <c r="T302" s="454">
        <f ca="1">T282-T285-T294-T299-T306</f>
        <v>23.773328314994956</v>
      </c>
      <c r="U302" s="454">
        <f t="shared" ca="1" si="319"/>
        <v>10.06774426750583</v>
      </c>
      <c r="V302" s="454">
        <f t="shared" ca="1" si="319"/>
        <v>78.572763280310454</v>
      </c>
      <c r="W302" s="454">
        <f t="shared" ref="W302" ca="1" si="320">W282-W285-W294-W299-W306</f>
        <v>90.88081163438207</v>
      </c>
      <c r="X302" s="454"/>
      <c r="Y302" s="454"/>
      <c r="Z302" s="454"/>
      <c r="AA302" s="454"/>
      <c r="AB302" s="454"/>
      <c r="AC302" s="454"/>
      <c r="AD302" s="454"/>
      <c r="AE302" s="454"/>
      <c r="AF302" s="454"/>
      <c r="AG302" s="454">
        <f ca="1">W302</f>
        <v>90.88081163438207</v>
      </c>
    </row>
    <row r="303" spans="2:33">
      <c r="B303" s="478" t="s">
        <v>3942</v>
      </c>
      <c r="J303" s="454"/>
      <c r="K303" s="984">
        <v>0</v>
      </c>
      <c r="L303" s="449">
        <f ca="1">L304/K302</f>
        <v>0.22986841491972959</v>
      </c>
      <c r="M303" s="449">
        <f ca="1">M304/L302</f>
        <v>2.8872553014752667</v>
      </c>
      <c r="N303" s="449">
        <f ca="1">N304/M302</f>
        <v>0</v>
      </c>
      <c r="O303" s="984">
        <v>0</v>
      </c>
      <c r="P303" s="984">
        <v>0.25</v>
      </c>
      <c r="Q303" s="984">
        <v>0.5</v>
      </c>
      <c r="R303" s="984">
        <v>0.5</v>
      </c>
      <c r="S303" s="984">
        <v>0.75</v>
      </c>
      <c r="T303" s="984">
        <v>0.75</v>
      </c>
      <c r="U303" s="984">
        <v>0.75</v>
      </c>
      <c r="V303" s="984">
        <v>0.75</v>
      </c>
      <c r="W303" s="984">
        <v>0.75</v>
      </c>
      <c r="X303" s="984"/>
      <c r="Y303" s="984"/>
      <c r="Z303" s="984"/>
      <c r="AA303" s="984"/>
      <c r="AB303" s="984"/>
      <c r="AC303" s="984"/>
      <c r="AD303" s="984"/>
      <c r="AE303" s="984"/>
      <c r="AF303" s="984"/>
      <c r="AG303" s="454"/>
    </row>
    <row r="304" spans="2:33">
      <c r="B304" s="478" t="s">
        <v>538</v>
      </c>
      <c r="J304" s="454"/>
      <c r="K304" s="454">
        <f ca="1">IF(K301&lt;0,0,K301*K303)</f>
        <v>0</v>
      </c>
      <c r="L304" s="454">
        <f>L305*2</f>
        <v>22</v>
      </c>
      <c r="M304" s="454">
        <f>M305*2</f>
        <v>134</v>
      </c>
      <c r="N304" s="454">
        <f>N305*2</f>
        <v>0</v>
      </c>
      <c r="O304" s="454">
        <f>O305*2</f>
        <v>0</v>
      </c>
      <c r="P304" s="454">
        <f t="shared" ref="P304:V304" ca="1" si="321">IF(P301&lt;0,0,P301*P303)</f>
        <v>1.7583470537564874</v>
      </c>
      <c r="Q304" s="454">
        <f t="shared" ca="1" si="321"/>
        <v>10.1611360705222</v>
      </c>
      <c r="R304" s="454">
        <f t="shared" ca="1" si="321"/>
        <v>0</v>
      </c>
      <c r="S304" s="454">
        <f t="shared" ca="1" si="321"/>
        <v>0</v>
      </c>
      <c r="T304" s="454">
        <f t="shared" ca="1" si="321"/>
        <v>0</v>
      </c>
      <c r="U304" s="454">
        <f t="shared" ca="1" si="321"/>
        <v>1.623322944938189</v>
      </c>
      <c r="V304" s="454">
        <f t="shared" ca="1" si="321"/>
        <v>51.928732533465784</v>
      </c>
      <c r="W304" s="454">
        <f t="shared" ref="W304" ca="1" si="322">IF(W301&lt;0,0,W301*W303)</f>
        <v>60.054123856953133</v>
      </c>
      <c r="X304" s="454"/>
      <c r="Y304" s="454"/>
      <c r="Z304" s="454"/>
      <c r="AA304" s="454"/>
      <c r="AB304" s="454"/>
      <c r="AC304" s="454"/>
      <c r="AD304" s="454"/>
      <c r="AE304" s="454"/>
      <c r="AF304" s="454"/>
      <c r="AG304" s="454"/>
    </row>
    <row r="305" spans="2:34">
      <c r="B305" s="478" t="s">
        <v>3367</v>
      </c>
      <c r="J305" s="454"/>
      <c r="K305" s="454">
        <f ca="1">K304*0.5</f>
        <v>0</v>
      </c>
      <c r="L305" s="535">
        <v>11</v>
      </c>
      <c r="M305" s="535">
        <v>67</v>
      </c>
      <c r="N305" s="535">
        <v>0</v>
      </c>
      <c r="O305" s="535">
        <v>0</v>
      </c>
      <c r="P305" s="454">
        <f t="shared" ref="P305:V305" ca="1" si="323">P304*0.5</f>
        <v>0.87917352687824368</v>
      </c>
      <c r="Q305" s="454">
        <f t="shared" ca="1" si="323"/>
        <v>5.0805680352611002</v>
      </c>
      <c r="R305" s="454">
        <f t="shared" ca="1" si="323"/>
        <v>0</v>
      </c>
      <c r="S305" s="454">
        <f t="shared" ca="1" si="323"/>
        <v>0</v>
      </c>
      <c r="T305" s="454">
        <f t="shared" ca="1" si="323"/>
        <v>0</v>
      </c>
      <c r="U305" s="454">
        <f t="shared" ca="1" si="323"/>
        <v>0.81166147246909448</v>
      </c>
      <c r="V305" s="454">
        <f t="shared" ca="1" si="323"/>
        <v>25.964366266732892</v>
      </c>
      <c r="W305" s="454">
        <f t="shared" ref="W305" ca="1" si="324">W304*0.5</f>
        <v>30.027061928476567</v>
      </c>
      <c r="X305" s="454"/>
      <c r="Y305" s="454"/>
      <c r="Z305" s="454"/>
      <c r="AA305" s="454"/>
      <c r="AB305" s="454"/>
      <c r="AC305" s="454"/>
      <c r="AD305" s="454"/>
      <c r="AE305" s="454"/>
      <c r="AF305" s="454"/>
      <c r="AG305" s="454"/>
    </row>
    <row r="306" spans="2:34">
      <c r="B306" s="478" t="s">
        <v>5812</v>
      </c>
      <c r="J306" s="454"/>
      <c r="K306" s="454"/>
      <c r="L306" s="454"/>
      <c r="M306" s="454"/>
      <c r="N306" s="454"/>
      <c r="O306" s="454"/>
      <c r="P306" s="535">
        <v>140</v>
      </c>
      <c r="Q306" s="485">
        <f t="shared" ref="Q306" si="325">P306</f>
        <v>140</v>
      </c>
      <c r="R306" s="1257">
        <v>20</v>
      </c>
      <c r="S306" s="1257">
        <v>40</v>
      </c>
      <c r="T306" s="1257">
        <v>60</v>
      </c>
      <c r="U306" s="1257">
        <v>80</v>
      </c>
      <c r="V306" s="1257">
        <v>80</v>
      </c>
      <c r="W306" s="1257">
        <v>80</v>
      </c>
      <c r="X306" s="1257"/>
      <c r="Y306" s="1257"/>
      <c r="Z306" s="1257"/>
      <c r="AA306" s="1257"/>
      <c r="AB306" s="1257"/>
      <c r="AC306" s="1257"/>
      <c r="AD306" s="1257"/>
      <c r="AE306" s="1257"/>
      <c r="AF306" s="1257"/>
      <c r="AG306" s="454"/>
    </row>
    <row r="307" spans="2:34">
      <c r="B307" s="478"/>
      <c r="J307" s="454"/>
      <c r="K307" s="454"/>
      <c r="L307" s="454"/>
      <c r="M307" s="454"/>
      <c r="N307" s="454"/>
      <c r="O307" s="454"/>
      <c r="P307" s="454"/>
      <c r="Q307" s="454"/>
      <c r="R307" s="454"/>
      <c r="S307" s="454"/>
      <c r="T307" s="454"/>
      <c r="U307" s="454"/>
      <c r="V307" s="454"/>
      <c r="W307" s="454"/>
      <c r="X307" s="454"/>
      <c r="Y307" s="454"/>
      <c r="Z307" s="454"/>
      <c r="AA307" s="454"/>
      <c r="AB307" s="454"/>
      <c r="AC307" s="454"/>
      <c r="AD307" s="454"/>
      <c r="AE307" s="454"/>
      <c r="AF307" s="454"/>
    </row>
    <row r="308" spans="2:34">
      <c r="B308" s="463" t="s">
        <v>7434</v>
      </c>
      <c r="J308" s="535">
        <v>444</v>
      </c>
      <c r="K308" s="535">
        <f>253+229+274</f>
        <v>756</v>
      </c>
      <c r="L308" s="535">
        <f>K308*(1+L$37)+100</f>
        <v>666.22614173228351</v>
      </c>
      <c r="M308" s="535">
        <v>841</v>
      </c>
      <c r="N308" s="535">
        <f>937+N309</f>
        <v>1012</v>
      </c>
      <c r="O308" s="535">
        <v>1015</v>
      </c>
      <c r="P308" s="535">
        <v>827</v>
      </c>
      <c r="Q308" s="535">
        <f>1129</f>
        <v>1129</v>
      </c>
      <c r="R308" s="535">
        <v>1090</v>
      </c>
      <c r="S308" s="454">
        <f t="shared" ref="S308:W308" si="326">R308*(1+S37)</f>
        <v>1122.7</v>
      </c>
      <c r="T308" s="454">
        <f t="shared" si="326"/>
        <v>1156.3810000000001</v>
      </c>
      <c r="U308" s="2363">
        <v>636</v>
      </c>
      <c r="V308" s="454">
        <f t="shared" si="326"/>
        <v>655.08000000000004</v>
      </c>
      <c r="W308" s="454">
        <f t="shared" si="326"/>
        <v>674.7324000000001</v>
      </c>
      <c r="X308" s="454"/>
      <c r="Y308" s="454"/>
      <c r="Z308" s="454"/>
      <c r="AA308" s="454"/>
      <c r="AB308" s="454"/>
      <c r="AC308" s="454"/>
      <c r="AD308" s="454"/>
      <c r="AE308" s="454"/>
      <c r="AF308" s="454"/>
    </row>
    <row r="309" spans="2:34">
      <c r="B309" s="478" t="s">
        <v>2222</v>
      </c>
      <c r="K309" s="535">
        <v>75</v>
      </c>
      <c r="L309" s="535">
        <v>75</v>
      </c>
      <c r="M309" s="535">
        <v>75</v>
      </c>
      <c r="N309" s="535">
        <v>75</v>
      </c>
      <c r="O309" s="535">
        <f>O308-837</f>
        <v>178</v>
      </c>
      <c r="P309" s="535">
        <v>214</v>
      </c>
      <c r="Q309" s="535">
        <v>211</v>
      </c>
      <c r="R309" s="454">
        <f>R308-R310</f>
        <v>210</v>
      </c>
      <c r="S309" s="454">
        <f t="shared" ref="S309:W309" ca="1" si="327">R309+S302-S304</f>
        <v>231.4568767100055</v>
      </c>
      <c r="T309" s="454">
        <f t="shared" ca="1" si="327"/>
        <v>255.23020502500046</v>
      </c>
      <c r="U309" s="2363">
        <f>636-560</f>
        <v>76</v>
      </c>
      <c r="V309" s="454">
        <f t="shared" ca="1" si="327"/>
        <v>102.64403074684466</v>
      </c>
      <c r="W309" s="454">
        <f t="shared" ca="1" si="327"/>
        <v>133.47071852427359</v>
      </c>
      <c r="X309" s="454"/>
      <c r="Y309" s="454"/>
      <c r="Z309" s="454"/>
      <c r="AA309" s="454"/>
      <c r="AB309" s="454"/>
      <c r="AC309" s="454"/>
      <c r="AD309" s="454"/>
      <c r="AE309" s="454"/>
      <c r="AF309" s="454"/>
      <c r="AH309" s="463" t="s">
        <v>7450</v>
      </c>
    </row>
    <row r="310" spans="2:34">
      <c r="B310" s="478" t="s">
        <v>150</v>
      </c>
      <c r="J310" s="454"/>
      <c r="K310" s="454">
        <f t="shared" ref="K310:Q310" si="328">K308-K309</f>
        <v>681</v>
      </c>
      <c r="L310" s="454">
        <f t="shared" si="328"/>
        <v>591.22614173228351</v>
      </c>
      <c r="M310" s="454">
        <f t="shared" si="328"/>
        <v>766</v>
      </c>
      <c r="N310" s="454">
        <f t="shared" si="328"/>
        <v>937</v>
      </c>
      <c r="O310" s="454">
        <f>O308-O309</f>
        <v>837</v>
      </c>
      <c r="P310" s="454">
        <f t="shared" si="328"/>
        <v>613</v>
      </c>
      <c r="Q310" s="454">
        <f t="shared" si="328"/>
        <v>918</v>
      </c>
      <c r="R310" s="535">
        <v>880</v>
      </c>
      <c r="S310" s="454">
        <f ca="1">S308-S309</f>
        <v>891.24312328999451</v>
      </c>
      <c r="T310" s="454">
        <f ca="1">T308-T309</f>
        <v>901.1507949749996</v>
      </c>
      <c r="U310" s="454">
        <f>U308-U309</f>
        <v>560</v>
      </c>
      <c r="V310" s="454">
        <f ca="1">V308-V309</f>
        <v>552.43596925315535</v>
      </c>
      <c r="W310" s="454">
        <f ca="1">W308-W309</f>
        <v>541.2616814757265</v>
      </c>
      <c r="X310" s="454"/>
      <c r="Y310" s="454"/>
      <c r="Z310" s="454"/>
      <c r="AA310" s="454"/>
      <c r="AB310" s="454"/>
      <c r="AC310" s="454"/>
      <c r="AD310" s="454"/>
      <c r="AE310" s="454"/>
      <c r="AF310" s="454"/>
    </row>
    <row r="311" spans="2:34">
      <c r="B311" s="478" t="s">
        <v>3054</v>
      </c>
      <c r="J311" s="454"/>
      <c r="K311" s="468">
        <f t="shared" ref="K311:V311" ca="1" si="329">K310/K282</f>
        <v>1.0053298932048182</v>
      </c>
      <c r="L311" s="468">
        <f t="shared" si="329"/>
        <v>1.0846195959131966</v>
      </c>
      <c r="M311" s="468">
        <f t="shared" si="329"/>
        <v>1.5826446280991735</v>
      </c>
      <c r="N311" s="468">
        <f t="shared" si="329"/>
        <v>1.9978678038379531</v>
      </c>
      <c r="O311" s="468">
        <f t="shared" si="329"/>
        <v>1.6943319838056681</v>
      </c>
      <c r="P311" s="468">
        <f t="shared" si="329"/>
        <v>1.1949317738791423</v>
      </c>
      <c r="Q311" s="468">
        <f t="shared" si="329"/>
        <v>2.0087527352297592</v>
      </c>
      <c r="R311" s="468">
        <f t="shared" si="329"/>
        <v>1.9954648526077097</v>
      </c>
      <c r="S311" s="468">
        <f t="shared" ca="1" si="329"/>
        <v>1.9418448853510373</v>
      </c>
      <c r="T311" s="468">
        <f t="shared" ca="1" si="329"/>
        <v>1.9032762443611351</v>
      </c>
      <c r="U311" s="468">
        <f t="shared" ca="1" si="329"/>
        <v>1.1452627286378032</v>
      </c>
      <c r="V311" s="468">
        <f t="shared" ca="1" si="329"/>
        <v>1.0938697406167228</v>
      </c>
      <c r="W311" s="468">
        <f t="shared" ref="W311" ca="1" si="330">W310/W282</f>
        <v>1.0516402034775003</v>
      </c>
      <c r="X311" s="468"/>
      <c r="Y311" s="468"/>
      <c r="Z311" s="468"/>
      <c r="AA311" s="468"/>
      <c r="AB311" s="468"/>
      <c r="AC311" s="468"/>
      <c r="AD311" s="468"/>
      <c r="AE311" s="468"/>
      <c r="AF311" s="468"/>
    </row>
    <row r="312" spans="2:34">
      <c r="B312" s="478"/>
    </row>
    <row r="313" spans="2:34">
      <c r="B313" s="478" t="s">
        <v>5540</v>
      </c>
      <c r="K313" s="454">
        <f ca="1">0.5*K285*K34</f>
        <v>544658.79393845203</v>
      </c>
      <c r="L313" s="454">
        <f t="shared" ref="L313:V313" ca="1" si="331">0.5*L285*L34</f>
        <v>591281.26997183834</v>
      </c>
      <c r="M313" s="454">
        <f t="shared" ca="1" si="331"/>
        <v>496855.54973647918</v>
      </c>
      <c r="N313" s="454">
        <f t="shared" si="331"/>
        <v>437499.99999999994</v>
      </c>
      <c r="O313" s="454">
        <f t="shared" si="331"/>
        <v>449499.99999999994</v>
      </c>
      <c r="P313" s="454">
        <f t="shared" ca="1" si="331"/>
        <v>469014.29288403894</v>
      </c>
      <c r="Q313" s="454">
        <f t="shared" ca="1" si="331"/>
        <v>431502.43778526713</v>
      </c>
      <c r="R313" s="454">
        <f t="shared" ca="1" si="331"/>
        <v>487952.29831382743</v>
      </c>
      <c r="S313" s="454">
        <f t="shared" ca="1" si="331"/>
        <v>468302.81127853261</v>
      </c>
      <c r="T313" s="454">
        <f t="shared" ca="1" si="331"/>
        <v>458446.03249516286</v>
      </c>
      <c r="U313" s="454">
        <f t="shared" ca="1" si="331"/>
        <v>479524.1323716644</v>
      </c>
      <c r="V313" s="454">
        <f t="shared" ca="1" si="331"/>
        <v>501732.85382162465</v>
      </c>
      <c r="W313" s="454">
        <f t="shared" ref="W313" ca="1" si="332">0.5*W285*W34</f>
        <v>525167.55586467555</v>
      </c>
      <c r="X313" s="454"/>
      <c r="Y313" s="454"/>
      <c r="Z313" s="454"/>
      <c r="AA313" s="454"/>
      <c r="AB313" s="454"/>
      <c r="AC313" s="454"/>
      <c r="AD313" s="454"/>
      <c r="AE313" s="454"/>
      <c r="AF313" s="454"/>
    </row>
    <row r="314" spans="2:34">
      <c r="B314" s="478"/>
    </row>
    <row r="315" spans="2:34">
      <c r="B315" s="450" t="s">
        <v>3014</v>
      </c>
    </row>
    <row r="316" spans="2:34">
      <c r="B316" s="478" t="s">
        <v>2927</v>
      </c>
      <c r="I316">
        <v>-93.4</v>
      </c>
    </row>
    <row r="317" spans="2:34">
      <c r="B317" s="478" t="s">
        <v>2928</v>
      </c>
      <c r="I317">
        <v>-66.7</v>
      </c>
    </row>
    <row r="318" spans="2:34">
      <c r="B318" s="478" t="s">
        <v>2929</v>
      </c>
      <c r="I318">
        <v>-64.400000000000006</v>
      </c>
    </row>
    <row r="319" spans="2:34">
      <c r="B319" s="487" t="s">
        <v>2930</v>
      </c>
      <c r="H319" s="455"/>
      <c r="I319" s="455">
        <v>-16.600000000000001</v>
      </c>
      <c r="J319" s="455"/>
      <c r="K319" s="455"/>
      <c r="L319" s="455"/>
      <c r="M319" s="455"/>
      <c r="N319" s="455"/>
      <c r="O319" s="455"/>
      <c r="P319" s="455"/>
      <c r="Q319" s="455"/>
      <c r="R319" s="455"/>
      <c r="S319" s="455"/>
      <c r="T319" s="455"/>
      <c r="U319" s="455"/>
      <c r="V319" s="455"/>
      <c r="W319" s="455"/>
    </row>
    <row r="320" spans="2:34">
      <c r="B320" s="478" t="s">
        <v>2932</v>
      </c>
      <c r="I320">
        <f>SUM(I316:I319)</f>
        <v>-241.10000000000002</v>
      </c>
    </row>
    <row r="321" spans="2:32">
      <c r="B321" s="478" t="s">
        <v>2931</v>
      </c>
      <c r="I321">
        <f>Colombia!I235</f>
        <v>-81</v>
      </c>
    </row>
    <row r="323" spans="2:32" ht="15.75" thickBot="1">
      <c r="B323" s="654" t="s">
        <v>2103</v>
      </c>
      <c r="H323" s="655">
        <f>Colombia!H249-H320-H321</f>
        <v>-4.63</v>
      </c>
      <c r="I323" s="655">
        <f>Colombia!I249-I320-I321</f>
        <v>234.38000000000002</v>
      </c>
      <c r="J323" s="655">
        <f>Colombia!J249-J320-J321</f>
        <v>-62.505999999999972</v>
      </c>
      <c r="K323" s="655">
        <f ca="1">Colombia!K249-K320-K321</f>
        <v>93.124549648325242</v>
      </c>
      <c r="L323" s="655">
        <f>Colombia!L249-L320-L321</f>
        <v>80.937619069329827</v>
      </c>
      <c r="M323" s="655">
        <f ca="1">Colombia!M249-M320-M321</f>
        <v>78.872502853317883</v>
      </c>
      <c r="N323" s="655">
        <f>Colombia!N249-N320-N321</f>
        <v>52.540774088925332</v>
      </c>
      <c r="O323" s="655">
        <f>Colombia!O249-O320-O321</f>
        <v>106.67204314364477</v>
      </c>
      <c r="P323" s="655">
        <f>Colombia!P249-P320-P321</f>
        <v>199.47863271790737</v>
      </c>
      <c r="Q323" s="655">
        <f ca="1">Colombia!Q249-Q320-Q321</f>
        <v>176.86834234449395</v>
      </c>
      <c r="R323" s="655">
        <f ca="1">Colombia!R249-R320-R321</f>
        <v>155.58758893284434</v>
      </c>
      <c r="S323" s="655">
        <f ca="1">Colombia!S249-S320-S321</f>
        <v>212.88168501933643</v>
      </c>
      <c r="T323" s="655">
        <f ca="1">Colombia!T249-T320-T321</f>
        <v>227.43661761774854</v>
      </c>
      <c r="U323" s="655">
        <f ca="1">Colombia!U249-U320-U321</f>
        <v>263.24254070694042</v>
      </c>
      <c r="V323" s="655">
        <f ca="1">Colombia!V249-V320-V321</f>
        <v>301.56951915598364</v>
      </c>
      <c r="W323" s="655">
        <f ca="1">Colombia!W249-W320-W321</f>
        <v>342.66073697294678</v>
      </c>
      <c r="X323" s="454"/>
      <c r="Y323" s="454"/>
      <c r="Z323" s="454"/>
      <c r="AA323" s="454"/>
      <c r="AB323" s="454"/>
      <c r="AC323" s="454"/>
      <c r="AD323" s="454"/>
      <c r="AE323" s="454"/>
      <c r="AF323" s="454"/>
    </row>
    <row r="324" spans="2:32" ht="15.75" thickTop="1"/>
    <row r="325" spans="2:32">
      <c r="B325" s="11" t="s">
        <v>957</v>
      </c>
      <c r="C325" s="11">
        <v>-15</v>
      </c>
      <c r="D325" s="11">
        <f t="shared" ref="D325:W325" si="333">C325+1</f>
        <v>-14</v>
      </c>
      <c r="E325" s="11">
        <f t="shared" si="333"/>
        <v>-13</v>
      </c>
      <c r="F325" s="11">
        <f t="shared" si="333"/>
        <v>-12</v>
      </c>
      <c r="G325" s="11">
        <f t="shared" si="333"/>
        <v>-11</v>
      </c>
      <c r="H325" s="11">
        <f t="shared" si="333"/>
        <v>-10</v>
      </c>
      <c r="I325" s="11">
        <f t="shared" si="333"/>
        <v>-9</v>
      </c>
      <c r="J325" s="11">
        <f t="shared" si="333"/>
        <v>-8</v>
      </c>
      <c r="K325" s="11">
        <f t="shared" si="333"/>
        <v>-7</v>
      </c>
      <c r="L325" s="11">
        <f t="shared" si="333"/>
        <v>-6</v>
      </c>
      <c r="M325" s="11">
        <f t="shared" si="333"/>
        <v>-5</v>
      </c>
      <c r="N325" s="11">
        <f t="shared" si="333"/>
        <v>-4</v>
      </c>
      <c r="O325" s="11">
        <f t="shared" si="333"/>
        <v>-3</v>
      </c>
      <c r="P325" s="11">
        <f t="shared" si="333"/>
        <v>-2</v>
      </c>
      <c r="Q325" s="11">
        <f t="shared" si="333"/>
        <v>-1</v>
      </c>
      <c r="R325" s="11">
        <f t="shared" si="333"/>
        <v>0</v>
      </c>
      <c r="S325" s="11">
        <f t="shared" si="333"/>
        <v>1</v>
      </c>
      <c r="T325" s="11">
        <f t="shared" si="333"/>
        <v>2</v>
      </c>
      <c r="U325" s="11">
        <f t="shared" si="333"/>
        <v>3</v>
      </c>
      <c r="V325" s="11">
        <f t="shared" si="333"/>
        <v>4</v>
      </c>
      <c r="W325" s="11">
        <f t="shared" si="333"/>
        <v>5</v>
      </c>
      <c r="X325" s="21"/>
      <c r="Y325" s="21"/>
      <c r="Z325" s="21"/>
      <c r="AA325" s="21"/>
      <c r="AB325" s="21"/>
      <c r="AC325" s="21"/>
      <c r="AD325" s="21"/>
      <c r="AE325" s="21"/>
      <c r="AF325" s="21"/>
    </row>
    <row r="326" spans="2:32">
      <c r="B326" s="21" t="s">
        <v>1936</v>
      </c>
      <c r="C326" s="21"/>
      <c r="D326" s="9"/>
      <c r="E326" s="9"/>
      <c r="F326" s="9"/>
      <c r="G326" s="9"/>
      <c r="H326" s="9"/>
      <c r="I326" s="9"/>
      <c r="J326" s="9"/>
      <c r="K326" s="9">
        <f t="shared" ref="K326:V326" ca="1" si="334">IF(K258&gt;0, K258*(1-$C$94), K258)</f>
        <v>46.769750098817241</v>
      </c>
      <c r="L326" s="9">
        <f t="shared" si="334"/>
        <v>30.342466127770511</v>
      </c>
      <c r="M326" s="9">
        <f t="shared" ca="1" si="334"/>
        <v>67.732273124856249</v>
      </c>
      <c r="N326" s="9">
        <f t="shared" ca="1" si="334"/>
        <v>62.683308825261484</v>
      </c>
      <c r="O326" s="9">
        <f t="shared" ca="1" si="334"/>
        <v>88.388985673898532</v>
      </c>
      <c r="P326" s="9">
        <f t="shared" ca="1" si="334"/>
        <v>80.062175362689246</v>
      </c>
      <c r="Q326" s="9">
        <f ca="1">IF(Q258&gt;0, Q258*(1-$C$94), Q258)</f>
        <v>64.909578224380624</v>
      </c>
      <c r="R326" s="9">
        <f t="shared" ca="1" si="334"/>
        <v>54.957420343624577</v>
      </c>
      <c r="S326" s="9">
        <f t="shared" ca="1" si="334"/>
        <v>79.294228932464378</v>
      </c>
      <c r="T326" s="9">
        <f t="shared" ca="1" si="334"/>
        <v>87.465065940706168</v>
      </c>
      <c r="U326" s="9">
        <f t="shared" ca="1" si="334"/>
        <v>89.560766435942412</v>
      </c>
      <c r="V326" s="9">
        <f t="shared" ca="1" si="334"/>
        <v>91.795003179550889</v>
      </c>
      <c r="W326" s="9">
        <f t="shared" ref="W326" ca="1" si="335">IF(W258&gt;0, W258*(1-$C$94), W258)</f>
        <v>94.178575282171565</v>
      </c>
      <c r="X326" s="9"/>
      <c r="Y326" s="9"/>
      <c r="Z326" s="9"/>
      <c r="AA326" s="9"/>
      <c r="AB326" s="9"/>
      <c r="AC326" s="9"/>
      <c r="AD326" s="9"/>
      <c r="AE326" s="9"/>
      <c r="AF326" s="9"/>
    </row>
    <row r="327" spans="2:32">
      <c r="B327" s="21" t="s">
        <v>1937</v>
      </c>
      <c r="C327" s="21"/>
      <c r="D327" s="172"/>
      <c r="E327" s="172"/>
      <c r="F327" s="172"/>
      <c r="G327" s="172"/>
      <c r="H327" s="172"/>
      <c r="I327" s="172"/>
      <c r="J327" s="172"/>
      <c r="K327" s="172"/>
      <c r="L327" s="172">
        <f t="shared" ref="L327:Q327" si="336">1/((1+$C$92)^L325)</f>
        <v>1.6248925604690794</v>
      </c>
      <c r="M327" s="172">
        <f t="shared" si="336"/>
        <v>1.4986051080165266</v>
      </c>
      <c r="N327" s="172">
        <f t="shared" si="336"/>
        <v>1.3821327787511657</v>
      </c>
      <c r="O327" s="172">
        <f t="shared" si="336"/>
        <v>1.2747127364504833</v>
      </c>
      <c r="P327" s="172">
        <f t="shared" si="336"/>
        <v>1.1756414329000002</v>
      </c>
      <c r="Q327" s="172">
        <f t="shared" si="336"/>
        <v>1.0842700000000001</v>
      </c>
      <c r="R327" s="172">
        <f t="shared" ref="R327:W327" si="337">1/((1+$C$92)^R325)</f>
        <v>1</v>
      </c>
      <c r="S327" s="172">
        <f t="shared" si="337"/>
        <v>0.92227950602709652</v>
      </c>
      <c r="T327" s="172">
        <f t="shared" si="337"/>
        <v>0.85059948723758505</v>
      </c>
      <c r="U327" s="172">
        <f t="shared" si="337"/>
        <v>0.78449047491638157</v>
      </c>
      <c r="V327" s="172">
        <f t="shared" si="337"/>
        <v>0.72351948768884267</v>
      </c>
      <c r="W327" s="172">
        <f t="shared" si="337"/>
        <v>0.66728719570664374</v>
      </c>
      <c r="X327" s="172"/>
      <c r="Y327" s="172"/>
      <c r="Z327" s="172"/>
      <c r="AA327" s="172"/>
      <c r="AB327" s="172"/>
      <c r="AC327" s="172"/>
      <c r="AD327" s="172"/>
      <c r="AE327" s="172"/>
      <c r="AF327" s="172"/>
    </row>
    <row r="328" spans="2:32">
      <c r="B328" s="21" t="s">
        <v>958</v>
      </c>
      <c r="C328" s="21"/>
      <c r="D328" s="9"/>
      <c r="E328" s="9"/>
      <c r="F328" s="9"/>
      <c r="G328" s="9"/>
      <c r="H328" s="9"/>
      <c r="I328" s="9"/>
      <c r="J328" s="9"/>
      <c r="K328" s="9"/>
      <c r="L328" s="9">
        <f t="shared" ref="L328:Q328" si="338">L326*L327</f>
        <v>49.303247477299337</v>
      </c>
      <c r="M328" s="9">
        <f t="shared" ca="1" si="338"/>
        <v>101.50393048248007</v>
      </c>
      <c r="N328" s="9">
        <f t="shared" ca="1" si="338"/>
        <v>86.636655807976126</v>
      </c>
      <c r="O328" s="9">
        <f t="shared" ca="1" si="338"/>
        <v>112.67056580045777</v>
      </c>
      <c r="P328" s="9">
        <f t="shared" ca="1" si="338"/>
        <v>94.124410564483085</v>
      </c>
      <c r="Q328" s="9">
        <f t="shared" ca="1" si="338"/>
        <v>70.379508381349183</v>
      </c>
      <c r="R328" s="9">
        <f t="shared" ref="R328:W328" ca="1" si="339">R326*R327</f>
        <v>54.957420343624577</v>
      </c>
      <c r="S328" s="9">
        <f t="shared" ca="1" si="339"/>
        <v>73.131442290632748</v>
      </c>
      <c r="T328" s="9">
        <f t="shared" ca="1" si="339"/>
        <v>74.397740240366232</v>
      </c>
      <c r="U328" s="9">
        <f t="shared" ca="1" si="339"/>
        <v>70.259568195207592</v>
      </c>
      <c r="V328" s="9">
        <f t="shared" ca="1" si="339"/>
        <v>66.415473672864337</v>
      </c>
      <c r="W328" s="9">
        <f t="shared" ca="1" si="339"/>
        <v>62.844157395687297</v>
      </c>
      <c r="X328" s="9"/>
      <c r="Y328" s="9"/>
      <c r="Z328" s="9"/>
      <c r="AA328" s="9"/>
      <c r="AB328" s="9"/>
      <c r="AC328" s="9"/>
      <c r="AD328" s="9"/>
      <c r="AE328" s="9"/>
      <c r="AF328" s="9"/>
    </row>
    <row r="329" spans="2:32">
      <c r="B329" s="21" t="s">
        <v>1604</v>
      </c>
      <c r="C329" s="21"/>
      <c r="D329" s="9">
        <f ca="1">SUM(S328:V328)</f>
        <v>284.20422439907088</v>
      </c>
      <c r="E329" s="21"/>
      <c r="F329" s="21" t="s">
        <v>1823</v>
      </c>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row>
    <row r="330" spans="2:32">
      <c r="B330" s="4" t="s">
        <v>246</v>
      </c>
      <c r="C330" s="21"/>
      <c r="D330" s="991">
        <v>0.03</v>
      </c>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row>
    <row r="331" spans="2:32">
      <c r="B331" s="21" t="s">
        <v>242</v>
      </c>
      <c r="C331" s="21"/>
      <c r="D331" s="9">
        <f>1/(C92-D330)</f>
        <v>18.426386585590567</v>
      </c>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row>
    <row r="332" spans="2:32">
      <c r="B332" s="21" t="s">
        <v>243</v>
      </c>
      <c r="C332" s="21"/>
      <c r="D332" s="9">
        <f ca="1">D331*V326*(1-$C$94)</f>
        <v>1184.0151506483439</v>
      </c>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row>
    <row r="333" spans="2:32">
      <c r="B333" s="21" t="s">
        <v>244</v>
      </c>
      <c r="C333" s="21"/>
      <c r="D333" s="9">
        <f ca="1">D332*V327</f>
        <v>856.65803521291764</v>
      </c>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row>
    <row r="334" spans="2:32">
      <c r="B334" s="4" t="s">
        <v>2516</v>
      </c>
      <c r="C334" s="21"/>
      <c r="D334" s="517">
        <v>0</v>
      </c>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row>
    <row r="335" spans="2:32">
      <c r="B335" s="2" t="s">
        <v>245</v>
      </c>
      <c r="C335" s="21"/>
      <c r="D335" s="10">
        <f ca="1">D329+D333+D334</f>
        <v>1140.8622596119885</v>
      </c>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row>
    <row r="337" spans="2:32">
      <c r="B337" s="451" t="s">
        <v>3400</v>
      </c>
      <c r="C337" s="451">
        <f>D337-1</f>
        <v>2006</v>
      </c>
      <c r="D337" s="451">
        <f>E337-1</f>
        <v>2007</v>
      </c>
      <c r="E337" s="451">
        <f>F337-1</f>
        <v>2008</v>
      </c>
      <c r="F337" s="451">
        <f>G337-1</f>
        <v>2009</v>
      </c>
      <c r="G337" s="451">
        <f>H337-1</f>
        <v>2010</v>
      </c>
      <c r="H337" s="451">
        <f t="shared" ref="H337:V337" si="340">H180</f>
        <v>2011</v>
      </c>
      <c r="I337" s="451">
        <f t="shared" si="340"/>
        <v>2012</v>
      </c>
      <c r="J337" s="451">
        <f t="shared" si="340"/>
        <v>2013</v>
      </c>
      <c r="K337" s="451">
        <f t="shared" si="340"/>
        <v>2014</v>
      </c>
      <c r="L337" s="451">
        <f t="shared" si="340"/>
        <v>2015</v>
      </c>
      <c r="M337" s="451">
        <f t="shared" si="340"/>
        <v>2016</v>
      </c>
      <c r="N337" s="451">
        <f t="shared" si="340"/>
        <v>2017</v>
      </c>
      <c r="O337" s="451">
        <f t="shared" si="340"/>
        <v>2018</v>
      </c>
      <c r="P337" s="451">
        <f t="shared" si="340"/>
        <v>2019</v>
      </c>
      <c r="Q337" s="451">
        <f t="shared" si="340"/>
        <v>2020</v>
      </c>
      <c r="R337" s="451">
        <f t="shared" si="340"/>
        <v>2021</v>
      </c>
      <c r="S337" s="451">
        <f t="shared" si="340"/>
        <v>2022</v>
      </c>
      <c r="T337" s="451">
        <f t="shared" si="340"/>
        <v>2023</v>
      </c>
      <c r="U337" s="451">
        <f t="shared" si="340"/>
        <v>2024</v>
      </c>
      <c r="V337" s="451">
        <f t="shared" si="340"/>
        <v>2025</v>
      </c>
      <c r="W337" s="451">
        <f t="shared" ref="W337" si="341">W180</f>
        <v>2026</v>
      </c>
      <c r="X337" s="450"/>
      <c r="Y337" s="450"/>
      <c r="Z337" s="450"/>
      <c r="AA337" s="450"/>
      <c r="AB337" s="450"/>
      <c r="AC337" s="450"/>
      <c r="AD337" s="450"/>
      <c r="AE337" s="450"/>
      <c r="AF337" s="450"/>
    </row>
    <row r="338" spans="2:32">
      <c r="B338" s="478" t="s">
        <v>392</v>
      </c>
      <c r="J338" s="454">
        <f t="shared" ref="J338:V338" si="342">J70+J244</f>
        <v>-68.319999999999965</v>
      </c>
      <c r="K338" s="454">
        <f t="shared" ca="1" si="342"/>
        <v>128.17265228934059</v>
      </c>
      <c r="L338" s="454">
        <f t="shared" si="342"/>
        <v>109.39409272149322</v>
      </c>
      <c r="M338" s="454">
        <f t="shared" ca="1" si="342"/>
        <v>102.22636254729548</v>
      </c>
      <c r="N338" s="454">
        <f t="shared" si="342"/>
        <v>72.973297345729634</v>
      </c>
      <c r="O338" s="454">
        <f t="shared" si="342"/>
        <v>203.63822638289179</v>
      </c>
      <c r="P338" s="454">
        <f t="shared" si="342"/>
        <v>382.94994081977575</v>
      </c>
      <c r="Q338" s="454">
        <f t="shared" ca="1" si="342"/>
        <v>369.34618688660748</v>
      </c>
      <c r="R338" s="454">
        <f t="shared" ca="1" si="342"/>
        <v>329.60037575523768</v>
      </c>
      <c r="S338" s="454">
        <f t="shared" ca="1" si="342"/>
        <v>360.75891047033434</v>
      </c>
      <c r="T338" s="454">
        <f t="shared" ca="1" si="342"/>
        <v>395.4811412599833</v>
      </c>
      <c r="U338" s="454">
        <f t="shared" ca="1" si="342"/>
        <v>453.44313862278517</v>
      </c>
      <c r="V338" s="454">
        <f t="shared" ca="1" si="342"/>
        <v>515.13933095165203</v>
      </c>
      <c r="W338" s="454">
        <f t="shared" ref="W338" ca="1" si="343">W70+W244</f>
        <v>573.90823297195163</v>
      </c>
      <c r="X338" s="454"/>
      <c r="Y338" s="454"/>
      <c r="Z338" s="454"/>
      <c r="AA338" s="454"/>
      <c r="AB338" s="454"/>
      <c r="AC338" s="454"/>
      <c r="AD338" s="454"/>
      <c r="AE338" s="454"/>
      <c r="AF338" s="454"/>
    </row>
    <row r="339" spans="2:32">
      <c r="B339" s="478" t="s">
        <v>3401</v>
      </c>
      <c r="J339" s="454">
        <f t="shared" ref="J339:W339" si="344">SUM(F62:J62)+SUM(F253:J253)</f>
        <v>2474.5890382825251</v>
      </c>
      <c r="K339" s="454">
        <f t="shared" ca="1" si="344"/>
        <v>2987.9245318769044</v>
      </c>
      <c r="L339" s="454">
        <f t="shared" ca="1" si="344"/>
        <v>3464.9925773465261</v>
      </c>
      <c r="M339" s="454">
        <f t="shared" ca="1" si="344"/>
        <v>3742.8151180626819</v>
      </c>
      <c r="N339" s="454">
        <f t="shared" ca="1" si="344"/>
        <v>3942.8249131161024</v>
      </c>
      <c r="O339" s="454">
        <f t="shared" ca="1" si="344"/>
        <v>3810.9366801444448</v>
      </c>
      <c r="P339" s="454">
        <f t="shared" ca="1" si="344"/>
        <v>3661.8202265388613</v>
      </c>
      <c r="Q339" s="454">
        <f t="shared" ca="1" si="344"/>
        <v>3427.1987648334953</v>
      </c>
      <c r="R339" s="454">
        <f t="shared" ca="1" si="344"/>
        <v>3406.2994156735581</v>
      </c>
      <c r="S339" s="454">
        <f t="shared" ca="1" si="344"/>
        <v>3347.7204119782759</v>
      </c>
      <c r="T339" s="454">
        <f t="shared" ca="1" si="344"/>
        <v>3386.6218610862779</v>
      </c>
      <c r="U339" s="454">
        <f t="shared" ca="1" si="344"/>
        <v>3336.794995867283</v>
      </c>
      <c r="V339" s="454">
        <f t="shared" ca="1" si="344"/>
        <v>3349.0604962218245</v>
      </c>
      <c r="W339" s="454">
        <f t="shared" ca="1" si="344"/>
        <v>3339.5872475715623</v>
      </c>
      <c r="X339" s="454"/>
      <c r="Y339" s="454"/>
      <c r="Z339" s="454"/>
      <c r="AA339" s="454"/>
      <c r="AB339" s="454"/>
      <c r="AC339" s="454"/>
      <c r="AD339" s="454"/>
      <c r="AE339" s="454"/>
      <c r="AF339" s="454"/>
    </row>
    <row r="340" spans="2:32">
      <c r="B340" s="478" t="s">
        <v>3405</v>
      </c>
      <c r="J340" s="456">
        <f>J338/J339</f>
        <v>-2.7608624681946012E-2</v>
      </c>
      <c r="K340" s="456">
        <f t="shared" ref="K340:Q340" ca="1" si="345">K338/K339</f>
        <v>4.2896884081883836E-2</v>
      </c>
      <c r="L340" s="456">
        <f t="shared" ca="1" si="345"/>
        <v>3.1571234361854439E-2</v>
      </c>
      <c r="M340" s="456">
        <f t="shared" ca="1" si="345"/>
        <v>2.7312693607000511E-2</v>
      </c>
      <c r="N340" s="456">
        <f t="shared" ca="1" si="345"/>
        <v>1.8507871628531739E-2</v>
      </c>
      <c r="O340" s="456">
        <f t="shared" ca="1" si="345"/>
        <v>5.3435216450558647E-2</v>
      </c>
      <c r="P340" s="456">
        <f t="shared" ca="1" si="345"/>
        <v>0.10457912107327524</v>
      </c>
      <c r="Q340" s="456">
        <f t="shared" ca="1" si="345"/>
        <v>0.10776911764688721</v>
      </c>
      <c r="R340" s="456">
        <f t="shared" ref="R340:W340" ca="1" si="346">R338/R339</f>
        <v>9.6762009305063637E-2</v>
      </c>
      <c r="S340" s="456">
        <f t="shared" ca="1" si="346"/>
        <v>0.10776255662794441</v>
      </c>
      <c r="T340" s="456">
        <f t="shared" ca="1" si="346"/>
        <v>0.11677747250268163</v>
      </c>
      <c r="U340" s="456">
        <f t="shared" ca="1" si="346"/>
        <v>0.13589181810221712</v>
      </c>
      <c r="V340" s="456">
        <f t="shared" ca="1" si="346"/>
        <v>0.15381607215898194</v>
      </c>
      <c r="W340" s="456">
        <f t="shared" ca="1" si="346"/>
        <v>0.17185004925063083</v>
      </c>
      <c r="X340" s="456"/>
      <c r="Y340" s="456"/>
      <c r="Z340" s="456"/>
      <c r="AA340" s="456"/>
      <c r="AB340" s="456"/>
      <c r="AC340" s="456"/>
      <c r="AD340" s="456"/>
      <c r="AE340" s="456"/>
      <c r="AF340" s="456"/>
    </row>
    <row r="341" spans="2:32">
      <c r="B341" s="478" t="s">
        <v>3403</v>
      </c>
      <c r="F341" s="456">
        <f>G341</f>
        <v>8.4269999999999998E-2</v>
      </c>
      <c r="G341" s="456">
        <f>H341</f>
        <v>8.4269999999999998E-2</v>
      </c>
      <c r="H341" s="456">
        <f>I341</f>
        <v>8.4269999999999998E-2</v>
      </c>
      <c r="I341" s="456">
        <f>J341</f>
        <v>8.4269999999999998E-2</v>
      </c>
      <c r="J341" s="456">
        <f>SOP!$O$232</f>
        <v>8.4269999999999998E-2</v>
      </c>
      <c r="K341" s="509">
        <f>J341</f>
        <v>8.4269999999999998E-2</v>
      </c>
      <c r="L341" s="509">
        <f t="shared" ref="L341:W341" si="347">K341</f>
        <v>8.4269999999999998E-2</v>
      </c>
      <c r="M341" s="509">
        <f t="shared" si="347"/>
        <v>8.4269999999999998E-2</v>
      </c>
      <c r="N341" s="509">
        <f t="shared" si="347"/>
        <v>8.4269999999999998E-2</v>
      </c>
      <c r="O341" s="509">
        <f t="shared" si="347"/>
        <v>8.4269999999999998E-2</v>
      </c>
      <c r="P341" s="509">
        <f t="shared" si="347"/>
        <v>8.4269999999999998E-2</v>
      </c>
      <c r="Q341" s="509">
        <f t="shared" si="347"/>
        <v>8.4269999999999998E-2</v>
      </c>
      <c r="R341" s="509">
        <f t="shared" si="347"/>
        <v>8.4269999999999998E-2</v>
      </c>
      <c r="S341" s="509">
        <f t="shared" si="347"/>
        <v>8.4269999999999998E-2</v>
      </c>
      <c r="T341" s="509">
        <f t="shared" si="347"/>
        <v>8.4269999999999998E-2</v>
      </c>
      <c r="U341" s="509">
        <f t="shared" si="347"/>
        <v>8.4269999999999998E-2</v>
      </c>
      <c r="V341" s="509">
        <f t="shared" si="347"/>
        <v>8.4269999999999998E-2</v>
      </c>
      <c r="W341" s="509">
        <f t="shared" si="347"/>
        <v>8.4269999999999998E-2</v>
      </c>
      <c r="X341" s="509"/>
      <c r="Y341" s="509"/>
      <c r="Z341" s="509"/>
      <c r="AA341" s="509"/>
      <c r="AB341" s="509"/>
      <c r="AC341" s="509"/>
      <c r="AD341" s="509"/>
      <c r="AE341" s="509"/>
      <c r="AF341" s="509"/>
    </row>
    <row r="342" spans="2:32">
      <c r="B342" s="478" t="s">
        <v>3404</v>
      </c>
    </row>
    <row r="351" spans="2:32">
      <c r="B351" s="478"/>
    </row>
    <row r="352" spans="2:32">
      <c r="B352" s="478"/>
    </row>
    <row r="353" spans="2:14">
      <c r="B353" s="450" t="s">
        <v>2705</v>
      </c>
    </row>
    <row r="354" spans="2:14">
      <c r="B354" s="478" t="s">
        <v>2980</v>
      </c>
    </row>
    <row r="356" spans="2:14">
      <c r="B356" s="450" t="s">
        <v>2987</v>
      </c>
      <c r="D356" s="599" t="s">
        <v>798</v>
      </c>
      <c r="E356" s="599" t="s">
        <v>360</v>
      </c>
      <c r="F356" s="599" t="s">
        <v>2989</v>
      </c>
    </row>
    <row r="357" spans="2:14">
      <c r="B357" s="478" t="s">
        <v>2981</v>
      </c>
      <c r="C357" s="449">
        <v>0.56140000000000001</v>
      </c>
      <c r="D357" s="454">
        <v>183.38800000000001</v>
      </c>
      <c r="E357">
        <v>59</v>
      </c>
      <c r="F357" s="454">
        <v>-7.43</v>
      </c>
      <c r="G357" s="478" t="s">
        <v>2996</v>
      </c>
      <c r="J357" t="s">
        <v>3030</v>
      </c>
    </row>
    <row r="358" spans="2:14">
      <c r="B358" s="478" t="s">
        <v>2982</v>
      </c>
      <c r="C358" s="449">
        <v>0.56000000000000005</v>
      </c>
      <c r="D358" s="454">
        <v>101.64</v>
      </c>
      <c r="E358" s="454">
        <v>37.249000000000002</v>
      </c>
      <c r="F358" s="454">
        <v>10.942</v>
      </c>
      <c r="G358" s="478" t="s">
        <v>3029</v>
      </c>
      <c r="J358" t="s">
        <v>3030</v>
      </c>
    </row>
    <row r="359" spans="2:14">
      <c r="B359" s="478" t="s">
        <v>2983</v>
      </c>
      <c r="C359" s="449">
        <v>0.999</v>
      </c>
      <c r="D359" s="454">
        <v>158.64599999999999</v>
      </c>
      <c r="E359" s="454">
        <v>18.399999999999999</v>
      </c>
      <c r="F359" s="454">
        <v>7.9130000000000003</v>
      </c>
      <c r="G359" s="478" t="s">
        <v>2995</v>
      </c>
    </row>
    <row r="360" spans="2:14">
      <c r="B360" s="478" t="s">
        <v>2984</v>
      </c>
      <c r="C360" s="449">
        <v>0.99990000000000001</v>
      </c>
    </row>
    <row r="361" spans="2:14">
      <c r="B361" s="478" t="s">
        <v>2985</v>
      </c>
      <c r="C361" s="449">
        <v>1</v>
      </c>
      <c r="G361" s="478" t="s">
        <v>2998</v>
      </c>
    </row>
    <row r="362" spans="2:14">
      <c r="B362" s="478" t="s">
        <v>2986</v>
      </c>
      <c r="C362" s="449">
        <v>1</v>
      </c>
      <c r="G362" s="478" t="s">
        <v>2998</v>
      </c>
    </row>
    <row r="365" spans="2:14">
      <c r="B365" s="671" t="s">
        <v>2972</v>
      </c>
    </row>
    <row r="366" spans="2:14">
      <c r="B366" s="455"/>
      <c r="C366" s="455"/>
      <c r="D366" s="455"/>
      <c r="E366" s="455"/>
      <c r="F366" s="455"/>
      <c r="G366" s="455"/>
      <c r="H366" s="455"/>
      <c r="I366" s="455"/>
      <c r="J366" s="673">
        <v>0</v>
      </c>
      <c r="K366" s="673">
        <v>0</v>
      </c>
      <c r="L366" s="673">
        <v>6.2148670602998272E-2</v>
      </c>
      <c r="M366" s="673">
        <v>0</v>
      </c>
      <c r="N366" s="673">
        <v>0</v>
      </c>
    </row>
    <row r="367" spans="2:14">
      <c r="B367" s="478" t="s">
        <v>2973</v>
      </c>
    </row>
    <row r="368" spans="2:14">
      <c r="B368" s="478" t="s">
        <v>1606</v>
      </c>
    </row>
    <row r="369" spans="2:14">
      <c r="B369" s="478" t="s">
        <v>887</v>
      </c>
    </row>
    <row r="370" spans="2:14">
      <c r="B370" s="478" t="s">
        <v>2705</v>
      </c>
    </row>
    <row r="371" spans="2:14">
      <c r="B371" s="478" t="s">
        <v>2803</v>
      </c>
    </row>
    <row r="373" spans="2:14">
      <c r="B373" s="478" t="s">
        <v>2978</v>
      </c>
    </row>
    <row r="374" spans="2:14">
      <c r="B374" s="478" t="s">
        <v>2975</v>
      </c>
    </row>
    <row r="375" spans="2:14">
      <c r="B375" s="478" t="s">
        <v>2976</v>
      </c>
    </row>
    <row r="376" spans="2:14">
      <c r="B376" s="478" t="s">
        <v>2977</v>
      </c>
    </row>
    <row r="377" spans="2:14">
      <c r="B377" s="478" t="s">
        <v>2997</v>
      </c>
    </row>
    <row r="382" spans="2:14">
      <c r="B382" t="s">
        <v>2969</v>
      </c>
    </row>
    <row r="383" spans="2:14">
      <c r="B383" t="s">
        <v>2967</v>
      </c>
      <c r="J383" s="454">
        <v>986.8</v>
      </c>
      <c r="K383" s="454"/>
      <c r="L383" s="454"/>
      <c r="M383" s="454">
        <v>967.7</v>
      </c>
      <c r="N383" s="454">
        <v>987.7</v>
      </c>
    </row>
    <row r="384" spans="2:14">
      <c r="B384" t="s">
        <v>1606</v>
      </c>
      <c r="J384" s="454">
        <v>398.8</v>
      </c>
      <c r="K384" s="454"/>
      <c r="L384" s="454"/>
      <c r="M384" s="454">
        <v>379.6</v>
      </c>
      <c r="N384" s="454">
        <v>394.2</v>
      </c>
    </row>
    <row r="385" spans="2:33">
      <c r="B385" t="s">
        <v>887</v>
      </c>
      <c r="J385" s="454">
        <v>197.2</v>
      </c>
      <c r="K385" s="454"/>
      <c r="L385" s="454"/>
      <c r="M385" s="454">
        <v>188.2</v>
      </c>
      <c r="N385" s="454">
        <v>200</v>
      </c>
    </row>
    <row r="386" spans="2:33">
      <c r="B386" s="455" t="s">
        <v>2968</v>
      </c>
      <c r="C386" s="455"/>
      <c r="D386" s="455"/>
      <c r="E386" s="455"/>
      <c r="F386" s="455"/>
      <c r="G386" s="455"/>
      <c r="H386" s="455"/>
      <c r="I386" s="455"/>
      <c r="J386" s="462">
        <v>4</v>
      </c>
      <c r="K386" s="462"/>
      <c r="L386" s="462"/>
      <c r="M386" s="462">
        <v>5</v>
      </c>
      <c r="N386" s="462">
        <v>5.5</v>
      </c>
    </row>
    <row r="387" spans="2:33">
      <c r="B387" t="s">
        <v>2324</v>
      </c>
      <c r="J387" s="454">
        <f>SUM(J383:J386)</f>
        <v>1586.8</v>
      </c>
      <c r="M387" s="454">
        <f>SUM(M383:M386)</f>
        <v>1540.5000000000002</v>
      </c>
      <c r="N387" s="454">
        <f>SUM(N383:N386)</f>
        <v>1587.4</v>
      </c>
    </row>
    <row r="389" spans="2:33">
      <c r="B389" t="s">
        <v>2970</v>
      </c>
      <c r="G389" s="454">
        <v>1877.9204687499998</v>
      </c>
      <c r="H389" s="454">
        <v>1796.5675384615383</v>
      </c>
      <c r="I389" s="454">
        <v>1797.6262121212121</v>
      </c>
      <c r="J389" s="454">
        <v>1921.3641538461529</v>
      </c>
      <c r="K389" s="454">
        <v>1798.2390769230769</v>
      </c>
      <c r="L389" s="454">
        <v>1786.5210769230771</v>
      </c>
      <c r="M389" s="454">
        <v>1798.4019999999991</v>
      </c>
      <c r="N389" s="454">
        <v>1805.9493939393944</v>
      </c>
      <c r="O389" s="454">
        <v>1792</v>
      </c>
      <c r="P389" s="454"/>
      <c r="Q389" s="454"/>
      <c r="R389" s="454"/>
      <c r="S389" s="454"/>
      <c r="T389" s="454"/>
      <c r="U389" s="454"/>
      <c r="V389" s="454"/>
      <c r="W389" s="454"/>
      <c r="X389" s="454"/>
      <c r="Y389" s="454"/>
      <c r="Z389" s="454"/>
      <c r="AA389" s="454"/>
      <c r="AB389" s="454"/>
      <c r="AC389" s="454"/>
      <c r="AD389" s="454"/>
      <c r="AE389" s="454"/>
      <c r="AF389" s="454"/>
    </row>
    <row r="391" spans="2:33">
      <c r="B391" t="s">
        <v>2971</v>
      </c>
    </row>
    <row r="392" spans="2:33">
      <c r="B392" t="str">
        <f>B383</f>
        <v>Telcel</v>
      </c>
      <c r="J392" s="454">
        <f>J383*J$389/1000</f>
        <v>1896.0021470153838</v>
      </c>
      <c r="M392" s="454">
        <f t="shared" ref="M392:N396" si="348">M383*M$389/1000</f>
        <v>1740.3136153999992</v>
      </c>
      <c r="N392" s="454">
        <f t="shared" si="348"/>
        <v>1783.7362163939399</v>
      </c>
      <c r="AG392" s="449">
        <f>N392/J392-1</f>
        <v>-5.9211921673279044E-2</v>
      </c>
    </row>
    <row r="393" spans="2:33">
      <c r="B393" t="str">
        <f>B384</f>
        <v>TEF</v>
      </c>
      <c r="J393" s="454">
        <f>J384*J$389/1000</f>
        <v>766.24002455384573</v>
      </c>
      <c r="M393" s="454">
        <f t="shared" si="348"/>
        <v>682.67339919999972</v>
      </c>
      <c r="N393" s="454">
        <f t="shared" si="348"/>
        <v>711.90525109090925</v>
      </c>
      <c r="AG393" s="449">
        <f>N393/J393-1</f>
        <v>-7.0910904836345101E-2</v>
      </c>
    </row>
    <row r="394" spans="2:33">
      <c r="B394" t="str">
        <f>B385</f>
        <v>Tigo</v>
      </c>
      <c r="J394" s="454">
        <f>J385*J$389/1000</f>
        <v>378.89301113846136</v>
      </c>
      <c r="M394" s="454">
        <f t="shared" si="348"/>
        <v>338.45925639999984</v>
      </c>
      <c r="N394" s="454">
        <f t="shared" si="348"/>
        <v>361.18987878787891</v>
      </c>
      <c r="AG394" s="449">
        <f>N394/J394-1</f>
        <v>-4.6723301381014548E-2</v>
      </c>
    </row>
    <row r="395" spans="2:33">
      <c r="B395" s="455" t="str">
        <f>B386</f>
        <v>Uff</v>
      </c>
      <c r="C395" s="455"/>
      <c r="D395" s="455"/>
      <c r="E395" s="455"/>
      <c r="F395" s="455"/>
      <c r="G395" s="455"/>
      <c r="H395" s="455"/>
      <c r="I395" s="455"/>
      <c r="J395" s="462">
        <f>J386*J$389/1000</f>
        <v>7.685456615384612</v>
      </c>
      <c r="K395" s="455"/>
      <c r="L395" s="455"/>
      <c r="M395" s="462">
        <f t="shared" si="348"/>
        <v>8.9920099999999952</v>
      </c>
      <c r="N395" s="462">
        <f t="shared" si="348"/>
        <v>9.9327216666666693</v>
      </c>
      <c r="AG395" s="476">
        <f>N395/J395-1</f>
        <v>0.29240488415268939</v>
      </c>
    </row>
    <row r="396" spans="2:33">
      <c r="B396" t="str">
        <f>B387</f>
        <v>Total</v>
      </c>
      <c r="J396" s="454">
        <f>J387*J$389/1000</f>
        <v>3048.8206393230753</v>
      </c>
      <c r="M396" s="454">
        <f t="shared" si="348"/>
        <v>2770.4382809999988</v>
      </c>
      <c r="N396" s="454">
        <f t="shared" si="348"/>
        <v>2866.7640679393949</v>
      </c>
      <c r="AG396" s="449">
        <f>N396/J396-1</f>
        <v>-5.9713769001544903E-2</v>
      </c>
    </row>
    <row r="398" spans="2:33">
      <c r="B398" s="3" t="s">
        <v>1028</v>
      </c>
    </row>
    <row r="399" spans="2:33">
      <c r="B399" t="s">
        <v>1032</v>
      </c>
      <c r="C399">
        <v>8.9700000000000006</v>
      </c>
    </row>
    <row r="400" spans="2:33">
      <c r="B400" t="s">
        <v>1033</v>
      </c>
      <c r="C400">
        <v>20000</v>
      </c>
      <c r="E400" s="9"/>
    </row>
    <row r="401" spans="2:50">
      <c r="B401" t="s">
        <v>1034</v>
      </c>
      <c r="C401" s="9">
        <f>C400/C399</f>
        <v>2229.6544035674469</v>
      </c>
      <c r="E401" s="9"/>
    </row>
    <row r="402" spans="2:50">
      <c r="E402" s="9"/>
    </row>
    <row r="403" spans="2:50">
      <c r="D403" s="11">
        <v>9.25</v>
      </c>
      <c r="E403" s="17">
        <v>0.17599999999999999</v>
      </c>
    </row>
    <row r="404" spans="2:50">
      <c r="D404" s="7">
        <f>D403/E403</f>
        <v>52.556818181818187</v>
      </c>
    </row>
    <row r="405" spans="2:50">
      <c r="B405" t="s">
        <v>1029</v>
      </c>
      <c r="C405" s="9">
        <f>C399*D403</f>
        <v>82.972500000000011</v>
      </c>
    </row>
    <row r="406" spans="2:50">
      <c r="B406" s="208" t="s">
        <v>1926</v>
      </c>
      <c r="C406" s="9">
        <f>C405/E403</f>
        <v>471.43465909090918</v>
      </c>
    </row>
    <row r="407" spans="2:50">
      <c r="B407" s="11" t="s">
        <v>1030</v>
      </c>
      <c r="C407" s="13">
        <f>D81</f>
        <v>337.85903540000004</v>
      </c>
    </row>
    <row r="408" spans="2:50">
      <c r="B408" t="s">
        <v>1031</v>
      </c>
      <c r="C408" s="9">
        <f>C406+C407</f>
        <v>809.29369449090927</v>
      </c>
    </row>
    <row r="410" spans="2:50">
      <c r="B410" s="11" t="s">
        <v>1987</v>
      </c>
      <c r="C410" s="11"/>
      <c r="D410" s="11"/>
      <c r="E410" s="11">
        <f t="shared" ref="E410:L410" si="349">E2</f>
        <v>2008</v>
      </c>
      <c r="F410" s="11">
        <f t="shared" si="349"/>
        <v>2009</v>
      </c>
      <c r="G410" s="11">
        <f t="shared" si="349"/>
        <v>2010</v>
      </c>
      <c r="H410" s="11">
        <f t="shared" si="349"/>
        <v>2011</v>
      </c>
      <c r="I410" s="11">
        <f t="shared" si="349"/>
        <v>2012</v>
      </c>
      <c r="J410" s="11">
        <f t="shared" si="349"/>
        <v>2013</v>
      </c>
      <c r="K410" s="11">
        <f t="shared" si="349"/>
        <v>2014</v>
      </c>
      <c r="L410" s="11">
        <f t="shared" si="349"/>
        <v>2015</v>
      </c>
      <c r="M410" s="21"/>
      <c r="N410" s="21"/>
      <c r="O410" s="21"/>
      <c r="P410" s="21"/>
      <c r="Q410" s="21"/>
      <c r="R410" s="21"/>
      <c r="S410" s="21"/>
      <c r="T410" s="21"/>
      <c r="U410" s="21"/>
      <c r="V410" s="21"/>
      <c r="W410" s="21"/>
      <c r="X410" s="21"/>
      <c r="Y410" s="21"/>
      <c r="Z410" s="21"/>
      <c r="AA410" s="21"/>
      <c r="AB410" s="21"/>
      <c r="AC410" s="21"/>
      <c r="AD410" s="21"/>
      <c r="AE410" s="21"/>
      <c r="AF410" s="21"/>
    </row>
    <row r="411" spans="2:50">
      <c r="B411" t="s">
        <v>955</v>
      </c>
      <c r="E411" s="88">
        <v>5878.190045248868</v>
      </c>
      <c r="F411" s="88">
        <v>5902.8458498824448</v>
      </c>
      <c r="G411" s="88">
        <v>6084.3706696327408</v>
      </c>
      <c r="H411" s="88">
        <v>6570.0390662075633</v>
      </c>
      <c r="I411" s="88">
        <v>7246.2905079734865</v>
      </c>
      <c r="J411" s="88">
        <v>7879.8704870477313</v>
      </c>
      <c r="K411" s="88">
        <v>8517.832094895497</v>
      </c>
      <c r="L411" s="88">
        <v>9149.7854646376345</v>
      </c>
      <c r="M411" s="88"/>
      <c r="N411" s="88"/>
      <c r="O411" s="88"/>
      <c r="P411" s="88"/>
      <c r="Q411" s="88"/>
      <c r="R411" s="88"/>
      <c r="S411" s="88"/>
      <c r="T411" s="88"/>
      <c r="U411" s="88"/>
      <c r="V411" s="88"/>
      <c r="W411" s="88"/>
      <c r="X411" s="88"/>
      <c r="Y411" s="88"/>
      <c r="Z411" s="88"/>
      <c r="AA411" s="88"/>
      <c r="AB411" s="88"/>
      <c r="AC411" s="88"/>
      <c r="AD411" s="88"/>
      <c r="AE411" s="88"/>
      <c r="AF411" s="88"/>
      <c r="AM411" s="478" t="s">
        <v>2537</v>
      </c>
      <c r="AR411" s="523">
        <v>42</v>
      </c>
      <c r="AS411" s="523">
        <v>45</v>
      </c>
      <c r="AT411" s="523">
        <v>52</v>
      </c>
      <c r="AU411" s="523">
        <v>55</v>
      </c>
      <c r="AV411" s="523">
        <v>60</v>
      </c>
    </row>
    <row r="412" spans="2:50">
      <c r="B412" t="s">
        <v>1606</v>
      </c>
      <c r="E412" s="88">
        <v>2341.4949999999999</v>
      </c>
      <c r="F412" s="88">
        <v>2044.7249999999999</v>
      </c>
      <c r="G412" s="88">
        <v>1946.1087614634203</v>
      </c>
      <c r="H412" s="88">
        <v>2033.3565672831851</v>
      </c>
      <c r="I412" s="88">
        <v>2139.8677928240913</v>
      </c>
      <c r="J412" s="88">
        <v>2242.3354198306165</v>
      </c>
      <c r="K412" s="88">
        <v>2371.9879002281132</v>
      </c>
      <c r="L412" s="88">
        <v>2508.3637908195942</v>
      </c>
      <c r="M412" s="88"/>
      <c r="N412" s="88"/>
      <c r="O412" s="88"/>
      <c r="P412" s="88"/>
      <c r="Q412" s="88"/>
      <c r="R412" s="88"/>
      <c r="S412" s="88"/>
      <c r="T412" s="88"/>
      <c r="U412" s="88"/>
      <c r="V412" s="88"/>
      <c r="W412" s="88"/>
      <c r="X412" s="88"/>
      <c r="Y412" s="88"/>
      <c r="Z412" s="88"/>
      <c r="AA412" s="88"/>
      <c r="AB412" s="88"/>
      <c r="AC412" s="88"/>
      <c r="AD412" s="88"/>
      <c r="AE412" s="88"/>
      <c r="AF412" s="88"/>
      <c r="AV412" s="522"/>
      <c r="AW412" s="522"/>
      <c r="AX412" s="522"/>
    </row>
    <row r="413" spans="2:50">
      <c r="B413" s="11" t="s">
        <v>2229</v>
      </c>
      <c r="C413" s="11"/>
      <c r="D413" s="11"/>
      <c r="E413" s="89">
        <f t="shared" ref="E413:L413" si="350">E56</f>
        <v>879.87199999999996</v>
      </c>
      <c r="F413" s="89">
        <f t="shared" si="350"/>
        <v>973.81774742846585</v>
      </c>
      <c r="G413" s="89">
        <f t="shared" si="350"/>
        <v>1161.9280211584353</v>
      </c>
      <c r="H413" s="89">
        <f t="shared" si="350"/>
        <v>1407.672</v>
      </c>
      <c r="I413" s="89">
        <f t="shared" si="350"/>
        <v>1536.69</v>
      </c>
      <c r="J413" s="89">
        <f t="shared" si="350"/>
        <v>1812.999</v>
      </c>
      <c r="K413" s="89">
        <f t="shared" si="350"/>
        <v>2346.6502799999998</v>
      </c>
      <c r="L413" s="89">
        <f t="shared" ca="1" si="350"/>
        <v>2609.1719390822755</v>
      </c>
      <c r="M413" s="88"/>
      <c r="N413" s="88"/>
      <c r="O413" s="88"/>
      <c r="P413" s="88"/>
      <c r="Q413" s="88"/>
      <c r="R413" s="88"/>
      <c r="S413" s="88"/>
      <c r="T413" s="88"/>
      <c r="U413" s="88"/>
      <c r="V413" s="88"/>
      <c r="W413" s="88"/>
      <c r="X413" s="88"/>
      <c r="Y413" s="88"/>
      <c r="Z413" s="88"/>
      <c r="AA413" s="88"/>
      <c r="AB413" s="88"/>
      <c r="AC413" s="88"/>
      <c r="AD413" s="88"/>
      <c r="AE413" s="88"/>
      <c r="AF413" s="88"/>
      <c r="AM413" s="478" t="s">
        <v>2522</v>
      </c>
      <c r="AN413" s="523">
        <v>182</v>
      </c>
      <c r="AO413" s="523">
        <v>199</v>
      </c>
      <c r="AP413" s="523">
        <v>216</v>
      </c>
      <c r="AQ413" s="523">
        <v>217</v>
      </c>
      <c r="AR413" s="523">
        <f>630-AS413-AT413</f>
        <v>205</v>
      </c>
      <c r="AS413" s="523">
        <v>207</v>
      </c>
      <c r="AT413" s="523">
        <v>218</v>
      </c>
      <c r="AU413" s="523">
        <v>220</v>
      </c>
      <c r="AV413" s="523">
        <v>247</v>
      </c>
      <c r="AW413" s="449"/>
      <c r="AX413" s="449"/>
    </row>
    <row r="414" spans="2:50">
      <c r="B414" t="s">
        <v>1151</v>
      </c>
      <c r="E414" s="88">
        <f>SUM(E411:E413)</f>
        <v>9099.5570452488682</v>
      </c>
      <c r="F414" s="88">
        <f t="shared" ref="F414:L414" si="351">SUM(F411:F413)</f>
        <v>8921.38859731091</v>
      </c>
      <c r="G414" s="88">
        <f t="shared" si="351"/>
        <v>9192.4074522545961</v>
      </c>
      <c r="H414" s="88">
        <f t="shared" si="351"/>
        <v>10011.067633490749</v>
      </c>
      <c r="I414" s="88">
        <f t="shared" si="351"/>
        <v>10922.848300797579</v>
      </c>
      <c r="J414" s="88">
        <f t="shared" si="351"/>
        <v>11935.204906878347</v>
      </c>
      <c r="K414" s="88">
        <f t="shared" si="351"/>
        <v>13236.470275123609</v>
      </c>
      <c r="L414" s="88">
        <f t="shared" ca="1" si="351"/>
        <v>14267.321194539505</v>
      </c>
      <c r="M414" s="88"/>
      <c r="N414" s="88"/>
      <c r="O414" s="88"/>
      <c r="P414" s="88"/>
      <c r="Q414" s="88"/>
      <c r="R414" s="88"/>
      <c r="S414" s="88"/>
      <c r="T414" s="88"/>
      <c r="U414" s="88"/>
      <c r="V414" s="88"/>
      <c r="W414" s="88"/>
      <c r="X414" s="88"/>
      <c r="Y414" s="88"/>
      <c r="Z414" s="88"/>
      <c r="AA414" s="88"/>
      <c r="AB414" s="88"/>
      <c r="AC414" s="88"/>
      <c r="AD414" s="88"/>
      <c r="AE414" s="88"/>
      <c r="AF414" s="88"/>
      <c r="AM414" s="478" t="s">
        <v>2523</v>
      </c>
      <c r="AN414" s="454">
        <f>AN413*AN419/1000</f>
        <v>489.89471279310339</v>
      </c>
      <c r="AO414" s="454">
        <f t="shared" ref="AO414:AV414" si="352">AO413*AO419/1000</f>
        <v>493.92543679645337</v>
      </c>
      <c r="AP414" s="454">
        <f t="shared" si="352"/>
        <v>511.42071971152069</v>
      </c>
      <c r="AQ414" s="454">
        <f>AQ413*AQ419/1000</f>
        <v>550.37965647700037</v>
      </c>
      <c r="AR414" s="454">
        <f t="shared" si="352"/>
        <v>527.08252535695669</v>
      </c>
      <c r="AS414" s="454">
        <f t="shared" si="352"/>
        <v>535.37037965944421</v>
      </c>
      <c r="AT414" s="454">
        <f t="shared" si="352"/>
        <v>553.6189592455097</v>
      </c>
      <c r="AU414" s="454">
        <f t="shared" si="352"/>
        <v>569.59295556276436</v>
      </c>
      <c r="AV414" s="454">
        <f t="shared" si="352"/>
        <v>582.5620988872555</v>
      </c>
      <c r="AW414" s="449"/>
      <c r="AX414" s="449"/>
    </row>
    <row r="415" spans="2:50">
      <c r="B415" t="s">
        <v>2353</v>
      </c>
      <c r="F415" s="16">
        <f>F414/E414-1</f>
        <v>-1.9579903401010568E-2</v>
      </c>
      <c r="G415" s="16">
        <f t="shared" ref="G415:L415" si="353">G414/F414-1</f>
        <v>3.0378550602019105E-2</v>
      </c>
      <c r="H415" s="16">
        <f t="shared" si="353"/>
        <v>8.9058300068646679E-2</v>
      </c>
      <c r="I415" s="16">
        <f t="shared" si="353"/>
        <v>9.1077265751015712E-2</v>
      </c>
      <c r="J415" s="16">
        <f t="shared" si="353"/>
        <v>9.2682474223032774E-2</v>
      </c>
      <c r="K415" s="16">
        <f t="shared" si="353"/>
        <v>0.10902748452147093</v>
      </c>
      <c r="L415" s="16">
        <f t="shared" ca="1" si="353"/>
        <v>7.7879593123346469E-2</v>
      </c>
      <c r="M415" s="16"/>
      <c r="N415" s="16"/>
      <c r="O415" s="16"/>
      <c r="P415" s="16"/>
      <c r="Q415" s="16"/>
      <c r="R415" s="16"/>
      <c r="S415" s="16"/>
      <c r="T415" s="16"/>
      <c r="U415" s="16"/>
      <c r="V415" s="16"/>
      <c r="W415" s="16"/>
      <c r="X415" s="16"/>
      <c r="Y415" s="16"/>
      <c r="Z415" s="16"/>
      <c r="AA415" s="16"/>
      <c r="AB415" s="16"/>
      <c r="AC415" s="16"/>
      <c r="AD415" s="16"/>
      <c r="AE415" s="16"/>
      <c r="AF415" s="16"/>
    </row>
    <row r="416" spans="2:50">
      <c r="F416" s="5"/>
    </row>
    <row r="417" spans="2:74">
      <c r="B417" t="str">
        <f>B411</f>
        <v>AMX</v>
      </c>
      <c r="E417" s="5">
        <f t="shared" ref="E417:L417" si="354">E411/E$414</f>
        <v>0.64598639428476734</v>
      </c>
      <c r="F417" s="5">
        <f t="shared" si="354"/>
        <v>0.66165101828001127</v>
      </c>
      <c r="G417" s="5">
        <f t="shared" si="354"/>
        <v>0.66189088127729201</v>
      </c>
      <c r="H417" s="5">
        <f t="shared" si="354"/>
        <v>0.65627756266757564</v>
      </c>
      <c r="I417" s="5">
        <f t="shared" si="354"/>
        <v>0.66340667822369803</v>
      </c>
      <c r="J417" s="5">
        <f t="shared" si="354"/>
        <v>0.66022079625180996</v>
      </c>
      <c r="K417" s="5">
        <f t="shared" si="354"/>
        <v>0.64351235018475894</v>
      </c>
      <c r="L417" s="5">
        <f t="shared" ca="1" si="354"/>
        <v>0.64131068053192131</v>
      </c>
      <c r="M417" s="5"/>
      <c r="N417" s="5"/>
      <c r="O417" s="5"/>
      <c r="P417" s="5"/>
      <c r="Q417" s="5"/>
      <c r="R417" s="5"/>
      <c r="S417" s="5"/>
      <c r="T417" s="5"/>
      <c r="U417" s="5"/>
      <c r="V417" s="5"/>
      <c r="W417" s="5"/>
      <c r="X417" s="5"/>
      <c r="Y417" s="5"/>
      <c r="Z417" s="5"/>
      <c r="AA417" s="5"/>
      <c r="AB417" s="5"/>
      <c r="AC417" s="5"/>
      <c r="AD417" s="5"/>
      <c r="AE417" s="5"/>
      <c r="AF417" s="5"/>
    </row>
    <row r="418" spans="2:74">
      <c r="B418" t="str">
        <f>B412</f>
        <v>TEF</v>
      </c>
      <c r="E418" s="5">
        <f t="shared" ref="E418:L418" si="355">E412/E$414</f>
        <v>0.25731966823841823</v>
      </c>
      <c r="F418" s="5">
        <f t="shared" si="355"/>
        <v>0.22919358098764156</v>
      </c>
      <c r="G418" s="5">
        <f t="shared" si="355"/>
        <v>0.21170827898692671</v>
      </c>
      <c r="H418" s="5">
        <f t="shared" si="355"/>
        <v>0.20311086107148554</v>
      </c>
      <c r="I418" s="5">
        <f t="shared" si="355"/>
        <v>0.19590748986853912</v>
      </c>
      <c r="J418" s="5">
        <f t="shared" si="355"/>
        <v>0.1878757371428405</v>
      </c>
      <c r="K418" s="5">
        <f t="shared" si="355"/>
        <v>0.17920093883986471</v>
      </c>
      <c r="L418" s="5">
        <f t="shared" ca="1" si="355"/>
        <v>0.17581182596349018</v>
      </c>
      <c r="M418" s="5"/>
      <c r="N418" s="5"/>
      <c r="O418" s="5"/>
      <c r="P418" s="5"/>
      <c r="Q418" s="5"/>
      <c r="R418" s="5"/>
      <c r="S418" s="5"/>
      <c r="T418" s="5"/>
      <c r="U418" s="5"/>
      <c r="V418" s="5"/>
      <c r="W418" s="5"/>
      <c r="X418" s="5"/>
      <c r="Y418" s="5"/>
      <c r="Z418" s="5"/>
      <c r="AA418" s="5"/>
      <c r="AB418" s="5"/>
      <c r="AC418" s="5"/>
      <c r="AD418" s="5"/>
      <c r="AE418" s="5"/>
      <c r="AF418" s="5"/>
      <c r="AN418">
        <v>182</v>
      </c>
      <c r="AO418">
        <v>199</v>
      </c>
      <c r="AP418">
        <v>216</v>
      </c>
      <c r="AQ418">
        <v>217</v>
      </c>
      <c r="AR418">
        <f>AR423*1000/AR419</f>
        <v>205.00000000000003</v>
      </c>
      <c r="AS418">
        <f>AS423*1000/AS419</f>
        <v>207</v>
      </c>
      <c r="AT418">
        <f>AT423*1000/AT419</f>
        <v>218</v>
      </c>
      <c r="AU418">
        <f>AU423*1000/AU419</f>
        <v>220</v>
      </c>
      <c r="AV418">
        <f>AV423*1000/AV419</f>
        <v>246.99999999999997</v>
      </c>
    </row>
    <row r="419" spans="2:74">
      <c r="B419" t="str">
        <f>B413</f>
        <v>MICC</v>
      </c>
      <c r="E419" s="5">
        <f t="shared" ref="E419:L419" si="356">E413/E$414</f>
        <v>9.6693937476814387E-2</v>
      </c>
      <c r="F419" s="5">
        <f t="shared" si="356"/>
        <v>0.10915540073234727</v>
      </c>
      <c r="G419" s="5">
        <f t="shared" si="356"/>
        <v>0.12640083973578134</v>
      </c>
      <c r="H419" s="5">
        <f t="shared" si="356"/>
        <v>0.14061157626093873</v>
      </c>
      <c r="I419" s="5">
        <f t="shared" si="356"/>
        <v>0.14068583190776274</v>
      </c>
      <c r="J419" s="5">
        <f t="shared" si="356"/>
        <v>0.15190346660534962</v>
      </c>
      <c r="K419" s="5">
        <f t="shared" si="356"/>
        <v>0.17728671097537638</v>
      </c>
      <c r="L419" s="5">
        <f t="shared" ca="1" si="356"/>
        <v>0.18287749350458846</v>
      </c>
      <c r="M419" s="5"/>
      <c r="N419" s="5"/>
      <c r="O419" s="5"/>
      <c r="P419" s="5"/>
      <c r="Q419" s="5"/>
      <c r="R419" s="5"/>
      <c r="S419" s="5"/>
      <c r="T419" s="5"/>
      <c r="U419" s="5"/>
      <c r="V419" s="5"/>
      <c r="W419" s="5"/>
      <c r="X419" s="5"/>
      <c r="Y419" s="5"/>
      <c r="Z419" s="5"/>
      <c r="AA419" s="5"/>
      <c r="AB419" s="5"/>
      <c r="AC419" s="5"/>
      <c r="AD419" s="5"/>
      <c r="AE419" s="5"/>
      <c r="AF419" s="5"/>
      <c r="AM419" s="478" t="s">
        <v>2521</v>
      </c>
      <c r="AN419" s="535">
        <v>2691.729191170898</v>
      </c>
      <c r="AO419" s="535">
        <v>2482.0373708364491</v>
      </c>
      <c r="AP419" s="535">
        <v>2367.6885171829663</v>
      </c>
      <c r="AQ419" s="535">
        <v>2536.3117810000017</v>
      </c>
      <c r="AR419" s="535">
        <v>2571.1342700339346</v>
      </c>
      <c r="AS419" s="535">
        <v>2586.3303365190541</v>
      </c>
      <c r="AT419" s="535">
        <v>2539.5365103005033</v>
      </c>
      <c r="AU419" s="535">
        <v>2589.058888921656</v>
      </c>
      <c r="AV419" s="535">
        <v>2358.5510076407108</v>
      </c>
    </row>
    <row r="420" spans="2:74">
      <c r="AN420" s="454">
        <f t="shared" ref="AN420:AV420" si="357">AN418*AN419/1000</f>
        <v>489.89471279310339</v>
      </c>
      <c r="AO420" s="454">
        <f t="shared" si="357"/>
        <v>493.92543679645337</v>
      </c>
      <c r="AP420" s="454">
        <f t="shared" si="357"/>
        <v>511.42071971152069</v>
      </c>
      <c r="AQ420" s="454">
        <f t="shared" si="357"/>
        <v>550.37965647700037</v>
      </c>
      <c r="AR420" s="454">
        <f t="shared" si="357"/>
        <v>527.08252535695669</v>
      </c>
      <c r="AS420" s="454">
        <f t="shared" si="357"/>
        <v>535.37037965944421</v>
      </c>
      <c r="AT420" s="454">
        <f t="shared" si="357"/>
        <v>553.6189592455097</v>
      </c>
      <c r="AU420" s="454">
        <f t="shared" si="357"/>
        <v>569.59295556276436</v>
      </c>
      <c r="AV420" s="454">
        <f t="shared" si="357"/>
        <v>582.5620988872555</v>
      </c>
    </row>
    <row r="421" spans="2:74">
      <c r="B421" s="23" t="s">
        <v>758</v>
      </c>
      <c r="C421" s="306" t="str">
        <f>Quarts!O115</f>
        <v>Q1 05</v>
      </c>
      <c r="D421" s="306" t="str">
        <f>Quarts!P115</f>
        <v>Q2 05</v>
      </c>
      <c r="E421" s="306" t="str">
        <f>Quarts!Q115</f>
        <v>Q3 05</v>
      </c>
      <c r="F421" s="306" t="str">
        <f>Quarts!R115</f>
        <v>Q4 05</v>
      </c>
      <c r="G421" s="306" t="str">
        <f>Quarts!S115</f>
        <v>Q1 06</v>
      </c>
      <c r="H421" s="306" t="str">
        <f>Quarts!T115</f>
        <v>Q2 06</v>
      </c>
      <c r="I421" s="306" t="str">
        <f>Quarts!U115</f>
        <v>Q3 06</v>
      </c>
      <c r="J421" s="306" t="str">
        <f>Quarts!V115</f>
        <v>Q4 06</v>
      </c>
      <c r="K421" s="306" t="str">
        <f>Quarts!X115</f>
        <v>Q1 07</v>
      </c>
      <c r="L421" s="306" t="str">
        <f>Quarts!Y115</f>
        <v>Q2 07</v>
      </c>
      <c r="M421" s="306" t="str">
        <f>Quarts!Z115</f>
        <v>Q3 07</v>
      </c>
      <c r="N421" s="306" t="str">
        <f>Quarts!AA115</f>
        <v>Q4 07</v>
      </c>
      <c r="O421" s="306" t="str">
        <f>Quarts!AC115</f>
        <v>Q1 08</v>
      </c>
      <c r="P421" s="306"/>
      <c r="Q421" s="306"/>
      <c r="R421" s="306"/>
      <c r="S421" s="306"/>
      <c r="T421" s="306"/>
      <c r="U421" s="306"/>
      <c r="V421" s="306"/>
      <c r="W421" s="306"/>
      <c r="X421" s="2523"/>
      <c r="Y421" s="2523"/>
      <c r="Z421" s="2523"/>
      <c r="AA421" s="2523"/>
      <c r="AB421" s="2523"/>
      <c r="AC421" s="2523"/>
      <c r="AD421" s="2523"/>
      <c r="AE421" s="2523"/>
      <c r="AF421" s="2523"/>
      <c r="AG421" s="306" t="str">
        <f>Quarts!AD115</f>
        <v>Q2 08</v>
      </c>
      <c r="AH421" s="306" t="str">
        <f>Quarts!AE115</f>
        <v>Q3 08</v>
      </c>
      <c r="AI421" s="306" t="str">
        <f>Quarts!AF115</f>
        <v>Q4 08</v>
      </c>
      <c r="AJ421" s="306" t="str">
        <f>Quarts!AH115</f>
        <v>Q1 09</v>
      </c>
      <c r="AK421" s="306" t="str">
        <f>Quarts!AI115</f>
        <v>Q2 09</v>
      </c>
      <c r="AL421" s="306" t="str">
        <f>Quarts!AJ115</f>
        <v>Q3 09</v>
      </c>
      <c r="AM421" s="306" t="str">
        <f>Quarts!AK115</f>
        <v>Q4 09</v>
      </c>
      <c r="AN421" s="306" t="str">
        <f>Quarts!AM115</f>
        <v>Q1 10</v>
      </c>
      <c r="AO421" s="306" t="str">
        <f>Quarts!AN115</f>
        <v>Q2 10</v>
      </c>
      <c r="AP421" s="306" t="str">
        <f>Quarts!AO115</f>
        <v>Q3 10</v>
      </c>
      <c r="AQ421" s="306" t="str">
        <f>Quarts!AP115</f>
        <v>Q4 10</v>
      </c>
      <c r="AR421" s="306" t="s">
        <v>2257</v>
      </c>
      <c r="AS421" s="306" t="s">
        <v>981</v>
      </c>
      <c r="AT421" s="306" t="s">
        <v>2432</v>
      </c>
      <c r="AU421" s="306" t="s">
        <v>241</v>
      </c>
      <c r="AV421" s="306" t="s">
        <v>2531</v>
      </c>
      <c r="AY421" s="422" t="str">
        <f t="shared" ref="AY421:BF421" si="358">H421</f>
        <v>Q2 06</v>
      </c>
      <c r="AZ421" s="422" t="str">
        <f t="shared" si="358"/>
        <v>Q3 06</v>
      </c>
      <c r="BA421" s="422" t="str">
        <f t="shared" si="358"/>
        <v>Q4 06</v>
      </c>
      <c r="BB421" s="422" t="str">
        <f t="shared" si="358"/>
        <v>Q1 07</v>
      </c>
      <c r="BC421" s="422" t="str">
        <f t="shared" si="358"/>
        <v>Q2 07</v>
      </c>
      <c r="BD421" s="422" t="str">
        <f t="shared" si="358"/>
        <v>Q3 07</v>
      </c>
      <c r="BE421" s="422" t="str">
        <f t="shared" si="358"/>
        <v>Q4 07</v>
      </c>
      <c r="BF421" s="422" t="str">
        <f t="shared" si="358"/>
        <v>Q1 08</v>
      </c>
      <c r="BG421" s="422" t="str">
        <f t="shared" ref="BG421:BV421" si="359">AG421</f>
        <v>Q2 08</v>
      </c>
      <c r="BH421" s="422" t="str">
        <f t="shared" si="359"/>
        <v>Q3 08</v>
      </c>
      <c r="BI421" s="422" t="str">
        <f t="shared" si="359"/>
        <v>Q4 08</v>
      </c>
      <c r="BJ421" s="422" t="str">
        <f t="shared" si="359"/>
        <v>Q1 09</v>
      </c>
      <c r="BK421" s="422" t="str">
        <f t="shared" si="359"/>
        <v>Q2 09</v>
      </c>
      <c r="BL421" s="422" t="str">
        <f t="shared" si="359"/>
        <v>Q3 09</v>
      </c>
      <c r="BM421" s="422" t="str">
        <f t="shared" si="359"/>
        <v>Q4 09</v>
      </c>
      <c r="BN421" s="422" t="str">
        <f t="shared" si="359"/>
        <v>Q1 10</v>
      </c>
      <c r="BO421" s="422" t="str">
        <f t="shared" si="359"/>
        <v>Q2 10</v>
      </c>
      <c r="BP421" s="422" t="str">
        <f t="shared" si="359"/>
        <v>Q3 10</v>
      </c>
      <c r="BQ421" s="422" t="str">
        <f t="shared" si="359"/>
        <v>Q4 10</v>
      </c>
      <c r="BR421" s="422" t="str">
        <f t="shared" si="359"/>
        <v>Q1 11</v>
      </c>
      <c r="BS421" s="422" t="str">
        <f t="shared" si="359"/>
        <v>Q2 11</v>
      </c>
      <c r="BT421" s="422" t="str">
        <f t="shared" si="359"/>
        <v>Q3 11</v>
      </c>
      <c r="BU421" s="422" t="str">
        <f t="shared" si="359"/>
        <v>Q4 11</v>
      </c>
      <c r="BV421" s="422" t="str">
        <f t="shared" si="359"/>
        <v>Q1 12</v>
      </c>
    </row>
    <row r="422" spans="2:74">
      <c r="B422" t="s">
        <v>955</v>
      </c>
      <c r="D422" s="88">
        <v>614.41955399999995</v>
      </c>
      <c r="E422" s="88">
        <v>737.05751999999995</v>
      </c>
      <c r="F422" s="88">
        <v>829.04896199999996</v>
      </c>
      <c r="G422" s="88">
        <v>898.73860500000001</v>
      </c>
      <c r="H422" s="88">
        <v>959.36528250000003</v>
      </c>
      <c r="I422" s="88">
        <v>1029.3650250000001</v>
      </c>
      <c r="J422" s="88">
        <v>1120.7786940000001</v>
      </c>
      <c r="K422" s="88">
        <v>1192.587072</v>
      </c>
      <c r="L422" s="88">
        <v>1181.9712975</v>
      </c>
      <c r="M422" s="88">
        <v>1210.70688</v>
      </c>
      <c r="N422" s="88">
        <v>1253.8149000000001</v>
      </c>
      <c r="O422" s="88">
        <v>1187.5651439999999</v>
      </c>
      <c r="P422" s="88"/>
      <c r="Q422" s="88"/>
      <c r="R422" s="88"/>
      <c r="S422" s="88"/>
      <c r="T422" s="88"/>
      <c r="U422" s="88"/>
      <c r="V422" s="88"/>
      <c r="W422" s="88"/>
      <c r="X422" s="88"/>
      <c r="Y422" s="88"/>
      <c r="Z422" s="88"/>
      <c r="AA422" s="88"/>
      <c r="AB422" s="88"/>
      <c r="AC422" s="88"/>
      <c r="AD422" s="88"/>
      <c r="AE422" s="88"/>
      <c r="AF422" s="88"/>
      <c r="AG422" s="88">
        <v>1261.350234</v>
      </c>
      <c r="AH422" s="88">
        <v>1287.3223680000001</v>
      </c>
      <c r="AI422" s="88">
        <v>1354.3998285</v>
      </c>
      <c r="AJ422" s="88">
        <v>1300.4681175000001</v>
      </c>
      <c r="AK422" s="88">
        <v>1252.6202430000001</v>
      </c>
      <c r="AL422" s="88">
        <v>1283.2394999999999</v>
      </c>
      <c r="AM422" s="88">
        <v>1305.4124489999999</v>
      </c>
      <c r="AN422" s="88">
        <v>1396.854591</v>
      </c>
      <c r="AO422" s="9">
        <v>1407.8109870000001</v>
      </c>
      <c r="AP422" s="9">
        <v>1352.0426399999999</v>
      </c>
      <c r="AQ422" s="9">
        <v>1394.6752650000001</v>
      </c>
      <c r="AR422" s="9">
        <v>1482.1530749999999</v>
      </c>
      <c r="AS422" s="524">
        <f>AO422*1.094</f>
        <v>1540.1452197780002</v>
      </c>
      <c r="AT422" s="524">
        <f>AP422*1.166</f>
        <v>1576.4817182399997</v>
      </c>
      <c r="AU422" s="524">
        <f>AQ422*1.149</f>
        <v>1602.481879485</v>
      </c>
      <c r="AV422" s="524">
        <f>AR422*1.121</f>
        <v>1661.493597075</v>
      </c>
      <c r="AY422" s="16">
        <f t="shared" ref="AY422:BF425" si="360">H422/D422-1</f>
        <v>0.56141723721898362</v>
      </c>
      <c r="AZ422" s="16">
        <f t="shared" si="360"/>
        <v>0.39658710082762627</v>
      </c>
      <c r="BA422" s="16">
        <f t="shared" si="360"/>
        <v>0.35188480460337423</v>
      </c>
      <c r="BB422" s="16">
        <f t="shared" si="360"/>
        <v>0.32695654260896023</v>
      </c>
      <c r="BC422" s="16">
        <f t="shared" si="360"/>
        <v>0.23203467861575433</v>
      </c>
      <c r="BD422" s="16">
        <f t="shared" si="360"/>
        <v>0.17616865795493664</v>
      </c>
      <c r="BE422" s="16">
        <f t="shared" si="360"/>
        <v>0.11869979926652663</v>
      </c>
      <c r="BF422" s="16">
        <f t="shared" si="360"/>
        <v>-4.210952908937915E-3</v>
      </c>
      <c r="BG422" s="16">
        <f t="shared" ref="BG422:BJ425" si="361">AG422/L422-1</f>
        <v>6.7158091459492475E-2</v>
      </c>
      <c r="BH422" s="16">
        <f t="shared" si="361"/>
        <v>6.3281616108434191E-2</v>
      </c>
      <c r="BI422" s="16">
        <f t="shared" si="361"/>
        <v>8.0223108291343381E-2</v>
      </c>
      <c r="BJ422" s="16">
        <f t="shared" si="361"/>
        <v>9.5070972797093312E-2</v>
      </c>
      <c r="BK422" s="16">
        <f t="shared" ref="BK422:BR425" si="362">AK422/AG422-1</f>
        <v>-6.9211474851955668E-3</v>
      </c>
      <c r="BL422" s="16">
        <f t="shared" si="362"/>
        <v>-3.1715971861371317E-3</v>
      </c>
      <c r="BM422" s="16">
        <f t="shared" si="362"/>
        <v>-3.6169068002802174E-2</v>
      </c>
      <c r="BN422" s="16">
        <f t="shared" si="362"/>
        <v>7.4116752423959431E-2</v>
      </c>
      <c r="BO422" s="16">
        <f t="shared" si="362"/>
        <v>0.12389289161439798</v>
      </c>
      <c r="BP422" s="16">
        <f t="shared" si="362"/>
        <v>5.3616756653765751E-2</v>
      </c>
      <c r="BQ422" s="16">
        <f t="shared" si="362"/>
        <v>6.8379013903520747E-2</v>
      </c>
      <c r="BR422" s="16">
        <f t="shared" si="362"/>
        <v>6.10646838615716E-2</v>
      </c>
      <c r="BS422" s="16">
        <f t="shared" ref="BS422:BT425" si="363">AS422/AO422-1</f>
        <v>9.4000000000000083E-2</v>
      </c>
      <c r="BT422" s="16">
        <f t="shared" si="363"/>
        <v>0.16599999999999993</v>
      </c>
      <c r="BU422" s="16">
        <f t="shared" ref="BU422:BV425" si="364">AU422/AQ422-1</f>
        <v>0.14900000000000002</v>
      </c>
      <c r="BV422" s="16">
        <f t="shared" si="364"/>
        <v>0.121</v>
      </c>
    </row>
    <row r="423" spans="2:74">
      <c r="B423" t="s">
        <v>1606</v>
      </c>
      <c r="D423">
        <v>559</v>
      </c>
      <c r="E423">
        <v>530</v>
      </c>
      <c r="F423">
        <v>581</v>
      </c>
      <c r="G423">
        <v>538</v>
      </c>
      <c r="H423">
        <v>603</v>
      </c>
      <c r="I423">
        <v>590</v>
      </c>
      <c r="J423">
        <v>579</v>
      </c>
      <c r="K423" s="88">
        <v>568</v>
      </c>
      <c r="L423" s="88">
        <v>604</v>
      </c>
      <c r="M423" s="88">
        <v>632</v>
      </c>
      <c r="N423" s="88">
        <v>668</v>
      </c>
      <c r="O423" s="88">
        <v>581</v>
      </c>
      <c r="P423" s="88"/>
      <c r="Q423" s="88"/>
      <c r="R423" s="88"/>
      <c r="S423" s="88"/>
      <c r="T423" s="88"/>
      <c r="U423" s="88"/>
      <c r="V423" s="88"/>
      <c r="W423" s="88"/>
      <c r="X423" s="88"/>
      <c r="Y423" s="88"/>
      <c r="Z423" s="88"/>
      <c r="AA423" s="88"/>
      <c r="AB423" s="88"/>
      <c r="AC423" s="88"/>
      <c r="AD423" s="88"/>
      <c r="AE423" s="88"/>
      <c r="AF423" s="88"/>
      <c r="AG423" s="88">
        <v>606</v>
      </c>
      <c r="AH423" s="88">
        <v>568</v>
      </c>
      <c r="AI423" s="88">
        <v>581</v>
      </c>
      <c r="AJ423" s="88">
        <v>523</v>
      </c>
      <c r="AK423" s="88">
        <v>501</v>
      </c>
      <c r="AL423" s="88">
        <v>514</v>
      </c>
      <c r="AM423" s="88">
        <v>503</v>
      </c>
      <c r="AN423" s="88">
        <f t="shared" ref="AN423:AS423" si="365">AN414</f>
        <v>489.89471279310339</v>
      </c>
      <c r="AO423" s="88">
        <f t="shared" si="365"/>
        <v>493.92543679645337</v>
      </c>
      <c r="AP423" s="88">
        <f t="shared" si="365"/>
        <v>511.42071971152069</v>
      </c>
      <c r="AQ423" s="88">
        <f t="shared" si="365"/>
        <v>550.37965647700037</v>
      </c>
      <c r="AR423" s="88">
        <f t="shared" si="365"/>
        <v>527.08252535695669</v>
      </c>
      <c r="AS423" s="88">
        <f t="shared" si="365"/>
        <v>535.37037965944421</v>
      </c>
      <c r="AT423" s="88">
        <f>AT414</f>
        <v>553.6189592455097</v>
      </c>
      <c r="AU423" s="88">
        <f>AU414</f>
        <v>569.59295556276436</v>
      </c>
      <c r="AV423" s="88">
        <f>AV414</f>
        <v>582.5620988872555</v>
      </c>
      <c r="AY423" s="16">
        <f t="shared" si="360"/>
        <v>7.8711985688729946E-2</v>
      </c>
      <c r="AZ423" s="16">
        <f t="shared" si="360"/>
        <v>0.1132075471698113</v>
      </c>
      <c r="BA423" s="16">
        <f t="shared" si="360"/>
        <v>-3.4423407917383297E-3</v>
      </c>
      <c r="BB423" s="16">
        <f t="shared" si="360"/>
        <v>5.5762081784386686E-2</v>
      </c>
      <c r="BC423" s="16">
        <f t="shared" si="360"/>
        <v>1.6583747927032544E-3</v>
      </c>
      <c r="BD423" s="16">
        <f t="shared" si="360"/>
        <v>7.118644067796609E-2</v>
      </c>
      <c r="BE423" s="16">
        <f t="shared" si="360"/>
        <v>0.15371329879101903</v>
      </c>
      <c r="BF423" s="16">
        <f t="shared" si="360"/>
        <v>2.2887323943661997E-2</v>
      </c>
      <c r="BG423" s="16">
        <f t="shared" si="361"/>
        <v>3.3112582781456013E-3</v>
      </c>
      <c r="BH423" s="16">
        <f t="shared" si="361"/>
        <v>-0.10126582278481011</v>
      </c>
      <c r="BI423" s="16">
        <f t="shared" si="361"/>
        <v>-0.13023952095808389</v>
      </c>
      <c r="BJ423" s="16">
        <f t="shared" si="361"/>
        <v>-9.9827882960413117E-2</v>
      </c>
      <c r="BK423" s="16">
        <f t="shared" si="362"/>
        <v>-0.17326732673267331</v>
      </c>
      <c r="BL423" s="16">
        <f t="shared" si="362"/>
        <v>-9.5070422535211252E-2</v>
      </c>
      <c r="BM423" s="16">
        <f t="shared" si="362"/>
        <v>-0.13425129087779686</v>
      </c>
      <c r="BN423" s="16">
        <f t="shared" si="362"/>
        <v>-6.3298828311465827E-2</v>
      </c>
      <c r="BO423" s="16">
        <f t="shared" si="362"/>
        <v>-1.4120884637817577E-2</v>
      </c>
      <c r="BP423" s="16">
        <f t="shared" si="362"/>
        <v>-5.0180550359519849E-3</v>
      </c>
      <c r="BQ423" s="16">
        <f t="shared" si="362"/>
        <v>9.4194148065606997E-2</v>
      </c>
      <c r="BR423" s="16">
        <f t="shared" si="362"/>
        <v>7.5909805908762173E-2</v>
      </c>
      <c r="BS423" s="16">
        <f t="shared" si="363"/>
        <v>8.3909310546543603E-2</v>
      </c>
      <c r="BT423" s="16">
        <f t="shared" si="363"/>
        <v>8.2511790992339851E-2</v>
      </c>
      <c r="BU423" s="16">
        <f t="shared" si="364"/>
        <v>3.4909173803314264E-2</v>
      </c>
      <c r="BV423" s="16">
        <f t="shared" si="364"/>
        <v>0.10525785026306145</v>
      </c>
    </row>
    <row r="424" spans="2:74">
      <c r="B424" s="11" t="s">
        <v>2229</v>
      </c>
      <c r="C424" s="11"/>
      <c r="D424" s="419">
        <f t="shared" ref="D424:I424" si="366">D423/E423*E424</f>
        <v>200.84367150460511</v>
      </c>
      <c r="E424" s="419">
        <f t="shared" si="366"/>
        <v>190.42423237467031</v>
      </c>
      <c r="F424" s="419">
        <f t="shared" si="366"/>
        <v>208.74807360317632</v>
      </c>
      <c r="G424" s="419">
        <f t="shared" si="366"/>
        <v>193.29856041051437</v>
      </c>
      <c r="H424" s="419">
        <f t="shared" si="366"/>
        <v>216.65247570174751</v>
      </c>
      <c r="I424" s="419">
        <f t="shared" si="366"/>
        <v>211.98169264350088</v>
      </c>
      <c r="J424" s="89">
        <f>Quarts!V151/1000</f>
        <v>208.02949159421527</v>
      </c>
      <c r="K424" s="89">
        <f>Quarts!X151/1000</f>
        <v>201.08365880287175</v>
      </c>
      <c r="L424" s="89">
        <f>Quarts!Y151/1000</f>
        <v>216.68594821769233</v>
      </c>
      <c r="M424" s="89">
        <f>Quarts!Z151/1000</f>
        <v>237.40494859414156</v>
      </c>
      <c r="N424" s="89">
        <f>Quarts!AA151/1000</f>
        <v>262.18060496590545</v>
      </c>
      <c r="O424" s="89">
        <f>Quarts!AC151/1000</f>
        <v>206.32933036363633</v>
      </c>
      <c r="P424" s="89"/>
      <c r="Q424" s="89"/>
      <c r="R424" s="89"/>
      <c r="S424" s="89"/>
      <c r="T424" s="89"/>
      <c r="U424" s="89"/>
      <c r="V424" s="89"/>
      <c r="W424" s="89"/>
      <c r="X424" s="2524"/>
      <c r="Y424" s="2524"/>
      <c r="Z424" s="2524"/>
      <c r="AA424" s="2524"/>
      <c r="AB424" s="2524"/>
      <c r="AC424" s="2524"/>
      <c r="AD424" s="2524"/>
      <c r="AE424" s="2524"/>
      <c r="AF424" s="2524"/>
      <c r="AG424" s="89">
        <f>Quarts!AD151/1000</f>
        <v>208.57146276923078</v>
      </c>
      <c r="AH424" s="89">
        <f>Quarts!AE151/1000</f>
        <v>227.06399999999999</v>
      </c>
      <c r="AI424" s="89">
        <f>Quarts!AF151/1000</f>
        <v>233.15799999999999</v>
      </c>
      <c r="AJ424" s="89">
        <f>Quarts!AH151/1000</f>
        <v>225.64</v>
      </c>
      <c r="AK424" s="89">
        <f>Quarts!AI151/1000</f>
        <v>231.63499999999999</v>
      </c>
      <c r="AL424" s="89">
        <f>Quarts!AJ151/1000</f>
        <v>237.88399999999999</v>
      </c>
      <c r="AM424" s="89">
        <f>Quarts!AK151/1000</f>
        <v>266.67200000000003</v>
      </c>
      <c r="AN424" s="89">
        <f>Quarts!AM151/1000</f>
        <v>267.738</v>
      </c>
      <c r="AO424" s="89">
        <f>Quarts!AN151/1000</f>
        <v>277.00799999999998</v>
      </c>
      <c r="AP424" s="89">
        <f>Quarts!AO151/1000</f>
        <v>295.96699999999998</v>
      </c>
      <c r="AQ424" s="89">
        <f>Quarts!AP151/1000</f>
        <v>323.19400000000002</v>
      </c>
      <c r="AR424" s="89">
        <f>Quarts!AR151/1000</f>
        <v>321.28559999999999</v>
      </c>
      <c r="AS424" s="89">
        <f>AO424*1.2</f>
        <v>332.40959999999995</v>
      </c>
      <c r="AT424" s="89">
        <f>AP424*1.18</f>
        <v>349.24105999999995</v>
      </c>
      <c r="AU424" s="89">
        <f>AQ424*1.18</f>
        <v>381.36892</v>
      </c>
      <c r="AV424" s="89">
        <f>AR424*1.18</f>
        <v>379.11700799999994</v>
      </c>
      <c r="AY424" s="20">
        <f t="shared" si="360"/>
        <v>7.8711985688729724E-2</v>
      </c>
      <c r="AZ424" s="20">
        <f t="shared" si="360"/>
        <v>0.11320754716981107</v>
      </c>
      <c r="BA424" s="20">
        <f t="shared" si="360"/>
        <v>-3.4423407917385518E-3</v>
      </c>
      <c r="BB424" s="20">
        <f t="shared" si="360"/>
        <v>4.0274994163556732E-2</v>
      </c>
      <c r="BC424" s="20">
        <f t="shared" si="360"/>
        <v>1.5449865429140175E-4</v>
      </c>
      <c r="BD424" s="20">
        <f t="shared" si="360"/>
        <v>0.11993137536360798</v>
      </c>
      <c r="BE424" s="20">
        <f t="shared" si="360"/>
        <v>0.26030498347473707</v>
      </c>
      <c r="BF424" s="20">
        <f t="shared" si="360"/>
        <v>2.6087010709841207E-2</v>
      </c>
      <c r="BG424" s="20">
        <f t="shared" si="361"/>
        <v>-3.7448138724294977E-2</v>
      </c>
      <c r="BH424" s="20">
        <f t="shared" si="361"/>
        <v>-4.3558268921428667E-2</v>
      </c>
      <c r="BI424" s="20">
        <f t="shared" si="361"/>
        <v>-0.11069699442367076</v>
      </c>
      <c r="BJ424" s="20">
        <f t="shared" si="361"/>
        <v>9.3591490857506177E-2</v>
      </c>
      <c r="BK424" s="20">
        <f t="shared" si="362"/>
        <v>0.11057858503052898</v>
      </c>
      <c r="BL424" s="20">
        <f t="shared" si="362"/>
        <v>4.7651763379487733E-2</v>
      </c>
      <c r="BM424" s="20">
        <f t="shared" si="362"/>
        <v>0.14373943849235293</v>
      </c>
      <c r="BN424" s="20">
        <f t="shared" si="362"/>
        <v>0.18657152987059034</v>
      </c>
      <c r="BO424" s="20">
        <f t="shared" si="362"/>
        <v>0.19588145142141733</v>
      </c>
      <c r="BP424" s="20">
        <f t="shared" si="362"/>
        <v>0.24416522338618818</v>
      </c>
      <c r="BQ424" s="20">
        <f t="shared" si="362"/>
        <v>0.21195326093478117</v>
      </c>
      <c r="BR424" s="20">
        <f t="shared" si="362"/>
        <v>0.19999999999999996</v>
      </c>
      <c r="BS424" s="20">
        <f t="shared" si="363"/>
        <v>0.19999999999999996</v>
      </c>
      <c r="BT424" s="20">
        <f t="shared" si="363"/>
        <v>0.17999999999999994</v>
      </c>
      <c r="BU424" s="20">
        <f t="shared" si="364"/>
        <v>0.17999999999999994</v>
      </c>
      <c r="BV424" s="20">
        <f t="shared" si="364"/>
        <v>0.17999999999999994</v>
      </c>
    </row>
    <row r="425" spans="2:74">
      <c r="B425" t="s">
        <v>2324</v>
      </c>
      <c r="D425" s="88">
        <f t="shared" ref="D425:I425" si="367">SUM(D422:D424)</f>
        <v>1374.2632255046051</v>
      </c>
      <c r="E425" s="88">
        <f t="shared" si="367"/>
        <v>1457.4817523746701</v>
      </c>
      <c r="F425" s="88">
        <f t="shared" si="367"/>
        <v>1618.7970356031763</v>
      </c>
      <c r="G425" s="88">
        <f t="shared" si="367"/>
        <v>1630.0371654105143</v>
      </c>
      <c r="H425" s="88">
        <f t="shared" si="367"/>
        <v>1779.0177582017475</v>
      </c>
      <c r="I425" s="88">
        <f t="shared" si="367"/>
        <v>1831.3467176435011</v>
      </c>
      <c r="J425" s="88">
        <f t="shared" ref="J425:AV425" si="368">SUM(J422:J424)</f>
        <v>1907.8081855942153</v>
      </c>
      <c r="K425" s="88">
        <f t="shared" si="368"/>
        <v>1961.6707308028717</v>
      </c>
      <c r="L425" s="88">
        <f t="shared" si="368"/>
        <v>2002.6572457176924</v>
      </c>
      <c r="M425" s="88">
        <f t="shared" si="368"/>
        <v>2080.1118285941416</v>
      </c>
      <c r="N425" s="88">
        <f t="shared" si="368"/>
        <v>2183.9955049659056</v>
      </c>
      <c r="O425" s="88">
        <f t="shared" si="368"/>
        <v>1974.8944743636362</v>
      </c>
      <c r="P425" s="88"/>
      <c r="Q425" s="88"/>
      <c r="R425" s="88"/>
      <c r="S425" s="88"/>
      <c r="T425" s="88"/>
      <c r="U425" s="88"/>
      <c r="V425" s="88"/>
      <c r="W425" s="88"/>
      <c r="X425" s="88"/>
      <c r="Y425" s="88"/>
      <c r="Z425" s="88"/>
      <c r="AA425" s="88"/>
      <c r="AB425" s="88"/>
      <c r="AC425" s="88"/>
      <c r="AD425" s="88"/>
      <c r="AE425" s="88"/>
      <c r="AF425" s="88"/>
      <c r="AG425" s="88">
        <f t="shared" si="368"/>
        <v>2075.9216967692309</v>
      </c>
      <c r="AH425" s="88">
        <f t="shared" si="368"/>
        <v>2082.3863679999999</v>
      </c>
      <c r="AI425" s="88">
        <f t="shared" si="368"/>
        <v>2168.5578285000001</v>
      </c>
      <c r="AJ425" s="88">
        <f t="shared" si="368"/>
        <v>2049.1081174999999</v>
      </c>
      <c r="AK425" s="88">
        <f t="shared" si="368"/>
        <v>1985.2552430000001</v>
      </c>
      <c r="AL425" s="88">
        <f t="shared" si="368"/>
        <v>2035.1234999999999</v>
      </c>
      <c r="AM425" s="88">
        <f t="shared" si="368"/>
        <v>2075.0844489999999</v>
      </c>
      <c r="AN425" s="88">
        <f t="shared" si="368"/>
        <v>2154.4873037931034</v>
      </c>
      <c r="AO425" s="88">
        <f t="shared" si="368"/>
        <v>2178.7444237964532</v>
      </c>
      <c r="AP425" s="88">
        <f t="shared" si="368"/>
        <v>2159.4303597115204</v>
      </c>
      <c r="AQ425" s="88">
        <f t="shared" si="368"/>
        <v>2268.2489214770003</v>
      </c>
      <c r="AR425" s="88">
        <f t="shared" si="368"/>
        <v>2330.5212003569568</v>
      </c>
      <c r="AS425" s="88">
        <f t="shared" si="368"/>
        <v>2407.9251994374445</v>
      </c>
      <c r="AT425" s="88">
        <f t="shared" si="368"/>
        <v>2479.3417374855094</v>
      </c>
      <c r="AU425" s="88">
        <f t="shared" si="368"/>
        <v>2553.4437550477642</v>
      </c>
      <c r="AV425" s="88">
        <f t="shared" si="368"/>
        <v>2623.1727039622556</v>
      </c>
      <c r="AY425" s="16">
        <f t="shared" si="360"/>
        <v>0.2945247498335144</v>
      </c>
      <c r="AZ425" s="16">
        <f t="shared" si="360"/>
        <v>0.25651433691001202</v>
      </c>
      <c r="BA425" s="16">
        <f t="shared" si="360"/>
        <v>0.17853451892648864</v>
      </c>
      <c r="BB425" s="16">
        <f t="shared" si="360"/>
        <v>0.20345153621625411</v>
      </c>
      <c r="BC425" s="16">
        <f t="shared" si="360"/>
        <v>0.12570953071429836</v>
      </c>
      <c r="BD425" s="16">
        <f t="shared" si="360"/>
        <v>0.13583725493048138</v>
      </c>
      <c r="BE425" s="16">
        <f t="shared" si="360"/>
        <v>0.14476681747000031</v>
      </c>
      <c r="BF425" s="16">
        <f t="shared" si="360"/>
        <v>6.7410617659326988E-3</v>
      </c>
      <c r="BG425" s="16">
        <f t="shared" si="361"/>
        <v>3.6583619692386549E-2</v>
      </c>
      <c r="BH425" s="16">
        <f t="shared" si="361"/>
        <v>1.0934697714763963E-3</v>
      </c>
      <c r="BI425" s="16">
        <f t="shared" si="361"/>
        <v>-7.0685477286027698E-3</v>
      </c>
      <c r="BJ425" s="16">
        <f t="shared" si="361"/>
        <v>3.7578536017868647E-2</v>
      </c>
      <c r="BK425" s="16">
        <f t="shared" si="362"/>
        <v>-4.3675276341268332E-2</v>
      </c>
      <c r="BL425" s="16">
        <f t="shared" si="362"/>
        <v>-2.2696493180270338E-2</v>
      </c>
      <c r="BM425" s="16">
        <f t="shared" si="362"/>
        <v>-4.3103936759969264E-2</v>
      </c>
      <c r="BN425" s="16">
        <f t="shared" si="362"/>
        <v>5.1426855124497184E-2</v>
      </c>
      <c r="BO425" s="16">
        <f t="shared" si="362"/>
        <v>9.7463125448828292E-2</v>
      </c>
      <c r="BP425" s="16">
        <f t="shared" si="362"/>
        <v>6.1080745080836829E-2</v>
      </c>
      <c r="BQ425" s="16">
        <f t="shared" si="362"/>
        <v>9.3087523531915961E-2</v>
      </c>
      <c r="BR425" s="16">
        <f t="shared" si="362"/>
        <v>8.1705701516056939E-2</v>
      </c>
      <c r="BS425" s="16">
        <f t="shared" si="363"/>
        <v>0.10518938024022328</v>
      </c>
      <c r="BT425" s="16">
        <f t="shared" si="363"/>
        <v>0.14814618880171992</v>
      </c>
      <c r="BU425" s="16">
        <f t="shared" si="364"/>
        <v>0.12573348139632556</v>
      </c>
      <c r="BV425" s="16">
        <f t="shared" si="364"/>
        <v>0.12557341403308175</v>
      </c>
    </row>
    <row r="426" spans="2:74">
      <c r="AX426" s="5"/>
      <c r="AY426" s="5"/>
      <c r="AZ426" s="5"/>
      <c r="BA426" s="5"/>
      <c r="BB426" s="5"/>
      <c r="BC426" s="5"/>
      <c r="BD426" s="5"/>
      <c r="BE426" s="5"/>
      <c r="BF426" s="5"/>
      <c r="BG426" s="5"/>
      <c r="BH426" s="5"/>
      <c r="BI426" s="5"/>
      <c r="BJ426" s="5"/>
    </row>
    <row r="427" spans="2:74">
      <c r="B427" t="s">
        <v>1528</v>
      </c>
      <c r="D427">
        <v>119</v>
      </c>
      <c r="E427">
        <v>116</v>
      </c>
      <c r="F427">
        <v>116</v>
      </c>
      <c r="G427">
        <v>107</v>
      </c>
      <c r="H427">
        <v>107</v>
      </c>
      <c r="I427">
        <v>109</v>
      </c>
      <c r="J427">
        <v>117</v>
      </c>
      <c r="K427">
        <v>117</v>
      </c>
      <c r="L427">
        <v>117</v>
      </c>
      <c r="M427">
        <v>122</v>
      </c>
      <c r="N427">
        <v>131</v>
      </c>
      <c r="O427">
        <v>144</v>
      </c>
      <c r="AG427">
        <v>157</v>
      </c>
      <c r="AH427">
        <v>162</v>
      </c>
      <c r="AI427">
        <v>165</v>
      </c>
      <c r="AJ427">
        <v>162</v>
      </c>
      <c r="AK427">
        <v>170</v>
      </c>
      <c r="AL427">
        <v>176</v>
      </c>
      <c r="AM427">
        <v>183</v>
      </c>
      <c r="AN427">
        <v>186</v>
      </c>
      <c r="AO427">
        <v>205</v>
      </c>
      <c r="AP427">
        <v>198</v>
      </c>
      <c r="AQ427">
        <v>202</v>
      </c>
      <c r="AR427">
        <v>197</v>
      </c>
      <c r="AS427">
        <v>196</v>
      </c>
      <c r="AT427">
        <v>202</v>
      </c>
      <c r="AU427">
        <v>216</v>
      </c>
      <c r="AV427">
        <v>230</v>
      </c>
      <c r="AX427" s="5"/>
      <c r="AY427" s="5"/>
      <c r="AZ427" s="5"/>
      <c r="BA427" s="5"/>
      <c r="BB427" s="5"/>
      <c r="BC427" s="5"/>
      <c r="BD427" s="5"/>
      <c r="BE427" s="5"/>
      <c r="BF427" s="5"/>
    </row>
    <row r="428" spans="2:74">
      <c r="B428" s="539" t="s">
        <v>2539</v>
      </c>
      <c r="O428" s="454">
        <v>9820.2240000000002</v>
      </c>
      <c r="P428" s="454"/>
      <c r="Q428" s="454"/>
      <c r="R428" s="454"/>
      <c r="S428" s="454"/>
      <c r="T428" s="454"/>
      <c r="U428" s="454"/>
      <c r="V428" s="454"/>
      <c r="W428" s="454"/>
      <c r="X428" s="454"/>
      <c r="Y428" s="454"/>
      <c r="Z428" s="454"/>
      <c r="AA428" s="454"/>
      <c r="AB428" s="454"/>
      <c r="AC428" s="454"/>
      <c r="AD428" s="454"/>
      <c r="AE428" s="454"/>
      <c r="AF428" s="454"/>
      <c r="AG428" s="454">
        <v>11144.802</v>
      </c>
      <c r="AH428" s="454">
        <v>12045.023999999999</v>
      </c>
      <c r="AI428" s="454">
        <v>13058.842500000001</v>
      </c>
      <c r="AJ428" s="454">
        <v>13204.377</v>
      </c>
      <c r="AK428" s="454">
        <v>13790.91</v>
      </c>
      <c r="AL428" s="454">
        <v>14385.36</v>
      </c>
      <c r="AM428" s="454">
        <v>15139.772999999999</v>
      </c>
      <c r="AN428" s="454">
        <v>15612.003000000001</v>
      </c>
      <c r="AO428" s="454">
        <v>17386.665000000001</v>
      </c>
      <c r="AP428" s="454">
        <v>16969.095000000001</v>
      </c>
      <c r="AQ428" s="454">
        <v>17624.297999999999</v>
      </c>
      <c r="AR428" s="454">
        <v>17615.937000000002</v>
      </c>
      <c r="AS428" s="454">
        <v>17960.754000000001</v>
      </c>
      <c r="AT428" s="454">
        <v>18812.361000000001</v>
      </c>
      <c r="AU428" s="454">
        <v>18674.712</v>
      </c>
      <c r="AV428" s="454">
        <v>20023.8</v>
      </c>
      <c r="AX428" s="5"/>
      <c r="AY428" s="5"/>
      <c r="AZ428" s="5"/>
      <c r="BA428" s="5"/>
      <c r="BB428" s="5"/>
      <c r="BC428" s="5"/>
      <c r="BD428" s="5"/>
      <c r="BE428" s="5"/>
      <c r="BF428" s="5"/>
    </row>
    <row r="429" spans="2:74">
      <c r="B429" t="s">
        <v>1529</v>
      </c>
      <c r="D429">
        <v>25291</v>
      </c>
      <c r="E429">
        <v>23960</v>
      </c>
      <c r="F429">
        <v>22012</v>
      </c>
      <c r="G429">
        <v>20205</v>
      </c>
      <c r="H429">
        <v>18895</v>
      </c>
      <c r="I429">
        <v>18686</v>
      </c>
      <c r="J429">
        <v>19521</v>
      </c>
      <c r="K429">
        <v>20096</v>
      </c>
      <c r="L429">
        <v>19385</v>
      </c>
      <c r="M429">
        <v>19280</v>
      </c>
      <c r="N429">
        <v>19175</v>
      </c>
      <c r="O429">
        <v>17414</v>
      </c>
      <c r="AG429">
        <v>17769</v>
      </c>
      <c r="AH429">
        <v>18484</v>
      </c>
      <c r="AI429">
        <v>17113</v>
      </c>
      <c r="AJ429">
        <v>15955</v>
      </c>
      <c r="AK429">
        <v>15441</v>
      </c>
      <c r="AL429">
        <v>15700</v>
      </c>
      <c r="AM429">
        <v>15779</v>
      </c>
      <c r="AN429">
        <v>16642</v>
      </c>
      <c r="AO429">
        <v>16599</v>
      </c>
      <c r="AP429">
        <v>15776</v>
      </c>
      <c r="AQ429">
        <v>15985</v>
      </c>
      <c r="AR429">
        <v>16575</v>
      </c>
      <c r="AS429">
        <v>16791</v>
      </c>
      <c r="AT429">
        <v>16928</v>
      </c>
      <c r="AU429">
        <v>17800</v>
      </c>
      <c r="AV429">
        <v>19150</v>
      </c>
      <c r="AX429" s="5"/>
      <c r="AY429" s="5"/>
      <c r="AZ429" s="5"/>
      <c r="BA429" s="5"/>
      <c r="BB429" s="5"/>
      <c r="BC429" s="5"/>
      <c r="BD429" s="5"/>
      <c r="BE429" s="5"/>
      <c r="BF429" s="5"/>
    </row>
    <row r="430" spans="2:74">
      <c r="B430" t="s">
        <v>1530</v>
      </c>
      <c r="D430" s="9">
        <f t="shared" ref="D430:AV430" si="369">D429/D427</f>
        <v>212.52941176470588</v>
      </c>
      <c r="E430" s="9">
        <f t="shared" si="369"/>
        <v>206.55172413793105</v>
      </c>
      <c r="F430" s="9">
        <f t="shared" si="369"/>
        <v>189.75862068965517</v>
      </c>
      <c r="G430" s="9">
        <f t="shared" si="369"/>
        <v>188.83177570093457</v>
      </c>
      <c r="H430" s="9">
        <f t="shared" si="369"/>
        <v>176.58878504672896</v>
      </c>
      <c r="I430" s="9">
        <f t="shared" si="369"/>
        <v>171.43119266055047</v>
      </c>
      <c r="J430" s="9">
        <f t="shared" si="369"/>
        <v>166.84615384615384</v>
      </c>
      <c r="K430" s="9">
        <f t="shared" si="369"/>
        <v>171.76068376068375</v>
      </c>
      <c r="L430" s="9">
        <f t="shared" si="369"/>
        <v>165.68376068376068</v>
      </c>
      <c r="M430" s="9">
        <f t="shared" si="369"/>
        <v>158.03278688524591</v>
      </c>
      <c r="N430" s="9">
        <f t="shared" si="369"/>
        <v>146.37404580152671</v>
      </c>
      <c r="O430" s="9">
        <f t="shared" si="369"/>
        <v>120.93055555555556</v>
      </c>
      <c r="P430" s="9"/>
      <c r="Q430" s="9"/>
      <c r="R430" s="9"/>
      <c r="S430" s="9"/>
      <c r="T430" s="9"/>
      <c r="U430" s="9"/>
      <c r="V430" s="9"/>
      <c r="W430" s="9"/>
      <c r="X430" s="9"/>
      <c r="Y430" s="9"/>
      <c r="Z430" s="9"/>
      <c r="AA430" s="9"/>
      <c r="AB430" s="9"/>
      <c r="AC430" s="9"/>
      <c r="AD430" s="9"/>
      <c r="AE430" s="9"/>
      <c r="AF430" s="9"/>
      <c r="AG430" s="9">
        <f t="shared" si="369"/>
        <v>113.17834394904459</v>
      </c>
      <c r="AH430" s="9">
        <f t="shared" si="369"/>
        <v>114.09876543209876</v>
      </c>
      <c r="AI430" s="9">
        <f t="shared" si="369"/>
        <v>103.71515151515152</v>
      </c>
      <c r="AJ430" s="9">
        <f t="shared" si="369"/>
        <v>98.487654320987659</v>
      </c>
      <c r="AK430" s="9">
        <f t="shared" si="369"/>
        <v>90.829411764705881</v>
      </c>
      <c r="AL430" s="9">
        <f t="shared" si="369"/>
        <v>89.204545454545453</v>
      </c>
      <c r="AM430" s="9">
        <f t="shared" si="369"/>
        <v>86.224043715846989</v>
      </c>
      <c r="AN430" s="9">
        <f t="shared" si="369"/>
        <v>89.473118279569889</v>
      </c>
      <c r="AO430" s="9">
        <f t="shared" si="369"/>
        <v>80.970731707317071</v>
      </c>
      <c r="AP430" s="9">
        <f t="shared" si="369"/>
        <v>79.676767676767682</v>
      </c>
      <c r="AQ430" s="9">
        <f t="shared" si="369"/>
        <v>79.133663366336634</v>
      </c>
      <c r="AR430" s="9">
        <f t="shared" si="369"/>
        <v>84.137055837563452</v>
      </c>
      <c r="AS430" s="9">
        <f t="shared" si="369"/>
        <v>85.66836734693878</v>
      </c>
      <c r="AT430" s="9">
        <f t="shared" si="369"/>
        <v>83.801980198019805</v>
      </c>
      <c r="AU430" s="9">
        <f t="shared" si="369"/>
        <v>82.407407407407405</v>
      </c>
      <c r="AV430" s="9">
        <f t="shared" si="369"/>
        <v>83.260869565217391</v>
      </c>
      <c r="AX430" s="5"/>
      <c r="AY430" s="5"/>
      <c r="AZ430" s="5"/>
      <c r="BA430" s="5"/>
      <c r="BB430" s="5"/>
      <c r="BC430" s="5"/>
      <c r="BD430" s="5"/>
      <c r="BE430" s="5"/>
      <c r="BF430" s="5"/>
    </row>
    <row r="431" spans="2:74">
      <c r="B431" s="539" t="s">
        <v>2540</v>
      </c>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31" t="s">
        <v>2542</v>
      </c>
      <c r="AK431" s="9">
        <v>3208</v>
      </c>
      <c r="AL431" s="9">
        <v>3489</v>
      </c>
      <c r="AM431" s="9">
        <v>3703</v>
      </c>
      <c r="AN431" s="540">
        <v>3779</v>
      </c>
      <c r="AO431" s="542">
        <v>3995</v>
      </c>
      <c r="AP431" s="541">
        <v>4148</v>
      </c>
      <c r="AQ431" s="541">
        <v>4303</v>
      </c>
      <c r="AR431" s="9">
        <v>4148</v>
      </c>
      <c r="AS431" s="9">
        <v>4573</v>
      </c>
      <c r="AT431" s="9">
        <v>4727</v>
      </c>
      <c r="AU431" s="9">
        <v>4439</v>
      </c>
      <c r="AV431" s="9">
        <v>4351</v>
      </c>
      <c r="AX431" s="5"/>
      <c r="AY431" s="5"/>
      <c r="AZ431" s="5"/>
      <c r="BA431" s="5"/>
      <c r="BB431" s="5"/>
      <c r="BC431" s="5"/>
      <c r="BD431" s="5"/>
      <c r="BE431" s="5"/>
      <c r="BF431" s="5"/>
    </row>
    <row r="432" spans="2:74">
      <c r="B432" s="539" t="s">
        <v>2541</v>
      </c>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t="e">
        <f>AJ428+AJ431</f>
        <v>#VALUE!</v>
      </c>
      <c r="AK432" s="9">
        <f t="shared" ref="AK432:AV432" si="370">AK428+AK431</f>
        <v>16998.91</v>
      </c>
      <c r="AL432" s="9">
        <f t="shared" si="370"/>
        <v>17874.36</v>
      </c>
      <c r="AM432" s="9">
        <f t="shared" si="370"/>
        <v>18842.773000000001</v>
      </c>
      <c r="AN432" s="9">
        <f t="shared" si="370"/>
        <v>19391.003000000001</v>
      </c>
      <c r="AO432" s="9">
        <f t="shared" si="370"/>
        <v>21381.665000000001</v>
      </c>
      <c r="AP432" s="9">
        <f t="shared" si="370"/>
        <v>21117.095000000001</v>
      </c>
      <c r="AQ432" s="9">
        <f t="shared" si="370"/>
        <v>21927.297999999999</v>
      </c>
      <c r="AR432" s="9">
        <f t="shared" si="370"/>
        <v>21763.937000000002</v>
      </c>
      <c r="AS432" s="9">
        <f t="shared" si="370"/>
        <v>22533.754000000001</v>
      </c>
      <c r="AT432" s="9">
        <f t="shared" si="370"/>
        <v>23539.361000000001</v>
      </c>
      <c r="AU432" s="9">
        <f t="shared" si="370"/>
        <v>23113.712</v>
      </c>
      <c r="AV432" s="9">
        <f t="shared" si="370"/>
        <v>24374.799999999999</v>
      </c>
      <c r="AX432" s="5"/>
      <c r="AY432" s="5"/>
      <c r="AZ432" s="5"/>
      <c r="BA432" s="5"/>
      <c r="BB432" s="5"/>
      <c r="BC432" s="5"/>
      <c r="BD432" s="5"/>
      <c r="BE432" s="5"/>
      <c r="BF432" s="5"/>
    </row>
    <row r="433" spans="2:72">
      <c r="AX433" s="5"/>
      <c r="AY433" s="5"/>
      <c r="AZ433" s="5"/>
      <c r="BA433" s="5"/>
      <c r="BB433" s="5"/>
      <c r="BC433" s="5"/>
      <c r="BD433" s="5"/>
      <c r="BE433" s="5"/>
      <c r="BF433" s="5"/>
    </row>
    <row r="434" spans="2:72">
      <c r="B434" t="s">
        <v>522</v>
      </c>
      <c r="D434" s="422" t="str">
        <f t="shared" ref="D434:AV434" si="371">D421</f>
        <v>Q2 05</v>
      </c>
      <c r="E434" s="422" t="str">
        <f t="shared" si="371"/>
        <v>Q3 05</v>
      </c>
      <c r="F434" s="422" t="str">
        <f t="shared" si="371"/>
        <v>Q4 05</v>
      </c>
      <c r="G434" s="422" t="str">
        <f t="shared" si="371"/>
        <v>Q1 06</v>
      </c>
      <c r="H434" s="422" t="str">
        <f t="shared" si="371"/>
        <v>Q2 06</v>
      </c>
      <c r="I434" s="422" t="str">
        <f t="shared" si="371"/>
        <v>Q3 06</v>
      </c>
      <c r="J434" s="422" t="str">
        <f t="shared" si="371"/>
        <v>Q4 06</v>
      </c>
      <c r="K434" s="422" t="str">
        <f t="shared" si="371"/>
        <v>Q1 07</v>
      </c>
      <c r="L434" s="422" t="str">
        <f t="shared" si="371"/>
        <v>Q2 07</v>
      </c>
      <c r="M434" s="422" t="str">
        <f t="shared" si="371"/>
        <v>Q3 07</v>
      </c>
      <c r="N434" s="422" t="str">
        <f t="shared" si="371"/>
        <v>Q4 07</v>
      </c>
      <c r="O434" s="422" t="str">
        <f t="shared" si="371"/>
        <v>Q1 08</v>
      </c>
      <c r="P434" s="422"/>
      <c r="Q434" s="422"/>
      <c r="R434" s="422"/>
      <c r="S434" s="422"/>
      <c r="T434" s="422"/>
      <c r="U434" s="422"/>
      <c r="V434" s="422"/>
      <c r="W434" s="422"/>
      <c r="X434" s="2525"/>
      <c r="Y434" s="2525"/>
      <c r="Z434" s="2525"/>
      <c r="AA434" s="2525"/>
      <c r="AB434" s="2525"/>
      <c r="AC434" s="2525"/>
      <c r="AD434" s="2525"/>
      <c r="AE434" s="2525"/>
      <c r="AF434" s="2525"/>
      <c r="AG434" s="422" t="str">
        <f t="shared" si="371"/>
        <v>Q2 08</v>
      </c>
      <c r="AH434" s="422" t="str">
        <f t="shared" si="371"/>
        <v>Q3 08</v>
      </c>
      <c r="AI434" s="422" t="str">
        <f t="shared" si="371"/>
        <v>Q4 08</v>
      </c>
      <c r="AJ434" s="422" t="str">
        <f t="shared" si="371"/>
        <v>Q1 09</v>
      </c>
      <c r="AK434" s="422" t="str">
        <f t="shared" si="371"/>
        <v>Q2 09</v>
      </c>
      <c r="AL434" s="422" t="str">
        <f t="shared" si="371"/>
        <v>Q3 09</v>
      </c>
      <c r="AM434" s="422" t="str">
        <f t="shared" si="371"/>
        <v>Q4 09</v>
      </c>
      <c r="AN434" s="422" t="str">
        <f t="shared" si="371"/>
        <v>Q1 10</v>
      </c>
      <c r="AO434" s="422" t="str">
        <f t="shared" si="371"/>
        <v>Q2 10</v>
      </c>
      <c r="AP434" s="422" t="str">
        <f t="shared" si="371"/>
        <v>Q3 10</v>
      </c>
      <c r="AQ434" s="422" t="str">
        <f t="shared" si="371"/>
        <v>Q4 10</v>
      </c>
      <c r="AR434" s="422" t="str">
        <f t="shared" si="371"/>
        <v>Q1 11</v>
      </c>
      <c r="AS434" s="422" t="str">
        <f t="shared" si="371"/>
        <v>Q2 11</v>
      </c>
      <c r="AT434" s="422" t="str">
        <f t="shared" si="371"/>
        <v>Q3 11</v>
      </c>
      <c r="AU434" s="422" t="str">
        <f t="shared" si="371"/>
        <v>Q4 11</v>
      </c>
      <c r="AV434" s="422" t="str">
        <f t="shared" si="371"/>
        <v>Q1 12</v>
      </c>
      <c r="AX434" s="5">
        <v>0.15856441536402444</v>
      </c>
      <c r="AY434" s="5">
        <v>0.15021592959307273</v>
      </c>
      <c r="AZ434" s="5">
        <v>0.14315412177992148</v>
      </c>
      <c r="BA434" s="5">
        <v>0.12129321194850529</v>
      </c>
      <c r="BB434" s="5">
        <v>0.11541413290447378</v>
      </c>
      <c r="BC434" s="5">
        <v>8.2723573794662997E-2</v>
      </c>
      <c r="BD434" s="5">
        <v>8.1434381261354272E-2</v>
      </c>
      <c r="BE434" s="5">
        <v>6.9955681039953754E-2</v>
      </c>
      <c r="BF434" s="5">
        <v>9.296614856613683E-2</v>
      </c>
    </row>
    <row r="435" spans="2:72">
      <c r="B435" t="str">
        <f>B422</f>
        <v>AMX</v>
      </c>
      <c r="D435" s="5">
        <f t="shared" ref="D435:AV435" si="372">D422/D$425</f>
        <v>0.44709015172431466</v>
      </c>
      <c r="E435" s="5">
        <f t="shared" si="372"/>
        <v>0.50570617354153125</v>
      </c>
      <c r="F435" s="5">
        <f t="shared" si="372"/>
        <v>0.51213891782986243</v>
      </c>
      <c r="G435" s="5">
        <f t="shared" si="372"/>
        <v>0.55136080579712332</v>
      </c>
      <c r="H435" s="5">
        <f t="shared" si="372"/>
        <v>0.53926683872438574</v>
      </c>
      <c r="I435" s="5">
        <f t="shared" si="372"/>
        <v>0.56208090749988793</v>
      </c>
      <c r="J435" s="5">
        <f t="shared" si="372"/>
        <v>0.58746927624221135</v>
      </c>
      <c r="K435" s="5">
        <f t="shared" si="372"/>
        <v>0.60794457157032589</v>
      </c>
      <c r="L435" s="5">
        <f t="shared" si="372"/>
        <v>0.59020149355433849</v>
      </c>
      <c r="M435" s="5">
        <f t="shared" si="372"/>
        <v>0.58203932276961512</v>
      </c>
      <c r="N435" s="5">
        <f t="shared" si="372"/>
        <v>0.57409225300560929</v>
      </c>
      <c r="O435" s="5">
        <f t="shared" si="372"/>
        <v>0.60133093662265935</v>
      </c>
      <c r="P435" s="5"/>
      <c r="Q435" s="5"/>
      <c r="R435" s="5"/>
      <c r="S435" s="5"/>
      <c r="T435" s="5"/>
      <c r="U435" s="5"/>
      <c r="V435" s="5"/>
      <c r="W435" s="5"/>
      <c r="X435" s="5"/>
      <c r="Y435" s="5"/>
      <c r="Z435" s="5"/>
      <c r="AA435" s="5"/>
      <c r="AB435" s="5"/>
      <c r="AC435" s="5"/>
      <c r="AD435" s="5"/>
      <c r="AE435" s="5"/>
      <c r="AF435" s="5"/>
      <c r="AG435" s="5">
        <f t="shared" si="372"/>
        <v>0.60760973593707635</v>
      </c>
      <c r="AH435" s="5">
        <f t="shared" si="372"/>
        <v>0.61819573340580003</v>
      </c>
      <c r="AI435" s="5">
        <f t="shared" si="372"/>
        <v>0.62456246759942002</v>
      </c>
      <c r="AJ435" s="5">
        <f t="shared" si="372"/>
        <v>0.6346508055839567</v>
      </c>
      <c r="AK435" s="5">
        <f t="shared" si="372"/>
        <v>0.63096181078817581</v>
      </c>
      <c r="AL435" s="5">
        <f t="shared" si="372"/>
        <v>0.63054625431822686</v>
      </c>
      <c r="AM435" s="5">
        <f t="shared" si="372"/>
        <v>0.62908883039872854</v>
      </c>
      <c r="AN435" s="5">
        <f t="shared" si="372"/>
        <v>0.64834663380970226</v>
      </c>
      <c r="AO435" s="5">
        <f t="shared" si="372"/>
        <v>0.64615701209547804</v>
      </c>
      <c r="AP435" s="5">
        <f t="shared" si="372"/>
        <v>0.62611078607814896</v>
      </c>
      <c r="AQ435" s="5">
        <f t="shared" si="372"/>
        <v>0.61486869972447245</v>
      </c>
      <c r="AR435" s="5">
        <f t="shared" si="372"/>
        <v>0.63597493761180302</v>
      </c>
      <c r="AS435" s="5">
        <f t="shared" si="372"/>
        <v>0.63961505952835207</v>
      </c>
      <c r="AT435" s="5">
        <f t="shared" si="372"/>
        <v>0.63584688403577261</v>
      </c>
      <c r="AU435" s="5">
        <f t="shared" si="372"/>
        <v>0.62757672900260308</v>
      </c>
      <c r="AV435" s="5">
        <f t="shared" si="372"/>
        <v>0.63339085320815647</v>
      </c>
    </row>
    <row r="436" spans="2:72">
      <c r="B436" t="str">
        <f>B423</f>
        <v>TEF</v>
      </c>
      <c r="D436" s="5">
        <f t="shared" ref="D436:AV436" si="373">D423/D$425</f>
        <v>0.40676341302427349</v>
      </c>
      <c r="E436" s="5">
        <f t="shared" si="373"/>
        <v>0.36364091635210716</v>
      </c>
      <c r="F436" s="5">
        <f t="shared" si="373"/>
        <v>0.35890849020705978</v>
      </c>
      <c r="G436" s="5">
        <f t="shared" si="373"/>
        <v>0.33005382418044943</v>
      </c>
      <c r="H436" s="5">
        <f t="shared" si="373"/>
        <v>0.3389510853503338</v>
      </c>
      <c r="I436" s="5">
        <f t="shared" si="373"/>
        <v>0.32216728504539371</v>
      </c>
      <c r="J436" s="5">
        <f t="shared" si="373"/>
        <v>0.3034896298128954</v>
      </c>
      <c r="K436" s="5">
        <f t="shared" si="373"/>
        <v>0.2895491027525956</v>
      </c>
      <c r="L436" s="5">
        <f t="shared" si="373"/>
        <v>0.30159928829136434</v>
      </c>
      <c r="M436" s="5">
        <f t="shared" si="373"/>
        <v>0.30382981881658822</v>
      </c>
      <c r="N436" s="5">
        <f t="shared" si="373"/>
        <v>0.3058614353743499</v>
      </c>
      <c r="O436" s="5">
        <f t="shared" si="373"/>
        <v>0.29419293412485431</v>
      </c>
      <c r="P436" s="5"/>
      <c r="Q436" s="5"/>
      <c r="R436" s="5"/>
      <c r="S436" s="5"/>
      <c r="T436" s="5"/>
      <c r="U436" s="5"/>
      <c r="V436" s="5"/>
      <c r="W436" s="5"/>
      <c r="X436" s="5"/>
      <c r="Y436" s="5"/>
      <c r="Z436" s="5"/>
      <c r="AA436" s="5"/>
      <c r="AB436" s="5"/>
      <c r="AC436" s="5"/>
      <c r="AD436" s="5"/>
      <c r="AE436" s="5"/>
      <c r="AF436" s="5"/>
      <c r="AG436" s="5">
        <f t="shared" si="373"/>
        <v>0.29191852512699362</v>
      </c>
      <c r="AH436" s="5">
        <f t="shared" si="373"/>
        <v>0.27276398305734589</v>
      </c>
      <c r="AI436" s="5">
        <f t="shared" si="373"/>
        <v>0.26791999381537357</v>
      </c>
      <c r="AJ436" s="5">
        <f t="shared" si="373"/>
        <v>0.25523299406869876</v>
      </c>
      <c r="AK436" s="5">
        <f t="shared" si="373"/>
        <v>0.25236049710309216</v>
      </c>
      <c r="AL436" s="5">
        <f t="shared" si="373"/>
        <v>0.25256452495389103</v>
      </c>
      <c r="AM436" s="5">
        <f t="shared" si="373"/>
        <v>0.24239977329231097</v>
      </c>
      <c r="AN436" s="5">
        <f t="shared" si="373"/>
        <v>0.22738342989100679</v>
      </c>
      <c r="AO436" s="5">
        <f t="shared" si="373"/>
        <v>0.22670187076637024</v>
      </c>
      <c r="AP436" s="5">
        <f t="shared" si="373"/>
        <v>0.23683130942914116</v>
      </c>
      <c r="AQ436" s="5">
        <f t="shared" si="373"/>
        <v>0.2426451749919111</v>
      </c>
      <c r="AR436" s="5">
        <f t="shared" si="373"/>
        <v>0.22616508499310178</v>
      </c>
      <c r="AS436" s="5">
        <f t="shared" si="373"/>
        <v>0.22233679841239296</v>
      </c>
      <c r="AT436" s="5">
        <f t="shared" si="373"/>
        <v>0.22329271954538107</v>
      </c>
      <c r="AU436" s="5">
        <f t="shared" si="373"/>
        <v>0.22306853418516348</v>
      </c>
      <c r="AV436" s="5">
        <f t="shared" si="373"/>
        <v>0.22208301344677223</v>
      </c>
    </row>
    <row r="437" spans="2:72">
      <c r="B437" t="str">
        <f>B424</f>
        <v>MICC</v>
      </c>
      <c r="D437" s="5">
        <f t="shared" ref="D437:AV437" si="374">D424/D$425</f>
        <v>0.1461464352514118</v>
      </c>
      <c r="E437" s="5">
        <f t="shared" si="374"/>
        <v>0.13065291010636171</v>
      </c>
      <c r="F437" s="5">
        <f t="shared" si="374"/>
        <v>0.12895259196307782</v>
      </c>
      <c r="G437" s="5">
        <f t="shared" si="374"/>
        <v>0.11858537002242731</v>
      </c>
      <c r="H437" s="5">
        <f t="shared" si="374"/>
        <v>0.12178207592528049</v>
      </c>
      <c r="I437" s="5">
        <f t="shared" si="374"/>
        <v>0.11575180745471829</v>
      </c>
      <c r="J437" s="5">
        <f t="shared" si="374"/>
        <v>0.10904109394489331</v>
      </c>
      <c r="K437" s="5">
        <f t="shared" si="374"/>
        <v>0.1025063256770785</v>
      </c>
      <c r="L437" s="5">
        <f t="shared" si="374"/>
        <v>0.10819921815429707</v>
      </c>
      <c r="M437" s="5">
        <f t="shared" si="374"/>
        <v>0.11413085841379662</v>
      </c>
      <c r="N437" s="5">
        <f t="shared" si="374"/>
        <v>0.12004631162004079</v>
      </c>
      <c r="O437" s="5">
        <f t="shared" si="374"/>
        <v>0.10447612925248634</v>
      </c>
      <c r="P437" s="5"/>
      <c r="Q437" s="5"/>
      <c r="R437" s="5"/>
      <c r="S437" s="5"/>
      <c r="T437" s="5"/>
      <c r="U437" s="5"/>
      <c r="V437" s="5"/>
      <c r="W437" s="5"/>
      <c r="X437" s="5"/>
      <c r="Y437" s="5"/>
      <c r="Z437" s="5"/>
      <c r="AA437" s="5"/>
      <c r="AB437" s="5"/>
      <c r="AC437" s="5"/>
      <c r="AD437" s="5"/>
      <c r="AE437" s="5"/>
      <c r="AF437" s="5"/>
      <c r="AG437" s="5">
        <f t="shared" si="374"/>
        <v>0.10047173893592988</v>
      </c>
      <c r="AH437" s="5">
        <f t="shared" si="374"/>
        <v>0.10904028353685419</v>
      </c>
      <c r="AI437" s="5">
        <f t="shared" si="374"/>
        <v>0.10751753858520631</v>
      </c>
      <c r="AJ437" s="5">
        <f t="shared" si="374"/>
        <v>0.11011620034734453</v>
      </c>
      <c r="AK437" s="5">
        <f t="shared" si="374"/>
        <v>0.11667769210873202</v>
      </c>
      <c r="AL437" s="5">
        <f t="shared" si="374"/>
        <v>0.11688922072788212</v>
      </c>
      <c r="AM437" s="5">
        <f t="shared" si="374"/>
        <v>0.12851139630896055</v>
      </c>
      <c r="AN437" s="5">
        <f t="shared" si="374"/>
        <v>0.12426993629929092</v>
      </c>
      <c r="AO437" s="5">
        <f t="shared" si="374"/>
        <v>0.12714111713815182</v>
      </c>
      <c r="AP437" s="5">
        <f t="shared" si="374"/>
        <v>0.13705790449271002</v>
      </c>
      <c r="AQ437" s="5">
        <f t="shared" si="374"/>
        <v>0.14248612528361657</v>
      </c>
      <c r="AR437" s="5">
        <f t="shared" si="374"/>
        <v>0.13785997739509512</v>
      </c>
      <c r="AS437" s="5">
        <f t="shared" si="374"/>
        <v>0.13804814205925486</v>
      </c>
      <c r="AT437" s="5">
        <f t="shared" si="374"/>
        <v>0.14086039641884626</v>
      </c>
      <c r="AU437" s="5">
        <f t="shared" si="374"/>
        <v>0.14935473681223349</v>
      </c>
      <c r="AV437" s="5">
        <f t="shared" si="374"/>
        <v>0.14452613334507119</v>
      </c>
    </row>
    <row r="439" spans="2:72">
      <c r="B439" s="23" t="s">
        <v>360</v>
      </c>
      <c r="C439" s="306" t="str">
        <f t="shared" ref="C439:AV439" si="375">C421</f>
        <v>Q1 05</v>
      </c>
      <c r="D439" s="306" t="str">
        <f t="shared" si="375"/>
        <v>Q2 05</v>
      </c>
      <c r="E439" s="306" t="str">
        <f t="shared" si="375"/>
        <v>Q3 05</v>
      </c>
      <c r="F439" s="306" t="str">
        <f t="shared" si="375"/>
        <v>Q4 05</v>
      </c>
      <c r="G439" s="306" t="str">
        <f t="shared" si="375"/>
        <v>Q1 06</v>
      </c>
      <c r="H439" s="306" t="str">
        <f t="shared" si="375"/>
        <v>Q2 06</v>
      </c>
      <c r="I439" s="306" t="str">
        <f t="shared" si="375"/>
        <v>Q3 06</v>
      </c>
      <c r="J439" s="306" t="str">
        <f t="shared" si="375"/>
        <v>Q4 06</v>
      </c>
      <c r="K439" s="306" t="str">
        <f t="shared" si="375"/>
        <v>Q1 07</v>
      </c>
      <c r="L439" s="306" t="str">
        <f t="shared" si="375"/>
        <v>Q2 07</v>
      </c>
      <c r="M439" s="306" t="str">
        <f t="shared" si="375"/>
        <v>Q3 07</v>
      </c>
      <c r="N439" s="306" t="str">
        <f t="shared" si="375"/>
        <v>Q4 07</v>
      </c>
      <c r="O439" s="306" t="str">
        <f t="shared" si="375"/>
        <v>Q1 08</v>
      </c>
      <c r="P439" s="306"/>
      <c r="Q439" s="306"/>
      <c r="R439" s="306"/>
      <c r="S439" s="306"/>
      <c r="T439" s="306"/>
      <c r="U439" s="306"/>
      <c r="V439" s="306"/>
      <c r="W439" s="306"/>
      <c r="X439" s="2523"/>
      <c r="Y439" s="2523"/>
      <c r="Z439" s="2523"/>
      <c r="AA439" s="2523"/>
      <c r="AB439" s="2523"/>
      <c r="AC439" s="2523"/>
      <c r="AD439" s="2523"/>
      <c r="AE439" s="2523"/>
      <c r="AF439" s="2523"/>
      <c r="AG439" s="306" t="str">
        <f t="shared" si="375"/>
        <v>Q2 08</v>
      </c>
      <c r="AH439" s="306" t="str">
        <f t="shared" si="375"/>
        <v>Q3 08</v>
      </c>
      <c r="AI439" s="306" t="str">
        <f t="shared" si="375"/>
        <v>Q4 08</v>
      </c>
      <c r="AJ439" s="306" t="str">
        <f t="shared" si="375"/>
        <v>Q1 09</v>
      </c>
      <c r="AK439" s="306" t="str">
        <f t="shared" si="375"/>
        <v>Q2 09</v>
      </c>
      <c r="AL439" s="306" t="str">
        <f t="shared" si="375"/>
        <v>Q3 09</v>
      </c>
      <c r="AM439" s="306" t="str">
        <f t="shared" si="375"/>
        <v>Q4 09</v>
      </c>
      <c r="AN439" s="306" t="str">
        <f t="shared" si="375"/>
        <v>Q1 10</v>
      </c>
      <c r="AO439" s="306" t="str">
        <f t="shared" si="375"/>
        <v>Q2 10</v>
      </c>
      <c r="AP439" s="306" t="str">
        <f t="shared" si="375"/>
        <v>Q3 10</v>
      </c>
      <c r="AQ439" s="306" t="str">
        <f t="shared" si="375"/>
        <v>Q4 10</v>
      </c>
      <c r="AR439" s="306" t="str">
        <f t="shared" si="375"/>
        <v>Q1 11</v>
      </c>
      <c r="AS439" s="306" t="str">
        <f t="shared" si="375"/>
        <v>Q2 11</v>
      </c>
      <c r="AT439" s="306" t="str">
        <f t="shared" si="375"/>
        <v>Q3 11</v>
      </c>
      <c r="AU439" s="306" t="str">
        <f t="shared" si="375"/>
        <v>Q4 11</v>
      </c>
      <c r="AV439" s="306" t="str">
        <f t="shared" si="375"/>
        <v>Q1 12</v>
      </c>
      <c r="AY439" s="422" t="str">
        <f t="shared" ref="AY439:BT439" si="376">AY421</f>
        <v>Q2 06</v>
      </c>
      <c r="AZ439" s="422" t="str">
        <f t="shared" si="376"/>
        <v>Q3 06</v>
      </c>
      <c r="BA439" s="422" t="str">
        <f t="shared" si="376"/>
        <v>Q4 06</v>
      </c>
      <c r="BB439" s="422" t="str">
        <f t="shared" si="376"/>
        <v>Q1 07</v>
      </c>
      <c r="BC439" s="422" t="str">
        <f t="shared" si="376"/>
        <v>Q2 07</v>
      </c>
      <c r="BD439" s="422" t="str">
        <f t="shared" si="376"/>
        <v>Q3 07</v>
      </c>
      <c r="BE439" s="422" t="str">
        <f t="shared" si="376"/>
        <v>Q4 07</v>
      </c>
      <c r="BF439" s="422" t="str">
        <f t="shared" si="376"/>
        <v>Q1 08</v>
      </c>
      <c r="BG439" s="422" t="str">
        <f t="shared" si="376"/>
        <v>Q2 08</v>
      </c>
      <c r="BH439" s="422" t="str">
        <f t="shared" si="376"/>
        <v>Q3 08</v>
      </c>
      <c r="BI439" s="422" t="str">
        <f t="shared" si="376"/>
        <v>Q4 08</v>
      </c>
      <c r="BJ439" s="422" t="str">
        <f t="shared" si="376"/>
        <v>Q1 09</v>
      </c>
      <c r="BK439" s="422" t="str">
        <f t="shared" si="376"/>
        <v>Q2 09</v>
      </c>
      <c r="BL439" s="422" t="str">
        <f t="shared" si="376"/>
        <v>Q3 09</v>
      </c>
      <c r="BM439" s="422" t="str">
        <f t="shared" si="376"/>
        <v>Q4 09</v>
      </c>
      <c r="BN439" s="422" t="str">
        <f t="shared" si="376"/>
        <v>Q1 10</v>
      </c>
      <c r="BO439" s="422" t="str">
        <f t="shared" si="376"/>
        <v>Q2 10</v>
      </c>
      <c r="BP439" s="422" t="str">
        <f t="shared" si="376"/>
        <v>Q3 10</v>
      </c>
      <c r="BQ439" s="422" t="str">
        <f t="shared" si="376"/>
        <v>Q4 10</v>
      </c>
      <c r="BR439" s="422" t="str">
        <f t="shared" si="376"/>
        <v>Q1 11</v>
      </c>
      <c r="BS439" s="422" t="str">
        <f t="shared" si="376"/>
        <v>Q2 11</v>
      </c>
      <c r="BT439" s="422" t="str">
        <f t="shared" si="376"/>
        <v>Q3 11</v>
      </c>
    </row>
    <row r="440" spans="2:72">
      <c r="B440" t="str">
        <f>B422</f>
        <v>AMX</v>
      </c>
      <c r="D440">
        <v>94</v>
      </c>
      <c r="E440">
        <v>159</v>
      </c>
      <c r="F440">
        <v>227</v>
      </c>
      <c r="G440">
        <v>284</v>
      </c>
      <c r="H440">
        <v>336</v>
      </c>
      <c r="I440">
        <v>447</v>
      </c>
      <c r="J440">
        <v>531</v>
      </c>
      <c r="K440">
        <v>651</v>
      </c>
      <c r="L440">
        <v>660</v>
      </c>
      <c r="M440">
        <v>689</v>
      </c>
      <c r="N440">
        <v>689</v>
      </c>
      <c r="O440">
        <v>645</v>
      </c>
      <c r="AG440">
        <v>700</v>
      </c>
      <c r="AH440">
        <v>705</v>
      </c>
      <c r="AI440">
        <v>660</v>
      </c>
      <c r="AJ440">
        <v>715</v>
      </c>
      <c r="AK440">
        <v>681</v>
      </c>
      <c r="AL440">
        <v>738</v>
      </c>
      <c r="AM440">
        <v>717</v>
      </c>
      <c r="AN440">
        <v>745</v>
      </c>
      <c r="AO440">
        <v>753</v>
      </c>
      <c r="AP440">
        <v>740</v>
      </c>
      <c r="AQ440">
        <v>834</v>
      </c>
      <c r="AR440">
        <v>829</v>
      </c>
      <c r="AS440">
        <v>909</v>
      </c>
      <c r="AT440">
        <v>983</v>
      </c>
      <c r="AU440">
        <v>1005</v>
      </c>
      <c r="AV440">
        <v>1021</v>
      </c>
      <c r="AY440" s="16">
        <f t="shared" ref="AY440:BF443" si="377">H440/D440-1</f>
        <v>2.5744680851063828</v>
      </c>
      <c r="AZ440" s="16">
        <f t="shared" si="377"/>
        <v>1.8113207547169812</v>
      </c>
      <c r="BA440" s="16">
        <f t="shared" si="377"/>
        <v>1.33920704845815</v>
      </c>
      <c r="BB440" s="16">
        <f t="shared" si="377"/>
        <v>1.2922535211267605</v>
      </c>
      <c r="BC440" s="16">
        <f t="shared" si="377"/>
        <v>0.96428571428571419</v>
      </c>
      <c r="BD440" s="16">
        <f t="shared" si="377"/>
        <v>0.54138702460850108</v>
      </c>
      <c r="BE440" s="16">
        <f t="shared" si="377"/>
        <v>0.2975517890772128</v>
      </c>
      <c r="BF440" s="16">
        <f t="shared" si="377"/>
        <v>-9.2165898617511122E-3</v>
      </c>
      <c r="BG440" s="16">
        <f t="shared" ref="BG440:BJ443" si="378">AG440/L440-1</f>
        <v>6.0606060606060552E-2</v>
      </c>
      <c r="BH440" s="16">
        <f t="shared" si="378"/>
        <v>2.3222060957909907E-2</v>
      </c>
      <c r="BI440" s="16">
        <f t="shared" si="378"/>
        <v>-4.2089985486211901E-2</v>
      </c>
      <c r="BJ440" s="16">
        <f t="shared" si="378"/>
        <v>0.10852713178294571</v>
      </c>
      <c r="BK440" s="16">
        <f t="shared" ref="BK440:BR443" si="379">AK440/AG440-1</f>
        <v>-2.7142857142857135E-2</v>
      </c>
      <c r="BL440" s="16">
        <f t="shared" si="379"/>
        <v>4.6808510638297829E-2</v>
      </c>
      <c r="BM440" s="16">
        <f t="shared" si="379"/>
        <v>8.636363636363642E-2</v>
      </c>
      <c r="BN440" s="16">
        <f t="shared" si="379"/>
        <v>4.195804195804187E-2</v>
      </c>
      <c r="BO440" s="16">
        <f t="shared" si="379"/>
        <v>0.10572687224669597</v>
      </c>
      <c r="BP440" s="16">
        <f t="shared" si="379"/>
        <v>2.7100271002709064E-3</v>
      </c>
      <c r="BQ440" s="16">
        <f t="shared" si="379"/>
        <v>0.16317991631799167</v>
      </c>
      <c r="BR440" s="16">
        <f t="shared" si="379"/>
        <v>0.11275167785234896</v>
      </c>
      <c r="BS440" s="16">
        <f t="shared" ref="BS440:BT443" si="380">AS440/AO440-1</f>
        <v>0.20717131474103589</v>
      </c>
      <c r="BT440" s="16">
        <f t="shared" si="380"/>
        <v>0.32837837837837847</v>
      </c>
    </row>
    <row r="441" spans="2:72">
      <c r="B441" t="str">
        <f>B423</f>
        <v>TEF</v>
      </c>
      <c r="D441">
        <v>-41</v>
      </c>
      <c r="E441">
        <v>121</v>
      </c>
      <c r="F441">
        <v>136</v>
      </c>
      <c r="G441">
        <v>101</v>
      </c>
      <c r="H441">
        <v>40</v>
      </c>
      <c r="I441">
        <v>108</v>
      </c>
      <c r="J441">
        <v>158</v>
      </c>
      <c r="K441">
        <v>67</v>
      </c>
      <c r="L441">
        <v>95</v>
      </c>
      <c r="M441">
        <v>141</v>
      </c>
      <c r="N441">
        <v>229</v>
      </c>
      <c r="O441">
        <v>126</v>
      </c>
      <c r="AG441">
        <v>133</v>
      </c>
      <c r="AH441">
        <v>162</v>
      </c>
      <c r="AI441">
        <v>178</v>
      </c>
      <c r="AJ441">
        <v>164</v>
      </c>
      <c r="AK441">
        <v>24</v>
      </c>
      <c r="AL441">
        <v>204</v>
      </c>
      <c r="AM441">
        <v>183</v>
      </c>
      <c r="AN441">
        <v>156</v>
      </c>
      <c r="AO441">
        <v>166</v>
      </c>
      <c r="AP441">
        <v>195</v>
      </c>
      <c r="AQ441">
        <v>76</v>
      </c>
      <c r="AR441">
        <v>180</v>
      </c>
      <c r="AS441">
        <v>183</v>
      </c>
      <c r="AT441" s="521">
        <v>185</v>
      </c>
      <c r="AY441" s="16">
        <f t="shared" si="377"/>
        <v>-1.975609756097561</v>
      </c>
      <c r="AZ441" s="16">
        <f t="shared" si="377"/>
        <v>-0.1074380165289256</v>
      </c>
      <c r="BA441" s="16">
        <f t="shared" si="377"/>
        <v>0.16176470588235303</v>
      </c>
      <c r="BB441" s="16">
        <f t="shared" si="377"/>
        <v>-0.3366336633663366</v>
      </c>
      <c r="BC441" s="16">
        <f t="shared" si="377"/>
        <v>1.375</v>
      </c>
      <c r="BD441" s="16">
        <f t="shared" si="377"/>
        <v>0.30555555555555558</v>
      </c>
      <c r="BE441" s="16">
        <f t="shared" si="377"/>
        <v>0.44936708860759489</v>
      </c>
      <c r="BF441" s="16">
        <f t="shared" si="377"/>
        <v>0.88059701492537323</v>
      </c>
      <c r="BG441" s="16">
        <f t="shared" si="378"/>
        <v>0.39999999999999991</v>
      </c>
      <c r="BH441" s="16">
        <f t="shared" si="378"/>
        <v>0.14893617021276606</v>
      </c>
      <c r="BI441" s="16">
        <f t="shared" si="378"/>
        <v>-0.22270742358078599</v>
      </c>
      <c r="BJ441" s="16">
        <f t="shared" si="378"/>
        <v>0.30158730158730163</v>
      </c>
      <c r="BK441" s="16">
        <f t="shared" si="379"/>
        <v>-0.81954887218045114</v>
      </c>
      <c r="BL441" s="16">
        <f t="shared" si="379"/>
        <v>0.2592592592592593</v>
      </c>
      <c r="BM441" s="16">
        <f t="shared" si="379"/>
        <v>2.8089887640449396E-2</v>
      </c>
      <c r="BN441" s="16">
        <f t="shared" si="379"/>
        <v>-4.8780487804878092E-2</v>
      </c>
      <c r="BO441" s="16">
        <f t="shared" si="379"/>
        <v>5.916666666666667</v>
      </c>
      <c r="BP441" s="16">
        <f t="shared" si="379"/>
        <v>-4.4117647058823484E-2</v>
      </c>
      <c r="BQ441" s="16">
        <f t="shared" si="379"/>
        <v>-0.58469945355191255</v>
      </c>
      <c r="BR441" s="16">
        <f t="shared" si="379"/>
        <v>0.15384615384615374</v>
      </c>
      <c r="BS441" s="16">
        <f t="shared" si="380"/>
        <v>0.10240963855421681</v>
      </c>
      <c r="BT441" s="16">
        <f t="shared" si="380"/>
        <v>-5.1282051282051322E-2</v>
      </c>
    </row>
    <row r="442" spans="2:72">
      <c r="B442" s="11" t="str">
        <f>B424</f>
        <v>MICC</v>
      </c>
      <c r="C442" s="11"/>
      <c r="D442" s="13">
        <f t="shared" ref="D442:I442" si="381">E442/E424*D424</f>
        <v>30.736343207792334</v>
      </c>
      <c r="E442" s="13">
        <f t="shared" si="381"/>
        <v>29.141792307924753</v>
      </c>
      <c r="F442" s="13">
        <f t="shared" si="381"/>
        <v>31.946002511140154</v>
      </c>
      <c r="G442" s="13">
        <f t="shared" si="381"/>
        <v>29.581668418233047</v>
      </c>
      <c r="H442" s="13">
        <f t="shared" si="381"/>
        <v>33.155661814487971</v>
      </c>
      <c r="I442" s="13">
        <f t="shared" si="381"/>
        <v>32.440863135236981</v>
      </c>
      <c r="J442" s="13">
        <f>Quarts!V328*Colombia!J424</f>
        <v>31.836033483563067</v>
      </c>
      <c r="K442" s="13">
        <f>Quarts!X328*Colombia!K424</f>
        <v>42.227568348603064</v>
      </c>
      <c r="L442" s="13">
        <f>Quarts!Y328*Colombia!L424</f>
        <v>54.171487054423082</v>
      </c>
      <c r="M442" s="13">
        <f>Quarts!Z328*Colombia!M424</f>
        <v>59.35123714853539</v>
      </c>
      <c r="N442" s="13">
        <f>Quarts!AA328*Colombia!N424</f>
        <v>40.441855375707547</v>
      </c>
      <c r="O442" s="13">
        <f>Quarts!AC328*Colombia!O424</f>
        <v>24.759519643636359</v>
      </c>
      <c r="P442" s="13"/>
      <c r="Q442" s="13"/>
      <c r="R442" s="13"/>
      <c r="S442" s="13"/>
      <c r="T442" s="13"/>
      <c r="U442" s="13"/>
      <c r="V442" s="13"/>
      <c r="W442" s="13"/>
      <c r="X442" s="2526"/>
      <c r="Y442" s="2526"/>
      <c r="Z442" s="2526"/>
      <c r="AA442" s="2526"/>
      <c r="AB442" s="2526"/>
      <c r="AC442" s="2526"/>
      <c r="AD442" s="2526"/>
      <c r="AE442" s="2526"/>
      <c r="AF442" s="2526"/>
      <c r="AG442" s="13">
        <f>Quarts!AD328*Colombia!AG424</f>
        <v>25.028575532307691</v>
      </c>
      <c r="AH442" s="13">
        <f>Quarts!AE328*Colombia!AH424</f>
        <v>31.788960000000003</v>
      </c>
      <c r="AI442" s="13">
        <f>Quarts!AF328*Colombia!AI424</f>
        <v>40.549217391304346</v>
      </c>
      <c r="AJ442" s="13">
        <f>Quarts!AH328*Colombia!AJ424</f>
        <v>45.128</v>
      </c>
      <c r="AK442" s="13">
        <f>Quarts!AI328*Colombia!AK424</f>
        <v>46.326999999999998</v>
      </c>
      <c r="AL442" s="13">
        <f>Quarts!AJ328*Colombia!AL424</f>
        <v>52.334479999999999</v>
      </c>
      <c r="AM442" s="13">
        <f>Quarts!AK328*Colombia!AM424</f>
        <v>66.668000000000006</v>
      </c>
      <c r="AN442" s="13">
        <f>Quarts!AM328*Colombia!AN424</f>
        <v>73.627950000000013</v>
      </c>
      <c r="AO442" s="13">
        <f>Quarts!AN328*Colombia!AO424</f>
        <v>77.562240000000003</v>
      </c>
      <c r="AP442" s="13">
        <f>Quarts!AO328*Colombia!AP424</f>
        <v>85.830429999999993</v>
      </c>
      <c r="AQ442" s="13">
        <f>Quarts!AP328*Colombia!AQ424</f>
        <v>96.958200000000005</v>
      </c>
      <c r="AR442" s="13">
        <f>Quarts!AR328*Colombia!AR424</f>
        <v>96.385679999999994</v>
      </c>
      <c r="AS442" s="13">
        <f>AR442/AR424*AS424</f>
        <v>99.722879999999989</v>
      </c>
      <c r="AT442" s="13">
        <f>AS442/AS424*AT424</f>
        <v>104.77231799999998</v>
      </c>
      <c r="AU442" s="13">
        <f>AT442/AT424*AU424</f>
        <v>114.410676</v>
      </c>
      <c r="AV442" s="13">
        <f>AU442/AU424*AV424</f>
        <v>113.73510239999997</v>
      </c>
      <c r="AY442" s="20">
        <f t="shared" si="377"/>
        <v>7.8711985688729724E-2</v>
      </c>
      <c r="AZ442" s="20">
        <f t="shared" si="377"/>
        <v>0.11320754716981107</v>
      </c>
      <c r="BA442" s="20">
        <f t="shared" si="377"/>
        <v>-3.4423407917387738E-3</v>
      </c>
      <c r="BB442" s="20">
        <f t="shared" si="377"/>
        <v>0.42749109859454548</v>
      </c>
      <c r="BC442" s="20">
        <f t="shared" si="377"/>
        <v>0.63385328748744385</v>
      </c>
      <c r="BD442" s="20">
        <f t="shared" si="377"/>
        <v>0.82952090088098163</v>
      </c>
      <c r="BE442" s="20">
        <f t="shared" si="377"/>
        <v>0.27031702603867602</v>
      </c>
      <c r="BF442" s="20">
        <f t="shared" si="377"/>
        <v>-0.41366456530866214</v>
      </c>
      <c r="BG442" s="20">
        <f t="shared" si="378"/>
        <v>-0.53797510658766168</v>
      </c>
      <c r="BH442" s="20">
        <f t="shared" si="378"/>
        <v>-0.464392630596</v>
      </c>
      <c r="BI442" s="20">
        <f t="shared" si="378"/>
        <v>2.6547252740853899E-3</v>
      </c>
      <c r="BJ442" s="20">
        <f t="shared" si="378"/>
        <v>0.82265248476251052</v>
      </c>
      <c r="BK442" s="20">
        <f t="shared" si="379"/>
        <v>0.85096430838421533</v>
      </c>
      <c r="BL442" s="20">
        <f t="shared" si="379"/>
        <v>0.64630991388205206</v>
      </c>
      <c r="BM442" s="20">
        <f t="shared" si="379"/>
        <v>0.64412544283275741</v>
      </c>
      <c r="BN442" s="20">
        <f t="shared" si="379"/>
        <v>0.63153585357206188</v>
      </c>
      <c r="BO442" s="20">
        <f t="shared" si="379"/>
        <v>0.67423403198998444</v>
      </c>
      <c r="BP442" s="20">
        <f t="shared" si="379"/>
        <v>0.64003597628179354</v>
      </c>
      <c r="BQ442" s="20">
        <f t="shared" si="379"/>
        <v>0.4543439131217375</v>
      </c>
      <c r="BR442" s="20">
        <f t="shared" si="379"/>
        <v>0.30909090909090886</v>
      </c>
      <c r="BS442" s="20">
        <f t="shared" si="380"/>
        <v>0.28571428571428559</v>
      </c>
      <c r="BT442" s="20">
        <f t="shared" si="380"/>
        <v>0.22068965517241379</v>
      </c>
    </row>
    <row r="443" spans="2:72">
      <c r="B443" t="s">
        <v>2324</v>
      </c>
      <c r="D443" s="9">
        <f t="shared" ref="D443:I443" si="382">SUM(D440:D442)</f>
        <v>83.736343207792331</v>
      </c>
      <c r="E443" s="9">
        <f t="shared" si="382"/>
        <v>309.14179230792473</v>
      </c>
      <c r="F443" s="9">
        <f t="shared" si="382"/>
        <v>394.94600251114014</v>
      </c>
      <c r="G443" s="9">
        <f t="shared" si="382"/>
        <v>414.58166841823305</v>
      </c>
      <c r="H443" s="9">
        <f t="shared" si="382"/>
        <v>409.15566181448798</v>
      </c>
      <c r="I443" s="9">
        <f t="shared" si="382"/>
        <v>587.44086313523701</v>
      </c>
      <c r="J443" s="9">
        <f t="shared" ref="J443:AT443" si="383">SUM(J440:J442)</f>
        <v>720.83603348356303</v>
      </c>
      <c r="K443" s="9">
        <f t="shared" si="383"/>
        <v>760.22756834860309</v>
      </c>
      <c r="L443" s="9">
        <f t="shared" si="383"/>
        <v>809.1714870544231</v>
      </c>
      <c r="M443" s="9">
        <f t="shared" si="383"/>
        <v>889.35123714853535</v>
      </c>
      <c r="N443" s="9">
        <f t="shared" si="383"/>
        <v>958.44185537570752</v>
      </c>
      <c r="O443" s="9">
        <f t="shared" si="383"/>
        <v>795.75951964363639</v>
      </c>
      <c r="P443" s="9"/>
      <c r="Q443" s="9"/>
      <c r="R443" s="9"/>
      <c r="S443" s="9"/>
      <c r="T443" s="9"/>
      <c r="U443" s="9"/>
      <c r="V443" s="9"/>
      <c r="W443" s="9"/>
      <c r="X443" s="9"/>
      <c r="Y443" s="9"/>
      <c r="Z443" s="9"/>
      <c r="AA443" s="9"/>
      <c r="AB443" s="9"/>
      <c r="AC443" s="9"/>
      <c r="AD443" s="9"/>
      <c r="AE443" s="9"/>
      <c r="AF443" s="9"/>
      <c r="AG443" s="9">
        <f t="shared" si="383"/>
        <v>858.02857553230774</v>
      </c>
      <c r="AH443" s="9">
        <f t="shared" si="383"/>
        <v>898.78895999999997</v>
      </c>
      <c r="AI443" s="9">
        <f t="shared" si="383"/>
        <v>878.5492173913043</v>
      </c>
      <c r="AJ443" s="9">
        <f t="shared" si="383"/>
        <v>924.12800000000004</v>
      </c>
      <c r="AK443" s="9">
        <f t="shared" si="383"/>
        <v>751.327</v>
      </c>
      <c r="AL443" s="9">
        <f t="shared" si="383"/>
        <v>994.33447999999999</v>
      </c>
      <c r="AM443" s="9">
        <f t="shared" si="383"/>
        <v>966.66800000000001</v>
      </c>
      <c r="AN443" s="9">
        <f t="shared" si="383"/>
        <v>974.62795000000006</v>
      </c>
      <c r="AO443" s="9">
        <f t="shared" si="383"/>
        <v>996.56223999999997</v>
      </c>
      <c r="AP443" s="9">
        <f t="shared" si="383"/>
        <v>1020.83043</v>
      </c>
      <c r="AQ443" s="9">
        <f t="shared" si="383"/>
        <v>1006.9582</v>
      </c>
      <c r="AR443" s="9">
        <f t="shared" si="383"/>
        <v>1105.3856800000001</v>
      </c>
      <c r="AS443" s="9">
        <f t="shared" si="383"/>
        <v>1191.72288</v>
      </c>
      <c r="AT443" s="9">
        <f t="shared" si="383"/>
        <v>1272.772318</v>
      </c>
      <c r="AU443" s="9">
        <f>SUM(AU440:AU442)</f>
        <v>1119.410676</v>
      </c>
      <c r="AV443" s="9">
        <f>SUM(AV440:AV442)</f>
        <v>1134.7351024</v>
      </c>
      <c r="AY443" s="16">
        <f t="shared" si="377"/>
        <v>3.8862375181486648</v>
      </c>
      <c r="AZ443" s="16">
        <f t="shared" si="377"/>
        <v>0.90023114878660215</v>
      </c>
      <c r="BA443" s="16">
        <f t="shared" si="377"/>
        <v>0.82515085328210303</v>
      </c>
      <c r="BB443" s="16">
        <f t="shared" si="377"/>
        <v>0.83372210172515371</v>
      </c>
      <c r="BC443" s="16">
        <f t="shared" si="377"/>
        <v>0.97766171306533978</v>
      </c>
      <c r="BD443" s="16">
        <f t="shared" si="377"/>
        <v>0.51394173092074191</v>
      </c>
      <c r="BE443" s="16">
        <f t="shared" si="377"/>
        <v>0.32962533898849911</v>
      </c>
      <c r="BF443" s="16">
        <f t="shared" si="377"/>
        <v>4.6738572467474704E-2</v>
      </c>
      <c r="BG443" s="16">
        <f t="shared" si="378"/>
        <v>6.0379152329917307E-2</v>
      </c>
      <c r="BH443" s="16">
        <f t="shared" si="378"/>
        <v>1.0611918505588624E-2</v>
      </c>
      <c r="BI443" s="16">
        <f t="shared" si="378"/>
        <v>-8.3356791584488388E-2</v>
      </c>
      <c r="BJ443" s="16">
        <f t="shared" si="378"/>
        <v>0.16131567035962147</v>
      </c>
      <c r="BK443" s="16">
        <f t="shared" si="379"/>
        <v>-0.12435666896771091</v>
      </c>
      <c r="BL443" s="16">
        <f t="shared" si="379"/>
        <v>0.10630473253699058</v>
      </c>
      <c r="BM443" s="16">
        <f t="shared" si="379"/>
        <v>0.10030033703785968</v>
      </c>
      <c r="BN443" s="16">
        <f t="shared" si="379"/>
        <v>5.4646055524775861E-2</v>
      </c>
      <c r="BO443" s="16">
        <f t="shared" si="379"/>
        <v>0.32640280463766103</v>
      </c>
      <c r="BP443" s="16">
        <f t="shared" si="379"/>
        <v>2.6646918650553131E-2</v>
      </c>
      <c r="BQ443" s="16">
        <f t="shared" si="379"/>
        <v>4.1679459752469228E-2</v>
      </c>
      <c r="BR443" s="16">
        <f t="shared" si="379"/>
        <v>0.13416168703144615</v>
      </c>
      <c r="BS443" s="16">
        <f t="shared" si="380"/>
        <v>0.19583386984439644</v>
      </c>
      <c r="BT443" s="16">
        <f t="shared" si="380"/>
        <v>0.24680091873828647</v>
      </c>
    </row>
    <row r="444" spans="2:72">
      <c r="B444" t="s">
        <v>285</v>
      </c>
      <c r="D444" s="5">
        <f t="shared" ref="D444:AV444" si="384">D443/D425</f>
        <v>6.0931808152725496E-2</v>
      </c>
      <c r="E444" s="5">
        <f t="shared" si="384"/>
        <v>0.21210680120299349</v>
      </c>
      <c r="F444" s="5">
        <f t="shared" si="384"/>
        <v>0.2439749973745042</v>
      </c>
      <c r="G444" s="5">
        <f t="shared" si="384"/>
        <v>0.25433878270733989</v>
      </c>
      <c r="H444" s="5">
        <f t="shared" si="384"/>
        <v>0.22998964452612741</v>
      </c>
      <c r="I444" s="5">
        <f t="shared" si="384"/>
        <v>0.32076987796780004</v>
      </c>
      <c r="J444" s="5">
        <f t="shared" si="384"/>
        <v>0.37783464759537549</v>
      </c>
      <c r="K444" s="5">
        <f t="shared" si="384"/>
        <v>0.38754086320972808</v>
      </c>
      <c r="L444" s="5">
        <f t="shared" si="384"/>
        <v>0.40404891490277972</v>
      </c>
      <c r="M444" s="5">
        <f t="shared" si="384"/>
        <v>0.4275497234923229</v>
      </c>
      <c r="N444" s="5">
        <f t="shared" si="384"/>
        <v>0.43884790659890566</v>
      </c>
      <c r="O444" s="5">
        <f t="shared" si="384"/>
        <v>0.40293774172417562</v>
      </c>
      <c r="P444" s="5"/>
      <c r="Q444" s="5"/>
      <c r="R444" s="5"/>
      <c r="S444" s="5"/>
      <c r="T444" s="5"/>
      <c r="U444" s="5"/>
      <c r="V444" s="5"/>
      <c r="W444" s="5"/>
      <c r="X444" s="5"/>
      <c r="Y444" s="5"/>
      <c r="Z444" s="5"/>
      <c r="AA444" s="5"/>
      <c r="AB444" s="5"/>
      <c r="AC444" s="5"/>
      <c r="AD444" s="5"/>
      <c r="AE444" s="5"/>
      <c r="AF444" s="5"/>
      <c r="AG444" s="5">
        <f t="shared" si="384"/>
        <v>0.41332415228746955</v>
      </c>
      <c r="AH444" s="5">
        <f t="shared" si="384"/>
        <v>0.43161488848163648</v>
      </c>
      <c r="AI444" s="5">
        <f t="shared" si="384"/>
        <v>0.40513063836485291</v>
      </c>
      <c r="AJ444" s="5">
        <f t="shared" si="384"/>
        <v>0.45099035629582884</v>
      </c>
      <c r="AK444" s="5">
        <f t="shared" si="384"/>
        <v>0.37845360320753474</v>
      </c>
      <c r="AL444" s="5">
        <f t="shared" si="384"/>
        <v>0.48858680075189542</v>
      </c>
      <c r="AM444" s="5">
        <f t="shared" si="384"/>
        <v>0.465845137274218</v>
      </c>
      <c r="AN444" s="5">
        <f t="shared" si="384"/>
        <v>0.45237117354282358</v>
      </c>
      <c r="AO444" s="5">
        <f t="shared" si="384"/>
        <v>0.45740208402392346</v>
      </c>
      <c r="AP444" s="5">
        <f t="shared" si="384"/>
        <v>0.47273135038092795</v>
      </c>
      <c r="AQ444" s="5">
        <f t="shared" si="384"/>
        <v>0.44393637332551045</v>
      </c>
      <c r="AR444" s="5">
        <f t="shared" si="384"/>
        <v>0.47430835635852292</v>
      </c>
      <c r="AS444" s="5">
        <f t="shared" si="384"/>
        <v>0.49491690201938926</v>
      </c>
      <c r="AT444" s="5">
        <f t="shared" si="384"/>
        <v>0.51335090228054481</v>
      </c>
      <c r="AU444" s="5">
        <f t="shared" si="384"/>
        <v>0.43839253313768822</v>
      </c>
      <c r="AV444" s="5">
        <f t="shared" si="384"/>
        <v>0.43258116428476207</v>
      </c>
    </row>
    <row r="446" spans="2:72">
      <c r="B446" s="11" t="s">
        <v>286</v>
      </c>
      <c r="C446" s="11"/>
      <c r="D446" s="422" t="str">
        <f>D439</f>
        <v>Q2 05</v>
      </c>
      <c r="E446" s="422" t="str">
        <f t="shared" ref="E446:L446" si="385">E439</f>
        <v>Q3 05</v>
      </c>
      <c r="F446" s="422" t="str">
        <f t="shared" si="385"/>
        <v>Q4 05</v>
      </c>
      <c r="G446" s="422" t="str">
        <f t="shared" si="385"/>
        <v>Q1 06</v>
      </c>
      <c r="H446" s="422" t="str">
        <f t="shared" si="385"/>
        <v>Q2 06</v>
      </c>
      <c r="I446" s="422" t="str">
        <f t="shared" si="385"/>
        <v>Q3 06</v>
      </c>
      <c r="J446" s="422" t="str">
        <f t="shared" si="385"/>
        <v>Q4 06</v>
      </c>
      <c r="K446" s="422" t="str">
        <f t="shared" si="385"/>
        <v>Q1 07</v>
      </c>
      <c r="L446" s="422" t="str">
        <f t="shared" si="385"/>
        <v>Q2 07</v>
      </c>
      <c r="M446" s="422" t="str">
        <f t="shared" ref="M446:AT446" si="386">M439</f>
        <v>Q3 07</v>
      </c>
      <c r="N446" s="422" t="str">
        <f t="shared" si="386"/>
        <v>Q4 07</v>
      </c>
      <c r="O446" s="422" t="str">
        <f t="shared" si="386"/>
        <v>Q1 08</v>
      </c>
      <c r="P446" s="422"/>
      <c r="Q446" s="422"/>
      <c r="R446" s="422"/>
      <c r="S446" s="422"/>
      <c r="T446" s="422"/>
      <c r="U446" s="422"/>
      <c r="V446" s="422"/>
      <c r="W446" s="422"/>
      <c r="X446" s="2525"/>
      <c r="Y446" s="2525"/>
      <c r="Z446" s="2525"/>
      <c r="AA446" s="2525"/>
      <c r="AB446" s="2525"/>
      <c r="AC446" s="2525"/>
      <c r="AD446" s="2525"/>
      <c r="AE446" s="2525"/>
      <c r="AF446" s="2525"/>
      <c r="AG446" s="422" t="str">
        <f t="shared" si="386"/>
        <v>Q2 08</v>
      </c>
      <c r="AH446" s="422" t="str">
        <f t="shared" si="386"/>
        <v>Q3 08</v>
      </c>
      <c r="AI446" s="422" t="str">
        <f t="shared" si="386"/>
        <v>Q4 08</v>
      </c>
      <c r="AJ446" s="422" t="str">
        <f t="shared" si="386"/>
        <v>Q1 09</v>
      </c>
      <c r="AK446" s="422" t="str">
        <f t="shared" si="386"/>
        <v>Q2 09</v>
      </c>
      <c r="AL446" s="422" t="str">
        <f t="shared" si="386"/>
        <v>Q3 09</v>
      </c>
      <c r="AM446" s="422" t="str">
        <f t="shared" si="386"/>
        <v>Q4 09</v>
      </c>
      <c r="AN446" s="422" t="str">
        <f t="shared" si="386"/>
        <v>Q1 10</v>
      </c>
      <c r="AO446" s="422" t="str">
        <f t="shared" si="386"/>
        <v>Q2 10</v>
      </c>
      <c r="AP446" s="422" t="str">
        <f t="shared" si="386"/>
        <v>Q3 10</v>
      </c>
      <c r="AQ446" s="422" t="str">
        <f t="shared" si="386"/>
        <v>Q4 10</v>
      </c>
      <c r="AR446" s="422" t="str">
        <f t="shared" si="386"/>
        <v>Q1 11</v>
      </c>
      <c r="AS446" s="422" t="str">
        <f t="shared" si="386"/>
        <v>Q2 11</v>
      </c>
      <c r="AT446" s="422" t="str">
        <f t="shared" si="386"/>
        <v>Q3 11</v>
      </c>
      <c r="AU446" s="422" t="str">
        <f>AU439</f>
        <v>Q4 11</v>
      </c>
      <c r="AV446" s="422" t="str">
        <f>AV439</f>
        <v>Q1 12</v>
      </c>
    </row>
    <row r="447" spans="2:72">
      <c r="B447" t="str">
        <f>B440</f>
        <v>AMX</v>
      </c>
      <c r="D447" s="16">
        <f>D440/D$443</f>
        <v>1.1225711130797571</v>
      </c>
      <c r="E447" s="16">
        <f t="shared" ref="E447:L447" si="387">E440/E$443</f>
        <v>0.51432709506201602</v>
      </c>
      <c r="F447" s="16">
        <f t="shared" si="387"/>
        <v>0.5747621157239009</v>
      </c>
      <c r="G447" s="16">
        <f t="shared" si="387"/>
        <v>0.68502787661488862</v>
      </c>
      <c r="H447" s="16">
        <f t="shared" si="387"/>
        <v>0.82120334962477703</v>
      </c>
      <c r="I447" s="16">
        <f t="shared" si="387"/>
        <v>0.76092765766125192</v>
      </c>
      <c r="J447" s="16">
        <f t="shared" si="387"/>
        <v>0.73664463946655379</v>
      </c>
      <c r="K447" s="16">
        <f t="shared" si="387"/>
        <v>0.85632253696630389</v>
      </c>
      <c r="L447" s="16">
        <f t="shared" si="387"/>
        <v>0.81564910597944718</v>
      </c>
      <c r="M447" s="16">
        <f t="shared" ref="M447:AT447" si="388">M440/M$443</f>
        <v>0.7747220346924939</v>
      </c>
      <c r="N447" s="16">
        <f t="shared" si="388"/>
        <v>0.71887511603916043</v>
      </c>
      <c r="O447" s="16">
        <f t="shared" si="388"/>
        <v>0.81054638251622702</v>
      </c>
      <c r="P447" s="16"/>
      <c r="Q447" s="16"/>
      <c r="R447" s="16"/>
      <c r="S447" s="16"/>
      <c r="T447" s="16"/>
      <c r="U447" s="16"/>
      <c r="V447" s="16"/>
      <c r="W447" s="16"/>
      <c r="X447" s="16"/>
      <c r="Y447" s="16"/>
      <c r="Z447" s="16"/>
      <c r="AA447" s="16"/>
      <c r="AB447" s="16"/>
      <c r="AC447" s="16"/>
      <c r="AD447" s="16"/>
      <c r="AE447" s="16"/>
      <c r="AF447" s="16"/>
      <c r="AG447" s="16">
        <f t="shared" si="388"/>
        <v>0.81582364499425997</v>
      </c>
      <c r="AH447" s="16">
        <f t="shared" si="388"/>
        <v>0.78438880691191404</v>
      </c>
      <c r="AI447" s="16">
        <f t="shared" si="388"/>
        <v>0.7512385042692914</v>
      </c>
      <c r="AJ447" s="16">
        <f t="shared" si="388"/>
        <v>0.77370234426399798</v>
      </c>
      <c r="AK447" s="16">
        <f t="shared" si="388"/>
        <v>0.90639628284355545</v>
      </c>
      <c r="AL447" s="16">
        <f t="shared" si="388"/>
        <v>0.7422049771420981</v>
      </c>
      <c r="AM447" s="16">
        <f t="shared" si="388"/>
        <v>0.74172311486466913</v>
      </c>
      <c r="AN447" s="16">
        <f t="shared" si="388"/>
        <v>0.76439424910808274</v>
      </c>
      <c r="AO447" s="16">
        <f t="shared" si="388"/>
        <v>0.75559756307844861</v>
      </c>
      <c r="AP447" s="16">
        <f t="shared" si="388"/>
        <v>0.72490002085850835</v>
      </c>
      <c r="AQ447" s="16">
        <f t="shared" si="388"/>
        <v>0.82823696157397597</v>
      </c>
      <c r="AR447" s="16">
        <f t="shared" si="388"/>
        <v>0.74996448298479856</v>
      </c>
      <c r="AS447" s="16">
        <f t="shared" si="388"/>
        <v>0.76276122180351191</v>
      </c>
      <c r="AT447" s="16">
        <f t="shared" si="388"/>
        <v>0.7723298080089136</v>
      </c>
      <c r="AU447" s="16">
        <f t="shared" ref="AU447:AV449" si="389">AU440/AU$443</f>
        <v>0.89779383165361204</v>
      </c>
      <c r="AV447" s="16">
        <f t="shared" si="389"/>
        <v>0.89976946852225981</v>
      </c>
    </row>
    <row r="448" spans="2:72">
      <c r="B448" t="str">
        <f>B441</f>
        <v>TEF</v>
      </c>
      <c r="D448" s="16">
        <f t="shared" ref="D448:L448" si="390">D441/D$443</f>
        <v>-0.48963208123691537</v>
      </c>
      <c r="E448" s="16">
        <f t="shared" si="390"/>
        <v>0.39140615410379831</v>
      </c>
      <c r="F448" s="16">
        <f t="shared" si="390"/>
        <v>0.34435087109449575</v>
      </c>
      <c r="G448" s="16">
        <f t="shared" si="390"/>
        <v>0.24361906879613995</v>
      </c>
      <c r="H448" s="16">
        <f t="shared" si="390"/>
        <v>9.7762303526759173E-2</v>
      </c>
      <c r="I448" s="16">
        <f t="shared" si="390"/>
        <v>0.18384829312620854</v>
      </c>
      <c r="J448" s="16">
        <f t="shared" si="390"/>
        <v>0.2191899303874115</v>
      </c>
      <c r="K448" s="16">
        <f t="shared" si="390"/>
        <v>8.8131505340618074E-2</v>
      </c>
      <c r="L448" s="16">
        <f t="shared" si="390"/>
        <v>0.11740403798189013</v>
      </c>
      <c r="M448" s="16">
        <f t="shared" ref="M448:AT448" si="391">M441/M$443</f>
        <v>0.15854253540151181</v>
      </c>
      <c r="N448" s="16">
        <f t="shared" si="391"/>
        <v>0.23892946527281242</v>
      </c>
      <c r="O448" s="16">
        <f t="shared" si="391"/>
        <v>0.15833929332875132</v>
      </c>
      <c r="P448" s="16"/>
      <c r="Q448" s="16"/>
      <c r="R448" s="16"/>
      <c r="S448" s="16"/>
      <c r="T448" s="16"/>
      <c r="U448" s="16"/>
      <c r="V448" s="16"/>
      <c r="W448" s="16"/>
      <c r="X448" s="16"/>
      <c r="Y448" s="16"/>
      <c r="Z448" s="16"/>
      <c r="AA448" s="16"/>
      <c r="AB448" s="16"/>
      <c r="AC448" s="16"/>
      <c r="AD448" s="16"/>
      <c r="AE448" s="16"/>
      <c r="AF448" s="16"/>
      <c r="AG448" s="16">
        <f t="shared" si="391"/>
        <v>0.15500649254890939</v>
      </c>
      <c r="AH448" s="16">
        <f t="shared" si="391"/>
        <v>0.18024253435422705</v>
      </c>
      <c r="AI448" s="16">
        <f t="shared" si="391"/>
        <v>0.20260674812111193</v>
      </c>
      <c r="AJ448" s="16">
        <f t="shared" si="391"/>
        <v>0.17746459364936459</v>
      </c>
      <c r="AK448" s="16">
        <f t="shared" si="391"/>
        <v>3.1943481333693582E-2</v>
      </c>
      <c r="AL448" s="16">
        <f t="shared" si="391"/>
        <v>0.20516235140513281</v>
      </c>
      <c r="AM448" s="16">
        <f t="shared" si="391"/>
        <v>0.18931008371022937</v>
      </c>
      <c r="AN448" s="16">
        <f t="shared" si="391"/>
        <v>0.16006107766558511</v>
      </c>
      <c r="AO448" s="16">
        <f t="shared" si="391"/>
        <v>0.16657263674770581</v>
      </c>
      <c r="AP448" s="16">
        <f t="shared" si="391"/>
        <v>0.19102095144244477</v>
      </c>
      <c r="AQ448" s="16">
        <f t="shared" si="391"/>
        <v>7.5474831030722028E-2</v>
      </c>
      <c r="AR448" s="16">
        <f t="shared" si="391"/>
        <v>0.1628390916010419</v>
      </c>
      <c r="AS448" s="16">
        <f t="shared" si="391"/>
        <v>0.15355918986803374</v>
      </c>
      <c r="AT448" s="16">
        <f t="shared" si="391"/>
        <v>0.14535199845539065</v>
      </c>
      <c r="AU448" s="16">
        <f t="shared" si="389"/>
        <v>0</v>
      </c>
      <c r="AV448" s="16">
        <f t="shared" si="389"/>
        <v>0</v>
      </c>
    </row>
    <row r="449" spans="2:48">
      <c r="B449" t="str">
        <f>B442</f>
        <v>MICC</v>
      </c>
      <c r="D449" s="16">
        <f t="shared" ref="D449:L449" si="392">D442/D$443</f>
        <v>0.36706096815715822</v>
      </c>
      <c r="E449" s="16">
        <f t="shared" si="392"/>
        <v>9.4266750834185786E-2</v>
      </c>
      <c r="F449" s="16">
        <f t="shared" si="392"/>
        <v>8.0887013181603379E-2</v>
      </c>
      <c r="G449" s="16">
        <f t="shared" si="392"/>
        <v>7.1353054588971454E-2</v>
      </c>
      <c r="H449" s="16">
        <f t="shared" si="392"/>
        <v>8.1034346848463792E-2</v>
      </c>
      <c r="I449" s="16">
        <f t="shared" si="392"/>
        <v>5.5224049212539449E-2</v>
      </c>
      <c r="J449" s="16">
        <f t="shared" si="392"/>
        <v>4.4165430146034745E-2</v>
      </c>
      <c r="K449" s="16">
        <f t="shared" si="392"/>
        <v>5.5545957693077991E-2</v>
      </c>
      <c r="L449" s="16">
        <f t="shared" si="392"/>
        <v>6.6946856038662697E-2</v>
      </c>
      <c r="M449" s="16">
        <f t="shared" ref="M449:AT449" si="393">M442/M$443</f>
        <v>6.6735429905994292E-2</v>
      </c>
      <c r="N449" s="16">
        <f t="shared" si="393"/>
        <v>4.2195418688027155E-2</v>
      </c>
      <c r="O449" s="16">
        <f t="shared" si="393"/>
        <v>3.1114324155021574E-2</v>
      </c>
      <c r="P449" s="16"/>
      <c r="Q449" s="16"/>
      <c r="R449" s="16"/>
      <c r="S449" s="16"/>
      <c r="T449" s="16"/>
      <c r="U449" s="16"/>
      <c r="V449" s="16"/>
      <c r="W449" s="16"/>
      <c r="X449" s="16"/>
      <c r="Y449" s="16"/>
      <c r="Z449" s="16"/>
      <c r="AA449" s="16"/>
      <c r="AB449" s="16"/>
      <c r="AC449" s="16"/>
      <c r="AD449" s="16"/>
      <c r="AE449" s="16"/>
      <c r="AF449" s="16"/>
      <c r="AG449" s="16">
        <f t="shared" si="393"/>
        <v>2.9169862456830589E-2</v>
      </c>
      <c r="AH449" s="16">
        <f t="shared" si="393"/>
        <v>3.536865873385895E-2</v>
      </c>
      <c r="AI449" s="16">
        <f t="shared" si="393"/>
        <v>4.6154747609596689E-2</v>
      </c>
      <c r="AJ449" s="16">
        <f t="shared" si="393"/>
        <v>4.8833062086637347E-2</v>
      </c>
      <c r="AK449" s="16">
        <f t="shared" si="393"/>
        <v>6.1660235822750945E-2</v>
      </c>
      <c r="AL449" s="16">
        <f t="shared" si="393"/>
        <v>5.2632671452769092E-2</v>
      </c>
      <c r="AM449" s="16">
        <f t="shared" si="393"/>
        <v>6.896680142510149E-2</v>
      </c>
      <c r="AN449" s="16">
        <f t="shared" si="393"/>
        <v>7.5544673226332168E-2</v>
      </c>
      <c r="AO449" s="16">
        <f t="shared" si="393"/>
        <v>7.7829800173845651E-2</v>
      </c>
      <c r="AP449" s="16">
        <f t="shared" si="393"/>
        <v>8.4079027699046932E-2</v>
      </c>
      <c r="AQ449" s="16">
        <f t="shared" si="393"/>
        <v>9.6288207395302014E-2</v>
      </c>
      <c r="AR449" s="16">
        <f t="shared" si="393"/>
        <v>8.7196425414159506E-2</v>
      </c>
      <c r="AS449" s="16">
        <f t="shared" si="393"/>
        <v>8.3679588328454332E-2</v>
      </c>
      <c r="AT449" s="16">
        <f t="shared" si="393"/>
        <v>8.2318193535695666E-2</v>
      </c>
      <c r="AU449" s="16">
        <f t="shared" si="389"/>
        <v>0.102206168346388</v>
      </c>
      <c r="AV449" s="16">
        <f t="shared" si="389"/>
        <v>0.10023053147774022</v>
      </c>
    </row>
    <row r="451" spans="2:48">
      <c r="B451" s="23" t="s">
        <v>284</v>
      </c>
      <c r="H451" s="306" t="str">
        <f t="shared" ref="H451:O451" si="394">AY421</f>
        <v>Q2 06</v>
      </c>
      <c r="I451" s="306" t="str">
        <f t="shared" si="394"/>
        <v>Q3 06</v>
      </c>
      <c r="J451" s="306" t="str">
        <f t="shared" si="394"/>
        <v>Q4 06</v>
      </c>
      <c r="K451" s="306" t="str">
        <f t="shared" si="394"/>
        <v>Q1 07</v>
      </c>
      <c r="L451" s="306" t="str">
        <f t="shared" si="394"/>
        <v>Q2 07</v>
      </c>
      <c r="M451" s="306" t="str">
        <f t="shared" si="394"/>
        <v>Q3 07</v>
      </c>
      <c r="N451" s="306" t="str">
        <f t="shared" si="394"/>
        <v>Q4 07</v>
      </c>
      <c r="O451" s="306" t="str">
        <f t="shared" si="394"/>
        <v>Q1 08</v>
      </c>
      <c r="P451" s="306"/>
      <c r="Q451" s="306"/>
      <c r="R451" s="306"/>
      <c r="S451" s="306"/>
      <c r="T451" s="306"/>
      <c r="U451" s="306"/>
      <c r="V451" s="306"/>
      <c r="W451" s="306"/>
      <c r="X451" s="2523"/>
      <c r="Y451" s="2523"/>
      <c r="Z451" s="2523"/>
      <c r="AA451" s="2523"/>
      <c r="AB451" s="2523"/>
      <c r="AC451" s="2523"/>
      <c r="AD451" s="2523"/>
      <c r="AE451" s="2523"/>
      <c r="AF451" s="2523"/>
      <c r="AG451" s="306" t="str">
        <f t="shared" ref="AG451:AV451" si="395">BG421</f>
        <v>Q2 08</v>
      </c>
      <c r="AH451" s="306" t="str">
        <f t="shared" si="395"/>
        <v>Q3 08</v>
      </c>
      <c r="AI451" s="306" t="str">
        <f t="shared" si="395"/>
        <v>Q4 08</v>
      </c>
      <c r="AJ451" s="306" t="str">
        <f t="shared" si="395"/>
        <v>Q1 09</v>
      </c>
      <c r="AK451" s="306" t="str">
        <f t="shared" si="395"/>
        <v>Q2 09</v>
      </c>
      <c r="AL451" s="306" t="str">
        <f t="shared" si="395"/>
        <v>Q3 09</v>
      </c>
      <c r="AM451" s="306" t="str">
        <f t="shared" si="395"/>
        <v>Q4 09</v>
      </c>
      <c r="AN451" s="306" t="str">
        <f t="shared" si="395"/>
        <v>Q1 10</v>
      </c>
      <c r="AO451" s="306" t="str">
        <f t="shared" si="395"/>
        <v>Q2 10</v>
      </c>
      <c r="AP451" s="306" t="str">
        <f t="shared" si="395"/>
        <v>Q3 10</v>
      </c>
      <c r="AQ451" s="306" t="str">
        <f t="shared" si="395"/>
        <v>Q4 10</v>
      </c>
      <c r="AR451" s="306" t="str">
        <f t="shared" si="395"/>
        <v>Q1 11</v>
      </c>
      <c r="AS451" s="306" t="str">
        <f t="shared" si="395"/>
        <v>Q2 11</v>
      </c>
      <c r="AT451" s="306" t="str">
        <f t="shared" si="395"/>
        <v>Q3 11</v>
      </c>
      <c r="AU451" s="306" t="str">
        <f t="shared" si="395"/>
        <v>Q4 11</v>
      </c>
      <c r="AV451" s="306" t="str">
        <f t="shared" si="395"/>
        <v>Q1 12</v>
      </c>
    </row>
    <row r="452" spans="2:48">
      <c r="B452" t="s">
        <v>1531</v>
      </c>
      <c r="H452" s="16">
        <f t="shared" ref="H452:O452" si="396">AY425</f>
        <v>0.2945247498335144</v>
      </c>
      <c r="I452" s="16">
        <f t="shared" si="396"/>
        <v>0.25651433691001202</v>
      </c>
      <c r="J452" s="16">
        <f t="shared" si="396"/>
        <v>0.17853451892648864</v>
      </c>
      <c r="K452" s="16">
        <f t="shared" si="396"/>
        <v>0.20345153621625411</v>
      </c>
      <c r="L452" s="16">
        <f t="shared" si="396"/>
        <v>0.12570953071429836</v>
      </c>
      <c r="M452" s="16">
        <f t="shared" si="396"/>
        <v>0.13583725493048138</v>
      </c>
      <c r="N452" s="16">
        <f t="shared" si="396"/>
        <v>0.14476681747000031</v>
      </c>
      <c r="O452" s="16">
        <f t="shared" si="396"/>
        <v>6.7410617659326988E-3</v>
      </c>
      <c r="P452" s="16"/>
      <c r="Q452" s="16"/>
      <c r="R452" s="16"/>
      <c r="S452" s="16"/>
      <c r="T452" s="16"/>
      <c r="U452" s="16"/>
      <c r="V452" s="16"/>
      <c r="W452" s="16"/>
      <c r="X452" s="16"/>
      <c r="Y452" s="16"/>
      <c r="Z452" s="16"/>
      <c r="AA452" s="16"/>
      <c r="AB452" s="16"/>
      <c r="AC452" s="16"/>
      <c r="AD452" s="16"/>
      <c r="AE452" s="16"/>
      <c r="AF452" s="16"/>
      <c r="AG452" s="16">
        <f t="shared" ref="AG452:AV452" si="397">BG425</f>
        <v>3.6583619692386549E-2</v>
      </c>
      <c r="AH452" s="16">
        <f t="shared" si="397"/>
        <v>1.0934697714763963E-3</v>
      </c>
      <c r="AI452" s="16">
        <f t="shared" si="397"/>
        <v>-7.0685477286027698E-3</v>
      </c>
      <c r="AJ452" s="16">
        <f t="shared" si="397"/>
        <v>3.7578536017868647E-2</v>
      </c>
      <c r="AK452" s="16">
        <f t="shared" si="397"/>
        <v>-4.3675276341268332E-2</v>
      </c>
      <c r="AL452" s="16">
        <f t="shared" si="397"/>
        <v>-2.2696493180270338E-2</v>
      </c>
      <c r="AM452" s="16">
        <f t="shared" si="397"/>
        <v>-4.3103936759969264E-2</v>
      </c>
      <c r="AN452" s="16">
        <f t="shared" si="397"/>
        <v>5.1426855124497184E-2</v>
      </c>
      <c r="AO452" s="16">
        <f t="shared" si="397"/>
        <v>9.7463125448828292E-2</v>
      </c>
      <c r="AP452" s="16">
        <f t="shared" si="397"/>
        <v>6.1080745080836829E-2</v>
      </c>
      <c r="AQ452" s="16">
        <f t="shared" si="397"/>
        <v>9.3087523531915961E-2</v>
      </c>
      <c r="AR452" s="16">
        <f t="shared" si="397"/>
        <v>8.1705701516056939E-2</v>
      </c>
      <c r="AS452" s="16">
        <f t="shared" si="397"/>
        <v>0.10518938024022328</v>
      </c>
      <c r="AT452" s="16">
        <f t="shared" si="397"/>
        <v>0.14814618880171992</v>
      </c>
      <c r="AU452" s="16">
        <f t="shared" si="397"/>
        <v>0.12573348139632556</v>
      </c>
      <c r="AV452" s="16">
        <f t="shared" si="397"/>
        <v>0.12557341403308175</v>
      </c>
    </row>
    <row r="453" spans="2:48">
      <c r="B453" t="s">
        <v>360</v>
      </c>
      <c r="H453" s="16">
        <f t="shared" ref="H453:O453" si="398">AY443</f>
        <v>3.8862375181486648</v>
      </c>
      <c r="I453" s="16">
        <f t="shared" si="398"/>
        <v>0.90023114878660215</v>
      </c>
      <c r="J453" s="16">
        <f t="shared" si="398"/>
        <v>0.82515085328210303</v>
      </c>
      <c r="K453" s="16">
        <f t="shared" si="398"/>
        <v>0.83372210172515371</v>
      </c>
      <c r="L453" s="16">
        <f t="shared" si="398"/>
        <v>0.97766171306533978</v>
      </c>
      <c r="M453" s="16">
        <f t="shared" si="398"/>
        <v>0.51394173092074191</v>
      </c>
      <c r="N453" s="16">
        <f t="shared" si="398"/>
        <v>0.32962533898849911</v>
      </c>
      <c r="O453" s="16">
        <f t="shared" si="398"/>
        <v>4.6738572467474704E-2</v>
      </c>
      <c r="P453" s="16"/>
      <c r="Q453" s="16"/>
      <c r="R453" s="16"/>
      <c r="S453" s="16"/>
      <c r="T453" s="16"/>
      <c r="U453" s="16"/>
      <c r="V453" s="16"/>
      <c r="W453" s="16"/>
      <c r="X453" s="16"/>
      <c r="Y453" s="16"/>
      <c r="Z453" s="16"/>
      <c r="AA453" s="16"/>
      <c r="AB453" s="16"/>
      <c r="AC453" s="16"/>
      <c r="AD453" s="16"/>
      <c r="AE453" s="16"/>
      <c r="AF453" s="16"/>
      <c r="AG453" s="16">
        <f t="shared" ref="AG453:AV453" si="399">BG443</f>
        <v>6.0379152329917307E-2</v>
      </c>
      <c r="AH453" s="16">
        <f t="shared" si="399"/>
        <v>1.0611918505588624E-2</v>
      </c>
      <c r="AI453" s="16">
        <f t="shared" si="399"/>
        <v>-8.3356791584488388E-2</v>
      </c>
      <c r="AJ453" s="16">
        <f t="shared" si="399"/>
        <v>0.16131567035962147</v>
      </c>
      <c r="AK453" s="16">
        <f t="shared" si="399"/>
        <v>-0.12435666896771091</v>
      </c>
      <c r="AL453" s="16">
        <f t="shared" si="399"/>
        <v>0.10630473253699058</v>
      </c>
      <c r="AM453" s="16">
        <f t="shared" si="399"/>
        <v>0.10030033703785968</v>
      </c>
      <c r="AN453" s="16">
        <f t="shared" si="399"/>
        <v>5.4646055524775861E-2</v>
      </c>
      <c r="AO453" s="16">
        <f t="shared" si="399"/>
        <v>0.32640280463766103</v>
      </c>
      <c r="AP453" s="16">
        <f t="shared" si="399"/>
        <v>2.6646918650553131E-2</v>
      </c>
      <c r="AQ453" s="16">
        <f t="shared" si="399"/>
        <v>4.1679459752469228E-2</v>
      </c>
      <c r="AR453" s="16">
        <f t="shared" si="399"/>
        <v>0.13416168703144615</v>
      </c>
      <c r="AS453" s="16">
        <f t="shared" si="399"/>
        <v>0.19583386984439644</v>
      </c>
      <c r="AT453" s="16">
        <f t="shared" si="399"/>
        <v>0.24680091873828647</v>
      </c>
      <c r="AU453" s="16">
        <f t="shared" si="399"/>
        <v>0</v>
      </c>
      <c r="AV453" s="16">
        <f t="shared" si="399"/>
        <v>0</v>
      </c>
    </row>
    <row r="455" spans="2:48">
      <c r="B455" t="s">
        <v>2536</v>
      </c>
      <c r="AR455" s="538">
        <v>0.22</v>
      </c>
      <c r="AS455" s="538">
        <v>0.24</v>
      </c>
      <c r="AT455" s="538">
        <v>0.26</v>
      </c>
      <c r="AU455" s="538">
        <v>0.28000000000000003</v>
      </c>
      <c r="AV455" s="538">
        <v>0.3</v>
      </c>
    </row>
    <row r="457" spans="2:48">
      <c r="B457" s="450" t="s">
        <v>2535</v>
      </c>
      <c r="H457" s="306" t="str">
        <f>H451</f>
        <v>Q2 06</v>
      </c>
      <c r="I457" s="306" t="str">
        <f t="shared" ref="I457:AV457" si="400">I451</f>
        <v>Q3 06</v>
      </c>
      <c r="J457" s="306" t="str">
        <f t="shared" si="400"/>
        <v>Q4 06</v>
      </c>
      <c r="K457" s="306" t="str">
        <f t="shared" si="400"/>
        <v>Q1 07</v>
      </c>
      <c r="L457" s="306" t="str">
        <f t="shared" si="400"/>
        <v>Q2 07</v>
      </c>
      <c r="M457" s="306" t="str">
        <f t="shared" si="400"/>
        <v>Q3 07</v>
      </c>
      <c r="N457" s="306" t="str">
        <f t="shared" si="400"/>
        <v>Q4 07</v>
      </c>
      <c r="O457" s="306" t="str">
        <f t="shared" si="400"/>
        <v>Q1 08</v>
      </c>
      <c r="P457" s="306"/>
      <c r="Q457" s="306"/>
      <c r="R457" s="306"/>
      <c r="S457" s="306"/>
      <c r="T457" s="306"/>
      <c r="U457" s="306"/>
      <c r="V457" s="306"/>
      <c r="W457" s="306"/>
      <c r="X457" s="2523"/>
      <c r="Y457" s="2523"/>
      <c r="Z457" s="2523"/>
      <c r="AA457" s="2523"/>
      <c r="AB457" s="2523"/>
      <c r="AC457" s="2523"/>
      <c r="AD457" s="2523"/>
      <c r="AE457" s="2523"/>
      <c r="AF457" s="2523"/>
      <c r="AG457" s="306" t="str">
        <f t="shared" si="400"/>
        <v>Q2 08</v>
      </c>
      <c r="AH457" s="306" t="str">
        <f t="shared" si="400"/>
        <v>Q3 08</v>
      </c>
      <c r="AI457" s="306" t="str">
        <f t="shared" si="400"/>
        <v>Q4 08</v>
      </c>
      <c r="AJ457" s="306" t="str">
        <f t="shared" si="400"/>
        <v>Q1 09</v>
      </c>
      <c r="AK457" s="306" t="str">
        <f t="shared" si="400"/>
        <v>Q2 09</v>
      </c>
      <c r="AL457" s="306" t="str">
        <f t="shared" si="400"/>
        <v>Q3 09</v>
      </c>
      <c r="AM457" s="306" t="str">
        <f t="shared" si="400"/>
        <v>Q4 09</v>
      </c>
      <c r="AN457" s="306" t="str">
        <f t="shared" si="400"/>
        <v>Q1 10</v>
      </c>
      <c r="AO457" s="306" t="str">
        <f t="shared" si="400"/>
        <v>Q2 10</v>
      </c>
      <c r="AP457" s="306" t="str">
        <f t="shared" si="400"/>
        <v>Q3 10</v>
      </c>
      <c r="AQ457" s="306" t="str">
        <f t="shared" si="400"/>
        <v>Q4 10</v>
      </c>
      <c r="AR457" s="306" t="str">
        <f t="shared" si="400"/>
        <v>Q1 11</v>
      </c>
      <c r="AS457" s="306" t="str">
        <f t="shared" si="400"/>
        <v>Q2 11</v>
      </c>
      <c r="AT457" s="306" t="str">
        <f t="shared" si="400"/>
        <v>Q3 11</v>
      </c>
      <c r="AU457" s="306" t="str">
        <f t="shared" si="400"/>
        <v>Q4 11</v>
      </c>
      <c r="AV457" s="306" t="str">
        <f t="shared" si="400"/>
        <v>Q1 12</v>
      </c>
    </row>
    <row r="458" spans="2:48">
      <c r="B458" t="s">
        <v>955</v>
      </c>
      <c r="AJ458" s="454">
        <v>105.79267509991223</v>
      </c>
      <c r="AK458" s="454">
        <v>116.63969119024544</v>
      </c>
      <c r="AL458" s="454">
        <v>134.59056985053078</v>
      </c>
      <c r="AM458" s="454">
        <v>152.2767699791433</v>
      </c>
      <c r="AN458" s="454">
        <v>203.86248491753088</v>
      </c>
      <c r="AO458" s="454">
        <v>233.27938238049089</v>
      </c>
      <c r="AP458" s="454">
        <v>183.58153727612398</v>
      </c>
      <c r="AQ458" s="454">
        <v>231.76524390825611</v>
      </c>
      <c r="AR458" s="454">
        <v>290.707903492399</v>
      </c>
      <c r="AS458" s="454">
        <v>306.995667212726</v>
      </c>
      <c r="AT458" s="454">
        <v>233.69929695250585</v>
      </c>
      <c r="AU458" s="454">
        <v>299.20892988555863</v>
      </c>
      <c r="AV458" s="454">
        <v>367.74549791788479</v>
      </c>
    </row>
    <row r="459" spans="2:48">
      <c r="B459" t="s">
        <v>1606</v>
      </c>
      <c r="AR459" s="454">
        <f>AR411*AR419/1000</f>
        <v>107.98763934142525</v>
      </c>
      <c r="AS459" s="454">
        <f>AS411*AS419/1000</f>
        <v>116.38486514335743</v>
      </c>
      <c r="AT459" s="454">
        <f>AT411*AT419/1000</f>
        <v>132.05589853562617</v>
      </c>
      <c r="AU459" s="454">
        <f>AU411*AU419/1000</f>
        <v>142.39823889069109</v>
      </c>
      <c r="AV459" s="454">
        <f>AV411*AV419/1000</f>
        <v>141.51306045844265</v>
      </c>
    </row>
    <row r="460" spans="2:48">
      <c r="B460" s="455" t="s">
        <v>2229</v>
      </c>
      <c r="C460" s="455"/>
      <c r="D460" s="455"/>
      <c r="E460" s="455"/>
      <c r="F460" s="455"/>
      <c r="G460" s="455"/>
      <c r="H460" s="455"/>
      <c r="I460" s="455"/>
      <c r="J460" s="455"/>
      <c r="K460" s="455"/>
      <c r="L460" s="455"/>
      <c r="M460" s="455"/>
      <c r="N460" s="455"/>
      <c r="O460" s="455"/>
      <c r="P460" s="455"/>
      <c r="Q460" s="455"/>
      <c r="R460" s="455"/>
      <c r="S460" s="455"/>
      <c r="T460" s="455"/>
      <c r="U460" s="455"/>
      <c r="V460" s="455"/>
      <c r="W460" s="455"/>
      <c r="X460" s="1739"/>
      <c r="Y460" s="1739"/>
      <c r="Z460" s="1739"/>
      <c r="AA460" s="1739"/>
      <c r="AB460" s="1739"/>
      <c r="AC460" s="1739"/>
      <c r="AD460" s="1739"/>
      <c r="AE460" s="1739"/>
      <c r="AF460" s="1739"/>
      <c r="AG460" s="455"/>
      <c r="AH460" s="455"/>
      <c r="AI460" s="455"/>
      <c r="AJ460" s="455"/>
      <c r="AK460" s="455"/>
      <c r="AL460" s="455"/>
      <c r="AM460" s="455"/>
      <c r="AN460" s="455"/>
      <c r="AO460" s="455"/>
      <c r="AP460" s="455"/>
      <c r="AQ460" s="455"/>
      <c r="AR460" s="462">
        <f>AR455*AR424</f>
        <v>70.682832000000005</v>
      </c>
      <c r="AS460" s="462">
        <f>AS455*AS424</f>
        <v>79.778303999999991</v>
      </c>
      <c r="AT460" s="462">
        <f>AT455*AT424</f>
        <v>90.802675599999986</v>
      </c>
      <c r="AU460" s="462">
        <f>AU455*AU424</f>
        <v>106.78329760000001</v>
      </c>
      <c r="AV460" s="462">
        <f>AV455*AV424</f>
        <v>113.73510239999997</v>
      </c>
    </row>
    <row r="461" spans="2:48">
      <c r="B461" t="s">
        <v>2538</v>
      </c>
      <c r="AR461" s="454">
        <f>SUM(AR458:AR460)</f>
        <v>469.37837483382424</v>
      </c>
      <c r="AS461" s="454">
        <f>SUM(AS458:AS460)</f>
        <v>503.15883635608344</v>
      </c>
      <c r="AT461" s="454">
        <f>SUM(AT458:AT460)</f>
        <v>456.557871088132</v>
      </c>
      <c r="AU461" s="454">
        <f>SUM(AU458:AU460)</f>
        <v>548.39046637624972</v>
      </c>
      <c r="AV461" s="454">
        <f>SUM(AV458:AV460)</f>
        <v>622.99366077632737</v>
      </c>
    </row>
    <row r="486" spans="2:5">
      <c r="B486" s="627" t="s">
        <v>2705</v>
      </c>
    </row>
    <row r="488" spans="2:5">
      <c r="B488" s="478" t="s">
        <v>2778</v>
      </c>
    </row>
    <row r="489" spans="2:5">
      <c r="B489" s="478" t="s">
        <v>2779</v>
      </c>
    </row>
    <row r="490" spans="2:5">
      <c r="B490" s="478" t="s">
        <v>2780</v>
      </c>
    </row>
    <row r="491" spans="2:5">
      <c r="B491" s="478"/>
    </row>
    <row r="492" spans="2:5">
      <c r="B492" s="478" t="s">
        <v>2781</v>
      </c>
      <c r="E492" s="450" t="s">
        <v>2786</v>
      </c>
    </row>
    <row r="493" spans="2:5">
      <c r="B493" s="478"/>
    </row>
    <row r="494" spans="2:5">
      <c r="B494" s="478" t="s">
        <v>2785</v>
      </c>
      <c r="D494">
        <v>2011</v>
      </c>
    </row>
    <row r="495" spans="2:5">
      <c r="B495" s="478" t="s">
        <v>2782</v>
      </c>
      <c r="D495">
        <v>0.9</v>
      </c>
      <c r="E495" s="478" t="s">
        <v>2799</v>
      </c>
    </row>
    <row r="496" spans="2:5">
      <c r="B496" s="478" t="s">
        <v>2787</v>
      </c>
      <c r="D496">
        <v>1.7</v>
      </c>
      <c r="E496" s="478" t="s">
        <v>2798</v>
      </c>
    </row>
    <row r="497" spans="2:5">
      <c r="B497" s="478" t="s">
        <v>2788</v>
      </c>
      <c r="D497">
        <v>1.1000000000000001</v>
      </c>
      <c r="E497" s="478" t="s">
        <v>2797</v>
      </c>
    </row>
    <row r="498" spans="2:5">
      <c r="B498" s="450"/>
    </row>
    <row r="499" spans="2:5">
      <c r="B499" s="478" t="s">
        <v>2796</v>
      </c>
    </row>
    <row r="500" spans="2:5">
      <c r="B500" s="478" t="s">
        <v>2783</v>
      </c>
    </row>
    <row r="501" spans="2:5">
      <c r="B501" s="478" t="s">
        <v>2784</v>
      </c>
    </row>
    <row r="503" spans="2:5">
      <c r="B503" s="450" t="s">
        <v>2789</v>
      </c>
    </row>
    <row r="504" spans="2:5">
      <c r="B504" s="478" t="s">
        <v>2792</v>
      </c>
    </row>
    <row r="505" spans="2:5">
      <c r="B505" s="478" t="s">
        <v>2790</v>
      </c>
    </row>
    <row r="506" spans="2:5">
      <c r="B506" s="478" t="s">
        <v>2791</v>
      </c>
    </row>
    <row r="508" spans="2:5">
      <c r="B508" s="450" t="s">
        <v>2793</v>
      </c>
    </row>
    <row r="509" spans="2:5">
      <c r="B509" s="478" t="s">
        <v>2794</v>
      </c>
    </row>
    <row r="511" spans="2:5">
      <c r="B511" s="478" t="s">
        <v>2795</v>
      </c>
    </row>
    <row r="513" spans="2:34">
      <c r="B513" s="478" t="s">
        <v>2800</v>
      </c>
    </row>
    <row r="515" spans="2:34">
      <c r="B515" s="478" t="s">
        <v>1930</v>
      </c>
    </row>
    <row r="517" spans="2:34">
      <c r="B517" s="451" t="s">
        <v>1930</v>
      </c>
      <c r="C517" s="560" t="s">
        <v>955</v>
      </c>
      <c r="D517" s="560" t="s">
        <v>1606</v>
      </c>
      <c r="E517" s="560" t="s">
        <v>887</v>
      </c>
      <c r="F517" s="560" t="s">
        <v>2705</v>
      </c>
      <c r="G517" s="560" t="s">
        <v>2803</v>
      </c>
      <c r="H517" s="619" t="s">
        <v>1377</v>
      </c>
      <c r="I517" s="560" t="s">
        <v>2324</v>
      </c>
      <c r="K517" s="560" t="str">
        <f>C517</f>
        <v>AMX</v>
      </c>
      <c r="L517" s="560" t="str">
        <f>D517</f>
        <v>TEF</v>
      </c>
      <c r="M517" s="560" t="str">
        <f>E517</f>
        <v>Tigo</v>
      </c>
      <c r="N517" s="560" t="str">
        <f>F517</f>
        <v>UNE</v>
      </c>
      <c r="O517" s="560" t="str">
        <f>G517</f>
        <v>ETB</v>
      </c>
      <c r="P517" s="560"/>
      <c r="Q517" s="560"/>
      <c r="R517" s="560"/>
      <c r="S517" s="560"/>
      <c r="T517" s="560"/>
      <c r="U517" s="560"/>
      <c r="V517" s="560"/>
      <c r="W517" s="560"/>
      <c r="X517" s="2527"/>
      <c r="Y517" s="2527"/>
      <c r="Z517" s="2527"/>
      <c r="AA517" s="2527"/>
      <c r="AB517" s="2527"/>
      <c r="AC517" s="2527"/>
      <c r="AD517" s="2527"/>
      <c r="AE517" s="2527"/>
      <c r="AF517" s="2527"/>
      <c r="AG517" s="560" t="str">
        <f>H517</f>
        <v>Others</v>
      </c>
      <c r="AH517" s="560" t="str">
        <f>I517</f>
        <v>Total</v>
      </c>
    </row>
    <row r="518" spans="2:34">
      <c r="B518" s="478" t="s">
        <v>1212</v>
      </c>
      <c r="C518" s="449">
        <v>0.14000000000000001</v>
      </c>
      <c r="D518" s="449">
        <v>0.21</v>
      </c>
      <c r="E518" s="449">
        <v>0</v>
      </c>
      <c r="F518" s="449">
        <v>0.25</v>
      </c>
      <c r="G518" s="449">
        <v>0.27</v>
      </c>
      <c r="H518" s="628">
        <v>0.13</v>
      </c>
      <c r="I518" s="449">
        <f>SUM(C518:H518)</f>
        <v>1</v>
      </c>
      <c r="K518" s="191">
        <f t="shared" ref="K518:M520" si="401">C518*$AH518</f>
        <v>952.00000000000011</v>
      </c>
      <c r="L518" s="191">
        <f t="shared" si="401"/>
        <v>1428</v>
      </c>
      <c r="M518" s="191">
        <f t="shared" si="401"/>
        <v>0</v>
      </c>
      <c r="N518" s="191">
        <v>1700</v>
      </c>
      <c r="O518" s="191">
        <f>G518*$AH518</f>
        <v>1836.0000000000002</v>
      </c>
      <c r="P518" s="191"/>
      <c r="Q518" s="191"/>
      <c r="R518" s="191"/>
      <c r="S518" s="191"/>
      <c r="T518" s="191"/>
      <c r="U518" s="191"/>
      <c r="V518" s="191"/>
      <c r="W518" s="191"/>
      <c r="X518" s="191"/>
      <c r="Y518" s="191"/>
      <c r="Z518" s="191"/>
      <c r="AA518" s="191"/>
      <c r="AB518" s="191"/>
      <c r="AC518" s="191"/>
      <c r="AD518" s="191"/>
      <c r="AE518" s="191"/>
      <c r="AF518" s="191"/>
      <c r="AG518" s="191">
        <f>H518*$AH518</f>
        <v>884</v>
      </c>
      <c r="AH518" s="191">
        <f>N518/F518</f>
        <v>6800</v>
      </c>
    </row>
    <row r="519" spans="2:34">
      <c r="B519" s="478" t="s">
        <v>2801</v>
      </c>
      <c r="C519" s="449">
        <v>0.3</v>
      </c>
      <c r="D519" s="449">
        <v>0.18</v>
      </c>
      <c r="E519" s="449">
        <v>0</v>
      </c>
      <c r="F519" s="449">
        <v>0.3</v>
      </c>
      <c r="G519" s="449">
        <v>0.14000000000000001</v>
      </c>
      <c r="H519" s="628">
        <v>0.08</v>
      </c>
      <c r="I519" s="449">
        <f>SUM(C519:H519)</f>
        <v>1</v>
      </c>
      <c r="K519" s="191">
        <f t="shared" si="401"/>
        <v>900</v>
      </c>
      <c r="L519" s="191">
        <f t="shared" si="401"/>
        <v>540</v>
      </c>
      <c r="M519" s="191">
        <f t="shared" si="401"/>
        <v>0</v>
      </c>
      <c r="N519" s="191">
        <v>900</v>
      </c>
      <c r="O519" s="191">
        <f>G519*$AH519</f>
        <v>420.00000000000006</v>
      </c>
      <c r="P519" s="191"/>
      <c r="Q519" s="191"/>
      <c r="R519" s="191"/>
      <c r="S519" s="191"/>
      <c r="T519" s="191"/>
      <c r="U519" s="191"/>
      <c r="V519" s="191"/>
      <c r="W519" s="191"/>
      <c r="X519" s="191"/>
      <c r="Y519" s="191"/>
      <c r="Z519" s="191"/>
      <c r="AA519" s="191"/>
      <c r="AB519" s="191"/>
      <c r="AC519" s="191"/>
      <c r="AD519" s="191"/>
      <c r="AE519" s="191"/>
      <c r="AF519" s="191"/>
      <c r="AG519" s="191">
        <f>H519*$AH519</f>
        <v>240</v>
      </c>
      <c r="AH519" s="191">
        <f>N519/F519</f>
        <v>3000</v>
      </c>
    </row>
    <row r="520" spans="2:34">
      <c r="B520" s="478" t="s">
        <v>2587</v>
      </c>
      <c r="C520" s="449">
        <v>0.44</v>
      </c>
      <c r="D520" s="449">
        <v>7.0000000000000007E-2</v>
      </c>
      <c r="E520" s="449">
        <v>0</v>
      </c>
      <c r="F520" s="449">
        <v>0.26</v>
      </c>
      <c r="G520" s="449">
        <v>0</v>
      </c>
      <c r="H520" s="628">
        <v>0.23</v>
      </c>
      <c r="I520" s="449">
        <f>SUM(C520:H520)</f>
        <v>1</v>
      </c>
      <c r="K520" s="191">
        <f t="shared" si="401"/>
        <v>1861.5384615384614</v>
      </c>
      <c r="L520" s="191">
        <f t="shared" si="401"/>
        <v>296.15384615384619</v>
      </c>
      <c r="M520" s="191">
        <f t="shared" si="401"/>
        <v>0</v>
      </c>
      <c r="N520" s="191">
        <v>1100</v>
      </c>
      <c r="O520" s="191">
        <f>G520*$AH520</f>
        <v>0</v>
      </c>
      <c r="P520" s="191"/>
      <c r="Q520" s="191"/>
      <c r="R520" s="191"/>
      <c r="S520" s="191"/>
      <c r="T520" s="191"/>
      <c r="U520" s="191"/>
      <c r="V520" s="191"/>
      <c r="W520" s="191"/>
      <c r="X520" s="191"/>
      <c r="Y520" s="191"/>
      <c r="Z520" s="191"/>
      <c r="AA520" s="191"/>
      <c r="AB520" s="191"/>
      <c r="AC520" s="191"/>
      <c r="AD520" s="191"/>
      <c r="AE520" s="191"/>
      <c r="AF520" s="191"/>
      <c r="AG520" s="191">
        <f>H520*$AH520</f>
        <v>973.07692307692309</v>
      </c>
      <c r="AH520" s="191">
        <f>N520/F520</f>
        <v>4230.7692307692305</v>
      </c>
    </row>
    <row r="521" spans="2:34">
      <c r="B521" s="478" t="s">
        <v>1796</v>
      </c>
      <c r="C521" s="449">
        <v>0.21</v>
      </c>
      <c r="D521" s="449">
        <v>0.54</v>
      </c>
      <c r="E521" s="449">
        <v>0.19</v>
      </c>
      <c r="F521" s="449">
        <v>0.04</v>
      </c>
      <c r="G521" s="449">
        <v>0</v>
      </c>
      <c r="H521" s="628">
        <v>0.02</v>
      </c>
      <c r="I521" s="449">
        <f>SUM(C521:H521)</f>
        <v>1</v>
      </c>
      <c r="K521" s="191"/>
      <c r="L521" s="191"/>
      <c r="M521" s="191"/>
      <c r="N521" s="191"/>
      <c r="O521" s="191"/>
      <c r="P521" s="191"/>
      <c r="Q521" s="191"/>
      <c r="R521" s="191"/>
      <c r="S521" s="191"/>
      <c r="T521" s="191"/>
      <c r="U521" s="191"/>
      <c r="V521" s="191"/>
      <c r="W521" s="191"/>
      <c r="X521" s="191"/>
      <c r="Y521" s="191"/>
      <c r="Z521" s="191"/>
      <c r="AA521" s="191"/>
      <c r="AB521" s="191"/>
      <c r="AC521" s="191"/>
      <c r="AD521" s="191"/>
      <c r="AE521" s="191"/>
      <c r="AF521" s="191"/>
      <c r="AG521" s="191"/>
      <c r="AH521" s="191"/>
    </row>
    <row r="522" spans="2:34">
      <c r="B522" s="478" t="s">
        <v>2802</v>
      </c>
      <c r="C522" s="449">
        <v>0.62</v>
      </c>
      <c r="D522" s="449">
        <v>0.25</v>
      </c>
      <c r="E522" s="449">
        <v>0.13</v>
      </c>
      <c r="F522" s="449">
        <v>0</v>
      </c>
      <c r="G522" s="449">
        <v>0</v>
      </c>
      <c r="H522" s="628">
        <v>0</v>
      </c>
      <c r="I522" s="449">
        <f>SUM(C522:H522)</f>
        <v>1</v>
      </c>
      <c r="K522" s="191"/>
      <c r="L522" s="191"/>
      <c r="M522" s="191"/>
      <c r="N522" s="191"/>
      <c r="O522" s="191"/>
      <c r="P522" s="191"/>
      <c r="Q522" s="191"/>
      <c r="R522" s="191"/>
      <c r="S522" s="191"/>
      <c r="T522" s="191"/>
      <c r="U522" s="191"/>
      <c r="V522" s="191"/>
      <c r="W522" s="191"/>
      <c r="X522" s="191"/>
      <c r="Y522" s="191"/>
      <c r="Z522" s="191"/>
      <c r="AA522" s="191"/>
      <c r="AB522" s="191"/>
      <c r="AC522" s="191"/>
      <c r="AD522" s="191"/>
      <c r="AE522" s="191"/>
      <c r="AF522" s="191"/>
      <c r="AG522" s="191"/>
      <c r="AH522" s="191"/>
    </row>
    <row r="524" spans="2:34">
      <c r="B524" s="478" t="s">
        <v>2804</v>
      </c>
    </row>
    <row r="526" spans="2:34">
      <c r="B526" s="478" t="s">
        <v>887</v>
      </c>
      <c r="C526">
        <v>1645</v>
      </c>
      <c r="E526" s="464" t="e">
        <f>SOP!#REF!</f>
        <v>#REF!</v>
      </c>
    </row>
    <row r="527" spans="2:34">
      <c r="B527" s="478" t="s">
        <v>2705</v>
      </c>
      <c r="C527">
        <v>1645</v>
      </c>
      <c r="E527">
        <f>(Analysis!E2240/0.75)*5</f>
        <v>1660</v>
      </c>
    </row>
    <row r="528" spans="2:34">
      <c r="B528" s="487" t="s">
        <v>2805</v>
      </c>
      <c r="C528" s="455">
        <v>1057</v>
      </c>
    </row>
    <row r="529" spans="2:10">
      <c r="B529" s="478" t="s">
        <v>245</v>
      </c>
      <c r="C529">
        <f>C526+C527+C528</f>
        <v>4347</v>
      </c>
      <c r="I529" s="629" t="s">
        <v>2806</v>
      </c>
    </row>
    <row r="531" spans="2:10">
      <c r="I531" s="449">
        <v>1</v>
      </c>
    </row>
    <row r="533" spans="2:10">
      <c r="C533" s="629" t="s">
        <v>2803</v>
      </c>
      <c r="F533" s="629" t="s">
        <v>1609</v>
      </c>
      <c r="I533" s="629" t="s">
        <v>2705</v>
      </c>
      <c r="J533">
        <f>E527</f>
        <v>1660</v>
      </c>
    </row>
    <row r="535" spans="2:10">
      <c r="C535" s="449">
        <v>0.25</v>
      </c>
      <c r="F535" s="449">
        <v>0.5</v>
      </c>
      <c r="H535" s="449">
        <v>0.25</v>
      </c>
    </row>
    <row r="537" spans="2:10">
      <c r="F537" s="629" t="s">
        <v>887</v>
      </c>
      <c r="G537" s="464" t="e">
        <f>E526</f>
        <v>#REF!</v>
      </c>
    </row>
    <row r="541" spans="2:10">
      <c r="B541" s="478" t="s">
        <v>2807</v>
      </c>
      <c r="C541" s="464" t="e">
        <f>E527+E526</f>
        <v>#REF!</v>
      </c>
      <c r="F541" s="506" t="s">
        <v>2809</v>
      </c>
      <c r="G541" s="506" t="s">
        <v>2808</v>
      </c>
      <c r="H541" s="506" t="s">
        <v>1107</v>
      </c>
    </row>
    <row r="542" spans="2:10">
      <c r="B542" s="478" t="s">
        <v>1250</v>
      </c>
      <c r="C542" s="464" t="e">
        <f>C$541*D542</f>
        <v>#REF!</v>
      </c>
      <c r="D542" s="449">
        <v>0.5</v>
      </c>
      <c r="F542" s="454" t="e">
        <f>F535*E526</f>
        <v>#REF!</v>
      </c>
      <c r="G542" s="464" t="e">
        <f>C542-F542</f>
        <v>#REF!</v>
      </c>
      <c r="H542" s="464" t="e">
        <f>F542+G542</f>
        <v>#REF!</v>
      </c>
    </row>
    <row r="543" spans="2:10">
      <c r="B543" s="478" t="s">
        <v>2806</v>
      </c>
      <c r="C543" s="464" t="e">
        <f>C$541*D543</f>
        <v>#REF!</v>
      </c>
      <c r="D543" s="449">
        <v>0.5</v>
      </c>
      <c r="F543" s="454" t="e">
        <f>G537*H535+J533</f>
        <v>#REF!</v>
      </c>
      <c r="G543" s="454" t="e">
        <f>F543-H543</f>
        <v>#REF!</v>
      </c>
      <c r="H543" s="464" t="e">
        <f>C543</f>
        <v>#REF!</v>
      </c>
    </row>
    <row r="545" spans="2:7">
      <c r="G545" s="464" t="e">
        <f>G542-G543</f>
        <v>#REF!</v>
      </c>
    </row>
    <row r="547" spans="2:7">
      <c r="B547" s="499" t="s">
        <v>1250</v>
      </c>
    </row>
    <row r="549" spans="2:7">
      <c r="B549" s="487" t="s">
        <v>2602</v>
      </c>
      <c r="C549" s="455">
        <v>2012</v>
      </c>
      <c r="D549" s="508" t="s">
        <v>2753</v>
      </c>
      <c r="E549" s="508" t="s">
        <v>2754</v>
      </c>
      <c r="F549" s="508" t="s">
        <v>2755</v>
      </c>
      <c r="G549" s="508">
        <v>2013</v>
      </c>
    </row>
    <row r="550" spans="2:7">
      <c r="B550" s="478" t="s">
        <v>150</v>
      </c>
      <c r="C550" s="464" t="e">
        <f>Valuation!#REF!</f>
        <v>#REF!</v>
      </c>
      <c r="D550" s="464">
        <f>Quarts!BB84</f>
        <v>2075</v>
      </c>
      <c r="E550" s="464" t="e">
        <f>Quarts!#REF!</f>
        <v>#REF!</v>
      </c>
      <c r="F550" s="464" t="e">
        <f>Quarts!#REF!</f>
        <v>#REF!</v>
      </c>
      <c r="G550" s="464" t="e">
        <f>Quarts!#REF!</f>
        <v>#REF!</v>
      </c>
    </row>
    <row r="551" spans="2:7">
      <c r="B551" s="478" t="s">
        <v>2810</v>
      </c>
      <c r="C551" s="464" t="e">
        <f>Master!#REF!</f>
        <v>#REF!</v>
      </c>
      <c r="D551" s="464">
        <f>Quarts!BB17+Quarts!AZ17+Quarts!AY17+Quarts!AX17</f>
        <v>2110</v>
      </c>
      <c r="E551" s="464" t="e">
        <f>Quarts!#REF!+Quarts!BB17+Quarts!AZ17+Quarts!AY17</f>
        <v>#REF!</v>
      </c>
      <c r="F551" s="464" t="e">
        <f>Quarts!#REF!+Quarts!#REF!+Quarts!BB17+Quarts!AZ17</f>
        <v>#REF!</v>
      </c>
      <c r="G551" s="464" t="e">
        <f>Master!#REF!</f>
        <v>#REF!</v>
      </c>
    </row>
    <row r="552" spans="2:7">
      <c r="B552" s="478" t="s">
        <v>2811</v>
      </c>
      <c r="C552" s="531" t="e">
        <f>C550/C551</f>
        <v>#REF!</v>
      </c>
      <c r="D552" s="531">
        <f>D550/D551</f>
        <v>0.98341232227488151</v>
      </c>
      <c r="E552" s="531" t="e">
        <f>E550/E551</f>
        <v>#REF!</v>
      </c>
      <c r="F552" s="531" t="e">
        <f>F550/F551</f>
        <v>#REF!</v>
      </c>
      <c r="G552" s="531" t="e">
        <f>G550/G551</f>
        <v>#REF!</v>
      </c>
    </row>
    <row r="554" spans="2:7">
      <c r="B554" s="478" t="s">
        <v>2815</v>
      </c>
      <c r="F554" s="464" t="e">
        <f>F550+G542</f>
        <v>#REF!</v>
      </c>
      <c r="G554" s="464" t="e">
        <f>G550+G542</f>
        <v>#REF!</v>
      </c>
    </row>
    <row r="555" spans="2:7">
      <c r="B555" s="478" t="s">
        <v>2816</v>
      </c>
      <c r="F555" s="454" t="e">
        <f>F551+Analysis!$E$2240/0.75</f>
        <v>#REF!</v>
      </c>
      <c r="G555" s="454" t="e">
        <f>G551+Analysis!$E$2240/0.75</f>
        <v>#REF!</v>
      </c>
    </row>
    <row r="556" spans="2:7">
      <c r="B556" s="478" t="s">
        <v>614</v>
      </c>
      <c r="F556" s="531" t="e">
        <f>F554/F555</f>
        <v>#REF!</v>
      </c>
      <c r="G556" s="531" t="e">
        <f>G554/G555</f>
        <v>#REF!</v>
      </c>
    </row>
    <row r="559" spans="2:7">
      <c r="C559" s="506" t="s">
        <v>2824</v>
      </c>
      <c r="D559" s="506" t="s">
        <v>2825</v>
      </c>
    </row>
    <row r="560" spans="2:7">
      <c r="B560" s="487" t="s">
        <v>914</v>
      </c>
      <c r="C560" s="508" t="s">
        <v>2803</v>
      </c>
      <c r="D560" s="508" t="s">
        <v>2705</v>
      </c>
    </row>
    <row r="561" spans="2:4">
      <c r="B561" s="478" t="s">
        <v>360</v>
      </c>
      <c r="C561">
        <v>350</v>
      </c>
    </row>
    <row r="562" spans="2:4">
      <c r="B562" s="478" t="s">
        <v>2817</v>
      </c>
      <c r="C562" s="506" t="s">
        <v>2818</v>
      </c>
      <c r="D562" s="449">
        <v>0.24</v>
      </c>
    </row>
    <row r="563" spans="2:4">
      <c r="B563" s="478" t="s">
        <v>2823</v>
      </c>
      <c r="C563" s="506">
        <v>150</v>
      </c>
      <c r="D563">
        <v>-100</v>
      </c>
    </row>
    <row r="564" spans="2:4">
      <c r="B564" s="478" t="s">
        <v>2819</v>
      </c>
      <c r="C564">
        <v>180</v>
      </c>
      <c r="D564" s="478">
        <v>-400</v>
      </c>
    </row>
    <row r="565" spans="2:4">
      <c r="B565" s="478" t="s">
        <v>2820</v>
      </c>
      <c r="C565">
        <v>770</v>
      </c>
    </row>
    <row r="566" spans="2:4">
      <c r="B566" s="478" t="s">
        <v>2821</v>
      </c>
      <c r="C566">
        <v>670</v>
      </c>
      <c r="D566" s="478"/>
    </row>
    <row r="568" spans="2:4">
      <c r="B568" s="478" t="s">
        <v>2722</v>
      </c>
      <c r="C568">
        <f>C565-C564</f>
        <v>590</v>
      </c>
    </row>
    <row r="569" spans="2:4">
      <c r="B569" s="478" t="s">
        <v>2822</v>
      </c>
      <c r="C569" s="468">
        <f>C568/C561</f>
        <v>1.6857142857142857</v>
      </c>
    </row>
    <row r="571" spans="2:4">
      <c r="B571" s="478" t="s">
        <v>2829</v>
      </c>
    </row>
    <row r="572" spans="2:4">
      <c r="B572" s="478" t="s">
        <v>2826</v>
      </c>
    </row>
    <row r="573" spans="2:4">
      <c r="B573" s="478" t="s">
        <v>2827</v>
      </c>
    </row>
    <row r="574" spans="2:4">
      <c r="B574" s="478" t="s">
        <v>2828</v>
      </c>
    </row>
    <row r="575" spans="2:4">
      <c r="B575" s="478" t="s">
        <v>2830</v>
      </c>
    </row>
    <row r="576" spans="2:4">
      <c r="B576" s="478" t="s">
        <v>2831</v>
      </c>
    </row>
    <row r="578" spans="2:16" ht="15.75">
      <c r="B578" s="1118" t="s">
        <v>4741</v>
      </c>
      <c r="C578" s="1118"/>
      <c r="D578" s="1118"/>
      <c r="E578" s="1118"/>
      <c r="F578" s="1118"/>
      <c r="G578" s="1119" t="s">
        <v>3662</v>
      </c>
      <c r="H578" s="1119" t="s">
        <v>3699</v>
      </c>
      <c r="I578" s="1119" t="s">
        <v>3790</v>
      </c>
      <c r="J578" s="1119" t="s">
        <v>3814</v>
      </c>
      <c r="K578" s="1119" t="s">
        <v>3866</v>
      </c>
      <c r="L578" s="1119" t="s">
        <v>4082</v>
      </c>
      <c r="M578" s="1119" t="s">
        <v>4254</v>
      </c>
      <c r="N578" s="1119" t="s">
        <v>4387</v>
      </c>
      <c r="O578" s="1119" t="s">
        <v>4571</v>
      </c>
      <c r="P578" s="1119" t="s">
        <v>4689</v>
      </c>
    </row>
    <row r="579" spans="2:16">
      <c r="B579" t="s">
        <v>2705</v>
      </c>
    </row>
    <row r="580" spans="2:16">
      <c r="B580" t="s">
        <v>4288</v>
      </c>
      <c r="O580">
        <v>4700</v>
      </c>
      <c r="P580">
        <v>4700</v>
      </c>
    </row>
    <row r="581" spans="2:16">
      <c r="B581" s="470" t="s">
        <v>4742</v>
      </c>
      <c r="C581" s="470"/>
      <c r="D581" s="470"/>
      <c r="E581" s="470"/>
      <c r="F581" s="470"/>
      <c r="G581" s="470"/>
      <c r="H581" s="470"/>
      <c r="I581" s="470"/>
      <c r="J581" s="470"/>
      <c r="K581" s="470"/>
      <c r="L581" s="470"/>
      <c r="M581" s="470"/>
      <c r="N581" s="470"/>
      <c r="O581" s="1120">
        <v>0.39350569197503638</v>
      </c>
      <c r="P581" s="1120">
        <v>0.39350569197503638</v>
      </c>
    </row>
    <row r="582" spans="2:16">
      <c r="B582" t="s">
        <v>4743</v>
      </c>
    </row>
    <row r="583" spans="2:16">
      <c r="B583" s="452" t="s">
        <v>4744</v>
      </c>
      <c r="O583" s="454">
        <v>4100</v>
      </c>
      <c r="P583">
        <v>4100</v>
      </c>
    </row>
    <row r="584" spans="2:16">
      <c r="B584" s="452" t="s">
        <v>4745</v>
      </c>
      <c r="H584" s="454"/>
      <c r="I584" s="454"/>
      <c r="J584" s="454"/>
      <c r="K584" s="454"/>
      <c r="L584" s="454"/>
      <c r="M584" s="454"/>
      <c r="N584" s="454"/>
      <c r="O584">
        <v>600</v>
      </c>
      <c r="P584">
        <v>600</v>
      </c>
    </row>
    <row r="586" spans="2:16">
      <c r="B586" t="s">
        <v>4746</v>
      </c>
      <c r="H586" s="454"/>
      <c r="I586" s="454"/>
      <c r="J586" s="454"/>
      <c r="K586" s="454"/>
      <c r="L586" s="454"/>
      <c r="M586" s="454"/>
      <c r="N586" s="454"/>
      <c r="O586" s="454">
        <v>1641.329</v>
      </c>
      <c r="P586" s="454">
        <v>1624.433</v>
      </c>
    </row>
    <row r="587" spans="2:16">
      <c r="B587" s="452" t="s">
        <v>4744</v>
      </c>
      <c r="H587" s="454"/>
      <c r="I587" s="454"/>
      <c r="J587" s="454"/>
      <c r="K587" s="454"/>
      <c r="L587" s="454"/>
      <c r="M587" s="454"/>
      <c r="N587" s="454"/>
      <c r="O587" s="454">
        <v>1041.329</v>
      </c>
      <c r="P587" s="454">
        <v>1024.433</v>
      </c>
    </row>
    <row r="588" spans="2:16">
      <c r="B588" s="452" t="s">
        <v>4747</v>
      </c>
      <c r="H588" s="454"/>
      <c r="I588" s="454"/>
      <c r="J588" s="454"/>
      <c r="K588" s="454"/>
      <c r="L588" s="454"/>
      <c r="M588" s="454"/>
      <c r="N588" s="454"/>
      <c r="O588" s="454">
        <v>600</v>
      </c>
      <c r="P588" s="454">
        <v>600</v>
      </c>
    </row>
    <row r="590" spans="2:16">
      <c r="B590" t="s">
        <v>4748</v>
      </c>
    </row>
    <row r="591" spans="2:16">
      <c r="B591" t="s">
        <v>4744</v>
      </c>
      <c r="O591" s="449">
        <v>0.25398268292682924</v>
      </c>
      <c r="P591" s="449">
        <v>0.24986170731707316</v>
      </c>
    </row>
    <row r="592" spans="2:16">
      <c r="B592" t="s">
        <v>4747</v>
      </c>
      <c r="O592" s="449">
        <v>1</v>
      </c>
      <c r="P592" s="449">
        <v>1</v>
      </c>
    </row>
    <row r="594" spans="2:16" ht="15.75">
      <c r="B594" s="1121" t="s">
        <v>1975</v>
      </c>
    </row>
    <row r="595" spans="2:16">
      <c r="B595" t="s">
        <v>4749</v>
      </c>
      <c r="O595">
        <v>6500</v>
      </c>
      <c r="P595">
        <v>6500</v>
      </c>
    </row>
    <row r="596" spans="2:16">
      <c r="B596" t="s">
        <v>4750</v>
      </c>
      <c r="O596" s="464">
        <v>2169.0030000000002</v>
      </c>
    </row>
    <row r="597" spans="2:16">
      <c r="B597" t="s">
        <v>4751</v>
      </c>
      <c r="O597" s="449">
        <v>0.33369276923076924</v>
      </c>
    </row>
    <row r="599" spans="2:16" ht="15.75">
      <c r="B599" s="1121" t="s">
        <v>2789</v>
      </c>
    </row>
    <row r="600" spans="2:16">
      <c r="B600" t="s">
        <v>4752</v>
      </c>
      <c r="G600">
        <v>725</v>
      </c>
      <c r="K600">
        <v>1207</v>
      </c>
      <c r="O600">
        <v>1266</v>
      </c>
      <c r="P600">
        <v>1266</v>
      </c>
    </row>
    <row r="601" spans="2:16">
      <c r="B601" t="s">
        <v>4753</v>
      </c>
      <c r="G601" s="454">
        <v>18.399999999999999</v>
      </c>
      <c r="H601" s="454"/>
      <c r="I601" s="454"/>
      <c r="J601" s="454"/>
      <c r="K601" s="454">
        <v>111.157</v>
      </c>
      <c r="L601" s="454"/>
      <c r="M601" s="454"/>
      <c r="N601" s="454"/>
      <c r="O601" s="454">
        <v>201.089</v>
      </c>
    </row>
    <row r="602" spans="2:16">
      <c r="B602" t="s">
        <v>4754</v>
      </c>
      <c r="G602" s="449">
        <f>G601/G600</f>
        <v>2.5379310344827585E-2</v>
      </c>
      <c r="K602" s="449">
        <f>K601/K600</f>
        <v>9.2093620546810265E-2</v>
      </c>
      <c r="O602" s="449">
        <f>O601/O600</f>
        <v>0.15883807266982622</v>
      </c>
    </row>
    <row r="604" spans="2:16" ht="15.75">
      <c r="B604" s="1121" t="s">
        <v>4755</v>
      </c>
    </row>
    <row r="605" spans="2:16">
      <c r="B605" t="s">
        <v>4756</v>
      </c>
      <c r="O605">
        <v>27.1</v>
      </c>
      <c r="P605">
        <v>33.4</v>
      </c>
    </row>
    <row r="607" spans="2:16">
      <c r="B607" t="s">
        <v>4757</v>
      </c>
      <c r="O607" s="454">
        <v>11943.91871794872</v>
      </c>
      <c r="P607" s="454">
        <v>11943.91871794872</v>
      </c>
    </row>
    <row r="609" spans="2:15">
      <c r="B609" t="s">
        <v>4758</v>
      </c>
      <c r="O609" s="454">
        <f>O587+O596+O601+O605</f>
        <v>3438.5210000000002</v>
      </c>
    </row>
    <row r="610" spans="2:15">
      <c r="B610" s="1122" t="s">
        <v>4759</v>
      </c>
      <c r="C610" s="470"/>
      <c r="D610" s="470"/>
      <c r="E610" s="470"/>
      <c r="F610" s="470"/>
      <c r="G610" s="470"/>
      <c r="H610" s="470"/>
      <c r="I610" s="470"/>
      <c r="J610" s="470"/>
      <c r="K610" s="470"/>
      <c r="L610" s="470"/>
      <c r="M610" s="470"/>
      <c r="N610" s="470"/>
      <c r="O610" s="1123">
        <f>O609/O607</f>
        <v>0.28788884797355191</v>
      </c>
    </row>
  </sheetData>
  <phoneticPr fontId="17" type="noConversion"/>
  <pageMargins left="0.74803149606299213" right="0.74803149606299213" top="0.98425196850393704" bottom="0.98425196850393704" header="0.51181102362204722" footer="0.51181102362204722"/>
  <pageSetup paperSize="9" scale="14" fitToHeight="2"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AI539"/>
  <sheetViews>
    <sheetView showGridLines="0" zoomScale="72" zoomScaleNormal="72" workbookViewId="0">
      <selection activeCell="T42" sqref="T42"/>
    </sheetView>
  </sheetViews>
  <sheetFormatPr defaultRowHeight="15" outlineLevelRow="1"/>
  <cols>
    <col min="1" max="1" width="7.7109375" customWidth="1"/>
    <col min="2" max="2" width="40.140625" customWidth="1"/>
    <col min="3" max="3" width="15" customWidth="1"/>
    <col min="4" max="23" width="10.85546875" customWidth="1"/>
    <col min="24" max="24" width="9.140625" customWidth="1"/>
    <col min="27" max="27" width="34" customWidth="1"/>
  </cols>
  <sheetData>
    <row r="1" spans="1:33" ht="15.75">
      <c r="A1" s="1293"/>
      <c r="B1" s="1293"/>
      <c r="C1" s="1293"/>
      <c r="D1" s="1293" t="s">
        <v>1823</v>
      </c>
      <c r="E1" s="1652"/>
      <c r="F1" s="1293"/>
      <c r="G1" s="1293"/>
      <c r="H1" s="1293"/>
      <c r="I1" s="1293"/>
      <c r="J1" s="1293"/>
      <c r="K1" s="1653"/>
      <c r="L1" s="1653"/>
      <c r="M1" s="1653"/>
      <c r="N1" s="1653"/>
      <c r="O1" s="1293"/>
      <c r="P1" s="1293"/>
      <c r="Q1" s="1293"/>
      <c r="R1" s="1293"/>
      <c r="S1" s="1293"/>
      <c r="T1" s="1293"/>
      <c r="U1" s="1293"/>
      <c r="V1" s="1293"/>
      <c r="W1" s="1653"/>
      <c r="X1" s="1653"/>
      <c r="Y1" s="1653"/>
      <c r="Z1" s="1653"/>
      <c r="AA1" s="1653"/>
      <c r="AB1" s="1653"/>
      <c r="AC1" s="1653"/>
      <c r="AD1" s="1653"/>
      <c r="AE1" s="1653"/>
      <c r="AF1" s="1653"/>
      <c r="AG1" s="1653"/>
    </row>
    <row r="2" spans="1:33" ht="15.75">
      <c r="A2" s="1293"/>
      <c r="B2" s="1397"/>
      <c r="C2" s="1859" t="s">
        <v>1593</v>
      </c>
      <c r="D2" s="1860">
        <v>2024</v>
      </c>
      <c r="E2" s="1860"/>
      <c r="F2" s="1861"/>
      <c r="G2" s="1862" t="s">
        <v>9031</v>
      </c>
      <c r="H2" s="1863" t="s">
        <v>2989</v>
      </c>
      <c r="I2" s="1861"/>
      <c r="J2" s="1860"/>
      <c r="K2" s="1859"/>
      <c r="L2" s="1653"/>
      <c r="M2" s="1653"/>
      <c r="N2" s="1653"/>
      <c r="O2" s="1293"/>
      <c r="P2" s="1293"/>
      <c r="Q2" s="1293"/>
      <c r="R2" s="1293"/>
      <c r="S2" s="1293"/>
      <c r="T2" s="1293"/>
      <c r="U2" s="1293"/>
      <c r="V2" s="1293"/>
      <c r="W2" s="1655"/>
      <c r="X2" s="1655"/>
      <c r="Y2" s="1656"/>
      <c r="Z2" s="1656"/>
      <c r="AA2" s="1656"/>
      <c r="AB2" s="1653"/>
      <c r="AC2" s="1653"/>
      <c r="AD2" s="1653"/>
      <c r="AE2" s="1653"/>
      <c r="AF2" s="1653"/>
      <c r="AG2" s="1653"/>
    </row>
    <row r="3" spans="1:33" ht="15.75">
      <c r="A3" s="1293"/>
      <c r="B3" s="1855" t="s">
        <v>2602</v>
      </c>
      <c r="C3" s="1864" t="s">
        <v>104</v>
      </c>
      <c r="D3" s="1864" t="s">
        <v>360</v>
      </c>
      <c r="E3" s="1864" t="s">
        <v>2206</v>
      </c>
      <c r="F3" s="1864" t="s">
        <v>14</v>
      </c>
      <c r="G3" s="1864" t="s">
        <v>109</v>
      </c>
      <c r="H3" s="1864" t="s">
        <v>2721</v>
      </c>
      <c r="I3" s="1864" t="s">
        <v>245</v>
      </c>
      <c r="J3" s="1864" t="s">
        <v>2207</v>
      </c>
      <c r="K3" s="1865" t="s">
        <v>9034</v>
      </c>
      <c r="L3" s="1653"/>
      <c r="M3" s="1741" t="s">
        <v>9068</v>
      </c>
      <c r="N3" s="1325"/>
      <c r="O3" s="1293"/>
      <c r="P3" s="1293"/>
      <c r="Q3" s="1293"/>
      <c r="R3" s="1293"/>
      <c r="S3" s="1293"/>
      <c r="T3" s="1293"/>
      <c r="U3" s="1293"/>
      <c r="V3" s="1293"/>
      <c r="W3" s="1655"/>
      <c r="X3" s="1655"/>
      <c r="Y3" s="1655"/>
      <c r="Z3" s="1655"/>
      <c r="AA3" s="1655"/>
      <c r="AB3" s="1653"/>
      <c r="AC3" s="1653"/>
      <c r="AD3" s="1653"/>
      <c r="AE3" s="1655"/>
      <c r="AF3" s="1655"/>
      <c r="AG3" s="1655"/>
    </row>
    <row r="4" spans="1:33" ht="15.75">
      <c r="A4" s="1293"/>
      <c r="B4" s="1659" t="s">
        <v>2379</v>
      </c>
      <c r="C4" s="1660">
        <v>1</v>
      </c>
      <c r="D4" s="1661">
        <f>'New split'!N274</f>
        <v>866.86189999999999</v>
      </c>
      <c r="E4" s="1662">
        <f>I4/D4</f>
        <v>6.4386174294934548</v>
      </c>
      <c r="F4" s="1661"/>
      <c r="G4" s="1661"/>
      <c r="H4" s="1663"/>
      <c r="I4" s="1661">
        <f>D63</f>
        <v>5581.3921383038123</v>
      </c>
      <c r="J4" s="1660">
        <f>I4/I$30</f>
        <v>0.48496617388128505</v>
      </c>
      <c r="K4" s="1664" t="s">
        <v>507</v>
      </c>
      <c r="L4" s="1653" t="s">
        <v>9067</v>
      </c>
      <c r="M4" s="1293" t="s">
        <v>2376</v>
      </c>
      <c r="N4" s="449">
        <f>J5</f>
        <v>0.10518056589336437</v>
      </c>
      <c r="O4" s="1293"/>
      <c r="P4" s="1293"/>
      <c r="Q4" s="1293"/>
      <c r="R4" s="1293"/>
      <c r="S4" s="1293"/>
      <c r="T4" s="1293"/>
      <c r="U4" s="1293"/>
      <c r="V4" s="1293"/>
      <c r="W4" s="1665"/>
      <c r="X4" s="1665"/>
      <c r="Y4" s="1666"/>
      <c r="Z4" s="1666"/>
      <c r="AA4" s="1666"/>
      <c r="AB4" s="1653"/>
      <c r="AC4" s="1665"/>
      <c r="AD4" s="1653"/>
      <c r="AE4" s="1666"/>
      <c r="AF4" s="1666"/>
      <c r="AG4" s="1666"/>
    </row>
    <row r="5" spans="1:33" ht="15.75">
      <c r="A5" s="1293"/>
      <c r="B5" s="1824" t="s">
        <v>2376</v>
      </c>
      <c r="C5" s="1828">
        <v>1</v>
      </c>
      <c r="D5" s="1838">
        <f>'New split'!N273</f>
        <v>216.06400000000002</v>
      </c>
      <c r="E5" s="1839">
        <f>I5/D5</f>
        <v>5.6025298562336268</v>
      </c>
      <c r="F5" s="1838"/>
      <c r="G5" s="1838"/>
      <c r="H5" s="1840"/>
      <c r="I5" s="1838">
        <f>D78</f>
        <v>1210.5050108572625</v>
      </c>
      <c r="J5" s="1828">
        <f>I5/I$30</f>
        <v>0.10518056589336437</v>
      </c>
      <c r="K5" s="1841" t="s">
        <v>507</v>
      </c>
      <c r="L5" s="1653" t="s">
        <v>9067</v>
      </c>
      <c r="M5" s="1293" t="s">
        <v>2379</v>
      </c>
      <c r="N5" s="449">
        <f>J4</f>
        <v>0.48496617388128505</v>
      </c>
      <c r="O5" s="1293"/>
      <c r="P5" s="1293"/>
      <c r="Q5" s="1293"/>
      <c r="R5" s="1293"/>
      <c r="S5" s="1293"/>
      <c r="T5" s="1293"/>
      <c r="U5" s="1293"/>
      <c r="V5" s="1293"/>
      <c r="W5" s="1665"/>
      <c r="X5" s="1665"/>
      <c r="Y5" s="1666"/>
      <c r="Z5" s="1666"/>
      <c r="AA5" s="1666"/>
      <c r="AB5" s="1653"/>
      <c r="AC5" s="1665"/>
      <c r="AD5" s="1653"/>
      <c r="AE5" s="1666"/>
      <c r="AF5" s="1666"/>
      <c r="AG5" s="1666"/>
    </row>
    <row r="6" spans="1:33" ht="15.75">
      <c r="A6" s="1293"/>
      <c r="B6" s="1659" t="s">
        <v>2032</v>
      </c>
      <c r="C6" s="1660">
        <v>1</v>
      </c>
      <c r="D6" s="1661">
        <f>'New split'!N276</f>
        <v>353.94280000000003</v>
      </c>
      <c r="E6" s="1662">
        <f>I6/D6</f>
        <v>8.0112168946455711</v>
      </c>
      <c r="F6" s="1661"/>
      <c r="G6" s="1661"/>
      <c r="H6" s="1663"/>
      <c r="I6" s="1661">
        <f>D93</f>
        <v>2835.5125390981589</v>
      </c>
      <c r="J6" s="1660">
        <f>I6/I$30</f>
        <v>0.2463771820728482</v>
      </c>
      <c r="K6" s="1664" t="s">
        <v>507</v>
      </c>
      <c r="L6" s="1653" t="s">
        <v>9067</v>
      </c>
      <c r="M6" s="1293" t="s">
        <v>9023</v>
      </c>
      <c r="N6" s="449">
        <f>J22</f>
        <v>8.9616380264114781E-2</v>
      </c>
      <c r="O6" s="1293"/>
      <c r="P6" s="1293"/>
      <c r="Q6" s="1293"/>
      <c r="R6" s="1293"/>
      <c r="S6" s="1293"/>
      <c r="T6" s="1293"/>
      <c r="U6" s="1293"/>
      <c r="V6" s="1293"/>
      <c r="W6" s="1665"/>
      <c r="X6" s="1665"/>
      <c r="Y6" s="1666"/>
      <c r="Z6" s="1666"/>
      <c r="AA6" s="1666"/>
      <c r="AB6" s="1653"/>
      <c r="AC6" s="1665"/>
      <c r="AD6" s="1653"/>
      <c r="AE6" s="1666"/>
      <c r="AF6" s="1666"/>
      <c r="AG6" s="1666"/>
    </row>
    <row r="7" spans="1:33" ht="15.75">
      <c r="A7" s="1293"/>
      <c r="B7" s="1824" t="s">
        <v>2172</v>
      </c>
      <c r="C7" s="1828">
        <v>1</v>
      </c>
      <c r="D7" s="1838">
        <f>'New split'!N277</f>
        <v>49.843800000000002</v>
      </c>
      <c r="E7" s="1839">
        <f>I7/D7</f>
        <v>3.8990642907172215</v>
      </c>
      <c r="F7" s="1838"/>
      <c r="G7" s="1838"/>
      <c r="H7" s="1840"/>
      <c r="I7" s="1838">
        <f>D108</f>
        <v>194.34418069365105</v>
      </c>
      <c r="J7" s="1828">
        <f>I7/I$30</f>
        <v>1.6886531422917687E-2</v>
      </c>
      <c r="K7" s="1841" t="s">
        <v>507</v>
      </c>
      <c r="L7" s="1653" t="s">
        <v>9067</v>
      </c>
      <c r="M7" s="1293" t="s">
        <v>2032</v>
      </c>
      <c r="N7" s="449">
        <f>J6</f>
        <v>0.2463771820728482</v>
      </c>
      <c r="O7" s="1293"/>
      <c r="P7" s="1293"/>
      <c r="Q7" s="1293"/>
      <c r="R7" s="1293"/>
      <c r="S7" s="1293"/>
      <c r="T7" s="1293"/>
      <c r="U7" s="1293"/>
      <c r="V7" s="1293"/>
      <c r="W7" s="1665"/>
      <c r="X7" s="1665"/>
      <c r="Y7" s="1666"/>
      <c r="Z7" s="1666"/>
      <c r="AA7" s="1666"/>
      <c r="AB7" s="1653"/>
      <c r="AC7" s="1665"/>
      <c r="AD7" s="1653"/>
      <c r="AE7" s="1666"/>
      <c r="AF7" s="1666"/>
      <c r="AG7" s="1666"/>
    </row>
    <row r="8" spans="1:33" ht="15.75">
      <c r="A8" s="1293"/>
      <c r="B8" s="1659" t="s">
        <v>9030</v>
      </c>
      <c r="C8" s="1660">
        <v>1</v>
      </c>
      <c r="D8" s="1661">
        <f>'New split'!N278</f>
        <v>125.4268</v>
      </c>
      <c r="E8" s="1662">
        <f>I8/D8</f>
        <v>6.0186993411650827</v>
      </c>
      <c r="F8" s="1661"/>
      <c r="G8" s="1661"/>
      <c r="H8" s="1663"/>
      <c r="I8" s="1661">
        <f>D123</f>
        <v>754.90619852444456</v>
      </c>
      <c r="J8" s="1660">
        <f>I8/I$30</f>
        <v>6.5593665821324074E-2</v>
      </c>
      <c r="K8" s="1664" t="s">
        <v>507</v>
      </c>
      <c r="L8" s="1653" t="s">
        <v>9067</v>
      </c>
      <c r="M8" s="1293" t="s">
        <v>2172</v>
      </c>
      <c r="N8" s="449">
        <f>J7</f>
        <v>1.6886531422917687E-2</v>
      </c>
      <c r="O8" s="1293"/>
      <c r="P8" s="1293"/>
      <c r="Q8" s="1293"/>
      <c r="R8" s="1293"/>
      <c r="S8" s="1293"/>
      <c r="T8" s="1293"/>
      <c r="U8" s="1293"/>
      <c r="V8" s="1293"/>
      <c r="W8" s="1665"/>
      <c r="X8" s="1665"/>
      <c r="Y8" s="1666"/>
      <c r="Z8" s="1666"/>
      <c r="AA8" s="1666"/>
      <c r="AB8" s="1653"/>
      <c r="AC8" s="1665"/>
      <c r="AD8" s="1653"/>
      <c r="AE8" s="1666"/>
      <c r="AF8" s="1666"/>
      <c r="AG8" s="1666"/>
    </row>
    <row r="9" spans="1:33" ht="15.75">
      <c r="A9" s="1293"/>
      <c r="B9" s="1824"/>
      <c r="C9" s="1828"/>
      <c r="D9" s="1838"/>
      <c r="E9" s="1839"/>
      <c r="F9" s="1838"/>
      <c r="G9" s="1838"/>
      <c r="H9" s="1840"/>
      <c r="I9" s="1838"/>
      <c r="J9" s="1828"/>
      <c r="K9" s="1841"/>
      <c r="L9" s="1653"/>
      <c r="M9" s="1293" t="s">
        <v>2033</v>
      </c>
      <c r="N9" s="449">
        <f>J8</f>
        <v>6.5593665821324074E-2</v>
      </c>
      <c r="O9" s="1293"/>
      <c r="P9" s="1293"/>
      <c r="Q9" s="1293"/>
      <c r="R9" s="1293"/>
      <c r="S9" s="1293"/>
      <c r="T9" s="1293"/>
      <c r="U9" s="1293"/>
      <c r="V9" s="1293"/>
      <c r="W9" s="1665"/>
      <c r="X9" s="1665"/>
      <c r="Y9" s="1666"/>
      <c r="Z9" s="1666"/>
      <c r="AA9" s="1666"/>
      <c r="AB9" s="1653"/>
      <c r="AC9" s="1665"/>
      <c r="AD9" s="1653"/>
      <c r="AE9" s="1666"/>
      <c r="AF9" s="1666"/>
      <c r="AG9" s="1666"/>
    </row>
    <row r="10" spans="1:33" ht="15.75">
      <c r="A10" s="1293"/>
      <c r="B10" s="1659" t="s">
        <v>2377</v>
      </c>
      <c r="C10" s="1660">
        <v>1</v>
      </c>
      <c r="D10" s="1661">
        <f>'New split'!N287</f>
        <v>266.29340000000002</v>
      </c>
      <c r="E10" s="1662">
        <f>I10/D10</f>
        <v>2.2966769772812841</v>
      </c>
      <c r="F10" s="1661"/>
      <c r="G10" s="1661"/>
      <c r="H10" s="1663"/>
      <c r="I10" s="1661">
        <f>D138</f>
        <v>611.58992098195597</v>
      </c>
      <c r="J10" s="1660">
        <f>I10/I$30</f>
        <v>5.3140939861128209E-2</v>
      </c>
      <c r="K10" s="1664" t="s">
        <v>507</v>
      </c>
      <c r="L10" s="1653" t="s">
        <v>9067</v>
      </c>
      <c r="M10" s="1293" t="s">
        <v>9028</v>
      </c>
      <c r="O10" s="1293"/>
      <c r="P10" s="1293"/>
      <c r="Q10" s="1293"/>
      <c r="R10" s="1293"/>
      <c r="S10" s="1293"/>
      <c r="T10" s="1293"/>
      <c r="U10" s="1293"/>
      <c r="V10" s="1293"/>
      <c r="W10" s="1665"/>
      <c r="X10" s="1665"/>
      <c r="Y10" s="1666"/>
      <c r="Z10" s="1666"/>
      <c r="AA10" s="1666"/>
      <c r="AB10" s="1653"/>
      <c r="AC10" s="1665"/>
      <c r="AD10" s="1653"/>
      <c r="AE10" s="1666"/>
      <c r="AF10" s="1666"/>
      <c r="AG10" s="1666"/>
    </row>
    <row r="11" spans="1:33" ht="15.75">
      <c r="A11" s="1293"/>
      <c r="B11" s="1824" t="s">
        <v>1665</v>
      </c>
      <c r="C11" s="1828">
        <v>0.5</v>
      </c>
      <c r="D11" s="1838">
        <f>'New split'!N288</f>
        <v>525.32209999999998</v>
      </c>
      <c r="E11" s="1839">
        <f>I11/D11</f>
        <v>6.597218961408795</v>
      </c>
      <c r="F11" s="1838">
        <f>C11*I11</f>
        <v>1732.8324594835435</v>
      </c>
      <c r="G11" s="1838">
        <f>I11-H11</f>
        <v>2943.664918967087</v>
      </c>
      <c r="H11" s="1840">
        <v>522</v>
      </c>
      <c r="I11" s="1838">
        <f>D153</f>
        <v>3465.664918967087</v>
      </c>
      <c r="J11" s="1828">
        <f>I11/I$30</f>
        <v>0.30113101069742015</v>
      </c>
      <c r="K11" s="1841" t="s">
        <v>507</v>
      </c>
      <c r="L11" s="1653" t="s">
        <v>9067</v>
      </c>
      <c r="M11" s="1334" t="s">
        <v>1828</v>
      </c>
      <c r="N11" s="675">
        <f>SUM(N4:N10)</f>
        <v>1.0086204993558541</v>
      </c>
      <c r="O11" s="1653"/>
      <c r="P11" s="1653"/>
      <c r="Q11" s="1653"/>
      <c r="R11" s="1653"/>
      <c r="S11" s="1653"/>
      <c r="T11" s="1653"/>
      <c r="U11" s="1653"/>
      <c r="V11" s="1653"/>
      <c r="W11" s="1665"/>
      <c r="X11" s="1665"/>
      <c r="Y11" s="1666"/>
      <c r="Z11" s="1666"/>
      <c r="AA11" s="1666"/>
      <c r="AB11" s="1653"/>
      <c r="AC11" s="1665"/>
      <c r="AD11" s="1653"/>
      <c r="AE11" s="1666"/>
      <c r="AF11" s="1666"/>
      <c r="AG11" s="1666"/>
    </row>
    <row r="12" spans="1:33" ht="15.75">
      <c r="A12" s="1293"/>
      <c r="B12" s="1659" t="s">
        <v>2378</v>
      </c>
      <c r="C12" s="1660">
        <v>1</v>
      </c>
      <c r="D12" s="1661">
        <f>'New split'!N289</f>
        <v>266.68740000000003</v>
      </c>
      <c r="E12" s="1662">
        <f>I12/D12</f>
        <v>6.9638240310614083</v>
      </c>
      <c r="F12" s="1661"/>
      <c r="G12" s="1661"/>
      <c r="H12" s="1663"/>
      <c r="I12" s="1661">
        <f>D168</f>
        <v>1857.1641249012864</v>
      </c>
      <c r="J12" s="1660">
        <f>I12/I$30</f>
        <v>0.1613686617254371</v>
      </c>
      <c r="K12" s="1664" t="s">
        <v>507</v>
      </c>
      <c r="L12" s="1653" t="s">
        <v>9067</v>
      </c>
      <c r="M12" s="1293"/>
      <c r="O12" s="1653"/>
      <c r="P12" s="1653"/>
      <c r="Q12" s="1653"/>
      <c r="R12" s="1653"/>
      <c r="S12" s="1653"/>
      <c r="T12" s="1653"/>
      <c r="U12" s="1653"/>
      <c r="V12" s="1653"/>
      <c r="W12" s="1665"/>
      <c r="X12" s="1665"/>
      <c r="Y12" s="1666"/>
      <c r="Z12" s="1666"/>
      <c r="AA12" s="1666"/>
      <c r="AB12" s="1653"/>
      <c r="AC12" s="1665"/>
      <c r="AD12" s="1653"/>
      <c r="AE12" s="1666"/>
      <c r="AF12" s="1666"/>
      <c r="AG12" s="1666"/>
    </row>
    <row r="13" spans="1:33" ht="15.75">
      <c r="A13" s="1293"/>
      <c r="B13" s="1824"/>
      <c r="C13" s="1828"/>
      <c r="D13" s="1838"/>
      <c r="E13" s="1839"/>
      <c r="F13" s="1838"/>
      <c r="G13" s="1838"/>
      <c r="H13" s="1840"/>
      <c r="I13" s="1838"/>
      <c r="J13" s="1828"/>
      <c r="K13" s="1841"/>
      <c r="L13" s="1653"/>
      <c r="M13" s="1293" t="s">
        <v>2377</v>
      </c>
      <c r="N13" s="449">
        <f>J10</f>
        <v>5.3140939861128209E-2</v>
      </c>
      <c r="O13" s="1653"/>
      <c r="P13" s="1653"/>
      <c r="Q13" s="1653"/>
      <c r="R13" s="1653"/>
      <c r="S13" s="1653"/>
      <c r="T13" s="1653"/>
      <c r="U13" s="1653"/>
      <c r="V13" s="1653"/>
      <c r="W13" s="1665"/>
      <c r="X13" s="1665"/>
      <c r="Y13" s="1666"/>
      <c r="Z13" s="1666"/>
      <c r="AA13" s="1666"/>
      <c r="AB13" s="1653"/>
      <c r="AC13" s="1665"/>
      <c r="AD13" s="1653"/>
      <c r="AE13" s="1666"/>
      <c r="AF13" s="1666"/>
      <c r="AG13" s="1666"/>
    </row>
    <row r="14" spans="1:33" ht="15.75">
      <c r="A14" s="1293"/>
      <c r="B14" s="1659" t="s">
        <v>800</v>
      </c>
      <c r="C14" s="1660">
        <v>1</v>
      </c>
      <c r="D14" s="1661">
        <f ca="1">Master!AA11</f>
        <v>-225.49399999999997</v>
      </c>
      <c r="E14" s="1662">
        <f ca="1">I14/D14</f>
        <v>11.545690437769986</v>
      </c>
      <c r="F14" s="1661"/>
      <c r="G14" s="1661"/>
      <c r="H14" s="1664"/>
      <c r="I14" s="1661">
        <f>D183</f>
        <v>-2603.4839195745049</v>
      </c>
      <c r="J14" s="1660">
        <f>I14/I$30</f>
        <v>-0.22621625643762849</v>
      </c>
      <c r="K14" s="1664" t="s">
        <v>507</v>
      </c>
      <c r="L14" s="1653" t="s">
        <v>9067</v>
      </c>
      <c r="M14" s="1293" t="s">
        <v>1665</v>
      </c>
      <c r="N14" s="449">
        <f>J11+J26</f>
        <v>0.1732437490998259</v>
      </c>
      <c r="O14" s="1653"/>
      <c r="P14" s="1653"/>
      <c r="Q14" s="1653"/>
      <c r="R14" s="1653"/>
      <c r="S14" s="1653"/>
      <c r="T14" s="1653"/>
      <c r="U14" s="1653"/>
      <c r="V14" s="1653"/>
      <c r="W14" s="1665"/>
      <c r="X14" s="1665"/>
      <c r="Y14" s="1666"/>
      <c r="Z14" s="1666"/>
      <c r="AA14" s="1666"/>
      <c r="AB14" s="1653"/>
      <c r="AC14" s="1665"/>
      <c r="AD14" s="1653"/>
      <c r="AE14" s="1666"/>
      <c r="AF14" s="1666"/>
      <c r="AG14" s="1666"/>
    </row>
    <row r="15" spans="1:33" ht="15.75" hidden="1" outlineLevel="1">
      <c r="A15" s="1293"/>
      <c r="B15" s="1843" t="s">
        <v>7420</v>
      </c>
      <c r="C15" s="1660">
        <f>'New split'!B284</f>
        <v>1</v>
      </c>
      <c r="D15" s="1661">
        <f>'New split'!N285</f>
        <v>1776.5476000000001</v>
      </c>
      <c r="E15" s="1662">
        <f>I15/D15</f>
        <v>5.321140649100248</v>
      </c>
      <c r="F15" s="1661">
        <f>C15*I15</f>
        <v>9453.2596494214886</v>
      </c>
      <c r="G15" s="1661">
        <f>I15-H15</f>
        <v>7357.2596494214886</v>
      </c>
      <c r="H15" s="1663">
        <f>CA!T312+Analysis!M3984+Analysis!L3984+Analysis!L3985+Analysis!L3986</f>
        <v>2096</v>
      </c>
      <c r="I15" s="1661">
        <f>D270</f>
        <v>9453.2596494214886</v>
      </c>
      <c r="J15" s="1660">
        <f>I15/I$30</f>
        <v>0.8213920558320621</v>
      </c>
      <c r="K15" s="1664" t="s">
        <v>507</v>
      </c>
      <c r="L15" s="1653"/>
      <c r="M15" s="1293" t="s">
        <v>2378</v>
      </c>
      <c r="N15" s="449">
        <f>J12</f>
        <v>0.1613686617254371</v>
      </c>
      <c r="O15" s="1653"/>
      <c r="P15" s="1653"/>
      <c r="Q15" s="1653"/>
      <c r="R15" s="1653"/>
      <c r="S15" s="1653"/>
      <c r="T15" s="1653"/>
      <c r="U15" s="1653"/>
      <c r="V15" s="1653"/>
      <c r="W15" s="1665"/>
      <c r="X15" s="1665"/>
      <c r="Y15" s="1666"/>
      <c r="Z15" s="1666"/>
      <c r="AA15" s="1666"/>
      <c r="AB15" s="1653"/>
      <c r="AC15" s="1665"/>
      <c r="AD15" s="1653"/>
      <c r="AE15" s="1666"/>
      <c r="AF15" s="1666"/>
      <c r="AG15" s="1666"/>
    </row>
    <row r="16" spans="1:33" ht="15.75" hidden="1" outlineLevel="1">
      <c r="A16" s="1293"/>
      <c r="B16" s="1843" t="s">
        <v>8415</v>
      </c>
      <c r="C16" s="1828">
        <f>(Quarts!B129*Quarts!AL129+Quarts!B130*Quarts!AL130)/Quarts!AL132</f>
        <v>1</v>
      </c>
      <c r="D16" s="1838">
        <f>'New split'!N291-'New split'!N288</f>
        <v>532.98080000000016</v>
      </c>
      <c r="E16" s="1839">
        <f ca="1">I16/D16</f>
        <v>4.4977360637369648</v>
      </c>
      <c r="F16" s="1838"/>
      <c r="G16" s="1838"/>
      <c r="H16" s="1841"/>
      <c r="I16" s="1838">
        <f ca="1">D284</f>
        <v>2397.206965439379</v>
      </c>
      <c r="J16" s="1828">
        <f ca="1">I16/I$30</f>
        <v>0.20829288844485408</v>
      </c>
      <c r="K16" s="1841" t="s">
        <v>507</v>
      </c>
      <c r="L16" s="1653"/>
      <c r="M16" s="1334" t="s">
        <v>1697</v>
      </c>
      <c r="N16" s="675">
        <f>SUM(N13:N15)</f>
        <v>0.38775335068639116</v>
      </c>
      <c r="O16" s="1653"/>
      <c r="P16" s="1672" t="str">
        <f>B3</f>
        <v>US$m</v>
      </c>
      <c r="Q16" s="1293"/>
      <c r="R16" s="1673" t="s">
        <v>7422</v>
      </c>
      <c r="S16" s="1673" t="str">
        <f>E3</f>
        <v>Multiple</v>
      </c>
      <c r="T16" s="1673"/>
      <c r="U16" s="1673" t="str">
        <f>I3</f>
        <v>EV</v>
      </c>
      <c r="V16" s="1667">
        <f ca="1">U17/V17</f>
        <v>0.16965785394807772</v>
      </c>
      <c r="W16" s="1665"/>
      <c r="X16" s="1665"/>
      <c r="Y16" s="1666"/>
      <c r="Z16" s="1666"/>
      <c r="AA16" s="1666"/>
      <c r="AB16" s="1653"/>
      <c r="AC16" s="1665"/>
      <c r="AD16" s="1653"/>
      <c r="AE16" s="1666"/>
      <c r="AF16" s="1666"/>
      <c r="AG16" s="1666"/>
    </row>
    <row r="17" spans="1:35" ht="15.75" hidden="1" outlineLevel="1">
      <c r="A17" s="1293"/>
      <c r="B17" s="1843" t="s">
        <v>2032</v>
      </c>
      <c r="C17" s="1660">
        <v>1</v>
      </c>
      <c r="D17" s="1661">
        <f>'New split'!N281+'New split'!N279</f>
        <v>119.61660000000001</v>
      </c>
      <c r="E17" s="1662">
        <f ca="1">I17/D17</f>
        <v>19.486608404274836</v>
      </c>
      <c r="F17" s="1661"/>
      <c r="G17" s="1661">
        <f ca="1">I17-H17</f>
        <v>1417.9218428507816</v>
      </c>
      <c r="H17" s="1676">
        <f>913</f>
        <v>913</v>
      </c>
      <c r="I17" s="1661">
        <f ca="1">'New CA'!C33+Onda!C73</f>
        <v>2330.9218428507816</v>
      </c>
      <c r="J17" s="1660">
        <f ca="1">I17/I$30</f>
        <v>0.20253338588877437</v>
      </c>
      <c r="K17" s="1664" t="s">
        <v>507</v>
      </c>
      <c r="L17" s="1653"/>
      <c r="M17" s="1293"/>
      <c r="O17" s="1675" t="e">
        <f>I15-#REF!</f>
        <v>#REF!</v>
      </c>
      <c r="P17" s="1653" t="s">
        <v>4185</v>
      </c>
      <c r="Q17" s="1293"/>
      <c r="R17" s="1666">
        <f>Cable!I343</f>
        <v>925.65908071838498</v>
      </c>
      <c r="S17" s="1652">
        <f>U17/R17</f>
        <v>5.6941212389565248</v>
      </c>
      <c r="T17" s="1655"/>
      <c r="U17" s="1675">
        <f>Cable!C361</f>
        <v>5270.8150315515277</v>
      </c>
      <c r="V17" s="1668">
        <f ca="1">(U17+U18+U19)</f>
        <v>31067.32113424359</v>
      </c>
      <c r="W17" s="1665"/>
      <c r="X17" s="1665"/>
      <c r="Y17" s="1666"/>
      <c r="Z17" s="1666"/>
      <c r="AA17" s="1666"/>
      <c r="AB17" s="1653"/>
      <c r="AC17" s="1665"/>
      <c r="AD17" s="1653"/>
      <c r="AE17" s="1666"/>
      <c r="AF17" s="1666"/>
      <c r="AG17" s="1666"/>
    </row>
    <row r="18" spans="1:35" ht="15.75" hidden="1" outlineLevel="1">
      <c r="A18" s="1293"/>
      <c r="B18" s="1843" t="s">
        <v>5613</v>
      </c>
      <c r="C18" s="1828">
        <v>1</v>
      </c>
      <c r="D18" s="1838">
        <f>'New split'!N283</f>
        <v>18</v>
      </c>
      <c r="E18" s="1839">
        <f t="shared" ref="E18" si="0">I18/D18</f>
        <v>20.825202455793502</v>
      </c>
      <c r="F18" s="1838"/>
      <c r="G18" s="1838"/>
      <c r="H18" s="1841"/>
      <c r="I18" s="1838">
        <f>'New CA'!C158</f>
        <v>374.853644204283</v>
      </c>
      <c r="J18" s="1828">
        <f>I18/I$30</f>
        <v>3.2570966721297986E-2</v>
      </c>
      <c r="K18" s="1841" t="s">
        <v>507</v>
      </c>
      <c r="L18" s="1653"/>
      <c r="M18" s="1293" t="s">
        <v>9029</v>
      </c>
      <c r="N18" s="675">
        <f>J14</f>
        <v>-0.22621625643762849</v>
      </c>
      <c r="O18" s="1675" t="e">
        <f>#REF!-#REF!</f>
        <v>#REF!</v>
      </c>
      <c r="P18" s="1653" t="s">
        <v>4186</v>
      </c>
      <c r="Q18" s="1293"/>
      <c r="R18" s="1666">
        <f ca="1">SUM(D4:D18)-R19-R20-R17</f>
        <v>4191.9281192816161</v>
      </c>
      <c r="S18" s="1652">
        <f ca="1">U18/R18</f>
        <v>6.1538522056320213</v>
      </c>
      <c r="T18" s="1655"/>
      <c r="U18" s="1675">
        <f ca="1">SUM(I4:I18)-U17-U19-U20</f>
        <v>25796.506102692063</v>
      </c>
      <c r="V18" s="1655"/>
      <c r="W18" s="1665"/>
      <c r="X18" s="1665"/>
      <c r="Y18" s="1666"/>
      <c r="Z18" s="1666"/>
      <c r="AA18" s="1666"/>
      <c r="AB18" s="1653"/>
      <c r="AC18" s="1665"/>
      <c r="AD18" s="1653"/>
      <c r="AE18" s="1666"/>
      <c r="AF18" s="1666"/>
      <c r="AG18" s="1666"/>
    </row>
    <row r="19" spans="1:35" ht="15.75" hidden="1" outlineLevel="1">
      <c r="A19" s="1293"/>
      <c r="B19" s="1325"/>
      <c r="C19" s="1325"/>
      <c r="D19" s="1325"/>
      <c r="E19" s="1325"/>
      <c r="F19" s="1325"/>
      <c r="G19" s="1325"/>
      <c r="H19" s="1325"/>
      <c r="I19" s="1325"/>
      <c r="J19" s="1325"/>
      <c r="K19" s="1325"/>
      <c r="L19" s="1653"/>
      <c r="M19" s="1293" t="s">
        <v>9069</v>
      </c>
      <c r="N19" s="1724">
        <f>1-N18-N16-N11</f>
        <v>-0.1701575936046168</v>
      </c>
      <c r="O19" s="1675" t="e">
        <f>I11-L11</f>
        <v>#VALUE!</v>
      </c>
      <c r="P19" s="1653" t="s">
        <v>1831</v>
      </c>
      <c r="Q19" s="1293"/>
      <c r="R19" s="1666">
        <v>0</v>
      </c>
      <c r="S19" s="1652"/>
      <c r="T19" s="1655"/>
      <c r="U19" s="1675">
        <v>0</v>
      </c>
      <c r="V19" s="1655"/>
      <c r="W19" s="1665"/>
      <c r="X19" s="1665"/>
      <c r="Y19" s="1666"/>
      <c r="Z19" s="1666"/>
      <c r="AA19" s="1666"/>
      <c r="AB19" s="1653"/>
      <c r="AC19" s="1665"/>
      <c r="AD19" s="1653"/>
      <c r="AE19" s="1666"/>
      <c r="AF19" s="1666"/>
      <c r="AG19" s="1666"/>
    </row>
    <row r="20" spans="1:35" ht="15.75" hidden="1" outlineLevel="1">
      <c r="A20" s="1293" t="s">
        <v>1823</v>
      </c>
      <c r="B20" s="1566"/>
      <c r="C20" s="1841"/>
      <c r="D20" s="1842"/>
      <c r="E20" s="1839"/>
      <c r="F20" s="1840"/>
      <c r="G20" s="1841"/>
      <c r="H20" s="1841"/>
      <c r="I20" s="1842"/>
      <c r="J20" s="1828"/>
      <c r="K20" s="1841"/>
      <c r="L20" s="1653"/>
      <c r="M20" s="1293"/>
      <c r="N20" s="1293"/>
      <c r="O20" s="1653"/>
      <c r="P20" s="1653" t="s">
        <v>800</v>
      </c>
      <c r="Q20" s="1293"/>
      <c r="R20" s="1666">
        <f ca="1">D14</f>
        <v>-225.49399999999997</v>
      </c>
      <c r="S20" s="1652">
        <f ca="1">U20/R20</f>
        <v>11.545690437769986</v>
      </c>
      <c r="T20" s="1655"/>
      <c r="U20" s="1675">
        <f>I14</f>
        <v>-2603.4839195745049</v>
      </c>
      <c r="V20" s="1668"/>
      <c r="W20" s="1653"/>
      <c r="X20" s="1653"/>
      <c r="Y20" s="1653"/>
      <c r="Z20" s="1653"/>
      <c r="AA20" s="1653"/>
      <c r="AB20" s="1653"/>
      <c r="AC20" s="1653"/>
      <c r="AD20" s="1653"/>
      <c r="AE20" s="1653"/>
      <c r="AF20" s="1653"/>
      <c r="AG20" s="1653"/>
    </row>
    <row r="21" spans="1:35" ht="15.75" collapsed="1">
      <c r="A21" s="1293"/>
      <c r="B21" s="1677" t="s">
        <v>9033</v>
      </c>
      <c r="C21" s="1671"/>
      <c r="D21" s="1671"/>
      <c r="E21" s="1671"/>
      <c r="F21" s="1671"/>
      <c r="G21" s="1671"/>
      <c r="H21" s="1671"/>
      <c r="I21" s="1671"/>
      <c r="J21" s="1671"/>
      <c r="K21" s="1671"/>
      <c r="L21" s="1653"/>
      <c r="M21" s="1293"/>
      <c r="N21" s="1293"/>
      <c r="O21" s="1293"/>
      <c r="P21" s="1653"/>
      <c r="Q21" s="1653"/>
      <c r="R21" s="1655"/>
      <c r="S21" s="1653"/>
      <c r="T21" s="1655"/>
      <c r="U21" s="1655"/>
      <c r="V21" s="1653"/>
      <c r="W21" s="1653"/>
      <c r="X21" s="1653"/>
      <c r="Y21" s="1653"/>
      <c r="Z21" s="1653"/>
      <c r="AA21" s="1653"/>
      <c r="AB21" s="1653"/>
      <c r="AC21" s="1653"/>
      <c r="AD21" s="1653"/>
      <c r="AE21" s="1653"/>
      <c r="AF21" s="1653"/>
      <c r="AG21" s="1653"/>
    </row>
    <row r="22" spans="1:35" ht="15.75">
      <c r="A22" s="1293"/>
      <c r="B22" s="1325" t="s">
        <v>2380</v>
      </c>
      <c r="C22" s="1564">
        <v>0.66669999999999996</v>
      </c>
      <c r="D22" s="1664"/>
      <c r="E22" s="1664"/>
      <c r="F22" s="1664"/>
      <c r="G22" s="1661">
        <f>CA!C295</f>
        <v>1546.9918705119635</v>
      </c>
      <c r="H22" s="1664"/>
      <c r="I22" s="1661">
        <f>C22*G22</f>
        <v>1031.3794800703261</v>
      </c>
      <c r="J22" s="1660">
        <f>I22/I$30</f>
        <v>8.9616380264114781E-2</v>
      </c>
      <c r="K22" s="1664"/>
      <c r="L22" s="1653" t="s">
        <v>9067</v>
      </c>
      <c r="M22" s="1293" t="s">
        <v>1828</v>
      </c>
      <c r="N22" s="1724">
        <f>N11</f>
        <v>1.0086204993558541</v>
      </c>
      <c r="O22" s="1293"/>
      <c r="P22" s="1293"/>
      <c r="Q22" s="1293"/>
      <c r="R22" s="1655"/>
      <c r="S22" s="1653"/>
      <c r="T22" s="1655"/>
      <c r="U22" s="1655"/>
      <c r="V22" s="1653"/>
      <c r="W22" s="1653"/>
      <c r="X22" s="1653"/>
      <c r="Y22" s="1653"/>
      <c r="Z22" s="1653"/>
      <c r="AA22" s="1653"/>
      <c r="AB22" s="1653"/>
      <c r="AC22" s="1653"/>
      <c r="AD22" s="1653"/>
      <c r="AE22" s="1653"/>
      <c r="AF22" s="1653"/>
      <c r="AG22" s="1653"/>
    </row>
    <row r="23" spans="1:35" ht="15.75" hidden="1" outlineLevel="1">
      <c r="A23" s="1293"/>
      <c r="B23" s="1293" t="s">
        <v>5703</v>
      </c>
      <c r="C23" s="1678">
        <v>6.3100000000000003E-2</v>
      </c>
      <c r="D23" s="1669">
        <v>7.22</v>
      </c>
      <c r="E23" s="1669">
        <v>78.400000000000006</v>
      </c>
      <c r="F23" s="1670"/>
      <c r="G23" s="1671"/>
      <c r="H23" s="1671"/>
      <c r="I23" s="1674">
        <v>0</v>
      </c>
      <c r="J23" s="1667">
        <f>I23/I$30</f>
        <v>0</v>
      </c>
      <c r="K23" s="1678"/>
      <c r="L23" s="1653"/>
      <c r="M23" s="1293"/>
      <c r="N23" s="1293"/>
      <c r="O23" s="1293"/>
      <c r="P23" s="1293"/>
      <c r="Q23" s="1293"/>
      <c r="R23" s="1655"/>
      <c r="S23" s="1653"/>
      <c r="T23" s="1655"/>
      <c r="U23" s="1655"/>
      <c r="V23" s="1653"/>
      <c r="W23" s="1653"/>
      <c r="X23" s="1653"/>
      <c r="Y23" s="1653"/>
      <c r="Z23" s="1653"/>
      <c r="AA23" s="1653"/>
      <c r="AB23" s="1653"/>
      <c r="AC23" s="1653"/>
      <c r="AD23" s="1653"/>
      <c r="AE23" s="1653"/>
      <c r="AF23" s="1653"/>
      <c r="AG23" s="1653"/>
    </row>
    <row r="24" spans="1:35" ht="15.75" collapsed="1">
      <c r="A24" s="1293"/>
      <c r="B24" s="1293"/>
      <c r="C24" s="1671"/>
      <c r="D24" s="1671"/>
      <c r="E24" s="1671"/>
      <c r="F24" s="1671"/>
      <c r="G24" s="1671"/>
      <c r="H24" s="1671"/>
      <c r="I24" s="1671"/>
      <c r="J24" s="1671"/>
      <c r="K24" s="1678"/>
      <c r="L24" s="1653"/>
      <c r="M24" s="1293" t="s">
        <v>1665</v>
      </c>
      <c r="N24" s="1724">
        <f>N14</f>
        <v>0.1732437490998259</v>
      </c>
      <c r="O24" s="1293"/>
      <c r="P24" s="1293"/>
      <c r="Q24" s="1293"/>
      <c r="R24" s="1655"/>
      <c r="S24" s="1653"/>
      <c r="T24" s="1655"/>
      <c r="U24" s="1655"/>
      <c r="V24" s="1653"/>
      <c r="W24" s="1653"/>
      <c r="X24" s="1653"/>
      <c r="Y24" s="1653"/>
      <c r="Z24" s="1653"/>
      <c r="AA24" s="1653"/>
      <c r="AB24" s="1653"/>
      <c r="AC24" s="1653"/>
      <c r="AD24" s="1653"/>
      <c r="AE24" s="1653"/>
      <c r="AF24" s="1653"/>
      <c r="AG24" s="1653"/>
    </row>
    <row r="25" spans="1:35" ht="15.75">
      <c r="A25" s="1293"/>
      <c r="B25" s="1679" t="s">
        <v>9032</v>
      </c>
      <c r="C25" s="1664"/>
      <c r="D25" s="1664"/>
      <c r="E25" s="1664"/>
      <c r="F25" s="1664"/>
      <c r="G25" s="1664"/>
      <c r="H25" s="1664"/>
      <c r="I25" s="1661"/>
      <c r="J25" s="1660"/>
      <c r="K25" s="1664"/>
      <c r="L25" s="1653"/>
      <c r="M25" s="1293" t="s">
        <v>9119</v>
      </c>
      <c r="N25" s="1724">
        <f>N16-N24</f>
        <v>0.21450960158656526</v>
      </c>
      <c r="O25" s="1293"/>
      <c r="P25" s="1293"/>
      <c r="Q25" s="1293"/>
      <c r="R25" s="1655"/>
      <c r="S25" s="1653"/>
      <c r="T25" s="1655"/>
      <c r="U25" s="1655"/>
      <c r="V25" s="1653"/>
      <c r="W25" s="1653"/>
      <c r="X25" s="1653"/>
      <c r="Y25" s="1665"/>
      <c r="Z25" s="1665"/>
      <c r="AA25" s="1665"/>
      <c r="AB25" s="1653"/>
      <c r="AC25" s="1653"/>
      <c r="AD25" s="1653"/>
      <c r="AE25" s="1665"/>
      <c r="AF25" s="1665"/>
      <c r="AG25" s="1665"/>
    </row>
    <row r="26" spans="1:35" ht="15.75">
      <c r="A26" s="1293"/>
      <c r="B26" s="1293" t="s">
        <v>3380</v>
      </c>
      <c r="C26" s="1671"/>
      <c r="D26" s="1671"/>
      <c r="E26" s="1671"/>
      <c r="F26" s="1671"/>
      <c r="G26" s="1671"/>
      <c r="H26" s="1668"/>
      <c r="I26" s="1668">
        <f>-(1-C11)*G11</f>
        <v>-1471.8324594835435</v>
      </c>
      <c r="J26" s="1667">
        <f>I26/I$30</f>
        <v>-0.12788726159759425</v>
      </c>
      <c r="K26" s="1671"/>
      <c r="L26" s="1653" t="s">
        <v>9067</v>
      </c>
      <c r="M26" s="1293" t="s">
        <v>800</v>
      </c>
      <c r="N26" s="1724">
        <f>N18</f>
        <v>-0.22621625643762849</v>
      </c>
      <c r="O26" s="1293"/>
      <c r="P26" s="1293"/>
      <c r="Q26" s="1293"/>
      <c r="R26" s="1655"/>
      <c r="S26" s="1653"/>
      <c r="T26" s="1655"/>
      <c r="U26" s="1655"/>
      <c r="V26" s="1653"/>
      <c r="W26" s="1653"/>
      <c r="X26" s="1653"/>
      <c r="Y26" s="1665"/>
      <c r="Z26" s="1665"/>
      <c r="AA26" s="1665"/>
      <c r="AB26" s="1653"/>
      <c r="AC26" s="1653"/>
      <c r="AD26" s="1653"/>
      <c r="AE26" s="1665"/>
      <c r="AF26" s="1665"/>
      <c r="AG26" s="1665"/>
    </row>
    <row r="27" spans="1:35" ht="15.75">
      <c r="A27" s="1293"/>
      <c r="B27" s="1325"/>
      <c r="C27" s="1664"/>
      <c r="D27" s="1664"/>
      <c r="E27" s="1664"/>
      <c r="F27" s="1664"/>
      <c r="G27" s="1664"/>
      <c r="H27" s="1661"/>
      <c r="I27" s="1661"/>
      <c r="J27" s="1660"/>
      <c r="K27" s="1664"/>
      <c r="L27" s="1653"/>
      <c r="M27" s="1293" t="s">
        <v>9069</v>
      </c>
      <c r="N27" s="1724">
        <f>N19</f>
        <v>-0.1701575936046168</v>
      </c>
      <c r="O27" s="1293"/>
      <c r="P27" s="1653"/>
      <c r="Q27" s="1653"/>
      <c r="R27" s="1655"/>
      <c r="S27" s="1653"/>
      <c r="T27" s="1655"/>
      <c r="U27" s="1655"/>
      <c r="V27" s="1653"/>
      <c r="W27" s="1653"/>
      <c r="X27" s="1653"/>
      <c r="Y27" s="1666"/>
      <c r="Z27" s="1666"/>
      <c r="AA27" s="1666"/>
      <c r="AB27" s="1653"/>
      <c r="AC27" s="1665"/>
      <c r="AD27" s="1653"/>
      <c r="AE27" s="1666"/>
      <c r="AF27" s="1666"/>
      <c r="AG27" s="1666"/>
    </row>
    <row r="28" spans="1:35" ht="15.75">
      <c r="A28" s="1293"/>
      <c r="B28" s="1293" t="s">
        <v>6439</v>
      </c>
      <c r="C28" s="1671"/>
      <c r="D28" s="1671"/>
      <c r="E28" s="1671"/>
      <c r="F28" s="1671"/>
      <c r="G28" s="1671"/>
      <c r="H28" s="1668"/>
      <c r="I28" s="1668">
        <f>(-300*0.7)/(10.25%-0%)+Master!AB466</f>
        <v>-1070.9304878048783</v>
      </c>
      <c r="J28" s="1667">
        <f>I28/I$30</f>
        <v>-9.3052960317779307E-2</v>
      </c>
      <c r="K28" s="1671"/>
      <c r="L28" s="1653"/>
      <c r="M28" s="1293"/>
      <c r="N28" s="1724">
        <f>SUM(N22:N27)</f>
        <v>1</v>
      </c>
      <c r="O28" s="1293"/>
      <c r="P28" s="1293"/>
      <c r="Q28" s="1293"/>
      <c r="R28" s="1655"/>
      <c r="S28" s="1653"/>
      <c r="T28" s="1655"/>
      <c r="U28" s="1655"/>
      <c r="V28" s="1653"/>
      <c r="W28" s="1653"/>
      <c r="X28" s="1653"/>
      <c r="Y28" s="1666"/>
      <c r="Z28" s="1666"/>
      <c r="AA28" s="1666"/>
      <c r="AB28" s="1653"/>
      <c r="AC28" s="1665"/>
      <c r="AD28" s="1653"/>
      <c r="AE28" s="1666"/>
      <c r="AF28" s="1666"/>
      <c r="AG28" s="1666"/>
    </row>
    <row r="29" spans="1:35" ht="15.75">
      <c r="A29" s="1293"/>
      <c r="B29" s="1329" t="s">
        <v>2961</v>
      </c>
      <c r="C29" s="1680"/>
      <c r="D29" s="1680"/>
      <c r="E29" s="1680"/>
      <c r="F29" s="1680"/>
      <c r="G29" s="1680"/>
      <c r="H29" s="1680"/>
      <c r="I29" s="1681">
        <f>-C192-Notes1!C2842*0.3</f>
        <v>-887.38393981123295</v>
      </c>
      <c r="J29" s="1660">
        <f>I29/I$30</f>
        <v>-7.710463328683767E-2</v>
      </c>
      <c r="K29" s="1660"/>
      <c r="L29" s="1675"/>
      <c r="M29" s="1293"/>
      <c r="N29" s="1293"/>
      <c r="O29" s="1293"/>
      <c r="P29" s="1293"/>
      <c r="Q29" s="1293"/>
      <c r="R29" s="1655"/>
      <c r="S29" s="1653"/>
      <c r="T29" s="1655"/>
      <c r="U29" s="1655"/>
      <c r="V29" s="1653"/>
      <c r="W29" s="1653"/>
      <c r="X29" s="1653"/>
      <c r="Y29" s="1666"/>
      <c r="Z29" s="1666"/>
      <c r="AA29" s="1666"/>
      <c r="AB29" s="1653"/>
      <c r="AC29" s="1665"/>
      <c r="AD29" s="1653"/>
      <c r="AE29" s="1666"/>
      <c r="AF29" s="1666"/>
      <c r="AG29" s="1666"/>
    </row>
    <row r="30" spans="1:35" ht="15.75">
      <c r="A30" s="1293"/>
      <c r="B30" s="1334" t="s">
        <v>1588</v>
      </c>
      <c r="C30" s="1323"/>
      <c r="D30" s="1323"/>
      <c r="E30" s="1323"/>
      <c r="F30" s="1323"/>
      <c r="G30" s="1323"/>
      <c r="H30" s="1323"/>
      <c r="I30" s="1830">
        <f>I4+I5+I6+I7+I8+I10+I11+I12+I14+I22+I26+I28+I29</f>
        <v>11508.827705723827</v>
      </c>
      <c r="J30" s="1697">
        <f>I30/I$30</f>
        <v>1</v>
      </c>
      <c r="K30" s="1323"/>
      <c r="L30" s="1653"/>
      <c r="M30" s="1293"/>
      <c r="N30" s="1293"/>
      <c r="O30" s="1293"/>
      <c r="P30" s="1293"/>
      <c r="Q30" s="1293"/>
      <c r="R30" s="1655"/>
      <c r="S30" s="1653"/>
      <c r="T30" s="1655"/>
      <c r="U30" s="1655"/>
      <c r="V30" s="1653"/>
      <c r="W30" s="1653"/>
      <c r="X30" s="1653"/>
      <c r="Y30" s="1675"/>
      <c r="Z30" s="1675"/>
      <c r="AA30" s="1675"/>
      <c r="AB30" s="1653"/>
      <c r="AC30" s="1665"/>
      <c r="AD30" s="1653"/>
      <c r="AE30" s="1675"/>
      <c r="AF30" s="1675"/>
      <c r="AG30" s="1675"/>
      <c r="AH30" s="1293"/>
      <c r="AI30" s="1293"/>
    </row>
    <row r="31" spans="1:35" ht="15.75">
      <c r="A31" s="1293"/>
      <c r="B31" s="1325"/>
      <c r="C31" s="1664"/>
      <c r="D31" s="1664"/>
      <c r="E31" s="1664"/>
      <c r="F31" s="1664"/>
      <c r="G31" s="1664"/>
      <c r="H31" s="1664"/>
      <c r="I31" s="1661"/>
      <c r="J31" s="1664"/>
      <c r="K31" s="1664"/>
      <c r="L31" s="1653"/>
      <c r="M31" s="1293"/>
      <c r="N31" s="1293"/>
      <c r="O31" s="1293"/>
      <c r="P31" s="1293"/>
      <c r="Q31" s="1293"/>
      <c r="R31" s="1655"/>
      <c r="S31" s="1653"/>
      <c r="T31" s="1655"/>
      <c r="U31" s="1655"/>
      <c r="V31" s="1653"/>
      <c r="W31" s="1653"/>
      <c r="X31" s="1653"/>
      <c r="Y31" s="1653"/>
      <c r="Z31" s="1653"/>
      <c r="AA31" s="1653"/>
      <c r="AB31" s="1653"/>
      <c r="AC31" s="1653"/>
      <c r="AD31" s="1653"/>
      <c r="AE31" s="1653"/>
      <c r="AF31" s="1653"/>
      <c r="AG31" s="1653"/>
      <c r="AH31" s="1293"/>
      <c r="AI31" s="1293"/>
    </row>
    <row r="32" spans="1:35" ht="15.75">
      <c r="A32" s="1293"/>
      <c r="B32" s="1293" t="s">
        <v>9089</v>
      </c>
      <c r="C32" s="1671"/>
      <c r="D32" s="1671"/>
      <c r="E32" s="1671"/>
      <c r="F32" s="1671"/>
      <c r="G32" s="1671"/>
      <c r="H32" s="1671"/>
      <c r="I32" s="1668">
        <f ca="1">Valuation!O16</f>
        <v>5411.8432365614617</v>
      </c>
      <c r="J32" s="1682"/>
      <c r="K32" s="1683"/>
      <c r="L32" s="1653"/>
      <c r="M32" s="1293"/>
      <c r="N32" s="1293"/>
      <c r="O32" s="1293"/>
      <c r="P32" s="1653"/>
      <c r="Q32" s="1653"/>
      <c r="R32" s="1655"/>
      <c r="S32" s="1653"/>
      <c r="T32" s="1655"/>
    </row>
    <row r="33" spans="1:26" ht="15.75">
      <c r="A33" s="1293"/>
      <c r="B33" s="1844" t="s">
        <v>1589</v>
      </c>
      <c r="C33" s="1845"/>
      <c r="D33" s="1845"/>
      <c r="E33" s="1845"/>
      <c r="F33" s="1845"/>
      <c r="G33" s="1845"/>
      <c r="H33" s="1845"/>
      <c r="I33" s="1846">
        <f ca="1">I30-I32</f>
        <v>6096.9844691623648</v>
      </c>
      <c r="J33" s="1564"/>
      <c r="K33" s="1664"/>
      <c r="L33" s="1653"/>
      <c r="M33" s="1293"/>
      <c r="N33" s="1293"/>
      <c r="O33" s="1293"/>
      <c r="P33" s="1653"/>
      <c r="Q33" s="1653"/>
      <c r="R33" s="1655"/>
      <c r="S33" s="1653"/>
      <c r="T33" s="1655"/>
    </row>
    <row r="34" spans="1:26" ht="15.75">
      <c r="A34" s="1293"/>
      <c r="B34" s="1740"/>
      <c r="C34" s="1847"/>
      <c r="D34" s="1847"/>
      <c r="E34" s="1847"/>
      <c r="F34" s="1847"/>
      <c r="G34" s="1847"/>
      <c r="H34" s="1847"/>
      <c r="I34" s="1830"/>
      <c r="J34" s="1831"/>
      <c r="K34" s="1841"/>
      <c r="L34" s="1653"/>
      <c r="M34" s="1293"/>
      <c r="N34" s="1293"/>
      <c r="T34" s="1655"/>
    </row>
    <row r="35" spans="1:26" ht="15.75">
      <c r="A35" s="1293"/>
      <c r="B35" s="1325" t="s">
        <v>9090</v>
      </c>
      <c r="C35" s="1664"/>
      <c r="D35" s="1664"/>
      <c r="E35" s="1664"/>
      <c r="F35" s="1664"/>
      <c r="G35" s="1664"/>
      <c r="H35" s="1664"/>
      <c r="I35" s="1661">
        <f>Master!AB54</f>
        <v>166.363</v>
      </c>
      <c r="J35" s="1664"/>
      <c r="K35" s="1664"/>
      <c r="L35" s="1653"/>
      <c r="M35" s="1293"/>
      <c r="N35" s="1653"/>
      <c r="T35" s="1655"/>
    </row>
    <row r="36" spans="1:26" ht="15.75">
      <c r="A36" s="1293"/>
      <c r="B36" s="1824" t="s">
        <v>1590</v>
      </c>
      <c r="C36" s="1825"/>
      <c r="D36" s="1825"/>
      <c r="E36" s="1825"/>
      <c r="F36" s="1825"/>
      <c r="G36" s="1825"/>
      <c r="H36" s="1825"/>
      <c r="I36" s="1848">
        <f ca="1">I33/I35</f>
        <v>36.64868071123005</v>
      </c>
      <c r="J36" s="1827"/>
      <c r="K36" s="1841"/>
      <c r="L36" s="1653"/>
      <c r="M36" s="1293"/>
      <c r="N36" s="1653"/>
      <c r="T36" s="1655"/>
    </row>
    <row r="37" spans="1:26" ht="16.5" thickBot="1">
      <c r="A37" s="1293"/>
      <c r="B37" s="1325"/>
      <c r="C37" s="1664"/>
      <c r="D37" s="1664"/>
      <c r="E37" s="1664"/>
      <c r="F37" s="1664"/>
      <c r="G37" s="1664"/>
      <c r="H37" s="1664"/>
      <c r="I37" s="1854"/>
      <c r="J37" s="1664"/>
      <c r="K37" s="1664"/>
      <c r="L37" s="1653"/>
      <c r="M37" s="1293"/>
      <c r="N37" s="1653"/>
      <c r="T37" s="1655"/>
    </row>
    <row r="38" spans="1:26" ht="16.5" thickBot="1">
      <c r="A38" s="1293"/>
      <c r="B38" s="1849" t="s">
        <v>9092</v>
      </c>
      <c r="C38" s="1850"/>
      <c r="D38" s="1850"/>
      <c r="E38" s="1850"/>
      <c r="F38" s="1850"/>
      <c r="G38" s="1850"/>
      <c r="H38" s="1850"/>
      <c r="I38" s="1851">
        <f ca="1">I36-I37</f>
        <v>36.64868071123005</v>
      </c>
      <c r="J38" s="1827"/>
      <c r="K38" s="1828"/>
      <c r="L38" s="1653"/>
      <c r="M38" s="1293"/>
      <c r="N38" s="1653"/>
      <c r="T38" s="1655"/>
    </row>
    <row r="39" spans="1:26" ht="15.75">
      <c r="A39" s="1293"/>
      <c r="B39" s="1659" t="s">
        <v>5616</v>
      </c>
      <c r="C39" s="1686"/>
      <c r="D39" s="1686"/>
      <c r="E39" s="1686"/>
      <c r="F39" s="1686"/>
      <c r="G39" s="1686"/>
      <c r="H39" s="1686"/>
      <c r="I39" s="1823">
        <f>Valuation!B4</f>
        <v>29.58</v>
      </c>
      <c r="J39" s="1687"/>
      <c r="K39" s="1687"/>
      <c r="L39" s="1653"/>
      <c r="M39" s="1293"/>
      <c r="N39" s="1653"/>
      <c r="T39" s="1655"/>
    </row>
    <row r="40" spans="1:26" ht="15.75">
      <c r="A40" s="1293"/>
      <c r="B40" s="1824" t="s">
        <v>1592</v>
      </c>
      <c r="C40" s="1825"/>
      <c r="D40" s="1825"/>
      <c r="E40" s="1825"/>
      <c r="F40" s="1825"/>
      <c r="G40" s="1825"/>
      <c r="H40" s="1825"/>
      <c r="I40" s="1826">
        <f ca="1">I38/I39-1</f>
        <v>0.2389682458157556</v>
      </c>
      <c r="J40" s="1827"/>
      <c r="K40" s="1828"/>
      <c r="L40" s="1653"/>
      <c r="M40" s="1293"/>
      <c r="N40" s="1653"/>
      <c r="T40" s="1655"/>
    </row>
    <row r="41" spans="1:26" ht="15.75">
      <c r="A41" s="1293"/>
      <c r="B41" s="1659"/>
      <c r="C41" s="1686"/>
      <c r="D41" s="1686"/>
      <c r="E41" s="1686"/>
      <c r="F41" s="1686"/>
      <c r="G41" s="1686"/>
      <c r="H41" s="1686"/>
      <c r="I41" s="1689"/>
      <c r="J41" s="1687"/>
      <c r="K41" s="1660"/>
      <c r="L41" s="1653"/>
      <c r="M41" s="1293"/>
      <c r="N41" s="1653"/>
      <c r="T41" s="1655"/>
    </row>
    <row r="42" spans="1:26" ht="15.75">
      <c r="A42" s="1293"/>
      <c r="B42" s="1824" t="s">
        <v>1203</v>
      </c>
      <c r="C42" s="1825"/>
      <c r="D42" s="1825"/>
      <c r="E42" s="1825"/>
      <c r="F42" s="1825"/>
      <c r="G42" s="1825"/>
      <c r="H42" s="1825"/>
      <c r="I42" s="1852">
        <f>Valuation!B3</f>
        <v>11.01</v>
      </c>
      <c r="J42" s="1827"/>
      <c r="K42" s="1827"/>
      <c r="L42" s="1653"/>
      <c r="M42" s="1293"/>
      <c r="N42" s="1653"/>
      <c r="T42" s="1655"/>
    </row>
    <row r="43" spans="1:26" ht="15.75">
      <c r="A43" s="1293"/>
      <c r="B43" s="1690" t="s">
        <v>9091</v>
      </c>
      <c r="C43" s="1691"/>
      <c r="D43" s="1691"/>
      <c r="E43" s="1691" t="s">
        <v>1823</v>
      </c>
      <c r="F43" s="1691"/>
      <c r="G43" s="1691"/>
      <c r="H43" s="1691"/>
      <c r="I43" s="1822">
        <f ca="1">I38*I42</f>
        <v>403.50197463064285</v>
      </c>
      <c r="J43" s="1660"/>
      <c r="K43" s="1564"/>
      <c r="L43" s="1653"/>
      <c r="M43" s="1293"/>
      <c r="N43" s="1653"/>
      <c r="T43" s="1655"/>
      <c r="U43" s="1655"/>
      <c r="V43" s="1653"/>
      <c r="W43" s="1665"/>
      <c r="X43" s="1688"/>
      <c r="Y43" s="1688"/>
      <c r="Z43" s="1688"/>
    </row>
    <row r="44" spans="1:26" ht="15.75">
      <c r="A44" s="1293"/>
      <c r="B44" s="1824" t="s">
        <v>1591</v>
      </c>
      <c r="C44" s="1829"/>
      <c r="D44" s="1829"/>
      <c r="E44" s="1829"/>
      <c r="F44" s="1841"/>
      <c r="G44" s="1841"/>
      <c r="H44" s="1841"/>
      <c r="I44" s="1840">
        <f>Valuation!B2</f>
        <v>325.67579999999998</v>
      </c>
      <c r="J44" s="1853"/>
      <c r="K44" s="1841"/>
      <c r="L44" s="1653"/>
      <c r="M44" s="1653"/>
      <c r="N44" s="1653"/>
      <c r="O44" s="1293"/>
      <c r="P44" s="1653"/>
      <c r="Q44" s="1653"/>
      <c r="R44" s="1655"/>
      <c r="S44" s="1653"/>
      <c r="T44" s="1655"/>
      <c r="U44" s="1655"/>
      <c r="V44" s="1653"/>
      <c r="W44" s="1665"/>
      <c r="X44" s="1688"/>
      <c r="Y44" s="1688"/>
      <c r="Z44" s="1688"/>
    </row>
    <row r="45" spans="1:26" ht="15.75">
      <c r="A45" s="1293"/>
      <c r="B45" s="1692" t="s">
        <v>1592</v>
      </c>
      <c r="C45" s="1693"/>
      <c r="D45" s="1693"/>
      <c r="E45" s="1693"/>
      <c r="F45" s="1680"/>
      <c r="G45" s="1680"/>
      <c r="H45" s="1680"/>
      <c r="I45" s="1694">
        <f ca="1">I43/I44-1</f>
        <v>0.2389682458157556</v>
      </c>
      <c r="J45" s="1680"/>
      <c r="K45" s="1695"/>
      <c r="L45" s="1653"/>
      <c r="M45" s="1653"/>
      <c r="N45" s="1653"/>
      <c r="O45" s="1293"/>
      <c r="P45" s="1653"/>
      <c r="Q45" s="1653"/>
      <c r="R45" s="1655"/>
      <c r="S45" s="1653"/>
      <c r="T45" s="1655"/>
      <c r="U45" s="1655"/>
      <c r="V45" s="1653"/>
      <c r="W45" s="1665"/>
      <c r="X45" s="1688"/>
      <c r="Y45" s="1688"/>
      <c r="Z45" s="1688"/>
    </row>
    <row r="46" spans="1:26" ht="15.75">
      <c r="A46" s="1293"/>
      <c r="B46" s="1653"/>
      <c r="C46" s="1684"/>
      <c r="D46" s="1684"/>
      <c r="E46" s="1684"/>
      <c r="F46" s="1665"/>
      <c r="G46" s="1665"/>
      <c r="H46" s="1293"/>
      <c r="I46" s="1293"/>
      <c r="J46" s="1293"/>
      <c r="K46" s="1653"/>
      <c r="L46" s="1653"/>
      <c r="M46" s="1653"/>
      <c r="N46" s="1653"/>
      <c r="O46" s="1293"/>
      <c r="P46" s="1653"/>
      <c r="Q46" s="1653"/>
      <c r="R46" s="1655"/>
      <c r="S46" s="1653"/>
      <c r="T46" s="1655"/>
      <c r="U46" s="1655"/>
      <c r="V46" s="1653"/>
      <c r="W46" s="1653"/>
      <c r="X46" s="1653"/>
      <c r="Y46" s="1653"/>
      <c r="Z46" s="1653"/>
    </row>
    <row r="47" spans="1:26" ht="15.75">
      <c r="A47" s="1293"/>
      <c r="B47" s="1653"/>
      <c r="C47" s="1684"/>
      <c r="D47" s="1684"/>
      <c r="E47" s="1654"/>
      <c r="F47" s="1665"/>
      <c r="G47" s="1665"/>
      <c r="H47" s="1293"/>
      <c r="I47" s="1293"/>
      <c r="J47" s="1293"/>
      <c r="K47" s="1653"/>
      <c r="L47" s="1653"/>
      <c r="M47" s="1653"/>
      <c r="N47" s="1653"/>
      <c r="O47" s="1293"/>
      <c r="P47" s="1653"/>
      <c r="Q47" s="1653"/>
      <c r="R47" s="1655"/>
      <c r="S47" s="1653"/>
      <c r="T47" s="1655"/>
      <c r="U47" s="1655"/>
      <c r="V47" s="1653"/>
      <c r="W47" s="1653"/>
      <c r="X47" s="1653"/>
      <c r="Y47" s="1653"/>
      <c r="Z47" s="1653"/>
    </row>
    <row r="48" spans="1:26" ht="15.75">
      <c r="A48" s="1293"/>
      <c r="B48" s="1653"/>
      <c r="C48" s="1684"/>
      <c r="D48" s="1684"/>
      <c r="E48" s="1654"/>
      <c r="F48" s="1665"/>
      <c r="G48" s="1665"/>
      <c r="H48" s="1293"/>
      <c r="I48" s="1293"/>
      <c r="J48" s="1293"/>
      <c r="K48" s="1653"/>
      <c r="L48" s="1653"/>
      <c r="M48" s="1653"/>
      <c r="N48" s="1653"/>
      <c r="O48" s="1293"/>
      <c r="P48" s="1653"/>
      <c r="Q48" s="1653"/>
      <c r="R48" s="1655"/>
      <c r="S48" s="1653"/>
      <c r="T48" s="1655"/>
      <c r="U48" s="1655"/>
      <c r="V48" s="1653"/>
      <c r="W48" s="1653"/>
      <c r="X48" s="1653"/>
      <c r="Y48" s="1653"/>
      <c r="Z48" s="1653"/>
    </row>
    <row r="49" spans="1:26" ht="15.75">
      <c r="A49" s="1293"/>
      <c r="B49" s="1706" t="s">
        <v>1724</v>
      </c>
      <c r="C49" s="1684"/>
      <c r="D49" s="1684"/>
      <c r="E49" s="1654"/>
      <c r="F49" s="1665"/>
      <c r="G49" s="1665"/>
      <c r="H49" s="1293"/>
      <c r="I49" s="1293"/>
      <c r="J49" s="1293"/>
      <c r="K49" s="1653"/>
      <c r="L49" s="1653"/>
      <c r="M49" s="1653"/>
      <c r="N49" s="1653"/>
      <c r="O49" s="1293"/>
      <c r="P49" s="1653"/>
      <c r="Q49" s="1653"/>
      <c r="R49" s="1655"/>
      <c r="S49" s="1653"/>
      <c r="T49" s="1655"/>
      <c r="U49" s="1655"/>
      <c r="V49" s="1653"/>
      <c r="W49" s="1653"/>
      <c r="X49" s="1653"/>
      <c r="Y49" s="1653"/>
      <c r="Z49" s="1653"/>
    </row>
    <row r="50" spans="1:26" ht="15.75">
      <c r="A50" s="1293"/>
      <c r="B50" s="1653"/>
      <c r="C50" s="1684"/>
      <c r="D50" s="1684"/>
      <c r="E50" s="1654"/>
      <c r="F50" s="1665"/>
      <c r="G50" s="1665"/>
      <c r="H50" s="1293"/>
      <c r="I50" s="1293"/>
      <c r="J50" s="1293"/>
      <c r="K50" s="1653"/>
      <c r="L50" s="1653"/>
      <c r="M50" s="1653"/>
      <c r="N50" s="1653"/>
      <c r="O50" s="1293"/>
      <c r="P50" s="1653"/>
      <c r="Q50" s="1653"/>
      <c r="R50" s="1655"/>
      <c r="S50" s="1653"/>
      <c r="T50" s="1655"/>
      <c r="U50" s="1655"/>
      <c r="V50" s="1653"/>
      <c r="W50" s="1653"/>
      <c r="X50" s="1653"/>
      <c r="Y50" s="1653"/>
      <c r="Z50" s="1653"/>
    </row>
    <row r="51" spans="1:26" ht="15.75">
      <c r="A51" s="1293"/>
      <c r="B51" s="1832" t="s">
        <v>2379</v>
      </c>
      <c r="C51" s="1833"/>
      <c r="D51" s="1833"/>
      <c r="E51" s="1833"/>
      <c r="F51" s="1834"/>
      <c r="G51" s="1834">
        <v>2014</v>
      </c>
      <c r="H51" s="1834">
        <v>2015</v>
      </c>
      <c r="I51" s="1834">
        <v>2016</v>
      </c>
      <c r="J51" s="1834">
        <v>2017</v>
      </c>
      <c r="K51" s="1834">
        <v>2018</v>
      </c>
      <c r="L51" s="1834">
        <v>2019</v>
      </c>
      <c r="M51" s="1834">
        <v>2020</v>
      </c>
      <c r="N51" s="1834">
        <v>2021</v>
      </c>
      <c r="O51" s="1834">
        <v>2022</v>
      </c>
      <c r="P51" s="1834">
        <v>2023</v>
      </c>
      <c r="Q51" s="1834">
        <v>2024</v>
      </c>
      <c r="R51" s="1834">
        <v>2025</v>
      </c>
      <c r="S51" s="1834">
        <v>2026</v>
      </c>
      <c r="T51" s="1834">
        <v>2027</v>
      </c>
      <c r="U51" s="1834">
        <v>2028</v>
      </c>
      <c r="V51" s="1834">
        <v>2029</v>
      </c>
      <c r="W51" s="1834">
        <v>2030</v>
      </c>
      <c r="X51" s="1293"/>
      <c r="Y51" s="1293"/>
      <c r="Z51" s="1653"/>
    </row>
    <row r="52" spans="1:26" ht="15.75">
      <c r="A52" s="1293"/>
      <c r="B52" s="1293" t="s">
        <v>1938</v>
      </c>
      <c r="C52" s="1835">
        <v>0.11</v>
      </c>
      <c r="D52" s="1666"/>
      <c r="E52" s="1666"/>
      <c r="F52" s="1293"/>
      <c r="G52" s="1293"/>
      <c r="H52" s="1293"/>
      <c r="I52" s="1293"/>
      <c r="J52" s="1293"/>
      <c r="K52" s="1293"/>
      <c r="L52" s="1293"/>
      <c r="M52" s="1293"/>
      <c r="N52" s="1293"/>
      <c r="O52" s="1293"/>
      <c r="P52" s="1293"/>
      <c r="Q52" s="1293"/>
      <c r="R52" s="1293"/>
      <c r="S52" s="1293"/>
      <c r="T52" s="1293"/>
      <c r="U52" s="1293"/>
      <c r="V52" s="1293"/>
      <c r="W52" s="1293"/>
      <c r="X52" s="1293"/>
      <c r="Y52" s="1293"/>
      <c r="Z52" s="1653"/>
    </row>
    <row r="53" spans="1:26" ht="15.75">
      <c r="A53" s="1293"/>
      <c r="B53" s="1293" t="s">
        <v>682</v>
      </c>
      <c r="C53" s="1836">
        <v>0.19900000000000001</v>
      </c>
      <c r="D53" s="1293"/>
      <c r="E53" s="1293"/>
      <c r="F53" s="1293"/>
      <c r="G53" s="1688">
        <f>C53</f>
        <v>0.19900000000000001</v>
      </c>
      <c r="H53" s="1688">
        <f t="shared" ref="H53" si="1">G53</f>
        <v>0.19900000000000001</v>
      </c>
      <c r="I53" s="1688">
        <f t="shared" ref="I53" si="2">H53</f>
        <v>0.19900000000000001</v>
      </c>
      <c r="J53" s="1688">
        <f t="shared" ref="J53" si="3">I53</f>
        <v>0.19900000000000001</v>
      </c>
      <c r="K53" s="1688">
        <f t="shared" ref="K53" si="4">J53</f>
        <v>0.19900000000000001</v>
      </c>
      <c r="L53" s="1688">
        <f t="shared" ref="L53" si="5">K53</f>
        <v>0.19900000000000001</v>
      </c>
      <c r="M53" s="1688">
        <f t="shared" ref="M53" si="6">L53</f>
        <v>0.19900000000000001</v>
      </c>
      <c r="N53" s="1688">
        <f t="shared" ref="N53" si="7">M53</f>
        <v>0.19900000000000001</v>
      </c>
      <c r="O53" s="1688">
        <f>N53</f>
        <v>0.19900000000000001</v>
      </c>
      <c r="P53" s="1688">
        <f t="shared" ref="P53" si="8">O53</f>
        <v>0.19900000000000001</v>
      </c>
      <c r="Q53" s="1688">
        <f t="shared" ref="Q53" si="9">P53</f>
        <v>0.19900000000000001</v>
      </c>
      <c r="R53" s="1688">
        <f t="shared" ref="R53" si="10">Q53</f>
        <v>0.19900000000000001</v>
      </c>
      <c r="S53" s="1688">
        <f t="shared" ref="S53" si="11">R53</f>
        <v>0.19900000000000001</v>
      </c>
      <c r="T53" s="1688">
        <f t="shared" ref="T53" si="12">S53</f>
        <v>0.19900000000000001</v>
      </c>
      <c r="U53" s="1688">
        <f t="shared" ref="U53" si="13">T53</f>
        <v>0.19900000000000001</v>
      </c>
      <c r="V53" s="1688">
        <f t="shared" ref="V53" si="14">U53</f>
        <v>0.19900000000000001</v>
      </c>
      <c r="W53" s="1688">
        <f t="shared" ref="W53" si="15">V53</f>
        <v>0.19900000000000001</v>
      </c>
      <c r="X53" s="1293"/>
      <c r="Y53" s="1293"/>
      <c r="Z53" s="1653"/>
    </row>
    <row r="54" spans="1:26" ht="15.75">
      <c r="A54" s="1293"/>
      <c r="B54" s="1293" t="s">
        <v>683</v>
      </c>
      <c r="C54" s="1835">
        <v>0</v>
      </c>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653"/>
    </row>
    <row r="55" spans="1:26" ht="15.75">
      <c r="A55" s="1293"/>
      <c r="B55" s="1293"/>
      <c r="C55" s="1293"/>
      <c r="D55" s="1293"/>
      <c r="E55" s="1293"/>
      <c r="F55" s="1293"/>
      <c r="G55" s="1293"/>
      <c r="H55" s="1293"/>
      <c r="I55" s="1293"/>
      <c r="J55" s="1293"/>
      <c r="K55" s="1293"/>
      <c r="L55" s="1293"/>
      <c r="M55" s="1293"/>
      <c r="N55" s="1293"/>
      <c r="O55" s="1293"/>
      <c r="P55" s="1293"/>
      <c r="Q55" s="1293">
        <v>0</v>
      </c>
      <c r="R55" s="1293">
        <v>0</v>
      </c>
      <c r="S55" s="1293">
        <f t="shared" ref="S55" si="16">R55+1</f>
        <v>1</v>
      </c>
      <c r="T55" s="1293">
        <f t="shared" ref="T55" si="17">S55+1</f>
        <v>2</v>
      </c>
      <c r="U55" s="1293">
        <f t="shared" ref="U55" si="18">T55+1</f>
        <v>3</v>
      </c>
      <c r="V55" s="1293">
        <f t="shared" ref="V55" si="19">U55+1</f>
        <v>4</v>
      </c>
      <c r="W55" s="1293">
        <f t="shared" ref="W55" si="20">V55+1</f>
        <v>5</v>
      </c>
      <c r="X55" s="1293"/>
      <c r="Y55" s="1293"/>
      <c r="Z55" s="1653"/>
    </row>
    <row r="56" spans="1:26" ht="15.75">
      <c r="A56" s="1293"/>
      <c r="B56" s="1293" t="s">
        <v>1937</v>
      </c>
      <c r="C56" s="1293"/>
      <c r="D56" s="1707"/>
      <c r="E56" s="1707"/>
      <c r="F56" s="1707"/>
      <c r="G56" s="1707"/>
      <c r="H56" s="1707"/>
      <c r="I56" s="1707"/>
      <c r="J56" s="1707"/>
      <c r="K56" s="1707"/>
      <c r="L56" s="1707"/>
      <c r="M56" s="1707"/>
      <c r="N56" s="1707"/>
      <c r="O56" s="1707"/>
      <c r="P56" s="1707"/>
      <c r="Q56" s="1707">
        <f t="shared" ref="Q56:W56" si="21">1/(1+$C52)^Q55</f>
        <v>1</v>
      </c>
      <c r="R56" s="1707">
        <f t="shared" si="21"/>
        <v>1</v>
      </c>
      <c r="S56" s="1707">
        <f t="shared" si="21"/>
        <v>0.9009009009009008</v>
      </c>
      <c r="T56" s="1707">
        <f t="shared" si="21"/>
        <v>0.8116224332440547</v>
      </c>
      <c r="U56" s="1707">
        <f t="shared" si="21"/>
        <v>0.73119138130095018</v>
      </c>
      <c r="V56" s="1707">
        <f t="shared" si="21"/>
        <v>0.65873097414500015</v>
      </c>
      <c r="W56" s="1707">
        <f t="shared" si="21"/>
        <v>0.5934513280585586</v>
      </c>
      <c r="X56" s="1293"/>
      <c r="Y56" s="1293"/>
      <c r="Z56" s="1653"/>
    </row>
    <row r="57" spans="1:26" ht="15.75">
      <c r="A57" s="1293"/>
      <c r="B57" s="1293" t="s">
        <v>2204</v>
      </c>
      <c r="C57" s="1666"/>
      <c r="D57" s="1666"/>
      <c r="E57" s="1666"/>
      <c r="F57" s="1666"/>
      <c r="G57" s="1666"/>
      <c r="H57" s="1666"/>
      <c r="I57" s="1666"/>
      <c r="J57" s="1666"/>
      <c r="K57" s="1666"/>
      <c r="L57" s="1666"/>
      <c r="M57" s="1666"/>
      <c r="N57" s="1666"/>
      <c r="O57" s="1666"/>
      <c r="P57" s="1666"/>
      <c r="Q57" s="1666">
        <f>'New split'!N455</f>
        <v>691.86189999999999</v>
      </c>
      <c r="R57" s="1666">
        <f>'New split'!O455</f>
        <v>702.26527469987025</v>
      </c>
      <c r="S57" s="1666">
        <f>'New split'!P455</f>
        <v>724.81318419585727</v>
      </c>
      <c r="T57" s="1666">
        <f>'New split'!Q455</f>
        <v>739.36366828363032</v>
      </c>
      <c r="U57" s="1666">
        <f>'New split'!R455</f>
        <v>754.18335994825168</v>
      </c>
      <c r="V57" s="1666">
        <f>'New split'!S455</f>
        <v>766.00281062466831</v>
      </c>
      <c r="W57" s="1666">
        <f>'New split'!T455</f>
        <v>777.98237753250226</v>
      </c>
      <c r="X57" s="1293"/>
      <c r="Y57" s="1293"/>
      <c r="Z57" s="1653"/>
    </row>
    <row r="58" spans="1:26" ht="15.75">
      <c r="A58" s="1293"/>
      <c r="B58" s="1334" t="s">
        <v>1936</v>
      </c>
      <c r="C58" s="1334"/>
      <c r="D58" s="1685"/>
      <c r="E58" s="1685"/>
      <c r="F58" s="1685"/>
      <c r="G58" s="1685"/>
      <c r="H58" s="1685"/>
      <c r="I58" s="1685"/>
      <c r="J58" s="1685"/>
      <c r="K58" s="1685"/>
      <c r="L58" s="1685"/>
      <c r="M58" s="1685"/>
      <c r="N58" s="1713"/>
      <c r="O58" s="1713"/>
      <c r="P58" s="1713"/>
      <c r="Q58" s="1713">
        <f t="shared" ref="Q58:W58" si="22">Q57*(1-Q53)</f>
        <v>554.18138189999991</v>
      </c>
      <c r="R58" s="1713">
        <f t="shared" si="22"/>
        <v>562.51448503459608</v>
      </c>
      <c r="S58" s="1713">
        <f t="shared" si="22"/>
        <v>580.57536054088166</v>
      </c>
      <c r="T58" s="1713">
        <f t="shared" si="22"/>
        <v>592.23029829518782</v>
      </c>
      <c r="U58" s="1713">
        <f t="shared" si="22"/>
        <v>604.10087131854959</v>
      </c>
      <c r="V58" s="1713">
        <f t="shared" si="22"/>
        <v>613.5682513103593</v>
      </c>
      <c r="W58" s="1713">
        <f t="shared" si="22"/>
        <v>623.16388440353421</v>
      </c>
      <c r="X58" s="1293"/>
      <c r="Y58" s="1293"/>
      <c r="Z58" s="1653"/>
    </row>
    <row r="59" spans="1:26" ht="15.75">
      <c r="A59" s="1293"/>
      <c r="B59" s="1293"/>
      <c r="C59" s="1293"/>
      <c r="D59" s="1666"/>
      <c r="E59" s="1666"/>
      <c r="F59" s="1666"/>
      <c r="G59" s="1293"/>
      <c r="H59" s="1293"/>
      <c r="I59" s="1293"/>
      <c r="J59" s="1293"/>
      <c r="K59" s="1293"/>
      <c r="L59" s="1293"/>
      <c r="M59" s="1293"/>
      <c r="N59" s="1327"/>
      <c r="O59" s="1327"/>
      <c r="P59" s="1327"/>
      <c r="Q59" s="1327"/>
      <c r="R59" s="1327"/>
      <c r="S59" s="1327"/>
      <c r="T59" s="1327"/>
      <c r="U59" s="1327"/>
      <c r="V59" s="1327"/>
      <c r="W59" s="1327"/>
      <c r="X59" s="1293"/>
      <c r="Y59" s="1293"/>
      <c r="Z59" s="1653"/>
    </row>
    <row r="60" spans="1:26" ht="15.75">
      <c r="A60" s="1293"/>
      <c r="B60" s="1293" t="s">
        <v>684</v>
      </c>
      <c r="C60" s="1293"/>
      <c r="D60" s="1666"/>
      <c r="E60" s="1666"/>
      <c r="F60" s="1666"/>
      <c r="G60" s="1666"/>
      <c r="H60" s="1666"/>
      <c r="I60" s="1666"/>
      <c r="J60" s="1666"/>
      <c r="K60" s="1666"/>
      <c r="L60" s="1666"/>
      <c r="M60" s="1666"/>
      <c r="N60" s="1675"/>
      <c r="O60" s="1675"/>
      <c r="P60" s="1675"/>
      <c r="Q60" s="1675">
        <f t="shared" ref="Q60:W60" si="23">Q58*Q56</f>
        <v>554.18138189999991</v>
      </c>
      <c r="R60" s="1675">
        <f t="shared" si="23"/>
        <v>562.51448503459608</v>
      </c>
      <c r="S60" s="1675">
        <f t="shared" si="23"/>
        <v>523.0408653521456</v>
      </c>
      <c r="T60" s="1675">
        <f t="shared" si="23"/>
        <v>480.66739574319269</v>
      </c>
      <c r="U60" s="1675">
        <f t="shared" si="23"/>
        <v>441.71335054451782</v>
      </c>
      <c r="V60" s="1675">
        <f t="shared" si="23"/>
        <v>404.17641189011727</v>
      </c>
      <c r="W60" s="1675">
        <f t="shared" si="23"/>
        <v>369.81743479740749</v>
      </c>
      <c r="X60" s="1293"/>
      <c r="Y60" s="1293"/>
      <c r="Z60" s="1653"/>
    </row>
    <row r="61" spans="1:26" ht="15.75">
      <c r="A61" s="1293"/>
      <c r="B61" s="1293" t="s">
        <v>685</v>
      </c>
      <c r="C61" s="1293"/>
      <c r="D61" s="1675">
        <f>SUM(S60:W60)</f>
        <v>2219.4154583273812</v>
      </c>
      <c r="E61" s="1293"/>
      <c r="F61" s="1293"/>
      <c r="G61" s="1293"/>
      <c r="H61" s="1293"/>
      <c r="I61" s="1293"/>
      <c r="J61" s="1293"/>
      <c r="K61" s="1293"/>
      <c r="L61" s="1653"/>
      <c r="M61" s="1666"/>
      <c r="N61" s="1666"/>
      <c r="O61" s="1666"/>
      <c r="P61" s="1666"/>
      <c r="Q61" s="1666"/>
      <c r="R61" s="1666"/>
      <c r="S61" s="1293"/>
      <c r="T61" s="1293"/>
      <c r="U61" s="1293"/>
      <c r="V61" s="1293"/>
      <c r="W61" s="1293"/>
      <c r="X61" s="1293"/>
      <c r="Y61" s="1293"/>
      <c r="Z61" s="1653"/>
    </row>
    <row r="62" spans="1:26" ht="15.75">
      <c r="A62" s="1293"/>
      <c r="B62" s="1293" t="s">
        <v>2203</v>
      </c>
      <c r="C62" s="1293"/>
      <c r="D62" s="1705">
        <f>W60/(C52-C54)</f>
        <v>3361.9766799764316</v>
      </c>
      <c r="E62" s="1293"/>
      <c r="F62" s="1293"/>
      <c r="G62" s="1293"/>
      <c r="H62" s="1293"/>
      <c r="I62" s="1293"/>
      <c r="J62" s="1293"/>
      <c r="K62" s="1293"/>
      <c r="L62" s="1666"/>
      <c r="M62" s="1666"/>
      <c r="N62" s="1666"/>
      <c r="O62" s="1666"/>
      <c r="P62" s="1666"/>
      <c r="Q62" s="1666"/>
      <c r="R62" s="1666"/>
      <c r="S62" s="1293"/>
      <c r="T62" s="1293"/>
      <c r="U62" s="1293"/>
      <c r="V62" s="1293"/>
      <c r="W62" s="1293"/>
      <c r="X62" s="1293"/>
      <c r="Y62" s="1293"/>
      <c r="Z62" s="1653"/>
    </row>
    <row r="63" spans="1:26" ht="15.75">
      <c r="A63" s="1293"/>
      <c r="B63" s="1334" t="s">
        <v>2205</v>
      </c>
      <c r="C63" s="1334"/>
      <c r="D63" s="1713">
        <f>SUM(D61:D62)</f>
        <v>5581.3921383038123</v>
      </c>
      <c r="E63" s="1293" t="s">
        <v>1823</v>
      </c>
      <c r="F63" s="1293"/>
      <c r="G63" s="1293"/>
      <c r="H63" s="1293"/>
      <c r="I63" s="1293"/>
      <c r="J63" s="1293"/>
      <c r="K63" s="1293"/>
      <c r="L63" s="1666"/>
      <c r="M63" s="1666"/>
      <c r="N63" s="1666"/>
      <c r="O63" s="1666"/>
      <c r="P63" s="1666"/>
      <c r="Q63" s="1666"/>
      <c r="R63" s="1666"/>
      <c r="S63" s="1293"/>
      <c r="T63" s="1293"/>
      <c r="U63" s="1293"/>
      <c r="V63" s="1293"/>
      <c r="W63" s="1293"/>
      <c r="X63" s="1293"/>
      <c r="Y63" s="1293"/>
      <c r="Z63" s="1653"/>
    </row>
    <row r="64" spans="1:26" ht="15.75">
      <c r="A64" s="1293"/>
      <c r="B64" s="1293"/>
      <c r="C64" s="1293"/>
      <c r="D64" s="1293"/>
      <c r="E64" s="1293"/>
      <c r="F64" s="1293"/>
      <c r="G64" s="1293"/>
      <c r="H64" s="1293"/>
      <c r="I64" s="1293"/>
      <c r="J64" s="1293"/>
      <c r="K64" s="1293"/>
      <c r="L64" s="1653"/>
      <c r="M64" s="1653"/>
      <c r="N64" s="1653"/>
      <c r="O64" s="1653"/>
      <c r="P64" s="1653"/>
      <c r="Q64" s="1653"/>
      <c r="R64" s="1653"/>
      <c r="S64" s="1293"/>
      <c r="T64" s="1293"/>
      <c r="U64" s="1293"/>
      <c r="V64" s="1293"/>
      <c r="W64" s="1293"/>
      <c r="X64" s="1293"/>
      <c r="Y64" s="1293"/>
      <c r="Z64" s="1653"/>
    </row>
    <row r="65" spans="1:33" ht="15.75">
      <c r="A65" s="1293"/>
      <c r="B65" s="1293"/>
      <c r="C65" s="1293"/>
      <c r="D65" s="1293"/>
      <c r="E65" s="1293"/>
      <c r="F65" s="1293"/>
      <c r="G65" s="1293"/>
      <c r="H65" s="1293"/>
      <c r="I65" s="1293"/>
      <c r="J65" s="1293"/>
      <c r="K65" s="1293"/>
      <c r="L65" s="1653"/>
      <c r="M65" s="1653"/>
      <c r="N65" s="1653"/>
      <c r="O65" s="1653"/>
      <c r="P65" s="1653"/>
      <c r="Q65" s="1653"/>
      <c r="R65" s="1653"/>
      <c r="S65" s="1293"/>
      <c r="T65" s="1293"/>
      <c r="U65" s="1293"/>
      <c r="V65" s="1293"/>
      <c r="W65" s="1293"/>
      <c r="X65" s="1293"/>
      <c r="Y65" s="1293"/>
      <c r="Z65" s="1653"/>
    </row>
    <row r="66" spans="1:33" ht="15.75">
      <c r="A66" s="1293"/>
      <c r="B66" s="1832" t="s">
        <v>2376</v>
      </c>
      <c r="C66" s="1833"/>
      <c r="D66" s="1833"/>
      <c r="E66" s="1833"/>
      <c r="F66" s="1834"/>
      <c r="G66" s="1834">
        <v>2014</v>
      </c>
      <c r="H66" s="1834">
        <v>2015</v>
      </c>
      <c r="I66" s="1834">
        <v>2016</v>
      </c>
      <c r="J66" s="1834">
        <v>2017</v>
      </c>
      <c r="K66" s="1834">
        <v>2018</v>
      </c>
      <c r="L66" s="1834">
        <v>2019</v>
      </c>
      <c r="M66" s="1834">
        <v>2020</v>
      </c>
      <c r="N66" s="1834">
        <v>2021</v>
      </c>
      <c r="O66" s="1834">
        <v>2022</v>
      </c>
      <c r="P66" s="1834">
        <v>2023</v>
      </c>
      <c r="Q66" s="1834">
        <v>2024</v>
      </c>
      <c r="R66" s="1834">
        <v>2025</v>
      </c>
      <c r="S66" s="1834">
        <v>2026</v>
      </c>
      <c r="T66" s="1834">
        <v>2027</v>
      </c>
      <c r="U66" s="1834">
        <v>2028</v>
      </c>
      <c r="V66" s="1834">
        <v>2029</v>
      </c>
      <c r="W66" s="1834">
        <v>2030</v>
      </c>
      <c r="X66" s="1293"/>
      <c r="Y66" s="1293"/>
      <c r="Z66" s="1653"/>
    </row>
    <row r="67" spans="1:33" ht="15.75">
      <c r="A67" s="1293"/>
      <c r="B67" s="1293" t="s">
        <v>1938</v>
      </c>
      <c r="C67" s="1835">
        <v>0.12</v>
      </c>
      <c r="D67" s="1666"/>
      <c r="E67" s="1666"/>
      <c r="F67" s="1293"/>
      <c r="G67" s="1293"/>
      <c r="H67" s="1293"/>
      <c r="I67" s="1293"/>
      <c r="J67" s="1293"/>
      <c r="K67" s="1293"/>
      <c r="L67" s="1293"/>
      <c r="M67" s="1293"/>
      <c r="N67" s="1293"/>
      <c r="O67" s="1293"/>
      <c r="P67" s="1293"/>
      <c r="Q67" s="1293"/>
      <c r="R67" s="1293"/>
      <c r="S67" s="1293"/>
      <c r="T67" s="1293"/>
      <c r="U67" s="1293"/>
      <c r="V67" s="1293"/>
      <c r="W67" s="1293"/>
      <c r="X67" s="1293"/>
      <c r="Y67" s="1293"/>
      <c r="Z67" s="1653"/>
    </row>
    <row r="68" spans="1:33" ht="15.75">
      <c r="A68" s="1293"/>
      <c r="B68" s="1293" t="s">
        <v>682</v>
      </c>
      <c r="C68" s="1836">
        <v>0.19900000000000001</v>
      </c>
      <c r="D68" s="1293"/>
      <c r="E68" s="1293"/>
      <c r="F68" s="1293"/>
      <c r="G68" s="1688">
        <f>C68</f>
        <v>0.19900000000000001</v>
      </c>
      <c r="H68" s="1688">
        <f t="shared" ref="H68" si="24">G68</f>
        <v>0.19900000000000001</v>
      </c>
      <c r="I68" s="1688">
        <f t="shared" ref="I68" si="25">H68</f>
        <v>0.19900000000000001</v>
      </c>
      <c r="J68" s="1688">
        <f t="shared" ref="J68" si="26">I68</f>
        <v>0.19900000000000001</v>
      </c>
      <c r="K68" s="1688">
        <f t="shared" ref="K68" si="27">J68</f>
        <v>0.19900000000000001</v>
      </c>
      <c r="L68" s="1688">
        <f t="shared" ref="L68" si="28">K68</f>
        <v>0.19900000000000001</v>
      </c>
      <c r="M68" s="1688">
        <f t="shared" ref="M68" si="29">L68</f>
        <v>0.19900000000000001</v>
      </c>
      <c r="N68" s="1688">
        <f t="shared" ref="N68" si="30">M68</f>
        <v>0.19900000000000001</v>
      </c>
      <c r="O68" s="1688">
        <f>N68</f>
        <v>0.19900000000000001</v>
      </c>
      <c r="P68" s="1688">
        <f t="shared" ref="P68" si="31">O68</f>
        <v>0.19900000000000001</v>
      </c>
      <c r="Q68" s="1688">
        <f t="shared" ref="Q68" si="32">P68</f>
        <v>0.19900000000000001</v>
      </c>
      <c r="R68" s="1688">
        <f t="shared" ref="R68" si="33">Q68</f>
        <v>0.19900000000000001</v>
      </c>
      <c r="S68" s="1688">
        <f t="shared" ref="S68" si="34">R68</f>
        <v>0.19900000000000001</v>
      </c>
      <c r="T68" s="1688">
        <f t="shared" ref="T68" si="35">S68</f>
        <v>0.19900000000000001</v>
      </c>
      <c r="U68" s="1688">
        <f t="shared" ref="U68" si="36">T68</f>
        <v>0.19900000000000001</v>
      </c>
      <c r="V68" s="1688">
        <f t="shared" ref="V68" si="37">U68</f>
        <v>0.19900000000000001</v>
      </c>
      <c r="W68" s="1688">
        <f t="shared" ref="W68" si="38">V68</f>
        <v>0.19900000000000001</v>
      </c>
      <c r="X68" s="1293"/>
      <c r="Y68" s="1293"/>
      <c r="Z68" s="1653"/>
    </row>
    <row r="69" spans="1:33" ht="15.75">
      <c r="A69" s="1293"/>
      <c r="B69" s="1293" t="s">
        <v>683</v>
      </c>
      <c r="C69" s="1835">
        <v>0</v>
      </c>
      <c r="D69" s="1293"/>
      <c r="E69" s="1293"/>
      <c r="F69" s="1293"/>
      <c r="G69" s="1293"/>
      <c r="H69" s="1293"/>
      <c r="I69" s="1293"/>
      <c r="J69" s="1293"/>
      <c r="K69" s="1293"/>
      <c r="L69" s="1293"/>
      <c r="M69" s="1293"/>
      <c r="N69" s="1293"/>
      <c r="O69" s="1293"/>
      <c r="P69" s="1293"/>
      <c r="Q69" s="1293"/>
      <c r="R69" s="1293"/>
      <c r="S69" s="1293"/>
      <c r="T69" s="1293"/>
      <c r="U69" s="1293"/>
      <c r="V69" s="1293"/>
      <c r="W69" s="1293"/>
      <c r="X69" s="1293"/>
      <c r="Y69" s="1293"/>
      <c r="Z69" s="1653"/>
    </row>
    <row r="70" spans="1:33" ht="15.75">
      <c r="A70" s="1293"/>
      <c r="B70" s="1293"/>
      <c r="C70" s="1293"/>
      <c r="D70" s="1293"/>
      <c r="E70" s="1293"/>
      <c r="F70" s="1293"/>
      <c r="G70" s="1293"/>
      <c r="H70" s="1293"/>
      <c r="I70" s="1293"/>
      <c r="J70" s="1293"/>
      <c r="K70" s="1293"/>
      <c r="L70" s="1293"/>
      <c r="M70" s="1293"/>
      <c r="N70" s="1293"/>
      <c r="O70" s="1293"/>
      <c r="P70" s="1293"/>
      <c r="Q70" s="1293">
        <v>0</v>
      </c>
      <c r="R70" s="1293">
        <v>0</v>
      </c>
      <c r="S70" s="1293">
        <f t="shared" ref="S70" si="39">R70+1</f>
        <v>1</v>
      </c>
      <c r="T70" s="1293">
        <f t="shared" ref="T70" si="40">S70+1</f>
        <v>2</v>
      </c>
      <c r="U70" s="1293">
        <f t="shared" ref="U70" si="41">T70+1</f>
        <v>3</v>
      </c>
      <c r="V70" s="1293">
        <f t="shared" ref="V70" si="42">U70+1</f>
        <v>4</v>
      </c>
      <c r="W70" s="1293">
        <f t="shared" ref="W70" si="43">V70+1</f>
        <v>5</v>
      </c>
      <c r="X70" s="1293"/>
      <c r="Y70" s="1293"/>
      <c r="Z70" s="1653"/>
    </row>
    <row r="71" spans="1:33" ht="15.75">
      <c r="A71" s="1293"/>
      <c r="B71" s="1293" t="s">
        <v>1937</v>
      </c>
      <c r="C71" s="1293"/>
      <c r="D71" s="1707"/>
      <c r="E71" s="1707"/>
      <c r="F71" s="1707"/>
      <c r="G71" s="1707"/>
      <c r="H71" s="1707"/>
      <c r="I71" s="1707"/>
      <c r="J71" s="1707"/>
      <c r="K71" s="1707"/>
      <c r="L71" s="1707"/>
      <c r="M71" s="1707"/>
      <c r="N71" s="1707"/>
      <c r="O71" s="1707"/>
      <c r="P71" s="1707"/>
      <c r="Q71" s="1707">
        <f t="shared" ref="Q71:W71" si="44">1/(1+$C67)^Q70</f>
        <v>1</v>
      </c>
      <c r="R71" s="1707">
        <f t="shared" si="44"/>
        <v>1</v>
      </c>
      <c r="S71" s="1707">
        <f t="shared" si="44"/>
        <v>0.89285714285714279</v>
      </c>
      <c r="T71" s="1707">
        <f t="shared" si="44"/>
        <v>0.79719387755102034</v>
      </c>
      <c r="U71" s="1707">
        <f t="shared" si="44"/>
        <v>0.71178024781341087</v>
      </c>
      <c r="V71" s="1707">
        <f t="shared" si="44"/>
        <v>0.63551807840483121</v>
      </c>
      <c r="W71" s="1707">
        <f t="shared" si="44"/>
        <v>0.56742685571859919</v>
      </c>
      <c r="X71" s="1293"/>
      <c r="Y71" s="1293"/>
      <c r="Z71" s="1653"/>
    </row>
    <row r="72" spans="1:33" ht="15.75">
      <c r="A72" s="1293"/>
      <c r="B72" s="1293" t="s">
        <v>2204</v>
      </c>
      <c r="C72" s="1666"/>
      <c r="D72" s="1666"/>
      <c r="E72" s="1666"/>
      <c r="F72" s="1666"/>
      <c r="G72" s="1666"/>
      <c r="H72" s="1666"/>
      <c r="I72" s="1666"/>
      <c r="J72" s="1666"/>
      <c r="K72" s="1666"/>
      <c r="L72" s="1666"/>
      <c r="M72" s="1666"/>
      <c r="N72" s="1666"/>
      <c r="O72" s="1666"/>
      <c r="P72" s="1666"/>
      <c r="Q72" s="1666">
        <f>'New split'!N454</f>
        <v>144.49503435640813</v>
      </c>
      <c r="R72" s="1666">
        <f>'New split'!O454</f>
        <v>146.35198000000003</v>
      </c>
      <c r="S72" s="1666">
        <f>'New split'!P454</f>
        <v>151.85279580000002</v>
      </c>
      <c r="T72" s="1666">
        <f>'New split'!Q454</f>
        <v>158.82772930200002</v>
      </c>
      <c r="U72" s="1666">
        <f>'New split'!R454</f>
        <v>166.02091902576001</v>
      </c>
      <c r="V72" s="1666">
        <f>'New split'!S454</f>
        <v>177.53527308722403</v>
      </c>
      <c r="W72" s="1666">
        <f>'New split'!T454</f>
        <v>192.22973107505888</v>
      </c>
      <c r="X72" s="1293"/>
      <c r="Y72" s="1293"/>
      <c r="Z72" s="1653"/>
    </row>
    <row r="73" spans="1:33" ht="15.75">
      <c r="A73" s="1293"/>
      <c r="B73" s="1334" t="s">
        <v>1936</v>
      </c>
      <c r="C73" s="1334"/>
      <c r="D73" s="1685"/>
      <c r="E73" s="1685"/>
      <c r="F73" s="1685"/>
      <c r="G73" s="1685"/>
      <c r="H73" s="1685"/>
      <c r="I73" s="1685"/>
      <c r="J73" s="1685"/>
      <c r="K73" s="1685"/>
      <c r="L73" s="1685"/>
      <c r="M73" s="1685"/>
      <c r="N73" s="1713"/>
      <c r="O73" s="1713"/>
      <c r="P73" s="1713"/>
      <c r="Q73" s="1713">
        <f t="shared" ref="Q73:W73" si="45">Q72*(1-Q68)</f>
        <v>115.74052251948289</v>
      </c>
      <c r="R73" s="1713">
        <f t="shared" si="45"/>
        <v>117.22793598000001</v>
      </c>
      <c r="S73" s="1713">
        <f t="shared" si="45"/>
        <v>121.63408943580001</v>
      </c>
      <c r="T73" s="1713">
        <f t="shared" si="45"/>
        <v>127.221011170902</v>
      </c>
      <c r="U73" s="1713">
        <f t="shared" si="45"/>
        <v>132.98275613963375</v>
      </c>
      <c r="V73" s="1713">
        <f t="shared" si="45"/>
        <v>142.20575374286642</v>
      </c>
      <c r="W73" s="1713">
        <f t="shared" si="45"/>
        <v>153.97601459112215</v>
      </c>
      <c r="X73" s="1293"/>
      <c r="Y73" s="1293"/>
      <c r="Z73" s="1653"/>
    </row>
    <row r="74" spans="1:33" ht="15.75">
      <c r="A74" s="1293"/>
      <c r="B74" s="1293"/>
      <c r="C74" s="1293"/>
      <c r="D74" s="1666"/>
      <c r="E74" s="1666"/>
      <c r="F74" s="1666"/>
      <c r="G74" s="1293"/>
      <c r="H74" s="1293"/>
      <c r="I74" s="1293"/>
      <c r="J74" s="1293"/>
      <c r="K74" s="1293"/>
      <c r="L74" s="1293"/>
      <c r="M74" s="1293"/>
      <c r="N74" s="1327"/>
      <c r="O74" s="1327"/>
      <c r="P74" s="1327"/>
      <c r="Q74" s="1327"/>
      <c r="R74" s="1327"/>
      <c r="S74" s="1327"/>
      <c r="T74" s="1327"/>
      <c r="U74" s="1327"/>
      <c r="V74" s="1327"/>
      <c r="W74" s="1327"/>
      <c r="X74" s="1293"/>
      <c r="Y74" s="1293"/>
      <c r="Z74" s="1653"/>
    </row>
    <row r="75" spans="1:33" ht="15.75">
      <c r="A75" s="1293"/>
      <c r="B75" s="1293" t="s">
        <v>684</v>
      </c>
      <c r="C75" s="1293"/>
      <c r="D75" s="1666"/>
      <c r="E75" s="1666"/>
      <c r="F75" s="1666"/>
      <c r="G75" s="1666"/>
      <c r="H75" s="1666"/>
      <c r="I75" s="1666"/>
      <c r="J75" s="1666"/>
      <c r="K75" s="1666"/>
      <c r="L75" s="1666"/>
      <c r="M75" s="1666"/>
      <c r="N75" s="1675"/>
      <c r="O75" s="1675"/>
      <c r="P75" s="1675"/>
      <c r="Q75" s="1675">
        <f t="shared" ref="Q75:W75" si="46">Q73*Q71</f>
        <v>115.74052251948289</v>
      </c>
      <c r="R75" s="1675">
        <f t="shared" si="46"/>
        <v>117.22793598000001</v>
      </c>
      <c r="S75" s="1675">
        <f t="shared" si="46"/>
        <v>108.60186556767857</v>
      </c>
      <c r="T75" s="1675">
        <f t="shared" si="46"/>
        <v>101.41981120129304</v>
      </c>
      <c r="U75" s="1675">
        <f t="shared" si="46"/>
        <v>94.654499119978894</v>
      </c>
      <c r="V75" s="1675">
        <f t="shared" si="46"/>
        <v>90.374327356777101</v>
      </c>
      <c r="W75" s="1675">
        <f t="shared" si="46"/>
        <v>87.37012581552159</v>
      </c>
      <c r="X75" s="1293"/>
      <c r="Y75" s="1293"/>
      <c r="Z75" s="1653"/>
    </row>
    <row r="76" spans="1:33" ht="15.75">
      <c r="A76" s="1293"/>
      <c r="B76" s="1293" t="s">
        <v>685</v>
      </c>
      <c r="C76" s="1293"/>
      <c r="D76" s="1675">
        <f>SUM(S75:W75)</f>
        <v>482.4206290612492</v>
      </c>
      <c r="E76" s="1293"/>
      <c r="F76" s="1293"/>
      <c r="G76" s="1293"/>
      <c r="H76" s="1293"/>
      <c r="I76" s="1293"/>
      <c r="J76" s="1293"/>
      <c r="K76" s="1293"/>
      <c r="L76" s="1653"/>
      <c r="M76" s="1666"/>
      <c r="N76" s="1666"/>
      <c r="O76" s="1666"/>
      <c r="P76" s="1666"/>
      <c r="Q76" s="1666"/>
      <c r="R76" s="1666"/>
      <c r="S76" s="1293"/>
      <c r="T76" s="1293"/>
      <c r="U76" s="1293"/>
      <c r="V76" s="1293"/>
      <c r="W76" s="1293"/>
      <c r="X76" s="1293"/>
      <c r="Y76" s="1293"/>
      <c r="Z76" s="1653"/>
    </row>
    <row r="77" spans="1:33" ht="15.75">
      <c r="A77" s="1293"/>
      <c r="B77" s="1293" t="s">
        <v>2203</v>
      </c>
      <c r="C77" s="1293"/>
      <c r="D77" s="1705">
        <f>W75/(C67-C69)</f>
        <v>728.0843817960133</v>
      </c>
      <c r="E77" s="1293"/>
      <c r="F77" s="1293"/>
      <c r="G77" s="1293"/>
      <c r="H77" s="1293"/>
      <c r="I77" s="1293"/>
      <c r="J77" s="1293"/>
      <c r="K77" s="1293"/>
      <c r="L77" s="1666"/>
      <c r="M77" s="1666"/>
      <c r="N77" s="1666"/>
      <c r="O77" s="1666"/>
      <c r="P77" s="1666"/>
      <c r="Q77" s="1666"/>
      <c r="R77" s="1666"/>
      <c r="S77" s="1293"/>
      <c r="T77" s="1293"/>
      <c r="U77" s="1293"/>
      <c r="V77" s="1293"/>
      <c r="W77" s="1293"/>
      <c r="X77" s="1293"/>
      <c r="Y77" s="1293"/>
      <c r="Z77" s="1653"/>
      <c r="AA77" s="1653"/>
      <c r="AB77" s="1653"/>
      <c r="AC77" s="1293"/>
      <c r="AD77" s="1293"/>
      <c r="AE77" s="1293"/>
      <c r="AF77" s="1293"/>
      <c r="AG77" s="1293"/>
    </row>
    <row r="78" spans="1:33" ht="15.75">
      <c r="A78" s="1293"/>
      <c r="B78" s="1334" t="s">
        <v>2205</v>
      </c>
      <c r="C78" s="1334"/>
      <c r="D78" s="1713">
        <f>SUM(D76:D77)</f>
        <v>1210.5050108572625</v>
      </c>
      <c r="E78" s="1293" t="s">
        <v>1823</v>
      </c>
      <c r="F78" s="1293"/>
      <c r="G78" s="1293"/>
      <c r="H78" s="1293"/>
      <c r="I78" s="1293"/>
      <c r="J78" s="1293"/>
      <c r="K78" s="1293"/>
      <c r="L78" s="1666"/>
      <c r="M78" s="1666"/>
      <c r="N78" s="1666"/>
      <c r="O78" s="1666"/>
      <c r="P78" s="1666"/>
      <c r="Q78" s="1666"/>
      <c r="R78" s="1666"/>
      <c r="S78" s="1293"/>
      <c r="T78" s="1293"/>
      <c r="U78" s="1293"/>
      <c r="V78" s="1293"/>
      <c r="W78" s="1293"/>
      <c r="X78" s="1293"/>
      <c r="Y78" s="1293"/>
      <c r="Z78" s="1653"/>
      <c r="AA78" s="1653"/>
      <c r="AB78" s="1653"/>
      <c r="AC78" s="1293"/>
      <c r="AD78" s="1293"/>
      <c r="AE78" s="1293"/>
      <c r="AF78" s="1293"/>
      <c r="AG78" s="1293"/>
    </row>
    <row r="79" spans="1:33" ht="15.75">
      <c r="A79" s="1293"/>
      <c r="B79" s="1293"/>
      <c r="C79" s="1293"/>
      <c r="D79" s="1293"/>
      <c r="E79" s="1293"/>
      <c r="F79" s="1293"/>
      <c r="G79" s="1293"/>
      <c r="H79" s="1293"/>
      <c r="I79" s="1293"/>
      <c r="J79" s="1293"/>
      <c r="K79" s="1293"/>
      <c r="L79" s="1653"/>
      <c r="M79" s="1653"/>
      <c r="N79" s="1653"/>
      <c r="O79" s="1653"/>
      <c r="P79" s="1653"/>
      <c r="Q79" s="1653"/>
      <c r="R79" s="1653"/>
      <c r="S79" s="1293"/>
      <c r="T79" s="1293"/>
      <c r="U79" s="1293"/>
      <c r="V79" s="1293"/>
      <c r="W79" s="1293"/>
      <c r="X79" s="1293"/>
      <c r="Y79" s="1293"/>
      <c r="Z79" s="1653"/>
      <c r="AA79" s="1653"/>
      <c r="AB79" s="1653"/>
      <c r="AC79" s="1293"/>
      <c r="AD79" s="1293"/>
      <c r="AE79" s="1293"/>
      <c r="AF79" s="1293"/>
      <c r="AG79" s="1293"/>
    </row>
    <row r="80" spans="1:33" ht="15.75">
      <c r="A80" s="1293"/>
      <c r="B80" s="1293"/>
      <c r="C80" s="1293"/>
      <c r="D80" s="1293"/>
      <c r="E80" s="1293"/>
      <c r="F80" s="1293"/>
      <c r="G80" s="1293"/>
      <c r="H80" s="1293"/>
      <c r="I80" s="1293"/>
      <c r="J80" s="1293"/>
      <c r="K80" s="1293"/>
      <c r="L80" s="1653"/>
      <c r="M80" s="1653"/>
      <c r="N80" s="1653"/>
      <c r="O80" s="1653"/>
      <c r="P80" s="1653"/>
      <c r="Q80" s="1653"/>
      <c r="R80" s="1653"/>
      <c r="S80" s="1293"/>
      <c r="T80" s="1293"/>
      <c r="U80" s="1293"/>
      <c r="V80" s="1293"/>
      <c r="W80" s="1293"/>
      <c r="X80" s="1293"/>
      <c r="Y80" s="1293"/>
      <c r="Z80" s="1653"/>
      <c r="AA80" s="1653"/>
      <c r="AB80" s="1653"/>
      <c r="AC80" s="1293"/>
      <c r="AD80" s="1293"/>
      <c r="AE80" s="1293"/>
      <c r="AF80" s="1293"/>
      <c r="AG80" s="1293"/>
    </row>
    <row r="81" spans="1:33" ht="15.75">
      <c r="A81" s="1293"/>
      <c r="B81" s="1832" t="s">
        <v>2032</v>
      </c>
      <c r="C81" s="1833"/>
      <c r="D81" s="1833"/>
      <c r="E81" s="1833"/>
      <c r="F81" s="1834"/>
      <c r="G81" s="1834">
        <v>2014</v>
      </c>
      <c r="H81" s="1834">
        <v>2015</v>
      </c>
      <c r="I81" s="1834">
        <v>2016</v>
      </c>
      <c r="J81" s="1834">
        <v>2017</v>
      </c>
      <c r="K81" s="1834">
        <v>2018</v>
      </c>
      <c r="L81" s="1834">
        <v>2019</v>
      </c>
      <c r="M81" s="1834">
        <v>2020</v>
      </c>
      <c r="N81" s="1834">
        <v>2021</v>
      </c>
      <c r="O81" s="1834">
        <v>2022</v>
      </c>
      <c r="P81" s="1834">
        <v>2023</v>
      </c>
      <c r="Q81" s="1834">
        <v>2024</v>
      </c>
      <c r="R81" s="1834">
        <v>2025</v>
      </c>
      <c r="S81" s="1834">
        <v>2026</v>
      </c>
      <c r="T81" s="1834">
        <v>2027</v>
      </c>
      <c r="U81" s="1834">
        <v>2028</v>
      </c>
      <c r="V81" s="1834">
        <v>2029</v>
      </c>
      <c r="W81" s="1834">
        <v>2030</v>
      </c>
      <c r="X81" s="1293"/>
      <c r="Y81" s="1293"/>
      <c r="Z81" s="1653"/>
      <c r="AA81" s="1653"/>
      <c r="AB81" s="1653"/>
      <c r="AC81" s="1293"/>
      <c r="AD81" s="1293"/>
      <c r="AE81" s="1293"/>
      <c r="AF81" s="1293"/>
      <c r="AG81" s="1293"/>
    </row>
    <row r="82" spans="1:33" ht="15.75">
      <c r="A82" s="1293"/>
      <c r="B82" s="1293" t="s">
        <v>1938</v>
      </c>
      <c r="C82" s="1835">
        <v>0.09</v>
      </c>
      <c r="D82" s="1666"/>
      <c r="E82" s="1666"/>
      <c r="F82" s="1293"/>
      <c r="G82" s="1293"/>
      <c r="H82" s="1293"/>
      <c r="I82" s="1293"/>
      <c r="J82" s="1293"/>
      <c r="K82" s="1293"/>
      <c r="L82" s="1293"/>
      <c r="M82" s="1293"/>
      <c r="N82" s="1293"/>
      <c r="O82" s="1293"/>
      <c r="P82" s="1293"/>
      <c r="Q82" s="1293"/>
      <c r="R82" s="1293"/>
      <c r="S82" s="1293"/>
      <c r="T82" s="1293"/>
      <c r="U82" s="1293"/>
      <c r="V82" s="1293"/>
      <c r="W82" s="1293"/>
      <c r="X82" s="1293"/>
      <c r="Y82" s="1293"/>
      <c r="Z82" s="1653"/>
      <c r="AA82" s="1653"/>
      <c r="AB82" s="1653"/>
      <c r="AC82" s="1293"/>
      <c r="AD82" s="1293"/>
      <c r="AE82" s="1293"/>
      <c r="AF82" s="1293"/>
      <c r="AG82" s="1293"/>
    </row>
    <row r="83" spans="1:33" ht="15.75">
      <c r="A83" s="1293"/>
      <c r="B83" s="1293" t="s">
        <v>682</v>
      </c>
      <c r="C83" s="1836">
        <v>0.25</v>
      </c>
      <c r="D83" s="1293"/>
      <c r="E83" s="1293"/>
      <c r="F83" s="1293"/>
      <c r="G83" s="1688">
        <f>C83</f>
        <v>0.25</v>
      </c>
      <c r="H83" s="1688">
        <f t="shared" ref="H83" si="47">G83</f>
        <v>0.25</v>
      </c>
      <c r="I83" s="1688">
        <f t="shared" ref="I83" si="48">H83</f>
        <v>0.25</v>
      </c>
      <c r="J83" s="1688">
        <f t="shared" ref="J83" si="49">I83</f>
        <v>0.25</v>
      </c>
      <c r="K83" s="1688">
        <f t="shared" ref="K83" si="50">J83</f>
        <v>0.25</v>
      </c>
      <c r="L83" s="1688">
        <f t="shared" ref="L83" si="51">K83</f>
        <v>0.25</v>
      </c>
      <c r="M83" s="1688">
        <f t="shared" ref="M83" si="52">L83</f>
        <v>0.25</v>
      </c>
      <c r="N83" s="1688">
        <f t="shared" ref="N83" si="53">M83</f>
        <v>0.25</v>
      </c>
      <c r="O83" s="1688">
        <f>N83</f>
        <v>0.25</v>
      </c>
      <c r="P83" s="1688">
        <f t="shared" ref="P83" si="54">O83</f>
        <v>0.25</v>
      </c>
      <c r="Q83" s="1688">
        <f t="shared" ref="Q83" si="55">P83</f>
        <v>0.25</v>
      </c>
      <c r="R83" s="1688">
        <f t="shared" ref="R83" si="56">Q83</f>
        <v>0.25</v>
      </c>
      <c r="S83" s="1688">
        <f t="shared" ref="S83" si="57">R83</f>
        <v>0.25</v>
      </c>
      <c r="T83" s="1688">
        <f t="shared" ref="T83" si="58">S83</f>
        <v>0.25</v>
      </c>
      <c r="U83" s="1688">
        <f t="shared" ref="U83" si="59">T83</f>
        <v>0.25</v>
      </c>
      <c r="V83" s="1688">
        <f t="shared" ref="V83" si="60">U83</f>
        <v>0.25</v>
      </c>
      <c r="W83" s="1688">
        <f t="shared" ref="W83" si="61">V83</f>
        <v>0.25</v>
      </c>
      <c r="X83" s="1293"/>
      <c r="Y83" s="1293"/>
      <c r="Z83" s="1653"/>
      <c r="AA83" s="1653"/>
      <c r="AB83" s="1653"/>
      <c r="AC83" s="1293"/>
      <c r="AD83" s="1293"/>
      <c r="AE83" s="1293"/>
      <c r="AF83" s="1293"/>
      <c r="AG83" s="1293"/>
    </row>
    <row r="84" spans="1:33" ht="15.75">
      <c r="A84" s="1293"/>
      <c r="B84" s="1293" t="s">
        <v>683</v>
      </c>
      <c r="C84" s="1835">
        <v>0</v>
      </c>
      <c r="D84" s="1293"/>
      <c r="E84" s="1293"/>
      <c r="F84" s="1293"/>
      <c r="G84" s="1293"/>
      <c r="H84" s="1293"/>
      <c r="I84" s="1293"/>
      <c r="J84" s="1293"/>
      <c r="K84" s="1293"/>
      <c r="L84" s="1293"/>
      <c r="M84" s="1293"/>
      <c r="N84" s="1293"/>
      <c r="O84" s="1293"/>
      <c r="P84" s="1293"/>
      <c r="Q84" s="1293"/>
      <c r="R84" s="1293"/>
      <c r="S84" s="1293"/>
      <c r="T84" s="1293"/>
      <c r="U84" s="1293"/>
      <c r="V84" s="1293"/>
      <c r="W84" s="1293"/>
      <c r="X84" s="1293"/>
      <c r="Y84" s="1293"/>
      <c r="Z84" s="1653"/>
      <c r="AA84" s="1653"/>
      <c r="AB84" s="1653"/>
      <c r="AC84" s="1293"/>
      <c r="AD84" s="1293"/>
      <c r="AE84" s="1293"/>
      <c r="AF84" s="1293"/>
      <c r="AG84" s="1293"/>
    </row>
    <row r="85" spans="1:33" ht="15.75">
      <c r="A85" s="1293"/>
      <c r="B85" s="1293"/>
      <c r="C85" s="1293"/>
      <c r="D85" s="1293"/>
      <c r="E85" s="1293"/>
      <c r="F85" s="1293"/>
      <c r="G85" s="1293"/>
      <c r="H85" s="1293"/>
      <c r="I85" s="1293"/>
      <c r="J85" s="1293"/>
      <c r="K85" s="1293"/>
      <c r="L85" s="1293"/>
      <c r="M85" s="1293"/>
      <c r="N85" s="1293"/>
      <c r="O85" s="1293"/>
      <c r="P85" s="1293"/>
      <c r="Q85" s="1293">
        <v>0</v>
      </c>
      <c r="R85" s="1293">
        <v>0</v>
      </c>
      <c r="S85" s="1293">
        <f t="shared" ref="S85" si="62">R85+1</f>
        <v>1</v>
      </c>
      <c r="T85" s="1293">
        <f t="shared" ref="T85" si="63">S85+1</f>
        <v>2</v>
      </c>
      <c r="U85" s="1293">
        <f t="shared" ref="U85" si="64">T85+1</f>
        <v>3</v>
      </c>
      <c r="V85" s="1293">
        <f t="shared" ref="V85" si="65">U85+1</f>
        <v>4</v>
      </c>
      <c r="W85" s="1293">
        <f t="shared" ref="W85" si="66">V85+1</f>
        <v>5</v>
      </c>
      <c r="X85" s="1293"/>
      <c r="Y85" s="1293"/>
      <c r="Z85" s="1653"/>
      <c r="AA85" s="1653"/>
      <c r="AB85" s="1653"/>
      <c r="AC85" s="1293"/>
      <c r="AD85" s="1293"/>
      <c r="AE85" s="1293"/>
      <c r="AF85" s="1293"/>
      <c r="AG85" s="1293"/>
    </row>
    <row r="86" spans="1:33" ht="15.75">
      <c r="A86" s="1293"/>
      <c r="B86" s="1293" t="s">
        <v>1937</v>
      </c>
      <c r="C86" s="1293"/>
      <c r="D86" s="1707"/>
      <c r="E86" s="1707"/>
      <c r="F86" s="1707"/>
      <c r="G86" s="1707"/>
      <c r="H86" s="1707"/>
      <c r="I86" s="1707"/>
      <c r="J86" s="1707"/>
      <c r="K86" s="1707"/>
      <c r="L86" s="1707"/>
      <c r="M86" s="1707"/>
      <c r="N86" s="1707"/>
      <c r="O86" s="1707"/>
      <c r="P86" s="1707"/>
      <c r="Q86" s="1707">
        <f t="shared" ref="Q86:W86" si="67">1/(1+$C82)^Q85</f>
        <v>1</v>
      </c>
      <c r="R86" s="1707">
        <f t="shared" si="67"/>
        <v>1</v>
      </c>
      <c r="S86" s="1707">
        <f t="shared" si="67"/>
        <v>0.9174311926605504</v>
      </c>
      <c r="T86" s="1707">
        <f t="shared" si="67"/>
        <v>0.84167999326655996</v>
      </c>
      <c r="U86" s="1707">
        <f t="shared" si="67"/>
        <v>0.77218348006106419</v>
      </c>
      <c r="V86" s="1707">
        <f t="shared" si="67"/>
        <v>0.7084252110651964</v>
      </c>
      <c r="W86" s="1707">
        <f t="shared" si="67"/>
        <v>0.64993138629834524</v>
      </c>
      <c r="X86" s="1293"/>
      <c r="Y86" s="1293"/>
      <c r="Z86" s="1653"/>
      <c r="AA86" s="1653"/>
      <c r="AB86" s="1653"/>
      <c r="AC86" s="1293"/>
      <c r="AD86" s="1293"/>
      <c r="AE86" s="1293"/>
      <c r="AF86" s="1293"/>
      <c r="AG86" s="1293"/>
    </row>
    <row r="87" spans="1:33" ht="15.75">
      <c r="A87" s="1293"/>
      <c r="B87" s="1293" t="s">
        <v>2204</v>
      </c>
      <c r="C87" s="1666"/>
      <c r="D87" s="1666"/>
      <c r="E87" s="1666"/>
      <c r="F87" s="1666"/>
      <c r="G87" s="1666"/>
      <c r="H87" s="1666"/>
      <c r="I87" s="1666"/>
      <c r="J87" s="1666"/>
      <c r="K87" s="1666"/>
      <c r="L87" s="1666"/>
      <c r="M87" s="1666"/>
      <c r="N87" s="1666"/>
      <c r="O87" s="1666"/>
      <c r="P87" s="1666"/>
      <c r="Q87" s="1666">
        <f>'New split'!N457</f>
        <v>257.94280000000003</v>
      </c>
      <c r="R87" s="1666">
        <f>'New split'!O457</f>
        <v>267.60662200000002</v>
      </c>
      <c r="S87" s="1666">
        <f>'New split'!P457</f>
        <v>288.79571214000003</v>
      </c>
      <c r="T87" s="1666">
        <f>'New split'!Q457</f>
        <v>306.32974679520004</v>
      </c>
      <c r="U87" s="1666">
        <f>'New split'!R457</f>
        <v>321.86189021028605</v>
      </c>
      <c r="V87" s="1666">
        <f>'New split'!S457</f>
        <v>337.3631009433949</v>
      </c>
      <c r="W87" s="1666">
        <f>'New split'!T457</f>
        <v>351.95412459751992</v>
      </c>
      <c r="X87" s="1293"/>
      <c r="Y87" s="1293"/>
      <c r="Z87" s="1653"/>
      <c r="AA87" s="1653"/>
      <c r="AB87" s="1653"/>
      <c r="AC87" s="1293"/>
      <c r="AD87" s="1293"/>
      <c r="AE87" s="1293"/>
      <c r="AF87" s="1293"/>
      <c r="AG87" s="1293"/>
    </row>
    <row r="88" spans="1:33" ht="15.75">
      <c r="A88" s="1293"/>
      <c r="B88" s="1334" t="s">
        <v>1936</v>
      </c>
      <c r="C88" s="1334"/>
      <c r="D88" s="1685"/>
      <c r="E88" s="1685"/>
      <c r="F88" s="1685"/>
      <c r="G88" s="1685"/>
      <c r="H88" s="1685"/>
      <c r="I88" s="1685"/>
      <c r="J88" s="1685"/>
      <c r="K88" s="1685"/>
      <c r="L88" s="1685"/>
      <c r="M88" s="1685"/>
      <c r="N88" s="1713"/>
      <c r="O88" s="1713"/>
      <c r="P88" s="1713"/>
      <c r="Q88" s="1713">
        <f t="shared" ref="Q88:W88" si="68">Q87*(1-Q83)</f>
        <v>193.45710000000003</v>
      </c>
      <c r="R88" s="1713">
        <f t="shared" si="68"/>
        <v>200.70496650000001</v>
      </c>
      <c r="S88" s="1713">
        <f t="shared" si="68"/>
        <v>216.59678410500004</v>
      </c>
      <c r="T88" s="1713">
        <f t="shared" si="68"/>
        <v>229.74731009640004</v>
      </c>
      <c r="U88" s="1713">
        <f t="shared" si="68"/>
        <v>241.39641765771455</v>
      </c>
      <c r="V88" s="1713">
        <f t="shared" si="68"/>
        <v>253.02232570754617</v>
      </c>
      <c r="W88" s="1713">
        <f t="shared" si="68"/>
        <v>263.96559344813994</v>
      </c>
      <c r="X88" s="1293"/>
      <c r="Y88" s="1293"/>
      <c r="Z88" s="1653"/>
      <c r="AA88" s="1653"/>
      <c r="AB88" s="1653"/>
      <c r="AC88" s="1293"/>
      <c r="AD88" s="1293"/>
      <c r="AE88" s="1293"/>
      <c r="AF88" s="1293"/>
      <c r="AG88" s="1293"/>
    </row>
    <row r="89" spans="1:33" ht="15.75">
      <c r="A89" s="1293"/>
      <c r="B89" s="1293"/>
      <c r="C89" s="1293"/>
      <c r="D89" s="1666"/>
      <c r="E89" s="1666"/>
      <c r="F89" s="1666"/>
      <c r="G89" s="1293"/>
      <c r="H89" s="1293"/>
      <c r="I89" s="1293"/>
      <c r="J89" s="1293"/>
      <c r="K89" s="1293"/>
      <c r="L89" s="1293"/>
      <c r="M89" s="1293"/>
      <c r="N89" s="1327"/>
      <c r="O89" s="1327"/>
      <c r="P89" s="1327"/>
      <c r="Q89" s="1327"/>
      <c r="R89" s="1327"/>
      <c r="S89" s="1327"/>
      <c r="T89" s="1327"/>
      <c r="U89" s="1327"/>
      <c r="V89" s="1327"/>
      <c r="W89" s="1327"/>
      <c r="X89" s="1293"/>
      <c r="Y89" s="1293"/>
      <c r="Z89" s="1653"/>
      <c r="AA89" s="1653"/>
      <c r="AB89" s="1653"/>
      <c r="AC89" s="1293"/>
      <c r="AD89" s="1293"/>
      <c r="AE89" s="1293"/>
      <c r="AF89" s="1293"/>
      <c r="AG89" s="1293"/>
    </row>
    <row r="90" spans="1:33" ht="15.75">
      <c r="A90" s="1293"/>
      <c r="B90" s="1293" t="s">
        <v>684</v>
      </c>
      <c r="C90" s="1293"/>
      <c r="D90" s="1666"/>
      <c r="E90" s="1666"/>
      <c r="F90" s="1666"/>
      <c r="G90" s="1666"/>
      <c r="H90" s="1666"/>
      <c r="I90" s="1666"/>
      <c r="J90" s="1666"/>
      <c r="K90" s="1666"/>
      <c r="L90" s="1666"/>
      <c r="M90" s="1666"/>
      <c r="N90" s="1675"/>
      <c r="O90" s="1675"/>
      <c r="P90" s="1675"/>
      <c r="Q90" s="1675">
        <f t="shared" ref="Q90:W90" si="69">Q88*Q86</f>
        <v>193.45710000000003</v>
      </c>
      <c r="R90" s="1675">
        <f t="shared" si="69"/>
        <v>200.70496650000001</v>
      </c>
      <c r="S90" s="1675">
        <f t="shared" si="69"/>
        <v>198.71264596788993</v>
      </c>
      <c r="T90" s="1675">
        <f t="shared" si="69"/>
        <v>193.37371441494824</v>
      </c>
      <c r="U90" s="1675">
        <f t="shared" si="69"/>
        <v>186.40232586120814</v>
      </c>
      <c r="V90" s="1675">
        <f t="shared" si="69"/>
        <v>179.24739449357526</v>
      </c>
      <c r="W90" s="1675">
        <f t="shared" si="69"/>
        <v>171.559524084815</v>
      </c>
      <c r="X90" s="1293"/>
      <c r="Y90" s="1293"/>
      <c r="Z90" s="1653"/>
      <c r="AA90" s="1653"/>
      <c r="AB90" s="1653"/>
      <c r="AC90" s="1293"/>
      <c r="AD90" s="1293"/>
      <c r="AE90" s="1293"/>
      <c r="AF90" s="1293"/>
      <c r="AG90" s="1293"/>
    </row>
    <row r="91" spans="1:33" ht="15.75">
      <c r="A91" s="1293"/>
      <c r="B91" s="1293" t="s">
        <v>685</v>
      </c>
      <c r="C91" s="1293"/>
      <c r="D91" s="1675">
        <f>SUM(S90:W90)</f>
        <v>929.29560482243664</v>
      </c>
      <c r="E91" s="1293"/>
      <c r="F91" s="1293"/>
      <c r="G91" s="1293"/>
      <c r="H91" s="1293"/>
      <c r="I91" s="1293"/>
      <c r="J91" s="1293"/>
      <c r="K91" s="1293"/>
      <c r="L91" s="1653"/>
      <c r="M91" s="1666"/>
      <c r="N91" s="1666"/>
      <c r="O91" s="1666"/>
      <c r="P91" s="1666"/>
      <c r="Q91" s="1666"/>
      <c r="R91" s="1666"/>
      <c r="S91" s="1293"/>
      <c r="T91" s="1293"/>
      <c r="U91" s="1293"/>
      <c r="V91" s="1293"/>
      <c r="W91" s="1293"/>
      <c r="X91" s="1293"/>
      <c r="Y91" s="1293"/>
      <c r="Z91" s="1653"/>
      <c r="AA91" s="1653"/>
      <c r="AB91" s="1653"/>
      <c r="AC91" s="1293"/>
      <c r="AD91" s="1293"/>
      <c r="AE91" s="1293"/>
      <c r="AF91" s="1293"/>
      <c r="AG91" s="1293"/>
    </row>
    <row r="92" spans="1:33" ht="15.75">
      <c r="A92" s="1293"/>
      <c r="B92" s="1293" t="s">
        <v>2203</v>
      </c>
      <c r="C92" s="1293"/>
      <c r="D92" s="1705">
        <f>W90/(C82-C84)</f>
        <v>1906.2169342757222</v>
      </c>
      <c r="E92" s="1293"/>
      <c r="F92" s="1293"/>
      <c r="G92" s="1293"/>
      <c r="H92" s="1293"/>
      <c r="I92" s="1293"/>
      <c r="J92" s="1293"/>
      <c r="K92" s="1293"/>
      <c r="L92" s="1666"/>
      <c r="M92" s="1666"/>
      <c r="N92" s="1666"/>
      <c r="O92" s="1666"/>
      <c r="P92" s="1666"/>
      <c r="Q92" s="1666"/>
      <c r="R92" s="1666"/>
      <c r="S92" s="1293"/>
      <c r="T92" s="1293"/>
      <c r="U92" s="1293"/>
      <c r="V92" s="1293"/>
      <c r="W92" s="1293"/>
      <c r="X92" s="1293"/>
      <c r="Y92" s="1293"/>
      <c r="Z92" s="1653"/>
      <c r="AA92" s="1653"/>
      <c r="AB92" s="1653"/>
      <c r="AC92" s="1293"/>
      <c r="AD92" s="1293"/>
      <c r="AE92" s="1293"/>
      <c r="AF92" s="1293"/>
      <c r="AG92" s="1293"/>
    </row>
    <row r="93" spans="1:33" ht="15.75">
      <c r="A93" s="1293"/>
      <c r="B93" s="1334" t="s">
        <v>2205</v>
      </c>
      <c r="C93" s="1334"/>
      <c r="D93" s="1713">
        <f>SUM(D91:D92)</f>
        <v>2835.5125390981589</v>
      </c>
      <c r="E93" s="1293" t="s">
        <v>1823</v>
      </c>
      <c r="F93" s="1293"/>
      <c r="G93" s="1293"/>
      <c r="H93" s="1293"/>
      <c r="I93" s="1293"/>
      <c r="J93" s="1293"/>
      <c r="K93" s="1293"/>
      <c r="L93" s="1666"/>
      <c r="M93" s="1666"/>
      <c r="N93" s="1666"/>
      <c r="O93" s="1666"/>
      <c r="P93" s="1666"/>
      <c r="Q93" s="1666"/>
      <c r="R93" s="1666"/>
      <c r="S93" s="1293"/>
      <c r="T93" s="1293"/>
      <c r="U93" s="1293"/>
      <c r="V93" s="1293"/>
      <c r="W93" s="1293"/>
      <c r="X93" s="1293"/>
      <c r="Y93" s="1293"/>
      <c r="Z93" s="1653"/>
      <c r="AA93" s="1653"/>
      <c r="AB93" s="1653"/>
      <c r="AC93" s="1293"/>
      <c r="AD93" s="1293"/>
      <c r="AE93" s="1293"/>
      <c r="AF93" s="1293"/>
      <c r="AG93" s="1293"/>
    </row>
    <row r="94" spans="1:33" ht="15.75">
      <c r="A94" s="1293"/>
      <c r="B94" s="1293"/>
      <c r="C94" s="1293"/>
      <c r="D94" s="1293"/>
      <c r="E94" s="1293"/>
      <c r="F94" s="1293"/>
      <c r="G94" s="1293"/>
      <c r="H94" s="1293"/>
      <c r="I94" s="1293"/>
      <c r="J94" s="1293"/>
      <c r="K94" s="1293"/>
      <c r="L94" s="1653"/>
      <c r="M94" s="1653"/>
      <c r="N94" s="1653"/>
      <c r="O94" s="1653"/>
      <c r="P94" s="1653"/>
      <c r="Q94" s="1653"/>
      <c r="R94" s="1653"/>
      <c r="S94" s="1293"/>
      <c r="T94" s="1293"/>
      <c r="U94" s="1293"/>
      <c r="V94" s="1293"/>
      <c r="W94" s="1293"/>
      <c r="X94" s="1293"/>
      <c r="Y94" s="1293"/>
      <c r="Z94" s="1653"/>
      <c r="AA94" s="1653"/>
      <c r="AB94" s="1653"/>
      <c r="AC94" s="1293"/>
      <c r="AD94" s="1293"/>
      <c r="AE94" s="1293"/>
      <c r="AF94" s="1293"/>
      <c r="AG94" s="1293"/>
    </row>
    <row r="95" spans="1:33" ht="15.75">
      <c r="A95" s="1293"/>
      <c r="B95" s="1293"/>
      <c r="C95" s="1293"/>
      <c r="D95" s="1293"/>
      <c r="E95" s="1293"/>
      <c r="F95" s="1293"/>
      <c r="G95" s="1293"/>
      <c r="H95" s="1293"/>
      <c r="I95" s="1293"/>
      <c r="J95" s="1293"/>
      <c r="K95" s="1293"/>
      <c r="L95" s="1653"/>
      <c r="M95" s="1653"/>
      <c r="N95" s="1653"/>
      <c r="O95" s="1653"/>
      <c r="P95" s="1653"/>
      <c r="Q95" s="1653"/>
      <c r="R95" s="1653"/>
      <c r="S95" s="1293"/>
      <c r="T95" s="1293"/>
      <c r="U95" s="1293"/>
      <c r="V95" s="1293"/>
      <c r="W95" s="1293"/>
      <c r="X95" s="1293"/>
      <c r="Y95" s="1293"/>
      <c r="Z95" s="1653"/>
      <c r="AA95" s="1653"/>
      <c r="AB95" s="1653"/>
      <c r="AC95" s="1293"/>
      <c r="AD95" s="1293"/>
      <c r="AE95" s="1293"/>
      <c r="AF95" s="1293"/>
      <c r="AG95" s="1293"/>
    </row>
    <row r="96" spans="1:33" ht="15.75">
      <c r="A96" s="1293"/>
      <c r="B96" s="1832" t="s">
        <v>2172</v>
      </c>
      <c r="C96" s="1833"/>
      <c r="D96" s="1833"/>
      <c r="E96" s="1833"/>
      <c r="F96" s="1834"/>
      <c r="G96" s="1834">
        <v>2014</v>
      </c>
      <c r="H96" s="1834">
        <v>2015</v>
      </c>
      <c r="I96" s="1834">
        <v>2016</v>
      </c>
      <c r="J96" s="1834">
        <v>2017</v>
      </c>
      <c r="K96" s="1834">
        <v>2018</v>
      </c>
      <c r="L96" s="1834">
        <v>2019</v>
      </c>
      <c r="M96" s="1834">
        <v>2020</v>
      </c>
      <c r="N96" s="1834">
        <v>2021</v>
      </c>
      <c r="O96" s="1834">
        <v>2022</v>
      </c>
      <c r="P96" s="1834">
        <v>2023</v>
      </c>
      <c r="Q96" s="1834">
        <v>2024</v>
      </c>
      <c r="R96" s="1834">
        <v>2025</v>
      </c>
      <c r="S96" s="1834">
        <v>2026</v>
      </c>
      <c r="T96" s="1834">
        <v>2027</v>
      </c>
      <c r="U96" s="1834">
        <v>2028</v>
      </c>
      <c r="V96" s="1834">
        <v>2029</v>
      </c>
      <c r="W96" s="1834">
        <v>2030</v>
      </c>
      <c r="X96" s="1293"/>
      <c r="Y96" s="1293"/>
      <c r="Z96" s="1653"/>
      <c r="AA96" s="1653"/>
      <c r="AB96" s="1653"/>
      <c r="AC96" s="1293"/>
      <c r="AD96" s="1293"/>
      <c r="AE96" s="1293"/>
      <c r="AF96" s="1293"/>
      <c r="AG96" s="1293"/>
    </row>
    <row r="97" spans="1:33" ht="15.75">
      <c r="A97" s="1293"/>
      <c r="B97" s="1293" t="s">
        <v>1938</v>
      </c>
      <c r="C97" s="1835">
        <v>0.115</v>
      </c>
      <c r="D97" s="1666"/>
      <c r="E97" s="1666"/>
      <c r="F97" s="1293"/>
      <c r="G97" s="1293"/>
      <c r="H97" s="1293"/>
      <c r="I97" s="1293"/>
      <c r="J97" s="1293"/>
      <c r="K97" s="1293"/>
      <c r="L97" s="1293"/>
      <c r="M97" s="1293"/>
      <c r="N97" s="1293"/>
      <c r="O97" s="1293"/>
      <c r="P97" s="1293"/>
      <c r="Q97" s="1293"/>
      <c r="R97" s="1293"/>
      <c r="S97" s="1293"/>
      <c r="T97" s="1293"/>
      <c r="U97" s="1293"/>
      <c r="V97" s="1293"/>
      <c r="W97" s="1293"/>
      <c r="X97" s="1293"/>
      <c r="Y97" s="1293"/>
      <c r="Z97" s="1653"/>
      <c r="AA97" s="1653"/>
      <c r="AB97" s="1653"/>
      <c r="AC97" s="1293"/>
      <c r="AD97" s="1293"/>
      <c r="AE97" s="1293"/>
      <c r="AF97" s="1293"/>
      <c r="AG97" s="1293"/>
    </row>
    <row r="98" spans="1:33" ht="15.75">
      <c r="A98" s="1293"/>
      <c r="B98" s="1293" t="s">
        <v>682</v>
      </c>
      <c r="C98" s="1836">
        <v>0.19900000000000001</v>
      </c>
      <c r="D98" s="1293"/>
      <c r="E98" s="1293"/>
      <c r="F98" s="1293"/>
      <c r="G98" s="1688">
        <f>C98</f>
        <v>0.19900000000000001</v>
      </c>
      <c r="H98" s="1688">
        <f t="shared" ref="H98" si="70">G98</f>
        <v>0.19900000000000001</v>
      </c>
      <c r="I98" s="1688">
        <f t="shared" ref="I98" si="71">H98</f>
        <v>0.19900000000000001</v>
      </c>
      <c r="J98" s="1688">
        <f t="shared" ref="J98" si="72">I98</f>
        <v>0.19900000000000001</v>
      </c>
      <c r="K98" s="1688">
        <f t="shared" ref="K98" si="73">J98</f>
        <v>0.19900000000000001</v>
      </c>
      <c r="L98" s="1688">
        <f t="shared" ref="L98" si="74">K98</f>
        <v>0.19900000000000001</v>
      </c>
      <c r="M98" s="1688">
        <f t="shared" ref="M98" si="75">L98</f>
        <v>0.19900000000000001</v>
      </c>
      <c r="N98" s="1688">
        <f t="shared" ref="N98" si="76">M98</f>
        <v>0.19900000000000001</v>
      </c>
      <c r="O98" s="1688">
        <f>N98</f>
        <v>0.19900000000000001</v>
      </c>
      <c r="P98" s="1688">
        <f t="shared" ref="P98" si="77">O98</f>
        <v>0.19900000000000001</v>
      </c>
      <c r="Q98" s="1688">
        <f t="shared" ref="Q98" si="78">P98</f>
        <v>0.19900000000000001</v>
      </c>
      <c r="R98" s="1688">
        <f t="shared" ref="R98" si="79">Q98</f>
        <v>0.19900000000000001</v>
      </c>
      <c r="S98" s="1688">
        <f t="shared" ref="S98" si="80">R98</f>
        <v>0.19900000000000001</v>
      </c>
      <c r="T98" s="1688">
        <f t="shared" ref="T98" si="81">S98</f>
        <v>0.19900000000000001</v>
      </c>
      <c r="U98" s="1688">
        <f t="shared" ref="U98" si="82">T98</f>
        <v>0.19900000000000001</v>
      </c>
      <c r="V98" s="1688">
        <f t="shared" ref="V98" si="83">U98</f>
        <v>0.19900000000000001</v>
      </c>
      <c r="W98" s="1688">
        <f t="shared" ref="W98" si="84">V98</f>
        <v>0.19900000000000001</v>
      </c>
      <c r="X98" s="1293"/>
      <c r="Y98" s="1293"/>
      <c r="Z98" s="1653"/>
      <c r="AA98" s="1653"/>
      <c r="AB98" s="1653"/>
      <c r="AC98" s="1293"/>
      <c r="AD98" s="1293"/>
      <c r="AE98" s="1293"/>
      <c r="AF98" s="1293"/>
      <c r="AG98" s="1293"/>
    </row>
    <row r="99" spans="1:33" ht="15.75">
      <c r="A99" s="1293"/>
      <c r="B99" s="1293" t="s">
        <v>683</v>
      </c>
      <c r="C99" s="1835">
        <v>0</v>
      </c>
      <c r="D99" s="1293"/>
      <c r="E99" s="1293"/>
      <c r="F99" s="1293"/>
      <c r="G99" s="1293"/>
      <c r="H99" s="1293"/>
      <c r="I99" s="1293"/>
      <c r="J99" s="1293"/>
      <c r="K99" s="1293"/>
      <c r="L99" s="1293"/>
      <c r="M99" s="1293"/>
      <c r="N99" s="1293"/>
      <c r="O99" s="1293"/>
      <c r="P99" s="1293"/>
      <c r="Q99" s="1293"/>
      <c r="R99" s="1293"/>
      <c r="S99" s="1293"/>
      <c r="T99" s="1293"/>
      <c r="U99" s="1293"/>
      <c r="V99" s="1293"/>
      <c r="W99" s="1293"/>
      <c r="X99" s="1293"/>
      <c r="Y99" s="1293"/>
      <c r="Z99" s="1653"/>
      <c r="AA99" s="1653"/>
      <c r="AB99" s="1653"/>
      <c r="AC99" s="1293"/>
      <c r="AD99" s="1293"/>
      <c r="AE99" s="1293"/>
      <c r="AF99" s="1293"/>
      <c r="AG99" s="1293"/>
    </row>
    <row r="100" spans="1:33" ht="15.75">
      <c r="A100" s="1293"/>
      <c r="B100" s="1293"/>
      <c r="C100" s="1293"/>
      <c r="D100" s="1293"/>
      <c r="E100" s="1293"/>
      <c r="F100" s="1293"/>
      <c r="G100" s="1293"/>
      <c r="H100" s="1293"/>
      <c r="I100" s="1293"/>
      <c r="J100" s="1293"/>
      <c r="K100" s="1293"/>
      <c r="L100" s="1293"/>
      <c r="M100" s="1293"/>
      <c r="N100" s="1293"/>
      <c r="O100" s="1293"/>
      <c r="P100" s="1293"/>
      <c r="Q100" s="1293">
        <v>0</v>
      </c>
      <c r="R100" s="1293">
        <v>0</v>
      </c>
      <c r="S100" s="1293">
        <f t="shared" ref="S100" si="85">R100+1</f>
        <v>1</v>
      </c>
      <c r="T100" s="1293">
        <f t="shared" ref="T100" si="86">S100+1</f>
        <v>2</v>
      </c>
      <c r="U100" s="1293">
        <f t="shared" ref="U100" si="87">T100+1</f>
        <v>3</v>
      </c>
      <c r="V100" s="1293">
        <f t="shared" ref="V100" si="88">U100+1</f>
        <v>4</v>
      </c>
      <c r="W100" s="1293">
        <f t="shared" ref="W100" si="89">V100+1</f>
        <v>5</v>
      </c>
      <c r="X100" s="1293"/>
      <c r="Y100" s="1293"/>
      <c r="Z100" s="1653"/>
      <c r="AA100" s="1653"/>
      <c r="AB100" s="1653"/>
      <c r="AC100" s="1293"/>
      <c r="AD100" s="1293"/>
      <c r="AE100" s="1293"/>
      <c r="AF100" s="1293"/>
      <c r="AG100" s="1293"/>
    </row>
    <row r="101" spans="1:33" ht="15.75">
      <c r="A101" s="1293"/>
      <c r="B101" s="1293" t="s">
        <v>1937</v>
      </c>
      <c r="C101" s="1293"/>
      <c r="D101" s="1707"/>
      <c r="E101" s="1707"/>
      <c r="F101" s="1707"/>
      <c r="G101" s="1707"/>
      <c r="H101" s="1707"/>
      <c r="I101" s="1707"/>
      <c r="J101" s="1707"/>
      <c r="K101" s="1707"/>
      <c r="L101" s="1707"/>
      <c r="M101" s="1707"/>
      <c r="N101" s="1707"/>
      <c r="O101" s="1707"/>
      <c r="P101" s="1707"/>
      <c r="Q101" s="1707">
        <f t="shared" ref="Q101:W101" si="90">1/(1+$C97)^Q100</f>
        <v>1</v>
      </c>
      <c r="R101" s="1707">
        <f t="shared" si="90"/>
        <v>1</v>
      </c>
      <c r="S101" s="1707">
        <f t="shared" si="90"/>
        <v>0.89686098654708524</v>
      </c>
      <c r="T101" s="1707">
        <f t="shared" si="90"/>
        <v>0.80435962919021098</v>
      </c>
      <c r="U101" s="1707">
        <f t="shared" si="90"/>
        <v>0.72139877057418023</v>
      </c>
      <c r="V101" s="1707">
        <f t="shared" si="90"/>
        <v>0.64699441307101357</v>
      </c>
      <c r="W101" s="1707">
        <f t="shared" si="90"/>
        <v>0.58026404759732153</v>
      </c>
      <c r="X101" s="1293"/>
      <c r="Y101" s="1293"/>
      <c r="Z101" s="1653"/>
      <c r="AA101" s="1653"/>
      <c r="AB101" s="1653"/>
      <c r="AC101" s="1293"/>
      <c r="AD101" s="1293"/>
      <c r="AE101" s="1293"/>
      <c r="AF101" s="1293"/>
      <c r="AG101" s="1293"/>
    </row>
    <row r="102" spans="1:33" ht="15.75">
      <c r="A102" s="1293"/>
      <c r="B102" s="1293" t="s">
        <v>2204</v>
      </c>
      <c r="C102" s="1666"/>
      <c r="D102" s="1666"/>
      <c r="E102" s="1666"/>
      <c r="F102" s="1666"/>
      <c r="G102" s="1666"/>
      <c r="H102" s="1666"/>
      <c r="I102" s="1666"/>
      <c r="J102" s="1666"/>
      <c r="K102" s="1666"/>
      <c r="L102" s="1666"/>
      <c r="M102" s="1666"/>
      <c r="N102" s="1666"/>
      <c r="O102" s="1666"/>
      <c r="P102" s="1666"/>
      <c r="Q102" s="1666">
        <f>'New split'!N458</f>
        <v>27.960489524854136</v>
      </c>
      <c r="R102" s="1666">
        <f>'New split'!O458</f>
        <v>27.817560154173652</v>
      </c>
      <c r="S102" s="1666">
        <f>'New split'!P458</f>
        <v>27.934483400735289</v>
      </c>
      <c r="T102" s="1666">
        <f>'New split'!Q458</f>
        <v>27.460900220858559</v>
      </c>
      <c r="U102" s="1666">
        <f>'New split'!R458</f>
        <v>27.26352407134134</v>
      </c>
      <c r="V102" s="1666">
        <f>'New split'!S458</f>
        <v>27.671285191035413</v>
      </c>
      <c r="W102" s="1666">
        <f>'New split'!T458</f>
        <v>28.068438952743236</v>
      </c>
      <c r="X102" s="1293"/>
      <c r="Y102" s="1293"/>
      <c r="Z102" s="1653"/>
      <c r="AA102" s="1653"/>
      <c r="AB102" s="1653"/>
      <c r="AC102" s="1293"/>
      <c r="AD102" s="1293"/>
      <c r="AE102" s="1293"/>
      <c r="AF102" s="1293"/>
      <c r="AG102" s="1293"/>
    </row>
    <row r="103" spans="1:33" ht="15.75">
      <c r="A103" s="1293"/>
      <c r="B103" s="1334" t="s">
        <v>1936</v>
      </c>
      <c r="C103" s="1334"/>
      <c r="D103" s="1685"/>
      <c r="E103" s="1685"/>
      <c r="F103" s="1685"/>
      <c r="G103" s="1685"/>
      <c r="H103" s="1685"/>
      <c r="I103" s="1685"/>
      <c r="J103" s="1685"/>
      <c r="K103" s="1685"/>
      <c r="L103" s="1685"/>
      <c r="M103" s="1685"/>
      <c r="N103" s="1713"/>
      <c r="O103" s="1713"/>
      <c r="P103" s="1713"/>
      <c r="Q103" s="1713">
        <f t="shared" ref="Q103:W103" si="91">Q102*(1-Q98)</f>
        <v>22.396352109408163</v>
      </c>
      <c r="R103" s="1713">
        <f t="shared" si="91"/>
        <v>22.281865683493095</v>
      </c>
      <c r="S103" s="1713">
        <f t="shared" si="91"/>
        <v>22.375521203988963</v>
      </c>
      <c r="T103" s="1713">
        <f t="shared" si="91"/>
        <v>21.996181076907703</v>
      </c>
      <c r="U103" s="1713">
        <f t="shared" si="91"/>
        <v>21.838082781144411</v>
      </c>
      <c r="V103" s="1713">
        <f t="shared" si="91"/>
        <v>22.164699438019365</v>
      </c>
      <c r="W103" s="1713">
        <f t="shared" si="91"/>
        <v>22.48281960114733</v>
      </c>
      <c r="X103" s="1293"/>
      <c r="Y103" s="1293"/>
      <c r="Z103" s="1653"/>
      <c r="AA103" s="1653"/>
      <c r="AB103" s="1653"/>
      <c r="AC103" s="1293"/>
      <c r="AD103" s="1293"/>
      <c r="AE103" s="1293"/>
      <c r="AF103" s="1293"/>
      <c r="AG103" s="1293"/>
    </row>
    <row r="104" spans="1:33" ht="15.75">
      <c r="A104" s="1293"/>
      <c r="B104" s="1293"/>
      <c r="C104" s="1293"/>
      <c r="D104" s="1666"/>
      <c r="E104" s="1666"/>
      <c r="F104" s="1666"/>
      <c r="G104" s="1293"/>
      <c r="H104" s="1293"/>
      <c r="I104" s="1293"/>
      <c r="J104" s="1293"/>
      <c r="K104" s="1293"/>
      <c r="L104" s="1293"/>
      <c r="M104" s="1293"/>
      <c r="N104" s="1327"/>
      <c r="O104" s="1327"/>
      <c r="P104" s="1327"/>
      <c r="Q104" s="1327"/>
      <c r="R104" s="1327"/>
      <c r="S104" s="1327"/>
      <c r="T104" s="1327"/>
      <c r="U104" s="1327"/>
      <c r="V104" s="1327"/>
      <c r="W104" s="1327"/>
      <c r="X104" s="1293"/>
      <c r="Y104" s="1293"/>
      <c r="Z104" s="1653"/>
      <c r="AA104" s="1653"/>
      <c r="AB104" s="1653"/>
      <c r="AC104" s="1293"/>
      <c r="AD104" s="1293"/>
      <c r="AE104" s="1293"/>
      <c r="AF104" s="1293"/>
      <c r="AG104" s="1293"/>
    </row>
    <row r="105" spans="1:33" ht="15.75">
      <c r="A105" s="1293"/>
      <c r="B105" s="1293" t="s">
        <v>684</v>
      </c>
      <c r="C105" s="1293"/>
      <c r="D105" s="1666"/>
      <c r="E105" s="1666"/>
      <c r="F105" s="1666"/>
      <c r="G105" s="1666"/>
      <c r="H105" s="1666"/>
      <c r="I105" s="1666"/>
      <c r="J105" s="1666"/>
      <c r="K105" s="1666"/>
      <c r="L105" s="1666"/>
      <c r="M105" s="1666"/>
      <c r="N105" s="1675"/>
      <c r="O105" s="1675"/>
      <c r="P105" s="1675"/>
      <c r="Q105" s="1675">
        <f t="shared" ref="Q105:W105" si="92">Q103*Q101</f>
        <v>22.396352109408163</v>
      </c>
      <c r="R105" s="1675">
        <f t="shared" si="92"/>
        <v>22.281865683493095</v>
      </c>
      <c r="S105" s="1675">
        <f t="shared" si="92"/>
        <v>20.067732021514765</v>
      </c>
      <c r="T105" s="1675">
        <f t="shared" si="92"/>
        <v>17.692840054622216</v>
      </c>
      <c r="U105" s="1675">
        <f t="shared" si="92"/>
        <v>15.753966070014753</v>
      </c>
      <c r="V105" s="1675">
        <f t="shared" si="92"/>
        <v>14.340436703796763</v>
      </c>
      <c r="W105" s="1675">
        <f t="shared" si="92"/>
        <v>13.045971903162147</v>
      </c>
      <c r="X105" s="1293"/>
      <c r="Y105" s="1293"/>
      <c r="Z105" s="1653"/>
      <c r="AA105" s="1653"/>
      <c r="AB105" s="1653"/>
      <c r="AC105" s="1293"/>
      <c r="AD105" s="1293"/>
      <c r="AE105" s="1293"/>
      <c r="AF105" s="1293"/>
      <c r="AG105" s="1293"/>
    </row>
    <row r="106" spans="1:33" ht="15.75">
      <c r="A106" s="1293"/>
      <c r="B106" s="1293" t="s">
        <v>685</v>
      </c>
      <c r="C106" s="1293"/>
      <c r="D106" s="1675">
        <f>SUM(S105:W105)</f>
        <v>80.900946753110645</v>
      </c>
      <c r="E106" s="1293"/>
      <c r="F106" s="1293"/>
      <c r="G106" s="1293"/>
      <c r="H106" s="1293"/>
      <c r="I106" s="1293"/>
      <c r="J106" s="1293"/>
      <c r="K106" s="1293"/>
      <c r="L106" s="1653"/>
      <c r="M106" s="1666"/>
      <c r="N106" s="1666"/>
      <c r="O106" s="1666"/>
      <c r="P106" s="1666"/>
      <c r="Q106" s="1666"/>
      <c r="R106" s="1666"/>
      <c r="S106" s="1293"/>
      <c r="T106" s="1293"/>
      <c r="U106" s="1293"/>
      <c r="V106" s="1293"/>
      <c r="W106" s="1293"/>
      <c r="X106" s="1293"/>
      <c r="Y106" s="1293"/>
      <c r="Z106" s="1653"/>
      <c r="AA106" s="1653"/>
      <c r="AB106" s="1653"/>
      <c r="AC106" s="1293"/>
      <c r="AD106" s="1293"/>
      <c r="AE106" s="1293"/>
      <c r="AF106" s="1293"/>
      <c r="AG106" s="1293"/>
    </row>
    <row r="107" spans="1:33" ht="15.75">
      <c r="A107" s="1293"/>
      <c r="B107" s="1293" t="s">
        <v>2203</v>
      </c>
      <c r="C107" s="1293"/>
      <c r="D107" s="1705">
        <f>W105/(C97-C99)</f>
        <v>113.44323394054041</v>
      </c>
      <c r="E107" s="1293"/>
      <c r="F107" s="1293"/>
      <c r="G107" s="1293"/>
      <c r="H107" s="1293"/>
      <c r="I107" s="1293"/>
      <c r="J107" s="1293"/>
      <c r="K107" s="1293"/>
      <c r="L107" s="1666"/>
      <c r="M107" s="1666"/>
      <c r="N107" s="1666"/>
      <c r="O107" s="1666"/>
      <c r="P107" s="1666"/>
      <c r="Q107" s="1666"/>
      <c r="R107" s="1666"/>
      <c r="S107" s="1293"/>
      <c r="T107" s="1293"/>
      <c r="U107" s="1293"/>
      <c r="V107" s="1293"/>
      <c r="W107" s="1293"/>
      <c r="X107" s="1293"/>
      <c r="Y107" s="1293"/>
      <c r="Z107" s="1653"/>
      <c r="AA107" s="1653"/>
      <c r="AB107" s="1653"/>
      <c r="AC107" s="1293"/>
      <c r="AD107" s="1293"/>
      <c r="AE107" s="1293"/>
      <c r="AF107" s="1293"/>
      <c r="AG107" s="1293"/>
    </row>
    <row r="108" spans="1:33" ht="15.75">
      <c r="A108" s="1293"/>
      <c r="B108" s="1334" t="s">
        <v>2205</v>
      </c>
      <c r="C108" s="1334"/>
      <c r="D108" s="1713">
        <f>SUM(D106:D107)</f>
        <v>194.34418069365105</v>
      </c>
      <c r="E108" s="1293" t="s">
        <v>1823</v>
      </c>
      <c r="F108" s="1293"/>
      <c r="G108" s="1293"/>
      <c r="H108" s="1293"/>
      <c r="I108" s="1293"/>
      <c r="J108" s="1293"/>
      <c r="K108" s="1293"/>
      <c r="L108" s="1666"/>
      <c r="M108" s="1666"/>
      <c r="N108" s="1666"/>
      <c r="O108" s="1666"/>
      <c r="P108" s="1666"/>
      <c r="Q108" s="1666"/>
      <c r="R108" s="1666"/>
      <c r="S108" s="1293"/>
      <c r="T108" s="1293"/>
      <c r="U108" s="1293"/>
      <c r="V108" s="1293"/>
      <c r="W108" s="1293"/>
      <c r="X108" s="1293"/>
      <c r="Y108" s="1293"/>
      <c r="Z108" s="1653"/>
      <c r="AA108" s="1653"/>
      <c r="AB108" s="1653"/>
      <c r="AC108" s="1293"/>
      <c r="AD108" s="1293"/>
      <c r="AE108" s="1293"/>
      <c r="AF108" s="1293"/>
      <c r="AG108" s="1293"/>
    </row>
    <row r="109" spans="1:33" ht="15.75">
      <c r="A109" s="1293"/>
      <c r="B109" s="1293"/>
      <c r="C109" s="1293"/>
      <c r="D109" s="1293"/>
      <c r="E109" s="1293"/>
      <c r="F109" s="1293"/>
      <c r="G109" s="1293"/>
      <c r="H109" s="1293"/>
      <c r="I109" s="1293"/>
      <c r="J109" s="1293"/>
      <c r="K109" s="1293"/>
      <c r="L109" s="1653"/>
      <c r="M109" s="1653"/>
      <c r="N109" s="1653"/>
      <c r="O109" s="1653"/>
      <c r="P109" s="1653"/>
      <c r="Q109" s="1653"/>
      <c r="R109" s="1653"/>
      <c r="S109" s="1293"/>
      <c r="T109" s="1293"/>
      <c r="U109" s="1293"/>
      <c r="V109" s="1293"/>
      <c r="W109" s="1293"/>
      <c r="X109" s="1293"/>
      <c r="Y109" s="1293"/>
      <c r="Z109" s="1653"/>
      <c r="AA109" s="1653"/>
      <c r="AB109" s="1653"/>
      <c r="AC109" s="1293"/>
      <c r="AD109" s="1293"/>
      <c r="AE109" s="1293"/>
      <c r="AF109" s="1293"/>
      <c r="AG109" s="1293"/>
    </row>
    <row r="110" spans="1:33" ht="15.75">
      <c r="A110" s="1293"/>
      <c r="B110" s="1293"/>
      <c r="C110" s="1293"/>
      <c r="D110" s="1293"/>
      <c r="E110" s="1293"/>
      <c r="F110" s="1293"/>
      <c r="G110" s="1293"/>
      <c r="H110" s="1293"/>
      <c r="I110" s="1293"/>
      <c r="J110" s="1293"/>
      <c r="K110" s="1293"/>
      <c r="L110" s="1653"/>
      <c r="M110" s="1653"/>
      <c r="N110" s="1653"/>
      <c r="O110" s="1653"/>
      <c r="P110" s="1653"/>
      <c r="Q110" s="1653"/>
      <c r="R110" s="1653"/>
      <c r="S110" s="1293"/>
      <c r="T110" s="1293"/>
      <c r="U110" s="1293"/>
      <c r="V110" s="1293"/>
      <c r="W110" s="1293"/>
      <c r="X110" s="1293"/>
      <c r="Y110" s="1293"/>
      <c r="Z110" s="1653"/>
      <c r="AA110" s="1653"/>
      <c r="AB110" s="1653"/>
      <c r="AC110" s="1293"/>
      <c r="AD110" s="1293"/>
      <c r="AE110" s="1293"/>
      <c r="AF110" s="1293"/>
      <c r="AG110" s="1293"/>
    </row>
    <row r="111" spans="1:33" ht="15.75">
      <c r="A111" s="1293"/>
      <c r="B111" s="1832" t="s">
        <v>2033</v>
      </c>
      <c r="C111" s="1833"/>
      <c r="D111" s="1833"/>
      <c r="E111" s="1833"/>
      <c r="F111" s="1834"/>
      <c r="G111" s="1834">
        <v>2014</v>
      </c>
      <c r="H111" s="1834">
        <v>2015</v>
      </c>
      <c r="I111" s="1834">
        <v>2016</v>
      </c>
      <c r="J111" s="1834">
        <v>2017</v>
      </c>
      <c r="K111" s="1834">
        <v>2018</v>
      </c>
      <c r="L111" s="1834">
        <v>2019</v>
      </c>
      <c r="M111" s="1834">
        <v>2020</v>
      </c>
      <c r="N111" s="1834">
        <v>2021</v>
      </c>
      <c r="O111" s="1834">
        <v>2022</v>
      </c>
      <c r="P111" s="1834">
        <v>2023</v>
      </c>
      <c r="Q111" s="1834">
        <v>2024</v>
      </c>
      <c r="R111" s="1834">
        <v>2025</v>
      </c>
      <c r="S111" s="1834">
        <v>2026</v>
      </c>
      <c r="T111" s="1834">
        <v>2027</v>
      </c>
      <c r="U111" s="1834">
        <v>2028</v>
      </c>
      <c r="V111" s="1834">
        <v>2029</v>
      </c>
      <c r="W111" s="1834">
        <v>2030</v>
      </c>
      <c r="X111" s="1293"/>
      <c r="Y111" s="1293"/>
      <c r="Z111" s="1653"/>
      <c r="AA111" s="1653"/>
      <c r="AB111" s="1653"/>
      <c r="AC111" s="1293"/>
      <c r="AD111" s="1293"/>
      <c r="AE111" s="1293"/>
      <c r="AF111" s="1293"/>
      <c r="AG111" s="1293"/>
    </row>
    <row r="112" spans="1:33" ht="15.75">
      <c r="A112" s="1293"/>
      <c r="B112" s="1293" t="s">
        <v>1938</v>
      </c>
      <c r="C112" s="1835">
        <v>0.1</v>
      </c>
      <c r="D112" s="1666"/>
      <c r="E112" s="1666"/>
      <c r="F112" s="1293"/>
      <c r="G112" s="1293"/>
      <c r="H112" s="1293"/>
      <c r="I112" s="1293"/>
      <c r="J112" s="1293"/>
      <c r="K112" s="1293"/>
      <c r="L112" s="1293"/>
      <c r="M112" s="1293"/>
      <c r="N112" s="1293"/>
      <c r="O112" s="1293"/>
      <c r="P112" s="1293"/>
      <c r="Q112" s="1293"/>
      <c r="R112" s="1293"/>
      <c r="S112" s="1293"/>
      <c r="T112" s="1293"/>
      <c r="U112" s="1293"/>
      <c r="V112" s="1293"/>
      <c r="W112" s="1293"/>
      <c r="X112" s="1293"/>
      <c r="Y112" s="1293"/>
      <c r="Z112" s="1653"/>
      <c r="AA112" s="1653"/>
      <c r="AB112" s="1653"/>
      <c r="AC112" s="1293"/>
      <c r="AD112" s="1293"/>
      <c r="AE112" s="1293"/>
      <c r="AF112" s="1293"/>
      <c r="AG112" s="1293"/>
    </row>
    <row r="113" spans="1:33" ht="15.75">
      <c r="A113" s="1293"/>
      <c r="B113" s="1293" t="s">
        <v>682</v>
      </c>
      <c r="C113" s="1836">
        <v>0.3</v>
      </c>
      <c r="D113" s="1293"/>
      <c r="E113" s="1293"/>
      <c r="F113" s="1293"/>
      <c r="G113" s="1688">
        <f>C113</f>
        <v>0.3</v>
      </c>
      <c r="H113" s="1688">
        <f t="shared" ref="H113" si="93">G113</f>
        <v>0.3</v>
      </c>
      <c r="I113" s="1688">
        <f t="shared" ref="I113" si="94">H113</f>
        <v>0.3</v>
      </c>
      <c r="J113" s="1688">
        <f t="shared" ref="J113" si="95">I113</f>
        <v>0.3</v>
      </c>
      <c r="K113" s="1688">
        <f t="shared" ref="K113" si="96">J113</f>
        <v>0.3</v>
      </c>
      <c r="L113" s="1688">
        <f t="shared" ref="L113" si="97">K113</f>
        <v>0.3</v>
      </c>
      <c r="M113" s="1688">
        <f t="shared" ref="M113" si="98">L113</f>
        <v>0.3</v>
      </c>
      <c r="N113" s="1688">
        <f t="shared" ref="N113" si="99">M113</f>
        <v>0.3</v>
      </c>
      <c r="O113" s="1688">
        <f>N113</f>
        <v>0.3</v>
      </c>
      <c r="P113" s="1688">
        <f t="shared" ref="P113" si="100">O113</f>
        <v>0.3</v>
      </c>
      <c r="Q113" s="1688">
        <f t="shared" ref="Q113" si="101">P113</f>
        <v>0.3</v>
      </c>
      <c r="R113" s="1688">
        <f t="shared" ref="R113" si="102">Q113</f>
        <v>0.3</v>
      </c>
      <c r="S113" s="1688">
        <f t="shared" ref="S113" si="103">R113</f>
        <v>0.3</v>
      </c>
      <c r="T113" s="1688">
        <f t="shared" ref="T113" si="104">S113</f>
        <v>0.3</v>
      </c>
      <c r="U113" s="1688">
        <f t="shared" ref="U113" si="105">T113</f>
        <v>0.3</v>
      </c>
      <c r="V113" s="1688">
        <f t="shared" ref="V113" si="106">U113</f>
        <v>0.3</v>
      </c>
      <c r="W113" s="1688">
        <f t="shared" ref="W113" si="107">V113</f>
        <v>0.3</v>
      </c>
      <c r="X113" s="1293"/>
      <c r="Y113" s="1293"/>
      <c r="Z113" s="1653"/>
      <c r="AA113" s="1653"/>
      <c r="AB113" s="1653"/>
      <c r="AC113" s="1293"/>
      <c r="AD113" s="1293"/>
      <c r="AE113" s="1293"/>
      <c r="AF113" s="1293"/>
      <c r="AG113" s="1293"/>
    </row>
    <row r="114" spans="1:33" ht="15.75">
      <c r="A114" s="1293"/>
      <c r="B114" s="1293" t="s">
        <v>683</v>
      </c>
      <c r="C114" s="1835">
        <v>5.0000000000000001E-3</v>
      </c>
      <c r="D114" s="1293"/>
      <c r="E114" s="1293"/>
      <c r="F114" s="1293"/>
      <c r="G114" s="1293"/>
      <c r="H114" s="1293"/>
      <c r="I114" s="1293"/>
      <c r="J114" s="1293"/>
      <c r="K114" s="1293"/>
      <c r="L114" s="1293"/>
      <c r="M114" s="1293"/>
      <c r="N114" s="1293"/>
      <c r="O114" s="1293"/>
      <c r="P114" s="1293"/>
      <c r="Q114" s="1293"/>
      <c r="R114" s="1293"/>
      <c r="S114" s="1293"/>
      <c r="T114" s="1293"/>
      <c r="U114" s="1293"/>
      <c r="V114" s="1293"/>
      <c r="W114" s="1293"/>
      <c r="X114" s="1293"/>
      <c r="Y114" s="1293"/>
      <c r="Z114" s="1653"/>
      <c r="AA114" s="1653"/>
      <c r="AB114" s="1653"/>
      <c r="AC114" s="1293"/>
      <c r="AD114" s="1293"/>
      <c r="AE114" s="1293"/>
      <c r="AF114" s="1293"/>
      <c r="AG114" s="1293"/>
    </row>
    <row r="115" spans="1:33" ht="15.75">
      <c r="A115" s="1293"/>
      <c r="B115" s="1293"/>
      <c r="C115" s="1293"/>
      <c r="D115" s="1293"/>
      <c r="E115" s="1293"/>
      <c r="F115" s="1293"/>
      <c r="G115" s="1293"/>
      <c r="H115" s="1293"/>
      <c r="I115" s="1293"/>
      <c r="J115" s="1293"/>
      <c r="K115" s="1293"/>
      <c r="L115" s="1293"/>
      <c r="M115" s="1293"/>
      <c r="N115" s="1293"/>
      <c r="O115" s="1293"/>
      <c r="P115" s="1293"/>
      <c r="Q115" s="1293">
        <v>0</v>
      </c>
      <c r="R115" s="1293">
        <v>0</v>
      </c>
      <c r="S115" s="1293">
        <f t="shared" ref="S115" si="108">R115+1</f>
        <v>1</v>
      </c>
      <c r="T115" s="1293">
        <f t="shared" ref="T115" si="109">S115+1</f>
        <v>2</v>
      </c>
      <c r="U115" s="1293">
        <f t="shared" ref="U115" si="110">T115+1</f>
        <v>3</v>
      </c>
      <c r="V115" s="1293">
        <f t="shared" ref="V115" si="111">U115+1</f>
        <v>4</v>
      </c>
      <c r="W115" s="1293">
        <f t="shared" ref="W115" si="112">V115+1</f>
        <v>5</v>
      </c>
      <c r="X115" s="1293"/>
      <c r="Y115" s="1293"/>
      <c r="Z115" s="1653"/>
      <c r="AA115" s="1653"/>
      <c r="AB115" s="1653"/>
      <c r="AC115" s="1293"/>
      <c r="AD115" s="1293"/>
      <c r="AE115" s="1293"/>
      <c r="AF115" s="1293"/>
      <c r="AG115" s="1293"/>
    </row>
    <row r="116" spans="1:33" ht="15.75">
      <c r="A116" s="1293"/>
      <c r="B116" s="1293" t="s">
        <v>1937</v>
      </c>
      <c r="C116" s="1293"/>
      <c r="D116" s="1707"/>
      <c r="E116" s="1707"/>
      <c r="F116" s="1707"/>
      <c r="G116" s="1707"/>
      <c r="H116" s="1707"/>
      <c r="I116" s="1707"/>
      <c r="J116" s="1707"/>
      <c r="K116" s="1707"/>
      <c r="L116" s="1707"/>
      <c r="M116" s="1707"/>
      <c r="N116" s="1707"/>
      <c r="O116" s="1707"/>
      <c r="P116" s="1707"/>
      <c r="Q116" s="1707">
        <f t="shared" ref="Q116:W116" si="113">1/(1+$C112)^Q115</f>
        <v>1</v>
      </c>
      <c r="R116" s="1707">
        <f t="shared" si="113"/>
        <v>1</v>
      </c>
      <c r="S116" s="1707">
        <f t="shared" si="113"/>
        <v>0.90909090909090906</v>
      </c>
      <c r="T116" s="1707">
        <f t="shared" si="113"/>
        <v>0.82644628099173545</v>
      </c>
      <c r="U116" s="1707">
        <f t="shared" si="113"/>
        <v>0.75131480090157754</v>
      </c>
      <c r="V116" s="1707">
        <f t="shared" si="113"/>
        <v>0.68301345536507052</v>
      </c>
      <c r="W116" s="1707">
        <f t="shared" si="113"/>
        <v>0.62092132305915493</v>
      </c>
      <c r="X116" s="1293"/>
      <c r="Y116" s="1293"/>
      <c r="Z116" s="1653"/>
      <c r="AA116" s="1653"/>
      <c r="AB116" s="1653"/>
      <c r="AC116" s="1293"/>
      <c r="AD116" s="1293"/>
      <c r="AE116" s="1293"/>
      <c r="AF116" s="1293"/>
      <c r="AG116" s="1293"/>
    </row>
    <row r="117" spans="1:33" ht="15.75">
      <c r="A117" s="1293"/>
      <c r="B117" s="1293" t="s">
        <v>2204</v>
      </c>
      <c r="C117" s="1666"/>
      <c r="D117" s="1666"/>
      <c r="E117" s="1666"/>
      <c r="F117" s="1666"/>
      <c r="G117" s="1666"/>
      <c r="H117" s="1666"/>
      <c r="I117" s="1666"/>
      <c r="J117" s="1666"/>
      <c r="K117" s="1666"/>
      <c r="L117" s="1666"/>
      <c r="M117" s="1666"/>
      <c r="N117" s="1666"/>
      <c r="O117" s="1666"/>
      <c r="P117" s="1666"/>
      <c r="Q117" s="1666">
        <f>'New split'!N459</f>
        <v>86.879076118737743</v>
      </c>
      <c r="R117" s="1666">
        <f>'New split'!O459</f>
        <v>89.243771227908496</v>
      </c>
      <c r="S117" s="1666">
        <f>'New split'!P459</f>
        <v>93.378824015689759</v>
      </c>
      <c r="T117" s="1666">
        <f>'New split'!Q459</f>
        <v>96.564448852251587</v>
      </c>
      <c r="U117" s="1666">
        <f>'New split'!R459</f>
        <v>99.372447837650498</v>
      </c>
      <c r="V117" s="1666">
        <f>'New split'!S459</f>
        <v>103.92692994250365</v>
      </c>
      <c r="W117" s="1666">
        <f>'New split'!T459</f>
        <v>107.32230313691377</v>
      </c>
      <c r="X117" s="1293"/>
      <c r="Y117" s="1293"/>
      <c r="Z117" s="1653"/>
      <c r="AA117" s="1653"/>
      <c r="AB117" s="1653"/>
      <c r="AC117" s="1293"/>
      <c r="AD117" s="1293"/>
      <c r="AE117" s="1293"/>
      <c r="AF117" s="1293"/>
      <c r="AG117" s="1293"/>
    </row>
    <row r="118" spans="1:33" ht="15.75">
      <c r="A118" s="1293"/>
      <c r="B118" s="1334" t="s">
        <v>1936</v>
      </c>
      <c r="C118" s="1334"/>
      <c r="D118" s="1685"/>
      <c r="E118" s="1685"/>
      <c r="F118" s="1685"/>
      <c r="G118" s="1685"/>
      <c r="H118" s="1685"/>
      <c r="I118" s="1685"/>
      <c r="J118" s="1685"/>
      <c r="K118" s="1685"/>
      <c r="L118" s="1685"/>
      <c r="M118" s="1685"/>
      <c r="N118" s="1713"/>
      <c r="O118" s="1713"/>
      <c r="P118" s="1713"/>
      <c r="Q118" s="1713">
        <f t="shared" ref="Q118:W118" si="114">Q117*(1-Q113)</f>
        <v>60.815353283116416</v>
      </c>
      <c r="R118" s="1713">
        <f t="shared" si="114"/>
        <v>62.470639859535943</v>
      </c>
      <c r="S118" s="1713">
        <f t="shared" si="114"/>
        <v>65.365176810982831</v>
      </c>
      <c r="T118" s="1713">
        <f t="shared" si="114"/>
        <v>67.595114196576105</v>
      </c>
      <c r="U118" s="1713">
        <f t="shared" si="114"/>
        <v>69.56071348635534</v>
      </c>
      <c r="V118" s="1713">
        <f t="shared" si="114"/>
        <v>72.748850959752545</v>
      </c>
      <c r="W118" s="1713">
        <f t="shared" si="114"/>
        <v>75.125612195839636</v>
      </c>
      <c r="X118" s="1293"/>
      <c r="Y118" s="1293"/>
      <c r="Z118" s="1653"/>
      <c r="AA118" s="1653"/>
      <c r="AB118" s="1653"/>
      <c r="AC118" s="1293"/>
      <c r="AD118" s="1293"/>
      <c r="AE118" s="1293"/>
      <c r="AF118" s="1293"/>
      <c r="AG118" s="1293"/>
    </row>
    <row r="119" spans="1:33" ht="15.75">
      <c r="A119" s="1293"/>
      <c r="B119" s="1293"/>
      <c r="C119" s="1293"/>
      <c r="D119" s="1666"/>
      <c r="E119" s="1666"/>
      <c r="F119" s="1666"/>
      <c r="G119" s="1293"/>
      <c r="H119" s="1293"/>
      <c r="I119" s="1293"/>
      <c r="J119" s="1293"/>
      <c r="K119" s="1293"/>
      <c r="L119" s="1293"/>
      <c r="M119" s="1293"/>
      <c r="N119" s="1327"/>
      <c r="O119" s="1327"/>
      <c r="P119" s="1327"/>
      <c r="Q119" s="1327"/>
      <c r="R119" s="1327"/>
      <c r="S119" s="1327"/>
      <c r="T119" s="1327"/>
      <c r="U119" s="1327"/>
      <c r="V119" s="1327"/>
      <c r="W119" s="1327"/>
      <c r="X119" s="1293"/>
      <c r="Y119" s="1293"/>
      <c r="Z119" s="1653"/>
      <c r="AA119" s="1653"/>
      <c r="AB119" s="1653"/>
      <c r="AC119" s="1293"/>
      <c r="AD119" s="1293"/>
      <c r="AE119" s="1293"/>
      <c r="AF119" s="1293"/>
      <c r="AG119" s="1293"/>
    </row>
    <row r="120" spans="1:33" ht="15.75">
      <c r="A120" s="1293"/>
      <c r="B120" s="1293" t="s">
        <v>684</v>
      </c>
      <c r="C120" s="1293"/>
      <c r="D120" s="1666"/>
      <c r="E120" s="1666"/>
      <c r="F120" s="1666"/>
      <c r="G120" s="1666"/>
      <c r="H120" s="1666"/>
      <c r="I120" s="1666"/>
      <c r="J120" s="1666"/>
      <c r="K120" s="1666"/>
      <c r="L120" s="1666"/>
      <c r="M120" s="1666"/>
      <c r="N120" s="1675"/>
      <c r="O120" s="1675"/>
      <c r="P120" s="1675"/>
      <c r="Q120" s="1675">
        <f t="shared" ref="Q120:W120" si="115">Q118*Q116</f>
        <v>60.815353283116416</v>
      </c>
      <c r="R120" s="1675">
        <f t="shared" si="115"/>
        <v>62.470639859535943</v>
      </c>
      <c r="S120" s="1675">
        <f t="shared" si="115"/>
        <v>59.422888009984391</v>
      </c>
      <c r="T120" s="1675">
        <f t="shared" si="115"/>
        <v>55.863730740971981</v>
      </c>
      <c r="U120" s="1675">
        <f t="shared" si="115"/>
        <v>52.261993603572741</v>
      </c>
      <c r="V120" s="1675">
        <f t="shared" si="115"/>
        <v>49.688444067859116</v>
      </c>
      <c r="W120" s="1675">
        <f t="shared" si="115"/>
        <v>46.647094520269732</v>
      </c>
      <c r="X120" s="1293"/>
      <c r="Y120" s="1293"/>
      <c r="Z120" s="1653"/>
      <c r="AA120" s="1653"/>
      <c r="AB120" s="1653"/>
      <c r="AC120" s="1293"/>
      <c r="AD120" s="1293"/>
      <c r="AE120" s="1293"/>
      <c r="AF120" s="1293"/>
      <c r="AG120" s="1293"/>
    </row>
    <row r="121" spans="1:33" ht="15.75">
      <c r="A121" s="1293"/>
      <c r="B121" s="1293" t="s">
        <v>685</v>
      </c>
      <c r="C121" s="1293"/>
      <c r="D121" s="1675">
        <f>SUM(S120:W120)</f>
        <v>263.88415094265793</v>
      </c>
      <c r="E121" s="1293"/>
      <c r="F121" s="1293"/>
      <c r="G121" s="1293"/>
      <c r="H121" s="1293"/>
      <c r="I121" s="1293"/>
      <c r="J121" s="1293"/>
      <c r="K121" s="1293"/>
      <c r="L121" s="1653"/>
      <c r="M121" s="1666"/>
      <c r="N121" s="1666"/>
      <c r="O121" s="1666"/>
      <c r="P121" s="1666"/>
      <c r="Q121" s="1666"/>
      <c r="R121" s="1666"/>
      <c r="S121" s="1293"/>
      <c r="T121" s="1293"/>
      <c r="U121" s="1293"/>
      <c r="V121" s="1293"/>
      <c r="W121" s="1293"/>
      <c r="X121" s="1293"/>
      <c r="Y121" s="1293"/>
      <c r="Z121" s="1653"/>
      <c r="AA121" s="1653"/>
      <c r="AB121" s="1653"/>
      <c r="AC121" s="1293"/>
      <c r="AD121" s="1293"/>
      <c r="AE121" s="1293"/>
      <c r="AF121" s="1293"/>
      <c r="AG121" s="1293"/>
    </row>
    <row r="122" spans="1:33" ht="15.75">
      <c r="A122" s="1293"/>
      <c r="B122" s="1293" t="s">
        <v>2203</v>
      </c>
      <c r="C122" s="1293"/>
      <c r="D122" s="1705">
        <f>W120/(C112-C114)</f>
        <v>491.02204758178664</v>
      </c>
      <c r="E122" s="1293"/>
      <c r="F122" s="1293"/>
      <c r="G122" s="1293"/>
      <c r="H122" s="1293"/>
      <c r="I122" s="1293"/>
      <c r="J122" s="1293"/>
      <c r="K122" s="1293"/>
      <c r="L122" s="1666"/>
      <c r="M122" s="1666"/>
      <c r="N122" s="1666"/>
      <c r="O122" s="1666"/>
      <c r="P122" s="1666"/>
      <c r="Q122" s="1666"/>
      <c r="R122" s="1666"/>
      <c r="S122" s="1293"/>
      <c r="T122" s="1293"/>
      <c r="U122" s="1293"/>
      <c r="V122" s="1293"/>
      <c r="W122" s="1293"/>
      <c r="X122" s="1293"/>
      <c r="Y122" s="1293"/>
      <c r="Z122" s="1653"/>
      <c r="AA122" s="1653"/>
      <c r="AB122" s="1653"/>
      <c r="AC122" s="1293"/>
      <c r="AD122" s="1293"/>
      <c r="AE122" s="1293"/>
      <c r="AF122" s="1293"/>
      <c r="AG122" s="1293"/>
    </row>
    <row r="123" spans="1:33" ht="15.75">
      <c r="A123" s="1293"/>
      <c r="B123" s="1334" t="s">
        <v>2205</v>
      </c>
      <c r="C123" s="1334"/>
      <c r="D123" s="1713">
        <f>SUM(D121:D122)</f>
        <v>754.90619852444456</v>
      </c>
      <c r="E123" s="1293" t="s">
        <v>1823</v>
      </c>
      <c r="F123" s="1293"/>
      <c r="G123" s="1293"/>
      <c r="H123" s="1293"/>
      <c r="I123" s="1293"/>
      <c r="J123" s="1293"/>
      <c r="K123" s="1293"/>
      <c r="L123" s="1666"/>
      <c r="M123" s="1666"/>
      <c r="N123" s="1666"/>
      <c r="O123" s="1666"/>
      <c r="P123" s="1666"/>
      <c r="Q123" s="1666"/>
      <c r="R123" s="1666"/>
      <c r="S123" s="1293"/>
      <c r="T123" s="1293"/>
      <c r="U123" s="1293"/>
      <c r="V123" s="1293"/>
      <c r="W123" s="1293"/>
      <c r="X123" s="1293"/>
      <c r="Y123" s="1293"/>
      <c r="Z123" s="1653"/>
      <c r="AA123" s="1653"/>
      <c r="AB123" s="1653"/>
      <c r="AC123" s="1293"/>
      <c r="AD123" s="1293"/>
      <c r="AE123" s="1293"/>
      <c r="AF123" s="1293"/>
      <c r="AG123" s="1293"/>
    </row>
    <row r="124" spans="1:33" ht="15.75">
      <c r="A124" s="1293"/>
      <c r="B124" s="1293"/>
      <c r="C124" s="1293"/>
      <c r="D124" s="1293"/>
      <c r="E124" s="1293"/>
      <c r="F124" s="1293"/>
      <c r="G124" s="1293"/>
      <c r="H124" s="1293"/>
      <c r="I124" s="1293"/>
      <c r="J124" s="1293"/>
      <c r="K124" s="1293"/>
      <c r="L124" s="1653"/>
      <c r="M124" s="1653"/>
      <c r="N124" s="1653"/>
      <c r="O124" s="1653"/>
      <c r="P124" s="1653"/>
      <c r="Q124" s="1653"/>
      <c r="R124" s="1653"/>
      <c r="S124" s="1293"/>
      <c r="T124" s="1293"/>
      <c r="U124" s="1293"/>
      <c r="V124" s="1293"/>
      <c r="W124" s="1293"/>
      <c r="X124" s="1293"/>
      <c r="Y124" s="1293"/>
      <c r="Z124" s="1653"/>
      <c r="AA124" s="1653"/>
      <c r="AB124" s="1653"/>
      <c r="AC124" s="1293"/>
      <c r="AD124" s="1293"/>
      <c r="AE124" s="1293"/>
      <c r="AF124" s="1293"/>
      <c r="AG124" s="1293"/>
    </row>
    <row r="125" spans="1:33" ht="15.75">
      <c r="A125" s="1293"/>
      <c r="B125" s="1293"/>
      <c r="C125" s="1293"/>
      <c r="D125" s="1293"/>
      <c r="E125" s="1293"/>
      <c r="F125" s="1293"/>
      <c r="G125" s="1293"/>
      <c r="H125" s="1293"/>
      <c r="I125" s="1293"/>
      <c r="J125" s="1293"/>
      <c r="K125" s="1293"/>
      <c r="L125" s="1653"/>
      <c r="M125" s="1653"/>
      <c r="N125" s="1653"/>
      <c r="O125" s="1653"/>
      <c r="P125" s="1653"/>
      <c r="Q125" s="1653"/>
      <c r="R125" s="1653"/>
      <c r="S125" s="1293"/>
      <c r="T125" s="1293"/>
      <c r="U125" s="1293"/>
      <c r="V125" s="1293"/>
      <c r="W125" s="1293"/>
      <c r="X125" s="1293"/>
      <c r="Y125" s="1293"/>
      <c r="Z125" s="1653"/>
      <c r="AA125" s="1653"/>
      <c r="AB125" s="1653"/>
      <c r="AC125" s="1293"/>
      <c r="AD125" s="1293"/>
      <c r="AE125" s="1293"/>
      <c r="AF125" s="1293"/>
      <c r="AG125" s="1293"/>
    </row>
    <row r="126" spans="1:33" ht="15.75">
      <c r="A126" s="1293"/>
      <c r="B126" s="1832" t="s">
        <v>2377</v>
      </c>
      <c r="C126" s="1833"/>
      <c r="D126" s="1833"/>
      <c r="E126" s="1833"/>
      <c r="F126" s="1834"/>
      <c r="G126" s="1834">
        <v>2014</v>
      </c>
      <c r="H126" s="1834">
        <v>2015</v>
      </c>
      <c r="I126" s="1834">
        <v>2016</v>
      </c>
      <c r="J126" s="1834">
        <v>2017</v>
      </c>
      <c r="K126" s="1834">
        <v>2018</v>
      </c>
      <c r="L126" s="1834">
        <v>2019</v>
      </c>
      <c r="M126" s="1834">
        <v>2020</v>
      </c>
      <c r="N126" s="1834">
        <v>2021</v>
      </c>
      <c r="O126" s="1834">
        <v>2022</v>
      </c>
      <c r="P126" s="1834">
        <v>2023</v>
      </c>
      <c r="Q126" s="1834">
        <v>2024</v>
      </c>
      <c r="R126" s="1834">
        <v>2025</v>
      </c>
      <c r="S126" s="1834">
        <v>2026</v>
      </c>
      <c r="T126" s="1834">
        <v>2027</v>
      </c>
      <c r="U126" s="1834">
        <v>2028</v>
      </c>
      <c r="V126" s="1834">
        <v>2029</v>
      </c>
      <c r="W126" s="1834">
        <v>2030</v>
      </c>
      <c r="X126" s="1293"/>
      <c r="Y126" s="1293"/>
      <c r="Z126" s="1653"/>
      <c r="AA126" s="1653"/>
      <c r="AB126" s="1653"/>
      <c r="AC126" s="1293"/>
      <c r="AD126" s="1293"/>
      <c r="AE126" s="1293"/>
      <c r="AF126" s="1293"/>
      <c r="AG126" s="1293"/>
    </row>
    <row r="127" spans="1:33" ht="15.75">
      <c r="A127" s="1293"/>
      <c r="B127" s="1293" t="s">
        <v>1938</v>
      </c>
      <c r="C127" s="1835">
        <v>0.12</v>
      </c>
      <c r="D127" s="1666"/>
      <c r="E127" s="1666"/>
      <c r="F127" s="1293"/>
      <c r="G127" s="1293"/>
      <c r="H127" s="1293"/>
      <c r="I127" s="1293"/>
      <c r="J127" s="1293"/>
      <c r="K127" s="1293"/>
      <c r="L127" s="1293"/>
      <c r="M127" s="1293"/>
      <c r="N127" s="1293"/>
      <c r="O127" s="1293"/>
      <c r="P127" s="1293"/>
      <c r="Q127" s="1293"/>
      <c r="R127" s="1293"/>
      <c r="S127" s="1293"/>
      <c r="T127" s="1293"/>
      <c r="U127" s="1293"/>
      <c r="V127" s="1293"/>
      <c r="W127" s="1293"/>
      <c r="X127" s="1293"/>
      <c r="Y127" s="1293"/>
      <c r="Z127" s="1653"/>
      <c r="AA127" s="1653"/>
      <c r="AB127" s="1653"/>
      <c r="AC127" s="1293"/>
      <c r="AD127" s="1293"/>
      <c r="AE127" s="1293"/>
      <c r="AF127" s="1293"/>
      <c r="AG127" s="1293"/>
    </row>
    <row r="128" spans="1:33" ht="15.75">
      <c r="A128" s="1293"/>
      <c r="B128" s="1293" t="s">
        <v>682</v>
      </c>
      <c r="C128" s="1836">
        <v>0.16200000000000001</v>
      </c>
      <c r="D128" s="1293"/>
      <c r="E128" s="1293"/>
      <c r="F128" s="1293"/>
      <c r="G128" s="1688">
        <f>C128</f>
        <v>0.16200000000000001</v>
      </c>
      <c r="H128" s="1688">
        <f t="shared" ref="H128" si="116">G128</f>
        <v>0.16200000000000001</v>
      </c>
      <c r="I128" s="1688">
        <f t="shared" ref="I128" si="117">H128</f>
        <v>0.16200000000000001</v>
      </c>
      <c r="J128" s="1688">
        <f t="shared" ref="J128" si="118">I128</f>
        <v>0.16200000000000001</v>
      </c>
      <c r="K128" s="1688">
        <f t="shared" ref="K128" si="119">J128</f>
        <v>0.16200000000000001</v>
      </c>
      <c r="L128" s="1688">
        <f t="shared" ref="L128" si="120">K128</f>
        <v>0.16200000000000001</v>
      </c>
      <c r="M128" s="1688">
        <f t="shared" ref="M128" si="121">L128</f>
        <v>0.16200000000000001</v>
      </c>
      <c r="N128" s="1688">
        <f t="shared" ref="N128" si="122">M128</f>
        <v>0.16200000000000001</v>
      </c>
      <c r="O128" s="1688">
        <f>N128</f>
        <v>0.16200000000000001</v>
      </c>
      <c r="P128" s="1688">
        <f t="shared" ref="P128" si="123">O128</f>
        <v>0.16200000000000001</v>
      </c>
      <c r="Q128" s="1688">
        <f t="shared" ref="Q128" si="124">P128</f>
        <v>0.16200000000000001</v>
      </c>
      <c r="R128" s="1688">
        <f t="shared" ref="R128" si="125">Q128</f>
        <v>0.16200000000000001</v>
      </c>
      <c r="S128" s="1688">
        <f t="shared" ref="S128" si="126">R128</f>
        <v>0.16200000000000001</v>
      </c>
      <c r="T128" s="1688">
        <f t="shared" ref="T128" si="127">S128</f>
        <v>0.16200000000000001</v>
      </c>
      <c r="U128" s="1688">
        <f t="shared" ref="U128" si="128">T128</f>
        <v>0.16200000000000001</v>
      </c>
      <c r="V128" s="1688">
        <f t="shared" ref="V128" si="129">U128</f>
        <v>0.16200000000000001</v>
      </c>
      <c r="W128" s="1688">
        <f t="shared" ref="W128" si="130">V128</f>
        <v>0.16200000000000001</v>
      </c>
      <c r="X128" s="1293"/>
      <c r="Y128" s="1293"/>
      <c r="Z128" s="1653"/>
      <c r="AA128" s="1653"/>
      <c r="AB128" s="1653"/>
      <c r="AC128" s="1293"/>
      <c r="AD128" s="1293"/>
      <c r="AE128" s="1293"/>
      <c r="AF128" s="1293"/>
      <c r="AG128" s="1293"/>
    </row>
    <row r="129" spans="1:33" ht="15.75">
      <c r="A129" s="1293"/>
      <c r="B129" s="1293" t="s">
        <v>683</v>
      </c>
      <c r="C129" s="1835">
        <v>0</v>
      </c>
      <c r="D129" s="1293"/>
      <c r="E129" s="1293"/>
      <c r="F129" s="1293"/>
      <c r="G129" s="1293"/>
      <c r="H129" s="1293"/>
      <c r="I129" s="1293"/>
      <c r="J129" s="1293"/>
      <c r="K129" s="1293"/>
      <c r="L129" s="1293"/>
      <c r="M129" s="1293"/>
      <c r="N129" s="1293"/>
      <c r="O129" s="1293"/>
      <c r="P129" s="1293"/>
      <c r="Q129" s="1293"/>
      <c r="R129" s="1293"/>
      <c r="S129" s="1293"/>
      <c r="T129" s="1293"/>
      <c r="U129" s="1293"/>
      <c r="V129" s="1293"/>
      <c r="W129" s="1293"/>
      <c r="X129" s="1293"/>
      <c r="Y129" s="1293"/>
      <c r="Z129" s="1653"/>
      <c r="AA129" s="1653"/>
      <c r="AB129" s="1653"/>
      <c r="AC129" s="1293"/>
      <c r="AD129" s="1293"/>
      <c r="AE129" s="1293"/>
      <c r="AF129" s="1293"/>
      <c r="AG129" s="1293"/>
    </row>
    <row r="130" spans="1:33" ht="15.75">
      <c r="A130" s="1293"/>
      <c r="B130" s="1293"/>
      <c r="C130" s="1293"/>
      <c r="D130" s="1293"/>
      <c r="E130" s="1293"/>
      <c r="F130" s="1293"/>
      <c r="G130" s="1293"/>
      <c r="H130" s="1293"/>
      <c r="I130" s="1293"/>
      <c r="J130" s="1293"/>
      <c r="K130" s="1293"/>
      <c r="L130" s="1293"/>
      <c r="M130" s="1293"/>
      <c r="N130" s="1293"/>
      <c r="O130" s="1293"/>
      <c r="P130" s="1293"/>
      <c r="Q130" s="1293">
        <v>0</v>
      </c>
      <c r="R130" s="1293">
        <v>0</v>
      </c>
      <c r="S130" s="1293">
        <f t="shared" ref="S130" si="131">R130+1</f>
        <v>1</v>
      </c>
      <c r="T130" s="1293">
        <f t="shared" ref="T130" si="132">S130+1</f>
        <v>2</v>
      </c>
      <c r="U130" s="1293">
        <f t="shared" ref="U130" si="133">T130+1</f>
        <v>3</v>
      </c>
      <c r="V130" s="1293">
        <f t="shared" ref="V130" si="134">U130+1</f>
        <v>4</v>
      </c>
      <c r="W130" s="1293">
        <f t="shared" ref="W130" si="135">V130+1</f>
        <v>5</v>
      </c>
      <c r="X130" s="1293"/>
      <c r="Y130" s="1293"/>
      <c r="Z130" s="1653"/>
      <c r="AA130" s="1653"/>
      <c r="AB130" s="1653"/>
      <c r="AC130" s="1293"/>
      <c r="AD130" s="1293"/>
      <c r="AE130" s="1293"/>
      <c r="AF130" s="1293"/>
      <c r="AG130" s="1293"/>
    </row>
    <row r="131" spans="1:33" ht="15.75">
      <c r="A131" s="1293"/>
      <c r="B131" s="1293" t="s">
        <v>1937</v>
      </c>
      <c r="C131" s="1293"/>
      <c r="D131" s="1707"/>
      <c r="E131" s="1707"/>
      <c r="F131" s="1707"/>
      <c r="G131" s="1707"/>
      <c r="H131" s="1707"/>
      <c r="I131" s="1707"/>
      <c r="J131" s="1707"/>
      <c r="K131" s="1707"/>
      <c r="L131" s="1707"/>
      <c r="M131" s="1707"/>
      <c r="N131" s="1707"/>
      <c r="O131" s="1707"/>
      <c r="P131" s="1707"/>
      <c r="Q131" s="1707">
        <f t="shared" ref="Q131:W131" si="136">1/(1+$C127)^Q130</f>
        <v>1</v>
      </c>
      <c r="R131" s="1707">
        <f t="shared" si="136"/>
        <v>1</v>
      </c>
      <c r="S131" s="1707">
        <f t="shared" si="136"/>
        <v>0.89285714285714279</v>
      </c>
      <c r="T131" s="1707">
        <f t="shared" si="136"/>
        <v>0.79719387755102034</v>
      </c>
      <c r="U131" s="1707">
        <f t="shared" si="136"/>
        <v>0.71178024781341087</v>
      </c>
      <c r="V131" s="1707">
        <f t="shared" si="136"/>
        <v>0.63551807840483121</v>
      </c>
      <c r="W131" s="1707">
        <f t="shared" si="136"/>
        <v>0.56742685571859919</v>
      </c>
      <c r="X131" s="1293"/>
      <c r="Y131" s="1293"/>
      <c r="Z131" s="1653"/>
      <c r="AA131" s="1653"/>
      <c r="AB131" s="1653"/>
      <c r="AC131" s="1293"/>
      <c r="AD131" s="1293"/>
      <c r="AE131" s="1293"/>
      <c r="AF131" s="1293"/>
      <c r="AG131" s="1293"/>
    </row>
    <row r="132" spans="1:33" ht="15.75">
      <c r="A132" s="1293"/>
      <c r="B132" s="1293" t="s">
        <v>2204</v>
      </c>
      <c r="C132" s="1666"/>
      <c r="D132" s="1666"/>
      <c r="E132" s="1666"/>
      <c r="F132" s="1666"/>
      <c r="G132" s="1666"/>
      <c r="H132" s="1666"/>
      <c r="I132" s="1666"/>
      <c r="J132" s="1666"/>
      <c r="K132" s="1666"/>
      <c r="L132" s="1666"/>
      <c r="M132" s="1666"/>
      <c r="N132" s="1666"/>
      <c r="O132" s="1666"/>
      <c r="P132" s="1666"/>
      <c r="Q132" s="1666">
        <f>'New split'!N462</f>
        <v>193.29340000000002</v>
      </c>
      <c r="R132" s="1666">
        <f>'New split'!O462</f>
        <v>70.655790315314277</v>
      </c>
      <c r="S132" s="1666">
        <f>'New split'!P462</f>
        <v>77.043271698531441</v>
      </c>
      <c r="T132" s="1666">
        <f>'New split'!Q462</f>
        <v>80.26019432451497</v>
      </c>
      <c r="U132" s="1666">
        <f>'New split'!R462</f>
        <v>83.589706412794854</v>
      </c>
      <c r="V132" s="1666">
        <f>'New split'!S462</f>
        <v>86.614857692496045</v>
      </c>
      <c r="W132" s="1666">
        <f>'New split'!T462</f>
        <v>91.108003435294265</v>
      </c>
      <c r="X132" s="1293"/>
      <c r="Y132" s="1293"/>
      <c r="Z132" s="1653"/>
      <c r="AA132" s="1653"/>
      <c r="AB132" s="1653"/>
      <c r="AC132" s="1293"/>
      <c r="AD132" s="1293"/>
      <c r="AE132" s="1293"/>
      <c r="AF132" s="1293"/>
      <c r="AG132" s="1293"/>
    </row>
    <row r="133" spans="1:33" ht="15.75">
      <c r="A133" s="1293"/>
      <c r="B133" s="1334" t="s">
        <v>1936</v>
      </c>
      <c r="C133" s="1334"/>
      <c r="D133" s="1685"/>
      <c r="E133" s="1685"/>
      <c r="F133" s="1685"/>
      <c r="G133" s="1685"/>
      <c r="H133" s="1685"/>
      <c r="I133" s="1685"/>
      <c r="J133" s="1685"/>
      <c r="K133" s="1685"/>
      <c r="L133" s="1685"/>
      <c r="M133" s="1685"/>
      <c r="N133" s="1713"/>
      <c r="O133" s="1713"/>
      <c r="P133" s="1713"/>
      <c r="Q133" s="1713">
        <f t="shared" ref="Q133:W133" si="137">Q132*(1-Q128)</f>
        <v>161.9798692</v>
      </c>
      <c r="R133" s="1713">
        <f t="shared" si="137"/>
        <v>59.209552284233361</v>
      </c>
      <c r="S133" s="1713">
        <f t="shared" si="137"/>
        <v>64.562261683369343</v>
      </c>
      <c r="T133" s="1713">
        <f t="shared" si="137"/>
        <v>67.258042843943542</v>
      </c>
      <c r="U133" s="1713">
        <f t="shared" si="137"/>
        <v>70.04817397392209</v>
      </c>
      <c r="V133" s="1713">
        <f t="shared" si="137"/>
        <v>72.583250746311677</v>
      </c>
      <c r="W133" s="1713">
        <f t="shared" si="137"/>
        <v>76.34850687877659</v>
      </c>
      <c r="X133" s="1293"/>
      <c r="Y133" s="1293"/>
      <c r="Z133" s="1653"/>
      <c r="AA133" s="1653"/>
      <c r="AB133" s="1653"/>
      <c r="AC133" s="1293"/>
      <c r="AD133" s="1293"/>
      <c r="AE133" s="1293"/>
      <c r="AF133" s="1293"/>
      <c r="AG133" s="1293"/>
    </row>
    <row r="134" spans="1:33" ht="15.75">
      <c r="A134" s="1293"/>
      <c r="B134" s="1293"/>
      <c r="C134" s="1293"/>
      <c r="D134" s="1666"/>
      <c r="E134" s="1666"/>
      <c r="F134" s="1666"/>
      <c r="G134" s="1293"/>
      <c r="H134" s="1293"/>
      <c r="I134" s="1293"/>
      <c r="J134" s="1293"/>
      <c r="K134" s="1293"/>
      <c r="L134" s="1293"/>
      <c r="M134" s="1293"/>
      <c r="N134" s="1327"/>
      <c r="O134" s="1327"/>
      <c r="P134" s="1327"/>
      <c r="Q134" s="1327"/>
      <c r="R134" s="1327"/>
      <c r="S134" s="1327"/>
      <c r="T134" s="1327"/>
      <c r="U134" s="1327"/>
      <c r="V134" s="1327"/>
      <c r="W134" s="1327"/>
      <c r="X134" s="1293"/>
      <c r="Y134" s="1293"/>
      <c r="Z134" s="1653"/>
      <c r="AA134" s="1653"/>
      <c r="AB134" s="1653"/>
      <c r="AC134" s="1293"/>
      <c r="AD134" s="1293"/>
      <c r="AE134" s="1293"/>
      <c r="AF134" s="1293"/>
      <c r="AG134" s="1293"/>
    </row>
    <row r="135" spans="1:33" ht="15.75">
      <c r="A135" s="1293"/>
      <c r="B135" s="1293" t="s">
        <v>684</v>
      </c>
      <c r="C135" s="1293"/>
      <c r="D135" s="1666"/>
      <c r="E135" s="1666"/>
      <c r="F135" s="1666"/>
      <c r="G135" s="1666"/>
      <c r="H135" s="1666"/>
      <c r="I135" s="1666"/>
      <c r="J135" s="1666"/>
      <c r="K135" s="1666"/>
      <c r="L135" s="1666"/>
      <c r="M135" s="1666"/>
      <c r="N135" s="1675"/>
      <c r="O135" s="1675"/>
      <c r="P135" s="1675"/>
      <c r="Q135" s="1675">
        <f t="shared" ref="Q135:W135" si="138">Q133*Q131</f>
        <v>161.9798692</v>
      </c>
      <c r="R135" s="1675">
        <f t="shared" si="138"/>
        <v>59.209552284233361</v>
      </c>
      <c r="S135" s="1675">
        <f t="shared" si="138"/>
        <v>57.644876503008341</v>
      </c>
      <c r="T135" s="1675">
        <f t="shared" si="138"/>
        <v>53.617699971256009</v>
      </c>
      <c r="U135" s="1675">
        <f t="shared" si="138"/>
        <v>49.858906630035186</v>
      </c>
      <c r="V135" s="1675">
        <f t="shared" si="138"/>
        <v>46.12796803867203</v>
      </c>
      <c r="W135" s="1675">
        <f t="shared" si="138"/>
        <v>43.322193197034039</v>
      </c>
      <c r="X135" s="1293"/>
      <c r="Y135" s="1293"/>
      <c r="Z135" s="1653"/>
      <c r="AA135" s="1653"/>
      <c r="AB135" s="1653"/>
      <c r="AC135" s="1293"/>
      <c r="AD135" s="1293"/>
      <c r="AE135" s="1293"/>
      <c r="AF135" s="1293"/>
      <c r="AG135" s="1293"/>
    </row>
    <row r="136" spans="1:33" ht="15.75">
      <c r="A136" s="1293"/>
      <c r="B136" s="1293" t="s">
        <v>685</v>
      </c>
      <c r="C136" s="1293"/>
      <c r="D136" s="1675">
        <f>SUM(S135:W135)</f>
        <v>250.57164434000561</v>
      </c>
      <c r="E136" s="1293"/>
      <c r="F136" s="1293"/>
      <c r="G136" s="1293"/>
      <c r="H136" s="1293"/>
      <c r="I136" s="1293"/>
      <c r="J136" s="1293"/>
      <c r="K136" s="1293"/>
      <c r="L136" s="1653"/>
      <c r="M136" s="1666"/>
      <c r="N136" s="1666"/>
      <c r="O136" s="1666"/>
      <c r="P136" s="1666"/>
      <c r="Q136" s="1666"/>
      <c r="R136" s="1666"/>
      <c r="S136" s="1293"/>
      <c r="T136" s="1293"/>
      <c r="U136" s="1293"/>
      <c r="V136" s="1293"/>
      <c r="W136" s="1293"/>
      <c r="X136" s="1293"/>
      <c r="Y136" s="1293"/>
      <c r="Z136" s="1653"/>
      <c r="AA136" s="1653"/>
      <c r="AB136" s="1653"/>
      <c r="AC136" s="1293"/>
      <c r="AD136" s="1293"/>
      <c r="AE136" s="1293"/>
      <c r="AF136" s="1293"/>
      <c r="AG136" s="1293"/>
    </row>
    <row r="137" spans="1:33" ht="15.75">
      <c r="A137" s="1293"/>
      <c r="B137" s="1293" t="s">
        <v>2203</v>
      </c>
      <c r="C137" s="1293"/>
      <c r="D137" s="1705">
        <f>W135/(C127-C129)</f>
        <v>361.01827664195037</v>
      </c>
      <c r="E137" s="1293"/>
      <c r="F137" s="1293"/>
      <c r="G137" s="1293"/>
      <c r="H137" s="1293"/>
      <c r="I137" s="1293"/>
      <c r="J137" s="1293"/>
      <c r="K137" s="1293"/>
      <c r="L137" s="1666"/>
      <c r="M137" s="1666"/>
      <c r="N137" s="1666"/>
      <c r="O137" s="1666"/>
      <c r="P137" s="1666"/>
      <c r="Q137" s="1666"/>
      <c r="R137" s="1666"/>
      <c r="S137" s="1293"/>
      <c r="T137" s="1293"/>
      <c r="U137" s="1293"/>
      <c r="V137" s="1293"/>
      <c r="W137" s="1293"/>
      <c r="X137" s="1293"/>
      <c r="Y137" s="1293"/>
      <c r="Z137" s="1653"/>
      <c r="AA137" s="1653"/>
      <c r="AB137" s="1653"/>
      <c r="AC137" s="1293"/>
      <c r="AD137" s="1293"/>
      <c r="AE137" s="1293"/>
      <c r="AF137" s="1293"/>
      <c r="AG137" s="1293"/>
    </row>
    <row r="138" spans="1:33" ht="15.75">
      <c r="A138" s="1293"/>
      <c r="B138" s="1334" t="s">
        <v>2205</v>
      </c>
      <c r="C138" s="1334"/>
      <c r="D138" s="1713">
        <f>SUM(D136:D137)</f>
        <v>611.58992098195597</v>
      </c>
      <c r="E138" s="1293" t="s">
        <v>1823</v>
      </c>
      <c r="F138" s="1293"/>
      <c r="G138" s="1293"/>
      <c r="H138" s="1293"/>
      <c r="I138" s="1293"/>
      <c r="J138" s="1293"/>
      <c r="K138" s="1293"/>
      <c r="L138" s="1666"/>
      <c r="M138" s="1666"/>
      <c r="N138" s="1666"/>
      <c r="O138" s="1666"/>
      <c r="P138" s="1666"/>
      <c r="Q138" s="1666"/>
      <c r="R138" s="1666"/>
      <c r="S138" s="1293"/>
      <c r="T138" s="1293"/>
      <c r="U138" s="1293"/>
      <c r="V138" s="1293"/>
      <c r="W138" s="1293"/>
      <c r="X138" s="1293"/>
      <c r="Y138" s="1293"/>
      <c r="Z138" s="1653"/>
      <c r="AA138" s="1653"/>
      <c r="AB138" s="1653"/>
      <c r="AC138" s="1293"/>
      <c r="AD138" s="1293"/>
      <c r="AE138" s="1293"/>
      <c r="AF138" s="1293"/>
      <c r="AG138" s="1293"/>
    </row>
    <row r="139" spans="1:33" ht="15.75">
      <c r="A139" s="1293"/>
      <c r="B139" s="1293"/>
      <c r="C139" s="1293"/>
      <c r="D139" s="1293"/>
      <c r="E139" s="1293"/>
      <c r="F139" s="1293"/>
      <c r="G139" s="1293"/>
      <c r="H139" s="1293"/>
      <c r="I139" s="1293"/>
      <c r="J139" s="1293"/>
      <c r="K139" s="1293"/>
      <c r="L139" s="1653"/>
      <c r="M139" s="1653"/>
      <c r="N139" s="1653"/>
      <c r="O139" s="1653"/>
      <c r="P139" s="1653"/>
      <c r="Q139" s="1653"/>
      <c r="R139" s="1653"/>
      <c r="S139" s="1293"/>
      <c r="T139" s="1293"/>
      <c r="U139" s="1293"/>
      <c r="V139" s="1293"/>
      <c r="W139" s="1293"/>
      <c r="X139" s="1293"/>
      <c r="Y139" s="1293"/>
      <c r="Z139" s="1653"/>
      <c r="AA139" s="1653"/>
      <c r="AB139" s="1653"/>
      <c r="AC139" s="1293"/>
      <c r="AD139" s="1293"/>
      <c r="AE139" s="1293"/>
      <c r="AF139" s="1293"/>
      <c r="AG139" s="1293"/>
    </row>
    <row r="140" spans="1:33" ht="15.75">
      <c r="A140" s="1293"/>
      <c r="B140" s="1293"/>
      <c r="C140" s="1293"/>
      <c r="D140" s="1293"/>
      <c r="E140" s="1293"/>
      <c r="F140" s="1293"/>
      <c r="G140" s="1293"/>
      <c r="H140" s="1293"/>
      <c r="I140" s="1293"/>
      <c r="J140" s="1293"/>
      <c r="K140" s="1293"/>
      <c r="L140" s="1653"/>
      <c r="M140" s="1653"/>
      <c r="N140" s="1653"/>
      <c r="O140" s="1653"/>
      <c r="P140" s="1653"/>
      <c r="Q140" s="1653"/>
      <c r="R140" s="1653"/>
      <c r="S140" s="1293"/>
      <c r="T140" s="1293"/>
      <c r="U140" s="1293"/>
      <c r="V140" s="1293"/>
      <c r="W140" s="1293"/>
      <c r="X140" s="1293"/>
      <c r="Y140" s="1293"/>
      <c r="Z140" s="1653"/>
      <c r="AA140" s="1653"/>
      <c r="AB140" s="1653"/>
      <c r="AC140" s="1293"/>
      <c r="AD140" s="1293"/>
      <c r="AE140" s="1293"/>
      <c r="AF140" s="1293"/>
      <c r="AG140" s="1293"/>
    </row>
    <row r="141" spans="1:33" ht="15.75">
      <c r="A141" s="1293"/>
      <c r="B141" s="1832" t="s">
        <v>1665</v>
      </c>
      <c r="C141" s="1833"/>
      <c r="D141" s="1833"/>
      <c r="E141" s="1833"/>
      <c r="F141" s="1834"/>
      <c r="G141" s="1834">
        <v>2014</v>
      </c>
      <c r="H141" s="1834">
        <v>2015</v>
      </c>
      <c r="I141" s="1834">
        <v>2016</v>
      </c>
      <c r="J141" s="1834">
        <v>2017</v>
      </c>
      <c r="K141" s="1834">
        <v>2018</v>
      </c>
      <c r="L141" s="1834">
        <v>2019</v>
      </c>
      <c r="M141" s="1834">
        <v>2020</v>
      </c>
      <c r="N141" s="1834">
        <v>2021</v>
      </c>
      <c r="O141" s="1834">
        <v>2022</v>
      </c>
      <c r="P141" s="1834">
        <v>2023</v>
      </c>
      <c r="Q141" s="1834">
        <v>2024</v>
      </c>
      <c r="R141" s="1834">
        <v>2025</v>
      </c>
      <c r="S141" s="1834">
        <v>2026</v>
      </c>
      <c r="T141" s="1834">
        <v>2027</v>
      </c>
      <c r="U141" s="1834">
        <v>2028</v>
      </c>
      <c r="V141" s="1834">
        <v>2029</v>
      </c>
      <c r="W141" s="1834">
        <v>2030</v>
      </c>
      <c r="X141" s="1293"/>
      <c r="Y141" s="1293"/>
      <c r="Z141" s="1653"/>
      <c r="AA141" s="1653"/>
      <c r="AB141" s="1653"/>
      <c r="AC141" s="1293"/>
      <c r="AD141" s="1293"/>
      <c r="AE141" s="1293"/>
      <c r="AF141" s="1293"/>
      <c r="AG141" s="1293"/>
    </row>
    <row r="142" spans="1:33" ht="15.75">
      <c r="A142" s="1293"/>
      <c r="B142" s="1293" t="s">
        <v>1938</v>
      </c>
      <c r="C142" s="1835">
        <v>9.5000000000000001E-2</v>
      </c>
      <c r="D142" s="1666"/>
      <c r="E142" s="1666"/>
      <c r="F142" s="1293"/>
      <c r="G142" s="1293"/>
      <c r="H142" s="1293"/>
      <c r="I142" s="1293"/>
      <c r="J142" s="1293"/>
      <c r="K142" s="1293"/>
      <c r="L142" s="1293"/>
      <c r="M142" s="1293"/>
      <c r="N142" s="1293"/>
      <c r="O142" s="1293"/>
      <c r="P142" s="1293"/>
      <c r="Q142" s="1293"/>
      <c r="R142" s="1293"/>
      <c r="S142" s="1293"/>
      <c r="T142" s="1293"/>
      <c r="U142" s="1293"/>
      <c r="V142" s="1293"/>
      <c r="W142" s="1293"/>
      <c r="X142" s="1293"/>
      <c r="Y142" s="1293"/>
      <c r="Z142" s="1653"/>
      <c r="AA142" s="1653"/>
      <c r="AB142" s="1653"/>
      <c r="AC142" s="1293"/>
      <c r="AD142" s="1293"/>
      <c r="AE142" s="1293"/>
      <c r="AF142" s="1293"/>
      <c r="AG142" s="1293"/>
    </row>
    <row r="143" spans="1:33" ht="15.75">
      <c r="A143" s="1293"/>
      <c r="B143" s="1293" t="s">
        <v>682</v>
      </c>
      <c r="C143" s="1836">
        <v>0.3</v>
      </c>
      <c r="D143" s="1293"/>
      <c r="E143" s="1293"/>
      <c r="F143" s="1293"/>
      <c r="G143" s="1688">
        <f>C143</f>
        <v>0.3</v>
      </c>
      <c r="H143" s="1688">
        <f t="shared" ref="H143:W143" si="139">G143</f>
        <v>0.3</v>
      </c>
      <c r="I143" s="1688">
        <f t="shared" si="139"/>
        <v>0.3</v>
      </c>
      <c r="J143" s="1688">
        <f t="shared" si="139"/>
        <v>0.3</v>
      </c>
      <c r="K143" s="1688">
        <f t="shared" si="139"/>
        <v>0.3</v>
      </c>
      <c r="L143" s="1688">
        <f t="shared" si="139"/>
        <v>0.3</v>
      </c>
      <c r="M143" s="1688">
        <f t="shared" si="139"/>
        <v>0.3</v>
      </c>
      <c r="N143" s="1688">
        <f t="shared" si="139"/>
        <v>0.3</v>
      </c>
      <c r="O143" s="1688">
        <f>N143</f>
        <v>0.3</v>
      </c>
      <c r="P143" s="1688">
        <f t="shared" si="139"/>
        <v>0.3</v>
      </c>
      <c r="Q143" s="1688">
        <f t="shared" si="139"/>
        <v>0.3</v>
      </c>
      <c r="R143" s="1688">
        <f t="shared" si="139"/>
        <v>0.3</v>
      </c>
      <c r="S143" s="1688">
        <f t="shared" si="139"/>
        <v>0.3</v>
      </c>
      <c r="T143" s="1688">
        <f t="shared" si="139"/>
        <v>0.3</v>
      </c>
      <c r="U143" s="1688">
        <f t="shared" si="139"/>
        <v>0.3</v>
      </c>
      <c r="V143" s="1688">
        <f t="shared" si="139"/>
        <v>0.3</v>
      </c>
      <c r="W143" s="1688">
        <f t="shared" si="139"/>
        <v>0.3</v>
      </c>
      <c r="X143" s="1293"/>
      <c r="Y143" s="1293"/>
      <c r="Z143" s="1653"/>
      <c r="AA143" s="1653"/>
      <c r="AB143" s="1653"/>
      <c r="AC143" s="1293"/>
      <c r="AD143" s="1293"/>
      <c r="AE143" s="1293"/>
      <c r="AF143" s="1293"/>
      <c r="AG143" s="1293"/>
    </row>
    <row r="144" spans="1:33" ht="15.75">
      <c r="A144" s="1293"/>
      <c r="B144" s="1293" t="s">
        <v>683</v>
      </c>
      <c r="C144" s="1835">
        <v>0</v>
      </c>
      <c r="D144" s="1293"/>
      <c r="E144" s="1293"/>
      <c r="F144" s="1293"/>
      <c r="G144" s="1293"/>
      <c r="H144" s="1293"/>
      <c r="I144" s="1293"/>
      <c r="J144" s="1293"/>
      <c r="K144" s="1293"/>
      <c r="L144" s="1293"/>
      <c r="M144" s="1293"/>
      <c r="N144" s="1293"/>
      <c r="O144" s="1293"/>
      <c r="P144" s="1293"/>
      <c r="Q144" s="1293"/>
      <c r="R144" s="1293"/>
      <c r="S144" s="1293"/>
      <c r="T144" s="1293"/>
      <c r="U144" s="1293"/>
      <c r="V144" s="1293"/>
      <c r="W144" s="1293"/>
      <c r="X144" s="1293"/>
      <c r="Y144" s="1293"/>
      <c r="Z144" s="1653"/>
      <c r="AA144" s="1653"/>
      <c r="AB144" s="1653"/>
      <c r="AC144" s="1293"/>
      <c r="AD144" s="1293"/>
      <c r="AE144" s="1293"/>
      <c r="AF144" s="1293"/>
      <c r="AG144" s="1293"/>
    </row>
    <row r="145" spans="1:33" ht="15.75">
      <c r="A145" s="1293"/>
      <c r="B145" s="1293"/>
      <c r="C145" s="1293"/>
      <c r="D145" s="1293"/>
      <c r="E145" s="1293"/>
      <c r="F145" s="1293"/>
      <c r="G145" s="1293"/>
      <c r="H145" s="1293"/>
      <c r="I145" s="1293"/>
      <c r="J145" s="1293"/>
      <c r="K145" s="1293"/>
      <c r="L145" s="1293"/>
      <c r="M145" s="1293"/>
      <c r="N145" s="1293"/>
      <c r="O145" s="1293"/>
      <c r="P145" s="1293"/>
      <c r="Q145" s="1293">
        <v>0</v>
      </c>
      <c r="R145" s="1293">
        <v>0</v>
      </c>
      <c r="S145" s="1293">
        <f t="shared" ref="S145:W145" si="140">R145+1</f>
        <v>1</v>
      </c>
      <c r="T145" s="1293">
        <f t="shared" si="140"/>
        <v>2</v>
      </c>
      <c r="U145" s="1293">
        <f t="shared" si="140"/>
        <v>3</v>
      </c>
      <c r="V145" s="1293">
        <f t="shared" si="140"/>
        <v>4</v>
      </c>
      <c r="W145" s="1293">
        <f t="shared" si="140"/>
        <v>5</v>
      </c>
      <c r="X145" s="1293"/>
      <c r="Y145" s="1293"/>
      <c r="Z145" s="1653"/>
      <c r="AA145" s="1653"/>
      <c r="AB145" s="1653"/>
      <c r="AC145" s="1293"/>
      <c r="AD145" s="1293"/>
      <c r="AE145" s="1293"/>
      <c r="AF145" s="1293"/>
      <c r="AG145" s="1293"/>
    </row>
    <row r="146" spans="1:33" ht="15.75">
      <c r="A146" s="1293"/>
      <c r="B146" s="1293" t="s">
        <v>1937</v>
      </c>
      <c r="C146" s="1293"/>
      <c r="D146" s="1707"/>
      <c r="E146" s="1707"/>
      <c r="F146" s="1707"/>
      <c r="G146" s="1707"/>
      <c r="H146" s="1707"/>
      <c r="I146" s="1707"/>
      <c r="J146" s="1707"/>
      <c r="K146" s="1707"/>
      <c r="L146" s="1707"/>
      <c r="M146" s="1707"/>
      <c r="N146" s="1707"/>
      <c r="O146" s="1707"/>
      <c r="P146" s="1707"/>
      <c r="Q146" s="1707">
        <f t="shared" ref="Q146:W146" si="141">1/(1+$C142)^Q145</f>
        <v>1</v>
      </c>
      <c r="R146" s="1707">
        <f t="shared" si="141"/>
        <v>1</v>
      </c>
      <c r="S146" s="1707">
        <f t="shared" si="141"/>
        <v>0.91324200913242015</v>
      </c>
      <c r="T146" s="1707">
        <f t="shared" si="141"/>
        <v>0.8340109672442193</v>
      </c>
      <c r="U146" s="1707">
        <f t="shared" si="141"/>
        <v>0.76165385136458386</v>
      </c>
      <c r="V146" s="1707">
        <f t="shared" si="141"/>
        <v>0.6955742934836382</v>
      </c>
      <c r="W146" s="1707">
        <f t="shared" si="141"/>
        <v>0.63522766528186136</v>
      </c>
      <c r="X146" s="1293"/>
      <c r="Y146" s="1293"/>
      <c r="Z146" s="1653"/>
      <c r="AA146" s="1653"/>
      <c r="AB146" s="1653"/>
      <c r="AC146" s="1293"/>
      <c r="AD146" s="1293"/>
      <c r="AE146" s="1293"/>
      <c r="AF146" s="1293"/>
      <c r="AG146" s="1293"/>
    </row>
    <row r="147" spans="1:33" ht="15.75">
      <c r="A147" s="1293"/>
      <c r="B147" s="1293" t="s">
        <v>2204</v>
      </c>
      <c r="C147" s="1666"/>
      <c r="D147" s="1666"/>
      <c r="E147" s="1666"/>
      <c r="F147" s="1666"/>
      <c r="G147" s="1666"/>
      <c r="H147" s="1666"/>
      <c r="I147" s="1666"/>
      <c r="J147" s="1666"/>
      <c r="K147" s="1666"/>
      <c r="L147" s="1666"/>
      <c r="M147" s="1666"/>
      <c r="N147" s="1666"/>
      <c r="O147" s="1666"/>
      <c r="P147" s="1666"/>
      <c r="Q147" s="1666">
        <f>'New split'!N463</f>
        <v>381.32209999999998</v>
      </c>
      <c r="R147" s="1666">
        <f>'New split'!O463</f>
        <v>394.23677742339771</v>
      </c>
      <c r="S147" s="1666">
        <f>'New split'!P463</f>
        <v>416.96586179597443</v>
      </c>
      <c r="T147" s="1666">
        <f>'New split'!Q463</f>
        <v>434.97632640212692</v>
      </c>
      <c r="U147" s="1666">
        <f>'New split'!R463</f>
        <v>448.32039165786659</v>
      </c>
      <c r="V147" s="1666">
        <f>'New split'!S463</f>
        <v>466.96960833667845</v>
      </c>
      <c r="W147" s="1666">
        <f>'New split'!T463</f>
        <v>483.63658403391105</v>
      </c>
      <c r="X147" s="1293"/>
      <c r="Y147" s="1293"/>
      <c r="Z147" s="1653"/>
      <c r="AA147" s="1653"/>
      <c r="AB147" s="1653"/>
      <c r="AC147" s="1293"/>
      <c r="AD147" s="1293"/>
      <c r="AE147" s="1293"/>
      <c r="AF147" s="1293"/>
      <c r="AG147" s="1293"/>
    </row>
    <row r="148" spans="1:33" ht="15.75">
      <c r="A148" s="1293"/>
      <c r="B148" s="1334" t="s">
        <v>1936</v>
      </c>
      <c r="C148" s="1334"/>
      <c r="D148" s="1685"/>
      <c r="E148" s="1685"/>
      <c r="F148" s="1685"/>
      <c r="G148" s="1685"/>
      <c r="H148" s="1685"/>
      <c r="I148" s="1685"/>
      <c r="J148" s="1685"/>
      <c r="K148" s="1685"/>
      <c r="L148" s="1685"/>
      <c r="M148" s="1685"/>
      <c r="N148" s="1713"/>
      <c r="O148" s="1713"/>
      <c r="P148" s="1713"/>
      <c r="Q148" s="1713">
        <f t="shared" ref="Q148:W148" si="142">Q147*(1-Q143)</f>
        <v>266.92546999999996</v>
      </c>
      <c r="R148" s="1713">
        <f t="shared" si="142"/>
        <v>275.96574419637835</v>
      </c>
      <c r="S148" s="1713">
        <f t="shared" si="142"/>
        <v>291.87610325718208</v>
      </c>
      <c r="T148" s="1713">
        <f t="shared" si="142"/>
        <v>304.48342848148883</v>
      </c>
      <c r="U148" s="1713">
        <f t="shared" si="142"/>
        <v>313.8242741605066</v>
      </c>
      <c r="V148" s="1713">
        <f t="shared" si="142"/>
        <v>326.87872583567491</v>
      </c>
      <c r="W148" s="1713">
        <f t="shared" si="142"/>
        <v>338.54560882373772</v>
      </c>
      <c r="X148" s="1293"/>
      <c r="Y148" s="1293"/>
      <c r="Z148" s="1653"/>
      <c r="AA148" s="1653"/>
      <c r="AB148" s="1653"/>
      <c r="AC148" s="1293"/>
      <c r="AD148" s="1293"/>
      <c r="AE148" s="1293"/>
      <c r="AF148" s="1293"/>
      <c r="AG148" s="1293"/>
    </row>
    <row r="149" spans="1:33" ht="15.75">
      <c r="A149" s="1293"/>
      <c r="B149" s="1293"/>
      <c r="C149" s="1293"/>
      <c r="D149" s="1666"/>
      <c r="E149" s="1666"/>
      <c r="F149" s="1666"/>
      <c r="G149" s="1293"/>
      <c r="H149" s="1293"/>
      <c r="I149" s="1293"/>
      <c r="J149" s="1293"/>
      <c r="K149" s="1293"/>
      <c r="L149" s="1293"/>
      <c r="M149" s="1293"/>
      <c r="N149" s="1327"/>
      <c r="O149" s="1327"/>
      <c r="P149" s="1327"/>
      <c r="Q149" s="1327"/>
      <c r="R149" s="1327"/>
      <c r="S149" s="1327"/>
      <c r="T149" s="1327"/>
      <c r="U149" s="1327"/>
      <c r="V149" s="1327"/>
      <c r="W149" s="1327"/>
      <c r="X149" s="1293"/>
      <c r="Y149" s="1293"/>
      <c r="Z149" s="1653"/>
      <c r="AA149" s="1653"/>
      <c r="AB149" s="1653"/>
      <c r="AC149" s="1293"/>
      <c r="AD149" s="1293"/>
      <c r="AE149" s="1293"/>
      <c r="AF149" s="1293"/>
      <c r="AG149" s="1293"/>
    </row>
    <row r="150" spans="1:33" ht="15.75">
      <c r="A150" s="1293"/>
      <c r="B150" s="1293" t="s">
        <v>684</v>
      </c>
      <c r="C150" s="1293"/>
      <c r="D150" s="1666"/>
      <c r="E150" s="1666"/>
      <c r="F150" s="1666"/>
      <c r="G150" s="1666"/>
      <c r="H150" s="1666"/>
      <c r="I150" s="1666"/>
      <c r="J150" s="1666"/>
      <c r="K150" s="1666"/>
      <c r="L150" s="1666"/>
      <c r="M150" s="1666"/>
      <c r="N150" s="1675"/>
      <c r="O150" s="1675"/>
      <c r="P150" s="1675"/>
      <c r="Q150" s="1675">
        <f t="shared" ref="Q150:W150" si="143">Q148*Q146</f>
        <v>266.92546999999996</v>
      </c>
      <c r="R150" s="1675">
        <f t="shared" si="143"/>
        <v>275.96574419637835</v>
      </c>
      <c r="S150" s="1675">
        <f t="shared" si="143"/>
        <v>266.55351895633066</v>
      </c>
      <c r="T150" s="1675">
        <f t="shared" si="143"/>
        <v>253.94251869768257</v>
      </c>
      <c r="U150" s="1675">
        <f t="shared" si="143"/>
        <v>239.02546706604491</v>
      </c>
      <c r="V150" s="1675">
        <f t="shared" si="143"/>
        <v>227.36843877798145</v>
      </c>
      <c r="W150" s="1675">
        <f t="shared" si="143"/>
        <v>215.05353668452923</v>
      </c>
      <c r="X150" s="1293"/>
      <c r="Y150" s="1293"/>
      <c r="Z150" s="1653"/>
      <c r="AA150" s="1653"/>
      <c r="AB150" s="1653"/>
      <c r="AC150" s="1293"/>
      <c r="AD150" s="1293"/>
      <c r="AE150" s="1293"/>
      <c r="AF150" s="1293"/>
      <c r="AG150" s="1293"/>
    </row>
    <row r="151" spans="1:33" ht="15.75">
      <c r="A151" s="1293"/>
      <c r="B151" s="1293" t="s">
        <v>685</v>
      </c>
      <c r="C151" s="1293"/>
      <c r="D151" s="1675">
        <f>SUM(S150:W150)</f>
        <v>1201.9434801825689</v>
      </c>
      <c r="E151" s="1293"/>
      <c r="F151" s="1293"/>
      <c r="G151" s="1293"/>
      <c r="H151" s="1293"/>
      <c r="I151" s="1293"/>
      <c r="J151" s="1293"/>
      <c r="K151" s="1293"/>
      <c r="L151" s="1653"/>
      <c r="M151" s="1666"/>
      <c r="N151" s="1666"/>
      <c r="O151" s="1666"/>
      <c r="P151" s="1666"/>
      <c r="Q151" s="1666"/>
      <c r="R151" s="1666"/>
      <c r="S151" s="1293"/>
      <c r="T151" s="1293"/>
      <c r="U151" s="1293"/>
      <c r="V151" s="1293"/>
      <c r="W151" s="1293"/>
      <c r="X151" s="1293"/>
      <c r="Y151" s="1293"/>
      <c r="Z151" s="1653"/>
      <c r="AA151" s="1653"/>
      <c r="AB151" s="1653"/>
      <c r="AC151" s="1293"/>
      <c r="AD151" s="1293"/>
      <c r="AE151" s="1293"/>
      <c r="AF151" s="1293"/>
      <c r="AG151" s="1293"/>
    </row>
    <row r="152" spans="1:33" ht="15.75">
      <c r="A152" s="1293"/>
      <c r="B152" s="1293" t="s">
        <v>2203</v>
      </c>
      <c r="C152" s="1293"/>
      <c r="D152" s="1705">
        <f>W150/(C142-C144)</f>
        <v>2263.7214387845183</v>
      </c>
      <c r="E152" s="1293"/>
      <c r="F152" s="1293"/>
      <c r="G152" s="1293"/>
      <c r="H152" s="1293"/>
      <c r="I152" s="1293"/>
      <c r="J152" s="1293"/>
      <c r="K152" s="1293"/>
      <c r="L152" s="1666"/>
      <c r="M152" s="1666"/>
      <c r="N152" s="1666"/>
      <c r="O152" s="1666"/>
      <c r="P152" s="1666"/>
      <c r="Q152" s="1666"/>
      <c r="R152" s="1666"/>
      <c r="S152" s="1293"/>
      <c r="T152" s="1293"/>
      <c r="U152" s="1293"/>
      <c r="V152" s="1293"/>
      <c r="W152" s="1293"/>
      <c r="X152" s="1293"/>
      <c r="Y152" s="1293"/>
      <c r="Z152" s="1653"/>
      <c r="AA152" s="1653"/>
      <c r="AB152" s="1653"/>
      <c r="AC152" s="1293"/>
      <c r="AD152" s="1293"/>
      <c r="AE152" s="1293"/>
      <c r="AF152" s="1293"/>
      <c r="AG152" s="1293"/>
    </row>
    <row r="153" spans="1:33" ht="15.75">
      <c r="A153" s="1293"/>
      <c r="B153" s="1334" t="s">
        <v>2205</v>
      </c>
      <c r="C153" s="1334"/>
      <c r="D153" s="1713">
        <f>SUM(D151:D152)</f>
        <v>3465.664918967087</v>
      </c>
      <c r="E153" s="1293" t="s">
        <v>1823</v>
      </c>
      <c r="F153" s="1293"/>
      <c r="G153" s="1293"/>
      <c r="H153" s="1293"/>
      <c r="I153" s="1293"/>
      <c r="J153" s="1293"/>
      <c r="K153" s="1293"/>
      <c r="L153" s="1666"/>
      <c r="M153" s="1666"/>
      <c r="N153" s="1666"/>
      <c r="O153" s="1666"/>
      <c r="P153" s="1666"/>
      <c r="Q153" s="1666"/>
      <c r="R153" s="1666"/>
      <c r="S153" s="1293"/>
      <c r="T153" s="1293"/>
      <c r="U153" s="1293"/>
      <c r="V153" s="1293"/>
      <c r="W153" s="1293"/>
      <c r="X153" s="1293"/>
      <c r="Y153" s="1293"/>
      <c r="Z153" s="1653"/>
      <c r="AA153" s="1653"/>
      <c r="AB153" s="1653"/>
      <c r="AC153" s="1293"/>
      <c r="AD153" s="1293"/>
      <c r="AE153" s="1293"/>
      <c r="AF153" s="1293"/>
      <c r="AG153" s="1293"/>
    </row>
    <row r="154" spans="1:33" ht="15.75">
      <c r="A154" s="1293"/>
      <c r="B154" s="1293"/>
      <c r="C154" s="1293"/>
      <c r="D154" s="1293"/>
      <c r="E154" s="1293"/>
      <c r="F154" s="1293"/>
      <c r="G154" s="1293"/>
      <c r="H154" s="1293"/>
      <c r="I154" s="1293"/>
      <c r="J154" s="1293"/>
      <c r="K154" s="1293"/>
      <c r="L154" s="1653"/>
      <c r="M154" s="1653"/>
      <c r="N154" s="1653"/>
      <c r="O154" s="1653"/>
      <c r="P154" s="1653"/>
      <c r="Q154" s="1653"/>
      <c r="R154" s="1653"/>
      <c r="S154" s="1293"/>
      <c r="T154" s="1293"/>
      <c r="U154" s="1293"/>
      <c r="V154" s="1293"/>
      <c r="W154" s="1293"/>
      <c r="X154" s="1293"/>
      <c r="Y154" s="1293"/>
      <c r="Z154" s="1653"/>
      <c r="AA154" s="1653"/>
      <c r="AB154" s="1653"/>
      <c r="AC154" s="1293"/>
      <c r="AD154" s="1293"/>
      <c r="AE154" s="1293"/>
      <c r="AF154" s="1293"/>
      <c r="AG154" s="1293"/>
    </row>
    <row r="155" spans="1:33" ht="15.75">
      <c r="A155" s="1293"/>
      <c r="B155" s="1293"/>
      <c r="C155" s="1293"/>
      <c r="D155" s="1293"/>
      <c r="E155" s="1293"/>
      <c r="F155" s="1293"/>
      <c r="G155" s="1293"/>
      <c r="H155" s="1293"/>
      <c r="I155" s="1293"/>
      <c r="J155" s="1293"/>
      <c r="K155" s="1293"/>
      <c r="L155" s="1653"/>
      <c r="M155" s="1653"/>
      <c r="N155" s="1653"/>
      <c r="O155" s="1653"/>
      <c r="P155" s="1653"/>
      <c r="Q155" s="1653"/>
      <c r="R155" s="1653"/>
      <c r="S155" s="1293"/>
      <c r="T155" s="1293"/>
      <c r="U155" s="1293"/>
      <c r="V155" s="1293"/>
      <c r="W155" s="1293"/>
      <c r="X155" s="1293"/>
      <c r="Y155" s="1293"/>
      <c r="Z155" s="1653"/>
      <c r="AA155" s="1653"/>
      <c r="AB155" s="1653"/>
      <c r="AC155" s="1293"/>
      <c r="AD155" s="1293"/>
      <c r="AE155" s="1293"/>
      <c r="AF155" s="1293"/>
      <c r="AG155" s="1293"/>
    </row>
    <row r="156" spans="1:33" ht="15.75">
      <c r="A156" s="1293"/>
      <c r="B156" s="1832" t="s">
        <v>2378</v>
      </c>
      <c r="C156" s="1833"/>
      <c r="D156" s="1833"/>
      <c r="E156" s="1833"/>
      <c r="F156" s="1834"/>
      <c r="G156" s="1834">
        <v>2014</v>
      </c>
      <c r="H156" s="1834">
        <v>2015</v>
      </c>
      <c r="I156" s="1834">
        <v>2016</v>
      </c>
      <c r="J156" s="1834">
        <v>2017</v>
      </c>
      <c r="K156" s="1834">
        <v>2018</v>
      </c>
      <c r="L156" s="1834">
        <v>2019</v>
      </c>
      <c r="M156" s="1834">
        <v>2020</v>
      </c>
      <c r="N156" s="1834">
        <v>2021</v>
      </c>
      <c r="O156" s="1834">
        <v>2022</v>
      </c>
      <c r="P156" s="1834">
        <v>2023</v>
      </c>
      <c r="Q156" s="1834">
        <v>2024</v>
      </c>
      <c r="R156" s="1834">
        <v>2025</v>
      </c>
      <c r="S156" s="1834">
        <v>2026</v>
      </c>
      <c r="T156" s="1834">
        <v>2027</v>
      </c>
      <c r="U156" s="1834">
        <v>2028</v>
      </c>
      <c r="V156" s="1834">
        <v>2029</v>
      </c>
      <c r="W156" s="1834">
        <v>2030</v>
      </c>
      <c r="X156" s="1293"/>
      <c r="Y156" s="1293"/>
      <c r="Z156" s="1653"/>
      <c r="AA156" s="1653"/>
      <c r="AB156" s="1653"/>
      <c r="AC156" s="1293"/>
      <c r="AD156" s="1293"/>
      <c r="AE156" s="1293"/>
      <c r="AF156" s="1293"/>
      <c r="AG156" s="1293"/>
    </row>
    <row r="157" spans="1:33" ht="15.75">
      <c r="A157" s="1293"/>
      <c r="B157" s="1293" t="s">
        <v>1938</v>
      </c>
      <c r="C157" s="1835">
        <v>9.5000000000000001E-2</v>
      </c>
      <c r="D157" s="1666"/>
      <c r="E157" s="1666"/>
      <c r="F157" s="1293"/>
      <c r="G157" s="1293"/>
      <c r="H157" s="1293"/>
      <c r="I157" s="1293"/>
      <c r="J157" s="1293"/>
      <c r="K157" s="1293"/>
      <c r="L157" s="1293"/>
      <c r="M157" s="1293"/>
      <c r="N157" s="1293"/>
      <c r="O157" s="1293"/>
      <c r="P157" s="1293"/>
      <c r="Q157" s="1293"/>
      <c r="R157" s="1293"/>
      <c r="S157" s="1293"/>
      <c r="T157" s="1293"/>
      <c r="U157" s="1293"/>
      <c r="V157" s="1293"/>
      <c r="W157" s="1293"/>
      <c r="X157" s="1293"/>
      <c r="Y157" s="1293"/>
      <c r="Z157" s="1653"/>
      <c r="AA157" s="1653"/>
      <c r="AB157" s="1653"/>
      <c r="AC157" s="1293"/>
      <c r="AD157" s="1293"/>
      <c r="AE157" s="1293"/>
      <c r="AF157" s="1293"/>
      <c r="AG157" s="1293"/>
    </row>
    <row r="158" spans="1:33" ht="15.75">
      <c r="A158" s="1293"/>
      <c r="B158" s="1293" t="s">
        <v>682</v>
      </c>
      <c r="C158" s="1836">
        <v>0.16200000000000001</v>
      </c>
      <c r="D158" s="1293"/>
      <c r="E158" s="1293"/>
      <c r="F158" s="1293"/>
      <c r="G158" s="1688">
        <f>C158</f>
        <v>0.16200000000000001</v>
      </c>
      <c r="H158" s="1688">
        <f t="shared" ref="H158" si="144">G158</f>
        <v>0.16200000000000001</v>
      </c>
      <c r="I158" s="1688">
        <f t="shared" ref="I158" si="145">H158</f>
        <v>0.16200000000000001</v>
      </c>
      <c r="J158" s="1688">
        <f t="shared" ref="J158" si="146">I158</f>
        <v>0.16200000000000001</v>
      </c>
      <c r="K158" s="1688">
        <f t="shared" ref="K158" si="147">J158</f>
        <v>0.16200000000000001</v>
      </c>
      <c r="L158" s="1688">
        <f t="shared" ref="L158" si="148">K158</f>
        <v>0.16200000000000001</v>
      </c>
      <c r="M158" s="1688">
        <f t="shared" ref="M158" si="149">L158</f>
        <v>0.16200000000000001</v>
      </c>
      <c r="N158" s="1688">
        <f t="shared" ref="N158" si="150">M158</f>
        <v>0.16200000000000001</v>
      </c>
      <c r="O158" s="1688">
        <f>N158</f>
        <v>0.16200000000000001</v>
      </c>
      <c r="P158" s="1688">
        <f t="shared" ref="P158" si="151">O158</f>
        <v>0.16200000000000001</v>
      </c>
      <c r="Q158" s="1688">
        <f t="shared" ref="Q158" si="152">P158</f>
        <v>0.16200000000000001</v>
      </c>
      <c r="R158" s="1688">
        <f t="shared" ref="R158" si="153">Q158</f>
        <v>0.16200000000000001</v>
      </c>
      <c r="S158" s="1688">
        <f t="shared" ref="S158" si="154">R158</f>
        <v>0.16200000000000001</v>
      </c>
      <c r="T158" s="1688">
        <f t="shared" ref="T158" si="155">S158</f>
        <v>0.16200000000000001</v>
      </c>
      <c r="U158" s="1688">
        <f t="shared" ref="U158" si="156">T158</f>
        <v>0.16200000000000001</v>
      </c>
      <c r="V158" s="1688">
        <f t="shared" ref="V158" si="157">U158</f>
        <v>0.16200000000000001</v>
      </c>
      <c r="W158" s="1688">
        <f t="shared" ref="W158" si="158">V158</f>
        <v>0.16200000000000001</v>
      </c>
      <c r="X158" s="1293"/>
      <c r="Y158" s="1293"/>
      <c r="Z158" s="1653"/>
      <c r="AA158" s="1653"/>
      <c r="AB158" s="1653"/>
      <c r="AC158" s="1293"/>
      <c r="AD158" s="1293"/>
      <c r="AE158" s="1293"/>
      <c r="AF158" s="1293"/>
      <c r="AG158" s="1293"/>
    </row>
    <row r="159" spans="1:33" ht="15.75">
      <c r="A159" s="1293"/>
      <c r="B159" s="1293" t="s">
        <v>683</v>
      </c>
      <c r="C159" s="1835">
        <v>0</v>
      </c>
      <c r="D159" s="1293"/>
      <c r="E159" s="1293"/>
      <c r="F159" s="1293"/>
      <c r="G159" s="1293"/>
      <c r="H159" s="1293"/>
      <c r="I159" s="1293"/>
      <c r="J159" s="1293"/>
      <c r="K159" s="1293"/>
      <c r="L159" s="1293"/>
      <c r="M159" s="1293"/>
      <c r="N159" s="1293"/>
      <c r="O159" s="1293"/>
      <c r="P159" s="1293"/>
      <c r="Q159" s="1293"/>
      <c r="R159" s="1293"/>
      <c r="S159" s="1293"/>
      <c r="T159" s="1293"/>
      <c r="U159" s="1293"/>
      <c r="V159" s="1293"/>
      <c r="W159" s="1293"/>
      <c r="X159" s="1293"/>
      <c r="Y159" s="1293"/>
      <c r="Z159" s="1653"/>
      <c r="AA159" s="1653"/>
      <c r="AB159" s="1653"/>
      <c r="AC159" s="1293"/>
      <c r="AD159" s="1293"/>
      <c r="AE159" s="1293"/>
      <c r="AF159" s="1293"/>
      <c r="AG159" s="1293"/>
    </row>
    <row r="160" spans="1:33" ht="15.75">
      <c r="A160" s="1293"/>
      <c r="B160" s="1293"/>
      <c r="C160" s="1293"/>
      <c r="D160" s="1293"/>
      <c r="E160" s="1293"/>
      <c r="F160" s="1293"/>
      <c r="G160" s="1293"/>
      <c r="H160" s="1293"/>
      <c r="I160" s="1293"/>
      <c r="J160" s="1293"/>
      <c r="K160" s="1293"/>
      <c r="L160" s="1293"/>
      <c r="M160" s="1293"/>
      <c r="N160" s="1293"/>
      <c r="O160" s="1293"/>
      <c r="P160" s="1293"/>
      <c r="Q160" s="1293">
        <v>0</v>
      </c>
      <c r="R160" s="1293">
        <v>0</v>
      </c>
      <c r="S160" s="1293">
        <f t="shared" ref="S160" si="159">R160+1</f>
        <v>1</v>
      </c>
      <c r="T160" s="1293">
        <f t="shared" ref="T160" si="160">S160+1</f>
        <v>2</v>
      </c>
      <c r="U160" s="1293">
        <f t="shared" ref="U160" si="161">T160+1</f>
        <v>3</v>
      </c>
      <c r="V160" s="1293">
        <f t="shared" ref="V160" si="162">U160+1</f>
        <v>4</v>
      </c>
      <c r="W160" s="1293">
        <f t="shared" ref="W160" si="163">V160+1</f>
        <v>5</v>
      </c>
      <c r="X160" s="1293"/>
      <c r="Y160" s="1293"/>
      <c r="Z160" s="1653"/>
      <c r="AA160" s="1653"/>
      <c r="AB160" s="1653"/>
      <c r="AC160" s="1293"/>
      <c r="AD160" s="1293"/>
      <c r="AE160" s="1293"/>
      <c r="AF160" s="1293"/>
      <c r="AG160" s="1293"/>
    </row>
    <row r="161" spans="1:33" ht="15.75">
      <c r="A161" s="1293"/>
      <c r="B161" s="1293" t="s">
        <v>1937</v>
      </c>
      <c r="C161" s="1293"/>
      <c r="D161" s="1707"/>
      <c r="E161" s="1707"/>
      <c r="F161" s="1707"/>
      <c r="G161" s="1707"/>
      <c r="H161" s="1707"/>
      <c r="I161" s="1707"/>
      <c r="J161" s="1707"/>
      <c r="K161" s="1707"/>
      <c r="L161" s="1707"/>
      <c r="M161" s="1707"/>
      <c r="N161" s="1707"/>
      <c r="O161" s="1707"/>
      <c r="P161" s="1707"/>
      <c r="Q161" s="1707">
        <f t="shared" ref="Q161:W161" si="164">1/(1+$C157)^Q160</f>
        <v>1</v>
      </c>
      <c r="R161" s="1707">
        <f t="shared" si="164"/>
        <v>1</v>
      </c>
      <c r="S161" s="1707">
        <f t="shared" si="164"/>
        <v>0.91324200913242015</v>
      </c>
      <c r="T161" s="1707">
        <f t="shared" si="164"/>
        <v>0.8340109672442193</v>
      </c>
      <c r="U161" s="1707">
        <f t="shared" si="164"/>
        <v>0.76165385136458386</v>
      </c>
      <c r="V161" s="1707">
        <f t="shared" si="164"/>
        <v>0.6955742934836382</v>
      </c>
      <c r="W161" s="1707">
        <f t="shared" si="164"/>
        <v>0.63522766528186136</v>
      </c>
      <c r="X161" s="1293"/>
      <c r="Y161" s="1293"/>
      <c r="Z161" s="1653"/>
      <c r="AA161" s="1653"/>
      <c r="AB161" s="1653"/>
      <c r="AC161" s="1293"/>
      <c r="AD161" s="1293"/>
      <c r="AE161" s="1293"/>
      <c r="AF161" s="1293"/>
      <c r="AG161" s="1293"/>
    </row>
    <row r="162" spans="1:33" ht="15.75">
      <c r="A162" s="1293"/>
      <c r="B162" s="1293" t="s">
        <v>2204</v>
      </c>
      <c r="C162" s="1666"/>
      <c r="D162" s="1666"/>
      <c r="E162" s="1666"/>
      <c r="F162" s="1666"/>
      <c r="G162" s="1666"/>
      <c r="H162" s="1666"/>
      <c r="I162" s="1666"/>
      <c r="J162" s="1666"/>
      <c r="K162" s="1666"/>
      <c r="L162" s="1666"/>
      <c r="M162" s="1666"/>
      <c r="N162" s="1666"/>
      <c r="O162" s="1666"/>
      <c r="P162" s="1666"/>
      <c r="Q162" s="1666">
        <f>'New split'!N464</f>
        <v>194.68740000000003</v>
      </c>
      <c r="R162" s="1666">
        <f>'New split'!O464</f>
        <v>188.21471846837727</v>
      </c>
      <c r="S162" s="1666">
        <f>'New split'!P464</f>
        <v>191.37723119611911</v>
      </c>
      <c r="T162" s="1666">
        <f>'New split'!Q464</f>
        <v>196.89447516414012</v>
      </c>
      <c r="U162" s="1666">
        <f>'New split'!R464</f>
        <v>202.53133698453433</v>
      </c>
      <c r="V162" s="1666">
        <f>'New split'!S464</f>
        <v>208.74661678274174</v>
      </c>
      <c r="W162" s="1666">
        <f>'New split'!T464</f>
        <v>215.48463546823814</v>
      </c>
      <c r="X162" s="1293"/>
      <c r="Y162" s="1293"/>
      <c r="Z162" s="1653"/>
      <c r="AA162" s="1653"/>
      <c r="AB162" s="1653"/>
      <c r="AC162" s="1293"/>
      <c r="AD162" s="1293"/>
      <c r="AE162" s="1293"/>
      <c r="AF162" s="1293"/>
      <c r="AG162" s="1293"/>
    </row>
    <row r="163" spans="1:33" ht="15.75">
      <c r="A163" s="1293"/>
      <c r="B163" s="1334" t="s">
        <v>1936</v>
      </c>
      <c r="C163" s="1334"/>
      <c r="D163" s="1685"/>
      <c r="E163" s="1685"/>
      <c r="F163" s="1685"/>
      <c r="G163" s="1685"/>
      <c r="H163" s="1685"/>
      <c r="I163" s="1685"/>
      <c r="J163" s="1685"/>
      <c r="K163" s="1685"/>
      <c r="L163" s="1685"/>
      <c r="M163" s="1685"/>
      <c r="N163" s="1713"/>
      <c r="O163" s="1713"/>
      <c r="P163" s="1713"/>
      <c r="Q163" s="1713">
        <f t="shared" ref="Q163:W163" si="165">Q162*(1-Q158)</f>
        <v>163.14804120000002</v>
      </c>
      <c r="R163" s="1713">
        <f t="shared" si="165"/>
        <v>157.72393407650014</v>
      </c>
      <c r="S163" s="1713">
        <f t="shared" si="165"/>
        <v>160.3741197423478</v>
      </c>
      <c r="T163" s="1713">
        <f t="shared" si="165"/>
        <v>164.9975701875494</v>
      </c>
      <c r="U163" s="1713">
        <f t="shared" si="165"/>
        <v>169.72126039303976</v>
      </c>
      <c r="V163" s="1713">
        <f t="shared" si="165"/>
        <v>174.92966486393757</v>
      </c>
      <c r="W163" s="1713">
        <f t="shared" si="165"/>
        <v>180.57612452238357</v>
      </c>
      <c r="X163" s="1293"/>
      <c r="Y163" s="1293"/>
      <c r="Z163" s="1653"/>
      <c r="AA163" s="1653"/>
      <c r="AB163" s="1653"/>
      <c r="AC163" s="1293"/>
      <c r="AD163" s="1293"/>
      <c r="AE163" s="1293"/>
      <c r="AF163" s="1293"/>
      <c r="AG163" s="1293"/>
    </row>
    <row r="164" spans="1:33" ht="15.75">
      <c r="A164" s="1293"/>
      <c r="B164" s="1293"/>
      <c r="C164" s="1293"/>
      <c r="D164" s="1666"/>
      <c r="E164" s="1666"/>
      <c r="F164" s="1666"/>
      <c r="G164" s="1293"/>
      <c r="H164" s="1293"/>
      <c r="I164" s="1293"/>
      <c r="J164" s="1293"/>
      <c r="K164" s="1293"/>
      <c r="L164" s="1293"/>
      <c r="M164" s="1293"/>
      <c r="N164" s="1327"/>
      <c r="O164" s="1327"/>
      <c r="P164" s="1327"/>
      <c r="Q164" s="1327"/>
      <c r="R164" s="1327"/>
      <c r="S164" s="1327"/>
      <c r="T164" s="1327"/>
      <c r="U164" s="1327"/>
      <c r="V164" s="1327"/>
      <c r="W164" s="1327"/>
      <c r="X164" s="1293"/>
      <c r="Y164" s="1293"/>
      <c r="Z164" s="1653"/>
      <c r="AA164" s="1653"/>
      <c r="AB164" s="1653"/>
      <c r="AC164" s="1293"/>
      <c r="AD164" s="1293"/>
      <c r="AE164" s="1293"/>
      <c r="AF164" s="1293"/>
      <c r="AG164" s="1293"/>
    </row>
    <row r="165" spans="1:33" ht="15.75">
      <c r="A165" s="1293"/>
      <c r="B165" s="1293" t="s">
        <v>684</v>
      </c>
      <c r="C165" s="1293"/>
      <c r="D165" s="1666"/>
      <c r="E165" s="1666"/>
      <c r="F165" s="1666"/>
      <c r="G165" s="1666"/>
      <c r="H165" s="1666"/>
      <c r="I165" s="1666"/>
      <c r="J165" s="1666"/>
      <c r="K165" s="1666"/>
      <c r="L165" s="1666"/>
      <c r="M165" s="1666"/>
      <c r="N165" s="1675"/>
      <c r="O165" s="1675"/>
      <c r="P165" s="1675"/>
      <c r="Q165" s="1675">
        <f t="shared" ref="Q165:W165" si="166">Q163*Q161</f>
        <v>163.14804120000002</v>
      </c>
      <c r="R165" s="1675">
        <f t="shared" si="166"/>
        <v>157.72393407650014</v>
      </c>
      <c r="S165" s="1675">
        <f t="shared" si="166"/>
        <v>146.46038332634504</v>
      </c>
      <c r="T165" s="1675">
        <f t="shared" si="166"/>
        <v>137.60978310506403</v>
      </c>
      <c r="U165" s="1675">
        <f t="shared" si="166"/>
        <v>129.26885163681013</v>
      </c>
      <c r="V165" s="1675">
        <f t="shared" si="166"/>
        <v>121.67657804706299</v>
      </c>
      <c r="W165" s="1675">
        <f t="shared" si="166"/>
        <v>114.70694998600038</v>
      </c>
      <c r="X165" s="1293"/>
      <c r="Y165" s="1293"/>
      <c r="Z165" s="1653"/>
      <c r="AA165" s="1653"/>
      <c r="AB165" s="1653"/>
      <c r="AC165" s="1293"/>
      <c r="AD165" s="1293"/>
      <c r="AE165" s="1293"/>
      <c r="AF165" s="1293"/>
      <c r="AG165" s="1293"/>
    </row>
    <row r="166" spans="1:33" ht="15.75">
      <c r="A166" s="1293"/>
      <c r="B166" s="1293" t="s">
        <v>685</v>
      </c>
      <c r="C166" s="1293"/>
      <c r="D166" s="1675">
        <f>SUM(S165:W165)</f>
        <v>649.72254610128255</v>
      </c>
      <c r="E166" s="1293"/>
      <c r="F166" s="1293"/>
      <c r="G166" s="1293"/>
      <c r="H166" s="1293"/>
      <c r="I166" s="1293"/>
      <c r="J166" s="1293"/>
      <c r="K166" s="1293"/>
      <c r="L166" s="1653"/>
      <c r="M166" s="1666"/>
      <c r="N166" s="1666"/>
      <c r="O166" s="1666"/>
      <c r="P166" s="1666"/>
      <c r="Q166" s="1666"/>
      <c r="R166" s="1666"/>
      <c r="S166" s="1293"/>
      <c r="T166" s="1293"/>
      <c r="U166" s="1293"/>
      <c r="V166" s="1293"/>
      <c r="W166" s="1293"/>
      <c r="X166" s="1293"/>
      <c r="Y166" s="1293"/>
      <c r="Z166" s="1653"/>
      <c r="AA166" s="1653"/>
      <c r="AB166" s="1653"/>
      <c r="AC166" s="1293"/>
      <c r="AD166" s="1293"/>
      <c r="AE166" s="1293"/>
      <c r="AF166" s="1293"/>
      <c r="AG166" s="1293"/>
    </row>
    <row r="167" spans="1:33" ht="15.75">
      <c r="A167" s="1293"/>
      <c r="B167" s="1293" t="s">
        <v>2203</v>
      </c>
      <c r="C167" s="1293"/>
      <c r="D167" s="1705">
        <f>W165/(C157-C159)</f>
        <v>1207.441578800004</v>
      </c>
      <c r="E167" s="1293"/>
      <c r="F167" s="1293"/>
      <c r="G167" s="1293"/>
      <c r="H167" s="1293"/>
      <c r="I167" s="1293"/>
      <c r="J167" s="1293"/>
      <c r="K167" s="1293"/>
      <c r="L167" s="1666"/>
      <c r="M167" s="1666"/>
      <c r="N167" s="1666"/>
      <c r="O167" s="1666"/>
      <c r="P167" s="1666"/>
      <c r="Q167" s="1666"/>
      <c r="R167" s="1666"/>
      <c r="S167" s="1293"/>
      <c r="T167" s="1293"/>
      <c r="U167" s="1293"/>
      <c r="V167" s="1293"/>
      <c r="W167" s="1293"/>
      <c r="X167" s="1293"/>
      <c r="Y167" s="1293"/>
      <c r="Z167" s="1653"/>
      <c r="AA167" s="1653"/>
      <c r="AB167" s="1653"/>
      <c r="AC167" s="1293"/>
      <c r="AD167" s="1293"/>
      <c r="AE167" s="1293"/>
      <c r="AF167" s="1293"/>
      <c r="AG167" s="1293"/>
    </row>
    <row r="168" spans="1:33" ht="15.75">
      <c r="A168" s="1293"/>
      <c r="B168" s="1334" t="s">
        <v>2205</v>
      </c>
      <c r="C168" s="1334"/>
      <c r="D168" s="1713">
        <f>SUM(D166:D167)</f>
        <v>1857.1641249012864</v>
      </c>
      <c r="E168" s="1293" t="s">
        <v>1823</v>
      </c>
      <c r="F168" s="1293"/>
      <c r="G168" s="1293"/>
      <c r="H168" s="1293"/>
      <c r="I168" s="1293"/>
      <c r="J168" s="1293"/>
      <c r="K168" s="1293"/>
      <c r="L168" s="1666"/>
      <c r="M168" s="1666"/>
      <c r="N168" s="1666"/>
      <c r="O168" s="1666"/>
      <c r="P168" s="1666"/>
      <c r="Q168" s="1666"/>
      <c r="R168" s="1666"/>
      <c r="S168" s="1293"/>
      <c r="T168" s="1293"/>
      <c r="U168" s="1293"/>
      <c r="V168" s="1293"/>
      <c r="W168" s="1293"/>
      <c r="X168" s="1293"/>
      <c r="Y168" s="1293"/>
      <c r="Z168" s="1653"/>
      <c r="AA168" s="1653"/>
      <c r="AB168" s="1653"/>
      <c r="AC168" s="1293"/>
      <c r="AD168" s="1293"/>
      <c r="AE168" s="1293"/>
      <c r="AF168" s="1293"/>
      <c r="AG168" s="1293"/>
    </row>
    <row r="169" spans="1:33" ht="15.75">
      <c r="A169" s="1293"/>
      <c r="B169" s="1293"/>
      <c r="C169" s="1293"/>
      <c r="D169" s="1293"/>
      <c r="E169" s="1293"/>
      <c r="F169" s="1293"/>
      <c r="G169" s="1293"/>
      <c r="H169" s="1293"/>
      <c r="I169" s="1293"/>
      <c r="J169" s="1293"/>
      <c r="K169" s="1293"/>
      <c r="L169" s="1653"/>
      <c r="M169" s="1653"/>
      <c r="N169" s="1653"/>
      <c r="O169" s="1653"/>
      <c r="P169" s="1653"/>
      <c r="Q169" s="1653"/>
      <c r="R169" s="1653"/>
      <c r="S169" s="1293"/>
      <c r="T169" s="1293"/>
      <c r="U169" s="1293"/>
      <c r="V169" s="1293"/>
      <c r="W169" s="1293"/>
      <c r="X169" s="1293"/>
      <c r="Y169" s="1293"/>
      <c r="Z169" s="1653"/>
      <c r="AA169" s="1653"/>
      <c r="AB169" s="1653"/>
      <c r="AC169" s="1293"/>
      <c r="AD169" s="1293"/>
      <c r="AE169" s="1293"/>
      <c r="AF169" s="1293"/>
      <c r="AG169" s="1293"/>
    </row>
    <row r="170" spans="1:33" ht="15.75">
      <c r="A170" s="1293"/>
      <c r="B170" s="1293"/>
      <c r="C170" s="1293"/>
      <c r="D170" s="1293"/>
      <c r="E170" s="1293"/>
      <c r="F170" s="1293"/>
      <c r="G170" s="1293"/>
      <c r="H170" s="1293"/>
      <c r="I170" s="1293"/>
      <c r="J170" s="1293"/>
      <c r="K170" s="1293"/>
      <c r="L170" s="1653"/>
      <c r="M170" s="1653"/>
      <c r="N170" s="1653"/>
      <c r="O170" s="1653"/>
      <c r="P170" s="1653"/>
      <c r="Q170" s="1653"/>
      <c r="R170" s="1653"/>
      <c r="S170" s="1293"/>
      <c r="T170" s="1293"/>
      <c r="U170" s="1293"/>
      <c r="V170" s="1293"/>
      <c r="W170" s="1293"/>
      <c r="X170" s="1293"/>
      <c r="Y170" s="1293"/>
      <c r="Z170" s="1653"/>
      <c r="AA170" s="1653"/>
      <c r="AB170" s="1653"/>
      <c r="AC170" s="1293"/>
      <c r="AD170" s="1293"/>
      <c r="AE170" s="1293"/>
      <c r="AF170" s="1293"/>
      <c r="AG170" s="1293"/>
    </row>
    <row r="171" spans="1:33" ht="15.75">
      <c r="A171" s="1293"/>
      <c r="B171" s="1832" t="s">
        <v>800</v>
      </c>
      <c r="C171" s="1833"/>
      <c r="D171" s="1833"/>
      <c r="E171" s="1833"/>
      <c r="F171" s="1834"/>
      <c r="G171" s="1834">
        <v>2014</v>
      </c>
      <c r="H171" s="1834">
        <v>2015</v>
      </c>
      <c r="I171" s="1834">
        <v>2016</v>
      </c>
      <c r="J171" s="1834">
        <v>2017</v>
      </c>
      <c r="K171" s="1834">
        <v>2018</v>
      </c>
      <c r="L171" s="1834">
        <v>2019</v>
      </c>
      <c r="M171" s="1834">
        <v>2020</v>
      </c>
      <c r="N171" s="1834">
        <v>2021</v>
      </c>
      <c r="O171" s="1834">
        <v>2022</v>
      </c>
      <c r="P171" s="1834">
        <v>2023</v>
      </c>
      <c r="Q171" s="1834">
        <v>2024</v>
      </c>
      <c r="R171" s="1834">
        <v>2025</v>
      </c>
      <c r="S171" s="1834">
        <v>2026</v>
      </c>
      <c r="T171" s="1834">
        <v>2027</v>
      </c>
      <c r="U171" s="1834">
        <v>2028</v>
      </c>
      <c r="V171" s="1834">
        <v>2029</v>
      </c>
      <c r="W171" s="1834">
        <v>2030</v>
      </c>
      <c r="X171" s="1293"/>
      <c r="Y171" s="1293"/>
      <c r="Z171" s="1653"/>
      <c r="AA171" s="1653"/>
      <c r="AB171" s="1653"/>
      <c r="AC171" s="1293"/>
      <c r="AD171" s="1293"/>
      <c r="AE171" s="1293"/>
      <c r="AF171" s="1293"/>
      <c r="AG171" s="1293"/>
    </row>
    <row r="172" spans="1:33" ht="15.75">
      <c r="A172" s="1293"/>
      <c r="B172" s="1293" t="s">
        <v>1938</v>
      </c>
      <c r="C172" s="1688">
        <f>C209</f>
        <v>0.09</v>
      </c>
      <c r="D172" s="1666"/>
      <c r="E172" s="1666"/>
      <c r="F172" s="1293"/>
      <c r="G172" s="1293"/>
      <c r="H172" s="1293"/>
      <c r="I172" s="1293"/>
      <c r="J172" s="1293"/>
      <c r="K172" s="1293"/>
      <c r="L172" s="1293"/>
      <c r="M172" s="1293"/>
      <c r="N172" s="1293"/>
      <c r="O172" s="1293"/>
      <c r="P172" s="1293"/>
      <c r="Q172" s="1293"/>
      <c r="R172" s="1293"/>
      <c r="S172" s="1293"/>
      <c r="T172" s="1293"/>
      <c r="U172" s="1293"/>
      <c r="V172" s="1293"/>
      <c r="W172" s="1293"/>
      <c r="X172" s="1293"/>
      <c r="Y172" s="1293"/>
      <c r="Z172" s="1653"/>
      <c r="AA172" s="1653"/>
      <c r="AB172" s="1653"/>
      <c r="AC172" s="1293"/>
      <c r="AD172" s="1293"/>
      <c r="AE172" s="1293"/>
      <c r="AF172" s="1293"/>
      <c r="AG172" s="1293"/>
    </row>
    <row r="173" spans="1:33" ht="15.75">
      <c r="A173" s="1293"/>
      <c r="B173" s="1293" t="s">
        <v>682</v>
      </c>
      <c r="C173" s="1836">
        <v>0.28000000000000003</v>
      </c>
      <c r="D173" s="1293"/>
      <c r="E173" s="1293"/>
      <c r="F173" s="1293"/>
      <c r="G173" s="1688">
        <f>C173</f>
        <v>0.28000000000000003</v>
      </c>
      <c r="H173" s="1688">
        <f t="shared" ref="H173" si="167">G173</f>
        <v>0.28000000000000003</v>
      </c>
      <c r="I173" s="1688">
        <f t="shared" ref="I173" si="168">H173</f>
        <v>0.28000000000000003</v>
      </c>
      <c r="J173" s="1688">
        <f t="shared" ref="J173" si="169">I173</f>
        <v>0.28000000000000003</v>
      </c>
      <c r="K173" s="1688">
        <f t="shared" ref="K173" si="170">J173</f>
        <v>0.28000000000000003</v>
      </c>
      <c r="L173" s="1688">
        <f t="shared" ref="L173" si="171">K173</f>
        <v>0.28000000000000003</v>
      </c>
      <c r="M173" s="1688">
        <f t="shared" ref="M173" si="172">L173</f>
        <v>0.28000000000000003</v>
      </c>
      <c r="N173" s="1688">
        <f t="shared" ref="N173" si="173">M173</f>
        <v>0.28000000000000003</v>
      </c>
      <c r="O173" s="1688">
        <f>N173</f>
        <v>0.28000000000000003</v>
      </c>
      <c r="P173" s="1688">
        <f t="shared" ref="P173" si="174">O173</f>
        <v>0.28000000000000003</v>
      </c>
      <c r="Q173" s="1688">
        <f t="shared" ref="Q173" si="175">P173</f>
        <v>0.28000000000000003</v>
      </c>
      <c r="R173" s="1688">
        <f t="shared" ref="R173" si="176">Q173</f>
        <v>0.28000000000000003</v>
      </c>
      <c r="S173" s="1688">
        <f t="shared" ref="S173" si="177">R173</f>
        <v>0.28000000000000003</v>
      </c>
      <c r="T173" s="1688">
        <f t="shared" ref="T173" si="178">S173</f>
        <v>0.28000000000000003</v>
      </c>
      <c r="U173" s="1688">
        <f t="shared" ref="U173" si="179">T173</f>
        <v>0.28000000000000003</v>
      </c>
      <c r="V173" s="1688">
        <f t="shared" ref="V173" si="180">U173</f>
        <v>0.28000000000000003</v>
      </c>
      <c r="W173" s="1688">
        <f t="shared" ref="W173" si="181">V173</f>
        <v>0.28000000000000003</v>
      </c>
      <c r="X173" s="1293"/>
      <c r="Y173" s="1293"/>
      <c r="Z173" s="1653"/>
      <c r="AA173" s="1653"/>
      <c r="AB173" s="1653"/>
      <c r="AC173" s="1293"/>
      <c r="AD173" s="1293"/>
      <c r="AE173" s="1293"/>
      <c r="AF173" s="1293"/>
      <c r="AG173" s="1293"/>
    </row>
    <row r="174" spans="1:33" ht="15.75">
      <c r="A174" s="1293"/>
      <c r="B174" s="1293" t="s">
        <v>683</v>
      </c>
      <c r="C174" s="1835">
        <v>0</v>
      </c>
      <c r="D174" s="1293"/>
      <c r="E174" s="1293"/>
      <c r="F174" s="1293"/>
      <c r="G174" s="1293"/>
      <c r="H174" s="1293"/>
      <c r="I174" s="1293"/>
      <c r="J174" s="1293"/>
      <c r="K174" s="1293"/>
      <c r="L174" s="1293"/>
      <c r="M174" s="1293"/>
      <c r="N174" s="1293"/>
      <c r="O174" s="1293"/>
      <c r="P174" s="1293"/>
      <c r="Q174" s="1293"/>
      <c r="R174" s="1293"/>
      <c r="S174" s="1293"/>
      <c r="T174" s="1293"/>
      <c r="U174" s="1293"/>
      <c r="V174" s="1293"/>
      <c r="W174" s="1293"/>
      <c r="X174" s="1293"/>
      <c r="Y174" s="1293"/>
      <c r="Z174" s="1653"/>
      <c r="AA174" s="1653"/>
      <c r="AB174" s="1653"/>
      <c r="AC174" s="1293"/>
      <c r="AD174" s="1293"/>
      <c r="AE174" s="1293"/>
      <c r="AF174" s="1293"/>
      <c r="AG174" s="1293"/>
    </row>
    <row r="175" spans="1:33" ht="15.75">
      <c r="A175" s="1293"/>
      <c r="B175" s="1293"/>
      <c r="C175" s="1293"/>
      <c r="D175" s="1293"/>
      <c r="E175" s="1293"/>
      <c r="F175" s="1293"/>
      <c r="G175" s="1293">
        <f t="shared" ref="G175:P175" si="182">H175-1</f>
        <v>-11</v>
      </c>
      <c r="H175" s="1293">
        <f t="shared" si="182"/>
        <v>-10</v>
      </c>
      <c r="I175" s="1293">
        <f t="shared" si="182"/>
        <v>-9</v>
      </c>
      <c r="J175" s="1293">
        <f t="shared" si="182"/>
        <v>-8</v>
      </c>
      <c r="K175" s="1293">
        <f t="shared" si="182"/>
        <v>-7</v>
      </c>
      <c r="L175" s="1293">
        <f t="shared" si="182"/>
        <v>-6</v>
      </c>
      <c r="M175" s="1293">
        <f t="shared" si="182"/>
        <v>-5</v>
      </c>
      <c r="N175" s="1293">
        <f t="shared" si="182"/>
        <v>-4</v>
      </c>
      <c r="O175" s="1293">
        <f t="shared" si="182"/>
        <v>-3</v>
      </c>
      <c r="P175" s="1293">
        <f t="shared" si="182"/>
        <v>-2</v>
      </c>
      <c r="Q175" s="1293">
        <f>R175-1</f>
        <v>-1</v>
      </c>
      <c r="R175" s="1293">
        <v>0</v>
      </c>
      <c r="S175" s="1293">
        <f>R175+1</f>
        <v>1</v>
      </c>
      <c r="T175" s="1293">
        <f>S175+1</f>
        <v>2</v>
      </c>
      <c r="U175" s="1293">
        <f>T175+1</f>
        <v>3</v>
      </c>
      <c r="V175" s="1293">
        <f>U175+1</f>
        <v>4</v>
      </c>
      <c r="W175" s="1293">
        <f>V175+1</f>
        <v>5</v>
      </c>
      <c r="X175" s="1293"/>
      <c r="Y175" s="1293"/>
      <c r="Z175" s="1653"/>
      <c r="AA175" s="1653"/>
      <c r="AB175" s="1653"/>
      <c r="AC175" s="1293"/>
      <c r="AD175" s="1293"/>
      <c r="AE175" s="1293"/>
      <c r="AF175" s="1293"/>
      <c r="AG175" s="1293"/>
    </row>
    <row r="176" spans="1:33" ht="15.75">
      <c r="A176" s="1293"/>
      <c r="B176" s="1293" t="s">
        <v>1937</v>
      </c>
      <c r="C176" s="1293"/>
      <c r="D176" s="1707"/>
      <c r="E176" s="1707"/>
      <c r="F176" s="1707"/>
      <c r="G176" s="1707">
        <f t="shared" ref="G176:W176" si="183">1/(1+$C172)^G175</f>
        <v>2.5804264053054093</v>
      </c>
      <c r="H176" s="1707">
        <f t="shared" si="183"/>
        <v>2.3673636745921187</v>
      </c>
      <c r="I176" s="1707">
        <f t="shared" si="183"/>
        <v>2.1718932794423105</v>
      </c>
      <c r="J176" s="1707">
        <f t="shared" si="183"/>
        <v>1.9925626416901929</v>
      </c>
      <c r="K176" s="1707">
        <f t="shared" si="183"/>
        <v>1.8280391208166906</v>
      </c>
      <c r="L176" s="1707">
        <f t="shared" si="183"/>
        <v>1.6771001108410006</v>
      </c>
      <c r="M176" s="1707">
        <f t="shared" si="183"/>
        <v>1.5386239549000005</v>
      </c>
      <c r="N176" s="1707">
        <f t="shared" si="183"/>
        <v>1.4115816100000003</v>
      </c>
      <c r="O176" s="1707">
        <f t="shared" si="183"/>
        <v>1.2950290000000002</v>
      </c>
      <c r="P176" s="1707">
        <f t="shared" si="183"/>
        <v>1.1881000000000002</v>
      </c>
      <c r="Q176" s="1707">
        <f t="shared" si="183"/>
        <v>1.0900000000000001</v>
      </c>
      <c r="R176" s="1707">
        <f t="shared" si="183"/>
        <v>1</v>
      </c>
      <c r="S176" s="1707">
        <f t="shared" si="183"/>
        <v>0.9174311926605504</v>
      </c>
      <c r="T176" s="1707">
        <f t="shared" si="183"/>
        <v>0.84167999326655996</v>
      </c>
      <c r="U176" s="1707">
        <f t="shared" si="183"/>
        <v>0.77218348006106419</v>
      </c>
      <c r="V176" s="1707">
        <f t="shared" si="183"/>
        <v>0.7084252110651964</v>
      </c>
      <c r="W176" s="1707">
        <f t="shared" si="183"/>
        <v>0.64993138629834524</v>
      </c>
      <c r="X176" s="1293"/>
      <c r="Y176" s="1293"/>
      <c r="Z176" s="1653"/>
      <c r="AA176" s="1653"/>
      <c r="AB176" s="1653"/>
      <c r="AC176" s="1293"/>
      <c r="AD176" s="1293"/>
      <c r="AE176" s="1293"/>
      <c r="AF176" s="1293"/>
      <c r="AG176" s="1293"/>
    </row>
    <row r="177" spans="1:33" ht="15.75">
      <c r="A177" s="1293"/>
      <c r="B177" s="1293" t="s">
        <v>2204</v>
      </c>
      <c r="C177" s="1666"/>
      <c r="D177" s="1666"/>
      <c r="E177" s="1666"/>
      <c r="F177" s="1666"/>
      <c r="G177" s="1666">
        <f>'New split'!D304</f>
        <v>-258</v>
      </c>
      <c r="H177" s="1666">
        <f>'New split'!E304</f>
        <v>-204</v>
      </c>
      <c r="I177" s="1666">
        <f>'New split'!F304</f>
        <v>-165</v>
      </c>
      <c r="J177" s="1666">
        <f>'New split'!G304</f>
        <v>-147.67599999999999</v>
      </c>
      <c r="K177" s="1666">
        <f>'New split'!H304</f>
        <v>-150.63400000000001</v>
      </c>
      <c r="L177" s="1666">
        <f>'New split'!I304</f>
        <v>-150.72500000000002</v>
      </c>
      <c r="M177" s="1666">
        <f>'New split'!J304</f>
        <v>-139</v>
      </c>
      <c r="N177" s="1666">
        <f>'New split'!K304</f>
        <v>-155</v>
      </c>
      <c r="O177" s="1666">
        <f>'New split'!L304</f>
        <v>-147.66770000000002</v>
      </c>
      <c r="P177" s="1666">
        <f>'New split'!M304</f>
        <v>-225.49399999999997</v>
      </c>
      <c r="Q177" s="1666">
        <f>'New split'!N467</f>
        <v>-30.796399999999721</v>
      </c>
      <c r="R177" s="1666">
        <f>'New split'!O467</f>
        <v>-184.87553133975985</v>
      </c>
      <c r="S177" s="1666">
        <f>'New split'!P467</f>
        <v>-234.13243820952619</v>
      </c>
      <c r="T177" s="1666">
        <f>'New split'!Q467</f>
        <v>-234.39914026695962</v>
      </c>
      <c r="U177" s="1666">
        <f>'New split'!R467</f>
        <v>-234.26821781613893</v>
      </c>
      <c r="V177" s="1666">
        <f>'New split'!S467</f>
        <v>-234.27320536723738</v>
      </c>
      <c r="W177" s="1666">
        <f>'New split'!T467</f>
        <v>-234.3335889727839</v>
      </c>
      <c r="X177" s="1293"/>
      <c r="Y177" s="1293"/>
      <c r="Z177" s="1653"/>
      <c r="AA177" s="1653"/>
      <c r="AB177" s="1653"/>
      <c r="AC177" s="1293"/>
      <c r="AD177" s="1293"/>
      <c r="AE177" s="1293"/>
      <c r="AF177" s="1293"/>
      <c r="AG177" s="1293"/>
    </row>
    <row r="178" spans="1:33" ht="15.75">
      <c r="A178" s="1293"/>
      <c r="B178" s="1293" t="s">
        <v>1936</v>
      </c>
      <c r="C178" s="1293"/>
      <c r="D178" s="1666"/>
      <c r="E178" s="1666"/>
      <c r="F178" s="1666"/>
      <c r="G178" s="1685">
        <f t="shared" ref="G178:R178" si="184">IF(G177&lt;0, G177, G177*(1-G173))</f>
        <v>-258</v>
      </c>
      <c r="H178" s="1685">
        <f t="shared" si="184"/>
        <v>-204</v>
      </c>
      <c r="I178" s="1685">
        <f t="shared" si="184"/>
        <v>-165</v>
      </c>
      <c r="J178" s="1685">
        <f t="shared" si="184"/>
        <v>-147.67599999999999</v>
      </c>
      <c r="K178" s="1685">
        <f t="shared" si="184"/>
        <v>-150.63400000000001</v>
      </c>
      <c r="L178" s="1685">
        <f t="shared" si="184"/>
        <v>-150.72500000000002</v>
      </c>
      <c r="M178" s="1685">
        <f t="shared" si="184"/>
        <v>-139</v>
      </c>
      <c r="N178" s="1713">
        <f t="shared" si="184"/>
        <v>-155</v>
      </c>
      <c r="O178" s="1713">
        <f t="shared" si="184"/>
        <v>-147.66770000000002</v>
      </c>
      <c r="P178" s="1713">
        <f t="shared" si="184"/>
        <v>-225.49399999999997</v>
      </c>
      <c r="Q178" s="1713">
        <f t="shared" si="184"/>
        <v>-30.796399999999721</v>
      </c>
      <c r="R178" s="1713">
        <f t="shared" si="184"/>
        <v>-184.87553133975985</v>
      </c>
      <c r="S178" s="1713">
        <f>IF(S177&lt;0, S177, S177*(1-S173))</f>
        <v>-234.13243820952619</v>
      </c>
      <c r="T178" s="1713">
        <f>IF(T177&lt;0, T177, T177*(1-T173))</f>
        <v>-234.39914026695962</v>
      </c>
      <c r="U178" s="1713">
        <f>IF(U177&lt;0, U177, U177*(1-U173))</f>
        <v>-234.26821781613893</v>
      </c>
      <c r="V178" s="1713">
        <f>IF(V177&lt;0, V177, V177*(1-V173))</f>
        <v>-234.27320536723738</v>
      </c>
      <c r="W178" s="1713">
        <f>IF(W177&lt;0, W177, W177*(1-W173))</f>
        <v>-234.3335889727839</v>
      </c>
      <c r="X178" s="1293"/>
      <c r="Y178" s="1293"/>
      <c r="Z178" s="1653"/>
      <c r="AA178" s="1653"/>
      <c r="AB178" s="1653"/>
      <c r="AC178" s="1293"/>
      <c r="AD178" s="1293"/>
      <c r="AE178" s="1293"/>
      <c r="AF178" s="1293"/>
      <c r="AG178" s="1293"/>
    </row>
    <row r="179" spans="1:33" ht="15.75">
      <c r="A179" s="1293"/>
      <c r="B179" s="1293"/>
      <c r="C179" s="1293"/>
      <c r="D179" s="1666"/>
      <c r="E179" s="1666"/>
      <c r="F179" s="1666"/>
      <c r="G179" s="1293"/>
      <c r="H179" s="1293"/>
      <c r="I179" s="1293"/>
      <c r="J179" s="1293"/>
      <c r="K179" s="1293"/>
      <c r="L179" s="1293"/>
      <c r="M179" s="1293"/>
      <c r="N179" s="1327"/>
      <c r="O179" s="1327"/>
      <c r="P179" s="1327"/>
      <c r="Q179" s="1327"/>
      <c r="R179" s="1327"/>
      <c r="S179" s="1327"/>
      <c r="T179" s="1327"/>
      <c r="U179" s="1327"/>
      <c r="V179" s="1327"/>
      <c r="W179" s="1327"/>
      <c r="X179" s="1293"/>
      <c r="Y179" s="1293"/>
      <c r="Z179" s="1653"/>
      <c r="AA179" s="1653"/>
      <c r="AB179" s="1653"/>
      <c r="AC179" s="1293"/>
      <c r="AD179" s="1293"/>
      <c r="AE179" s="1293"/>
      <c r="AF179" s="1293"/>
      <c r="AG179" s="1293"/>
    </row>
    <row r="180" spans="1:33" ht="15.75">
      <c r="A180" s="1293"/>
      <c r="B180" s="1293" t="s">
        <v>684</v>
      </c>
      <c r="C180" s="1293"/>
      <c r="D180" s="1666"/>
      <c r="E180" s="1666"/>
      <c r="F180" s="1666"/>
      <c r="G180" s="1666">
        <f t="shared" ref="G180:R180" si="185">G178*G176</f>
        <v>-665.75001256879557</v>
      </c>
      <c r="H180" s="1666">
        <f t="shared" si="185"/>
        <v>-482.94218961679223</v>
      </c>
      <c r="I180" s="1666">
        <f t="shared" si="185"/>
        <v>-358.36239110798124</v>
      </c>
      <c r="J180" s="1666">
        <f t="shared" si="185"/>
        <v>-294.25368067424091</v>
      </c>
      <c r="K180" s="1666">
        <f t="shared" si="185"/>
        <v>-275.36484492510141</v>
      </c>
      <c r="L180" s="1666">
        <f t="shared" si="185"/>
        <v>-252.78091420650986</v>
      </c>
      <c r="M180" s="1666">
        <f t="shared" si="185"/>
        <v>-213.86872973110007</v>
      </c>
      <c r="N180" s="1675">
        <f t="shared" si="185"/>
        <v>-218.79514955000005</v>
      </c>
      <c r="O180" s="1675">
        <f t="shared" si="185"/>
        <v>-191.23395386330006</v>
      </c>
      <c r="P180" s="1675">
        <f t="shared" si="185"/>
        <v>-267.90942139999999</v>
      </c>
      <c r="Q180" s="1675">
        <f t="shared" si="185"/>
        <v>-33.568075999999699</v>
      </c>
      <c r="R180" s="1675">
        <f t="shared" si="185"/>
        <v>-184.87553133975985</v>
      </c>
      <c r="S180" s="1675">
        <f>S178*S176</f>
        <v>-214.80040202708824</v>
      </c>
      <c r="T180" s="1675">
        <f>T178*T176</f>
        <v>-197.28906680158201</v>
      </c>
      <c r="U180" s="1675">
        <f>U178*U176</f>
        <v>-180.89804770096956</v>
      </c>
      <c r="V180" s="1675">
        <f>V178*V176</f>
        <v>-165.96504495920524</v>
      </c>
      <c r="W180" s="1675">
        <f>W178*W176</f>
        <v>-152.30075433734805</v>
      </c>
      <c r="X180" s="1293"/>
      <c r="Y180" s="1293"/>
      <c r="Z180" s="1653"/>
      <c r="AA180" s="1653"/>
      <c r="AB180" s="1653"/>
      <c r="AC180" s="1293"/>
      <c r="AD180" s="1293"/>
      <c r="AE180" s="1293"/>
      <c r="AF180" s="1293"/>
      <c r="AG180" s="1293"/>
    </row>
    <row r="181" spans="1:33" ht="15.75">
      <c r="A181" s="1293"/>
      <c r="B181" s="1293" t="s">
        <v>685</v>
      </c>
      <c r="C181" s="1293"/>
      <c r="D181" s="1675">
        <f>SUM(S180:W180)</f>
        <v>-911.2533158261931</v>
      </c>
      <c r="E181" s="1293"/>
      <c r="F181" s="1293"/>
      <c r="G181" s="1293"/>
      <c r="H181" s="1293"/>
      <c r="I181" s="1293"/>
      <c r="J181" s="1293"/>
      <c r="K181" s="1293"/>
      <c r="L181" s="1293"/>
      <c r="M181" s="1293"/>
      <c r="N181" s="1293"/>
      <c r="O181" s="1293"/>
      <c r="P181" s="1293"/>
      <c r="Q181" s="1293"/>
      <c r="R181" s="1653"/>
      <c r="S181" s="1653"/>
      <c r="T181" s="1666"/>
      <c r="U181" s="1666"/>
      <c r="V181" s="1666"/>
      <c r="W181" s="1666"/>
      <c r="X181" s="1666"/>
      <c r="Y181" s="1666"/>
      <c r="Z181" s="1653"/>
      <c r="AA181" s="1653"/>
      <c r="AB181" s="1653"/>
      <c r="AC181" s="1293"/>
      <c r="AD181" s="1293"/>
      <c r="AE181" s="1293"/>
      <c r="AF181" s="1293"/>
      <c r="AG181" s="1293"/>
    </row>
    <row r="182" spans="1:33" ht="15.75">
      <c r="A182" s="1293"/>
      <c r="B182" s="1293" t="s">
        <v>2203</v>
      </c>
      <c r="C182" s="1293"/>
      <c r="D182" s="1705">
        <f>W180/(C172-C174)</f>
        <v>-1692.2306037483118</v>
      </c>
      <c r="E182" s="1293"/>
      <c r="F182" s="1293"/>
      <c r="G182" s="1293"/>
      <c r="H182" s="1293"/>
      <c r="I182" s="1293"/>
      <c r="J182" s="1293"/>
      <c r="K182" s="1293"/>
      <c r="L182" s="1293"/>
      <c r="M182" s="1293"/>
      <c r="N182" s="1293"/>
      <c r="O182" s="1293"/>
      <c r="P182" s="1293"/>
      <c r="Q182" s="1293"/>
      <c r="R182" s="1653"/>
      <c r="S182" s="1666"/>
      <c r="T182" s="1666"/>
      <c r="U182" s="1666"/>
      <c r="V182" s="1666"/>
      <c r="W182" s="1666"/>
      <c r="X182" s="1666"/>
      <c r="Y182" s="1666"/>
      <c r="Z182" s="1653"/>
      <c r="AA182" s="1653"/>
      <c r="AB182" s="1653"/>
      <c r="AC182" s="1293"/>
      <c r="AD182" s="1293"/>
      <c r="AE182" s="1293"/>
      <c r="AF182" s="1293"/>
      <c r="AG182" s="1293"/>
    </row>
    <row r="183" spans="1:33" ht="15.75">
      <c r="A183" s="1293"/>
      <c r="B183" s="1293" t="s">
        <v>2205</v>
      </c>
      <c r="C183" s="1293"/>
      <c r="D183" s="1713">
        <f>SUM(D181:D182)</f>
        <v>-2603.4839195745049</v>
      </c>
      <c r="E183" s="1293" t="s">
        <v>1823</v>
      </c>
      <c r="F183" s="1293"/>
      <c r="G183" s="1293"/>
      <c r="H183" s="1293"/>
      <c r="I183" s="1293"/>
      <c r="J183" s="1293"/>
      <c r="K183" s="1293"/>
      <c r="L183" s="1293"/>
      <c r="M183" s="1293"/>
      <c r="N183" s="1293"/>
      <c r="O183" s="1293"/>
      <c r="P183" s="1293"/>
      <c r="Q183" s="1293"/>
      <c r="R183" s="1653"/>
      <c r="S183" s="1666"/>
      <c r="T183" s="1666"/>
      <c r="U183" s="1666"/>
      <c r="V183" s="1666"/>
      <c r="W183" s="1666"/>
      <c r="X183" s="1666"/>
      <c r="Y183" s="1666"/>
      <c r="Z183" s="1653"/>
      <c r="AA183" s="1653"/>
      <c r="AB183" s="1653"/>
      <c r="AC183" s="1293"/>
      <c r="AD183" s="1293"/>
      <c r="AE183" s="1293"/>
      <c r="AF183" s="1293"/>
      <c r="AG183" s="1293"/>
    </row>
    <row r="184" spans="1:33" ht="15.75">
      <c r="A184" s="1293"/>
      <c r="B184" s="1293"/>
      <c r="C184" s="1293"/>
      <c r="D184" s="1293"/>
      <c r="E184" s="1293"/>
      <c r="F184" s="1293"/>
      <c r="G184" s="1293"/>
      <c r="H184" s="1293"/>
      <c r="I184" s="1293"/>
      <c r="J184" s="1293"/>
      <c r="K184" s="1293"/>
      <c r="L184" s="1653"/>
      <c r="M184" s="1653"/>
      <c r="N184" s="1653"/>
      <c r="O184" s="1653"/>
      <c r="P184" s="1653"/>
      <c r="Q184" s="1653"/>
      <c r="R184" s="1653"/>
      <c r="S184" s="1293"/>
      <c r="T184" s="1293"/>
      <c r="U184" s="1293"/>
      <c r="V184" s="1293"/>
      <c r="W184" s="1293"/>
      <c r="X184" s="1293"/>
      <c r="Y184" s="1293"/>
      <c r="Z184" s="1653"/>
      <c r="AA184" s="1653"/>
      <c r="AB184" s="1653"/>
      <c r="AC184" s="1293"/>
      <c r="AD184" s="1293"/>
      <c r="AE184" s="1293"/>
      <c r="AF184" s="1293"/>
      <c r="AG184" s="1293"/>
    </row>
    <row r="185" spans="1:33" ht="15.75">
      <c r="A185" s="1293"/>
      <c r="B185" s="1293"/>
      <c r="C185" s="1293"/>
      <c r="D185" s="1293"/>
      <c r="E185" s="1293"/>
      <c r="F185" s="1293"/>
      <c r="G185" s="1293"/>
      <c r="H185" s="1293"/>
      <c r="I185" s="1293"/>
      <c r="J185" s="1293"/>
      <c r="K185" s="1293"/>
      <c r="L185" s="1653"/>
      <c r="M185" s="1653"/>
      <c r="N185" s="1653"/>
      <c r="O185" s="1653"/>
      <c r="P185" s="1653"/>
      <c r="Q185" s="1653"/>
      <c r="R185" s="1653"/>
      <c r="S185" s="1293"/>
      <c r="T185" s="1293"/>
      <c r="U185" s="1293"/>
      <c r="V185" s="1293"/>
      <c r="W185" s="1293"/>
      <c r="X185" s="1293"/>
      <c r="Y185" s="1293"/>
      <c r="Z185" s="1653"/>
      <c r="AA185" s="1653"/>
      <c r="AB185" s="1653"/>
      <c r="AC185" s="1293"/>
      <c r="AD185" s="1293"/>
      <c r="AE185" s="1293"/>
      <c r="AF185" s="1293"/>
      <c r="AG185" s="1293"/>
    </row>
    <row r="186" spans="1:33" ht="15.75">
      <c r="A186" s="1293"/>
      <c r="B186" s="1293"/>
      <c r="C186" s="1293"/>
      <c r="D186" s="1293"/>
      <c r="E186" s="1293"/>
      <c r="F186" s="1293"/>
      <c r="G186" s="1293"/>
      <c r="H186" s="1293"/>
      <c r="I186" s="1293"/>
      <c r="J186" s="1293"/>
      <c r="K186" s="1293"/>
      <c r="L186" s="1653"/>
      <c r="M186" s="1653"/>
      <c r="N186" s="1653"/>
      <c r="O186" s="1653"/>
      <c r="P186" s="1653"/>
      <c r="Q186" s="1653"/>
      <c r="R186" s="1653"/>
      <c r="S186" s="1293"/>
      <c r="T186" s="1293"/>
      <c r="U186" s="1293"/>
      <c r="V186" s="1293"/>
      <c r="W186" s="1293"/>
      <c r="X186" s="1293"/>
      <c r="Y186" s="1293"/>
      <c r="Z186" s="1653"/>
      <c r="AA186" s="1653"/>
      <c r="AB186" s="1653"/>
      <c r="AC186" s="1293"/>
      <c r="AD186" s="1293"/>
      <c r="AE186" s="1293"/>
      <c r="AF186" s="1293"/>
      <c r="AG186" s="1293"/>
    </row>
    <row r="187" spans="1:33" ht="15.75">
      <c r="A187" s="1293"/>
      <c r="B187" s="1363" t="s">
        <v>4209</v>
      </c>
      <c r="C187" s="1363">
        <v>2016</v>
      </c>
      <c r="D187" s="1363">
        <f t="shared" ref="D187:L187" si="186">C187+1</f>
        <v>2017</v>
      </c>
      <c r="E187" s="1363">
        <f t="shared" si="186"/>
        <v>2018</v>
      </c>
      <c r="F187" s="1363">
        <f t="shared" si="186"/>
        <v>2019</v>
      </c>
      <c r="G187" s="1363">
        <f t="shared" si="186"/>
        <v>2020</v>
      </c>
      <c r="H187" s="1363">
        <f t="shared" si="186"/>
        <v>2021</v>
      </c>
      <c r="I187" s="1363">
        <f t="shared" si="186"/>
        <v>2022</v>
      </c>
      <c r="J187" s="1363">
        <f t="shared" si="186"/>
        <v>2023</v>
      </c>
      <c r="K187" s="1363">
        <f t="shared" si="186"/>
        <v>2024</v>
      </c>
      <c r="L187" s="1363">
        <f t="shared" si="186"/>
        <v>2025</v>
      </c>
      <c r="M187" s="1363">
        <f t="shared" ref="M187:X187" si="187">L187+1</f>
        <v>2026</v>
      </c>
      <c r="N187" s="1363">
        <f t="shared" si="187"/>
        <v>2027</v>
      </c>
      <c r="O187" s="1363">
        <f>N187+1</f>
        <v>2028</v>
      </c>
      <c r="P187" s="1363">
        <f t="shared" si="187"/>
        <v>2029</v>
      </c>
      <c r="Q187" s="1363">
        <f t="shared" si="187"/>
        <v>2030</v>
      </c>
      <c r="R187" s="1363">
        <f t="shared" si="187"/>
        <v>2031</v>
      </c>
      <c r="S187" s="1363">
        <f t="shared" si="187"/>
        <v>2032</v>
      </c>
      <c r="T187" s="1363">
        <f t="shared" si="187"/>
        <v>2033</v>
      </c>
      <c r="U187" s="1363">
        <f t="shared" si="187"/>
        <v>2034</v>
      </c>
      <c r="V187" s="1363">
        <f t="shared" si="187"/>
        <v>2035</v>
      </c>
      <c r="W187" s="1363">
        <f t="shared" si="187"/>
        <v>2036</v>
      </c>
      <c r="X187" s="1363">
        <f t="shared" si="187"/>
        <v>2037</v>
      </c>
      <c r="Y187" s="1293"/>
      <c r="Z187" s="1653"/>
      <c r="AA187" s="1653"/>
      <c r="AB187" s="1653"/>
      <c r="AC187" s="1293"/>
      <c r="AD187" s="1293"/>
      <c r="AE187" s="1293"/>
      <c r="AF187" s="1293"/>
      <c r="AG187" s="1293"/>
    </row>
    <row r="188" spans="1:33" ht="15.75">
      <c r="A188" s="1293"/>
      <c r="B188" s="1293" t="s">
        <v>1665</v>
      </c>
      <c r="C188" s="1327">
        <f>Master!S208</f>
        <v>0</v>
      </c>
      <c r="D188" s="1327">
        <f>Master!T208</f>
        <v>0</v>
      </c>
      <c r="E188" s="1327">
        <f>Master!U208</f>
        <v>0</v>
      </c>
      <c r="F188" s="1327">
        <f>Master!V208</f>
        <v>0</v>
      </c>
      <c r="G188" s="1717">
        <f>0.05*Analysis!$E$4185</f>
        <v>36.700000000000003</v>
      </c>
      <c r="H188" s="1717">
        <v>0</v>
      </c>
      <c r="I188" s="1717">
        <v>0</v>
      </c>
      <c r="J188" s="1717">
        <v>0</v>
      </c>
      <c r="K188" s="1717">
        <v>0</v>
      </c>
      <c r="L188" s="1717">
        <v>0</v>
      </c>
      <c r="M188" s="1717">
        <f>0.5*Analysis!$E$4185/12</f>
        <v>30.583333333333332</v>
      </c>
      <c r="N188" s="1717">
        <f>M188</f>
        <v>30.583333333333332</v>
      </c>
      <c r="O188" s="1717">
        <f>N188</f>
        <v>30.583333333333332</v>
      </c>
      <c r="P188" s="1717">
        <f t="shared" ref="P188:X189" si="188">O188</f>
        <v>30.583333333333332</v>
      </c>
      <c r="Q188" s="1717">
        <f t="shared" si="188"/>
        <v>30.583333333333332</v>
      </c>
      <c r="R188" s="1717">
        <f t="shared" si="188"/>
        <v>30.583333333333332</v>
      </c>
      <c r="S188" s="1717">
        <f t="shared" si="188"/>
        <v>30.583333333333332</v>
      </c>
      <c r="T188" s="1717">
        <f t="shared" si="188"/>
        <v>30.583333333333332</v>
      </c>
      <c r="U188" s="1717">
        <f t="shared" si="188"/>
        <v>30.583333333333332</v>
      </c>
      <c r="V188" s="1717">
        <f t="shared" si="188"/>
        <v>30.583333333333332</v>
      </c>
      <c r="W188" s="1717">
        <f t="shared" si="188"/>
        <v>30.583333333333332</v>
      </c>
      <c r="X188" s="1717">
        <f t="shared" si="188"/>
        <v>30.583333333333332</v>
      </c>
      <c r="Y188" s="1293"/>
      <c r="Z188" s="1653"/>
      <c r="AA188" s="1653"/>
      <c r="AB188" s="1653"/>
      <c r="AC188" s="1293"/>
      <c r="AD188" s="1293"/>
      <c r="AE188" s="1293"/>
      <c r="AF188" s="1293"/>
      <c r="AG188" s="1293"/>
    </row>
    <row r="189" spans="1:33" ht="15.75">
      <c r="A189" s="1293"/>
      <c r="B189" s="1331" t="s">
        <v>1540</v>
      </c>
      <c r="C189" s="1718">
        <f>Master!S211</f>
        <v>42</v>
      </c>
      <c r="D189" s="1718">
        <f>Master!T211</f>
        <v>25</v>
      </c>
      <c r="E189" s="1718">
        <f>Master!U211</f>
        <v>10</v>
      </c>
      <c r="F189" s="1718">
        <f>Master!V211</f>
        <v>50</v>
      </c>
      <c r="G189" s="1719">
        <v>100</v>
      </c>
      <c r="H189" s="1719">
        <v>0</v>
      </c>
      <c r="I189" s="1719">
        <v>150</v>
      </c>
      <c r="J189" s="1719">
        <v>350</v>
      </c>
      <c r="K189" s="1705">
        <f>Master!AA211</f>
        <v>135</v>
      </c>
      <c r="L189" s="1705">
        <f>Master!AB211</f>
        <v>100</v>
      </c>
      <c r="M189" s="1705">
        <f>Master!AC211</f>
        <v>100</v>
      </c>
      <c r="N189" s="1705">
        <f>Master!AD211</f>
        <v>100</v>
      </c>
      <c r="O189" s="1705">
        <f>Master!AE211</f>
        <v>100</v>
      </c>
      <c r="P189" s="1705">
        <f>Master!AF211</f>
        <v>100</v>
      </c>
      <c r="Q189" s="1705">
        <f>Master!AG211</f>
        <v>100</v>
      </c>
      <c r="R189" s="1719">
        <f>Q189</f>
        <v>100</v>
      </c>
      <c r="S189" s="1719">
        <f t="shared" si="188"/>
        <v>100</v>
      </c>
      <c r="T189" s="1719">
        <f t="shared" si="188"/>
        <v>100</v>
      </c>
      <c r="U189" s="1719">
        <f t="shared" si="188"/>
        <v>100</v>
      </c>
      <c r="V189" s="1719">
        <f t="shared" si="188"/>
        <v>100</v>
      </c>
      <c r="W189" s="1719">
        <f t="shared" si="188"/>
        <v>100</v>
      </c>
      <c r="X189" s="1719">
        <f t="shared" si="188"/>
        <v>100</v>
      </c>
      <c r="Y189" s="1293"/>
      <c r="Z189" s="1653"/>
      <c r="AA189" s="1653"/>
      <c r="AB189" s="1653"/>
      <c r="AC189" s="1293"/>
      <c r="AD189" s="1293"/>
      <c r="AE189" s="1293"/>
      <c r="AF189" s="1293"/>
      <c r="AG189" s="1293"/>
    </row>
    <row r="190" spans="1:33" ht="15.75">
      <c r="A190" s="1293"/>
      <c r="B190" s="1293" t="s">
        <v>2324</v>
      </c>
      <c r="C190" s="1327">
        <f t="shared" ref="C190:X190" si="189">C188+C189</f>
        <v>42</v>
      </c>
      <c r="D190" s="1327">
        <f t="shared" si="189"/>
        <v>25</v>
      </c>
      <c r="E190" s="1327">
        <f t="shared" si="189"/>
        <v>10</v>
      </c>
      <c r="F190" s="1327">
        <f t="shared" si="189"/>
        <v>50</v>
      </c>
      <c r="G190" s="1327">
        <f t="shared" si="189"/>
        <v>136.69999999999999</v>
      </c>
      <c r="H190" s="1327">
        <f t="shared" si="189"/>
        <v>0</v>
      </c>
      <c r="I190" s="1327">
        <f t="shared" si="189"/>
        <v>150</v>
      </c>
      <c r="J190" s="1327">
        <f t="shared" si="189"/>
        <v>350</v>
      </c>
      <c r="K190" s="1327">
        <f t="shared" si="189"/>
        <v>135</v>
      </c>
      <c r="L190" s="1327">
        <f t="shared" si="189"/>
        <v>100</v>
      </c>
      <c r="M190" s="1327">
        <f t="shared" si="189"/>
        <v>130.58333333333334</v>
      </c>
      <c r="N190" s="1327">
        <f t="shared" si="189"/>
        <v>130.58333333333334</v>
      </c>
      <c r="O190" s="1327">
        <f t="shared" si="189"/>
        <v>130.58333333333334</v>
      </c>
      <c r="P190" s="1327">
        <f t="shared" si="189"/>
        <v>130.58333333333334</v>
      </c>
      <c r="Q190" s="1327">
        <f t="shared" si="189"/>
        <v>130.58333333333334</v>
      </c>
      <c r="R190" s="1327">
        <f t="shared" si="189"/>
        <v>130.58333333333334</v>
      </c>
      <c r="S190" s="1327">
        <f t="shared" si="189"/>
        <v>130.58333333333334</v>
      </c>
      <c r="T190" s="1327">
        <f t="shared" si="189"/>
        <v>130.58333333333334</v>
      </c>
      <c r="U190" s="1327">
        <f t="shared" si="189"/>
        <v>130.58333333333334</v>
      </c>
      <c r="V190" s="1327">
        <f t="shared" si="189"/>
        <v>130.58333333333334</v>
      </c>
      <c r="W190" s="1327">
        <f t="shared" si="189"/>
        <v>130.58333333333334</v>
      </c>
      <c r="X190" s="1327">
        <f t="shared" si="189"/>
        <v>130.58333333333334</v>
      </c>
      <c r="Y190" s="1293"/>
      <c r="Z190" s="1653"/>
      <c r="AA190" s="1653"/>
      <c r="AB190" s="1653"/>
      <c r="AC190" s="1293"/>
      <c r="AD190" s="1293"/>
      <c r="AE190" s="1293"/>
      <c r="AF190" s="1293"/>
      <c r="AG190" s="1293"/>
    </row>
    <row r="191" spans="1:33" ht="15.75">
      <c r="A191" s="1293"/>
      <c r="B191" s="1293"/>
      <c r="C191" s="1327"/>
      <c r="D191" s="1327"/>
      <c r="E191" s="1327"/>
      <c r="F191" s="1327"/>
      <c r="G191" s="1327"/>
      <c r="H191" s="1327"/>
      <c r="I191" s="1327"/>
      <c r="J191" s="1327"/>
      <c r="K191" s="1327"/>
      <c r="L191" s="1327"/>
      <c r="M191" s="1327"/>
      <c r="N191" s="1327"/>
      <c r="O191" s="1327"/>
      <c r="P191" s="1327"/>
      <c r="Q191" s="1327"/>
      <c r="R191" s="1327"/>
      <c r="S191" s="1327"/>
      <c r="T191" s="1327"/>
      <c r="U191" s="1327"/>
      <c r="V191" s="1327"/>
      <c r="W191" s="1327"/>
      <c r="X191" s="1327"/>
      <c r="Y191" s="1293"/>
      <c r="Z191" s="1653"/>
      <c r="AA191" s="1653"/>
      <c r="AB191" s="1653"/>
      <c r="AC191" s="1293"/>
      <c r="AD191" s="1293"/>
      <c r="AE191" s="1293"/>
      <c r="AF191" s="1293"/>
      <c r="AG191" s="1293"/>
    </row>
    <row r="192" spans="1:33" ht="15.75">
      <c r="A192" s="1293"/>
      <c r="B192" s="1334" t="s">
        <v>6615</v>
      </c>
      <c r="C192" s="1713">
        <f>NPV(9.5%, M189:X189)</f>
        <v>698.38393981123295</v>
      </c>
      <c r="D192" s="1293"/>
      <c r="E192" s="1293"/>
      <c r="F192" s="1293"/>
      <c r="G192" s="1293"/>
      <c r="H192" s="1293"/>
      <c r="I192" s="1293"/>
      <c r="J192" s="1293"/>
      <c r="K192" s="1293"/>
      <c r="L192" s="1293"/>
      <c r="M192" s="1293"/>
      <c r="N192" s="1293"/>
      <c r="O192" s="1293"/>
      <c r="P192" s="1293"/>
      <c r="Q192" s="1293"/>
      <c r="R192" s="1293"/>
      <c r="S192" s="1293"/>
      <c r="T192" s="1293"/>
      <c r="U192" s="1293"/>
      <c r="V192" s="1293"/>
      <c r="W192" s="1293"/>
      <c r="X192" s="1293"/>
      <c r="Y192" s="1293"/>
      <c r="Z192" s="1653"/>
      <c r="AA192" s="1653"/>
      <c r="AB192" s="1653"/>
      <c r="AC192" s="1293"/>
      <c r="AD192" s="1293"/>
      <c r="AE192" s="1293"/>
      <c r="AF192" s="1293"/>
      <c r="AG192" s="1293"/>
    </row>
    <row r="193" spans="1:33" ht="15.75">
      <c r="A193" s="1293"/>
      <c r="B193" s="1293"/>
      <c r="C193" s="1293"/>
      <c r="D193" s="1293"/>
      <c r="E193" s="1293"/>
      <c r="F193" s="1293"/>
      <c r="G193" s="1293"/>
      <c r="H193" s="1293"/>
      <c r="I193" s="1293"/>
      <c r="J193" s="1293"/>
      <c r="K193" s="1293"/>
      <c r="L193" s="1653"/>
      <c r="M193" s="1653"/>
      <c r="N193" s="1653"/>
      <c r="O193" s="1653"/>
      <c r="P193" s="1653"/>
      <c r="Q193" s="1653"/>
      <c r="R193" s="1653"/>
      <c r="S193" s="1293"/>
      <c r="T193" s="1293"/>
      <c r="U193" s="1293"/>
      <c r="V193" s="1293"/>
      <c r="W193" s="1293"/>
      <c r="X193" s="1293"/>
      <c r="Y193" s="1293"/>
      <c r="Z193" s="1653"/>
      <c r="AA193" s="1653"/>
      <c r="AB193" s="1653"/>
      <c r="AC193" s="1293"/>
      <c r="AD193" s="1293"/>
      <c r="AE193" s="1293"/>
      <c r="AF193" s="1293"/>
      <c r="AG193" s="1293"/>
    </row>
    <row r="194" spans="1:33" ht="15.75">
      <c r="A194" s="1293"/>
      <c r="B194" s="1293"/>
      <c r="C194" s="1293"/>
      <c r="D194" s="1293"/>
      <c r="E194" s="1293"/>
      <c r="F194" s="1293"/>
      <c r="G194" s="1293"/>
      <c r="H194" s="1293"/>
      <c r="I194" s="1293"/>
      <c r="J194" s="1293"/>
      <c r="K194" s="1293"/>
      <c r="L194" s="1653"/>
      <c r="M194" s="1653"/>
      <c r="N194" s="1653"/>
      <c r="O194" s="1653"/>
      <c r="P194" s="1653"/>
      <c r="Q194" s="1653"/>
      <c r="R194" s="1653"/>
      <c r="S194" s="1293"/>
      <c r="T194" s="1293"/>
      <c r="U194" s="1293"/>
      <c r="V194" s="1293"/>
      <c r="W194" s="1293"/>
      <c r="X194" s="1293"/>
      <c r="Y194" s="1293"/>
      <c r="Z194" s="1653"/>
      <c r="AA194" s="1653"/>
      <c r="AB194" s="1653"/>
      <c r="AC194" s="1293"/>
      <c r="AD194" s="1293"/>
      <c r="AE194" s="1293"/>
      <c r="AF194" s="1293"/>
      <c r="AG194" s="1293"/>
    </row>
    <row r="195" spans="1:33" ht="15.75">
      <c r="A195" s="1293"/>
      <c r="B195" s="1293"/>
      <c r="C195" s="1293"/>
      <c r="D195" s="1293"/>
      <c r="E195" s="1293"/>
      <c r="F195" s="1293"/>
      <c r="G195" s="1293"/>
      <c r="H195" s="1293"/>
      <c r="I195" s="1293"/>
      <c r="J195" s="1293"/>
      <c r="K195" s="1293"/>
      <c r="L195" s="1653"/>
      <c r="M195" s="1653"/>
      <c r="N195" s="1653"/>
      <c r="O195" s="1653"/>
      <c r="P195" s="1653"/>
      <c r="Q195" s="1653"/>
      <c r="R195" s="1653"/>
      <c r="S195" s="1293"/>
      <c r="T195" s="1293"/>
      <c r="U195" s="1293"/>
      <c r="V195" s="1293"/>
      <c r="W195" s="1293"/>
      <c r="X195" s="1293"/>
      <c r="Y195" s="1293"/>
      <c r="Z195" s="1653"/>
      <c r="AA195" s="1653"/>
      <c r="AB195" s="1653"/>
      <c r="AC195" s="1293"/>
      <c r="AD195" s="1293"/>
      <c r="AE195" s="1293"/>
      <c r="AF195" s="1293"/>
      <c r="AG195" s="1293"/>
    </row>
    <row r="196" spans="1:33" ht="15.75">
      <c r="A196" s="1293"/>
      <c r="B196" s="1684" t="s">
        <v>3364</v>
      </c>
      <c r="C196" s="1654" t="s">
        <v>2381</v>
      </c>
      <c r="D196" s="1654" t="s">
        <v>3361</v>
      </c>
      <c r="E196" s="1654" t="s">
        <v>621</v>
      </c>
      <c r="F196" s="1696" t="s">
        <v>3362</v>
      </c>
      <c r="G196" s="1697" t="s">
        <v>1381</v>
      </c>
      <c r="H196" s="1697" t="s">
        <v>245</v>
      </c>
      <c r="I196" s="1334" t="s">
        <v>3363</v>
      </c>
      <c r="J196" s="1293"/>
      <c r="K196" s="1653"/>
      <c r="L196" s="1653"/>
      <c r="M196" s="1653"/>
      <c r="N196" s="1653"/>
      <c r="O196" s="1653"/>
      <c r="P196" s="1653"/>
      <c r="Q196" s="1653"/>
      <c r="R196" s="1653"/>
      <c r="S196" s="1653" t="s">
        <v>8274</v>
      </c>
      <c r="T196" s="1653"/>
      <c r="U196" s="1293"/>
      <c r="V196" s="1293"/>
      <c r="W196" s="1293"/>
      <c r="X196" s="1293"/>
      <c r="Y196" s="1293"/>
      <c r="Z196" s="1653"/>
      <c r="AA196" s="1653"/>
      <c r="AB196" s="1653"/>
      <c r="AC196" s="1293"/>
      <c r="AD196" s="1293"/>
      <c r="AE196" s="1293"/>
      <c r="AF196" s="1293"/>
      <c r="AG196" s="1293"/>
    </row>
    <row r="197" spans="1:33" ht="15.75">
      <c r="A197" s="1293"/>
      <c r="B197" s="1653" t="s">
        <v>2380</v>
      </c>
      <c r="C197" s="1665">
        <v>0.66700000000000004</v>
      </c>
      <c r="D197" s="1665">
        <f>(1-C197)</f>
        <v>0.33299999999999996</v>
      </c>
      <c r="E197" s="1653">
        <v>792</v>
      </c>
      <c r="F197" s="1666">
        <f>E197/D197</f>
        <v>2378.3783783783788</v>
      </c>
      <c r="G197" s="1666">
        <f>Master!O681</f>
        <v>229</v>
      </c>
      <c r="H197" s="1698">
        <f>F197+G197</f>
        <v>2607.3783783783788</v>
      </c>
      <c r="I197" s="1698">
        <f>CA!N116-75</f>
        <v>321.5</v>
      </c>
      <c r="J197" s="1699">
        <f>H197/I197</f>
        <v>8.1100416123744292</v>
      </c>
      <c r="K197" s="1653"/>
      <c r="L197" s="1653"/>
      <c r="M197" s="1653"/>
      <c r="N197" s="1653"/>
      <c r="O197" s="1653"/>
      <c r="P197" s="1653"/>
      <c r="Q197" s="1653"/>
      <c r="R197" s="1653"/>
      <c r="S197" s="1653" t="s">
        <v>5960</v>
      </c>
      <c r="T197" s="1653">
        <v>100</v>
      </c>
      <c r="U197" s="1293"/>
      <c r="V197" s="1293"/>
      <c r="W197" s="1293"/>
      <c r="X197" s="1293"/>
      <c r="Y197" s="1293"/>
      <c r="Z197" s="1653"/>
      <c r="AA197" s="1653"/>
      <c r="AB197" s="1653"/>
      <c r="AC197" s="1293"/>
      <c r="AD197" s="1293"/>
      <c r="AE197" s="1293"/>
      <c r="AF197" s="1293"/>
      <c r="AG197" s="1293"/>
    </row>
    <row r="198" spans="1:33" ht="15.75">
      <c r="A198" s="1293"/>
      <c r="B198" s="1672" t="s">
        <v>2379</v>
      </c>
      <c r="C198" s="1700">
        <v>0.55000000000000004</v>
      </c>
      <c r="D198" s="1700">
        <f>(1-C198)</f>
        <v>0.44999999999999996</v>
      </c>
      <c r="E198" s="1701">
        <f>F198*D198</f>
        <v>1840.6597915178011</v>
      </c>
      <c r="F198" s="1701">
        <f>H198-G198</f>
        <v>4090.3550922617806</v>
      </c>
      <c r="G198" s="1701">
        <v>800</v>
      </c>
      <c r="H198" s="1702">
        <f>I198*J198</f>
        <v>4890.3550922617806</v>
      </c>
      <c r="I198" s="1331">
        <f>CA!N115</f>
        <v>603</v>
      </c>
      <c r="J198" s="1703">
        <f>J197</f>
        <v>8.1100416123744292</v>
      </c>
      <c r="K198" s="1653"/>
      <c r="L198" s="1653"/>
      <c r="M198" s="1653"/>
      <c r="N198" s="1653"/>
      <c r="O198" s="1653"/>
      <c r="P198" s="1653"/>
      <c r="Q198" s="1653"/>
      <c r="R198" s="1653"/>
      <c r="S198" s="1672" t="s">
        <v>8305</v>
      </c>
      <c r="T198" s="1672">
        <v>100</v>
      </c>
      <c r="U198" s="1293"/>
      <c r="V198" s="1293"/>
      <c r="W198" s="1293"/>
      <c r="X198" s="1293"/>
      <c r="Y198" s="1293"/>
      <c r="Z198" s="1653"/>
      <c r="AA198" s="1653"/>
      <c r="AB198" s="1653"/>
      <c r="AC198" s="1293"/>
      <c r="AD198" s="1293"/>
      <c r="AE198" s="1293"/>
      <c r="AF198" s="1293"/>
      <c r="AG198" s="1293"/>
    </row>
    <row r="199" spans="1:33" ht="15.75">
      <c r="A199" s="1293"/>
      <c r="B199" s="1653" t="s">
        <v>2324</v>
      </c>
      <c r="C199" s="1665"/>
      <c r="D199" s="1665"/>
      <c r="E199" s="1666">
        <f>E197+E198</f>
        <v>2632.6597915178008</v>
      </c>
      <c r="F199" s="1666"/>
      <c r="G199" s="1666"/>
      <c r="H199" s="1698"/>
      <c r="I199" s="1293"/>
      <c r="J199" s="1699"/>
      <c r="K199" s="1653"/>
      <c r="L199" s="1653"/>
      <c r="M199" s="1653"/>
      <c r="N199" s="1653"/>
      <c r="O199" s="1653"/>
      <c r="P199" s="1653"/>
      <c r="Q199" s="1653"/>
      <c r="R199" s="1653"/>
      <c r="S199" s="1653"/>
      <c r="T199" s="1653">
        <f>T197+T198</f>
        <v>200</v>
      </c>
      <c r="U199" s="1293"/>
      <c r="V199" s="1293"/>
      <c r="W199" s="1293"/>
      <c r="X199" s="1293"/>
      <c r="Y199" s="1293"/>
      <c r="Z199" s="1653"/>
      <c r="AA199" s="1653"/>
      <c r="AB199" s="1653"/>
      <c r="AC199" s="1293"/>
      <c r="AD199" s="1293"/>
      <c r="AE199" s="1293"/>
      <c r="AF199" s="1293"/>
      <c r="AG199" s="1293"/>
    </row>
    <row r="200" spans="1:33" ht="15.75">
      <c r="A200" s="1293"/>
      <c r="B200" s="1653"/>
      <c r="C200" s="1684"/>
      <c r="D200" s="1684"/>
      <c r="E200" s="1684"/>
      <c r="F200" s="1665"/>
      <c r="G200" s="1665"/>
      <c r="H200" s="1293"/>
      <c r="I200" s="1293"/>
      <c r="J200" s="1293"/>
      <c r="K200" s="1653"/>
      <c r="L200" s="1653"/>
      <c r="M200" s="1653"/>
      <c r="N200" s="1653"/>
      <c r="O200" s="1653"/>
      <c r="P200" s="1653"/>
      <c r="Q200" s="1653"/>
      <c r="R200" s="1653"/>
      <c r="S200" s="1293"/>
      <c r="T200" s="1293"/>
      <c r="U200" s="1293"/>
      <c r="V200" s="1293"/>
      <c r="W200" s="1293"/>
      <c r="X200" s="1293"/>
      <c r="Y200" s="1293"/>
      <c r="Z200" s="1653"/>
      <c r="AA200" s="1653"/>
      <c r="AB200" s="1653"/>
      <c r="AC200" s="1293"/>
      <c r="AD200" s="1293"/>
      <c r="AE200" s="1293"/>
      <c r="AF200" s="1293"/>
      <c r="AG200" s="1293"/>
    </row>
    <row r="201" spans="1:33" ht="15.75">
      <c r="A201" s="1293"/>
      <c r="B201" s="1704" t="s">
        <v>714</v>
      </c>
      <c r="C201" s="1684"/>
      <c r="D201" s="1684"/>
      <c r="E201" s="1684"/>
      <c r="F201" s="1665"/>
      <c r="G201" s="1665"/>
      <c r="H201" s="1293"/>
      <c r="I201" s="1293"/>
      <c r="J201" s="1293"/>
      <c r="K201" s="1293"/>
      <c r="L201" s="1653"/>
      <c r="M201" s="1653"/>
      <c r="N201" s="1653"/>
      <c r="O201" s="1653"/>
      <c r="P201" s="1653"/>
      <c r="Q201" s="1653"/>
      <c r="R201" s="1653"/>
      <c r="S201" s="1293"/>
      <c r="T201" s="1293"/>
      <c r="U201" s="1293"/>
      <c r="V201" s="1293"/>
      <c r="W201" s="1293"/>
      <c r="X201" s="1293"/>
      <c r="Y201" s="1293"/>
      <c r="Z201" s="1653"/>
      <c r="AA201" s="1653"/>
      <c r="AB201" s="1653"/>
      <c r="AC201" s="1293"/>
      <c r="AD201" s="1293"/>
      <c r="AE201" s="1293"/>
      <c r="AF201" s="1293"/>
      <c r="AG201" s="1293"/>
    </row>
    <row r="202" spans="1:33" ht="15.75">
      <c r="A202" s="1293"/>
      <c r="B202" s="1653" t="s">
        <v>1103</v>
      </c>
      <c r="C202" s="1684"/>
      <c r="D202" s="1684"/>
      <c r="E202" s="1684"/>
      <c r="F202" s="1665"/>
      <c r="G202" s="1665"/>
      <c r="H202" s="1293"/>
      <c r="I202" s="1293"/>
      <c r="J202" s="1293" t="s">
        <v>1823</v>
      </c>
      <c r="K202" s="1293"/>
      <c r="L202" s="1653"/>
      <c r="M202" s="1653"/>
      <c r="N202" s="1653"/>
      <c r="O202" s="1653"/>
      <c r="P202" s="1653"/>
      <c r="Q202" s="1653"/>
      <c r="R202" s="1653"/>
      <c r="S202" s="1293"/>
      <c r="T202" s="1293"/>
      <c r="U202" s="1293"/>
      <c r="V202" s="1293"/>
      <c r="W202" s="1293"/>
      <c r="X202" s="1293"/>
      <c r="Y202" s="1293"/>
      <c r="Z202" s="1653"/>
      <c r="AA202" s="1653"/>
      <c r="AB202" s="1653"/>
      <c r="AC202" s="1293"/>
      <c r="AD202" s="1293"/>
      <c r="AE202" s="1293"/>
      <c r="AF202" s="1293"/>
      <c r="AG202" s="1293"/>
    </row>
    <row r="203" spans="1:33" ht="15.75">
      <c r="A203" s="1293"/>
      <c r="B203" s="1653" t="s">
        <v>715</v>
      </c>
      <c r="C203" s="1684"/>
      <c r="D203" s="1684"/>
      <c r="E203" s="1684"/>
      <c r="F203" s="1665"/>
      <c r="G203" s="1665"/>
      <c r="H203" s="1293"/>
      <c r="I203" s="1293"/>
      <c r="J203" s="1293"/>
      <c r="K203" s="1293"/>
      <c r="L203" s="1653"/>
      <c r="M203" s="1653"/>
      <c r="N203" s="1653"/>
      <c r="O203" s="1653"/>
      <c r="P203" s="1653"/>
      <c r="Q203" s="1653"/>
      <c r="R203" s="1653"/>
      <c r="S203" s="1293"/>
      <c r="T203" s="1293"/>
      <c r="U203" s="1293"/>
      <c r="V203" s="1293"/>
      <c r="W203" s="1293"/>
      <c r="X203" s="1293"/>
      <c r="Y203" s="1293"/>
      <c r="Z203" s="1653"/>
      <c r="AA203" s="1653"/>
      <c r="AB203" s="1653"/>
      <c r="AC203" s="1293"/>
      <c r="AD203" s="1293"/>
      <c r="AE203" s="1293"/>
      <c r="AF203" s="1293"/>
      <c r="AG203" s="1293"/>
    </row>
    <row r="204" spans="1:33" ht="15.75">
      <c r="A204" s="1293"/>
      <c r="B204" s="1653" t="s">
        <v>1723</v>
      </c>
      <c r="C204" s="1684"/>
      <c r="D204" s="1684"/>
      <c r="E204" s="1684"/>
      <c r="F204" s="1665"/>
      <c r="G204" s="1665"/>
      <c r="H204" s="1293"/>
      <c r="I204" s="1293"/>
      <c r="J204" s="1293"/>
      <c r="K204" s="1293"/>
      <c r="L204" s="1653"/>
      <c r="M204" s="1653"/>
      <c r="N204" s="1652"/>
      <c r="O204" s="1653"/>
      <c r="P204" s="1653"/>
      <c r="Q204" s="1653"/>
      <c r="R204" s="1653"/>
      <c r="S204" s="1293"/>
      <c r="T204" s="1293"/>
      <c r="U204" s="1293"/>
      <c r="V204" s="1293"/>
      <c r="W204" s="1293"/>
      <c r="X204" s="1293"/>
      <c r="Y204" s="1293"/>
      <c r="Z204" s="1653"/>
      <c r="AA204" s="1653"/>
      <c r="AB204" s="1653"/>
      <c r="AC204" s="1293"/>
      <c r="AD204" s="1293"/>
      <c r="AE204" s="1293"/>
      <c r="AF204" s="1293"/>
      <c r="AG204" s="1293"/>
    </row>
    <row r="205" spans="1:33" ht="15.75">
      <c r="A205" s="1293"/>
      <c r="B205" s="1653"/>
      <c r="C205" s="1684"/>
      <c r="D205" s="1684"/>
      <c r="E205" s="1684"/>
      <c r="F205" s="1665"/>
      <c r="G205" s="1665"/>
      <c r="H205" s="1293"/>
      <c r="I205" s="1293"/>
      <c r="J205" s="1293"/>
      <c r="K205" s="1293"/>
      <c r="L205" s="1653"/>
      <c r="M205" s="1653"/>
      <c r="N205" s="1652"/>
      <c r="O205" s="1653"/>
      <c r="P205" s="1653"/>
      <c r="Q205" s="1653"/>
      <c r="R205" s="1653"/>
      <c r="S205" s="1293"/>
      <c r="T205" s="1293"/>
      <c r="U205" s="1293"/>
      <c r="V205" s="1293"/>
      <c r="W205" s="1293"/>
      <c r="X205" s="1293"/>
      <c r="Y205" s="1293"/>
      <c r="Z205" s="1653"/>
      <c r="AA205" s="1653"/>
      <c r="AB205" s="1653"/>
      <c r="AC205" s="1293"/>
      <c r="AD205" s="1293"/>
      <c r="AE205" s="1293"/>
      <c r="AF205" s="1293"/>
      <c r="AG205" s="1293"/>
    </row>
    <row r="206" spans="1:33" ht="15.75">
      <c r="A206" s="1293"/>
      <c r="B206" s="1653"/>
      <c r="C206" s="1684"/>
      <c r="D206" s="1684"/>
      <c r="E206" s="1684"/>
      <c r="F206" s="1665"/>
      <c r="G206" s="1665"/>
      <c r="H206" s="1293"/>
      <c r="I206" s="1293"/>
      <c r="J206" s="1293"/>
      <c r="K206" s="1293"/>
      <c r="L206" s="1653"/>
      <c r="M206" s="1653"/>
      <c r="N206" s="1652"/>
      <c r="O206" s="1653"/>
      <c r="P206" s="1653"/>
      <c r="Q206" s="1653"/>
      <c r="R206" s="1653"/>
      <c r="S206" s="1293"/>
      <c r="T206" s="1293"/>
      <c r="U206" s="1293"/>
      <c r="V206" s="1293"/>
      <c r="W206" s="1293"/>
      <c r="X206" s="1293"/>
      <c r="Y206" s="1293"/>
      <c r="Z206" s="1653"/>
      <c r="AA206" s="1653"/>
      <c r="AB206" s="1653"/>
      <c r="AC206" s="1293"/>
      <c r="AD206" s="1293"/>
      <c r="AE206" s="1293"/>
      <c r="AF206" s="1293"/>
      <c r="AG206" s="1293"/>
    </row>
    <row r="207" spans="1:33" ht="15.75">
      <c r="A207" s="1293"/>
      <c r="B207" s="1653"/>
      <c r="C207" s="1684"/>
      <c r="D207" s="1653"/>
      <c r="E207" s="1653"/>
      <c r="F207" s="1653">
        <v>-3</v>
      </c>
      <c r="G207" s="1293">
        <f t="shared" ref="G207:N207" si="190">F207+1</f>
        <v>-2</v>
      </c>
      <c r="H207" s="1293">
        <f t="shared" si="190"/>
        <v>-1</v>
      </c>
      <c r="I207" s="1293">
        <f t="shared" si="190"/>
        <v>0</v>
      </c>
      <c r="J207" s="1293">
        <f t="shared" si="190"/>
        <v>1</v>
      </c>
      <c r="K207" s="1293">
        <f t="shared" si="190"/>
        <v>2</v>
      </c>
      <c r="L207" s="1293">
        <f t="shared" si="190"/>
        <v>3</v>
      </c>
      <c r="M207" s="1293">
        <f t="shared" si="190"/>
        <v>4</v>
      </c>
      <c r="N207" s="1293">
        <f t="shared" si="190"/>
        <v>5</v>
      </c>
      <c r="O207" s="1653"/>
      <c r="P207" s="1653"/>
      <c r="Q207" s="1653"/>
      <c r="R207" s="1653"/>
      <c r="S207" s="1293"/>
      <c r="T207" s="1293"/>
      <c r="U207" s="1293"/>
      <c r="V207" s="1293"/>
      <c r="W207" s="1293"/>
      <c r="X207" s="1293"/>
      <c r="Y207" s="1293"/>
      <c r="Z207" s="1653"/>
      <c r="AA207" s="1653"/>
      <c r="AB207" s="1653"/>
      <c r="AC207" s="1293"/>
      <c r="AD207" s="1293"/>
      <c r="AE207" s="1293"/>
      <c r="AF207" s="1293"/>
      <c r="AG207" s="1293"/>
    </row>
    <row r="208" spans="1:33" ht="15.75">
      <c r="A208" s="1293"/>
      <c r="B208" s="1657" t="s">
        <v>1559</v>
      </c>
      <c r="C208" s="1657"/>
      <c r="D208" s="1657">
        <f t="shared" ref="D208:J208" si="191">H258</f>
        <v>2015</v>
      </c>
      <c r="E208" s="1657">
        <f t="shared" si="191"/>
        <v>2016</v>
      </c>
      <c r="F208" s="1657">
        <f t="shared" si="191"/>
        <v>2017</v>
      </c>
      <c r="G208" s="1657">
        <f t="shared" si="191"/>
        <v>2018</v>
      </c>
      <c r="H208" s="1657">
        <f t="shared" si="191"/>
        <v>2019</v>
      </c>
      <c r="I208" s="1657">
        <f t="shared" si="191"/>
        <v>2020</v>
      </c>
      <c r="J208" s="1657">
        <f t="shared" si="191"/>
        <v>2021</v>
      </c>
      <c r="K208" s="1657">
        <f>O258</f>
        <v>2022</v>
      </c>
      <c r="L208" s="1657">
        <f>P258</f>
        <v>2023</v>
      </c>
      <c r="M208" s="1657">
        <f>Q258</f>
        <v>2024</v>
      </c>
      <c r="N208" s="1657">
        <f>R258</f>
        <v>2025</v>
      </c>
      <c r="O208" s="1653"/>
      <c r="P208" s="1653"/>
      <c r="Q208" s="1653"/>
      <c r="R208" s="1653"/>
      <c r="S208" s="1293"/>
      <c r="T208" s="1293"/>
      <c r="U208" s="1293"/>
      <c r="V208" s="1293"/>
      <c r="W208" s="1293"/>
      <c r="X208" s="1293"/>
      <c r="Y208" s="1293"/>
      <c r="Z208" s="1653"/>
      <c r="AA208" s="1653"/>
      <c r="AB208" s="1653"/>
      <c r="AC208" s="1293"/>
      <c r="AD208" s="1293"/>
      <c r="AE208" s="1293"/>
      <c r="AF208" s="1293"/>
      <c r="AG208" s="1293"/>
    </row>
    <row r="209" spans="1:33" ht="15.75">
      <c r="A209" s="1293"/>
      <c r="B209" s="1653" t="s">
        <v>3938</v>
      </c>
      <c r="C209" s="1688">
        <v>0.09</v>
      </c>
      <c r="D209" s="1684"/>
      <c r="E209" s="1684"/>
      <c r="F209" s="1684"/>
      <c r="G209" s="1684"/>
      <c r="H209" s="1684"/>
      <c r="I209" s="1684"/>
      <c r="J209" s="1684"/>
      <c r="K209" s="1684"/>
      <c r="L209" s="1684"/>
      <c r="M209" s="1684"/>
      <c r="N209" s="1684"/>
      <c r="O209" s="1653"/>
      <c r="P209" s="1653"/>
      <c r="Q209" s="1653"/>
      <c r="R209" s="1653"/>
      <c r="S209" s="1293"/>
      <c r="T209" s="1293"/>
      <c r="U209" s="1293"/>
      <c r="V209" s="1293"/>
      <c r="W209" s="1293"/>
      <c r="X209" s="1293"/>
      <c r="Y209" s="1293"/>
      <c r="Z209" s="1653"/>
      <c r="AA209" s="1653"/>
      <c r="AB209" s="1653"/>
      <c r="AC209" s="1293"/>
      <c r="AD209" s="1293"/>
      <c r="AE209" s="1293"/>
      <c r="AF209" s="1293"/>
      <c r="AG209" s="1293"/>
    </row>
    <row r="210" spans="1:33" ht="15.75">
      <c r="A210" s="1293"/>
      <c r="B210" s="1653"/>
      <c r="C210" s="1665"/>
      <c r="D210" s="1684"/>
      <c r="E210" s="1684"/>
      <c r="F210" s="1684"/>
      <c r="G210" s="1684"/>
      <c r="H210" s="1684"/>
      <c r="I210" s="1684"/>
      <c r="J210" s="1684"/>
      <c r="K210" s="1684"/>
      <c r="L210" s="1684"/>
      <c r="M210" s="1684"/>
      <c r="N210" s="1684"/>
      <c r="O210" s="1653"/>
      <c r="P210" s="1653"/>
      <c r="Q210" s="1653"/>
      <c r="R210" s="1653"/>
      <c r="S210" s="1293"/>
      <c r="T210" s="1293"/>
      <c r="U210" s="1293"/>
      <c r="V210" s="1293"/>
      <c r="W210" s="1293"/>
      <c r="X210" s="1293"/>
      <c r="Y210" s="1293"/>
      <c r="Z210" s="1653"/>
      <c r="AA210" s="1653"/>
      <c r="AB210" s="1653"/>
      <c r="AC210" s="1293"/>
      <c r="AD210" s="1293"/>
      <c r="AE210" s="1293"/>
      <c r="AF210" s="1293"/>
      <c r="AG210" s="1293"/>
    </row>
    <row r="211" spans="1:33" ht="15.75">
      <c r="A211" s="1293"/>
      <c r="B211" s="1653" t="s">
        <v>3989</v>
      </c>
      <c r="C211" s="1684"/>
      <c r="D211" s="1675">
        <f>-(Master!R183-Master!R186)</f>
        <v>122.61964505748429</v>
      </c>
      <c r="E211" s="1675">
        <f>-(Master!S183-Master!S186)</f>
        <v>138.815</v>
      </c>
      <c r="F211" s="1675">
        <f>-(Master!T183-Master!T186)</f>
        <v>146.69999999999999</v>
      </c>
      <c r="G211" s="1675">
        <f>-(Master!U183-Master!U186)</f>
        <v>78.179999999999993</v>
      </c>
      <c r="H211" s="1675">
        <f>-(Master!V183-Master!V186)</f>
        <v>135.87</v>
      </c>
      <c r="I211" s="1675">
        <f>-(Master!W183-Master!W186)</f>
        <v>136.76999999999998</v>
      </c>
      <c r="J211" s="1675">
        <f>-(Master!X183-Master!X186)</f>
        <v>82.889999999999986</v>
      </c>
      <c r="K211" s="1675">
        <f>-(Master!Y183-Master!Y186)</f>
        <v>139.37355000000005</v>
      </c>
      <c r="L211" s="1675">
        <f>-(Master!Z183-Master!Z186)</f>
        <v>388.55291499999998</v>
      </c>
      <c r="M211" s="1675">
        <f ca="1">-(Master!AA183-Master!AA186)</f>
        <v>114.13125199999988</v>
      </c>
      <c r="N211" s="1675">
        <f ca="1">-(Master!AB183-Master!AB186)</f>
        <v>121.44633902329215</v>
      </c>
      <c r="O211" s="1653"/>
      <c r="P211" s="1653"/>
      <c r="Q211" s="1653"/>
      <c r="R211" s="1653"/>
      <c r="S211" s="1293"/>
      <c r="T211" s="1293"/>
      <c r="U211" s="1293"/>
      <c r="V211" s="1293"/>
      <c r="W211" s="1293"/>
      <c r="X211" s="1293"/>
      <c r="Y211" s="1293"/>
      <c r="Z211" s="1653"/>
      <c r="AA211" s="1653"/>
      <c r="AB211" s="1653"/>
      <c r="AC211" s="1293"/>
      <c r="AD211" s="1293"/>
      <c r="AE211" s="1293"/>
      <c r="AF211" s="1293"/>
      <c r="AG211" s="1293"/>
    </row>
    <row r="212" spans="1:33" ht="15.75">
      <c r="A212" s="1293"/>
      <c r="B212" s="1653" t="s">
        <v>3988</v>
      </c>
      <c r="C212" s="1684"/>
      <c r="D212" s="1675">
        <f>Master!R172*Master!R165</f>
        <v>-55.080000000000005</v>
      </c>
      <c r="E212" s="1675">
        <f>Master!S172*Master!S165</f>
        <v>-44.550000000000004</v>
      </c>
      <c r="F212" s="1675">
        <f>Master!T172*Master!T165</f>
        <v>-39.872520000000002</v>
      </c>
      <c r="G212" s="1675">
        <f>Master!U172*Master!U165</f>
        <v>-40.671180000000007</v>
      </c>
      <c r="H212" s="1675">
        <f>Master!V172*Master!V165</f>
        <v>-40.695750000000011</v>
      </c>
      <c r="I212" s="1675">
        <f>Master!W172*Master!W165</f>
        <v>-37.53</v>
      </c>
      <c r="J212" s="1675">
        <f>Master!X172*Master!X165</f>
        <v>-41.85</v>
      </c>
      <c r="K212" s="1675">
        <f>Master!Y172*Master!Y165</f>
        <v>-39.870279000000011</v>
      </c>
      <c r="L212" s="1675">
        <f>Master!Z172*Master!Z165</f>
        <v>-60.883379999999995</v>
      </c>
      <c r="M212" s="1675">
        <f ca="1">Master!AA172*Master!AA165</f>
        <v>-60.883379999999995</v>
      </c>
      <c r="N212" s="1675">
        <f>Master!AB172*Master!AB165</f>
        <v>-33</v>
      </c>
      <c r="O212" s="1653"/>
      <c r="P212" s="1653"/>
      <c r="Q212" s="1653"/>
      <c r="R212" s="1653"/>
      <c r="S212" s="1293"/>
      <c r="T212" s="1293"/>
      <c r="U212" s="1293"/>
      <c r="V212" s="1293"/>
      <c r="W212" s="1293"/>
      <c r="X212" s="1293"/>
      <c r="Y212" s="1293"/>
      <c r="Z212" s="1653"/>
      <c r="AA212" s="1653"/>
      <c r="AB212" s="1653"/>
      <c r="AC212" s="1293"/>
      <c r="AD212" s="1293"/>
      <c r="AE212" s="1293"/>
      <c r="AF212" s="1293"/>
      <c r="AG212" s="1293"/>
    </row>
    <row r="213" spans="1:33" ht="15.75">
      <c r="A213" s="1293"/>
      <c r="B213" s="1672" t="s">
        <v>3991</v>
      </c>
      <c r="C213" s="1657"/>
      <c r="D213" s="1705">
        <f ca="1">Master!R166*SOP!$C$289</f>
        <v>-17.823203077804301</v>
      </c>
      <c r="E213" s="1705">
        <f ca="1">Master!S166*SOP!$C$289</f>
        <v>-3.5646406155608599</v>
      </c>
      <c r="F213" s="1705">
        <f ca="1">Master!T166*SOP!$C$289</f>
        <v>0</v>
      </c>
      <c r="G213" s="1705">
        <f ca="1">Master!U166*SOP!$C$289</f>
        <v>0</v>
      </c>
      <c r="H213" s="1705">
        <f ca="1">Master!V166*SOP!$C$289</f>
        <v>0</v>
      </c>
      <c r="I213" s="1705">
        <f ca="1">Master!W166*SOP!$C$289</f>
        <v>0</v>
      </c>
      <c r="J213" s="1705">
        <f ca="1">Master!X166*SOP!$C$289</f>
        <v>0</v>
      </c>
      <c r="K213" s="1705">
        <f ca="1">Master!Y166*SOP!$C$289</f>
        <v>0</v>
      </c>
      <c r="L213" s="1705">
        <f ca="1">Master!Z166*SOP!$C$289</f>
        <v>0</v>
      </c>
      <c r="M213" s="1705">
        <f ca="1">Master!AA166*SOP!$C$289</f>
        <v>0</v>
      </c>
      <c r="N213" s="1705">
        <f ca="1">Master!AB166*SOP!$C$289</f>
        <v>0</v>
      </c>
      <c r="O213" s="1653"/>
      <c r="P213" s="1653"/>
      <c r="Q213" s="1653"/>
      <c r="R213" s="1653"/>
      <c r="S213" s="1293"/>
      <c r="T213" s="1293"/>
      <c r="U213" s="1293"/>
      <c r="V213" s="1293"/>
      <c r="W213" s="1293"/>
      <c r="X213" s="1293"/>
      <c r="Y213" s="1293"/>
      <c r="Z213" s="1653"/>
      <c r="AA213" s="1653"/>
      <c r="AB213" s="1653"/>
      <c r="AC213" s="1293"/>
      <c r="AD213" s="1293"/>
      <c r="AE213" s="1293"/>
      <c r="AF213" s="1293"/>
      <c r="AG213" s="1293"/>
    </row>
    <row r="214" spans="1:33" ht="15.75">
      <c r="A214" s="1293"/>
      <c r="B214" s="1653" t="s">
        <v>3990</v>
      </c>
      <c r="C214" s="1684"/>
      <c r="D214" s="1675">
        <f t="shared" ref="D214:N214" ca="1" si="192">D211+D212+D213</f>
        <v>49.716441979679978</v>
      </c>
      <c r="E214" s="1675">
        <f t="shared" ca="1" si="192"/>
        <v>90.700359384439125</v>
      </c>
      <c r="F214" s="1675">
        <f t="shared" ca="1" si="192"/>
        <v>106.82747999999998</v>
      </c>
      <c r="G214" s="1675">
        <f t="shared" ca="1" si="192"/>
        <v>37.508819999999986</v>
      </c>
      <c r="H214" s="1675">
        <f t="shared" ca="1" si="192"/>
        <v>95.174250000000001</v>
      </c>
      <c r="I214" s="1675">
        <f t="shared" ca="1" si="192"/>
        <v>99.239999999999981</v>
      </c>
      <c r="J214" s="1675">
        <f t="shared" ca="1" si="192"/>
        <v>41.039999999999985</v>
      </c>
      <c r="K214" s="1675">
        <f t="shared" ca="1" si="192"/>
        <v>99.503271000000041</v>
      </c>
      <c r="L214" s="1675">
        <f t="shared" ca="1" si="192"/>
        <v>327.669535</v>
      </c>
      <c r="M214" s="1675">
        <f t="shared" ca="1" si="192"/>
        <v>53.24787199999988</v>
      </c>
      <c r="N214" s="1675">
        <f t="shared" ca="1" si="192"/>
        <v>88.446339023292154</v>
      </c>
      <c r="O214" s="1653"/>
      <c r="P214" s="1653"/>
      <c r="Q214" s="1653"/>
      <c r="R214" s="1653"/>
      <c r="S214" s="1293"/>
      <c r="T214" s="1293"/>
      <c r="U214" s="1293"/>
      <c r="V214" s="1293"/>
      <c r="W214" s="1293"/>
      <c r="X214" s="1293"/>
      <c r="Y214" s="1293"/>
      <c r="Z214" s="1653"/>
      <c r="AA214" s="1653"/>
      <c r="AB214" s="1653"/>
      <c r="AC214" s="1293"/>
      <c r="AD214" s="1293"/>
      <c r="AE214" s="1293"/>
      <c r="AF214" s="1293"/>
      <c r="AG214" s="1293"/>
    </row>
    <row r="215" spans="1:33" ht="15.75">
      <c r="A215" s="1293"/>
      <c r="B215" s="1653" t="s">
        <v>3916</v>
      </c>
      <c r="C215" s="1684"/>
      <c r="D215" s="1675"/>
      <c r="E215" s="1675"/>
      <c r="F215" s="1675">
        <f t="shared" ref="F215:N215" ca="1" si="193">F214/(1+$C$209)^F207</f>
        <v>138.34468459691999</v>
      </c>
      <c r="G215" s="1675">
        <f t="shared" ca="1" si="193"/>
        <v>44.564229041999987</v>
      </c>
      <c r="H215" s="1675">
        <f t="shared" ca="1" si="193"/>
        <v>103.73993250000001</v>
      </c>
      <c r="I215" s="1675">
        <f t="shared" ca="1" si="193"/>
        <v>99.239999999999981</v>
      </c>
      <c r="J215" s="1675">
        <f t="shared" ca="1" si="193"/>
        <v>37.651376146788976</v>
      </c>
      <c r="K215" s="1675">
        <f t="shared" ca="1" si="193"/>
        <v>83.74991246528073</v>
      </c>
      <c r="L215" s="1675">
        <f t="shared" ca="1" si="193"/>
        <v>253.02100184629066</v>
      </c>
      <c r="M215" s="1675">
        <f t="shared" ca="1" si="193"/>
        <v>37.722134960372479</v>
      </c>
      <c r="N215" s="1675">
        <f t="shared" ca="1" si="193"/>
        <v>57.484051734421705</v>
      </c>
      <c r="O215" s="1653"/>
      <c r="P215" s="1653"/>
      <c r="Q215" s="1653"/>
      <c r="R215" s="1653"/>
      <c r="S215" s="1293"/>
      <c r="T215" s="1293"/>
      <c r="U215" s="1293"/>
      <c r="V215" s="1293"/>
      <c r="W215" s="1293"/>
      <c r="X215" s="1293"/>
      <c r="Y215" s="1293"/>
      <c r="Z215" s="1653"/>
      <c r="AA215" s="1653"/>
      <c r="AB215" s="1653"/>
      <c r="AC215" s="1293"/>
      <c r="AD215" s="1293"/>
      <c r="AE215" s="1293"/>
      <c r="AF215" s="1293"/>
      <c r="AG215" s="1293"/>
    </row>
    <row r="216" spans="1:33" ht="15.75">
      <c r="A216" s="1293"/>
      <c r="B216" s="1653"/>
      <c r="C216" s="1684"/>
      <c r="D216" s="1684"/>
      <c r="E216" s="1684"/>
      <c r="F216" s="1665"/>
      <c r="G216" s="1665"/>
      <c r="H216" s="1675"/>
      <c r="I216" s="1675"/>
      <c r="J216" s="1675"/>
      <c r="K216" s="1675"/>
      <c r="L216" s="1675"/>
      <c r="M216" s="1675"/>
      <c r="N216" s="1675"/>
      <c r="O216" s="1653"/>
      <c r="P216" s="1653"/>
      <c r="Q216" s="1653"/>
      <c r="R216" s="1653"/>
      <c r="S216" s="1293"/>
      <c r="T216" s="1293"/>
      <c r="U216" s="1293"/>
      <c r="V216" s="1293"/>
      <c r="W216" s="1293"/>
      <c r="X216" s="1293"/>
      <c r="Y216" s="1293"/>
      <c r="Z216" s="1653"/>
      <c r="AA216" s="1653"/>
      <c r="AB216" s="1653"/>
      <c r="AC216" s="1293"/>
      <c r="AD216" s="1293"/>
      <c r="AE216" s="1293"/>
      <c r="AF216" s="1293"/>
      <c r="AG216" s="1293"/>
    </row>
    <row r="217" spans="1:33" ht="15.75">
      <c r="A217" s="1293"/>
      <c r="B217" s="1653" t="s">
        <v>1428</v>
      </c>
      <c r="C217" s="1666">
        <f ca="1">NPV($C$209,J215:N215)</f>
        <v>364.49581127264793</v>
      </c>
      <c r="D217" s="1684"/>
      <c r="E217" s="1684"/>
      <c r="F217" s="1665"/>
      <c r="G217" s="1665"/>
      <c r="H217" s="1293"/>
      <c r="I217" s="1293"/>
      <c r="J217" s="1688"/>
      <c r="K217" s="1688"/>
      <c r="L217" s="1688"/>
      <c r="M217" s="1688"/>
      <c r="N217" s="1688"/>
      <c r="O217" s="1653"/>
      <c r="P217" s="1653"/>
      <c r="Q217" s="1653"/>
      <c r="R217" s="1653"/>
      <c r="S217" s="1293"/>
      <c r="T217" s="1293"/>
      <c r="U217" s="1293"/>
      <c r="V217" s="1293"/>
      <c r="W217" s="1293"/>
      <c r="X217" s="1293"/>
      <c r="Y217" s="1293"/>
      <c r="Z217" s="1653"/>
      <c r="AA217" s="1653"/>
      <c r="AB217" s="1653"/>
      <c r="AC217" s="1293"/>
      <c r="AD217" s="1293"/>
      <c r="AE217" s="1293"/>
      <c r="AF217" s="1293"/>
      <c r="AG217" s="1293"/>
    </row>
    <row r="218" spans="1:33" ht="15.75">
      <c r="A218" s="1293"/>
      <c r="B218" s="1672" t="s">
        <v>3915</v>
      </c>
      <c r="C218" s="1701">
        <f ca="1">N215/(C209-0%)</f>
        <v>638.71168593801895</v>
      </c>
      <c r="D218" s="1657"/>
      <c r="E218" s="1657"/>
      <c r="F218" s="1700"/>
      <c r="G218" s="1700"/>
      <c r="H218" s="1701"/>
      <c r="I218" s="1331"/>
      <c r="J218" s="1666"/>
      <c r="K218" s="1666"/>
      <c r="L218" s="1666"/>
      <c r="M218" s="1666"/>
      <c r="N218" s="1666"/>
      <c r="O218" s="1653"/>
      <c r="P218" s="1653"/>
      <c r="Q218" s="1653"/>
      <c r="R218" s="1653"/>
      <c r="S218" s="1293"/>
      <c r="T218" s="1293"/>
      <c r="U218" s="1293"/>
      <c r="V218" s="1293"/>
      <c r="W218" s="1293"/>
      <c r="X218" s="1293"/>
      <c r="Y218" s="1293"/>
      <c r="Z218" s="1653"/>
      <c r="AA218" s="1653"/>
      <c r="AB218" s="1653"/>
      <c r="AC218" s="1293"/>
      <c r="AD218" s="1293"/>
      <c r="AE218" s="1293"/>
      <c r="AF218" s="1293"/>
      <c r="AG218" s="1293"/>
    </row>
    <row r="219" spans="1:33" ht="15.75">
      <c r="A219" s="1293"/>
      <c r="B219" s="1653" t="s">
        <v>2324</v>
      </c>
      <c r="C219" s="1666">
        <f ca="1">C217+C218</f>
        <v>1003.2074972106668</v>
      </c>
      <c r="D219" s="1684"/>
      <c r="E219" s="1684"/>
      <c r="F219" s="1665"/>
      <c r="G219" s="1665"/>
      <c r="H219" s="1293"/>
      <c r="I219" s="1293"/>
      <c r="J219" s="1666"/>
      <c r="K219" s="1666"/>
      <c r="L219" s="1666"/>
      <c r="M219" s="1666"/>
      <c r="N219" s="1666"/>
      <c r="O219" s="1653"/>
      <c r="P219" s="1653"/>
      <c r="Q219" s="1653"/>
      <c r="R219" s="1653"/>
      <c r="S219" s="1293"/>
      <c r="T219" s="1293"/>
      <c r="U219" s="1293"/>
      <c r="V219" s="1293"/>
      <c r="W219" s="1293"/>
      <c r="X219" s="1293"/>
      <c r="Y219" s="1293"/>
      <c r="Z219" s="1653"/>
      <c r="AA219" s="1653"/>
      <c r="AB219" s="1653"/>
      <c r="AC219" s="1293"/>
      <c r="AD219" s="1293"/>
      <c r="AE219" s="1293"/>
      <c r="AF219" s="1293"/>
      <c r="AG219" s="1293"/>
    </row>
    <row r="220" spans="1:33" ht="15.75">
      <c r="A220" s="1293"/>
      <c r="B220" s="1653"/>
      <c r="C220" s="1684"/>
      <c r="D220" s="1684"/>
      <c r="E220" s="1684"/>
      <c r="F220" s="1665"/>
      <c r="G220" s="1665"/>
      <c r="H220" s="1293"/>
      <c r="I220" s="1666"/>
      <c r="J220" s="1666"/>
      <c r="K220" s="1666"/>
      <c r="L220" s="1666"/>
      <c r="M220" s="1666"/>
      <c r="N220" s="1666"/>
      <c r="O220" s="1653"/>
      <c r="P220" s="1653"/>
      <c r="Q220" s="1653"/>
      <c r="R220" s="1653"/>
      <c r="S220" s="1293"/>
      <c r="T220" s="1293"/>
      <c r="U220" s="1293"/>
      <c r="V220" s="1293"/>
      <c r="W220" s="1293"/>
      <c r="X220" s="1293"/>
      <c r="Y220" s="1293"/>
      <c r="Z220" s="1653"/>
      <c r="AA220" s="1653"/>
      <c r="AB220" s="1653"/>
      <c r="AC220" s="1293"/>
      <c r="AD220" s="1293"/>
      <c r="AE220" s="1293"/>
      <c r="AF220" s="1293"/>
      <c r="AG220" s="1293"/>
    </row>
    <row r="221" spans="1:33" ht="15.75">
      <c r="A221" s="1293"/>
      <c r="B221" s="1293"/>
      <c r="C221" s="1293"/>
      <c r="D221" s="1293"/>
      <c r="E221" s="1293"/>
      <c r="F221" s="1293"/>
      <c r="G221" s="1293"/>
      <c r="H221" s="1293"/>
      <c r="I221" s="1293"/>
      <c r="J221" s="1293"/>
      <c r="K221" s="1293"/>
      <c r="L221" s="1653"/>
      <c r="M221" s="1653"/>
      <c r="N221" s="1653"/>
      <c r="O221" s="1653"/>
      <c r="P221" s="1653"/>
      <c r="Q221" s="1653"/>
      <c r="R221" s="1653"/>
      <c r="S221" s="1293"/>
      <c r="T221" s="1293"/>
      <c r="U221" s="1293"/>
      <c r="V221" s="1293"/>
      <c r="W221" s="1293"/>
      <c r="X221" s="1293"/>
      <c r="Y221" s="1293"/>
      <c r="Z221" s="1653"/>
      <c r="AA221" s="1653"/>
      <c r="AB221" s="1653"/>
      <c r="AC221" s="1293"/>
      <c r="AD221" s="1293"/>
      <c r="AE221" s="1293"/>
      <c r="AF221" s="1293"/>
      <c r="AG221" s="1293"/>
    </row>
    <row r="222" spans="1:33" ht="15.75">
      <c r="A222" s="1293"/>
      <c r="B222" s="1293"/>
      <c r="C222" s="1293"/>
      <c r="D222" s="1293"/>
      <c r="E222" s="1293"/>
      <c r="F222" s="1293"/>
      <c r="G222" s="1293"/>
      <c r="H222" s="1293"/>
      <c r="I222" s="1293"/>
      <c r="J222" s="1293"/>
      <c r="K222" s="1293"/>
      <c r="L222" s="1653"/>
      <c r="M222" s="1653"/>
      <c r="N222" s="1653"/>
      <c r="O222" s="1653"/>
      <c r="P222" s="1653"/>
      <c r="Q222" s="1653"/>
      <c r="R222" s="1653"/>
      <c r="S222" s="1293"/>
      <c r="T222" s="1293"/>
      <c r="U222" s="1293"/>
      <c r="V222" s="1293"/>
      <c r="W222" s="1293"/>
      <c r="X222" s="1293"/>
      <c r="Y222" s="1293"/>
      <c r="Z222" s="1653"/>
      <c r="AA222" s="1653"/>
      <c r="AB222" s="1653"/>
      <c r="AC222" s="1293"/>
      <c r="AD222" s="1293"/>
      <c r="AE222" s="1293"/>
      <c r="AF222" s="1293"/>
      <c r="AG222" s="1293"/>
    </row>
    <row r="223" spans="1:33" ht="15.75">
      <c r="A223" s="1293"/>
      <c r="B223" s="1293"/>
      <c r="C223" s="1293"/>
      <c r="D223" s="1293"/>
      <c r="E223" s="1293"/>
      <c r="F223" s="1293"/>
      <c r="G223" s="1293"/>
      <c r="H223" s="1293"/>
      <c r="I223" s="1293"/>
      <c r="J223" s="1293"/>
      <c r="K223" s="1293"/>
      <c r="L223" s="1653"/>
      <c r="M223" s="1653"/>
      <c r="N223" s="1653"/>
      <c r="O223" s="1653"/>
      <c r="P223" s="1653"/>
      <c r="Q223" s="1653"/>
      <c r="R223" s="1653"/>
      <c r="S223" s="1293"/>
      <c r="T223" s="1293"/>
      <c r="U223" s="1293"/>
      <c r="V223" s="1293"/>
      <c r="W223" s="1293"/>
      <c r="X223" s="1293"/>
      <c r="Y223" s="1293"/>
      <c r="Z223" s="1653"/>
      <c r="AA223" s="1653"/>
      <c r="AB223" s="1653"/>
      <c r="AC223" s="1293"/>
      <c r="AD223" s="1293"/>
      <c r="AE223" s="1293"/>
      <c r="AF223" s="1293"/>
      <c r="AG223" s="1293"/>
    </row>
    <row r="224" spans="1:33" ht="15.75">
      <c r="A224" s="1837" t="s">
        <v>635</v>
      </c>
      <c r="B224" s="1657"/>
      <c r="C224" s="1658" t="s">
        <v>7333</v>
      </c>
      <c r="D224" s="1658" t="s">
        <v>1342</v>
      </c>
      <c r="E224" s="1658" t="s">
        <v>1343</v>
      </c>
      <c r="F224" s="1658" t="s">
        <v>305</v>
      </c>
      <c r="G224" s="1658" t="s">
        <v>297</v>
      </c>
      <c r="H224" s="1658" t="s">
        <v>298</v>
      </c>
      <c r="I224" s="1658" t="s">
        <v>299</v>
      </c>
      <c r="J224" s="1658" t="s">
        <v>300</v>
      </c>
      <c r="K224" s="1658" t="s">
        <v>301</v>
      </c>
      <c r="L224" s="1658" t="s">
        <v>302</v>
      </c>
      <c r="M224" s="1658" t="s">
        <v>303</v>
      </c>
      <c r="N224" s="1658" t="s">
        <v>304</v>
      </c>
      <c r="O224" s="1658" t="s">
        <v>1938</v>
      </c>
      <c r="P224" s="1293"/>
      <c r="Q224" s="1293"/>
      <c r="R224" s="1293"/>
      <c r="S224" s="1293"/>
      <c r="T224" s="1293"/>
      <c r="U224" s="1293"/>
      <c r="V224" s="1293"/>
      <c r="W224" s="1293"/>
      <c r="X224" s="1293"/>
      <c r="Y224" s="1293"/>
      <c r="Z224" s="1293"/>
      <c r="AA224" s="1293"/>
      <c r="AB224" s="1293"/>
      <c r="AC224" s="1293"/>
      <c r="AD224" s="1293"/>
      <c r="AE224" s="1293"/>
      <c r="AF224" s="1293"/>
      <c r="AG224" s="1293"/>
    </row>
    <row r="225" spans="1:33" ht="15.75">
      <c r="A225" s="1688">
        <v>0.04</v>
      </c>
      <c r="B225" s="1653" t="s">
        <v>2376</v>
      </c>
      <c r="C225" s="1675">
        <f>'New split'!K273</f>
        <v>162</v>
      </c>
      <c r="D225" s="1708">
        <v>0.3</v>
      </c>
      <c r="E225" s="1708">
        <v>0.3</v>
      </c>
      <c r="F225" s="1708">
        <v>0.3</v>
      </c>
      <c r="G225" s="1708">
        <v>7.4999999999999997E-2</v>
      </c>
      <c r="H225" s="1708">
        <v>1.4999999999999999E-2</v>
      </c>
      <c r="I225" s="1688">
        <f>G225+H225</f>
        <v>0.09</v>
      </c>
      <c r="J225" s="1709">
        <f>I225*(1-D225)</f>
        <v>6.3E-2</v>
      </c>
      <c r="K225" s="1665">
        <v>0.04</v>
      </c>
      <c r="L225" s="1653">
        <v>1.2</v>
      </c>
      <c r="M225" s="1688">
        <f>G225+K225*L225</f>
        <v>0.123</v>
      </c>
      <c r="N225" s="1665">
        <v>0.3</v>
      </c>
      <c r="O225" s="1688">
        <f>J225*N225+M225*(1-N225)</f>
        <v>0.105</v>
      </c>
      <c r="P225" s="1293"/>
      <c r="Q225" s="1675">
        <f t="shared" ref="Q225:R227" si="194">C225</f>
        <v>162</v>
      </c>
      <c r="R225" s="1688">
        <f t="shared" si="194"/>
        <v>0.3</v>
      </c>
      <c r="S225" s="1293"/>
      <c r="T225" s="1293"/>
      <c r="U225" s="1293"/>
      <c r="V225" s="1293"/>
      <c r="W225" s="1293"/>
      <c r="X225" s="1293"/>
      <c r="Y225" s="1293"/>
      <c r="Z225" s="1293"/>
      <c r="AA225" s="1293"/>
      <c r="AB225" s="1293"/>
      <c r="AC225" s="1293"/>
      <c r="AD225" s="1293"/>
      <c r="AE225" s="1293"/>
      <c r="AF225" s="1293"/>
      <c r="AG225" s="1293"/>
    </row>
    <row r="226" spans="1:33" ht="15.75">
      <c r="A226" s="1688">
        <v>0.04</v>
      </c>
      <c r="B226" s="1653" t="s">
        <v>2379</v>
      </c>
      <c r="C226" s="1675">
        <f>'New split'!K274</f>
        <v>857</v>
      </c>
      <c r="D226" s="1708">
        <v>0.3</v>
      </c>
      <c r="E226" s="1708">
        <v>0.18</v>
      </c>
      <c r="F226" s="1708">
        <v>0.3</v>
      </c>
      <c r="G226" s="1708">
        <v>7.4999999999999997E-2</v>
      </c>
      <c r="H226" s="1708">
        <v>1.4999999999999999E-2</v>
      </c>
      <c r="I226" s="1688">
        <f>G226+H226</f>
        <v>0.09</v>
      </c>
      <c r="J226" s="1709">
        <f>I226*(1-D226)</f>
        <v>6.3E-2</v>
      </c>
      <c r="K226" s="1665">
        <v>0.04</v>
      </c>
      <c r="L226" s="1653">
        <v>1.2</v>
      </c>
      <c r="M226" s="1688">
        <f>G226+K226*L226</f>
        <v>0.123</v>
      </c>
      <c r="N226" s="1665">
        <v>0.3</v>
      </c>
      <c r="O226" s="1688">
        <f>J226*N226+M226*(1-N226)</f>
        <v>0.105</v>
      </c>
      <c r="P226" s="1293"/>
      <c r="Q226" s="1675">
        <f t="shared" si="194"/>
        <v>857</v>
      </c>
      <c r="R226" s="1688">
        <f t="shared" si="194"/>
        <v>0.3</v>
      </c>
      <c r="S226" s="1293"/>
      <c r="T226" s="1293"/>
      <c r="U226" s="1293"/>
      <c r="V226" s="1293"/>
      <c r="W226" s="1293"/>
      <c r="X226" s="1293"/>
      <c r="Y226" s="1293"/>
      <c r="Z226" s="1293"/>
      <c r="AA226" s="1293"/>
      <c r="AB226" s="1293"/>
      <c r="AC226" s="1293"/>
      <c r="AD226" s="1293"/>
      <c r="AE226" s="1293"/>
      <c r="AF226" s="1293"/>
      <c r="AG226" s="1293"/>
    </row>
    <row r="227" spans="1:33" ht="15.75">
      <c r="A227" s="1688">
        <v>0.04</v>
      </c>
      <c r="B227" s="1672" t="s">
        <v>2380</v>
      </c>
      <c r="C227" s="1705"/>
      <c r="D227" s="1710">
        <v>0.3</v>
      </c>
      <c r="E227" s="1710">
        <v>0.3</v>
      </c>
      <c r="F227" s="1710">
        <v>0.3</v>
      </c>
      <c r="G227" s="1710">
        <v>7.4999999999999997E-2</v>
      </c>
      <c r="H227" s="1710">
        <v>1.4999999999999999E-2</v>
      </c>
      <c r="I227" s="1711">
        <f>G227+H227</f>
        <v>0.09</v>
      </c>
      <c r="J227" s="1712">
        <f>I227*(1-D227)</f>
        <v>6.3E-2</v>
      </c>
      <c r="K227" s="1700">
        <v>0.04</v>
      </c>
      <c r="L227" s="1672">
        <v>1.2</v>
      </c>
      <c r="M227" s="1711">
        <f>G227+K227*L227</f>
        <v>0.123</v>
      </c>
      <c r="N227" s="1700">
        <v>0.3</v>
      </c>
      <c r="O227" s="1711">
        <f>J227*N227+M227*(1-N227)</f>
        <v>0.105</v>
      </c>
      <c r="P227" s="1293"/>
      <c r="Q227" s="1675">
        <f t="shared" si="194"/>
        <v>0</v>
      </c>
      <c r="R227" s="1688">
        <f t="shared" si="194"/>
        <v>0.3</v>
      </c>
      <c r="S227" s="1293"/>
      <c r="T227" s="1293"/>
      <c r="U227" s="1293"/>
      <c r="V227" s="1293"/>
      <c r="W227" s="1293"/>
      <c r="X227" s="1293"/>
      <c r="Y227" s="1293"/>
      <c r="Z227" s="1293"/>
      <c r="AA227" s="1293"/>
      <c r="AB227" s="1293"/>
      <c r="AC227" s="1293"/>
      <c r="AD227" s="1293"/>
      <c r="AE227" s="1293"/>
      <c r="AF227" s="1293"/>
      <c r="AG227" s="1293"/>
    </row>
    <row r="228" spans="1:33" ht="15.75">
      <c r="A228" s="1688"/>
      <c r="B228" s="1684" t="s">
        <v>1828</v>
      </c>
      <c r="C228" s="1713">
        <f>SUM(C225:C227)</f>
        <v>1019</v>
      </c>
      <c r="D228" s="1714">
        <f>(C225/C$228)*D225+(C226/C$228)*D226</f>
        <v>0.3</v>
      </c>
      <c r="E228" s="1714">
        <f>(C225/C$228)*E225+(C226/C$228)*E226</f>
        <v>0.1990775269872424</v>
      </c>
      <c r="F228" s="1714"/>
      <c r="G228" s="1714"/>
      <c r="H228" s="1714"/>
      <c r="I228" s="1715"/>
      <c r="J228" s="1716"/>
      <c r="K228" s="1696"/>
      <c r="L228" s="1684"/>
      <c r="M228" s="1715"/>
      <c r="N228" s="1696"/>
      <c r="O228" s="1715">
        <f>(C225/C$228)*O225+(C226/C$228)*O226+(C227/C$228)*O227</f>
        <v>0.105</v>
      </c>
      <c r="P228" s="1293"/>
      <c r="Q228" s="1293"/>
      <c r="R228" s="1293"/>
      <c r="S228" s="1293"/>
      <c r="T228" s="1293"/>
      <c r="U228" s="1293"/>
      <c r="V228" s="1293"/>
      <c r="W228" s="1293"/>
      <c r="X228" s="1293"/>
      <c r="Y228" s="1293"/>
      <c r="Z228" s="1293"/>
      <c r="AA228" s="1293"/>
      <c r="AB228" s="1293"/>
      <c r="AC228" s="1293"/>
      <c r="AD228" s="1293"/>
      <c r="AE228" s="1293"/>
      <c r="AF228" s="1293"/>
      <c r="AG228" s="1293"/>
    </row>
    <row r="229" spans="1:33" ht="15.75">
      <c r="A229" s="1688">
        <v>0.04</v>
      </c>
      <c r="B229" s="1653" t="s">
        <v>2378</v>
      </c>
      <c r="C229" s="1675">
        <f ca="1">SA!Q98</f>
        <v>287.51358022339065</v>
      </c>
      <c r="D229" s="1708">
        <v>0.1</v>
      </c>
      <c r="E229" s="1708">
        <v>0.1</v>
      </c>
      <c r="F229" s="1708">
        <v>0.3</v>
      </c>
      <c r="G229" s="1708">
        <v>6.5000000000000002E-2</v>
      </c>
      <c r="H229" s="1708">
        <v>1.4999999999999999E-2</v>
      </c>
      <c r="I229" s="1688">
        <f>G229+H229</f>
        <v>0.08</v>
      </c>
      <c r="J229" s="1709">
        <f>I229*(1-D229)</f>
        <v>7.2000000000000008E-2</v>
      </c>
      <c r="K229" s="1665">
        <v>0.04</v>
      </c>
      <c r="L229" s="1653">
        <v>1.2</v>
      </c>
      <c r="M229" s="1688">
        <f>G229+K229*L229</f>
        <v>0.113</v>
      </c>
      <c r="N229" s="1665">
        <v>0.3</v>
      </c>
      <c r="O229" s="1688">
        <f>J229*N229+M229*(1-N229)</f>
        <v>0.10070000000000001</v>
      </c>
      <c r="P229" s="1293"/>
      <c r="Q229" s="1675">
        <f ca="1">C229</f>
        <v>287.51358022339065</v>
      </c>
      <c r="R229" s="1688">
        <f>D229</f>
        <v>0.1</v>
      </c>
      <c r="S229" s="1293"/>
      <c r="T229" s="1293"/>
      <c r="U229" s="1293"/>
      <c r="V229" s="1293"/>
      <c r="W229" s="1293"/>
      <c r="X229" s="1293"/>
      <c r="Y229" s="1293"/>
      <c r="Z229" s="1293"/>
      <c r="AA229" s="1293"/>
      <c r="AB229" s="1293"/>
      <c r="AC229" s="1293"/>
      <c r="AD229" s="1293"/>
      <c r="AE229" s="1293"/>
      <c r="AF229" s="1293"/>
      <c r="AG229" s="1293"/>
    </row>
    <row r="230" spans="1:33" ht="15.75">
      <c r="A230" s="1688">
        <v>0.04</v>
      </c>
      <c r="B230" s="1672" t="s">
        <v>2377</v>
      </c>
      <c r="C230" s="1705">
        <f ca="1">SA!Q97</f>
        <v>201.07261377811966</v>
      </c>
      <c r="D230" s="1710">
        <v>0.25</v>
      </c>
      <c r="E230" s="1710">
        <v>0.25</v>
      </c>
      <c r="F230" s="1710">
        <v>0.3</v>
      </c>
      <c r="G230" s="1710">
        <v>6.5000000000000002E-2</v>
      </c>
      <c r="H230" s="1710">
        <v>1.4999999999999999E-2</v>
      </c>
      <c r="I230" s="1711">
        <f>G230+H230</f>
        <v>0.08</v>
      </c>
      <c r="J230" s="1712">
        <f>I230*(1-D230)</f>
        <v>0.06</v>
      </c>
      <c r="K230" s="1700">
        <v>0.04</v>
      </c>
      <c r="L230" s="1672">
        <v>1.2</v>
      </c>
      <c r="M230" s="1711">
        <f>G230+K230*L230</f>
        <v>0.113</v>
      </c>
      <c r="N230" s="1700">
        <v>0.3</v>
      </c>
      <c r="O230" s="1711">
        <f>J230*N230+M230*(1-N230)</f>
        <v>9.7100000000000006E-2</v>
      </c>
      <c r="P230" s="1293"/>
      <c r="Q230" s="1675">
        <f ca="1">C230</f>
        <v>201.07261377811966</v>
      </c>
      <c r="R230" s="1688">
        <f>D230</f>
        <v>0.25</v>
      </c>
      <c r="S230" s="1293"/>
      <c r="T230" s="1293"/>
      <c r="U230" s="1293"/>
      <c r="V230" s="1293"/>
      <c r="W230" s="1293"/>
      <c r="X230" s="1293"/>
      <c r="Y230" s="1293"/>
      <c r="Z230" s="1293"/>
      <c r="AA230" s="1293"/>
      <c r="AB230" s="1293"/>
      <c r="AC230" s="1293"/>
      <c r="AD230" s="1293"/>
      <c r="AE230" s="1293"/>
      <c r="AF230" s="1293"/>
      <c r="AG230" s="1293"/>
    </row>
    <row r="231" spans="1:33" ht="15.75">
      <c r="A231" s="1688"/>
      <c r="B231" s="1684" t="s">
        <v>1697</v>
      </c>
      <c r="C231" s="1713">
        <f ca="1">SUM(C229:C230)</f>
        <v>488.58619400151031</v>
      </c>
      <c r="D231" s="1714">
        <f ca="1">(C229/C$231)*D229+(C230/C$231)*D230</f>
        <v>0.16173095440888516</v>
      </c>
      <c r="E231" s="1714">
        <f ca="1">(C229/C$231)*E229+(C230/C$231)*E230</f>
        <v>0.16173095440888516</v>
      </c>
      <c r="F231" s="1714"/>
      <c r="G231" s="1714"/>
      <c r="H231" s="1714"/>
      <c r="I231" s="1715"/>
      <c r="J231" s="1716"/>
      <c r="K231" s="1696"/>
      <c r="L231" s="1684"/>
      <c r="M231" s="1715"/>
      <c r="N231" s="1696"/>
      <c r="O231" s="1715">
        <f ca="1">(C229/C$231)*O229+(C230/C$231)*O230</f>
        <v>9.9218457094186766E-2</v>
      </c>
      <c r="P231" s="1293"/>
      <c r="Q231" s="1293"/>
      <c r="R231" s="1293"/>
      <c r="S231" s="1293"/>
      <c r="T231" s="1293"/>
      <c r="U231" s="1293"/>
      <c r="V231" s="1293"/>
      <c r="W231" s="1293"/>
      <c r="X231" s="1293"/>
      <c r="Y231" s="1293"/>
      <c r="Z231" s="1293"/>
      <c r="AA231" s="1293"/>
      <c r="AB231" s="1293"/>
      <c r="AC231" s="1293"/>
      <c r="AD231" s="1293"/>
      <c r="AE231" s="1293"/>
      <c r="AF231" s="1293"/>
      <c r="AG231" s="1293"/>
    </row>
    <row r="232" spans="1:33" ht="15.75">
      <c r="A232" s="1688">
        <v>0.04</v>
      </c>
      <c r="B232" s="1653" t="s">
        <v>1665</v>
      </c>
      <c r="C232" s="1666">
        <f>Colombia!M59</f>
        <v>182.96950761337303</v>
      </c>
      <c r="D232" s="1708">
        <v>0.34</v>
      </c>
      <c r="E232" s="1708">
        <v>0.33</v>
      </c>
      <c r="F232" s="1708">
        <v>0.3</v>
      </c>
      <c r="G232" s="1708">
        <v>0.05</v>
      </c>
      <c r="H232" s="1708">
        <v>1.4999999999999999E-2</v>
      </c>
      <c r="I232" s="1688">
        <f>G232+H232</f>
        <v>6.5000000000000002E-2</v>
      </c>
      <c r="J232" s="1709">
        <f>I232*(1-D232)</f>
        <v>4.2899999999999994E-2</v>
      </c>
      <c r="K232" s="1665">
        <v>0.04</v>
      </c>
      <c r="L232" s="1653">
        <v>1.3</v>
      </c>
      <c r="M232" s="1688">
        <f>G232+K232*L232</f>
        <v>0.10200000000000001</v>
      </c>
      <c r="N232" s="1665">
        <v>0.3</v>
      </c>
      <c r="O232" s="1688">
        <f t="shared" ref="O232:O238" si="195">J232*N232+M232*(1-N232)</f>
        <v>8.4269999999999998E-2</v>
      </c>
      <c r="P232" s="1293"/>
      <c r="Q232" s="1675">
        <f t="shared" ref="Q232:R238" si="196">C232</f>
        <v>182.96950761337303</v>
      </c>
      <c r="R232" s="1688">
        <f t="shared" si="196"/>
        <v>0.34</v>
      </c>
      <c r="S232" s="1293"/>
      <c r="T232" s="1293"/>
      <c r="U232" s="1293"/>
      <c r="V232" s="1293"/>
      <c r="W232" s="1293"/>
      <c r="X232" s="1293"/>
      <c r="Y232" s="1293"/>
      <c r="Z232" s="1293"/>
      <c r="AA232" s="1293"/>
      <c r="AB232" s="1293"/>
      <c r="AC232" s="1293"/>
      <c r="AD232" s="1293"/>
      <c r="AE232" s="1293"/>
      <c r="AF232" s="1293"/>
      <c r="AG232" s="1293"/>
    </row>
    <row r="233" spans="1:33" ht="15.75">
      <c r="A233" s="1688">
        <v>0.04</v>
      </c>
      <c r="B233" s="1653" t="str">
        <f>Africa!B68</f>
        <v>Ghana</v>
      </c>
      <c r="C233" s="1675">
        <f>Africa!P161</f>
        <v>10.580004457845074</v>
      </c>
      <c r="D233" s="1708">
        <v>0.28000000000000003</v>
      </c>
      <c r="E233" s="1708">
        <v>0.28000000000000003</v>
      </c>
      <c r="F233" s="1708">
        <v>0.3</v>
      </c>
      <c r="G233" s="1708">
        <v>0.1</v>
      </c>
      <c r="H233" s="1708">
        <v>1.4999999999999999E-2</v>
      </c>
      <c r="I233" s="1688">
        <f t="shared" ref="I233:I238" si="197">G233+H233</f>
        <v>0.115</v>
      </c>
      <c r="J233" s="1709">
        <f t="shared" ref="J233:J238" si="198">I233*(1-D233)</f>
        <v>8.2799999999999999E-2</v>
      </c>
      <c r="K233" s="1665">
        <v>0.04</v>
      </c>
      <c r="L233" s="1653">
        <v>1.2</v>
      </c>
      <c r="M233" s="1688">
        <f t="shared" ref="M233:M238" si="199">G233+K233*L233</f>
        <v>0.14800000000000002</v>
      </c>
      <c r="N233" s="1665">
        <v>0.3</v>
      </c>
      <c r="O233" s="1688">
        <f t="shared" si="195"/>
        <v>0.12844</v>
      </c>
      <c r="P233" s="1293"/>
      <c r="Q233" s="1675">
        <f t="shared" si="196"/>
        <v>10.580004457845074</v>
      </c>
      <c r="R233" s="1688">
        <f t="shared" si="196"/>
        <v>0.28000000000000003</v>
      </c>
      <c r="S233" s="1293"/>
      <c r="T233" s="1293"/>
      <c r="U233" s="1293"/>
      <c r="V233" s="1293"/>
      <c r="W233" s="1293"/>
      <c r="X233" s="1293"/>
      <c r="Y233" s="1293"/>
      <c r="Z233" s="1293"/>
      <c r="AA233" s="1293"/>
      <c r="AB233" s="1293"/>
      <c r="AC233" s="1293"/>
      <c r="AD233" s="1293"/>
      <c r="AE233" s="1293"/>
      <c r="AF233" s="1293"/>
      <c r="AG233" s="1293"/>
    </row>
    <row r="234" spans="1:33" ht="15.75">
      <c r="A234" s="1688">
        <v>0.04</v>
      </c>
      <c r="B234" s="1653" t="str">
        <f>Africa!B69</f>
        <v>Mauritius</v>
      </c>
      <c r="C234" s="1675">
        <f>Africa!P162</f>
        <v>0</v>
      </c>
      <c r="D234" s="1708">
        <v>0.25</v>
      </c>
      <c r="E234" s="1708">
        <v>0.15</v>
      </c>
      <c r="F234" s="1708">
        <v>0.3</v>
      </c>
      <c r="G234" s="1708">
        <v>0.1</v>
      </c>
      <c r="H234" s="1708">
        <v>1.4999999999999999E-2</v>
      </c>
      <c r="I234" s="1688">
        <f t="shared" si="197"/>
        <v>0.115</v>
      </c>
      <c r="J234" s="1709">
        <f t="shared" si="198"/>
        <v>8.6250000000000007E-2</v>
      </c>
      <c r="K234" s="1665">
        <v>0.04</v>
      </c>
      <c r="L234" s="1653">
        <v>1.2</v>
      </c>
      <c r="M234" s="1688">
        <f t="shared" si="199"/>
        <v>0.14800000000000002</v>
      </c>
      <c r="N234" s="1665">
        <v>0.3</v>
      </c>
      <c r="O234" s="1688">
        <f t="shared" si="195"/>
        <v>0.12947500000000001</v>
      </c>
      <c r="P234" s="1293"/>
      <c r="Q234" s="1675">
        <f t="shared" si="196"/>
        <v>0</v>
      </c>
      <c r="R234" s="1688">
        <f t="shared" si="196"/>
        <v>0.25</v>
      </c>
      <c r="S234" s="1293"/>
      <c r="T234" s="1293"/>
      <c r="U234" s="1293"/>
      <c r="V234" s="1293"/>
      <c r="W234" s="1293"/>
      <c r="X234" s="1293"/>
      <c r="Y234" s="1293"/>
      <c r="Z234" s="1293"/>
      <c r="AA234" s="1293"/>
      <c r="AB234" s="1293"/>
      <c r="AC234" s="1293"/>
      <c r="AD234" s="1293"/>
      <c r="AE234" s="1293"/>
      <c r="AF234" s="1293"/>
      <c r="AG234" s="1293"/>
    </row>
    <row r="235" spans="1:33" ht="15.75">
      <c r="A235" s="1688">
        <v>0.04</v>
      </c>
      <c r="B235" s="1653" t="str">
        <f>Africa!B70</f>
        <v>Senegal</v>
      </c>
      <c r="C235" s="1675">
        <f ca="1">Africa!P163</f>
        <v>8.6183808719678314</v>
      </c>
      <c r="D235" s="1708">
        <v>0.33</v>
      </c>
      <c r="E235" s="1708">
        <v>0.33</v>
      </c>
      <c r="F235" s="1708">
        <v>0.3</v>
      </c>
      <c r="G235" s="1708">
        <v>0.1</v>
      </c>
      <c r="H235" s="1708">
        <v>1.4999999999999999E-2</v>
      </c>
      <c r="I235" s="1688">
        <f t="shared" si="197"/>
        <v>0.115</v>
      </c>
      <c r="J235" s="1709">
        <f t="shared" si="198"/>
        <v>7.7049999999999993E-2</v>
      </c>
      <c r="K235" s="1665">
        <v>0.04</v>
      </c>
      <c r="L235" s="1653">
        <v>1.2</v>
      </c>
      <c r="M235" s="1688">
        <f t="shared" si="199"/>
        <v>0.14800000000000002</v>
      </c>
      <c r="N235" s="1665">
        <v>0.3</v>
      </c>
      <c r="O235" s="1688">
        <f t="shared" si="195"/>
        <v>0.12671500000000002</v>
      </c>
      <c r="P235" s="1293"/>
      <c r="Q235" s="1675">
        <f ca="1">C235</f>
        <v>8.6183808719678314</v>
      </c>
      <c r="R235" s="1688">
        <f t="shared" si="196"/>
        <v>0.33</v>
      </c>
      <c r="S235" s="1293"/>
      <c r="T235" s="1293"/>
      <c r="U235" s="1293"/>
      <c r="V235" s="1293"/>
      <c r="W235" s="1293"/>
      <c r="X235" s="1293"/>
      <c r="Y235" s="1293"/>
      <c r="Z235" s="1293"/>
      <c r="AA235" s="1293"/>
      <c r="AB235" s="1293"/>
      <c r="AC235" s="1293"/>
      <c r="AD235" s="1293"/>
      <c r="AE235" s="1293"/>
      <c r="AF235" s="1293"/>
      <c r="AG235" s="1293"/>
    </row>
    <row r="236" spans="1:33" ht="15.75">
      <c r="A236" s="1688">
        <v>0.04</v>
      </c>
      <c r="B236" s="1653" t="str">
        <f>Africa!B71</f>
        <v>Tanzania</v>
      </c>
      <c r="C236" s="1675">
        <f>Africa!P164</f>
        <v>126.16999999999999</v>
      </c>
      <c r="D236" s="1708">
        <v>0.35</v>
      </c>
      <c r="E236" s="1708">
        <v>0.35</v>
      </c>
      <c r="F236" s="1708">
        <v>0.3</v>
      </c>
      <c r="G236" s="1708">
        <v>0.1</v>
      </c>
      <c r="H236" s="1708">
        <v>1.4999999999999999E-2</v>
      </c>
      <c r="I236" s="1688">
        <f t="shared" si="197"/>
        <v>0.115</v>
      </c>
      <c r="J236" s="1709">
        <f t="shared" si="198"/>
        <v>7.4750000000000011E-2</v>
      </c>
      <c r="K236" s="1665">
        <v>0.04</v>
      </c>
      <c r="L236" s="1653">
        <v>1.2</v>
      </c>
      <c r="M236" s="1688">
        <f t="shared" si="199"/>
        <v>0.14800000000000002</v>
      </c>
      <c r="N236" s="1665">
        <v>0.3</v>
      </c>
      <c r="O236" s="1688">
        <f t="shared" si="195"/>
        <v>0.12602500000000003</v>
      </c>
      <c r="P236" s="1293"/>
      <c r="Q236" s="1675">
        <f t="shared" si="196"/>
        <v>126.16999999999999</v>
      </c>
      <c r="R236" s="1688">
        <f t="shared" si="196"/>
        <v>0.35</v>
      </c>
      <c r="S236" s="1293"/>
      <c r="T236" s="1293"/>
      <c r="U236" s="1293"/>
      <c r="V236" s="1293"/>
      <c r="W236" s="1293"/>
      <c r="X236" s="1293"/>
      <c r="Y236" s="1293"/>
      <c r="Z236" s="1293"/>
      <c r="AA236" s="1293"/>
      <c r="AB236" s="1293"/>
      <c r="AC236" s="1293"/>
      <c r="AD236" s="1293"/>
      <c r="AE236" s="1293"/>
      <c r="AF236" s="1293"/>
      <c r="AG236" s="1293"/>
    </row>
    <row r="237" spans="1:33" ht="15.75">
      <c r="A237" s="1688">
        <v>0.04</v>
      </c>
      <c r="B237" s="1653" t="str">
        <f>Africa!B72</f>
        <v>Chad</v>
      </c>
      <c r="C237" s="1675">
        <f>Africa!P165</f>
        <v>36.33</v>
      </c>
      <c r="D237" s="1708">
        <v>0.4</v>
      </c>
      <c r="E237" s="1708">
        <v>0.4</v>
      </c>
      <c r="F237" s="1708">
        <v>0.3</v>
      </c>
      <c r="G237" s="1708">
        <v>0.1</v>
      </c>
      <c r="H237" s="1708">
        <v>1.4999999999999999E-2</v>
      </c>
      <c r="I237" s="1688">
        <f t="shared" si="197"/>
        <v>0.115</v>
      </c>
      <c r="J237" s="1709">
        <f t="shared" si="198"/>
        <v>6.9000000000000006E-2</v>
      </c>
      <c r="K237" s="1665">
        <v>0.05</v>
      </c>
      <c r="L237" s="1653">
        <v>1.2</v>
      </c>
      <c r="M237" s="1688">
        <f t="shared" si="199"/>
        <v>0.16</v>
      </c>
      <c r="N237" s="1665">
        <v>0.3</v>
      </c>
      <c r="O237" s="1688">
        <f t="shared" si="195"/>
        <v>0.13269999999999998</v>
      </c>
      <c r="P237" s="1293"/>
      <c r="Q237" s="1675">
        <f t="shared" si="196"/>
        <v>36.33</v>
      </c>
      <c r="R237" s="1688">
        <f t="shared" si="196"/>
        <v>0.4</v>
      </c>
      <c r="S237" s="1293"/>
      <c r="T237" s="1293"/>
      <c r="U237" s="1293"/>
      <c r="V237" s="1293"/>
      <c r="W237" s="1293"/>
      <c r="X237" s="1293"/>
      <c r="Y237" s="1293"/>
      <c r="Z237" s="1293"/>
      <c r="AA237" s="1293"/>
      <c r="AB237" s="1293"/>
      <c r="AC237" s="1293"/>
      <c r="AD237" s="1293"/>
      <c r="AE237" s="1293"/>
      <c r="AF237" s="1293"/>
      <c r="AG237" s="1293"/>
    </row>
    <row r="238" spans="1:33" ht="15.75">
      <c r="A238" s="1688">
        <v>0.04</v>
      </c>
      <c r="B238" s="1672" t="s">
        <v>827</v>
      </c>
      <c r="C238" s="1705">
        <f>Africa!P166</f>
        <v>11.513349151026418</v>
      </c>
      <c r="D238" s="1710">
        <v>0.38</v>
      </c>
      <c r="E238" s="1710">
        <v>0.38</v>
      </c>
      <c r="F238" s="1710">
        <v>0.3</v>
      </c>
      <c r="G238" s="1710">
        <v>0.1</v>
      </c>
      <c r="H238" s="1710">
        <v>1.4999999999999999E-2</v>
      </c>
      <c r="I238" s="1711">
        <f t="shared" si="197"/>
        <v>0.115</v>
      </c>
      <c r="J238" s="1712">
        <f t="shared" si="198"/>
        <v>7.1300000000000002E-2</v>
      </c>
      <c r="K238" s="1700">
        <v>0.06</v>
      </c>
      <c r="L238" s="1672">
        <v>1.2</v>
      </c>
      <c r="M238" s="1711">
        <f t="shared" si="199"/>
        <v>0.17199999999999999</v>
      </c>
      <c r="N238" s="1700">
        <v>0.3</v>
      </c>
      <c r="O238" s="1711">
        <f t="shared" si="195"/>
        <v>0.14178999999999997</v>
      </c>
      <c r="P238" s="1293"/>
      <c r="Q238" s="1675">
        <f t="shared" si="196"/>
        <v>11.513349151026418</v>
      </c>
      <c r="R238" s="1688">
        <f t="shared" si="196"/>
        <v>0.38</v>
      </c>
      <c r="S238" s="1293"/>
      <c r="T238" s="1293"/>
      <c r="U238" s="1293"/>
      <c r="V238" s="1293"/>
      <c r="W238" s="1293"/>
      <c r="X238" s="1293"/>
      <c r="Y238" s="1293"/>
      <c r="Z238" s="1293"/>
      <c r="AA238" s="1293"/>
      <c r="AB238" s="1293"/>
      <c r="AC238" s="1293"/>
      <c r="AD238" s="1293"/>
      <c r="AE238" s="1293"/>
      <c r="AF238" s="1293"/>
      <c r="AG238" s="1293"/>
    </row>
    <row r="239" spans="1:33" ht="15.75">
      <c r="A239" s="1688"/>
      <c r="B239" s="1684" t="s">
        <v>1831</v>
      </c>
      <c r="C239" s="1713">
        <f ca="1">SUM(C233:C238)</f>
        <v>193.21173448083931</v>
      </c>
      <c r="D239" s="1714">
        <f ca="1">(C233/C$239)*D233+(C234/C$239)*D234+(C235/C$239)*D235+(C236/C$239)*D236+(C237/C$239)*D237+(C238/C$239)*D238</f>
        <v>0.35646406155608601</v>
      </c>
      <c r="E239" s="1714">
        <f ca="1">(C233/C$239)*E233+(C234/C$239)*E234+(C235/C$239)*E235+(C236/C$239)*E236+(C237/C$239)*E237+(C238/C$239)*E238</f>
        <v>0.35646406155608601</v>
      </c>
      <c r="F239" s="1714"/>
      <c r="G239" s="1714"/>
      <c r="H239" s="1714"/>
      <c r="I239" s="1715"/>
      <c r="J239" s="1716"/>
      <c r="K239" s="1696"/>
      <c r="L239" s="1684"/>
      <c r="M239" s="1715"/>
      <c r="N239" s="1696"/>
      <c r="O239" s="1715">
        <f ca="1">(C233/C$239)*O233+(C234/C$239)*O234+(C235/C$239)*O235+(C236/C$239)*O236+(C237/C$239)*O237+(C238/C$239)*O238</f>
        <v>0.12838255915217697</v>
      </c>
      <c r="P239" s="1293"/>
      <c r="Q239" s="1293"/>
      <c r="R239" s="1293"/>
      <c r="S239" s="1293"/>
      <c r="T239" s="1293"/>
      <c r="U239" s="1293"/>
      <c r="V239" s="1293"/>
      <c r="W239" s="1293"/>
      <c r="X239" s="1293"/>
      <c r="Y239" s="1293"/>
      <c r="Z239" s="1293"/>
      <c r="AA239" s="1293"/>
      <c r="AB239" s="1293"/>
      <c r="AC239" s="1293"/>
      <c r="AD239" s="1293"/>
      <c r="AE239" s="1293"/>
      <c r="AF239" s="1293"/>
      <c r="AG239" s="1293"/>
    </row>
    <row r="240" spans="1:33" ht="15.75">
      <c r="A240" s="1688"/>
      <c r="B240" s="1684"/>
      <c r="C240" s="1713"/>
      <c r="D240" s="1715"/>
      <c r="E240" s="1715"/>
      <c r="F240" s="1715"/>
      <c r="G240" s="1715"/>
      <c r="H240" s="1715"/>
      <c r="I240" s="1715"/>
      <c r="J240" s="1716"/>
      <c r="K240" s="1696"/>
      <c r="L240" s="1684"/>
      <c r="M240" s="1715"/>
      <c r="N240" s="1696"/>
      <c r="O240" s="1715"/>
      <c r="P240" s="1293"/>
      <c r="Q240" s="1293"/>
      <c r="R240" s="1293"/>
      <c r="S240" s="1293"/>
      <c r="T240" s="1293"/>
      <c r="U240" s="1293"/>
      <c r="V240" s="1293"/>
      <c r="W240" s="1293"/>
      <c r="X240" s="1293"/>
      <c r="Y240" s="1293"/>
      <c r="Z240" s="1293"/>
      <c r="AA240" s="1293"/>
      <c r="AB240" s="1293"/>
      <c r="AC240" s="1293"/>
      <c r="AD240" s="1293"/>
      <c r="AE240" s="1293"/>
      <c r="AF240" s="1293"/>
      <c r="AG240" s="1293"/>
    </row>
    <row r="241" spans="1:33" ht="15.75">
      <c r="A241" s="1688"/>
      <c r="B241" s="1684"/>
      <c r="C241" s="1713"/>
      <c r="D241" s="1713"/>
      <c r="E241" s="1713"/>
      <c r="F241" s="1713"/>
      <c r="G241" s="1713"/>
      <c r="H241" s="1713"/>
      <c r="I241" s="1713"/>
      <c r="J241" s="1716"/>
      <c r="K241" s="1696"/>
      <c r="L241" s="1684"/>
      <c r="M241" s="1715"/>
      <c r="N241" s="1696"/>
      <c r="O241" s="1715"/>
      <c r="P241" s="1293"/>
      <c r="Q241" s="1293"/>
      <c r="R241" s="1293"/>
      <c r="S241" s="1293"/>
      <c r="T241" s="1293"/>
      <c r="U241" s="1293"/>
      <c r="V241" s="1293"/>
      <c r="W241" s="1293"/>
      <c r="X241" s="1293"/>
      <c r="Y241" s="1293"/>
      <c r="Z241" s="1293"/>
      <c r="AA241" s="1293"/>
      <c r="AB241" s="1293"/>
      <c r="AC241" s="1293"/>
      <c r="AD241" s="1293"/>
      <c r="AE241" s="1293"/>
      <c r="AF241" s="1293"/>
      <c r="AG241" s="1293"/>
    </row>
    <row r="242" spans="1:33" ht="15.75">
      <c r="A242" s="1688"/>
      <c r="B242" s="1855"/>
      <c r="C242" s="1856" t="str">
        <f>C224</f>
        <v>2021 EBITDA</v>
      </c>
      <c r="D242" s="1856" t="s">
        <v>395</v>
      </c>
      <c r="E242" s="1857"/>
      <c r="F242" s="1713"/>
      <c r="G242" s="1713"/>
      <c r="H242" s="1713"/>
      <c r="I242" s="1713"/>
      <c r="J242" s="1716"/>
      <c r="K242" s="1696"/>
      <c r="L242" s="1684"/>
      <c r="M242" s="1715"/>
      <c r="N242" s="1696"/>
      <c r="O242" s="1715"/>
      <c r="P242" s="1293"/>
      <c r="Q242" s="1293"/>
      <c r="R242" s="1293"/>
      <c r="S242" s="1293"/>
      <c r="T242" s="1293"/>
      <c r="U242" s="1293"/>
      <c r="V242" s="1293"/>
      <c r="W242" s="1293"/>
      <c r="X242" s="1293"/>
      <c r="Y242" s="1293"/>
      <c r="Z242" s="1293"/>
      <c r="AA242" s="1293"/>
      <c r="AB242" s="1293"/>
      <c r="AC242" s="1293"/>
      <c r="AD242" s="1293"/>
      <c r="AE242" s="1293"/>
      <c r="AF242" s="1293"/>
      <c r="AG242" s="1293"/>
    </row>
    <row r="243" spans="1:33" ht="15.75">
      <c r="A243" s="1688"/>
      <c r="B243" s="1653" t="str">
        <f>B228</f>
        <v>Central America</v>
      </c>
      <c r="C243" s="1675">
        <f>C228</f>
        <v>1019</v>
      </c>
      <c r="D243" s="1688">
        <f>D228</f>
        <v>0.3</v>
      </c>
      <c r="E243" s="1665">
        <f ca="1">(C243/C$247)*D243</f>
        <v>0.16228117873912862</v>
      </c>
      <c r="F243" s="1713"/>
      <c r="G243" s="1713"/>
      <c r="H243" s="1713"/>
      <c r="I243" s="1713"/>
      <c r="J243" s="1716"/>
      <c r="K243" s="1696"/>
      <c r="L243" s="1684"/>
      <c r="M243" s="1715"/>
      <c r="N243" s="1696"/>
      <c r="O243" s="1715"/>
      <c r="P243" s="1293"/>
      <c r="Q243" s="1293"/>
      <c r="R243" s="1293"/>
      <c r="S243" s="1293"/>
      <c r="T243" s="1293"/>
      <c r="U243" s="1293"/>
      <c r="V243" s="1293"/>
      <c r="W243" s="1293"/>
      <c r="X243" s="1293"/>
      <c r="Y243" s="1293"/>
      <c r="Z243" s="1293"/>
      <c r="AA243" s="1293"/>
      <c r="AB243" s="1293"/>
      <c r="AC243" s="1293"/>
      <c r="AD243" s="1293"/>
      <c r="AE243" s="1293"/>
      <c r="AF243" s="1293"/>
      <c r="AG243" s="1293"/>
    </row>
    <row r="244" spans="1:33" ht="15.75">
      <c r="A244" s="1688"/>
      <c r="B244" s="1653" t="str">
        <f>B231</f>
        <v>South America</v>
      </c>
      <c r="C244" s="1675">
        <f ca="1">C231</f>
        <v>488.58619400151031</v>
      </c>
      <c r="D244" s="1688">
        <f ca="1">D231</f>
        <v>0.16173095440888516</v>
      </c>
      <c r="E244" s="1665">
        <f ca="1">(C244/C$247)*D244</f>
        <v>4.1947593929452368E-2</v>
      </c>
      <c r="F244" s="1713"/>
      <c r="G244" s="1713"/>
      <c r="H244" s="1713"/>
      <c r="I244" s="1713"/>
      <c r="J244" s="1716"/>
      <c r="K244" s="1696"/>
      <c r="L244" s="1684"/>
      <c r="M244" s="1715"/>
      <c r="N244" s="1696"/>
      <c r="O244" s="1715"/>
      <c r="P244" s="1293"/>
      <c r="Q244" s="1293"/>
      <c r="R244" s="1293"/>
      <c r="S244" s="1293"/>
      <c r="T244" s="1293"/>
      <c r="U244" s="1293"/>
      <c r="V244" s="1293"/>
      <c r="W244" s="1293"/>
      <c r="X244" s="1293"/>
      <c r="Y244" s="1293"/>
      <c r="Z244" s="1293"/>
      <c r="AA244" s="1293"/>
      <c r="AB244" s="1293"/>
      <c r="AC244" s="1293"/>
      <c r="AD244" s="1293"/>
      <c r="AE244" s="1293"/>
      <c r="AF244" s="1293"/>
      <c r="AG244" s="1293"/>
    </row>
    <row r="245" spans="1:33" ht="15.75">
      <c r="A245" s="1688"/>
      <c r="B245" s="1653" t="s">
        <v>1665</v>
      </c>
      <c r="C245" s="1675">
        <f>C232</f>
        <v>182.96950761337303</v>
      </c>
      <c r="D245" s="1688">
        <f>D232</f>
        <v>0.34</v>
      </c>
      <c r="E245" s="1665">
        <f ca="1">(C245/C$247)*D245</f>
        <v>3.3024051375196234E-2</v>
      </c>
      <c r="F245" s="1713"/>
      <c r="G245" s="1713"/>
      <c r="H245" s="1713"/>
      <c r="I245" s="1713"/>
      <c r="J245" s="1716"/>
      <c r="K245" s="1696"/>
      <c r="L245" s="1684"/>
      <c r="M245" s="1715"/>
      <c r="N245" s="1696"/>
      <c r="O245" s="1715"/>
      <c r="P245" s="1293"/>
      <c r="Q245" s="1293"/>
      <c r="R245" s="1293"/>
      <c r="S245" s="1293"/>
      <c r="T245" s="1293"/>
      <c r="U245" s="1293"/>
      <c r="V245" s="1293"/>
      <c r="W245" s="1293"/>
      <c r="X245" s="1293"/>
      <c r="Y245" s="1293"/>
      <c r="Z245" s="1293"/>
      <c r="AA245" s="1293"/>
      <c r="AB245" s="1293"/>
      <c r="AC245" s="1293"/>
      <c r="AD245" s="1293"/>
      <c r="AE245" s="1293"/>
      <c r="AF245" s="1293"/>
      <c r="AG245" s="1293"/>
    </row>
    <row r="246" spans="1:33" ht="15.75">
      <c r="A246" s="1688"/>
      <c r="B246" s="1672" t="str">
        <f>B239</f>
        <v>Africa</v>
      </c>
      <c r="C246" s="1705">
        <f ca="1">C239</f>
        <v>193.21173448083931</v>
      </c>
      <c r="D246" s="1711">
        <f ca="1">D239</f>
        <v>0.35646406155608601</v>
      </c>
      <c r="E246" s="1700">
        <f ca="1">(C246/C$247)*D246</f>
        <v>3.6561328268887382E-2</v>
      </c>
      <c r="F246" s="1713"/>
      <c r="G246" s="1713"/>
      <c r="H246" s="1713"/>
      <c r="I246" s="1713"/>
      <c r="J246" s="1716"/>
      <c r="K246" s="1696"/>
      <c r="L246" s="1684"/>
      <c r="M246" s="1715"/>
      <c r="N246" s="1696"/>
      <c r="O246" s="1715"/>
      <c r="P246" s="1293"/>
      <c r="Q246" s="1293"/>
      <c r="R246" s="1293"/>
      <c r="S246" s="1293"/>
      <c r="T246" s="1293"/>
      <c r="U246" s="1293"/>
      <c r="V246" s="1293"/>
      <c r="W246" s="1293"/>
      <c r="X246" s="1293"/>
      <c r="Y246" s="1293"/>
      <c r="Z246" s="1293"/>
      <c r="AA246" s="1293"/>
      <c r="AB246" s="1293"/>
      <c r="AC246" s="1293"/>
      <c r="AD246" s="1293"/>
      <c r="AE246" s="1293"/>
      <c r="AF246" s="1293"/>
      <c r="AG246" s="1293"/>
    </row>
    <row r="247" spans="1:33" ht="15.75">
      <c r="A247" s="1293"/>
      <c r="B247" s="1684" t="s">
        <v>131</v>
      </c>
      <c r="C247" s="1713">
        <f ca="1">SUM(C243:C246)</f>
        <v>1883.7674360957226</v>
      </c>
      <c r="D247" s="1715">
        <f ca="1">SUM(E243:E246)</f>
        <v>0.27381415231266459</v>
      </c>
      <c r="E247" s="1293"/>
      <c r="F247" s="1293"/>
      <c r="G247" s="1293"/>
      <c r="H247" s="1293"/>
      <c r="I247" s="1293"/>
      <c r="J247" s="1293"/>
      <c r="K247" s="1293"/>
      <c r="L247" s="1293"/>
      <c r="M247" s="1293"/>
      <c r="N247" s="1293"/>
      <c r="O247" s="1293"/>
      <c r="P247" s="1293"/>
      <c r="Q247" s="1293"/>
      <c r="R247" s="1293"/>
      <c r="S247" s="1293"/>
      <c r="T247" s="1293"/>
      <c r="U247" s="1293"/>
      <c r="V247" s="1293"/>
      <c r="W247" s="1293"/>
      <c r="X247" s="1293"/>
      <c r="Y247" s="1293"/>
      <c r="Z247" s="1293"/>
      <c r="AA247" s="1293"/>
      <c r="AB247" s="1293"/>
      <c r="AC247" s="1293"/>
      <c r="AD247" s="1293"/>
      <c r="AE247" s="1293"/>
      <c r="AF247" s="1293"/>
      <c r="AG247" s="1293"/>
    </row>
    <row r="248" spans="1:33" ht="15.75">
      <c r="A248" s="1293"/>
      <c r="B248" s="1293"/>
      <c r="C248" s="1293"/>
      <c r="D248" s="1293"/>
      <c r="E248" s="1293"/>
      <c r="F248" s="1293"/>
      <c r="G248" s="1293"/>
      <c r="H248" s="1293"/>
      <c r="I248" s="1293"/>
      <c r="J248" s="1293"/>
      <c r="K248" s="1293"/>
      <c r="L248" s="1653"/>
      <c r="M248" s="1653"/>
      <c r="N248" s="1653"/>
      <c r="O248" s="1653"/>
      <c r="P248" s="1653"/>
      <c r="Q248" s="1653"/>
      <c r="R248" s="1653"/>
      <c r="S248" s="1293"/>
      <c r="T248" s="1293"/>
      <c r="U248" s="1293"/>
      <c r="V248" s="1293"/>
      <c r="W248" s="1293"/>
      <c r="X248" s="1293"/>
      <c r="Y248" s="1293"/>
      <c r="Z248" s="1653"/>
      <c r="AA248" s="1653"/>
      <c r="AB248" s="1653"/>
      <c r="AC248" s="1293"/>
      <c r="AD248" s="1293"/>
      <c r="AE248" s="1293"/>
      <c r="AF248" s="1293"/>
      <c r="AG248" s="1293"/>
    </row>
    <row r="249" spans="1:33" ht="15.75">
      <c r="A249" s="1293"/>
      <c r="B249" s="1293"/>
      <c r="C249" s="1293"/>
      <c r="D249" s="1293"/>
      <c r="E249" s="1293"/>
      <c r="F249" s="1293"/>
      <c r="G249" s="1293"/>
      <c r="H249" s="1293"/>
      <c r="I249" s="1293"/>
      <c r="J249" s="1293"/>
      <c r="K249" s="1293"/>
      <c r="L249" s="1653"/>
      <c r="M249" s="1653"/>
      <c r="N249" s="1653"/>
      <c r="O249" s="1653"/>
      <c r="P249" s="1653"/>
      <c r="Q249" s="1653"/>
      <c r="R249" s="1653"/>
      <c r="S249" s="1293"/>
      <c r="T249" s="1293"/>
      <c r="U249" s="1293"/>
      <c r="V249" s="1293"/>
      <c r="W249" s="1293"/>
      <c r="X249" s="1293"/>
      <c r="Y249" s="1293"/>
      <c r="Z249" s="1653"/>
      <c r="AA249" s="1653"/>
      <c r="AB249" s="1653"/>
      <c r="AC249" s="1293"/>
      <c r="AD249" s="1293"/>
      <c r="AE249" s="1293"/>
      <c r="AF249" s="1293"/>
      <c r="AG249" s="1293"/>
    </row>
    <row r="250" spans="1:33" ht="15.75">
      <c r="A250" s="1293"/>
      <c r="B250" s="1293"/>
      <c r="C250" s="1293"/>
      <c r="D250" s="1293"/>
      <c r="E250" s="1293"/>
      <c r="F250" s="1293"/>
      <c r="G250" s="1293"/>
      <c r="H250" s="1293"/>
      <c r="I250" s="1293"/>
      <c r="J250" s="1293"/>
      <c r="K250" s="1293"/>
      <c r="L250" s="1653"/>
      <c r="M250" s="1653"/>
      <c r="N250" s="1653"/>
      <c r="O250" s="1653"/>
      <c r="P250" s="1653"/>
      <c r="Q250" s="1653"/>
      <c r="R250" s="1653"/>
      <c r="S250" s="1293"/>
      <c r="T250" s="1293"/>
      <c r="U250" s="1293"/>
      <c r="V250" s="1293"/>
      <c r="W250" s="1293"/>
      <c r="X250" s="1293"/>
      <c r="Y250" s="1293"/>
      <c r="Z250" s="1653"/>
      <c r="AA250" s="1653"/>
      <c r="AB250" s="1653"/>
      <c r="AC250" s="1293"/>
      <c r="AD250" s="1293"/>
      <c r="AE250" s="1293"/>
      <c r="AF250" s="1293"/>
      <c r="AG250" s="1293"/>
    </row>
    <row r="251" spans="1:33" ht="15.75">
      <c r="A251" s="1293"/>
      <c r="B251" s="1293"/>
      <c r="C251" s="1293"/>
      <c r="D251" s="1293"/>
      <c r="E251" s="1293"/>
      <c r="F251" s="1293"/>
      <c r="G251" s="1293"/>
      <c r="H251" s="1293"/>
      <c r="I251" s="1293"/>
      <c r="J251" s="1293"/>
      <c r="K251" s="1293"/>
      <c r="L251" s="1653"/>
      <c r="M251" s="1653"/>
      <c r="N251" s="1653"/>
      <c r="O251" s="1653"/>
      <c r="P251" s="1653"/>
      <c r="Q251" s="1653"/>
      <c r="R251" s="1653"/>
      <c r="S251" s="1293"/>
      <c r="T251" s="1293"/>
      <c r="U251" s="1293"/>
      <c r="V251" s="1293"/>
      <c r="W251" s="1293"/>
      <c r="X251" s="1293"/>
      <c r="Y251" s="1293"/>
      <c r="Z251" s="1653"/>
      <c r="AA251" s="1653"/>
      <c r="AB251" s="1653"/>
      <c r="AC251" s="1293"/>
      <c r="AD251" s="1293"/>
      <c r="AE251" s="1293"/>
      <c r="AF251" s="1293"/>
      <c r="AG251" s="1293"/>
    </row>
    <row r="252" spans="1:33" ht="15.75">
      <c r="A252" s="1293"/>
      <c r="B252" s="1293"/>
      <c r="C252" s="1293"/>
      <c r="D252" s="1293"/>
      <c r="E252" s="1293"/>
      <c r="F252" s="1293"/>
      <c r="G252" s="1293"/>
      <c r="H252" s="1293"/>
      <c r="I252" s="1293"/>
      <c r="J252" s="1293"/>
      <c r="K252" s="1293"/>
      <c r="L252" s="1653"/>
      <c r="M252" s="1653"/>
      <c r="N252" s="1653"/>
      <c r="O252" s="1653"/>
      <c r="P252" s="1653"/>
      <c r="Q252" s="1653"/>
      <c r="R252" s="1653"/>
      <c r="S252" s="1293"/>
      <c r="T252" s="1293"/>
      <c r="U252" s="1293"/>
      <c r="V252" s="1293"/>
      <c r="W252" s="1293"/>
      <c r="X252" s="1293"/>
      <c r="Y252" s="1293"/>
      <c r="Z252" s="1653"/>
      <c r="AA252" s="1653"/>
      <c r="AB252" s="1653"/>
      <c r="AC252" s="1293"/>
      <c r="AD252" s="1293"/>
      <c r="AE252" s="1293"/>
      <c r="AF252" s="1293"/>
      <c r="AG252" s="1293"/>
    </row>
    <row r="253" spans="1:33" ht="15.75">
      <c r="A253" s="1293"/>
      <c r="B253" s="1293"/>
      <c r="C253" s="1293"/>
      <c r="D253" s="1293"/>
      <c r="E253" s="1293"/>
      <c r="F253" s="1293"/>
      <c r="G253" s="1293"/>
      <c r="H253" s="1293"/>
      <c r="I253" s="1293"/>
      <c r="J253" s="1293"/>
      <c r="K253" s="1293"/>
      <c r="L253" s="1653"/>
      <c r="M253" s="1653"/>
      <c r="N253" s="1653"/>
      <c r="O253" s="1653"/>
      <c r="P253" s="1653"/>
      <c r="Q253" s="1653"/>
      <c r="R253" s="1653"/>
      <c r="S253" s="1293"/>
      <c r="T253" s="1293"/>
      <c r="U253" s="1293"/>
      <c r="V253" s="1293"/>
      <c r="W253" s="1293"/>
      <c r="X253" s="1293"/>
      <c r="Y253" s="1293"/>
      <c r="Z253" s="1653"/>
      <c r="AA253" s="1653"/>
      <c r="AB253" s="1653"/>
      <c r="AC253" s="1293"/>
      <c r="AD253" s="1293"/>
      <c r="AE253" s="1293"/>
      <c r="AF253" s="1293"/>
      <c r="AG253" s="1293"/>
    </row>
    <row r="254" spans="1:33" ht="15.75">
      <c r="A254" s="1293"/>
      <c r="B254" s="1293"/>
      <c r="C254" s="1293"/>
      <c r="D254" s="1293"/>
      <c r="E254" s="1293"/>
      <c r="F254" s="1293"/>
      <c r="G254" s="1293"/>
      <c r="H254" s="1293"/>
      <c r="I254" s="1293"/>
      <c r="J254" s="1293"/>
      <c r="K254" s="1293"/>
      <c r="L254" s="1653"/>
      <c r="M254" s="1653"/>
      <c r="N254" s="1653"/>
      <c r="O254" s="1653"/>
      <c r="P254" s="1653"/>
      <c r="Q254" s="1653"/>
      <c r="R254" s="1653"/>
      <c r="S254" s="1293"/>
      <c r="T254" s="1293"/>
      <c r="U254" s="1293"/>
      <c r="V254" s="1293"/>
      <c r="W254" s="1293"/>
      <c r="X254" s="1293"/>
      <c r="Y254" s="1293"/>
      <c r="Z254" s="1653"/>
      <c r="AA254" s="1653"/>
      <c r="AB254" s="1653"/>
      <c r="AC254" s="1293"/>
      <c r="AD254" s="1293"/>
      <c r="AE254" s="1293"/>
      <c r="AF254" s="1293"/>
      <c r="AG254" s="1293"/>
    </row>
    <row r="255" spans="1:33" ht="15.75">
      <c r="A255" s="1293"/>
      <c r="B255" s="1293"/>
      <c r="C255" s="1293"/>
      <c r="D255" s="1293"/>
      <c r="E255" s="1293"/>
      <c r="F255" s="1293"/>
      <c r="G255" s="1293"/>
      <c r="H255" s="1293"/>
      <c r="I255" s="1293"/>
      <c r="J255" s="1293"/>
      <c r="K255" s="1293"/>
      <c r="L255" s="1653"/>
      <c r="M255" s="1653"/>
      <c r="N255" s="1653"/>
      <c r="O255" s="1653"/>
      <c r="P255" s="1653"/>
      <c r="Q255" s="1653"/>
      <c r="R255" s="1653"/>
      <c r="S255" s="1293"/>
      <c r="T255" s="1293"/>
      <c r="U255" s="1293"/>
      <c r="V255" s="1293"/>
      <c r="W255" s="1293"/>
      <c r="X255" s="1293"/>
      <c r="Y255" s="1293"/>
      <c r="Z255" s="1653"/>
      <c r="AA255" s="1653"/>
      <c r="AB255" s="1653"/>
      <c r="AC255" s="1293"/>
      <c r="AD255" s="1293"/>
      <c r="AE255" s="1293"/>
      <c r="AF255" s="1293"/>
      <c r="AG255" s="1293"/>
    </row>
    <row r="256" spans="1:33" ht="15.75">
      <c r="A256" s="1293"/>
      <c r="B256" s="1293"/>
      <c r="C256" s="1293"/>
      <c r="D256" s="1293"/>
      <c r="E256" s="1293"/>
      <c r="F256" s="1293"/>
      <c r="G256" s="1293"/>
      <c r="H256" s="1293"/>
      <c r="I256" s="1293"/>
      <c r="J256" s="1293"/>
      <c r="K256" s="1293"/>
      <c r="L256" s="1653"/>
      <c r="M256" s="1653"/>
      <c r="N256" s="1653"/>
      <c r="O256" s="1653"/>
      <c r="P256" s="1653"/>
      <c r="Q256" s="1653"/>
      <c r="R256" s="1653"/>
      <c r="S256" s="1293"/>
      <c r="T256" s="1293"/>
      <c r="U256" s="1293"/>
      <c r="V256" s="1293"/>
      <c r="W256" s="1293"/>
      <c r="X256" s="1293"/>
      <c r="Y256" s="1293"/>
      <c r="Z256" s="1653"/>
      <c r="AA256" s="1653"/>
      <c r="AB256" s="1653"/>
      <c r="AC256" s="1293"/>
      <c r="AD256" s="1293"/>
      <c r="AE256" s="1293"/>
      <c r="AF256" s="1293"/>
      <c r="AG256" s="1293"/>
    </row>
    <row r="257" spans="1:33" ht="15.75">
      <c r="A257" s="1293"/>
      <c r="B257" s="1293"/>
      <c r="C257" s="1293"/>
      <c r="D257" s="1293"/>
      <c r="E257" s="1293"/>
      <c r="F257" s="1293"/>
      <c r="G257" s="1293"/>
      <c r="H257" s="1293"/>
      <c r="I257" s="1293"/>
      <c r="J257" s="1293"/>
      <c r="K257" s="1293"/>
      <c r="L257" s="1653"/>
      <c r="M257" s="1653"/>
      <c r="N257" s="1653"/>
      <c r="O257" s="1653"/>
      <c r="P257" s="1653"/>
      <c r="Q257" s="1653"/>
      <c r="R257" s="1653"/>
      <c r="S257" s="1293"/>
      <c r="T257" s="1293"/>
      <c r="U257" s="1293"/>
      <c r="V257" s="1293"/>
      <c r="W257" s="1293"/>
      <c r="X257" s="1293"/>
      <c r="Y257" s="1293"/>
      <c r="Z257" s="1653"/>
      <c r="AA257" s="1653"/>
      <c r="AB257" s="1653"/>
      <c r="AC257" s="1293"/>
      <c r="AD257" s="1293"/>
      <c r="AE257" s="1293"/>
      <c r="AF257" s="1293"/>
      <c r="AG257" s="1293"/>
    </row>
    <row r="258" spans="1:33" ht="15.75">
      <c r="A258" s="1293"/>
      <c r="B258" s="1684" t="s">
        <v>5881</v>
      </c>
      <c r="C258" s="1293"/>
      <c r="D258" s="1293"/>
      <c r="E258" s="1293"/>
      <c r="F258" s="1684"/>
      <c r="G258" s="1684">
        <f>Div!N$112</f>
        <v>2014</v>
      </c>
      <c r="H258" s="1684">
        <f>Div!O$112</f>
        <v>2015</v>
      </c>
      <c r="I258" s="1684">
        <f>Div!P$112</f>
        <v>2016</v>
      </c>
      <c r="J258" s="1684">
        <f>Div!Q$112</f>
        <v>2017</v>
      </c>
      <c r="K258" s="1684">
        <f>Div!R$112</f>
        <v>2018</v>
      </c>
      <c r="L258" s="1684">
        <f>Div!S$112</f>
        <v>2019</v>
      </c>
      <c r="M258" s="1684">
        <f>Div!T$112</f>
        <v>2020</v>
      </c>
      <c r="N258" s="1684">
        <f>Div!U$112</f>
        <v>2021</v>
      </c>
      <c r="O258" s="1684">
        <f>Div!V$112</f>
        <v>2022</v>
      </c>
      <c r="P258" s="1684">
        <f>Div!W$112</f>
        <v>2023</v>
      </c>
      <c r="Q258" s="1684">
        <f>Div!X$112</f>
        <v>2024</v>
      </c>
      <c r="R258" s="1684">
        <f>Div!Y$112</f>
        <v>2025</v>
      </c>
      <c r="S258" s="1684">
        <f>R258+1</f>
        <v>2026</v>
      </c>
      <c r="T258" s="1684">
        <f>S258+1</f>
        <v>2027</v>
      </c>
      <c r="U258" s="1684">
        <f>T258+1</f>
        <v>2028</v>
      </c>
      <c r="V258" s="1684">
        <f>U258+1</f>
        <v>2029</v>
      </c>
      <c r="W258" s="1684">
        <f>V258+1</f>
        <v>2030</v>
      </c>
      <c r="X258" s="1293"/>
      <c r="Y258" s="1293"/>
      <c r="Z258" s="1653"/>
      <c r="AA258" s="1653"/>
      <c r="AB258" s="1653"/>
      <c r="AC258" s="1293"/>
      <c r="AD258" s="1293"/>
      <c r="AE258" s="1293"/>
      <c r="AF258" s="1293"/>
      <c r="AG258" s="1293"/>
    </row>
    <row r="259" spans="1:33" ht="15.75">
      <c r="A259" s="1293"/>
      <c r="B259" s="1293" t="s">
        <v>1938</v>
      </c>
      <c r="C259" s="1688">
        <v>0.12</v>
      </c>
      <c r="D259" s="1666"/>
      <c r="E259" s="1666"/>
      <c r="F259" s="1293"/>
      <c r="G259" s="1293"/>
      <c r="H259" s="1293"/>
      <c r="I259" s="1293"/>
      <c r="J259" s="1293"/>
      <c r="K259" s="1293"/>
      <c r="L259" s="1293"/>
      <c r="M259" s="1293"/>
      <c r="N259" s="1293"/>
      <c r="O259" s="1293"/>
      <c r="P259" s="1293"/>
      <c r="Q259" s="1293"/>
      <c r="R259" s="1293"/>
      <c r="S259" s="1293"/>
      <c r="T259" s="1293"/>
      <c r="U259" s="1293"/>
      <c r="V259" s="1293"/>
      <c r="W259" s="1293"/>
      <c r="X259" s="1293"/>
      <c r="Y259" s="1293"/>
      <c r="Z259" s="1653"/>
      <c r="AA259" s="1653"/>
      <c r="AB259" s="1653"/>
      <c r="AC259" s="1293"/>
      <c r="AD259" s="1293"/>
      <c r="AE259" s="1293"/>
      <c r="AF259" s="1293"/>
      <c r="AG259" s="1293"/>
    </row>
    <row r="260" spans="1:33" ht="15.75">
      <c r="A260" s="1293"/>
      <c r="B260" s="1293" t="s">
        <v>682</v>
      </c>
      <c r="C260" s="1665">
        <f>G260</f>
        <v>0.1990775269872424</v>
      </c>
      <c r="D260" s="1293"/>
      <c r="E260" s="1293"/>
      <c r="F260" s="1293"/>
      <c r="G260" s="1688">
        <f>E228</f>
        <v>0.1990775269872424</v>
      </c>
      <c r="H260" s="1688">
        <f>G260</f>
        <v>0.1990775269872424</v>
      </c>
      <c r="I260" s="1688">
        <f t="shared" ref="I260:R260" si="200">H260</f>
        <v>0.1990775269872424</v>
      </c>
      <c r="J260" s="1688">
        <f t="shared" si="200"/>
        <v>0.1990775269872424</v>
      </c>
      <c r="K260" s="1688">
        <f t="shared" si="200"/>
        <v>0.1990775269872424</v>
      </c>
      <c r="L260" s="1688">
        <f t="shared" si="200"/>
        <v>0.1990775269872424</v>
      </c>
      <c r="M260" s="1688">
        <f t="shared" si="200"/>
        <v>0.1990775269872424</v>
      </c>
      <c r="N260" s="1688">
        <f t="shared" si="200"/>
        <v>0.1990775269872424</v>
      </c>
      <c r="O260" s="1688">
        <f>N260</f>
        <v>0.1990775269872424</v>
      </c>
      <c r="P260" s="1688">
        <f t="shared" si="200"/>
        <v>0.1990775269872424</v>
      </c>
      <c r="Q260" s="1688">
        <f t="shared" si="200"/>
        <v>0.1990775269872424</v>
      </c>
      <c r="R260" s="1688">
        <f t="shared" si="200"/>
        <v>0.1990775269872424</v>
      </c>
      <c r="S260" s="1688">
        <f>R260</f>
        <v>0.1990775269872424</v>
      </c>
      <c r="T260" s="1688">
        <f>S260</f>
        <v>0.1990775269872424</v>
      </c>
      <c r="U260" s="1688">
        <f>T260</f>
        <v>0.1990775269872424</v>
      </c>
      <c r="V260" s="1688">
        <f>U260</f>
        <v>0.1990775269872424</v>
      </c>
      <c r="W260" s="1688">
        <f>V260</f>
        <v>0.1990775269872424</v>
      </c>
      <c r="X260" s="1293"/>
      <c r="Y260" s="1293"/>
      <c r="Z260" s="1653"/>
      <c r="AA260" s="1653"/>
      <c r="AB260" s="1653"/>
      <c r="AC260" s="1293"/>
      <c r="AD260" s="1293"/>
      <c r="AE260" s="1293"/>
      <c r="AF260" s="1293"/>
      <c r="AG260" s="1293"/>
    </row>
    <row r="261" spans="1:33" ht="15.75">
      <c r="A261" s="1293"/>
      <c r="B261" s="1293" t="s">
        <v>683</v>
      </c>
      <c r="C261" s="1688">
        <v>0</v>
      </c>
      <c r="D261" s="1293"/>
      <c r="E261" s="1293"/>
      <c r="F261" s="1293"/>
      <c r="G261" s="1293"/>
      <c r="H261" s="1293"/>
      <c r="I261" s="1293"/>
      <c r="J261" s="1293"/>
      <c r="K261" s="1293"/>
      <c r="L261" s="1293"/>
      <c r="M261" s="1293"/>
      <c r="N261" s="1293"/>
      <c r="O261" s="1293"/>
      <c r="P261" s="1293"/>
      <c r="Q261" s="1293"/>
      <c r="R261" s="1293"/>
      <c r="S261" s="1293"/>
      <c r="T261" s="1293"/>
      <c r="U261" s="1293"/>
      <c r="V261" s="1293"/>
      <c r="W261" s="1293"/>
      <c r="X261" s="1293"/>
      <c r="Y261" s="1293"/>
      <c r="Z261" s="1653"/>
      <c r="AA261" s="1653"/>
      <c r="AB261" s="1653"/>
      <c r="AC261" s="1293"/>
      <c r="AD261" s="1293"/>
      <c r="AE261" s="1293"/>
      <c r="AF261" s="1293"/>
      <c r="AG261" s="1293"/>
    </row>
    <row r="262" spans="1:33" ht="15.75">
      <c r="A262" s="1293"/>
      <c r="B262" s="1293"/>
      <c r="C262" s="1293"/>
      <c r="D262" s="1293"/>
      <c r="E262" s="1293"/>
      <c r="F262" s="1293"/>
      <c r="G262" s="1293">
        <v>-10</v>
      </c>
      <c r="H262" s="1293">
        <f t="shared" ref="H262:R262" si="201">G262+1</f>
        <v>-9</v>
      </c>
      <c r="I262" s="1293">
        <f t="shared" si="201"/>
        <v>-8</v>
      </c>
      <c r="J262" s="1293">
        <f t="shared" si="201"/>
        <v>-7</v>
      </c>
      <c r="K262" s="1293">
        <f t="shared" si="201"/>
        <v>-6</v>
      </c>
      <c r="L262" s="1293">
        <f>K262+1</f>
        <v>-5</v>
      </c>
      <c r="M262" s="1293">
        <f t="shared" si="201"/>
        <v>-4</v>
      </c>
      <c r="N262" s="1293">
        <f t="shared" si="201"/>
        <v>-3</v>
      </c>
      <c r="O262" s="1293">
        <f>N262+1</f>
        <v>-2</v>
      </c>
      <c r="P262" s="1293">
        <f t="shared" si="201"/>
        <v>-1</v>
      </c>
      <c r="Q262" s="1293">
        <v>0</v>
      </c>
      <c r="R262" s="1293">
        <f t="shared" si="201"/>
        <v>1</v>
      </c>
      <c r="S262" s="1293">
        <f>R262+1</f>
        <v>2</v>
      </c>
      <c r="T262" s="1293">
        <f>S262+1</f>
        <v>3</v>
      </c>
      <c r="U262" s="1293">
        <f>T262+1</f>
        <v>4</v>
      </c>
      <c r="V262" s="1293">
        <f>U262+1</f>
        <v>5</v>
      </c>
      <c r="W262" s="1293">
        <f>V262+1</f>
        <v>6</v>
      </c>
      <c r="X262" s="1293"/>
      <c r="Y262" s="1293"/>
      <c r="Z262" s="1653"/>
      <c r="AA262" s="1653"/>
      <c r="AB262" s="1653"/>
      <c r="AC262" s="1293"/>
      <c r="AD262" s="1293"/>
      <c r="AE262" s="1293"/>
      <c r="AF262" s="1293"/>
      <c r="AG262" s="1293"/>
    </row>
    <row r="263" spans="1:33" ht="15.75">
      <c r="A263" s="1293"/>
      <c r="B263" s="1293" t="s">
        <v>1937</v>
      </c>
      <c r="C263" s="1293"/>
      <c r="D263" s="1707"/>
      <c r="E263" s="1707"/>
      <c r="F263" s="1707"/>
      <c r="G263" s="1707">
        <f t="shared" ref="G263:W263" si="202">1/(1+$C259)^G262</f>
        <v>3.1058482083442112</v>
      </c>
      <c r="H263" s="1707">
        <f t="shared" si="202"/>
        <v>2.7730787574501883</v>
      </c>
      <c r="I263" s="1707">
        <f t="shared" si="202"/>
        <v>2.4759631762948109</v>
      </c>
      <c r="J263" s="1707">
        <f t="shared" si="202"/>
        <v>2.210681407406081</v>
      </c>
      <c r="K263" s="1707">
        <f t="shared" si="202"/>
        <v>1.9738226851840008</v>
      </c>
      <c r="L263" s="1707">
        <f t="shared" si="202"/>
        <v>1.7623416832000007</v>
      </c>
      <c r="M263" s="1707">
        <f t="shared" si="202"/>
        <v>1.5735193600000004</v>
      </c>
      <c r="N263" s="1707">
        <f t="shared" si="202"/>
        <v>1.4049280000000004</v>
      </c>
      <c r="O263" s="1707">
        <f t="shared" si="202"/>
        <v>1.2544000000000002</v>
      </c>
      <c r="P263" s="1707">
        <f t="shared" si="202"/>
        <v>1.1200000000000001</v>
      </c>
      <c r="Q263" s="1707">
        <f t="shared" si="202"/>
        <v>1</v>
      </c>
      <c r="R263" s="1707">
        <f t="shared" si="202"/>
        <v>0.89285714285714279</v>
      </c>
      <c r="S263" s="1707">
        <f t="shared" si="202"/>
        <v>0.79719387755102034</v>
      </c>
      <c r="T263" s="1707">
        <f t="shared" si="202"/>
        <v>0.71178024781341087</v>
      </c>
      <c r="U263" s="1707">
        <f t="shared" si="202"/>
        <v>0.63551807840483121</v>
      </c>
      <c r="V263" s="1707">
        <f t="shared" si="202"/>
        <v>0.56742685571859919</v>
      </c>
      <c r="W263" s="1707">
        <f t="shared" si="202"/>
        <v>0.50663112117732068</v>
      </c>
      <c r="X263" s="1293"/>
      <c r="Y263" s="1293"/>
      <c r="Z263" s="1653"/>
      <c r="AA263" s="1653"/>
      <c r="AB263" s="1653"/>
      <c r="AC263" s="1293"/>
      <c r="AD263" s="1293"/>
      <c r="AE263" s="1293"/>
      <c r="AF263" s="1293"/>
      <c r="AG263" s="1293"/>
    </row>
    <row r="264" spans="1:33" ht="15.75">
      <c r="A264" s="1293"/>
      <c r="B264" s="1293" t="s">
        <v>2204</v>
      </c>
      <c r="C264" s="1666"/>
      <c r="D264" s="1666">
        <f>1/(C259-C261)</f>
        <v>8.3333333333333339</v>
      </c>
      <c r="E264" s="1666">
        <f>D264*K265</f>
        <v>5744.1759303238468</v>
      </c>
      <c r="F264" s="1666"/>
      <c r="G264" s="1666">
        <f>'New split'!D479</f>
        <v>758.87211926381929</v>
      </c>
      <c r="H264" s="1666">
        <f>'New split'!E479</f>
        <v>789.75290669609285</v>
      </c>
      <c r="I264" s="1666">
        <f>'New split'!F479</f>
        <v>753.56153526779929</v>
      </c>
      <c r="J264" s="1666">
        <f>'New split'!G479</f>
        <v>834</v>
      </c>
      <c r="K264" s="1666">
        <f>'New split'!H479</f>
        <v>860.63400000000001</v>
      </c>
      <c r="L264" s="1666">
        <f>'New split'!I479</f>
        <v>1189.6478232833615</v>
      </c>
      <c r="M264" s="1666">
        <f>'New split'!J479</f>
        <v>943.15748084282427</v>
      </c>
      <c r="N264" s="1666">
        <f>'New split'!K479</f>
        <v>1561.6837727858049</v>
      </c>
      <c r="O264" s="1666">
        <f>'New split'!L479</f>
        <v>918.47149999999988</v>
      </c>
      <c r="P264" s="1666">
        <f>'New split'!M479</f>
        <v>984.9514999999999</v>
      </c>
      <c r="Q264" s="1666">
        <f>'New split'!N479</f>
        <v>1481.0040000000001</v>
      </c>
      <c r="R264" s="1666">
        <f>'New split'!O479</f>
        <v>1316.6067641866687</v>
      </c>
      <c r="S264" s="1666">
        <f>'New split'!P479</f>
        <v>1338.544192906732</v>
      </c>
      <c r="T264" s="1666">
        <f>'New split'!Q479</f>
        <v>1361.819852629339</v>
      </c>
      <c r="U264" s="1666">
        <f>'New split'!R479</f>
        <v>1374.7592530479403</v>
      </c>
      <c r="V264" s="1666">
        <f>'New split'!S479</f>
        <v>1419.0256443519067</v>
      </c>
      <c r="W264" s="1666">
        <f>'New split'!T479</f>
        <v>1461.7883204472648</v>
      </c>
      <c r="X264" s="1293"/>
      <c r="Y264" s="1293"/>
      <c r="Z264" s="1653"/>
      <c r="AA264" s="1653"/>
      <c r="AB264" s="1653"/>
      <c r="AC264" s="1293"/>
      <c r="AD264" s="1293"/>
      <c r="AE264" s="1293"/>
      <c r="AF264" s="1293"/>
      <c r="AG264" s="1293"/>
    </row>
    <row r="265" spans="1:33" ht="15.75">
      <c r="A265" s="1293"/>
      <c r="B265" s="1293" t="s">
        <v>1936</v>
      </c>
      <c r="C265" s="1293"/>
      <c r="D265" s="1666"/>
      <c r="E265" s="1666">
        <f>E264/(1+C259)^6</f>
        <v>2910.1782918197496</v>
      </c>
      <c r="F265" s="1666"/>
      <c r="G265" s="1666">
        <f>G264*(1-G260)</f>
        <v>607.79773446121044</v>
      </c>
      <c r="H265" s="1666">
        <f>H264*(1-H260)</f>
        <v>632.53085110004827</v>
      </c>
      <c r="I265" s="1666">
        <f>I264*(1-I260)</f>
        <v>603.54436839397613</v>
      </c>
      <c r="J265" s="1666">
        <f t="shared" ref="J265:R265" si="203">J264*(1-J260)</f>
        <v>667.96934249263984</v>
      </c>
      <c r="K265" s="1666">
        <f t="shared" si="203"/>
        <v>689.30111163886158</v>
      </c>
      <c r="L265" s="1666">
        <f t="shared" si="203"/>
        <v>952.81567663835381</v>
      </c>
      <c r="M265" s="1666">
        <f t="shared" si="203"/>
        <v>755.39602199711726</v>
      </c>
      <c r="N265" s="1666">
        <f t="shared" si="203"/>
        <v>1250.7876293635002</v>
      </c>
      <c r="O265" s="1666">
        <f t="shared" si="203"/>
        <v>735.6244651717368</v>
      </c>
      <c r="P265" s="1666">
        <f t="shared" si="203"/>
        <v>788.86979117762496</v>
      </c>
      <c r="Q265" s="1666">
        <f t="shared" si="203"/>
        <v>1186.169386221786</v>
      </c>
      <c r="R265" s="1666">
        <f t="shared" si="203"/>
        <v>1054.4999455577113</v>
      </c>
      <c r="S265" s="1666">
        <f>S264*(1-S260)</f>
        <v>1072.0701252197252</v>
      </c>
      <c r="T265" s="1666">
        <f>T264*(1-T260)</f>
        <v>1090.7121241657592</v>
      </c>
      <c r="U265" s="1666">
        <f>U264*(1-U260)</f>
        <v>1101.0755807483276</v>
      </c>
      <c r="V265" s="1666">
        <f>V264*(1-V260)</f>
        <v>1136.5295283428509</v>
      </c>
      <c r="W265" s="1666">
        <f>W264*(1-W260)</f>
        <v>1170.7791166337886</v>
      </c>
      <c r="X265" s="1293"/>
      <c r="Y265" s="1293"/>
      <c r="Z265" s="1653"/>
      <c r="AA265" s="1653"/>
      <c r="AB265" s="1653"/>
      <c r="AC265" s="1293"/>
      <c r="AD265" s="1293"/>
      <c r="AE265" s="1293"/>
      <c r="AF265" s="1293"/>
      <c r="AG265" s="1293"/>
    </row>
    <row r="266" spans="1:33" ht="15.75">
      <c r="A266" s="1293"/>
      <c r="B266" s="1293"/>
      <c r="C266" s="1293"/>
      <c r="D266" s="1666"/>
      <c r="E266" s="1666"/>
      <c r="F266" s="1666"/>
      <c r="G266" s="1293"/>
      <c r="H266" s="1293"/>
      <c r="I266" s="1293"/>
      <c r="J266" s="1293"/>
      <c r="K266" s="1293"/>
      <c r="L266" s="1293"/>
      <c r="M266" s="1293"/>
      <c r="N266" s="1293"/>
      <c r="O266" s="1293"/>
      <c r="P266" s="1293"/>
      <c r="Q266" s="1293"/>
      <c r="R266" s="1293"/>
      <c r="S266" s="1293"/>
      <c r="T266" s="1293"/>
      <c r="U266" s="1293"/>
      <c r="V266" s="1293"/>
      <c r="W266" s="1293"/>
      <c r="X266" s="1293"/>
      <c r="Y266" s="1293"/>
      <c r="Z266" s="1653"/>
      <c r="AA266" s="1653"/>
      <c r="AB266" s="1653"/>
      <c r="AC266" s="1293"/>
      <c r="AD266" s="1293"/>
      <c r="AE266" s="1293"/>
      <c r="AF266" s="1293"/>
      <c r="AG266" s="1293"/>
    </row>
    <row r="267" spans="1:33" ht="15.75">
      <c r="A267" s="1293"/>
      <c r="B267" s="1293" t="s">
        <v>684</v>
      </c>
      <c r="C267" s="1293"/>
      <c r="D267" s="1666"/>
      <c r="E267" s="1666"/>
      <c r="F267" s="1666"/>
      <c r="G267" s="1666">
        <f>G265*G263</f>
        <v>1887.727504612021</v>
      </c>
      <c r="H267" s="1666">
        <f t="shared" ref="H267:M267" si="204">H265*H263</f>
        <v>1754.057866617432</v>
      </c>
      <c r="I267" s="1666">
        <f t="shared" si="204"/>
        <v>1494.3536314035946</v>
      </c>
      <c r="J267" s="1666">
        <f t="shared" si="204"/>
        <v>1476.6674061657436</v>
      </c>
      <c r="K267" s="1666">
        <f t="shared" si="204"/>
        <v>1360.5581710753345</v>
      </c>
      <c r="L267" s="1666">
        <f t="shared" si="204"/>
        <v>1679.186783346184</v>
      </c>
      <c r="M267" s="1666">
        <f t="shared" si="204"/>
        <v>1188.6302650794501</v>
      </c>
      <c r="N267" s="1666">
        <f t="shared" ref="N267:W267" si="205">N265*N263</f>
        <v>1757.266562546404</v>
      </c>
      <c r="O267" s="1666">
        <f t="shared" si="205"/>
        <v>922.76732911142676</v>
      </c>
      <c r="P267" s="1666">
        <f t="shared" si="205"/>
        <v>883.53416611893999</v>
      </c>
      <c r="Q267" s="1666">
        <f t="shared" si="205"/>
        <v>1186.169386221786</v>
      </c>
      <c r="R267" s="1666">
        <f>R265*R263</f>
        <v>941.51780853367075</v>
      </c>
      <c r="S267" s="1666">
        <f t="shared" si="205"/>
        <v>854.64774013052067</v>
      </c>
      <c r="T267" s="1666">
        <f t="shared" si="205"/>
        <v>776.34734603179584</v>
      </c>
      <c r="U267" s="1666">
        <f t="shared" si="205"/>
        <v>699.75343725566074</v>
      </c>
      <c r="V267" s="1666">
        <f t="shared" si="205"/>
        <v>644.89737669892645</v>
      </c>
      <c r="W267" s="1666">
        <f t="shared" si="205"/>
        <v>593.15313651116935</v>
      </c>
      <c r="X267" s="1293"/>
      <c r="Y267" s="1293"/>
      <c r="Z267" s="1653"/>
      <c r="AA267" s="1653"/>
      <c r="AB267" s="1653"/>
      <c r="AC267" s="1293"/>
      <c r="AD267" s="1293"/>
      <c r="AE267" s="1293"/>
      <c r="AF267" s="1293"/>
      <c r="AG267" s="1293"/>
    </row>
    <row r="268" spans="1:33" ht="15.75">
      <c r="A268" s="1293"/>
      <c r="B268" s="1293" t="s">
        <v>685</v>
      </c>
      <c r="C268" s="1293"/>
      <c r="D268" s="1666">
        <f>SUM(R267:W267)</f>
        <v>4510.3168451617439</v>
      </c>
      <c r="E268" s="1293"/>
      <c r="F268" s="1293"/>
      <c r="G268" s="1293"/>
      <c r="H268" s="1293"/>
      <c r="I268" s="1293"/>
      <c r="J268" s="1293"/>
      <c r="K268" s="1293"/>
      <c r="L268" s="1293"/>
      <c r="M268" s="1293"/>
      <c r="N268" s="1293"/>
      <c r="O268" s="1293"/>
      <c r="P268" s="1293"/>
      <c r="Q268" s="1293"/>
      <c r="R268" s="1293"/>
      <c r="S268" s="1293"/>
      <c r="T268" s="1293"/>
      <c r="U268" s="1293"/>
      <c r="V268" s="1293"/>
      <c r="W268" s="1293"/>
      <c r="X268" s="1293"/>
      <c r="Y268" s="1293"/>
      <c r="Z268" s="1653"/>
      <c r="AA268" s="1653"/>
      <c r="AB268" s="1653"/>
      <c r="AC268" s="1293"/>
      <c r="AD268" s="1293"/>
      <c r="AE268" s="1293"/>
      <c r="AF268" s="1293"/>
      <c r="AG268" s="1293"/>
    </row>
    <row r="269" spans="1:33" ht="15.75">
      <c r="A269" s="1293"/>
      <c r="B269" s="1293" t="s">
        <v>2203</v>
      </c>
      <c r="C269" s="1293"/>
      <c r="D269" s="1701">
        <f>W267/(C259-C261)</f>
        <v>4942.9428042597447</v>
      </c>
      <c r="E269" s="1293"/>
      <c r="F269" s="1293"/>
      <c r="G269" s="1293"/>
      <c r="H269" s="1293"/>
      <c r="I269" s="1293"/>
      <c r="J269" s="1293"/>
      <c r="K269" s="1293"/>
      <c r="L269" s="1293"/>
      <c r="M269" s="1293"/>
      <c r="N269" s="1293"/>
      <c r="O269" s="1293"/>
      <c r="P269" s="1293"/>
      <c r="Q269" s="1293"/>
      <c r="R269" s="1293"/>
      <c r="S269" s="1293"/>
      <c r="T269" s="1293"/>
      <c r="U269" s="1293"/>
      <c r="V269" s="1293"/>
      <c r="W269" s="1293"/>
      <c r="X269" s="1293"/>
      <c r="Y269" s="1293"/>
      <c r="Z269" s="1653"/>
      <c r="AA269" s="1653"/>
      <c r="AB269" s="1653"/>
      <c r="AC269" s="1293"/>
      <c r="AD269" s="1293"/>
      <c r="AE269" s="1293"/>
      <c r="AF269" s="1293"/>
      <c r="AG269" s="1293"/>
    </row>
    <row r="270" spans="1:33" ht="15.75">
      <c r="A270" s="1293"/>
      <c r="B270" s="1293" t="s">
        <v>2205</v>
      </c>
      <c r="C270" s="1293"/>
      <c r="D270" s="1666">
        <f>SUM(D268:D269)</f>
        <v>9453.2596494214886</v>
      </c>
      <c r="E270" s="1293" t="s">
        <v>1823</v>
      </c>
      <c r="F270" s="1293"/>
      <c r="G270" s="1293"/>
      <c r="H270" s="1293"/>
      <c r="I270" s="1293"/>
      <c r="J270" s="1293"/>
      <c r="K270" s="1293"/>
      <c r="L270" s="1293"/>
      <c r="M270" s="1293"/>
      <c r="N270" s="1293"/>
      <c r="O270" s="1293"/>
      <c r="P270" s="1293"/>
      <c r="Q270" s="1293"/>
      <c r="R270" s="1293"/>
      <c r="S270" s="1293"/>
      <c r="T270" s="1293"/>
      <c r="U270" s="1293"/>
      <c r="V270" s="1293"/>
      <c r="W270" s="1293"/>
      <c r="X270" s="1293"/>
      <c r="Y270" s="1293"/>
      <c r="Z270" s="1653"/>
      <c r="AA270" s="1653"/>
      <c r="AB270" s="1653"/>
      <c r="AC270" s="1293"/>
      <c r="AD270" s="1293"/>
      <c r="AE270" s="1293"/>
      <c r="AF270" s="1293"/>
      <c r="AG270" s="1293"/>
    </row>
    <row r="271" spans="1:33" ht="15.75">
      <c r="A271" s="1293"/>
      <c r="B271" s="1293"/>
      <c r="C271" s="1293"/>
      <c r="D271" s="1293"/>
      <c r="E271" s="1293"/>
      <c r="F271" s="1293"/>
      <c r="G271" s="1293"/>
      <c r="H271" s="1293"/>
      <c r="I271" s="1293"/>
      <c r="J271" s="1293"/>
      <c r="K271" s="1293"/>
      <c r="L271" s="1293"/>
      <c r="M271" s="1293"/>
      <c r="N271" s="1293"/>
      <c r="O271" s="1293"/>
      <c r="P271" s="1293"/>
      <c r="Q271" s="1293"/>
      <c r="R271" s="1293"/>
      <c r="S271" s="1293"/>
      <c r="T271" s="1293"/>
      <c r="U271" s="1293"/>
      <c r="V271" s="1293"/>
      <c r="W271" s="1293"/>
      <c r="X271" s="1293"/>
      <c r="Y271" s="1293"/>
      <c r="Z271" s="1653"/>
      <c r="AA271" s="1653"/>
      <c r="AB271" s="1653"/>
      <c r="AC271" s="1293"/>
      <c r="AD271" s="1293"/>
      <c r="AE271" s="1293"/>
      <c r="AF271" s="1293"/>
      <c r="AG271" s="1293"/>
    </row>
    <row r="272" spans="1:33" ht="15.75">
      <c r="A272" s="1293"/>
      <c r="B272" s="1684" t="s">
        <v>1697</v>
      </c>
      <c r="C272" s="1293"/>
      <c r="D272" s="1293"/>
      <c r="E272" s="1293"/>
      <c r="F272" s="1684"/>
      <c r="G272" s="1684">
        <f>G258</f>
        <v>2014</v>
      </c>
      <c r="H272" s="1684">
        <f t="shared" ref="H272:W272" si="206">H258</f>
        <v>2015</v>
      </c>
      <c r="I272" s="1684">
        <f t="shared" si="206"/>
        <v>2016</v>
      </c>
      <c r="J272" s="1684">
        <f t="shared" si="206"/>
        <v>2017</v>
      </c>
      <c r="K272" s="1684">
        <f t="shared" si="206"/>
        <v>2018</v>
      </c>
      <c r="L272" s="1684">
        <f t="shared" si="206"/>
        <v>2019</v>
      </c>
      <c r="M272" s="1684">
        <f t="shared" si="206"/>
        <v>2020</v>
      </c>
      <c r="N272" s="1684">
        <f t="shared" si="206"/>
        <v>2021</v>
      </c>
      <c r="O272" s="1684">
        <f t="shared" si="206"/>
        <v>2022</v>
      </c>
      <c r="P272" s="1684">
        <f t="shared" si="206"/>
        <v>2023</v>
      </c>
      <c r="Q272" s="1684">
        <f t="shared" si="206"/>
        <v>2024</v>
      </c>
      <c r="R272" s="1684">
        <f t="shared" si="206"/>
        <v>2025</v>
      </c>
      <c r="S272" s="1684">
        <f t="shared" si="206"/>
        <v>2026</v>
      </c>
      <c r="T272" s="1684">
        <f t="shared" si="206"/>
        <v>2027</v>
      </c>
      <c r="U272" s="1684">
        <f t="shared" si="206"/>
        <v>2028</v>
      </c>
      <c r="V272" s="1684">
        <f t="shared" si="206"/>
        <v>2029</v>
      </c>
      <c r="W272" s="1684">
        <f t="shared" si="206"/>
        <v>2030</v>
      </c>
      <c r="X272" s="1293"/>
      <c r="Y272" s="1293"/>
      <c r="Z272" s="1653"/>
      <c r="AA272" s="1653"/>
      <c r="AB272" s="1653"/>
      <c r="AC272" s="1293"/>
      <c r="AD272" s="1293"/>
      <c r="AE272" s="1293"/>
      <c r="AF272" s="1293"/>
      <c r="AG272" s="1293"/>
    </row>
    <row r="273" spans="1:33" ht="15.75">
      <c r="A273" s="1293"/>
      <c r="B273" s="1293" t="s">
        <v>1938</v>
      </c>
      <c r="C273" s="1688">
        <v>0.105</v>
      </c>
      <c r="D273" s="1666"/>
      <c r="E273" s="1666"/>
      <c r="F273" s="1293"/>
      <c r="G273" s="1293"/>
      <c r="H273" s="1293"/>
      <c r="I273" s="1293"/>
      <c r="J273" s="1293"/>
      <c r="K273" s="1293"/>
      <c r="L273" s="1293"/>
      <c r="M273" s="1293"/>
      <c r="N273" s="1293"/>
      <c r="O273" s="1293"/>
      <c r="P273" s="1293"/>
      <c r="Q273" s="1293"/>
      <c r="R273" s="1293"/>
      <c r="S273" s="1293"/>
      <c r="T273" s="1293"/>
      <c r="U273" s="1293"/>
      <c r="V273" s="1293"/>
      <c r="W273" s="1293"/>
      <c r="X273" s="1293"/>
      <c r="Y273" s="1293"/>
      <c r="Z273" s="1653"/>
      <c r="AA273" s="1653"/>
      <c r="AB273" s="1653"/>
      <c r="AC273" s="1293"/>
      <c r="AD273" s="1293"/>
      <c r="AE273" s="1293"/>
      <c r="AF273" s="1293"/>
      <c r="AG273" s="1293"/>
    </row>
    <row r="274" spans="1:33" ht="15.75">
      <c r="A274" s="1293"/>
      <c r="B274" s="1293" t="s">
        <v>682</v>
      </c>
      <c r="C274" s="1665">
        <f ca="1">D231</f>
        <v>0.16173095440888516</v>
      </c>
      <c r="D274" s="1293"/>
      <c r="E274" s="1293"/>
      <c r="F274" s="1293"/>
      <c r="G274" s="1688">
        <f ca="1">E231</f>
        <v>0.16173095440888516</v>
      </c>
      <c r="H274" s="1688">
        <f t="shared" ref="H274:W274" ca="1" si="207">G274</f>
        <v>0.16173095440888516</v>
      </c>
      <c r="I274" s="1688">
        <f t="shared" ca="1" si="207"/>
        <v>0.16173095440888516</v>
      </c>
      <c r="J274" s="1688">
        <f t="shared" ca="1" si="207"/>
        <v>0.16173095440888516</v>
      </c>
      <c r="K274" s="1688">
        <f t="shared" ca="1" si="207"/>
        <v>0.16173095440888516</v>
      </c>
      <c r="L274" s="1688">
        <f t="shared" ca="1" si="207"/>
        <v>0.16173095440888516</v>
      </c>
      <c r="M274" s="1688">
        <f t="shared" ca="1" si="207"/>
        <v>0.16173095440888516</v>
      </c>
      <c r="N274" s="1688">
        <f t="shared" ca="1" si="207"/>
        <v>0.16173095440888516</v>
      </c>
      <c r="O274" s="1688">
        <f t="shared" ca="1" si="207"/>
        <v>0.16173095440888516</v>
      </c>
      <c r="P274" s="1688">
        <f t="shared" ca="1" si="207"/>
        <v>0.16173095440888516</v>
      </c>
      <c r="Q274" s="1688">
        <f t="shared" ca="1" si="207"/>
        <v>0.16173095440888516</v>
      </c>
      <c r="R274" s="1688">
        <f t="shared" ca="1" si="207"/>
        <v>0.16173095440888516</v>
      </c>
      <c r="S274" s="1688">
        <f t="shared" ca="1" si="207"/>
        <v>0.16173095440888516</v>
      </c>
      <c r="T274" s="1688">
        <f t="shared" ca="1" si="207"/>
        <v>0.16173095440888516</v>
      </c>
      <c r="U274" s="1688">
        <f t="shared" ca="1" si="207"/>
        <v>0.16173095440888516</v>
      </c>
      <c r="V274" s="1688">
        <f t="shared" ca="1" si="207"/>
        <v>0.16173095440888516</v>
      </c>
      <c r="W274" s="1688">
        <f t="shared" ca="1" si="207"/>
        <v>0.16173095440888516</v>
      </c>
      <c r="X274" s="1293"/>
      <c r="Y274" s="1293"/>
      <c r="Z274" s="1653"/>
      <c r="AA274" s="1653"/>
      <c r="AB274" s="1653"/>
      <c r="AC274" s="1293"/>
      <c r="AD274" s="1293"/>
      <c r="AE274" s="1293"/>
      <c r="AF274" s="1293"/>
      <c r="AG274" s="1293"/>
    </row>
    <row r="275" spans="1:33" ht="15.75">
      <c r="A275" s="1293"/>
      <c r="B275" s="1293" t="s">
        <v>683</v>
      </c>
      <c r="C275" s="1688">
        <v>0</v>
      </c>
      <c r="D275" s="1293"/>
      <c r="E275" s="1293"/>
      <c r="F275" s="1293"/>
      <c r="G275" s="1293"/>
      <c r="H275" s="1293"/>
      <c r="I275" s="1293"/>
      <c r="J275" s="1293"/>
      <c r="K275" s="1293"/>
      <c r="L275" s="1293"/>
      <c r="M275" s="1293"/>
      <c r="N275" s="1293"/>
      <c r="O275" s="1293"/>
      <c r="P275" s="1293"/>
      <c r="Q275" s="1293"/>
      <c r="R275" s="1293"/>
      <c r="S275" s="1293"/>
      <c r="T275" s="1293"/>
      <c r="U275" s="1293"/>
      <c r="V275" s="1293"/>
      <c r="W275" s="1293"/>
      <c r="X275" s="1293"/>
      <c r="Y275" s="1293"/>
      <c r="Z275" s="1653"/>
      <c r="AA275" s="1653"/>
      <c r="AB275" s="1653"/>
      <c r="AC275" s="1293"/>
      <c r="AD275" s="1293"/>
      <c r="AE275" s="1293"/>
      <c r="AF275" s="1293"/>
      <c r="AG275" s="1293"/>
    </row>
    <row r="276" spans="1:33" ht="15.75">
      <c r="A276" s="1293"/>
      <c r="B276" s="1293"/>
      <c r="C276" s="1293"/>
      <c r="D276" s="1293"/>
      <c r="E276" s="1293"/>
      <c r="F276" s="1293"/>
      <c r="G276" s="1293">
        <v>-10</v>
      </c>
      <c r="H276" s="1293">
        <f t="shared" ref="H276:R276" si="208">G276+1</f>
        <v>-9</v>
      </c>
      <c r="I276" s="1293">
        <f t="shared" si="208"/>
        <v>-8</v>
      </c>
      <c r="J276" s="1293">
        <f t="shared" si="208"/>
        <v>-7</v>
      </c>
      <c r="K276" s="1293">
        <f t="shared" si="208"/>
        <v>-6</v>
      </c>
      <c r="L276" s="1293">
        <f>K276+1</f>
        <v>-5</v>
      </c>
      <c r="M276" s="1293">
        <f t="shared" si="208"/>
        <v>-4</v>
      </c>
      <c r="N276" s="1293">
        <f t="shared" si="208"/>
        <v>-3</v>
      </c>
      <c r="O276" s="1293">
        <f>N276+1</f>
        <v>-2</v>
      </c>
      <c r="P276" s="1293">
        <f t="shared" si="208"/>
        <v>-1</v>
      </c>
      <c r="Q276" s="1293">
        <v>0</v>
      </c>
      <c r="R276" s="1293">
        <f t="shared" si="208"/>
        <v>1</v>
      </c>
      <c r="S276" s="1293">
        <f>R276+1</f>
        <v>2</v>
      </c>
      <c r="T276" s="1293">
        <f>S276+1</f>
        <v>3</v>
      </c>
      <c r="U276" s="1293">
        <f>T276+1</f>
        <v>4</v>
      </c>
      <c r="V276" s="1293">
        <f>U276+1</f>
        <v>5</v>
      </c>
      <c r="W276" s="1293">
        <f>V276+1</f>
        <v>6</v>
      </c>
      <c r="X276" s="1293"/>
      <c r="Y276" s="1293"/>
      <c r="Z276" s="1653"/>
      <c r="AA276" s="1653"/>
      <c r="AB276" s="1653"/>
      <c r="AC276" s="1293"/>
      <c r="AD276" s="1293"/>
      <c r="AE276" s="1293"/>
      <c r="AF276" s="1293"/>
      <c r="AG276" s="1293"/>
    </row>
    <row r="277" spans="1:33" ht="15.75">
      <c r="A277" s="1293"/>
      <c r="B277" s="1293" t="s">
        <v>1937</v>
      </c>
      <c r="C277" s="1293"/>
      <c r="D277" s="1707"/>
      <c r="E277" s="1707"/>
      <c r="F277" s="1707"/>
      <c r="G277" s="1707">
        <f t="shared" ref="G277:W277" si="209">1/(1+$C273)^G276</f>
        <v>2.7140808466082249</v>
      </c>
      <c r="H277" s="1707">
        <f t="shared" si="209"/>
        <v>2.4561817616364023</v>
      </c>
      <c r="I277" s="1707">
        <f t="shared" si="209"/>
        <v>2.2227889245578303</v>
      </c>
      <c r="J277" s="1707">
        <f t="shared" si="209"/>
        <v>2.011573687382652</v>
      </c>
      <c r="K277" s="1707">
        <f t="shared" si="209"/>
        <v>1.8204286763643911</v>
      </c>
      <c r="L277" s="1707">
        <f t="shared" si="209"/>
        <v>1.6474467659406251</v>
      </c>
      <c r="M277" s="1707">
        <f t="shared" si="209"/>
        <v>1.4909020506250001</v>
      </c>
      <c r="N277" s="1707">
        <f t="shared" si="209"/>
        <v>1.349232625</v>
      </c>
      <c r="O277" s="1707">
        <f t="shared" si="209"/>
        <v>1.221025</v>
      </c>
      <c r="P277" s="1707">
        <f t="shared" si="209"/>
        <v>1.105</v>
      </c>
      <c r="Q277" s="1707">
        <f t="shared" si="209"/>
        <v>1</v>
      </c>
      <c r="R277" s="1707">
        <f t="shared" si="209"/>
        <v>0.90497737556561086</v>
      </c>
      <c r="S277" s="1707">
        <f t="shared" si="209"/>
        <v>0.81898405028562071</v>
      </c>
      <c r="T277" s="1707">
        <f t="shared" si="209"/>
        <v>0.74116203645757528</v>
      </c>
      <c r="U277" s="1707">
        <f t="shared" si="209"/>
        <v>0.67073487462224002</v>
      </c>
      <c r="V277" s="1707">
        <f t="shared" si="209"/>
        <v>0.60699988653596382</v>
      </c>
      <c r="W277" s="1707">
        <f t="shared" si="209"/>
        <v>0.54932116428594002</v>
      </c>
      <c r="X277" s="1293"/>
      <c r="Y277" s="1293"/>
      <c r="Z277" s="1653"/>
      <c r="AA277" s="1653"/>
      <c r="AB277" s="1653"/>
      <c r="AC277" s="1293"/>
      <c r="AD277" s="1293"/>
      <c r="AE277" s="1293"/>
      <c r="AF277" s="1293"/>
      <c r="AG277" s="1293"/>
    </row>
    <row r="278" spans="1:33" ht="15.75">
      <c r="A278" s="1293"/>
      <c r="B278" s="1293" t="s">
        <v>2204</v>
      </c>
      <c r="C278" s="1666"/>
      <c r="D278" s="1666"/>
      <c r="E278" s="1666"/>
      <c r="F278" s="1666"/>
      <c r="G278" s="1666">
        <f>'New split'!D480</f>
        <v>364.61001632741284</v>
      </c>
      <c r="H278" s="1666">
        <f ca="1">'New split'!E480</f>
        <v>254.91662788345894</v>
      </c>
      <c r="I278" s="1666">
        <f ca="1">'New split'!F480</f>
        <v>308.24456207088019</v>
      </c>
      <c r="J278" s="1666">
        <f>'New split'!G480</f>
        <v>230.50965774313789</v>
      </c>
      <c r="K278" s="1666">
        <f>'New split'!H480</f>
        <v>219.58218568002741</v>
      </c>
      <c r="L278" s="1666">
        <f ca="1">'New split'!I480</f>
        <v>263.89716116064551</v>
      </c>
      <c r="M278" s="1666">
        <f ca="1">'New split'!J480</f>
        <v>227.19601909056661</v>
      </c>
      <c r="N278" s="1666">
        <f ca="1">'New split'!K480</f>
        <v>-357.66005466998524</v>
      </c>
      <c r="O278" s="1666">
        <f>'New split'!L480</f>
        <v>338.5711615265061</v>
      </c>
      <c r="P278" s="1666">
        <f>'New split'!M480</f>
        <v>329.18718000000001</v>
      </c>
      <c r="Q278" s="1666">
        <f>'New split'!N480</f>
        <v>415.77818000000013</v>
      </c>
      <c r="R278" s="1666">
        <f>'New split'!O480</f>
        <v>287.84688568785617</v>
      </c>
      <c r="S278" s="1666">
        <f>'New split'!P480</f>
        <v>288.73146461394549</v>
      </c>
      <c r="T278" s="1666">
        <f>'New split'!Q480</f>
        <v>288.22419267692487</v>
      </c>
      <c r="U278" s="1666">
        <f>'New split'!R480</f>
        <v>291.78631328261406</v>
      </c>
      <c r="V278" s="1666">
        <f>'New split'!S480</f>
        <v>298.22101717089186</v>
      </c>
      <c r="W278" s="1666">
        <f>'New split'!T480</f>
        <v>306.59263890353247</v>
      </c>
      <c r="X278" s="1293"/>
      <c r="Y278" s="1293"/>
      <c r="Z278" s="1653"/>
      <c r="AA278" s="1653"/>
      <c r="AB278" s="1653"/>
      <c r="AC278" s="1293"/>
      <c r="AD278" s="1293"/>
      <c r="AE278" s="1293"/>
      <c r="AF278" s="1293"/>
      <c r="AG278" s="1293"/>
    </row>
    <row r="279" spans="1:33" ht="15.75">
      <c r="A279" s="1293"/>
      <c r="B279" s="1293" t="s">
        <v>1936</v>
      </c>
      <c r="C279" s="1293"/>
      <c r="D279" s="1666"/>
      <c r="E279" s="1666"/>
      <c r="F279" s="1666"/>
      <c r="G279" s="1666">
        <f t="shared" ref="G279:W279" ca="1" si="210">G278*(1-G274)</f>
        <v>305.64129039974114</v>
      </c>
      <c r="H279" s="1666">
        <f t="shared" ca="1" si="210"/>
        <v>213.6887183611725</v>
      </c>
      <c r="I279" s="1666">
        <f t="shared" ca="1" si="210"/>
        <v>258.39187485580788</v>
      </c>
      <c r="J279" s="1666">
        <f t="shared" ca="1" si="210"/>
        <v>193.22911079587473</v>
      </c>
      <c r="K279" s="1666">
        <f t="shared" ca="1" si="210"/>
        <v>184.06894921880755</v>
      </c>
      <c r="L279" s="1666">
        <f t="shared" ca="1" si="210"/>
        <v>221.21682142033893</v>
      </c>
      <c r="M279" s="1666">
        <f t="shared" ca="1" si="210"/>
        <v>190.45139008514997</v>
      </c>
      <c r="N279" s="1666">
        <f t="shared" ca="1" si="210"/>
        <v>-299.81535267427449</v>
      </c>
      <c r="O279" s="1666">
        <f t="shared" ca="1" si="210"/>
        <v>283.81372443749945</v>
      </c>
      <c r="P279" s="1666">
        <f t="shared" ca="1" si="210"/>
        <v>275.94742319943055</v>
      </c>
      <c r="Q279" s="1666">
        <f t="shared" ca="1" si="210"/>
        <v>348.53397812621085</v>
      </c>
      <c r="R279" s="1666">
        <f t="shared" ca="1" si="210"/>
        <v>241.29313414193393</v>
      </c>
      <c r="S279" s="1666">
        <f t="shared" ca="1" si="210"/>
        <v>242.03464927405682</v>
      </c>
      <c r="T279" s="1666">
        <f t="shared" ca="1" si="210"/>
        <v>241.60941891155539</v>
      </c>
      <c r="U279" s="1666">
        <f t="shared" ca="1" si="210"/>
        <v>244.59543435196693</v>
      </c>
      <c r="V279" s="1666">
        <f t="shared" ca="1" si="210"/>
        <v>249.98944743905497</v>
      </c>
      <c r="W279" s="1666">
        <f t="shared" ca="1" si="210"/>
        <v>257.00711879892549</v>
      </c>
      <c r="X279" s="1293"/>
      <c r="Y279" s="1293"/>
      <c r="Z279" s="1653"/>
      <c r="AA279" s="1653"/>
      <c r="AB279" s="1653"/>
      <c r="AC279" s="1293"/>
      <c r="AD279" s="1293"/>
      <c r="AE279" s="1293"/>
      <c r="AF279" s="1293"/>
      <c r="AG279" s="1293"/>
    </row>
    <row r="280" spans="1:33" ht="15.75">
      <c r="A280" s="1293"/>
      <c r="B280" s="1293"/>
      <c r="C280" s="1293"/>
      <c r="D280" s="1666"/>
      <c r="E280" s="1666"/>
      <c r="F280" s="1666"/>
      <c r="G280" s="1293"/>
      <c r="H280" s="1293"/>
      <c r="I280" s="1293"/>
      <c r="J280" s="1293"/>
      <c r="K280" s="1293"/>
      <c r="L280" s="1293"/>
      <c r="M280" s="1293"/>
      <c r="N280" s="1293"/>
      <c r="O280" s="1293"/>
      <c r="P280" s="1293"/>
      <c r="Q280" s="1293"/>
      <c r="R280" s="1293"/>
      <c r="S280" s="1293"/>
      <c r="T280" s="1293"/>
      <c r="U280" s="1293"/>
      <c r="V280" s="1293"/>
      <c r="W280" s="1293"/>
      <c r="X280" s="1293"/>
      <c r="Y280" s="1293"/>
      <c r="Z280" s="1653"/>
      <c r="AA280" s="1653"/>
      <c r="AB280" s="1653"/>
      <c r="AC280" s="1293"/>
      <c r="AD280" s="1293"/>
      <c r="AE280" s="1293"/>
      <c r="AF280" s="1293"/>
      <c r="AG280" s="1293"/>
    </row>
    <row r="281" spans="1:33" ht="15.75">
      <c r="A281" s="1293"/>
      <c r="B281" s="1293" t="s">
        <v>684</v>
      </c>
      <c r="C281" s="1293"/>
      <c r="D281" s="1666"/>
      <c r="E281" s="1666"/>
      <c r="F281" s="1666"/>
      <c r="G281" s="1666">
        <f t="shared" ref="G281:W281" ca="1" si="211">G279*G277</f>
        <v>829.53517220655976</v>
      </c>
      <c r="H281" s="1666">
        <f t="shared" ca="1" si="211"/>
        <v>524.85833270616968</v>
      </c>
      <c r="I281" s="1666">
        <f t="shared" ca="1" si="211"/>
        <v>574.35059762522269</v>
      </c>
      <c r="J281" s="1666">
        <f t="shared" ca="1" si="211"/>
        <v>388.69459491332873</v>
      </c>
      <c r="K281" s="1666">
        <f t="shared" ca="1" si="211"/>
        <v>335.08439358617812</v>
      </c>
      <c r="L281" s="1666">
        <f t="shared" ca="1" si="211"/>
        <v>364.44293702060219</v>
      </c>
      <c r="M281" s="1666">
        <f t="shared" ca="1" si="211"/>
        <v>283.9443680223319</v>
      </c>
      <c r="N281" s="1666">
        <f t="shared" ca="1" si="211"/>
        <v>-404.52065530401211</v>
      </c>
      <c r="O281" s="1666">
        <f t="shared" ca="1" si="211"/>
        <v>346.54365288129776</v>
      </c>
      <c r="P281" s="1666">
        <f t="shared" ca="1" si="211"/>
        <v>304.92190263537077</v>
      </c>
      <c r="Q281" s="1666">
        <f t="shared" ca="1" si="211"/>
        <v>348.53397812621085</v>
      </c>
      <c r="R281" s="1666">
        <f t="shared" ca="1" si="211"/>
        <v>218.36482727776826</v>
      </c>
      <c r="S281" s="1666">
        <f t="shared" ca="1" si="211"/>
        <v>198.22251737192673</v>
      </c>
      <c r="T281" s="1666">
        <f t="shared" ca="1" si="211"/>
        <v>179.07172894781979</v>
      </c>
      <c r="U281" s="1666">
        <f t="shared" ca="1" si="211"/>
        <v>164.05868799323889</v>
      </c>
      <c r="V281" s="1666">
        <f t="shared" ca="1" si="211"/>
        <v>151.74356623069465</v>
      </c>
      <c r="W281" s="1666">
        <f t="shared" ca="1" si="211"/>
        <v>141.17944972840064</v>
      </c>
      <c r="X281" s="1293"/>
      <c r="Y281" s="1293"/>
      <c r="Z281" s="1653"/>
      <c r="AA281" s="1653"/>
      <c r="AB281" s="1653"/>
      <c r="AC281" s="1293"/>
      <c r="AD281" s="1293"/>
      <c r="AE281" s="1293"/>
      <c r="AF281" s="1293"/>
      <c r="AG281" s="1293"/>
    </row>
    <row r="282" spans="1:33" ht="15.75">
      <c r="A282" s="1293"/>
      <c r="B282" s="1293" t="s">
        <v>685</v>
      </c>
      <c r="C282" s="1293"/>
      <c r="D282" s="1666">
        <f ca="1">SUM(R281:W281)</f>
        <v>1052.640777549849</v>
      </c>
      <c r="E282" s="1293"/>
      <c r="F282" s="1293"/>
      <c r="G282" s="1293"/>
      <c r="H282" s="1293"/>
      <c r="I282" s="1293"/>
      <c r="J282" s="1293"/>
      <c r="K282" s="1293"/>
      <c r="L282" s="1653"/>
      <c r="M282" s="1666"/>
      <c r="N282" s="1666"/>
      <c r="O282" s="1666"/>
      <c r="P282" s="1666"/>
      <c r="Q282" s="1666"/>
      <c r="R282" s="1666"/>
      <c r="S282" s="1293"/>
      <c r="T282" s="1293"/>
      <c r="U282" s="1293"/>
      <c r="V282" s="1293"/>
      <c r="W282" s="1293"/>
      <c r="X282" s="1293"/>
      <c r="Y282" s="1293"/>
      <c r="Z282" s="1653"/>
      <c r="AA282" s="1653"/>
      <c r="AB282" s="1653"/>
      <c r="AC282" s="1293"/>
      <c r="AD282" s="1293"/>
      <c r="AE282" s="1293"/>
      <c r="AF282" s="1293"/>
      <c r="AG282" s="1293"/>
    </row>
    <row r="283" spans="1:33" ht="15.75">
      <c r="A283" s="1293"/>
      <c r="B283" s="1293" t="s">
        <v>2203</v>
      </c>
      <c r="C283" s="1293"/>
      <c r="D283" s="1701">
        <f ca="1">W281/(C273-C275)</f>
        <v>1344.5661878895301</v>
      </c>
      <c r="E283" s="1293"/>
      <c r="F283" s="1293"/>
      <c r="G283" s="1293"/>
      <c r="H283" s="1293"/>
      <c r="I283" s="1293"/>
      <c r="J283" s="1293"/>
      <c r="K283" s="1293"/>
      <c r="L283" s="1666"/>
      <c r="M283" s="1666"/>
      <c r="N283" s="1666"/>
      <c r="O283" s="1666"/>
      <c r="P283" s="1666"/>
      <c r="Q283" s="1666"/>
      <c r="R283" s="1666"/>
      <c r="S283" s="1293"/>
      <c r="T283" s="1293"/>
      <c r="U283" s="1293"/>
      <c r="V283" s="1293"/>
      <c r="W283" s="1293"/>
      <c r="X283" s="1293"/>
      <c r="Y283" s="1293"/>
      <c r="Z283" s="1653"/>
      <c r="AA283" s="1653"/>
      <c r="AB283" s="1653"/>
      <c r="AC283" s="1293"/>
      <c r="AD283" s="1293"/>
      <c r="AE283" s="1293"/>
      <c r="AF283" s="1293"/>
      <c r="AG283" s="1293"/>
    </row>
    <row r="284" spans="1:33" ht="15.75">
      <c r="A284" s="1293"/>
      <c r="B284" s="1293" t="s">
        <v>2205</v>
      </c>
      <c r="C284" s="1293"/>
      <c r="D284" s="1666">
        <f ca="1">SUM(D282:D283)</f>
        <v>2397.206965439379</v>
      </c>
      <c r="E284" s="1293" t="s">
        <v>1823</v>
      </c>
      <c r="F284" s="1293"/>
      <c r="G284" s="1293"/>
      <c r="H284" s="1293"/>
      <c r="I284" s="1293"/>
      <c r="J284" s="1293"/>
      <c r="K284" s="1293"/>
      <c r="L284" s="1666"/>
      <c r="M284" s="1666"/>
      <c r="N284" s="1666"/>
      <c r="O284" s="1666"/>
      <c r="P284" s="1666"/>
      <c r="Q284" s="1666"/>
      <c r="R284" s="1666"/>
      <c r="S284" s="1293"/>
      <c r="T284" s="1293"/>
      <c r="U284" s="1293"/>
      <c r="V284" s="1293"/>
      <c r="W284" s="1293"/>
      <c r="X284" s="1293"/>
      <c r="Y284" s="1293"/>
      <c r="Z284" s="1653"/>
      <c r="AA284" s="1653"/>
      <c r="AB284" s="1653"/>
      <c r="AC284" s="1293"/>
      <c r="AD284" s="1293"/>
      <c r="AE284" s="1293"/>
      <c r="AF284" s="1293"/>
      <c r="AG284" s="1293"/>
    </row>
    <row r="285" spans="1:33" ht="15.75">
      <c r="A285" s="1293"/>
      <c r="B285" s="1293"/>
      <c r="C285" s="1293"/>
      <c r="D285" s="1293"/>
      <c r="E285" s="1293"/>
      <c r="F285" s="1293"/>
      <c r="G285" s="1293"/>
      <c r="H285" s="1293"/>
      <c r="I285" s="1293"/>
      <c r="J285" s="1293"/>
      <c r="K285" s="1293"/>
      <c r="L285" s="1653"/>
      <c r="M285" s="1653"/>
      <c r="N285" s="1653"/>
      <c r="O285" s="1653"/>
      <c r="P285" s="1653"/>
      <c r="Q285" s="1653"/>
      <c r="R285" s="1653"/>
      <c r="S285" s="1293"/>
      <c r="T285" s="1293"/>
      <c r="U285" s="1293"/>
      <c r="V285" s="1293"/>
      <c r="W285" s="1293"/>
      <c r="X285" s="1293"/>
      <c r="Y285" s="1293"/>
      <c r="Z285" s="1653"/>
      <c r="AA285" s="1653"/>
      <c r="AB285" s="1653"/>
      <c r="AC285" s="1293"/>
      <c r="AD285" s="1293"/>
      <c r="AE285" s="1293"/>
      <c r="AF285" s="1293"/>
      <c r="AG285" s="1293"/>
    </row>
    <row r="286" spans="1:33" ht="15.75">
      <c r="A286" s="1293"/>
      <c r="B286" s="1293"/>
      <c r="C286" s="1293"/>
      <c r="D286" s="1293"/>
      <c r="E286" s="1293"/>
      <c r="F286" s="1293"/>
      <c r="G286" s="1293"/>
      <c r="H286" s="1293"/>
      <c r="I286" s="1293"/>
      <c r="J286" s="1293"/>
      <c r="K286" s="1293"/>
      <c r="L286" s="1653"/>
      <c r="M286" s="1653"/>
      <c r="N286" s="1653"/>
      <c r="O286" s="1653"/>
      <c r="P286" s="1653"/>
      <c r="Q286" s="1653"/>
      <c r="R286" s="1653"/>
      <c r="S286" s="1293"/>
      <c r="T286" s="1293"/>
      <c r="U286" s="1293"/>
      <c r="V286" s="1293"/>
      <c r="W286" s="1293"/>
      <c r="X286" s="1293"/>
      <c r="Y286" s="1293"/>
      <c r="Z286" s="1653"/>
      <c r="AA286" s="1653"/>
      <c r="AB286" s="1653"/>
      <c r="AC286" s="1293"/>
      <c r="AD286" s="1293"/>
      <c r="AE286" s="1293"/>
      <c r="AF286" s="1293"/>
      <c r="AG286" s="1293"/>
    </row>
    <row r="287" spans="1:33" ht="15.75">
      <c r="A287" s="1293"/>
      <c r="B287" s="1684" t="s">
        <v>1831</v>
      </c>
      <c r="C287" s="1293"/>
      <c r="D287" s="1293"/>
      <c r="E287" s="1293"/>
      <c r="F287" s="1684"/>
      <c r="G287" s="1684">
        <f>Div!N$112</f>
        <v>2014</v>
      </c>
      <c r="H287" s="1684">
        <f>Div!O$112</f>
        <v>2015</v>
      </c>
      <c r="I287" s="1684">
        <f>Div!P$112</f>
        <v>2016</v>
      </c>
      <c r="J287" s="1684">
        <f>Div!Q$112</f>
        <v>2017</v>
      </c>
      <c r="K287" s="1684">
        <f>Div!R$112</f>
        <v>2018</v>
      </c>
      <c r="L287" s="1684">
        <f>Div!S$112</f>
        <v>2019</v>
      </c>
      <c r="M287" s="1684">
        <f>Div!T$112</f>
        <v>2020</v>
      </c>
      <c r="N287" s="1684">
        <f>Div!U$112</f>
        <v>2021</v>
      </c>
      <c r="O287" s="1684">
        <f>Div!V$112</f>
        <v>2022</v>
      </c>
      <c r="P287" s="1684">
        <f>Div!W$112</f>
        <v>2023</v>
      </c>
      <c r="Q287" s="1684">
        <f>Div!X$112</f>
        <v>2024</v>
      </c>
      <c r="R287" s="1684">
        <f>Div!Y$112</f>
        <v>2025</v>
      </c>
      <c r="S287" s="1293"/>
      <c r="T287" s="1293"/>
      <c r="U287" s="1293"/>
      <c r="V287" s="1293"/>
      <c r="W287" s="1293"/>
      <c r="X287" s="1293"/>
      <c r="Y287" s="1293"/>
      <c r="Z287" s="1653"/>
      <c r="AA287" s="1653"/>
      <c r="AB287" s="1653"/>
      <c r="AC287" s="1293"/>
      <c r="AD287" s="1293"/>
      <c r="AE287" s="1293"/>
      <c r="AF287" s="1293"/>
      <c r="AG287" s="1293"/>
    </row>
    <row r="288" spans="1:33" ht="15.75">
      <c r="A288" s="1293"/>
      <c r="B288" s="1293" t="s">
        <v>1938</v>
      </c>
      <c r="C288" s="1688">
        <f ca="1">O239</f>
        <v>0.12838255915217697</v>
      </c>
      <c r="D288" s="1666"/>
      <c r="E288" s="1666"/>
      <c r="F288" s="1293"/>
      <c r="G288" s="1293"/>
      <c r="H288" s="1293"/>
      <c r="I288" s="1293"/>
      <c r="J288" s="1293"/>
      <c r="K288" s="1293"/>
      <c r="L288" s="1293"/>
      <c r="M288" s="1293"/>
      <c r="N288" s="1293"/>
      <c r="O288" s="1293"/>
      <c r="P288" s="1293"/>
      <c r="Q288" s="1293"/>
      <c r="R288" s="1293"/>
      <c r="S288" s="1293"/>
      <c r="T288" s="1293"/>
      <c r="U288" s="1293"/>
      <c r="V288" s="1293"/>
      <c r="W288" s="1293"/>
      <c r="X288" s="1293"/>
      <c r="Y288" s="1293"/>
      <c r="Z288" s="1653"/>
      <c r="AA288" s="1653"/>
      <c r="AB288" s="1653"/>
      <c r="AC288" s="1293"/>
      <c r="AD288" s="1293"/>
      <c r="AE288" s="1293"/>
      <c r="AF288" s="1293"/>
      <c r="AG288" s="1293"/>
    </row>
    <row r="289" spans="1:33" ht="15.75">
      <c r="A289" s="1293"/>
      <c r="B289" s="1293" t="s">
        <v>682</v>
      </c>
      <c r="C289" s="1665">
        <f ca="1">D239</f>
        <v>0.35646406155608601</v>
      </c>
      <c r="D289" s="1293"/>
      <c r="E289" s="1293"/>
      <c r="F289" s="1293"/>
      <c r="G289" s="1688">
        <f ca="1">E239</f>
        <v>0.35646406155608601</v>
      </c>
      <c r="H289" s="1688">
        <f t="shared" ref="H289:R289" ca="1" si="212">G289</f>
        <v>0.35646406155608601</v>
      </c>
      <c r="I289" s="1688">
        <f t="shared" ca="1" si="212"/>
        <v>0.35646406155608601</v>
      </c>
      <c r="J289" s="1688">
        <f t="shared" ca="1" si="212"/>
        <v>0.35646406155608601</v>
      </c>
      <c r="K289" s="1688">
        <f t="shared" ca="1" si="212"/>
        <v>0.35646406155608601</v>
      </c>
      <c r="L289" s="1688">
        <f t="shared" ca="1" si="212"/>
        <v>0.35646406155608601</v>
      </c>
      <c r="M289" s="1688">
        <f t="shared" ca="1" si="212"/>
        <v>0.35646406155608601</v>
      </c>
      <c r="N289" s="1688">
        <f t="shared" ca="1" si="212"/>
        <v>0.35646406155608601</v>
      </c>
      <c r="O289" s="1688">
        <f t="shared" ca="1" si="212"/>
        <v>0.35646406155608601</v>
      </c>
      <c r="P289" s="1688">
        <f t="shared" ca="1" si="212"/>
        <v>0.35646406155608601</v>
      </c>
      <c r="Q289" s="1688">
        <f t="shared" ca="1" si="212"/>
        <v>0.35646406155608601</v>
      </c>
      <c r="R289" s="1688">
        <f t="shared" ca="1" si="212"/>
        <v>0.35646406155608601</v>
      </c>
      <c r="S289" s="1293"/>
      <c r="T289" s="1293"/>
      <c r="U289" s="1293"/>
      <c r="V289" s="1293"/>
      <c r="W289" s="1293"/>
      <c r="X289" s="1293"/>
      <c r="Y289" s="1293"/>
      <c r="Z289" s="1653"/>
      <c r="AA289" s="1653"/>
      <c r="AB289" s="1653"/>
      <c r="AC289" s="1293"/>
      <c r="AD289" s="1293"/>
      <c r="AE289" s="1293"/>
      <c r="AF289" s="1293"/>
      <c r="AG289" s="1293"/>
    </row>
    <row r="290" spans="1:33" ht="15.75">
      <c r="A290" s="1293"/>
      <c r="B290" s="1293" t="s">
        <v>683</v>
      </c>
      <c r="C290" s="1688">
        <v>3.5000000000000003E-2</v>
      </c>
      <c r="D290" s="1293"/>
      <c r="E290" s="1293"/>
      <c r="F290" s="1293"/>
      <c r="G290" s="1293"/>
      <c r="H290" s="1293"/>
      <c r="I290" s="1293"/>
      <c r="J290" s="1293"/>
      <c r="K290" s="1293"/>
      <c r="L290" s="1293"/>
      <c r="M290" s="1293"/>
      <c r="N290" s="1293"/>
      <c r="O290" s="1293"/>
      <c r="P290" s="1293"/>
      <c r="Q290" s="1293"/>
      <c r="R290" s="1293"/>
      <c r="S290" s="1293"/>
      <c r="T290" s="1293"/>
      <c r="U290" s="1293"/>
      <c r="V290" s="1293"/>
      <c r="W290" s="1293"/>
      <c r="X290" s="1293"/>
      <c r="Y290" s="1293"/>
      <c r="Z290" s="1653"/>
      <c r="AA290" s="1653"/>
      <c r="AB290" s="1653"/>
      <c r="AC290" s="1293"/>
      <c r="AD290" s="1293"/>
      <c r="AE290" s="1293"/>
      <c r="AF290" s="1293"/>
      <c r="AG290" s="1293"/>
    </row>
    <row r="291" spans="1:33" ht="15.75">
      <c r="A291" s="1293"/>
      <c r="B291" s="1293"/>
      <c r="C291" s="1293"/>
      <c r="D291" s="1293"/>
      <c r="E291" s="1293"/>
      <c r="F291" s="1293"/>
      <c r="G291" s="1293">
        <v>-7</v>
      </c>
      <c r="H291" s="1293">
        <f t="shared" ref="H291:R291" si="213">G291+1</f>
        <v>-6</v>
      </c>
      <c r="I291" s="1293">
        <f t="shared" si="213"/>
        <v>-5</v>
      </c>
      <c r="J291" s="1293">
        <f t="shared" si="213"/>
        <v>-4</v>
      </c>
      <c r="K291" s="1293">
        <f t="shared" si="213"/>
        <v>-3</v>
      </c>
      <c r="L291" s="1293">
        <f>K291+1</f>
        <v>-2</v>
      </c>
      <c r="M291" s="1293">
        <f t="shared" si="213"/>
        <v>-1</v>
      </c>
      <c r="N291" s="1293">
        <f t="shared" si="213"/>
        <v>0</v>
      </c>
      <c r="O291" s="1293">
        <f>N291+1</f>
        <v>1</v>
      </c>
      <c r="P291" s="1293">
        <f t="shared" si="213"/>
        <v>2</v>
      </c>
      <c r="Q291" s="1293">
        <f t="shared" si="213"/>
        <v>3</v>
      </c>
      <c r="R291" s="1293">
        <f t="shared" si="213"/>
        <v>4</v>
      </c>
      <c r="S291" s="1293"/>
      <c r="T291" s="1293"/>
      <c r="U291" s="1293"/>
      <c r="V291" s="1293"/>
      <c r="W291" s="1293"/>
      <c r="X291" s="1293"/>
      <c r="Y291" s="1293"/>
      <c r="Z291" s="1653"/>
      <c r="AA291" s="1653"/>
      <c r="AB291" s="1653"/>
      <c r="AC291" s="1293"/>
      <c r="AD291" s="1293"/>
      <c r="AE291" s="1293"/>
      <c r="AF291" s="1293"/>
      <c r="AG291" s="1293"/>
    </row>
    <row r="292" spans="1:33" ht="15.75">
      <c r="A292" s="1293"/>
      <c r="B292" s="1293" t="s">
        <v>1937</v>
      </c>
      <c r="C292" s="1293"/>
      <c r="D292" s="1707"/>
      <c r="E292" s="1707"/>
      <c r="F292" s="1707"/>
      <c r="G292" s="1707">
        <f t="shared" ref="G292:R292" ca="1" si="214">1/(1+$C288)^G291</f>
        <v>2.3291344231307729</v>
      </c>
      <c r="H292" s="1707">
        <f t="shared" ca="1" si="214"/>
        <v>2.0641354337138944</v>
      </c>
      <c r="I292" s="1707">
        <f t="shared" ca="1" si="214"/>
        <v>1.8292869000605663</v>
      </c>
      <c r="J292" s="1707">
        <f t="shared" ca="1" si="214"/>
        <v>1.6211584317955265</v>
      </c>
      <c r="K292" s="1707">
        <f t="shared" ca="1" si="214"/>
        <v>1.4367099337423315</v>
      </c>
      <c r="L292" s="1707">
        <f t="shared" ca="1" si="214"/>
        <v>1.2732471997988162</v>
      </c>
      <c r="M292" s="1707">
        <f t="shared" ca="1" si="214"/>
        <v>1.128382559152177</v>
      </c>
      <c r="N292" s="1707">
        <f t="shared" ca="1" si="214"/>
        <v>1</v>
      </c>
      <c r="O292" s="1707">
        <f t="shared" ca="1" si="214"/>
        <v>0.88622426134569232</v>
      </c>
      <c r="P292" s="1707">
        <f t="shared" ca="1" si="214"/>
        <v>0.78539344139771794</v>
      </c>
      <c r="Q292" s="1707">
        <f t="shared" ca="1" si="214"/>
        <v>0.69603472246844378</v>
      </c>
      <c r="R292" s="1707">
        <f t="shared" ca="1" si="214"/>
        <v>0.61684285779055059</v>
      </c>
      <c r="S292" s="1293"/>
      <c r="T292" s="1293"/>
      <c r="U292" s="1293"/>
      <c r="V292" s="1293"/>
      <c r="W292" s="1293"/>
      <c r="X292" s="1293"/>
      <c r="Y292" s="1293"/>
      <c r="Z292" s="1707"/>
      <c r="AA292" s="1707"/>
      <c r="AB292" s="1707"/>
      <c r="AC292" s="1293"/>
      <c r="AD292" s="1293"/>
      <c r="AE292" s="1293"/>
      <c r="AF292" s="1293"/>
      <c r="AG292" s="1293"/>
    </row>
    <row r="293" spans="1:33" ht="15.75">
      <c r="A293" s="1293"/>
      <c r="B293" s="1293" t="s">
        <v>2204</v>
      </c>
      <c r="C293" s="1666"/>
      <c r="D293" s="1666"/>
      <c r="E293" s="1666"/>
      <c r="F293" s="1666"/>
      <c r="G293" s="1666">
        <f>'New split'!D482</f>
        <v>-94.661834736006199</v>
      </c>
      <c r="H293" s="1666">
        <f>'New split'!E482</f>
        <v>-68.409688505170948</v>
      </c>
      <c r="I293" s="1666">
        <f>'New split'!F482</f>
        <v>96.839898439150403</v>
      </c>
      <c r="J293" s="1666">
        <f>'New split'!G482</f>
        <v>110</v>
      </c>
      <c r="K293" s="1666">
        <f>'New split'!H482</f>
        <v>119</v>
      </c>
      <c r="L293" s="1666">
        <f>'New split'!I482</f>
        <v>125.5</v>
      </c>
      <c r="M293" s="1666">
        <f>'New split'!J482</f>
        <v>100</v>
      </c>
      <c r="N293" s="1666">
        <f>'New split'!K482</f>
        <v>128</v>
      </c>
      <c r="O293" s="1666">
        <f>'New split'!L482</f>
        <v>0</v>
      </c>
      <c r="P293" s="1666">
        <f>'New split'!M482</f>
        <v>0</v>
      </c>
      <c r="Q293" s="1666">
        <f>'New split'!N482</f>
        <v>0</v>
      </c>
      <c r="R293" s="1666">
        <f>'New split'!O482</f>
        <v>0</v>
      </c>
      <c r="S293" s="1293"/>
      <c r="T293" s="1293"/>
      <c r="U293" s="1293"/>
      <c r="V293" s="1293"/>
      <c r="W293" s="1293"/>
      <c r="X293" s="1293"/>
      <c r="Y293" s="1293"/>
      <c r="Z293" s="1666"/>
      <c r="AA293" s="1666"/>
      <c r="AB293" s="1666"/>
      <c r="AC293" s="1293"/>
      <c r="AD293" s="1293"/>
      <c r="AE293" s="1293"/>
      <c r="AF293" s="1293"/>
      <c r="AG293" s="1293"/>
    </row>
    <row r="294" spans="1:33" ht="15.75">
      <c r="A294" s="1293"/>
      <c r="B294" s="1293" t="s">
        <v>1936</v>
      </c>
      <c r="C294" s="1293"/>
      <c r="D294" s="1666"/>
      <c r="E294" s="1666"/>
      <c r="F294" s="1666"/>
      <c r="G294" s="1666">
        <f t="shared" ref="G294:H294" si="215">IF(G293&lt;0, G293, G293*(1-G289))</f>
        <v>-94.661834736006199</v>
      </c>
      <c r="H294" s="1666">
        <f t="shared" si="215"/>
        <v>-68.409688505170948</v>
      </c>
      <c r="I294" s="1666">
        <f t="shared" ref="I294:R294" ca="1" si="216">IF(I293&lt;0, I293, I293*(1-I289))</f>
        <v>62.319954920851977</v>
      </c>
      <c r="J294" s="1666">
        <f t="shared" ca="1" si="216"/>
        <v>70.788953228830536</v>
      </c>
      <c r="K294" s="1666">
        <f t="shared" ca="1" si="216"/>
        <v>76.580776674825771</v>
      </c>
      <c r="L294" s="1666">
        <f t="shared" ca="1" si="216"/>
        <v>80.763760274711203</v>
      </c>
      <c r="M294" s="1666">
        <f t="shared" ca="1" si="216"/>
        <v>64.353593844391398</v>
      </c>
      <c r="N294" s="1666">
        <f t="shared" ca="1" si="216"/>
        <v>82.372600120820991</v>
      </c>
      <c r="O294" s="1666">
        <f t="shared" ca="1" si="216"/>
        <v>0</v>
      </c>
      <c r="P294" s="1666">
        <f t="shared" ca="1" si="216"/>
        <v>0</v>
      </c>
      <c r="Q294" s="1666">
        <f t="shared" ca="1" si="216"/>
        <v>0</v>
      </c>
      <c r="R294" s="1666">
        <f t="shared" ca="1" si="216"/>
        <v>0</v>
      </c>
      <c r="S294" s="1293"/>
      <c r="T294" s="1293"/>
      <c r="U294" s="1293"/>
      <c r="V294" s="1293"/>
      <c r="W294" s="1293"/>
      <c r="X294" s="1293"/>
      <c r="Y294" s="1293"/>
      <c r="Z294" s="1666"/>
      <c r="AA294" s="1666"/>
      <c r="AB294" s="1666"/>
      <c r="AC294" s="1293"/>
      <c r="AD294" s="1293"/>
      <c r="AE294" s="1293"/>
      <c r="AF294" s="1293"/>
      <c r="AG294" s="1293"/>
    </row>
    <row r="295" spans="1:33" ht="15.75">
      <c r="A295" s="1293"/>
      <c r="B295" s="1293"/>
      <c r="C295" s="1293"/>
      <c r="D295" s="1666"/>
      <c r="E295" s="1666"/>
      <c r="F295" s="1666"/>
      <c r="G295" s="1293"/>
      <c r="H295" s="1293"/>
      <c r="I295" s="1293"/>
      <c r="J295" s="1293"/>
      <c r="K295" s="1293"/>
      <c r="L295" s="1293"/>
      <c r="M295" s="1293"/>
      <c r="N295" s="1293"/>
      <c r="O295" s="1293"/>
      <c r="P295" s="1293"/>
      <c r="Q295" s="1293"/>
      <c r="R295" s="1293"/>
      <c r="S295" s="1293"/>
      <c r="T295" s="1293"/>
      <c r="U295" s="1293"/>
      <c r="V295" s="1293"/>
      <c r="W295" s="1293"/>
      <c r="X295" s="1293"/>
      <c r="Y295" s="1293"/>
      <c r="Z295" s="1653"/>
      <c r="AA295" s="1653"/>
      <c r="AB295" s="1653"/>
      <c r="AC295" s="1293"/>
      <c r="AD295" s="1293"/>
      <c r="AE295" s="1293"/>
      <c r="AF295" s="1293"/>
      <c r="AG295" s="1293"/>
    </row>
    <row r="296" spans="1:33" ht="15.75">
      <c r="A296" s="1293"/>
      <c r="B296" s="1293" t="s">
        <v>684</v>
      </c>
      <c r="C296" s="1293"/>
      <c r="D296" s="1666"/>
      <c r="E296" s="1666"/>
      <c r="F296" s="1666"/>
      <c r="G296" s="1666">
        <f t="shared" ref="G296:R296" ca="1" si="217">G294*G292</f>
        <v>-220.48013784034836</v>
      </c>
      <c r="H296" s="1666">
        <f t="shared" ca="1" si="217"/>
        <v>-141.20686205285344</v>
      </c>
      <c r="I296" s="1666">
        <f t="shared" ca="1" si="217"/>
        <v>114.00107714907955</v>
      </c>
      <c r="J296" s="1666">
        <f t="shared" ca="1" si="217"/>
        <v>114.76010840489779</v>
      </c>
      <c r="K296" s="1666">
        <f t="shared" ca="1" si="217"/>
        <v>110.02436258242521</v>
      </c>
      <c r="L296" s="1666">
        <f t="shared" ca="1" si="217"/>
        <v>102.8322316149989</v>
      </c>
      <c r="M296" s="1666">
        <f t="shared" ca="1" si="217"/>
        <v>72.615472912774152</v>
      </c>
      <c r="N296" s="1666">
        <f t="shared" ca="1" si="217"/>
        <v>82.372600120820991</v>
      </c>
      <c r="O296" s="1666">
        <f t="shared" ca="1" si="217"/>
        <v>0</v>
      </c>
      <c r="P296" s="1666">
        <f t="shared" ca="1" si="217"/>
        <v>0</v>
      </c>
      <c r="Q296" s="1666">
        <f t="shared" ca="1" si="217"/>
        <v>0</v>
      </c>
      <c r="R296" s="1666">
        <f t="shared" ca="1" si="217"/>
        <v>0</v>
      </c>
      <c r="S296" s="1293"/>
      <c r="T296" s="1293"/>
      <c r="U296" s="1293"/>
      <c r="V296" s="1293"/>
      <c r="W296" s="1293"/>
      <c r="X296" s="1293"/>
      <c r="Y296" s="1293"/>
      <c r="Z296" s="1666"/>
      <c r="AA296" s="1666"/>
      <c r="AB296" s="1666"/>
      <c r="AC296" s="1293"/>
      <c r="AD296" s="1293"/>
      <c r="AE296" s="1293"/>
      <c r="AF296" s="1293"/>
      <c r="AG296" s="1293"/>
    </row>
    <row r="297" spans="1:33" ht="15.75">
      <c r="A297" s="1293"/>
      <c r="B297" s="1293" t="s">
        <v>685</v>
      </c>
      <c r="C297" s="1293"/>
      <c r="D297" s="1666">
        <f ca="1">SUM(N296:R296)</f>
        <v>82.372600120820991</v>
      </c>
      <c r="E297" s="1293"/>
      <c r="F297" s="1293"/>
      <c r="G297" s="1293"/>
      <c r="H297" s="1293"/>
      <c r="I297" s="1293"/>
      <c r="J297" s="1293"/>
      <c r="K297" s="1653"/>
      <c r="L297" s="1653"/>
      <c r="M297" s="1666"/>
      <c r="N297" s="1666"/>
      <c r="O297" s="1666"/>
      <c r="P297" s="1666"/>
      <c r="Q297" s="1666"/>
      <c r="R297" s="1666"/>
      <c r="S297" s="1293"/>
      <c r="T297" s="1293"/>
      <c r="U297" s="1293"/>
      <c r="V297" s="1293"/>
      <c r="W297" s="1293"/>
      <c r="X297" s="1293"/>
      <c r="Y297" s="1293"/>
      <c r="Z297" s="1666"/>
      <c r="AA297" s="1666"/>
      <c r="AB297" s="1666"/>
      <c r="AC297" s="1293"/>
      <c r="AD297" s="1293"/>
      <c r="AE297" s="1293"/>
      <c r="AF297" s="1293"/>
      <c r="AG297" s="1293"/>
    </row>
    <row r="298" spans="1:33" ht="15.75">
      <c r="A298" s="1293"/>
      <c r="B298" s="1293" t="s">
        <v>2203</v>
      </c>
      <c r="C298" s="1293"/>
      <c r="D298" s="1701">
        <f ca="1">R296/(C288-C290)</f>
        <v>0</v>
      </c>
      <c r="E298" s="1293"/>
      <c r="F298" s="1293"/>
      <c r="G298" s="1293"/>
      <c r="H298" s="1293"/>
      <c r="I298" s="1293"/>
      <c r="J298" s="1293"/>
      <c r="K298" s="1653"/>
      <c r="L298" s="1666"/>
      <c r="M298" s="1666"/>
      <c r="N298" s="1666"/>
      <c r="O298" s="1666"/>
      <c r="P298" s="1666"/>
      <c r="Q298" s="1666"/>
      <c r="R298" s="1666"/>
      <c r="S298" s="1293"/>
      <c r="T298" s="1293"/>
      <c r="U298" s="1293"/>
      <c r="V298" s="1293"/>
      <c r="W298" s="1293"/>
      <c r="X298" s="1293"/>
      <c r="Y298" s="1293"/>
      <c r="Z298" s="1666"/>
      <c r="AA298" s="1666"/>
      <c r="AB298" s="1666"/>
      <c r="AC298" s="1293"/>
      <c r="AD298" s="1293"/>
      <c r="AE298" s="1293"/>
      <c r="AF298" s="1293"/>
      <c r="AG298" s="1293"/>
    </row>
    <row r="299" spans="1:33" ht="15.75">
      <c r="A299" s="1293"/>
      <c r="B299" s="1293" t="s">
        <v>2205</v>
      </c>
      <c r="C299" s="1293"/>
      <c r="D299" s="1666">
        <f ca="1">SUM(D297:D298)</f>
        <v>82.372600120820991</v>
      </c>
      <c r="E299" s="1293" t="s">
        <v>1823</v>
      </c>
      <c r="F299" s="1293"/>
      <c r="G299" s="1293"/>
      <c r="H299" s="1293"/>
      <c r="I299" s="1293"/>
      <c r="J299" s="1293"/>
      <c r="K299" s="1653"/>
      <c r="L299" s="1666"/>
      <c r="M299" s="1666"/>
      <c r="N299" s="1666"/>
      <c r="O299" s="1666"/>
      <c r="P299" s="1666"/>
      <c r="Q299" s="1666"/>
      <c r="R299" s="1666"/>
      <c r="S299" s="1293"/>
      <c r="T299" s="1293"/>
      <c r="U299" s="1293"/>
      <c r="V299" s="1293"/>
      <c r="W299" s="1293"/>
      <c r="X299" s="1293"/>
      <c r="Y299" s="1293"/>
      <c r="Z299" s="1666"/>
      <c r="AA299" s="1666"/>
      <c r="AB299" s="1666"/>
      <c r="AC299" s="1293"/>
      <c r="AD299" s="1293"/>
      <c r="AE299" s="1293"/>
      <c r="AF299" s="1293"/>
      <c r="AG299" s="1293"/>
    </row>
    <row r="300" spans="1:33" ht="15.75">
      <c r="A300" s="1293"/>
      <c r="B300" s="1293"/>
      <c r="C300" s="1293"/>
      <c r="D300" s="1293"/>
      <c r="E300" s="1293"/>
      <c r="F300" s="1293"/>
      <c r="G300" s="1293"/>
      <c r="H300" s="1293"/>
      <c r="I300" s="1293"/>
      <c r="J300" s="1293"/>
      <c r="K300" s="1653"/>
      <c r="L300" s="1653"/>
      <c r="M300" s="1653"/>
      <c r="N300" s="1653"/>
      <c r="O300" s="1653"/>
      <c r="P300" s="1653"/>
      <c r="Q300" s="1653"/>
      <c r="R300" s="1653"/>
      <c r="S300" s="1293"/>
      <c r="T300" s="1293"/>
      <c r="U300" s="1293"/>
      <c r="V300" s="1293"/>
      <c r="W300" s="1293"/>
      <c r="X300" s="1293"/>
      <c r="Y300" s="1293"/>
      <c r="Z300" s="1653"/>
      <c r="AA300" s="1653"/>
      <c r="AB300" s="1653"/>
      <c r="AC300" s="1293"/>
      <c r="AD300" s="1293"/>
      <c r="AE300" s="1293"/>
      <c r="AF300" s="1293"/>
      <c r="AG300" s="1293"/>
    </row>
    <row r="301" spans="1:33" ht="15.75">
      <c r="A301" s="1293"/>
      <c r="B301" s="1293"/>
      <c r="C301" s="1293"/>
      <c r="D301" s="1293"/>
      <c r="E301" s="1293"/>
      <c r="F301" s="1293"/>
      <c r="G301" s="1293"/>
      <c r="H301" s="1293"/>
      <c r="I301" s="1293"/>
      <c r="J301" s="1293"/>
      <c r="K301" s="1293"/>
      <c r="L301" s="1293"/>
      <c r="M301" s="1293"/>
      <c r="N301" s="1293"/>
      <c r="O301" s="1293"/>
      <c r="P301" s="1293"/>
      <c r="Q301" s="1293"/>
      <c r="R301" s="1293"/>
      <c r="S301" s="1293"/>
      <c r="T301" s="1293"/>
      <c r="U301" s="1293"/>
      <c r="V301" s="1293"/>
      <c r="W301" s="1293"/>
      <c r="X301" s="1293"/>
      <c r="Y301" s="1293"/>
      <c r="Z301" s="1293"/>
      <c r="AA301" s="1293"/>
      <c r="AB301" s="1293"/>
      <c r="AC301" s="1293"/>
      <c r="AD301" s="1293"/>
      <c r="AE301" s="1293"/>
      <c r="AF301" s="1293"/>
      <c r="AG301" s="1293"/>
    </row>
    <row r="302" spans="1:33" ht="15.75">
      <c r="A302" s="1293"/>
      <c r="B302" s="1293"/>
      <c r="C302" s="1665"/>
      <c r="D302" s="1293"/>
      <c r="E302" s="1293"/>
      <c r="F302" s="1293"/>
      <c r="G302" s="1293"/>
      <c r="H302" s="1293"/>
      <c r="I302" s="1293"/>
      <c r="J302" s="1293"/>
      <c r="K302" s="1293"/>
      <c r="L302" s="1293"/>
      <c r="M302" s="1293"/>
      <c r="N302" s="1293"/>
      <c r="O302" s="1293"/>
      <c r="P302" s="1293"/>
      <c r="Q302" s="1293"/>
      <c r="R302" s="1653"/>
      <c r="S302" s="1653"/>
      <c r="T302" s="1653"/>
      <c r="U302" s="1653"/>
      <c r="V302" s="1653"/>
      <c r="W302" s="1653"/>
      <c r="X302" s="1653"/>
      <c r="Y302" s="1653"/>
      <c r="Z302" s="1653"/>
      <c r="AA302" s="1653"/>
      <c r="AB302" s="1653"/>
      <c r="AC302" s="1293"/>
      <c r="AD302" s="1293"/>
      <c r="AE302" s="1293"/>
      <c r="AF302" s="1293"/>
      <c r="AG302" s="1293"/>
    </row>
    <row r="303" spans="1:33" ht="15.75">
      <c r="A303" s="1293"/>
      <c r="B303" s="1293" t="str">
        <f>B15</f>
        <v>Guatemala / El Salvador / Costa Rica</v>
      </c>
      <c r="C303" s="1665">
        <f>J15</f>
        <v>0.8213920558320621</v>
      </c>
      <c r="D303" s="1293"/>
      <c r="E303" s="1293"/>
      <c r="F303" s="1293"/>
      <c r="G303" s="1293"/>
      <c r="H303" s="1293"/>
      <c r="I303" s="1293"/>
      <c r="J303" s="1293"/>
      <c r="K303" s="1293"/>
      <c r="L303" s="1293"/>
      <c r="M303" s="1293"/>
      <c r="N303" s="1293"/>
      <c r="O303" s="1293"/>
      <c r="P303" s="1293"/>
      <c r="Q303" s="1293"/>
      <c r="R303" s="1653"/>
      <c r="S303" s="1653"/>
      <c r="T303" s="1653"/>
      <c r="U303" s="1653"/>
      <c r="V303" s="1653"/>
      <c r="W303" s="1653"/>
      <c r="X303" s="1653"/>
      <c r="Y303" s="1653"/>
      <c r="Z303" s="1653"/>
      <c r="AA303" s="1653"/>
      <c r="AB303" s="1653"/>
      <c r="AC303" s="1293"/>
      <c r="AD303" s="1293"/>
      <c r="AE303" s="1293"/>
      <c r="AF303" s="1293"/>
      <c r="AG303" s="1293"/>
    </row>
    <row r="304" spans="1:33" ht="15.75">
      <c r="A304" s="1293"/>
      <c r="B304" s="1293" t="str">
        <f>B16</f>
        <v>Bolivia / Paraguay</v>
      </c>
      <c r="C304" s="1665">
        <f ca="1">J16</f>
        <v>0.20829288844485408</v>
      </c>
      <c r="D304" s="1293"/>
      <c r="E304" s="1293"/>
      <c r="F304" s="1293"/>
      <c r="G304" s="1293"/>
      <c r="H304" s="1293"/>
      <c r="I304" s="1293"/>
      <c r="J304" s="1293"/>
      <c r="K304" s="1293"/>
      <c r="L304" s="1293"/>
      <c r="M304" s="1293"/>
      <c r="N304" s="1293"/>
      <c r="O304" s="1293"/>
      <c r="P304" s="1293"/>
      <c r="Q304" s="1293"/>
      <c r="R304" s="1653"/>
      <c r="S304" s="1653"/>
      <c r="T304" s="1653"/>
      <c r="U304" s="1653"/>
      <c r="V304" s="1653"/>
      <c r="W304" s="1653"/>
      <c r="X304" s="1653"/>
      <c r="Y304" s="1653"/>
      <c r="Z304" s="1653"/>
      <c r="AA304" s="1653"/>
      <c r="AB304" s="1653"/>
      <c r="AC304" s="1293"/>
      <c r="AD304" s="1293"/>
      <c r="AE304" s="1293"/>
      <c r="AF304" s="1293"/>
      <c r="AG304" s="1293"/>
    </row>
    <row r="305" spans="1:33" ht="15.75">
      <c r="A305" s="1293"/>
      <c r="B305" s="1293" t="e">
        <f>#REF!</f>
        <v>#REF!</v>
      </c>
      <c r="C305" s="1665" t="e">
        <f>#REF!</f>
        <v>#REF!</v>
      </c>
      <c r="D305" s="1293"/>
      <c r="E305" s="1293"/>
      <c r="F305" s="1293"/>
      <c r="G305" s="1293"/>
      <c r="H305" s="1293"/>
      <c r="I305" s="1293"/>
      <c r="J305" s="1293"/>
      <c r="K305" s="1293"/>
      <c r="L305" s="1293"/>
      <c r="M305" s="1293"/>
      <c r="N305" s="1293"/>
      <c r="O305" s="1293"/>
      <c r="P305" s="1293"/>
      <c r="Q305" s="1293"/>
      <c r="R305" s="1653"/>
      <c r="S305" s="1653"/>
      <c r="T305" s="1653"/>
      <c r="U305" s="1653"/>
      <c r="V305" s="1653"/>
      <c r="W305" s="1653"/>
      <c r="X305" s="1653"/>
      <c r="Y305" s="1653"/>
      <c r="Z305" s="1653"/>
      <c r="AA305" s="1653"/>
      <c r="AB305" s="1653"/>
      <c r="AC305" s="1293"/>
      <c r="AD305" s="1293"/>
      <c r="AE305" s="1293"/>
      <c r="AF305" s="1293"/>
      <c r="AG305" s="1293"/>
    </row>
    <row r="306" spans="1:33" ht="15.75">
      <c r="A306" s="1293"/>
      <c r="B306" s="1293" t="s">
        <v>1679</v>
      </c>
      <c r="C306" s="1665">
        <f>J27</f>
        <v>0</v>
      </c>
      <c r="D306" s="1293"/>
      <c r="E306" s="1293"/>
      <c r="F306" s="1293"/>
      <c r="G306" s="1293"/>
      <c r="H306" s="1293"/>
      <c r="I306" s="1293"/>
      <c r="J306" s="1293"/>
      <c r="K306" s="1293"/>
      <c r="L306" s="1293"/>
      <c r="M306" s="1293"/>
      <c r="N306" s="1293"/>
      <c r="O306" s="1293"/>
      <c r="P306" s="1293"/>
      <c r="Q306" s="1293"/>
      <c r="R306" s="1653"/>
      <c r="S306" s="1653"/>
      <c r="T306" s="1653"/>
      <c r="U306" s="1653"/>
      <c r="V306" s="1653"/>
      <c r="W306" s="1653"/>
      <c r="X306" s="1653"/>
      <c r="Y306" s="1653"/>
      <c r="Z306" s="1653"/>
      <c r="AA306" s="1653"/>
      <c r="AB306" s="1653"/>
      <c r="AC306" s="1293"/>
      <c r="AD306" s="1293"/>
      <c r="AE306" s="1293"/>
      <c r="AF306" s="1293"/>
      <c r="AG306" s="1293"/>
    </row>
    <row r="307" spans="1:33" ht="15.75">
      <c r="A307" s="1293"/>
      <c r="B307" s="1293"/>
      <c r="C307" s="1293"/>
      <c r="D307" s="1293"/>
      <c r="E307" s="1293"/>
      <c r="F307" s="1293"/>
      <c r="G307" s="1293"/>
      <c r="H307" s="1293"/>
      <c r="I307" s="1293"/>
      <c r="J307" s="1293"/>
      <c r="K307" s="1293"/>
      <c r="L307" s="1293"/>
      <c r="M307" s="1293"/>
      <c r="N307" s="1293"/>
      <c r="O307" s="1293"/>
      <c r="P307" s="1293"/>
      <c r="Q307" s="1293"/>
      <c r="R307" s="1653"/>
      <c r="S307" s="1653"/>
      <c r="T307" s="1653"/>
      <c r="U307" s="1653"/>
      <c r="V307" s="1653"/>
      <c r="W307" s="1653"/>
      <c r="X307" s="1653"/>
      <c r="Y307" s="1653"/>
      <c r="Z307" s="1653"/>
      <c r="AA307" s="1653"/>
      <c r="AB307" s="1653"/>
      <c r="AC307" s="1293"/>
      <c r="AD307" s="1293"/>
      <c r="AE307" s="1293"/>
      <c r="AF307" s="1293"/>
      <c r="AG307" s="1293"/>
    </row>
    <row r="308" spans="1:33" ht="15.75">
      <c r="A308" s="1293"/>
      <c r="B308" s="1293"/>
      <c r="C308" s="1665"/>
      <c r="D308" s="1293"/>
      <c r="E308" s="1293"/>
      <c r="F308" s="1293"/>
      <c r="G308" s="1293"/>
      <c r="H308" s="1293"/>
      <c r="I308" s="1293"/>
      <c r="J308" s="1293"/>
      <c r="K308" s="1293"/>
      <c r="L308" s="1293"/>
      <c r="M308" s="1293"/>
      <c r="N308" s="1293"/>
      <c r="O308" s="1293"/>
      <c r="P308" s="1293"/>
      <c r="Q308" s="1293"/>
      <c r="R308" s="1653"/>
      <c r="S308" s="1653"/>
      <c r="T308" s="1653"/>
      <c r="U308" s="1653"/>
      <c r="V308" s="1653"/>
      <c r="W308" s="1653"/>
      <c r="X308" s="1653"/>
      <c r="Y308" s="1653"/>
      <c r="Z308" s="1653"/>
      <c r="AA308" s="1653"/>
      <c r="AB308" s="1653"/>
      <c r="AC308" s="1293"/>
      <c r="AD308" s="1293"/>
      <c r="AE308" s="1293"/>
      <c r="AF308" s="1293"/>
      <c r="AG308" s="1293"/>
    </row>
    <row r="309" spans="1:33" ht="15.75">
      <c r="A309" s="1293"/>
      <c r="B309" s="1293" t="str">
        <f>B303</f>
        <v>Guatemala / El Salvador / Costa Rica</v>
      </c>
      <c r="C309" s="1665">
        <f>Div!F45/Div!F$53</f>
        <v>0.58859116695286506</v>
      </c>
      <c r="D309" s="1293"/>
      <c r="E309" s="1293"/>
      <c r="F309" s="1293"/>
      <c r="G309" s="1293"/>
      <c r="H309" s="1293"/>
      <c r="I309" s="1293"/>
      <c r="J309" s="1293"/>
      <c r="K309" s="1293"/>
      <c r="L309" s="1293"/>
      <c r="M309" s="1293"/>
      <c r="N309" s="1293"/>
      <c r="O309" s="1293"/>
      <c r="P309" s="1293"/>
      <c r="Q309" s="1293"/>
      <c r="R309" s="1653"/>
      <c r="S309" s="1653"/>
      <c r="T309" s="1653"/>
      <c r="U309" s="1653"/>
      <c r="V309" s="1653"/>
      <c r="W309" s="1653"/>
      <c r="X309" s="1653"/>
      <c r="Y309" s="1653"/>
      <c r="Z309" s="1653"/>
      <c r="AA309" s="1653"/>
      <c r="AB309" s="1653"/>
      <c r="AC309" s="1293"/>
      <c r="AD309" s="1293"/>
      <c r="AE309" s="1293"/>
      <c r="AF309" s="1293"/>
      <c r="AG309" s="1293"/>
    </row>
    <row r="310" spans="1:33" ht="15.75">
      <c r="A310" s="1293"/>
      <c r="B310" s="1293" t="str">
        <f>B304</f>
        <v>Bolivia / Paraguay</v>
      </c>
      <c r="C310" s="1665">
        <f>Div!F48/Div!F$53</f>
        <v>0.14755946410051515</v>
      </c>
      <c r="D310" s="1293"/>
      <c r="E310" s="1293"/>
      <c r="F310" s="1293"/>
      <c r="G310" s="1293"/>
      <c r="H310" s="1293"/>
      <c r="I310" s="1293"/>
      <c r="J310" s="1293"/>
      <c r="K310" s="1293"/>
      <c r="L310" s="1293"/>
      <c r="M310" s="1293"/>
      <c r="N310" s="1293"/>
      <c r="O310" s="1293"/>
      <c r="P310" s="1293"/>
      <c r="Q310" s="1293"/>
      <c r="R310" s="1653"/>
      <c r="S310" s="1653"/>
      <c r="T310" s="1653"/>
      <c r="U310" s="1653"/>
      <c r="V310" s="1653"/>
      <c r="W310" s="1653"/>
      <c r="X310" s="1653"/>
      <c r="Y310" s="1653"/>
      <c r="Z310" s="1653"/>
      <c r="AA310" s="1653"/>
      <c r="AB310" s="1653"/>
      <c r="AC310" s="1293"/>
      <c r="AD310" s="1293"/>
      <c r="AE310" s="1293"/>
      <c r="AF310" s="1293"/>
      <c r="AG310" s="1293"/>
    </row>
    <row r="311" spans="1:33" ht="15.75">
      <c r="A311" s="1293"/>
      <c r="B311" s="1293" t="e">
        <f>B305</f>
        <v>#REF!</v>
      </c>
      <c r="C311" s="1665">
        <f>Div!F49/Div!F$53</f>
        <v>0.17366294325336779</v>
      </c>
      <c r="D311" s="1293"/>
      <c r="E311" s="1293"/>
      <c r="F311" s="1293"/>
      <c r="G311" s="1293"/>
      <c r="H311" s="1293"/>
      <c r="I311" s="1293"/>
      <c r="J311" s="1293"/>
      <c r="K311" s="1293"/>
      <c r="L311" s="1293"/>
      <c r="M311" s="1293"/>
      <c r="N311" s="1293"/>
      <c r="O311" s="1293"/>
      <c r="P311" s="1293"/>
      <c r="Q311" s="1293"/>
      <c r="R311" s="1653"/>
      <c r="S311" s="1653"/>
      <c r="T311" s="1653"/>
      <c r="U311" s="1653"/>
      <c r="V311" s="1653"/>
      <c r="W311" s="1653"/>
      <c r="X311" s="1653"/>
      <c r="Y311" s="1653"/>
      <c r="Z311" s="1653"/>
      <c r="AA311" s="1653"/>
      <c r="AB311" s="1653"/>
      <c r="AC311" s="1293"/>
      <c r="AD311" s="1293"/>
      <c r="AE311" s="1293"/>
      <c r="AF311" s="1293"/>
      <c r="AG311" s="1293"/>
    </row>
    <row r="312" spans="1:33" ht="15.75">
      <c r="A312" s="1293"/>
      <c r="B312" s="1293"/>
      <c r="C312" s="1293"/>
      <c r="D312" s="1293"/>
      <c r="E312" s="1293"/>
      <c r="F312" s="1293"/>
      <c r="G312" s="1293"/>
      <c r="H312" s="1293"/>
      <c r="I312" s="1293"/>
      <c r="J312" s="1293"/>
      <c r="K312" s="1293"/>
      <c r="L312" s="1293"/>
      <c r="M312" s="1293"/>
      <c r="N312" s="1293"/>
      <c r="O312" s="1293"/>
      <c r="P312" s="1293"/>
      <c r="Q312" s="1293"/>
      <c r="R312" s="1653"/>
      <c r="S312" s="1653"/>
      <c r="T312" s="1653"/>
      <c r="U312" s="1653"/>
      <c r="V312" s="1653"/>
      <c r="W312" s="1653"/>
      <c r="X312" s="1653"/>
      <c r="Y312" s="1653"/>
      <c r="Z312" s="1653"/>
      <c r="AA312" s="1653"/>
      <c r="AB312" s="1653"/>
      <c r="AC312" s="1293"/>
      <c r="AD312" s="1293"/>
      <c r="AE312" s="1293"/>
      <c r="AF312" s="1293"/>
      <c r="AG312" s="1293"/>
    </row>
    <row r="313" spans="1:33" ht="15.75">
      <c r="A313" s="1293"/>
      <c r="B313" s="1293"/>
      <c r="C313" s="1293"/>
      <c r="D313" s="1293"/>
      <c r="E313" s="1293"/>
      <c r="F313" s="1293"/>
      <c r="G313" s="1293"/>
      <c r="H313" s="1293"/>
      <c r="I313" s="1293"/>
      <c r="J313" s="1293"/>
      <c r="K313" s="1293"/>
      <c r="L313" s="1293"/>
      <c r="M313" s="1293"/>
      <c r="N313" s="1293"/>
      <c r="O313" s="1293"/>
      <c r="P313" s="1293"/>
      <c r="Q313" s="1293"/>
      <c r="R313" s="1653"/>
      <c r="S313" s="1653"/>
      <c r="T313" s="1653"/>
      <c r="U313" s="1653"/>
      <c r="V313" s="1653"/>
      <c r="W313" s="1653"/>
      <c r="X313" s="1653"/>
      <c r="Y313" s="1653"/>
      <c r="Z313" s="1653"/>
      <c r="AA313" s="1653"/>
      <c r="AB313" s="1653"/>
      <c r="AC313" s="1293"/>
      <c r="AD313" s="1293"/>
      <c r="AE313" s="1293"/>
      <c r="AF313" s="1293"/>
      <c r="AG313" s="1293"/>
    </row>
    <row r="314" spans="1:33" ht="15.75">
      <c r="A314" s="1293"/>
      <c r="B314" s="1293"/>
      <c r="C314" s="1293"/>
      <c r="D314" s="1293"/>
      <c r="E314" s="1293"/>
      <c r="F314" s="1293"/>
      <c r="G314" s="1293"/>
      <c r="H314" s="1293"/>
      <c r="I314" s="1293"/>
      <c r="J314" s="1293"/>
      <c r="K314" s="1293"/>
      <c r="L314" s="1293"/>
      <c r="M314" s="1293"/>
      <c r="N314" s="1293"/>
      <c r="O314" s="1293"/>
      <c r="P314" s="1293"/>
      <c r="Q314" s="1293"/>
      <c r="R314" s="1653"/>
      <c r="S314" s="1653"/>
      <c r="T314" s="1653"/>
      <c r="U314" s="1653"/>
      <c r="V314" s="1653"/>
      <c r="W314" s="1653"/>
      <c r="X314" s="1653"/>
      <c r="Y314" s="1653"/>
      <c r="Z314" s="1653"/>
      <c r="AA314" s="1653"/>
      <c r="AB314" s="1653"/>
      <c r="AC314" s="1293"/>
      <c r="AD314" s="1293"/>
      <c r="AE314" s="1293"/>
      <c r="AF314" s="1293"/>
      <c r="AG314" s="1293"/>
    </row>
    <row r="315" spans="1:33" ht="15.75">
      <c r="A315" s="1293"/>
      <c r="B315" s="1293"/>
      <c r="C315" s="1293"/>
      <c r="D315" s="1293"/>
      <c r="E315" s="1293"/>
      <c r="F315" s="1293"/>
      <c r="G315" s="1293"/>
      <c r="H315" s="1293"/>
      <c r="I315" s="1293"/>
      <c r="J315" s="1293"/>
      <c r="K315" s="1293"/>
      <c r="L315" s="1293"/>
      <c r="M315" s="1293"/>
      <c r="N315" s="1293"/>
      <c r="O315" s="1293"/>
      <c r="P315" s="1293"/>
      <c r="Q315" s="1293"/>
      <c r="R315" s="1293"/>
      <c r="S315" s="1293"/>
      <c r="T315" s="1293"/>
      <c r="U315" s="1293"/>
      <c r="V315" s="1293"/>
      <c r="W315" s="1293"/>
      <c r="X315" s="1293"/>
      <c r="Y315" s="1293"/>
      <c r="Z315" s="1293"/>
      <c r="AA315" s="1293"/>
      <c r="AB315" s="1293"/>
      <c r="AC315" s="1293"/>
      <c r="AD315" s="1293"/>
      <c r="AE315" s="1293"/>
      <c r="AF315" s="1293"/>
      <c r="AG315" s="1293"/>
    </row>
    <row r="316" spans="1:33" ht="15.75">
      <c r="A316" s="1293"/>
      <c r="B316" s="1293"/>
      <c r="C316" s="1293"/>
      <c r="D316" s="1293"/>
      <c r="E316" s="1293"/>
      <c r="F316" s="1293"/>
      <c r="G316" s="1293"/>
      <c r="H316" s="1293"/>
      <c r="I316" s="1293"/>
      <c r="J316" s="1293"/>
      <c r="K316" s="1293"/>
      <c r="L316" s="1293"/>
      <c r="M316" s="1293"/>
      <c r="N316" s="1293"/>
      <c r="O316" s="1293"/>
      <c r="P316" s="1293"/>
      <c r="Q316" s="1293"/>
      <c r="R316" s="1293"/>
      <c r="S316" s="1293"/>
      <c r="T316" s="1293"/>
      <c r="U316" s="1293"/>
      <c r="V316" s="1293"/>
      <c r="W316" s="1293"/>
      <c r="X316" s="1293"/>
      <c r="Y316" s="1293"/>
      <c r="Z316" s="1293"/>
      <c r="AA316" s="1293"/>
      <c r="AB316" s="1293"/>
      <c r="AC316" s="1293"/>
      <c r="AD316" s="1293"/>
      <c r="AE316" s="1293"/>
      <c r="AF316" s="1293"/>
      <c r="AG316" s="1293"/>
    </row>
    <row r="317" spans="1:33" ht="15.75">
      <c r="A317" s="1293"/>
      <c r="B317" s="1293"/>
      <c r="C317" s="1293"/>
      <c r="D317" s="1293"/>
      <c r="E317" s="1293"/>
      <c r="F317" s="1293"/>
      <c r="G317" s="1293"/>
      <c r="H317" s="1293"/>
      <c r="I317" s="1293"/>
      <c r="J317" s="1293"/>
      <c r="K317" s="1293"/>
      <c r="L317" s="1293"/>
      <c r="M317" s="1293"/>
      <c r="N317" s="1293"/>
      <c r="O317" s="1293"/>
      <c r="P317" s="1293"/>
      <c r="Q317" s="1293"/>
      <c r="R317" s="1293"/>
      <c r="S317" s="1293"/>
      <c r="T317" s="1293"/>
      <c r="U317" s="1293"/>
      <c r="V317" s="1293"/>
      <c r="W317" s="1293"/>
      <c r="X317" s="1293"/>
      <c r="Y317" s="1293"/>
      <c r="Z317" s="1293"/>
      <c r="AA317" s="1293"/>
      <c r="AB317" s="1293"/>
      <c r="AC317" s="1293"/>
      <c r="AD317" s="1293"/>
      <c r="AE317" s="1293"/>
      <c r="AF317" s="1293"/>
      <c r="AG317" s="1293"/>
    </row>
    <row r="318" spans="1:33" ht="15.75">
      <c r="A318" s="1293"/>
      <c r="B318" s="1720" t="s">
        <v>8405</v>
      </c>
      <c r="C318" s="1293">
        <v>80000</v>
      </c>
      <c r="D318" s="1698">
        <v>168.31440000000001</v>
      </c>
      <c r="E318" s="1293"/>
      <c r="F318" s="1721">
        <f t="shared" ref="F318:F333" si="218">C318*D318</f>
        <v>13465152</v>
      </c>
      <c r="G318" s="1293"/>
      <c r="H318" s="1293"/>
      <c r="I318" s="1293"/>
      <c r="J318" s="1293"/>
      <c r="K318" s="1293"/>
      <c r="L318" s="1293"/>
      <c r="M318" s="1293"/>
      <c r="N318" s="1293"/>
      <c r="O318" s="1293"/>
      <c r="P318" s="1293"/>
      <c r="Q318" s="1293"/>
      <c r="R318" s="1293"/>
      <c r="S318" s="1293"/>
      <c r="T318" s="1293"/>
      <c r="U318" s="1293"/>
      <c r="V318" s="1293"/>
      <c r="W318" s="1293"/>
      <c r="X318" s="1293"/>
      <c r="Y318" s="1293"/>
      <c r="Z318" s="1293"/>
      <c r="AA318" s="1293"/>
      <c r="AB318" s="1293"/>
      <c r="AC318" s="1293"/>
      <c r="AD318" s="1293"/>
      <c r="AE318" s="1293"/>
      <c r="AF318" s="1293"/>
      <c r="AG318" s="1293"/>
    </row>
    <row r="319" spans="1:33" ht="15.75">
      <c r="A319" s="1293"/>
      <c r="B319" s="1720">
        <v>45111</v>
      </c>
      <c r="C319" s="1293">
        <v>62331</v>
      </c>
      <c r="D319" s="1698">
        <v>170.4179</v>
      </c>
      <c r="E319" s="1293"/>
      <c r="F319" s="1721">
        <f t="shared" si="218"/>
        <v>10622318.1249</v>
      </c>
      <c r="G319" s="1293"/>
      <c r="H319" s="1293"/>
      <c r="I319" s="1293"/>
      <c r="J319" s="1293"/>
      <c r="K319" s="1293"/>
      <c r="L319" s="1293"/>
      <c r="M319" s="1293"/>
      <c r="N319" s="1293"/>
      <c r="O319" s="1293"/>
      <c r="P319" s="1293"/>
      <c r="Q319" s="1293"/>
      <c r="R319" s="1293"/>
      <c r="S319" s="1293"/>
      <c r="T319" s="1293"/>
      <c r="U319" s="1293"/>
      <c r="V319" s="1293"/>
      <c r="W319" s="1293"/>
      <c r="X319" s="1293"/>
      <c r="Y319" s="1293"/>
      <c r="Z319" s="1293"/>
      <c r="AA319" s="1293"/>
      <c r="AB319" s="1293"/>
      <c r="AC319" s="1293"/>
      <c r="AD319" s="1293"/>
      <c r="AE319" s="1293"/>
      <c r="AF319" s="1293"/>
      <c r="AG319" s="1293"/>
    </row>
    <row r="320" spans="1:33" ht="15.75">
      <c r="A320" s="1293"/>
      <c r="B320" s="1720">
        <v>45112</v>
      </c>
      <c r="C320" s="1293">
        <v>67000</v>
      </c>
      <c r="D320" s="1698">
        <v>171.67949999999999</v>
      </c>
      <c r="E320" s="1293"/>
      <c r="F320" s="1721">
        <f t="shared" si="218"/>
        <v>11502526.5</v>
      </c>
      <c r="G320" s="1293"/>
      <c r="H320" s="1293"/>
      <c r="I320" s="1293"/>
      <c r="J320" s="1293"/>
      <c r="K320" s="1293"/>
      <c r="L320" s="1293"/>
      <c r="M320" s="1293"/>
      <c r="N320" s="1293"/>
      <c r="O320" s="1293"/>
      <c r="P320" s="1293"/>
      <c r="Q320" s="1293"/>
      <c r="R320" s="1293"/>
      <c r="S320" s="1293"/>
      <c r="T320" s="1293"/>
      <c r="U320" s="1293"/>
      <c r="V320" s="1293"/>
      <c r="W320" s="1293"/>
      <c r="X320" s="1293"/>
      <c r="Y320" s="1293"/>
      <c r="Z320" s="1293"/>
      <c r="AA320" s="1293"/>
      <c r="AB320" s="1293"/>
      <c r="AC320" s="1293"/>
      <c r="AD320" s="1293"/>
      <c r="AE320" s="1293"/>
      <c r="AF320" s="1293"/>
      <c r="AG320" s="1293"/>
    </row>
    <row r="321" spans="1:33" ht="15.75">
      <c r="A321" s="1293"/>
      <c r="B321" s="1720">
        <v>45113</v>
      </c>
      <c r="C321" s="1293">
        <v>67000</v>
      </c>
      <c r="D321" s="1698">
        <v>171.37459999999999</v>
      </c>
      <c r="E321" s="1293"/>
      <c r="F321" s="1721">
        <f t="shared" si="218"/>
        <v>11482098.199999999</v>
      </c>
      <c r="G321" s="1293"/>
      <c r="H321" s="1293"/>
      <c r="I321" s="1293"/>
      <c r="J321" s="1293"/>
      <c r="K321" s="1293"/>
      <c r="L321" s="1293"/>
      <c r="M321" s="1293"/>
      <c r="N321" s="1293"/>
      <c r="O321" s="1293"/>
      <c r="P321" s="1293"/>
      <c r="Q321" s="1293"/>
      <c r="R321" s="1293"/>
      <c r="S321" s="1293"/>
      <c r="T321" s="1293"/>
      <c r="U321" s="1293"/>
      <c r="V321" s="1293"/>
      <c r="W321" s="1293"/>
      <c r="X321" s="1293"/>
      <c r="Y321" s="1293"/>
      <c r="Z321" s="1293"/>
      <c r="AA321" s="1293"/>
      <c r="AB321" s="1293"/>
      <c r="AC321" s="1293"/>
      <c r="AD321" s="1293"/>
      <c r="AE321" s="1293"/>
      <c r="AF321" s="1293"/>
      <c r="AG321" s="1293"/>
    </row>
    <row r="322" spans="1:33" ht="15.75">
      <c r="A322" s="1293"/>
      <c r="B322" s="1720">
        <v>45114</v>
      </c>
      <c r="C322" s="1293">
        <v>72000</v>
      </c>
      <c r="D322" s="1698">
        <v>170.57919999999999</v>
      </c>
      <c r="E322" s="1293"/>
      <c r="F322" s="1721">
        <f t="shared" si="218"/>
        <v>12281702.399999999</v>
      </c>
      <c r="G322" s="1293"/>
      <c r="H322" s="1293"/>
      <c r="I322" s="1293"/>
      <c r="J322" s="1293"/>
      <c r="K322" s="1293"/>
      <c r="L322" s="1293"/>
      <c r="M322" s="1293"/>
      <c r="N322" s="1293"/>
      <c r="O322" s="1293"/>
      <c r="P322" s="1293"/>
      <c r="Q322" s="1293"/>
      <c r="R322" s="1293"/>
      <c r="S322" s="1293"/>
      <c r="T322" s="1293"/>
      <c r="U322" s="1293"/>
      <c r="V322" s="1293"/>
      <c r="W322" s="1293"/>
      <c r="X322" s="1293"/>
      <c r="Y322" s="1293"/>
      <c r="Z322" s="1293"/>
      <c r="AA322" s="1293"/>
      <c r="AB322" s="1293"/>
      <c r="AC322" s="1293"/>
      <c r="AD322" s="1293"/>
      <c r="AE322" s="1293"/>
      <c r="AF322" s="1293"/>
      <c r="AG322" s="1293"/>
    </row>
    <row r="323" spans="1:33" ht="15.75">
      <c r="A323" s="1293"/>
      <c r="B323" s="1720">
        <v>45117</v>
      </c>
      <c r="C323" s="1293">
        <v>67000</v>
      </c>
      <c r="D323" s="1698">
        <v>170.9144</v>
      </c>
      <c r="E323" s="1293"/>
      <c r="F323" s="1721">
        <f t="shared" si="218"/>
        <v>11451264.800000001</v>
      </c>
      <c r="G323" s="1293"/>
      <c r="H323" s="1293"/>
      <c r="I323" s="1293"/>
      <c r="J323" s="1293"/>
      <c r="K323" s="1293"/>
      <c r="L323" s="1293"/>
      <c r="M323" s="1293"/>
      <c r="N323" s="1293"/>
      <c r="O323" s="1293"/>
      <c r="P323" s="1293"/>
      <c r="Q323" s="1293"/>
      <c r="R323" s="1293"/>
      <c r="S323" s="1293"/>
      <c r="T323" s="1293"/>
      <c r="U323" s="1293"/>
      <c r="V323" s="1293"/>
      <c r="W323" s="1293"/>
      <c r="X323" s="1293"/>
      <c r="Y323" s="1293"/>
      <c r="Z323" s="1293"/>
      <c r="AA323" s="1293"/>
      <c r="AB323" s="1293"/>
      <c r="AC323" s="1293"/>
      <c r="AD323" s="1293"/>
      <c r="AE323" s="1293"/>
      <c r="AF323" s="1293"/>
      <c r="AG323" s="1293"/>
    </row>
    <row r="324" spans="1:33" ht="15.75">
      <c r="A324" s="1293"/>
      <c r="B324" s="1720">
        <v>45118</v>
      </c>
      <c r="C324" s="1293">
        <v>67000</v>
      </c>
      <c r="D324" s="1698">
        <v>171.19220000000001</v>
      </c>
      <c r="E324" s="1293"/>
      <c r="F324" s="1721">
        <f t="shared" si="218"/>
        <v>11469877.4</v>
      </c>
      <c r="G324" s="1293"/>
      <c r="H324" s="1293"/>
      <c r="I324" s="1293"/>
      <c r="J324" s="1293"/>
      <c r="K324" s="1293"/>
      <c r="L324" s="1293"/>
      <c r="M324" s="1293"/>
      <c r="N324" s="1293"/>
      <c r="O324" s="1293"/>
      <c r="P324" s="1293"/>
      <c r="Q324" s="1293"/>
      <c r="R324" s="1293"/>
      <c r="S324" s="1293"/>
      <c r="T324" s="1293"/>
      <c r="U324" s="1293"/>
      <c r="V324" s="1293"/>
      <c r="W324" s="1293"/>
      <c r="X324" s="1293"/>
      <c r="Y324" s="1293"/>
      <c r="Z324" s="1293"/>
      <c r="AA324" s="1293"/>
      <c r="AB324" s="1293"/>
      <c r="AC324" s="1293"/>
      <c r="AD324" s="1293"/>
      <c r="AE324" s="1293"/>
      <c r="AF324" s="1293"/>
      <c r="AG324" s="1293"/>
    </row>
    <row r="325" spans="1:33" ht="15.75">
      <c r="A325" s="1293"/>
      <c r="B325" s="1720">
        <v>45119</v>
      </c>
      <c r="C325" s="1293">
        <v>58000</v>
      </c>
      <c r="D325" s="1698">
        <v>173.0394</v>
      </c>
      <c r="E325" s="1293"/>
      <c r="F325" s="1721">
        <f t="shared" si="218"/>
        <v>10036285.199999999</v>
      </c>
      <c r="G325" s="1293"/>
      <c r="H325" s="1293"/>
      <c r="I325" s="1293"/>
      <c r="J325" s="1293"/>
      <c r="K325" s="1293"/>
      <c r="L325" s="1293"/>
      <c r="M325" s="1293"/>
      <c r="N325" s="1293"/>
      <c r="O325" s="1293"/>
      <c r="P325" s="1293"/>
      <c r="Q325" s="1293"/>
      <c r="R325" s="1293"/>
      <c r="S325" s="1293"/>
      <c r="T325" s="1293"/>
      <c r="U325" s="1293"/>
      <c r="V325" s="1293"/>
      <c r="W325" s="1293"/>
      <c r="X325" s="1293"/>
      <c r="Y325" s="1293"/>
      <c r="Z325" s="1293"/>
      <c r="AA325" s="1293"/>
      <c r="AB325" s="1293"/>
      <c r="AC325" s="1293"/>
      <c r="AD325" s="1293"/>
      <c r="AE325" s="1293"/>
      <c r="AF325" s="1293"/>
      <c r="AG325" s="1293"/>
    </row>
    <row r="326" spans="1:33" ht="15.75">
      <c r="A326" s="1293"/>
      <c r="B326" s="1720">
        <v>45120</v>
      </c>
      <c r="C326" s="1293">
        <v>50000</v>
      </c>
      <c r="D326" s="1698">
        <v>174.7347</v>
      </c>
      <c r="E326" s="1293"/>
      <c r="F326" s="1721">
        <f t="shared" si="218"/>
        <v>8736735</v>
      </c>
      <c r="G326" s="1293"/>
      <c r="H326" s="1293"/>
      <c r="I326" s="1293"/>
      <c r="J326" s="1293"/>
      <c r="K326" s="1293"/>
      <c r="L326" s="1293"/>
      <c r="M326" s="1293"/>
      <c r="N326" s="1293"/>
      <c r="O326" s="1293"/>
      <c r="P326" s="1293"/>
      <c r="Q326" s="1293"/>
      <c r="R326" s="1293"/>
      <c r="S326" s="1293"/>
      <c r="T326" s="1293"/>
      <c r="U326" s="1293"/>
      <c r="V326" s="1293"/>
      <c r="W326" s="1293"/>
      <c r="X326" s="1293"/>
      <c r="Y326" s="1293"/>
      <c r="Z326" s="1293"/>
      <c r="AA326" s="1293"/>
      <c r="AB326" s="1293"/>
      <c r="AC326" s="1293"/>
      <c r="AD326" s="1293"/>
      <c r="AE326" s="1293"/>
      <c r="AF326" s="1293"/>
      <c r="AG326" s="1293"/>
    </row>
    <row r="327" spans="1:33" ht="15.75">
      <c r="A327" s="1293"/>
      <c r="B327" s="1720">
        <v>45121</v>
      </c>
      <c r="C327" s="1293">
        <v>55000</v>
      </c>
      <c r="D327" s="1698">
        <v>173.4649</v>
      </c>
      <c r="E327" s="1293"/>
      <c r="F327" s="1721">
        <f t="shared" si="218"/>
        <v>9540569.5</v>
      </c>
      <c r="G327" s="1293"/>
      <c r="H327" s="1293"/>
      <c r="I327" s="1293"/>
      <c r="J327" s="1293"/>
      <c r="K327" s="1293"/>
      <c r="L327" s="1293"/>
      <c r="M327" s="1293"/>
      <c r="N327" s="1293"/>
      <c r="O327" s="1293"/>
      <c r="P327" s="1293"/>
      <c r="Q327" s="1293"/>
      <c r="R327" s="1293"/>
      <c r="S327" s="1293"/>
      <c r="T327" s="1293"/>
      <c r="U327" s="1293"/>
      <c r="V327" s="1293"/>
      <c r="W327" s="1293"/>
      <c r="X327" s="1293"/>
      <c r="Y327" s="1293"/>
      <c r="Z327" s="1293"/>
      <c r="AA327" s="1293"/>
      <c r="AB327" s="1293"/>
      <c r="AC327" s="1293"/>
      <c r="AD327" s="1293"/>
      <c r="AE327" s="1293"/>
      <c r="AF327" s="1293"/>
      <c r="AG327" s="1293"/>
    </row>
    <row r="328" spans="1:33" ht="15.75">
      <c r="A328" s="1293"/>
      <c r="B328" s="1720">
        <v>45124</v>
      </c>
      <c r="C328" s="1293">
        <v>62000</v>
      </c>
      <c r="D328" s="1698">
        <v>171.29220000000001</v>
      </c>
      <c r="E328" s="1293"/>
      <c r="F328" s="1721">
        <f t="shared" si="218"/>
        <v>10620116.4</v>
      </c>
      <c r="G328" s="1293"/>
      <c r="H328" s="1293"/>
      <c r="I328" s="1293"/>
      <c r="J328" s="1293"/>
      <c r="K328" s="1293"/>
      <c r="L328" s="1293"/>
      <c r="M328" s="1293"/>
      <c r="N328" s="1293"/>
      <c r="O328" s="1293"/>
      <c r="P328" s="1293"/>
      <c r="Q328" s="1293"/>
      <c r="R328" s="1293"/>
      <c r="S328" s="1293"/>
      <c r="T328" s="1293"/>
      <c r="U328" s="1293"/>
      <c r="V328" s="1293"/>
      <c r="W328" s="1293"/>
      <c r="X328" s="1293"/>
      <c r="Y328" s="1293"/>
      <c r="Z328" s="1293"/>
      <c r="AA328" s="1293"/>
      <c r="AB328" s="1293"/>
      <c r="AC328" s="1293"/>
      <c r="AD328" s="1293"/>
      <c r="AE328" s="1293"/>
      <c r="AF328" s="1293"/>
      <c r="AG328" s="1293"/>
    </row>
    <row r="329" spans="1:33" ht="15.75">
      <c r="A329" s="1293"/>
      <c r="B329" s="1720">
        <v>45125</v>
      </c>
      <c r="C329" s="1293">
        <v>60000</v>
      </c>
      <c r="D329" s="1698">
        <v>172.51150000000001</v>
      </c>
      <c r="E329" s="1293"/>
      <c r="F329" s="1721">
        <f t="shared" si="218"/>
        <v>10350690</v>
      </c>
      <c r="G329" s="1293"/>
      <c r="H329" s="1293"/>
      <c r="I329" s="1293"/>
      <c r="J329" s="1293"/>
      <c r="K329" s="1293"/>
      <c r="L329" s="1293"/>
      <c r="M329" s="1293"/>
      <c r="N329" s="1293"/>
      <c r="O329" s="1293"/>
      <c r="P329" s="1293"/>
      <c r="Q329" s="1293"/>
      <c r="R329" s="1293"/>
      <c r="S329" s="1293"/>
      <c r="T329" s="1293"/>
      <c r="U329" s="1293"/>
      <c r="V329" s="1293"/>
      <c r="W329" s="1293"/>
      <c r="X329" s="1293"/>
      <c r="Y329" s="1293"/>
      <c r="Z329" s="1293"/>
      <c r="AA329" s="1293"/>
      <c r="AB329" s="1293"/>
      <c r="AC329" s="1293"/>
      <c r="AD329" s="1293"/>
      <c r="AE329" s="1293"/>
      <c r="AF329" s="1293"/>
      <c r="AG329" s="1293"/>
    </row>
    <row r="330" spans="1:33" ht="15.75">
      <c r="A330" s="1293"/>
      <c r="B330" s="1720">
        <v>45126</v>
      </c>
      <c r="C330" s="1293">
        <v>55000</v>
      </c>
      <c r="D330" s="1698">
        <v>173.54839999999999</v>
      </c>
      <c r="E330" s="1293"/>
      <c r="F330" s="1721">
        <f t="shared" si="218"/>
        <v>9545162</v>
      </c>
      <c r="G330" s="1293"/>
      <c r="H330" s="1293"/>
      <c r="I330" s="1293"/>
      <c r="J330" s="1293"/>
      <c r="K330" s="1293"/>
      <c r="L330" s="1293"/>
      <c r="M330" s="1293"/>
      <c r="N330" s="1293"/>
      <c r="O330" s="1293"/>
      <c r="P330" s="1293"/>
      <c r="Q330" s="1293"/>
      <c r="R330" s="1293"/>
      <c r="S330" s="1293"/>
      <c r="T330" s="1293"/>
      <c r="U330" s="1293"/>
      <c r="V330" s="1293"/>
      <c r="W330" s="1293"/>
      <c r="X330" s="1293"/>
      <c r="Y330" s="1293"/>
      <c r="Z330" s="1293"/>
      <c r="AA330" s="1293"/>
      <c r="AB330" s="1293"/>
      <c r="AC330" s="1293"/>
      <c r="AD330" s="1293"/>
      <c r="AE330" s="1293"/>
      <c r="AF330" s="1293"/>
      <c r="AG330" s="1293"/>
    </row>
    <row r="331" spans="1:33" ht="15.75">
      <c r="A331" s="1293"/>
      <c r="B331" s="1720">
        <v>45127</v>
      </c>
      <c r="C331" s="1293">
        <v>60000</v>
      </c>
      <c r="D331" s="1698">
        <v>173.0241</v>
      </c>
      <c r="E331" s="1293"/>
      <c r="F331" s="1721">
        <f t="shared" si="218"/>
        <v>10381446</v>
      </c>
      <c r="G331" s="1293"/>
      <c r="H331" s="1293"/>
      <c r="I331" s="1293"/>
      <c r="J331" s="1293"/>
      <c r="K331" s="1293"/>
      <c r="L331" s="1293"/>
      <c r="M331" s="1293"/>
      <c r="N331" s="1293"/>
      <c r="O331" s="1293"/>
      <c r="P331" s="1293"/>
      <c r="Q331" s="1293"/>
      <c r="R331" s="1293"/>
      <c r="S331" s="1293"/>
      <c r="T331" s="1293"/>
      <c r="U331" s="1293"/>
      <c r="V331" s="1293"/>
      <c r="W331" s="1293"/>
      <c r="X331" s="1293"/>
      <c r="Y331" s="1293"/>
      <c r="Z331" s="1293"/>
      <c r="AA331" s="1293"/>
      <c r="AB331" s="1293"/>
      <c r="AC331" s="1293"/>
      <c r="AD331" s="1293"/>
      <c r="AE331" s="1293"/>
      <c r="AF331" s="1293"/>
      <c r="AG331" s="1293"/>
    </row>
    <row r="332" spans="1:33" ht="15.75">
      <c r="A332" s="1293"/>
      <c r="B332" s="1720">
        <v>45128</v>
      </c>
      <c r="C332" s="1293">
        <v>63000</v>
      </c>
      <c r="D332" s="1698">
        <v>172.89179999999999</v>
      </c>
      <c r="E332" s="1293"/>
      <c r="F332" s="1721">
        <f t="shared" si="218"/>
        <v>10892183.399999999</v>
      </c>
      <c r="G332" s="1293"/>
      <c r="H332" s="1293"/>
      <c r="I332" s="1293"/>
      <c r="J332" s="1293"/>
      <c r="K332" s="1293"/>
      <c r="L332" s="1293"/>
      <c r="M332" s="1293"/>
      <c r="N332" s="1293"/>
      <c r="O332" s="1293"/>
      <c r="P332" s="1293"/>
      <c r="Q332" s="1293"/>
      <c r="R332" s="1293"/>
      <c r="S332" s="1293"/>
      <c r="T332" s="1293"/>
      <c r="U332" s="1293"/>
      <c r="V332" s="1293"/>
      <c r="W332" s="1293"/>
      <c r="X332" s="1293"/>
      <c r="Y332" s="1293"/>
      <c r="Z332" s="1293"/>
      <c r="AA332" s="1293"/>
      <c r="AB332" s="1293"/>
      <c r="AC332" s="1293"/>
      <c r="AD332" s="1293"/>
      <c r="AE332" s="1293"/>
      <c r="AF332" s="1293"/>
      <c r="AG332" s="1293"/>
    </row>
    <row r="333" spans="1:33" ht="15.75">
      <c r="A333" s="1293"/>
      <c r="B333" s="1720">
        <v>45131</v>
      </c>
      <c r="C333" s="1293">
        <v>53500</v>
      </c>
      <c r="D333" s="1698">
        <v>174.8827</v>
      </c>
      <c r="E333" s="1293"/>
      <c r="F333" s="1721">
        <f t="shared" si="218"/>
        <v>9356224.4499999993</v>
      </c>
      <c r="G333" s="1293"/>
      <c r="H333" s="1293"/>
      <c r="I333" s="1293"/>
      <c r="J333" s="1293"/>
      <c r="K333" s="1293"/>
      <c r="L333" s="1293"/>
      <c r="M333" s="1293"/>
      <c r="N333" s="1293"/>
      <c r="O333" s="1293"/>
      <c r="P333" s="1293"/>
      <c r="Q333" s="1293"/>
      <c r="R333" s="1293"/>
      <c r="S333" s="1293"/>
      <c r="T333" s="1293"/>
      <c r="U333" s="1293"/>
      <c r="V333" s="1293"/>
      <c r="W333" s="1293"/>
      <c r="X333" s="1293"/>
      <c r="Y333" s="1293"/>
      <c r="Z333" s="1293"/>
      <c r="AA333" s="1293"/>
      <c r="AB333" s="1293"/>
      <c r="AC333" s="1293"/>
      <c r="AD333" s="1293"/>
      <c r="AE333" s="1293"/>
      <c r="AF333" s="1293"/>
      <c r="AG333" s="1293"/>
    </row>
    <row r="334" spans="1:33" ht="15.75">
      <c r="A334" s="1293"/>
      <c r="B334" s="1720">
        <v>45072</v>
      </c>
      <c r="C334" s="1293">
        <v>415571</v>
      </c>
      <c r="D334" s="1698">
        <v>195</v>
      </c>
      <c r="E334" s="1293"/>
      <c r="F334" s="1721">
        <f t="shared" ref="F334:F365" si="219">C334*D334</f>
        <v>81036345</v>
      </c>
      <c r="G334" s="1293"/>
      <c r="H334" s="1293"/>
      <c r="I334" s="1293"/>
      <c r="J334" s="1293"/>
      <c r="K334" s="1293"/>
      <c r="L334" s="1293"/>
      <c r="M334" s="1293"/>
      <c r="N334" s="1293"/>
      <c r="O334" s="1293"/>
      <c r="P334" s="1293"/>
      <c r="Q334" s="1293"/>
      <c r="R334" s="1293"/>
      <c r="S334" s="1293"/>
      <c r="T334" s="1293"/>
      <c r="U334" s="1293"/>
      <c r="V334" s="1293"/>
      <c r="W334" s="1293"/>
      <c r="X334" s="1293"/>
      <c r="Y334" s="1293"/>
      <c r="Z334" s="1293"/>
      <c r="AA334" s="1293"/>
      <c r="AB334" s="1293"/>
      <c r="AC334" s="1293"/>
      <c r="AD334" s="1293"/>
      <c r="AE334" s="1293"/>
      <c r="AF334" s="1293"/>
      <c r="AG334" s="1293"/>
    </row>
    <row r="335" spans="1:33" ht="15.75">
      <c r="A335" s="1293"/>
      <c r="B335" s="1720">
        <v>45065</v>
      </c>
      <c r="C335" s="1293">
        <v>603662</v>
      </c>
      <c r="D335" s="1698">
        <v>188</v>
      </c>
      <c r="E335" s="1293"/>
      <c r="F335" s="1721">
        <f t="shared" si="219"/>
        <v>113488456</v>
      </c>
      <c r="G335" s="1293"/>
      <c r="H335" s="1293"/>
      <c r="I335" s="1293"/>
      <c r="J335" s="1293"/>
      <c r="K335" s="1293"/>
      <c r="L335" s="1293"/>
      <c r="M335" s="1293"/>
      <c r="N335" s="1293"/>
      <c r="O335" s="1293"/>
      <c r="P335" s="1293"/>
      <c r="Q335" s="1293"/>
      <c r="R335" s="1293"/>
      <c r="S335" s="1293"/>
      <c r="T335" s="1293"/>
      <c r="U335" s="1293"/>
      <c r="V335" s="1293"/>
      <c r="W335" s="1293"/>
      <c r="X335" s="1293"/>
      <c r="Y335" s="1293"/>
      <c r="Z335" s="1293"/>
      <c r="AA335" s="1293"/>
      <c r="AB335" s="1293"/>
      <c r="AC335" s="1293"/>
      <c r="AD335" s="1293"/>
      <c r="AE335" s="1293"/>
      <c r="AF335" s="1293"/>
      <c r="AG335" s="1293"/>
    </row>
    <row r="336" spans="1:33" ht="15.75">
      <c r="A336" s="1293"/>
      <c r="B336" s="1720">
        <v>45068</v>
      </c>
      <c r="C336" s="1293">
        <v>70132</v>
      </c>
      <c r="D336" s="1698">
        <v>191</v>
      </c>
      <c r="E336" s="1293"/>
      <c r="F336" s="1721">
        <f t="shared" si="219"/>
        <v>13395212</v>
      </c>
      <c r="G336" s="1293"/>
      <c r="H336" s="1293"/>
      <c r="I336" s="1293"/>
      <c r="J336" s="1293"/>
      <c r="K336" s="1293"/>
      <c r="L336" s="1293"/>
      <c r="M336" s="1293"/>
      <c r="N336" s="1293"/>
      <c r="O336" s="1293"/>
      <c r="P336" s="1293"/>
      <c r="Q336" s="1293"/>
      <c r="R336" s="1293"/>
      <c r="S336" s="1293"/>
      <c r="T336" s="1293"/>
      <c r="U336" s="1293"/>
      <c r="V336" s="1293"/>
      <c r="W336" s="1293"/>
      <c r="X336" s="1293"/>
      <c r="Y336" s="1293"/>
      <c r="Z336" s="1293"/>
      <c r="AA336" s="1293"/>
      <c r="AB336" s="1293"/>
      <c r="AC336" s="1293"/>
      <c r="AD336" s="1293"/>
      <c r="AE336" s="1293"/>
      <c r="AF336" s="1293"/>
      <c r="AG336" s="1293"/>
    </row>
    <row r="337" spans="1:33" ht="15.75">
      <c r="A337" s="1293"/>
      <c r="B337" s="1720">
        <v>45069</v>
      </c>
      <c r="C337" s="1293">
        <v>658083</v>
      </c>
      <c r="D337" s="1698">
        <v>197</v>
      </c>
      <c r="E337" s="1293"/>
      <c r="F337" s="1721">
        <f t="shared" si="219"/>
        <v>129642351</v>
      </c>
      <c r="G337" s="1293"/>
      <c r="H337" s="1293"/>
      <c r="I337" s="1293"/>
      <c r="J337" s="1293"/>
      <c r="K337" s="1293"/>
      <c r="L337" s="1293"/>
      <c r="M337" s="1293"/>
      <c r="N337" s="1293"/>
      <c r="O337" s="1293"/>
      <c r="P337" s="1293"/>
      <c r="Q337" s="1293"/>
      <c r="R337" s="1293"/>
      <c r="S337" s="1293"/>
      <c r="T337" s="1293"/>
      <c r="U337" s="1293"/>
      <c r="V337" s="1293"/>
      <c r="W337" s="1293"/>
      <c r="X337" s="1293"/>
      <c r="Y337" s="1293"/>
      <c r="Z337" s="1293"/>
      <c r="AA337" s="1293"/>
      <c r="AB337" s="1293"/>
      <c r="AC337" s="1293"/>
      <c r="AD337" s="1293"/>
      <c r="AE337" s="1293"/>
      <c r="AF337" s="1293"/>
      <c r="AG337" s="1293"/>
    </row>
    <row r="338" spans="1:33" ht="15.75">
      <c r="A338" s="1293"/>
      <c r="B338" s="1720">
        <v>45070</v>
      </c>
      <c r="C338" s="1293">
        <v>350870</v>
      </c>
      <c r="D338" s="1698">
        <v>198</v>
      </c>
      <c r="E338" s="1293"/>
      <c r="F338" s="1721">
        <f t="shared" si="219"/>
        <v>69472260</v>
      </c>
      <c r="G338" s="1293"/>
      <c r="H338" s="1293"/>
      <c r="I338" s="1293"/>
      <c r="J338" s="1293"/>
      <c r="K338" s="1293"/>
      <c r="L338" s="1293"/>
      <c r="M338" s="1293"/>
      <c r="N338" s="1293"/>
      <c r="O338" s="1293"/>
      <c r="P338" s="1293"/>
      <c r="Q338" s="1293"/>
      <c r="R338" s="1293"/>
      <c r="S338" s="1293"/>
      <c r="T338" s="1293"/>
      <c r="U338" s="1293"/>
      <c r="V338" s="1293"/>
      <c r="W338" s="1293"/>
      <c r="X338" s="1293"/>
      <c r="Y338" s="1293"/>
      <c r="Z338" s="1293"/>
      <c r="AA338" s="1293"/>
      <c r="AB338" s="1293"/>
      <c r="AC338" s="1293"/>
      <c r="AD338" s="1293"/>
      <c r="AE338" s="1293"/>
      <c r="AF338" s="1293"/>
      <c r="AG338" s="1293"/>
    </row>
    <row r="339" spans="1:33" ht="15.75">
      <c r="A339" s="1293"/>
      <c r="B339" s="1720">
        <v>45071</v>
      </c>
      <c r="C339" s="1293">
        <v>264429</v>
      </c>
      <c r="D339" s="1698">
        <v>195</v>
      </c>
      <c r="E339" s="1293"/>
      <c r="F339" s="1721">
        <f t="shared" si="219"/>
        <v>51563655</v>
      </c>
      <c r="G339" s="1293"/>
      <c r="H339" s="1293"/>
      <c r="I339" s="1293"/>
      <c r="J339" s="1293"/>
      <c r="K339" s="1293"/>
      <c r="L339" s="1293"/>
      <c r="M339" s="1293"/>
      <c r="N339" s="1293"/>
      <c r="O339" s="1293"/>
      <c r="P339" s="1293"/>
      <c r="Q339" s="1293"/>
      <c r="R339" s="1293"/>
      <c r="S339" s="1293"/>
      <c r="T339" s="1293"/>
      <c r="U339" s="1293"/>
      <c r="V339" s="1293"/>
      <c r="W339" s="1293"/>
      <c r="X339" s="1293"/>
      <c r="Y339" s="1293"/>
      <c r="Z339" s="1293"/>
      <c r="AA339" s="1293"/>
      <c r="AB339" s="1293"/>
      <c r="AC339" s="1293"/>
      <c r="AD339" s="1293"/>
      <c r="AE339" s="1293"/>
      <c r="AF339" s="1293"/>
      <c r="AG339" s="1293"/>
    </row>
    <row r="340" spans="1:33" ht="15.75">
      <c r="A340" s="1293"/>
      <c r="B340" s="1720">
        <v>45050</v>
      </c>
      <c r="C340" s="1293">
        <v>237320</v>
      </c>
      <c r="D340" s="1698">
        <v>176</v>
      </c>
      <c r="E340" s="1293"/>
      <c r="F340" s="1721">
        <f t="shared" si="219"/>
        <v>41768320</v>
      </c>
      <c r="G340" s="1293"/>
      <c r="H340" s="1293"/>
      <c r="I340" s="1293"/>
      <c r="J340" s="1293"/>
      <c r="K340" s="1293"/>
      <c r="L340" s="1293"/>
      <c r="M340" s="1293"/>
      <c r="N340" s="1293"/>
      <c r="O340" s="1293"/>
      <c r="P340" s="1293"/>
      <c r="Q340" s="1293"/>
      <c r="R340" s="1293"/>
      <c r="S340" s="1293"/>
      <c r="T340" s="1293"/>
      <c r="U340" s="1293"/>
      <c r="V340" s="1293"/>
      <c r="W340" s="1293"/>
      <c r="X340" s="1293"/>
      <c r="Y340" s="1293"/>
      <c r="Z340" s="1293"/>
      <c r="AA340" s="1293"/>
      <c r="AB340" s="1293"/>
      <c r="AC340" s="1293"/>
      <c r="AD340" s="1293"/>
      <c r="AE340" s="1293"/>
      <c r="AF340" s="1293"/>
      <c r="AG340" s="1293"/>
    </row>
    <row r="341" spans="1:33" ht="15.75">
      <c r="A341" s="1293"/>
      <c r="B341" s="1720">
        <v>45051</v>
      </c>
      <c r="C341" s="1293">
        <v>719069</v>
      </c>
      <c r="D341" s="1698">
        <v>182</v>
      </c>
      <c r="E341" s="1293"/>
      <c r="F341" s="1721">
        <f t="shared" si="219"/>
        <v>130870558</v>
      </c>
      <c r="G341" s="1293"/>
      <c r="H341" s="1293"/>
      <c r="I341" s="1293"/>
      <c r="J341" s="1293"/>
      <c r="K341" s="1293"/>
      <c r="L341" s="1293"/>
      <c r="M341" s="1293"/>
      <c r="N341" s="1293"/>
      <c r="O341" s="1293"/>
      <c r="P341" s="1293"/>
      <c r="Q341" s="1293"/>
      <c r="R341" s="1293"/>
      <c r="S341" s="1293"/>
      <c r="T341" s="1293"/>
      <c r="U341" s="1293"/>
      <c r="V341" s="1293"/>
      <c r="W341" s="1293"/>
      <c r="X341" s="1293"/>
      <c r="Y341" s="1293"/>
      <c r="Z341" s="1293"/>
      <c r="AA341" s="1293"/>
      <c r="AB341" s="1293"/>
      <c r="AC341" s="1293"/>
      <c r="AD341" s="1293"/>
      <c r="AE341" s="1293"/>
      <c r="AF341" s="1293"/>
      <c r="AG341" s="1293"/>
    </row>
    <row r="342" spans="1:33" ht="15.75">
      <c r="A342" s="1293"/>
      <c r="B342" s="1720">
        <v>45054</v>
      </c>
      <c r="C342" s="1293">
        <v>82244</v>
      </c>
      <c r="D342" s="1698">
        <v>183</v>
      </c>
      <c r="E342" s="1293"/>
      <c r="F342" s="1721">
        <f t="shared" si="219"/>
        <v>15050652</v>
      </c>
      <c r="G342" s="1293"/>
      <c r="H342" s="1293"/>
      <c r="I342" s="1293"/>
      <c r="J342" s="1293"/>
      <c r="K342" s="1293"/>
      <c r="L342" s="1293"/>
      <c r="M342" s="1293"/>
      <c r="N342" s="1293"/>
      <c r="O342" s="1293"/>
      <c r="P342" s="1293"/>
      <c r="Q342" s="1293"/>
      <c r="R342" s="1293"/>
      <c r="S342" s="1293"/>
      <c r="T342" s="1293"/>
      <c r="U342" s="1293"/>
      <c r="V342" s="1293"/>
      <c r="W342" s="1293"/>
      <c r="X342" s="1293"/>
      <c r="Y342" s="1293"/>
      <c r="Z342" s="1293"/>
      <c r="AA342" s="1293"/>
      <c r="AB342" s="1293"/>
      <c r="AC342" s="1293"/>
      <c r="AD342" s="1293"/>
      <c r="AE342" s="1293"/>
      <c r="AF342" s="1293"/>
      <c r="AG342" s="1293"/>
    </row>
    <row r="343" spans="1:33" ht="15.75">
      <c r="A343" s="1293"/>
      <c r="B343" s="1720">
        <v>45055</v>
      </c>
      <c r="C343" s="1293">
        <v>215542</v>
      </c>
      <c r="D343" s="1698">
        <v>184</v>
      </c>
      <c r="E343" s="1293"/>
      <c r="F343" s="1721">
        <f t="shared" si="219"/>
        <v>39659728</v>
      </c>
      <c r="G343" s="1293"/>
      <c r="H343" s="1293"/>
      <c r="I343" s="1293"/>
      <c r="J343" s="1293"/>
      <c r="K343" s="1293"/>
      <c r="L343" s="1293"/>
      <c r="M343" s="1293"/>
      <c r="N343" s="1293"/>
      <c r="O343" s="1293"/>
      <c r="P343" s="1293"/>
      <c r="Q343" s="1293"/>
      <c r="R343" s="1293"/>
      <c r="S343" s="1293"/>
      <c r="T343" s="1293"/>
      <c r="U343" s="1293"/>
      <c r="V343" s="1293"/>
      <c r="W343" s="1293"/>
      <c r="X343" s="1293"/>
      <c r="Y343" s="1293"/>
      <c r="Z343" s="1293"/>
      <c r="AA343" s="1293"/>
      <c r="AB343" s="1293"/>
      <c r="AC343" s="1293"/>
      <c r="AD343" s="1293"/>
      <c r="AE343" s="1293"/>
      <c r="AF343" s="1293"/>
      <c r="AG343" s="1293"/>
    </row>
    <row r="344" spans="1:33" ht="15.75">
      <c r="A344" s="1293"/>
      <c r="B344" s="1720">
        <v>45056</v>
      </c>
      <c r="C344" s="1293">
        <v>391118</v>
      </c>
      <c r="D344" s="1698">
        <v>189</v>
      </c>
      <c r="E344" s="1293"/>
      <c r="F344" s="1721">
        <f t="shared" si="219"/>
        <v>73921302</v>
      </c>
      <c r="G344" s="1293"/>
      <c r="H344" s="1293"/>
      <c r="I344" s="1293"/>
      <c r="J344" s="1293"/>
      <c r="K344" s="1293"/>
      <c r="L344" s="1293"/>
      <c r="M344" s="1293"/>
      <c r="N344" s="1293"/>
      <c r="O344" s="1293"/>
      <c r="P344" s="1293"/>
      <c r="Q344" s="1293"/>
      <c r="R344" s="1293"/>
      <c r="S344" s="1293"/>
      <c r="T344" s="1293"/>
      <c r="U344" s="1293"/>
      <c r="V344" s="1293"/>
      <c r="W344" s="1293"/>
      <c r="X344" s="1293"/>
      <c r="Y344" s="1293"/>
      <c r="Z344" s="1293"/>
      <c r="AA344" s="1293"/>
      <c r="AB344" s="1293"/>
      <c r="AC344" s="1293"/>
      <c r="AD344" s="1293"/>
      <c r="AE344" s="1293"/>
      <c r="AF344" s="1293"/>
      <c r="AG344" s="1293"/>
    </row>
    <row r="345" spans="1:33" ht="15.75">
      <c r="A345" s="1293"/>
      <c r="B345" s="1720">
        <v>45057</v>
      </c>
      <c r="C345" s="1293">
        <v>127649</v>
      </c>
      <c r="D345" s="1698">
        <v>191</v>
      </c>
      <c r="E345" s="1293"/>
      <c r="F345" s="1721">
        <f t="shared" si="219"/>
        <v>24380959</v>
      </c>
      <c r="G345" s="1293"/>
      <c r="H345" s="1293"/>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row>
    <row r="346" spans="1:33" ht="15.75">
      <c r="A346" s="1293"/>
      <c r="B346" s="1720">
        <v>45264</v>
      </c>
      <c r="C346" s="1293">
        <v>159730</v>
      </c>
      <c r="D346" s="1698">
        <v>199.4641</v>
      </c>
      <c r="E346" s="1293"/>
      <c r="F346" s="1721">
        <f t="shared" si="219"/>
        <v>31860400.693</v>
      </c>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row>
    <row r="347" spans="1:33" ht="15.75">
      <c r="A347" s="1293"/>
      <c r="B347" s="1858" t="s">
        <v>8197</v>
      </c>
      <c r="C347" s="1293">
        <v>151950</v>
      </c>
      <c r="D347" s="1698">
        <v>199.88829999999999</v>
      </c>
      <c r="E347" s="1293"/>
      <c r="F347" s="1721">
        <f t="shared" si="219"/>
        <v>30373027.184999999</v>
      </c>
      <c r="G347" s="1293"/>
      <c r="H347" s="1293"/>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row>
    <row r="348" spans="1:33" ht="15.75">
      <c r="A348" s="1293"/>
      <c r="B348" s="1858" t="s">
        <v>8198</v>
      </c>
      <c r="C348" s="1293">
        <v>114684</v>
      </c>
      <c r="D348" s="1698">
        <v>201.9554</v>
      </c>
      <c r="E348" s="1293"/>
      <c r="F348" s="1721">
        <f t="shared" si="219"/>
        <v>23161053.093600001</v>
      </c>
      <c r="G348" s="1293"/>
      <c r="H348" s="1293"/>
      <c r="I348" s="1293"/>
      <c r="J348" s="1293"/>
      <c r="K348" s="1293"/>
      <c r="L348" s="1293"/>
      <c r="M348" s="1293"/>
      <c r="N348" s="1293"/>
      <c r="O348" s="1293"/>
      <c r="P348" s="1293"/>
      <c r="Q348" s="1293"/>
      <c r="R348" s="1293"/>
      <c r="S348" s="1293"/>
      <c r="T348" s="1293"/>
      <c r="U348" s="1293"/>
      <c r="V348" s="1293"/>
      <c r="W348" s="1293"/>
      <c r="X348" s="1293"/>
      <c r="Y348" s="1293"/>
      <c r="Z348" s="1293"/>
      <c r="AA348" s="1293"/>
      <c r="AB348" s="1293"/>
      <c r="AC348" s="1293"/>
      <c r="AD348" s="1293"/>
      <c r="AE348" s="1293"/>
      <c r="AF348" s="1293"/>
      <c r="AG348" s="1293"/>
    </row>
    <row r="349" spans="1:33" ht="15.75">
      <c r="A349" s="1293"/>
      <c r="B349" s="1858" t="s">
        <v>8199</v>
      </c>
      <c r="C349" s="1293">
        <v>548802</v>
      </c>
      <c r="D349" s="1698">
        <v>202.95519999999999</v>
      </c>
      <c r="E349" s="1293"/>
      <c r="F349" s="1721">
        <f t="shared" si="219"/>
        <v>111382219.67039999</v>
      </c>
      <c r="G349" s="1293"/>
      <c r="H349" s="1293"/>
      <c r="I349" s="1293"/>
      <c r="J349" s="1293"/>
      <c r="K349" s="1293"/>
      <c r="L349" s="1293"/>
      <c r="M349" s="1293"/>
      <c r="N349" s="1293"/>
      <c r="O349" s="1293"/>
      <c r="P349" s="1293"/>
      <c r="Q349" s="1293"/>
      <c r="R349" s="1293"/>
      <c r="S349" s="1293"/>
      <c r="T349" s="1293"/>
      <c r="U349" s="1293"/>
      <c r="V349" s="1293"/>
      <c r="W349" s="1293"/>
      <c r="X349" s="1293"/>
      <c r="Y349" s="1293"/>
      <c r="Z349" s="1293"/>
      <c r="AA349" s="1293"/>
      <c r="AB349" s="1293"/>
      <c r="AC349" s="1293"/>
      <c r="AD349" s="1293"/>
      <c r="AE349" s="1293"/>
      <c r="AF349" s="1293"/>
      <c r="AG349" s="1293"/>
    </row>
    <row r="350" spans="1:33" ht="15.75">
      <c r="A350" s="1293"/>
      <c r="B350" s="1858" t="s">
        <v>8200</v>
      </c>
      <c r="C350" s="1293">
        <v>95756</v>
      </c>
      <c r="D350" s="1698">
        <v>204.16030000000001</v>
      </c>
      <c r="E350" s="1293"/>
      <c r="F350" s="1721">
        <f t="shared" si="219"/>
        <v>19549573.686799999</v>
      </c>
      <c r="G350" s="1293"/>
      <c r="H350" s="1293"/>
      <c r="I350" s="1293"/>
      <c r="J350" s="1293"/>
      <c r="K350" s="1293"/>
      <c r="L350" s="1293"/>
      <c r="M350" s="1293"/>
      <c r="N350" s="1293"/>
      <c r="O350" s="1293"/>
      <c r="P350" s="1293"/>
      <c r="Q350" s="1293"/>
      <c r="R350" s="1293"/>
      <c r="S350" s="1293"/>
      <c r="T350" s="1293"/>
      <c r="U350" s="1293"/>
      <c r="V350" s="1293"/>
      <c r="W350" s="1293"/>
      <c r="X350" s="1293"/>
      <c r="Y350" s="1293"/>
      <c r="Z350" s="1293"/>
      <c r="AA350" s="1293"/>
      <c r="AB350" s="1293"/>
      <c r="AC350" s="1293"/>
      <c r="AD350" s="1293"/>
      <c r="AE350" s="1293"/>
      <c r="AF350" s="1293"/>
      <c r="AG350" s="1293"/>
    </row>
    <row r="351" spans="1:33" ht="15.75">
      <c r="A351" s="1293"/>
      <c r="B351" s="1858" t="s">
        <v>8201</v>
      </c>
      <c r="C351" s="1293">
        <v>168280</v>
      </c>
      <c r="D351" s="1698">
        <v>203.6721</v>
      </c>
      <c r="E351" s="1293"/>
      <c r="F351" s="1721">
        <f t="shared" si="219"/>
        <v>34273940.987999998</v>
      </c>
      <c r="G351" s="1293"/>
      <c r="H351" s="1293"/>
      <c r="I351" s="1293"/>
      <c r="J351" s="1293"/>
      <c r="K351" s="1293"/>
      <c r="L351" s="1293"/>
      <c r="M351" s="1293"/>
      <c r="N351" s="1293"/>
      <c r="O351" s="1293"/>
      <c r="P351" s="1293"/>
      <c r="Q351" s="1293"/>
      <c r="R351" s="1293"/>
      <c r="S351" s="1293"/>
      <c r="T351" s="1293"/>
      <c r="U351" s="1293"/>
      <c r="V351" s="1293"/>
      <c r="W351" s="1293"/>
      <c r="X351" s="1293"/>
      <c r="Y351" s="1293"/>
      <c r="Z351" s="1293"/>
      <c r="AA351" s="1293"/>
      <c r="AB351" s="1293"/>
      <c r="AC351" s="1293"/>
      <c r="AD351" s="1293"/>
      <c r="AE351" s="1293"/>
      <c r="AF351" s="1293"/>
      <c r="AG351" s="1293"/>
    </row>
    <row r="352" spans="1:33" ht="15.75">
      <c r="A352" s="1293"/>
      <c r="B352" s="1858" t="s">
        <v>8202</v>
      </c>
      <c r="C352" s="1293">
        <v>163224</v>
      </c>
      <c r="D352" s="1698">
        <v>204.38069999999999</v>
      </c>
      <c r="E352" s="1293"/>
      <c r="F352" s="1721">
        <f t="shared" si="219"/>
        <v>33359835.376799997</v>
      </c>
      <c r="G352" s="1293"/>
      <c r="H352" s="1293"/>
      <c r="I352" s="1293"/>
      <c r="J352" s="1293"/>
      <c r="K352" s="1293"/>
      <c r="L352" s="1293"/>
      <c r="M352" s="1293"/>
      <c r="N352" s="1293"/>
      <c r="O352" s="1293"/>
      <c r="P352" s="1293"/>
      <c r="Q352" s="1293"/>
      <c r="R352" s="1293"/>
      <c r="S352" s="1293"/>
      <c r="T352" s="1293"/>
      <c r="U352" s="1293"/>
      <c r="V352" s="1293"/>
      <c r="W352" s="1293"/>
      <c r="X352" s="1293"/>
      <c r="Y352" s="1293"/>
      <c r="Z352" s="1293"/>
      <c r="AA352" s="1293"/>
      <c r="AB352" s="1293"/>
      <c r="AC352" s="1293"/>
      <c r="AD352" s="1293"/>
      <c r="AE352" s="1293"/>
      <c r="AF352" s="1293"/>
      <c r="AG352" s="1293"/>
    </row>
    <row r="353" spans="1:33" ht="15.75">
      <c r="A353" s="1293"/>
      <c r="B353" s="1858" t="s">
        <v>8203</v>
      </c>
      <c r="C353" s="1293">
        <v>58913</v>
      </c>
      <c r="D353" s="1698">
        <v>205.13820000000001</v>
      </c>
      <c r="E353" s="1293"/>
      <c r="F353" s="1721">
        <f t="shared" si="219"/>
        <v>12085306.776600001</v>
      </c>
      <c r="G353" s="1293"/>
      <c r="H353" s="1293"/>
      <c r="I353" s="1293"/>
      <c r="J353" s="1293"/>
      <c r="K353" s="1293"/>
      <c r="L353" s="1293"/>
      <c r="M353" s="1293"/>
      <c r="N353" s="1293"/>
      <c r="O353" s="1293"/>
      <c r="P353" s="1293"/>
      <c r="Q353" s="1293"/>
      <c r="R353" s="1293"/>
      <c r="S353" s="1293"/>
      <c r="T353" s="1293"/>
      <c r="U353" s="1293"/>
      <c r="V353" s="1293"/>
      <c r="W353" s="1293"/>
      <c r="X353" s="1293"/>
      <c r="Y353" s="1293"/>
      <c r="Z353" s="1293"/>
      <c r="AA353" s="1293"/>
      <c r="AB353" s="1293"/>
      <c r="AC353" s="1293"/>
      <c r="AD353" s="1293"/>
      <c r="AE353" s="1293"/>
      <c r="AF353" s="1293"/>
      <c r="AG353" s="1293"/>
    </row>
    <row r="354" spans="1:33" ht="15.75">
      <c r="A354" s="1293"/>
      <c r="B354" s="1858" t="s">
        <v>8204</v>
      </c>
      <c r="C354" s="1293">
        <v>102423</v>
      </c>
      <c r="D354" s="1698">
        <v>206.24299999999999</v>
      </c>
      <c r="E354" s="1293"/>
      <c r="F354" s="1721">
        <f t="shared" si="219"/>
        <v>21124026.789000001</v>
      </c>
      <c r="G354" s="1293"/>
      <c r="H354" s="1293"/>
      <c r="I354" s="1293"/>
      <c r="J354" s="1293"/>
      <c r="K354" s="1293"/>
      <c r="L354" s="1293"/>
      <c r="M354" s="1293"/>
      <c r="N354" s="1293"/>
      <c r="O354" s="1293"/>
      <c r="P354" s="1293"/>
      <c r="Q354" s="1293"/>
      <c r="R354" s="1293"/>
      <c r="S354" s="1293"/>
      <c r="T354" s="1293"/>
      <c r="U354" s="1293"/>
      <c r="V354" s="1293"/>
      <c r="W354" s="1293"/>
      <c r="X354" s="1293"/>
      <c r="Y354" s="1293"/>
      <c r="Z354" s="1293"/>
      <c r="AA354" s="1293"/>
      <c r="AB354" s="1293"/>
      <c r="AC354" s="1293"/>
      <c r="AD354" s="1293"/>
      <c r="AE354" s="1293"/>
      <c r="AF354" s="1293"/>
      <c r="AG354" s="1293"/>
    </row>
    <row r="355" spans="1:33" ht="15.75">
      <c r="A355" s="1293"/>
      <c r="B355" s="1858" t="s">
        <v>8205</v>
      </c>
      <c r="C355" s="1293">
        <v>198664</v>
      </c>
      <c r="D355" s="1698">
        <v>205.33799999999999</v>
      </c>
      <c r="E355" s="1293"/>
      <c r="F355" s="1721">
        <f t="shared" si="219"/>
        <v>40793268.431999996</v>
      </c>
      <c r="G355" s="1293"/>
      <c r="H355" s="1293"/>
      <c r="I355" s="1293"/>
      <c r="J355" s="1293"/>
      <c r="K355" s="1293"/>
      <c r="L355" s="1293"/>
      <c r="M355" s="1293"/>
      <c r="N355" s="1293"/>
      <c r="O355" s="1293"/>
      <c r="P355" s="1293"/>
      <c r="Q355" s="1293"/>
      <c r="R355" s="1293"/>
      <c r="S355" s="1293"/>
      <c r="T355" s="1293"/>
      <c r="U355" s="1293"/>
      <c r="V355" s="1293"/>
      <c r="W355" s="1293"/>
      <c r="X355" s="1293"/>
      <c r="Y355" s="1293"/>
      <c r="Z355" s="1293"/>
      <c r="AA355" s="1293"/>
      <c r="AB355" s="1293"/>
      <c r="AC355" s="1293"/>
      <c r="AD355" s="1293"/>
      <c r="AE355" s="1293"/>
      <c r="AF355" s="1293"/>
      <c r="AG355" s="1293"/>
    </row>
    <row r="356" spans="1:33" ht="15.75">
      <c r="A356" s="1293"/>
      <c r="B356" s="1858" t="s">
        <v>8206</v>
      </c>
      <c r="C356" s="1293">
        <v>115258</v>
      </c>
      <c r="D356" s="1698">
        <v>194.303</v>
      </c>
      <c r="E356" s="1293"/>
      <c r="F356" s="1721">
        <f t="shared" si="219"/>
        <v>22394975.173999999</v>
      </c>
      <c r="G356" s="1293"/>
      <c r="H356" s="1293"/>
      <c r="I356" s="1293"/>
      <c r="J356" s="1293"/>
      <c r="K356" s="1293"/>
      <c r="L356" s="1293"/>
      <c r="M356" s="1293"/>
      <c r="N356" s="1293"/>
      <c r="O356" s="1293"/>
      <c r="P356" s="1293"/>
      <c r="Q356" s="1293"/>
      <c r="R356" s="1293"/>
      <c r="S356" s="1293"/>
      <c r="T356" s="1293"/>
      <c r="U356" s="1293"/>
      <c r="V356" s="1293"/>
      <c r="W356" s="1293"/>
      <c r="X356" s="1293"/>
      <c r="Y356" s="1293"/>
      <c r="Z356" s="1293"/>
      <c r="AA356" s="1293"/>
      <c r="AB356" s="1293"/>
      <c r="AC356" s="1293"/>
      <c r="AD356" s="1293"/>
      <c r="AE356" s="1293"/>
      <c r="AF356" s="1293"/>
      <c r="AG356" s="1293"/>
    </row>
    <row r="357" spans="1:33" ht="15.75">
      <c r="A357" s="1293"/>
      <c r="B357" s="1858" t="s">
        <v>8207</v>
      </c>
      <c r="C357" s="1293">
        <v>94504</v>
      </c>
      <c r="D357" s="1698">
        <v>199.3295</v>
      </c>
      <c r="E357" s="1293"/>
      <c r="F357" s="1721">
        <f t="shared" si="219"/>
        <v>18837435.068</v>
      </c>
      <c r="G357" s="1293"/>
      <c r="H357" s="1293"/>
      <c r="I357" s="1293"/>
      <c r="J357" s="1293"/>
      <c r="K357" s="1293"/>
      <c r="L357" s="1293"/>
      <c r="M357" s="1293"/>
      <c r="N357" s="1293"/>
      <c r="O357" s="1293"/>
      <c r="P357" s="1293"/>
      <c r="Q357" s="1293"/>
      <c r="R357" s="1293"/>
      <c r="S357" s="1293"/>
      <c r="T357" s="1293"/>
      <c r="U357" s="1293"/>
      <c r="V357" s="1293"/>
      <c r="W357" s="1293"/>
      <c r="X357" s="1293"/>
      <c r="Y357" s="1293"/>
      <c r="Z357" s="1293"/>
      <c r="AA357" s="1293"/>
      <c r="AB357" s="1293"/>
      <c r="AC357" s="1293"/>
      <c r="AD357" s="1293"/>
      <c r="AE357" s="1293"/>
      <c r="AF357" s="1293"/>
      <c r="AG357" s="1293"/>
    </row>
    <row r="358" spans="1:33" ht="15.75">
      <c r="A358" s="1293"/>
      <c r="B358" s="1858" t="s">
        <v>8208</v>
      </c>
      <c r="C358" s="1293">
        <v>40238</v>
      </c>
      <c r="D358" s="1698">
        <v>197.22620000000001</v>
      </c>
      <c r="E358" s="1293"/>
      <c r="F358" s="1721">
        <f t="shared" si="219"/>
        <v>7935987.8355999999</v>
      </c>
      <c r="G358" s="1293"/>
      <c r="H358" s="1293"/>
      <c r="I358" s="1293"/>
      <c r="J358" s="1293"/>
      <c r="K358" s="1293"/>
      <c r="L358" s="1293"/>
      <c r="M358" s="1293"/>
      <c r="N358" s="1293"/>
      <c r="O358" s="1293"/>
      <c r="P358" s="1293"/>
      <c r="Q358" s="1293"/>
      <c r="R358" s="1293"/>
      <c r="S358" s="1293"/>
      <c r="T358" s="1293"/>
      <c r="U358" s="1293"/>
      <c r="V358" s="1293"/>
      <c r="W358" s="1293"/>
      <c r="X358" s="1293"/>
      <c r="Y358" s="1293"/>
      <c r="Z358" s="1293"/>
      <c r="AA358" s="1293"/>
      <c r="AB358" s="1293"/>
      <c r="AC358" s="1293"/>
      <c r="AD358" s="1293"/>
      <c r="AE358" s="1293"/>
      <c r="AF358" s="1293"/>
      <c r="AG358" s="1293"/>
    </row>
    <row r="359" spans="1:33" ht="15.75">
      <c r="A359" s="1293"/>
      <c r="B359" s="1858" t="s">
        <v>8209</v>
      </c>
      <c r="C359" s="1293">
        <v>613041</v>
      </c>
      <c r="D359" s="1698">
        <v>189.15819999999999</v>
      </c>
      <c r="E359" s="1293"/>
      <c r="F359" s="1721">
        <f t="shared" si="219"/>
        <v>115961732.0862</v>
      </c>
      <c r="G359" s="1293"/>
      <c r="H359" s="1293"/>
      <c r="I359" s="1293"/>
      <c r="J359" s="1293"/>
      <c r="K359" s="1293"/>
      <c r="L359" s="1293"/>
      <c r="M359" s="1293"/>
      <c r="N359" s="1293"/>
      <c r="O359" s="1293"/>
      <c r="P359" s="1293"/>
      <c r="Q359" s="1293"/>
      <c r="R359" s="1293"/>
      <c r="S359" s="1293"/>
      <c r="T359" s="1293"/>
      <c r="U359" s="1293"/>
      <c r="V359" s="1293"/>
      <c r="W359" s="1293"/>
      <c r="X359" s="1293"/>
      <c r="Y359" s="1293"/>
      <c r="Z359" s="1293"/>
      <c r="AA359" s="1293"/>
      <c r="AB359" s="1293"/>
      <c r="AC359" s="1293"/>
      <c r="AD359" s="1293"/>
      <c r="AE359" s="1293"/>
      <c r="AF359" s="1293"/>
      <c r="AG359" s="1293"/>
    </row>
    <row r="360" spans="1:33" ht="15.75">
      <c r="A360" s="1293"/>
      <c r="B360" s="1858" t="s">
        <v>8210</v>
      </c>
      <c r="C360" s="1293">
        <v>363126</v>
      </c>
      <c r="D360" s="1698">
        <v>189.7492</v>
      </c>
      <c r="E360" s="1293"/>
      <c r="F360" s="1721">
        <f t="shared" si="219"/>
        <v>68902867.999200001</v>
      </c>
      <c r="G360" s="1293"/>
      <c r="H360" s="1293"/>
      <c r="I360" s="1293"/>
      <c r="J360" s="1293"/>
      <c r="K360" s="1293"/>
      <c r="L360" s="1293"/>
      <c r="M360" s="1293"/>
      <c r="N360" s="1293"/>
      <c r="O360" s="1293"/>
      <c r="P360" s="1293"/>
      <c r="Q360" s="1293"/>
      <c r="R360" s="1293"/>
      <c r="S360" s="1293"/>
      <c r="T360" s="1293"/>
      <c r="U360" s="1293"/>
      <c r="V360" s="1293"/>
      <c r="W360" s="1293"/>
      <c r="X360" s="1293"/>
      <c r="Y360" s="1293"/>
      <c r="Z360" s="1293"/>
      <c r="AA360" s="1293"/>
      <c r="AB360" s="1293"/>
      <c r="AC360" s="1293"/>
      <c r="AD360" s="1293"/>
      <c r="AE360" s="1293"/>
      <c r="AF360" s="1293"/>
      <c r="AG360" s="1293"/>
    </row>
    <row r="361" spans="1:33" ht="15.75">
      <c r="A361" s="1293"/>
      <c r="B361" s="1858" t="s">
        <v>8211</v>
      </c>
      <c r="C361" s="1293">
        <v>69056</v>
      </c>
      <c r="D361" s="1698">
        <v>189.88659999999999</v>
      </c>
      <c r="E361" s="1293"/>
      <c r="F361" s="1721">
        <f t="shared" si="219"/>
        <v>13112809.0496</v>
      </c>
      <c r="G361" s="1293"/>
      <c r="H361" s="1293"/>
      <c r="I361" s="1293"/>
      <c r="J361" s="1293"/>
      <c r="K361" s="1293"/>
      <c r="L361" s="1293"/>
      <c r="M361" s="1293"/>
      <c r="N361" s="1293"/>
      <c r="O361" s="1293"/>
      <c r="P361" s="1293"/>
      <c r="Q361" s="1293"/>
      <c r="R361" s="1293"/>
      <c r="S361" s="1293"/>
      <c r="T361" s="1293"/>
      <c r="U361" s="1293"/>
      <c r="V361" s="1293"/>
      <c r="W361" s="1293"/>
      <c r="X361" s="1293"/>
      <c r="Y361" s="1293"/>
      <c r="Z361" s="1293"/>
      <c r="AA361" s="1293"/>
      <c r="AB361" s="1293"/>
      <c r="AC361" s="1293"/>
      <c r="AD361" s="1293"/>
      <c r="AE361" s="1293"/>
      <c r="AF361" s="1293"/>
      <c r="AG361" s="1293"/>
    </row>
    <row r="362" spans="1:33" ht="15.75">
      <c r="A362" s="1293"/>
      <c r="B362" s="1858" t="s">
        <v>8212</v>
      </c>
      <c r="C362" s="1293">
        <v>132854</v>
      </c>
      <c r="D362" s="1698">
        <v>189.1969</v>
      </c>
      <c r="E362" s="1293"/>
      <c r="F362" s="1721">
        <f t="shared" si="219"/>
        <v>25135564.952599999</v>
      </c>
      <c r="G362" s="1293"/>
      <c r="H362" s="1293"/>
      <c r="I362" s="1293"/>
      <c r="J362" s="1293"/>
      <c r="K362" s="1293"/>
      <c r="L362" s="1293"/>
      <c r="M362" s="1293"/>
      <c r="N362" s="1293"/>
      <c r="O362" s="1293"/>
      <c r="P362" s="1293"/>
      <c r="Q362" s="1293"/>
      <c r="R362" s="1293"/>
      <c r="S362" s="1293"/>
      <c r="T362" s="1293"/>
      <c r="U362" s="1293"/>
      <c r="V362" s="1293"/>
      <c r="W362" s="1293"/>
      <c r="X362" s="1293"/>
      <c r="Y362" s="1293"/>
      <c r="Z362" s="1293"/>
      <c r="AA362" s="1293"/>
      <c r="AB362" s="1293"/>
      <c r="AC362" s="1293"/>
      <c r="AD362" s="1293"/>
      <c r="AE362" s="1293"/>
      <c r="AF362" s="1293"/>
      <c r="AG362" s="1293"/>
    </row>
    <row r="363" spans="1:33" ht="15.75">
      <c r="A363" s="1293"/>
      <c r="B363" s="1858" t="s">
        <v>8213</v>
      </c>
      <c r="C363" s="1293">
        <v>123440</v>
      </c>
      <c r="D363" s="1698">
        <v>189.81299999999999</v>
      </c>
      <c r="E363" s="1293"/>
      <c r="F363" s="1721">
        <f t="shared" si="219"/>
        <v>23430516.719999999</v>
      </c>
      <c r="G363" s="1293"/>
      <c r="H363" s="1293"/>
      <c r="I363" s="1293"/>
      <c r="J363" s="1293"/>
      <c r="K363" s="1293"/>
      <c r="L363" s="1293"/>
      <c r="M363" s="1293"/>
      <c r="N363" s="1293"/>
      <c r="O363" s="1293"/>
      <c r="P363" s="1293"/>
      <c r="Q363" s="1293"/>
      <c r="R363" s="1293"/>
      <c r="S363" s="1293"/>
      <c r="T363" s="1293"/>
      <c r="U363" s="1293"/>
      <c r="V363" s="1293"/>
      <c r="W363" s="1293"/>
      <c r="X363" s="1293"/>
      <c r="Y363" s="1293"/>
      <c r="Z363" s="1293"/>
      <c r="AA363" s="1293"/>
      <c r="AB363" s="1293"/>
      <c r="AC363" s="1293"/>
      <c r="AD363" s="1293"/>
      <c r="AE363" s="1293"/>
      <c r="AF363" s="1293"/>
      <c r="AG363" s="1293"/>
    </row>
    <row r="364" spans="1:33" ht="15.75">
      <c r="A364" s="1293"/>
      <c r="B364" s="1858" t="s">
        <v>8214</v>
      </c>
      <c r="C364" s="1293">
        <v>158483</v>
      </c>
      <c r="D364" s="1698">
        <v>188.85470000000001</v>
      </c>
      <c r="E364" s="1293"/>
      <c r="F364" s="1721">
        <f t="shared" si="219"/>
        <v>29930259.4201</v>
      </c>
      <c r="G364" s="1293"/>
      <c r="H364" s="1293"/>
      <c r="I364" s="1293"/>
      <c r="J364" s="1293"/>
      <c r="K364" s="1293"/>
      <c r="L364" s="1293"/>
      <c r="M364" s="1293"/>
      <c r="N364" s="1293"/>
      <c r="O364" s="1293"/>
      <c r="P364" s="1293"/>
      <c r="Q364" s="1293"/>
      <c r="R364" s="1293"/>
      <c r="S364" s="1293"/>
      <c r="T364" s="1293"/>
      <c r="U364" s="1293"/>
      <c r="V364" s="1293"/>
      <c r="W364" s="1293"/>
      <c r="X364" s="1293"/>
      <c r="Y364" s="1293"/>
      <c r="Z364" s="1293"/>
      <c r="AA364" s="1293"/>
      <c r="AB364" s="1293"/>
      <c r="AC364" s="1293"/>
      <c r="AD364" s="1293"/>
      <c r="AE364" s="1293"/>
      <c r="AF364" s="1293"/>
      <c r="AG364" s="1293"/>
    </row>
    <row r="365" spans="1:33" ht="15.75">
      <c r="A365" s="1293"/>
      <c r="B365" s="1858" t="s">
        <v>8215</v>
      </c>
      <c r="C365" s="1293">
        <v>40000</v>
      </c>
      <c r="D365" s="1698">
        <v>189.03219999999999</v>
      </c>
      <c r="E365" s="1293"/>
      <c r="F365" s="1721">
        <f t="shared" si="219"/>
        <v>7561288</v>
      </c>
      <c r="G365" s="1293"/>
      <c r="H365" s="1293"/>
      <c r="I365" s="1293"/>
      <c r="J365" s="1293"/>
      <c r="K365" s="1293"/>
      <c r="L365" s="1293"/>
      <c r="M365" s="1293"/>
      <c r="N365" s="1293"/>
      <c r="O365" s="1293"/>
      <c r="P365" s="1293"/>
      <c r="Q365" s="1293"/>
      <c r="R365" s="1293"/>
      <c r="S365" s="1293"/>
      <c r="T365" s="1293"/>
      <c r="U365" s="1293"/>
      <c r="V365" s="1293"/>
      <c r="W365" s="1293"/>
      <c r="X365" s="1293"/>
      <c r="Y365" s="1293"/>
      <c r="Z365" s="1293"/>
      <c r="AA365" s="1293"/>
      <c r="AB365" s="1293"/>
      <c r="AC365" s="1293"/>
      <c r="AD365" s="1293"/>
      <c r="AE365" s="1293"/>
      <c r="AF365" s="1293"/>
      <c r="AG365" s="1293"/>
    </row>
    <row r="366" spans="1:33" ht="15.75">
      <c r="A366" s="1293"/>
      <c r="B366" s="1293"/>
      <c r="C366" s="1293"/>
      <c r="D366" s="1293"/>
      <c r="E366" s="1293"/>
      <c r="F366" s="1293"/>
      <c r="G366" s="1293"/>
      <c r="H366" s="1293"/>
      <c r="I366" s="1293"/>
      <c r="J366" s="1293"/>
      <c r="K366" s="1293"/>
      <c r="L366" s="1293"/>
      <c r="M366" s="1293"/>
      <c r="N366" s="1293"/>
      <c r="O366" s="1293"/>
      <c r="P366" s="1293"/>
      <c r="Q366" s="1293"/>
      <c r="R366" s="1293"/>
      <c r="S366" s="1293"/>
      <c r="T366" s="1293"/>
      <c r="U366" s="1293"/>
      <c r="V366" s="1293"/>
      <c r="W366" s="1293"/>
      <c r="X366" s="1293"/>
      <c r="Y366" s="1293"/>
      <c r="Z366" s="1293"/>
      <c r="AA366" s="1293"/>
      <c r="AB366" s="1293"/>
      <c r="AC366" s="1293"/>
      <c r="AD366" s="1293"/>
      <c r="AE366" s="1293"/>
      <c r="AF366" s="1293"/>
      <c r="AG366" s="1293"/>
    </row>
    <row r="367" spans="1:33" ht="15.75">
      <c r="A367" s="1293"/>
      <c r="B367" s="1722" t="s">
        <v>8408</v>
      </c>
      <c r="C367" s="1334">
        <f>SUM(C318:C365)</f>
        <v>8646946</v>
      </c>
      <c r="D367" s="1723">
        <f>F367/C367</f>
        <v>170.62855336398536</v>
      </c>
      <c r="E367" s="1334"/>
      <c r="F367" s="1334">
        <f>SUM(F334:F365)</f>
        <v>1475415886.9964998</v>
      </c>
      <c r="G367" s="1293"/>
      <c r="H367" s="1293"/>
      <c r="I367" s="1293"/>
      <c r="J367" s="1293"/>
      <c r="K367" s="1293"/>
      <c r="L367" s="1293"/>
      <c r="M367" s="1293"/>
      <c r="N367" s="1293"/>
      <c r="O367" s="1293"/>
      <c r="P367" s="1293"/>
      <c r="Q367" s="1293"/>
      <c r="R367" s="1293"/>
      <c r="S367" s="1293"/>
      <c r="T367" s="1293"/>
      <c r="U367" s="1293"/>
      <c r="V367" s="1293"/>
      <c r="W367" s="1293"/>
      <c r="X367" s="1293"/>
      <c r="Y367" s="1293"/>
      <c r="Z367" s="1293"/>
      <c r="AA367" s="1293"/>
      <c r="AB367" s="1293"/>
      <c r="AC367" s="1293"/>
      <c r="AD367" s="1293"/>
      <c r="AE367" s="1293"/>
      <c r="AF367" s="1293"/>
      <c r="AG367" s="1293"/>
    </row>
    <row r="368" spans="1:33" ht="15.75">
      <c r="A368" s="1293"/>
      <c r="B368" s="1293"/>
      <c r="C368" s="1699">
        <f>C367/1000000</f>
        <v>8.6469459999999998</v>
      </c>
      <c r="D368" s="1293"/>
      <c r="E368" s="1293"/>
      <c r="F368" s="1293"/>
      <c r="G368" s="1293"/>
      <c r="H368" s="1293"/>
      <c r="I368" s="1293"/>
      <c r="J368" s="1293"/>
      <c r="K368" s="1293"/>
      <c r="L368" s="1293"/>
      <c r="M368" s="1293"/>
      <c r="N368" s="1293"/>
      <c r="O368" s="1293"/>
      <c r="P368" s="1293"/>
      <c r="Q368" s="1293"/>
      <c r="R368" s="1293"/>
      <c r="S368" s="1293"/>
      <c r="T368" s="1293"/>
      <c r="U368" s="1293"/>
      <c r="V368" s="1293"/>
      <c r="W368" s="1293"/>
      <c r="X368" s="1293"/>
      <c r="Y368" s="1293"/>
      <c r="Z368" s="1293"/>
      <c r="AA368" s="1293"/>
      <c r="AB368" s="1293"/>
      <c r="AC368" s="1293"/>
      <c r="AD368" s="1293"/>
      <c r="AE368" s="1293"/>
      <c r="AF368" s="1293"/>
      <c r="AG368" s="1293"/>
    </row>
    <row r="369" spans="1:33" ht="15.75">
      <c r="A369" s="1293"/>
      <c r="B369" s="1293"/>
      <c r="C369" s="1293"/>
      <c r="D369" s="1293"/>
      <c r="E369" s="1293"/>
      <c r="F369" s="1293"/>
      <c r="G369" s="1293"/>
      <c r="H369" s="1293"/>
      <c r="I369" s="1293"/>
      <c r="J369" s="1293"/>
      <c r="K369" s="1293"/>
      <c r="L369" s="1293"/>
      <c r="M369" s="1293"/>
      <c r="N369" s="1293"/>
      <c r="O369" s="1293"/>
      <c r="P369" s="1293"/>
      <c r="Q369" s="1293"/>
      <c r="R369" s="1293"/>
      <c r="S369" s="1293"/>
      <c r="T369" s="1293"/>
      <c r="U369" s="1293"/>
      <c r="V369" s="1293"/>
      <c r="W369" s="1293"/>
      <c r="X369" s="1293"/>
      <c r="Y369" s="1293"/>
      <c r="Z369" s="1293"/>
      <c r="AA369" s="1293"/>
      <c r="AB369" s="1293"/>
      <c r="AC369" s="1293"/>
      <c r="AD369" s="1293"/>
      <c r="AE369" s="1293"/>
      <c r="AF369" s="1293"/>
      <c r="AG369" s="1293"/>
    </row>
    <row r="370" spans="1:33" ht="15.75">
      <c r="A370" s="1293"/>
      <c r="B370" s="1293" t="s">
        <v>8406</v>
      </c>
      <c r="C370" s="1293">
        <f>0.07*160</f>
        <v>11.200000000000001</v>
      </c>
      <c r="D370" s="1293">
        <v>130</v>
      </c>
      <c r="E370" s="1293"/>
      <c r="F370" s="1334">
        <f>C370*D370</f>
        <v>1456.0000000000002</v>
      </c>
      <c r="G370" s="1293"/>
      <c r="H370" s="1293"/>
      <c r="I370" s="1293"/>
      <c r="J370" s="1293"/>
      <c r="K370" s="1293"/>
      <c r="L370" s="1293"/>
      <c r="M370" s="1293"/>
      <c r="N370" s="1293"/>
      <c r="O370" s="1293"/>
      <c r="P370" s="1293"/>
      <c r="Q370" s="1293"/>
      <c r="R370" s="1293"/>
      <c r="S370" s="1293"/>
      <c r="T370" s="1293"/>
      <c r="U370" s="1293"/>
      <c r="V370" s="1293"/>
      <c r="W370" s="1293"/>
      <c r="X370" s="1293"/>
      <c r="Y370" s="1293"/>
      <c r="Z370" s="1293"/>
      <c r="AA370" s="1293"/>
      <c r="AB370" s="1293"/>
      <c r="AC370" s="1293"/>
      <c r="AD370" s="1293"/>
      <c r="AE370" s="1293"/>
      <c r="AF370" s="1293"/>
      <c r="AG370" s="1293"/>
    </row>
    <row r="371" spans="1:33" ht="15.75">
      <c r="A371" s="1293"/>
      <c r="B371" s="1293"/>
      <c r="C371" s="1293"/>
      <c r="D371" s="1293"/>
      <c r="E371" s="1293"/>
      <c r="F371" s="1293"/>
      <c r="G371" s="1293"/>
      <c r="H371" s="1293"/>
      <c r="I371" s="1293"/>
      <c r="J371" s="1293"/>
      <c r="K371" s="1293"/>
      <c r="L371" s="1293"/>
      <c r="M371" s="1293"/>
      <c r="N371" s="1293"/>
      <c r="O371" s="1293"/>
      <c r="P371" s="1293"/>
      <c r="Q371" s="1293"/>
      <c r="R371" s="1293"/>
      <c r="S371" s="1293"/>
      <c r="T371" s="1293"/>
      <c r="U371" s="1293"/>
      <c r="V371" s="1293"/>
      <c r="W371" s="1293"/>
      <c r="X371" s="1293"/>
      <c r="Y371" s="1293"/>
      <c r="Z371" s="1293"/>
      <c r="AA371" s="1293"/>
      <c r="AB371" s="1293"/>
      <c r="AC371" s="1293"/>
      <c r="AD371" s="1293"/>
      <c r="AE371" s="1293"/>
      <c r="AF371" s="1293"/>
      <c r="AG371" s="1293"/>
    </row>
    <row r="372" spans="1:33" ht="15.75">
      <c r="A372" s="1293"/>
      <c r="B372" s="1293" t="s">
        <v>8407</v>
      </c>
      <c r="C372" s="1293">
        <f>0.08*160</f>
        <v>12.8</v>
      </c>
      <c r="D372" s="1293">
        <v>140</v>
      </c>
      <c r="E372" s="1293"/>
      <c r="F372" s="1334">
        <f>C372*D372</f>
        <v>1792</v>
      </c>
      <c r="G372" s="1293"/>
      <c r="H372" s="1293"/>
      <c r="I372" s="1293"/>
      <c r="J372" s="1293"/>
      <c r="K372" s="1293"/>
      <c r="L372" s="1293"/>
      <c r="M372" s="1293"/>
      <c r="N372" s="1293"/>
      <c r="O372" s="1293"/>
      <c r="P372" s="1293"/>
      <c r="Q372" s="1293"/>
      <c r="R372" s="1293"/>
      <c r="S372" s="1293"/>
      <c r="T372" s="1293"/>
      <c r="U372" s="1293"/>
      <c r="V372" s="1293"/>
      <c r="W372" s="1293"/>
      <c r="X372" s="1293"/>
      <c r="Y372" s="1293"/>
      <c r="Z372" s="1293"/>
      <c r="AA372" s="1293"/>
      <c r="AB372" s="1293"/>
      <c r="AC372" s="1293"/>
      <c r="AD372" s="1293"/>
      <c r="AE372" s="1293"/>
      <c r="AF372" s="1293"/>
      <c r="AG372" s="1293"/>
    </row>
    <row r="373" spans="1:33" ht="15.75">
      <c r="A373" s="1293"/>
      <c r="B373" s="1293"/>
      <c r="C373" s="1293"/>
      <c r="D373" s="1293"/>
      <c r="E373" s="1293"/>
      <c r="F373" s="1293"/>
      <c r="G373" s="1293"/>
      <c r="H373" s="1293"/>
      <c r="I373" s="1293"/>
      <c r="J373" s="1293"/>
      <c r="K373" s="1293"/>
      <c r="L373" s="1293"/>
      <c r="M373" s="1293"/>
      <c r="N373" s="1293"/>
      <c r="O373" s="1293"/>
      <c r="P373" s="1293"/>
      <c r="Q373" s="1293"/>
      <c r="R373" s="1293"/>
      <c r="S373" s="1293"/>
      <c r="T373" s="1293"/>
      <c r="U373" s="1293"/>
      <c r="V373" s="1293"/>
      <c r="W373" s="1293"/>
      <c r="X373" s="1293"/>
      <c r="Y373" s="1293"/>
      <c r="Z373" s="1293"/>
      <c r="AA373" s="1293"/>
      <c r="AB373" s="1293"/>
      <c r="AC373" s="1293"/>
      <c r="AD373" s="1293"/>
      <c r="AE373" s="1293"/>
      <c r="AF373" s="1293"/>
      <c r="AG373" s="1293"/>
    </row>
    <row r="374" spans="1:33" ht="15.75">
      <c r="A374" s="1293"/>
      <c r="B374" s="1293"/>
      <c r="C374" s="1699">
        <f>C368+C370+C372</f>
        <v>32.646946</v>
      </c>
      <c r="D374" s="1698">
        <f>F374/C374</f>
        <v>144.6817073485679</v>
      </c>
      <c r="E374" s="1293"/>
      <c r="F374" s="1293">
        <f>(F367/1000000)+F370+F372</f>
        <v>4723.4158869964995</v>
      </c>
      <c r="G374" s="1293"/>
      <c r="H374" s="1293"/>
      <c r="I374" s="1293"/>
      <c r="J374" s="1293"/>
      <c r="K374" s="1293"/>
      <c r="L374" s="1293"/>
      <c r="M374" s="1293"/>
      <c r="N374" s="1293"/>
      <c r="O374" s="1293"/>
      <c r="P374" s="1293"/>
      <c r="Q374" s="1293"/>
      <c r="R374" s="1293"/>
      <c r="S374" s="1293"/>
      <c r="T374" s="1293"/>
      <c r="U374" s="1293"/>
      <c r="V374" s="1293"/>
      <c r="W374" s="1293"/>
      <c r="X374" s="1293"/>
      <c r="Y374" s="1293"/>
      <c r="Z374" s="1293"/>
      <c r="AA374" s="1293"/>
      <c r="AB374" s="1293"/>
      <c r="AC374" s="1293"/>
      <c r="AD374" s="1293"/>
      <c r="AE374" s="1293"/>
      <c r="AF374" s="1293"/>
      <c r="AG374" s="1293"/>
    </row>
    <row r="375" spans="1:33" ht="15.75">
      <c r="A375" s="1293"/>
      <c r="B375" s="1293"/>
      <c r="C375" s="1724">
        <f>C374/169</f>
        <v>0.19317719526627219</v>
      </c>
      <c r="D375" s="1293"/>
      <c r="E375" s="1293"/>
      <c r="F375" s="1293"/>
      <c r="G375" s="1293"/>
      <c r="H375" s="1293"/>
      <c r="I375" s="1293"/>
      <c r="J375" s="1293"/>
      <c r="K375" s="1293"/>
      <c r="L375" s="1293"/>
      <c r="M375" s="1293"/>
      <c r="N375" s="1293"/>
      <c r="O375" s="1293"/>
      <c r="P375" s="1293"/>
      <c r="Q375" s="1293"/>
      <c r="R375" s="1293"/>
      <c r="S375" s="1293"/>
      <c r="T375" s="1293"/>
      <c r="U375" s="1293"/>
      <c r="V375" s="1293"/>
      <c r="W375" s="1293"/>
      <c r="X375" s="1293"/>
      <c r="Y375" s="1293"/>
      <c r="Z375" s="1293"/>
      <c r="AA375" s="1293"/>
      <c r="AB375" s="1293"/>
      <c r="AC375" s="1293"/>
      <c r="AD375" s="1293"/>
      <c r="AE375" s="1293"/>
      <c r="AF375" s="1293"/>
      <c r="AG375" s="1293"/>
    </row>
    <row r="376" spans="1:33" ht="15.75">
      <c r="A376" s="1293"/>
      <c r="B376" s="1293"/>
      <c r="C376" s="1293"/>
      <c r="D376" s="1293"/>
      <c r="E376" s="1293"/>
      <c r="F376" s="1293"/>
      <c r="G376" s="1293"/>
      <c r="H376" s="1293"/>
      <c r="I376" s="1293"/>
      <c r="J376" s="1293"/>
      <c r="K376" s="1293"/>
      <c r="L376" s="1293"/>
      <c r="M376" s="1293"/>
      <c r="N376" s="1293"/>
      <c r="O376" s="1293"/>
      <c r="P376" s="1293"/>
      <c r="Q376" s="1293"/>
      <c r="R376" s="1293"/>
      <c r="S376" s="1293"/>
      <c r="T376" s="1293"/>
      <c r="U376" s="1293"/>
      <c r="V376" s="1293"/>
      <c r="W376" s="1293"/>
      <c r="X376" s="1293"/>
      <c r="Y376" s="1293"/>
      <c r="Z376" s="1293"/>
      <c r="AA376" s="1293"/>
      <c r="AB376" s="1293"/>
      <c r="AC376" s="1293"/>
      <c r="AD376" s="1293"/>
      <c r="AE376" s="1293"/>
      <c r="AF376" s="1293"/>
      <c r="AG376" s="1293"/>
    </row>
    <row r="377" spans="1:33" ht="15.75">
      <c r="A377" s="1293"/>
      <c r="B377" s="1293"/>
      <c r="C377" s="1293"/>
      <c r="D377" s="1293"/>
      <c r="E377" s="1293"/>
      <c r="F377" s="1293"/>
      <c r="G377" s="1293"/>
      <c r="H377" s="1293"/>
      <c r="I377" s="1293"/>
      <c r="J377" s="1293"/>
      <c r="K377" s="1293"/>
      <c r="L377" s="1293"/>
      <c r="M377" s="1293"/>
      <c r="N377" s="1293"/>
      <c r="O377" s="1293"/>
      <c r="P377" s="1293"/>
      <c r="Q377" s="1293"/>
      <c r="R377" s="1293"/>
      <c r="S377" s="1293"/>
      <c r="T377" s="1293"/>
      <c r="U377" s="1293"/>
      <c r="V377" s="1293"/>
      <c r="W377" s="1293"/>
      <c r="X377" s="1293"/>
      <c r="Y377" s="1293"/>
      <c r="Z377" s="1293"/>
      <c r="AA377" s="1293"/>
      <c r="AB377" s="1293"/>
      <c r="AC377" s="1293"/>
      <c r="AD377" s="1293"/>
      <c r="AE377" s="1293"/>
      <c r="AF377" s="1293"/>
      <c r="AG377" s="1293"/>
    </row>
    <row r="378" spans="1:33" ht="15.75">
      <c r="A378" s="1293"/>
      <c r="B378" s="1293"/>
      <c r="C378" s="1293"/>
      <c r="D378" s="1293"/>
      <c r="E378" s="1293"/>
      <c r="F378" s="1293"/>
      <c r="G378" s="1293"/>
      <c r="H378" s="1293"/>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93"/>
      <c r="AF378" s="1293"/>
      <c r="AG378" s="1293"/>
    </row>
    <row r="379" spans="1:33" ht="15.75">
      <c r="A379" s="1293"/>
      <c r="B379" s="1293"/>
      <c r="C379" s="1293"/>
      <c r="D379" s="1293"/>
      <c r="E379" s="1293"/>
      <c r="F379" s="1293"/>
      <c r="G379" s="1293"/>
      <c r="H379" s="1293"/>
      <c r="I379" s="1293"/>
      <c r="J379" s="1293"/>
      <c r="K379" s="1293"/>
      <c r="L379" s="1293"/>
      <c r="M379" s="1293"/>
      <c r="N379" s="1293"/>
      <c r="O379" s="1293"/>
      <c r="P379" s="1293"/>
      <c r="Q379" s="1293"/>
      <c r="R379" s="1293"/>
      <c r="S379" s="1293"/>
      <c r="T379" s="1293"/>
      <c r="U379" s="1293"/>
      <c r="V379" s="1293"/>
      <c r="W379" s="1293"/>
      <c r="X379" s="1293"/>
      <c r="Y379" s="1293"/>
      <c r="Z379" s="1293"/>
      <c r="AA379" s="1293"/>
      <c r="AB379" s="1293"/>
      <c r="AC379" s="1293"/>
      <c r="AD379" s="1293"/>
      <c r="AE379" s="1293"/>
      <c r="AF379" s="1293"/>
      <c r="AG379" s="1293"/>
    </row>
    <row r="380" spans="1:33" ht="15.75">
      <c r="A380" s="1293"/>
      <c r="B380" s="1293"/>
      <c r="C380" s="1293"/>
      <c r="D380" s="1293"/>
      <c r="E380" s="1293"/>
      <c r="F380" s="1293"/>
      <c r="G380" s="1293"/>
      <c r="H380" s="1293"/>
      <c r="I380" s="1293"/>
      <c r="J380" s="1293"/>
      <c r="K380" s="1293"/>
      <c r="L380" s="1293"/>
      <c r="M380" s="1293"/>
      <c r="N380" s="1293"/>
      <c r="O380" s="1293"/>
      <c r="P380" s="1293"/>
      <c r="Q380" s="1293"/>
      <c r="R380" s="1293"/>
      <c r="S380" s="1293"/>
      <c r="T380" s="1293"/>
      <c r="U380" s="1293"/>
      <c r="V380" s="1293"/>
      <c r="W380" s="1293"/>
      <c r="X380" s="1293"/>
      <c r="Y380" s="1293"/>
      <c r="Z380" s="1293"/>
      <c r="AA380" s="1293"/>
      <c r="AB380" s="1293"/>
      <c r="AC380" s="1293"/>
      <c r="AD380" s="1293"/>
      <c r="AE380" s="1293"/>
      <c r="AF380" s="1293"/>
      <c r="AG380" s="1293"/>
    </row>
    <row r="381" spans="1:33" ht="15.75">
      <c r="A381" s="1293"/>
      <c r="B381" s="1293"/>
      <c r="C381" s="1293"/>
      <c r="D381" s="1293"/>
      <c r="E381" s="1293"/>
      <c r="F381" s="1293"/>
      <c r="G381" s="1293"/>
      <c r="H381" s="1293"/>
      <c r="I381" s="1293"/>
      <c r="J381" s="1293"/>
      <c r="K381" s="1293"/>
      <c r="L381" s="1293"/>
      <c r="M381" s="1293"/>
      <c r="N381" s="1293"/>
      <c r="O381" s="1293"/>
      <c r="P381" s="1293"/>
      <c r="Q381" s="1293"/>
      <c r="R381" s="1293"/>
      <c r="S381" s="1293"/>
      <c r="T381" s="1293"/>
      <c r="U381" s="1293"/>
      <c r="V381" s="1293"/>
      <c r="W381" s="1293"/>
      <c r="X381" s="1293"/>
      <c r="Y381" s="1293"/>
      <c r="Z381" s="1293"/>
      <c r="AA381" s="1293"/>
      <c r="AB381" s="1293"/>
      <c r="AC381" s="1293"/>
      <c r="AD381" s="1293"/>
      <c r="AE381" s="1293"/>
      <c r="AF381" s="1293"/>
      <c r="AG381" s="1293"/>
    </row>
    <row r="382" spans="1:33" ht="15.75">
      <c r="A382" s="1293"/>
      <c r="B382" s="1293"/>
      <c r="C382" s="1293"/>
      <c r="D382" s="1293"/>
      <c r="E382" s="1293"/>
      <c r="F382" s="1293"/>
      <c r="G382" s="1293"/>
      <c r="H382" s="1293"/>
      <c r="I382" s="1293"/>
      <c r="J382" s="1293"/>
      <c r="K382" s="1293"/>
      <c r="L382" s="1293"/>
      <c r="M382" s="1293"/>
      <c r="N382" s="1293"/>
      <c r="O382" s="1293"/>
      <c r="P382" s="1293"/>
      <c r="Q382" s="1293"/>
      <c r="R382" s="1293"/>
      <c r="S382" s="1293"/>
      <c r="T382" s="1293"/>
      <c r="U382" s="1293"/>
      <c r="V382" s="1293"/>
      <c r="W382" s="1293"/>
      <c r="X382" s="1293"/>
      <c r="Y382" s="1293"/>
      <c r="Z382" s="1293"/>
      <c r="AA382" s="1293"/>
      <c r="AB382" s="1293"/>
      <c r="AC382" s="1293"/>
      <c r="AD382" s="1293"/>
      <c r="AE382" s="1293"/>
      <c r="AF382" s="1293"/>
      <c r="AG382" s="1293"/>
    </row>
    <row r="383" spans="1:33" ht="15.75">
      <c r="A383" s="1293"/>
      <c r="B383" s="1293"/>
      <c r="C383" s="1293"/>
      <c r="D383" s="1293"/>
      <c r="E383" s="1293"/>
      <c r="F383" s="1293"/>
      <c r="G383" s="1293"/>
      <c r="H383" s="1293"/>
      <c r="I383" s="1293"/>
      <c r="J383" s="1293"/>
      <c r="K383" s="1293"/>
      <c r="L383" s="1293"/>
      <c r="M383" s="1293"/>
      <c r="N383" s="1293"/>
      <c r="O383" s="1293"/>
      <c r="P383" s="1293"/>
      <c r="Q383" s="1293"/>
      <c r="R383" s="1293"/>
      <c r="S383" s="1293"/>
      <c r="T383" s="1293"/>
      <c r="U383" s="1293"/>
      <c r="V383" s="1293"/>
      <c r="W383" s="1293"/>
      <c r="X383" s="1293"/>
      <c r="Y383" s="1293"/>
      <c r="Z383" s="1293"/>
      <c r="AA383" s="1293"/>
      <c r="AB383" s="1293"/>
      <c r="AC383" s="1293"/>
      <c r="AD383" s="1293"/>
      <c r="AE383" s="1293"/>
      <c r="AF383" s="1293"/>
      <c r="AG383" s="1293"/>
    </row>
    <row r="384" spans="1:33" ht="15.75">
      <c r="A384" s="1293"/>
      <c r="B384" s="1293"/>
      <c r="C384" s="1293"/>
      <c r="D384" s="1293"/>
      <c r="E384" s="1293"/>
      <c r="F384" s="1293"/>
      <c r="G384" s="1293"/>
      <c r="H384" s="1293"/>
      <c r="I384" s="1293"/>
      <c r="J384" s="1293"/>
      <c r="K384" s="1293"/>
      <c r="L384" s="1293"/>
      <c r="M384" s="1293"/>
      <c r="N384" s="1293"/>
      <c r="O384" s="1293"/>
      <c r="P384" s="1293"/>
      <c r="Q384" s="1293"/>
      <c r="R384" s="1293"/>
      <c r="S384" s="1293"/>
      <c r="T384" s="1293"/>
      <c r="U384" s="1293"/>
      <c r="V384" s="1293"/>
      <c r="W384" s="1293"/>
      <c r="X384" s="1293"/>
      <c r="Y384" s="1293"/>
      <c r="Z384" s="1293"/>
      <c r="AA384" s="1293"/>
      <c r="AB384" s="1293"/>
      <c r="AC384" s="1293"/>
      <c r="AD384" s="1293"/>
      <c r="AE384" s="1293"/>
      <c r="AF384" s="1293"/>
      <c r="AG384" s="1293"/>
    </row>
    <row r="385" spans="1:33" ht="15.75">
      <c r="A385" s="1293"/>
      <c r="B385" s="1293"/>
      <c r="C385" s="1293"/>
      <c r="D385" s="1293"/>
      <c r="E385" s="1293"/>
      <c r="F385" s="1293"/>
      <c r="G385" s="1293"/>
      <c r="H385" s="1293"/>
      <c r="I385" s="1293"/>
      <c r="J385" s="1293"/>
      <c r="K385" s="1293"/>
      <c r="L385" s="1293"/>
      <c r="M385" s="1293"/>
      <c r="N385" s="1293"/>
      <c r="O385" s="1293"/>
      <c r="P385" s="1293"/>
      <c r="Q385" s="1293"/>
      <c r="R385" s="1293"/>
      <c r="S385" s="1293"/>
      <c r="T385" s="1293"/>
      <c r="U385" s="1293"/>
      <c r="V385" s="1293"/>
      <c r="W385" s="1293"/>
      <c r="X385" s="1293"/>
      <c r="Y385" s="1293"/>
      <c r="Z385" s="1293"/>
      <c r="AA385" s="1293"/>
      <c r="AB385" s="1293"/>
      <c r="AC385" s="1293"/>
      <c r="AD385" s="1293"/>
      <c r="AE385" s="1293"/>
      <c r="AF385" s="1293"/>
      <c r="AG385" s="1293"/>
    </row>
    <row r="386" spans="1:33" ht="15.75">
      <c r="A386" s="1293"/>
      <c r="B386" s="1293"/>
      <c r="C386" s="1293"/>
      <c r="D386" s="1293"/>
      <c r="E386" s="1293"/>
      <c r="F386" s="1293"/>
      <c r="G386" s="1293"/>
      <c r="H386" s="1293"/>
      <c r="I386" s="1293"/>
      <c r="J386" s="1293"/>
      <c r="K386" s="1293"/>
      <c r="L386" s="1293"/>
      <c r="M386" s="1293"/>
      <c r="N386" s="1293"/>
      <c r="O386" s="1293"/>
      <c r="P386" s="1293"/>
      <c r="Q386" s="1293"/>
      <c r="R386" s="1293"/>
      <c r="S386" s="1293"/>
      <c r="T386" s="1293"/>
      <c r="U386" s="1293"/>
      <c r="V386" s="1293"/>
      <c r="W386" s="1293"/>
      <c r="X386" s="1293"/>
      <c r="Y386" s="1293"/>
      <c r="Z386" s="1293"/>
      <c r="AA386" s="1293"/>
      <c r="AB386" s="1293"/>
      <c r="AC386" s="1293"/>
      <c r="AD386" s="1293"/>
      <c r="AE386" s="1293"/>
      <c r="AF386" s="1293"/>
      <c r="AG386" s="1293"/>
    </row>
    <row r="387" spans="1:33" ht="15.75">
      <c r="A387" s="1293"/>
      <c r="B387" s="1293"/>
      <c r="C387" s="1293"/>
      <c r="D387" s="1293"/>
      <c r="E387" s="1293"/>
      <c r="F387" s="1293"/>
      <c r="G387" s="1293"/>
      <c r="H387" s="1293"/>
      <c r="I387" s="1293"/>
      <c r="J387" s="1293"/>
      <c r="K387" s="1293"/>
      <c r="L387" s="1293"/>
      <c r="M387" s="1293"/>
      <c r="N387" s="1293"/>
      <c r="O387" s="1293"/>
      <c r="P387" s="1293"/>
      <c r="Q387" s="1293"/>
      <c r="R387" s="1293"/>
      <c r="S387" s="1293"/>
      <c r="T387" s="1293"/>
      <c r="U387" s="1293"/>
      <c r="V387" s="1293"/>
      <c r="W387" s="1293"/>
      <c r="X387" s="1293"/>
      <c r="Y387" s="1293"/>
      <c r="Z387" s="1293"/>
      <c r="AA387" s="1293"/>
      <c r="AB387" s="1293"/>
      <c r="AC387" s="1293"/>
      <c r="AD387" s="1293"/>
      <c r="AE387" s="1293"/>
      <c r="AF387" s="1293"/>
      <c r="AG387" s="1293"/>
    </row>
    <row r="388" spans="1:33" ht="15.75">
      <c r="A388" s="1293"/>
      <c r="B388" s="1293"/>
      <c r="C388" s="1293"/>
      <c r="D388" s="1293"/>
      <c r="E388" s="1293"/>
      <c r="F388" s="1293"/>
      <c r="G388" s="1293"/>
      <c r="H388" s="1293"/>
      <c r="I388" s="1293"/>
      <c r="J388" s="1293"/>
      <c r="K388" s="1293"/>
      <c r="L388" s="1293"/>
      <c r="M388" s="1293"/>
      <c r="N388" s="1293"/>
      <c r="O388" s="1293"/>
      <c r="P388" s="1293"/>
      <c r="Q388" s="1293"/>
      <c r="R388" s="1293"/>
      <c r="S388" s="1293"/>
      <c r="T388" s="1293"/>
      <c r="U388" s="1293"/>
      <c r="V388" s="1293"/>
      <c r="W388" s="1293"/>
      <c r="X388" s="1293"/>
      <c r="Y388" s="1293"/>
      <c r="Z388" s="1293"/>
      <c r="AA388" s="1293"/>
      <c r="AB388" s="1293"/>
      <c r="AC388" s="1293"/>
      <c r="AD388" s="1293"/>
      <c r="AE388" s="1293"/>
      <c r="AF388" s="1293"/>
      <c r="AG388" s="1293"/>
    </row>
    <row r="389" spans="1:33" ht="15.75">
      <c r="A389" s="1293"/>
      <c r="B389" s="1293"/>
      <c r="C389" s="1293"/>
      <c r="D389" s="1293"/>
      <c r="E389" s="1293"/>
      <c r="F389" s="1293"/>
      <c r="G389" s="1293"/>
      <c r="H389" s="1293"/>
      <c r="I389" s="1293"/>
      <c r="J389" s="1293"/>
      <c r="K389" s="1293"/>
      <c r="L389" s="1293"/>
      <c r="M389" s="1293"/>
      <c r="N389" s="1293"/>
      <c r="O389" s="1293"/>
      <c r="P389" s="1293"/>
      <c r="Q389" s="1293"/>
      <c r="R389" s="1293"/>
      <c r="S389" s="1293"/>
      <c r="T389" s="1293"/>
      <c r="U389" s="1293"/>
      <c r="V389" s="1293"/>
      <c r="W389" s="1293"/>
      <c r="X389" s="1293"/>
      <c r="Y389" s="1293"/>
      <c r="Z389" s="1293"/>
      <c r="AA389" s="1293"/>
      <c r="AB389" s="1293"/>
      <c r="AC389" s="1293"/>
      <c r="AD389" s="1293"/>
      <c r="AE389" s="1293"/>
      <c r="AF389" s="1293"/>
      <c r="AG389" s="1293"/>
    </row>
    <row r="390" spans="1:33" ht="15.75">
      <c r="A390" s="1293"/>
      <c r="B390" s="1293"/>
      <c r="C390" s="1293"/>
      <c r="D390" s="1293"/>
      <c r="E390" s="1293"/>
      <c r="F390" s="1293"/>
      <c r="G390" s="1293"/>
      <c r="H390" s="1293"/>
      <c r="I390" s="1293"/>
      <c r="J390" s="1293"/>
      <c r="K390" s="1293"/>
      <c r="L390" s="1293"/>
      <c r="M390" s="1293"/>
      <c r="N390" s="1293"/>
      <c r="O390" s="1293"/>
      <c r="P390" s="1293"/>
      <c r="Q390" s="1293"/>
      <c r="R390" s="1293"/>
      <c r="S390" s="1293"/>
      <c r="T390" s="1293"/>
      <c r="U390" s="1293"/>
      <c r="V390" s="1293"/>
      <c r="W390" s="1293"/>
      <c r="X390" s="1293"/>
      <c r="Y390" s="1293"/>
      <c r="Z390" s="1293"/>
      <c r="AA390" s="1293"/>
      <c r="AB390" s="1293"/>
      <c r="AC390" s="1293"/>
      <c r="AD390" s="1293"/>
      <c r="AE390" s="1293"/>
      <c r="AF390" s="1293"/>
      <c r="AG390" s="1293"/>
    </row>
    <row r="391" spans="1:33" ht="15.75">
      <c r="A391" s="1293"/>
      <c r="B391" s="1293"/>
      <c r="C391" s="1293"/>
      <c r="D391" s="1293"/>
      <c r="E391" s="1293"/>
      <c r="F391" s="1293"/>
      <c r="G391" s="1293"/>
      <c r="H391" s="1293"/>
      <c r="I391" s="1293"/>
      <c r="J391" s="1293"/>
      <c r="K391" s="1293"/>
      <c r="L391" s="1293"/>
      <c r="M391" s="1293"/>
      <c r="N391" s="1293"/>
      <c r="O391" s="1293"/>
      <c r="P391" s="1293"/>
      <c r="Q391" s="1293"/>
      <c r="R391" s="1293"/>
      <c r="S391" s="1293"/>
      <c r="T391" s="1293"/>
      <c r="U391" s="1293"/>
      <c r="V391" s="1293"/>
      <c r="W391" s="1293"/>
      <c r="X391" s="1293"/>
      <c r="Y391" s="1293"/>
      <c r="Z391" s="1293"/>
      <c r="AA391" s="1293"/>
      <c r="AB391" s="1293"/>
      <c r="AC391" s="1293"/>
      <c r="AD391" s="1293"/>
      <c r="AE391" s="1293"/>
      <c r="AF391" s="1293"/>
      <c r="AG391" s="1293"/>
    </row>
    <row r="392" spans="1:33" ht="15.75">
      <c r="A392" s="1293"/>
      <c r="B392" s="1293"/>
      <c r="C392" s="1293"/>
      <c r="D392" s="1293"/>
      <c r="E392" s="1293"/>
      <c r="F392" s="1293"/>
      <c r="G392" s="1293"/>
      <c r="H392" s="1293"/>
      <c r="I392" s="1293"/>
      <c r="J392" s="1293"/>
      <c r="K392" s="1293"/>
      <c r="L392" s="1293"/>
      <c r="M392" s="1293"/>
      <c r="N392" s="1293"/>
      <c r="O392" s="1293"/>
      <c r="P392" s="1293"/>
      <c r="Q392" s="1293"/>
      <c r="R392" s="1293"/>
      <c r="S392" s="1293"/>
      <c r="T392" s="1293"/>
      <c r="U392" s="1293"/>
      <c r="V392" s="1293"/>
      <c r="W392" s="1293"/>
      <c r="X392" s="1293"/>
      <c r="Y392" s="1293"/>
      <c r="Z392" s="1293"/>
      <c r="AA392" s="1293"/>
      <c r="AB392" s="1293"/>
      <c r="AC392" s="1293"/>
      <c r="AD392" s="1293"/>
      <c r="AE392" s="1293"/>
      <c r="AF392" s="1293"/>
      <c r="AG392" s="1293"/>
    </row>
    <row r="393" spans="1:33" ht="15.75">
      <c r="A393" s="1293"/>
      <c r="B393" s="1293"/>
      <c r="C393" s="1293"/>
      <c r="D393" s="1293"/>
      <c r="E393" s="1293"/>
      <c r="F393" s="1293"/>
      <c r="G393" s="1293"/>
      <c r="H393" s="1293"/>
      <c r="I393" s="1293"/>
      <c r="J393" s="1293"/>
      <c r="K393" s="1293"/>
      <c r="L393" s="1293"/>
      <c r="M393" s="1293"/>
      <c r="N393" s="1293"/>
      <c r="O393" s="1293"/>
      <c r="P393" s="1293"/>
      <c r="Q393" s="1293"/>
      <c r="R393" s="1293"/>
      <c r="S393" s="1293"/>
      <c r="T393" s="1293"/>
      <c r="U393" s="1293"/>
      <c r="V393" s="1293"/>
      <c r="W393" s="1293"/>
      <c r="X393" s="1293"/>
      <c r="Y393" s="1293"/>
      <c r="Z393" s="1293"/>
      <c r="AA393" s="1293"/>
      <c r="AB393" s="1293"/>
      <c r="AC393" s="1293"/>
      <c r="AD393" s="1293"/>
      <c r="AE393" s="1293"/>
      <c r="AF393" s="1293"/>
      <c r="AG393" s="1293"/>
    </row>
    <row r="394" spans="1:33" ht="15.75">
      <c r="A394" s="1293"/>
      <c r="B394" s="1293"/>
      <c r="C394" s="1293"/>
      <c r="D394" s="1293"/>
      <c r="E394" s="1293"/>
      <c r="F394" s="1293"/>
      <c r="G394" s="1293"/>
      <c r="H394" s="1293"/>
      <c r="I394" s="1293"/>
      <c r="J394" s="1293"/>
      <c r="K394" s="1293"/>
      <c r="L394" s="1293"/>
      <c r="M394" s="1293"/>
      <c r="N394" s="1293"/>
      <c r="O394" s="1293"/>
      <c r="P394" s="1293"/>
      <c r="Q394" s="1293"/>
      <c r="R394" s="1293"/>
      <c r="S394" s="1293"/>
      <c r="T394" s="1293"/>
      <c r="U394" s="1293"/>
      <c r="V394" s="1293"/>
      <c r="W394" s="1293"/>
      <c r="X394" s="1293"/>
      <c r="Y394" s="1293"/>
      <c r="Z394" s="1293"/>
      <c r="AA394" s="1293"/>
      <c r="AB394" s="1293"/>
      <c r="AC394" s="1293"/>
      <c r="AD394" s="1293"/>
      <c r="AE394" s="1293"/>
      <c r="AF394" s="1293"/>
      <c r="AG394" s="1293"/>
    </row>
    <row r="395" spans="1:33" ht="15.75">
      <c r="A395" s="1293"/>
      <c r="B395" s="1293"/>
      <c r="C395" s="1293"/>
      <c r="D395" s="1293"/>
      <c r="E395" s="1293"/>
      <c r="F395" s="1293"/>
      <c r="G395" s="1293"/>
      <c r="H395" s="1293"/>
      <c r="I395" s="1293"/>
      <c r="J395" s="1293"/>
      <c r="K395" s="1293"/>
      <c r="L395" s="1293"/>
      <c r="M395" s="1293"/>
      <c r="N395" s="1293"/>
      <c r="O395" s="1293"/>
      <c r="P395" s="1293"/>
      <c r="Q395" s="1293"/>
      <c r="R395" s="1293"/>
      <c r="S395" s="1293"/>
      <c r="T395" s="1293"/>
      <c r="U395" s="1293"/>
      <c r="V395" s="1293"/>
      <c r="W395" s="1293"/>
      <c r="X395" s="1293"/>
      <c r="Y395" s="1293"/>
      <c r="Z395" s="1293"/>
      <c r="AA395" s="1293"/>
      <c r="AB395" s="1293"/>
      <c r="AC395" s="1293"/>
      <c r="AD395" s="1293"/>
      <c r="AE395" s="1293"/>
      <c r="AF395" s="1293"/>
      <c r="AG395" s="1293"/>
    </row>
    <row r="396" spans="1:33" ht="15.75">
      <c r="A396" s="1293"/>
      <c r="B396" s="1293"/>
      <c r="C396" s="1293"/>
      <c r="D396" s="1293"/>
      <c r="E396" s="1293"/>
      <c r="F396" s="1293"/>
      <c r="G396" s="1293"/>
      <c r="H396" s="1293"/>
      <c r="I396" s="1293"/>
      <c r="J396" s="1293"/>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row>
    <row r="397" spans="1:33" ht="15.75">
      <c r="A397" s="1293"/>
      <c r="B397" s="1293"/>
      <c r="C397" s="1293"/>
      <c r="D397" s="1293"/>
      <c r="E397" s="1293"/>
      <c r="F397" s="1293"/>
      <c r="G397" s="1293"/>
      <c r="H397" s="1293"/>
      <c r="I397" s="1293"/>
      <c r="J397" s="1293"/>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row>
    <row r="398" spans="1:33" ht="15.75">
      <c r="A398" s="1293"/>
      <c r="B398" s="1293"/>
      <c r="C398" s="1293"/>
      <c r="D398" s="1293"/>
      <c r="E398" s="1293"/>
      <c r="F398" s="1293"/>
      <c r="G398" s="1293"/>
      <c r="H398" s="1293"/>
      <c r="I398" s="1293"/>
      <c r="J398" s="1293"/>
      <c r="K398" s="1293"/>
      <c r="L398" s="1293"/>
      <c r="M398" s="1293"/>
      <c r="N398" s="1293"/>
      <c r="O398" s="1293"/>
      <c r="P398" s="1293"/>
      <c r="Q398" s="1293"/>
      <c r="R398" s="1293"/>
      <c r="S398" s="1293"/>
      <c r="T398" s="1293"/>
      <c r="U398" s="1293"/>
      <c r="V398" s="1293"/>
      <c r="W398" s="1293"/>
      <c r="X398" s="1293"/>
      <c r="Y398" s="1293"/>
      <c r="Z398" s="1293"/>
      <c r="AA398" s="1293"/>
      <c r="AB398" s="1293"/>
      <c r="AC398" s="1293"/>
      <c r="AD398" s="1293"/>
      <c r="AE398" s="1293"/>
      <c r="AF398" s="1293"/>
      <c r="AG398" s="1293"/>
    </row>
    <row r="399" spans="1:33" ht="15.75">
      <c r="A399" s="1293"/>
      <c r="B399" s="1293"/>
      <c r="C399" s="1293"/>
      <c r="D399" s="1293"/>
      <c r="E399" s="1293"/>
      <c r="F399" s="1293"/>
      <c r="G399" s="1293"/>
      <c r="H399" s="1293"/>
      <c r="I399" s="1293"/>
      <c r="J399" s="1293"/>
      <c r="K399" s="1293"/>
      <c r="L399" s="1293"/>
      <c r="M399" s="1293"/>
      <c r="N399" s="1293"/>
      <c r="O399" s="1293"/>
      <c r="P399" s="1293"/>
      <c r="Q399" s="1293"/>
      <c r="R399" s="1293"/>
      <c r="S399" s="1293"/>
      <c r="T399" s="1293"/>
      <c r="U399" s="1293"/>
      <c r="V399" s="1293"/>
      <c r="W399" s="1293"/>
      <c r="X399" s="1293"/>
      <c r="Y399" s="1293"/>
      <c r="Z399" s="1293"/>
      <c r="AA399" s="1293"/>
      <c r="AB399" s="1293"/>
      <c r="AC399" s="1293"/>
      <c r="AD399" s="1293"/>
      <c r="AE399" s="1293"/>
      <c r="AF399" s="1293"/>
      <c r="AG399" s="1293"/>
    </row>
    <row r="400" spans="1:33" ht="15.75">
      <c r="A400" s="1293"/>
      <c r="B400" s="1293"/>
      <c r="C400" s="1293"/>
      <c r="D400" s="1293"/>
      <c r="E400" s="1293"/>
      <c r="F400" s="1293"/>
      <c r="G400" s="1293"/>
      <c r="H400" s="1293"/>
      <c r="I400" s="1293"/>
      <c r="J400" s="1293"/>
      <c r="K400" s="1293"/>
      <c r="L400" s="1293"/>
      <c r="M400" s="1293"/>
      <c r="N400" s="1293"/>
      <c r="O400" s="1293"/>
      <c r="P400" s="1293"/>
      <c r="Q400" s="1293"/>
      <c r="R400" s="1293"/>
      <c r="S400" s="1293"/>
      <c r="T400" s="1293"/>
      <c r="U400" s="1293"/>
      <c r="V400" s="1293"/>
      <c r="W400" s="1293"/>
      <c r="X400" s="1293"/>
      <c r="Y400" s="1293"/>
      <c r="Z400" s="1293"/>
      <c r="AA400" s="1293"/>
      <c r="AB400" s="1293"/>
      <c r="AC400" s="1293"/>
      <c r="AD400" s="1293"/>
      <c r="AE400" s="1293"/>
      <c r="AF400" s="1293"/>
      <c r="AG400" s="1293"/>
    </row>
    <row r="401" spans="1:33" ht="15.75">
      <c r="A401" s="1293"/>
      <c r="B401" s="1293"/>
      <c r="C401" s="1293"/>
      <c r="D401" s="1293"/>
      <c r="E401" s="1293"/>
      <c r="F401" s="1293"/>
      <c r="G401" s="1293"/>
      <c r="H401" s="1293"/>
      <c r="I401" s="1293"/>
      <c r="J401" s="1293"/>
      <c r="K401" s="1293"/>
      <c r="L401" s="1293"/>
      <c r="M401" s="1293"/>
      <c r="N401" s="1293"/>
      <c r="O401" s="1293"/>
      <c r="P401" s="1293"/>
      <c r="Q401" s="1293"/>
      <c r="R401" s="1293"/>
      <c r="S401" s="1293"/>
      <c r="T401" s="1293"/>
      <c r="U401" s="1293"/>
      <c r="V401" s="1293"/>
      <c r="W401" s="1293"/>
      <c r="X401" s="1293"/>
      <c r="Y401" s="1293"/>
      <c r="Z401" s="1293"/>
      <c r="AA401" s="1293"/>
      <c r="AB401" s="1293"/>
      <c r="AC401" s="1293"/>
      <c r="AD401" s="1293"/>
      <c r="AE401" s="1293"/>
      <c r="AF401" s="1293"/>
      <c r="AG401" s="1293"/>
    </row>
    <row r="402" spans="1:33" ht="15.75">
      <c r="A402" s="1293"/>
      <c r="B402" s="1293"/>
      <c r="C402" s="1293"/>
      <c r="D402" s="1293"/>
      <c r="E402" s="1293"/>
      <c r="F402" s="1293"/>
      <c r="G402" s="1293"/>
      <c r="H402" s="1293"/>
      <c r="I402" s="1293"/>
      <c r="J402" s="1293"/>
      <c r="K402" s="1293"/>
      <c r="L402" s="1293"/>
      <c r="M402" s="1293"/>
      <c r="N402" s="1293"/>
      <c r="O402" s="1293"/>
      <c r="P402" s="1293"/>
      <c r="Q402" s="1293"/>
      <c r="R402" s="1293"/>
      <c r="S402" s="1293"/>
      <c r="T402" s="1293"/>
      <c r="U402" s="1293"/>
      <c r="V402" s="1293"/>
      <c r="W402" s="1293"/>
      <c r="X402" s="1293"/>
      <c r="Y402" s="1293"/>
      <c r="Z402" s="1293"/>
      <c r="AA402" s="1293"/>
      <c r="AB402" s="1293"/>
      <c r="AC402" s="1293"/>
      <c r="AD402" s="1293"/>
      <c r="AE402" s="1293"/>
      <c r="AF402" s="1293"/>
      <c r="AG402" s="1293"/>
    </row>
    <row r="403" spans="1:33" ht="15.75">
      <c r="A403" s="1293"/>
      <c r="B403" s="1293"/>
      <c r="C403" s="1293"/>
      <c r="D403" s="1293"/>
      <c r="E403" s="1293"/>
      <c r="F403" s="1293"/>
      <c r="G403" s="1293"/>
      <c r="H403" s="1293"/>
      <c r="I403" s="1293"/>
      <c r="J403" s="1293"/>
      <c r="K403" s="1293"/>
      <c r="L403" s="1293"/>
      <c r="M403" s="1293"/>
      <c r="N403" s="1293"/>
      <c r="O403" s="1293"/>
      <c r="P403" s="1293"/>
      <c r="Q403" s="1293"/>
      <c r="R403" s="1293"/>
      <c r="S403" s="1293"/>
      <c r="T403" s="1293"/>
      <c r="U403" s="1293"/>
      <c r="V403" s="1293"/>
      <c r="W403" s="1293"/>
      <c r="X403" s="1293"/>
      <c r="Y403" s="1293"/>
      <c r="Z403" s="1293"/>
      <c r="AA403" s="1293"/>
      <c r="AB403" s="1293"/>
      <c r="AC403" s="1293"/>
      <c r="AD403" s="1293"/>
      <c r="AE403" s="1293"/>
      <c r="AF403" s="1293"/>
      <c r="AG403" s="1293"/>
    </row>
    <row r="404" spans="1:33" ht="15.75">
      <c r="A404" s="1293"/>
      <c r="B404" s="1293"/>
      <c r="C404" s="1293"/>
      <c r="D404" s="1293"/>
      <c r="E404" s="1293"/>
      <c r="F404" s="1293"/>
      <c r="G404" s="1293"/>
      <c r="H404" s="1293"/>
      <c r="I404" s="1293"/>
      <c r="J404" s="1293"/>
      <c r="K404" s="1293"/>
      <c r="L404" s="1293"/>
      <c r="M404" s="1293"/>
      <c r="N404" s="1293"/>
      <c r="O404" s="1293"/>
      <c r="P404" s="1293"/>
      <c r="Q404" s="1293"/>
      <c r="R404" s="1293"/>
      <c r="S404" s="1293"/>
      <c r="T404" s="1293"/>
      <c r="U404" s="1293"/>
      <c r="V404" s="1293"/>
      <c r="W404" s="1293"/>
      <c r="X404" s="1293"/>
      <c r="Y404" s="1293"/>
      <c r="Z404" s="1293"/>
      <c r="AA404" s="1293"/>
      <c r="AB404" s="1293"/>
      <c r="AC404" s="1293"/>
      <c r="AD404" s="1293"/>
      <c r="AE404" s="1293"/>
      <c r="AF404" s="1293"/>
      <c r="AG404" s="1293"/>
    </row>
    <row r="405" spans="1:33" ht="15.75">
      <c r="A405" s="1293"/>
      <c r="B405" s="1293"/>
      <c r="C405" s="1293"/>
      <c r="D405" s="1293"/>
      <c r="E405" s="1293"/>
      <c r="F405" s="1293"/>
      <c r="G405" s="1293"/>
      <c r="H405" s="1293"/>
      <c r="I405" s="1293"/>
      <c r="J405" s="1293"/>
      <c r="K405" s="1293"/>
      <c r="L405" s="1293"/>
      <c r="M405" s="1293"/>
      <c r="N405" s="1293"/>
      <c r="O405" s="1293"/>
      <c r="P405" s="1293"/>
      <c r="Q405" s="1293"/>
      <c r="R405" s="1293"/>
      <c r="S405" s="1293"/>
      <c r="T405" s="1293"/>
      <c r="U405" s="1293"/>
      <c r="V405" s="1293"/>
      <c r="W405" s="1293"/>
      <c r="X405" s="1293"/>
      <c r="Y405" s="1293"/>
      <c r="Z405" s="1293"/>
      <c r="AA405" s="1293"/>
      <c r="AB405" s="1293"/>
      <c r="AC405" s="1293"/>
      <c r="AD405" s="1293"/>
      <c r="AE405" s="1293"/>
      <c r="AF405" s="1293"/>
      <c r="AG405" s="1293"/>
    </row>
    <row r="406" spans="1:33" ht="15.75">
      <c r="A406" s="1293"/>
      <c r="B406" s="1293"/>
      <c r="C406" s="1293"/>
      <c r="D406" s="1293"/>
      <c r="E406" s="1293"/>
      <c r="F406" s="1293"/>
      <c r="G406" s="1293"/>
      <c r="H406" s="1293"/>
      <c r="I406" s="1293"/>
      <c r="J406" s="1293"/>
      <c r="K406" s="1293"/>
      <c r="L406" s="1293"/>
      <c r="M406" s="1293"/>
      <c r="N406" s="1293"/>
      <c r="O406" s="1293"/>
      <c r="P406" s="1293"/>
      <c r="Q406" s="1293"/>
      <c r="R406" s="1293"/>
      <c r="S406" s="1293"/>
      <c r="T406" s="1293"/>
      <c r="U406" s="1293"/>
      <c r="V406" s="1293"/>
      <c r="W406" s="1293"/>
      <c r="X406" s="1293"/>
      <c r="Y406" s="1293"/>
      <c r="Z406" s="1293"/>
      <c r="AA406" s="1293"/>
      <c r="AB406" s="1293"/>
      <c r="AC406" s="1293"/>
      <c r="AD406" s="1293"/>
      <c r="AE406" s="1293"/>
      <c r="AF406" s="1293"/>
      <c r="AG406" s="1293"/>
    </row>
    <row r="407" spans="1:33" ht="15.75">
      <c r="A407" s="1293"/>
      <c r="B407" s="1293"/>
      <c r="C407" s="1293"/>
      <c r="D407" s="1293"/>
      <c r="E407" s="1293"/>
      <c r="F407" s="1293"/>
      <c r="G407" s="1293"/>
      <c r="H407" s="1293"/>
      <c r="I407" s="1293"/>
      <c r="J407" s="1293"/>
      <c r="K407" s="1293"/>
      <c r="L407" s="1293"/>
      <c r="M407" s="1293"/>
      <c r="N407" s="1293"/>
      <c r="O407" s="1293"/>
      <c r="P407" s="1293"/>
      <c r="Q407" s="1293"/>
      <c r="R407" s="1293"/>
      <c r="S407" s="1293"/>
      <c r="T407" s="1293"/>
      <c r="U407" s="1293"/>
      <c r="V407" s="1293"/>
      <c r="W407" s="1293"/>
      <c r="X407" s="1293"/>
      <c r="Y407" s="1293"/>
      <c r="Z407" s="1293"/>
      <c r="AA407" s="1293"/>
      <c r="AB407" s="1293"/>
      <c r="AC407" s="1293"/>
      <c r="AD407" s="1293"/>
      <c r="AE407" s="1293"/>
      <c r="AF407" s="1293"/>
      <c r="AG407" s="1293"/>
    </row>
    <row r="408" spans="1:33" ht="15.75">
      <c r="A408" s="1293"/>
      <c r="B408" s="1293"/>
      <c r="C408" s="1293"/>
      <c r="D408" s="1293"/>
      <c r="E408" s="1293"/>
      <c r="F408" s="1293"/>
      <c r="G408" s="1293"/>
      <c r="H408" s="1293"/>
      <c r="I408" s="1293"/>
      <c r="J408" s="1293"/>
      <c r="K408" s="1293"/>
      <c r="L408" s="1293"/>
      <c r="M408" s="1293"/>
      <c r="N408" s="1293"/>
      <c r="O408" s="1293"/>
      <c r="P408" s="1293"/>
      <c r="Q408" s="1293"/>
      <c r="R408" s="1293"/>
      <c r="S408" s="1293"/>
      <c r="T408" s="1293"/>
      <c r="U408" s="1293"/>
      <c r="V408" s="1293"/>
      <c r="W408" s="1293"/>
      <c r="X408" s="1293"/>
      <c r="Y408" s="1293"/>
      <c r="Z408" s="1293"/>
      <c r="AA408" s="1293"/>
      <c r="AB408" s="1293"/>
      <c r="AC408" s="1293"/>
      <c r="AD408" s="1293"/>
      <c r="AE408" s="1293"/>
      <c r="AF408" s="1293"/>
      <c r="AG408" s="1293"/>
    </row>
    <row r="409" spans="1:33" ht="15.75">
      <c r="A409" s="1293"/>
      <c r="B409" s="1293"/>
      <c r="C409" s="1293"/>
      <c r="D409" s="1293"/>
      <c r="E409" s="1293"/>
      <c r="F409" s="1293"/>
      <c r="G409" s="1293"/>
      <c r="H409" s="1293"/>
      <c r="I409" s="1293"/>
      <c r="J409" s="1293"/>
      <c r="K409" s="1293"/>
      <c r="L409" s="1293"/>
      <c r="M409" s="1293"/>
      <c r="N409" s="1293"/>
      <c r="O409" s="1293"/>
      <c r="P409" s="1293"/>
      <c r="Q409" s="1293"/>
      <c r="R409" s="1293"/>
      <c r="S409" s="1293"/>
      <c r="T409" s="1293"/>
      <c r="U409" s="1293"/>
      <c r="V409" s="1293"/>
      <c r="W409" s="1293"/>
      <c r="X409" s="1293"/>
      <c r="Y409" s="1293"/>
      <c r="Z409" s="1293"/>
      <c r="AA409" s="1293"/>
      <c r="AB409" s="1293"/>
      <c r="AC409" s="1293"/>
      <c r="AD409" s="1293"/>
      <c r="AE409" s="1293"/>
      <c r="AF409" s="1293"/>
      <c r="AG409" s="1293"/>
    </row>
    <row r="410" spans="1:33" ht="15.75">
      <c r="A410" s="1293"/>
      <c r="B410" s="1293"/>
      <c r="C410" s="1293"/>
      <c r="D410" s="1293"/>
      <c r="E410" s="1293"/>
      <c r="F410" s="1293"/>
      <c r="G410" s="1293"/>
      <c r="H410" s="1293"/>
      <c r="I410" s="1293"/>
      <c r="J410" s="1293"/>
      <c r="K410" s="1293"/>
      <c r="L410" s="1293"/>
      <c r="M410" s="1293"/>
      <c r="N410" s="1293"/>
      <c r="O410" s="1293"/>
      <c r="P410" s="1293"/>
      <c r="Q410" s="1293"/>
      <c r="R410" s="1293"/>
      <c r="S410" s="1293"/>
      <c r="T410" s="1293"/>
      <c r="U410" s="1293"/>
      <c r="V410" s="1293"/>
      <c r="W410" s="1293"/>
      <c r="X410" s="1293"/>
      <c r="Y410" s="1293"/>
      <c r="Z410" s="1293"/>
      <c r="AA410" s="1293"/>
      <c r="AB410" s="1293"/>
      <c r="AC410" s="1293"/>
      <c r="AD410" s="1293"/>
      <c r="AE410" s="1293"/>
      <c r="AF410" s="1293"/>
      <c r="AG410" s="1293"/>
    </row>
    <row r="411" spans="1:33" ht="15.75">
      <c r="A411" s="1293"/>
      <c r="B411" s="1293"/>
      <c r="C411" s="1293"/>
      <c r="D411" s="1293"/>
      <c r="E411" s="1293"/>
      <c r="F411" s="1293"/>
      <c r="G411" s="1293"/>
      <c r="H411" s="1293"/>
      <c r="I411" s="1293"/>
      <c r="J411" s="1293"/>
      <c r="K411" s="1293"/>
      <c r="L411" s="1293"/>
      <c r="M411" s="1293"/>
      <c r="N411" s="1293"/>
      <c r="O411" s="1293"/>
      <c r="P411" s="1293"/>
      <c r="Q411" s="1293"/>
      <c r="R411" s="1293"/>
      <c r="S411" s="1293"/>
      <c r="T411" s="1293"/>
      <c r="U411" s="1293"/>
      <c r="V411" s="1293"/>
      <c r="W411" s="1293"/>
      <c r="X411" s="1293"/>
      <c r="Y411" s="1293"/>
      <c r="Z411" s="1293"/>
      <c r="AA411" s="1293"/>
      <c r="AB411" s="1293"/>
      <c r="AC411" s="1293"/>
      <c r="AD411" s="1293"/>
      <c r="AE411" s="1293"/>
      <c r="AF411" s="1293"/>
      <c r="AG411" s="1293"/>
    </row>
    <row r="412" spans="1:33" ht="15.75">
      <c r="A412" s="1293"/>
      <c r="B412" s="1293"/>
      <c r="C412" s="1293"/>
      <c r="D412" s="1293"/>
      <c r="E412" s="1293"/>
      <c r="F412" s="1293"/>
      <c r="G412" s="1293"/>
      <c r="H412" s="1293"/>
      <c r="I412" s="1293"/>
      <c r="J412" s="1293"/>
      <c r="K412" s="1293"/>
      <c r="L412" s="1293"/>
      <c r="M412" s="1293"/>
      <c r="N412" s="1293"/>
      <c r="O412" s="1293"/>
      <c r="P412" s="1293"/>
      <c r="Q412" s="1293"/>
      <c r="R412" s="1293"/>
      <c r="S412" s="1293"/>
      <c r="T412" s="1293"/>
      <c r="U412" s="1293"/>
      <c r="V412" s="1293"/>
      <c r="W412" s="1293"/>
      <c r="X412" s="1293"/>
      <c r="Y412" s="1293"/>
      <c r="Z412" s="1293"/>
      <c r="AA412" s="1293"/>
      <c r="AB412" s="1293"/>
      <c r="AC412" s="1293"/>
      <c r="AD412" s="1293"/>
      <c r="AE412" s="1293"/>
      <c r="AF412" s="1293"/>
      <c r="AG412" s="1293"/>
    </row>
    <row r="413" spans="1:33" ht="15.75">
      <c r="A413" s="1293"/>
      <c r="B413" s="1293"/>
      <c r="C413" s="1293"/>
      <c r="D413" s="1293"/>
      <c r="E413" s="1293"/>
      <c r="F413" s="1293"/>
      <c r="G413" s="1293"/>
      <c r="H413" s="1293"/>
      <c r="I413" s="1293"/>
      <c r="J413" s="1293"/>
      <c r="K413" s="1293"/>
      <c r="L413" s="1293"/>
      <c r="M413" s="1293"/>
      <c r="N413" s="1293"/>
      <c r="O413" s="1293"/>
      <c r="P413" s="1293"/>
      <c r="Q413" s="1293"/>
      <c r="R413" s="1293"/>
      <c r="S413" s="1293"/>
      <c r="T413" s="1293"/>
      <c r="U413" s="1293"/>
      <c r="V413" s="1293"/>
      <c r="W413" s="1293"/>
      <c r="X413" s="1293"/>
      <c r="Y413" s="1293"/>
      <c r="Z413" s="1293"/>
      <c r="AA413" s="1293"/>
      <c r="AB413" s="1293"/>
      <c r="AC413" s="1293"/>
      <c r="AD413" s="1293"/>
      <c r="AE413" s="1293"/>
      <c r="AF413" s="1293"/>
      <c r="AG413" s="1293"/>
    </row>
    <row r="414" spans="1:33" ht="15.75">
      <c r="A414" s="1293"/>
      <c r="B414" s="1293"/>
      <c r="C414" s="1293"/>
      <c r="D414" s="1293"/>
      <c r="E414" s="1293"/>
      <c r="F414" s="1293"/>
      <c r="G414" s="1293"/>
      <c r="H414" s="1293"/>
      <c r="I414" s="1293"/>
      <c r="J414" s="1293"/>
      <c r="K414" s="1293"/>
      <c r="L414" s="1293"/>
      <c r="M414" s="1293"/>
      <c r="N414" s="1293"/>
      <c r="O414" s="1293"/>
      <c r="P414" s="1293"/>
      <c r="Q414" s="1293"/>
      <c r="R414" s="1293"/>
      <c r="S414" s="1293"/>
      <c r="T414" s="1293"/>
      <c r="U414" s="1293"/>
      <c r="V414" s="1293"/>
      <c r="W414" s="1293"/>
      <c r="X414" s="1293"/>
      <c r="Y414" s="1293"/>
      <c r="Z414" s="1293"/>
      <c r="AA414" s="1293"/>
      <c r="AB414" s="1293"/>
      <c r="AC414" s="1293"/>
      <c r="AD414" s="1293"/>
      <c r="AE414" s="1293"/>
      <c r="AF414" s="1293"/>
      <c r="AG414" s="1293"/>
    </row>
    <row r="415" spans="1:33" ht="15.75">
      <c r="A415" s="1293"/>
      <c r="B415" s="1293"/>
      <c r="C415" s="1293"/>
      <c r="D415" s="1293"/>
      <c r="E415" s="1293"/>
      <c r="F415" s="1293"/>
      <c r="G415" s="1293"/>
      <c r="H415" s="1293"/>
      <c r="I415" s="1293"/>
      <c r="J415" s="1293"/>
      <c r="K415" s="1293"/>
      <c r="L415" s="1293"/>
      <c r="M415" s="1293"/>
      <c r="N415" s="1293"/>
      <c r="O415" s="1293"/>
      <c r="P415" s="1293"/>
      <c r="Q415" s="1293"/>
      <c r="R415" s="1293"/>
      <c r="S415" s="1293"/>
      <c r="T415" s="1293"/>
      <c r="U415" s="1293"/>
      <c r="V415" s="1293"/>
      <c r="W415" s="1293"/>
      <c r="X415" s="1293"/>
      <c r="Y415" s="1293"/>
      <c r="Z415" s="1293"/>
      <c r="AA415" s="1293"/>
      <c r="AB415" s="1293"/>
      <c r="AC415" s="1293"/>
      <c r="AD415" s="1293"/>
      <c r="AE415" s="1293"/>
      <c r="AF415" s="1293"/>
      <c r="AG415" s="1293"/>
    </row>
    <row r="416" spans="1:33" ht="15.75">
      <c r="A416" s="1293"/>
      <c r="B416" s="1293"/>
      <c r="C416" s="1293"/>
      <c r="D416" s="1293"/>
      <c r="E416" s="1293"/>
      <c r="F416" s="1293"/>
      <c r="G416" s="1293"/>
      <c r="H416" s="1293"/>
      <c r="I416" s="1293"/>
      <c r="J416" s="1293"/>
      <c r="K416" s="1293"/>
      <c r="L416" s="1293"/>
      <c r="M416" s="1293"/>
      <c r="N416" s="1293"/>
      <c r="O416" s="1293"/>
      <c r="P416" s="1293"/>
      <c r="Q416" s="1293"/>
      <c r="R416" s="1293"/>
      <c r="S416" s="1293"/>
      <c r="T416" s="1293"/>
      <c r="U416" s="1293"/>
      <c r="V416" s="1293"/>
      <c r="W416" s="1293"/>
      <c r="X416" s="1293"/>
      <c r="Y416" s="1293"/>
      <c r="Z416" s="1293"/>
      <c r="AA416" s="1293"/>
      <c r="AB416" s="1293"/>
      <c r="AC416" s="1293"/>
      <c r="AD416" s="1293"/>
      <c r="AE416" s="1293"/>
      <c r="AF416" s="1293"/>
      <c r="AG416" s="1293"/>
    </row>
    <row r="417" spans="1:33" ht="15.75">
      <c r="A417" s="1293"/>
      <c r="B417" s="1293"/>
      <c r="C417" s="1293"/>
      <c r="D417" s="1293"/>
      <c r="E417" s="1293"/>
      <c r="F417" s="1293"/>
      <c r="G417" s="1293"/>
      <c r="H417" s="1293"/>
      <c r="I417" s="1293"/>
      <c r="J417" s="1293"/>
      <c r="K417" s="1293"/>
      <c r="L417" s="1293"/>
      <c r="M417" s="1293"/>
      <c r="N417" s="1293"/>
      <c r="O417" s="1293"/>
      <c r="P417" s="1293"/>
      <c r="Q417" s="1293"/>
      <c r="R417" s="1293"/>
      <c r="S417" s="1293"/>
      <c r="T417" s="1293"/>
      <c r="U417" s="1293"/>
      <c r="V417" s="1293"/>
      <c r="W417" s="1293"/>
      <c r="X417" s="1293"/>
      <c r="Y417" s="1293"/>
      <c r="Z417" s="1293"/>
      <c r="AA417" s="1293"/>
      <c r="AB417" s="1293"/>
      <c r="AC417" s="1293"/>
      <c r="AD417" s="1293"/>
      <c r="AE417" s="1293"/>
      <c r="AF417" s="1293"/>
      <c r="AG417" s="1293"/>
    </row>
    <row r="418" spans="1:33" ht="15.75">
      <c r="A418" s="1293"/>
      <c r="B418" s="1293"/>
      <c r="C418" s="1293"/>
      <c r="D418" s="1293"/>
      <c r="E418" s="1293"/>
      <c r="F418" s="1293"/>
      <c r="G418" s="1293"/>
      <c r="H418" s="1293"/>
      <c r="I418" s="1293"/>
      <c r="J418" s="1293"/>
      <c r="K418" s="1293"/>
      <c r="L418" s="1293"/>
      <c r="M418" s="1293"/>
      <c r="N418" s="1293"/>
      <c r="O418" s="1293"/>
      <c r="P418" s="1293"/>
      <c r="Q418" s="1293"/>
      <c r="R418" s="1293"/>
      <c r="S418" s="1293"/>
      <c r="T418" s="1293"/>
      <c r="U418" s="1293"/>
      <c r="V418" s="1293"/>
      <c r="W418" s="1293"/>
      <c r="X418" s="1293"/>
      <c r="Y418" s="1293"/>
      <c r="Z418" s="1293"/>
      <c r="AA418" s="1293"/>
      <c r="AB418" s="1293"/>
      <c r="AC418" s="1293"/>
      <c r="AD418" s="1293"/>
      <c r="AE418" s="1293"/>
      <c r="AF418" s="1293"/>
      <c r="AG418" s="1293"/>
    </row>
    <row r="419" spans="1:33" ht="15.75">
      <c r="A419" s="1293"/>
      <c r="B419" s="1293"/>
      <c r="C419" s="1293"/>
      <c r="D419" s="1293"/>
      <c r="E419" s="1293"/>
      <c r="F419" s="1293"/>
      <c r="G419" s="1293"/>
      <c r="H419" s="1293"/>
      <c r="I419" s="1293"/>
      <c r="J419" s="1293"/>
      <c r="K419" s="1293"/>
      <c r="L419" s="1293"/>
      <c r="M419" s="1293"/>
      <c r="N419" s="1293"/>
      <c r="O419" s="1293"/>
      <c r="P419" s="1293"/>
      <c r="Q419" s="1293"/>
      <c r="R419" s="1293"/>
      <c r="S419" s="1293"/>
      <c r="T419" s="1293"/>
      <c r="U419" s="1293"/>
      <c r="V419" s="1293"/>
      <c r="W419" s="1293"/>
      <c r="X419" s="1293"/>
      <c r="Y419" s="1293"/>
      <c r="Z419" s="1293"/>
      <c r="AA419" s="1293"/>
      <c r="AB419" s="1293"/>
      <c r="AC419" s="1293"/>
      <c r="AD419" s="1293"/>
      <c r="AE419" s="1293"/>
      <c r="AF419" s="1293"/>
      <c r="AG419" s="1293"/>
    </row>
    <row r="420" spans="1:33" ht="15.75">
      <c r="A420" s="1293"/>
      <c r="B420" s="1293"/>
      <c r="C420" s="1293"/>
      <c r="D420" s="1293"/>
      <c r="E420" s="1293"/>
      <c r="F420" s="1293"/>
      <c r="G420" s="1293"/>
      <c r="H420" s="1293"/>
      <c r="I420" s="1293"/>
      <c r="J420" s="1293"/>
      <c r="K420" s="1293"/>
      <c r="L420" s="1293"/>
      <c r="M420" s="1293"/>
      <c r="N420" s="1293"/>
      <c r="O420" s="1293"/>
      <c r="P420" s="1293"/>
      <c r="Q420" s="1293"/>
      <c r="R420" s="1293"/>
      <c r="S420" s="1293"/>
      <c r="T420" s="1293"/>
      <c r="U420" s="1293"/>
      <c r="V420" s="1293"/>
      <c r="W420" s="1293"/>
      <c r="X420" s="1293"/>
      <c r="Y420" s="1293"/>
      <c r="Z420" s="1293"/>
      <c r="AA420" s="1293"/>
      <c r="AB420" s="1293"/>
      <c r="AC420" s="1293"/>
      <c r="AD420" s="1293"/>
      <c r="AE420" s="1293"/>
      <c r="AF420" s="1293"/>
      <c r="AG420" s="1293"/>
    </row>
    <row r="421" spans="1:33" ht="15.75">
      <c r="A421" s="1293"/>
      <c r="B421" s="1293"/>
      <c r="C421" s="1293"/>
      <c r="D421" s="1293"/>
      <c r="E421" s="1293"/>
      <c r="F421" s="1293"/>
      <c r="G421" s="1293"/>
      <c r="H421" s="1293"/>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row>
    <row r="422" spans="1:33" ht="15.75">
      <c r="A422" s="1293"/>
      <c r="B422" s="1293"/>
      <c r="C422" s="1293"/>
      <c r="D422" s="1293"/>
      <c r="E422" s="1293"/>
      <c r="F422" s="1293"/>
      <c r="G422" s="1293"/>
      <c r="H422" s="1293"/>
      <c r="I422" s="1293"/>
      <c r="J422" s="1293"/>
      <c r="K422" s="1293"/>
      <c r="L422" s="1293"/>
      <c r="M422" s="1293"/>
      <c r="N422" s="1293"/>
      <c r="O422" s="1293"/>
      <c r="P422" s="1293"/>
      <c r="Q422" s="1293"/>
      <c r="R422" s="1293"/>
      <c r="S422" s="1293"/>
      <c r="T422" s="1293"/>
      <c r="U422" s="1293"/>
      <c r="V422" s="1293"/>
      <c r="W422" s="1293"/>
      <c r="X422" s="1293"/>
      <c r="Y422" s="1293"/>
      <c r="Z422" s="1293"/>
      <c r="AA422" s="1293"/>
      <c r="AB422" s="1293"/>
      <c r="AC422" s="1293"/>
      <c r="AD422" s="1293"/>
      <c r="AE422" s="1293"/>
      <c r="AF422" s="1293"/>
      <c r="AG422" s="1293"/>
    </row>
    <row r="423" spans="1:33" ht="15.75">
      <c r="A423" s="1293"/>
      <c r="B423" s="1293"/>
      <c r="C423" s="1293"/>
      <c r="D423" s="1293"/>
      <c r="E423" s="1293"/>
      <c r="F423" s="1293"/>
      <c r="G423" s="1293"/>
      <c r="H423" s="1293"/>
      <c r="I423" s="1293"/>
      <c r="J423" s="1293"/>
      <c r="K423" s="1293"/>
      <c r="L423" s="1293"/>
      <c r="M423" s="1293"/>
      <c r="N423" s="1293"/>
      <c r="O423" s="1293"/>
      <c r="P423" s="1293"/>
      <c r="Q423" s="1293"/>
      <c r="R423" s="1293"/>
      <c r="S423" s="1293"/>
      <c r="T423" s="1293"/>
      <c r="U423" s="1293"/>
      <c r="V423" s="1293"/>
      <c r="W423" s="1293"/>
      <c r="X423" s="1293"/>
      <c r="Y423" s="1293"/>
      <c r="Z423" s="1293"/>
      <c r="AA423" s="1293"/>
      <c r="AB423" s="1293"/>
      <c r="AC423" s="1293"/>
      <c r="AD423" s="1293"/>
      <c r="AE423" s="1293"/>
      <c r="AF423" s="1293"/>
      <c r="AG423" s="1293"/>
    </row>
    <row r="424" spans="1:33" ht="15.75">
      <c r="A424" s="1293"/>
      <c r="B424" s="1293"/>
      <c r="C424" s="1293"/>
      <c r="D424" s="1293"/>
      <c r="E424" s="1293"/>
      <c r="F424" s="1293"/>
      <c r="G424" s="1293"/>
      <c r="H424" s="1293"/>
      <c r="I424" s="1293"/>
      <c r="J424" s="1293"/>
      <c r="K424" s="1293"/>
      <c r="L424" s="1293"/>
      <c r="M424" s="1293"/>
      <c r="N424" s="1293"/>
      <c r="O424" s="1293"/>
      <c r="P424" s="1293"/>
      <c r="Q424" s="1293"/>
      <c r="R424" s="1293"/>
      <c r="S424" s="1293"/>
      <c r="T424" s="1293"/>
      <c r="U424" s="1293"/>
      <c r="V424" s="1293"/>
      <c r="W424" s="1293"/>
      <c r="X424" s="1293"/>
      <c r="Y424" s="1293"/>
      <c r="Z424" s="1293"/>
      <c r="AA424" s="1293"/>
      <c r="AB424" s="1293"/>
      <c r="AC424" s="1293"/>
      <c r="AD424" s="1293"/>
      <c r="AE424" s="1293"/>
      <c r="AF424" s="1293"/>
      <c r="AG424" s="1293"/>
    </row>
    <row r="425" spans="1:33" ht="15.75">
      <c r="A425" s="1293"/>
      <c r="B425" s="1293"/>
      <c r="C425" s="1293"/>
      <c r="D425" s="1293"/>
      <c r="E425" s="1293"/>
      <c r="F425" s="1293"/>
      <c r="G425" s="1293"/>
      <c r="H425" s="1293"/>
      <c r="I425" s="1293"/>
      <c r="J425" s="1293"/>
      <c r="K425" s="1293"/>
      <c r="L425" s="1293"/>
      <c r="M425" s="1293"/>
      <c r="N425" s="1293"/>
      <c r="O425" s="1293"/>
      <c r="P425" s="1293"/>
      <c r="Q425" s="1293"/>
      <c r="R425" s="1293"/>
      <c r="S425" s="1293"/>
      <c r="T425" s="1293"/>
      <c r="U425" s="1293"/>
      <c r="V425" s="1293"/>
      <c r="W425" s="1293"/>
      <c r="X425" s="1293"/>
      <c r="Y425" s="1293"/>
      <c r="Z425" s="1293"/>
      <c r="AA425" s="1293"/>
      <c r="AB425" s="1293"/>
      <c r="AC425" s="1293"/>
      <c r="AD425" s="1293"/>
      <c r="AE425" s="1293"/>
      <c r="AF425" s="1293"/>
      <c r="AG425" s="1293"/>
    </row>
    <row r="426" spans="1:33" ht="15.75">
      <c r="A426" s="1293"/>
      <c r="B426" s="1293"/>
      <c r="C426" s="1293"/>
      <c r="D426" s="1293"/>
      <c r="E426" s="1293"/>
      <c r="F426" s="1293"/>
      <c r="G426" s="1293"/>
      <c r="H426" s="1293"/>
      <c r="I426" s="1293"/>
      <c r="J426" s="1293"/>
      <c r="K426" s="1293"/>
      <c r="L426" s="1293"/>
      <c r="M426" s="1293"/>
      <c r="N426" s="1293"/>
      <c r="O426" s="1293"/>
      <c r="P426" s="1293"/>
      <c r="Q426" s="1293"/>
      <c r="R426" s="1293"/>
      <c r="S426" s="1293"/>
      <c r="T426" s="1293"/>
      <c r="U426" s="1293"/>
      <c r="V426" s="1293"/>
      <c r="W426" s="1293"/>
      <c r="X426" s="1293"/>
      <c r="Y426" s="1293"/>
      <c r="Z426" s="1293"/>
      <c r="AA426" s="1293"/>
      <c r="AB426" s="1293"/>
      <c r="AC426" s="1293"/>
      <c r="AD426" s="1293"/>
      <c r="AE426" s="1293"/>
      <c r="AF426" s="1293"/>
      <c r="AG426" s="1293"/>
    </row>
    <row r="427" spans="1:33" ht="15.75">
      <c r="A427" s="1293"/>
      <c r="B427" s="1293"/>
      <c r="C427" s="1293"/>
      <c r="D427" s="1293"/>
      <c r="E427" s="1293"/>
      <c r="F427" s="1293"/>
      <c r="G427" s="1293"/>
      <c r="H427" s="1293"/>
      <c r="I427" s="1293"/>
      <c r="J427" s="1293"/>
      <c r="K427" s="1293"/>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row>
    <row r="428" spans="1:33" ht="15.75">
      <c r="A428" s="1293"/>
      <c r="B428" s="1293"/>
      <c r="C428" s="1293"/>
      <c r="D428" s="1293"/>
      <c r="E428" s="1293"/>
      <c r="F428" s="1293"/>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row>
    <row r="429" spans="1:33" ht="15.75">
      <c r="A429" s="1293"/>
      <c r="B429" s="1293"/>
      <c r="C429" s="1293"/>
      <c r="D429" s="1293"/>
      <c r="E429" s="1293"/>
      <c r="F429" s="1293"/>
      <c r="G429" s="1293"/>
      <c r="H429" s="1293"/>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row>
    <row r="430" spans="1:33" ht="15.75">
      <c r="A430" s="1293"/>
      <c r="B430" s="1293"/>
      <c r="C430" s="1293"/>
      <c r="D430" s="1293"/>
      <c r="E430" s="1293"/>
      <c r="F430" s="1293"/>
      <c r="G430" s="1293"/>
      <c r="H430" s="1293"/>
      <c r="I430" s="1293"/>
      <c r="J430" s="1293"/>
      <c r="K430" s="1293"/>
      <c r="L430" s="1293"/>
      <c r="M430" s="1293"/>
      <c r="N430" s="1293"/>
      <c r="O430" s="1293"/>
      <c r="P430" s="1293"/>
      <c r="Q430" s="1293"/>
      <c r="R430" s="1293"/>
      <c r="S430" s="1293"/>
      <c r="T430" s="1293"/>
      <c r="U430" s="1293"/>
      <c r="V430" s="1293"/>
      <c r="W430" s="1293"/>
      <c r="X430" s="1293"/>
      <c r="Y430" s="1293"/>
      <c r="Z430" s="1293"/>
      <c r="AA430" s="1293"/>
      <c r="AB430" s="1293"/>
      <c r="AC430" s="1293"/>
      <c r="AD430" s="1293"/>
      <c r="AE430" s="1293"/>
      <c r="AF430" s="1293"/>
      <c r="AG430" s="1293"/>
    </row>
    <row r="431" spans="1:33" ht="15.75">
      <c r="A431" s="1293"/>
      <c r="B431" s="1293"/>
      <c r="C431" s="1293"/>
      <c r="D431" s="1293"/>
      <c r="E431" s="1293"/>
      <c r="F431" s="1293"/>
      <c r="G431" s="1293"/>
      <c r="H431" s="1293"/>
      <c r="I431" s="1293"/>
      <c r="J431" s="1293"/>
      <c r="K431" s="1293"/>
      <c r="L431" s="1293"/>
      <c r="M431" s="1293"/>
      <c r="N431" s="1293"/>
      <c r="O431" s="1293"/>
      <c r="P431" s="1293"/>
      <c r="Q431" s="1293"/>
      <c r="R431" s="1293"/>
      <c r="S431" s="1293"/>
      <c r="T431" s="1293"/>
      <c r="U431" s="1293"/>
      <c r="V431" s="1293"/>
      <c r="W431" s="1293"/>
      <c r="X431" s="1293"/>
      <c r="Y431" s="1293"/>
      <c r="Z431" s="1293"/>
      <c r="AA431" s="1293"/>
      <c r="AB431" s="1293"/>
      <c r="AC431" s="1293"/>
      <c r="AD431" s="1293"/>
      <c r="AE431" s="1293"/>
      <c r="AF431" s="1293"/>
      <c r="AG431" s="1293"/>
    </row>
    <row r="432" spans="1:33" ht="15.75">
      <c r="A432" s="1293"/>
      <c r="B432" s="1293"/>
      <c r="C432" s="1293"/>
      <c r="D432" s="1293"/>
      <c r="E432" s="1293"/>
      <c r="F432" s="1293"/>
      <c r="G432" s="1293"/>
      <c r="H432" s="1293"/>
      <c r="I432" s="1293"/>
      <c r="J432" s="1293"/>
      <c r="K432" s="1293"/>
      <c r="L432" s="1293"/>
      <c r="M432" s="1293"/>
      <c r="N432" s="1293"/>
      <c r="O432" s="1293"/>
      <c r="P432" s="1293"/>
      <c r="Q432" s="1293"/>
      <c r="R432" s="1293"/>
      <c r="S432" s="1293"/>
      <c r="T432" s="1293"/>
      <c r="U432" s="1293"/>
      <c r="V432" s="1293"/>
      <c r="W432" s="1293"/>
      <c r="X432" s="1293"/>
      <c r="Y432" s="1293"/>
      <c r="Z432" s="1293"/>
      <c r="AA432" s="1293"/>
      <c r="AB432" s="1293"/>
      <c r="AC432" s="1293"/>
      <c r="AD432" s="1293"/>
      <c r="AE432" s="1293"/>
      <c r="AF432" s="1293"/>
      <c r="AG432" s="1293"/>
    </row>
    <row r="433" spans="1:33" ht="15.75">
      <c r="A433" s="1293"/>
      <c r="B433" s="1293"/>
      <c r="C433" s="1293"/>
      <c r="D433" s="1293"/>
      <c r="E433" s="1293"/>
      <c r="F433" s="1293"/>
      <c r="G433" s="1293"/>
      <c r="H433" s="1293"/>
      <c r="I433" s="1293"/>
      <c r="J433" s="1293"/>
      <c r="K433" s="1293"/>
      <c r="L433" s="1293"/>
      <c r="M433" s="1293"/>
      <c r="N433" s="1293"/>
      <c r="O433" s="1293"/>
      <c r="P433" s="1293"/>
      <c r="Q433" s="1293"/>
      <c r="R433" s="1293"/>
      <c r="S433" s="1293"/>
      <c r="T433" s="1293"/>
      <c r="U433" s="1293"/>
      <c r="V433" s="1293"/>
      <c r="W433" s="1293"/>
      <c r="X433" s="1293"/>
      <c r="Y433" s="1293"/>
      <c r="Z433" s="1293"/>
      <c r="AA433" s="1293"/>
      <c r="AB433" s="1293"/>
      <c r="AC433" s="1293"/>
      <c r="AD433" s="1293"/>
      <c r="AE433" s="1293"/>
      <c r="AF433" s="1293"/>
      <c r="AG433" s="1293"/>
    </row>
    <row r="434" spans="1:33" ht="15.75">
      <c r="A434" s="1293"/>
      <c r="B434" s="1293"/>
      <c r="C434" s="1293"/>
      <c r="D434" s="1293"/>
      <c r="E434" s="1293"/>
      <c r="F434" s="1293"/>
      <c r="G434" s="1293"/>
      <c r="H434" s="1293"/>
      <c r="I434" s="1293"/>
      <c r="J434" s="1293"/>
      <c r="K434" s="1293"/>
      <c r="L434" s="1293"/>
      <c r="M434" s="1293"/>
      <c r="N434" s="1293"/>
      <c r="O434" s="1293"/>
      <c r="P434" s="1293"/>
      <c r="Q434" s="1293"/>
      <c r="R434" s="1293"/>
      <c r="S434" s="1293"/>
      <c r="T434" s="1293"/>
      <c r="U434" s="1293"/>
      <c r="V434" s="1293"/>
      <c r="W434" s="1293"/>
      <c r="X434" s="1293"/>
      <c r="Y434" s="1293"/>
      <c r="Z434" s="1293"/>
      <c r="AA434" s="1293"/>
      <c r="AB434" s="1293"/>
      <c r="AC434" s="1293"/>
      <c r="AD434" s="1293"/>
      <c r="AE434" s="1293"/>
      <c r="AF434" s="1293"/>
      <c r="AG434" s="1293"/>
    </row>
    <row r="435" spans="1:33" ht="15.75">
      <c r="A435" s="1293"/>
      <c r="B435" s="1293"/>
      <c r="C435" s="1293"/>
      <c r="D435" s="1293"/>
      <c r="E435" s="1293"/>
      <c r="F435" s="1293"/>
      <c r="G435" s="1293"/>
      <c r="H435" s="1293"/>
      <c r="I435" s="1293"/>
      <c r="J435" s="1293"/>
      <c r="K435" s="1293"/>
      <c r="L435" s="1293"/>
      <c r="M435" s="1293"/>
      <c r="N435" s="1293"/>
      <c r="O435" s="1293"/>
      <c r="P435" s="1293"/>
      <c r="Q435" s="1293"/>
      <c r="R435" s="1293"/>
      <c r="S435" s="1293"/>
      <c r="T435" s="1293"/>
      <c r="U435" s="1293"/>
      <c r="V435" s="1293"/>
      <c r="W435" s="1293"/>
      <c r="X435" s="1293"/>
      <c r="Y435" s="1293"/>
      <c r="Z435" s="1293"/>
      <c r="AA435" s="1293"/>
      <c r="AB435" s="1293"/>
      <c r="AC435" s="1293"/>
      <c r="AD435" s="1293"/>
      <c r="AE435" s="1293"/>
      <c r="AF435" s="1293"/>
      <c r="AG435" s="1293"/>
    </row>
    <row r="436" spans="1:33" ht="15.75">
      <c r="A436" s="1293"/>
      <c r="B436" s="1293"/>
      <c r="C436" s="1293"/>
      <c r="D436" s="1293"/>
      <c r="E436" s="1293"/>
      <c r="F436" s="1293"/>
      <c r="G436" s="1293"/>
      <c r="H436" s="1293"/>
      <c r="I436" s="1293"/>
      <c r="J436" s="1293"/>
      <c r="K436" s="1293"/>
      <c r="L436" s="1293"/>
      <c r="M436" s="1293"/>
      <c r="N436" s="1293"/>
      <c r="O436" s="1293"/>
      <c r="P436" s="1293"/>
      <c r="Q436" s="1293"/>
      <c r="R436" s="1293"/>
      <c r="S436" s="1293"/>
      <c r="T436" s="1293"/>
      <c r="U436" s="1293"/>
      <c r="V436" s="1293"/>
      <c r="W436" s="1293"/>
      <c r="X436" s="1293"/>
      <c r="Y436" s="1293"/>
      <c r="Z436" s="1293"/>
      <c r="AA436" s="1293"/>
      <c r="AB436" s="1293"/>
      <c r="AC436" s="1293"/>
      <c r="AD436" s="1293"/>
      <c r="AE436" s="1293"/>
      <c r="AF436" s="1293"/>
      <c r="AG436" s="1293"/>
    </row>
    <row r="437" spans="1:33" ht="15.75">
      <c r="A437" s="1293"/>
      <c r="B437" s="1293"/>
      <c r="C437" s="1293"/>
      <c r="D437" s="1293"/>
      <c r="E437" s="1293"/>
      <c r="F437" s="1293"/>
      <c r="G437" s="1293"/>
      <c r="H437" s="1293"/>
      <c r="I437" s="1293"/>
      <c r="J437" s="1293"/>
      <c r="K437" s="1293"/>
      <c r="L437" s="1293"/>
      <c r="M437" s="1293"/>
      <c r="N437" s="1293"/>
      <c r="O437" s="1293"/>
      <c r="P437" s="1293"/>
      <c r="Q437" s="1293"/>
      <c r="R437" s="1293"/>
      <c r="S437" s="1293"/>
      <c r="T437" s="1293"/>
      <c r="U437" s="1293"/>
      <c r="V437" s="1293"/>
      <c r="W437" s="1293"/>
      <c r="X437" s="1293"/>
      <c r="Y437" s="1293"/>
      <c r="Z437" s="1293"/>
      <c r="AA437" s="1293"/>
      <c r="AB437" s="1293"/>
      <c r="AC437" s="1293"/>
      <c r="AD437" s="1293"/>
      <c r="AE437" s="1293"/>
      <c r="AF437" s="1293"/>
      <c r="AG437" s="1293"/>
    </row>
    <row r="438" spans="1:33" ht="15.75">
      <c r="A438" s="1293"/>
      <c r="B438" s="1293"/>
      <c r="C438" s="1293"/>
      <c r="D438" s="1293"/>
      <c r="E438" s="1293"/>
      <c r="F438" s="1293"/>
      <c r="G438" s="1293"/>
      <c r="H438" s="1293"/>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c r="AF438" s="1293"/>
      <c r="AG438" s="1293"/>
    </row>
    <row r="439" spans="1:33" ht="15.75">
      <c r="A439" s="1293"/>
      <c r="B439" s="1293"/>
      <c r="C439" s="1293"/>
      <c r="D439" s="1293"/>
      <c r="E439" s="1293"/>
      <c r="F439" s="1293"/>
      <c r="G439" s="1293"/>
      <c r="H439" s="1293"/>
      <c r="I439" s="1293"/>
      <c r="J439" s="1293"/>
      <c r="K439" s="1293"/>
      <c r="L439" s="1293"/>
      <c r="M439" s="1293"/>
      <c r="N439" s="1293"/>
      <c r="O439" s="1293"/>
      <c r="P439" s="1293"/>
      <c r="Q439" s="1293"/>
      <c r="R439" s="1293"/>
      <c r="S439" s="1293"/>
      <c r="T439" s="1293"/>
      <c r="U439" s="1293"/>
      <c r="V439" s="1293"/>
      <c r="W439" s="1293"/>
      <c r="X439" s="1293"/>
      <c r="Y439" s="1293"/>
      <c r="Z439" s="1293"/>
      <c r="AA439" s="1293"/>
      <c r="AB439" s="1293"/>
      <c r="AC439" s="1293"/>
      <c r="AD439" s="1293"/>
      <c r="AE439" s="1293"/>
      <c r="AF439" s="1293"/>
      <c r="AG439" s="1293"/>
    </row>
    <row r="440" spans="1:33" ht="15.75">
      <c r="A440" s="1293"/>
      <c r="B440" s="1293"/>
      <c r="C440" s="1293"/>
      <c r="D440" s="1293"/>
      <c r="E440" s="1293"/>
      <c r="F440" s="1293"/>
      <c r="G440" s="1293"/>
      <c r="H440" s="1293"/>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c r="AF440" s="1293"/>
      <c r="AG440" s="1293"/>
    </row>
    <row r="441" spans="1:33" ht="15.75">
      <c r="A441" s="1293"/>
      <c r="B441" s="1293"/>
      <c r="C441" s="1293"/>
      <c r="D441" s="1293"/>
      <c r="E441" s="1293"/>
      <c r="F441" s="1293"/>
      <c r="G441" s="1293"/>
      <c r="H441" s="1293"/>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3"/>
      <c r="AG441" s="1293"/>
    </row>
    <row r="442" spans="1:33" ht="15.75">
      <c r="A442" s="1293"/>
      <c r="B442" s="1293"/>
      <c r="C442" s="1293"/>
      <c r="D442" s="1293"/>
      <c r="E442" s="1293"/>
      <c r="F442" s="1293"/>
      <c r="G442" s="1293"/>
      <c r="H442" s="1293"/>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3"/>
      <c r="AG442" s="1293"/>
    </row>
    <row r="443" spans="1:33" ht="15.75">
      <c r="A443" s="1293"/>
      <c r="B443" s="1293"/>
      <c r="C443" s="1293"/>
      <c r="D443" s="1293"/>
      <c r="E443" s="1293"/>
      <c r="F443" s="1293"/>
      <c r="G443" s="1293"/>
      <c r="H443" s="1293"/>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3"/>
      <c r="AG443" s="1293"/>
    </row>
    <row r="444" spans="1:33" ht="15.75">
      <c r="A444" s="1293"/>
      <c r="B444" s="1293"/>
      <c r="C444" s="1293"/>
      <c r="D444" s="1293"/>
      <c r="E444" s="1293"/>
      <c r="F444" s="1293"/>
      <c r="G444" s="1293"/>
      <c r="H444" s="1293"/>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row>
    <row r="445" spans="1:33" ht="15.75">
      <c r="A445" s="1293"/>
      <c r="B445" s="1293"/>
      <c r="C445" s="1293"/>
      <c r="D445" s="1293"/>
      <c r="E445" s="1293"/>
      <c r="F445" s="1293"/>
      <c r="G445" s="1293"/>
      <c r="H445" s="1293"/>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row>
    <row r="446" spans="1:33" ht="15.75">
      <c r="A446" s="1293"/>
      <c r="B446" s="1293"/>
      <c r="C446" s="1293"/>
      <c r="D446" s="1293"/>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row>
    <row r="447" spans="1:33" ht="15.75">
      <c r="A447" s="1293"/>
      <c r="B447" s="1293"/>
      <c r="C447" s="1293"/>
      <c r="D447" s="1293"/>
      <c r="E447" s="1293"/>
      <c r="F447" s="1293"/>
      <c r="G447" s="1293"/>
      <c r="H447" s="1293"/>
      <c r="I447" s="1293"/>
      <c r="J447" s="1293"/>
      <c r="K447" s="1293"/>
      <c r="L447" s="1293"/>
      <c r="M447" s="1293"/>
      <c r="N447" s="1293"/>
      <c r="O447" s="1293"/>
      <c r="P447" s="1293"/>
      <c r="Q447" s="1293"/>
      <c r="R447" s="1293"/>
      <c r="S447" s="1293"/>
      <c r="T447" s="1293"/>
      <c r="U447" s="1293"/>
      <c r="V447" s="1293"/>
      <c r="W447" s="1293"/>
      <c r="X447" s="1293"/>
      <c r="Y447" s="1293"/>
      <c r="Z447" s="1293"/>
      <c r="AA447" s="1293"/>
      <c r="AB447" s="1293"/>
      <c r="AC447" s="1293"/>
      <c r="AD447" s="1293"/>
      <c r="AE447" s="1293"/>
      <c r="AF447" s="1293"/>
      <c r="AG447" s="1293"/>
    </row>
    <row r="448" spans="1:33" ht="15.75">
      <c r="A448" s="1293"/>
      <c r="B448" s="1293"/>
      <c r="C448" s="1293"/>
      <c r="D448" s="1293"/>
      <c r="E448" s="1293"/>
      <c r="F448" s="1293"/>
      <c r="G448" s="1293"/>
      <c r="H448" s="1293"/>
      <c r="I448" s="1293"/>
      <c r="J448" s="1293"/>
      <c r="K448" s="1293"/>
      <c r="L448" s="1293"/>
      <c r="M448" s="1293"/>
      <c r="N448" s="1293"/>
      <c r="O448" s="1293"/>
      <c r="P448" s="1293"/>
      <c r="Q448" s="1293"/>
      <c r="R448" s="1293"/>
      <c r="S448" s="1293"/>
      <c r="T448" s="1293"/>
      <c r="U448" s="1293"/>
      <c r="V448" s="1293"/>
      <c r="W448" s="1293"/>
      <c r="X448" s="1293"/>
      <c r="Y448" s="1293"/>
      <c r="Z448" s="1293"/>
      <c r="AA448" s="1293"/>
      <c r="AB448" s="1293"/>
      <c r="AC448" s="1293"/>
      <c r="AD448" s="1293"/>
      <c r="AE448" s="1293"/>
      <c r="AF448" s="1293"/>
      <c r="AG448" s="1293"/>
    </row>
    <row r="449" spans="1:33" ht="15.75">
      <c r="A449" s="1293"/>
      <c r="B449" s="1293"/>
      <c r="C449" s="1293"/>
      <c r="D449" s="1293"/>
      <c r="E449" s="1293"/>
      <c r="F449" s="1293"/>
      <c r="G449" s="1293"/>
      <c r="H449" s="1293"/>
      <c r="I449" s="1293"/>
      <c r="J449" s="1293"/>
      <c r="K449" s="1293"/>
      <c r="L449" s="1293"/>
      <c r="M449" s="1293"/>
      <c r="N449" s="1293"/>
      <c r="O449" s="1293"/>
      <c r="P449" s="1293"/>
      <c r="Q449" s="1293"/>
      <c r="R449" s="1293"/>
      <c r="S449" s="1293"/>
      <c r="T449" s="1293"/>
      <c r="U449" s="1293"/>
      <c r="V449" s="1293"/>
      <c r="W449" s="1293"/>
      <c r="X449" s="1293"/>
      <c r="Y449" s="1293"/>
      <c r="Z449" s="1293"/>
      <c r="AA449" s="1293"/>
      <c r="AB449" s="1293"/>
      <c r="AC449" s="1293"/>
      <c r="AD449" s="1293"/>
      <c r="AE449" s="1293"/>
      <c r="AF449" s="1293"/>
      <c r="AG449" s="1293"/>
    </row>
    <row r="450" spans="1:33" ht="15.75">
      <c r="A450" s="1293"/>
      <c r="B450" s="1293"/>
      <c r="C450" s="1293"/>
      <c r="D450" s="1293"/>
      <c r="E450" s="1293"/>
      <c r="F450" s="1293"/>
      <c r="G450" s="1293"/>
      <c r="H450" s="1293"/>
      <c r="I450" s="1293"/>
      <c r="J450" s="1293"/>
      <c r="K450" s="1293"/>
      <c r="L450" s="1293"/>
      <c r="M450" s="1293"/>
      <c r="N450" s="1293"/>
      <c r="O450" s="1293"/>
      <c r="P450" s="1293"/>
      <c r="Q450" s="1293"/>
      <c r="R450" s="1293"/>
      <c r="S450" s="1293"/>
      <c r="T450" s="1293"/>
      <c r="U450" s="1293"/>
      <c r="V450" s="1293"/>
      <c r="W450" s="1293"/>
      <c r="X450" s="1293"/>
      <c r="Y450" s="1293"/>
      <c r="Z450" s="1293"/>
      <c r="AA450" s="1293"/>
      <c r="AB450" s="1293"/>
      <c r="AC450" s="1293"/>
      <c r="AD450" s="1293"/>
      <c r="AE450" s="1293"/>
      <c r="AF450" s="1293"/>
      <c r="AG450" s="1293"/>
    </row>
    <row r="451" spans="1:33" ht="15.75">
      <c r="A451" s="1293"/>
      <c r="B451" s="1293"/>
      <c r="C451" s="1293"/>
      <c r="D451" s="1293"/>
      <c r="E451" s="1293"/>
      <c r="F451" s="1293"/>
      <c r="G451" s="1293"/>
      <c r="H451" s="1293"/>
      <c r="I451" s="1293"/>
      <c r="J451" s="1293"/>
      <c r="K451" s="1293"/>
      <c r="L451" s="1293"/>
      <c r="M451" s="1293"/>
      <c r="N451" s="1293"/>
      <c r="O451" s="1293"/>
      <c r="P451" s="1293"/>
      <c r="Q451" s="1293"/>
      <c r="R451" s="1293"/>
      <c r="S451" s="1293"/>
      <c r="T451" s="1293"/>
      <c r="U451" s="1293"/>
      <c r="V451" s="1293"/>
      <c r="W451" s="1293"/>
      <c r="X451" s="1293"/>
      <c r="Y451" s="1293"/>
      <c r="Z451" s="1293"/>
      <c r="AA451" s="1293"/>
      <c r="AB451" s="1293"/>
      <c r="AC451" s="1293"/>
      <c r="AD451" s="1293"/>
      <c r="AE451" s="1293"/>
      <c r="AF451" s="1293"/>
      <c r="AG451" s="1293"/>
    </row>
    <row r="452" spans="1:33" ht="15.75">
      <c r="A452" s="1293"/>
      <c r="B452" s="1293"/>
      <c r="C452" s="1293"/>
      <c r="D452" s="1293"/>
      <c r="E452" s="1293"/>
      <c r="F452" s="1293"/>
      <c r="G452" s="1293"/>
      <c r="H452" s="1293"/>
      <c r="I452" s="1293"/>
      <c r="J452" s="1293"/>
      <c r="K452" s="1293"/>
      <c r="L452" s="1293"/>
      <c r="M452" s="1293"/>
      <c r="N452" s="1293"/>
      <c r="O452" s="1293"/>
      <c r="P452" s="1293"/>
      <c r="Q452" s="1293"/>
      <c r="R452" s="1293"/>
      <c r="S452" s="1293"/>
      <c r="T452" s="1293"/>
      <c r="U452" s="1293"/>
      <c r="V452" s="1293"/>
      <c r="W452" s="1293"/>
      <c r="X452" s="1293"/>
      <c r="Y452" s="1293"/>
      <c r="Z452" s="1293"/>
      <c r="AA452" s="1293"/>
      <c r="AB452" s="1293"/>
      <c r="AC452" s="1293"/>
      <c r="AD452" s="1293"/>
      <c r="AE452" s="1293"/>
      <c r="AF452" s="1293"/>
      <c r="AG452" s="1293"/>
    </row>
    <row r="453" spans="1:33" ht="15.75">
      <c r="A453" s="1293"/>
      <c r="B453" s="1293"/>
      <c r="C453" s="1293"/>
      <c r="D453" s="1293"/>
      <c r="E453" s="1293"/>
      <c r="F453" s="1293"/>
      <c r="G453" s="1293"/>
      <c r="H453" s="1293"/>
      <c r="I453" s="1293"/>
      <c r="J453" s="1293"/>
      <c r="K453" s="1293"/>
      <c r="L453" s="1293"/>
      <c r="M453" s="1293"/>
      <c r="N453" s="1293"/>
      <c r="O453" s="1293"/>
      <c r="P453" s="1293"/>
      <c r="Q453" s="1293"/>
      <c r="R453" s="1293"/>
      <c r="S453" s="1293"/>
      <c r="T453" s="1293"/>
      <c r="U453" s="1293"/>
      <c r="V453" s="1293"/>
      <c r="W453" s="1293"/>
      <c r="X453" s="1293"/>
      <c r="Y453" s="1293"/>
      <c r="Z453" s="1293"/>
      <c r="AA453" s="1293"/>
      <c r="AB453" s="1293"/>
      <c r="AC453" s="1293"/>
      <c r="AD453" s="1293"/>
      <c r="AE453" s="1293"/>
      <c r="AF453" s="1293"/>
      <c r="AG453" s="1293"/>
    </row>
    <row r="454" spans="1:33" ht="15.75">
      <c r="A454" s="1293"/>
      <c r="B454" s="1293"/>
      <c r="C454" s="1293"/>
      <c r="D454" s="1293"/>
      <c r="E454" s="1293"/>
      <c r="F454" s="1293"/>
      <c r="G454" s="1293"/>
      <c r="H454" s="1293"/>
      <c r="I454" s="1293"/>
      <c r="J454" s="1293"/>
      <c r="K454" s="1293"/>
      <c r="L454" s="1293"/>
      <c r="M454" s="1293"/>
      <c r="N454" s="1293"/>
      <c r="O454" s="1293"/>
      <c r="P454" s="1293"/>
      <c r="Q454" s="1293"/>
      <c r="R454" s="1293"/>
      <c r="S454" s="1293"/>
      <c r="T454" s="1293"/>
      <c r="U454" s="1293"/>
      <c r="V454" s="1293"/>
      <c r="W454" s="1293"/>
      <c r="X454" s="1293"/>
      <c r="Y454" s="1293"/>
      <c r="Z454" s="1293"/>
      <c r="AA454" s="1293"/>
      <c r="AB454" s="1293"/>
      <c r="AC454" s="1293"/>
      <c r="AD454" s="1293"/>
      <c r="AE454" s="1293"/>
      <c r="AF454" s="1293"/>
      <c r="AG454" s="1293"/>
    </row>
    <row r="455" spans="1:33" ht="15.75">
      <c r="A455" s="1293"/>
      <c r="B455" s="1293"/>
      <c r="C455" s="1293"/>
      <c r="D455" s="1293"/>
      <c r="E455" s="1293"/>
      <c r="F455" s="1293"/>
      <c r="G455" s="1293"/>
      <c r="H455" s="1293"/>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3"/>
      <c r="AG455" s="1293"/>
    </row>
    <row r="456" spans="1:33" ht="15.75">
      <c r="A456" s="1293"/>
      <c r="B456" s="1293"/>
      <c r="C456" s="1293"/>
      <c r="D456" s="1293"/>
      <c r="E456" s="1293"/>
      <c r="F456" s="1293"/>
      <c r="G456" s="1293"/>
      <c r="H456" s="1293"/>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3"/>
      <c r="AG456" s="1293"/>
    </row>
    <row r="457" spans="1:33" ht="15.75">
      <c r="A457" s="1293"/>
      <c r="B457" s="1293"/>
      <c r="C457" s="1293"/>
      <c r="D457" s="1293"/>
      <c r="E457" s="1293"/>
      <c r="F457" s="1293"/>
      <c r="G457" s="1293"/>
      <c r="H457" s="1293"/>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3"/>
      <c r="AG457" s="1293"/>
    </row>
    <row r="458" spans="1:33" ht="15.75">
      <c r="A458" s="1293"/>
      <c r="B458" s="1293"/>
      <c r="C458" s="1293"/>
      <c r="D458" s="1293"/>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3"/>
      <c r="AG458" s="1293"/>
    </row>
    <row r="459" spans="1:33" ht="15.75">
      <c r="A459" s="1293"/>
      <c r="B459" s="1293"/>
      <c r="C459" s="1293"/>
      <c r="D459" s="1293"/>
      <c r="E459" s="1293"/>
      <c r="F459" s="1293"/>
      <c r="G459" s="1293"/>
      <c r="H459" s="1293"/>
      <c r="I459" s="1293"/>
      <c r="J459" s="1293"/>
      <c r="K459" s="1293"/>
      <c r="L459" s="1293"/>
      <c r="M459" s="1293"/>
      <c r="N459" s="1293"/>
      <c r="O459" s="1293"/>
      <c r="P459" s="1293"/>
      <c r="Q459" s="1293"/>
      <c r="R459" s="1293"/>
      <c r="S459" s="1293"/>
      <c r="T459" s="1293"/>
      <c r="U459" s="1293"/>
      <c r="V459" s="1293"/>
      <c r="W459" s="1293"/>
      <c r="X459" s="1293"/>
      <c r="Y459" s="1293"/>
      <c r="Z459" s="1293"/>
      <c r="AA459" s="1293"/>
      <c r="AB459" s="1293"/>
      <c r="AC459" s="1293"/>
      <c r="AD459" s="1293"/>
      <c r="AE459" s="1293"/>
      <c r="AF459" s="1293"/>
      <c r="AG459" s="1293"/>
    </row>
    <row r="460" spans="1:33" ht="15.75">
      <c r="A460" s="1293"/>
      <c r="B460" s="1293"/>
      <c r="C460" s="1293"/>
      <c r="D460" s="1293"/>
      <c r="E460" s="1293"/>
      <c r="F460" s="1293"/>
      <c r="G460" s="1293"/>
      <c r="H460" s="1293"/>
      <c r="I460" s="1293"/>
      <c r="J460" s="1293"/>
      <c r="K460" s="1293"/>
      <c r="L460" s="1293"/>
      <c r="M460" s="1293"/>
      <c r="N460" s="1293"/>
      <c r="O460" s="1293"/>
      <c r="P460" s="1293"/>
      <c r="Q460" s="1293"/>
      <c r="R460" s="1293"/>
      <c r="S460" s="1293"/>
      <c r="T460" s="1293"/>
      <c r="U460" s="1293"/>
      <c r="V460" s="1293"/>
      <c r="W460" s="1293"/>
      <c r="X460" s="1293"/>
      <c r="Y460" s="1293"/>
      <c r="Z460" s="1293"/>
      <c r="AA460" s="1293"/>
      <c r="AB460" s="1293"/>
      <c r="AC460" s="1293"/>
      <c r="AD460" s="1293"/>
      <c r="AE460" s="1293"/>
      <c r="AF460" s="1293"/>
      <c r="AG460" s="1293"/>
    </row>
    <row r="461" spans="1:33" ht="15.75">
      <c r="A461" s="1293"/>
      <c r="B461" s="1293"/>
      <c r="C461" s="1293"/>
      <c r="D461" s="1293"/>
      <c r="E461" s="1293"/>
      <c r="F461" s="1293"/>
      <c r="G461" s="1293"/>
      <c r="H461" s="1293"/>
      <c r="I461" s="1293"/>
      <c r="J461" s="1293"/>
      <c r="K461" s="1293"/>
      <c r="L461" s="1293"/>
      <c r="M461" s="1293"/>
      <c r="N461" s="1293"/>
      <c r="O461" s="1293"/>
      <c r="P461" s="1293"/>
      <c r="Q461" s="1293"/>
      <c r="R461" s="1293"/>
      <c r="S461" s="1293"/>
      <c r="T461" s="1293"/>
      <c r="U461" s="1293"/>
      <c r="V461" s="1293"/>
      <c r="W461" s="1293"/>
      <c r="X461" s="1293"/>
      <c r="Y461" s="1293"/>
      <c r="Z461" s="1293"/>
      <c r="AA461" s="1293"/>
      <c r="AB461" s="1293"/>
      <c r="AC461" s="1293"/>
      <c r="AD461" s="1293"/>
      <c r="AE461" s="1293"/>
      <c r="AF461" s="1293"/>
      <c r="AG461" s="1293"/>
    </row>
    <row r="462" spans="1:33" ht="15.75">
      <c r="A462" s="1293"/>
      <c r="B462" s="1293"/>
      <c r="C462" s="1293"/>
      <c r="D462" s="1293"/>
      <c r="E462" s="1293"/>
      <c r="F462" s="1293"/>
      <c r="G462" s="1293"/>
      <c r="H462" s="1293"/>
      <c r="I462" s="1293"/>
      <c r="J462" s="1293"/>
      <c r="K462" s="1293"/>
      <c r="L462" s="1293"/>
      <c r="M462" s="1293"/>
      <c r="N462" s="1293"/>
      <c r="O462" s="1293"/>
      <c r="P462" s="1293"/>
      <c r="Q462" s="1293"/>
      <c r="R462" s="1293"/>
      <c r="S462" s="1293"/>
      <c r="T462" s="1293"/>
      <c r="U462" s="1293"/>
      <c r="V462" s="1293"/>
      <c r="W462" s="1293"/>
      <c r="X462" s="1293"/>
      <c r="Y462" s="1293"/>
      <c r="Z462" s="1293"/>
      <c r="AA462" s="1293"/>
      <c r="AB462" s="1293"/>
      <c r="AC462" s="1293"/>
      <c r="AD462" s="1293"/>
      <c r="AE462" s="1293"/>
      <c r="AF462" s="1293"/>
      <c r="AG462" s="1293"/>
    </row>
    <row r="463" spans="1:33" ht="15.75">
      <c r="A463" s="1293"/>
      <c r="B463" s="1293"/>
      <c r="C463" s="1293"/>
      <c r="D463" s="1293"/>
      <c r="E463" s="1293"/>
      <c r="F463" s="1293"/>
      <c r="G463" s="1293"/>
      <c r="H463" s="1293"/>
      <c r="I463" s="1293"/>
      <c r="J463" s="1293"/>
      <c r="K463" s="1293"/>
      <c r="L463" s="1293"/>
      <c r="M463" s="1293"/>
      <c r="N463" s="1293"/>
      <c r="O463" s="1293"/>
      <c r="P463" s="1293"/>
      <c r="Q463" s="1293"/>
      <c r="R463" s="1293"/>
      <c r="S463" s="1293"/>
      <c r="T463" s="1293"/>
      <c r="U463" s="1293"/>
      <c r="V463" s="1293"/>
      <c r="W463" s="1293"/>
      <c r="X463" s="1293"/>
      <c r="Y463" s="1293"/>
      <c r="Z463" s="1293"/>
      <c r="AA463" s="1293"/>
      <c r="AB463" s="1293"/>
      <c r="AC463" s="1293"/>
      <c r="AD463" s="1293"/>
      <c r="AE463" s="1293"/>
      <c r="AF463" s="1293"/>
      <c r="AG463" s="1293"/>
    </row>
    <row r="464" spans="1:33" ht="15.75">
      <c r="A464" s="1293"/>
      <c r="B464" s="1293"/>
      <c r="C464" s="1293"/>
      <c r="D464" s="1293"/>
      <c r="E464" s="1293"/>
      <c r="F464" s="1293"/>
      <c r="G464" s="1293"/>
      <c r="H464" s="1293"/>
      <c r="I464" s="1293"/>
      <c r="J464" s="1293"/>
      <c r="K464" s="1293"/>
      <c r="L464" s="1293"/>
      <c r="M464" s="1293"/>
      <c r="N464" s="1293"/>
      <c r="O464" s="1293"/>
      <c r="P464" s="1293"/>
      <c r="Q464" s="1293"/>
      <c r="R464" s="1293"/>
      <c r="S464" s="1293"/>
      <c r="T464" s="1293"/>
      <c r="U464" s="1293"/>
      <c r="V464" s="1293"/>
      <c r="W464" s="1293"/>
      <c r="X464" s="1293"/>
      <c r="Y464" s="1293"/>
      <c r="Z464" s="1293"/>
      <c r="AA464" s="1293"/>
      <c r="AB464" s="1293"/>
      <c r="AC464" s="1293"/>
      <c r="AD464" s="1293"/>
      <c r="AE464" s="1293"/>
      <c r="AF464" s="1293"/>
      <c r="AG464" s="1293"/>
    </row>
    <row r="465" spans="1:33" ht="15.75">
      <c r="A465" s="1293"/>
      <c r="B465" s="1293"/>
      <c r="C465" s="1293"/>
      <c r="D465" s="1293"/>
      <c r="E465" s="1293"/>
      <c r="F465" s="1293"/>
      <c r="G465" s="1293"/>
      <c r="H465" s="1293"/>
      <c r="I465" s="1293"/>
      <c r="J465" s="1293"/>
      <c r="K465" s="1293"/>
      <c r="L465" s="1293"/>
      <c r="M465" s="1293"/>
      <c r="N465" s="1293"/>
      <c r="O465" s="1293"/>
      <c r="P465" s="1293"/>
      <c r="Q465" s="1293"/>
      <c r="R465" s="1293"/>
      <c r="S465" s="1293"/>
      <c r="T465" s="1293"/>
      <c r="U465" s="1293"/>
      <c r="V465" s="1293"/>
      <c r="W465" s="1293"/>
      <c r="X465" s="1293"/>
      <c r="Y465" s="1293"/>
      <c r="Z465" s="1293"/>
      <c r="AA465" s="1293"/>
      <c r="AB465" s="1293"/>
      <c r="AC465" s="1293"/>
      <c r="AD465" s="1293"/>
      <c r="AE465" s="1293"/>
      <c r="AF465" s="1293"/>
      <c r="AG465" s="1293"/>
    </row>
    <row r="466" spans="1:33" ht="15.75">
      <c r="A466" s="1293"/>
      <c r="B466" s="1293"/>
      <c r="C466" s="1293"/>
      <c r="D466" s="1293"/>
      <c r="E466" s="1293"/>
      <c r="F466" s="1293"/>
      <c r="G466" s="1293"/>
      <c r="H466" s="1293"/>
      <c r="I466" s="1293"/>
      <c r="J466" s="1293"/>
      <c r="K466" s="1293"/>
      <c r="L466" s="1293"/>
      <c r="M466" s="1293"/>
      <c r="N466" s="1293"/>
      <c r="O466" s="1293"/>
      <c r="P466" s="1293"/>
      <c r="Q466" s="1293"/>
      <c r="R466" s="1293"/>
      <c r="S466" s="1293"/>
      <c r="T466" s="1293"/>
      <c r="U466" s="1293"/>
      <c r="V466" s="1293"/>
      <c r="W466" s="1293"/>
      <c r="X466" s="1293"/>
      <c r="Y466" s="1293"/>
      <c r="Z466" s="1293"/>
      <c r="AA466" s="1293"/>
      <c r="AB466" s="1293"/>
      <c r="AC466" s="1293"/>
      <c r="AD466" s="1293"/>
      <c r="AE466" s="1293"/>
      <c r="AF466" s="1293"/>
      <c r="AG466" s="1293"/>
    </row>
    <row r="467" spans="1:33" ht="15.75">
      <c r="A467" s="1293"/>
      <c r="B467" s="1293"/>
      <c r="C467" s="1293"/>
      <c r="D467" s="1293"/>
      <c r="E467" s="1293"/>
      <c r="F467" s="1293"/>
      <c r="G467" s="1293"/>
      <c r="H467" s="1293"/>
      <c r="I467" s="1293"/>
      <c r="J467" s="1293"/>
      <c r="K467" s="1293"/>
      <c r="L467" s="1293"/>
      <c r="M467" s="1293"/>
      <c r="N467" s="1293"/>
      <c r="O467" s="1293"/>
      <c r="P467" s="1293"/>
      <c r="Q467" s="1293"/>
      <c r="R467" s="1293"/>
      <c r="S467" s="1293"/>
      <c r="T467" s="1293"/>
      <c r="U467" s="1293"/>
      <c r="V467" s="1293"/>
      <c r="W467" s="1293"/>
      <c r="X467" s="1293"/>
      <c r="Y467" s="1293"/>
      <c r="Z467" s="1293"/>
      <c r="AA467" s="1293"/>
      <c r="AB467" s="1293"/>
      <c r="AC467" s="1293"/>
      <c r="AD467" s="1293"/>
      <c r="AE467" s="1293"/>
      <c r="AF467" s="1293"/>
      <c r="AG467" s="1293"/>
    </row>
    <row r="468" spans="1:33" ht="15.75">
      <c r="A468" s="1293"/>
      <c r="B468" s="1293"/>
      <c r="C468" s="1293"/>
      <c r="D468" s="1293"/>
      <c r="E468" s="1293"/>
      <c r="F468" s="1293"/>
      <c r="G468" s="1293"/>
      <c r="H468" s="1293"/>
      <c r="I468" s="1293"/>
      <c r="J468" s="1293"/>
      <c r="K468" s="1293"/>
      <c r="L468" s="1293"/>
      <c r="M468" s="1293"/>
      <c r="N468" s="1293"/>
      <c r="O468" s="1293"/>
      <c r="P468" s="1293"/>
      <c r="Q468" s="1293"/>
      <c r="R468" s="1293"/>
      <c r="S468" s="1293"/>
      <c r="T468" s="1293"/>
      <c r="U468" s="1293"/>
      <c r="V468" s="1293"/>
      <c r="W468" s="1293"/>
      <c r="X468" s="1293"/>
      <c r="Y468" s="1293"/>
      <c r="Z468" s="1293"/>
      <c r="AA468" s="1293"/>
      <c r="AB468" s="1293"/>
      <c r="AC468" s="1293"/>
      <c r="AD468" s="1293"/>
      <c r="AE468" s="1293"/>
      <c r="AF468" s="1293"/>
      <c r="AG468" s="1293"/>
    </row>
    <row r="469" spans="1:33" ht="15.75">
      <c r="A469" s="1293"/>
      <c r="B469" s="1293"/>
      <c r="C469" s="1293"/>
      <c r="D469" s="1293"/>
      <c r="E469" s="1293"/>
      <c r="F469" s="1293"/>
      <c r="G469" s="1293"/>
      <c r="H469" s="1293"/>
      <c r="I469" s="1293"/>
      <c r="J469" s="1293"/>
      <c r="K469" s="1293"/>
      <c r="L469" s="1293"/>
      <c r="M469" s="1293"/>
      <c r="N469" s="1293"/>
      <c r="O469" s="1293"/>
      <c r="P469" s="1293"/>
      <c r="Q469" s="1293"/>
      <c r="R469" s="1293"/>
      <c r="S469" s="1293"/>
      <c r="T469" s="1293"/>
      <c r="U469" s="1293"/>
      <c r="V469" s="1293"/>
      <c r="W469" s="1293"/>
      <c r="X469" s="1293"/>
      <c r="Y469" s="1293"/>
      <c r="Z469" s="1293"/>
      <c r="AA469" s="1293"/>
      <c r="AB469" s="1293"/>
      <c r="AC469" s="1293"/>
      <c r="AD469" s="1293"/>
      <c r="AE469" s="1293"/>
      <c r="AF469" s="1293"/>
      <c r="AG469" s="1293"/>
    </row>
    <row r="470" spans="1:33" ht="15.75">
      <c r="A470" s="1293"/>
      <c r="B470" s="1293"/>
      <c r="C470" s="1293"/>
      <c r="D470" s="1293"/>
      <c r="E470" s="1293"/>
      <c r="F470" s="1293"/>
      <c r="G470" s="1293"/>
      <c r="H470" s="1293"/>
      <c r="I470" s="1293"/>
      <c r="J470" s="1293"/>
      <c r="K470" s="1293"/>
      <c r="L470" s="1293"/>
      <c r="M470" s="1293"/>
      <c r="N470" s="1293"/>
      <c r="O470" s="1293"/>
      <c r="P470" s="1293"/>
      <c r="Q470" s="1293"/>
      <c r="R470" s="1293"/>
      <c r="S470" s="1293"/>
      <c r="T470" s="1293"/>
      <c r="U470" s="1293"/>
      <c r="V470" s="1293"/>
      <c r="W470" s="1293"/>
      <c r="X470" s="1293"/>
      <c r="Y470" s="1293"/>
      <c r="Z470" s="1293"/>
      <c r="AA470" s="1293"/>
      <c r="AB470" s="1293"/>
      <c r="AC470" s="1293"/>
      <c r="AD470" s="1293"/>
      <c r="AE470" s="1293"/>
      <c r="AF470" s="1293"/>
      <c r="AG470" s="1293"/>
    </row>
    <row r="471" spans="1:33" ht="15.75">
      <c r="A471" s="1293"/>
      <c r="B471" s="1293"/>
      <c r="C471" s="1293"/>
      <c r="D471" s="1293"/>
      <c r="E471" s="1293"/>
      <c r="F471" s="1293"/>
      <c r="G471" s="1293"/>
      <c r="H471" s="1293"/>
      <c r="I471" s="1293"/>
      <c r="J471" s="1293"/>
      <c r="K471" s="1293"/>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row>
    <row r="472" spans="1:33" ht="15.75">
      <c r="A472" s="1293"/>
      <c r="B472" s="1293"/>
      <c r="C472" s="1293"/>
      <c r="D472" s="1293"/>
      <c r="E472" s="1293"/>
      <c r="F472" s="1293"/>
      <c r="G472" s="1293"/>
      <c r="H472" s="1293"/>
      <c r="I472" s="1293"/>
      <c r="J472" s="1293"/>
      <c r="K472" s="1293"/>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row>
    <row r="473" spans="1:33" ht="15.75">
      <c r="A473" s="1293"/>
      <c r="B473" s="1293"/>
      <c r="C473" s="1293"/>
      <c r="D473" s="1293"/>
      <c r="E473" s="1293"/>
      <c r="F473" s="1293"/>
      <c r="G473" s="1293"/>
      <c r="H473" s="1293"/>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row>
    <row r="474" spans="1:33" ht="15.75">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row>
    <row r="475" spans="1:33" ht="15.75">
      <c r="A475" s="1293"/>
      <c r="B475" s="1293"/>
      <c r="C475" s="1293"/>
      <c r="D475" s="1293"/>
      <c r="E475" s="1293"/>
      <c r="F475" s="1293"/>
      <c r="G475" s="1293"/>
      <c r="H475" s="1293"/>
      <c r="I475" s="1293"/>
      <c r="J475" s="1293"/>
      <c r="K475" s="1293"/>
      <c r="L475" s="1293"/>
      <c r="M475" s="1293"/>
      <c r="N475" s="1293"/>
      <c r="O475" s="1293"/>
      <c r="P475" s="1293"/>
      <c r="Q475" s="1293"/>
      <c r="R475" s="1293"/>
      <c r="S475" s="1293"/>
      <c r="T475" s="1293"/>
      <c r="U475" s="1293"/>
      <c r="V475" s="1293"/>
      <c r="W475" s="1293"/>
      <c r="X475" s="1293"/>
      <c r="Y475" s="1293"/>
      <c r="Z475" s="1293"/>
      <c r="AA475" s="1293"/>
      <c r="AB475" s="1293"/>
      <c r="AC475" s="1293"/>
      <c r="AD475" s="1293"/>
      <c r="AE475" s="1293"/>
      <c r="AF475" s="1293"/>
      <c r="AG475" s="1293"/>
    </row>
    <row r="476" spans="1:33" ht="15.75">
      <c r="A476" s="1293"/>
      <c r="B476" s="1293"/>
      <c r="C476" s="1293"/>
      <c r="D476" s="1293"/>
      <c r="E476" s="1293"/>
      <c r="F476" s="1293"/>
      <c r="G476" s="1293"/>
      <c r="H476" s="1293"/>
      <c r="I476" s="1293"/>
      <c r="J476" s="1293"/>
      <c r="K476" s="1293"/>
      <c r="L476" s="1293"/>
      <c r="M476" s="1293"/>
      <c r="N476" s="1293"/>
      <c r="O476" s="1293"/>
      <c r="P476" s="1293"/>
      <c r="Q476" s="1293"/>
      <c r="R476" s="1293"/>
      <c r="S476" s="1293"/>
      <c r="T476" s="1293"/>
      <c r="U476" s="1293"/>
      <c r="V476" s="1293"/>
      <c r="W476" s="1293"/>
      <c r="X476" s="1293"/>
      <c r="Y476" s="1293"/>
      <c r="Z476" s="1293"/>
      <c r="AA476" s="1293"/>
      <c r="AB476" s="1293"/>
      <c r="AC476" s="1293"/>
      <c r="AD476" s="1293"/>
      <c r="AE476" s="1293"/>
      <c r="AF476" s="1293"/>
      <c r="AG476" s="1293"/>
    </row>
    <row r="477" spans="1:33" ht="15.75">
      <c r="A477" s="1293"/>
      <c r="B477" s="1293"/>
      <c r="C477" s="1293"/>
      <c r="D477" s="1293"/>
      <c r="E477" s="1293"/>
      <c r="F477" s="1293"/>
      <c r="G477" s="1293"/>
      <c r="H477" s="1293"/>
      <c r="I477" s="1293"/>
      <c r="J477" s="1293"/>
      <c r="K477" s="1293"/>
      <c r="L477" s="1293"/>
      <c r="M477" s="1293"/>
      <c r="N477" s="1293"/>
      <c r="O477" s="1293"/>
      <c r="P477" s="1293"/>
      <c r="Q477" s="1293"/>
      <c r="R477" s="1293"/>
      <c r="S477" s="1293"/>
      <c r="T477" s="1293"/>
      <c r="U477" s="1293"/>
      <c r="V477" s="1293"/>
      <c r="W477" s="1293"/>
      <c r="X477" s="1293"/>
      <c r="Y477" s="1293"/>
      <c r="Z477" s="1293"/>
      <c r="AA477" s="1293"/>
      <c r="AB477" s="1293"/>
      <c r="AC477" s="1293"/>
      <c r="AD477" s="1293"/>
      <c r="AE477" s="1293"/>
      <c r="AF477" s="1293"/>
      <c r="AG477" s="1293"/>
    </row>
    <row r="478" spans="1:33" ht="15.75">
      <c r="A478" s="1293"/>
      <c r="B478" s="1293"/>
      <c r="C478" s="1293"/>
      <c r="D478" s="1293"/>
      <c r="E478" s="1293"/>
      <c r="F478" s="1293"/>
      <c r="G478" s="1293"/>
      <c r="H478" s="1293"/>
      <c r="I478" s="1293"/>
      <c r="J478" s="1293"/>
      <c r="K478" s="1293"/>
      <c r="L478" s="1293"/>
      <c r="M478" s="1293"/>
      <c r="N478" s="1293"/>
      <c r="O478" s="1293"/>
      <c r="P478" s="1293"/>
      <c r="Q478" s="1293"/>
      <c r="R478" s="1293"/>
      <c r="S478" s="1293"/>
      <c r="T478" s="1293"/>
      <c r="U478" s="1293"/>
      <c r="V478" s="1293"/>
      <c r="W478" s="1293"/>
      <c r="X478" s="1293"/>
      <c r="Y478" s="1293"/>
      <c r="Z478" s="1293"/>
      <c r="AA478" s="1293"/>
      <c r="AB478" s="1293"/>
      <c r="AC478" s="1293"/>
      <c r="AD478" s="1293"/>
      <c r="AE478" s="1293"/>
      <c r="AF478" s="1293"/>
      <c r="AG478" s="1293"/>
    </row>
    <row r="479" spans="1:33" ht="15.75">
      <c r="A479" s="1293"/>
      <c r="B479" s="1293"/>
      <c r="C479" s="1293"/>
      <c r="D479" s="1293"/>
      <c r="E479" s="1293"/>
      <c r="F479" s="1293"/>
      <c r="G479" s="1293"/>
      <c r="H479" s="1293"/>
      <c r="I479" s="1293"/>
      <c r="J479" s="1293"/>
      <c r="K479" s="1293"/>
      <c r="L479" s="1293"/>
      <c r="M479" s="1293"/>
      <c r="N479" s="1293"/>
      <c r="O479" s="1293"/>
      <c r="P479" s="1293"/>
      <c r="Q479" s="1293"/>
      <c r="R479" s="1293"/>
      <c r="S479" s="1293"/>
      <c r="T479" s="1293"/>
      <c r="U479" s="1293"/>
      <c r="V479" s="1293"/>
      <c r="W479" s="1293"/>
      <c r="X479" s="1293"/>
      <c r="Y479" s="1293"/>
      <c r="Z479" s="1293"/>
      <c r="AA479" s="1293"/>
      <c r="AB479" s="1293"/>
      <c r="AC479" s="1293"/>
      <c r="AD479" s="1293"/>
      <c r="AE479" s="1293"/>
      <c r="AF479" s="1293"/>
      <c r="AG479" s="1293"/>
    </row>
    <row r="480" spans="1:33" ht="15.75">
      <c r="A480" s="1293"/>
      <c r="B480" s="1293"/>
      <c r="C480" s="1293"/>
      <c r="D480" s="1293"/>
      <c r="E480" s="1293"/>
      <c r="F480" s="1293"/>
      <c r="G480" s="1293"/>
      <c r="H480" s="1293"/>
      <c r="I480" s="1293"/>
      <c r="J480" s="1293"/>
      <c r="K480" s="1293"/>
      <c r="L480" s="1293"/>
      <c r="M480" s="1293"/>
      <c r="N480" s="1293"/>
      <c r="O480" s="1293"/>
      <c r="P480" s="1293"/>
      <c r="Q480" s="1293"/>
      <c r="R480" s="1293"/>
      <c r="S480" s="1293"/>
      <c r="T480" s="1293"/>
      <c r="U480" s="1293"/>
      <c r="V480" s="1293"/>
      <c r="W480" s="1293"/>
      <c r="X480" s="1293"/>
      <c r="Y480" s="1293"/>
      <c r="Z480" s="1293"/>
      <c r="AA480" s="1293"/>
      <c r="AB480" s="1293"/>
      <c r="AC480" s="1293"/>
      <c r="AD480" s="1293"/>
      <c r="AE480" s="1293"/>
      <c r="AF480" s="1293"/>
      <c r="AG480" s="1293"/>
    </row>
    <row r="481" spans="1:33" ht="15.75">
      <c r="A481" s="1293"/>
      <c r="B481" s="1293"/>
      <c r="C481" s="1293"/>
      <c r="D481" s="1293"/>
      <c r="E481" s="1293"/>
      <c r="F481" s="1293"/>
      <c r="G481" s="1293"/>
      <c r="H481" s="1293"/>
      <c r="I481" s="1293"/>
      <c r="J481" s="1293"/>
      <c r="K481" s="1293"/>
      <c r="L481" s="1293"/>
      <c r="M481" s="1293"/>
      <c r="N481" s="1293"/>
      <c r="O481" s="1293"/>
      <c r="P481" s="1293"/>
      <c r="Q481" s="1293"/>
      <c r="R481" s="1293"/>
      <c r="S481" s="1293"/>
      <c r="T481" s="1293"/>
      <c r="U481" s="1293"/>
      <c r="V481" s="1293"/>
      <c r="W481" s="1293"/>
      <c r="X481" s="1293"/>
      <c r="Y481" s="1293"/>
      <c r="Z481" s="1293"/>
      <c r="AA481" s="1293"/>
      <c r="AB481" s="1293"/>
      <c r="AC481" s="1293"/>
      <c r="AD481" s="1293"/>
      <c r="AE481" s="1293"/>
      <c r="AF481" s="1293"/>
      <c r="AG481" s="1293"/>
    </row>
    <row r="482" spans="1:33" ht="15.75">
      <c r="A482" s="1293"/>
      <c r="B482" s="1293"/>
      <c r="C482" s="1293"/>
      <c r="D482" s="1293"/>
      <c r="E482" s="1293"/>
      <c r="F482" s="1293"/>
      <c r="G482" s="1293"/>
      <c r="H482" s="1293"/>
      <c r="I482" s="1293"/>
      <c r="J482" s="1293"/>
      <c r="K482" s="1293"/>
      <c r="L482" s="1293"/>
      <c r="M482" s="1293"/>
      <c r="N482" s="1293"/>
      <c r="O482" s="1293"/>
      <c r="P482" s="1293"/>
      <c r="Q482" s="1293"/>
      <c r="R482" s="1293"/>
      <c r="S482" s="1293"/>
      <c r="T482" s="1293"/>
      <c r="U482" s="1293"/>
      <c r="V482" s="1293"/>
      <c r="W482" s="1293"/>
      <c r="X482" s="1293"/>
      <c r="Y482" s="1293"/>
      <c r="Z482" s="1293"/>
      <c r="AA482" s="1293"/>
      <c r="AB482" s="1293"/>
      <c r="AC482" s="1293"/>
      <c r="AD482" s="1293"/>
      <c r="AE482" s="1293"/>
      <c r="AF482" s="1293"/>
      <c r="AG482" s="1293"/>
    </row>
    <row r="483" spans="1:33" ht="15.75">
      <c r="A483" s="1293"/>
      <c r="B483" s="1293"/>
      <c r="C483" s="1293"/>
      <c r="D483" s="1293"/>
      <c r="E483" s="1293"/>
      <c r="F483" s="1293"/>
      <c r="G483" s="1293"/>
      <c r="H483" s="1293"/>
      <c r="I483" s="1293"/>
      <c r="J483" s="1293"/>
      <c r="K483" s="1293"/>
      <c r="L483" s="1293"/>
      <c r="M483" s="1293"/>
      <c r="N483" s="1293"/>
      <c r="O483" s="1293"/>
      <c r="P483" s="1293"/>
      <c r="Q483" s="1293"/>
      <c r="R483" s="1293"/>
      <c r="S483" s="1293"/>
      <c r="T483" s="1293"/>
      <c r="U483" s="1293"/>
      <c r="V483" s="1293"/>
      <c r="W483" s="1293"/>
      <c r="X483" s="1293"/>
      <c r="Y483" s="1293"/>
      <c r="Z483" s="1293"/>
      <c r="AA483" s="1293"/>
      <c r="AB483" s="1293"/>
      <c r="AC483" s="1293"/>
      <c r="AD483" s="1293"/>
      <c r="AE483" s="1293"/>
      <c r="AF483" s="1293"/>
      <c r="AG483" s="1293"/>
    </row>
    <row r="484" spans="1:33" ht="15.75">
      <c r="A484" s="1293"/>
      <c r="B484" s="1293"/>
      <c r="C484" s="1293"/>
      <c r="D484" s="1293"/>
      <c r="E484" s="1293"/>
      <c r="F484" s="1293"/>
      <c r="G484" s="1293"/>
      <c r="H484" s="1293"/>
      <c r="I484" s="1293"/>
      <c r="J484" s="1293"/>
      <c r="K484" s="1293"/>
      <c r="L484" s="1293"/>
      <c r="M484" s="1293"/>
      <c r="N484" s="1293"/>
      <c r="O484" s="1293"/>
      <c r="P484" s="1293"/>
      <c r="Q484" s="1293"/>
      <c r="R484" s="1293"/>
      <c r="S484" s="1293"/>
      <c r="T484" s="1293"/>
      <c r="U484" s="1293"/>
      <c r="V484" s="1293"/>
      <c r="W484" s="1293"/>
      <c r="X484" s="1293"/>
      <c r="Y484" s="1293"/>
      <c r="Z484" s="1293"/>
      <c r="AA484" s="1293"/>
      <c r="AB484" s="1293"/>
      <c r="AC484" s="1293"/>
      <c r="AD484" s="1293"/>
      <c r="AE484" s="1293"/>
      <c r="AF484" s="1293"/>
      <c r="AG484" s="1293"/>
    </row>
    <row r="485" spans="1:33" ht="15.75">
      <c r="A485" s="1293"/>
      <c r="B485" s="1293"/>
      <c r="C485" s="1293"/>
      <c r="D485" s="1293"/>
      <c r="E485" s="1293"/>
      <c r="F485" s="1293"/>
      <c r="G485" s="1293"/>
      <c r="H485" s="1293"/>
      <c r="I485" s="1293"/>
      <c r="J485" s="1293"/>
      <c r="K485" s="1293"/>
      <c r="L485" s="1293"/>
      <c r="M485" s="1293"/>
      <c r="N485" s="1293"/>
      <c r="O485" s="1293"/>
      <c r="P485" s="1293"/>
      <c r="Q485" s="1293"/>
      <c r="R485" s="1293"/>
      <c r="S485" s="1293"/>
      <c r="T485" s="1293"/>
      <c r="U485" s="1293"/>
      <c r="V485" s="1293"/>
      <c r="W485" s="1293"/>
      <c r="X485" s="1293"/>
      <c r="Y485" s="1293"/>
      <c r="Z485" s="1293"/>
      <c r="AA485" s="1293"/>
      <c r="AB485" s="1293"/>
      <c r="AC485" s="1293"/>
      <c r="AD485" s="1293"/>
      <c r="AE485" s="1293"/>
      <c r="AF485" s="1293"/>
      <c r="AG485" s="1293"/>
    </row>
    <row r="486" spans="1:33" ht="15.75">
      <c r="A486" s="1293"/>
      <c r="B486" s="1293"/>
      <c r="C486" s="1293"/>
      <c r="D486" s="1293"/>
      <c r="E486" s="1293"/>
      <c r="F486" s="1293"/>
      <c r="G486" s="1293"/>
      <c r="H486" s="1293"/>
      <c r="I486" s="1293"/>
      <c r="J486" s="1293"/>
      <c r="K486" s="1293"/>
      <c r="L486" s="1293"/>
      <c r="M486" s="1293"/>
      <c r="N486" s="1293"/>
      <c r="O486" s="1293"/>
      <c r="P486" s="1293"/>
      <c r="Q486" s="1293"/>
      <c r="R486" s="1293"/>
      <c r="S486" s="1293"/>
      <c r="T486" s="1293"/>
      <c r="U486" s="1293"/>
      <c r="V486" s="1293"/>
      <c r="W486" s="1293"/>
      <c r="X486" s="1293"/>
      <c r="Y486" s="1293"/>
      <c r="Z486" s="1293"/>
      <c r="AA486" s="1293"/>
      <c r="AB486" s="1293"/>
      <c r="AC486" s="1293"/>
      <c r="AD486" s="1293"/>
      <c r="AE486" s="1293"/>
      <c r="AF486" s="1293"/>
      <c r="AG486" s="1293"/>
    </row>
    <row r="487" spans="1:33" ht="15.75">
      <c r="A487" s="1293"/>
      <c r="B487" s="1293"/>
      <c r="C487" s="1293"/>
      <c r="D487" s="1293"/>
      <c r="E487" s="1293"/>
      <c r="F487" s="1293"/>
      <c r="G487" s="1293"/>
      <c r="H487" s="1293"/>
      <c r="I487" s="1293"/>
      <c r="J487" s="1293"/>
      <c r="K487" s="1293"/>
      <c r="L487" s="1293"/>
      <c r="M487" s="1293"/>
      <c r="N487" s="1293"/>
      <c r="O487" s="1293"/>
      <c r="P487" s="1293"/>
      <c r="Q487" s="1293"/>
      <c r="R487" s="1293"/>
      <c r="S487" s="1293"/>
      <c r="T487" s="1293"/>
      <c r="U487" s="1293"/>
      <c r="V487" s="1293"/>
      <c r="W487" s="1293"/>
      <c r="X487" s="1293"/>
      <c r="Y487" s="1293"/>
      <c r="Z487" s="1293"/>
      <c r="AA487" s="1293"/>
      <c r="AB487" s="1293"/>
      <c r="AC487" s="1293"/>
      <c r="AD487" s="1293"/>
      <c r="AE487" s="1293"/>
      <c r="AF487" s="1293"/>
      <c r="AG487" s="1293"/>
    </row>
    <row r="488" spans="1:33" ht="15.75">
      <c r="A488" s="1293"/>
      <c r="B488" s="1293"/>
      <c r="C488" s="1293"/>
      <c r="D488" s="1293"/>
      <c r="E488" s="1293"/>
      <c r="F488" s="1293"/>
      <c r="G488" s="1293"/>
      <c r="H488" s="1293"/>
      <c r="I488" s="1293"/>
      <c r="J488" s="1293"/>
      <c r="K488" s="1293"/>
      <c r="L488" s="1293"/>
      <c r="M488" s="1293"/>
      <c r="N488" s="1293"/>
      <c r="O488" s="1293"/>
      <c r="P488" s="1293"/>
      <c r="Q488" s="1293"/>
      <c r="R488" s="1293"/>
      <c r="S488" s="1293"/>
      <c r="T488" s="1293"/>
      <c r="U488" s="1293"/>
      <c r="V488" s="1293"/>
      <c r="W488" s="1293"/>
      <c r="X488" s="1293"/>
      <c r="Y488" s="1293"/>
      <c r="Z488" s="1293"/>
      <c r="AA488" s="1293"/>
      <c r="AB488" s="1293"/>
      <c r="AC488" s="1293"/>
      <c r="AD488" s="1293"/>
      <c r="AE488" s="1293"/>
      <c r="AF488" s="1293"/>
      <c r="AG488" s="1293"/>
    </row>
    <row r="489" spans="1:33" ht="15.75">
      <c r="A489" s="1293"/>
      <c r="B489" s="1293"/>
      <c r="C489" s="1293"/>
      <c r="D489" s="1293"/>
      <c r="E489" s="1293"/>
      <c r="F489" s="1293"/>
      <c r="G489" s="1293"/>
      <c r="H489" s="1293"/>
      <c r="I489" s="1293"/>
      <c r="J489" s="1293"/>
      <c r="K489" s="1293"/>
      <c r="L489" s="1293"/>
      <c r="M489" s="1293"/>
      <c r="N489" s="1293"/>
      <c r="O489" s="1293"/>
      <c r="P489" s="1293"/>
      <c r="Q489" s="1293"/>
      <c r="R489" s="1293"/>
      <c r="S489" s="1293"/>
      <c r="T489" s="1293"/>
      <c r="U489" s="1293"/>
      <c r="V489" s="1293"/>
      <c r="W489" s="1293"/>
      <c r="X489" s="1293"/>
      <c r="Y489" s="1293"/>
      <c r="Z489" s="1293"/>
      <c r="AA489" s="1293"/>
      <c r="AB489" s="1293"/>
      <c r="AC489" s="1293"/>
      <c r="AD489" s="1293"/>
      <c r="AE489" s="1293"/>
      <c r="AF489" s="1293"/>
      <c r="AG489" s="1293"/>
    </row>
    <row r="490" spans="1:33" ht="15.75">
      <c r="A490" s="1293"/>
      <c r="B490" s="1293"/>
      <c r="C490" s="1293"/>
      <c r="D490" s="1293"/>
      <c r="E490" s="1293"/>
      <c r="F490" s="1293"/>
      <c r="G490" s="1293"/>
      <c r="H490" s="1293"/>
      <c r="I490" s="1293"/>
      <c r="J490" s="1293"/>
      <c r="K490" s="1293"/>
      <c r="L490" s="1293"/>
      <c r="M490" s="1293"/>
      <c r="N490" s="1293"/>
      <c r="O490" s="1293"/>
      <c r="P490" s="1293"/>
      <c r="Q490" s="1293"/>
      <c r="R490" s="1293"/>
      <c r="S490" s="1293"/>
      <c r="T490" s="1293"/>
      <c r="U490" s="1293"/>
      <c r="V490" s="1293"/>
      <c r="W490" s="1293"/>
      <c r="X490" s="1293"/>
      <c r="Y490" s="1293"/>
      <c r="Z490" s="1293"/>
      <c r="AA490" s="1293"/>
      <c r="AB490" s="1293"/>
      <c r="AC490" s="1293"/>
      <c r="AD490" s="1293"/>
      <c r="AE490" s="1293"/>
      <c r="AF490" s="1293"/>
      <c r="AG490" s="1293"/>
    </row>
    <row r="491" spans="1:33" ht="15.75">
      <c r="A491" s="1293"/>
      <c r="B491" s="1293"/>
      <c r="C491" s="1293"/>
      <c r="D491" s="1293"/>
      <c r="E491" s="1293"/>
      <c r="F491" s="1293"/>
      <c r="G491" s="1293"/>
      <c r="H491" s="1293"/>
      <c r="I491" s="1293"/>
      <c r="J491" s="1293"/>
      <c r="K491" s="1293"/>
      <c r="L491" s="1293"/>
      <c r="M491" s="1293"/>
      <c r="N491" s="1293"/>
      <c r="O491" s="1293"/>
      <c r="P491" s="1293"/>
      <c r="Q491" s="1293"/>
      <c r="R491" s="1293"/>
      <c r="S491" s="1293"/>
      <c r="T491" s="1293"/>
      <c r="U491" s="1293"/>
      <c r="V491" s="1293"/>
      <c r="W491" s="1293"/>
      <c r="X491" s="1293"/>
      <c r="Y491" s="1293"/>
      <c r="Z491" s="1293"/>
      <c r="AA491" s="1293"/>
      <c r="AB491" s="1293"/>
      <c r="AC491" s="1293"/>
      <c r="AD491" s="1293"/>
      <c r="AE491" s="1293"/>
      <c r="AF491" s="1293"/>
      <c r="AG491" s="1293"/>
    </row>
    <row r="492" spans="1:33" ht="15.75">
      <c r="A492" s="1293"/>
      <c r="B492" s="1293"/>
      <c r="C492" s="1293"/>
      <c r="D492" s="1293"/>
      <c r="E492" s="1293"/>
      <c r="F492" s="1293"/>
      <c r="G492" s="1293"/>
      <c r="H492" s="1293"/>
      <c r="I492" s="1293"/>
      <c r="J492" s="1293"/>
      <c r="K492" s="1293"/>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row>
    <row r="493" spans="1:33" ht="15.75">
      <c r="A493" s="1293"/>
      <c r="B493" s="1293"/>
      <c r="C493" s="1293"/>
      <c r="D493" s="1293"/>
      <c r="E493" s="1293"/>
      <c r="F493" s="1293"/>
      <c r="G493" s="1293"/>
      <c r="H493" s="1293"/>
      <c r="I493" s="1293"/>
      <c r="J493" s="1293"/>
      <c r="K493" s="1293"/>
      <c r="L493" s="1293"/>
      <c r="M493" s="1293"/>
      <c r="N493" s="1293"/>
      <c r="O493" s="1293"/>
      <c r="P493" s="1293"/>
      <c r="Q493" s="1293"/>
      <c r="R493" s="1293"/>
      <c r="S493" s="1293"/>
      <c r="T493" s="1293"/>
      <c r="U493" s="1293"/>
      <c r="V493" s="1293"/>
      <c r="W493" s="1293"/>
      <c r="X493" s="1293"/>
      <c r="Y493" s="1293"/>
      <c r="Z493" s="1293"/>
      <c r="AA493" s="1293"/>
      <c r="AB493" s="1293"/>
      <c r="AC493" s="1293"/>
      <c r="AD493" s="1293"/>
      <c r="AE493" s="1293"/>
      <c r="AF493" s="1293"/>
      <c r="AG493" s="1293"/>
    </row>
    <row r="494" spans="1:33" ht="15.75">
      <c r="A494" s="1293"/>
      <c r="B494" s="1293"/>
      <c r="C494" s="1293"/>
      <c r="D494" s="1293"/>
      <c r="E494" s="1293"/>
      <c r="F494" s="1293"/>
      <c r="G494" s="1293"/>
      <c r="H494" s="1293"/>
      <c r="I494" s="1293"/>
      <c r="J494" s="1293"/>
      <c r="K494" s="1293"/>
      <c r="L494" s="1293"/>
      <c r="M494" s="1293"/>
      <c r="N494" s="1293"/>
      <c r="O494" s="1293"/>
      <c r="P494" s="1293"/>
      <c r="Q494" s="1293"/>
      <c r="R494" s="1293"/>
      <c r="S494" s="1293"/>
      <c r="T494" s="1293"/>
      <c r="U494" s="1293"/>
      <c r="V494" s="1293"/>
      <c r="W494" s="1293"/>
      <c r="X494" s="1293"/>
      <c r="Y494" s="1293"/>
      <c r="Z494" s="1293"/>
      <c r="AA494" s="1293"/>
      <c r="AB494" s="1293"/>
      <c r="AC494" s="1293"/>
      <c r="AD494" s="1293"/>
      <c r="AE494" s="1293"/>
      <c r="AF494" s="1293"/>
      <c r="AG494" s="1293"/>
    </row>
    <row r="495" spans="1:33" ht="15.75">
      <c r="A495" s="1293"/>
      <c r="B495" s="1293"/>
      <c r="C495" s="1293"/>
      <c r="D495" s="1293"/>
      <c r="E495" s="1293"/>
      <c r="F495" s="1293"/>
      <c r="G495" s="1293"/>
      <c r="H495" s="1293"/>
      <c r="I495" s="1293"/>
      <c r="J495" s="1293"/>
      <c r="K495" s="1293"/>
      <c r="L495" s="1293"/>
      <c r="M495" s="1293"/>
      <c r="N495" s="1293"/>
      <c r="O495" s="1293"/>
      <c r="P495" s="1293"/>
      <c r="Q495" s="1293"/>
      <c r="R495" s="1293"/>
      <c r="S495" s="1293"/>
      <c r="T495" s="1293"/>
      <c r="U495" s="1293"/>
      <c r="V495" s="1293"/>
      <c r="W495" s="1293"/>
      <c r="X495" s="1293"/>
      <c r="Y495" s="1293"/>
      <c r="Z495" s="1293"/>
      <c r="AA495" s="1293"/>
      <c r="AB495" s="1293"/>
      <c r="AC495" s="1293"/>
      <c r="AD495" s="1293"/>
      <c r="AE495" s="1293"/>
      <c r="AF495" s="1293"/>
      <c r="AG495" s="1293"/>
    </row>
    <row r="496" spans="1:33" ht="15.75">
      <c r="A496" s="1293"/>
      <c r="B496" s="1293"/>
      <c r="C496" s="1293"/>
      <c r="D496" s="1293"/>
      <c r="E496" s="1293"/>
      <c r="F496" s="1293"/>
      <c r="G496" s="1293"/>
      <c r="H496" s="1293"/>
      <c r="I496" s="1293"/>
      <c r="J496" s="1293"/>
      <c r="K496" s="1293"/>
      <c r="L496" s="1293"/>
      <c r="M496" s="1293"/>
      <c r="N496" s="1293"/>
      <c r="O496" s="1293"/>
      <c r="P496" s="1293"/>
      <c r="Q496" s="1293"/>
      <c r="R496" s="1293"/>
      <c r="S496" s="1293"/>
      <c r="T496" s="1293"/>
      <c r="U496" s="1293"/>
      <c r="V496" s="1293"/>
      <c r="W496" s="1293"/>
      <c r="X496" s="1293"/>
      <c r="Y496" s="1293"/>
      <c r="Z496" s="1293"/>
      <c r="AA496" s="1293"/>
      <c r="AB496" s="1293"/>
      <c r="AC496" s="1293"/>
      <c r="AD496" s="1293"/>
      <c r="AE496" s="1293"/>
      <c r="AF496" s="1293"/>
      <c r="AG496" s="1293"/>
    </row>
    <row r="497" spans="1:33" ht="15.75">
      <c r="A497" s="1293"/>
      <c r="B497" s="1293"/>
      <c r="C497" s="1293"/>
      <c r="D497" s="1293"/>
      <c r="E497" s="1293"/>
      <c r="F497" s="1293"/>
      <c r="G497" s="1293"/>
      <c r="H497" s="1293"/>
      <c r="I497" s="1293"/>
      <c r="J497" s="1293"/>
      <c r="K497" s="1293"/>
      <c r="L497" s="1293"/>
      <c r="M497" s="1293"/>
      <c r="N497" s="1293"/>
      <c r="O497" s="1293"/>
      <c r="P497" s="1293"/>
      <c r="Q497" s="1293"/>
      <c r="R497" s="1293"/>
      <c r="S497" s="1293"/>
      <c r="T497" s="1293"/>
      <c r="U497" s="1293"/>
      <c r="V497" s="1293"/>
      <c r="W497" s="1293"/>
      <c r="X497" s="1293"/>
      <c r="Y497" s="1293"/>
      <c r="Z497" s="1293"/>
      <c r="AA497" s="1293"/>
      <c r="AB497" s="1293"/>
      <c r="AC497" s="1293"/>
      <c r="AD497" s="1293"/>
      <c r="AE497" s="1293"/>
      <c r="AF497" s="1293"/>
      <c r="AG497" s="1293"/>
    </row>
    <row r="498" spans="1:33" ht="15.75">
      <c r="A498" s="1293"/>
      <c r="B498" s="1293"/>
      <c r="C498" s="1293"/>
      <c r="D498" s="1293"/>
      <c r="E498" s="1293"/>
      <c r="F498" s="1293"/>
      <c r="G498" s="1293"/>
      <c r="H498" s="1293"/>
      <c r="I498" s="1293"/>
      <c r="J498" s="1293"/>
      <c r="K498" s="1293"/>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row>
    <row r="499" spans="1:33" ht="15.75">
      <c r="A499" s="1293"/>
      <c r="B499" s="1293"/>
      <c r="C499" s="1293"/>
      <c r="D499" s="1293"/>
      <c r="E499" s="1293"/>
      <c r="F499" s="1293"/>
      <c r="G499" s="1293"/>
      <c r="H499" s="1293"/>
      <c r="I499" s="1293"/>
      <c r="J499" s="1293"/>
      <c r="K499" s="1293"/>
      <c r="L499" s="1293"/>
      <c r="M499" s="1293"/>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row>
    <row r="500" spans="1:33" ht="15.75">
      <c r="A500" s="1293"/>
      <c r="B500" s="1293"/>
      <c r="C500" s="1293"/>
      <c r="D500" s="1293"/>
      <c r="E500" s="1293"/>
      <c r="F500" s="1293"/>
      <c r="G500" s="1293"/>
      <c r="H500" s="1293"/>
      <c r="I500" s="1293"/>
      <c r="J500" s="1293"/>
      <c r="K500" s="1293"/>
      <c r="L500" s="1293"/>
      <c r="M500" s="1293"/>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row>
    <row r="501" spans="1:33" ht="15.75">
      <c r="A501" s="1293"/>
      <c r="B501" s="1293"/>
      <c r="C501" s="1293"/>
      <c r="D501" s="1293"/>
      <c r="E501" s="1293"/>
      <c r="F501" s="1293"/>
      <c r="G501" s="1293"/>
      <c r="H501" s="1293"/>
      <c r="I501" s="1293"/>
      <c r="J501" s="1293"/>
      <c r="K501" s="1293"/>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row>
    <row r="502" spans="1:33" ht="15.75">
      <c r="A502" s="1293"/>
      <c r="B502" s="1293"/>
      <c r="C502" s="1293"/>
      <c r="D502" s="1293"/>
      <c r="E502" s="1293"/>
      <c r="F502" s="1293"/>
      <c r="G502" s="1293"/>
      <c r="H502" s="1293"/>
      <c r="I502" s="1293"/>
      <c r="J502" s="1293"/>
      <c r="K502" s="1293"/>
      <c r="L502" s="1293"/>
      <c r="M502" s="1293"/>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row>
    <row r="503" spans="1:33" ht="15.75">
      <c r="A503" s="1293"/>
      <c r="B503" s="1293"/>
      <c r="C503" s="1293"/>
      <c r="D503" s="1293"/>
      <c r="E503" s="1293"/>
      <c r="F503" s="1293"/>
      <c r="G503" s="1293"/>
      <c r="H503" s="1293"/>
      <c r="I503" s="1293"/>
      <c r="J503" s="1293"/>
      <c r="K503" s="1293"/>
      <c r="L503" s="1293"/>
      <c r="M503" s="1293"/>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row>
    <row r="504" spans="1:33" ht="15.75">
      <c r="A504" s="1293"/>
      <c r="B504" s="1293"/>
      <c r="C504" s="1293"/>
      <c r="D504" s="1293"/>
      <c r="E504" s="1293"/>
      <c r="F504" s="1293"/>
      <c r="G504" s="1293"/>
      <c r="H504" s="1293"/>
      <c r="I504" s="1293"/>
      <c r="J504" s="1293"/>
      <c r="K504" s="1293"/>
      <c r="L504" s="1293"/>
      <c r="M504" s="1293"/>
      <c r="N504" s="1293"/>
      <c r="O504" s="1293"/>
      <c r="P504" s="1293"/>
      <c r="Q504" s="1293"/>
      <c r="R504" s="1293"/>
      <c r="S504" s="1293"/>
      <c r="T504" s="1293"/>
      <c r="U504" s="1293"/>
      <c r="V504" s="1293"/>
      <c r="W504" s="1293"/>
      <c r="X504" s="1293"/>
      <c r="Y504" s="1293"/>
      <c r="Z504" s="1293"/>
      <c r="AA504" s="1293"/>
      <c r="AB504" s="1293"/>
      <c r="AC504" s="1293"/>
      <c r="AD504" s="1293"/>
      <c r="AE504" s="1293"/>
      <c r="AF504" s="1293"/>
      <c r="AG504" s="1293"/>
    </row>
    <row r="505" spans="1:33" ht="15.75">
      <c r="A505" s="1293"/>
      <c r="B505" s="1293"/>
      <c r="C505" s="1293"/>
      <c r="D505" s="1293"/>
      <c r="E505" s="1293"/>
      <c r="F505" s="1293"/>
      <c r="G505" s="1293"/>
      <c r="H505" s="1293"/>
      <c r="I505" s="1293"/>
      <c r="J505" s="1293"/>
      <c r="K505" s="1293"/>
      <c r="L505" s="1293"/>
      <c r="M505" s="1293"/>
      <c r="N505" s="1293"/>
      <c r="O505" s="1293"/>
      <c r="P505" s="1293"/>
      <c r="Q505" s="1293"/>
      <c r="R505" s="1293"/>
      <c r="S505" s="1293"/>
      <c r="T505" s="1293"/>
      <c r="U505" s="1293"/>
      <c r="V505" s="1293"/>
      <c r="W505" s="1293"/>
      <c r="X505" s="1293"/>
      <c r="Y505" s="1293"/>
      <c r="Z505" s="1293"/>
      <c r="AA505" s="1293"/>
      <c r="AB505" s="1293"/>
      <c r="AC505" s="1293"/>
      <c r="AD505" s="1293"/>
      <c r="AE505" s="1293"/>
      <c r="AF505" s="1293"/>
      <c r="AG505" s="1293"/>
    </row>
    <row r="506" spans="1:33" ht="15.75">
      <c r="A506" s="1293"/>
      <c r="B506" s="1293"/>
      <c r="C506" s="1293"/>
      <c r="D506" s="1293"/>
      <c r="E506" s="1293"/>
      <c r="F506" s="1293"/>
      <c r="G506" s="1293"/>
      <c r="H506" s="1293"/>
      <c r="I506" s="1293"/>
      <c r="J506" s="1293"/>
      <c r="K506" s="1293"/>
      <c r="L506" s="1293"/>
      <c r="M506" s="1293"/>
      <c r="N506" s="1293"/>
      <c r="O506" s="1293"/>
      <c r="P506" s="1293"/>
      <c r="Q506" s="1293"/>
      <c r="R506" s="1293"/>
      <c r="S506" s="1293"/>
      <c r="T506" s="1293"/>
      <c r="U506" s="1293"/>
      <c r="V506" s="1293"/>
      <c r="W506" s="1293"/>
      <c r="X506" s="1293"/>
      <c r="Y506" s="1293"/>
      <c r="Z506" s="1293"/>
      <c r="AA506" s="1293"/>
      <c r="AB506" s="1293"/>
      <c r="AC506" s="1293"/>
      <c r="AD506" s="1293"/>
      <c r="AE506" s="1293"/>
      <c r="AF506" s="1293"/>
      <c r="AG506" s="1293"/>
    </row>
    <row r="507" spans="1:33" ht="15.75">
      <c r="A507" s="1293"/>
      <c r="B507" s="1293"/>
      <c r="C507" s="1293"/>
      <c r="D507" s="1293"/>
      <c r="E507" s="1293"/>
      <c r="F507" s="1293"/>
      <c r="G507" s="1293"/>
      <c r="H507" s="1293"/>
      <c r="I507" s="1293"/>
      <c r="J507" s="1293"/>
      <c r="K507" s="1293"/>
      <c r="L507" s="1293"/>
      <c r="M507" s="1293"/>
      <c r="N507" s="1293"/>
      <c r="O507" s="1293"/>
      <c r="P507" s="1293"/>
      <c r="Q507" s="1293"/>
      <c r="R507" s="1293"/>
      <c r="S507" s="1293"/>
      <c r="T507" s="1293"/>
      <c r="U507" s="1293"/>
      <c r="V507" s="1293"/>
      <c r="W507" s="1293"/>
      <c r="X507" s="1293"/>
      <c r="Y507" s="1293"/>
      <c r="Z507" s="1293"/>
      <c r="AA507" s="1293"/>
      <c r="AB507" s="1293"/>
      <c r="AC507" s="1293"/>
      <c r="AD507" s="1293"/>
      <c r="AE507" s="1293"/>
      <c r="AF507" s="1293"/>
      <c r="AG507" s="1293"/>
    </row>
    <row r="508" spans="1:33" ht="15.75">
      <c r="A508" s="1293"/>
      <c r="B508" s="1293"/>
      <c r="C508" s="1293"/>
      <c r="D508" s="1293"/>
      <c r="E508" s="1293"/>
      <c r="F508" s="1293"/>
      <c r="G508" s="1293"/>
      <c r="H508" s="1293"/>
      <c r="I508" s="1293"/>
      <c r="J508" s="1293"/>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row>
    <row r="509" spans="1:33" ht="15.75">
      <c r="A509" s="1293"/>
      <c r="B509" s="1293"/>
      <c r="C509" s="1293"/>
      <c r="D509" s="1293"/>
      <c r="E509" s="1293"/>
      <c r="F509" s="1293"/>
      <c r="G509" s="1293"/>
      <c r="H509" s="1293"/>
      <c r="I509" s="1293"/>
      <c r="J509" s="1293"/>
      <c r="K509" s="1293"/>
      <c r="L509" s="1293"/>
      <c r="M509" s="1293"/>
      <c r="N509" s="1293"/>
      <c r="O509" s="1293"/>
      <c r="P509" s="1293"/>
      <c r="Q509" s="1293"/>
      <c r="R509" s="1293"/>
      <c r="S509" s="1293"/>
      <c r="T509" s="1293"/>
      <c r="U509" s="1293"/>
      <c r="V509" s="1293"/>
      <c r="W509" s="1293"/>
      <c r="X509" s="1293"/>
      <c r="Y509" s="1293"/>
      <c r="Z509" s="1293"/>
      <c r="AA509" s="1293"/>
      <c r="AB509" s="1293"/>
      <c r="AC509" s="1293"/>
      <c r="AD509" s="1293"/>
      <c r="AE509" s="1293"/>
      <c r="AF509" s="1293"/>
      <c r="AG509" s="1293"/>
    </row>
    <row r="510" spans="1:33" ht="15.75">
      <c r="A510" s="1293"/>
      <c r="B510" s="1293"/>
      <c r="C510" s="1293"/>
      <c r="D510" s="1293"/>
      <c r="E510" s="1293"/>
      <c r="F510" s="1293"/>
      <c r="G510" s="1293"/>
      <c r="H510" s="1293"/>
      <c r="I510" s="1293"/>
      <c r="J510" s="1293"/>
      <c r="K510" s="1293"/>
      <c r="L510" s="1293"/>
      <c r="M510" s="1293"/>
      <c r="N510" s="1293"/>
      <c r="O510" s="1293"/>
      <c r="P510" s="1293"/>
      <c r="Q510" s="1293"/>
      <c r="R510" s="1293"/>
      <c r="S510" s="1293"/>
      <c r="T510" s="1293"/>
      <c r="U510" s="1293"/>
      <c r="V510" s="1293"/>
      <c r="W510" s="1293"/>
      <c r="X510" s="1293"/>
      <c r="Y510" s="1293"/>
      <c r="Z510" s="1293"/>
      <c r="AA510" s="1293"/>
      <c r="AB510" s="1293"/>
      <c r="AC510" s="1293"/>
      <c r="AD510" s="1293"/>
      <c r="AE510" s="1293"/>
      <c r="AF510" s="1293"/>
      <c r="AG510" s="1293"/>
    </row>
    <row r="511" spans="1:33" ht="15.75">
      <c r="A511" s="1293"/>
      <c r="B511" s="1293"/>
      <c r="C511" s="1293"/>
      <c r="D511" s="1293"/>
      <c r="E511" s="1293"/>
      <c r="F511" s="1293"/>
      <c r="G511" s="1293"/>
      <c r="H511" s="1293"/>
      <c r="I511" s="1293"/>
      <c r="J511" s="1293"/>
      <c r="K511" s="1293"/>
      <c r="L511" s="1293"/>
      <c r="M511" s="1293"/>
      <c r="N511" s="1293"/>
      <c r="O511" s="1293"/>
      <c r="P511" s="1293"/>
      <c r="Q511" s="1293"/>
      <c r="R511" s="1293"/>
      <c r="S511" s="1293"/>
      <c r="T511" s="1293"/>
      <c r="U511" s="1293"/>
      <c r="V511" s="1293"/>
      <c r="W511" s="1293"/>
      <c r="X511" s="1293"/>
      <c r="Y511" s="1293"/>
      <c r="Z511" s="1293"/>
      <c r="AA511" s="1293"/>
      <c r="AB511" s="1293"/>
      <c r="AC511" s="1293"/>
      <c r="AD511" s="1293"/>
      <c r="AE511" s="1293"/>
      <c r="AF511" s="1293"/>
      <c r="AG511" s="1293"/>
    </row>
    <row r="512" spans="1:33" ht="15.75">
      <c r="A512" s="1293"/>
      <c r="B512" s="1293"/>
      <c r="C512" s="1293"/>
      <c r="D512" s="1293"/>
      <c r="E512" s="1293"/>
      <c r="F512" s="1293"/>
      <c r="G512" s="1293"/>
      <c r="H512" s="1293"/>
      <c r="I512" s="1293"/>
      <c r="J512" s="1293"/>
      <c r="K512" s="1293"/>
      <c r="L512" s="1293"/>
      <c r="M512" s="1293"/>
      <c r="N512" s="1293"/>
      <c r="O512" s="1293"/>
      <c r="P512" s="1293"/>
      <c r="Q512" s="1293"/>
      <c r="R512" s="1293"/>
      <c r="S512" s="1293"/>
      <c r="T512" s="1293"/>
      <c r="U512" s="1293"/>
      <c r="V512" s="1293"/>
      <c r="W512" s="1293"/>
      <c r="X512" s="1293"/>
      <c r="Y512" s="1293"/>
      <c r="Z512" s="1293"/>
      <c r="AA512" s="1293"/>
      <c r="AB512" s="1293"/>
      <c r="AC512" s="1293"/>
      <c r="AD512" s="1293"/>
      <c r="AE512" s="1293"/>
      <c r="AF512" s="1293"/>
      <c r="AG512" s="1293"/>
    </row>
    <row r="513" spans="1:33" ht="15.75">
      <c r="A513" s="1293"/>
      <c r="B513" s="1293"/>
      <c r="C513" s="1293"/>
      <c r="D513" s="1293"/>
      <c r="E513" s="1293"/>
      <c r="F513" s="1293"/>
      <c r="G513" s="1293"/>
      <c r="H513" s="1293"/>
      <c r="I513" s="1293"/>
      <c r="J513" s="1293"/>
      <c r="K513" s="1293"/>
      <c r="L513" s="1293"/>
      <c r="M513" s="1293"/>
      <c r="N513" s="1293"/>
      <c r="O513" s="1293"/>
      <c r="P513" s="1293"/>
      <c r="Q513" s="1293"/>
      <c r="R513" s="1293"/>
      <c r="S513" s="1293"/>
      <c r="T513" s="1293"/>
      <c r="U513" s="1293"/>
      <c r="V513" s="1293"/>
      <c r="W513" s="1293"/>
      <c r="X513" s="1293"/>
      <c r="Y513" s="1293"/>
      <c r="Z513" s="1293"/>
      <c r="AA513" s="1293"/>
      <c r="AB513" s="1293"/>
      <c r="AC513" s="1293"/>
      <c r="AD513" s="1293"/>
      <c r="AE513" s="1293"/>
      <c r="AF513" s="1293"/>
      <c r="AG513" s="1293"/>
    </row>
    <row r="514" spans="1:33" ht="15.75">
      <c r="A514" s="1293"/>
      <c r="B514" s="1293"/>
      <c r="C514" s="1293"/>
      <c r="D514" s="1293"/>
      <c r="E514" s="1293"/>
      <c r="F514" s="1293"/>
      <c r="G514" s="1293"/>
      <c r="H514" s="1293"/>
      <c r="I514" s="1293"/>
      <c r="J514" s="1293"/>
      <c r="K514" s="1293"/>
      <c r="L514" s="1293"/>
      <c r="M514" s="1293"/>
      <c r="N514" s="1293"/>
      <c r="O514" s="1293"/>
      <c r="P514" s="1293"/>
      <c r="Q514" s="1293"/>
      <c r="R514" s="1293"/>
      <c r="S514" s="1293"/>
      <c r="T514" s="1293"/>
      <c r="U514" s="1293"/>
      <c r="V514" s="1293"/>
      <c r="W514" s="1293"/>
      <c r="X514" s="1293"/>
      <c r="Y514" s="1293"/>
      <c r="Z514" s="1293"/>
      <c r="AA514" s="1293"/>
      <c r="AB514" s="1293"/>
      <c r="AC514" s="1293"/>
      <c r="AD514" s="1293"/>
      <c r="AE514" s="1293"/>
      <c r="AF514" s="1293"/>
      <c r="AG514" s="1293"/>
    </row>
    <row r="515" spans="1:33" ht="15.75">
      <c r="A515" s="1293"/>
      <c r="B515" s="1293"/>
      <c r="C515" s="1293"/>
      <c r="D515" s="1293"/>
      <c r="E515" s="1293"/>
      <c r="F515" s="1293"/>
      <c r="G515" s="1293"/>
      <c r="H515" s="1293"/>
      <c r="I515" s="1293"/>
      <c r="J515" s="1293"/>
      <c r="K515" s="1293"/>
      <c r="L515" s="1293"/>
      <c r="M515" s="1293"/>
      <c r="N515" s="1293"/>
      <c r="O515" s="1293"/>
      <c r="P515" s="1293"/>
      <c r="Q515" s="1293"/>
      <c r="R515" s="1293"/>
      <c r="S515" s="1293"/>
      <c r="T515" s="1293"/>
      <c r="U515" s="1293"/>
      <c r="V515" s="1293"/>
      <c r="W515" s="1293"/>
      <c r="X515" s="1293"/>
      <c r="Y515" s="1293"/>
      <c r="Z515" s="1293"/>
      <c r="AA515" s="1293"/>
      <c r="AB515" s="1293"/>
      <c r="AC515" s="1293"/>
      <c r="AD515" s="1293"/>
      <c r="AE515" s="1293"/>
      <c r="AF515" s="1293"/>
      <c r="AG515" s="1293"/>
    </row>
    <row r="516" spans="1:33" ht="15.75">
      <c r="A516" s="1293"/>
      <c r="B516" s="1293"/>
      <c r="C516" s="1293"/>
      <c r="D516" s="1293"/>
      <c r="E516" s="1293"/>
      <c r="F516" s="1293"/>
      <c r="G516" s="1293"/>
      <c r="H516" s="1293"/>
      <c r="I516" s="1293"/>
      <c r="J516" s="1293"/>
      <c r="K516" s="1293"/>
      <c r="L516" s="1293"/>
      <c r="M516" s="1293"/>
      <c r="N516" s="1293"/>
      <c r="O516" s="1293"/>
      <c r="P516" s="1293"/>
      <c r="Q516" s="1293"/>
      <c r="R516" s="1293"/>
      <c r="S516" s="1293"/>
      <c r="T516" s="1293"/>
      <c r="U516" s="1293"/>
      <c r="V516" s="1293"/>
      <c r="W516" s="1293"/>
      <c r="X516" s="1293"/>
      <c r="Y516" s="1293"/>
      <c r="Z516" s="1293"/>
      <c r="AA516" s="1293"/>
      <c r="AB516" s="1293"/>
      <c r="AC516" s="1293"/>
      <c r="AD516" s="1293"/>
      <c r="AE516" s="1293"/>
      <c r="AF516" s="1293"/>
      <c r="AG516" s="1293"/>
    </row>
    <row r="517" spans="1:33" ht="15.75">
      <c r="A517" s="1293"/>
      <c r="B517" s="1293"/>
      <c r="C517" s="1293"/>
      <c r="D517" s="1293"/>
      <c r="E517" s="1293"/>
      <c r="F517" s="1293"/>
      <c r="G517" s="1293"/>
      <c r="H517" s="1293"/>
      <c r="I517" s="1293"/>
      <c r="J517" s="1293"/>
      <c r="K517" s="1293"/>
      <c r="L517" s="1293"/>
      <c r="M517" s="1293"/>
      <c r="N517" s="1293"/>
      <c r="O517" s="1293"/>
      <c r="P517" s="1293"/>
      <c r="Q517" s="1293"/>
      <c r="R517" s="1293"/>
      <c r="S517" s="1293"/>
      <c r="T517" s="1293"/>
      <c r="U517" s="1293"/>
      <c r="V517" s="1293"/>
      <c r="W517" s="1293"/>
      <c r="X517" s="1293"/>
      <c r="Y517" s="1293"/>
      <c r="Z517" s="1293"/>
      <c r="AA517" s="1293"/>
      <c r="AB517" s="1293"/>
      <c r="AC517" s="1293"/>
      <c r="AD517" s="1293"/>
      <c r="AE517" s="1293"/>
      <c r="AF517" s="1293"/>
      <c r="AG517" s="1293"/>
    </row>
    <row r="518" spans="1:33" ht="15.75">
      <c r="A518" s="1293"/>
      <c r="B518" s="1293"/>
      <c r="C518" s="1293"/>
      <c r="D518" s="1293"/>
      <c r="E518" s="1293"/>
      <c r="F518" s="1293"/>
      <c r="G518" s="1293"/>
      <c r="H518" s="1293"/>
      <c r="I518" s="1293"/>
      <c r="J518" s="1293"/>
      <c r="K518" s="1293"/>
      <c r="L518" s="1293"/>
      <c r="M518" s="1293"/>
      <c r="N518" s="1293"/>
      <c r="O518" s="1293"/>
      <c r="P518" s="1293"/>
      <c r="Q518" s="1293"/>
      <c r="R518" s="1293"/>
      <c r="S518" s="1293"/>
      <c r="T518" s="1293"/>
      <c r="U518" s="1293"/>
      <c r="V518" s="1293"/>
      <c r="W518" s="1293"/>
      <c r="X518" s="1293"/>
      <c r="Y518" s="1293"/>
      <c r="Z518" s="1293"/>
      <c r="AA518" s="1293"/>
      <c r="AB518" s="1293"/>
      <c r="AC518" s="1293"/>
      <c r="AD518" s="1293"/>
      <c r="AE518" s="1293"/>
      <c r="AF518" s="1293"/>
      <c r="AG518" s="1293"/>
    </row>
    <row r="519" spans="1:33" ht="15.75">
      <c r="A519" s="1293"/>
      <c r="B519" s="1293"/>
      <c r="C519" s="1293"/>
      <c r="D519" s="1293"/>
      <c r="E519" s="1293"/>
      <c r="F519" s="1293"/>
      <c r="G519" s="1293"/>
      <c r="H519" s="1293"/>
      <c r="I519" s="1293"/>
      <c r="J519" s="1293"/>
      <c r="K519" s="1293"/>
      <c r="L519" s="1293"/>
      <c r="M519" s="1293"/>
      <c r="N519" s="1293"/>
      <c r="O519" s="1293"/>
      <c r="P519" s="1293"/>
      <c r="Q519" s="1293"/>
      <c r="R519" s="1293"/>
      <c r="S519" s="1293"/>
      <c r="T519" s="1293"/>
      <c r="U519" s="1293"/>
      <c r="V519" s="1293"/>
      <c r="W519" s="1293"/>
      <c r="X519" s="1293"/>
      <c r="Y519" s="1293"/>
      <c r="Z519" s="1293"/>
      <c r="AA519" s="1293"/>
      <c r="AB519" s="1293"/>
      <c r="AC519" s="1293"/>
      <c r="AD519" s="1293"/>
      <c r="AE519" s="1293"/>
      <c r="AF519" s="1293"/>
      <c r="AG519" s="1293"/>
    </row>
    <row r="520" spans="1:33" ht="15.75">
      <c r="A520" s="1293"/>
      <c r="B520" s="1293"/>
      <c r="C520" s="1293"/>
      <c r="D520" s="1293"/>
      <c r="E520" s="1293"/>
      <c r="F520" s="1293"/>
      <c r="G520" s="1293"/>
      <c r="H520" s="1293"/>
      <c r="I520" s="1293"/>
      <c r="J520" s="1293"/>
      <c r="K520" s="1293"/>
      <c r="L520" s="1293"/>
      <c r="M520" s="1293"/>
      <c r="N520" s="1293"/>
      <c r="O520" s="1293"/>
      <c r="P520" s="1293"/>
      <c r="Q520" s="1293"/>
      <c r="R520" s="1293"/>
      <c r="S520" s="1293"/>
      <c r="T520" s="1293"/>
      <c r="U520" s="1293"/>
      <c r="V520" s="1293"/>
      <c r="W520" s="1293"/>
      <c r="X520" s="1293"/>
      <c r="Y520" s="1293"/>
      <c r="Z520" s="1293"/>
      <c r="AA520" s="1293"/>
      <c r="AB520" s="1293"/>
      <c r="AC520" s="1293"/>
      <c r="AD520" s="1293"/>
      <c r="AE520" s="1293"/>
      <c r="AF520" s="1293"/>
      <c r="AG520" s="1293"/>
    </row>
    <row r="521" spans="1:33" ht="15.75">
      <c r="A521" s="1293"/>
      <c r="B521" s="1293"/>
      <c r="C521" s="1293"/>
      <c r="D521" s="1293"/>
      <c r="E521" s="1293"/>
      <c r="F521" s="1293"/>
      <c r="G521" s="1293"/>
      <c r="H521" s="1293"/>
      <c r="I521" s="1293"/>
      <c r="J521" s="1293"/>
      <c r="K521" s="1293"/>
      <c r="L521" s="1293"/>
      <c r="M521" s="1293"/>
      <c r="N521" s="1293"/>
      <c r="O521" s="1293"/>
      <c r="P521" s="1293"/>
      <c r="Q521" s="1293"/>
      <c r="R521" s="1293"/>
      <c r="S521" s="1293"/>
      <c r="T521" s="1293"/>
      <c r="U521" s="1293"/>
      <c r="V521" s="1293"/>
      <c r="W521" s="1293"/>
      <c r="X521" s="1293"/>
      <c r="Y521" s="1293"/>
      <c r="Z521" s="1293"/>
      <c r="AA521" s="1293"/>
      <c r="AB521" s="1293"/>
      <c r="AC521" s="1293"/>
      <c r="AD521" s="1293"/>
      <c r="AE521" s="1293"/>
      <c r="AF521" s="1293"/>
      <c r="AG521" s="1293"/>
    </row>
    <row r="522" spans="1:33" ht="15.75">
      <c r="A522" s="1293"/>
      <c r="B522" s="1293"/>
      <c r="C522" s="1293"/>
      <c r="D522" s="1293"/>
      <c r="E522" s="1293"/>
      <c r="F522" s="1293"/>
      <c r="G522" s="1293"/>
      <c r="H522" s="1293"/>
      <c r="I522" s="1293"/>
      <c r="J522" s="1293"/>
      <c r="K522" s="1293"/>
      <c r="L522" s="1293"/>
      <c r="M522" s="1293"/>
      <c r="N522" s="1293"/>
      <c r="O522" s="1293"/>
      <c r="P522" s="1293"/>
      <c r="Q522" s="1293"/>
      <c r="R522" s="1293"/>
      <c r="S522" s="1293"/>
      <c r="T522" s="1293"/>
      <c r="U522" s="1293"/>
      <c r="V522" s="1293"/>
      <c r="W522" s="1293"/>
      <c r="X522" s="1293"/>
      <c r="Y522" s="1293"/>
      <c r="Z522" s="1293"/>
      <c r="AA522" s="1293"/>
      <c r="AB522" s="1293"/>
      <c r="AC522" s="1293"/>
      <c r="AD522" s="1293"/>
      <c r="AE522" s="1293"/>
      <c r="AF522" s="1293"/>
      <c r="AG522" s="1293"/>
    </row>
    <row r="523" spans="1:33" ht="15.75">
      <c r="A523" s="1293"/>
      <c r="B523" s="1293"/>
      <c r="C523" s="1293"/>
      <c r="D523" s="1293"/>
      <c r="E523" s="1293"/>
      <c r="F523" s="1293"/>
      <c r="G523" s="1293"/>
      <c r="H523" s="1293"/>
      <c r="I523" s="1293"/>
      <c r="J523" s="1293"/>
      <c r="K523" s="1293"/>
      <c r="L523" s="1293"/>
      <c r="M523" s="1293"/>
      <c r="N523" s="1293"/>
      <c r="O523" s="1293"/>
      <c r="P523" s="1293"/>
      <c r="Q523" s="1293"/>
      <c r="R523" s="1293"/>
      <c r="S523" s="1293"/>
      <c r="T523" s="1293"/>
      <c r="U523" s="1293"/>
      <c r="V523" s="1293"/>
      <c r="W523" s="1293"/>
      <c r="X523" s="1293"/>
      <c r="Y523" s="1293"/>
      <c r="Z523" s="1293"/>
      <c r="AA523" s="1293"/>
      <c r="AB523" s="1293"/>
      <c r="AC523" s="1293"/>
      <c r="AD523" s="1293"/>
      <c r="AE523" s="1293"/>
      <c r="AF523" s="1293"/>
      <c r="AG523" s="1293"/>
    </row>
    <row r="524" spans="1:33" ht="15.75">
      <c r="A524" s="1293"/>
      <c r="B524" s="1293"/>
      <c r="C524" s="1293"/>
      <c r="D524" s="1293"/>
      <c r="E524" s="1293"/>
      <c r="F524" s="1293"/>
      <c r="G524" s="1293"/>
      <c r="H524" s="1293"/>
      <c r="I524" s="1293"/>
      <c r="J524" s="1293"/>
      <c r="K524" s="1293"/>
      <c r="L524" s="1293"/>
      <c r="M524" s="1293"/>
      <c r="N524" s="1293"/>
      <c r="O524" s="1293"/>
      <c r="P524" s="1293"/>
      <c r="Q524" s="1293"/>
      <c r="R524" s="1293"/>
      <c r="S524" s="1293"/>
      <c r="T524" s="1293"/>
      <c r="U524" s="1293"/>
      <c r="V524" s="1293"/>
      <c r="W524" s="1293"/>
      <c r="X524" s="1293"/>
      <c r="Y524" s="1293"/>
      <c r="Z524" s="1293"/>
      <c r="AA524" s="1293"/>
      <c r="AB524" s="1293"/>
      <c r="AC524" s="1293"/>
      <c r="AD524" s="1293"/>
      <c r="AE524" s="1293"/>
      <c r="AF524" s="1293"/>
      <c r="AG524" s="1293"/>
    </row>
    <row r="525" spans="1:33" ht="15.75">
      <c r="A525" s="1293"/>
      <c r="B525" s="1293"/>
      <c r="C525" s="1293"/>
      <c r="D525" s="1293"/>
      <c r="E525" s="1293"/>
      <c r="F525" s="1293"/>
      <c r="G525" s="1293"/>
      <c r="H525" s="1293"/>
      <c r="I525" s="1293"/>
      <c r="J525" s="1293"/>
      <c r="K525" s="1293"/>
      <c r="L525" s="1293"/>
      <c r="M525" s="1293"/>
      <c r="N525" s="1293"/>
      <c r="O525" s="1293"/>
      <c r="P525" s="1293"/>
      <c r="Q525" s="1293"/>
      <c r="R525" s="1293"/>
      <c r="S525" s="1293"/>
      <c r="T525" s="1293"/>
      <c r="U525" s="1293"/>
      <c r="V525" s="1293"/>
      <c r="W525" s="1293"/>
      <c r="X525" s="1293"/>
      <c r="Y525" s="1293"/>
      <c r="Z525" s="1293"/>
      <c r="AA525" s="1293"/>
      <c r="AB525" s="1293"/>
      <c r="AC525" s="1293"/>
      <c r="AD525" s="1293"/>
      <c r="AE525" s="1293"/>
      <c r="AF525" s="1293"/>
      <c r="AG525" s="1293"/>
    </row>
    <row r="526" spans="1:33" ht="15.75">
      <c r="A526" s="1293"/>
      <c r="B526" s="1293"/>
      <c r="C526" s="1293"/>
      <c r="D526" s="1293"/>
      <c r="E526" s="1293"/>
      <c r="F526" s="1293"/>
      <c r="G526" s="1293"/>
      <c r="H526" s="1293"/>
      <c r="I526" s="1293"/>
      <c r="J526" s="1293"/>
      <c r="K526" s="1293"/>
      <c r="L526" s="1293"/>
      <c r="M526" s="1293"/>
      <c r="N526" s="1293"/>
      <c r="O526" s="1293"/>
      <c r="P526" s="1293"/>
      <c r="Q526" s="1293"/>
      <c r="R526" s="1293"/>
      <c r="S526" s="1293"/>
      <c r="T526" s="1293"/>
      <c r="U526" s="1293"/>
      <c r="V526" s="1293"/>
      <c r="W526" s="1293"/>
      <c r="X526" s="1293"/>
      <c r="Y526" s="1293"/>
      <c r="Z526" s="1293"/>
      <c r="AA526" s="1293"/>
      <c r="AB526" s="1293"/>
      <c r="AC526" s="1293"/>
      <c r="AD526" s="1293"/>
      <c r="AE526" s="1293"/>
      <c r="AF526" s="1293"/>
      <c r="AG526" s="1293"/>
    </row>
    <row r="527" spans="1:33" ht="15.75">
      <c r="A527" s="1293"/>
      <c r="B527" s="1293"/>
      <c r="C527" s="1293"/>
      <c r="D527" s="1293"/>
      <c r="E527" s="1293"/>
      <c r="F527" s="1293"/>
      <c r="G527" s="1293"/>
      <c r="H527" s="1293"/>
      <c r="I527" s="1293"/>
      <c r="J527" s="1293"/>
      <c r="K527" s="1293"/>
      <c r="L527" s="1293"/>
      <c r="M527" s="1293"/>
      <c r="N527" s="1293"/>
      <c r="O527" s="1293"/>
      <c r="P527" s="1293"/>
      <c r="Q527" s="1293"/>
      <c r="R527" s="1293"/>
      <c r="S527" s="1293"/>
      <c r="T527" s="1293"/>
      <c r="U527" s="1293"/>
      <c r="V527" s="1293"/>
      <c r="W527" s="1293"/>
      <c r="X527" s="1293"/>
      <c r="Y527" s="1293"/>
      <c r="Z527" s="1293"/>
      <c r="AA527" s="1293"/>
      <c r="AB527" s="1293"/>
      <c r="AC527" s="1293"/>
      <c r="AD527" s="1293"/>
      <c r="AE527" s="1293"/>
      <c r="AF527" s="1293"/>
      <c r="AG527" s="1293"/>
    </row>
    <row r="528" spans="1:33" ht="15.75">
      <c r="A528" s="1293"/>
      <c r="B528" s="1293"/>
      <c r="C528" s="1293"/>
      <c r="D528" s="1293"/>
      <c r="E528" s="1293"/>
      <c r="F528" s="1293"/>
      <c r="G528" s="1293"/>
      <c r="H528" s="1293"/>
      <c r="I528" s="1293"/>
      <c r="J528" s="1293"/>
      <c r="K528" s="1293"/>
      <c r="L528" s="1293"/>
      <c r="M528" s="1293"/>
      <c r="N528" s="1293"/>
      <c r="O528" s="1293"/>
      <c r="P528" s="1293"/>
      <c r="Q528" s="1293"/>
      <c r="R528" s="1293"/>
      <c r="S528" s="1293"/>
      <c r="T528" s="1293"/>
      <c r="U528" s="1293"/>
      <c r="V528" s="1293"/>
      <c r="W528" s="1293"/>
      <c r="X528" s="1293"/>
      <c r="Y528" s="1293"/>
      <c r="Z528" s="1293"/>
      <c r="AA528" s="1293"/>
      <c r="AB528" s="1293"/>
      <c r="AC528" s="1293"/>
      <c r="AD528" s="1293"/>
      <c r="AE528" s="1293"/>
      <c r="AF528" s="1293"/>
      <c r="AG528" s="1293"/>
    </row>
    <row r="529" spans="1:33" ht="15.75">
      <c r="A529" s="1293"/>
      <c r="B529" s="1293"/>
      <c r="C529" s="1293"/>
      <c r="D529" s="1293"/>
      <c r="E529" s="1293"/>
      <c r="F529" s="1293"/>
      <c r="G529" s="1293"/>
      <c r="H529" s="1293"/>
      <c r="I529" s="1293"/>
      <c r="J529" s="1293"/>
      <c r="K529" s="1293"/>
      <c r="L529" s="1293"/>
      <c r="M529" s="1293"/>
      <c r="N529" s="1293"/>
      <c r="O529" s="1293"/>
      <c r="P529" s="1293"/>
      <c r="Q529" s="1293"/>
      <c r="R529" s="1293"/>
      <c r="S529" s="1293"/>
      <c r="T529" s="1293"/>
      <c r="U529" s="1293"/>
      <c r="V529" s="1293"/>
      <c r="W529" s="1293"/>
      <c r="X529" s="1293"/>
      <c r="Y529" s="1293"/>
      <c r="Z529" s="1293"/>
      <c r="AA529" s="1293"/>
      <c r="AB529" s="1293"/>
      <c r="AC529" s="1293"/>
      <c r="AD529" s="1293"/>
      <c r="AE529" s="1293"/>
      <c r="AF529" s="1293"/>
      <c r="AG529" s="1293"/>
    </row>
    <row r="530" spans="1:33" ht="15.75">
      <c r="A530" s="1293"/>
      <c r="B530" s="1293"/>
      <c r="C530" s="1293"/>
      <c r="D530" s="1293"/>
      <c r="E530" s="1293"/>
      <c r="F530" s="1293"/>
      <c r="G530" s="1293"/>
      <c r="H530" s="1293"/>
      <c r="I530" s="1293"/>
      <c r="J530" s="1293"/>
      <c r="K530" s="1293"/>
      <c r="L530" s="1293"/>
      <c r="M530" s="1293"/>
      <c r="N530" s="1293"/>
      <c r="O530" s="1293"/>
      <c r="P530" s="1293"/>
      <c r="Q530" s="1293"/>
      <c r="R530" s="1293"/>
      <c r="S530" s="1293"/>
      <c r="T530" s="1293"/>
      <c r="U530" s="1293"/>
      <c r="V530" s="1293"/>
      <c r="W530" s="1293"/>
      <c r="X530" s="1293"/>
      <c r="Y530" s="1293"/>
      <c r="Z530" s="1293"/>
      <c r="AA530" s="1293"/>
      <c r="AB530" s="1293"/>
      <c r="AC530" s="1293"/>
      <c r="AD530" s="1293"/>
      <c r="AE530" s="1293"/>
      <c r="AF530" s="1293"/>
      <c r="AG530" s="1293"/>
    </row>
    <row r="531" spans="1:33" ht="15.75">
      <c r="A531" s="1293"/>
      <c r="B531" s="1293"/>
      <c r="C531" s="1293"/>
      <c r="D531" s="1293"/>
      <c r="E531" s="1293"/>
      <c r="F531" s="1293"/>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row>
    <row r="532" spans="1:33" ht="15.75">
      <c r="A532" s="1293"/>
      <c r="B532" s="1293"/>
      <c r="C532" s="1293"/>
      <c r="D532" s="1293"/>
      <c r="E532" s="129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row>
    <row r="533" spans="1:33" ht="15.75">
      <c r="A533" s="1293"/>
      <c r="B533" s="1293"/>
      <c r="C533" s="1293"/>
      <c r="D533" s="1293"/>
      <c r="E533" s="1293"/>
      <c r="F533" s="1293"/>
      <c r="G533" s="1293"/>
      <c r="H533" s="1293"/>
      <c r="I533" s="1293"/>
      <c r="J533" s="1293"/>
      <c r="K533" s="1293"/>
      <c r="L533" s="1293"/>
      <c r="M533" s="1293"/>
      <c r="N533" s="1293"/>
      <c r="O533" s="1293"/>
      <c r="P533" s="1293"/>
      <c r="Q533" s="1293"/>
      <c r="R533" s="1293"/>
      <c r="S533" s="1293"/>
      <c r="T533" s="1293"/>
      <c r="U533" s="1293"/>
      <c r="V533" s="1293"/>
      <c r="W533" s="1293"/>
      <c r="X533" s="1293"/>
      <c r="Y533" s="1293"/>
      <c r="Z533" s="1293"/>
      <c r="AA533" s="1293"/>
      <c r="AB533" s="1293"/>
      <c r="AC533" s="1293"/>
      <c r="AD533" s="1293"/>
      <c r="AE533" s="1293"/>
      <c r="AF533" s="1293"/>
      <c r="AG533" s="1293"/>
    </row>
    <row r="534" spans="1:33" ht="15.75">
      <c r="A534" s="1293"/>
      <c r="B534" s="1293"/>
      <c r="C534" s="1293"/>
      <c r="D534" s="1293"/>
      <c r="E534" s="1293"/>
      <c r="F534" s="1293"/>
      <c r="G534" s="1293"/>
      <c r="H534" s="1293"/>
      <c r="I534" s="1293"/>
      <c r="J534" s="1293"/>
      <c r="K534" s="1293"/>
      <c r="L534" s="1293"/>
      <c r="M534" s="1293"/>
      <c r="N534" s="1293"/>
      <c r="O534" s="1293"/>
      <c r="P534" s="1293"/>
      <c r="Q534" s="1293"/>
      <c r="R534" s="1293"/>
      <c r="S534" s="1293"/>
      <c r="T534" s="1293"/>
      <c r="U534" s="1293"/>
      <c r="V534" s="1293"/>
      <c r="W534" s="1293"/>
      <c r="X534" s="1293"/>
      <c r="Y534" s="1293"/>
      <c r="Z534" s="1293"/>
      <c r="AA534" s="1293"/>
      <c r="AB534" s="1293"/>
      <c r="AC534" s="1293"/>
      <c r="AD534" s="1293"/>
      <c r="AE534" s="1293"/>
      <c r="AF534" s="1293"/>
      <c r="AG534" s="1293"/>
    </row>
    <row r="535" spans="1:33" ht="15.75">
      <c r="A535" s="1293"/>
      <c r="B535" s="1293"/>
      <c r="C535" s="1293"/>
      <c r="D535" s="1293"/>
      <c r="E535" s="1293"/>
      <c r="F535" s="1293"/>
      <c r="G535" s="1293"/>
      <c r="H535" s="1293"/>
      <c r="I535" s="1293"/>
      <c r="J535" s="1293"/>
      <c r="K535" s="1293"/>
      <c r="L535" s="1293"/>
      <c r="M535" s="1293"/>
      <c r="N535" s="1293"/>
      <c r="O535" s="1293"/>
      <c r="P535" s="1293"/>
      <c r="Q535" s="1293"/>
      <c r="R535" s="1293"/>
      <c r="S535" s="1293"/>
      <c r="T535" s="1293"/>
      <c r="U535" s="1293"/>
      <c r="V535" s="1293"/>
      <c r="W535" s="1293"/>
      <c r="X535" s="1293"/>
      <c r="Y535" s="1293"/>
      <c r="Z535" s="1293"/>
      <c r="AA535" s="1293"/>
      <c r="AB535" s="1293"/>
      <c r="AC535" s="1293"/>
      <c r="AD535" s="1293"/>
      <c r="AE535" s="1293"/>
      <c r="AF535" s="1293"/>
      <c r="AG535" s="1293"/>
    </row>
    <row r="536" spans="1:33" ht="15.75">
      <c r="A536" s="1293"/>
      <c r="B536" s="1293"/>
      <c r="C536" s="1293"/>
      <c r="D536" s="1293"/>
      <c r="E536" s="1293"/>
      <c r="F536" s="1293"/>
      <c r="G536" s="1293"/>
      <c r="H536" s="1293"/>
      <c r="I536" s="1293"/>
      <c r="J536" s="1293"/>
      <c r="K536" s="1293"/>
      <c r="L536" s="1293"/>
      <c r="M536" s="1293"/>
      <c r="N536" s="1293"/>
      <c r="O536" s="1293"/>
      <c r="P536" s="1293"/>
      <c r="Q536" s="1293"/>
      <c r="R536" s="1293"/>
      <c r="S536" s="1293"/>
      <c r="T536" s="1293"/>
      <c r="U536" s="1293"/>
      <c r="V536" s="1293"/>
      <c r="W536" s="1293"/>
      <c r="X536" s="1293"/>
      <c r="Y536" s="1293"/>
      <c r="Z536" s="1293"/>
      <c r="AA536" s="1293"/>
      <c r="AB536" s="1293"/>
      <c r="AC536" s="1293"/>
      <c r="AD536" s="1293"/>
      <c r="AE536" s="1293"/>
      <c r="AF536" s="1293"/>
      <c r="AG536" s="1293"/>
    </row>
    <row r="537" spans="1:33" ht="15.75">
      <c r="A537" s="1293"/>
      <c r="B537" s="1293"/>
      <c r="C537" s="1293"/>
      <c r="D537" s="1293"/>
      <c r="E537" s="1293"/>
      <c r="F537" s="1293"/>
      <c r="G537" s="1293"/>
      <c r="H537" s="1293"/>
      <c r="I537" s="1293"/>
      <c r="J537" s="1293"/>
      <c r="K537" s="1293"/>
      <c r="L537" s="1293"/>
      <c r="M537" s="1293"/>
      <c r="N537" s="1293"/>
      <c r="O537" s="1293"/>
      <c r="P537" s="1293"/>
      <c r="Q537" s="1293"/>
      <c r="R537" s="1293"/>
      <c r="S537" s="1293"/>
      <c r="T537" s="1293"/>
      <c r="U537" s="1293"/>
      <c r="V537" s="1293"/>
      <c r="W537" s="1293"/>
      <c r="X537" s="1293"/>
      <c r="Y537" s="1293"/>
      <c r="Z537" s="1293"/>
      <c r="AA537" s="1293"/>
      <c r="AB537" s="1293"/>
      <c r="AC537" s="1293"/>
      <c r="AD537" s="1293"/>
      <c r="AE537" s="1293"/>
      <c r="AF537" s="1293"/>
      <c r="AG537" s="1293"/>
    </row>
    <row r="538" spans="1:33" ht="15.75">
      <c r="A538" s="1293"/>
      <c r="B538" s="1293"/>
      <c r="C538" s="1293"/>
      <c r="D538" s="1293"/>
      <c r="E538" s="1293"/>
      <c r="F538" s="1293"/>
      <c r="G538" s="1293"/>
      <c r="H538" s="1293"/>
      <c r="I538" s="1293"/>
      <c r="J538" s="1293"/>
      <c r="K538" s="1293"/>
      <c r="L538" s="1293"/>
      <c r="M538" s="1293"/>
      <c r="N538" s="1293"/>
      <c r="O538" s="1293"/>
      <c r="P538" s="1293"/>
      <c r="Q538" s="1293"/>
      <c r="R538" s="1293"/>
      <c r="S538" s="1293"/>
      <c r="T538" s="1293"/>
      <c r="U538" s="1293"/>
      <c r="V538" s="1293"/>
      <c r="W538" s="1293"/>
      <c r="X538" s="1293"/>
      <c r="Y538" s="1293"/>
      <c r="Z538" s="1293"/>
      <c r="AA538" s="1293"/>
      <c r="AB538" s="1293"/>
      <c r="AC538" s="1293"/>
      <c r="AD538" s="1293"/>
      <c r="AE538" s="1293"/>
      <c r="AF538" s="1293"/>
      <c r="AG538" s="1293"/>
    </row>
    <row r="539" spans="1:33" ht="15.75">
      <c r="A539" s="1293"/>
      <c r="B539" s="1293"/>
      <c r="C539" s="1293"/>
      <c r="D539" s="1293"/>
      <c r="E539" s="1293"/>
      <c r="F539" s="1293"/>
      <c r="G539" s="1293"/>
      <c r="H539" s="1293"/>
      <c r="I539" s="1293"/>
      <c r="J539" s="1293"/>
      <c r="K539" s="1293"/>
      <c r="L539" s="1293"/>
      <c r="M539" s="1293"/>
      <c r="N539" s="1293"/>
      <c r="O539" s="1293"/>
      <c r="P539" s="1293"/>
      <c r="Q539" s="1293"/>
      <c r="R539" s="1293"/>
      <c r="S539" s="1293"/>
      <c r="T539" s="1293"/>
      <c r="U539" s="1293"/>
      <c r="V539" s="1293"/>
      <c r="W539" s="1293"/>
      <c r="X539" s="1293"/>
      <c r="Y539" s="1293"/>
      <c r="Z539" s="1293"/>
      <c r="AA539" s="1293"/>
      <c r="AB539" s="1293"/>
      <c r="AC539" s="1293"/>
      <c r="AD539" s="1293"/>
      <c r="AE539" s="1293"/>
      <c r="AF539" s="1293"/>
      <c r="AG539" s="1293"/>
    </row>
  </sheetData>
  <phoneticPr fontId="17" type="noConversion"/>
  <pageMargins left="0.74803149606299213" right="0.74803149606299213" top="0.98425196850393704" bottom="0.98425196850393704" header="0.51181102362204722" footer="0.51181102362204722"/>
  <pageSetup paperSize="9" scale="28"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B3:IV250"/>
  <sheetViews>
    <sheetView zoomScale="70" zoomScaleNormal="70" workbookViewId="0">
      <selection activeCell="L49" sqref="L49"/>
    </sheetView>
  </sheetViews>
  <sheetFormatPr defaultRowHeight="15" outlineLevelRow="1" outlineLevelCol="1"/>
  <cols>
    <col min="2" max="2" width="40.5703125" customWidth="1"/>
    <col min="3" max="7" width="9.140625" hidden="1" customWidth="1" outlineLevel="1"/>
    <col min="8" max="8" width="9.140625" customWidth="1" collapsed="1"/>
  </cols>
  <sheetData>
    <row r="3" spans="2:12">
      <c r="B3" s="2" t="s">
        <v>1145</v>
      </c>
      <c r="C3" s="2"/>
      <c r="D3" s="2"/>
      <c r="E3" s="2">
        <v>2008</v>
      </c>
      <c r="F3" s="2">
        <f>E3+1</f>
        <v>2009</v>
      </c>
      <c r="G3" s="2">
        <f t="shared" ref="G3:L3" si="0">F3+1</f>
        <v>2010</v>
      </c>
      <c r="H3" s="2">
        <f t="shared" si="0"/>
        <v>2011</v>
      </c>
      <c r="I3" s="2">
        <f t="shared" si="0"/>
        <v>2012</v>
      </c>
      <c r="J3" s="2">
        <f t="shared" si="0"/>
        <v>2013</v>
      </c>
      <c r="K3" s="2">
        <f t="shared" si="0"/>
        <v>2014</v>
      </c>
      <c r="L3" s="2">
        <f t="shared" si="0"/>
        <v>2015</v>
      </c>
    </row>
    <row r="4" spans="2:12">
      <c r="B4" t="str">
        <f>CA!B5</f>
        <v>El Salvador</v>
      </c>
      <c r="C4" s="9"/>
      <c r="D4" s="9"/>
      <c r="E4" s="9">
        <f>CA!I5</f>
        <v>5851.8518518518513</v>
      </c>
      <c r="F4" s="9">
        <f>CA!J5</f>
        <v>5924.9786871270244</v>
      </c>
      <c r="G4" s="9">
        <f>CA!K5</f>
        <v>6041.7408559001487</v>
      </c>
      <c r="H4" s="9">
        <f>CA!L5</f>
        <v>6221.0219986189204</v>
      </c>
      <c r="I4" s="9">
        <f>CA!M5</f>
        <v>6278.9815361268029</v>
      </c>
      <c r="J4" s="9">
        <f>CA!N5</f>
        <v>6291.8031052704964</v>
      </c>
      <c r="K4" s="9">
        <f>CA!O5</f>
        <v>6302.9848110208404</v>
      </c>
      <c r="L4" s="9">
        <f>CA!P5</f>
        <v>6475.7509414134347</v>
      </c>
    </row>
    <row r="5" spans="2:12">
      <c r="B5" t="str">
        <f>CA!B6</f>
        <v>Guatemala</v>
      </c>
      <c r="C5" s="9"/>
      <c r="D5" s="9"/>
      <c r="E5" s="9">
        <f>CA!I6</f>
        <v>13623.456790123457</v>
      </c>
      <c r="F5" s="9">
        <f>CA!J6</f>
        <v>13552.532123960695</v>
      </c>
      <c r="G5" s="9">
        <f>CA!K6</f>
        <v>14356.358878079307</v>
      </c>
      <c r="H5" s="9">
        <f>CA!L6</f>
        <v>14646.25279642058</v>
      </c>
      <c r="I5" s="9">
        <f>CA!M6</f>
        <v>15479.126040962432</v>
      </c>
      <c r="J5" s="9">
        <f>CA!N6</f>
        <v>16086.550772031034</v>
      </c>
      <c r="K5" s="9">
        <f>CA!O6</f>
        <v>16514.378386930897</v>
      </c>
      <c r="L5" s="9">
        <f>CA!P6</f>
        <v>16593.274236137309</v>
      </c>
    </row>
    <row r="6" spans="2:12">
      <c r="B6" t="str">
        <f>CA!B7</f>
        <v>Honduras</v>
      </c>
      <c r="C6" s="9"/>
      <c r="D6" s="9"/>
      <c r="E6" s="9">
        <f>CA!I7</f>
        <v>7656.19357168653</v>
      </c>
      <c r="F6" s="9">
        <f>CA!J7</f>
        <v>8197.0613656006917</v>
      </c>
      <c r="G6" s="9">
        <f>CA!K7</f>
        <v>8072.4234236032598</v>
      </c>
      <c r="H6" s="9">
        <f>CA!L7</f>
        <v>8236.1988020074477</v>
      </c>
      <c r="I6" s="9">
        <f>CA!M7</f>
        <v>8388.7701948566973</v>
      </c>
      <c r="J6" s="9">
        <f>CA!N7</f>
        <v>8618.6147921621923</v>
      </c>
      <c r="K6" s="9">
        <f>CA!O7</f>
        <v>9288.8243831640048</v>
      </c>
      <c r="L6" s="9">
        <f>CA!P7</f>
        <v>9474.0449657869012</v>
      </c>
    </row>
    <row r="7" spans="2:12">
      <c r="B7" t="str">
        <f>SA!B5</f>
        <v>Bolivia</v>
      </c>
      <c r="C7" s="9"/>
      <c r="D7" s="9"/>
      <c r="E7" s="9">
        <f>SA!I5</f>
        <v>9796.9187675070025</v>
      </c>
      <c r="F7" s="9">
        <f>SA!J5</f>
        <v>10406.378600823044</v>
      </c>
      <c r="G7" s="9">
        <f>SA!K5</f>
        <v>10441.908236162681</v>
      </c>
      <c r="H7" s="9">
        <f>SA!L5</f>
        <v>11223.893065998329</v>
      </c>
      <c r="I7" s="9">
        <f>SA!M5</f>
        <v>11510.045268050446</v>
      </c>
      <c r="J7" s="9">
        <f>SA!N5</f>
        <v>11788.033212285995</v>
      </c>
      <c r="K7" s="9">
        <f>SA!O5</f>
        <v>12081.568392248006</v>
      </c>
      <c r="L7" s="9">
        <f>SA!P5</f>
        <v>11385.082248240144</v>
      </c>
    </row>
    <row r="8" spans="2:12">
      <c r="B8" t="str">
        <f>SA!B6</f>
        <v>Paraguay</v>
      </c>
      <c r="C8" s="9"/>
      <c r="D8" s="9"/>
      <c r="E8" s="9">
        <f>SA!I6</f>
        <v>6405.5944055944046</v>
      </c>
      <c r="F8" s="9">
        <f>SA!J6</f>
        <v>6328.9036544850496</v>
      </c>
      <c r="G8" s="9">
        <f>SA!K6</f>
        <v>6407.6543531689877</v>
      </c>
      <c r="H8" s="9">
        <f>SA!L6</f>
        <v>6538.0287499592969</v>
      </c>
      <c r="I8" s="9">
        <f>SA!M6</f>
        <v>6823.5501467866779</v>
      </c>
      <c r="J8" s="9">
        <f>SA!N6</f>
        <v>6993.2430032044231</v>
      </c>
      <c r="K8" s="9">
        <f>SA!O6</f>
        <v>6914.5535904538683</v>
      </c>
      <c r="L8" s="9">
        <f>SA!P6</f>
        <v>7169.9271269812343</v>
      </c>
    </row>
    <row r="9" spans="2:12">
      <c r="B9" t="str">
        <f>SA!B7</f>
        <v>Colombia</v>
      </c>
      <c r="C9" s="9"/>
      <c r="D9" s="9"/>
      <c r="E9" s="9">
        <f>SA!I7</f>
        <v>44299.674999999988</v>
      </c>
      <c r="F9" s="9">
        <f>SA!J7</f>
        <v>44964.170124999982</v>
      </c>
      <c r="G9" s="9">
        <f>SA!K7</f>
        <v>45638.632676874979</v>
      </c>
      <c r="H9" s="9">
        <f>SA!L7</f>
        <v>46323.212167028098</v>
      </c>
      <c r="I9" s="9">
        <f>SA!M7</f>
        <v>47018.060349533516</v>
      </c>
      <c r="J9" s="9">
        <f>SA!N7</f>
        <v>47723.331254776516</v>
      </c>
      <c r="K9" s="9">
        <f>SA!O7</f>
        <v>48439.181223598156</v>
      </c>
      <c r="L9" s="9">
        <f>SA!P7</f>
        <v>49165.768941952127</v>
      </c>
    </row>
    <row r="10" spans="2:12">
      <c r="B10" t="str">
        <f>Africa!B5</f>
        <v>Ghana</v>
      </c>
      <c r="C10" s="9"/>
      <c r="D10" s="9"/>
      <c r="E10" s="9">
        <f>Africa!I5</f>
        <v>23449.675324675321</v>
      </c>
      <c r="F10" s="9">
        <f>Africa!J5</f>
        <v>24266.666666666668</v>
      </c>
      <c r="G10" s="9">
        <f>Africa!K5</f>
        <v>24413.044682678195</v>
      </c>
      <c r="H10" s="9">
        <f>Africa!L5</f>
        <v>24916.011449432852</v>
      </c>
      <c r="I10" s="9">
        <f>Africa!M5</f>
        <v>25562.042382995198</v>
      </c>
      <c r="J10" s="9">
        <f>Africa!N5</f>
        <v>25867.410161090458</v>
      </c>
      <c r="K10" s="9">
        <f>Africa!O5</f>
        <v>25847.171594437696</v>
      </c>
      <c r="L10" s="9">
        <f>Africa!P5</f>
        <v>26609.241891363814</v>
      </c>
    </row>
    <row r="11" spans="2:12">
      <c r="B11" t="str">
        <f>Africa!B6</f>
        <v>Mauritius</v>
      </c>
      <c r="C11" s="9"/>
      <c r="D11" s="9"/>
      <c r="E11" s="9">
        <f>Africa!I6</f>
        <v>1274.5394140742978</v>
      </c>
      <c r="F11" s="9">
        <f>Africa!J6</f>
        <v>1270.3488372093022</v>
      </c>
      <c r="G11" s="9">
        <f>Africa!K6</f>
        <v>1285.7061065580474</v>
      </c>
      <c r="H11" s="9">
        <f>Africa!L6</f>
        <v>1290.3225806451612</v>
      </c>
      <c r="I11" s="9">
        <f>Africa!M6</f>
        <v>1304.690968282938</v>
      </c>
      <c r="J11" s="9">
        <f>Africa!N6</f>
        <v>0</v>
      </c>
      <c r="K11" s="9">
        <f>Africa!O6</f>
        <v>0</v>
      </c>
      <c r="L11" s="9">
        <f>Africa!P6</f>
        <v>0</v>
      </c>
    </row>
    <row r="12" spans="2:12">
      <c r="B12" t="str">
        <f>Africa!B7</f>
        <v>Senegal</v>
      </c>
      <c r="C12" s="9"/>
      <c r="D12" s="9"/>
      <c r="E12" s="9">
        <f>Africa!I7</f>
        <v>12248.67724867725</v>
      </c>
      <c r="F12" s="9">
        <f>Africa!J7</f>
        <v>13822.751322751323</v>
      </c>
      <c r="G12" s="9">
        <f>Africa!K7</f>
        <v>12337.480625026183</v>
      </c>
      <c r="H12" s="9">
        <f>Africa!L7</f>
        <v>12330.507376007883</v>
      </c>
      <c r="I12" s="9">
        <f>Africa!M7</f>
        <v>12947.347779194039</v>
      </c>
      <c r="J12" s="9">
        <f>Africa!N7</f>
        <v>13309.671694764864</v>
      </c>
      <c r="K12" s="9">
        <f>Africa!O7</f>
        <v>13814.102564102566</v>
      </c>
      <c r="L12" s="9">
        <f>Africa!P7</f>
        <v>13363.883025505716</v>
      </c>
    </row>
    <row r="13" spans="2:12">
      <c r="B13" t="str">
        <f>Africa!B8</f>
        <v>Tanzania</v>
      </c>
      <c r="C13" s="9"/>
      <c r="D13" s="9"/>
      <c r="E13" s="9">
        <f>Africa!I8</f>
        <v>40157.342657342655</v>
      </c>
      <c r="F13" s="9">
        <f>Africa!J8</f>
        <v>44397.321428571428</v>
      </c>
      <c r="G13" s="9">
        <f>Africa!K8</f>
        <v>39660.483985260769</v>
      </c>
      <c r="H13" s="9">
        <f>Africa!L8</f>
        <v>43107.265998165312</v>
      </c>
      <c r="I13" s="9">
        <f>Africa!M8</f>
        <v>43924.173923156319</v>
      </c>
      <c r="J13" s="9">
        <f>Africa!N8</f>
        <v>46407.139321950017</v>
      </c>
      <c r="K13" s="9">
        <f>Africa!O8</f>
        <v>47331.02253032929</v>
      </c>
      <c r="L13" s="9">
        <f>Africa!P8</f>
        <v>50071.780728923586</v>
      </c>
    </row>
    <row r="14" spans="2:12">
      <c r="B14" t="str">
        <f>Africa!B9</f>
        <v>Chad</v>
      </c>
      <c r="C14" s="9"/>
      <c r="D14" s="9"/>
      <c r="E14" s="9">
        <f>Africa!I9</f>
        <v>10018.518518518518</v>
      </c>
      <c r="F14" s="9">
        <f>Africa!J9</f>
        <v>11964.705882352941</v>
      </c>
      <c r="G14" s="9">
        <f>Africa!K9</f>
        <v>11115.215328864488</v>
      </c>
      <c r="H14" s="9">
        <f>Africa!L9</f>
        <v>11280.524121500894</v>
      </c>
      <c r="I14" s="9">
        <f>Africa!M9</f>
        <v>11274.645931685642</v>
      </c>
      <c r="J14" s="9">
        <f>Africa!N9</f>
        <v>11826.985694178939</v>
      </c>
      <c r="K14" s="9">
        <f>Africa!O9</f>
        <v>12302.24532783579</v>
      </c>
      <c r="L14" s="9">
        <f>Africa!P9</f>
        <v>12434.089771399966</v>
      </c>
    </row>
    <row r="15" spans="2:12">
      <c r="B15" t="s">
        <v>2633</v>
      </c>
      <c r="C15" s="9"/>
      <c r="D15" s="9"/>
      <c r="E15" s="9">
        <f>Africa!I10</f>
        <v>64691.358024691363</v>
      </c>
      <c r="F15" s="9">
        <f>Africa!J10</f>
        <v>72644.230769230766</v>
      </c>
      <c r="G15" s="9">
        <f>Africa!K10</f>
        <v>13380.108721283805</v>
      </c>
      <c r="H15" s="9">
        <f>Africa!L10</f>
        <v>13760.513910712636</v>
      </c>
      <c r="I15" s="9">
        <f>Africa!M10</f>
        <v>14206.858679391773</v>
      </c>
      <c r="J15" s="9">
        <f>Africa!N10</f>
        <v>27450.142450142452</v>
      </c>
      <c r="K15" s="9">
        <f>Africa!O10</f>
        <v>28827.444956477219</v>
      </c>
      <c r="L15" s="9">
        <f>Africa!P10</f>
        <v>28745.732036736903</v>
      </c>
    </row>
    <row r="16" spans="2:12">
      <c r="B16" s="11" t="str">
        <f>Africa!B11</f>
        <v>Rwanda</v>
      </c>
      <c r="C16" s="13"/>
      <c r="D16" s="13"/>
      <c r="E16" s="13">
        <f ca="1">Africa!I11</f>
        <v>10049.999999999998</v>
      </c>
      <c r="F16" s="13">
        <f ca="1">Africa!J11</f>
        <v>10100.249999999996</v>
      </c>
      <c r="G16" s="13">
        <f ca="1">Africa!K11</f>
        <v>10150.751249999996</v>
      </c>
      <c r="H16" s="13">
        <f ca="1">Africa!L11</f>
        <v>10201.505006249994</v>
      </c>
      <c r="I16" s="13">
        <f ca="1">Africa!M11</f>
        <v>9542.3308366153797</v>
      </c>
      <c r="J16" s="13">
        <f ca="1">Africa!N11</f>
        <v>9590.0424907984561</v>
      </c>
      <c r="K16" s="13">
        <f ca="1">Africa!O11</f>
        <v>8536.5908535516555</v>
      </c>
      <c r="L16" s="13">
        <f ca="1">Africa!P11</f>
        <v>8579.2738078194125</v>
      </c>
    </row>
    <row r="17" spans="2:12">
      <c r="B17" t="s">
        <v>2324</v>
      </c>
      <c r="C17" s="9"/>
      <c r="D17" s="9"/>
      <c r="E17" s="9">
        <f ca="1">SUM(E4:E16)</f>
        <v>249523.80157474265</v>
      </c>
      <c r="F17" s="9">
        <f t="shared" ref="F17:L17" ca="1" si="1">SUM(F4:F16)</f>
        <v>267840.29946377891</v>
      </c>
      <c r="G17" s="9">
        <f ca="1">SUM(G4:G16)</f>
        <v>203301.50912346088</v>
      </c>
      <c r="H17" s="9">
        <f t="shared" ca="1" si="1"/>
        <v>210075.25802274744</v>
      </c>
      <c r="I17" s="9">
        <f t="shared" ca="1" si="1"/>
        <v>214260.62403763781</v>
      </c>
      <c r="J17" s="9">
        <f t="shared" ca="1" si="1"/>
        <v>231952.96795265586</v>
      </c>
      <c r="K17" s="9">
        <f t="shared" ca="1" si="1"/>
        <v>236200.06861414999</v>
      </c>
      <c r="L17" s="9">
        <f t="shared" ca="1" si="1"/>
        <v>240067.84972226058</v>
      </c>
    </row>
    <row r="19" spans="2:12">
      <c r="B19" s="2" t="s">
        <v>1931</v>
      </c>
      <c r="C19" s="2"/>
      <c r="D19" s="2"/>
      <c r="E19" s="2">
        <f>E3</f>
        <v>2008</v>
      </c>
      <c r="F19" s="2">
        <f>E19+1</f>
        <v>2009</v>
      </c>
      <c r="G19" s="2">
        <f t="shared" ref="G19:L19" si="2">F19+1</f>
        <v>2010</v>
      </c>
      <c r="H19" s="2">
        <f t="shared" si="2"/>
        <v>2011</v>
      </c>
      <c r="I19" s="2">
        <f t="shared" si="2"/>
        <v>2012</v>
      </c>
      <c r="J19" s="2">
        <f t="shared" si="2"/>
        <v>2013</v>
      </c>
      <c r="K19" s="2">
        <f t="shared" si="2"/>
        <v>2014</v>
      </c>
      <c r="L19" s="2">
        <f t="shared" si="2"/>
        <v>2015</v>
      </c>
    </row>
    <row r="20" spans="2:12">
      <c r="B20" t="str">
        <f>B4</f>
        <v>El Salvador</v>
      </c>
      <c r="C20" s="16"/>
      <c r="D20" s="16"/>
      <c r="E20" s="16">
        <f>CA!I14</f>
        <v>0.96</v>
      </c>
      <c r="F20" s="16">
        <f>CA!J14</f>
        <v>1.02</v>
      </c>
      <c r="G20" s="16">
        <f>CA!K14</f>
        <v>1.0169999999999999</v>
      </c>
      <c r="H20" s="16">
        <f>CA!L14</f>
        <v>1.1160000000000001</v>
      </c>
      <c r="I20" s="16">
        <f>CA!M14</f>
        <v>1.1599999999999999</v>
      </c>
      <c r="J20" s="16">
        <f>CA!N14</f>
        <v>1.0860000000000001</v>
      </c>
      <c r="K20" s="16">
        <f>CA!O14</f>
        <v>1.1919999999999999</v>
      </c>
      <c r="L20" s="16">
        <f>CA!P14</f>
        <v>1.202</v>
      </c>
    </row>
    <row r="21" spans="2:12">
      <c r="B21" t="str">
        <f t="shared" ref="B21:B32" si="3">B5</f>
        <v>Guatemala</v>
      </c>
      <c r="C21" s="16"/>
      <c r="D21" s="16"/>
      <c r="E21" s="16">
        <f>CA!I15</f>
        <v>0.72</v>
      </c>
      <c r="F21" s="16">
        <f>CA!J15</f>
        <v>0.81</v>
      </c>
      <c r="G21" s="16">
        <f>CA!K15</f>
        <v>0.83699999999999997</v>
      </c>
      <c r="H21" s="16">
        <f>CA!L15</f>
        <v>0.89400000000000002</v>
      </c>
      <c r="I21" s="16">
        <f>CA!M15</f>
        <v>0.94599999999999995</v>
      </c>
      <c r="J21" s="16">
        <f>CA!N15</f>
        <v>0.96399999999999997</v>
      </c>
      <c r="K21" s="16">
        <f>CA!O15</f>
        <v>0.95399999999999996</v>
      </c>
      <c r="L21" s="16">
        <f>CA!P15</f>
        <v>0.96399999999999997</v>
      </c>
    </row>
    <row r="22" spans="2:12">
      <c r="B22" t="str">
        <f t="shared" si="3"/>
        <v>Honduras</v>
      </c>
      <c r="C22" s="16"/>
      <c r="D22" s="16"/>
      <c r="E22" s="16">
        <f>CA!I16</f>
        <v>0.78</v>
      </c>
      <c r="F22" s="16">
        <f>CA!J16</f>
        <v>0.89</v>
      </c>
      <c r="G22" s="16">
        <f>CA!K16</f>
        <v>0.85699999999999998</v>
      </c>
      <c r="H22" s="16">
        <f>CA!L16</f>
        <v>0.85199999999999998</v>
      </c>
      <c r="I22" s="16">
        <f>CA!M16</f>
        <v>0.80200000000000005</v>
      </c>
      <c r="J22" s="16">
        <f>CA!N16</f>
        <v>0.86399999999999999</v>
      </c>
      <c r="K22" s="16">
        <f>CA!O16</f>
        <v>0.79500000000000004</v>
      </c>
      <c r="L22" s="16">
        <f>CA!P16</f>
        <v>0.82500000000000007</v>
      </c>
    </row>
    <row r="23" spans="2:12">
      <c r="B23" t="str">
        <f t="shared" si="3"/>
        <v>Bolivia</v>
      </c>
      <c r="C23" s="16"/>
      <c r="D23" s="16"/>
      <c r="E23" s="16">
        <f>SA!I14</f>
        <v>0.42</v>
      </c>
      <c r="F23" s="16">
        <f>SA!J14</f>
        <v>0.54</v>
      </c>
      <c r="G23" s="16">
        <f>SA!K14</f>
        <v>0.64500000000000002</v>
      </c>
      <c r="H23" s="16">
        <f>SA!L14</f>
        <v>0.68400000000000005</v>
      </c>
      <c r="I23" s="16">
        <f>SA!M14</f>
        <v>0.71599999999999997</v>
      </c>
      <c r="J23" s="16">
        <f>SA!N14</f>
        <v>0.76300000000000001</v>
      </c>
      <c r="K23" s="16">
        <f>SA!O14</f>
        <v>0.72099999999999997</v>
      </c>
      <c r="L23" s="16">
        <f>SA!P14</f>
        <v>0.74099999999999999</v>
      </c>
    </row>
    <row r="24" spans="2:12">
      <c r="B24" t="str">
        <f t="shared" si="3"/>
        <v>Paraguay</v>
      </c>
      <c r="C24" s="16"/>
      <c r="D24" s="16"/>
      <c r="E24" s="16">
        <f>SA!I15</f>
        <v>0.78</v>
      </c>
      <c r="F24" s="16">
        <f>SA!J15</f>
        <v>0.86</v>
      </c>
      <c r="G24" s="16">
        <f>SA!K15</f>
        <v>0.92600000000000005</v>
      </c>
      <c r="H24" s="16">
        <f>SA!L15</f>
        <v>0.95799999999999996</v>
      </c>
      <c r="I24" s="16">
        <f>SA!M15</f>
        <v>1.0029999999999999</v>
      </c>
      <c r="J24" s="16">
        <f>SA!N15</f>
        <v>0.97399999999999998</v>
      </c>
      <c r="K24" s="16">
        <f>SA!O15</f>
        <v>0.98799999999999999</v>
      </c>
      <c r="L24" s="16">
        <f>SA!P15</f>
        <v>0.998</v>
      </c>
    </row>
    <row r="25" spans="2:12">
      <c r="B25" t="str">
        <f t="shared" si="3"/>
        <v>Colombia</v>
      </c>
      <c r="C25" s="16"/>
      <c r="D25" s="16"/>
      <c r="E25" s="16">
        <f>SA!I16</f>
        <v>0.91799770540077352</v>
      </c>
      <c r="F25" s="16">
        <f>SA!J16</f>
        <v>0.90082836817395873</v>
      </c>
      <c r="G25" s="16">
        <f>SA!K16</f>
        <v>0.95777240544168429</v>
      </c>
      <c r="H25" s="16">
        <f>SA!L16</f>
        <v>0.97281682102511058</v>
      </c>
      <c r="I25" s="16">
        <f>SA!M16</f>
        <v>1.0166518917336465</v>
      </c>
      <c r="J25" s="16">
        <f>SA!N16</f>
        <v>1.0026898529890582</v>
      </c>
      <c r="K25" s="16">
        <f>SA!O16</f>
        <v>1.0452488816085532</v>
      </c>
      <c r="L25" s="16">
        <f>SA!P16</f>
        <v>1.0331578472813598</v>
      </c>
    </row>
    <row r="26" spans="2:12">
      <c r="B26" t="str">
        <f t="shared" si="3"/>
        <v>Ghana</v>
      </c>
      <c r="C26" s="16"/>
      <c r="D26" s="16"/>
      <c r="E26" s="16">
        <f>Africa!I16</f>
        <v>0.44</v>
      </c>
      <c r="F26" s="16">
        <f>Africa!J16</f>
        <v>0.51</v>
      </c>
      <c r="G26" s="16">
        <f>Africa!K16</f>
        <v>0.57299999999999995</v>
      </c>
      <c r="H26" s="16">
        <f>Africa!L16</f>
        <v>0.66100000000000003</v>
      </c>
      <c r="I26" s="16">
        <f>Africa!M16</f>
        <v>0.72099999999999997</v>
      </c>
      <c r="J26" s="16">
        <f>Africa!N16</f>
        <v>0.80700000000000005</v>
      </c>
      <c r="K26" s="16">
        <f>Africa!O16</f>
        <v>0.82299999999999995</v>
      </c>
      <c r="L26" s="16">
        <f>Africa!P16</f>
        <v>0.85299999999999998</v>
      </c>
    </row>
    <row r="27" spans="2:12">
      <c r="B27" t="str">
        <f t="shared" si="3"/>
        <v>Mauritius</v>
      </c>
      <c r="C27" s="16"/>
      <c r="D27" s="16"/>
      <c r="E27" s="16">
        <f>Africa!I17</f>
        <v>0.77</v>
      </c>
      <c r="F27" s="16">
        <f>Africa!J17</f>
        <v>0.8</v>
      </c>
      <c r="G27" s="16">
        <f>Africa!K17</f>
        <v>0.86099999999999999</v>
      </c>
      <c r="H27" s="16">
        <f>Africa!L17</f>
        <v>0.93</v>
      </c>
      <c r="I27" s="16">
        <f>Africa!M17</f>
        <v>0.97</v>
      </c>
      <c r="J27" s="16">
        <f>Africa!N17</f>
        <v>1.0069999999999999</v>
      </c>
      <c r="K27" s="16">
        <f>Africa!O17</f>
        <v>1.0269999999999999</v>
      </c>
      <c r="L27" s="16">
        <f>Africa!P17</f>
        <v>1.0469999999999999</v>
      </c>
    </row>
    <row r="28" spans="2:12">
      <c r="B28" t="str">
        <f t="shared" si="3"/>
        <v>Senegal</v>
      </c>
      <c r="C28" s="16"/>
      <c r="D28" s="16"/>
      <c r="E28" s="16">
        <f>Africa!I18</f>
        <v>0.42</v>
      </c>
      <c r="F28" s="16">
        <f>Africa!J18</f>
        <v>0.42</v>
      </c>
      <c r="G28" s="16">
        <f>Africa!K18</f>
        <v>0.58399999999999996</v>
      </c>
      <c r="H28" s="16">
        <f>Africa!L18</f>
        <v>0.64500000000000002</v>
      </c>
      <c r="I28" s="16">
        <f>Africa!M18</f>
        <v>0.65800000000000003</v>
      </c>
      <c r="J28" s="16">
        <f>Africa!N18</f>
        <v>0.69</v>
      </c>
      <c r="K28" s="16">
        <f>Africa!O18</f>
        <v>0.72799999999999998</v>
      </c>
      <c r="L28" s="16">
        <f>Africa!P18</f>
        <v>0.75800000000000001</v>
      </c>
    </row>
    <row r="29" spans="2:12">
      <c r="B29" t="str">
        <f t="shared" si="3"/>
        <v>Tanzania</v>
      </c>
      <c r="C29" s="16"/>
      <c r="D29" s="16"/>
      <c r="E29" s="16">
        <f>Africa!I19</f>
        <v>0.22</v>
      </c>
      <c r="F29" s="16">
        <f>Africa!J19</f>
        <v>0.28000000000000003</v>
      </c>
      <c r="G29" s="16">
        <f>Africa!K19</f>
        <v>0.33600000000000002</v>
      </c>
      <c r="H29" s="16">
        <f>Africa!L19</f>
        <v>0.40400000000000003</v>
      </c>
      <c r="I29" s="16">
        <f>Africa!M19</f>
        <v>0.434</v>
      </c>
      <c r="J29" s="16">
        <f>Africa!N19</f>
        <v>0.44900000000000001</v>
      </c>
      <c r="K29" s="16">
        <f>Africa!O19</f>
        <v>0.57699999999999996</v>
      </c>
      <c r="L29" s="16">
        <f>Africa!P19</f>
        <v>0.63700000000000001</v>
      </c>
    </row>
    <row r="30" spans="2:12">
      <c r="B30" t="str">
        <f t="shared" si="3"/>
        <v>Chad</v>
      </c>
      <c r="C30" s="16"/>
      <c r="D30" s="16"/>
      <c r="E30" s="16">
        <f>Africa!I20</f>
        <v>0.12</v>
      </c>
      <c r="F30" s="16">
        <f>Africa!J20</f>
        <v>0.17</v>
      </c>
      <c r="G30" s="16">
        <f>Africa!K20</f>
        <v>0.22600000000000001</v>
      </c>
      <c r="H30" s="16">
        <f>Africa!L20</f>
        <v>0.29199999999999998</v>
      </c>
      <c r="I30" s="16">
        <f>Africa!M20</f>
        <v>0.32500000000000001</v>
      </c>
      <c r="J30" s="16">
        <f>Africa!N20</f>
        <v>0.36199999999999999</v>
      </c>
      <c r="K30" s="16">
        <f>Africa!O20</f>
        <v>0.42099999999999999</v>
      </c>
      <c r="L30" s="16">
        <f>Africa!P20</f>
        <v>0.46099999999999997</v>
      </c>
    </row>
    <row r="31" spans="2:12">
      <c r="B31" t="str">
        <f t="shared" si="3"/>
        <v>DR Congo (KBC area)</v>
      </c>
      <c r="C31" s="16"/>
      <c r="D31" s="16"/>
      <c r="E31" s="16">
        <f>Africa!I21</f>
        <v>0.09</v>
      </c>
      <c r="F31" s="16">
        <f>Africa!J21</f>
        <v>0.08</v>
      </c>
      <c r="G31" s="16">
        <f>Africa!K21</f>
        <v>0.40899999999999997</v>
      </c>
      <c r="H31" s="16">
        <f>Africa!L21</f>
        <v>0.496</v>
      </c>
      <c r="I31" s="16">
        <f>Africa!M21</f>
        <v>0.60699999999999998</v>
      </c>
      <c r="J31" s="16">
        <f>Africa!N21</f>
        <v>0.45</v>
      </c>
      <c r="K31" s="16">
        <f>Africa!O21</f>
        <v>0.56699999999999995</v>
      </c>
      <c r="L31" s="16">
        <f>Africa!P21</f>
        <v>0.61699999999999999</v>
      </c>
    </row>
    <row r="32" spans="2:12">
      <c r="B32" s="11" t="str">
        <f t="shared" si="3"/>
        <v>Rwanda</v>
      </c>
      <c r="C32" s="20"/>
      <c r="D32" s="20"/>
      <c r="E32" s="20">
        <f>Africa!I22</f>
        <v>0.11</v>
      </c>
      <c r="F32" s="20">
        <f>Africa!J22</f>
        <v>0.2</v>
      </c>
      <c r="G32" s="20">
        <f>Africa!K22</f>
        <v>0.26200000000000001</v>
      </c>
      <c r="H32" s="20">
        <f>Africa!L22</f>
        <v>0.30399999999999999</v>
      </c>
      <c r="I32" s="20">
        <f>Africa!M22</f>
        <v>0.32500000000000001</v>
      </c>
      <c r="J32" s="20">
        <f>Africa!N22</f>
        <v>0.47</v>
      </c>
      <c r="K32" s="20">
        <f>Africa!O22</f>
        <v>0.52800000000000002</v>
      </c>
      <c r="L32" s="20">
        <f>Africa!P22</f>
        <v>0.58800000000000008</v>
      </c>
    </row>
    <row r="33" spans="2:12">
      <c r="B33" t="s">
        <v>2324</v>
      </c>
      <c r="C33" s="16"/>
      <c r="D33" s="16"/>
      <c r="E33" s="5">
        <f ca="1">E49/E17</f>
        <v>0.41913766653306578</v>
      </c>
      <c r="F33" s="5">
        <f t="shared" ref="F33:L33" ca="1" si="4">F49/F17</f>
        <v>0.43824020808600878</v>
      </c>
      <c r="G33" s="5">
        <f t="shared" ca="1" si="4"/>
        <v>0.6282757605849113</v>
      </c>
      <c r="H33" s="5">
        <f t="shared" ca="1" si="4"/>
        <v>0.67745535301407678</v>
      </c>
      <c r="I33" s="5">
        <f t="shared" ca="1" si="4"/>
        <v>0.71972248378132775</v>
      </c>
      <c r="J33" s="5">
        <f t="shared" ca="1" si="4"/>
        <v>0.71342452611486751</v>
      </c>
      <c r="K33" s="5">
        <f t="shared" ca="1" si="4"/>
        <v>0.76840153568311131</v>
      </c>
      <c r="L33" s="5">
        <f t="shared" ca="1" si="4"/>
        <v>0.79652425584333664</v>
      </c>
    </row>
    <row r="35" spans="2:12">
      <c r="B35" s="2" t="s">
        <v>1117</v>
      </c>
      <c r="C35" s="2"/>
      <c r="D35" s="2"/>
      <c r="E35" s="2">
        <f>E19</f>
        <v>2008</v>
      </c>
      <c r="F35" s="2">
        <f>E35+1</f>
        <v>2009</v>
      </c>
      <c r="G35" s="2">
        <f t="shared" ref="G35:L35" si="5">F35+1</f>
        <v>2010</v>
      </c>
      <c r="H35" s="2">
        <f t="shared" si="5"/>
        <v>2011</v>
      </c>
      <c r="I35" s="2">
        <f t="shared" si="5"/>
        <v>2012</v>
      </c>
      <c r="J35" s="2">
        <f t="shared" si="5"/>
        <v>2013</v>
      </c>
      <c r="K35" s="2">
        <f t="shared" si="5"/>
        <v>2014</v>
      </c>
      <c r="L35" s="2">
        <f t="shared" si="5"/>
        <v>2015</v>
      </c>
    </row>
    <row r="36" spans="2:12">
      <c r="B36" t="str">
        <f>B20</f>
        <v>El Salvador</v>
      </c>
      <c r="C36" s="9"/>
      <c r="D36" s="9"/>
      <c r="E36" s="9">
        <f t="shared" ref="E36:L46" si="6">E4*E20</f>
        <v>5617.7777777777774</v>
      </c>
      <c r="F36" s="9">
        <f t="shared" si="6"/>
        <v>6043.478260869565</v>
      </c>
      <c r="G36" s="9">
        <f t="shared" si="6"/>
        <v>6144.4504504504503</v>
      </c>
      <c r="H36" s="9">
        <f t="shared" si="6"/>
        <v>6942.660550458716</v>
      </c>
      <c r="I36" s="9">
        <f t="shared" si="6"/>
        <v>7283.6185819070906</v>
      </c>
      <c r="J36" s="9">
        <f t="shared" si="6"/>
        <v>6832.8981723237594</v>
      </c>
      <c r="K36" s="9">
        <f t="shared" si="6"/>
        <v>7513.1578947368416</v>
      </c>
      <c r="L36" s="9">
        <f t="shared" si="6"/>
        <v>7783.8526315789486</v>
      </c>
    </row>
    <row r="37" spans="2:12">
      <c r="B37" t="str">
        <f t="shared" ref="B37:B48" si="7">B21</f>
        <v>Guatemala</v>
      </c>
      <c r="C37" s="9"/>
      <c r="D37" s="9"/>
      <c r="E37" s="9">
        <f t="shared" si="6"/>
        <v>9808.8888888888887</v>
      </c>
      <c r="F37" s="9">
        <f t="shared" si="6"/>
        <v>10977.551020408164</v>
      </c>
      <c r="G37" s="9">
        <f t="shared" si="6"/>
        <v>12016.27238095238</v>
      </c>
      <c r="H37" s="9">
        <f t="shared" si="6"/>
        <v>13093.749999999998</v>
      </c>
      <c r="I37" s="9">
        <f t="shared" si="6"/>
        <v>14643.25323475046</v>
      </c>
      <c r="J37" s="9">
        <f t="shared" si="6"/>
        <v>15507.434944237917</v>
      </c>
      <c r="K37" s="9">
        <f t="shared" si="6"/>
        <v>15754.716981132075</v>
      </c>
      <c r="L37" s="9">
        <f t="shared" si="6"/>
        <v>15995.916363636366</v>
      </c>
    </row>
    <row r="38" spans="2:12">
      <c r="B38" t="str">
        <f t="shared" si="7"/>
        <v>Honduras</v>
      </c>
      <c r="C38" s="9"/>
      <c r="D38" s="9"/>
      <c r="E38" s="9">
        <f t="shared" si="6"/>
        <v>5971.8309859154933</v>
      </c>
      <c r="F38" s="9">
        <f t="shared" si="6"/>
        <v>7295.3846153846162</v>
      </c>
      <c r="G38" s="9">
        <f t="shared" si="6"/>
        <v>6918.0668740279934</v>
      </c>
      <c r="H38" s="9">
        <f t="shared" si="6"/>
        <v>7017.2413793103451</v>
      </c>
      <c r="I38" s="9">
        <f t="shared" si="6"/>
        <v>6727.7936962750719</v>
      </c>
      <c r="J38" s="9">
        <f t="shared" si="6"/>
        <v>7446.4831804281339</v>
      </c>
      <c r="K38" s="9">
        <f t="shared" si="6"/>
        <v>7384.6153846153838</v>
      </c>
      <c r="L38" s="9">
        <f t="shared" si="6"/>
        <v>7816.0870967741939</v>
      </c>
    </row>
    <row r="39" spans="2:12">
      <c r="B39" t="str">
        <f t="shared" si="7"/>
        <v>Bolivia</v>
      </c>
      <c r="C39" s="9"/>
      <c r="D39" s="9"/>
      <c r="E39" s="9">
        <f t="shared" si="6"/>
        <v>4114.7058823529405</v>
      </c>
      <c r="F39" s="9">
        <f t="shared" si="6"/>
        <v>5619.4444444444443</v>
      </c>
      <c r="G39" s="9">
        <f t="shared" si="6"/>
        <v>6735.0308123249288</v>
      </c>
      <c r="H39" s="9">
        <f t="shared" si="6"/>
        <v>7677.1428571428578</v>
      </c>
      <c r="I39" s="9">
        <f t="shared" si="6"/>
        <v>8241.1924119241194</v>
      </c>
      <c r="J39" s="9">
        <f t="shared" si="6"/>
        <v>8994.2693409742133</v>
      </c>
      <c r="K39" s="9">
        <f t="shared" si="6"/>
        <v>8710.8108108108117</v>
      </c>
      <c r="L39" s="9">
        <f t="shared" si="6"/>
        <v>8436.3459459459464</v>
      </c>
    </row>
    <row r="40" spans="2:12">
      <c r="B40" t="str">
        <f t="shared" si="7"/>
        <v>Paraguay</v>
      </c>
      <c r="C40" s="9"/>
      <c r="D40" s="9"/>
      <c r="E40" s="9">
        <f t="shared" si="6"/>
        <v>4996.363636363636</v>
      </c>
      <c r="F40" s="9">
        <f t="shared" si="6"/>
        <v>5442.8571428571422</v>
      </c>
      <c r="G40" s="9">
        <f t="shared" si="6"/>
        <v>5933.4879310344832</v>
      </c>
      <c r="H40" s="9">
        <f t="shared" si="6"/>
        <v>6263.4315424610058</v>
      </c>
      <c r="I40" s="9">
        <f t="shared" si="6"/>
        <v>6844.0207972270373</v>
      </c>
      <c r="J40" s="9">
        <f t="shared" si="6"/>
        <v>6811.418685121108</v>
      </c>
      <c r="K40" s="9">
        <f t="shared" si="6"/>
        <v>6831.5789473684217</v>
      </c>
      <c r="L40" s="9">
        <f t="shared" si="6"/>
        <v>7155.5872727272717</v>
      </c>
    </row>
    <row r="41" spans="2:12">
      <c r="B41" t="str">
        <f t="shared" si="7"/>
        <v>Colombia</v>
      </c>
      <c r="C41" s="9"/>
      <c r="D41" s="9"/>
      <c r="E41" s="9">
        <f t="shared" si="6"/>
        <v>40667</v>
      </c>
      <c r="F41" s="9">
        <f t="shared" si="6"/>
        <v>40505</v>
      </c>
      <c r="G41" s="9">
        <f t="shared" si="6"/>
        <v>43711.423000000003</v>
      </c>
      <c r="H41" s="9">
        <f t="shared" si="6"/>
        <v>45064</v>
      </c>
      <c r="I41" s="9">
        <f t="shared" si="6"/>
        <v>47801</v>
      </c>
      <c r="J41" s="9">
        <f t="shared" si="6"/>
        <v>47851.69999999999</v>
      </c>
      <c r="K41" s="9">
        <f t="shared" si="6"/>
        <v>50631</v>
      </c>
      <c r="L41" s="9">
        <f t="shared" si="6"/>
        <v>50796</v>
      </c>
    </row>
    <row r="42" spans="2:12">
      <c r="B42" t="str">
        <f t="shared" si="7"/>
        <v>Ghana</v>
      </c>
      <c r="C42" s="9"/>
      <c r="D42" s="9"/>
      <c r="E42" s="9">
        <f t="shared" si="6"/>
        <v>10317.857142857141</v>
      </c>
      <c r="F42" s="9">
        <f t="shared" si="6"/>
        <v>12376</v>
      </c>
      <c r="G42" s="9">
        <f t="shared" si="6"/>
        <v>13988.674603174604</v>
      </c>
      <c r="H42" s="9">
        <f t="shared" si="6"/>
        <v>16469.483568075117</v>
      </c>
      <c r="I42" s="9">
        <f t="shared" si="6"/>
        <v>18430.232558139538</v>
      </c>
      <c r="J42" s="9">
        <f t="shared" si="6"/>
        <v>20875</v>
      </c>
      <c r="K42" s="9">
        <f t="shared" si="6"/>
        <v>21272.222222222223</v>
      </c>
      <c r="L42" s="9">
        <f t="shared" si="6"/>
        <v>22697.683333333334</v>
      </c>
    </row>
    <row r="43" spans="2:12">
      <c r="B43" t="str">
        <f t="shared" si="7"/>
        <v>Mauritius</v>
      </c>
      <c r="C43" s="9"/>
      <c r="D43" s="9"/>
      <c r="E43" s="9">
        <f t="shared" si="6"/>
        <v>981.39534883720933</v>
      </c>
      <c r="F43" s="9">
        <f t="shared" si="6"/>
        <v>1016.2790697674418</v>
      </c>
      <c r="G43" s="9">
        <f t="shared" si="6"/>
        <v>1106.9929577464789</v>
      </c>
      <c r="H43" s="9">
        <f t="shared" si="6"/>
        <v>1200</v>
      </c>
      <c r="I43" s="9">
        <f t="shared" si="6"/>
        <v>1265.5502392344499</v>
      </c>
      <c r="J43" s="9">
        <f t="shared" si="6"/>
        <v>0</v>
      </c>
      <c r="K43" s="9">
        <f t="shared" si="6"/>
        <v>0</v>
      </c>
      <c r="L43" s="9">
        <f t="shared" si="6"/>
        <v>0</v>
      </c>
    </row>
    <row r="44" spans="2:12">
      <c r="B44" t="str">
        <f t="shared" si="7"/>
        <v>Senegal</v>
      </c>
      <c r="C44" s="9"/>
      <c r="D44" s="9"/>
      <c r="E44" s="9">
        <f t="shared" si="6"/>
        <v>5144.4444444444443</v>
      </c>
      <c r="F44" s="9">
        <f t="shared" si="6"/>
        <v>5805.5555555555557</v>
      </c>
      <c r="G44" s="9">
        <f t="shared" si="6"/>
        <v>7205.0886850152901</v>
      </c>
      <c r="H44" s="9">
        <f t="shared" si="6"/>
        <v>7953.1772575250852</v>
      </c>
      <c r="I44" s="9">
        <f t="shared" si="6"/>
        <v>8519.354838709678</v>
      </c>
      <c r="J44" s="9">
        <f t="shared" si="6"/>
        <v>9183.6734693877552</v>
      </c>
      <c r="K44" s="9">
        <f t="shared" si="6"/>
        <v>10056.666666666668</v>
      </c>
      <c r="L44" s="9">
        <f t="shared" si="6"/>
        <v>10129.823333333334</v>
      </c>
    </row>
    <row r="45" spans="2:12">
      <c r="B45" t="str">
        <f t="shared" si="7"/>
        <v>Tanzania</v>
      </c>
      <c r="C45" s="9"/>
      <c r="D45" s="9"/>
      <c r="E45" s="9">
        <f t="shared" si="6"/>
        <v>8834.6153846153848</v>
      </c>
      <c r="F45" s="9">
        <f t="shared" si="6"/>
        <v>12431.25</v>
      </c>
      <c r="G45" s="9">
        <f t="shared" si="6"/>
        <v>13325.92261904762</v>
      </c>
      <c r="H45" s="9">
        <f t="shared" si="6"/>
        <v>17415.335463258787</v>
      </c>
      <c r="I45" s="9">
        <f t="shared" si="6"/>
        <v>19063.091482649841</v>
      </c>
      <c r="J45" s="9">
        <f t="shared" si="6"/>
        <v>20836.805555555558</v>
      </c>
      <c r="K45" s="9">
        <f t="shared" si="6"/>
        <v>27310</v>
      </c>
      <c r="L45" s="9">
        <f t="shared" si="6"/>
        <v>31895.724324324325</v>
      </c>
    </row>
    <row r="46" spans="2:12">
      <c r="B46" t="str">
        <f t="shared" si="7"/>
        <v>Chad</v>
      </c>
      <c r="C46" s="9"/>
      <c r="D46" s="9"/>
      <c r="E46" s="9">
        <f t="shared" si="6"/>
        <v>1202.2222222222222</v>
      </c>
      <c r="F46" s="9">
        <f t="shared" si="6"/>
        <v>2034</v>
      </c>
      <c r="G46" s="9">
        <f t="shared" si="6"/>
        <v>2512.0386643233742</v>
      </c>
      <c r="H46" s="9">
        <f t="shared" si="6"/>
        <v>3293.9130434782605</v>
      </c>
      <c r="I46" s="9">
        <f t="shared" si="6"/>
        <v>3664.2599277978338</v>
      </c>
      <c r="J46" s="9">
        <f t="shared" si="6"/>
        <v>4281.3688212927755</v>
      </c>
      <c r="K46" s="9">
        <f t="shared" si="6"/>
        <v>5179.2452830188677</v>
      </c>
      <c r="L46" s="9">
        <f t="shared" si="6"/>
        <v>5732.1153846153838</v>
      </c>
    </row>
    <row r="47" spans="2:12">
      <c r="B47" t="str">
        <f t="shared" si="7"/>
        <v>DR Congo (KBC area)</v>
      </c>
      <c r="C47" s="9"/>
      <c r="D47" s="9"/>
      <c r="E47" s="9">
        <f t="shared" ref="E47:L47" si="8">E15*E31</f>
        <v>5822.2222222222226</v>
      </c>
      <c r="F47" s="9">
        <f t="shared" si="8"/>
        <v>5811.538461538461</v>
      </c>
      <c r="G47" s="9">
        <f t="shared" si="8"/>
        <v>5472.4644670050757</v>
      </c>
      <c r="H47" s="9">
        <f t="shared" si="8"/>
        <v>6825.2148997134673</v>
      </c>
      <c r="I47" s="9">
        <f t="shared" si="8"/>
        <v>8623.5632183908056</v>
      </c>
      <c r="J47" s="9">
        <f t="shared" si="8"/>
        <v>12352.564102564103</v>
      </c>
      <c r="K47" s="9">
        <f t="shared" si="8"/>
        <v>16345.161290322581</v>
      </c>
      <c r="L47" s="9">
        <f t="shared" si="8"/>
        <v>17736.116666666669</v>
      </c>
    </row>
    <row r="48" spans="2:12">
      <c r="B48" s="11" t="str">
        <f t="shared" si="7"/>
        <v>Rwanda</v>
      </c>
      <c r="C48" s="13"/>
      <c r="D48" s="13"/>
      <c r="E48" s="13">
        <f t="shared" ref="E48:L48" ca="1" si="9">E16*E32</f>
        <v>1105.4999999999998</v>
      </c>
      <c r="F48" s="13">
        <f t="shared" ca="1" si="9"/>
        <v>2020.0499999999993</v>
      </c>
      <c r="G48" s="13">
        <f t="shared" ca="1" si="9"/>
        <v>2659.4968274999992</v>
      </c>
      <c r="H48" s="13">
        <f t="shared" ca="1" si="9"/>
        <v>3101.2575218999982</v>
      </c>
      <c r="I48" s="13">
        <f t="shared" ca="1" si="9"/>
        <v>3101.2575218999987</v>
      </c>
      <c r="J48" s="13">
        <f t="shared" ca="1" si="9"/>
        <v>4507.3199706752739</v>
      </c>
      <c r="K48" s="13">
        <f t="shared" ca="1" si="9"/>
        <v>4507.3199706752739</v>
      </c>
      <c r="L48" s="13">
        <f t="shared" ca="1" si="9"/>
        <v>5044.6129989978153</v>
      </c>
    </row>
    <row r="49" spans="2:12">
      <c r="B49" t="s">
        <v>2324</v>
      </c>
      <c r="C49" s="9"/>
      <c r="D49" s="9"/>
      <c r="E49" s="9">
        <f ca="1">SUM(E36:E48)</f>
        <v>104584.82393649736</v>
      </c>
      <c r="F49" s="9">
        <f t="shared" ref="F49:L49" ca="1" si="10">SUM(F36:F48)</f>
        <v>117378.38857082538</v>
      </c>
      <c r="G49" s="9">
        <f t="shared" ca="1" si="10"/>
        <v>127729.41027260268</v>
      </c>
      <c r="H49" s="9">
        <f t="shared" ca="1" si="10"/>
        <v>142316.60808332363</v>
      </c>
      <c r="I49" s="9">
        <f t="shared" ca="1" si="10"/>
        <v>154208.18850890594</v>
      </c>
      <c r="J49" s="9">
        <f t="shared" ca="1" si="10"/>
        <v>165480.93624256057</v>
      </c>
      <c r="K49" s="9">
        <f t="shared" ca="1" si="10"/>
        <v>181496.49545156912</v>
      </c>
      <c r="L49" s="9">
        <f t="shared" ca="1" si="10"/>
        <v>191219.86535193358</v>
      </c>
    </row>
    <row r="51" spans="2:12">
      <c r="B51" s="2" t="s">
        <v>1930</v>
      </c>
      <c r="C51" s="2"/>
      <c r="D51" s="2"/>
      <c r="E51" s="2">
        <f>E35</f>
        <v>2008</v>
      </c>
      <c r="F51" s="2">
        <f>E51+1</f>
        <v>2009</v>
      </c>
      <c r="G51" s="2">
        <f t="shared" ref="G51:L51" si="11">F51+1</f>
        <v>2010</v>
      </c>
      <c r="H51" s="2">
        <f t="shared" si="11"/>
        <v>2011</v>
      </c>
      <c r="I51" s="2">
        <f t="shared" si="11"/>
        <v>2012</v>
      </c>
      <c r="J51" s="2">
        <f t="shared" si="11"/>
        <v>2013</v>
      </c>
      <c r="K51" s="2">
        <f t="shared" si="11"/>
        <v>2014</v>
      </c>
      <c r="L51" s="2">
        <f t="shared" si="11"/>
        <v>2015</v>
      </c>
    </row>
    <row r="52" spans="2:12">
      <c r="B52" t="str">
        <f>B36</f>
        <v>El Salvador</v>
      </c>
      <c r="C52" s="16"/>
      <c r="D52" s="16"/>
      <c r="E52" s="16">
        <f>CA!I52</f>
        <v>0.45</v>
      </c>
      <c r="F52" s="16">
        <f>CA!J52</f>
        <v>0.46</v>
      </c>
      <c r="G52" s="16">
        <f>CA!K52</f>
        <v>0.44400000000000001</v>
      </c>
      <c r="H52" s="16">
        <f>CA!L52</f>
        <v>0.436</v>
      </c>
      <c r="I52" s="16">
        <f>CA!M52</f>
        <v>0.40899999999999997</v>
      </c>
      <c r="J52" s="16">
        <f>CA!N52</f>
        <v>0.38300000000000001</v>
      </c>
      <c r="K52" s="16">
        <f>CA!O52</f>
        <v>0.38</v>
      </c>
      <c r="L52" s="16">
        <f>CA!P52</f>
        <v>0.38</v>
      </c>
    </row>
    <row r="53" spans="2:12">
      <c r="B53" t="str">
        <f t="shared" ref="B53:B64" si="12">B37</f>
        <v>Guatemala</v>
      </c>
      <c r="C53" s="16"/>
      <c r="D53" s="16"/>
      <c r="E53" s="16">
        <f>CA!I53</f>
        <v>0.45</v>
      </c>
      <c r="F53" s="16">
        <f>CA!J53</f>
        <v>0.49</v>
      </c>
      <c r="G53" s="16">
        <f>CA!K53</f>
        <v>0.52500000000000002</v>
      </c>
      <c r="H53" s="16">
        <f>CA!L53</f>
        <v>0.54400000000000004</v>
      </c>
      <c r="I53" s="16">
        <f>CA!M53</f>
        <v>0.54100000000000004</v>
      </c>
      <c r="J53" s="16">
        <f>CA!N53</f>
        <v>0.53800000000000003</v>
      </c>
      <c r="K53" s="16">
        <f>CA!O53</f>
        <v>0.53</v>
      </c>
      <c r="L53" s="16">
        <f>CA!P53</f>
        <v>0.55000000000000004</v>
      </c>
    </row>
    <row r="54" spans="2:12">
      <c r="B54" t="str">
        <f t="shared" si="12"/>
        <v>Honduras</v>
      </c>
      <c r="C54" s="16"/>
      <c r="D54" s="16"/>
      <c r="E54" s="16">
        <f>CA!I54</f>
        <v>0.71</v>
      </c>
      <c r="F54" s="16">
        <f>CA!J54</f>
        <v>0.65</v>
      </c>
      <c r="G54" s="16">
        <f>CA!K54</f>
        <v>0.64300000000000002</v>
      </c>
      <c r="H54" s="16">
        <f>CA!L54</f>
        <v>0.63800000000000001</v>
      </c>
      <c r="I54" s="16">
        <f>CA!M54</f>
        <v>0.69799999999999995</v>
      </c>
      <c r="J54" s="16">
        <f>CA!N54</f>
        <v>0.65400000000000003</v>
      </c>
      <c r="K54" s="16">
        <f>CA!O54</f>
        <v>0.65</v>
      </c>
      <c r="L54" s="16">
        <f>CA!P54</f>
        <v>0.62</v>
      </c>
    </row>
    <row r="55" spans="2:12">
      <c r="B55" t="str">
        <f t="shared" si="12"/>
        <v>Bolivia</v>
      </c>
      <c r="C55" s="16"/>
      <c r="D55" s="16"/>
      <c r="E55" s="16">
        <f>SA!I50</f>
        <v>0.34</v>
      </c>
      <c r="F55" s="16">
        <f>SA!J50</f>
        <v>0.36</v>
      </c>
      <c r="G55" s="16">
        <f>SA!K50</f>
        <v>0.35699999999999998</v>
      </c>
      <c r="H55" s="16">
        <f>SA!L50</f>
        <v>0.35</v>
      </c>
      <c r="I55" s="16">
        <f>SA!M50</f>
        <v>0.36899999999999999</v>
      </c>
      <c r="J55" s="16">
        <f>SA!N50</f>
        <v>0.34899999999999998</v>
      </c>
      <c r="K55" s="16">
        <f>SA!O50</f>
        <v>0.37</v>
      </c>
      <c r="L55" s="16">
        <f>SA!P50</f>
        <v>0.37</v>
      </c>
    </row>
    <row r="56" spans="2:12">
      <c r="B56" t="str">
        <f t="shared" si="12"/>
        <v>Paraguay</v>
      </c>
      <c r="C56" s="16"/>
      <c r="D56" s="16"/>
      <c r="E56" s="16">
        <f>SA!I51</f>
        <v>0.55000000000000004</v>
      </c>
      <c r="F56" s="16">
        <f>SA!J51</f>
        <v>0.56000000000000005</v>
      </c>
      <c r="G56" s="16">
        <f>SA!K51</f>
        <v>0.57999999999999996</v>
      </c>
      <c r="H56" s="16">
        <f>SA!L51</f>
        <v>0.57699999999999996</v>
      </c>
      <c r="I56" s="16">
        <f>SA!M51</f>
        <v>0.57699999999999996</v>
      </c>
      <c r="J56" s="16">
        <f>SA!N51</f>
        <v>0.57799999999999996</v>
      </c>
      <c r="K56" s="16">
        <f>SA!O51</f>
        <v>0.56999999999999995</v>
      </c>
      <c r="L56" s="16">
        <f>SA!P51</f>
        <v>0.55000000000000004</v>
      </c>
    </row>
    <row r="57" spans="2:12">
      <c r="B57" t="str">
        <f t="shared" si="12"/>
        <v>Colombia</v>
      </c>
      <c r="C57" s="16"/>
      <c r="D57" s="16"/>
      <c r="E57" s="16">
        <f>SA!I52</f>
        <v>8.149113531856296E-2</v>
      </c>
      <c r="F57" s="16">
        <f>SA!J52</f>
        <v>9.2433032958893963E-2</v>
      </c>
      <c r="G57" s="16">
        <f>SA!K52</f>
        <v>9.8221991079997545E-2</v>
      </c>
      <c r="H57" s="16">
        <f>SA!L52</f>
        <v>0.10771347417006924</v>
      </c>
      <c r="I57" s="16">
        <f>SA!M52</f>
        <v>0.11978828894792996</v>
      </c>
      <c r="J57" s="16">
        <f>SA!N52</f>
        <v>0.14112351285325286</v>
      </c>
      <c r="K57" s="16">
        <f>SA!O52</f>
        <v>0.15824297367225612</v>
      </c>
      <c r="L57" s="16">
        <f>SA!P52</f>
        <v>0.17572249783447516</v>
      </c>
    </row>
    <row r="58" spans="2:12">
      <c r="B58" t="str">
        <f t="shared" si="12"/>
        <v>Ghana</v>
      </c>
      <c r="C58" s="16"/>
      <c r="D58" s="16"/>
      <c r="E58" s="16">
        <f>Africa!I68</f>
        <v>0.28000000000000003</v>
      </c>
      <c r="F58" s="16">
        <f>Africa!J68</f>
        <v>0.25</v>
      </c>
      <c r="G58" s="16">
        <f>Africa!K68</f>
        <v>0.252</v>
      </c>
      <c r="H58" s="16">
        <f>Africa!L68</f>
        <v>0.21299999999999999</v>
      </c>
      <c r="I58" s="16">
        <f>Africa!M68</f>
        <v>0.17199999999999999</v>
      </c>
      <c r="J58" s="16">
        <f>Africa!N68</f>
        <v>0.17599999999999999</v>
      </c>
      <c r="K58" s="16">
        <f>Africa!O68</f>
        <v>0.18</v>
      </c>
      <c r="L58" s="16">
        <f>Africa!P68</f>
        <v>0.18</v>
      </c>
    </row>
    <row r="59" spans="2:12">
      <c r="B59" t="str">
        <f t="shared" si="12"/>
        <v>Mauritius</v>
      </c>
      <c r="C59" s="16"/>
      <c r="D59" s="16"/>
      <c r="E59" s="16">
        <f>Africa!I69</f>
        <v>0.43</v>
      </c>
      <c r="F59" s="16">
        <f>Africa!J69</f>
        <v>0.43</v>
      </c>
      <c r="G59" s="16">
        <f>Africa!K69</f>
        <v>0.42599999999999999</v>
      </c>
      <c r="H59" s="16">
        <f>Africa!L69</f>
        <v>0.41499999999999998</v>
      </c>
      <c r="I59" s="16">
        <f>Africa!M69</f>
        <v>0.41799999999999998</v>
      </c>
      <c r="J59" s="16">
        <f>Africa!N69</f>
        <v>0.41</v>
      </c>
      <c r="K59" s="16">
        <f>Africa!O69</f>
        <v>0.42</v>
      </c>
      <c r="L59" s="16">
        <f>Africa!P69</f>
        <v>0.42</v>
      </c>
    </row>
    <row r="60" spans="2:12">
      <c r="B60" t="str">
        <f t="shared" si="12"/>
        <v>Senegal</v>
      </c>
      <c r="C60" s="16"/>
      <c r="D60" s="16"/>
      <c r="E60" s="16">
        <f>Africa!I70</f>
        <v>0.36</v>
      </c>
      <c r="F60" s="16">
        <f>Africa!J70</f>
        <v>0.36</v>
      </c>
      <c r="G60" s="16">
        <f>Africa!K70</f>
        <v>0.32700000000000001</v>
      </c>
      <c r="H60" s="16">
        <f>Africa!L70</f>
        <v>0.29899999999999999</v>
      </c>
      <c r="I60" s="16">
        <f>Africa!M70</f>
        <v>0.31</v>
      </c>
      <c r="J60" s="16">
        <f>Africa!N70</f>
        <v>0.29399999999999998</v>
      </c>
      <c r="K60" s="16">
        <f>Africa!O70</f>
        <v>0.3</v>
      </c>
      <c r="L60" s="16">
        <f>Africa!P70</f>
        <v>0.3</v>
      </c>
    </row>
    <row r="61" spans="2:12">
      <c r="B61" t="str">
        <f t="shared" si="12"/>
        <v>Tanzania</v>
      </c>
      <c r="C61" s="16"/>
      <c r="D61" s="16"/>
      <c r="E61" s="16">
        <f>Africa!I71</f>
        <v>0.26</v>
      </c>
      <c r="F61" s="16">
        <f>Africa!J71</f>
        <v>0.32</v>
      </c>
      <c r="G61" s="16">
        <f>Africa!K71</f>
        <v>0.33600000000000002</v>
      </c>
      <c r="H61" s="16">
        <f>Africa!L71</f>
        <v>0.313</v>
      </c>
      <c r="I61" s="16">
        <f>Africa!M71</f>
        <v>0.317</v>
      </c>
      <c r="J61" s="16">
        <f>Africa!N71</f>
        <v>0.28799999999999998</v>
      </c>
      <c r="K61" s="16">
        <f>Africa!O71</f>
        <v>0.3</v>
      </c>
      <c r="L61" s="16">
        <f>Africa!P71</f>
        <v>0.37</v>
      </c>
    </row>
    <row r="62" spans="2:12">
      <c r="B62" t="str">
        <f t="shared" si="12"/>
        <v>Chad</v>
      </c>
      <c r="C62" s="16"/>
      <c r="D62" s="16"/>
      <c r="E62" s="16">
        <f>Africa!I72</f>
        <v>0.45</v>
      </c>
      <c r="F62" s="16">
        <f>Africa!J72</f>
        <v>0.5</v>
      </c>
      <c r="G62" s="16">
        <f>Africa!K72</f>
        <v>0.56899999999999995</v>
      </c>
      <c r="H62" s="16">
        <f>Africa!L72</f>
        <v>0.57499999999999996</v>
      </c>
      <c r="I62" s="16">
        <f>Africa!M72</f>
        <v>0.55400000000000005</v>
      </c>
      <c r="J62" s="16">
        <f>Africa!N72</f>
        <v>0.52600000000000002</v>
      </c>
      <c r="K62" s="16">
        <f>Africa!O72</f>
        <v>0.53</v>
      </c>
      <c r="L62" s="16">
        <f>Africa!P72</f>
        <v>0.52</v>
      </c>
    </row>
    <row r="63" spans="2:12">
      <c r="B63" t="str">
        <f t="shared" si="12"/>
        <v>DR Congo (KBC area)</v>
      </c>
      <c r="C63" s="16"/>
      <c r="D63" s="16"/>
      <c r="E63" s="16">
        <f>Africa!I73</f>
        <v>0.18</v>
      </c>
      <c r="F63" s="16">
        <f>Africa!J73</f>
        <v>0.26</v>
      </c>
      <c r="G63" s="16">
        <f>Africa!K73</f>
        <v>0.39400000000000002</v>
      </c>
      <c r="H63" s="16">
        <f>Africa!L73</f>
        <v>0.34899999999999998</v>
      </c>
      <c r="I63" s="16">
        <f>Africa!M73</f>
        <v>0.34799999999999998</v>
      </c>
      <c r="J63" s="16">
        <f>Africa!N73</f>
        <v>0.312</v>
      </c>
      <c r="K63" s="16">
        <f>Africa!O73</f>
        <v>0.31</v>
      </c>
      <c r="L63" s="16">
        <f>Africa!P73</f>
        <v>0.3</v>
      </c>
    </row>
    <row r="64" spans="2:12">
      <c r="B64" s="11" t="str">
        <f t="shared" si="12"/>
        <v>Rwanda</v>
      </c>
      <c r="C64" s="20"/>
      <c r="D64" s="20"/>
      <c r="E64" s="20">
        <f>Africa!I74</f>
        <v>0</v>
      </c>
      <c r="F64" s="20">
        <f>Africa!J74</f>
        <v>0</v>
      </c>
      <c r="G64" s="20">
        <f>Africa!K74</f>
        <v>0</v>
      </c>
      <c r="H64" s="20">
        <f>Africa!L74</f>
        <v>0.34499999999999997</v>
      </c>
      <c r="I64" s="20">
        <f>Africa!M74</f>
        <v>0.379</v>
      </c>
      <c r="J64" s="20">
        <f>Africa!N74</f>
        <v>0.38100000000000001</v>
      </c>
      <c r="K64" s="20">
        <f>Africa!O74</f>
        <v>0.43</v>
      </c>
      <c r="L64" s="20">
        <f>Africa!P74</f>
        <v>0.43</v>
      </c>
    </row>
    <row r="65" spans="2:12">
      <c r="B65" t="s">
        <v>2324</v>
      </c>
      <c r="C65" s="16"/>
      <c r="D65" s="16"/>
      <c r="E65" s="16">
        <f ca="1">E81/E49</f>
        <v>0.26478028988999636</v>
      </c>
      <c r="F65" s="16">
        <f t="shared" ref="F65:L65" ca="1" si="13">F81/F49</f>
        <v>0.2883239445699099</v>
      </c>
      <c r="G65" s="16">
        <f t="shared" ca="1" si="13"/>
        <v>0.30211976957884124</v>
      </c>
      <c r="H65" s="16">
        <f t="shared" ca="1" si="13"/>
        <v>0.30274049234488898</v>
      </c>
      <c r="I65" s="16">
        <f t="shared" ca="1" si="13"/>
        <v>0.3062677829022834</v>
      </c>
      <c r="J65" s="16">
        <f t="shared" ca="1" si="13"/>
        <v>0.30262096128460436</v>
      </c>
      <c r="K65" s="16">
        <f t="shared" ca="1" si="13"/>
        <v>0.31121262071460937</v>
      </c>
      <c r="L65" s="16">
        <f t="shared" ca="1" si="13"/>
        <v>0.32730345189194082</v>
      </c>
    </row>
    <row r="67" spans="2:12">
      <c r="B67" s="2" t="s">
        <v>1118</v>
      </c>
      <c r="C67" s="2">
        <f>D67-1</f>
        <v>2006</v>
      </c>
      <c r="D67" s="2">
        <f>E67-1</f>
        <v>2007</v>
      </c>
      <c r="E67" s="2">
        <f>E51</f>
        <v>2008</v>
      </c>
      <c r="F67" s="2">
        <f>E67+1</f>
        <v>2009</v>
      </c>
      <c r="G67" s="2">
        <f t="shared" ref="G67:L67" si="14">F67+1</f>
        <v>2010</v>
      </c>
      <c r="H67" s="2">
        <f t="shared" si="14"/>
        <v>2011</v>
      </c>
      <c r="I67" s="2">
        <f t="shared" si="14"/>
        <v>2012</v>
      </c>
      <c r="J67" s="2">
        <f t="shared" si="14"/>
        <v>2013</v>
      </c>
      <c r="K67" s="2">
        <f t="shared" si="14"/>
        <v>2014</v>
      </c>
      <c r="L67" s="2">
        <f t="shared" si="14"/>
        <v>2015</v>
      </c>
    </row>
    <row r="68" spans="2:12">
      <c r="B68" t="str">
        <f>B52</f>
        <v>El Salvador</v>
      </c>
      <c r="C68" s="9">
        <f>CA!G41</f>
        <v>1387</v>
      </c>
      <c r="D68" s="9">
        <f>CA!H41</f>
        <v>2218</v>
      </c>
      <c r="E68">
        <f>CA!I41</f>
        <v>2528</v>
      </c>
      <c r="F68">
        <f>CA!J41</f>
        <v>2780</v>
      </c>
      <c r="G68" s="9">
        <f>CA!K41</f>
        <v>2728.136</v>
      </c>
      <c r="H68" s="9">
        <f>CA!L41</f>
        <v>3027</v>
      </c>
      <c r="I68" s="9">
        <f>CA!M41</f>
        <v>2979</v>
      </c>
      <c r="J68" s="9">
        <f>CA!N41</f>
        <v>2617</v>
      </c>
      <c r="K68" s="9">
        <f>CA!O41</f>
        <v>2855</v>
      </c>
      <c r="L68" s="9">
        <f>CA!P41</f>
        <v>2957.864</v>
      </c>
    </row>
    <row r="69" spans="2:12">
      <c r="B69" t="str">
        <f t="shared" ref="B69:B80" si="15">B53</f>
        <v>Guatemala</v>
      </c>
      <c r="C69" s="9">
        <f>CA!G42</f>
        <v>2223</v>
      </c>
      <c r="D69" s="9">
        <f>CA!H42</f>
        <v>3681.4050000000002</v>
      </c>
      <c r="E69">
        <f>CA!I42</f>
        <v>4414</v>
      </c>
      <c r="F69">
        <f>CA!J42</f>
        <v>5379</v>
      </c>
      <c r="G69" s="9">
        <f>CA!K42</f>
        <v>6308.5429999999997</v>
      </c>
      <c r="H69" s="9">
        <f>CA!L42</f>
        <v>7123</v>
      </c>
      <c r="I69" s="9">
        <f>CA!M42</f>
        <v>7922</v>
      </c>
      <c r="J69" s="9">
        <f>CA!N42</f>
        <v>8343</v>
      </c>
      <c r="K69" s="9">
        <f>CA!O42</f>
        <v>8350</v>
      </c>
      <c r="L69" s="9">
        <f>CA!P42</f>
        <v>8797.7540000000008</v>
      </c>
    </row>
    <row r="70" spans="2:12">
      <c r="B70" t="str">
        <f t="shared" si="15"/>
        <v>Honduras</v>
      </c>
      <c r="C70" s="9">
        <f>CA!G43</f>
        <v>1554</v>
      </c>
      <c r="D70" s="9">
        <f>CA!H43</f>
        <v>2926</v>
      </c>
      <c r="E70">
        <f>CA!I43</f>
        <v>4240</v>
      </c>
      <c r="F70">
        <f>CA!J43</f>
        <v>4742</v>
      </c>
      <c r="G70" s="9">
        <f>CA!K43</f>
        <v>4448.317</v>
      </c>
      <c r="H70" s="9">
        <f>CA!L43</f>
        <v>4477</v>
      </c>
      <c r="I70" s="9">
        <f>CA!M43</f>
        <v>4696</v>
      </c>
      <c r="J70" s="9">
        <f>CA!N43</f>
        <v>4870</v>
      </c>
      <c r="K70" s="9">
        <f>CA!O43</f>
        <v>4800</v>
      </c>
      <c r="L70" s="9">
        <f>CA!P43</f>
        <v>4845.9740000000002</v>
      </c>
    </row>
    <row r="71" spans="2:12">
      <c r="B71" t="str">
        <f t="shared" si="15"/>
        <v>Bolivia</v>
      </c>
      <c r="C71" s="9">
        <f>SA!G41</f>
        <v>936.37400000000002</v>
      </c>
      <c r="D71" s="9">
        <f>SA!H41</f>
        <v>1056</v>
      </c>
      <c r="E71">
        <f>SA!I41</f>
        <v>1399</v>
      </c>
      <c r="F71">
        <f>SA!J41</f>
        <v>2023</v>
      </c>
      <c r="G71" s="9">
        <f>SA!K41</f>
        <v>2404.4059999999999</v>
      </c>
      <c r="H71" s="9">
        <f>SA!L41</f>
        <v>2687</v>
      </c>
      <c r="I71" s="9">
        <f>SA!M41</f>
        <v>3041</v>
      </c>
      <c r="J71" s="9">
        <f>SA!N41</f>
        <v>3139</v>
      </c>
      <c r="K71" s="9">
        <f>SA!O41</f>
        <v>3223</v>
      </c>
      <c r="L71" s="9">
        <f>SA!P41</f>
        <v>3121.4479999999999</v>
      </c>
    </row>
    <row r="72" spans="2:12">
      <c r="B72" t="str">
        <f t="shared" si="15"/>
        <v>Paraguay</v>
      </c>
      <c r="C72" s="9">
        <f>SA!G42</f>
        <v>1273.3150000000001</v>
      </c>
      <c r="D72" s="9">
        <f>SA!H42</f>
        <v>2067</v>
      </c>
      <c r="E72">
        <f>SA!I42</f>
        <v>2748</v>
      </c>
      <c r="F72">
        <f>SA!J42</f>
        <v>3048</v>
      </c>
      <c r="G72" s="9">
        <f>SA!K42</f>
        <v>3441.4229999999998</v>
      </c>
      <c r="H72" s="9">
        <f>SA!L42</f>
        <v>3614</v>
      </c>
      <c r="I72" s="9">
        <f>SA!M42</f>
        <v>3949</v>
      </c>
      <c r="J72" s="9">
        <f>SA!N42</f>
        <v>3937</v>
      </c>
      <c r="K72" s="9">
        <f>SA!O42</f>
        <v>3894</v>
      </c>
      <c r="L72" s="9">
        <f>SA!P42</f>
        <v>3935.5729999999999</v>
      </c>
    </row>
    <row r="73" spans="2:12">
      <c r="B73" t="str">
        <f t="shared" si="15"/>
        <v>Colombia</v>
      </c>
      <c r="C73" s="9">
        <f>SA!G43</f>
        <v>2120</v>
      </c>
      <c r="D73" s="9">
        <f>SA!H43</f>
        <v>2770</v>
      </c>
      <c r="E73">
        <f>SA!I43</f>
        <v>3314</v>
      </c>
      <c r="F73">
        <f>SA!J43</f>
        <v>3744</v>
      </c>
      <c r="G73" s="9">
        <f>SA!K43</f>
        <v>4293.4229999999998</v>
      </c>
      <c r="H73" s="9">
        <f>SA!L43</f>
        <v>4854</v>
      </c>
      <c r="I73" s="9">
        <f>SA!M43</f>
        <v>5726</v>
      </c>
      <c r="J73" s="9">
        <f>SA!N43</f>
        <v>6753</v>
      </c>
      <c r="K73" s="9">
        <f>SA!O43</f>
        <v>8012</v>
      </c>
      <c r="L73" s="9">
        <f>SA!P43</f>
        <v>8926</v>
      </c>
    </row>
    <row r="74" spans="2:12">
      <c r="B74" t="str">
        <f t="shared" si="15"/>
        <v>Ghana</v>
      </c>
      <c r="C74" s="9">
        <f>Africa!G48</f>
        <v>1211.904</v>
      </c>
      <c r="D74" s="9">
        <f>Africa!H48</f>
        <v>2023.0909999999999</v>
      </c>
      <c r="E74">
        <f>Africa!I48</f>
        <v>2889</v>
      </c>
      <c r="F74">
        <f>Africa!J48</f>
        <v>3094</v>
      </c>
      <c r="G74" s="9">
        <f>Africa!K48</f>
        <v>3525.1460000000002</v>
      </c>
      <c r="H74" s="9">
        <f>Africa!L48</f>
        <v>3508</v>
      </c>
      <c r="I74" s="9">
        <f>Africa!M48</f>
        <v>3170</v>
      </c>
      <c r="J74" s="9">
        <f>Africa!N48</f>
        <v>3674</v>
      </c>
      <c r="K74" s="9">
        <f>Africa!O48</f>
        <v>3829</v>
      </c>
      <c r="L74" s="9">
        <f>Africa!P48</f>
        <v>4085.5830000000001</v>
      </c>
    </row>
    <row r="75" spans="2:12">
      <c r="B75" t="str">
        <f t="shared" si="15"/>
        <v>Mauritius</v>
      </c>
      <c r="C75" s="9">
        <f>Africa!G49</f>
        <v>279.19299999999998</v>
      </c>
      <c r="D75" s="9">
        <f>Africa!H49</f>
        <v>365.01799999999997</v>
      </c>
      <c r="E75">
        <f>Africa!I49</f>
        <v>422</v>
      </c>
      <c r="F75">
        <f>Africa!J49</f>
        <v>437</v>
      </c>
      <c r="G75" s="9">
        <f>Africa!K49</f>
        <v>471.57900000000001</v>
      </c>
      <c r="H75" s="9">
        <f>Africa!L49</f>
        <v>498</v>
      </c>
      <c r="I75" s="9">
        <f>Africa!M49</f>
        <v>529</v>
      </c>
      <c r="J75" s="9">
        <f>Africa!N49</f>
        <v>0</v>
      </c>
      <c r="K75" s="9">
        <f>Africa!O49</f>
        <v>0</v>
      </c>
      <c r="L75" s="9">
        <f>Africa!P49</f>
        <v>0</v>
      </c>
    </row>
    <row r="76" spans="2:12">
      <c r="B76" t="str">
        <f t="shared" si="15"/>
        <v>Senegal</v>
      </c>
      <c r="C76" s="9">
        <f>Africa!G50</f>
        <v>894.61699999999996</v>
      </c>
      <c r="D76" s="9">
        <f>Africa!H50</f>
        <v>1118.5050000000001</v>
      </c>
      <c r="E76">
        <f>Africa!I50</f>
        <v>1852</v>
      </c>
      <c r="F76">
        <f>Africa!J50</f>
        <v>2090</v>
      </c>
      <c r="G76" s="9">
        <f>Africa!K50</f>
        <v>2356.0639999999999</v>
      </c>
      <c r="H76" s="9">
        <f>Africa!L50</f>
        <v>2378</v>
      </c>
      <c r="I76" s="9">
        <f>Africa!M50</f>
        <v>2641</v>
      </c>
      <c r="J76" s="9">
        <f>Africa!N50</f>
        <v>2700</v>
      </c>
      <c r="K76" s="9">
        <f>Africa!O50</f>
        <v>3017</v>
      </c>
      <c r="L76" s="9">
        <f>Africa!P50</f>
        <v>3038.9470000000001</v>
      </c>
    </row>
    <row r="77" spans="2:12">
      <c r="B77" t="str">
        <f t="shared" si="15"/>
        <v>Tanzania</v>
      </c>
      <c r="C77" s="9">
        <f>Africa!G51</f>
        <v>760.87400000000002</v>
      </c>
      <c r="D77" s="9">
        <f>Africa!H51</f>
        <v>1191.6780000000001</v>
      </c>
      <c r="E77">
        <f>Africa!I51</f>
        <v>2297</v>
      </c>
      <c r="F77">
        <f>Africa!J51</f>
        <v>3978</v>
      </c>
      <c r="G77" s="9">
        <f>Africa!K51</f>
        <v>4477.51</v>
      </c>
      <c r="H77" s="9">
        <f>Africa!L51</f>
        <v>5451</v>
      </c>
      <c r="I77" s="9">
        <f>Africa!M51</f>
        <v>6043</v>
      </c>
      <c r="J77" s="9">
        <f>Africa!N51</f>
        <v>6001</v>
      </c>
      <c r="K77" s="9">
        <f>Africa!O51</f>
        <v>8193</v>
      </c>
      <c r="L77" s="9">
        <f>Africa!P51</f>
        <v>11801.418</v>
      </c>
    </row>
    <row r="78" spans="2:12">
      <c r="B78" t="str">
        <f t="shared" si="15"/>
        <v>Chad</v>
      </c>
      <c r="C78" s="9">
        <f>Africa!G52</f>
        <v>186.7</v>
      </c>
      <c r="D78" s="9">
        <f>Africa!H52</f>
        <v>323.35599999999999</v>
      </c>
      <c r="E78">
        <f>Africa!I52</f>
        <v>541</v>
      </c>
      <c r="F78">
        <f>Africa!J52</f>
        <v>1017</v>
      </c>
      <c r="G78" s="9">
        <f>Africa!K52</f>
        <v>1429.35</v>
      </c>
      <c r="H78" s="9">
        <f>Africa!L52</f>
        <v>1894</v>
      </c>
      <c r="I78" s="9">
        <f>Africa!M52</f>
        <v>2030</v>
      </c>
      <c r="J78" s="9">
        <f>Africa!N52</f>
        <v>2252</v>
      </c>
      <c r="K78" s="9">
        <f>Africa!O52</f>
        <v>2745</v>
      </c>
      <c r="L78" s="9">
        <f>Africa!P52</f>
        <v>2980.7</v>
      </c>
    </row>
    <row r="79" spans="2:12">
      <c r="B79" t="s">
        <v>827</v>
      </c>
      <c r="C79" s="9">
        <f>Africa!G53</f>
        <v>50.337000000000003</v>
      </c>
      <c r="D79" s="9">
        <f>Africa!H53</f>
        <v>546.5</v>
      </c>
      <c r="E79">
        <f>Africa!I53</f>
        <v>1048</v>
      </c>
      <c r="F79">
        <f>Africa!J53</f>
        <v>1511</v>
      </c>
      <c r="G79" s="9">
        <f>Africa!K53</f>
        <v>2156.1509999999998</v>
      </c>
      <c r="H79" s="9">
        <f>Africa!L53</f>
        <v>2382</v>
      </c>
      <c r="I79" s="9">
        <f>Africa!M53</f>
        <v>3001</v>
      </c>
      <c r="J79" s="9">
        <f>Africa!N53</f>
        <v>3854</v>
      </c>
      <c r="K79" s="9">
        <f>Africa!O53</f>
        <v>5067</v>
      </c>
      <c r="L79" s="9">
        <f>Africa!P53</f>
        <v>5320.835</v>
      </c>
    </row>
    <row r="80" spans="2:12">
      <c r="B80" s="11" t="str">
        <f t="shared" si="15"/>
        <v>Rwanda</v>
      </c>
      <c r="C80" s="13">
        <f>Africa!G54</f>
        <v>0</v>
      </c>
      <c r="D80" s="13">
        <f>Africa!H54</f>
        <v>0</v>
      </c>
      <c r="E80" s="11">
        <f>Africa!I54</f>
        <v>0</v>
      </c>
      <c r="F80" s="11">
        <f>Africa!J54</f>
        <v>0</v>
      </c>
      <c r="G80" s="13">
        <f>Africa!K54</f>
        <v>549.53200000000004</v>
      </c>
      <c r="H80" s="13">
        <f>Africa!L54</f>
        <v>1192</v>
      </c>
      <c r="I80" s="13">
        <f>Africa!M54</f>
        <v>1502</v>
      </c>
      <c r="J80" s="13">
        <f>Africa!N54</f>
        <v>1938</v>
      </c>
      <c r="K80" s="13">
        <f>Africa!O54</f>
        <v>2499</v>
      </c>
      <c r="L80" s="13">
        <f>Africa!P54</f>
        <v>2774.826</v>
      </c>
    </row>
    <row r="81" spans="2:12">
      <c r="B81" t="s">
        <v>2324</v>
      </c>
      <c r="C81" s="9">
        <f>SUM(C68:C80)</f>
        <v>12877.314</v>
      </c>
      <c r="D81" s="9">
        <f>SUM(D68:D80)</f>
        <v>20286.553</v>
      </c>
      <c r="E81" s="9">
        <f>SUM(E68:E80)</f>
        <v>27692</v>
      </c>
      <c r="F81" s="9">
        <f t="shared" ref="F81:L81" si="16">SUM(F68:F80)</f>
        <v>33843</v>
      </c>
      <c r="G81" s="9">
        <f t="shared" si="16"/>
        <v>38589.579999999994</v>
      </c>
      <c r="H81" s="9">
        <f t="shared" si="16"/>
        <v>43085</v>
      </c>
      <c r="I81" s="9">
        <f t="shared" si="16"/>
        <v>47229</v>
      </c>
      <c r="J81" s="9">
        <f t="shared" si="16"/>
        <v>50078</v>
      </c>
      <c r="K81" s="9">
        <f t="shared" si="16"/>
        <v>56484</v>
      </c>
      <c r="L81" s="9">
        <f t="shared" si="16"/>
        <v>62586.921999999999</v>
      </c>
    </row>
    <row r="83" spans="2:12">
      <c r="B83" s="2" t="s">
        <v>584</v>
      </c>
      <c r="C83" s="2"/>
      <c r="D83" s="2">
        <f>D67</f>
        <v>2007</v>
      </c>
      <c r="E83" s="2">
        <f>E67</f>
        <v>2008</v>
      </c>
      <c r="F83" s="2">
        <f>E83+1</f>
        <v>2009</v>
      </c>
      <c r="G83" s="2">
        <f t="shared" ref="G83:L83" si="17">F83+1</f>
        <v>2010</v>
      </c>
      <c r="H83" s="2">
        <f t="shared" si="17"/>
        <v>2011</v>
      </c>
      <c r="I83" s="2">
        <f t="shared" si="17"/>
        <v>2012</v>
      </c>
      <c r="J83" s="2">
        <f t="shared" si="17"/>
        <v>2013</v>
      </c>
      <c r="K83" s="2">
        <f t="shared" si="17"/>
        <v>2014</v>
      </c>
      <c r="L83" s="2">
        <f t="shared" si="17"/>
        <v>2015</v>
      </c>
    </row>
    <row r="84" spans="2:12">
      <c r="B84" t="str">
        <f>B36</f>
        <v>El Salvador</v>
      </c>
      <c r="D84" s="9">
        <f t="shared" ref="D84:L84" si="18">D68-C68</f>
        <v>831</v>
      </c>
      <c r="E84" s="9">
        <f t="shared" si="18"/>
        <v>310</v>
      </c>
      <c r="F84">
        <f t="shared" si="18"/>
        <v>252</v>
      </c>
      <c r="G84" s="9">
        <f t="shared" si="18"/>
        <v>-51.864000000000033</v>
      </c>
      <c r="H84" s="9">
        <f t="shared" si="18"/>
        <v>298.86400000000003</v>
      </c>
      <c r="I84" s="9">
        <f t="shared" si="18"/>
        <v>-48</v>
      </c>
      <c r="J84" s="9">
        <f t="shared" si="18"/>
        <v>-362</v>
      </c>
      <c r="K84" s="9">
        <f t="shared" si="18"/>
        <v>238</v>
      </c>
      <c r="L84" s="9">
        <f t="shared" si="18"/>
        <v>102.86400000000003</v>
      </c>
    </row>
    <row r="85" spans="2:12">
      <c r="B85" t="str">
        <f t="shared" ref="B85:B96" si="19">B37</f>
        <v>Guatemala</v>
      </c>
      <c r="D85" s="9">
        <f t="shared" ref="D85:E96" si="20">D69-C69</f>
        <v>1458.4050000000002</v>
      </c>
      <c r="E85" s="9">
        <f t="shared" si="20"/>
        <v>732.5949999999998</v>
      </c>
      <c r="F85">
        <f t="shared" ref="F85:L96" si="21">F69-E69</f>
        <v>965</v>
      </c>
      <c r="G85" s="9">
        <f>G69-F69</f>
        <v>929.54299999999967</v>
      </c>
      <c r="H85" s="9">
        <f t="shared" si="21"/>
        <v>814.45700000000033</v>
      </c>
      <c r="I85" s="9">
        <f t="shared" si="21"/>
        <v>799</v>
      </c>
      <c r="J85" s="9">
        <f t="shared" si="21"/>
        <v>421</v>
      </c>
      <c r="K85" s="9">
        <f t="shared" si="21"/>
        <v>7</v>
      </c>
      <c r="L85" s="9">
        <f t="shared" si="21"/>
        <v>447.75400000000081</v>
      </c>
    </row>
    <row r="86" spans="2:12">
      <c r="B86" t="str">
        <f t="shared" si="19"/>
        <v>Honduras</v>
      </c>
      <c r="D86" s="9">
        <f t="shared" si="20"/>
        <v>1372</v>
      </c>
      <c r="E86" s="9">
        <f t="shared" si="20"/>
        <v>1314</v>
      </c>
      <c r="F86">
        <f t="shared" si="21"/>
        <v>502</v>
      </c>
      <c r="G86" s="9">
        <f>G70-F70</f>
        <v>-293.68299999999999</v>
      </c>
      <c r="H86" s="9">
        <f t="shared" si="21"/>
        <v>28.682999999999993</v>
      </c>
      <c r="I86" s="9">
        <f t="shared" si="21"/>
        <v>219</v>
      </c>
      <c r="J86" s="9">
        <f t="shared" si="21"/>
        <v>174</v>
      </c>
      <c r="K86" s="9">
        <f t="shared" si="21"/>
        <v>-70</v>
      </c>
      <c r="L86" s="9">
        <f t="shared" si="21"/>
        <v>45.97400000000016</v>
      </c>
    </row>
    <row r="87" spans="2:12">
      <c r="B87" t="str">
        <f t="shared" si="19"/>
        <v>Bolivia</v>
      </c>
      <c r="D87" s="9">
        <f t="shared" si="20"/>
        <v>119.62599999999998</v>
      </c>
      <c r="E87" s="9">
        <f t="shared" si="20"/>
        <v>343</v>
      </c>
      <c r="F87">
        <f t="shared" si="21"/>
        <v>624</v>
      </c>
      <c r="G87" s="9">
        <f t="shared" si="21"/>
        <v>381.40599999999995</v>
      </c>
      <c r="H87" s="9">
        <f t="shared" si="21"/>
        <v>282.59400000000005</v>
      </c>
      <c r="I87" s="9">
        <f t="shared" si="21"/>
        <v>354</v>
      </c>
      <c r="J87" s="9">
        <f t="shared" si="21"/>
        <v>98</v>
      </c>
      <c r="K87" s="9">
        <f t="shared" si="21"/>
        <v>84</v>
      </c>
      <c r="L87" s="9">
        <f t="shared" si="21"/>
        <v>-101.55200000000013</v>
      </c>
    </row>
    <row r="88" spans="2:12">
      <c r="B88" t="str">
        <f t="shared" si="19"/>
        <v>Paraguay</v>
      </c>
      <c r="D88" s="9">
        <f t="shared" si="20"/>
        <v>793.68499999999995</v>
      </c>
      <c r="E88" s="9">
        <f t="shared" si="20"/>
        <v>681</v>
      </c>
      <c r="F88">
        <f t="shared" si="21"/>
        <v>300</v>
      </c>
      <c r="G88" s="9">
        <f>G72-F72</f>
        <v>393.42299999999977</v>
      </c>
      <c r="H88" s="9">
        <f t="shared" si="21"/>
        <v>172.57700000000023</v>
      </c>
      <c r="I88" s="9">
        <f t="shared" si="21"/>
        <v>335</v>
      </c>
      <c r="J88" s="9">
        <f t="shared" si="21"/>
        <v>-12</v>
      </c>
      <c r="K88" s="9">
        <f t="shared" si="21"/>
        <v>-43</v>
      </c>
      <c r="L88" s="9">
        <f t="shared" si="21"/>
        <v>41.572999999999865</v>
      </c>
    </row>
    <row r="89" spans="2:12">
      <c r="B89" t="str">
        <f t="shared" si="19"/>
        <v>Colombia</v>
      </c>
      <c r="D89" s="9">
        <f t="shared" si="20"/>
        <v>650</v>
      </c>
      <c r="E89" s="9">
        <f t="shared" si="20"/>
        <v>544</v>
      </c>
      <c r="F89">
        <f t="shared" si="21"/>
        <v>430</v>
      </c>
      <c r="G89" s="9">
        <f>G73-F73</f>
        <v>549.42299999999977</v>
      </c>
      <c r="H89" s="9">
        <f t="shared" si="21"/>
        <v>560.57700000000023</v>
      </c>
      <c r="I89" s="9">
        <f t="shared" si="21"/>
        <v>872</v>
      </c>
      <c r="J89" s="9">
        <f t="shared" si="21"/>
        <v>1027</v>
      </c>
      <c r="K89" s="9">
        <f t="shared" si="21"/>
        <v>1259</v>
      </c>
      <c r="L89" s="9">
        <f t="shared" si="21"/>
        <v>914</v>
      </c>
    </row>
    <row r="90" spans="2:12">
      <c r="B90" t="str">
        <f t="shared" si="19"/>
        <v>Ghana</v>
      </c>
      <c r="D90" s="9">
        <f t="shared" si="20"/>
        <v>811.1869999999999</v>
      </c>
      <c r="E90" s="9">
        <f t="shared" si="20"/>
        <v>865.90900000000011</v>
      </c>
      <c r="F90">
        <f t="shared" si="21"/>
        <v>205</v>
      </c>
      <c r="G90" s="9">
        <f>G74-F74</f>
        <v>431.14600000000019</v>
      </c>
      <c r="H90" s="9">
        <f t="shared" si="21"/>
        <v>-17.146000000000186</v>
      </c>
      <c r="I90" s="9">
        <f t="shared" si="21"/>
        <v>-338</v>
      </c>
      <c r="J90" s="9">
        <f t="shared" si="21"/>
        <v>504</v>
      </c>
      <c r="K90" s="9">
        <f t="shared" si="21"/>
        <v>155</v>
      </c>
      <c r="L90" s="9">
        <f t="shared" si="21"/>
        <v>256.58300000000008</v>
      </c>
    </row>
    <row r="91" spans="2:12">
      <c r="B91" t="str">
        <f t="shared" si="19"/>
        <v>Mauritius</v>
      </c>
      <c r="D91" s="9">
        <f t="shared" si="20"/>
        <v>85.824999999999989</v>
      </c>
      <c r="E91" s="9">
        <f t="shared" si="20"/>
        <v>56.982000000000028</v>
      </c>
      <c r="F91">
        <f t="shared" si="21"/>
        <v>15</v>
      </c>
      <c r="G91" s="9">
        <f t="shared" si="21"/>
        <v>34.579000000000008</v>
      </c>
      <c r="H91" s="9">
        <f t="shared" si="21"/>
        <v>26.420999999999992</v>
      </c>
      <c r="I91" s="9">
        <f t="shared" si="21"/>
        <v>31</v>
      </c>
      <c r="J91" s="9">
        <f t="shared" si="21"/>
        <v>-529</v>
      </c>
      <c r="K91" s="9">
        <f t="shared" si="21"/>
        <v>0</v>
      </c>
      <c r="L91" s="9">
        <f t="shared" si="21"/>
        <v>0</v>
      </c>
    </row>
    <row r="92" spans="2:12">
      <c r="B92" t="str">
        <f t="shared" si="19"/>
        <v>Senegal</v>
      </c>
      <c r="D92" s="9">
        <f t="shared" si="20"/>
        <v>223.88800000000015</v>
      </c>
      <c r="E92" s="9">
        <f t="shared" si="20"/>
        <v>733.49499999999989</v>
      </c>
      <c r="F92">
        <f t="shared" si="21"/>
        <v>238</v>
      </c>
      <c r="G92" s="9">
        <f>G76-F76</f>
        <v>266.06399999999985</v>
      </c>
      <c r="H92" s="9">
        <f t="shared" si="21"/>
        <v>21.936000000000149</v>
      </c>
      <c r="I92" s="9">
        <f t="shared" si="21"/>
        <v>263</v>
      </c>
      <c r="J92" s="9">
        <f t="shared" si="21"/>
        <v>59</v>
      </c>
      <c r="K92" s="9">
        <f t="shared" si="21"/>
        <v>317</v>
      </c>
      <c r="L92" s="9">
        <f t="shared" si="21"/>
        <v>21.947000000000116</v>
      </c>
    </row>
    <row r="93" spans="2:12">
      <c r="B93" t="str">
        <f t="shared" si="19"/>
        <v>Tanzania</v>
      </c>
      <c r="D93" s="9">
        <f t="shared" si="20"/>
        <v>430.80400000000009</v>
      </c>
      <c r="E93" s="9">
        <f t="shared" si="20"/>
        <v>1105.3219999999999</v>
      </c>
      <c r="F93">
        <f t="shared" si="21"/>
        <v>1681</v>
      </c>
      <c r="G93" s="9">
        <f>G77-F77</f>
        <v>499.51000000000022</v>
      </c>
      <c r="H93" s="9">
        <f t="shared" si="21"/>
        <v>973.48999999999978</v>
      </c>
      <c r="I93" s="9">
        <f t="shared" si="21"/>
        <v>592</v>
      </c>
      <c r="J93" s="9">
        <f t="shared" si="21"/>
        <v>-42</v>
      </c>
      <c r="K93" s="9">
        <f t="shared" si="21"/>
        <v>2192</v>
      </c>
      <c r="L93" s="9">
        <f t="shared" si="21"/>
        <v>3608.4179999999997</v>
      </c>
    </row>
    <row r="94" spans="2:12">
      <c r="B94" t="str">
        <f t="shared" si="19"/>
        <v>Chad</v>
      </c>
      <c r="D94" s="9">
        <f t="shared" si="20"/>
        <v>136.65600000000001</v>
      </c>
      <c r="E94" s="9">
        <f t="shared" si="20"/>
        <v>217.64400000000001</v>
      </c>
      <c r="F94">
        <f t="shared" si="21"/>
        <v>476</v>
      </c>
      <c r="G94" s="9">
        <f>G78-F78</f>
        <v>412.34999999999991</v>
      </c>
      <c r="H94" s="9">
        <f t="shared" si="21"/>
        <v>464.65000000000009</v>
      </c>
      <c r="I94" s="9">
        <f t="shared" si="21"/>
        <v>136</v>
      </c>
      <c r="J94" s="9">
        <f t="shared" si="21"/>
        <v>222</v>
      </c>
      <c r="K94" s="9">
        <f t="shared" si="21"/>
        <v>493</v>
      </c>
      <c r="L94" s="9">
        <f t="shared" si="21"/>
        <v>235.69999999999982</v>
      </c>
    </row>
    <row r="95" spans="2:12">
      <c r="B95" t="str">
        <f>B79</f>
        <v>DR Congo</v>
      </c>
      <c r="D95" s="9">
        <f t="shared" si="20"/>
        <v>496.16300000000001</v>
      </c>
      <c r="E95" s="9">
        <f t="shared" si="20"/>
        <v>501.5</v>
      </c>
      <c r="F95">
        <f t="shared" si="21"/>
        <v>463</v>
      </c>
      <c r="G95" s="9">
        <f>G79-F79</f>
        <v>645.15099999999984</v>
      </c>
      <c r="H95" s="9">
        <f t="shared" si="21"/>
        <v>225.84900000000016</v>
      </c>
      <c r="I95" s="9">
        <f t="shared" si="21"/>
        <v>619</v>
      </c>
      <c r="J95" s="9">
        <f t="shared" si="21"/>
        <v>853</v>
      </c>
      <c r="K95" s="9">
        <f t="shared" si="21"/>
        <v>1213</v>
      </c>
      <c r="L95" s="9">
        <f t="shared" si="21"/>
        <v>253.83500000000004</v>
      </c>
    </row>
    <row r="96" spans="2:12">
      <c r="B96" s="11" t="str">
        <f t="shared" si="19"/>
        <v>Rwanda</v>
      </c>
      <c r="C96" s="11"/>
      <c r="D96" s="13">
        <f t="shared" si="20"/>
        <v>0</v>
      </c>
      <c r="E96" s="13">
        <f t="shared" si="20"/>
        <v>0</v>
      </c>
      <c r="F96" s="11">
        <f t="shared" si="21"/>
        <v>0</v>
      </c>
      <c r="G96" s="13">
        <f>G80-F80</f>
        <v>549.53200000000004</v>
      </c>
      <c r="H96" s="13">
        <f t="shared" si="21"/>
        <v>642.46799999999996</v>
      </c>
      <c r="I96" s="13">
        <f t="shared" si="21"/>
        <v>310</v>
      </c>
      <c r="J96" s="13">
        <f t="shared" si="21"/>
        <v>436</v>
      </c>
      <c r="K96" s="13">
        <f t="shared" si="21"/>
        <v>561</v>
      </c>
      <c r="L96" s="13">
        <f t="shared" si="21"/>
        <v>275.82600000000002</v>
      </c>
    </row>
    <row r="97" spans="2:12">
      <c r="B97" t="s">
        <v>2324</v>
      </c>
      <c r="D97" s="9">
        <f t="shared" ref="D97:L97" si="22">SUM(D84:D96)</f>
        <v>7409.2389999999996</v>
      </c>
      <c r="E97" s="9">
        <f t="shared" si="22"/>
        <v>7405.4470000000001</v>
      </c>
      <c r="F97" s="9">
        <f t="shared" si="22"/>
        <v>6151</v>
      </c>
      <c r="G97" s="9">
        <f t="shared" si="22"/>
        <v>4746.579999999999</v>
      </c>
      <c r="H97" s="9">
        <f t="shared" si="22"/>
        <v>4495.420000000001</v>
      </c>
      <c r="I97" s="9">
        <f t="shared" si="22"/>
        <v>4144</v>
      </c>
      <c r="J97" s="9">
        <f t="shared" si="22"/>
        <v>2849</v>
      </c>
      <c r="K97" s="9">
        <f t="shared" si="22"/>
        <v>6406</v>
      </c>
      <c r="L97" s="9">
        <f t="shared" si="22"/>
        <v>6102.9220000000005</v>
      </c>
    </row>
    <row r="99" spans="2:12">
      <c r="B99" s="2" t="s">
        <v>366</v>
      </c>
      <c r="E99" s="2">
        <f>E83</f>
        <v>2008</v>
      </c>
      <c r="F99" s="2">
        <f>E99+1</f>
        <v>2009</v>
      </c>
      <c r="G99" s="2">
        <f t="shared" ref="G99:L99" si="23">F99+1</f>
        <v>2010</v>
      </c>
      <c r="H99" s="2">
        <f t="shared" si="23"/>
        <v>2011</v>
      </c>
      <c r="I99" s="2">
        <f t="shared" si="23"/>
        <v>2012</v>
      </c>
      <c r="J99" s="2">
        <f t="shared" si="23"/>
        <v>2013</v>
      </c>
      <c r="K99" s="2">
        <f t="shared" si="23"/>
        <v>2014</v>
      </c>
      <c r="L99" s="2">
        <f t="shared" si="23"/>
        <v>2015</v>
      </c>
    </row>
    <row r="100" spans="2:12">
      <c r="B100" t="s">
        <v>2376</v>
      </c>
      <c r="F100" s="7" t="e">
        <f t="shared" ref="F100:L100" si="24">F146/AVERAGE(E68:F68)/12*1000</f>
        <v>#REF!</v>
      </c>
      <c r="G100" s="7" t="e">
        <f t="shared" si="24"/>
        <v>#REF!</v>
      </c>
      <c r="H100" s="7">
        <f t="shared" si="24"/>
        <v>11.98929095680797</v>
      </c>
      <c r="I100" s="7">
        <f t="shared" si="24"/>
        <v>12.293262293262293</v>
      </c>
      <c r="J100" s="7">
        <f t="shared" si="24"/>
        <v>13.193948058136764</v>
      </c>
      <c r="K100" s="7">
        <f t="shared" si="24"/>
        <v>13.492933723196881</v>
      </c>
      <c r="L100" s="7">
        <f t="shared" si="24"/>
        <v>12.895035677355429</v>
      </c>
    </row>
    <row r="101" spans="2:12">
      <c r="B101" t="s">
        <v>1119</v>
      </c>
      <c r="F101" s="7" t="e">
        <f>F147/(AVERAGE(E69:F69)*Quarts!$B$123)/12*1000</f>
        <v>#REF!</v>
      </c>
      <c r="G101" s="7" t="e">
        <f>G147/(AVERAGE(F69:G69)*Quarts!$B$123)/12*1000</f>
        <v>#REF!</v>
      </c>
      <c r="H101" s="7">
        <f>H147/(AVERAGE(G69:H69)*Quarts!$B$123)/12*1000</f>
        <v>13.626900723937899</v>
      </c>
      <c r="I101" s="7">
        <f>I147/(AVERAGE(H69:I69)*Quarts!$B$123)/12*1000</f>
        <v>12.507930753194961</v>
      </c>
      <c r="J101" s="7">
        <f>J147/(AVERAGE(I69:J69)*Quarts!$B$123)/12*1000</f>
        <v>11.958192437749767</v>
      </c>
      <c r="K101" s="7">
        <f>K147/(AVERAGE(J69:K69)*Quarts!$B$123)/12*1000</f>
        <v>12.400407356376924</v>
      </c>
      <c r="L101" s="7">
        <f>L147/(AVERAGE(K69:L69)*Quarts!$B$123)/12*1000</f>
        <v>12.693596296440143</v>
      </c>
    </row>
    <row r="102" spans="2:12">
      <c r="B102" t="s">
        <v>1120</v>
      </c>
      <c r="F102" s="7" t="e">
        <f>F148/(AVERAGE(E70:F70)*Quarts!$B$124)/12*1000</f>
        <v>#REF!</v>
      </c>
      <c r="G102" s="7" t="e">
        <f>G148/(AVERAGE(F70:G70)*Quarts!$B$124)/12*1000</f>
        <v>#REF!</v>
      </c>
      <c r="H102" s="7">
        <f>H148/(AVERAGE(G70:H70)*Quarts!$B$124)/12*1000</f>
        <v>12.623771729092772</v>
      </c>
      <c r="I102" s="7">
        <f>I148/(AVERAGE(H70:I70)*Quarts!$B$124)/12*1000</f>
        <v>12.866944920649889</v>
      </c>
      <c r="J102" s="7">
        <f>J148/(AVERAGE(I70:J70)*Quarts!$B$124)/12*1000</f>
        <v>11.480774352526852</v>
      </c>
      <c r="K102" s="7">
        <f>K148/(AVERAGE(J70:K70)*Quarts!$B$124)/12*1000</f>
        <v>10.889849801056039</v>
      </c>
      <c r="L102" s="7">
        <f>L148/(AVERAGE(K70:L70)*Quarts!$B$124)/12*1000</f>
        <v>11.264095612666315</v>
      </c>
    </row>
    <row r="103" spans="2:12">
      <c r="B103" t="s">
        <v>2377</v>
      </c>
      <c r="F103" s="7" t="e">
        <f t="shared" ref="F103:L105" si="25">F152/AVERAGE(E71:F71)/12*1000</f>
        <v>#REF!</v>
      </c>
      <c r="G103" s="7" t="e">
        <f t="shared" si="25"/>
        <v>#REF!</v>
      </c>
      <c r="H103" s="7">
        <f t="shared" si="25"/>
        <v>11.686359327855605</v>
      </c>
      <c r="I103" s="7">
        <f t="shared" si="25"/>
        <v>12.48254189944134</v>
      </c>
      <c r="J103" s="7">
        <f t="shared" si="25"/>
        <v>11.812297734627832</v>
      </c>
      <c r="K103" s="7">
        <f t="shared" si="25"/>
        <v>12.784239756889866</v>
      </c>
      <c r="L103" s="7">
        <f t="shared" si="25"/>
        <v>13.922934403959704</v>
      </c>
    </row>
    <row r="104" spans="2:12">
      <c r="B104" t="s">
        <v>2378</v>
      </c>
      <c r="F104" s="7" t="e">
        <f t="shared" si="25"/>
        <v>#REF!</v>
      </c>
      <c r="G104" s="7" t="e">
        <f t="shared" si="25"/>
        <v>#REF!</v>
      </c>
      <c r="H104" s="7">
        <f t="shared" si="25"/>
        <v>14.008137192246778</v>
      </c>
      <c r="I104" s="7">
        <f t="shared" si="25"/>
        <v>14.302084710652739</v>
      </c>
      <c r="J104" s="7">
        <f t="shared" si="25"/>
        <v>16.569447966861102</v>
      </c>
      <c r="K104" s="7">
        <f t="shared" si="25"/>
        <v>16.324011407653344</v>
      </c>
      <c r="L104" s="7">
        <f t="shared" si="25"/>
        <v>14.304739223965344</v>
      </c>
    </row>
    <row r="105" spans="2:12">
      <c r="B105" t="s">
        <v>1665</v>
      </c>
      <c r="F105" s="7">
        <f t="shared" si="25"/>
        <v>10.665863569908193</v>
      </c>
      <c r="G105" s="7">
        <f t="shared" si="25"/>
        <v>12.690634796750153</v>
      </c>
      <c r="H105" s="7">
        <f t="shared" si="25"/>
        <v>6.8871856040766897</v>
      </c>
      <c r="I105" s="7">
        <f t="shared" si="25"/>
        <v>6.6871455576559544</v>
      </c>
      <c r="J105" s="7">
        <f t="shared" si="25"/>
        <v>6.4708710633864888</v>
      </c>
      <c r="K105" s="7">
        <f t="shared" si="25"/>
        <v>6.5865221808330512</v>
      </c>
      <c r="L105" s="7">
        <f t="shared" si="25"/>
        <v>4.6285833001191703</v>
      </c>
    </row>
    <row r="106" spans="2:12">
      <c r="B106" t="s">
        <v>2382</v>
      </c>
      <c r="F106" s="7">
        <f t="shared" ref="F106:L106" si="26">F157/AVERAGE(E74:F74)/12*1000</f>
        <v>5.3960191015180143</v>
      </c>
      <c r="G106" s="7">
        <f t="shared" si="26"/>
        <v>5.3940521372862964</v>
      </c>
      <c r="H106" s="7">
        <f t="shared" si="26"/>
        <v>4.4783960330542678</v>
      </c>
      <c r="I106" s="7">
        <f t="shared" si="26"/>
        <v>4.0866139060007409</v>
      </c>
      <c r="J106" s="7">
        <f t="shared" si="26"/>
        <v>4.1155269822715761</v>
      </c>
      <c r="K106" s="7">
        <f t="shared" si="26"/>
        <v>3.243147185570217</v>
      </c>
      <c r="L106" s="7">
        <f t="shared" si="26"/>
        <v>2.9318925761774217</v>
      </c>
    </row>
    <row r="107" spans="2:12">
      <c r="B107" t="s">
        <v>1121</v>
      </c>
      <c r="F107" s="7">
        <f>F158/(AVERAGE(E75:F75)*Quarts!$B$135)/12*1000</f>
        <v>13.254268529297633</v>
      </c>
      <c r="G107" s="7">
        <f>G158/(AVERAGE(F75:G75)*Quarts!$B$135)/12*1000</f>
        <v>13.887960544460029</v>
      </c>
      <c r="H107" s="7">
        <f>H158/(AVERAGE(G75:H75)*Quarts!$B$135)/12*1000</f>
        <v>13.014214729820827</v>
      </c>
      <c r="I107" s="7">
        <f>I158/(AVERAGE(H75:I75)*Quarts!$B$135)/12*1000</f>
        <v>0</v>
      </c>
      <c r="J107" s="7">
        <f>J158/(AVERAGE(I75:J75)*Quarts!$B$135)/12*1000</f>
        <v>0</v>
      </c>
      <c r="K107" s="7" t="e">
        <f>K158/(AVERAGE(J75:K75)*Quarts!$B$135)/12*1000</f>
        <v>#DIV/0!</v>
      </c>
      <c r="L107" s="7" t="e">
        <f>L158/(AVERAGE(K75:L75)*Quarts!$B$135)/12*1000</f>
        <v>#DIV/0!</v>
      </c>
    </row>
    <row r="108" spans="2:12">
      <c r="B108" t="s">
        <v>2384</v>
      </c>
      <c r="F108" s="7">
        <f t="shared" ref="F108:L111" si="27">F159/AVERAGE(E76:F76)/12*1000</f>
        <v>6.3541406897184318</v>
      </c>
      <c r="G108" s="7">
        <f t="shared" si="27"/>
        <v>5.7306040681018366</v>
      </c>
      <c r="H108" s="7">
        <f t="shared" si="27"/>
        <v>4.7648715321270556</v>
      </c>
      <c r="I108" s="7">
        <f t="shared" si="27"/>
        <v>3.9122895246650624</v>
      </c>
      <c r="J108" s="7">
        <f t="shared" si="27"/>
        <v>3.6275442588577862</v>
      </c>
      <c r="K108" s="7">
        <f t="shared" si="27"/>
        <v>3.3508522190323591</v>
      </c>
      <c r="L108" s="7">
        <f t="shared" ca="1" si="27"/>
        <v>3.1172234566752661</v>
      </c>
    </row>
    <row r="109" spans="2:12">
      <c r="B109" t="s">
        <v>578</v>
      </c>
      <c r="F109" s="7">
        <f t="shared" si="27"/>
        <v>5.4989902027111688</v>
      </c>
      <c r="G109" s="7">
        <f t="shared" si="27"/>
        <v>5.0302972359194262</v>
      </c>
      <c r="H109" s="7">
        <f t="shared" si="27"/>
        <v>5.0247732392045421</v>
      </c>
      <c r="I109" s="7">
        <f t="shared" si="27"/>
        <v>4.9802761549556571</v>
      </c>
      <c r="J109" s="7">
        <f t="shared" si="27"/>
        <v>4.8571903022251748</v>
      </c>
      <c r="K109" s="7">
        <f t="shared" si="27"/>
        <v>4.321074632473815</v>
      </c>
      <c r="L109" s="7">
        <f t="shared" si="27"/>
        <v>3.0675228122835749</v>
      </c>
    </row>
    <row r="110" spans="2:12">
      <c r="B110" t="s">
        <v>579</v>
      </c>
      <c r="F110" s="7">
        <f t="shared" si="27"/>
        <v>9.8491565312620111</v>
      </c>
      <c r="G110" s="7">
        <f t="shared" si="27"/>
        <v>7.173835263488364</v>
      </c>
      <c r="H110" s="7">
        <f t="shared" si="27"/>
        <v>5.6696868815314616</v>
      </c>
      <c r="I110" s="7">
        <f t="shared" si="27"/>
        <v>5.1312425837513782</v>
      </c>
      <c r="J110" s="7">
        <f t="shared" si="27"/>
        <v>5.7994706523431425</v>
      </c>
      <c r="K110" s="7">
        <f t="shared" si="27"/>
        <v>6.0036021612967785</v>
      </c>
      <c r="L110" s="7">
        <f t="shared" si="27"/>
        <v>4.4328121244480814</v>
      </c>
    </row>
    <row r="111" spans="2:12">
      <c r="B111" t="s">
        <v>676</v>
      </c>
      <c r="F111" s="7">
        <f t="shared" si="27"/>
        <v>6.643220007815553</v>
      </c>
      <c r="G111" s="7">
        <f t="shared" si="27"/>
        <v>5.9083104749890767</v>
      </c>
      <c r="H111" s="7">
        <f t="shared" si="27"/>
        <v>5.0822670521147302</v>
      </c>
      <c r="I111" s="7">
        <f t="shared" si="27"/>
        <v>4.5442177118663132</v>
      </c>
      <c r="J111" s="7">
        <f t="shared" si="27"/>
        <v>3.1913363560810866</v>
      </c>
      <c r="K111" s="7">
        <f t="shared" si="27"/>
        <v>2.3831295595112563</v>
      </c>
      <c r="L111" s="7">
        <f t="shared" si="27"/>
        <v>2.425542580608552</v>
      </c>
    </row>
    <row r="112" spans="2:12">
      <c r="B112" t="s">
        <v>2227</v>
      </c>
      <c r="F112" s="7"/>
      <c r="G112" s="7">
        <f t="shared" ref="G112:L112" si="28">G163/AVERAGE(F80:G80)/12*1000</f>
        <v>4.1521391536798209</v>
      </c>
      <c r="H112" s="7">
        <f t="shared" si="28"/>
        <v>2.4705605395484431</v>
      </c>
      <c r="I112" s="7">
        <f t="shared" si="28"/>
        <v>2.3472112627029622</v>
      </c>
      <c r="J112" s="7">
        <f t="shared" si="28"/>
        <v>1.9420952931225752</v>
      </c>
      <c r="K112" s="7">
        <f t="shared" si="28"/>
        <v>2.3784306346078536</v>
      </c>
      <c r="L112" s="7">
        <f t="shared" si="28"/>
        <v>2.0129239978228792</v>
      </c>
    </row>
    <row r="113" spans="2:12">
      <c r="B113" s="404" t="s">
        <v>2632</v>
      </c>
      <c r="F113" s="7"/>
      <c r="G113" s="7"/>
      <c r="H113" s="7"/>
      <c r="I113" s="7"/>
      <c r="J113" s="7"/>
      <c r="K113" s="7"/>
      <c r="L113" s="7"/>
    </row>
    <row r="115" spans="2:12">
      <c r="B115" s="2" t="s">
        <v>1122</v>
      </c>
      <c r="E115" s="2">
        <f>E99</f>
        <v>2008</v>
      </c>
      <c r="F115" s="2">
        <f>E115+1</f>
        <v>2009</v>
      </c>
      <c r="G115" s="2">
        <f t="shared" ref="G115:L115" si="29">F115+1</f>
        <v>2010</v>
      </c>
      <c r="H115" s="2">
        <f t="shared" si="29"/>
        <v>2011</v>
      </c>
      <c r="I115" s="2">
        <f t="shared" si="29"/>
        <v>2012</v>
      </c>
      <c r="J115" s="2">
        <f t="shared" si="29"/>
        <v>2013</v>
      </c>
      <c r="K115" s="2">
        <f t="shared" si="29"/>
        <v>2014</v>
      </c>
      <c r="L115" s="2">
        <f t="shared" si="29"/>
        <v>2015</v>
      </c>
    </row>
    <row r="116" spans="2:12">
      <c r="B116" t="str">
        <f>B84</f>
        <v>El Salvador</v>
      </c>
      <c r="F116" s="7" t="e">
        <f>F100*CA!J69</f>
        <v>#REF!</v>
      </c>
      <c r="G116" s="7" t="e">
        <f>G100*CA!K69</f>
        <v>#REF!</v>
      </c>
      <c r="H116" s="7">
        <f>H100*CA!L69</f>
        <v>11.98929095680797</v>
      </c>
      <c r="I116" s="7">
        <f>I100*CA!M69</f>
        <v>12.293262293262293</v>
      </c>
      <c r="J116" s="7">
        <f>J100*CA!N69</f>
        <v>13.193948058136764</v>
      </c>
      <c r="K116" s="7">
        <f>K100*CA!O69</f>
        <v>13.492933723196881</v>
      </c>
      <c r="L116" s="7">
        <f>L100*CA!P69</f>
        <v>12.895035677355429</v>
      </c>
    </row>
    <row r="117" spans="2:12">
      <c r="B117" t="str">
        <f t="shared" ref="B117:B128" si="30">B85</f>
        <v>Guatemala</v>
      </c>
      <c r="F117" s="9" t="e">
        <f>F101*CA!J70</f>
        <v>#REF!</v>
      </c>
      <c r="G117" s="9" t="e">
        <f>G101*CA!K70</f>
        <v>#REF!</v>
      </c>
      <c r="H117" s="9">
        <f>H101*CA!L70</f>
        <v>106.15355663947624</v>
      </c>
      <c r="I117" s="9">
        <f>I101*CA!M70</f>
        <v>96.561225414665088</v>
      </c>
      <c r="J117" s="9">
        <f>J101*CA!N70</f>
        <v>93.99139256071318</v>
      </c>
      <c r="K117" s="9">
        <f>K101*CA!O70</f>
        <v>95.855148864793634</v>
      </c>
      <c r="L117" s="9">
        <f>L101*CA!P70</f>
        <v>97.207777210791718</v>
      </c>
    </row>
    <row r="118" spans="2:12">
      <c r="B118" t="str">
        <f t="shared" si="30"/>
        <v>Honduras</v>
      </c>
      <c r="F118" s="9" t="e">
        <f>F102*CA!J71</f>
        <v>#REF!</v>
      </c>
      <c r="G118" s="9" t="e">
        <f>G102*CA!K71</f>
        <v>#REF!</v>
      </c>
      <c r="H118" s="9">
        <f>H102*CA!L71</f>
        <v>238.46304796256246</v>
      </c>
      <c r="I118" s="9">
        <f>I102*CA!M71</f>
        <v>245.24397018758685</v>
      </c>
      <c r="J118" s="9">
        <f>J102*CA!N71</f>
        <v>234.43741227859834</v>
      </c>
      <c r="K118" s="9">
        <f>K102*CA!O71</f>
        <v>229.34023681024019</v>
      </c>
      <c r="L118" s="9">
        <f>L102*CA!P71</f>
        <v>248.00722515188062</v>
      </c>
    </row>
    <row r="119" spans="2:12">
      <c r="B119" t="str">
        <f t="shared" si="30"/>
        <v>Bolivia</v>
      </c>
      <c r="F119" s="9" t="e">
        <f>F103*SA!J71</f>
        <v>#REF!</v>
      </c>
      <c r="G119" s="9" t="e">
        <f>G103*SA!K71</f>
        <v>#REF!</v>
      </c>
      <c r="H119" s="9">
        <f>H103*SA!L71</f>
        <v>81.45392451515356</v>
      </c>
      <c r="I119" s="9">
        <f>I103*SA!M71</f>
        <v>86.254364525139664</v>
      </c>
      <c r="J119" s="9">
        <f>J103*SA!N71</f>
        <v>81.622977346278319</v>
      </c>
      <c r="K119" s="9">
        <f>K103*SA!O71</f>
        <v>88.339096720108969</v>
      </c>
      <c r="L119" s="9">
        <f>L103*SA!P71</f>
        <v>96.068247387321961</v>
      </c>
    </row>
    <row r="120" spans="2:12">
      <c r="B120" t="str">
        <f t="shared" si="30"/>
        <v>Paraguay</v>
      </c>
      <c r="F120" s="9" t="e">
        <f>F104*SA!J72</f>
        <v>#REF!</v>
      </c>
      <c r="G120" s="9" t="e">
        <f>G104*SA!K72</f>
        <v>#REF!</v>
      </c>
      <c r="H120" s="9">
        <f>H104*SA!L72</f>
        <v>58778.143658667483</v>
      </c>
      <c r="I120" s="9">
        <f>I104*SA!M72</f>
        <v>63186.610251663798</v>
      </c>
      <c r="J120" s="9">
        <f>J104*SA!N72</f>
        <v>71348.042945303911</v>
      </c>
      <c r="K120" s="9">
        <f>K104*SA!O72</f>
        <v>73196.867151917599</v>
      </c>
      <c r="L120" s="9">
        <f>L104*SA!P72</f>
        <v>74548.715455049532</v>
      </c>
    </row>
    <row r="121" spans="2:12">
      <c r="B121" t="str">
        <f t="shared" si="30"/>
        <v>Colombia</v>
      </c>
      <c r="F121" s="9">
        <f>F105*Colombia!F34</f>
        <v>22995.601856722064</v>
      </c>
      <c r="G121" s="9">
        <f>G105*Colombia!G34</f>
        <v>24094.124471621384</v>
      </c>
      <c r="H121" s="9">
        <f>H105*Colombia!H34</f>
        <v>12823.939594790796</v>
      </c>
      <c r="I121" s="9">
        <f>I105*Colombia!I34</f>
        <v>12103.733459357278</v>
      </c>
      <c r="J121" s="9">
        <f>J105*Colombia!J34</f>
        <v>12106.999759596121</v>
      </c>
      <c r="K121" s="9">
        <f>K105*Colombia!K34</f>
        <v>13244.442262106331</v>
      </c>
      <c r="L121" s="9">
        <f>L105*Colombia!L34</f>
        <v>12710.089742127242</v>
      </c>
    </row>
    <row r="122" spans="2:12">
      <c r="B122" t="str">
        <f t="shared" si="30"/>
        <v>Ghana</v>
      </c>
      <c r="F122" s="7">
        <f>F106*Africa!J145</f>
        <v>7.7163073151707602</v>
      </c>
      <c r="G122" s="7">
        <f>G106*Africa!K145</f>
        <v>7.7301009324566428</v>
      </c>
      <c r="H122" s="7">
        <f>H106*Africa!L145</f>
        <v>6.9415138512341157</v>
      </c>
      <c r="I122" s="7">
        <f>I106*Africa!M145</f>
        <v>7.5602357261013715</v>
      </c>
      <c r="J122" s="7">
        <f>J106*Africa!N145</f>
        <v>8.1898986947204371</v>
      </c>
      <c r="K122" s="7">
        <f>K106*Africa!O145</f>
        <v>9.3402638944422254</v>
      </c>
      <c r="L122" s="7">
        <f>L106*Africa!P145</f>
        <v>11.073437211257568</v>
      </c>
    </row>
    <row r="123" spans="2:12">
      <c r="B123" t="str">
        <f t="shared" si="30"/>
        <v>Mauritius</v>
      </c>
      <c r="F123" s="9">
        <f>F107*Africa!J146</f>
        <v>424.13659293752426</v>
      </c>
      <c r="G123" s="9">
        <f>G107*Africa!K146</f>
        <v>427.7742129926695</v>
      </c>
      <c r="H123" s="9">
        <f>H107*Africa!L146</f>
        <v>377.41222716480399</v>
      </c>
      <c r="I123" s="9">
        <f>I107*Africa!M146</f>
        <v>0</v>
      </c>
      <c r="J123" s="9">
        <f>J107*Africa!N146</f>
        <v>0</v>
      </c>
      <c r="K123" s="9" t="e">
        <f>K107*Africa!O146</f>
        <v>#DIV/0!</v>
      </c>
      <c r="L123" s="9" t="e">
        <f>L107*Africa!P146</f>
        <v>#DIV/0!</v>
      </c>
    </row>
    <row r="124" spans="2:12">
      <c r="B124" t="str">
        <f t="shared" si="30"/>
        <v>Senegal</v>
      </c>
      <c r="F124" s="9">
        <f>F108*Africa!J147</f>
        <v>2999.1544055470999</v>
      </c>
      <c r="G124" s="9">
        <f>G108*Africa!K147</f>
        <v>2839.5527669717153</v>
      </c>
      <c r="H124" s="9">
        <f>H108*Africa!L147</f>
        <v>2249.0193631639704</v>
      </c>
      <c r="I124" s="9">
        <f>I108*Africa!M147</f>
        <v>1999.1799471038469</v>
      </c>
      <c r="J124" s="9">
        <f>J108*Africa!N147</f>
        <v>1799.261952393462</v>
      </c>
      <c r="K124" s="9">
        <f>K108*Africa!O147</f>
        <v>1655.3209962019853</v>
      </c>
      <c r="L124" s="9">
        <f ca="1">L108*Africa!P147</f>
        <v>1854.1013233161268</v>
      </c>
    </row>
    <row r="125" spans="2:12">
      <c r="B125" t="str">
        <f t="shared" si="30"/>
        <v>Tanzania</v>
      </c>
      <c r="F125" s="9">
        <f>F109*Africa!J148</f>
        <v>7286.1620185922984</v>
      </c>
      <c r="G125" s="9">
        <f>G109*Africa!K148</f>
        <v>7250.6763834075846</v>
      </c>
      <c r="H125" s="9">
        <f>H109*Africa!L148</f>
        <v>7969.2903573784042</v>
      </c>
      <c r="I125" s="9">
        <f>I109*Africa!M148</f>
        <v>7898.7179817596725</v>
      </c>
      <c r="J125" s="9">
        <f>J109*Africa!N148</f>
        <v>7873.5054799070085</v>
      </c>
      <c r="K125" s="9">
        <f>K109*Africa!O148</f>
        <v>6974.2144568127369</v>
      </c>
      <c r="L125" s="9">
        <f>L109*Africa!P148</f>
        <v>6077.5295718368325</v>
      </c>
    </row>
    <row r="126" spans="2:12">
      <c r="B126" t="str">
        <f t="shared" si="30"/>
        <v>Chad</v>
      </c>
      <c r="F126" s="9">
        <f>F110*Africa!J149</f>
        <v>4648.8018827556689</v>
      </c>
      <c r="G126" s="9">
        <f>G110*Africa!K149</f>
        <v>3554.6835080834712</v>
      </c>
      <c r="H126" s="9">
        <f>H110*Africa!L149</f>
        <v>2676.09220808285</v>
      </c>
      <c r="I126" s="9">
        <f>I110*Africa!M149</f>
        <v>2622.0649602969543</v>
      </c>
      <c r="J126" s="9">
        <f>J110*Africa!N149</f>
        <v>2876.5374435621989</v>
      </c>
      <c r="K126" s="9">
        <f>K110*Africa!O149</f>
        <v>2965.7794676806084</v>
      </c>
      <c r="L126" s="9">
        <f ca="1">L110*Africa!P149</f>
        <v>2636.6036763745401</v>
      </c>
    </row>
    <row r="127" spans="2:12">
      <c r="B127" t="str">
        <f t="shared" si="30"/>
        <v>DR Congo</v>
      </c>
      <c r="F127" s="9">
        <f>F111*Africa!J150</f>
        <v>5347.7921062915202</v>
      </c>
      <c r="G127" s="9">
        <f>G111*Africa!K150</f>
        <v>5351.8259483587954</v>
      </c>
      <c r="H127" s="9">
        <f>H111*Africa!L150</f>
        <v>4670.603420893437</v>
      </c>
      <c r="I127" s="9">
        <f>I111*Africa!M150</f>
        <v>4189.7687303407411</v>
      </c>
      <c r="J127" s="9">
        <f>J111*Africa!N150</f>
        <v>2932.8381112385186</v>
      </c>
      <c r="K127" s="9">
        <f>K111*Africa!O150</f>
        <v>2199.6285834288897</v>
      </c>
      <c r="L127" s="9">
        <f>L111*Africa!P150</f>
        <v>2234.7585787197404</v>
      </c>
    </row>
    <row r="128" spans="2:12">
      <c r="B128" t="str">
        <f t="shared" si="30"/>
        <v>Rwanda</v>
      </c>
      <c r="F128" s="9">
        <f>F112*Africa!J151</f>
        <v>0</v>
      </c>
      <c r="G128" s="9">
        <f>G112*Africa!K151</f>
        <v>2421.3319359422158</v>
      </c>
      <c r="H128" s="9">
        <f>H112*Africa!L151</f>
        <v>1482.336323729066</v>
      </c>
      <c r="I128" s="9">
        <f>I112*Africa!M151</f>
        <v>1441.1877152996187</v>
      </c>
      <c r="J128" s="9">
        <f>J112*Africa!N151</f>
        <v>1260.8276852481072</v>
      </c>
      <c r="K128" s="9">
        <f>K112*Africa!O151</f>
        <v>1631.3655722775268</v>
      </c>
      <c r="L128" s="9">
        <f>L112*Africa!P151</f>
        <v>1446.5134938236547</v>
      </c>
    </row>
    <row r="130" spans="2:12">
      <c r="B130" s="2" t="s">
        <v>1123</v>
      </c>
      <c r="E130" s="2">
        <f>E115</f>
        <v>2008</v>
      </c>
      <c r="F130" s="2">
        <f>E130+1</f>
        <v>2009</v>
      </c>
      <c r="G130" s="2">
        <f t="shared" ref="G130:L130" si="31">F130+1</f>
        <v>2010</v>
      </c>
      <c r="H130" s="2">
        <f t="shared" si="31"/>
        <v>2011</v>
      </c>
      <c r="I130" s="2">
        <f t="shared" si="31"/>
        <v>2012</v>
      </c>
      <c r="J130" s="2">
        <f t="shared" si="31"/>
        <v>2013</v>
      </c>
      <c r="K130" s="2">
        <f t="shared" si="31"/>
        <v>2014</v>
      </c>
      <c r="L130" s="2">
        <f t="shared" si="31"/>
        <v>2015</v>
      </c>
    </row>
    <row r="131" spans="2:12">
      <c r="B131" t="str">
        <f>B116</f>
        <v>El Salvador</v>
      </c>
      <c r="G131" s="16" t="e">
        <f t="shared" ref="G131:L141" si="32">G116/F116-1</f>
        <v>#REF!</v>
      </c>
      <c r="H131" s="16" t="e">
        <f t="shared" si="32"/>
        <v>#REF!</v>
      </c>
      <c r="I131" s="16">
        <f t="shared" si="32"/>
        <v>2.5353570744875098E-2</v>
      </c>
      <c r="J131" s="16">
        <f t="shared" si="32"/>
        <v>7.3266619013581114E-2</v>
      </c>
      <c r="K131" s="16">
        <f t="shared" si="32"/>
        <v>2.266081871345027E-2</v>
      </c>
      <c r="L131" s="16">
        <f t="shared" si="32"/>
        <v>-4.4311938241685223E-2</v>
      </c>
    </row>
    <row r="132" spans="2:12">
      <c r="B132" t="str">
        <f t="shared" ref="B132:B143" si="33">B117</f>
        <v>Guatemala</v>
      </c>
      <c r="G132" s="16" t="e">
        <f t="shared" si="32"/>
        <v>#REF!</v>
      </c>
      <c r="H132" s="16" t="e">
        <f t="shared" si="32"/>
        <v>#REF!</v>
      </c>
      <c r="I132" s="16">
        <f t="shared" si="32"/>
        <v>-9.0362786970850872E-2</v>
      </c>
      <c r="J132" s="16">
        <f t="shared" si="32"/>
        <v>-2.6613507056442387E-2</v>
      </c>
      <c r="K132" s="16">
        <f t="shared" si="32"/>
        <v>1.9829010437062866E-2</v>
      </c>
      <c r="L132" s="16">
        <f t="shared" si="32"/>
        <v>1.4111170469371492E-2</v>
      </c>
    </row>
    <row r="133" spans="2:12">
      <c r="B133" t="str">
        <f t="shared" si="33"/>
        <v>Honduras</v>
      </c>
      <c r="G133" s="16" t="e">
        <f t="shared" si="32"/>
        <v>#REF!</v>
      </c>
      <c r="H133" s="16" t="e">
        <f t="shared" si="32"/>
        <v>#REF!</v>
      </c>
      <c r="I133" s="16">
        <f t="shared" si="32"/>
        <v>2.8435945455536515E-2</v>
      </c>
      <c r="J133" s="16">
        <f t="shared" si="32"/>
        <v>-4.4064520325301282E-2</v>
      </c>
      <c r="K133" s="16">
        <f t="shared" si="32"/>
        <v>-2.1742158893567898E-2</v>
      </c>
      <c r="L133" s="16">
        <f t="shared" si="32"/>
        <v>8.139430132831782E-2</v>
      </c>
    </row>
    <row r="134" spans="2:12">
      <c r="B134" t="str">
        <f t="shared" si="33"/>
        <v>Bolivia</v>
      </c>
      <c r="G134" s="16" t="e">
        <f t="shared" si="32"/>
        <v>#REF!</v>
      </c>
      <c r="H134" s="16" t="e">
        <f t="shared" si="32"/>
        <v>#REF!</v>
      </c>
      <c r="I134" s="16">
        <f t="shared" si="32"/>
        <v>5.8934422602228809E-2</v>
      </c>
      <c r="J134" s="16">
        <f t="shared" si="32"/>
        <v>-5.3694525539185745E-2</v>
      </c>
      <c r="K134" s="16">
        <f t="shared" si="32"/>
        <v>8.2282215035333728E-2</v>
      </c>
      <c r="L134" s="16">
        <f t="shared" si="32"/>
        <v>8.7494110243189427E-2</v>
      </c>
    </row>
    <row r="135" spans="2:12">
      <c r="B135" t="str">
        <f t="shared" si="33"/>
        <v>Paraguay</v>
      </c>
      <c r="G135" s="16" t="e">
        <f t="shared" si="32"/>
        <v>#REF!</v>
      </c>
      <c r="H135" s="16" t="e">
        <f t="shared" si="32"/>
        <v>#REF!</v>
      </c>
      <c r="I135" s="16">
        <f t="shared" si="32"/>
        <v>7.5001800305175781E-2</v>
      </c>
      <c r="J135" s="16">
        <f t="shared" si="32"/>
        <v>0.12916395833127026</v>
      </c>
      <c r="K135" s="16">
        <f t="shared" si="32"/>
        <v>2.5912752898226143E-2</v>
      </c>
      <c r="L135" s="16">
        <f t="shared" si="32"/>
        <v>1.8468663424162868E-2</v>
      </c>
    </row>
    <row r="136" spans="2:12">
      <c r="B136" t="str">
        <f t="shared" si="33"/>
        <v>Colombia</v>
      </c>
      <c r="G136" s="16">
        <f t="shared" si="32"/>
        <v>4.7770987762957962E-2</v>
      </c>
      <c r="H136" s="16">
        <f t="shared" si="32"/>
        <v>-0.46775656405796662</v>
      </c>
      <c r="I136" s="16">
        <f t="shared" si="32"/>
        <v>-5.6161067362331729E-2</v>
      </c>
      <c r="J136" s="16">
        <f t="shared" si="32"/>
        <v>2.6985890343755869E-4</v>
      </c>
      <c r="K136" s="16">
        <f t="shared" si="32"/>
        <v>9.3949163714871942E-2</v>
      </c>
      <c r="L136" s="16">
        <f t="shared" si="32"/>
        <v>-4.0345415035552334E-2</v>
      </c>
    </row>
    <row r="137" spans="2:12">
      <c r="B137" t="str">
        <f t="shared" si="33"/>
        <v>Ghana</v>
      </c>
      <c r="G137" s="16">
        <f t="shared" si="32"/>
        <v>1.7875930445077071E-3</v>
      </c>
      <c r="H137" s="16">
        <f t="shared" si="32"/>
        <v>-0.10201510796727886</v>
      </c>
      <c r="I137" s="16">
        <f t="shared" si="32"/>
        <v>8.9133564828550282E-2</v>
      </c>
      <c r="J137" s="16">
        <f t="shared" si="32"/>
        <v>8.3286155542106055E-2</v>
      </c>
      <c r="K137" s="16">
        <f t="shared" si="32"/>
        <v>0.14046146876802812</v>
      </c>
      <c r="L137" s="16">
        <f t="shared" si="32"/>
        <v>0.18555935211280694</v>
      </c>
    </row>
    <row r="138" spans="2:12">
      <c r="B138" t="str">
        <f t="shared" si="33"/>
        <v>Mauritius</v>
      </c>
      <c r="G138" s="16">
        <f t="shared" si="32"/>
        <v>8.5765296268154323E-3</v>
      </c>
      <c r="H138" s="16">
        <f t="shared" si="32"/>
        <v>-0.11773029859733164</v>
      </c>
      <c r="I138" s="16">
        <f t="shared" si="32"/>
        <v>-1</v>
      </c>
      <c r="J138" s="16" t="e">
        <f t="shared" si="32"/>
        <v>#DIV/0!</v>
      </c>
      <c r="K138" s="16" t="e">
        <f t="shared" si="32"/>
        <v>#DIV/0!</v>
      </c>
      <c r="L138" s="16" t="e">
        <f t="shared" si="32"/>
        <v>#DIV/0!</v>
      </c>
    </row>
    <row r="139" spans="2:12">
      <c r="B139" t="str">
        <f t="shared" si="33"/>
        <v>Senegal</v>
      </c>
      <c r="G139" s="16">
        <f t="shared" si="32"/>
        <v>-5.3215545781901907E-2</v>
      </c>
      <c r="H139" s="16">
        <f t="shared" si="32"/>
        <v>-0.20796704702111535</v>
      </c>
      <c r="I139" s="16">
        <f t="shared" si="32"/>
        <v>-0.1110881569772898</v>
      </c>
      <c r="J139" s="16">
        <f t="shared" si="32"/>
        <v>-0.10000000000000009</v>
      </c>
      <c r="K139" s="16">
        <f t="shared" si="32"/>
        <v>-7.9999999999999849E-2</v>
      </c>
      <c r="L139" s="16">
        <f t="shared" ca="1" si="32"/>
        <v>0.12008566771655094</v>
      </c>
    </row>
    <row r="140" spans="2:12">
      <c r="B140" t="str">
        <f t="shared" si="33"/>
        <v>Tanzania</v>
      </c>
      <c r="G140" s="16">
        <f t="shared" si="32"/>
        <v>-4.8702780825027325E-3</v>
      </c>
      <c r="H140" s="16">
        <f t="shared" si="32"/>
        <v>9.9109922436380282E-2</v>
      </c>
      <c r="I140" s="16">
        <f t="shared" si="32"/>
        <v>-8.8555407638513106E-3</v>
      </c>
      <c r="J140" s="16">
        <f t="shared" si="32"/>
        <v>-3.1919739267671776E-3</v>
      </c>
      <c r="K140" s="16">
        <f t="shared" si="32"/>
        <v>-0.11421736168079644</v>
      </c>
      <c r="L140" s="16">
        <f t="shared" si="32"/>
        <v>-0.12857145281788418</v>
      </c>
    </row>
    <row r="141" spans="2:12">
      <c r="B141" t="str">
        <f t="shared" si="33"/>
        <v>Chad</v>
      </c>
      <c r="G141" s="16">
        <f t="shared" si="32"/>
        <v>-0.23535491558174071</v>
      </c>
      <c r="H141" s="16">
        <f t="shared" si="32"/>
        <v>-0.24716442350005974</v>
      </c>
      <c r="I141" s="16">
        <f t="shared" si="32"/>
        <v>-2.0188858822843381E-2</v>
      </c>
      <c r="J141" s="16">
        <f t="shared" si="32"/>
        <v>9.7050411457550334E-2</v>
      </c>
      <c r="K141" s="16">
        <f t="shared" si="32"/>
        <v>3.1024113493859362E-2</v>
      </c>
      <c r="L141" s="16">
        <f t="shared" ca="1" si="32"/>
        <v>-0.11099132450448201</v>
      </c>
    </row>
    <row r="142" spans="2:12">
      <c r="B142" t="str">
        <f t="shared" si="33"/>
        <v>DR Congo</v>
      </c>
      <c r="G142" s="16">
        <f t="shared" ref="G142:L142" si="34">G127/F127-1</f>
        <v>7.5430046402313877E-4</v>
      </c>
      <c r="H142" s="16">
        <f t="shared" si="34"/>
        <v>-0.12728787035278377</v>
      </c>
      <c r="I142" s="16">
        <f t="shared" si="34"/>
        <v>-0.10294915821834372</v>
      </c>
      <c r="J142" s="16">
        <f t="shared" si="34"/>
        <v>-0.30000000000000004</v>
      </c>
      <c r="K142" s="16">
        <f t="shared" si="34"/>
        <v>-0.24999999999999978</v>
      </c>
      <c r="L142" s="16">
        <f t="shared" si="34"/>
        <v>1.5970875972200815E-2</v>
      </c>
    </row>
    <row r="143" spans="2:12">
      <c r="B143" t="str">
        <f t="shared" si="33"/>
        <v>Rwanda</v>
      </c>
      <c r="G143" s="16"/>
      <c r="H143" s="16">
        <f>H128/G128-1</f>
        <v>-0.38780127510595008</v>
      </c>
      <c r="I143" s="16">
        <f>I128/H128-1</f>
        <v>-2.7759293063756907E-2</v>
      </c>
      <c r="J143" s="16">
        <f>J128/I128-1</f>
        <v>-0.12514679950211427</v>
      </c>
      <c r="K143" s="16">
        <f>K128/J128-1</f>
        <v>0.2938846373416244</v>
      </c>
      <c r="L143" s="16">
        <f>L128/K128-1</f>
        <v>-0.1133112538324581</v>
      </c>
    </row>
    <row r="145" spans="2:16">
      <c r="B145" s="2" t="s">
        <v>520</v>
      </c>
      <c r="C145" s="2">
        <f>D145-1</f>
        <v>2006</v>
      </c>
      <c r="D145" s="2">
        <f>E145-1</f>
        <v>2007</v>
      </c>
      <c r="E145" s="2">
        <f>F145-1</f>
        <v>2008</v>
      </c>
      <c r="F145" s="2">
        <f>F83</f>
        <v>2009</v>
      </c>
      <c r="G145" s="2">
        <f t="shared" ref="G145:L145" si="35">G83</f>
        <v>2010</v>
      </c>
      <c r="H145" s="2">
        <f t="shared" si="35"/>
        <v>2011</v>
      </c>
      <c r="I145" s="2">
        <f t="shared" si="35"/>
        <v>2012</v>
      </c>
      <c r="J145" s="2">
        <f t="shared" si="35"/>
        <v>2013</v>
      </c>
      <c r="K145" s="2">
        <f t="shared" si="35"/>
        <v>2014</v>
      </c>
      <c r="L145" s="2">
        <f t="shared" si="35"/>
        <v>2015</v>
      </c>
    </row>
    <row r="146" spans="2:16">
      <c r="B146" t="str">
        <f>B100</f>
        <v>El Salvador</v>
      </c>
      <c r="F146" s="9" t="e">
        <f>CA!#REF!</f>
        <v>#REF!</v>
      </c>
      <c r="G146" s="9" t="e">
        <f>CA!#REF!</f>
        <v>#REF!</v>
      </c>
      <c r="H146" s="9">
        <f>CA!L104</f>
        <v>414</v>
      </c>
      <c r="I146" s="9">
        <f>CA!M104</f>
        <v>443</v>
      </c>
      <c r="J146" s="9">
        <f>CA!N104</f>
        <v>443</v>
      </c>
      <c r="K146" s="9">
        <f>CA!O104</f>
        <v>443</v>
      </c>
      <c r="L146" s="9">
        <f>CA!P104</f>
        <v>449.7425320056899</v>
      </c>
      <c r="N146" s="449"/>
    </row>
    <row r="147" spans="2:16">
      <c r="B147" t="str">
        <f>B101</f>
        <v>Guatemala *</v>
      </c>
      <c r="F147" s="9" t="e">
        <f>CA!#REF!</f>
        <v>#REF!</v>
      </c>
      <c r="G147" s="9" t="e">
        <f>CA!#REF!</f>
        <v>#REF!</v>
      </c>
      <c r="H147" s="9">
        <f>CA!L105*0.55</f>
        <v>604</v>
      </c>
      <c r="I147" s="9">
        <f>CA!M105*0.55</f>
        <v>621</v>
      </c>
      <c r="J147" s="9">
        <f>CA!N105*0.55</f>
        <v>641.85</v>
      </c>
      <c r="K147" s="9">
        <f>CA!O105*0.55</f>
        <v>683.1</v>
      </c>
      <c r="L147" s="9">
        <f>CA!P105*0.55</f>
        <v>718.30000000000007</v>
      </c>
      <c r="N147" s="449"/>
    </row>
    <row r="148" spans="2:16">
      <c r="B148" s="21" t="str">
        <f>B102</f>
        <v>Honduras *</v>
      </c>
      <c r="C148" s="21"/>
      <c r="D148" s="21"/>
      <c r="E148" s="21"/>
      <c r="F148" s="9" t="e">
        <f>CA!#REF!</f>
        <v>#REF!</v>
      </c>
      <c r="G148" s="9" t="e">
        <f>CA!#REF!</f>
        <v>#REF!</v>
      </c>
      <c r="H148" s="9">
        <f>CA!L106*0.67</f>
        <v>450.91</v>
      </c>
      <c r="I148" s="9">
        <f>CA!M106*0.67</f>
        <v>472.35</v>
      </c>
      <c r="J148" s="9">
        <f>CA!N106*0.67</f>
        <v>439.52000000000004</v>
      </c>
      <c r="K148" s="9">
        <f>CA!O106*0.67</f>
        <v>421.43</v>
      </c>
      <c r="L148" s="9">
        <f>CA!P106*0.67</f>
        <v>434.83000000000004</v>
      </c>
      <c r="N148" s="449"/>
    </row>
    <row r="149" spans="2:16">
      <c r="B149" s="12" t="s">
        <v>2172</v>
      </c>
      <c r="C149" s="11"/>
      <c r="D149" s="11"/>
      <c r="E149" s="11"/>
      <c r="F149" s="13"/>
      <c r="G149" s="13"/>
      <c r="H149" s="13">
        <v>135</v>
      </c>
      <c r="I149" s="13">
        <v>135</v>
      </c>
      <c r="J149" s="13">
        <v>135</v>
      </c>
      <c r="K149" s="13">
        <v>135</v>
      </c>
      <c r="L149" s="13">
        <v>135</v>
      </c>
      <c r="N149" s="449"/>
    </row>
    <row r="150" spans="2:16">
      <c r="B150" s="4" t="s">
        <v>1828</v>
      </c>
      <c r="C150" s="405">
        <f>CA!G61</f>
        <v>796.11099999999999</v>
      </c>
      <c r="D150" s="405">
        <f>CA!H61</f>
        <v>1149.354</v>
      </c>
      <c r="E150" s="405">
        <f>CA!I61</f>
        <v>1376.9389999999999</v>
      </c>
      <c r="F150" s="9" t="e">
        <f>SUM(F146:F148)</f>
        <v>#REF!</v>
      </c>
      <c r="G150" s="9" t="e">
        <f>SUM(G146:G148)</f>
        <v>#REF!</v>
      </c>
      <c r="H150" s="9">
        <f>SUM(H146:H149)</f>
        <v>1603.91</v>
      </c>
      <c r="I150" s="9">
        <f>SUM(I146:I149)</f>
        <v>1671.35</v>
      </c>
      <c r="J150" s="9">
        <f>SUM(J146:J149)</f>
        <v>1659.37</v>
      </c>
      <c r="K150" s="9">
        <f>SUM(K146:K149)</f>
        <v>1682.53</v>
      </c>
      <c r="L150" s="9">
        <f>SUM(L146:L149)</f>
        <v>1737.8725320056901</v>
      </c>
      <c r="N150" s="449"/>
    </row>
    <row r="151" spans="2:16">
      <c r="B151" s="2"/>
      <c r="F151" s="9"/>
      <c r="G151" s="9"/>
      <c r="H151" s="9"/>
      <c r="I151" s="16"/>
      <c r="J151" s="16"/>
      <c r="K151" s="9"/>
      <c r="L151" s="9"/>
      <c r="N151" s="449"/>
    </row>
    <row r="152" spans="2:16">
      <c r="B152" t="str">
        <f>B103</f>
        <v>Bolivia</v>
      </c>
      <c r="F152" s="9" t="e">
        <f>SA!#REF!</f>
        <v>#REF!</v>
      </c>
      <c r="G152" s="9" t="e">
        <f>SA!#REF!</f>
        <v>#REF!</v>
      </c>
      <c r="H152" s="9">
        <f>SA!L87</f>
        <v>357</v>
      </c>
      <c r="I152" s="9">
        <f>SA!M87</f>
        <v>429</v>
      </c>
      <c r="J152" s="9">
        <f>SA!N87</f>
        <v>438</v>
      </c>
      <c r="K152" s="9">
        <f>SA!O87</f>
        <v>488</v>
      </c>
      <c r="L152" s="9">
        <f>SA!P87</f>
        <v>530</v>
      </c>
      <c r="N152" s="449"/>
    </row>
    <row r="153" spans="2:16">
      <c r="B153" t="str">
        <f>B104</f>
        <v>Paraguay</v>
      </c>
      <c r="F153" s="9" t="e">
        <f>SA!#REF!</f>
        <v>#REF!</v>
      </c>
      <c r="G153" s="9" t="e">
        <f>SA!#REF!</f>
        <v>#REF!</v>
      </c>
      <c r="H153" s="9">
        <f>SA!L88</f>
        <v>593</v>
      </c>
      <c r="I153" s="9">
        <f>SA!M88</f>
        <v>649</v>
      </c>
      <c r="J153" s="9">
        <f>SA!N88</f>
        <v>784</v>
      </c>
      <c r="K153" s="9">
        <f>SA!O88</f>
        <v>767</v>
      </c>
      <c r="L153" s="9">
        <f>SA!P88</f>
        <v>672</v>
      </c>
      <c r="N153" s="449"/>
      <c r="P153" s="449"/>
    </row>
    <row r="154" spans="2:16">
      <c r="B154" s="11" t="str">
        <f>B105</f>
        <v>Colombia</v>
      </c>
      <c r="C154" s="11"/>
      <c r="D154" s="11"/>
      <c r="E154" s="11"/>
      <c r="F154" s="13">
        <f>Colombia!F44</f>
        <v>451.6779904584721</v>
      </c>
      <c r="G154" s="13">
        <f>Colombia!G44</f>
        <v>612</v>
      </c>
      <c r="H154" s="13">
        <f>Colombia!H44*0.5</f>
        <v>378</v>
      </c>
      <c r="I154" s="13">
        <f>Colombia!I44*0.5</f>
        <v>424.5</v>
      </c>
      <c r="J154" s="13">
        <f>Colombia!J44*0.5</f>
        <v>484.5</v>
      </c>
      <c r="K154" s="13">
        <f>Colombia!K44*0.5</f>
        <v>583.5</v>
      </c>
      <c r="L154" s="13">
        <f>Colombia!L44*0.5</f>
        <v>470.39366362451108</v>
      </c>
      <c r="N154" s="449"/>
    </row>
    <row r="155" spans="2:16">
      <c r="B155" s="4" t="s">
        <v>1697</v>
      </c>
      <c r="C155" s="9">
        <f>SA!G60+Colombia!C44</f>
        <v>550.78840000000002</v>
      </c>
      <c r="D155" s="9">
        <f>SA!H60+Colombia!D44</f>
        <v>809.86300000000006</v>
      </c>
      <c r="E155" s="9">
        <f>SA!I60+Colombia!E44</f>
        <v>1005.8225695558287</v>
      </c>
      <c r="F155" s="9" t="e">
        <f>SUM(F152:F154)</f>
        <v>#REF!</v>
      </c>
      <c r="G155" s="9" t="e">
        <f t="shared" ref="G155:L155" si="36">SUM(G152:G154)</f>
        <v>#REF!</v>
      </c>
      <c r="H155" s="9">
        <f t="shared" si="36"/>
        <v>1328</v>
      </c>
      <c r="I155" s="9">
        <f t="shared" si="36"/>
        <v>1502.5</v>
      </c>
      <c r="J155" s="9">
        <f t="shared" si="36"/>
        <v>1706.5</v>
      </c>
      <c r="K155" s="9">
        <f t="shared" si="36"/>
        <v>1838.5</v>
      </c>
      <c r="L155" s="9">
        <f t="shared" si="36"/>
        <v>1672.3936636245112</v>
      </c>
      <c r="N155" s="449"/>
    </row>
    <row r="156" spans="2:16">
      <c r="B156" s="2"/>
      <c r="F156" s="9"/>
      <c r="G156" s="9"/>
      <c r="H156" s="9">
        <f>H150+H155</f>
        <v>2931.91</v>
      </c>
      <c r="I156" s="9">
        <f>I150+I155</f>
        <v>3173.85</v>
      </c>
      <c r="J156" s="9">
        <f>J150+J155</f>
        <v>3365.87</v>
      </c>
      <c r="K156" s="9">
        <f>K150+K155</f>
        <v>3521.0299999999997</v>
      </c>
      <c r="L156" s="9">
        <f>L150+L155</f>
        <v>3410.2661956302013</v>
      </c>
      <c r="N156" s="449"/>
    </row>
    <row r="157" spans="2:16">
      <c r="B157" t="str">
        <f t="shared" ref="B157:B163" si="37">B106</f>
        <v>Ghana</v>
      </c>
      <c r="F157" s="9">
        <f>Africa!J90</f>
        <v>193.70629370629371</v>
      </c>
      <c r="G157" s="9">
        <f>Africa!K90</f>
        <v>214.22411176986026</v>
      </c>
      <c r="H157" s="9">
        <f>Africa!L90</f>
        <v>188.98327887774897</v>
      </c>
      <c r="I157" s="9">
        <f>Africa!M90</f>
        <v>163.74244598563769</v>
      </c>
      <c r="J157" s="9">
        <f>Africa!N90</f>
        <v>169</v>
      </c>
      <c r="K157" s="9">
        <f>Africa!O90</f>
        <v>146</v>
      </c>
      <c r="L157" s="9">
        <f>Africa!P90</f>
        <v>139.22824284744019</v>
      </c>
      <c r="N157" s="449"/>
    </row>
    <row r="158" spans="2:16">
      <c r="B158" t="str">
        <f t="shared" si="37"/>
        <v>Mauritius *</v>
      </c>
      <c r="F158" s="9">
        <f>Africa!J91</f>
        <v>34.15625</v>
      </c>
      <c r="G158" s="9">
        <f>Africa!K91</f>
        <v>37.854927910574844</v>
      </c>
      <c r="H158" s="9">
        <f>Africa!L91</f>
        <v>37.854927910574844</v>
      </c>
      <c r="I158" s="9">
        <f>Africa!M91</f>
        <v>0</v>
      </c>
      <c r="J158" s="9">
        <f>Africa!N91</f>
        <v>0</v>
      </c>
      <c r="K158" s="9">
        <f>Africa!O91</f>
        <v>0</v>
      </c>
      <c r="L158" s="9">
        <f>Africa!P91</f>
        <v>0</v>
      </c>
      <c r="N158" s="449"/>
    </row>
    <row r="159" spans="2:16">
      <c r="B159" t="str">
        <f t="shared" si="37"/>
        <v>Senegal</v>
      </c>
      <c r="F159" s="9">
        <f>Africa!J92</f>
        <v>150.28813559322035</v>
      </c>
      <c r="G159" s="9">
        <f>Africa!K92</f>
        <v>152.87179467264676</v>
      </c>
      <c r="H159" s="9">
        <f>Africa!L92</f>
        <v>135.34324070920522</v>
      </c>
      <c r="I159" s="9">
        <f>Africa!M92</f>
        <v>117.81468674576369</v>
      </c>
      <c r="J159" s="9">
        <f>Africa!N92</f>
        <v>116.24828331935663</v>
      </c>
      <c r="K159" s="9">
        <f>Africa!O92</f>
        <v>114.94093281724798</v>
      </c>
      <c r="L159" s="9">
        <f ca="1">Africa!P92</f>
        <v>113.26644024469326</v>
      </c>
      <c r="N159" s="449"/>
    </row>
    <row r="160" spans="2:16">
      <c r="B160" t="str">
        <f t="shared" si="37"/>
        <v>Tanzania</v>
      </c>
      <c r="F160" s="9">
        <f>Africa!J93</f>
        <v>207.03698113207548</v>
      </c>
      <c r="G160" s="9">
        <f>Africa!K93</f>
        <v>255.20237148773441</v>
      </c>
      <c r="H160" s="9">
        <f>Africa!L93</f>
        <v>299.33106811904815</v>
      </c>
      <c r="I160" s="9">
        <f>Africa!M93</f>
        <v>343.45976475036196</v>
      </c>
      <c r="J160" s="9">
        <f>Africa!N93</f>
        <v>351</v>
      </c>
      <c r="K160" s="9">
        <f>Africa!O93</f>
        <v>368</v>
      </c>
      <c r="L160" s="9">
        <f>Africa!P93</f>
        <v>368</v>
      </c>
      <c r="N160" s="449"/>
    </row>
    <row r="161" spans="2:14">
      <c r="B161" t="str">
        <f t="shared" si="37"/>
        <v>Chad</v>
      </c>
      <c r="F161" s="9">
        <f>Africa!J94</f>
        <v>92.069915254237287</v>
      </c>
      <c r="G161" s="9">
        <f>Africa!K94</f>
        <v>105.29827138100856</v>
      </c>
      <c r="H161" s="9">
        <f>Africa!L94</f>
        <v>113.0541233864255</v>
      </c>
      <c r="I161" s="9">
        <f>Africa!M94</f>
        <v>120.80997539184244</v>
      </c>
      <c r="J161" s="9">
        <f>Africa!N94</f>
        <v>149</v>
      </c>
      <c r="K161" s="9">
        <f>Africa!O94</f>
        <v>180</v>
      </c>
      <c r="L161" s="9">
        <f>Africa!P94</f>
        <v>152.28571428571428</v>
      </c>
      <c r="N161" s="449"/>
    </row>
    <row r="162" spans="2:14">
      <c r="B162" t="str">
        <f t="shared" si="37"/>
        <v>Dem. Rep. Congo</v>
      </c>
      <c r="F162" s="9">
        <f>Africa!J95</f>
        <v>102</v>
      </c>
      <c r="G162" s="9">
        <f>Africa!K95</f>
        <v>130</v>
      </c>
      <c r="H162" s="9">
        <f>Africa!L95</f>
        <v>138.3845718289291</v>
      </c>
      <c r="I162" s="9">
        <f>Africa!M95</f>
        <v>146.76914365785817</v>
      </c>
      <c r="J162" s="9">
        <f>Africa!N95</f>
        <v>131.25966432561509</v>
      </c>
      <c r="K162" s="9">
        <f>Africa!O95</f>
        <v>127.5593928023995</v>
      </c>
      <c r="L162" s="9">
        <f>Africa!P95</f>
        <v>151.17681667701501</v>
      </c>
      <c r="N162" s="449"/>
    </row>
    <row r="163" spans="2:14">
      <c r="B163" s="11" t="str">
        <f t="shared" si="37"/>
        <v>Rwanda</v>
      </c>
      <c r="C163" s="11"/>
      <c r="D163" s="11"/>
      <c r="E163" s="11"/>
      <c r="F163" s="13">
        <f>Africa!J96</f>
        <v>0</v>
      </c>
      <c r="G163" s="13">
        <f>Africa!K96</f>
        <v>13.690400000399876</v>
      </c>
      <c r="H163" s="13">
        <f>Africa!L96</f>
        <v>25.815361425365278</v>
      </c>
      <c r="I163" s="13">
        <f>Africa!M96</f>
        <v>37.940322850330681</v>
      </c>
      <c r="J163" s="13">
        <f>Africa!N96</f>
        <v>40.084846850049956</v>
      </c>
      <c r="K163" s="13">
        <f>Africa!O96</f>
        <v>63.318580354530283</v>
      </c>
      <c r="L163" s="13">
        <f>Africa!P96</f>
        <v>63.694865494453467</v>
      </c>
      <c r="N163" s="449"/>
    </row>
    <row r="164" spans="2:14">
      <c r="B164" s="4" t="s">
        <v>1831</v>
      </c>
      <c r="C164" s="9">
        <f>Africa!G80</f>
        <v>312.10500000000002</v>
      </c>
      <c r="D164" s="9">
        <f>Africa!H80</f>
        <v>476.87</v>
      </c>
      <c r="E164" s="9">
        <f>Africa!I80</f>
        <v>711</v>
      </c>
      <c r="F164" s="9">
        <f>SUM(F157:F163)</f>
        <v>779.25757568582685</v>
      </c>
      <c r="G164" s="9">
        <f t="shared" ref="G164:L164" si="38">SUM(G157:G163)</f>
        <v>909.14187722222482</v>
      </c>
      <c r="H164" s="9">
        <f t="shared" si="38"/>
        <v>938.76657225729707</v>
      </c>
      <c r="I164" s="9">
        <f t="shared" si="38"/>
        <v>930.53633938179473</v>
      </c>
      <c r="J164" s="9">
        <f t="shared" si="38"/>
        <v>956.59279449502174</v>
      </c>
      <c r="K164" s="9">
        <f t="shared" si="38"/>
        <v>999.81890597417782</v>
      </c>
      <c r="L164" s="9">
        <f t="shared" ca="1" si="38"/>
        <v>987.65207954931623</v>
      </c>
      <c r="N164" s="449"/>
    </row>
    <row r="165" spans="2:14">
      <c r="B165" s="2"/>
      <c r="F165" s="9"/>
    </row>
    <row r="166" spans="2:14">
      <c r="B166" s="4" t="s">
        <v>1116</v>
      </c>
      <c r="C166" s="9">
        <f>Div!F34</f>
        <v>0</v>
      </c>
      <c r="D166" s="9">
        <f>Div!G34</f>
        <v>0</v>
      </c>
      <c r="E166" s="9">
        <f>Div!H34</f>
        <v>43</v>
      </c>
      <c r="F166" s="9">
        <f>Div!I34</f>
        <v>199</v>
      </c>
      <c r="G166" s="9">
        <f>Div!J34</f>
        <v>225.45600000000002</v>
      </c>
      <c r="H166" s="9">
        <f>Div!K34</f>
        <v>0</v>
      </c>
      <c r="I166" s="9">
        <f>Div!L34</f>
        <v>0</v>
      </c>
      <c r="J166" s="9">
        <f>Div!M34</f>
        <v>0</v>
      </c>
      <c r="K166" s="9">
        <f>Div!N34</f>
        <v>0</v>
      </c>
      <c r="L166" s="9">
        <f>Div!O34</f>
        <v>0</v>
      </c>
      <c r="N166" s="449"/>
    </row>
    <row r="167" spans="2:14">
      <c r="B167" s="12" t="s">
        <v>2631</v>
      </c>
      <c r="C167" s="13"/>
      <c r="D167" s="13"/>
      <c r="E167" s="13"/>
      <c r="F167" s="13"/>
      <c r="G167" s="13"/>
      <c r="H167" s="13"/>
      <c r="I167" s="13" t="e">
        <f>#REF!</f>
        <v>#REF!</v>
      </c>
      <c r="J167" s="13" t="e">
        <f>#REF!</f>
        <v>#REF!</v>
      </c>
      <c r="K167" s="13" t="e">
        <f>#REF!</f>
        <v>#REF!</v>
      </c>
      <c r="L167" s="13" t="e">
        <f>#REF!</f>
        <v>#REF!</v>
      </c>
      <c r="N167" s="449"/>
    </row>
    <row r="168" spans="2:14">
      <c r="B168" s="2" t="s">
        <v>2324</v>
      </c>
      <c r="C168" s="10">
        <f t="shared" ref="C168:I168" si="39">C150+C155+C164+C166</f>
        <v>1659.0044</v>
      </c>
      <c r="D168" s="10">
        <f t="shared" si="39"/>
        <v>2436.087</v>
      </c>
      <c r="E168" s="10">
        <f t="shared" si="39"/>
        <v>3136.7615695558288</v>
      </c>
      <c r="F168" s="10" t="e">
        <f t="shared" si="39"/>
        <v>#REF!</v>
      </c>
      <c r="G168" s="10" t="e">
        <f t="shared" si="39"/>
        <v>#REF!</v>
      </c>
      <c r="H168" s="10">
        <f t="shared" si="39"/>
        <v>3870.6765722572968</v>
      </c>
      <c r="I168" s="10">
        <f t="shared" si="39"/>
        <v>4104.3863393817946</v>
      </c>
      <c r="J168" s="10" t="e">
        <f>J150+J155+J164+J166+J167</f>
        <v>#REF!</v>
      </c>
      <c r="K168" s="10" t="e">
        <f>K150+K155+K164+K166+K167</f>
        <v>#REF!</v>
      </c>
      <c r="L168" s="10" t="e">
        <f ca="1">L150+L155+L164+L166+L167</f>
        <v>#REF!</v>
      </c>
    </row>
    <row r="169" spans="2:14">
      <c r="H169" s="456"/>
    </row>
    <row r="170" spans="2:14">
      <c r="B170" s="2" t="s">
        <v>1541</v>
      </c>
      <c r="C170" s="2">
        <f ca="1">D170-1</f>
        <v>2006</v>
      </c>
      <c r="D170" s="2">
        <f ca="1">E170-1</f>
        <v>2007</v>
      </c>
      <c r="E170" s="2">
        <f ca="1">F170-1</f>
        <v>2008</v>
      </c>
      <c r="F170" s="2">
        <f ca="1">E170+1</f>
        <v>2009</v>
      </c>
      <c r="G170" s="2">
        <f t="shared" ref="G170:L170" ca="1" si="40">F170+1</f>
        <v>2010</v>
      </c>
      <c r="H170" s="2">
        <f t="shared" ca="1" si="40"/>
        <v>2011</v>
      </c>
      <c r="I170" s="2">
        <f t="shared" ca="1" si="40"/>
        <v>2012</v>
      </c>
      <c r="J170" s="2">
        <f t="shared" ca="1" si="40"/>
        <v>2013</v>
      </c>
      <c r="K170" s="2">
        <f t="shared" ca="1" si="40"/>
        <v>2014</v>
      </c>
      <c r="L170" s="2">
        <f t="shared" ca="1" si="40"/>
        <v>2015</v>
      </c>
    </row>
    <row r="171" spans="2:14">
      <c r="B171" t="str">
        <f>B150</f>
        <v>Central America</v>
      </c>
      <c r="C171" s="9">
        <f>Div!F45</f>
        <v>415.43000000000006</v>
      </c>
      <c r="D171" s="9">
        <f>Div!G45</f>
        <v>608.17900000000009</v>
      </c>
      <c r="E171" s="9">
        <f>Div!H45</f>
        <v>758.82600000000002</v>
      </c>
      <c r="F171" s="9">
        <f>Div!I45</f>
        <v>837.73099999999999</v>
      </c>
      <c r="G171" s="9">
        <f>Div!J45</f>
        <v>844.18799999999999</v>
      </c>
      <c r="H171" s="9">
        <f>Div!K45</f>
        <v>965.00800000000004</v>
      </c>
      <c r="I171" s="9">
        <f>Div!L45</f>
        <v>958</v>
      </c>
      <c r="J171" s="9">
        <f>Div!M45</f>
        <v>1173.2</v>
      </c>
      <c r="K171" s="9">
        <f>Div!N45</f>
        <v>1153.0110656430443</v>
      </c>
      <c r="L171" s="9">
        <f>Div!O45</f>
        <v>1172</v>
      </c>
    </row>
    <row r="172" spans="2:14">
      <c r="B172" t="str">
        <f>B155</f>
        <v>South America</v>
      </c>
      <c r="C172" s="9">
        <f>Div!F46+Div!F48</f>
        <v>117.96900000000002</v>
      </c>
      <c r="D172" s="9">
        <f>Div!G46+Div!G48</f>
        <v>276.61</v>
      </c>
      <c r="E172" s="9">
        <f>Div!H46+Div!H48</f>
        <v>351.22300000000001</v>
      </c>
      <c r="F172" s="9">
        <f>Div!I46+Div!I48</f>
        <v>438.58199999999999</v>
      </c>
      <c r="G172" s="9">
        <f>Div!J46+Div!J48</f>
        <v>589.745</v>
      </c>
      <c r="H172" s="9">
        <f>Div!K46+Div!K48</f>
        <v>723.46799999999996</v>
      </c>
      <c r="I172" s="9">
        <f>Div!L46+Div!L48</f>
        <v>763.99999999999989</v>
      </c>
      <c r="J172" s="9">
        <f>Div!M46+Div!M48</f>
        <v>805</v>
      </c>
      <c r="K172" s="9">
        <f>Div!N46+Div!N48</f>
        <v>846.93043937578568</v>
      </c>
      <c r="L172" s="9">
        <f>Div!O46+Div!O48</f>
        <v>756.43832490221644</v>
      </c>
    </row>
    <row r="173" spans="2:14">
      <c r="B173" t="str">
        <f>B164</f>
        <v>Africa</v>
      </c>
      <c r="C173" s="9">
        <f>Div!F49</f>
        <v>122.572</v>
      </c>
      <c r="D173" s="9">
        <f>Div!G49</f>
        <v>152.53700000000001</v>
      </c>
      <c r="E173" s="9">
        <f>Div!H49</f>
        <v>237.256</v>
      </c>
      <c r="F173" s="9">
        <f>Div!I49</f>
        <v>284.81899999999996</v>
      </c>
      <c r="G173" s="9">
        <f>Div!J49</f>
        <v>363.03800000000001</v>
      </c>
      <c r="H173" s="9">
        <f>Div!K49</f>
        <v>402.96000000000004</v>
      </c>
      <c r="I173" s="9">
        <f>Div!L49</f>
        <v>367.08600000000001</v>
      </c>
      <c r="J173" s="9">
        <f>Div!M49</f>
        <v>262.2</v>
      </c>
      <c r="K173" s="9">
        <f>Div!N49</f>
        <v>226.47706314004341</v>
      </c>
      <c r="L173" s="9">
        <f>Div!O49</f>
        <v>200</v>
      </c>
    </row>
    <row r="174" spans="2:14">
      <c r="B174" s="21" t="str">
        <f>B166</f>
        <v>Amnet/Navega</v>
      </c>
      <c r="C174" s="9">
        <f>Div!F50+Div!F52</f>
        <v>-1</v>
      </c>
      <c r="D174" s="9">
        <f>Div!G50+Div!G52</f>
        <v>-1</v>
      </c>
      <c r="E174" s="9">
        <f>Div!H50+Div!H52</f>
        <v>17</v>
      </c>
      <c r="F174" s="9">
        <f>Div!I50+Div!I52</f>
        <v>-1</v>
      </c>
      <c r="G174" s="9">
        <f>Div!J50+Div!J52</f>
        <v>-1</v>
      </c>
      <c r="H174" s="9">
        <f>Div!K50+Div!K52</f>
        <v>-1</v>
      </c>
      <c r="I174" s="9">
        <f>Div!L50+Div!L52</f>
        <v>-1</v>
      </c>
      <c r="J174" s="9">
        <f>Div!M50+Div!M52</f>
        <v>-1</v>
      </c>
      <c r="K174" s="9">
        <f>Div!N50+Div!N52</f>
        <v>0</v>
      </c>
      <c r="L174" s="9">
        <f>Div!O50+Div!O52</f>
        <v>0</v>
      </c>
    </row>
    <row r="175" spans="2:14">
      <c r="B175" s="11" t="s">
        <v>2631</v>
      </c>
      <c r="C175" s="13"/>
      <c r="D175" s="13"/>
      <c r="E175" s="13"/>
      <c r="F175" s="13"/>
      <c r="G175" s="13"/>
      <c r="H175" s="13"/>
      <c r="I175" s="13" t="e">
        <f>#REF!</f>
        <v>#REF!</v>
      </c>
      <c r="J175" s="13" t="e">
        <f>#REF!</f>
        <v>#REF!</v>
      </c>
      <c r="K175" s="13" t="e">
        <f>#REF!</f>
        <v>#REF!</v>
      </c>
      <c r="L175" s="13" t="e">
        <f>#REF!</f>
        <v>#REF!</v>
      </c>
    </row>
    <row r="176" spans="2:14">
      <c r="B176" s="2" t="s">
        <v>2324</v>
      </c>
      <c r="C176" s="10">
        <f>SUM(C171:C174)</f>
        <v>654.97100000000012</v>
      </c>
      <c r="D176" s="10">
        <f>SUM(D171:D174)</f>
        <v>1036.326</v>
      </c>
      <c r="E176" s="10">
        <f>SUM(E171:E175)</f>
        <v>1364.3050000000001</v>
      </c>
      <c r="F176" s="10">
        <f t="shared" ref="F176:L176" si="41">SUM(F171:F175)</f>
        <v>1560.1320000000001</v>
      </c>
      <c r="G176" s="10">
        <f t="shared" si="41"/>
        <v>1795.971</v>
      </c>
      <c r="H176" s="10">
        <f t="shared" si="41"/>
        <v>2090.4360000000001</v>
      </c>
      <c r="I176" s="10" t="e">
        <f t="shared" si="41"/>
        <v>#REF!</v>
      </c>
      <c r="J176" s="10" t="e">
        <f t="shared" si="41"/>
        <v>#REF!</v>
      </c>
      <c r="K176" s="10" t="e">
        <f t="shared" si="41"/>
        <v>#REF!</v>
      </c>
      <c r="L176" s="10" t="e">
        <f t="shared" si="41"/>
        <v>#REF!</v>
      </c>
    </row>
    <row r="178" spans="2:12">
      <c r="B178" s="2" t="s">
        <v>1542</v>
      </c>
    </row>
    <row r="179" spans="2:12">
      <c r="B179" t="str">
        <f t="shared" ref="B179:B184" si="42">B171</f>
        <v>Central America</v>
      </c>
      <c r="C179" s="5">
        <f>C171/C150</f>
        <v>0.52182421797965373</v>
      </c>
      <c r="D179" s="5">
        <f>D171/D150</f>
        <v>0.52914854779293419</v>
      </c>
      <c r="E179" s="5">
        <f>E171/E150</f>
        <v>0.55109630855106884</v>
      </c>
      <c r="F179" s="5" t="e">
        <f>F171/F150</f>
        <v>#REF!</v>
      </c>
      <c r="G179" s="5" t="e">
        <f t="shared" ref="G179:L179" si="43">G171/G150</f>
        <v>#REF!</v>
      </c>
      <c r="H179" s="5">
        <f t="shared" si="43"/>
        <v>0.60165969412248821</v>
      </c>
      <c r="I179" s="5">
        <f t="shared" si="43"/>
        <v>0.57318933796033145</v>
      </c>
      <c r="J179" s="5">
        <f t="shared" si="43"/>
        <v>0.70701531304049137</v>
      </c>
      <c r="K179" s="5">
        <f t="shared" si="43"/>
        <v>0.68528410527184913</v>
      </c>
      <c r="L179" s="5">
        <f t="shared" si="43"/>
        <v>0.67438778070068639</v>
      </c>
    </row>
    <row r="180" spans="2:12">
      <c r="B180" t="str">
        <f t="shared" si="42"/>
        <v>South America</v>
      </c>
      <c r="C180" s="5">
        <f>C172/C155</f>
        <v>0.21418207064636804</v>
      </c>
      <c r="D180" s="5">
        <f>D172/D155</f>
        <v>0.34155159576372796</v>
      </c>
      <c r="E180" s="5">
        <f>E172/E155</f>
        <v>0.34918981799652804</v>
      </c>
      <c r="F180" s="5" t="e">
        <f>F172/F155</f>
        <v>#REF!</v>
      </c>
      <c r="G180" s="5" t="e">
        <f t="shared" ref="G180:L180" si="44">G172/G155</f>
        <v>#REF!</v>
      </c>
      <c r="H180" s="5">
        <f t="shared" si="44"/>
        <v>0.5447801204819277</v>
      </c>
      <c r="I180" s="5">
        <f t="shared" si="44"/>
        <v>0.50848585690515802</v>
      </c>
      <c r="J180" s="5">
        <f t="shared" si="44"/>
        <v>0.4717257544682098</v>
      </c>
      <c r="K180" s="5">
        <f t="shared" si="44"/>
        <v>0.46066382342985351</v>
      </c>
      <c r="L180" s="5">
        <f t="shared" si="44"/>
        <v>0.45230877236333117</v>
      </c>
    </row>
    <row r="181" spans="2:12">
      <c r="B181" t="str">
        <f t="shared" si="42"/>
        <v>Africa</v>
      </c>
      <c r="C181" s="5">
        <f>C173/C164</f>
        <v>0.39272680668364812</v>
      </c>
      <c r="D181" s="5">
        <f>D173/D164</f>
        <v>0.31987124373518988</v>
      </c>
      <c r="E181" s="5">
        <f>E173/E164</f>
        <v>0.33369338959212375</v>
      </c>
      <c r="F181" s="5">
        <f>F173/F164</f>
        <v>0.36550045695652034</v>
      </c>
      <c r="G181" s="5">
        <f t="shared" ref="G181:L181" si="45">G173/G164</f>
        <v>0.39931941217933947</v>
      </c>
      <c r="H181" s="5">
        <f t="shared" si="45"/>
        <v>0.4292440867712925</v>
      </c>
      <c r="I181" s="5">
        <f t="shared" si="45"/>
        <v>0.39448862388746148</v>
      </c>
      <c r="J181" s="5">
        <f t="shared" si="45"/>
        <v>0.27409782041941205</v>
      </c>
      <c r="K181" s="5">
        <f t="shared" si="45"/>
        <v>0.22651808421183486</v>
      </c>
      <c r="L181" s="5">
        <f t="shared" ca="1" si="45"/>
        <v>0.20250045956594723</v>
      </c>
    </row>
    <row r="182" spans="2:12">
      <c r="B182" s="21" t="str">
        <f t="shared" si="42"/>
        <v>Amnet/Navega</v>
      </c>
      <c r="C182" s="5"/>
      <c r="D182" s="5"/>
      <c r="E182" s="5">
        <f>E174/E166</f>
        <v>0.39534883720930231</v>
      </c>
      <c r="F182" s="5">
        <f>F174/F166</f>
        <v>-5.0251256281407036E-3</v>
      </c>
      <c r="G182" s="5">
        <f>G174/G166</f>
        <v>-4.4354552551273858E-3</v>
      </c>
      <c r="H182" s="5"/>
      <c r="I182" s="5"/>
      <c r="J182" s="5"/>
      <c r="K182" s="5"/>
      <c r="L182" s="5"/>
    </row>
    <row r="183" spans="2:12">
      <c r="B183" s="11" t="str">
        <f t="shared" si="42"/>
        <v>Rocket</v>
      </c>
      <c r="C183" s="17"/>
      <c r="D183" s="17"/>
      <c r="E183" s="17"/>
      <c r="F183" s="17"/>
      <c r="G183" s="17"/>
      <c r="H183" s="17"/>
      <c r="I183" s="17" t="e">
        <f>I175/I167</f>
        <v>#REF!</v>
      </c>
      <c r="J183" s="17" t="e">
        <f>J175/J167</f>
        <v>#REF!</v>
      </c>
      <c r="K183" s="17" t="e">
        <f>K175/K167</f>
        <v>#REF!</v>
      </c>
      <c r="L183" s="17" t="e">
        <f>L175/L167</f>
        <v>#REF!</v>
      </c>
    </row>
    <row r="184" spans="2:12">
      <c r="B184" t="str">
        <f t="shared" si="42"/>
        <v>Total</v>
      </c>
      <c r="C184" s="5">
        <f>C176/C168</f>
        <v>0.39479762681762637</v>
      </c>
      <c r="D184" s="5">
        <f t="shared" ref="D184:L184" si="46">D176/D168</f>
        <v>0.42540598919496719</v>
      </c>
      <c r="E184" s="5">
        <f t="shared" si="46"/>
        <v>0.4349406130326916</v>
      </c>
      <c r="F184" s="5" t="e">
        <f t="shared" si="46"/>
        <v>#REF!</v>
      </c>
      <c r="G184" s="5" t="e">
        <f t="shared" si="46"/>
        <v>#REF!</v>
      </c>
      <c r="H184" s="5">
        <f t="shared" si="46"/>
        <v>0.54006992342966598</v>
      </c>
      <c r="I184" s="5" t="e">
        <f t="shared" si="46"/>
        <v>#REF!</v>
      </c>
      <c r="J184" s="5" t="e">
        <f t="shared" si="46"/>
        <v>#REF!</v>
      </c>
      <c r="K184" s="5" t="e">
        <f t="shared" si="46"/>
        <v>#REF!</v>
      </c>
      <c r="L184" s="5" t="e">
        <f t="shared" ca="1" si="46"/>
        <v>#REF!</v>
      </c>
    </row>
    <row r="186" spans="2:12">
      <c r="B186" s="2" t="s">
        <v>1545</v>
      </c>
      <c r="C186" s="2">
        <f>D186-1</f>
        <v>2006</v>
      </c>
      <c r="D186" s="2">
        <f>E186-1</f>
        <v>2007</v>
      </c>
      <c r="E186" s="2">
        <f>F186-1</f>
        <v>2008</v>
      </c>
      <c r="F186" s="2">
        <v>2009</v>
      </c>
      <c r="G186" s="2">
        <f t="shared" ref="G186:L186" si="47">F186+1</f>
        <v>2010</v>
      </c>
      <c r="H186" s="2">
        <f t="shared" si="47"/>
        <v>2011</v>
      </c>
      <c r="I186" s="2">
        <f t="shared" si="47"/>
        <v>2012</v>
      </c>
      <c r="J186" s="2">
        <f t="shared" si="47"/>
        <v>2013</v>
      </c>
      <c r="K186" s="2">
        <f t="shared" si="47"/>
        <v>2014</v>
      </c>
      <c r="L186" s="2">
        <f t="shared" si="47"/>
        <v>2015</v>
      </c>
    </row>
    <row r="187" spans="2:12">
      <c r="B187" t="str">
        <f>B171</f>
        <v>Central America</v>
      </c>
      <c r="C187" s="9">
        <f>Div!E76</f>
        <v>82</v>
      </c>
      <c r="D187" s="9">
        <f>Div!F76</f>
        <v>203</v>
      </c>
      <c r="E187" s="9">
        <f>Div!H76</f>
        <v>294</v>
      </c>
      <c r="F187" s="9">
        <f>Div!I76</f>
        <v>176</v>
      </c>
      <c r="G187" s="9">
        <f>Div!J76</f>
        <v>158</v>
      </c>
      <c r="H187" s="9">
        <f>Div!K76</f>
        <v>221</v>
      </c>
      <c r="I187" s="9">
        <f>Div!L76</f>
        <v>296</v>
      </c>
      <c r="J187" s="9">
        <f>Div!M76</f>
        <v>360.65</v>
      </c>
      <c r="K187" s="9">
        <f>Div!N76</f>
        <v>432</v>
      </c>
      <c r="L187" s="9">
        <f>Div!O76</f>
        <v>368</v>
      </c>
    </row>
    <row r="188" spans="2:12">
      <c r="B188" t="str">
        <f>B172</f>
        <v>South America</v>
      </c>
      <c r="C188" s="9">
        <f>Div!E77+Div!E79</f>
        <v>30</v>
      </c>
      <c r="D188" s="9">
        <f>Div!F77+Div!F79</f>
        <v>74</v>
      </c>
      <c r="E188" s="9">
        <f>Div!H77+Div!H79</f>
        <v>369</v>
      </c>
      <c r="F188" s="9">
        <f>Div!I77+Div!I79</f>
        <v>163</v>
      </c>
      <c r="G188" s="9">
        <f>Div!J77+Div!J79</f>
        <v>244</v>
      </c>
      <c r="H188" s="9">
        <f>Div!K77+Div!K79</f>
        <v>280</v>
      </c>
      <c r="I188" s="9">
        <f>Div!L77+Div!L79</f>
        <v>320</v>
      </c>
      <c r="J188" s="9">
        <f>Div!M77+Div!M79</f>
        <v>408</v>
      </c>
      <c r="K188" s="9">
        <f>Div!N77+Div!N79</f>
        <v>411</v>
      </c>
      <c r="L188" s="9">
        <f ca="1">Div!O77+Div!O79</f>
        <v>405.28470508474578</v>
      </c>
    </row>
    <row r="189" spans="2:12">
      <c r="B189" t="str">
        <f>B173</f>
        <v>Africa</v>
      </c>
      <c r="C189" s="9">
        <f>Div!E80</f>
        <v>113</v>
      </c>
      <c r="D189" s="9">
        <f>Div!F80</f>
        <v>264</v>
      </c>
      <c r="E189" s="9">
        <f>Div!H80</f>
        <v>601</v>
      </c>
      <c r="F189" s="9">
        <f>Div!I80</f>
        <v>398</v>
      </c>
      <c r="G189" s="9">
        <f>Div!J80</f>
        <v>236</v>
      </c>
      <c r="H189" s="9">
        <f>Div!K80</f>
        <v>291</v>
      </c>
      <c r="I189" s="9">
        <f>Div!L80</f>
        <v>306</v>
      </c>
      <c r="J189" s="9">
        <f>Div!M80</f>
        <v>325.5</v>
      </c>
      <c r="K189" s="9">
        <f>Div!N80</f>
        <v>361</v>
      </c>
      <c r="L189" s="9">
        <f>Div!O80</f>
        <v>242</v>
      </c>
    </row>
    <row r="190" spans="2:12">
      <c r="B190" s="21" t="str">
        <f>B174</f>
        <v>Amnet/Navega</v>
      </c>
      <c r="C190" s="9">
        <f>Div!E81</f>
        <v>0</v>
      </c>
      <c r="D190" s="9">
        <f>Div!F81</f>
        <v>0</v>
      </c>
      <c r="E190" s="9">
        <f>Div!H81</f>
        <v>12</v>
      </c>
      <c r="F190" s="9">
        <f>Div!I81</f>
        <v>0</v>
      </c>
      <c r="G190" s="9">
        <f>Div!J81</f>
        <v>0</v>
      </c>
      <c r="H190" s="9">
        <f>Div!K81</f>
        <v>0</v>
      </c>
      <c r="I190" s="9">
        <f>Div!L81</f>
        <v>0</v>
      </c>
      <c r="J190" s="9">
        <f>Div!M81</f>
        <v>0</v>
      </c>
      <c r="K190" s="9">
        <f>Div!N81</f>
        <v>0</v>
      </c>
      <c r="L190" s="9">
        <f>Div!O81</f>
        <v>0</v>
      </c>
    </row>
    <row r="191" spans="2:12">
      <c r="B191" s="11" t="str">
        <f>B175</f>
        <v>Rocket</v>
      </c>
      <c r="C191" s="13"/>
      <c r="D191" s="13"/>
      <c r="E191" s="13"/>
      <c r="F191" s="13"/>
      <c r="G191" s="13"/>
      <c r="H191" s="13"/>
      <c r="I191" s="13" t="e">
        <f>#REF!</f>
        <v>#REF!</v>
      </c>
      <c r="J191" s="13" t="e">
        <f>#REF!</f>
        <v>#REF!</v>
      </c>
      <c r="K191" s="13" t="e">
        <f>#REF!</f>
        <v>#REF!</v>
      </c>
      <c r="L191" s="13" t="e">
        <f>#REF!</f>
        <v>#REF!</v>
      </c>
    </row>
    <row r="192" spans="2:12">
      <c r="B192" s="2" t="s">
        <v>2324</v>
      </c>
      <c r="C192" s="10">
        <f t="shared" ref="C192:H192" si="48">SUM(C187:C190)</f>
        <v>225</v>
      </c>
      <c r="D192" s="10">
        <f t="shared" si="48"/>
        <v>541</v>
      </c>
      <c r="E192" s="10">
        <f t="shared" si="48"/>
        <v>1276</v>
      </c>
      <c r="F192" s="10">
        <f t="shared" si="48"/>
        <v>737</v>
      </c>
      <c r="G192" s="10">
        <f t="shared" si="48"/>
        <v>638</v>
      </c>
      <c r="H192" s="10">
        <f t="shared" si="48"/>
        <v>792</v>
      </c>
      <c r="I192" s="10" t="e">
        <f>SUM(I187:I191)</f>
        <v>#REF!</v>
      </c>
      <c r="J192" s="10" t="e">
        <f>SUM(J187:J191)</f>
        <v>#REF!</v>
      </c>
      <c r="K192" s="10" t="e">
        <f>SUM(K187:K191)</f>
        <v>#REF!</v>
      </c>
      <c r="L192" s="10" t="e">
        <f ca="1">SUM(L187:L191)</f>
        <v>#REF!</v>
      </c>
    </row>
    <row r="194" spans="2:256">
      <c r="B194" s="2" t="s">
        <v>681</v>
      </c>
    </row>
    <row r="195" spans="2:256">
      <c r="B195" t="str">
        <f t="shared" ref="B195:B200" si="49">B187</f>
        <v>Central America</v>
      </c>
      <c r="C195" s="5">
        <f>C187/C150</f>
        <v>0.10300071221224176</v>
      </c>
      <c r="D195" s="5">
        <f t="shared" ref="D195:L195" si="50">D187/D150</f>
        <v>0.17662095403156902</v>
      </c>
      <c r="E195" s="5">
        <f t="shared" si="50"/>
        <v>0.21351708390858276</v>
      </c>
      <c r="F195" s="5" t="e">
        <f t="shared" si="50"/>
        <v>#REF!</v>
      </c>
      <c r="G195" s="5" t="e">
        <f>G187/G150</f>
        <v>#REF!</v>
      </c>
      <c r="H195" s="5">
        <f t="shared" si="50"/>
        <v>0.13778827989101633</v>
      </c>
      <c r="I195" s="5">
        <f t="shared" si="50"/>
        <v>0.17710234241780598</v>
      </c>
      <c r="J195" s="5">
        <f t="shared" si="50"/>
        <v>0.21734152117972483</v>
      </c>
      <c r="K195" s="5">
        <f t="shared" si="50"/>
        <v>0.2567561945403648</v>
      </c>
      <c r="L195" s="5">
        <f t="shared" si="50"/>
        <v>0.21175315981045445</v>
      </c>
    </row>
    <row r="196" spans="2:256">
      <c r="B196" t="str">
        <f t="shared" si="49"/>
        <v>South America</v>
      </c>
      <c r="C196" s="5">
        <f>C188/C155</f>
        <v>5.4467378034831523E-2</v>
      </c>
      <c r="D196" s="5">
        <f t="shared" ref="D196:L196" si="51">D188/D155</f>
        <v>9.137347921808997E-2</v>
      </c>
      <c r="E196" s="5">
        <f t="shared" si="51"/>
        <v>0.36686390937016894</v>
      </c>
      <c r="F196" s="5" t="e">
        <f t="shared" si="51"/>
        <v>#REF!</v>
      </c>
      <c r="G196" s="5" t="e">
        <f>G188/G155</f>
        <v>#REF!</v>
      </c>
      <c r="H196" s="5">
        <f t="shared" si="51"/>
        <v>0.21084337349397592</v>
      </c>
      <c r="I196" s="5">
        <f t="shared" si="51"/>
        <v>0.21297836938435941</v>
      </c>
      <c r="J196" s="5">
        <f t="shared" si="51"/>
        <v>0.23908584822736595</v>
      </c>
      <c r="K196" s="5">
        <f t="shared" si="51"/>
        <v>0.2235518085395703</v>
      </c>
      <c r="L196" s="5">
        <f t="shared" ca="1" si="51"/>
        <v>0.24233810130946598</v>
      </c>
    </row>
    <row r="197" spans="2:256">
      <c r="B197" t="str">
        <f t="shared" si="49"/>
        <v>Africa</v>
      </c>
      <c r="C197" s="5">
        <f>C189/C164</f>
        <v>0.36205764085804454</v>
      </c>
      <c r="D197" s="5">
        <f t="shared" ref="D197:L197" si="52">D189/D164</f>
        <v>0.55360999853209469</v>
      </c>
      <c r="E197" s="5">
        <f t="shared" si="52"/>
        <v>0.84528832630098449</v>
      </c>
      <c r="F197" s="5">
        <f t="shared" si="52"/>
        <v>0.51074254831557975</v>
      </c>
      <c r="G197" s="5">
        <f>G189/G164</f>
        <v>0.25958544635637071</v>
      </c>
      <c r="H197" s="5">
        <f t="shared" si="52"/>
        <v>0.30998121215615965</v>
      </c>
      <c r="I197" s="5">
        <f t="shared" si="52"/>
        <v>0.32884261156667155</v>
      </c>
      <c r="J197" s="5">
        <f t="shared" si="52"/>
        <v>0.3402701775229543</v>
      </c>
      <c r="K197" s="5">
        <f t="shared" si="52"/>
        <v>0.36106538678447786</v>
      </c>
      <c r="L197" s="5">
        <f t="shared" ca="1" si="52"/>
        <v>0.24502555607479615</v>
      </c>
    </row>
    <row r="198" spans="2:256">
      <c r="B198" s="21" t="str">
        <f t="shared" si="49"/>
        <v>Amnet/Navega</v>
      </c>
      <c r="C198" s="5"/>
      <c r="D198" s="5"/>
      <c r="E198" s="5"/>
      <c r="F198" s="5">
        <f>F190/F166</f>
        <v>0</v>
      </c>
      <c r="G198" s="5">
        <f>G190/G166</f>
        <v>0</v>
      </c>
      <c r="H198" s="5"/>
      <c r="I198" s="5"/>
      <c r="J198" s="5"/>
      <c r="K198" s="5"/>
      <c r="L198" s="5"/>
    </row>
    <row r="199" spans="2:256">
      <c r="B199" s="11" t="str">
        <f t="shared" si="49"/>
        <v>Rocket</v>
      </c>
      <c r="C199" s="17"/>
      <c r="D199" s="17"/>
      <c r="E199" s="17"/>
      <c r="F199" s="17"/>
      <c r="G199" s="17"/>
      <c r="H199" s="17"/>
      <c r="I199" s="17" t="e">
        <f>I191/I167</f>
        <v>#REF!</v>
      </c>
      <c r="J199" s="17" t="e">
        <f>J191/J167</f>
        <v>#REF!</v>
      </c>
      <c r="K199" s="17" t="e">
        <f>K191/K167</f>
        <v>#REF!</v>
      </c>
      <c r="L199" s="17" t="e">
        <f>L191/L167</f>
        <v>#REF!</v>
      </c>
    </row>
    <row r="200" spans="2:256">
      <c r="B200" s="2" t="str">
        <f t="shared" si="49"/>
        <v>Total</v>
      </c>
      <c r="C200" s="18">
        <f>C192/C168</f>
        <v>0.13562351010039514</v>
      </c>
      <c r="D200" s="18">
        <f t="shared" ref="D200:L200" si="53">D192/D168</f>
        <v>0.22207745454082717</v>
      </c>
      <c r="E200" s="18">
        <f t="shared" si="53"/>
        <v>0.40678896744475351</v>
      </c>
      <c r="F200" s="18" t="e">
        <f t="shared" si="53"/>
        <v>#REF!</v>
      </c>
      <c r="G200" s="18" t="e">
        <f>G192/G168</f>
        <v>#REF!</v>
      </c>
      <c r="H200" s="18">
        <f t="shared" si="53"/>
        <v>0.20461539093102846</v>
      </c>
      <c r="I200" s="18" t="e">
        <f t="shared" si="53"/>
        <v>#REF!</v>
      </c>
      <c r="J200" s="18" t="e">
        <f t="shared" si="53"/>
        <v>#REF!</v>
      </c>
      <c r="K200" s="18" t="e">
        <f t="shared" si="53"/>
        <v>#REF!</v>
      </c>
      <c r="L200" s="18" t="e">
        <f t="shared" ca="1" si="53"/>
        <v>#REF!</v>
      </c>
    </row>
    <row r="202" spans="2:256">
      <c r="B202" s="693" t="s">
        <v>3096</v>
      </c>
    </row>
    <row r="203" spans="2:256">
      <c r="E203" s="493"/>
      <c r="F203" s="760"/>
      <c r="G203" s="760"/>
      <c r="H203" s="760"/>
      <c r="I203" s="760"/>
      <c r="J203" s="760"/>
      <c r="K203" s="760"/>
      <c r="R203" s="599">
        <v>2017</v>
      </c>
      <c r="S203" s="599" t="s">
        <v>3870</v>
      </c>
    </row>
    <row r="204" spans="2:256">
      <c r="B204" s="451" t="s">
        <v>2602</v>
      </c>
      <c r="C204" s="451"/>
      <c r="D204" s="451"/>
      <c r="E204" s="560">
        <f>F204-1</f>
        <v>2011</v>
      </c>
      <c r="F204" s="560">
        <f>I186</f>
        <v>2012</v>
      </c>
      <c r="G204" s="560">
        <f>J186</f>
        <v>2013</v>
      </c>
      <c r="H204" s="560">
        <f>K186</f>
        <v>2014</v>
      </c>
      <c r="I204" s="560">
        <f>L186</f>
        <v>2015</v>
      </c>
      <c r="J204" s="560">
        <f>I204+1</f>
        <v>2016</v>
      </c>
      <c r="K204" s="560">
        <f>J204+1</f>
        <v>2017</v>
      </c>
      <c r="L204" s="560">
        <f>K204+1</f>
        <v>2018</v>
      </c>
      <c r="M204" s="560">
        <f>L204+1</f>
        <v>2019</v>
      </c>
      <c r="N204" s="560">
        <f>M204+1</f>
        <v>2020</v>
      </c>
      <c r="O204" s="560" t="s">
        <v>3945</v>
      </c>
      <c r="R204" s="560" t="s">
        <v>3455</v>
      </c>
      <c r="S204" s="773" t="s">
        <v>3099</v>
      </c>
    </row>
    <row r="205" spans="2:256">
      <c r="B205" s="478" t="s">
        <v>3092</v>
      </c>
      <c r="E205" s="505">
        <f>CA!L59+Colombia!H42+SA!L58+Africa!L78</f>
        <v>3993.6141029745104</v>
      </c>
      <c r="F205" s="505">
        <f>CA!M59+Colombia!I42+SA!M58+Africa!M78</f>
        <v>4536.6009325976684</v>
      </c>
      <c r="G205" s="505">
        <f>CA!N59+Colombia!J42+SA!N58+Africa!N78</f>
        <v>4642.4781020261544</v>
      </c>
      <c r="H205" s="505">
        <f>CA!O59+Colombia!K42+SA!O58+Africa!O78</f>
        <v>4743.0006005887753</v>
      </c>
      <c r="I205" s="505">
        <f>CA!P59+Colombia!L42+SA!P58+Africa!P78</f>
        <v>4387.5358574872234</v>
      </c>
      <c r="J205" s="505">
        <f ca="1">CA!Q59+Colombia!M42+SA!Q58+Africa!Q78</f>
        <v>3878.7523097018479</v>
      </c>
      <c r="K205" s="505">
        <f ca="1">CA!R59+Colombia!N42+SA!R58+Africa!R78</f>
        <v>3733.9415777842551</v>
      </c>
      <c r="L205" s="505">
        <f ca="1">CA!S59+Colombia!O42+SA!S58+Africa!S78</f>
        <v>3625.483950530846</v>
      </c>
      <c r="M205" s="505">
        <f ca="1">CA!T59+Colombia!P42+SA!T58+Africa!T78</f>
        <v>3610.9020880025573</v>
      </c>
      <c r="N205" s="505">
        <f ca="1">CA!U59+Colombia!Q42+SA!U58+Africa!U78</f>
        <v>3577.9934251028667</v>
      </c>
      <c r="O205" s="456">
        <f ca="1">(N205/I205)^(1/5)-1</f>
        <v>-3.9972282731238873E-2</v>
      </c>
      <c r="R205" s="505">
        <f>R207-R206</f>
        <v>5137.4874389385586</v>
      </c>
      <c r="S205" s="760">
        <f ca="1">(K205/I205)^(1/2)-1</f>
        <v>-7.7485035216031339E-2</v>
      </c>
      <c r="U205" s="456">
        <f>(R205/G205)^(1/4)-1</f>
        <v>2.5652463018297045E-2</v>
      </c>
    </row>
    <row r="206" spans="2:256">
      <c r="B206" s="487" t="s">
        <v>3090</v>
      </c>
      <c r="C206" s="455"/>
      <c r="D206" s="455"/>
      <c r="E206" s="774">
        <f>CA!L60+Colombia!H43+SA!L59+Africa!L79</f>
        <v>246.30886589214731</v>
      </c>
      <c r="F206" s="774">
        <f>CA!M60+Colombia!I43+SA!M59+Africa!M79</f>
        <v>313.16991315154337</v>
      </c>
      <c r="G206" s="774">
        <f>CA!N60+Colombia!J43+SA!N59+Africa!N79</f>
        <v>371.61432910460644</v>
      </c>
      <c r="H206" s="774">
        <f>CA!O60+Colombia!K43+SA!O59+Africa!O79</f>
        <v>559.81745532029697</v>
      </c>
      <c r="I206" s="774">
        <f>CA!P60+Colombia!L43+SA!P59+Africa!P79</f>
        <v>623.34115266826041</v>
      </c>
      <c r="J206" s="774">
        <f>CA!Q60+Colombia!M43+SA!Q59+Africa!Q79</f>
        <v>612.24364577344909</v>
      </c>
      <c r="K206" s="774">
        <f>CA!R60+Colombia!N43+SA!R59+Africa!R79</f>
        <v>693.2879898956686</v>
      </c>
      <c r="L206" s="774">
        <f>CA!S60+Colombia!O43+SA!S59+Africa!S79</f>
        <v>810.91497501750484</v>
      </c>
      <c r="M206" s="774">
        <f>CA!T60+Colombia!P43+SA!T59+Africa!T79</f>
        <v>849.44362130121704</v>
      </c>
      <c r="N206" s="774">
        <f>CA!U60+Colombia!Q43+SA!U59+Africa!U79</f>
        <v>867.73467074852817</v>
      </c>
      <c r="O206" s="561">
        <f>(N206/I206)^(1/5)-1</f>
        <v>6.8395942718560088E-2</v>
      </c>
      <c r="R206" s="774">
        <f>K206</f>
        <v>693.2879898956686</v>
      </c>
      <c r="S206" s="775">
        <f>(K206/I206)^(1/2)-1</f>
        <v>5.4614986490187478E-2</v>
      </c>
      <c r="U206" s="456">
        <f>(R206/G206)^(1/4)-1</f>
        <v>0.16870608780751617</v>
      </c>
    </row>
    <row r="207" spans="2:256">
      <c r="B207" s="478" t="s">
        <v>3098</v>
      </c>
      <c r="E207" s="505">
        <f>E205+E206</f>
        <v>4239.9229688666574</v>
      </c>
      <c r="F207" s="505">
        <f t="shared" ref="F207:K207" si="54">F205+F206</f>
        <v>4849.7708457492117</v>
      </c>
      <c r="G207" s="505">
        <f t="shared" si="54"/>
        <v>5014.0924311307608</v>
      </c>
      <c r="H207" s="505">
        <f t="shared" si="54"/>
        <v>5302.8180559090724</v>
      </c>
      <c r="I207" s="505">
        <f t="shared" si="54"/>
        <v>5010.8770101554837</v>
      </c>
      <c r="J207" s="505">
        <f t="shared" ca="1" si="54"/>
        <v>4490.9959554752968</v>
      </c>
      <c r="K207" s="505">
        <f t="shared" ca="1" si="54"/>
        <v>4427.229567679924</v>
      </c>
      <c r="L207" s="505">
        <f ca="1">L205+L206</f>
        <v>4436.3989255483511</v>
      </c>
      <c r="M207" s="505">
        <f ca="1">M205+M206</f>
        <v>4460.3457093037741</v>
      </c>
      <c r="N207" s="505">
        <f ca="1">N205+N206</f>
        <v>4445.7280958513948</v>
      </c>
      <c r="O207" s="456">
        <f ca="1">(N207/I207)^(1/5)-1</f>
        <v>-2.3649325065160265E-2</v>
      </c>
      <c r="R207" s="505">
        <f>(F207+1100)*0.98</f>
        <v>5830.7754288342276</v>
      </c>
      <c r="S207" s="760">
        <f ca="1">(K207/I207)^(1/2)-1</f>
        <v>-6.004048285963226E-2</v>
      </c>
      <c r="U207" s="456">
        <f>(R207/G207)^(1/4)-1</f>
        <v>3.844498865059065E-2</v>
      </c>
    </row>
    <row r="208" spans="2:256">
      <c r="B208" s="478"/>
      <c r="E208" s="505"/>
      <c r="F208" s="760"/>
      <c r="G208" s="760"/>
      <c r="H208" s="760"/>
      <c r="I208" s="760"/>
      <c r="J208" s="760"/>
      <c r="K208" s="760"/>
      <c r="L208" s="760"/>
      <c r="M208" s="760"/>
      <c r="N208" s="760"/>
      <c r="R208" s="493"/>
      <c r="S208" s="760"/>
      <c r="IV208" s="449"/>
    </row>
    <row r="209" spans="2:23">
      <c r="B209" s="478" t="s">
        <v>3269</v>
      </c>
      <c r="E209" s="505">
        <f>Cable!I12+Cable!I25+Cable!I28+Div!K31</f>
        <v>280.3</v>
      </c>
      <c r="F209" s="505">
        <f>Cable!J12+Cable!J25+Cable!J28+Div!L31</f>
        <v>353.59999999999997</v>
      </c>
      <c r="G209" s="505">
        <f>Cable!K12+Cable!K25+Cable!K28+Div!M31</f>
        <v>459.11099999999999</v>
      </c>
      <c r="H209" s="505">
        <f>Cable!L87</f>
        <v>970</v>
      </c>
      <c r="I209" s="505">
        <f>Cable!M87</f>
        <v>1589</v>
      </c>
      <c r="J209" s="505">
        <f>Cable!N87</f>
        <v>1575.5</v>
      </c>
      <c r="K209" s="505">
        <f>Cable!O87</f>
        <v>1755.6</v>
      </c>
      <c r="L209" s="505">
        <f>Cable!P87</f>
        <v>1808</v>
      </c>
      <c r="M209" s="505">
        <f>Cable!Q87</f>
        <v>2243.3001986846039</v>
      </c>
      <c r="N209" s="505">
        <f>Cable!R87</f>
        <v>2536.0790511901382</v>
      </c>
      <c r="O209" s="456">
        <f>(N209/I209)^(1/5)-1</f>
        <v>9.8013748078809915E-2</v>
      </c>
      <c r="R209" s="593">
        <f>(F209+2200)*0.98</f>
        <v>2502.5279999999998</v>
      </c>
      <c r="S209" s="760">
        <f>(K209/I209)^(1/2)-1</f>
        <v>5.111646118685309E-2</v>
      </c>
    </row>
    <row r="210" spans="2:23">
      <c r="B210" s="487" t="s">
        <v>2702</v>
      </c>
      <c r="C210" s="455"/>
      <c r="D210" s="455"/>
      <c r="E210" s="774">
        <f>CA!L98+SA!L81+Africa!L154</f>
        <v>5.6039744063904395</v>
      </c>
      <c r="F210" s="774">
        <f>CA!M98+SA!M81+Africa!M154</f>
        <v>15.025477060058318</v>
      </c>
      <c r="G210" s="774">
        <f>CA!N98+SA!N81+Africa!N154</f>
        <v>80</v>
      </c>
      <c r="H210" s="774">
        <f>CA!O98+SA!O81+Africa!O154</f>
        <v>113</v>
      </c>
      <c r="I210" s="774">
        <f>CA!P98+SA!P81+Africa!P154</f>
        <v>125</v>
      </c>
      <c r="J210" s="774">
        <f ca="1">CA!Q98+SA!Q81+Africa!Q154</f>
        <v>125.17339007850603</v>
      </c>
      <c r="K210" s="774">
        <f ca="1">CA!R98+SA!R81+Africa!R154</f>
        <v>160.76933510159483</v>
      </c>
      <c r="L210" s="774">
        <f ca="1">CA!S98+SA!S81+Africa!S154</f>
        <v>90.916090778456351</v>
      </c>
      <c r="M210" s="774">
        <f ca="1">CA!T98+SA!T81+Africa!T154</f>
        <v>120.85060930571092</v>
      </c>
      <c r="N210" s="774">
        <f ca="1">CA!U98+SA!U81+Africa!U154</f>
        <v>150.55985329665145</v>
      </c>
      <c r="O210" s="561">
        <f ca="1">(N210/I210)^(1/5)-1</f>
        <v>3.791032906699221E-2</v>
      </c>
      <c r="R210" s="594">
        <f>(F210+800)*0.98</f>
        <v>798.72496751885706</v>
      </c>
      <c r="S210" s="775">
        <f ca="1">(K210/I210)^(1/2)-1</f>
        <v>0.13408759838592665</v>
      </c>
    </row>
    <row r="211" spans="2:23">
      <c r="B211" s="478" t="s">
        <v>2324</v>
      </c>
      <c r="E211" s="593">
        <f t="shared" ref="E211:K211" si="55">SUM(E207:E210)</f>
        <v>4525.8269432730476</v>
      </c>
      <c r="F211" s="593">
        <f t="shared" si="55"/>
        <v>5218.3963228092707</v>
      </c>
      <c r="G211" s="593">
        <f t="shared" si="55"/>
        <v>5553.2034311307607</v>
      </c>
      <c r="H211" s="593">
        <f t="shared" si="55"/>
        <v>6385.8180559090724</v>
      </c>
      <c r="I211" s="593">
        <f t="shared" si="55"/>
        <v>6724.8770101554837</v>
      </c>
      <c r="J211" s="593">
        <f t="shared" ca="1" si="55"/>
        <v>6191.6693455538025</v>
      </c>
      <c r="K211" s="593">
        <f t="shared" ca="1" si="55"/>
        <v>6343.5989027815194</v>
      </c>
      <c r="L211" s="593">
        <f ca="1">SUM(L207:L210)</f>
        <v>6335.3150163268074</v>
      </c>
      <c r="M211" s="593">
        <f ca="1">SUM(M207:M210)</f>
        <v>6824.4965172940892</v>
      </c>
      <c r="N211" s="593">
        <f ca="1">SUM(N207:N210)</f>
        <v>7132.367000338184</v>
      </c>
      <c r="O211" s="456">
        <f ca="1">(N211/I211)^(1/5)-1</f>
        <v>1.1835394535390842E-2</v>
      </c>
      <c r="R211" s="593">
        <f>SUM(R207:R210)</f>
        <v>9132.0283963530856</v>
      </c>
      <c r="S211" s="760">
        <f ca="1">(K211/I211)^(1/2)-1</f>
        <v>-2.8761958242773611E-2</v>
      </c>
      <c r="V211">
        <f>8100</f>
        <v>8100</v>
      </c>
      <c r="W211">
        <v>9300</v>
      </c>
    </row>
    <row r="212" spans="2:23">
      <c r="B212" s="478" t="s">
        <v>3450</v>
      </c>
      <c r="E212" s="493"/>
      <c r="F212" s="760">
        <f t="shared" ref="F212:N212" si="56">F211/E211-1</f>
        <v>0.15302604103447259</v>
      </c>
      <c r="G212" s="760">
        <f>(G211-CA!$AJ$59)/F211-1</f>
        <v>-3.6475361376163251E-2</v>
      </c>
      <c r="H212" s="760">
        <f>(H211-Div!$N$31)/G211-1</f>
        <v>6.0256143850681232E-2</v>
      </c>
      <c r="I212" s="760">
        <f>(I211-Div!$O$31)/(H211-Div!$N$31)-1</f>
        <v>-3.4673917666269483E-2</v>
      </c>
      <c r="J212" s="760">
        <f t="shared" ca="1" si="56"/>
        <v>-7.9288835140994385E-2</v>
      </c>
      <c r="K212" s="760">
        <f t="shared" ca="1" si="56"/>
        <v>2.4537737522565939E-2</v>
      </c>
      <c r="L212" s="760">
        <f t="shared" ca="1" si="56"/>
        <v>-1.3058654214533894E-3</v>
      </c>
      <c r="M212" s="760">
        <f t="shared" ca="1" si="56"/>
        <v>7.7215023989589682E-2</v>
      </c>
      <c r="N212" s="760">
        <f t="shared" ca="1" si="56"/>
        <v>4.5112556254357283E-2</v>
      </c>
      <c r="R212" s="760"/>
      <c r="S212" s="760"/>
      <c r="V212" s="456">
        <f ca="1">((V211-Div!$Q$31)/(G211))^(1/4)-1</f>
        <v>6.2179261013757703E-2</v>
      </c>
      <c r="W212" s="456">
        <f ca="1">((W211-Div!$Q$31)/(G211))^(1/4)-1</f>
        <v>0.10464418131288511</v>
      </c>
    </row>
    <row r="213" spans="2:23">
      <c r="B213" s="478" t="s">
        <v>3454</v>
      </c>
      <c r="E213" s="493"/>
      <c r="F213" s="760"/>
      <c r="G213" s="760">
        <f>G212+Div!M41</f>
        <v>-8.8756824916694788E-3</v>
      </c>
      <c r="H213" s="760">
        <f>H212+Div!N41</f>
        <v>0.10519606033284035</v>
      </c>
      <c r="I213" s="760">
        <f ca="1">I212+Div!O41</f>
        <v>9.0907903141739133E-2</v>
      </c>
      <c r="J213" s="760">
        <f ca="1">J212+Div!P41</f>
        <v>-2.9301585132421315E-2</v>
      </c>
      <c r="K213" s="760">
        <f ca="1">K212+Div!Q41</f>
        <v>1.9319466544389874E-2</v>
      </c>
      <c r="L213" s="760">
        <f ca="1">L212+Div!R41</f>
        <v>-5.2640198698865603E-3</v>
      </c>
      <c r="M213" s="760">
        <f ca="1">M212+Div!S41</f>
        <v>0.11253255175587129</v>
      </c>
      <c r="N213" s="760">
        <f ca="1">N212+Div!T41</f>
        <v>7.9610694052259623E-2</v>
      </c>
      <c r="R213" s="760"/>
      <c r="S213" s="760">
        <f ca="1">S211+Div!T41</f>
        <v>5.7361795551287287E-3</v>
      </c>
      <c r="V213" s="456"/>
      <c r="W213" s="456"/>
    </row>
    <row r="214" spans="2:23">
      <c r="B214" s="478" t="s">
        <v>3944</v>
      </c>
      <c r="E214" s="505">
        <f>E209-0.5*Div!K31</f>
        <v>280.3</v>
      </c>
      <c r="F214" s="505">
        <f>F209-0.5*Div!L31</f>
        <v>353.59999999999997</v>
      </c>
      <c r="G214" s="505">
        <f>G209-0.5*Div!M31</f>
        <v>459.11099999999999</v>
      </c>
      <c r="H214" s="505">
        <f>H209-0.375*Div!N31</f>
        <v>783.25</v>
      </c>
      <c r="I214" s="505">
        <f>I209-0.375*Div!O31</f>
        <v>1198.5452477183833</v>
      </c>
      <c r="J214" s="505">
        <f ca="1">J209-0.375*Div!P31</f>
        <v>1214.5408457707017</v>
      </c>
      <c r="K214" s="505">
        <f ca="1">K209-0.375*Div!Q31</f>
        <v>1368.8338337500627</v>
      </c>
      <c r="L214" s="505">
        <f ca="1">L209-0.375*Div!R31</f>
        <v>1465.7212906695163</v>
      </c>
      <c r="M214" s="505">
        <f ca="1">M209-0.375*Div!S31</f>
        <v>1930.6577792583093</v>
      </c>
      <c r="N214" s="505">
        <f ca="1">N209-0.375*Div!T31</f>
        <v>2264.1823089820073</v>
      </c>
      <c r="P214" s="760"/>
      <c r="Q214" s="760"/>
      <c r="T214" s="456"/>
      <c r="U214" s="456"/>
    </row>
    <row r="215" spans="2:23">
      <c r="B215" s="478"/>
      <c r="E215" s="493"/>
      <c r="F215" s="760"/>
      <c r="G215" s="760"/>
      <c r="H215" s="760"/>
      <c r="I215" s="760"/>
      <c r="J215" s="760"/>
      <c r="K215" s="760"/>
      <c r="L215" s="760"/>
      <c r="M215" s="760"/>
      <c r="N215" s="760"/>
      <c r="Q215" s="456"/>
      <c r="R215" s="456"/>
    </row>
    <row r="216" spans="2:23">
      <c r="B216" s="450" t="s">
        <v>3470</v>
      </c>
      <c r="E216" s="493"/>
      <c r="F216" s="760"/>
      <c r="G216" s="760"/>
      <c r="H216" s="760"/>
      <c r="I216" s="760"/>
      <c r="J216" s="760"/>
      <c r="K216" s="760"/>
      <c r="L216" s="760"/>
      <c r="M216" s="760"/>
      <c r="N216" s="760"/>
      <c r="P216" s="456"/>
      <c r="Q216" s="456"/>
    </row>
    <row r="217" spans="2:23">
      <c r="B217" s="478" t="s">
        <v>1828</v>
      </c>
      <c r="E217" s="770">
        <f>CA!L111</f>
        <v>4.2294901680666408E-2</v>
      </c>
      <c r="F217" s="770">
        <f>CA!M111</f>
        <v>0.23627462310535119</v>
      </c>
      <c r="G217" s="770">
        <f>AVERAGE(Quarts!CT255:CW255)</f>
        <v>6.4999999999999997E-3</v>
      </c>
      <c r="H217" s="770">
        <f>CA!O111</f>
        <v>2.274445131689129E-2</v>
      </c>
      <c r="I217" s="770">
        <f>CA!P111</f>
        <v>4.5622570043464039E-2</v>
      </c>
      <c r="J217" s="770">
        <f>CA!Q111</f>
        <v>-4.3028424586013747E-2</v>
      </c>
      <c r="K217" s="770">
        <f>CA!R111</f>
        <v>-3.4784499198679097E-2</v>
      </c>
      <c r="L217" s="770">
        <f>CA!S111</f>
        <v>1.4312528275689518E-2</v>
      </c>
      <c r="M217" s="770">
        <f>CA!T111</f>
        <v>6.834041256488077E-2</v>
      </c>
      <c r="N217" s="770">
        <f>CA!U111</f>
        <v>7.0262418834172946E-2</v>
      </c>
      <c r="P217" s="456"/>
      <c r="Q217" s="456"/>
    </row>
    <row r="218" spans="2:23">
      <c r="B218" s="478" t="s">
        <v>3452</v>
      </c>
      <c r="E218" s="770">
        <f>SA!L93</f>
        <v>0</v>
      </c>
      <c r="F218" s="770">
        <f>SA!M93</f>
        <v>0.16656708787583474</v>
      </c>
      <c r="G218" s="770">
        <f>SA!N93</f>
        <v>0.11548257080482549</v>
      </c>
      <c r="H218" s="770">
        <f>SA!O93</f>
        <v>5.2772459750927814E-2</v>
      </c>
      <c r="I218" s="770">
        <f>SA!P93</f>
        <v>3.9384204611935925E-2</v>
      </c>
      <c r="J218" s="770">
        <f ca="1">SA!Q93</f>
        <v>2.3785408048563772E-2</v>
      </c>
      <c r="K218" s="770">
        <f ca="1">SA!R93</f>
        <v>8.7527165556739339E-2</v>
      </c>
      <c r="L218" s="770">
        <f ca="1">SA!S93</f>
        <v>8.2654093268067719E-2</v>
      </c>
      <c r="M218" s="770">
        <f ca="1">SA!T93</f>
        <v>0.36882781792023067</v>
      </c>
      <c r="N218" s="770">
        <f ca="1">SA!U93</f>
        <v>0.21503344279629899</v>
      </c>
      <c r="P218" s="456"/>
      <c r="Q218" s="456"/>
    </row>
    <row r="219" spans="2:23">
      <c r="B219" s="478" t="s">
        <v>1665</v>
      </c>
      <c r="E219" s="770">
        <f>Colombia!H47</f>
        <v>0.20986274468230914</v>
      </c>
      <c r="F219" s="770">
        <f>Colombia!I47</f>
        <v>9.0330702038543098E-2</v>
      </c>
      <c r="G219" s="770">
        <f>Colombia!J47</f>
        <v>0.17863004249393177</v>
      </c>
      <c r="H219" s="770">
        <f>Colombia!K47</f>
        <v>0.29331526382529716</v>
      </c>
      <c r="I219" s="770">
        <f>Colombia!L47</f>
        <v>0.10003232378785265</v>
      </c>
      <c r="J219" s="770">
        <f>Colombia!M47</f>
        <v>-0.13898075246084896</v>
      </c>
      <c r="K219" s="770">
        <f>Colombia!N47</f>
        <v>-4.5256402018022723E-2</v>
      </c>
      <c r="L219" s="770">
        <f>Colombia!O47</f>
        <v>1.2715162771308686E-2</v>
      </c>
      <c r="M219" s="770">
        <f>Colombia!P47</f>
        <v>3.6715577042141456E-2</v>
      </c>
      <c r="N219" s="770">
        <f>Colombia!Q47</f>
        <v>-1.6329182926813401E-2</v>
      </c>
      <c r="P219" s="456"/>
      <c r="Q219" s="456"/>
    </row>
    <row r="220" spans="2:23">
      <c r="B220" s="478" t="s">
        <v>1831</v>
      </c>
      <c r="E220" s="770">
        <f>Africa!L83</f>
        <v>9.327403660083311E-2</v>
      </c>
      <c r="F220" s="770">
        <f>Africa!M83</f>
        <v>5.5329065743146E-3</v>
      </c>
      <c r="G220" s="770">
        <f>AVERAGE(Quarts!CT257:CW257)</f>
        <v>4.2999999999999997E-2</v>
      </c>
      <c r="H220" s="770">
        <f>Africa!O83</f>
        <v>0.17449827064359624</v>
      </c>
      <c r="I220" s="770">
        <f ca="1">Africa!P83</f>
        <v>0.2647043919004981</v>
      </c>
      <c r="J220" s="770">
        <f ca="1">Africa!Q83</f>
        <v>4.7337259459265812E-2</v>
      </c>
      <c r="K220" s="770">
        <f ca="1">Africa!R83</f>
        <v>7.758266984821538E-2</v>
      </c>
      <c r="L220" s="770">
        <f ca="1">Africa!S83</f>
        <v>-6.7628270084843511E-2</v>
      </c>
      <c r="M220" s="770">
        <f ca="1">Africa!T83</f>
        <v>9.5906062245305401E-2</v>
      </c>
      <c r="N220" s="770">
        <f ca="1">Africa!U83</f>
        <v>9.6709420595522788E-2</v>
      </c>
      <c r="P220" s="456"/>
      <c r="Q220" s="456"/>
    </row>
    <row r="221" spans="2:23">
      <c r="E221" s="493"/>
      <c r="F221" s="493"/>
      <c r="G221" s="493"/>
      <c r="H221" s="493"/>
      <c r="I221" s="493"/>
      <c r="J221" s="493"/>
      <c r="K221" s="493"/>
      <c r="L221" s="493"/>
      <c r="M221" s="493"/>
    </row>
    <row r="222" spans="2:23" outlineLevel="1">
      <c r="B222" s="451" t="s">
        <v>3091</v>
      </c>
      <c r="C222" s="451"/>
      <c r="D222" s="451"/>
      <c r="E222" s="560"/>
      <c r="F222" s="560"/>
      <c r="G222" s="560"/>
      <c r="H222" s="560">
        <f>H204</f>
        <v>2014</v>
      </c>
      <c r="I222" s="560">
        <f t="shared" ref="I222:N222" si="57">I204</f>
        <v>2015</v>
      </c>
      <c r="J222" s="560">
        <f t="shared" si="57"/>
        <v>2016</v>
      </c>
      <c r="K222" s="560">
        <f t="shared" si="57"/>
        <v>2017</v>
      </c>
      <c r="L222" s="560">
        <f t="shared" si="57"/>
        <v>2018</v>
      </c>
      <c r="M222" s="560">
        <f t="shared" si="57"/>
        <v>2019</v>
      </c>
      <c r="N222" s="560">
        <f t="shared" si="57"/>
        <v>2020</v>
      </c>
    </row>
    <row r="223" spans="2:23" outlineLevel="1">
      <c r="B223" t="str">
        <f>B205</f>
        <v>Mobile service revs</v>
      </c>
      <c r="E223" s="770">
        <f t="shared" ref="E223:N223" si="58">E205/E$211</f>
        <v>0.88240539309847221</v>
      </c>
      <c r="F223" s="770">
        <f t="shared" si="58"/>
        <v>0.86934771756765217</v>
      </c>
      <c r="G223" s="770">
        <f t="shared" si="58"/>
        <v>0.83600000605071267</v>
      </c>
      <c r="H223" s="770">
        <f t="shared" si="58"/>
        <v>0.74273970211222551</v>
      </c>
      <c r="I223" s="770">
        <f t="shared" si="58"/>
        <v>0.6524336208471091</v>
      </c>
      <c r="J223" s="770">
        <f ca="1">J205/J$211</f>
        <v>0.62644693914205141</v>
      </c>
      <c r="K223" s="770">
        <f t="shared" ca="1" si="58"/>
        <v>0.5886156478378558</v>
      </c>
      <c r="L223" s="770">
        <f t="shared" ca="1" si="58"/>
        <v>0.57226577387037159</v>
      </c>
      <c r="M223" s="770">
        <f t="shared" ca="1" si="58"/>
        <v>0.52910893556060878</v>
      </c>
      <c r="N223" s="770">
        <f t="shared" ca="1" si="58"/>
        <v>0.50165582126287311</v>
      </c>
    </row>
    <row r="224" spans="2:23" outlineLevel="1">
      <c r="B224" s="455" t="str">
        <f>B206</f>
        <v>Equipment</v>
      </c>
      <c r="C224" s="455"/>
      <c r="D224" s="455"/>
      <c r="E224" s="525">
        <f t="shared" ref="E224:N224" si="59">E206/E$211</f>
        <v>5.4422952750822241E-2</v>
      </c>
      <c r="F224" s="525">
        <f t="shared" si="59"/>
        <v>6.0012673200519104E-2</v>
      </c>
      <c r="G224" s="525">
        <f t="shared" si="59"/>
        <v>6.6918911527960562E-2</v>
      </c>
      <c r="H224" s="525">
        <f t="shared" si="59"/>
        <v>8.7665738425208306E-2</v>
      </c>
      <c r="I224" s="525">
        <f t="shared" si="59"/>
        <v>9.2691829415903079E-2</v>
      </c>
      <c r="J224" s="525">
        <f t="shared" ca="1" si="59"/>
        <v>9.8881838096392741E-2</v>
      </c>
      <c r="K224" s="525">
        <f t="shared" ca="1" si="59"/>
        <v>0.10928937981745317</v>
      </c>
      <c r="L224" s="525">
        <f t="shared" ca="1" si="59"/>
        <v>0.12799915598951075</v>
      </c>
      <c r="M224" s="525">
        <f t="shared" ca="1" si="59"/>
        <v>0.1244697860345632</v>
      </c>
      <c r="N224" s="525">
        <f t="shared" ca="1" si="59"/>
        <v>0.12166152845295036</v>
      </c>
    </row>
    <row r="225" spans="2:14" outlineLevel="1">
      <c r="B225" t="str">
        <f>B207</f>
        <v>Total mobile</v>
      </c>
      <c r="E225" s="770">
        <f t="shared" ref="E225:N225" si="60">E207/E$211</f>
        <v>0.93682834584929431</v>
      </c>
      <c r="F225" s="770">
        <f t="shared" si="60"/>
        <v>0.92936039076817123</v>
      </c>
      <c r="G225" s="770">
        <f t="shared" si="60"/>
        <v>0.90291891757867326</v>
      </c>
      <c r="H225" s="770">
        <f t="shared" si="60"/>
        <v>0.83040544053743381</v>
      </c>
      <c r="I225" s="770">
        <f t="shared" si="60"/>
        <v>0.74512545026301213</v>
      </c>
      <c r="J225" s="770">
        <f ca="1">J207/J$211</f>
        <v>0.72532877723844402</v>
      </c>
      <c r="K225" s="770">
        <f t="shared" ca="1" si="60"/>
        <v>0.69790502765530893</v>
      </c>
      <c r="L225" s="770">
        <f t="shared" ca="1" si="60"/>
        <v>0.70026492985988231</v>
      </c>
      <c r="M225" s="770">
        <f t="shared" ca="1" si="60"/>
        <v>0.65357872159517194</v>
      </c>
      <c r="N225" s="770">
        <f t="shared" ca="1" si="60"/>
        <v>0.62331734971582353</v>
      </c>
    </row>
    <row r="226" spans="2:14" outlineLevel="1">
      <c r="E226" s="770"/>
      <c r="F226" s="770"/>
      <c r="G226" s="770"/>
      <c r="H226" s="770"/>
      <c r="I226" s="770"/>
      <c r="J226" s="770"/>
      <c r="K226" s="770"/>
      <c r="L226" s="770"/>
      <c r="M226" s="770"/>
      <c r="N226" s="770"/>
    </row>
    <row r="227" spans="2:14" outlineLevel="1">
      <c r="B227" t="str">
        <f>B209</f>
        <v>Cable/fixed</v>
      </c>
      <c r="E227" s="770">
        <f t="shared" ref="E227:N227" si="61">E209/E$211</f>
        <v>6.1933433052853086E-2</v>
      </c>
      <c r="F227" s="770">
        <f t="shared" si="61"/>
        <v>6.7760280769484177E-2</v>
      </c>
      <c r="G227" s="770">
        <f t="shared" si="61"/>
        <v>8.2674983132486168E-2</v>
      </c>
      <c r="H227" s="770">
        <f t="shared" si="61"/>
        <v>0.15189909757958375</v>
      </c>
      <c r="I227" s="770">
        <f t="shared" si="61"/>
        <v>0.23628684920190998</v>
      </c>
      <c r="J227" s="770">
        <f t="shared" ca="1" si="61"/>
        <v>0.25445480242438273</v>
      </c>
      <c r="K227" s="770">
        <f t="shared" ca="1" si="61"/>
        <v>0.27675141932920921</v>
      </c>
      <c r="L227" s="770">
        <f t="shared" ca="1" si="61"/>
        <v>0.2853843882017838</v>
      </c>
      <c r="M227" s="770">
        <f t="shared" ca="1" si="61"/>
        <v>0.32871292307056105</v>
      </c>
      <c r="N227" s="770">
        <f t="shared" ca="1" si="61"/>
        <v>0.35557326916434462</v>
      </c>
    </row>
    <row r="228" spans="2:14" outlineLevel="1">
      <c r="B228" s="455" t="str">
        <f>B210</f>
        <v>MFS</v>
      </c>
      <c r="C228" s="455"/>
      <c r="D228" s="455"/>
      <c r="E228" s="525">
        <f t="shared" ref="E228:N228" si="62">E210/E$211</f>
        <v>1.2382210978526022E-3</v>
      </c>
      <c r="F228" s="525">
        <f t="shared" si="62"/>
        <v>2.879328462344444E-3</v>
      </c>
      <c r="G228" s="525">
        <f t="shared" si="62"/>
        <v>1.4406099288840594E-2</v>
      </c>
      <c r="H228" s="525">
        <f t="shared" si="62"/>
        <v>1.7695461882982436E-2</v>
      </c>
      <c r="I228" s="525">
        <f t="shared" si="62"/>
        <v>1.8587700535077877E-2</v>
      </c>
      <c r="J228" s="525">
        <f t="shared" ca="1" si="62"/>
        <v>2.0216420337173243E-2</v>
      </c>
      <c r="K228" s="525">
        <f t="shared" ca="1" si="62"/>
        <v>2.5343553015481676E-2</v>
      </c>
      <c r="L228" s="525">
        <f t="shared" ca="1" si="62"/>
        <v>1.4350681938333852E-2</v>
      </c>
      <c r="M228" s="525">
        <f t="shared" ca="1" si="62"/>
        <v>1.7708355334266936E-2</v>
      </c>
      <c r="N228" s="525">
        <f t="shared" ca="1" si="62"/>
        <v>2.1109381119831971E-2</v>
      </c>
    </row>
    <row r="229" spans="2:14" outlineLevel="1">
      <c r="B229" t="str">
        <f>B211</f>
        <v>Total</v>
      </c>
      <c r="E229" s="770">
        <f t="shared" ref="E229:N229" si="63">E211/E$211</f>
        <v>1</v>
      </c>
      <c r="F229" s="770">
        <f t="shared" si="63"/>
        <v>1</v>
      </c>
      <c r="G229" s="770">
        <f t="shared" si="63"/>
        <v>1</v>
      </c>
      <c r="H229" s="770">
        <f t="shared" si="63"/>
        <v>1</v>
      </c>
      <c r="I229" s="770">
        <f t="shared" si="63"/>
        <v>1</v>
      </c>
      <c r="J229" s="770">
        <f t="shared" ca="1" si="63"/>
        <v>1</v>
      </c>
      <c r="K229" s="770">
        <f t="shared" ca="1" si="63"/>
        <v>1</v>
      </c>
      <c r="L229" s="770">
        <f t="shared" ca="1" si="63"/>
        <v>1</v>
      </c>
      <c r="M229" s="770">
        <f t="shared" ca="1" si="63"/>
        <v>1</v>
      </c>
      <c r="N229" s="770">
        <f t="shared" ca="1" si="63"/>
        <v>1</v>
      </c>
    </row>
    <row r="230" spans="2:14" outlineLevel="1">
      <c r="B230" s="478" t="s">
        <v>3943</v>
      </c>
      <c r="E230" s="770">
        <f t="shared" ref="E230:N230" si="64">E214/E211</f>
        <v>6.1933433052853086E-2</v>
      </c>
      <c r="F230" s="770">
        <f t="shared" si="64"/>
        <v>6.7760280769484177E-2</v>
      </c>
      <c r="G230" s="770">
        <f t="shared" si="64"/>
        <v>8.2674983132486168E-2</v>
      </c>
      <c r="H230" s="770">
        <f t="shared" si="64"/>
        <v>0.12265460637031853</v>
      </c>
      <c r="I230" s="770">
        <f t="shared" si="64"/>
        <v>0.1782256011386403</v>
      </c>
      <c r="J230" s="770">
        <f t="shared" ca="1" si="64"/>
        <v>0.19615725226717018</v>
      </c>
      <c r="K230" s="770">
        <f t="shared" ca="1" si="64"/>
        <v>0.21578190152436358</v>
      </c>
      <c r="L230" s="770">
        <f t="shared" ca="1" si="64"/>
        <v>0.23135728640046951</v>
      </c>
      <c r="M230" s="770">
        <f t="shared" ca="1" si="64"/>
        <v>0.28290113041537818</v>
      </c>
      <c r="N230" s="770">
        <f t="shared" ca="1" si="64"/>
        <v>0.31745173921569797</v>
      </c>
    </row>
    <row r="231" spans="2:14" outlineLevel="1">
      <c r="E231" s="770"/>
      <c r="F231" s="770"/>
      <c r="G231" s="770"/>
      <c r="H231" s="770"/>
      <c r="I231" s="770"/>
      <c r="J231" s="770"/>
      <c r="K231" s="770"/>
      <c r="L231" s="770"/>
      <c r="M231" s="770"/>
      <c r="N231" s="770"/>
    </row>
    <row r="232" spans="2:14">
      <c r="B232" s="478" t="s">
        <v>1433</v>
      </c>
      <c r="E232" s="464">
        <f>Div!K53-Div!K51+Master!N11</f>
        <v>2090.4360000000001</v>
      </c>
      <c r="F232" s="464">
        <f>Div!L53-Div!L51+Master!O11</f>
        <v>2088.0860000000002</v>
      </c>
      <c r="G232" s="464">
        <f>Div!M53-Div!M51+Master!P11</f>
        <v>2239.3999999999996</v>
      </c>
      <c r="H232" s="464">
        <f>Div!N53-Div!N51+Master!Q11</f>
        <v>2097.4185681588733</v>
      </c>
      <c r="I232" s="464">
        <f>Div!O53-Div!O51+Master!R11</f>
        <v>2238.5</v>
      </c>
      <c r="J232" s="464">
        <f ca="1">Div!P53-Div!P51+Master!S11</f>
        <v>2169.7044926796475</v>
      </c>
      <c r="K232" s="464">
        <f ca="1">Div!Q53-Div!Q51+Master!T11</f>
        <v>2206.4238861207118</v>
      </c>
      <c r="L232" s="464">
        <f ca="1">Div!R53-Div!R51+Master!U11</f>
        <v>2201.1611047496122</v>
      </c>
      <c r="M232" s="464">
        <f ca="1">Div!S53-Div!S51+Master!V11</f>
        <v>2688.1759609035266</v>
      </c>
      <c r="N232" s="464">
        <f ca="1">Div!T53-Div!T51+Master!W11</f>
        <v>2992.0152875047315</v>
      </c>
    </row>
    <row r="233" spans="2:14">
      <c r="B233" s="478" t="s">
        <v>1434</v>
      </c>
      <c r="E233" s="456">
        <f t="shared" ref="E233:K233" si="65">E232/E211</f>
        <v>0.46189039620861216</v>
      </c>
      <c r="F233" s="456">
        <f t="shared" si="65"/>
        <v>0.40013940506456214</v>
      </c>
      <c r="G233" s="456">
        <f t="shared" si="65"/>
        <v>0.4032627343428703</v>
      </c>
      <c r="H233" s="456">
        <f t="shared" si="65"/>
        <v>0.32844947190721191</v>
      </c>
      <c r="I233" s="456">
        <f t="shared" si="65"/>
        <v>0.33286854118217463</v>
      </c>
      <c r="J233" s="456">
        <f t="shared" ca="1" si="65"/>
        <v>0.35042318502322772</v>
      </c>
      <c r="K233" s="456">
        <f t="shared" ca="1" si="65"/>
        <v>0.34781894630085247</v>
      </c>
      <c r="L233" s="456">
        <f ca="1">L232/L211</f>
        <v>0.34744303938746163</v>
      </c>
      <c r="M233" s="456">
        <f ca="1">M232/M211</f>
        <v>0.39390099388158051</v>
      </c>
      <c r="N233" s="456">
        <f ca="1">N232/N211</f>
        <v>0.41949822371210904</v>
      </c>
    </row>
    <row r="234" spans="2:14">
      <c r="B234" s="478"/>
      <c r="E234" s="456"/>
      <c r="F234" s="456"/>
      <c r="G234" s="456"/>
      <c r="H234" s="456"/>
      <c r="I234" s="456"/>
      <c r="J234" s="456"/>
      <c r="K234" s="456"/>
      <c r="L234" s="456"/>
      <c r="M234" s="456"/>
      <c r="N234" s="456"/>
    </row>
    <row r="235" spans="2:14">
      <c r="B235" s="478" t="s">
        <v>3338</v>
      </c>
      <c r="E235" s="464">
        <f>E232-Div!K47</f>
        <v>2090.4360000000001</v>
      </c>
      <c r="F235" s="464">
        <f>F232-Div!L47</f>
        <v>2088.0860000000002</v>
      </c>
      <c r="G235" s="464">
        <f>G232-Div!M47</f>
        <v>2239.3999999999996</v>
      </c>
      <c r="H235" s="464">
        <f>H232-Div!N47</f>
        <v>1968.4185681588733</v>
      </c>
      <c r="I235" s="464">
        <f>I232-Div!O47</f>
        <v>1924.4383249022164</v>
      </c>
      <c r="J235" s="464">
        <f ca="1">J232-Div!P47</f>
        <v>1870.8069761328745</v>
      </c>
      <c r="K235" s="464">
        <f ca="1">K232-Div!Q47</f>
        <v>1910.6010134179908</v>
      </c>
      <c r="L235" s="464">
        <f ca="1">L232-Div!R47</f>
        <v>1910.5973447368392</v>
      </c>
      <c r="M235" s="464">
        <f ca="1">M232-Div!S47</f>
        <v>2390.3845386076873</v>
      </c>
      <c r="N235" s="464">
        <f ca="1">N232-Div!T47</f>
        <v>2739.7745631839889</v>
      </c>
    </row>
    <row r="236" spans="2:14">
      <c r="B236" s="450" t="s">
        <v>1434</v>
      </c>
      <c r="E236" s="677">
        <f>E235/(E211-Div!K31)</f>
        <v>0.46189039620861216</v>
      </c>
      <c r="F236" s="677">
        <f>F235/(F211-Div!L31)</f>
        <v>0.40013940506456214</v>
      </c>
      <c r="G236" s="677">
        <f>G235/(G211-Div!M31)</f>
        <v>0.4032627343428703</v>
      </c>
      <c r="H236" s="677">
        <f>H235/(H211-Div!N31)</f>
        <v>0.33432054955967072</v>
      </c>
      <c r="I236" s="677">
        <f>I235/(I211-Div!O31)</f>
        <v>0.33859112900763377</v>
      </c>
      <c r="J236" s="677">
        <f ca="1">J235/(J211-Div!P31)</f>
        <v>0.35776765135319272</v>
      </c>
      <c r="K236" s="677">
        <f ca="1">K235/(K211-Div!Q31)</f>
        <v>0.35966133346313145</v>
      </c>
      <c r="L236" s="677">
        <f ca="1">L235/(L211-Div!R31)</f>
        <v>0.35234154903231324</v>
      </c>
      <c r="M236" s="677">
        <f ca="1">M235/(M211-Div!S31)</f>
        <v>0.39901034296732135</v>
      </c>
      <c r="N236" s="677">
        <f ca="1">N235/(N211-Div!T31)</f>
        <v>0.42760143987975963</v>
      </c>
    </row>
    <row r="238" spans="2:14">
      <c r="B238" s="451"/>
      <c r="E238" s="451">
        <f t="shared" ref="E238:K238" si="66">E204</f>
        <v>2011</v>
      </c>
      <c r="F238" s="451">
        <f t="shared" si="66"/>
        <v>2012</v>
      </c>
      <c r="G238" s="451">
        <f t="shared" si="66"/>
        <v>2013</v>
      </c>
      <c r="H238" s="451">
        <f t="shared" si="66"/>
        <v>2014</v>
      </c>
      <c r="I238" s="451">
        <f t="shared" si="66"/>
        <v>2015</v>
      </c>
      <c r="J238" s="451">
        <f t="shared" si="66"/>
        <v>2016</v>
      </c>
      <c r="K238" s="451">
        <f t="shared" si="66"/>
        <v>2017</v>
      </c>
    </row>
    <row r="239" spans="2:14">
      <c r="B239" s="478" t="s">
        <v>3102</v>
      </c>
      <c r="E239" s="464">
        <f t="shared" ref="E239:K239" si="67">E210</f>
        <v>5.6039744063904395</v>
      </c>
      <c r="F239" s="464">
        <f t="shared" si="67"/>
        <v>15.025477060058318</v>
      </c>
      <c r="G239" s="464">
        <f t="shared" si="67"/>
        <v>80</v>
      </c>
      <c r="H239" s="464">
        <f t="shared" si="67"/>
        <v>113</v>
      </c>
      <c r="I239" s="464">
        <f t="shared" si="67"/>
        <v>125</v>
      </c>
      <c r="J239" s="464">
        <f t="shared" ca="1" si="67"/>
        <v>125.17339007850603</v>
      </c>
      <c r="K239" s="464">
        <f t="shared" ca="1" si="67"/>
        <v>160.76933510159483</v>
      </c>
    </row>
    <row r="240" spans="2:14">
      <c r="B240" s="478" t="s">
        <v>3101</v>
      </c>
      <c r="E240" s="531">
        <v>1.591</v>
      </c>
      <c r="F240" s="531">
        <v>3.9359999999999999</v>
      </c>
      <c r="G240" s="531">
        <v>6.2770000000000001</v>
      </c>
      <c r="H240" s="531">
        <f>H241*Div!N16/1000</f>
        <v>8.75502</v>
      </c>
      <c r="I240" s="531">
        <f>I241*Div!O16/1000</f>
        <v>15.646730500000002</v>
      </c>
      <c r="J240" s="531">
        <f ca="1">J241*Div!P16/1000</f>
        <v>17.734419520647869</v>
      </c>
      <c r="K240" s="531">
        <f ca="1">K241*Div!Q16/1000</f>
        <v>23.834656148787047</v>
      </c>
    </row>
    <row r="241" spans="2:11">
      <c r="B241" s="478" t="s">
        <v>3100</v>
      </c>
      <c r="E241" s="456">
        <f>E240/(Div!K16/1000)</f>
        <v>3.6927004758036439E-2</v>
      </c>
      <c r="F241" s="456">
        <f>F240/(Div!L16/1000)</f>
        <v>8.3338626691227852E-2</v>
      </c>
      <c r="G241" s="456">
        <f>G240/(Div!M16/1000)</f>
        <v>0.12534446263828428</v>
      </c>
      <c r="H241" s="456">
        <v>0.155</v>
      </c>
      <c r="I241" s="456">
        <v>0.25</v>
      </c>
      <c r="J241" s="456">
        <v>0.28000000000000003</v>
      </c>
      <c r="K241" s="456">
        <v>0.36</v>
      </c>
    </row>
    <row r="242" spans="2:11">
      <c r="G242" s="449"/>
    </row>
    <row r="243" spans="2:11">
      <c r="B243" s="478" t="s">
        <v>3103</v>
      </c>
      <c r="E243" s="468">
        <f>E210/AVERAGE(0,E240)/12</f>
        <v>0.58704948736543472</v>
      </c>
      <c r="F243" s="468">
        <f t="shared" ref="F243:K243" si="68">F210/AVERAGE(E240,F240)/12</f>
        <v>0.4530932109058054</v>
      </c>
      <c r="G243" s="468">
        <f t="shared" si="68"/>
        <v>1.3055256372597015</v>
      </c>
      <c r="H243" s="468">
        <f t="shared" si="68"/>
        <v>1.2528810720936596</v>
      </c>
      <c r="I243" s="468">
        <f t="shared" si="68"/>
        <v>0.8537638860512623</v>
      </c>
      <c r="J243" s="468">
        <f t="shared" ca="1" si="68"/>
        <v>0.62497042992367535</v>
      </c>
      <c r="K243" s="468">
        <f t="shared" ca="1" si="68"/>
        <v>0.64458708191341862</v>
      </c>
    </row>
    <row r="245" spans="2:11">
      <c r="B245" s="478" t="s">
        <v>3874</v>
      </c>
    </row>
    <row r="246" spans="2:11">
      <c r="B246" s="478" t="s">
        <v>2705</v>
      </c>
      <c r="I246" s="464">
        <f>Colombia!L216</f>
        <v>1041.2126727509778</v>
      </c>
    </row>
    <row r="247" spans="2:11">
      <c r="B247" s="478" t="s">
        <v>3873</v>
      </c>
      <c r="I247" s="454">
        <f>Cable!M25</f>
        <v>100.78732724902216</v>
      </c>
    </row>
    <row r="248" spans="2:11">
      <c r="B248" s="478" t="s">
        <v>3872</v>
      </c>
      <c r="I248" s="454">
        <f>Cable!M12</f>
        <v>447</v>
      </c>
    </row>
    <row r="249" spans="2:11">
      <c r="B249" s="487" t="s">
        <v>3871</v>
      </c>
      <c r="C249" s="455"/>
      <c r="D249" s="455"/>
      <c r="E249" s="455"/>
      <c r="F249" s="455"/>
      <c r="G249" s="455"/>
      <c r="H249" s="455"/>
      <c r="I249" s="462">
        <f>Cable!M28</f>
        <v>4</v>
      </c>
    </row>
    <row r="250" spans="2:11">
      <c r="B250" s="478" t="s">
        <v>884</v>
      </c>
      <c r="I250" s="464">
        <f>SUM(I246:I249)</f>
        <v>1593</v>
      </c>
    </row>
  </sheetData>
  <phoneticPr fontId="17" type="noConversion"/>
  <pageMargins left="0.74803149606299213" right="0.74803149606299213" top="0.98425196850393704" bottom="0.98425196850393704" header="0.51181102362204722" footer="0.51181102362204722"/>
  <pageSetup paperSize="9" scale="47" fitToHeight="4"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AK126"/>
  <sheetViews>
    <sheetView zoomScale="72" zoomScaleNormal="72" workbookViewId="0"/>
  </sheetViews>
  <sheetFormatPr defaultRowHeight="15"/>
  <cols>
    <col min="1" max="1" width="5.5703125" bestFit="1" customWidth="1"/>
    <col min="2" max="2" width="34.85546875" customWidth="1"/>
    <col min="3" max="18" width="8.85546875" customWidth="1"/>
  </cols>
  <sheetData>
    <row r="1" spans="2:34">
      <c r="AD1" s="8"/>
      <c r="AE1" s="8"/>
      <c r="AF1" s="8"/>
      <c r="AG1" s="8"/>
      <c r="AH1" s="8"/>
    </row>
    <row r="2" spans="2:34">
      <c r="B2" s="23" t="s">
        <v>1931</v>
      </c>
      <c r="C2" s="23">
        <f>C10</f>
        <v>2003</v>
      </c>
      <c r="D2" s="23">
        <f t="shared" ref="D2:L2" si="0">D10</f>
        <v>2004</v>
      </c>
      <c r="E2" s="23">
        <f t="shared" si="0"/>
        <v>2005</v>
      </c>
      <c r="F2" s="23">
        <f>F10</f>
        <v>2006</v>
      </c>
      <c r="G2" s="23">
        <f t="shared" si="0"/>
        <v>2007</v>
      </c>
      <c r="H2" s="23">
        <f t="shared" si="0"/>
        <v>2008</v>
      </c>
      <c r="I2" s="23">
        <f t="shared" si="0"/>
        <v>2009</v>
      </c>
      <c r="J2" s="23">
        <f t="shared" si="0"/>
        <v>2010</v>
      </c>
      <c r="K2" s="23">
        <f t="shared" si="0"/>
        <v>2011</v>
      </c>
      <c r="L2" s="23">
        <f t="shared" si="0"/>
        <v>2012</v>
      </c>
      <c r="M2" s="23">
        <f t="shared" ref="M2:R2" si="1">M10</f>
        <v>2013</v>
      </c>
      <c r="N2" s="23">
        <f t="shared" si="1"/>
        <v>2014</v>
      </c>
      <c r="O2" s="23">
        <f t="shared" si="1"/>
        <v>2015</v>
      </c>
      <c r="P2" s="23">
        <f t="shared" si="1"/>
        <v>2016</v>
      </c>
      <c r="Q2" s="23">
        <f t="shared" si="1"/>
        <v>2017</v>
      </c>
      <c r="R2" s="23">
        <f t="shared" si="1"/>
        <v>2018</v>
      </c>
      <c r="S2" s="23">
        <f t="shared" ref="S2:Y2" si="2">S10</f>
        <v>2019</v>
      </c>
      <c r="T2" s="23">
        <f t="shared" si="2"/>
        <v>2020</v>
      </c>
      <c r="U2" s="23">
        <f t="shared" si="2"/>
        <v>2021</v>
      </c>
      <c r="V2" s="23">
        <f t="shared" si="2"/>
        <v>2022</v>
      </c>
      <c r="W2" s="23">
        <f t="shared" si="2"/>
        <v>2023</v>
      </c>
      <c r="X2" s="23">
        <f t="shared" si="2"/>
        <v>2024</v>
      </c>
      <c r="Y2" s="23">
        <f t="shared" si="2"/>
        <v>2025</v>
      </c>
      <c r="Z2" s="23">
        <f t="shared" ref="Z2" si="3">Z10</f>
        <v>2026</v>
      </c>
      <c r="AD2" s="2"/>
      <c r="AE2" s="2"/>
      <c r="AF2" s="2"/>
      <c r="AG2" s="2"/>
      <c r="AH2" s="2"/>
    </row>
    <row r="3" spans="2:34">
      <c r="B3" t="str">
        <f>B11</f>
        <v>Asia</v>
      </c>
      <c r="C3" s="5">
        <f ca="1">Asia!D$18</f>
        <v>5.8401645569620249E-2</v>
      </c>
      <c r="D3" s="5">
        <f ca="1">Asia!E$18</f>
        <v>8.9765866184448456E-2</v>
      </c>
      <c r="E3" s="5">
        <f>Asia!F$18</f>
        <v>8.1113034093784522E-2</v>
      </c>
      <c r="F3" s="5">
        <f>Asia!G$18</f>
        <v>0.14819036672907088</v>
      </c>
      <c r="G3" s="5">
        <f>Asia!H$18</f>
        <v>0.19996932358255445</v>
      </c>
      <c r="H3" s="5">
        <f>Asia!I$18</f>
        <v>0.29478540219555299</v>
      </c>
      <c r="I3" s="27"/>
      <c r="J3" s="27"/>
      <c r="K3" s="27"/>
      <c r="L3" s="27"/>
      <c r="M3" s="27"/>
      <c r="N3" s="27"/>
      <c r="O3" s="27"/>
      <c r="P3" s="27"/>
      <c r="Q3" s="27"/>
      <c r="R3" s="27"/>
      <c r="S3" s="27"/>
      <c r="T3" s="27"/>
      <c r="U3" s="27"/>
      <c r="V3" s="27"/>
      <c r="W3" s="27"/>
      <c r="X3" s="27"/>
      <c r="Y3" s="27"/>
      <c r="Z3" s="27"/>
    </row>
    <row r="4" spans="2:34">
      <c r="B4" t="s">
        <v>1828</v>
      </c>
      <c r="C4" s="5">
        <f>CA!D$19</f>
        <v>0.12112991055937154</v>
      </c>
      <c r="D4" s="5">
        <f>CA!E$19</f>
        <v>0.18474446875836706</v>
      </c>
      <c r="E4" s="5">
        <f>CA!F$19</f>
        <v>0.28293311073393096</v>
      </c>
      <c r="F4" s="5">
        <f>CA!G$19</f>
        <v>0.39843446244477171</v>
      </c>
      <c r="G4" s="5">
        <f>CA!H$19</f>
        <v>0.6622297161601286</v>
      </c>
      <c r="H4" s="5">
        <f>CA!I$19</f>
        <v>0.78869564552924476</v>
      </c>
      <c r="I4" s="5">
        <f>CA!J$19</f>
        <v>0.87865545820958346</v>
      </c>
      <c r="J4" s="5">
        <f>CA!K$19</f>
        <v>0.88086859404097206</v>
      </c>
      <c r="K4" s="5">
        <f>CA!L$19</f>
        <v>0.92956780019942775</v>
      </c>
      <c r="L4" s="5">
        <f>CA!M$19</f>
        <v>0.95050193023962393</v>
      </c>
      <c r="M4" s="5">
        <f>CA!N$19</f>
        <v>0.96095900907671405</v>
      </c>
      <c r="N4" s="5">
        <f>CA!O$19</f>
        <v>0.95472220683447073</v>
      </c>
      <c r="O4" s="5">
        <f>CA!P$19</f>
        <v>0.97089352519058325</v>
      </c>
      <c r="P4" s="5">
        <f>CA!Q$19</f>
        <v>0.98268986006019621</v>
      </c>
      <c r="Q4" s="5">
        <f>CA!R$19</f>
        <v>0.99451533395125968</v>
      </c>
      <c r="R4" s="5">
        <f>CA!S$19</f>
        <v>1.003540216047605</v>
      </c>
      <c r="S4" s="5">
        <f>CA!T$19</f>
        <v>1.0125975168496943</v>
      </c>
      <c r="T4" s="5">
        <f>CA!U$19</f>
        <v>1.0216868091870785</v>
      </c>
      <c r="U4" s="5">
        <f>CA!V$19</f>
        <v>1.0212772411528459</v>
      </c>
      <c r="V4" s="5">
        <f>CA!W$19</f>
        <v>1.0208705154748685</v>
      </c>
      <c r="W4" s="5">
        <f>CA!X$19</f>
        <v>1.0204666278827674</v>
      </c>
      <c r="X4" s="5">
        <f>CA!Y$19</f>
        <v>1.0200655738134918</v>
      </c>
      <c r="Y4" s="5">
        <f>CA!Z$19</f>
        <v>1.0196673484162955</v>
      </c>
      <c r="Z4" s="5">
        <f>CA!AA$19</f>
        <v>1.0192719465577227</v>
      </c>
    </row>
    <row r="5" spans="2:34">
      <c r="B5" t="s">
        <v>1665</v>
      </c>
      <c r="C5" s="5"/>
      <c r="D5" s="5"/>
      <c r="E5" s="5"/>
      <c r="F5" s="5">
        <f>SA!G$16</f>
        <v>0.68374418604651166</v>
      </c>
      <c r="G5" s="5">
        <f>SA!H$16</f>
        <v>0.76702944208958657</v>
      </c>
      <c r="H5" s="5">
        <f>SA!I$16</f>
        <v>0.91799770540077352</v>
      </c>
      <c r="I5" s="5">
        <f>SA!J$16</f>
        <v>0.90082836817395873</v>
      </c>
      <c r="J5" s="5">
        <f>SA!K$16</f>
        <v>0.95777240544168429</v>
      </c>
      <c r="K5" s="5">
        <f>SA!L$16</f>
        <v>0.97281682102511058</v>
      </c>
      <c r="L5" s="5">
        <f>SA!M$16</f>
        <v>1.0166518917336465</v>
      </c>
      <c r="M5" s="5">
        <f>SA!N$16</f>
        <v>1.0026898529890582</v>
      </c>
      <c r="N5" s="5">
        <f>SA!O$16</f>
        <v>1.0452488816085532</v>
      </c>
      <c r="O5" s="5">
        <f>SA!P$16</f>
        <v>1.0331578472813598</v>
      </c>
      <c r="P5" s="5">
        <f>SA!Q$16</f>
        <v>1.0231578472813598</v>
      </c>
      <c r="Q5" s="5">
        <f>SA!R$16</f>
        <v>1.0131578472813598</v>
      </c>
      <c r="R5" s="5">
        <f>SA!S$16</f>
        <v>1.0031578472813598</v>
      </c>
      <c r="S5" s="5">
        <f>SA!T$16</f>
        <v>0.99315784728135981</v>
      </c>
      <c r="T5" s="5">
        <f>SA!U$16</f>
        <v>0.9831578472813598</v>
      </c>
      <c r="U5" s="5">
        <f>SA!V$16</f>
        <v>0.97315784728135979</v>
      </c>
      <c r="V5" s="5">
        <f>SA!W$16</f>
        <v>0.96315784728135978</v>
      </c>
      <c r="W5" s="5">
        <f>SA!X$16</f>
        <v>0.95315784728135977</v>
      </c>
      <c r="X5" s="5">
        <f>SA!Y$16</f>
        <v>0.94315784728135976</v>
      </c>
      <c r="Y5" s="5">
        <f>SA!Z$16</f>
        <v>0.93315784728135975</v>
      </c>
      <c r="Z5" s="5">
        <f>SA!AA$16</f>
        <v>0.92315784728135974</v>
      </c>
    </row>
    <row r="6" spans="2:34">
      <c r="B6" t="str">
        <f>B14</f>
        <v>SA ex Colombia</v>
      </c>
      <c r="C6" s="5">
        <f>SA!D$19</f>
        <v>0.137884798052819</v>
      </c>
      <c r="D6" s="5">
        <f>SA!E$19</f>
        <v>0.15782904227310948</v>
      </c>
      <c r="E6" s="5">
        <f>SA!F$19</f>
        <v>0.26172362084242468</v>
      </c>
      <c r="F6" s="5">
        <f>SA!G$19</f>
        <v>0.36025779072713454</v>
      </c>
      <c r="G6" s="5">
        <f>SA!H$19</f>
        <v>0.45294798943139453</v>
      </c>
      <c r="H6" s="5">
        <f>SA!I$19</f>
        <v>0.56232446296308602</v>
      </c>
      <c r="I6" s="5">
        <f>SA!J$19</f>
        <v>0.66101673210757173</v>
      </c>
      <c r="J6" s="5">
        <f>SA!K$19</f>
        <v>0.75186039258850013</v>
      </c>
      <c r="K6" s="5">
        <f>SA!L$19</f>
        <v>0.78485732253811658</v>
      </c>
      <c r="L6" s="5">
        <f>SA!M$19</f>
        <v>0.8228180489323389</v>
      </c>
      <c r="M6" s="5">
        <f>SA!N$19</f>
        <v>0.84156624101290345</v>
      </c>
      <c r="N6" s="5">
        <f>SA!O$19</f>
        <v>0.81818751071046736</v>
      </c>
      <c r="O6" s="5">
        <f>SA!P$19</f>
        <v>0.84030856052785963</v>
      </c>
      <c r="P6" s="5">
        <f>SA!Q$19</f>
        <v>0.84770353982920488</v>
      </c>
      <c r="Q6" s="5">
        <f>SA!R$19</f>
        <v>0.85144189392916936</v>
      </c>
      <c r="R6" s="5">
        <f>SA!S$19</f>
        <v>0.85273092360259861</v>
      </c>
      <c r="S6" s="5">
        <f>SA!T$19</f>
        <v>0.85402026847465518</v>
      </c>
      <c r="T6" s="5">
        <f>SA!U$19</f>
        <v>0.85530992550813711</v>
      </c>
      <c r="U6" s="5">
        <f>SA!V$19</f>
        <v>0.85559989165162476</v>
      </c>
      <c r="V6" s="5">
        <f>SA!W$19</f>
        <v>0.85589016383959515</v>
      </c>
      <c r="W6" s="5">
        <f>SA!X$19</f>
        <v>0.85618073899253844</v>
      </c>
      <c r="X6" s="5">
        <f>SA!Y$19</f>
        <v>0.85647161401707705</v>
      </c>
      <c r="Y6" s="5">
        <f>SA!Z$19</f>
        <v>0.85676278580608456</v>
      </c>
      <c r="Z6" s="5">
        <f>SA!AA$19</f>
        <v>0.85705425123880841</v>
      </c>
    </row>
    <row r="7" spans="2:34">
      <c r="B7" s="11" t="str">
        <f>B15</f>
        <v>Africa</v>
      </c>
      <c r="C7" s="17">
        <f>Africa!D$23</f>
        <v>3.8103304138282584E-2</v>
      </c>
      <c r="D7" s="17">
        <f>Africa!E$23</f>
        <v>6.6978404930719673E-2</v>
      </c>
      <c r="E7" s="17">
        <f>Africa!F$23</f>
        <v>5.4843728557705501E-2</v>
      </c>
      <c r="F7" s="17">
        <f>Africa!G$23</f>
        <v>0.10018915676943964</v>
      </c>
      <c r="G7" s="17">
        <f>Africa!H$23</f>
        <v>0.15503918116131082</v>
      </c>
      <c r="H7" s="17">
        <f ca="1">Africa!I$23</f>
        <v>0.19953508295321473</v>
      </c>
      <c r="I7" s="17">
        <f ca="1">Africa!J$23</f>
        <v>0.22118813824897773</v>
      </c>
      <c r="J7" s="17">
        <f ca="1">Africa!K$23</f>
        <v>0.38819742437144178</v>
      </c>
      <c r="K7" s="17">
        <f ca="1">Africa!L$23</f>
        <v>0.45477498098127656</v>
      </c>
      <c r="L7" s="17">
        <f ca="1">Africa!M$23</f>
        <v>0.50155779519778199</v>
      </c>
      <c r="M7" s="17">
        <f ca="1">Africa!N$23</f>
        <v>0.50225892821370111</v>
      </c>
      <c r="N7" s="17">
        <f ca="1">Africa!O$23</f>
        <v>0.586595417112179</v>
      </c>
      <c r="O7" s="17">
        <f ca="1">Africa!P$23</f>
        <v>0.63082216707915062</v>
      </c>
      <c r="P7" s="17">
        <f ca="1">Africa!Q$23</f>
        <v>0.70720748419551227</v>
      </c>
      <c r="Q7" s="17">
        <f ca="1">Africa!R$23</f>
        <v>0.74536816953393037</v>
      </c>
      <c r="R7" s="17">
        <f ca="1">Africa!S$23</f>
        <v>0.7834437802572719</v>
      </c>
      <c r="S7" s="17">
        <f ca="1">Africa!T$23</f>
        <v>0.82143426299674716</v>
      </c>
      <c r="T7" s="17">
        <f ca="1">Africa!U$23</f>
        <v>0.85933956553806434</v>
      </c>
      <c r="U7" s="17">
        <f ca="1">Africa!V$23</f>
        <v>0.89715963682802591</v>
      </c>
      <c r="V7" s="17">
        <f ca="1">Africa!W$23</f>
        <v>0.93489442698107561</v>
      </c>
      <c r="W7" s="17">
        <f ca="1">Africa!X$23</f>
        <v>0.97254388728579488</v>
      </c>
      <c r="X7" s="17">
        <f ca="1">Africa!Y$23</f>
        <v>1.0101079702113482</v>
      </c>
      <c r="Y7" s="17">
        <f ca="1">Africa!Z$23</f>
        <v>1.0475866294138794</v>
      </c>
      <c r="Z7" s="17">
        <f ca="1">Africa!AA$23</f>
        <v>1.0849798197428484</v>
      </c>
    </row>
    <row r="8" spans="2:34">
      <c r="B8" s="2" t="s">
        <v>1676</v>
      </c>
      <c r="C8" s="18">
        <f ca="1">(Asia!D34+CA!D37+SA!D37+Africa!D44)/(Asia!D10+CA!D10+SA!D10+Africa!D12)</f>
        <v>6.7206138936252185E-2</v>
      </c>
      <c r="D8" s="18">
        <f ca="1">(Asia!E34+CA!E37+SA!E37+Africa!E44)/(Asia!E10+CA!E10+SA!E10+Africa!E12)</f>
        <v>0.10183383303432803</v>
      </c>
      <c r="E8" s="18">
        <f>(Asia!F34+CA!F37+SA!F37+Africa!F44)/(Asia!F10+CA!F10+SA!F10+Africa!F12)</f>
        <v>0.10182587204521344</v>
      </c>
      <c r="F8" s="18">
        <f>(Asia!G34+CA!G37+SA!G37+Africa!G44)/(Asia!G10+CA!G10+SA!G10+Africa!G12)</f>
        <v>0.16034245757799759</v>
      </c>
      <c r="G8" s="18">
        <f>(Asia!H34+CA!H37+SA!H37+Africa!H44)/(Asia!H10+CA!H10+SA!H10+Africa!H12)</f>
        <v>0.24126760438772904</v>
      </c>
      <c r="H8" s="18">
        <f ca="1">(Asia!I34+CA!I37+SA!I37+Africa!I44)/(Asia!I10+CA!I10+SA!I10+Africa!I12)</f>
        <v>0.304178548095492</v>
      </c>
      <c r="I8" s="18">
        <f ca="1">(CA!J37+SA!J34+SA!J37+Africa!J44)/(CA!J10+SA!J7+SA!J10+Africa!J12)</f>
        <v>0.4306982138303117</v>
      </c>
      <c r="J8" s="18">
        <f ca="1">(CA!K37+SA!K34+SA!K37+Africa!K44)/(CA!K10+SA!K7+SA!K10+Africa!K12)</f>
        <v>0.6151942205660178</v>
      </c>
      <c r="K8" s="18">
        <f ca="1">(CA!L37+SA!L34+SA!L37+Africa!L44)/(CA!L10+SA!L7+SA!L10+Africa!L12)</f>
        <v>0.6626927505491822</v>
      </c>
      <c r="L8" s="18">
        <f ca="1">(CA!M37+SA!M34+SA!M37+Africa!M44)/(CA!M10+SA!M7+SA!M10+Africa!M12)</f>
        <v>0.70524825392304424</v>
      </c>
      <c r="M8" s="18">
        <f ca="1">(CA!N37+SA!N34+SA!N37+Africa!N44)/(CA!N10+SA!N7+SA!N10+Africa!N12)</f>
        <v>0.69399248344492759</v>
      </c>
      <c r="N8" s="18">
        <f ca="1">(CA!O37+SA!O34+SA!O37+Africa!O44)/(CA!O10+SA!O7+SA!O10+Africa!O12)</f>
        <v>0.74931889952165331</v>
      </c>
      <c r="O8" s="18">
        <f ca="1">(CA!P37+SA!P34+SA!P37+Africa!P44)/(CA!P10+SA!P7+SA!P10+Africa!P12)</f>
        <v>0.77551097561929172</v>
      </c>
      <c r="P8" s="18">
        <f ca="1">(CA!Q37+SA!Q34+SA!Q37+Africa!Q44)/(CA!Q10+SA!Q7+SA!Q10+Africa!Q12)</f>
        <v>0.82022832701135828</v>
      </c>
      <c r="Q8" s="18">
        <f ca="1">(CA!R37+SA!R34+SA!R37+Africa!R44)/(CA!R10+SA!R7+SA!R10+Africa!R12)</f>
        <v>0.84236754144975778</v>
      </c>
      <c r="R8" s="18">
        <f ca="1">(CA!S37+SA!S34+SA!S37+Africa!S44)/(CA!S10+SA!S7+SA!S10+Africa!S12)</f>
        <v>0.86385290051258967</v>
      </c>
      <c r="S8" s="18">
        <f ca="1">(CA!T37+SA!T34+SA!T37+Africa!T44)/(CA!T10+SA!T7+SA!T10+Africa!T12)</f>
        <v>0.88525623254387031</v>
      </c>
      <c r="T8" s="18">
        <f ca="1">(CA!U37+SA!U34+SA!U37+Africa!U44)/(CA!U10+SA!U7+SA!U10+Africa!U12)</f>
        <v>0.9065772999949091</v>
      </c>
      <c r="U8" s="18">
        <f ca="1">(CA!V37+SA!V34+SA!V37+Africa!V44)/(CA!V10+SA!V7+SA!V10+Africa!V12)</f>
        <v>0.9264662209393737</v>
      </c>
      <c r="V8" s="18">
        <f ca="1">(CA!W37+SA!W34+SA!W37+Africa!W44)/(CA!W10+SA!W7+SA!W10+Africa!W12)</f>
        <v>0.94627504777969562</v>
      </c>
      <c r="W8" s="18">
        <f ca="1">(CA!X37+SA!X34+SA!X37+Africa!X44)/(CA!X10+SA!X7+SA!X10+Africa!X12)</f>
        <v>0.96600359320732943</v>
      </c>
      <c r="X8" s="18">
        <f ca="1">(CA!Y37+SA!Y34+SA!Y37+Africa!Y44)/(CA!Y10+SA!Y7+SA!Y10+Africa!Y12)</f>
        <v>0.9856516756986351</v>
      </c>
      <c r="Y8" s="18">
        <f ca="1">(CA!Z37+SA!Z34+SA!Z37+Africa!Z44)/(CA!Z10+SA!Z7+SA!Z10+Africa!Z12)</f>
        <v>1.0052191194687803</v>
      </c>
      <c r="Z8" s="18">
        <f ca="1">(CA!AA37+SA!AA34+SA!AA37+Africa!AA44)/(CA!AA10+SA!AA7+SA!AA10+Africa!AA12)</f>
        <v>1.0247057544256879</v>
      </c>
    </row>
    <row r="10" spans="2:34">
      <c r="B10" s="2" t="s">
        <v>2019</v>
      </c>
      <c r="C10" s="8">
        <v>2003</v>
      </c>
      <c r="D10" s="8">
        <v>2004</v>
      </c>
      <c r="E10" s="8">
        <f t="shared" ref="E10:L10" si="4">D10+1</f>
        <v>2005</v>
      </c>
      <c r="F10" s="8">
        <f>E10+1</f>
        <v>2006</v>
      </c>
      <c r="G10" s="8">
        <f t="shared" si="4"/>
        <v>2007</v>
      </c>
      <c r="H10" s="8">
        <f t="shared" si="4"/>
        <v>2008</v>
      </c>
      <c r="I10" s="8">
        <f t="shared" si="4"/>
        <v>2009</v>
      </c>
      <c r="J10" s="8">
        <f t="shared" si="4"/>
        <v>2010</v>
      </c>
      <c r="K10" s="8">
        <f t="shared" si="4"/>
        <v>2011</v>
      </c>
      <c r="L10" s="8">
        <f t="shared" si="4"/>
        <v>2012</v>
      </c>
      <c r="M10" s="8">
        <f t="shared" ref="M10:Z10" si="5">L10+1</f>
        <v>2013</v>
      </c>
      <c r="N10" s="8">
        <f t="shared" si="5"/>
        <v>2014</v>
      </c>
      <c r="O10" s="8">
        <f t="shared" si="5"/>
        <v>2015</v>
      </c>
      <c r="P10" s="8">
        <f t="shared" si="5"/>
        <v>2016</v>
      </c>
      <c r="Q10" s="8">
        <f t="shared" si="5"/>
        <v>2017</v>
      </c>
      <c r="R10" s="8">
        <f t="shared" si="5"/>
        <v>2018</v>
      </c>
      <c r="S10" s="8">
        <f t="shared" si="5"/>
        <v>2019</v>
      </c>
      <c r="T10" s="8">
        <f t="shared" si="5"/>
        <v>2020</v>
      </c>
      <c r="U10" s="8">
        <f t="shared" si="5"/>
        <v>2021</v>
      </c>
      <c r="V10" s="8">
        <f t="shared" si="5"/>
        <v>2022</v>
      </c>
      <c r="W10" s="8">
        <f t="shared" si="5"/>
        <v>2023</v>
      </c>
      <c r="X10" s="8">
        <f t="shared" si="5"/>
        <v>2024</v>
      </c>
      <c r="Y10" s="8">
        <f t="shared" si="5"/>
        <v>2025</v>
      </c>
      <c r="Z10" s="8">
        <f t="shared" si="5"/>
        <v>2026</v>
      </c>
    </row>
    <row r="11" spans="2:34">
      <c r="B11" s="205" t="s">
        <v>1163</v>
      </c>
      <c r="C11" s="206"/>
      <c r="D11" s="206"/>
      <c r="E11" s="206"/>
      <c r="F11" s="27">
        <f>Asia!G42</f>
        <v>1162</v>
      </c>
      <c r="G11" s="27">
        <f>Asia!H42</f>
        <v>2966</v>
      </c>
      <c r="H11" s="27">
        <f>Asia!I42</f>
        <v>4353</v>
      </c>
      <c r="I11" s="27"/>
      <c r="J11" s="27"/>
      <c r="K11" s="27"/>
      <c r="L11" s="27"/>
      <c r="M11" s="27"/>
      <c r="N11" s="27"/>
      <c r="O11" s="27"/>
      <c r="P11" s="27"/>
      <c r="Q11" s="27"/>
      <c r="R11" s="27"/>
      <c r="S11" s="27"/>
      <c r="T11" s="27"/>
      <c r="U11" s="27"/>
      <c r="V11" s="27"/>
      <c r="W11" s="27"/>
      <c r="X11" s="27"/>
      <c r="Y11" s="27"/>
      <c r="Z11" s="27"/>
    </row>
    <row r="12" spans="2:34">
      <c r="B12" t="s">
        <v>1828</v>
      </c>
      <c r="C12" s="88">
        <f>CA!D46</f>
        <v>1412.5130000000001</v>
      </c>
      <c r="D12" s="88">
        <f>CA!E46</f>
        <v>1697.0360000000001</v>
      </c>
      <c r="E12" s="88">
        <f>CA!F46</f>
        <v>2737.1260000000002</v>
      </c>
      <c r="F12" s="88">
        <f>CA!G46</f>
        <v>5164</v>
      </c>
      <c r="G12" s="88">
        <f>CA!H46</f>
        <v>8825.4050000000007</v>
      </c>
      <c r="H12" s="88">
        <f>CA!I46</f>
        <v>11182</v>
      </c>
      <c r="I12" s="88">
        <f>CA!J46</f>
        <v>12901</v>
      </c>
      <c r="J12" s="88">
        <f>CA!K46</f>
        <v>13484.995999999999</v>
      </c>
      <c r="K12" s="88">
        <f>CA!L46</f>
        <v>14627</v>
      </c>
      <c r="L12" s="88">
        <f>CA!M46</f>
        <v>15597</v>
      </c>
      <c r="M12" s="88">
        <f>CA!N46</f>
        <v>15830</v>
      </c>
      <c r="N12" s="88">
        <f>CA!O46</f>
        <v>16005</v>
      </c>
      <c r="O12" s="88">
        <f>CA!P46</f>
        <v>16601.592000000001</v>
      </c>
      <c r="P12" s="88">
        <f>CA!Q46</f>
        <v>16827.92743041291</v>
      </c>
      <c r="Q12" s="88">
        <f>CA!R46</f>
        <v>17217.079991471932</v>
      </c>
      <c r="R12" s="88">
        <f>CA!S46</f>
        <v>17565.203545718745</v>
      </c>
      <c r="S12" s="88">
        <f>CA!T46</f>
        <v>17919.150770164069</v>
      </c>
      <c r="T12" s="88">
        <f>CA!U46</f>
        <v>18279.007345916249</v>
      </c>
      <c r="U12" s="88">
        <f>CA!V46</f>
        <v>18450.738911686531</v>
      </c>
      <c r="V12" s="88">
        <f>CA!W46</f>
        <v>18624.40117855397</v>
      </c>
      <c r="W12" s="88">
        <f>CA!X46</f>
        <v>18800.015872092557</v>
      </c>
      <c r="X12" s="88">
        <f>CA!Y46</f>
        <v>18977.604962563521</v>
      </c>
      <c r="Y12" s="88">
        <f>CA!Z46</f>
        <v>19157.190667673509</v>
      </c>
      <c r="Z12" s="88">
        <f>CA!AA46</f>
        <v>19338.795455363939</v>
      </c>
    </row>
    <row r="13" spans="2:34">
      <c r="B13" t="s">
        <v>1665</v>
      </c>
      <c r="C13" s="88"/>
      <c r="D13" s="88"/>
      <c r="E13" s="88"/>
      <c r="F13" s="88">
        <f>SA!G43</f>
        <v>2120</v>
      </c>
      <c r="G13" s="88">
        <f>SA!H43</f>
        <v>2770</v>
      </c>
      <c r="H13" s="88">
        <f>SA!I43</f>
        <v>3314</v>
      </c>
      <c r="I13" s="88">
        <f>SA!J43</f>
        <v>3744</v>
      </c>
      <c r="J13" s="88">
        <f>SA!K43</f>
        <v>4293.4229999999998</v>
      </c>
      <c r="K13" s="88">
        <f>SA!L43</f>
        <v>4854</v>
      </c>
      <c r="L13" s="88">
        <f>SA!M43</f>
        <v>5726</v>
      </c>
      <c r="M13" s="88">
        <f>SA!N43</f>
        <v>6753</v>
      </c>
      <c r="N13" s="88">
        <f>SA!O43</f>
        <v>8012</v>
      </c>
      <c r="O13" s="88">
        <f>SA!P43</f>
        <v>8926</v>
      </c>
      <c r="P13" s="88">
        <f>SA!Q43</f>
        <v>7764</v>
      </c>
      <c r="Q13" s="88">
        <f>SA!R43</f>
        <v>7954.332317144509</v>
      </c>
      <c r="R13" s="88">
        <f>SA!S43</f>
        <v>8251.8290072503369</v>
      </c>
      <c r="S13" s="88">
        <f>SA!T43</f>
        <v>8551.2425977786388</v>
      </c>
      <c r="T13" s="88">
        <f>SA!U43</f>
        <v>8852.4853848541752</v>
      </c>
      <c r="U13" s="88">
        <f>SA!V43</f>
        <v>9155.4654280708637</v>
      </c>
      <c r="V13" s="88">
        <f>SA!W43</f>
        <v>9460.0864255175475</v>
      </c>
      <c r="W13" s="88">
        <f>SA!X43</f>
        <v>9766.2475857435784</v>
      </c>
      <c r="X13" s="88">
        <f>SA!Y43</f>
        <v>10073.843496596572</v>
      </c>
      <c r="Y13" s="88">
        <f>SA!Z43</f>
        <v>10382.763990863274</v>
      </c>
      <c r="Z13" s="88">
        <f>SA!AA43</f>
        <v>10692.894008643076</v>
      </c>
    </row>
    <row r="14" spans="2:34">
      <c r="B14" s="4" t="s">
        <v>871</v>
      </c>
      <c r="C14" s="88">
        <f>SA!D46</f>
        <v>939.37599999999998</v>
      </c>
      <c r="D14" s="88">
        <f>SA!E46</f>
        <v>937.39699999999993</v>
      </c>
      <c r="E14" s="88">
        <f>SA!F46</f>
        <v>1337.739</v>
      </c>
      <c r="F14" s="88">
        <f>SA!G46</f>
        <v>2209.6890000000003</v>
      </c>
      <c r="G14" s="88">
        <f>SA!H46</f>
        <v>3123</v>
      </c>
      <c r="H14" s="88">
        <f>SA!I46</f>
        <v>4147</v>
      </c>
      <c r="I14" s="88">
        <f>SA!J46</f>
        <v>5071</v>
      </c>
      <c r="J14" s="88">
        <f>SA!K46</f>
        <v>5845.8289999999997</v>
      </c>
      <c r="K14" s="88">
        <f>SA!L46</f>
        <v>6301</v>
      </c>
      <c r="L14" s="88">
        <f>SA!M46</f>
        <v>6990</v>
      </c>
      <c r="M14" s="88">
        <f>SA!N46</f>
        <v>7076</v>
      </c>
      <c r="N14" s="88">
        <f>SA!O46</f>
        <v>7117</v>
      </c>
      <c r="O14" s="88">
        <f>SA!P46</f>
        <v>7057.0209999999997</v>
      </c>
      <c r="P14" s="88">
        <f>SA!Q46</f>
        <v>6962.4302662498249</v>
      </c>
      <c r="Q14" s="88">
        <f>SA!R46</f>
        <v>6909.8229484596704</v>
      </c>
      <c r="R14" s="88">
        <f>SA!S46</f>
        <v>6986.3364797438844</v>
      </c>
      <c r="S14" s="88">
        <f>SA!T46</f>
        <v>7063.7254140561745</v>
      </c>
      <c r="T14" s="88">
        <f>SA!U46</f>
        <v>7142.0000980975583</v>
      </c>
      <c r="U14" s="88">
        <f>SA!V46</f>
        <v>7212.9152664191097</v>
      </c>
      <c r="V14" s="88">
        <f>SA!W46</f>
        <v>7284.5789816392189</v>
      </c>
      <c r="W14" s="88">
        <f>SA!X46</f>
        <v>7356.9995422690226</v>
      </c>
      <c r="X14" s="88">
        <f>SA!Y46</f>
        <v>7430.1853421603009</v>
      </c>
      <c r="Y14" s="88">
        <f>SA!Z46</f>
        <v>7504.1448716276109</v>
      </c>
      <c r="Z14" s="88">
        <f>SA!AA46</f>
        <v>7578.8867185838317</v>
      </c>
    </row>
    <row r="15" spans="2:34">
      <c r="B15" s="12" t="s">
        <v>1831</v>
      </c>
      <c r="C15" s="89">
        <f>Africa!D55</f>
        <v>629.80500000000006</v>
      </c>
      <c r="D15" s="89">
        <f>Africa!E55</f>
        <v>1087.2060000000001</v>
      </c>
      <c r="E15" s="89">
        <f>Africa!F55</f>
        <v>1977.0279999999998</v>
      </c>
      <c r="F15" s="89">
        <f>Africa!G55</f>
        <v>3383.6249999999995</v>
      </c>
      <c r="G15" s="89">
        <f>Africa!H55</f>
        <v>5568.1480000000001</v>
      </c>
      <c r="H15" s="89">
        <f>Africa!I55</f>
        <v>9049</v>
      </c>
      <c r="I15" s="89">
        <f>Africa!J55</f>
        <v>12127</v>
      </c>
      <c r="J15" s="89">
        <f>Africa!K55</f>
        <v>14965.332</v>
      </c>
      <c r="K15" s="89">
        <f>Africa!L55</f>
        <v>17303</v>
      </c>
      <c r="L15" s="89">
        <f>Africa!M55</f>
        <v>18916</v>
      </c>
      <c r="M15" s="89">
        <f>Africa!N55</f>
        <v>20419</v>
      </c>
      <c r="N15" s="89">
        <f>Africa!O55</f>
        <v>25350</v>
      </c>
      <c r="O15" s="89">
        <f>Africa!P55</f>
        <v>30002.309000000001</v>
      </c>
      <c r="P15" s="89">
        <f ca="1">Africa!Q55</f>
        <v>31782.854877079644</v>
      </c>
      <c r="Q15" s="89">
        <f ca="1">Africa!R55</f>
        <v>34126.142933999021</v>
      </c>
      <c r="R15" s="89">
        <f ca="1">Africa!S55</f>
        <v>36513.453004982381</v>
      </c>
      <c r="S15" s="89">
        <f ca="1">Africa!T55</f>
        <v>38945.48048580622</v>
      </c>
      <c r="T15" s="89">
        <f ca="1">Africa!U55</f>
        <v>41422.931274680712</v>
      </c>
      <c r="U15" s="89">
        <f ca="1">Africa!V55</f>
        <v>43946.521929794792</v>
      </c>
      <c r="V15" s="89">
        <f ca="1">Africa!W55</f>
        <v>46516.979829239848</v>
      </c>
      <c r="W15" s="89">
        <f ca="1">Africa!X55</f>
        <v>49135.043333348403</v>
      </c>
      <c r="X15" s="89">
        <f ca="1">Africa!Y55</f>
        <v>51801.461949484466</v>
      </c>
      <c r="Y15" s="89">
        <f ca="1">Africa!Z55</f>
        <v>54516.996499323141</v>
      </c>
      <c r="Z15" s="89">
        <f ca="1">Africa!AA55</f>
        <v>57282.41928865722</v>
      </c>
    </row>
    <row r="16" spans="2:34">
      <c r="B16" s="2" t="s">
        <v>590</v>
      </c>
      <c r="C16" s="28">
        <f>SUM(C12:C15)</f>
        <v>2981.6940000000004</v>
      </c>
      <c r="D16" s="28">
        <f>SUM(D12:D15)</f>
        <v>3721.6390000000001</v>
      </c>
      <c r="E16" s="28">
        <f>SUM(E12:E15)</f>
        <v>6051.893</v>
      </c>
      <c r="F16" s="28">
        <f>SUM(F11:F15)</f>
        <v>14039.314</v>
      </c>
      <c r="G16" s="28">
        <f>SUM(G11:G15)</f>
        <v>23252.553</v>
      </c>
      <c r="H16" s="28">
        <f>SUM(H11:H15)</f>
        <v>32045</v>
      </c>
      <c r="I16" s="28">
        <f t="shared" ref="I16:R16" si="6">SUM(I12:I15)</f>
        <v>33843</v>
      </c>
      <c r="J16" s="28">
        <f t="shared" si="6"/>
        <v>38589.58</v>
      </c>
      <c r="K16" s="28">
        <f t="shared" si="6"/>
        <v>43085</v>
      </c>
      <c r="L16" s="28">
        <f t="shared" si="6"/>
        <v>47229</v>
      </c>
      <c r="M16" s="28">
        <f t="shared" si="6"/>
        <v>50078</v>
      </c>
      <c r="N16" s="28">
        <f t="shared" si="6"/>
        <v>56484</v>
      </c>
      <c r="O16" s="28">
        <f t="shared" si="6"/>
        <v>62586.922000000006</v>
      </c>
      <c r="P16" s="28">
        <f t="shared" ca="1" si="6"/>
        <v>63337.212573742378</v>
      </c>
      <c r="Q16" s="28">
        <f t="shared" ca="1" si="6"/>
        <v>66207.378191075128</v>
      </c>
      <c r="R16" s="28">
        <f t="shared" ca="1" si="6"/>
        <v>69316.822037695354</v>
      </c>
      <c r="S16" s="28">
        <f t="shared" ref="S16:Y16" ca="1" si="7">SUM(S12:S15)</f>
        <v>72479.599267805112</v>
      </c>
      <c r="T16" s="28">
        <f t="shared" ca="1" si="7"/>
        <v>75696.424103548692</v>
      </c>
      <c r="U16" s="28">
        <f t="shared" ca="1" si="7"/>
        <v>78765.641535971299</v>
      </c>
      <c r="V16" s="28">
        <f t="shared" ca="1" si="7"/>
        <v>81886.046414950586</v>
      </c>
      <c r="W16" s="28">
        <f t="shared" ca="1" si="7"/>
        <v>85058.306333453569</v>
      </c>
      <c r="X16" s="28">
        <f t="shared" ca="1" si="7"/>
        <v>88283.09575080486</v>
      </c>
      <c r="Y16" s="28">
        <f t="shared" ca="1" si="7"/>
        <v>91561.096029487526</v>
      </c>
      <c r="Z16" s="28">
        <f t="shared" ref="Z16" ca="1" si="8">SUM(Z12:Z15)</f>
        <v>94892.995471248068</v>
      </c>
      <c r="AA16" t="s">
        <v>1823</v>
      </c>
    </row>
    <row r="17" spans="1:35">
      <c r="D17" s="88"/>
      <c r="E17" s="16"/>
      <c r="F17" s="16"/>
      <c r="G17" s="197"/>
      <c r="H17" s="88"/>
      <c r="I17" s="88"/>
      <c r="J17" s="88"/>
      <c r="K17" s="88"/>
      <c r="L17" s="88"/>
      <c r="M17" s="88"/>
      <c r="N17" s="16"/>
      <c r="O17" s="16"/>
      <c r="P17" s="16"/>
      <c r="Q17" s="16"/>
      <c r="R17" s="16"/>
      <c r="S17" s="16"/>
      <c r="T17" s="16"/>
      <c r="U17" s="16"/>
      <c r="V17" s="16"/>
      <c r="W17" s="16"/>
      <c r="X17" s="16"/>
      <c r="Y17" s="16"/>
      <c r="Z17" s="16"/>
    </row>
    <row r="18" spans="1:35">
      <c r="B18" s="2" t="s">
        <v>584</v>
      </c>
      <c r="C18" s="8">
        <v>2003</v>
      </c>
      <c r="D18" s="8">
        <v>2004</v>
      </c>
      <c r="E18" s="8">
        <f t="shared" ref="E18:N18" si="9">D18+1</f>
        <v>2005</v>
      </c>
      <c r="F18" s="8">
        <f t="shared" si="9"/>
        <v>2006</v>
      </c>
      <c r="G18" s="8">
        <f t="shared" si="9"/>
        <v>2007</v>
      </c>
      <c r="H18" s="8">
        <f t="shared" si="9"/>
        <v>2008</v>
      </c>
      <c r="I18" s="8">
        <f t="shared" si="9"/>
        <v>2009</v>
      </c>
      <c r="J18" s="8">
        <f t="shared" si="9"/>
        <v>2010</v>
      </c>
      <c r="K18" s="8">
        <f t="shared" si="9"/>
        <v>2011</v>
      </c>
      <c r="L18" s="8">
        <f t="shared" si="9"/>
        <v>2012</v>
      </c>
      <c r="M18" s="8">
        <f t="shared" si="9"/>
        <v>2013</v>
      </c>
      <c r="N18" s="8">
        <f t="shared" si="9"/>
        <v>2014</v>
      </c>
      <c r="O18" s="8">
        <f t="shared" ref="O18:Z18" si="10">N18+1</f>
        <v>2015</v>
      </c>
      <c r="P18" s="8">
        <f t="shared" si="10"/>
        <v>2016</v>
      </c>
      <c r="Q18" s="8">
        <f t="shared" si="10"/>
        <v>2017</v>
      </c>
      <c r="R18" s="8">
        <f t="shared" si="10"/>
        <v>2018</v>
      </c>
      <c r="S18" s="8">
        <f t="shared" si="10"/>
        <v>2019</v>
      </c>
      <c r="T18" s="8">
        <f t="shared" si="10"/>
        <v>2020</v>
      </c>
      <c r="U18" s="8">
        <f t="shared" si="10"/>
        <v>2021</v>
      </c>
      <c r="V18" s="8">
        <f t="shared" si="10"/>
        <v>2022</v>
      </c>
      <c r="W18" s="8">
        <f t="shared" si="10"/>
        <v>2023</v>
      </c>
      <c r="X18" s="8">
        <f t="shared" si="10"/>
        <v>2024</v>
      </c>
      <c r="Y18" s="8">
        <f t="shared" si="10"/>
        <v>2025</v>
      </c>
      <c r="Z18" s="8">
        <f t="shared" si="10"/>
        <v>2026</v>
      </c>
    </row>
    <row r="19" spans="1:35">
      <c r="B19" s="4" t="s">
        <v>1163</v>
      </c>
      <c r="C19" s="206"/>
      <c r="D19" s="27"/>
      <c r="E19" s="27"/>
      <c r="F19" s="27"/>
      <c r="G19" s="27">
        <f>G11-F11</f>
        <v>1804</v>
      </c>
      <c r="H19" s="27">
        <f>H11-G11</f>
        <v>1387</v>
      </c>
      <c r="I19" s="27"/>
      <c r="J19" s="27"/>
      <c r="K19" s="27"/>
      <c r="L19" s="27"/>
      <c r="M19" s="27"/>
      <c r="N19" s="27"/>
      <c r="O19" s="27"/>
      <c r="P19" s="27"/>
      <c r="Q19" s="27"/>
      <c r="R19" s="27"/>
      <c r="S19" s="27"/>
      <c r="T19" s="27"/>
      <c r="U19" s="27"/>
      <c r="V19" s="27"/>
      <c r="W19" s="27"/>
      <c r="X19" s="27"/>
      <c r="Y19" s="27"/>
      <c r="Z19" s="27"/>
    </row>
    <row r="20" spans="1:35">
      <c r="B20" t="s">
        <v>1828</v>
      </c>
      <c r="C20" s="88"/>
      <c r="D20" s="88">
        <f t="shared" ref="D20:Z20" si="11">D12-C12</f>
        <v>284.52299999999991</v>
      </c>
      <c r="E20" s="88">
        <f t="shared" si="11"/>
        <v>1040.0900000000001</v>
      </c>
      <c r="F20" s="88">
        <f t="shared" si="11"/>
        <v>2426.8739999999998</v>
      </c>
      <c r="G20" s="88">
        <f t="shared" si="11"/>
        <v>3661.4050000000007</v>
      </c>
      <c r="H20" s="88">
        <f t="shared" si="11"/>
        <v>2356.5949999999993</v>
      </c>
      <c r="I20" s="88">
        <f t="shared" si="11"/>
        <v>1719</v>
      </c>
      <c r="J20" s="88">
        <f t="shared" si="11"/>
        <v>583.99599999999919</v>
      </c>
      <c r="K20" s="88">
        <f t="shared" si="11"/>
        <v>1142.0040000000008</v>
      </c>
      <c r="L20" s="88">
        <f t="shared" si="11"/>
        <v>970</v>
      </c>
      <c r="M20" s="88">
        <f t="shared" si="11"/>
        <v>233</v>
      </c>
      <c r="N20" s="88">
        <f t="shared" si="11"/>
        <v>175</v>
      </c>
      <c r="O20" s="88">
        <f t="shared" si="11"/>
        <v>596.59200000000055</v>
      </c>
      <c r="P20" s="88">
        <f t="shared" si="11"/>
        <v>226.33543041290977</v>
      </c>
      <c r="Q20" s="88">
        <f t="shared" si="11"/>
        <v>389.15256105902154</v>
      </c>
      <c r="R20" s="88">
        <f t="shared" si="11"/>
        <v>348.123554246813</v>
      </c>
      <c r="S20" s="88">
        <f t="shared" si="11"/>
        <v>353.94722444532454</v>
      </c>
      <c r="T20" s="88">
        <f t="shared" si="11"/>
        <v>359.8565757521792</v>
      </c>
      <c r="U20" s="88">
        <f t="shared" si="11"/>
        <v>171.73156577028203</v>
      </c>
      <c r="V20" s="88">
        <f t="shared" si="11"/>
        <v>173.66226686743903</v>
      </c>
      <c r="W20" s="88">
        <f t="shared" si="11"/>
        <v>175.61469353858774</v>
      </c>
      <c r="X20" s="88">
        <f t="shared" si="11"/>
        <v>177.58909047096313</v>
      </c>
      <c r="Y20" s="88">
        <f t="shared" si="11"/>
        <v>179.58570510998834</v>
      </c>
      <c r="Z20" s="88">
        <f t="shared" si="11"/>
        <v>181.60478769043038</v>
      </c>
    </row>
    <row r="21" spans="1:35">
      <c r="B21" t="s">
        <v>1665</v>
      </c>
      <c r="C21" s="88"/>
      <c r="D21" s="88"/>
      <c r="E21" s="88"/>
      <c r="F21" s="88">
        <f t="shared" ref="F21:Z21" si="12">F13-E13</f>
        <v>2120</v>
      </c>
      <c r="G21" s="88">
        <f t="shared" si="12"/>
        <v>650</v>
      </c>
      <c r="H21" s="88">
        <f t="shared" si="12"/>
        <v>544</v>
      </c>
      <c r="I21" s="88">
        <f t="shared" si="12"/>
        <v>430</v>
      </c>
      <c r="J21" s="88">
        <f t="shared" si="12"/>
        <v>549.42299999999977</v>
      </c>
      <c r="K21" s="88">
        <f t="shared" si="12"/>
        <v>560.57700000000023</v>
      </c>
      <c r="L21" s="88">
        <f t="shared" si="12"/>
        <v>872</v>
      </c>
      <c r="M21" s="88">
        <f t="shared" si="12"/>
        <v>1027</v>
      </c>
      <c r="N21" s="88">
        <f t="shared" si="12"/>
        <v>1259</v>
      </c>
      <c r="O21" s="88">
        <f t="shared" si="12"/>
        <v>914</v>
      </c>
      <c r="P21" s="88">
        <f t="shared" si="12"/>
        <v>-1162</v>
      </c>
      <c r="Q21" s="88">
        <f t="shared" si="12"/>
        <v>190.33231714450903</v>
      </c>
      <c r="R21" s="88">
        <f t="shared" si="12"/>
        <v>297.49669010582784</v>
      </c>
      <c r="S21" s="88">
        <f t="shared" si="12"/>
        <v>299.41359052830194</v>
      </c>
      <c r="T21" s="88">
        <f t="shared" si="12"/>
        <v>301.2427870755364</v>
      </c>
      <c r="U21" s="88">
        <f t="shared" si="12"/>
        <v>302.9800432166885</v>
      </c>
      <c r="V21" s="88">
        <f t="shared" si="12"/>
        <v>304.62099744668376</v>
      </c>
      <c r="W21" s="88">
        <f t="shared" si="12"/>
        <v>306.16116022603092</v>
      </c>
      <c r="X21" s="88">
        <f t="shared" si="12"/>
        <v>307.59591085299326</v>
      </c>
      <c r="Y21" s="88">
        <f t="shared" si="12"/>
        <v>308.92049426670201</v>
      </c>
      <c r="Z21" s="88">
        <f t="shared" si="12"/>
        <v>310.13001777980207</v>
      </c>
    </row>
    <row r="22" spans="1:35">
      <c r="B22" s="4" t="s">
        <v>871</v>
      </c>
      <c r="C22" s="88"/>
      <c r="D22" s="88">
        <f t="shared" ref="D22:E24" si="13">D14-C14</f>
        <v>-1.9790000000000418</v>
      </c>
      <c r="E22" s="88">
        <f t="shared" si="13"/>
        <v>400.3420000000001</v>
      </c>
      <c r="F22" s="88">
        <f t="shared" ref="F22:Z22" si="14">F14-E14</f>
        <v>871.95000000000027</v>
      </c>
      <c r="G22" s="88">
        <f t="shared" si="14"/>
        <v>913.31099999999969</v>
      </c>
      <c r="H22" s="88">
        <f t="shared" si="14"/>
        <v>1024</v>
      </c>
      <c r="I22" s="88">
        <f t="shared" si="14"/>
        <v>924</v>
      </c>
      <c r="J22" s="88">
        <f t="shared" si="14"/>
        <v>774.82899999999972</v>
      </c>
      <c r="K22" s="88">
        <f t="shared" si="14"/>
        <v>455.17100000000028</v>
      </c>
      <c r="L22" s="88">
        <f t="shared" si="14"/>
        <v>689</v>
      </c>
      <c r="M22" s="88">
        <f t="shared" si="14"/>
        <v>86</v>
      </c>
      <c r="N22" s="88">
        <f t="shared" si="14"/>
        <v>41</v>
      </c>
      <c r="O22" s="88">
        <f t="shared" si="14"/>
        <v>-59.979000000000269</v>
      </c>
      <c r="P22" s="88">
        <f t="shared" si="14"/>
        <v>-94.590733750174877</v>
      </c>
      <c r="Q22" s="88">
        <f t="shared" si="14"/>
        <v>-52.607317790154411</v>
      </c>
      <c r="R22" s="88">
        <f t="shared" si="14"/>
        <v>76.513531284213968</v>
      </c>
      <c r="S22" s="88">
        <f t="shared" si="14"/>
        <v>77.388934312290075</v>
      </c>
      <c r="T22" s="88">
        <f t="shared" si="14"/>
        <v>78.274684041383807</v>
      </c>
      <c r="U22" s="88">
        <f t="shared" si="14"/>
        <v>70.915168321551391</v>
      </c>
      <c r="V22" s="88">
        <f t="shared" si="14"/>
        <v>71.663715220109225</v>
      </c>
      <c r="W22" s="88">
        <f t="shared" si="14"/>
        <v>72.420560629803731</v>
      </c>
      <c r="X22" s="88">
        <f t="shared" si="14"/>
        <v>73.185799891278293</v>
      </c>
      <c r="Y22" s="88">
        <f t="shared" si="14"/>
        <v>73.959529467309949</v>
      </c>
      <c r="Z22" s="88">
        <f t="shared" si="14"/>
        <v>74.741846956220797</v>
      </c>
    </row>
    <row r="23" spans="1:35">
      <c r="B23" s="12" t="s">
        <v>1831</v>
      </c>
      <c r="C23" s="89"/>
      <c r="D23" s="89">
        <f t="shared" si="13"/>
        <v>457.40100000000007</v>
      </c>
      <c r="E23" s="89">
        <f t="shared" si="13"/>
        <v>889.82199999999966</v>
      </c>
      <c r="F23" s="89">
        <f t="shared" ref="F23:Z23" si="15">F15-E15</f>
        <v>1406.5969999999998</v>
      </c>
      <c r="G23" s="89">
        <f t="shared" si="15"/>
        <v>2184.5230000000006</v>
      </c>
      <c r="H23" s="89">
        <f t="shared" si="15"/>
        <v>3480.8519999999999</v>
      </c>
      <c r="I23" s="89">
        <f t="shared" si="15"/>
        <v>3078</v>
      </c>
      <c r="J23" s="89">
        <f t="shared" si="15"/>
        <v>2838.3320000000003</v>
      </c>
      <c r="K23" s="89">
        <f t="shared" si="15"/>
        <v>2337.6679999999997</v>
      </c>
      <c r="L23" s="89">
        <f t="shared" si="15"/>
        <v>1613</v>
      </c>
      <c r="M23" s="89">
        <f t="shared" si="15"/>
        <v>1503</v>
      </c>
      <c r="N23" s="89">
        <f t="shared" si="15"/>
        <v>4931</v>
      </c>
      <c r="O23" s="89">
        <f t="shared" si="15"/>
        <v>4652.3090000000011</v>
      </c>
      <c r="P23" s="89">
        <f t="shared" ca="1" si="15"/>
        <v>1780.5458770796431</v>
      </c>
      <c r="Q23" s="89">
        <f t="shared" ca="1" si="15"/>
        <v>2343.2880569193767</v>
      </c>
      <c r="R23" s="89">
        <f t="shared" ca="1" si="15"/>
        <v>2387.3100709833598</v>
      </c>
      <c r="S23" s="89">
        <f t="shared" ca="1" si="15"/>
        <v>2432.0274808238391</v>
      </c>
      <c r="T23" s="89">
        <f t="shared" ca="1" si="15"/>
        <v>2477.450788874492</v>
      </c>
      <c r="U23" s="89">
        <f t="shared" ca="1" si="15"/>
        <v>2523.5906551140797</v>
      </c>
      <c r="V23" s="89">
        <f t="shared" ca="1" si="15"/>
        <v>2570.4578994450567</v>
      </c>
      <c r="W23" s="89">
        <f t="shared" ca="1" si="15"/>
        <v>2618.0635041085552</v>
      </c>
      <c r="X23" s="89">
        <f t="shared" ca="1" si="15"/>
        <v>2666.4186161360631</v>
      </c>
      <c r="Y23" s="89">
        <f t="shared" ca="1" si="15"/>
        <v>2715.5345498386741</v>
      </c>
      <c r="Z23" s="89">
        <f t="shared" ca="1" si="15"/>
        <v>2765.4227893340794</v>
      </c>
    </row>
    <row r="24" spans="1:35">
      <c r="B24" s="2" t="s">
        <v>2020</v>
      </c>
      <c r="C24" s="28"/>
      <c r="D24" s="28">
        <f t="shared" si="13"/>
        <v>739.94499999999971</v>
      </c>
      <c r="E24" s="28">
        <f t="shared" si="13"/>
        <v>2330.2539999999999</v>
      </c>
      <c r="F24" s="28">
        <f t="shared" ref="F24:Z24" si="16">F16-E16</f>
        <v>7987.4210000000003</v>
      </c>
      <c r="G24" s="28">
        <f t="shared" si="16"/>
        <v>9213.2389999999996</v>
      </c>
      <c r="H24" s="28">
        <f t="shared" si="16"/>
        <v>8792.4470000000001</v>
      </c>
      <c r="I24" s="28">
        <f>SUM(I20:I23)</f>
        <v>6151</v>
      </c>
      <c r="J24" s="28">
        <f>J16-I16</f>
        <v>4746.5800000000017</v>
      </c>
      <c r="K24" s="28">
        <f t="shared" si="16"/>
        <v>4495.4199999999983</v>
      </c>
      <c r="L24" s="28">
        <f t="shared" si="16"/>
        <v>4144</v>
      </c>
      <c r="M24" s="28">
        <f t="shared" si="16"/>
        <v>2849</v>
      </c>
      <c r="N24" s="28">
        <f t="shared" si="16"/>
        <v>6406</v>
      </c>
      <c r="O24" s="28">
        <f t="shared" si="16"/>
        <v>6102.9220000000059</v>
      </c>
      <c r="P24" s="28">
        <f t="shared" ca="1" si="16"/>
        <v>750.29057374237163</v>
      </c>
      <c r="Q24" s="28">
        <f t="shared" ca="1" si="16"/>
        <v>2870.1656173327501</v>
      </c>
      <c r="R24" s="28">
        <f t="shared" ca="1" si="16"/>
        <v>3109.4438466202264</v>
      </c>
      <c r="S24" s="28">
        <f t="shared" ca="1" si="16"/>
        <v>3162.7772301097575</v>
      </c>
      <c r="T24" s="28">
        <f t="shared" ca="1" si="16"/>
        <v>3216.8248357435805</v>
      </c>
      <c r="U24" s="28">
        <f t="shared" ca="1" si="16"/>
        <v>3069.2174324226071</v>
      </c>
      <c r="V24" s="28">
        <f t="shared" ca="1" si="16"/>
        <v>3120.4048789792869</v>
      </c>
      <c r="W24" s="28">
        <f t="shared" ca="1" si="16"/>
        <v>3172.2599185029831</v>
      </c>
      <c r="X24" s="28">
        <f t="shared" ca="1" si="16"/>
        <v>3224.7894173512905</v>
      </c>
      <c r="Y24" s="28">
        <f t="shared" ca="1" si="16"/>
        <v>3278.0002786826662</v>
      </c>
      <c r="Z24" s="28">
        <f t="shared" ca="1" si="16"/>
        <v>3331.8994417605427</v>
      </c>
    </row>
    <row r="25" spans="1:35">
      <c r="B25" s="4" t="s">
        <v>2021</v>
      </c>
      <c r="C25" s="28"/>
      <c r="D25" s="27">
        <f t="shared" ref="D25:R25" si="17">D24/4</f>
        <v>184.98624999999993</v>
      </c>
      <c r="E25" s="27">
        <f t="shared" si="17"/>
        <v>582.56349999999998</v>
      </c>
      <c r="F25" s="27">
        <f t="shared" si="17"/>
        <v>1996.8552500000001</v>
      </c>
      <c r="G25" s="27">
        <f t="shared" si="17"/>
        <v>2303.3097499999999</v>
      </c>
      <c r="H25" s="27">
        <f t="shared" si="17"/>
        <v>2198.11175</v>
      </c>
      <c r="I25" s="27">
        <f t="shared" si="17"/>
        <v>1537.75</v>
      </c>
      <c r="J25" s="27">
        <f t="shared" si="17"/>
        <v>1186.6450000000004</v>
      </c>
      <c r="K25" s="27">
        <f t="shared" si="17"/>
        <v>1123.8549999999996</v>
      </c>
      <c r="L25" s="27">
        <f t="shared" si="17"/>
        <v>1036</v>
      </c>
      <c r="M25" s="27">
        <f t="shared" si="17"/>
        <v>712.25</v>
      </c>
      <c r="N25" s="27">
        <f t="shared" si="17"/>
        <v>1601.5</v>
      </c>
      <c r="O25" s="27">
        <f t="shared" si="17"/>
        <v>1525.7305000000015</v>
      </c>
      <c r="P25" s="27">
        <f t="shared" ca="1" si="17"/>
        <v>187.57264343559291</v>
      </c>
      <c r="Q25" s="27">
        <f t="shared" ca="1" si="17"/>
        <v>717.54140433318753</v>
      </c>
      <c r="R25" s="27">
        <f t="shared" ca="1" si="17"/>
        <v>777.3609616550566</v>
      </c>
      <c r="S25" s="27">
        <f t="shared" ref="S25:Y25" ca="1" si="18">S24/4</f>
        <v>790.69430752743938</v>
      </c>
      <c r="T25" s="27">
        <f t="shared" ca="1" si="18"/>
        <v>804.20620893589512</v>
      </c>
      <c r="U25" s="27">
        <f t="shared" ca="1" si="18"/>
        <v>767.30435810565177</v>
      </c>
      <c r="V25" s="27">
        <f t="shared" ca="1" si="18"/>
        <v>780.10121974482172</v>
      </c>
      <c r="W25" s="27">
        <f t="shared" ca="1" si="18"/>
        <v>793.06497962574576</v>
      </c>
      <c r="X25" s="27">
        <f t="shared" ca="1" si="18"/>
        <v>806.19735433782262</v>
      </c>
      <c r="Y25" s="27">
        <f t="shared" ca="1" si="18"/>
        <v>819.50006967066656</v>
      </c>
      <c r="Z25" s="27">
        <f t="shared" ref="Z25" ca="1" si="19">Z24/4</f>
        <v>832.97486044013567</v>
      </c>
    </row>
    <row r="26" spans="1:35">
      <c r="B26" s="196"/>
      <c r="C26" s="28"/>
      <c r="D26" s="28"/>
      <c r="E26" s="28"/>
      <c r="F26" s="28"/>
      <c r="G26" s="36"/>
      <c r="H26" s="36"/>
      <c r="I26" s="316"/>
      <c r="J26" s="377"/>
      <c r="K26" s="377"/>
      <c r="L26" s="36"/>
      <c r="M26" s="36"/>
      <c r="N26" s="36"/>
      <c r="O26" s="36"/>
      <c r="P26" s="36"/>
      <c r="Q26" s="36"/>
      <c r="R26" s="36"/>
      <c r="S26" s="36"/>
      <c r="T26" s="36"/>
      <c r="U26" s="36"/>
      <c r="V26" s="36"/>
      <c r="W26" s="36"/>
      <c r="X26" s="36"/>
      <c r="Y26" s="36"/>
      <c r="Z26" s="36"/>
    </row>
    <row r="27" spans="1:35">
      <c r="B27" s="2" t="s">
        <v>1539</v>
      </c>
      <c r="C27" s="8">
        <v>2003</v>
      </c>
      <c r="D27" s="8">
        <v>2004</v>
      </c>
      <c r="E27" s="8">
        <f t="shared" ref="E27:N27" si="20">D27+1</f>
        <v>2005</v>
      </c>
      <c r="F27" s="8">
        <f t="shared" si="20"/>
        <v>2006</v>
      </c>
      <c r="G27" s="8">
        <f t="shared" si="20"/>
        <v>2007</v>
      </c>
      <c r="H27" s="8">
        <f t="shared" si="20"/>
        <v>2008</v>
      </c>
      <c r="I27" s="8">
        <f t="shared" si="20"/>
        <v>2009</v>
      </c>
      <c r="J27" s="8">
        <f>I27+1</f>
        <v>2010</v>
      </c>
      <c r="K27" s="8">
        <f t="shared" si="20"/>
        <v>2011</v>
      </c>
      <c r="L27" s="8">
        <f t="shared" si="20"/>
        <v>2012</v>
      </c>
      <c r="M27" s="8">
        <f t="shared" si="20"/>
        <v>2013</v>
      </c>
      <c r="N27" s="8">
        <f t="shared" si="20"/>
        <v>2014</v>
      </c>
      <c r="O27" s="8">
        <f t="shared" ref="O27:Z27" si="21">N27+1</f>
        <v>2015</v>
      </c>
      <c r="P27" s="8">
        <f t="shared" si="21"/>
        <v>2016</v>
      </c>
      <c r="Q27" s="8">
        <f t="shared" si="21"/>
        <v>2017</v>
      </c>
      <c r="R27" s="8">
        <f t="shared" si="21"/>
        <v>2018</v>
      </c>
      <c r="S27" s="8">
        <f t="shared" si="21"/>
        <v>2019</v>
      </c>
      <c r="T27" s="8">
        <f t="shared" si="21"/>
        <v>2020</v>
      </c>
      <c r="U27" s="8">
        <f t="shared" si="21"/>
        <v>2021</v>
      </c>
      <c r="V27" s="8">
        <f t="shared" si="21"/>
        <v>2022</v>
      </c>
      <c r="W27" s="8">
        <f t="shared" si="21"/>
        <v>2023</v>
      </c>
      <c r="X27" s="8">
        <f t="shared" si="21"/>
        <v>2024</v>
      </c>
      <c r="Y27" s="8">
        <f t="shared" si="21"/>
        <v>2025</v>
      </c>
      <c r="Z27" s="8">
        <f t="shared" si="21"/>
        <v>2026</v>
      </c>
      <c r="AA27" s="450"/>
      <c r="AD27" s="8"/>
      <c r="AE27" s="2"/>
      <c r="AF27" s="2"/>
      <c r="AG27" s="2"/>
      <c r="AH27" s="2"/>
      <c r="AI27" s="2"/>
    </row>
    <row r="28" spans="1:35">
      <c r="A28" s="16">
        <f>I28/$I$37</f>
        <v>0</v>
      </c>
      <c r="B28" s="4" t="s">
        <v>1163</v>
      </c>
      <c r="C28" s="46">
        <v>280.75599999999997</v>
      </c>
      <c r="D28" s="46">
        <v>345.05099999999999</v>
      </c>
      <c r="E28" s="46">
        <v>282.24099999999999</v>
      </c>
      <c r="F28" s="46">
        <v>199.215</v>
      </c>
      <c r="G28" s="31">
        <f>Asia!H53</f>
        <v>194.75800000000001</v>
      </c>
      <c r="H28" s="31">
        <f>Asia!I53</f>
        <v>261.14600000000002</v>
      </c>
      <c r="I28" s="27"/>
      <c r="J28" s="27"/>
      <c r="K28" s="27"/>
      <c r="L28" s="27"/>
      <c r="M28" s="27"/>
      <c r="N28" s="27"/>
      <c r="O28" s="27"/>
      <c r="P28" s="27"/>
      <c r="Q28" s="27"/>
      <c r="R28" s="27"/>
      <c r="S28" s="27"/>
      <c r="T28" s="27"/>
      <c r="U28" s="27"/>
      <c r="V28" s="27"/>
      <c r="W28" s="27"/>
      <c r="X28" s="27"/>
      <c r="Y28" s="27"/>
      <c r="Z28" s="27"/>
      <c r="AD28" s="16"/>
      <c r="AE28" s="16"/>
      <c r="AF28" s="16"/>
      <c r="AG28" s="16"/>
      <c r="AH28" s="16"/>
      <c r="AI28" s="16"/>
    </row>
    <row r="29" spans="1:35">
      <c r="A29" s="16">
        <f t="shared" ref="A29:A35" si="22">M29/$M$37</f>
        <v>0.43315602438373335</v>
      </c>
      <c r="B29" s="478" t="s">
        <v>1828</v>
      </c>
      <c r="C29" s="88">
        <f>CA!D61</f>
        <v>165.39499999999998</v>
      </c>
      <c r="D29" s="88">
        <f>CA!E61</f>
        <v>305.024</v>
      </c>
      <c r="E29" s="88">
        <f>CA!F61</f>
        <v>452.6</v>
      </c>
      <c r="F29" s="88">
        <f>CA!G61</f>
        <v>796.11099999999999</v>
      </c>
      <c r="G29" s="88">
        <f>CA!H61</f>
        <v>1149.354</v>
      </c>
      <c r="H29" s="88">
        <f>CA!I61</f>
        <v>1376.9389999999999</v>
      </c>
      <c r="I29" s="88">
        <f>CA!J61</f>
        <v>1520.2899976500235</v>
      </c>
      <c r="J29" s="88">
        <f>CA!K61</f>
        <v>1519.1082384138324</v>
      </c>
      <c r="K29" s="88">
        <f>CA!L100</f>
        <v>1842.1333753715019</v>
      </c>
      <c r="L29" s="88">
        <f>CA!M100</f>
        <v>2384.0375241523561</v>
      </c>
      <c r="M29" s="88">
        <f>CA!N100</f>
        <v>2405.4035208227074</v>
      </c>
      <c r="N29" s="88">
        <f>CA!O100</f>
        <v>2460.9410829557714</v>
      </c>
      <c r="O29" s="88">
        <f>CA!P100</f>
        <v>2555.8702045237287</v>
      </c>
      <c r="P29" s="88">
        <f>CA!Q100</f>
        <v>2438.9811325442656</v>
      </c>
      <c r="Q29" s="88">
        <f>CA!R100</f>
        <v>2374.2903923406811</v>
      </c>
      <c r="R29" s="88">
        <f>CA!S100</f>
        <v>2409.556219899162</v>
      </c>
      <c r="S29" s="88">
        <f>CA!T100</f>
        <v>2529.8508773437825</v>
      </c>
      <c r="T29" s="88">
        <f>CA!U100</f>
        <v>2661.1381711380095</v>
      </c>
      <c r="U29" s="88">
        <f>CA!V100</f>
        <v>2751.7195971228648</v>
      </c>
      <c r="V29" s="88">
        <f>CA!W100</f>
        <v>2825.9060380320816</v>
      </c>
      <c r="W29" s="88">
        <f>CA!X100</f>
        <v>2883.1475430263472</v>
      </c>
      <c r="X29" s="88">
        <f>CA!Y100</f>
        <v>2929.2861077987186</v>
      </c>
      <c r="Y29" s="88">
        <f>CA!Z100</f>
        <v>2979.5981070672078</v>
      </c>
      <c r="Z29" s="88">
        <f>CA!AA100</f>
        <v>1874.4100934152007</v>
      </c>
      <c r="AA29" s="16"/>
      <c r="AD29" s="16"/>
      <c r="AE29" s="9"/>
      <c r="AF29" s="16"/>
      <c r="AG29" s="16"/>
      <c r="AH29" s="16"/>
      <c r="AI29" s="16"/>
    </row>
    <row r="30" spans="1:35">
      <c r="A30" s="16">
        <f t="shared" si="22"/>
        <v>0.17449387763608171</v>
      </c>
      <c r="B30" s="4" t="s">
        <v>2962</v>
      </c>
      <c r="C30" s="88"/>
      <c r="D30" s="88"/>
      <c r="E30" s="88"/>
      <c r="F30" s="88">
        <f>Quarts!V222</f>
        <v>90.311599999999984</v>
      </c>
      <c r="G30" s="88">
        <f>Colombia!D44</f>
        <v>443.76913866666666</v>
      </c>
      <c r="H30" s="88">
        <f>Colombia!E44</f>
        <v>448</v>
      </c>
      <c r="I30" s="88">
        <f>Colombia!F44</f>
        <v>451.6779904584721</v>
      </c>
      <c r="J30" s="88">
        <f>Colombia!G44</f>
        <v>612</v>
      </c>
      <c r="K30" s="88">
        <f>Colombia!H44</f>
        <v>756</v>
      </c>
      <c r="L30" s="88">
        <f>Colombia!I44</f>
        <v>849</v>
      </c>
      <c r="M30" s="88">
        <f>Colombia!J44</f>
        <v>969</v>
      </c>
      <c r="N30" s="88">
        <f>Colombia!K44</f>
        <v>1167</v>
      </c>
      <c r="O30" s="88">
        <f>Colombia!L44</f>
        <v>940.78732724902216</v>
      </c>
      <c r="P30" s="88">
        <f>Colombia!M44</f>
        <v>731.8780304534921</v>
      </c>
      <c r="Q30" s="88">
        <f>Colombia!N44</f>
        <v>721.57136373866263</v>
      </c>
      <c r="R30" s="88">
        <f>Colombia!O44</f>
        <v>739.76814540809812</v>
      </c>
      <c r="S30" s="88">
        <f>Colombia!P44</f>
        <v>683.20183398146207</v>
      </c>
      <c r="T30" s="88">
        <f>Colombia!Q44</f>
        <v>589.02719718163667</v>
      </c>
      <c r="U30" s="88">
        <f>Colombia!R44</f>
        <v>630.59167909665712</v>
      </c>
      <c r="V30" s="88">
        <f>Colombia!S44</f>
        <v>650.89903499033744</v>
      </c>
      <c r="W30" s="88">
        <f>Colombia!T44</f>
        <v>663.30791770184544</v>
      </c>
      <c r="X30" s="88">
        <f>Colombia!U44</f>
        <v>675.60383655411215</v>
      </c>
      <c r="Y30" s="88">
        <f>Colombia!V44</f>
        <v>687.80554691672432</v>
      </c>
      <c r="Z30" s="88">
        <f>Colombia!W44</f>
        <v>699.9324480839125</v>
      </c>
      <c r="AA30" s="16"/>
      <c r="AD30" s="16"/>
      <c r="AE30" s="9"/>
      <c r="AF30" s="16"/>
      <c r="AG30" s="16"/>
      <c r="AH30" s="16"/>
      <c r="AI30" s="16"/>
    </row>
    <row r="31" spans="1:35">
      <c r="A31" s="16">
        <f t="shared" si="22"/>
        <v>0</v>
      </c>
      <c r="B31" s="4" t="s">
        <v>2964</v>
      </c>
      <c r="C31" s="88"/>
      <c r="D31" s="88"/>
      <c r="E31" s="88"/>
      <c r="F31" s="88"/>
      <c r="G31" s="88"/>
      <c r="H31" s="88"/>
      <c r="I31" s="88"/>
      <c r="J31" s="88"/>
      <c r="K31" s="88"/>
      <c r="L31" s="88"/>
      <c r="M31" s="88"/>
      <c r="N31" s="46">
        <v>498</v>
      </c>
      <c r="O31" s="88">
        <f>Colombia!L216</f>
        <v>1041.2126727509778</v>
      </c>
      <c r="P31" s="88">
        <f ca="1">Colombia!M216</f>
        <v>962.55774461146189</v>
      </c>
      <c r="Q31" s="88">
        <f ca="1">Colombia!N216</f>
        <v>1031.3764433331658</v>
      </c>
      <c r="R31" s="88">
        <f ca="1">Colombia!O216</f>
        <v>912.74322488129019</v>
      </c>
      <c r="S31" s="88">
        <f ca="1">Colombia!P216</f>
        <v>833.71311847011907</v>
      </c>
      <c r="T31" s="88">
        <f ca="1">Colombia!Q216</f>
        <v>725.0579792216829</v>
      </c>
      <c r="U31" s="88">
        <f ca="1">Colombia!R216</f>
        <v>762.50542484325547</v>
      </c>
      <c r="V31" s="88">
        <f ca="1">Colombia!S216</f>
        <v>791.68435007093319</v>
      </c>
      <c r="W31" s="88">
        <f ca="1">Colombia!T216</f>
        <v>801.55785531324818</v>
      </c>
      <c r="X31" s="88">
        <f ca="1">Colombia!U216</f>
        <v>812.22090230934282</v>
      </c>
      <c r="Y31" s="88">
        <f ca="1">Colombia!V216</f>
        <v>823.76129903037361</v>
      </c>
      <c r="Z31" s="88">
        <f ca="1">Colombia!W216</f>
        <v>836.26750251808062</v>
      </c>
      <c r="AA31" s="16"/>
      <c r="AD31" s="16"/>
      <c r="AE31" s="9"/>
      <c r="AF31" s="16"/>
      <c r="AG31" s="16"/>
      <c r="AH31" s="16"/>
      <c r="AI31" s="16"/>
    </row>
    <row r="32" spans="1:35">
      <c r="A32" s="16">
        <f t="shared" si="22"/>
        <v>0.2200904632741254</v>
      </c>
      <c r="B32" s="4" t="s">
        <v>871</v>
      </c>
      <c r="C32" s="88">
        <f>SA!D60</f>
        <v>99.342999999999989</v>
      </c>
      <c r="D32" s="88">
        <f>SA!E60</f>
        <v>114.005</v>
      </c>
      <c r="E32" s="88">
        <f>SA!F60</f>
        <v>141.19399999999999</v>
      </c>
      <c r="F32" s="88">
        <f>SA!G60</f>
        <v>230.48840000000001</v>
      </c>
      <c r="G32" s="88">
        <f>SA!H60</f>
        <v>366.09386133333339</v>
      </c>
      <c r="H32" s="88">
        <f>SA!I60</f>
        <v>557.82256955582875</v>
      </c>
      <c r="I32" s="88">
        <f>SA!J60</f>
        <v>624.097009541528</v>
      </c>
      <c r="J32" s="88">
        <f>SA!K60</f>
        <v>759.54241711414056</v>
      </c>
      <c r="K32" s="88">
        <f>SA!L83</f>
        <v>950.34741615680662</v>
      </c>
      <c r="L32" s="88">
        <f>SA!M83</f>
        <v>1077.6725471792633</v>
      </c>
      <c r="M32" s="88">
        <f>SA!N83</f>
        <v>1222.2071158130318</v>
      </c>
      <c r="N32" s="88">
        <f>SA!O83</f>
        <v>1260.6080669791227</v>
      </c>
      <c r="O32" s="88">
        <f>SA!P83</f>
        <v>1202.8745703409977</v>
      </c>
      <c r="P32" s="88">
        <f ca="1">SA!Q83</f>
        <v>1180.7241676661515</v>
      </c>
      <c r="Q32" s="88">
        <f ca="1">SA!R83</f>
        <v>1290.2165533712296</v>
      </c>
      <c r="R32" s="88">
        <f ca="1">SA!S83</f>
        <v>1401.9395687055342</v>
      </c>
      <c r="S32" s="88">
        <f ca="1">SA!T83</f>
        <v>1836.1928395382863</v>
      </c>
      <c r="T32" s="88">
        <f ca="1">SA!U83</f>
        <v>2139.001408066797</v>
      </c>
      <c r="U32" s="88">
        <f ca="1">SA!V83</f>
        <v>2264.5498575116608</v>
      </c>
      <c r="V32" s="88">
        <f ca="1">SA!W83</f>
        <v>2347.6073954384547</v>
      </c>
      <c r="W32" s="88">
        <f ca="1">SA!X83</f>
        <v>2388.9800964819151</v>
      </c>
      <c r="X32" s="88">
        <f ca="1">SA!Y83</f>
        <v>2386.7128192057444</v>
      </c>
      <c r="Y32" s="88">
        <f ca="1">SA!Z83</f>
        <v>2407.0354894269403</v>
      </c>
      <c r="Z32" s="88">
        <f ca="1">SA!AA83</f>
        <v>2454.7384614838666</v>
      </c>
      <c r="AA32" s="16"/>
      <c r="AD32" s="16"/>
      <c r="AE32" s="9"/>
      <c r="AF32" s="16"/>
      <c r="AG32" s="16"/>
      <c r="AH32" s="16"/>
      <c r="AI32" s="16"/>
    </row>
    <row r="33" spans="1:35">
      <c r="A33" s="16">
        <f t="shared" si="22"/>
        <v>0.17225963470605959</v>
      </c>
      <c r="B33" s="4" t="s">
        <v>1831</v>
      </c>
      <c r="C33" s="88">
        <f>Africa!D80</f>
        <v>84.858000000000004</v>
      </c>
      <c r="D33" s="88">
        <f>Africa!E80</f>
        <v>149.97899999999998</v>
      </c>
      <c r="E33" s="88">
        <f>Africa!F80</f>
        <v>204.39699999999999</v>
      </c>
      <c r="F33" s="88">
        <f>Africa!G80</f>
        <v>312.10500000000002</v>
      </c>
      <c r="G33" s="88">
        <f>Africa!H80</f>
        <v>476.87</v>
      </c>
      <c r="H33" s="88">
        <f>Africa!I80</f>
        <v>711</v>
      </c>
      <c r="I33" s="88">
        <f>Africa!J80</f>
        <v>781.5</v>
      </c>
      <c r="J33" s="88">
        <f>Africa!K80</f>
        <v>909.14187722222471</v>
      </c>
      <c r="K33" s="88">
        <f>Africa!L156</f>
        <v>977.3461517447397</v>
      </c>
      <c r="L33" s="88">
        <f>Africa!M156</f>
        <v>907.68625147765067</v>
      </c>
      <c r="M33" s="88">
        <f>Africa!N156</f>
        <v>956.59279449502162</v>
      </c>
      <c r="N33" s="88">
        <f>Africa!O156</f>
        <v>999.81890597417782</v>
      </c>
      <c r="O33" s="88">
        <f>Africa!P156</f>
        <v>988.13223529075731</v>
      </c>
      <c r="P33" s="88">
        <f ca="1">Africa!Q156</f>
        <v>885.92827027843157</v>
      </c>
      <c r="Q33" s="88">
        <f ca="1">Africa!R156</f>
        <v>937.90414999777897</v>
      </c>
      <c r="R33" s="88">
        <f ca="1">Africa!S156</f>
        <v>884.24385743272353</v>
      </c>
      <c r="S33" s="88">
        <f ca="1">Africa!T156</f>
        <v>955.76744796043886</v>
      </c>
      <c r="T33" s="88">
        <f ca="1">Africa!U156</f>
        <v>1033.794804730059</v>
      </c>
      <c r="U33" s="88">
        <f ca="1">Africa!V156</f>
        <v>1118.9520482071398</v>
      </c>
      <c r="V33" s="88">
        <f ca="1">Africa!W156</f>
        <v>1211.9272045143593</v>
      </c>
      <c r="W33" s="88">
        <f ca="1">Africa!X156</f>
        <v>1313.4764085431411</v>
      </c>
      <c r="X33" s="88">
        <f ca="1">Africa!Y156</f>
        <v>1424.4307334215152</v>
      </c>
      <c r="Y33" s="88">
        <f ca="1">Africa!Z156</f>
        <v>1545.7037099056811</v>
      </c>
      <c r="Z33" s="88">
        <f ca="1">Africa!AA156</f>
        <v>1678.2996057380892</v>
      </c>
      <c r="AA33" s="16"/>
      <c r="AD33" s="16"/>
      <c r="AE33" s="9"/>
      <c r="AF33" s="16"/>
      <c r="AG33" s="16"/>
      <c r="AH33" s="16"/>
      <c r="AI33" s="16"/>
    </row>
    <row r="34" spans="1:35">
      <c r="A34" s="16">
        <f t="shared" si="22"/>
        <v>0</v>
      </c>
      <c r="B34" s="4" t="s">
        <v>1195</v>
      </c>
      <c r="C34" s="9"/>
      <c r="D34" s="9"/>
      <c r="E34" s="9"/>
      <c r="F34" s="9"/>
      <c r="G34" s="9"/>
      <c r="H34" s="46">
        <v>43</v>
      </c>
      <c r="I34" s="9">
        <f>Cable!G12</f>
        <v>199</v>
      </c>
      <c r="J34" s="9">
        <f>Cable!H12</f>
        <v>225.45600000000002</v>
      </c>
      <c r="K34" s="9"/>
      <c r="L34" s="9"/>
      <c r="M34" s="9"/>
      <c r="N34" s="9"/>
      <c r="O34" s="9"/>
      <c r="P34" s="16"/>
      <c r="Q34" s="16"/>
      <c r="R34" s="9"/>
      <c r="S34" s="9"/>
      <c r="T34" s="9"/>
      <c r="U34" s="9"/>
      <c r="V34" s="9"/>
      <c r="W34" s="9"/>
      <c r="X34" s="9"/>
      <c r="Y34" s="9"/>
      <c r="Z34" s="9"/>
      <c r="AA34" s="16"/>
      <c r="AD34" s="9"/>
      <c r="AE34" s="9"/>
      <c r="AF34" s="16"/>
      <c r="AG34" s="16"/>
      <c r="AH34" s="16"/>
      <c r="AI34" s="16"/>
    </row>
    <row r="35" spans="1:35">
      <c r="A35" s="16">
        <f t="shared" si="22"/>
        <v>0</v>
      </c>
      <c r="B35" s="4" t="s">
        <v>2566</v>
      </c>
      <c r="C35" s="9"/>
      <c r="D35" s="9"/>
      <c r="E35" s="9"/>
      <c r="F35" s="9"/>
      <c r="G35" s="9"/>
      <c r="H35" s="9"/>
      <c r="I35" s="9"/>
      <c r="J35" s="9"/>
      <c r="K35" s="9"/>
      <c r="L35" s="9">
        <f>Quarts!AY241+Quarts!AZ241</f>
        <v>13</v>
      </c>
      <c r="M35" s="9"/>
      <c r="N35" s="9"/>
      <c r="O35" s="9"/>
      <c r="P35" s="9"/>
      <c r="Q35" s="9"/>
      <c r="R35" s="9"/>
      <c r="S35" s="9"/>
      <c r="T35" s="9"/>
      <c r="U35" s="9"/>
      <c r="V35" s="9"/>
      <c r="W35" s="9"/>
      <c r="X35" s="9"/>
      <c r="Y35" s="9"/>
      <c r="Z35" s="9"/>
      <c r="AA35" s="16"/>
      <c r="AD35" s="9"/>
      <c r="AE35" s="9"/>
      <c r="AF35" s="16"/>
      <c r="AG35" s="16"/>
      <c r="AH35" s="16"/>
      <c r="AI35" s="16"/>
    </row>
    <row r="36" spans="1:35">
      <c r="A36" s="16">
        <f>I36/$I$37</f>
        <v>0</v>
      </c>
      <c r="B36" s="12" t="s">
        <v>1540</v>
      </c>
      <c r="C36" s="13">
        <f>SUM(Quarts!G240:J240)</f>
        <v>10.736000000000001</v>
      </c>
      <c r="D36" s="13">
        <f>SUM(Quarts!K240:N241)</f>
        <v>7.3969999999999994</v>
      </c>
      <c r="E36" s="13">
        <f>SUM(Quarts!O240:R241)</f>
        <v>2.9009999999999998</v>
      </c>
      <c r="F36" s="13">
        <f>SUM(Quarts!S240:V241)</f>
        <v>1.919</v>
      </c>
      <c r="G36" s="87">
        <v>0</v>
      </c>
      <c r="H36" s="87">
        <f t="shared" ref="H36:N36" si="23">G36</f>
        <v>0</v>
      </c>
      <c r="I36" s="87">
        <f>H36</f>
        <v>0</v>
      </c>
      <c r="J36" s="87">
        <f>I36</f>
        <v>0</v>
      </c>
      <c r="K36" s="87">
        <f t="shared" si="23"/>
        <v>0</v>
      </c>
      <c r="L36" s="87">
        <f>K36</f>
        <v>0</v>
      </c>
      <c r="M36" s="87">
        <f t="shared" si="23"/>
        <v>0</v>
      </c>
      <c r="N36" s="87">
        <f t="shared" si="23"/>
        <v>0</v>
      </c>
      <c r="O36" s="87">
        <f t="shared" ref="O36:Z36" si="24">N36</f>
        <v>0</v>
      </c>
      <c r="P36" s="87">
        <f t="shared" si="24"/>
        <v>0</v>
      </c>
      <c r="Q36" s="87">
        <f>P36</f>
        <v>0</v>
      </c>
      <c r="R36" s="87">
        <f t="shared" si="24"/>
        <v>0</v>
      </c>
      <c r="S36" s="87">
        <f t="shared" si="24"/>
        <v>0</v>
      </c>
      <c r="T36" s="87">
        <f t="shared" si="24"/>
        <v>0</v>
      </c>
      <c r="U36" s="87">
        <f t="shared" si="24"/>
        <v>0</v>
      </c>
      <c r="V36" s="87">
        <f t="shared" si="24"/>
        <v>0</v>
      </c>
      <c r="W36" s="87">
        <f t="shared" si="24"/>
        <v>0</v>
      </c>
      <c r="X36" s="87">
        <f t="shared" si="24"/>
        <v>0</v>
      </c>
      <c r="Y36" s="87">
        <f t="shared" si="24"/>
        <v>0</v>
      </c>
      <c r="Z36" s="87">
        <f t="shared" si="24"/>
        <v>0</v>
      </c>
      <c r="AA36" s="16"/>
      <c r="AD36" s="9"/>
      <c r="AE36" s="9"/>
      <c r="AF36" s="16"/>
      <c r="AG36" s="16"/>
      <c r="AH36" s="16"/>
      <c r="AI36" s="16"/>
    </row>
    <row r="37" spans="1:35">
      <c r="B37" s="2" t="s">
        <v>1538</v>
      </c>
      <c r="C37" s="28">
        <f>C28+C29+C30+C32+C33+C36</f>
        <v>641.08799999999985</v>
      </c>
      <c r="D37" s="28">
        <f>D28+D29+D30+D32+D33+D36</f>
        <v>921.45600000000002</v>
      </c>
      <c r="E37" s="28">
        <f>E28+E29+E30+E32+E33+E36</f>
        <v>1083.3330000000001</v>
      </c>
      <c r="F37" s="28">
        <f>F28+F29+F30+F32+F33+F36</f>
        <v>1630.15</v>
      </c>
      <c r="G37" s="28">
        <f>G28+G29+G30+G32+G33+G36</f>
        <v>2630.8449999999998</v>
      </c>
      <c r="H37" s="28">
        <f>H29+H30+H32+H33+H34+H36</f>
        <v>3136.7615695558288</v>
      </c>
      <c r="I37" s="28">
        <f>I29+I30+I32+I33+I34+I36</f>
        <v>3576.5649976500235</v>
      </c>
      <c r="J37" s="28">
        <f>J29+J30+J32+J33+J34+J36</f>
        <v>4025.2485327501977</v>
      </c>
      <c r="K37" s="28">
        <f t="shared" ref="K37:R37" si="25">SUM(K29:K36)</f>
        <v>4525.8269432730476</v>
      </c>
      <c r="L37" s="28">
        <f t="shared" si="25"/>
        <v>5231.3963228092698</v>
      </c>
      <c r="M37" s="28">
        <f t="shared" si="25"/>
        <v>5553.2034311307607</v>
      </c>
      <c r="N37" s="28">
        <f t="shared" si="25"/>
        <v>6386.3680559090717</v>
      </c>
      <c r="O37" s="28">
        <f t="shared" si="25"/>
        <v>6728.8770101554837</v>
      </c>
      <c r="P37" s="28">
        <f t="shared" ca="1" si="25"/>
        <v>6200.0693455538021</v>
      </c>
      <c r="Q37" s="28">
        <f ca="1">SUM(Q29:Q36)</f>
        <v>6355.3589027815187</v>
      </c>
      <c r="R37" s="28">
        <f t="shared" ca="1" si="25"/>
        <v>6348.251016326808</v>
      </c>
      <c r="S37" s="28">
        <f t="shared" ref="S37:Y37" ca="1" si="26">SUM(S29:S36)</f>
        <v>6838.7261172940889</v>
      </c>
      <c r="T37" s="28">
        <f t="shared" ca="1" si="26"/>
        <v>7148.0195603381853</v>
      </c>
      <c r="U37" s="28">
        <f t="shared" ca="1" si="26"/>
        <v>7528.3186067815786</v>
      </c>
      <c r="V37" s="28">
        <f t="shared" ca="1" si="26"/>
        <v>7828.0240230461659</v>
      </c>
      <c r="W37" s="28">
        <f t="shared" ca="1" si="26"/>
        <v>8050.4698210664974</v>
      </c>
      <c r="X37" s="28">
        <f t="shared" ca="1" si="26"/>
        <v>8228.2543992894334</v>
      </c>
      <c r="Y37" s="28">
        <f t="shared" ca="1" si="26"/>
        <v>8443.9041523469277</v>
      </c>
      <c r="Z37" s="28">
        <f t="shared" ref="Z37" ca="1" si="27">SUM(Z29:Z36)</f>
        <v>7543.6481112391502</v>
      </c>
      <c r="AA37" s="28">
        <v>6402.9135954637586</v>
      </c>
      <c r="AB37" s="28">
        <v>6622</v>
      </c>
      <c r="AC37" s="28">
        <v>6874</v>
      </c>
      <c r="AD37" s="10"/>
      <c r="AE37" s="10"/>
      <c r="AF37" s="19"/>
      <c r="AG37" s="19"/>
      <c r="AH37" s="19"/>
      <c r="AI37" s="19"/>
    </row>
    <row r="38" spans="1:35">
      <c r="B38" s="4" t="s">
        <v>3468</v>
      </c>
      <c r="C38" s="10"/>
      <c r="D38" s="10"/>
      <c r="E38" s="10"/>
      <c r="F38" s="148">
        <f t="shared" ref="F38:L38" si="28">F37/E37-1</f>
        <v>0.50475430915517205</v>
      </c>
      <c r="G38" s="148">
        <f t="shared" si="28"/>
        <v>0.61386682207158838</v>
      </c>
      <c r="H38" s="148">
        <f t="shared" si="28"/>
        <v>0.19230192943933577</v>
      </c>
      <c r="I38" s="148">
        <f t="shared" si="28"/>
        <v>0.14020939059020399</v>
      </c>
      <c r="J38" s="148">
        <f t="shared" si="28"/>
        <v>0.12545096633081765</v>
      </c>
      <c r="K38" s="148">
        <f t="shared" si="28"/>
        <v>0.12435962809502255</v>
      </c>
      <c r="L38" s="148">
        <f t="shared" si="28"/>
        <v>0.15589844427987765</v>
      </c>
      <c r="M38" s="148">
        <f>(M37-CA!AJ59+CA!AJ60+CA!AJ61)/L37-1</f>
        <v>-1.4593215074462651E-2</v>
      </c>
      <c r="N38" s="148">
        <f>(N37-N31)/M37-1</f>
        <v>6.0355185783291798E-2</v>
      </c>
      <c r="O38" s="148">
        <f>(O37-O31)/(N37-N31)-1</f>
        <v>-3.4084778091131085E-2</v>
      </c>
      <c r="P38" s="148">
        <f t="shared" ref="P38:Z38" ca="1" si="29">P37/O37-1</f>
        <v>-7.8587803552299218E-2</v>
      </c>
      <c r="Q38" s="148">
        <f ca="1">Q37/P37-1</f>
        <v>2.5046422640268906E-2</v>
      </c>
      <c r="R38" s="148">
        <f t="shared" ca="1" si="29"/>
        <v>-1.1184083485198393E-3</v>
      </c>
      <c r="S38" s="148">
        <f t="shared" ca="1" si="29"/>
        <v>7.7261453541431768E-2</v>
      </c>
      <c r="T38" s="148">
        <f t="shared" ca="1" si="29"/>
        <v>4.5226762665921072E-2</v>
      </c>
      <c r="U38" s="148">
        <f t="shared" ca="1" si="29"/>
        <v>5.3203414348995004E-2</v>
      </c>
      <c r="V38" s="148">
        <f t="shared" ca="1" si="29"/>
        <v>3.9810405472824995E-2</v>
      </c>
      <c r="W38" s="148">
        <f t="shared" ca="1" si="29"/>
        <v>2.8416596240052217E-2</v>
      </c>
      <c r="X38" s="148">
        <f t="shared" ca="1" si="29"/>
        <v>2.208375190199563E-2</v>
      </c>
      <c r="Y38" s="148">
        <f t="shared" ca="1" si="29"/>
        <v>2.6208445022812832E-2</v>
      </c>
      <c r="Z38" s="148">
        <f t="shared" ca="1" si="29"/>
        <v>-0.10661608953218127</v>
      </c>
      <c r="AA38" s="5">
        <f ca="1">P37/AA37-1</f>
        <v>-3.1679991754638759E-2</v>
      </c>
      <c r="AB38" s="5">
        <f ca="1">Q37/AB37-1</f>
        <v>-4.026594642381176E-2</v>
      </c>
      <c r="AC38" s="5">
        <f ca="1">R37/AC37-1</f>
        <v>-7.6483704345823633E-2</v>
      </c>
      <c r="AD38" s="19"/>
      <c r="AE38" s="19"/>
      <c r="AF38" s="19"/>
      <c r="AG38" s="19"/>
      <c r="AH38" s="19"/>
      <c r="AI38" s="19"/>
    </row>
    <row r="39" spans="1:35">
      <c r="B39" s="4" t="s">
        <v>3351</v>
      </c>
      <c r="C39" s="10"/>
      <c r="D39" s="10"/>
      <c r="E39" s="10"/>
      <c r="F39" s="138"/>
      <c r="G39" s="138"/>
      <c r="H39" s="148"/>
      <c r="I39" s="148"/>
      <c r="J39" s="88"/>
      <c r="K39" s="88">
        <f>CA!L110+Colombia!H46+SA!L92+Africa!L82+Cable!I12+Cable!I25+Cable!I28</f>
        <v>5191.9920287683271</v>
      </c>
      <c r="L39" s="88">
        <f>CA!M110+Colombia!I46+SA!M92+Africa!M82+Cable!J12+Cable!J25+Cable!J28</f>
        <v>6156.8065078143845</v>
      </c>
      <c r="M39" s="88">
        <f>CA!N110+Colombia!J46+SA!N92+(Africa!N82+Africa!N154+Africa!N155)</f>
        <v>5697.5882897578176</v>
      </c>
      <c r="N39" s="88">
        <f>CA!O110+Colombia!K46+SA!O92+(Africa!O82+Africa!O154+Africa!O155)+N31</f>
        <v>6635.928554312527</v>
      </c>
      <c r="O39" s="88">
        <f ca="1">CA!P110+Colombia!L46+SA!P92+(Africa!P82+Africa!P154+Africa!P155)+O31</f>
        <v>7468.3489922042581</v>
      </c>
      <c r="P39" s="88">
        <f ca="1">CA!Q110+Colombia!M46+SA!Q92+(Africa!Q82)+P31</f>
        <v>6389.5743269003096</v>
      </c>
      <c r="Q39" s="88">
        <f ca="1">CA!R110+Colombia!N46+SA!R92+(Africa!R82)+Q31</f>
        <v>6323.005260852935</v>
      </c>
      <c r="R39" s="88">
        <f ca="1">CA!S110+Colombia!O46+SA!S92+(Africa!S82)+R31</f>
        <v>6323.0955242143737</v>
      </c>
      <c r="S39" s="88">
        <f ca="1">CA!T110+Colombia!P46+SA!T92+(Africa!T82)+S31</f>
        <v>7062.9306488305365</v>
      </c>
      <c r="T39" s="88">
        <f ca="1">CA!U110+Colombia!Q46+SA!U92+(Africa!U82)+T31</f>
        <v>7383.9428762947091</v>
      </c>
      <c r="U39" s="88">
        <f ca="1">CA!V110+Colombia!R46+SA!V92+(Africa!V82)+U31</f>
        <v>7635.8980501973037</v>
      </c>
      <c r="V39" s="88">
        <f ca="1">CA!W110+Colombia!S46+SA!W92+(Africa!W82)+V31</f>
        <v>8001.1166977731173</v>
      </c>
      <c r="W39" s="88">
        <f ca="1">CA!X110+Colombia!T46+SA!X92+(Africa!X82)+W31</f>
        <v>8190.243052946741</v>
      </c>
      <c r="X39" s="88">
        <f ca="1">CA!Y110+Colombia!U46+SA!Y92+(Africa!Y82)+X31</f>
        <v>8369.1843721974001</v>
      </c>
      <c r="Y39" s="88">
        <f ca="1">CA!Z110+Colombia!V46+SA!Z92+(Africa!Z82)+Y31</f>
        <v>8586.7731826468134</v>
      </c>
      <c r="Z39" s="88">
        <f ca="1">CA!AA110+Colombia!W46+SA!AA92+(Africa!AA82)+Z31</f>
        <v>7689.3953739650515</v>
      </c>
      <c r="AA39" s="16"/>
      <c r="AD39" s="19"/>
      <c r="AE39" s="19"/>
      <c r="AF39" s="19"/>
      <c r="AG39" s="19"/>
      <c r="AH39" s="19"/>
      <c r="AI39" s="19"/>
    </row>
    <row r="40" spans="1:35">
      <c r="B40" s="4" t="s">
        <v>3468</v>
      </c>
      <c r="C40" s="10"/>
      <c r="D40" s="10"/>
      <c r="E40" s="10"/>
      <c r="F40" s="138"/>
      <c r="G40" s="138"/>
      <c r="H40" s="148"/>
      <c r="I40" s="148"/>
      <c r="J40" s="88"/>
      <c r="K40" s="88"/>
      <c r="L40" s="88"/>
      <c r="M40" s="5">
        <f>(M39-CA!AJ59+CA!AJ60+CA!AJ61)/L37-1</f>
        <v>1.3006463810031121E-2</v>
      </c>
      <c r="N40" s="5">
        <f>(N39-N31)/M37-1</f>
        <v>0.10529510226545091</v>
      </c>
      <c r="O40" s="5">
        <f ca="1">(O39-O31)/(N37-N31)-1</f>
        <v>9.149704271687753E-2</v>
      </c>
      <c r="P40" s="5">
        <f ca="1">(P39)/(O37-Africa!P95)-1</f>
        <v>-2.8600553543726148E-2</v>
      </c>
      <c r="Q40" s="5">
        <f ca="1">(Q39)/(P37)-1</f>
        <v>1.9828151662092841E-2</v>
      </c>
      <c r="R40" s="5">
        <f t="shared" ref="R40:Z40" ca="1" si="30">(R39)/(Q37)-1</f>
        <v>-5.0765627969530103E-3</v>
      </c>
      <c r="S40" s="5">
        <f t="shared" ca="1" si="30"/>
        <v>0.11257898130771338</v>
      </c>
      <c r="T40" s="5">
        <f t="shared" ca="1" si="30"/>
        <v>7.9724900463823412E-2</v>
      </c>
      <c r="U40" s="5">
        <f t="shared" ca="1" si="30"/>
        <v>6.825365903671865E-2</v>
      </c>
      <c r="V40" s="5">
        <f t="shared" ca="1" si="30"/>
        <v>6.2802614459706474E-2</v>
      </c>
      <c r="W40" s="5">
        <f t="shared" ca="1" si="30"/>
        <v>4.6272089716917097E-2</v>
      </c>
      <c r="X40" s="5">
        <f t="shared" ca="1" si="30"/>
        <v>3.9589559145590369E-2</v>
      </c>
      <c r="Y40" s="5">
        <f t="shared" ca="1" si="30"/>
        <v>4.3571669756387266E-2</v>
      </c>
      <c r="Z40" s="5">
        <f t="shared" ca="1" si="30"/>
        <v>-8.935544089189662E-2</v>
      </c>
      <c r="AA40" s="16"/>
      <c r="AD40" s="19"/>
      <c r="AE40" s="19"/>
      <c r="AF40" s="19"/>
      <c r="AG40" s="19"/>
      <c r="AH40" s="19"/>
      <c r="AI40" s="19"/>
    </row>
    <row r="41" spans="1:35">
      <c r="B41" s="4" t="s">
        <v>3453</v>
      </c>
      <c r="C41" s="10"/>
      <c r="D41" s="10"/>
      <c r="E41" s="10"/>
      <c r="F41" s="138"/>
      <c r="G41" s="138"/>
      <c r="H41" s="148"/>
      <c r="I41" s="148"/>
      <c r="J41" s="88"/>
      <c r="K41" s="88"/>
      <c r="L41" s="88"/>
      <c r="M41" s="5">
        <f t="shared" ref="M41:R41" si="31">M40-M38</f>
        <v>2.7599678884493772E-2</v>
      </c>
      <c r="N41" s="5">
        <f t="shared" si="31"/>
        <v>4.4939916482159115E-2</v>
      </c>
      <c r="O41" s="5">
        <f t="shared" ca="1" si="31"/>
        <v>0.12558182080800862</v>
      </c>
      <c r="P41" s="5">
        <f t="shared" ca="1" si="31"/>
        <v>4.998725000857307E-2</v>
      </c>
      <c r="Q41" s="5">
        <f ca="1">Q40-Q38</f>
        <v>-5.218270978176065E-3</v>
      </c>
      <c r="R41" s="5">
        <f t="shared" ca="1" si="31"/>
        <v>-3.958154448433171E-3</v>
      </c>
      <c r="S41" s="5">
        <f t="shared" ref="S41:Y41" ca="1" si="32">S40-S38</f>
        <v>3.5317527766281609E-2</v>
      </c>
      <c r="T41" s="5">
        <f t="shared" ca="1" si="32"/>
        <v>3.449813779790234E-2</v>
      </c>
      <c r="U41" s="5">
        <f t="shared" ca="1" si="32"/>
        <v>1.5050244687723646E-2</v>
      </c>
      <c r="V41" s="5">
        <f t="shared" ca="1" si="32"/>
        <v>2.2992208986881479E-2</v>
      </c>
      <c r="W41" s="5">
        <f t="shared" ca="1" si="32"/>
        <v>1.7855493476864881E-2</v>
      </c>
      <c r="X41" s="5">
        <f t="shared" ca="1" si="32"/>
        <v>1.750580724359474E-2</v>
      </c>
      <c r="Y41" s="5">
        <f t="shared" ca="1" si="32"/>
        <v>1.7363224733574434E-2</v>
      </c>
      <c r="Z41" s="5">
        <f t="shared" ref="Z41" ca="1" si="33">Z40-Z38</f>
        <v>1.7260648640284648E-2</v>
      </c>
      <c r="AA41" s="16"/>
      <c r="AD41" s="19"/>
      <c r="AE41" s="19"/>
      <c r="AF41" s="19"/>
      <c r="AG41" s="19"/>
      <c r="AH41" s="19"/>
      <c r="AI41" s="19"/>
    </row>
    <row r="42" spans="1:35">
      <c r="B42" s="4"/>
      <c r="C42" s="10"/>
      <c r="D42" s="10"/>
      <c r="E42" s="10"/>
      <c r="F42" s="138"/>
      <c r="G42" s="138"/>
      <c r="H42" s="148"/>
      <c r="I42" s="148"/>
      <c r="J42" s="148"/>
      <c r="K42" s="148"/>
      <c r="L42" s="148"/>
      <c r="M42" s="148"/>
      <c r="N42" s="148"/>
      <c r="O42" s="148"/>
      <c r="P42" s="148"/>
      <c r="Q42" s="148"/>
      <c r="R42" s="148"/>
      <c r="S42" s="148"/>
      <c r="T42" s="148"/>
      <c r="U42" s="148"/>
      <c r="V42" s="148"/>
      <c r="W42" s="148"/>
      <c r="X42" s="148"/>
      <c r="Y42" s="148"/>
      <c r="Z42" s="148"/>
      <c r="AA42" s="16"/>
      <c r="AD42" s="19"/>
      <c r="AE42" s="19"/>
      <c r="AF42" s="19"/>
      <c r="AG42" s="19"/>
      <c r="AH42" s="19"/>
      <c r="AI42" s="19"/>
    </row>
    <row r="43" spans="1:35">
      <c r="B43" s="2" t="s">
        <v>1541</v>
      </c>
      <c r="C43" s="8">
        <f t="shared" ref="C43:L43" si="34">C112</f>
        <v>2003</v>
      </c>
      <c r="D43" s="8">
        <f t="shared" si="34"/>
        <v>2004</v>
      </c>
      <c r="E43" s="8">
        <f t="shared" si="34"/>
        <v>2005</v>
      </c>
      <c r="F43" s="8">
        <f>F112</f>
        <v>2006</v>
      </c>
      <c r="G43" s="8">
        <f t="shared" si="34"/>
        <v>2007</v>
      </c>
      <c r="H43" s="8">
        <f t="shared" si="34"/>
        <v>2008</v>
      </c>
      <c r="I43" s="8">
        <f>I112</f>
        <v>2009</v>
      </c>
      <c r="J43" s="8">
        <f>J112</f>
        <v>2010</v>
      </c>
      <c r="K43" s="8">
        <f>K112</f>
        <v>2011</v>
      </c>
      <c r="L43" s="8">
        <f t="shared" si="34"/>
        <v>2012</v>
      </c>
      <c r="M43" s="8">
        <f t="shared" ref="M43:R43" si="35">M112</f>
        <v>2013</v>
      </c>
      <c r="N43" s="8">
        <f t="shared" si="35"/>
        <v>2014</v>
      </c>
      <c r="O43" s="8">
        <f t="shared" si="35"/>
        <v>2015</v>
      </c>
      <c r="P43" s="8">
        <f t="shared" si="35"/>
        <v>2016</v>
      </c>
      <c r="Q43" s="8">
        <f t="shared" si="35"/>
        <v>2017</v>
      </c>
      <c r="R43" s="8">
        <f t="shared" si="35"/>
        <v>2018</v>
      </c>
      <c r="S43" s="8">
        <f t="shared" ref="S43:Y43" si="36">S112</f>
        <v>2019</v>
      </c>
      <c r="T43" s="8">
        <f t="shared" si="36"/>
        <v>2020</v>
      </c>
      <c r="U43" s="8">
        <f t="shared" si="36"/>
        <v>2021</v>
      </c>
      <c r="V43" s="8">
        <f t="shared" si="36"/>
        <v>2022</v>
      </c>
      <c r="W43" s="8">
        <f t="shared" si="36"/>
        <v>2023</v>
      </c>
      <c r="X43" s="8">
        <f t="shared" si="36"/>
        <v>2024</v>
      </c>
      <c r="Y43" s="8">
        <f t="shared" si="36"/>
        <v>2025</v>
      </c>
      <c r="Z43" s="8">
        <f t="shared" ref="Z43" si="37">Z112</f>
        <v>2026</v>
      </c>
      <c r="AA43" s="16"/>
      <c r="AD43" s="8"/>
      <c r="AE43" s="2"/>
      <c r="AF43" s="2"/>
      <c r="AG43" s="2"/>
      <c r="AH43" s="2"/>
      <c r="AI43" s="2"/>
    </row>
    <row r="44" spans="1:35">
      <c r="B44" s="4" t="s">
        <v>1163</v>
      </c>
      <c r="C44" s="46">
        <v>157.67099999999999</v>
      </c>
      <c r="D44" s="46">
        <v>190.47499999999999</v>
      </c>
      <c r="E44" s="46">
        <v>113.762</v>
      </c>
      <c r="F44" s="46">
        <v>50.832999999999998</v>
      </c>
      <c r="G44" s="31">
        <f>Asia!H59</f>
        <v>81.621000000000009</v>
      </c>
      <c r="H44" s="31">
        <f>Asia!I59</f>
        <v>101.44499999999999</v>
      </c>
      <c r="I44" s="27"/>
      <c r="J44" s="27"/>
      <c r="K44" s="27"/>
      <c r="L44" s="27"/>
      <c r="M44" s="27"/>
      <c r="N44" s="27"/>
      <c r="O44" s="27"/>
      <c r="P44" s="27"/>
      <c r="Q44" s="27"/>
      <c r="R44" s="27"/>
      <c r="S44" s="27"/>
      <c r="T44" s="27"/>
      <c r="U44" s="27"/>
      <c r="V44" s="27"/>
      <c r="W44" s="27"/>
      <c r="X44" s="27"/>
      <c r="Y44" s="27"/>
      <c r="Z44" s="27"/>
      <c r="AA44" s="16"/>
      <c r="AD44" s="16"/>
      <c r="AE44" s="16"/>
      <c r="AF44" s="16"/>
      <c r="AG44" s="16"/>
      <c r="AH44" s="16"/>
      <c r="AI44" s="16"/>
    </row>
    <row r="45" spans="1:35">
      <c r="B45" t="s">
        <v>1828</v>
      </c>
      <c r="C45" s="9">
        <f>CA!D143</f>
        <v>85.745999999999995</v>
      </c>
      <c r="D45" s="9">
        <f>CA!E143</f>
        <v>155.566</v>
      </c>
      <c r="E45" s="9">
        <f>CA!F143</f>
        <v>233.00800000000001</v>
      </c>
      <c r="F45" s="9">
        <f>CA!G143</f>
        <v>415.43000000000006</v>
      </c>
      <c r="G45" s="9">
        <f>CA!H143</f>
        <v>608.17900000000009</v>
      </c>
      <c r="H45" s="9">
        <f>CA!I143</f>
        <v>758.82600000000002</v>
      </c>
      <c r="I45" s="9">
        <f>CA!J143</f>
        <v>837.73099999999999</v>
      </c>
      <c r="J45" s="9">
        <f>CA!K143</f>
        <v>844.18799999999999</v>
      </c>
      <c r="K45" s="9">
        <f>CA!L143</f>
        <v>965.00800000000004</v>
      </c>
      <c r="L45" s="9">
        <f>CA!M143</f>
        <v>958</v>
      </c>
      <c r="M45" s="9">
        <f>CA!N143</f>
        <v>1173.2</v>
      </c>
      <c r="N45" s="9">
        <f>CA!O143</f>
        <v>1153.0110656430443</v>
      </c>
      <c r="O45" s="9">
        <f>CA!P143</f>
        <v>1172</v>
      </c>
      <c r="P45" s="9">
        <f>CA!Q143</f>
        <v>1091.1245366531432</v>
      </c>
      <c r="Q45" s="9">
        <f>CA!R143</f>
        <v>1049.6612624020784</v>
      </c>
      <c r="R45" s="9">
        <f>CA!S143</f>
        <v>1042.707869352912</v>
      </c>
      <c r="S45" s="9">
        <f>CA!T143</f>
        <v>1093.579936465127</v>
      </c>
      <c r="T45" s="9">
        <f>CA!U143</f>
        <v>1152.0202929538293</v>
      </c>
      <c r="U45" s="9">
        <f>CA!V143</f>
        <v>1174.5011635885305</v>
      </c>
      <c r="V45" s="9">
        <f>CA!W143</f>
        <v>1186.0944862434862</v>
      </c>
      <c r="W45" s="9">
        <f>CA!X143</f>
        <v>1194.7824802317782</v>
      </c>
      <c r="X45" s="9">
        <f>CA!Y143</f>
        <v>1190.9006203736242</v>
      </c>
      <c r="Y45" s="9">
        <f>CA!Z143</f>
        <v>1189.6803382572418</v>
      </c>
      <c r="Z45" s="9">
        <f>CA!AA143</f>
        <v>31.40185330943109</v>
      </c>
      <c r="AA45" s="16"/>
      <c r="AD45" s="16"/>
      <c r="AE45" s="9"/>
      <c r="AF45" s="16"/>
      <c r="AG45" s="16"/>
      <c r="AH45" s="16"/>
      <c r="AI45" s="16"/>
    </row>
    <row r="46" spans="1:35">
      <c r="B46" s="4" t="str">
        <f>B30</f>
        <v>Colombia mobile</v>
      </c>
      <c r="C46" s="9"/>
      <c r="D46" s="9"/>
      <c r="E46" s="9"/>
      <c r="F46" s="9">
        <f>Quarts!V303</f>
        <v>13.82094</v>
      </c>
      <c r="G46" s="9">
        <f>Colombia!D59</f>
        <v>94.89096459999999</v>
      </c>
      <c r="H46" s="9">
        <f>Colombia!E59</f>
        <v>63.945560262183974</v>
      </c>
      <c r="I46" s="9">
        <f>Colombia!F59</f>
        <v>99.475664425466135</v>
      </c>
      <c r="J46" s="9">
        <f>Colombia!G59</f>
        <v>176.39991436689647</v>
      </c>
      <c r="K46" s="9">
        <f>Colombia!H59</f>
        <v>215.52759315801597</v>
      </c>
      <c r="L46" s="9">
        <f>Colombia!I59</f>
        <v>207.42970016999595</v>
      </c>
      <c r="M46" s="9">
        <f>Colombia!J59</f>
        <v>236.43600000000001</v>
      </c>
      <c r="N46" s="9">
        <f>Colombia!K59</f>
        <v>302.25299999999999</v>
      </c>
      <c r="O46" s="9">
        <f>Colombia!L59</f>
        <v>260.40118453270583</v>
      </c>
      <c r="P46" s="9">
        <f>Colombia!M59</f>
        <v>182.96950761337303</v>
      </c>
      <c r="Q46" s="9">
        <f>Colombia!N59</f>
        <v>173.17712729727901</v>
      </c>
      <c r="R46" s="9">
        <f>Colombia!O59</f>
        <v>203.436239987227</v>
      </c>
      <c r="S46" s="9">
        <f>Colombia!P59</f>
        <v>215.20857770416055</v>
      </c>
      <c r="T46" s="9">
        <f>Colombia!Q59</f>
        <v>206.15951901357283</v>
      </c>
      <c r="U46" s="9">
        <f>Colombia!R59</f>
        <v>201.78933731093028</v>
      </c>
      <c r="V46" s="9">
        <f>Colombia!S59</f>
        <v>195.26971049710122</v>
      </c>
      <c r="W46" s="9">
        <f>Colombia!T59</f>
        <v>212.25853366459054</v>
      </c>
      <c r="X46" s="9">
        <f>Colombia!U59</f>
        <v>222.94926606285702</v>
      </c>
      <c r="Y46" s="9">
        <f>Colombia!V59</f>
        <v>233.85388595168629</v>
      </c>
      <c r="Z46" s="9">
        <f>Colombia!W59</f>
        <v>237.97703234853026</v>
      </c>
      <c r="AA46" s="16"/>
      <c r="AD46" s="16"/>
      <c r="AE46" s="9"/>
      <c r="AF46" s="16"/>
      <c r="AG46" s="16"/>
      <c r="AH46" s="16"/>
      <c r="AI46" s="16"/>
    </row>
    <row r="47" spans="1:35">
      <c r="B47" s="4" t="str">
        <f>B31</f>
        <v>Colombia fixed</v>
      </c>
      <c r="C47" s="9"/>
      <c r="D47" s="9"/>
      <c r="E47" s="9"/>
      <c r="F47" s="9"/>
      <c r="G47" s="9"/>
      <c r="H47" s="9"/>
      <c r="I47" s="9"/>
      <c r="J47" s="9"/>
      <c r="K47" s="9"/>
      <c r="L47" s="9"/>
      <c r="M47" s="9"/>
      <c r="N47" s="46">
        <v>129</v>
      </c>
      <c r="O47" s="9">
        <f>Colombia!L240</f>
        <v>314.06167509778356</v>
      </c>
      <c r="P47" s="9">
        <f ca="1">Colombia!M240</f>
        <v>298.89751654677303</v>
      </c>
      <c r="Q47" s="9">
        <f>Colombia!N240</f>
        <v>295.82287270272099</v>
      </c>
      <c r="R47" s="9">
        <f>Colombia!O240</f>
        <v>290.563760012773</v>
      </c>
      <c r="S47" s="9">
        <f>Colombia!P240</f>
        <v>297.79142229583942</v>
      </c>
      <c r="T47" s="9">
        <f ca="1">Colombia!Q240</f>
        <v>252.24072432074257</v>
      </c>
      <c r="U47" s="9">
        <f ca="1">Colombia!R240</f>
        <v>246.26179395640844</v>
      </c>
      <c r="V47" s="9">
        <f ca="1">Colombia!S240</f>
        <v>263.69749641699786</v>
      </c>
      <c r="W47" s="9">
        <f ca="1">Colombia!T240</f>
        <v>261.21492960426099</v>
      </c>
      <c r="X47" s="9">
        <f ca="1">Colombia!U240</f>
        <v>266.02150544393464</v>
      </c>
      <c r="Y47" s="9">
        <f ca="1">Colombia!V240</f>
        <v>271.17513966309338</v>
      </c>
      <c r="Z47" s="9">
        <f ca="1">Colombia!W240</f>
        <v>276.70629725974737</v>
      </c>
      <c r="AA47" s="16"/>
      <c r="AD47" s="16"/>
      <c r="AE47" s="9"/>
      <c r="AF47" s="16"/>
      <c r="AG47" s="16"/>
      <c r="AH47" s="16"/>
      <c r="AI47" s="16"/>
    </row>
    <row r="48" spans="1:35">
      <c r="B48" s="4" t="s">
        <v>871</v>
      </c>
      <c r="C48" s="9">
        <f>SA!D117</f>
        <v>37.326999999999998</v>
      </c>
      <c r="D48" s="9">
        <f>SA!E117</f>
        <v>44.588999999999999</v>
      </c>
      <c r="E48" s="9">
        <f>SA!F117</f>
        <v>56.957000000000001</v>
      </c>
      <c r="F48" s="9">
        <f>SA!G117</f>
        <v>104.14806000000002</v>
      </c>
      <c r="G48" s="9">
        <f>SA!H117</f>
        <v>181.7190354</v>
      </c>
      <c r="H48" s="9">
        <f>SA!I117</f>
        <v>287.27743973781605</v>
      </c>
      <c r="I48" s="9">
        <f>SA!J117</f>
        <v>339.10633557453383</v>
      </c>
      <c r="J48" s="9">
        <f>SA!K117</f>
        <v>413.34508563310351</v>
      </c>
      <c r="K48" s="9">
        <f>SA!L117</f>
        <v>507.94040684198399</v>
      </c>
      <c r="L48" s="9">
        <f>SA!M117</f>
        <v>556.57029983000393</v>
      </c>
      <c r="M48" s="9">
        <f>SA!N117</f>
        <v>568.56399999999996</v>
      </c>
      <c r="N48" s="9">
        <f>SA!O117</f>
        <v>544.67743937578575</v>
      </c>
      <c r="O48" s="9">
        <f>SA!P117</f>
        <v>496.03714036951055</v>
      </c>
      <c r="P48" s="9">
        <f ca="1">SA!Q117</f>
        <v>488.58619400151031</v>
      </c>
      <c r="Q48" s="9">
        <f ca="1">SA!R117</f>
        <v>571.10218147197668</v>
      </c>
      <c r="R48" s="9">
        <f ca="1">SA!S117</f>
        <v>659.97532984048121</v>
      </c>
      <c r="S48" s="9">
        <f ca="1">SA!T117</f>
        <v>1071.007580722091</v>
      </c>
      <c r="T48" s="9">
        <f ca="1">SA!U117</f>
        <v>1349.8652411552787</v>
      </c>
      <c r="U48" s="9">
        <f ca="1">SA!V117</f>
        <v>1451.1776341112918</v>
      </c>
      <c r="V48" s="9">
        <f ca="1">SA!W117</f>
        <v>1509.7274074718534</v>
      </c>
      <c r="W48" s="9">
        <f ca="1">SA!X117</f>
        <v>1525.848638309501</v>
      </c>
      <c r="X48" s="9">
        <f ca="1">SA!Y117</f>
        <v>1497.563461482066</v>
      </c>
      <c r="Y48" s="9">
        <f ca="1">SA!Z117</f>
        <v>1491.0783802250819</v>
      </c>
      <c r="Z48" s="9">
        <f ca="1">SA!AA117</f>
        <v>1511.1596057928487</v>
      </c>
      <c r="AA48" s="16"/>
      <c r="AD48" s="16"/>
      <c r="AE48" s="9"/>
      <c r="AF48" s="16"/>
      <c r="AG48" s="16"/>
      <c r="AH48" s="16"/>
      <c r="AI48" s="16"/>
    </row>
    <row r="49" spans="2:35">
      <c r="B49" s="4" t="s">
        <v>1831</v>
      </c>
      <c r="C49" s="9">
        <f>Africa!D160</f>
        <v>35.656999999999996</v>
      </c>
      <c r="D49" s="9">
        <f>Africa!E160</f>
        <v>65.808000000000007</v>
      </c>
      <c r="E49" s="9">
        <f>Africa!F160</f>
        <v>88.167000000000002</v>
      </c>
      <c r="F49" s="9">
        <f>Africa!G160</f>
        <v>122.572</v>
      </c>
      <c r="G49" s="9">
        <f>Africa!H160</f>
        <v>152.53700000000001</v>
      </c>
      <c r="H49" s="9">
        <f>Africa!I160</f>
        <v>237.256</v>
      </c>
      <c r="I49" s="9">
        <f>Africa!J160</f>
        <v>284.81899999999996</v>
      </c>
      <c r="J49" s="9">
        <f>Africa!K160</f>
        <v>363.03800000000001</v>
      </c>
      <c r="K49" s="9">
        <f>Africa!L160</f>
        <v>402.96000000000004</v>
      </c>
      <c r="L49" s="9">
        <f>Africa!M160</f>
        <v>367.08600000000001</v>
      </c>
      <c r="M49" s="9">
        <f>Africa!N160</f>
        <v>262.2</v>
      </c>
      <c r="N49" s="9">
        <f>Africa!O160</f>
        <v>226.47706314004341</v>
      </c>
      <c r="O49" s="9">
        <f>Africa!P160</f>
        <v>200</v>
      </c>
      <c r="P49" s="9">
        <f ca="1">Africa!Q160</f>
        <v>248.12673786484811</v>
      </c>
      <c r="Q49" s="9">
        <f ca="1">Africa!R160</f>
        <v>264.33644224665647</v>
      </c>
      <c r="R49" s="9">
        <f ca="1">Africa!S160</f>
        <v>155.11190555621897</v>
      </c>
      <c r="S49" s="9">
        <f ca="1">Africa!T160</f>
        <v>161.31344371630837</v>
      </c>
      <c r="T49" s="9">
        <f ca="1">Africa!U160</f>
        <v>170.72951006130847</v>
      </c>
      <c r="U49" s="9">
        <f ca="1">Africa!V160</f>
        <v>183.8458431061415</v>
      </c>
      <c r="V49" s="9">
        <f ca="1">Africa!W160</f>
        <v>201.20453700504424</v>
      </c>
      <c r="W49" s="9">
        <f ca="1">Africa!X160</f>
        <v>223.41003430203205</v>
      </c>
      <c r="X49" s="9">
        <f ca="1">Africa!Y160</f>
        <v>251.13573726333993</v>
      </c>
      <c r="Y49" s="9">
        <f ca="1">Africa!Z160</f>
        <v>285.13130107648408</v>
      </c>
      <c r="Z49" s="9">
        <f ca="1">Africa!AA160</f>
        <v>326.23067866576889</v>
      </c>
      <c r="AA49" s="16"/>
      <c r="AD49" s="16"/>
      <c r="AE49" s="9"/>
      <c r="AF49" s="16"/>
      <c r="AG49" s="16"/>
      <c r="AH49" s="16"/>
      <c r="AI49" s="16"/>
    </row>
    <row r="50" spans="2:35">
      <c r="B50" s="4" t="s">
        <v>1195</v>
      </c>
      <c r="C50" s="9"/>
      <c r="D50" s="9"/>
      <c r="E50" s="9"/>
      <c r="F50" s="9"/>
      <c r="G50" s="9"/>
      <c r="H50" s="133">
        <v>18</v>
      </c>
      <c r="I50" s="9">
        <f>Cable!G116</f>
        <v>0</v>
      </c>
      <c r="J50" s="9">
        <f>Cable!H116</f>
        <v>0</v>
      </c>
      <c r="K50" s="9"/>
      <c r="L50" s="9"/>
      <c r="M50" s="9"/>
      <c r="N50" s="9"/>
      <c r="O50" s="9"/>
      <c r="P50" s="9"/>
      <c r="Q50" s="9"/>
      <c r="R50" s="9"/>
      <c r="S50" s="9"/>
      <c r="T50" s="9"/>
      <c r="U50" s="9"/>
      <c r="V50" s="9"/>
      <c r="W50" s="9"/>
      <c r="X50" s="9"/>
      <c r="Y50" s="9"/>
      <c r="Z50" s="9"/>
      <c r="AA50" s="16"/>
      <c r="AD50" s="9" t="s">
        <v>1823</v>
      </c>
      <c r="AE50" s="9"/>
      <c r="AF50" s="16"/>
      <c r="AG50" s="16"/>
      <c r="AH50" s="16"/>
      <c r="AI50" s="16"/>
    </row>
    <row r="51" spans="2:35">
      <c r="B51" s="4" t="s">
        <v>2566</v>
      </c>
      <c r="C51" s="9"/>
      <c r="D51" s="9"/>
      <c r="E51" s="9"/>
      <c r="F51" s="9"/>
      <c r="G51" s="9"/>
      <c r="H51" s="133"/>
      <c r="I51" s="9"/>
      <c r="J51" s="9"/>
      <c r="K51" s="9"/>
      <c r="L51" s="9">
        <f>Quarts!AY311+Quarts!AZ311</f>
        <v>-9</v>
      </c>
      <c r="M51" s="9"/>
      <c r="N51" s="9"/>
      <c r="O51" s="9"/>
      <c r="P51" s="9"/>
      <c r="Q51" s="9"/>
      <c r="R51" s="9"/>
      <c r="S51" s="9"/>
      <c r="T51" s="9"/>
      <c r="U51" s="9"/>
      <c r="V51" s="9"/>
      <c r="W51" s="9"/>
      <c r="X51" s="9"/>
      <c r="Y51" s="9"/>
      <c r="Z51" s="9"/>
      <c r="AA51" s="16"/>
      <c r="AD51" s="9"/>
      <c r="AE51" s="9"/>
      <c r="AF51" s="16"/>
      <c r="AG51" s="16"/>
      <c r="AH51" s="16"/>
      <c r="AI51" s="16"/>
    </row>
    <row r="52" spans="2:35">
      <c r="B52" s="12" t="s">
        <v>1540</v>
      </c>
      <c r="C52" s="13">
        <f>SUM(Quarts!G311:J311)</f>
        <v>1.8009999999999999</v>
      </c>
      <c r="D52" s="13">
        <f>SUM(Quarts!K311:N311)</f>
        <v>-1.175</v>
      </c>
      <c r="E52" s="13">
        <f>SUM(Quarts!O311:R311)</f>
        <v>-2.1959999999999997</v>
      </c>
      <c r="F52" s="87">
        <v>-1</v>
      </c>
      <c r="G52" s="87">
        <f t="shared" ref="G52:M52" si="38">F52</f>
        <v>-1</v>
      </c>
      <c r="H52" s="87">
        <f t="shared" si="38"/>
        <v>-1</v>
      </c>
      <c r="I52" s="87">
        <f t="shared" si="38"/>
        <v>-1</v>
      </c>
      <c r="J52" s="87">
        <f t="shared" si="38"/>
        <v>-1</v>
      </c>
      <c r="K52" s="87">
        <f t="shared" si="38"/>
        <v>-1</v>
      </c>
      <c r="L52" s="87">
        <f t="shared" si="38"/>
        <v>-1</v>
      </c>
      <c r="M52" s="87">
        <f t="shared" si="38"/>
        <v>-1</v>
      </c>
      <c r="N52" s="87">
        <v>0</v>
      </c>
      <c r="O52" s="87">
        <v>0</v>
      </c>
      <c r="P52" s="87">
        <v>25</v>
      </c>
      <c r="Q52" s="87">
        <v>0</v>
      </c>
      <c r="R52" s="87">
        <v>0</v>
      </c>
      <c r="S52" s="87">
        <v>0</v>
      </c>
      <c r="T52" s="87">
        <v>0</v>
      </c>
      <c r="U52" s="87">
        <v>0</v>
      </c>
      <c r="V52" s="87">
        <v>0</v>
      </c>
      <c r="W52" s="87">
        <v>0</v>
      </c>
      <c r="X52" s="87">
        <v>0</v>
      </c>
      <c r="Y52" s="87">
        <v>0</v>
      </c>
      <c r="Z52" s="87">
        <v>0</v>
      </c>
      <c r="AA52" s="16"/>
      <c r="AD52" s="9"/>
      <c r="AE52" s="9"/>
      <c r="AF52" s="16"/>
      <c r="AG52" s="16"/>
      <c r="AH52" s="16"/>
      <c r="AI52" s="16"/>
    </row>
    <row r="53" spans="2:35">
      <c r="B53" s="2" t="s">
        <v>3215</v>
      </c>
      <c r="C53" s="10">
        <f>C44+C45+C46+C48+C49+C52</f>
        <v>318.20199999999994</v>
      </c>
      <c r="D53" s="10">
        <f>D44+D45+D46+D48+D49+D52</f>
        <v>455.26299999999998</v>
      </c>
      <c r="E53" s="10">
        <f>E44+E45+E46+E48+E49+E52</f>
        <v>489.69799999999998</v>
      </c>
      <c r="F53" s="10">
        <f>F44+F45+F46+F48+F49+F52</f>
        <v>705.80400000000009</v>
      </c>
      <c r="G53" s="10">
        <f>G44+G45+G46+G48+G49+G52</f>
        <v>1117.9470000000001</v>
      </c>
      <c r="H53" s="10">
        <f>H44+H45+H46+H48+H49+H50+H52</f>
        <v>1465.7500000000002</v>
      </c>
      <c r="I53" s="10">
        <f>I45+I46+I48+I49+I50+I52</f>
        <v>1560.1319999999998</v>
      </c>
      <c r="J53" s="10">
        <f>J45+J46+J48+J49+J50+J52</f>
        <v>1795.971</v>
      </c>
      <c r="K53" s="10">
        <f t="shared" ref="K53:R53" si="39">SUM(K45:K52)</f>
        <v>2090.4360000000001</v>
      </c>
      <c r="L53" s="10">
        <f t="shared" si="39"/>
        <v>2079.0860000000002</v>
      </c>
      <c r="M53" s="10">
        <f>SUM(M45:M52)</f>
        <v>2239.3999999999996</v>
      </c>
      <c r="N53" s="10">
        <f>SUM(N45:N52)</f>
        <v>2355.4185681588733</v>
      </c>
      <c r="O53" s="10">
        <f t="shared" si="39"/>
        <v>2442.5</v>
      </c>
      <c r="P53" s="10">
        <f t="shared" ca="1" si="39"/>
        <v>2334.7044926796475</v>
      </c>
      <c r="Q53" s="10">
        <f t="shared" ca="1" si="39"/>
        <v>2354.0998861207117</v>
      </c>
      <c r="R53" s="10">
        <f t="shared" ca="1" si="39"/>
        <v>2351.7951047496122</v>
      </c>
      <c r="S53" s="10">
        <f t="shared" ref="S53:Y53" ca="1" si="40">SUM(S45:S52)</f>
        <v>2838.9009609035265</v>
      </c>
      <c r="T53" s="10">
        <f t="shared" ca="1" si="40"/>
        <v>3131.0152875047315</v>
      </c>
      <c r="U53" s="10">
        <f t="shared" ca="1" si="40"/>
        <v>3257.5757720733027</v>
      </c>
      <c r="V53" s="10">
        <f t="shared" ca="1" si="40"/>
        <v>3355.9936376344826</v>
      </c>
      <c r="W53" s="10">
        <f t="shared" ca="1" si="40"/>
        <v>3417.5146161121629</v>
      </c>
      <c r="X53" s="10">
        <f t="shared" ca="1" si="40"/>
        <v>3428.5705906258218</v>
      </c>
      <c r="Y53" s="10">
        <f t="shared" ca="1" si="40"/>
        <v>3470.9190451735876</v>
      </c>
      <c r="Z53" s="10">
        <f t="shared" ref="Z53" ca="1" si="41">SUM(Z45:Z52)</f>
        <v>2383.4754673763264</v>
      </c>
      <c r="AA53" s="88">
        <f>M53-M51</f>
        <v>2239.3999999999996</v>
      </c>
      <c r="AC53" s="9"/>
      <c r="AD53" s="10"/>
      <c r="AE53" s="10"/>
      <c r="AF53" s="19"/>
      <c r="AG53" s="19"/>
      <c r="AH53" s="19"/>
      <c r="AI53" s="19"/>
    </row>
    <row r="54" spans="2:35">
      <c r="B54" s="4" t="s">
        <v>2353</v>
      </c>
      <c r="C54" s="10"/>
      <c r="D54" s="10"/>
      <c r="E54" s="10"/>
      <c r="F54" s="138">
        <f t="shared" ref="F54:L54" si="42">F53/E53-1</f>
        <v>0.44130464081944409</v>
      </c>
      <c r="G54" s="138">
        <f t="shared" si="42"/>
        <v>0.58393406668140169</v>
      </c>
      <c r="H54" s="138">
        <f t="shared" si="42"/>
        <v>0.31110866615322563</v>
      </c>
      <c r="I54" s="138">
        <f t="shared" si="42"/>
        <v>6.4391608391608068E-2</v>
      </c>
      <c r="J54" s="138">
        <f t="shared" si="42"/>
        <v>0.15116605517994652</v>
      </c>
      <c r="K54" s="138">
        <f t="shared" si="42"/>
        <v>0.16395866080242949</v>
      </c>
      <c r="L54" s="138">
        <f t="shared" si="42"/>
        <v>-5.4294893505468789E-3</v>
      </c>
      <c r="M54" s="138">
        <f>(M53-CA!AK59+CA!AK61)/(L53-L51)-1</f>
        <v>-2.8272781868180052E-2</v>
      </c>
      <c r="N54" s="138">
        <f>(N53-N47)/(M53-M47)-1</f>
        <v>-5.7968347955373867E-3</v>
      </c>
      <c r="O54" s="138">
        <f>(O53-O47)/(N53-N47)-1</f>
        <v>-4.4008006696459101E-2</v>
      </c>
      <c r="P54" s="138">
        <f t="shared" ref="P54:Z54" ca="1" si="43">P53/O53-1</f>
        <v>-4.4133268094310174E-2</v>
      </c>
      <c r="Q54" s="138">
        <f t="shared" ca="1" si="43"/>
        <v>8.3074296990808261E-3</v>
      </c>
      <c r="R54" s="138">
        <f t="shared" ca="1" si="43"/>
        <v>-9.7904994800268597E-4</v>
      </c>
      <c r="S54" s="138">
        <f t="shared" ca="1" si="43"/>
        <v>0.2071208734001404</v>
      </c>
      <c r="T54" s="138">
        <f t="shared" ca="1" si="43"/>
        <v>0.10289697690201738</v>
      </c>
      <c r="U54" s="138">
        <f t="shared" ca="1" si="43"/>
        <v>4.0421547947609549E-2</v>
      </c>
      <c r="V54" s="138">
        <f t="shared" ca="1" si="43"/>
        <v>3.0211995805255354E-2</v>
      </c>
      <c r="W54" s="138">
        <f t="shared" ca="1" si="43"/>
        <v>1.8331673155687067E-2</v>
      </c>
      <c r="X54" s="138">
        <f t="shared" ca="1" si="43"/>
        <v>3.2350920933985616E-3</v>
      </c>
      <c r="Y54" s="138">
        <f t="shared" ca="1" si="43"/>
        <v>1.2351635595181376E-2</v>
      </c>
      <c r="Z54" s="138">
        <f t="shared" ca="1" si="43"/>
        <v>-0.31330133709381169</v>
      </c>
      <c r="AA54" s="16"/>
      <c r="AB54" s="16"/>
      <c r="AC54" s="5"/>
      <c r="AD54" s="21"/>
      <c r="AE54" s="21"/>
      <c r="AF54" s="21"/>
      <c r="AG54" s="21"/>
      <c r="AH54" s="21"/>
    </row>
    <row r="55" spans="2:35">
      <c r="B55" s="4"/>
      <c r="C55" s="10"/>
      <c r="D55" s="10"/>
      <c r="F55" s="196"/>
      <c r="G55" s="267"/>
      <c r="H55" s="267"/>
      <c r="J55" s="138"/>
      <c r="K55" s="138"/>
      <c r="L55" s="709"/>
      <c r="M55" s="709"/>
      <c r="N55" s="138"/>
      <c r="O55" s="148"/>
      <c r="P55" s="138"/>
      <c r="Q55" s="138"/>
      <c r="R55" s="138"/>
      <c r="S55" s="138"/>
      <c r="T55" s="138"/>
      <c r="U55" s="138"/>
      <c r="V55" s="138"/>
      <c r="W55" s="138"/>
      <c r="X55" s="138"/>
      <c r="Y55" s="138"/>
      <c r="Z55" s="138"/>
      <c r="AA55" s="16"/>
      <c r="AD55" s="21"/>
      <c r="AE55" s="21"/>
      <c r="AF55" s="21"/>
      <c r="AG55" s="21"/>
      <c r="AH55" s="21"/>
    </row>
    <row r="56" spans="2:35">
      <c r="B56" s="2" t="s">
        <v>1542</v>
      </c>
      <c r="C56" s="8">
        <f t="shared" ref="C56:R56" si="44">C43</f>
        <v>2003</v>
      </c>
      <c r="D56" s="8">
        <f t="shared" si="44"/>
        <v>2004</v>
      </c>
      <c r="E56" s="8">
        <f t="shared" si="44"/>
        <v>2005</v>
      </c>
      <c r="F56" s="8">
        <f t="shared" si="44"/>
        <v>2006</v>
      </c>
      <c r="G56" s="8">
        <f t="shared" si="44"/>
        <v>2007</v>
      </c>
      <c r="H56" s="8">
        <f t="shared" si="44"/>
        <v>2008</v>
      </c>
      <c r="I56" s="8">
        <f t="shared" si="44"/>
        <v>2009</v>
      </c>
      <c r="J56" s="8">
        <f t="shared" si="44"/>
        <v>2010</v>
      </c>
      <c r="K56" s="8">
        <f t="shared" si="44"/>
        <v>2011</v>
      </c>
      <c r="L56" s="8">
        <f t="shared" si="44"/>
        <v>2012</v>
      </c>
      <c r="M56" s="8">
        <f t="shared" si="44"/>
        <v>2013</v>
      </c>
      <c r="N56" s="8">
        <f t="shared" si="44"/>
        <v>2014</v>
      </c>
      <c r="O56" s="8">
        <f t="shared" si="44"/>
        <v>2015</v>
      </c>
      <c r="P56" s="8">
        <f t="shared" si="44"/>
        <v>2016</v>
      </c>
      <c r="Q56" s="8">
        <f t="shared" si="44"/>
        <v>2017</v>
      </c>
      <c r="R56" s="8">
        <f t="shared" si="44"/>
        <v>2018</v>
      </c>
      <c r="S56" s="8">
        <f t="shared" ref="S56:Y56" si="45">S43</f>
        <v>2019</v>
      </c>
      <c r="T56" s="8">
        <f t="shared" si="45"/>
        <v>2020</v>
      </c>
      <c r="U56" s="8">
        <f t="shared" si="45"/>
        <v>2021</v>
      </c>
      <c r="V56" s="8">
        <f t="shared" si="45"/>
        <v>2022</v>
      </c>
      <c r="W56" s="8">
        <f t="shared" si="45"/>
        <v>2023</v>
      </c>
      <c r="X56" s="8">
        <f t="shared" si="45"/>
        <v>2024</v>
      </c>
      <c r="Y56" s="8">
        <f t="shared" si="45"/>
        <v>2025</v>
      </c>
      <c r="Z56" s="8">
        <f t="shared" ref="Z56" si="46">Z43</f>
        <v>2026</v>
      </c>
      <c r="AA56" s="16"/>
      <c r="AD56" s="21"/>
      <c r="AE56" s="21"/>
      <c r="AF56" s="21"/>
      <c r="AG56" s="21"/>
      <c r="AH56" s="21"/>
    </row>
    <row r="57" spans="2:35">
      <c r="B57" s="4" t="s">
        <v>1163</v>
      </c>
      <c r="C57" s="5">
        <f t="shared" ref="C57:H58" si="47">C44/C28</f>
        <v>0.56159440938038729</v>
      </c>
      <c r="D57" s="5">
        <f t="shared" si="47"/>
        <v>0.55201984634155532</v>
      </c>
      <c r="E57" s="5">
        <f t="shared" si="47"/>
        <v>0.40306688255781409</v>
      </c>
      <c r="F57" s="5">
        <f t="shared" si="47"/>
        <v>0.25516652862485251</v>
      </c>
      <c r="G57" s="5">
        <f t="shared" si="47"/>
        <v>0.41908933137534787</v>
      </c>
      <c r="H57" s="5">
        <f t="shared" si="47"/>
        <v>0.38846086097432081</v>
      </c>
      <c r="I57" s="29"/>
      <c r="J57" s="29"/>
      <c r="K57" s="29"/>
      <c r="L57" s="29"/>
      <c r="M57" s="29"/>
      <c r="N57" s="29"/>
      <c r="O57" s="29"/>
      <c r="P57" s="29"/>
      <c r="Q57" s="29"/>
      <c r="R57" s="29"/>
      <c r="S57" s="29"/>
      <c r="T57" s="29"/>
      <c r="U57" s="29"/>
      <c r="V57" s="29"/>
      <c r="W57" s="29"/>
      <c r="X57" s="29"/>
      <c r="Y57" s="29"/>
      <c r="Z57" s="29"/>
      <c r="AA57" s="16"/>
    </row>
    <row r="58" spans="2:35">
      <c r="B58" t="s">
        <v>1828</v>
      </c>
      <c r="C58" s="5">
        <f t="shared" si="47"/>
        <v>0.51843163336255638</v>
      </c>
      <c r="D58" s="5">
        <f t="shared" si="47"/>
        <v>0.510012326898867</v>
      </c>
      <c r="E58" s="5">
        <f t="shared" si="47"/>
        <v>0.51482103402562973</v>
      </c>
      <c r="F58" s="5">
        <f t="shared" si="47"/>
        <v>0.52182421797965373</v>
      </c>
      <c r="G58" s="5">
        <f t="shared" si="47"/>
        <v>0.52914854779293419</v>
      </c>
      <c r="H58" s="5">
        <f t="shared" si="47"/>
        <v>0.55109630855106884</v>
      </c>
      <c r="I58" s="5">
        <f t="shared" ref="I58:R58" si="48">I45/I29</f>
        <v>0.55103368521460794</v>
      </c>
      <c r="J58" s="5">
        <f t="shared" si="48"/>
        <v>0.55571287065196473</v>
      </c>
      <c r="K58" s="5">
        <f t="shared" si="48"/>
        <v>0.52385349123018166</v>
      </c>
      <c r="L58" s="5">
        <f t="shared" si="48"/>
        <v>0.4018393126344002</v>
      </c>
      <c r="M58" s="5">
        <f t="shared" si="48"/>
        <v>0.48773521359058153</v>
      </c>
      <c r="N58" s="5">
        <f t="shared" si="48"/>
        <v>0.46852444929652404</v>
      </c>
      <c r="O58" s="5">
        <f t="shared" si="48"/>
        <v>0.45855223709155263</v>
      </c>
      <c r="P58" s="5">
        <f t="shared" si="48"/>
        <v>0.44736899441075939</v>
      </c>
      <c r="Q58" s="5">
        <f t="shared" si="48"/>
        <v>0.44209472682373768</v>
      </c>
      <c r="R58" s="5">
        <f t="shared" si="48"/>
        <v>0.43273855191332639</v>
      </c>
      <c r="S58" s="5">
        <f t="shared" ref="S58:T62" si="49">S45/S29</f>
        <v>0.43227051296135349</v>
      </c>
      <c r="T58" s="5">
        <f t="shared" si="49"/>
        <v>0.43290510257916415</v>
      </c>
      <c r="U58" s="5">
        <f t="shared" ref="U58:Y62" si="50">U45/U29</f>
        <v>0.42682443546085225</v>
      </c>
      <c r="V58" s="5">
        <f t="shared" si="50"/>
        <v>0.41972184151935377</v>
      </c>
      <c r="W58" s="5">
        <f t="shared" si="50"/>
        <v>0.41440212906261936</v>
      </c>
      <c r="X58" s="5">
        <f t="shared" si="50"/>
        <v>0.40654977921175295</v>
      </c>
      <c r="Y58" s="5">
        <f t="shared" si="50"/>
        <v>0.39927543766237444</v>
      </c>
      <c r="Z58" s="5">
        <f t="shared" ref="Z58" si="51">Z45/Z29</f>
        <v>1.6752925851042814E-2</v>
      </c>
      <c r="AA58" s="16"/>
    </row>
    <row r="59" spans="2:35">
      <c r="B59" s="4" t="str">
        <f>B46</f>
        <v>Colombia mobile</v>
      </c>
      <c r="C59" s="5"/>
      <c r="D59" s="5"/>
      <c r="E59" s="5"/>
      <c r="F59" s="5">
        <f>F46/F30</f>
        <v>0.15303615482396507</v>
      </c>
      <c r="G59" s="5">
        <f>G46/G30</f>
        <v>0.21382957112589235</v>
      </c>
      <c r="H59" s="5">
        <f>H46/H30</f>
        <v>0.14273562558523209</v>
      </c>
      <c r="I59" s="5">
        <f t="shared" ref="I59:R59" si="52">I46/I30</f>
        <v>0.22023580189172859</v>
      </c>
      <c r="J59" s="5">
        <f t="shared" si="52"/>
        <v>0.28823515419427526</v>
      </c>
      <c r="K59" s="5">
        <f t="shared" si="52"/>
        <v>0.28508940893917456</v>
      </c>
      <c r="L59" s="5">
        <f t="shared" si="52"/>
        <v>0.24432237946995991</v>
      </c>
      <c r="M59" s="5">
        <f t="shared" si="52"/>
        <v>0.24399999999999999</v>
      </c>
      <c r="N59" s="5">
        <f t="shared" si="52"/>
        <v>0.25900000000000001</v>
      </c>
      <c r="O59" s="5">
        <f t="shared" si="52"/>
        <v>0.27679070177757487</v>
      </c>
      <c r="P59" s="5">
        <f t="shared" si="52"/>
        <v>0.25</v>
      </c>
      <c r="Q59" s="5">
        <f>Q46/Q30</f>
        <v>0.24</v>
      </c>
      <c r="R59" s="5">
        <f t="shared" si="52"/>
        <v>0.27500000000000002</v>
      </c>
      <c r="S59" s="5">
        <f t="shared" si="49"/>
        <v>0.315</v>
      </c>
      <c r="T59" s="5">
        <f t="shared" si="49"/>
        <v>0.35</v>
      </c>
      <c r="U59" s="5">
        <f t="shared" si="50"/>
        <v>0.32</v>
      </c>
      <c r="V59" s="5">
        <f t="shared" si="50"/>
        <v>0.3</v>
      </c>
      <c r="W59" s="5">
        <f t="shared" si="50"/>
        <v>0.32</v>
      </c>
      <c r="X59" s="5">
        <f t="shared" si="50"/>
        <v>0.33</v>
      </c>
      <c r="Y59" s="5">
        <f t="shared" si="50"/>
        <v>0.34</v>
      </c>
      <c r="Z59" s="5">
        <f t="shared" ref="Z59" si="53">Z46/Z30</f>
        <v>0.34</v>
      </c>
      <c r="AA59" s="16"/>
    </row>
    <row r="60" spans="2:35">
      <c r="B60" s="4" t="str">
        <f>B47</f>
        <v>Colombia fixed</v>
      </c>
      <c r="C60" s="5"/>
      <c r="D60" s="5"/>
      <c r="E60" s="5"/>
      <c r="F60" s="5"/>
      <c r="G60" s="5"/>
      <c r="H60" s="5"/>
      <c r="I60" s="5"/>
      <c r="J60" s="5"/>
      <c r="K60" s="5"/>
      <c r="L60" s="5"/>
      <c r="M60" s="5"/>
      <c r="N60" s="5">
        <f t="shared" ref="N60:R62" si="54">N47/N31</f>
        <v>0.25903614457831325</v>
      </c>
      <c r="O60" s="5">
        <f t="shared" si="54"/>
        <v>0.30163066904286162</v>
      </c>
      <c r="P60" s="5">
        <f t="shared" ca="1" si="54"/>
        <v>0.31052424461809669</v>
      </c>
      <c r="Q60" s="5">
        <f t="shared" ca="1" si="54"/>
        <v>0.28682337532035457</v>
      </c>
      <c r="R60" s="5">
        <f t="shared" ca="1" si="54"/>
        <v>0.31834118522278071</v>
      </c>
      <c r="S60" s="5">
        <f t="shared" ca="1" si="49"/>
        <v>0.35718692161434723</v>
      </c>
      <c r="T60" s="5">
        <f t="shared" ca="1" si="49"/>
        <v>0.34789041917932084</v>
      </c>
      <c r="U60" s="5">
        <f t="shared" ca="1" si="50"/>
        <v>0.32296398941296878</v>
      </c>
      <c r="V60" s="5">
        <f t="shared" ca="1" si="50"/>
        <v>0.3330841343439101</v>
      </c>
      <c r="W60" s="5">
        <f t="shared" ca="1" si="50"/>
        <v>0.32588406173398227</v>
      </c>
      <c r="X60" s="5">
        <f t="shared" ca="1" si="50"/>
        <v>0.32752358956482208</v>
      </c>
      <c r="Y60" s="5">
        <f t="shared" ca="1" si="50"/>
        <v>0.32919140530428664</v>
      </c>
      <c r="Z60" s="5">
        <f t="shared" ref="Z60" ca="1" si="55">Z47/Z31</f>
        <v>0.33088251836470806</v>
      </c>
      <c r="AA60" s="16"/>
    </row>
    <row r="61" spans="2:35">
      <c r="B61" s="4" t="s">
        <v>871</v>
      </c>
      <c r="C61" s="5">
        <f t="shared" ref="C61:M61" si="56">C48/C32</f>
        <v>0.37573860261920822</v>
      </c>
      <c r="D61" s="5">
        <f t="shared" si="56"/>
        <v>0.39111442480592956</v>
      </c>
      <c r="E61" s="5">
        <f t="shared" si="56"/>
        <v>0.40339532841338871</v>
      </c>
      <c r="F61" s="5">
        <f t="shared" si="56"/>
        <v>0.45185814123400575</v>
      </c>
      <c r="G61" s="5">
        <f t="shared" si="56"/>
        <v>0.49637280105754727</v>
      </c>
      <c r="H61" s="5">
        <f t="shared" si="56"/>
        <v>0.51499787820805332</v>
      </c>
      <c r="I61" s="5">
        <f t="shared" si="56"/>
        <v>0.54335516817112606</v>
      </c>
      <c r="J61" s="5">
        <f t="shared" si="56"/>
        <v>0.54420276777114862</v>
      </c>
      <c r="K61" s="5">
        <f t="shared" si="56"/>
        <v>0.53447865297102481</v>
      </c>
      <c r="L61" s="5">
        <f t="shared" si="56"/>
        <v>0.51645585784549297</v>
      </c>
      <c r="M61" s="5">
        <f t="shared" si="56"/>
        <v>0.46519447697846372</v>
      </c>
      <c r="N61" s="5">
        <f t="shared" si="54"/>
        <v>0.43207516566273596</v>
      </c>
      <c r="O61" s="5">
        <f t="shared" si="54"/>
        <v>0.41237644605695767</v>
      </c>
      <c r="P61" s="5">
        <f t="shared" ca="1" si="54"/>
        <v>0.41380214565037809</v>
      </c>
      <c r="Q61" s="5">
        <f t="shared" ca="1" si="54"/>
        <v>0.4426405629192508</v>
      </c>
      <c r="R61" s="5">
        <f t="shared" ca="1" si="54"/>
        <v>0.47075875777574516</v>
      </c>
      <c r="S61" s="5">
        <f t="shared" ca="1" si="49"/>
        <v>0.58327619935136965</v>
      </c>
      <c r="T61" s="5">
        <f t="shared" ca="1" si="49"/>
        <v>0.63107262859413926</v>
      </c>
      <c r="U61" s="5">
        <f t="shared" ca="1" si="50"/>
        <v>0.6408238835182366</v>
      </c>
      <c r="V61" s="5">
        <f t="shared" ca="1" si="50"/>
        <v>0.64309194561464855</v>
      </c>
      <c r="W61" s="5">
        <f t="shared" ca="1" si="50"/>
        <v>0.63870295133748167</v>
      </c>
      <c r="X61" s="5">
        <f t="shared" ca="1" si="50"/>
        <v>0.62745859050626318</v>
      </c>
      <c r="Y61" s="5">
        <f t="shared" ca="1" si="50"/>
        <v>0.61946672027676386</v>
      </c>
      <c r="Z61" s="5">
        <f t="shared" ref="Z61" ca="1" si="57">Z48/Z32</f>
        <v>0.61560921031048121</v>
      </c>
      <c r="AA61" s="16"/>
    </row>
    <row r="62" spans="2:35">
      <c r="B62" s="4" t="s">
        <v>1831</v>
      </c>
      <c r="C62" s="5">
        <f t="shared" ref="C62:M62" si="58">C49/C33</f>
        <v>0.42019609229536398</v>
      </c>
      <c r="D62" s="5">
        <f t="shared" si="58"/>
        <v>0.43878142940011611</v>
      </c>
      <c r="E62" s="5">
        <f t="shared" si="58"/>
        <v>0.43135173216828038</v>
      </c>
      <c r="F62" s="5">
        <f t="shared" si="58"/>
        <v>0.39272680668364812</v>
      </c>
      <c r="G62" s="5">
        <f t="shared" si="58"/>
        <v>0.31987124373518988</v>
      </c>
      <c r="H62" s="5">
        <f t="shared" si="58"/>
        <v>0.33369338959212375</v>
      </c>
      <c r="I62" s="5">
        <f t="shared" si="58"/>
        <v>0.36445169545745354</v>
      </c>
      <c r="J62" s="5">
        <f t="shared" si="58"/>
        <v>0.39931941217933947</v>
      </c>
      <c r="K62" s="5">
        <f t="shared" si="58"/>
        <v>0.41230018584576561</v>
      </c>
      <c r="L62" s="5">
        <f t="shared" si="58"/>
        <v>0.4044194779885773</v>
      </c>
      <c r="M62" s="5">
        <f t="shared" si="58"/>
        <v>0.27409782041941205</v>
      </c>
      <c r="N62" s="5">
        <f t="shared" si="54"/>
        <v>0.22651808421183486</v>
      </c>
      <c r="O62" s="5">
        <f t="shared" si="54"/>
        <v>0.20240206002504324</v>
      </c>
      <c r="P62" s="5">
        <f t="shared" ca="1" si="54"/>
        <v>0.28007542618192582</v>
      </c>
      <c r="Q62" s="5">
        <f t="shared" ca="1" si="54"/>
        <v>0.281837373517627</v>
      </c>
      <c r="R62" s="5">
        <f t="shared" ca="1" si="54"/>
        <v>0.17541756637876385</v>
      </c>
      <c r="S62" s="5">
        <f t="shared" ca="1" si="49"/>
        <v>0.16877896821087954</v>
      </c>
      <c r="T62" s="5">
        <f t="shared" ca="1" si="49"/>
        <v>0.1651483536966398</v>
      </c>
      <c r="U62" s="5">
        <f t="shared" ca="1" si="50"/>
        <v>0.16430180667769603</v>
      </c>
      <c r="V62" s="5">
        <f t="shared" ca="1" si="50"/>
        <v>0.16602031562256286</v>
      </c>
      <c r="W62" s="5">
        <f t="shared" ca="1" si="50"/>
        <v>0.17009063341292144</v>
      </c>
      <c r="X62" s="5">
        <f t="shared" ca="1" si="50"/>
        <v>0.17630603677028658</v>
      </c>
      <c r="Y62" s="5">
        <f t="shared" ca="1" si="50"/>
        <v>0.18446698371053455</v>
      </c>
      <c r="Z62" s="5">
        <f t="shared" ref="Z62" ca="1" si="59">Z49/Z33</f>
        <v>0.19438166913129784</v>
      </c>
      <c r="AA62" s="16"/>
    </row>
    <row r="63" spans="2:35">
      <c r="B63" s="4" t="s">
        <v>1195</v>
      </c>
      <c r="C63" s="5"/>
      <c r="D63" s="5"/>
      <c r="E63" s="5"/>
      <c r="F63" s="5"/>
      <c r="G63" s="5"/>
      <c r="H63" s="5">
        <f>H50/H34</f>
        <v>0.41860465116279072</v>
      </c>
      <c r="I63" s="29">
        <f>I50/I34</f>
        <v>0</v>
      </c>
      <c r="J63" s="29">
        <f>J50/J34</f>
        <v>0</v>
      </c>
      <c r="K63" s="29"/>
      <c r="L63" s="29"/>
      <c r="M63" s="29"/>
      <c r="N63" s="29"/>
      <c r="O63" s="29"/>
      <c r="P63" s="29"/>
      <c r="Q63" s="29"/>
      <c r="R63" s="29"/>
      <c r="S63" s="29"/>
      <c r="T63" s="29"/>
      <c r="U63" s="29"/>
      <c r="V63" s="29"/>
      <c r="W63" s="29"/>
      <c r="X63" s="29"/>
      <c r="Y63" s="29"/>
      <c r="Z63" s="29"/>
      <c r="AA63" s="16"/>
    </row>
    <row r="64" spans="2:35">
      <c r="B64" s="4" t="s">
        <v>2566</v>
      </c>
      <c r="C64" s="5"/>
      <c r="D64" s="5"/>
      <c r="E64" s="5"/>
      <c r="F64" s="5"/>
      <c r="G64" s="5"/>
      <c r="H64" s="5"/>
      <c r="I64" s="29"/>
      <c r="J64" s="29"/>
      <c r="K64" s="29"/>
      <c r="L64" s="29">
        <f>L51/L35</f>
        <v>-0.69230769230769229</v>
      </c>
      <c r="M64" s="29"/>
      <c r="N64" s="29"/>
      <c r="O64" s="29"/>
      <c r="P64" s="29"/>
      <c r="Q64" s="29"/>
      <c r="R64" s="29"/>
      <c r="S64" s="29"/>
      <c r="T64" s="29"/>
      <c r="U64" s="29"/>
      <c r="V64" s="29"/>
      <c r="W64" s="29"/>
      <c r="X64" s="29"/>
      <c r="Y64" s="29"/>
      <c r="Z64" s="29"/>
      <c r="AA64" s="16"/>
    </row>
    <row r="65" spans="2:29">
      <c r="B65" s="12" t="s">
        <v>1540</v>
      </c>
      <c r="C65" s="17"/>
      <c r="D65" s="17"/>
      <c r="E65" s="17"/>
      <c r="F65" s="17"/>
      <c r="G65" s="17"/>
      <c r="H65" s="17"/>
      <c r="I65" s="17"/>
      <c r="J65" s="17"/>
      <c r="K65" s="17"/>
      <c r="L65" s="17"/>
      <c r="M65" s="17"/>
      <c r="N65" s="17"/>
      <c r="O65" s="17"/>
      <c r="P65" s="17"/>
      <c r="Q65" s="17"/>
      <c r="R65" s="17"/>
      <c r="S65" s="17"/>
      <c r="T65" s="17"/>
      <c r="U65" s="17"/>
      <c r="V65" s="17"/>
      <c r="W65" s="17"/>
      <c r="X65" s="17"/>
      <c r="Y65" s="17"/>
      <c r="Z65" s="17"/>
      <c r="AA65" s="16"/>
    </row>
    <row r="66" spans="2:29">
      <c r="B66" s="2" t="s">
        <v>2776</v>
      </c>
      <c r="C66" s="18">
        <f t="shared" ref="C66:R66" si="60">C53/C37</f>
        <v>0.49634683537985425</v>
      </c>
      <c r="D66" s="18">
        <f t="shared" si="60"/>
        <v>0.49406916879373508</v>
      </c>
      <c r="E66" s="18">
        <f t="shared" si="60"/>
        <v>0.45202906216278832</v>
      </c>
      <c r="F66" s="18">
        <f t="shared" si="60"/>
        <v>0.43296874520749629</v>
      </c>
      <c r="G66" s="18">
        <f t="shared" si="60"/>
        <v>0.42493837531287482</v>
      </c>
      <c r="H66" s="18">
        <f t="shared" si="60"/>
        <v>0.46728129234494326</v>
      </c>
      <c r="I66" s="18">
        <f t="shared" si="60"/>
        <v>0.43620960363507505</v>
      </c>
      <c r="J66" s="18">
        <f t="shared" si="60"/>
        <v>0.44617642498037918</v>
      </c>
      <c r="K66" s="18">
        <f t="shared" si="60"/>
        <v>0.46189039620861216</v>
      </c>
      <c r="L66" s="18">
        <f t="shared" si="60"/>
        <v>0.39742467817531496</v>
      </c>
      <c r="M66" s="18">
        <f t="shared" si="60"/>
        <v>0.4032627343428703</v>
      </c>
      <c r="N66" s="18">
        <f t="shared" si="60"/>
        <v>0.36881973408649554</v>
      </c>
      <c r="O66" s="18">
        <f t="shared" si="60"/>
        <v>0.36298776100583852</v>
      </c>
      <c r="P66" s="18">
        <f t="shared" ca="1" si="60"/>
        <v>0.37656102900750815</v>
      </c>
      <c r="Q66" s="18">
        <f t="shared" ca="1" si="60"/>
        <v>0.37041179296583931</v>
      </c>
      <c r="R66" s="18">
        <f t="shared" ca="1" si="60"/>
        <v>0.37046347075771363</v>
      </c>
      <c r="S66" s="18">
        <f t="shared" ref="S66:Y66" ca="1" si="61">S53/S37</f>
        <v>0.4151213123924325</v>
      </c>
      <c r="T66" s="18">
        <f t="shared" ca="1" si="61"/>
        <v>0.438025562335842</v>
      </c>
      <c r="U66" s="18">
        <f t="shared" ca="1" si="61"/>
        <v>0.43270960518844787</v>
      </c>
      <c r="V66" s="18">
        <f t="shared" ca="1" si="61"/>
        <v>0.42871529619150872</v>
      </c>
      <c r="W66" s="18">
        <f t="shared" ca="1" si="61"/>
        <v>0.42451120146667698</v>
      </c>
      <c r="X66" s="18">
        <f t="shared" ca="1" si="61"/>
        <v>0.41668261872431928</v>
      </c>
      <c r="Y66" s="18">
        <f t="shared" ca="1" si="61"/>
        <v>0.41105618710852709</v>
      </c>
      <c r="Z66" s="18">
        <f t="shared" ref="Z66" ca="1" si="62">Z53/Z37</f>
        <v>0.31595793338043271</v>
      </c>
      <c r="AA66" s="16"/>
    </row>
    <row r="67" spans="2:29">
      <c r="B67" s="4" t="s">
        <v>2569</v>
      </c>
      <c r="C67" s="29">
        <f t="shared" ref="C67:R67" si="63">(C53-C51)/(C37-C35)</f>
        <v>0.49634683537985425</v>
      </c>
      <c r="D67" s="29">
        <f t="shared" si="63"/>
        <v>0.49406916879373508</v>
      </c>
      <c r="E67" s="29">
        <f t="shared" si="63"/>
        <v>0.45202906216278832</v>
      </c>
      <c r="F67" s="29">
        <f t="shared" si="63"/>
        <v>0.43296874520749629</v>
      </c>
      <c r="G67" s="29">
        <f t="shared" si="63"/>
        <v>0.42493837531287482</v>
      </c>
      <c r="H67" s="29">
        <f t="shared" si="63"/>
        <v>0.46728129234494326</v>
      </c>
      <c r="I67" s="29">
        <f t="shared" si="63"/>
        <v>0.43620960363507505</v>
      </c>
      <c r="J67" s="29">
        <f t="shared" si="63"/>
        <v>0.44617642498037918</v>
      </c>
      <c r="K67" s="29">
        <f t="shared" si="63"/>
        <v>0.46189039620861216</v>
      </c>
      <c r="L67" s="29">
        <f t="shared" si="63"/>
        <v>0.40013940506456219</v>
      </c>
      <c r="M67" s="29">
        <f t="shared" si="63"/>
        <v>0.4032627343428703</v>
      </c>
      <c r="N67" s="29">
        <f t="shared" si="63"/>
        <v>0.36881973408649554</v>
      </c>
      <c r="O67" s="29">
        <f t="shared" si="63"/>
        <v>0.36298776100583852</v>
      </c>
      <c r="P67" s="29">
        <f t="shared" ca="1" si="63"/>
        <v>0.37656102900750815</v>
      </c>
      <c r="Q67" s="29">
        <f t="shared" ca="1" si="63"/>
        <v>0.37041179296583931</v>
      </c>
      <c r="R67" s="29">
        <f t="shared" ca="1" si="63"/>
        <v>0.37046347075771363</v>
      </c>
      <c r="S67" s="29">
        <f t="shared" ref="S67:Y67" ca="1" si="64">(S53-S51)/(S37-S35)</f>
        <v>0.4151213123924325</v>
      </c>
      <c r="T67" s="29">
        <f t="shared" ca="1" si="64"/>
        <v>0.438025562335842</v>
      </c>
      <c r="U67" s="29">
        <f t="shared" ca="1" si="64"/>
        <v>0.43270960518844787</v>
      </c>
      <c r="V67" s="29">
        <f t="shared" ca="1" si="64"/>
        <v>0.42871529619150872</v>
      </c>
      <c r="W67" s="29">
        <f t="shared" ca="1" si="64"/>
        <v>0.42451120146667698</v>
      </c>
      <c r="X67" s="29">
        <f t="shared" ca="1" si="64"/>
        <v>0.41668261872431928</v>
      </c>
      <c r="Y67" s="29">
        <f t="shared" ca="1" si="64"/>
        <v>0.41105618710852709</v>
      </c>
      <c r="Z67" s="29">
        <f t="shared" ref="Z67" ca="1" si="65">(Z53-Z51)/(Z37-Z35)</f>
        <v>0.31595793338043271</v>
      </c>
      <c r="AA67" s="16"/>
    </row>
    <row r="68" spans="2:29">
      <c r="H68" s="5"/>
      <c r="I68" s="16"/>
      <c r="M68" s="456"/>
      <c r="O68" s="454"/>
      <c r="P68" s="454"/>
      <c r="Q68" s="449"/>
      <c r="AA68" s="16"/>
    </row>
    <row r="69" spans="2:29">
      <c r="B69" s="2" t="s">
        <v>3216</v>
      </c>
      <c r="C69" s="10">
        <f>C53+Master!F11</f>
        <v>292.74699999999996</v>
      </c>
      <c r="D69" s="10">
        <f>D53+Master!G11</f>
        <v>429.01900000000001</v>
      </c>
      <c r="E69" s="10">
        <f>E53+Master!H11</f>
        <v>466.56099999999998</v>
      </c>
      <c r="F69" s="10">
        <f>F53+Master!I11</f>
        <v>668.20400000000006</v>
      </c>
      <c r="G69" s="10">
        <f>G53+Master!J11</f>
        <v>1068.3470000000002</v>
      </c>
      <c r="H69" s="10">
        <f>H53+Master!K11</f>
        <v>1404.3500000000001</v>
      </c>
      <c r="I69" s="10">
        <f>I53+Master!L11</f>
        <v>1494.5519999999999</v>
      </c>
      <c r="J69" s="10">
        <f>J53+Master!M11</f>
        <v>1690.3710000000001</v>
      </c>
      <c r="K69" s="10">
        <f>K53+Master!N11</f>
        <v>2090.4360000000001</v>
      </c>
      <c r="L69" s="10">
        <f>L53+Master!O11</f>
        <v>2079.0860000000002</v>
      </c>
      <c r="M69" s="10">
        <f>M53+Master!P11</f>
        <v>2239.3999999999996</v>
      </c>
      <c r="N69" s="10">
        <f>N53+Master!Q11</f>
        <v>2097.4185681588733</v>
      </c>
      <c r="O69" s="10">
        <f>O53+Master!R11</f>
        <v>2238.5</v>
      </c>
      <c r="P69" s="10">
        <f ca="1">P53+Master!S11</f>
        <v>2169.7044926796475</v>
      </c>
      <c r="Q69" s="10">
        <f ca="1">Q53+Master!T11</f>
        <v>2206.4238861207118</v>
      </c>
      <c r="R69" s="10">
        <f ca="1">R53+Master!U11</f>
        <v>2201.1611047496122</v>
      </c>
      <c r="S69" s="10">
        <f ca="1">S53+Master!V11</f>
        <v>2688.1759609035266</v>
      </c>
      <c r="T69" s="10">
        <f ca="1">T53+Master!W11</f>
        <v>2992.0152875047315</v>
      </c>
      <c r="U69" s="10">
        <f ca="1">U53+Master!X11</f>
        <v>3102.5757720733027</v>
      </c>
      <c r="V69" s="10">
        <f ca="1">V53+Master!Y11</f>
        <v>3208.3259376344827</v>
      </c>
      <c r="W69" s="10">
        <f ca="1">W53+Master!Z11</f>
        <v>3192.0206161121628</v>
      </c>
      <c r="X69" s="10">
        <f ca="1">X53+Master!AA11</f>
        <v>3203.0765906258216</v>
      </c>
      <c r="Y69" s="10">
        <f ca="1">Y53+Master!AB11</f>
        <v>3320.9190451735876</v>
      </c>
      <c r="Z69" s="10">
        <f ca="1">Z53+Master!AC11</f>
        <v>2233.4754673763264</v>
      </c>
      <c r="AA69" s="28">
        <v>2274</v>
      </c>
      <c r="AB69" s="28">
        <v>2397</v>
      </c>
      <c r="AC69" s="28">
        <v>2523</v>
      </c>
    </row>
    <row r="70" spans="2:29">
      <c r="B70" s="4" t="s">
        <v>3352</v>
      </c>
      <c r="C70" s="31">
        <f t="shared" ref="C70:M70" si="66">(C69-C51)</f>
        <v>292.74699999999996</v>
      </c>
      <c r="D70" s="31">
        <f t="shared" si="66"/>
        <v>429.01900000000001</v>
      </c>
      <c r="E70" s="31">
        <f t="shared" si="66"/>
        <v>466.56099999999998</v>
      </c>
      <c r="F70" s="31">
        <f t="shared" si="66"/>
        <v>668.20400000000006</v>
      </c>
      <c r="G70" s="31">
        <f t="shared" si="66"/>
        <v>1068.3470000000002</v>
      </c>
      <c r="H70" s="31">
        <f t="shared" si="66"/>
        <v>1404.3500000000001</v>
      </c>
      <c r="I70" s="31">
        <f t="shared" si="66"/>
        <v>1494.5519999999999</v>
      </c>
      <c r="J70" s="31">
        <f t="shared" si="66"/>
        <v>1690.3710000000001</v>
      </c>
      <c r="K70" s="31">
        <f t="shared" si="66"/>
        <v>2090.4360000000001</v>
      </c>
      <c r="L70" s="31">
        <f t="shared" si="66"/>
        <v>2088.0860000000002</v>
      </c>
      <c r="M70" s="31">
        <f t="shared" si="66"/>
        <v>2239.3999999999996</v>
      </c>
      <c r="N70" s="31">
        <f t="shared" ref="N70:T70" si="67">(N69-N51-N47)</f>
        <v>1968.4185681588733</v>
      </c>
      <c r="O70" s="31">
        <f t="shared" si="67"/>
        <v>1924.4383249022164</v>
      </c>
      <c r="P70" s="31">
        <f t="shared" ca="1" si="67"/>
        <v>1870.8069761328745</v>
      </c>
      <c r="Q70" s="31">
        <f t="shared" ca="1" si="67"/>
        <v>1910.6010134179908</v>
      </c>
      <c r="R70" s="31">
        <f t="shared" ca="1" si="67"/>
        <v>1910.5973447368392</v>
      </c>
      <c r="S70" s="31">
        <f t="shared" ca="1" si="67"/>
        <v>2390.3845386076873</v>
      </c>
      <c r="T70" s="31">
        <f t="shared" ca="1" si="67"/>
        <v>2739.7745631839889</v>
      </c>
      <c r="U70" s="31">
        <f t="shared" ref="U70:Z70" ca="1" si="68">(U69-U51-U47)</f>
        <v>2856.3139781168943</v>
      </c>
      <c r="V70" s="31">
        <f t="shared" ca="1" si="68"/>
        <v>2944.6284412174846</v>
      </c>
      <c r="W70" s="31">
        <f t="shared" ca="1" si="68"/>
        <v>2930.8056865079016</v>
      </c>
      <c r="X70" s="31">
        <f t="shared" ca="1" si="68"/>
        <v>2937.0550851818871</v>
      </c>
      <c r="Y70" s="31">
        <f t="shared" ca="1" si="68"/>
        <v>3049.7439055104942</v>
      </c>
      <c r="Z70" s="31">
        <f t="shared" ca="1" si="68"/>
        <v>1956.7691701165791</v>
      </c>
      <c r="AA70" s="5">
        <f ca="1">P69/AA69-1</f>
        <v>-4.5864339191008185E-2</v>
      </c>
      <c r="AB70" s="5">
        <f ca="1">Q69/AB69-1</f>
        <v>-7.9506096737291698E-2</v>
      </c>
      <c r="AC70" s="5">
        <f ca="1">R69/AC69-1</f>
        <v>-0.12756198781228212</v>
      </c>
    </row>
    <row r="71" spans="2:29">
      <c r="B71" s="4" t="s">
        <v>1434</v>
      </c>
      <c r="C71" s="31"/>
      <c r="D71" s="31"/>
      <c r="E71" s="31"/>
      <c r="F71" s="31"/>
      <c r="G71" s="31"/>
      <c r="H71" s="31"/>
      <c r="I71" s="31"/>
      <c r="J71" s="29">
        <f>J70/(J37-J35)</f>
        <v>0.41994202003846864</v>
      </c>
      <c r="K71" s="29">
        <f>K70/(K37-K35)</f>
        <v>0.46189039620861216</v>
      </c>
      <c r="L71" s="29">
        <f>L70/(L37-L35)</f>
        <v>0.40013940506456219</v>
      </c>
      <c r="M71" s="29">
        <f>M70/(M37-M35)</f>
        <v>0.4032627343428703</v>
      </c>
      <c r="N71" s="29">
        <f t="shared" ref="N71:T71" si="69">N70/(N37-N35-N31)</f>
        <v>0.33428932252010535</v>
      </c>
      <c r="O71" s="29">
        <f t="shared" si="69"/>
        <v>0.33835300586328371</v>
      </c>
      <c r="P71" s="29">
        <f t="shared" ca="1" si="69"/>
        <v>0.35719385820477734</v>
      </c>
      <c r="Q71" s="29">
        <f t="shared" ca="1" si="69"/>
        <v>0.35886688732929423</v>
      </c>
      <c r="R71" s="29">
        <f t="shared" ca="1" si="69"/>
        <v>0.35150300911053156</v>
      </c>
      <c r="S71" s="29">
        <f t="shared" ca="1" si="69"/>
        <v>0.39806484000547937</v>
      </c>
      <c r="T71" s="29">
        <f t="shared" ca="1" si="69"/>
        <v>0.42655938831066997</v>
      </c>
      <c r="U71" s="29">
        <f t="shared" ref="U71:Z71" ca="1" si="70">U70/(U37-U35-U31)</f>
        <v>0.4221686146673348</v>
      </c>
      <c r="V71" s="29">
        <f t="shared" ca="1" si="70"/>
        <v>0.41848867139360019</v>
      </c>
      <c r="W71" s="29">
        <f t="shared" ca="1" si="70"/>
        <v>0.40430973646171953</v>
      </c>
      <c r="X71" s="29">
        <f t="shared" ca="1" si="70"/>
        <v>0.39604123772875294</v>
      </c>
      <c r="Y71" s="29">
        <f t="shared" ca="1" si="70"/>
        <v>0.4002213559793224</v>
      </c>
      <c r="Z71" s="29">
        <f t="shared" ca="1" si="70"/>
        <v>0.29173373098469302</v>
      </c>
      <c r="AA71" s="16"/>
    </row>
    <row r="72" spans="2:29">
      <c r="B72" s="4"/>
      <c r="C72" s="31"/>
      <c r="D72" s="31"/>
      <c r="E72" s="31"/>
      <c r="F72" s="31"/>
      <c r="G72" s="31"/>
      <c r="H72" s="31"/>
      <c r="I72" s="31"/>
      <c r="J72" s="29"/>
      <c r="K72" s="29"/>
      <c r="L72" s="29"/>
      <c r="M72" s="29"/>
      <c r="N72" s="29"/>
      <c r="O72" s="29"/>
      <c r="P72" s="29"/>
      <c r="Q72" s="29"/>
      <c r="R72" s="29"/>
      <c r="S72" s="29"/>
      <c r="T72" s="29"/>
      <c r="U72" s="29"/>
      <c r="V72" s="29"/>
      <c r="W72" s="29"/>
      <c r="X72" s="29"/>
      <c r="Y72" s="29"/>
      <c r="Z72" s="29"/>
      <c r="AA72" s="16"/>
    </row>
    <row r="73" spans="2:29">
      <c r="G73" s="201"/>
      <c r="H73" s="16"/>
      <c r="AA73" s="16"/>
    </row>
    <row r="74" spans="2:29">
      <c r="B74" s="2" t="s">
        <v>1545</v>
      </c>
      <c r="C74" s="8">
        <f t="shared" ref="C74:R74" si="71">C56</f>
        <v>2003</v>
      </c>
      <c r="D74" s="8">
        <f t="shared" si="71"/>
        <v>2004</v>
      </c>
      <c r="E74" s="8">
        <f t="shared" si="71"/>
        <v>2005</v>
      </c>
      <c r="F74" s="8">
        <f t="shared" si="71"/>
        <v>2006</v>
      </c>
      <c r="G74" s="8">
        <f t="shared" si="71"/>
        <v>2007</v>
      </c>
      <c r="H74" s="8">
        <f t="shared" si="71"/>
        <v>2008</v>
      </c>
      <c r="I74" s="8">
        <f t="shared" si="71"/>
        <v>2009</v>
      </c>
      <c r="J74" s="8">
        <f t="shared" si="71"/>
        <v>2010</v>
      </c>
      <c r="K74" s="8">
        <f t="shared" si="71"/>
        <v>2011</v>
      </c>
      <c r="L74" s="8">
        <f t="shared" si="71"/>
        <v>2012</v>
      </c>
      <c r="M74" s="8">
        <f t="shared" si="71"/>
        <v>2013</v>
      </c>
      <c r="N74" s="8">
        <f t="shared" si="71"/>
        <v>2014</v>
      </c>
      <c r="O74" s="8">
        <f t="shared" si="71"/>
        <v>2015</v>
      </c>
      <c r="P74" s="8">
        <f t="shared" si="71"/>
        <v>2016</v>
      </c>
      <c r="Q74" s="8">
        <f t="shared" si="71"/>
        <v>2017</v>
      </c>
      <c r="R74" s="8">
        <f t="shared" si="71"/>
        <v>2018</v>
      </c>
      <c r="S74" s="8">
        <f t="shared" ref="S74:Y74" si="72">S56</f>
        <v>2019</v>
      </c>
      <c r="T74" s="8">
        <f t="shared" si="72"/>
        <v>2020</v>
      </c>
      <c r="U74" s="8">
        <f t="shared" si="72"/>
        <v>2021</v>
      </c>
      <c r="V74" s="8">
        <f t="shared" si="72"/>
        <v>2022</v>
      </c>
      <c r="W74" s="8">
        <f t="shared" si="72"/>
        <v>2023</v>
      </c>
      <c r="X74" s="8">
        <f t="shared" si="72"/>
        <v>2024</v>
      </c>
      <c r="Y74" s="8">
        <f t="shared" si="72"/>
        <v>2025</v>
      </c>
      <c r="Z74" s="8">
        <f t="shared" ref="Z74" si="73">Z56</f>
        <v>2026</v>
      </c>
      <c r="AA74" s="16"/>
    </row>
    <row r="75" spans="2:29">
      <c r="B75" t="s">
        <v>1163</v>
      </c>
      <c r="D75" s="107">
        <v>34</v>
      </c>
      <c r="E75">
        <f>E83-E76-E79-E80</f>
        <v>129.00000000000006</v>
      </c>
      <c r="F75" s="9">
        <f>F83-F76-F77-F79-F80</f>
        <v>135</v>
      </c>
      <c r="G75" s="133">
        <v>94</v>
      </c>
      <c r="H75" s="133">
        <v>155</v>
      </c>
      <c r="I75" s="27"/>
      <c r="J75" s="27"/>
      <c r="K75" s="27"/>
      <c r="L75" s="27"/>
      <c r="N75" s="27"/>
      <c r="O75" s="27"/>
      <c r="P75" s="27"/>
      <c r="Q75" s="27"/>
      <c r="R75" s="27"/>
      <c r="S75" s="27"/>
      <c r="T75" s="27"/>
      <c r="U75" s="27"/>
      <c r="V75" s="27"/>
      <c r="W75" s="27"/>
      <c r="X75" s="27"/>
      <c r="Y75" s="27"/>
      <c r="Z75" s="27"/>
      <c r="AA75" s="16"/>
    </row>
    <row r="76" spans="2:29">
      <c r="B76" t="str">
        <f>B58</f>
        <v>Central America</v>
      </c>
      <c r="D76" s="107">
        <v>66</v>
      </c>
      <c r="E76" s="107">
        <v>82</v>
      </c>
      <c r="F76" s="107">
        <v>203</v>
      </c>
      <c r="G76" s="107">
        <v>292</v>
      </c>
      <c r="H76" s="107">
        <v>294</v>
      </c>
      <c r="I76" s="107">
        <f>115+61</f>
        <v>176</v>
      </c>
      <c r="J76" s="107">
        <f>150+8</f>
        <v>158</v>
      </c>
      <c r="K76" s="107">
        <v>221</v>
      </c>
      <c r="L76" s="133">
        <v>296</v>
      </c>
      <c r="M76" s="133">
        <f>SUM(Quarts!BB372:BE372)+CA!AL59</f>
        <v>360.65</v>
      </c>
      <c r="N76" s="133">
        <f>SUM(Quarts!BG372:BJ372)</f>
        <v>432</v>
      </c>
      <c r="O76" s="133">
        <f>SUM(Quarts!BL372:BO372)</f>
        <v>368</v>
      </c>
      <c r="P76" s="9">
        <f t="shared" ref="P76:Y76" si="74">P88*P29</f>
        <v>365.84716988163984</v>
      </c>
      <c r="Q76" s="9">
        <f t="shared" si="74"/>
        <v>356.14355885110217</v>
      </c>
      <c r="R76" s="9">
        <f t="shared" si="74"/>
        <v>337.33787078588273</v>
      </c>
      <c r="S76" s="9">
        <f t="shared" si="74"/>
        <v>354.17912282812961</v>
      </c>
      <c r="T76" s="9">
        <f t="shared" si="74"/>
        <v>372.55934395932138</v>
      </c>
      <c r="U76" s="9">
        <f t="shared" si="74"/>
        <v>392.12004259000827</v>
      </c>
      <c r="V76" s="9">
        <f t="shared" si="74"/>
        <v>409.75637551465189</v>
      </c>
      <c r="W76" s="9">
        <f t="shared" si="74"/>
        <v>425.26426259638629</v>
      </c>
      <c r="X76" s="9">
        <f t="shared" si="74"/>
        <v>439.39291616980785</v>
      </c>
      <c r="Y76" s="9">
        <f t="shared" si="74"/>
        <v>454.38871132774926</v>
      </c>
      <c r="Z76" s="9">
        <f t="shared" ref="Z76" si="75">Z88*Z29</f>
        <v>290.53356447935613</v>
      </c>
      <c r="AA76" s="16"/>
    </row>
    <row r="77" spans="2:29">
      <c r="B77" t="str">
        <f>B59</f>
        <v>Colombia mobile</v>
      </c>
      <c r="F77" s="9">
        <v>20</v>
      </c>
      <c r="G77" s="9">
        <f>Colombia!D62</f>
        <v>183</v>
      </c>
      <c r="H77" s="9">
        <f>Colombia!E62</f>
        <v>174</v>
      </c>
      <c r="I77" s="9">
        <f>Colombia!F62</f>
        <v>81.302038282524975</v>
      </c>
      <c r="J77" s="9">
        <f>Colombia!G62</f>
        <v>133</v>
      </c>
      <c r="K77" s="9">
        <f>Colombia!H62</f>
        <v>151.20000000000002</v>
      </c>
      <c r="L77" s="9">
        <f>Colombia!I62</f>
        <v>170</v>
      </c>
      <c r="M77" s="9">
        <f>Colombia!J62</f>
        <v>222.87</v>
      </c>
      <c r="N77" s="9">
        <f>Colombia!K62</f>
        <v>233.4</v>
      </c>
      <c r="O77" s="9">
        <f ca="1">Colombia!L62</f>
        <v>159.93384563233377</v>
      </c>
      <c r="P77" s="9">
        <f>Colombia!M62</f>
        <v>124.41926517709366</v>
      </c>
      <c r="Q77" s="9">
        <f>Colombia!N62</f>
        <v>115.45141819818602</v>
      </c>
      <c r="R77" s="9">
        <f>Colombia!O62</f>
        <v>110.96522181121472</v>
      </c>
      <c r="S77" s="9">
        <f>Colombia!P62</f>
        <v>102.48027509721931</v>
      </c>
      <c r="T77" s="9">
        <f>Colombia!Q62</f>
        <v>70.683263661796403</v>
      </c>
      <c r="U77" s="9">
        <f>Colombia!R62</f>
        <v>94.588751864498562</v>
      </c>
      <c r="V77" s="9">
        <f>Colombia!S62</f>
        <v>97.634855248550608</v>
      </c>
      <c r="W77" s="9">
        <f>Colombia!T62</f>
        <v>99.496187655276813</v>
      </c>
      <c r="X77" s="9">
        <f>Colombia!U62</f>
        <v>101.34057548311682</v>
      </c>
      <c r="Y77" s="9">
        <f>Colombia!V62</f>
        <v>103.17083203750865</v>
      </c>
      <c r="Z77" s="9">
        <f>Colombia!W62</f>
        <v>104.98986721258687</v>
      </c>
      <c r="AA77" s="16"/>
    </row>
    <row r="78" spans="2:29">
      <c r="B78" t="str">
        <f>B60</f>
        <v>Colombia fixed</v>
      </c>
      <c r="F78" s="9"/>
      <c r="G78" s="9"/>
      <c r="H78" s="9"/>
      <c r="I78" s="9"/>
      <c r="J78" s="9"/>
      <c r="K78" s="9"/>
      <c r="L78" s="9"/>
      <c r="M78" s="9"/>
      <c r="N78" s="133">
        <f>Quarts!BI379+Quarts!BJ379</f>
        <v>89</v>
      </c>
      <c r="O78" s="133">
        <f>SUM(Quarts!BL379:BO379)</f>
        <v>270.71529491525428</v>
      </c>
      <c r="P78" s="9">
        <f ca="1">Colombia!M255</f>
        <v>202.13712636840697</v>
      </c>
      <c r="Q78" s="9">
        <f ca="1">Colombia!N255</f>
        <v>206.27528866663314</v>
      </c>
      <c r="R78" s="9">
        <f ca="1">Colombia!O255</f>
        <v>164.29378047863224</v>
      </c>
      <c r="S78" s="9">
        <f ca="1">Colombia!P255</f>
        <v>183.4168860634262</v>
      </c>
      <c r="T78" s="9">
        <f ca="1">Colombia!Q255</f>
        <v>159.51275542877022</v>
      </c>
      <c r="U78" s="9">
        <f ca="1">Colombia!R255</f>
        <v>167.75119346551617</v>
      </c>
      <c r="V78" s="9">
        <f ca="1">Colombia!S255</f>
        <v>150.42002651347732</v>
      </c>
      <c r="W78" s="9">
        <f ca="1">Colombia!T255</f>
        <v>136.26483540325222</v>
      </c>
      <c r="X78" s="9">
        <f ca="1">Colombia!U255</f>
        <v>138.07755339258833</v>
      </c>
      <c r="Y78" s="9">
        <f ca="1">Colombia!V255</f>
        <v>140.03942083516353</v>
      </c>
      <c r="Z78" s="9">
        <f ca="1">Colombia!W255</f>
        <v>142.16547542807371</v>
      </c>
      <c r="AA78" s="16"/>
    </row>
    <row r="79" spans="2:29">
      <c r="B79" t="str">
        <f>B61</f>
        <v>SA ex Colombia</v>
      </c>
      <c r="D79" s="107">
        <v>24</v>
      </c>
      <c r="E79" s="107">
        <v>30</v>
      </c>
      <c r="F79" s="107">
        <f>74-F77</f>
        <v>54</v>
      </c>
      <c r="G79" s="133">
        <f>325-G77</f>
        <v>142</v>
      </c>
      <c r="H79" s="133">
        <f>369-H77</f>
        <v>195</v>
      </c>
      <c r="I79" s="133">
        <f>163-I77</f>
        <v>81.697961717475025</v>
      </c>
      <c r="J79" s="133">
        <f>244-J77</f>
        <v>111</v>
      </c>
      <c r="K79" s="133">
        <f>324-K77-44</f>
        <v>128.79999999999998</v>
      </c>
      <c r="L79" s="133">
        <f>373-53-L77</f>
        <v>150</v>
      </c>
      <c r="M79" s="133">
        <f>SUM(Quarts!BB374:BE374)-M77</f>
        <v>185.13</v>
      </c>
      <c r="N79" s="133">
        <f>SUM(Quarts!BG374:BJ374)-N77-N78</f>
        <v>177.60000000000002</v>
      </c>
      <c r="O79" s="133">
        <f ca="1">SUM(Quarts!BL374:BO374)-O77-O78</f>
        <v>245.35085945241201</v>
      </c>
      <c r="P79" s="9">
        <f ca="1">P91*P32</f>
        <v>212.53035017990726</v>
      </c>
      <c r="Q79" s="9">
        <f t="shared" ref="P79:T80" ca="1" si="76">Q91*Q32</f>
        <v>206.43464853939673</v>
      </c>
      <c r="R79" s="9">
        <f t="shared" ca="1" si="76"/>
        <v>224.31033099288547</v>
      </c>
      <c r="S79" s="9">
        <f t="shared" ca="1" si="76"/>
        <v>293.79085432612584</v>
      </c>
      <c r="T79" s="9">
        <f t="shared" ca="1" si="76"/>
        <v>342.24022529068753</v>
      </c>
      <c r="U79" s="9">
        <f t="shared" ref="U79:Y80" ca="1" si="77">U91*U32</f>
        <v>362.32797720186574</v>
      </c>
      <c r="V79" s="9">
        <f t="shared" ca="1" si="77"/>
        <v>375.61718327015274</v>
      </c>
      <c r="W79" s="9">
        <f t="shared" ca="1" si="77"/>
        <v>382.23681543710643</v>
      </c>
      <c r="X79" s="9">
        <f t="shared" ca="1" si="77"/>
        <v>381.87405107291909</v>
      </c>
      <c r="Y79" s="9">
        <f t="shared" ca="1" si="77"/>
        <v>385.12567830831046</v>
      </c>
      <c r="Z79" s="9">
        <f t="shared" ref="Z79" ca="1" si="78">Z91*Z32</f>
        <v>392.75815383741866</v>
      </c>
      <c r="AA79" s="16"/>
    </row>
    <row r="80" spans="2:29">
      <c r="B80" s="21" t="str">
        <f>B62</f>
        <v>Africa</v>
      </c>
      <c r="C80" s="21"/>
      <c r="D80" s="107">
        <v>80</v>
      </c>
      <c r="E80" s="107">
        <v>113</v>
      </c>
      <c r="F80" s="107">
        <v>264</v>
      </c>
      <c r="G80" s="107">
        <v>343</v>
      </c>
      <c r="H80" s="107">
        <v>601</v>
      </c>
      <c r="I80" s="107">
        <v>398</v>
      </c>
      <c r="J80" s="107">
        <v>236</v>
      </c>
      <c r="K80" s="107">
        <f>297-6</f>
        <v>291</v>
      </c>
      <c r="L80" s="133">
        <f>430-103-21</f>
        <v>306</v>
      </c>
      <c r="M80" s="133">
        <f>SUM(Quarts!BB376:BE376)-CA!AL60</f>
        <v>325.5</v>
      </c>
      <c r="N80" s="133">
        <f>SUM(Quarts!BG376:BJ376)</f>
        <v>361</v>
      </c>
      <c r="O80" s="133">
        <f>SUM(Quarts!BL376:BO376)</f>
        <v>242</v>
      </c>
      <c r="P80" s="9">
        <f t="shared" ca="1" si="76"/>
        <v>177.18565405568631</v>
      </c>
      <c r="Q80" s="9">
        <f t="shared" ca="1" si="76"/>
        <v>159.44370549962244</v>
      </c>
      <c r="R80" s="9">
        <f t="shared" ca="1" si="76"/>
        <v>132.63657861490853</v>
      </c>
      <c r="S80" s="9">
        <f t="shared" ca="1" si="76"/>
        <v>143.36511719406582</v>
      </c>
      <c r="T80" s="9">
        <f t="shared" ca="1" si="76"/>
        <v>144.73127266220828</v>
      </c>
      <c r="U80" s="9">
        <f t="shared" ca="1" si="77"/>
        <v>162.24804699003525</v>
      </c>
      <c r="V80" s="9">
        <f t="shared" ca="1" si="77"/>
        <v>181.78908067715389</v>
      </c>
      <c r="W80" s="9">
        <f t="shared" ca="1" si="77"/>
        <v>197.02146128147118</v>
      </c>
      <c r="X80" s="9">
        <f t="shared" ca="1" si="77"/>
        <v>213.66461001322727</v>
      </c>
      <c r="Y80" s="9">
        <f t="shared" ca="1" si="77"/>
        <v>231.85555648585216</v>
      </c>
      <c r="Z80" s="9">
        <f t="shared" ref="Z80" ca="1" si="79">Z92*Z33</f>
        <v>251.74494086071337</v>
      </c>
      <c r="AA80" s="16"/>
    </row>
    <row r="81" spans="2:27">
      <c r="B81" s="21" t="s">
        <v>1193</v>
      </c>
      <c r="C81" s="21"/>
      <c r="D81" s="21"/>
      <c r="E81" s="21"/>
      <c r="F81" s="21"/>
      <c r="G81" s="21"/>
      <c r="H81" s="9">
        <f>H83-H80-H79-H77-H76-H75</f>
        <v>12</v>
      </c>
      <c r="I81" s="9">
        <f>I83-I80-I79-I77-I76-I75</f>
        <v>0</v>
      </c>
      <c r="J81" s="9"/>
      <c r="K81" s="9"/>
      <c r="L81" s="9"/>
      <c r="M81" s="9"/>
      <c r="N81" s="9"/>
      <c r="O81" s="9"/>
      <c r="P81" s="9"/>
      <c r="Q81" s="9"/>
      <c r="R81" s="9"/>
      <c r="S81" s="9"/>
      <c r="T81" s="9"/>
      <c r="U81" s="9"/>
      <c r="V81" s="9"/>
      <c r="W81" s="9"/>
      <c r="X81" s="9"/>
      <c r="Y81" s="9"/>
      <c r="Z81" s="9"/>
      <c r="AA81" s="16"/>
    </row>
    <row r="82" spans="2:27">
      <c r="B82" s="12" t="s">
        <v>2566</v>
      </c>
      <c r="C82" s="11"/>
      <c r="D82" s="11"/>
      <c r="E82" s="11"/>
      <c r="F82" s="11"/>
      <c r="G82" s="11"/>
      <c r="H82" s="13"/>
      <c r="I82" s="13"/>
      <c r="J82" s="13"/>
      <c r="K82" s="13"/>
      <c r="L82" s="13"/>
      <c r="M82" s="13"/>
      <c r="N82" s="13"/>
      <c r="O82" s="13"/>
      <c r="P82" s="13"/>
      <c r="Q82" s="13"/>
      <c r="R82" s="13"/>
      <c r="S82" s="13"/>
      <c r="T82" s="13"/>
      <c r="U82" s="13"/>
      <c r="V82" s="13"/>
      <c r="W82" s="13"/>
      <c r="X82" s="13"/>
      <c r="Y82" s="13"/>
      <c r="Z82" s="13"/>
      <c r="AA82" s="16"/>
    </row>
    <row r="83" spans="2:27">
      <c r="B83" s="2" t="s">
        <v>1545</v>
      </c>
      <c r="C83" s="28">
        <v>103.828</v>
      </c>
      <c r="D83" s="2">
        <f>SUM(Quarts!K378:N378)</f>
        <v>237</v>
      </c>
      <c r="E83" s="102">
        <f>SUM(Quarts!O378:R378)</f>
        <v>354.00000000000006</v>
      </c>
      <c r="F83" s="102">
        <f>SUM(Quarts!S378:V378)</f>
        <v>676</v>
      </c>
      <c r="G83" s="102">
        <v>1056</v>
      </c>
      <c r="H83" s="102">
        <v>1431</v>
      </c>
      <c r="I83" s="102">
        <v>737</v>
      </c>
      <c r="J83" s="102">
        <v>688</v>
      </c>
      <c r="K83" s="102">
        <f>848-44</f>
        <v>804</v>
      </c>
      <c r="L83" s="102">
        <f>922</f>
        <v>922</v>
      </c>
      <c r="M83" s="181">
        <f>1306-223</f>
        <v>1083</v>
      </c>
      <c r="N83" s="181">
        <f t="shared" ref="N83:T83" si="80">SUM(N76:N82)</f>
        <v>1293</v>
      </c>
      <c r="O83" s="181">
        <f t="shared" ca="1" si="80"/>
        <v>1286</v>
      </c>
      <c r="P83" s="10">
        <f t="shared" ca="1" si="80"/>
        <v>1082.1195656627342</v>
      </c>
      <c r="Q83" s="10">
        <f t="shared" ca="1" si="80"/>
        <v>1043.7486197549406</v>
      </c>
      <c r="R83" s="10">
        <f t="shared" ca="1" si="80"/>
        <v>969.54378268352377</v>
      </c>
      <c r="S83" s="10">
        <f t="shared" ca="1" si="80"/>
        <v>1077.2322555089668</v>
      </c>
      <c r="T83" s="10">
        <f t="shared" ca="1" si="80"/>
        <v>1089.7268610027838</v>
      </c>
      <c r="U83" s="10">
        <f t="shared" ref="U83:Z83" ca="1" si="81">SUM(U76:U82)</f>
        <v>1179.0360121119238</v>
      </c>
      <c r="V83" s="10">
        <f t="shared" ca="1" si="81"/>
        <v>1215.2175212239863</v>
      </c>
      <c r="W83" s="10">
        <f t="shared" ca="1" si="81"/>
        <v>1240.2835623734927</v>
      </c>
      <c r="X83" s="10">
        <f t="shared" ca="1" si="81"/>
        <v>1274.3497061316593</v>
      </c>
      <c r="Y83" s="10">
        <f t="shared" ca="1" si="81"/>
        <v>1314.580198994584</v>
      </c>
      <c r="Z83" s="10">
        <f t="shared" ca="1" si="81"/>
        <v>1182.1920018181486</v>
      </c>
      <c r="AA83" s="16"/>
    </row>
    <row r="84" spans="2:27">
      <c r="B84" s="4" t="s">
        <v>3336</v>
      </c>
      <c r="G84" s="16"/>
      <c r="J84" s="196"/>
      <c r="K84" s="196"/>
      <c r="M84" s="454"/>
      <c r="N84" s="454">
        <f t="shared" ref="N84:T84" si="82">N83-N78</f>
        <v>1204</v>
      </c>
      <c r="O84" s="454">
        <f t="shared" ca="1" si="82"/>
        <v>1015.2847050847457</v>
      </c>
      <c r="P84" s="454">
        <f t="shared" ca="1" si="82"/>
        <v>879.98243929432726</v>
      </c>
      <c r="Q84" s="454">
        <f t="shared" ca="1" si="82"/>
        <v>837.47333108830742</v>
      </c>
      <c r="R84" s="454">
        <f t="shared" ca="1" si="82"/>
        <v>805.25000220489153</v>
      </c>
      <c r="S84" s="454">
        <f t="shared" ca="1" si="82"/>
        <v>893.81536944554057</v>
      </c>
      <c r="T84" s="454">
        <f t="shared" ca="1" si="82"/>
        <v>930.21410557401362</v>
      </c>
      <c r="U84" s="454">
        <f t="shared" ref="U84:Z84" ca="1" si="83">U83-U78</f>
        <v>1011.2848186464076</v>
      </c>
      <c r="V84" s="454">
        <f t="shared" ca="1" si="83"/>
        <v>1064.797494710509</v>
      </c>
      <c r="W84" s="454">
        <f t="shared" ca="1" si="83"/>
        <v>1104.0187269702406</v>
      </c>
      <c r="X84" s="454">
        <f t="shared" ca="1" si="83"/>
        <v>1136.2721527390711</v>
      </c>
      <c r="Y84" s="454">
        <f t="shared" ca="1" si="83"/>
        <v>1174.5407781594204</v>
      </c>
      <c r="Z84" s="454">
        <f t="shared" ca="1" si="83"/>
        <v>1040.0265263900749</v>
      </c>
      <c r="AA84" s="16"/>
    </row>
    <row r="85" spans="2:27">
      <c r="B85" s="4"/>
      <c r="G85" s="16"/>
      <c r="J85" s="196"/>
      <c r="K85" s="196"/>
      <c r="M85" s="454"/>
      <c r="N85" s="454"/>
      <c r="O85" s="454"/>
      <c r="P85" s="454"/>
      <c r="Q85" s="454"/>
      <c r="R85" s="454"/>
      <c r="S85" s="454"/>
      <c r="T85" s="454"/>
      <c r="U85" s="454"/>
      <c r="V85" s="454"/>
      <c r="W85" s="454"/>
      <c r="X85" s="454"/>
      <c r="Y85" s="454"/>
      <c r="Z85" s="454"/>
      <c r="AA85" s="16"/>
    </row>
    <row r="86" spans="2:27">
      <c r="B86" s="2" t="s">
        <v>681</v>
      </c>
      <c r="C86" s="8">
        <f t="shared" ref="C86:R86" si="84">C74</f>
        <v>2003</v>
      </c>
      <c r="D86" s="8">
        <f t="shared" si="84"/>
        <v>2004</v>
      </c>
      <c r="E86" s="8">
        <f t="shared" si="84"/>
        <v>2005</v>
      </c>
      <c r="F86" s="8">
        <f t="shared" si="84"/>
        <v>2006</v>
      </c>
      <c r="G86" s="8">
        <f t="shared" si="84"/>
        <v>2007</v>
      </c>
      <c r="H86" s="8">
        <f t="shared" si="84"/>
        <v>2008</v>
      </c>
      <c r="I86" s="8">
        <f t="shared" si="84"/>
        <v>2009</v>
      </c>
      <c r="J86" s="8">
        <f t="shared" si="84"/>
        <v>2010</v>
      </c>
      <c r="K86" s="8">
        <f t="shared" si="84"/>
        <v>2011</v>
      </c>
      <c r="L86" s="8">
        <f t="shared" si="84"/>
        <v>2012</v>
      </c>
      <c r="M86" s="8">
        <f t="shared" si="84"/>
        <v>2013</v>
      </c>
      <c r="N86" s="8">
        <f t="shared" si="84"/>
        <v>2014</v>
      </c>
      <c r="O86" s="8">
        <f t="shared" si="84"/>
        <v>2015</v>
      </c>
      <c r="P86" s="8">
        <f t="shared" si="84"/>
        <v>2016</v>
      </c>
      <c r="Q86" s="8">
        <f t="shared" si="84"/>
        <v>2017</v>
      </c>
      <c r="R86" s="8">
        <f t="shared" si="84"/>
        <v>2018</v>
      </c>
      <c r="S86" s="8">
        <f t="shared" ref="S86:Y86" si="85">S74</f>
        <v>2019</v>
      </c>
      <c r="T86" s="8">
        <f t="shared" si="85"/>
        <v>2020</v>
      </c>
      <c r="U86" s="8">
        <f t="shared" si="85"/>
        <v>2021</v>
      </c>
      <c r="V86" s="8">
        <f t="shared" si="85"/>
        <v>2022</v>
      </c>
      <c r="W86" s="8">
        <f t="shared" si="85"/>
        <v>2023</v>
      </c>
      <c r="X86" s="8">
        <f t="shared" si="85"/>
        <v>2024</v>
      </c>
      <c r="Y86" s="8">
        <f t="shared" si="85"/>
        <v>2025</v>
      </c>
      <c r="Z86" s="8">
        <f t="shared" ref="Z86" si="86">Z74</f>
        <v>2026</v>
      </c>
      <c r="AA86" s="16"/>
    </row>
    <row r="87" spans="2:27">
      <c r="B87" s="4" t="str">
        <f>B75</f>
        <v>Asia</v>
      </c>
      <c r="C87" s="27"/>
      <c r="D87" s="21"/>
      <c r="E87" s="21"/>
      <c r="F87" s="16"/>
      <c r="G87" s="16"/>
      <c r="H87" s="16"/>
      <c r="I87" s="65"/>
      <c r="J87" s="65"/>
      <c r="K87" s="65"/>
      <c r="L87" s="65"/>
      <c r="M87" s="65"/>
      <c r="N87" s="65"/>
      <c r="O87" s="65"/>
      <c r="P87" s="65"/>
      <c r="Q87" s="65"/>
      <c r="R87" s="65"/>
      <c r="S87" s="65"/>
      <c r="T87" s="65"/>
      <c r="U87" s="65"/>
      <c r="V87" s="65"/>
      <c r="W87" s="65"/>
      <c r="X87" s="65"/>
      <c r="Y87" s="65"/>
      <c r="Z87" s="65"/>
      <c r="AA87" s="16"/>
    </row>
    <row r="88" spans="2:27">
      <c r="B88" s="4" t="str">
        <f>B76</f>
        <v>Central America</v>
      </c>
      <c r="C88" s="27"/>
      <c r="D88" s="21"/>
      <c r="E88" s="21"/>
      <c r="F88" s="16">
        <f t="shared" ref="F88:N88" si="87">F76/F29</f>
        <v>0.2549895680376229</v>
      </c>
      <c r="G88" s="16">
        <f t="shared" si="87"/>
        <v>0.25405575653802048</v>
      </c>
      <c r="H88" s="16">
        <f t="shared" si="87"/>
        <v>0.21351708390858276</v>
      </c>
      <c r="I88" s="16">
        <f t="shared" si="87"/>
        <v>0.11576738666441971</v>
      </c>
      <c r="J88" s="16">
        <f t="shared" si="87"/>
        <v>0.1040083886089478</v>
      </c>
      <c r="K88" s="16">
        <f t="shared" si="87"/>
        <v>0.11996959772548015</v>
      </c>
      <c r="L88" s="16">
        <f t="shared" si="87"/>
        <v>0.12415911956135955</v>
      </c>
      <c r="M88" s="16">
        <f t="shared" si="87"/>
        <v>0.14993326353685921</v>
      </c>
      <c r="N88" s="16">
        <f t="shared" si="87"/>
        <v>0.17554260156490062</v>
      </c>
      <c r="O88" s="16">
        <f>O76/O29</f>
        <v>0.14398227239734759</v>
      </c>
      <c r="P88" s="65">
        <v>0.15</v>
      </c>
      <c r="Q88" s="65">
        <v>0.15</v>
      </c>
      <c r="R88" s="65">
        <v>0.14000000000000001</v>
      </c>
      <c r="S88" s="65">
        <v>0.14000000000000001</v>
      </c>
      <c r="T88" s="65">
        <v>0.14000000000000001</v>
      </c>
      <c r="U88" s="65">
        <f t="shared" ref="U88:Z88" si="88">T88+0.25%</f>
        <v>0.14250000000000002</v>
      </c>
      <c r="V88" s="65">
        <f t="shared" si="88"/>
        <v>0.14500000000000002</v>
      </c>
      <c r="W88" s="65">
        <f t="shared" si="88"/>
        <v>0.14750000000000002</v>
      </c>
      <c r="X88" s="65">
        <f t="shared" si="88"/>
        <v>0.15000000000000002</v>
      </c>
      <c r="Y88" s="65">
        <f t="shared" si="88"/>
        <v>0.15250000000000002</v>
      </c>
      <c r="Z88" s="65">
        <f t="shared" si="88"/>
        <v>0.15500000000000003</v>
      </c>
      <c r="AA88" s="16"/>
    </row>
    <row r="89" spans="2:27">
      <c r="B89" s="4" t="s">
        <v>1665</v>
      </c>
      <c r="C89" s="27"/>
      <c r="D89" s="21"/>
      <c r="E89" s="21"/>
      <c r="F89" s="16">
        <f t="shared" ref="F89:N89" si="89">F77/F30</f>
        <v>0.22145549408935289</v>
      </c>
      <c r="G89" s="16">
        <f t="shared" si="89"/>
        <v>0.41237658064694505</v>
      </c>
      <c r="H89" s="16">
        <f t="shared" si="89"/>
        <v>0.38839285714285715</v>
      </c>
      <c r="I89" s="16">
        <f t="shared" si="89"/>
        <v>0.18</v>
      </c>
      <c r="J89" s="16">
        <f t="shared" si="89"/>
        <v>0.2173202614379085</v>
      </c>
      <c r="K89" s="16">
        <f t="shared" si="89"/>
        <v>0.2</v>
      </c>
      <c r="L89" s="16">
        <f t="shared" si="89"/>
        <v>0.20023557126030625</v>
      </c>
      <c r="M89" s="16">
        <f t="shared" si="89"/>
        <v>0.23</v>
      </c>
      <c r="N89" s="16">
        <f t="shared" si="89"/>
        <v>0.2</v>
      </c>
      <c r="O89" s="16">
        <f ca="1">O77/O30</f>
        <v>0.17</v>
      </c>
      <c r="P89" s="16">
        <f t="shared" ref="O89:T90" si="90">P77/P30</f>
        <v>0.17</v>
      </c>
      <c r="Q89" s="16">
        <f t="shared" si="90"/>
        <v>0.16</v>
      </c>
      <c r="R89" s="16">
        <f t="shared" si="90"/>
        <v>0.15</v>
      </c>
      <c r="S89" s="16">
        <f t="shared" si="90"/>
        <v>0.15</v>
      </c>
      <c r="T89" s="16">
        <f t="shared" si="90"/>
        <v>0.12000000000000001</v>
      </c>
      <c r="U89" s="16">
        <f t="shared" ref="U89:Y90" si="91">U77/U30</f>
        <v>0.15</v>
      </c>
      <c r="V89" s="16">
        <f t="shared" si="91"/>
        <v>0.15</v>
      </c>
      <c r="W89" s="16">
        <f t="shared" si="91"/>
        <v>0.15</v>
      </c>
      <c r="X89" s="16">
        <f t="shared" si="91"/>
        <v>0.15</v>
      </c>
      <c r="Y89" s="16">
        <f t="shared" si="91"/>
        <v>0.15</v>
      </c>
      <c r="Z89" s="16">
        <f t="shared" ref="Z89" si="92">Z77/Z30</f>
        <v>0.15</v>
      </c>
      <c r="AA89" s="16"/>
    </row>
    <row r="90" spans="2:27">
      <c r="B90" s="4" t="s">
        <v>2964</v>
      </c>
      <c r="C90" s="27"/>
      <c r="D90" s="21"/>
      <c r="E90" s="21"/>
      <c r="F90" s="16"/>
      <c r="G90" s="16"/>
      <c r="H90" s="16"/>
      <c r="I90" s="16"/>
      <c r="J90" s="16"/>
      <c r="K90" s="16"/>
      <c r="L90" s="16"/>
      <c r="M90" s="16"/>
      <c r="N90" s="16"/>
      <c r="O90" s="16">
        <f t="shared" si="90"/>
        <v>0.26</v>
      </c>
      <c r="P90" s="16">
        <f t="shared" ca="1" si="90"/>
        <v>0.20999999999999996</v>
      </c>
      <c r="Q90" s="16">
        <f t="shared" ca="1" si="90"/>
        <v>0.19999999999999998</v>
      </c>
      <c r="R90" s="16">
        <f t="shared" ca="1" si="90"/>
        <v>0.18000000000000002</v>
      </c>
      <c r="S90" s="16">
        <f t="shared" ca="1" si="90"/>
        <v>0.22</v>
      </c>
      <c r="T90" s="16">
        <f t="shared" ca="1" si="90"/>
        <v>0.21999999999999997</v>
      </c>
      <c r="U90" s="16">
        <f t="shared" ca="1" si="91"/>
        <v>0.21999999999999995</v>
      </c>
      <c r="V90" s="16">
        <f t="shared" ca="1" si="91"/>
        <v>0.19000000000000003</v>
      </c>
      <c r="W90" s="16">
        <f t="shared" ca="1" si="91"/>
        <v>0.17000000000000004</v>
      </c>
      <c r="X90" s="16">
        <f t="shared" ca="1" si="91"/>
        <v>0.17000000000000007</v>
      </c>
      <c r="Y90" s="16">
        <f t="shared" ca="1" si="91"/>
        <v>0.17</v>
      </c>
      <c r="Z90" s="16">
        <f t="shared" ref="Z90" ca="1" si="93">Z78/Z31</f>
        <v>0.17</v>
      </c>
      <c r="AA90" s="16"/>
    </row>
    <row r="91" spans="2:27">
      <c r="B91" s="4" t="str">
        <f>B79</f>
        <v>SA ex Colombia</v>
      </c>
      <c r="C91" s="27"/>
      <c r="D91" s="21"/>
      <c r="E91" s="21"/>
      <c r="F91" s="16">
        <f t="shared" ref="F91:N91" si="94">F79/F32</f>
        <v>0.2342851093590827</v>
      </c>
      <c r="G91" s="16">
        <f t="shared" si="94"/>
        <v>0.38787866992040898</v>
      </c>
      <c r="H91" s="16">
        <f t="shared" si="94"/>
        <v>0.34957352147882886</v>
      </c>
      <c r="I91" s="16">
        <f t="shared" si="94"/>
        <v>0.13090586954981839</v>
      </c>
      <c r="J91" s="16">
        <f t="shared" si="94"/>
        <v>0.146140620324723</v>
      </c>
      <c r="K91" s="16">
        <f t="shared" si="94"/>
        <v>0.13552938410761994</v>
      </c>
      <c r="L91" s="16">
        <f t="shared" si="94"/>
        <v>0.13918884766306341</v>
      </c>
      <c r="M91" s="16">
        <f t="shared" si="94"/>
        <v>0.15147187216043048</v>
      </c>
      <c r="N91" s="16">
        <f t="shared" si="94"/>
        <v>0.14088439115386156</v>
      </c>
      <c r="O91" s="16">
        <f ca="1">O79/O32</f>
        <v>0.20397044338784098</v>
      </c>
      <c r="P91" s="65">
        <v>0.18</v>
      </c>
      <c r="Q91" s="65">
        <v>0.16</v>
      </c>
      <c r="R91" s="65">
        <v>0.16</v>
      </c>
      <c r="S91" s="65">
        <v>0.16</v>
      </c>
      <c r="T91" s="65">
        <v>0.16</v>
      </c>
      <c r="U91" s="65">
        <v>0.16</v>
      </c>
      <c r="V91" s="65">
        <v>0.16</v>
      </c>
      <c r="W91" s="65">
        <v>0.16</v>
      </c>
      <c r="X91" s="65">
        <v>0.16</v>
      </c>
      <c r="Y91" s="65">
        <v>0.16</v>
      </c>
      <c r="Z91" s="65">
        <v>0.16</v>
      </c>
      <c r="AA91" s="16"/>
    </row>
    <row r="92" spans="2:27">
      <c r="B92" s="4" t="str">
        <f>B80</f>
        <v>Africa</v>
      </c>
      <c r="C92" s="27"/>
      <c r="D92" s="21"/>
      <c r="E92" s="21"/>
      <c r="F92" s="16">
        <f t="shared" ref="F92:N92" si="95">F80/F33</f>
        <v>0.84586917864180322</v>
      </c>
      <c r="G92" s="16">
        <f t="shared" si="95"/>
        <v>0.71927359657768364</v>
      </c>
      <c r="H92" s="16">
        <f t="shared" si="95"/>
        <v>0.84528832630098449</v>
      </c>
      <c r="I92" s="16">
        <f t="shared" si="95"/>
        <v>0.50927703134996805</v>
      </c>
      <c r="J92" s="16">
        <f t="shared" si="95"/>
        <v>0.25958544635637071</v>
      </c>
      <c r="K92" s="16">
        <f t="shared" si="95"/>
        <v>0.29774507167241859</v>
      </c>
      <c r="L92" s="16">
        <f t="shared" si="95"/>
        <v>0.33712089337241041</v>
      </c>
      <c r="M92" s="16">
        <f t="shared" si="95"/>
        <v>0.34027017752295435</v>
      </c>
      <c r="N92" s="16">
        <f t="shared" si="95"/>
        <v>0.36106538678447786</v>
      </c>
      <c r="O92" s="16">
        <f>O80/O33</f>
        <v>0.24490649263030231</v>
      </c>
      <c r="P92" s="65">
        <v>0.2</v>
      </c>
      <c r="Q92" s="65">
        <v>0.17</v>
      </c>
      <c r="R92" s="65">
        <v>0.15</v>
      </c>
      <c r="S92" s="65">
        <v>0.15</v>
      </c>
      <c r="T92" s="65">
        <v>0.14000000000000001</v>
      </c>
      <c r="U92" s="65">
        <v>0.14499999999999999</v>
      </c>
      <c r="V92" s="65">
        <v>0.15</v>
      </c>
      <c r="W92" s="65">
        <v>0.15</v>
      </c>
      <c r="X92" s="65">
        <v>0.15</v>
      </c>
      <c r="Y92" s="65">
        <v>0.15</v>
      </c>
      <c r="Z92" s="65">
        <v>0.15</v>
      </c>
      <c r="AA92" s="16"/>
    </row>
    <row r="93" spans="2:27">
      <c r="B93" s="4" t="s">
        <v>1195</v>
      </c>
      <c r="C93" s="27"/>
      <c r="D93" s="21"/>
      <c r="E93" s="21"/>
      <c r="F93" s="16"/>
      <c r="G93" s="16"/>
      <c r="H93" s="16">
        <f>H81/H34</f>
        <v>0.27906976744186046</v>
      </c>
      <c r="I93" s="16">
        <f>I81/I34</f>
        <v>0</v>
      </c>
      <c r="J93" s="16">
        <f>J81/J34</f>
        <v>0</v>
      </c>
      <c r="K93" s="16"/>
      <c r="L93" s="16"/>
      <c r="M93" s="16"/>
      <c r="N93" s="16"/>
      <c r="O93" s="16"/>
      <c r="P93" s="16"/>
      <c r="Q93" s="16"/>
      <c r="R93" s="16"/>
      <c r="S93" s="16"/>
      <c r="T93" s="16"/>
      <c r="U93" s="16"/>
      <c r="V93" s="16"/>
      <c r="W93" s="16"/>
      <c r="X93" s="16"/>
      <c r="Y93" s="16"/>
      <c r="Z93" s="16"/>
      <c r="AA93" s="16"/>
    </row>
    <row r="94" spans="2:27">
      <c r="B94" s="12" t="s">
        <v>2566</v>
      </c>
      <c r="C94" s="37"/>
      <c r="D94" s="11"/>
      <c r="E94" s="11"/>
      <c r="F94" s="20"/>
      <c r="G94" s="20"/>
      <c r="H94" s="20"/>
      <c r="I94" s="20"/>
      <c r="J94" s="20"/>
      <c r="K94" s="20"/>
      <c r="L94" s="20"/>
      <c r="M94" s="20"/>
      <c r="N94" s="20"/>
      <c r="O94" s="20"/>
      <c r="P94" s="20"/>
      <c r="Q94" s="20"/>
      <c r="R94" s="20"/>
      <c r="S94" s="20"/>
      <c r="T94" s="20"/>
      <c r="U94" s="20"/>
      <c r="V94" s="20"/>
      <c r="W94" s="20"/>
      <c r="X94" s="20"/>
      <c r="Y94" s="20"/>
      <c r="Z94" s="20"/>
      <c r="AA94" s="16"/>
    </row>
    <row r="95" spans="2:27">
      <c r="B95" s="2" t="s">
        <v>2324</v>
      </c>
      <c r="C95" s="19">
        <f t="shared" ref="C95:R95" si="96">C83/C37</f>
        <v>0.16195592492762309</v>
      </c>
      <c r="D95" s="19">
        <f t="shared" si="96"/>
        <v>0.25720164609053497</v>
      </c>
      <c r="E95" s="19">
        <f t="shared" si="96"/>
        <v>0.32676933131364044</v>
      </c>
      <c r="F95" s="19">
        <f t="shared" si="96"/>
        <v>0.4146857651136398</v>
      </c>
      <c r="G95" s="19">
        <f t="shared" si="96"/>
        <v>0.40139194821435703</v>
      </c>
      <c r="H95" s="19">
        <f t="shared" si="96"/>
        <v>0.45620298778482937</v>
      </c>
      <c r="I95" s="19">
        <f t="shared" si="96"/>
        <v>0.20606363940938993</v>
      </c>
      <c r="J95" s="19">
        <f t="shared" si="96"/>
        <v>0.17092112310638696</v>
      </c>
      <c r="K95" s="19">
        <f t="shared" si="96"/>
        <v>0.17764709302352436</v>
      </c>
      <c r="L95" s="19">
        <f t="shared" si="96"/>
        <v>0.17624357687832073</v>
      </c>
      <c r="M95" s="19">
        <f t="shared" si="96"/>
        <v>0.19502256912267954</v>
      </c>
      <c r="N95" s="19">
        <f>N83/N37</f>
        <v>0.20246249334214844</v>
      </c>
      <c r="O95" s="19">
        <f t="shared" ca="1" si="96"/>
        <v>0.19111658573326851</v>
      </c>
      <c r="P95" s="19">
        <f t="shared" ca="1" si="96"/>
        <v>0.17453346170051218</v>
      </c>
      <c r="Q95" s="19">
        <f t="shared" ca="1" si="96"/>
        <v>0.16423126305237118</v>
      </c>
      <c r="R95" s="19">
        <f t="shared" ca="1" si="96"/>
        <v>0.15272612569824251</v>
      </c>
      <c r="S95" s="19">
        <f t="shared" ref="S95:Y95" ca="1" si="97">S83/S37</f>
        <v>0.15751943227918014</v>
      </c>
      <c r="T95" s="19">
        <f t="shared" ca="1" si="97"/>
        <v>0.15245157792366576</v>
      </c>
      <c r="U95" s="19">
        <f t="shared" ca="1" si="97"/>
        <v>0.15661345828932338</v>
      </c>
      <c r="V95" s="19">
        <f t="shared" ca="1" si="97"/>
        <v>0.1552393704524046</v>
      </c>
      <c r="W95" s="19">
        <f t="shared" ca="1" si="97"/>
        <v>0.15406350063295862</v>
      </c>
      <c r="X95" s="19">
        <f t="shared" ca="1" si="97"/>
        <v>0.15487485489531147</v>
      </c>
      <c r="Y95" s="19">
        <f t="shared" ca="1" si="97"/>
        <v>0.1556839318965037</v>
      </c>
      <c r="Z95" s="19">
        <f t="shared" ref="Z95" ca="1" si="98">Z83/Z37</f>
        <v>0.15671356674986223</v>
      </c>
      <c r="AA95" s="16"/>
    </row>
    <row r="96" spans="2:27">
      <c r="B96" s="2" t="s">
        <v>3336</v>
      </c>
      <c r="C96" s="27"/>
      <c r="D96" s="21"/>
      <c r="E96" s="21"/>
      <c r="F96" s="21"/>
      <c r="G96" s="21"/>
      <c r="H96" s="21"/>
      <c r="I96" s="5"/>
      <c r="J96" s="5"/>
      <c r="K96" s="5"/>
      <c r="L96" s="21"/>
      <c r="M96" s="21"/>
      <c r="N96" s="16">
        <f t="shared" ref="N96:T96" si="99">(N83-N78)/(N37-N31)</f>
        <v>0.20447091427849295</v>
      </c>
      <c r="O96" s="16">
        <f t="shared" ca="1" si="99"/>
        <v>0.17850643864614171</v>
      </c>
      <c r="P96" s="16">
        <f t="shared" ca="1" si="99"/>
        <v>0.16801536804920864</v>
      </c>
      <c r="Q96" s="16">
        <f t="shared" ca="1" si="99"/>
        <v>0.15730204550205876</v>
      </c>
      <c r="R96" s="16">
        <f t="shared" ca="1" si="99"/>
        <v>0.14814623271669408</v>
      </c>
      <c r="S96" s="16">
        <f t="shared" ca="1" si="99"/>
        <v>0.14884486838256414</v>
      </c>
      <c r="T96" s="16">
        <f t="shared" ca="1" si="99"/>
        <v>0.1448263536728667</v>
      </c>
      <c r="U96" s="16">
        <f t="shared" ref="U96:Z96" ca="1" si="100">(U83-U78)/(U37-U31)</f>
        <v>0.14946981115974101</v>
      </c>
      <c r="V96" s="16">
        <f t="shared" ca="1" si="100"/>
        <v>0.15132832469701848</v>
      </c>
      <c r="W96" s="16">
        <f t="shared" ca="1" si="100"/>
        <v>0.15230130151753329</v>
      </c>
      <c r="X96" s="16">
        <f t="shared" ca="1" si="100"/>
        <v>0.15321831450758366</v>
      </c>
      <c r="Y96" s="16">
        <f t="shared" ca="1" si="100"/>
        <v>0.15413632011481501</v>
      </c>
      <c r="Z96" s="16">
        <f t="shared" ca="1" si="100"/>
        <v>0.15505703150911276</v>
      </c>
    </row>
    <row r="97" spans="2:37">
      <c r="B97" s="2"/>
      <c r="C97" s="27"/>
      <c r="D97" s="21"/>
      <c r="E97" s="21"/>
      <c r="F97" s="21"/>
      <c r="G97" s="21"/>
      <c r="H97" s="21"/>
      <c r="I97" s="5"/>
      <c r="J97" s="5"/>
      <c r="K97" s="5"/>
      <c r="L97" s="21"/>
      <c r="M97" s="21"/>
      <c r="N97" s="16"/>
      <c r="O97" s="16"/>
      <c r="P97" s="16"/>
      <c r="Q97" s="16"/>
      <c r="R97" s="16"/>
      <c r="S97" s="16"/>
      <c r="T97" s="16"/>
      <c r="U97" s="16"/>
      <c r="V97" s="16"/>
      <c r="W97" s="16"/>
      <c r="X97" s="16"/>
      <c r="Y97" s="16"/>
      <c r="Z97" s="16"/>
    </row>
    <row r="98" spans="2:37">
      <c r="B98" s="2" t="s">
        <v>3940</v>
      </c>
      <c r="C98" s="27"/>
      <c r="D98" s="21"/>
      <c r="E98" s="9"/>
      <c r="F98" s="9"/>
      <c r="G98" s="9"/>
      <c r="H98" s="9"/>
      <c r="I98" s="9"/>
      <c r="J98" s="9"/>
      <c r="K98" s="9"/>
      <c r="L98" s="9"/>
      <c r="M98" s="9"/>
      <c r="N98" s="9"/>
      <c r="O98" s="9"/>
      <c r="P98" s="9"/>
      <c r="Q98" s="9"/>
      <c r="R98" s="9"/>
      <c r="S98" s="9"/>
      <c r="T98" s="9"/>
      <c r="U98" s="9"/>
      <c r="V98" s="9"/>
      <c r="W98" s="9"/>
      <c r="X98" s="9"/>
      <c r="Y98" s="9"/>
      <c r="Z98" s="9"/>
    </row>
    <row r="99" spans="2:37">
      <c r="B99" s="4" t="s">
        <v>1163</v>
      </c>
      <c r="C99" s="27"/>
      <c r="D99" s="21"/>
      <c r="E99" s="21"/>
      <c r="F99" s="9"/>
      <c r="G99" s="9"/>
      <c r="H99" s="9"/>
      <c r="I99" s="9"/>
      <c r="J99" s="9"/>
      <c r="K99" s="9"/>
      <c r="L99" s="9"/>
      <c r="M99" s="9"/>
      <c r="N99" s="9"/>
      <c r="O99" s="9"/>
      <c r="P99" s="9"/>
      <c r="Q99" s="9"/>
      <c r="R99" s="9"/>
      <c r="S99" s="9"/>
      <c r="T99" s="9"/>
      <c r="U99" s="9"/>
      <c r="V99" s="9"/>
      <c r="W99" s="9"/>
      <c r="X99" s="9"/>
      <c r="Y99" s="9"/>
      <c r="Z99" s="9"/>
    </row>
    <row r="100" spans="2:37">
      <c r="B100" s="4" t="str">
        <f>B88</f>
        <v>Central America</v>
      </c>
      <c r="C100" s="27"/>
      <c r="D100" s="21"/>
      <c r="E100" s="21"/>
      <c r="F100" s="9"/>
      <c r="G100" s="9">
        <f t="shared" ref="G100:T100" si="101">G45-G76</f>
        <v>316.17900000000009</v>
      </c>
      <c r="H100" s="9">
        <f t="shared" si="101"/>
        <v>464.82600000000002</v>
      </c>
      <c r="I100" s="9">
        <f t="shared" si="101"/>
        <v>661.73099999999999</v>
      </c>
      <c r="J100" s="9">
        <f t="shared" si="101"/>
        <v>686.18799999999999</v>
      </c>
      <c r="K100" s="9">
        <f t="shared" si="101"/>
        <v>744.00800000000004</v>
      </c>
      <c r="L100" s="9">
        <f t="shared" si="101"/>
        <v>662</v>
      </c>
      <c r="M100" s="9">
        <f t="shared" si="101"/>
        <v>812.55000000000007</v>
      </c>
      <c r="N100" s="9">
        <f t="shared" si="101"/>
        <v>721.01106564304428</v>
      </c>
      <c r="O100" s="9">
        <f t="shared" si="101"/>
        <v>804</v>
      </c>
      <c r="P100" s="9">
        <f t="shared" si="101"/>
        <v>725.27736677150335</v>
      </c>
      <c r="Q100" s="9">
        <f t="shared" ref="Q100:Q105" si="102">Q45-Q76</f>
        <v>693.51770355097619</v>
      </c>
      <c r="R100" s="9">
        <f t="shared" si="101"/>
        <v>705.36999856702926</v>
      </c>
      <c r="S100" s="9">
        <f t="shared" si="101"/>
        <v>739.40081363699744</v>
      </c>
      <c r="T100" s="9">
        <f t="shared" si="101"/>
        <v>779.46094899450793</v>
      </c>
      <c r="U100" s="9">
        <f t="shared" ref="U100:Y105" si="103">U45-U76</f>
        <v>782.38112099852219</v>
      </c>
      <c r="V100" s="9">
        <f t="shared" si="103"/>
        <v>776.33811072883441</v>
      </c>
      <c r="W100" s="9">
        <f t="shared" si="103"/>
        <v>769.51821763539192</v>
      </c>
      <c r="X100" s="9">
        <f t="shared" si="103"/>
        <v>751.50770420381627</v>
      </c>
      <c r="Y100" s="9">
        <f t="shared" si="103"/>
        <v>735.29162692949262</v>
      </c>
      <c r="Z100" s="9">
        <f t="shared" ref="Z100" si="104">Z45-Z76</f>
        <v>-259.13171116992504</v>
      </c>
    </row>
    <row r="101" spans="2:37">
      <c r="B101" s="4" t="s">
        <v>2962</v>
      </c>
      <c r="C101" s="27"/>
      <c r="D101" s="21"/>
      <c r="E101" s="21"/>
      <c r="F101" s="9"/>
      <c r="G101" s="9">
        <f>G46-G77</f>
        <v>-88.10903540000001</v>
      </c>
      <c r="H101" s="9">
        <f>H46-H77</f>
        <v>-110.05443973781603</v>
      </c>
      <c r="I101" s="9">
        <f t="shared" ref="I101:T102" si="105">I46-I77</f>
        <v>18.17362614294116</v>
      </c>
      <c r="J101" s="9">
        <f t="shared" si="105"/>
        <v>43.399914366896468</v>
      </c>
      <c r="K101" s="9">
        <f t="shared" si="105"/>
        <v>64.327593158015958</v>
      </c>
      <c r="L101" s="9">
        <f t="shared" si="105"/>
        <v>37.429700169995954</v>
      </c>
      <c r="M101" s="9">
        <f t="shared" si="105"/>
        <v>13.566000000000003</v>
      </c>
      <c r="N101" s="9">
        <f t="shared" si="105"/>
        <v>68.85299999999998</v>
      </c>
      <c r="O101" s="9">
        <f ca="1">O46-O77</f>
        <v>100.46733890037206</v>
      </c>
      <c r="P101" s="9">
        <f t="shared" si="105"/>
        <v>58.550242436279362</v>
      </c>
      <c r="Q101" s="9">
        <f t="shared" si="102"/>
        <v>57.725709099092995</v>
      </c>
      <c r="R101" s="9">
        <f t="shared" si="105"/>
        <v>92.471018176012279</v>
      </c>
      <c r="S101" s="9">
        <f t="shared" si="105"/>
        <v>112.72830260694124</v>
      </c>
      <c r="T101" s="9">
        <f t="shared" si="105"/>
        <v>135.47625535177644</v>
      </c>
      <c r="U101" s="9">
        <f t="shared" si="103"/>
        <v>107.20058544643172</v>
      </c>
      <c r="V101" s="9">
        <f t="shared" si="103"/>
        <v>97.634855248550608</v>
      </c>
      <c r="W101" s="9">
        <f t="shared" si="103"/>
        <v>112.76234600931373</v>
      </c>
      <c r="X101" s="9">
        <f t="shared" si="103"/>
        <v>121.6086905797402</v>
      </c>
      <c r="Y101" s="9">
        <f t="shared" si="103"/>
        <v>130.68305391417766</v>
      </c>
      <c r="Z101" s="9">
        <f t="shared" ref="Z101" si="106">Z46-Z77</f>
        <v>132.98716513594337</v>
      </c>
    </row>
    <row r="102" spans="2:37">
      <c r="B102" s="4" t="s">
        <v>2964</v>
      </c>
      <c r="C102" s="27"/>
      <c r="D102" s="21"/>
      <c r="E102" s="21"/>
      <c r="F102" s="9"/>
      <c r="G102" s="9"/>
      <c r="H102" s="9"/>
      <c r="I102" s="9"/>
      <c r="J102" s="9"/>
      <c r="K102" s="9"/>
      <c r="L102" s="9"/>
      <c r="M102" s="9"/>
      <c r="N102" s="9">
        <f>N47-N78</f>
        <v>40</v>
      </c>
      <c r="O102" s="9">
        <f>O47-O78</f>
        <v>43.346380182529288</v>
      </c>
      <c r="P102" s="9">
        <f t="shared" ca="1" si="105"/>
        <v>96.760390178366066</v>
      </c>
      <c r="Q102" s="9">
        <f t="shared" ca="1" si="102"/>
        <v>89.547584036087841</v>
      </c>
      <c r="R102" s="9">
        <f t="shared" ca="1" si="105"/>
        <v>126.26997953414076</v>
      </c>
      <c r="S102" s="9">
        <f t="shared" ca="1" si="105"/>
        <v>114.37453623241322</v>
      </c>
      <c r="T102" s="9">
        <f t="shared" ca="1" si="105"/>
        <v>92.727968891972353</v>
      </c>
      <c r="U102" s="9">
        <f t="shared" ca="1" si="103"/>
        <v>78.510600490892273</v>
      </c>
      <c r="V102" s="9">
        <f t="shared" ca="1" si="103"/>
        <v>113.27746990352054</v>
      </c>
      <c r="W102" s="9">
        <f t="shared" ca="1" si="103"/>
        <v>124.95009420100877</v>
      </c>
      <c r="X102" s="9">
        <f t="shared" ca="1" si="103"/>
        <v>127.94395205134632</v>
      </c>
      <c r="Y102" s="9">
        <f t="shared" ca="1" si="103"/>
        <v>131.13571882792985</v>
      </c>
      <c r="Z102" s="9">
        <f t="shared" ref="Z102" ca="1" si="107">Z47-Z78</f>
        <v>134.54082183167367</v>
      </c>
    </row>
    <row r="103" spans="2:37">
      <c r="B103" s="4" t="str">
        <f>B91</f>
        <v>SA ex Colombia</v>
      </c>
      <c r="C103" s="27"/>
      <c r="D103" s="21"/>
      <c r="E103" s="21"/>
      <c r="F103" s="9"/>
      <c r="G103" s="9">
        <f>G48-G79</f>
        <v>39.719035399999996</v>
      </c>
      <c r="H103" s="9">
        <f>H48-H79</f>
        <v>92.277439737816053</v>
      </c>
      <c r="I103" s="9">
        <f t="shared" ref="I103:T103" si="108">I48-I79</f>
        <v>257.40837385705879</v>
      </c>
      <c r="J103" s="9">
        <f t="shared" si="108"/>
        <v>302.34508563310351</v>
      </c>
      <c r="K103" s="9">
        <f t="shared" si="108"/>
        <v>379.14040684198403</v>
      </c>
      <c r="L103" s="9">
        <f t="shared" si="108"/>
        <v>406.57029983000393</v>
      </c>
      <c r="M103" s="9">
        <f t="shared" si="108"/>
        <v>383.43399999999997</v>
      </c>
      <c r="N103" s="9">
        <f t="shared" si="108"/>
        <v>367.07743937578573</v>
      </c>
      <c r="O103" s="9">
        <f t="shared" ca="1" si="108"/>
        <v>250.68628091709854</v>
      </c>
      <c r="P103" s="9">
        <f t="shared" ca="1" si="108"/>
        <v>276.05584382160305</v>
      </c>
      <c r="Q103" s="9">
        <f t="shared" ca="1" si="102"/>
        <v>364.66753293257995</v>
      </c>
      <c r="R103" s="9">
        <f t="shared" ca="1" si="108"/>
        <v>435.66499884759571</v>
      </c>
      <c r="S103" s="9">
        <f t="shared" ca="1" si="108"/>
        <v>777.21672639596522</v>
      </c>
      <c r="T103" s="9">
        <f t="shared" ca="1" si="108"/>
        <v>1007.6250158645912</v>
      </c>
      <c r="U103" s="9">
        <f t="shared" ca="1" si="103"/>
        <v>1088.8496569094261</v>
      </c>
      <c r="V103" s="9">
        <f t="shared" ca="1" si="103"/>
        <v>1134.1102242017007</v>
      </c>
      <c r="W103" s="9">
        <f t="shared" ca="1" si="103"/>
        <v>1143.6118228723944</v>
      </c>
      <c r="X103" s="9">
        <f t="shared" ca="1" si="103"/>
        <v>1115.6894104091471</v>
      </c>
      <c r="Y103" s="9">
        <f t="shared" ca="1" si="103"/>
        <v>1105.9527019167715</v>
      </c>
      <c r="Z103" s="9">
        <f t="shared" ref="Z103" ca="1" si="109">Z48-Z79</f>
        <v>1118.40145195543</v>
      </c>
    </row>
    <row r="104" spans="2:37">
      <c r="B104" s="4" t="str">
        <f>B92</f>
        <v>Africa</v>
      </c>
      <c r="C104" s="27"/>
      <c r="D104" s="21"/>
      <c r="E104" s="21"/>
      <c r="F104" s="9"/>
      <c r="G104" s="9">
        <f>G49-G80</f>
        <v>-190.46299999999999</v>
      </c>
      <c r="H104" s="9">
        <f>H49-H80</f>
        <v>-363.74400000000003</v>
      </c>
      <c r="I104" s="9">
        <f t="shared" ref="I104:T104" si="110">I49-I80</f>
        <v>-113.18100000000004</v>
      </c>
      <c r="J104" s="9">
        <f t="shared" si="110"/>
        <v>127.03800000000001</v>
      </c>
      <c r="K104" s="9">
        <f t="shared" si="110"/>
        <v>111.96000000000004</v>
      </c>
      <c r="L104" s="9">
        <f t="shared" si="110"/>
        <v>61.086000000000013</v>
      </c>
      <c r="M104" s="9">
        <f t="shared" si="110"/>
        <v>-63.300000000000011</v>
      </c>
      <c r="N104" s="9">
        <f t="shared" si="110"/>
        <v>-134.52293685995659</v>
      </c>
      <c r="O104" s="9">
        <f t="shared" si="110"/>
        <v>-42</v>
      </c>
      <c r="P104" s="9">
        <f t="shared" ca="1" si="110"/>
        <v>70.941083809161796</v>
      </c>
      <c r="Q104" s="9">
        <f t="shared" ca="1" si="102"/>
        <v>104.89273674703404</v>
      </c>
      <c r="R104" s="9">
        <f t="shared" ca="1" si="110"/>
        <v>22.475326941310442</v>
      </c>
      <c r="S104" s="9">
        <f t="shared" ca="1" si="110"/>
        <v>17.948326522242553</v>
      </c>
      <c r="T104" s="9">
        <f t="shared" ca="1" si="110"/>
        <v>25.998237399100191</v>
      </c>
      <c r="U104" s="9">
        <f t="shared" ca="1" si="103"/>
        <v>21.597796116106252</v>
      </c>
      <c r="V104" s="9">
        <f t="shared" ca="1" si="103"/>
        <v>19.415456327890354</v>
      </c>
      <c r="W104" s="9">
        <f t="shared" ca="1" si="103"/>
        <v>26.38857302056087</v>
      </c>
      <c r="X104" s="9">
        <f t="shared" ca="1" si="103"/>
        <v>37.471127250112659</v>
      </c>
      <c r="Y104" s="9">
        <f t="shared" ca="1" si="103"/>
        <v>53.275744590631916</v>
      </c>
      <c r="Z104" s="9">
        <f t="shared" ref="Z104" ca="1" si="111">Z49-Z80</f>
        <v>74.485737805055521</v>
      </c>
    </row>
    <row r="105" spans="2:37">
      <c r="B105" s="4" t="s">
        <v>1195</v>
      </c>
      <c r="C105" s="27"/>
      <c r="D105" s="21"/>
      <c r="E105" s="21"/>
      <c r="F105" s="9"/>
      <c r="G105" s="9"/>
      <c r="H105" s="9">
        <f>H50-H81</f>
        <v>6</v>
      </c>
      <c r="I105" s="9">
        <f t="shared" ref="I105:T105" si="112">I50-I81</f>
        <v>0</v>
      </c>
      <c r="J105" s="9">
        <f t="shared" si="112"/>
        <v>0</v>
      </c>
      <c r="K105" s="9">
        <f t="shared" si="112"/>
        <v>0</v>
      </c>
      <c r="L105" s="9">
        <f t="shared" si="112"/>
        <v>0</v>
      </c>
      <c r="M105" s="9">
        <f t="shared" si="112"/>
        <v>0</v>
      </c>
      <c r="N105" s="9">
        <f t="shared" si="112"/>
        <v>0</v>
      </c>
      <c r="O105" s="9">
        <f t="shared" si="112"/>
        <v>0</v>
      </c>
      <c r="P105" s="9">
        <f t="shared" si="112"/>
        <v>0</v>
      </c>
      <c r="Q105" s="9">
        <f t="shared" si="102"/>
        <v>0</v>
      </c>
      <c r="R105" s="9">
        <f t="shared" si="112"/>
        <v>0</v>
      </c>
      <c r="S105" s="9">
        <f t="shared" si="112"/>
        <v>0</v>
      </c>
      <c r="T105" s="9">
        <f t="shared" si="112"/>
        <v>0</v>
      </c>
      <c r="U105" s="9">
        <f t="shared" si="103"/>
        <v>0</v>
      </c>
      <c r="V105" s="9">
        <f t="shared" si="103"/>
        <v>0</v>
      </c>
      <c r="W105" s="9">
        <f t="shared" si="103"/>
        <v>0</v>
      </c>
      <c r="X105" s="9">
        <f t="shared" si="103"/>
        <v>0</v>
      </c>
      <c r="Y105" s="9">
        <f t="shared" si="103"/>
        <v>0</v>
      </c>
      <c r="Z105" s="9">
        <f t="shared" ref="Z105" si="113">Z50-Z81</f>
        <v>0</v>
      </c>
    </row>
    <row r="106" spans="2:37">
      <c r="B106" s="12" t="str">
        <f>B94</f>
        <v>Rocket Internet</v>
      </c>
      <c r="C106" s="37"/>
      <c r="D106" s="11"/>
      <c r="E106" s="11"/>
      <c r="F106" s="13"/>
      <c r="G106" s="13"/>
      <c r="H106" s="13"/>
      <c r="I106" s="13"/>
      <c r="J106" s="13"/>
      <c r="K106" s="13"/>
      <c r="L106" s="13">
        <f>L51+$A35*(Master!O$11)-L82</f>
        <v>-9</v>
      </c>
      <c r="M106" s="13">
        <f>M51+$A35*(Master!P$11)-M82</f>
        <v>0</v>
      </c>
      <c r="N106" s="13">
        <f>N51+$A35*(Master!Q$11)-N82</f>
        <v>0</v>
      </c>
      <c r="O106" s="13">
        <f>O51+$A35*(Master!R$11)-O82</f>
        <v>0</v>
      </c>
      <c r="P106" s="13">
        <f>P51+$A35*(Master!S$11)-P82</f>
        <v>0</v>
      </c>
      <c r="Q106" s="13">
        <f>Q51+$A35*(Master!T$11)-Q82</f>
        <v>0</v>
      </c>
      <c r="R106" s="13">
        <f>R51+$A35*(Master!U$11)-R82</f>
        <v>0</v>
      </c>
      <c r="S106" s="13">
        <f>S51+$A35*(Master!V$11)-S82</f>
        <v>0</v>
      </c>
      <c r="T106" s="13">
        <f>T51+$A35*(Master!W$11)-T82</f>
        <v>0</v>
      </c>
      <c r="U106" s="13">
        <f>U51+$A35*(Master!X$11)-U82</f>
        <v>0</v>
      </c>
      <c r="V106" s="13">
        <f>V51+$A35*(Master!Y$11)-V82</f>
        <v>0</v>
      </c>
      <c r="W106" s="13">
        <f>W51+$A35*(Master!Z$11)-W82</f>
        <v>0</v>
      </c>
      <c r="X106" s="13">
        <f ca="1">X51+$A35*(Master!AA$11)-X82</f>
        <v>0</v>
      </c>
      <c r="Y106" s="13">
        <f>Y51+$A35*(Master!AB$11)-Y82</f>
        <v>0</v>
      </c>
      <c r="Z106" s="13">
        <f>Z51+$A35*(Master!AC$11)-Z82</f>
        <v>0</v>
      </c>
    </row>
    <row r="107" spans="2:37">
      <c r="B107" s="2" t="s">
        <v>2324</v>
      </c>
      <c r="C107" s="28">
        <f>C69-C83</f>
        <v>188.91899999999995</v>
      </c>
      <c r="D107" s="28">
        <f>D69-D83</f>
        <v>192.01900000000001</v>
      </c>
      <c r="E107" s="28">
        <f>E69-E83</f>
        <v>112.56099999999992</v>
      </c>
      <c r="F107" s="28">
        <f>F69-F83</f>
        <v>-7.7959999999999354</v>
      </c>
      <c r="G107" s="28">
        <f>G69-G83</f>
        <v>12.347000000000207</v>
      </c>
      <c r="H107" s="28">
        <f>SUM(H99:H105)</f>
        <v>89.305000000000007</v>
      </c>
      <c r="I107" s="28">
        <f>SUM(I100:I105)</f>
        <v>824.13199999999995</v>
      </c>
      <c r="J107" s="28">
        <f>SUM(J100:J105)</f>
        <v>1158.971</v>
      </c>
      <c r="K107" s="28">
        <f>SUM(K100:K105)</f>
        <v>1299.4360000000001</v>
      </c>
      <c r="L107" s="28">
        <f t="shared" ref="L107:R107" si="114">SUM(L100:L106)</f>
        <v>1158.086</v>
      </c>
      <c r="M107" s="28">
        <f t="shared" si="114"/>
        <v>1146.2500000000002</v>
      </c>
      <c r="N107" s="28">
        <f t="shared" si="114"/>
        <v>1062.4185681588733</v>
      </c>
      <c r="O107" s="28">
        <f t="shared" ca="1" si="114"/>
        <v>1156.5</v>
      </c>
      <c r="P107" s="28">
        <f t="shared" ca="1" si="114"/>
        <v>1227.5849270169138</v>
      </c>
      <c r="Q107" s="28">
        <f ca="1">SUM(Q100:Q106)</f>
        <v>1310.3512663657709</v>
      </c>
      <c r="R107" s="28">
        <f t="shared" ca="1" si="114"/>
        <v>1382.2513220660885</v>
      </c>
      <c r="S107" s="28">
        <f t="shared" ref="S107:Y107" ca="1" si="115">SUM(S100:S106)</f>
        <v>1761.6687053945598</v>
      </c>
      <c r="T107" s="28">
        <f t="shared" ca="1" si="115"/>
        <v>2041.2884265019482</v>
      </c>
      <c r="U107" s="28">
        <f t="shared" ca="1" si="115"/>
        <v>2078.5397599613784</v>
      </c>
      <c r="V107" s="28">
        <f t="shared" ca="1" si="115"/>
        <v>2140.7761164104963</v>
      </c>
      <c r="W107" s="28">
        <f t="shared" ca="1" si="115"/>
        <v>2177.2310537386697</v>
      </c>
      <c r="X107" s="28">
        <f t="shared" ca="1" si="115"/>
        <v>2154.2208844941624</v>
      </c>
      <c r="Y107" s="28">
        <f t="shared" ca="1" si="115"/>
        <v>2156.3388461790037</v>
      </c>
      <c r="Z107" s="28">
        <f t="shared" ref="Z107" ca="1" si="116">SUM(Z100:Z106)</f>
        <v>1201.2834655581776</v>
      </c>
    </row>
    <row r="108" spans="2:37">
      <c r="H108" s="9"/>
      <c r="I108" s="16"/>
      <c r="N108" s="449"/>
      <c r="O108" s="449"/>
    </row>
    <row r="109" spans="2:37">
      <c r="B109" s="2" t="s">
        <v>3941</v>
      </c>
      <c r="C109" s="10">
        <f>C107</f>
        <v>188.91899999999995</v>
      </c>
      <c r="D109" s="10">
        <f>D107</f>
        <v>192.01900000000001</v>
      </c>
      <c r="E109" s="10">
        <f>E107</f>
        <v>112.56099999999992</v>
      </c>
      <c r="F109" s="10">
        <f>F107</f>
        <v>-7.7959999999999354</v>
      </c>
      <c r="G109" s="10">
        <f>G69-G83</f>
        <v>12.347000000000207</v>
      </c>
      <c r="H109" s="10">
        <f>H69-H83</f>
        <v>-26.649999999999864</v>
      </c>
      <c r="I109" s="10">
        <f>I53-I83</f>
        <v>823.13199999999983</v>
      </c>
      <c r="J109" s="10">
        <f t="shared" ref="J109:R109" si="117">J69-J83</f>
        <v>1002.3710000000001</v>
      </c>
      <c r="K109" s="10">
        <f t="shared" si="117"/>
        <v>1286.4360000000001</v>
      </c>
      <c r="L109" s="10">
        <f t="shared" si="117"/>
        <v>1157.0860000000002</v>
      </c>
      <c r="M109" s="10">
        <f>M69-M83</f>
        <v>1156.3999999999996</v>
      </c>
      <c r="N109" s="10">
        <f t="shared" si="117"/>
        <v>804.41856815887331</v>
      </c>
      <c r="O109" s="10">
        <f t="shared" ca="1" si="117"/>
        <v>952.5</v>
      </c>
      <c r="P109" s="10">
        <f t="shared" ca="1" si="117"/>
        <v>1087.5849270169133</v>
      </c>
      <c r="Q109" s="10">
        <f t="shared" ca="1" si="117"/>
        <v>1162.6752663657712</v>
      </c>
      <c r="R109" s="10">
        <f t="shared" ca="1" si="117"/>
        <v>1231.6173220660885</v>
      </c>
      <c r="S109" s="10">
        <f t="shared" ref="S109:Y109" ca="1" si="118">S69-S83</f>
        <v>1610.9437053945599</v>
      </c>
      <c r="T109" s="10">
        <f t="shared" ca="1" si="118"/>
        <v>1902.2884265019477</v>
      </c>
      <c r="U109" s="10">
        <f t="shared" ca="1" si="118"/>
        <v>1923.5397599613789</v>
      </c>
      <c r="V109" s="10">
        <f t="shared" ca="1" si="118"/>
        <v>1993.1084164104964</v>
      </c>
      <c r="W109" s="10">
        <f t="shared" ca="1" si="118"/>
        <v>1951.7370537386701</v>
      </c>
      <c r="X109" s="10">
        <f t="shared" ca="1" si="118"/>
        <v>1928.7268844941623</v>
      </c>
      <c r="Y109" s="10">
        <f t="shared" ca="1" si="118"/>
        <v>2006.3388461790037</v>
      </c>
      <c r="Z109" s="10">
        <f t="shared" ref="Z109" ca="1" si="119">Z69-Z83</f>
        <v>1051.2834655581778</v>
      </c>
    </row>
    <row r="110" spans="2:37">
      <c r="B110" s="4" t="s">
        <v>1434</v>
      </c>
      <c r="C110" s="31"/>
      <c r="D110" s="31"/>
      <c r="E110" s="31"/>
      <c r="F110" s="31"/>
      <c r="G110" s="31"/>
      <c r="H110" s="31"/>
      <c r="I110" s="31"/>
      <c r="J110" s="31"/>
      <c r="K110" s="31"/>
      <c r="L110" s="31"/>
      <c r="M110" s="31"/>
      <c r="N110" s="29">
        <f>N109/N37</f>
        <v>0.12595869218883718</v>
      </c>
      <c r="O110" s="29">
        <f t="shared" ref="O110:Y110" ca="1" si="120">O109/O37</f>
        <v>0.14155408080166271</v>
      </c>
      <c r="P110" s="29">
        <f t="shared" ca="1" si="120"/>
        <v>0.17541496173697524</v>
      </c>
      <c r="Q110" s="29">
        <f t="shared" ca="1" si="120"/>
        <v>0.18294407666841739</v>
      </c>
      <c r="R110" s="29">
        <f t="shared" ca="1" si="120"/>
        <v>0.19400891976365492</v>
      </c>
      <c r="S110" s="29">
        <f t="shared" ca="1" si="120"/>
        <v>0.23556195668089858</v>
      </c>
      <c r="T110" s="29">
        <f t="shared" ca="1" si="120"/>
        <v>0.26612803874475505</v>
      </c>
      <c r="U110" s="29">
        <f t="shared" ca="1" si="120"/>
        <v>0.25550722019504285</v>
      </c>
      <c r="V110" s="29">
        <f t="shared" ca="1" si="120"/>
        <v>0.25461194428410888</v>
      </c>
      <c r="W110" s="29">
        <f t="shared" ca="1" si="120"/>
        <v>0.24243765856141189</v>
      </c>
      <c r="X110" s="29">
        <f t="shared" ca="1" si="120"/>
        <v>0.23440292325681145</v>
      </c>
      <c r="Y110" s="29">
        <f t="shared" ca="1" si="120"/>
        <v>0.23760796072292636</v>
      </c>
      <c r="Z110" s="29">
        <f t="shared" ref="Z110" ca="1" si="121">Z109/Z37</f>
        <v>0.13936008812392625</v>
      </c>
    </row>
    <row r="111" spans="2:37">
      <c r="B111" s="4"/>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2:37">
      <c r="B112" s="2" t="s">
        <v>1429</v>
      </c>
      <c r="C112" s="8">
        <f t="shared" ref="C112:T112" si="122">C27</f>
        <v>2003</v>
      </c>
      <c r="D112" s="8">
        <f t="shared" si="122"/>
        <v>2004</v>
      </c>
      <c r="E112" s="8">
        <f t="shared" si="122"/>
        <v>2005</v>
      </c>
      <c r="F112" s="8">
        <f t="shared" si="122"/>
        <v>2006</v>
      </c>
      <c r="G112" s="8">
        <f t="shared" si="122"/>
        <v>2007</v>
      </c>
      <c r="H112" s="8">
        <f t="shared" si="122"/>
        <v>2008</v>
      </c>
      <c r="I112" s="8">
        <f t="shared" si="122"/>
        <v>2009</v>
      </c>
      <c r="J112" s="8">
        <f t="shared" si="122"/>
        <v>2010</v>
      </c>
      <c r="K112" s="8">
        <f t="shared" si="122"/>
        <v>2011</v>
      </c>
      <c r="L112" s="8">
        <f t="shared" si="122"/>
        <v>2012</v>
      </c>
      <c r="M112" s="8">
        <f t="shared" si="122"/>
        <v>2013</v>
      </c>
      <c r="N112" s="8">
        <f t="shared" si="122"/>
        <v>2014</v>
      </c>
      <c r="O112" s="8">
        <f t="shared" si="122"/>
        <v>2015</v>
      </c>
      <c r="P112" s="8">
        <f t="shared" si="122"/>
        <v>2016</v>
      </c>
      <c r="Q112" s="8">
        <f t="shared" si="122"/>
        <v>2017</v>
      </c>
      <c r="R112" s="8">
        <f t="shared" si="122"/>
        <v>2018</v>
      </c>
      <c r="S112" s="8">
        <f t="shared" si="122"/>
        <v>2019</v>
      </c>
      <c r="T112" s="8">
        <f t="shared" si="122"/>
        <v>2020</v>
      </c>
      <c r="U112" s="8">
        <f t="shared" ref="U112:Z112" si="123">U27</f>
        <v>2021</v>
      </c>
      <c r="V112" s="8">
        <f t="shared" si="123"/>
        <v>2022</v>
      </c>
      <c r="W112" s="8">
        <f t="shared" si="123"/>
        <v>2023</v>
      </c>
      <c r="X112" s="8">
        <f t="shared" si="123"/>
        <v>2024</v>
      </c>
      <c r="Y112" s="8">
        <f t="shared" si="123"/>
        <v>2025</v>
      </c>
      <c r="Z112" s="8">
        <f t="shared" si="123"/>
        <v>2026</v>
      </c>
      <c r="AA112" s="8"/>
      <c r="AB112" s="8"/>
      <c r="AC112" s="8"/>
      <c r="AD112" s="8"/>
      <c r="AE112" s="8"/>
      <c r="AF112" s="8"/>
      <c r="AG112" s="8"/>
      <c r="AH112" s="8"/>
      <c r="AI112" s="8"/>
      <c r="AJ112" s="8"/>
      <c r="AK112" s="8"/>
    </row>
    <row r="113" spans="2:37">
      <c r="B113" s="4" t="s">
        <v>1163</v>
      </c>
      <c r="C113" s="7"/>
      <c r="D113" s="7"/>
      <c r="E113" s="7"/>
      <c r="F113" s="7"/>
      <c r="G113" s="7">
        <f t="shared" ref="G113:H115" si="124">G28/AVERAGE(F11:G11)/12*1000</f>
        <v>7.8632913436692506</v>
      </c>
      <c r="H113" s="7">
        <f t="shared" si="124"/>
        <v>5.9467595755339984</v>
      </c>
      <c r="I113" s="7"/>
      <c r="J113" s="7"/>
      <c r="K113" s="7"/>
      <c r="L113" s="7"/>
      <c r="M113" s="7"/>
      <c r="N113" s="7"/>
      <c r="O113" s="7"/>
      <c r="P113" s="7"/>
      <c r="Q113" s="7"/>
      <c r="R113" s="7"/>
      <c r="S113" s="7"/>
      <c r="T113" s="7"/>
      <c r="U113" s="7"/>
      <c r="V113" s="7"/>
      <c r="W113" s="7"/>
      <c r="X113" s="7"/>
      <c r="Y113" s="7"/>
      <c r="Z113" s="7"/>
      <c r="AA113" s="16"/>
      <c r="AB113" s="16"/>
      <c r="AC113" s="16"/>
      <c r="AD113" s="16"/>
      <c r="AE113" s="16"/>
      <c r="AF113" s="16"/>
      <c r="AG113" s="16"/>
      <c r="AH113" s="16"/>
      <c r="AI113" s="16"/>
      <c r="AJ113" s="16"/>
      <c r="AK113" s="16"/>
    </row>
    <row r="114" spans="2:37">
      <c r="B114" s="4" t="str">
        <f>B100</f>
        <v>Central America</v>
      </c>
      <c r="C114" s="7"/>
      <c r="D114" s="7">
        <f>D29/AVERAGE(C12:D12)/12*1000</f>
        <v>16.348780267920954</v>
      </c>
      <c r="E114" s="7">
        <f>E29/AVERAGE(D12:E12)/12*1000</f>
        <v>17.011857783575188</v>
      </c>
      <c r="F114" s="7">
        <f>F29/AVERAGE(E12:F12)/12*1000</f>
        <v>16.793197155274662</v>
      </c>
      <c r="G114" s="7">
        <f t="shared" si="124"/>
        <v>13.693148493449151</v>
      </c>
      <c r="H114" s="7">
        <f t="shared" si="124"/>
        <v>11.470244808526308</v>
      </c>
      <c r="I114" s="7">
        <f t="shared" ref="I114:Z114" si="125">I29/AVERAGE(H12:I12)/12*1000</f>
        <v>10.521183667940202</v>
      </c>
      <c r="J114" s="7">
        <f t="shared" si="125"/>
        <v>9.5954197219731778</v>
      </c>
      <c r="K114" s="7">
        <f t="shared" si="125"/>
        <v>10.921395593133397</v>
      </c>
      <c r="L114" s="7">
        <f t="shared" si="125"/>
        <v>13.146492435108723</v>
      </c>
      <c r="M114" s="7">
        <f t="shared" si="125"/>
        <v>12.756565590218109</v>
      </c>
      <c r="N114" s="7">
        <f t="shared" si="125"/>
        <v>12.883833741457366</v>
      </c>
      <c r="O114" s="7">
        <f t="shared" si="125"/>
        <v>13.064179397240332</v>
      </c>
      <c r="P114" s="7">
        <f t="shared" si="125"/>
        <v>12.159817501122342</v>
      </c>
      <c r="Q114" s="7">
        <f t="shared" si="125"/>
        <v>11.623292087630432</v>
      </c>
      <c r="R114" s="7">
        <f t="shared" si="125"/>
        <v>11.54589815493647</v>
      </c>
      <c r="S114" s="7">
        <f t="shared" si="125"/>
        <v>11.882471050118653</v>
      </c>
      <c r="T114" s="7">
        <f t="shared" si="125"/>
        <v>12.25264078632706</v>
      </c>
      <c r="U114" s="7">
        <f t="shared" si="125"/>
        <v>12.486335452395892</v>
      </c>
      <c r="V114" s="7">
        <f t="shared" si="125"/>
        <v>12.70350802520618</v>
      </c>
      <c r="W114" s="7">
        <f t="shared" si="125"/>
        <v>12.839868416763752</v>
      </c>
      <c r="X114" s="7">
        <f t="shared" si="125"/>
        <v>12.92337475238549</v>
      </c>
      <c r="Y114" s="7">
        <f t="shared" si="125"/>
        <v>13.022219637056297</v>
      </c>
      <c r="Z114" s="7">
        <f t="shared" si="125"/>
        <v>8.1151754688760604</v>
      </c>
      <c r="AA114" s="16"/>
      <c r="AB114" s="16"/>
      <c r="AC114" s="16"/>
      <c r="AD114" s="16"/>
      <c r="AE114" s="16"/>
      <c r="AF114" s="16"/>
      <c r="AG114" s="16"/>
      <c r="AH114" s="16"/>
      <c r="AI114" s="16"/>
      <c r="AJ114" s="16"/>
      <c r="AK114" s="16"/>
    </row>
    <row r="115" spans="2:37">
      <c r="B115" s="4" t="str">
        <f>B101</f>
        <v>Colombia mobile</v>
      </c>
      <c r="C115" s="7"/>
      <c r="D115" s="7"/>
      <c r="E115" s="7"/>
      <c r="F115" s="177">
        <f>F30/AVERAGE(E13:F13)/3*1000</f>
        <v>14.199937106918236</v>
      </c>
      <c r="G115" s="7">
        <f t="shared" si="124"/>
        <v>15.125055850942967</v>
      </c>
      <c r="H115" s="7">
        <f t="shared" si="124"/>
        <v>12.27262765724304</v>
      </c>
      <c r="I115" s="7">
        <f t="shared" ref="I115:Z115" si="126">I30/AVERAGE(H13:I13)/12*1000</f>
        <v>10.665863569908193</v>
      </c>
      <c r="J115" s="7">
        <f t="shared" si="126"/>
        <v>12.690634796750153</v>
      </c>
      <c r="K115" s="7">
        <f t="shared" si="126"/>
        <v>13.774371208153379</v>
      </c>
      <c r="L115" s="7">
        <f t="shared" si="126"/>
        <v>13.374291115311909</v>
      </c>
      <c r="M115" s="7">
        <f t="shared" si="126"/>
        <v>12.941742126772978</v>
      </c>
      <c r="N115" s="7">
        <f t="shared" si="126"/>
        <v>13.173044361666102</v>
      </c>
      <c r="O115" s="7">
        <f t="shared" si="126"/>
        <v>9.2571666002383406</v>
      </c>
      <c r="P115" s="7">
        <f t="shared" si="126"/>
        <v>7.3085483368633124</v>
      </c>
      <c r="Q115" s="7">
        <f t="shared" si="126"/>
        <v>7.6510593827609883</v>
      </c>
      <c r="R115" s="7">
        <f t="shared" si="126"/>
        <v>7.6078898903564784</v>
      </c>
      <c r="S115" s="7">
        <f t="shared" si="126"/>
        <v>6.7765569895068785</v>
      </c>
      <c r="T115" s="7">
        <f t="shared" si="126"/>
        <v>5.6408144064442878</v>
      </c>
      <c r="U115" s="7">
        <f t="shared" si="126"/>
        <v>5.8362339099317522</v>
      </c>
      <c r="V115" s="7">
        <f t="shared" si="126"/>
        <v>5.8275560859872071</v>
      </c>
      <c r="W115" s="7">
        <f t="shared" si="126"/>
        <v>5.7499947495046539</v>
      </c>
      <c r="X115" s="7">
        <f t="shared" si="126"/>
        <v>5.675409400005841</v>
      </c>
      <c r="Y115" s="7">
        <f t="shared" si="126"/>
        <v>5.6037765738882301</v>
      </c>
      <c r="Z115" s="7">
        <f t="shared" si="126"/>
        <v>5.5350778617074639</v>
      </c>
      <c r="AA115" s="16"/>
      <c r="AB115" s="16"/>
      <c r="AC115" s="16"/>
      <c r="AD115" s="16"/>
      <c r="AE115" s="16"/>
      <c r="AF115" s="16"/>
      <c r="AG115" s="16"/>
      <c r="AH115" s="16"/>
      <c r="AI115" s="16"/>
      <c r="AJ115" s="16"/>
      <c r="AK115" s="16"/>
    </row>
    <row r="116" spans="2:37">
      <c r="B116" s="4" t="s">
        <v>1697</v>
      </c>
      <c r="C116" s="7"/>
      <c r="D116" s="7">
        <f t="shared" ref="D116:Z116" si="127">D32/AVERAGE(C14:D14)/12*1000</f>
        <v>10.124204330163176</v>
      </c>
      <c r="E116" s="7">
        <f t="shared" si="127"/>
        <v>10.343264461260043</v>
      </c>
      <c r="F116" s="7">
        <f t="shared" si="127"/>
        <v>10.828897255513947</v>
      </c>
      <c r="G116" s="7">
        <f t="shared" si="127"/>
        <v>11.441815480999466</v>
      </c>
      <c r="H116" s="7">
        <f t="shared" si="127"/>
        <v>12.788229471706298</v>
      </c>
      <c r="I116" s="7">
        <f t="shared" si="127"/>
        <v>11.284027799622622</v>
      </c>
      <c r="J116" s="7">
        <f t="shared" si="127"/>
        <v>11.595895003242861</v>
      </c>
      <c r="K116" s="7">
        <f t="shared" si="127"/>
        <v>13.039718927971608</v>
      </c>
      <c r="L116" s="7">
        <f t="shared" si="127"/>
        <v>13.513813196640125</v>
      </c>
      <c r="M116" s="7">
        <f t="shared" si="127"/>
        <v>14.481813306472247</v>
      </c>
      <c r="N116" s="7">
        <f t="shared" si="127"/>
        <v>14.803166666421507</v>
      </c>
      <c r="O116" s="7">
        <f t="shared" si="127"/>
        <v>14.144122903220826</v>
      </c>
      <c r="P116" s="7">
        <f t="shared" ca="1" si="127"/>
        <v>14.0367377824148</v>
      </c>
      <c r="Q116" s="7">
        <f t="shared" ca="1" si="127"/>
        <v>15.50116544877684</v>
      </c>
      <c r="R116" s="7">
        <f t="shared" ca="1" si="127"/>
        <v>16.814472803904927</v>
      </c>
      <c r="S116" s="7">
        <f t="shared" ca="1" si="127"/>
        <v>21.781551016376095</v>
      </c>
      <c r="T116" s="7">
        <f t="shared" ca="1" si="127"/>
        <v>25.09553168353106</v>
      </c>
      <c r="U116" s="7">
        <f t="shared" ca="1" si="127"/>
        <v>26.292386034186237</v>
      </c>
      <c r="V116" s="7">
        <f t="shared" ca="1" si="127"/>
        <v>26.988656973748792</v>
      </c>
      <c r="W116" s="7">
        <f t="shared" ca="1" si="127"/>
        <v>27.194017964899846</v>
      </c>
      <c r="X116" s="7">
        <f t="shared" ca="1" si="127"/>
        <v>26.90068954818344</v>
      </c>
      <c r="Y116" s="7">
        <f t="shared" ca="1" si="127"/>
        <v>26.862442160330684</v>
      </c>
      <c r="Z116" s="7">
        <f t="shared" ca="1" si="127"/>
        <v>27.12472452683118</v>
      </c>
      <c r="AA116" s="16"/>
      <c r="AB116" s="16"/>
      <c r="AC116" s="16"/>
      <c r="AD116" s="16"/>
      <c r="AE116" s="16"/>
      <c r="AF116" s="16"/>
      <c r="AG116" s="16"/>
      <c r="AH116" s="16"/>
      <c r="AI116" s="16"/>
      <c r="AJ116" s="16"/>
      <c r="AK116" s="16"/>
    </row>
    <row r="117" spans="2:37">
      <c r="B117" s="12" t="s">
        <v>1831</v>
      </c>
      <c r="C117" s="14"/>
      <c r="D117" s="14">
        <f t="shared" ref="D117:Z117" si="128">D33/AVERAGE(C15:D15)/12*1000</f>
        <v>14.558147851120346</v>
      </c>
      <c r="E117" s="14">
        <f t="shared" si="128"/>
        <v>11.117351568668276</v>
      </c>
      <c r="F117" s="14">
        <f t="shared" si="128"/>
        <v>9.703575292039984</v>
      </c>
      <c r="G117" s="14">
        <f t="shared" si="128"/>
        <v>8.878501871454219</v>
      </c>
      <c r="H117" s="14">
        <f t="shared" si="128"/>
        <v>8.1069166160183919</v>
      </c>
      <c r="I117" s="14">
        <f t="shared" si="128"/>
        <v>6.1508311295806575</v>
      </c>
      <c r="J117" s="14">
        <f t="shared" si="128"/>
        <v>5.5928609690632802</v>
      </c>
      <c r="K117" s="14">
        <f t="shared" si="128"/>
        <v>5.0480150412109914</v>
      </c>
      <c r="L117" s="14">
        <f t="shared" si="128"/>
        <v>4.1768420418272667</v>
      </c>
      <c r="M117" s="14">
        <f t="shared" si="128"/>
        <v>4.0531875534724024</v>
      </c>
      <c r="N117" s="14">
        <f t="shared" si="128"/>
        <v>3.6408154936535562</v>
      </c>
      <c r="O117" s="14">
        <f t="shared" si="128"/>
        <v>2.9752815890985302</v>
      </c>
      <c r="P117" s="14">
        <f t="shared" ca="1" si="128"/>
        <v>2.3898085308445252</v>
      </c>
      <c r="Q117" s="14">
        <f t="shared" ca="1" si="128"/>
        <v>2.3717149937711195</v>
      </c>
      <c r="R117" s="14">
        <f t="shared" ca="1" si="128"/>
        <v>2.0862800003285571</v>
      </c>
      <c r="S117" s="14">
        <f t="shared" ca="1" si="128"/>
        <v>2.1110101520255187</v>
      </c>
      <c r="T117" s="14">
        <f t="shared" ca="1" si="128"/>
        <v>2.1438663567865506</v>
      </c>
      <c r="U117" s="14">
        <f t="shared" ca="1" si="128"/>
        <v>2.1845285524769698</v>
      </c>
      <c r="V117" s="14">
        <f t="shared" ca="1" si="128"/>
        <v>2.232810619658411</v>
      </c>
      <c r="W117" s="14">
        <f t="shared" ca="1" si="128"/>
        <v>2.2886367430523111</v>
      </c>
      <c r="X117" s="14">
        <f t="shared" ca="1" si="128"/>
        <v>2.3520243897060773</v>
      </c>
      <c r="Y117" s="14">
        <f t="shared" ca="1" si="128"/>
        <v>2.4230720492276796</v>
      </c>
      <c r="Z117" s="14">
        <f t="shared" ca="1" si="128"/>
        <v>2.5019504707145415</v>
      </c>
      <c r="AA117" s="16"/>
      <c r="AB117" s="16"/>
      <c r="AC117" s="16"/>
      <c r="AD117" s="16"/>
      <c r="AE117" s="16"/>
      <c r="AF117" s="16"/>
      <c r="AG117" s="16"/>
      <c r="AH117" s="16"/>
      <c r="AI117" s="16"/>
      <c r="AJ117" s="16"/>
      <c r="AK117" s="16"/>
    </row>
    <row r="118" spans="2:37">
      <c r="B118" s="2" t="s">
        <v>1430</v>
      </c>
      <c r="C118" s="15"/>
      <c r="D118" s="15">
        <f t="shared" ref="D118:Z118" si="129">D37/AVERAGE(C16:D16)/12*1000</f>
        <v>22.910393978637188</v>
      </c>
      <c r="E118" s="15">
        <f t="shared" si="129"/>
        <v>18.473925291286715</v>
      </c>
      <c r="F118" s="15">
        <f t="shared" si="129"/>
        <v>13.522914111962844</v>
      </c>
      <c r="G118" s="15">
        <f t="shared" si="129"/>
        <v>11.757903316202073</v>
      </c>
      <c r="H118" s="15">
        <f t="shared" si="129"/>
        <v>9.4541904037954723</v>
      </c>
      <c r="I118" s="15">
        <f t="shared" si="129"/>
        <v>9.0470824167527315</v>
      </c>
      <c r="J118" s="15">
        <f t="shared" si="129"/>
        <v>9.2620579780309669</v>
      </c>
      <c r="K118" s="15">
        <f t="shared" si="129"/>
        <v>9.2354866170785073</v>
      </c>
      <c r="L118" s="15">
        <f t="shared" si="129"/>
        <v>9.6540889245839896</v>
      </c>
      <c r="M118" s="15">
        <f t="shared" si="129"/>
        <v>9.5114832970748253</v>
      </c>
      <c r="N118" s="15">
        <f t="shared" si="129"/>
        <v>9.9885013042627318</v>
      </c>
      <c r="O118" s="15">
        <f t="shared" si="129"/>
        <v>9.4185841753419908</v>
      </c>
      <c r="P118" s="15">
        <f t="shared" ca="1" si="129"/>
        <v>8.2060908691057701</v>
      </c>
      <c r="Q118" s="15">
        <f t="shared" ca="1" si="129"/>
        <v>8.1765396574519933</v>
      </c>
      <c r="R118" s="15">
        <f t="shared" ca="1" si="129"/>
        <v>7.8070325024493732</v>
      </c>
      <c r="S118" s="15">
        <f t="shared" ca="1" si="129"/>
        <v>8.0381978312415114</v>
      </c>
      <c r="T118" s="15">
        <f t="shared" ca="1" si="129"/>
        <v>8.0400092152831597</v>
      </c>
      <c r="U118" s="15">
        <f t="shared" ca="1" si="129"/>
        <v>8.1231580233114684</v>
      </c>
      <c r="V118" s="15">
        <f t="shared" ca="1" si="129"/>
        <v>8.1211139898278777</v>
      </c>
      <c r="W118" s="15">
        <f t="shared" ca="1" si="129"/>
        <v>8.0370791110247701</v>
      </c>
      <c r="X118" s="15">
        <f t="shared" ca="1" si="129"/>
        <v>7.9114147960352952</v>
      </c>
      <c r="Y118" s="15">
        <f t="shared" ca="1" si="129"/>
        <v>7.8252032761989048</v>
      </c>
      <c r="Z118" s="15">
        <f t="shared" ca="1" si="129"/>
        <v>6.7430790876560893</v>
      </c>
      <c r="AA118" s="19"/>
      <c r="AB118" s="19"/>
      <c r="AC118" s="19"/>
      <c r="AD118" s="19"/>
      <c r="AE118" s="19"/>
      <c r="AF118" s="19"/>
      <c r="AG118" s="19"/>
      <c r="AH118" s="19"/>
      <c r="AI118" s="19"/>
      <c r="AJ118" s="19"/>
      <c r="AK118" s="19"/>
    </row>
    <row r="120" spans="2:37">
      <c r="B120" s="2" t="s">
        <v>291</v>
      </c>
      <c r="C120" s="8">
        <f>C112</f>
        <v>2003</v>
      </c>
      <c r="D120" s="8">
        <f t="shared" ref="D120:N120" si="130">D112</f>
        <v>2004</v>
      </c>
      <c r="E120" s="8">
        <f t="shared" si="130"/>
        <v>2005</v>
      </c>
      <c r="F120" s="8">
        <f t="shared" si="130"/>
        <v>2006</v>
      </c>
      <c r="G120" s="8">
        <f t="shared" si="130"/>
        <v>2007</v>
      </c>
      <c r="H120" s="8">
        <f t="shared" si="130"/>
        <v>2008</v>
      </c>
      <c r="I120" s="8">
        <f t="shared" si="130"/>
        <v>2009</v>
      </c>
      <c r="J120" s="8">
        <f t="shared" si="130"/>
        <v>2010</v>
      </c>
      <c r="K120" s="8">
        <f t="shared" si="130"/>
        <v>2011</v>
      </c>
      <c r="L120" s="8">
        <f t="shared" si="130"/>
        <v>2012</v>
      </c>
      <c r="M120" s="8">
        <f t="shared" si="130"/>
        <v>2013</v>
      </c>
      <c r="N120" s="8">
        <f t="shared" si="130"/>
        <v>2014</v>
      </c>
      <c r="O120" s="8">
        <f t="shared" ref="O120:T120" si="131">O112</f>
        <v>2015</v>
      </c>
      <c r="P120" s="8">
        <f t="shared" si="131"/>
        <v>2016</v>
      </c>
      <c r="Q120" s="8">
        <f t="shared" si="131"/>
        <v>2017</v>
      </c>
      <c r="R120" s="8">
        <f t="shared" si="131"/>
        <v>2018</v>
      </c>
      <c r="S120" s="8">
        <f t="shared" si="131"/>
        <v>2019</v>
      </c>
      <c r="T120" s="8">
        <f t="shared" si="131"/>
        <v>2020</v>
      </c>
      <c r="U120" s="8">
        <f t="shared" ref="U120:Z120" si="132">U112</f>
        <v>2021</v>
      </c>
      <c r="V120" s="8">
        <f t="shared" si="132"/>
        <v>2022</v>
      </c>
      <c r="W120" s="8">
        <f t="shared" si="132"/>
        <v>2023</v>
      </c>
      <c r="X120" s="8">
        <f t="shared" si="132"/>
        <v>2024</v>
      </c>
      <c r="Y120" s="8">
        <f t="shared" si="132"/>
        <v>2025</v>
      </c>
      <c r="Z120" s="8">
        <f t="shared" si="132"/>
        <v>2026</v>
      </c>
    </row>
    <row r="121" spans="2:37">
      <c r="B121" s="4" t="s">
        <v>1163</v>
      </c>
      <c r="C121" s="7"/>
      <c r="D121" s="7"/>
      <c r="E121" s="7"/>
      <c r="F121" s="7">
        <f t="shared" ref="F121:H122" si="133">F75/AVERAGE(E11:F11)*1000</f>
        <v>116.17900172117039</v>
      </c>
      <c r="G121" s="7">
        <f t="shared" si="133"/>
        <v>45.542635658914726</v>
      </c>
      <c r="H121" s="7">
        <f t="shared" si="133"/>
        <v>42.355513048230634</v>
      </c>
      <c r="I121" s="7"/>
      <c r="J121" s="7"/>
      <c r="K121" s="7"/>
      <c r="L121" s="7"/>
      <c r="M121" s="7"/>
      <c r="N121" s="7"/>
      <c r="O121" s="7"/>
      <c r="P121" s="7"/>
      <c r="Q121" s="7"/>
      <c r="R121" s="7"/>
      <c r="S121" s="7"/>
      <c r="T121" s="7"/>
      <c r="U121" s="7"/>
      <c r="V121" s="7"/>
      <c r="W121" s="7"/>
      <c r="X121" s="7"/>
      <c r="Y121" s="7"/>
      <c r="Z121" s="7"/>
    </row>
    <row r="122" spans="2:37">
      <c r="B122" s="4" t="str">
        <f>B114</f>
        <v>Central America</v>
      </c>
      <c r="C122" s="7"/>
      <c r="D122" s="7"/>
      <c r="E122" s="7"/>
      <c r="F122" s="7">
        <f t="shared" si="133"/>
        <v>51.385081063129483</v>
      </c>
      <c r="G122" s="7">
        <f t="shared" si="133"/>
        <v>41.745878398688149</v>
      </c>
      <c r="H122" s="7">
        <f t="shared" si="133"/>
        <v>29.389118678809176</v>
      </c>
      <c r="I122" s="7">
        <f t="shared" ref="I122:Z122" si="134">I76/AVERAGE(H12:I12)*1000</f>
        <v>14.616119254245735</v>
      </c>
      <c r="J122" s="7">
        <f t="shared" si="134"/>
        <v>11.976049719707378</v>
      </c>
      <c r="K122" s="7">
        <f t="shared" si="134"/>
        <v>15.722825230908542</v>
      </c>
      <c r="L122" s="7">
        <f t="shared" si="134"/>
        <v>19.587083112758073</v>
      </c>
      <c r="M122" s="7">
        <f t="shared" si="134"/>
        <v>22.951602125560825</v>
      </c>
      <c r="N122" s="7">
        <f t="shared" si="134"/>
        <v>27.139940317260876</v>
      </c>
      <c r="O122" s="7">
        <f t="shared" si="134"/>
        <v>22.572122839455286</v>
      </c>
      <c r="P122" s="7">
        <f t="shared" si="134"/>
        <v>21.887671502020215</v>
      </c>
      <c r="Q122" s="7">
        <f t="shared" si="134"/>
        <v>20.921925757734783</v>
      </c>
      <c r="R122" s="7">
        <f t="shared" si="134"/>
        <v>19.397108900293272</v>
      </c>
      <c r="S122" s="7">
        <f t="shared" si="134"/>
        <v>19.962551364199342</v>
      </c>
      <c r="T122" s="7">
        <f t="shared" si="134"/>
        <v>20.584436521029463</v>
      </c>
      <c r="U122" s="7">
        <f t="shared" si="134"/>
        <v>21.351633623596975</v>
      </c>
      <c r="V122" s="7">
        <f t="shared" si="134"/>
        <v>22.104103963858755</v>
      </c>
      <c r="W122" s="7">
        <f t="shared" si="134"/>
        <v>22.726567097671843</v>
      </c>
      <c r="X122" s="7">
        <f t="shared" si="134"/>
        <v>23.262074554293889</v>
      </c>
      <c r="Y122" s="7">
        <f t="shared" si="134"/>
        <v>23.830661935813026</v>
      </c>
      <c r="Z122" s="7">
        <f t="shared" si="134"/>
        <v>15.094226372109475</v>
      </c>
    </row>
    <row r="123" spans="2:37">
      <c r="B123" s="4" t="str">
        <f>B115</f>
        <v>Colombia mobile</v>
      </c>
      <c r="C123" s="7"/>
      <c r="D123" s="7"/>
      <c r="E123" s="7"/>
      <c r="F123" s="7"/>
      <c r="G123" s="7">
        <f>G77/AVERAGE(F13:G13)*1000</f>
        <v>74.846625766871171</v>
      </c>
      <c r="H123" s="7">
        <f>H77/AVERAGE(G13:H13)*1000</f>
        <v>57.199211045364891</v>
      </c>
      <c r="I123" s="7">
        <f t="shared" ref="I123:Z123" si="135">I77/AVERAGE(H13:I13)*1000</f>
        <v>23.038265311001691</v>
      </c>
      <c r="J123" s="7">
        <f t="shared" si="135"/>
        <v>33.095184862113143</v>
      </c>
      <c r="K123" s="7">
        <f t="shared" si="135"/>
        <v>33.05849089956812</v>
      </c>
      <c r="L123" s="7">
        <f t="shared" si="135"/>
        <v>32.136105860113425</v>
      </c>
      <c r="M123" s="7">
        <f t="shared" si="135"/>
        <v>35.719208269893421</v>
      </c>
      <c r="N123" s="7">
        <f t="shared" si="135"/>
        <v>31.61530646799865</v>
      </c>
      <c r="O123" s="7">
        <f t="shared" ca="1" si="135"/>
        <v>18.884619864486218</v>
      </c>
      <c r="P123" s="7">
        <f t="shared" si="135"/>
        <v>14.909438607201158</v>
      </c>
      <c r="Q123" s="7">
        <f t="shared" si="135"/>
        <v>14.690034014901098</v>
      </c>
      <c r="R123" s="7">
        <f t="shared" si="135"/>
        <v>13.694201802641659</v>
      </c>
      <c r="S123" s="7">
        <f t="shared" si="135"/>
        <v>12.197802581112381</v>
      </c>
      <c r="T123" s="7">
        <f t="shared" si="135"/>
        <v>8.1227727452797751</v>
      </c>
      <c r="U123" s="7">
        <f t="shared" si="135"/>
        <v>10.505221037877154</v>
      </c>
      <c r="V123" s="7">
        <f t="shared" si="135"/>
        <v>10.489600954776972</v>
      </c>
      <c r="W123" s="7">
        <f t="shared" si="135"/>
        <v>10.349990549108378</v>
      </c>
      <c r="X123" s="7">
        <f t="shared" si="135"/>
        <v>10.215736920010515</v>
      </c>
      <c r="Y123" s="7">
        <f t="shared" si="135"/>
        <v>10.086797832998814</v>
      </c>
      <c r="Z123" s="7">
        <f t="shared" si="135"/>
        <v>9.9631401510734339</v>
      </c>
    </row>
    <row r="124" spans="2:37">
      <c r="B124" s="4" t="s">
        <v>1697</v>
      </c>
      <c r="C124" s="7"/>
      <c r="D124" s="7"/>
      <c r="E124" s="7"/>
      <c r="F124" s="7">
        <f t="shared" ref="F124:Z124" si="136">F79/AVERAGE(E14:F14)*1000</f>
        <v>30.444592532956268</v>
      </c>
      <c r="G124" s="7">
        <f t="shared" si="136"/>
        <v>53.256434042937812</v>
      </c>
      <c r="H124" s="7">
        <f t="shared" si="136"/>
        <v>53.645116918844572</v>
      </c>
      <c r="I124" s="7">
        <f t="shared" si="136"/>
        <v>17.725745653607078</v>
      </c>
      <c r="J124" s="7">
        <f t="shared" si="136"/>
        <v>20.335575467931211</v>
      </c>
      <c r="K124" s="7">
        <f t="shared" si="136"/>
        <v>21.207180902933594</v>
      </c>
      <c r="L124" s="7">
        <f t="shared" si="136"/>
        <v>22.57166503649086</v>
      </c>
      <c r="M124" s="7">
        <f t="shared" si="136"/>
        <v>26.323048485710224</v>
      </c>
      <c r="N124" s="7">
        <f t="shared" si="136"/>
        <v>25.026421475375187</v>
      </c>
      <c r="O124" s="7">
        <f t="shared" ca="1" si="136"/>
        <v>34.619796238824819</v>
      </c>
      <c r="P124" s="7">
        <f t="shared" ca="1" si="136"/>
        <v>30.31935361001597</v>
      </c>
      <c r="Q124" s="7">
        <f t="shared" ca="1" si="136"/>
        <v>29.762237661651533</v>
      </c>
      <c r="R124" s="7">
        <f t="shared" ca="1" si="136"/>
        <v>32.283787783497459</v>
      </c>
      <c r="S124" s="7">
        <f t="shared" ca="1" si="136"/>
        <v>41.820577951442111</v>
      </c>
      <c r="T124" s="7">
        <f t="shared" ca="1" si="136"/>
        <v>48.183420832379632</v>
      </c>
      <c r="U124" s="7">
        <f t="shared" ca="1" si="136"/>
        <v>50.481381185637574</v>
      </c>
      <c r="V124" s="7">
        <f t="shared" ca="1" si="136"/>
        <v>51.818221389597682</v>
      </c>
      <c r="W124" s="7">
        <f t="shared" ca="1" si="136"/>
        <v>52.212514492607703</v>
      </c>
      <c r="X124" s="7">
        <f t="shared" ca="1" si="136"/>
        <v>51.649323932512203</v>
      </c>
      <c r="Y124" s="7">
        <f t="shared" ca="1" si="136"/>
        <v>51.575888947834912</v>
      </c>
      <c r="Z124" s="7">
        <f t="shared" ca="1" si="136"/>
        <v>52.079471091515863</v>
      </c>
    </row>
    <row r="125" spans="2:37">
      <c r="B125" s="12" t="s">
        <v>1831</v>
      </c>
      <c r="C125" s="14"/>
      <c r="D125" s="14"/>
      <c r="E125" s="14"/>
      <c r="F125" s="14">
        <f t="shared" ref="F125:Z125" si="137">F80/AVERAGE(E15:F15)*1000</f>
        <v>98.495463146001057</v>
      </c>
      <c r="G125" s="14">
        <f t="shared" si="137"/>
        <v>76.632863679630844</v>
      </c>
      <c r="H125" s="14">
        <f t="shared" si="137"/>
        <v>82.232183733789924</v>
      </c>
      <c r="I125" s="14">
        <f t="shared" si="137"/>
        <v>37.589724216093693</v>
      </c>
      <c r="J125" s="14">
        <f t="shared" si="137"/>
        <v>17.421903732760985</v>
      </c>
      <c r="K125" s="14">
        <f t="shared" si="137"/>
        <v>18.036259202985761</v>
      </c>
      <c r="L125" s="14">
        <f t="shared" si="137"/>
        <v>16.897208647395011</v>
      </c>
      <c r="M125" s="14">
        <f t="shared" si="137"/>
        <v>16.5501461802466</v>
      </c>
      <c r="N125" s="14">
        <f t="shared" si="137"/>
        <v>15.774869453123292</v>
      </c>
      <c r="O125" s="14">
        <f t="shared" si="137"/>
        <v>8.7439893428835997</v>
      </c>
      <c r="P125" s="14">
        <f t="shared" ca="1" si="137"/>
        <v>5.7355404740268598</v>
      </c>
      <c r="Q125" s="14">
        <f t="shared" ca="1" si="137"/>
        <v>4.8382985872930844</v>
      </c>
      <c r="R125" s="14">
        <f t="shared" ca="1" si="137"/>
        <v>3.7553040005914031</v>
      </c>
      <c r="S125" s="14">
        <f t="shared" ca="1" si="137"/>
        <v>3.7998182736459336</v>
      </c>
      <c r="T125" s="14">
        <f t="shared" ca="1" si="137"/>
        <v>3.6016954794014064</v>
      </c>
      <c r="U125" s="14">
        <f t="shared" ca="1" si="137"/>
        <v>3.8010796813099277</v>
      </c>
      <c r="V125" s="14">
        <f t="shared" ca="1" si="137"/>
        <v>4.01905911538514</v>
      </c>
      <c r="W125" s="14">
        <f t="shared" ca="1" si="137"/>
        <v>4.1195461374941598</v>
      </c>
      <c r="X125" s="14">
        <f t="shared" ca="1" si="137"/>
        <v>4.2336439014709395</v>
      </c>
      <c r="Y125" s="14">
        <f t="shared" ca="1" si="137"/>
        <v>4.3615296886098243</v>
      </c>
      <c r="Z125" s="14">
        <f t="shared" ca="1" si="137"/>
        <v>4.503510847286174</v>
      </c>
    </row>
    <row r="126" spans="2:37">
      <c r="B126" s="2" t="s">
        <v>290</v>
      </c>
      <c r="C126" s="15"/>
      <c r="D126" s="15"/>
      <c r="E126" s="15"/>
      <c r="F126" s="15">
        <f t="shared" ref="F126:Z126" si="138">F83/AVERAGE(E16:F16)*1000</f>
        <v>67.293119821024192</v>
      </c>
      <c r="G126" s="15">
        <f t="shared" si="138"/>
        <v>56.634332628076784</v>
      </c>
      <c r="H126" s="15">
        <f t="shared" si="138"/>
        <v>51.756358911577877</v>
      </c>
      <c r="I126" s="15">
        <f t="shared" si="138"/>
        <v>22.371296745993199</v>
      </c>
      <c r="J126" s="15">
        <f t="shared" si="138"/>
        <v>18.99697622257829</v>
      </c>
      <c r="K126" s="15">
        <f t="shared" si="138"/>
        <v>19.68788820217992</v>
      </c>
      <c r="L126" s="15">
        <f t="shared" si="138"/>
        <v>20.417653962840756</v>
      </c>
      <c r="M126" s="15">
        <f t="shared" si="138"/>
        <v>22.259446905155848</v>
      </c>
      <c r="N126" s="15">
        <f t="shared" si="138"/>
        <v>24.267562545748017</v>
      </c>
      <c r="O126" s="15">
        <f t="shared" ca="1" si="138"/>
        <v>21.600571800393045</v>
      </c>
      <c r="P126" s="15">
        <f t="shared" ca="1" si="138"/>
        <v>17.18684935696794</v>
      </c>
      <c r="Q126" s="15">
        <f t="shared" ca="1" si="138"/>
        <v>16.114121224093722</v>
      </c>
      <c r="R126" s="15">
        <f t="shared" ca="1" si="138"/>
        <v>14.308053927592171</v>
      </c>
      <c r="S126" s="15">
        <f t="shared" ca="1" si="138"/>
        <v>15.194068307098799</v>
      </c>
      <c r="T126" s="15">
        <f t="shared" ca="1" si="138"/>
        <v>14.708545096688777</v>
      </c>
      <c r="U126" s="15">
        <f t="shared" ca="1" si="138"/>
        <v>15.266350443137679</v>
      </c>
      <c r="V126" s="15">
        <f t="shared" ca="1" si="138"/>
        <v>15.128599477837144</v>
      </c>
      <c r="W126" s="15">
        <f t="shared" ca="1" si="138"/>
        <v>14.858646512502039</v>
      </c>
      <c r="X126" s="15">
        <f t="shared" ca="1" si="138"/>
        <v>14.703350622631039</v>
      </c>
      <c r="Y126" s="15">
        <f t="shared" ca="1" si="138"/>
        <v>14.619100967136575</v>
      </c>
      <c r="Z126" s="15">
        <f t="shared" ca="1" si="138"/>
        <v>12.680783696435908</v>
      </c>
    </row>
  </sheetData>
  <phoneticPr fontId="0" type="noConversion"/>
  <pageMargins left="0.74803149606299213" right="0.74803149606299213" top="0.98425196850393704" bottom="0.98425196850393704" header="0.51181102362204722" footer="0.51181102362204722"/>
  <pageSetup paperSize="9" scale="31" fitToHeight="2"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R190"/>
  <sheetViews>
    <sheetView topLeftCell="A109" zoomScale="72" zoomScaleNormal="72" workbookViewId="0">
      <selection activeCell="C158" sqref="C158"/>
    </sheetView>
  </sheetViews>
  <sheetFormatPr defaultRowHeight="15"/>
  <cols>
    <col min="2" max="2" width="20.28515625" customWidth="1"/>
    <col min="4" max="4" width="9.42578125" bestFit="1" customWidth="1"/>
    <col min="7" max="8" width="9.140625" customWidth="1"/>
  </cols>
  <sheetData>
    <row r="2" spans="2:18">
      <c r="B2" s="450" t="s">
        <v>2032</v>
      </c>
    </row>
    <row r="3" spans="2:18">
      <c r="B3" s="450"/>
    </row>
    <row r="4" spans="2:18">
      <c r="B4" s="1133" t="s">
        <v>2389</v>
      </c>
      <c r="C4" s="1133">
        <v>2015</v>
      </c>
      <c r="D4" s="1133">
        <v>2016</v>
      </c>
      <c r="E4" s="1133">
        <v>2017</v>
      </c>
      <c r="F4" s="1133">
        <v>2018</v>
      </c>
      <c r="G4" s="1133">
        <f>F4+1</f>
        <v>2019</v>
      </c>
      <c r="H4" s="1133">
        <f t="shared" ref="H4:R4" si="0">G4+1</f>
        <v>2020</v>
      </c>
      <c r="I4" s="1133">
        <f t="shared" si="0"/>
        <v>2021</v>
      </c>
      <c r="J4" s="1133">
        <f t="shared" si="0"/>
        <v>2022</v>
      </c>
      <c r="K4" s="1133">
        <f t="shared" si="0"/>
        <v>2023</v>
      </c>
      <c r="L4" s="1133">
        <f t="shared" si="0"/>
        <v>2024</v>
      </c>
      <c r="M4" s="1133">
        <f t="shared" si="0"/>
        <v>2025</v>
      </c>
      <c r="N4" s="1133">
        <f t="shared" si="0"/>
        <v>2026</v>
      </c>
      <c r="O4" s="1133">
        <f t="shared" si="0"/>
        <v>2027</v>
      </c>
      <c r="P4" s="1133">
        <f t="shared" si="0"/>
        <v>2028</v>
      </c>
      <c r="Q4" s="1133">
        <f t="shared" si="0"/>
        <v>2029</v>
      </c>
      <c r="R4" s="1133">
        <f t="shared" si="0"/>
        <v>2030</v>
      </c>
    </row>
    <row r="5" spans="2:18">
      <c r="B5" s="478" t="s">
        <v>758</v>
      </c>
      <c r="C5" s="523">
        <v>196</v>
      </c>
      <c r="D5" s="523">
        <v>201</v>
      </c>
      <c r="E5" s="523">
        <v>214</v>
      </c>
      <c r="F5" s="523">
        <v>223</v>
      </c>
      <c r="G5" s="454">
        <f>G11*12*AVERAGE(F8,G8)</f>
        <v>217.79477040816326</v>
      </c>
      <c r="H5" s="454">
        <f>H11*12*AVERAGE(G8,H8)</f>
        <v>209.08297959183673</v>
      </c>
      <c r="I5" s="454">
        <f t="shared" ref="I5:R5" si="1">I11*12*AVERAGE(H8,I8)</f>
        <v>219.53712857142858</v>
      </c>
      <c r="J5" s="454">
        <f t="shared" si="1"/>
        <v>226.12324242857142</v>
      </c>
      <c r="K5" s="454">
        <f t="shared" si="1"/>
        <v>226.12324242857142</v>
      </c>
      <c r="L5" s="1821">
        <f t="shared" si="1"/>
        <v>230.64570727714286</v>
      </c>
      <c r="M5" s="454">
        <f t="shared" si="1"/>
        <v>232.95216434991428</v>
      </c>
      <c r="N5" s="454">
        <f t="shared" si="1"/>
        <v>232.95216434991428</v>
      </c>
      <c r="O5" s="454">
        <f t="shared" si="1"/>
        <v>232.95216434991428</v>
      </c>
      <c r="P5" s="454">
        <f t="shared" si="1"/>
        <v>232.95216434991428</v>
      </c>
      <c r="Q5" s="454">
        <f t="shared" si="1"/>
        <v>232.95216434991428</v>
      </c>
      <c r="R5" s="454">
        <f t="shared" si="1"/>
        <v>232.95216434991428</v>
      </c>
    </row>
    <row r="6" spans="2:18">
      <c r="B6" s="478" t="s">
        <v>2353</v>
      </c>
      <c r="C6" s="449"/>
      <c r="D6" s="456">
        <f>D5/C5-1</f>
        <v>2.5510204081632626E-2</v>
      </c>
      <c r="E6" s="456">
        <f>E5/D5-1</f>
        <v>6.4676616915422924E-2</v>
      </c>
      <c r="F6" s="456">
        <f>F5/E5-1</f>
        <v>4.20560747663552E-2</v>
      </c>
      <c r="G6" s="456">
        <f t="shared" ref="G6:R6" si="2">G5/F5-1</f>
        <v>-2.3341836734693922E-2</v>
      </c>
      <c r="H6" s="456">
        <f t="shared" si="2"/>
        <v>-4.0000000000000036E-2</v>
      </c>
      <c r="I6" s="456">
        <f t="shared" si="2"/>
        <v>5.0000000000000044E-2</v>
      </c>
      <c r="J6" s="456">
        <f t="shared" si="2"/>
        <v>2.9999999999999805E-2</v>
      </c>
      <c r="K6" s="456">
        <f t="shared" si="2"/>
        <v>0</v>
      </c>
      <c r="L6" s="456">
        <f t="shared" si="2"/>
        <v>2.0000000000000018E-2</v>
      </c>
      <c r="M6" s="456">
        <f t="shared" si="2"/>
        <v>1.0000000000000009E-2</v>
      </c>
      <c r="N6" s="456">
        <f t="shared" si="2"/>
        <v>0</v>
      </c>
      <c r="O6" s="456">
        <f t="shared" si="2"/>
        <v>0</v>
      </c>
      <c r="P6" s="456">
        <f t="shared" si="2"/>
        <v>0</v>
      </c>
      <c r="Q6" s="456">
        <f t="shared" si="2"/>
        <v>0</v>
      </c>
      <c r="R6" s="456">
        <f t="shared" si="2"/>
        <v>0</v>
      </c>
    </row>
    <row r="8" spans="2:18">
      <c r="B8" s="478" t="s">
        <v>5587</v>
      </c>
      <c r="C8" s="523">
        <v>1.5289999999999999</v>
      </c>
      <c r="D8" s="523">
        <v>1.552</v>
      </c>
      <c r="E8" s="523">
        <v>1.524</v>
      </c>
      <c r="F8" s="523">
        <v>1.6120000000000001</v>
      </c>
      <c r="G8">
        <f>F8+G9</f>
        <v>1.6120000000000001</v>
      </c>
      <c r="H8">
        <f t="shared" ref="H8:R8" si="3">G8+H9</f>
        <v>1.6120000000000001</v>
      </c>
      <c r="I8">
        <f t="shared" si="3"/>
        <v>1.6120000000000001</v>
      </c>
      <c r="J8">
        <f t="shared" si="3"/>
        <v>1.6120000000000001</v>
      </c>
      <c r="K8">
        <f t="shared" si="3"/>
        <v>1.6120000000000001</v>
      </c>
      <c r="L8">
        <f t="shared" si="3"/>
        <v>1.6120000000000001</v>
      </c>
      <c r="M8">
        <f t="shared" si="3"/>
        <v>1.6120000000000001</v>
      </c>
      <c r="N8">
        <f t="shared" si="3"/>
        <v>1.6120000000000001</v>
      </c>
      <c r="O8">
        <f t="shared" si="3"/>
        <v>1.6120000000000001</v>
      </c>
      <c r="P8">
        <f t="shared" si="3"/>
        <v>1.6120000000000001</v>
      </c>
      <c r="Q8">
        <f t="shared" si="3"/>
        <v>1.6120000000000001</v>
      </c>
      <c r="R8">
        <f t="shared" si="3"/>
        <v>1.6120000000000001</v>
      </c>
    </row>
    <row r="9" spans="2:18">
      <c r="B9" s="478" t="s">
        <v>4621</v>
      </c>
      <c r="D9" s="531">
        <f>D8-C8</f>
        <v>2.3000000000000131E-2</v>
      </c>
      <c r="E9" s="531">
        <f>E8-D8</f>
        <v>-2.8000000000000025E-2</v>
      </c>
      <c r="F9" s="531">
        <f>F8-E8</f>
        <v>8.8000000000000078E-2</v>
      </c>
      <c r="G9" s="656">
        <v>0</v>
      </c>
      <c r="H9" s="656">
        <v>0</v>
      </c>
      <c r="I9" s="656">
        <v>0</v>
      </c>
      <c r="J9" s="656">
        <v>0</v>
      </c>
      <c r="K9" s="656">
        <v>0</v>
      </c>
      <c r="L9" s="656">
        <v>0</v>
      </c>
      <c r="M9" s="656">
        <v>0</v>
      </c>
      <c r="N9" s="656">
        <v>0</v>
      </c>
      <c r="O9" s="656">
        <v>0</v>
      </c>
      <c r="P9" s="656">
        <v>0</v>
      </c>
      <c r="Q9" s="656">
        <v>0</v>
      </c>
      <c r="R9" s="656">
        <v>0</v>
      </c>
    </row>
    <row r="10" spans="2:18">
      <c r="B10" s="478"/>
    </row>
    <row r="11" spans="2:18">
      <c r="B11" s="478" t="s">
        <v>366</v>
      </c>
      <c r="C11" s="468">
        <f>C5/AVERAGE(C8,C8)/12</f>
        <v>10.682363200348812</v>
      </c>
      <c r="D11" s="468">
        <f>D5/AVERAGE(C8,D8)/12</f>
        <v>10.873093151574166</v>
      </c>
      <c r="E11" s="468">
        <f>E5/AVERAGE(D8,E8)/12</f>
        <v>11.595145210229736</v>
      </c>
      <c r="F11" s="468">
        <f>F5/AVERAGE(E8,F8)/12</f>
        <v>11.851615646258503</v>
      </c>
      <c r="G11" s="468">
        <f>F11*(1+G12)</f>
        <v>11.259034863945578</v>
      </c>
      <c r="H11" s="468">
        <f t="shared" ref="H11:R11" si="4">G11*(1+H12)</f>
        <v>10.808673469387754</v>
      </c>
      <c r="I11" s="468">
        <f t="shared" si="4"/>
        <v>11.349107142857143</v>
      </c>
      <c r="J11" s="468">
        <f t="shared" si="4"/>
        <v>11.689580357142857</v>
      </c>
      <c r="K11" s="468">
        <f t="shared" si="4"/>
        <v>11.689580357142857</v>
      </c>
      <c r="L11" s="468">
        <f t="shared" si="4"/>
        <v>11.923371964285714</v>
      </c>
      <c r="M11" s="468">
        <f t="shared" si="4"/>
        <v>12.042605683928571</v>
      </c>
      <c r="N11" s="468">
        <f t="shared" si="4"/>
        <v>12.042605683928571</v>
      </c>
      <c r="O11" s="468">
        <f t="shared" si="4"/>
        <v>12.042605683928571</v>
      </c>
      <c r="P11" s="468">
        <f t="shared" si="4"/>
        <v>12.042605683928571</v>
      </c>
      <c r="Q11" s="468">
        <f t="shared" si="4"/>
        <v>12.042605683928571</v>
      </c>
      <c r="R11" s="468">
        <f t="shared" si="4"/>
        <v>12.042605683928571</v>
      </c>
    </row>
    <row r="12" spans="2:18">
      <c r="B12" s="478" t="s">
        <v>2353</v>
      </c>
      <c r="D12" s="456">
        <f>D11/C11-1</f>
        <v>1.7854658903483589E-2</v>
      </c>
      <c r="E12" s="456">
        <f>E11/D11-1</f>
        <v>6.6407235603516801E-2</v>
      </c>
      <c r="F12" s="456">
        <f>F11/E11-1</f>
        <v>2.2118777417508895E-2</v>
      </c>
      <c r="G12" s="595">
        <v>-0.05</v>
      </c>
      <c r="H12" s="595">
        <v>-0.04</v>
      </c>
      <c r="I12" s="595">
        <v>0.05</v>
      </c>
      <c r="J12" s="595">
        <v>0.03</v>
      </c>
      <c r="K12" s="595">
        <v>0</v>
      </c>
      <c r="L12" s="595">
        <v>0.02</v>
      </c>
      <c r="M12" s="595">
        <v>0.01</v>
      </c>
      <c r="N12" s="595">
        <v>0</v>
      </c>
      <c r="O12" s="595">
        <v>0</v>
      </c>
      <c r="P12" s="595">
        <v>0</v>
      </c>
      <c r="Q12" s="595">
        <v>0</v>
      </c>
      <c r="R12" s="595">
        <v>0</v>
      </c>
    </row>
    <row r="14" spans="2:18">
      <c r="B14" s="478" t="s">
        <v>360</v>
      </c>
      <c r="C14" s="523">
        <v>73</v>
      </c>
      <c r="D14" s="523">
        <v>71</v>
      </c>
      <c r="E14" s="523">
        <v>85</v>
      </c>
      <c r="F14" s="523">
        <v>90</v>
      </c>
      <c r="G14" s="468">
        <f>G15*G5</f>
        <v>91.473803571428562</v>
      </c>
      <c r="H14" s="468">
        <f t="shared" ref="H14:R14" si="5">H15*H5</f>
        <v>104.54148979591837</v>
      </c>
      <c r="I14" s="468">
        <f t="shared" si="5"/>
        <v>100.98707914285716</v>
      </c>
      <c r="J14" s="468">
        <f t="shared" si="5"/>
        <v>107.40854015357142</v>
      </c>
      <c r="K14" s="468">
        <f t="shared" si="5"/>
        <v>111.93100500214285</v>
      </c>
      <c r="L14" s="468">
        <f t="shared" si="5"/>
        <v>120.62770490594572</v>
      </c>
      <c r="M14" s="468">
        <f t="shared" si="5"/>
        <v>111.81703888795886</v>
      </c>
      <c r="N14" s="468">
        <f t="shared" si="5"/>
        <v>111.81703888795886</v>
      </c>
      <c r="O14" s="468">
        <f t="shared" si="5"/>
        <v>111.81703888795886</v>
      </c>
      <c r="P14" s="468">
        <f t="shared" si="5"/>
        <v>111.81703888795886</v>
      </c>
      <c r="Q14" s="468">
        <f t="shared" si="5"/>
        <v>111.81703888795886</v>
      </c>
      <c r="R14" s="468">
        <f t="shared" si="5"/>
        <v>111.81703888795886</v>
      </c>
    </row>
    <row r="15" spans="2:18">
      <c r="B15" s="478" t="s">
        <v>1434</v>
      </c>
      <c r="C15" s="456">
        <f>C14/C5</f>
        <v>0.37244897959183676</v>
      </c>
      <c r="D15" s="456">
        <f>D14/D5</f>
        <v>0.35323383084577115</v>
      </c>
      <c r="E15" s="456">
        <f>E14/E5</f>
        <v>0.39719626168224298</v>
      </c>
      <c r="F15" s="456">
        <f>F14/F5</f>
        <v>0.40358744394618834</v>
      </c>
      <c r="G15" s="595">
        <v>0.42</v>
      </c>
      <c r="H15" s="595">
        <v>0.5</v>
      </c>
      <c r="I15" s="595">
        <v>0.46</v>
      </c>
      <c r="J15" s="595">
        <v>0.47499999999999998</v>
      </c>
      <c r="K15" s="595">
        <v>0.495</v>
      </c>
      <c r="L15" s="595">
        <v>0.52300000000000002</v>
      </c>
      <c r="M15" s="595">
        <v>0.48</v>
      </c>
      <c r="N15" s="595">
        <v>0.48</v>
      </c>
      <c r="O15" s="595">
        <v>0.48</v>
      </c>
      <c r="P15" s="595">
        <v>0.48</v>
      </c>
      <c r="Q15" s="595">
        <v>0.48</v>
      </c>
      <c r="R15" s="595">
        <v>0.48</v>
      </c>
    </row>
    <row r="17" spans="2:18">
      <c r="B17" s="478" t="s">
        <v>1545</v>
      </c>
      <c r="C17" s="454">
        <f>C18*C5</f>
        <v>34.551282051282051</v>
      </c>
      <c r="D17" s="454">
        <f>D18*D5</f>
        <v>28.183359013867488</v>
      </c>
      <c r="E17" s="454">
        <f>E18*E5</f>
        <v>25.816860465116282</v>
      </c>
      <c r="F17" s="454">
        <f>F18*F5</f>
        <v>24.847672778561353</v>
      </c>
      <c r="G17" s="454">
        <f>G18*G5</f>
        <v>26.135372448979592</v>
      </c>
      <c r="H17" s="454">
        <f t="shared" ref="H17:R17" si="6">H18*H5</f>
        <v>37.634936326530614</v>
      </c>
      <c r="I17" s="454">
        <f t="shared" si="6"/>
        <v>37.321311857142859</v>
      </c>
      <c r="J17" s="454">
        <f t="shared" si="6"/>
        <v>36.179718788571428</v>
      </c>
      <c r="K17" s="454">
        <f t="shared" si="6"/>
        <v>31.65725394</v>
      </c>
      <c r="L17" s="454">
        <f t="shared" si="6"/>
        <v>32.290399018800002</v>
      </c>
      <c r="M17" s="454">
        <f t="shared" si="6"/>
        <v>32.613303008988005</v>
      </c>
      <c r="N17" s="454">
        <f t="shared" si="6"/>
        <v>32.613303008988005</v>
      </c>
      <c r="O17" s="454">
        <f t="shared" si="6"/>
        <v>32.613303008988005</v>
      </c>
      <c r="P17" s="454">
        <f t="shared" si="6"/>
        <v>32.613303008988005</v>
      </c>
      <c r="Q17" s="454">
        <f t="shared" si="6"/>
        <v>32.613303008988005</v>
      </c>
      <c r="R17" s="454">
        <f t="shared" si="6"/>
        <v>32.613303008988005</v>
      </c>
    </row>
    <row r="18" spans="2:18">
      <c r="B18" s="478" t="s">
        <v>1431</v>
      </c>
      <c r="C18" s="456">
        <f>C$173</f>
        <v>0.17628205128205129</v>
      </c>
      <c r="D18" s="456">
        <f>D$173</f>
        <v>0.14021571648690292</v>
      </c>
      <c r="E18" s="456">
        <f>E$173</f>
        <v>0.12063953488372094</v>
      </c>
      <c r="F18" s="456">
        <f>F$173</f>
        <v>0.11142454160789844</v>
      </c>
      <c r="G18" s="595">
        <v>0.12</v>
      </c>
      <c r="H18" s="595">
        <v>0.18</v>
      </c>
      <c r="I18" s="595">
        <v>0.17</v>
      </c>
      <c r="J18" s="595">
        <v>0.16</v>
      </c>
      <c r="K18" s="595">
        <v>0.14000000000000001</v>
      </c>
      <c r="L18" s="595">
        <v>0.14000000000000001</v>
      </c>
      <c r="M18" s="595">
        <v>0.14000000000000001</v>
      </c>
      <c r="N18" s="595">
        <v>0.14000000000000001</v>
      </c>
      <c r="O18" s="595">
        <v>0.14000000000000001</v>
      </c>
      <c r="P18" s="595">
        <v>0.14000000000000001</v>
      </c>
      <c r="Q18" s="595">
        <v>0.14000000000000001</v>
      </c>
      <c r="R18" s="595">
        <v>0.14000000000000001</v>
      </c>
    </row>
    <row r="20" spans="2:18">
      <c r="B20" s="478" t="s">
        <v>1552</v>
      </c>
      <c r="C20" s="454">
        <f>C14-C17</f>
        <v>38.448717948717949</v>
      </c>
      <c r="D20" s="454">
        <f>D14-D17</f>
        <v>42.816640986132512</v>
      </c>
      <c r="E20" s="454">
        <f>E14-E17</f>
        <v>59.183139534883722</v>
      </c>
      <c r="F20" s="454">
        <f>F14-F17</f>
        <v>65.15232722143864</v>
      </c>
      <c r="G20" s="454">
        <f t="shared" ref="G20:R20" si="7">G14-G17</f>
        <v>65.338431122448966</v>
      </c>
      <c r="H20" s="454">
        <f t="shared" si="7"/>
        <v>66.906553469387745</v>
      </c>
      <c r="I20" s="454">
        <f t="shared" si="7"/>
        <v>63.665767285714296</v>
      </c>
      <c r="J20" s="454">
        <f t="shared" si="7"/>
        <v>71.228821364999988</v>
      </c>
      <c r="K20" s="454">
        <f t="shared" si="7"/>
        <v>80.27375106214285</v>
      </c>
      <c r="L20" s="454">
        <f t="shared" si="7"/>
        <v>88.337305887145718</v>
      </c>
      <c r="M20" s="454">
        <f>M14-M17</f>
        <v>79.203735878970861</v>
      </c>
      <c r="N20" s="454">
        <f t="shared" si="7"/>
        <v>79.203735878970861</v>
      </c>
      <c r="O20" s="454">
        <f t="shared" si="7"/>
        <v>79.203735878970861</v>
      </c>
      <c r="P20" s="454">
        <f t="shared" si="7"/>
        <v>79.203735878970861</v>
      </c>
      <c r="Q20" s="454">
        <f t="shared" si="7"/>
        <v>79.203735878970861</v>
      </c>
      <c r="R20" s="454">
        <f t="shared" si="7"/>
        <v>79.203735878970861</v>
      </c>
    </row>
    <row r="21" spans="2:18">
      <c r="B21" s="478" t="s">
        <v>1434</v>
      </c>
      <c r="C21" s="456">
        <f>C20/C5</f>
        <v>0.19616692830978547</v>
      </c>
      <c r="D21" s="456">
        <f>D20/D5</f>
        <v>0.21301811435886822</v>
      </c>
      <c r="E21" s="456">
        <f>E20/E5</f>
        <v>0.27655672679852206</v>
      </c>
      <c r="F21" s="456">
        <f>F20/F5</f>
        <v>0.29216290233828984</v>
      </c>
      <c r="G21" s="456">
        <f t="shared" ref="G21:R21" si="8">G20/G5</f>
        <v>0.29999999999999993</v>
      </c>
      <c r="H21" s="456">
        <f t="shared" si="8"/>
        <v>0.31999999999999995</v>
      </c>
      <c r="I21" s="456">
        <f t="shared" si="8"/>
        <v>0.29000000000000004</v>
      </c>
      <c r="J21" s="456">
        <f t="shared" si="8"/>
        <v>0.31499999999999995</v>
      </c>
      <c r="K21" s="456">
        <f t="shared" si="8"/>
        <v>0.35499999999999998</v>
      </c>
      <c r="L21" s="456">
        <f t="shared" si="8"/>
        <v>0.38300000000000001</v>
      </c>
      <c r="M21" s="456">
        <f t="shared" si="8"/>
        <v>0.34</v>
      </c>
      <c r="N21" s="456">
        <f t="shared" si="8"/>
        <v>0.34</v>
      </c>
      <c r="O21" s="456">
        <f t="shared" si="8"/>
        <v>0.34</v>
      </c>
      <c r="P21" s="456">
        <f t="shared" si="8"/>
        <v>0.34</v>
      </c>
      <c r="Q21" s="456">
        <f t="shared" si="8"/>
        <v>0.34</v>
      </c>
      <c r="R21" s="456">
        <f t="shared" si="8"/>
        <v>0.34</v>
      </c>
    </row>
    <row r="23" spans="2:18">
      <c r="B23" s="478" t="s">
        <v>682</v>
      </c>
      <c r="C23" s="538">
        <v>0.25</v>
      </c>
      <c r="D23" s="538">
        <v>0.25</v>
      </c>
      <c r="E23" s="538">
        <v>0.25</v>
      </c>
      <c r="F23" s="538">
        <v>0.25</v>
      </c>
      <c r="G23" s="538">
        <v>0.25</v>
      </c>
      <c r="H23" s="538">
        <v>0.25</v>
      </c>
      <c r="I23" s="538">
        <v>0.25</v>
      </c>
      <c r="J23" s="538">
        <v>0.25</v>
      </c>
      <c r="K23" s="538">
        <v>0.25</v>
      </c>
      <c r="L23" s="538">
        <v>0.25</v>
      </c>
      <c r="M23" s="538">
        <v>0.25</v>
      </c>
      <c r="N23" s="538">
        <v>0.25</v>
      </c>
      <c r="O23" s="538">
        <v>0.25</v>
      </c>
      <c r="P23" s="538">
        <v>0.25</v>
      </c>
      <c r="Q23" s="538">
        <v>0.25</v>
      </c>
      <c r="R23" s="538">
        <v>0.25</v>
      </c>
    </row>
    <row r="24" spans="2:18">
      <c r="B24" s="478" t="s">
        <v>1936</v>
      </c>
      <c r="C24" s="468">
        <f>(1-C23)*C20</f>
        <v>28.83653846153846</v>
      </c>
      <c r="D24" s="468">
        <f t="shared" ref="D24:R24" si="9">(1-D23)*D20</f>
        <v>32.112480739599384</v>
      </c>
      <c r="E24" s="468">
        <f t="shared" si="9"/>
        <v>44.387354651162795</v>
      </c>
      <c r="F24" s="468">
        <f t="shared" si="9"/>
        <v>48.86424541607898</v>
      </c>
      <c r="G24" s="468">
        <f t="shared" si="9"/>
        <v>49.003823341836721</v>
      </c>
      <c r="H24" s="468">
        <f t="shared" si="9"/>
        <v>50.179915102040809</v>
      </c>
      <c r="I24" s="468">
        <f t="shared" si="9"/>
        <v>47.749325464285718</v>
      </c>
      <c r="J24" s="468">
        <f t="shared" si="9"/>
        <v>53.421616023749991</v>
      </c>
      <c r="K24" s="468">
        <f t="shared" si="9"/>
        <v>60.205313296607137</v>
      </c>
      <c r="L24" s="468">
        <f t="shared" si="9"/>
        <v>66.252979415359292</v>
      </c>
      <c r="M24" s="468">
        <f t="shared" si="9"/>
        <v>59.402801909228145</v>
      </c>
      <c r="N24" s="468">
        <f t="shared" si="9"/>
        <v>59.402801909228145</v>
      </c>
      <c r="O24" s="468">
        <f t="shared" si="9"/>
        <v>59.402801909228145</v>
      </c>
      <c r="P24" s="468">
        <f t="shared" si="9"/>
        <v>59.402801909228145</v>
      </c>
      <c r="Q24" s="468">
        <f t="shared" si="9"/>
        <v>59.402801909228145</v>
      </c>
      <c r="R24" s="468">
        <f t="shared" si="9"/>
        <v>59.402801909228145</v>
      </c>
    </row>
    <row r="26" spans="2:18">
      <c r="B26" s="478" t="s">
        <v>507</v>
      </c>
    </row>
    <row r="27" spans="2:18">
      <c r="B27" s="478" t="s">
        <v>1938</v>
      </c>
      <c r="C27" s="595">
        <v>8.5000000000000006E-2</v>
      </c>
    </row>
    <row r="28" spans="2:18">
      <c r="B28" s="478" t="s">
        <v>246</v>
      </c>
      <c r="C28" s="595">
        <v>0</v>
      </c>
    </row>
    <row r="29" spans="2:18">
      <c r="B29" s="478" t="s">
        <v>5471</v>
      </c>
      <c r="C29" s="454">
        <f>NPV(C27,M24:R24)</f>
        <v>270.49583660906245</v>
      </c>
    </row>
    <row r="30" spans="2:18">
      <c r="B30" s="478" t="s">
        <v>2588</v>
      </c>
      <c r="C30" s="468">
        <f>1/(C27-C28)</f>
        <v>11.76470588235294</v>
      </c>
    </row>
    <row r="31" spans="2:18">
      <c r="B31" s="478" t="s">
        <v>5596</v>
      </c>
      <c r="C31" s="464">
        <f>C30*R24</f>
        <v>698.85649304974288</v>
      </c>
    </row>
    <row r="32" spans="2:18">
      <c r="B32" s="478" t="s">
        <v>5597</v>
      </c>
      <c r="C32" s="454">
        <f>C31/(1+C27)^6</f>
        <v>428.36065644068054</v>
      </c>
    </row>
    <row r="33" spans="2:18">
      <c r="B33" s="478" t="s">
        <v>245</v>
      </c>
      <c r="C33" s="454">
        <f>C29+C32</f>
        <v>698.85649304974299</v>
      </c>
    </row>
    <row r="34" spans="2:18">
      <c r="B34" s="478" t="s">
        <v>1243</v>
      </c>
      <c r="C34" s="468">
        <f>C33/G14</f>
        <v>7.6399632000000022</v>
      </c>
    </row>
    <row r="35" spans="2:18" ht="15.75" thickBot="1"/>
    <row r="36" spans="2:18" ht="15.75" thickBot="1">
      <c r="B36" s="478" t="s">
        <v>5598</v>
      </c>
      <c r="C36" s="454">
        <f>Analysis!G3767</f>
        <v>649.79381443298962</v>
      </c>
    </row>
    <row r="37" spans="2:18">
      <c r="B37" s="478"/>
    </row>
    <row r="38" spans="2:18">
      <c r="B38" s="450" t="s">
        <v>5590</v>
      </c>
    </row>
    <row r="39" spans="2:18">
      <c r="B39" s="478"/>
    </row>
    <row r="40" spans="2:18">
      <c r="B40" s="451" t="s">
        <v>5587</v>
      </c>
      <c r="C40" s="451">
        <f>C4</f>
        <v>2015</v>
      </c>
      <c r="D40" s="451">
        <f t="shared" ref="D40:R40" si="10">D4</f>
        <v>2016</v>
      </c>
      <c r="E40" s="451">
        <f t="shared" si="10"/>
        <v>2017</v>
      </c>
      <c r="F40" s="451">
        <f t="shared" si="10"/>
        <v>2018</v>
      </c>
      <c r="G40" s="451">
        <f t="shared" si="10"/>
        <v>2019</v>
      </c>
      <c r="H40" s="451">
        <f t="shared" si="10"/>
        <v>2020</v>
      </c>
      <c r="I40" s="451">
        <f t="shared" si="10"/>
        <v>2021</v>
      </c>
      <c r="J40" s="451">
        <f t="shared" si="10"/>
        <v>2022</v>
      </c>
      <c r="K40" s="451">
        <f t="shared" si="10"/>
        <v>2023</v>
      </c>
      <c r="L40" s="451">
        <f t="shared" si="10"/>
        <v>2024</v>
      </c>
      <c r="M40" s="451">
        <f t="shared" si="10"/>
        <v>2025</v>
      </c>
      <c r="N40" s="451">
        <f t="shared" si="10"/>
        <v>2026</v>
      </c>
      <c r="O40" s="451">
        <f t="shared" si="10"/>
        <v>2027</v>
      </c>
      <c r="P40" s="451">
        <f t="shared" si="10"/>
        <v>2028</v>
      </c>
      <c r="Q40" s="451">
        <f t="shared" si="10"/>
        <v>2029</v>
      </c>
      <c r="R40" s="451">
        <f t="shared" si="10"/>
        <v>2030</v>
      </c>
    </row>
    <row r="41" spans="2:18">
      <c r="B41" s="478" t="s">
        <v>5589</v>
      </c>
      <c r="C41" s="531">
        <f>D41/D$45*C$45</f>
        <v>1.5178238341968915</v>
      </c>
      <c r="D41" s="531">
        <f>D8</f>
        <v>1.552</v>
      </c>
      <c r="E41" s="531">
        <f>E8</f>
        <v>1.524</v>
      </c>
      <c r="F41" s="531">
        <f>F8</f>
        <v>1.6120000000000001</v>
      </c>
      <c r="G41" s="531">
        <f t="shared" ref="G41:R41" si="11">G8</f>
        <v>1.6120000000000001</v>
      </c>
      <c r="H41" s="531">
        <f t="shared" si="11"/>
        <v>1.6120000000000001</v>
      </c>
      <c r="I41" s="531">
        <f t="shared" si="11"/>
        <v>1.6120000000000001</v>
      </c>
      <c r="J41" s="531">
        <f t="shared" si="11"/>
        <v>1.6120000000000001</v>
      </c>
      <c r="K41" s="531">
        <f t="shared" si="11"/>
        <v>1.6120000000000001</v>
      </c>
      <c r="L41" s="531">
        <f t="shared" si="11"/>
        <v>1.6120000000000001</v>
      </c>
      <c r="M41" s="531">
        <f t="shared" si="11"/>
        <v>1.6120000000000001</v>
      </c>
      <c r="N41" s="531">
        <f t="shared" si="11"/>
        <v>1.6120000000000001</v>
      </c>
      <c r="O41" s="531">
        <f t="shared" si="11"/>
        <v>1.6120000000000001</v>
      </c>
      <c r="P41" s="531">
        <f t="shared" si="11"/>
        <v>1.6120000000000001</v>
      </c>
      <c r="Q41" s="531">
        <f t="shared" si="11"/>
        <v>1.6120000000000001</v>
      </c>
      <c r="R41" s="531">
        <f t="shared" si="11"/>
        <v>1.6120000000000001</v>
      </c>
    </row>
    <row r="42" spans="2:18">
      <c r="B42" s="478" t="s">
        <v>5588</v>
      </c>
      <c r="C42" s="531">
        <f>D42/D$45*C$45</f>
        <v>1.6977720207253886</v>
      </c>
      <c r="D42" s="1031">
        <v>1.736</v>
      </c>
      <c r="E42" s="1031">
        <v>1.6819999999999999</v>
      </c>
      <c r="F42" s="1031">
        <v>1.569</v>
      </c>
      <c r="G42">
        <f>F42</f>
        <v>1.569</v>
      </c>
      <c r="H42">
        <f t="shared" ref="H42:R42" si="12">G42</f>
        <v>1.569</v>
      </c>
      <c r="I42">
        <f t="shared" si="12"/>
        <v>1.569</v>
      </c>
      <c r="J42">
        <f t="shared" si="12"/>
        <v>1.569</v>
      </c>
      <c r="K42">
        <f t="shared" si="12"/>
        <v>1.569</v>
      </c>
      <c r="L42">
        <f t="shared" si="12"/>
        <v>1.569</v>
      </c>
      <c r="M42">
        <f t="shared" si="12"/>
        <v>1.569</v>
      </c>
      <c r="N42">
        <f t="shared" si="12"/>
        <v>1.569</v>
      </c>
      <c r="O42">
        <f t="shared" si="12"/>
        <v>1.569</v>
      </c>
      <c r="P42">
        <f t="shared" si="12"/>
        <v>1.569</v>
      </c>
      <c r="Q42">
        <f t="shared" si="12"/>
        <v>1.569</v>
      </c>
      <c r="R42">
        <f t="shared" si="12"/>
        <v>1.569</v>
      </c>
    </row>
    <row r="43" spans="2:18">
      <c r="B43" s="478" t="s">
        <v>880</v>
      </c>
      <c r="C43" s="531">
        <f>D43/D$45*C$45</f>
        <v>0.63217730874733435</v>
      </c>
      <c r="D43" s="531">
        <f>D45-D44-D42-D41</f>
        <v>0.64641176470588357</v>
      </c>
      <c r="E43" s="531">
        <f>E45-E44-E42-E41</f>
        <v>0.77841176470588325</v>
      </c>
      <c r="F43" s="531">
        <f>F51*F45</f>
        <v>0.85341176470588231</v>
      </c>
      <c r="G43" s="468">
        <f t="shared" ref="G43:R43" si="13">F43</f>
        <v>0.85341176470588231</v>
      </c>
      <c r="H43" s="468">
        <f t="shared" si="13"/>
        <v>0.85341176470588231</v>
      </c>
      <c r="I43" s="468">
        <f t="shared" si="13"/>
        <v>0.85341176470588231</v>
      </c>
      <c r="J43" s="468">
        <f t="shared" si="13"/>
        <v>0.85341176470588231</v>
      </c>
      <c r="K43" s="468">
        <f t="shared" si="13"/>
        <v>0.85341176470588231</v>
      </c>
      <c r="L43" s="468">
        <f t="shared" si="13"/>
        <v>0.85341176470588231</v>
      </c>
      <c r="M43" s="468">
        <f t="shared" si="13"/>
        <v>0.85341176470588231</v>
      </c>
      <c r="N43" s="468">
        <f t="shared" si="13"/>
        <v>0.85341176470588231</v>
      </c>
      <c r="O43" s="468">
        <f t="shared" si="13"/>
        <v>0.85341176470588231</v>
      </c>
      <c r="P43" s="468">
        <f t="shared" si="13"/>
        <v>0.85341176470588231</v>
      </c>
      <c r="Q43" s="468">
        <f t="shared" si="13"/>
        <v>0.85341176470588231</v>
      </c>
      <c r="R43" s="468">
        <f t="shared" si="13"/>
        <v>0.85341176470588231</v>
      </c>
    </row>
    <row r="44" spans="2:18">
      <c r="B44" s="487" t="s">
        <v>1610</v>
      </c>
      <c r="C44">
        <f>D44/D$45*C$45</f>
        <v>0.59340330691862186</v>
      </c>
      <c r="D44">
        <f>E44-0.05</f>
        <v>0.60676470588235243</v>
      </c>
      <c r="E44">
        <f>F44-0.05</f>
        <v>0.65676470588235247</v>
      </c>
      <c r="F44">
        <f>F52*F45</f>
        <v>0.70676470588235252</v>
      </c>
      <c r="G44">
        <f>F44+0.05</f>
        <v>0.75676470588235256</v>
      </c>
      <c r="H44">
        <f>G44+0.01</f>
        <v>0.76676470588235257</v>
      </c>
      <c r="I44">
        <f>H44+0.005</f>
        <v>0.77176470588235258</v>
      </c>
      <c r="J44">
        <f t="shared" ref="J44:R44" si="14">I44+0.005</f>
        <v>0.77676470588235258</v>
      </c>
      <c r="K44">
        <f t="shared" si="14"/>
        <v>0.78176470588235258</v>
      </c>
      <c r="L44">
        <f t="shared" si="14"/>
        <v>0.78676470588235259</v>
      </c>
      <c r="M44">
        <f t="shared" si="14"/>
        <v>0.79176470588235259</v>
      </c>
      <c r="N44">
        <f t="shared" si="14"/>
        <v>0.7967647058823526</v>
      </c>
      <c r="O44">
        <f t="shared" si="14"/>
        <v>0.8017647058823526</v>
      </c>
      <c r="P44">
        <f t="shared" si="14"/>
        <v>0.80676470588235261</v>
      </c>
      <c r="Q44">
        <f t="shared" si="14"/>
        <v>0.81176470588235261</v>
      </c>
      <c r="R44">
        <f t="shared" si="14"/>
        <v>0.81676470588235262</v>
      </c>
    </row>
    <row r="45" spans="2:18">
      <c r="B45" s="478" t="s">
        <v>590</v>
      </c>
      <c r="C45" s="531">
        <f>D45-D46</f>
        <v>4.4411764705882364</v>
      </c>
      <c r="D45" s="531">
        <f>E45-E46</f>
        <v>4.541176470588236</v>
      </c>
      <c r="E45" s="531">
        <f>F45-F46</f>
        <v>4.6411764705882357</v>
      </c>
      <c r="F45" s="531">
        <f>F41/F49</f>
        <v>4.7411764705882353</v>
      </c>
      <c r="G45" s="531">
        <f>SUM(G41:G44)</f>
        <v>4.7911764705882351</v>
      </c>
      <c r="H45" s="531">
        <f t="shared" ref="H45:R45" si="15">SUM(H41:H44)</f>
        <v>4.8011764705882349</v>
      </c>
      <c r="I45" s="531">
        <f t="shared" si="15"/>
        <v>4.8061764705882348</v>
      </c>
      <c r="J45" s="531">
        <f t="shared" si="15"/>
        <v>4.8111764705882347</v>
      </c>
      <c r="K45" s="531">
        <f t="shared" si="15"/>
        <v>4.8161764705882346</v>
      </c>
      <c r="L45" s="531">
        <f t="shared" si="15"/>
        <v>4.8211764705882345</v>
      </c>
      <c r="M45" s="531">
        <f t="shared" si="15"/>
        <v>4.8261764705882344</v>
      </c>
      <c r="N45" s="531">
        <f t="shared" si="15"/>
        <v>4.8311764705882343</v>
      </c>
      <c r="O45" s="531">
        <f t="shared" si="15"/>
        <v>4.8361764705882351</v>
      </c>
      <c r="P45" s="531">
        <f t="shared" si="15"/>
        <v>4.841176470588235</v>
      </c>
      <c r="Q45" s="531">
        <f t="shared" si="15"/>
        <v>4.8461764705882349</v>
      </c>
      <c r="R45" s="531">
        <f t="shared" si="15"/>
        <v>4.8511764705882348</v>
      </c>
    </row>
    <row r="46" spans="2:18">
      <c r="B46" s="478" t="s">
        <v>584</v>
      </c>
      <c r="D46" s="656">
        <v>0.1</v>
      </c>
      <c r="E46" s="656">
        <v>0.1</v>
      </c>
      <c r="F46" s="656">
        <v>0.1</v>
      </c>
      <c r="G46" s="468">
        <f>G45-F45</f>
        <v>4.9999999999999822E-2</v>
      </c>
      <c r="H46" s="468">
        <f t="shared" ref="H46:R46" si="16">H45-G45</f>
        <v>9.9999999999997868E-3</v>
      </c>
      <c r="I46" s="468">
        <f t="shared" si="16"/>
        <v>4.9999999999998934E-3</v>
      </c>
      <c r="J46" s="468">
        <f t="shared" si="16"/>
        <v>4.9999999999998934E-3</v>
      </c>
      <c r="K46" s="468">
        <f t="shared" si="16"/>
        <v>4.9999999999998934E-3</v>
      </c>
      <c r="L46" s="468">
        <f t="shared" si="16"/>
        <v>4.9999999999998934E-3</v>
      </c>
      <c r="M46" s="468">
        <f t="shared" si="16"/>
        <v>4.9999999999998934E-3</v>
      </c>
      <c r="N46" s="468">
        <f t="shared" si="16"/>
        <v>4.9999999999998934E-3</v>
      </c>
      <c r="O46" s="468">
        <f t="shared" si="16"/>
        <v>5.0000000000007816E-3</v>
      </c>
      <c r="P46" s="468">
        <f t="shared" si="16"/>
        <v>4.9999999999998934E-3</v>
      </c>
      <c r="Q46" s="468">
        <f t="shared" si="16"/>
        <v>4.9999999999998934E-3</v>
      </c>
      <c r="R46" s="468">
        <f t="shared" si="16"/>
        <v>4.9999999999998934E-3</v>
      </c>
    </row>
    <row r="48" spans="2:18">
      <c r="B48" s="450" t="s">
        <v>5591</v>
      </c>
    </row>
    <row r="49" spans="2:18">
      <c r="B49" s="478" t="str">
        <f>B41</f>
        <v>Tigo (Movistar)</v>
      </c>
      <c r="C49" s="449">
        <v>0.34</v>
      </c>
      <c r="D49" s="449">
        <v>0.34</v>
      </c>
      <c r="E49" s="449">
        <v>0.34</v>
      </c>
      <c r="F49" s="449">
        <v>0.34</v>
      </c>
      <c r="G49" s="449">
        <v>0.34</v>
      </c>
      <c r="H49" s="449">
        <v>0.34</v>
      </c>
      <c r="I49" s="449">
        <v>0.34</v>
      </c>
      <c r="J49" s="449">
        <v>0.34</v>
      </c>
      <c r="K49" s="449">
        <v>0.34</v>
      </c>
      <c r="L49" s="449">
        <v>0.34</v>
      </c>
      <c r="M49" s="449">
        <v>0.34</v>
      </c>
      <c r="N49" s="449">
        <v>0.34</v>
      </c>
      <c r="O49" s="449">
        <v>0.34</v>
      </c>
      <c r="P49" s="449">
        <v>0.34</v>
      </c>
      <c r="Q49" s="449">
        <v>0.34</v>
      </c>
      <c r="R49" s="449">
        <v>0.34</v>
      </c>
    </row>
    <row r="50" spans="2:18">
      <c r="B50" s="478" t="str">
        <f>B42</f>
        <v>T Movil (CWC)</v>
      </c>
      <c r="C50" s="449">
        <f>C42/C45</f>
        <v>0.3822797927461139</v>
      </c>
      <c r="D50" s="449">
        <f>D42/D45</f>
        <v>0.3822797927461139</v>
      </c>
      <c r="E50" s="449">
        <f>E42/E45</f>
        <v>0.36240811153358676</v>
      </c>
      <c r="F50" s="449">
        <f>F42/F45</f>
        <v>0.33093052109181142</v>
      </c>
      <c r="G50" s="449">
        <f t="shared" ref="G50:R50" si="17">G42/G45</f>
        <v>0.3274769797421731</v>
      </c>
      <c r="H50" s="449">
        <f t="shared" si="17"/>
        <v>0.32679490320999754</v>
      </c>
      <c r="I50" s="449">
        <f t="shared" si="17"/>
        <v>0.32645492931889114</v>
      </c>
      <c r="J50" s="449">
        <f t="shared" si="17"/>
        <v>0.32611566206137671</v>
      </c>
      <c r="K50" s="449">
        <f t="shared" si="17"/>
        <v>0.32577709923664128</v>
      </c>
      <c r="L50" s="449">
        <f t="shared" si="17"/>
        <v>0.32543923865300151</v>
      </c>
      <c r="M50" s="449">
        <f t="shared" si="17"/>
        <v>0.32510207812785669</v>
      </c>
      <c r="N50" s="449">
        <f t="shared" si="17"/>
        <v>0.3247656154876416</v>
      </c>
      <c r="O50" s="449">
        <f t="shared" si="17"/>
        <v>0.32442984856777962</v>
      </c>
      <c r="P50" s="449">
        <f t="shared" si="17"/>
        <v>0.32409477521263669</v>
      </c>
      <c r="Q50" s="449">
        <f t="shared" si="17"/>
        <v>0.3237603932754749</v>
      </c>
      <c r="R50" s="449">
        <f t="shared" si="17"/>
        <v>0.32342670061840673</v>
      </c>
    </row>
    <row r="51" spans="2:18">
      <c r="B51" s="478" t="str">
        <f>B43</f>
        <v>Claro (AMX)</v>
      </c>
      <c r="C51" s="449">
        <v>0.18</v>
      </c>
      <c r="D51" s="449">
        <v>0.18</v>
      </c>
      <c r="E51" s="449">
        <v>0.18</v>
      </c>
      <c r="F51" s="449">
        <v>0.18</v>
      </c>
      <c r="G51" s="449">
        <v>0.18</v>
      </c>
      <c r="H51" s="449">
        <v>0.18</v>
      </c>
      <c r="I51" s="449">
        <v>0.18</v>
      </c>
      <c r="J51" s="449">
        <v>0.18</v>
      </c>
      <c r="K51" s="449">
        <v>0.18</v>
      </c>
      <c r="L51" s="449">
        <v>0.18</v>
      </c>
      <c r="M51" s="449">
        <v>0.18</v>
      </c>
      <c r="N51" s="449">
        <v>0.18</v>
      </c>
      <c r="O51" s="449">
        <v>0.18</v>
      </c>
      <c r="P51" s="449">
        <v>0.18</v>
      </c>
      <c r="Q51" s="449">
        <v>0.18</v>
      </c>
      <c r="R51" s="449">
        <v>0.18</v>
      </c>
    </row>
    <row r="52" spans="2:18">
      <c r="B52" s="487" t="str">
        <f>B44</f>
        <v>Digicel</v>
      </c>
      <c r="C52" s="476">
        <f>C53-C49-C50-C51</f>
        <v>9.7720207253886027E-2</v>
      </c>
      <c r="D52" s="476">
        <f>D53-D49-D50-D51</f>
        <v>9.7720207253886027E-2</v>
      </c>
      <c r="E52" s="476">
        <f>E53-E49-E50-E51</f>
        <v>0.11759188846641316</v>
      </c>
      <c r="F52" s="476">
        <f>F53-F49-F50-F51</f>
        <v>0.1490694789081885</v>
      </c>
      <c r="G52" s="476">
        <f t="shared" ref="G52:R52" si="18">G53-G49-G50-G51</f>
        <v>0.15252302025782682</v>
      </c>
      <c r="H52" s="476">
        <f t="shared" si="18"/>
        <v>0.15320509679000238</v>
      </c>
      <c r="I52" s="476">
        <f t="shared" si="18"/>
        <v>0.15354507068110879</v>
      </c>
      <c r="J52" s="476">
        <f t="shared" si="18"/>
        <v>0.15388433793862322</v>
      </c>
      <c r="K52" s="476">
        <f t="shared" si="18"/>
        <v>0.15422290076335865</v>
      </c>
      <c r="L52" s="476">
        <f t="shared" si="18"/>
        <v>0.15456076134699842</v>
      </c>
      <c r="M52" s="476">
        <f t="shared" si="18"/>
        <v>0.15489792187214324</v>
      </c>
      <c r="N52" s="476">
        <f t="shared" si="18"/>
        <v>0.15523438451235833</v>
      </c>
      <c r="O52" s="476">
        <f t="shared" si="18"/>
        <v>0.1555701514322203</v>
      </c>
      <c r="P52" s="476">
        <f t="shared" si="18"/>
        <v>0.15590522478736324</v>
      </c>
      <c r="Q52" s="476">
        <f t="shared" si="18"/>
        <v>0.15623960672452503</v>
      </c>
      <c r="R52" s="476">
        <f t="shared" si="18"/>
        <v>0.1565732993815932</v>
      </c>
    </row>
    <row r="53" spans="2:18">
      <c r="B53" s="478" t="s">
        <v>2324</v>
      </c>
      <c r="C53" s="449">
        <v>1</v>
      </c>
      <c r="D53" s="449">
        <v>1</v>
      </c>
      <c r="E53" s="449">
        <v>1</v>
      </c>
      <c r="F53" s="449">
        <v>1</v>
      </c>
      <c r="G53" s="449">
        <v>1</v>
      </c>
      <c r="H53" s="449">
        <v>1</v>
      </c>
      <c r="I53" s="449">
        <v>1</v>
      </c>
      <c r="J53" s="449">
        <v>1</v>
      </c>
      <c r="K53" s="449">
        <v>1</v>
      </c>
      <c r="L53" s="449">
        <v>1</v>
      </c>
      <c r="M53" s="449">
        <v>1</v>
      </c>
      <c r="N53" s="449">
        <v>1</v>
      </c>
      <c r="O53" s="449">
        <v>1</v>
      </c>
      <c r="P53" s="449">
        <v>1</v>
      </c>
      <c r="Q53" s="449">
        <v>1</v>
      </c>
      <c r="R53" s="449">
        <v>1</v>
      </c>
    </row>
    <row r="55" spans="2:18">
      <c r="B55" s="451" t="s">
        <v>5568</v>
      </c>
      <c r="C55" s="451">
        <f t="shared" ref="C55:E56" si="19">C4</f>
        <v>2015</v>
      </c>
      <c r="D55" s="451">
        <f t="shared" si="19"/>
        <v>2016</v>
      </c>
      <c r="E55" s="451">
        <f t="shared" si="19"/>
        <v>2017</v>
      </c>
      <c r="F55" s="451">
        <f t="shared" ref="F55:R55" si="20">F4</f>
        <v>2018</v>
      </c>
      <c r="G55" s="451">
        <f t="shared" si="20"/>
        <v>2019</v>
      </c>
      <c r="H55" s="451">
        <f t="shared" si="20"/>
        <v>2020</v>
      </c>
      <c r="I55" s="451">
        <f t="shared" si="20"/>
        <v>2021</v>
      </c>
      <c r="J55" s="451">
        <f t="shared" si="20"/>
        <v>2022</v>
      </c>
      <c r="K55" s="451">
        <f t="shared" si="20"/>
        <v>2023</v>
      </c>
      <c r="L55" s="451">
        <f t="shared" si="20"/>
        <v>2024</v>
      </c>
      <c r="M55" s="451">
        <f t="shared" si="20"/>
        <v>2025</v>
      </c>
      <c r="N55" s="451">
        <f t="shared" si="20"/>
        <v>2026</v>
      </c>
      <c r="O55" s="451">
        <f t="shared" si="20"/>
        <v>2027</v>
      </c>
      <c r="P55" s="451">
        <f t="shared" si="20"/>
        <v>2028</v>
      </c>
      <c r="Q55" s="451">
        <f t="shared" si="20"/>
        <v>2029</v>
      </c>
      <c r="R55" s="451">
        <f t="shared" si="20"/>
        <v>2030</v>
      </c>
    </row>
    <row r="56" spans="2:18">
      <c r="B56" t="str">
        <f>B41</f>
        <v>Tigo (Movistar)</v>
      </c>
      <c r="C56">
        <f t="shared" si="19"/>
        <v>196</v>
      </c>
      <c r="D56">
        <f t="shared" si="19"/>
        <v>201</v>
      </c>
      <c r="E56">
        <f t="shared" si="19"/>
        <v>214</v>
      </c>
      <c r="F56">
        <f>F5</f>
        <v>223</v>
      </c>
      <c r="G56" s="454">
        <f>G5</f>
        <v>217.79477040816326</v>
      </c>
      <c r="H56" s="454">
        <f t="shared" ref="H56:R56" si="21">H5</f>
        <v>209.08297959183673</v>
      </c>
      <c r="I56" s="454">
        <f t="shared" si="21"/>
        <v>219.53712857142858</v>
      </c>
      <c r="J56" s="454">
        <f t="shared" si="21"/>
        <v>226.12324242857142</v>
      </c>
      <c r="K56" s="454">
        <f t="shared" si="21"/>
        <v>226.12324242857142</v>
      </c>
      <c r="L56" s="454">
        <f t="shared" si="21"/>
        <v>230.64570727714286</v>
      </c>
      <c r="M56" s="454">
        <f t="shared" si="21"/>
        <v>232.95216434991428</v>
      </c>
      <c r="N56" s="454">
        <f t="shared" si="21"/>
        <v>232.95216434991428</v>
      </c>
      <c r="O56" s="454">
        <f t="shared" si="21"/>
        <v>232.95216434991428</v>
      </c>
      <c r="P56" s="454">
        <f t="shared" si="21"/>
        <v>232.95216434991428</v>
      </c>
      <c r="Q56" s="454">
        <f t="shared" si="21"/>
        <v>232.95216434991428</v>
      </c>
      <c r="R56" s="454">
        <f t="shared" si="21"/>
        <v>232.95216434991428</v>
      </c>
    </row>
    <row r="57" spans="2:18">
      <c r="B57" s="478" t="s">
        <v>2353</v>
      </c>
      <c r="D57" s="449">
        <f>D56/C56-1</f>
        <v>2.5510204081632626E-2</v>
      </c>
      <c r="E57" s="449">
        <f>E56/D56-1</f>
        <v>6.4676616915422924E-2</v>
      </c>
      <c r="F57" s="449">
        <f>F56/E56-1</f>
        <v>4.20560747663552E-2</v>
      </c>
      <c r="G57" s="449">
        <f t="shared" ref="G57:R57" si="22">G56/F56-1</f>
        <v>-2.3341836734693922E-2</v>
      </c>
      <c r="H57" s="449">
        <f t="shared" si="22"/>
        <v>-4.0000000000000036E-2</v>
      </c>
      <c r="I57" s="449">
        <f t="shared" si="22"/>
        <v>5.0000000000000044E-2</v>
      </c>
      <c r="J57" s="449">
        <f t="shared" si="22"/>
        <v>2.9999999999999805E-2</v>
      </c>
      <c r="K57" s="449">
        <f t="shared" si="22"/>
        <v>0</v>
      </c>
      <c r="L57" s="449">
        <f t="shared" si="22"/>
        <v>2.0000000000000018E-2</v>
      </c>
      <c r="M57" s="449">
        <f t="shared" si="22"/>
        <v>1.0000000000000009E-2</v>
      </c>
      <c r="N57" s="449">
        <f t="shared" si="22"/>
        <v>0</v>
      </c>
      <c r="O57" s="449">
        <f t="shared" si="22"/>
        <v>0</v>
      </c>
      <c r="P57" s="449">
        <f t="shared" si="22"/>
        <v>0</v>
      </c>
      <c r="Q57" s="449">
        <f t="shared" si="22"/>
        <v>0</v>
      </c>
      <c r="R57" s="449">
        <f t="shared" si="22"/>
        <v>0</v>
      </c>
    </row>
    <row r="59" spans="2:18">
      <c r="B59" t="str">
        <f>B42</f>
        <v>T Movil (CWC)</v>
      </c>
      <c r="C59" s="523">
        <f>175*2</f>
        <v>350</v>
      </c>
      <c r="D59">
        <f>(1+D60)*C59</f>
        <v>350</v>
      </c>
      <c r="E59" s="454">
        <f>(1+E60)*D59</f>
        <v>339.5</v>
      </c>
      <c r="F59" s="454">
        <f>(1+F60)*E59</f>
        <v>319.13</v>
      </c>
      <c r="G59" s="454">
        <f>(1+G60)*F59</f>
        <v>303.17349999999999</v>
      </c>
      <c r="H59" s="454">
        <f t="shared" ref="H59:R59" si="23">(1+H60)*G59</f>
        <v>309.23696999999999</v>
      </c>
      <c r="I59" s="454">
        <f t="shared" si="23"/>
        <v>313.87552454999997</v>
      </c>
      <c r="J59" s="454">
        <f t="shared" si="23"/>
        <v>318.58365741824991</v>
      </c>
      <c r="K59" s="454">
        <f t="shared" si="23"/>
        <v>323.36241227952365</v>
      </c>
      <c r="L59" s="454">
        <f t="shared" si="23"/>
        <v>328.21284846371645</v>
      </c>
      <c r="M59" s="454">
        <f t="shared" si="23"/>
        <v>333.13604119067219</v>
      </c>
      <c r="N59" s="454">
        <f t="shared" si="23"/>
        <v>338.13308180853221</v>
      </c>
      <c r="O59" s="454">
        <f t="shared" si="23"/>
        <v>343.20507803566016</v>
      </c>
      <c r="P59" s="454">
        <f t="shared" si="23"/>
        <v>348.35315420619503</v>
      </c>
      <c r="Q59" s="454">
        <f t="shared" si="23"/>
        <v>353.57845151928791</v>
      </c>
      <c r="R59" s="454">
        <f t="shared" si="23"/>
        <v>358.8821282920772</v>
      </c>
    </row>
    <row r="60" spans="2:18">
      <c r="B60" s="478" t="s">
        <v>2353</v>
      </c>
      <c r="D60" s="538">
        <v>0</v>
      </c>
      <c r="E60" s="538">
        <v>-0.03</v>
      </c>
      <c r="F60" s="538">
        <v>-0.06</v>
      </c>
      <c r="G60" s="538">
        <v>-0.05</v>
      </c>
      <c r="H60" s="538">
        <v>0.02</v>
      </c>
      <c r="I60" s="538">
        <v>1.4999999999999999E-2</v>
      </c>
      <c r="J60" s="538">
        <v>1.4999999999999999E-2</v>
      </c>
      <c r="K60" s="538">
        <v>1.4999999999999999E-2</v>
      </c>
      <c r="L60" s="538">
        <v>1.4999999999999999E-2</v>
      </c>
      <c r="M60" s="538">
        <v>1.4999999999999999E-2</v>
      </c>
      <c r="N60" s="538">
        <v>1.4999999999999999E-2</v>
      </c>
      <c r="O60" s="538">
        <v>1.4999999999999999E-2</v>
      </c>
      <c r="P60" s="538">
        <v>1.4999999999999999E-2</v>
      </c>
      <c r="Q60" s="538">
        <v>1.4999999999999999E-2</v>
      </c>
      <c r="R60" s="538">
        <v>1.4999999999999999E-2</v>
      </c>
    </row>
    <row r="61" spans="2:18">
      <c r="B61" s="478"/>
      <c r="D61" s="449"/>
    </row>
    <row r="62" spans="2:18">
      <c r="B62" t="str">
        <f>B43</f>
        <v>Claro (AMX)</v>
      </c>
      <c r="C62" s="454">
        <f>C51/C49*C56</f>
        <v>103.76470588235293</v>
      </c>
      <c r="D62" s="454">
        <f>D51/D49*D56</f>
        <v>106.41176470588233</v>
      </c>
      <c r="E62" s="454">
        <f>E51/E49*E56</f>
        <v>113.2941176470588</v>
      </c>
      <c r="F62" s="454">
        <f>F51/F49*F56</f>
        <v>118.05882352941174</v>
      </c>
      <c r="G62" s="454">
        <f t="shared" ref="G62:R62" si="24">G51/G49*G56</f>
        <v>115.30311374549818</v>
      </c>
      <c r="H62" s="454">
        <f t="shared" si="24"/>
        <v>110.69098919567824</v>
      </c>
      <c r="I62" s="454">
        <f t="shared" si="24"/>
        <v>116.22553865546217</v>
      </c>
      <c r="J62" s="454">
        <f t="shared" si="24"/>
        <v>119.71230481512602</v>
      </c>
      <c r="K62" s="454">
        <f t="shared" si="24"/>
        <v>119.71230481512602</v>
      </c>
      <c r="L62" s="454">
        <f t="shared" si="24"/>
        <v>122.10655091142856</v>
      </c>
      <c r="M62" s="454">
        <f t="shared" si="24"/>
        <v>123.32761642054284</v>
      </c>
      <c r="N62" s="454">
        <f t="shared" si="24"/>
        <v>123.32761642054284</v>
      </c>
      <c r="O62" s="454">
        <f t="shared" si="24"/>
        <v>123.32761642054284</v>
      </c>
      <c r="P62" s="454">
        <f t="shared" si="24"/>
        <v>123.32761642054284</v>
      </c>
      <c r="Q62" s="454">
        <f t="shared" si="24"/>
        <v>123.32761642054284</v>
      </c>
      <c r="R62" s="454">
        <f t="shared" si="24"/>
        <v>123.32761642054284</v>
      </c>
    </row>
    <row r="63" spans="2:18">
      <c r="B63" s="478" t="s">
        <v>2353</v>
      </c>
      <c r="E63" s="449">
        <f>E62/D62-1</f>
        <v>6.4676616915422924E-2</v>
      </c>
      <c r="F63" s="449">
        <f>F62/E62-1</f>
        <v>4.20560747663552E-2</v>
      </c>
      <c r="G63" s="449">
        <f t="shared" ref="G63:R63" si="25">G62/F62-1</f>
        <v>-2.334183673469381E-2</v>
      </c>
      <c r="H63" s="449">
        <f t="shared" si="25"/>
        <v>-4.0000000000000147E-2</v>
      </c>
      <c r="I63" s="449">
        <f t="shared" si="25"/>
        <v>5.0000000000000266E-2</v>
      </c>
      <c r="J63" s="449">
        <f t="shared" si="25"/>
        <v>2.9999999999999805E-2</v>
      </c>
      <c r="K63" s="449">
        <f t="shared" si="25"/>
        <v>0</v>
      </c>
      <c r="L63" s="449">
        <f t="shared" si="25"/>
        <v>2.000000000000024E-2</v>
      </c>
      <c r="M63" s="449">
        <f t="shared" si="25"/>
        <v>1.0000000000000009E-2</v>
      </c>
      <c r="N63" s="449">
        <f t="shared" si="25"/>
        <v>0</v>
      </c>
      <c r="O63" s="449">
        <f t="shared" si="25"/>
        <v>0</v>
      </c>
      <c r="P63" s="449">
        <f t="shared" si="25"/>
        <v>0</v>
      </c>
      <c r="Q63" s="449">
        <f t="shared" si="25"/>
        <v>0</v>
      </c>
      <c r="R63" s="449">
        <f t="shared" si="25"/>
        <v>0</v>
      </c>
    </row>
    <row r="65" spans="2:18">
      <c r="B65" t="str">
        <f>B44</f>
        <v>Digicel</v>
      </c>
      <c r="C65">
        <v>77.8</v>
      </c>
      <c r="D65">
        <v>67.8</v>
      </c>
      <c r="E65">
        <v>56.8</v>
      </c>
      <c r="F65" s="468">
        <f>(1+F66)*E65</f>
        <v>62.480000000000004</v>
      </c>
      <c r="G65" s="468">
        <f>(1+G66)*F65</f>
        <v>68.728000000000009</v>
      </c>
      <c r="H65" s="468">
        <f>(1+H66)*G65</f>
        <v>70.102560000000011</v>
      </c>
      <c r="I65" s="468">
        <f t="shared" ref="I65:R65" si="26">(1+I66)*H65</f>
        <v>71.504611200000014</v>
      </c>
      <c r="J65" s="468">
        <f t="shared" si="26"/>
        <v>72.93470342400002</v>
      </c>
      <c r="K65" s="468">
        <f t="shared" si="26"/>
        <v>74.39339749248002</v>
      </c>
      <c r="L65" s="468">
        <f t="shared" si="26"/>
        <v>75.881265442329621</v>
      </c>
      <c r="M65" s="468">
        <f t="shared" si="26"/>
        <v>77.398890751176211</v>
      </c>
      <c r="N65" s="468">
        <f t="shared" si="26"/>
        <v>78.94686856619974</v>
      </c>
      <c r="O65" s="468">
        <f t="shared" si="26"/>
        <v>80.525805937523742</v>
      </c>
      <c r="P65" s="468">
        <f t="shared" si="26"/>
        <v>82.136322056274224</v>
      </c>
      <c r="Q65" s="468">
        <f t="shared" si="26"/>
        <v>83.779048497399714</v>
      </c>
      <c r="R65" s="468">
        <f t="shared" si="26"/>
        <v>85.454629467347715</v>
      </c>
    </row>
    <row r="66" spans="2:18">
      <c r="B66" s="487" t="s">
        <v>2353</v>
      </c>
      <c r="C66" s="455"/>
      <c r="D66" s="455"/>
      <c r="E66" s="455"/>
      <c r="F66">
        <v>0.1</v>
      </c>
      <c r="G66">
        <v>0.1</v>
      </c>
      <c r="H66">
        <v>0.02</v>
      </c>
      <c r="I66">
        <v>0.02</v>
      </c>
      <c r="J66">
        <v>0.02</v>
      </c>
      <c r="K66">
        <v>0.02</v>
      </c>
      <c r="L66">
        <v>0.02</v>
      </c>
      <c r="M66">
        <v>0.02</v>
      </c>
      <c r="N66">
        <v>0.02</v>
      </c>
      <c r="O66">
        <v>0.02</v>
      </c>
      <c r="P66">
        <v>0.02</v>
      </c>
      <c r="Q66">
        <v>0.02</v>
      </c>
      <c r="R66">
        <v>0.02</v>
      </c>
    </row>
    <row r="67" spans="2:18">
      <c r="B67" s="478" t="s">
        <v>2324</v>
      </c>
      <c r="C67" s="454">
        <f>C56+C59+C62+C65</f>
        <v>727.56470588235288</v>
      </c>
      <c r="D67" s="454">
        <f>D56+D59+D62+D65</f>
        <v>725.21176470588227</v>
      </c>
      <c r="E67" s="454">
        <f>E56+E59+E62+E65</f>
        <v>723.59411764705874</v>
      </c>
      <c r="F67" s="454">
        <f>F56+F59+F62+F65</f>
        <v>722.66882352941172</v>
      </c>
      <c r="G67" s="454">
        <f>G56+G59+G62+G65</f>
        <v>704.99938415366137</v>
      </c>
      <c r="H67" s="454">
        <f t="shared" ref="H67:R67" si="27">H56+H59+H62+H65</f>
        <v>699.11349878751503</v>
      </c>
      <c r="I67" s="454">
        <f t="shared" si="27"/>
        <v>721.14280297689072</v>
      </c>
      <c r="J67" s="454">
        <f t="shared" si="27"/>
        <v>737.3539080859473</v>
      </c>
      <c r="K67" s="454">
        <f t="shared" si="27"/>
        <v>743.59135701570119</v>
      </c>
      <c r="L67" s="454">
        <f t="shared" si="27"/>
        <v>756.84637209461755</v>
      </c>
      <c r="M67" s="454">
        <f t="shared" si="27"/>
        <v>766.81471271230555</v>
      </c>
      <c r="N67" s="454">
        <f t="shared" si="27"/>
        <v>773.35973114518913</v>
      </c>
      <c r="O67" s="454">
        <f t="shared" si="27"/>
        <v>780.01066474364109</v>
      </c>
      <c r="P67" s="454">
        <f t="shared" si="27"/>
        <v>786.76925703292648</v>
      </c>
      <c r="Q67" s="454">
        <f t="shared" si="27"/>
        <v>793.63728078714473</v>
      </c>
      <c r="R67" s="454">
        <f t="shared" si="27"/>
        <v>800.61653852988206</v>
      </c>
    </row>
    <row r="68" spans="2:18">
      <c r="B68" s="478" t="s">
        <v>2353</v>
      </c>
      <c r="C68" s="454"/>
      <c r="D68" s="456">
        <f>D67/C67-1</f>
        <v>-3.2339957634656136E-3</v>
      </c>
      <c r="E68" s="456">
        <f>E67/D67-1</f>
        <v>-2.2305857923852201E-3</v>
      </c>
      <c r="F68" s="456">
        <f>F67/E67-1</f>
        <v>-1.2787474290916201E-3</v>
      </c>
      <c r="G68" s="456">
        <f t="shared" ref="G68:R68" si="28">G67/F67-1</f>
        <v>-2.4450258265543146E-2</v>
      </c>
      <c r="H68" s="456">
        <f t="shared" si="28"/>
        <v>-8.3487808620035242E-3</v>
      </c>
      <c r="I68" s="456">
        <f t="shared" si="28"/>
        <v>3.1510340205962883E-2</v>
      </c>
      <c r="J68" s="456">
        <f t="shared" si="28"/>
        <v>2.2479743321484724E-2</v>
      </c>
      <c r="K68" s="456">
        <f t="shared" si="28"/>
        <v>8.4592335666129337E-3</v>
      </c>
      <c r="L68" s="456">
        <f t="shared" si="28"/>
        <v>1.7825671255934816E-2</v>
      </c>
      <c r="M68" s="456">
        <f t="shared" si="28"/>
        <v>1.3170890401575264E-2</v>
      </c>
      <c r="N68" s="456">
        <f t="shared" si="28"/>
        <v>8.53533236175541E-3</v>
      </c>
      <c r="O68" s="456">
        <f t="shared" si="28"/>
        <v>8.600051606777237E-3</v>
      </c>
      <c r="P68" s="456">
        <f t="shared" si="28"/>
        <v>8.6647434384845567E-3</v>
      </c>
      <c r="Q68" s="456">
        <f t="shared" si="28"/>
        <v>8.7294002565874163E-3</v>
      </c>
      <c r="R68" s="456">
        <f t="shared" si="28"/>
        <v>8.7940144845706225E-3</v>
      </c>
    </row>
    <row r="70" spans="2:18">
      <c r="B70" s="450" t="s">
        <v>522</v>
      </c>
    </row>
    <row r="71" spans="2:18">
      <c r="B71" t="str">
        <f>B56</f>
        <v>Tigo (Movistar)</v>
      </c>
      <c r="C71" s="449">
        <f>C56/C$67</f>
        <v>0.26939184709668035</v>
      </c>
      <c r="D71" s="449">
        <f>D56/D$67</f>
        <v>0.2771604237301884</v>
      </c>
      <c r="E71" s="449">
        <f>E56/E$67</f>
        <v>0.29574590890245589</v>
      </c>
      <c r="F71" s="449">
        <f>F56/F$67</f>
        <v>0.30857841481371745</v>
      </c>
      <c r="G71" s="449">
        <f t="shared" ref="G71:R71" si="29">G56/G$67</f>
        <v>0.30892902221414253</v>
      </c>
      <c r="H71" s="449">
        <f t="shared" si="29"/>
        <v>0.29906872053601175</v>
      </c>
      <c r="I71" s="449">
        <f t="shared" si="29"/>
        <v>0.30442948007686588</v>
      </c>
      <c r="J71" s="449">
        <f t="shared" si="29"/>
        <v>0.3066685345379821</v>
      </c>
      <c r="K71" s="449">
        <f t="shared" si="29"/>
        <v>0.30409611447890555</v>
      </c>
      <c r="L71" s="449">
        <f t="shared" si="29"/>
        <v>0.30474573940126987</v>
      </c>
      <c r="M71" s="449">
        <f t="shared" si="29"/>
        <v>0.30379198584484329</v>
      </c>
      <c r="N71" s="449">
        <f t="shared" si="29"/>
        <v>0.30122096479598093</v>
      </c>
      <c r="O71" s="449">
        <f t="shared" si="29"/>
        <v>0.29865253756046595</v>
      </c>
      <c r="P71" s="449">
        <f t="shared" si="29"/>
        <v>0.29608701950102401</v>
      </c>
      <c r="Q71" s="449">
        <f t="shared" si="29"/>
        <v>0.29352472469396579</v>
      </c>
      <c r="R71" s="449">
        <f t="shared" si="29"/>
        <v>0.29096596577641098</v>
      </c>
    </row>
    <row r="72" spans="2:18">
      <c r="B72" t="str">
        <f>B59</f>
        <v>T Movil (CWC)</v>
      </c>
      <c r="C72" s="449">
        <f>C59/C$67</f>
        <v>0.48105686981550055</v>
      </c>
      <c r="D72" s="449">
        <f>D59/D$67</f>
        <v>0.48261765326152206</v>
      </c>
      <c r="E72" s="449">
        <f>E59/E$67</f>
        <v>0.46918568258123261</v>
      </c>
      <c r="F72" s="449">
        <f>F59/F$67</f>
        <v>0.44159923551346036</v>
      </c>
      <c r="G72" s="449">
        <f t="shared" ref="G72:R72" si="30">G59/G$67</f>
        <v>0.43003370898536902</v>
      </c>
      <c r="H72" s="449">
        <f t="shared" si="30"/>
        <v>0.44232727666725813</v>
      </c>
      <c r="I72" s="449">
        <f t="shared" si="30"/>
        <v>0.43524739240871024</v>
      </c>
      <c r="J72" s="449">
        <f t="shared" si="30"/>
        <v>0.43206342832743927</v>
      </c>
      <c r="K72" s="449">
        <f t="shared" si="30"/>
        <v>0.43486574881302142</v>
      </c>
      <c r="L72" s="449">
        <f t="shared" si="30"/>
        <v>0.43365848151635816</v>
      </c>
      <c r="M72" s="449">
        <f t="shared" si="30"/>
        <v>0.43444137895103035</v>
      </c>
      <c r="N72" s="449">
        <f t="shared" si="30"/>
        <v>0.43722612930443844</v>
      </c>
      <c r="O72" s="449">
        <f t="shared" si="30"/>
        <v>0.44000049428613675</v>
      </c>
      <c r="P72" s="449">
        <f t="shared" si="30"/>
        <v>0.44276406467622864</v>
      </c>
      <c r="Q72" s="449">
        <f t="shared" si="30"/>
        <v>0.44551643436986982</v>
      </c>
      <c r="R72" s="449">
        <f t="shared" si="30"/>
        <v>0.44825720057078527</v>
      </c>
    </row>
    <row r="73" spans="2:18">
      <c r="B73" t="str">
        <f>B62</f>
        <v>Claro (AMX)</v>
      </c>
      <c r="C73" s="449">
        <f>C62/C$67</f>
        <v>0.14261921316883075</v>
      </c>
      <c r="D73" s="449">
        <f>D62/D$67</f>
        <v>0.14673198903362911</v>
      </c>
      <c r="E73" s="449">
        <f>E62/E$67</f>
        <v>0.15657136353659426</v>
      </c>
      <c r="F73" s="449">
        <f>F62/F$67</f>
        <v>0.16336504313667391</v>
      </c>
      <c r="G73" s="449">
        <f t="shared" ref="G73:R73" si="31">G62/G$67</f>
        <v>0.1635506588192519</v>
      </c>
      <c r="H73" s="449">
        <f t="shared" si="31"/>
        <v>0.15833049910730029</v>
      </c>
      <c r="I73" s="449">
        <f t="shared" si="31"/>
        <v>0.16116854827598781</v>
      </c>
      <c r="J73" s="449">
        <f t="shared" si="31"/>
        <v>0.1623539300495199</v>
      </c>
      <c r="K73" s="449">
        <f t="shared" si="31"/>
        <v>0.16099206060647939</v>
      </c>
      <c r="L73" s="449">
        <f t="shared" si="31"/>
        <v>0.16133597968302521</v>
      </c>
      <c r="M73" s="449">
        <f t="shared" si="31"/>
        <v>0.16083105132962289</v>
      </c>
      <c r="N73" s="449">
        <f t="shared" si="31"/>
        <v>0.15946992253904871</v>
      </c>
      <c r="O73" s="449">
        <f t="shared" si="31"/>
        <v>0.15811016694377608</v>
      </c>
      <c r="P73" s="449">
        <f t="shared" si="31"/>
        <v>0.15675195150054211</v>
      </c>
      <c r="Q73" s="449">
        <f t="shared" si="31"/>
        <v>0.1553954424850407</v>
      </c>
      <c r="R73" s="449">
        <f t="shared" si="31"/>
        <v>0.15404080541104109</v>
      </c>
    </row>
    <row r="74" spans="2:18">
      <c r="B74" s="455" t="str">
        <f>B65</f>
        <v>Digicel</v>
      </c>
      <c r="C74" s="476">
        <f>C65/C$67</f>
        <v>0.10693206991898842</v>
      </c>
      <c r="D74" s="476">
        <f>D65/D$67</f>
        <v>9.3489933974660558E-2</v>
      </c>
      <c r="E74" s="476">
        <f>E65/E$67</f>
        <v>7.8497044979717268E-2</v>
      </c>
      <c r="F74" s="476">
        <f>F65/F$67</f>
        <v>8.645730653614829E-2</v>
      </c>
      <c r="G74" s="476">
        <f t="shared" ref="G74:R74" si="32">G65/G$67</f>
        <v>9.7486609981236635E-2</v>
      </c>
      <c r="H74" s="476">
        <f t="shared" si="32"/>
        <v>0.10027350368942972</v>
      </c>
      <c r="I74" s="476">
        <f t="shared" si="32"/>
        <v>9.9154579238436083E-2</v>
      </c>
      <c r="J74" s="476">
        <f t="shared" si="32"/>
        <v>9.8914107085058836E-2</v>
      </c>
      <c r="K74" s="476">
        <f t="shared" si="32"/>
        <v>0.1000460761015935</v>
      </c>
      <c r="L74" s="476">
        <f t="shared" si="32"/>
        <v>0.10025979939934664</v>
      </c>
      <c r="M74" s="476">
        <f t="shared" si="32"/>
        <v>0.10093558387450348</v>
      </c>
      <c r="N74" s="476">
        <f t="shared" si="32"/>
        <v>0.10208298336053187</v>
      </c>
      <c r="O74" s="476">
        <f t="shared" si="32"/>
        <v>0.10323680120962117</v>
      </c>
      <c r="P74" s="476">
        <f t="shared" si="32"/>
        <v>0.10439696432220508</v>
      </c>
      <c r="Q74" s="476">
        <f t="shared" si="32"/>
        <v>0.10556339845112372</v>
      </c>
      <c r="R74" s="476">
        <f t="shared" si="32"/>
        <v>0.10673602824176261</v>
      </c>
    </row>
    <row r="75" spans="2:18">
      <c r="B75" s="478" t="s">
        <v>2324</v>
      </c>
      <c r="C75" s="449">
        <f>SUM(C71:C74)</f>
        <v>1.0000000000000002</v>
      </c>
      <c r="D75" s="449">
        <f>SUM(D71:D74)</f>
        <v>1.0000000000000002</v>
      </c>
      <c r="E75" s="449">
        <f>SUM(E71:E74)</f>
        <v>1</v>
      </c>
      <c r="F75" s="449">
        <f>SUM(F71:F74)</f>
        <v>0.99999999999999989</v>
      </c>
      <c r="G75" s="449">
        <f t="shared" ref="G75:R75" si="33">SUM(G71:G74)</f>
        <v>1</v>
      </c>
      <c r="H75" s="449">
        <f t="shared" si="33"/>
        <v>1</v>
      </c>
      <c r="I75" s="449">
        <f t="shared" si="33"/>
        <v>1</v>
      </c>
      <c r="J75" s="449">
        <f t="shared" si="33"/>
        <v>1.0000000000000002</v>
      </c>
      <c r="K75" s="449">
        <f t="shared" si="33"/>
        <v>1</v>
      </c>
      <c r="L75" s="449">
        <f t="shared" si="33"/>
        <v>0.99999999999999978</v>
      </c>
      <c r="M75" s="449">
        <f t="shared" si="33"/>
        <v>1</v>
      </c>
      <c r="N75" s="449">
        <f t="shared" si="33"/>
        <v>0.99999999999999989</v>
      </c>
      <c r="O75" s="449">
        <f t="shared" si="33"/>
        <v>1</v>
      </c>
      <c r="P75" s="449">
        <f t="shared" si="33"/>
        <v>0.99999999999999978</v>
      </c>
      <c r="Q75" s="449">
        <f t="shared" si="33"/>
        <v>1</v>
      </c>
      <c r="R75" s="449">
        <f t="shared" si="33"/>
        <v>1</v>
      </c>
    </row>
    <row r="77" spans="2:18">
      <c r="B77" s="451" t="s">
        <v>5592</v>
      </c>
      <c r="C77" s="607">
        <v>42430</v>
      </c>
      <c r="D77" s="607">
        <v>42795</v>
      </c>
      <c r="E77" s="607">
        <v>43160</v>
      </c>
      <c r="F77" s="607">
        <v>43525</v>
      </c>
      <c r="G77" s="607">
        <v>43891</v>
      </c>
      <c r="H77" s="607">
        <v>44256</v>
      </c>
      <c r="I77" s="607">
        <v>44621</v>
      </c>
      <c r="J77" s="607">
        <v>44986</v>
      </c>
      <c r="K77" s="607">
        <v>45352</v>
      </c>
      <c r="L77" s="607">
        <v>45717</v>
      </c>
      <c r="M77" s="607">
        <v>46082</v>
      </c>
      <c r="N77" s="607">
        <v>46447</v>
      </c>
      <c r="O77" s="607">
        <v>46813</v>
      </c>
      <c r="P77" s="607">
        <v>47178</v>
      </c>
      <c r="Q77" s="607">
        <v>47543</v>
      </c>
      <c r="R77" s="607">
        <v>47908</v>
      </c>
    </row>
    <row r="78" spans="2:18">
      <c r="B78" s="478" t="s">
        <v>758</v>
      </c>
      <c r="C78">
        <f>C65</f>
        <v>77.8</v>
      </c>
      <c r="D78">
        <f>D65</f>
        <v>67.8</v>
      </c>
      <c r="E78" s="468">
        <f>E65</f>
        <v>56.8</v>
      </c>
      <c r="F78" s="468">
        <f t="shared" ref="F78:R78" si="34">F65</f>
        <v>62.480000000000004</v>
      </c>
      <c r="G78" s="468">
        <f t="shared" si="34"/>
        <v>68.728000000000009</v>
      </c>
      <c r="H78" s="468">
        <f t="shared" si="34"/>
        <v>70.102560000000011</v>
      </c>
      <c r="I78" s="468">
        <f t="shared" si="34"/>
        <v>71.504611200000014</v>
      </c>
      <c r="J78" s="468">
        <f t="shared" si="34"/>
        <v>72.93470342400002</v>
      </c>
      <c r="K78" s="468">
        <f t="shared" si="34"/>
        <v>74.39339749248002</v>
      </c>
      <c r="L78" s="468">
        <f t="shared" si="34"/>
        <v>75.881265442329621</v>
      </c>
      <c r="M78" s="468">
        <f t="shared" si="34"/>
        <v>77.398890751176211</v>
      </c>
      <c r="N78" s="468">
        <f t="shared" si="34"/>
        <v>78.94686856619974</v>
      </c>
      <c r="O78" s="468">
        <f t="shared" si="34"/>
        <v>80.525805937523742</v>
      </c>
      <c r="P78" s="468">
        <f t="shared" si="34"/>
        <v>82.136322056274224</v>
      </c>
      <c r="Q78" s="468">
        <f t="shared" si="34"/>
        <v>83.779048497399714</v>
      </c>
      <c r="R78" s="468">
        <f t="shared" si="34"/>
        <v>85.454629467347715</v>
      </c>
    </row>
    <row r="80" spans="2:18">
      <c r="B80" s="478" t="s">
        <v>1583</v>
      </c>
      <c r="C80">
        <f>C78-C82</f>
        <v>84.8</v>
      </c>
      <c r="D80">
        <f>D78-D82</f>
        <v>82.8</v>
      </c>
      <c r="E80">
        <f>E78-E82</f>
        <v>77.8</v>
      </c>
    </row>
    <row r="82" spans="2:18">
      <c r="B82" s="478" t="s">
        <v>360</v>
      </c>
      <c r="C82">
        <v>-7</v>
      </c>
      <c r="D82">
        <v>-15</v>
      </c>
      <c r="E82">
        <v>-21</v>
      </c>
    </row>
    <row r="83" spans="2:18">
      <c r="B83" s="478" t="s">
        <v>1434</v>
      </c>
      <c r="C83" s="449">
        <f>C82/C78</f>
        <v>-8.9974293059125965E-2</v>
      </c>
      <c r="D83" s="449">
        <f>D82/D78</f>
        <v>-0.22123893805309736</v>
      </c>
      <c r="E83" s="449">
        <f>E82/E78</f>
        <v>-0.36971830985915494</v>
      </c>
    </row>
    <row r="85" spans="2:18">
      <c r="B85" s="478" t="s">
        <v>5594</v>
      </c>
      <c r="C85">
        <f>C88-C87+C82</f>
        <v>107</v>
      </c>
      <c r="D85">
        <f>D88-D87+D82</f>
        <v>8</v>
      </c>
      <c r="E85">
        <f>E88-E87+E82</f>
        <v>15</v>
      </c>
    </row>
    <row r="86" spans="2:18">
      <c r="B86" s="478" t="s">
        <v>1431</v>
      </c>
      <c r="C86" s="449">
        <f>C85/C78</f>
        <v>1.3753213367609256</v>
      </c>
      <c r="D86" s="449">
        <f>D85/D78</f>
        <v>0.11799410029498525</v>
      </c>
      <c r="E86" s="449">
        <f>E85/E78</f>
        <v>0.26408450704225356</v>
      </c>
    </row>
    <row r="87" spans="2:18">
      <c r="B87" s="478" t="s">
        <v>5595</v>
      </c>
      <c r="C87">
        <v>0</v>
      </c>
      <c r="D87">
        <v>0</v>
      </c>
      <c r="E87">
        <v>22</v>
      </c>
    </row>
    <row r="88" spans="2:18">
      <c r="B88" s="478" t="s">
        <v>5593</v>
      </c>
      <c r="C88">
        <v>114</v>
      </c>
      <c r="D88">
        <v>23</v>
      </c>
      <c r="E88">
        <v>58</v>
      </c>
    </row>
    <row r="90" spans="2:18">
      <c r="B90" s="450" t="s">
        <v>2172</v>
      </c>
    </row>
    <row r="91" spans="2:18">
      <c r="B91" s="450"/>
    </row>
    <row r="92" spans="2:18">
      <c r="B92" s="1133" t="s">
        <v>2389</v>
      </c>
      <c r="C92" s="1133">
        <v>2015</v>
      </c>
      <c r="D92" s="1133">
        <v>2016</v>
      </c>
      <c r="E92" s="1133">
        <v>2017</v>
      </c>
      <c r="F92" s="1133">
        <v>2018</v>
      </c>
      <c r="G92" s="1133">
        <f t="shared" ref="G92:R92" si="35">F92+1</f>
        <v>2019</v>
      </c>
      <c r="H92" s="1133">
        <f t="shared" si="35"/>
        <v>2020</v>
      </c>
      <c r="I92" s="1133">
        <f t="shared" si="35"/>
        <v>2021</v>
      </c>
      <c r="J92" s="1133">
        <f t="shared" si="35"/>
        <v>2022</v>
      </c>
      <c r="K92" s="1133">
        <f t="shared" si="35"/>
        <v>2023</v>
      </c>
      <c r="L92" s="1133">
        <f t="shared" si="35"/>
        <v>2024</v>
      </c>
      <c r="M92" s="1133">
        <f t="shared" si="35"/>
        <v>2025</v>
      </c>
      <c r="N92" s="1133">
        <f t="shared" si="35"/>
        <v>2026</v>
      </c>
      <c r="O92" s="1133">
        <f t="shared" si="35"/>
        <v>2027</v>
      </c>
      <c r="P92" s="1133">
        <f t="shared" si="35"/>
        <v>2028</v>
      </c>
      <c r="Q92" s="1133">
        <f t="shared" si="35"/>
        <v>2029</v>
      </c>
      <c r="R92" s="1133">
        <f t="shared" si="35"/>
        <v>2030</v>
      </c>
    </row>
    <row r="93" spans="2:18">
      <c r="B93" s="478" t="s">
        <v>758</v>
      </c>
      <c r="C93" s="523">
        <v>176</v>
      </c>
      <c r="D93" s="523">
        <v>198</v>
      </c>
      <c r="E93" s="523">
        <v>231</v>
      </c>
      <c r="F93" s="523">
        <v>253</v>
      </c>
      <c r="G93" s="788">
        <f>235*1.09</f>
        <v>256.15000000000003</v>
      </c>
      <c r="H93" s="454">
        <f t="shared" ref="H93:R93" si="36">H99*12*AVERAGE(G96,H96)</f>
        <v>269.35368428630193</v>
      </c>
      <c r="I93" s="454">
        <f t="shared" si="36"/>
        <v>282.79582725833001</v>
      </c>
      <c r="J93" s="454">
        <f t="shared" si="36"/>
        <v>293.76585467375571</v>
      </c>
      <c r="K93" s="454">
        <f t="shared" si="36"/>
        <v>300.81525813762875</v>
      </c>
      <c r="L93" s="454">
        <f t="shared" si="36"/>
        <v>306.59198562987609</v>
      </c>
      <c r="M93" s="454">
        <f t="shared" si="36"/>
        <v>312.45416614615482</v>
      </c>
      <c r="N93" s="454">
        <f t="shared" si="36"/>
        <v>318.40293107419603</v>
      </c>
      <c r="O93" s="454">
        <f t="shared" si="36"/>
        <v>324.43942588418349</v>
      </c>
      <c r="P93" s="454">
        <f t="shared" si="36"/>
        <v>330.56481029726325</v>
      </c>
      <c r="Q93" s="454">
        <f t="shared" si="36"/>
        <v>336.78025845601627</v>
      </c>
      <c r="R93" s="454">
        <f t="shared" si="36"/>
        <v>343.08695909691454</v>
      </c>
    </row>
    <row r="94" spans="2:18">
      <c r="B94" s="478" t="s">
        <v>2353</v>
      </c>
      <c r="C94" s="449"/>
      <c r="D94" s="456">
        <f t="shared" ref="D94:R94" si="37">D93/C93-1</f>
        <v>0.125</v>
      </c>
      <c r="E94" s="456">
        <f t="shared" si="37"/>
        <v>0.16666666666666674</v>
      </c>
      <c r="F94" s="456">
        <f t="shared" si="37"/>
        <v>9.5238095238095344E-2</v>
      </c>
      <c r="G94" s="456">
        <f t="shared" si="37"/>
        <v>1.2450592885375533E-2</v>
      </c>
      <c r="H94" s="456">
        <f t="shared" si="37"/>
        <v>5.1546688605512037E-2</v>
      </c>
      <c r="I94" s="456">
        <f t="shared" si="37"/>
        <v>4.9905175819834557E-2</v>
      </c>
      <c r="J94" s="456">
        <f t="shared" si="37"/>
        <v>3.879133409350044E-2</v>
      </c>
      <c r="K94" s="456">
        <f t="shared" si="37"/>
        <v>2.3996674057649825E-2</v>
      </c>
      <c r="L94" s="456">
        <f t="shared" si="37"/>
        <v>1.9203572079460107E-2</v>
      </c>
      <c r="M94" s="456">
        <f t="shared" si="37"/>
        <v>1.9120462344229816E-2</v>
      </c>
      <c r="N94" s="456">
        <f t="shared" si="37"/>
        <v>1.9038840164667947E-2</v>
      </c>
      <c r="O94" s="456">
        <f t="shared" si="37"/>
        <v>1.8958665957069298E-2</v>
      </c>
      <c r="P94" s="456">
        <f t="shared" si="37"/>
        <v>1.8879901529804677E-2</v>
      </c>
      <c r="Q94" s="456">
        <f t="shared" si="37"/>
        <v>1.8802510022660091E-2</v>
      </c>
      <c r="R94" s="456">
        <f t="shared" si="37"/>
        <v>1.8726455849317425E-2</v>
      </c>
    </row>
    <row r="96" spans="2:18">
      <c r="B96" s="478" t="s">
        <v>5587</v>
      </c>
      <c r="C96" s="523">
        <v>1.6539999999999999</v>
      </c>
      <c r="D96" s="523">
        <v>1.996</v>
      </c>
      <c r="E96" s="523">
        <v>2.1339999999999999</v>
      </c>
      <c r="F96" s="523">
        <v>2.3809999999999998</v>
      </c>
      <c r="G96">
        <f t="shared" ref="G96:R96" si="38">F96+G97</f>
        <v>2.4809999999999999</v>
      </c>
      <c r="H96">
        <f t="shared" si="38"/>
        <v>2.581</v>
      </c>
      <c r="I96">
        <f t="shared" si="38"/>
        <v>2.681</v>
      </c>
      <c r="J96">
        <f t="shared" si="38"/>
        <v>2.7309999999999999</v>
      </c>
      <c r="K96">
        <f t="shared" si="38"/>
        <v>2.7559999999999998</v>
      </c>
      <c r="L96">
        <f t="shared" si="38"/>
        <v>2.7809999999999997</v>
      </c>
      <c r="M96">
        <f t="shared" si="38"/>
        <v>2.8059999999999996</v>
      </c>
      <c r="N96">
        <f t="shared" si="38"/>
        <v>2.8309999999999995</v>
      </c>
      <c r="O96">
        <f t="shared" si="38"/>
        <v>2.8559999999999994</v>
      </c>
      <c r="P96">
        <f t="shared" si="38"/>
        <v>2.8809999999999993</v>
      </c>
      <c r="Q96">
        <f t="shared" si="38"/>
        <v>2.9059999999999993</v>
      </c>
      <c r="R96">
        <f t="shared" si="38"/>
        <v>2.9309999999999992</v>
      </c>
    </row>
    <row r="97" spans="2:18">
      <c r="B97" s="478" t="s">
        <v>4621</v>
      </c>
      <c r="D97" s="531">
        <f>D96-C96</f>
        <v>0.34200000000000008</v>
      </c>
      <c r="E97" s="531">
        <f>E96-D96</f>
        <v>0.1379999999999999</v>
      </c>
      <c r="F97" s="531">
        <f>F96-E96</f>
        <v>0.24699999999999989</v>
      </c>
      <c r="G97" s="656">
        <v>0.1</v>
      </c>
      <c r="H97" s="656">
        <v>0.1</v>
      </c>
      <c r="I97" s="656">
        <v>0.1</v>
      </c>
      <c r="J97" s="656">
        <v>0.05</v>
      </c>
      <c r="K97" s="656">
        <v>2.5000000000000001E-2</v>
      </c>
      <c r="L97" s="656">
        <v>2.5000000000000001E-2</v>
      </c>
      <c r="M97" s="656">
        <v>2.5000000000000001E-2</v>
      </c>
      <c r="N97" s="656">
        <v>2.5000000000000001E-2</v>
      </c>
      <c r="O97" s="656">
        <v>2.5000000000000001E-2</v>
      </c>
      <c r="P97" s="656">
        <v>2.5000000000000001E-2</v>
      </c>
      <c r="Q97" s="656">
        <v>2.5000000000000001E-2</v>
      </c>
      <c r="R97" s="656">
        <v>2.5000000000000001E-2</v>
      </c>
    </row>
    <row r="98" spans="2:18">
      <c r="B98" s="478"/>
    </row>
    <row r="99" spans="2:18">
      <c r="B99" s="478" t="s">
        <v>366</v>
      </c>
      <c r="C99" s="454">
        <f>C93/AVERAGE(C96,C96)/12</f>
        <v>8.8673921805723506</v>
      </c>
      <c r="D99" s="468">
        <f>D93/AVERAGE(C96,D96)/12</f>
        <v>9.0410958904109595</v>
      </c>
      <c r="E99" s="468">
        <f>E93/AVERAGE(D96,E96)/12</f>
        <v>9.3220338983050848</v>
      </c>
      <c r="F99" s="468">
        <f>F93/AVERAGE(E96,F96)/12</f>
        <v>9.3392395717977124</v>
      </c>
      <c r="G99" s="468">
        <f>G93/AVERAGE(F96,G96)/12</f>
        <v>8.7806801042095177</v>
      </c>
      <c r="H99" s="468">
        <f t="shared" ref="H99:R99" si="39">G99*(1+H100)</f>
        <v>8.8684869052516131</v>
      </c>
      <c r="I99" s="468">
        <f t="shared" si="39"/>
        <v>8.957171774304129</v>
      </c>
      <c r="J99" s="468">
        <f t="shared" si="39"/>
        <v>9.0467434920471703</v>
      </c>
      <c r="K99" s="468">
        <f t="shared" si="39"/>
        <v>9.1372109269676418</v>
      </c>
      <c r="L99" s="468">
        <f t="shared" si="39"/>
        <v>9.2285830362373176</v>
      </c>
      <c r="M99" s="468">
        <f t="shared" si="39"/>
        <v>9.3208688665996906</v>
      </c>
      <c r="N99" s="468">
        <f t="shared" si="39"/>
        <v>9.4140775552656883</v>
      </c>
      <c r="O99" s="468">
        <f t="shared" si="39"/>
        <v>9.5082183308183446</v>
      </c>
      <c r="P99" s="468">
        <f t="shared" si="39"/>
        <v>9.6033005141265289</v>
      </c>
      <c r="Q99" s="468">
        <f t="shared" si="39"/>
        <v>9.6993335192677943</v>
      </c>
      <c r="R99" s="468">
        <f t="shared" si="39"/>
        <v>9.7963268544604727</v>
      </c>
    </row>
    <row r="100" spans="2:18">
      <c r="B100" s="478" t="s">
        <v>2353</v>
      </c>
      <c r="D100" s="456">
        <f>D99/C99-1</f>
        <v>1.9589041095890325E-2</v>
      </c>
      <c r="E100" s="456">
        <f>E99/D99-1</f>
        <v>3.1073446327683607E-2</v>
      </c>
      <c r="F100" s="456">
        <f>F99/E99-1</f>
        <v>1.8456995201181492E-3</v>
      </c>
      <c r="G100" s="456">
        <f>G99/F99-1</f>
        <v>-5.9807810185629195E-2</v>
      </c>
      <c r="H100" s="595">
        <v>0.01</v>
      </c>
      <c r="I100" s="595">
        <v>0.01</v>
      </c>
      <c r="J100" s="595">
        <v>0.01</v>
      </c>
      <c r="K100" s="595">
        <v>0.01</v>
      </c>
      <c r="L100" s="595">
        <v>0.01</v>
      </c>
      <c r="M100" s="595">
        <v>0.01</v>
      </c>
      <c r="N100" s="595">
        <v>0.01</v>
      </c>
      <c r="O100" s="595">
        <v>0.01</v>
      </c>
      <c r="P100" s="595">
        <v>0.01</v>
      </c>
      <c r="Q100" s="595">
        <v>0.01</v>
      </c>
      <c r="R100" s="595">
        <v>0.01</v>
      </c>
    </row>
    <row r="102" spans="2:18">
      <c r="B102" t="s">
        <v>3055</v>
      </c>
    </row>
    <row r="103" spans="2:18">
      <c r="B103" s="478" t="s">
        <v>360</v>
      </c>
      <c r="C103" s="523">
        <v>11</v>
      </c>
      <c r="D103" s="523">
        <v>26</v>
      </c>
      <c r="E103" s="523">
        <v>45</v>
      </c>
      <c r="F103" s="523">
        <v>60</v>
      </c>
      <c r="G103" s="535">
        <f>88*1.09</f>
        <v>95.92</v>
      </c>
      <c r="H103" s="468">
        <f t="shared" ref="H103:R103" si="40">H104*H93</f>
        <v>100.86435837104071</v>
      </c>
      <c r="I103" s="468">
        <f t="shared" si="40"/>
        <v>105.89801190950229</v>
      </c>
      <c r="J103" s="468">
        <f t="shared" si="40"/>
        <v>110.00593706932126</v>
      </c>
      <c r="K103" s="468">
        <f t="shared" si="40"/>
        <v>112.64571368558011</v>
      </c>
      <c r="L103" s="468">
        <f t="shared" si="40"/>
        <v>114.80891376778337</v>
      </c>
      <c r="M103" s="468">
        <f t="shared" si="40"/>
        <v>117.0041132802622</v>
      </c>
      <c r="N103" s="468">
        <f t="shared" si="40"/>
        <v>119.23173589161381</v>
      </c>
      <c r="O103" s="468">
        <f t="shared" si="40"/>
        <v>121.49221054386443</v>
      </c>
      <c r="P103" s="468">
        <f t="shared" si="40"/>
        <v>123.78597151557089</v>
      </c>
      <c r="Q103" s="468">
        <f t="shared" si="40"/>
        <v>126.11345848565713</v>
      </c>
      <c r="R103" s="468">
        <f t="shared" si="40"/>
        <v>128.47511659799352</v>
      </c>
    </row>
    <row r="104" spans="2:18">
      <c r="B104" s="478" t="s">
        <v>1434</v>
      </c>
      <c r="C104" s="456">
        <f>C103/C93</f>
        <v>6.25E-2</v>
      </c>
      <c r="D104" s="456">
        <f>D103/D93</f>
        <v>0.13131313131313133</v>
      </c>
      <c r="E104" s="456">
        <f>E103/E93</f>
        <v>0.19480519480519481</v>
      </c>
      <c r="F104" s="456">
        <f>F103/F93</f>
        <v>0.23715415019762845</v>
      </c>
      <c r="G104" s="456">
        <f>G103/G93</f>
        <v>0.37446808510638291</v>
      </c>
      <c r="H104" s="595">
        <f>G104</f>
        <v>0.37446808510638291</v>
      </c>
      <c r="I104" s="595">
        <f t="shared" ref="I104:R104" si="41">H104</f>
        <v>0.37446808510638291</v>
      </c>
      <c r="J104" s="595">
        <f t="shared" si="41"/>
        <v>0.37446808510638291</v>
      </c>
      <c r="K104" s="595">
        <f t="shared" si="41"/>
        <v>0.37446808510638291</v>
      </c>
      <c r="L104" s="595">
        <f t="shared" si="41"/>
        <v>0.37446808510638291</v>
      </c>
      <c r="M104" s="595">
        <f t="shared" si="41"/>
        <v>0.37446808510638291</v>
      </c>
      <c r="N104" s="595">
        <f t="shared" si="41"/>
        <v>0.37446808510638291</v>
      </c>
      <c r="O104" s="595">
        <f t="shared" si="41"/>
        <v>0.37446808510638291</v>
      </c>
      <c r="P104" s="595">
        <f t="shared" si="41"/>
        <v>0.37446808510638291</v>
      </c>
      <c r="Q104" s="595">
        <f t="shared" si="41"/>
        <v>0.37446808510638291</v>
      </c>
      <c r="R104" s="595">
        <f t="shared" si="41"/>
        <v>0.37446808510638291</v>
      </c>
    </row>
    <row r="106" spans="2:18">
      <c r="B106" s="478" t="s">
        <v>1545</v>
      </c>
      <c r="C106" s="454">
        <f>C107*C93</f>
        <v>31.025641025641029</v>
      </c>
      <c r="D106" s="454">
        <f>D107*D93</f>
        <v>27.762711864406779</v>
      </c>
      <c r="E106" s="454">
        <f>E107*E93</f>
        <v>27.867732558139537</v>
      </c>
      <c r="F106" s="454">
        <f>F107*F93</f>
        <v>28.190409026798307</v>
      </c>
      <c r="G106" s="468">
        <f>G107*G93</f>
        <v>30.738000000000003</v>
      </c>
      <c r="H106" s="468">
        <f t="shared" ref="H106:R106" si="42">H107*H93</f>
        <v>37.709515800082272</v>
      </c>
      <c r="I106" s="468">
        <f t="shared" si="42"/>
        <v>39.591415816166204</v>
      </c>
      <c r="J106" s="468">
        <f t="shared" si="42"/>
        <v>41.127219654325806</v>
      </c>
      <c r="K106" s="468">
        <f t="shared" si="42"/>
        <v>42.114136139268027</v>
      </c>
      <c r="L106" s="468">
        <f t="shared" si="42"/>
        <v>39.856958131883893</v>
      </c>
      <c r="M106" s="468">
        <f t="shared" si="42"/>
        <v>40.619041599000127</v>
      </c>
      <c r="N106" s="468">
        <f t="shared" si="42"/>
        <v>41.392381039645485</v>
      </c>
      <c r="O106" s="468">
        <f t="shared" si="42"/>
        <v>42.177125364943855</v>
      </c>
      <c r="P106" s="468">
        <f t="shared" si="42"/>
        <v>42.973425338644226</v>
      </c>
      <c r="Q106" s="468">
        <f t="shared" si="42"/>
        <v>43.781433599282117</v>
      </c>
      <c r="R106" s="468">
        <f t="shared" si="42"/>
        <v>44.601304682598894</v>
      </c>
    </row>
    <row r="107" spans="2:18">
      <c r="B107" s="478" t="s">
        <v>1431</v>
      </c>
      <c r="C107" s="456">
        <f>C$173</f>
        <v>0.17628205128205129</v>
      </c>
      <c r="D107" s="456">
        <f>D$173</f>
        <v>0.14021571648690292</v>
      </c>
      <c r="E107" s="456">
        <f>E$173</f>
        <v>0.12063953488372094</v>
      </c>
      <c r="F107" s="456">
        <f>F$173</f>
        <v>0.11142454160789844</v>
      </c>
      <c r="G107" s="595">
        <v>0.12</v>
      </c>
      <c r="H107" s="595">
        <v>0.14000000000000001</v>
      </c>
      <c r="I107" s="595">
        <v>0.14000000000000001</v>
      </c>
      <c r="J107" s="595">
        <v>0.14000000000000001</v>
      </c>
      <c r="K107" s="595">
        <v>0.14000000000000001</v>
      </c>
      <c r="L107" s="595">
        <v>0.13</v>
      </c>
      <c r="M107" s="595">
        <v>0.13</v>
      </c>
      <c r="N107" s="595">
        <v>0.13</v>
      </c>
      <c r="O107" s="595">
        <v>0.13</v>
      </c>
      <c r="P107" s="595">
        <v>0.13</v>
      </c>
      <c r="Q107" s="595">
        <v>0.13</v>
      </c>
      <c r="R107" s="595">
        <v>0.13</v>
      </c>
    </row>
    <row r="109" spans="2:18">
      <c r="B109" s="478" t="s">
        <v>1552</v>
      </c>
      <c r="C109" s="454">
        <f>C103-C106</f>
        <v>-20.025641025641029</v>
      </c>
      <c r="D109" s="454">
        <f>D103-D106</f>
        <v>-1.7627118644067785</v>
      </c>
      <c r="E109" s="454">
        <f>E103-E106</f>
        <v>17.132267441860463</v>
      </c>
      <c r="F109" s="454">
        <f>F103-F106</f>
        <v>31.809590973201693</v>
      </c>
      <c r="G109" s="454">
        <f t="shared" ref="G109:R109" si="43">G103-G106</f>
        <v>65.182000000000002</v>
      </c>
      <c r="H109" s="454">
        <f t="shared" si="43"/>
        <v>63.154842570958436</v>
      </c>
      <c r="I109" s="454">
        <f t="shared" si="43"/>
        <v>66.306596093336083</v>
      </c>
      <c r="J109" s="454">
        <f t="shared" si="43"/>
        <v>68.878717414995464</v>
      </c>
      <c r="K109" s="454">
        <f t="shared" si="43"/>
        <v>70.531577546312079</v>
      </c>
      <c r="L109" s="454">
        <f t="shared" si="43"/>
        <v>74.951955635899481</v>
      </c>
      <c r="M109" s="454">
        <f t="shared" si="43"/>
        <v>76.385071681262076</v>
      </c>
      <c r="N109" s="454">
        <f t="shared" si="43"/>
        <v>77.839354851968324</v>
      </c>
      <c r="O109" s="454">
        <f t="shared" si="43"/>
        <v>79.315085178920583</v>
      </c>
      <c r="P109" s="454">
        <f t="shared" si="43"/>
        <v>80.812546176926674</v>
      </c>
      <c r="Q109" s="454">
        <f t="shared" si="43"/>
        <v>82.332024886375024</v>
      </c>
      <c r="R109" s="454">
        <f t="shared" si="43"/>
        <v>83.873811915394626</v>
      </c>
    </row>
    <row r="110" spans="2:18">
      <c r="B110" s="478" t="s">
        <v>1434</v>
      </c>
      <c r="C110" s="456">
        <f>C109/C93</f>
        <v>-0.11378205128205131</v>
      </c>
      <c r="D110" s="456">
        <f>D109/D93</f>
        <v>-8.9025851737716093E-3</v>
      </c>
      <c r="E110" s="456">
        <f>E109/E93</f>
        <v>7.4165659921473864E-2</v>
      </c>
      <c r="F110" s="456">
        <f>F109/F93</f>
        <v>0.12572960858973001</v>
      </c>
      <c r="G110" s="456">
        <f t="shared" ref="G110:R110" si="44">G109/G93</f>
        <v>0.25446808510638297</v>
      </c>
      <c r="H110" s="456">
        <f t="shared" si="44"/>
        <v>0.23446808510638292</v>
      </c>
      <c r="I110" s="456">
        <f t="shared" si="44"/>
        <v>0.23446808510638292</v>
      </c>
      <c r="J110" s="456">
        <f t="shared" si="44"/>
        <v>0.2344680851063829</v>
      </c>
      <c r="K110" s="456">
        <f t="shared" si="44"/>
        <v>0.2344680851063829</v>
      </c>
      <c r="L110" s="456">
        <f t="shared" si="44"/>
        <v>0.24446808510638293</v>
      </c>
      <c r="M110" s="456">
        <f t="shared" si="44"/>
        <v>0.2444680851063829</v>
      </c>
      <c r="N110" s="456">
        <f t="shared" si="44"/>
        <v>0.2444680851063829</v>
      </c>
      <c r="O110" s="456">
        <f t="shared" si="44"/>
        <v>0.24446808510638293</v>
      </c>
      <c r="P110" s="456">
        <f t="shared" si="44"/>
        <v>0.2444680851063829</v>
      </c>
      <c r="Q110" s="456">
        <f t="shared" si="44"/>
        <v>0.24446808510638293</v>
      </c>
      <c r="R110" s="456">
        <f t="shared" si="44"/>
        <v>0.24446808510638293</v>
      </c>
    </row>
    <row r="112" spans="2:18">
      <c r="B112" s="478" t="s">
        <v>682</v>
      </c>
      <c r="C112" s="538">
        <v>0.3</v>
      </c>
      <c r="D112" s="538">
        <v>0.3</v>
      </c>
      <c r="E112" s="538">
        <v>0.3</v>
      </c>
      <c r="F112" s="538">
        <v>0.3</v>
      </c>
      <c r="G112" s="538">
        <v>0.3</v>
      </c>
      <c r="H112" s="538">
        <v>0.3</v>
      </c>
      <c r="I112" s="538">
        <v>0.3</v>
      </c>
      <c r="J112" s="538">
        <v>0.3</v>
      </c>
      <c r="K112" s="538">
        <v>0.3</v>
      </c>
      <c r="L112" s="538">
        <v>0.3</v>
      </c>
      <c r="M112" s="538">
        <v>0.3</v>
      </c>
      <c r="N112" s="538">
        <v>0.3</v>
      </c>
      <c r="O112" s="538">
        <v>0.3</v>
      </c>
      <c r="P112" s="538">
        <v>0.3</v>
      </c>
      <c r="Q112" s="538">
        <v>0.3</v>
      </c>
      <c r="R112" s="538">
        <v>0.3</v>
      </c>
    </row>
    <row r="113" spans="2:18">
      <c r="B113" s="478" t="s">
        <v>1936</v>
      </c>
      <c r="C113" s="468">
        <f>(1-C112)*C109</f>
        <v>-14.01794871794872</v>
      </c>
      <c r="D113" s="468">
        <f t="shared" ref="D113:R113" si="45">(1-D112)*D109</f>
        <v>-1.233898305084745</v>
      </c>
      <c r="E113" s="468">
        <f t="shared" si="45"/>
        <v>11.992587209302323</v>
      </c>
      <c r="F113" s="468">
        <f t="shared" si="45"/>
        <v>22.266713681241185</v>
      </c>
      <c r="G113" s="468">
        <f t="shared" si="45"/>
        <v>45.627400000000002</v>
      </c>
      <c r="H113" s="468">
        <f t="shared" si="45"/>
        <v>44.208389799670904</v>
      </c>
      <c r="I113" s="468">
        <f t="shared" si="45"/>
        <v>46.414617265335252</v>
      </c>
      <c r="J113" s="468">
        <f t="shared" si="45"/>
        <v>48.215102190496822</v>
      </c>
      <c r="K113" s="468">
        <f t="shared" si="45"/>
        <v>49.372104282418455</v>
      </c>
      <c r="L113" s="468">
        <f t="shared" si="45"/>
        <v>52.466368945129631</v>
      </c>
      <c r="M113" s="468">
        <f t="shared" si="45"/>
        <v>53.469550176883452</v>
      </c>
      <c r="N113" s="468">
        <f t="shared" si="45"/>
        <v>54.487548396377825</v>
      </c>
      <c r="O113" s="468">
        <f t="shared" si="45"/>
        <v>55.520559625244402</v>
      </c>
      <c r="P113" s="468">
        <f t="shared" si="45"/>
        <v>56.568782323848666</v>
      </c>
      <c r="Q113" s="468">
        <f t="shared" si="45"/>
        <v>57.632417420462509</v>
      </c>
      <c r="R113" s="468">
        <f t="shared" si="45"/>
        <v>58.711668340776235</v>
      </c>
    </row>
    <row r="115" spans="2:18">
      <c r="B115" s="478" t="s">
        <v>507</v>
      </c>
    </row>
    <row r="116" spans="2:18">
      <c r="B116" s="478" t="s">
        <v>1938</v>
      </c>
      <c r="C116" s="595">
        <v>0.08</v>
      </c>
    </row>
    <row r="117" spans="2:18">
      <c r="B117" s="478" t="s">
        <v>246</v>
      </c>
      <c r="C117" s="595">
        <v>0</v>
      </c>
    </row>
    <row r="118" spans="2:18">
      <c r="B118" s="478" t="s">
        <v>5471</v>
      </c>
      <c r="C118" s="454">
        <f>NPV(C116,I113:R113)</f>
        <v>351.78105331815107</v>
      </c>
    </row>
    <row r="119" spans="2:18">
      <c r="B119" s="478" t="s">
        <v>2588</v>
      </c>
      <c r="C119" s="468">
        <f>1/(C116-C117)</f>
        <v>12.5</v>
      </c>
    </row>
    <row r="120" spans="2:18">
      <c r="B120" s="478" t="s">
        <v>5596</v>
      </c>
      <c r="C120" s="464">
        <f>C119*R113</f>
        <v>733.8958542597029</v>
      </c>
    </row>
    <row r="121" spans="2:18">
      <c r="B121" s="478" t="s">
        <v>5597</v>
      </c>
      <c r="C121" s="454">
        <f>C120/(1+C116)^10</f>
        <v>339.93578062544088</v>
      </c>
    </row>
    <row r="122" spans="2:18">
      <c r="B122" s="478" t="s">
        <v>245</v>
      </c>
      <c r="C122" s="454">
        <f>C118+C121</f>
        <v>691.71683394359195</v>
      </c>
    </row>
    <row r="123" spans="2:18">
      <c r="B123" s="478" t="s">
        <v>1243</v>
      </c>
      <c r="C123" s="468">
        <f>C122/G103</f>
        <v>7.2113931812301075</v>
      </c>
    </row>
    <row r="124" spans="2:18" ht="15.75" thickBot="1"/>
    <row r="125" spans="2:18" ht="15.75" thickBot="1">
      <c r="B125" s="478" t="s">
        <v>5598</v>
      </c>
      <c r="C125">
        <f>Analysis!E3767</f>
        <v>570.41237113402065</v>
      </c>
    </row>
    <row r="127" spans="2:18">
      <c r="B127" s="450" t="s">
        <v>2033</v>
      </c>
    </row>
    <row r="128" spans="2:18">
      <c r="B128" s="450"/>
    </row>
    <row r="129" spans="2:18">
      <c r="B129" s="1133" t="s">
        <v>2389</v>
      </c>
      <c r="C129" s="1133">
        <v>2015</v>
      </c>
      <c r="D129" s="1133">
        <v>2016</v>
      </c>
      <c r="E129" s="1133">
        <v>2017</v>
      </c>
      <c r="F129" s="1133">
        <v>2018</v>
      </c>
      <c r="G129" s="1133">
        <f t="shared" ref="G129:R129" si="46">F129+1</f>
        <v>2019</v>
      </c>
      <c r="H129" s="1133">
        <f t="shared" si="46"/>
        <v>2020</v>
      </c>
      <c r="I129" s="1133">
        <f t="shared" si="46"/>
        <v>2021</v>
      </c>
      <c r="J129" s="1133">
        <f t="shared" si="46"/>
        <v>2022</v>
      </c>
      <c r="K129" s="1133">
        <f t="shared" si="46"/>
        <v>2023</v>
      </c>
      <c r="L129" s="1133">
        <f t="shared" si="46"/>
        <v>2024</v>
      </c>
      <c r="M129" s="1133">
        <f t="shared" si="46"/>
        <v>2025</v>
      </c>
      <c r="N129" s="1133">
        <f t="shared" si="46"/>
        <v>2026</v>
      </c>
      <c r="O129" s="1133">
        <f t="shared" si="46"/>
        <v>2027</v>
      </c>
      <c r="P129" s="1133">
        <f t="shared" si="46"/>
        <v>2028</v>
      </c>
      <c r="Q129" s="1133">
        <f t="shared" si="46"/>
        <v>2029</v>
      </c>
      <c r="R129" s="1133">
        <f t="shared" si="46"/>
        <v>2030</v>
      </c>
    </row>
    <row r="130" spans="2:18">
      <c r="B130" s="478" t="s">
        <v>758</v>
      </c>
      <c r="C130" s="523">
        <v>251</v>
      </c>
      <c r="D130" s="523">
        <v>250</v>
      </c>
      <c r="E130" s="523">
        <v>243</v>
      </c>
      <c r="F130" s="523">
        <v>233</v>
      </c>
      <c r="G130" s="454">
        <f t="shared" ref="G130:R130" si="47">G136*12*AVERAGE(F133,G133)</f>
        <v>216.58953306523685</v>
      </c>
      <c r="H130" s="454">
        <f t="shared" si="47"/>
        <v>203.59416108132262</v>
      </c>
      <c r="I130" s="468">
        <f t="shared" si="47"/>
        <v>199.52227785969617</v>
      </c>
      <c r="J130" s="468">
        <f t="shared" si="47"/>
        <v>200.02108355434541</v>
      </c>
      <c r="K130" s="468">
        <f t="shared" si="47"/>
        <v>200.02108355434541</v>
      </c>
      <c r="L130" s="454">
        <f t="shared" si="47"/>
        <v>208.0219268965192</v>
      </c>
      <c r="M130" s="454">
        <f t="shared" si="47"/>
        <v>208.0219268965192</v>
      </c>
      <c r="N130" s="454">
        <f t="shared" si="47"/>
        <v>208.0219268965192</v>
      </c>
      <c r="O130" s="454">
        <f t="shared" si="47"/>
        <v>208.0219268965192</v>
      </c>
      <c r="P130" s="454">
        <f t="shared" si="47"/>
        <v>208.0219268965192</v>
      </c>
      <c r="Q130" s="454">
        <f t="shared" si="47"/>
        <v>208.0219268965192</v>
      </c>
      <c r="R130" s="454">
        <f t="shared" si="47"/>
        <v>208.0219268965192</v>
      </c>
    </row>
    <row r="131" spans="2:18">
      <c r="B131" s="478" t="s">
        <v>2353</v>
      </c>
      <c r="C131" s="449"/>
      <c r="D131" s="456">
        <f t="shared" ref="D131:R131" si="48">D130/C130-1</f>
        <v>-3.9840637450199168E-3</v>
      </c>
      <c r="E131" s="456">
        <f t="shared" si="48"/>
        <v>-2.8000000000000025E-2</v>
      </c>
      <c r="F131" s="456">
        <f t="shared" si="48"/>
        <v>-4.1152263374485631E-2</v>
      </c>
      <c r="G131" s="456">
        <f t="shared" si="48"/>
        <v>-7.0431188561215219E-2</v>
      </c>
      <c r="H131" s="456">
        <f t="shared" si="48"/>
        <v>-6.0000000000000053E-2</v>
      </c>
      <c r="I131" s="456">
        <f t="shared" si="48"/>
        <v>-2.0000000000000018E-2</v>
      </c>
      <c r="J131" s="456">
        <f>J130/I130-1</f>
        <v>2.4999999999999467E-3</v>
      </c>
      <c r="K131" s="456">
        <f t="shared" si="48"/>
        <v>0</v>
      </c>
      <c r="L131" s="456">
        <f t="shared" si="48"/>
        <v>3.9999999999999813E-2</v>
      </c>
      <c r="M131" s="456">
        <f t="shared" si="48"/>
        <v>0</v>
      </c>
      <c r="N131" s="456">
        <f t="shared" si="48"/>
        <v>0</v>
      </c>
      <c r="O131" s="456">
        <f t="shared" si="48"/>
        <v>0</v>
      </c>
      <c r="P131" s="456">
        <f t="shared" si="48"/>
        <v>0</v>
      </c>
      <c r="Q131" s="456">
        <f t="shared" si="48"/>
        <v>0</v>
      </c>
      <c r="R131" s="456">
        <f t="shared" si="48"/>
        <v>0</v>
      </c>
    </row>
    <row r="133" spans="2:18">
      <c r="B133" s="478" t="s">
        <v>5587</v>
      </c>
      <c r="C133" s="523">
        <v>3.9350000000000001</v>
      </c>
      <c r="D133" s="523">
        <v>4.1630000000000003</v>
      </c>
      <c r="E133" s="523">
        <v>4.2770000000000001</v>
      </c>
      <c r="F133" s="523">
        <v>4.6749999999999998</v>
      </c>
      <c r="G133">
        <f t="shared" ref="G133:R133" si="49">F133+G134</f>
        <v>4.6749999999999998</v>
      </c>
      <c r="H133">
        <f t="shared" si="49"/>
        <v>4.6749999999999998</v>
      </c>
      <c r="I133">
        <f t="shared" si="49"/>
        <v>4.6749999999999998</v>
      </c>
      <c r="J133">
        <f t="shared" si="49"/>
        <v>4.6749999999999998</v>
      </c>
      <c r="K133">
        <f t="shared" si="49"/>
        <v>4.6749999999999998</v>
      </c>
      <c r="L133">
        <f t="shared" si="49"/>
        <v>4.6749999999999998</v>
      </c>
      <c r="M133">
        <f t="shared" si="49"/>
        <v>4.6749999999999998</v>
      </c>
      <c r="N133">
        <f t="shared" si="49"/>
        <v>4.6749999999999998</v>
      </c>
      <c r="O133">
        <f t="shared" si="49"/>
        <v>4.6749999999999998</v>
      </c>
      <c r="P133">
        <f t="shared" si="49"/>
        <v>4.6749999999999998</v>
      </c>
      <c r="Q133">
        <f t="shared" si="49"/>
        <v>4.6749999999999998</v>
      </c>
      <c r="R133">
        <f t="shared" si="49"/>
        <v>4.6749999999999998</v>
      </c>
    </row>
    <row r="134" spans="2:18">
      <c r="B134" s="478" t="s">
        <v>4621</v>
      </c>
      <c r="D134" s="531">
        <f>D133-C133</f>
        <v>0.2280000000000002</v>
      </c>
      <c r="E134" s="531">
        <f>E133-D133</f>
        <v>0.11399999999999988</v>
      </c>
      <c r="F134" s="531">
        <f>F133-E133</f>
        <v>0.39799999999999969</v>
      </c>
      <c r="G134" s="656">
        <v>0</v>
      </c>
      <c r="H134" s="656">
        <v>0</v>
      </c>
      <c r="I134" s="656">
        <v>0</v>
      </c>
      <c r="J134" s="656">
        <v>0</v>
      </c>
      <c r="K134" s="656">
        <v>0</v>
      </c>
      <c r="L134" s="656">
        <v>0</v>
      </c>
      <c r="M134" s="656">
        <v>0</v>
      </c>
      <c r="N134" s="656">
        <v>0</v>
      </c>
      <c r="O134" s="656">
        <v>0</v>
      </c>
      <c r="P134" s="656">
        <v>0</v>
      </c>
      <c r="Q134" s="656">
        <v>0</v>
      </c>
      <c r="R134" s="656">
        <v>0</v>
      </c>
    </row>
    <row r="135" spans="2:18">
      <c r="B135" s="478"/>
    </row>
    <row r="136" spans="2:18">
      <c r="B136" s="478" t="s">
        <v>366</v>
      </c>
      <c r="C136" s="468">
        <f>C130/AVERAGE(C133,C133)/12</f>
        <v>5.3155442609063952</v>
      </c>
      <c r="D136" s="468">
        <f>D130/AVERAGE(C133,D133)/12</f>
        <v>5.1453033670865231</v>
      </c>
      <c r="E136" s="468">
        <f>E130/AVERAGE(D133,E133)/12</f>
        <v>4.7985781990521321</v>
      </c>
      <c r="F136" s="468">
        <f>F130/AVERAGE(E133,F133)/12</f>
        <v>4.3379505510872809</v>
      </c>
      <c r="G136" s="468">
        <f t="shared" ref="G136:R136" si="50">F136*(1+G137)</f>
        <v>3.8607759904676802</v>
      </c>
      <c r="H136" s="468">
        <f t="shared" si="50"/>
        <v>3.6291294310396189</v>
      </c>
      <c r="I136" s="468">
        <f t="shared" si="50"/>
        <v>3.5565468424188267</v>
      </c>
      <c r="J136" s="468">
        <f t="shared" si="50"/>
        <v>3.5654382095248738</v>
      </c>
      <c r="K136" s="468">
        <f t="shared" si="50"/>
        <v>3.5654382095248738</v>
      </c>
      <c r="L136" s="468">
        <f t="shared" si="50"/>
        <v>3.7080557379058687</v>
      </c>
      <c r="M136" s="468">
        <f t="shared" si="50"/>
        <v>3.7080557379058687</v>
      </c>
      <c r="N136" s="468">
        <f t="shared" si="50"/>
        <v>3.7080557379058687</v>
      </c>
      <c r="O136" s="468">
        <f t="shared" si="50"/>
        <v>3.7080557379058687</v>
      </c>
      <c r="P136" s="468">
        <f t="shared" si="50"/>
        <v>3.7080557379058687</v>
      </c>
      <c r="Q136" s="468">
        <f t="shared" si="50"/>
        <v>3.7080557379058687</v>
      </c>
      <c r="R136" s="468">
        <f t="shared" si="50"/>
        <v>3.7080557379058687</v>
      </c>
    </row>
    <row r="137" spans="2:18">
      <c r="B137" s="478" t="s">
        <v>2353</v>
      </c>
      <c r="D137" s="456">
        <f>D136/C136-1</f>
        <v>-3.2026992056471526E-2</v>
      </c>
      <c r="E137" s="456">
        <f>E136/D136-1</f>
        <v>-6.7386729857820016E-2</v>
      </c>
      <c r="F137" s="456">
        <f>F136/E136-1</f>
        <v>-9.5992527131440575E-2</v>
      </c>
      <c r="G137" s="595">
        <v>-0.11</v>
      </c>
      <c r="H137" s="595">
        <v>-0.06</v>
      </c>
      <c r="I137" s="595">
        <v>-0.02</v>
      </c>
      <c r="J137" s="595">
        <v>2.5000000000000001E-3</v>
      </c>
      <c r="K137" s="595">
        <v>0</v>
      </c>
      <c r="L137" s="595">
        <v>0.04</v>
      </c>
      <c r="M137" s="595">
        <v>0</v>
      </c>
      <c r="N137" s="595">
        <v>0</v>
      </c>
      <c r="O137" s="595">
        <v>0</v>
      </c>
      <c r="P137" s="595">
        <v>0</v>
      </c>
      <c r="Q137" s="595">
        <v>0</v>
      </c>
      <c r="R137" s="595">
        <v>0</v>
      </c>
    </row>
    <row r="139" spans="2:18">
      <c r="B139" s="478" t="s">
        <v>360</v>
      </c>
      <c r="C139" s="523">
        <v>94</v>
      </c>
      <c r="D139" s="523">
        <v>92</v>
      </c>
      <c r="E139" s="523">
        <v>95</v>
      </c>
      <c r="F139" s="523">
        <v>92</v>
      </c>
      <c r="G139" s="468">
        <f>G140*G130</f>
        <v>89.884656222073289</v>
      </c>
      <c r="H139" s="468">
        <f t="shared" ref="H139:R139" si="51">H140*H130</f>
        <v>73.293897989276147</v>
      </c>
      <c r="I139" s="468">
        <f t="shared" si="51"/>
        <v>67.837574472296708</v>
      </c>
      <c r="J139" s="468">
        <f t="shared" si="51"/>
        <v>72.507642788450212</v>
      </c>
      <c r="K139" s="468">
        <f t="shared" si="51"/>
        <v>72.007590079564338</v>
      </c>
      <c r="L139" s="468">
        <f t="shared" si="51"/>
        <v>74.887893682746906</v>
      </c>
      <c r="M139" s="468">
        <f t="shared" si="51"/>
        <v>79.048332220677295</v>
      </c>
      <c r="N139" s="468">
        <f t="shared" si="51"/>
        <v>79.048332220677295</v>
      </c>
      <c r="O139" s="468">
        <f t="shared" si="51"/>
        <v>79.048332220677295</v>
      </c>
      <c r="P139" s="468">
        <f t="shared" si="51"/>
        <v>79.048332220677295</v>
      </c>
      <c r="Q139" s="468">
        <f t="shared" si="51"/>
        <v>79.048332220677295</v>
      </c>
      <c r="R139" s="468">
        <f t="shared" si="51"/>
        <v>79.048332220677295</v>
      </c>
    </row>
    <row r="140" spans="2:18">
      <c r="B140" s="478" t="s">
        <v>1434</v>
      </c>
      <c r="C140" s="456">
        <f>C139/C130</f>
        <v>0.37450199203187251</v>
      </c>
      <c r="D140" s="456">
        <f>D139/D130</f>
        <v>0.36799999999999999</v>
      </c>
      <c r="E140" s="456">
        <f>E139/E130</f>
        <v>0.39094650205761317</v>
      </c>
      <c r="F140" s="456">
        <f>F139/F130</f>
        <v>0.39484978540772531</v>
      </c>
      <c r="G140" s="595">
        <v>0.41499999999999998</v>
      </c>
      <c r="H140" s="595">
        <v>0.36</v>
      </c>
      <c r="I140" s="595">
        <v>0.34</v>
      </c>
      <c r="J140" s="595">
        <v>0.36249999999999999</v>
      </c>
      <c r="K140" s="1486">
        <v>0.36</v>
      </c>
      <c r="L140" s="1486">
        <v>0.36</v>
      </c>
      <c r="M140" s="1486">
        <v>0.38</v>
      </c>
      <c r="N140" s="1486">
        <v>0.38</v>
      </c>
      <c r="O140" s="1486">
        <v>0.38</v>
      </c>
      <c r="P140" s="1486">
        <v>0.38</v>
      </c>
      <c r="Q140" s="1486">
        <v>0.38</v>
      </c>
      <c r="R140" s="1486">
        <v>0.38</v>
      </c>
    </row>
    <row r="142" spans="2:18">
      <c r="B142" s="478" t="s">
        <v>1545</v>
      </c>
      <c r="C142" s="454">
        <f t="shared" ref="C142:R142" si="52">C143*C130</f>
        <v>44.246794871794876</v>
      </c>
      <c r="D142" s="454">
        <f t="shared" si="52"/>
        <v>35.05392912172573</v>
      </c>
      <c r="E142" s="454">
        <f t="shared" si="52"/>
        <v>29.315406976744189</v>
      </c>
      <c r="F142" s="454">
        <f t="shared" si="52"/>
        <v>25.961918194640337</v>
      </c>
      <c r="G142" s="468">
        <f t="shared" si="52"/>
        <v>25.990743967828422</v>
      </c>
      <c r="H142" s="468">
        <f t="shared" si="52"/>
        <v>26.467240940571941</v>
      </c>
      <c r="I142" s="468">
        <f t="shared" si="52"/>
        <v>27.933118900357467</v>
      </c>
      <c r="J142" s="468">
        <f t="shared" si="52"/>
        <v>28.00295169760836</v>
      </c>
      <c r="K142" s="468">
        <f t="shared" si="52"/>
        <v>28.00295169760836</v>
      </c>
      <c r="L142" s="468">
        <f t="shared" si="52"/>
        <v>27.042850496547498</v>
      </c>
      <c r="M142" s="468">
        <f t="shared" si="52"/>
        <v>27.042850496547498</v>
      </c>
      <c r="N142" s="468">
        <f t="shared" si="52"/>
        <v>27.042850496547498</v>
      </c>
      <c r="O142" s="468">
        <f t="shared" si="52"/>
        <v>27.042850496547498</v>
      </c>
      <c r="P142" s="468">
        <f t="shared" si="52"/>
        <v>27.042850496547498</v>
      </c>
      <c r="Q142" s="468">
        <f t="shared" si="52"/>
        <v>27.042850496547498</v>
      </c>
      <c r="R142" s="468">
        <f t="shared" si="52"/>
        <v>27.042850496547498</v>
      </c>
    </row>
    <row r="143" spans="2:18">
      <c r="B143" s="478" t="s">
        <v>1431</v>
      </c>
      <c r="C143" s="456">
        <f>C$173</f>
        <v>0.17628205128205129</v>
      </c>
      <c r="D143" s="456">
        <f>D$173</f>
        <v>0.14021571648690292</v>
      </c>
      <c r="E143" s="456">
        <f>E$173</f>
        <v>0.12063953488372094</v>
      </c>
      <c r="F143" s="456">
        <f>F$173</f>
        <v>0.11142454160789844</v>
      </c>
      <c r="G143" s="595">
        <v>0.12</v>
      </c>
      <c r="H143" s="595">
        <v>0.13</v>
      </c>
      <c r="I143" s="595">
        <v>0.14000000000000001</v>
      </c>
      <c r="J143" s="595">
        <v>0.14000000000000001</v>
      </c>
      <c r="K143" s="595">
        <v>0.14000000000000001</v>
      </c>
      <c r="L143" s="595">
        <v>0.13</v>
      </c>
      <c r="M143" s="595">
        <v>0.13</v>
      </c>
      <c r="N143" s="595">
        <v>0.13</v>
      </c>
      <c r="O143" s="595">
        <v>0.13</v>
      </c>
      <c r="P143" s="595">
        <v>0.13</v>
      </c>
      <c r="Q143" s="595">
        <v>0.13</v>
      </c>
      <c r="R143" s="595">
        <v>0.13</v>
      </c>
    </row>
    <row r="145" spans="2:18">
      <c r="B145" s="478" t="s">
        <v>1552</v>
      </c>
      <c r="C145" s="454">
        <f>C139-C142</f>
        <v>49.753205128205124</v>
      </c>
      <c r="D145" s="454">
        <f>D139-D142</f>
        <v>56.94607087827427</v>
      </c>
      <c r="E145" s="454">
        <f>E139-E142</f>
        <v>65.684593023255815</v>
      </c>
      <c r="F145" s="454">
        <f>F139-F142</f>
        <v>66.038081805359667</v>
      </c>
      <c r="G145" s="454">
        <f t="shared" ref="G145:R145" si="53">G139-G142</f>
        <v>63.893912254244867</v>
      </c>
      <c r="H145" s="454">
        <f t="shared" si="53"/>
        <v>46.826657048704206</v>
      </c>
      <c r="I145" s="454">
        <f t="shared" si="53"/>
        <v>39.904455571939238</v>
      </c>
      <c r="J145" s="454">
        <f t="shared" si="53"/>
        <v>44.504691090841852</v>
      </c>
      <c r="K145" s="454">
        <f t="shared" si="53"/>
        <v>44.004638381955978</v>
      </c>
      <c r="L145" s="454">
        <f t="shared" si="53"/>
        <v>47.845043186199405</v>
      </c>
      <c r="M145" s="454">
        <f t="shared" si="53"/>
        <v>52.005481724129794</v>
      </c>
      <c r="N145" s="454">
        <f t="shared" si="53"/>
        <v>52.005481724129794</v>
      </c>
      <c r="O145" s="454">
        <f t="shared" si="53"/>
        <v>52.005481724129794</v>
      </c>
      <c r="P145" s="454">
        <f t="shared" si="53"/>
        <v>52.005481724129794</v>
      </c>
      <c r="Q145" s="454">
        <f t="shared" si="53"/>
        <v>52.005481724129794</v>
      </c>
      <c r="R145" s="454">
        <f t="shared" si="53"/>
        <v>52.005481724129794</v>
      </c>
    </row>
    <row r="146" spans="2:18">
      <c r="B146" s="478" t="s">
        <v>1434</v>
      </c>
      <c r="C146" s="456">
        <f>C145/C130</f>
        <v>0.19821994074982122</v>
      </c>
      <c r="D146" s="456">
        <f>D145/D130</f>
        <v>0.22778428351309707</v>
      </c>
      <c r="E146" s="456">
        <f>E145/E130</f>
        <v>0.27030696717389224</v>
      </c>
      <c r="F146" s="456">
        <f>F145/F130</f>
        <v>0.28342524379982692</v>
      </c>
      <c r="G146" s="456">
        <f t="shared" ref="G146:R146" si="54">G145/G130</f>
        <v>0.29499999999999998</v>
      </c>
      <c r="H146" s="456">
        <f t="shared" si="54"/>
        <v>0.23</v>
      </c>
      <c r="I146" s="456">
        <f t="shared" si="54"/>
        <v>0.2</v>
      </c>
      <c r="J146" s="456">
        <f t="shared" si="54"/>
        <v>0.2225</v>
      </c>
      <c r="K146" s="456">
        <f t="shared" si="54"/>
        <v>0.21999999999999995</v>
      </c>
      <c r="L146" s="456">
        <f t="shared" si="54"/>
        <v>0.22999999999999995</v>
      </c>
      <c r="M146" s="456">
        <f t="shared" si="54"/>
        <v>0.24999999999999997</v>
      </c>
      <c r="N146" s="456">
        <f t="shared" si="54"/>
        <v>0.24999999999999997</v>
      </c>
      <c r="O146" s="456">
        <f t="shared" si="54"/>
        <v>0.24999999999999997</v>
      </c>
      <c r="P146" s="456">
        <f t="shared" si="54"/>
        <v>0.24999999999999997</v>
      </c>
      <c r="Q146" s="456">
        <f t="shared" si="54"/>
        <v>0.24999999999999997</v>
      </c>
      <c r="R146" s="456">
        <f t="shared" si="54"/>
        <v>0.24999999999999997</v>
      </c>
    </row>
    <row r="148" spans="2:18">
      <c r="B148" s="478" t="s">
        <v>682</v>
      </c>
      <c r="C148" s="538">
        <v>0.3</v>
      </c>
      <c r="D148" s="538">
        <v>0.3</v>
      </c>
      <c r="E148" s="538">
        <v>0.3</v>
      </c>
      <c r="F148" s="538">
        <v>0.3</v>
      </c>
      <c r="G148" s="538">
        <v>0.3</v>
      </c>
      <c r="H148" s="538">
        <v>0.3</v>
      </c>
      <c r="I148" s="538">
        <v>0.3</v>
      </c>
      <c r="J148" s="538">
        <v>0.3</v>
      </c>
      <c r="K148" s="538">
        <v>0.3</v>
      </c>
      <c r="L148" s="538">
        <v>0.3</v>
      </c>
      <c r="M148" s="538">
        <v>0.3</v>
      </c>
      <c r="N148" s="538">
        <v>0.3</v>
      </c>
      <c r="O148" s="538">
        <v>0.3</v>
      </c>
      <c r="P148" s="538">
        <v>0.3</v>
      </c>
      <c r="Q148" s="538">
        <v>0.3</v>
      </c>
      <c r="R148" s="538">
        <v>0.3</v>
      </c>
    </row>
    <row r="149" spans="2:18">
      <c r="B149" s="478" t="s">
        <v>1936</v>
      </c>
      <c r="C149" s="468">
        <f>(1-C148)*C145</f>
        <v>34.827243589743581</v>
      </c>
      <c r="D149" s="468">
        <f t="shared" ref="D149:R149" si="55">(1-D148)*D145</f>
        <v>39.862249614791985</v>
      </c>
      <c r="E149" s="468">
        <f t="shared" si="55"/>
        <v>45.979215116279065</v>
      </c>
      <c r="F149" s="468">
        <f t="shared" si="55"/>
        <v>46.226657263751761</v>
      </c>
      <c r="G149" s="468">
        <f t="shared" si="55"/>
        <v>44.725738577971406</v>
      </c>
      <c r="H149" s="468">
        <f t="shared" si="55"/>
        <v>32.778659934092943</v>
      </c>
      <c r="I149" s="468">
        <f t="shared" si="55"/>
        <v>27.933118900357464</v>
      </c>
      <c r="J149" s="468">
        <f t="shared" si="55"/>
        <v>31.153283763589293</v>
      </c>
      <c r="K149" s="468">
        <f t="shared" si="55"/>
        <v>30.803246867369182</v>
      </c>
      <c r="L149" s="468">
        <f t="shared" si="55"/>
        <v>33.491530230339585</v>
      </c>
      <c r="M149" s="468">
        <f t="shared" si="55"/>
        <v>36.403837206890856</v>
      </c>
      <c r="N149" s="468">
        <f t="shared" si="55"/>
        <v>36.403837206890856</v>
      </c>
      <c r="O149" s="468">
        <f t="shared" si="55"/>
        <v>36.403837206890856</v>
      </c>
      <c r="P149" s="468">
        <f t="shared" si="55"/>
        <v>36.403837206890856</v>
      </c>
      <c r="Q149" s="468">
        <f t="shared" si="55"/>
        <v>36.403837206890856</v>
      </c>
      <c r="R149" s="468">
        <f t="shared" si="55"/>
        <v>36.403837206890856</v>
      </c>
    </row>
    <row r="151" spans="2:18">
      <c r="B151" s="478" t="s">
        <v>507</v>
      </c>
    </row>
    <row r="152" spans="2:18">
      <c r="B152" s="478" t="s">
        <v>1938</v>
      </c>
      <c r="C152" s="595">
        <v>0.1</v>
      </c>
    </row>
    <row r="153" spans="2:18">
      <c r="B153" s="478" t="s">
        <v>246</v>
      </c>
      <c r="C153" s="595">
        <v>5.0000000000000001E-3</v>
      </c>
    </row>
    <row r="154" spans="2:18">
      <c r="B154" s="478" t="s">
        <v>5471</v>
      </c>
      <c r="C154" s="454">
        <f>NPV(C152,M149:R149)</f>
        <v>158.54820149679242</v>
      </c>
    </row>
    <row r="155" spans="2:18">
      <c r="B155" s="478" t="s">
        <v>2588</v>
      </c>
      <c r="C155" s="468">
        <f>1/(C152-C153)</f>
        <v>10.526315789473685</v>
      </c>
    </row>
    <row r="156" spans="2:18">
      <c r="B156" s="478" t="s">
        <v>5596</v>
      </c>
      <c r="C156" s="464">
        <f>C155*R149</f>
        <v>383.19828638832485</v>
      </c>
    </row>
    <row r="157" spans="2:18">
      <c r="B157" s="478" t="s">
        <v>5597</v>
      </c>
      <c r="C157" s="454">
        <f>C156/(1+C152)^6</f>
        <v>216.30544270749056</v>
      </c>
    </row>
    <row r="158" spans="2:18">
      <c r="B158" s="478" t="s">
        <v>245</v>
      </c>
      <c r="C158" s="454">
        <f>C154+C157</f>
        <v>374.853644204283</v>
      </c>
    </row>
    <row r="159" spans="2:18">
      <c r="B159" s="478" t="s">
        <v>1243</v>
      </c>
      <c r="C159" s="468">
        <f>C158/G139</f>
        <v>4.1703852466003966</v>
      </c>
    </row>
    <row r="160" spans="2:18" ht="15.75" thickBot="1"/>
    <row r="161" spans="2:18" ht="15.75" thickBot="1">
      <c r="B161" s="478" t="s">
        <v>5598</v>
      </c>
      <c r="C161">
        <f>Analysis!F3767</f>
        <v>429.79381443298973</v>
      </c>
    </row>
    <row r="164" spans="2:18">
      <c r="B164" s="451" t="s">
        <v>5586</v>
      </c>
      <c r="C164" s="451">
        <f t="shared" ref="C164:R164" si="56">C4</f>
        <v>2015</v>
      </c>
      <c r="D164" s="451">
        <f t="shared" si="56"/>
        <v>2016</v>
      </c>
      <c r="E164" s="451">
        <f t="shared" si="56"/>
        <v>2017</v>
      </c>
      <c r="F164" s="451">
        <f t="shared" si="56"/>
        <v>2018</v>
      </c>
      <c r="G164" s="451">
        <f t="shared" si="56"/>
        <v>2019</v>
      </c>
      <c r="H164" s="451">
        <f t="shared" si="56"/>
        <v>2020</v>
      </c>
      <c r="I164" s="451">
        <f t="shared" si="56"/>
        <v>2021</v>
      </c>
      <c r="J164" s="451">
        <f t="shared" si="56"/>
        <v>2022</v>
      </c>
      <c r="K164" s="451">
        <f t="shared" si="56"/>
        <v>2023</v>
      </c>
      <c r="L164" s="451">
        <f t="shared" si="56"/>
        <v>2024</v>
      </c>
      <c r="M164" s="451">
        <f t="shared" si="56"/>
        <v>2025</v>
      </c>
      <c r="N164" s="451">
        <f t="shared" si="56"/>
        <v>2026</v>
      </c>
      <c r="O164" s="451">
        <f t="shared" si="56"/>
        <v>2027</v>
      </c>
      <c r="P164" s="451">
        <f t="shared" si="56"/>
        <v>2028</v>
      </c>
      <c r="Q164" s="451">
        <f t="shared" si="56"/>
        <v>2029</v>
      </c>
      <c r="R164" s="451">
        <f t="shared" si="56"/>
        <v>2030</v>
      </c>
    </row>
    <row r="165" spans="2:18">
      <c r="B165" s="478" t="s">
        <v>758</v>
      </c>
      <c r="C165" s="523">
        <v>624</v>
      </c>
      <c r="D165" s="523">
        <v>649</v>
      </c>
      <c r="E165" s="523">
        <v>688</v>
      </c>
      <c r="F165" s="523">
        <v>709</v>
      </c>
      <c r="G165" s="454">
        <f>G5+G93+G130</f>
        <v>690.5343034734002</v>
      </c>
      <c r="H165" s="454">
        <f t="shared" ref="H165:R165" si="57">H5+H93+H130</f>
        <v>682.03082495946137</v>
      </c>
      <c r="I165" s="454">
        <f t="shared" si="57"/>
        <v>701.85523368945474</v>
      </c>
      <c r="J165" s="454">
        <f t="shared" si="57"/>
        <v>719.91018065667254</v>
      </c>
      <c r="K165" s="454">
        <f t="shared" si="57"/>
        <v>726.95958412054563</v>
      </c>
      <c r="L165" s="454">
        <f t="shared" si="57"/>
        <v>745.25961980353816</v>
      </c>
      <c r="M165" s="454">
        <f t="shared" si="57"/>
        <v>753.42825739258831</v>
      </c>
      <c r="N165" s="454">
        <f t="shared" si="57"/>
        <v>759.37702232062952</v>
      </c>
      <c r="O165" s="454">
        <f t="shared" si="57"/>
        <v>765.41351713061692</v>
      </c>
      <c r="P165" s="454">
        <f t="shared" si="57"/>
        <v>771.53890154369674</v>
      </c>
      <c r="Q165" s="454">
        <f t="shared" si="57"/>
        <v>777.75434970244976</v>
      </c>
      <c r="R165" s="454">
        <f t="shared" si="57"/>
        <v>784.06105034334803</v>
      </c>
    </row>
    <row r="166" spans="2:18">
      <c r="B166" s="613" t="s">
        <v>51</v>
      </c>
      <c r="C166" s="613">
        <f>C165-C5-C93-C130</f>
        <v>1</v>
      </c>
      <c r="D166" s="613">
        <f>D165-D5-D93-D130</f>
        <v>0</v>
      </c>
      <c r="E166" s="613">
        <f>E165-E5-E93-E130</f>
        <v>0</v>
      </c>
      <c r="F166" s="613">
        <f>F165-F5-F93-F130</f>
        <v>0</v>
      </c>
    </row>
    <row r="167" spans="2:18">
      <c r="B167" s="478" t="s">
        <v>2353</v>
      </c>
      <c r="C167" s="613"/>
      <c r="D167" s="509">
        <f>D165/C165-1</f>
        <v>4.0064102564102644E-2</v>
      </c>
      <c r="E167" s="509">
        <f t="shared" ref="E167:R167" si="58">E165/D165-1</f>
        <v>6.009244992295848E-2</v>
      </c>
      <c r="F167" s="509">
        <f t="shared" si="58"/>
        <v>3.0523255813953432E-2</v>
      </c>
      <c r="G167" s="509">
        <f t="shared" si="58"/>
        <v>-2.6044705961353776E-2</v>
      </c>
      <c r="H167" s="509">
        <f t="shared" si="58"/>
        <v>-1.2314346255017594E-2</v>
      </c>
      <c r="I167" s="509">
        <f t="shared" si="58"/>
        <v>2.9066734236200764E-2</v>
      </c>
      <c r="J167" s="509">
        <f t="shared" si="58"/>
        <v>2.5724602596903123E-2</v>
      </c>
      <c r="K167" s="509">
        <f t="shared" si="58"/>
        <v>9.7920596947842498E-3</v>
      </c>
      <c r="L167" s="509">
        <f t="shared" si="58"/>
        <v>2.5173388015967024E-2</v>
      </c>
      <c r="M167" s="509">
        <f t="shared" si="58"/>
        <v>1.0960794563381171E-2</v>
      </c>
      <c r="N167" s="509">
        <f t="shared" si="58"/>
        <v>7.8955957248381115E-3</v>
      </c>
      <c r="O167" s="509">
        <f t="shared" si="58"/>
        <v>7.9492724069265552E-3</v>
      </c>
      <c r="P167" s="509">
        <f t="shared" si="58"/>
        <v>8.0027126200261645E-3</v>
      </c>
      <c r="Q167" s="509">
        <f t="shared" si="58"/>
        <v>8.0559102675408223E-3</v>
      </c>
      <c r="R167" s="509">
        <f t="shared" si="58"/>
        <v>8.1088593632565598E-3</v>
      </c>
    </row>
    <row r="168" spans="2:18">
      <c r="B168" s="478"/>
      <c r="C168" s="613"/>
      <c r="D168" s="613"/>
      <c r="E168" s="613"/>
      <c r="F168" s="613"/>
    </row>
    <row r="169" spans="2:18">
      <c r="B169" s="478" t="s">
        <v>360</v>
      </c>
      <c r="C169" s="523">
        <v>178</v>
      </c>
      <c r="D169" s="523">
        <v>188</v>
      </c>
      <c r="E169" s="523">
        <v>225</v>
      </c>
      <c r="F169" s="523">
        <v>243</v>
      </c>
      <c r="G169" s="468">
        <f>G14+G103+G139</f>
        <v>277.27845979350184</v>
      </c>
      <c r="H169" s="468">
        <f t="shared" ref="H169:R169" si="59">H14+H103+H139</f>
        <v>278.69974615623522</v>
      </c>
      <c r="I169" s="468">
        <f t="shared" si="59"/>
        <v>274.72266552465612</v>
      </c>
      <c r="J169" s="468">
        <f t="shared" si="59"/>
        <v>289.92212001134288</v>
      </c>
      <c r="K169" s="468">
        <f t="shared" si="59"/>
        <v>296.58430876728733</v>
      </c>
      <c r="L169" s="468">
        <f t="shared" si="59"/>
        <v>310.32451235647596</v>
      </c>
      <c r="M169" s="468">
        <f t="shared" si="59"/>
        <v>307.86948438889834</v>
      </c>
      <c r="N169" s="468">
        <f t="shared" si="59"/>
        <v>310.09710700024999</v>
      </c>
      <c r="O169" s="468">
        <f t="shared" si="59"/>
        <v>312.35758165250058</v>
      </c>
      <c r="P169" s="468">
        <f t="shared" si="59"/>
        <v>314.65134262420708</v>
      </c>
      <c r="Q169" s="468">
        <f t="shared" si="59"/>
        <v>316.9788295942933</v>
      </c>
      <c r="R169" s="468">
        <f t="shared" si="59"/>
        <v>319.34048770662969</v>
      </c>
    </row>
    <row r="170" spans="2:18">
      <c r="B170" s="478" t="s">
        <v>1434</v>
      </c>
      <c r="C170" s="456">
        <f>C169/C165</f>
        <v>0.28525641025641024</v>
      </c>
      <c r="D170" s="456">
        <f>D169/D165</f>
        <v>0.2896764252696456</v>
      </c>
      <c r="E170" s="456">
        <f>E169/E165</f>
        <v>0.32703488372093026</v>
      </c>
      <c r="F170" s="456">
        <f>F169/F165</f>
        <v>0.34273624823695348</v>
      </c>
      <c r="G170" s="456">
        <f t="shared" ref="G170:R170" si="60">G169/G165</f>
        <v>0.40154190515776855</v>
      </c>
      <c r="H170" s="456">
        <f t="shared" si="60"/>
        <v>0.40863218487639558</v>
      </c>
      <c r="I170" s="456">
        <f t="shared" si="60"/>
        <v>0.39142354767452064</v>
      </c>
      <c r="J170" s="456">
        <f t="shared" si="60"/>
        <v>0.40271985006086153</v>
      </c>
      <c r="K170" s="456">
        <f t="shared" si="60"/>
        <v>0.4079790888596459</v>
      </c>
      <c r="L170" s="456">
        <f t="shared" si="60"/>
        <v>0.4163978620474329</v>
      </c>
      <c r="M170" s="456">
        <f t="shared" si="60"/>
        <v>0.40862481778205595</v>
      </c>
      <c r="N170" s="456">
        <f t="shared" si="60"/>
        <v>0.40835724269428658</v>
      </c>
      <c r="O170" s="456">
        <f t="shared" si="60"/>
        <v>0.40808997314741324</v>
      </c>
      <c r="P170" s="456">
        <f t="shared" si="60"/>
        <v>0.40782304300489836</v>
      </c>
      <c r="Q170" s="456">
        <f t="shared" si="60"/>
        <v>0.40755648581787018</v>
      </c>
      <c r="R170" s="456">
        <f t="shared" si="60"/>
        <v>0.4072903348110295</v>
      </c>
    </row>
    <row r="171" spans="2:18">
      <c r="B171" s="613" t="s">
        <v>51</v>
      </c>
      <c r="C171" s="613">
        <f>C169-C14-C103-C139</f>
        <v>0</v>
      </c>
      <c r="D171" s="613">
        <f>D169-D14-D103-D139</f>
        <v>-1</v>
      </c>
      <c r="E171" s="613">
        <f>E169-E14-E103-E139</f>
        <v>0</v>
      </c>
      <c r="F171" s="613">
        <f>F169-F14-F103-F139</f>
        <v>1</v>
      </c>
    </row>
    <row r="172" spans="2:18">
      <c r="B172" s="478" t="s">
        <v>1545</v>
      </c>
      <c r="C172">
        <f>C169-C174</f>
        <v>110</v>
      </c>
      <c r="D172">
        <f>D169-D174</f>
        <v>91</v>
      </c>
      <c r="E172">
        <f>E169-E174</f>
        <v>83</v>
      </c>
      <c r="F172">
        <f>F169-F174</f>
        <v>79</v>
      </c>
      <c r="G172" s="454">
        <f>G17+G106+G142</f>
        <v>82.864116416808017</v>
      </c>
      <c r="H172" s="454">
        <f>H17+H106+H142-10</f>
        <v>91.811693067184819</v>
      </c>
      <c r="I172" s="454">
        <f>I17+I106+I142</f>
        <v>104.84584657366653</v>
      </c>
      <c r="J172" s="454">
        <f>J17+J106+J142</f>
        <v>105.30989014050559</v>
      </c>
      <c r="K172" s="454">
        <f t="shared" ref="K172:R172" si="61">K17+K106+K142</f>
        <v>101.77434177687638</v>
      </c>
      <c r="L172" s="454">
        <f>L17+L106+L142</f>
        <v>99.190207647231389</v>
      </c>
      <c r="M172" s="454">
        <f t="shared" si="61"/>
        <v>100.27519510453563</v>
      </c>
      <c r="N172" s="454">
        <f t="shared" si="61"/>
        <v>101.048534545181</v>
      </c>
      <c r="O172" s="454">
        <f t="shared" si="61"/>
        <v>101.83327887047936</v>
      </c>
      <c r="P172" s="454">
        <f t="shared" si="61"/>
        <v>102.62957884417973</v>
      </c>
      <c r="Q172" s="454">
        <f t="shared" si="61"/>
        <v>103.43758710481762</v>
      </c>
      <c r="R172" s="454">
        <f t="shared" si="61"/>
        <v>104.25745818813441</v>
      </c>
    </row>
    <row r="173" spans="2:18">
      <c r="B173" s="478" t="s">
        <v>1431</v>
      </c>
      <c r="C173" s="456">
        <f>C172/C165</f>
        <v>0.17628205128205129</v>
      </c>
      <c r="D173" s="456">
        <f>D172/D165</f>
        <v>0.14021571648690292</v>
      </c>
      <c r="E173" s="456">
        <f>E172/E165</f>
        <v>0.12063953488372094</v>
      </c>
      <c r="F173" s="456">
        <f>F172/F165</f>
        <v>0.11142454160789844</v>
      </c>
      <c r="G173" s="456">
        <f t="shared" ref="G173:R173" si="62">G172/G165</f>
        <v>0.12</v>
      </c>
      <c r="H173" s="456">
        <f t="shared" si="62"/>
        <v>0.13461516651046077</v>
      </c>
      <c r="I173" s="456">
        <f t="shared" si="62"/>
        <v>0.14938386371007242</v>
      </c>
      <c r="J173" s="456">
        <f t="shared" si="62"/>
        <v>0.14628198485045207</v>
      </c>
      <c r="K173" s="456">
        <f t="shared" si="62"/>
        <v>0.13999999999999999</v>
      </c>
      <c r="L173" s="456">
        <f t="shared" si="62"/>
        <v>0.13309483703595729</v>
      </c>
      <c r="M173" s="456">
        <f t="shared" si="62"/>
        <v>0.13309189577194913</v>
      </c>
      <c r="N173" s="456">
        <f t="shared" si="62"/>
        <v>0.13306767465307315</v>
      </c>
      <c r="O173" s="456">
        <f t="shared" si="62"/>
        <v>0.13304348119201248</v>
      </c>
      <c r="P173" s="456">
        <f t="shared" si="62"/>
        <v>0.13301931845411585</v>
      </c>
      <c r="Q173" s="456">
        <f t="shared" si="62"/>
        <v>0.13299518947645922</v>
      </c>
      <c r="R173" s="456">
        <f t="shared" si="62"/>
        <v>0.13297109726657005</v>
      </c>
    </row>
    <row r="174" spans="2:18">
      <c r="B174" s="478" t="s">
        <v>1552</v>
      </c>
      <c r="C174" s="523">
        <v>68</v>
      </c>
      <c r="D174" s="523">
        <v>97</v>
      </c>
      <c r="E174" s="523">
        <v>142</v>
      </c>
      <c r="F174" s="523">
        <v>164</v>
      </c>
      <c r="G174" s="454">
        <f>G169-G172</f>
        <v>194.41434337669381</v>
      </c>
      <c r="H174" s="454">
        <f t="shared" ref="H174:R174" si="63">H169-H172</f>
        <v>186.8880530890504</v>
      </c>
      <c r="I174" s="454">
        <f t="shared" si="63"/>
        <v>169.87681895098959</v>
      </c>
      <c r="J174" s="454">
        <f t="shared" si="63"/>
        <v>184.6122298708373</v>
      </c>
      <c r="K174" s="454">
        <f t="shared" si="63"/>
        <v>194.80996699041094</v>
      </c>
      <c r="L174" s="454">
        <f t="shared" si="63"/>
        <v>211.13430470924459</v>
      </c>
      <c r="M174" s="454">
        <f t="shared" si="63"/>
        <v>207.59428928436273</v>
      </c>
      <c r="N174" s="454">
        <f t="shared" si="63"/>
        <v>209.04857245506901</v>
      </c>
      <c r="O174" s="454">
        <f t="shared" si="63"/>
        <v>210.52430278202121</v>
      </c>
      <c r="P174" s="454">
        <f t="shared" si="63"/>
        <v>212.02176378002736</v>
      </c>
      <c r="Q174" s="454">
        <f t="shared" si="63"/>
        <v>213.54124248947568</v>
      </c>
      <c r="R174" s="454">
        <f t="shared" si="63"/>
        <v>215.08302951849527</v>
      </c>
    </row>
    <row r="175" spans="2:18">
      <c r="B175" s="478" t="s">
        <v>1434</v>
      </c>
      <c r="C175" s="456">
        <f>C174/C165</f>
        <v>0.10897435897435898</v>
      </c>
      <c r="D175" s="456">
        <f>D174/D165</f>
        <v>0.14946070878274267</v>
      </c>
      <c r="E175" s="456">
        <f>E174/E165</f>
        <v>0.20639534883720931</v>
      </c>
      <c r="F175" s="456">
        <f>F174/F165</f>
        <v>0.23131170662905501</v>
      </c>
      <c r="G175" s="456">
        <f t="shared" ref="G175:R175" si="64">G174/G165</f>
        <v>0.28154190515776856</v>
      </c>
      <c r="H175" s="456">
        <f t="shared" si="64"/>
        <v>0.27401701836593484</v>
      </c>
      <c r="I175" s="456">
        <f t="shared" si="64"/>
        <v>0.24203968396444825</v>
      </c>
      <c r="J175" s="456">
        <f t="shared" si="64"/>
        <v>0.25643786521040945</v>
      </c>
      <c r="K175" s="456">
        <f t="shared" si="64"/>
        <v>0.26797908885964594</v>
      </c>
      <c r="L175" s="456">
        <f t="shared" si="64"/>
        <v>0.28330302501147564</v>
      </c>
      <c r="M175" s="456">
        <f t="shared" si="64"/>
        <v>0.27553292201010682</v>
      </c>
      <c r="N175" s="456">
        <f t="shared" si="64"/>
        <v>0.27528956804121346</v>
      </c>
      <c r="O175" s="456">
        <f t="shared" si="64"/>
        <v>0.27504649195540071</v>
      </c>
      <c r="P175" s="456">
        <f t="shared" si="64"/>
        <v>0.2748037245507825</v>
      </c>
      <c r="Q175" s="456">
        <f t="shared" si="64"/>
        <v>0.27456129634141097</v>
      </c>
      <c r="R175" s="456">
        <f t="shared" si="64"/>
        <v>0.27431923754445947</v>
      </c>
    </row>
    <row r="180" spans="2:4">
      <c r="B180" s="499" t="s">
        <v>2697</v>
      </c>
    </row>
    <row r="182" spans="2:4">
      <c r="B182" s="478" t="s">
        <v>5599</v>
      </c>
    </row>
    <row r="183" spans="2:4">
      <c r="B183" s="478" t="s">
        <v>5600</v>
      </c>
    </row>
    <row r="184" spans="2:4">
      <c r="C184" s="478" t="s">
        <v>5601</v>
      </c>
    </row>
    <row r="185" spans="2:4">
      <c r="C185" s="478" t="s">
        <v>5602</v>
      </c>
    </row>
    <row r="186" spans="2:4">
      <c r="C186" s="478" t="s">
        <v>5603</v>
      </c>
    </row>
    <row r="187" spans="2:4">
      <c r="B187" s="478" t="s">
        <v>5605</v>
      </c>
    </row>
    <row r="188" spans="2:4">
      <c r="C188" s="478" t="s">
        <v>5606</v>
      </c>
    </row>
    <row r="189" spans="2:4">
      <c r="C189" s="478" t="s">
        <v>5607</v>
      </c>
    </row>
    <row r="190" spans="2:4">
      <c r="C190" s="728">
        <v>6.2E-2</v>
      </c>
      <c r="D190" s="478" t="s">
        <v>5608</v>
      </c>
    </row>
  </sheetData>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P108"/>
  <sheetViews>
    <sheetView zoomScale="72" zoomScaleNormal="72" workbookViewId="0">
      <selection activeCell="T24" sqref="T24"/>
    </sheetView>
  </sheetViews>
  <sheetFormatPr defaultRowHeight="15"/>
  <cols>
    <col min="2" max="2" width="25.28515625" bestFit="1" customWidth="1"/>
    <col min="5" max="5" width="9.85546875" bestFit="1" customWidth="1"/>
    <col min="6" max="6" width="9.140625" customWidth="1"/>
  </cols>
  <sheetData>
    <row r="2" spans="2:16">
      <c r="B2" s="1133" t="s">
        <v>2389</v>
      </c>
      <c r="C2" s="1133">
        <v>2017</v>
      </c>
      <c r="D2" s="1133">
        <v>2018</v>
      </c>
      <c r="E2" s="1133">
        <f t="shared" ref="E2:P2" si="0">D2+1</f>
        <v>2019</v>
      </c>
      <c r="F2" s="1133">
        <f t="shared" si="0"/>
        <v>2020</v>
      </c>
      <c r="G2" s="1133">
        <f t="shared" si="0"/>
        <v>2021</v>
      </c>
      <c r="H2" s="1133">
        <f t="shared" si="0"/>
        <v>2022</v>
      </c>
      <c r="I2" s="1133">
        <f t="shared" si="0"/>
        <v>2023</v>
      </c>
      <c r="J2" s="1133">
        <f t="shared" si="0"/>
        <v>2024</v>
      </c>
      <c r="K2" s="1133">
        <f t="shared" si="0"/>
        <v>2025</v>
      </c>
      <c r="L2" s="1133">
        <f t="shared" si="0"/>
        <v>2026</v>
      </c>
      <c r="M2" s="1133">
        <f t="shared" si="0"/>
        <v>2027</v>
      </c>
      <c r="N2" s="1133">
        <f t="shared" si="0"/>
        <v>2028</v>
      </c>
      <c r="O2" s="1133">
        <f t="shared" si="0"/>
        <v>2029</v>
      </c>
      <c r="P2" s="1133">
        <f t="shared" si="0"/>
        <v>2030</v>
      </c>
    </row>
    <row r="3" spans="2:16">
      <c r="B3" s="478"/>
      <c r="C3" s="478"/>
      <c r="D3" s="478"/>
      <c r="E3" s="478"/>
      <c r="F3" s="478"/>
      <c r="G3" s="478"/>
      <c r="H3" s="478"/>
      <c r="I3" s="478"/>
      <c r="J3" s="478"/>
      <c r="K3" s="478"/>
      <c r="L3" s="478"/>
      <c r="M3" s="478"/>
      <c r="N3" s="478"/>
      <c r="O3" s="478"/>
      <c r="P3" s="478"/>
    </row>
    <row r="4" spans="2:16">
      <c r="B4" s="478" t="s">
        <v>4060</v>
      </c>
      <c r="C4" s="679">
        <v>4100</v>
      </c>
      <c r="D4" s="491">
        <f t="shared" ref="D4:P4" si="1">(1+D5)*C4</f>
        <v>4120.5</v>
      </c>
      <c r="E4" s="491">
        <f t="shared" si="1"/>
        <v>4141.1025</v>
      </c>
      <c r="F4" s="491">
        <f t="shared" si="1"/>
        <v>4161.8080124999997</v>
      </c>
      <c r="G4" s="491">
        <f t="shared" si="1"/>
        <v>4182.6170525624993</v>
      </c>
      <c r="H4" s="491">
        <f t="shared" si="1"/>
        <v>4203.5301378253116</v>
      </c>
      <c r="I4" s="491">
        <f t="shared" si="1"/>
        <v>4224.5477885144373</v>
      </c>
      <c r="J4" s="491">
        <f t="shared" si="1"/>
        <v>4245.6705274570095</v>
      </c>
      <c r="K4" s="491">
        <f t="shared" si="1"/>
        <v>4266.8988800942943</v>
      </c>
      <c r="L4" s="491">
        <f t="shared" si="1"/>
        <v>4288.2333744947655</v>
      </c>
      <c r="M4" s="491">
        <f t="shared" si="1"/>
        <v>4309.6745413672388</v>
      </c>
      <c r="N4" s="491">
        <f t="shared" si="1"/>
        <v>4331.2229140740747</v>
      </c>
      <c r="O4" s="491">
        <f t="shared" si="1"/>
        <v>4352.8790286444446</v>
      </c>
      <c r="P4" s="491">
        <f t="shared" si="1"/>
        <v>4374.6434237876665</v>
      </c>
    </row>
    <row r="5" spans="2:16">
      <c r="B5" s="478" t="s">
        <v>2353</v>
      </c>
      <c r="C5" s="478"/>
      <c r="D5" s="678">
        <v>5.0000000000000001E-3</v>
      </c>
      <c r="E5" s="678">
        <v>5.0000000000000001E-3</v>
      </c>
      <c r="F5" s="678">
        <v>5.0000000000000001E-3</v>
      </c>
      <c r="G5" s="678">
        <v>5.0000000000000001E-3</v>
      </c>
      <c r="H5" s="678">
        <v>5.0000000000000001E-3</v>
      </c>
      <c r="I5" s="678">
        <v>5.0000000000000001E-3</v>
      </c>
      <c r="J5" s="678">
        <v>5.0000000000000001E-3</v>
      </c>
      <c r="K5" s="678">
        <v>5.0000000000000001E-3</v>
      </c>
      <c r="L5" s="678">
        <v>5.0000000000000001E-3</v>
      </c>
      <c r="M5" s="678">
        <v>5.0000000000000001E-3</v>
      </c>
      <c r="N5" s="678">
        <v>5.0000000000000001E-3</v>
      </c>
      <c r="O5" s="678">
        <v>5.0000000000000001E-3</v>
      </c>
      <c r="P5" s="678">
        <v>5.0000000000000001E-3</v>
      </c>
    </row>
    <row r="6" spans="2:16">
      <c r="B6" s="478"/>
      <c r="C6" s="478"/>
      <c r="D6" s="478"/>
      <c r="E6" s="478"/>
      <c r="F6" s="478"/>
      <c r="G6" s="478"/>
      <c r="H6" s="478"/>
      <c r="I6" s="478"/>
      <c r="J6" s="478"/>
      <c r="K6" s="478"/>
      <c r="L6" s="478"/>
      <c r="M6" s="478"/>
      <c r="N6" s="478"/>
      <c r="O6" s="478"/>
      <c r="P6" s="478"/>
    </row>
    <row r="7" spans="2:16">
      <c r="B7" s="478" t="s">
        <v>2173</v>
      </c>
      <c r="C7" s="679">
        <v>1000</v>
      </c>
      <c r="D7" s="491">
        <f t="shared" ref="D7:P7" si="2">D4/D8</f>
        <v>1005.0000000000001</v>
      </c>
      <c r="E7" s="491">
        <f t="shared" si="2"/>
        <v>1010.0250000000001</v>
      </c>
      <c r="F7" s="491">
        <f t="shared" si="2"/>
        <v>1015.075125</v>
      </c>
      <c r="G7" s="491">
        <f t="shared" si="2"/>
        <v>1020.1505006249999</v>
      </c>
      <c r="H7" s="491">
        <f t="shared" si="2"/>
        <v>1025.251253128125</v>
      </c>
      <c r="I7" s="491">
        <f t="shared" si="2"/>
        <v>1030.3775093937652</v>
      </c>
      <c r="J7" s="491">
        <f t="shared" si="2"/>
        <v>1035.5293969407342</v>
      </c>
      <c r="K7" s="491">
        <f t="shared" si="2"/>
        <v>1040.7070439254378</v>
      </c>
      <c r="L7" s="491">
        <f t="shared" si="2"/>
        <v>1045.9105791450647</v>
      </c>
      <c r="M7" s="491">
        <f t="shared" si="2"/>
        <v>1051.1401320407901</v>
      </c>
      <c r="N7" s="491">
        <f t="shared" si="2"/>
        <v>1056.3958327009939</v>
      </c>
      <c r="O7" s="491">
        <f t="shared" si="2"/>
        <v>1061.6778118644988</v>
      </c>
      <c r="P7" s="491">
        <f t="shared" si="2"/>
        <v>1066.9862009238211</v>
      </c>
    </row>
    <row r="8" spans="2:16">
      <c r="B8" s="478" t="s">
        <v>5465</v>
      </c>
      <c r="C8" s="1154">
        <f>C4/C7</f>
        <v>4.0999999999999996</v>
      </c>
      <c r="D8" s="1152">
        <f t="shared" ref="D8:P8" si="3">C8</f>
        <v>4.0999999999999996</v>
      </c>
      <c r="E8" s="1152">
        <f t="shared" si="3"/>
        <v>4.0999999999999996</v>
      </c>
      <c r="F8" s="1152">
        <f t="shared" si="3"/>
        <v>4.0999999999999996</v>
      </c>
      <c r="G8" s="1152">
        <f t="shared" si="3"/>
        <v>4.0999999999999996</v>
      </c>
      <c r="H8" s="1152">
        <f t="shared" si="3"/>
        <v>4.0999999999999996</v>
      </c>
      <c r="I8" s="1152">
        <f t="shared" si="3"/>
        <v>4.0999999999999996</v>
      </c>
      <c r="J8" s="1152">
        <f t="shared" si="3"/>
        <v>4.0999999999999996</v>
      </c>
      <c r="K8" s="1152">
        <f t="shared" si="3"/>
        <v>4.0999999999999996</v>
      </c>
      <c r="L8" s="1152">
        <f t="shared" si="3"/>
        <v>4.0999999999999996</v>
      </c>
      <c r="M8" s="1152">
        <f t="shared" si="3"/>
        <v>4.0999999999999996</v>
      </c>
      <c r="N8" s="1152">
        <f t="shared" si="3"/>
        <v>4.0999999999999996</v>
      </c>
      <c r="O8" s="1152">
        <f t="shared" si="3"/>
        <v>4.0999999999999996</v>
      </c>
      <c r="P8" s="1152">
        <f t="shared" si="3"/>
        <v>4.0999999999999996</v>
      </c>
    </row>
    <row r="9" spans="2:16">
      <c r="B9" s="478"/>
      <c r="C9" s="478"/>
      <c r="D9" s="478"/>
      <c r="E9" s="478"/>
      <c r="F9" s="478"/>
      <c r="G9" s="478"/>
      <c r="H9" s="478"/>
      <c r="I9" s="478"/>
      <c r="J9" s="478"/>
      <c r="K9" s="478"/>
      <c r="L9" s="478"/>
      <c r="M9" s="478"/>
      <c r="N9" s="478"/>
      <c r="O9" s="478"/>
      <c r="P9" s="478"/>
    </row>
    <row r="10" spans="2:16">
      <c r="B10" s="478" t="s">
        <v>5466</v>
      </c>
      <c r="C10" s="1132">
        <v>715</v>
      </c>
      <c r="D10" s="485">
        <f t="shared" ref="D10:P10" si="4">D11*D7</f>
        <v>718.57500000000005</v>
      </c>
      <c r="E10" s="485">
        <f t="shared" si="4"/>
        <v>722.16787499999998</v>
      </c>
      <c r="F10" s="485">
        <f t="shared" si="4"/>
        <v>725.77871437499994</v>
      </c>
      <c r="G10" s="485">
        <f t="shared" si="4"/>
        <v>729.40760794687492</v>
      </c>
      <c r="H10" s="485">
        <f t="shared" si="4"/>
        <v>733.05464598660933</v>
      </c>
      <c r="I10" s="485">
        <f t="shared" si="4"/>
        <v>736.71991921654205</v>
      </c>
      <c r="J10" s="485">
        <f t="shared" si="4"/>
        <v>740.40351881262484</v>
      </c>
      <c r="K10" s="485">
        <f t="shared" si="4"/>
        <v>744.10553640668797</v>
      </c>
      <c r="L10" s="485">
        <f t="shared" si="4"/>
        <v>747.8260640887213</v>
      </c>
      <c r="M10" s="485">
        <f t="shared" si="4"/>
        <v>751.56519440916497</v>
      </c>
      <c r="N10" s="485">
        <f t="shared" si="4"/>
        <v>755.32302038121054</v>
      </c>
      <c r="O10" s="485">
        <f t="shared" si="4"/>
        <v>759.09963548311669</v>
      </c>
      <c r="P10" s="485">
        <f t="shared" si="4"/>
        <v>762.89513366053211</v>
      </c>
    </row>
    <row r="11" spans="2:16">
      <c r="B11" s="478" t="s">
        <v>5476</v>
      </c>
      <c r="C11" s="486">
        <f>C10/C7</f>
        <v>0.71499999999999997</v>
      </c>
      <c r="D11" s="680">
        <f t="shared" ref="D11:P11" si="5">C11</f>
        <v>0.71499999999999997</v>
      </c>
      <c r="E11" s="680">
        <f t="shared" si="5"/>
        <v>0.71499999999999997</v>
      </c>
      <c r="F11" s="680">
        <f t="shared" si="5"/>
        <v>0.71499999999999997</v>
      </c>
      <c r="G11" s="680">
        <f t="shared" si="5"/>
        <v>0.71499999999999997</v>
      </c>
      <c r="H11" s="680">
        <f t="shared" si="5"/>
        <v>0.71499999999999997</v>
      </c>
      <c r="I11" s="680">
        <f t="shared" si="5"/>
        <v>0.71499999999999997</v>
      </c>
      <c r="J11" s="680">
        <f t="shared" si="5"/>
        <v>0.71499999999999997</v>
      </c>
      <c r="K11" s="680">
        <f t="shared" si="5"/>
        <v>0.71499999999999997</v>
      </c>
      <c r="L11" s="680">
        <f t="shared" si="5"/>
        <v>0.71499999999999997</v>
      </c>
      <c r="M11" s="680">
        <f t="shared" si="5"/>
        <v>0.71499999999999997</v>
      </c>
      <c r="N11" s="680">
        <f t="shared" si="5"/>
        <v>0.71499999999999997</v>
      </c>
      <c r="O11" s="680">
        <f t="shared" si="5"/>
        <v>0.71499999999999997</v>
      </c>
      <c r="P11" s="680">
        <f t="shared" si="5"/>
        <v>0.71499999999999997</v>
      </c>
    </row>
    <row r="12" spans="2:16">
      <c r="B12" s="478"/>
      <c r="C12" s="478"/>
      <c r="D12" s="478"/>
      <c r="E12" s="478"/>
      <c r="F12" s="478"/>
      <c r="G12" s="478"/>
      <c r="H12" s="478"/>
      <c r="I12" s="478"/>
      <c r="J12" s="478"/>
      <c r="K12" s="478"/>
      <c r="L12" s="478"/>
      <c r="M12" s="478"/>
      <c r="N12" s="478"/>
      <c r="O12" s="478"/>
      <c r="P12" s="478"/>
    </row>
    <row r="13" spans="2:16">
      <c r="B13" s="478" t="s">
        <v>560</v>
      </c>
      <c r="C13" s="1132">
        <v>500</v>
      </c>
      <c r="D13" s="485">
        <f t="shared" ref="D13:P13" si="6">D14*D10</f>
        <v>509.68575000000004</v>
      </c>
      <c r="E13" s="485">
        <f t="shared" si="6"/>
        <v>519.45585749999998</v>
      </c>
      <c r="F13" s="485">
        <f t="shared" si="6"/>
        <v>522.05313678749997</v>
      </c>
      <c r="G13" s="485">
        <f t="shared" si="6"/>
        <v>524.66340247143739</v>
      </c>
      <c r="H13" s="485">
        <f t="shared" si="6"/>
        <v>527.28671948379463</v>
      </c>
      <c r="I13" s="485">
        <f t="shared" si="6"/>
        <v>529.9231530812134</v>
      </c>
      <c r="J13" s="485">
        <f t="shared" si="6"/>
        <v>532.57276884661951</v>
      </c>
      <c r="K13" s="485">
        <f t="shared" si="6"/>
        <v>535.23563269085264</v>
      </c>
      <c r="L13" s="485">
        <f t="shared" si="6"/>
        <v>537.91181085430674</v>
      </c>
      <c r="M13" s="485">
        <f t="shared" si="6"/>
        <v>540.60136990857836</v>
      </c>
      <c r="N13" s="485">
        <f t="shared" si="6"/>
        <v>543.30437675812107</v>
      </c>
      <c r="O13" s="485">
        <f t="shared" si="6"/>
        <v>546.0208986419118</v>
      </c>
      <c r="P13" s="485">
        <f t="shared" si="6"/>
        <v>548.75100313512121</v>
      </c>
    </row>
    <row r="14" spans="2:16">
      <c r="B14" s="478" t="s">
        <v>5467</v>
      </c>
      <c r="C14" s="486">
        <f>C13/C10</f>
        <v>0.69930069930069927</v>
      </c>
      <c r="D14" s="1153">
        <f>C14+1%</f>
        <v>0.70930069930069928</v>
      </c>
      <c r="E14" s="1153">
        <f>D14+1%</f>
        <v>0.71930069930069929</v>
      </c>
      <c r="F14" s="1153">
        <f t="shared" ref="F14:P14" si="7">E14</f>
        <v>0.71930069930069929</v>
      </c>
      <c r="G14" s="1153">
        <f t="shared" si="7"/>
        <v>0.71930069930069929</v>
      </c>
      <c r="H14" s="1153">
        <f t="shared" si="7"/>
        <v>0.71930069930069929</v>
      </c>
      <c r="I14" s="1153">
        <f t="shared" si="7"/>
        <v>0.71930069930069929</v>
      </c>
      <c r="J14" s="1153">
        <f t="shared" si="7"/>
        <v>0.71930069930069929</v>
      </c>
      <c r="K14" s="1153">
        <f t="shared" si="7"/>
        <v>0.71930069930069929</v>
      </c>
      <c r="L14" s="1157">
        <f t="shared" si="7"/>
        <v>0.71930069930069929</v>
      </c>
      <c r="M14" s="1153">
        <f t="shared" si="7"/>
        <v>0.71930069930069929</v>
      </c>
      <c r="N14" s="1153">
        <f t="shared" si="7"/>
        <v>0.71930069930069929</v>
      </c>
      <c r="O14" s="1153">
        <f t="shared" si="7"/>
        <v>0.71930069930069929</v>
      </c>
      <c r="P14" s="1153">
        <f t="shared" si="7"/>
        <v>0.71930069930069929</v>
      </c>
    </row>
    <row r="15" spans="2:16">
      <c r="B15" s="478"/>
      <c r="C15" s="478"/>
      <c r="D15" s="478"/>
      <c r="E15" s="478"/>
      <c r="F15" s="478"/>
      <c r="G15" s="478"/>
      <c r="H15" s="478"/>
      <c r="I15" s="478"/>
      <c r="J15" s="478"/>
      <c r="K15" s="478"/>
      <c r="L15" s="478"/>
      <c r="M15" s="478"/>
      <c r="N15" s="478"/>
      <c r="O15" s="478"/>
      <c r="P15" s="478"/>
    </row>
    <row r="16" spans="2:16">
      <c r="B16" s="478" t="s">
        <v>3864</v>
      </c>
      <c r="C16" s="491">
        <f t="shared" ref="C16:P16" si="8">C17*C13</f>
        <v>1125</v>
      </c>
      <c r="D16" s="491">
        <f t="shared" si="8"/>
        <v>1146.7929375000001</v>
      </c>
      <c r="E16" s="491">
        <f t="shared" si="8"/>
        <v>1168.775679375</v>
      </c>
      <c r="F16" s="491">
        <f t="shared" si="8"/>
        <v>1174.619557771875</v>
      </c>
      <c r="G16" s="491">
        <f t="shared" si="8"/>
        <v>1180.4926555607342</v>
      </c>
      <c r="H16" s="491">
        <f t="shared" si="8"/>
        <v>1186.3951188385379</v>
      </c>
      <c r="I16" s="491">
        <f t="shared" si="8"/>
        <v>1192.3270944327301</v>
      </c>
      <c r="J16" s="491">
        <f t="shared" si="8"/>
        <v>1198.2887299048939</v>
      </c>
      <c r="K16" s="491">
        <f t="shared" si="8"/>
        <v>1204.2801735544185</v>
      </c>
      <c r="L16" s="491">
        <f t="shared" si="8"/>
        <v>1210.3015744221902</v>
      </c>
      <c r="M16" s="491">
        <f t="shared" si="8"/>
        <v>1216.3530822943012</v>
      </c>
      <c r="N16" s="491">
        <f t="shared" si="8"/>
        <v>1222.4348477057724</v>
      </c>
      <c r="O16" s="491">
        <f t="shared" si="8"/>
        <v>1228.5470219443016</v>
      </c>
      <c r="P16" s="491">
        <f t="shared" si="8"/>
        <v>1234.6897570540227</v>
      </c>
    </row>
    <row r="17" spans="2:16">
      <c r="B17" s="478" t="s">
        <v>5468</v>
      </c>
      <c r="C17" s="1151">
        <v>2.25</v>
      </c>
      <c r="D17" s="1152">
        <f t="shared" ref="D17:P17" si="9">C17</f>
        <v>2.25</v>
      </c>
      <c r="E17" s="1152">
        <f t="shared" si="9"/>
        <v>2.25</v>
      </c>
      <c r="F17" s="1152">
        <f t="shared" si="9"/>
        <v>2.25</v>
      </c>
      <c r="G17" s="1152">
        <f t="shared" si="9"/>
        <v>2.25</v>
      </c>
      <c r="H17" s="1152">
        <f t="shared" si="9"/>
        <v>2.25</v>
      </c>
      <c r="I17" s="1152">
        <f t="shared" si="9"/>
        <v>2.25</v>
      </c>
      <c r="J17" s="1152">
        <f t="shared" si="9"/>
        <v>2.25</v>
      </c>
      <c r="K17" s="1152">
        <f t="shared" si="9"/>
        <v>2.25</v>
      </c>
      <c r="L17" s="1152">
        <f t="shared" si="9"/>
        <v>2.25</v>
      </c>
      <c r="M17" s="1152">
        <f t="shared" si="9"/>
        <v>2.25</v>
      </c>
      <c r="N17" s="1152">
        <f t="shared" si="9"/>
        <v>2.25</v>
      </c>
      <c r="O17" s="1152">
        <f t="shared" si="9"/>
        <v>2.25</v>
      </c>
      <c r="P17" s="1152">
        <f t="shared" si="9"/>
        <v>2.25</v>
      </c>
    </row>
    <row r="18" spans="2:16">
      <c r="B18" s="478"/>
      <c r="C18" s="478"/>
      <c r="D18" s="953"/>
      <c r="E18" s="486"/>
      <c r="F18" s="478"/>
      <c r="G18" s="478"/>
      <c r="H18" s="478"/>
      <c r="I18" s="478"/>
      <c r="J18" s="478"/>
      <c r="K18" s="478"/>
      <c r="L18" s="478"/>
      <c r="M18" s="478"/>
      <c r="N18" s="478"/>
      <c r="O18" s="478"/>
      <c r="P18" s="478"/>
    </row>
    <row r="19" spans="2:16">
      <c r="B19" s="1134" t="s">
        <v>758</v>
      </c>
      <c r="C19" s="1135">
        <f>'New (new) quarts'!R6+'New (new) quarts'!S6+'New (new) quarts'!T6+'New (new) quarts'!U6</f>
        <v>374.09999999999997</v>
      </c>
      <c r="D19" s="1135">
        <f>195*2.05</f>
        <v>399.74999999999994</v>
      </c>
      <c r="E19">
        <f>'New (new) quarts'!AJ6</f>
        <v>395</v>
      </c>
      <c r="F19" s="1136">
        <f t="shared" ref="F19:P19" si="10">F26*12*AVERAGE(E16,F16)/1000</f>
        <v>357.38315110255775</v>
      </c>
      <c r="G19" s="1136">
        <f t="shared" si="10"/>
        <v>407.65802588391</v>
      </c>
      <c r="H19" s="1136">
        <f t="shared" si="10"/>
        <v>433.04900602608933</v>
      </c>
      <c r="I19" s="1136">
        <f t="shared" si="10"/>
        <v>461.32710611959283</v>
      </c>
      <c r="J19" s="1136">
        <f t="shared" si="10"/>
        <v>509.99711581520984</v>
      </c>
      <c r="K19" s="1136">
        <f t="shared" si="10"/>
        <v>522.79804342217176</v>
      </c>
      <c r="L19" s="1136">
        <f t="shared" si="10"/>
        <v>530.66615397567546</v>
      </c>
      <c r="M19" s="1136">
        <f t="shared" si="10"/>
        <v>538.65267959300934</v>
      </c>
      <c r="N19" s="1136">
        <f t="shared" si="10"/>
        <v>546.75940242088404</v>
      </c>
      <c r="O19" s="1136">
        <f t="shared" si="10"/>
        <v>554.98813142731831</v>
      </c>
      <c r="P19" s="1136">
        <f t="shared" si="10"/>
        <v>563.34070280529943</v>
      </c>
    </row>
    <row r="20" spans="2:16">
      <c r="B20" s="478" t="s">
        <v>401</v>
      </c>
      <c r="C20" s="953"/>
      <c r="D20" s="486">
        <f t="shared" ref="D20:P20" si="11">D19/C19-1</f>
        <v>6.856455493183633E-2</v>
      </c>
      <c r="E20" s="486">
        <f t="shared" si="11"/>
        <v>-1.1882426516572675E-2</v>
      </c>
      <c r="F20" s="486">
        <f t="shared" si="11"/>
        <v>-9.5232528854284237E-2</v>
      </c>
      <c r="G20" s="486">
        <f t="shared" si="11"/>
        <v>0.14067499999999988</v>
      </c>
      <c r="H20" s="486">
        <f t="shared" si="11"/>
        <v>6.2284999999999924E-2</v>
      </c>
      <c r="I20" s="486">
        <f t="shared" si="11"/>
        <v>6.5299999999999692E-2</v>
      </c>
      <c r="J20" s="486">
        <f t="shared" si="11"/>
        <v>0.10549999999999993</v>
      </c>
      <c r="K20" s="486">
        <f t="shared" si="11"/>
        <v>2.5100000000000344E-2</v>
      </c>
      <c r="L20" s="486">
        <f t="shared" si="11"/>
        <v>1.5050000000000008E-2</v>
      </c>
      <c r="M20" s="486">
        <f t="shared" si="11"/>
        <v>1.5050000000000008E-2</v>
      </c>
      <c r="N20" s="486">
        <f t="shared" si="11"/>
        <v>1.5049999999999786E-2</v>
      </c>
      <c r="O20" s="486">
        <f t="shared" si="11"/>
        <v>1.5050000000000008E-2</v>
      </c>
      <c r="P20" s="486">
        <f t="shared" si="11"/>
        <v>1.5050000000000008E-2</v>
      </c>
    </row>
    <row r="21" spans="2:16">
      <c r="B21" s="478"/>
      <c r="C21" s="953"/>
      <c r="D21" s="486"/>
      <c r="E21" s="486"/>
      <c r="F21" s="486"/>
      <c r="G21" s="486"/>
      <c r="H21" s="486"/>
      <c r="I21" s="486"/>
      <c r="J21" s="486"/>
      <c r="K21" s="486"/>
      <c r="L21" s="486"/>
      <c r="M21" s="486"/>
      <c r="N21" s="486"/>
      <c r="O21" s="486"/>
      <c r="P21" s="486"/>
    </row>
    <row r="22" spans="2:16">
      <c r="B22" s="478" t="s">
        <v>3090</v>
      </c>
      <c r="C22" s="1158">
        <v>15</v>
      </c>
      <c r="D22" s="1158">
        <v>15</v>
      </c>
      <c r="E22" s="1132">
        <v>0</v>
      </c>
      <c r="F22" s="1132">
        <v>0</v>
      </c>
      <c r="G22" s="1132">
        <v>20</v>
      </c>
      <c r="H22" s="1274">
        <v>29</v>
      </c>
      <c r="I22" s="1521">
        <v>45</v>
      </c>
      <c r="J22" s="1521">
        <v>62</v>
      </c>
      <c r="K22" s="953">
        <f t="shared" ref="K22:P22" si="12">J22/J19*K19</f>
        <v>63.556200000000025</v>
      </c>
      <c r="L22" s="953">
        <f t="shared" si="12"/>
        <v>64.512720810000019</v>
      </c>
      <c r="M22" s="953">
        <f t="shared" si="12"/>
        <v>65.483637258190512</v>
      </c>
      <c r="N22" s="953">
        <f t="shared" si="12"/>
        <v>66.469165998926272</v>
      </c>
      <c r="O22" s="953">
        <f t="shared" si="12"/>
        <v>67.469526947210099</v>
      </c>
      <c r="P22" s="953">
        <f t="shared" si="12"/>
        <v>68.484943327765606</v>
      </c>
    </row>
    <row r="23" spans="2:16">
      <c r="B23" s="478" t="s">
        <v>1531</v>
      </c>
      <c r="C23" s="1135">
        <f>'New (new) quarts'!R42+'New (new) quarts'!S42+'New (new) quarts'!T42+'New (new) quarts'!U42</f>
        <v>359.13600000000002</v>
      </c>
      <c r="D23" s="485">
        <f t="shared" ref="D23:P23" si="13">D19-D22</f>
        <v>384.74999999999994</v>
      </c>
      <c r="E23" s="485">
        <f>E19-E22</f>
        <v>395</v>
      </c>
      <c r="F23" s="485">
        <f t="shared" si="13"/>
        <v>357.38315110255775</v>
      </c>
      <c r="G23" s="485">
        <f t="shared" si="13"/>
        <v>387.65802588391</v>
      </c>
      <c r="H23" s="485">
        <f t="shared" si="13"/>
        <v>404.04900602608933</v>
      </c>
      <c r="I23" s="485">
        <f t="shared" si="13"/>
        <v>416.32710611959283</v>
      </c>
      <c r="J23" s="485">
        <f t="shared" si="13"/>
        <v>447.99711581520984</v>
      </c>
      <c r="K23" s="485">
        <f t="shared" si="13"/>
        <v>459.24184342217171</v>
      </c>
      <c r="L23" s="485">
        <f t="shared" si="13"/>
        <v>466.15343316567544</v>
      </c>
      <c r="M23" s="485">
        <f t="shared" si="13"/>
        <v>473.16904233481881</v>
      </c>
      <c r="N23" s="485">
        <f t="shared" si="13"/>
        <v>480.29023642195779</v>
      </c>
      <c r="O23" s="485">
        <f t="shared" si="13"/>
        <v>487.51860448010819</v>
      </c>
      <c r="P23" s="485">
        <f t="shared" si="13"/>
        <v>494.85575947753381</v>
      </c>
    </row>
    <row r="24" spans="2:16">
      <c r="B24" s="478" t="s">
        <v>153</v>
      </c>
      <c r="C24" s="953"/>
      <c r="D24" s="486">
        <f t="shared" ref="D24:P24" si="14">D23/C23-1</f>
        <v>7.1321170809943712E-2</v>
      </c>
      <c r="E24" s="486">
        <f t="shared" si="14"/>
        <v>2.6640675763482946E-2</v>
      </c>
      <c r="F24" s="486">
        <f>F23/E23-1</f>
        <v>-9.5232528854284237E-2</v>
      </c>
      <c r="G24" s="486">
        <f t="shared" si="14"/>
        <v>8.471265275923523E-2</v>
      </c>
      <c r="H24" s="486">
        <f t="shared" si="14"/>
        <v>4.2282060599173166E-2</v>
      </c>
      <c r="I24" s="486">
        <f t="shared" si="14"/>
        <v>3.0387650780931974E-2</v>
      </c>
      <c r="J24" s="486">
        <f t="shared" si="14"/>
        <v>7.6070016172618882E-2</v>
      </c>
      <c r="K24" s="486">
        <f t="shared" si="14"/>
        <v>2.5100000000000344E-2</v>
      </c>
      <c r="L24" s="486">
        <f t="shared" si="14"/>
        <v>1.5050000000000008E-2</v>
      </c>
      <c r="M24" s="486">
        <f t="shared" si="14"/>
        <v>1.5050000000000008E-2</v>
      </c>
      <c r="N24" s="486">
        <f t="shared" si="14"/>
        <v>1.5050000000000008E-2</v>
      </c>
      <c r="O24" s="486">
        <f t="shared" si="14"/>
        <v>1.5049999999999786E-2</v>
      </c>
      <c r="P24" s="486">
        <f t="shared" si="14"/>
        <v>1.5050000000000008E-2</v>
      </c>
    </row>
    <row r="25" spans="2:16">
      <c r="B25" s="478"/>
      <c r="C25" s="953"/>
      <c r="D25" s="486"/>
      <c r="E25" s="486"/>
      <c r="F25" s="486"/>
      <c r="G25" s="486"/>
      <c r="H25" s="486"/>
      <c r="I25" s="486"/>
      <c r="J25" s="486"/>
      <c r="K25" s="486"/>
      <c r="L25" s="486"/>
      <c r="M25" s="486"/>
      <c r="N25" s="486"/>
      <c r="O25" s="486"/>
      <c r="P25" s="486"/>
    </row>
    <row r="26" spans="2:16">
      <c r="B26" s="478" t="s">
        <v>5469</v>
      </c>
      <c r="C26" s="953">
        <f>C19*1000/C16/12</f>
        <v>27.711111111111109</v>
      </c>
      <c r="D26" s="953">
        <f t="shared" ref="D26:P26" si="15">(1+D27)*C26</f>
        <v>28.542444444444442</v>
      </c>
      <c r="E26" s="953">
        <f t="shared" si="15"/>
        <v>28.399732222222219</v>
      </c>
      <c r="F26" s="953">
        <f t="shared" si="15"/>
        <v>25.417760338888886</v>
      </c>
      <c r="G26" s="953">
        <f t="shared" si="15"/>
        <v>28.849157984638886</v>
      </c>
      <c r="H26" s="953">
        <f t="shared" si="15"/>
        <v>30.493559989763302</v>
      </c>
      <c r="I26" s="953">
        <f t="shared" si="15"/>
        <v>32.3231735891491</v>
      </c>
      <c r="J26" s="953">
        <f t="shared" si="15"/>
        <v>35.555490948064012</v>
      </c>
      <c r="K26" s="953">
        <f t="shared" si="15"/>
        <v>36.266600767025295</v>
      </c>
      <c r="L26" s="953">
        <f t="shared" si="15"/>
        <v>36.629266774695552</v>
      </c>
      <c r="M26" s="953">
        <f t="shared" si="15"/>
        <v>36.995559442442506</v>
      </c>
      <c r="N26" s="953">
        <f t="shared" si="15"/>
        <v>37.365515036866931</v>
      </c>
      <c r="O26" s="953">
        <f t="shared" si="15"/>
        <v>37.739170187235601</v>
      </c>
      <c r="P26" s="953">
        <f t="shared" si="15"/>
        <v>38.116561889107956</v>
      </c>
    </row>
    <row r="27" spans="2:16">
      <c r="B27" s="478"/>
      <c r="C27" s="953"/>
      <c r="D27" s="678">
        <v>0.03</v>
      </c>
      <c r="E27" s="678">
        <v>-5.0000000000000001E-3</v>
      </c>
      <c r="F27" s="678">
        <v>-0.105</v>
      </c>
      <c r="G27" s="678">
        <v>0.13500000000000001</v>
      </c>
      <c r="H27" s="678">
        <v>5.7000000000000002E-2</v>
      </c>
      <c r="I27" s="678">
        <v>0.06</v>
      </c>
      <c r="J27" s="678">
        <v>0.1</v>
      </c>
      <c r="K27" s="678">
        <v>0.02</v>
      </c>
      <c r="L27" s="678">
        <v>0.01</v>
      </c>
      <c r="M27" s="678">
        <v>0.01</v>
      </c>
      <c r="N27" s="678">
        <v>0.01</v>
      </c>
      <c r="O27" s="678">
        <v>0.01</v>
      </c>
      <c r="P27" s="678">
        <v>0.01</v>
      </c>
    </row>
    <row r="28" spans="2:16">
      <c r="B28" s="478"/>
      <c r="C28" s="478"/>
      <c r="D28" s="478"/>
      <c r="E28" s="478"/>
      <c r="F28" s="478"/>
      <c r="G28" s="478"/>
      <c r="H28" s="478"/>
      <c r="I28" s="478"/>
      <c r="J28" s="478"/>
      <c r="K28" s="478"/>
      <c r="L28" s="478"/>
      <c r="M28" s="478"/>
      <c r="N28" s="478"/>
      <c r="O28" s="478"/>
      <c r="P28" s="478"/>
    </row>
    <row r="29" spans="2:16">
      <c r="B29" s="1134" t="s">
        <v>360</v>
      </c>
      <c r="C29" s="1137">
        <f>'New (new) quarts'!R106+'New (new) quarts'!S106+'New (new) quarts'!T106+'New (new) quarts'!U106</f>
        <v>163</v>
      </c>
      <c r="D29" s="1137">
        <f>83*1.9</f>
        <v>157.69999999999999</v>
      </c>
      <c r="E29" s="1138">
        <f>'New (new) quarts'!AJ106</f>
        <v>185.1</v>
      </c>
      <c r="F29" s="1138">
        <f t="shared" ref="F29:P29" si="16">F31*F19</f>
        <v>150.10092346307425</v>
      </c>
      <c r="G29" s="1138">
        <f>G31*G19</f>
        <v>171.21637087124219</v>
      </c>
      <c r="H29" s="1138">
        <f t="shared" si="16"/>
        <v>195.30510171776629</v>
      </c>
      <c r="I29" s="1138">
        <f t="shared" si="16"/>
        <v>186.83747797843512</v>
      </c>
      <c r="J29" s="1138">
        <f t="shared" si="16"/>
        <v>220.57375259007824</v>
      </c>
      <c r="K29" s="1138">
        <f t="shared" si="16"/>
        <v>214.34719780309041</v>
      </c>
      <c r="L29" s="1138">
        <f t="shared" si="16"/>
        <v>222.87978466978367</v>
      </c>
      <c r="M29" s="1138">
        <f t="shared" si="16"/>
        <v>231.62065222499402</v>
      </c>
      <c r="N29" s="1138">
        <f t="shared" si="16"/>
        <v>240.57413706518898</v>
      </c>
      <c r="O29" s="1138">
        <f t="shared" si="16"/>
        <v>244.19477782802005</v>
      </c>
      <c r="P29" s="1138">
        <f t="shared" si="16"/>
        <v>247.86990923433174</v>
      </c>
    </row>
    <row r="30" spans="2:16">
      <c r="B30" s="1134" t="s">
        <v>2353</v>
      </c>
      <c r="C30" s="1138"/>
      <c r="D30" s="1156">
        <f t="shared" ref="D30:P30" si="17">D29/C29-1</f>
        <v>-3.2515337423312918E-2</v>
      </c>
      <c r="E30" s="1156">
        <f t="shared" si="17"/>
        <v>0.17374762206721628</v>
      </c>
      <c r="F30" s="1156">
        <f t="shared" si="17"/>
        <v>-0.18908199101526602</v>
      </c>
      <c r="G30" s="1156">
        <f t="shared" si="17"/>
        <v>0.14067499999999988</v>
      </c>
      <c r="H30" s="1156">
        <f t="shared" si="17"/>
        <v>0.14069175</v>
      </c>
      <c r="I30" s="1156">
        <f t="shared" si="17"/>
        <v>-4.3355875831485813E-2</v>
      </c>
      <c r="J30" s="1156">
        <f t="shared" si="17"/>
        <v>0.18056481481481446</v>
      </c>
      <c r="K30" s="1156">
        <f t="shared" si="17"/>
        <v>-2.8228901734103751E-2</v>
      </c>
      <c r="L30" s="1156">
        <f t="shared" si="17"/>
        <v>3.9807317073170756E-2</v>
      </c>
      <c r="M30" s="1156">
        <f t="shared" si="17"/>
        <v>3.9217857142857193E-2</v>
      </c>
      <c r="N30" s="1156">
        <f t="shared" si="17"/>
        <v>3.8655813953488272E-2</v>
      </c>
      <c r="O30" s="1156">
        <f t="shared" si="17"/>
        <v>1.5050000000000008E-2</v>
      </c>
      <c r="P30" s="1156">
        <f t="shared" si="17"/>
        <v>1.5050000000000008E-2</v>
      </c>
    </row>
    <row r="31" spans="2:16">
      <c r="B31" s="478" t="s">
        <v>361</v>
      </c>
      <c r="C31" s="486">
        <f>C29/C19</f>
        <v>0.43571237636995458</v>
      </c>
      <c r="D31" s="486">
        <f>D29/D19</f>
        <v>0.39449656035021891</v>
      </c>
      <c r="E31" s="486">
        <f>E29/E19</f>
        <v>0.46860759493670884</v>
      </c>
      <c r="F31" s="678">
        <v>0.42</v>
      </c>
      <c r="G31" s="678">
        <v>0.42</v>
      </c>
      <c r="H31" s="678">
        <v>0.45100000000000001</v>
      </c>
      <c r="I31" s="678">
        <v>0.40500000000000003</v>
      </c>
      <c r="J31" s="678">
        <v>0.4325</v>
      </c>
      <c r="K31" s="678">
        <v>0.41</v>
      </c>
      <c r="L31" s="678">
        <v>0.42</v>
      </c>
      <c r="M31" s="678">
        <v>0.43</v>
      </c>
      <c r="N31" s="678">
        <v>0.44</v>
      </c>
      <c r="O31" s="678">
        <v>0.44</v>
      </c>
      <c r="P31" s="678">
        <v>0.44</v>
      </c>
    </row>
    <row r="32" spans="2:16">
      <c r="B32" s="478"/>
      <c r="C32" s="478"/>
      <c r="D32" s="478"/>
      <c r="E32" s="478"/>
      <c r="F32" s="478"/>
      <c r="G32" s="478"/>
      <c r="H32" s="478"/>
      <c r="I32" s="478"/>
      <c r="J32" s="478"/>
      <c r="K32" s="478"/>
      <c r="L32" s="478"/>
      <c r="M32" s="478"/>
      <c r="N32" s="478"/>
      <c r="O32" s="478"/>
      <c r="P32" s="478"/>
    </row>
    <row r="33" spans="2:16">
      <c r="B33" s="478" t="s">
        <v>5483</v>
      </c>
      <c r="C33" s="478"/>
      <c r="D33" s="680">
        <f>140%</f>
        <v>1.4</v>
      </c>
      <c r="E33" s="984">
        <f>D33</f>
        <v>1.4</v>
      </c>
      <c r="F33" s="984">
        <v>1.6</v>
      </c>
      <c r="G33" s="984">
        <v>1.9</v>
      </c>
      <c r="H33" s="984">
        <v>1.6</v>
      </c>
      <c r="I33" s="984">
        <v>1.4</v>
      </c>
      <c r="J33" s="984">
        <v>0.1</v>
      </c>
      <c r="K33" s="984">
        <f t="shared" ref="K33:N33" si="18">J33-5%</f>
        <v>0.05</v>
      </c>
      <c r="L33" s="984">
        <f t="shared" si="18"/>
        <v>0</v>
      </c>
      <c r="M33" s="984">
        <f t="shared" si="18"/>
        <v>-0.05</v>
      </c>
      <c r="N33" s="984">
        <f t="shared" si="18"/>
        <v>-0.1</v>
      </c>
      <c r="O33" s="984">
        <f>N33</f>
        <v>-0.1</v>
      </c>
      <c r="P33" s="984">
        <f>O33</f>
        <v>-0.1</v>
      </c>
    </row>
    <row r="34" spans="2:16">
      <c r="B34" s="478" t="s">
        <v>2337</v>
      </c>
      <c r="C34" s="478"/>
      <c r="D34" s="485">
        <f t="shared" ref="D34:P34" si="19">D33*D51</f>
        <v>128.71949999999998</v>
      </c>
      <c r="E34" s="485">
        <f t="shared" si="19"/>
        <v>127.19</v>
      </c>
      <c r="F34" s="485">
        <f t="shared" si="19"/>
        <v>142.9532604410231</v>
      </c>
      <c r="G34" s="485">
        <f t="shared" si="19"/>
        <v>185.89205980306295</v>
      </c>
      <c r="H34" s="485">
        <f t="shared" si="19"/>
        <v>159.36203421760089</v>
      </c>
      <c r="I34" s="485">
        <f t="shared" si="19"/>
        <v>116.25443074213737</v>
      </c>
      <c r="J34" s="485">
        <f t="shared" si="19"/>
        <v>7.6499567372281483</v>
      </c>
      <c r="K34" s="485">
        <f t="shared" si="19"/>
        <v>3.6595863039552032</v>
      </c>
      <c r="L34" s="485">
        <f t="shared" si="19"/>
        <v>0</v>
      </c>
      <c r="M34" s="485">
        <f t="shared" si="19"/>
        <v>-3.5012424173545611</v>
      </c>
      <c r="N34" s="485">
        <f t="shared" si="19"/>
        <v>-7.1078722314714931</v>
      </c>
      <c r="O34" s="485">
        <f t="shared" si="19"/>
        <v>-7.2148457085551385</v>
      </c>
      <c r="P34" s="485">
        <f t="shared" si="19"/>
        <v>-7.323429136468893</v>
      </c>
    </row>
    <row r="35" spans="2:16">
      <c r="B35" s="478" t="s">
        <v>392</v>
      </c>
      <c r="C35" s="478"/>
      <c r="D35" s="485">
        <f t="shared" ref="D35:P35" si="20">D29-D34</f>
        <v>28.980500000000006</v>
      </c>
      <c r="E35" s="485">
        <f t="shared" si="20"/>
        <v>57.91</v>
      </c>
      <c r="F35" s="485">
        <f t="shared" si="20"/>
        <v>7.1476630220511481</v>
      </c>
      <c r="G35" s="485">
        <f t="shared" si="20"/>
        <v>-14.675688931820758</v>
      </c>
      <c r="H35" s="485">
        <f t="shared" si="20"/>
        <v>35.943067500165398</v>
      </c>
      <c r="I35" s="485">
        <f t="shared" si="20"/>
        <v>70.583047236297745</v>
      </c>
      <c r="J35" s="485">
        <f t="shared" si="20"/>
        <v>212.92379585285011</v>
      </c>
      <c r="K35" s="485">
        <f t="shared" si="20"/>
        <v>210.68761149913522</v>
      </c>
      <c r="L35" s="485">
        <f t="shared" si="20"/>
        <v>222.87978466978367</v>
      </c>
      <c r="M35" s="485">
        <f t="shared" si="20"/>
        <v>235.12189464234859</v>
      </c>
      <c r="N35" s="485">
        <f t="shared" si="20"/>
        <v>247.68200929666048</v>
      </c>
      <c r="O35" s="485">
        <f t="shared" si="20"/>
        <v>251.4096235365752</v>
      </c>
      <c r="P35" s="485">
        <f t="shared" si="20"/>
        <v>255.19333837080063</v>
      </c>
    </row>
    <row r="36" spans="2:16">
      <c r="B36" s="478"/>
      <c r="C36" s="478"/>
      <c r="D36" s="485"/>
      <c r="E36" s="485"/>
      <c r="F36" s="485"/>
      <c r="G36" s="485"/>
      <c r="H36" s="485"/>
      <c r="I36" s="485"/>
      <c r="J36" s="485"/>
      <c r="K36" s="485"/>
      <c r="L36" s="485"/>
      <c r="M36" s="485"/>
      <c r="N36" s="485"/>
      <c r="O36" s="485"/>
      <c r="P36" s="485"/>
    </row>
    <row r="37" spans="2:16">
      <c r="B37" s="478" t="s">
        <v>1382</v>
      </c>
      <c r="C37" s="478"/>
      <c r="D37" s="680">
        <v>0.06</v>
      </c>
      <c r="E37" s="984">
        <f t="shared" ref="E37:P37" si="21">D37</f>
        <v>0.06</v>
      </c>
      <c r="F37" s="984">
        <f t="shared" si="21"/>
        <v>0.06</v>
      </c>
      <c r="G37" s="984">
        <f t="shared" si="21"/>
        <v>0.06</v>
      </c>
      <c r="H37" s="984">
        <f t="shared" si="21"/>
        <v>0.06</v>
      </c>
      <c r="I37" s="984">
        <f t="shared" si="21"/>
        <v>0.06</v>
      </c>
      <c r="J37" s="984">
        <f t="shared" si="21"/>
        <v>0.06</v>
      </c>
      <c r="K37" s="984">
        <f t="shared" si="21"/>
        <v>0.06</v>
      </c>
      <c r="L37" s="984">
        <f t="shared" si="21"/>
        <v>0.06</v>
      </c>
      <c r="M37" s="984">
        <f t="shared" si="21"/>
        <v>0.06</v>
      </c>
      <c r="N37" s="984">
        <f t="shared" si="21"/>
        <v>0.06</v>
      </c>
      <c r="O37" s="984">
        <f t="shared" si="21"/>
        <v>0.06</v>
      </c>
      <c r="P37" s="984">
        <f t="shared" si="21"/>
        <v>0.06</v>
      </c>
    </row>
    <row r="38" spans="2:16">
      <c r="B38" s="478" t="s">
        <v>150</v>
      </c>
      <c r="C38" s="478"/>
      <c r="D38" s="485">
        <f>Onda!C92</f>
        <v>207.5</v>
      </c>
      <c r="E38" s="788">
        <v>857</v>
      </c>
      <c r="F38" s="788">
        <v>891</v>
      </c>
      <c r="G38" s="788">
        <v>872</v>
      </c>
      <c r="H38" s="485">
        <f t="shared" ref="H38:P38" si="22">G38-H56+H48</f>
        <v>824.61943654327558</v>
      </c>
      <c r="I38" s="485">
        <f t="shared" si="22"/>
        <v>777.8040994754416</v>
      </c>
      <c r="J38" s="485">
        <f t="shared" si="22"/>
        <v>726.29836322085737</v>
      </c>
      <c r="K38" s="485">
        <f t="shared" si="22"/>
        <v>677.15229437165476</v>
      </c>
      <c r="L38" s="485">
        <f t="shared" si="22"/>
        <v>618.31655588615479</v>
      </c>
      <c r="M38" s="485">
        <f t="shared" si="22"/>
        <v>554.83872566883917</v>
      </c>
      <c r="N38" s="485">
        <f t="shared" si="22"/>
        <v>486.60131324253024</v>
      </c>
      <c r="O38" s="485">
        <f t="shared" si="22"/>
        <v>416.74489838420538</v>
      </c>
      <c r="P38" s="485">
        <f t="shared" si="22"/>
        <v>345.24511510726268</v>
      </c>
    </row>
    <row r="39" spans="2:16">
      <c r="B39" s="478" t="s">
        <v>3055</v>
      </c>
      <c r="C39" s="478"/>
      <c r="D39" s="1154">
        <f t="shared" ref="D39:P39" si="23">D38/D29</f>
        <v>1.3157894736842106</v>
      </c>
      <c r="E39" s="1154">
        <f t="shared" si="23"/>
        <v>4.629929767693139</v>
      </c>
      <c r="F39" s="1154">
        <f t="shared" si="23"/>
        <v>5.9360061180382511</v>
      </c>
      <c r="G39" s="1154">
        <f t="shared" si="23"/>
        <v>5.0929709324101946</v>
      </c>
      <c r="H39" s="1154">
        <f t="shared" si="23"/>
        <v>4.2222114491147602</v>
      </c>
      <c r="I39" s="1154">
        <f t="shared" si="23"/>
        <v>4.1629982800625056</v>
      </c>
      <c r="J39" s="1154">
        <f t="shared" si="23"/>
        <v>3.2927687664208847</v>
      </c>
      <c r="K39" s="1154">
        <f t="shared" si="23"/>
        <v>3.159137610904152</v>
      </c>
      <c r="L39" s="1154">
        <f t="shared" si="23"/>
        <v>2.7742155117488383</v>
      </c>
      <c r="M39" s="1154">
        <f t="shared" si="23"/>
        <v>2.39546310028466</v>
      </c>
      <c r="N39" s="1154">
        <f t="shared" si="23"/>
        <v>2.0226667719925131</v>
      </c>
      <c r="O39" s="1154">
        <f t="shared" si="23"/>
        <v>1.7066085609648369</v>
      </c>
      <c r="P39" s="1154">
        <f t="shared" si="23"/>
        <v>1.3928480313472587</v>
      </c>
    </row>
    <row r="40" spans="2:16">
      <c r="B40" s="478"/>
      <c r="C40" s="478"/>
      <c r="D40" s="485"/>
      <c r="E40" s="485"/>
      <c r="F40" s="485"/>
      <c r="G40" s="485"/>
      <c r="H40" s="485"/>
      <c r="I40" s="485"/>
      <c r="J40" s="485"/>
      <c r="K40" s="485"/>
      <c r="L40" s="485"/>
      <c r="M40" s="485"/>
      <c r="N40" s="485"/>
      <c r="O40" s="485"/>
      <c r="P40" s="485"/>
    </row>
    <row r="41" spans="2:16">
      <c r="B41" s="478" t="s">
        <v>5481</v>
      </c>
      <c r="C41" s="478"/>
      <c r="D41" s="485">
        <f>D37*D38</f>
        <v>12.45</v>
      </c>
      <c r="E41" s="1117">
        <f t="shared" ref="E41:P41" si="24">D41</f>
        <v>12.45</v>
      </c>
      <c r="F41" s="1117">
        <f t="shared" si="24"/>
        <v>12.45</v>
      </c>
      <c r="G41" s="1117">
        <f t="shared" si="24"/>
        <v>12.45</v>
      </c>
      <c r="H41" s="1117">
        <f t="shared" si="24"/>
        <v>12.45</v>
      </c>
      <c r="I41" s="1117">
        <f t="shared" si="24"/>
        <v>12.45</v>
      </c>
      <c r="J41" s="1117">
        <f t="shared" si="24"/>
        <v>12.45</v>
      </c>
      <c r="K41" s="1117">
        <f t="shared" si="24"/>
        <v>12.45</v>
      </c>
      <c r="L41" s="1117">
        <f t="shared" si="24"/>
        <v>12.45</v>
      </c>
      <c r="M41" s="1117">
        <f t="shared" si="24"/>
        <v>12.45</v>
      </c>
      <c r="N41" s="1117">
        <f t="shared" si="24"/>
        <v>12.45</v>
      </c>
      <c r="O41" s="1117">
        <f t="shared" si="24"/>
        <v>12.45</v>
      </c>
      <c r="P41" s="1117">
        <f t="shared" si="24"/>
        <v>12.45</v>
      </c>
    </row>
    <row r="42" spans="2:16">
      <c r="B42" s="478" t="s">
        <v>4863</v>
      </c>
      <c r="C42" s="478"/>
      <c r="D42" s="485">
        <f t="shared" ref="D42:P42" si="25">D35-D41</f>
        <v>16.530500000000007</v>
      </c>
      <c r="E42" s="485">
        <f t="shared" si="25"/>
        <v>45.459999999999994</v>
      </c>
      <c r="F42" s="485">
        <f t="shared" si="25"/>
        <v>-5.3023369779488512</v>
      </c>
      <c r="G42" s="485">
        <f t="shared" si="25"/>
        <v>-27.125688931820758</v>
      </c>
      <c r="H42" s="485">
        <f t="shared" si="25"/>
        <v>23.493067500165399</v>
      </c>
      <c r="I42" s="485">
        <f t="shared" si="25"/>
        <v>58.133047236297742</v>
      </c>
      <c r="J42" s="485">
        <f t="shared" si="25"/>
        <v>200.47379585285012</v>
      </c>
      <c r="K42" s="485">
        <f t="shared" si="25"/>
        <v>198.23761149913523</v>
      </c>
      <c r="L42" s="485">
        <f t="shared" si="25"/>
        <v>210.42978466978369</v>
      </c>
      <c r="M42" s="485">
        <f t="shared" si="25"/>
        <v>222.6718946423486</v>
      </c>
      <c r="N42" s="485">
        <f t="shared" si="25"/>
        <v>235.23200929666049</v>
      </c>
      <c r="O42" s="485">
        <f t="shared" si="25"/>
        <v>238.95962353657521</v>
      </c>
      <c r="P42" s="485">
        <f t="shared" si="25"/>
        <v>242.74333837080064</v>
      </c>
    </row>
    <row r="43" spans="2:16">
      <c r="B43" s="478"/>
      <c r="C43" s="478"/>
      <c r="D43" s="485"/>
      <c r="E43" s="485"/>
      <c r="F43" s="485"/>
      <c r="G43" s="485"/>
      <c r="H43" s="485"/>
      <c r="I43" s="485"/>
      <c r="J43" s="485"/>
      <c r="K43" s="485"/>
      <c r="L43" s="485"/>
      <c r="M43" s="485"/>
      <c r="N43" s="485"/>
      <c r="O43" s="485"/>
      <c r="P43" s="485"/>
    </row>
    <row r="44" spans="2:16">
      <c r="B44" s="478" t="s">
        <v>682</v>
      </c>
      <c r="C44" s="478"/>
      <c r="D44" s="486">
        <f>C66</f>
        <v>0.25</v>
      </c>
      <c r="E44" s="984">
        <f t="shared" ref="E44:P44" si="26">D44</f>
        <v>0.25</v>
      </c>
      <c r="F44" s="984">
        <f t="shared" si="26"/>
        <v>0.25</v>
      </c>
      <c r="G44" s="984">
        <f t="shared" si="26"/>
        <v>0.25</v>
      </c>
      <c r="H44" s="984">
        <f t="shared" si="26"/>
        <v>0.25</v>
      </c>
      <c r="I44" s="984">
        <f t="shared" si="26"/>
        <v>0.25</v>
      </c>
      <c r="J44" s="984">
        <f t="shared" si="26"/>
        <v>0.25</v>
      </c>
      <c r="K44" s="984">
        <f t="shared" si="26"/>
        <v>0.25</v>
      </c>
      <c r="L44" s="984">
        <f t="shared" si="26"/>
        <v>0.25</v>
      </c>
      <c r="M44" s="984">
        <f t="shared" si="26"/>
        <v>0.25</v>
      </c>
      <c r="N44" s="984">
        <f t="shared" si="26"/>
        <v>0.25</v>
      </c>
      <c r="O44" s="984">
        <f t="shared" si="26"/>
        <v>0.25</v>
      </c>
      <c r="P44" s="984">
        <f t="shared" si="26"/>
        <v>0.25</v>
      </c>
    </row>
    <row r="45" spans="2:16">
      <c r="B45" s="478" t="s">
        <v>5482</v>
      </c>
      <c r="C45" s="478"/>
      <c r="D45" s="485">
        <f t="shared" ref="D45:P45" si="27">D44*D42</f>
        <v>4.1326250000000018</v>
      </c>
      <c r="E45" s="485">
        <f t="shared" si="27"/>
        <v>11.364999999999998</v>
      </c>
      <c r="F45" s="485">
        <f t="shared" si="27"/>
        <v>-1.3255842444872128</v>
      </c>
      <c r="G45" s="485">
        <f t="shared" si="27"/>
        <v>-6.7814222329551894</v>
      </c>
      <c r="H45" s="485">
        <f t="shared" si="27"/>
        <v>5.8732668750413497</v>
      </c>
      <c r="I45" s="485">
        <f t="shared" si="27"/>
        <v>14.533261809074435</v>
      </c>
      <c r="J45" s="485">
        <f t="shared" si="27"/>
        <v>50.118448963212529</v>
      </c>
      <c r="K45" s="485">
        <f t="shared" si="27"/>
        <v>49.559402874783807</v>
      </c>
      <c r="L45" s="485">
        <f t="shared" si="27"/>
        <v>52.607446167445922</v>
      </c>
      <c r="M45" s="485">
        <f t="shared" si="27"/>
        <v>55.667973660587151</v>
      </c>
      <c r="N45" s="485">
        <f t="shared" si="27"/>
        <v>58.808002324165123</v>
      </c>
      <c r="O45" s="485">
        <f t="shared" si="27"/>
        <v>59.739905884143802</v>
      </c>
      <c r="P45" s="485">
        <f t="shared" si="27"/>
        <v>60.685834592700161</v>
      </c>
    </row>
    <row r="46" spans="2:16">
      <c r="B46" s="478" t="s">
        <v>407</v>
      </c>
      <c r="C46" s="478"/>
      <c r="D46" s="485">
        <f t="shared" ref="D46:P46" si="28">D42-D45</f>
        <v>12.397875000000006</v>
      </c>
      <c r="E46" s="485">
        <f t="shared" si="28"/>
        <v>34.094999999999999</v>
      </c>
      <c r="F46" s="485">
        <f t="shared" si="28"/>
        <v>-3.9767527334616384</v>
      </c>
      <c r="G46" s="485">
        <f t="shared" si="28"/>
        <v>-20.344266698865567</v>
      </c>
      <c r="H46" s="485">
        <f t="shared" si="28"/>
        <v>17.61980062512405</v>
      </c>
      <c r="I46" s="485">
        <f t="shared" si="28"/>
        <v>43.59978542722331</v>
      </c>
      <c r="J46" s="485">
        <f t="shared" si="28"/>
        <v>150.35534688963759</v>
      </c>
      <c r="K46" s="485">
        <f t="shared" si="28"/>
        <v>148.67820862435141</v>
      </c>
      <c r="L46" s="485">
        <f t="shared" si="28"/>
        <v>157.82233850233777</v>
      </c>
      <c r="M46" s="485">
        <f t="shared" si="28"/>
        <v>167.00392098176144</v>
      </c>
      <c r="N46" s="485">
        <f t="shared" si="28"/>
        <v>176.42400697249536</v>
      </c>
      <c r="O46" s="485">
        <f t="shared" si="28"/>
        <v>179.2197176524314</v>
      </c>
      <c r="P46" s="485">
        <f t="shared" si="28"/>
        <v>182.05750377810048</v>
      </c>
    </row>
    <row r="47" spans="2:16">
      <c r="B47" s="478"/>
      <c r="C47" s="478"/>
      <c r="D47" s="478"/>
      <c r="E47" s="478"/>
      <c r="F47" s="478"/>
      <c r="G47" s="478"/>
      <c r="H47" s="478"/>
      <c r="I47" s="478"/>
      <c r="J47" s="478"/>
      <c r="K47" s="478"/>
      <c r="L47" s="478"/>
      <c r="M47" s="478"/>
      <c r="N47" s="478"/>
      <c r="O47" s="478"/>
      <c r="P47" s="478"/>
    </row>
    <row r="48" spans="2:16">
      <c r="B48" s="478" t="s">
        <v>538</v>
      </c>
      <c r="C48" s="478"/>
      <c r="D48" s="478"/>
      <c r="E48" s="1160">
        <v>30</v>
      </c>
      <c r="F48" s="1160">
        <v>30</v>
      </c>
      <c r="G48" s="1160">
        <v>30</v>
      </c>
      <c r="H48" s="1160">
        <v>30</v>
      </c>
      <c r="I48" s="1160">
        <v>30</v>
      </c>
      <c r="J48" s="1160">
        <v>30</v>
      </c>
      <c r="K48" s="1160">
        <v>30</v>
      </c>
      <c r="L48" s="1160">
        <v>30</v>
      </c>
      <c r="M48" s="1160">
        <v>30</v>
      </c>
      <c r="N48" s="1160">
        <v>30</v>
      </c>
      <c r="O48" s="1160">
        <v>30</v>
      </c>
      <c r="P48" s="1160">
        <v>30</v>
      </c>
    </row>
    <row r="49" spans="2:16">
      <c r="B49" s="478" t="s">
        <v>3367</v>
      </c>
      <c r="C49" s="478"/>
      <c r="D49" s="478"/>
      <c r="E49" s="485">
        <f t="shared" ref="E49:P49" si="29">E48*0.2</f>
        <v>6</v>
      </c>
      <c r="F49" s="485">
        <f t="shared" si="29"/>
        <v>6</v>
      </c>
      <c r="G49" s="485">
        <f t="shared" si="29"/>
        <v>6</v>
      </c>
      <c r="H49" s="485">
        <f t="shared" si="29"/>
        <v>6</v>
      </c>
      <c r="I49" s="485">
        <f t="shared" si="29"/>
        <v>6</v>
      </c>
      <c r="J49" s="485">
        <f t="shared" si="29"/>
        <v>6</v>
      </c>
      <c r="K49" s="485">
        <f t="shared" si="29"/>
        <v>6</v>
      </c>
      <c r="L49" s="485">
        <f t="shared" si="29"/>
        <v>6</v>
      </c>
      <c r="M49" s="485">
        <f t="shared" si="29"/>
        <v>6</v>
      </c>
      <c r="N49" s="485">
        <f t="shared" si="29"/>
        <v>6</v>
      </c>
      <c r="O49" s="485">
        <f t="shared" si="29"/>
        <v>6</v>
      </c>
      <c r="P49" s="485">
        <f t="shared" si="29"/>
        <v>6</v>
      </c>
    </row>
    <row r="50" spans="2:16">
      <c r="B50" s="478"/>
      <c r="C50" s="478"/>
      <c r="D50" s="478"/>
      <c r="E50" s="478"/>
      <c r="F50" s="478"/>
      <c r="G50" s="478"/>
      <c r="H50" s="478"/>
      <c r="I50" s="478"/>
      <c r="J50" s="478"/>
      <c r="K50" s="478"/>
      <c r="L50" s="478"/>
      <c r="M50" s="478"/>
      <c r="N50" s="478"/>
      <c r="O50" s="478"/>
      <c r="P50" s="478"/>
    </row>
    <row r="51" spans="2:16">
      <c r="B51" s="478" t="s">
        <v>1545</v>
      </c>
      <c r="C51" s="788">
        <f>16.8+21.2+22.6+24.7</f>
        <v>85.3</v>
      </c>
      <c r="D51" s="485">
        <f t="shared" ref="D51:P51" si="30">D52*D19</f>
        <v>91.942499999999995</v>
      </c>
      <c r="E51" s="485">
        <f t="shared" si="30"/>
        <v>90.850000000000009</v>
      </c>
      <c r="F51" s="485">
        <f t="shared" si="30"/>
        <v>89.345787775639437</v>
      </c>
      <c r="G51" s="485">
        <f t="shared" si="30"/>
        <v>97.837926212138399</v>
      </c>
      <c r="H51" s="485">
        <f t="shared" si="30"/>
        <v>99.601271386000548</v>
      </c>
      <c r="I51" s="485">
        <f t="shared" si="30"/>
        <v>83.038879101526703</v>
      </c>
      <c r="J51" s="485">
        <f t="shared" si="30"/>
        <v>76.499567372281476</v>
      </c>
      <c r="K51" s="485">
        <f t="shared" si="30"/>
        <v>73.191726079104058</v>
      </c>
      <c r="L51" s="485">
        <f t="shared" si="30"/>
        <v>68.986600016837812</v>
      </c>
      <c r="M51" s="485">
        <f t="shared" si="30"/>
        <v>70.024848347091222</v>
      </c>
      <c r="N51" s="485">
        <f t="shared" si="30"/>
        <v>71.078722314714923</v>
      </c>
      <c r="O51" s="485">
        <f t="shared" si="30"/>
        <v>72.148457085551385</v>
      </c>
      <c r="P51" s="485">
        <f t="shared" si="30"/>
        <v>73.234291364688929</v>
      </c>
    </row>
    <row r="52" spans="2:16">
      <c r="B52" s="478" t="s">
        <v>1431</v>
      </c>
      <c r="C52" s="486">
        <f>C51/C19</f>
        <v>0.22801390002673083</v>
      </c>
      <c r="D52" s="680">
        <v>0.23</v>
      </c>
      <c r="E52" s="680">
        <v>0.23</v>
      </c>
      <c r="F52" s="680">
        <v>0.25</v>
      </c>
      <c r="G52" s="680">
        <v>0.24</v>
      </c>
      <c r="H52" s="680">
        <v>0.23</v>
      </c>
      <c r="I52" s="680">
        <v>0.18</v>
      </c>
      <c r="J52" s="680">
        <v>0.15</v>
      </c>
      <c r="K52" s="680">
        <v>0.14000000000000001</v>
      </c>
      <c r="L52" s="680">
        <v>0.13</v>
      </c>
      <c r="M52" s="680">
        <v>0.13</v>
      </c>
      <c r="N52" s="680">
        <v>0.13</v>
      </c>
      <c r="O52" s="680">
        <v>0.13</v>
      </c>
      <c r="P52" s="680">
        <v>0.13</v>
      </c>
    </row>
    <row r="53" spans="2:16">
      <c r="B53" s="478"/>
      <c r="C53" s="478"/>
      <c r="D53" s="478"/>
      <c r="E53" s="478"/>
      <c r="F53" s="478"/>
      <c r="G53" s="478"/>
      <c r="H53" s="478"/>
      <c r="I53" s="478"/>
      <c r="J53" s="478"/>
      <c r="K53" s="478"/>
      <c r="L53" s="478"/>
      <c r="M53" s="478"/>
      <c r="N53" s="478"/>
      <c r="O53" s="478"/>
      <c r="P53" s="478"/>
    </row>
    <row r="54" spans="2:16">
      <c r="B54" s="478" t="s">
        <v>1552</v>
      </c>
      <c r="C54" s="485">
        <f t="shared" ref="C54:P54" si="31">C29-C51</f>
        <v>77.7</v>
      </c>
      <c r="D54" s="485">
        <f t="shared" si="31"/>
        <v>65.757499999999993</v>
      </c>
      <c r="E54" s="485">
        <f t="shared" si="31"/>
        <v>94.249999999999986</v>
      </c>
      <c r="F54" s="485">
        <f t="shared" si="31"/>
        <v>60.755135687434816</v>
      </c>
      <c r="G54" s="485">
        <f t="shared" si="31"/>
        <v>73.378444659103792</v>
      </c>
      <c r="H54" s="485">
        <f t="shared" si="31"/>
        <v>95.703830331765744</v>
      </c>
      <c r="I54" s="485">
        <f t="shared" si="31"/>
        <v>103.79859887690841</v>
      </c>
      <c r="J54" s="485">
        <f t="shared" si="31"/>
        <v>144.07418521779675</v>
      </c>
      <c r="K54" s="485">
        <f t="shared" si="31"/>
        <v>141.15547172398635</v>
      </c>
      <c r="L54" s="485">
        <f t="shared" si="31"/>
        <v>153.89318465294588</v>
      </c>
      <c r="M54" s="485">
        <f t="shared" si="31"/>
        <v>161.5958038779028</v>
      </c>
      <c r="N54" s="485">
        <f t="shared" si="31"/>
        <v>169.49541475047405</v>
      </c>
      <c r="O54" s="485">
        <f t="shared" si="31"/>
        <v>172.04632074246865</v>
      </c>
      <c r="P54" s="485">
        <f t="shared" si="31"/>
        <v>174.63561786964283</v>
      </c>
    </row>
    <row r="55" spans="2:16">
      <c r="B55" s="478" t="s">
        <v>5805</v>
      </c>
      <c r="C55" s="485"/>
      <c r="D55" s="485"/>
      <c r="E55">
        <v>100</v>
      </c>
      <c r="F55">
        <v>0</v>
      </c>
      <c r="G55">
        <f t="shared" ref="G55:P55" si="32">F55</f>
        <v>0</v>
      </c>
      <c r="H55">
        <f t="shared" si="32"/>
        <v>0</v>
      </c>
      <c r="I55">
        <f t="shared" si="32"/>
        <v>0</v>
      </c>
      <c r="J55">
        <f t="shared" si="32"/>
        <v>0</v>
      </c>
      <c r="K55">
        <f t="shared" si="32"/>
        <v>0</v>
      </c>
      <c r="L55">
        <f t="shared" si="32"/>
        <v>0</v>
      </c>
      <c r="M55">
        <f t="shared" si="32"/>
        <v>0</v>
      </c>
      <c r="N55">
        <f t="shared" si="32"/>
        <v>0</v>
      </c>
      <c r="O55">
        <f t="shared" si="32"/>
        <v>0</v>
      </c>
      <c r="P55">
        <f t="shared" si="32"/>
        <v>0</v>
      </c>
    </row>
    <row r="56" spans="2:16">
      <c r="B56" s="478" t="s">
        <v>574</v>
      </c>
      <c r="C56" s="485"/>
      <c r="D56" s="485">
        <f>D29-D51-D41-D45</f>
        <v>49.174874999999986</v>
      </c>
      <c r="E56" s="485">
        <f>E29-E51-E41-E45-E55</f>
        <v>-29.565000000000012</v>
      </c>
      <c r="F56" s="485">
        <f t="shared" ref="F56:P56" si="33">F29-F51-F41-F45-F55</f>
        <v>49.630719931922023</v>
      </c>
      <c r="G56" s="485">
        <f t="shared" si="33"/>
        <v>67.709866892058983</v>
      </c>
      <c r="H56" s="485">
        <f t="shared" si="33"/>
        <v>77.380563456724389</v>
      </c>
      <c r="I56" s="485">
        <f t="shared" si="33"/>
        <v>76.81533706783398</v>
      </c>
      <c r="J56" s="485">
        <f t="shared" si="33"/>
        <v>81.505736254584235</v>
      </c>
      <c r="K56" s="485">
        <f t="shared" si="33"/>
        <v>79.14606884920255</v>
      </c>
      <c r="L56" s="485">
        <f t="shared" si="33"/>
        <v>88.835738485499974</v>
      </c>
      <c r="M56" s="485">
        <f t="shared" si="33"/>
        <v>93.477830217315656</v>
      </c>
      <c r="N56" s="485">
        <f t="shared" si="33"/>
        <v>98.237412426308936</v>
      </c>
      <c r="O56" s="485">
        <f t="shared" si="33"/>
        <v>99.856414858324854</v>
      </c>
      <c r="P56" s="485">
        <f t="shared" si="33"/>
        <v>101.49978327694268</v>
      </c>
    </row>
    <row r="57" spans="2:16">
      <c r="B57" s="478"/>
      <c r="C57" s="478"/>
      <c r="D57" s="478"/>
      <c r="E57" s="478"/>
      <c r="F57" s="478"/>
      <c r="G57" s="478"/>
      <c r="H57" s="478"/>
      <c r="I57" s="478"/>
      <c r="J57" s="478"/>
      <c r="K57" s="478"/>
      <c r="L57" s="478"/>
      <c r="M57" s="478"/>
      <c r="N57" s="478"/>
      <c r="O57" s="478"/>
      <c r="P57" s="478"/>
    </row>
    <row r="58" spans="2:16">
      <c r="B58" s="1134" t="s">
        <v>1426</v>
      </c>
      <c r="C58" s="478"/>
      <c r="D58" s="478"/>
      <c r="E58" s="478"/>
      <c r="F58" s="478"/>
      <c r="G58" s="478"/>
      <c r="H58" s="478"/>
      <c r="I58" s="478"/>
      <c r="J58" s="478"/>
      <c r="K58" s="478"/>
      <c r="L58" s="478"/>
      <c r="M58" s="478"/>
      <c r="N58" s="478"/>
      <c r="O58" s="478"/>
      <c r="P58" s="478"/>
    </row>
    <row r="59" spans="2:16">
      <c r="B59" s="478" t="s">
        <v>758</v>
      </c>
      <c r="C59" s="953">
        <f t="shared" ref="C59:P59" si="34">C19</f>
        <v>374.09999999999997</v>
      </c>
      <c r="D59" s="953">
        <f t="shared" si="34"/>
        <v>399.74999999999994</v>
      </c>
      <c r="E59" s="953">
        <f t="shared" si="34"/>
        <v>395</v>
      </c>
      <c r="F59" s="953">
        <f t="shared" si="34"/>
        <v>357.38315110255775</v>
      </c>
      <c r="G59" s="953">
        <f t="shared" si="34"/>
        <v>407.65802588391</v>
      </c>
      <c r="H59" s="953">
        <f t="shared" si="34"/>
        <v>433.04900602608933</v>
      </c>
      <c r="I59" s="953">
        <f t="shared" si="34"/>
        <v>461.32710611959283</v>
      </c>
      <c r="J59" s="953">
        <f t="shared" si="34"/>
        <v>509.99711581520984</v>
      </c>
      <c r="K59" s="953">
        <f t="shared" si="34"/>
        <v>522.79804342217176</v>
      </c>
      <c r="L59" s="953">
        <f t="shared" si="34"/>
        <v>530.66615397567546</v>
      </c>
      <c r="M59" s="953">
        <f t="shared" si="34"/>
        <v>538.65267959300934</v>
      </c>
      <c r="N59" s="953">
        <f t="shared" si="34"/>
        <v>546.75940242088404</v>
      </c>
      <c r="O59" s="953">
        <f t="shared" si="34"/>
        <v>554.98813142731831</v>
      </c>
      <c r="P59" s="953">
        <f t="shared" si="34"/>
        <v>563.34070280529943</v>
      </c>
    </row>
    <row r="60" spans="2:16">
      <c r="B60" s="478" t="s">
        <v>360</v>
      </c>
      <c r="C60" s="953">
        <f t="shared" ref="C60:P60" si="35">C29</f>
        <v>163</v>
      </c>
      <c r="D60" s="953">
        <f t="shared" si="35"/>
        <v>157.69999999999999</v>
      </c>
      <c r="E60" s="953">
        <f t="shared" si="35"/>
        <v>185.1</v>
      </c>
      <c r="F60" s="953">
        <f t="shared" si="35"/>
        <v>150.10092346307425</v>
      </c>
      <c r="G60" s="953">
        <f t="shared" si="35"/>
        <v>171.21637087124219</v>
      </c>
      <c r="H60" s="953">
        <f t="shared" si="35"/>
        <v>195.30510171776629</v>
      </c>
      <c r="I60" s="953">
        <f t="shared" si="35"/>
        <v>186.83747797843512</v>
      </c>
      <c r="J60" s="953">
        <f t="shared" si="35"/>
        <v>220.57375259007824</v>
      </c>
      <c r="K60" s="953">
        <f t="shared" si="35"/>
        <v>214.34719780309041</v>
      </c>
      <c r="L60" s="953">
        <f t="shared" si="35"/>
        <v>222.87978466978367</v>
      </c>
      <c r="M60" s="953">
        <f t="shared" si="35"/>
        <v>231.62065222499402</v>
      </c>
      <c r="N60" s="953">
        <f t="shared" si="35"/>
        <v>240.57413706518898</v>
      </c>
      <c r="O60" s="953">
        <f t="shared" si="35"/>
        <v>244.19477782802005</v>
      </c>
      <c r="P60" s="953">
        <f t="shared" si="35"/>
        <v>247.86990923433174</v>
      </c>
    </row>
    <row r="61" spans="2:16">
      <c r="B61" s="478" t="s">
        <v>1545</v>
      </c>
      <c r="C61" s="953">
        <f t="shared" ref="C61:P61" si="36">C51</f>
        <v>85.3</v>
      </c>
      <c r="D61" s="953">
        <f t="shared" si="36"/>
        <v>91.942499999999995</v>
      </c>
      <c r="E61" s="953">
        <f t="shared" si="36"/>
        <v>90.850000000000009</v>
      </c>
      <c r="F61" s="953">
        <f t="shared" si="36"/>
        <v>89.345787775639437</v>
      </c>
      <c r="G61" s="953">
        <f t="shared" si="36"/>
        <v>97.837926212138399</v>
      </c>
      <c r="H61" s="953">
        <f t="shared" si="36"/>
        <v>99.601271386000548</v>
      </c>
      <c r="I61" s="953">
        <f t="shared" si="36"/>
        <v>83.038879101526703</v>
      </c>
      <c r="J61" s="953">
        <f t="shared" si="36"/>
        <v>76.499567372281476</v>
      </c>
      <c r="K61" s="953">
        <f t="shared" si="36"/>
        <v>73.191726079104058</v>
      </c>
      <c r="L61" s="953">
        <f t="shared" si="36"/>
        <v>68.986600016837812</v>
      </c>
      <c r="M61" s="953">
        <f t="shared" si="36"/>
        <v>70.024848347091222</v>
      </c>
      <c r="N61" s="953">
        <f t="shared" si="36"/>
        <v>71.078722314714923</v>
      </c>
      <c r="O61" s="953">
        <f t="shared" si="36"/>
        <v>72.148457085551385</v>
      </c>
      <c r="P61" s="953">
        <f t="shared" si="36"/>
        <v>73.234291364688929</v>
      </c>
    </row>
    <row r="62" spans="2:16">
      <c r="B62" s="478" t="s">
        <v>1552</v>
      </c>
      <c r="C62" s="953">
        <f t="shared" ref="C62:P62" si="37">C60-C61</f>
        <v>77.7</v>
      </c>
      <c r="D62" s="953">
        <f t="shared" si="37"/>
        <v>65.757499999999993</v>
      </c>
      <c r="E62" s="953">
        <f t="shared" si="37"/>
        <v>94.249999999999986</v>
      </c>
      <c r="F62" s="953">
        <f t="shared" si="37"/>
        <v>60.755135687434816</v>
      </c>
      <c r="G62" s="953">
        <f t="shared" si="37"/>
        <v>73.378444659103792</v>
      </c>
      <c r="H62" s="953">
        <f t="shared" si="37"/>
        <v>95.703830331765744</v>
      </c>
      <c r="I62" s="953">
        <f t="shared" si="37"/>
        <v>103.79859887690841</v>
      </c>
      <c r="J62" s="953">
        <f t="shared" si="37"/>
        <v>144.07418521779675</v>
      </c>
      <c r="K62" s="953">
        <f t="shared" si="37"/>
        <v>141.15547172398635</v>
      </c>
      <c r="L62" s="953">
        <f t="shared" si="37"/>
        <v>153.89318465294588</v>
      </c>
      <c r="M62" s="953">
        <f t="shared" si="37"/>
        <v>161.5958038779028</v>
      </c>
      <c r="N62" s="953">
        <f t="shared" si="37"/>
        <v>169.49541475047405</v>
      </c>
      <c r="O62" s="953">
        <f t="shared" si="37"/>
        <v>172.04632074246865</v>
      </c>
      <c r="P62" s="953">
        <f t="shared" si="37"/>
        <v>174.63561786964283</v>
      </c>
    </row>
    <row r="63" spans="2:16">
      <c r="B63" s="478" t="s">
        <v>5470</v>
      </c>
      <c r="C63" s="680">
        <f>C66</f>
        <v>0.25</v>
      </c>
      <c r="D63" s="486">
        <f t="shared" ref="D63:P63" si="38">C63</f>
        <v>0.25</v>
      </c>
      <c r="E63" s="486">
        <f t="shared" si="38"/>
        <v>0.25</v>
      </c>
      <c r="F63" s="486">
        <f t="shared" si="38"/>
        <v>0.25</v>
      </c>
      <c r="G63" s="486">
        <f t="shared" si="38"/>
        <v>0.25</v>
      </c>
      <c r="H63" s="486">
        <f t="shared" si="38"/>
        <v>0.25</v>
      </c>
      <c r="I63" s="486">
        <f t="shared" si="38"/>
        <v>0.25</v>
      </c>
      <c r="J63" s="486">
        <f t="shared" si="38"/>
        <v>0.25</v>
      </c>
      <c r="K63" s="486">
        <f t="shared" si="38"/>
        <v>0.25</v>
      </c>
      <c r="L63" s="486">
        <f t="shared" si="38"/>
        <v>0.25</v>
      </c>
      <c r="M63" s="486">
        <f t="shared" si="38"/>
        <v>0.25</v>
      </c>
      <c r="N63" s="486">
        <f t="shared" si="38"/>
        <v>0.25</v>
      </c>
      <c r="O63" s="486">
        <f t="shared" si="38"/>
        <v>0.25</v>
      </c>
      <c r="P63" s="486">
        <f t="shared" si="38"/>
        <v>0.25</v>
      </c>
    </row>
    <row r="64" spans="2:16">
      <c r="B64" s="478" t="s">
        <v>1936</v>
      </c>
      <c r="C64" s="953">
        <f t="shared" ref="C64:P64" si="39">(1-C63)*C62</f>
        <v>58.275000000000006</v>
      </c>
      <c r="D64" s="953">
        <f t="shared" si="39"/>
        <v>49.318124999999995</v>
      </c>
      <c r="E64" s="953">
        <f t="shared" si="39"/>
        <v>70.687499999999986</v>
      </c>
      <c r="F64" s="953">
        <f t="shared" si="39"/>
        <v>45.566351765576115</v>
      </c>
      <c r="G64" s="953">
        <f t="shared" si="39"/>
        <v>55.033833494327844</v>
      </c>
      <c r="H64" s="953">
        <f t="shared" si="39"/>
        <v>71.777872748824308</v>
      </c>
      <c r="I64" s="953">
        <f t="shared" si="39"/>
        <v>77.848949157681318</v>
      </c>
      <c r="J64" s="953">
        <f t="shared" si="39"/>
        <v>108.05563891334756</v>
      </c>
      <c r="K64" s="953">
        <f t="shared" si="39"/>
        <v>105.86660379298976</v>
      </c>
      <c r="L64" s="953">
        <f t="shared" si="39"/>
        <v>115.41988848970941</v>
      </c>
      <c r="M64" s="953">
        <f t="shared" si="39"/>
        <v>121.1968529084271</v>
      </c>
      <c r="N64" s="953">
        <f t="shared" si="39"/>
        <v>127.12156106285553</v>
      </c>
      <c r="O64" s="953">
        <f t="shared" si="39"/>
        <v>129.03474055685149</v>
      </c>
      <c r="P64" s="953">
        <f t="shared" si="39"/>
        <v>130.97671340223212</v>
      </c>
    </row>
    <row r="65" spans="2:16">
      <c r="B65" s="478"/>
      <c r="C65" s="478"/>
      <c r="D65" s="478"/>
      <c r="E65" s="478"/>
      <c r="F65" s="478"/>
      <c r="G65" s="478"/>
      <c r="H65" s="478"/>
      <c r="I65" s="478"/>
      <c r="J65" s="478"/>
      <c r="K65" s="478"/>
      <c r="L65" s="478"/>
      <c r="M65" s="478"/>
      <c r="N65" s="478"/>
      <c r="O65" s="478"/>
      <c r="P65" s="478"/>
    </row>
    <row r="66" spans="2:16">
      <c r="B66" s="1139" t="s">
        <v>395</v>
      </c>
      <c r="C66" s="1140">
        <v>0.25</v>
      </c>
      <c r="D66" s="478"/>
      <c r="E66" s="478"/>
      <c r="F66" s="478"/>
      <c r="G66" s="478"/>
      <c r="H66" s="478"/>
      <c r="I66" s="478"/>
      <c r="J66" s="478"/>
      <c r="K66" s="478"/>
      <c r="L66" s="478"/>
      <c r="M66" s="478"/>
      <c r="N66" s="478"/>
      <c r="O66" s="478"/>
      <c r="P66" s="478"/>
    </row>
    <row r="67" spans="2:16">
      <c r="B67" s="1139" t="s">
        <v>1938</v>
      </c>
      <c r="C67" s="1141">
        <f ca="1">C86</f>
        <v>8.9126213592233008E-2</v>
      </c>
      <c r="D67" s="478"/>
      <c r="E67" s="478"/>
      <c r="F67" s="478"/>
      <c r="G67" s="478"/>
      <c r="H67" s="478"/>
      <c r="I67" s="478"/>
      <c r="J67" s="478"/>
      <c r="K67" s="478"/>
      <c r="L67" s="478"/>
      <c r="M67" s="478"/>
      <c r="N67" s="478"/>
      <c r="O67" s="478"/>
      <c r="P67" s="478"/>
    </row>
    <row r="68" spans="2:16">
      <c r="B68" s="1139" t="s">
        <v>5471</v>
      </c>
      <c r="C68" s="1142">
        <f>NPV($C$87,K64:P64)</f>
        <v>729.61636021306538</v>
      </c>
      <c r="D68" s="478"/>
      <c r="E68" s="478"/>
      <c r="F68" s="478"/>
      <c r="G68" s="478"/>
      <c r="H68" s="478"/>
      <c r="I68" s="478"/>
      <c r="J68" s="478"/>
      <c r="K68" s="478"/>
      <c r="L68" s="478"/>
      <c r="M68" s="478"/>
      <c r="N68" s="478"/>
      <c r="O68" s="478"/>
      <c r="P68" s="478"/>
    </row>
    <row r="69" spans="2:16">
      <c r="B69" s="1139" t="s">
        <v>5472</v>
      </c>
      <c r="C69" s="1143">
        <v>11.5</v>
      </c>
      <c r="D69" s="478"/>
      <c r="E69" s="478"/>
      <c r="F69" s="478"/>
      <c r="G69" s="478"/>
      <c r="H69" s="478"/>
      <c r="I69" s="478"/>
      <c r="J69" s="478"/>
      <c r="K69" s="478"/>
      <c r="L69" s="478"/>
      <c r="M69" s="478"/>
      <c r="N69" s="478"/>
      <c r="O69" s="478"/>
      <c r="P69" s="478"/>
    </row>
    <row r="70" spans="2:16">
      <c r="B70" s="1139" t="s">
        <v>5473</v>
      </c>
      <c r="C70" s="1141">
        <f ca="1">C67-1/C69</f>
        <v>2.1696918531025761E-3</v>
      </c>
      <c r="D70" s="478"/>
      <c r="E70" s="478"/>
      <c r="F70" s="478"/>
      <c r="G70" s="478"/>
      <c r="H70" s="478"/>
      <c r="I70" s="478"/>
      <c r="J70" s="478"/>
      <c r="K70" s="478"/>
      <c r="L70" s="478"/>
      <c r="M70" s="478"/>
      <c r="N70" s="478"/>
      <c r="O70" s="478"/>
      <c r="P70" s="478"/>
    </row>
    <row r="71" spans="2:16">
      <c r="B71" s="1139" t="s">
        <v>2587</v>
      </c>
      <c r="C71" s="1142">
        <f>C69*P64</f>
        <v>1506.2322041256693</v>
      </c>
      <c r="D71" s="478"/>
      <c r="E71" s="478"/>
      <c r="F71" s="478"/>
      <c r="G71" s="478"/>
      <c r="H71" s="478"/>
      <c r="I71" s="478"/>
      <c r="J71" s="478"/>
      <c r="K71" s="478"/>
      <c r="L71" s="478"/>
      <c r="M71" s="478"/>
      <c r="N71" s="478"/>
      <c r="O71" s="478"/>
      <c r="P71" s="478"/>
    </row>
    <row r="72" spans="2:16">
      <c r="B72" s="1139" t="s">
        <v>244</v>
      </c>
      <c r="C72" s="1142">
        <f ca="1">C71/(1+C67)^6</f>
        <v>902.44898958797319</v>
      </c>
      <c r="D72" s="478"/>
      <c r="E72" s="478"/>
      <c r="F72" s="478"/>
      <c r="G72" s="478"/>
      <c r="H72" s="478"/>
      <c r="I72" s="478"/>
      <c r="J72" s="478"/>
      <c r="K72" s="478"/>
      <c r="L72" s="478"/>
      <c r="M72" s="478"/>
      <c r="N72" s="478"/>
      <c r="O72" s="478"/>
      <c r="P72" s="478"/>
    </row>
    <row r="73" spans="2:16">
      <c r="B73" s="1144" t="s">
        <v>5474</v>
      </c>
      <c r="C73" s="1145">
        <f ca="1">C72+C68</f>
        <v>1632.0653498010386</v>
      </c>
      <c r="D73" s="478"/>
      <c r="E73" s="1155"/>
      <c r="F73" s="478"/>
      <c r="G73" s="478"/>
      <c r="H73" s="478"/>
      <c r="I73" s="478"/>
      <c r="J73" s="478"/>
      <c r="K73" s="478"/>
      <c r="L73" s="478"/>
      <c r="M73" s="478"/>
      <c r="N73" s="478"/>
      <c r="O73" s="478"/>
      <c r="P73" s="478"/>
    </row>
    <row r="74" spans="2:16">
      <c r="B74" s="1139" t="s">
        <v>150</v>
      </c>
      <c r="C74" s="1159">
        <f>C92</f>
        <v>207.5</v>
      </c>
      <c r="D74" s="478"/>
      <c r="E74" s="1155"/>
      <c r="F74" s="478"/>
      <c r="G74" s="478"/>
      <c r="H74" s="478"/>
      <c r="I74" s="478"/>
      <c r="J74" s="478"/>
      <c r="K74" s="478"/>
      <c r="L74" s="478"/>
      <c r="M74" s="478"/>
      <c r="N74" s="478"/>
      <c r="O74" s="478"/>
      <c r="P74" s="478"/>
    </row>
    <row r="75" spans="2:16">
      <c r="B75" s="1139" t="s">
        <v>109</v>
      </c>
      <c r="C75" s="1159">
        <f ca="1">C73-C74</f>
        <v>1424.5653498010386</v>
      </c>
      <c r="D75" s="478"/>
      <c r="E75" s="1155"/>
      <c r="F75" s="478"/>
      <c r="G75" s="478"/>
      <c r="H75" s="478"/>
      <c r="I75" s="478"/>
      <c r="J75" s="478"/>
      <c r="K75" s="478"/>
      <c r="L75" s="478"/>
      <c r="M75" s="478"/>
      <c r="N75" s="478"/>
      <c r="O75" s="478"/>
      <c r="P75" s="478"/>
    </row>
    <row r="76" spans="2:16">
      <c r="B76" s="1139" t="s">
        <v>3361</v>
      </c>
      <c r="C76" s="1159">
        <f ca="1">C75*0</f>
        <v>0</v>
      </c>
      <c r="D76" s="478"/>
      <c r="E76" s="1155"/>
      <c r="F76" s="478"/>
      <c r="G76" s="478"/>
      <c r="H76" s="478"/>
      <c r="I76" s="478"/>
      <c r="J76" s="478"/>
      <c r="K76" s="478"/>
      <c r="L76" s="478"/>
      <c r="M76" s="478"/>
      <c r="N76" s="478"/>
      <c r="O76" s="478"/>
      <c r="P76" s="478"/>
    </row>
    <row r="77" spans="2:16">
      <c r="B77" s="478"/>
      <c r="C77" s="478"/>
      <c r="D77" s="478"/>
      <c r="E77" s="478"/>
      <c r="F77" s="478"/>
      <c r="G77" s="478"/>
      <c r="H77" s="478"/>
      <c r="I77" s="478"/>
      <c r="J77" s="478"/>
      <c r="K77" s="478"/>
      <c r="L77" s="478"/>
      <c r="M77" s="478"/>
      <c r="N77" s="478"/>
      <c r="O77" s="478"/>
      <c r="P77" s="478"/>
    </row>
    <row r="78" spans="2:16">
      <c r="B78" s="1146" t="s">
        <v>297</v>
      </c>
      <c r="C78" s="1147">
        <v>5.5E-2</v>
      </c>
      <c r="D78" s="478"/>
      <c r="E78" s="478"/>
      <c r="F78" s="478"/>
      <c r="G78" s="478"/>
      <c r="H78" s="478"/>
      <c r="I78" s="478"/>
      <c r="J78" s="478"/>
      <c r="K78" s="478"/>
      <c r="L78" s="478"/>
      <c r="M78" s="478"/>
      <c r="N78" s="478"/>
      <c r="O78" s="478"/>
      <c r="P78" s="478"/>
    </row>
    <row r="79" spans="2:16">
      <c r="B79" s="1146" t="s">
        <v>5475</v>
      </c>
      <c r="C79" s="1147">
        <v>0.02</v>
      </c>
      <c r="D79" s="478"/>
      <c r="E79" s="478"/>
      <c r="F79" s="478"/>
      <c r="G79" s="478"/>
      <c r="H79" s="478"/>
      <c r="I79" s="478"/>
      <c r="J79" s="478"/>
      <c r="K79" s="478"/>
      <c r="L79" s="478"/>
      <c r="M79" s="478"/>
      <c r="N79" s="478"/>
      <c r="O79" s="478"/>
      <c r="P79" s="478"/>
    </row>
    <row r="80" spans="2:16">
      <c r="B80" s="1146" t="s">
        <v>299</v>
      </c>
      <c r="C80" s="1148">
        <f>C78+C79</f>
        <v>7.4999999999999997E-2</v>
      </c>
      <c r="D80" s="478"/>
      <c r="E80" s="478"/>
      <c r="F80" s="478"/>
      <c r="G80" s="478"/>
      <c r="H80" s="478"/>
      <c r="I80" s="478"/>
      <c r="J80" s="478"/>
      <c r="K80" s="478"/>
      <c r="L80" s="478"/>
      <c r="M80" s="478"/>
      <c r="N80" s="478"/>
      <c r="O80" s="478"/>
      <c r="P80" s="478"/>
    </row>
    <row r="81" spans="2:16">
      <c r="B81" s="1146" t="s">
        <v>300</v>
      </c>
      <c r="C81" s="1148">
        <f ca="1">C80*(1-$C$67)</f>
        <v>6.8315533980582516E-2</v>
      </c>
      <c r="D81" s="478"/>
      <c r="E81" s="478"/>
      <c r="F81" s="478"/>
      <c r="G81" s="478"/>
      <c r="H81" s="478"/>
      <c r="I81" s="478"/>
      <c r="J81" s="478"/>
      <c r="K81" s="478"/>
      <c r="L81" s="478"/>
      <c r="M81" s="478"/>
      <c r="N81" s="478"/>
      <c r="O81" s="478"/>
      <c r="P81" s="478"/>
    </row>
    <row r="82" spans="2:16">
      <c r="B82" s="1146" t="s">
        <v>301</v>
      </c>
      <c r="C82" s="1148">
        <v>0.04</v>
      </c>
      <c r="D82" s="478"/>
      <c r="E82" s="478"/>
      <c r="F82" s="478"/>
      <c r="G82" s="478"/>
      <c r="H82" s="478"/>
      <c r="I82" s="478"/>
      <c r="J82" s="478"/>
      <c r="K82" s="478"/>
      <c r="L82" s="478"/>
      <c r="M82" s="478"/>
      <c r="N82" s="478"/>
      <c r="O82" s="478"/>
      <c r="P82" s="478"/>
    </row>
    <row r="83" spans="2:16">
      <c r="B83" s="1146" t="s">
        <v>302</v>
      </c>
      <c r="C83" s="1149">
        <v>1.2</v>
      </c>
      <c r="D83" s="478"/>
      <c r="E83" s="478"/>
      <c r="F83" s="478"/>
      <c r="G83" s="478"/>
      <c r="H83" s="478"/>
      <c r="I83" s="478"/>
      <c r="J83" s="478"/>
      <c r="K83" s="478"/>
      <c r="L83" s="478"/>
      <c r="M83" s="478"/>
      <c r="N83" s="478"/>
      <c r="O83" s="478"/>
      <c r="P83" s="478"/>
    </row>
    <row r="84" spans="2:16">
      <c r="B84" s="1146" t="s">
        <v>303</v>
      </c>
      <c r="C84" s="1148">
        <f>C78+C83*C82</f>
        <v>0.10300000000000001</v>
      </c>
      <c r="D84" s="478"/>
      <c r="E84" s="478"/>
      <c r="F84" s="478"/>
      <c r="G84" s="478"/>
      <c r="H84" s="478"/>
      <c r="I84" s="478"/>
      <c r="J84" s="478"/>
      <c r="K84" s="478"/>
      <c r="L84" s="478"/>
      <c r="M84" s="478"/>
      <c r="N84" s="478"/>
      <c r="O84" s="478"/>
      <c r="P84" s="478"/>
    </row>
    <row r="85" spans="2:16">
      <c r="B85" s="1146" t="s">
        <v>304</v>
      </c>
      <c r="C85" s="1150">
        <v>0.4</v>
      </c>
      <c r="D85" s="478"/>
      <c r="E85" s="478"/>
      <c r="F85" s="478"/>
      <c r="G85" s="478"/>
      <c r="H85" s="478"/>
      <c r="I85" s="478"/>
      <c r="J85" s="478"/>
      <c r="K85" s="478"/>
      <c r="L85" s="478"/>
      <c r="M85" s="478"/>
      <c r="N85" s="478"/>
      <c r="O85" s="478"/>
      <c r="P85" s="478"/>
    </row>
    <row r="86" spans="2:16">
      <c r="B86" s="1146" t="s">
        <v>1938</v>
      </c>
      <c r="C86" s="1148">
        <f ca="1">C85*C81+C84*(1-C85)</f>
        <v>8.9126213592233008E-2</v>
      </c>
      <c r="D86" s="478"/>
      <c r="E86" s="478"/>
      <c r="F86" s="478"/>
      <c r="G86" s="478"/>
      <c r="H86" s="478"/>
      <c r="I86" s="478"/>
      <c r="J86" s="478"/>
      <c r="K86" s="478"/>
      <c r="L86" s="478"/>
      <c r="M86" s="478"/>
      <c r="N86" s="478"/>
      <c r="O86" s="478"/>
      <c r="P86" s="478"/>
    </row>
    <row r="88" spans="2:16">
      <c r="B88" s="450" t="s">
        <v>5477</v>
      </c>
    </row>
    <row r="89" spans="2:16">
      <c r="B89" s="478" t="s">
        <v>2222</v>
      </c>
      <c r="C89" s="523">
        <v>1002</v>
      </c>
    </row>
    <row r="90" spans="2:16">
      <c r="B90" s="478" t="s">
        <v>3361</v>
      </c>
      <c r="C90" s="454">
        <f>(C89/0.8)*0.2</f>
        <v>250.5</v>
      </c>
    </row>
    <row r="91" spans="2:16">
      <c r="B91" s="478" t="s">
        <v>109</v>
      </c>
      <c r="C91" s="454">
        <f>C89+C90</f>
        <v>1252.5</v>
      </c>
    </row>
    <row r="92" spans="2:16">
      <c r="B92" s="478" t="s">
        <v>1381</v>
      </c>
      <c r="C92" s="454">
        <f>C93-C91</f>
        <v>207.5</v>
      </c>
    </row>
    <row r="93" spans="2:16">
      <c r="B93" s="478" t="s">
        <v>245</v>
      </c>
      <c r="C93" s="523">
        <v>1460</v>
      </c>
    </row>
    <row r="95" spans="2:16">
      <c r="B95" s="478" t="s">
        <v>5396</v>
      </c>
      <c r="C95" s="468">
        <f>C93/E29</f>
        <v>7.8876283090221504</v>
      </c>
    </row>
    <row r="97" spans="2:16">
      <c r="B97" s="337" t="s">
        <v>5882</v>
      </c>
      <c r="E97" s="1133">
        <v>2019</v>
      </c>
      <c r="F97" s="1133">
        <f>E97+1</f>
        <v>2020</v>
      </c>
      <c r="G97" s="1133">
        <f t="shared" ref="G97:N97" si="40">F97+1</f>
        <v>2021</v>
      </c>
      <c r="H97" s="1133">
        <f t="shared" si="40"/>
        <v>2022</v>
      </c>
      <c r="I97" s="1133">
        <f t="shared" si="40"/>
        <v>2023</v>
      </c>
      <c r="J97" s="1133">
        <f t="shared" si="40"/>
        <v>2024</v>
      </c>
      <c r="K97" s="1133">
        <f t="shared" si="40"/>
        <v>2025</v>
      </c>
      <c r="L97" s="1133">
        <f t="shared" si="40"/>
        <v>2026</v>
      </c>
      <c r="M97" s="1133">
        <f t="shared" si="40"/>
        <v>2027</v>
      </c>
      <c r="N97" s="1133">
        <f t="shared" si="40"/>
        <v>2028</v>
      </c>
      <c r="O97" s="1133">
        <f>N97+1</f>
        <v>2029</v>
      </c>
      <c r="P97" s="1133">
        <f>O97+1</f>
        <v>2030</v>
      </c>
    </row>
    <row r="98" spans="2:16">
      <c r="B98" s="337" t="s">
        <v>523</v>
      </c>
      <c r="E98" s="454">
        <f>E19+'New CA'!G5</f>
        <v>612.79477040816323</v>
      </c>
      <c r="F98" s="454">
        <f>F19+'New CA'!H5</f>
        <v>566.46613069439445</v>
      </c>
      <c r="G98" s="454">
        <f>G19+'New CA'!I5</f>
        <v>627.19515445533852</v>
      </c>
      <c r="H98" s="454">
        <f>H19+'New CA'!J5</f>
        <v>659.1722484546608</v>
      </c>
      <c r="I98" s="454">
        <f>I19+'New CA'!K5</f>
        <v>687.45034854816424</v>
      </c>
      <c r="J98" s="454">
        <f>J19+'New CA'!L5</f>
        <v>740.64282309235273</v>
      </c>
      <c r="K98" s="454">
        <f>K19+'New CA'!M5</f>
        <v>755.75020777208601</v>
      </c>
      <c r="L98" s="454">
        <f>L19+'New CA'!N5</f>
        <v>763.61831832558971</v>
      </c>
      <c r="M98" s="454">
        <f>M19+'New CA'!O5</f>
        <v>771.60484394292359</v>
      </c>
      <c r="N98" s="454">
        <f>N19+'New CA'!P5</f>
        <v>779.7115667707983</v>
      </c>
      <c r="O98" s="454">
        <f>O19+'New CA'!Q5</f>
        <v>787.94029577723256</v>
      </c>
      <c r="P98" s="454">
        <f>P19+'New CA'!R5</f>
        <v>796.29286715521368</v>
      </c>
    </row>
    <row r="99" spans="2:16">
      <c r="B99" s="337" t="s">
        <v>5885</v>
      </c>
      <c r="E99" s="454">
        <f>E29+'New CA'!G14</f>
        <v>276.57380357142858</v>
      </c>
      <c r="F99" s="454">
        <f>F29+'New CA'!H14</f>
        <v>254.64241325899263</v>
      </c>
      <c r="G99" s="454">
        <f>G29+'New CA'!I14</f>
        <v>272.20345001409936</v>
      </c>
      <c r="H99" s="454">
        <f>H29+'New CA'!J14</f>
        <v>302.7136418713377</v>
      </c>
      <c r="I99" s="454">
        <f>I29+'New CA'!K14</f>
        <v>298.76848298057797</v>
      </c>
      <c r="J99" s="454">
        <f>J29+'New CA'!L14</f>
        <v>341.20145749602398</v>
      </c>
      <c r="K99" s="454">
        <f>K29+'New CA'!M14</f>
        <v>326.16423669104927</v>
      </c>
      <c r="L99" s="454">
        <f>L29+'New CA'!N14</f>
        <v>334.6968235577425</v>
      </c>
      <c r="M99" s="454">
        <f>M29+'New CA'!O14</f>
        <v>343.43769111295285</v>
      </c>
      <c r="N99" s="454">
        <f>N29+'New CA'!P14</f>
        <v>352.39117595314781</v>
      </c>
      <c r="O99" s="454">
        <f>O29+'New CA'!Q14</f>
        <v>356.01181671597891</v>
      </c>
      <c r="P99" s="454">
        <f>P29+'New CA'!R14</f>
        <v>359.68694812229057</v>
      </c>
    </row>
    <row r="100" spans="2:16">
      <c r="B100" s="337" t="s">
        <v>5883</v>
      </c>
      <c r="E100" s="454">
        <f>E54+'New CA'!G20</f>
        <v>159.58843112244895</v>
      </c>
      <c r="F100" s="454">
        <f>F54+'New CA'!H20</f>
        <v>127.66168915682256</v>
      </c>
      <c r="G100" s="454">
        <f>G54+'New CA'!I20</f>
        <v>137.04421194481807</v>
      </c>
      <c r="H100" s="454">
        <f>H54+'New CA'!J20</f>
        <v>166.93265169676573</v>
      </c>
      <c r="I100" s="454">
        <f>I54+'New CA'!K20</f>
        <v>184.07234993905126</v>
      </c>
      <c r="J100" s="454">
        <f>J54+'New CA'!L20</f>
        <v>232.41149110494246</v>
      </c>
      <c r="K100" s="454">
        <f>K54+'New CA'!M20</f>
        <v>220.35920760295721</v>
      </c>
      <c r="L100" s="454">
        <f>L54+'New CA'!N20</f>
        <v>233.09692053191674</v>
      </c>
      <c r="M100" s="454">
        <f>M54+'New CA'!O20</f>
        <v>240.79953975687366</v>
      </c>
      <c r="N100" s="454">
        <f>N54+'New CA'!P20</f>
        <v>248.69915062944492</v>
      </c>
      <c r="O100" s="454">
        <f>O54+'New CA'!Q20</f>
        <v>251.25005662143951</v>
      </c>
      <c r="P100" s="454">
        <f>P54+'New CA'!R20</f>
        <v>253.83935374861369</v>
      </c>
    </row>
    <row r="102" spans="2:16">
      <c r="B102" s="337" t="s">
        <v>150</v>
      </c>
      <c r="E102">
        <f>800</f>
        <v>800</v>
      </c>
      <c r="F102" s="454">
        <f>E102-F108</f>
        <v>731.2537331323831</v>
      </c>
      <c r="G102" s="454">
        <f t="shared" ref="G102:P102" si="41">F102-G108</f>
        <v>655.47057417376959</v>
      </c>
      <c r="H102" s="454">
        <f t="shared" si="41"/>
        <v>557.27108540119525</v>
      </c>
      <c r="I102" s="454">
        <f t="shared" si="41"/>
        <v>446.2168229469068</v>
      </c>
      <c r="J102" s="454">
        <f t="shared" si="41"/>
        <v>298.90820461819999</v>
      </c>
      <c r="K102" s="454">
        <f t="shared" si="41"/>
        <v>160.63879891598208</v>
      </c>
      <c r="L102" s="454">
        <f t="shared" si="41"/>
        <v>12.81610851704454</v>
      </c>
      <c r="M102" s="454">
        <f t="shared" si="41"/>
        <v>-140.78354630061071</v>
      </c>
      <c r="N102" s="454">
        <f t="shared" si="41"/>
        <v>-300.30790927269436</v>
      </c>
      <c r="O102" s="454">
        <f t="shared" si="41"/>
        <v>-461.74545173877402</v>
      </c>
      <c r="P102" s="454">
        <f t="shared" si="41"/>
        <v>-625.12496705023432</v>
      </c>
    </row>
    <row r="103" spans="2:16">
      <c r="B103" s="337" t="s">
        <v>3055</v>
      </c>
      <c r="E103" s="468">
        <f>E102/E99</f>
        <v>2.8925371444059782</v>
      </c>
      <c r="F103" s="468">
        <f t="shared" ref="F103:P103" si="42">F102/F99</f>
        <v>2.8716886702948297</v>
      </c>
      <c r="G103" s="468">
        <f t="shared" si="42"/>
        <v>2.4080171435733755</v>
      </c>
      <c r="H103" s="468">
        <f t="shared" si="42"/>
        <v>1.8409183079963474</v>
      </c>
      <c r="I103" s="468">
        <f t="shared" si="42"/>
        <v>1.4935203957772012</v>
      </c>
      <c r="J103" s="468">
        <f t="shared" si="42"/>
        <v>0.87604609549970391</v>
      </c>
      <c r="K103" s="468">
        <f t="shared" si="42"/>
        <v>0.49250892907717247</v>
      </c>
      <c r="L103" s="468">
        <f t="shared" si="42"/>
        <v>3.8291694497762339E-2</v>
      </c>
      <c r="M103" s="468">
        <f t="shared" si="42"/>
        <v>-0.40992456548488898</v>
      </c>
      <c r="N103" s="468">
        <f t="shared" si="42"/>
        <v>-0.85220042318148681</v>
      </c>
      <c r="O103" s="468">
        <f t="shared" si="42"/>
        <v>-1.2969947346077781</v>
      </c>
      <c r="P103" s="468">
        <f t="shared" si="42"/>
        <v>-1.7379695602346321</v>
      </c>
    </row>
    <row r="104" spans="2:16">
      <c r="B104" s="337" t="s">
        <v>3875</v>
      </c>
      <c r="E104" s="583">
        <v>4.4999999999999998E-2</v>
      </c>
    </row>
    <row r="105" spans="2:16">
      <c r="B105" s="337" t="s">
        <v>1382</v>
      </c>
      <c r="E105">
        <f>E102*E104</f>
        <v>36</v>
      </c>
      <c r="F105">
        <f>E105</f>
        <v>36</v>
      </c>
      <c r="G105">
        <f t="shared" ref="G105:P105" si="43">F105</f>
        <v>36</v>
      </c>
      <c r="H105">
        <f t="shared" si="43"/>
        <v>36</v>
      </c>
      <c r="I105">
        <f t="shared" si="43"/>
        <v>36</v>
      </c>
      <c r="J105">
        <f t="shared" si="43"/>
        <v>36</v>
      </c>
      <c r="K105">
        <f t="shared" si="43"/>
        <v>36</v>
      </c>
      <c r="L105">
        <f t="shared" si="43"/>
        <v>36</v>
      </c>
      <c r="M105">
        <f t="shared" si="43"/>
        <v>36</v>
      </c>
      <c r="N105">
        <f t="shared" si="43"/>
        <v>36</v>
      </c>
      <c r="O105">
        <f t="shared" si="43"/>
        <v>36</v>
      </c>
      <c r="P105">
        <f t="shared" si="43"/>
        <v>36</v>
      </c>
    </row>
    <row r="106" spans="2:16">
      <c r="B106" s="337" t="s">
        <v>5884</v>
      </c>
      <c r="E106" s="454">
        <f>E100-E105</f>
        <v>123.58843112244895</v>
      </c>
      <c r="F106" s="454">
        <f t="shared" ref="F106:P106" si="44">F100-F105</f>
        <v>91.661689156822561</v>
      </c>
      <c r="G106" s="454">
        <f t="shared" si="44"/>
        <v>101.04421194481807</v>
      </c>
      <c r="H106" s="454">
        <f t="shared" si="44"/>
        <v>130.93265169676573</v>
      </c>
      <c r="I106" s="454">
        <f t="shared" si="44"/>
        <v>148.07234993905126</v>
      </c>
      <c r="J106" s="454">
        <f t="shared" si="44"/>
        <v>196.41149110494246</v>
      </c>
      <c r="K106" s="454">
        <f t="shared" si="44"/>
        <v>184.35920760295721</v>
      </c>
      <c r="L106" s="454">
        <f t="shared" si="44"/>
        <v>197.09692053191674</v>
      </c>
      <c r="M106" s="454">
        <f t="shared" si="44"/>
        <v>204.79953975687366</v>
      </c>
      <c r="N106" s="454">
        <f t="shared" si="44"/>
        <v>212.69915062944492</v>
      </c>
      <c r="O106" s="454">
        <f t="shared" si="44"/>
        <v>215.25005662143951</v>
      </c>
      <c r="P106" s="454">
        <f t="shared" si="44"/>
        <v>217.83935374861369</v>
      </c>
    </row>
    <row r="107" spans="2:16">
      <c r="B107" s="337" t="s">
        <v>395</v>
      </c>
      <c r="E107" s="454">
        <f>E44*E106</f>
        <v>30.897107780612238</v>
      </c>
      <c r="F107" s="454">
        <f t="shared" ref="F107:P107" si="45">F44*F106</f>
        <v>22.91542228920564</v>
      </c>
      <c r="G107" s="454">
        <f t="shared" si="45"/>
        <v>25.261052986204518</v>
      </c>
      <c r="H107" s="454">
        <f t="shared" si="45"/>
        <v>32.733162924191433</v>
      </c>
      <c r="I107" s="454">
        <f t="shared" si="45"/>
        <v>37.018087484762816</v>
      </c>
      <c r="J107" s="454">
        <f t="shared" si="45"/>
        <v>49.102872776235614</v>
      </c>
      <c r="K107" s="454">
        <f t="shared" si="45"/>
        <v>46.089801900739303</v>
      </c>
      <c r="L107" s="454">
        <f t="shared" si="45"/>
        <v>49.274230132979184</v>
      </c>
      <c r="M107" s="454">
        <f t="shared" si="45"/>
        <v>51.199884939218414</v>
      </c>
      <c r="N107" s="454">
        <f t="shared" si="45"/>
        <v>53.174787657361229</v>
      </c>
      <c r="O107" s="454">
        <f t="shared" si="45"/>
        <v>53.812514155359878</v>
      </c>
      <c r="P107" s="454">
        <f t="shared" si="45"/>
        <v>54.459838437153422</v>
      </c>
    </row>
    <row r="108" spans="2:16">
      <c r="B108" s="337" t="s">
        <v>574</v>
      </c>
      <c r="E108" s="454">
        <f>E100-E105-E107</f>
        <v>92.691323341836721</v>
      </c>
      <c r="F108" s="454">
        <f t="shared" ref="F108:P108" si="46">F100-F105-F107</f>
        <v>68.746266867616924</v>
      </c>
      <c r="G108" s="454">
        <f t="shared" si="46"/>
        <v>75.783158958613555</v>
      </c>
      <c r="H108" s="454">
        <f t="shared" si="46"/>
        <v>98.199488772574298</v>
      </c>
      <c r="I108" s="454">
        <f t="shared" si="46"/>
        <v>111.05426245428845</v>
      </c>
      <c r="J108" s="454">
        <f t="shared" si="46"/>
        <v>147.30861832870684</v>
      </c>
      <c r="K108" s="454">
        <f t="shared" si="46"/>
        <v>138.26940570221791</v>
      </c>
      <c r="L108" s="454">
        <f t="shared" si="46"/>
        <v>147.82269039893754</v>
      </c>
      <c r="M108" s="454">
        <f t="shared" si="46"/>
        <v>153.59965481765525</v>
      </c>
      <c r="N108" s="454">
        <f t="shared" si="46"/>
        <v>159.52436297208368</v>
      </c>
      <c r="O108" s="454">
        <f t="shared" si="46"/>
        <v>161.43754246607963</v>
      </c>
      <c r="P108" s="454">
        <f t="shared" si="46"/>
        <v>163.37951531146027</v>
      </c>
    </row>
  </sheetData>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B1:AV330"/>
  <sheetViews>
    <sheetView topLeftCell="A234" zoomScale="85" zoomScaleNormal="85" workbookViewId="0">
      <selection activeCell="AA263" sqref="AA263"/>
    </sheetView>
  </sheetViews>
  <sheetFormatPr defaultRowHeight="15" outlineLevelCol="1"/>
  <cols>
    <col min="2" max="2" width="26.42578125" customWidth="1"/>
    <col min="3" max="3" width="9.42578125" bestFit="1" customWidth="1"/>
    <col min="4" max="4" width="9.85546875" bestFit="1" customWidth="1"/>
    <col min="5" max="6" width="9" customWidth="1"/>
    <col min="7" max="11" width="9.28515625" bestFit="1" customWidth="1"/>
    <col min="12" max="13" width="9.28515625" customWidth="1"/>
    <col min="14" max="15" width="9.28515625" bestFit="1" customWidth="1"/>
    <col min="16" max="31" width="9.28515625" customWidth="1"/>
    <col min="32" max="32" width="9.5703125" bestFit="1" customWidth="1"/>
    <col min="33" max="33" width="14.5703125" customWidth="1"/>
    <col min="34" max="34" width="9.28515625" bestFit="1" customWidth="1"/>
    <col min="35" max="40" width="9.28515625" customWidth="1" outlineLevel="1"/>
    <col min="41" max="41" width="9.28515625" bestFit="1" customWidth="1"/>
  </cols>
  <sheetData>
    <row r="1" spans="2:39">
      <c r="B1" s="48" t="s">
        <v>1820</v>
      </c>
      <c r="C1" s="4"/>
      <c r="D1" s="4"/>
      <c r="E1" s="4"/>
      <c r="F1" s="4" t="s">
        <v>1823</v>
      </c>
      <c r="G1" s="4"/>
      <c r="H1" s="4"/>
      <c r="I1" s="4"/>
      <c r="J1" s="4"/>
      <c r="K1" s="4"/>
      <c r="AF1" t="s">
        <v>1823</v>
      </c>
    </row>
    <row r="2" spans="2:39">
      <c r="B2" s="49"/>
      <c r="C2" s="41">
        <v>2002</v>
      </c>
      <c r="D2" s="41">
        <f t="shared" ref="D2:O2" si="0">+C2+1</f>
        <v>2003</v>
      </c>
      <c r="E2" s="41">
        <f t="shared" si="0"/>
        <v>2004</v>
      </c>
      <c r="F2" s="41">
        <f t="shared" si="0"/>
        <v>2005</v>
      </c>
      <c r="G2" s="41">
        <f t="shared" si="0"/>
        <v>2006</v>
      </c>
      <c r="H2" s="41">
        <f t="shared" si="0"/>
        <v>2007</v>
      </c>
      <c r="I2" s="41">
        <f t="shared" si="0"/>
        <v>2008</v>
      </c>
      <c r="J2" s="41">
        <f t="shared" si="0"/>
        <v>2009</v>
      </c>
      <c r="K2" s="41">
        <f t="shared" si="0"/>
        <v>2010</v>
      </c>
      <c r="L2" s="41">
        <f t="shared" si="0"/>
        <v>2011</v>
      </c>
      <c r="M2" s="41">
        <f t="shared" si="0"/>
        <v>2012</v>
      </c>
      <c r="N2" s="41">
        <f t="shared" si="0"/>
        <v>2013</v>
      </c>
      <c r="O2" s="41">
        <f t="shared" si="0"/>
        <v>2014</v>
      </c>
      <c r="P2" s="42">
        <f t="shared" ref="P2:Z2" si="1">+O2+1</f>
        <v>2015</v>
      </c>
      <c r="Q2" s="42">
        <f t="shared" si="1"/>
        <v>2016</v>
      </c>
      <c r="R2" s="42">
        <f t="shared" si="1"/>
        <v>2017</v>
      </c>
      <c r="S2" s="42">
        <f t="shared" si="1"/>
        <v>2018</v>
      </c>
      <c r="T2" s="42">
        <f t="shared" si="1"/>
        <v>2019</v>
      </c>
      <c r="U2" s="42">
        <f t="shared" si="1"/>
        <v>2020</v>
      </c>
      <c r="V2" s="42">
        <f t="shared" si="1"/>
        <v>2021</v>
      </c>
      <c r="W2" s="42">
        <f t="shared" si="1"/>
        <v>2022</v>
      </c>
      <c r="X2" s="42">
        <f t="shared" si="1"/>
        <v>2023</v>
      </c>
      <c r="Y2" s="42">
        <f t="shared" si="1"/>
        <v>2024</v>
      </c>
      <c r="Z2" s="42">
        <f t="shared" si="1"/>
        <v>2025</v>
      </c>
      <c r="AA2" s="42">
        <f t="shared" ref="AA2" si="2">+Z2+1</f>
        <v>2026</v>
      </c>
      <c r="AB2" s="42">
        <f t="shared" ref="AB2" si="3">+AA2+1</f>
        <v>2027</v>
      </c>
      <c r="AC2" s="42">
        <f t="shared" ref="AC2" si="4">+AB2+1</f>
        <v>2028</v>
      </c>
      <c r="AD2" s="42">
        <f t="shared" ref="AD2" si="5">+AC2+1</f>
        <v>2029</v>
      </c>
      <c r="AE2" s="42">
        <f t="shared" ref="AE2" si="6">+AD2+1</f>
        <v>2030</v>
      </c>
    </row>
    <row r="3" spans="2:39">
      <c r="B3" s="48"/>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t="s">
        <v>1823</v>
      </c>
    </row>
    <row r="4" spans="2:39">
      <c r="B4" s="48" t="s">
        <v>2354</v>
      </c>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G4" s="8" t="s">
        <v>2108</v>
      </c>
      <c r="AH4" s="8" t="s">
        <v>2107</v>
      </c>
    </row>
    <row r="5" spans="2:39">
      <c r="B5" t="s">
        <v>2376</v>
      </c>
      <c r="C5" s="81">
        <v>6457.5</v>
      </c>
      <c r="D5" s="82">
        <v>6541.2503613393601</v>
      </c>
      <c r="E5" s="83">
        <v>6541.2503613393601</v>
      </c>
      <c r="F5" s="51">
        <v>6822.3779999999997</v>
      </c>
      <c r="G5" s="51">
        <v>6948</v>
      </c>
      <c r="H5" s="51">
        <v>6948</v>
      </c>
      <c r="I5" s="52">
        <f t="shared" ref="I5:J7" si="7">I32/I14</f>
        <v>5851.8518518518513</v>
      </c>
      <c r="J5" s="52">
        <f t="shared" ref="J5:P5" si="8">J32/J14</f>
        <v>5924.9786871270244</v>
      </c>
      <c r="K5" s="52">
        <f t="shared" si="8"/>
        <v>6041.7408559001487</v>
      </c>
      <c r="L5" s="52">
        <f t="shared" si="8"/>
        <v>6221.0219986189204</v>
      </c>
      <c r="M5" s="52">
        <f t="shared" si="8"/>
        <v>6278.9815361268029</v>
      </c>
      <c r="N5" s="52">
        <f t="shared" si="8"/>
        <v>6291.8031052704964</v>
      </c>
      <c r="O5" s="52">
        <f t="shared" si="8"/>
        <v>6302.9848110208404</v>
      </c>
      <c r="P5" s="52">
        <f t="shared" si="8"/>
        <v>6475.7509414134347</v>
      </c>
      <c r="Q5" s="52">
        <f t="shared" ref="Q5:Z5" si="9">P5*(1+$AH5/2)</f>
        <v>6475.7509414134347</v>
      </c>
      <c r="R5" s="52">
        <f t="shared" si="9"/>
        <v>6475.7509414134347</v>
      </c>
      <c r="S5" s="52">
        <f t="shared" si="9"/>
        <v>6475.7509414134347</v>
      </c>
      <c r="T5" s="52">
        <f t="shared" si="9"/>
        <v>6475.7509414134347</v>
      </c>
      <c r="U5" s="52">
        <f t="shared" si="9"/>
        <v>6475.7509414134347</v>
      </c>
      <c r="V5" s="52">
        <f t="shared" si="9"/>
        <v>6475.7509414134347</v>
      </c>
      <c r="W5" s="52">
        <f t="shared" si="9"/>
        <v>6475.7509414134347</v>
      </c>
      <c r="X5" s="52">
        <f t="shared" si="9"/>
        <v>6475.7509414134347</v>
      </c>
      <c r="Y5" s="52">
        <f t="shared" si="9"/>
        <v>6475.7509414134347</v>
      </c>
      <c r="Z5" s="52">
        <f t="shared" si="9"/>
        <v>6475.7509414134347</v>
      </c>
      <c r="AA5" s="52">
        <f t="shared" ref="AA5:AE5" si="10">Z5*(1+$AH5/2)</f>
        <v>6475.7509414134347</v>
      </c>
      <c r="AB5" s="52">
        <f t="shared" si="10"/>
        <v>6475.7509414134347</v>
      </c>
      <c r="AC5" s="52">
        <f t="shared" si="10"/>
        <v>6475.7509414134347</v>
      </c>
      <c r="AD5" s="52">
        <f t="shared" si="10"/>
        <v>6475.7509414134347</v>
      </c>
      <c r="AE5" s="52">
        <f t="shared" si="10"/>
        <v>6475.7509414134347</v>
      </c>
      <c r="AF5" s="153">
        <f>O5</f>
        <v>6302.9848110208404</v>
      </c>
      <c r="AG5">
        <v>4700</v>
      </c>
      <c r="AH5" s="141">
        <v>0</v>
      </c>
      <c r="AI5" s="21"/>
      <c r="AJ5" s="21"/>
      <c r="AK5" s="21"/>
      <c r="AL5" s="21"/>
      <c r="AM5" s="21"/>
    </row>
    <row r="6" spans="2:39">
      <c r="B6" t="s">
        <v>2379</v>
      </c>
      <c r="C6" s="84">
        <v>11997</v>
      </c>
      <c r="D6" s="58">
        <v>11997</v>
      </c>
      <c r="E6" s="85">
        <v>11997</v>
      </c>
      <c r="F6" s="51">
        <v>12293.545</v>
      </c>
      <c r="G6" s="51">
        <v>12728</v>
      </c>
      <c r="H6" s="51">
        <v>12728</v>
      </c>
      <c r="I6" s="52">
        <f t="shared" si="7"/>
        <v>13623.456790123457</v>
      </c>
      <c r="J6" s="52">
        <f t="shared" si="7"/>
        <v>13552.532123960695</v>
      </c>
      <c r="K6" s="52">
        <f t="shared" ref="K6:M7" si="11">K33/K15</f>
        <v>14356.358878079307</v>
      </c>
      <c r="L6" s="52">
        <f t="shared" si="11"/>
        <v>14646.25279642058</v>
      </c>
      <c r="M6" s="52">
        <f t="shared" si="11"/>
        <v>15479.126040962432</v>
      </c>
      <c r="N6" s="52">
        <f t="shared" ref="N6:P7" si="12">N33/N15</f>
        <v>16086.550772031034</v>
      </c>
      <c r="O6" s="52">
        <f t="shared" si="12"/>
        <v>16514.378386930897</v>
      </c>
      <c r="P6" s="52">
        <f t="shared" si="12"/>
        <v>16593.274236137309</v>
      </c>
      <c r="Q6" s="52">
        <f t="shared" ref="Q6:Z6" si="13">P6*(1+$AH6/2)</f>
        <v>16784.096889852888</v>
      </c>
      <c r="R6" s="52">
        <f t="shared" si="13"/>
        <v>16977.114004086197</v>
      </c>
      <c r="S6" s="52">
        <f t="shared" si="13"/>
        <v>17172.350815133188</v>
      </c>
      <c r="T6" s="52">
        <f t="shared" si="13"/>
        <v>17369.83284950722</v>
      </c>
      <c r="U6" s="52">
        <f t="shared" si="13"/>
        <v>17569.585927276556</v>
      </c>
      <c r="V6" s="52">
        <f t="shared" si="13"/>
        <v>17771.636165440235</v>
      </c>
      <c r="W6" s="52">
        <f t="shared" si="13"/>
        <v>17976.009981342799</v>
      </c>
      <c r="X6" s="52">
        <f t="shared" si="13"/>
        <v>18182.734096128243</v>
      </c>
      <c r="Y6" s="52">
        <f t="shared" si="13"/>
        <v>18391.835538233718</v>
      </c>
      <c r="Z6" s="52">
        <f t="shared" si="13"/>
        <v>18603.341646923407</v>
      </c>
      <c r="AA6" s="52">
        <f t="shared" ref="AA6:AE6" si="14">Z6*(1+$AH6/2)</f>
        <v>18817.280075863029</v>
      </c>
      <c r="AB6" s="52">
        <f t="shared" si="14"/>
        <v>19033.678796735454</v>
      </c>
      <c r="AC6" s="52">
        <f t="shared" si="14"/>
        <v>19252.566102897912</v>
      </c>
      <c r="AD6" s="52">
        <f t="shared" si="14"/>
        <v>19473.970613081241</v>
      </c>
      <c r="AE6" s="52">
        <f t="shared" si="14"/>
        <v>19697.921275131677</v>
      </c>
      <c r="AF6" s="153">
        <f>O6</f>
        <v>16514.378386930897</v>
      </c>
      <c r="AG6">
        <v>4700</v>
      </c>
      <c r="AH6" s="141">
        <v>2.3E-2</v>
      </c>
      <c r="AI6" s="21"/>
      <c r="AJ6" s="21"/>
      <c r="AK6" s="21"/>
      <c r="AL6" s="21"/>
      <c r="AM6" s="21"/>
    </row>
    <row r="7" spans="2:39">
      <c r="B7" s="21" t="s">
        <v>2380</v>
      </c>
      <c r="C7" s="51">
        <v>6800</v>
      </c>
      <c r="D7" s="51">
        <v>6800</v>
      </c>
      <c r="E7" s="51">
        <v>7180</v>
      </c>
      <c r="F7" s="51">
        <v>7326.4960000000001</v>
      </c>
      <c r="G7" s="51">
        <v>7484</v>
      </c>
      <c r="H7" s="51">
        <v>7484</v>
      </c>
      <c r="I7" s="52">
        <f t="shared" si="7"/>
        <v>7656.19357168653</v>
      </c>
      <c r="J7" s="52">
        <f t="shared" si="7"/>
        <v>8197.0613656006917</v>
      </c>
      <c r="K7" s="52">
        <f t="shared" si="11"/>
        <v>8072.4234236032598</v>
      </c>
      <c r="L7" s="52">
        <f t="shared" si="11"/>
        <v>8236.1988020074477</v>
      </c>
      <c r="M7" s="52">
        <f t="shared" si="11"/>
        <v>8388.7701948566973</v>
      </c>
      <c r="N7" s="52">
        <f t="shared" si="12"/>
        <v>8618.6147921621923</v>
      </c>
      <c r="O7" s="52">
        <f t="shared" si="12"/>
        <v>9288.8243831640048</v>
      </c>
      <c r="P7" s="52">
        <f t="shared" si="12"/>
        <v>9474.0449657869012</v>
      </c>
      <c r="Q7" s="52">
        <f t="shared" ref="Q7:Z7" si="15">P7*(1+$AH7/2)</f>
        <v>9576.3646514173997</v>
      </c>
      <c r="R7" s="52">
        <f t="shared" si="15"/>
        <v>9679.7893896527075</v>
      </c>
      <c r="S7" s="52">
        <f t="shared" si="15"/>
        <v>9784.3311150609552</v>
      </c>
      <c r="T7" s="52">
        <f t="shared" si="15"/>
        <v>9890.0018911036132</v>
      </c>
      <c r="U7" s="52">
        <f t="shared" si="15"/>
        <v>9996.8139115275317</v>
      </c>
      <c r="V7" s="52">
        <f t="shared" si="15"/>
        <v>10104.779501772029</v>
      </c>
      <c r="W7" s="52">
        <f t="shared" si="15"/>
        <v>10213.911120391167</v>
      </c>
      <c r="X7" s="52">
        <f t="shared" si="15"/>
        <v>10324.22136049139</v>
      </c>
      <c r="Y7" s="52">
        <f t="shared" si="15"/>
        <v>10435.722951184696</v>
      </c>
      <c r="Z7" s="52">
        <f t="shared" si="15"/>
        <v>10548.42875905749</v>
      </c>
      <c r="AA7" s="52">
        <f t="shared" ref="AA7:AE7" si="16">Z7*(1+$AH7/2)</f>
        <v>10662.351789655309</v>
      </c>
      <c r="AB7" s="52">
        <f t="shared" si="16"/>
        <v>10777.505188983587</v>
      </c>
      <c r="AC7" s="52">
        <f t="shared" si="16"/>
        <v>10893.902245024608</v>
      </c>
      <c r="AD7" s="52">
        <f t="shared" si="16"/>
        <v>11011.556389270874</v>
      </c>
      <c r="AE7" s="52">
        <f t="shared" si="16"/>
        <v>11130.481198274998</v>
      </c>
      <c r="AF7" s="153">
        <f>O7</f>
        <v>9288.8243831640048</v>
      </c>
      <c r="AG7">
        <v>2900</v>
      </c>
      <c r="AH7" s="141">
        <v>2.1600000000000001E-2</v>
      </c>
      <c r="AI7" s="21"/>
      <c r="AJ7" s="21"/>
      <c r="AK7" s="21"/>
      <c r="AL7" s="21"/>
      <c r="AM7" s="21"/>
    </row>
    <row r="8" spans="2:39">
      <c r="B8" t="s">
        <v>1940</v>
      </c>
      <c r="AF8" s="151"/>
      <c r="AG8" s="142" t="e">
        <v>#NAME?</v>
      </c>
      <c r="AH8" s="168" t="e">
        <v>#NAME?</v>
      </c>
      <c r="AI8" s="21"/>
      <c r="AJ8" s="21"/>
      <c r="AK8" s="21"/>
      <c r="AL8" s="21"/>
      <c r="AM8" s="21"/>
    </row>
    <row r="9" spans="2:39">
      <c r="B9" s="57" t="s">
        <v>1940</v>
      </c>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151"/>
      <c r="AG9" s="21"/>
      <c r="AH9" s="21"/>
      <c r="AI9" s="21"/>
      <c r="AJ9" s="21"/>
      <c r="AK9" s="21"/>
      <c r="AL9" s="21"/>
      <c r="AM9" s="21"/>
    </row>
    <row r="10" spans="2:39">
      <c r="B10" s="50" t="s">
        <v>1828</v>
      </c>
      <c r="C10" s="52">
        <f>SUM(C5:C9)</f>
        <v>25254.5</v>
      </c>
      <c r="D10" s="52">
        <f>SUM(D5:D9)</f>
        <v>25338.25036133936</v>
      </c>
      <c r="E10" s="52">
        <f>SUM(E5:E9)</f>
        <v>25718.25036133936</v>
      </c>
      <c r="F10" s="52">
        <f>SUM(F5:F9)</f>
        <v>26442.418999999998</v>
      </c>
      <c r="G10" s="52">
        <f t="shared" ref="G10:O10" si="17">SUM(G5:G7)</f>
        <v>27160</v>
      </c>
      <c r="H10" s="52">
        <f t="shared" si="17"/>
        <v>27160</v>
      </c>
      <c r="I10" s="52">
        <f>SUM(I5:I7)</f>
        <v>27131.502213661839</v>
      </c>
      <c r="J10" s="52">
        <f>SUM(J5:J7)</f>
        <v>27674.572176688409</v>
      </c>
      <c r="K10" s="52">
        <f>SUM(K5:K7)</f>
        <v>28470.523157582717</v>
      </c>
      <c r="L10" s="52">
        <f>SUM(L5:L7)</f>
        <v>29103.473597046948</v>
      </c>
      <c r="M10" s="52">
        <f>SUM(M5:M7)</f>
        <v>30146.877771945932</v>
      </c>
      <c r="N10" s="52">
        <f t="shared" si="17"/>
        <v>30996.968669463724</v>
      </c>
      <c r="O10" s="52">
        <f t="shared" si="17"/>
        <v>32106.187581115744</v>
      </c>
      <c r="P10" s="52">
        <f t="shared" ref="P10:U10" si="18">SUM(P5:P7)</f>
        <v>32543.070143337645</v>
      </c>
      <c r="Q10" s="52">
        <f t="shared" si="18"/>
        <v>32836.212482683724</v>
      </c>
      <c r="R10" s="52">
        <f t="shared" si="18"/>
        <v>33132.654335152343</v>
      </c>
      <c r="S10" s="52">
        <f t="shared" si="18"/>
        <v>33432.432871607583</v>
      </c>
      <c r="T10" s="52">
        <f t="shared" si="18"/>
        <v>33735.585682024262</v>
      </c>
      <c r="U10" s="52">
        <f t="shared" si="18"/>
        <v>34042.150780217526</v>
      </c>
      <c r="V10" s="52">
        <f>SUM(V5:V7)</f>
        <v>34352.166608625696</v>
      </c>
      <c r="W10" s="52">
        <f>SUM(W5:W7)</f>
        <v>34665.672043147402</v>
      </c>
      <c r="X10" s="52">
        <f>SUM(X5:X7)</f>
        <v>34982.706398033071</v>
      </c>
      <c r="Y10" s="52">
        <f>SUM(Y5:Y7)</f>
        <v>35303.309430831847</v>
      </c>
      <c r="Z10" s="52">
        <f>SUM(Z5:Z7)</f>
        <v>35627.521347394329</v>
      </c>
      <c r="AA10" s="52">
        <f t="shared" ref="AA10:AE10" si="19">SUM(AA5:AA7)</f>
        <v>35955.382806931775</v>
      </c>
      <c r="AB10" s="52">
        <f t="shared" si="19"/>
        <v>36286.934927132475</v>
      </c>
      <c r="AC10" s="52">
        <f t="shared" si="19"/>
        <v>36622.219289335961</v>
      </c>
      <c r="AD10" s="52">
        <f t="shared" si="19"/>
        <v>36961.277943765548</v>
      </c>
      <c r="AE10" s="52">
        <f t="shared" si="19"/>
        <v>37304.15341482011</v>
      </c>
      <c r="AF10" s="153">
        <f>SUM(AF5:AF9)</f>
        <v>32106.187581115744</v>
      </c>
      <c r="AG10" s="143"/>
      <c r="AH10" s="143"/>
      <c r="AI10" s="21"/>
      <c r="AJ10" s="21"/>
      <c r="AK10" s="21"/>
      <c r="AL10" s="21"/>
      <c r="AM10" s="21"/>
    </row>
    <row r="11" spans="2:39">
      <c r="B11" s="50"/>
      <c r="C11" s="25"/>
      <c r="D11" s="26"/>
      <c r="E11" s="26"/>
      <c r="F11" s="26"/>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151"/>
      <c r="AG11" s="21"/>
      <c r="AH11" s="21"/>
      <c r="AI11" s="21"/>
      <c r="AJ11" s="21"/>
      <c r="AK11" s="21"/>
      <c r="AL11" s="21"/>
      <c r="AM11" s="21"/>
    </row>
    <row r="12" spans="2:39">
      <c r="B12" s="50"/>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151"/>
      <c r="AG12" s="21"/>
      <c r="AH12" s="21"/>
      <c r="AI12" s="21"/>
      <c r="AJ12" s="21"/>
      <c r="AK12" s="21"/>
      <c r="AL12" s="21"/>
      <c r="AM12" s="21"/>
    </row>
    <row r="13" spans="2:39">
      <c r="B13" s="48" t="s">
        <v>1931</v>
      </c>
      <c r="C13" s="25"/>
      <c r="D13" s="26"/>
      <c r="E13" s="26"/>
      <c r="F13" s="26" t="s">
        <v>1823</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151"/>
      <c r="AG13" s="21"/>
      <c r="AH13" s="21"/>
      <c r="AI13" s="21"/>
      <c r="AJ13" s="21"/>
      <c r="AK13" s="21"/>
      <c r="AL13" s="21"/>
      <c r="AM13" s="21"/>
    </row>
    <row r="14" spans="2:39">
      <c r="B14" s="50" t="str">
        <f t="shared" ref="B14:B19" si="20">B5</f>
        <v>El Salvador</v>
      </c>
      <c r="C14" s="75">
        <v>0.13764119241192413</v>
      </c>
      <c r="D14" s="76">
        <v>0.1757615037631112</v>
      </c>
      <c r="E14" s="79">
        <v>0.21388181511429827</v>
      </c>
      <c r="F14" s="54">
        <v>0.33700000000000002</v>
      </c>
      <c r="G14" s="54">
        <v>0.41</v>
      </c>
      <c r="H14" s="53">
        <f>H32/H5</f>
        <v>0.72551944313602346</v>
      </c>
      <c r="I14" s="54">
        <v>0.96</v>
      </c>
      <c r="J14" s="54">
        <v>1.02</v>
      </c>
      <c r="K14" s="54">
        <v>1.0169999999999999</v>
      </c>
      <c r="L14" s="54">
        <v>1.1160000000000001</v>
      </c>
      <c r="M14" s="54">
        <v>1.1599999999999999</v>
      </c>
      <c r="N14" s="54">
        <v>1.0860000000000001</v>
      </c>
      <c r="O14" s="54">
        <v>1.1919999999999999</v>
      </c>
      <c r="P14" s="53">
        <f>O14+P23</f>
        <v>1.202</v>
      </c>
      <c r="Q14" s="53">
        <f t="shared" ref="Q14:Z16" si="21">P14+Q23</f>
        <v>1.2069999999999999</v>
      </c>
      <c r="R14" s="53">
        <f t="shared" si="21"/>
        <v>1.2119999999999997</v>
      </c>
      <c r="S14" s="53">
        <f t="shared" si="21"/>
        <v>1.2129999999999996</v>
      </c>
      <c r="T14" s="53">
        <f t="shared" si="21"/>
        <v>1.2139999999999995</v>
      </c>
      <c r="U14" s="53">
        <f t="shared" si="21"/>
        <v>1.2149999999999994</v>
      </c>
      <c r="V14" s="53">
        <f t="shared" si="21"/>
        <v>1.2149999999999994</v>
      </c>
      <c r="W14" s="53">
        <f t="shared" si="21"/>
        <v>1.2149999999999994</v>
      </c>
      <c r="X14" s="53">
        <f t="shared" si="21"/>
        <v>1.2149999999999994</v>
      </c>
      <c r="Y14" s="53">
        <f t="shared" si="21"/>
        <v>1.2149999999999994</v>
      </c>
      <c r="Z14" s="53">
        <f t="shared" si="21"/>
        <v>1.2149999999999994</v>
      </c>
      <c r="AA14" s="53">
        <f t="shared" ref="AA14:AA16" si="22">Z14+AA23</f>
        <v>1.2149999999999994</v>
      </c>
      <c r="AB14" s="53">
        <f t="shared" ref="AB14:AB16" si="23">AA14+AB23</f>
        <v>1.2149999999999994</v>
      </c>
      <c r="AC14" s="53">
        <f t="shared" ref="AC14:AC16" si="24">AB14+AC23</f>
        <v>1.2149999999999994</v>
      </c>
      <c r="AD14" s="53">
        <f t="shared" ref="AD14:AD16" si="25">AC14+AD23</f>
        <v>1.2149999999999994</v>
      </c>
      <c r="AE14" s="53">
        <f t="shared" ref="AE14:AE16" si="26">AD14+AE23</f>
        <v>1.2149999999999994</v>
      </c>
      <c r="AF14" s="155" t="e">
        <f>#REF!</f>
        <v>#REF!</v>
      </c>
      <c r="AG14" s="21"/>
      <c r="AH14" s="21"/>
      <c r="AI14" s="21"/>
      <c r="AJ14" s="21"/>
      <c r="AK14" s="21"/>
      <c r="AL14" s="21"/>
      <c r="AM14" s="21"/>
    </row>
    <row r="15" spans="2:39">
      <c r="B15" s="50" t="str">
        <f t="shared" si="20"/>
        <v>Guatemala</v>
      </c>
      <c r="C15" s="77">
        <v>0.12729415687255147</v>
      </c>
      <c r="D15" s="78">
        <v>0.16</v>
      </c>
      <c r="E15" s="80">
        <v>0.21</v>
      </c>
      <c r="F15" s="54">
        <v>0.32500000000000001</v>
      </c>
      <c r="G15" s="54">
        <v>0.45</v>
      </c>
      <c r="H15" s="53">
        <f>H33/H6</f>
        <v>0.68865886235072282</v>
      </c>
      <c r="I15" s="54">
        <v>0.72</v>
      </c>
      <c r="J15" s="54">
        <v>0.81</v>
      </c>
      <c r="K15" s="54">
        <v>0.83699999999999997</v>
      </c>
      <c r="L15" s="54">
        <v>0.89400000000000002</v>
      </c>
      <c r="M15" s="54">
        <v>0.94599999999999995</v>
      </c>
      <c r="N15" s="54">
        <v>0.96399999999999997</v>
      </c>
      <c r="O15" s="54">
        <v>0.95399999999999996</v>
      </c>
      <c r="P15" s="53">
        <f>O15+P24</f>
        <v>0.96399999999999997</v>
      </c>
      <c r="Q15" s="53">
        <f t="shared" si="21"/>
        <v>0.96899999999999997</v>
      </c>
      <c r="R15" s="53">
        <f t="shared" si="21"/>
        <v>0.97399999999999998</v>
      </c>
      <c r="S15" s="53">
        <f t="shared" si="21"/>
        <v>0.97499999999999998</v>
      </c>
      <c r="T15" s="53">
        <f t="shared" si="21"/>
        <v>0.97599999999999998</v>
      </c>
      <c r="U15" s="53">
        <f t="shared" si="21"/>
        <v>0.97699999999999998</v>
      </c>
      <c r="V15" s="53">
        <f t="shared" si="21"/>
        <v>0.97699999999999998</v>
      </c>
      <c r="W15" s="53">
        <f t="shared" si="21"/>
        <v>0.97699999999999998</v>
      </c>
      <c r="X15" s="53">
        <f t="shared" si="21"/>
        <v>0.97699999999999998</v>
      </c>
      <c r="Y15" s="53">
        <f t="shared" si="21"/>
        <v>0.97699999999999998</v>
      </c>
      <c r="Z15" s="53">
        <f t="shared" si="21"/>
        <v>0.97699999999999998</v>
      </c>
      <c r="AA15" s="53">
        <f t="shared" si="22"/>
        <v>0.97699999999999998</v>
      </c>
      <c r="AB15" s="53">
        <f t="shared" si="23"/>
        <v>0.97699999999999998</v>
      </c>
      <c r="AC15" s="53">
        <f t="shared" si="24"/>
        <v>0.97699999999999998</v>
      </c>
      <c r="AD15" s="53">
        <f t="shared" si="25"/>
        <v>0.97699999999999998</v>
      </c>
      <c r="AE15" s="53">
        <f t="shared" si="26"/>
        <v>0.97699999999999998</v>
      </c>
      <c r="AF15" s="155" t="e">
        <f>#REF!</f>
        <v>#REF!</v>
      </c>
      <c r="AG15" s="21"/>
      <c r="AH15" s="21"/>
      <c r="AI15" s="21"/>
      <c r="AJ15" s="21"/>
      <c r="AK15" s="21"/>
      <c r="AL15" s="21"/>
      <c r="AM15" s="21"/>
    </row>
    <row r="16" spans="2:39">
      <c r="B16" s="50" t="str">
        <f t="shared" si="20"/>
        <v>Honduras</v>
      </c>
      <c r="C16" s="53"/>
      <c r="D16" s="53"/>
      <c r="E16" s="54">
        <v>0.11600000000000001</v>
      </c>
      <c r="F16" s="54">
        <v>0.16200000000000001</v>
      </c>
      <c r="G16" s="54">
        <v>0.3</v>
      </c>
      <c r="H16" s="53">
        <f>H34/H7</f>
        <v>0.5585248530197755</v>
      </c>
      <c r="I16" s="54">
        <v>0.78</v>
      </c>
      <c r="J16" s="54">
        <v>0.89</v>
      </c>
      <c r="K16" s="54">
        <v>0.85699999999999998</v>
      </c>
      <c r="L16" s="54">
        <v>0.85199999999999998</v>
      </c>
      <c r="M16" s="54">
        <v>0.80200000000000005</v>
      </c>
      <c r="N16" s="54">
        <v>0.86399999999999999</v>
      </c>
      <c r="O16" s="54">
        <v>0.79500000000000004</v>
      </c>
      <c r="P16" s="53">
        <f>O16+P25</f>
        <v>0.82500000000000007</v>
      </c>
      <c r="Q16" s="53">
        <f t="shared" si="21"/>
        <v>0.85500000000000009</v>
      </c>
      <c r="R16" s="53">
        <f t="shared" si="21"/>
        <v>0.88500000000000012</v>
      </c>
      <c r="S16" s="53">
        <f t="shared" si="21"/>
        <v>0.91500000000000015</v>
      </c>
      <c r="T16" s="53">
        <f t="shared" si="21"/>
        <v>0.94500000000000017</v>
      </c>
      <c r="U16" s="53">
        <f t="shared" si="21"/>
        <v>0.9750000000000002</v>
      </c>
      <c r="V16" s="53">
        <f t="shared" si="21"/>
        <v>0.9750000000000002</v>
      </c>
      <c r="W16" s="53">
        <f t="shared" si="21"/>
        <v>0.9750000000000002</v>
      </c>
      <c r="X16" s="53">
        <f t="shared" si="21"/>
        <v>0.9750000000000002</v>
      </c>
      <c r="Y16" s="53">
        <f t="shared" si="21"/>
        <v>0.9750000000000002</v>
      </c>
      <c r="Z16" s="53">
        <f t="shared" si="21"/>
        <v>0.9750000000000002</v>
      </c>
      <c r="AA16" s="53">
        <f t="shared" si="22"/>
        <v>0.9750000000000002</v>
      </c>
      <c r="AB16" s="53">
        <f t="shared" si="23"/>
        <v>0.9750000000000002</v>
      </c>
      <c r="AC16" s="53">
        <f t="shared" si="24"/>
        <v>0.9750000000000002</v>
      </c>
      <c r="AD16" s="53">
        <f t="shared" si="25"/>
        <v>0.9750000000000002</v>
      </c>
      <c r="AE16" s="53">
        <f t="shared" si="26"/>
        <v>0.9750000000000002</v>
      </c>
      <c r="AF16" s="155" t="e">
        <f>#REF!</f>
        <v>#REF!</v>
      </c>
      <c r="AG16" s="21"/>
      <c r="AH16" s="21"/>
      <c r="AI16" s="21"/>
      <c r="AJ16" s="21"/>
      <c r="AK16" s="21"/>
      <c r="AL16" s="21"/>
      <c r="AM16" s="21"/>
    </row>
    <row r="17" spans="2:39">
      <c r="B17" s="50" t="str">
        <f t="shared" si="20"/>
        <v>xx</v>
      </c>
      <c r="AF17" s="151"/>
      <c r="AG17" s="21"/>
      <c r="AH17" s="21"/>
      <c r="AI17" s="21"/>
      <c r="AJ17" s="21"/>
      <c r="AK17" s="21"/>
      <c r="AL17" s="21"/>
      <c r="AM17" s="21"/>
    </row>
    <row r="18" spans="2:39">
      <c r="B18" s="74" t="str">
        <f t="shared" si="20"/>
        <v>xx</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151"/>
      <c r="AG18" s="21"/>
      <c r="AH18" s="21"/>
      <c r="AI18" s="21"/>
      <c r="AJ18" s="21"/>
      <c r="AK18" s="21"/>
      <c r="AL18" s="21"/>
      <c r="AM18" s="21"/>
    </row>
    <row r="19" spans="2:39">
      <c r="B19" s="50" t="str">
        <f t="shared" si="20"/>
        <v>Central America</v>
      </c>
      <c r="C19" s="25"/>
      <c r="D19" s="53">
        <f t="shared" ref="D19:O19" si="27">D37/D10</f>
        <v>0.12112991055937154</v>
      </c>
      <c r="E19" s="53">
        <f t="shared" si="27"/>
        <v>0.18474446875836706</v>
      </c>
      <c r="F19" s="53">
        <f t="shared" si="27"/>
        <v>0.28293311073393096</v>
      </c>
      <c r="G19" s="53">
        <f t="shared" si="27"/>
        <v>0.39843446244477171</v>
      </c>
      <c r="H19" s="53">
        <f t="shared" si="27"/>
        <v>0.6622297161601286</v>
      </c>
      <c r="I19" s="53">
        <f t="shared" si="27"/>
        <v>0.78869564552924476</v>
      </c>
      <c r="J19" s="53">
        <f t="shared" si="27"/>
        <v>0.87865545820958346</v>
      </c>
      <c r="K19" s="53">
        <f t="shared" si="27"/>
        <v>0.88086859404097206</v>
      </c>
      <c r="L19" s="53">
        <f t="shared" si="27"/>
        <v>0.92956780019942775</v>
      </c>
      <c r="M19" s="53">
        <f t="shared" si="27"/>
        <v>0.95050193023962393</v>
      </c>
      <c r="N19" s="53">
        <f t="shared" si="27"/>
        <v>0.96095900907671405</v>
      </c>
      <c r="O19" s="53">
        <f t="shared" si="27"/>
        <v>0.95472220683447073</v>
      </c>
      <c r="P19" s="53">
        <f t="shared" ref="P19:U19" si="28">P37/P10</f>
        <v>0.97089352519058325</v>
      </c>
      <c r="Q19" s="53">
        <f t="shared" si="28"/>
        <v>0.98268986006019621</v>
      </c>
      <c r="R19" s="53">
        <f t="shared" si="28"/>
        <v>0.99451533395125968</v>
      </c>
      <c r="S19" s="53">
        <f t="shared" si="28"/>
        <v>1.003540216047605</v>
      </c>
      <c r="T19" s="53">
        <f t="shared" si="28"/>
        <v>1.0125975168496943</v>
      </c>
      <c r="U19" s="53">
        <f t="shared" si="28"/>
        <v>1.0216868091870785</v>
      </c>
      <c r="V19" s="53">
        <f t="shared" ref="V19:AF19" si="29">V37/V10</f>
        <v>1.0212772411528459</v>
      </c>
      <c r="W19" s="53">
        <f t="shared" si="29"/>
        <v>1.0208705154748685</v>
      </c>
      <c r="X19" s="53">
        <f t="shared" si="29"/>
        <v>1.0204666278827674</v>
      </c>
      <c r="Y19" s="53">
        <f t="shared" si="29"/>
        <v>1.0200655738134918</v>
      </c>
      <c r="Z19" s="53">
        <f t="shared" si="29"/>
        <v>1.0196673484162955</v>
      </c>
      <c r="AA19" s="53">
        <f t="shared" ref="AA19:AE19" si="30">AA37/AA10</f>
        <v>1.0192719465577227</v>
      </c>
      <c r="AB19" s="53">
        <f t="shared" si="30"/>
        <v>1.0188793628265951</v>
      </c>
      <c r="AC19" s="53">
        <f t="shared" si="30"/>
        <v>1.0184895915390031</v>
      </c>
      <c r="AD19" s="53">
        <f t="shared" si="30"/>
        <v>1.0181026267432971</v>
      </c>
      <c r="AE19" s="53">
        <f t="shared" si="30"/>
        <v>1.0177184622250774</v>
      </c>
      <c r="AF19" s="158" t="e">
        <f t="shared" si="29"/>
        <v>#REF!</v>
      </c>
      <c r="AG19" s="16"/>
      <c r="AH19" s="16"/>
      <c r="AI19" s="21"/>
      <c r="AJ19" s="21"/>
      <c r="AK19" s="21"/>
      <c r="AL19" s="21"/>
      <c r="AM19" s="21"/>
    </row>
    <row r="20" spans="2:39">
      <c r="B20" s="50"/>
      <c r="C20" s="25"/>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8"/>
      <c r="AG20" s="16"/>
      <c r="AH20" s="16"/>
      <c r="AI20" s="21"/>
      <c r="AJ20" s="21"/>
      <c r="AK20" s="21"/>
      <c r="AL20" s="21"/>
      <c r="AM20" s="21"/>
    </row>
    <row r="21" spans="2:39">
      <c r="B21" s="48"/>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151"/>
      <c r="AG21" s="21"/>
      <c r="AH21" s="21"/>
      <c r="AI21" s="21"/>
      <c r="AJ21" s="21"/>
      <c r="AK21" s="21"/>
      <c r="AL21" s="21"/>
      <c r="AM21" s="21"/>
    </row>
    <row r="22" spans="2:39">
      <c r="B22" s="48" t="s">
        <v>1933</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151"/>
      <c r="AG22" s="21"/>
      <c r="AH22" s="21"/>
      <c r="AI22" s="21"/>
      <c r="AJ22" s="21"/>
      <c r="AK22" s="21"/>
      <c r="AL22" s="21"/>
      <c r="AM22" s="21"/>
    </row>
    <row r="23" spans="2:39">
      <c r="B23" s="50" t="str">
        <f t="shared" ref="B23:B28" si="31">B14</f>
        <v>El Salvador</v>
      </c>
      <c r="C23" s="53"/>
      <c r="D23" s="53">
        <f t="shared" ref="D23:F25" si="32">D14-C14</f>
        <v>3.8120311351187069E-2</v>
      </c>
      <c r="E23" s="53">
        <f t="shared" si="32"/>
        <v>3.8120311351187069E-2</v>
      </c>
      <c r="F23" s="53">
        <f t="shared" si="32"/>
        <v>0.12311818488570175</v>
      </c>
      <c r="G23" s="53">
        <f t="shared" ref="G23:H25" si="33">G14-F14</f>
        <v>7.2999999999999954E-2</v>
      </c>
      <c r="H23" s="53">
        <f t="shared" si="33"/>
        <v>0.31551944313602348</v>
      </c>
      <c r="I23" s="53">
        <f t="shared" ref="I23:O25" si="34">I14-H14</f>
        <v>0.23448055686397651</v>
      </c>
      <c r="J23" s="53">
        <f t="shared" si="34"/>
        <v>6.0000000000000053E-2</v>
      </c>
      <c r="K23" s="53">
        <f t="shared" si="34"/>
        <v>-3.0000000000001137E-3</v>
      </c>
      <c r="L23" s="53">
        <f t="shared" si="34"/>
        <v>9.9000000000000199E-2</v>
      </c>
      <c r="M23" s="53">
        <f t="shared" si="34"/>
        <v>4.3999999999999817E-2</v>
      </c>
      <c r="N23" s="53">
        <f t="shared" si="34"/>
        <v>-7.3999999999999844E-2</v>
      </c>
      <c r="O23" s="53">
        <f t="shared" si="34"/>
        <v>0.10599999999999987</v>
      </c>
      <c r="P23" s="63">
        <v>0.01</v>
      </c>
      <c r="Q23" s="63">
        <v>5.0000000000000001E-3</v>
      </c>
      <c r="R23" s="63">
        <v>5.0000000000000001E-3</v>
      </c>
      <c r="S23" s="63">
        <v>1E-3</v>
      </c>
      <c r="T23" s="63">
        <v>1E-3</v>
      </c>
      <c r="U23" s="63">
        <v>1E-3</v>
      </c>
      <c r="V23" s="63">
        <v>0</v>
      </c>
      <c r="W23" s="63">
        <v>0</v>
      </c>
      <c r="X23" s="63">
        <v>0</v>
      </c>
      <c r="Y23" s="63">
        <v>0</v>
      </c>
      <c r="Z23" s="63">
        <v>0</v>
      </c>
      <c r="AA23" s="63">
        <v>0</v>
      </c>
      <c r="AB23" s="63">
        <v>0</v>
      </c>
      <c r="AC23" s="63">
        <v>0</v>
      </c>
      <c r="AD23" s="63">
        <v>0</v>
      </c>
      <c r="AE23" s="63">
        <v>0</v>
      </c>
      <c r="AF23" s="151"/>
      <c r="AG23" s="21"/>
      <c r="AH23" s="21"/>
      <c r="AI23" s="21"/>
      <c r="AJ23" s="21"/>
      <c r="AK23" s="21"/>
      <c r="AL23" s="21"/>
      <c r="AM23" s="21"/>
    </row>
    <row r="24" spans="2:39">
      <c r="B24" s="50" t="str">
        <f t="shared" si="31"/>
        <v>Guatemala</v>
      </c>
      <c r="C24" s="53"/>
      <c r="D24" s="53">
        <f t="shared" si="32"/>
        <v>3.2705843127448536E-2</v>
      </c>
      <c r="E24" s="53">
        <f t="shared" si="32"/>
        <v>4.9999999999999989E-2</v>
      </c>
      <c r="F24" s="53">
        <f t="shared" si="32"/>
        <v>0.11500000000000002</v>
      </c>
      <c r="G24" s="53">
        <f t="shared" si="33"/>
        <v>0.125</v>
      </c>
      <c r="H24" s="53">
        <f t="shared" si="33"/>
        <v>0.23865886235072281</v>
      </c>
      <c r="I24" s="53">
        <f t="shared" si="34"/>
        <v>3.1341137649277151E-2</v>
      </c>
      <c r="J24" s="53">
        <f t="shared" si="34"/>
        <v>9.000000000000008E-2</v>
      </c>
      <c r="K24" s="53">
        <f t="shared" si="34"/>
        <v>2.6999999999999913E-2</v>
      </c>
      <c r="L24" s="53">
        <f t="shared" si="34"/>
        <v>5.7000000000000051E-2</v>
      </c>
      <c r="M24" s="53">
        <f t="shared" si="34"/>
        <v>5.1999999999999935E-2</v>
      </c>
      <c r="N24" s="53">
        <f t="shared" si="34"/>
        <v>1.8000000000000016E-2</v>
      </c>
      <c r="O24" s="53">
        <f t="shared" si="34"/>
        <v>-1.0000000000000009E-2</v>
      </c>
      <c r="P24" s="63">
        <v>0.01</v>
      </c>
      <c r="Q24" s="63">
        <v>5.0000000000000001E-3</v>
      </c>
      <c r="R24" s="63">
        <v>5.0000000000000001E-3</v>
      </c>
      <c r="S24" s="63">
        <v>1E-3</v>
      </c>
      <c r="T24" s="63">
        <v>1E-3</v>
      </c>
      <c r="U24" s="63">
        <v>1E-3</v>
      </c>
      <c r="V24" s="63">
        <v>0</v>
      </c>
      <c r="W24" s="63">
        <v>0</v>
      </c>
      <c r="X24" s="63">
        <v>0</v>
      </c>
      <c r="Y24" s="63">
        <v>0</v>
      </c>
      <c r="Z24" s="63">
        <v>0</v>
      </c>
      <c r="AA24" s="63">
        <v>0</v>
      </c>
      <c r="AB24" s="63">
        <v>0</v>
      </c>
      <c r="AC24" s="63">
        <v>0</v>
      </c>
      <c r="AD24" s="63">
        <v>0</v>
      </c>
      <c r="AE24" s="63">
        <v>0</v>
      </c>
      <c r="AF24" s="151"/>
      <c r="AG24" s="21"/>
      <c r="AH24" s="21"/>
      <c r="AI24" s="21"/>
      <c r="AJ24" s="21"/>
      <c r="AK24" s="21"/>
      <c r="AL24" s="21"/>
      <c r="AM24" s="21"/>
    </row>
    <row r="25" spans="2:39">
      <c r="B25" s="50" t="str">
        <f t="shared" si="31"/>
        <v>Honduras</v>
      </c>
      <c r="C25" s="53"/>
      <c r="D25" s="53">
        <f t="shared" si="32"/>
        <v>0</v>
      </c>
      <c r="E25" s="53">
        <f t="shared" si="32"/>
        <v>0.11600000000000001</v>
      </c>
      <c r="F25" s="53">
        <f t="shared" si="32"/>
        <v>4.5999999999999999E-2</v>
      </c>
      <c r="G25" s="53">
        <f t="shared" si="33"/>
        <v>0.13799999999999998</v>
      </c>
      <c r="H25" s="53">
        <f t="shared" si="33"/>
        <v>0.25852485301977551</v>
      </c>
      <c r="I25" s="53">
        <f t="shared" si="34"/>
        <v>0.22147514698022452</v>
      </c>
      <c r="J25" s="53">
        <f t="shared" si="34"/>
        <v>0.10999999999999999</v>
      </c>
      <c r="K25" s="53">
        <f t="shared" si="34"/>
        <v>-3.3000000000000029E-2</v>
      </c>
      <c r="L25" s="53">
        <f t="shared" si="34"/>
        <v>-5.0000000000000044E-3</v>
      </c>
      <c r="M25" s="53">
        <f t="shared" si="34"/>
        <v>-4.9999999999999933E-2</v>
      </c>
      <c r="N25" s="53">
        <f t="shared" si="34"/>
        <v>6.1999999999999944E-2</v>
      </c>
      <c r="O25" s="53">
        <f t="shared" si="34"/>
        <v>-6.899999999999995E-2</v>
      </c>
      <c r="P25" s="63">
        <v>0.03</v>
      </c>
      <c r="Q25" s="63">
        <v>0.03</v>
      </c>
      <c r="R25" s="63">
        <v>0.03</v>
      </c>
      <c r="S25" s="63">
        <v>0.03</v>
      </c>
      <c r="T25" s="63">
        <v>0.03</v>
      </c>
      <c r="U25" s="63">
        <v>0.03</v>
      </c>
      <c r="V25" s="63">
        <v>0</v>
      </c>
      <c r="W25" s="63">
        <v>0</v>
      </c>
      <c r="X25" s="63">
        <v>0</v>
      </c>
      <c r="Y25" s="63">
        <v>0</v>
      </c>
      <c r="Z25" s="63">
        <v>0</v>
      </c>
      <c r="AA25" s="63">
        <v>0</v>
      </c>
      <c r="AB25" s="63">
        <v>0</v>
      </c>
      <c r="AC25" s="63">
        <v>0</v>
      </c>
      <c r="AD25" s="63">
        <v>0</v>
      </c>
      <c r="AE25" s="63">
        <v>0</v>
      </c>
      <c r="AF25" s="151"/>
      <c r="AG25" s="21"/>
      <c r="AH25" s="21"/>
      <c r="AI25" s="21"/>
      <c r="AJ25" s="21"/>
      <c r="AK25" s="21"/>
      <c r="AL25" s="21"/>
      <c r="AM25" s="21"/>
    </row>
    <row r="26" spans="2:39">
      <c r="B26" s="50" t="str">
        <f t="shared" si="31"/>
        <v>xx</v>
      </c>
      <c r="AF26" s="151"/>
      <c r="AG26" s="21"/>
      <c r="AH26" s="21"/>
      <c r="AI26" s="21"/>
      <c r="AJ26" s="21"/>
      <c r="AK26" s="21"/>
      <c r="AL26" s="21"/>
      <c r="AM26" s="21"/>
    </row>
    <row r="27" spans="2:39">
      <c r="B27" s="74" t="str">
        <f t="shared" si="31"/>
        <v>xx</v>
      </c>
      <c r="C27" s="62"/>
      <c r="D27" s="62">
        <v>9.982510693476554E-3</v>
      </c>
      <c r="E27" s="62">
        <v>9.9825571334828389E-3</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151"/>
      <c r="AG27" s="21"/>
      <c r="AH27" s="21"/>
      <c r="AI27" s="21"/>
      <c r="AJ27" s="21"/>
      <c r="AK27" s="21"/>
      <c r="AL27" s="21"/>
      <c r="AM27" s="21"/>
    </row>
    <row r="28" spans="2:39">
      <c r="B28" s="50" t="str">
        <f t="shared" si="31"/>
        <v>Central America</v>
      </c>
      <c r="C28" s="25"/>
      <c r="D28" s="53">
        <f>D19-C19</f>
        <v>0.12112991055937154</v>
      </c>
      <c r="E28" s="53">
        <f>E19-D19</f>
        <v>6.3614558198995516E-2</v>
      </c>
      <c r="F28" s="53">
        <f>F19-E19</f>
        <v>9.8188641975563901E-2</v>
      </c>
      <c r="G28" s="53">
        <f>G19-F19</f>
        <v>0.11550135171084075</v>
      </c>
      <c r="H28" s="53">
        <f t="shared" ref="H28:Z28" si="35">H19-G19</f>
        <v>0.26379525371535689</v>
      </c>
      <c r="I28" s="53">
        <f t="shared" si="35"/>
        <v>0.12646592936911616</v>
      </c>
      <c r="J28" s="53">
        <f t="shared" si="35"/>
        <v>8.9959812680338702E-2</v>
      </c>
      <c r="K28" s="53">
        <f t="shared" si="35"/>
        <v>2.2131358313886018E-3</v>
      </c>
      <c r="L28" s="53">
        <f t="shared" si="35"/>
        <v>4.8699206158455688E-2</v>
      </c>
      <c r="M28" s="53">
        <f t="shared" si="35"/>
        <v>2.0934130040196175E-2</v>
      </c>
      <c r="N28" s="53">
        <f t="shared" si="35"/>
        <v>1.0457078837090128E-2</v>
      </c>
      <c r="O28" s="53">
        <f t="shared" si="35"/>
        <v>-6.2368022422433222E-3</v>
      </c>
      <c r="P28" s="53">
        <f t="shared" si="35"/>
        <v>1.6171318356112518E-2</v>
      </c>
      <c r="Q28" s="53">
        <f t="shared" si="35"/>
        <v>1.1796334869612957E-2</v>
      </c>
      <c r="R28" s="53">
        <f t="shared" si="35"/>
        <v>1.1825473891063476E-2</v>
      </c>
      <c r="S28" s="53">
        <f t="shared" si="35"/>
        <v>9.0248820963453324E-3</v>
      </c>
      <c r="T28" s="53">
        <f t="shared" si="35"/>
        <v>9.0573008020893297E-3</v>
      </c>
      <c r="U28" s="53">
        <f t="shared" si="35"/>
        <v>9.0892923373842027E-3</v>
      </c>
      <c r="V28" s="53">
        <f t="shared" si="35"/>
        <v>-4.0956803423264354E-4</v>
      </c>
      <c r="W28" s="53">
        <f t="shared" si="35"/>
        <v>-4.0672567797739312E-4</v>
      </c>
      <c r="X28" s="53">
        <f t="shared" si="35"/>
        <v>-4.0388759210108205E-4</v>
      </c>
      <c r="Y28" s="53">
        <f t="shared" si="35"/>
        <v>-4.0105406927559706E-4</v>
      </c>
      <c r="Z28" s="53">
        <f t="shared" si="35"/>
        <v>-3.9822539719636119E-4</v>
      </c>
      <c r="AA28" s="53">
        <f t="shared" ref="AA28" si="36">AA19-Z19</f>
        <v>-3.9540185857278587E-4</v>
      </c>
      <c r="AB28" s="53">
        <f t="shared" ref="AB28" si="37">AB19-AA19</f>
        <v>-3.9258373112760481E-4</v>
      </c>
      <c r="AC28" s="53">
        <f t="shared" ref="AC28" si="38">AC19-AB19</f>
        <v>-3.8977128759198898E-4</v>
      </c>
      <c r="AD28" s="53">
        <f t="shared" ref="AD28" si="39">AD19-AC19</f>
        <v>-3.8696479570599074E-4</v>
      </c>
      <c r="AE28" s="53">
        <f t="shared" ref="AE28" si="40">AE19-AD19</f>
        <v>-3.8416451821965403E-4</v>
      </c>
      <c r="AF28" s="151"/>
      <c r="AG28" s="21"/>
      <c r="AH28" s="21"/>
      <c r="AI28" s="21"/>
      <c r="AJ28" s="21"/>
      <c r="AK28" s="21"/>
      <c r="AL28" s="21"/>
      <c r="AM28" s="21"/>
    </row>
    <row r="29" spans="2:39">
      <c r="B29" s="50"/>
      <c r="C29" s="25"/>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151"/>
      <c r="AG29" s="21"/>
      <c r="AH29" s="21"/>
      <c r="AI29" s="21"/>
      <c r="AJ29" s="21"/>
      <c r="AK29" s="21"/>
      <c r="AL29" s="21"/>
      <c r="AM29" s="21"/>
    </row>
    <row r="30" spans="2:39">
      <c r="B30" s="48"/>
      <c r="C30" s="25"/>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151" t="s">
        <v>1823</v>
      </c>
      <c r="AG30" s="21"/>
      <c r="AH30" s="21"/>
      <c r="AI30" s="21"/>
      <c r="AJ30" s="21"/>
      <c r="AK30" s="21"/>
      <c r="AL30" s="21"/>
      <c r="AM30" s="21"/>
    </row>
    <row r="31" spans="2:39">
      <c r="B31" s="48" t="s">
        <v>1932</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151"/>
      <c r="AG31" s="21"/>
      <c r="AH31" s="21"/>
      <c r="AI31" s="21"/>
      <c r="AJ31" s="21"/>
      <c r="AK31" s="21"/>
      <c r="AL31" s="21"/>
      <c r="AM31" s="21"/>
    </row>
    <row r="32" spans="2:39">
      <c r="B32" s="50" t="str">
        <f t="shared" ref="B32:B37" si="41">B23</f>
        <v>El Salvador</v>
      </c>
      <c r="C32" s="52">
        <f t="shared" ref="C32:G34" si="42">C14*C5</f>
        <v>888.8180000000001</v>
      </c>
      <c r="D32" s="52">
        <f t="shared" si="42"/>
        <v>1149.7000000000005</v>
      </c>
      <c r="E32" s="52">
        <f t="shared" si="42"/>
        <v>1399.0545004003218</v>
      </c>
      <c r="F32" s="52">
        <f t="shared" si="42"/>
        <v>2299.1413860000002</v>
      </c>
      <c r="G32" s="52">
        <f t="shared" si="42"/>
        <v>2848.68</v>
      </c>
      <c r="H32" s="52">
        <f t="shared" ref="H32:I34" si="43">H41/H52</f>
        <v>5040.909090909091</v>
      </c>
      <c r="I32" s="52">
        <f>I41/I52</f>
        <v>5617.7777777777774</v>
      </c>
      <c r="J32" s="52">
        <f>J41/J52</f>
        <v>6043.478260869565</v>
      </c>
      <c r="K32" s="52">
        <f>K41/K52</f>
        <v>6144.4504504504503</v>
      </c>
      <c r="L32" s="52">
        <f>L41/L52</f>
        <v>6942.660550458716</v>
      </c>
      <c r="M32" s="52">
        <f>M41/M52</f>
        <v>7283.6185819070906</v>
      </c>
      <c r="N32" s="52">
        <f t="shared" ref="N32:O34" si="44">N41/N52</f>
        <v>6832.8981723237594</v>
      </c>
      <c r="O32" s="52">
        <f t="shared" si="44"/>
        <v>7513.1578947368416</v>
      </c>
      <c r="P32" s="52">
        <f>P41/P52</f>
        <v>7783.8526315789477</v>
      </c>
      <c r="Q32" s="52">
        <f t="shared" ref="Q32:S34" si="45">Q14*Q5</f>
        <v>7816.2313862860146</v>
      </c>
      <c r="R32" s="52">
        <f t="shared" si="45"/>
        <v>7848.6101409930816</v>
      </c>
      <c r="S32" s="52">
        <f t="shared" si="45"/>
        <v>7855.0858919344937</v>
      </c>
      <c r="T32" s="52">
        <f t="shared" ref="T32:AF34" si="46">T14*T5</f>
        <v>7861.5616428759067</v>
      </c>
      <c r="U32" s="52">
        <f t="shared" si="46"/>
        <v>7868.0373938173198</v>
      </c>
      <c r="V32" s="52">
        <f t="shared" si="46"/>
        <v>7868.0373938173198</v>
      </c>
      <c r="W32" s="52">
        <f t="shared" si="46"/>
        <v>7868.0373938173198</v>
      </c>
      <c r="X32" s="52">
        <f t="shared" si="46"/>
        <v>7868.0373938173198</v>
      </c>
      <c r="Y32" s="52">
        <f t="shared" si="46"/>
        <v>7868.0373938173198</v>
      </c>
      <c r="Z32" s="52">
        <f t="shared" si="46"/>
        <v>7868.0373938173198</v>
      </c>
      <c r="AA32" s="52">
        <f t="shared" ref="AA32:AE32" si="47">AA14*AA5</f>
        <v>7868.0373938173198</v>
      </c>
      <c r="AB32" s="52">
        <f t="shared" si="47"/>
        <v>7868.0373938173198</v>
      </c>
      <c r="AC32" s="52">
        <f t="shared" si="47"/>
        <v>7868.0373938173198</v>
      </c>
      <c r="AD32" s="52">
        <f t="shared" si="47"/>
        <v>7868.0373938173198</v>
      </c>
      <c r="AE32" s="52">
        <f t="shared" si="47"/>
        <v>7868.0373938173198</v>
      </c>
      <c r="AF32" s="153" t="e">
        <f t="shared" si="46"/>
        <v>#REF!</v>
      </c>
      <c r="AG32" s="2"/>
      <c r="AH32" s="21"/>
      <c r="AI32" s="21"/>
      <c r="AJ32" s="21"/>
      <c r="AK32" s="21"/>
      <c r="AL32" s="21"/>
      <c r="AM32" s="21"/>
    </row>
    <row r="33" spans="2:39">
      <c r="B33" s="50" t="str">
        <f t="shared" si="41"/>
        <v>Guatemala</v>
      </c>
      <c r="C33" s="52">
        <f t="shared" si="42"/>
        <v>1527.1479999999999</v>
      </c>
      <c r="D33" s="52">
        <f t="shared" si="42"/>
        <v>1919.52</v>
      </c>
      <c r="E33" s="52">
        <f t="shared" si="42"/>
        <v>2519.37</v>
      </c>
      <c r="F33" s="52">
        <f t="shared" si="42"/>
        <v>3995.4021250000001</v>
      </c>
      <c r="G33" s="52">
        <f t="shared" si="42"/>
        <v>5727.6</v>
      </c>
      <c r="H33" s="52">
        <f t="shared" si="43"/>
        <v>8765.25</v>
      </c>
      <c r="I33" s="52">
        <f t="shared" si="43"/>
        <v>9808.8888888888887</v>
      </c>
      <c r="J33" s="52">
        <f t="shared" ref="J33:L34" si="48">J42/J53</f>
        <v>10977.551020408164</v>
      </c>
      <c r="K33" s="52">
        <f t="shared" si="48"/>
        <v>12016.27238095238</v>
      </c>
      <c r="L33" s="52">
        <f t="shared" si="48"/>
        <v>13093.749999999998</v>
      </c>
      <c r="M33" s="52">
        <f>M42/M53</f>
        <v>14643.25323475046</v>
      </c>
      <c r="N33" s="52">
        <f t="shared" si="44"/>
        <v>15507.434944237917</v>
      </c>
      <c r="O33" s="52">
        <f t="shared" si="44"/>
        <v>15754.716981132075</v>
      </c>
      <c r="P33" s="52">
        <f>P42/P53</f>
        <v>15995.916363636365</v>
      </c>
      <c r="Q33" s="52">
        <f t="shared" si="45"/>
        <v>16263.789886267448</v>
      </c>
      <c r="R33" s="52">
        <f t="shared" si="45"/>
        <v>16535.709039979956</v>
      </c>
      <c r="S33" s="52">
        <f t="shared" si="45"/>
        <v>16743.042044754857</v>
      </c>
      <c r="T33" s="52">
        <f t="shared" si="46"/>
        <v>16952.956861119048</v>
      </c>
      <c r="U33" s="52">
        <f t="shared" si="46"/>
        <v>17165.485450949196</v>
      </c>
      <c r="V33" s="52">
        <f t="shared" si="46"/>
        <v>17362.888533635109</v>
      </c>
      <c r="W33" s="52">
        <f t="shared" si="46"/>
        <v>17562.561751771915</v>
      </c>
      <c r="X33" s="52">
        <f t="shared" si="46"/>
        <v>17764.531211917292</v>
      </c>
      <c r="Y33" s="52">
        <f t="shared" si="46"/>
        <v>17968.823320854342</v>
      </c>
      <c r="Z33" s="52">
        <f t="shared" si="46"/>
        <v>18175.464789044167</v>
      </c>
      <c r="AA33" s="52">
        <f t="shared" ref="AA33:AE33" si="49">AA15*AA6</f>
        <v>18384.48263411818</v>
      </c>
      <c r="AB33" s="52">
        <f t="shared" si="49"/>
        <v>18595.904184410538</v>
      </c>
      <c r="AC33" s="52">
        <f t="shared" si="49"/>
        <v>18809.757082531261</v>
      </c>
      <c r="AD33" s="52">
        <f t="shared" si="49"/>
        <v>19026.069288980372</v>
      </c>
      <c r="AE33" s="52">
        <f t="shared" si="49"/>
        <v>19244.86908580365</v>
      </c>
      <c r="AF33" s="153" t="e">
        <f t="shared" si="46"/>
        <v>#REF!</v>
      </c>
      <c r="AG33" s="2"/>
      <c r="AH33" s="21"/>
      <c r="AI33" s="21"/>
      <c r="AJ33" s="21"/>
      <c r="AK33" s="21"/>
      <c r="AL33" s="21"/>
      <c r="AM33" s="21"/>
    </row>
    <row r="34" spans="2:39">
      <c r="B34" s="50" t="str">
        <f t="shared" si="41"/>
        <v>Honduras</v>
      </c>
      <c r="C34" s="52">
        <f t="shared" si="42"/>
        <v>0</v>
      </c>
      <c r="D34" s="52">
        <f t="shared" si="42"/>
        <v>0</v>
      </c>
      <c r="E34" s="52">
        <f t="shared" si="42"/>
        <v>832.88</v>
      </c>
      <c r="F34" s="52">
        <f t="shared" si="42"/>
        <v>1186.8923520000001</v>
      </c>
      <c r="G34" s="52">
        <f t="shared" si="42"/>
        <v>2245.1999999999998</v>
      </c>
      <c r="H34" s="52">
        <f t="shared" si="43"/>
        <v>4180</v>
      </c>
      <c r="I34" s="52">
        <f t="shared" si="43"/>
        <v>5971.8309859154933</v>
      </c>
      <c r="J34" s="52">
        <f t="shared" si="48"/>
        <v>7295.3846153846152</v>
      </c>
      <c r="K34" s="52">
        <f t="shared" si="48"/>
        <v>6918.0668740279934</v>
      </c>
      <c r="L34" s="52">
        <f t="shared" si="48"/>
        <v>7017.2413793103451</v>
      </c>
      <c r="M34" s="52">
        <f>M43/M54</f>
        <v>6727.7936962750719</v>
      </c>
      <c r="N34" s="52">
        <f t="shared" si="44"/>
        <v>7446.4831804281339</v>
      </c>
      <c r="O34" s="52">
        <f t="shared" si="44"/>
        <v>7384.6153846153848</v>
      </c>
      <c r="P34" s="52">
        <f>P43/P54</f>
        <v>7816.0870967741939</v>
      </c>
      <c r="Q34" s="52">
        <f t="shared" si="45"/>
        <v>8187.791776961878</v>
      </c>
      <c r="R34" s="52">
        <f t="shared" si="45"/>
        <v>8566.6136098426468</v>
      </c>
      <c r="S34" s="52">
        <f t="shared" si="45"/>
        <v>8952.662970280775</v>
      </c>
      <c r="T34" s="52">
        <f t="shared" si="46"/>
        <v>9346.0517870929161</v>
      </c>
      <c r="U34" s="52">
        <f t="shared" si="46"/>
        <v>9746.8935637393461</v>
      </c>
      <c r="V34" s="52">
        <f t="shared" si="46"/>
        <v>9852.1600142277312</v>
      </c>
      <c r="W34" s="52">
        <f t="shared" si="46"/>
        <v>9958.5633423813906</v>
      </c>
      <c r="X34" s="52">
        <f t="shared" si="46"/>
        <v>10066.115826479108</v>
      </c>
      <c r="Y34" s="52">
        <f t="shared" si="46"/>
        <v>10174.829877405082</v>
      </c>
      <c r="Z34" s="52">
        <f t="shared" si="46"/>
        <v>10284.718040081054</v>
      </c>
      <c r="AA34" s="52">
        <f t="shared" ref="AA34:AE34" si="50">AA16*AA7</f>
        <v>10395.792994913929</v>
      </c>
      <c r="AB34" s="52">
        <f t="shared" si="50"/>
        <v>10508.067559259</v>
      </c>
      <c r="AC34" s="52">
        <f t="shared" si="50"/>
        <v>10621.554688898996</v>
      </c>
      <c r="AD34" s="52">
        <f t="shared" si="50"/>
        <v>10736.267479539105</v>
      </c>
      <c r="AE34" s="52">
        <f t="shared" si="50"/>
        <v>10852.219168318125</v>
      </c>
      <c r="AF34" s="153" t="e">
        <f t="shared" si="46"/>
        <v>#REF!</v>
      </c>
      <c r="AG34" s="21"/>
      <c r="AH34" s="144"/>
      <c r="AI34" s="21"/>
      <c r="AJ34" s="21"/>
      <c r="AK34" s="21"/>
      <c r="AL34" s="21"/>
      <c r="AM34" s="21"/>
    </row>
    <row r="35" spans="2:39">
      <c r="B35" s="50" t="str">
        <f t="shared" si="41"/>
        <v>xx</v>
      </c>
      <c r="AF35" s="21"/>
      <c r="AG35" s="21"/>
      <c r="AH35" s="21"/>
      <c r="AI35" s="21"/>
      <c r="AJ35" s="21"/>
      <c r="AK35" s="21"/>
      <c r="AL35" s="21"/>
      <c r="AM35" s="21"/>
    </row>
    <row r="36" spans="2:39">
      <c r="B36" s="74" t="str">
        <f t="shared" si="41"/>
        <v>xx</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21"/>
      <c r="AG36" s="21"/>
      <c r="AH36" s="21"/>
      <c r="AI36" s="21"/>
      <c r="AJ36" s="21"/>
      <c r="AK36" s="21"/>
      <c r="AL36" s="21"/>
      <c r="AM36" s="21"/>
    </row>
    <row r="37" spans="2:39">
      <c r="B37" s="50" t="str">
        <f t="shared" si="41"/>
        <v>Central America</v>
      </c>
      <c r="C37" s="52">
        <f>SUM(C32:C36)</f>
        <v>2415.9659999999999</v>
      </c>
      <c r="D37" s="52">
        <f>SUM(D32:D36)</f>
        <v>3069.2200000000003</v>
      </c>
      <c r="E37" s="52">
        <f>SUM(E32:E36)</f>
        <v>4751.3045004003216</v>
      </c>
      <c r="F37" s="52">
        <f>SUM(F32:F36)</f>
        <v>7481.4358629999997</v>
      </c>
      <c r="G37" s="52">
        <f>SUM(G32:G34)</f>
        <v>10821.48</v>
      </c>
      <c r="H37" s="52">
        <f t="shared" ref="H37:O37" si="51">SUM(H32:H34)</f>
        <v>17986.159090909092</v>
      </c>
      <c r="I37" s="52">
        <f t="shared" si="51"/>
        <v>21398.497652582158</v>
      </c>
      <c r="J37" s="52">
        <f>SUM(J32:J34)</f>
        <v>24316.413896662343</v>
      </c>
      <c r="K37" s="52">
        <f>SUM(K32:K34)</f>
        <v>25078.789705430823</v>
      </c>
      <c r="L37" s="52">
        <f>SUM(L32:L34)</f>
        <v>27053.651929769057</v>
      </c>
      <c r="M37" s="52">
        <f>SUM(M32:M34)</f>
        <v>28654.665512932621</v>
      </c>
      <c r="N37" s="52">
        <f t="shared" si="51"/>
        <v>29786.816296989811</v>
      </c>
      <c r="O37" s="52">
        <f t="shared" si="51"/>
        <v>30652.490260484301</v>
      </c>
      <c r="P37" s="52">
        <f t="shared" ref="P37:U37" si="52">SUM(P32:P34)</f>
        <v>31595.856091989506</v>
      </c>
      <c r="Q37" s="52">
        <f t="shared" si="52"/>
        <v>32267.813049515338</v>
      </c>
      <c r="R37" s="52">
        <f t="shared" si="52"/>
        <v>32950.932790815685</v>
      </c>
      <c r="S37" s="52">
        <f t="shared" si="52"/>
        <v>33550.790906970127</v>
      </c>
      <c r="T37" s="52">
        <f t="shared" si="52"/>
        <v>34160.570291087868</v>
      </c>
      <c r="U37" s="52">
        <f t="shared" si="52"/>
        <v>34780.416408505858</v>
      </c>
      <c r="V37" s="52">
        <f>SUM(V32:V34)</f>
        <v>35083.085941680161</v>
      </c>
      <c r="W37" s="52">
        <f>SUM(W32:W34)</f>
        <v>35389.162487970629</v>
      </c>
      <c r="X37" s="52">
        <f>SUM(X32:X34)</f>
        <v>35698.684432213719</v>
      </c>
      <c r="Y37" s="52">
        <f>SUM(Y32:Y34)</f>
        <v>36011.690592076746</v>
      </c>
      <c r="Z37" s="52">
        <f>SUM(Z32:Z34)</f>
        <v>36328.220222942538</v>
      </c>
      <c r="AA37" s="52">
        <f t="shared" ref="AA37:AE37" si="53">SUM(AA32:AA34)</f>
        <v>36648.313022849426</v>
      </c>
      <c r="AB37" s="52">
        <f t="shared" si="53"/>
        <v>36972.009137486857</v>
      </c>
      <c r="AC37" s="52">
        <f t="shared" si="53"/>
        <v>37299.349165247579</v>
      </c>
      <c r="AD37" s="52">
        <f t="shared" si="53"/>
        <v>37630.374162336797</v>
      </c>
      <c r="AE37" s="52">
        <f t="shared" si="53"/>
        <v>37965.125647939094</v>
      </c>
      <c r="AF37" s="153" t="e">
        <f>SUM(AF32:AF36)</f>
        <v>#REF!</v>
      </c>
      <c r="AG37" s="52"/>
      <c r="AH37" s="52"/>
      <c r="AI37" s="21"/>
      <c r="AJ37" s="21"/>
      <c r="AK37" s="21"/>
      <c r="AL37" s="21"/>
      <c r="AM37" s="21"/>
    </row>
    <row r="38" spans="2:39">
      <c r="B38" s="50"/>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153"/>
      <c r="AG38" s="52"/>
      <c r="AH38" s="52"/>
      <c r="AI38" s="21"/>
      <c r="AJ38" s="21"/>
      <c r="AK38" s="21"/>
      <c r="AL38" s="21"/>
      <c r="AM38" s="21"/>
    </row>
    <row r="39" spans="2:39">
      <c r="B39" s="50"/>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1"/>
      <c r="AG39" s="21"/>
      <c r="AH39" s="21"/>
      <c r="AI39" s="21"/>
      <c r="AJ39" s="21"/>
      <c r="AK39" s="21"/>
      <c r="AL39" s="21"/>
      <c r="AM39" s="21"/>
    </row>
    <row r="40" spans="2:39">
      <c r="B40" s="48" t="s">
        <v>365</v>
      </c>
      <c r="C40" s="25"/>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1"/>
      <c r="AG40" s="21"/>
      <c r="AH40" s="21"/>
      <c r="AI40" s="21"/>
      <c r="AJ40" s="21"/>
      <c r="AK40" s="21"/>
      <c r="AL40" s="21"/>
      <c r="AM40" s="21"/>
    </row>
    <row r="41" spans="2:39">
      <c r="B41" s="50" t="str">
        <f t="shared" ref="B41:B46" si="54">B32</f>
        <v>El Salvador</v>
      </c>
      <c r="C41" s="51">
        <f>Quarts!F122</f>
        <v>0</v>
      </c>
      <c r="D41" s="51">
        <f>Quarts!J122</f>
        <v>465.15</v>
      </c>
      <c r="E41" s="51">
        <f>Quarts!N122</f>
        <v>534.28800000000001</v>
      </c>
      <c r="F41" s="51">
        <f>Quarts!R122</f>
        <v>738.98</v>
      </c>
      <c r="G41" s="51">
        <v>1387</v>
      </c>
      <c r="H41" s="51">
        <v>2218</v>
      </c>
      <c r="I41" s="51">
        <v>2528</v>
      </c>
      <c r="J41" s="51">
        <v>2780</v>
      </c>
      <c r="K41" s="51">
        <f>Quarts!AP122</f>
        <v>2728.136</v>
      </c>
      <c r="L41" s="51">
        <f>Quarts!AU122</f>
        <v>3027</v>
      </c>
      <c r="M41" s="51">
        <f>Quarts!AZ122</f>
        <v>2979</v>
      </c>
      <c r="N41" s="51">
        <v>2617</v>
      </c>
      <c r="O41" s="51">
        <v>2855</v>
      </c>
      <c r="P41" s="51">
        <v>2957.864</v>
      </c>
      <c r="Q41" s="52">
        <f t="shared" ref="Q41:S43" si="55">Q32*Q52</f>
        <v>2970.1679267886857</v>
      </c>
      <c r="R41" s="52">
        <f t="shared" si="55"/>
        <v>2982.4718535773709</v>
      </c>
      <c r="S41" s="52">
        <f t="shared" si="55"/>
        <v>2984.9326389351077</v>
      </c>
      <c r="T41" s="52">
        <f t="shared" ref="T41:U43" si="56">T32*T52</f>
        <v>2987.3934242928444</v>
      </c>
      <c r="U41" s="52">
        <f t="shared" si="56"/>
        <v>2989.8542096505817</v>
      </c>
      <c r="V41" s="52">
        <f t="shared" ref="V41:Z43" si="57">V32*V52</f>
        <v>2989.8542096505817</v>
      </c>
      <c r="W41" s="52">
        <f t="shared" si="57"/>
        <v>2989.8542096505817</v>
      </c>
      <c r="X41" s="52">
        <f t="shared" si="57"/>
        <v>2989.8542096505817</v>
      </c>
      <c r="Y41" s="52">
        <f t="shared" si="57"/>
        <v>2989.8542096505817</v>
      </c>
      <c r="Z41" s="52">
        <f t="shared" si="57"/>
        <v>2989.8542096505817</v>
      </c>
      <c r="AA41" s="52">
        <f t="shared" ref="AA41:AE41" si="58">AA32*AA52</f>
        <v>2989.8542096505817</v>
      </c>
      <c r="AB41" s="52">
        <f t="shared" si="58"/>
        <v>2989.8542096505817</v>
      </c>
      <c r="AC41" s="52">
        <f t="shared" si="58"/>
        <v>2989.8542096505817</v>
      </c>
      <c r="AD41" s="52">
        <f t="shared" si="58"/>
        <v>2989.8542096505817</v>
      </c>
      <c r="AE41" s="52">
        <f t="shared" si="58"/>
        <v>2989.8542096505817</v>
      </c>
      <c r="AF41" s="21"/>
      <c r="AG41" s="21"/>
      <c r="AH41" s="21"/>
      <c r="AI41" s="21"/>
      <c r="AJ41" s="21"/>
      <c r="AK41" s="21"/>
      <c r="AL41" s="21"/>
      <c r="AM41" s="21"/>
    </row>
    <row r="42" spans="2:39">
      <c r="B42" s="50" t="str">
        <f t="shared" si="54"/>
        <v>Guatemala</v>
      </c>
      <c r="C42" s="51">
        <f>Quarts!F123</f>
        <v>467.26</v>
      </c>
      <c r="D42" s="51">
        <f>Quarts!J123</f>
        <v>596.07799999999997</v>
      </c>
      <c r="E42" s="51">
        <f>Quarts!N123</f>
        <v>672.73400000000004</v>
      </c>
      <c r="F42" s="51">
        <f>Quarts!R123</f>
        <v>1164.05</v>
      </c>
      <c r="G42" s="51">
        <v>2223</v>
      </c>
      <c r="H42" s="51">
        <v>3681.4050000000002</v>
      </c>
      <c r="I42" s="51">
        <v>4414</v>
      </c>
      <c r="J42" s="51">
        <v>5379</v>
      </c>
      <c r="K42" s="51">
        <f>Quarts!AP123</f>
        <v>6308.5429999999997</v>
      </c>
      <c r="L42" s="51">
        <f>Quarts!AU123</f>
        <v>7123</v>
      </c>
      <c r="M42" s="51">
        <f>Quarts!AZ123</f>
        <v>7922</v>
      </c>
      <c r="N42" s="51">
        <v>8343</v>
      </c>
      <c r="O42" s="51">
        <v>8350</v>
      </c>
      <c r="P42" s="51">
        <v>8797.7540000000008</v>
      </c>
      <c r="Q42" s="52">
        <f t="shared" si="55"/>
        <v>8945.084437447098</v>
      </c>
      <c r="R42" s="52">
        <f t="shared" si="55"/>
        <v>9094.639971988976</v>
      </c>
      <c r="S42" s="52">
        <f t="shared" si="55"/>
        <v>9208.6731246151721</v>
      </c>
      <c r="T42" s="52">
        <f t="shared" si="56"/>
        <v>9324.1262736154767</v>
      </c>
      <c r="U42" s="52">
        <f t="shared" si="56"/>
        <v>9441.016998022058</v>
      </c>
      <c r="V42" s="52">
        <f t="shared" si="57"/>
        <v>9549.5886934993105</v>
      </c>
      <c r="W42" s="52">
        <f t="shared" si="57"/>
        <v>9659.4089634745542</v>
      </c>
      <c r="X42" s="52">
        <f t="shared" si="57"/>
        <v>9770.4921665545116</v>
      </c>
      <c r="Y42" s="52">
        <f t="shared" si="57"/>
        <v>9882.8528264698889</v>
      </c>
      <c r="Z42" s="52">
        <f t="shared" si="57"/>
        <v>9996.5056339742932</v>
      </c>
      <c r="AA42" s="52">
        <f t="shared" ref="AA42:AE42" si="59">AA33*AA53</f>
        <v>10111.465448765</v>
      </c>
      <c r="AB42" s="52">
        <f t="shared" si="59"/>
        <v>10227.747301425796</v>
      </c>
      <c r="AC42" s="52">
        <f t="shared" si="59"/>
        <v>10345.366395392195</v>
      </c>
      <c r="AD42" s="52">
        <f t="shared" si="59"/>
        <v>10464.338108939206</v>
      </c>
      <c r="AE42" s="52">
        <f t="shared" si="59"/>
        <v>10584.677997192008</v>
      </c>
      <c r="AF42" s="2"/>
      <c r="AG42" s="21"/>
      <c r="AH42" s="21"/>
      <c r="AI42" s="21"/>
      <c r="AJ42" s="21"/>
      <c r="AK42" s="21"/>
      <c r="AL42" s="21"/>
      <c r="AM42" s="21"/>
    </row>
    <row r="43" spans="2:39">
      <c r="B43" s="50" t="str">
        <f t="shared" si="54"/>
        <v>Honduras</v>
      </c>
      <c r="C43" s="51">
        <f>Quarts!F124</f>
        <v>326.50799999999998</v>
      </c>
      <c r="D43" s="51">
        <f>Quarts!J124</f>
        <v>351.28500000000003</v>
      </c>
      <c r="E43" s="51">
        <f>Quarts!N124</f>
        <v>490.01400000000001</v>
      </c>
      <c r="F43" s="51">
        <f>Quarts!R124</f>
        <v>834.096</v>
      </c>
      <c r="G43" s="51">
        <v>1554</v>
      </c>
      <c r="H43" s="51">
        <v>2926</v>
      </c>
      <c r="I43" s="51">
        <v>4240</v>
      </c>
      <c r="J43" s="51">
        <v>4742</v>
      </c>
      <c r="K43" s="51">
        <f>Quarts!AP124</f>
        <v>4448.317</v>
      </c>
      <c r="L43" s="51">
        <f>Quarts!AU124</f>
        <v>4477</v>
      </c>
      <c r="M43" s="51">
        <f>Quarts!AZ124</f>
        <v>4696</v>
      </c>
      <c r="N43" s="51">
        <v>4870</v>
      </c>
      <c r="O43" s="51">
        <v>4800</v>
      </c>
      <c r="P43" s="51">
        <v>4845.9740000000002</v>
      </c>
      <c r="Q43" s="52">
        <f t="shared" si="55"/>
        <v>4912.6750661771266</v>
      </c>
      <c r="R43" s="52">
        <f t="shared" si="55"/>
        <v>5139.9681659055877</v>
      </c>
      <c r="S43" s="52">
        <f t="shared" si="55"/>
        <v>5371.5977821684646</v>
      </c>
      <c r="T43" s="52">
        <f t="shared" si="56"/>
        <v>5607.6310722557491</v>
      </c>
      <c r="U43" s="52">
        <f t="shared" si="56"/>
        <v>5848.1361382436071</v>
      </c>
      <c r="V43" s="52">
        <f t="shared" si="57"/>
        <v>5911.2960085366385</v>
      </c>
      <c r="W43" s="52">
        <f t="shared" si="57"/>
        <v>5975.1380054288338</v>
      </c>
      <c r="X43" s="52">
        <f t="shared" si="57"/>
        <v>6039.669495887465</v>
      </c>
      <c r="Y43" s="52">
        <f t="shared" si="57"/>
        <v>6104.8979264430491</v>
      </c>
      <c r="Z43" s="52">
        <f t="shared" si="57"/>
        <v>6170.8308240486322</v>
      </c>
      <c r="AA43" s="52">
        <f t="shared" ref="AA43:AE43" si="60">AA34*AA54</f>
        <v>6237.4757969483571</v>
      </c>
      <c r="AB43" s="52">
        <f t="shared" si="60"/>
        <v>6304.8405355553996</v>
      </c>
      <c r="AC43" s="52">
        <f t="shared" si="60"/>
        <v>6372.9328133393974</v>
      </c>
      <c r="AD43" s="52">
        <f t="shared" si="60"/>
        <v>6441.7604877234626</v>
      </c>
      <c r="AE43" s="52">
        <f t="shared" si="60"/>
        <v>6511.3315009908747</v>
      </c>
      <c r="AF43" s="2"/>
      <c r="AG43" s="21"/>
      <c r="AH43" s="21"/>
      <c r="AI43" s="21"/>
      <c r="AJ43" s="21"/>
      <c r="AK43" s="21"/>
      <c r="AL43" s="21"/>
      <c r="AM43" s="21"/>
    </row>
    <row r="44" spans="2:39">
      <c r="B44" s="50" t="str">
        <f t="shared" si="54"/>
        <v>xx</v>
      </c>
      <c r="AF44" s="21"/>
      <c r="AG44" s="21"/>
      <c r="AH44" s="21"/>
      <c r="AI44" s="21"/>
      <c r="AJ44" s="21"/>
      <c r="AK44" s="21"/>
      <c r="AL44" s="21"/>
      <c r="AM44" s="21"/>
    </row>
    <row r="45" spans="2:39">
      <c r="B45" s="74" t="str">
        <f t="shared" si="54"/>
        <v>xx</v>
      </c>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21"/>
      <c r="AG45" s="21"/>
      <c r="AH45" s="21"/>
      <c r="AI45" s="21"/>
      <c r="AJ45" s="21"/>
      <c r="AK45" s="21"/>
      <c r="AL45" s="21"/>
      <c r="AM45" s="21"/>
    </row>
    <row r="46" spans="2:39">
      <c r="B46" s="50" t="str">
        <f t="shared" si="54"/>
        <v>Central America</v>
      </c>
      <c r="C46" s="52">
        <f>SUM(C41:C45)</f>
        <v>793.76800000000003</v>
      </c>
      <c r="D46" s="52">
        <f>SUM(D41:D45)</f>
        <v>1412.5130000000001</v>
      </c>
      <c r="E46" s="52">
        <f>SUM(E41:E45)</f>
        <v>1697.0360000000001</v>
      </c>
      <c r="F46" s="52">
        <f>SUM(F41:F45)</f>
        <v>2737.1260000000002</v>
      </c>
      <c r="G46" s="52">
        <f>SUM(G41:G43)</f>
        <v>5164</v>
      </c>
      <c r="H46" s="52">
        <f>SUM(H41:H43)</f>
        <v>8825.4050000000007</v>
      </c>
      <c r="I46" s="52">
        <f t="shared" ref="I46:O46" si="61">SUM(I41:I43)</f>
        <v>11182</v>
      </c>
      <c r="J46" s="52">
        <f t="shared" si="61"/>
        <v>12901</v>
      </c>
      <c r="K46" s="52">
        <f t="shared" si="61"/>
        <v>13484.995999999999</v>
      </c>
      <c r="L46" s="52">
        <f t="shared" si="61"/>
        <v>14627</v>
      </c>
      <c r="M46" s="52">
        <f t="shared" si="61"/>
        <v>15597</v>
      </c>
      <c r="N46" s="52">
        <f t="shared" si="61"/>
        <v>15830</v>
      </c>
      <c r="O46" s="52">
        <f t="shared" si="61"/>
        <v>16005</v>
      </c>
      <c r="P46" s="52">
        <f t="shared" ref="P46:U46" si="62">SUM(P41:P43)</f>
        <v>16601.592000000001</v>
      </c>
      <c r="Q46" s="52">
        <f t="shared" si="62"/>
        <v>16827.92743041291</v>
      </c>
      <c r="R46" s="52">
        <f t="shared" si="62"/>
        <v>17217.079991471932</v>
      </c>
      <c r="S46" s="52">
        <f t="shared" si="62"/>
        <v>17565.203545718745</v>
      </c>
      <c r="T46" s="52">
        <f t="shared" si="62"/>
        <v>17919.150770164069</v>
      </c>
      <c r="U46" s="52">
        <f t="shared" si="62"/>
        <v>18279.007345916249</v>
      </c>
      <c r="V46" s="52">
        <f>SUM(V41:V43)</f>
        <v>18450.738911686531</v>
      </c>
      <c r="W46" s="52">
        <f>SUM(W41:W43)</f>
        <v>18624.40117855397</v>
      </c>
      <c r="X46" s="52">
        <f>SUM(X41:X43)</f>
        <v>18800.015872092557</v>
      </c>
      <c r="Y46" s="52">
        <f>SUM(Y41:Y43)</f>
        <v>18977.604962563521</v>
      </c>
      <c r="Z46" s="52">
        <f>SUM(Z41:Z43)</f>
        <v>19157.190667673509</v>
      </c>
      <c r="AA46" s="52">
        <f t="shared" ref="AA46:AE46" si="63">SUM(AA41:AA43)</f>
        <v>19338.795455363939</v>
      </c>
      <c r="AB46" s="52">
        <f t="shared" si="63"/>
        <v>19522.442046631775</v>
      </c>
      <c r="AC46" s="52">
        <f t="shared" si="63"/>
        <v>19708.153418382175</v>
      </c>
      <c r="AD46" s="52">
        <f t="shared" si="63"/>
        <v>19895.952806313249</v>
      </c>
      <c r="AE46" s="52">
        <f t="shared" si="63"/>
        <v>20085.863707833465</v>
      </c>
      <c r="AF46" s="55"/>
      <c r="AG46" s="52"/>
      <c r="AH46" s="52"/>
      <c r="AI46" s="21"/>
      <c r="AJ46" s="16"/>
      <c r="AK46" s="21"/>
      <c r="AL46" s="21"/>
      <c r="AM46" s="21"/>
    </row>
    <row r="47" spans="2:39">
      <c r="B47" s="50" t="s">
        <v>1368</v>
      </c>
      <c r="C47" s="52"/>
      <c r="D47" s="52">
        <f>D41*100%+D42*55%+D43*50%</f>
        <v>968.6354</v>
      </c>
      <c r="E47" s="52">
        <f>E41*100%+E42*55%+E43*(66.7%+50%/2)</f>
        <v>1353.634538</v>
      </c>
      <c r="F47" s="52">
        <f t="shared" ref="F47:K47" si="64">F41*100%+F42*55%+F43*66.7%</f>
        <v>1935.549532</v>
      </c>
      <c r="G47" s="52">
        <f>G41*100%+G42*55%+G43*66.7%</f>
        <v>3646.1680000000001</v>
      </c>
      <c r="H47" s="52">
        <f t="shared" si="64"/>
        <v>6194.4147499999999</v>
      </c>
      <c r="I47" s="52">
        <f t="shared" si="64"/>
        <v>7783.7800000000007</v>
      </c>
      <c r="J47" s="52">
        <f t="shared" si="64"/>
        <v>8901.3640000000014</v>
      </c>
      <c r="K47" s="52">
        <f t="shared" si="64"/>
        <v>9164.8620890000002</v>
      </c>
      <c r="L47" s="52">
        <f>L41*100%+L42*55%+L43*100%</f>
        <v>11421.65</v>
      </c>
      <c r="M47" s="52">
        <f t="shared" ref="M47:S47" si="65">M41*100%+M42*55%+M43*100%</f>
        <v>12032.1</v>
      </c>
      <c r="N47" s="52">
        <f t="shared" si="65"/>
        <v>12075.650000000001</v>
      </c>
      <c r="O47" s="52">
        <f t="shared" si="65"/>
        <v>12247.5</v>
      </c>
      <c r="P47" s="52">
        <f t="shared" si="65"/>
        <v>12642.602700000001</v>
      </c>
      <c r="Q47" s="52">
        <f t="shared" si="65"/>
        <v>12802.639433561717</v>
      </c>
      <c r="R47" s="52">
        <f t="shared" si="65"/>
        <v>13124.492004076896</v>
      </c>
      <c r="S47" s="52">
        <f t="shared" si="65"/>
        <v>13421.300639641917</v>
      </c>
      <c r="T47" s="52">
        <f t="shared" ref="T47:Z47" si="66">T41*100%+T42*55%+T43*100%</f>
        <v>13723.293947037106</v>
      </c>
      <c r="U47" s="52">
        <f t="shared" si="66"/>
        <v>14030.54969680632</v>
      </c>
      <c r="V47" s="52">
        <f t="shared" si="66"/>
        <v>14153.423999611841</v>
      </c>
      <c r="W47" s="52">
        <f t="shared" si="66"/>
        <v>14277.667144990421</v>
      </c>
      <c r="X47" s="52">
        <f t="shared" si="66"/>
        <v>14403.294397143029</v>
      </c>
      <c r="Y47" s="52">
        <f t="shared" si="66"/>
        <v>14530.32119065207</v>
      </c>
      <c r="Z47" s="52">
        <f t="shared" si="66"/>
        <v>14658.763132385076</v>
      </c>
      <c r="AA47" s="52">
        <f t="shared" ref="AA47:AE47" si="67">AA41*100%+AA42*55%+AA43*100%</f>
        <v>14788.636003419691</v>
      </c>
      <c r="AB47" s="52">
        <f t="shared" si="67"/>
        <v>14919.955760990168</v>
      </c>
      <c r="AC47" s="52">
        <f t="shared" si="67"/>
        <v>15052.738540455688</v>
      </c>
      <c r="AD47" s="52">
        <f t="shared" si="67"/>
        <v>15187.000657290608</v>
      </c>
      <c r="AE47" s="52">
        <f t="shared" si="67"/>
        <v>15322.75860909706</v>
      </c>
      <c r="AF47" s="52"/>
      <c r="AG47" s="52"/>
      <c r="AH47" s="52"/>
      <c r="AI47" s="21"/>
      <c r="AJ47" s="16"/>
      <c r="AK47" s="21"/>
      <c r="AL47" s="21"/>
      <c r="AM47" s="21"/>
    </row>
    <row r="48" spans="2:39">
      <c r="B48" s="50"/>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21"/>
      <c r="AJ48" s="16"/>
      <c r="AK48" s="21"/>
      <c r="AL48" s="21"/>
      <c r="AM48" s="21"/>
    </row>
    <row r="49" spans="2:39">
      <c r="B49" s="48" t="s">
        <v>1927</v>
      </c>
      <c r="C49" s="25"/>
      <c r="D49" s="26"/>
      <c r="E49" s="52">
        <f>E46-D46</f>
        <v>284.52299999999991</v>
      </c>
      <c r="F49" s="52">
        <f>F46-E46</f>
        <v>1040.0900000000001</v>
      </c>
      <c r="G49" s="52">
        <f>G46-F46</f>
        <v>2426.8739999999998</v>
      </c>
      <c r="H49" s="52">
        <f>H46-G46</f>
        <v>3661.4050000000007</v>
      </c>
      <c r="I49" s="52">
        <f t="shared" ref="I49:Z49" si="68">I46-H46</f>
        <v>2356.5949999999993</v>
      </c>
      <c r="J49" s="52">
        <f t="shared" si="68"/>
        <v>1719</v>
      </c>
      <c r="K49" s="52">
        <f t="shared" si="68"/>
        <v>583.99599999999919</v>
      </c>
      <c r="L49" s="52">
        <f t="shared" si="68"/>
        <v>1142.0040000000008</v>
      </c>
      <c r="M49" s="52">
        <f t="shared" si="68"/>
        <v>970</v>
      </c>
      <c r="N49" s="52">
        <f t="shared" si="68"/>
        <v>233</v>
      </c>
      <c r="O49" s="52">
        <f t="shared" si="68"/>
        <v>175</v>
      </c>
      <c r="P49" s="52">
        <f t="shared" si="68"/>
        <v>596.59200000000055</v>
      </c>
      <c r="Q49" s="52">
        <f t="shared" si="68"/>
        <v>226.33543041290977</v>
      </c>
      <c r="R49" s="52">
        <f t="shared" si="68"/>
        <v>389.15256105902154</v>
      </c>
      <c r="S49" s="52">
        <f t="shared" si="68"/>
        <v>348.123554246813</v>
      </c>
      <c r="T49" s="52">
        <f t="shared" si="68"/>
        <v>353.94722444532454</v>
      </c>
      <c r="U49" s="52">
        <f t="shared" si="68"/>
        <v>359.8565757521792</v>
      </c>
      <c r="V49" s="52">
        <f t="shared" si="68"/>
        <v>171.73156577028203</v>
      </c>
      <c r="W49" s="52">
        <f t="shared" si="68"/>
        <v>173.66226686743903</v>
      </c>
      <c r="X49" s="52">
        <f t="shared" si="68"/>
        <v>175.61469353858774</v>
      </c>
      <c r="Y49" s="52">
        <f t="shared" si="68"/>
        <v>177.58909047096313</v>
      </c>
      <c r="Z49" s="52">
        <f t="shared" si="68"/>
        <v>179.58570510998834</v>
      </c>
      <c r="AA49" s="52">
        <f t="shared" ref="AA49" si="69">AA46-Z46</f>
        <v>181.60478769043038</v>
      </c>
      <c r="AB49" s="52">
        <f t="shared" ref="AB49" si="70">AB46-AA46</f>
        <v>183.6465912678359</v>
      </c>
      <c r="AC49" s="52">
        <f t="shared" ref="AC49" si="71">AC46-AB46</f>
        <v>185.71137175039985</v>
      </c>
      <c r="AD49" s="52">
        <f t="shared" ref="AD49" si="72">AD46-AC46</f>
        <v>187.79938793107431</v>
      </c>
      <c r="AE49" s="52">
        <f t="shared" ref="AE49" si="73">AE46-AD46</f>
        <v>189.9109015202157</v>
      </c>
      <c r="AF49" s="21"/>
      <c r="AG49" s="21"/>
      <c r="AH49" s="21"/>
      <c r="AI49" s="21"/>
      <c r="AJ49" s="21"/>
      <c r="AK49" s="21"/>
      <c r="AL49" s="21"/>
      <c r="AM49" s="21"/>
    </row>
    <row r="50" spans="2:39">
      <c r="B50" s="48"/>
      <c r="C50" s="25"/>
      <c r="D50" s="26"/>
      <c r="E50" s="26"/>
      <c r="F50" s="26"/>
      <c r="G50" s="52"/>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1"/>
      <c r="AG50" s="21"/>
      <c r="AH50" s="21"/>
      <c r="AI50" s="21"/>
      <c r="AJ50" s="21"/>
      <c r="AK50" s="21"/>
      <c r="AL50" s="21"/>
      <c r="AM50" s="21"/>
    </row>
    <row r="51" spans="2:39">
      <c r="B51" s="48" t="s">
        <v>1930</v>
      </c>
      <c r="C51" s="25"/>
      <c r="D51" s="26"/>
      <c r="E51" s="26"/>
      <c r="F51" s="26"/>
      <c r="G51" s="55"/>
      <c r="H51" s="26"/>
      <c r="I51" s="26"/>
      <c r="J51" s="26"/>
      <c r="K51" s="26"/>
      <c r="L51" s="26"/>
      <c r="M51" s="26"/>
      <c r="N51" s="26"/>
      <c r="O51" s="26"/>
      <c r="P51" s="26"/>
      <c r="Q51" s="26"/>
      <c r="R51" s="26"/>
      <c r="S51" s="26"/>
      <c r="T51" s="26"/>
      <c r="U51" s="26"/>
      <c r="V51" s="26"/>
      <c r="W51" s="26"/>
      <c r="X51" s="26"/>
      <c r="Y51" s="26"/>
      <c r="Z51" s="26"/>
      <c r="AA51" s="26"/>
      <c r="AB51" s="26"/>
      <c r="AC51" s="26"/>
      <c r="AD51" s="26"/>
      <c r="AE51" s="26"/>
      <c r="AF51" s="8" t="s">
        <v>1104</v>
      </c>
      <c r="AG51" s="21"/>
      <c r="AH51" s="21"/>
      <c r="AI51" s="21"/>
      <c r="AJ51" s="21"/>
      <c r="AK51" s="21"/>
      <c r="AL51" s="21"/>
      <c r="AM51" s="21"/>
    </row>
    <row r="52" spans="2:39">
      <c r="B52" s="50" t="str">
        <f t="shared" ref="B52:B57" si="74">B41</f>
        <v>El Salvador</v>
      </c>
      <c r="C52" s="53">
        <f t="shared" ref="C52:F54" si="75">C41/C32</f>
        <v>0</v>
      </c>
      <c r="D52" s="53">
        <f t="shared" si="75"/>
        <v>0.40458380447073128</v>
      </c>
      <c r="E52" s="53">
        <f t="shared" si="75"/>
        <v>0.38189219922963702</v>
      </c>
      <c r="F52" s="53">
        <f t="shared" si="75"/>
        <v>0.32141563998622219</v>
      </c>
      <c r="G52" s="53">
        <f>G41/G32</f>
        <v>0.48689217462122808</v>
      </c>
      <c r="H52" s="54">
        <v>0.44</v>
      </c>
      <c r="I52" s="54">
        <v>0.45</v>
      </c>
      <c r="J52" s="54">
        <v>0.46</v>
      </c>
      <c r="K52" s="54">
        <v>0.44400000000000001</v>
      </c>
      <c r="L52" s="54">
        <v>0.436</v>
      </c>
      <c r="M52" s="54">
        <v>0.40899999999999997</v>
      </c>
      <c r="N52" s="54">
        <v>0.38300000000000001</v>
      </c>
      <c r="O52" s="54">
        <v>0.38</v>
      </c>
      <c r="P52" s="65">
        <f t="shared" ref="P52:Z52" si="76">O52</f>
        <v>0.38</v>
      </c>
      <c r="Q52" s="65">
        <f t="shared" si="76"/>
        <v>0.38</v>
      </c>
      <c r="R52" s="65">
        <f t="shared" si="76"/>
        <v>0.38</v>
      </c>
      <c r="S52" s="65">
        <f t="shared" si="76"/>
        <v>0.38</v>
      </c>
      <c r="T52" s="65">
        <f t="shared" si="76"/>
        <v>0.38</v>
      </c>
      <c r="U52" s="65">
        <f t="shared" si="76"/>
        <v>0.38</v>
      </c>
      <c r="V52" s="65">
        <f t="shared" si="76"/>
        <v>0.38</v>
      </c>
      <c r="W52" s="65">
        <f t="shared" si="76"/>
        <v>0.38</v>
      </c>
      <c r="X52" s="65">
        <f t="shared" si="76"/>
        <v>0.38</v>
      </c>
      <c r="Y52" s="65">
        <f t="shared" si="76"/>
        <v>0.38</v>
      </c>
      <c r="Z52" s="65">
        <f t="shared" si="76"/>
        <v>0.38</v>
      </c>
      <c r="AA52" s="65">
        <f t="shared" ref="AA52" si="77">Z52</f>
        <v>0.38</v>
      </c>
      <c r="AB52" s="65">
        <f t="shared" ref="AB52" si="78">AA52</f>
        <v>0.38</v>
      </c>
      <c r="AC52" s="65">
        <f t="shared" ref="AC52" si="79">AB52</f>
        <v>0.38</v>
      </c>
      <c r="AD52" s="65">
        <f t="shared" ref="AD52" si="80">AC52</f>
        <v>0.38</v>
      </c>
      <c r="AE52" s="65">
        <f t="shared" ref="AE52" si="81">AD52</f>
        <v>0.38</v>
      </c>
      <c r="AF52" s="36">
        <v>0.4</v>
      </c>
      <c r="AG52" s="21"/>
      <c r="AH52" s="21"/>
      <c r="AI52" s="21"/>
      <c r="AJ52" s="21"/>
      <c r="AK52" s="21"/>
      <c r="AL52" s="21"/>
      <c r="AM52" s="21"/>
    </row>
    <row r="53" spans="2:39">
      <c r="B53" s="50" t="str">
        <f t="shared" si="74"/>
        <v>Guatemala</v>
      </c>
      <c r="C53" s="53">
        <f t="shared" si="75"/>
        <v>0.30596903509024664</v>
      </c>
      <c r="D53" s="53">
        <f t="shared" si="75"/>
        <v>0.31053492539801614</v>
      </c>
      <c r="E53" s="53">
        <f t="shared" si="75"/>
        <v>0.26702469268110679</v>
      </c>
      <c r="F53" s="53">
        <f t="shared" si="75"/>
        <v>0.29134739472563104</v>
      </c>
      <c r="G53" s="53">
        <f>G42/G33</f>
        <v>0.38812067881835322</v>
      </c>
      <c r="H53" s="54">
        <v>0.42</v>
      </c>
      <c r="I53" s="54">
        <v>0.45</v>
      </c>
      <c r="J53" s="54">
        <v>0.49</v>
      </c>
      <c r="K53" s="54">
        <v>0.52500000000000002</v>
      </c>
      <c r="L53" s="54">
        <v>0.54400000000000004</v>
      </c>
      <c r="M53" s="54">
        <v>0.54100000000000004</v>
      </c>
      <c r="N53" s="54">
        <v>0.53800000000000003</v>
      </c>
      <c r="O53" s="54">
        <v>0.53</v>
      </c>
      <c r="P53" s="65">
        <v>0.55000000000000004</v>
      </c>
      <c r="Q53" s="65">
        <v>0.55000000000000004</v>
      </c>
      <c r="R53" s="65">
        <v>0.55000000000000004</v>
      </c>
      <c r="S53" s="65">
        <v>0.55000000000000004</v>
      </c>
      <c r="T53" s="65">
        <v>0.55000000000000004</v>
      </c>
      <c r="U53" s="65">
        <v>0.55000000000000004</v>
      </c>
      <c r="V53" s="65">
        <v>0.55000000000000004</v>
      </c>
      <c r="W53" s="65">
        <v>0.55000000000000004</v>
      </c>
      <c r="X53" s="65">
        <v>0.55000000000000004</v>
      </c>
      <c r="Y53" s="65">
        <v>0.55000000000000004</v>
      </c>
      <c r="Z53" s="65">
        <v>0.55000000000000004</v>
      </c>
      <c r="AA53" s="65">
        <v>0.55000000000000004</v>
      </c>
      <c r="AB53" s="65">
        <v>0.55000000000000004</v>
      </c>
      <c r="AC53" s="65">
        <v>0.55000000000000004</v>
      </c>
      <c r="AD53" s="65">
        <v>0.55000000000000004</v>
      </c>
      <c r="AE53" s="65">
        <v>0.55000000000000004</v>
      </c>
      <c r="AF53" s="36">
        <v>0.34</v>
      </c>
      <c r="AG53" s="21"/>
      <c r="AH53" s="21"/>
      <c r="AI53" s="21"/>
      <c r="AJ53" s="21">
        <f>1167</f>
        <v>1167</v>
      </c>
      <c r="AK53" s="21">
        <v>603</v>
      </c>
      <c r="AL53" s="21">
        <v>197</v>
      </c>
      <c r="AM53" s="21"/>
    </row>
    <row r="54" spans="2:39">
      <c r="B54" s="50" t="str">
        <f t="shared" si="74"/>
        <v>Honduras</v>
      </c>
      <c r="C54" s="53" t="e">
        <f t="shared" si="75"/>
        <v>#DIV/0!</v>
      </c>
      <c r="D54" s="53" t="e">
        <f t="shared" si="75"/>
        <v>#DIV/0!</v>
      </c>
      <c r="E54" s="53">
        <f t="shared" si="75"/>
        <v>0.58833685524925561</v>
      </c>
      <c r="F54" s="53">
        <f t="shared" si="75"/>
        <v>0.70275623445924773</v>
      </c>
      <c r="G54" s="53">
        <f>G43/G34</f>
        <v>0.692143238909674</v>
      </c>
      <c r="H54" s="54">
        <v>0.7</v>
      </c>
      <c r="I54" s="54">
        <v>0.71</v>
      </c>
      <c r="J54" s="54">
        <v>0.65</v>
      </c>
      <c r="K54" s="54">
        <v>0.64300000000000002</v>
      </c>
      <c r="L54" s="54">
        <v>0.63800000000000001</v>
      </c>
      <c r="M54" s="54">
        <v>0.69799999999999995</v>
      </c>
      <c r="N54" s="54">
        <v>0.65400000000000003</v>
      </c>
      <c r="O54" s="54">
        <v>0.65</v>
      </c>
      <c r="P54" s="65">
        <v>0.62</v>
      </c>
      <c r="Q54" s="65">
        <v>0.6</v>
      </c>
      <c r="R54" s="65">
        <v>0.6</v>
      </c>
      <c r="S54" s="65">
        <v>0.6</v>
      </c>
      <c r="T54" s="65">
        <v>0.6</v>
      </c>
      <c r="U54" s="65">
        <v>0.6</v>
      </c>
      <c r="V54" s="65">
        <v>0.6</v>
      </c>
      <c r="W54" s="65">
        <v>0.6</v>
      </c>
      <c r="X54" s="65">
        <v>0.6</v>
      </c>
      <c r="Y54" s="65">
        <v>0.6</v>
      </c>
      <c r="Z54" s="65">
        <v>0.6</v>
      </c>
      <c r="AA54" s="65">
        <v>0.6</v>
      </c>
      <c r="AB54" s="65">
        <v>0.6</v>
      </c>
      <c r="AC54" s="65">
        <v>0.6</v>
      </c>
      <c r="AD54" s="65">
        <v>0.6</v>
      </c>
      <c r="AE54" s="65">
        <v>0.6</v>
      </c>
      <c r="AF54" s="36">
        <v>0.66</v>
      </c>
      <c r="AG54" s="21"/>
      <c r="AH54" s="21"/>
      <c r="AI54" s="21"/>
      <c r="AJ54" s="21">
        <v>88</v>
      </c>
      <c r="AK54" s="21">
        <v>40</v>
      </c>
      <c r="AL54" s="21">
        <v>15</v>
      </c>
      <c r="AM54" s="21"/>
    </row>
    <row r="55" spans="2:39">
      <c r="B55" s="50" t="str">
        <f t="shared" si="74"/>
        <v>xx</v>
      </c>
      <c r="AF55" s="21"/>
      <c r="AG55" s="21"/>
      <c r="AH55" s="21"/>
      <c r="AI55" s="21"/>
      <c r="AJ55" s="21"/>
      <c r="AK55" s="21"/>
      <c r="AL55" s="21"/>
      <c r="AM55" s="21"/>
    </row>
    <row r="56" spans="2:39">
      <c r="B56" s="74" t="str">
        <f t="shared" si="74"/>
        <v>xx</v>
      </c>
      <c r="C56" s="60"/>
      <c r="D56" s="60"/>
      <c r="E56" s="60"/>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21"/>
      <c r="AG56" s="21"/>
      <c r="AH56" s="21"/>
      <c r="AI56" s="21"/>
      <c r="AJ56" s="21"/>
      <c r="AK56" s="21"/>
      <c r="AL56" s="21"/>
      <c r="AM56" s="21"/>
    </row>
    <row r="57" spans="2:39">
      <c r="B57" s="50" t="str">
        <f t="shared" si="74"/>
        <v>Central America</v>
      </c>
      <c r="C57" s="25"/>
      <c r="D57" s="55">
        <f t="shared" ref="D57:O57" si="82">D46/D37</f>
        <v>0.4602188829735242</v>
      </c>
      <c r="E57" s="55">
        <f t="shared" si="82"/>
        <v>0.35717264592429643</v>
      </c>
      <c r="F57" s="55">
        <f t="shared" si="82"/>
        <v>0.36585570605993717</v>
      </c>
      <c r="G57" s="55">
        <f t="shared" si="82"/>
        <v>0.47719905225532921</v>
      </c>
      <c r="H57" s="55">
        <f t="shared" si="82"/>
        <v>0.49067757909806908</v>
      </c>
      <c r="I57" s="55">
        <f t="shared" si="82"/>
        <v>0.5225600498477363</v>
      </c>
      <c r="J57" s="55">
        <f t="shared" si="82"/>
        <v>0.53054698175584125</v>
      </c>
      <c r="K57" s="55">
        <f t="shared" si="82"/>
        <v>0.53770521458138054</v>
      </c>
      <c r="L57" s="55">
        <f t="shared" si="82"/>
        <v>0.54066637798000472</v>
      </c>
      <c r="M57" s="55">
        <f t="shared" si="82"/>
        <v>0.54430926764650789</v>
      </c>
      <c r="N57" s="55">
        <f t="shared" si="82"/>
        <v>0.53144316741228048</v>
      </c>
      <c r="O57" s="55">
        <f t="shared" si="82"/>
        <v>0.52214354735911517</v>
      </c>
      <c r="P57" s="55">
        <f t="shared" ref="P57:U57" si="83">P46/P37</f>
        <v>0.52543573915723085</v>
      </c>
      <c r="Q57" s="55">
        <f t="shared" si="83"/>
        <v>0.52150814821538283</v>
      </c>
      <c r="R57" s="55">
        <f t="shared" si="83"/>
        <v>0.52250660400942572</v>
      </c>
      <c r="S57" s="55">
        <f t="shared" si="83"/>
        <v>0.52354066985853376</v>
      </c>
      <c r="T57" s="55">
        <f t="shared" si="83"/>
        <v>0.52455654625997228</v>
      </c>
      <c r="U57" s="55">
        <f t="shared" si="83"/>
        <v>0.5255545859837939</v>
      </c>
      <c r="V57" s="55">
        <f>V46/V37</f>
        <v>0.52591550647391272</v>
      </c>
      <c r="W57" s="55">
        <f>W46/W37</f>
        <v>0.52627414352867818</v>
      </c>
      <c r="X57" s="55">
        <f>X46/X37</f>
        <v>0.52663049552402641</v>
      </c>
      <c r="Y57" s="55">
        <f>Y46/Y37</f>
        <v>0.5269845611396804</v>
      </c>
      <c r="Z57" s="55">
        <f>Z46/Z37</f>
        <v>0.52733633935568014</v>
      </c>
      <c r="AA57" s="55">
        <f t="shared" ref="AA57:AE57" si="84">AA46/AA37</f>
        <v>0.527685829448865</v>
      </c>
      <c r="AB57" s="55">
        <f t="shared" si="84"/>
        <v>0.52803303098931342</v>
      </c>
      <c r="AC57" s="55">
        <f t="shared" si="84"/>
        <v>0.52837794383674097</v>
      </c>
      <c r="AD57" s="55">
        <f t="shared" si="84"/>
        <v>0.52872056813685786</v>
      </c>
      <c r="AE57" s="55">
        <f t="shared" si="84"/>
        <v>0.52906090431769215</v>
      </c>
      <c r="AF57" s="5"/>
      <c r="AG57" s="5"/>
      <c r="AH57" s="5"/>
      <c r="AJ57" s="4" t="s">
        <v>1241</v>
      </c>
      <c r="AK57" s="4" t="s">
        <v>3343</v>
      </c>
      <c r="AL57" s="4" t="s">
        <v>3347</v>
      </c>
      <c r="AM57" s="21"/>
    </row>
    <row r="58" spans="2:39">
      <c r="B58" s="50"/>
      <c r="C58" s="2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21"/>
      <c r="AG58" s="21"/>
      <c r="AH58" s="21"/>
      <c r="AI58" s="478" t="s">
        <v>3064</v>
      </c>
      <c r="AJ58" s="21">
        <v>5159</v>
      </c>
      <c r="AK58" s="21">
        <v>1881</v>
      </c>
      <c r="AL58" s="21">
        <v>1226</v>
      </c>
      <c r="AM58" s="21"/>
    </row>
    <row r="59" spans="2:39">
      <c r="B59" s="50" t="s">
        <v>1194</v>
      </c>
      <c r="C59" s="25"/>
      <c r="D59" s="55"/>
      <c r="E59" s="55"/>
      <c r="F59" s="55"/>
      <c r="G59" s="55"/>
      <c r="H59" s="55"/>
      <c r="I59" s="55"/>
      <c r="J59" s="55"/>
      <c r="K59" s="55"/>
      <c r="L59" s="46">
        <f>SUM(Newquarts!B37:E37)</f>
        <v>1485.6170923812188</v>
      </c>
      <c r="M59" s="46">
        <f>SUM(Newquarts!G37:J37)</f>
        <v>1938.6541952841458</v>
      </c>
      <c r="N59" s="46">
        <f>SUM(Newquarts!L37:O37)</f>
        <v>1888.6153085954109</v>
      </c>
      <c r="O59" s="46">
        <f>SUM(Newquarts!Q37:T37)</f>
        <v>1866.939115235436</v>
      </c>
      <c r="P59" s="46">
        <f>SUM(Newquarts!V37:Y37)</f>
        <v>1859.8934769809082</v>
      </c>
      <c r="Q59" s="52">
        <f t="shared" ref="Q59:Z59" si="85">Q64*AVERAGE(P46:Q46)*12/1000</f>
        <v>1676.1067322471631</v>
      </c>
      <c r="R59" s="52">
        <f t="shared" si="85"/>
        <v>1536.2697520138684</v>
      </c>
      <c r="S59" s="52">
        <f t="shared" si="85"/>
        <v>1428.2805755396676</v>
      </c>
      <c r="T59" s="52">
        <f t="shared" si="85"/>
        <v>1420.682273548339</v>
      </c>
      <c r="U59" s="52">
        <f t="shared" si="85"/>
        <v>1407.2321778930216</v>
      </c>
      <c r="V59" s="52">
        <f t="shared" si="85"/>
        <v>1386.4890449628276</v>
      </c>
      <c r="W59" s="52">
        <f t="shared" si="85"/>
        <v>1358.9408223466023</v>
      </c>
      <c r="X59" s="52">
        <f t="shared" si="85"/>
        <v>1331.9625627321716</v>
      </c>
      <c r="Y59" s="52">
        <f t="shared" si="85"/>
        <v>1305.5418784898341</v>
      </c>
      <c r="Z59" s="52">
        <f t="shared" si="85"/>
        <v>1279.6666662928785</v>
      </c>
      <c r="AA59" s="52">
        <f t="shared" ref="AA59" si="86">AA64*AVERAGE(Z46:AA46)*12/1000</f>
        <v>1254.325100229282</v>
      </c>
      <c r="AB59" s="52">
        <f t="shared" ref="AB59" si="87">AB64*AVERAGE(AA46:AB46)*12/1000</f>
        <v>1229.5056250886116</v>
      </c>
      <c r="AC59" s="52">
        <f t="shared" ref="AC59" si="88">AC64*AVERAGE(AB46:AC46)*12/1000</f>
        <v>1205.1969498194876</v>
      </c>
      <c r="AD59" s="52">
        <f t="shared" ref="AD59" si="89">AD64*AVERAGE(AC46:AD46)*12/1000</f>
        <v>1181.3880411530956</v>
      </c>
      <c r="AE59" s="52">
        <f t="shared" ref="AE59" si="90">AE64*AVERAGE(AD46:AE46)*12/1000</f>
        <v>1158.0681173883677</v>
      </c>
      <c r="AF59" s="21"/>
      <c r="AG59" s="21"/>
      <c r="AI59" s="608" t="s">
        <v>3344</v>
      </c>
      <c r="AJ59" s="9">
        <f>AJ53*0.45</f>
        <v>525.15</v>
      </c>
      <c r="AK59" s="9">
        <f>AK53*0.45</f>
        <v>271.35000000000002</v>
      </c>
      <c r="AL59" s="9">
        <f>AL53*0.45</f>
        <v>88.65</v>
      </c>
      <c r="AM59" s="21"/>
    </row>
    <row r="60" spans="2:39">
      <c r="B60" s="57" t="s">
        <v>1540</v>
      </c>
      <c r="C60" s="365"/>
      <c r="D60" s="367"/>
      <c r="E60" s="367"/>
      <c r="F60" s="367"/>
      <c r="G60" s="367"/>
      <c r="H60" s="367"/>
      <c r="I60" s="367"/>
      <c r="J60" s="367"/>
      <c r="K60" s="367"/>
      <c r="L60" s="400">
        <f>SUM(Newquarts!B65:E65)</f>
        <v>108.31628299028301</v>
      </c>
      <c r="M60" s="400">
        <f>SUM(Newquarts!G65:J65)</f>
        <v>145.38332886821021</v>
      </c>
      <c r="N60" s="400">
        <f>SUM(Newquarts!L65:O65)</f>
        <v>167.78821222729641</v>
      </c>
      <c r="O60" s="400">
        <f>SUM(Newquarts!Q65:T65)</f>
        <v>224.00196772033541</v>
      </c>
      <c r="P60" s="400">
        <f>SUM(Newquarts!V65:Y65)</f>
        <v>240.97672754282053</v>
      </c>
      <c r="Q60" s="400">
        <f>P60*1.1</f>
        <v>265.07440029710261</v>
      </c>
      <c r="R60" s="400">
        <f>Q60*1.1</f>
        <v>291.58184032681288</v>
      </c>
      <c r="S60" s="400">
        <f>R60*1.1</f>
        <v>320.74002435949421</v>
      </c>
      <c r="T60" s="400">
        <f>S60*1.1</f>
        <v>352.81402679544368</v>
      </c>
      <c r="U60" s="400">
        <f>T60*1.1</f>
        <v>388.09542947498807</v>
      </c>
      <c r="V60" s="400">
        <f>U60*1.05</f>
        <v>407.50020094873747</v>
      </c>
      <c r="W60" s="400">
        <f>V60*1.05</f>
        <v>427.87521099617436</v>
      </c>
      <c r="X60" s="400">
        <f>W60*1.05</f>
        <v>449.26897154598311</v>
      </c>
      <c r="Y60" s="400">
        <f>X60*1.05</f>
        <v>471.73242012328228</v>
      </c>
      <c r="Z60" s="400">
        <f>Y60*1.05</f>
        <v>495.31904112944642</v>
      </c>
      <c r="AA60" s="400">
        <f t="shared" ref="AA60:AE60" si="91">Z60*1.05</f>
        <v>520.08499318591873</v>
      </c>
      <c r="AB60" s="400">
        <f t="shared" si="91"/>
        <v>546.0892428452147</v>
      </c>
      <c r="AC60" s="400">
        <f t="shared" si="91"/>
        <v>573.39370498747542</v>
      </c>
      <c r="AD60" s="400">
        <f t="shared" si="91"/>
        <v>602.06339023684916</v>
      </c>
      <c r="AE60" s="400">
        <f t="shared" si="91"/>
        <v>632.16655974869161</v>
      </c>
      <c r="AF60" s="21"/>
      <c r="AG60" s="21"/>
      <c r="AI60" s="608" t="s">
        <v>3345</v>
      </c>
      <c r="AJ60" s="21">
        <f>AJ54*0.5</f>
        <v>44</v>
      </c>
      <c r="AK60" s="21">
        <f>AK54*0.5</f>
        <v>20</v>
      </c>
      <c r="AL60" s="21">
        <f>AL54*0.5</f>
        <v>7.5</v>
      </c>
      <c r="AM60" s="21"/>
    </row>
    <row r="61" spans="2:39">
      <c r="B61" s="50" t="s">
        <v>1009</v>
      </c>
      <c r="C61" s="71"/>
      <c r="D61" s="71">
        <f>SUM(Quarts!G217:J217)</f>
        <v>165.39499999999998</v>
      </c>
      <c r="E61" s="71">
        <f>SUM(Quarts!K217:N217)</f>
        <v>305.024</v>
      </c>
      <c r="F61" s="71">
        <f>SUM(Quarts!O217:R217)</f>
        <v>452.6</v>
      </c>
      <c r="G61" s="71">
        <f>SUM(Quarts!S217:V217)</f>
        <v>796.11099999999999</v>
      </c>
      <c r="H61" s="71">
        <f>SUM(Quarts!X217:AA217)</f>
        <v>1149.354</v>
      </c>
      <c r="I61" s="71">
        <f>SUM(Quarts!AC217:AF217)</f>
        <v>1376.9389999999999</v>
      </c>
      <c r="J61" s="71">
        <f>SUM(Quarts!AH217:AK217)</f>
        <v>1520.2899976500235</v>
      </c>
      <c r="K61" s="71">
        <f>SUM(Quarts!AM217:AP217)</f>
        <v>1519.1082384138324</v>
      </c>
      <c r="L61" s="72">
        <f t="shared" ref="L61:S61" si="92">L59+L60</f>
        <v>1593.9333753715018</v>
      </c>
      <c r="M61" s="72">
        <f t="shared" si="92"/>
        <v>2084.0375241523561</v>
      </c>
      <c r="N61" s="72">
        <f t="shared" si="92"/>
        <v>2056.4035208227074</v>
      </c>
      <c r="O61" s="72">
        <f t="shared" si="92"/>
        <v>2090.9410829557714</v>
      </c>
      <c r="P61" s="72">
        <f t="shared" si="92"/>
        <v>2100.8702045237287</v>
      </c>
      <c r="Q61" s="72">
        <f t="shared" si="92"/>
        <v>1941.1811325442657</v>
      </c>
      <c r="R61" s="72">
        <f t="shared" si="92"/>
        <v>1827.8515923406812</v>
      </c>
      <c r="S61" s="72">
        <f t="shared" si="92"/>
        <v>1749.0205998991619</v>
      </c>
      <c r="T61" s="72">
        <f t="shared" ref="T61:Z61" si="93">T59+T60</f>
        <v>1773.4963003437827</v>
      </c>
      <c r="U61" s="72">
        <f t="shared" si="93"/>
        <v>1795.3276073680097</v>
      </c>
      <c r="V61" s="72">
        <f t="shared" si="93"/>
        <v>1793.9892459115651</v>
      </c>
      <c r="W61" s="72">
        <f t="shared" si="93"/>
        <v>1786.8160333427768</v>
      </c>
      <c r="X61" s="72">
        <f t="shared" si="93"/>
        <v>1781.2315342781546</v>
      </c>
      <c r="Y61" s="72">
        <f t="shared" si="93"/>
        <v>1777.2742986131163</v>
      </c>
      <c r="Z61" s="72">
        <f t="shared" si="93"/>
        <v>1774.985707422325</v>
      </c>
      <c r="AA61" s="72">
        <f t="shared" ref="AA61:AE61" si="94">AA59+AA60</f>
        <v>1774.4100934152007</v>
      </c>
      <c r="AB61" s="72">
        <f t="shared" si="94"/>
        <v>1775.5948679338262</v>
      </c>
      <c r="AC61" s="72">
        <f t="shared" si="94"/>
        <v>1778.5906548069629</v>
      </c>
      <c r="AD61" s="72">
        <f t="shared" si="94"/>
        <v>1783.4514313899449</v>
      </c>
      <c r="AE61" s="72">
        <f t="shared" si="94"/>
        <v>1790.2346771370594</v>
      </c>
      <c r="AF61" s="72"/>
      <c r="AG61" s="72"/>
      <c r="AH61" s="72"/>
      <c r="AI61" s="608" t="s">
        <v>3346</v>
      </c>
      <c r="AJ61" s="21">
        <v>83</v>
      </c>
      <c r="AK61" s="21">
        <v>61</v>
      </c>
      <c r="AL61" s="21">
        <v>2</v>
      </c>
      <c r="AM61" s="21"/>
    </row>
    <row r="62" spans="2:39">
      <c r="B62" s="50" t="s">
        <v>2016</v>
      </c>
      <c r="C62" s="4"/>
      <c r="D62" s="4"/>
      <c r="E62" s="36">
        <f>E61/D61-1</f>
        <v>0.84421536322137936</v>
      </c>
      <c r="F62" s="36">
        <f t="shared" ref="F62:Z62" si="95">F61/E61-1</f>
        <v>0.48381766680654636</v>
      </c>
      <c r="G62" s="36">
        <f t="shared" si="95"/>
        <v>0.75897260273972589</v>
      </c>
      <c r="H62" s="36">
        <f t="shared" si="95"/>
        <v>0.44371073882913326</v>
      </c>
      <c r="I62" s="36">
        <f t="shared" si="95"/>
        <v>0.19801123065652515</v>
      </c>
      <c r="J62" s="36">
        <f t="shared" si="95"/>
        <v>0.10410845916196987</v>
      </c>
      <c r="K62" s="36">
        <f>K61/J61-1</f>
        <v>-7.7732487750215018E-4</v>
      </c>
      <c r="L62" s="36">
        <f t="shared" si="95"/>
        <v>4.9255961534246939E-2</v>
      </c>
      <c r="M62" s="36">
        <f t="shared" si="95"/>
        <v>0.30748095017875166</v>
      </c>
      <c r="N62" s="36">
        <f>(N61-AJ59)/M61-1</f>
        <v>-0.26524666515037132</v>
      </c>
      <c r="O62" s="36">
        <f t="shared" si="95"/>
        <v>1.6795128866170517E-2</v>
      </c>
      <c r="P62" s="36">
        <f t="shared" si="95"/>
        <v>4.7486376583703027E-3</v>
      </c>
      <c r="Q62" s="36">
        <f t="shared" si="95"/>
        <v>-7.6010917588154814E-2</v>
      </c>
      <c r="R62" s="36">
        <f t="shared" si="95"/>
        <v>-5.8381744136903779E-2</v>
      </c>
      <c r="S62" s="36">
        <f t="shared" si="95"/>
        <v>-4.3127676651566249E-2</v>
      </c>
      <c r="T62" s="36">
        <f t="shared" si="95"/>
        <v>1.3993946352622633E-2</v>
      </c>
      <c r="U62" s="36">
        <f t="shared" si="95"/>
        <v>1.2309756169209374E-2</v>
      </c>
      <c r="V62" s="36">
        <f t="shared" si="95"/>
        <v>-7.4546921183182846E-4</v>
      </c>
      <c r="W62" s="36">
        <f t="shared" si="95"/>
        <v>-3.9984702166614428E-3</v>
      </c>
      <c r="X62" s="36">
        <f t="shared" si="95"/>
        <v>-3.1253911764910214E-3</v>
      </c>
      <c r="Y62" s="36">
        <f t="shared" si="95"/>
        <v>-2.2216290183981746E-3</v>
      </c>
      <c r="Z62" s="36">
        <f t="shared" si="95"/>
        <v>-1.287697229728213E-3</v>
      </c>
      <c r="AA62" s="36">
        <f t="shared" ref="AA62" si="96">AA61/Z61-1</f>
        <v>-3.2429219273000243E-4</v>
      </c>
      <c r="AB62" s="36">
        <f t="shared" ref="AB62" si="97">AB61/AA61-1</f>
        <v>6.6770050678943704E-4</v>
      </c>
      <c r="AC62" s="36">
        <f t="shared" ref="AC62" si="98">AC61/AB61-1</f>
        <v>1.6872018089479912E-3</v>
      </c>
      <c r="AD62" s="36">
        <f t="shared" ref="AD62" si="99">AD61/AC61-1</f>
        <v>2.7329372106195127E-3</v>
      </c>
      <c r="AE62" s="36">
        <f t="shared" ref="AE62" si="100">AE61/AD61-1</f>
        <v>3.8034373281632394E-3</v>
      </c>
      <c r="AF62" s="21"/>
      <c r="AG62" s="21"/>
      <c r="AH62" s="21"/>
      <c r="AJ62" s="21">
        <f>AJ58+AJ59-AJ60-AJ61</f>
        <v>5557.15</v>
      </c>
      <c r="AK62" s="21">
        <f>AK58+AK59-AK60-AK61</f>
        <v>2071.35</v>
      </c>
      <c r="AL62" s="21">
        <f>AL58+AL59-AL60-AL61</f>
        <v>1305.1500000000001</v>
      </c>
      <c r="AM62" s="21"/>
    </row>
    <row r="63" spans="2:39">
      <c r="B63" s="50"/>
      <c r="C63" s="4"/>
      <c r="D63" s="4"/>
      <c r="E63" s="36"/>
      <c r="F63" s="36"/>
      <c r="G63" s="36"/>
      <c r="H63" s="36" t="s">
        <v>1823</v>
      </c>
      <c r="I63" s="36"/>
      <c r="J63" s="36"/>
      <c r="K63" s="36"/>
      <c r="L63" s="36"/>
      <c r="M63" s="36"/>
      <c r="N63" s="36"/>
      <c r="O63" s="36"/>
      <c r="P63" s="36"/>
      <c r="Q63" s="36"/>
      <c r="R63" s="36"/>
      <c r="S63" s="36"/>
      <c r="T63" s="36"/>
      <c r="U63" s="36"/>
      <c r="V63" s="36"/>
      <c r="W63" s="36"/>
      <c r="X63" s="36"/>
      <c r="Y63" s="36"/>
      <c r="Z63" s="36"/>
      <c r="AA63" s="36"/>
      <c r="AB63" s="36"/>
      <c r="AC63" s="36"/>
      <c r="AD63" s="36"/>
      <c r="AE63" s="36"/>
      <c r="AF63" s="21"/>
      <c r="AG63" s="21"/>
      <c r="AH63" s="21"/>
      <c r="AI63" s="21"/>
      <c r="AJ63" s="21"/>
      <c r="AK63" s="21"/>
      <c r="AL63" s="21"/>
      <c r="AM63" s="21"/>
    </row>
    <row r="64" spans="2:39">
      <c r="B64" s="50" t="s">
        <v>366</v>
      </c>
      <c r="C64" s="4"/>
      <c r="D64" s="56">
        <f t="shared" ref="D64:K64" si="101">D61/AVERAGE(C46:D46)*1000/12</f>
        <v>12.494253149681901</v>
      </c>
      <c r="E64" s="56">
        <f t="shared" si="101"/>
        <v>16.348780267920954</v>
      </c>
      <c r="F64" s="56">
        <f t="shared" si="101"/>
        <v>17.011857783575191</v>
      </c>
      <c r="G64" s="56">
        <f t="shared" si="101"/>
        <v>16.793197155274662</v>
      </c>
      <c r="H64" s="56">
        <f t="shared" si="101"/>
        <v>13.693148493449149</v>
      </c>
      <c r="I64" s="56">
        <f t="shared" si="101"/>
        <v>11.470244808526308</v>
      </c>
      <c r="J64" s="56">
        <f t="shared" si="101"/>
        <v>10.521183667940202</v>
      </c>
      <c r="K64" s="56">
        <f t="shared" si="101"/>
        <v>9.5954197219731778</v>
      </c>
      <c r="L64" s="56">
        <f>L59/AVERAGE(K46:L46)*1000/12</f>
        <v>8.8077292245702914</v>
      </c>
      <c r="M64" s="56">
        <f>M59/AVERAGE(L46:M46)*1000/12</f>
        <v>10.690478842885044</v>
      </c>
      <c r="N64" s="56">
        <f>N59/AVERAGE(M46:N46)*1000/12</f>
        <v>10.015885006498715</v>
      </c>
      <c r="O64" s="56">
        <f>O59/AVERAGE(N46:O46)*1000/12</f>
        <v>9.7740386117765361</v>
      </c>
      <c r="P64" s="56">
        <f>P59/AVERAGE(O46:P46)*1000/12</f>
        <v>9.5067355142016883</v>
      </c>
      <c r="Q64" s="67">
        <f t="shared" ref="Q64:Z64" si="102">P64*(1+Q65)</f>
        <v>8.3564205169832846</v>
      </c>
      <c r="R64" s="67">
        <f t="shared" si="102"/>
        <v>7.5207784652849563</v>
      </c>
      <c r="S64" s="67">
        <f t="shared" si="102"/>
        <v>6.8439084034093103</v>
      </c>
      <c r="T64" s="67">
        <f t="shared" si="102"/>
        <v>6.6728106933240774</v>
      </c>
      <c r="U64" s="67">
        <f t="shared" si="102"/>
        <v>6.4792991832176794</v>
      </c>
      <c r="V64" s="67">
        <f t="shared" si="102"/>
        <v>6.2913995069043667</v>
      </c>
      <c r="W64" s="67">
        <f t="shared" si="102"/>
        <v>6.1089489212041395</v>
      </c>
      <c r="X64" s="67">
        <f t="shared" si="102"/>
        <v>5.931789402489219</v>
      </c>
      <c r="Y64" s="67">
        <f t="shared" si="102"/>
        <v>5.7597675098170313</v>
      </c>
      <c r="Z64" s="67">
        <f t="shared" si="102"/>
        <v>5.5927342520323373</v>
      </c>
      <c r="AA64" s="67">
        <f t="shared" ref="AA64" si="103">Z64*(1+AA65)</f>
        <v>5.4305449587233996</v>
      </c>
      <c r="AB64" s="67">
        <f t="shared" ref="AB64" si="104">AA64*(1+AB65)</f>
        <v>5.2730591549204204</v>
      </c>
      <c r="AC64" s="67">
        <f t="shared" ref="AC64" si="105">AB64*(1+AC65)</f>
        <v>5.1201404394277281</v>
      </c>
      <c r="AD64" s="67">
        <f t="shared" ref="AD64" si="106">AC64*(1+AD65)</f>
        <v>4.9716563666843241</v>
      </c>
      <c r="AE64" s="67">
        <f t="shared" ref="AE64" si="107">AD64*(1+AE65)</f>
        <v>4.8274783320504788</v>
      </c>
      <c r="AG64" s="21"/>
      <c r="AH64" s="21"/>
      <c r="AI64" s="21"/>
      <c r="AJ64" s="21"/>
      <c r="AK64" s="21"/>
      <c r="AL64" s="21"/>
      <c r="AM64" s="21"/>
    </row>
    <row r="65" spans="2:39">
      <c r="B65" s="50" t="s">
        <v>2353</v>
      </c>
      <c r="C65" s="4"/>
      <c r="D65" s="56"/>
      <c r="E65" s="55">
        <f t="shared" ref="E65:L65" si="108">E64/D64-1</f>
        <v>0.30850400356560637</v>
      </c>
      <c r="F65" s="55">
        <f t="shared" si="108"/>
        <v>4.0558225432591133E-2</v>
      </c>
      <c r="G65" s="55">
        <f t="shared" si="108"/>
        <v>-1.2853424422090143E-2</v>
      </c>
      <c r="H65" s="55">
        <f t="shared" si="108"/>
        <v>-0.18460145695674168</v>
      </c>
      <c r="I65" s="55">
        <f t="shared" si="108"/>
        <v>-0.16233692974163583</v>
      </c>
      <c r="J65" s="55">
        <f t="shared" si="108"/>
        <v>-8.2741140788959444E-2</v>
      </c>
      <c r="K65" s="55">
        <f t="shared" si="108"/>
        <v>-8.7990474758841142E-2</v>
      </c>
      <c r="L65" s="55">
        <f t="shared" si="108"/>
        <v>-8.2090259751650296E-2</v>
      </c>
      <c r="M65" s="55">
        <f>M64/L64-1</f>
        <v>0.21376106943235507</v>
      </c>
      <c r="N65" s="55">
        <f>N64/M64-1</f>
        <v>-6.3102303114822456E-2</v>
      </c>
      <c r="O65" s="55">
        <f>O64/N64-1</f>
        <v>-2.41462830858441E-2</v>
      </c>
      <c r="P65" s="55">
        <f>P64/O64-1</f>
        <v>-2.7348275180003934E-2</v>
      </c>
      <c r="Q65" s="68">
        <v>-0.121</v>
      </c>
      <c r="R65" s="68">
        <v>-0.1</v>
      </c>
      <c r="S65" s="68">
        <v>-0.09</v>
      </c>
      <c r="T65" s="68">
        <v>-2.5000000000000001E-2</v>
      </c>
      <c r="U65" s="68">
        <v>-2.9000000000000001E-2</v>
      </c>
      <c r="V65" s="68">
        <v>-2.9000000000000001E-2</v>
      </c>
      <c r="W65" s="68">
        <v>-2.9000000000000001E-2</v>
      </c>
      <c r="X65" s="68">
        <v>-2.9000000000000001E-2</v>
      </c>
      <c r="Y65" s="68">
        <v>-2.9000000000000001E-2</v>
      </c>
      <c r="Z65" s="68">
        <v>-2.9000000000000001E-2</v>
      </c>
      <c r="AA65" s="68">
        <v>-2.9000000000000001E-2</v>
      </c>
      <c r="AB65" s="68">
        <v>-2.9000000000000001E-2</v>
      </c>
      <c r="AC65" s="68">
        <v>-2.9000000000000001E-2</v>
      </c>
      <c r="AD65" s="68">
        <v>-2.9000000000000001E-2</v>
      </c>
      <c r="AE65" s="68">
        <v>-2.9000000000000001E-2</v>
      </c>
      <c r="AF65" s="21"/>
      <c r="AG65" s="21"/>
      <c r="AH65" s="21"/>
      <c r="AI65" s="21"/>
      <c r="AJ65" s="21"/>
      <c r="AK65" s="21"/>
      <c r="AL65" s="21"/>
      <c r="AM65" s="21"/>
    </row>
    <row r="66" spans="2:39">
      <c r="B66" s="50" t="s">
        <v>1053</v>
      </c>
      <c r="C66" s="4"/>
      <c r="D66" s="56"/>
      <c r="E66" s="56">
        <f t="shared" ref="E66:Z66" si="109">E61/AVERAGE(D47:E47)*1000/12</f>
        <v>21.891224831991661</v>
      </c>
      <c r="F66" s="56">
        <f t="shared" si="109"/>
        <v>22.933752483281769</v>
      </c>
      <c r="G66" s="56">
        <f t="shared" si="109"/>
        <v>23.771386836754505</v>
      </c>
      <c r="H66" s="56">
        <f t="shared" si="109"/>
        <v>19.46622520907108</v>
      </c>
      <c r="I66" s="56">
        <f t="shared" si="109"/>
        <v>16.417701816132823</v>
      </c>
      <c r="J66" s="56">
        <f t="shared" si="109"/>
        <v>15.186064098398186</v>
      </c>
      <c r="K66" s="56">
        <f t="shared" si="109"/>
        <v>14.014255393187078</v>
      </c>
      <c r="L66" s="56">
        <f t="shared" si="109"/>
        <v>12.904350256781226</v>
      </c>
      <c r="M66" s="56">
        <f t="shared" si="109"/>
        <v>14.809554436229858</v>
      </c>
      <c r="N66" s="56">
        <f t="shared" si="109"/>
        <v>14.216752709693681</v>
      </c>
      <c r="O66" s="56">
        <f t="shared" si="109"/>
        <v>14.327510231718696</v>
      </c>
      <c r="P66" s="56">
        <f t="shared" si="109"/>
        <v>14.067641194878961</v>
      </c>
      <c r="Q66" s="56">
        <f t="shared" si="109"/>
        <v>12.714761646172287</v>
      </c>
      <c r="R66" s="56">
        <f t="shared" si="109"/>
        <v>11.749928170400262</v>
      </c>
      <c r="S66" s="56">
        <f t="shared" si="109"/>
        <v>10.981153858500498</v>
      </c>
      <c r="T66" s="56">
        <f t="shared" si="109"/>
        <v>10.889192534450984</v>
      </c>
      <c r="U66" s="56">
        <f t="shared" si="109"/>
        <v>10.781255084322126</v>
      </c>
      <c r="V66" s="56">
        <f t="shared" si="109"/>
        <v>10.608802395026595</v>
      </c>
      <c r="W66" s="56">
        <f t="shared" si="109"/>
        <v>10.474542489739616</v>
      </c>
      <c r="X66" s="56">
        <f t="shared" si="109"/>
        <v>10.350835760634316</v>
      </c>
      <c r="Y66" s="56">
        <f t="shared" si="109"/>
        <v>10.237655304549481</v>
      </c>
      <c r="Z66" s="56">
        <f t="shared" si="109"/>
        <v>10.134985666664884</v>
      </c>
      <c r="AA66" s="56">
        <f t="shared" ref="AA66" si="110">AA61/AVERAGE(Z47:AA47)*1000/12</f>
        <v>10.042822940163132</v>
      </c>
      <c r="AB66" s="56">
        <f t="shared" ref="AB66" si="111">AB61/AVERAGE(AA47:AB47)*1000/12</f>
        <v>9.9611748795003692</v>
      </c>
      <c r="AC66" s="56">
        <f t="shared" ref="AC66" si="112">AC61/AVERAGE(AB47:AC47)*1000/12</f>
        <v>9.8900610275420213</v>
      </c>
      <c r="AD66" s="56">
        <f t="shared" ref="AD66" si="113">AD61/AVERAGE(AC47:AD47)*1000/12</f>
        <v>9.8295128568374128</v>
      </c>
      <c r="AE66" s="56">
        <f t="shared" ref="AE66" si="114">AE61/AVERAGE(AD47:AE47)*1000/12</f>
        <v>9.7795739253250744</v>
      </c>
      <c r="AF66" s="21"/>
      <c r="AG66" s="21"/>
      <c r="AH66" s="21"/>
      <c r="AI66" s="21"/>
      <c r="AJ66" s="21"/>
      <c r="AK66" s="21"/>
      <c r="AL66" s="21"/>
      <c r="AM66" s="21"/>
    </row>
    <row r="67" spans="2:39">
      <c r="B67" s="50"/>
      <c r="C67" s="4"/>
      <c r="D67" s="4"/>
      <c r="E67" s="36"/>
      <c r="F67" s="4"/>
      <c r="G67" s="4"/>
      <c r="H67" s="4"/>
      <c r="I67" s="4"/>
      <c r="J67" s="4"/>
      <c r="K67" s="4"/>
      <c r="L67" s="4"/>
      <c r="M67" s="4"/>
      <c r="N67" s="4"/>
      <c r="O67" s="4"/>
      <c r="P67" s="4"/>
      <c r="Q67" s="4"/>
      <c r="R67" s="4"/>
      <c r="S67" s="4"/>
      <c r="T67" s="4"/>
      <c r="U67" s="4"/>
      <c r="V67" s="4"/>
      <c r="W67" s="4"/>
      <c r="X67" s="4"/>
      <c r="Y67" s="4"/>
      <c r="Z67" s="4"/>
      <c r="AA67" s="4"/>
      <c r="AB67" s="4"/>
      <c r="AC67" s="4"/>
      <c r="AD67" s="4"/>
      <c r="AE67" s="4"/>
      <c r="AF67" s="21"/>
      <c r="AG67" s="21"/>
      <c r="AH67" s="21"/>
      <c r="AI67" s="21"/>
      <c r="AJ67" s="21"/>
      <c r="AK67" s="21"/>
      <c r="AL67" s="21"/>
      <c r="AM67" s="21"/>
    </row>
    <row r="68" spans="2:39">
      <c r="B68" s="48" t="s">
        <v>1135</v>
      </c>
      <c r="C68" s="4"/>
      <c r="D68" s="4"/>
      <c r="E68" s="36"/>
      <c r="F68" s="4"/>
      <c r="G68" s="4"/>
      <c r="H68" s="4"/>
      <c r="I68" s="4"/>
      <c r="J68" s="4"/>
      <c r="K68" s="36"/>
      <c r="L68" s="4"/>
      <c r="M68" s="4"/>
      <c r="N68" s="4"/>
      <c r="O68" s="4"/>
      <c r="P68" s="4"/>
      <c r="Q68" s="4"/>
      <c r="R68" s="4"/>
      <c r="S68" s="4"/>
      <c r="T68" s="4"/>
      <c r="U68" s="4"/>
      <c r="V68" s="4"/>
      <c r="W68" s="4"/>
      <c r="X68" s="4"/>
      <c r="Y68" s="4"/>
      <c r="Z68" s="4"/>
      <c r="AA68" s="4"/>
      <c r="AB68" s="4"/>
      <c r="AC68" s="4"/>
      <c r="AD68" s="4"/>
      <c r="AE68" s="4"/>
      <c r="AF68" s="21"/>
      <c r="AG68" s="21"/>
      <c r="AH68" s="21"/>
      <c r="AI68" s="21"/>
      <c r="AJ68" s="21"/>
      <c r="AK68" s="21"/>
      <c r="AL68" s="21"/>
      <c r="AM68" s="21"/>
    </row>
    <row r="69" spans="2:39">
      <c r="B69" t="str">
        <f>B52</f>
        <v>El Salvador</v>
      </c>
      <c r="C69" s="4"/>
      <c r="D69" s="2489">
        <v>1</v>
      </c>
      <c r="E69" s="2489">
        <v>1</v>
      </c>
      <c r="F69" s="2489">
        <v>1</v>
      </c>
      <c r="G69" s="2489">
        <v>1</v>
      </c>
      <c r="H69" s="2489">
        <v>1</v>
      </c>
      <c r="I69" s="2489">
        <v>1</v>
      </c>
      <c r="J69" s="2489">
        <v>1</v>
      </c>
      <c r="K69" s="2489">
        <v>1</v>
      </c>
      <c r="L69" s="2489">
        <v>1</v>
      </c>
      <c r="M69" s="2489">
        <v>1</v>
      </c>
      <c r="N69" s="2489">
        <v>1</v>
      </c>
      <c r="O69" s="2489">
        <v>1</v>
      </c>
      <c r="P69" s="2489">
        <v>1</v>
      </c>
      <c r="Q69" s="2489">
        <v>1</v>
      </c>
      <c r="R69" s="2489">
        <v>1</v>
      </c>
      <c r="S69" s="2489">
        <v>1</v>
      </c>
      <c r="T69" s="2489">
        <v>1</v>
      </c>
      <c r="U69" s="2489">
        <v>1</v>
      </c>
      <c r="V69" s="2489">
        <v>1</v>
      </c>
      <c r="W69" s="2489">
        <v>1</v>
      </c>
      <c r="X69" s="2489">
        <v>1</v>
      </c>
      <c r="Y69" s="2489">
        <v>1</v>
      </c>
      <c r="Z69" s="2489">
        <v>1</v>
      </c>
      <c r="AA69" s="2489">
        <v>1</v>
      </c>
      <c r="AB69" s="2489">
        <v>1</v>
      </c>
      <c r="AC69" s="2489">
        <v>1</v>
      </c>
      <c r="AD69" s="2489">
        <v>1</v>
      </c>
      <c r="AE69" s="2489">
        <v>1</v>
      </c>
      <c r="AF69" s="21"/>
      <c r="AG69" s="21"/>
      <c r="AH69" s="21"/>
      <c r="AI69" s="21"/>
      <c r="AJ69" s="21"/>
      <c r="AK69" s="21"/>
      <c r="AL69" s="21"/>
      <c r="AM69" s="21"/>
    </row>
    <row r="70" spans="2:39">
      <c r="B70" t="str">
        <f>B53</f>
        <v>Guatemala</v>
      </c>
      <c r="C70" s="4"/>
      <c r="D70" s="45">
        <v>7.91</v>
      </c>
      <c r="E70" s="45">
        <v>7.95</v>
      </c>
      <c r="F70" s="45">
        <v>7.64</v>
      </c>
      <c r="G70" s="303">
        <v>7.6</v>
      </c>
      <c r="H70" s="45">
        <v>7.68</v>
      </c>
      <c r="I70" s="45">
        <v>7.68</v>
      </c>
      <c r="J70" s="45">
        <v>8.14</v>
      </c>
      <c r="K70" s="90">
        <v>8.0580652548987466</v>
      </c>
      <c r="L70" s="90">
        <v>7.79</v>
      </c>
      <c r="M70" s="90">
        <v>7.72</v>
      </c>
      <c r="N70" s="90">
        <v>7.86</v>
      </c>
      <c r="O70" s="90">
        <v>7.73</v>
      </c>
      <c r="P70" s="90">
        <f>AVERAGE('Country quarts'!H53:K53)</f>
        <v>7.6580170773237182</v>
      </c>
      <c r="Q70" s="90">
        <f>AVERAGE('Country quarts'!P53:P53)</f>
        <v>7.52</v>
      </c>
      <c r="R70" s="90">
        <v>7.35</v>
      </c>
      <c r="S70" s="90">
        <v>7.34</v>
      </c>
      <c r="T70" s="302">
        <f t="shared" ref="T70:Z70" si="115">S70*1.02</f>
        <v>7.4867999999999997</v>
      </c>
      <c r="U70" s="302">
        <f t="shared" si="115"/>
        <v>7.6365359999999995</v>
      </c>
      <c r="V70" s="90">
        <v>7.7373284016608395</v>
      </c>
      <c r="W70" s="302">
        <f t="shared" si="115"/>
        <v>7.8920749696940566</v>
      </c>
      <c r="X70" s="302">
        <f t="shared" si="115"/>
        <v>8.0499164690879379</v>
      </c>
      <c r="Y70" s="302">
        <f t="shared" si="115"/>
        <v>8.2109147984696964</v>
      </c>
      <c r="Z70" s="302">
        <f t="shared" si="115"/>
        <v>8.3751330944390912</v>
      </c>
      <c r="AA70" s="302">
        <f t="shared" ref="AA70" si="116">Z70*1.02</f>
        <v>8.5426357563278739</v>
      </c>
      <c r="AB70" s="302">
        <f t="shared" ref="AB70" si="117">AA70*1.02</f>
        <v>8.713488471454431</v>
      </c>
      <c r="AC70" s="302">
        <f t="shared" ref="AC70" si="118">AB70*1.02</f>
        <v>8.8877582408835192</v>
      </c>
      <c r="AD70" s="302">
        <f t="shared" ref="AD70" si="119">AC70*1.02</f>
        <v>9.0655134057011892</v>
      </c>
      <c r="AE70" s="302">
        <f t="shared" ref="AE70" si="120">AD70*1.02</f>
        <v>9.2468236738152125</v>
      </c>
      <c r="AF70" s="36">
        <f>S70/M70-1</f>
        <v>-4.9222797927461093E-2</v>
      </c>
      <c r="AG70" s="21"/>
      <c r="AH70" s="21"/>
      <c r="AI70" s="21"/>
      <c r="AJ70" s="21"/>
      <c r="AK70" s="21"/>
      <c r="AL70" s="21"/>
      <c r="AM70" s="21"/>
    </row>
    <row r="71" spans="2:39">
      <c r="B71" t="str">
        <f>B54</f>
        <v>Honduras</v>
      </c>
      <c r="C71" s="4"/>
      <c r="D71" s="90">
        <v>16.41</v>
      </c>
      <c r="E71" s="90">
        <v>17.29</v>
      </c>
      <c r="F71" s="90">
        <v>18.21</v>
      </c>
      <c r="G71" s="90">
        <v>18.82</v>
      </c>
      <c r="H71" s="90">
        <v>18.89</v>
      </c>
      <c r="I71" s="90">
        <v>18.89</v>
      </c>
      <c r="J71" s="90">
        <v>18.89</v>
      </c>
      <c r="K71" s="90">
        <v>18.894981445221433</v>
      </c>
      <c r="L71" s="90">
        <v>18.89</v>
      </c>
      <c r="M71" s="90">
        <v>19.059999999999999</v>
      </c>
      <c r="N71" s="90">
        <v>20.420000000000002</v>
      </c>
      <c r="O71" s="90">
        <v>21.06</v>
      </c>
      <c r="P71" s="90">
        <f>AVERAGE('Country quarts'!H48:K48)</f>
        <v>22.017500000000002</v>
      </c>
      <c r="Q71" s="90">
        <f>AVERAGE('Country quarts'!P48:P48)</f>
        <v>23.1</v>
      </c>
      <c r="R71" s="90">
        <v>23.45</v>
      </c>
      <c r="S71" s="90">
        <v>23.47</v>
      </c>
      <c r="T71" s="302">
        <f t="shared" ref="T71:Z71" si="121">S71*1.025</f>
        <v>24.056749999999997</v>
      </c>
      <c r="U71" s="302">
        <f t="shared" si="121"/>
        <v>24.658168749999994</v>
      </c>
      <c r="V71" s="90">
        <v>24.077177968385783</v>
      </c>
      <c r="W71" s="302">
        <f t="shared" si="121"/>
        <v>24.679107417595425</v>
      </c>
      <c r="X71" s="302">
        <f t="shared" si="121"/>
        <v>25.29608510303531</v>
      </c>
      <c r="Y71" s="302">
        <f t="shared" si="121"/>
        <v>25.928487230611189</v>
      </c>
      <c r="Z71" s="302">
        <f t="shared" si="121"/>
        <v>26.576699411376467</v>
      </c>
      <c r="AA71" s="302">
        <f t="shared" ref="AA71" si="122">Z71*1.025</f>
        <v>27.241116896660877</v>
      </c>
      <c r="AB71" s="302">
        <f t="shared" ref="AB71" si="123">AA71*1.025</f>
        <v>27.922144819077396</v>
      </c>
      <c r="AC71" s="302">
        <f t="shared" ref="AC71" si="124">AB71*1.025</f>
        <v>28.620198439554329</v>
      </c>
      <c r="AD71" s="302">
        <f t="shared" ref="AD71" si="125">AC71*1.025</f>
        <v>29.335703400543185</v>
      </c>
      <c r="AE71" s="302">
        <f t="shared" ref="AE71" si="126">AD71*1.025</f>
        <v>30.069095985556761</v>
      </c>
      <c r="AF71" s="36">
        <f>S71/M71-1</f>
        <v>0.23137460650577135</v>
      </c>
      <c r="AG71" s="21"/>
      <c r="AH71" s="21"/>
      <c r="AI71" s="21"/>
      <c r="AJ71" s="21"/>
      <c r="AK71" s="21"/>
      <c r="AL71" s="21"/>
      <c r="AM71" s="21"/>
    </row>
    <row r="72" spans="2:39">
      <c r="C72" s="4"/>
      <c r="D72" s="4"/>
      <c r="E72" s="36"/>
      <c r="F72" s="4"/>
      <c r="G72" s="4"/>
      <c r="H72" s="4"/>
      <c r="I72" s="4"/>
      <c r="J72" s="36"/>
      <c r="K72" s="4"/>
      <c r="L72" s="4"/>
      <c r="M72" s="4"/>
      <c r="N72" s="4"/>
      <c r="O72" s="4"/>
      <c r="P72" s="4"/>
      <c r="Q72" s="4"/>
      <c r="R72" s="4"/>
      <c r="S72" s="4"/>
      <c r="T72" s="4"/>
      <c r="U72" s="4"/>
      <c r="V72" s="4"/>
      <c r="W72" s="4"/>
      <c r="X72" s="4"/>
      <c r="Y72" s="4"/>
      <c r="Z72" s="4"/>
      <c r="AA72" s="4"/>
      <c r="AB72" s="4"/>
      <c r="AC72" s="4"/>
      <c r="AD72" s="4"/>
      <c r="AE72" s="4"/>
      <c r="AF72" s="21"/>
      <c r="AG72" s="21"/>
      <c r="AH72" s="21"/>
      <c r="AI72" s="21"/>
      <c r="AJ72" s="21"/>
      <c r="AK72" s="21"/>
      <c r="AL72" s="21"/>
      <c r="AM72" s="21"/>
    </row>
    <row r="73" spans="2:39">
      <c r="B73" s="48" t="s">
        <v>3467</v>
      </c>
      <c r="C73" s="4"/>
      <c r="D73" s="4"/>
      <c r="E73" s="36"/>
      <c r="F73" s="4"/>
      <c r="G73" s="4"/>
      <c r="H73" s="4"/>
      <c r="I73" s="4"/>
      <c r="J73" s="4"/>
      <c r="K73" s="4"/>
      <c r="L73" s="4"/>
      <c r="M73" s="4"/>
      <c r="N73" s="4"/>
      <c r="O73" s="4"/>
      <c r="P73" s="4"/>
      <c r="Q73" s="4"/>
      <c r="R73" s="4"/>
      <c r="S73" s="4"/>
      <c r="T73" s="4"/>
      <c r="U73" s="4"/>
      <c r="V73" s="4"/>
      <c r="W73" s="4"/>
      <c r="X73" s="4"/>
      <c r="Y73" s="4"/>
      <c r="Z73" s="4"/>
      <c r="AA73" s="4"/>
      <c r="AB73" s="4"/>
      <c r="AC73" s="4"/>
      <c r="AD73" s="4"/>
      <c r="AE73" s="4"/>
      <c r="AF73" s="21"/>
      <c r="AG73" s="21"/>
      <c r="AH73" s="21"/>
      <c r="AI73" s="21"/>
      <c r="AJ73" s="21"/>
      <c r="AK73" s="21"/>
      <c r="AL73" s="21"/>
      <c r="AM73" s="21"/>
    </row>
    <row r="74" spans="2:39">
      <c r="B74" s="478" t="s">
        <v>2064</v>
      </c>
      <c r="C74" s="4"/>
      <c r="D74" s="31"/>
      <c r="E74" s="31"/>
      <c r="F74" s="31"/>
      <c r="G74" s="31"/>
      <c r="H74" s="31"/>
      <c r="I74" s="31"/>
      <c r="J74" s="46">
        <f>Quarts!AL148</f>
        <v>424</v>
      </c>
      <c r="K74" s="46">
        <f>SUM(Quarts!AM148:AP148)</f>
        <v>389</v>
      </c>
      <c r="L74" s="31">
        <f t="shared" ref="L74:S74" si="127">L104</f>
        <v>414</v>
      </c>
      <c r="M74" s="31">
        <f t="shared" si="127"/>
        <v>443</v>
      </c>
      <c r="N74" s="31">
        <f t="shared" si="127"/>
        <v>443</v>
      </c>
      <c r="O74" s="31">
        <f t="shared" si="127"/>
        <v>443</v>
      </c>
      <c r="P74" s="31">
        <f t="shared" si="127"/>
        <v>449.7425320056899</v>
      </c>
      <c r="Q74" s="31">
        <f>Q104</f>
        <v>403.96108003279892</v>
      </c>
      <c r="R74" s="31">
        <f t="shared" si="127"/>
        <v>291.12963383449176</v>
      </c>
      <c r="S74" s="31">
        <f t="shared" si="127"/>
        <v>240.81608266926378</v>
      </c>
      <c r="T74" s="31">
        <f t="shared" ref="T74:Z74" si="128">T104</f>
        <v>257.30246390294576</v>
      </c>
      <c r="U74" s="31">
        <f t="shared" si="128"/>
        <v>269.40875865312626</v>
      </c>
      <c r="V74" s="31">
        <f t="shared" si="128"/>
        <v>243.04556457087392</v>
      </c>
      <c r="W74" s="31">
        <f t="shared" si="128"/>
        <v>258.65825199422227</v>
      </c>
      <c r="X74" s="31">
        <f t="shared" si="128"/>
        <v>275.70472501677739</v>
      </c>
      <c r="Y74" s="31">
        <f t="shared" si="128"/>
        <v>298.55505617077529</v>
      </c>
      <c r="Z74" s="31">
        <f t="shared" si="128"/>
        <v>321.90399216292434</v>
      </c>
      <c r="AA74" s="31">
        <f t="shared" ref="AA74:AE74" si="129">AA104</f>
        <v>-811.1761647705905</v>
      </c>
      <c r="AB74" s="31">
        <f t="shared" si="129"/>
        <v>-838.8520021144775</v>
      </c>
      <c r="AC74" s="31">
        <f t="shared" si="129"/>
        <v>-865.72659884434711</v>
      </c>
      <c r="AD74" s="31">
        <f t="shared" si="129"/>
        <v>-891.78929046913242</v>
      </c>
      <c r="AE74" s="31">
        <f t="shared" si="129"/>
        <v>-917.02801997515405</v>
      </c>
      <c r="AF74" s="16">
        <f>P74/K74-1</f>
        <v>0.15615046788095088</v>
      </c>
      <c r="AG74" s="21"/>
      <c r="AH74" s="21"/>
      <c r="AI74" s="21"/>
      <c r="AJ74" s="21"/>
      <c r="AK74" s="21"/>
      <c r="AL74" s="21"/>
      <c r="AM74" s="21"/>
    </row>
    <row r="75" spans="2:39">
      <c r="B75" t="s">
        <v>2353</v>
      </c>
      <c r="C75" s="4"/>
      <c r="D75" s="31"/>
      <c r="E75" s="36"/>
      <c r="F75" s="36"/>
      <c r="G75" s="36"/>
      <c r="H75" s="36"/>
      <c r="I75" s="36"/>
      <c r="J75" s="36"/>
      <c r="K75" s="147">
        <f t="shared" ref="K75:Z75" si="130">K74/J74-1</f>
        <v>-8.2547169811320709E-2</v>
      </c>
      <c r="L75" s="29">
        <f t="shared" si="130"/>
        <v>6.4267352185090054E-2</v>
      </c>
      <c r="M75" s="29">
        <f t="shared" si="130"/>
        <v>7.004830917874405E-2</v>
      </c>
      <c r="N75" s="29">
        <f t="shared" si="130"/>
        <v>0</v>
      </c>
      <c r="O75" s="29">
        <f>O74/N74-1</f>
        <v>0</v>
      </c>
      <c r="P75" s="29">
        <f t="shared" si="130"/>
        <v>1.5220162541060622E-2</v>
      </c>
      <c r="Q75" s="29">
        <f>Q74/P74-1</f>
        <v>-0.10179480194751023</v>
      </c>
      <c r="R75" s="29">
        <f t="shared" si="130"/>
        <v>-0.27931266593590154</v>
      </c>
      <c r="S75" s="29">
        <f t="shared" si="130"/>
        <v>-0.17282181309591937</v>
      </c>
      <c r="T75" s="29">
        <f t="shared" si="130"/>
        <v>6.8460465974460316E-2</v>
      </c>
      <c r="U75" s="29">
        <f t="shared" si="130"/>
        <v>4.7050831020207351E-2</v>
      </c>
      <c r="V75" s="29">
        <f t="shared" si="130"/>
        <v>-9.7855742382139566E-2</v>
      </c>
      <c r="W75" s="29">
        <f t="shared" si="130"/>
        <v>6.4237697367217628E-2</v>
      </c>
      <c r="X75" s="29">
        <f t="shared" si="130"/>
        <v>6.5903457133607679E-2</v>
      </c>
      <c r="Y75" s="29">
        <f t="shared" si="130"/>
        <v>8.2879722691032498E-2</v>
      </c>
      <c r="Z75" s="29">
        <f t="shared" si="130"/>
        <v>7.8206466477637848E-2</v>
      </c>
      <c r="AA75" s="29">
        <f t="shared" ref="AA75" si="131">AA74/Z74-1</f>
        <v>-3.5199319813344601</v>
      </c>
      <c r="AB75" s="29">
        <f t="shared" ref="AB75" si="132">AB74/AA74-1</f>
        <v>3.4118158971934376E-2</v>
      </c>
      <c r="AC75" s="29">
        <f t="shared" ref="AC75" si="133">AC74/AB74-1</f>
        <v>3.2037351835755734E-2</v>
      </c>
      <c r="AD75" s="29">
        <f t="shared" ref="AD75" si="134">AD74/AC74-1</f>
        <v>3.0104991182639207E-2</v>
      </c>
      <c r="AE75" s="29">
        <f t="shared" ref="AE75" si="135">AE74/AD74-1</f>
        <v>2.8301225161321053E-2</v>
      </c>
      <c r="AF75" s="21"/>
      <c r="AG75" s="21"/>
      <c r="AH75" s="21"/>
      <c r="AI75" s="21"/>
      <c r="AJ75" s="21"/>
      <c r="AK75" s="21"/>
      <c r="AL75" s="21"/>
      <c r="AM75" s="21"/>
    </row>
    <row r="76" spans="2:39">
      <c r="B76" s="478" t="s">
        <v>2379</v>
      </c>
      <c r="C76" s="4"/>
      <c r="D76" s="31"/>
      <c r="E76" s="31"/>
      <c r="F76" s="31"/>
      <c r="G76" s="31"/>
      <c r="H76" s="31"/>
      <c r="I76" s="31"/>
      <c r="J76" s="46">
        <f>Quarts!AL149*Quarts!$B$123</f>
        <v>4045.8</v>
      </c>
      <c r="K76" s="46">
        <f>SUM(Quarts!AM149:AP149)*Quarts!$B$123</f>
        <v>4371.9500000000007</v>
      </c>
      <c r="L76" s="31">
        <f>L105*L70</f>
        <v>8554.8363636363629</v>
      </c>
      <c r="M76" s="31">
        <f>M105*M70</f>
        <v>8716.5818181818177</v>
      </c>
      <c r="N76" s="31">
        <f>N105*N70</f>
        <v>9172.6200000000008</v>
      </c>
      <c r="O76" s="31">
        <f>O105*O70</f>
        <v>9600.66</v>
      </c>
      <c r="P76" s="31">
        <f>P105*P70</f>
        <v>10001.370302984777</v>
      </c>
      <c r="Q76" s="31">
        <f t="shared" ref="Q76:Z76" si="136">(1+Q77)*P76</f>
        <v>9551.3086393504618</v>
      </c>
      <c r="R76" s="31">
        <f t="shared" si="136"/>
        <v>9551.3086393504618</v>
      </c>
      <c r="S76" s="31">
        <f t="shared" si="136"/>
        <v>9837.8478985309757</v>
      </c>
      <c r="T76" s="31">
        <f t="shared" si="136"/>
        <v>10428.118772442835</v>
      </c>
      <c r="U76" s="31">
        <f t="shared" si="136"/>
        <v>11158.087086513833</v>
      </c>
      <c r="V76" s="31">
        <f t="shared" si="136"/>
        <v>11604.410569974387</v>
      </c>
      <c r="W76" s="31">
        <f t="shared" si="136"/>
        <v>12068.586992773362</v>
      </c>
      <c r="X76" s="31">
        <f t="shared" si="136"/>
        <v>12551.330472484296</v>
      </c>
      <c r="Y76" s="31">
        <f t="shared" si="136"/>
        <v>12927.870386658826</v>
      </c>
      <c r="Z76" s="31">
        <f t="shared" si="136"/>
        <v>13315.706498258591</v>
      </c>
      <c r="AA76" s="31">
        <f t="shared" ref="AA76" si="137">(1+AA77)*Z76</f>
        <v>13715.177693206349</v>
      </c>
      <c r="AB76" s="31">
        <f t="shared" ref="AB76" si="138">(1+AB77)*AA76</f>
        <v>14126.63302400254</v>
      </c>
      <c r="AC76" s="31">
        <f t="shared" ref="AC76" si="139">(1+AC77)*AB76</f>
        <v>14550.432014722617</v>
      </c>
      <c r="AD76" s="31">
        <f t="shared" ref="AD76" si="140">(1+AD77)*AC76</f>
        <v>14986.944975164297</v>
      </c>
      <c r="AE76" s="31">
        <f t="shared" ref="AE76" si="141">(1+AE77)*AD76</f>
        <v>15436.553324419227</v>
      </c>
      <c r="AF76" s="16">
        <f>P76/K76-1</f>
        <v>1.2876222973695435</v>
      </c>
      <c r="AG76" s="21"/>
      <c r="AH76" s="21"/>
      <c r="AI76" s="21"/>
      <c r="AJ76" s="21"/>
      <c r="AK76" s="21"/>
      <c r="AL76" s="21"/>
      <c r="AM76" s="21"/>
    </row>
    <row r="77" spans="2:39">
      <c r="B77" t="s">
        <v>2353</v>
      </c>
      <c r="C77" s="4"/>
      <c r="D77" s="31"/>
      <c r="E77" s="36"/>
      <c r="F77" s="36"/>
      <c r="G77" s="36"/>
      <c r="H77" s="36"/>
      <c r="I77" s="36"/>
      <c r="J77" s="68"/>
      <c r="K77" s="147">
        <f t="shared" ref="K77:P77" si="142">K76/J76-1</f>
        <v>8.0614464382816831E-2</v>
      </c>
      <c r="L77" s="29">
        <f t="shared" si="142"/>
        <v>0.95675530681649179</v>
      </c>
      <c r="M77" s="29">
        <f t="shared" si="142"/>
        <v>1.8906902209489207E-2</v>
      </c>
      <c r="N77" s="29">
        <f t="shared" si="142"/>
        <v>5.2318465119771895E-2</v>
      </c>
      <c r="O77" s="29">
        <f t="shared" si="142"/>
        <v>4.6664965953020943E-2</v>
      </c>
      <c r="P77" s="29">
        <f t="shared" si="142"/>
        <v>4.1737787088051981E-2</v>
      </c>
      <c r="Q77" s="68">
        <v>-4.4999999999999998E-2</v>
      </c>
      <c r="R77" s="68">
        <v>0</v>
      </c>
      <c r="S77" s="68">
        <v>0.03</v>
      </c>
      <c r="T77" s="68">
        <v>0.06</v>
      </c>
      <c r="U77" s="68">
        <v>7.0000000000000007E-2</v>
      </c>
      <c r="V77" s="68">
        <v>0.04</v>
      </c>
      <c r="W77" s="68">
        <v>0.04</v>
      </c>
      <c r="X77" s="68">
        <v>0.04</v>
      </c>
      <c r="Y77" s="68">
        <v>0.03</v>
      </c>
      <c r="Z77" s="68">
        <v>0.03</v>
      </c>
      <c r="AA77" s="68">
        <v>0.03</v>
      </c>
      <c r="AB77" s="68">
        <v>0.03</v>
      </c>
      <c r="AC77" s="68">
        <v>0.03</v>
      </c>
      <c r="AD77" s="68">
        <v>0.03</v>
      </c>
      <c r="AE77" s="68">
        <v>0.03</v>
      </c>
      <c r="AF77" s="21"/>
      <c r="AG77" s="21"/>
      <c r="AH77" s="21"/>
      <c r="AI77" s="21"/>
      <c r="AJ77" s="21"/>
      <c r="AK77" s="21"/>
      <c r="AL77" s="21"/>
      <c r="AM77" s="21"/>
    </row>
    <row r="78" spans="2:39">
      <c r="B78" s="478" t="s">
        <v>2380</v>
      </c>
      <c r="C78" s="4"/>
      <c r="D78" s="31"/>
      <c r="E78" s="31"/>
      <c r="F78" s="31"/>
      <c r="G78" s="31"/>
      <c r="H78" s="31"/>
      <c r="I78" s="31"/>
      <c r="J78" s="46">
        <f>Quarts!AL150</f>
        <v>11241</v>
      </c>
      <c r="K78" s="46">
        <f>SUM(Quarts!AM150:AP150)</f>
        <v>11148</v>
      </c>
      <c r="L78" s="31">
        <f>L106*L71</f>
        <v>12712.970000000001</v>
      </c>
      <c r="M78" s="31">
        <f>M106*M71</f>
        <v>13437.3</v>
      </c>
      <c r="N78" s="31">
        <f>N106*N71</f>
        <v>13395.52</v>
      </c>
      <c r="O78" s="31">
        <f>O106*O71</f>
        <v>13246.74</v>
      </c>
      <c r="P78" s="31">
        <f>P106*P71</f>
        <v>14289.357500000002</v>
      </c>
      <c r="Q78" s="31">
        <f t="shared" ref="Q78:Z78" si="143">(1+Q79)*P78</f>
        <v>14003.570350000002</v>
      </c>
      <c r="R78" s="31">
        <f t="shared" si="143"/>
        <v>14283.641757000001</v>
      </c>
      <c r="S78" s="31">
        <f t="shared" si="143"/>
        <v>14854.987427280003</v>
      </c>
      <c r="T78" s="31">
        <f t="shared" si="143"/>
        <v>15894.836547189603</v>
      </c>
      <c r="U78" s="31">
        <f t="shared" si="143"/>
        <v>17007.475105492875</v>
      </c>
      <c r="V78" s="31">
        <f t="shared" si="143"/>
        <v>18027.923611822447</v>
      </c>
      <c r="W78" s="31">
        <f t="shared" si="143"/>
        <v>18749.040556295346</v>
      </c>
      <c r="X78" s="31">
        <f t="shared" si="143"/>
        <v>19124.021367421254</v>
      </c>
      <c r="Y78" s="31">
        <f t="shared" si="143"/>
        <v>19506.50179476968</v>
      </c>
      <c r="Z78" s="31">
        <f t="shared" si="143"/>
        <v>19896.631830665072</v>
      </c>
      <c r="AA78" s="31">
        <f t="shared" ref="AA78" si="144">(1+AA79)*Z78</f>
        <v>20294.564467278375</v>
      </c>
      <c r="AB78" s="31">
        <f t="shared" ref="AB78" si="145">(1+AB79)*AA78</f>
        <v>20700.455756623942</v>
      </c>
      <c r="AC78" s="31">
        <f t="shared" ref="AC78" si="146">(1+AC79)*AB78</f>
        <v>21114.46487175642</v>
      </c>
      <c r="AD78" s="31">
        <f t="shared" ref="AD78" si="147">(1+AD79)*AC78</f>
        <v>21536.754169191547</v>
      </c>
      <c r="AE78" s="31">
        <f t="shared" ref="AE78" si="148">(1+AE79)*AD78</f>
        <v>21967.489252575378</v>
      </c>
      <c r="AF78" s="16">
        <f>P78/K78-1</f>
        <v>0.28178664334409786</v>
      </c>
      <c r="AG78" s="21"/>
      <c r="AH78" s="21"/>
      <c r="AI78" s="21"/>
      <c r="AJ78" s="21"/>
      <c r="AK78" s="21"/>
      <c r="AL78" s="21"/>
      <c r="AM78" s="21"/>
    </row>
    <row r="79" spans="2:39">
      <c r="B79" s="21" t="s">
        <v>2353</v>
      </c>
      <c r="C79" s="4"/>
      <c r="D79" s="4"/>
      <c r="E79" s="36"/>
      <c r="F79" s="36"/>
      <c r="G79" s="36"/>
      <c r="H79" s="36"/>
      <c r="I79" s="36"/>
      <c r="J79" s="36"/>
      <c r="K79" s="147">
        <f t="shared" ref="K79:P79" si="149">K78/J78-1</f>
        <v>-8.2732852949025659E-3</v>
      </c>
      <c r="L79" s="29">
        <f t="shared" si="149"/>
        <v>0.14038123430211713</v>
      </c>
      <c r="M79" s="29">
        <f t="shared" si="149"/>
        <v>5.6975671302614384E-2</v>
      </c>
      <c r="N79" s="29">
        <f t="shared" si="149"/>
        <v>-3.1092555796178312E-3</v>
      </c>
      <c r="O79" s="29">
        <f t="shared" si="149"/>
        <v>-1.1106698358854361E-2</v>
      </c>
      <c r="P79" s="29">
        <f t="shared" si="149"/>
        <v>7.8707478217282301E-2</v>
      </c>
      <c r="Q79" s="68">
        <v>-0.02</v>
      </c>
      <c r="R79" s="68">
        <v>0.02</v>
      </c>
      <c r="S79" s="68">
        <v>0.04</v>
      </c>
      <c r="T79" s="68">
        <v>7.0000000000000007E-2</v>
      </c>
      <c r="U79" s="68">
        <v>7.0000000000000007E-2</v>
      </c>
      <c r="V79" s="68">
        <v>0.06</v>
      </c>
      <c r="W79" s="68">
        <v>0.04</v>
      </c>
      <c r="X79" s="68">
        <v>0.02</v>
      </c>
      <c r="Y79" s="68">
        <v>0.02</v>
      </c>
      <c r="Z79" s="68">
        <v>0.02</v>
      </c>
      <c r="AA79" s="68">
        <v>0.02</v>
      </c>
      <c r="AB79" s="68">
        <v>0.02</v>
      </c>
      <c r="AC79" s="68">
        <v>0.02</v>
      </c>
      <c r="AD79" s="68">
        <v>0.02</v>
      </c>
      <c r="AE79" s="68">
        <v>0.02</v>
      </c>
      <c r="AF79" s="21"/>
      <c r="AG79" s="21"/>
      <c r="AH79" s="21"/>
      <c r="AI79" s="21"/>
      <c r="AJ79" s="21"/>
      <c r="AK79" s="21"/>
      <c r="AL79" s="21"/>
      <c r="AM79" s="21"/>
    </row>
    <row r="80" spans="2:39">
      <c r="B80" s="4" t="s">
        <v>3464</v>
      </c>
      <c r="C80" s="4"/>
      <c r="D80" s="4"/>
      <c r="E80" s="36"/>
      <c r="F80" s="36"/>
      <c r="G80" s="36"/>
      <c r="H80" s="36"/>
      <c r="I80" s="36"/>
      <c r="J80" s="36"/>
      <c r="K80" s="147"/>
      <c r="L80" s="31">
        <f>L107</f>
        <v>151.1333753715021</v>
      </c>
      <c r="M80" s="31">
        <f>M107</f>
        <v>615.03752415235613</v>
      </c>
      <c r="N80" s="31">
        <f>N107</f>
        <v>139.40352082270738</v>
      </c>
      <c r="O80" s="31">
        <f>O107</f>
        <v>146.94108295577144</v>
      </c>
      <c r="P80" s="31">
        <f>P107</f>
        <v>151.12767251803871</v>
      </c>
      <c r="Q80" s="31">
        <f t="shared" ref="Q80:Z80" si="150">(1+Q81)*P80</f>
        <v>158.68405614394064</v>
      </c>
      <c r="R80" s="31">
        <f t="shared" si="150"/>
        <v>174.55246175833472</v>
      </c>
      <c r="S80" s="31">
        <f t="shared" si="150"/>
        <v>195.49875716933491</v>
      </c>
      <c r="T80" s="31">
        <f t="shared" si="150"/>
        <v>218.95860802965512</v>
      </c>
      <c r="U80" s="31">
        <f t="shared" si="150"/>
        <v>240.85446883262065</v>
      </c>
      <c r="V80" s="31">
        <f t="shared" si="150"/>
        <v>260.1228263392303</v>
      </c>
      <c r="W80" s="31">
        <f t="shared" si="150"/>
        <v>278.33142418297643</v>
      </c>
      <c r="X80" s="31">
        <f t="shared" si="150"/>
        <v>292.24799539212529</v>
      </c>
      <c r="Y80" s="31">
        <f t="shared" si="150"/>
        <v>303.93791520781031</v>
      </c>
      <c r="Z80" s="31">
        <f t="shared" si="150"/>
        <v>319.13481096820084</v>
      </c>
      <c r="AA80" s="31">
        <f t="shared" ref="AA80" si="151">(1+AA81)*Z80</f>
        <v>335.09155151661088</v>
      </c>
      <c r="AB80" s="31">
        <f t="shared" ref="AB80" si="152">(1+AB81)*AA80</f>
        <v>351.84612909244146</v>
      </c>
      <c r="AC80" s="31">
        <f t="shared" ref="AC80" si="153">(1+AC81)*AB80</f>
        <v>369.43843554706353</v>
      </c>
      <c r="AD80" s="31">
        <f t="shared" ref="AD80" si="154">(1+AD81)*AC80</f>
        <v>387.91035732441674</v>
      </c>
      <c r="AE80" s="31">
        <f t="shared" ref="AE80" si="155">(1+AE81)*AD80</f>
        <v>407.30587519063761</v>
      </c>
      <c r="AF80" s="21"/>
      <c r="AG80" s="21"/>
      <c r="AH80" s="21"/>
      <c r="AI80" s="21"/>
      <c r="AJ80" s="21"/>
      <c r="AK80" s="21"/>
      <c r="AL80" s="21"/>
      <c r="AM80" s="21"/>
    </row>
    <row r="81" spans="2:39">
      <c r="B81" s="21" t="s">
        <v>2353</v>
      </c>
      <c r="C81" s="4"/>
      <c r="D81" s="4"/>
      <c r="E81" s="36"/>
      <c r="F81" s="36"/>
      <c r="G81" s="36"/>
      <c r="H81" s="36"/>
      <c r="I81" s="36"/>
      <c r="J81" s="36"/>
      <c r="K81" s="147"/>
      <c r="L81" s="29"/>
      <c r="M81" s="29">
        <f>M80/L80-1</f>
        <v>3.0695016745343491</v>
      </c>
      <c r="N81" s="29">
        <f>N80/M80-1</f>
        <v>-0.77334143796375165</v>
      </c>
      <c r="O81" s="29">
        <f>O80/N80-1</f>
        <v>5.4070098721898718E-2</v>
      </c>
      <c r="P81" s="29">
        <f>P80/O80-1</f>
        <v>2.8491620437610443E-2</v>
      </c>
      <c r="Q81" s="68">
        <v>0.05</v>
      </c>
      <c r="R81" s="68">
        <v>0.1</v>
      </c>
      <c r="S81" s="68">
        <v>0.12</v>
      </c>
      <c r="T81" s="68">
        <v>0.12</v>
      </c>
      <c r="U81" s="68">
        <v>0.1</v>
      </c>
      <c r="V81" s="68">
        <v>0.08</v>
      </c>
      <c r="W81" s="68">
        <v>7.0000000000000007E-2</v>
      </c>
      <c r="X81" s="68">
        <v>0.05</v>
      </c>
      <c r="Y81" s="68">
        <v>0.04</v>
      </c>
      <c r="Z81" s="68">
        <v>0.05</v>
      </c>
      <c r="AA81" s="68">
        <v>0.05</v>
      </c>
      <c r="AB81" s="68">
        <v>0.05</v>
      </c>
      <c r="AC81" s="68">
        <v>0.05</v>
      </c>
      <c r="AD81" s="68">
        <v>0.05</v>
      </c>
      <c r="AE81" s="68">
        <v>0.05</v>
      </c>
      <c r="AF81" s="21"/>
      <c r="AG81" s="21"/>
      <c r="AH81" s="21"/>
      <c r="AI81" s="21"/>
      <c r="AJ81" s="21"/>
      <c r="AK81" s="21"/>
      <c r="AL81" s="21"/>
      <c r="AM81" s="21"/>
    </row>
    <row r="82" spans="2:39">
      <c r="C82" s="4"/>
      <c r="D82" s="4"/>
      <c r="E82" s="36"/>
      <c r="F82" s="36"/>
      <c r="G82" s="36"/>
      <c r="H82" s="36"/>
      <c r="I82" s="36"/>
      <c r="J82" s="29"/>
      <c r="K82" s="29"/>
      <c r="L82" s="29"/>
      <c r="M82" s="29"/>
      <c r="N82" s="29"/>
      <c r="O82" s="29"/>
      <c r="P82" s="29"/>
      <c r="Q82" s="29"/>
      <c r="R82" s="29"/>
      <c r="S82" s="29"/>
      <c r="T82" s="29"/>
      <c r="U82" s="29"/>
      <c r="V82" s="29"/>
      <c r="W82" s="29"/>
      <c r="X82" s="29"/>
      <c r="Y82" s="29"/>
      <c r="Z82" s="29"/>
      <c r="AA82" s="29"/>
      <c r="AB82" s="29"/>
      <c r="AC82" s="29"/>
      <c r="AD82" s="29"/>
      <c r="AE82" s="29"/>
      <c r="AF82" s="21"/>
      <c r="AG82" s="21"/>
      <c r="AH82" s="21"/>
      <c r="AI82" s="21"/>
      <c r="AJ82" s="21"/>
      <c r="AK82" s="21"/>
      <c r="AL82" s="21"/>
      <c r="AM82" s="21"/>
    </row>
    <row r="83" spans="2:39">
      <c r="B83" s="48" t="s">
        <v>439</v>
      </c>
      <c r="C83" s="4"/>
      <c r="D83" s="4"/>
      <c r="E83" s="36"/>
      <c r="F83" s="4"/>
      <c r="G83" s="4"/>
      <c r="H83" s="4"/>
      <c r="I83" s="4"/>
      <c r="J83" s="4"/>
      <c r="K83" s="4"/>
      <c r="L83" s="4"/>
      <c r="M83" s="4"/>
      <c r="N83" s="4"/>
      <c r="O83" s="4"/>
      <c r="P83" s="4"/>
      <c r="Q83" s="4"/>
      <c r="R83" s="4"/>
      <c r="S83" s="4"/>
      <c r="T83" s="4"/>
      <c r="U83" s="4"/>
      <c r="V83" s="4"/>
      <c r="W83" s="4"/>
      <c r="X83" s="4"/>
      <c r="Y83" s="4"/>
      <c r="Z83" s="4"/>
      <c r="AA83" s="4"/>
      <c r="AB83" s="4"/>
      <c r="AC83" s="4"/>
      <c r="AD83" s="4"/>
      <c r="AE83" s="4"/>
      <c r="AF83" s="21"/>
      <c r="AG83" s="21"/>
      <c r="AH83" s="21"/>
      <c r="AI83" s="21"/>
      <c r="AJ83" s="21"/>
      <c r="AK83" s="21"/>
      <c r="AL83" s="21"/>
      <c r="AM83" s="21"/>
    </row>
    <row r="84" spans="2:39">
      <c r="B84" s="50" t="str">
        <f t="shared" ref="B84:B89" si="156">B74</f>
        <v>El Salvador ($)</v>
      </c>
      <c r="C84" s="4"/>
      <c r="D84" s="4"/>
      <c r="E84" s="36"/>
      <c r="F84" s="327"/>
      <c r="G84" s="327"/>
      <c r="H84" s="327"/>
      <c r="I84" s="327"/>
      <c r="J84" s="327">
        <f t="shared" ref="J84:Z84" si="157">J74/AVERAGE(I41,J41)/12*1000</f>
        <v>13.313237879929664</v>
      </c>
      <c r="K84" s="327">
        <f t="shared" si="157"/>
        <v>11.770467056974143</v>
      </c>
      <c r="L84" s="327">
        <f t="shared" si="157"/>
        <v>11.98929095680797</v>
      </c>
      <c r="M84" s="327">
        <f t="shared" si="157"/>
        <v>12.293262293262293</v>
      </c>
      <c r="N84" s="327">
        <f t="shared" si="157"/>
        <v>13.193948058136764</v>
      </c>
      <c r="O84" s="327">
        <f t="shared" si="157"/>
        <v>13.492933723196881</v>
      </c>
      <c r="P84" s="327">
        <f t="shared" si="157"/>
        <v>12.895035677355429</v>
      </c>
      <c r="Q84" s="327">
        <f t="shared" si="157"/>
        <v>11.357369107255336</v>
      </c>
      <c r="R84" s="327">
        <f t="shared" si="157"/>
        <v>8.151275304634364</v>
      </c>
      <c r="S84" s="327">
        <f t="shared" si="157"/>
        <v>6.7258745118704057</v>
      </c>
      <c r="T84" s="327">
        <f t="shared" si="157"/>
        <v>7.1804090282114084</v>
      </c>
      <c r="U84" s="327">
        <f t="shared" si="157"/>
        <v>7.5120628298108141</v>
      </c>
      <c r="V84" s="327">
        <f t="shared" si="157"/>
        <v>6.7741754705624428</v>
      </c>
      <c r="W84" s="327">
        <f t="shared" si="157"/>
        <v>7.2093329043528618</v>
      </c>
      <c r="X84" s="327">
        <f t="shared" si="157"/>
        <v>7.6844528663767875</v>
      </c>
      <c r="Y84" s="327">
        <f t="shared" si="157"/>
        <v>8.3213381889744049</v>
      </c>
      <c r="Z84" s="327">
        <f t="shared" si="157"/>
        <v>8.9721206450995208</v>
      </c>
      <c r="AA84" s="327">
        <f t="shared" ref="AA84" si="158">AA74/AVERAGE(Z41,AA41)/12*1000</f>
        <v>-22.609133753977453</v>
      </c>
      <c r="AB84" s="327">
        <f t="shared" ref="AB84" si="159">AB74/AVERAGE(AA41,AB41)/12*1000</f>
        <v>-23.380515773613382</v>
      </c>
      <c r="AC84" s="327">
        <f t="shared" ref="AC84" si="160">AC74/AVERAGE(AB41,AC41)/12*1000</f>
        <v>-24.129565583554069</v>
      </c>
      <c r="AD84" s="327">
        <f t="shared" ref="AD84" si="161">AD74/AVERAGE(AC41,AD41)/12*1000</f>
        <v>-24.85598594268788</v>
      </c>
      <c r="AE84" s="327">
        <f t="shared" ref="AE84" si="162">AE74/AVERAGE(AD41,AE41)/12*1000</f>
        <v>-25.559440797458517</v>
      </c>
      <c r="AF84" s="36">
        <f>P84/J84-1</f>
        <v>-3.1412508838642106E-2</v>
      </c>
      <c r="AG84" s="21"/>
      <c r="AH84" s="21"/>
      <c r="AI84" s="21"/>
      <c r="AJ84" s="21"/>
      <c r="AK84" s="21"/>
      <c r="AL84" s="21"/>
      <c r="AM84" s="21"/>
    </row>
    <row r="85" spans="2:39">
      <c r="B85" s="50" t="str">
        <f t="shared" si="156"/>
        <v>% change</v>
      </c>
      <c r="C85" s="4"/>
      <c r="D85" s="4"/>
      <c r="E85" s="36"/>
      <c r="F85" s="4"/>
      <c r="G85" s="36"/>
      <c r="H85" s="36"/>
      <c r="I85" s="36"/>
      <c r="J85" s="36"/>
      <c r="K85" s="36">
        <f t="shared" ref="K85:Z85" si="163">K84/J84-1</f>
        <v>-0.11588246502237609</v>
      </c>
      <c r="L85" s="36">
        <f t="shared" si="163"/>
        <v>1.8590927511595412E-2</v>
      </c>
      <c r="M85" s="36">
        <f t="shared" si="163"/>
        <v>2.5353570744875098E-2</v>
      </c>
      <c r="N85" s="36">
        <f t="shared" si="163"/>
        <v>7.3266619013581114E-2</v>
      </c>
      <c r="O85" s="36">
        <f>O84/N84-1</f>
        <v>2.266081871345027E-2</v>
      </c>
      <c r="P85" s="36">
        <f t="shared" si="163"/>
        <v>-4.4311938241685223E-2</v>
      </c>
      <c r="Q85" s="36">
        <f t="shared" si="163"/>
        <v>-0.11924484806198266</v>
      </c>
      <c r="R85" s="36">
        <f t="shared" si="163"/>
        <v>-0.28229194387746448</v>
      </c>
      <c r="S85" s="36">
        <f t="shared" si="163"/>
        <v>-0.17486843953774378</v>
      </c>
      <c r="T85" s="36">
        <f t="shared" si="163"/>
        <v>6.7579987634143412E-2</v>
      </c>
      <c r="U85" s="36">
        <f t="shared" si="163"/>
        <v>4.6188706004958391E-2</v>
      </c>
      <c r="V85" s="36">
        <f t="shared" si="163"/>
        <v>-9.8226995163052222E-2</v>
      </c>
      <c r="W85" s="36">
        <f t="shared" si="163"/>
        <v>6.4237697367217628E-2</v>
      </c>
      <c r="X85" s="36">
        <f t="shared" si="163"/>
        <v>6.5903457133607679E-2</v>
      </c>
      <c r="Y85" s="36">
        <f t="shared" si="163"/>
        <v>8.2879722691032498E-2</v>
      </c>
      <c r="Z85" s="36">
        <f t="shared" si="163"/>
        <v>7.820646647763807E-2</v>
      </c>
      <c r="AA85" s="36">
        <f t="shared" ref="AA85" si="164">AA84/Z84-1</f>
        <v>-3.5199319813344605</v>
      </c>
      <c r="AB85" s="36">
        <f t="shared" ref="AB85" si="165">AB84/AA84-1</f>
        <v>3.4118158971934376E-2</v>
      </c>
      <c r="AC85" s="36">
        <f t="shared" ref="AC85" si="166">AC84/AB84-1</f>
        <v>3.2037351835755734E-2</v>
      </c>
      <c r="AD85" s="36">
        <f t="shared" ref="AD85" si="167">AD84/AC84-1</f>
        <v>3.0104991182639207E-2</v>
      </c>
      <c r="AE85" s="36">
        <f t="shared" ref="AE85" si="168">AE84/AD84-1</f>
        <v>2.8301225161320831E-2</v>
      </c>
      <c r="AF85" s="21"/>
      <c r="AG85" s="21"/>
      <c r="AH85" s="21"/>
      <c r="AI85" s="21"/>
      <c r="AJ85" s="21"/>
      <c r="AK85" s="21"/>
      <c r="AL85" s="21"/>
      <c r="AM85" s="21"/>
    </row>
    <row r="86" spans="2:39">
      <c r="B86" s="50" t="str">
        <f t="shared" si="156"/>
        <v>Guatemala</v>
      </c>
      <c r="C86" s="4"/>
      <c r="D86" s="4"/>
      <c r="E86" s="36"/>
      <c r="F86" s="40"/>
      <c r="G86" s="40"/>
      <c r="H86" s="40"/>
      <c r="I86" s="40"/>
      <c r="J86" s="40">
        <f t="shared" ref="J86:Z86" si="169">J76/AVERAGE(I42,J42)/12*1000</f>
        <v>68.85530480955785</v>
      </c>
      <c r="K86" s="40">
        <f t="shared" si="169"/>
        <v>62.344868663442213</v>
      </c>
      <c r="L86" s="40">
        <f t="shared" si="169"/>
        <v>106.15355663947624</v>
      </c>
      <c r="M86" s="40">
        <f t="shared" si="169"/>
        <v>96.561225414665088</v>
      </c>
      <c r="N86" s="40">
        <f t="shared" si="169"/>
        <v>93.991392560713209</v>
      </c>
      <c r="O86" s="40">
        <f t="shared" si="169"/>
        <v>95.85514886479362</v>
      </c>
      <c r="P86" s="40">
        <f t="shared" si="169"/>
        <v>97.207777210791733</v>
      </c>
      <c r="Q86" s="40">
        <f t="shared" si="169"/>
        <v>89.719848311605503</v>
      </c>
      <c r="R86" s="40">
        <f t="shared" si="169"/>
        <v>88.243297796301519</v>
      </c>
      <c r="S86" s="40">
        <f t="shared" si="169"/>
        <v>89.581667961853057</v>
      </c>
      <c r="T86" s="40">
        <f t="shared" si="169"/>
        <v>93.78074828636359</v>
      </c>
      <c r="U86" s="40">
        <f t="shared" si="169"/>
        <v>99.102956698254644</v>
      </c>
      <c r="V86" s="40">
        <f t="shared" si="169"/>
        <v>101.84343036475963</v>
      </c>
      <c r="W86" s="40">
        <f t="shared" si="169"/>
        <v>104.71296844226399</v>
      </c>
      <c r="X86" s="40">
        <f t="shared" si="169"/>
        <v>107.66335855655416</v>
      </c>
      <c r="Y86" s="40">
        <f t="shared" si="169"/>
        <v>109.63248572738583</v>
      </c>
      <c r="Z86" s="40">
        <f t="shared" si="169"/>
        <v>111.63762758201425</v>
      </c>
      <c r="AA86" s="40">
        <f t="shared" ref="AA86" si="170">AA76/AVERAGE(Z42,AA42)/12*1000</f>
        <v>113.67944281707827</v>
      </c>
      <c r="AB86" s="40">
        <f t="shared" ref="AB86" si="171">AB76/AVERAGE(AA42,AB42)/12*1000</f>
        <v>115.75860217656016</v>
      </c>
      <c r="AC86" s="40">
        <f t="shared" ref="AC86" si="172">AC76/AVERAGE(AB42,AC42)/12*1000</f>
        <v>117.8757886721275</v>
      </c>
      <c r="AD86" s="40">
        <f t="shared" ref="AD86" si="173">AD76/AVERAGE(AC42,AD42)/12*1000</f>
        <v>120.03169780750504</v>
      </c>
      <c r="AE86" s="40">
        <f t="shared" ref="AE86" si="174">AE76/AVERAGE(AD42,AE42)/12*1000</f>
        <v>122.22703780695025</v>
      </c>
      <c r="AF86" s="36">
        <f>P86/J86-1</f>
        <v>0.41176888955254842</v>
      </c>
      <c r="AG86" s="21"/>
      <c r="AH86" s="21"/>
      <c r="AI86" s="21"/>
      <c r="AJ86" s="21"/>
      <c r="AK86" s="21"/>
      <c r="AL86" s="21"/>
      <c r="AM86" s="21"/>
    </row>
    <row r="87" spans="2:39">
      <c r="B87" s="50" t="str">
        <f t="shared" si="156"/>
        <v>% change</v>
      </c>
      <c r="C87" s="4"/>
      <c r="D87" s="4"/>
      <c r="E87" s="36"/>
      <c r="F87" s="4"/>
      <c r="G87" s="36"/>
      <c r="H87" s="36"/>
      <c r="I87" s="36"/>
      <c r="J87" s="36"/>
      <c r="K87" s="36">
        <f t="shared" ref="K87:Z87" si="175">K86/J86-1</f>
        <v>-9.4552426485111085E-2</v>
      </c>
      <c r="L87" s="36">
        <f t="shared" si="175"/>
        <v>0.70268313840754892</v>
      </c>
      <c r="M87" s="36">
        <f t="shared" si="175"/>
        <v>-9.0362786970850872E-2</v>
      </c>
      <c r="N87" s="36">
        <f t="shared" si="175"/>
        <v>-2.6613507056442054E-2</v>
      </c>
      <c r="O87" s="36">
        <f t="shared" si="175"/>
        <v>1.9829010437062422E-2</v>
      </c>
      <c r="P87" s="36">
        <f t="shared" si="175"/>
        <v>1.4111170469371714E-2</v>
      </c>
      <c r="Q87" s="36">
        <f t="shared" si="175"/>
        <v>-7.703014217626758E-2</v>
      </c>
      <c r="R87" s="36">
        <f t="shared" si="175"/>
        <v>-1.6457345203881535E-2</v>
      </c>
      <c r="S87" s="36">
        <f t="shared" si="175"/>
        <v>1.5166819452294256E-2</v>
      </c>
      <c r="T87" s="36">
        <f t="shared" si="175"/>
        <v>4.6874326188016902E-2</v>
      </c>
      <c r="U87" s="36">
        <f t="shared" si="175"/>
        <v>5.6751609569583028E-2</v>
      </c>
      <c r="V87" s="36">
        <f t="shared" si="175"/>
        <v>2.7652794203194997E-2</v>
      </c>
      <c r="W87" s="36">
        <f t="shared" si="175"/>
        <v>2.8175976272862169E-2</v>
      </c>
      <c r="X87" s="36">
        <f t="shared" si="175"/>
        <v>2.8175976272861947E-2</v>
      </c>
      <c r="Y87" s="36">
        <f t="shared" si="175"/>
        <v>1.8289668808699755E-2</v>
      </c>
      <c r="Z87" s="36">
        <f t="shared" si="175"/>
        <v>1.8289668808699977E-2</v>
      </c>
      <c r="AA87" s="36">
        <f t="shared" ref="AA87" si="176">AA86/Z86-1</f>
        <v>1.8289668808699977E-2</v>
      </c>
      <c r="AB87" s="36">
        <f t="shared" ref="AB87" si="177">AB86/AA86-1</f>
        <v>1.8289668808699755E-2</v>
      </c>
      <c r="AC87" s="36">
        <f t="shared" ref="AC87" si="178">AC86/AB86-1</f>
        <v>1.8289668808699977E-2</v>
      </c>
      <c r="AD87" s="36">
        <f t="shared" ref="AD87" si="179">AD86/AC86-1</f>
        <v>1.8289668808700199E-2</v>
      </c>
      <c r="AE87" s="36">
        <f t="shared" ref="AE87" si="180">AE86/AD86-1</f>
        <v>1.8289668808699755E-2</v>
      </c>
      <c r="AF87" s="21"/>
      <c r="AG87" s="21"/>
      <c r="AH87" s="21"/>
      <c r="AI87" s="21"/>
      <c r="AJ87" s="21"/>
      <c r="AK87" s="21"/>
      <c r="AL87" s="21"/>
      <c r="AM87" s="21"/>
    </row>
    <row r="88" spans="2:39">
      <c r="B88" s="50" t="str">
        <f t="shared" si="156"/>
        <v>Honduras</v>
      </c>
      <c r="C88" s="4"/>
      <c r="D88" s="4"/>
      <c r="E88" s="36"/>
      <c r="F88" s="40"/>
      <c r="G88" s="40"/>
      <c r="H88" s="40"/>
      <c r="I88" s="40"/>
      <c r="J88" s="40">
        <f t="shared" ref="J88:Z88" si="181">J78/AVERAGE(I43,J43)/12*1000</f>
        <v>208.58383433533734</v>
      </c>
      <c r="K88" s="40">
        <f t="shared" si="181"/>
        <v>202.16930493257198</v>
      </c>
      <c r="L88" s="40">
        <f t="shared" si="181"/>
        <v>237.39530297168534</v>
      </c>
      <c r="M88" s="40">
        <f t="shared" si="181"/>
        <v>244.14586285838871</v>
      </c>
      <c r="N88" s="40">
        <f t="shared" si="181"/>
        <v>233.387692522127</v>
      </c>
      <c r="O88" s="40">
        <f t="shared" si="181"/>
        <v>228.31334022750775</v>
      </c>
      <c r="P88" s="40">
        <f t="shared" si="181"/>
        <v>246.89674503926028</v>
      </c>
      <c r="Q88" s="40">
        <f t="shared" si="181"/>
        <v>239.16511146567589</v>
      </c>
      <c r="R88" s="40">
        <f t="shared" si="181"/>
        <v>236.81403035396335</v>
      </c>
      <c r="S88" s="40">
        <f t="shared" si="181"/>
        <v>235.53400607581466</v>
      </c>
      <c r="T88" s="40">
        <f t="shared" si="181"/>
        <v>241.28647463834378</v>
      </c>
      <c r="U88" s="40">
        <f t="shared" si="181"/>
        <v>247.43687019503022</v>
      </c>
      <c r="V88" s="40">
        <f t="shared" si="181"/>
        <v>255.51012139020852</v>
      </c>
      <c r="W88" s="40">
        <f t="shared" si="181"/>
        <v>262.89130020361779</v>
      </c>
      <c r="X88" s="40">
        <f t="shared" si="181"/>
        <v>265.28405837721624</v>
      </c>
      <c r="Y88" s="40">
        <f t="shared" si="181"/>
        <v>267.69859472176557</v>
      </c>
      <c r="Z88" s="40">
        <f t="shared" si="181"/>
        <v>270.13510745567953</v>
      </c>
      <c r="AA88" s="40">
        <f t="shared" ref="AA88" si="182">AA78/AVERAGE(Z43,AA43)/12*1000</f>
        <v>272.59379660149699</v>
      </c>
      <c r="AB88" s="40">
        <f t="shared" ref="AB88" si="183">AB78/AVERAGE(AA43,AB43)/12*1000</f>
        <v>275.07486400230215</v>
      </c>
      <c r="AC88" s="40">
        <f t="shared" ref="AC88" si="184">AC78/AVERAGE(AB43,AC43)/12*1000</f>
        <v>277.57851333829461</v>
      </c>
      <c r="AD88" s="40">
        <f t="shared" ref="AD88" si="185">AD78/AVERAGE(AC43,AD43)/12*1000</f>
        <v>280.10495014351056</v>
      </c>
      <c r="AE88" s="40">
        <f t="shared" ref="AE88" si="186">AE78/AVERAGE(AD43,AE43)/12*1000</f>
        <v>282.65438182269571</v>
      </c>
      <c r="AF88" s="36">
        <f>P88/J88-1</f>
        <v>0.1836811123259332</v>
      </c>
      <c r="AG88" s="21"/>
      <c r="AH88" s="21"/>
      <c r="AI88" s="21"/>
      <c r="AJ88" s="21"/>
      <c r="AK88" s="21"/>
      <c r="AL88" s="21"/>
      <c r="AM88" s="21"/>
    </row>
    <row r="89" spans="2:39">
      <c r="B89" s="50" t="str">
        <f t="shared" si="156"/>
        <v>% change</v>
      </c>
      <c r="C89" s="4"/>
      <c r="D89" s="4"/>
      <c r="E89" s="36"/>
      <c r="F89" s="4"/>
      <c r="G89" s="36"/>
      <c r="H89" s="36"/>
      <c r="I89" s="36"/>
      <c r="J89" s="36"/>
      <c r="K89" s="36">
        <f t="shared" ref="K89:Z89" si="187">K88/J88-1</f>
        <v>-3.075276386209691E-2</v>
      </c>
      <c r="L89" s="36">
        <f t="shared" si="187"/>
        <v>0.1742400907539452</v>
      </c>
      <c r="M89" s="36">
        <f t="shared" si="187"/>
        <v>2.8435945455536293E-2</v>
      </c>
      <c r="N89" s="36">
        <f t="shared" si="187"/>
        <v>-4.4064520325301393E-2</v>
      </c>
      <c r="O89" s="36">
        <f t="shared" si="187"/>
        <v>-2.1742158893567898E-2</v>
      </c>
      <c r="P89" s="36">
        <f t="shared" si="187"/>
        <v>8.139430132831782E-2</v>
      </c>
      <c r="Q89" s="36">
        <f t="shared" si="187"/>
        <v>-3.1315251127976396E-2</v>
      </c>
      <c r="R89" s="36">
        <f t="shared" si="187"/>
        <v>-9.8303682226241751E-3</v>
      </c>
      <c r="S89" s="36">
        <f t="shared" si="187"/>
        <v>-5.4051876750522698E-3</v>
      </c>
      <c r="T89" s="36">
        <f t="shared" si="187"/>
        <v>2.4423091418389387E-2</v>
      </c>
      <c r="U89" s="36">
        <f t="shared" si="187"/>
        <v>2.5490013751931384E-2</v>
      </c>
      <c r="V89" s="36">
        <f t="shared" si="187"/>
        <v>3.2627519046837916E-2</v>
      </c>
      <c r="W89" s="36">
        <f t="shared" si="187"/>
        <v>2.8888009497427758E-2</v>
      </c>
      <c r="X89" s="36">
        <f t="shared" si="187"/>
        <v>9.101701622477254E-3</v>
      </c>
      <c r="Y89" s="36">
        <f t="shared" si="187"/>
        <v>9.1017016224774761E-3</v>
      </c>
      <c r="Z89" s="36">
        <f t="shared" si="187"/>
        <v>9.101701622477254E-3</v>
      </c>
      <c r="AA89" s="36">
        <f t="shared" ref="AA89" si="188">AA88/Z88-1</f>
        <v>9.1017016224774761E-3</v>
      </c>
      <c r="AB89" s="36">
        <f t="shared" ref="AB89" si="189">AB88/AA88-1</f>
        <v>9.1017016224774761E-3</v>
      </c>
      <c r="AC89" s="36">
        <f t="shared" ref="AC89" si="190">AC88/AB88-1</f>
        <v>9.101701622477254E-3</v>
      </c>
      <c r="AD89" s="36">
        <f t="shared" ref="AD89" si="191">AD88/AC88-1</f>
        <v>9.101701622477254E-3</v>
      </c>
      <c r="AE89" s="36">
        <f t="shared" ref="AE89" si="192">AE88/AD88-1</f>
        <v>9.1017016224774761E-3</v>
      </c>
      <c r="AF89" s="21"/>
      <c r="AG89" s="21"/>
      <c r="AH89" s="21"/>
      <c r="AI89" s="21"/>
      <c r="AJ89" s="21"/>
      <c r="AK89" s="21"/>
      <c r="AL89" s="21"/>
      <c r="AM89" s="21"/>
    </row>
    <row r="90" spans="2:39">
      <c r="B90" s="50"/>
      <c r="C90" s="4"/>
      <c r="D90" s="4"/>
      <c r="E90" s="36"/>
      <c r="F90" s="4"/>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21"/>
      <c r="AG90" s="21"/>
      <c r="AH90" s="21"/>
      <c r="AI90" s="21"/>
      <c r="AJ90" s="21"/>
      <c r="AK90" s="21"/>
      <c r="AL90" s="21"/>
      <c r="AM90" s="21"/>
    </row>
    <row r="91" spans="2:39">
      <c r="B91" s="48" t="s">
        <v>234</v>
      </c>
      <c r="C91" s="4"/>
      <c r="D91" s="4"/>
      <c r="E91" s="36"/>
      <c r="F91" s="4"/>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21"/>
      <c r="AG91" s="21"/>
      <c r="AH91" s="21"/>
      <c r="AI91" s="21"/>
      <c r="AJ91" s="21"/>
      <c r="AK91" s="21"/>
      <c r="AL91" s="21"/>
      <c r="AM91" s="21"/>
    </row>
    <row r="92" spans="2:39">
      <c r="B92" s="50" t="str">
        <f>B84</f>
        <v>El Salvador ($)</v>
      </c>
      <c r="C92" s="4"/>
      <c r="D92" s="4"/>
      <c r="E92" s="36"/>
      <c r="F92" s="4"/>
      <c r="G92" s="327"/>
      <c r="H92" s="327"/>
      <c r="I92" s="327"/>
      <c r="J92" s="327">
        <f t="shared" ref="J92:S92" si="193">J84/J69</f>
        <v>13.313237879929664</v>
      </c>
      <c r="K92" s="327">
        <f t="shared" si="193"/>
        <v>11.770467056974143</v>
      </c>
      <c r="L92" s="327">
        <f t="shared" si="193"/>
        <v>11.98929095680797</v>
      </c>
      <c r="M92" s="327">
        <f t="shared" si="193"/>
        <v>12.293262293262293</v>
      </c>
      <c r="N92" s="327">
        <f t="shared" si="193"/>
        <v>13.193948058136764</v>
      </c>
      <c r="O92" s="327">
        <f t="shared" si="193"/>
        <v>13.492933723196881</v>
      </c>
      <c r="P92" s="327">
        <f t="shared" si="193"/>
        <v>12.895035677355429</v>
      </c>
      <c r="Q92" s="327">
        <f t="shared" si="193"/>
        <v>11.357369107255336</v>
      </c>
      <c r="R92" s="327">
        <f t="shared" si="193"/>
        <v>8.151275304634364</v>
      </c>
      <c r="S92" s="327">
        <f t="shared" si="193"/>
        <v>6.7258745118704057</v>
      </c>
      <c r="T92" s="327">
        <f t="shared" ref="T92:Z92" si="194">T84/T69</f>
        <v>7.1804090282114084</v>
      </c>
      <c r="U92" s="327">
        <f t="shared" si="194"/>
        <v>7.5120628298108141</v>
      </c>
      <c r="V92" s="327">
        <f t="shared" si="194"/>
        <v>6.7741754705624428</v>
      </c>
      <c r="W92" s="327">
        <f t="shared" si="194"/>
        <v>7.2093329043528618</v>
      </c>
      <c r="X92" s="327">
        <f t="shared" si="194"/>
        <v>7.6844528663767875</v>
      </c>
      <c r="Y92" s="327">
        <f t="shared" si="194"/>
        <v>8.3213381889744049</v>
      </c>
      <c r="Z92" s="327">
        <f t="shared" si="194"/>
        <v>8.9721206450995208</v>
      </c>
      <c r="AA92" s="327">
        <f t="shared" ref="AA92:AE92" si="195">AA84/AA69</f>
        <v>-22.609133753977453</v>
      </c>
      <c r="AB92" s="327">
        <f t="shared" si="195"/>
        <v>-23.380515773613382</v>
      </c>
      <c r="AC92" s="327">
        <f t="shared" si="195"/>
        <v>-24.129565583554069</v>
      </c>
      <c r="AD92" s="327">
        <f t="shared" si="195"/>
        <v>-24.85598594268788</v>
      </c>
      <c r="AE92" s="327">
        <f t="shared" si="195"/>
        <v>-25.559440797458517</v>
      </c>
      <c r="AF92" s="21"/>
      <c r="AG92" s="21"/>
      <c r="AH92" s="21"/>
      <c r="AI92" s="21"/>
      <c r="AJ92" s="21"/>
      <c r="AK92" s="21"/>
      <c r="AL92" s="21"/>
      <c r="AM92" s="21"/>
    </row>
    <row r="93" spans="2:39">
      <c r="B93" s="50" t="str">
        <f>B86</f>
        <v>Guatemala</v>
      </c>
      <c r="C93" s="4"/>
      <c r="D93" s="4"/>
      <c r="E93" s="36"/>
      <c r="F93" s="4"/>
      <c r="G93" s="327"/>
      <c r="H93" s="327"/>
      <c r="I93" s="327"/>
      <c r="J93" s="327">
        <f t="shared" ref="J93:S93" si="196">J86/J70</f>
        <v>8.4588826547368363</v>
      </c>
      <c r="K93" s="327">
        <f t="shared" si="196"/>
        <v>7.7369525675584274</v>
      </c>
      <c r="L93" s="327">
        <f t="shared" si="196"/>
        <v>13.626900723937899</v>
      </c>
      <c r="M93" s="327">
        <f t="shared" si="196"/>
        <v>12.507930753194961</v>
      </c>
      <c r="N93" s="327">
        <f t="shared" si="196"/>
        <v>11.958192437749771</v>
      </c>
      <c r="O93" s="327">
        <f t="shared" si="196"/>
        <v>12.400407356376922</v>
      </c>
      <c r="P93" s="327">
        <f t="shared" si="196"/>
        <v>12.693596296440145</v>
      </c>
      <c r="Q93" s="327">
        <f t="shared" si="196"/>
        <v>11.930830892500733</v>
      </c>
      <c r="R93" s="327">
        <f t="shared" si="196"/>
        <v>12.005890856639663</v>
      </c>
      <c r="S93" s="327">
        <f t="shared" si="196"/>
        <v>12.204586915783796</v>
      </c>
      <c r="T93" s="327">
        <f t="shared" ref="T93:Z93" si="197">T86/T70</f>
        <v>12.526145788102205</v>
      </c>
      <c r="U93" s="327">
        <f t="shared" si="197"/>
        <v>12.977475218902216</v>
      </c>
      <c r="V93" s="327">
        <f t="shared" si="197"/>
        <v>13.162609246739306</v>
      </c>
      <c r="W93" s="327">
        <f t="shared" si="197"/>
        <v>13.268116286827832</v>
      </c>
      <c r="X93" s="327">
        <f t="shared" si="197"/>
        <v>13.374469035795164</v>
      </c>
      <c r="Y93" s="327">
        <f t="shared" si="197"/>
        <v>13.352042789168694</v>
      </c>
      <c r="Z93" s="327">
        <f t="shared" si="197"/>
        <v>13.329654146766842</v>
      </c>
      <c r="AA93" s="327">
        <f t="shared" ref="AA93:AE93" si="198">AA86/AA70</f>
        <v>13.307303045535019</v>
      </c>
      <c r="AB93" s="327">
        <f t="shared" si="198"/>
        <v>13.284989422524371</v>
      </c>
      <c r="AC93" s="327">
        <f t="shared" si="198"/>
        <v>13.262713214891592</v>
      </c>
      <c r="AD93" s="327">
        <f t="shared" si="198"/>
        <v>13.240474359898755</v>
      </c>
      <c r="AE93" s="327">
        <f t="shared" si="198"/>
        <v>13.218272794913124</v>
      </c>
      <c r="AF93" s="21"/>
      <c r="AG93" s="21"/>
      <c r="AH93" s="21"/>
      <c r="AI93" s="21"/>
      <c r="AJ93" s="21"/>
      <c r="AK93" s="21"/>
      <c r="AL93" s="21"/>
      <c r="AM93" s="21"/>
    </row>
    <row r="94" spans="2:39">
      <c r="B94" t="str">
        <f>B78</f>
        <v>Honduras</v>
      </c>
      <c r="C94" s="4"/>
      <c r="D94" s="4"/>
      <c r="E94" s="36"/>
      <c r="F94" s="4"/>
      <c r="G94" s="327"/>
      <c r="H94" s="327"/>
      <c r="I94" s="327"/>
      <c r="J94" s="327">
        <f t="shared" ref="J94:S94" si="199">J88/J71</f>
        <v>11.042024051632469</v>
      </c>
      <c r="K94" s="327">
        <f t="shared" si="199"/>
        <v>10.699629714836311</v>
      </c>
      <c r="L94" s="327">
        <f t="shared" si="199"/>
        <v>12.567247378066984</v>
      </c>
      <c r="M94" s="327">
        <f t="shared" si="199"/>
        <v>12.809331734438024</v>
      </c>
      <c r="N94" s="327">
        <f t="shared" si="199"/>
        <v>11.429367900202104</v>
      </c>
      <c r="O94" s="327">
        <f t="shared" si="199"/>
        <v>10.841089279558773</v>
      </c>
      <c r="P94" s="327">
        <f t="shared" si="199"/>
        <v>11.213659363654378</v>
      </c>
      <c r="Q94" s="327">
        <f t="shared" si="199"/>
        <v>10.353468028817138</v>
      </c>
      <c r="R94" s="327">
        <f t="shared" si="199"/>
        <v>10.098679332791614</v>
      </c>
      <c r="S94" s="327">
        <f t="shared" si="199"/>
        <v>10.035534984056866</v>
      </c>
      <c r="T94" s="327">
        <f t="shared" ref="T94:Z94" si="200">T88/T71</f>
        <v>10.029886607224325</v>
      </c>
      <c r="U94" s="327">
        <f t="shared" si="200"/>
        <v>10.034681516851501</v>
      </c>
      <c r="V94" s="327">
        <f t="shared" si="200"/>
        <v>10.612129117694053</v>
      </c>
      <c r="W94" s="327">
        <f t="shared" si="200"/>
        <v>10.652382833594078</v>
      </c>
      <c r="X94" s="327">
        <f t="shared" si="200"/>
        <v>10.487158676794001</v>
      </c>
      <c r="Y94" s="327">
        <f t="shared" si="200"/>
        <v>10.324497235061228</v>
      </c>
      <c r="Z94" s="327">
        <f t="shared" si="200"/>
        <v>10.164358759313997</v>
      </c>
      <c r="AA94" s="327">
        <f t="shared" ref="AA94:AE94" si="201">AA88/AA71</f>
        <v>10.006704117000085</v>
      </c>
      <c r="AB94" s="327">
        <f t="shared" si="201"/>
        <v>9.8514947825340862</v>
      </c>
      <c r="AC94" s="327">
        <f t="shared" si="201"/>
        <v>9.6986928278830291</v>
      </c>
      <c r="AD94" s="327">
        <f t="shared" si="201"/>
        <v>9.5482609132980283</v>
      </c>
      <c r="AE94" s="327">
        <f t="shared" si="201"/>
        <v>9.4001622781896899</v>
      </c>
      <c r="AF94" s="21"/>
      <c r="AG94" s="21"/>
      <c r="AH94" s="21"/>
      <c r="AI94" s="21"/>
      <c r="AJ94" s="21"/>
      <c r="AK94" s="21"/>
      <c r="AL94" s="21"/>
      <c r="AM94" s="21"/>
    </row>
    <row r="95" spans="2:39">
      <c r="B95" s="50"/>
      <c r="C95" s="4"/>
      <c r="D95" s="4"/>
      <c r="E95" s="36"/>
      <c r="F95" s="4"/>
      <c r="G95" s="4"/>
      <c r="H95" s="4"/>
      <c r="I95" s="204"/>
      <c r="J95" s="4"/>
      <c r="K95" s="4"/>
      <c r="L95" s="4"/>
      <c r="M95" s="4"/>
      <c r="N95" s="4"/>
      <c r="O95" s="4"/>
      <c r="P95" s="4"/>
      <c r="Q95" s="4"/>
      <c r="R95" s="4"/>
      <c r="S95" s="4"/>
      <c r="T95" s="4"/>
      <c r="U95" s="4"/>
      <c r="V95" s="4"/>
      <c r="W95" s="4"/>
      <c r="X95" s="4"/>
      <c r="Y95" s="4"/>
      <c r="Z95" s="4"/>
      <c r="AA95" s="4"/>
      <c r="AB95" s="4"/>
      <c r="AC95" s="4"/>
      <c r="AD95" s="4"/>
      <c r="AE95" s="4"/>
      <c r="AF95" s="21"/>
      <c r="AG95" s="21"/>
      <c r="AH95" s="21"/>
      <c r="AI95" s="21"/>
      <c r="AJ95" s="21"/>
      <c r="AK95" s="21"/>
      <c r="AL95" s="21"/>
      <c r="AM95" s="21"/>
    </row>
    <row r="96" spans="2:39">
      <c r="B96" s="765" t="s">
        <v>3466</v>
      </c>
      <c r="C96" s="4"/>
      <c r="D96" s="4"/>
      <c r="E96" s="36"/>
      <c r="F96" s="4"/>
      <c r="G96" s="4"/>
      <c r="H96" s="4"/>
      <c r="I96" s="204"/>
      <c r="J96" s="4"/>
      <c r="K96" s="4"/>
      <c r="L96" s="4"/>
      <c r="M96" s="4"/>
      <c r="N96" s="4"/>
      <c r="O96" s="4"/>
      <c r="P96" s="4"/>
      <c r="Q96" s="4"/>
      <c r="R96" s="4"/>
      <c r="S96" s="4"/>
      <c r="T96" s="4"/>
      <c r="U96" s="4"/>
      <c r="V96" s="4"/>
      <c r="W96" s="4"/>
      <c r="X96" s="4"/>
      <c r="Y96" s="4"/>
      <c r="Z96" s="4"/>
      <c r="AA96" s="4"/>
      <c r="AB96" s="4"/>
      <c r="AC96" s="4"/>
      <c r="AD96" s="4"/>
      <c r="AE96" s="4"/>
      <c r="AF96" s="21"/>
      <c r="AG96" s="21"/>
      <c r="AH96" s="21"/>
      <c r="AI96" s="21"/>
      <c r="AJ96" s="21"/>
      <c r="AK96" s="21"/>
      <c r="AL96" s="21"/>
      <c r="AM96" s="21"/>
    </row>
    <row r="97" spans="2:39">
      <c r="B97" s="50" t="s">
        <v>2842</v>
      </c>
      <c r="C97" s="4"/>
      <c r="D97" s="4"/>
      <c r="E97" s="36"/>
      <c r="F97" s="4"/>
      <c r="G97" s="4"/>
      <c r="H97" s="4"/>
      <c r="I97" s="204"/>
      <c r="J97" s="4"/>
      <c r="K97" s="69">
        <f t="shared" ref="K97:S97" si="202">K61</f>
        <v>1519.1082384138324</v>
      </c>
      <c r="L97" s="69">
        <f t="shared" si="202"/>
        <v>1593.9333753715018</v>
      </c>
      <c r="M97" s="69">
        <f t="shared" si="202"/>
        <v>2084.0375241523561</v>
      </c>
      <c r="N97" s="69">
        <f t="shared" si="202"/>
        <v>2056.4035208227074</v>
      </c>
      <c r="O97" s="69">
        <f t="shared" si="202"/>
        <v>2090.9410829557714</v>
      </c>
      <c r="P97" s="69">
        <f>P61</f>
        <v>2100.8702045237287</v>
      </c>
      <c r="Q97" s="69">
        <f t="shared" si="202"/>
        <v>1941.1811325442657</v>
      </c>
      <c r="R97" s="69">
        <f t="shared" si="202"/>
        <v>1827.8515923406812</v>
      </c>
      <c r="S97" s="69">
        <f t="shared" si="202"/>
        <v>1749.0205998991619</v>
      </c>
      <c r="T97" s="69">
        <f t="shared" ref="T97:Z97" si="203">T61</f>
        <v>1773.4963003437827</v>
      </c>
      <c r="U97" s="69">
        <f t="shared" si="203"/>
        <v>1795.3276073680097</v>
      </c>
      <c r="V97" s="69">
        <f t="shared" si="203"/>
        <v>1793.9892459115651</v>
      </c>
      <c r="W97" s="69">
        <f t="shared" si="203"/>
        <v>1786.8160333427768</v>
      </c>
      <c r="X97" s="69">
        <f t="shared" si="203"/>
        <v>1781.2315342781546</v>
      </c>
      <c r="Y97" s="69">
        <f t="shared" si="203"/>
        <v>1777.2742986131163</v>
      </c>
      <c r="Z97" s="69">
        <f t="shared" si="203"/>
        <v>1774.985707422325</v>
      </c>
      <c r="AA97" s="69">
        <f t="shared" ref="AA97:AE97" si="204">AA61</f>
        <v>1774.4100934152007</v>
      </c>
      <c r="AB97" s="69">
        <f t="shared" si="204"/>
        <v>1775.5948679338262</v>
      </c>
      <c r="AC97" s="69">
        <f t="shared" si="204"/>
        <v>1778.5906548069629</v>
      </c>
      <c r="AD97" s="69">
        <f t="shared" si="204"/>
        <v>1783.4514313899449</v>
      </c>
      <c r="AE97" s="69">
        <f t="shared" si="204"/>
        <v>1790.2346771370594</v>
      </c>
      <c r="AF97" s="21"/>
      <c r="AG97" s="21"/>
      <c r="AH97" s="21"/>
      <c r="AI97" s="21"/>
      <c r="AJ97" s="21"/>
      <c r="AK97" s="21"/>
      <c r="AL97" s="21"/>
      <c r="AM97" s="21"/>
    </row>
    <row r="98" spans="2:39">
      <c r="B98" s="50" t="s">
        <v>2702</v>
      </c>
      <c r="C98" s="4"/>
      <c r="D98" s="4"/>
      <c r="E98" s="36"/>
      <c r="F98" s="4"/>
      <c r="G98" s="4"/>
      <c r="H98" s="4"/>
      <c r="I98" s="204"/>
      <c r="J98" s="4"/>
      <c r="K98" s="4"/>
      <c r="L98" s="51">
        <v>0.2</v>
      </c>
      <c r="M98" s="51">
        <v>1.5</v>
      </c>
      <c r="N98" s="51">
        <v>4</v>
      </c>
      <c r="O98" s="51">
        <v>6</v>
      </c>
      <c r="P98" s="51">
        <v>8</v>
      </c>
      <c r="Q98" s="51">
        <v>20</v>
      </c>
      <c r="R98" s="51">
        <v>40</v>
      </c>
      <c r="S98" s="51">
        <v>80</v>
      </c>
      <c r="T98" s="51">
        <v>90</v>
      </c>
      <c r="U98" s="51">
        <v>100</v>
      </c>
      <c r="V98" s="51">
        <v>100</v>
      </c>
      <c r="W98" s="51">
        <v>100</v>
      </c>
      <c r="X98" s="51">
        <v>100</v>
      </c>
      <c r="Y98" s="51">
        <v>100</v>
      </c>
      <c r="Z98" s="51">
        <v>100</v>
      </c>
      <c r="AA98" s="51">
        <v>100</v>
      </c>
      <c r="AB98" s="51">
        <v>100</v>
      </c>
      <c r="AC98" s="51">
        <v>100</v>
      </c>
      <c r="AD98" s="51">
        <v>100</v>
      </c>
      <c r="AE98" s="51">
        <v>100</v>
      </c>
      <c r="AF98" s="21"/>
      <c r="AG98" s="21"/>
      <c r="AH98" s="21"/>
      <c r="AI98" s="21"/>
      <c r="AJ98" s="21"/>
      <c r="AK98" s="21"/>
      <c r="AL98" s="21"/>
      <c r="AM98" s="21"/>
    </row>
    <row r="99" spans="2:39">
      <c r="B99" s="57" t="s">
        <v>1195</v>
      </c>
      <c r="C99" s="12"/>
      <c r="D99" s="12"/>
      <c r="E99" s="136"/>
      <c r="F99" s="12"/>
      <c r="G99" s="12"/>
      <c r="H99" s="12"/>
      <c r="I99" s="685"/>
      <c r="J99" s="12"/>
      <c r="K99" s="58">
        <v>220</v>
      </c>
      <c r="L99" s="686">
        <f>Cable!I12</f>
        <v>248</v>
      </c>
      <c r="M99" s="686">
        <f>Cable!J12</f>
        <v>298.5</v>
      </c>
      <c r="N99" s="686">
        <f>Cable!K12</f>
        <v>345</v>
      </c>
      <c r="O99" s="686">
        <f>Cable!L12</f>
        <v>364</v>
      </c>
      <c r="P99" s="686">
        <f>Cable!M12</f>
        <v>447</v>
      </c>
      <c r="Q99" s="686">
        <f>Cable!N12</f>
        <v>477.8</v>
      </c>
      <c r="R99" s="686">
        <f>Cable!O12</f>
        <v>506.43879999999996</v>
      </c>
      <c r="S99" s="686">
        <f>Cable!P12</f>
        <v>580.53561999999988</v>
      </c>
      <c r="T99" s="686">
        <f>Cable!Q12</f>
        <v>666.35457699999995</v>
      </c>
      <c r="U99" s="686">
        <f>Cable!R12</f>
        <v>765.81056376999982</v>
      </c>
      <c r="V99" s="686">
        <f>Cable!S12</f>
        <v>857.73035121129988</v>
      </c>
      <c r="W99" s="686">
        <f>Cable!T12</f>
        <v>939.09000468930492</v>
      </c>
      <c r="X99" s="686">
        <f>Cable!U12</f>
        <v>1001.9160087481927</v>
      </c>
      <c r="Y99" s="686">
        <f>Cable!V12</f>
        <v>1052.0118091856023</v>
      </c>
      <c r="Z99" s="686">
        <f>Cable!W12</f>
        <v>1104.6123996448825</v>
      </c>
      <c r="AA99" s="686">
        <f>Cable!Y12</f>
        <v>0</v>
      </c>
      <c r="AB99" s="686">
        <f>Cable!Z12</f>
        <v>0</v>
      </c>
      <c r="AC99" s="686">
        <f>Cable!AA12</f>
        <v>0</v>
      </c>
      <c r="AD99" s="686">
        <f>Cable!AB12</f>
        <v>0</v>
      </c>
      <c r="AE99" s="686">
        <f>Cable!AC12</f>
        <v>0</v>
      </c>
      <c r="AF99" s="21"/>
      <c r="AG99" s="21"/>
      <c r="AH99" s="21"/>
      <c r="AI99" s="21"/>
      <c r="AJ99" s="21"/>
      <c r="AK99" s="21"/>
      <c r="AL99" s="21"/>
      <c r="AM99" s="21"/>
    </row>
    <row r="100" spans="2:39">
      <c r="B100" s="50" t="s">
        <v>3021</v>
      </c>
      <c r="C100" s="4"/>
      <c r="D100" s="4"/>
      <c r="E100" s="36"/>
      <c r="F100" s="4"/>
      <c r="G100" s="4"/>
      <c r="H100" s="4"/>
      <c r="I100" s="204"/>
      <c r="J100" s="4"/>
      <c r="K100" s="69">
        <f>SUM(K97:K99)</f>
        <v>1739.1082384138324</v>
      </c>
      <c r="L100" s="69">
        <f>SUM(L97:L99)</f>
        <v>1842.1333753715019</v>
      </c>
      <c r="M100" s="69">
        <f>SUM(M97:M99)</f>
        <v>2384.0375241523561</v>
      </c>
      <c r="N100" s="69">
        <f t="shared" ref="N100:S100" si="205">SUM(N97:N99)</f>
        <v>2405.4035208227074</v>
      </c>
      <c r="O100" s="69">
        <f t="shared" si="205"/>
        <v>2460.9410829557714</v>
      </c>
      <c r="P100" s="69">
        <f>SUM(P97:P99)</f>
        <v>2555.8702045237287</v>
      </c>
      <c r="Q100" s="69">
        <f>SUM(Q97:Q99)</f>
        <v>2438.9811325442656</v>
      </c>
      <c r="R100" s="69">
        <f t="shared" si="205"/>
        <v>2374.2903923406811</v>
      </c>
      <c r="S100" s="69">
        <f t="shared" si="205"/>
        <v>2409.556219899162</v>
      </c>
      <c r="T100" s="69">
        <f t="shared" ref="T100:Z100" si="206">SUM(T97:T99)</f>
        <v>2529.8508773437825</v>
      </c>
      <c r="U100" s="69">
        <f t="shared" si="206"/>
        <v>2661.1381711380095</v>
      </c>
      <c r="V100" s="69">
        <f t="shared" si="206"/>
        <v>2751.7195971228648</v>
      </c>
      <c r="W100" s="69">
        <f t="shared" si="206"/>
        <v>2825.9060380320816</v>
      </c>
      <c r="X100" s="69">
        <f t="shared" si="206"/>
        <v>2883.1475430263472</v>
      </c>
      <c r="Y100" s="69">
        <f t="shared" si="206"/>
        <v>2929.2861077987186</v>
      </c>
      <c r="Z100" s="69">
        <f t="shared" si="206"/>
        <v>2979.5981070672078</v>
      </c>
      <c r="AA100" s="69">
        <f t="shared" ref="AA100:AE100" si="207">SUM(AA97:AA99)</f>
        <v>1874.4100934152007</v>
      </c>
      <c r="AB100" s="69">
        <f t="shared" si="207"/>
        <v>1875.5948679338262</v>
      </c>
      <c r="AC100" s="69">
        <f t="shared" si="207"/>
        <v>1878.5906548069629</v>
      </c>
      <c r="AD100" s="69">
        <f t="shared" si="207"/>
        <v>1883.4514313899449</v>
      </c>
      <c r="AE100" s="69">
        <f t="shared" si="207"/>
        <v>1890.2346771370594</v>
      </c>
      <c r="AF100" s="21"/>
      <c r="AG100" s="21"/>
      <c r="AH100" s="21"/>
      <c r="AI100" s="21"/>
      <c r="AJ100" s="21"/>
      <c r="AK100" s="21"/>
      <c r="AL100" s="21"/>
      <c r="AM100" s="21"/>
    </row>
    <row r="101" spans="2:39">
      <c r="B101" s="50" t="s">
        <v>2353</v>
      </c>
      <c r="C101" s="4"/>
      <c r="D101" s="4"/>
      <c r="E101" s="36"/>
      <c r="F101" s="4"/>
      <c r="G101" s="4"/>
      <c r="H101" s="4"/>
      <c r="I101" s="204"/>
      <c r="J101" s="4"/>
      <c r="K101" s="4"/>
      <c r="L101" s="69"/>
      <c r="M101" s="36">
        <f>M100/L100-1</f>
        <v>0.29417204857469614</v>
      </c>
      <c r="N101" s="36">
        <f t="shared" ref="N101:Z101" si="208">N100/M100-1</f>
        <v>8.9621058619653304E-3</v>
      </c>
      <c r="O101" s="36">
        <f t="shared" si="208"/>
        <v>2.3088667515573036E-2</v>
      </c>
      <c r="P101" s="36">
        <f t="shared" si="208"/>
        <v>3.857431704701364E-2</v>
      </c>
      <c r="Q101" s="29">
        <f>Q100/P100-1</f>
        <v>-4.5733571201141965E-2</v>
      </c>
      <c r="R101" s="29">
        <f t="shared" si="208"/>
        <v>-2.6523673898248279E-2</v>
      </c>
      <c r="S101" s="29">
        <f t="shared" si="208"/>
        <v>1.4853207371872568E-2</v>
      </c>
      <c r="T101" s="36">
        <f t="shared" si="208"/>
        <v>4.9923988679398734E-2</v>
      </c>
      <c r="U101" s="36">
        <f t="shared" si="208"/>
        <v>5.1895269784467457E-2</v>
      </c>
      <c r="V101" s="36">
        <f t="shared" si="208"/>
        <v>3.4038603093697661E-2</v>
      </c>
      <c r="W101" s="36">
        <f t="shared" si="208"/>
        <v>2.6960029280157949E-2</v>
      </c>
      <c r="X101" s="36">
        <f t="shared" si="208"/>
        <v>2.0255983116171716E-2</v>
      </c>
      <c r="Y101" s="36">
        <f t="shared" si="208"/>
        <v>1.6002845530389109E-2</v>
      </c>
      <c r="Z101" s="36">
        <f t="shared" si="208"/>
        <v>1.7175515609261227E-2</v>
      </c>
      <c r="AA101" s="36">
        <f t="shared" ref="AA101" si="209">AA100/Z100-1</f>
        <v>-0.37091848428506147</v>
      </c>
      <c r="AB101" s="36">
        <f t="shared" ref="AB101" si="210">AB100/AA100-1</f>
        <v>6.3207860584379993E-4</v>
      </c>
      <c r="AC101" s="36">
        <f t="shared" ref="AC101" si="211">AC100/AB100-1</f>
        <v>1.5972462520315034E-3</v>
      </c>
      <c r="AD101" s="36">
        <f t="shared" ref="AD101" si="212">AD100/AC100-1</f>
        <v>2.5874591521810597E-3</v>
      </c>
      <c r="AE101" s="36">
        <f t="shared" ref="AE101" si="213">AE100/AD100-1</f>
        <v>3.6014975666820437E-3</v>
      </c>
      <c r="AF101" s="21"/>
      <c r="AG101" s="21"/>
      <c r="AH101" s="21"/>
      <c r="AI101" s="21"/>
      <c r="AJ101" s="21"/>
      <c r="AK101" s="21"/>
      <c r="AL101" s="21"/>
      <c r="AM101" s="21"/>
    </row>
    <row r="102" spans="2:39">
      <c r="B102" s="50"/>
      <c r="C102" s="4"/>
      <c r="D102" s="4"/>
      <c r="E102" s="36"/>
      <c r="F102" s="4"/>
      <c r="G102" s="4"/>
      <c r="H102" s="4"/>
      <c r="I102" s="204"/>
      <c r="J102" s="4"/>
      <c r="K102" s="4"/>
      <c r="L102" s="4"/>
      <c r="M102" s="4"/>
      <c r="N102" s="4"/>
      <c r="O102" s="4"/>
      <c r="P102" s="4"/>
      <c r="Q102" s="4"/>
      <c r="R102" s="4"/>
      <c r="S102" s="4"/>
      <c r="T102" s="4"/>
      <c r="U102" s="4"/>
      <c r="V102" s="4"/>
      <c r="W102" s="4"/>
      <c r="X102" s="4"/>
      <c r="Y102" s="4"/>
      <c r="Z102" s="4"/>
      <c r="AA102" s="4"/>
      <c r="AB102" s="4"/>
      <c r="AC102" s="4"/>
      <c r="AD102" s="4"/>
      <c r="AE102" s="4"/>
      <c r="AF102" s="21"/>
      <c r="AG102" s="21"/>
      <c r="AH102" s="21"/>
      <c r="AI102" s="21"/>
      <c r="AJ102" s="21"/>
      <c r="AK102" s="21"/>
      <c r="AL102" s="21"/>
      <c r="AM102" s="21"/>
    </row>
    <row r="103" spans="2:39">
      <c r="B103" s="765" t="s">
        <v>3465</v>
      </c>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21"/>
      <c r="AG103" s="21"/>
      <c r="AH103" s="21"/>
      <c r="AI103" s="21"/>
      <c r="AJ103" s="21"/>
      <c r="AK103" s="21"/>
      <c r="AL103" s="21"/>
      <c r="AM103" s="21"/>
    </row>
    <row r="104" spans="2:39">
      <c r="B104" s="50" t="s">
        <v>2376</v>
      </c>
      <c r="C104" s="4"/>
      <c r="D104" s="4"/>
      <c r="E104" s="4"/>
      <c r="F104" s="4"/>
      <c r="G104" s="4"/>
      <c r="H104" s="4"/>
      <c r="I104" s="4"/>
      <c r="J104" s="4"/>
      <c r="K104" s="51">
        <v>453</v>
      </c>
      <c r="L104" s="51">
        <v>414</v>
      </c>
      <c r="M104" s="51">
        <v>443</v>
      </c>
      <c r="N104" s="51">
        <v>443</v>
      </c>
      <c r="O104" s="51">
        <v>443</v>
      </c>
      <c r="P104" s="51">
        <f>'Country quarts'!L12</f>
        <v>449.7425320056899</v>
      </c>
      <c r="Q104" s="31">
        <f>Q108-Q105-Q106-Q107</f>
        <v>403.96108003279892</v>
      </c>
      <c r="R104" s="31">
        <f t="shared" ref="R104:Z104" si="214">R108-R105-R106-R107</f>
        <v>291.12963383449176</v>
      </c>
      <c r="S104" s="31">
        <f t="shared" si="214"/>
        <v>240.81608266926378</v>
      </c>
      <c r="T104" s="31">
        <f t="shared" si="214"/>
        <v>257.30246390294576</v>
      </c>
      <c r="U104" s="31">
        <f t="shared" si="214"/>
        <v>269.40875865312626</v>
      </c>
      <c r="V104" s="31">
        <f t="shared" si="214"/>
        <v>243.04556457087392</v>
      </c>
      <c r="W104" s="31">
        <f t="shared" si="214"/>
        <v>258.65825199422227</v>
      </c>
      <c r="X104" s="31">
        <f t="shared" si="214"/>
        <v>275.70472501677739</v>
      </c>
      <c r="Y104" s="31">
        <f t="shared" si="214"/>
        <v>298.55505617077529</v>
      </c>
      <c r="Z104" s="31">
        <f t="shared" si="214"/>
        <v>321.90399216292434</v>
      </c>
      <c r="AA104" s="31">
        <f t="shared" ref="AA104:AE104" si="215">AA108-AA105-AA106-AA107</f>
        <v>-811.1761647705905</v>
      </c>
      <c r="AB104" s="31">
        <f t="shared" si="215"/>
        <v>-838.8520021144775</v>
      </c>
      <c r="AC104" s="31">
        <f t="shared" si="215"/>
        <v>-865.72659884434711</v>
      </c>
      <c r="AD104" s="31">
        <f t="shared" si="215"/>
        <v>-891.78929046913242</v>
      </c>
      <c r="AE104" s="31">
        <f t="shared" si="215"/>
        <v>-917.02801997515405</v>
      </c>
      <c r="AF104" s="21"/>
      <c r="AG104" s="21"/>
      <c r="AH104" s="21"/>
      <c r="AI104" s="21"/>
      <c r="AJ104" s="21"/>
      <c r="AK104" s="21"/>
      <c r="AL104" s="21"/>
      <c r="AM104" s="21"/>
    </row>
    <row r="105" spans="2:39">
      <c r="B105" s="50" t="s">
        <v>2379</v>
      </c>
      <c r="C105" s="4"/>
      <c r="D105" s="4"/>
      <c r="E105" s="4"/>
      <c r="F105" s="4"/>
      <c r="G105" s="4"/>
      <c r="H105" s="4"/>
      <c r="I105" s="4"/>
      <c r="J105" s="204"/>
      <c r="K105" s="51">
        <f>571/0.55</f>
        <v>1038.181818181818</v>
      </c>
      <c r="L105" s="51">
        <f>604/0.55</f>
        <v>1098.181818181818</v>
      </c>
      <c r="M105" s="51">
        <f>621/0.55</f>
        <v>1129.090909090909</v>
      </c>
      <c r="N105" s="51">
        <f>AJ53</f>
        <v>1167</v>
      </c>
      <c r="O105" s="51">
        <v>1242</v>
      </c>
      <c r="P105" s="51">
        <f>'Country quarts'!L13</f>
        <v>1306</v>
      </c>
      <c r="Q105" s="31">
        <f t="shared" ref="Q105:Z105" si="216">Q76/Q70</f>
        <v>1270.1208297008593</v>
      </c>
      <c r="R105" s="31">
        <f t="shared" si="216"/>
        <v>1299.4977740612874</v>
      </c>
      <c r="S105" s="31">
        <f t="shared" si="216"/>
        <v>1340.306253205855</v>
      </c>
      <c r="T105" s="31">
        <f t="shared" si="216"/>
        <v>1392.8672827433397</v>
      </c>
      <c r="U105" s="31">
        <f t="shared" si="216"/>
        <v>1461.1450907209544</v>
      </c>
      <c r="V105" s="31">
        <f t="shared" si="216"/>
        <v>1499.7955324583957</v>
      </c>
      <c r="W105" s="31">
        <f t="shared" si="216"/>
        <v>1529.2032879967956</v>
      </c>
      <c r="X105" s="31">
        <f t="shared" si="216"/>
        <v>1559.1876661928111</v>
      </c>
      <c r="Y105" s="31">
        <f t="shared" si="216"/>
        <v>1574.4738197829367</v>
      </c>
      <c r="Z105" s="31">
        <f t="shared" si="216"/>
        <v>1589.9098376239458</v>
      </c>
      <c r="AA105" s="31">
        <f t="shared" ref="AA105:AE105" si="217">AA76/AA70</f>
        <v>1605.4971889732001</v>
      </c>
      <c r="AB105" s="31">
        <f t="shared" si="217"/>
        <v>1621.2373574925455</v>
      </c>
      <c r="AC105" s="31">
        <f t="shared" si="217"/>
        <v>1637.1318413895312</v>
      </c>
      <c r="AD105" s="31">
        <f t="shared" si="217"/>
        <v>1653.182153560017</v>
      </c>
      <c r="AE105" s="31">
        <f t="shared" si="217"/>
        <v>1669.3898217321744</v>
      </c>
      <c r="AF105" s="21"/>
      <c r="AG105" s="21"/>
      <c r="AH105" s="21"/>
      <c r="AI105" s="21"/>
      <c r="AJ105" s="21"/>
      <c r="AK105" s="21"/>
      <c r="AL105" s="21"/>
      <c r="AM105" s="21"/>
    </row>
    <row r="106" spans="2:39">
      <c r="B106" s="50" t="s">
        <v>2380</v>
      </c>
      <c r="C106" s="4"/>
      <c r="D106" s="4"/>
      <c r="E106" s="4"/>
      <c r="F106" s="4"/>
      <c r="G106" s="4"/>
      <c r="H106" s="4"/>
      <c r="I106" s="4"/>
      <c r="J106" s="4"/>
      <c r="K106" s="51">
        <v>532</v>
      </c>
      <c r="L106" s="51">
        <v>673</v>
      </c>
      <c r="M106" s="51">
        <v>705</v>
      </c>
      <c r="N106" s="51">
        <v>656</v>
      </c>
      <c r="O106" s="51">
        <v>629</v>
      </c>
      <c r="P106" s="51">
        <f>'Country quarts'!L8</f>
        <v>649</v>
      </c>
      <c r="Q106" s="31">
        <f t="shared" ref="Q106:Z106" si="218">Q78/Q71</f>
        <v>606.21516666666673</v>
      </c>
      <c r="R106" s="31">
        <f t="shared" si="218"/>
        <v>609.11052268656726</v>
      </c>
      <c r="S106" s="31">
        <f t="shared" si="218"/>
        <v>632.9351268547083</v>
      </c>
      <c r="T106" s="31">
        <f t="shared" si="218"/>
        <v>660.72252266784187</v>
      </c>
      <c r="U106" s="31">
        <f t="shared" si="218"/>
        <v>689.72985293130819</v>
      </c>
      <c r="V106" s="31">
        <f t="shared" si="218"/>
        <v>748.75567375436492</v>
      </c>
      <c r="W106" s="31">
        <f t="shared" si="218"/>
        <v>759.71307385808734</v>
      </c>
      <c r="X106" s="31">
        <f t="shared" si="218"/>
        <v>756.00715642463342</v>
      </c>
      <c r="Y106" s="31">
        <f t="shared" si="218"/>
        <v>752.31931663719627</v>
      </c>
      <c r="Z106" s="31">
        <f t="shared" si="218"/>
        <v>748.64946631213684</v>
      </c>
      <c r="AA106" s="31">
        <f t="shared" ref="AA106:AE106" si="219">AA78/AA71</f>
        <v>744.99751769598015</v>
      </c>
      <c r="AB106" s="31">
        <f t="shared" si="219"/>
        <v>741.36338346331684</v>
      </c>
      <c r="AC106" s="31">
        <f t="shared" si="219"/>
        <v>737.74697671471529</v>
      </c>
      <c r="AD106" s="31">
        <f t="shared" si="219"/>
        <v>734.14821097464358</v>
      </c>
      <c r="AE106" s="31">
        <f t="shared" si="219"/>
        <v>730.56700018940148</v>
      </c>
      <c r="AF106" s="21"/>
      <c r="AG106" s="21"/>
      <c r="AH106" s="21"/>
      <c r="AI106" s="21"/>
      <c r="AJ106" s="21"/>
      <c r="AK106" s="21"/>
      <c r="AL106" s="21"/>
      <c r="AM106" s="21"/>
    </row>
    <row r="107" spans="2:39">
      <c r="B107" s="57" t="s">
        <v>4043</v>
      </c>
      <c r="C107" s="12"/>
      <c r="D107" s="12"/>
      <c r="E107" s="12"/>
      <c r="F107" s="12"/>
      <c r="G107" s="12"/>
      <c r="H107" s="12"/>
      <c r="I107" s="12"/>
      <c r="J107" s="12"/>
      <c r="K107" s="686">
        <f t="shared" ref="K107:P107" si="220">K108-K104-K105-K106</f>
        <v>183.10823841383262</v>
      </c>
      <c r="L107" s="686">
        <f t="shared" si="220"/>
        <v>151.1333753715021</v>
      </c>
      <c r="M107" s="686">
        <f t="shared" si="220"/>
        <v>615.03752415235613</v>
      </c>
      <c r="N107" s="686">
        <f t="shared" si="220"/>
        <v>139.40352082270738</v>
      </c>
      <c r="O107" s="686">
        <f t="shared" si="220"/>
        <v>146.94108295577144</v>
      </c>
      <c r="P107" s="686">
        <f t="shared" si="220"/>
        <v>151.12767251803871</v>
      </c>
      <c r="Q107" s="93">
        <f t="shared" ref="Q107:Z107" si="221">Q80</f>
        <v>158.68405614394064</v>
      </c>
      <c r="R107" s="93">
        <f t="shared" si="221"/>
        <v>174.55246175833472</v>
      </c>
      <c r="S107" s="93">
        <f t="shared" si="221"/>
        <v>195.49875716933491</v>
      </c>
      <c r="T107" s="93">
        <f t="shared" si="221"/>
        <v>218.95860802965512</v>
      </c>
      <c r="U107" s="93">
        <f t="shared" si="221"/>
        <v>240.85446883262065</v>
      </c>
      <c r="V107" s="93">
        <f t="shared" si="221"/>
        <v>260.1228263392303</v>
      </c>
      <c r="W107" s="93">
        <f t="shared" si="221"/>
        <v>278.33142418297643</v>
      </c>
      <c r="X107" s="93">
        <f t="shared" si="221"/>
        <v>292.24799539212529</v>
      </c>
      <c r="Y107" s="93">
        <f t="shared" si="221"/>
        <v>303.93791520781031</v>
      </c>
      <c r="Z107" s="93">
        <f t="shared" si="221"/>
        <v>319.13481096820084</v>
      </c>
      <c r="AA107" s="93">
        <f t="shared" ref="AA107:AE107" si="222">AA80</f>
        <v>335.09155151661088</v>
      </c>
      <c r="AB107" s="93">
        <f t="shared" si="222"/>
        <v>351.84612909244146</v>
      </c>
      <c r="AC107" s="93">
        <f t="shared" si="222"/>
        <v>369.43843554706353</v>
      </c>
      <c r="AD107" s="93">
        <f t="shared" si="222"/>
        <v>387.91035732441674</v>
      </c>
      <c r="AE107" s="93">
        <f t="shared" si="222"/>
        <v>407.30587519063761</v>
      </c>
      <c r="AF107" s="21"/>
      <c r="AG107" s="21"/>
      <c r="AH107" s="21"/>
      <c r="AI107" s="21"/>
      <c r="AJ107" s="21"/>
      <c r="AK107" s="21"/>
      <c r="AL107" s="21"/>
      <c r="AM107" s="21"/>
    </row>
    <row r="108" spans="2:39">
      <c r="B108" s="50" t="s">
        <v>3330</v>
      </c>
      <c r="C108" s="4"/>
      <c r="D108" s="4"/>
      <c r="E108" s="4"/>
      <c r="F108" s="4"/>
      <c r="G108" s="4"/>
      <c r="H108" s="4"/>
      <c r="I108" s="4"/>
      <c r="J108" s="4"/>
      <c r="K108" s="69">
        <f>K100+0.45*K105</f>
        <v>2206.2900565956506</v>
      </c>
      <c r="L108" s="69">
        <f>L100+0.45*L105</f>
        <v>2336.3151935533201</v>
      </c>
      <c r="M108" s="69">
        <f>M100+0.45*M105</f>
        <v>2892.1284332432651</v>
      </c>
      <c r="N108" s="69">
        <f t="shared" ref="N108:S108" si="223">N100</f>
        <v>2405.4035208227074</v>
      </c>
      <c r="O108" s="69">
        <f t="shared" si="223"/>
        <v>2460.9410829557714</v>
      </c>
      <c r="P108" s="69">
        <f t="shared" si="223"/>
        <v>2555.8702045237287</v>
      </c>
      <c r="Q108" s="69">
        <f t="shared" si="223"/>
        <v>2438.9811325442656</v>
      </c>
      <c r="R108" s="69">
        <f t="shared" si="223"/>
        <v>2374.2903923406811</v>
      </c>
      <c r="S108" s="69">
        <f t="shared" si="223"/>
        <v>2409.556219899162</v>
      </c>
      <c r="T108" s="69">
        <f t="shared" ref="T108:Z108" si="224">T100</f>
        <v>2529.8508773437825</v>
      </c>
      <c r="U108" s="69">
        <f t="shared" si="224"/>
        <v>2661.1381711380095</v>
      </c>
      <c r="V108" s="69">
        <f t="shared" si="224"/>
        <v>2751.7195971228648</v>
      </c>
      <c r="W108" s="69">
        <f t="shared" si="224"/>
        <v>2825.9060380320816</v>
      </c>
      <c r="X108" s="69">
        <f t="shared" si="224"/>
        <v>2883.1475430263472</v>
      </c>
      <c r="Y108" s="69">
        <f t="shared" si="224"/>
        <v>2929.2861077987186</v>
      </c>
      <c r="Z108" s="69">
        <f t="shared" si="224"/>
        <v>2979.5981070672078</v>
      </c>
      <c r="AA108" s="69">
        <f t="shared" ref="AA108:AE108" si="225">AA100</f>
        <v>1874.4100934152007</v>
      </c>
      <c r="AB108" s="69">
        <f t="shared" si="225"/>
        <v>1875.5948679338262</v>
      </c>
      <c r="AC108" s="69">
        <f t="shared" si="225"/>
        <v>1878.5906548069629</v>
      </c>
      <c r="AD108" s="69">
        <f t="shared" si="225"/>
        <v>1883.4514313899449</v>
      </c>
      <c r="AE108" s="69">
        <f t="shared" si="225"/>
        <v>1890.2346771370594</v>
      </c>
      <c r="AF108" s="21"/>
      <c r="AG108" s="21"/>
      <c r="AH108" s="21"/>
      <c r="AI108" s="21"/>
      <c r="AJ108" s="21"/>
      <c r="AK108" s="21"/>
      <c r="AL108" s="21"/>
      <c r="AM108" s="21"/>
    </row>
    <row r="109" spans="2:39">
      <c r="B109" s="50"/>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21"/>
      <c r="AG109" s="21"/>
      <c r="AH109" s="21"/>
      <c r="AI109" s="21"/>
      <c r="AJ109" s="21"/>
      <c r="AK109" s="21"/>
      <c r="AL109" s="21"/>
      <c r="AM109" s="21"/>
    </row>
    <row r="110" spans="2:39">
      <c r="B110" s="50" t="s">
        <v>33</v>
      </c>
      <c r="C110" s="4"/>
      <c r="D110" s="4"/>
      <c r="E110" s="36"/>
      <c r="F110" s="36"/>
      <c r="G110" s="36"/>
      <c r="H110" s="36"/>
      <c r="I110" s="36"/>
      <c r="J110" s="36"/>
      <c r="K110" s="52"/>
      <c r="L110" s="52">
        <f t="shared" ref="L110:Z110" si="226">L104+L105*(L70/K70)+L106*(L71/K71)+L107</f>
        <v>2299.6048776183957</v>
      </c>
      <c r="M110" s="52">
        <f t="shared" si="226"/>
        <v>2888.3271853654364</v>
      </c>
      <c r="N110" s="52">
        <f t="shared" si="226"/>
        <v>2473.3747080743101</v>
      </c>
      <c r="O110" s="52">
        <f t="shared" si="226"/>
        <v>2460.1131040995383</v>
      </c>
      <c r="P110" s="52">
        <f>P104+P105*(P70/O70)+P106*(P71/O71)+P107</f>
        <v>2573.2155398857594</v>
      </c>
      <c r="Q110" s="52">
        <f t="shared" si="226"/>
        <v>2445.8951361767399</v>
      </c>
      <c r="R110" s="52">
        <f t="shared" si="226"/>
        <v>2354.1423952936861</v>
      </c>
      <c r="S110" s="52">
        <f t="shared" si="226"/>
        <v>2408.2724907157549</v>
      </c>
      <c r="T110" s="52">
        <f t="shared" si="226"/>
        <v>2574.2262860653454</v>
      </c>
      <c r="U110" s="52">
        <f t="shared" si="226"/>
        <v>2707.6043192757111</v>
      </c>
      <c r="V110" s="52">
        <f t="shared" si="226"/>
        <v>2753.8729293670835</v>
      </c>
      <c r="W110" s="52">
        <f t="shared" si="226"/>
        <v>2875.48293063847</v>
      </c>
      <c r="X110" s="52">
        <f t="shared" si="226"/>
        <v>2933.231475260819</v>
      </c>
      <c r="Y110" s="52">
        <f t="shared" si="226"/>
        <v>2979.5835671103073</v>
      </c>
      <c r="Z110" s="52">
        <f t="shared" si="226"/>
        <v>3030.1125404774903</v>
      </c>
      <c r="AA110" s="52">
        <f t="shared" ref="AA110" si="227">AA104+AA105*(AA70/Z70)+AA106*(AA71/Z71)+AA107</f>
        <v>1925.144975137064</v>
      </c>
      <c r="AB110" s="52">
        <f t="shared" ref="AB110" si="228">AB104+AB105*(AB70/AA70)+AB106*(AB71/AA71)+AB107</f>
        <v>1926.5536996702599</v>
      </c>
      <c r="AC110" s="52">
        <f t="shared" ref="AC110" si="229">AC104+AC105*(AC70/AB70)+AC106*(AC71/AB71)+AC107</f>
        <v>1929.7769660526214</v>
      </c>
      <c r="AD110" s="52">
        <f t="shared" ref="AD110" si="230">AD104+AD105*(AD70/AC70)+AD106*(AD71/AC71)+AD107</f>
        <v>1934.8687797355112</v>
      </c>
      <c r="AE110" s="52">
        <f t="shared" ref="AE110" si="231">AE104+AE105*(AE70/AD70)+AE106*(AE71/AD71)+AE107</f>
        <v>1941.8866485764377</v>
      </c>
      <c r="AF110" s="21"/>
      <c r="AG110" s="21"/>
      <c r="AH110" s="21"/>
      <c r="AI110" s="21"/>
      <c r="AJ110" s="21"/>
      <c r="AK110" s="21"/>
      <c r="AL110" s="21"/>
      <c r="AM110" s="21"/>
    </row>
    <row r="111" spans="2:39">
      <c r="B111" s="50" t="s">
        <v>2353</v>
      </c>
      <c r="C111" s="4"/>
      <c r="D111" s="4"/>
      <c r="E111" s="36"/>
      <c r="F111" s="36"/>
      <c r="G111" s="36"/>
      <c r="H111" s="36"/>
      <c r="I111" s="36"/>
      <c r="J111" s="36"/>
      <c r="K111" s="53"/>
      <c r="L111" s="53">
        <f t="shared" ref="L111:Z111" si="232">L110/K108-1</f>
        <v>4.2294901680666408E-2</v>
      </c>
      <c r="M111" s="53">
        <f t="shared" si="232"/>
        <v>0.23627462310535119</v>
      </c>
      <c r="N111" s="53">
        <f t="shared" si="232"/>
        <v>-0.1447908468917336</v>
      </c>
      <c r="O111" s="53">
        <f t="shared" si="232"/>
        <v>2.274445131689129E-2</v>
      </c>
      <c r="P111" s="53">
        <f>P110/O108-1</f>
        <v>4.5622570043464039E-2</v>
      </c>
      <c r="Q111" s="53">
        <f t="shared" si="232"/>
        <v>-4.3028424586013747E-2</v>
      </c>
      <c r="R111" s="53">
        <f t="shared" si="232"/>
        <v>-3.4784499198679097E-2</v>
      </c>
      <c r="S111" s="53">
        <f t="shared" si="232"/>
        <v>1.4312528275689518E-2</v>
      </c>
      <c r="T111" s="53">
        <f t="shared" si="232"/>
        <v>6.834041256488077E-2</v>
      </c>
      <c r="U111" s="53">
        <f t="shared" si="232"/>
        <v>7.0262418834172946E-2</v>
      </c>
      <c r="V111" s="53">
        <f t="shared" si="232"/>
        <v>3.48477802599092E-2</v>
      </c>
      <c r="W111" s="53">
        <f t="shared" si="232"/>
        <v>4.4976724243636301E-2</v>
      </c>
      <c r="X111" s="53">
        <f t="shared" si="232"/>
        <v>3.7979124494697425E-2</v>
      </c>
      <c r="Y111" s="53">
        <f t="shared" si="232"/>
        <v>3.3448175178275585E-2</v>
      </c>
      <c r="Z111" s="53">
        <f t="shared" si="232"/>
        <v>3.4420138207168938E-2</v>
      </c>
      <c r="AA111" s="53">
        <f t="shared" ref="AA111" si="233">AA110/Z108-1</f>
        <v>-0.35389105981411462</v>
      </c>
      <c r="AB111" s="53">
        <f t="shared" ref="AB111" si="234">AB110/AA108-1</f>
        <v>2.7818675559974748E-2</v>
      </c>
      <c r="AC111" s="53">
        <f t="shared" ref="AC111" si="235">AC110/AB108-1</f>
        <v>2.8887953920711418E-2</v>
      </c>
      <c r="AD111" s="53">
        <f t="shared" ref="AD111" si="236">AD110/AC108-1</f>
        <v>2.99576306230116E-2</v>
      </c>
      <c r="AE111" s="53">
        <f t="shared" ref="AE111" si="237">AE110/AD108-1</f>
        <v>3.1025603428153747E-2</v>
      </c>
      <c r="AF111" s="21"/>
      <c r="AG111" s="21"/>
      <c r="AH111" s="21"/>
      <c r="AI111" s="21"/>
      <c r="AJ111" s="21"/>
      <c r="AK111" s="21"/>
      <c r="AL111" s="21"/>
      <c r="AM111" s="21"/>
    </row>
    <row r="112" spans="2:39">
      <c r="B112" s="50"/>
      <c r="C112" s="4"/>
      <c r="D112" s="4"/>
      <c r="E112" s="36"/>
      <c r="F112" s="36"/>
      <c r="G112" s="36"/>
      <c r="H112" s="36"/>
      <c r="I112" s="36"/>
      <c r="J112" s="36"/>
      <c r="K112" s="55"/>
      <c r="L112" s="55"/>
      <c r="M112" s="55"/>
      <c r="N112" s="55"/>
      <c r="O112" s="55"/>
      <c r="P112" s="55"/>
      <c r="Q112" s="55"/>
      <c r="R112" s="55"/>
      <c r="S112" s="55"/>
      <c r="T112" s="55"/>
      <c r="U112" s="55"/>
      <c r="V112" s="55"/>
      <c r="W112" s="55"/>
      <c r="X112" s="55"/>
      <c r="Y112" s="55"/>
      <c r="Z112" s="55"/>
      <c r="AA112" s="55"/>
      <c r="AB112" s="55"/>
      <c r="AC112" s="55"/>
      <c r="AD112" s="55"/>
      <c r="AE112" s="55"/>
      <c r="AF112" s="21"/>
      <c r="AG112" s="21"/>
      <c r="AH112" s="21"/>
      <c r="AI112" s="21"/>
      <c r="AJ112" s="21"/>
      <c r="AK112" s="21"/>
      <c r="AL112" s="21"/>
      <c r="AM112" s="21"/>
    </row>
    <row r="113" spans="2:39">
      <c r="B113" s="765" t="s">
        <v>3357</v>
      </c>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21"/>
      <c r="AG113" s="21"/>
      <c r="AH113" s="21"/>
      <c r="AI113" s="21"/>
      <c r="AJ113" s="21"/>
      <c r="AK113" s="21"/>
      <c r="AL113" s="21"/>
      <c r="AM113" s="21"/>
    </row>
    <row r="114" spans="2:39">
      <c r="B114" s="50" t="str">
        <f>B104</f>
        <v>El Salvador</v>
      </c>
      <c r="C114" s="4"/>
      <c r="D114" s="4"/>
      <c r="E114" s="4"/>
      <c r="F114" s="4"/>
      <c r="G114" s="4"/>
      <c r="H114" s="4"/>
      <c r="I114" s="4"/>
      <c r="J114" s="4"/>
      <c r="K114" s="51">
        <v>173</v>
      </c>
      <c r="L114" s="51">
        <v>178</v>
      </c>
      <c r="M114" s="51">
        <v>156</v>
      </c>
      <c r="N114" s="51">
        <v>173.7</v>
      </c>
      <c r="O114" s="51">
        <f>SUM('LatAm quarts'!K84:N84)</f>
        <v>159.1</v>
      </c>
      <c r="P114" s="51">
        <f>SUM('Country quarts'!H108:K108)</f>
        <v>168.62</v>
      </c>
      <c r="Q114" s="31">
        <f t="shared" ref="Q114:U115" si="238">Q120*Q104</f>
        <v>146.43589151188959</v>
      </c>
      <c r="R114" s="31">
        <f t="shared" si="238"/>
        <v>104.80666818041703</v>
      </c>
      <c r="S114" s="31">
        <f t="shared" si="238"/>
        <v>86.693789760934962</v>
      </c>
      <c r="T114" s="31">
        <f t="shared" si="238"/>
        <v>92.628887005060477</v>
      </c>
      <c r="U114" s="31">
        <f t="shared" si="238"/>
        <v>95.640109321859811</v>
      </c>
      <c r="V114" s="31">
        <f t="shared" ref="V114:Z115" si="239">V120*V104</f>
        <v>85.065947599805867</v>
      </c>
      <c r="W114" s="31">
        <f t="shared" si="239"/>
        <v>89.237096938006673</v>
      </c>
      <c r="X114" s="31">
        <f t="shared" si="239"/>
        <v>93.739606505704302</v>
      </c>
      <c r="Y114" s="31">
        <f t="shared" si="239"/>
        <v>100.01594381720972</v>
      </c>
      <c r="Z114" s="31">
        <f t="shared" si="239"/>
        <v>106.22831741376501</v>
      </c>
      <c r="AA114" s="31">
        <f t="shared" ref="AA114:AE114" si="240">AA120*AA104</f>
        <v>-263.63225355044187</v>
      </c>
      <c r="AB114" s="31">
        <f t="shared" si="240"/>
        <v>-268.43264067663279</v>
      </c>
      <c r="AC114" s="31">
        <f t="shared" si="240"/>
        <v>-272.70387863596932</v>
      </c>
      <c r="AD114" s="31">
        <f t="shared" si="240"/>
        <v>-276.45468004543102</v>
      </c>
      <c r="AE114" s="31">
        <f t="shared" si="240"/>
        <v>-279.69354609242191</v>
      </c>
      <c r="AF114" s="21"/>
      <c r="AG114" s="21"/>
      <c r="AH114" s="21"/>
      <c r="AI114" s="21"/>
      <c r="AJ114" s="21"/>
      <c r="AK114" s="21"/>
      <c r="AL114" s="21"/>
      <c r="AM114" s="21"/>
    </row>
    <row r="115" spans="2:39">
      <c r="B115" s="50" t="str">
        <f>B105</f>
        <v>Guatemala</v>
      </c>
      <c r="C115" s="4"/>
      <c r="D115" s="4"/>
      <c r="E115" s="4"/>
      <c r="F115" s="4"/>
      <c r="G115" s="4"/>
      <c r="H115" s="4"/>
      <c r="I115" s="4"/>
      <c r="J115" s="4"/>
      <c r="K115" s="4"/>
      <c r="L115" s="51">
        <v>624</v>
      </c>
      <c r="M115" s="51">
        <v>623</v>
      </c>
      <c r="N115" s="51">
        <f>AK53</f>
        <v>603</v>
      </c>
      <c r="O115" s="51">
        <v>634.15800000000002</v>
      </c>
      <c r="P115" s="51">
        <f>SUM('Country quarts'!H109:K109)</f>
        <v>669.80499999999995</v>
      </c>
      <c r="Q115" s="31">
        <f t="shared" si="238"/>
        <v>660.46283144444681</v>
      </c>
      <c r="R115" s="31">
        <f t="shared" si="238"/>
        <v>669.24135364156302</v>
      </c>
      <c r="S115" s="31">
        <f t="shared" si="238"/>
        <v>683.55618913498608</v>
      </c>
      <c r="T115" s="31">
        <f t="shared" si="238"/>
        <v>703.39797778538662</v>
      </c>
      <c r="U115" s="31">
        <f t="shared" si="238"/>
        <v>730.57254536047719</v>
      </c>
      <c r="V115" s="31">
        <f t="shared" si="239"/>
        <v>742.39878856690586</v>
      </c>
      <c r="W115" s="31">
        <f t="shared" si="239"/>
        <v>749.30961111842976</v>
      </c>
      <c r="X115" s="31">
        <f t="shared" si="239"/>
        <v>756.20601810351332</v>
      </c>
      <c r="Y115" s="31">
        <f t="shared" si="239"/>
        <v>755.74743349580956</v>
      </c>
      <c r="Z115" s="31">
        <f t="shared" si="239"/>
        <v>755.20717287137427</v>
      </c>
      <c r="AA115" s="31">
        <f t="shared" ref="AA115:AE115" si="241">AA121*AA105</f>
        <v>754.58367881740401</v>
      </c>
      <c r="AB115" s="31">
        <f t="shared" si="241"/>
        <v>753.87537123403354</v>
      </c>
      <c r="AC115" s="31">
        <f t="shared" si="241"/>
        <v>753.08064703918433</v>
      </c>
      <c r="AD115" s="31">
        <f t="shared" si="241"/>
        <v>752.19787986980771</v>
      </c>
      <c r="AE115" s="31">
        <f t="shared" si="241"/>
        <v>751.22541977947844</v>
      </c>
      <c r="AF115" s="21"/>
      <c r="AG115" s="21"/>
      <c r="AH115" s="21"/>
      <c r="AI115" s="21"/>
      <c r="AJ115" s="21"/>
      <c r="AK115" s="21"/>
      <c r="AL115" s="21"/>
      <c r="AM115" s="21"/>
    </row>
    <row r="116" spans="2:39">
      <c r="B116" s="57" t="s">
        <v>3370</v>
      </c>
      <c r="C116" s="12"/>
      <c r="D116" s="12"/>
      <c r="E116" s="12"/>
      <c r="F116" s="12"/>
      <c r="G116" s="12"/>
      <c r="H116" s="12"/>
      <c r="I116" s="12"/>
      <c r="J116" s="12"/>
      <c r="K116" s="12"/>
      <c r="L116" s="686">
        <f t="shared" ref="L116:U116" si="242">L117-L114-L115</f>
        <v>443.80799999999999</v>
      </c>
      <c r="M116" s="686">
        <f t="shared" si="242"/>
        <v>459.34999999999991</v>
      </c>
      <c r="N116" s="686">
        <f t="shared" si="242"/>
        <v>396.5</v>
      </c>
      <c r="O116" s="686">
        <f t="shared" si="242"/>
        <v>359.75306564304424</v>
      </c>
      <c r="P116" s="686">
        <f t="shared" si="242"/>
        <v>333.57500000000005</v>
      </c>
      <c r="Q116" s="686">
        <f t="shared" si="242"/>
        <v>284.22581369680677</v>
      </c>
      <c r="R116" s="686">
        <f t="shared" si="242"/>
        <v>275.61324058009825</v>
      </c>
      <c r="S116" s="686">
        <f t="shared" si="242"/>
        <v>272.45789045699098</v>
      </c>
      <c r="T116" s="686">
        <f t="shared" si="242"/>
        <v>297.55307167467993</v>
      </c>
      <c r="U116" s="686">
        <f t="shared" si="242"/>
        <v>325.80763827149224</v>
      </c>
      <c r="V116" s="686">
        <f>V117-V114-V115</f>
        <v>347.03642742181876</v>
      </c>
      <c r="W116" s="686">
        <f>W117-W114-W115</f>
        <v>347.54777818704974</v>
      </c>
      <c r="X116" s="686">
        <f>X117-X114-X115</f>
        <v>344.83685562256051</v>
      </c>
      <c r="Y116" s="686">
        <f>Y117-Y114-Y115</f>
        <v>335.13724306060487</v>
      </c>
      <c r="Z116" s="686">
        <f>Z117-Z114-Z115</f>
        <v>328.24484797210266</v>
      </c>
      <c r="AA116" s="686">
        <f t="shared" ref="AA116:AE116" si="243">AA117-AA114-AA115</f>
        <v>-459.54957195753104</v>
      </c>
      <c r="AB116" s="686">
        <f t="shared" si="243"/>
        <v>-507.55253038125727</v>
      </c>
      <c r="AC116" s="686">
        <f t="shared" si="243"/>
        <v>-555.8424097095201</v>
      </c>
      <c r="AD116" s="686">
        <f t="shared" si="243"/>
        <v>-604.40566186505225</v>
      </c>
      <c r="AE116" s="686">
        <f t="shared" si="243"/>
        <v>-653.22699587457805</v>
      </c>
      <c r="AF116" s="21"/>
      <c r="AG116" s="21"/>
      <c r="AH116" s="21"/>
      <c r="AI116" s="21"/>
      <c r="AJ116" s="21"/>
      <c r="AK116" s="21"/>
      <c r="AL116" s="21"/>
      <c r="AM116" s="21"/>
    </row>
    <row r="117" spans="2:39">
      <c r="B117" s="50" t="s">
        <v>3330</v>
      </c>
      <c r="C117" s="4"/>
      <c r="D117" s="4"/>
      <c r="E117" s="4"/>
      <c r="F117" s="4"/>
      <c r="G117" s="4"/>
      <c r="H117" s="4"/>
      <c r="I117" s="4"/>
      <c r="J117" s="4"/>
      <c r="K117" s="4"/>
      <c r="L117" s="69">
        <f>L143+0.45*L115</f>
        <v>1245.808</v>
      </c>
      <c r="M117" s="69">
        <f>M143+0.45*M115</f>
        <v>1238.3499999999999</v>
      </c>
      <c r="N117" s="69">
        <f>N143</f>
        <v>1173.2</v>
      </c>
      <c r="O117" s="69">
        <f t="shared" ref="O117:U117" si="244">O143</f>
        <v>1153.0110656430443</v>
      </c>
      <c r="P117" s="69">
        <f t="shared" si="244"/>
        <v>1172</v>
      </c>
      <c r="Q117" s="69">
        <f t="shared" si="244"/>
        <v>1091.1245366531432</v>
      </c>
      <c r="R117" s="69">
        <f t="shared" si="244"/>
        <v>1049.6612624020784</v>
      </c>
      <c r="S117" s="69">
        <f t="shared" si="244"/>
        <v>1042.707869352912</v>
      </c>
      <c r="T117" s="69">
        <f t="shared" si="244"/>
        <v>1093.579936465127</v>
      </c>
      <c r="U117" s="69">
        <f t="shared" si="244"/>
        <v>1152.0202929538293</v>
      </c>
      <c r="V117" s="69">
        <f>V143</f>
        <v>1174.5011635885305</v>
      </c>
      <c r="W117" s="69">
        <f>W143</f>
        <v>1186.0944862434862</v>
      </c>
      <c r="X117" s="69">
        <f>X143</f>
        <v>1194.7824802317782</v>
      </c>
      <c r="Y117" s="69">
        <f>Y143</f>
        <v>1190.9006203736242</v>
      </c>
      <c r="Z117" s="69">
        <f>Z143</f>
        <v>1189.6803382572418</v>
      </c>
      <c r="AA117" s="69">
        <f t="shared" ref="AA117:AE117" si="245">AA143</f>
        <v>31.40185330943109</v>
      </c>
      <c r="AB117" s="69">
        <f t="shared" si="245"/>
        <v>-22.10979982385652</v>
      </c>
      <c r="AC117" s="69">
        <f t="shared" si="245"/>
        <v>-75.465641306305088</v>
      </c>
      <c r="AD117" s="69">
        <f t="shared" si="245"/>
        <v>-128.66246204067556</v>
      </c>
      <c r="AE117" s="69">
        <f t="shared" si="245"/>
        <v>-181.69512218752152</v>
      </c>
      <c r="AF117" s="21"/>
      <c r="AG117" s="21"/>
      <c r="AH117" s="21"/>
      <c r="AI117" s="21"/>
      <c r="AJ117" s="21"/>
      <c r="AK117" s="21"/>
      <c r="AL117" s="21"/>
      <c r="AM117" s="21"/>
    </row>
    <row r="118" spans="2:39">
      <c r="B118" s="50"/>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21"/>
      <c r="AG118" s="21"/>
      <c r="AH118" s="21"/>
      <c r="AI118" s="21"/>
      <c r="AJ118" s="21"/>
      <c r="AK118" s="21"/>
      <c r="AL118" s="21"/>
      <c r="AM118" s="21"/>
    </row>
    <row r="119" spans="2:39">
      <c r="B119" s="48" t="s">
        <v>1542</v>
      </c>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21"/>
      <c r="AG119" s="21"/>
      <c r="AH119" s="21"/>
      <c r="AI119" s="21"/>
      <c r="AJ119" s="21"/>
      <c r="AK119" s="21"/>
      <c r="AL119" s="21"/>
      <c r="AM119" s="21"/>
    </row>
    <row r="120" spans="2:39">
      <c r="B120" s="50" t="str">
        <f>B114</f>
        <v>El Salvador</v>
      </c>
      <c r="C120" s="4"/>
      <c r="D120" s="4"/>
      <c r="E120" s="4"/>
      <c r="F120" s="4"/>
      <c r="G120" s="4"/>
      <c r="H120" s="4"/>
      <c r="I120" s="4"/>
      <c r="J120" s="4"/>
      <c r="K120" s="4"/>
      <c r="L120" s="29">
        <f t="shared" ref="L120:N121" si="246">L114/L104</f>
        <v>0.42995169082125606</v>
      </c>
      <c r="M120" s="29">
        <f t="shared" si="246"/>
        <v>0.35214446952595935</v>
      </c>
      <c r="N120" s="29">
        <f t="shared" si="246"/>
        <v>0.39209932279909704</v>
      </c>
      <c r="O120" s="29">
        <f>O114/O104</f>
        <v>0.35914221218961623</v>
      </c>
      <c r="P120" s="29">
        <f>P114/P104</f>
        <v>0.3749256252194238</v>
      </c>
      <c r="Q120" s="987">
        <v>0.36249999999999999</v>
      </c>
      <c r="R120" s="987">
        <v>0.36</v>
      </c>
      <c r="S120" s="987">
        <f>R120</f>
        <v>0.36</v>
      </c>
      <c r="T120" s="987">
        <f>S120</f>
        <v>0.36</v>
      </c>
      <c r="U120" s="987">
        <f t="shared" ref="R120:Z121" si="247">T120-0.5%</f>
        <v>0.35499999999999998</v>
      </c>
      <c r="V120" s="987">
        <f t="shared" si="247"/>
        <v>0.35</v>
      </c>
      <c r="W120" s="987">
        <f t="shared" si="247"/>
        <v>0.34499999999999997</v>
      </c>
      <c r="X120" s="987">
        <f t="shared" si="247"/>
        <v>0.33999999999999997</v>
      </c>
      <c r="Y120" s="987">
        <f t="shared" si="247"/>
        <v>0.33499999999999996</v>
      </c>
      <c r="Z120" s="987">
        <f t="shared" si="247"/>
        <v>0.32999999999999996</v>
      </c>
      <c r="AA120" s="987">
        <f t="shared" ref="AA120:AA121" si="248">Z120-0.5%</f>
        <v>0.32499999999999996</v>
      </c>
      <c r="AB120" s="987">
        <f t="shared" ref="AB120:AB121" si="249">AA120-0.5%</f>
        <v>0.31999999999999995</v>
      </c>
      <c r="AC120" s="987">
        <f t="shared" ref="AC120:AC121" si="250">AB120-0.5%</f>
        <v>0.31499999999999995</v>
      </c>
      <c r="AD120" s="987">
        <f t="shared" ref="AD120:AD121" si="251">AC120-0.5%</f>
        <v>0.30999999999999994</v>
      </c>
      <c r="AE120" s="987">
        <f t="shared" ref="AE120:AE121" si="252">AD120-0.5%</f>
        <v>0.30499999999999994</v>
      </c>
      <c r="AF120" s="21"/>
      <c r="AG120" s="21"/>
      <c r="AH120" s="21"/>
      <c r="AI120" s="21"/>
      <c r="AJ120" s="21"/>
      <c r="AK120" s="21"/>
      <c r="AL120" s="21"/>
      <c r="AM120" s="21"/>
    </row>
    <row r="121" spans="2:39">
      <c r="B121" s="50" t="str">
        <f>B115</f>
        <v>Guatemala</v>
      </c>
      <c r="C121" s="4"/>
      <c r="D121" s="4"/>
      <c r="E121" s="4"/>
      <c r="F121" s="4"/>
      <c r="G121" s="4"/>
      <c r="H121" s="4"/>
      <c r="I121" s="4"/>
      <c r="J121" s="4"/>
      <c r="K121" s="4"/>
      <c r="L121" s="29">
        <f t="shared" si="246"/>
        <v>0.56821192052980141</v>
      </c>
      <c r="M121" s="29">
        <f t="shared" si="246"/>
        <v>0.55177133655394528</v>
      </c>
      <c r="N121" s="29">
        <f t="shared" si="246"/>
        <v>0.51670951156812339</v>
      </c>
      <c r="O121" s="29">
        <f>O115/O105</f>
        <v>0.51059420289855073</v>
      </c>
      <c r="P121" s="29">
        <f>P115/P105</f>
        <v>0.51286753445635525</v>
      </c>
      <c r="Q121" s="987">
        <v>0.52</v>
      </c>
      <c r="R121" s="987">
        <f t="shared" si="247"/>
        <v>0.51500000000000001</v>
      </c>
      <c r="S121" s="987">
        <f t="shared" si="247"/>
        <v>0.51</v>
      </c>
      <c r="T121" s="987">
        <f t="shared" si="247"/>
        <v>0.505</v>
      </c>
      <c r="U121" s="987">
        <f t="shared" si="247"/>
        <v>0.5</v>
      </c>
      <c r="V121" s="987">
        <f t="shared" si="247"/>
        <v>0.495</v>
      </c>
      <c r="W121" s="987">
        <f t="shared" si="247"/>
        <v>0.49</v>
      </c>
      <c r="X121" s="987">
        <f t="shared" si="247"/>
        <v>0.48499999999999999</v>
      </c>
      <c r="Y121" s="987">
        <f t="shared" si="247"/>
        <v>0.48</v>
      </c>
      <c r="Z121" s="987">
        <f t="shared" si="247"/>
        <v>0.47499999999999998</v>
      </c>
      <c r="AA121" s="987">
        <f t="shared" si="248"/>
        <v>0.47</v>
      </c>
      <c r="AB121" s="987">
        <f t="shared" si="249"/>
        <v>0.46499999999999997</v>
      </c>
      <c r="AC121" s="987">
        <f t="shared" si="250"/>
        <v>0.45999999999999996</v>
      </c>
      <c r="AD121" s="987">
        <f t="shared" si="251"/>
        <v>0.45499999999999996</v>
      </c>
      <c r="AE121" s="987">
        <f t="shared" si="252"/>
        <v>0.44999999999999996</v>
      </c>
      <c r="AF121" s="21"/>
      <c r="AG121" s="21"/>
      <c r="AH121" s="21"/>
      <c r="AI121" s="21"/>
      <c r="AJ121" s="21"/>
      <c r="AK121" s="21"/>
      <c r="AL121" s="21"/>
      <c r="AM121" s="21"/>
    </row>
    <row r="122" spans="2:39">
      <c r="B122" s="57" t="str">
        <f>B116</f>
        <v>Honduras/other</v>
      </c>
      <c r="C122" s="12"/>
      <c r="D122" s="12"/>
      <c r="E122" s="12"/>
      <c r="F122" s="12"/>
      <c r="G122" s="12"/>
      <c r="H122" s="12"/>
      <c r="I122" s="12"/>
      <c r="J122" s="12"/>
      <c r="K122" s="12"/>
      <c r="L122" s="150">
        <f t="shared" ref="L122:U122" si="253">L116/(L106+L107)</f>
        <v>0.53851477596079711</v>
      </c>
      <c r="M122" s="150">
        <f t="shared" si="253"/>
        <v>0.34798253200791784</v>
      </c>
      <c r="N122" s="150">
        <f t="shared" si="253"/>
        <v>0.49848911856700023</v>
      </c>
      <c r="O122" s="150">
        <f t="shared" si="253"/>
        <v>0.4636345123944805</v>
      </c>
      <c r="P122" s="150">
        <f t="shared" si="253"/>
        <v>0.41690221630533553</v>
      </c>
      <c r="Q122" s="150">
        <f t="shared" si="253"/>
        <v>0.37158596220352336</v>
      </c>
      <c r="R122" s="150">
        <f t="shared" si="253"/>
        <v>0.35169868432069112</v>
      </c>
      <c r="S122" s="150">
        <f t="shared" si="253"/>
        <v>0.32888308374538139</v>
      </c>
      <c r="T122" s="150">
        <f t="shared" si="253"/>
        <v>0.33825105631031421</v>
      </c>
      <c r="U122" s="150">
        <f t="shared" si="253"/>
        <v>0.35011081817273865</v>
      </c>
      <c r="V122" s="150">
        <f>V116/(V106+V107)</f>
        <v>0.34398237983030033</v>
      </c>
      <c r="W122" s="150">
        <f>W116/(W106+W107)</f>
        <v>0.33481009614031126</v>
      </c>
      <c r="X122" s="150">
        <f>X116/(X106+X107)</f>
        <v>0.32896271010441935</v>
      </c>
      <c r="Y122" s="150">
        <f>Y116/(Y106+Y107)</f>
        <v>0.31728752519422498</v>
      </c>
      <c r="Z122" s="150">
        <f>Z116/(Z106+Z107)</f>
        <v>0.30740745575327927</v>
      </c>
      <c r="AA122" s="150">
        <f t="shared" ref="AA122:AE122" si="254">AA116/(AA106+AA107)</f>
        <v>-0.4254737734662502</v>
      </c>
      <c r="AB122" s="150">
        <f t="shared" si="254"/>
        <v>-0.46427745510069368</v>
      </c>
      <c r="AC122" s="150">
        <f t="shared" si="254"/>
        <v>-0.50203191222871602</v>
      </c>
      <c r="AD122" s="150">
        <f t="shared" si="254"/>
        <v>-0.53865785525017351</v>
      </c>
      <c r="AE122" s="150">
        <f t="shared" si="254"/>
        <v>-0.57407730688404557</v>
      </c>
      <c r="AF122" s="21"/>
      <c r="AG122" s="21"/>
      <c r="AH122" s="21"/>
      <c r="AI122" s="21"/>
      <c r="AJ122" s="21"/>
      <c r="AK122" s="21"/>
      <c r="AL122" s="21"/>
      <c r="AM122" s="21"/>
    </row>
    <row r="123" spans="2:39">
      <c r="B123" s="50" t="str">
        <f>B117</f>
        <v xml:space="preserve">Total </v>
      </c>
      <c r="C123" s="4"/>
      <c r="D123" s="4"/>
      <c r="E123" s="4"/>
      <c r="F123" s="4"/>
      <c r="G123" s="4"/>
      <c r="H123" s="4"/>
      <c r="I123" s="4"/>
      <c r="J123" s="4"/>
      <c r="K123" s="4"/>
      <c r="L123" s="29">
        <f t="shared" ref="L123:U123" si="255">L117/L108</f>
        <v>0.53323627027620402</v>
      </c>
      <c r="M123" s="29">
        <f t="shared" si="255"/>
        <v>0.42817946318217287</v>
      </c>
      <c r="N123" s="29">
        <f t="shared" si="255"/>
        <v>0.48773521359058153</v>
      </c>
      <c r="O123" s="29">
        <f t="shared" si="255"/>
        <v>0.46852444929652404</v>
      </c>
      <c r="P123" s="29">
        <f t="shared" si="255"/>
        <v>0.45855223709155263</v>
      </c>
      <c r="Q123" s="29">
        <f t="shared" si="255"/>
        <v>0.44736899441075939</v>
      </c>
      <c r="R123" s="29">
        <f t="shared" si="255"/>
        <v>0.44209472682373768</v>
      </c>
      <c r="S123" s="29">
        <f t="shared" si="255"/>
        <v>0.43273855191332639</v>
      </c>
      <c r="T123" s="29">
        <f t="shared" si="255"/>
        <v>0.43227051296135349</v>
      </c>
      <c r="U123" s="29">
        <f t="shared" si="255"/>
        <v>0.43290510257916415</v>
      </c>
      <c r="V123" s="29">
        <f>V117/V108</f>
        <v>0.42682443546085225</v>
      </c>
      <c r="W123" s="29">
        <f>W117/W108</f>
        <v>0.41972184151935377</v>
      </c>
      <c r="X123" s="29">
        <f>X117/X108</f>
        <v>0.41440212906261936</v>
      </c>
      <c r="Y123" s="29">
        <f>Y117/Y108</f>
        <v>0.40654977921175295</v>
      </c>
      <c r="Z123" s="29">
        <f>Z117/Z108</f>
        <v>0.39927543766237444</v>
      </c>
      <c r="AA123" s="29">
        <f t="shared" ref="AA123:AE123" si="256">AA117/AA108</f>
        <v>1.6752925851042814E-2</v>
      </c>
      <c r="AB123" s="29">
        <f t="shared" si="256"/>
        <v>-1.1788153295712998E-2</v>
      </c>
      <c r="AC123" s="29">
        <f t="shared" si="256"/>
        <v>-4.0171413135268501E-2</v>
      </c>
      <c r="AD123" s="29">
        <f t="shared" si="256"/>
        <v>-6.8312067885777955E-2</v>
      </c>
      <c r="AE123" s="29">
        <f t="shared" si="256"/>
        <v>-9.6123049897019183E-2</v>
      </c>
      <c r="AF123" s="21"/>
      <c r="AG123" s="21"/>
      <c r="AH123" s="21"/>
      <c r="AI123" s="21"/>
      <c r="AJ123" s="21"/>
      <c r="AK123" s="21"/>
      <c r="AL123" s="21"/>
      <c r="AM123" s="21"/>
    </row>
    <row r="124" spans="2:39">
      <c r="B124" s="50"/>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21"/>
      <c r="AG124" s="21"/>
      <c r="AH124" s="21"/>
      <c r="AI124" s="21"/>
      <c r="AJ124" s="21"/>
      <c r="AK124" s="21"/>
      <c r="AL124" s="21"/>
      <c r="AM124" s="21"/>
    </row>
    <row r="125" spans="2:39">
      <c r="B125" s="48" t="s">
        <v>3358</v>
      </c>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21"/>
      <c r="AG125" s="21"/>
      <c r="AH125" s="21"/>
      <c r="AI125" s="21"/>
      <c r="AJ125" s="21"/>
      <c r="AK125" s="21"/>
      <c r="AL125" s="21"/>
      <c r="AM125" s="21"/>
    </row>
    <row r="126" spans="2:39">
      <c r="B126" s="50" t="str">
        <f>B114</f>
        <v>El Salvador</v>
      </c>
      <c r="C126" s="4"/>
      <c r="D126" s="4"/>
      <c r="E126" s="4"/>
      <c r="F126" s="4"/>
      <c r="G126" s="4"/>
      <c r="H126" s="4"/>
      <c r="I126" s="4"/>
      <c r="J126" s="4"/>
      <c r="K126" s="51">
        <v>21</v>
      </c>
      <c r="L126" s="51">
        <v>74</v>
      </c>
      <c r="M126" s="51">
        <v>59</v>
      </c>
      <c r="N126" s="52">
        <v>60</v>
      </c>
      <c r="O126" s="4">
        <f>SUM('LatAm quarts'!K87:N87)</f>
        <v>71</v>
      </c>
      <c r="P126" s="31">
        <f t="shared" ref="P126:U126" si="257">P132*P104</f>
        <v>65.212667140825033</v>
      </c>
      <c r="Q126" s="31">
        <f t="shared" si="257"/>
        <v>58.574356604755842</v>
      </c>
      <c r="R126" s="31">
        <f t="shared" si="257"/>
        <v>42.213796906001299</v>
      </c>
      <c r="S126" s="31">
        <f t="shared" si="257"/>
        <v>33.714251573696927</v>
      </c>
      <c r="T126" s="31">
        <f t="shared" si="257"/>
        <v>34.735832626897675</v>
      </c>
      <c r="U126" s="31">
        <f t="shared" si="257"/>
        <v>35.023138624906409</v>
      </c>
      <c r="V126" s="31">
        <f t="shared" ref="V126:Z127" si="258">V132*V104</f>
        <v>30.380695571359233</v>
      </c>
      <c r="W126" s="31">
        <f t="shared" si="258"/>
        <v>31.038990239306663</v>
      </c>
      <c r="X126" s="31">
        <f t="shared" si="258"/>
        <v>31.70604337692939</v>
      </c>
      <c r="Y126" s="31">
        <f t="shared" si="258"/>
        <v>32.841056178785273</v>
      </c>
      <c r="Z126" s="31">
        <f t="shared" si="258"/>
        <v>33.799919177107043</v>
      </c>
      <c r="AA126" s="31">
        <f t="shared" ref="AA126:AE126" si="259">AA132*AA104</f>
        <v>-81.117616477059016</v>
      </c>
      <c r="AB126" s="31">
        <f t="shared" si="259"/>
        <v>-79.690940200875318</v>
      </c>
      <c r="AC126" s="31">
        <f t="shared" si="259"/>
        <v>-77.915393895991187</v>
      </c>
      <c r="AD126" s="31">
        <f t="shared" si="259"/>
        <v>-75.802089689876198</v>
      </c>
      <c r="AE126" s="31">
        <f t="shared" si="259"/>
        <v>-73.362241598012261</v>
      </c>
      <c r="AF126" s="21"/>
      <c r="AG126" s="21"/>
      <c r="AH126" s="21"/>
      <c r="AI126" s="21"/>
      <c r="AJ126" s="21"/>
      <c r="AK126" s="21"/>
      <c r="AL126" s="21"/>
      <c r="AM126" s="21"/>
    </row>
    <row r="127" spans="2:39">
      <c r="B127" s="50" t="str">
        <f>B115</f>
        <v>Guatemala</v>
      </c>
      <c r="C127" s="4"/>
      <c r="D127" s="4"/>
      <c r="E127" s="4"/>
      <c r="F127" s="4"/>
      <c r="G127" s="4"/>
      <c r="H127" s="4"/>
      <c r="I127" s="4"/>
      <c r="J127" s="4"/>
      <c r="K127" s="4"/>
      <c r="L127" s="51">
        <v>129.80000000000001</v>
      </c>
      <c r="M127" s="51">
        <v>213.6</v>
      </c>
      <c r="N127" s="51">
        <f>AL53</f>
        <v>197</v>
      </c>
      <c r="O127" s="51">
        <v>204.3</v>
      </c>
      <c r="P127" s="31">
        <f t="shared" ref="P127:U127" si="260">P133*P105</f>
        <v>182.84</v>
      </c>
      <c r="Q127" s="31">
        <f t="shared" si="260"/>
        <v>177.81691615812031</v>
      </c>
      <c r="R127" s="31">
        <f t="shared" si="260"/>
        <v>181.92968836858026</v>
      </c>
      <c r="S127" s="31">
        <f t="shared" si="260"/>
        <v>174.23981291676117</v>
      </c>
      <c r="T127" s="31">
        <f t="shared" si="260"/>
        <v>181.07274675663416</v>
      </c>
      <c r="U127" s="31">
        <f t="shared" si="260"/>
        <v>189.94886179372406</v>
      </c>
      <c r="V127" s="31">
        <f t="shared" si="258"/>
        <v>194.97341921959145</v>
      </c>
      <c r="W127" s="31">
        <f t="shared" si="258"/>
        <v>198.79642743958343</v>
      </c>
      <c r="X127" s="31">
        <f t="shared" si="258"/>
        <v>202.69439660506544</v>
      </c>
      <c r="Y127" s="31">
        <f t="shared" si="258"/>
        <v>204.6815965717818</v>
      </c>
      <c r="Z127" s="31">
        <f t="shared" si="258"/>
        <v>206.68827889111296</v>
      </c>
      <c r="AA127" s="31">
        <f t="shared" ref="AA127:AE127" si="261">AA133*AA105</f>
        <v>208.71463456651603</v>
      </c>
      <c r="AB127" s="31">
        <f t="shared" si="261"/>
        <v>210.76085647403093</v>
      </c>
      <c r="AC127" s="31">
        <f t="shared" si="261"/>
        <v>212.82713938063907</v>
      </c>
      <c r="AD127" s="31">
        <f t="shared" si="261"/>
        <v>214.91367996280221</v>
      </c>
      <c r="AE127" s="31">
        <f t="shared" si="261"/>
        <v>217.02067682518268</v>
      </c>
      <c r="AF127" s="21"/>
      <c r="AG127" s="21"/>
      <c r="AH127" s="21"/>
      <c r="AI127" s="21"/>
      <c r="AJ127" s="21"/>
      <c r="AK127" s="21"/>
      <c r="AL127" s="21"/>
      <c r="AM127" s="21"/>
    </row>
    <row r="128" spans="2:39">
      <c r="B128" s="57" t="str">
        <f>B116</f>
        <v>Honduras/other</v>
      </c>
      <c r="C128" s="12"/>
      <c r="D128" s="12"/>
      <c r="E128" s="12"/>
      <c r="F128" s="12"/>
      <c r="G128" s="12"/>
      <c r="H128" s="12"/>
      <c r="I128" s="12"/>
      <c r="J128" s="12"/>
      <c r="K128" s="12"/>
      <c r="L128" s="686">
        <f t="shared" ref="L128:U128" si="262">L129-L126-L127</f>
        <v>75.610000000000014</v>
      </c>
      <c r="M128" s="686">
        <f t="shared" si="262"/>
        <v>119.52000000000001</v>
      </c>
      <c r="N128" s="686">
        <f t="shared" si="262"/>
        <v>103.64999999999998</v>
      </c>
      <c r="O128" s="686">
        <f t="shared" si="262"/>
        <v>156.69999999999999</v>
      </c>
      <c r="P128" s="93">
        <f t="shared" si="262"/>
        <v>119.94733285917496</v>
      </c>
      <c r="Q128" s="93">
        <f t="shared" si="262"/>
        <v>129.45589711876369</v>
      </c>
      <c r="R128" s="93">
        <f t="shared" si="262"/>
        <v>132.00007357652063</v>
      </c>
      <c r="S128" s="93">
        <f t="shared" si="262"/>
        <v>129.38380629542465</v>
      </c>
      <c r="T128" s="93">
        <f t="shared" si="262"/>
        <v>138.37054344459779</v>
      </c>
      <c r="U128" s="93">
        <f t="shared" si="262"/>
        <v>147.58734354069088</v>
      </c>
      <c r="V128" s="93">
        <f>V129-V126-V127</f>
        <v>166.76592779905758</v>
      </c>
      <c r="W128" s="93">
        <f>W129-W126-W127</f>
        <v>179.92095783576181</v>
      </c>
      <c r="X128" s="93">
        <f>X129-X126-X127</f>
        <v>190.86382261439144</v>
      </c>
      <c r="Y128" s="93">
        <f>Y129-Y126-Y127</f>
        <v>201.87026341924079</v>
      </c>
      <c r="Z128" s="93">
        <f>Z129-Z126-Z127</f>
        <v>213.90051325952928</v>
      </c>
      <c r="AA128" s="93">
        <f t="shared" ref="AA128:AE128" si="263">AA129-AA126-AA127</f>
        <v>162.93654638989912</v>
      </c>
      <c r="AB128" s="93">
        <f t="shared" si="263"/>
        <v>-131.06991627315563</v>
      </c>
      <c r="AC128" s="93">
        <f t="shared" si="263"/>
        <v>-134.91174548464789</v>
      </c>
      <c r="AD128" s="93">
        <f t="shared" si="263"/>
        <v>-139.11159027292601</v>
      </c>
      <c r="AE128" s="93">
        <f t="shared" si="263"/>
        <v>-143.6584352271704</v>
      </c>
      <c r="AF128" s="21"/>
      <c r="AG128" s="21"/>
      <c r="AH128" s="21"/>
      <c r="AI128" s="21"/>
      <c r="AJ128" s="21"/>
      <c r="AK128" s="21"/>
      <c r="AL128" s="21"/>
      <c r="AM128" s="21"/>
    </row>
    <row r="129" spans="2:43">
      <c r="B129" s="50" t="str">
        <f>B117</f>
        <v xml:space="preserve">Total </v>
      </c>
      <c r="C129" s="4"/>
      <c r="D129" s="4"/>
      <c r="E129" s="4"/>
      <c r="F129" s="4"/>
      <c r="G129" s="4"/>
      <c r="H129" s="4"/>
      <c r="I129" s="4"/>
      <c r="J129" s="4"/>
      <c r="K129" s="4"/>
      <c r="L129" s="31">
        <f>L154+0.45*L127</f>
        <v>279.41000000000003</v>
      </c>
      <c r="M129" s="31">
        <f>M154+0.45*M127</f>
        <v>392.12</v>
      </c>
      <c r="N129" s="31">
        <f>N154</f>
        <v>360.65</v>
      </c>
      <c r="O129" s="31">
        <f>O154</f>
        <v>432</v>
      </c>
      <c r="P129" s="31">
        <f t="shared" ref="P129:U129" si="264">P154</f>
        <v>368</v>
      </c>
      <c r="Q129" s="31">
        <f t="shared" si="264"/>
        <v>365.84716988163984</v>
      </c>
      <c r="R129" s="31">
        <f t="shared" si="264"/>
        <v>356.14355885110217</v>
      </c>
      <c r="S129" s="31">
        <f t="shared" si="264"/>
        <v>337.33787078588273</v>
      </c>
      <c r="T129" s="31">
        <f t="shared" si="264"/>
        <v>354.17912282812961</v>
      </c>
      <c r="U129" s="31">
        <f t="shared" si="264"/>
        <v>372.55934395932138</v>
      </c>
      <c r="V129" s="31">
        <f>V154</f>
        <v>392.12004259000827</v>
      </c>
      <c r="W129" s="31">
        <f>W154</f>
        <v>409.75637551465189</v>
      </c>
      <c r="X129" s="31">
        <f>X154</f>
        <v>425.26426259638629</v>
      </c>
      <c r="Y129" s="31">
        <f>Y154</f>
        <v>439.39291616980785</v>
      </c>
      <c r="Z129" s="31">
        <f>Z154</f>
        <v>454.38871132774926</v>
      </c>
      <c r="AA129" s="31">
        <f t="shared" ref="AA129:AE129" si="265">AA154</f>
        <v>290.53356447935613</v>
      </c>
      <c r="AB129" s="31">
        <f t="shared" si="265"/>
        <v>0</v>
      </c>
      <c r="AC129" s="31">
        <f t="shared" si="265"/>
        <v>0</v>
      </c>
      <c r="AD129" s="31">
        <f t="shared" si="265"/>
        <v>0</v>
      </c>
      <c r="AE129" s="31">
        <f t="shared" si="265"/>
        <v>0</v>
      </c>
      <c r="AF129" s="21"/>
      <c r="AG129" s="21"/>
      <c r="AH129" s="21"/>
      <c r="AI129" s="21"/>
      <c r="AJ129" s="21"/>
      <c r="AK129" s="21"/>
      <c r="AL129" s="21"/>
      <c r="AM129" s="21"/>
    </row>
    <row r="130" spans="2:43">
      <c r="B130" s="50"/>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21"/>
      <c r="AG130" s="21"/>
      <c r="AH130" s="21"/>
      <c r="AI130" s="21"/>
      <c r="AJ130" s="21"/>
      <c r="AK130" s="21"/>
      <c r="AL130" s="21"/>
      <c r="AM130" s="21"/>
    </row>
    <row r="131" spans="2:43">
      <c r="B131" s="48" t="s">
        <v>3359</v>
      </c>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21"/>
      <c r="AG131" s="21"/>
      <c r="AH131" s="21"/>
      <c r="AI131" s="21"/>
      <c r="AJ131" s="21"/>
      <c r="AK131" s="21"/>
      <c r="AL131" s="21"/>
      <c r="AM131" s="21"/>
    </row>
    <row r="132" spans="2:43">
      <c r="B132" s="50" t="str">
        <f>B126</f>
        <v>El Salvador</v>
      </c>
      <c r="C132" s="4"/>
      <c r="D132" s="4"/>
      <c r="E132" s="4"/>
      <c r="F132" s="4"/>
      <c r="G132" s="4"/>
      <c r="H132" s="4"/>
      <c r="I132" s="4"/>
      <c r="J132" s="4"/>
      <c r="K132" s="29">
        <f>K126/K104</f>
        <v>4.6357615894039736E-2</v>
      </c>
      <c r="L132" s="29">
        <f>L126/L104</f>
        <v>0.17874396135265699</v>
      </c>
      <c r="M132" s="29">
        <f>M126/M104</f>
        <v>0.13318284424379231</v>
      </c>
      <c r="N132" s="29">
        <f>N126/N104</f>
        <v>0.13544018058690746</v>
      </c>
      <c r="O132" s="29">
        <f>O126/O104</f>
        <v>0.16027088036117382</v>
      </c>
      <c r="P132" s="987">
        <v>0.14499999999999999</v>
      </c>
      <c r="Q132" s="987">
        <v>0.14499999999999999</v>
      </c>
      <c r="R132" s="987">
        <v>0.14499999999999999</v>
      </c>
      <c r="S132" s="987">
        <f t="shared" ref="S132:Z132" si="266">R132-0.5%</f>
        <v>0.13999999999999999</v>
      </c>
      <c r="T132" s="987">
        <f t="shared" si="266"/>
        <v>0.13499999999999998</v>
      </c>
      <c r="U132" s="987">
        <f t="shared" si="266"/>
        <v>0.12999999999999998</v>
      </c>
      <c r="V132" s="987">
        <f t="shared" si="266"/>
        <v>0.12499999999999997</v>
      </c>
      <c r="W132" s="987">
        <f t="shared" si="266"/>
        <v>0.11999999999999997</v>
      </c>
      <c r="X132" s="987">
        <f t="shared" si="266"/>
        <v>0.11499999999999996</v>
      </c>
      <c r="Y132" s="987">
        <f t="shared" si="266"/>
        <v>0.10999999999999996</v>
      </c>
      <c r="Z132" s="987">
        <f t="shared" si="266"/>
        <v>0.10499999999999995</v>
      </c>
      <c r="AA132" s="987">
        <f t="shared" ref="AA132" si="267">Z132-0.5%</f>
        <v>9.999999999999995E-2</v>
      </c>
      <c r="AB132" s="987">
        <f t="shared" ref="AB132" si="268">AA132-0.5%</f>
        <v>9.4999999999999946E-2</v>
      </c>
      <c r="AC132" s="987">
        <f t="shared" ref="AC132" si="269">AB132-0.5%</f>
        <v>8.9999999999999941E-2</v>
      </c>
      <c r="AD132" s="987">
        <f t="shared" ref="AD132" si="270">AC132-0.5%</f>
        <v>8.4999999999999937E-2</v>
      </c>
      <c r="AE132" s="987">
        <f t="shared" ref="AE132" si="271">AD132-0.5%</f>
        <v>7.9999999999999932E-2</v>
      </c>
      <c r="AF132" s="21"/>
      <c r="AG132" s="21"/>
      <c r="AH132" s="21"/>
      <c r="AI132" s="21"/>
      <c r="AJ132" s="21"/>
      <c r="AK132" s="21"/>
      <c r="AL132" s="21"/>
      <c r="AM132" s="21"/>
    </row>
    <row r="133" spans="2:43">
      <c r="B133" s="50" t="str">
        <f>B127</f>
        <v>Guatemala</v>
      </c>
      <c r="C133" s="4"/>
      <c r="D133" s="4"/>
      <c r="E133" s="4"/>
      <c r="F133" s="4"/>
      <c r="G133" s="4"/>
      <c r="H133" s="4"/>
      <c r="I133" s="4"/>
      <c r="J133" s="4"/>
      <c r="K133" s="4"/>
      <c r="L133" s="29">
        <f>L127/L105</f>
        <v>0.11819536423841062</v>
      </c>
      <c r="M133" s="29">
        <f>M127/M105</f>
        <v>0.18917874396135267</v>
      </c>
      <c r="N133" s="29">
        <f>N127/N105</f>
        <v>0.16880891173950299</v>
      </c>
      <c r="O133" s="29">
        <f>O127/O105</f>
        <v>0.16449275362318841</v>
      </c>
      <c r="P133" s="987">
        <v>0.14000000000000001</v>
      </c>
      <c r="Q133" s="987">
        <v>0.14000000000000001</v>
      </c>
      <c r="R133" s="987">
        <v>0.14000000000000001</v>
      </c>
      <c r="S133" s="987">
        <v>0.13</v>
      </c>
      <c r="T133" s="987">
        <v>0.13</v>
      </c>
      <c r="U133" s="987">
        <v>0.13</v>
      </c>
      <c r="V133" s="987">
        <v>0.13</v>
      </c>
      <c r="W133" s="987">
        <v>0.13</v>
      </c>
      <c r="X133" s="987">
        <v>0.13</v>
      </c>
      <c r="Y133" s="987">
        <v>0.13</v>
      </c>
      <c r="Z133" s="987">
        <v>0.13</v>
      </c>
      <c r="AA133" s="987">
        <v>0.13</v>
      </c>
      <c r="AB133" s="987">
        <v>0.13</v>
      </c>
      <c r="AC133" s="987">
        <v>0.13</v>
      </c>
      <c r="AD133" s="987">
        <v>0.13</v>
      </c>
      <c r="AE133" s="987">
        <v>0.13</v>
      </c>
      <c r="AF133" s="21"/>
      <c r="AG133" s="21"/>
      <c r="AH133" s="21"/>
      <c r="AI133" s="21"/>
      <c r="AJ133" s="21"/>
      <c r="AK133" s="21"/>
      <c r="AL133" s="21"/>
      <c r="AM133" s="21"/>
    </row>
    <row r="134" spans="2:43">
      <c r="B134" s="57" t="str">
        <f>B128</f>
        <v>Honduras/other</v>
      </c>
      <c r="C134" s="12"/>
      <c r="D134" s="12"/>
      <c r="E134" s="12"/>
      <c r="F134" s="12"/>
      <c r="G134" s="12"/>
      <c r="H134" s="12"/>
      <c r="I134" s="12"/>
      <c r="J134" s="12"/>
      <c r="K134" s="12"/>
      <c r="L134" s="150">
        <f>L128/(L106+L107)</f>
        <v>9.1744858610921576E-2</v>
      </c>
      <c r="M134" s="150">
        <f>M128/(M106+M107)</f>
        <v>9.0542880647842286E-2</v>
      </c>
      <c r="N134" s="150">
        <f>N128/(N106+N107)</f>
        <v>0.13031121598857393</v>
      </c>
      <c r="O134" s="150">
        <f>O128/(O106+O107)</f>
        <v>0.20194832242041741</v>
      </c>
      <c r="P134" s="150">
        <f t="shared" ref="P134:U134" si="272">P128/(P106+P107)</f>
        <v>0.14991024180140547</v>
      </c>
      <c r="Q134" s="150">
        <f t="shared" si="272"/>
        <v>0.16924569048858554</v>
      </c>
      <c r="R134" s="150">
        <f t="shared" si="272"/>
        <v>0.1684398474811481</v>
      </c>
      <c r="S134" s="150">
        <f t="shared" si="272"/>
        <v>0.15617879566556889</v>
      </c>
      <c r="T134" s="150">
        <f t="shared" si="272"/>
        <v>0.15729625044348072</v>
      </c>
      <c r="U134" s="150">
        <f t="shared" si="272"/>
        <v>0.15859642172021346</v>
      </c>
      <c r="V134" s="150">
        <f>V128/(V106+V107)</f>
        <v>0.1652983265909487</v>
      </c>
      <c r="W134" s="150">
        <f>W128/(W106+W107)</f>
        <v>0.17332682575294026</v>
      </c>
      <c r="X134" s="150">
        <f>X128/(X106+X107)</f>
        <v>0.18207763852493383</v>
      </c>
      <c r="Y134" s="150">
        <f>Y128/(Y106+Y107)</f>
        <v>0.19111846748412406</v>
      </c>
      <c r="Z134" s="150">
        <f>Z128/(Z106+Z107)</f>
        <v>0.20032184197761091</v>
      </c>
      <c r="AA134" s="150">
        <f t="shared" ref="AA134:AE134" si="273">AA128/(AA106+AA107)</f>
        <v>0.15085473136829677</v>
      </c>
      <c r="AB134" s="150">
        <f t="shared" si="273"/>
        <v>-0.11989459913016492</v>
      </c>
      <c r="AC134" s="150">
        <f t="shared" si="273"/>
        <v>-0.12185108653937889</v>
      </c>
      <c r="AD134" s="150">
        <f t="shared" si="273"/>
        <v>-0.12397890288722328</v>
      </c>
      <c r="AE134" s="150">
        <f t="shared" si="273"/>
        <v>-0.12625174422862465</v>
      </c>
      <c r="AF134" s="21"/>
      <c r="AG134" s="21"/>
      <c r="AH134" s="21"/>
      <c r="AI134" s="21"/>
      <c r="AJ134" s="21"/>
      <c r="AK134" s="21"/>
      <c r="AL134" s="21"/>
      <c r="AM134" s="21"/>
    </row>
    <row r="135" spans="2:43">
      <c r="B135" s="50" t="str">
        <f>B129</f>
        <v xml:space="preserve">Total </v>
      </c>
      <c r="C135" s="4"/>
      <c r="D135" s="4"/>
      <c r="E135" s="4"/>
      <c r="F135" s="4"/>
      <c r="G135" s="4"/>
      <c r="H135" s="4"/>
      <c r="I135" s="4"/>
      <c r="J135" s="4"/>
      <c r="K135" s="4"/>
      <c r="L135" s="29">
        <f>L129/L108</f>
        <v>0.11959430849526907</v>
      </c>
      <c r="M135" s="29">
        <f>M129/M108</f>
        <v>0.13558180732667957</v>
      </c>
      <c r="N135" s="29">
        <f>N129/N108</f>
        <v>0.14993326353685921</v>
      </c>
      <c r="O135" s="29">
        <f>O129/O108</f>
        <v>0.17554260156490062</v>
      </c>
      <c r="P135" s="29">
        <f t="shared" ref="P135:U135" si="274">P129/P108</f>
        <v>0.14398227239734759</v>
      </c>
      <c r="Q135" s="29">
        <f t="shared" si="274"/>
        <v>0.15</v>
      </c>
      <c r="R135" s="29">
        <f t="shared" si="274"/>
        <v>0.15</v>
      </c>
      <c r="S135" s="29">
        <f t="shared" si="274"/>
        <v>0.14000000000000001</v>
      </c>
      <c r="T135" s="29">
        <f t="shared" si="274"/>
        <v>0.14000000000000001</v>
      </c>
      <c r="U135" s="29">
        <f t="shared" si="274"/>
        <v>0.14000000000000001</v>
      </c>
      <c r="V135" s="29">
        <f>V129/V108</f>
        <v>0.14250000000000002</v>
      </c>
      <c r="W135" s="29">
        <f>W129/W108</f>
        <v>0.14500000000000002</v>
      </c>
      <c r="X135" s="29">
        <f>X129/X108</f>
        <v>0.14750000000000002</v>
      </c>
      <c r="Y135" s="29">
        <f>Y129/Y108</f>
        <v>0.15000000000000002</v>
      </c>
      <c r="Z135" s="29">
        <f>Z129/Z108</f>
        <v>0.15250000000000002</v>
      </c>
      <c r="AA135" s="29">
        <f t="shared" ref="AA135:AE135" si="275">AA129/AA108</f>
        <v>0.15500000000000003</v>
      </c>
      <c r="AB135" s="29">
        <f t="shared" si="275"/>
        <v>0</v>
      </c>
      <c r="AC135" s="29">
        <f t="shared" si="275"/>
        <v>0</v>
      </c>
      <c r="AD135" s="29">
        <f t="shared" si="275"/>
        <v>0</v>
      </c>
      <c r="AE135" s="29">
        <f t="shared" si="275"/>
        <v>0</v>
      </c>
      <c r="AF135" s="21"/>
      <c r="AG135" s="2" t="s">
        <v>3595</v>
      </c>
      <c r="AH135" s="599" t="s">
        <v>3381</v>
      </c>
      <c r="AI135" s="2">
        <f>AJ135-1</f>
        <v>2011</v>
      </c>
      <c r="AJ135" s="2">
        <f>AK135-1</f>
        <v>2012</v>
      </c>
      <c r="AK135" s="2">
        <v>2013</v>
      </c>
      <c r="AL135" s="2">
        <f>AM135-1</f>
        <v>2011</v>
      </c>
      <c r="AM135" s="2">
        <f>AN135-1</f>
        <v>2012</v>
      </c>
      <c r="AN135" s="2">
        <v>2013</v>
      </c>
      <c r="AO135" s="2">
        <f>AP135-1</f>
        <v>2011</v>
      </c>
      <c r="AP135" s="2">
        <f>AQ135-1</f>
        <v>2012</v>
      </c>
      <c r="AQ135" s="2">
        <v>2013</v>
      </c>
    </row>
    <row r="136" spans="2:43">
      <c r="B136" s="50"/>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21"/>
      <c r="AG136" s="23" t="s">
        <v>3596</v>
      </c>
      <c r="AH136" s="451"/>
      <c r="AI136" s="96" t="s">
        <v>3039</v>
      </c>
      <c r="AJ136" s="96" t="s">
        <v>3039</v>
      </c>
      <c r="AK136" s="96" t="s">
        <v>3039</v>
      </c>
      <c r="AL136" s="96" t="s">
        <v>3371</v>
      </c>
      <c r="AM136" s="96" t="s">
        <v>3371</v>
      </c>
      <c r="AN136" s="96" t="s">
        <v>3371</v>
      </c>
      <c r="AO136" s="2579" t="s">
        <v>3383</v>
      </c>
      <c r="AP136" s="2579"/>
      <c r="AQ136" s="2579"/>
    </row>
    <row r="137" spans="2:43">
      <c r="B137" s="48" t="s">
        <v>1552</v>
      </c>
      <c r="C137" s="4"/>
      <c r="D137" s="4"/>
      <c r="E137" s="4"/>
      <c r="F137" s="4"/>
      <c r="G137" s="4"/>
      <c r="H137" s="4"/>
      <c r="I137" s="4"/>
      <c r="J137" s="4"/>
      <c r="K137" s="4"/>
      <c r="L137" s="4"/>
      <c r="M137" s="4"/>
      <c r="O137" s="4"/>
      <c r="P137" s="4"/>
      <c r="Q137" s="4"/>
      <c r="R137" s="4"/>
      <c r="S137" s="4"/>
      <c r="T137" s="4"/>
      <c r="U137" s="4"/>
      <c r="V137" s="4"/>
      <c r="W137" s="4"/>
      <c r="X137" s="4"/>
      <c r="Y137" s="4"/>
      <c r="Z137" s="4"/>
      <c r="AA137" s="4"/>
      <c r="AB137" s="4"/>
      <c r="AC137" s="4"/>
      <c r="AD137" s="4"/>
      <c r="AE137" s="4"/>
      <c r="AF137" s="21"/>
      <c r="AG137" s="4" t="s">
        <v>2378</v>
      </c>
      <c r="AH137" s="449">
        <v>1</v>
      </c>
      <c r="AI137" s="454">
        <f>SA!L115</f>
        <v>268.96663489037178</v>
      </c>
      <c r="AJ137" s="454">
        <f>SA!M115</f>
        <v>283</v>
      </c>
      <c r="AK137" s="454">
        <f>SA!N115</f>
        <v>309.23047521051592</v>
      </c>
      <c r="AL137" s="9">
        <f>AI137</f>
        <v>268.96663489037178</v>
      </c>
      <c r="AM137" s="9">
        <f>AJ137</f>
        <v>283</v>
      </c>
      <c r="AN137" s="9">
        <f>AK137</f>
        <v>309.23047521051592</v>
      </c>
      <c r="AO137" s="454">
        <f>AL137*(1-SOP!$E$229)</f>
        <v>242.06997140133461</v>
      </c>
      <c r="AP137" s="454">
        <f>AM137*(1-SOP!$E$229)</f>
        <v>254.70000000000002</v>
      </c>
      <c r="AQ137" s="454">
        <f>AN137*(1-SOP!$E$229)</f>
        <v>278.30742768946436</v>
      </c>
    </row>
    <row r="138" spans="2:43">
      <c r="B138" s="50" t="str">
        <f>B126</f>
        <v>El Salvador</v>
      </c>
      <c r="C138" s="4"/>
      <c r="D138" s="4"/>
      <c r="E138" s="4"/>
      <c r="F138" s="4"/>
      <c r="G138" s="4"/>
      <c r="H138" s="4"/>
      <c r="I138" s="4"/>
      <c r="J138" s="4"/>
      <c r="K138" s="69">
        <f>K114-K126</f>
        <v>152</v>
      </c>
      <c r="L138" s="69">
        <f>L114-L126</f>
        <v>104</v>
      </c>
      <c r="M138" s="69">
        <f>M114-M126</f>
        <v>97</v>
      </c>
      <c r="N138" s="69">
        <f>N114-N126</f>
        <v>113.69999999999999</v>
      </c>
      <c r="O138" s="69">
        <f>O114-O126</f>
        <v>88.1</v>
      </c>
      <c r="P138" s="69">
        <f t="shared" ref="P138:U138" si="276">P114-P126</f>
        <v>103.40733285917497</v>
      </c>
      <c r="Q138" s="69">
        <f t="shared" si="276"/>
        <v>87.861534907133745</v>
      </c>
      <c r="R138" s="69">
        <f t="shared" si="276"/>
        <v>62.592871274415735</v>
      </c>
      <c r="S138" s="69">
        <f t="shared" si="276"/>
        <v>52.979538187238035</v>
      </c>
      <c r="T138" s="69">
        <f t="shared" si="276"/>
        <v>57.893054378162802</v>
      </c>
      <c r="U138" s="69">
        <f t="shared" si="276"/>
        <v>60.616970696953402</v>
      </c>
      <c r="V138" s="69">
        <f t="shared" ref="V138:Z140" si="277">V114-V126</f>
        <v>54.685252028446634</v>
      </c>
      <c r="W138" s="69">
        <f t="shared" si="277"/>
        <v>58.198106698700009</v>
      </c>
      <c r="X138" s="69">
        <f t="shared" si="277"/>
        <v>62.033563128774915</v>
      </c>
      <c r="Y138" s="69">
        <f t="shared" si="277"/>
        <v>67.174887638424451</v>
      </c>
      <c r="Z138" s="69">
        <f t="shared" si="277"/>
        <v>72.428398236657969</v>
      </c>
      <c r="AA138" s="69">
        <f t="shared" ref="AA138:AE138" si="278">AA114-AA126</f>
        <v>-182.51463707338286</v>
      </c>
      <c r="AB138" s="69">
        <f t="shared" si="278"/>
        <v>-188.74170047575745</v>
      </c>
      <c r="AC138" s="69">
        <f t="shared" si="278"/>
        <v>-194.78848473997812</v>
      </c>
      <c r="AD138" s="69">
        <f t="shared" si="278"/>
        <v>-200.65259035555482</v>
      </c>
      <c r="AE138" s="69">
        <f t="shared" si="278"/>
        <v>-206.33130449440966</v>
      </c>
      <c r="AF138" s="21"/>
      <c r="AG138" s="4" t="s">
        <v>1119</v>
      </c>
      <c r="AH138" s="449">
        <v>0.66</v>
      </c>
      <c r="AI138" s="454">
        <f t="shared" ref="AI138:AK139" si="279">L139</f>
        <v>494.2</v>
      </c>
      <c r="AJ138" s="454">
        <f t="shared" si="279"/>
        <v>409.4</v>
      </c>
      <c r="AK138" s="454">
        <f t="shared" si="279"/>
        <v>406</v>
      </c>
      <c r="AL138" s="9">
        <f>(0.55*L139)</f>
        <v>271.81</v>
      </c>
      <c r="AM138" s="9">
        <f>(0.55*M139)</f>
        <v>225.17000000000002</v>
      </c>
      <c r="AN138" s="9">
        <f>(0.55*N139)</f>
        <v>223.3</v>
      </c>
      <c r="AO138" s="535">
        <f>AL138*(1-0.11)</f>
        <v>241.9109</v>
      </c>
      <c r="AP138" s="535">
        <f>AM138*(1-0.12)</f>
        <v>198.14960000000002</v>
      </c>
      <c r="AQ138" s="535">
        <f>AN138*(1-0.15)</f>
        <v>189.80500000000001</v>
      </c>
    </row>
    <row r="139" spans="2:43">
      <c r="B139" s="50" t="str">
        <f>B127</f>
        <v>Guatemala</v>
      </c>
      <c r="C139" s="4"/>
      <c r="D139" s="4"/>
      <c r="E139" s="4"/>
      <c r="F139" s="4"/>
      <c r="G139" s="4"/>
      <c r="H139" s="4"/>
      <c r="I139" s="4"/>
      <c r="J139" s="4"/>
      <c r="K139" s="69"/>
      <c r="L139" s="69">
        <f>L115-L127</f>
        <v>494.2</v>
      </c>
      <c r="M139" s="69">
        <f t="shared" ref="L139:O141" si="280">M115-M127</f>
        <v>409.4</v>
      </c>
      <c r="N139" s="69">
        <f t="shared" si="280"/>
        <v>406</v>
      </c>
      <c r="O139" s="69">
        <f>O115-O127</f>
        <v>429.858</v>
      </c>
      <c r="P139" s="69">
        <f t="shared" ref="P139:U139" si="281">P115-P127</f>
        <v>486.96499999999992</v>
      </c>
      <c r="Q139" s="69">
        <f t="shared" si="281"/>
        <v>482.6459152863265</v>
      </c>
      <c r="R139" s="69">
        <f t="shared" si="281"/>
        <v>487.31166527298274</v>
      </c>
      <c r="S139" s="69">
        <f>S115-S127</f>
        <v>509.31637621822495</v>
      </c>
      <c r="T139" s="69">
        <f t="shared" si="281"/>
        <v>522.32523102875246</v>
      </c>
      <c r="U139" s="69">
        <f t="shared" si="281"/>
        <v>540.62368356675313</v>
      </c>
      <c r="V139" s="69">
        <f t="shared" si="277"/>
        <v>547.42536934731447</v>
      </c>
      <c r="W139" s="69">
        <f>W115-W127</f>
        <v>550.5131836788463</v>
      </c>
      <c r="X139" s="69">
        <f t="shared" si="277"/>
        <v>553.51162149844788</v>
      </c>
      <c r="Y139" s="69">
        <f t="shared" si="277"/>
        <v>551.06583692402774</v>
      </c>
      <c r="Z139" s="69">
        <f t="shared" si="277"/>
        <v>548.51889398026128</v>
      </c>
      <c r="AA139" s="69">
        <f t="shared" ref="AA139:AE139" si="282">AA115-AA127</f>
        <v>545.86904425088801</v>
      </c>
      <c r="AB139" s="69">
        <f t="shared" si="282"/>
        <v>543.11451476000263</v>
      </c>
      <c r="AC139" s="69">
        <f t="shared" si="282"/>
        <v>540.25350765854523</v>
      </c>
      <c r="AD139" s="69">
        <f t="shared" si="282"/>
        <v>537.28419990700547</v>
      </c>
      <c r="AE139" s="69">
        <f t="shared" si="282"/>
        <v>534.20474295429574</v>
      </c>
      <c r="AF139" s="21"/>
      <c r="AG139" s="478" t="s">
        <v>2380</v>
      </c>
      <c r="AH139" s="449">
        <v>0.67</v>
      </c>
      <c r="AI139" s="454">
        <f t="shared" si="279"/>
        <v>368.19799999999998</v>
      </c>
      <c r="AJ139" s="454">
        <f t="shared" si="279"/>
        <v>339.82999999999993</v>
      </c>
      <c r="AK139" s="454">
        <f t="shared" si="279"/>
        <v>292.85000000000002</v>
      </c>
      <c r="AL139" s="9">
        <f>AI139*0.67</f>
        <v>246.69265999999999</v>
      </c>
      <c r="AM139" s="9">
        <f>AJ139*0.67</f>
        <v>227.68609999999995</v>
      </c>
      <c r="AN139" s="9">
        <f>AK139*0.67</f>
        <v>196.20950000000002</v>
      </c>
      <c r="AO139" s="454">
        <f>AL139*(1-SOP!$E$227)</f>
        <v>172.68486199999998</v>
      </c>
      <c r="AP139" s="454">
        <f>AM139*(1-SOP!$E$227)</f>
        <v>159.38026999999997</v>
      </c>
      <c r="AQ139" s="454">
        <f>AN139*(1-SOP!$E$227)</f>
        <v>137.34665000000001</v>
      </c>
    </row>
    <row r="140" spans="2:43">
      <c r="B140" s="57" t="str">
        <f>B128</f>
        <v>Honduras/other</v>
      </c>
      <c r="C140" s="12"/>
      <c r="D140" s="12"/>
      <c r="E140" s="12"/>
      <c r="F140" s="12"/>
      <c r="G140" s="12"/>
      <c r="H140" s="12"/>
      <c r="I140" s="12"/>
      <c r="J140" s="12"/>
      <c r="K140" s="686"/>
      <c r="L140" s="686">
        <f t="shared" si="280"/>
        <v>368.19799999999998</v>
      </c>
      <c r="M140" s="686">
        <f t="shared" si="280"/>
        <v>339.82999999999993</v>
      </c>
      <c r="N140" s="686">
        <f t="shared" si="280"/>
        <v>292.85000000000002</v>
      </c>
      <c r="O140" s="686">
        <f t="shared" si="280"/>
        <v>203.05306564304425</v>
      </c>
      <c r="P140" s="686">
        <f t="shared" ref="P140:U140" si="283">P116-P128</f>
        <v>213.62766714082508</v>
      </c>
      <c r="Q140" s="686">
        <f t="shared" si="283"/>
        <v>154.76991657804308</v>
      </c>
      <c r="R140" s="686">
        <f t="shared" si="283"/>
        <v>143.61316700357762</v>
      </c>
      <c r="S140" s="686">
        <f t="shared" si="283"/>
        <v>143.07408416156633</v>
      </c>
      <c r="T140" s="686">
        <f t="shared" si="283"/>
        <v>159.18252823008214</v>
      </c>
      <c r="U140" s="686">
        <f t="shared" si="283"/>
        <v>178.22029473080136</v>
      </c>
      <c r="V140" s="686">
        <f t="shared" si="277"/>
        <v>180.27049962276118</v>
      </c>
      <c r="W140" s="686">
        <f t="shared" si="277"/>
        <v>167.62682035128793</v>
      </c>
      <c r="X140" s="686">
        <f t="shared" si="277"/>
        <v>153.97303300816907</v>
      </c>
      <c r="Y140" s="686">
        <f t="shared" si="277"/>
        <v>133.26697964136409</v>
      </c>
      <c r="Z140" s="686">
        <f t="shared" si="277"/>
        <v>114.34433471257339</v>
      </c>
      <c r="AA140" s="686">
        <f t="shared" ref="AA140:AE140" si="284">AA116-AA128</f>
        <v>-622.48611834743019</v>
      </c>
      <c r="AB140" s="686">
        <f t="shared" si="284"/>
        <v>-376.48261410810164</v>
      </c>
      <c r="AC140" s="686">
        <f t="shared" si="284"/>
        <v>-420.9306642248722</v>
      </c>
      <c r="AD140" s="686">
        <f t="shared" si="284"/>
        <v>-465.29407159212622</v>
      </c>
      <c r="AE140" s="686">
        <f t="shared" si="284"/>
        <v>-509.56856064740765</v>
      </c>
      <c r="AF140" s="21"/>
      <c r="AG140" s="4" t="s">
        <v>2377</v>
      </c>
      <c r="AH140" s="449">
        <v>1</v>
      </c>
      <c r="AI140" s="454">
        <f>SA!L114</f>
        <v>110.1737719516122</v>
      </c>
      <c r="AJ140" s="454">
        <f>SA!M114</f>
        <v>123.57029983000393</v>
      </c>
      <c r="AK140" s="454">
        <f>SA!N114</f>
        <v>74.20352478948405</v>
      </c>
      <c r="AL140" s="454">
        <f t="shared" ref="AL140:AN141" si="285">AI140</f>
        <v>110.1737719516122</v>
      </c>
      <c r="AM140" s="454">
        <f t="shared" si="285"/>
        <v>123.57029983000393</v>
      </c>
      <c r="AN140" s="454">
        <f t="shared" si="285"/>
        <v>74.20352478948405</v>
      </c>
      <c r="AO140" s="454">
        <f>AL140*(1-SOP!$E$230)</f>
        <v>82.630328963709147</v>
      </c>
      <c r="AP140" s="454">
        <f>AM140*(1-SOP!$E$230)</f>
        <v>92.677724872502949</v>
      </c>
      <c r="AQ140" s="454">
        <f>AN140*(1-SOP!$E$230)</f>
        <v>55.652643592113037</v>
      </c>
    </row>
    <row r="141" spans="2:43">
      <c r="B141" s="50" t="str">
        <f>B129</f>
        <v xml:space="preserve">Total </v>
      </c>
      <c r="C141" s="4"/>
      <c r="D141" s="4"/>
      <c r="E141" s="4"/>
      <c r="F141" s="4"/>
      <c r="G141" s="4"/>
      <c r="H141" s="4"/>
      <c r="I141" s="4"/>
      <c r="J141" s="4"/>
      <c r="K141" s="69"/>
      <c r="L141" s="69">
        <f t="shared" si="280"/>
        <v>966.39799999999991</v>
      </c>
      <c r="M141" s="69">
        <f t="shared" si="280"/>
        <v>846.2299999999999</v>
      </c>
      <c r="N141" s="69">
        <f t="shared" si="280"/>
        <v>812.55000000000007</v>
      </c>
      <c r="O141" s="40">
        <f t="shared" ref="O141:U141" si="286">O157</f>
        <v>721.01106564304428</v>
      </c>
      <c r="P141" s="40">
        <f t="shared" si="286"/>
        <v>804</v>
      </c>
      <c r="Q141" s="40">
        <f t="shared" si="286"/>
        <v>725.27736677150335</v>
      </c>
      <c r="R141" s="40">
        <f t="shared" si="286"/>
        <v>693.51770355097619</v>
      </c>
      <c r="S141" s="40">
        <f t="shared" si="286"/>
        <v>705.36999856702926</v>
      </c>
      <c r="T141" s="40">
        <f t="shared" si="286"/>
        <v>739.40081363699744</v>
      </c>
      <c r="U141" s="40">
        <f t="shared" si="286"/>
        <v>779.46094899450793</v>
      </c>
      <c r="V141" s="40">
        <f>V157</f>
        <v>782.38112099852219</v>
      </c>
      <c r="W141" s="40">
        <f>W157</f>
        <v>776.33811072883441</v>
      </c>
      <c r="X141" s="40">
        <f>X157</f>
        <v>769.51821763539192</v>
      </c>
      <c r="Y141" s="40">
        <f>Y157</f>
        <v>751.50770420381627</v>
      </c>
      <c r="Z141" s="40">
        <f>Z157</f>
        <v>735.29162692949262</v>
      </c>
      <c r="AA141" s="40">
        <f t="shared" ref="AA141:AE141" si="287">AA157</f>
        <v>-259.13171116992504</v>
      </c>
      <c r="AB141" s="40">
        <f t="shared" si="287"/>
        <v>-22.10979982385652</v>
      </c>
      <c r="AC141" s="40">
        <f t="shared" si="287"/>
        <v>-75.465641306305088</v>
      </c>
      <c r="AD141" s="40">
        <f t="shared" si="287"/>
        <v>-128.66246204067556</v>
      </c>
      <c r="AE141" s="40">
        <f t="shared" si="287"/>
        <v>-181.69512218752152</v>
      </c>
      <c r="AF141" s="21"/>
      <c r="AG141" s="4" t="s">
        <v>2376</v>
      </c>
      <c r="AH141" s="449">
        <v>1</v>
      </c>
      <c r="AI141" s="454">
        <f>L138</f>
        <v>104</v>
      </c>
      <c r="AJ141" s="454">
        <f>M138</f>
        <v>97</v>
      </c>
      <c r="AK141" s="454">
        <f>N138</f>
        <v>113.69999999999999</v>
      </c>
      <c r="AL141" s="454">
        <f t="shared" si="285"/>
        <v>104</v>
      </c>
      <c r="AM141" s="454">
        <f t="shared" si="285"/>
        <v>97</v>
      </c>
      <c r="AN141" s="454">
        <f t="shared" si="285"/>
        <v>113.69999999999999</v>
      </c>
      <c r="AO141" s="454">
        <f>AL141*(1-SOP!$E$225)</f>
        <v>72.8</v>
      </c>
      <c r="AP141" s="454">
        <f>AM141*(1-SOP!$E$225)</f>
        <v>67.899999999999991</v>
      </c>
      <c r="AQ141" s="454">
        <f>AN141*(1-SOP!$E$225)</f>
        <v>79.589999999999989</v>
      </c>
    </row>
    <row r="142" spans="2:43">
      <c r="B142" s="50"/>
      <c r="C142" s="4"/>
      <c r="D142" s="4"/>
      <c r="E142" s="4"/>
      <c r="F142" s="4"/>
      <c r="G142" s="4"/>
      <c r="H142" s="4"/>
      <c r="I142" s="4"/>
      <c r="J142" s="4"/>
      <c r="K142" s="4"/>
      <c r="L142" s="4"/>
      <c r="M142" s="4"/>
      <c r="N142" s="4"/>
      <c r="O142" s="4"/>
      <c r="P142" s="4"/>
      <c r="Q142" s="69"/>
      <c r="R142" s="69"/>
      <c r="S142" s="69"/>
      <c r="T142" s="69"/>
      <c r="U142" s="69"/>
      <c r="V142" s="69"/>
      <c r="W142" s="69"/>
      <c r="X142" s="69"/>
      <c r="Y142" s="69"/>
      <c r="Z142" s="69"/>
      <c r="AA142" s="69"/>
      <c r="AB142" s="69"/>
      <c r="AC142" s="69"/>
      <c r="AD142" s="69"/>
      <c r="AE142" s="69"/>
      <c r="AF142" s="21"/>
      <c r="AG142" s="4" t="s">
        <v>3380</v>
      </c>
      <c r="AH142" s="449">
        <v>0.5</v>
      </c>
      <c r="AI142" s="454">
        <f>Colombia!H65</f>
        <v>64.327593158015958</v>
      </c>
      <c r="AJ142" s="454">
        <f>Colombia!I65</f>
        <v>37.429700169995954</v>
      </c>
      <c r="AK142" s="454">
        <f>Colombia!J65</f>
        <v>13.566000000000003</v>
      </c>
      <c r="AL142" s="454">
        <f>AI142*0.5</f>
        <v>32.163796579007979</v>
      </c>
      <c r="AM142" s="454">
        <f>AJ142*0.5</f>
        <v>18.714850084997977</v>
      </c>
      <c r="AN142" s="454">
        <f>AK142*0.5</f>
        <v>6.7830000000000013</v>
      </c>
      <c r="AO142" s="454">
        <f>AL142*(1-SOP!$E$232)</f>
        <v>21.549743707935345</v>
      </c>
      <c r="AP142" s="454">
        <f>AM142*(1-SOP!$E$232)</f>
        <v>12.538949556948642</v>
      </c>
      <c r="AQ142" s="454">
        <f>AN142*(1-SOP!$E$232)</f>
        <v>4.5446100000000005</v>
      </c>
    </row>
    <row r="143" spans="2:43">
      <c r="B143" s="48" t="s">
        <v>1054</v>
      </c>
      <c r="C143" s="71"/>
      <c r="D143" s="71">
        <f>SUM(Quarts!G300:J300)</f>
        <v>85.745999999999995</v>
      </c>
      <c r="E143" s="71">
        <f>SUM(Quarts!K300:N300)</f>
        <v>155.566</v>
      </c>
      <c r="F143" s="71">
        <f>SUM(Quarts!O300:R300)</f>
        <v>233.00800000000001</v>
      </c>
      <c r="G143" s="71">
        <f>SUM(Quarts!S300:V300)</f>
        <v>415.43000000000006</v>
      </c>
      <c r="H143" s="71">
        <f>SUM(Quarts!X300:AA300)</f>
        <v>608.17900000000009</v>
      </c>
      <c r="I143" s="71">
        <f>SUM(Quarts!AC300:AF300)</f>
        <v>758.82600000000002</v>
      </c>
      <c r="J143" s="71">
        <f>SUM(Quarts!AH300:AK300)</f>
        <v>837.73099999999999</v>
      </c>
      <c r="K143" s="71">
        <f>SUM(Quarts!AM300:AP300)</f>
        <v>844.18799999999999</v>
      </c>
      <c r="L143" s="71">
        <f>SUM(Quarts!AR302:AU302)</f>
        <v>965.00800000000004</v>
      </c>
      <c r="M143" s="71">
        <f>SUM(Quarts!AW302:AZ302)</f>
        <v>958</v>
      </c>
      <c r="N143" s="71">
        <f>SUM(Quarts!BB302:BE302)</f>
        <v>1173.2</v>
      </c>
      <c r="O143" s="71">
        <f>SUM(Quarts!BG302:BJ302)</f>
        <v>1153.0110656430443</v>
      </c>
      <c r="P143" s="71">
        <f>SUM(Quarts!BL302:BO302)</f>
        <v>1172</v>
      </c>
      <c r="Q143" s="72">
        <f t="shared" ref="Q143:Z143" si="288">Q100-Q146</f>
        <v>1091.1245366531432</v>
      </c>
      <c r="R143" s="72">
        <f t="shared" si="288"/>
        <v>1049.6612624020784</v>
      </c>
      <c r="S143" s="72">
        <f t="shared" si="288"/>
        <v>1042.707869352912</v>
      </c>
      <c r="T143" s="72">
        <f t="shared" si="288"/>
        <v>1093.579936465127</v>
      </c>
      <c r="U143" s="72">
        <f t="shared" si="288"/>
        <v>1152.0202929538293</v>
      </c>
      <c r="V143" s="72">
        <f t="shared" si="288"/>
        <v>1174.5011635885305</v>
      </c>
      <c r="W143" s="72">
        <f t="shared" si="288"/>
        <v>1186.0944862434862</v>
      </c>
      <c r="X143" s="72">
        <f t="shared" si="288"/>
        <v>1194.7824802317782</v>
      </c>
      <c r="Y143" s="72">
        <f t="shared" si="288"/>
        <v>1190.9006203736242</v>
      </c>
      <c r="Z143" s="72">
        <f t="shared" si="288"/>
        <v>1189.6803382572418</v>
      </c>
      <c r="AA143" s="72">
        <f t="shared" ref="AA143:AE143" si="289">AA100-AA146</f>
        <v>31.40185330943109</v>
      </c>
      <c r="AB143" s="72">
        <f t="shared" si="289"/>
        <v>-22.10979982385652</v>
      </c>
      <c r="AC143" s="72">
        <f t="shared" si="289"/>
        <v>-75.465641306305088</v>
      </c>
      <c r="AD143" s="72">
        <f t="shared" si="289"/>
        <v>-128.66246204067556</v>
      </c>
      <c r="AE143" s="72">
        <f t="shared" si="289"/>
        <v>-181.69512218752152</v>
      </c>
      <c r="AF143" s="145"/>
      <c r="AG143" s="12" t="s">
        <v>3384</v>
      </c>
      <c r="AH143" s="495" t="s">
        <v>3382</v>
      </c>
      <c r="AI143" s="462">
        <f t="shared" ref="AI143:AN143" si="290">AI144-SUM(AI137:AI142)</f>
        <v>98.960000000000036</v>
      </c>
      <c r="AJ143" s="462">
        <f t="shared" si="290"/>
        <v>51.08600000000024</v>
      </c>
      <c r="AK143" s="462">
        <f t="shared" si="290"/>
        <v>-53.150000000000546</v>
      </c>
      <c r="AL143" s="462" t="e">
        <f t="shared" si="290"/>
        <v>#REF!</v>
      </c>
      <c r="AM143" s="462" t="e">
        <f t="shared" si="290"/>
        <v>#REF!</v>
      </c>
      <c r="AN143" s="462" t="e">
        <f t="shared" si="290"/>
        <v>#REF!</v>
      </c>
      <c r="AO143" s="462" t="e">
        <f>AL143*(1-0.3)</f>
        <v>#REF!</v>
      </c>
      <c r="AP143" s="462" t="e">
        <f>AM143*(1-0.3)</f>
        <v>#REF!</v>
      </c>
      <c r="AQ143" s="462" t="e">
        <f>AN143*(1-0.3)</f>
        <v>#REF!</v>
      </c>
    </row>
    <row r="144" spans="2:43">
      <c r="B144" s="50" t="s">
        <v>361</v>
      </c>
      <c r="C144" s="53"/>
      <c r="D144" s="53">
        <f t="shared" ref="D144:K144" si="291">D143/D61</f>
        <v>0.51843163336255638</v>
      </c>
      <c r="E144" s="53">
        <f t="shared" si="291"/>
        <v>0.510012326898867</v>
      </c>
      <c r="F144" s="53">
        <f t="shared" si="291"/>
        <v>0.51482103402562973</v>
      </c>
      <c r="G144" s="53">
        <f t="shared" si="291"/>
        <v>0.52182421797965373</v>
      </c>
      <c r="H144" s="53">
        <f t="shared" si="291"/>
        <v>0.52914854779293419</v>
      </c>
      <c r="I144" s="53">
        <f t="shared" si="291"/>
        <v>0.55109630855106884</v>
      </c>
      <c r="J144" s="53">
        <f t="shared" si="291"/>
        <v>0.55103368521460794</v>
      </c>
      <c r="K144" s="53">
        <f t="shared" si="291"/>
        <v>0.55571287065196473</v>
      </c>
      <c r="L144" s="55">
        <f t="shared" ref="L144:S144" si="292">L143/L100</f>
        <v>0.52385349123018166</v>
      </c>
      <c r="M144" s="53">
        <f t="shared" si="292"/>
        <v>0.4018393126344002</v>
      </c>
      <c r="N144" s="53">
        <f t="shared" si="292"/>
        <v>0.48773521359058153</v>
      </c>
      <c r="O144" s="53">
        <f>O143/O100</f>
        <v>0.46852444929652404</v>
      </c>
      <c r="P144" s="53">
        <f>P143/P100</f>
        <v>0.45855223709155263</v>
      </c>
      <c r="Q144" s="53">
        <f>Q143/Q100</f>
        <v>0.44736899441075939</v>
      </c>
      <c r="R144" s="53">
        <f t="shared" si="292"/>
        <v>0.44209472682373768</v>
      </c>
      <c r="S144" s="53">
        <f t="shared" si="292"/>
        <v>0.43273855191332639</v>
      </c>
      <c r="T144" s="53">
        <f t="shared" ref="T144:Z144" si="293">T143/T100</f>
        <v>0.43227051296135349</v>
      </c>
      <c r="U144" s="53">
        <f t="shared" si="293"/>
        <v>0.43290510257916415</v>
      </c>
      <c r="V144" s="53">
        <f t="shared" si="293"/>
        <v>0.42682443546085225</v>
      </c>
      <c r="W144" s="53">
        <f t="shared" si="293"/>
        <v>0.41972184151935377</v>
      </c>
      <c r="X144" s="53">
        <f t="shared" si="293"/>
        <v>0.41440212906261936</v>
      </c>
      <c r="Y144" s="53">
        <f t="shared" si="293"/>
        <v>0.40654977921175295</v>
      </c>
      <c r="Z144" s="53">
        <f t="shared" si="293"/>
        <v>0.39927543766237444</v>
      </c>
      <c r="AA144" s="53">
        <f t="shared" ref="AA144:AE144" si="294">AA143/AA100</f>
        <v>1.6752925851042814E-2</v>
      </c>
      <c r="AB144" s="53">
        <f t="shared" si="294"/>
        <v>-1.1788153295712998E-2</v>
      </c>
      <c r="AC144" s="53">
        <f t="shared" si="294"/>
        <v>-4.0171413135268501E-2</v>
      </c>
      <c r="AD144" s="53">
        <f t="shared" si="294"/>
        <v>-6.8312067885777955E-2</v>
      </c>
      <c r="AE144" s="53">
        <f t="shared" si="294"/>
        <v>-9.6123049897019183E-2</v>
      </c>
      <c r="AF144" s="53"/>
      <c r="AG144" s="4" t="s">
        <v>3457</v>
      </c>
      <c r="AI144" s="454">
        <f>Div!K109+0.45*L139</f>
        <v>1508.826</v>
      </c>
      <c r="AJ144" s="454">
        <f>Div!L109+0.45*M139</f>
        <v>1341.3160000000003</v>
      </c>
      <c r="AK144" s="454">
        <f>Div!M109</f>
        <v>1156.3999999999996</v>
      </c>
      <c r="AL144" s="454" t="e">
        <f>Div!#REF!</f>
        <v>#REF!</v>
      </c>
      <c r="AM144" s="454" t="e">
        <f>Div!#REF!</f>
        <v>#REF!</v>
      </c>
      <c r="AN144" s="454" t="e">
        <f>Div!#REF!</f>
        <v>#REF!</v>
      </c>
      <c r="AO144" s="454" t="e">
        <f>SUM(AO137:AO143)</f>
        <v>#REF!</v>
      </c>
      <c r="AP144" s="454" t="e">
        <f>SUM(AP137:AP143)</f>
        <v>#REF!</v>
      </c>
      <c r="AQ144" s="454" t="e">
        <f>SUM(AQ137:AQ143)</f>
        <v>#REF!</v>
      </c>
    </row>
    <row r="145" spans="2:48">
      <c r="B145" s="50"/>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21"/>
      <c r="AG145" s="21"/>
      <c r="AI145" s="21"/>
      <c r="AJ145" s="21"/>
      <c r="AK145" s="21"/>
      <c r="AL145" s="21"/>
      <c r="AM145" s="21"/>
      <c r="AN145" s="21"/>
    </row>
    <row r="146" spans="2:48">
      <c r="B146" s="50" t="s">
        <v>1934</v>
      </c>
      <c r="C146" s="4"/>
      <c r="D146" s="69">
        <f t="shared" ref="D146:K146" si="295">D61-D143</f>
        <v>79.648999999999987</v>
      </c>
      <c r="E146" s="69">
        <f t="shared" si="295"/>
        <v>149.458</v>
      </c>
      <c r="F146" s="69">
        <f t="shared" si="295"/>
        <v>219.59200000000001</v>
      </c>
      <c r="G146" s="69">
        <f t="shared" si="295"/>
        <v>380.68099999999993</v>
      </c>
      <c r="H146" s="69">
        <f t="shared" si="295"/>
        <v>541.17499999999995</v>
      </c>
      <c r="I146" s="69">
        <f t="shared" si="295"/>
        <v>618.11299999999983</v>
      </c>
      <c r="J146" s="69">
        <f t="shared" si="295"/>
        <v>682.55899765002346</v>
      </c>
      <c r="K146" s="69">
        <f t="shared" si="295"/>
        <v>674.92023841383241</v>
      </c>
      <c r="L146" s="69">
        <f>L100-L143</f>
        <v>877.12537537150183</v>
      </c>
      <c r="M146" s="69">
        <f>M100-M143</f>
        <v>1426.0375241523561</v>
      </c>
      <c r="N146" s="69">
        <f>N100-N143</f>
        <v>1232.2035208227073</v>
      </c>
      <c r="O146" s="69">
        <f>O100-O143</f>
        <v>1307.9300173127272</v>
      </c>
      <c r="P146" s="69">
        <f>P100-P143</f>
        <v>1383.8702045237287</v>
      </c>
      <c r="Q146" s="69">
        <f t="shared" ref="Q146:Z146" si="296">Q147*AVERAGE(P46:Q46)/100</f>
        <v>1347.8565958911224</v>
      </c>
      <c r="R146" s="69">
        <f t="shared" si="296"/>
        <v>1324.6291299386028</v>
      </c>
      <c r="S146" s="69">
        <f t="shared" si="296"/>
        <v>1366.84835054625</v>
      </c>
      <c r="T146" s="69">
        <f t="shared" si="296"/>
        <v>1436.2709408786554</v>
      </c>
      <c r="U146" s="69">
        <f t="shared" si="296"/>
        <v>1509.1178781841802</v>
      </c>
      <c r="V146" s="69">
        <f t="shared" si="296"/>
        <v>1577.2184335343343</v>
      </c>
      <c r="W146" s="69">
        <f t="shared" si="296"/>
        <v>1639.8115517885954</v>
      </c>
      <c r="X146" s="69">
        <f t="shared" si="296"/>
        <v>1688.365062794569</v>
      </c>
      <c r="Y146" s="69">
        <f t="shared" si="296"/>
        <v>1738.3854874250944</v>
      </c>
      <c r="Z146" s="69">
        <f t="shared" si="296"/>
        <v>1789.917768809966</v>
      </c>
      <c r="AA146" s="69">
        <f t="shared" ref="AA146" si="297">AA147*AVERAGE(Z46:AA46)/100</f>
        <v>1843.0082401057696</v>
      </c>
      <c r="AB146" s="69">
        <f t="shared" ref="AB146" si="298">AB147*AVERAGE(AA46:AB46)/100</f>
        <v>1897.7046677576827</v>
      </c>
      <c r="AC146" s="69">
        <f t="shared" ref="AC146" si="299">AC147*AVERAGE(AB46:AC46)/100</f>
        <v>1954.056296113268</v>
      </c>
      <c r="AD146" s="69">
        <f t="shared" ref="AD146" si="300">AD147*AVERAGE(AC46:AD46)/100</f>
        <v>2012.1138934306205</v>
      </c>
      <c r="AE146" s="69">
        <f t="shared" ref="AE146" si="301">AE147*AVERAGE(AD46:AE46)/100</f>
        <v>2071.9297993245809</v>
      </c>
      <c r="AF146" s="21"/>
      <c r="AG146" s="4" t="s">
        <v>3372</v>
      </c>
      <c r="AI146" s="21"/>
      <c r="AJ146" s="21"/>
      <c r="AK146" s="21"/>
      <c r="AL146" s="21"/>
      <c r="AM146" s="21"/>
      <c r="AN146" s="21"/>
    </row>
    <row r="147" spans="2:48">
      <c r="B147" s="50" t="s">
        <v>1935</v>
      </c>
      <c r="C147" s="4"/>
      <c r="D147" s="69">
        <f t="shared" ref="D147:N147" si="302">D146*100/AVERAGE(C46:D46)</f>
        <v>7.2202044979764581</v>
      </c>
      <c r="E147" s="69">
        <f t="shared" si="302"/>
        <v>9.6128409618243662</v>
      </c>
      <c r="F147" s="69">
        <f t="shared" si="302"/>
        <v>9.9045546824856636</v>
      </c>
      <c r="G147" s="69">
        <f t="shared" si="302"/>
        <v>9.63612021881438</v>
      </c>
      <c r="H147" s="69">
        <f t="shared" si="302"/>
        <v>7.7369266241130328</v>
      </c>
      <c r="I147" s="69">
        <f t="shared" si="302"/>
        <v>6.178842283644479</v>
      </c>
      <c r="J147" s="69">
        <f t="shared" si="302"/>
        <v>5.6683884702904415</v>
      </c>
      <c r="K147" s="69">
        <f t="shared" si="302"/>
        <v>5.1157457797979839</v>
      </c>
      <c r="L147" s="69">
        <f t="shared" si="302"/>
        <v>6.2402212590774546</v>
      </c>
      <c r="M147" s="69">
        <f t="shared" si="302"/>
        <v>9.4364579417175509</v>
      </c>
      <c r="N147" s="69">
        <f t="shared" si="302"/>
        <v>7.8416872168689808</v>
      </c>
      <c r="O147" s="69">
        <f>O146*100/AVERAGE(N46:O46)</f>
        <v>8.2169311594956937</v>
      </c>
      <c r="P147" s="69">
        <f>P146*100/AVERAGE(O46:P46)</f>
        <v>8.4882848506444883</v>
      </c>
      <c r="Q147" s="69">
        <f t="shared" ref="Q147:Z147" si="303">P147*(1+Q148)</f>
        <v>8.0638706081122642</v>
      </c>
      <c r="R147" s="69">
        <f t="shared" si="303"/>
        <v>7.781635136828335</v>
      </c>
      <c r="S147" s="69">
        <f t="shared" si="303"/>
        <v>7.8594514881966182</v>
      </c>
      <c r="T147" s="69">
        <f t="shared" si="303"/>
        <v>8.0952350328425169</v>
      </c>
      <c r="U147" s="69">
        <f t="shared" si="303"/>
        <v>8.3380920838277923</v>
      </c>
      <c r="V147" s="69">
        <f t="shared" si="303"/>
        <v>8.5882348463426261</v>
      </c>
      <c r="W147" s="69">
        <f t="shared" si="303"/>
        <v>8.8458818917329047</v>
      </c>
      <c r="X147" s="69">
        <f t="shared" si="303"/>
        <v>9.0227995295675623</v>
      </c>
      <c r="Y147" s="69">
        <f t="shared" si="303"/>
        <v>9.2032555201589137</v>
      </c>
      <c r="Z147" s="69">
        <f t="shared" si="303"/>
        <v>9.3873206305620922</v>
      </c>
      <c r="AA147" s="69">
        <f t="shared" ref="AA147" si="304">Z147*(1+AA148)</f>
        <v>9.575067043173334</v>
      </c>
      <c r="AB147" s="69">
        <f t="shared" ref="AB147" si="305">AA147*(1+AB148)</f>
        <v>9.7665683840368001</v>
      </c>
      <c r="AC147" s="69">
        <f t="shared" ref="AC147" si="306">AB147*(1+AC148)</f>
        <v>9.9618997517175369</v>
      </c>
      <c r="AD147" s="69">
        <f t="shared" ref="AD147" si="307">AC147*(1+AD148)</f>
        <v>10.161137746751887</v>
      </c>
      <c r="AE147" s="69">
        <f t="shared" ref="AE147" si="308">AD147*(1+AE148)</f>
        <v>10.364360501686924</v>
      </c>
      <c r="AF147" s="21"/>
      <c r="AG147" s="21" t="str">
        <f>AG137</f>
        <v>Paraguay</v>
      </c>
      <c r="AI147" s="16">
        <f t="shared" ref="AI147:AQ147" si="309">AI137/AI$144</f>
        <v>0.1782621951705311</v>
      </c>
      <c r="AJ147" s="16">
        <f t="shared" si="309"/>
        <v>0.21098682189730081</v>
      </c>
      <c r="AK147" s="16">
        <f t="shared" si="309"/>
        <v>0.26740788240272917</v>
      </c>
      <c r="AL147" s="16" t="e">
        <f t="shared" si="309"/>
        <v>#REF!</v>
      </c>
      <c r="AM147" s="16" t="e">
        <f t="shared" si="309"/>
        <v>#REF!</v>
      </c>
      <c r="AN147" s="16" t="e">
        <f t="shared" si="309"/>
        <v>#REF!</v>
      </c>
      <c r="AO147" s="16" t="e">
        <f t="shared" si="309"/>
        <v>#REF!</v>
      </c>
      <c r="AP147" s="16" t="e">
        <f t="shared" si="309"/>
        <v>#REF!</v>
      </c>
      <c r="AQ147" s="16" t="e">
        <f t="shared" si="309"/>
        <v>#REF!</v>
      </c>
      <c r="AV147" s="449"/>
    </row>
    <row r="148" spans="2:48">
      <c r="B148" s="50"/>
      <c r="C148" s="4"/>
      <c r="D148" s="69"/>
      <c r="E148" s="36">
        <f t="shared" ref="E148:P148" si="310">E147/D147-1</f>
        <v>0.33138070597840685</v>
      </c>
      <c r="F148" s="36">
        <f t="shared" si="310"/>
        <v>3.0346254746103085E-2</v>
      </c>
      <c r="G148" s="36">
        <f t="shared" si="310"/>
        <v>-2.7102123444879278E-2</v>
      </c>
      <c r="H148" s="36">
        <f t="shared" si="310"/>
        <v>-0.19709110633480897</v>
      </c>
      <c r="I148" s="36">
        <f t="shared" si="310"/>
        <v>-0.20138285086129715</v>
      </c>
      <c r="J148" s="36">
        <f t="shared" si="310"/>
        <v>-8.2613180579996226E-2</v>
      </c>
      <c r="K148" s="36">
        <f t="shared" si="310"/>
        <v>-9.7495556874587441E-2</v>
      </c>
      <c r="L148" s="36">
        <f t="shared" si="310"/>
        <v>0.21980675500334868</v>
      </c>
      <c r="M148" s="36">
        <f t="shared" si="310"/>
        <v>0.51219925543355216</v>
      </c>
      <c r="N148" s="36">
        <f t="shared" si="310"/>
        <v>-0.1690009890043872</v>
      </c>
      <c r="O148" s="36">
        <f t="shared" si="310"/>
        <v>4.7852449638579264E-2</v>
      </c>
      <c r="P148" s="36">
        <f t="shared" si="310"/>
        <v>3.3023726970769607E-2</v>
      </c>
      <c r="Q148" s="70">
        <v>-0.05</v>
      </c>
      <c r="R148" s="70">
        <v>-3.5000000000000003E-2</v>
      </c>
      <c r="S148" s="70">
        <v>0.01</v>
      </c>
      <c r="T148" s="70">
        <v>0.03</v>
      </c>
      <c r="U148" s="70">
        <v>0.03</v>
      </c>
      <c r="V148" s="70">
        <v>0.03</v>
      </c>
      <c r="W148" s="70">
        <v>0.03</v>
      </c>
      <c r="X148" s="70">
        <v>0.02</v>
      </c>
      <c r="Y148" s="70">
        <v>0.02</v>
      </c>
      <c r="Z148" s="70">
        <v>0.02</v>
      </c>
      <c r="AA148" s="70">
        <v>0.02</v>
      </c>
      <c r="AB148" s="70">
        <v>0.02</v>
      </c>
      <c r="AC148" s="70">
        <v>0.02</v>
      </c>
      <c r="AD148" s="70">
        <v>0.02</v>
      </c>
      <c r="AE148" s="70">
        <v>0.02</v>
      </c>
      <c r="AF148" s="21"/>
      <c r="AG148" s="21" t="s">
        <v>27</v>
      </c>
      <c r="AI148" s="16">
        <f t="shared" ref="AI148:AQ148" si="311">AI138/AI$144</f>
        <v>0.32753942469178021</v>
      </c>
      <c r="AJ148" s="16">
        <f t="shared" si="311"/>
        <v>0.3052226321016076</v>
      </c>
      <c r="AK148" s="16">
        <f t="shared" si="311"/>
        <v>0.35108958837772408</v>
      </c>
      <c r="AL148" s="16" t="e">
        <f t="shared" si="311"/>
        <v>#REF!</v>
      </c>
      <c r="AM148" s="16" t="e">
        <f t="shared" si="311"/>
        <v>#REF!</v>
      </c>
      <c r="AN148" s="16" t="e">
        <f t="shared" si="311"/>
        <v>#REF!</v>
      </c>
      <c r="AO148" s="16" t="e">
        <f t="shared" si="311"/>
        <v>#REF!</v>
      </c>
      <c r="AP148" s="16" t="e">
        <f t="shared" si="311"/>
        <v>#REF!</v>
      </c>
      <c r="AQ148" s="16" t="e">
        <f t="shared" si="311"/>
        <v>#REF!</v>
      </c>
    </row>
    <row r="149" spans="2:48">
      <c r="B149" s="50"/>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21"/>
      <c r="AG149" s="4" t="s">
        <v>1120</v>
      </c>
      <c r="AI149" s="16">
        <f t="shared" ref="AI149:AQ149" si="312">AI139/AI$144</f>
        <v>0.24402946396734942</v>
      </c>
      <c r="AJ149" s="16">
        <f t="shared" si="312"/>
        <v>0.25335565966558204</v>
      </c>
      <c r="AK149" s="16">
        <f t="shared" si="312"/>
        <v>0.25324282255274999</v>
      </c>
      <c r="AL149" s="16" t="e">
        <f t="shared" si="312"/>
        <v>#REF!</v>
      </c>
      <c r="AM149" s="16" t="e">
        <f t="shared" si="312"/>
        <v>#REF!</v>
      </c>
      <c r="AN149" s="16" t="e">
        <f t="shared" si="312"/>
        <v>#REF!</v>
      </c>
      <c r="AO149" s="16" t="e">
        <f t="shared" si="312"/>
        <v>#REF!</v>
      </c>
      <c r="AP149" s="16" t="e">
        <f t="shared" si="312"/>
        <v>#REF!</v>
      </c>
      <c r="AQ149" s="16" t="e">
        <f t="shared" si="312"/>
        <v>#REF!</v>
      </c>
    </row>
    <row r="150" spans="2:48">
      <c r="B150" s="48"/>
      <c r="C150" s="4"/>
      <c r="D150" s="4"/>
      <c r="E150" s="4"/>
      <c r="F150" s="4" t="s">
        <v>1823</v>
      </c>
      <c r="G150" s="4" t="s">
        <v>1823</v>
      </c>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21"/>
      <c r="AG150" s="21" t="str">
        <f>AG140</f>
        <v>Bolivia</v>
      </c>
      <c r="AI150" s="16">
        <f t="shared" ref="AI150:AQ150" si="313">AI140/AI$144</f>
        <v>7.3019534360895283E-2</v>
      </c>
      <c r="AJ150" s="16">
        <f t="shared" si="313"/>
        <v>9.2126165519537465E-2</v>
      </c>
      <c r="AK150" s="16">
        <f t="shared" si="313"/>
        <v>6.4167696981566991E-2</v>
      </c>
      <c r="AL150" s="16" t="e">
        <f t="shared" si="313"/>
        <v>#REF!</v>
      </c>
      <c r="AM150" s="16" t="e">
        <f t="shared" si="313"/>
        <v>#REF!</v>
      </c>
      <c r="AN150" s="16" t="e">
        <f t="shared" si="313"/>
        <v>#REF!</v>
      </c>
      <c r="AO150" s="16" t="e">
        <f t="shared" si="313"/>
        <v>#REF!</v>
      </c>
      <c r="AP150" s="16" t="e">
        <f t="shared" si="313"/>
        <v>#REF!</v>
      </c>
      <c r="AQ150" s="16" t="e">
        <f t="shared" si="313"/>
        <v>#REF!</v>
      </c>
    </row>
    <row r="151" spans="2:48">
      <c r="B151" s="50" t="s">
        <v>2232</v>
      </c>
      <c r="F151" s="119">
        <v>0.04</v>
      </c>
      <c r="G151" s="119">
        <v>0.04</v>
      </c>
      <c r="H151" s="119">
        <v>0.04</v>
      </c>
      <c r="I151" s="119">
        <v>0.04</v>
      </c>
      <c r="J151" s="119">
        <v>0.04</v>
      </c>
      <c r="K151" s="119">
        <v>0.04</v>
      </c>
      <c r="L151" s="119">
        <v>0.04</v>
      </c>
      <c r="M151" s="119">
        <v>0.04</v>
      </c>
      <c r="N151" s="119">
        <v>0.04</v>
      </c>
      <c r="O151" s="119">
        <v>0.04</v>
      </c>
      <c r="P151" s="119">
        <v>0.04</v>
      </c>
      <c r="Q151" s="119">
        <v>0.04</v>
      </c>
      <c r="R151" s="119">
        <v>0.04</v>
      </c>
      <c r="S151" s="119">
        <v>0.04</v>
      </c>
      <c r="T151" s="119">
        <v>0.04</v>
      </c>
      <c r="U151" s="119">
        <v>0.04</v>
      </c>
      <c r="V151" s="119">
        <v>0.04</v>
      </c>
      <c r="W151" s="119">
        <v>0.04</v>
      </c>
      <c r="X151" s="119">
        <v>0.04</v>
      </c>
      <c r="Y151" s="119">
        <v>0.04</v>
      </c>
      <c r="Z151" s="119">
        <v>0.04</v>
      </c>
      <c r="AA151" s="119">
        <v>0.04</v>
      </c>
      <c r="AB151" s="119">
        <v>0.04</v>
      </c>
      <c r="AC151" s="119">
        <v>0.04</v>
      </c>
      <c r="AD151" s="119">
        <v>0.04</v>
      </c>
      <c r="AE151" s="119">
        <v>0.04</v>
      </c>
      <c r="AF151" s="21"/>
      <c r="AG151" s="21" t="str">
        <f>AG141</f>
        <v>El Salvador</v>
      </c>
      <c r="AI151" s="16">
        <f t="shared" ref="AI151:AQ151" si="314">AI141/AI$144</f>
        <v>6.8927762379492399E-2</v>
      </c>
      <c r="AJ151" s="16">
        <f t="shared" si="314"/>
        <v>7.2317037894127842E-2</v>
      </c>
      <c r="AK151" s="16">
        <f t="shared" si="314"/>
        <v>9.8322379799377399E-2</v>
      </c>
      <c r="AL151" s="16" t="e">
        <f t="shared" si="314"/>
        <v>#REF!</v>
      </c>
      <c r="AM151" s="16" t="e">
        <f t="shared" si="314"/>
        <v>#REF!</v>
      </c>
      <c r="AN151" s="16" t="e">
        <f t="shared" si="314"/>
        <v>#REF!</v>
      </c>
      <c r="AO151" s="16" t="e">
        <f t="shared" si="314"/>
        <v>#REF!</v>
      </c>
      <c r="AP151" s="16" t="e">
        <f t="shared" si="314"/>
        <v>#REF!</v>
      </c>
      <c r="AQ151" s="16" t="e">
        <f t="shared" si="314"/>
        <v>#REF!</v>
      </c>
    </row>
    <row r="152" spans="2:48">
      <c r="B152" s="50" t="s">
        <v>1758</v>
      </c>
      <c r="F152" s="5">
        <f t="shared" ref="F152:S152" si="315">F65+F151</f>
        <v>8.0558225432591141E-2</v>
      </c>
      <c r="G152" s="5">
        <f t="shared" si="315"/>
        <v>2.7146575577909858E-2</v>
      </c>
      <c r="H152" s="5">
        <f t="shared" si="315"/>
        <v>-0.14460145695674168</v>
      </c>
      <c r="I152" s="5">
        <f t="shared" si="315"/>
        <v>-0.12233692974163582</v>
      </c>
      <c r="J152" s="5">
        <f t="shared" si="315"/>
        <v>-4.2741140788959443E-2</v>
      </c>
      <c r="K152" s="5">
        <f t="shared" si="315"/>
        <v>-4.7990474758841141E-2</v>
      </c>
      <c r="L152" s="5">
        <f t="shared" si="315"/>
        <v>-4.2090259751650295E-2</v>
      </c>
      <c r="M152" s="5">
        <f t="shared" si="315"/>
        <v>0.25376106943235505</v>
      </c>
      <c r="N152" s="5">
        <f t="shared" si="315"/>
        <v>-2.3102303114822455E-2</v>
      </c>
      <c r="O152" s="5">
        <f t="shared" si="315"/>
        <v>1.5853716914155901E-2</v>
      </c>
      <c r="P152" s="5">
        <f t="shared" si="315"/>
        <v>1.2651724819996067E-2</v>
      </c>
      <c r="Q152" s="5">
        <f t="shared" si="315"/>
        <v>-8.0999999999999989E-2</v>
      </c>
      <c r="R152" s="5">
        <f t="shared" si="315"/>
        <v>-6.0000000000000005E-2</v>
      </c>
      <c r="S152" s="5">
        <f t="shared" si="315"/>
        <v>-4.9999999999999996E-2</v>
      </c>
      <c r="T152" s="5">
        <f t="shared" ref="T152:Z152" si="316">T65+T151</f>
        <v>1.4999999999999999E-2</v>
      </c>
      <c r="U152" s="5">
        <f t="shared" si="316"/>
        <v>1.0999999999999999E-2</v>
      </c>
      <c r="V152" s="5">
        <f t="shared" si="316"/>
        <v>1.0999999999999999E-2</v>
      </c>
      <c r="W152" s="5">
        <f t="shared" si="316"/>
        <v>1.0999999999999999E-2</v>
      </c>
      <c r="X152" s="5">
        <f t="shared" si="316"/>
        <v>1.0999999999999999E-2</v>
      </c>
      <c r="Y152" s="5">
        <f t="shared" si="316"/>
        <v>1.0999999999999999E-2</v>
      </c>
      <c r="Z152" s="5">
        <f t="shared" si="316"/>
        <v>1.0999999999999999E-2</v>
      </c>
      <c r="AA152" s="5">
        <f t="shared" ref="AA152:AE152" si="317">AA65+AA151</f>
        <v>1.0999999999999999E-2</v>
      </c>
      <c r="AB152" s="5">
        <f t="shared" si="317"/>
        <v>1.0999999999999999E-2</v>
      </c>
      <c r="AC152" s="5">
        <f t="shared" si="317"/>
        <v>1.0999999999999999E-2</v>
      </c>
      <c r="AD152" s="5">
        <f t="shared" si="317"/>
        <v>1.0999999999999999E-2</v>
      </c>
      <c r="AE152" s="5">
        <f t="shared" si="317"/>
        <v>1.0999999999999999E-2</v>
      </c>
      <c r="AF152" s="21"/>
      <c r="AG152" s="21" t="str">
        <f>AG142</f>
        <v xml:space="preserve">Colombia </v>
      </c>
      <c r="AI152" s="16">
        <f t="shared" ref="AI152:AQ152" si="318">AI142/AI$144</f>
        <v>4.2634202458080625E-2</v>
      </c>
      <c r="AJ152" s="16">
        <f t="shared" si="318"/>
        <v>2.7905206655251966E-2</v>
      </c>
      <c r="AK152" s="16">
        <f t="shared" si="318"/>
        <v>1.1731234866828094E-2</v>
      </c>
      <c r="AL152" s="16" t="e">
        <f t="shared" si="318"/>
        <v>#REF!</v>
      </c>
      <c r="AM152" s="16" t="e">
        <f t="shared" si="318"/>
        <v>#REF!</v>
      </c>
      <c r="AN152" s="16" t="e">
        <f t="shared" si="318"/>
        <v>#REF!</v>
      </c>
      <c r="AO152" s="16" t="e">
        <f t="shared" si="318"/>
        <v>#REF!</v>
      </c>
      <c r="AP152" s="16" t="e">
        <f t="shared" si="318"/>
        <v>#REF!</v>
      </c>
      <c r="AQ152" s="16" t="e">
        <f t="shared" si="318"/>
        <v>#REF!</v>
      </c>
    </row>
    <row r="153" spans="2:48">
      <c r="AF153" s="21"/>
      <c r="AG153" s="11" t="str">
        <f>AG143</f>
        <v>Africa/central</v>
      </c>
      <c r="AI153" s="20">
        <f t="shared" ref="AI153:AQ153" si="319">AI143/AI$144</f>
        <v>6.5587416971870871E-2</v>
      </c>
      <c r="AJ153" s="20">
        <f t="shared" si="319"/>
        <v>3.8086476266592083E-2</v>
      </c>
      <c r="AK153" s="20">
        <f t="shared" si="319"/>
        <v>-4.5961604980975929E-2</v>
      </c>
      <c r="AL153" s="20" t="e">
        <f t="shared" si="319"/>
        <v>#REF!</v>
      </c>
      <c r="AM153" s="20" t="e">
        <f t="shared" si="319"/>
        <v>#REF!</v>
      </c>
      <c r="AN153" s="20" t="e">
        <f t="shared" si="319"/>
        <v>#REF!</v>
      </c>
      <c r="AO153" s="20" t="e">
        <f t="shared" si="319"/>
        <v>#REF!</v>
      </c>
      <c r="AP153" s="20" t="e">
        <f t="shared" si="319"/>
        <v>#REF!</v>
      </c>
      <c r="AQ153" s="20" t="e">
        <f t="shared" si="319"/>
        <v>#REF!</v>
      </c>
    </row>
    <row r="154" spans="2:48">
      <c r="B154" s="2" t="s">
        <v>1055</v>
      </c>
      <c r="G154" s="10">
        <f>Div!F76</f>
        <v>203</v>
      </c>
      <c r="H154" s="10">
        <f>Div!G76</f>
        <v>292</v>
      </c>
      <c r="I154" s="10">
        <f>Div!H76</f>
        <v>294</v>
      </c>
      <c r="J154" s="10">
        <f>Div!I76</f>
        <v>176</v>
      </c>
      <c r="K154" s="10">
        <f>Div!J76</f>
        <v>158</v>
      </c>
      <c r="L154" s="10">
        <f>Div!K76</f>
        <v>221</v>
      </c>
      <c r="M154" s="10">
        <f>Div!L76</f>
        <v>296</v>
      </c>
      <c r="N154" s="10">
        <f>Div!M76</f>
        <v>360.65</v>
      </c>
      <c r="O154" s="10">
        <f>Div!N76</f>
        <v>432</v>
      </c>
      <c r="P154" s="10">
        <f>Div!O76</f>
        <v>368</v>
      </c>
      <c r="Q154" s="10">
        <f>Div!P76</f>
        <v>365.84716988163984</v>
      </c>
      <c r="R154" s="10">
        <f>Div!Q76</f>
        <v>356.14355885110217</v>
      </c>
      <c r="S154" s="10">
        <f>Div!R76</f>
        <v>337.33787078588273</v>
      </c>
      <c r="T154" s="10">
        <f>Div!S76</f>
        <v>354.17912282812961</v>
      </c>
      <c r="U154" s="10">
        <f>Div!T76</f>
        <v>372.55934395932138</v>
      </c>
      <c r="V154" s="10">
        <f>Div!U76</f>
        <v>392.12004259000827</v>
      </c>
      <c r="W154" s="10">
        <f>Div!V76</f>
        <v>409.75637551465189</v>
      </c>
      <c r="X154" s="10">
        <f>Div!W76</f>
        <v>425.26426259638629</v>
      </c>
      <c r="Y154" s="10">
        <f>Div!X76</f>
        <v>439.39291616980785</v>
      </c>
      <c r="Z154" s="10">
        <f>Div!Y76</f>
        <v>454.38871132774926</v>
      </c>
      <c r="AA154" s="10">
        <f>Div!Z76</f>
        <v>290.53356447935613</v>
      </c>
      <c r="AB154" s="10">
        <f>Div!AA76</f>
        <v>0</v>
      </c>
      <c r="AC154" s="10">
        <f>Div!AB76</f>
        <v>0</v>
      </c>
      <c r="AD154" s="10">
        <f>Div!AC76</f>
        <v>0</v>
      </c>
      <c r="AE154" s="10">
        <f>Div!AD76</f>
        <v>0</v>
      </c>
      <c r="AF154" s="130"/>
      <c r="AG154" s="21" t="str">
        <f>AG144</f>
        <v>Group *</v>
      </c>
      <c r="AI154" s="16">
        <f t="shared" ref="AI154:AQ154" si="320">AI144/AI$144</f>
        <v>1</v>
      </c>
      <c r="AJ154" s="16">
        <f t="shared" si="320"/>
        <v>1</v>
      </c>
      <c r="AK154" s="16">
        <f t="shared" si="320"/>
        <v>1</v>
      </c>
      <c r="AL154" s="16" t="e">
        <f t="shared" si="320"/>
        <v>#REF!</v>
      </c>
      <c r="AM154" s="16" t="e">
        <f t="shared" si="320"/>
        <v>#REF!</v>
      </c>
      <c r="AN154" s="16" t="e">
        <f t="shared" si="320"/>
        <v>#REF!</v>
      </c>
      <c r="AO154" s="16" t="e">
        <f t="shared" si="320"/>
        <v>#REF!</v>
      </c>
      <c r="AP154" s="16" t="e">
        <f t="shared" si="320"/>
        <v>#REF!</v>
      </c>
      <c r="AQ154" s="16" t="e">
        <f t="shared" si="320"/>
        <v>#REF!</v>
      </c>
    </row>
    <row r="155" spans="2:48">
      <c r="B155" t="s">
        <v>1431</v>
      </c>
      <c r="G155" s="16">
        <f>G154/G61</f>
        <v>0.2549895680376229</v>
      </c>
      <c r="H155" s="16">
        <f>H154/H61</f>
        <v>0.25405575653802048</v>
      </c>
      <c r="I155" s="16">
        <f>I154/I61</f>
        <v>0.21351708390858276</v>
      </c>
      <c r="J155" s="16">
        <f>J154/J61</f>
        <v>0.11576738666441971</v>
      </c>
      <c r="K155" s="16">
        <f>K154/K61</f>
        <v>0.1040083886089478</v>
      </c>
      <c r="L155" s="16">
        <f t="shared" ref="L155:S155" si="321">L154/L100</f>
        <v>0.11996959772548015</v>
      </c>
      <c r="M155" s="16">
        <f t="shared" si="321"/>
        <v>0.12415911956135955</v>
      </c>
      <c r="N155" s="16">
        <f t="shared" si="321"/>
        <v>0.14993326353685921</v>
      </c>
      <c r="O155" s="16">
        <f t="shared" si="321"/>
        <v>0.17554260156490062</v>
      </c>
      <c r="P155" s="16">
        <f t="shared" si="321"/>
        <v>0.14398227239734759</v>
      </c>
      <c r="Q155" s="16">
        <f t="shared" si="321"/>
        <v>0.15</v>
      </c>
      <c r="R155" s="16">
        <f t="shared" si="321"/>
        <v>0.15</v>
      </c>
      <c r="S155" s="16">
        <f t="shared" si="321"/>
        <v>0.14000000000000001</v>
      </c>
      <c r="T155" s="16">
        <f t="shared" ref="T155:Z155" si="322">T154/T100</f>
        <v>0.14000000000000001</v>
      </c>
      <c r="U155" s="16">
        <f t="shared" si="322"/>
        <v>0.14000000000000001</v>
      </c>
      <c r="V155" s="16">
        <f t="shared" si="322"/>
        <v>0.14250000000000002</v>
      </c>
      <c r="W155" s="16">
        <f t="shared" si="322"/>
        <v>0.14500000000000002</v>
      </c>
      <c r="X155" s="16">
        <f t="shared" si="322"/>
        <v>0.14750000000000002</v>
      </c>
      <c r="Y155" s="16">
        <f t="shared" si="322"/>
        <v>0.15000000000000002</v>
      </c>
      <c r="Z155" s="16">
        <f t="shared" si="322"/>
        <v>0.15250000000000002</v>
      </c>
      <c r="AA155" s="16">
        <f t="shared" ref="AA155:AE155" si="323">AA154/AA100</f>
        <v>0.15500000000000003</v>
      </c>
      <c r="AB155" s="16">
        <f t="shared" si="323"/>
        <v>0</v>
      </c>
      <c r="AC155" s="16">
        <f t="shared" si="323"/>
        <v>0</v>
      </c>
      <c r="AD155" s="16">
        <f t="shared" si="323"/>
        <v>0</v>
      </c>
      <c r="AE155" s="16">
        <f t="shared" si="323"/>
        <v>0</v>
      </c>
      <c r="AF155" s="53"/>
      <c r="AG155" s="21"/>
      <c r="AH155" s="21"/>
      <c r="AI155" s="21"/>
      <c r="AJ155" s="21"/>
      <c r="AK155" s="21"/>
      <c r="AL155" s="21"/>
      <c r="AM155" s="21"/>
    </row>
    <row r="156" spans="2:48">
      <c r="AF156" s="21"/>
      <c r="AG156" s="21" t="s">
        <v>3456</v>
      </c>
      <c r="AH156" s="21"/>
      <c r="AI156" s="21"/>
      <c r="AJ156" s="21"/>
      <c r="AK156" s="21"/>
      <c r="AL156" s="21"/>
      <c r="AM156" s="21"/>
    </row>
    <row r="157" spans="2:48">
      <c r="B157" s="2" t="s">
        <v>1552</v>
      </c>
      <c r="G157" s="130">
        <f t="shared" ref="G157:S157" si="324">G143-G154</f>
        <v>212.43000000000006</v>
      </c>
      <c r="H157" s="130">
        <f t="shared" si="324"/>
        <v>316.17900000000009</v>
      </c>
      <c r="I157" s="130">
        <f t="shared" si="324"/>
        <v>464.82600000000002</v>
      </c>
      <c r="J157" s="130">
        <f t="shared" si="324"/>
        <v>661.73099999999999</v>
      </c>
      <c r="K157" s="130">
        <f t="shared" si="324"/>
        <v>686.18799999999999</v>
      </c>
      <c r="L157" s="130">
        <f t="shared" si="324"/>
        <v>744.00800000000004</v>
      </c>
      <c r="M157" s="130">
        <f t="shared" si="324"/>
        <v>662</v>
      </c>
      <c r="N157" s="130">
        <f t="shared" si="324"/>
        <v>812.55000000000007</v>
      </c>
      <c r="O157" s="130">
        <f t="shared" si="324"/>
        <v>721.01106564304428</v>
      </c>
      <c r="P157" s="130">
        <f t="shared" si="324"/>
        <v>804</v>
      </c>
      <c r="Q157" s="130">
        <f t="shared" si="324"/>
        <v>725.27736677150335</v>
      </c>
      <c r="R157" s="130">
        <f t="shared" si="324"/>
        <v>693.51770355097619</v>
      </c>
      <c r="S157" s="130">
        <f t="shared" si="324"/>
        <v>705.36999856702926</v>
      </c>
      <c r="T157" s="130">
        <f t="shared" ref="T157:Z157" si="325">T143-T154</f>
        <v>739.40081363699744</v>
      </c>
      <c r="U157" s="130">
        <f t="shared" si="325"/>
        <v>779.46094899450793</v>
      </c>
      <c r="V157" s="130">
        <f t="shared" si="325"/>
        <v>782.38112099852219</v>
      </c>
      <c r="W157" s="130">
        <f t="shared" si="325"/>
        <v>776.33811072883441</v>
      </c>
      <c r="X157" s="130">
        <f t="shared" si="325"/>
        <v>769.51821763539192</v>
      </c>
      <c r="Y157" s="130">
        <f t="shared" si="325"/>
        <v>751.50770420381627</v>
      </c>
      <c r="Z157" s="130">
        <f t="shared" si="325"/>
        <v>735.29162692949262</v>
      </c>
      <c r="AA157" s="130">
        <f t="shared" ref="AA157:AE157" si="326">AA143-AA154</f>
        <v>-259.13171116992504</v>
      </c>
      <c r="AB157" s="130">
        <f t="shared" si="326"/>
        <v>-22.10979982385652</v>
      </c>
      <c r="AC157" s="130">
        <f t="shared" si="326"/>
        <v>-75.465641306305088</v>
      </c>
      <c r="AD157" s="130">
        <f t="shared" si="326"/>
        <v>-128.66246204067556</v>
      </c>
      <c r="AE157" s="130">
        <f t="shared" si="326"/>
        <v>-181.69512218752152</v>
      </c>
      <c r="AF157" s="130"/>
      <c r="AG157" s="21"/>
      <c r="AH157" s="21"/>
      <c r="AI157" s="21"/>
      <c r="AJ157" s="21"/>
      <c r="AK157" s="21"/>
      <c r="AL157" s="21"/>
      <c r="AM157" s="21"/>
    </row>
    <row r="158" spans="2:48">
      <c r="B158" s="2" t="s">
        <v>1453</v>
      </c>
      <c r="G158" s="40">
        <f>G159*G61</f>
        <v>111.45554000000001</v>
      </c>
      <c r="H158" s="40">
        <f>H159*H61</f>
        <v>160.90956000000003</v>
      </c>
      <c r="I158" s="40">
        <f>I159*I61</f>
        <v>192.77145999999999</v>
      </c>
      <c r="J158" s="40">
        <f>J159*J61</f>
        <v>212.8405996710033</v>
      </c>
      <c r="K158" s="51">
        <v>250</v>
      </c>
      <c r="L158" s="51">
        <v>303</v>
      </c>
      <c r="M158" s="51">
        <v>320</v>
      </c>
      <c r="N158" s="40">
        <f t="shared" ref="N158:S158" si="327">N159*N61</f>
        <v>308.46052812340611</v>
      </c>
      <c r="O158" s="40">
        <f t="shared" si="327"/>
        <v>334.55057327292343</v>
      </c>
      <c r="P158" s="40">
        <f t="shared" si="327"/>
        <v>336.13923272379662</v>
      </c>
      <c r="Q158" s="40">
        <f t="shared" si="327"/>
        <v>310.5889812070825</v>
      </c>
      <c r="R158" s="40">
        <f t="shared" si="327"/>
        <v>292.45625477450898</v>
      </c>
      <c r="S158" s="40">
        <f t="shared" si="327"/>
        <v>279.84329598386591</v>
      </c>
      <c r="T158" s="40">
        <f t="shared" ref="T158:Z158" si="328">T159*T61</f>
        <v>283.75940805500522</v>
      </c>
      <c r="U158" s="40">
        <f t="shared" si="328"/>
        <v>287.25241717888156</v>
      </c>
      <c r="V158" s="40">
        <f t="shared" si="328"/>
        <v>287.03827934585041</v>
      </c>
      <c r="W158" s="40">
        <f t="shared" si="328"/>
        <v>285.89056533484427</v>
      </c>
      <c r="X158" s="40">
        <f t="shared" si="328"/>
        <v>284.99704548450472</v>
      </c>
      <c r="Y158" s="40">
        <f t="shared" si="328"/>
        <v>284.36388777809861</v>
      </c>
      <c r="Z158" s="40">
        <f t="shared" si="328"/>
        <v>283.997713187572</v>
      </c>
      <c r="AA158" s="40">
        <f t="shared" ref="AA158:AE158" si="329">AA159*AA61</f>
        <v>283.90561494643214</v>
      </c>
      <c r="AB158" s="40">
        <f t="shared" si="329"/>
        <v>284.09517886941222</v>
      </c>
      <c r="AC158" s="40">
        <f t="shared" si="329"/>
        <v>284.57450476911407</v>
      </c>
      <c r="AD158" s="40">
        <f t="shared" si="329"/>
        <v>285.35222902239121</v>
      </c>
      <c r="AE158" s="40">
        <f t="shared" si="329"/>
        <v>286.43754834192953</v>
      </c>
      <c r="AF158" s="130"/>
      <c r="AG158" s="21"/>
      <c r="AH158" s="21"/>
      <c r="AI158" s="21"/>
      <c r="AJ158" s="21"/>
      <c r="AK158" s="21"/>
      <c r="AL158" s="21"/>
      <c r="AM158" s="21"/>
    </row>
    <row r="159" spans="2:48">
      <c r="B159" s="2" t="s">
        <v>1431</v>
      </c>
      <c r="G159" s="43">
        <v>0.14000000000000001</v>
      </c>
      <c r="H159" s="43">
        <v>0.14000000000000001</v>
      </c>
      <c r="I159" s="43">
        <v>0.14000000000000001</v>
      </c>
      <c r="J159" s="43">
        <v>0.14000000000000001</v>
      </c>
      <c r="K159" s="449">
        <f>K158/K100</f>
        <v>0.14375183469202268</v>
      </c>
      <c r="L159" s="449">
        <f>L158/L100</f>
        <v>0.16448320412135967</v>
      </c>
      <c r="M159" s="449">
        <f>M158/M100</f>
        <v>0.13422607520146979</v>
      </c>
      <c r="N159" s="43">
        <v>0.15</v>
      </c>
      <c r="O159" s="43">
        <v>0.16</v>
      </c>
      <c r="P159" s="43">
        <v>0.16</v>
      </c>
      <c r="Q159" s="43">
        <v>0.16</v>
      </c>
      <c r="R159" s="43">
        <v>0.16</v>
      </c>
      <c r="S159" s="43">
        <v>0.16</v>
      </c>
      <c r="T159" s="43">
        <v>0.16</v>
      </c>
      <c r="U159" s="43">
        <v>0.16</v>
      </c>
      <c r="V159" s="43">
        <v>0.16</v>
      </c>
      <c r="W159" s="43">
        <v>0.16</v>
      </c>
      <c r="X159" s="43">
        <v>0.16</v>
      </c>
      <c r="Y159" s="43">
        <v>0.16</v>
      </c>
      <c r="Z159" s="43">
        <v>0.16</v>
      </c>
      <c r="AA159" s="43">
        <v>0.16</v>
      </c>
      <c r="AB159" s="43">
        <v>0.16</v>
      </c>
      <c r="AC159" s="43">
        <v>0.16</v>
      </c>
      <c r="AD159" s="43">
        <v>0.16</v>
      </c>
      <c r="AE159" s="43">
        <v>0.16</v>
      </c>
      <c r="AF159" s="130"/>
      <c r="AG159" s="21"/>
      <c r="AH159" s="21"/>
      <c r="AI159" s="21"/>
      <c r="AJ159" s="21"/>
      <c r="AK159" s="21"/>
      <c r="AL159" s="21"/>
      <c r="AM159" s="21"/>
    </row>
    <row r="160" spans="2:48">
      <c r="B160" s="2"/>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130"/>
      <c r="AG160" s="21"/>
      <c r="AH160" s="21"/>
      <c r="AI160" s="21"/>
      <c r="AJ160" s="21"/>
      <c r="AK160" s="21"/>
      <c r="AL160" s="21"/>
      <c r="AM160" s="21"/>
    </row>
    <row r="161" spans="2:39">
      <c r="B161" s="2" t="s">
        <v>392</v>
      </c>
      <c r="G161" s="143">
        <f t="shared" ref="G161:S161" si="330">G143-G158</f>
        <v>303.97446000000002</v>
      </c>
      <c r="H161" s="143">
        <f t="shared" si="330"/>
        <v>447.26944000000003</v>
      </c>
      <c r="I161" s="143">
        <f t="shared" si="330"/>
        <v>566.05454000000009</v>
      </c>
      <c r="J161" s="143">
        <f t="shared" si="330"/>
        <v>624.89040032899675</v>
      </c>
      <c r="K161" s="143">
        <f t="shared" si="330"/>
        <v>594.18799999999999</v>
      </c>
      <c r="L161" s="143">
        <f t="shared" si="330"/>
        <v>662.00800000000004</v>
      </c>
      <c r="M161" s="143">
        <f t="shared" si="330"/>
        <v>638</v>
      </c>
      <c r="N161" s="143">
        <f>N143-N158</f>
        <v>864.73947187659394</v>
      </c>
      <c r="O161" s="143">
        <f t="shared" si="330"/>
        <v>818.46049237012085</v>
      </c>
      <c r="P161" s="143">
        <f t="shared" si="330"/>
        <v>835.86076727620343</v>
      </c>
      <c r="Q161" s="143">
        <f t="shared" si="330"/>
        <v>780.5355554460607</v>
      </c>
      <c r="R161" s="143">
        <f t="shared" si="330"/>
        <v>757.20500762756933</v>
      </c>
      <c r="S161" s="143">
        <f t="shared" si="330"/>
        <v>762.86457336904607</v>
      </c>
      <c r="T161" s="143">
        <f t="shared" ref="T161:Z161" si="331">T143-T158</f>
        <v>809.82052841012182</v>
      </c>
      <c r="U161" s="143">
        <f t="shared" si="331"/>
        <v>864.7678757749477</v>
      </c>
      <c r="V161" s="143">
        <f t="shared" si="331"/>
        <v>887.46288424268005</v>
      </c>
      <c r="W161" s="143">
        <f t="shared" si="331"/>
        <v>900.20392090864198</v>
      </c>
      <c r="X161" s="143">
        <f t="shared" si="331"/>
        <v>909.78543474727348</v>
      </c>
      <c r="Y161" s="143">
        <f t="shared" si="331"/>
        <v>906.53673259552556</v>
      </c>
      <c r="Z161" s="143">
        <f t="shared" si="331"/>
        <v>905.68262506966983</v>
      </c>
      <c r="AA161" s="143">
        <f t="shared" ref="AA161:AE161" si="332">AA143-AA158</f>
        <v>-252.50376163700105</v>
      </c>
      <c r="AB161" s="143">
        <f t="shared" si="332"/>
        <v>-306.20497869326874</v>
      </c>
      <c r="AC161" s="143">
        <f t="shared" si="332"/>
        <v>-360.04014607541916</v>
      </c>
      <c r="AD161" s="143">
        <f t="shared" si="332"/>
        <v>-414.01469106306678</v>
      </c>
      <c r="AE161" s="143">
        <f t="shared" si="332"/>
        <v>-468.13267052945105</v>
      </c>
      <c r="AF161" s="130"/>
      <c r="AG161" s="21"/>
      <c r="AH161" s="21"/>
      <c r="AI161" s="21"/>
      <c r="AJ161" s="21"/>
      <c r="AK161" s="21"/>
      <c r="AL161" s="21"/>
      <c r="AM161" s="21"/>
    </row>
    <row r="162" spans="2:39">
      <c r="B162" s="4" t="s">
        <v>1848</v>
      </c>
      <c r="G162" s="16"/>
      <c r="H162" s="16"/>
      <c r="I162" s="16"/>
      <c r="J162" s="143">
        <f>J163*AVERAGE(I166,J166)</f>
        <v>74.8</v>
      </c>
      <c r="K162" s="143">
        <f>K163*AVERAGE(J166,K166)</f>
        <v>74.8</v>
      </c>
      <c r="L162" s="143">
        <f>L163*AVERAGE(K166,L166)</f>
        <v>74.8</v>
      </c>
      <c r="M162" s="143">
        <f>M163*AVERAGE(L166,M166)</f>
        <v>74.8</v>
      </c>
      <c r="N162" s="130">
        <f>N163*AVERAGE(M168,N168)</f>
        <v>67.760000000000005</v>
      </c>
      <c r="O162" s="130">
        <f ca="1">O163*AVERAGE(N168,O168)</f>
        <v>55.189221939830112</v>
      </c>
      <c r="P162" s="130">
        <f ca="1">P163*AVERAGE(O168,P168)</f>
        <v>37.025540900846288</v>
      </c>
      <c r="Q162" s="130">
        <f t="shared" ref="Q162:Z162" ca="1" si="333">Q163*AVERAGE(P168,Q168)</f>
        <v>24.881547116906713</v>
      </c>
      <c r="R162" s="130">
        <f t="shared" ca="1" si="333"/>
        <v>13.57511221863745</v>
      </c>
      <c r="S162" s="130">
        <f t="shared" ca="1" si="333"/>
        <v>4.865031791107822</v>
      </c>
      <c r="T162" s="130">
        <f t="shared" ca="1" si="333"/>
        <v>-5.5170662385023208</v>
      </c>
      <c r="U162" s="130">
        <f t="shared" ca="1" si="333"/>
        <v>-31.408714728435744</v>
      </c>
      <c r="V162" s="130">
        <f t="shared" ca="1" si="333"/>
        <v>-67.139988001892547</v>
      </c>
      <c r="W162" s="130">
        <f t="shared" ca="1" si="333"/>
        <v>-92.79364399165857</v>
      </c>
      <c r="X162" s="130">
        <f t="shared" ca="1" si="333"/>
        <v>-110.6597847007039</v>
      </c>
      <c r="Y162" s="130">
        <f t="shared" ca="1" si="333"/>
        <v>-126.60882681735706</v>
      </c>
      <c r="Z162" s="130">
        <f t="shared" ca="1" si="333"/>
        <v>-138.99832821763982</v>
      </c>
      <c r="AA162" s="130">
        <f t="shared" ref="AA162" ca="1" si="334">AA163*AVERAGE(Z168,AA168)</f>
        <v>-118.80974707067666</v>
      </c>
      <c r="AB162" s="130">
        <f t="shared" ref="AB162" ca="1" si="335">AB163*AVERAGE(AA168,AB168)</f>
        <v>-76.167541498951394</v>
      </c>
      <c r="AC162" s="130">
        <f t="shared" ref="AC162" ca="1" si="336">AC163*AVERAGE(AB168,AC168)</f>
        <v>-37.753415792527584</v>
      </c>
      <c r="AD162" s="130">
        <f t="shared" ref="AD162" ca="1" si="337">AD163*AVERAGE(AC168,AD168)</f>
        <v>7.5619723558667289</v>
      </c>
      <c r="AE162" s="130">
        <f t="shared" ref="AE162" ca="1" si="338">AE163*AVERAGE(AD168,AE168)</f>
        <v>60.119440081318501</v>
      </c>
      <c r="AF162" s="130">
        <f ca="1">AF163*AVERAGE(Z168,AF168)</f>
        <v>0</v>
      </c>
      <c r="AG162" s="21"/>
      <c r="AH162" s="21"/>
      <c r="AI162" s="21"/>
      <c r="AJ162" s="21"/>
      <c r="AK162" s="21"/>
      <c r="AL162" s="21"/>
      <c r="AM162" s="21"/>
    </row>
    <row r="163" spans="2:39">
      <c r="B163" s="4" t="s">
        <v>1454</v>
      </c>
      <c r="G163" s="16"/>
      <c r="H163" s="16"/>
      <c r="I163" s="16"/>
      <c r="J163" s="65">
        <v>0.08</v>
      </c>
      <c r="K163" s="65">
        <v>0.08</v>
      </c>
      <c r="L163" s="65">
        <v>0.08</v>
      </c>
      <c r="M163" s="65">
        <v>0.08</v>
      </c>
      <c r="N163" s="65">
        <v>0.08</v>
      </c>
      <c r="O163" s="65">
        <v>0.08</v>
      </c>
      <c r="P163" s="65">
        <v>0.08</v>
      </c>
      <c r="Q163" s="65">
        <v>0.08</v>
      </c>
      <c r="R163" s="65">
        <v>0.08</v>
      </c>
      <c r="S163" s="65">
        <v>0.08</v>
      </c>
      <c r="T163" s="65">
        <v>0.08</v>
      </c>
      <c r="U163" s="65">
        <v>0.08</v>
      </c>
      <c r="V163" s="65">
        <v>0.08</v>
      </c>
      <c r="W163" s="65">
        <v>0.08</v>
      </c>
      <c r="X163" s="65">
        <v>0.08</v>
      </c>
      <c r="Y163" s="65">
        <v>0.08</v>
      </c>
      <c r="Z163" s="65">
        <v>0.08</v>
      </c>
      <c r="AA163" s="65">
        <v>0.08</v>
      </c>
      <c r="AB163" s="65">
        <v>0.08</v>
      </c>
      <c r="AC163" s="65">
        <v>0.08</v>
      </c>
      <c r="AD163" s="65">
        <v>0.08</v>
      </c>
      <c r="AE163" s="65">
        <v>0.08</v>
      </c>
      <c r="AF163" s="130"/>
      <c r="AG163" s="21"/>
      <c r="AH163" s="21"/>
      <c r="AI163" s="21"/>
      <c r="AJ163" s="21"/>
      <c r="AK163" s="21"/>
      <c r="AL163" s="21"/>
      <c r="AM163" s="21"/>
    </row>
    <row r="164" spans="2:39">
      <c r="B164" s="4" t="s">
        <v>2097</v>
      </c>
      <c r="G164" s="16"/>
      <c r="H164" s="16"/>
      <c r="I164" s="16"/>
      <c r="J164" s="424">
        <f t="shared" ref="J164:P164" si="339">J161-J162</f>
        <v>550.09040032899679</v>
      </c>
      <c r="K164" s="424">
        <f t="shared" si="339"/>
        <v>519.38800000000003</v>
      </c>
      <c r="L164" s="424">
        <f t="shared" si="339"/>
        <v>587.20800000000008</v>
      </c>
      <c r="M164" s="424">
        <f t="shared" si="339"/>
        <v>563.20000000000005</v>
      </c>
      <c r="N164" s="424">
        <f t="shared" si="339"/>
        <v>796.97947187659395</v>
      </c>
      <c r="O164" s="424">
        <f t="shared" ca="1" si="339"/>
        <v>763.27127043029077</v>
      </c>
      <c r="P164" s="424">
        <f t="shared" ca="1" si="339"/>
        <v>798.83522637535714</v>
      </c>
      <c r="Q164" s="424">
        <f t="shared" ref="Q164:Z164" ca="1" si="340">Q161-Q162</f>
        <v>755.65400832915395</v>
      </c>
      <c r="R164" s="424">
        <f t="shared" ca="1" si="340"/>
        <v>743.62989540893193</v>
      </c>
      <c r="S164" s="424">
        <f t="shared" ca="1" si="340"/>
        <v>757.9995415779382</v>
      </c>
      <c r="T164" s="424">
        <f t="shared" ca="1" si="340"/>
        <v>815.33759464862419</v>
      </c>
      <c r="U164" s="424">
        <f t="shared" ca="1" si="340"/>
        <v>896.17659050338341</v>
      </c>
      <c r="V164" s="424">
        <f t="shared" ca="1" si="340"/>
        <v>954.60287224457261</v>
      </c>
      <c r="W164" s="424">
        <f t="shared" ca="1" si="340"/>
        <v>992.99756490030052</v>
      </c>
      <c r="X164" s="424">
        <f t="shared" ca="1" si="340"/>
        <v>1020.4452194479774</v>
      </c>
      <c r="Y164" s="424">
        <f t="shared" ca="1" si="340"/>
        <v>1033.1455594128827</v>
      </c>
      <c r="Z164" s="424">
        <f t="shared" ca="1" si="340"/>
        <v>1044.6809532873096</v>
      </c>
      <c r="AA164" s="424">
        <f t="shared" ref="AA164:AE164" ca="1" si="341">AA161-AA162</f>
        <v>-133.69401456632437</v>
      </c>
      <c r="AB164" s="424">
        <f t="shared" ca="1" si="341"/>
        <v>-230.03743719431736</v>
      </c>
      <c r="AC164" s="424">
        <f t="shared" ca="1" si="341"/>
        <v>-322.2867302828916</v>
      </c>
      <c r="AD164" s="424">
        <f t="shared" ca="1" si="341"/>
        <v>-421.57666341893349</v>
      </c>
      <c r="AE164" s="424">
        <f t="shared" ca="1" si="341"/>
        <v>-528.25211061076959</v>
      </c>
      <c r="AF164" s="130"/>
      <c r="AG164" s="21"/>
      <c r="AH164" s="21"/>
      <c r="AI164" s="21"/>
      <c r="AJ164" s="21"/>
      <c r="AK164" s="21"/>
      <c r="AL164" s="21"/>
      <c r="AM164" s="21"/>
    </row>
    <row r="165" spans="2:39">
      <c r="B165" s="4"/>
      <c r="G165" s="16"/>
      <c r="H165" s="16"/>
      <c r="I165" s="16"/>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130"/>
      <c r="AG165" s="21"/>
      <c r="AH165" s="21"/>
      <c r="AI165" s="21"/>
      <c r="AJ165" s="21"/>
      <c r="AK165" s="21"/>
      <c r="AL165" s="21"/>
      <c r="AM165" s="21"/>
    </row>
    <row r="166" spans="2:39">
      <c r="B166" s="4" t="s">
        <v>134</v>
      </c>
      <c r="G166" s="16"/>
      <c r="H166" s="16"/>
      <c r="I166" s="143">
        <f t="shared" ref="I166:M167" si="342">J166</f>
        <v>935</v>
      </c>
      <c r="J166" s="143">
        <f t="shared" si="342"/>
        <v>935</v>
      </c>
      <c r="K166" s="143">
        <f t="shared" si="342"/>
        <v>935</v>
      </c>
      <c r="L166" s="143">
        <f t="shared" si="342"/>
        <v>935</v>
      </c>
      <c r="M166" s="143">
        <f t="shared" si="342"/>
        <v>935</v>
      </c>
      <c r="N166" s="51">
        <f>450+485</f>
        <v>935</v>
      </c>
      <c r="O166" s="51">
        <f>800+450</f>
        <v>1250</v>
      </c>
      <c r="P166" s="143">
        <f t="shared" ref="P166:Z166" si="343">O166</f>
        <v>1250</v>
      </c>
      <c r="Q166" s="143">
        <f t="shared" si="343"/>
        <v>1250</v>
      </c>
      <c r="R166" s="143">
        <f t="shared" si="343"/>
        <v>1250</v>
      </c>
      <c r="S166" s="143">
        <f t="shared" si="343"/>
        <v>1250</v>
      </c>
      <c r="T166" s="143">
        <f t="shared" si="343"/>
        <v>1250</v>
      </c>
      <c r="U166" s="143">
        <f t="shared" si="343"/>
        <v>1250</v>
      </c>
      <c r="V166" s="143">
        <f t="shared" si="343"/>
        <v>1250</v>
      </c>
      <c r="W166" s="143">
        <f t="shared" si="343"/>
        <v>1250</v>
      </c>
      <c r="X166" s="143">
        <f t="shared" si="343"/>
        <v>1250</v>
      </c>
      <c r="Y166" s="143">
        <f t="shared" si="343"/>
        <v>1250</v>
      </c>
      <c r="Z166" s="143">
        <f t="shared" si="343"/>
        <v>1250</v>
      </c>
      <c r="AA166" s="143">
        <f t="shared" ref="AA166" si="344">Z166</f>
        <v>1250</v>
      </c>
      <c r="AB166" s="143">
        <f t="shared" ref="AB166" si="345">AA166</f>
        <v>1250</v>
      </c>
      <c r="AC166" s="143">
        <f t="shared" ref="AC166" si="346">AB166</f>
        <v>1250</v>
      </c>
      <c r="AD166" s="143">
        <f t="shared" ref="AD166" si="347">AC166</f>
        <v>1250</v>
      </c>
      <c r="AE166" s="143">
        <f t="shared" ref="AE166" si="348">AD166</f>
        <v>1250</v>
      </c>
      <c r="AF166" s="130"/>
      <c r="AG166" s="21"/>
      <c r="AH166" s="21"/>
      <c r="AI166" s="21"/>
      <c r="AJ166" s="21"/>
      <c r="AK166" s="21"/>
      <c r="AL166" s="21"/>
      <c r="AM166" s="21"/>
    </row>
    <row r="167" spans="2:39">
      <c r="B167" s="4" t="s">
        <v>2222</v>
      </c>
      <c r="G167" s="16"/>
      <c r="H167" s="16"/>
      <c r="I167" s="143">
        <f t="shared" si="342"/>
        <v>88</v>
      </c>
      <c r="J167" s="143">
        <f t="shared" si="342"/>
        <v>88</v>
      </c>
      <c r="K167" s="143">
        <f t="shared" si="342"/>
        <v>88</v>
      </c>
      <c r="L167" s="143">
        <f t="shared" si="342"/>
        <v>88</v>
      </c>
      <c r="M167" s="143">
        <f t="shared" si="342"/>
        <v>88</v>
      </c>
      <c r="N167" s="51">
        <f>38+50</f>
        <v>88</v>
      </c>
      <c r="O167" s="51">
        <f ca="1">800-485-N167+O174</f>
        <v>717.26945150424729</v>
      </c>
      <c r="P167" s="989">
        <f t="shared" ref="P167:AE167" ca="1" si="349">O167+P174-P216-P279</f>
        <v>857.09202597459557</v>
      </c>
      <c r="Q167" s="989">
        <f t="shared" ca="1" si="349"/>
        <v>1020.8692961027366</v>
      </c>
      <c r="R167" s="989">
        <f t="shared" ca="1" si="349"/>
        <v>1139.7528984313271</v>
      </c>
      <c r="S167" s="989">
        <f t="shared" ca="1" si="349"/>
        <v>1238.6213067909773</v>
      </c>
      <c r="T167" s="989">
        <f t="shared" ca="1" si="349"/>
        <v>1399.3053491715807</v>
      </c>
      <c r="U167" s="989">
        <f t="shared" ca="1" si="349"/>
        <v>1885.9125190393129</v>
      </c>
      <c r="V167" s="989">
        <f t="shared" ca="1" si="349"/>
        <v>2292.5871810080007</v>
      </c>
      <c r="W167" s="989">
        <f t="shared" ca="1" si="349"/>
        <v>2527.2539187834636</v>
      </c>
      <c r="X167" s="989">
        <f t="shared" ca="1" si="349"/>
        <v>2739.2406987341337</v>
      </c>
      <c r="Y167" s="989">
        <f t="shared" ca="1" si="349"/>
        <v>2925.9799716997927</v>
      </c>
      <c r="Z167" s="989">
        <f t="shared" ca="1" si="349"/>
        <v>3048.9782337412025</v>
      </c>
      <c r="AA167" s="989">
        <f t="shared" ca="1" si="349"/>
        <v>2421.2654430257139</v>
      </c>
      <c r="AB167" s="989">
        <f t="shared" ca="1" si="349"/>
        <v>1982.9230944480707</v>
      </c>
      <c r="AC167" s="989">
        <f t="shared" ca="1" si="349"/>
        <v>1460.9123003651189</v>
      </c>
      <c r="AD167" s="989">
        <f t="shared" ca="1" si="349"/>
        <v>850.03839073821291</v>
      </c>
      <c r="AE167" s="989">
        <f t="shared" ca="1" si="349"/>
        <v>146.97560722882452</v>
      </c>
      <c r="AF167" s="130"/>
      <c r="AG167" s="21"/>
      <c r="AH167" s="21"/>
      <c r="AI167" s="21"/>
      <c r="AJ167" s="21"/>
      <c r="AK167" s="21"/>
      <c r="AL167" s="21"/>
      <c r="AM167" s="21"/>
    </row>
    <row r="168" spans="2:39">
      <c r="B168" s="4" t="s">
        <v>150</v>
      </c>
      <c r="G168" s="16"/>
      <c r="H168" s="16"/>
      <c r="I168" s="143">
        <f t="shared" ref="I168:S168" si="350">I166-I167</f>
        <v>847</v>
      </c>
      <c r="J168" s="143">
        <f t="shared" si="350"/>
        <v>847</v>
      </c>
      <c r="K168" s="143">
        <f t="shared" si="350"/>
        <v>847</v>
      </c>
      <c r="L168" s="143">
        <f t="shared" si="350"/>
        <v>847</v>
      </c>
      <c r="M168" s="143">
        <f t="shared" si="350"/>
        <v>847</v>
      </c>
      <c r="N168" s="143">
        <f t="shared" si="350"/>
        <v>847</v>
      </c>
      <c r="O168" s="143">
        <f t="shared" ca="1" si="350"/>
        <v>532.73054849575271</v>
      </c>
      <c r="P168" s="143">
        <f t="shared" ca="1" si="350"/>
        <v>392.90797402540443</v>
      </c>
      <c r="Q168" s="143">
        <f t="shared" ca="1" si="350"/>
        <v>229.1307038972634</v>
      </c>
      <c r="R168" s="143">
        <f t="shared" ca="1" si="350"/>
        <v>110.24710156867286</v>
      </c>
      <c r="S168" s="143">
        <f t="shared" ca="1" si="350"/>
        <v>11.378693209022686</v>
      </c>
      <c r="T168" s="143">
        <f t="shared" ref="T168:Z168" ca="1" si="351">T166-T167</f>
        <v>-149.3053491715807</v>
      </c>
      <c r="U168" s="143">
        <f t="shared" ca="1" si="351"/>
        <v>-635.91251903931288</v>
      </c>
      <c r="V168" s="143">
        <f t="shared" ca="1" si="351"/>
        <v>-1042.5871810080007</v>
      </c>
      <c r="W168" s="143">
        <f t="shared" ca="1" si="351"/>
        <v>-1277.2539187834636</v>
      </c>
      <c r="X168" s="143">
        <f t="shared" ca="1" si="351"/>
        <v>-1489.2406987341337</v>
      </c>
      <c r="Y168" s="143">
        <f t="shared" ca="1" si="351"/>
        <v>-1675.9799716997927</v>
      </c>
      <c r="Z168" s="143">
        <f t="shared" ca="1" si="351"/>
        <v>-1798.9782337412025</v>
      </c>
      <c r="AA168" s="143">
        <f t="shared" ref="AA168:AE168" ca="1" si="352">AA166-AA167</f>
        <v>-1171.2654430257139</v>
      </c>
      <c r="AB168" s="143">
        <f t="shared" ca="1" si="352"/>
        <v>-732.92309444807074</v>
      </c>
      <c r="AC168" s="143">
        <f t="shared" ca="1" si="352"/>
        <v>-210.91230036511888</v>
      </c>
      <c r="AD168" s="143">
        <f t="shared" ca="1" si="352"/>
        <v>399.96160926178709</v>
      </c>
      <c r="AE168" s="143">
        <f t="shared" ca="1" si="352"/>
        <v>1103.0243927711754</v>
      </c>
      <c r="AF168" s="130"/>
      <c r="AG168" s="21"/>
      <c r="AH168" s="21"/>
      <c r="AI168" s="21"/>
      <c r="AJ168" s="21"/>
      <c r="AK168" s="21"/>
      <c r="AL168" s="21"/>
      <c r="AM168" s="21"/>
    </row>
    <row r="169" spans="2:39">
      <c r="B169" s="4"/>
      <c r="G169" s="16"/>
      <c r="H169" s="16"/>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30"/>
      <c r="AG169" s="21"/>
      <c r="AH169" s="21"/>
      <c r="AI169" s="21"/>
      <c r="AJ169" s="21"/>
      <c r="AK169" s="21"/>
      <c r="AL169" s="21"/>
      <c r="AM169" s="21"/>
    </row>
    <row r="170" spans="2:39">
      <c r="B170" s="4" t="s">
        <v>395</v>
      </c>
      <c r="G170" s="16"/>
      <c r="H170" s="16"/>
      <c r="I170" s="143"/>
      <c r="J170" s="143">
        <f t="shared" ref="J170:P170" si="353">J171*J164</f>
        <v>126.52079207566926</v>
      </c>
      <c r="K170" s="143">
        <f t="shared" si="353"/>
        <v>119.45924000000001</v>
      </c>
      <c r="L170" s="143">
        <f t="shared" si="353"/>
        <v>135.05784000000003</v>
      </c>
      <c r="M170" s="143">
        <f t="shared" si="353"/>
        <v>129.53600000000003</v>
      </c>
      <c r="N170" s="130">
        <f>N171*N164</f>
        <v>183.30527853161661</v>
      </c>
      <c r="O170" s="143">
        <f t="shared" ca="1" si="353"/>
        <v>175.55239219896688</v>
      </c>
      <c r="P170" s="143">
        <f t="shared" ca="1" si="353"/>
        <v>191.72045433008572</v>
      </c>
      <c r="Q170" s="143">
        <f t="shared" ref="Q170:Z170" ca="1" si="354">Q171*Q164</f>
        <v>188.91350208228849</v>
      </c>
      <c r="R170" s="143">
        <f t="shared" ca="1" si="354"/>
        <v>185.90747385223298</v>
      </c>
      <c r="S170" s="143">
        <f t="shared" ca="1" si="354"/>
        <v>189.49988539448455</v>
      </c>
      <c r="T170" s="143">
        <f t="shared" ca="1" si="354"/>
        <v>203.83439866215605</v>
      </c>
      <c r="U170" s="143">
        <f t="shared" ca="1" si="354"/>
        <v>224.04414762584585</v>
      </c>
      <c r="V170" s="143">
        <f t="shared" ca="1" si="354"/>
        <v>238.65071806114315</v>
      </c>
      <c r="W170" s="143">
        <f t="shared" ca="1" si="354"/>
        <v>248.24939122507513</v>
      </c>
      <c r="X170" s="143">
        <f t="shared" ca="1" si="354"/>
        <v>255.11130486199434</v>
      </c>
      <c r="Y170" s="143">
        <f t="shared" ca="1" si="354"/>
        <v>258.28638985322067</v>
      </c>
      <c r="Z170" s="143">
        <f t="shared" ca="1" si="354"/>
        <v>261.17023832182741</v>
      </c>
      <c r="AA170" s="143">
        <f t="shared" ref="AA170:AE170" ca="1" si="355">AA171*AA164</f>
        <v>-33.423503641581092</v>
      </c>
      <c r="AB170" s="143">
        <f t="shared" ca="1" si="355"/>
        <v>-57.509359298579341</v>
      </c>
      <c r="AC170" s="143">
        <f t="shared" ca="1" si="355"/>
        <v>-80.571682570722899</v>
      </c>
      <c r="AD170" s="143">
        <f t="shared" ca="1" si="355"/>
        <v>-105.39416585473337</v>
      </c>
      <c r="AE170" s="143">
        <f t="shared" ca="1" si="355"/>
        <v>-132.0630276526924</v>
      </c>
      <c r="AF170" s="130"/>
      <c r="AG170" s="21"/>
      <c r="AH170" s="21"/>
      <c r="AI170" s="21"/>
      <c r="AJ170" s="21"/>
      <c r="AK170" s="21"/>
      <c r="AL170" s="21"/>
      <c r="AM170" s="21"/>
    </row>
    <row r="171" spans="2:39">
      <c r="B171" s="4" t="s">
        <v>155</v>
      </c>
      <c r="G171" s="16"/>
      <c r="H171" s="16"/>
      <c r="I171" s="143"/>
      <c r="J171" s="990">
        <v>0.23</v>
      </c>
      <c r="K171" s="990">
        <v>0.23</v>
      </c>
      <c r="L171" s="990">
        <v>0.23</v>
      </c>
      <c r="M171" s="990">
        <v>0.23</v>
      </c>
      <c r="N171" s="990">
        <v>0.23</v>
      </c>
      <c r="O171" s="990">
        <v>0.23</v>
      </c>
      <c r="P171" s="990">
        <v>0.24</v>
      </c>
      <c r="Q171" s="990">
        <v>0.25</v>
      </c>
      <c r="R171" s="990">
        <v>0.25</v>
      </c>
      <c r="S171" s="990">
        <v>0.25</v>
      </c>
      <c r="T171" s="990">
        <v>0.25</v>
      </c>
      <c r="U171" s="990">
        <v>0.25</v>
      </c>
      <c r="V171" s="990">
        <v>0.25</v>
      </c>
      <c r="W171" s="990">
        <v>0.25</v>
      </c>
      <c r="X171" s="990">
        <v>0.25</v>
      </c>
      <c r="Y171" s="990">
        <v>0.25</v>
      </c>
      <c r="Z171" s="990">
        <v>0.25</v>
      </c>
      <c r="AA171" s="990">
        <v>0.25</v>
      </c>
      <c r="AB171" s="990">
        <v>0.25</v>
      </c>
      <c r="AC171" s="990">
        <v>0.25</v>
      </c>
      <c r="AD171" s="990">
        <v>0.25</v>
      </c>
      <c r="AE171" s="990">
        <v>0.25</v>
      </c>
      <c r="AF171" s="130"/>
      <c r="AG171" s="21"/>
      <c r="AH171" s="21"/>
      <c r="AI171" s="21"/>
      <c r="AJ171" s="21"/>
      <c r="AK171" s="21"/>
      <c r="AL171" s="21"/>
      <c r="AM171" s="21"/>
    </row>
    <row r="172" spans="2:39">
      <c r="B172" s="4"/>
      <c r="G172" s="16"/>
      <c r="H172" s="16"/>
      <c r="I172" s="143"/>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30"/>
      <c r="AG172" s="21"/>
      <c r="AH172" s="21"/>
      <c r="AI172" s="21"/>
      <c r="AJ172" s="21"/>
      <c r="AK172" s="21"/>
      <c r="AL172" s="21"/>
      <c r="AM172" s="21"/>
    </row>
    <row r="173" spans="2:39">
      <c r="B173" s="4" t="s">
        <v>1824</v>
      </c>
      <c r="G173" s="16"/>
      <c r="H173" s="16"/>
      <c r="I173" s="143"/>
      <c r="J173" s="143">
        <f t="shared" ref="J173:O173" si="356">J164-J170</f>
        <v>423.56960825332754</v>
      </c>
      <c r="K173" s="143">
        <f t="shared" si="356"/>
        <v>399.92876000000001</v>
      </c>
      <c r="L173" s="143">
        <f t="shared" si="356"/>
        <v>452.15016000000003</v>
      </c>
      <c r="M173" s="143">
        <f t="shared" si="356"/>
        <v>433.66399999999999</v>
      </c>
      <c r="N173" s="143">
        <f t="shared" si="356"/>
        <v>613.67419334497731</v>
      </c>
      <c r="O173" s="143">
        <f t="shared" ca="1" si="356"/>
        <v>587.71887823132386</v>
      </c>
      <c r="P173" s="143">
        <f t="shared" ref="P173:U173" ca="1" si="357">P164-P170</f>
        <v>607.11477204527137</v>
      </c>
      <c r="Q173" s="143">
        <f t="shared" ca="1" si="357"/>
        <v>566.74050624686549</v>
      </c>
      <c r="R173" s="143">
        <f t="shared" ca="1" si="357"/>
        <v>557.72242155669892</v>
      </c>
      <c r="S173" s="143">
        <f t="shared" ca="1" si="357"/>
        <v>568.49965618345368</v>
      </c>
      <c r="T173" s="143">
        <f t="shared" ca="1" si="357"/>
        <v>611.5031959864682</v>
      </c>
      <c r="U173" s="143">
        <f t="shared" ca="1" si="357"/>
        <v>672.13244287753753</v>
      </c>
      <c r="V173" s="143">
        <f ca="1">V164-V170</f>
        <v>715.95215418342946</v>
      </c>
      <c r="W173" s="143">
        <f ca="1">W164-W170</f>
        <v>744.74817367522542</v>
      </c>
      <c r="X173" s="143">
        <f ca="1">X164-X170</f>
        <v>765.33391458598305</v>
      </c>
      <c r="Y173" s="143">
        <f ca="1">Y164-Y170</f>
        <v>774.85916955966195</v>
      </c>
      <c r="Z173" s="143">
        <f ca="1">Z164-Z170</f>
        <v>783.51071496548229</v>
      </c>
      <c r="AA173" s="143">
        <f t="shared" ref="AA173:AE173" ca="1" si="358">AA164-AA170</f>
        <v>-100.27051092474328</v>
      </c>
      <c r="AB173" s="143">
        <f t="shared" ca="1" si="358"/>
        <v>-172.52807789573802</v>
      </c>
      <c r="AC173" s="143">
        <f t="shared" ca="1" si="358"/>
        <v>-241.71504771216871</v>
      </c>
      <c r="AD173" s="143">
        <f t="shared" ca="1" si="358"/>
        <v>-316.1824975642001</v>
      </c>
      <c r="AE173" s="143">
        <f t="shared" ca="1" si="358"/>
        <v>-396.18908295807717</v>
      </c>
      <c r="AF173" s="130"/>
      <c r="AG173" s="21"/>
      <c r="AH173" s="21"/>
      <c r="AI173" s="21"/>
      <c r="AJ173" s="21"/>
      <c r="AK173" s="21"/>
      <c r="AL173" s="21"/>
      <c r="AM173" s="21"/>
    </row>
    <row r="174" spans="2:39">
      <c r="B174" s="4" t="s">
        <v>574</v>
      </c>
      <c r="G174" s="16"/>
      <c r="H174" s="16"/>
      <c r="I174" s="143"/>
      <c r="J174" s="143">
        <f>J157-J162-J170</f>
        <v>460.41020792433079</v>
      </c>
      <c r="K174" s="143">
        <f>K157-K162-K170</f>
        <v>491.92876000000001</v>
      </c>
      <c r="L174" s="143">
        <f t="shared" ref="L174:AF174" si="359">L157-L162-L170</f>
        <v>534.15016000000003</v>
      </c>
      <c r="M174" s="143">
        <f t="shared" si="359"/>
        <v>457.66399999999999</v>
      </c>
      <c r="N174" s="143">
        <f t="shared" si="359"/>
        <v>561.48472146838344</v>
      </c>
      <c r="O174" s="143">
        <f t="shared" ca="1" si="359"/>
        <v>490.26945150424729</v>
      </c>
      <c r="P174" s="143">
        <f ca="1">P157-P162-P170</f>
        <v>575.25400476906793</v>
      </c>
      <c r="Q174" s="143">
        <f t="shared" ca="1" si="359"/>
        <v>511.48231757230815</v>
      </c>
      <c r="R174" s="143">
        <f t="shared" ca="1" si="359"/>
        <v>494.03511748010578</v>
      </c>
      <c r="S174" s="143">
        <f t="shared" ca="1" si="359"/>
        <v>511.00508138143687</v>
      </c>
      <c r="T174" s="143">
        <f t="shared" ca="1" si="359"/>
        <v>541.0834812133437</v>
      </c>
      <c r="U174" s="143">
        <f t="shared" ca="1" si="359"/>
        <v>586.82551609709776</v>
      </c>
      <c r="V174" s="143">
        <f ca="1">V157-V162-V170</f>
        <v>610.8703909392716</v>
      </c>
      <c r="W174" s="143">
        <f ca="1">W157-W162-W170</f>
        <v>620.88236349541785</v>
      </c>
      <c r="X174" s="143">
        <f ca="1">X157-X162-X170</f>
        <v>625.06669747410149</v>
      </c>
      <c r="Y174" s="143">
        <f ca="1">Y157-Y162-Y170</f>
        <v>619.83014116795266</v>
      </c>
      <c r="Z174" s="143">
        <f ca="1">Z157-Z162-Z170</f>
        <v>613.11971682530498</v>
      </c>
      <c r="AA174" s="143">
        <f t="shared" ref="AA174:AE174" ca="1" si="360">AA157-AA162-AA170</f>
        <v>-106.89846045766727</v>
      </c>
      <c r="AB174" s="143">
        <f t="shared" ca="1" si="360"/>
        <v>111.56710097367421</v>
      </c>
      <c r="AC174" s="143">
        <f t="shared" ca="1" si="360"/>
        <v>42.859457056945395</v>
      </c>
      <c r="AD174" s="143">
        <f t="shared" ca="1" si="360"/>
        <v>-30.830268541808906</v>
      </c>
      <c r="AE174" s="143">
        <f t="shared" ca="1" si="360"/>
        <v>-109.75153461614761</v>
      </c>
      <c r="AF174" s="143">
        <f t="shared" ca="1" si="359"/>
        <v>0</v>
      </c>
      <c r="AG174" s="21"/>
      <c r="AH174" s="21"/>
      <c r="AI174" s="21"/>
      <c r="AJ174" s="21"/>
      <c r="AK174" s="21"/>
      <c r="AL174" s="21"/>
      <c r="AM174" s="21"/>
    </row>
    <row r="175" spans="2:39">
      <c r="B175" s="2"/>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21"/>
      <c r="AH175" s="21"/>
      <c r="AI175" s="21"/>
      <c r="AJ175" s="21"/>
      <c r="AK175" s="21"/>
      <c r="AL175" s="21"/>
      <c r="AM175" s="21"/>
    </row>
    <row r="176" spans="2:39">
      <c r="B176" s="4" t="s">
        <v>71</v>
      </c>
      <c r="C176" s="4"/>
      <c r="D176" s="4"/>
      <c r="E176" s="4"/>
      <c r="F176" s="266">
        <v>42</v>
      </c>
      <c r="G176" s="266">
        <f>76-6</f>
        <v>70</v>
      </c>
      <c r="H176" s="264">
        <f t="shared" ref="H176:S176" si="361">H177*H61</f>
        <v>98.761043718039318</v>
      </c>
      <c r="I176" s="130">
        <f t="shared" si="361"/>
        <v>115.56296152557115</v>
      </c>
      <c r="J176" s="130">
        <f t="shared" si="361"/>
        <v>124.55346339089233</v>
      </c>
      <c r="K176" s="130">
        <f t="shared" si="361"/>
        <v>121.41842840839186</v>
      </c>
      <c r="L176" s="130">
        <f t="shared" si="361"/>
        <v>124.21114309688133</v>
      </c>
      <c r="M176" s="130">
        <f t="shared" si="361"/>
        <v>158.23562835079457</v>
      </c>
      <c r="N176" s="130">
        <f t="shared" si="361"/>
        <v>152.02464225525068</v>
      </c>
      <c r="O176" s="130">
        <f t="shared" si="361"/>
        <v>150.39603354684954</v>
      </c>
      <c r="P176" s="130">
        <f t="shared" si="361"/>
        <v>146.90846940637218</v>
      </c>
      <c r="Q176" s="130">
        <f t="shared" si="361"/>
        <v>131.8594595802339</v>
      </c>
      <c r="R176" s="130">
        <f t="shared" si="361"/>
        <v>120.50557116430893</v>
      </c>
      <c r="S176" s="130">
        <f t="shared" si="361"/>
        <v>111.81040465662399</v>
      </c>
      <c r="T176" s="130">
        <f t="shared" ref="T176:Z176" si="362">T177*T61</f>
        <v>109.82808086036624</v>
      </c>
      <c r="U176" s="130">
        <f t="shared" si="362"/>
        <v>107.58938254155355</v>
      </c>
      <c r="V176" s="130">
        <f t="shared" si="362"/>
        <v>103.92119947752569</v>
      </c>
      <c r="W176" s="130">
        <f t="shared" si="362"/>
        <v>99.932041589849504</v>
      </c>
      <c r="X176" s="130">
        <f t="shared" si="362"/>
        <v>96.05725180025955</v>
      </c>
      <c r="Y176" s="130">
        <f t="shared" si="362"/>
        <v>92.289299625006279</v>
      </c>
      <c r="Z176" s="130">
        <f t="shared" si="362"/>
        <v>88.620487534700942</v>
      </c>
      <c r="AA176" s="130">
        <f t="shared" ref="AA176:AE176" si="363">AA177*AA61</f>
        <v>85.042928415647111</v>
      </c>
      <c r="AB176" s="130">
        <f t="shared" si="363"/>
        <v>81.548521886181433</v>
      </c>
      <c r="AC176" s="130">
        <f t="shared" si="363"/>
        <v>78.128929390210899</v>
      </c>
      <c r="AD176" s="130">
        <f t="shared" si="363"/>
        <v>74.775547985787384</v>
      </c>
      <c r="AE176" s="130">
        <f t="shared" si="363"/>
        <v>71.479482741956261</v>
      </c>
      <c r="AF176" s="130"/>
      <c r="AG176" s="21"/>
      <c r="AH176" s="21"/>
      <c r="AI176" s="21"/>
      <c r="AJ176" s="21"/>
      <c r="AK176" s="21"/>
      <c r="AL176" s="21"/>
      <c r="AM176" s="21"/>
    </row>
    <row r="177" spans="2:41">
      <c r="B177" s="4" t="s">
        <v>70</v>
      </c>
      <c r="C177" s="4"/>
      <c r="D177" s="4"/>
      <c r="E177" s="4"/>
      <c r="F177" s="29">
        <f>F176/F61</f>
        <v>9.2797171895713654E-2</v>
      </c>
      <c r="G177" s="29">
        <f>G176/G61</f>
        <v>8.7927437254352717E-2</v>
      </c>
      <c r="H177" s="5">
        <f>G177-0.2%</f>
        <v>8.5927437254352715E-2</v>
      </c>
      <c r="I177" s="5">
        <f t="shared" ref="I177:O177" si="364">H177-0.2%</f>
        <v>8.3927437254352713E-2</v>
      </c>
      <c r="J177" s="5">
        <f t="shared" si="364"/>
        <v>8.1927437254352711E-2</v>
      </c>
      <c r="K177" s="5">
        <f t="shared" si="364"/>
        <v>7.992743725435271E-2</v>
      </c>
      <c r="L177" s="5">
        <f t="shared" si="364"/>
        <v>7.7927437254352708E-2</v>
      </c>
      <c r="M177" s="5">
        <f t="shared" si="364"/>
        <v>7.5927437254352706E-2</v>
      </c>
      <c r="N177" s="5">
        <f t="shared" si="364"/>
        <v>7.3927437254352704E-2</v>
      </c>
      <c r="O177" s="5">
        <f t="shared" si="364"/>
        <v>7.1927437254352702E-2</v>
      </c>
      <c r="P177" s="5">
        <f t="shared" ref="P177:Z177" si="365">O177-0.2%</f>
        <v>6.9927437254352701E-2</v>
      </c>
      <c r="Q177" s="5">
        <f t="shared" si="365"/>
        <v>6.7927437254352699E-2</v>
      </c>
      <c r="R177" s="5">
        <f t="shared" si="365"/>
        <v>6.5927437254352697E-2</v>
      </c>
      <c r="S177" s="5">
        <f t="shared" si="365"/>
        <v>6.3927437254352695E-2</v>
      </c>
      <c r="T177" s="5">
        <f t="shared" si="365"/>
        <v>6.1927437254352694E-2</v>
      </c>
      <c r="U177" s="5">
        <f t="shared" si="365"/>
        <v>5.9927437254352692E-2</v>
      </c>
      <c r="V177" s="5">
        <f t="shared" si="365"/>
        <v>5.792743725435269E-2</v>
      </c>
      <c r="W177" s="5">
        <f t="shared" si="365"/>
        <v>5.5927437254352688E-2</v>
      </c>
      <c r="X177" s="5">
        <f t="shared" si="365"/>
        <v>5.3927437254352686E-2</v>
      </c>
      <c r="Y177" s="5">
        <f t="shared" si="365"/>
        <v>5.1927437254352685E-2</v>
      </c>
      <c r="Z177" s="5">
        <f t="shared" si="365"/>
        <v>4.9927437254352683E-2</v>
      </c>
      <c r="AA177" s="5">
        <f t="shared" ref="AA177" si="366">Z177-0.2%</f>
        <v>4.7927437254352681E-2</v>
      </c>
      <c r="AB177" s="5">
        <f t="shared" ref="AB177" si="367">AA177-0.2%</f>
        <v>4.5927437254352679E-2</v>
      </c>
      <c r="AC177" s="5">
        <f t="shared" ref="AC177" si="368">AB177-0.2%</f>
        <v>4.3927437254352678E-2</v>
      </c>
      <c r="AD177" s="5">
        <f t="shared" ref="AD177" si="369">AC177-0.2%</f>
        <v>4.1927437254352676E-2</v>
      </c>
      <c r="AE177" s="5">
        <f t="shared" ref="AE177" si="370">AD177-0.2%</f>
        <v>3.9927437254352674E-2</v>
      </c>
      <c r="AF177" s="130"/>
      <c r="AG177" s="21"/>
      <c r="AH177" s="21"/>
      <c r="AI177" s="21"/>
      <c r="AJ177" s="21"/>
      <c r="AK177" s="21"/>
      <c r="AL177" s="21"/>
      <c r="AM177" s="21"/>
    </row>
    <row r="178" spans="2:41">
      <c r="B178" s="4" t="s">
        <v>72</v>
      </c>
      <c r="F178" s="143">
        <f t="shared" ref="F178:S178" si="371">F61-F176</f>
        <v>410.6</v>
      </c>
      <c r="G178" s="143">
        <f t="shared" si="371"/>
        <v>726.11099999999999</v>
      </c>
      <c r="H178" s="143">
        <f t="shared" si="371"/>
        <v>1050.5929562819608</v>
      </c>
      <c r="I178" s="143">
        <f t="shared" si="371"/>
        <v>1261.3760384744287</v>
      </c>
      <c r="J178" s="143">
        <f t="shared" si="371"/>
        <v>1395.7365342591311</v>
      </c>
      <c r="K178" s="143">
        <f t="shared" si="371"/>
        <v>1397.6898100054404</v>
      </c>
      <c r="L178" s="143">
        <f t="shared" si="371"/>
        <v>1469.7222322746204</v>
      </c>
      <c r="M178" s="143">
        <f t="shared" si="371"/>
        <v>1925.8018958015616</v>
      </c>
      <c r="N178" s="143">
        <f t="shared" si="371"/>
        <v>1904.3788785674567</v>
      </c>
      <c r="O178" s="143">
        <f t="shared" si="371"/>
        <v>1940.5450494089218</v>
      </c>
      <c r="P178" s="143">
        <f t="shared" si="371"/>
        <v>1953.9617351173565</v>
      </c>
      <c r="Q178" s="143">
        <f t="shared" si="371"/>
        <v>1809.3216729640317</v>
      </c>
      <c r="R178" s="143">
        <f t="shared" si="371"/>
        <v>1707.3460211763722</v>
      </c>
      <c r="S178" s="143">
        <f t="shared" si="371"/>
        <v>1637.2101952425378</v>
      </c>
      <c r="T178" s="143">
        <f t="shared" ref="T178:Z178" si="372">T61-T176</f>
        <v>1663.6682194834164</v>
      </c>
      <c r="U178" s="143">
        <f t="shared" si="372"/>
        <v>1687.7382248264562</v>
      </c>
      <c r="V178" s="143">
        <f t="shared" si="372"/>
        <v>1690.0680464340394</v>
      </c>
      <c r="W178" s="143">
        <f t="shared" si="372"/>
        <v>1686.8839917529274</v>
      </c>
      <c r="X178" s="143">
        <f t="shared" si="372"/>
        <v>1685.1742824778951</v>
      </c>
      <c r="Y178" s="143">
        <f t="shared" si="372"/>
        <v>1684.98499898811</v>
      </c>
      <c r="Z178" s="143">
        <f t="shared" si="372"/>
        <v>1686.3652198876241</v>
      </c>
      <c r="AA178" s="143">
        <f t="shared" ref="AA178:AE178" si="373">AA61-AA176</f>
        <v>1689.3671649995536</v>
      </c>
      <c r="AB178" s="143">
        <f t="shared" si="373"/>
        <v>1694.0463460476449</v>
      </c>
      <c r="AC178" s="143">
        <f t="shared" si="373"/>
        <v>1700.461725416752</v>
      </c>
      <c r="AD178" s="143">
        <f t="shared" si="373"/>
        <v>1708.6758834041575</v>
      </c>
      <c r="AE178" s="143">
        <f t="shared" si="373"/>
        <v>1718.7551943951032</v>
      </c>
      <c r="AF178" s="130"/>
      <c r="AG178" s="21"/>
      <c r="AH178" s="21"/>
      <c r="AI178" s="21"/>
      <c r="AJ178" s="21"/>
      <c r="AK178" s="21"/>
      <c r="AL178" s="21"/>
      <c r="AM178" s="21"/>
    </row>
    <row r="179" spans="2:41">
      <c r="B179" s="2" t="s">
        <v>1053</v>
      </c>
      <c r="F179" s="212">
        <f t="shared" ref="F179:Z179" si="374">F178/AVERAGE(E47:F47)*1000/12</f>
        <v>20.80556511187692</v>
      </c>
      <c r="G179" s="212">
        <f t="shared" si="374"/>
        <v>21.68122971221683</v>
      </c>
      <c r="H179" s="212">
        <f t="shared" si="374"/>
        <v>17.793542363839528</v>
      </c>
      <c r="I179" s="212">
        <f t="shared" si="374"/>
        <v>15.039806177098662</v>
      </c>
      <c r="J179" s="212">
        <f t="shared" si="374"/>
        <v>13.941908784836089</v>
      </c>
      <c r="K179" s="212">
        <f t="shared" si="374"/>
        <v>12.894131874581644</v>
      </c>
      <c r="L179" s="212">
        <f t="shared" si="374"/>
        <v>11.898747311837717</v>
      </c>
      <c r="M179" s="212">
        <f t="shared" si="374"/>
        <v>13.685102921008093</v>
      </c>
      <c r="N179" s="212">
        <f t="shared" si="374"/>
        <v>13.165744615787155</v>
      </c>
      <c r="O179" s="212">
        <f t="shared" si="374"/>
        <v>13.296969138515651</v>
      </c>
      <c r="P179" s="212">
        <f t="shared" si="374"/>
        <v>13.083927097907315</v>
      </c>
      <c r="Q179" s="212">
        <f t="shared" si="374"/>
        <v>11.851080472247867</v>
      </c>
      <c r="R179" s="212">
        <f t="shared" si="374"/>
        <v>10.975285518203046</v>
      </c>
      <c r="S179" s="212">
        <f t="shared" si="374"/>
        <v>10.279156834230813</v>
      </c>
      <c r="T179" s="212">
        <f t="shared" si="374"/>
        <v>10.214852747023203</v>
      </c>
      <c r="U179" s="212">
        <f t="shared" si="374"/>
        <v>10.135162096733243</v>
      </c>
      <c r="V179" s="212">
        <f t="shared" si="374"/>
        <v>9.9942616599448648</v>
      </c>
      <c r="W179" s="212">
        <f t="shared" si="374"/>
        <v>9.8887281718766538</v>
      </c>
      <c r="X179" s="212">
        <f t="shared" si="374"/>
        <v>9.792641714622599</v>
      </c>
      <c r="Y179" s="212">
        <f t="shared" si="374"/>
        <v>9.7060401010907977</v>
      </c>
      <c r="Z179" s="212">
        <f t="shared" si="374"/>
        <v>9.6289718057187113</v>
      </c>
      <c r="AA179" s="212">
        <f t="shared" ref="AA179" si="375">AA178/AVERAGE(Z47:AA47)*1000/12</f>
        <v>9.5614961738418902</v>
      </c>
      <c r="AB179" s="212">
        <f t="shared" ref="AB179" si="376">AB178/AVERAGE(AA47:AB47)*1000/12</f>
        <v>9.5036836452424822</v>
      </c>
      <c r="AC179" s="212">
        <f t="shared" ref="AC179" si="377">AC178/AVERAGE(AB47:AC47)*1000/12</f>
        <v>9.4556159923129499</v>
      </c>
      <c r="AD179" s="212">
        <f t="shared" ref="AD179" si="378">AD178/AVERAGE(AC47:AD47)*1000/12</f>
        <v>9.417386573291509</v>
      </c>
      <c r="AE179" s="212">
        <f t="shared" ref="AE179" si="379">AE178/AVERAGE(AD47:AE47)*1000/12</f>
        <v>9.389100601047355</v>
      </c>
      <c r="AF179" s="130"/>
      <c r="AG179" s="21"/>
      <c r="AH179" s="21"/>
      <c r="AI179" s="21"/>
      <c r="AJ179" s="21"/>
      <c r="AK179" s="21"/>
      <c r="AL179" s="21"/>
      <c r="AM179" s="21"/>
    </row>
    <row r="180" spans="2:41">
      <c r="B180" s="2"/>
      <c r="F180" s="212"/>
      <c r="G180" s="212"/>
      <c r="H180" s="212"/>
      <c r="I180" s="212"/>
      <c r="J180" s="212"/>
      <c r="K180" s="212"/>
      <c r="L180" s="212"/>
      <c r="M180" s="212"/>
      <c r="N180" s="212"/>
      <c r="O180" s="212"/>
      <c r="P180" s="212"/>
      <c r="Q180" s="212"/>
      <c r="R180" s="212"/>
      <c r="S180" s="212"/>
      <c r="T180" s="212"/>
      <c r="U180" s="212"/>
      <c r="V180" s="212"/>
      <c r="W180" s="212"/>
      <c r="X180" s="212"/>
      <c r="Y180" s="212"/>
      <c r="Z180" s="212"/>
      <c r="AA180" s="212"/>
      <c r="AB180" s="212"/>
      <c r="AC180" s="212"/>
      <c r="AD180" s="212"/>
      <c r="AE180" s="212"/>
      <c r="AF180" s="130"/>
      <c r="AG180" s="21"/>
      <c r="AH180" s="21">
        <f ca="1">AI180-1</f>
        <v>2011</v>
      </c>
      <c r="AI180" s="21">
        <f ca="1">AH180+1</f>
        <v>2012</v>
      </c>
      <c r="AJ180" s="21">
        <f t="shared" ref="AJ180:AO180" ca="1" si="380">AI180+1</f>
        <v>2013</v>
      </c>
      <c r="AK180" s="21">
        <f t="shared" ca="1" si="380"/>
        <v>2014</v>
      </c>
      <c r="AL180" s="21">
        <f t="shared" ca="1" si="380"/>
        <v>2015</v>
      </c>
      <c r="AM180" s="21">
        <f t="shared" ca="1" si="380"/>
        <v>2016</v>
      </c>
      <c r="AN180" s="21">
        <f t="shared" ca="1" si="380"/>
        <v>2017</v>
      </c>
      <c r="AO180" s="21">
        <f t="shared" ca="1" si="380"/>
        <v>2018</v>
      </c>
    </row>
    <row r="181" spans="2:41">
      <c r="B181" s="4" t="s">
        <v>3451</v>
      </c>
      <c r="F181" s="212"/>
      <c r="G181" s="212"/>
      <c r="H181" s="212"/>
      <c r="I181" s="212"/>
      <c r="J181" s="212"/>
      <c r="K181" s="55">
        <f>(K161*(1-K171))/SUM(G154:K154)</f>
        <v>0.40741296527159399</v>
      </c>
      <c r="L181" s="55">
        <f t="shared" ref="L181:Z181" si="381">(L161*(1-L171))/SUM(H154:L154)</f>
        <v>0.44675386503067488</v>
      </c>
      <c r="M181" s="55">
        <f t="shared" si="381"/>
        <v>0.42904803493449784</v>
      </c>
      <c r="N181" s="55">
        <f t="shared" si="381"/>
        <v>0.54953938294472604</v>
      </c>
      <c r="O181" s="55">
        <f t="shared" si="381"/>
        <v>0.42940386272271525</v>
      </c>
      <c r="P181" s="55">
        <f t="shared" si="381"/>
        <v>0.37865715919882847</v>
      </c>
      <c r="Q181" s="55">
        <f t="shared" si="381"/>
        <v>0.32120854630603557</v>
      </c>
      <c r="R181" s="55">
        <f t="shared" si="381"/>
        <v>0.30165275140039538</v>
      </c>
      <c r="S181" s="55">
        <f t="shared" si="381"/>
        <v>0.30771775907438431</v>
      </c>
      <c r="T181" s="55">
        <f t="shared" si="381"/>
        <v>0.34092773704484297</v>
      </c>
      <c r="U181" s="55">
        <f t="shared" si="381"/>
        <v>0.3631307687524794</v>
      </c>
      <c r="V181" s="55">
        <f t="shared" si="381"/>
        <v>0.36725845347973946</v>
      </c>
      <c r="W181" s="55">
        <f t="shared" si="381"/>
        <v>0.36182745711381353</v>
      </c>
      <c r="X181" s="55">
        <f t="shared" si="381"/>
        <v>0.34922276382217854</v>
      </c>
      <c r="Y181" s="55">
        <f t="shared" si="381"/>
        <v>0.33343382041714859</v>
      </c>
      <c r="Z181" s="55">
        <f t="shared" si="381"/>
        <v>0.32026725645560328</v>
      </c>
      <c r="AA181" s="55">
        <f t="shared" ref="AA181" si="382">(AA161*(1-AA171))/SUM(W154:AA154)</f>
        <v>-9.3782231962626306E-2</v>
      </c>
      <c r="AB181" s="55">
        <f t="shared" ref="AB181" si="383">(AB161*(1-AB171))/SUM(X154:AB154)</f>
        <v>-0.14267933985329909</v>
      </c>
      <c r="AC181" s="55">
        <f t="shared" ref="AC181" si="384">(AC161*(1-AC171))/SUM(Y154:AC154)</f>
        <v>-0.22800527375302662</v>
      </c>
      <c r="AD181" s="55">
        <f t="shared" ref="AD181" si="385">(AD161*(1-AD171))/SUM(Z154:AD154)</f>
        <v>-0.41683680080699542</v>
      </c>
      <c r="AE181" s="55">
        <f t="shared" ref="AE181" si="386">(AE161*(1-AE171))/SUM(AA154:AE154)</f>
        <v>-1.2084645143368131</v>
      </c>
      <c r="AF181" s="130"/>
      <c r="AG181" s="4" t="s">
        <v>1828</v>
      </c>
      <c r="AH181" s="16">
        <f>L181</f>
        <v>0.44675386503067488</v>
      </c>
      <c r="AI181" s="16">
        <f t="shared" ref="AI181:AO181" si="387">M181</f>
        <v>0.42904803493449784</v>
      </c>
      <c r="AJ181" s="16">
        <f t="shared" si="387"/>
        <v>0.54953938294472604</v>
      </c>
      <c r="AK181" s="16">
        <f t="shared" si="387"/>
        <v>0.42940386272271525</v>
      </c>
      <c r="AL181" s="16">
        <f t="shared" si="387"/>
        <v>0.37865715919882847</v>
      </c>
      <c r="AM181" s="16">
        <f t="shared" si="387"/>
        <v>0.32120854630603557</v>
      </c>
      <c r="AN181" s="16">
        <f t="shared" si="387"/>
        <v>0.30165275140039538</v>
      </c>
      <c r="AO181" s="16">
        <f t="shared" si="387"/>
        <v>0.30771775907438431</v>
      </c>
    </row>
    <row r="182" spans="2:41">
      <c r="B182" s="2"/>
      <c r="F182" s="212"/>
      <c r="G182" s="212"/>
      <c r="H182" s="212"/>
      <c r="I182" s="212"/>
      <c r="J182" s="212"/>
      <c r="K182" s="212"/>
      <c r="L182" s="212"/>
      <c r="M182" s="212"/>
      <c r="N182" s="212"/>
      <c r="O182" s="212"/>
      <c r="P182" s="212"/>
      <c r="Q182" s="212"/>
      <c r="R182" s="212"/>
      <c r="S182" s="212"/>
      <c r="T182" s="212"/>
      <c r="U182" s="212"/>
      <c r="V182" s="212"/>
      <c r="W182" s="212"/>
      <c r="X182" s="212"/>
      <c r="Y182" s="212"/>
      <c r="Z182" s="212"/>
      <c r="AA182" s="212"/>
      <c r="AB182" s="212"/>
      <c r="AC182" s="212"/>
      <c r="AD182" s="212"/>
      <c r="AE182" s="212"/>
      <c r="AF182" s="130"/>
      <c r="AG182" s="4" t="s">
        <v>3452</v>
      </c>
      <c r="AH182" s="16">
        <f ca="1">SA!L138</f>
        <v>0.53076585992798508</v>
      </c>
      <c r="AI182" s="16">
        <f ca="1">SA!M138</f>
        <v>0.62832047882793174</v>
      </c>
      <c r="AJ182" s="16">
        <f ca="1">SA!N138</f>
        <v>0.63551553249961823</v>
      </c>
      <c r="AK182" s="16">
        <f ca="1">SA!O138</f>
        <v>0.51842013728593217</v>
      </c>
      <c r="AL182" s="16">
        <f ca="1">SA!P138</f>
        <v>0.39165926864726319</v>
      </c>
      <c r="AM182" s="16">
        <f ca="1">SA!Q138</f>
        <v>0.34763765260959967</v>
      </c>
      <c r="AN182" s="16">
        <f ca="1">SA!R138</f>
        <v>0.38937043973198382</v>
      </c>
      <c r="AO182" s="16">
        <f ca="1">SA!S138</f>
        <v>0.44955407762887784</v>
      </c>
    </row>
    <row r="183" spans="2:41">
      <c r="B183" s="3" t="s">
        <v>3365</v>
      </c>
      <c r="AF183" s="130"/>
      <c r="AG183" s="21"/>
      <c r="AH183" s="21"/>
      <c r="AI183" s="21"/>
      <c r="AJ183" s="21"/>
      <c r="AK183" s="21"/>
      <c r="AL183" s="21"/>
      <c r="AM183" s="21"/>
    </row>
    <row r="184" spans="2:41">
      <c r="B184" s="2"/>
      <c r="AF184" s="130"/>
      <c r="AG184" s="21"/>
      <c r="AH184" s="21"/>
      <c r="AI184" s="21"/>
      <c r="AJ184" s="21"/>
      <c r="AK184" s="21"/>
      <c r="AL184" s="21"/>
      <c r="AM184" s="21"/>
    </row>
    <row r="185" spans="2:41">
      <c r="B185" s="23" t="s">
        <v>3368</v>
      </c>
      <c r="C185" s="451"/>
      <c r="D185" s="451"/>
      <c r="E185" s="451"/>
      <c r="F185" s="451"/>
      <c r="G185" s="451"/>
      <c r="H185" s="451"/>
      <c r="I185" s="451"/>
      <c r="J185" s="451"/>
      <c r="K185" s="451"/>
      <c r="L185" s="451"/>
      <c r="M185" s="451"/>
      <c r="N185" s="1191">
        <f>N2</f>
        <v>2013</v>
      </c>
      <c r="O185" s="1191">
        <f>O2</f>
        <v>2014</v>
      </c>
      <c r="P185" s="1191" t="s">
        <v>4033</v>
      </c>
      <c r="Q185" s="1191" t="s">
        <v>4629</v>
      </c>
      <c r="R185" s="1191" t="s">
        <v>5498</v>
      </c>
      <c r="S185" s="1191" t="s">
        <v>5615</v>
      </c>
      <c r="T185" s="993">
        <f t="shared" ref="T185:Z185" si="388">T2</f>
        <v>2019</v>
      </c>
      <c r="U185" s="993">
        <f t="shared" si="388"/>
        <v>2020</v>
      </c>
      <c r="V185" s="993">
        <f t="shared" si="388"/>
        <v>2021</v>
      </c>
      <c r="W185" s="993">
        <f t="shared" si="388"/>
        <v>2022</v>
      </c>
      <c r="X185" s="993">
        <f t="shared" si="388"/>
        <v>2023</v>
      </c>
      <c r="Y185" s="993">
        <f t="shared" si="388"/>
        <v>2024</v>
      </c>
      <c r="Z185" s="993">
        <f t="shared" si="388"/>
        <v>2025</v>
      </c>
      <c r="AA185" s="993">
        <f t="shared" ref="AA185:AE185" si="389">AA2</f>
        <v>2026</v>
      </c>
      <c r="AB185" s="993">
        <f t="shared" si="389"/>
        <v>2027</v>
      </c>
      <c r="AC185" s="993">
        <f t="shared" si="389"/>
        <v>2028</v>
      </c>
      <c r="AD185" s="993">
        <f t="shared" si="389"/>
        <v>2029</v>
      </c>
      <c r="AE185" s="993">
        <f t="shared" si="389"/>
        <v>2030</v>
      </c>
      <c r="AF185" s="130"/>
      <c r="AG185" s="21"/>
      <c r="AH185" s="21"/>
      <c r="AI185" s="21"/>
      <c r="AJ185" s="21"/>
      <c r="AK185" s="21"/>
      <c r="AL185" s="21"/>
      <c r="AM185" s="21"/>
    </row>
    <row r="186" spans="2:41">
      <c r="B186" s="4" t="s">
        <v>1381</v>
      </c>
      <c r="N186" s="51">
        <v>800</v>
      </c>
      <c r="O186" s="51">
        <v>800</v>
      </c>
      <c r="P186" s="51">
        <v>984</v>
      </c>
      <c r="Q186" s="51">
        <v>988</v>
      </c>
      <c r="R186" s="51">
        <f>1383-R273</f>
        <v>981</v>
      </c>
      <c r="S186" s="51">
        <v>927</v>
      </c>
      <c r="T186" s="51">
        <v>1172</v>
      </c>
      <c r="U186" s="51">
        <v>643</v>
      </c>
      <c r="V186" s="51">
        <v>808</v>
      </c>
      <c r="W186" s="983">
        <f t="shared" ref="Q186:Z187" si="390">V186</f>
        <v>808</v>
      </c>
      <c r="X186" s="983">
        <f t="shared" si="390"/>
        <v>808</v>
      </c>
      <c r="Y186" s="983">
        <f t="shared" si="390"/>
        <v>808</v>
      </c>
      <c r="Z186" s="983">
        <f t="shared" si="390"/>
        <v>808</v>
      </c>
      <c r="AA186" s="983">
        <f t="shared" ref="AA186:AA187" si="391">Z186</f>
        <v>808</v>
      </c>
      <c r="AB186" s="983">
        <f t="shared" ref="AB186:AB187" si="392">AA186</f>
        <v>808</v>
      </c>
      <c r="AC186" s="983">
        <f t="shared" ref="AC186:AC187" si="393">AB186</f>
        <v>808</v>
      </c>
      <c r="AD186" s="983">
        <f t="shared" ref="AD186:AD187" si="394">AC186</f>
        <v>808</v>
      </c>
      <c r="AE186" s="983">
        <f t="shared" ref="AE186:AE187" si="395">AD186</f>
        <v>808</v>
      </c>
      <c r="AF186" s="130"/>
      <c r="AG186" s="21"/>
      <c r="AH186" s="21"/>
      <c r="AI186" s="21"/>
      <c r="AJ186" s="21"/>
      <c r="AK186" s="21"/>
      <c r="AL186" s="21"/>
      <c r="AM186" s="21"/>
    </row>
    <row r="187" spans="2:41">
      <c r="B187" s="4" t="s">
        <v>3875</v>
      </c>
      <c r="N187" s="54">
        <v>6.8750000000000006E-2</v>
      </c>
      <c r="O187" s="1044">
        <f>N187</f>
        <v>6.8750000000000006E-2</v>
      </c>
      <c r="P187" s="509">
        <f>P188/P186</f>
        <v>6.5040650406504072E-2</v>
      </c>
      <c r="Q187" s="1044">
        <f t="shared" si="390"/>
        <v>6.5040650406504072E-2</v>
      </c>
      <c r="R187" s="509">
        <f>R188/R186</f>
        <v>6.1162079510703363E-2</v>
      </c>
      <c r="S187" s="509">
        <f>S188/S186</f>
        <v>5.9331175836030203E-2</v>
      </c>
      <c r="T187" s="1044">
        <f t="shared" ref="T187" si="396">S187</f>
        <v>5.9331175836030203E-2</v>
      </c>
      <c r="U187" s="1044">
        <f t="shared" ref="U187" si="397">T187</f>
        <v>5.9331175836030203E-2</v>
      </c>
      <c r="V187" s="1044">
        <f t="shared" si="390"/>
        <v>5.9331175836030203E-2</v>
      </c>
      <c r="W187" s="1044">
        <f t="shared" si="390"/>
        <v>5.9331175836030203E-2</v>
      </c>
      <c r="X187" s="1044">
        <f t="shared" si="390"/>
        <v>5.9331175836030203E-2</v>
      </c>
      <c r="Y187" s="1044">
        <f t="shared" si="390"/>
        <v>5.9331175836030203E-2</v>
      </c>
      <c r="Z187" s="1044">
        <f t="shared" si="390"/>
        <v>5.9331175836030203E-2</v>
      </c>
      <c r="AA187" s="1044">
        <f t="shared" si="391"/>
        <v>5.9331175836030203E-2</v>
      </c>
      <c r="AB187" s="1044">
        <f t="shared" si="392"/>
        <v>5.9331175836030203E-2</v>
      </c>
      <c r="AC187" s="1044">
        <f t="shared" si="393"/>
        <v>5.9331175836030203E-2</v>
      </c>
      <c r="AD187" s="1044">
        <f t="shared" si="394"/>
        <v>5.9331175836030203E-2</v>
      </c>
      <c r="AE187" s="1044">
        <f t="shared" si="395"/>
        <v>5.9331175836030203E-2</v>
      </c>
      <c r="AF187" s="130"/>
      <c r="AG187" s="21"/>
      <c r="AH187" s="21"/>
      <c r="AI187" s="21"/>
      <c r="AJ187" s="21"/>
      <c r="AK187" s="21"/>
      <c r="AL187" s="21"/>
      <c r="AM187" s="21"/>
    </row>
    <row r="188" spans="2:41">
      <c r="B188" s="4" t="s">
        <v>3876</v>
      </c>
      <c r="N188" s="985">
        <f>N186*N187</f>
        <v>55.000000000000007</v>
      </c>
      <c r="O188" s="985">
        <f t="shared" ref="O188:Q188" si="398">O186*O187</f>
        <v>55.000000000000007</v>
      </c>
      <c r="P188" s="51">
        <v>64</v>
      </c>
      <c r="Q188" s="985">
        <f t="shared" si="398"/>
        <v>64.260162601626021</v>
      </c>
      <c r="R188" s="51">
        <f>73-13</f>
        <v>60</v>
      </c>
      <c r="S188" s="51">
        <f>73-18</f>
        <v>55</v>
      </c>
      <c r="T188" s="985">
        <f>AVERAGE(S186,T186)*T187</f>
        <v>62.268069039913698</v>
      </c>
      <c r="U188" s="985">
        <f>AVERAGE(T186,U186)*U187</f>
        <v>53.843042071197409</v>
      </c>
      <c r="V188" s="985">
        <f t="shared" ref="V188:AE188" si="399">AVERAGE(U186,V186)*V187</f>
        <v>43.044768069039911</v>
      </c>
      <c r="W188" s="985">
        <f t="shared" si="399"/>
        <v>47.939590075512406</v>
      </c>
      <c r="X188" s="985">
        <f t="shared" si="399"/>
        <v>47.939590075512406</v>
      </c>
      <c r="Y188" s="985">
        <f t="shared" si="399"/>
        <v>47.939590075512406</v>
      </c>
      <c r="Z188" s="985">
        <f t="shared" si="399"/>
        <v>47.939590075512406</v>
      </c>
      <c r="AA188" s="985">
        <f t="shared" si="399"/>
        <v>47.939590075512406</v>
      </c>
      <c r="AB188" s="985">
        <f t="shared" si="399"/>
        <v>47.939590075512406</v>
      </c>
      <c r="AC188" s="985">
        <f t="shared" si="399"/>
        <v>47.939590075512406</v>
      </c>
      <c r="AD188" s="985">
        <f t="shared" si="399"/>
        <v>47.939590075512406</v>
      </c>
      <c r="AE188" s="985">
        <f t="shared" si="399"/>
        <v>47.939590075512406</v>
      </c>
      <c r="AF188" s="130"/>
      <c r="AG188" s="21"/>
      <c r="AH188" s="21"/>
      <c r="AI188" s="21"/>
      <c r="AJ188" s="21"/>
      <c r="AK188" s="21"/>
      <c r="AL188" s="21"/>
      <c r="AM188" s="21"/>
    </row>
    <row r="189" spans="2:41">
      <c r="B189" s="4" t="s">
        <v>2222</v>
      </c>
      <c r="N189" s="51">
        <v>40</v>
      </c>
      <c r="O189" s="51">
        <v>40</v>
      </c>
      <c r="P189" s="51">
        <v>155</v>
      </c>
      <c r="Q189" s="51">
        <v>289</v>
      </c>
      <c r="R189" s="51">
        <f>331-R274</f>
        <v>318</v>
      </c>
      <c r="S189" s="51">
        <f>S186-706</f>
        <v>221</v>
      </c>
      <c r="T189" s="985">
        <f>T186-T190</f>
        <v>189</v>
      </c>
      <c r="U189" s="985">
        <f>U186-U190</f>
        <v>189</v>
      </c>
      <c r="V189" s="985">
        <f t="shared" ref="V189:AE189" si="400">U189+V214-V216-V215</f>
        <v>231.2545399840958</v>
      </c>
      <c r="W189" s="985">
        <f t="shared" si="400"/>
        <v>383.55116373113594</v>
      </c>
      <c r="X189" s="985">
        <f t="shared" si="400"/>
        <v>485.04785611851929</v>
      </c>
      <c r="Y189" s="985">
        <f t="shared" si="400"/>
        <v>652.98900153918612</v>
      </c>
      <c r="Z189" s="985">
        <f t="shared" si="400"/>
        <v>784.20424721449604</v>
      </c>
      <c r="AA189" s="985">
        <f t="shared" si="400"/>
        <v>901.52708521599607</v>
      </c>
      <c r="AB189" s="985">
        <f t="shared" si="400"/>
        <v>1006.9025307558989</v>
      </c>
      <c r="AC189" s="985">
        <f t="shared" si="400"/>
        <v>1115.2603708377533</v>
      </c>
      <c r="AD189" s="985">
        <f t="shared" si="400"/>
        <v>1223.0880579946288</v>
      </c>
      <c r="AE189" s="985">
        <f t="shared" si="400"/>
        <v>1332.5299931471529</v>
      </c>
      <c r="AF189" s="130"/>
      <c r="AG189" s="21"/>
      <c r="AH189" s="21"/>
      <c r="AI189" s="21"/>
      <c r="AJ189" s="21"/>
      <c r="AK189" s="21"/>
      <c r="AL189" s="21"/>
      <c r="AM189" s="21"/>
    </row>
    <row r="190" spans="2:41">
      <c r="B190" s="4" t="s">
        <v>150</v>
      </c>
      <c r="N190" s="687">
        <f t="shared" ref="N190:S190" si="401">N186-N189</f>
        <v>760</v>
      </c>
      <c r="O190" s="687">
        <f t="shared" si="401"/>
        <v>760</v>
      </c>
      <c r="P190" s="687">
        <f t="shared" si="401"/>
        <v>829</v>
      </c>
      <c r="Q190" s="687">
        <f t="shared" si="401"/>
        <v>699</v>
      </c>
      <c r="R190" s="687">
        <f t="shared" si="401"/>
        <v>663</v>
      </c>
      <c r="S190" s="687">
        <f t="shared" si="401"/>
        <v>706</v>
      </c>
      <c r="T190" s="51">
        <v>983</v>
      </c>
      <c r="U190" s="51">
        <v>454</v>
      </c>
      <c r="V190" s="51">
        <v>654</v>
      </c>
      <c r="W190" s="687">
        <f>W186-W189</f>
        <v>424.44883626886406</v>
      </c>
      <c r="X190" s="687">
        <f>X186-X189</f>
        <v>322.95214388148071</v>
      </c>
      <c r="Y190" s="687">
        <f>Y186-Y189</f>
        <v>155.01099846081388</v>
      </c>
      <c r="Z190" s="687">
        <f>Z186-Z189</f>
        <v>23.795752785503964</v>
      </c>
      <c r="AA190" s="687">
        <f t="shared" ref="AA190:AE190" si="402">AA186-AA189</f>
        <v>-93.527085215996067</v>
      </c>
      <c r="AB190" s="687">
        <f t="shared" si="402"/>
        <v>-198.90253075589885</v>
      </c>
      <c r="AC190" s="687">
        <f t="shared" si="402"/>
        <v>-307.26037083775327</v>
      </c>
      <c r="AD190" s="687">
        <f t="shared" si="402"/>
        <v>-415.0880579946288</v>
      </c>
      <c r="AE190" s="687">
        <f t="shared" si="402"/>
        <v>-524.52999314715294</v>
      </c>
      <c r="AF190" s="130"/>
      <c r="AG190" s="21"/>
      <c r="AH190" s="21"/>
      <c r="AI190" s="21"/>
      <c r="AJ190" s="21"/>
      <c r="AK190" s="21"/>
      <c r="AL190" s="21"/>
      <c r="AM190" s="21"/>
    </row>
    <row r="191" spans="2:41">
      <c r="B191" s="4" t="s">
        <v>3055</v>
      </c>
      <c r="N191" s="1254">
        <f>N190/N115</f>
        <v>1.2603648424543947</v>
      </c>
      <c r="O191" s="1254">
        <f t="shared" ref="O191:S191" si="403">O190/O195</f>
        <v>1.1987467880625517</v>
      </c>
      <c r="P191" s="1254">
        <f t="shared" si="403"/>
        <v>1.2727911685931494</v>
      </c>
      <c r="Q191" s="1254">
        <f t="shared" si="403"/>
        <v>1.1066128100215786</v>
      </c>
      <c r="R191" s="1254">
        <f t="shared" si="403"/>
        <v>0.99699248120300754</v>
      </c>
      <c r="S191" s="1254">
        <f t="shared" si="403"/>
        <v>1.0246734397677795</v>
      </c>
      <c r="T191" s="1254">
        <f>T190/T195</f>
        <v>1.3124165554072096</v>
      </c>
      <c r="U191" s="1254">
        <f>U190/U195</f>
        <v>0.58279845956354304</v>
      </c>
      <c r="V191" s="1254">
        <f t="shared" ref="V191" si="404">V190/V195</f>
        <v>0.76312718786464406</v>
      </c>
      <c r="W191" s="1254">
        <f t="shared" ref="W191:AE191" si="405">W190/W195</f>
        <v>0.49580510731340999</v>
      </c>
      <c r="X191" s="1254">
        <f t="shared" si="405"/>
        <v>0.39857595216562564</v>
      </c>
      <c r="Y191" s="1254">
        <f t="shared" si="405"/>
        <v>0.17881856205794011</v>
      </c>
      <c r="Z191" s="1254">
        <f t="shared" si="405"/>
        <v>2.6668182866328934E-2</v>
      </c>
      <c r="AA191" s="1254">
        <f t="shared" si="405"/>
        <v>-0.10287211872380668</v>
      </c>
      <c r="AB191" s="1254">
        <f t="shared" si="405"/>
        <v>-0.21472121588180129</v>
      </c>
      <c r="AC191" s="1254">
        <f t="shared" si="405"/>
        <v>-0.32555437660234093</v>
      </c>
      <c r="AD191" s="1254">
        <f t="shared" si="405"/>
        <v>-0.43351074146177426</v>
      </c>
      <c r="AE191" s="1254">
        <f t="shared" si="405"/>
        <v>-0.5399848305391407</v>
      </c>
      <c r="AF191" s="130"/>
      <c r="AG191" s="21"/>
      <c r="AH191" s="21"/>
      <c r="AI191" s="21"/>
      <c r="AJ191" s="21"/>
      <c r="AK191" s="21"/>
      <c r="AL191" s="21"/>
      <c r="AM191" s="21"/>
    </row>
    <row r="192" spans="2:41">
      <c r="B192" s="4"/>
      <c r="N192" s="985"/>
      <c r="O192" s="985"/>
      <c r="P192" s="985"/>
      <c r="Q192" s="985"/>
      <c r="R192" s="985"/>
      <c r="S192" s="985"/>
      <c r="T192" s="985"/>
      <c r="U192" s="985"/>
      <c r="V192" s="985"/>
      <c r="W192" s="985"/>
      <c r="X192" s="985"/>
      <c r="Y192" s="985"/>
      <c r="Z192" s="985"/>
      <c r="AA192" s="985"/>
      <c r="AB192" s="985"/>
      <c r="AC192" s="985"/>
      <c r="AD192" s="985"/>
      <c r="AE192" s="985"/>
      <c r="AF192" s="130"/>
      <c r="AG192" s="21"/>
      <c r="AH192" s="21"/>
      <c r="AI192" s="21"/>
      <c r="AJ192" s="21"/>
      <c r="AK192" s="21"/>
      <c r="AL192" s="21"/>
      <c r="AM192" s="21"/>
    </row>
    <row r="193" spans="2:39">
      <c r="B193" s="117" t="s">
        <v>758</v>
      </c>
      <c r="N193" s="985"/>
      <c r="O193" s="985">
        <f>'New split'!D6</f>
        <v>1247.4242159372479</v>
      </c>
      <c r="P193" s="985">
        <f>'New split'!E6</f>
        <v>1305.7050205101259</v>
      </c>
      <c r="Q193" s="985">
        <f>'New split'!F6</f>
        <v>1284.437421103871</v>
      </c>
      <c r="R193" s="985">
        <f>'New split'!G6</f>
        <v>1327</v>
      </c>
      <c r="S193" s="985">
        <f>'New split'!H6</f>
        <v>1373</v>
      </c>
      <c r="T193" s="985">
        <f>'New split'!I6</f>
        <v>1435</v>
      </c>
      <c r="U193" s="985">
        <f>'New split'!J6</f>
        <v>1503</v>
      </c>
      <c r="V193" s="985">
        <f>'New split'!K6</f>
        <v>1600</v>
      </c>
      <c r="W193" s="985">
        <f>'New split'!L6</f>
        <v>1618.395</v>
      </c>
      <c r="X193" s="985">
        <f>'New split'!M6</f>
        <v>1564.4625999999998</v>
      </c>
      <c r="Y193" s="985">
        <f>'New split'!N6</f>
        <v>1603.0111999999999</v>
      </c>
      <c r="Z193" s="985">
        <f>'New split'!O6</f>
        <v>1652.3888816467534</v>
      </c>
      <c r="AA193" s="985">
        <f>'New split'!P6</f>
        <v>1675.8686339788608</v>
      </c>
      <c r="AB193" s="985">
        <f>'New split'!Q6</f>
        <v>1699.6865937554721</v>
      </c>
      <c r="AC193" s="985">
        <f>'New split'!R6</f>
        <v>1723.8476798817187</v>
      </c>
      <c r="AD193" s="985">
        <f>'New split'!S6</f>
        <v>1740.9154786924287</v>
      </c>
      <c r="AE193" s="985">
        <f>'New split'!T6</f>
        <v>1758.1522656101756</v>
      </c>
      <c r="AF193" s="130"/>
      <c r="AG193" s="21"/>
      <c r="AH193" s="21"/>
      <c r="AI193" s="21"/>
      <c r="AJ193" s="21"/>
      <c r="AK193" s="21"/>
      <c r="AL193" s="21"/>
      <c r="AM193" s="21"/>
    </row>
    <row r="194" spans="2:39">
      <c r="B194" s="117"/>
      <c r="N194" s="985"/>
      <c r="O194" s="985"/>
      <c r="P194" s="985"/>
      <c r="Q194" s="985"/>
      <c r="R194" s="985"/>
      <c r="S194" s="985"/>
      <c r="T194" s="985"/>
      <c r="U194" s="985"/>
      <c r="V194" s="985"/>
      <c r="W194" s="985"/>
      <c r="X194" s="985"/>
      <c r="Y194" s="985"/>
      <c r="Z194" s="985"/>
      <c r="AA194" s="985"/>
      <c r="AB194" s="985"/>
      <c r="AC194" s="985"/>
      <c r="AD194" s="985"/>
      <c r="AE194" s="985"/>
      <c r="AF194" s="130"/>
      <c r="AG194" s="21"/>
      <c r="AH194" s="21"/>
      <c r="AI194" s="21"/>
      <c r="AJ194" s="21"/>
      <c r="AK194" s="21"/>
      <c r="AL194" s="21"/>
      <c r="AM194" s="21"/>
    </row>
    <row r="195" spans="2:39">
      <c r="B195" s="117" t="s">
        <v>360</v>
      </c>
      <c r="N195" s="985"/>
      <c r="O195" s="985">
        <f>'New split'!D274</f>
        <v>633.99544221372503</v>
      </c>
      <c r="P195" s="985">
        <f>'New split'!E274</f>
        <v>651.32444383340294</v>
      </c>
      <c r="Q195" s="985">
        <f>'New split'!F274</f>
        <v>631.65724603022602</v>
      </c>
      <c r="R195" s="985">
        <f>'New split'!G274</f>
        <v>665</v>
      </c>
      <c r="S195" s="985">
        <f>'New split'!H274</f>
        <v>689</v>
      </c>
      <c r="T195" s="985">
        <f>'New split'!I274</f>
        <v>749</v>
      </c>
      <c r="U195" s="985">
        <f>'New split'!J274</f>
        <v>779</v>
      </c>
      <c r="V195" s="985">
        <f>'New split'!K274</f>
        <v>857</v>
      </c>
      <c r="W195" s="985">
        <f>'New split'!L274</f>
        <v>856.08</v>
      </c>
      <c r="X195" s="985">
        <f>'New split'!M274</f>
        <v>810.2650000000001</v>
      </c>
      <c r="Y195" s="985">
        <f>'New split'!N274</f>
        <v>866.86189999999999</v>
      </c>
      <c r="Z195" s="985">
        <f>'New split'!O274</f>
        <v>892.28999608924687</v>
      </c>
      <c r="AA195" s="985">
        <f>'New split'!P274</f>
        <v>909.15873393353195</v>
      </c>
      <c r="AB195" s="985">
        <f>'New split'!Q274</f>
        <v>926.32919359673224</v>
      </c>
      <c r="AC195" s="985">
        <f>'New split'!R274</f>
        <v>943.80660473524074</v>
      </c>
      <c r="AD195" s="985">
        <f>'New split'!S274</f>
        <v>957.50351328083548</v>
      </c>
      <c r="AE195" s="985">
        <f>'New split'!T274</f>
        <v>971.37912674962161</v>
      </c>
      <c r="AF195" s="130"/>
      <c r="AG195" s="21"/>
      <c r="AH195" s="21"/>
      <c r="AI195" s="21"/>
      <c r="AJ195" s="21"/>
      <c r="AK195" s="21"/>
      <c r="AL195" s="21"/>
      <c r="AM195" s="21"/>
    </row>
    <row r="196" spans="2:39">
      <c r="B196" s="117" t="s">
        <v>1434</v>
      </c>
      <c r="N196" s="985"/>
      <c r="O196" s="449">
        <f>O195/O193</f>
        <v>0.50824365449517483</v>
      </c>
      <c r="P196" s="449">
        <f t="shared" ref="P196:AE196" si="406">P195/P193</f>
        <v>0.49882970012548239</v>
      </c>
      <c r="Q196" s="449">
        <f t="shared" si="406"/>
        <v>0.49177736155286356</v>
      </c>
      <c r="R196" s="449">
        <f t="shared" si="406"/>
        <v>0.50113036925395626</v>
      </c>
      <c r="S196" s="449">
        <f t="shared" si="406"/>
        <v>0.50182083029861613</v>
      </c>
      <c r="T196" s="449">
        <f t="shared" si="406"/>
        <v>0.52195121951219514</v>
      </c>
      <c r="U196" s="449">
        <f t="shared" si="406"/>
        <v>0.51829673985362612</v>
      </c>
      <c r="V196" s="449">
        <f t="shared" si="406"/>
        <v>0.53562500000000002</v>
      </c>
      <c r="W196" s="449">
        <f t="shared" si="406"/>
        <v>0.52896851510292608</v>
      </c>
      <c r="X196" s="449">
        <f t="shared" si="406"/>
        <v>0.51791906051317571</v>
      </c>
      <c r="Y196" s="449">
        <f t="shared" si="406"/>
        <v>0.5407709565597546</v>
      </c>
      <c r="Z196" s="449">
        <f t="shared" si="406"/>
        <v>0.54</v>
      </c>
      <c r="AA196" s="449">
        <f t="shared" si="406"/>
        <v>0.54249999999999998</v>
      </c>
      <c r="AB196" s="449">
        <f t="shared" si="406"/>
        <v>0.54499999999999993</v>
      </c>
      <c r="AC196" s="449">
        <f t="shared" si="406"/>
        <v>0.54749999999999988</v>
      </c>
      <c r="AD196" s="449">
        <f t="shared" si="406"/>
        <v>0.54999999999999982</v>
      </c>
      <c r="AE196" s="449">
        <f t="shared" si="406"/>
        <v>0.55249999999999977</v>
      </c>
      <c r="AF196" s="130"/>
      <c r="AG196" s="21"/>
      <c r="AH196" s="21"/>
      <c r="AI196" s="21"/>
      <c r="AJ196" s="21"/>
      <c r="AK196" s="21"/>
      <c r="AL196" s="21"/>
      <c r="AM196" s="21"/>
    </row>
    <row r="197" spans="2:39">
      <c r="B197" s="4"/>
      <c r="N197" s="985"/>
      <c r="O197" s="985"/>
      <c r="P197" s="985"/>
      <c r="Q197" s="985"/>
      <c r="R197" s="985"/>
      <c r="S197" s="985"/>
      <c r="T197" s="985"/>
      <c r="U197" s="985"/>
      <c r="V197" s="985"/>
      <c r="W197" s="985"/>
      <c r="X197" s="985"/>
      <c r="Y197" s="985"/>
      <c r="Z197" s="985"/>
      <c r="AA197" s="985"/>
      <c r="AB197" s="985"/>
      <c r="AC197" s="985"/>
      <c r="AD197" s="985"/>
      <c r="AE197" s="985"/>
      <c r="AF197" s="130"/>
      <c r="AG197" s="21"/>
      <c r="AH197" s="21"/>
      <c r="AI197" s="21"/>
      <c r="AJ197" s="21"/>
      <c r="AK197" s="21"/>
      <c r="AL197" s="21"/>
      <c r="AM197" s="21"/>
    </row>
    <row r="198" spans="2:39">
      <c r="B198" s="4" t="s">
        <v>1453</v>
      </c>
      <c r="N198" s="985">
        <f>N115-N200</f>
        <v>149</v>
      </c>
      <c r="O198" s="985">
        <f>O115-O200</f>
        <v>202.15800000000002</v>
      </c>
      <c r="P198" s="51">
        <v>232</v>
      </c>
      <c r="Q198" s="985">
        <f>Q199*Q105</f>
        <v>254.02416594017188</v>
      </c>
      <c r="R198" s="51">
        <v>206</v>
      </c>
      <c r="S198" s="51">
        <v>197</v>
      </c>
      <c r="T198" s="985">
        <f>T199*'New split'!I6</f>
        <v>315.7</v>
      </c>
      <c r="U198" s="985">
        <f>U199*'New split'!J6</f>
        <v>330.66</v>
      </c>
      <c r="V198" s="985">
        <f>V199*'New split'!K6</f>
        <v>320</v>
      </c>
      <c r="W198" s="985">
        <f>W199*'New split'!L6</f>
        <v>307.49504999999999</v>
      </c>
      <c r="X198" s="985">
        <f>X199*'New split'!M6</f>
        <v>281.60326799999996</v>
      </c>
      <c r="Y198" s="985">
        <f>Y199*'New split'!N6</f>
        <v>272.51190400000002</v>
      </c>
      <c r="Z198" s="985">
        <f>Z199*'New split'!O6</f>
        <v>264.38222106348053</v>
      </c>
      <c r="AA198" s="985">
        <f>AA199*'New split'!P6</f>
        <v>251.38029509682912</v>
      </c>
      <c r="AB198" s="985">
        <f>AB199*'New split'!Q6</f>
        <v>254.95298906332081</v>
      </c>
      <c r="AC198" s="985">
        <f>AC199*'New split'!R6</f>
        <v>258.57715198225782</v>
      </c>
      <c r="AD198" s="985">
        <f>AD199*'New split'!S6</f>
        <v>261.13732180386427</v>
      </c>
      <c r="AE198" s="985">
        <f>AE199*'New split'!T6</f>
        <v>263.72283984152631</v>
      </c>
      <c r="AF198" s="130"/>
      <c r="AG198" s="21"/>
      <c r="AH198" s="21"/>
      <c r="AI198" s="21"/>
      <c r="AJ198" s="21"/>
      <c r="AK198" s="21"/>
      <c r="AL198" s="21"/>
      <c r="AM198" s="21"/>
    </row>
    <row r="199" spans="2:39">
      <c r="B199" s="4" t="s">
        <v>1431</v>
      </c>
      <c r="N199" s="449">
        <f>N198/N105</f>
        <v>0.12767780634104542</v>
      </c>
      <c r="O199" s="449">
        <f>O198/O105</f>
        <v>0.162768115942029</v>
      </c>
      <c r="P199" s="449">
        <f>P198/P105</f>
        <v>0.1776416539050536</v>
      </c>
      <c r="Q199" s="984">
        <v>0.2</v>
      </c>
      <c r="R199" s="449">
        <f>R198/R105</f>
        <v>0.15852278019391555</v>
      </c>
      <c r="S199" s="449">
        <f>S198/S105</f>
        <v>0.14698133320560069</v>
      </c>
      <c r="T199" s="984">
        <v>0.22</v>
      </c>
      <c r="U199" s="984">
        <v>0.22</v>
      </c>
      <c r="V199" s="984">
        <v>0.2</v>
      </c>
      <c r="W199" s="984">
        <v>0.19</v>
      </c>
      <c r="X199" s="984">
        <v>0.18</v>
      </c>
      <c r="Y199" s="984">
        <v>0.17</v>
      </c>
      <c r="Z199" s="984">
        <v>0.16</v>
      </c>
      <c r="AA199" s="984">
        <v>0.15</v>
      </c>
      <c r="AB199" s="984">
        <v>0.15</v>
      </c>
      <c r="AC199" s="984">
        <v>0.15</v>
      </c>
      <c r="AD199" s="984">
        <v>0.15</v>
      </c>
      <c r="AE199" s="984">
        <v>0.15</v>
      </c>
      <c r="AF199" s="130"/>
      <c r="AG199" s="21"/>
      <c r="AH199" s="21"/>
      <c r="AI199" s="21"/>
      <c r="AJ199" s="21"/>
      <c r="AK199" s="21"/>
      <c r="AL199" s="21"/>
      <c r="AM199" s="21"/>
    </row>
    <row r="200" spans="2:39">
      <c r="B200" s="4" t="s">
        <v>392</v>
      </c>
      <c r="N200" s="51">
        <v>454</v>
      </c>
      <c r="O200" s="51">
        <v>432</v>
      </c>
      <c r="P200" s="518">
        <f>P115-P198</f>
        <v>437.80499999999995</v>
      </c>
      <c r="Q200" s="518">
        <f>Q195-Q198</f>
        <v>377.63308009005414</v>
      </c>
      <c r="R200" s="518">
        <f t="shared" ref="R200:AE200" si="407">R195-R198</f>
        <v>459</v>
      </c>
      <c r="S200" s="518">
        <f t="shared" si="407"/>
        <v>492</v>
      </c>
      <c r="T200" s="518">
        <f t="shared" si="407"/>
        <v>433.3</v>
      </c>
      <c r="U200" s="518">
        <f t="shared" si="407"/>
        <v>448.34</v>
      </c>
      <c r="V200" s="518">
        <f t="shared" si="407"/>
        <v>537</v>
      </c>
      <c r="W200" s="518">
        <f t="shared" si="407"/>
        <v>548.58495000000005</v>
      </c>
      <c r="X200" s="518">
        <f t="shared" si="407"/>
        <v>528.66173200000014</v>
      </c>
      <c r="Y200" s="518">
        <f t="shared" si="407"/>
        <v>594.34999599999992</v>
      </c>
      <c r="Z200" s="518">
        <f t="shared" si="407"/>
        <v>627.90777502576634</v>
      </c>
      <c r="AA200" s="518">
        <f t="shared" si="407"/>
        <v>657.77843883670289</v>
      </c>
      <c r="AB200" s="518">
        <f t="shared" si="407"/>
        <v>671.3762045334114</v>
      </c>
      <c r="AC200" s="518">
        <f t="shared" si="407"/>
        <v>685.22945275298298</v>
      </c>
      <c r="AD200" s="518">
        <f t="shared" si="407"/>
        <v>696.36619147697115</v>
      </c>
      <c r="AE200" s="518">
        <f t="shared" si="407"/>
        <v>707.65628690809535</v>
      </c>
      <c r="AF200" s="130"/>
      <c r="AG200" s="21"/>
      <c r="AH200" s="21"/>
      <c r="AI200" s="21"/>
      <c r="AJ200" s="21"/>
      <c r="AK200" s="21"/>
      <c r="AL200" s="21"/>
      <c r="AM200" s="21"/>
    </row>
    <row r="201" spans="2:39">
      <c r="B201" s="4"/>
      <c r="N201" s="985"/>
      <c r="O201" s="985"/>
      <c r="P201" s="985"/>
      <c r="Q201" s="985"/>
      <c r="R201" s="985"/>
      <c r="S201" s="985"/>
      <c r="T201" s="985"/>
      <c r="U201" s="985"/>
      <c r="V201" s="985"/>
      <c r="W201" s="985"/>
      <c r="X201" s="985"/>
      <c r="Y201" s="985"/>
      <c r="Z201" s="985"/>
      <c r="AA201" s="985"/>
      <c r="AB201" s="985"/>
      <c r="AC201" s="985"/>
      <c r="AD201" s="985"/>
      <c r="AE201" s="985"/>
      <c r="AF201" s="130"/>
      <c r="AG201" s="21"/>
      <c r="AH201" s="21"/>
      <c r="AI201" s="21"/>
      <c r="AJ201" s="21"/>
      <c r="AK201" s="21"/>
      <c r="AL201" s="21"/>
      <c r="AM201" s="21"/>
    </row>
    <row r="202" spans="2:39">
      <c r="B202" s="4" t="s">
        <v>1540</v>
      </c>
      <c r="N202" s="985"/>
      <c r="O202" s="985"/>
      <c r="P202" s="985">
        <f>-(P200-P188-P203)</f>
        <v>-18.80499999999995</v>
      </c>
      <c r="Q202" s="983">
        <v>0</v>
      </c>
      <c r="R202" s="51">
        <f>-18+13</f>
        <v>-5</v>
      </c>
      <c r="S202" s="51">
        <f>-9-23</f>
        <v>-32</v>
      </c>
      <c r="T202" s="1255">
        <f>-(T200-T207-T209)</f>
        <v>-105.57727272727277</v>
      </c>
      <c r="U202" s="1255">
        <f>-(U200-U207-U209)</f>
        <v>-126.76636363636365</v>
      </c>
      <c r="V202" s="1117">
        <v>0</v>
      </c>
      <c r="W202" s="1117">
        <v>0</v>
      </c>
      <c r="X202" s="1117">
        <v>0</v>
      </c>
      <c r="Y202" s="1117">
        <v>0</v>
      </c>
      <c r="Z202" s="1117">
        <v>0</v>
      </c>
      <c r="AA202" s="1117">
        <v>0</v>
      </c>
      <c r="AB202" s="1117">
        <v>0</v>
      </c>
      <c r="AC202" s="1117">
        <v>0</v>
      </c>
      <c r="AD202" s="1117">
        <v>0</v>
      </c>
      <c r="AE202" s="1117">
        <v>0</v>
      </c>
      <c r="AF202" s="130"/>
      <c r="AG202" s="21"/>
      <c r="AH202" s="21"/>
      <c r="AI202" s="21"/>
      <c r="AJ202" s="21"/>
      <c r="AK202" s="21"/>
      <c r="AL202" s="21"/>
      <c r="AM202" s="21"/>
    </row>
    <row r="203" spans="2:39">
      <c r="B203" s="4" t="s">
        <v>2097</v>
      </c>
      <c r="N203" s="985">
        <f>N200-N188</f>
        <v>399</v>
      </c>
      <c r="O203" s="985">
        <f>O200-O188</f>
        <v>377</v>
      </c>
      <c r="P203" s="51">
        <v>355</v>
      </c>
      <c r="Q203" s="985">
        <f>Q200-Q188</f>
        <v>313.37291748842813</v>
      </c>
      <c r="R203" s="985">
        <f t="shared" ref="R203:AE203" si="408">R200-R188+R202</f>
        <v>394</v>
      </c>
      <c r="S203" s="985">
        <f t="shared" si="408"/>
        <v>405</v>
      </c>
      <c r="T203" s="985">
        <f t="shared" si="408"/>
        <v>265.45465823281353</v>
      </c>
      <c r="U203" s="985">
        <f t="shared" si="408"/>
        <v>267.73059429243892</v>
      </c>
      <c r="V203" s="985">
        <f t="shared" si="408"/>
        <v>493.95523193096011</v>
      </c>
      <c r="W203" s="985">
        <f t="shared" si="408"/>
        <v>500.64535992448765</v>
      </c>
      <c r="X203" s="985">
        <f t="shared" si="408"/>
        <v>480.72214192448774</v>
      </c>
      <c r="Y203" s="985">
        <f t="shared" si="408"/>
        <v>546.41040592448746</v>
      </c>
      <c r="Z203" s="985">
        <f t="shared" si="408"/>
        <v>579.96818495025389</v>
      </c>
      <c r="AA203" s="985">
        <f t="shared" si="408"/>
        <v>609.83884876119043</v>
      </c>
      <c r="AB203" s="985">
        <f t="shared" si="408"/>
        <v>623.43661445789894</v>
      </c>
      <c r="AC203" s="985">
        <f t="shared" si="408"/>
        <v>637.28986267747052</v>
      </c>
      <c r="AD203" s="985">
        <f t="shared" si="408"/>
        <v>648.4266014014587</v>
      </c>
      <c r="AE203" s="985">
        <f t="shared" si="408"/>
        <v>659.7166968325829</v>
      </c>
      <c r="AF203" s="130"/>
      <c r="AG203" s="21"/>
      <c r="AH203" s="21"/>
      <c r="AI203" s="21"/>
      <c r="AJ203" s="21"/>
      <c r="AK203" s="21"/>
      <c r="AL203" s="21"/>
      <c r="AM203" s="21"/>
    </row>
    <row r="204" spans="2:39">
      <c r="B204" s="4"/>
      <c r="N204" s="985"/>
      <c r="O204" s="985"/>
      <c r="P204" s="985"/>
      <c r="Q204" s="985"/>
      <c r="R204" s="985"/>
      <c r="S204" s="985"/>
      <c r="T204" s="985"/>
      <c r="U204" s="985"/>
      <c r="V204" s="985"/>
      <c r="W204" s="985"/>
      <c r="X204" s="985"/>
      <c r="Y204" s="985"/>
      <c r="Z204" s="985"/>
      <c r="AA204" s="985"/>
      <c r="AB204" s="985"/>
      <c r="AC204" s="985"/>
      <c r="AD204" s="985"/>
      <c r="AE204" s="985"/>
      <c r="AF204" s="130"/>
      <c r="AG204" s="21"/>
      <c r="AH204" s="21"/>
      <c r="AI204" s="21"/>
      <c r="AJ204" s="21"/>
      <c r="AK204" s="21"/>
      <c r="AL204" s="21"/>
      <c r="AM204" s="21"/>
    </row>
    <row r="205" spans="2:39">
      <c r="B205" s="117" t="s">
        <v>7314</v>
      </c>
      <c r="N205" s="54">
        <v>0.13</v>
      </c>
      <c r="O205" s="54">
        <v>0.16</v>
      </c>
      <c r="P205" s="486">
        <f>P207/P203</f>
        <v>0.21690140845070421</v>
      </c>
      <c r="Q205" s="984">
        <v>0.22</v>
      </c>
      <c r="R205" s="486">
        <f>R207/R203</f>
        <v>0.18781725888324874</v>
      </c>
      <c r="S205" s="486">
        <f>S207/S203</f>
        <v>0.17037037037037037</v>
      </c>
      <c r="T205" s="486">
        <f t="shared" ref="T205:AE205" si="409">T207/T203</f>
        <v>0.37840737348033898</v>
      </c>
      <c r="U205" s="486">
        <f t="shared" si="409"/>
        <v>0.3929696577189844</v>
      </c>
      <c r="V205" s="486">
        <f t="shared" si="409"/>
        <v>0.22674119588160208</v>
      </c>
      <c r="W205" s="486">
        <f t="shared" si="409"/>
        <v>0.22628323174130124</v>
      </c>
      <c r="X205" s="486">
        <f t="shared" si="409"/>
        <v>0.22780806717490934</v>
      </c>
      <c r="Y205" s="486">
        <f t="shared" si="409"/>
        <v>0.20535989575481703</v>
      </c>
      <c r="Z205" s="486">
        <f t="shared" si="409"/>
        <v>0.19943718417104891</v>
      </c>
      <c r="AA205" s="486">
        <f t="shared" si="409"/>
        <v>0.19236361313619516</v>
      </c>
      <c r="AB205" s="486">
        <f t="shared" si="409"/>
        <v>0.19084227458526615</v>
      </c>
      <c r="AC205" s="486">
        <f t="shared" si="409"/>
        <v>0.18934764956835742</v>
      </c>
      <c r="AD205" s="486">
        <f t="shared" si="409"/>
        <v>0.18793813092350389</v>
      </c>
      <c r="AE205" s="486">
        <f t="shared" si="409"/>
        <v>0.18655077123801234</v>
      </c>
      <c r="AF205" s="130"/>
      <c r="AG205" s="21"/>
      <c r="AH205" s="21"/>
      <c r="AI205" s="21"/>
      <c r="AJ205" s="21"/>
      <c r="AK205" s="21"/>
      <c r="AL205" s="21"/>
      <c r="AM205" s="21"/>
    </row>
    <row r="206" spans="2:39">
      <c r="B206" s="117" t="s">
        <v>7431</v>
      </c>
      <c r="N206" s="54"/>
      <c r="O206" s="54"/>
      <c r="P206" s="486"/>
      <c r="Q206" s="984"/>
      <c r="R206" s="984">
        <v>7.0000000000000007E-2</v>
      </c>
      <c r="S206" s="984">
        <v>7.0000000000000007E-2</v>
      </c>
      <c r="T206" s="984">
        <v>7.0000000000000007E-2</v>
      </c>
      <c r="U206" s="984">
        <v>7.0000000000000007E-2</v>
      </c>
      <c r="V206" s="984">
        <v>7.0000000000000007E-2</v>
      </c>
      <c r="W206" s="984">
        <v>7.0000000000000007E-2</v>
      </c>
      <c r="X206" s="984">
        <v>7.0000000000000007E-2</v>
      </c>
      <c r="Y206" s="984">
        <v>7.0000000000000007E-2</v>
      </c>
      <c r="Z206" s="984">
        <v>7.0000000000000007E-2</v>
      </c>
      <c r="AA206" s="984">
        <v>7.0000000000000007E-2</v>
      </c>
      <c r="AB206" s="984">
        <v>7.0000000000000007E-2</v>
      </c>
      <c r="AC206" s="984">
        <v>7.0000000000000007E-2</v>
      </c>
      <c r="AD206" s="984">
        <v>7.0000000000000007E-2</v>
      </c>
      <c r="AE206" s="984">
        <v>7.0000000000000007E-2</v>
      </c>
      <c r="AF206" s="130"/>
      <c r="AG206" s="21"/>
      <c r="AH206" s="21"/>
      <c r="AI206" s="21"/>
      <c r="AJ206" s="21"/>
      <c r="AK206" s="21"/>
      <c r="AL206" s="21"/>
      <c r="AM206" s="21"/>
    </row>
    <row r="207" spans="2:39">
      <c r="B207" s="4" t="s">
        <v>395</v>
      </c>
      <c r="N207" s="518">
        <f>N205*N203</f>
        <v>51.870000000000005</v>
      </c>
      <c r="O207" s="518">
        <f>O205*O203</f>
        <v>60.32</v>
      </c>
      <c r="P207" s="51">
        <v>77</v>
      </c>
      <c r="Q207" s="518">
        <f>Q205*Q203</f>
        <v>68.942041847454192</v>
      </c>
      <c r="R207" s="51">
        <v>74</v>
      </c>
      <c r="S207" s="51">
        <v>69</v>
      </c>
      <c r="T207" s="518">
        <f>T206*T193</f>
        <v>100.45</v>
      </c>
      <c r="U207" s="518">
        <f t="shared" ref="U207:AE207" si="410">U206*U193</f>
        <v>105.21000000000001</v>
      </c>
      <c r="V207" s="518">
        <f t="shared" si="410"/>
        <v>112.00000000000001</v>
      </c>
      <c r="W207" s="518">
        <f t="shared" si="410"/>
        <v>113.28765000000001</v>
      </c>
      <c r="X207" s="518">
        <f t="shared" si="410"/>
        <v>109.512382</v>
      </c>
      <c r="Y207" s="518">
        <f t="shared" si="410"/>
        <v>112.210784</v>
      </c>
      <c r="Z207" s="518">
        <f t="shared" si="410"/>
        <v>115.66722171527275</v>
      </c>
      <c r="AA207" s="518">
        <f t="shared" si="410"/>
        <v>117.31080437852026</v>
      </c>
      <c r="AB207" s="518">
        <f t="shared" si="410"/>
        <v>118.97806156288306</v>
      </c>
      <c r="AC207" s="518">
        <f t="shared" si="410"/>
        <v>120.66933759172032</v>
      </c>
      <c r="AD207" s="518">
        <f t="shared" si="410"/>
        <v>121.86408350847002</v>
      </c>
      <c r="AE207" s="518">
        <f t="shared" si="410"/>
        <v>123.07065859271231</v>
      </c>
      <c r="AF207" s="130"/>
      <c r="AG207" s="21"/>
      <c r="AH207" s="21"/>
      <c r="AI207" s="21"/>
      <c r="AJ207" s="21"/>
      <c r="AK207" s="21"/>
      <c r="AL207" s="21"/>
      <c r="AM207" s="21"/>
    </row>
    <row r="208" spans="2:39">
      <c r="B208" s="4"/>
      <c r="N208" s="985"/>
      <c r="O208" s="985"/>
      <c r="P208" s="456">
        <f>P207/P105</f>
        <v>5.8958652373660034E-2</v>
      </c>
      <c r="Q208" s="1000"/>
      <c r="R208" s="456">
        <f>R207/R105</f>
        <v>5.6945076380338598E-2</v>
      </c>
      <c r="S208" s="456">
        <f>S207/S105</f>
        <v>5.1480771528865224E-2</v>
      </c>
      <c r="T208" s="985"/>
      <c r="U208" s="985"/>
      <c r="V208" s="985"/>
      <c r="W208" s="985"/>
      <c r="X208" s="985"/>
      <c r="Y208" s="985"/>
      <c r="Z208" s="985"/>
      <c r="AA208" s="985"/>
      <c r="AB208" s="985"/>
      <c r="AC208" s="985"/>
      <c r="AD208" s="985"/>
      <c r="AE208" s="985"/>
      <c r="AF208" s="130"/>
      <c r="AG208" s="21"/>
      <c r="AH208" s="21"/>
      <c r="AI208" s="21"/>
      <c r="AJ208" s="21"/>
      <c r="AK208" s="21"/>
      <c r="AL208" s="21"/>
      <c r="AM208" s="21"/>
    </row>
    <row r="209" spans="2:39">
      <c r="B209" s="4" t="s">
        <v>3885</v>
      </c>
      <c r="N209" s="985">
        <f t="shared" ref="N209:S209" si="411">N203-N207</f>
        <v>347.13</v>
      </c>
      <c r="O209" s="985">
        <f t="shared" si="411"/>
        <v>316.68</v>
      </c>
      <c r="P209" s="985">
        <f t="shared" si="411"/>
        <v>278</v>
      </c>
      <c r="Q209" s="985">
        <f t="shared" si="411"/>
        <v>244.43087564097394</v>
      </c>
      <c r="R209" s="985">
        <f t="shared" si="411"/>
        <v>320</v>
      </c>
      <c r="S209" s="985">
        <f t="shared" si="411"/>
        <v>336</v>
      </c>
      <c r="T209" s="51">
        <f>-Master!V345/T218</f>
        <v>227.27272727272725</v>
      </c>
      <c r="U209" s="51">
        <f>-Master!W345/U218</f>
        <v>216.36363636363635</v>
      </c>
      <c r="V209" s="985">
        <f t="shared" ref="V209:AE209" si="412">V203-V207</f>
        <v>381.95523193096011</v>
      </c>
      <c r="W209" s="985">
        <f t="shared" si="412"/>
        <v>387.35770992448761</v>
      </c>
      <c r="X209" s="985">
        <f t="shared" si="412"/>
        <v>371.20975992448774</v>
      </c>
      <c r="Y209" s="985">
        <f t="shared" si="412"/>
        <v>434.19962192448747</v>
      </c>
      <c r="Z209" s="985">
        <f t="shared" si="412"/>
        <v>464.30096323498117</v>
      </c>
      <c r="AA209" s="985">
        <f t="shared" si="412"/>
        <v>492.52804438267015</v>
      </c>
      <c r="AB209" s="985">
        <f t="shared" si="412"/>
        <v>504.45855289501588</v>
      </c>
      <c r="AC209" s="985">
        <f t="shared" si="412"/>
        <v>516.62052508575016</v>
      </c>
      <c r="AD209" s="985">
        <f t="shared" si="412"/>
        <v>526.56251789298869</v>
      </c>
      <c r="AE209" s="985">
        <f t="shared" si="412"/>
        <v>536.64603823987056</v>
      </c>
      <c r="AF209" s="130"/>
      <c r="AG209" s="21"/>
      <c r="AH209" s="21"/>
      <c r="AI209" s="21"/>
      <c r="AJ209" s="21"/>
      <c r="AK209" s="21"/>
      <c r="AL209" s="21"/>
      <c r="AM209" s="21"/>
    </row>
    <row r="210" spans="2:39">
      <c r="B210" s="4"/>
      <c r="N210" s="985"/>
      <c r="O210" s="985"/>
      <c r="P210" s="985"/>
      <c r="Q210" s="985"/>
      <c r="R210" s="985"/>
      <c r="S210" s="985"/>
      <c r="T210" s="985"/>
      <c r="U210" s="985"/>
      <c r="V210" s="985"/>
      <c r="W210" s="985"/>
      <c r="X210" s="985"/>
      <c r="Y210" s="985"/>
      <c r="Z210" s="985"/>
      <c r="AA210" s="985"/>
      <c r="AB210" s="985"/>
      <c r="AC210" s="985"/>
      <c r="AD210" s="985"/>
      <c r="AE210" s="985"/>
      <c r="AF210" s="130"/>
      <c r="AG210" s="21"/>
      <c r="AH210" s="21"/>
      <c r="AI210" s="21"/>
      <c r="AJ210" s="21"/>
      <c r="AK210" s="21"/>
      <c r="AL210" s="21"/>
      <c r="AM210" s="21"/>
    </row>
    <row r="211" spans="2:39">
      <c r="B211" s="117" t="s">
        <v>1545</v>
      </c>
      <c r="N211" s="985"/>
      <c r="O211" s="985"/>
      <c r="P211" s="985"/>
      <c r="Q211" s="985"/>
      <c r="R211" s="518">
        <f t="shared" ref="R211:AE211" si="413">R212*R193</f>
        <v>172.51000000000002</v>
      </c>
      <c r="S211" s="518">
        <f t="shared" si="413"/>
        <v>178.49</v>
      </c>
      <c r="T211" s="518">
        <f t="shared" si="413"/>
        <v>186.55</v>
      </c>
      <c r="U211" s="518">
        <f t="shared" si="413"/>
        <v>195.39000000000001</v>
      </c>
      <c r="V211" s="518">
        <f t="shared" si="413"/>
        <v>208</v>
      </c>
      <c r="W211" s="518">
        <f t="shared" si="413"/>
        <v>210.39135000000002</v>
      </c>
      <c r="X211" s="518">
        <f t="shared" si="413"/>
        <v>203.38013799999999</v>
      </c>
      <c r="Y211" s="518">
        <f t="shared" si="413"/>
        <v>208.39145600000001</v>
      </c>
      <c r="Z211" s="518">
        <f t="shared" si="413"/>
        <v>214.81055461407794</v>
      </c>
      <c r="AA211" s="518">
        <f t="shared" si="413"/>
        <v>217.86292241725189</v>
      </c>
      <c r="AB211" s="518">
        <f t="shared" si="413"/>
        <v>220.95925718821138</v>
      </c>
      <c r="AC211" s="518">
        <f t="shared" si="413"/>
        <v>224.10019838462344</v>
      </c>
      <c r="AD211" s="518">
        <f t="shared" si="413"/>
        <v>226.31901223001574</v>
      </c>
      <c r="AE211" s="518">
        <f t="shared" si="413"/>
        <v>228.55979452932283</v>
      </c>
      <c r="AF211" s="130"/>
      <c r="AG211" s="21"/>
      <c r="AH211" s="21"/>
      <c r="AI211" s="21"/>
      <c r="AJ211" s="21"/>
      <c r="AK211" s="21"/>
      <c r="AL211" s="21"/>
      <c r="AM211" s="21"/>
    </row>
    <row r="212" spans="2:39">
      <c r="B212" s="117" t="s">
        <v>1431</v>
      </c>
      <c r="N212" s="985"/>
      <c r="O212" s="985"/>
      <c r="P212" s="985"/>
      <c r="Q212" s="985"/>
      <c r="R212" s="984">
        <v>0.13</v>
      </c>
      <c r="S212" s="984">
        <v>0.13</v>
      </c>
      <c r="T212" s="984">
        <v>0.13</v>
      </c>
      <c r="U212" s="984">
        <v>0.13</v>
      </c>
      <c r="V212" s="984">
        <v>0.13</v>
      </c>
      <c r="W212" s="984">
        <v>0.13</v>
      </c>
      <c r="X212" s="984">
        <v>0.13</v>
      </c>
      <c r="Y212" s="984">
        <v>0.13</v>
      </c>
      <c r="Z212" s="984">
        <v>0.13</v>
      </c>
      <c r="AA212" s="984">
        <v>0.13</v>
      </c>
      <c r="AB212" s="984">
        <v>0.13</v>
      </c>
      <c r="AC212" s="984">
        <v>0.13</v>
      </c>
      <c r="AD212" s="984">
        <v>0.13</v>
      </c>
      <c r="AE212" s="984">
        <v>0.13</v>
      </c>
      <c r="AF212" s="130"/>
      <c r="AG212" s="21"/>
      <c r="AH212" s="21"/>
      <c r="AI212" s="21"/>
      <c r="AJ212" s="21"/>
      <c r="AK212" s="21"/>
      <c r="AL212" s="21"/>
      <c r="AM212" s="21"/>
    </row>
    <row r="213" spans="2:39">
      <c r="B213" s="4"/>
      <c r="N213" s="985"/>
      <c r="O213" s="985"/>
      <c r="P213" s="985"/>
      <c r="Q213" s="985"/>
      <c r="R213" s="985"/>
      <c r="S213" s="985"/>
      <c r="T213" s="985"/>
      <c r="U213" s="985"/>
      <c r="V213" s="985"/>
      <c r="W213" s="985"/>
      <c r="X213" s="985"/>
      <c r="Y213" s="985"/>
      <c r="Z213" s="985"/>
      <c r="AA213" s="985"/>
      <c r="AB213" s="985"/>
      <c r="AC213" s="985"/>
      <c r="AD213" s="985"/>
      <c r="AE213" s="985"/>
      <c r="AF213" s="130"/>
      <c r="AG213" s="21"/>
      <c r="AH213" s="21"/>
      <c r="AI213" s="21"/>
      <c r="AJ213" s="21"/>
      <c r="AK213" s="21"/>
      <c r="AL213" s="21"/>
      <c r="AM213" s="21"/>
    </row>
    <row r="214" spans="2:39">
      <c r="B214" s="4" t="s">
        <v>574</v>
      </c>
      <c r="L214" s="454">
        <f>L139*(1-SOP!$F$226)</f>
        <v>345.94</v>
      </c>
      <c r="M214" s="454">
        <f>M139*(1-SOP!$F$226)</f>
        <v>286.58</v>
      </c>
      <c r="N214" s="454">
        <f>N139-N207-N188</f>
        <v>299.13</v>
      </c>
      <c r="O214" s="454">
        <f>O139-O207-O188</f>
        <v>314.53800000000001</v>
      </c>
      <c r="P214" s="454">
        <f>P139-P207-P188</f>
        <v>345.96499999999992</v>
      </c>
      <c r="Q214" s="454">
        <f>'New split'!F274-Q127-Q207-Q188</f>
        <v>320.63812542302549</v>
      </c>
      <c r="R214" s="454">
        <f>'New split'!G274-R127-R207-R188</f>
        <v>349.07031163141971</v>
      </c>
      <c r="S214" s="454">
        <f>'New split'!H274-S127-S207-S188</f>
        <v>390.76018708323886</v>
      </c>
      <c r="T214" s="454">
        <f>'New split'!I274-T127-T207-T188</f>
        <v>405.20918420345214</v>
      </c>
      <c r="U214" s="454">
        <f>'New split'!J274-U127-U207-U188</f>
        <v>429.99809613507847</v>
      </c>
      <c r="V214" s="454">
        <f>'New split'!K274-V127-V207-V188</f>
        <v>506.9818127113686</v>
      </c>
      <c r="W214" s="454">
        <f>'New split'!L274-W127-W207-W188</f>
        <v>496.0563324849042</v>
      </c>
      <c r="X214" s="454">
        <f>'New split'!M274-X127-X207-X188</f>
        <v>450.11863131942226</v>
      </c>
      <c r="Y214" s="454">
        <f>'New split'!N274-Y127-Y207-Y188</f>
        <v>502.02992935270578</v>
      </c>
      <c r="Z214" s="454">
        <f>'New split'!O274-Z127-Z207-Z188</f>
        <v>521.99490540734871</v>
      </c>
      <c r="AA214" s="454">
        <f>'New split'!P274-AA127-AA207-AA188</f>
        <v>535.19370491298321</v>
      </c>
      <c r="AB214" s="454">
        <f>'New split'!Q274-AB127-AB207-AB188</f>
        <v>548.65068548430588</v>
      </c>
      <c r="AC214" s="454">
        <f>'New split'!R274-AC127-AC207-AC188</f>
        <v>562.37053768736882</v>
      </c>
      <c r="AD214" s="454">
        <f>'New split'!S274-AD127-AD207-AD188</f>
        <v>572.78615973405078</v>
      </c>
      <c r="AE214" s="454">
        <f>'New split'!T274-AE127-AE207-AE188</f>
        <v>583.34820125621411</v>
      </c>
      <c r="AF214" s="130"/>
      <c r="AG214" s="21"/>
      <c r="AH214" s="21"/>
      <c r="AI214" s="21"/>
      <c r="AJ214" s="21"/>
      <c r="AK214" s="21"/>
      <c r="AL214" s="21"/>
      <c r="AM214" s="21"/>
    </row>
    <row r="215" spans="2:39">
      <c r="B215" s="4" t="s">
        <v>5813</v>
      </c>
      <c r="L215" s="454"/>
      <c r="M215" s="454"/>
      <c r="N215" s="454"/>
      <c r="O215" s="454"/>
      <c r="P215" s="454"/>
      <c r="Q215" s="454"/>
      <c r="R215" s="454"/>
      <c r="S215" s="454"/>
      <c r="T215" s="51">
        <v>120</v>
      </c>
      <c r="U215" s="983">
        <v>0</v>
      </c>
      <c r="V215" s="983">
        <v>270</v>
      </c>
      <c r="W215" s="983">
        <v>0</v>
      </c>
      <c r="X215" s="983">
        <v>0</v>
      </c>
      <c r="Y215" s="983">
        <v>0</v>
      </c>
      <c r="Z215" s="983">
        <v>0</v>
      </c>
      <c r="AA215" s="983">
        <v>0</v>
      </c>
      <c r="AB215" s="983">
        <v>0</v>
      </c>
      <c r="AC215" s="983">
        <v>0</v>
      </c>
      <c r="AD215" s="983">
        <v>0</v>
      </c>
      <c r="AE215" s="983">
        <v>0</v>
      </c>
      <c r="AF215" s="130"/>
      <c r="AG215" s="21"/>
      <c r="AH215" s="21"/>
      <c r="AI215" s="21"/>
      <c r="AJ215" s="21"/>
      <c r="AK215" s="21"/>
      <c r="AL215" s="21"/>
      <c r="AM215" s="21"/>
    </row>
    <row r="216" spans="2:39">
      <c r="B216" s="4" t="s">
        <v>538</v>
      </c>
      <c r="L216" s="51">
        <v>498</v>
      </c>
      <c r="M216" s="51">
        <v>437</v>
      </c>
      <c r="N216" s="51">
        <v>382.7</v>
      </c>
      <c r="O216" s="51">
        <v>369.6</v>
      </c>
      <c r="P216" s="454">
        <f t="shared" ref="P216:Z216" si="414">P217*O209</f>
        <v>300.846</v>
      </c>
      <c r="Q216" s="454">
        <f t="shared" si="414"/>
        <v>250.20000000000002</v>
      </c>
      <c r="R216" s="51">
        <f>168/0.55</f>
        <v>305.45454545454544</v>
      </c>
      <c r="S216" s="51">
        <v>322</v>
      </c>
      <c r="T216" s="454">
        <f t="shared" si="414"/>
        <v>302.40000000000003</v>
      </c>
      <c r="U216" s="454">
        <f t="shared" si="414"/>
        <v>79.545454545454533</v>
      </c>
      <c r="V216" s="454">
        <f t="shared" si="414"/>
        <v>194.72727272727272</v>
      </c>
      <c r="W216" s="454">
        <f t="shared" si="414"/>
        <v>343.75970873786412</v>
      </c>
      <c r="X216" s="454">
        <f t="shared" si="414"/>
        <v>348.62193893203886</v>
      </c>
      <c r="Y216" s="454">
        <f t="shared" si="414"/>
        <v>334.08878393203895</v>
      </c>
      <c r="Z216" s="454">
        <f t="shared" si="414"/>
        <v>390.77965973203874</v>
      </c>
      <c r="AA216" s="454">
        <f t="shared" ref="AA216" si="415">AA217*Z209</f>
        <v>417.87086691148306</v>
      </c>
      <c r="AB216" s="454">
        <f t="shared" ref="AB216" si="416">AB217*AA209</f>
        <v>443.27523994440315</v>
      </c>
      <c r="AC216" s="454">
        <f t="shared" ref="AC216" si="417">AC217*AB209</f>
        <v>454.01269760551429</v>
      </c>
      <c r="AD216" s="454">
        <f t="shared" ref="AD216" si="418">AD217*AC209</f>
        <v>464.95847257717514</v>
      </c>
      <c r="AE216" s="454">
        <f t="shared" ref="AE216" si="419">AE217*AD209</f>
        <v>473.90626610368986</v>
      </c>
      <c r="AF216" s="130"/>
      <c r="AG216" s="21"/>
      <c r="AH216" s="21"/>
      <c r="AI216" s="21"/>
      <c r="AJ216" s="21"/>
      <c r="AK216" s="21"/>
      <c r="AL216" s="21"/>
      <c r="AM216" s="21"/>
    </row>
    <row r="217" spans="2:39">
      <c r="B217" s="4" t="s">
        <v>3987</v>
      </c>
      <c r="L217" s="449"/>
      <c r="M217" s="449"/>
      <c r="N217" s="449"/>
      <c r="O217" s="449">
        <f>O216/N209</f>
        <v>1.0647307924984877</v>
      </c>
      <c r="P217" s="984">
        <v>0.95</v>
      </c>
      <c r="Q217" s="984">
        <v>0.9</v>
      </c>
      <c r="R217" s="449">
        <f>R216/Q209</f>
        <v>1.2496561436993114</v>
      </c>
      <c r="S217" s="449">
        <f>S216/R209</f>
        <v>1.0062500000000001</v>
      </c>
      <c r="T217" s="984">
        <v>0.9</v>
      </c>
      <c r="U217" s="1196">
        <v>0.35</v>
      </c>
      <c r="V217" s="984">
        <v>0.9</v>
      </c>
      <c r="W217" s="984">
        <v>0.9</v>
      </c>
      <c r="X217" s="984">
        <v>0.9</v>
      </c>
      <c r="Y217" s="984">
        <v>0.9</v>
      </c>
      <c r="Z217" s="984">
        <v>0.9</v>
      </c>
      <c r="AA217" s="984">
        <v>0.9</v>
      </c>
      <c r="AB217" s="984">
        <v>0.9</v>
      </c>
      <c r="AC217" s="984">
        <v>0.9</v>
      </c>
      <c r="AD217" s="984">
        <v>0.9</v>
      </c>
      <c r="AE217" s="984">
        <v>0.9</v>
      </c>
      <c r="AF217" s="130"/>
      <c r="AG217" s="21"/>
      <c r="AH217" s="21"/>
      <c r="AI217" s="21"/>
      <c r="AJ217" s="21"/>
      <c r="AK217" s="21"/>
      <c r="AL217" s="21"/>
      <c r="AM217" s="21"/>
    </row>
    <row r="218" spans="2:39">
      <c r="B218" s="4" t="s">
        <v>2935</v>
      </c>
      <c r="L218" s="119">
        <v>0.55000000000000004</v>
      </c>
      <c r="M218" s="119">
        <v>0.55000000000000004</v>
      </c>
      <c r="N218" s="119">
        <v>0.55000000000000004</v>
      </c>
      <c r="O218" s="119">
        <v>0.55000000000000004</v>
      </c>
      <c r="P218" s="119">
        <v>0.55000000000000004</v>
      </c>
      <c r="Q218" s="119">
        <v>0.55000000000000004</v>
      </c>
      <c r="R218" s="119">
        <v>0.55000000000000004</v>
      </c>
      <c r="S218" s="119">
        <v>0.55000000000000004</v>
      </c>
      <c r="T218" s="119">
        <v>0.55000000000000004</v>
      </c>
      <c r="U218" s="119">
        <v>0.55000000000000004</v>
      </c>
      <c r="V218" s="119">
        <v>0.55000000000000004</v>
      </c>
      <c r="W218" s="119">
        <v>1</v>
      </c>
      <c r="X218" s="119">
        <v>1</v>
      </c>
      <c r="Y218" s="119">
        <v>1</v>
      </c>
      <c r="Z218" s="119">
        <v>1</v>
      </c>
      <c r="AA218" s="119">
        <v>1</v>
      </c>
      <c r="AB218" s="119">
        <v>1</v>
      </c>
      <c r="AC218" s="119">
        <v>1</v>
      </c>
      <c r="AD218" s="119">
        <v>1</v>
      </c>
      <c r="AE218" s="119">
        <v>1</v>
      </c>
      <c r="AF218" s="130"/>
      <c r="AG218" s="21"/>
      <c r="AH218" s="21"/>
      <c r="AI218" s="21"/>
      <c r="AJ218" s="21"/>
      <c r="AK218" s="21"/>
      <c r="AL218" s="21"/>
      <c r="AM218" s="21"/>
    </row>
    <row r="219" spans="2:39">
      <c r="B219" s="4" t="s">
        <v>3367</v>
      </c>
      <c r="L219" s="130">
        <f>(1-L218)*L216</f>
        <v>224.09999999999997</v>
      </c>
      <c r="M219" s="130">
        <f t="shared" ref="M219:S219" si="420">(1-M218)*M216</f>
        <v>196.64999999999998</v>
      </c>
      <c r="N219" s="130">
        <f t="shared" si="420"/>
        <v>172.21499999999997</v>
      </c>
      <c r="O219" s="130">
        <f t="shared" si="420"/>
        <v>166.32</v>
      </c>
      <c r="P219" s="130">
        <f>(1-P218)*P216</f>
        <v>135.38069999999999</v>
      </c>
      <c r="Q219" s="130">
        <f t="shared" si="420"/>
        <v>112.59</v>
      </c>
      <c r="R219" s="130">
        <f t="shared" si="420"/>
        <v>137.45454545454544</v>
      </c>
      <c r="S219" s="130">
        <f t="shared" si="420"/>
        <v>144.89999999999998</v>
      </c>
      <c r="T219" s="130">
        <f t="shared" ref="T219:Z219" si="421">(1-T218)*T216</f>
        <v>136.08000000000001</v>
      </c>
      <c r="U219" s="130">
        <f t="shared" si="421"/>
        <v>35.79545454545454</v>
      </c>
      <c r="V219" s="130">
        <f t="shared" si="421"/>
        <v>87.627272727272711</v>
      </c>
      <c r="W219" s="130">
        <f t="shared" si="421"/>
        <v>0</v>
      </c>
      <c r="X219" s="130">
        <f t="shared" si="421"/>
        <v>0</v>
      </c>
      <c r="Y219" s="130">
        <f t="shared" si="421"/>
        <v>0</v>
      </c>
      <c r="Z219" s="130">
        <f t="shared" si="421"/>
        <v>0</v>
      </c>
      <c r="AA219" s="130">
        <f t="shared" ref="AA219:AE219" si="422">(1-AA218)*AA216</f>
        <v>0</v>
      </c>
      <c r="AB219" s="130">
        <f t="shared" si="422"/>
        <v>0</v>
      </c>
      <c r="AC219" s="130">
        <f t="shared" si="422"/>
        <v>0</v>
      </c>
      <c r="AD219" s="130">
        <f t="shared" si="422"/>
        <v>0</v>
      </c>
      <c r="AE219" s="130">
        <f t="shared" si="422"/>
        <v>0</v>
      </c>
      <c r="AF219" s="130"/>
      <c r="AG219" s="21"/>
      <c r="AH219" s="21"/>
      <c r="AI219" s="21"/>
      <c r="AJ219" s="21"/>
      <c r="AK219" s="21"/>
      <c r="AL219" s="21"/>
      <c r="AM219" s="21"/>
    </row>
    <row r="220" spans="2:39">
      <c r="B220" s="4"/>
      <c r="L220" s="130"/>
      <c r="M220" s="130"/>
      <c r="N220" s="130"/>
      <c r="O220" s="130"/>
      <c r="P220" s="130"/>
      <c r="Q220" s="130"/>
      <c r="R220" s="130"/>
      <c r="S220" s="130"/>
      <c r="T220" s="130"/>
      <c r="U220" s="130"/>
      <c r="V220" s="130"/>
      <c r="W220" s="130"/>
      <c r="X220" s="130"/>
      <c r="Y220" s="130"/>
      <c r="Z220" s="130"/>
      <c r="AA220" s="130"/>
      <c r="AB220" s="130"/>
      <c r="AC220" s="130"/>
      <c r="AD220" s="130"/>
      <c r="AE220" s="130"/>
      <c r="AF220" s="130"/>
      <c r="AG220" s="21"/>
      <c r="AH220" s="21"/>
      <c r="AI220" s="21"/>
      <c r="AJ220" s="21"/>
      <c r="AK220" s="21"/>
      <c r="AL220" s="21"/>
      <c r="AM220" s="21"/>
    </row>
    <row r="221" spans="2:39">
      <c r="B221" s="3" t="s">
        <v>507</v>
      </c>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21"/>
      <c r="AH221" s="21"/>
      <c r="AI221" s="21"/>
      <c r="AJ221" s="21"/>
      <c r="AK221" s="21"/>
      <c r="AL221" s="21"/>
      <c r="AM221" s="21"/>
    </row>
    <row r="222" spans="2:39">
      <c r="B222" s="4" t="s">
        <v>1938</v>
      </c>
      <c r="C222" s="29">
        <v>0.1</v>
      </c>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21"/>
      <c r="AH222" s="21"/>
      <c r="AI222" s="21"/>
      <c r="AJ222" s="21"/>
      <c r="AK222" s="21"/>
      <c r="AL222" s="21"/>
      <c r="AM222" s="21"/>
    </row>
    <row r="223" spans="2:39">
      <c r="B223" s="4" t="s">
        <v>683</v>
      </c>
      <c r="C223" s="456">
        <v>0.01</v>
      </c>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21"/>
      <c r="AH223" s="21"/>
      <c r="AI223" s="21"/>
      <c r="AJ223" s="21"/>
      <c r="AK223" s="21"/>
      <c r="AL223" s="21"/>
      <c r="AM223" s="21"/>
    </row>
    <row r="224" spans="2:39">
      <c r="B224" s="4"/>
      <c r="L224" s="130"/>
      <c r="M224" s="130"/>
      <c r="N224" s="130"/>
      <c r="O224" s="130"/>
      <c r="P224" s="130"/>
      <c r="Q224" s="130"/>
      <c r="R224" s="130">
        <v>-4</v>
      </c>
      <c r="S224" s="130">
        <f>R224+1</f>
        <v>-3</v>
      </c>
      <c r="T224" s="130">
        <f t="shared" ref="T224:Z224" si="423">S224+1</f>
        <v>-2</v>
      </c>
      <c r="U224" s="130">
        <f t="shared" si="423"/>
        <v>-1</v>
      </c>
      <c r="V224" s="130">
        <f t="shared" si="423"/>
        <v>0</v>
      </c>
      <c r="W224" s="130">
        <f t="shared" si="423"/>
        <v>1</v>
      </c>
      <c r="X224" s="130">
        <f t="shared" si="423"/>
        <v>2</v>
      </c>
      <c r="Y224" s="130">
        <f t="shared" si="423"/>
        <v>3</v>
      </c>
      <c r="Z224" s="130">
        <f t="shared" si="423"/>
        <v>4</v>
      </c>
      <c r="AA224" s="130">
        <f t="shared" ref="AA224" si="424">Z224+1</f>
        <v>5</v>
      </c>
      <c r="AB224" s="130">
        <f t="shared" ref="AB224" si="425">AA224+1</f>
        <v>6</v>
      </c>
      <c r="AC224" s="130">
        <f t="shared" ref="AC224" si="426">AB224+1</f>
        <v>7</v>
      </c>
      <c r="AD224" s="130">
        <f t="shared" ref="AD224" si="427">AC224+1</f>
        <v>8</v>
      </c>
      <c r="AE224" s="130">
        <f t="shared" ref="AE224" si="428">AD224+1</f>
        <v>9</v>
      </c>
      <c r="AF224" s="130"/>
      <c r="AG224" s="21"/>
      <c r="AH224" s="21"/>
      <c r="AI224" s="21"/>
      <c r="AJ224" s="21"/>
      <c r="AK224" s="21"/>
      <c r="AL224" s="21"/>
      <c r="AM224" s="21"/>
    </row>
    <row r="225" spans="2:39">
      <c r="B225" s="117" t="s">
        <v>1552</v>
      </c>
      <c r="L225" s="130"/>
      <c r="M225" s="130"/>
      <c r="N225" s="130"/>
      <c r="O225" s="130"/>
      <c r="P225" s="130"/>
      <c r="Q225" s="130"/>
      <c r="R225" s="130">
        <f t="shared" ref="R225:AE225" si="429">R195-R211</f>
        <v>492.49</v>
      </c>
      <c r="S225" s="130">
        <f t="shared" si="429"/>
        <v>510.51</v>
      </c>
      <c r="T225" s="130">
        <f t="shared" si="429"/>
        <v>562.45000000000005</v>
      </c>
      <c r="U225" s="130">
        <f t="shared" si="429"/>
        <v>583.61</v>
      </c>
      <c r="V225" s="130">
        <f t="shared" si="429"/>
        <v>649</v>
      </c>
      <c r="W225" s="130">
        <f t="shared" si="429"/>
        <v>645.68865000000005</v>
      </c>
      <c r="X225" s="130">
        <f t="shared" si="429"/>
        <v>606.88486200000011</v>
      </c>
      <c r="Y225" s="130">
        <f t="shared" si="429"/>
        <v>658.47044400000004</v>
      </c>
      <c r="Z225" s="130">
        <f t="shared" si="429"/>
        <v>677.47944147516887</v>
      </c>
      <c r="AA225" s="130">
        <f t="shared" si="429"/>
        <v>691.29581151628008</v>
      </c>
      <c r="AB225" s="130">
        <f t="shared" si="429"/>
        <v>705.36993640852086</v>
      </c>
      <c r="AC225" s="130">
        <f t="shared" si="429"/>
        <v>719.70640635061727</v>
      </c>
      <c r="AD225" s="130">
        <f t="shared" si="429"/>
        <v>731.18450105081979</v>
      </c>
      <c r="AE225" s="130">
        <f t="shared" si="429"/>
        <v>742.81933222029875</v>
      </c>
      <c r="AF225" s="130"/>
      <c r="AG225" s="21"/>
      <c r="AH225" s="21"/>
      <c r="AI225" s="21"/>
      <c r="AJ225" s="21"/>
      <c r="AK225" s="21"/>
      <c r="AL225" s="21"/>
      <c r="AM225" s="21"/>
    </row>
    <row r="226" spans="2:39">
      <c r="B226" s="4" t="s">
        <v>1936</v>
      </c>
      <c r="L226" s="130"/>
      <c r="M226" s="130"/>
      <c r="N226" s="130"/>
      <c r="O226" s="130"/>
      <c r="P226" s="130"/>
      <c r="Q226" s="130"/>
      <c r="R226" s="130">
        <f t="shared" ref="R226:AE226" si="430">R225*(1-R205)</f>
        <v>399.99187817258883</v>
      </c>
      <c r="S226" s="130">
        <f t="shared" si="430"/>
        <v>423.53422222222218</v>
      </c>
      <c r="T226" s="130">
        <f t="shared" si="430"/>
        <v>349.61477278598335</v>
      </c>
      <c r="U226" s="130">
        <f t="shared" si="430"/>
        <v>354.26897805862353</v>
      </c>
      <c r="V226" s="130">
        <f t="shared" si="430"/>
        <v>501.8449638728402</v>
      </c>
      <c r="W226" s="130">
        <f t="shared" si="430"/>
        <v>499.58013557932208</v>
      </c>
      <c r="X226" s="130">
        <f t="shared" si="430"/>
        <v>468.63159459006852</v>
      </c>
      <c r="Y226" s="130">
        <f t="shared" si="430"/>
        <v>523.24702226253191</v>
      </c>
      <c r="Z226" s="130">
        <f t="shared" si="430"/>
        <v>542.36484933358622</v>
      </c>
      <c r="AA226" s="130">
        <f t="shared" si="430"/>
        <v>558.31565146709022</v>
      </c>
      <c r="AB226" s="130">
        <f t="shared" si="430"/>
        <v>570.75553332025424</v>
      </c>
      <c r="AC226" s="130">
        <f t="shared" si="430"/>
        <v>583.43168992883875</v>
      </c>
      <c r="AD226" s="130">
        <f t="shared" si="430"/>
        <v>593.76705256309401</v>
      </c>
      <c r="AE226" s="130">
        <f t="shared" si="430"/>
        <v>604.24581290409674</v>
      </c>
      <c r="AF226" s="130"/>
      <c r="AG226" s="21"/>
      <c r="AH226" s="21"/>
      <c r="AI226" s="21"/>
      <c r="AJ226" s="21"/>
      <c r="AK226" s="21"/>
      <c r="AL226" s="21"/>
      <c r="AM226" s="21"/>
    </row>
    <row r="227" spans="2:39">
      <c r="B227" s="4" t="s">
        <v>684</v>
      </c>
      <c r="L227" s="130"/>
      <c r="M227" s="130"/>
      <c r="N227" s="130"/>
      <c r="O227" s="130"/>
      <c r="P227" s="130"/>
      <c r="Q227" s="130"/>
      <c r="R227" s="130">
        <f t="shared" ref="R227:Z227" si="431">R226/(1+$C$222)^R224</f>
        <v>585.62810883248744</v>
      </c>
      <c r="S227" s="130">
        <f>S226/(1+$C$222)^S224</f>
        <v>563.72404977777785</v>
      </c>
      <c r="T227" s="130">
        <f t="shared" si="431"/>
        <v>423.03387507103992</v>
      </c>
      <c r="U227" s="130">
        <f t="shared" si="431"/>
        <v>389.69587586448591</v>
      </c>
      <c r="V227" s="130">
        <f>V226/(1+$C$222)^V224</f>
        <v>501.8449638728402</v>
      </c>
      <c r="W227" s="130">
        <f t="shared" si="431"/>
        <v>454.16375961756546</v>
      </c>
      <c r="X227" s="130">
        <f t="shared" si="431"/>
        <v>387.29883850418878</v>
      </c>
      <c r="Y227" s="130">
        <f t="shared" si="431"/>
        <v>393.12323235351749</v>
      </c>
      <c r="Z227" s="130">
        <f t="shared" si="431"/>
        <v>370.44248981188861</v>
      </c>
      <c r="AA227" s="130">
        <f t="shared" ref="AA227:AE227" si="432">AA226/(1+$C$222)^AA224</f>
        <v>346.67009299357971</v>
      </c>
      <c r="AB227" s="130">
        <f t="shared" si="432"/>
        <v>322.17661899322349</v>
      </c>
      <c r="AC227" s="130">
        <f t="shared" si="432"/>
        <v>299.39270812004389</v>
      </c>
      <c r="AD227" s="130">
        <f t="shared" si="432"/>
        <v>276.99671214606394</v>
      </c>
      <c r="AE227" s="130">
        <f t="shared" si="432"/>
        <v>256.2592101641734</v>
      </c>
      <c r="AF227" s="130"/>
      <c r="AG227" s="21"/>
      <c r="AH227" s="21"/>
      <c r="AI227" s="21"/>
      <c r="AJ227" s="21"/>
      <c r="AK227" s="21"/>
      <c r="AL227" s="21"/>
      <c r="AM227" s="21"/>
    </row>
    <row r="228" spans="2:39">
      <c r="B228" s="4" t="s">
        <v>685</v>
      </c>
      <c r="C228" s="518">
        <f>SUM(W227:AE227)</f>
        <v>3106.5236627042455</v>
      </c>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21"/>
      <c r="AH228" s="21"/>
      <c r="AI228" s="21"/>
      <c r="AJ228" s="21"/>
      <c r="AK228" s="21"/>
      <c r="AL228" s="21"/>
      <c r="AM228" s="21"/>
    </row>
    <row r="229" spans="2:39">
      <c r="B229" s="12" t="s">
        <v>2203</v>
      </c>
      <c r="C229" s="992">
        <f>AE227/(C222-C223)</f>
        <v>2847.3245573797039</v>
      </c>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21"/>
      <c r="AH229" s="21"/>
      <c r="AI229" s="21"/>
      <c r="AJ229" s="21"/>
      <c r="AK229" s="21"/>
      <c r="AL229" s="21"/>
      <c r="AM229" s="21"/>
    </row>
    <row r="230" spans="2:39">
      <c r="B230" s="4" t="s">
        <v>245</v>
      </c>
      <c r="C230" s="518">
        <f>C228+C229</f>
        <v>5953.8482200839499</v>
      </c>
      <c r="L230" s="130"/>
      <c r="M230" s="130"/>
      <c r="N230" s="130"/>
      <c r="O230" s="130"/>
      <c r="P230" s="130"/>
      <c r="Q230" s="996"/>
      <c r="R230" s="130"/>
      <c r="S230" s="130"/>
      <c r="T230" s="130"/>
      <c r="U230" s="130"/>
      <c r="V230" s="130"/>
      <c r="W230" s="130"/>
      <c r="X230" s="130"/>
      <c r="Y230" s="130"/>
      <c r="Z230" s="130"/>
      <c r="AA230" s="130"/>
      <c r="AB230" s="130"/>
      <c r="AC230" s="130"/>
      <c r="AD230" s="130"/>
      <c r="AE230" s="130"/>
      <c r="AF230" s="130"/>
      <c r="AG230" s="21"/>
      <c r="AH230" s="21"/>
      <c r="AI230" s="21"/>
      <c r="AJ230" s="21"/>
      <c r="AK230" s="21"/>
      <c r="AL230" s="21"/>
      <c r="AM230" s="21"/>
    </row>
    <row r="231" spans="2:39">
      <c r="B231" s="117" t="s">
        <v>5953</v>
      </c>
      <c r="C231" s="1130">
        <f>C230/V195</f>
        <v>6.9473141424550171</v>
      </c>
      <c r="L231" s="130"/>
      <c r="M231" s="130"/>
      <c r="N231" s="130"/>
      <c r="O231" s="130"/>
      <c r="P231" s="130"/>
      <c r="Q231" s="996"/>
      <c r="R231" s="130"/>
      <c r="S231" s="130"/>
      <c r="T231" s="130"/>
      <c r="U231" s="130"/>
      <c r="V231" s="130"/>
      <c r="W231" s="130"/>
      <c r="X231" s="130"/>
      <c r="Y231" s="130"/>
      <c r="Z231" s="130"/>
      <c r="AA231" s="130"/>
      <c r="AB231" s="130"/>
      <c r="AC231" s="130"/>
      <c r="AD231" s="130"/>
      <c r="AE231" s="130"/>
      <c r="AF231" s="130"/>
      <c r="AG231" s="21"/>
      <c r="AH231" s="21"/>
      <c r="AI231" s="21"/>
      <c r="AJ231" s="21"/>
      <c r="AK231" s="21"/>
      <c r="AL231" s="21"/>
      <c r="AM231" s="21"/>
    </row>
    <row r="232" spans="2:39">
      <c r="B232" s="4" t="s">
        <v>109</v>
      </c>
      <c r="C232" s="518">
        <f>C230-U190</f>
        <v>5499.8482200839499</v>
      </c>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21"/>
      <c r="AH232" s="21"/>
      <c r="AI232" s="21"/>
      <c r="AJ232" s="21"/>
      <c r="AK232" s="21"/>
      <c r="AL232" s="21"/>
      <c r="AM232" s="21"/>
    </row>
    <row r="233" spans="2:39">
      <c r="B233" s="4" t="s">
        <v>3917</v>
      </c>
      <c r="C233" s="518">
        <f>C232*0.55</f>
        <v>3024.9165210461729</v>
      </c>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21"/>
      <c r="AH233" s="21"/>
      <c r="AI233" s="21"/>
      <c r="AJ233" s="21"/>
      <c r="AK233" s="21"/>
      <c r="AL233" s="21"/>
      <c r="AM233" s="21"/>
    </row>
    <row r="234" spans="2:39">
      <c r="B234" s="4" t="s">
        <v>3939</v>
      </c>
      <c r="C234" s="518">
        <f>C232-C233</f>
        <v>2474.931699037777</v>
      </c>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21"/>
      <c r="AH234" s="21"/>
      <c r="AI234" s="21"/>
      <c r="AJ234" s="21"/>
      <c r="AK234" s="21"/>
      <c r="AL234" s="21"/>
      <c r="AM234" s="21"/>
    </row>
    <row r="235" spans="2:39">
      <c r="B235" s="4"/>
      <c r="C235" s="518"/>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21"/>
      <c r="AH235" s="21"/>
      <c r="AI235" s="21"/>
      <c r="AJ235" s="21"/>
      <c r="AK235" s="21"/>
      <c r="AL235" s="21"/>
      <c r="AM235" s="21"/>
    </row>
    <row r="236" spans="2:39">
      <c r="B236" s="117" t="s">
        <v>7421</v>
      </c>
      <c r="C236" s="518">
        <f>SOP!I15-C230</f>
        <v>3499.4114293375387</v>
      </c>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21"/>
      <c r="AH236" s="21"/>
      <c r="AI236" s="21"/>
      <c r="AJ236" s="21"/>
      <c r="AK236" s="21"/>
      <c r="AL236" s="21"/>
      <c r="AM236" s="21"/>
    </row>
    <row r="237" spans="2:39">
      <c r="B237" s="117" t="s">
        <v>7229</v>
      </c>
      <c r="C237" s="518">
        <f>'New split'!L273+'New split'!L280</f>
        <v>258.91759999999999</v>
      </c>
      <c r="L237" s="130"/>
      <c r="M237" s="130"/>
      <c r="N237" s="130"/>
      <c r="O237" s="130"/>
      <c r="P237" s="130"/>
      <c r="Q237" s="130"/>
      <c r="R237" s="130">
        <f>R219+R282</f>
        <v>160.66363636363633</v>
      </c>
      <c r="S237" s="130"/>
      <c r="T237" s="130"/>
      <c r="U237" s="130"/>
      <c r="V237" s="130"/>
      <c r="W237" s="130"/>
      <c r="X237" s="130"/>
      <c r="Y237" s="130"/>
      <c r="Z237" s="130"/>
      <c r="AA237" s="130"/>
      <c r="AB237" s="130"/>
      <c r="AC237" s="130"/>
      <c r="AD237" s="130"/>
      <c r="AE237" s="130"/>
      <c r="AF237" s="130"/>
      <c r="AG237" s="21"/>
      <c r="AH237" s="21"/>
      <c r="AI237" s="21"/>
      <c r="AJ237" s="21"/>
      <c r="AK237" s="21"/>
      <c r="AL237" s="21"/>
      <c r="AM237" s="21"/>
    </row>
    <row r="238" spans="2:39">
      <c r="B238" s="117" t="s">
        <v>2206</v>
      </c>
      <c r="C238" s="1130">
        <f>C236/C237</f>
        <v>13.515540964915242</v>
      </c>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21"/>
      <c r="AH238" s="21"/>
      <c r="AI238" s="21"/>
      <c r="AJ238" s="21"/>
      <c r="AK238" s="21"/>
      <c r="AL238" s="21"/>
      <c r="AM238" s="21"/>
    </row>
    <row r="239" spans="2:39">
      <c r="B239" s="4"/>
      <c r="L239" s="449"/>
      <c r="M239" s="449"/>
      <c r="N239" s="449"/>
      <c r="O239" s="762"/>
      <c r="P239" s="762"/>
      <c r="Q239" s="762"/>
      <c r="R239" s="762"/>
      <c r="S239" s="762"/>
      <c r="T239" s="762"/>
      <c r="U239" s="762"/>
      <c r="V239" s="762"/>
      <c r="W239" s="762"/>
      <c r="X239" s="762"/>
      <c r="Y239" s="762"/>
      <c r="Z239" s="762"/>
      <c r="AA239" s="762"/>
      <c r="AB239" s="762"/>
      <c r="AC239" s="762"/>
      <c r="AD239" s="762"/>
      <c r="AE239" s="762"/>
      <c r="AF239" s="130"/>
      <c r="AG239" s="21"/>
      <c r="AH239" s="21"/>
      <c r="AI239" s="21"/>
      <c r="AJ239" s="21"/>
      <c r="AK239" s="21"/>
      <c r="AL239" s="21"/>
      <c r="AM239" s="21"/>
    </row>
    <row r="240" spans="2:39">
      <c r="B240" s="23" t="s">
        <v>2380</v>
      </c>
      <c r="C240" s="451"/>
      <c r="D240" s="451"/>
      <c r="E240" s="451"/>
      <c r="F240" s="451"/>
      <c r="G240" s="451"/>
      <c r="H240" s="451"/>
      <c r="I240" s="451"/>
      <c r="J240" s="451"/>
      <c r="K240" s="451"/>
      <c r="L240" s="451"/>
      <c r="M240" s="451"/>
      <c r="N240" s="1192">
        <f t="shared" ref="N240:AE240" si="433">N185</f>
        <v>2013</v>
      </c>
      <c r="O240" s="1192">
        <f t="shared" si="433"/>
        <v>2014</v>
      </c>
      <c r="P240" s="1192" t="str">
        <f t="shared" si="433"/>
        <v>2015A</v>
      </c>
      <c r="Q240" s="1192" t="str">
        <f t="shared" si="433"/>
        <v>2016A</v>
      </c>
      <c r="R240" s="1192" t="str">
        <f t="shared" si="433"/>
        <v>2017A</v>
      </c>
      <c r="S240" s="1192" t="str">
        <f t="shared" si="433"/>
        <v>2018A</v>
      </c>
      <c r="T240" s="24">
        <f t="shared" si="433"/>
        <v>2019</v>
      </c>
      <c r="U240" s="24">
        <f t="shared" si="433"/>
        <v>2020</v>
      </c>
      <c r="V240" s="24">
        <f t="shared" si="433"/>
        <v>2021</v>
      </c>
      <c r="W240" s="24">
        <f t="shared" si="433"/>
        <v>2022</v>
      </c>
      <c r="X240" s="24">
        <f t="shared" si="433"/>
        <v>2023</v>
      </c>
      <c r="Y240" s="24">
        <f t="shared" si="433"/>
        <v>2024</v>
      </c>
      <c r="Z240" s="24">
        <f t="shared" si="433"/>
        <v>2025</v>
      </c>
      <c r="AA240" s="24">
        <f t="shared" si="433"/>
        <v>2026</v>
      </c>
      <c r="AB240" s="24">
        <f t="shared" si="433"/>
        <v>2027</v>
      </c>
      <c r="AC240" s="24">
        <f t="shared" si="433"/>
        <v>2028</v>
      </c>
      <c r="AD240" s="24">
        <f t="shared" si="433"/>
        <v>2029</v>
      </c>
      <c r="AE240" s="24">
        <f t="shared" si="433"/>
        <v>2030</v>
      </c>
      <c r="AF240" s="130"/>
      <c r="AG240" s="21"/>
      <c r="AH240" s="21"/>
      <c r="AI240" s="21"/>
      <c r="AJ240" s="21"/>
      <c r="AK240" s="21"/>
      <c r="AL240" s="21"/>
      <c r="AM240" s="21"/>
    </row>
    <row r="241" spans="2:39">
      <c r="B241" s="4" t="s">
        <v>758</v>
      </c>
      <c r="O241" s="687">
        <f>O106</f>
        <v>629</v>
      </c>
      <c r="P241" s="687">
        <f>P106</f>
        <v>649</v>
      </c>
      <c r="Q241" s="687">
        <f>'New split'!F7</f>
        <v>609.11726909087099</v>
      </c>
      <c r="R241" s="687">
        <f>'New split'!G7</f>
        <v>585</v>
      </c>
      <c r="S241" s="687">
        <f>'New split'!H7</f>
        <v>586</v>
      </c>
      <c r="T241" s="687">
        <f>'New split'!I7</f>
        <v>594</v>
      </c>
      <c r="U241" s="687">
        <f>'New split'!J7</f>
        <v>552</v>
      </c>
      <c r="V241" s="687">
        <f>'New split'!K7</f>
        <v>589</v>
      </c>
      <c r="W241" s="687">
        <f>W242+W243</f>
        <v>588.50785896177058</v>
      </c>
      <c r="X241" s="687">
        <f t="shared" ref="X241:AE241" si="434">X242+X243</f>
        <v>611.41335912408761</v>
      </c>
      <c r="Y241" s="687">
        <f t="shared" si="434"/>
        <v>619.39276342741925</v>
      </c>
      <c r="Z241" s="687">
        <f t="shared" si="434"/>
        <v>614.20666144531231</v>
      </c>
      <c r="AA241" s="687">
        <f t="shared" si="434"/>
        <v>626.04006202274115</v>
      </c>
      <c r="AB241" s="687">
        <f t="shared" si="434"/>
        <v>638.10452887328745</v>
      </c>
      <c r="AC241" s="687">
        <f t="shared" si="434"/>
        <v>650.40460530443067</v>
      </c>
      <c r="AD241" s="687">
        <f t="shared" si="434"/>
        <v>659.89458956630358</v>
      </c>
      <c r="AE241" s="687">
        <f t="shared" si="434"/>
        <v>669.52383606895319</v>
      </c>
      <c r="AF241" s="130"/>
      <c r="AG241" s="21"/>
      <c r="AH241" s="21"/>
      <c r="AI241" s="21"/>
      <c r="AJ241" s="21"/>
      <c r="AK241" s="21"/>
      <c r="AL241" s="21"/>
      <c r="AM241" s="21"/>
    </row>
    <row r="242" spans="2:39">
      <c r="B242" s="117" t="s">
        <v>7433</v>
      </c>
      <c r="O242" s="687"/>
      <c r="P242" s="687"/>
      <c r="Q242" s="687"/>
      <c r="R242" s="687"/>
      <c r="S242" s="687"/>
      <c r="T242" s="687">
        <f>T241-T243</f>
        <v>551</v>
      </c>
      <c r="U242" s="687">
        <f>U241-U243</f>
        <v>516</v>
      </c>
      <c r="V242" s="687">
        <f>V241-V243</f>
        <v>548</v>
      </c>
      <c r="W242" s="687">
        <f>'New split'!L186/'New split'!L$125</f>
        <v>549.50785896177058</v>
      </c>
      <c r="X242" s="687">
        <f>'New split'!M186/'New split'!M$125</f>
        <v>572.26277372262768</v>
      </c>
      <c r="Y242" s="687">
        <f>'New split'!N186/'New split'!N$125</f>
        <v>585.08064516129025</v>
      </c>
      <c r="Z242" s="687">
        <f>'New split'!O186/'New split'!O$125</f>
        <v>580.96679687499989</v>
      </c>
      <c r="AA242" s="687">
        <f>'New split'!P186/'New split'!P$125</f>
        <v>592.47108988242564</v>
      </c>
      <c r="AB242" s="687">
        <f>'New split'!Q186/'New split'!Q$125</f>
        <v>604.20319067217667</v>
      </c>
      <c r="AC242" s="687">
        <f>'New split'!R186/'New split'!R$125</f>
        <v>616.16761028944757</v>
      </c>
      <c r="AD242" s="687">
        <f>'New split'!S186/'New split'!S$125</f>
        <v>625.3186144026572</v>
      </c>
      <c r="AE242" s="687">
        <f>'New split'!T186/'New split'!T$125</f>
        <v>634.60552451754802</v>
      </c>
      <c r="AF242" s="130"/>
      <c r="AG242" s="21"/>
      <c r="AH242" s="21"/>
      <c r="AI242" s="21"/>
      <c r="AJ242" s="21"/>
      <c r="AK242" s="21"/>
      <c r="AL242" s="21"/>
      <c r="AM242" s="21"/>
    </row>
    <row r="243" spans="2:39">
      <c r="B243" s="117" t="s">
        <v>3090</v>
      </c>
      <c r="O243" s="687"/>
      <c r="P243" s="687"/>
      <c r="Q243" s="687"/>
      <c r="R243" s="687"/>
      <c r="S243" s="687"/>
      <c r="T243" s="687">
        <f>'New split'!I88</f>
        <v>43</v>
      </c>
      <c r="U243" s="687">
        <f>'New split'!J88</f>
        <v>36</v>
      </c>
      <c r="V243" s="687">
        <f>'New split'!K88</f>
        <v>41</v>
      </c>
      <c r="W243" s="1253">
        <v>39</v>
      </c>
      <c r="X243" s="687">
        <f>'New split'!M251/'New split'!M$125</f>
        <v>39.150585401459921</v>
      </c>
      <c r="Y243" s="687">
        <f>'New split'!N251/'New split'!N$125</f>
        <v>34.312118266128991</v>
      </c>
      <c r="Z243" s="687">
        <f>'New split'!O251/'New split'!O$125</f>
        <v>33.239864570312463</v>
      </c>
      <c r="AA243" s="687">
        <f>'New split'!P251/'New split'!P$125</f>
        <v>33.568972140315552</v>
      </c>
      <c r="AB243" s="687">
        <f>'New split'!Q251/'New split'!Q$125</f>
        <v>33.901338201110761</v>
      </c>
      <c r="AC243" s="687">
        <f>'New split'!R251/'New split'!R$125</f>
        <v>34.236995014983144</v>
      </c>
      <c r="AD243" s="687">
        <f>'New split'!S251/'New split'!S$125</f>
        <v>34.575975163646341</v>
      </c>
      <c r="AE243" s="687">
        <f>'New split'!T251/'New split'!T$125</f>
        <v>34.918311551405218</v>
      </c>
      <c r="AF243" s="130"/>
      <c r="AG243" s="21"/>
      <c r="AH243" s="21"/>
      <c r="AI243" s="21"/>
      <c r="AJ243" s="21"/>
      <c r="AK243" s="21"/>
      <c r="AL243" s="21"/>
      <c r="AM243" s="21"/>
    </row>
    <row r="244" spans="2:39">
      <c r="B244" s="4"/>
      <c r="O244" s="687"/>
      <c r="P244" s="687"/>
      <c r="Q244" s="687"/>
      <c r="R244" s="687"/>
      <c r="S244" s="687"/>
      <c r="T244" s="687"/>
      <c r="U244" s="687"/>
      <c r="V244" s="687"/>
      <c r="W244" s="1253"/>
      <c r="X244" s="1253"/>
      <c r="Y244" s="1253"/>
      <c r="Z244" s="1253"/>
      <c r="AA244" s="1253"/>
      <c r="AB244" s="1253"/>
      <c r="AC244" s="1253"/>
      <c r="AD244" s="1253"/>
      <c r="AE244" s="1253"/>
      <c r="AF244" s="130"/>
      <c r="AG244" s="21"/>
      <c r="AH244" s="21"/>
      <c r="AI244" s="21"/>
      <c r="AJ244" s="21"/>
      <c r="AK244" s="21"/>
      <c r="AL244" s="21"/>
      <c r="AM244" s="21"/>
    </row>
    <row r="245" spans="2:39">
      <c r="B245" s="4" t="s">
        <v>360</v>
      </c>
      <c r="O245" s="518">
        <f>O246*O241</f>
        <v>286.19499999999999</v>
      </c>
      <c r="P245" s="518">
        <f>P252+P249</f>
        <v>282</v>
      </c>
      <c r="Q245" s="518">
        <f>'New split'!F275</f>
        <v>256.00385843590391</v>
      </c>
      <c r="R245" s="518">
        <f>'New split'!G275</f>
        <v>265</v>
      </c>
      <c r="S245" s="518">
        <f>'New split'!H275</f>
        <v>255</v>
      </c>
      <c r="T245" s="518">
        <f>'New split'!I275</f>
        <v>280</v>
      </c>
      <c r="U245" s="518">
        <f>'New split'!J275</f>
        <v>247</v>
      </c>
      <c r="V245" s="518">
        <f>'New split'!K275</f>
        <v>259</v>
      </c>
      <c r="W245" s="518">
        <f>'New split'!L275</f>
        <v>261.84000000000003</v>
      </c>
      <c r="X245" s="518">
        <f>'New split'!M275</f>
        <v>275.30399999999997</v>
      </c>
      <c r="Y245" s="518">
        <f>'New split'!N275</f>
        <v>302.0249</v>
      </c>
      <c r="Z245" s="518">
        <f>'New split'!O275</f>
        <v>301.83513604138722</v>
      </c>
      <c r="AA245" s="518">
        <f>'New split'!P275</f>
        <v>309.21543863126584</v>
      </c>
      <c r="AB245" s="518">
        <f>'New split'!Q275</f>
        <v>316.76961478230305</v>
      </c>
      <c r="AC245" s="518">
        <f>'New split'!R275</f>
        <v>325.20230265221539</v>
      </c>
      <c r="AD245" s="518">
        <f>'New split'!S275</f>
        <v>333.24676773098327</v>
      </c>
      <c r="AE245" s="518">
        <f>'New split'!T275</f>
        <v>341.45715639516618</v>
      </c>
      <c r="AF245" s="130"/>
      <c r="AG245" s="21"/>
      <c r="AH245" s="21"/>
      <c r="AI245" s="21"/>
      <c r="AJ245" s="21"/>
      <c r="AK245" s="21"/>
      <c r="AL245" s="21"/>
      <c r="AM245" s="21"/>
    </row>
    <row r="246" spans="2:39">
      <c r="B246" s="4" t="s">
        <v>1434</v>
      </c>
      <c r="O246" s="119">
        <v>0.45500000000000002</v>
      </c>
      <c r="P246" s="456">
        <f>P245/P241</f>
        <v>0.43451463790446843</v>
      </c>
      <c r="Q246" s="456">
        <f>Q245/Q241</f>
        <v>0.42028665320554565</v>
      </c>
      <c r="R246" s="456">
        <f t="shared" ref="R246:V246" si="435">R245/R241</f>
        <v>0.45299145299145299</v>
      </c>
      <c r="S246" s="456">
        <f t="shared" si="435"/>
        <v>0.43515358361774742</v>
      </c>
      <c r="T246" s="456">
        <f t="shared" si="435"/>
        <v>0.4713804713804714</v>
      </c>
      <c r="U246" s="456">
        <f t="shared" si="435"/>
        <v>0.44746376811594202</v>
      </c>
      <c r="V246" s="456">
        <f t="shared" si="435"/>
        <v>0.43972835314091679</v>
      </c>
      <c r="W246" s="1252">
        <v>0.44</v>
      </c>
      <c r="X246" s="1252">
        <v>0.45</v>
      </c>
      <c r="Y246" s="1252">
        <v>0.45</v>
      </c>
      <c r="Z246" s="1252">
        <v>0.45</v>
      </c>
      <c r="AA246" s="1252">
        <v>0.45</v>
      </c>
      <c r="AB246" s="1252">
        <v>0.45</v>
      </c>
      <c r="AC246" s="1252">
        <v>0.45</v>
      </c>
      <c r="AD246" s="1252">
        <v>0.45</v>
      </c>
      <c r="AE246" s="1252">
        <v>0.45</v>
      </c>
      <c r="AF246" s="130"/>
      <c r="AG246" s="21"/>
      <c r="AH246" s="21"/>
      <c r="AI246" s="21"/>
      <c r="AJ246" s="21"/>
      <c r="AK246" s="21"/>
      <c r="AL246" s="21"/>
      <c r="AM246" s="21"/>
    </row>
    <row r="247" spans="2:39">
      <c r="B247" s="32" t="s">
        <v>3926</v>
      </c>
      <c r="O247" s="449">
        <f t="shared" ref="O247:V247" si="436">(O116-O245)/O107</f>
        <v>0.50059564121481859</v>
      </c>
      <c r="P247" s="449">
        <f t="shared" si="436"/>
        <v>0.34126774495150131</v>
      </c>
      <c r="Q247" s="449">
        <f t="shared" si="436"/>
        <v>0.17784997400938013</v>
      </c>
      <c r="R247" s="449">
        <f t="shared" si="436"/>
        <v>6.0802583207288839E-2</v>
      </c>
      <c r="S247" s="449">
        <f t="shared" si="436"/>
        <v>8.9299240106521502E-2</v>
      </c>
      <c r="T247" s="449">
        <f t="shared" si="436"/>
        <v>8.0166163973341434E-2</v>
      </c>
      <c r="U247" s="449">
        <f t="shared" si="436"/>
        <v>0.32720023279393168</v>
      </c>
      <c r="V247" s="449">
        <f t="shared" si="436"/>
        <v>0.33844176099720313</v>
      </c>
      <c r="W247" s="449"/>
      <c r="X247" s="449"/>
      <c r="Y247" s="449"/>
      <c r="Z247" s="449"/>
      <c r="AA247" s="449"/>
      <c r="AB247" s="449"/>
      <c r="AC247" s="449"/>
      <c r="AD247" s="449"/>
      <c r="AE247" s="449"/>
      <c r="AF247" s="130"/>
      <c r="AG247" s="21"/>
      <c r="AH247" s="21"/>
      <c r="AI247" s="21"/>
      <c r="AJ247" s="21"/>
      <c r="AK247" s="21"/>
      <c r="AL247" s="21"/>
      <c r="AM247" s="21"/>
    </row>
    <row r="248" spans="2:39">
      <c r="B248" s="2"/>
      <c r="AF248" s="130"/>
      <c r="AG248" s="21"/>
      <c r="AH248" s="21"/>
      <c r="AI248" s="21"/>
      <c r="AJ248" s="21"/>
      <c r="AK248" s="21"/>
      <c r="AL248" s="21"/>
      <c r="AM248" s="21"/>
    </row>
    <row r="249" spans="2:39">
      <c r="B249" s="4" t="s">
        <v>1453</v>
      </c>
      <c r="P249" s="51">
        <v>123</v>
      </c>
      <c r="Q249" s="518">
        <f t="shared" ref="Q249:Z249" si="437">Q250*Q241</f>
        <v>103.09047279580602</v>
      </c>
      <c r="R249" s="518">
        <f t="shared" si="437"/>
        <v>98.537310776471642</v>
      </c>
      <c r="S249" s="51">
        <f>415-S198</f>
        <v>218</v>
      </c>
      <c r="T249" s="518">
        <f t="shared" si="437"/>
        <v>161.57610921501706</v>
      </c>
      <c r="U249" s="518">
        <f t="shared" si="437"/>
        <v>94.95153583617747</v>
      </c>
      <c r="V249" s="518">
        <f t="shared" si="437"/>
        <v>101.31604095563139</v>
      </c>
      <c r="W249" s="518">
        <f t="shared" si="437"/>
        <v>101.23138597840695</v>
      </c>
      <c r="X249" s="518">
        <f t="shared" si="437"/>
        <v>105.17144470939937</v>
      </c>
      <c r="Y249" s="518">
        <f t="shared" si="437"/>
        <v>106.54401118341956</v>
      </c>
      <c r="Z249" s="518">
        <f t="shared" si="437"/>
        <v>105.65193084247011</v>
      </c>
      <c r="AA249" s="518">
        <f t="shared" ref="AA249:AE249" si="438">AA250*AA241</f>
        <v>107.68743728991862</v>
      </c>
      <c r="AB249" s="518">
        <f t="shared" si="438"/>
        <v>109.7626902908317</v>
      </c>
      <c r="AC249" s="518">
        <f t="shared" si="438"/>
        <v>111.8784713561205</v>
      </c>
      <c r="AD249" s="518">
        <f t="shared" si="438"/>
        <v>113.51087820526178</v>
      </c>
      <c r="AE249" s="518">
        <f t="shared" si="438"/>
        <v>115.16724006100765</v>
      </c>
      <c r="AF249" s="130"/>
      <c r="AG249" s="21"/>
      <c r="AH249" s="21"/>
      <c r="AI249" s="21"/>
      <c r="AJ249" s="21"/>
      <c r="AK249" s="21"/>
      <c r="AL249" s="21"/>
      <c r="AM249" s="21"/>
    </row>
    <row r="250" spans="2:39">
      <c r="B250" s="4" t="s">
        <v>1431</v>
      </c>
      <c r="P250" s="449">
        <f>P249/P241</f>
        <v>0.18952234206471494</v>
      </c>
      <c r="Q250" s="449">
        <f>Q134</f>
        <v>0.16924569048858554</v>
      </c>
      <c r="R250" s="449">
        <f>R134</f>
        <v>0.1684398474811481</v>
      </c>
      <c r="S250" s="449">
        <f>S249/S241</f>
        <v>0.37201365187713309</v>
      </c>
      <c r="T250" s="449">
        <f>S250-10%</f>
        <v>0.27201365187713311</v>
      </c>
      <c r="U250" s="449">
        <f>T250-10%</f>
        <v>0.17201365187713311</v>
      </c>
      <c r="V250" s="449">
        <f>U250</f>
        <v>0.17201365187713311</v>
      </c>
      <c r="W250" s="449">
        <f>V250</f>
        <v>0.17201365187713311</v>
      </c>
      <c r="X250" s="449">
        <f>W250</f>
        <v>0.17201365187713311</v>
      </c>
      <c r="Y250" s="449">
        <f>X250</f>
        <v>0.17201365187713311</v>
      </c>
      <c r="Z250" s="449">
        <f>Y250</f>
        <v>0.17201365187713311</v>
      </c>
      <c r="AA250" s="449">
        <f t="shared" ref="AA250:AE250" si="439">Z250</f>
        <v>0.17201365187713311</v>
      </c>
      <c r="AB250" s="449">
        <f t="shared" si="439"/>
        <v>0.17201365187713311</v>
      </c>
      <c r="AC250" s="449">
        <f t="shared" si="439"/>
        <v>0.17201365187713311</v>
      </c>
      <c r="AD250" s="449">
        <f t="shared" si="439"/>
        <v>0.17201365187713311</v>
      </c>
      <c r="AE250" s="449">
        <f t="shared" si="439"/>
        <v>0.17201365187713311</v>
      </c>
      <c r="AF250" s="130"/>
      <c r="AG250" s="21"/>
      <c r="AH250" s="21"/>
      <c r="AI250" s="21"/>
      <c r="AJ250" s="21"/>
      <c r="AK250" s="21"/>
      <c r="AL250" s="21"/>
      <c r="AM250" s="21"/>
    </row>
    <row r="251" spans="2:39">
      <c r="B251" s="4"/>
      <c r="P251" s="449"/>
      <c r="AF251" s="130"/>
      <c r="AG251" s="21"/>
      <c r="AH251" s="21"/>
      <c r="AI251" s="21"/>
      <c r="AJ251" s="21"/>
      <c r="AK251" s="21"/>
      <c r="AL251" s="21"/>
      <c r="AM251" s="21"/>
    </row>
    <row r="252" spans="2:39">
      <c r="B252" s="4" t="s">
        <v>392</v>
      </c>
      <c r="P252" s="51">
        <v>159</v>
      </c>
      <c r="Q252" s="518">
        <f t="shared" ref="Q252:Z252" si="440">Q245-Q249</f>
        <v>152.91338564009789</v>
      </c>
      <c r="R252" s="518">
        <f t="shared" si="440"/>
        <v>166.46268922352834</v>
      </c>
      <c r="S252" s="518">
        <f t="shared" si="440"/>
        <v>37</v>
      </c>
      <c r="T252" s="518">
        <f t="shared" si="440"/>
        <v>118.42389078498294</v>
      </c>
      <c r="U252" s="518">
        <f t="shared" si="440"/>
        <v>152.04846416382253</v>
      </c>
      <c r="V252" s="518">
        <f t="shared" si="440"/>
        <v>157.68395904436861</v>
      </c>
      <c r="W252" s="518">
        <f t="shared" si="440"/>
        <v>160.6086140215931</v>
      </c>
      <c r="X252" s="518">
        <f t="shared" si="440"/>
        <v>170.13255529060061</v>
      </c>
      <c r="Y252" s="518">
        <f t="shared" si="440"/>
        <v>195.48088881658043</v>
      </c>
      <c r="Z252" s="518">
        <f t="shared" si="440"/>
        <v>196.18320519891711</v>
      </c>
      <c r="AA252" s="518">
        <f t="shared" ref="AA252:AE252" si="441">AA245-AA249</f>
        <v>201.52800134134722</v>
      </c>
      <c r="AB252" s="518">
        <f t="shared" si="441"/>
        <v>207.00692449147135</v>
      </c>
      <c r="AC252" s="518">
        <f t="shared" si="441"/>
        <v>213.32383129609491</v>
      </c>
      <c r="AD252" s="518">
        <f t="shared" si="441"/>
        <v>219.73588952572149</v>
      </c>
      <c r="AE252" s="518">
        <f t="shared" si="441"/>
        <v>226.28991633415853</v>
      </c>
      <c r="AF252" s="130"/>
      <c r="AG252" s="21"/>
      <c r="AH252" s="21"/>
      <c r="AI252" s="21"/>
      <c r="AJ252" s="21"/>
      <c r="AK252" s="21"/>
      <c r="AL252" s="21"/>
      <c r="AM252" s="21"/>
    </row>
    <row r="253" spans="2:39">
      <c r="B253" s="4" t="s">
        <v>2938</v>
      </c>
      <c r="O253" s="509" t="s">
        <v>1823</v>
      </c>
      <c r="P253" s="509">
        <f>P254/O273</f>
        <v>5.7291666666666664E-2</v>
      </c>
      <c r="Q253" s="456">
        <f t="shared" ref="Q253:Z253" si="442">P253</f>
        <v>5.7291666666666664E-2</v>
      </c>
      <c r="R253" s="456">
        <f t="shared" si="442"/>
        <v>5.7291666666666664E-2</v>
      </c>
      <c r="S253" s="509">
        <f>S254/R273</f>
        <v>0.15174129353233831</v>
      </c>
      <c r="T253" s="456">
        <f t="shared" si="442"/>
        <v>0.15174129353233831</v>
      </c>
      <c r="U253" s="456">
        <f t="shared" si="442"/>
        <v>0.15174129353233831</v>
      </c>
      <c r="V253" s="456">
        <f t="shared" si="442"/>
        <v>0.15174129353233831</v>
      </c>
      <c r="W253" s="456">
        <f t="shared" si="442"/>
        <v>0.15174129353233831</v>
      </c>
      <c r="X253" s="456">
        <f t="shared" si="442"/>
        <v>0.15174129353233831</v>
      </c>
      <c r="Y253" s="456">
        <f t="shared" si="442"/>
        <v>0.15174129353233831</v>
      </c>
      <c r="Z253" s="456">
        <f t="shared" si="442"/>
        <v>0.15174129353233831</v>
      </c>
      <c r="AA253" s="456">
        <f t="shared" ref="AA253" si="443">Z253</f>
        <v>0.15174129353233831</v>
      </c>
      <c r="AB253" s="456">
        <f t="shared" ref="AB253" si="444">AA253</f>
        <v>0.15174129353233831</v>
      </c>
      <c r="AC253" s="456">
        <f t="shared" ref="AC253" si="445">AB253</f>
        <v>0.15174129353233831</v>
      </c>
      <c r="AD253" s="456">
        <f t="shared" ref="AD253" si="446">AC253</f>
        <v>0.15174129353233831</v>
      </c>
      <c r="AE253" s="456">
        <f t="shared" ref="AE253" si="447">AD253</f>
        <v>0.15174129353233831</v>
      </c>
      <c r="AF253" s="130"/>
      <c r="AG253" s="21"/>
      <c r="AH253" s="21"/>
      <c r="AI253" s="21"/>
      <c r="AJ253" s="21"/>
      <c r="AK253" s="21"/>
      <c r="AL253" s="21"/>
      <c r="AM253" s="21"/>
    </row>
    <row r="254" spans="2:39">
      <c r="B254" s="4" t="s">
        <v>1382</v>
      </c>
      <c r="O254" s="518"/>
      <c r="P254" s="51">
        <v>22</v>
      </c>
      <c r="Q254" s="518">
        <f t="shared" ref="Q254:Z254" si="448">Q253*P273</f>
        <v>22.401041666666664</v>
      </c>
      <c r="R254" s="518">
        <f t="shared" si="448"/>
        <v>23.03125</v>
      </c>
      <c r="S254" s="51">
        <f>85+31-S188</f>
        <v>61</v>
      </c>
      <c r="T254" s="518">
        <f t="shared" si="448"/>
        <v>58.116915422885576</v>
      </c>
      <c r="U254" s="518">
        <f t="shared" si="448"/>
        <v>64.18656716417911</v>
      </c>
      <c r="V254" s="518">
        <f t="shared" si="448"/>
        <v>60.696517412935322</v>
      </c>
      <c r="W254" s="518">
        <f t="shared" si="448"/>
        <v>57.813432835820898</v>
      </c>
      <c r="X254" s="518">
        <f t="shared" si="448"/>
        <v>57.813432835820898</v>
      </c>
      <c r="Y254" s="518">
        <f t="shared" si="448"/>
        <v>57.813432835820898</v>
      </c>
      <c r="Z254" s="518">
        <f t="shared" si="448"/>
        <v>57.813432835820898</v>
      </c>
      <c r="AA254" s="518">
        <f t="shared" ref="AA254" si="449">AA253*Z273</f>
        <v>57.813432835820898</v>
      </c>
      <c r="AB254" s="518">
        <f t="shared" ref="AB254" si="450">AB253*AA273</f>
        <v>57.813432835820898</v>
      </c>
      <c r="AC254" s="518">
        <f t="shared" ref="AC254" si="451">AC253*AB273</f>
        <v>57.813432835820898</v>
      </c>
      <c r="AD254" s="518">
        <f t="shared" ref="AD254" si="452">AD253*AC273</f>
        <v>57.813432835820898</v>
      </c>
      <c r="AE254" s="518">
        <f t="shared" ref="AE254" si="453">AE253*AD273</f>
        <v>57.813432835820898</v>
      </c>
      <c r="AF254" s="130"/>
      <c r="AG254" s="21"/>
      <c r="AH254" s="21"/>
      <c r="AI254" s="21"/>
      <c r="AJ254" s="21"/>
      <c r="AK254" s="21"/>
      <c r="AL254" s="21"/>
      <c r="AM254" s="21"/>
    </row>
    <row r="255" spans="2:39">
      <c r="B255" s="4" t="s">
        <v>3927</v>
      </c>
      <c r="P255" s="51">
        <v>45</v>
      </c>
      <c r="Q255" s="51">
        <v>0</v>
      </c>
      <c r="R255" s="51">
        <v>0</v>
      </c>
      <c r="S255" s="51">
        <v>0</v>
      </c>
      <c r="T255" s="51">
        <v>0</v>
      </c>
      <c r="U255" s="51">
        <v>0</v>
      </c>
      <c r="V255" s="51">
        <v>0</v>
      </c>
      <c r="W255" s="51">
        <v>0</v>
      </c>
      <c r="X255" s="51">
        <v>0</v>
      </c>
      <c r="Y255" s="51">
        <v>0</v>
      </c>
      <c r="Z255" s="51">
        <v>0</v>
      </c>
      <c r="AA255" s="51">
        <v>0</v>
      </c>
      <c r="AB255" s="51">
        <v>0</v>
      </c>
      <c r="AC255" s="51">
        <v>0</v>
      </c>
      <c r="AD255" s="51">
        <v>0</v>
      </c>
      <c r="AE255" s="51">
        <v>0</v>
      </c>
      <c r="AF255" s="130"/>
      <c r="AG255" s="21"/>
      <c r="AH255" s="21"/>
      <c r="AI255" s="21"/>
      <c r="AJ255" s="21"/>
      <c r="AK255" s="21"/>
      <c r="AL255" s="21"/>
      <c r="AM255" s="21"/>
    </row>
    <row r="256" spans="2:39">
      <c r="B256" s="4" t="s">
        <v>2097</v>
      </c>
      <c r="P256" s="518">
        <f t="shared" ref="P256:U256" si="454">P252-P254-P255</f>
        <v>92</v>
      </c>
      <c r="Q256" s="518">
        <f t="shared" si="454"/>
        <v>130.51234397343123</v>
      </c>
      <c r="R256" s="518">
        <f t="shared" si="454"/>
        <v>143.43143922352834</v>
      </c>
      <c r="S256" s="518">
        <f t="shared" si="454"/>
        <v>-24</v>
      </c>
      <c r="T256" s="518">
        <f t="shared" si="454"/>
        <v>60.306975362097369</v>
      </c>
      <c r="U256" s="518">
        <f t="shared" si="454"/>
        <v>87.86189699964342</v>
      </c>
      <c r="V256" s="518">
        <f>V252-V254-V255</f>
        <v>96.987441631433285</v>
      </c>
      <c r="W256" s="518">
        <f>W252-W254-W255</f>
        <v>102.79518118577221</v>
      </c>
      <c r="X256" s="518">
        <f>X252-X254-X255</f>
        <v>112.31912245477972</v>
      </c>
      <c r="Y256" s="518">
        <f>Y252-Y254-Y255</f>
        <v>137.66745598075954</v>
      </c>
      <c r="Z256" s="518">
        <f>Z252-Z254-Z255</f>
        <v>138.36977236309622</v>
      </c>
      <c r="AA256" s="518">
        <f t="shared" ref="AA256:AE256" si="455">AA252-AA254-AA255</f>
        <v>143.71456850552633</v>
      </c>
      <c r="AB256" s="518">
        <f t="shared" si="455"/>
        <v>149.19349165565046</v>
      </c>
      <c r="AC256" s="518">
        <f t="shared" si="455"/>
        <v>155.51039846027402</v>
      </c>
      <c r="AD256" s="518">
        <f t="shared" si="455"/>
        <v>161.9224566899006</v>
      </c>
      <c r="AE256" s="518">
        <f t="shared" si="455"/>
        <v>168.47648349833764</v>
      </c>
      <c r="AF256" s="130"/>
      <c r="AG256" s="21"/>
      <c r="AH256" s="21"/>
      <c r="AI256" s="21"/>
      <c r="AJ256" s="21"/>
      <c r="AK256" s="21"/>
      <c r="AL256" s="21"/>
      <c r="AM256" s="21"/>
    </row>
    <row r="257" spans="2:39">
      <c r="B257" s="4"/>
      <c r="AF257" s="130"/>
      <c r="AG257" s="21"/>
      <c r="AH257" s="21"/>
      <c r="AI257" s="21"/>
      <c r="AJ257" s="21"/>
      <c r="AK257" s="21"/>
      <c r="AL257" s="21"/>
      <c r="AM257" s="21"/>
    </row>
    <row r="258" spans="2:39">
      <c r="B258" s="4" t="s">
        <v>682</v>
      </c>
      <c r="P258" s="449">
        <f>SOP!$F$227</f>
        <v>0.3</v>
      </c>
      <c r="Q258" s="449">
        <f t="shared" ref="Q258:Z258" si="456">P258</f>
        <v>0.3</v>
      </c>
      <c r="R258" s="449">
        <f t="shared" si="456"/>
        <v>0.3</v>
      </c>
      <c r="S258" s="449">
        <f t="shared" si="456"/>
        <v>0.3</v>
      </c>
      <c r="T258" s="449">
        <f t="shared" si="456"/>
        <v>0.3</v>
      </c>
      <c r="U258" s="449">
        <f t="shared" si="456"/>
        <v>0.3</v>
      </c>
      <c r="V258" s="449">
        <v>0.33</v>
      </c>
      <c r="W258" s="449">
        <v>0.3</v>
      </c>
      <c r="X258" s="449">
        <f t="shared" si="456"/>
        <v>0.3</v>
      </c>
      <c r="Y258" s="449">
        <f t="shared" si="456"/>
        <v>0.3</v>
      </c>
      <c r="Z258" s="449">
        <f t="shared" si="456"/>
        <v>0.3</v>
      </c>
      <c r="AA258" s="449">
        <f t="shared" ref="AA258" si="457">Z258</f>
        <v>0.3</v>
      </c>
      <c r="AB258" s="449">
        <f t="shared" ref="AB258" si="458">AA258</f>
        <v>0.3</v>
      </c>
      <c r="AC258" s="449">
        <f t="shared" ref="AC258" si="459">AB258</f>
        <v>0.3</v>
      </c>
      <c r="AD258" s="449">
        <f t="shared" ref="AD258" si="460">AC258</f>
        <v>0.3</v>
      </c>
      <c r="AE258" s="449">
        <f t="shared" ref="AE258" si="461">AD258</f>
        <v>0.3</v>
      </c>
      <c r="AF258" s="130"/>
      <c r="AG258" s="21"/>
      <c r="AH258" s="21"/>
      <c r="AI258" s="21"/>
      <c r="AJ258" s="21"/>
      <c r="AK258" s="21"/>
      <c r="AL258" s="21"/>
      <c r="AM258" s="21"/>
    </row>
    <row r="259" spans="2:39">
      <c r="B259" s="4" t="s">
        <v>395</v>
      </c>
      <c r="P259" s="51">
        <v>51</v>
      </c>
      <c r="Q259" s="518">
        <f t="shared" ref="Q259:Z259" si="462">Q258*Q256</f>
        <v>39.153703192029369</v>
      </c>
      <c r="R259" s="518">
        <f t="shared" si="462"/>
        <v>43.029431767058504</v>
      </c>
      <c r="S259" s="51">
        <f>87-S207</f>
        <v>18</v>
      </c>
      <c r="T259" s="518">
        <f t="shared" si="462"/>
        <v>18.092092608629208</v>
      </c>
      <c r="U259" s="518">
        <f t="shared" si="462"/>
        <v>26.358569099893025</v>
      </c>
      <c r="V259" s="518">
        <f t="shared" si="462"/>
        <v>32.005855738372986</v>
      </c>
      <c r="W259" s="518">
        <f t="shared" si="462"/>
        <v>30.838554355731659</v>
      </c>
      <c r="X259" s="518">
        <f t="shared" si="462"/>
        <v>33.695736736433915</v>
      </c>
      <c r="Y259" s="518">
        <f t="shared" si="462"/>
        <v>41.300236794227864</v>
      </c>
      <c r="Z259" s="518">
        <f t="shared" si="462"/>
        <v>41.510931708928865</v>
      </c>
      <c r="AA259" s="518">
        <f t="shared" ref="AA259:AE259" si="463">AA258*AA256</f>
        <v>43.114370551657899</v>
      </c>
      <c r="AB259" s="518">
        <f t="shared" si="463"/>
        <v>44.758047496695134</v>
      </c>
      <c r="AC259" s="518">
        <f t="shared" si="463"/>
        <v>46.653119538082201</v>
      </c>
      <c r="AD259" s="518">
        <f t="shared" si="463"/>
        <v>48.576737006970177</v>
      </c>
      <c r="AE259" s="518">
        <f t="shared" si="463"/>
        <v>50.542945049501292</v>
      </c>
      <c r="AF259" s="130"/>
      <c r="AG259" s="21"/>
      <c r="AH259" s="21"/>
      <c r="AI259" s="21"/>
      <c r="AJ259" s="21"/>
      <c r="AK259" s="21"/>
      <c r="AL259" s="21"/>
      <c r="AM259" s="21"/>
    </row>
    <row r="260" spans="2:39">
      <c r="B260" s="4"/>
      <c r="P260" s="518"/>
      <c r="AF260" s="130"/>
      <c r="AG260" s="21"/>
      <c r="AH260" s="21"/>
      <c r="AI260" s="21"/>
      <c r="AJ260" s="21"/>
      <c r="AK260" s="21"/>
      <c r="AL260" s="21"/>
      <c r="AM260" s="21"/>
    </row>
    <row r="261" spans="2:39">
      <c r="B261" s="4" t="s">
        <v>407</v>
      </c>
      <c r="P261" s="518">
        <f t="shared" ref="P261:U261" si="464">P256-P259</f>
        <v>41</v>
      </c>
      <c r="Q261" s="518">
        <f t="shared" si="464"/>
        <v>91.35864078140186</v>
      </c>
      <c r="R261" s="518">
        <f t="shared" si="464"/>
        <v>100.40200745646985</v>
      </c>
      <c r="S261" s="518">
        <f t="shared" si="464"/>
        <v>-42</v>
      </c>
      <c r="T261" s="518">
        <f t="shared" si="464"/>
        <v>42.21488275346816</v>
      </c>
      <c r="U261" s="518">
        <f t="shared" si="464"/>
        <v>61.503327899750396</v>
      </c>
      <c r="V261" s="518">
        <f>V256-V259</f>
        <v>64.981585893060299</v>
      </c>
      <c r="W261" s="518">
        <f>W256-W259</f>
        <v>71.956626830040548</v>
      </c>
      <c r="X261" s="518">
        <f>X256-X259</f>
        <v>78.623385718345801</v>
      </c>
      <c r="Y261" s="518">
        <f>Y256-Y259</f>
        <v>96.367219186531685</v>
      </c>
      <c r="Z261" s="518">
        <f>Z256-Z259</f>
        <v>96.858840654167352</v>
      </c>
      <c r="AA261" s="518">
        <f t="shared" ref="AA261:AE261" si="465">AA256-AA259</f>
        <v>100.60019795386843</v>
      </c>
      <c r="AB261" s="518">
        <f t="shared" si="465"/>
        <v>104.43544415895533</v>
      </c>
      <c r="AC261" s="518">
        <f t="shared" si="465"/>
        <v>108.85727892219182</v>
      </c>
      <c r="AD261" s="518">
        <f t="shared" si="465"/>
        <v>113.34571968293042</v>
      </c>
      <c r="AE261" s="518">
        <f t="shared" si="465"/>
        <v>117.93353844883634</v>
      </c>
      <c r="AF261" s="130"/>
      <c r="AG261" s="21"/>
      <c r="AH261" s="21"/>
      <c r="AI261" s="21"/>
      <c r="AJ261" s="21"/>
      <c r="AK261" s="21"/>
      <c r="AL261" s="21"/>
      <c r="AM261" s="21"/>
    </row>
    <row r="262" spans="2:39">
      <c r="B262" s="4"/>
      <c r="P262" s="518"/>
      <c r="Q262" s="518"/>
      <c r="R262" s="518"/>
      <c r="S262" s="518"/>
      <c r="T262" s="518"/>
      <c r="U262" s="518"/>
      <c r="V262" s="518"/>
      <c r="AF262" s="130"/>
      <c r="AG262" s="21"/>
      <c r="AH262" s="21"/>
      <c r="AI262" s="21"/>
      <c r="AJ262" s="21"/>
      <c r="AK262" s="21"/>
      <c r="AL262" s="21"/>
      <c r="AM262" s="21"/>
    </row>
    <row r="263" spans="2:39">
      <c r="B263" s="117" t="s">
        <v>7409</v>
      </c>
      <c r="P263" s="518"/>
      <c r="Q263" s="518"/>
      <c r="R263" s="518"/>
      <c r="S263" s="518"/>
      <c r="T263" s="518"/>
      <c r="U263" s="518"/>
      <c r="V263" s="518">
        <f>V261*V281</f>
        <v>43.342717790671223</v>
      </c>
      <c r="W263" s="518">
        <f>W261*W281</f>
        <v>47.995070095637047</v>
      </c>
      <c r="X263" s="518">
        <f>X261*X281</f>
        <v>52.441798274136652</v>
      </c>
      <c r="Y263" s="518">
        <f>Y261*Y281</f>
        <v>64.276935197416634</v>
      </c>
      <c r="Z263" s="518">
        <f t="shared" ref="Z263:AE263" si="466">Z261*Z281</f>
        <v>64.604846716329632</v>
      </c>
      <c r="AA263" s="518">
        <f t="shared" si="466"/>
        <v>67.100332035230252</v>
      </c>
      <c r="AB263" s="518">
        <f t="shared" si="466"/>
        <v>69.658441254023217</v>
      </c>
      <c r="AC263" s="518">
        <f t="shared" si="466"/>
        <v>72.607805041101955</v>
      </c>
      <c r="AD263" s="518">
        <f t="shared" si="466"/>
        <v>75.601595028514595</v>
      </c>
      <c r="AE263" s="518">
        <f t="shared" si="466"/>
        <v>78.661670145373847</v>
      </c>
      <c r="AF263" s="130"/>
      <c r="AG263" s="21"/>
      <c r="AH263" s="21"/>
      <c r="AI263" s="21"/>
      <c r="AJ263" s="21"/>
      <c r="AK263" s="21"/>
      <c r="AL263" s="21"/>
      <c r="AM263" s="21"/>
    </row>
    <row r="264" spans="2:39">
      <c r="B264" s="4"/>
      <c r="P264" s="449"/>
      <c r="S264" s="518"/>
      <c r="AF264" s="130"/>
      <c r="AG264" s="21"/>
      <c r="AH264" s="21"/>
      <c r="AI264" s="21"/>
      <c r="AJ264" s="21"/>
      <c r="AK264" s="21"/>
      <c r="AL264" s="21"/>
      <c r="AM264" s="21"/>
    </row>
    <row r="265" spans="2:39">
      <c r="B265" s="4" t="s">
        <v>1545</v>
      </c>
      <c r="P265" s="518">
        <f t="shared" ref="P265:U265" si="467">P266*P241</f>
        <v>97.291746929112151</v>
      </c>
      <c r="Q265" s="518">
        <f t="shared" si="467"/>
        <v>103.09047279580602</v>
      </c>
      <c r="R265" s="518">
        <f t="shared" si="467"/>
        <v>98.537310776471642</v>
      </c>
      <c r="S265" s="518">
        <f t="shared" si="467"/>
        <v>91.520774260023373</v>
      </c>
      <c r="T265" s="518">
        <f t="shared" si="467"/>
        <v>93.433972763427548</v>
      </c>
      <c r="U265" s="518">
        <f t="shared" si="467"/>
        <v>87.545224789557835</v>
      </c>
      <c r="V265" s="518">
        <f>V266*V241</f>
        <v>97.360714362068791</v>
      </c>
      <c r="W265" s="518">
        <f>W266*W241</f>
        <v>88.276178844265587</v>
      </c>
      <c r="X265" s="518">
        <f t="shared" ref="X265:Z265" si="468">X266*X241</f>
        <v>91.712003868613138</v>
      </c>
      <c r="Y265" s="518">
        <f t="shared" si="468"/>
        <v>92.90891451411288</v>
      </c>
      <c r="Z265" s="518">
        <f t="shared" si="468"/>
        <v>92.130999216796837</v>
      </c>
      <c r="AA265" s="518">
        <f t="shared" ref="AA265" si="469">AA266*AA241</f>
        <v>93.906009303411167</v>
      </c>
      <c r="AB265" s="518">
        <f t="shared" ref="AB265" si="470">AB266*AB241</f>
        <v>95.715679330993112</v>
      </c>
      <c r="AC265" s="518">
        <f t="shared" ref="AC265" si="471">AC266*AC241</f>
        <v>97.560690795664598</v>
      </c>
      <c r="AD265" s="518">
        <f t="shared" ref="AD265" si="472">AD266*AD241</f>
        <v>98.984188434945537</v>
      </c>
      <c r="AE265" s="518">
        <f t="shared" ref="AE265" si="473">AE266*AE241</f>
        <v>100.42857541034297</v>
      </c>
      <c r="AF265" s="130"/>
      <c r="AG265" s="21"/>
      <c r="AH265" s="21"/>
      <c r="AI265" s="21"/>
      <c r="AJ265" s="21"/>
      <c r="AK265" s="21"/>
      <c r="AL265" s="21"/>
      <c r="AM265" s="21"/>
    </row>
    <row r="266" spans="2:39">
      <c r="B266" s="4" t="s">
        <v>1431</v>
      </c>
      <c r="P266" s="456">
        <f t="shared" ref="P266:V266" si="474">P134</f>
        <v>0.14991024180140547</v>
      </c>
      <c r="Q266" s="456">
        <f t="shared" si="474"/>
        <v>0.16924569048858554</v>
      </c>
      <c r="R266" s="456">
        <f t="shared" si="474"/>
        <v>0.1684398474811481</v>
      </c>
      <c r="S266" s="456">
        <f t="shared" si="474"/>
        <v>0.15617879566556889</v>
      </c>
      <c r="T266" s="456">
        <f t="shared" si="474"/>
        <v>0.15729625044348072</v>
      </c>
      <c r="U266" s="456">
        <f t="shared" si="474"/>
        <v>0.15859642172021346</v>
      </c>
      <c r="V266" s="456">
        <f t="shared" si="474"/>
        <v>0.1652983265909487</v>
      </c>
      <c r="W266" s="1252">
        <v>0.15</v>
      </c>
      <c r="X266" s="1252">
        <v>0.15</v>
      </c>
      <c r="Y266" s="1252">
        <v>0.15</v>
      </c>
      <c r="Z266" s="1252">
        <v>0.15</v>
      </c>
      <c r="AA266" s="1252">
        <v>0.15</v>
      </c>
      <c r="AB266" s="1252">
        <v>0.15</v>
      </c>
      <c r="AC266" s="1252">
        <v>0.15</v>
      </c>
      <c r="AD266" s="1252">
        <v>0.15</v>
      </c>
      <c r="AE266" s="1252">
        <v>0.15</v>
      </c>
      <c r="AF266" s="130"/>
      <c r="AG266" s="21"/>
      <c r="AH266" s="21"/>
      <c r="AI266" s="21"/>
      <c r="AJ266" s="21"/>
      <c r="AK266" s="21"/>
      <c r="AL266" s="21"/>
      <c r="AM266" s="21"/>
    </row>
    <row r="267" spans="2:39">
      <c r="B267" s="4"/>
      <c r="P267" s="456"/>
      <c r="Q267" s="456"/>
      <c r="R267" s="456"/>
      <c r="S267" s="456"/>
      <c r="T267" s="456"/>
      <c r="U267" s="456"/>
      <c r="V267" s="456"/>
      <c r="W267" s="456"/>
      <c r="X267" s="456"/>
      <c r="Y267" s="456"/>
      <c r="Z267" s="456"/>
      <c r="AA267" s="456"/>
      <c r="AB267" s="456"/>
      <c r="AC267" s="456"/>
      <c r="AD267" s="456"/>
      <c r="AE267" s="456"/>
      <c r="AF267" s="130"/>
      <c r="AG267" s="21"/>
      <c r="AH267" s="21"/>
      <c r="AI267" s="21"/>
      <c r="AJ267" s="21"/>
      <c r="AK267" s="21"/>
      <c r="AL267" s="21"/>
      <c r="AM267" s="21"/>
    </row>
    <row r="268" spans="2:39">
      <c r="B268" s="117" t="s">
        <v>1552</v>
      </c>
      <c r="P268" s="456"/>
      <c r="Q268" s="456"/>
      <c r="R268" s="456"/>
      <c r="S268" s="456"/>
      <c r="T268" s="456"/>
      <c r="U268" s="518">
        <f>U245-U265</f>
        <v>159.45477521044216</v>
      </c>
      <c r="V268" s="518">
        <f t="shared" ref="V268:AE268" si="475">V245-V265</f>
        <v>161.63928563793121</v>
      </c>
      <c r="W268" s="518">
        <f t="shared" si="475"/>
        <v>173.56382115573444</v>
      </c>
      <c r="X268" s="518">
        <f t="shared" si="475"/>
        <v>183.59199613138685</v>
      </c>
      <c r="Y268" s="518">
        <f t="shared" si="475"/>
        <v>209.11598548588711</v>
      </c>
      <c r="Z268" s="518">
        <f t="shared" si="475"/>
        <v>209.70413682459036</v>
      </c>
      <c r="AA268" s="518">
        <f t="shared" si="475"/>
        <v>215.30942932785467</v>
      </c>
      <c r="AB268" s="518">
        <f t="shared" si="475"/>
        <v>221.05393545130994</v>
      </c>
      <c r="AC268" s="518">
        <f t="shared" si="475"/>
        <v>227.64161185655081</v>
      </c>
      <c r="AD268" s="518">
        <f t="shared" si="475"/>
        <v>234.26257929603773</v>
      </c>
      <c r="AE268" s="518">
        <f t="shared" si="475"/>
        <v>241.02858098482321</v>
      </c>
      <c r="AF268" s="130"/>
      <c r="AG268" s="21"/>
      <c r="AH268" s="21"/>
      <c r="AI268" s="21"/>
      <c r="AJ268" s="21"/>
      <c r="AK268" s="21"/>
      <c r="AL268" s="21"/>
      <c r="AM268" s="21"/>
    </row>
    <row r="269" spans="2:39">
      <c r="B269" s="4"/>
      <c r="P269" s="456"/>
      <c r="Q269" s="456"/>
      <c r="R269" s="456"/>
      <c r="S269" s="456"/>
      <c r="T269" s="456"/>
      <c r="U269" s="456"/>
      <c r="V269" s="456"/>
      <c r="W269" s="456"/>
      <c r="X269" s="456"/>
      <c r="Y269" s="456"/>
      <c r="Z269" s="456"/>
      <c r="AA269" s="456"/>
      <c r="AB269" s="456"/>
      <c r="AC269" s="456"/>
      <c r="AD269" s="456"/>
      <c r="AE269" s="456"/>
      <c r="AF269" s="130"/>
      <c r="AG269" s="21"/>
      <c r="AH269" s="21"/>
      <c r="AI269" s="21"/>
      <c r="AJ269" s="21"/>
      <c r="AK269" s="21"/>
      <c r="AL269" s="21"/>
      <c r="AM269" s="21"/>
    </row>
    <row r="270" spans="2:39">
      <c r="B270" s="4" t="s">
        <v>5812</v>
      </c>
      <c r="P270" s="456"/>
      <c r="Q270" s="456"/>
      <c r="R270" s="456"/>
      <c r="S270" s="456"/>
      <c r="T270" s="51">
        <v>50</v>
      </c>
      <c r="U270" s="51">
        <v>0</v>
      </c>
      <c r="V270" s="51">
        <v>50</v>
      </c>
      <c r="W270" s="51">
        <v>0</v>
      </c>
      <c r="X270" s="51">
        <v>0</v>
      </c>
      <c r="Y270" s="51">
        <v>0</v>
      </c>
      <c r="Z270" s="51">
        <v>0</v>
      </c>
      <c r="AA270" s="51">
        <v>0</v>
      </c>
      <c r="AB270" s="51">
        <v>0</v>
      </c>
      <c r="AC270" s="51">
        <v>0</v>
      </c>
      <c r="AD270" s="51">
        <v>0</v>
      </c>
      <c r="AE270" s="51">
        <v>0</v>
      </c>
      <c r="AF270" s="130"/>
      <c r="AG270" s="21"/>
      <c r="AH270" s="21"/>
      <c r="AI270" s="21"/>
      <c r="AJ270" s="21"/>
      <c r="AK270" s="21"/>
      <c r="AL270" s="21"/>
      <c r="AM270" s="21"/>
    </row>
    <row r="271" spans="2:39">
      <c r="B271" s="4" t="s">
        <v>574</v>
      </c>
      <c r="P271" s="1256">
        <f>P245-P265-P259-P254</f>
        <v>111.70825307088785</v>
      </c>
      <c r="Q271" s="1256">
        <f>Q245-Q265-Q259-Q254</f>
        <v>91.358640781401846</v>
      </c>
      <c r="R271" s="1256">
        <f>R245-R265-R259-R254</f>
        <v>100.40200745646985</v>
      </c>
      <c r="S271" s="1256">
        <f>S245-S265-S259-S254</f>
        <v>84.479225739976641</v>
      </c>
      <c r="T271" s="1256">
        <f>T245-T265-T259-T254-T270</f>
        <v>60.357019205057668</v>
      </c>
      <c r="U271" s="1256">
        <f t="shared" ref="U271:AE271" si="476">U245-U265-U259-U254-U270</f>
        <v>68.909638946370023</v>
      </c>
      <c r="V271" s="1256">
        <f t="shared" si="476"/>
        <v>18.936912486622901</v>
      </c>
      <c r="W271" s="1256">
        <f t="shared" si="476"/>
        <v>84.911833964181881</v>
      </c>
      <c r="X271" s="1256">
        <f t="shared" si="476"/>
        <v>92.082826559132059</v>
      </c>
      <c r="Y271" s="1256">
        <f t="shared" si="476"/>
        <v>110.00231585583836</v>
      </c>
      <c r="Z271" s="1256">
        <f t="shared" si="476"/>
        <v>110.37977227984061</v>
      </c>
      <c r="AA271" s="1256">
        <f t="shared" si="476"/>
        <v>114.3816259403759</v>
      </c>
      <c r="AB271" s="1256">
        <f t="shared" si="476"/>
        <v>118.48245511879392</v>
      </c>
      <c r="AC271" s="1256">
        <f t="shared" si="476"/>
        <v>123.17505948264773</v>
      </c>
      <c r="AD271" s="1256">
        <f t="shared" si="476"/>
        <v>127.87240945324666</v>
      </c>
      <c r="AE271" s="1256">
        <f t="shared" si="476"/>
        <v>132.67220309950102</v>
      </c>
      <c r="AF271" s="130"/>
      <c r="AG271" s="21"/>
      <c r="AH271" s="21"/>
      <c r="AI271" s="21"/>
      <c r="AJ271" s="21"/>
      <c r="AK271" s="21"/>
      <c r="AL271" s="21"/>
      <c r="AM271" s="21"/>
    </row>
    <row r="272" spans="2:39">
      <c r="B272" s="2"/>
      <c r="AF272" s="130"/>
      <c r="AG272" s="21"/>
      <c r="AH272" s="21"/>
      <c r="AI272" s="21"/>
      <c r="AJ272" s="21"/>
      <c r="AK272" s="21"/>
      <c r="AL272" s="21"/>
      <c r="AM272" s="21"/>
    </row>
    <row r="273" spans="2:39">
      <c r="B273" s="4" t="s">
        <v>134</v>
      </c>
      <c r="N273" s="687">
        <f>O273</f>
        <v>384</v>
      </c>
      <c r="O273" s="51">
        <f>126+77+131+50</f>
        <v>384</v>
      </c>
      <c r="P273" s="51">
        <v>391</v>
      </c>
      <c r="Q273" s="51">
        <v>402</v>
      </c>
      <c r="R273" s="51">
        <v>402</v>
      </c>
      <c r="S273" s="51">
        <v>383</v>
      </c>
      <c r="T273" s="51">
        <v>423</v>
      </c>
      <c r="U273" s="51">
        <v>400</v>
      </c>
      <c r="V273" s="51">
        <v>381</v>
      </c>
      <c r="W273" s="687">
        <f t="shared" ref="W273:Z273" si="477">V273</f>
        <v>381</v>
      </c>
      <c r="X273" s="687">
        <f t="shared" si="477"/>
        <v>381</v>
      </c>
      <c r="Y273" s="687">
        <f t="shared" si="477"/>
        <v>381</v>
      </c>
      <c r="Z273" s="687">
        <f t="shared" si="477"/>
        <v>381</v>
      </c>
      <c r="AA273" s="687">
        <f t="shared" ref="AA273" si="478">Z273</f>
        <v>381</v>
      </c>
      <c r="AB273" s="687">
        <f t="shared" ref="AB273" si="479">AA273</f>
        <v>381</v>
      </c>
      <c r="AC273" s="687">
        <f t="shared" ref="AC273" si="480">AB273</f>
        <v>381</v>
      </c>
      <c r="AD273" s="687">
        <f t="shared" ref="AD273" si="481">AC273</f>
        <v>381</v>
      </c>
      <c r="AE273" s="687">
        <f t="shared" ref="AE273" si="482">AD273</f>
        <v>381</v>
      </c>
      <c r="AF273" s="130"/>
      <c r="AG273" s="21"/>
      <c r="AH273" s="21"/>
      <c r="AI273" s="21"/>
      <c r="AJ273" s="21"/>
      <c r="AK273" s="21"/>
      <c r="AL273" s="21"/>
      <c r="AM273" s="21"/>
    </row>
    <row r="274" spans="2:39">
      <c r="B274" s="4" t="s">
        <v>2222</v>
      </c>
      <c r="O274" s="51">
        <v>40</v>
      </c>
      <c r="P274" s="51">
        <v>13</v>
      </c>
      <c r="Q274" s="51">
        <v>13</v>
      </c>
      <c r="R274" s="51">
        <v>13</v>
      </c>
      <c r="S274" s="51">
        <v>25</v>
      </c>
      <c r="T274" s="687">
        <f>T273-T275</f>
        <v>40</v>
      </c>
      <c r="U274" s="687">
        <f>U273-U275</f>
        <v>61</v>
      </c>
      <c r="V274" s="687">
        <f t="shared" ref="V274:Z274" si="483">U274+V271-V279</f>
        <v>70.468456243311451</v>
      </c>
      <c r="W274" s="687">
        <f t="shared" si="483"/>
        <v>112.92437322540238</v>
      </c>
      <c r="X274" s="687">
        <f t="shared" si="483"/>
        <v>140.54922119314199</v>
      </c>
      <c r="Y274" s="687">
        <f t="shared" si="483"/>
        <v>151.54945277872582</v>
      </c>
      <c r="Z274" s="687">
        <f t="shared" si="483"/>
        <v>162.58743000670989</v>
      </c>
      <c r="AA274" s="687">
        <f t="shared" ref="AA274" si="484">Z274+AA271-AA279</f>
        <v>174.02559260074747</v>
      </c>
      <c r="AB274" s="687">
        <f t="shared" ref="AB274" si="485">AA274+AB271-AB279</f>
        <v>185.87383811262688</v>
      </c>
      <c r="AC274" s="687">
        <f t="shared" ref="AC274" si="486">AB274+AC271-AC279</f>
        <v>198.19134406089168</v>
      </c>
      <c r="AD274" s="687">
        <f t="shared" ref="AD274" si="487">AC274+AD271-AD279</f>
        <v>210.97858500621635</v>
      </c>
      <c r="AE274" s="687">
        <f t="shared" ref="AE274" si="488">AD274+AE271-AE279</f>
        <v>224.24580531616647</v>
      </c>
      <c r="AF274" s="130"/>
      <c r="AG274" s="21"/>
      <c r="AH274" s="21"/>
      <c r="AI274" s="21"/>
      <c r="AJ274" s="21"/>
      <c r="AK274" s="21"/>
      <c r="AL274" s="21"/>
      <c r="AM274" s="21"/>
    </row>
    <row r="275" spans="2:39">
      <c r="B275" s="4" t="s">
        <v>150</v>
      </c>
      <c r="O275" s="687">
        <f>O273-O274</f>
        <v>344</v>
      </c>
      <c r="P275" s="687">
        <f t="shared" ref="P275:S275" si="489">P273-P274</f>
        <v>378</v>
      </c>
      <c r="Q275" s="687">
        <f t="shared" si="489"/>
        <v>389</v>
      </c>
      <c r="R275" s="687">
        <f t="shared" si="489"/>
        <v>389</v>
      </c>
      <c r="S275" s="687">
        <f t="shared" si="489"/>
        <v>358</v>
      </c>
      <c r="T275" s="51">
        <v>383</v>
      </c>
      <c r="U275" s="51">
        <v>339</v>
      </c>
      <c r="V275" s="687">
        <f>V273-V274</f>
        <v>310.53154375668856</v>
      </c>
      <c r="W275" s="687">
        <f>W273-W274</f>
        <v>268.07562677459759</v>
      </c>
      <c r="X275" s="687">
        <f>X273-X274</f>
        <v>240.45077880685801</v>
      </c>
      <c r="Y275" s="687">
        <f>Y273-Y274</f>
        <v>229.45054722127418</v>
      </c>
      <c r="Z275" s="687">
        <f>Z273-Z274</f>
        <v>218.41256999329011</v>
      </c>
      <c r="AA275" s="687">
        <f t="shared" ref="AA275:AE275" si="490">AA273-AA274</f>
        <v>206.97440739925253</v>
      </c>
      <c r="AB275" s="687">
        <f t="shared" si="490"/>
        <v>195.12616188737312</v>
      </c>
      <c r="AC275" s="687">
        <f t="shared" si="490"/>
        <v>182.80865593910832</v>
      </c>
      <c r="AD275" s="687">
        <f t="shared" si="490"/>
        <v>170.02141499378365</v>
      </c>
      <c r="AE275" s="687">
        <f t="shared" si="490"/>
        <v>156.75419468383353</v>
      </c>
      <c r="AF275" s="130"/>
      <c r="AG275" s="21"/>
      <c r="AH275" s="21"/>
      <c r="AI275" s="21"/>
      <c r="AJ275" s="21"/>
      <c r="AK275" s="21"/>
      <c r="AL275" s="21"/>
      <c r="AM275" s="21"/>
    </row>
    <row r="276" spans="2:39">
      <c r="B276" s="4" t="s">
        <v>3055</v>
      </c>
      <c r="O276" s="986">
        <f>O275/O245</f>
        <v>1.2019776725659079</v>
      </c>
      <c r="P276" s="986">
        <f t="shared" ref="P276:U276" si="491">P275/P245</f>
        <v>1.3404255319148937</v>
      </c>
      <c r="Q276" s="986">
        <f t="shared" si="491"/>
        <v>1.5195083479470077</v>
      </c>
      <c r="R276" s="986">
        <f t="shared" si="491"/>
        <v>1.4679245283018867</v>
      </c>
      <c r="S276" s="986">
        <f t="shared" si="491"/>
        <v>1.4039215686274509</v>
      </c>
      <c r="T276" s="986">
        <f t="shared" si="491"/>
        <v>1.3678571428571429</v>
      </c>
      <c r="U276" s="986">
        <f t="shared" si="491"/>
        <v>1.3724696356275303</v>
      </c>
      <c r="V276" s="986">
        <f>V275/V245</f>
        <v>1.1989634894080639</v>
      </c>
      <c r="W276" s="986">
        <f>W275/W245</f>
        <v>1.023814645488075</v>
      </c>
      <c r="X276" s="986">
        <f>X275/X245</f>
        <v>0.87340096332366413</v>
      </c>
      <c r="Y276" s="986">
        <f>Y275/Y245</f>
        <v>0.75970738578598707</v>
      </c>
      <c r="Z276" s="986">
        <f>Z275/Z245</f>
        <v>0.72361545729169741</v>
      </c>
      <c r="AA276" s="986">
        <f t="shared" ref="AA276:AE276" si="492">AA275/AA245</f>
        <v>0.66935340717597869</v>
      </c>
      <c r="AB276" s="986">
        <f t="shared" si="492"/>
        <v>0.61598762249173344</v>
      </c>
      <c r="AC276" s="986">
        <f t="shared" si="492"/>
        <v>0.56213825808795503</v>
      </c>
      <c r="AD276" s="986">
        <f t="shared" si="492"/>
        <v>0.51019674144607197</v>
      </c>
      <c r="AE276" s="986">
        <f t="shared" si="492"/>
        <v>0.45907426963523035</v>
      </c>
      <c r="AF276" s="130"/>
      <c r="AG276" s="21"/>
      <c r="AH276" s="21"/>
      <c r="AI276" s="21"/>
      <c r="AJ276" s="21"/>
      <c r="AK276" s="21"/>
      <c r="AL276" s="21"/>
      <c r="AM276" s="21"/>
    </row>
    <row r="277" spans="2:39">
      <c r="B277" s="2"/>
      <c r="AF277" s="130"/>
      <c r="AG277" s="21"/>
      <c r="AH277" s="21"/>
      <c r="AI277" s="21"/>
      <c r="AJ277" s="21"/>
      <c r="AK277" s="21"/>
      <c r="AL277" s="21"/>
      <c r="AM277" s="21"/>
    </row>
    <row r="278" spans="2:39">
      <c r="B278" s="4" t="str">
        <f>B214</f>
        <v>EFCF</v>
      </c>
      <c r="L278" s="454">
        <f>L140*(1-SOP!$F$227)</f>
        <v>257.73859999999996</v>
      </c>
      <c r="M278" s="454">
        <f>M140*(1-SOP!$F$227)</f>
        <v>237.88099999999994</v>
      </c>
      <c r="N278" s="454">
        <f>N140*(1-SOP!$F$227)</f>
        <v>204.995</v>
      </c>
      <c r="O278" s="454">
        <f>O140*(1-SOP!$F$227)</f>
        <v>142.13714595013096</v>
      </c>
      <c r="P278" s="454">
        <f>P140*(1-SOP!$F$227)</f>
        <v>149.53936699857755</v>
      </c>
      <c r="Q278" s="454">
        <f>Q140*(1-SOP!$F$227)</f>
        <v>108.33894160463015</v>
      </c>
      <c r="R278" s="454">
        <f>R140*(1-SOP!$F$227)</f>
        <v>100.52921690250433</v>
      </c>
      <c r="S278" s="454">
        <f>S140*(1-SOP!$F$227)</f>
        <v>100.15185891309643</v>
      </c>
      <c r="T278" s="454">
        <f>T140*(1-SOP!$F$227)</f>
        <v>111.42776976105749</v>
      </c>
      <c r="U278" s="454">
        <f>U271</f>
        <v>68.909638946370023</v>
      </c>
      <c r="V278" s="454">
        <f t="shared" ref="V278:AE278" si="493">V271</f>
        <v>18.936912486622901</v>
      </c>
      <c r="W278" s="454">
        <f t="shared" si="493"/>
        <v>84.911833964181881</v>
      </c>
      <c r="X278" s="454">
        <f t="shared" si="493"/>
        <v>92.082826559132059</v>
      </c>
      <c r="Y278" s="454">
        <f t="shared" si="493"/>
        <v>110.00231585583836</v>
      </c>
      <c r="Z278" s="454">
        <f t="shared" si="493"/>
        <v>110.37977227984061</v>
      </c>
      <c r="AA278" s="454">
        <f t="shared" si="493"/>
        <v>114.3816259403759</v>
      </c>
      <c r="AB278" s="454">
        <f t="shared" si="493"/>
        <v>118.48245511879392</v>
      </c>
      <c r="AC278" s="454">
        <f t="shared" si="493"/>
        <v>123.17505948264773</v>
      </c>
      <c r="AD278" s="454">
        <f t="shared" si="493"/>
        <v>127.87240945324666</v>
      </c>
      <c r="AE278" s="454">
        <f t="shared" si="493"/>
        <v>132.67220309950102</v>
      </c>
      <c r="AF278" s="130"/>
      <c r="AG278" s="21"/>
      <c r="AH278" s="21"/>
      <c r="AI278" s="21"/>
      <c r="AJ278" s="21"/>
      <c r="AK278" s="21"/>
      <c r="AL278" s="21"/>
      <c r="AM278" s="21"/>
    </row>
    <row r="279" spans="2:39">
      <c r="B279" s="4" t="s">
        <v>538</v>
      </c>
      <c r="F279" s="130"/>
      <c r="G279" s="130"/>
      <c r="H279" s="130"/>
      <c r="I279" s="130"/>
      <c r="J279" s="130"/>
      <c r="K279" s="130"/>
      <c r="L279" s="130">
        <f>L280*L278</f>
        <v>231.96473999999998</v>
      </c>
      <c r="M279" s="130">
        <f t="shared" ref="M279:S279" si="494">M280*M278</f>
        <v>214.09289999999996</v>
      </c>
      <c r="N279" s="130">
        <f t="shared" si="494"/>
        <v>184.49550000000002</v>
      </c>
      <c r="O279" s="130">
        <f t="shared" si="494"/>
        <v>127.92343135511787</v>
      </c>
      <c r="P279" s="130">
        <f t="shared" si="494"/>
        <v>134.58543029871979</v>
      </c>
      <c r="Q279" s="130">
        <f t="shared" si="494"/>
        <v>97.505047444167133</v>
      </c>
      <c r="R279" s="51">
        <f>46/0.66</f>
        <v>69.696969696969688</v>
      </c>
      <c r="S279" s="130">
        <f t="shared" si="494"/>
        <v>90.136673021786791</v>
      </c>
      <c r="T279" s="130">
        <f t="shared" ref="T279:Z279" si="495">T280*T278</f>
        <v>77.999438832740239</v>
      </c>
      <c r="U279" s="130">
        <f t="shared" si="495"/>
        <v>20.672891683911008</v>
      </c>
      <c r="V279" s="130">
        <f t="shared" si="495"/>
        <v>9.4684562433114507</v>
      </c>
      <c r="W279" s="130">
        <f t="shared" si="495"/>
        <v>42.45591698209094</v>
      </c>
      <c r="X279" s="130">
        <f t="shared" si="495"/>
        <v>64.457978591392433</v>
      </c>
      <c r="Y279" s="130">
        <f t="shared" si="495"/>
        <v>99.002084270254528</v>
      </c>
      <c r="Z279" s="130">
        <f t="shared" si="495"/>
        <v>99.34179505185655</v>
      </c>
      <c r="AA279" s="130">
        <f t="shared" ref="AA279:AE279" si="496">AA280*AA278</f>
        <v>102.94346334633831</v>
      </c>
      <c r="AB279" s="130">
        <f t="shared" si="496"/>
        <v>106.63420960691454</v>
      </c>
      <c r="AC279" s="130">
        <f t="shared" si="496"/>
        <v>110.85755353438296</v>
      </c>
      <c r="AD279" s="130">
        <f t="shared" si="496"/>
        <v>115.08516850792199</v>
      </c>
      <c r="AE279" s="130">
        <f t="shared" si="496"/>
        <v>119.40498278955091</v>
      </c>
      <c r="AF279" s="130"/>
      <c r="AG279" s="21"/>
      <c r="AH279" s="21"/>
      <c r="AI279" s="21"/>
      <c r="AJ279" s="21"/>
      <c r="AK279" s="21"/>
      <c r="AL279" s="21"/>
      <c r="AM279" s="21"/>
    </row>
    <row r="280" spans="2:39">
      <c r="B280" s="4" t="s">
        <v>3366</v>
      </c>
      <c r="F280" s="130"/>
      <c r="G280" s="130"/>
      <c r="H280" s="130"/>
      <c r="I280" s="130"/>
      <c r="J280" s="130"/>
      <c r="K280" s="130"/>
      <c r="L280" s="762">
        <v>0.9</v>
      </c>
      <c r="M280" s="762">
        <v>0.9</v>
      </c>
      <c r="N280" s="762">
        <v>0.9</v>
      </c>
      <c r="O280" s="762">
        <v>0.9</v>
      </c>
      <c r="P280" s="762">
        <v>0.9</v>
      </c>
      <c r="Q280" s="762">
        <v>0.9</v>
      </c>
      <c r="R280" s="762">
        <v>0.9</v>
      </c>
      <c r="S280" s="762">
        <v>0.9</v>
      </c>
      <c r="T280" s="762">
        <v>0.7</v>
      </c>
      <c r="U280" s="762">
        <v>0.3</v>
      </c>
      <c r="V280" s="762">
        <v>0.5</v>
      </c>
      <c r="W280" s="762">
        <v>0.5</v>
      </c>
      <c r="X280" s="762">
        <v>0.7</v>
      </c>
      <c r="Y280" s="762">
        <v>0.9</v>
      </c>
      <c r="Z280" s="762">
        <v>0.9</v>
      </c>
      <c r="AA280" s="762">
        <v>0.9</v>
      </c>
      <c r="AB280" s="762">
        <v>0.9</v>
      </c>
      <c r="AC280" s="762">
        <v>0.9</v>
      </c>
      <c r="AD280" s="762">
        <v>0.9</v>
      </c>
      <c r="AE280" s="762">
        <v>0.9</v>
      </c>
      <c r="AF280" s="130"/>
      <c r="AG280" s="21"/>
      <c r="AH280" s="21"/>
      <c r="AI280" s="21"/>
      <c r="AJ280" s="21"/>
      <c r="AK280" s="21"/>
      <c r="AL280" s="21"/>
      <c r="AM280" s="21"/>
    </row>
    <row r="281" spans="2:39">
      <c r="B281" s="4" t="s">
        <v>2935</v>
      </c>
      <c r="F281" s="130"/>
      <c r="G281" s="130"/>
      <c r="H281" s="130"/>
      <c r="I281" s="130"/>
      <c r="J281" s="130"/>
      <c r="K281" s="130"/>
      <c r="L281" s="119">
        <v>0.66700000000000004</v>
      </c>
      <c r="M281" s="119">
        <v>0.66700000000000004</v>
      </c>
      <c r="N281" s="119">
        <v>0.66700000000000004</v>
      </c>
      <c r="O281" s="119">
        <v>0.66700000000000004</v>
      </c>
      <c r="P281" s="119">
        <v>0.66700000000000004</v>
      </c>
      <c r="Q281" s="119">
        <v>0.66700000000000004</v>
      </c>
      <c r="R281" s="119">
        <v>0.66700000000000004</v>
      </c>
      <c r="S281" s="119">
        <v>0.66700000000000004</v>
      </c>
      <c r="T281" s="119">
        <v>0.66700000000000004</v>
      </c>
      <c r="U281" s="119">
        <v>0.66700000000000004</v>
      </c>
      <c r="V281" s="119">
        <v>0.66700000000000004</v>
      </c>
      <c r="W281" s="119">
        <v>0.66700000000000004</v>
      </c>
      <c r="X281" s="119">
        <v>0.66700000000000004</v>
      </c>
      <c r="Y281" s="119">
        <v>0.66700000000000004</v>
      </c>
      <c r="Z281" s="119">
        <v>0.66700000000000004</v>
      </c>
      <c r="AA281" s="119">
        <v>0.66700000000000004</v>
      </c>
      <c r="AB281" s="119">
        <v>0.66700000000000004</v>
      </c>
      <c r="AC281" s="119">
        <v>0.66700000000000004</v>
      </c>
      <c r="AD281" s="119">
        <v>0.66700000000000004</v>
      </c>
      <c r="AE281" s="119">
        <v>0.66700000000000004</v>
      </c>
      <c r="AF281" s="130"/>
      <c r="AG281" s="21"/>
      <c r="AH281" s="21"/>
      <c r="AI281" s="21"/>
      <c r="AJ281" s="21"/>
      <c r="AK281" s="21"/>
      <c r="AL281" s="21"/>
      <c r="AM281" s="21"/>
    </row>
    <row r="282" spans="2:39">
      <c r="B282" s="4" t="s">
        <v>3367</v>
      </c>
      <c r="G282" s="130"/>
      <c r="H282" s="130"/>
      <c r="I282" s="130"/>
      <c r="J282" s="130"/>
      <c r="K282" s="130"/>
      <c r="L282" s="130">
        <f t="shared" ref="L282:S282" si="497">(1-L281)*L279</f>
        <v>77.24425841999998</v>
      </c>
      <c r="M282" s="130">
        <f t="shared" si="497"/>
        <v>71.292935699999973</v>
      </c>
      <c r="N282" s="130">
        <f t="shared" si="497"/>
        <v>61.437001500000001</v>
      </c>
      <c r="O282" s="130">
        <f t="shared" si="497"/>
        <v>42.598502641254242</v>
      </c>
      <c r="P282" s="130">
        <f t="shared" si="497"/>
        <v>44.816948289473686</v>
      </c>
      <c r="Q282" s="130">
        <f t="shared" si="497"/>
        <v>32.469180798907651</v>
      </c>
      <c r="R282" s="130">
        <f t="shared" si="497"/>
        <v>23.209090909090904</v>
      </c>
      <c r="S282" s="130">
        <f t="shared" si="497"/>
        <v>30.015512116255</v>
      </c>
      <c r="T282" s="130">
        <f t="shared" ref="T282:Z282" si="498">(1-T281)*T279</f>
        <v>25.973813131302496</v>
      </c>
      <c r="U282" s="130">
        <f t="shared" si="498"/>
        <v>6.8840729307423647</v>
      </c>
      <c r="V282" s="130">
        <f t="shared" si="498"/>
        <v>3.1529959290227128</v>
      </c>
      <c r="W282" s="130">
        <f t="shared" si="498"/>
        <v>14.137820355036281</v>
      </c>
      <c r="X282" s="130">
        <f t="shared" si="498"/>
        <v>21.464506870933679</v>
      </c>
      <c r="Y282" s="130">
        <f t="shared" si="498"/>
        <v>32.967694061994756</v>
      </c>
      <c r="Z282" s="130">
        <f t="shared" si="498"/>
        <v>33.080817752268224</v>
      </c>
      <c r="AA282" s="130">
        <f t="shared" ref="AA282:AE282" si="499">(1-AA281)*AA279</f>
        <v>34.280173294330652</v>
      </c>
      <c r="AB282" s="130">
        <f t="shared" si="499"/>
        <v>35.509191799102538</v>
      </c>
      <c r="AC282" s="130">
        <f t="shared" si="499"/>
        <v>36.915565326949519</v>
      </c>
      <c r="AD282" s="130">
        <f t="shared" si="499"/>
        <v>38.32336111313802</v>
      </c>
      <c r="AE282" s="130">
        <f t="shared" si="499"/>
        <v>39.761859268920453</v>
      </c>
      <c r="AF282" s="130"/>
      <c r="AG282" s="21"/>
      <c r="AH282" s="21"/>
      <c r="AI282" s="21"/>
      <c r="AJ282" s="21"/>
      <c r="AK282" s="21"/>
      <c r="AL282" s="21"/>
      <c r="AM282" s="21"/>
    </row>
    <row r="283" spans="2:39">
      <c r="B283" s="117" t="s">
        <v>7413</v>
      </c>
      <c r="G283" s="130"/>
      <c r="H283" s="130"/>
      <c r="I283" s="130"/>
      <c r="J283" s="130"/>
      <c r="K283" s="130"/>
      <c r="L283" s="130"/>
      <c r="M283" s="130"/>
      <c r="N283" s="130"/>
      <c r="O283" s="130"/>
      <c r="P283" s="130"/>
      <c r="Q283" s="130"/>
      <c r="R283" s="130"/>
      <c r="S283" s="130"/>
      <c r="T283" s="130"/>
      <c r="U283" s="130"/>
      <c r="V283" s="130"/>
      <c r="W283" s="130">
        <f>W281*W279</f>
        <v>28.318096627054658</v>
      </c>
      <c r="X283" s="130">
        <f t="shared" ref="X283:Z283" si="500">X281*X279</f>
        <v>42.993471720458757</v>
      </c>
      <c r="Y283" s="130">
        <f t="shared" si="500"/>
        <v>66.034390208259779</v>
      </c>
      <c r="Z283" s="130">
        <f t="shared" si="500"/>
        <v>66.260977299588319</v>
      </c>
      <c r="AA283" s="130">
        <f t="shared" ref="AA283:AE283" si="501">AA281*AA279</f>
        <v>68.663290052007653</v>
      </c>
      <c r="AB283" s="130">
        <f t="shared" si="501"/>
        <v>71.125017807812</v>
      </c>
      <c r="AC283" s="130">
        <f t="shared" si="501"/>
        <v>73.94198820743344</v>
      </c>
      <c r="AD283" s="130">
        <f t="shared" si="501"/>
        <v>76.761807394783972</v>
      </c>
      <c r="AE283" s="130">
        <f t="shared" si="501"/>
        <v>79.643123520630468</v>
      </c>
      <c r="AF283" s="130"/>
      <c r="AG283" s="21"/>
      <c r="AH283" s="21"/>
      <c r="AI283" s="21"/>
      <c r="AJ283" s="21"/>
      <c r="AK283" s="21"/>
      <c r="AL283" s="21"/>
      <c r="AM283" s="21"/>
    </row>
    <row r="284" spans="2:39">
      <c r="B284" s="4"/>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21"/>
      <c r="AH284" s="21"/>
      <c r="AI284" s="21"/>
      <c r="AJ284" s="21"/>
      <c r="AK284" s="21"/>
      <c r="AL284" s="21"/>
      <c r="AM284" s="21"/>
    </row>
    <row r="285" spans="2:39">
      <c r="B285" s="4" t="s">
        <v>507</v>
      </c>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21"/>
      <c r="AH285" s="21"/>
      <c r="AI285" s="21"/>
      <c r="AJ285" s="21"/>
      <c r="AK285" s="21"/>
      <c r="AL285" s="21"/>
      <c r="AM285" s="21"/>
    </row>
    <row r="286" spans="2:39">
      <c r="B286" s="4" t="s">
        <v>1938</v>
      </c>
      <c r="C286" s="29">
        <f>C222</f>
        <v>0.1</v>
      </c>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21"/>
      <c r="AH286" s="21"/>
      <c r="AI286" s="21"/>
      <c r="AJ286" s="21"/>
      <c r="AK286" s="21"/>
      <c r="AL286" s="21"/>
      <c r="AM286" s="21"/>
    </row>
    <row r="287" spans="2:39">
      <c r="B287" s="4" t="s">
        <v>683</v>
      </c>
      <c r="C287" s="29">
        <f>C223</f>
        <v>0.01</v>
      </c>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21"/>
      <c r="AH287" s="21"/>
      <c r="AI287" s="21"/>
      <c r="AJ287" s="21"/>
      <c r="AK287" s="21"/>
      <c r="AL287" s="21"/>
      <c r="AM287" s="21"/>
    </row>
    <row r="288" spans="2:39">
      <c r="B288" s="4"/>
      <c r="L288" s="130"/>
      <c r="M288" s="130"/>
      <c r="N288" s="130"/>
      <c r="O288" s="130"/>
      <c r="P288" s="130"/>
      <c r="Q288" s="130"/>
      <c r="R288" s="130"/>
      <c r="S288" s="130">
        <f t="shared" ref="S288:W288" si="502">T288-1</f>
        <v>-7</v>
      </c>
      <c r="T288" s="130">
        <f t="shared" si="502"/>
        <v>-6</v>
      </c>
      <c r="U288" s="130">
        <f t="shared" si="502"/>
        <v>-5</v>
      </c>
      <c r="V288" s="130">
        <f t="shared" si="502"/>
        <v>-4</v>
      </c>
      <c r="W288" s="130">
        <f t="shared" si="502"/>
        <v>-3</v>
      </c>
      <c r="X288" s="130">
        <f>Y288-1</f>
        <v>-2</v>
      </c>
      <c r="Y288" s="130">
        <f>Z288-1</f>
        <v>-1</v>
      </c>
      <c r="Z288" s="130">
        <v>0</v>
      </c>
      <c r="AA288" s="130">
        <f t="shared" ref="AA288" si="503">Z288+1</f>
        <v>1</v>
      </c>
      <c r="AB288" s="130">
        <f t="shared" ref="AB288" si="504">AA288+1</f>
        <v>2</v>
      </c>
      <c r="AC288" s="130">
        <f t="shared" ref="AC288" si="505">AB288+1</f>
        <v>3</v>
      </c>
      <c r="AD288" s="130">
        <f t="shared" ref="AD288" si="506">AC288+1</f>
        <v>4</v>
      </c>
      <c r="AE288" s="130">
        <f t="shared" ref="AE288" si="507">AD288+1</f>
        <v>5</v>
      </c>
      <c r="AF288" s="130"/>
      <c r="AG288" s="21"/>
      <c r="AH288" s="21"/>
      <c r="AI288" s="21"/>
      <c r="AJ288" s="21"/>
      <c r="AK288" s="21"/>
      <c r="AL288" s="21"/>
      <c r="AM288" s="21"/>
    </row>
    <row r="289" spans="2:39">
      <c r="B289" s="4" t="s">
        <v>1936</v>
      </c>
      <c r="L289" s="130"/>
      <c r="M289" s="130"/>
      <c r="N289" s="130"/>
      <c r="O289" s="130"/>
      <c r="P289" s="130"/>
      <c r="Q289" s="130"/>
      <c r="R289" s="130"/>
      <c r="S289" s="130">
        <f t="shared" ref="S289:Z289" si="508">(S245-S265)*(1-S258)</f>
        <v>114.43545801798363</v>
      </c>
      <c r="T289" s="130">
        <f t="shared" si="508"/>
        <v>130.59621906560071</v>
      </c>
      <c r="U289" s="130">
        <f t="shared" si="508"/>
        <v>111.6183426473095</v>
      </c>
      <c r="V289" s="130">
        <f t="shared" si="508"/>
        <v>108.2983213774139</v>
      </c>
      <c r="W289" s="130">
        <f t="shared" si="508"/>
        <v>121.4946748090141</v>
      </c>
      <c r="X289" s="130">
        <f t="shared" si="508"/>
        <v>128.51439729197079</v>
      </c>
      <c r="Y289" s="130">
        <f t="shared" si="508"/>
        <v>146.38118984012095</v>
      </c>
      <c r="Z289" s="130">
        <f t="shared" si="508"/>
        <v>146.79289577721323</v>
      </c>
      <c r="AA289" s="130">
        <f t="shared" ref="AA289:AE289" si="509">(AA245-AA265)*(1-AA258)</f>
        <v>150.71660052949827</v>
      </c>
      <c r="AB289" s="130">
        <f t="shared" si="509"/>
        <v>154.73775481591696</v>
      </c>
      <c r="AC289" s="130">
        <f t="shared" si="509"/>
        <v>159.34912829958554</v>
      </c>
      <c r="AD289" s="130">
        <f t="shared" si="509"/>
        <v>163.98380550722641</v>
      </c>
      <c r="AE289" s="130">
        <f t="shared" si="509"/>
        <v>168.72000668937625</v>
      </c>
      <c r="AF289" s="130"/>
      <c r="AG289" s="21"/>
      <c r="AH289" s="21"/>
      <c r="AI289" s="21"/>
      <c r="AJ289" s="21"/>
      <c r="AK289" s="21"/>
      <c r="AL289" s="21"/>
      <c r="AM289" s="21"/>
    </row>
    <row r="290" spans="2:39">
      <c r="B290" s="4" t="s">
        <v>684</v>
      </c>
      <c r="L290" s="130"/>
      <c r="M290" s="130"/>
      <c r="N290" s="130"/>
      <c r="O290" s="130"/>
      <c r="P290" s="130"/>
      <c r="Q290" s="130"/>
      <c r="R290" s="130"/>
      <c r="S290" s="130">
        <f>S289/(1+$C$222)^S288</f>
        <v>223.00233388597695</v>
      </c>
      <c r="T290" s="130">
        <f t="shared" ref="T290:Z290" si="510">T289/(1+$C$222)^T288</f>
        <v>231.35916844407475</v>
      </c>
      <c r="U290" s="130">
        <f t="shared" si="510"/>
        <v>179.76245701691849</v>
      </c>
      <c r="V290" s="130">
        <f t="shared" si="510"/>
        <v>158.55957232867172</v>
      </c>
      <c r="W290" s="130">
        <f t="shared" si="510"/>
        <v>161.7094121707978</v>
      </c>
      <c r="X290" s="130">
        <f t="shared" si="510"/>
        <v>155.50242072328467</v>
      </c>
      <c r="Y290" s="130">
        <f t="shared" si="510"/>
        <v>161.01930882413305</v>
      </c>
      <c r="Z290" s="130">
        <f t="shared" si="510"/>
        <v>146.79289577721323</v>
      </c>
      <c r="AA290" s="130">
        <f t="shared" ref="AA290:AE290" si="511">AA289/(1+$C$222)^AA288</f>
        <v>137.01509139045297</v>
      </c>
      <c r="AB290" s="130">
        <f t="shared" si="511"/>
        <v>127.88244199662556</v>
      </c>
      <c r="AC290" s="130">
        <f t="shared" si="511"/>
        <v>119.72135860224304</v>
      </c>
      <c r="AD290" s="130">
        <f t="shared" si="511"/>
        <v>112.00314562340439</v>
      </c>
      <c r="AE290" s="130">
        <f t="shared" si="511"/>
        <v>104.76184978011698</v>
      </c>
      <c r="AF290" s="130"/>
      <c r="AG290" s="21"/>
      <c r="AH290" s="21"/>
      <c r="AI290" s="21"/>
      <c r="AJ290" s="21"/>
      <c r="AK290" s="21"/>
      <c r="AL290" s="21"/>
      <c r="AM290" s="21"/>
    </row>
    <row r="291" spans="2:39">
      <c r="B291" s="4" t="s">
        <v>685</v>
      </c>
      <c r="C291" s="518">
        <f>SUM(AA290:AE290)</f>
        <v>601.38388739284301</v>
      </c>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21"/>
      <c r="AH291" s="21"/>
      <c r="AI291" s="21"/>
      <c r="AJ291" s="21"/>
      <c r="AK291" s="21"/>
      <c r="AL291" s="21"/>
      <c r="AM291" s="21"/>
    </row>
    <row r="292" spans="2:39">
      <c r="B292" s="12" t="s">
        <v>2203</v>
      </c>
      <c r="C292" s="992">
        <f>AE290/(C286-C287)</f>
        <v>1164.0205531124107</v>
      </c>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21"/>
      <c r="AH292" s="21"/>
      <c r="AI292" s="21"/>
      <c r="AJ292" s="21"/>
      <c r="AK292" s="21"/>
      <c r="AL292" s="21"/>
      <c r="AM292" s="21"/>
    </row>
    <row r="293" spans="2:39">
      <c r="B293" s="4" t="s">
        <v>245</v>
      </c>
      <c r="C293" s="518">
        <f>C291+C292</f>
        <v>1765.4044405052537</v>
      </c>
      <c r="L293" s="130"/>
      <c r="M293" s="130"/>
      <c r="N293" s="130"/>
      <c r="O293" s="130"/>
      <c r="P293" s="130"/>
      <c r="Q293" s="996">
        <f>C293/Q245</f>
        <v>6.896007158998585</v>
      </c>
      <c r="R293" s="130"/>
      <c r="S293" s="130"/>
      <c r="T293" s="130"/>
      <c r="U293" s="130"/>
      <c r="V293" s="130"/>
      <c r="W293" s="130"/>
      <c r="X293" s="130"/>
      <c r="Y293" s="130"/>
      <c r="Z293" s="130"/>
      <c r="AA293" s="130"/>
      <c r="AB293" s="130"/>
      <c r="AC293" s="130"/>
      <c r="AD293" s="130"/>
      <c r="AE293" s="130"/>
      <c r="AF293" s="130"/>
      <c r="AG293" s="21"/>
      <c r="AH293" s="21"/>
      <c r="AI293" s="21"/>
      <c r="AJ293" s="21"/>
      <c r="AK293" s="21"/>
      <c r="AL293" s="21"/>
      <c r="AM293" s="21"/>
    </row>
    <row r="294" spans="2:39">
      <c r="B294" s="4" t="s">
        <v>5387</v>
      </c>
      <c r="C294" s="1130" t="e">
        <f>C293/('New (new) quarts'!AZ105+'New (new) quarts'!#REF!+'New (new) quarts'!CZ105+'New (new) quarts'!BC105)</f>
        <v>#REF!</v>
      </c>
      <c r="L294" s="130"/>
      <c r="M294" s="130"/>
      <c r="N294" s="130"/>
      <c r="O294" s="130"/>
      <c r="P294" s="130"/>
      <c r="Q294" s="996"/>
      <c r="R294" s="130"/>
      <c r="S294" s="130"/>
      <c r="T294" s="130"/>
      <c r="U294" s="130"/>
      <c r="V294" s="130"/>
      <c r="W294" s="130"/>
      <c r="X294" s="130"/>
      <c r="Y294" s="130"/>
      <c r="Z294" s="130"/>
      <c r="AA294" s="130"/>
      <c r="AB294" s="130"/>
      <c r="AC294" s="130"/>
      <c r="AD294" s="130"/>
      <c r="AE294" s="130"/>
      <c r="AF294" s="130"/>
      <c r="AG294" s="21"/>
      <c r="AH294" s="21"/>
      <c r="AI294" s="21"/>
      <c r="AJ294" s="21"/>
      <c r="AK294" s="21"/>
      <c r="AL294" s="21"/>
      <c r="AM294" s="21"/>
    </row>
    <row r="295" spans="2:39">
      <c r="B295" s="4" t="s">
        <v>109</v>
      </c>
      <c r="C295" s="518">
        <f>C293-Z275</f>
        <v>1546.9918705119635</v>
      </c>
      <c r="D295" s="463"/>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21"/>
      <c r="AH295" s="21"/>
      <c r="AI295" s="21"/>
      <c r="AJ295" s="21"/>
      <c r="AK295" s="21"/>
      <c r="AL295" s="21"/>
      <c r="AM295" s="21"/>
    </row>
    <row r="296" spans="2:39">
      <c r="B296" s="117" t="s">
        <v>7419</v>
      </c>
      <c r="C296" s="518">
        <f>Y281*C295</f>
        <v>1031.8435776314798</v>
      </c>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21"/>
      <c r="AH296" s="21"/>
      <c r="AI296" s="21"/>
      <c r="AJ296" s="21"/>
      <c r="AK296" s="21"/>
      <c r="AL296" s="21"/>
      <c r="AM296" s="21"/>
    </row>
    <row r="297" spans="2:39">
      <c r="AF297" s="130"/>
      <c r="AG297" s="21"/>
      <c r="AH297" s="21"/>
      <c r="AI297" s="21"/>
      <c r="AJ297" s="21"/>
      <c r="AK297" s="21"/>
      <c r="AL297" s="21"/>
      <c r="AM297" s="21"/>
    </row>
    <row r="298" spans="2:39">
      <c r="B298" s="478" t="s">
        <v>4054</v>
      </c>
      <c r="P298" s="985">
        <f t="shared" ref="P298:AE298" si="512">P209+P261</f>
        <v>319</v>
      </c>
      <c r="Q298" s="985">
        <f t="shared" si="512"/>
        <v>335.78951642237581</v>
      </c>
      <c r="R298" s="985">
        <f t="shared" si="512"/>
        <v>420.40200745646985</v>
      </c>
      <c r="S298" s="985">
        <f t="shared" si="512"/>
        <v>294</v>
      </c>
      <c r="T298" s="985">
        <f t="shared" si="512"/>
        <v>269.4876100261954</v>
      </c>
      <c r="U298" s="985">
        <f t="shared" si="512"/>
        <v>277.86696426338676</v>
      </c>
      <c r="V298" s="985">
        <f t="shared" si="512"/>
        <v>446.93681782402041</v>
      </c>
      <c r="W298" s="985">
        <f t="shared" si="512"/>
        <v>459.31433675452814</v>
      </c>
      <c r="X298" s="985">
        <f t="shared" si="512"/>
        <v>449.83314564283353</v>
      </c>
      <c r="Y298" s="985">
        <f t="shared" si="512"/>
        <v>530.56684111101913</v>
      </c>
      <c r="Z298" s="985">
        <f t="shared" si="512"/>
        <v>561.15980388914852</v>
      </c>
      <c r="AA298" s="985">
        <f t="shared" si="512"/>
        <v>593.12824233653862</v>
      </c>
      <c r="AB298" s="985">
        <f t="shared" si="512"/>
        <v>608.89399705397125</v>
      </c>
      <c r="AC298" s="985">
        <f t="shared" si="512"/>
        <v>625.47780400794204</v>
      </c>
      <c r="AD298" s="985">
        <f t="shared" si="512"/>
        <v>639.90823757591909</v>
      </c>
      <c r="AE298" s="985">
        <f t="shared" si="512"/>
        <v>654.57957668870688</v>
      </c>
      <c r="AF298" s="130"/>
      <c r="AG298" s="21"/>
      <c r="AH298" s="21"/>
      <c r="AI298" s="21"/>
      <c r="AJ298" s="21"/>
      <c r="AK298" s="21"/>
      <c r="AL298" s="21"/>
      <c r="AM298" s="21"/>
    </row>
    <row r="299" spans="2:39">
      <c r="B299" s="478" t="s">
        <v>4055</v>
      </c>
      <c r="P299" s="985">
        <f t="shared" ref="P299:AE299" si="513">0.67*P261+0.55*P209</f>
        <v>180.37</v>
      </c>
      <c r="Q299" s="985">
        <f t="shared" si="513"/>
        <v>195.64727092607492</v>
      </c>
      <c r="R299" s="985">
        <f t="shared" si="513"/>
        <v>243.26934499583479</v>
      </c>
      <c r="S299" s="985">
        <f t="shared" si="513"/>
        <v>156.66000000000003</v>
      </c>
      <c r="T299" s="985">
        <f t="shared" si="513"/>
        <v>153.28397144482366</v>
      </c>
      <c r="U299" s="985">
        <f t="shared" si="513"/>
        <v>160.20722969283275</v>
      </c>
      <c r="V299" s="985">
        <f t="shared" si="513"/>
        <v>253.61304011037848</v>
      </c>
      <c r="W299" s="985">
        <f t="shared" si="513"/>
        <v>261.25768043459539</v>
      </c>
      <c r="X299" s="985">
        <f t="shared" si="513"/>
        <v>256.84303638975996</v>
      </c>
      <c r="Y299" s="985">
        <f t="shared" si="513"/>
        <v>303.37582891344437</v>
      </c>
      <c r="Z299" s="985">
        <f t="shared" si="513"/>
        <v>320.26095301753179</v>
      </c>
      <c r="AA299" s="985">
        <f t="shared" si="513"/>
        <v>338.29255703956045</v>
      </c>
      <c r="AB299" s="985">
        <f t="shared" si="513"/>
        <v>347.42395167875884</v>
      </c>
      <c r="AC299" s="985">
        <f t="shared" si="513"/>
        <v>357.07566567503113</v>
      </c>
      <c r="AD299" s="985">
        <f t="shared" si="513"/>
        <v>365.55101702870718</v>
      </c>
      <c r="AE299" s="985">
        <f t="shared" si="513"/>
        <v>374.1707917926492</v>
      </c>
      <c r="AF299" s="130"/>
      <c r="AG299" s="21"/>
      <c r="AH299" s="21"/>
      <c r="AI299" s="21"/>
      <c r="AJ299" s="21"/>
      <c r="AK299" s="21"/>
      <c r="AL299" s="21"/>
      <c r="AM299" s="21"/>
    </row>
    <row r="300" spans="2:39">
      <c r="B300" s="487" t="s">
        <v>4057</v>
      </c>
      <c r="C300" s="455"/>
      <c r="D300" s="455"/>
      <c r="E300" s="455"/>
      <c r="F300" s="455"/>
      <c r="G300" s="455"/>
      <c r="H300" s="455"/>
      <c r="I300" s="455"/>
      <c r="J300" s="455"/>
      <c r="K300" s="455"/>
      <c r="L300" s="455"/>
      <c r="M300" s="455"/>
      <c r="N300" s="455"/>
      <c r="O300" s="455"/>
      <c r="P300" s="1041">
        <f t="shared" ref="P300:U300" si="514">P298-P299</f>
        <v>138.63</v>
      </c>
      <c r="Q300" s="1041">
        <f t="shared" si="514"/>
        <v>140.14224549630089</v>
      </c>
      <c r="R300" s="1041">
        <f t="shared" si="514"/>
        <v>177.13266246063506</v>
      </c>
      <c r="S300" s="1041">
        <f t="shared" si="514"/>
        <v>137.33999999999997</v>
      </c>
      <c r="T300" s="1041">
        <f t="shared" si="514"/>
        <v>116.20363858137173</v>
      </c>
      <c r="U300" s="1041">
        <f t="shared" si="514"/>
        <v>117.65973457055401</v>
      </c>
      <c r="V300" s="1041">
        <f>V298-V299</f>
        <v>193.32377771364193</v>
      </c>
      <c r="W300" s="1041">
        <f>W298-W299</f>
        <v>198.05665631993276</v>
      </c>
      <c r="X300" s="1041">
        <f>X298-X299</f>
        <v>192.99010925307357</v>
      </c>
      <c r="Y300" s="1041">
        <f>Y298-Y299</f>
        <v>227.19101219757476</v>
      </c>
      <c r="Z300" s="1041">
        <f>Z298-Z299</f>
        <v>240.89885087161673</v>
      </c>
      <c r="AA300" s="1041">
        <f t="shared" ref="AA300:AE300" si="515">AA298-AA299</f>
        <v>254.83568529697817</v>
      </c>
      <c r="AB300" s="1041">
        <f t="shared" si="515"/>
        <v>261.47004537521241</v>
      </c>
      <c r="AC300" s="1041">
        <f t="shared" si="515"/>
        <v>268.40213833291091</v>
      </c>
      <c r="AD300" s="1041">
        <f t="shared" si="515"/>
        <v>274.35722054721191</v>
      </c>
      <c r="AE300" s="1041">
        <f t="shared" si="515"/>
        <v>280.40878489605768</v>
      </c>
      <c r="AF300" s="130"/>
      <c r="AG300" s="21"/>
      <c r="AH300" s="21"/>
      <c r="AI300" s="21"/>
      <c r="AJ300" s="21"/>
      <c r="AK300" s="21"/>
      <c r="AL300" s="21"/>
      <c r="AM300" s="21"/>
    </row>
    <row r="301" spans="2:39">
      <c r="B301" s="478" t="s">
        <v>4056</v>
      </c>
      <c r="P301" s="985">
        <f>-Master!R107</f>
        <v>269</v>
      </c>
      <c r="Q301" s="985">
        <f>-Master!S107</f>
        <v>165</v>
      </c>
      <c r="R301" s="985">
        <f>-Master!T107</f>
        <v>164</v>
      </c>
      <c r="S301" s="985">
        <f>-Master!U107</f>
        <v>198</v>
      </c>
      <c r="T301" s="985">
        <f t="shared" ref="T301:AE301" si="516">T219+T282</f>
        <v>162.05381313130252</v>
      </c>
      <c r="U301" s="985">
        <f t="shared" si="516"/>
        <v>42.679527476196903</v>
      </c>
      <c r="V301" s="985">
        <f t="shared" si="516"/>
        <v>90.780268656295419</v>
      </c>
      <c r="W301" s="985">
        <f t="shared" si="516"/>
        <v>14.137820355036281</v>
      </c>
      <c r="X301" s="985">
        <f t="shared" si="516"/>
        <v>21.464506870933679</v>
      </c>
      <c r="Y301" s="985">
        <f t="shared" si="516"/>
        <v>32.967694061994756</v>
      </c>
      <c r="Z301" s="985">
        <f t="shared" si="516"/>
        <v>33.080817752268224</v>
      </c>
      <c r="AA301" s="985">
        <f t="shared" si="516"/>
        <v>34.280173294330652</v>
      </c>
      <c r="AB301" s="985">
        <f t="shared" si="516"/>
        <v>35.509191799102538</v>
      </c>
      <c r="AC301" s="985">
        <f t="shared" si="516"/>
        <v>36.915565326949519</v>
      </c>
      <c r="AD301" s="985">
        <f t="shared" si="516"/>
        <v>38.32336111313802</v>
      </c>
      <c r="AE301" s="985">
        <f t="shared" si="516"/>
        <v>39.761859268920453</v>
      </c>
      <c r="AF301" s="130"/>
      <c r="AG301" s="21"/>
      <c r="AH301" s="21"/>
      <c r="AI301" s="21"/>
      <c r="AJ301" s="21"/>
      <c r="AK301" s="21"/>
      <c r="AL301" s="21"/>
      <c r="AM301" s="21"/>
    </row>
    <row r="302" spans="2:39">
      <c r="B302" s="478" t="s">
        <v>4053</v>
      </c>
      <c r="P302" s="449">
        <f t="shared" ref="P302:U302" si="517">P301/P300</f>
        <v>1.9404169371708866</v>
      </c>
      <c r="Q302" s="449">
        <f t="shared" si="517"/>
        <v>1.1773751691766294</v>
      </c>
      <c r="R302" s="449">
        <f t="shared" si="517"/>
        <v>0.92585973541975308</v>
      </c>
      <c r="S302" s="449">
        <f t="shared" si="517"/>
        <v>1.4416775884665796</v>
      </c>
      <c r="T302" s="449">
        <f t="shared" si="517"/>
        <v>1.3945674602764193</v>
      </c>
      <c r="U302" s="449">
        <f t="shared" si="517"/>
        <v>0.36273690087754157</v>
      </c>
      <c r="V302" s="449">
        <f>V301/V300</f>
        <v>0.46957632283992706</v>
      </c>
      <c r="W302" s="449">
        <f>W301/W300</f>
        <v>7.1382707442049387E-2</v>
      </c>
      <c r="X302" s="449">
        <f>X301/X300</f>
        <v>0.11122076128153617</v>
      </c>
      <c r="Y302" s="449">
        <f>Y301/Y300</f>
        <v>0.14511002765076234</v>
      </c>
      <c r="Z302" s="449">
        <f>Z301/Z300</f>
        <v>0.13732243899286231</v>
      </c>
      <c r="AA302" s="449">
        <f t="shared" ref="AA302:AE302" si="518">AA301/AA300</f>
        <v>0.1345187321562972</v>
      </c>
      <c r="AB302" s="449">
        <f t="shared" si="518"/>
        <v>0.13580596487886962</v>
      </c>
      <c r="AC302" s="449">
        <f t="shared" si="518"/>
        <v>0.13753826834703353</v>
      </c>
      <c r="AD302" s="449">
        <f t="shared" si="518"/>
        <v>0.13968417174040901</v>
      </c>
      <c r="AE302" s="449">
        <f t="shared" si="518"/>
        <v>0.14179962044933589</v>
      </c>
      <c r="AF302" s="130"/>
      <c r="AG302" s="21"/>
      <c r="AH302" s="21"/>
      <c r="AI302" s="21"/>
      <c r="AJ302" s="21"/>
      <c r="AK302" s="21"/>
      <c r="AL302" s="21"/>
      <c r="AM302" s="21"/>
    </row>
    <row r="303" spans="2:39">
      <c r="AF303" s="130"/>
      <c r="AG303" s="21"/>
      <c r="AH303" s="21"/>
      <c r="AI303" s="21"/>
      <c r="AJ303" s="21"/>
      <c r="AK303" s="21"/>
      <c r="AL303" s="21"/>
      <c r="AM303" s="21"/>
    </row>
    <row r="304" spans="2:39">
      <c r="AF304" s="130"/>
      <c r="AG304" s="21"/>
      <c r="AH304" s="21"/>
      <c r="AI304" s="21"/>
      <c r="AJ304" s="21"/>
      <c r="AK304" s="21"/>
      <c r="AL304" s="21"/>
      <c r="AM304" s="21"/>
    </row>
    <row r="305" spans="2:39">
      <c r="B305" s="450" t="s">
        <v>6727</v>
      </c>
      <c r="AF305" s="130"/>
      <c r="AG305" s="21"/>
      <c r="AH305" s="21"/>
      <c r="AI305" s="21"/>
      <c r="AJ305" s="21"/>
      <c r="AK305" s="21"/>
      <c r="AL305" s="21"/>
      <c r="AM305" s="21"/>
    </row>
    <row r="306" spans="2:39">
      <c r="B306" s="478" t="s">
        <v>1381</v>
      </c>
      <c r="P306" s="687">
        <f>P310-P273-P186</f>
        <v>82</v>
      </c>
      <c r="Q306" s="983">
        <f t="shared" ref="Q306:Z307" si="519">P306</f>
        <v>82</v>
      </c>
      <c r="R306" s="983">
        <f t="shared" si="519"/>
        <v>82</v>
      </c>
      <c r="S306" s="51">
        <f>268+0</f>
        <v>268</v>
      </c>
      <c r="T306" s="983">
        <f t="shared" si="519"/>
        <v>268</v>
      </c>
      <c r="U306" s="983">
        <f t="shared" si="519"/>
        <v>268</v>
      </c>
      <c r="V306" s="983">
        <f t="shared" si="519"/>
        <v>268</v>
      </c>
      <c r="W306" s="983">
        <f t="shared" si="519"/>
        <v>268</v>
      </c>
      <c r="X306" s="983">
        <f t="shared" si="519"/>
        <v>268</v>
      </c>
      <c r="Y306" s="983">
        <f t="shared" si="519"/>
        <v>268</v>
      </c>
      <c r="Z306" s="983">
        <f t="shared" si="519"/>
        <v>268</v>
      </c>
      <c r="AA306" s="983">
        <f t="shared" ref="AA306:AA307" si="520">Z306</f>
        <v>268</v>
      </c>
      <c r="AB306" s="983">
        <f t="shared" ref="AB306:AB307" si="521">AA306</f>
        <v>268</v>
      </c>
      <c r="AC306" s="983">
        <f t="shared" ref="AC306:AC307" si="522">AB306</f>
        <v>268</v>
      </c>
      <c r="AD306" s="983">
        <f t="shared" ref="AD306:AD307" si="523">AC306</f>
        <v>268</v>
      </c>
      <c r="AE306" s="983">
        <f t="shared" ref="AE306:AE307" si="524">AD306</f>
        <v>268</v>
      </c>
      <c r="AF306" s="130"/>
      <c r="AG306" s="21"/>
      <c r="AH306" s="21"/>
      <c r="AI306" s="21"/>
      <c r="AJ306" s="21"/>
      <c r="AK306" s="21"/>
      <c r="AL306" s="21"/>
      <c r="AM306" s="21"/>
    </row>
    <row r="307" spans="2:39">
      <c r="B307" s="478" t="s">
        <v>2222</v>
      </c>
      <c r="P307" s="687">
        <f>P311-P274-P189</f>
        <v>75</v>
      </c>
      <c r="Q307" s="983">
        <f t="shared" si="519"/>
        <v>75</v>
      </c>
      <c r="R307" s="983">
        <f t="shared" si="519"/>
        <v>75</v>
      </c>
      <c r="S307" s="51">
        <f>25+22</f>
        <v>47</v>
      </c>
      <c r="T307" s="983">
        <f t="shared" si="519"/>
        <v>47</v>
      </c>
      <c r="U307" s="983">
        <f t="shared" si="519"/>
        <v>47</v>
      </c>
      <c r="V307" s="983">
        <f t="shared" si="519"/>
        <v>47</v>
      </c>
      <c r="W307" s="983">
        <f t="shared" si="519"/>
        <v>47</v>
      </c>
      <c r="X307" s="983">
        <f t="shared" si="519"/>
        <v>47</v>
      </c>
      <c r="Y307" s="983">
        <f t="shared" si="519"/>
        <v>47</v>
      </c>
      <c r="Z307" s="983">
        <f t="shared" si="519"/>
        <v>47</v>
      </c>
      <c r="AA307" s="983">
        <f t="shared" si="520"/>
        <v>47</v>
      </c>
      <c r="AB307" s="983">
        <f t="shared" si="521"/>
        <v>47</v>
      </c>
      <c r="AC307" s="983">
        <f t="shared" si="522"/>
        <v>47</v>
      </c>
      <c r="AD307" s="983">
        <f t="shared" si="523"/>
        <v>47</v>
      </c>
      <c r="AE307" s="983">
        <f t="shared" si="524"/>
        <v>47</v>
      </c>
      <c r="AF307" s="130"/>
      <c r="AG307" s="21"/>
      <c r="AH307" s="21"/>
      <c r="AI307" s="21"/>
      <c r="AJ307" s="21"/>
      <c r="AK307" s="21"/>
      <c r="AL307" s="21"/>
      <c r="AM307" s="21"/>
    </row>
    <row r="308" spans="2:39">
      <c r="B308" s="478" t="s">
        <v>150</v>
      </c>
      <c r="P308" s="687">
        <f t="shared" ref="P308:U308" si="525">P306-P307</f>
        <v>7</v>
      </c>
      <c r="Q308" s="687">
        <f t="shared" si="525"/>
        <v>7</v>
      </c>
      <c r="R308" s="687">
        <f t="shared" si="525"/>
        <v>7</v>
      </c>
      <c r="S308" s="687">
        <f t="shared" si="525"/>
        <v>221</v>
      </c>
      <c r="T308" s="687">
        <f t="shared" si="525"/>
        <v>221</v>
      </c>
      <c r="U308" s="687">
        <f t="shared" si="525"/>
        <v>221</v>
      </c>
      <c r="V308" s="687">
        <f>V306-V307</f>
        <v>221</v>
      </c>
      <c r="W308" s="687">
        <f>W306-W307</f>
        <v>221</v>
      </c>
      <c r="X308" s="687">
        <f>X306-X307</f>
        <v>221</v>
      </c>
      <c r="Y308" s="687">
        <f>Y306-Y307</f>
        <v>221</v>
      </c>
      <c r="Z308" s="687">
        <f>Z306-Z307</f>
        <v>221</v>
      </c>
      <c r="AA308" s="687">
        <f t="shared" ref="AA308:AE308" si="526">AA306-AA307</f>
        <v>221</v>
      </c>
      <c r="AB308" s="687">
        <f t="shared" si="526"/>
        <v>221</v>
      </c>
      <c r="AC308" s="687">
        <f t="shared" si="526"/>
        <v>221</v>
      </c>
      <c r="AD308" s="687">
        <f t="shared" si="526"/>
        <v>221</v>
      </c>
      <c r="AE308" s="687">
        <f t="shared" si="526"/>
        <v>221</v>
      </c>
      <c r="AF308" s="130"/>
      <c r="AG308" s="21"/>
      <c r="AH308" s="21"/>
      <c r="AI308" s="21"/>
      <c r="AJ308" s="21"/>
      <c r="AK308" s="21"/>
      <c r="AL308" s="21"/>
      <c r="AM308" s="21"/>
    </row>
    <row r="309" spans="2:39">
      <c r="AF309" s="130"/>
      <c r="AG309" s="21"/>
      <c r="AH309" s="21"/>
      <c r="AI309" s="21"/>
      <c r="AJ309" s="21"/>
      <c r="AK309" s="21"/>
      <c r="AL309" s="21"/>
      <c r="AM309" s="21"/>
    </row>
    <row r="310" spans="2:39">
      <c r="B310" s="478" t="s">
        <v>3929</v>
      </c>
      <c r="C310" s="478"/>
      <c r="D310" s="478"/>
      <c r="E310" s="478"/>
      <c r="F310" s="478"/>
      <c r="G310" s="478"/>
      <c r="H310" s="478"/>
      <c r="I310" s="478"/>
      <c r="J310" s="478"/>
      <c r="K310" s="478"/>
      <c r="L310" s="478"/>
      <c r="M310" s="478"/>
      <c r="N310" s="478"/>
      <c r="O310" s="478"/>
      <c r="P310" s="51">
        <v>1457</v>
      </c>
      <c r="Q310" s="687">
        <f t="shared" ref="Q310:AE310" si="527">Q186+Q273+Q306</f>
        <v>1472</v>
      </c>
      <c r="R310" s="687">
        <f t="shared" si="527"/>
        <v>1465</v>
      </c>
      <c r="S310" s="687">
        <f t="shared" si="527"/>
        <v>1578</v>
      </c>
      <c r="T310" s="687">
        <f t="shared" si="527"/>
        <v>1863</v>
      </c>
      <c r="U310" s="687">
        <f t="shared" si="527"/>
        <v>1311</v>
      </c>
      <c r="V310" s="687">
        <f t="shared" si="527"/>
        <v>1457</v>
      </c>
      <c r="W310" s="687">
        <f t="shared" si="527"/>
        <v>1457</v>
      </c>
      <c r="X310" s="687">
        <f t="shared" si="527"/>
        <v>1457</v>
      </c>
      <c r="Y310" s="687">
        <f t="shared" si="527"/>
        <v>1457</v>
      </c>
      <c r="Z310" s="687">
        <f t="shared" si="527"/>
        <v>1457</v>
      </c>
      <c r="AA310" s="687">
        <f t="shared" si="527"/>
        <v>1457</v>
      </c>
      <c r="AB310" s="687">
        <f t="shared" si="527"/>
        <v>1457</v>
      </c>
      <c r="AC310" s="687">
        <f t="shared" si="527"/>
        <v>1457</v>
      </c>
      <c r="AD310" s="687">
        <f t="shared" si="527"/>
        <v>1457</v>
      </c>
      <c r="AE310" s="687">
        <f t="shared" si="527"/>
        <v>1457</v>
      </c>
      <c r="AF310" s="130"/>
      <c r="AG310" s="21"/>
      <c r="AH310" s="21"/>
      <c r="AI310" s="21"/>
      <c r="AJ310" s="21"/>
      <c r="AK310" s="21"/>
      <c r="AL310" s="21"/>
      <c r="AM310" s="21"/>
    </row>
    <row r="311" spans="2:39">
      <c r="B311" s="478" t="s">
        <v>3930</v>
      </c>
      <c r="P311" s="985">
        <f>P189+P274+75</f>
        <v>243</v>
      </c>
      <c r="Q311" s="687">
        <f t="shared" ref="Q311:AE311" si="528">Q189+Q274+Q307</f>
        <v>377</v>
      </c>
      <c r="R311" s="687">
        <f t="shared" si="528"/>
        <v>406</v>
      </c>
      <c r="S311" s="687">
        <f t="shared" si="528"/>
        <v>293</v>
      </c>
      <c r="T311" s="687">
        <f t="shared" si="528"/>
        <v>276</v>
      </c>
      <c r="U311" s="687">
        <f t="shared" si="528"/>
        <v>297</v>
      </c>
      <c r="V311" s="687">
        <f t="shared" si="528"/>
        <v>348.72299622740724</v>
      </c>
      <c r="W311" s="687">
        <f t="shared" si="528"/>
        <v>543.47553695653835</v>
      </c>
      <c r="X311" s="687">
        <f t="shared" si="528"/>
        <v>672.59707731166122</v>
      </c>
      <c r="Y311" s="687">
        <f t="shared" si="528"/>
        <v>851.53845431791194</v>
      </c>
      <c r="Z311" s="687">
        <f t="shared" si="528"/>
        <v>993.79167722120587</v>
      </c>
      <c r="AA311" s="687">
        <f t="shared" si="528"/>
        <v>1122.5526778167437</v>
      </c>
      <c r="AB311" s="687">
        <f t="shared" si="528"/>
        <v>1239.7763688685257</v>
      </c>
      <c r="AC311" s="687">
        <f t="shared" si="528"/>
        <v>1360.4517148986449</v>
      </c>
      <c r="AD311" s="687">
        <f t="shared" si="528"/>
        <v>1481.066643000845</v>
      </c>
      <c r="AE311" s="687">
        <f t="shared" si="528"/>
        <v>1603.7757984633195</v>
      </c>
      <c r="AF311" s="130"/>
      <c r="AG311" s="21"/>
      <c r="AH311" s="21"/>
      <c r="AI311" s="21"/>
      <c r="AJ311" s="21"/>
      <c r="AK311" s="21"/>
      <c r="AL311" s="21"/>
      <c r="AM311" s="21"/>
    </row>
    <row r="312" spans="2:39">
      <c r="B312" s="450" t="s">
        <v>3931</v>
      </c>
      <c r="C312" s="450"/>
      <c r="D312" s="450"/>
      <c r="E312" s="450"/>
      <c r="F312" s="450"/>
      <c r="G312" s="450"/>
      <c r="H312" s="450"/>
      <c r="I312" s="450"/>
      <c r="J312" s="450"/>
      <c r="K312" s="450"/>
      <c r="L312" s="450"/>
      <c r="M312" s="450"/>
      <c r="N312" s="450"/>
      <c r="O312" s="450"/>
      <c r="P312" s="994">
        <f t="shared" ref="P312:U312" si="529">P310-P311</f>
        <v>1214</v>
      </c>
      <c r="Q312" s="994">
        <f>Q310-Q311</f>
        <v>1095</v>
      </c>
      <c r="R312" s="994">
        <f t="shared" si="529"/>
        <v>1059</v>
      </c>
      <c r="S312" s="994">
        <f t="shared" si="529"/>
        <v>1285</v>
      </c>
      <c r="T312" s="994">
        <f t="shared" si="529"/>
        <v>1587</v>
      </c>
      <c r="U312" s="994">
        <f t="shared" si="529"/>
        <v>1014</v>
      </c>
      <c r="V312" s="994">
        <f>V310-V311</f>
        <v>1108.2770037725927</v>
      </c>
      <c r="W312" s="994">
        <f>W310-W311</f>
        <v>913.52446304346165</v>
      </c>
      <c r="X312" s="994">
        <f>X310-X311</f>
        <v>784.40292268833878</v>
      </c>
      <c r="Y312" s="994">
        <f>Y310-Y311</f>
        <v>605.46154568208806</v>
      </c>
      <c r="Z312" s="994">
        <f>Z310-Z311</f>
        <v>463.20832277879413</v>
      </c>
      <c r="AA312" s="994">
        <f t="shared" ref="AA312:AE312" si="530">AA310-AA311</f>
        <v>334.44732218325635</v>
      </c>
      <c r="AB312" s="994">
        <f t="shared" si="530"/>
        <v>217.22363113147435</v>
      </c>
      <c r="AC312" s="994">
        <f t="shared" si="530"/>
        <v>96.548285101355077</v>
      </c>
      <c r="AD312" s="994">
        <f t="shared" si="530"/>
        <v>-24.066643000845033</v>
      </c>
      <c r="AE312" s="994">
        <f t="shared" si="530"/>
        <v>-146.77579846331946</v>
      </c>
      <c r="AF312" s="130"/>
      <c r="AG312" s="21"/>
      <c r="AH312" s="21"/>
      <c r="AI312" s="21"/>
      <c r="AJ312" s="21"/>
      <c r="AK312" s="21"/>
      <c r="AL312" s="21"/>
      <c r="AM312" s="21"/>
    </row>
    <row r="313" spans="2:39">
      <c r="B313" s="2"/>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21"/>
      <c r="AH313" s="21"/>
      <c r="AI313" s="21"/>
      <c r="AJ313" s="21"/>
      <c r="AK313" s="21"/>
      <c r="AL313" s="21"/>
      <c r="AM313" s="21"/>
    </row>
    <row r="314" spans="2:39">
      <c r="Q314" s="478" t="s">
        <v>4377</v>
      </c>
      <c r="AG314" s="21"/>
      <c r="AH314" s="21"/>
      <c r="AI314" s="21"/>
      <c r="AJ314" s="21"/>
      <c r="AK314" s="21"/>
      <c r="AL314" s="21"/>
      <c r="AM314" s="21"/>
    </row>
    <row r="315" spans="2:39">
      <c r="B315" s="23" t="s">
        <v>2376</v>
      </c>
      <c r="C315" s="96" t="s">
        <v>518</v>
      </c>
      <c r="Q315" t="str">
        <f>Q322</f>
        <v>guatemala</v>
      </c>
      <c r="R315" s="687">
        <f>R139</f>
        <v>487.31166527298274</v>
      </c>
      <c r="S315" s="518"/>
      <c r="AG315" s="21"/>
      <c r="AH315" s="21"/>
      <c r="AI315" s="21"/>
      <c r="AJ315" s="21"/>
      <c r="AK315" s="21"/>
      <c r="AL315" s="21"/>
      <c r="AM315" s="21"/>
    </row>
    <row r="316" spans="2:39">
      <c r="B316" t="s">
        <v>1166</v>
      </c>
      <c r="C316" s="16">
        <f>G52</f>
        <v>0.48689217462122808</v>
      </c>
      <c r="D316" s="130">
        <f>C316*I$32</f>
        <v>2735.2520387610321</v>
      </c>
      <c r="Q316" t="str">
        <f>Q323</f>
        <v>honduras</v>
      </c>
      <c r="R316" s="518">
        <f>R245-R265</f>
        <v>166.46268922352834</v>
      </c>
      <c r="S316" s="518"/>
      <c r="AG316" s="21"/>
      <c r="AH316" s="21"/>
      <c r="AI316" s="21"/>
      <c r="AJ316" s="21"/>
      <c r="AK316" s="21"/>
      <c r="AL316" s="21"/>
      <c r="AM316" s="21"/>
    </row>
    <row r="317" spans="2:39">
      <c r="B317" s="4" t="s">
        <v>880</v>
      </c>
      <c r="C317" s="16">
        <v>0.35</v>
      </c>
      <c r="D317" s="130">
        <f>C317*I$32</f>
        <v>1966.2222222222219</v>
      </c>
      <c r="Q317" t="str">
        <f>Q324</f>
        <v>el sal/other</v>
      </c>
      <c r="R317" s="518">
        <f>R318-R315-R316</f>
        <v>39.743349054465114</v>
      </c>
      <c r="AG317" s="21"/>
      <c r="AH317" s="21"/>
      <c r="AI317" s="21"/>
      <c r="AJ317" s="21"/>
      <c r="AK317" s="21"/>
      <c r="AL317" s="21"/>
      <c r="AM317" s="21"/>
    </row>
    <row r="318" spans="2:39">
      <c r="B318" s="4" t="s">
        <v>1606</v>
      </c>
      <c r="C318" s="16">
        <v>0.1</v>
      </c>
      <c r="D318" s="130">
        <f>C318*I$32</f>
        <v>561.77777777777771</v>
      </c>
      <c r="Q318" t="str">
        <f>Q325</f>
        <v>ca</v>
      </c>
      <c r="R318" s="518">
        <f>R141</f>
        <v>693.51770355097619</v>
      </c>
      <c r="AG318" s="21"/>
      <c r="AH318" s="21"/>
      <c r="AI318" s="21"/>
      <c r="AJ318" s="21"/>
      <c r="AK318" s="21"/>
      <c r="AL318" s="21"/>
      <c r="AM318" s="21"/>
    </row>
    <row r="319" spans="2:39">
      <c r="B319" s="12" t="s">
        <v>881</v>
      </c>
      <c r="C319" s="20">
        <f>100%-C316-C318-C317</f>
        <v>6.310782537877202E-2</v>
      </c>
      <c r="D319" s="322">
        <f>C319*I$32</f>
        <v>354.52573901674589</v>
      </c>
      <c r="AG319" s="21"/>
      <c r="AH319" s="21"/>
      <c r="AI319" s="21"/>
      <c r="AJ319" s="21"/>
      <c r="AK319" s="21"/>
      <c r="AL319" s="21"/>
      <c r="AM319" s="21"/>
    </row>
    <row r="320" spans="2:39">
      <c r="B320" s="4"/>
      <c r="C320" s="16"/>
      <c r="D320" s="130">
        <f>SUM(D316:D319)</f>
        <v>5617.7777777777774</v>
      </c>
      <c r="AG320" s="21"/>
      <c r="AH320" s="21"/>
      <c r="AI320" s="21"/>
      <c r="AJ320" s="21"/>
      <c r="AK320" s="21"/>
      <c r="AL320" s="21"/>
      <c r="AM320" s="21"/>
    </row>
    <row r="321" spans="2:39">
      <c r="Q321" s="478" t="s">
        <v>4374</v>
      </c>
      <c r="AG321" s="21"/>
      <c r="AH321" s="21"/>
      <c r="AI321" s="21"/>
      <c r="AJ321" s="21"/>
      <c r="AK321" s="21"/>
      <c r="AL321" s="21"/>
      <c r="AM321" s="21"/>
    </row>
    <row r="322" spans="2:39">
      <c r="B322" s="23" t="s">
        <v>2379</v>
      </c>
      <c r="C322" s="96" t="s">
        <v>518</v>
      </c>
      <c r="Q322" s="478" t="s">
        <v>4373</v>
      </c>
      <c r="R322" s="518">
        <f>R226</f>
        <v>399.99187817258883</v>
      </c>
      <c r="T322" s="449">
        <f>R322/R315</f>
        <v>0.82081326320912296</v>
      </c>
      <c r="U322" s="449">
        <f>100%-T322</f>
        <v>0.17918673679087704</v>
      </c>
      <c r="AG322" s="21"/>
      <c r="AH322" s="21"/>
      <c r="AI322" s="21"/>
      <c r="AJ322" s="21"/>
      <c r="AK322" s="21"/>
      <c r="AL322" s="21"/>
      <c r="AM322" s="21"/>
    </row>
    <row r="323" spans="2:39">
      <c r="B323" t="s">
        <v>1166</v>
      </c>
      <c r="C323" s="16">
        <f>N53</f>
        <v>0.53800000000000003</v>
      </c>
      <c r="Q323" s="478" t="s">
        <v>3178</v>
      </c>
      <c r="R323" s="518">
        <f>R289</f>
        <v>0</v>
      </c>
      <c r="T323" s="449">
        <f>R323/R316</f>
        <v>0</v>
      </c>
      <c r="U323" s="449">
        <f>100%-T323</f>
        <v>1</v>
      </c>
      <c r="AG323" s="21"/>
      <c r="AH323" s="21"/>
      <c r="AI323" s="21"/>
      <c r="AJ323" s="21"/>
      <c r="AK323" s="21"/>
      <c r="AL323" s="21"/>
      <c r="AM323" s="21"/>
    </row>
    <row r="324" spans="2:39">
      <c r="B324" t="s">
        <v>880</v>
      </c>
      <c r="C324" s="16">
        <v>0.26</v>
      </c>
      <c r="Q324" s="478" t="s">
        <v>4376</v>
      </c>
      <c r="R324" s="518">
        <f>R325-R322-R323</f>
        <v>267.97746432005101</v>
      </c>
      <c r="T324" s="449">
        <f>R324/R317</f>
        <v>6.742699613784664</v>
      </c>
      <c r="U324" s="449">
        <f>100%-T324</f>
        <v>-5.742699613784664</v>
      </c>
      <c r="AG324" s="21"/>
      <c r="AH324" s="21"/>
      <c r="AI324" s="21"/>
      <c r="AJ324" s="21"/>
      <c r="AK324" s="21"/>
      <c r="AL324" s="21"/>
      <c r="AM324" s="21"/>
    </row>
    <row r="325" spans="2:39">
      <c r="B325" t="s">
        <v>1606</v>
      </c>
      <c r="C325" s="16">
        <f>100%-C323-C324</f>
        <v>0.20199999999999996</v>
      </c>
      <c r="Q325" s="478" t="s">
        <v>4375</v>
      </c>
      <c r="R325" s="454">
        <f>SOP!J265</f>
        <v>667.96934249263984</v>
      </c>
      <c r="T325" s="449">
        <f>R325/R318</f>
        <v>0.96316119844162207</v>
      </c>
      <c r="U325" s="449">
        <f>100%-T325</f>
        <v>3.6838801558377932E-2</v>
      </c>
      <c r="AG325" s="21"/>
      <c r="AH325" s="21"/>
      <c r="AI325" s="21"/>
      <c r="AJ325" s="21"/>
      <c r="AK325" s="21"/>
      <c r="AL325" s="21"/>
      <c r="AM325" s="21"/>
    </row>
    <row r="326" spans="2:39">
      <c r="C326" s="16"/>
      <c r="AG326" s="21"/>
      <c r="AH326" s="21"/>
      <c r="AI326" s="21"/>
      <c r="AJ326" s="21"/>
      <c r="AK326" s="21"/>
      <c r="AL326" s="21"/>
      <c r="AM326" s="21"/>
    </row>
    <row r="327" spans="2:39">
      <c r="C327" s="16"/>
      <c r="AG327" s="21"/>
      <c r="AH327" s="21"/>
      <c r="AI327" s="21"/>
      <c r="AJ327" s="21"/>
      <c r="AK327" s="21"/>
      <c r="AL327" s="21"/>
      <c r="AM327" s="21"/>
    </row>
    <row r="328" spans="2:39">
      <c r="B328" s="23" t="s">
        <v>2380</v>
      </c>
      <c r="C328" s="96" t="s">
        <v>518</v>
      </c>
      <c r="AG328" s="21"/>
      <c r="AH328" s="21"/>
      <c r="AI328" s="21"/>
      <c r="AJ328" s="21"/>
      <c r="AK328" s="21"/>
      <c r="AL328" s="21"/>
      <c r="AM328" s="21"/>
    </row>
    <row r="329" spans="2:39">
      <c r="B329" t="s">
        <v>1166</v>
      </c>
      <c r="C329" s="16">
        <f>N54</f>
        <v>0.65400000000000003</v>
      </c>
      <c r="AG329" s="21"/>
      <c r="AH329" s="21"/>
      <c r="AI329" s="21"/>
      <c r="AJ329" s="21"/>
      <c r="AK329" s="21"/>
      <c r="AL329" s="21"/>
      <c r="AM329" s="21"/>
    </row>
    <row r="330" spans="2:39">
      <c r="B330" t="s">
        <v>880</v>
      </c>
      <c r="C330" s="16">
        <f>100%-C329</f>
        <v>0.34599999999999997</v>
      </c>
    </row>
  </sheetData>
  <mergeCells count="1">
    <mergeCell ref="AO136:AQ136"/>
  </mergeCells>
  <phoneticPr fontId="0" type="noConversion"/>
  <pageMargins left="0.75" right="0.75" top="1" bottom="1" header="0.5" footer="0.5"/>
  <pageSetup paperSize="9" scale="21" fitToHeight="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AM155"/>
  <sheetViews>
    <sheetView zoomScale="70" zoomScaleNormal="70" workbookViewId="0">
      <selection activeCell="AB1" sqref="AB1"/>
    </sheetView>
  </sheetViews>
  <sheetFormatPr defaultRowHeight="15"/>
  <cols>
    <col min="2" max="2" width="16.140625" bestFit="1" customWidth="1"/>
    <col min="3" max="4" width="9.28515625" bestFit="1" customWidth="1"/>
    <col min="5" max="6" width="9" customWidth="1"/>
    <col min="12" max="12" width="10.140625" customWidth="1"/>
    <col min="13" max="13" width="9.140625" customWidth="1"/>
    <col min="29" max="29" width="9" customWidth="1"/>
    <col min="30" max="30" width="14" customWidth="1"/>
  </cols>
  <sheetData>
    <row r="1" spans="1:38">
      <c r="B1" s="48" t="s">
        <v>1697</v>
      </c>
      <c r="C1" s="4"/>
      <c r="D1" s="4" t="s">
        <v>1823</v>
      </c>
      <c r="E1" s="4"/>
      <c r="F1" s="4" t="s">
        <v>1823</v>
      </c>
      <c r="G1" s="4"/>
      <c r="H1" s="4"/>
      <c r="I1" s="4"/>
      <c r="J1" s="4"/>
      <c r="K1" s="4"/>
    </row>
    <row r="2" spans="1:38">
      <c r="B2" s="49"/>
      <c r="C2" s="41">
        <v>2002</v>
      </c>
      <c r="D2" s="41">
        <f t="shared" ref="D2:O2" si="0">+C2+1</f>
        <v>2003</v>
      </c>
      <c r="E2" s="41">
        <f t="shared" si="0"/>
        <v>2004</v>
      </c>
      <c r="F2" s="41">
        <f>+E2+1</f>
        <v>2005</v>
      </c>
      <c r="G2" s="41">
        <f t="shared" si="0"/>
        <v>2006</v>
      </c>
      <c r="H2" s="41">
        <f t="shared" si="0"/>
        <v>2007</v>
      </c>
      <c r="I2" s="41">
        <f t="shared" si="0"/>
        <v>2008</v>
      </c>
      <c r="J2" s="41">
        <f t="shared" si="0"/>
        <v>2009</v>
      </c>
      <c r="K2" s="41">
        <f t="shared" si="0"/>
        <v>2010</v>
      </c>
      <c r="L2" s="41">
        <f t="shared" si="0"/>
        <v>2011</v>
      </c>
      <c r="M2" s="41">
        <f t="shared" si="0"/>
        <v>2012</v>
      </c>
      <c r="N2" s="42">
        <f t="shared" si="0"/>
        <v>2013</v>
      </c>
      <c r="O2" s="42">
        <f t="shared" si="0"/>
        <v>2014</v>
      </c>
      <c r="P2" s="42">
        <f t="shared" ref="P2:AA2" si="1">+O2+1</f>
        <v>2015</v>
      </c>
      <c r="Q2" s="42">
        <f t="shared" si="1"/>
        <v>2016</v>
      </c>
      <c r="R2" s="42">
        <f t="shared" si="1"/>
        <v>2017</v>
      </c>
      <c r="S2" s="42">
        <f t="shared" si="1"/>
        <v>2018</v>
      </c>
      <c r="T2" s="42">
        <f t="shared" si="1"/>
        <v>2019</v>
      </c>
      <c r="U2" s="42">
        <f t="shared" si="1"/>
        <v>2020</v>
      </c>
      <c r="V2" s="42">
        <f t="shared" si="1"/>
        <v>2021</v>
      </c>
      <c r="W2" s="42">
        <f t="shared" si="1"/>
        <v>2022</v>
      </c>
      <c r="X2" s="42">
        <f t="shared" si="1"/>
        <v>2023</v>
      </c>
      <c r="Y2" s="42">
        <f t="shared" si="1"/>
        <v>2024</v>
      </c>
      <c r="Z2" s="42">
        <f t="shared" si="1"/>
        <v>2025</v>
      </c>
      <c r="AA2" s="42">
        <f t="shared" si="1"/>
        <v>2026</v>
      </c>
      <c r="AB2" s="26"/>
    </row>
    <row r="3" spans="1:38">
      <c r="B3" s="48"/>
      <c r="C3" s="25"/>
      <c r="D3" s="26"/>
      <c r="E3" s="26"/>
      <c r="F3" s="26"/>
      <c r="G3" s="26"/>
      <c r="H3" s="26"/>
      <c r="I3" s="26"/>
      <c r="J3" s="26"/>
      <c r="K3" s="26"/>
      <c r="L3" s="26"/>
      <c r="M3" s="26"/>
      <c r="N3" s="26"/>
      <c r="O3" s="26"/>
      <c r="P3" s="26"/>
      <c r="Q3" s="26"/>
      <c r="R3" s="26"/>
      <c r="S3" s="26"/>
      <c r="T3" s="26"/>
      <c r="U3" s="26"/>
      <c r="V3" s="26"/>
      <c r="W3" s="26"/>
      <c r="X3" s="26"/>
      <c r="Y3" s="26"/>
      <c r="Z3" s="26"/>
      <c r="AA3" s="26"/>
      <c r="AB3" s="26"/>
      <c r="AC3" t="s">
        <v>1823</v>
      </c>
    </row>
    <row r="4" spans="1:38">
      <c r="B4" s="48" t="s">
        <v>2354</v>
      </c>
      <c r="C4" s="25"/>
      <c r="D4" s="26"/>
      <c r="E4" s="26"/>
      <c r="F4" s="26"/>
      <c r="G4" s="26"/>
      <c r="H4" s="26"/>
      <c r="I4" s="26"/>
      <c r="J4" s="26"/>
      <c r="K4" s="26"/>
      <c r="L4" s="26"/>
      <c r="M4" s="26"/>
      <c r="N4" s="26"/>
      <c r="O4" s="26"/>
      <c r="P4" s="26"/>
      <c r="Q4" s="26"/>
      <c r="R4" s="26"/>
      <c r="S4" s="26"/>
      <c r="T4" s="26"/>
      <c r="U4" s="26"/>
      <c r="V4" s="26"/>
      <c r="W4" s="26"/>
      <c r="X4" s="26"/>
      <c r="Y4" s="26"/>
      <c r="Z4" s="26"/>
      <c r="AA4" s="26"/>
      <c r="AB4" s="26"/>
      <c r="AD4" s="8" t="s">
        <v>2108</v>
      </c>
      <c r="AE4" s="8" t="s">
        <v>2107</v>
      </c>
    </row>
    <row r="5" spans="1:38">
      <c r="B5" s="4" t="s">
        <v>2377</v>
      </c>
      <c r="C5" s="51">
        <v>8859</v>
      </c>
      <c r="D5" s="51">
        <v>8859</v>
      </c>
      <c r="E5" s="51">
        <v>8859</v>
      </c>
      <c r="F5" s="51">
        <v>8989.0460000000003</v>
      </c>
      <c r="G5" s="51">
        <v>9119</v>
      </c>
      <c r="H5" s="51">
        <v>9119</v>
      </c>
      <c r="I5" s="52">
        <f t="shared" ref="I5:K6" si="2">I32/I14</f>
        <v>9796.9187675070025</v>
      </c>
      <c r="J5" s="52">
        <f t="shared" si="2"/>
        <v>10406.378600823044</v>
      </c>
      <c r="K5" s="52">
        <f t="shared" si="2"/>
        <v>10441.908236162681</v>
      </c>
      <c r="L5" s="52">
        <f t="shared" ref="L5:N6" si="3">L32/L14</f>
        <v>11223.893065998329</v>
      </c>
      <c r="M5" s="52">
        <f t="shared" si="3"/>
        <v>11510.045268050446</v>
      </c>
      <c r="N5" s="52">
        <f t="shared" si="3"/>
        <v>11788.033212285995</v>
      </c>
      <c r="O5" s="52">
        <f>O32/O14</f>
        <v>12081.568392248006</v>
      </c>
      <c r="P5" s="52">
        <f>P32/P14</f>
        <v>11385.082248240144</v>
      </c>
      <c r="Q5" s="52">
        <f t="shared" ref="Q5:AA5" si="4">P5*(1+$AE5/2)</f>
        <v>11467.624094539884</v>
      </c>
      <c r="R5" s="52">
        <f t="shared" si="4"/>
        <v>11550.764369225299</v>
      </c>
      <c r="S5" s="52">
        <f t="shared" si="4"/>
        <v>11634.507410902183</v>
      </c>
      <c r="T5" s="52">
        <f t="shared" si="4"/>
        <v>11718.857589631223</v>
      </c>
      <c r="U5" s="52">
        <f t="shared" si="4"/>
        <v>11803.819307156049</v>
      </c>
      <c r="V5" s="52">
        <f t="shared" si="4"/>
        <v>11889.39699713293</v>
      </c>
      <c r="W5" s="52">
        <f t="shared" si="4"/>
        <v>11975.595125362142</v>
      </c>
      <c r="X5" s="52">
        <f t="shared" si="4"/>
        <v>12062.418190021017</v>
      </c>
      <c r="Y5" s="52">
        <f t="shared" si="4"/>
        <v>12149.870721898669</v>
      </c>
      <c r="Z5" s="52">
        <f t="shared" si="4"/>
        <v>12237.957284632434</v>
      </c>
      <c r="AA5" s="52">
        <f t="shared" si="4"/>
        <v>12326.682474946019</v>
      </c>
      <c r="AB5" s="52"/>
      <c r="AC5" s="153">
        <f>O5</f>
        <v>12081.568392248006</v>
      </c>
      <c r="AD5">
        <v>2900</v>
      </c>
      <c r="AE5" s="141">
        <v>1.4500000000000001E-2</v>
      </c>
      <c r="AF5" s="21"/>
      <c r="AG5" s="21"/>
      <c r="AH5" s="21"/>
      <c r="AI5" s="21"/>
      <c r="AJ5" s="21"/>
      <c r="AK5" s="21"/>
      <c r="AL5" s="21"/>
    </row>
    <row r="6" spans="1:38">
      <c r="B6" s="4" t="s">
        <v>2378</v>
      </c>
      <c r="C6" s="51">
        <v>6348</v>
      </c>
      <c r="D6" s="51">
        <v>6348</v>
      </c>
      <c r="E6" s="51">
        <v>6348</v>
      </c>
      <c r="F6" s="51">
        <v>6506.4639999999999</v>
      </c>
      <c r="G6" s="51">
        <v>6669</v>
      </c>
      <c r="H6" s="51">
        <v>6669</v>
      </c>
      <c r="I6" s="52">
        <f t="shared" si="2"/>
        <v>6405.5944055944046</v>
      </c>
      <c r="J6" s="52">
        <f t="shared" si="2"/>
        <v>6328.9036544850496</v>
      </c>
      <c r="K6" s="52">
        <f t="shared" si="2"/>
        <v>6407.6543531689877</v>
      </c>
      <c r="L6" s="52">
        <f t="shared" si="3"/>
        <v>6538.0287499592969</v>
      </c>
      <c r="M6" s="52">
        <f t="shared" si="3"/>
        <v>6823.5501467866779</v>
      </c>
      <c r="N6" s="52">
        <f t="shared" si="3"/>
        <v>6993.2430032044231</v>
      </c>
      <c r="O6" s="52">
        <f>O33/O15</f>
        <v>6914.5535904538683</v>
      </c>
      <c r="P6" s="52">
        <f>P33/P15</f>
        <v>7169.9271269812343</v>
      </c>
      <c r="Q6" s="52">
        <f t="shared" ref="Q6:AA6" si="5">P6*(1+$AE6/2)</f>
        <v>7257.7587342867555</v>
      </c>
      <c r="R6" s="52">
        <f t="shared" si="5"/>
        <v>7346.6662787817686</v>
      </c>
      <c r="S6" s="52">
        <f t="shared" si="5"/>
        <v>7436.6629406968459</v>
      </c>
      <c r="T6" s="52">
        <f t="shared" si="5"/>
        <v>7527.7620617203829</v>
      </c>
      <c r="U6" s="52">
        <f t="shared" si="5"/>
        <v>7619.9771469764582</v>
      </c>
      <c r="V6" s="52">
        <f t="shared" si="5"/>
        <v>7713.3218670269207</v>
      </c>
      <c r="W6" s="52">
        <f t="shared" si="5"/>
        <v>7807.8100598980009</v>
      </c>
      <c r="X6" s="52">
        <f t="shared" si="5"/>
        <v>7903.4557331317519</v>
      </c>
      <c r="Y6" s="52">
        <f t="shared" si="5"/>
        <v>8000.2730658626169</v>
      </c>
      <c r="Z6" s="52">
        <f t="shared" si="5"/>
        <v>8098.276410919435</v>
      </c>
      <c r="AA6" s="52">
        <f t="shared" si="5"/>
        <v>8197.4802969531993</v>
      </c>
      <c r="AB6" s="52"/>
      <c r="AC6" s="153">
        <f>O6</f>
        <v>6914.5535904538683</v>
      </c>
      <c r="AD6">
        <v>4900</v>
      </c>
      <c r="AE6" s="141">
        <v>2.4500000000000001E-2</v>
      </c>
      <c r="AF6" s="21"/>
      <c r="AG6" s="21"/>
      <c r="AH6" s="21"/>
      <c r="AI6" s="21"/>
      <c r="AJ6" s="21"/>
      <c r="AK6" s="21"/>
      <c r="AL6" s="21"/>
    </row>
    <row r="7" spans="1:38">
      <c r="B7" s="50" t="s">
        <v>1665</v>
      </c>
      <c r="C7" s="52"/>
      <c r="D7" s="52"/>
      <c r="E7" s="52"/>
      <c r="G7" s="52">
        <f>Colombia!C12</f>
        <v>43000</v>
      </c>
      <c r="H7" s="52">
        <f>Colombia!D12</f>
        <v>43644.999999999993</v>
      </c>
      <c r="I7" s="52">
        <f>Colombia!E12</f>
        <v>44299.674999999988</v>
      </c>
      <c r="J7" s="52">
        <f>Colombia!F12</f>
        <v>44964.170124999982</v>
      </c>
      <c r="K7" s="52">
        <f>Colombia!G12</f>
        <v>45638.632676874979</v>
      </c>
      <c r="L7" s="52">
        <f>Colombia!H12</f>
        <v>46323.212167028098</v>
      </c>
      <c r="M7" s="52">
        <f>Colombia!I12</f>
        <v>47018.060349533516</v>
      </c>
      <c r="N7" s="52">
        <f>Colombia!J12</f>
        <v>47723.331254776516</v>
      </c>
      <c r="O7" s="52">
        <f>Colombia!K12</f>
        <v>48439.181223598156</v>
      </c>
      <c r="P7" s="52">
        <f>Colombia!L12</f>
        <v>49165.768941952127</v>
      </c>
      <c r="Q7" s="52">
        <f>Colombia!M12</f>
        <v>49903.255476081402</v>
      </c>
      <c r="R7" s="52">
        <f>Colombia!N12</f>
        <v>50651.804308222621</v>
      </c>
      <c r="S7" s="52">
        <f>Colombia!O12</f>
        <v>51411.581372845954</v>
      </c>
      <c r="T7" s="52">
        <f>Colombia!P12</f>
        <v>52182.755093438638</v>
      </c>
      <c r="U7" s="52">
        <f>Colombia!Q12</f>
        <v>52965.496419840216</v>
      </c>
      <c r="V7" s="52">
        <f>Colombia!R12</f>
        <v>53759.978866137812</v>
      </c>
      <c r="W7" s="52">
        <f>Colombia!S12</f>
        <v>54566.378549129877</v>
      </c>
      <c r="X7" s="52">
        <f>Colombia!T12</f>
        <v>55384.874227366818</v>
      </c>
      <c r="Y7" s="52">
        <f>Colombia!U12</f>
        <v>56215.647340777316</v>
      </c>
      <c r="Z7" s="52">
        <f>Colombia!V12</f>
        <v>57058.882050888969</v>
      </c>
      <c r="AA7" s="52">
        <f>Colombia!W12</f>
        <v>57914.765281652297</v>
      </c>
      <c r="AB7" s="52"/>
      <c r="AC7" s="151"/>
      <c r="AD7" s="142" t="e">
        <v>#NAME?</v>
      </c>
      <c r="AE7" s="168" t="e">
        <v>#NAME?</v>
      </c>
      <c r="AF7" s="21"/>
      <c r="AG7" s="21"/>
      <c r="AH7" s="21"/>
      <c r="AI7" s="21"/>
      <c r="AJ7" s="21"/>
      <c r="AK7" s="21"/>
      <c r="AL7" s="21"/>
    </row>
    <row r="8" spans="1:38">
      <c r="B8" s="50" t="s">
        <v>1940</v>
      </c>
      <c r="C8" s="52"/>
      <c r="D8" s="52"/>
      <c r="E8" s="52"/>
      <c r="F8" s="52"/>
      <c r="G8" s="52"/>
      <c r="H8" s="52"/>
      <c r="I8" s="52"/>
      <c r="J8" s="52"/>
      <c r="K8" s="52"/>
      <c r="L8" s="52"/>
      <c r="M8" s="52"/>
      <c r="N8" s="52"/>
      <c r="O8" s="52"/>
      <c r="P8" s="52"/>
      <c r="Q8" s="52"/>
      <c r="R8" s="52"/>
      <c r="S8" s="52"/>
      <c r="T8" s="52"/>
      <c r="U8" s="52"/>
      <c r="V8" s="52"/>
      <c r="W8" s="52"/>
      <c r="X8" s="52"/>
      <c r="Y8" s="52"/>
      <c r="Z8" s="52"/>
      <c r="AA8" s="52"/>
      <c r="AB8" s="52"/>
      <c r="AC8" s="151"/>
      <c r="AD8" s="21"/>
      <c r="AE8" s="21"/>
      <c r="AF8" s="21"/>
      <c r="AG8" s="21"/>
      <c r="AH8" s="21"/>
      <c r="AI8" s="21"/>
      <c r="AJ8" s="21"/>
      <c r="AK8" s="21"/>
      <c r="AL8" s="21"/>
    </row>
    <row r="9" spans="1:38">
      <c r="B9" s="57" t="s">
        <v>1941</v>
      </c>
      <c r="C9" s="61"/>
      <c r="D9" s="61"/>
      <c r="E9" s="61"/>
      <c r="F9" s="61"/>
      <c r="G9" s="61"/>
      <c r="H9" s="61"/>
      <c r="I9" s="61"/>
      <c r="J9" s="61"/>
      <c r="K9" s="61"/>
      <c r="L9" s="61"/>
      <c r="M9" s="61"/>
      <c r="N9" s="61"/>
      <c r="O9" s="61"/>
      <c r="P9" s="61"/>
      <c r="Q9" s="61"/>
      <c r="R9" s="61"/>
      <c r="S9" s="61"/>
      <c r="T9" s="61"/>
      <c r="U9" s="61"/>
      <c r="V9" s="61"/>
      <c r="W9" s="61"/>
      <c r="X9" s="61"/>
      <c r="Y9" s="61"/>
      <c r="Z9" s="61"/>
      <c r="AA9" s="61"/>
      <c r="AB9" s="52"/>
      <c r="AC9" s="151"/>
      <c r="AD9" s="21"/>
      <c r="AE9" s="21"/>
      <c r="AF9" s="21"/>
      <c r="AG9" s="21"/>
      <c r="AH9" s="21"/>
      <c r="AI9" s="21"/>
      <c r="AJ9" s="21"/>
      <c r="AK9" s="21"/>
      <c r="AL9" s="21"/>
    </row>
    <row r="10" spans="1:38">
      <c r="A10" s="142"/>
      <c r="B10" s="50" t="s">
        <v>870</v>
      </c>
      <c r="C10" s="52">
        <f>SUM(C5:C6)</f>
        <v>15207</v>
      </c>
      <c r="D10" s="52">
        <f t="shared" ref="D10:O10" si="6">SUM(D5:D6)</f>
        <v>15207</v>
      </c>
      <c r="E10" s="52">
        <f t="shared" si="6"/>
        <v>15207</v>
      </c>
      <c r="F10" s="52">
        <f t="shared" si="6"/>
        <v>15495.51</v>
      </c>
      <c r="G10" s="52">
        <f>SUM(G5:G6)</f>
        <v>15788</v>
      </c>
      <c r="H10" s="52">
        <f t="shared" si="6"/>
        <v>15788</v>
      </c>
      <c r="I10" s="52">
        <f t="shared" si="6"/>
        <v>16202.513173101408</v>
      </c>
      <c r="J10" s="52">
        <f t="shared" si="6"/>
        <v>16735.282255308091</v>
      </c>
      <c r="K10" s="52">
        <f t="shared" si="6"/>
        <v>16849.562589331668</v>
      </c>
      <c r="L10" s="52">
        <f>SUM(L5:L6)</f>
        <v>17761.921815957627</v>
      </c>
      <c r="M10" s="52">
        <f>SUM(M5:M6)</f>
        <v>18333.595414837124</v>
      </c>
      <c r="N10" s="52">
        <f t="shared" si="6"/>
        <v>18781.276215490419</v>
      </c>
      <c r="O10" s="52">
        <f t="shared" si="6"/>
        <v>18996.121982701872</v>
      </c>
      <c r="P10" s="52">
        <f t="shared" ref="P10:U10" si="7">SUM(P5:P6)</f>
        <v>18555.00937522138</v>
      </c>
      <c r="Q10" s="52">
        <f t="shared" si="7"/>
        <v>18725.382828826638</v>
      </c>
      <c r="R10" s="52">
        <f t="shared" si="7"/>
        <v>18897.430648007066</v>
      </c>
      <c r="S10" s="52">
        <f t="shared" si="7"/>
        <v>19071.17035159903</v>
      </c>
      <c r="T10" s="52">
        <f t="shared" si="7"/>
        <v>19246.619651351604</v>
      </c>
      <c r="U10" s="52">
        <f t="shared" si="7"/>
        <v>19423.796454132505</v>
      </c>
      <c r="V10" s="52">
        <f t="shared" ref="V10:AA10" si="8">SUM(V5:V6)</f>
        <v>19602.718864159851</v>
      </c>
      <c r="W10" s="52">
        <f t="shared" si="8"/>
        <v>19783.405185260144</v>
      </c>
      <c r="X10" s="52">
        <f t="shared" si="8"/>
        <v>19965.873923152769</v>
      </c>
      <c r="Y10" s="52">
        <f t="shared" si="8"/>
        <v>20150.143787761284</v>
      </c>
      <c r="Z10" s="52">
        <f t="shared" si="8"/>
        <v>20336.233695551869</v>
      </c>
      <c r="AA10" s="52">
        <f t="shared" si="8"/>
        <v>20524.162771899217</v>
      </c>
      <c r="AB10" s="52"/>
      <c r="AC10" s="152">
        <f>SUM(AC5:AC9)</f>
        <v>18996.121982701872</v>
      </c>
      <c r="AD10" s="143"/>
      <c r="AE10" s="143"/>
      <c r="AF10" s="21"/>
      <c r="AG10" s="21"/>
      <c r="AH10" s="21"/>
      <c r="AI10" s="21"/>
      <c r="AJ10" s="21"/>
      <c r="AK10" s="21"/>
      <c r="AL10" s="21"/>
    </row>
    <row r="11" spans="1:38">
      <c r="B11" s="50" t="s">
        <v>872</v>
      </c>
      <c r="C11" s="52">
        <f>C5+C6+C7</f>
        <v>15207</v>
      </c>
      <c r="D11" s="52">
        <f t="shared" ref="D11:O11" si="9">D5+D6+D7</f>
        <v>15207</v>
      </c>
      <c r="E11" s="52">
        <f t="shared" si="9"/>
        <v>15207</v>
      </c>
      <c r="F11" s="52">
        <f t="shared" si="9"/>
        <v>15495.51</v>
      </c>
      <c r="G11" s="52">
        <f t="shared" si="9"/>
        <v>58788</v>
      </c>
      <c r="H11" s="52">
        <f t="shared" si="9"/>
        <v>59432.999999999993</v>
      </c>
      <c r="I11" s="52">
        <f t="shared" si="9"/>
        <v>60502.1881731014</v>
      </c>
      <c r="J11" s="52">
        <f t="shared" si="9"/>
        <v>61699.452380308074</v>
      </c>
      <c r="K11" s="52">
        <f t="shared" si="9"/>
        <v>62488.195266206647</v>
      </c>
      <c r="L11" s="52">
        <f>L5+L6+L7</f>
        <v>64085.133982985724</v>
      </c>
      <c r="M11" s="52">
        <f>M5+M6+M7</f>
        <v>65351.65576437064</v>
      </c>
      <c r="N11" s="52">
        <f t="shared" si="9"/>
        <v>66504.607470266928</v>
      </c>
      <c r="O11" s="52">
        <f t="shared" si="9"/>
        <v>67435.303206300028</v>
      </c>
      <c r="P11" s="52">
        <f t="shared" ref="P11:U11" si="10">P5+P6+P7</f>
        <v>67720.778317173506</v>
      </c>
      <c r="Q11" s="52">
        <f t="shared" si="10"/>
        <v>68628.638304908032</v>
      </c>
      <c r="R11" s="52">
        <f t="shared" si="10"/>
        <v>69549.234956229688</v>
      </c>
      <c r="S11" s="52">
        <f t="shared" si="10"/>
        <v>70482.751724444985</v>
      </c>
      <c r="T11" s="52">
        <f t="shared" si="10"/>
        <v>71429.374744790242</v>
      </c>
      <c r="U11" s="52">
        <f t="shared" si="10"/>
        <v>72389.292873972721</v>
      </c>
      <c r="V11" s="52">
        <f t="shared" ref="V11:AA11" si="11">V5+V6+V7</f>
        <v>73362.697730297659</v>
      </c>
      <c r="W11" s="52">
        <f t="shared" si="11"/>
        <v>74349.783734390017</v>
      </c>
      <c r="X11" s="52">
        <f t="shared" si="11"/>
        <v>75350.74815051959</v>
      </c>
      <c r="Y11" s="52">
        <f t="shared" si="11"/>
        <v>76365.791128538607</v>
      </c>
      <c r="Z11" s="52">
        <f t="shared" si="11"/>
        <v>77395.115746440832</v>
      </c>
      <c r="AA11" s="52">
        <f t="shared" si="11"/>
        <v>78438.928053551514</v>
      </c>
      <c r="AB11" s="52"/>
      <c r="AC11" s="151"/>
      <c r="AD11" s="21"/>
      <c r="AE11" s="21"/>
      <c r="AF11" s="21"/>
      <c r="AG11" s="21"/>
      <c r="AH11" s="21"/>
      <c r="AI11" s="21"/>
      <c r="AJ11" s="21"/>
      <c r="AK11" s="21"/>
      <c r="AL11" s="21"/>
    </row>
    <row r="12" spans="1:38">
      <c r="B12" s="50"/>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151"/>
      <c r="AD12" s="21"/>
      <c r="AE12" s="21"/>
      <c r="AF12" s="21"/>
      <c r="AG12" s="21"/>
      <c r="AH12" s="21"/>
      <c r="AI12" s="21"/>
      <c r="AJ12" s="21"/>
      <c r="AK12" s="21"/>
      <c r="AL12" s="21"/>
    </row>
    <row r="13" spans="1:38">
      <c r="B13" s="48" t="s">
        <v>1931</v>
      </c>
      <c r="C13" s="25"/>
      <c r="D13" s="26"/>
      <c r="E13" s="26"/>
      <c r="F13" s="26" t="s">
        <v>1823</v>
      </c>
      <c r="G13" s="26" t="s">
        <v>1823</v>
      </c>
      <c r="H13" s="26"/>
      <c r="I13" s="26"/>
      <c r="J13" s="26"/>
      <c r="K13" s="26"/>
      <c r="L13" s="26"/>
      <c r="M13" s="26"/>
      <c r="N13" s="26"/>
      <c r="O13" s="26"/>
      <c r="P13" s="26"/>
      <c r="Q13" s="26"/>
      <c r="R13" s="26"/>
      <c r="S13" s="26"/>
      <c r="T13" s="26"/>
      <c r="U13" s="26"/>
      <c r="V13" s="26"/>
      <c r="W13" s="26"/>
      <c r="X13" s="26"/>
      <c r="Y13" s="26"/>
      <c r="Z13" s="26"/>
      <c r="AA13" s="26"/>
      <c r="AB13" s="26"/>
      <c r="AC13" s="151"/>
      <c r="AD13" s="21"/>
      <c r="AE13" s="21"/>
      <c r="AF13" s="21"/>
      <c r="AG13" s="21"/>
      <c r="AH13" s="21"/>
      <c r="AI13" s="21"/>
      <c r="AJ13" s="21"/>
      <c r="AK13" s="21"/>
      <c r="AL13" s="21"/>
    </row>
    <row r="14" spans="1:38">
      <c r="B14" s="50" t="str">
        <f t="shared" ref="B14:B20" si="12">B5</f>
        <v>Bolivia</v>
      </c>
      <c r="C14" s="53">
        <f t="shared" ref="C14:E15" si="13">C32/C5</f>
        <v>0.11595185686872107</v>
      </c>
      <c r="D14" s="53">
        <f t="shared" si="13"/>
        <v>0.10782223082256946</v>
      </c>
      <c r="E14" s="53">
        <f t="shared" si="13"/>
        <v>0.13354877203167079</v>
      </c>
      <c r="F14" s="54">
        <v>0.27600000000000002</v>
      </c>
      <c r="G14" s="54">
        <v>0.28000000000000003</v>
      </c>
      <c r="H14" s="53">
        <f>H32/H5</f>
        <v>0.33086334654489058</v>
      </c>
      <c r="I14" s="54">
        <v>0.42</v>
      </c>
      <c r="J14" s="54">
        <v>0.54</v>
      </c>
      <c r="K14" s="54">
        <v>0.64500000000000002</v>
      </c>
      <c r="L14" s="54">
        <v>0.68400000000000005</v>
      </c>
      <c r="M14" s="54">
        <v>0.71599999999999997</v>
      </c>
      <c r="N14" s="54">
        <v>0.76300000000000001</v>
      </c>
      <c r="O14" s="54">
        <v>0.72099999999999997</v>
      </c>
      <c r="P14" s="53">
        <f>O14+P23</f>
        <v>0.74099999999999999</v>
      </c>
      <c r="Q14" s="53">
        <f t="shared" ref="Q14:AA15" si="14">P14+Q23</f>
        <v>0.751</v>
      </c>
      <c r="R14" s="53">
        <f t="shared" si="14"/>
        <v>0.75600000000000001</v>
      </c>
      <c r="S14" s="53">
        <f t="shared" si="14"/>
        <v>0.75700000000000001</v>
      </c>
      <c r="T14" s="53">
        <f t="shared" si="14"/>
        <v>0.75800000000000001</v>
      </c>
      <c r="U14" s="53">
        <f t="shared" si="14"/>
        <v>0.75900000000000001</v>
      </c>
      <c r="V14" s="53">
        <f t="shared" si="14"/>
        <v>0.75900000000000001</v>
      </c>
      <c r="W14" s="53">
        <f t="shared" si="14"/>
        <v>0.75900000000000001</v>
      </c>
      <c r="X14" s="53">
        <f t="shared" si="14"/>
        <v>0.75900000000000001</v>
      </c>
      <c r="Y14" s="53">
        <f t="shared" si="14"/>
        <v>0.75900000000000001</v>
      </c>
      <c r="Z14" s="53">
        <f t="shared" si="14"/>
        <v>0.75900000000000001</v>
      </c>
      <c r="AA14" s="53">
        <f t="shared" si="14"/>
        <v>0.75900000000000001</v>
      </c>
      <c r="AB14" s="53"/>
      <c r="AC14" s="151" t="e">
        <f>#REF!</f>
        <v>#REF!</v>
      </c>
      <c r="AD14" s="21"/>
      <c r="AE14" s="21"/>
      <c r="AF14" s="21"/>
      <c r="AG14" s="21"/>
      <c r="AH14" s="21"/>
      <c r="AI14" s="21"/>
      <c r="AJ14" s="21"/>
      <c r="AK14" s="21"/>
      <c r="AL14" s="21"/>
    </row>
    <row r="15" spans="1:38">
      <c r="B15" s="50" t="str">
        <f t="shared" si="12"/>
        <v>Paraguay</v>
      </c>
      <c r="C15" s="53">
        <f t="shared" si="13"/>
        <v>0.15756115025491205</v>
      </c>
      <c r="D15" s="53">
        <f t="shared" si="13"/>
        <v>0.17983884390864452</v>
      </c>
      <c r="E15" s="53">
        <f t="shared" si="13"/>
        <v>0.19171355929719672</v>
      </c>
      <c r="F15" s="54">
        <v>0.24199999999999999</v>
      </c>
      <c r="G15" s="54">
        <v>0.47</v>
      </c>
      <c r="H15" s="53">
        <f>H33/H6</f>
        <v>0.61988304093567248</v>
      </c>
      <c r="I15" s="54">
        <v>0.78</v>
      </c>
      <c r="J15" s="54">
        <v>0.86</v>
      </c>
      <c r="K15" s="54">
        <v>0.92600000000000005</v>
      </c>
      <c r="L15" s="54">
        <v>0.95799999999999996</v>
      </c>
      <c r="M15" s="54">
        <v>1.0029999999999999</v>
      </c>
      <c r="N15" s="54">
        <v>0.97399999999999998</v>
      </c>
      <c r="O15" s="54">
        <v>0.98799999999999999</v>
      </c>
      <c r="P15" s="53">
        <f>O15+P24</f>
        <v>0.998</v>
      </c>
      <c r="Q15" s="53">
        <f t="shared" si="14"/>
        <v>1.0004999999999999</v>
      </c>
      <c r="R15" s="53">
        <f t="shared" si="14"/>
        <v>1.0014999999999998</v>
      </c>
      <c r="S15" s="53">
        <f t="shared" si="14"/>
        <v>1.0024999999999997</v>
      </c>
      <c r="T15" s="53">
        <f t="shared" si="14"/>
        <v>1.0034999999999996</v>
      </c>
      <c r="U15" s="53">
        <f t="shared" si="14"/>
        <v>1.0044999999999995</v>
      </c>
      <c r="V15" s="53">
        <f t="shared" si="14"/>
        <v>1.0044999999999995</v>
      </c>
      <c r="W15" s="53">
        <f t="shared" si="14"/>
        <v>1.0044999999999995</v>
      </c>
      <c r="X15" s="53">
        <f t="shared" si="14"/>
        <v>1.0044999999999995</v>
      </c>
      <c r="Y15" s="53">
        <f t="shared" si="14"/>
        <v>1.0044999999999995</v>
      </c>
      <c r="Z15" s="53">
        <f t="shared" si="14"/>
        <v>1.0044999999999995</v>
      </c>
      <c r="AA15" s="53">
        <f t="shared" si="14"/>
        <v>1.0044999999999995</v>
      </c>
      <c r="AB15" s="53"/>
      <c r="AC15" s="151" t="e">
        <f>#REF!</f>
        <v>#REF!</v>
      </c>
      <c r="AD15" s="21"/>
      <c r="AE15" s="21"/>
      <c r="AF15" s="21"/>
      <c r="AG15" s="21"/>
      <c r="AH15" s="21"/>
      <c r="AI15" s="21"/>
      <c r="AJ15" s="21"/>
      <c r="AK15" s="21"/>
      <c r="AL15" s="21"/>
    </row>
    <row r="16" spans="1:38">
      <c r="B16" s="50" t="str">
        <f>SA!B7</f>
        <v>Colombia</v>
      </c>
      <c r="C16" s="53"/>
      <c r="D16" s="53"/>
      <c r="E16" s="53"/>
      <c r="F16" s="53"/>
      <c r="G16" s="53">
        <f>Colombia!C14</f>
        <v>0.68374418604651166</v>
      </c>
      <c r="H16" s="53">
        <f>Colombia!D14</f>
        <v>0.76702944208958657</v>
      </c>
      <c r="I16" s="53">
        <f>Colombia!E14</f>
        <v>0.91799770540077352</v>
      </c>
      <c r="J16" s="53">
        <f>Colombia!F14</f>
        <v>0.90082836817395873</v>
      </c>
      <c r="K16" s="53">
        <f>Colombia!G14</f>
        <v>0.95777240544168429</v>
      </c>
      <c r="L16" s="53">
        <f>Colombia!H14</f>
        <v>0.97281682102511058</v>
      </c>
      <c r="M16" s="53">
        <f>Colombia!I14</f>
        <v>1.0166518917336465</v>
      </c>
      <c r="N16" s="53">
        <f>Colombia!J14</f>
        <v>1.0026898529890582</v>
      </c>
      <c r="O16" s="53">
        <f>Colombia!K14</f>
        <v>1.0452488816085532</v>
      </c>
      <c r="P16" s="53">
        <f>Colombia!L14</f>
        <v>1.0331578472813598</v>
      </c>
      <c r="Q16" s="53">
        <f>Colombia!M14</f>
        <v>1.0231578472813598</v>
      </c>
      <c r="R16" s="53">
        <f>Colombia!N14</f>
        <v>1.0131578472813598</v>
      </c>
      <c r="S16" s="53">
        <f>Colombia!O14</f>
        <v>1.0031578472813598</v>
      </c>
      <c r="T16" s="53">
        <f>Colombia!P14</f>
        <v>0.99315784728135981</v>
      </c>
      <c r="U16" s="53">
        <f>Colombia!Q14</f>
        <v>0.9831578472813598</v>
      </c>
      <c r="V16" s="53">
        <f>Colombia!R14</f>
        <v>0.97315784728135979</v>
      </c>
      <c r="W16" s="53">
        <f>Colombia!S14</f>
        <v>0.96315784728135978</v>
      </c>
      <c r="X16" s="53">
        <f>Colombia!T14</f>
        <v>0.95315784728135977</v>
      </c>
      <c r="Y16" s="53">
        <f>Colombia!U14</f>
        <v>0.94315784728135976</v>
      </c>
      <c r="Z16" s="53">
        <f>Colombia!V14</f>
        <v>0.93315784728135975</v>
      </c>
      <c r="AA16" s="53">
        <f>Colombia!W14</f>
        <v>0.92315784728135974</v>
      </c>
      <c r="AB16" s="53"/>
      <c r="AC16" s="151"/>
      <c r="AD16" s="21"/>
      <c r="AE16" s="21"/>
      <c r="AF16" s="21"/>
      <c r="AG16" s="21"/>
      <c r="AH16" s="21"/>
      <c r="AI16" s="21"/>
      <c r="AJ16" s="21"/>
      <c r="AK16" s="21"/>
      <c r="AL16" s="21"/>
    </row>
    <row r="17" spans="2:38">
      <c r="B17" s="50" t="str">
        <f t="shared" si="12"/>
        <v>xx</v>
      </c>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151"/>
      <c r="AD17" s="21"/>
      <c r="AE17" s="21"/>
      <c r="AF17" s="21"/>
      <c r="AG17" s="21"/>
      <c r="AH17" s="21"/>
      <c r="AI17" s="21"/>
      <c r="AJ17" s="21"/>
      <c r="AK17" s="21"/>
      <c r="AL17" s="21"/>
    </row>
    <row r="18" spans="2:38">
      <c r="B18" s="74" t="str">
        <f t="shared" si="12"/>
        <v>xxx</v>
      </c>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53"/>
      <c r="AC18" s="151"/>
      <c r="AD18" s="21"/>
      <c r="AE18" s="21"/>
      <c r="AF18" s="21"/>
      <c r="AG18" s="21"/>
      <c r="AH18" s="21"/>
      <c r="AI18" s="21"/>
      <c r="AJ18" s="21"/>
      <c r="AK18" s="21"/>
      <c r="AL18" s="21"/>
    </row>
    <row r="19" spans="2:38">
      <c r="B19" s="50" t="str">
        <f t="shared" si="12"/>
        <v>South America ex Colombia</v>
      </c>
      <c r="C19" s="25"/>
      <c r="D19" s="53">
        <f t="shared" ref="D19:G20" si="15">D37/D10</f>
        <v>0.137884798052819</v>
      </c>
      <c r="E19" s="53">
        <f t="shared" si="15"/>
        <v>0.15782904227310948</v>
      </c>
      <c r="F19" s="53">
        <f t="shared" si="15"/>
        <v>0.26172362084242468</v>
      </c>
      <c r="G19" s="53">
        <f t="shared" si="15"/>
        <v>0.36025779072713454</v>
      </c>
      <c r="H19" s="53">
        <f t="shared" ref="H19:N20" si="16">H37/H10</f>
        <v>0.45294798943139453</v>
      </c>
      <c r="I19" s="53">
        <f t="shared" si="16"/>
        <v>0.56232446296308602</v>
      </c>
      <c r="J19" s="53">
        <f t="shared" si="16"/>
        <v>0.66101673210757173</v>
      </c>
      <c r="K19" s="53">
        <f t="shared" si="16"/>
        <v>0.75186039258850013</v>
      </c>
      <c r="L19" s="53">
        <f t="shared" si="16"/>
        <v>0.78485732253811658</v>
      </c>
      <c r="M19" s="53">
        <f t="shared" si="16"/>
        <v>0.8228180489323389</v>
      </c>
      <c r="N19" s="53">
        <f t="shared" si="16"/>
        <v>0.84156624101290345</v>
      </c>
      <c r="O19" s="53">
        <f t="shared" ref="O19:S20" si="17">O37/O10</f>
        <v>0.81818751071046736</v>
      </c>
      <c r="P19" s="53">
        <f t="shared" si="17"/>
        <v>0.84030856052785963</v>
      </c>
      <c r="Q19" s="53">
        <f t="shared" si="17"/>
        <v>0.84770353982920488</v>
      </c>
      <c r="R19" s="53">
        <f t="shared" si="17"/>
        <v>0.85144189392916936</v>
      </c>
      <c r="S19" s="53">
        <f t="shared" si="17"/>
        <v>0.85273092360259861</v>
      </c>
      <c r="T19" s="53">
        <f t="shared" ref="T19:AC19" si="18">T37/T10</f>
        <v>0.85402026847465518</v>
      </c>
      <c r="U19" s="53">
        <f t="shared" si="18"/>
        <v>0.85530992550813711</v>
      </c>
      <c r="V19" s="53">
        <f t="shared" si="18"/>
        <v>0.85559989165162476</v>
      </c>
      <c r="W19" s="53">
        <f t="shared" si="18"/>
        <v>0.85589016383959515</v>
      </c>
      <c r="X19" s="53">
        <f t="shared" si="18"/>
        <v>0.85618073899253844</v>
      </c>
      <c r="Y19" s="53">
        <f t="shared" si="18"/>
        <v>0.85647161401707705</v>
      </c>
      <c r="Z19" s="53">
        <f t="shared" si="18"/>
        <v>0.85676278580608456</v>
      </c>
      <c r="AA19" s="53">
        <f t="shared" ref="AA19" si="19">AA37/AA10</f>
        <v>0.85705425123880841</v>
      </c>
      <c r="AB19" s="53"/>
      <c r="AC19" s="157" t="e">
        <f t="shared" si="18"/>
        <v>#REF!</v>
      </c>
      <c r="AD19" s="16"/>
      <c r="AE19" s="16"/>
      <c r="AF19" s="21"/>
      <c r="AG19" s="21"/>
      <c r="AH19" s="21"/>
      <c r="AI19" s="21"/>
      <c r="AJ19" s="21"/>
      <c r="AK19" s="21"/>
      <c r="AL19" s="21"/>
    </row>
    <row r="20" spans="2:38">
      <c r="B20" s="50" t="str">
        <f t="shared" si="12"/>
        <v>South America inc Colombia</v>
      </c>
      <c r="C20" s="25"/>
      <c r="D20" s="53">
        <f t="shared" si="15"/>
        <v>0.137884798052819</v>
      </c>
      <c r="E20" s="53">
        <f t="shared" si="15"/>
        <v>0.15782904227310948</v>
      </c>
      <c r="F20" s="53">
        <f t="shared" si="15"/>
        <v>0.26172362084242468</v>
      </c>
      <c r="G20" s="53">
        <f t="shared" si="15"/>
        <v>0.59686925903245558</v>
      </c>
      <c r="H20" s="53">
        <f t="shared" si="16"/>
        <v>0.68359569359014116</v>
      </c>
      <c r="I20" s="53">
        <f t="shared" si="16"/>
        <v>0.8227482512913038</v>
      </c>
      <c r="J20" s="53">
        <f t="shared" si="16"/>
        <v>0.83578216009838924</v>
      </c>
      <c r="K20" s="53">
        <f t="shared" si="16"/>
        <v>0.90224948093275226</v>
      </c>
      <c r="L20" s="53">
        <f t="shared" si="16"/>
        <v>0.92072171395115254</v>
      </c>
      <c r="M20" s="53">
        <f t="shared" si="16"/>
        <v>0.96227421438090588</v>
      </c>
      <c r="N20" s="53">
        <f t="shared" si="16"/>
        <v>0.95718763627851566</v>
      </c>
      <c r="O20" s="53">
        <f t="shared" si="17"/>
        <v>0.98128705013366191</v>
      </c>
      <c r="P20" s="53">
        <f t="shared" si="17"/>
        <v>0.98031852067237268</v>
      </c>
      <c r="Q20" s="53">
        <f t="shared" si="17"/>
        <v>0.9752849889942492</v>
      </c>
      <c r="R20" s="53">
        <f t="shared" si="17"/>
        <v>0.96921752191225052</v>
      </c>
      <c r="S20" s="53">
        <f t="shared" si="17"/>
        <v>0.96245544255459226</v>
      </c>
      <c r="T20" s="53">
        <f t="shared" ref="T20:Z20" si="20">T38/T11</f>
        <v>0.95566727609729762</v>
      </c>
      <c r="U20" s="53">
        <f t="shared" si="20"/>
        <v>0.94885316062099601</v>
      </c>
      <c r="V20" s="53">
        <f t="shared" si="20"/>
        <v>0.94174603138921653</v>
      </c>
      <c r="W20" s="53">
        <f t="shared" si="20"/>
        <v>0.93461546372320714</v>
      </c>
      <c r="X20" s="53">
        <f t="shared" si="20"/>
        <v>0.92746158327534411</v>
      </c>
      <c r="Y20" s="53">
        <f t="shared" si="20"/>
        <v>0.92028451566413594</v>
      </c>
      <c r="Z20" s="53">
        <f t="shared" si="20"/>
        <v>0.91308438646456813</v>
      </c>
      <c r="AA20" s="53">
        <f t="shared" ref="AA20" si="21">AA38/AA11</f>
        <v>0.90586132119855889</v>
      </c>
      <c r="AB20" s="53"/>
      <c r="AC20" s="157"/>
      <c r="AD20" s="16"/>
      <c r="AE20" s="16"/>
      <c r="AF20" s="21"/>
      <c r="AG20" s="21"/>
      <c r="AH20" s="21"/>
      <c r="AI20" s="21"/>
      <c r="AJ20" s="21"/>
      <c r="AK20" s="21"/>
      <c r="AL20" s="21"/>
    </row>
    <row r="21" spans="2:38">
      <c r="B21" s="48"/>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151"/>
      <c r="AD21" s="21"/>
      <c r="AE21" s="21"/>
      <c r="AF21" s="21"/>
      <c r="AG21" s="21"/>
      <c r="AH21" s="21"/>
      <c r="AI21" s="21"/>
      <c r="AJ21" s="21"/>
      <c r="AK21" s="21"/>
      <c r="AL21" s="21"/>
    </row>
    <row r="22" spans="2:38">
      <c r="B22" s="48" t="s">
        <v>1933</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151"/>
      <c r="AD22" s="21"/>
      <c r="AE22" s="21"/>
      <c r="AF22" s="21"/>
      <c r="AG22" s="21"/>
      <c r="AH22" s="21"/>
      <c r="AI22" s="21"/>
      <c r="AJ22" s="21"/>
      <c r="AK22" s="21"/>
      <c r="AL22" s="21"/>
    </row>
    <row r="23" spans="2:38">
      <c r="B23" s="50" t="str">
        <f t="shared" ref="B23:B29" si="22">B14</f>
        <v>Bolivia</v>
      </c>
      <c r="C23" s="53"/>
      <c r="D23" s="53">
        <f t="shared" ref="D23:F24" si="23">D14-C14</f>
        <v>-8.1296260461516112E-3</v>
      </c>
      <c r="E23" s="53">
        <f t="shared" si="23"/>
        <v>2.5726541209101325E-2</v>
      </c>
      <c r="F23" s="53">
        <f t="shared" si="23"/>
        <v>0.14245122796832924</v>
      </c>
      <c r="G23" s="53">
        <f t="shared" ref="G23:J24" si="24">G14-F14</f>
        <v>4.0000000000000036E-3</v>
      </c>
      <c r="H23" s="53">
        <f t="shared" si="24"/>
        <v>5.0863346544890553E-2</v>
      </c>
      <c r="I23" s="53">
        <f t="shared" si="24"/>
        <v>8.9136653455109405E-2</v>
      </c>
      <c r="J23" s="53">
        <f t="shared" si="24"/>
        <v>0.12000000000000005</v>
      </c>
      <c r="K23" s="53">
        <f t="shared" ref="K23:O24" si="25">K14-J14</f>
        <v>0.10499999999999998</v>
      </c>
      <c r="L23" s="53">
        <f t="shared" si="25"/>
        <v>3.9000000000000035E-2</v>
      </c>
      <c r="M23" s="53">
        <f t="shared" si="25"/>
        <v>3.1999999999999917E-2</v>
      </c>
      <c r="N23" s="53">
        <f>N14-M14</f>
        <v>4.7000000000000042E-2</v>
      </c>
      <c r="O23" s="53">
        <f>O14-N14</f>
        <v>-4.2000000000000037E-2</v>
      </c>
      <c r="P23" s="63">
        <v>0.02</v>
      </c>
      <c r="Q23" s="63">
        <v>0.01</v>
      </c>
      <c r="R23" s="63">
        <v>5.0000000000000001E-3</v>
      </c>
      <c r="S23" s="63">
        <v>1E-3</v>
      </c>
      <c r="T23" s="63">
        <v>1E-3</v>
      </c>
      <c r="U23" s="63">
        <v>1E-3</v>
      </c>
      <c r="V23" s="63">
        <v>0</v>
      </c>
      <c r="W23" s="63">
        <v>0</v>
      </c>
      <c r="X23" s="63">
        <v>0</v>
      </c>
      <c r="Y23" s="63">
        <v>0</v>
      </c>
      <c r="Z23" s="63">
        <v>0</v>
      </c>
      <c r="AA23" s="63">
        <v>0</v>
      </c>
      <c r="AB23" s="63"/>
      <c r="AC23" s="151"/>
      <c r="AD23" s="21"/>
      <c r="AE23" s="21"/>
      <c r="AF23" s="21"/>
      <c r="AG23" s="21"/>
      <c r="AH23" s="21"/>
      <c r="AI23" s="21"/>
      <c r="AJ23" s="21"/>
      <c r="AK23" s="21"/>
      <c r="AL23" s="21"/>
    </row>
    <row r="24" spans="2:38">
      <c r="B24" s="50" t="str">
        <f t="shared" si="22"/>
        <v>Paraguay</v>
      </c>
      <c r="C24" s="53"/>
      <c r="D24" s="53">
        <f t="shared" si="23"/>
        <v>2.2277693653732472E-2</v>
      </c>
      <c r="E24" s="53">
        <f t="shared" si="23"/>
        <v>1.1874715388552198E-2</v>
      </c>
      <c r="F24" s="53">
        <f t="shared" si="23"/>
        <v>5.0286440702803276E-2</v>
      </c>
      <c r="G24" s="53">
        <f t="shared" si="24"/>
        <v>0.22799999999999998</v>
      </c>
      <c r="H24" s="53">
        <f t="shared" si="24"/>
        <v>0.14988304093567251</v>
      </c>
      <c r="I24" s="53">
        <f t="shared" si="24"/>
        <v>0.16011695906432755</v>
      </c>
      <c r="J24" s="53">
        <f t="shared" si="24"/>
        <v>7.999999999999996E-2</v>
      </c>
      <c r="K24" s="53">
        <f t="shared" si="25"/>
        <v>6.6000000000000059E-2</v>
      </c>
      <c r="L24" s="53">
        <f t="shared" si="25"/>
        <v>3.1999999999999917E-2</v>
      </c>
      <c r="M24" s="53">
        <f t="shared" si="25"/>
        <v>4.4999999999999929E-2</v>
      </c>
      <c r="N24" s="53">
        <f t="shared" si="25"/>
        <v>-2.8999999999999915E-2</v>
      </c>
      <c r="O24" s="53">
        <f t="shared" si="25"/>
        <v>1.4000000000000012E-2</v>
      </c>
      <c r="P24" s="63">
        <v>0.01</v>
      </c>
      <c r="Q24" s="63">
        <v>2.5000000000000001E-3</v>
      </c>
      <c r="R24" s="63">
        <v>1E-3</v>
      </c>
      <c r="S24" s="63">
        <v>1E-3</v>
      </c>
      <c r="T24" s="63">
        <v>1E-3</v>
      </c>
      <c r="U24" s="63">
        <v>1E-3</v>
      </c>
      <c r="V24" s="63">
        <v>0</v>
      </c>
      <c r="W24" s="63">
        <v>0</v>
      </c>
      <c r="X24" s="63">
        <v>0</v>
      </c>
      <c r="Y24" s="63">
        <v>0</v>
      </c>
      <c r="Z24" s="63">
        <v>0</v>
      </c>
      <c r="AA24" s="63">
        <v>0</v>
      </c>
      <c r="AB24" s="63"/>
      <c r="AC24" s="151"/>
      <c r="AD24" s="21"/>
      <c r="AE24" s="21"/>
      <c r="AF24" s="21"/>
      <c r="AG24" s="21"/>
      <c r="AH24" s="21"/>
      <c r="AI24" s="21"/>
      <c r="AJ24" s="21"/>
      <c r="AK24" s="21"/>
      <c r="AL24" s="21"/>
    </row>
    <row r="25" spans="2:38">
      <c r="B25" s="50" t="str">
        <f>SA!B16</f>
        <v>Colombia</v>
      </c>
      <c r="C25" s="53"/>
      <c r="D25" s="53"/>
      <c r="E25" s="53"/>
      <c r="F25" s="63"/>
      <c r="G25" s="53"/>
      <c r="H25" s="53">
        <f>Colombia!D15</f>
        <v>8.3285256043074907E-2</v>
      </c>
      <c r="I25" s="53">
        <f>Colombia!E15</f>
        <v>0.15096826331118696</v>
      </c>
      <c r="J25" s="53">
        <f>Colombia!F15</f>
        <v>-1.7169337226814796E-2</v>
      </c>
      <c r="K25" s="53">
        <f>Colombia!G15</f>
        <v>5.6944037267725567E-2</v>
      </c>
      <c r="L25" s="53">
        <f>Colombia!H15</f>
        <v>1.5044415583426285E-2</v>
      </c>
      <c r="M25" s="53">
        <f>Colombia!I15</f>
        <v>4.3835070708535873E-2</v>
      </c>
      <c r="N25" s="53">
        <f>Colombia!J15</f>
        <v>-1.3962038744588234E-2</v>
      </c>
      <c r="O25" s="53">
        <f>Colombia!K15</f>
        <v>4.255902861949501E-2</v>
      </c>
      <c r="P25" s="53">
        <f>Colombia!L15</f>
        <v>-1.2091034327193384E-2</v>
      </c>
      <c r="Q25" s="53">
        <f>Colombia!M15</f>
        <v>-0.01</v>
      </c>
      <c r="R25" s="53">
        <f>Colombia!N15</f>
        <v>-0.01</v>
      </c>
      <c r="S25" s="53">
        <f>Colombia!O15</f>
        <v>-0.01</v>
      </c>
      <c r="T25" s="53">
        <f>Colombia!P15</f>
        <v>-0.01</v>
      </c>
      <c r="U25" s="53">
        <f>Colombia!Q15</f>
        <v>-0.01</v>
      </c>
      <c r="V25" s="53">
        <f>Colombia!AG15</f>
        <v>0</v>
      </c>
      <c r="W25" s="53">
        <f>Colombia!AH15</f>
        <v>0</v>
      </c>
      <c r="X25" s="53">
        <f>Colombia!AI15</f>
        <v>0</v>
      </c>
      <c r="Y25" s="53">
        <f>Colombia!AJ15</f>
        <v>0</v>
      </c>
      <c r="Z25" s="53">
        <f>Colombia!AK15</f>
        <v>0</v>
      </c>
      <c r="AA25" s="53">
        <f>Colombia!AL15</f>
        <v>0</v>
      </c>
      <c r="AB25" s="53"/>
      <c r="AC25" s="151"/>
      <c r="AD25" s="21"/>
      <c r="AE25" s="21"/>
      <c r="AF25" s="21"/>
      <c r="AG25" s="21"/>
      <c r="AH25" s="21"/>
      <c r="AI25" s="21"/>
      <c r="AJ25" s="21"/>
      <c r="AK25" s="21"/>
      <c r="AL25" s="21"/>
    </row>
    <row r="26" spans="2:38">
      <c r="B26" s="50" t="str">
        <f t="shared" si="22"/>
        <v>xx</v>
      </c>
      <c r="C26" s="53"/>
      <c r="D26" s="53"/>
      <c r="E26" s="53"/>
      <c r="F26" s="63"/>
      <c r="G26" s="63"/>
      <c r="H26" s="63"/>
      <c r="I26" s="63"/>
      <c r="J26" s="63"/>
      <c r="K26" s="63"/>
      <c r="L26" s="63"/>
      <c r="M26" s="63"/>
      <c r="N26" s="63"/>
      <c r="O26" s="63"/>
      <c r="P26" s="63"/>
      <c r="Q26" s="63"/>
      <c r="R26" s="63"/>
      <c r="S26" s="63"/>
      <c r="T26" s="63"/>
      <c r="U26" s="63"/>
      <c r="V26" s="63"/>
      <c r="W26" s="63"/>
      <c r="X26" s="63"/>
      <c r="Y26" s="63"/>
      <c r="Z26" s="63"/>
      <c r="AA26" s="63"/>
      <c r="AB26" s="63"/>
      <c r="AC26" s="151"/>
      <c r="AD26" s="21"/>
      <c r="AE26" s="21"/>
      <c r="AF26" s="21"/>
      <c r="AG26" s="21"/>
      <c r="AH26" s="21"/>
      <c r="AI26" s="21"/>
      <c r="AJ26" s="21"/>
      <c r="AK26" s="21"/>
      <c r="AL26" s="21"/>
    </row>
    <row r="27" spans="2:38">
      <c r="B27" s="74" t="str">
        <f t="shared" si="22"/>
        <v>xxx</v>
      </c>
      <c r="C27" s="62"/>
      <c r="D27" s="62"/>
      <c r="E27" s="62"/>
      <c r="F27" s="64"/>
      <c r="G27" s="64"/>
      <c r="H27" s="64"/>
      <c r="I27" s="64"/>
      <c r="J27" s="64"/>
      <c r="K27" s="64"/>
      <c r="L27" s="64"/>
      <c r="M27" s="64"/>
      <c r="N27" s="64"/>
      <c r="O27" s="64"/>
      <c r="P27" s="64"/>
      <c r="Q27" s="64"/>
      <c r="R27" s="64"/>
      <c r="S27" s="64"/>
      <c r="T27" s="64"/>
      <c r="U27" s="64"/>
      <c r="V27" s="64"/>
      <c r="W27" s="64"/>
      <c r="X27" s="64"/>
      <c r="Y27" s="64"/>
      <c r="Z27" s="64"/>
      <c r="AA27" s="64"/>
      <c r="AB27" s="63"/>
      <c r="AC27" s="151"/>
      <c r="AD27" s="21"/>
      <c r="AE27" s="21"/>
      <c r="AF27" s="21"/>
      <c r="AG27" s="21"/>
      <c r="AH27" s="21"/>
      <c r="AI27" s="21"/>
      <c r="AJ27" s="21"/>
      <c r="AK27" s="21"/>
      <c r="AL27" s="21"/>
    </row>
    <row r="28" spans="2:38">
      <c r="B28" s="50" t="str">
        <f t="shared" si="22"/>
        <v>South America ex Colombia</v>
      </c>
      <c r="C28" s="25"/>
      <c r="D28" s="53">
        <f>D19-C19</f>
        <v>0.137884798052819</v>
      </c>
      <c r="E28" s="53">
        <f>E19-D19</f>
        <v>1.994424422029048E-2</v>
      </c>
      <c r="F28" s="53">
        <f>F19-E19</f>
        <v>0.10389457856931519</v>
      </c>
      <c r="G28" s="53">
        <f t="shared" ref="G28:AA28" si="26">G19-F19</f>
        <v>9.8534169884709866E-2</v>
      </c>
      <c r="H28" s="53">
        <f t="shared" si="26"/>
        <v>9.2690198704259985E-2</v>
      </c>
      <c r="I28" s="53">
        <f t="shared" ref="I28:N28" si="27">I19-H19</f>
        <v>0.1093764735316915</v>
      </c>
      <c r="J28" s="53">
        <f t="shared" si="27"/>
        <v>9.86922691444857E-2</v>
      </c>
      <c r="K28" s="53">
        <f t="shared" si="27"/>
        <v>9.0843660480928401E-2</v>
      </c>
      <c r="L28" s="53">
        <f t="shared" si="27"/>
        <v>3.2996929949616449E-2</v>
      </c>
      <c r="M28" s="53">
        <f t="shared" si="27"/>
        <v>3.7960726394222322E-2</v>
      </c>
      <c r="N28" s="53">
        <f t="shared" si="27"/>
        <v>1.8748192080564552E-2</v>
      </c>
      <c r="O28" s="53">
        <f t="shared" si="26"/>
        <v>-2.337873030243609E-2</v>
      </c>
      <c r="P28" s="53">
        <f t="shared" si="26"/>
        <v>2.2121049817392269E-2</v>
      </c>
      <c r="Q28" s="53">
        <f t="shared" si="26"/>
        <v>7.3949793013452503E-3</v>
      </c>
      <c r="R28" s="53">
        <f t="shared" si="26"/>
        <v>3.7383540999644804E-3</v>
      </c>
      <c r="S28" s="53">
        <f t="shared" si="26"/>
        <v>1.2890296734292539E-3</v>
      </c>
      <c r="T28" s="53">
        <f t="shared" si="26"/>
        <v>1.2893448720565637E-3</v>
      </c>
      <c r="U28" s="53">
        <f t="shared" si="26"/>
        <v>1.2896570334819391E-3</v>
      </c>
      <c r="V28" s="53">
        <f t="shared" si="26"/>
        <v>2.8996614348764105E-4</v>
      </c>
      <c r="W28" s="53">
        <f t="shared" si="26"/>
        <v>2.9027218797039733E-4</v>
      </c>
      <c r="X28" s="53">
        <f t="shared" si="26"/>
        <v>2.9057515294328429E-4</v>
      </c>
      <c r="Y28" s="53">
        <f t="shared" si="26"/>
        <v>2.9087502453861713E-4</v>
      </c>
      <c r="Z28" s="53">
        <f t="shared" si="26"/>
        <v>2.9117178900750496E-4</v>
      </c>
      <c r="AA28" s="53">
        <f t="shared" si="26"/>
        <v>2.9146543272384751E-4</v>
      </c>
      <c r="AB28" s="53"/>
      <c r="AC28" s="151"/>
      <c r="AD28" s="21"/>
      <c r="AE28" s="21"/>
      <c r="AF28" s="21"/>
      <c r="AG28" s="21"/>
      <c r="AH28" s="21"/>
      <c r="AI28" s="21"/>
      <c r="AJ28" s="21"/>
      <c r="AK28" s="21"/>
      <c r="AL28" s="21"/>
    </row>
    <row r="29" spans="2:38">
      <c r="B29" s="50" t="str">
        <f t="shared" si="22"/>
        <v>South America inc Colombia</v>
      </c>
      <c r="C29" s="25"/>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151"/>
      <c r="AD29" s="21"/>
      <c r="AE29" s="21"/>
      <c r="AF29" s="21"/>
      <c r="AG29" s="21"/>
      <c r="AH29" s="21"/>
      <c r="AI29" s="21"/>
      <c r="AJ29" s="21"/>
      <c r="AK29" s="21"/>
      <c r="AL29" s="21"/>
    </row>
    <row r="30" spans="2:38">
      <c r="B30" s="48"/>
      <c r="C30" s="25"/>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151" t="s">
        <v>1823</v>
      </c>
      <c r="AD30" s="21"/>
      <c r="AE30" s="21"/>
      <c r="AF30" s="21"/>
      <c r="AG30" s="21"/>
      <c r="AH30" s="21"/>
      <c r="AI30" s="21"/>
      <c r="AJ30" s="21"/>
      <c r="AK30" s="21"/>
      <c r="AL30" s="21"/>
    </row>
    <row r="31" spans="2:38">
      <c r="B31" s="48" t="s">
        <v>1932</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151"/>
      <c r="AD31" s="21"/>
      <c r="AE31" s="21"/>
      <c r="AF31" s="21"/>
      <c r="AG31" s="21"/>
      <c r="AH31" s="21"/>
      <c r="AI31" s="21"/>
      <c r="AJ31" s="21"/>
      <c r="AK31" s="21"/>
      <c r="AL31" s="21"/>
    </row>
    <row r="32" spans="2:38">
      <c r="B32" s="50" t="str">
        <f t="shared" ref="B32:B38" si="28">B23</f>
        <v>Bolivia</v>
      </c>
      <c r="C32" s="52">
        <f t="shared" ref="C32:E33" si="29">C41/C50</f>
        <v>1027.2175</v>
      </c>
      <c r="D32" s="52">
        <f t="shared" si="29"/>
        <v>955.19714285714292</v>
      </c>
      <c r="E32" s="52">
        <f t="shared" si="29"/>
        <v>1183.1085714285716</v>
      </c>
      <c r="F32" s="52">
        <f>F14*F5</f>
        <v>2480.9766960000002</v>
      </c>
      <c r="G32" s="52">
        <f>G14*G5</f>
        <v>2553.3200000000002</v>
      </c>
      <c r="H32" s="52">
        <f t="shared" ref="H32:K33" si="30">H41/H50</f>
        <v>3017.1428571428573</v>
      </c>
      <c r="I32" s="52">
        <f t="shared" si="30"/>
        <v>4114.7058823529405</v>
      </c>
      <c r="J32" s="52">
        <f t="shared" si="30"/>
        <v>5619.4444444444443</v>
      </c>
      <c r="K32" s="52">
        <f t="shared" si="30"/>
        <v>6735.0308123249297</v>
      </c>
      <c r="L32" s="52">
        <f t="shared" ref="L32:N33" si="31">L41/L50</f>
        <v>7677.1428571428578</v>
      </c>
      <c r="M32" s="52">
        <f t="shared" si="31"/>
        <v>8241.1924119241194</v>
      </c>
      <c r="N32" s="52">
        <f t="shared" si="31"/>
        <v>8994.2693409742133</v>
      </c>
      <c r="O32" s="52">
        <f>O41/O50</f>
        <v>8710.8108108108117</v>
      </c>
      <c r="P32" s="52">
        <f>P41/P50</f>
        <v>8436.3459459459464</v>
      </c>
      <c r="Q32" s="52">
        <f t="shared" ref="Q32:S33" si="32">Q14*Q5</f>
        <v>8612.1856949994526</v>
      </c>
      <c r="R32" s="52">
        <f t="shared" si="32"/>
        <v>8732.3778631343266</v>
      </c>
      <c r="S32" s="52">
        <f t="shared" si="32"/>
        <v>8807.3221100529518</v>
      </c>
      <c r="T32" s="52">
        <f t="shared" ref="T32:AC33" si="33">T14*T5</f>
        <v>8882.8940529404681</v>
      </c>
      <c r="U32" s="52">
        <f t="shared" si="33"/>
        <v>8959.0988541314418</v>
      </c>
      <c r="V32" s="52">
        <f t="shared" si="33"/>
        <v>9024.0523208238938</v>
      </c>
      <c r="W32" s="52">
        <f t="shared" si="33"/>
        <v>9089.4767001498658</v>
      </c>
      <c r="X32" s="52">
        <f t="shared" si="33"/>
        <v>9155.3754062259522</v>
      </c>
      <c r="Y32" s="52">
        <f t="shared" si="33"/>
        <v>9221.7518779210895</v>
      </c>
      <c r="Z32" s="52">
        <f t="shared" si="33"/>
        <v>9288.6095790360177</v>
      </c>
      <c r="AA32" s="52">
        <f t="shared" ref="AA32" si="34">AA14*AA5</f>
        <v>9355.9519984840281</v>
      </c>
      <c r="AB32" s="52"/>
      <c r="AC32" s="153" t="e">
        <f t="shared" si="33"/>
        <v>#REF!</v>
      </c>
      <c r="AD32" s="21"/>
      <c r="AE32" s="21"/>
      <c r="AF32" s="21"/>
      <c r="AG32" s="21"/>
      <c r="AH32" s="21"/>
      <c r="AI32" s="21"/>
      <c r="AJ32" s="21"/>
      <c r="AK32" s="21"/>
      <c r="AL32" s="21"/>
    </row>
    <row r="33" spans="2:38">
      <c r="B33" s="50" t="str">
        <f t="shared" si="28"/>
        <v>Paraguay</v>
      </c>
      <c r="C33" s="52">
        <f t="shared" si="29"/>
        <v>1000.1981818181818</v>
      </c>
      <c r="D33" s="52">
        <f t="shared" si="29"/>
        <v>1141.6169811320754</v>
      </c>
      <c r="E33" s="52">
        <f t="shared" si="29"/>
        <v>1216.9976744186047</v>
      </c>
      <c r="F33" s="52">
        <f>F15*F6</f>
        <v>1574.564288</v>
      </c>
      <c r="G33" s="52">
        <f>G15*G6</f>
        <v>3134.43</v>
      </c>
      <c r="H33" s="52">
        <f t="shared" si="30"/>
        <v>4134</v>
      </c>
      <c r="I33" s="52">
        <f t="shared" si="30"/>
        <v>4996.363636363636</v>
      </c>
      <c r="J33" s="52">
        <f t="shared" si="30"/>
        <v>5442.8571428571422</v>
      </c>
      <c r="K33" s="52">
        <f t="shared" si="30"/>
        <v>5933.4879310344832</v>
      </c>
      <c r="L33" s="52">
        <f t="shared" si="31"/>
        <v>6263.4315424610058</v>
      </c>
      <c r="M33" s="52">
        <f t="shared" si="31"/>
        <v>6844.0207972270373</v>
      </c>
      <c r="N33" s="52">
        <f t="shared" si="31"/>
        <v>6811.418685121108</v>
      </c>
      <c r="O33" s="52">
        <f>O42/O51</f>
        <v>6831.5789473684217</v>
      </c>
      <c r="P33" s="52">
        <f>P42/P51</f>
        <v>7155.5872727272717</v>
      </c>
      <c r="Q33" s="52">
        <f t="shared" si="32"/>
        <v>7261.3876136538984</v>
      </c>
      <c r="R33" s="52">
        <f t="shared" si="32"/>
        <v>7357.6862781999398</v>
      </c>
      <c r="S33" s="52">
        <f t="shared" si="32"/>
        <v>7455.2545980485856</v>
      </c>
      <c r="T33" s="52">
        <f t="shared" si="33"/>
        <v>7554.1092289364015</v>
      </c>
      <c r="U33" s="52">
        <f t="shared" si="33"/>
        <v>7654.2670441378486</v>
      </c>
      <c r="V33" s="52">
        <f t="shared" si="33"/>
        <v>7748.0318154285378</v>
      </c>
      <c r="W33" s="52">
        <f t="shared" si="33"/>
        <v>7842.945205167538</v>
      </c>
      <c r="X33" s="52">
        <f t="shared" si="33"/>
        <v>7939.0212839308406</v>
      </c>
      <c r="Y33" s="52">
        <f t="shared" si="33"/>
        <v>8036.2742946589951</v>
      </c>
      <c r="Z33" s="52">
        <f t="shared" si="33"/>
        <v>8134.7186547685687</v>
      </c>
      <c r="AA33" s="52">
        <f t="shared" ref="AA33" si="35">AA15*AA6</f>
        <v>8234.368958289484</v>
      </c>
      <c r="AB33" s="52"/>
      <c r="AC33" s="153" t="e">
        <f t="shared" si="33"/>
        <v>#REF!</v>
      </c>
      <c r="AD33" s="21"/>
      <c r="AE33" s="21"/>
      <c r="AF33" s="21"/>
      <c r="AG33" s="21"/>
      <c r="AH33" s="21"/>
      <c r="AI33" s="21"/>
      <c r="AJ33" s="21"/>
      <c r="AK33" s="21"/>
      <c r="AL33" s="21"/>
    </row>
    <row r="34" spans="2:38">
      <c r="B34" s="50" t="str">
        <f>SA!B25</f>
        <v>Colombia</v>
      </c>
      <c r="C34" s="52"/>
      <c r="D34" s="52"/>
      <c r="E34" s="52"/>
      <c r="F34" s="52"/>
      <c r="G34" s="52">
        <f>Colombia!C8</f>
        <v>29401</v>
      </c>
      <c r="H34" s="52">
        <f>Colombia!D8</f>
        <v>33477</v>
      </c>
      <c r="I34" s="52">
        <f>Colombia!E8</f>
        <v>40667</v>
      </c>
      <c r="J34" s="52">
        <f>Colombia!F8</f>
        <v>40505</v>
      </c>
      <c r="K34" s="52">
        <f>Colombia!G8</f>
        <v>43711.423000000003</v>
      </c>
      <c r="L34" s="52">
        <f>Colombia!H8</f>
        <v>45064</v>
      </c>
      <c r="M34" s="52">
        <f>Colombia!I8</f>
        <v>47801</v>
      </c>
      <c r="N34" s="52">
        <f>Colombia!J8</f>
        <v>47851.7</v>
      </c>
      <c r="O34" s="52">
        <f>Colombia!K8</f>
        <v>50631</v>
      </c>
      <c r="P34" s="52">
        <f>Colombia!L8</f>
        <v>50796</v>
      </c>
      <c r="Q34" s="52">
        <f>Colombia!M8</f>
        <v>51058.90744523918</v>
      </c>
      <c r="R34" s="52">
        <f>Colombia!N8</f>
        <v>51318.27301383554</v>
      </c>
      <c r="S34" s="52">
        <f>Colombia!O8</f>
        <v>51573.931295314607</v>
      </c>
      <c r="T34" s="52">
        <f>Colombia!P8</f>
        <v>51825.712713809931</v>
      </c>
      <c r="U34" s="52">
        <f>Colombia!Q8</f>
        <v>52073.443440318675</v>
      </c>
      <c r="V34" s="52">
        <f>Colombia!R8</f>
        <v>52316.945303262073</v>
      </c>
      <c r="W34" s="52">
        <f>Colombia!S8</f>
        <v>52556.035697319698</v>
      </c>
      <c r="X34" s="52">
        <f>Colombia!T8</f>
        <v>52790.527490505818</v>
      </c>
      <c r="Y34" s="52">
        <f>Colombia!U8</f>
        <v>53020.228929455632</v>
      </c>
      <c r="Z34" s="52">
        <f>Colombia!V8</f>
        <v>53244.94354288857</v>
      </c>
      <c r="AA34" s="52">
        <f>Colombia!W8</f>
        <v>53464.47004321537</v>
      </c>
      <c r="AB34" s="52"/>
      <c r="AC34" s="2"/>
      <c r="AD34" s="21"/>
      <c r="AE34" s="144"/>
      <c r="AF34" s="21"/>
      <c r="AG34" s="21"/>
      <c r="AH34" s="21"/>
      <c r="AI34" s="21"/>
      <c r="AJ34" s="21"/>
      <c r="AK34" s="21"/>
      <c r="AL34" s="21"/>
    </row>
    <row r="35" spans="2:38">
      <c r="B35" s="50" t="str">
        <f t="shared" si="28"/>
        <v>xx</v>
      </c>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21"/>
      <c r="AD35" s="21"/>
      <c r="AE35" s="21"/>
      <c r="AF35" s="21"/>
      <c r="AG35" s="21"/>
      <c r="AH35" s="21"/>
      <c r="AI35" s="21"/>
      <c r="AJ35" s="21"/>
      <c r="AK35" s="21"/>
      <c r="AL35" s="21"/>
    </row>
    <row r="36" spans="2:38">
      <c r="B36" s="74" t="str">
        <f t="shared" si="28"/>
        <v>xxx</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52"/>
      <c r="AC36" s="21"/>
      <c r="AD36" s="21"/>
      <c r="AE36" s="21"/>
      <c r="AF36" s="21"/>
      <c r="AG36" s="21"/>
      <c r="AH36" s="21"/>
      <c r="AI36" s="21"/>
      <c r="AJ36" s="21"/>
      <c r="AK36" s="21"/>
      <c r="AL36" s="21"/>
    </row>
    <row r="37" spans="2:38">
      <c r="B37" s="50" t="str">
        <f t="shared" si="28"/>
        <v>South America ex Colombia</v>
      </c>
      <c r="C37" s="52">
        <f>SUM(C32:C33)</f>
        <v>2027.4156818181818</v>
      </c>
      <c r="D37" s="52">
        <f t="shared" ref="D37:O37" si="36">SUM(D32:D33)</f>
        <v>2096.8141239892184</v>
      </c>
      <c r="E37" s="52">
        <f t="shared" si="36"/>
        <v>2400.1062458471761</v>
      </c>
      <c r="F37" s="52">
        <f t="shared" si="36"/>
        <v>4055.5409840000002</v>
      </c>
      <c r="G37" s="52">
        <f>SUM(G32:G33)</f>
        <v>5687.75</v>
      </c>
      <c r="H37" s="52">
        <f t="shared" si="36"/>
        <v>7151.1428571428569</v>
      </c>
      <c r="I37" s="52">
        <f t="shared" si="36"/>
        <v>9111.0695187165766</v>
      </c>
      <c r="J37" s="52">
        <f>SUM(J32:J33)</f>
        <v>11062.301587301587</v>
      </c>
      <c r="K37" s="52">
        <f>SUM(K32:K33)</f>
        <v>12668.518743359413</v>
      </c>
      <c r="L37" s="52">
        <f>SUM(L32:L33)</f>
        <v>13940.574399603864</v>
      </c>
      <c r="M37" s="52">
        <f t="shared" si="36"/>
        <v>15085.213209151156</v>
      </c>
      <c r="N37" s="52">
        <f t="shared" si="36"/>
        <v>15805.688026095322</v>
      </c>
      <c r="O37" s="52">
        <f t="shared" si="36"/>
        <v>15542.389758179233</v>
      </c>
      <c r="P37" s="52">
        <f t="shared" ref="P37:U37" si="37">SUM(P32:P33)</f>
        <v>15591.933218673217</v>
      </c>
      <c r="Q37" s="52">
        <f t="shared" si="37"/>
        <v>15873.573308653351</v>
      </c>
      <c r="R37" s="52">
        <f t="shared" si="37"/>
        <v>16090.064141334267</v>
      </c>
      <c r="S37" s="52">
        <f t="shared" si="37"/>
        <v>16262.576708101536</v>
      </c>
      <c r="T37" s="52">
        <f t="shared" si="37"/>
        <v>16437.00328187687</v>
      </c>
      <c r="U37" s="52">
        <f t="shared" si="37"/>
        <v>16613.36589826929</v>
      </c>
      <c r="V37" s="52">
        <f t="shared" ref="V37:AA37" si="38">SUM(V32:V33)</f>
        <v>16772.08413625243</v>
      </c>
      <c r="W37" s="52">
        <f t="shared" si="38"/>
        <v>16932.421905317402</v>
      </c>
      <c r="X37" s="52">
        <f t="shared" si="38"/>
        <v>17094.396690156791</v>
      </c>
      <c r="Y37" s="52">
        <f t="shared" si="38"/>
        <v>17258.026172580085</v>
      </c>
      <c r="Z37" s="52">
        <f t="shared" si="38"/>
        <v>17423.328233804586</v>
      </c>
      <c r="AA37" s="52">
        <f t="shared" si="38"/>
        <v>17590.32095677351</v>
      </c>
      <c r="AB37" s="52"/>
      <c r="AC37" s="152" t="e">
        <f>SUM(AC32:AC36)</f>
        <v>#REF!</v>
      </c>
      <c r="AD37" s="52"/>
      <c r="AE37" s="52"/>
      <c r="AF37" s="21"/>
      <c r="AG37" s="21"/>
      <c r="AH37" s="21"/>
      <c r="AI37" s="21"/>
      <c r="AJ37" s="21"/>
      <c r="AK37" s="21"/>
      <c r="AL37" s="21"/>
    </row>
    <row r="38" spans="2:38">
      <c r="B38" s="50" t="str">
        <f t="shared" si="28"/>
        <v>South America inc Colombia</v>
      </c>
      <c r="C38" s="52">
        <f>SUM(C32:C34)</f>
        <v>2027.4156818181818</v>
      </c>
      <c r="D38" s="52">
        <f t="shared" ref="D38:O38" si="39">SUM(D32:D34)</f>
        <v>2096.8141239892184</v>
      </c>
      <c r="E38" s="52">
        <f t="shared" si="39"/>
        <v>2400.1062458471761</v>
      </c>
      <c r="F38" s="52">
        <f t="shared" si="39"/>
        <v>4055.5409840000002</v>
      </c>
      <c r="G38" s="52">
        <f>SUM(G32:G34)</f>
        <v>35088.75</v>
      </c>
      <c r="H38" s="52">
        <f t="shared" si="39"/>
        <v>40628.142857142855</v>
      </c>
      <c r="I38" s="52">
        <f t="shared" si="39"/>
        <v>49778.069518716577</v>
      </c>
      <c r="J38" s="52">
        <f>SUM(J32:J34)</f>
        <v>51567.301587301583</v>
      </c>
      <c r="K38" s="52">
        <f>SUM(K32:K34)</f>
        <v>56379.941743359414</v>
      </c>
      <c r="L38" s="52">
        <f>SUM(L32:L34)</f>
        <v>59004.574399603865</v>
      </c>
      <c r="M38" s="52">
        <f t="shared" si="39"/>
        <v>62886.213209151159</v>
      </c>
      <c r="N38" s="52">
        <f t="shared" si="39"/>
        <v>63657.388026095316</v>
      </c>
      <c r="O38" s="52">
        <f t="shared" si="39"/>
        <v>66173.389758179226</v>
      </c>
      <c r="P38" s="52">
        <f t="shared" ref="P38:U38" si="40">SUM(P32:P34)</f>
        <v>66387.933218673221</v>
      </c>
      <c r="Q38" s="52">
        <f t="shared" si="40"/>
        <v>66932.480753892538</v>
      </c>
      <c r="R38" s="52">
        <f t="shared" si="40"/>
        <v>67408.337155169807</v>
      </c>
      <c r="S38" s="52">
        <f t="shared" si="40"/>
        <v>67836.508003416151</v>
      </c>
      <c r="T38" s="52">
        <f t="shared" si="40"/>
        <v>68262.715995686798</v>
      </c>
      <c r="U38" s="52">
        <f t="shared" si="40"/>
        <v>68686.809338587962</v>
      </c>
      <c r="V38" s="52">
        <f t="shared" ref="V38:AA38" si="41">SUM(V32:V34)</f>
        <v>69089.029439514503</v>
      </c>
      <c r="W38" s="52">
        <f t="shared" si="41"/>
        <v>69488.457602637092</v>
      </c>
      <c r="X38" s="52">
        <f t="shared" si="41"/>
        <v>69884.924180662609</v>
      </c>
      <c r="Y38" s="52">
        <f t="shared" si="41"/>
        <v>70278.25510203572</v>
      </c>
      <c r="Z38" s="52">
        <f t="shared" si="41"/>
        <v>70668.27177669316</v>
      </c>
      <c r="AA38" s="52">
        <f t="shared" si="41"/>
        <v>71054.79099998888</v>
      </c>
      <c r="AB38" s="52"/>
      <c r="AC38" s="152"/>
      <c r="AD38" s="52"/>
      <c r="AE38" s="52"/>
      <c r="AF38" s="21"/>
      <c r="AG38" s="21"/>
      <c r="AH38" s="21"/>
      <c r="AI38" s="21"/>
      <c r="AJ38" s="21"/>
      <c r="AK38" s="21"/>
      <c r="AL38" s="21"/>
    </row>
    <row r="39" spans="2:38">
      <c r="B39" s="50"/>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1"/>
      <c r="AD39" s="21"/>
      <c r="AE39" s="21"/>
      <c r="AF39" s="21"/>
      <c r="AG39" s="21"/>
      <c r="AH39" s="21"/>
      <c r="AI39" s="21"/>
      <c r="AJ39" s="21"/>
      <c r="AK39" s="21"/>
      <c r="AL39" s="21"/>
    </row>
    <row r="40" spans="2:38">
      <c r="B40" s="48" t="s">
        <v>365</v>
      </c>
      <c r="C40" s="25"/>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1"/>
      <c r="AD40" s="21"/>
      <c r="AE40" s="21"/>
      <c r="AF40" s="21"/>
      <c r="AG40" s="21"/>
      <c r="AH40" s="21"/>
      <c r="AI40" s="21"/>
      <c r="AJ40" s="21"/>
      <c r="AK40" s="21"/>
      <c r="AL40" s="21"/>
    </row>
    <row r="41" spans="2:38">
      <c r="B41" s="50" t="str">
        <f t="shared" ref="B41:B47" si="42">B32</f>
        <v>Bolivia</v>
      </c>
      <c r="C41" s="51">
        <f>Quarts!F129</f>
        <v>410.887</v>
      </c>
      <c r="D41" s="51">
        <f>Quarts!J129</f>
        <v>334.31900000000002</v>
      </c>
      <c r="E41" s="51">
        <f>Quarts!N129</f>
        <v>414.08800000000002</v>
      </c>
      <c r="F41" s="51">
        <f>Quarts!R129</f>
        <v>645.41800000000001</v>
      </c>
      <c r="G41" s="51">
        <f>Quarts!V129</f>
        <v>936.37400000000002</v>
      </c>
      <c r="H41" s="51">
        <v>1056</v>
      </c>
      <c r="I41" s="51">
        <v>1399</v>
      </c>
      <c r="J41" s="51">
        <v>2023</v>
      </c>
      <c r="K41" s="51">
        <f>Quarts!AP129</f>
        <v>2404.4059999999999</v>
      </c>
      <c r="L41" s="51">
        <f>Quarts!AU129</f>
        <v>2687</v>
      </c>
      <c r="M41" s="51">
        <f>Quarts!AZ129</f>
        <v>3041</v>
      </c>
      <c r="N41" s="51">
        <v>3139</v>
      </c>
      <c r="O41" s="51">
        <v>3223</v>
      </c>
      <c r="P41" s="51">
        <v>3121.4479999999999</v>
      </c>
      <c r="Q41" s="52">
        <f t="shared" ref="Q41:S42" si="43">Q32*Q50</f>
        <v>3186.5087071497974</v>
      </c>
      <c r="R41" s="52">
        <f t="shared" si="43"/>
        <v>3230.979809359701</v>
      </c>
      <c r="S41" s="52">
        <f t="shared" si="43"/>
        <v>3258.709180719592</v>
      </c>
      <c r="T41" s="52">
        <f t="shared" ref="T41:Z42" si="44">T32*T50</f>
        <v>3286.6707995879733</v>
      </c>
      <c r="U41" s="52">
        <f t="shared" si="44"/>
        <v>3314.8665760286335</v>
      </c>
      <c r="V41" s="52">
        <f t="shared" si="44"/>
        <v>3338.8993587048408</v>
      </c>
      <c r="W41" s="52">
        <f t="shared" si="44"/>
        <v>3363.1063790554504</v>
      </c>
      <c r="X41" s="52">
        <f t="shared" si="44"/>
        <v>3387.4889003036023</v>
      </c>
      <c r="Y41" s="52">
        <f t="shared" si="44"/>
        <v>3412.0481948308029</v>
      </c>
      <c r="Z41" s="52">
        <f t="shared" si="44"/>
        <v>3436.7855442433265</v>
      </c>
      <c r="AA41" s="52">
        <f t="shared" ref="AA41" si="45">AA32*AA50</f>
        <v>3461.7022394390901</v>
      </c>
      <c r="AB41" s="52"/>
      <c r="AC41" s="21"/>
      <c r="AD41" s="21"/>
      <c r="AE41" s="21"/>
      <c r="AF41" s="21"/>
      <c r="AG41" s="21"/>
      <c r="AH41" s="21"/>
      <c r="AI41" s="21"/>
      <c r="AJ41" s="21"/>
      <c r="AK41" s="21"/>
      <c r="AL41" s="21"/>
    </row>
    <row r="42" spans="2:38">
      <c r="B42" s="50" t="str">
        <f t="shared" si="42"/>
        <v>Paraguay</v>
      </c>
      <c r="C42" s="51">
        <f>Quarts!F130</f>
        <v>550.10900000000004</v>
      </c>
      <c r="D42" s="51">
        <f>Quarts!J130</f>
        <v>605.05700000000002</v>
      </c>
      <c r="E42" s="51">
        <f>Quarts!N130</f>
        <v>523.30899999999997</v>
      </c>
      <c r="F42" s="51">
        <f>Quarts!R130</f>
        <v>692.32100000000003</v>
      </c>
      <c r="G42" s="51">
        <f>Quarts!V130</f>
        <v>1273.3150000000001</v>
      </c>
      <c r="H42" s="51">
        <v>2067</v>
      </c>
      <c r="I42" s="51">
        <v>2748</v>
      </c>
      <c r="J42" s="51">
        <v>3048</v>
      </c>
      <c r="K42" s="51">
        <f>Quarts!AP130</f>
        <v>3441.4229999999998</v>
      </c>
      <c r="L42" s="51">
        <f>Quarts!AU130</f>
        <v>3614</v>
      </c>
      <c r="M42" s="51">
        <f>Quarts!AZ130</f>
        <v>3949</v>
      </c>
      <c r="N42" s="51">
        <v>3937</v>
      </c>
      <c r="O42" s="51">
        <v>3894</v>
      </c>
      <c r="P42" s="51">
        <v>3935.5729999999999</v>
      </c>
      <c r="Q42" s="52">
        <f t="shared" si="43"/>
        <v>3775.9215591000275</v>
      </c>
      <c r="R42" s="52">
        <f t="shared" si="43"/>
        <v>3678.8431390999699</v>
      </c>
      <c r="S42" s="52">
        <f t="shared" si="43"/>
        <v>3727.6272990242928</v>
      </c>
      <c r="T42" s="52">
        <f t="shared" si="44"/>
        <v>3777.0546144682007</v>
      </c>
      <c r="U42" s="52">
        <f t="shared" si="44"/>
        <v>3827.1335220689243</v>
      </c>
      <c r="V42" s="52">
        <f t="shared" si="44"/>
        <v>3874.0159077142689</v>
      </c>
      <c r="W42" s="52">
        <f t="shared" si="44"/>
        <v>3921.472602583769</v>
      </c>
      <c r="X42" s="52">
        <f t="shared" si="44"/>
        <v>3969.5106419654203</v>
      </c>
      <c r="Y42" s="52">
        <f t="shared" si="44"/>
        <v>4018.1371473294976</v>
      </c>
      <c r="Z42" s="52">
        <f t="shared" si="44"/>
        <v>4067.3593273842844</v>
      </c>
      <c r="AA42" s="52">
        <f t="shared" ref="AA42" si="46">AA33*AA51</f>
        <v>4117.184479144742</v>
      </c>
      <c r="AB42" s="52"/>
      <c r="AC42" s="21"/>
      <c r="AD42" s="21"/>
      <c r="AE42" s="21"/>
      <c r="AF42" s="21"/>
      <c r="AG42" s="21"/>
      <c r="AH42" s="21"/>
      <c r="AI42" s="21"/>
      <c r="AJ42" s="21"/>
      <c r="AK42" s="21"/>
      <c r="AL42" s="21"/>
    </row>
    <row r="43" spans="2:38">
      <c r="B43" s="50" t="str">
        <f>SA!B34</f>
        <v>Colombia</v>
      </c>
      <c r="C43" s="51"/>
      <c r="D43" s="51"/>
      <c r="E43" s="51"/>
      <c r="F43" s="51"/>
      <c r="G43" s="51">
        <f>Colombia!C7</f>
        <v>2120</v>
      </c>
      <c r="H43" s="52">
        <f>Colombia!D7</f>
        <v>2770</v>
      </c>
      <c r="I43" s="52">
        <f>Colombia!E7</f>
        <v>3314</v>
      </c>
      <c r="J43" s="52">
        <f>Colombia!F7</f>
        <v>3744</v>
      </c>
      <c r="K43" s="52">
        <f>Colombia!G7</f>
        <v>4293.4229999999998</v>
      </c>
      <c r="L43" s="52">
        <f>Colombia!H7</f>
        <v>4854</v>
      </c>
      <c r="M43" s="52">
        <f>Colombia!I7</f>
        <v>5726</v>
      </c>
      <c r="N43" s="52">
        <f>Colombia!J7</f>
        <v>6753</v>
      </c>
      <c r="O43" s="52">
        <f>Colombia!K7</f>
        <v>8012</v>
      </c>
      <c r="P43" s="52">
        <f>Colombia!L7</f>
        <v>8926</v>
      </c>
      <c r="Q43" s="52">
        <f>Colombia!M7</f>
        <v>7764</v>
      </c>
      <c r="R43" s="52">
        <f>Colombia!N7</f>
        <v>7954.332317144509</v>
      </c>
      <c r="S43" s="52">
        <f>Colombia!O7</f>
        <v>8251.8290072503369</v>
      </c>
      <c r="T43" s="52">
        <f>Colombia!P7</f>
        <v>8551.2425977786388</v>
      </c>
      <c r="U43" s="52">
        <f>Colombia!Q7</f>
        <v>8852.4853848541752</v>
      </c>
      <c r="V43" s="52">
        <f>Colombia!R7</f>
        <v>9155.4654280708637</v>
      </c>
      <c r="W43" s="52">
        <f>Colombia!S7</f>
        <v>9460.0864255175475</v>
      </c>
      <c r="X43" s="52">
        <f>Colombia!T7</f>
        <v>9766.2475857435784</v>
      </c>
      <c r="Y43" s="52">
        <f>Colombia!U7</f>
        <v>10073.843496596572</v>
      </c>
      <c r="Z43" s="52">
        <f>Colombia!V7</f>
        <v>10382.763990863274</v>
      </c>
      <c r="AA43" s="52">
        <f>Colombia!W7</f>
        <v>10692.894008643076</v>
      </c>
      <c r="AB43" s="52"/>
      <c r="AC43" s="21"/>
      <c r="AD43" s="21"/>
      <c r="AE43" s="21"/>
      <c r="AF43" s="21"/>
      <c r="AG43" s="21"/>
      <c r="AH43" s="21"/>
      <c r="AI43" s="21"/>
      <c r="AJ43" s="21"/>
      <c r="AK43" s="21"/>
      <c r="AL43" s="21"/>
    </row>
    <row r="44" spans="2:38">
      <c r="B44" s="50" t="str">
        <f t="shared" si="42"/>
        <v>xx</v>
      </c>
      <c r="C44" s="51"/>
      <c r="D44" s="51"/>
      <c r="E44" s="51"/>
      <c r="F44" s="51"/>
      <c r="G44" s="52"/>
      <c r="H44" s="52"/>
      <c r="I44" s="52"/>
      <c r="J44" s="52"/>
      <c r="K44" s="52"/>
      <c r="L44" s="52"/>
      <c r="M44" s="52"/>
      <c r="N44" s="52"/>
      <c r="O44" s="52"/>
      <c r="P44" s="52"/>
      <c r="Q44" s="52"/>
      <c r="R44" s="52"/>
      <c r="S44" s="52"/>
      <c r="T44" s="52"/>
      <c r="U44" s="52"/>
      <c r="V44" s="52"/>
      <c r="W44" s="52"/>
      <c r="X44" s="52"/>
      <c r="Y44" s="52"/>
      <c r="Z44" s="52"/>
      <c r="AA44" s="52"/>
      <c r="AB44" s="52"/>
      <c r="AC44" s="21"/>
      <c r="AD44" s="21"/>
      <c r="AE44" s="21"/>
      <c r="AF44" s="21"/>
      <c r="AG44" s="21"/>
      <c r="AH44" s="21"/>
      <c r="AI44" s="21"/>
      <c r="AJ44" s="21"/>
      <c r="AK44" s="21"/>
      <c r="AL44" s="21"/>
    </row>
    <row r="45" spans="2:38">
      <c r="B45" s="74" t="str">
        <f t="shared" si="42"/>
        <v>xxx</v>
      </c>
      <c r="C45" s="58"/>
      <c r="D45" s="58"/>
      <c r="E45" s="58"/>
      <c r="F45" s="58"/>
      <c r="G45" s="61"/>
      <c r="H45" s="61"/>
      <c r="I45" s="61"/>
      <c r="J45" s="61"/>
      <c r="K45" s="61"/>
      <c r="L45" s="61"/>
      <c r="M45" s="61"/>
      <c r="N45" s="61"/>
      <c r="O45" s="61"/>
      <c r="P45" s="61"/>
      <c r="Q45" s="61"/>
      <c r="R45" s="61"/>
      <c r="S45" s="61"/>
      <c r="T45" s="61"/>
      <c r="U45" s="61"/>
      <c r="V45" s="61"/>
      <c r="W45" s="61"/>
      <c r="X45" s="61"/>
      <c r="Y45" s="61"/>
      <c r="Z45" s="61"/>
      <c r="AA45" s="61"/>
      <c r="AB45" s="52"/>
      <c r="AC45" s="21"/>
      <c r="AD45" s="21"/>
      <c r="AE45" s="21"/>
      <c r="AF45" s="21"/>
      <c r="AG45" s="21"/>
      <c r="AH45" s="21"/>
      <c r="AI45" s="21"/>
      <c r="AJ45" s="21"/>
      <c r="AK45" s="21"/>
      <c r="AL45" s="21"/>
    </row>
    <row r="46" spans="2:38">
      <c r="B46" s="50" t="str">
        <f t="shared" si="42"/>
        <v>South America ex Colombia</v>
      </c>
      <c r="C46" s="52">
        <f>SUM(C41:C42)</f>
        <v>960.99600000000009</v>
      </c>
      <c r="D46" s="52">
        <f t="shared" ref="D46:O46" si="47">SUM(D41:D42)</f>
        <v>939.37599999999998</v>
      </c>
      <c r="E46" s="52">
        <f t="shared" si="47"/>
        <v>937.39699999999993</v>
      </c>
      <c r="F46" s="52">
        <f>SUM(F41:F42)</f>
        <v>1337.739</v>
      </c>
      <c r="G46" s="52">
        <f>SUM(G41:G42)</f>
        <v>2209.6890000000003</v>
      </c>
      <c r="H46" s="52">
        <f>SUM(H41:H42)</f>
        <v>3123</v>
      </c>
      <c r="I46" s="52">
        <f t="shared" si="47"/>
        <v>4147</v>
      </c>
      <c r="J46" s="52">
        <f t="shared" si="47"/>
        <v>5071</v>
      </c>
      <c r="K46" s="52">
        <f t="shared" si="47"/>
        <v>5845.8289999999997</v>
      </c>
      <c r="L46" s="52">
        <f t="shared" si="47"/>
        <v>6301</v>
      </c>
      <c r="M46" s="52">
        <f t="shared" si="47"/>
        <v>6990</v>
      </c>
      <c r="N46" s="52">
        <f t="shared" si="47"/>
        <v>7076</v>
      </c>
      <c r="O46" s="52">
        <f t="shared" si="47"/>
        <v>7117</v>
      </c>
      <c r="P46" s="52">
        <f t="shared" ref="P46:U46" si="48">SUM(P41:P42)</f>
        <v>7057.0209999999997</v>
      </c>
      <c r="Q46" s="52">
        <f t="shared" si="48"/>
        <v>6962.4302662498249</v>
      </c>
      <c r="R46" s="52">
        <f t="shared" si="48"/>
        <v>6909.8229484596704</v>
      </c>
      <c r="S46" s="52">
        <f t="shared" si="48"/>
        <v>6986.3364797438844</v>
      </c>
      <c r="T46" s="52">
        <f t="shared" si="48"/>
        <v>7063.7254140561745</v>
      </c>
      <c r="U46" s="52">
        <f t="shared" si="48"/>
        <v>7142.0000980975583</v>
      </c>
      <c r="V46" s="52">
        <f t="shared" ref="V46:AA46" si="49">SUM(V41:V42)</f>
        <v>7212.9152664191097</v>
      </c>
      <c r="W46" s="52">
        <f t="shared" si="49"/>
        <v>7284.5789816392189</v>
      </c>
      <c r="X46" s="52">
        <f t="shared" si="49"/>
        <v>7356.9995422690226</v>
      </c>
      <c r="Y46" s="52">
        <f t="shared" si="49"/>
        <v>7430.1853421603009</v>
      </c>
      <c r="Z46" s="52">
        <f t="shared" si="49"/>
        <v>7504.1448716276109</v>
      </c>
      <c r="AA46" s="52">
        <f t="shared" si="49"/>
        <v>7578.8867185838317</v>
      </c>
      <c r="AB46" s="52"/>
      <c r="AC46" s="52"/>
      <c r="AD46" s="52"/>
      <c r="AE46" s="52"/>
      <c r="AF46" s="21"/>
      <c r="AG46" s="21"/>
      <c r="AH46" s="21"/>
      <c r="AI46" s="21"/>
      <c r="AJ46" s="21"/>
      <c r="AK46" s="21"/>
      <c r="AL46" s="21"/>
    </row>
    <row r="47" spans="2:38">
      <c r="B47" s="50" t="str">
        <f t="shared" si="42"/>
        <v>South America inc Colombia</v>
      </c>
      <c r="C47" s="52">
        <f>SUM(C41:C43)</f>
        <v>960.99600000000009</v>
      </c>
      <c r="D47" s="52">
        <f t="shared" ref="D47:O47" si="50">SUM(D41:D43)</f>
        <v>939.37599999999998</v>
      </c>
      <c r="E47" s="52">
        <f t="shared" si="50"/>
        <v>937.39699999999993</v>
      </c>
      <c r="F47" s="52">
        <f>SUM(F41:F43)</f>
        <v>1337.739</v>
      </c>
      <c r="G47" s="52">
        <f>SUM(G41:G43)</f>
        <v>4329.6890000000003</v>
      </c>
      <c r="H47" s="52">
        <f t="shared" si="50"/>
        <v>5893</v>
      </c>
      <c r="I47" s="52">
        <f t="shared" si="50"/>
        <v>7461</v>
      </c>
      <c r="J47" s="52">
        <f t="shared" si="50"/>
        <v>8815</v>
      </c>
      <c r="K47" s="52">
        <f t="shared" si="50"/>
        <v>10139.252</v>
      </c>
      <c r="L47" s="52">
        <f t="shared" si="50"/>
        <v>11155</v>
      </c>
      <c r="M47" s="52">
        <f t="shared" si="50"/>
        <v>12716</v>
      </c>
      <c r="N47" s="52">
        <f t="shared" si="50"/>
        <v>13829</v>
      </c>
      <c r="O47" s="52">
        <f t="shared" si="50"/>
        <v>15129</v>
      </c>
      <c r="P47" s="52">
        <f t="shared" ref="P47:U47" si="51">SUM(P41:P43)</f>
        <v>15983.021000000001</v>
      </c>
      <c r="Q47" s="52">
        <f t="shared" si="51"/>
        <v>14726.430266249825</v>
      </c>
      <c r="R47" s="52">
        <f t="shared" si="51"/>
        <v>14864.155265604179</v>
      </c>
      <c r="S47" s="52">
        <f t="shared" si="51"/>
        <v>15238.165486994221</v>
      </c>
      <c r="T47" s="52">
        <f t="shared" si="51"/>
        <v>15614.968011834813</v>
      </c>
      <c r="U47" s="52">
        <f t="shared" si="51"/>
        <v>15994.485482951734</v>
      </c>
      <c r="V47" s="52">
        <f t="shared" ref="V47:AA47" si="52">SUM(V41:V43)</f>
        <v>16368.380694489973</v>
      </c>
      <c r="W47" s="52">
        <f t="shared" si="52"/>
        <v>16744.665407156768</v>
      </c>
      <c r="X47" s="52">
        <f t="shared" si="52"/>
        <v>17123.247128012601</v>
      </c>
      <c r="Y47" s="52">
        <f t="shared" si="52"/>
        <v>17504.028838756873</v>
      </c>
      <c r="Z47" s="52">
        <f t="shared" si="52"/>
        <v>17886.908862490884</v>
      </c>
      <c r="AA47" s="52">
        <f t="shared" si="52"/>
        <v>18271.780727226906</v>
      </c>
      <c r="AB47" s="52"/>
      <c r="AC47" s="52"/>
      <c r="AD47" s="52"/>
      <c r="AE47" s="52"/>
      <c r="AF47" s="21"/>
      <c r="AG47" s="21"/>
      <c r="AH47" s="21"/>
      <c r="AI47" s="21"/>
      <c r="AJ47" s="21"/>
      <c r="AK47" s="21"/>
      <c r="AL47" s="21"/>
    </row>
    <row r="48" spans="2:38">
      <c r="B48" s="48"/>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1"/>
      <c r="AD48" s="21"/>
      <c r="AE48" s="21"/>
      <c r="AF48" s="21"/>
      <c r="AG48" s="21"/>
      <c r="AH48" s="21"/>
      <c r="AI48" s="21"/>
      <c r="AJ48" s="21"/>
      <c r="AK48" s="21"/>
      <c r="AL48" s="21"/>
    </row>
    <row r="49" spans="2:39">
      <c r="B49" s="48" t="s">
        <v>1930</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8" t="s">
        <v>1104</v>
      </c>
      <c r="AD49" s="21"/>
      <c r="AE49" s="21"/>
      <c r="AF49" s="21"/>
      <c r="AG49" s="21"/>
      <c r="AH49" s="21"/>
      <c r="AI49" s="21"/>
      <c r="AJ49" s="21"/>
      <c r="AK49" s="21"/>
      <c r="AL49" s="21"/>
    </row>
    <row r="50" spans="2:39">
      <c r="B50" s="50" t="str">
        <f t="shared" ref="B50:B56" si="53">B41</f>
        <v>Bolivia</v>
      </c>
      <c r="C50" s="54">
        <v>0.4</v>
      </c>
      <c r="D50" s="54">
        <v>0.35</v>
      </c>
      <c r="E50" s="54">
        <v>0.35</v>
      </c>
      <c r="F50" s="147">
        <f>F41/F32</f>
        <v>0.26014674020944528</v>
      </c>
      <c r="G50" s="147">
        <f>G41/G32</f>
        <v>0.36672802468942395</v>
      </c>
      <c r="H50" s="44">
        <v>0.35</v>
      </c>
      <c r="I50" s="44">
        <v>0.34</v>
      </c>
      <c r="J50" s="44">
        <v>0.36</v>
      </c>
      <c r="K50" s="44">
        <v>0.35699999999999998</v>
      </c>
      <c r="L50" s="44">
        <v>0.35</v>
      </c>
      <c r="M50" s="44">
        <v>0.36899999999999999</v>
      </c>
      <c r="N50" s="44">
        <v>0.34899999999999998</v>
      </c>
      <c r="O50" s="44">
        <v>0.37</v>
      </c>
      <c r="P50" s="47">
        <v>0.37</v>
      </c>
      <c r="Q50" s="47">
        <v>0.37</v>
      </c>
      <c r="R50" s="47">
        <v>0.37</v>
      </c>
      <c r="S50" s="47">
        <v>0.37</v>
      </c>
      <c r="T50" s="47">
        <v>0.37</v>
      </c>
      <c r="U50" s="47">
        <v>0.37</v>
      </c>
      <c r="V50" s="47">
        <v>0.37</v>
      </c>
      <c r="W50" s="47">
        <v>0.37</v>
      </c>
      <c r="X50" s="47">
        <v>0.37</v>
      </c>
      <c r="Y50" s="47">
        <v>0.37</v>
      </c>
      <c r="Z50" s="47">
        <v>0.37</v>
      </c>
      <c r="AA50" s="47">
        <v>0.37</v>
      </c>
      <c r="AB50" s="47"/>
      <c r="AC50" s="147">
        <v>0.34</v>
      </c>
      <c r="AD50" s="21"/>
      <c r="AE50" s="21"/>
      <c r="AF50" s="21"/>
      <c r="AG50" s="21"/>
      <c r="AH50" s="21"/>
      <c r="AI50" s="21"/>
      <c r="AJ50" s="21"/>
      <c r="AK50" s="21"/>
      <c r="AL50" s="21"/>
    </row>
    <row r="51" spans="2:39">
      <c r="B51" s="50" t="str">
        <f t="shared" si="53"/>
        <v>Paraguay</v>
      </c>
      <c r="C51" s="54">
        <v>0.55000000000000004</v>
      </c>
      <c r="D51" s="54">
        <v>0.53</v>
      </c>
      <c r="E51" s="54">
        <v>0.43</v>
      </c>
      <c r="F51" s="147">
        <f>F42/F33</f>
        <v>0.43969052599267389</v>
      </c>
      <c r="G51" s="147">
        <f>G42/G33</f>
        <v>0.40623494542867444</v>
      </c>
      <c r="H51" s="44">
        <v>0.5</v>
      </c>
      <c r="I51" s="44">
        <v>0.55000000000000004</v>
      </c>
      <c r="J51" s="44">
        <v>0.56000000000000005</v>
      </c>
      <c r="K51" s="44">
        <v>0.57999999999999996</v>
      </c>
      <c r="L51" s="44">
        <v>0.57699999999999996</v>
      </c>
      <c r="M51" s="44">
        <v>0.57699999999999996</v>
      </c>
      <c r="N51" s="44">
        <v>0.57799999999999996</v>
      </c>
      <c r="O51" s="44">
        <v>0.56999999999999995</v>
      </c>
      <c r="P51" s="68">
        <v>0.55000000000000004</v>
      </c>
      <c r="Q51" s="68">
        <v>0.52</v>
      </c>
      <c r="R51" s="68">
        <v>0.5</v>
      </c>
      <c r="S51" s="68">
        <v>0.5</v>
      </c>
      <c r="T51" s="68">
        <v>0.5</v>
      </c>
      <c r="U51" s="68">
        <v>0.5</v>
      </c>
      <c r="V51" s="68">
        <v>0.5</v>
      </c>
      <c r="W51" s="68">
        <v>0.5</v>
      </c>
      <c r="X51" s="68">
        <v>0.5</v>
      </c>
      <c r="Y51" s="68">
        <v>0.5</v>
      </c>
      <c r="Z51" s="68">
        <v>0.5</v>
      </c>
      <c r="AA51" s="68">
        <v>0.5</v>
      </c>
      <c r="AB51" s="68"/>
      <c r="AC51" s="147">
        <v>0.44800000000000001</v>
      </c>
      <c r="AD51" s="21" t="s">
        <v>1823</v>
      </c>
      <c r="AE51" s="21"/>
      <c r="AF51" s="21"/>
      <c r="AG51" s="21"/>
      <c r="AH51" s="21"/>
      <c r="AI51" s="21"/>
      <c r="AJ51" s="21"/>
      <c r="AK51" s="21"/>
      <c r="AL51" s="21"/>
    </row>
    <row r="52" spans="2:39">
      <c r="B52" s="50" t="str">
        <f>SA!B43</f>
        <v>Colombia</v>
      </c>
      <c r="C52" s="59"/>
      <c r="D52" s="59"/>
      <c r="E52" s="59"/>
      <c r="F52" s="65"/>
      <c r="G52" s="171">
        <f>Colombia!C23</f>
        <v>7.2106390939083706E-2</v>
      </c>
      <c r="H52" s="171">
        <f>Colombia!D23</f>
        <v>8.2743376049227824E-2</v>
      </c>
      <c r="I52" s="171">
        <f>Colombia!E23</f>
        <v>8.149113531856296E-2</v>
      </c>
      <c r="J52" s="171">
        <f>Colombia!F23</f>
        <v>9.2433032958893963E-2</v>
      </c>
      <c r="K52" s="171">
        <f>Colombia!G23</f>
        <v>9.8221991079997545E-2</v>
      </c>
      <c r="L52" s="171">
        <f>Colombia!H23</f>
        <v>0.10771347417006924</v>
      </c>
      <c r="M52" s="171">
        <f>Colombia!I23</f>
        <v>0.11978828894792996</v>
      </c>
      <c r="N52" s="171">
        <f>Colombia!J23</f>
        <v>0.14112351285325286</v>
      </c>
      <c r="O52" s="171">
        <f>Colombia!K23</f>
        <v>0.15824297367225612</v>
      </c>
      <c r="P52" s="171">
        <f>Colombia!L23</f>
        <v>0.17572249783447516</v>
      </c>
      <c r="Q52" s="171">
        <f>Colombia!M23</f>
        <v>0.15205965792211498</v>
      </c>
      <c r="R52" s="171">
        <f>Colombia!N23</f>
        <v>0.155</v>
      </c>
      <c r="S52" s="171">
        <f>Colombia!O23</f>
        <v>0.16</v>
      </c>
      <c r="T52" s="171">
        <f>Colombia!P23</f>
        <v>0.16500000000000001</v>
      </c>
      <c r="U52" s="171">
        <f>Colombia!Q23</f>
        <v>0.17</v>
      </c>
      <c r="V52" s="171">
        <f>Colombia!AG23</f>
        <v>0</v>
      </c>
      <c r="W52" s="171">
        <f>Colombia!AH23</f>
        <v>0</v>
      </c>
      <c r="X52" s="171">
        <f>Colombia!AI23</f>
        <v>0</v>
      </c>
      <c r="Y52" s="171">
        <f>Colombia!AJ23</f>
        <v>0</v>
      </c>
      <c r="Z52" s="171">
        <f>Colombia!AK23</f>
        <v>0</v>
      </c>
      <c r="AA52" s="171">
        <f>Colombia!AL23</f>
        <v>0</v>
      </c>
      <c r="AB52" s="171"/>
      <c r="AC52" s="2"/>
      <c r="AD52" s="21"/>
      <c r="AE52" s="21"/>
      <c r="AF52" s="21"/>
      <c r="AG52" s="21"/>
      <c r="AH52" s="21"/>
      <c r="AI52" s="21"/>
      <c r="AJ52" s="21"/>
      <c r="AK52" s="21"/>
      <c r="AL52" s="21"/>
    </row>
    <row r="53" spans="2:39">
      <c r="B53" s="50" t="str">
        <f t="shared" si="53"/>
        <v>xx</v>
      </c>
      <c r="C53" s="59"/>
      <c r="D53" s="59"/>
      <c r="E53" s="59"/>
      <c r="F53" s="65"/>
      <c r="G53" s="65"/>
      <c r="H53" s="65"/>
      <c r="I53" s="65"/>
      <c r="J53" s="65"/>
      <c r="K53" s="65"/>
      <c r="L53" s="65"/>
      <c r="M53" s="65"/>
      <c r="N53" s="65"/>
      <c r="O53" s="65"/>
      <c r="P53" s="65"/>
      <c r="Q53" s="65"/>
      <c r="R53" s="65"/>
      <c r="S53" s="65"/>
      <c r="T53" s="65"/>
      <c r="U53" s="65"/>
      <c r="V53" s="65"/>
      <c r="W53" s="65"/>
      <c r="X53" s="65"/>
      <c r="Y53" s="65"/>
      <c r="Z53" s="65"/>
      <c r="AA53" s="65"/>
      <c r="AB53" s="65"/>
      <c r="AC53" s="21"/>
      <c r="AD53" s="21"/>
      <c r="AE53" s="21"/>
      <c r="AF53" s="21"/>
      <c r="AG53" s="21"/>
      <c r="AH53" s="21"/>
      <c r="AI53" s="21"/>
      <c r="AJ53" s="21"/>
      <c r="AK53" s="21"/>
      <c r="AL53" s="21"/>
    </row>
    <row r="54" spans="2:39">
      <c r="B54" s="74" t="str">
        <f t="shared" si="53"/>
        <v>xxx</v>
      </c>
      <c r="C54" s="60"/>
      <c r="D54" s="60"/>
      <c r="E54" s="60"/>
      <c r="F54" s="66"/>
      <c r="G54" s="66"/>
      <c r="H54" s="66"/>
      <c r="I54" s="66"/>
      <c r="J54" s="66"/>
      <c r="K54" s="66"/>
      <c r="L54" s="66"/>
      <c r="M54" s="66"/>
      <c r="N54" s="66"/>
      <c r="O54" s="66"/>
      <c r="P54" s="66"/>
      <c r="Q54" s="66"/>
      <c r="R54" s="66"/>
      <c r="S54" s="66"/>
      <c r="T54" s="66"/>
      <c r="U54" s="66"/>
      <c r="V54" s="66"/>
      <c r="W54" s="66"/>
      <c r="X54" s="66"/>
      <c r="Y54" s="66"/>
      <c r="Z54" s="66"/>
      <c r="AA54" s="66"/>
      <c r="AB54" s="65"/>
      <c r="AC54" s="21"/>
      <c r="AD54" s="21"/>
      <c r="AE54" s="21"/>
      <c r="AF54" s="21"/>
      <c r="AG54" s="21"/>
      <c r="AH54" s="21"/>
      <c r="AI54" s="21"/>
      <c r="AJ54" s="21"/>
      <c r="AK54" s="21"/>
      <c r="AL54" s="21"/>
    </row>
    <row r="55" spans="2:39">
      <c r="B55" s="50" t="str">
        <f t="shared" si="53"/>
        <v>South America ex Colombia</v>
      </c>
      <c r="C55" s="25"/>
      <c r="D55" s="55">
        <f>D46/D37</f>
        <v>0.44800156067855168</v>
      </c>
      <c r="E55" s="55">
        <f t="shared" ref="E55:O56" si="54">E46/E37</f>
        <v>0.39056479338027089</v>
      </c>
      <c r="F55" s="55">
        <f>F46/F37</f>
        <v>0.32985463721798747</v>
      </c>
      <c r="G55" s="55">
        <f t="shared" si="54"/>
        <v>0.38849967034416077</v>
      </c>
      <c r="H55" s="55">
        <f t="shared" si="54"/>
        <v>0.43671341244156781</v>
      </c>
      <c r="I55" s="55">
        <f t="shared" si="54"/>
        <v>0.45516061440217875</v>
      </c>
      <c r="J55" s="55">
        <f t="shared" si="54"/>
        <v>0.45840370197653985</v>
      </c>
      <c r="K55" s="55">
        <f t="shared" si="54"/>
        <v>0.46144534482883154</v>
      </c>
      <c r="L55" s="55">
        <f t="shared" si="54"/>
        <v>0.45198998401235529</v>
      </c>
      <c r="M55" s="55">
        <f t="shared" si="54"/>
        <v>0.46336766362437953</v>
      </c>
      <c r="N55" s="55">
        <f t="shared" si="54"/>
        <v>0.44768693323045888</v>
      </c>
      <c r="O55" s="55">
        <f t="shared" si="54"/>
        <v>0.4579089902345716</v>
      </c>
      <c r="P55" s="55">
        <f t="shared" ref="P55:S56" si="55">P46/P37</f>
        <v>0.45260718481967122</v>
      </c>
      <c r="Q55" s="55">
        <f t="shared" si="55"/>
        <v>0.4386177032019824</v>
      </c>
      <c r="R55" s="55">
        <f t="shared" si="55"/>
        <v>0.4294465757105847</v>
      </c>
      <c r="S55" s="55">
        <f t="shared" si="55"/>
        <v>0.4295959124523912</v>
      </c>
      <c r="T55" s="55">
        <f t="shared" ref="T55:Z56" si="56">T46/T37</f>
        <v>0.42974533088062983</v>
      </c>
      <c r="U55" s="55">
        <f t="shared" si="56"/>
        <v>0.42989482936998225</v>
      </c>
      <c r="V55" s="55">
        <f t="shared" si="56"/>
        <v>0.43005479866563384</v>
      </c>
      <c r="W55" s="55">
        <f t="shared" si="56"/>
        <v>0.43021482823739432</v>
      </c>
      <c r="X55" s="55">
        <f t="shared" si="56"/>
        <v>0.43037491615631529</v>
      </c>
      <c r="Y55" s="55">
        <f t="shared" si="56"/>
        <v>0.43053506049061019</v>
      </c>
      <c r="Z55" s="55">
        <f t="shared" si="56"/>
        <v>0.43069525930574709</v>
      </c>
      <c r="AA55" s="55">
        <f t="shared" ref="AA55" si="57">AA46/AA37</f>
        <v>0.4308555106645412</v>
      </c>
      <c r="AB55" s="55"/>
      <c r="AC55" s="5"/>
      <c r="AD55" s="5"/>
      <c r="AE55" s="5"/>
      <c r="AF55" s="21"/>
      <c r="AG55" s="21"/>
      <c r="AH55" s="21"/>
      <c r="AI55" s="21"/>
      <c r="AJ55" s="21"/>
      <c r="AK55" s="21"/>
      <c r="AL55" s="21"/>
    </row>
    <row r="56" spans="2:39">
      <c r="B56" s="50" t="str">
        <f t="shared" si="53"/>
        <v>South America inc Colombia</v>
      </c>
      <c r="C56" s="25"/>
      <c r="D56" s="55">
        <f>D47/D38</f>
        <v>0.44800156067855168</v>
      </c>
      <c r="E56" s="55">
        <f t="shared" si="54"/>
        <v>0.39056479338027089</v>
      </c>
      <c r="F56" s="55">
        <f>F47/F38</f>
        <v>0.32985463721798747</v>
      </c>
      <c r="G56" s="55">
        <f t="shared" si="54"/>
        <v>0.12339251184496457</v>
      </c>
      <c r="H56" s="55">
        <f t="shared" si="54"/>
        <v>0.14504724030140967</v>
      </c>
      <c r="I56" s="55">
        <f t="shared" si="54"/>
        <v>0.14988528225657005</v>
      </c>
      <c r="J56" s="55">
        <f t="shared" si="54"/>
        <v>0.17094165738101541</v>
      </c>
      <c r="K56" s="55">
        <f t="shared" si="54"/>
        <v>0.17983792970474699</v>
      </c>
      <c r="L56" s="55">
        <f t="shared" si="54"/>
        <v>0.18905313890502176</v>
      </c>
      <c r="M56" s="55">
        <f t="shared" si="54"/>
        <v>0.20220648296484764</v>
      </c>
      <c r="N56" s="55">
        <f t="shared" si="54"/>
        <v>0.21724108432364558</v>
      </c>
      <c r="O56" s="55">
        <f t="shared" si="54"/>
        <v>0.22862664365973501</v>
      </c>
      <c r="P56" s="55">
        <f t="shared" si="55"/>
        <v>0.24075189910422437</v>
      </c>
      <c r="Q56" s="55">
        <f t="shared" si="55"/>
        <v>0.2200191909873801</v>
      </c>
      <c r="R56" s="55">
        <f t="shared" si="55"/>
        <v>0.22050915202651886</v>
      </c>
      <c r="S56" s="55">
        <f t="shared" si="55"/>
        <v>0.22463074729947552</v>
      </c>
      <c r="T56" s="55">
        <f t="shared" si="56"/>
        <v>0.22874812090426419</v>
      </c>
      <c r="U56" s="55">
        <f t="shared" si="56"/>
        <v>0.23286109279159803</v>
      </c>
      <c r="V56" s="55">
        <f t="shared" si="56"/>
        <v>0.23691721865654561</v>
      </c>
      <c r="W56" s="55">
        <f t="shared" si="56"/>
        <v>0.24097045732270372</v>
      </c>
      <c r="X56" s="55">
        <f t="shared" si="56"/>
        <v>0.2450206153725879</v>
      </c>
      <c r="Y56" s="55">
        <f t="shared" si="56"/>
        <v>0.24906749339953149</v>
      </c>
      <c r="Z56" s="55">
        <f t="shared" si="56"/>
        <v>0.25311088573118468</v>
      </c>
      <c r="AA56" s="55">
        <f t="shared" ref="AA56" si="58">AA47/AA38</f>
        <v>0.25715058013793562</v>
      </c>
      <c r="AB56" s="55"/>
      <c r="AC56" s="21"/>
      <c r="AD56" s="21"/>
      <c r="AE56" s="4" t="s">
        <v>2567</v>
      </c>
      <c r="AF56" s="21"/>
      <c r="AG56" s="21"/>
      <c r="AH56" s="21"/>
      <c r="AI56" s="21"/>
      <c r="AJ56" s="21"/>
      <c r="AK56" s="21"/>
      <c r="AL56" s="21"/>
    </row>
    <row r="57" spans="2:39">
      <c r="B57" s="48"/>
      <c r="C57" s="25"/>
      <c r="D57" s="26"/>
      <c r="E57" s="26"/>
      <c r="F57" s="26"/>
      <c r="G57" s="26"/>
      <c r="H57" s="26"/>
      <c r="I57" s="26"/>
      <c r="J57" s="26"/>
      <c r="K57" s="26"/>
      <c r="L57" s="26"/>
      <c r="M57" s="26"/>
      <c r="N57" s="55"/>
      <c r="O57" s="26"/>
      <c r="P57" s="26"/>
      <c r="Q57" s="26"/>
      <c r="R57" s="26"/>
      <c r="S57" s="26"/>
      <c r="T57" s="26"/>
      <c r="U57" s="26"/>
      <c r="V57" s="26"/>
      <c r="W57" s="26"/>
      <c r="X57" s="26"/>
      <c r="Y57" s="26"/>
      <c r="Z57" s="26"/>
      <c r="AA57" s="26"/>
      <c r="AB57" s="26"/>
      <c r="AC57" s="21"/>
      <c r="AD57" s="21"/>
      <c r="AE57" s="143">
        <f t="shared" ref="AE57:AJ57" si="59">N60-N57</f>
        <v>1084.1861158130318</v>
      </c>
      <c r="AF57" s="143">
        <f t="shared" si="59"/>
        <v>1120.6080669791227</v>
      </c>
      <c r="AG57" s="143">
        <f t="shared" si="59"/>
        <v>1072.0872430919756</v>
      </c>
      <c r="AH57" s="143">
        <f t="shared" si="59"/>
        <v>1009.5819122776134</v>
      </c>
      <c r="AI57" s="143">
        <f t="shared" si="59"/>
        <v>1022.4317967043953</v>
      </c>
      <c r="AJ57" s="143">
        <f t="shared" si="59"/>
        <v>1012.2184135868242</v>
      </c>
      <c r="AK57" s="143"/>
      <c r="AL57" s="21"/>
    </row>
    <row r="58" spans="2:39">
      <c r="B58" s="50" t="s">
        <v>1194</v>
      </c>
      <c r="C58" s="25"/>
      <c r="D58" s="26"/>
      <c r="E58" s="26"/>
      <c r="F58" s="26"/>
      <c r="G58" s="26"/>
      <c r="H58" s="26"/>
      <c r="I58" s="26"/>
      <c r="J58" s="26"/>
      <c r="K58" s="26"/>
      <c r="L58" s="71">
        <f>SUM(Newquarts!B68:E68)-Colombia!H42</f>
        <v>902.02074659563334</v>
      </c>
      <c r="M58" s="71">
        <f>SUM(Newquarts!G68:J68)-Colombia!I42</f>
        <v>995.88707809998334</v>
      </c>
      <c r="N58" s="71">
        <f>SUM(Newquarts!L68:O68)-Colombia!J42</f>
        <v>1066.0894507043931</v>
      </c>
      <c r="O58" s="71">
        <f>SUM(Newquarts!Q68:T68)-Colombia!K42</f>
        <v>1061.5685763599186</v>
      </c>
      <c r="P58" s="71">
        <f>SUM(Newquarts!V68:Y68)-Colombia!L42</f>
        <v>915.2404068319662</v>
      </c>
      <c r="Q58" s="72">
        <f t="shared" ref="Q58:AA58" si="60">Q63*AVERAGE(P46:Q46)*12/1000</f>
        <v>805.68102513960116</v>
      </c>
      <c r="R58" s="72">
        <f t="shared" si="60"/>
        <v>757.36064342497946</v>
      </c>
      <c r="S58" s="72">
        <f t="shared" si="60"/>
        <v>667.62591432358363</v>
      </c>
      <c r="T58" s="72">
        <f t="shared" si="60"/>
        <v>661.51959160248089</v>
      </c>
      <c r="U58" s="72">
        <f t="shared" si="60"/>
        <v>655.47173343744691</v>
      </c>
      <c r="V58" s="72">
        <f t="shared" si="60"/>
        <v>622.61422511091314</v>
      </c>
      <c r="W58" s="72">
        <f t="shared" si="60"/>
        <v>572.20643838493959</v>
      </c>
      <c r="X58" s="72">
        <f t="shared" si="60"/>
        <v>520.10401387528964</v>
      </c>
      <c r="Y58" s="72">
        <f t="shared" si="60"/>
        <v>430.72656707023782</v>
      </c>
      <c r="Z58" s="72">
        <f t="shared" si="60"/>
        <v>356.71038973931707</v>
      </c>
      <c r="AA58" s="72">
        <f t="shared" si="60"/>
        <v>295.41497207973504</v>
      </c>
      <c r="AB58" s="72"/>
      <c r="AC58" s="21"/>
      <c r="AD58" s="21"/>
      <c r="AE58" s="143"/>
      <c r="AF58" s="143"/>
      <c r="AG58" s="143"/>
      <c r="AH58" s="143"/>
      <c r="AI58" s="143"/>
      <c r="AJ58" s="143"/>
      <c r="AK58" s="143"/>
      <c r="AL58" s="21"/>
    </row>
    <row r="59" spans="2:39">
      <c r="B59" s="57" t="s">
        <v>1540</v>
      </c>
      <c r="C59" s="365"/>
      <c r="D59" s="293"/>
      <c r="E59" s="293"/>
      <c r="F59" s="293"/>
      <c r="G59" s="293"/>
      <c r="H59" s="293"/>
      <c r="I59" s="293"/>
      <c r="J59" s="293"/>
      <c r="K59" s="293"/>
      <c r="L59" s="61">
        <f>L60-L58</f>
        <v>11.426669561173298</v>
      </c>
      <c r="M59" s="61">
        <f>M60-M58</f>
        <v>14.58546907927996</v>
      </c>
      <c r="N59" s="61">
        <f>N60-N58</f>
        <v>18.096665108638717</v>
      </c>
      <c r="O59" s="61">
        <f>O60-O58</f>
        <v>59.039490619204116</v>
      </c>
      <c r="P59" s="61">
        <f>P60-P58</f>
        <v>156.84683626000935</v>
      </c>
      <c r="Q59" s="61">
        <f>P59*1.3</f>
        <v>203.90088713801217</v>
      </c>
      <c r="R59" s="61">
        <f>Q59*1.3</f>
        <v>265.07115327941585</v>
      </c>
      <c r="S59" s="61">
        <f>R59*1.3</f>
        <v>344.5924992632406</v>
      </c>
      <c r="T59" s="1077">
        <f>S59/S58*T58</f>
        <v>341.44074472132081</v>
      </c>
      <c r="U59" s="1077">
        <f t="shared" ref="U59:AA59" si="61">T59/T58*U58</f>
        <v>338.31916643089431</v>
      </c>
      <c r="V59" s="1077">
        <f t="shared" si="61"/>
        <v>321.3598922761837</v>
      </c>
      <c r="W59" s="1077">
        <f t="shared" si="61"/>
        <v>295.34211070485196</v>
      </c>
      <c r="X59" s="1077">
        <f t="shared" si="61"/>
        <v>268.44964848273298</v>
      </c>
      <c r="Y59" s="1077">
        <f t="shared" si="61"/>
        <v>222.31782958303606</v>
      </c>
      <c r="Z59" s="1077">
        <f t="shared" si="61"/>
        <v>184.11466972185175</v>
      </c>
      <c r="AA59" s="1077">
        <f t="shared" si="61"/>
        <v>152.47728011258292</v>
      </c>
      <c r="AB59" s="753"/>
      <c r="AC59" s="21"/>
      <c r="AD59" s="21"/>
      <c r="AE59" s="143"/>
      <c r="AF59" s="143"/>
      <c r="AG59" s="143"/>
      <c r="AH59" s="143"/>
      <c r="AI59" s="143"/>
      <c r="AJ59" s="143"/>
      <c r="AK59" s="143"/>
      <c r="AL59" s="21"/>
    </row>
    <row r="60" spans="2:39">
      <c r="B60" s="48" t="s">
        <v>18</v>
      </c>
      <c r="C60" s="71"/>
      <c r="D60" s="71">
        <f>SUM(Quarts!G226:J226)</f>
        <v>99.342999999999989</v>
      </c>
      <c r="E60" s="71">
        <f>SUM(Quarts!K226:N226)</f>
        <v>114.005</v>
      </c>
      <c r="F60" s="71">
        <f>SUM(Quarts!O226:R226)</f>
        <v>141.19399999999999</v>
      </c>
      <c r="G60" s="71">
        <f>SUM(Quarts!S226:V226)</f>
        <v>230.48840000000001</v>
      </c>
      <c r="H60" s="71">
        <f>SUM(Quarts!X226:AA226)</f>
        <v>366.09386133333339</v>
      </c>
      <c r="I60" s="71">
        <f>SUM(Quarts!AC226:AF226)</f>
        <v>557.82256955582875</v>
      </c>
      <c r="J60" s="71">
        <f>SUM(Quarts!AH226:AK226)</f>
        <v>624.097009541528</v>
      </c>
      <c r="K60" s="71">
        <f>SUM(Quarts!AM226:AP226)</f>
        <v>759.54241711414056</v>
      </c>
      <c r="L60" s="71">
        <f>(SUM(Newquarts!B68:E68)+SUM(Newquarts!B96:E96))-Colombia!H44</f>
        <v>913.44741615680664</v>
      </c>
      <c r="M60" s="71">
        <f>(SUM(Newquarts!G68:J68)+SUM(Newquarts!G96:J96))-Colombia!I44</f>
        <v>1010.4725471792633</v>
      </c>
      <c r="N60" s="71">
        <f>(SUM(Newquarts!L68:O68)+SUM(Newquarts!L96:O96))-Colombia!J44</f>
        <v>1084.1861158130318</v>
      </c>
      <c r="O60" s="71">
        <f>(SUM(Newquarts!Q68:T68)+SUM(Newquarts!Q96:T96))-Colombia!K44</f>
        <v>1120.6080669791227</v>
      </c>
      <c r="P60" s="71">
        <f>(SUM(Newquarts!V68:Y68)+SUM(Newquarts!V96:Y96))-Colombia!L44</f>
        <v>1072.0872430919756</v>
      </c>
      <c r="Q60" s="72">
        <f t="shared" ref="Q60:Z60" si="62">Q58+Q59</f>
        <v>1009.5819122776134</v>
      </c>
      <c r="R60" s="72">
        <f t="shared" si="62"/>
        <v>1022.4317967043953</v>
      </c>
      <c r="S60" s="72">
        <f t="shared" si="62"/>
        <v>1012.2184135868242</v>
      </c>
      <c r="T60" s="72">
        <f t="shared" si="62"/>
        <v>1002.9603363238017</v>
      </c>
      <c r="U60" s="72">
        <f t="shared" si="62"/>
        <v>993.79089986834128</v>
      </c>
      <c r="V60" s="72">
        <f t="shared" si="62"/>
        <v>943.97411738709684</v>
      </c>
      <c r="W60" s="72">
        <f t="shared" si="62"/>
        <v>867.54854908979155</v>
      </c>
      <c r="X60" s="72">
        <f t="shared" si="62"/>
        <v>788.55366235802262</v>
      </c>
      <c r="Y60" s="72">
        <f t="shared" si="62"/>
        <v>653.04439665327391</v>
      </c>
      <c r="Z60" s="72">
        <f t="shared" si="62"/>
        <v>540.82505946116885</v>
      </c>
      <c r="AA60" s="72">
        <f t="shared" ref="AA60" si="63">AA58+AA59</f>
        <v>447.89225219231798</v>
      </c>
      <c r="AB60" s="72"/>
      <c r="AC60" s="72"/>
      <c r="AD60" s="72"/>
      <c r="AE60" s="72"/>
      <c r="AF60" s="21"/>
      <c r="AG60" s="72"/>
      <c r="AH60" s="72"/>
      <c r="AI60" s="72"/>
      <c r="AJ60" s="21"/>
      <c r="AK60" s="21"/>
      <c r="AL60" s="21"/>
    </row>
    <row r="61" spans="2:39">
      <c r="B61" s="50" t="s">
        <v>2353</v>
      </c>
      <c r="C61" s="4"/>
      <c r="D61" s="4"/>
      <c r="E61" s="36">
        <f>E60/D60-1</f>
        <v>0.1475896640930916</v>
      </c>
      <c r="F61" s="36">
        <f t="shared" ref="F61:AA61" si="64">F60/E60-1</f>
        <v>0.23848953993245914</v>
      </c>
      <c r="G61" s="36">
        <f>G60/F60-1</f>
        <v>0.6324234740853012</v>
      </c>
      <c r="H61" s="36">
        <f>H60/G60-1</f>
        <v>0.5883396358920161</v>
      </c>
      <c r="I61" s="36">
        <f>I60/H60-1</f>
        <v>0.52371462204858932</v>
      </c>
      <c r="J61" s="36">
        <f>J60/I60-1</f>
        <v>0.11880917625558052</v>
      </c>
      <c r="K61" s="36">
        <f t="shared" si="64"/>
        <v>0.21702620826866803</v>
      </c>
      <c r="L61" s="36">
        <f t="shared" si="64"/>
        <v>0.20262857685739744</v>
      </c>
      <c r="M61" s="36">
        <f t="shared" si="64"/>
        <v>0.10621862770237556</v>
      </c>
      <c r="N61" s="36">
        <f t="shared" si="64"/>
        <v>7.2949600500815448E-2</v>
      </c>
      <c r="O61" s="36">
        <f t="shared" si="64"/>
        <v>3.3593818104540096E-2</v>
      </c>
      <c r="P61" s="36">
        <f t="shared" si="64"/>
        <v>-4.3298656610555208E-2</v>
      </c>
      <c r="Q61" s="36">
        <f t="shared" si="64"/>
        <v>-5.8302466722850221E-2</v>
      </c>
      <c r="R61" s="36">
        <f t="shared" si="64"/>
        <v>1.272792655109356E-2</v>
      </c>
      <c r="S61" s="36">
        <f t="shared" si="64"/>
        <v>-9.9893050573073294E-3</v>
      </c>
      <c r="T61" s="36">
        <f t="shared" si="64"/>
        <v>-9.1463236972900708E-3</v>
      </c>
      <c r="U61" s="36">
        <f t="shared" si="64"/>
        <v>-9.1423719596624986E-3</v>
      </c>
      <c r="V61" s="36">
        <f t="shared" si="64"/>
        <v>-5.0128032454155314E-2</v>
      </c>
      <c r="W61" s="36">
        <f t="shared" si="64"/>
        <v>-8.096150825496129E-2</v>
      </c>
      <c r="X61" s="36">
        <f t="shared" si="64"/>
        <v>-9.1055292311477243E-2</v>
      </c>
      <c r="Y61" s="36">
        <f t="shared" si="64"/>
        <v>-0.17184533174258998</v>
      </c>
      <c r="Z61" s="36">
        <f t="shared" si="64"/>
        <v>-0.17184028799145579</v>
      </c>
      <c r="AA61" s="36">
        <f t="shared" si="64"/>
        <v>-0.17183524624661628</v>
      </c>
      <c r="AB61" s="36"/>
      <c r="AC61" s="72"/>
      <c r="AD61" s="72"/>
      <c r="AE61" s="72"/>
      <c r="AF61" s="21"/>
      <c r="AG61" s="72"/>
      <c r="AH61" s="72"/>
      <c r="AI61" s="72"/>
      <c r="AJ61" s="21"/>
      <c r="AK61" s="21"/>
      <c r="AL61" s="21"/>
    </row>
    <row r="62" spans="2:39">
      <c r="B62" s="50"/>
      <c r="C62" s="4"/>
      <c r="D62" s="4"/>
      <c r="E62" s="36"/>
      <c r="F62" s="36"/>
      <c r="G62" s="36"/>
      <c r="H62" s="36"/>
      <c r="I62" s="36"/>
      <c r="J62" s="36"/>
      <c r="K62" s="55"/>
      <c r="L62" s="55"/>
      <c r="M62" s="55"/>
      <c r="N62" s="31"/>
      <c r="O62" s="31"/>
      <c r="P62" s="55"/>
      <c r="Q62" s="55"/>
      <c r="R62" s="55"/>
      <c r="S62" s="55"/>
      <c r="T62" s="55"/>
      <c r="U62" s="55"/>
      <c r="V62" s="55"/>
      <c r="W62" s="55"/>
      <c r="X62" s="55"/>
      <c r="Y62" s="55"/>
      <c r="Z62" s="55"/>
      <c r="AA62" s="55"/>
      <c r="AB62" s="55"/>
      <c r="AC62" s="21"/>
      <c r="AD62" s="21"/>
      <c r="AE62" s="21"/>
      <c r="AF62" s="21"/>
      <c r="AG62" s="21"/>
      <c r="AH62" s="21"/>
      <c r="AI62" s="21"/>
      <c r="AJ62" s="21"/>
      <c r="AK62" s="21"/>
      <c r="AL62" s="21"/>
    </row>
    <row r="63" spans="2:39">
      <c r="B63" s="50" t="s">
        <v>366</v>
      </c>
      <c r="C63" s="4"/>
      <c r="D63" s="56">
        <f t="shared" ref="D63:K63" si="65">D60/AVERAGE(C46:D46)*1000/12</f>
        <v>8.7125924117313165</v>
      </c>
      <c r="E63" s="56">
        <f t="shared" si="65"/>
        <v>10.124204330163176</v>
      </c>
      <c r="F63" s="56">
        <f t="shared" si="65"/>
        <v>10.343264461260043</v>
      </c>
      <c r="G63" s="56">
        <f t="shared" si="65"/>
        <v>10.828897255513946</v>
      </c>
      <c r="H63" s="56">
        <f t="shared" si="65"/>
        <v>11.441815480999466</v>
      </c>
      <c r="I63" s="56">
        <f t="shared" si="65"/>
        <v>12.7882294717063</v>
      </c>
      <c r="J63" s="56">
        <f t="shared" si="65"/>
        <v>11.284027799622622</v>
      </c>
      <c r="K63" s="56">
        <f t="shared" si="65"/>
        <v>11.595895003242861</v>
      </c>
      <c r="L63" s="56">
        <f>L58/AVERAGE(K46:L46)*1000/12</f>
        <v>12.376628591649082</v>
      </c>
      <c r="M63" s="56">
        <f>M58/AVERAGE(L46:M46)*1000/12</f>
        <v>12.488238633912465</v>
      </c>
      <c r="N63" s="56">
        <f>N58/AVERAGE(M46:N46)*1000/12</f>
        <v>12.631990268548192</v>
      </c>
      <c r="O63" s="56">
        <f>O58/AVERAGE(N46:O46)*1000/12</f>
        <v>12.465870221939435</v>
      </c>
      <c r="P63" s="56">
        <f>P58/AVERAGE(O46:P46)*1000/12</f>
        <v>10.761947354623482</v>
      </c>
      <c r="Q63" s="67">
        <f t="shared" ref="Q63:AA63" si="66">P63*(1+Q64)</f>
        <v>9.578133145614899</v>
      </c>
      <c r="R63" s="67">
        <f t="shared" si="66"/>
        <v>9.0992264883341534</v>
      </c>
      <c r="S63" s="67">
        <f t="shared" si="66"/>
        <v>8.0073193097340543</v>
      </c>
      <c r="T63" s="67">
        <f t="shared" si="66"/>
        <v>7.8471729235393735</v>
      </c>
      <c r="U63" s="67">
        <f t="shared" si="66"/>
        <v>7.6902294650685858</v>
      </c>
      <c r="V63" s="67">
        <f t="shared" si="66"/>
        <v>7.2288156971644701</v>
      </c>
      <c r="W63" s="67">
        <f t="shared" si="66"/>
        <v>6.5782222844196685</v>
      </c>
      <c r="X63" s="67">
        <f t="shared" si="66"/>
        <v>5.9204000559777015</v>
      </c>
      <c r="Y63" s="67">
        <f t="shared" si="66"/>
        <v>4.8547280459017159</v>
      </c>
      <c r="Z63" s="67">
        <f t="shared" si="66"/>
        <v>3.9808769976394074</v>
      </c>
      <c r="AA63" s="67">
        <f t="shared" si="66"/>
        <v>3.2643191380643142</v>
      </c>
      <c r="AB63" s="67"/>
      <c r="AC63" s="195" t="e">
        <f>#REF!</f>
        <v>#REF!</v>
      </c>
      <c r="AD63" s="194" t="s">
        <v>1182</v>
      </c>
      <c r="AE63" s="190">
        <v>0.04</v>
      </c>
      <c r="AF63" s="190">
        <v>-0.03</v>
      </c>
      <c r="AG63" s="190">
        <v>-0.02</v>
      </c>
      <c r="AH63" s="190">
        <v>-0.01</v>
      </c>
      <c r="AI63" s="190">
        <v>-0.01</v>
      </c>
      <c r="AJ63" s="190">
        <v>-0.01</v>
      </c>
      <c r="AK63" s="190">
        <v>0</v>
      </c>
      <c r="AL63" s="190">
        <v>0</v>
      </c>
      <c r="AM63" s="190">
        <v>0</v>
      </c>
    </row>
    <row r="64" spans="2:39">
      <c r="B64" s="50" t="s">
        <v>2353</v>
      </c>
      <c r="C64" s="4"/>
      <c r="D64" s="56"/>
      <c r="E64" s="55">
        <f t="shared" ref="E64:P64" si="67">E63/D63-1</f>
        <v>0.16201973554176075</v>
      </c>
      <c r="F64" s="55">
        <f t="shared" si="67"/>
        <v>2.1637268861140813E-2</v>
      </c>
      <c r="G64" s="55">
        <f t="shared" si="67"/>
        <v>4.6951597928565514E-2</v>
      </c>
      <c r="H64" s="55">
        <f t="shared" si="67"/>
        <v>5.6600243868176969E-2</v>
      </c>
      <c r="I64" s="55">
        <f t="shared" si="67"/>
        <v>0.1176748561399823</v>
      </c>
      <c r="J64" s="55">
        <f t="shared" si="67"/>
        <v>-0.11762391935581806</v>
      </c>
      <c r="K64" s="55">
        <f t="shared" si="67"/>
        <v>2.7637932940103971E-2</v>
      </c>
      <c r="L64" s="55">
        <f t="shared" si="67"/>
        <v>6.7328445815341142E-2</v>
      </c>
      <c r="M64" s="55">
        <f t="shared" si="67"/>
        <v>9.0178065405217556E-3</v>
      </c>
      <c r="N64" s="55">
        <f t="shared" si="67"/>
        <v>1.1510961541474796E-2</v>
      </c>
      <c r="O64" s="55">
        <f t="shared" si="67"/>
        <v>-1.3150742129874216E-2</v>
      </c>
      <c r="P64" s="55">
        <f t="shared" si="67"/>
        <v>-0.13668703724487008</v>
      </c>
      <c r="Q64" s="65">
        <v>-0.11</v>
      </c>
      <c r="R64" s="65">
        <v>-0.05</v>
      </c>
      <c r="S64" s="65">
        <v>-0.12</v>
      </c>
      <c r="T64" s="65">
        <v>-0.02</v>
      </c>
      <c r="U64" s="65">
        <v>-0.02</v>
      </c>
      <c r="V64" s="65">
        <v>-0.06</v>
      </c>
      <c r="W64" s="65">
        <v>-0.09</v>
      </c>
      <c r="X64" s="65">
        <v>-0.1</v>
      </c>
      <c r="Y64" s="65">
        <v>-0.18</v>
      </c>
      <c r="Z64" s="65">
        <v>-0.18</v>
      </c>
      <c r="AA64" s="65">
        <v>-0.18</v>
      </c>
      <c r="AB64" s="65"/>
      <c r="AC64" s="21"/>
      <c r="AD64" s="194" t="s">
        <v>1660</v>
      </c>
      <c r="AE64" s="190">
        <v>0.04</v>
      </c>
      <c r="AF64" s="190">
        <v>-0.03</v>
      </c>
      <c r="AG64" s="190">
        <v>-0.02</v>
      </c>
      <c r="AH64" s="190">
        <v>-0.02</v>
      </c>
      <c r="AI64" s="190">
        <v>-0.02</v>
      </c>
      <c r="AJ64" s="190">
        <v>-0.02</v>
      </c>
      <c r="AK64" s="190">
        <v>-0.02</v>
      </c>
      <c r="AL64" s="190">
        <v>-0.01</v>
      </c>
      <c r="AM64" s="190">
        <v>0</v>
      </c>
    </row>
    <row r="65" spans="2:39">
      <c r="B65" s="50"/>
      <c r="C65" s="4"/>
      <c r="D65" s="4"/>
      <c r="E65" s="36"/>
      <c r="F65" s="4"/>
      <c r="G65" s="4"/>
      <c r="H65" s="4"/>
      <c r="I65" s="4"/>
      <c r="J65" s="4"/>
      <c r="K65" s="4"/>
      <c r="L65" s="4"/>
      <c r="M65" s="4"/>
      <c r="N65" s="4"/>
      <c r="O65" s="4"/>
      <c r="P65" s="4"/>
      <c r="Q65" s="4"/>
      <c r="R65" s="4"/>
      <c r="S65" s="4"/>
      <c r="T65" s="4"/>
      <c r="U65" s="4"/>
      <c r="V65" s="4"/>
      <c r="W65" s="4"/>
      <c r="X65" s="4"/>
      <c r="Y65" s="4"/>
      <c r="Z65" s="4"/>
      <c r="AA65" s="4"/>
      <c r="AB65" s="4"/>
      <c r="AC65" s="21"/>
      <c r="AD65" s="194" t="s">
        <v>1056</v>
      </c>
      <c r="AE65" s="16">
        <v>0.04</v>
      </c>
      <c r="AF65" s="16">
        <v>-0.03</v>
      </c>
      <c r="AG65" s="16">
        <v>-0.02</v>
      </c>
      <c r="AH65" s="16">
        <v>-0.01</v>
      </c>
      <c r="AI65" s="16">
        <v>-0.01</v>
      </c>
      <c r="AJ65" s="16">
        <v>-0.01</v>
      </c>
      <c r="AK65" s="16">
        <v>0</v>
      </c>
      <c r="AL65" s="16">
        <v>0</v>
      </c>
      <c r="AM65" s="16">
        <v>0</v>
      </c>
    </row>
    <row r="66" spans="2:39">
      <c r="B66" s="2" t="s">
        <v>366</v>
      </c>
      <c r="D66" s="9"/>
      <c r="E66" s="9"/>
      <c r="F66" s="9"/>
      <c r="G66" s="9"/>
      <c r="H66" s="9"/>
      <c r="I66" s="16"/>
      <c r="J66" s="9"/>
      <c r="K66" s="9"/>
      <c r="L66" s="9"/>
      <c r="M66" s="9"/>
      <c r="N66" s="9"/>
      <c r="O66" s="9"/>
      <c r="P66" s="9"/>
      <c r="Q66" s="9"/>
      <c r="R66" s="9"/>
      <c r="S66" s="9"/>
      <c r="T66" s="9"/>
      <c r="U66" s="9"/>
      <c r="V66" s="9"/>
      <c r="W66" s="9"/>
      <c r="X66" s="9"/>
      <c r="Y66" s="9"/>
      <c r="Z66" s="9"/>
      <c r="AA66" s="9"/>
      <c r="AB66" s="9"/>
      <c r="AC66" s="21"/>
      <c r="AD66" s="194"/>
      <c r="AE66" s="16"/>
      <c r="AF66" s="16"/>
      <c r="AG66" s="16"/>
      <c r="AH66" s="16"/>
      <c r="AI66" s="16"/>
      <c r="AJ66" s="16"/>
      <c r="AK66" s="16"/>
      <c r="AL66" s="16"/>
      <c r="AM66" s="16"/>
    </row>
    <row r="67" spans="2:39">
      <c r="B67" s="4" t="s">
        <v>2377</v>
      </c>
      <c r="D67" s="9"/>
      <c r="E67" s="9"/>
      <c r="F67" s="9"/>
      <c r="G67" s="9"/>
      <c r="H67" s="9"/>
      <c r="I67" s="16"/>
      <c r="J67" s="7"/>
      <c r="K67" s="7"/>
      <c r="L67" s="7">
        <f t="shared" ref="L67:AA68" si="68">L87/AVERAGE(K41,L41)/12*1000</f>
        <v>11.686359327855605</v>
      </c>
      <c r="M67" s="7">
        <f t="shared" si="68"/>
        <v>12.48254189944134</v>
      </c>
      <c r="N67" s="7">
        <f t="shared" si="68"/>
        <v>11.812297734627832</v>
      </c>
      <c r="O67" s="7">
        <f t="shared" si="68"/>
        <v>12.784239756889866</v>
      </c>
      <c r="P67" s="7">
        <f t="shared" si="68"/>
        <v>13.922934403959704</v>
      </c>
      <c r="Q67" s="7">
        <f t="shared" si="68"/>
        <v>14.682373158213906</v>
      </c>
      <c r="R67" s="7">
        <f t="shared" si="68"/>
        <v>15.030802120151677</v>
      </c>
      <c r="S67" s="7">
        <f t="shared" si="68"/>
        <v>15.755392925039187</v>
      </c>
      <c r="T67" s="7">
        <f t="shared" si="68"/>
        <v>15.693996458816928</v>
      </c>
      <c r="U67" s="7">
        <f t="shared" si="68"/>
        <v>15.632866489685972</v>
      </c>
      <c r="V67" s="7">
        <f t="shared" si="68"/>
        <v>15.438016455254518</v>
      </c>
      <c r="W67" s="7">
        <f t="shared" si="68"/>
        <v>15.11303278447053</v>
      </c>
      <c r="X67" s="7">
        <f t="shared" si="68"/>
        <v>15.90450707524325</v>
      </c>
      <c r="Y67" s="7">
        <f t="shared" si="68"/>
        <v>16.579530830484408</v>
      </c>
      <c r="Z67" s="7">
        <f t="shared" si="68"/>
        <v>17.283204141979283</v>
      </c>
      <c r="AA67" s="7">
        <f t="shared" si="68"/>
        <v>18.016742962599402</v>
      </c>
      <c r="AB67" s="7"/>
      <c r="AC67" s="21"/>
      <c r="AD67" s="194"/>
      <c r="AE67" s="16"/>
      <c r="AF67" s="16"/>
      <c r="AG67" s="16"/>
      <c r="AH67" s="16"/>
      <c r="AI67" s="16"/>
      <c r="AJ67" s="16"/>
      <c r="AK67" s="16"/>
      <c r="AL67" s="16"/>
      <c r="AM67" s="16"/>
    </row>
    <row r="68" spans="2:39">
      <c r="B68" s="4" t="s">
        <v>2378</v>
      </c>
      <c r="D68" s="9"/>
      <c r="E68" s="9"/>
      <c r="F68" s="9"/>
      <c r="G68" s="9"/>
      <c r="H68" s="9"/>
      <c r="I68" s="16"/>
      <c r="J68" s="7"/>
      <c r="K68" s="7"/>
      <c r="L68" s="7">
        <f t="shared" si="68"/>
        <v>14.008137192246778</v>
      </c>
      <c r="M68" s="7">
        <f t="shared" si="68"/>
        <v>14.302084710652739</v>
      </c>
      <c r="N68" s="7">
        <f t="shared" si="68"/>
        <v>16.569447966861102</v>
      </c>
      <c r="O68" s="7">
        <f t="shared" si="68"/>
        <v>16.324011407653344</v>
      </c>
      <c r="P68" s="7">
        <f t="shared" si="68"/>
        <v>14.304739223965344</v>
      </c>
      <c r="Q68" s="7">
        <f t="shared" ca="1" si="68"/>
        <v>13.508611883092316</v>
      </c>
      <c r="R68" s="7">
        <f t="shared" ca="1" si="68"/>
        <v>15.906081147962894</v>
      </c>
      <c r="S68" s="7">
        <f t="shared" ca="1" si="68"/>
        <v>17.742458554595391</v>
      </c>
      <c r="T68" s="7">
        <f t="shared" ca="1" si="68"/>
        <v>27.090950960221928</v>
      </c>
      <c r="U68" s="7">
        <f t="shared" ca="1" si="68"/>
        <v>33.310496493510385</v>
      </c>
      <c r="V68" s="7">
        <f t="shared" ca="1" si="68"/>
        <v>35.670523052017934</v>
      </c>
      <c r="W68" s="7">
        <f t="shared" ca="1" si="68"/>
        <v>37.198472734606725</v>
      </c>
      <c r="X68" s="7">
        <f t="shared" ca="1" si="68"/>
        <v>36.851992967017893</v>
      </c>
      <c r="Y68" s="7">
        <f t="shared" ca="1" si="68"/>
        <v>35.686642987419809</v>
      </c>
      <c r="Z68" s="7">
        <f t="shared" ca="1" si="68"/>
        <v>34.976552251143517</v>
      </c>
      <c r="AA68" s="7">
        <f t="shared" ca="1" si="68"/>
        <v>34.801548188613694</v>
      </c>
      <c r="AB68" s="7"/>
      <c r="AC68" s="21"/>
      <c r="AD68" s="194"/>
      <c r="AE68" s="16"/>
      <c r="AF68" s="16"/>
      <c r="AG68" s="16"/>
      <c r="AH68" s="16"/>
      <c r="AI68" s="16"/>
      <c r="AJ68" s="16"/>
      <c r="AK68" s="16"/>
      <c r="AL68" s="16"/>
      <c r="AM68" s="16"/>
    </row>
    <row r="69" spans="2:39">
      <c r="D69" s="9"/>
      <c r="E69" s="9"/>
      <c r="F69" s="9"/>
      <c r="G69" s="9"/>
      <c r="H69" s="9"/>
      <c r="I69" s="16"/>
      <c r="J69" s="9"/>
      <c r="K69" s="9"/>
      <c r="L69" s="9"/>
      <c r="M69" s="9"/>
      <c r="N69" s="9"/>
      <c r="O69" s="9"/>
      <c r="P69" s="9"/>
      <c r="Q69" s="9"/>
      <c r="R69" s="9"/>
      <c r="S69" s="9"/>
      <c r="T69" s="9"/>
      <c r="U69" s="9"/>
      <c r="V69" s="9"/>
      <c r="W69" s="9"/>
      <c r="X69" s="9"/>
      <c r="Y69" s="9"/>
      <c r="Z69" s="16"/>
      <c r="AA69" s="16"/>
      <c r="AB69" s="16"/>
      <c r="AC69" s="21"/>
      <c r="AD69" s="194"/>
      <c r="AE69" s="16"/>
      <c r="AF69" s="16"/>
      <c r="AG69" s="16"/>
      <c r="AH69" s="16"/>
      <c r="AI69" s="16"/>
      <c r="AJ69" s="16"/>
      <c r="AK69" s="16"/>
      <c r="AL69" s="16"/>
      <c r="AM69" s="16"/>
    </row>
    <row r="70" spans="2:39">
      <c r="B70" s="48" t="s">
        <v>1135</v>
      </c>
      <c r="C70" s="4"/>
      <c r="D70" s="4"/>
      <c r="E70" s="36"/>
      <c r="F70" s="4"/>
      <c r="G70" s="4"/>
      <c r="H70" s="4"/>
      <c r="I70" s="4"/>
      <c r="J70" s="4"/>
      <c r="K70" s="4"/>
      <c r="L70" s="4"/>
      <c r="M70" s="4"/>
      <c r="N70" s="4"/>
      <c r="O70" s="4"/>
      <c r="P70" s="4"/>
      <c r="Q70" s="4"/>
      <c r="R70" s="4"/>
      <c r="S70" s="4"/>
      <c r="T70" s="4"/>
      <c r="U70" s="4"/>
      <c r="V70" s="4"/>
      <c r="W70" s="4"/>
      <c r="X70" s="4"/>
      <c r="Y70" s="4"/>
      <c r="Z70" s="4"/>
      <c r="AA70" s="4"/>
      <c r="AB70" s="4"/>
      <c r="AC70" s="16"/>
      <c r="AD70" s="194"/>
      <c r="AE70" s="16"/>
      <c r="AF70" s="16"/>
      <c r="AG70" s="16"/>
      <c r="AH70" s="16"/>
      <c r="AI70" s="16"/>
      <c r="AJ70" s="16"/>
      <c r="AK70" s="16"/>
      <c r="AL70" s="16"/>
      <c r="AM70" s="16"/>
    </row>
    <row r="71" spans="2:39">
      <c r="B71" t="str">
        <f>B67</f>
        <v>Bolivia</v>
      </c>
      <c r="C71" s="4"/>
      <c r="D71" s="45">
        <v>7.65</v>
      </c>
      <c r="E71" s="45">
        <v>7.94</v>
      </c>
      <c r="F71" s="45">
        <v>8.06</v>
      </c>
      <c r="G71" s="303">
        <v>8</v>
      </c>
      <c r="H71" s="45">
        <v>7.85</v>
      </c>
      <c r="I71" s="303">
        <v>7.23</v>
      </c>
      <c r="J71" s="303">
        <v>7.02</v>
      </c>
      <c r="K71" s="303">
        <v>7.0178622614364761</v>
      </c>
      <c r="L71" s="303">
        <v>6.97</v>
      </c>
      <c r="M71" s="303">
        <v>6.91</v>
      </c>
      <c r="N71" s="303">
        <v>6.91</v>
      </c>
      <c r="O71" s="303">
        <v>6.91</v>
      </c>
      <c r="P71" s="303">
        <v>6.9</v>
      </c>
      <c r="Q71" s="303">
        <f>AVERAGE('Country quarts'!P49:P49)</f>
        <v>6.91</v>
      </c>
      <c r="R71" s="303">
        <v>6.9</v>
      </c>
      <c r="S71" s="303">
        <v>6.9</v>
      </c>
      <c r="T71" s="500">
        <f>S71*1.075</f>
        <v>7.4175000000000004</v>
      </c>
      <c r="U71" s="500">
        <f>T71*1.075</f>
        <v>7.9738125000000002</v>
      </c>
      <c r="V71" s="500">
        <f>U71*1.075</f>
        <v>8.5718484374999999</v>
      </c>
      <c r="W71" s="500">
        <f>V71*1.075</f>
        <v>9.2147370703125002</v>
      </c>
      <c r="X71" s="500">
        <f>W71</f>
        <v>9.2147370703125002</v>
      </c>
      <c r="Y71" s="500">
        <f>X71</f>
        <v>9.2147370703125002</v>
      </c>
      <c r="Z71" s="500">
        <f>Y71</f>
        <v>9.2147370703125002</v>
      </c>
      <c r="AA71" s="500">
        <f>Z71</f>
        <v>9.2147370703125002</v>
      </c>
      <c r="AB71" s="500"/>
      <c r="AC71" s="16">
        <f>S71/Z71-1</f>
        <v>-0.25119947022362521</v>
      </c>
      <c r="AD71" s="194"/>
      <c r="AE71" s="16"/>
      <c r="AF71" s="16"/>
      <c r="AG71" s="16"/>
      <c r="AH71" s="16"/>
      <c r="AI71" s="16"/>
      <c r="AJ71" s="16"/>
      <c r="AK71" s="16"/>
      <c r="AL71" s="16"/>
      <c r="AM71" s="16"/>
    </row>
    <row r="72" spans="2:39">
      <c r="B72" t="str">
        <f>B68</f>
        <v>Paraguay</v>
      </c>
      <c r="C72" s="4"/>
      <c r="D72" s="46">
        <v>6456</v>
      </c>
      <c r="E72" s="46">
        <v>5982</v>
      </c>
      <c r="F72" s="46">
        <v>6175</v>
      </c>
      <c r="G72" s="46">
        <v>5632</v>
      </c>
      <c r="H72" s="46">
        <v>5028</v>
      </c>
      <c r="I72" s="46">
        <v>4343</v>
      </c>
      <c r="J72" s="46">
        <v>4974</v>
      </c>
      <c r="K72" s="46">
        <v>4756.2901460518651</v>
      </c>
      <c r="L72" s="46">
        <v>4196</v>
      </c>
      <c r="M72" s="46">
        <v>4418</v>
      </c>
      <c r="N72" s="46">
        <v>4306</v>
      </c>
      <c r="O72" s="46">
        <v>4484</v>
      </c>
      <c r="P72" s="46">
        <f>AVERAGE('Country quarts'!H54:K54)</f>
        <v>5211.4697295673077</v>
      </c>
      <c r="Q72" s="46">
        <v>5628</v>
      </c>
      <c r="R72" s="46">
        <v>5586</v>
      </c>
      <c r="S72" s="46">
        <v>5550</v>
      </c>
      <c r="T72" s="91">
        <f t="shared" ref="T72:AA72" si="69">S72*1.03</f>
        <v>5716.5</v>
      </c>
      <c r="U72" s="91">
        <f t="shared" si="69"/>
        <v>5887.9949999999999</v>
      </c>
      <c r="V72" s="91">
        <f t="shared" si="69"/>
        <v>6064.6348500000004</v>
      </c>
      <c r="W72" s="91">
        <f t="shared" si="69"/>
        <v>6246.5738955000006</v>
      </c>
      <c r="X72" s="91">
        <f t="shared" si="69"/>
        <v>6433.9711123650004</v>
      </c>
      <c r="Y72" s="91">
        <f t="shared" si="69"/>
        <v>6626.9902457359503</v>
      </c>
      <c r="Z72" s="91">
        <f t="shared" si="69"/>
        <v>6825.7999531080286</v>
      </c>
      <c r="AA72" s="91">
        <f t="shared" si="69"/>
        <v>7030.5739517012698</v>
      </c>
      <c r="AB72" s="91"/>
      <c r="AC72" s="16">
        <f>S72/Z72-1</f>
        <v>-0.18690848865664622</v>
      </c>
      <c r="AD72" s="194"/>
      <c r="AE72" s="16"/>
      <c r="AF72" s="16"/>
      <c r="AG72" s="16"/>
      <c r="AH72" s="16"/>
      <c r="AI72" s="16"/>
      <c r="AJ72" s="16"/>
      <c r="AK72" s="16"/>
      <c r="AL72" s="16"/>
      <c r="AM72" s="16"/>
    </row>
    <row r="73" spans="2:39">
      <c r="C73" s="4"/>
      <c r="D73" s="4"/>
      <c r="E73" s="4"/>
      <c r="F73" s="4"/>
      <c r="G73" s="4"/>
      <c r="H73" s="4"/>
      <c r="I73" s="4"/>
      <c r="J73" s="36"/>
      <c r="K73" s="302"/>
      <c r="L73" s="302"/>
      <c r="M73" s="302"/>
      <c r="N73" s="302"/>
      <c r="O73" s="302"/>
      <c r="P73" s="302"/>
      <c r="Q73" s="302"/>
      <c r="R73" s="302"/>
      <c r="S73" s="302"/>
      <c r="T73" s="302"/>
      <c r="U73" s="302"/>
      <c r="V73" s="302"/>
      <c r="W73" s="302"/>
      <c r="X73" s="302"/>
      <c r="Y73" s="302"/>
      <c r="Z73" s="302"/>
      <c r="AA73" s="302"/>
      <c r="AB73" s="302"/>
      <c r="AC73" s="21"/>
      <c r="AD73" s="194"/>
      <c r="AE73" s="16"/>
      <c r="AF73" s="16"/>
      <c r="AG73" s="16"/>
      <c r="AH73" s="16"/>
      <c r="AI73" s="16"/>
      <c r="AJ73" s="16"/>
      <c r="AK73" s="16"/>
      <c r="AL73" s="16"/>
      <c r="AM73" s="16"/>
    </row>
    <row r="74" spans="2:39">
      <c r="B74" s="48" t="s">
        <v>1134</v>
      </c>
      <c r="C74" s="4"/>
      <c r="D74" s="4"/>
      <c r="E74" s="36"/>
      <c r="F74" s="4"/>
      <c r="G74" s="4"/>
      <c r="H74" s="4"/>
      <c r="I74" s="4"/>
      <c r="J74" s="4"/>
      <c r="K74" s="4"/>
      <c r="L74" s="4"/>
      <c r="M74" s="4"/>
      <c r="N74" s="4"/>
      <c r="O74" s="4"/>
      <c r="P74" s="4"/>
      <c r="Q74" s="4"/>
      <c r="R74" s="4"/>
      <c r="S74" s="4"/>
      <c r="T74" s="4"/>
      <c r="U74" s="4"/>
      <c r="V74" s="4"/>
      <c r="W74" s="4"/>
      <c r="X74" s="4"/>
      <c r="Y74" s="4"/>
      <c r="Z74" s="4"/>
      <c r="AA74" s="4"/>
      <c r="AB74" s="4"/>
      <c r="AC74" s="21"/>
      <c r="AD74" s="194"/>
      <c r="AE74" s="16"/>
      <c r="AF74" s="16"/>
      <c r="AG74" s="16"/>
      <c r="AH74" s="16"/>
      <c r="AI74" s="16"/>
      <c r="AJ74" s="16"/>
      <c r="AK74" s="16"/>
      <c r="AL74" s="16"/>
      <c r="AM74" s="16"/>
    </row>
    <row r="75" spans="2:39">
      <c r="B75" t="str">
        <f>B71</f>
        <v>Bolivia</v>
      </c>
      <c r="C75" s="4"/>
      <c r="D75" s="31"/>
      <c r="E75" s="31"/>
      <c r="F75" s="31"/>
      <c r="G75" s="31"/>
      <c r="H75" s="31"/>
      <c r="I75" s="31"/>
      <c r="J75" s="31">
        <f>Quarts!AL152</f>
        <v>1705</v>
      </c>
      <c r="K75" s="31">
        <f>SUM(Quarts!AM152:AP152)</f>
        <v>2099</v>
      </c>
      <c r="L75" s="31">
        <f>L87*L71</f>
        <v>2488.29</v>
      </c>
      <c r="M75" s="31">
        <f>M87*M71</f>
        <v>2964.39</v>
      </c>
      <c r="N75" s="31">
        <f>N87*N71</f>
        <v>3026.58</v>
      </c>
      <c r="O75" s="31">
        <f>O87*O71</f>
        <v>3372.08</v>
      </c>
      <c r="P75" s="31">
        <f>P87*P71</f>
        <v>3657</v>
      </c>
      <c r="Q75" s="31">
        <f t="shared" ref="Q75:AA75" si="70">(1+Q76)*P75</f>
        <v>3839.8500000000004</v>
      </c>
      <c r="R75" s="31">
        <f t="shared" si="70"/>
        <v>3993.4440000000004</v>
      </c>
      <c r="S75" s="31">
        <f t="shared" si="70"/>
        <v>4233.0506400000004</v>
      </c>
      <c r="T75" s="31">
        <f t="shared" si="70"/>
        <v>4571.6946912000003</v>
      </c>
      <c r="U75" s="31">
        <f t="shared" si="70"/>
        <v>4937.4302664960005</v>
      </c>
      <c r="V75" s="31">
        <f t="shared" si="70"/>
        <v>5283.050385150721</v>
      </c>
      <c r="W75" s="31">
        <f t="shared" si="70"/>
        <v>5600.0334082597647</v>
      </c>
      <c r="X75" s="31">
        <f t="shared" si="70"/>
        <v>5936.035412755351</v>
      </c>
      <c r="Y75" s="31">
        <f t="shared" si="70"/>
        <v>6232.8371833931187</v>
      </c>
      <c r="Z75" s="31">
        <f t="shared" si="70"/>
        <v>6544.4790425627752</v>
      </c>
      <c r="AA75" s="31">
        <f t="shared" si="70"/>
        <v>6871.7029946909142</v>
      </c>
      <c r="AB75" s="31"/>
      <c r="AC75" s="21"/>
      <c r="AD75" s="194"/>
      <c r="AE75" s="16"/>
      <c r="AF75" s="16"/>
      <c r="AG75" s="16"/>
      <c r="AH75" s="16"/>
      <c r="AI75" s="16"/>
      <c r="AJ75" s="16"/>
      <c r="AK75" s="16"/>
      <c r="AL75" s="16"/>
      <c r="AM75" s="16"/>
    </row>
    <row r="76" spans="2:39">
      <c r="B76" t="s">
        <v>2353</v>
      </c>
      <c r="C76" s="4"/>
      <c r="D76" s="31"/>
      <c r="E76" s="36"/>
      <c r="F76" s="36"/>
      <c r="G76" s="36"/>
      <c r="H76" s="36"/>
      <c r="I76" s="36"/>
      <c r="J76" s="68"/>
      <c r="K76" s="68"/>
      <c r="L76" s="36">
        <f>L75/K75-1</f>
        <v>0.18546450690805139</v>
      </c>
      <c r="M76" s="36">
        <f>M75/L75-1</f>
        <v>0.19133621884908902</v>
      </c>
      <c r="N76" s="36">
        <f>N75/M75-1</f>
        <v>2.0979020979021046E-2</v>
      </c>
      <c r="O76" s="36">
        <f>O75/N75-1</f>
        <v>0.11415525114155245</v>
      </c>
      <c r="P76" s="36">
        <f>P75/O75-1</f>
        <v>8.4493843562430282E-2</v>
      </c>
      <c r="Q76" s="68">
        <v>0.05</v>
      </c>
      <c r="R76" s="68">
        <v>0.04</v>
      </c>
      <c r="S76" s="68">
        <v>0.06</v>
      </c>
      <c r="T76" s="68">
        <v>0.08</v>
      </c>
      <c r="U76" s="68">
        <v>0.08</v>
      </c>
      <c r="V76" s="68">
        <v>7.0000000000000007E-2</v>
      </c>
      <c r="W76" s="68">
        <v>0.06</v>
      </c>
      <c r="X76" s="68">
        <v>0.06</v>
      </c>
      <c r="Y76" s="68">
        <v>0.05</v>
      </c>
      <c r="Z76" s="68">
        <v>0.05</v>
      </c>
      <c r="AA76" s="68">
        <v>0.05</v>
      </c>
      <c r="AB76" s="68"/>
      <c r="AC76" s="21"/>
      <c r="AD76" s="194"/>
      <c r="AE76" s="16"/>
      <c r="AF76" s="16"/>
      <c r="AG76" s="16"/>
      <c r="AH76" s="16"/>
      <c r="AI76" s="16"/>
      <c r="AJ76" s="16"/>
      <c r="AK76" s="16"/>
      <c r="AL76" s="16"/>
      <c r="AM76" s="16"/>
    </row>
    <row r="77" spans="2:39">
      <c r="B77" t="str">
        <f>B72</f>
        <v>Paraguay</v>
      </c>
      <c r="C77" s="4"/>
      <c r="D77" s="31"/>
      <c r="E77" s="31"/>
      <c r="F77" s="31"/>
      <c r="G77" s="31"/>
      <c r="H77" s="31"/>
      <c r="I77" s="31"/>
      <c r="J77" s="31">
        <f>Quarts!AL153/1000</f>
        <v>1929.95</v>
      </c>
      <c r="K77" s="31">
        <f>SUM(Quarts!AM153:AP153)/1000</f>
        <v>2216.9479999999999</v>
      </c>
      <c r="L77" s="31">
        <f t="shared" ref="L77:S77" si="71">L88*L72/1000</f>
        <v>2488.2280000000001</v>
      </c>
      <c r="M77" s="31">
        <f t="shared" si="71"/>
        <v>2867.2820000000002</v>
      </c>
      <c r="N77" s="31">
        <f t="shared" si="71"/>
        <v>3375.904</v>
      </c>
      <c r="O77" s="31">
        <f>O88*O72/1000</f>
        <v>3439.2280000000001</v>
      </c>
      <c r="P77" s="31">
        <f>P88*P72/1000</f>
        <v>3502.1076582692308</v>
      </c>
      <c r="Q77" s="31">
        <f ca="1">Q88*Q72/1000</f>
        <v>3517.6661510809618</v>
      </c>
      <c r="R77" s="31">
        <f t="shared" ca="1" si="71"/>
        <v>3974.1963071316886</v>
      </c>
      <c r="S77" s="31">
        <f t="shared" ca="1" si="71"/>
        <v>4375.9195263157153</v>
      </c>
      <c r="T77" s="31">
        <f t="shared" ref="T77:Z77" ca="1" si="72">T88*T72/1000</f>
        <v>6973.2943514141034</v>
      </c>
      <c r="U77" s="31">
        <f t="shared" ca="1" si="72"/>
        <v>8948.5494446361554</v>
      </c>
      <c r="V77" s="31">
        <f t="shared" ca="1" si="72"/>
        <v>9995.8777394028875</v>
      </c>
      <c r="W77" s="31">
        <f t="shared" ca="1" si="72"/>
        <v>10868.298988940274</v>
      </c>
      <c r="X77" s="31">
        <f t="shared" ca="1" si="72"/>
        <v>11225.9333095536</v>
      </c>
      <c r="Y77" s="31">
        <f t="shared" ca="1" si="72"/>
        <v>11334.234260056508</v>
      </c>
      <c r="Z77" s="31">
        <f t="shared" ca="1" si="72"/>
        <v>11582.131621223136</v>
      </c>
      <c r="AA77" s="31">
        <f t="shared" ref="AA77" ca="1" si="73">AA88*AA72/1000</f>
        <v>12015.312570475706</v>
      </c>
      <c r="AB77" s="31"/>
      <c r="AC77" s="21"/>
      <c r="AD77" s="194"/>
      <c r="AE77" s="16"/>
      <c r="AF77" s="16"/>
      <c r="AG77" s="16"/>
      <c r="AH77" s="16"/>
      <c r="AI77" s="16"/>
      <c r="AJ77" s="16"/>
      <c r="AK77" s="16"/>
      <c r="AL77" s="16"/>
      <c r="AM77" s="16"/>
    </row>
    <row r="78" spans="2:39">
      <c r="B78" t="s">
        <v>2353</v>
      </c>
      <c r="C78" s="4"/>
      <c r="D78" s="31"/>
      <c r="E78" s="36"/>
      <c r="F78" s="36"/>
      <c r="G78" s="36"/>
      <c r="H78" s="36"/>
      <c r="I78" s="36"/>
      <c r="J78" s="36"/>
      <c r="K78" s="36">
        <f t="shared" ref="K78:AA78" si="74">K77/J77-1</f>
        <v>0.14870747946837981</v>
      </c>
      <c r="L78" s="36">
        <f t="shared" si="74"/>
        <v>0.12236642447184165</v>
      </c>
      <c r="M78" s="36">
        <f t="shared" si="74"/>
        <v>0.15233893357039641</v>
      </c>
      <c r="N78" s="36">
        <f t="shared" si="74"/>
        <v>0.17738820248583842</v>
      </c>
      <c r="O78" s="36">
        <f>O77/N77-1</f>
        <v>1.8757642397414065E-2</v>
      </c>
      <c r="P78" s="36">
        <f t="shared" si="74"/>
        <v>1.828307348894298E-2</v>
      </c>
      <c r="Q78" s="36">
        <f t="shared" ca="1" si="74"/>
        <v>4.442608374700896E-3</v>
      </c>
      <c r="R78" s="36">
        <f t="shared" ca="1" si="74"/>
        <v>0.12978211588113253</v>
      </c>
      <c r="S78" s="36">
        <f t="shared" ca="1" si="74"/>
        <v>0.1010828827109358</v>
      </c>
      <c r="T78" s="36">
        <f t="shared" ca="1" si="74"/>
        <v>0.59356092119117099</v>
      </c>
      <c r="U78" s="36">
        <f t="shared" ca="1" si="74"/>
        <v>0.28325996203236325</v>
      </c>
      <c r="V78" s="36">
        <f t="shared" ca="1" si="74"/>
        <v>0.11703889007335277</v>
      </c>
      <c r="W78" s="36">
        <f t="shared" ca="1" si="74"/>
        <v>8.727810326234553E-2</v>
      </c>
      <c r="X78" s="36">
        <f t="shared" ca="1" si="74"/>
        <v>3.2906190837890925E-2</v>
      </c>
      <c r="Y78" s="36">
        <f t="shared" ca="1" si="74"/>
        <v>9.6473894434006002E-3</v>
      </c>
      <c r="Z78" s="36">
        <f t="shared" ca="1" si="74"/>
        <v>2.1871557926083751E-2</v>
      </c>
      <c r="AA78" s="36">
        <f t="shared" ca="1" si="74"/>
        <v>3.7400796625278288E-2</v>
      </c>
      <c r="AB78" s="36"/>
      <c r="AC78" s="21"/>
      <c r="AD78" s="194"/>
      <c r="AE78" s="4" t="s">
        <v>2567</v>
      </c>
      <c r="AF78" s="21"/>
      <c r="AG78" s="21"/>
      <c r="AH78" s="21"/>
      <c r="AI78" s="21"/>
      <c r="AJ78" s="21"/>
      <c r="AK78" s="16"/>
      <c r="AL78" s="16"/>
      <c r="AM78" s="16"/>
    </row>
    <row r="79" spans="2:39">
      <c r="B79" s="50"/>
      <c r="C79" s="4"/>
      <c r="D79" s="4"/>
      <c r="E79" s="36"/>
      <c r="F79" s="4"/>
      <c r="G79" s="4"/>
      <c r="H79" s="4"/>
      <c r="I79" s="4"/>
      <c r="J79" s="4"/>
      <c r="K79" s="4"/>
      <c r="L79" s="4"/>
      <c r="M79" s="4"/>
      <c r="N79" s="4"/>
      <c r="O79" s="4"/>
      <c r="P79" s="4"/>
      <c r="Q79" s="4"/>
      <c r="R79" s="4"/>
      <c r="S79" s="4"/>
      <c r="T79" s="4"/>
      <c r="U79" s="4"/>
      <c r="V79" s="4"/>
      <c r="W79" s="4"/>
      <c r="X79" s="4"/>
      <c r="Y79" s="4"/>
      <c r="Z79" s="4"/>
      <c r="AA79" s="4"/>
      <c r="AB79" s="4"/>
      <c r="AC79" s="21"/>
      <c r="AD79" s="194"/>
      <c r="AE79" s="143">
        <f t="shared" ref="AE79:AJ79" si="75">N117-N79</f>
        <v>568.56399999999996</v>
      </c>
      <c r="AF79" s="143">
        <f t="shared" si="75"/>
        <v>544.67743937578575</v>
      </c>
      <c r="AG79" s="143">
        <f t="shared" si="75"/>
        <v>496.03714036951055</v>
      </c>
      <c r="AH79" s="143">
        <f t="shared" ca="1" si="75"/>
        <v>488.58619400151031</v>
      </c>
      <c r="AI79" s="143">
        <f t="shared" ca="1" si="75"/>
        <v>571.10218147197668</v>
      </c>
      <c r="AJ79" s="143">
        <f t="shared" ca="1" si="75"/>
        <v>659.97532984048121</v>
      </c>
      <c r="AK79" s="16"/>
      <c r="AL79" s="16"/>
      <c r="AM79" s="16"/>
    </row>
    <row r="80" spans="2:39">
      <c r="B80" s="50" t="s">
        <v>3022</v>
      </c>
      <c r="C80" s="4"/>
      <c r="D80" s="4"/>
      <c r="E80" s="36"/>
      <c r="F80" s="4"/>
      <c r="G80" s="4"/>
      <c r="H80" s="4"/>
      <c r="I80" s="4"/>
      <c r="J80" s="4"/>
      <c r="K80" s="69">
        <f t="shared" ref="K80:S80" si="76">K60</f>
        <v>759.54241711414056</v>
      </c>
      <c r="L80" s="69">
        <f t="shared" si="76"/>
        <v>913.44741615680664</v>
      </c>
      <c r="M80" s="69">
        <f t="shared" si="76"/>
        <v>1010.4725471792633</v>
      </c>
      <c r="N80" s="69">
        <f t="shared" si="76"/>
        <v>1084.1861158130318</v>
      </c>
      <c r="O80" s="69">
        <f t="shared" si="76"/>
        <v>1120.6080669791227</v>
      </c>
      <c r="P80" s="69">
        <f t="shared" si="76"/>
        <v>1072.0872430919756</v>
      </c>
      <c r="Q80" s="69">
        <f t="shared" si="76"/>
        <v>1009.5819122776134</v>
      </c>
      <c r="R80" s="69">
        <f t="shared" si="76"/>
        <v>1022.4317967043953</v>
      </c>
      <c r="S80" s="69">
        <f t="shared" si="76"/>
        <v>1012.2184135868242</v>
      </c>
      <c r="T80" s="69">
        <f t="shared" ref="T80:Z80" si="77">T60</f>
        <v>1002.9603363238017</v>
      </c>
      <c r="U80" s="69">
        <f t="shared" si="77"/>
        <v>993.79089986834128</v>
      </c>
      <c r="V80" s="69">
        <f t="shared" si="77"/>
        <v>943.97411738709684</v>
      </c>
      <c r="W80" s="69">
        <f t="shared" si="77"/>
        <v>867.54854908979155</v>
      </c>
      <c r="X80" s="69">
        <f t="shared" si="77"/>
        <v>788.55366235802262</v>
      </c>
      <c r="Y80" s="69">
        <f t="shared" si="77"/>
        <v>653.04439665327391</v>
      </c>
      <c r="Z80" s="69">
        <f t="shared" si="77"/>
        <v>540.82505946116885</v>
      </c>
      <c r="AA80" s="69">
        <f t="shared" ref="AA80" si="78">AA60</f>
        <v>447.89225219231798</v>
      </c>
      <c r="AB80" s="69"/>
      <c r="AC80" s="21"/>
      <c r="AD80" s="194"/>
      <c r="AE80" s="143"/>
      <c r="AF80" s="143"/>
      <c r="AG80" s="143"/>
      <c r="AH80" s="143"/>
      <c r="AI80" s="143"/>
      <c r="AJ80" s="143"/>
      <c r="AK80" s="16"/>
      <c r="AL80" s="16"/>
      <c r="AM80" s="16"/>
    </row>
    <row r="81" spans="2:39">
      <c r="B81" s="50" t="s">
        <v>3088</v>
      </c>
      <c r="C81" s="4"/>
      <c r="D81" s="4"/>
      <c r="E81" s="36"/>
      <c r="F81" s="4"/>
      <c r="G81" s="4"/>
      <c r="H81" s="4"/>
      <c r="I81" s="4"/>
      <c r="J81" s="4"/>
      <c r="K81" s="4"/>
      <c r="L81" s="46">
        <v>5.4</v>
      </c>
      <c r="M81" s="46">
        <v>13.5</v>
      </c>
      <c r="N81" s="46">
        <v>24</v>
      </c>
      <c r="O81" s="46">
        <v>32</v>
      </c>
      <c r="P81" s="46">
        <v>30</v>
      </c>
      <c r="Q81" s="46">
        <v>36</v>
      </c>
      <c r="R81" s="46">
        <v>50</v>
      </c>
      <c r="S81" s="46">
        <v>75</v>
      </c>
      <c r="T81" s="46">
        <v>90</v>
      </c>
      <c r="U81" s="46">
        <v>100</v>
      </c>
      <c r="V81" s="46">
        <v>100</v>
      </c>
      <c r="W81" s="46">
        <v>100</v>
      </c>
      <c r="X81" s="46">
        <v>100</v>
      </c>
      <c r="Y81" s="46">
        <v>100</v>
      </c>
      <c r="Z81" s="46">
        <v>100</v>
      </c>
      <c r="AA81" s="46">
        <v>100</v>
      </c>
      <c r="AB81" s="46"/>
      <c r="AC81" s="21"/>
      <c r="AD81" s="194"/>
      <c r="AE81" s="143"/>
      <c r="AF81" s="143"/>
      <c r="AG81" s="143"/>
      <c r="AH81" s="143"/>
      <c r="AI81" s="143"/>
      <c r="AJ81" s="143"/>
      <c r="AK81" s="16"/>
      <c r="AL81" s="16"/>
      <c r="AM81" s="16"/>
    </row>
    <row r="82" spans="2:39">
      <c r="B82" s="57" t="s">
        <v>1195</v>
      </c>
      <c r="C82" s="12"/>
      <c r="D82" s="12"/>
      <c r="E82" s="136"/>
      <c r="F82" s="12"/>
      <c r="G82" s="12"/>
      <c r="H82" s="12"/>
      <c r="I82" s="12"/>
      <c r="J82" s="12"/>
      <c r="K82" s="400">
        <v>25</v>
      </c>
      <c r="L82" s="93">
        <f>Cable!I25</f>
        <v>31.5</v>
      </c>
      <c r="M82" s="93">
        <f>Cable!J25</f>
        <v>53.7</v>
      </c>
      <c r="N82" s="93">
        <f>Cable!K25</f>
        <v>114.021</v>
      </c>
      <c r="O82" s="93">
        <f>Cable!L25</f>
        <v>108</v>
      </c>
      <c r="P82" s="93">
        <f>Cable!M25</f>
        <v>100.78732724902216</v>
      </c>
      <c r="Q82" s="93">
        <f ca="1">Cable!N25</f>
        <v>135.14225538853816</v>
      </c>
      <c r="R82" s="93">
        <f ca="1">Cable!O25</f>
        <v>217.78475666683426</v>
      </c>
      <c r="S82" s="93">
        <f ca="1">Cable!P25</f>
        <v>314.72115511870993</v>
      </c>
      <c r="T82" s="93">
        <f ca="1">Cable!Q25</f>
        <v>743.23250321448472</v>
      </c>
      <c r="U82" s="93">
        <f ca="1">Cable!R25</f>
        <v>1045.2105081984555</v>
      </c>
      <c r="V82" s="93">
        <f ca="1">Cable!S25</f>
        <v>1220.5757401245639</v>
      </c>
      <c r="W82" s="93">
        <f ca="1">Cable!T25</f>
        <v>1380.0588463486629</v>
      </c>
      <c r="X82" s="93">
        <f ca="1">Cable!U25</f>
        <v>1500.4264341238927</v>
      </c>
      <c r="Y82" s="93">
        <f ca="1">Cable!V25</f>
        <v>1633.6684225524705</v>
      </c>
      <c r="Z82" s="93">
        <f ca="1">Cable!W25</f>
        <v>1766.2104299657717</v>
      </c>
      <c r="AA82" s="93">
        <f ca="1">Cable!X25</f>
        <v>1906.8462092915488</v>
      </c>
      <c r="AB82" s="31"/>
      <c r="AC82" s="21"/>
      <c r="AD82" s="194"/>
      <c r="AE82" s="143"/>
      <c r="AF82" s="143"/>
      <c r="AG82" s="143"/>
      <c r="AH82" s="143"/>
      <c r="AI82" s="143"/>
      <c r="AJ82" s="143"/>
      <c r="AK82" s="16"/>
      <c r="AL82" s="16"/>
      <c r="AM82" s="16"/>
    </row>
    <row r="83" spans="2:39">
      <c r="B83" s="50" t="s">
        <v>3025</v>
      </c>
      <c r="C83" s="4"/>
      <c r="D83" s="4"/>
      <c r="E83" s="36"/>
      <c r="F83" s="4"/>
      <c r="G83" s="4"/>
      <c r="H83" s="4"/>
      <c r="I83" s="4"/>
      <c r="J83" s="4"/>
      <c r="K83" s="69">
        <f>SUM(K80:K82)</f>
        <v>784.54241711414056</v>
      </c>
      <c r="L83" s="69">
        <f>SUM(L80:L82)</f>
        <v>950.34741615680662</v>
      </c>
      <c r="M83" s="69">
        <f>SUM(M80:M82)</f>
        <v>1077.6725471792633</v>
      </c>
      <c r="N83" s="69">
        <f t="shared" ref="N83:S83" si="79">SUM(N80:N82)</f>
        <v>1222.2071158130318</v>
      </c>
      <c r="O83" s="69">
        <f t="shared" si="79"/>
        <v>1260.6080669791227</v>
      </c>
      <c r="P83" s="69">
        <f t="shared" si="79"/>
        <v>1202.8745703409977</v>
      </c>
      <c r="Q83" s="69">
        <f t="shared" ca="1" si="79"/>
        <v>1180.7241676661515</v>
      </c>
      <c r="R83" s="69">
        <f t="shared" ca="1" si="79"/>
        <v>1290.2165533712296</v>
      </c>
      <c r="S83" s="69">
        <f t="shared" ca="1" si="79"/>
        <v>1401.9395687055342</v>
      </c>
      <c r="T83" s="69">
        <f t="shared" ref="T83:Z83" ca="1" si="80">SUM(T80:T82)</f>
        <v>1836.1928395382863</v>
      </c>
      <c r="U83" s="69">
        <f t="shared" ca="1" si="80"/>
        <v>2139.001408066797</v>
      </c>
      <c r="V83" s="69">
        <f t="shared" ca="1" si="80"/>
        <v>2264.5498575116608</v>
      </c>
      <c r="W83" s="69">
        <f t="shared" ca="1" si="80"/>
        <v>2347.6073954384547</v>
      </c>
      <c r="X83" s="69">
        <f t="shared" ca="1" si="80"/>
        <v>2388.9800964819151</v>
      </c>
      <c r="Y83" s="69">
        <f t="shared" ca="1" si="80"/>
        <v>2386.7128192057444</v>
      </c>
      <c r="Z83" s="69">
        <f t="shared" ca="1" si="80"/>
        <v>2407.0354894269403</v>
      </c>
      <c r="AA83" s="69">
        <f t="shared" ref="AA83" ca="1" si="81">SUM(AA80:AA82)</f>
        <v>2454.7384614838666</v>
      </c>
      <c r="AB83" s="69"/>
      <c r="AC83" s="21"/>
      <c r="AD83" s="194"/>
      <c r="AE83" s="143"/>
      <c r="AF83" s="143"/>
      <c r="AG83" s="143"/>
      <c r="AH83" s="143"/>
      <c r="AI83" s="143"/>
      <c r="AJ83" s="143"/>
      <c r="AK83" s="16"/>
      <c r="AL83" s="16"/>
      <c r="AM83" s="16"/>
    </row>
    <row r="84" spans="2:39">
      <c r="B84" s="50" t="s">
        <v>3089</v>
      </c>
      <c r="C84" s="4"/>
      <c r="D84" s="4"/>
      <c r="E84" s="36"/>
      <c r="F84" s="4"/>
      <c r="G84" s="4"/>
      <c r="H84" s="4"/>
      <c r="I84" s="4"/>
      <c r="J84" s="4"/>
      <c r="K84" s="4"/>
      <c r="L84" s="69"/>
      <c r="M84" s="36">
        <f>M83/L83-1</f>
        <v>0.13397745798831973</v>
      </c>
      <c r="N84" s="36">
        <f t="shared" ref="N84:AA84" si="82">N83/M83-1</f>
        <v>0.1341173337040813</v>
      </c>
      <c r="O84" s="36">
        <f t="shared" si="82"/>
        <v>3.1419348381510614E-2</v>
      </c>
      <c r="P84" s="36">
        <f t="shared" si="82"/>
        <v>-4.5798133575708055E-2</v>
      </c>
      <c r="Q84" s="36">
        <f t="shared" ca="1" si="82"/>
        <v>-1.8414557278874755E-2</v>
      </c>
      <c r="R84" s="36">
        <f t="shared" ca="1" si="82"/>
        <v>9.2733246852652718E-2</v>
      </c>
      <c r="S84" s="36">
        <f t="shared" ca="1" si="82"/>
        <v>8.6592452284371513E-2</v>
      </c>
      <c r="T84" s="36">
        <f t="shared" ca="1" si="82"/>
        <v>0.30975177570151269</v>
      </c>
      <c r="U84" s="36">
        <f t="shared" ca="1" si="82"/>
        <v>0.16491109321864705</v>
      </c>
      <c r="V84" s="36">
        <f t="shared" ca="1" si="82"/>
        <v>5.8694888638868514E-2</v>
      </c>
      <c r="W84" s="36">
        <f t="shared" ca="1" si="82"/>
        <v>3.6677283854575693E-2</v>
      </c>
      <c r="X84" s="36">
        <f t="shared" ca="1" si="82"/>
        <v>1.762334755114936E-2</v>
      </c>
      <c r="Y84" s="36">
        <f t="shared" ca="1" si="82"/>
        <v>-9.4905657837396351E-4</v>
      </c>
      <c r="Z84" s="36">
        <f t="shared" ca="1" si="82"/>
        <v>8.514920629604239E-3</v>
      </c>
      <c r="AA84" s="36">
        <f t="shared" ca="1" si="82"/>
        <v>1.9818142385712445E-2</v>
      </c>
      <c r="AB84" s="36"/>
      <c r="AC84" s="21"/>
      <c r="AD84" s="194"/>
      <c r="AE84" s="143"/>
      <c r="AF84" s="143"/>
      <c r="AG84" s="143"/>
      <c r="AH84" s="143"/>
      <c r="AI84" s="143"/>
      <c r="AJ84" s="143"/>
      <c r="AK84" s="16"/>
      <c r="AL84" s="16"/>
      <c r="AM84" s="16"/>
    </row>
    <row r="85" spans="2:39">
      <c r="B85" s="50"/>
      <c r="C85" s="4"/>
      <c r="D85" s="4"/>
      <c r="E85" s="36"/>
      <c r="F85" s="4"/>
      <c r="G85" s="4"/>
      <c r="H85" s="4"/>
      <c r="I85" s="4"/>
      <c r="J85" s="4"/>
      <c r="K85" s="4"/>
      <c r="L85" s="4"/>
      <c r="M85" s="69"/>
      <c r="N85" s="4"/>
      <c r="O85" s="4"/>
      <c r="P85" s="4"/>
      <c r="Q85" s="4"/>
      <c r="R85" s="4"/>
      <c r="S85" s="4"/>
      <c r="T85" s="4"/>
      <c r="U85" s="4"/>
      <c r="V85" s="4"/>
      <c r="W85" s="4"/>
      <c r="X85" s="4"/>
      <c r="Y85" s="4"/>
      <c r="Z85" s="4"/>
      <c r="AA85" s="4"/>
      <c r="AB85" s="4"/>
      <c r="AC85" s="21"/>
      <c r="AD85" s="194"/>
      <c r="AE85" s="143"/>
      <c r="AF85" s="143"/>
      <c r="AG85" s="143"/>
      <c r="AH85" s="143"/>
      <c r="AI85" s="143"/>
      <c r="AJ85" s="143"/>
      <c r="AK85" s="16"/>
      <c r="AL85" s="16"/>
      <c r="AM85" s="16"/>
    </row>
    <row r="86" spans="2:39">
      <c r="B86" s="765" t="s">
        <v>3360</v>
      </c>
      <c r="C86" s="4"/>
      <c r="D86" s="4"/>
      <c r="E86" s="36"/>
      <c r="F86" s="4"/>
      <c r="G86" s="4"/>
      <c r="H86" s="4"/>
      <c r="I86" s="4"/>
      <c r="J86" s="4"/>
      <c r="K86" s="4"/>
      <c r="L86" s="4"/>
      <c r="M86" s="69"/>
      <c r="N86" s="4"/>
      <c r="O86" s="4"/>
      <c r="P86" s="4"/>
      <c r="Q86" s="4"/>
      <c r="R86" s="4"/>
      <c r="S86" s="4"/>
      <c r="T86" s="4"/>
      <c r="U86" s="4"/>
      <c r="V86" s="4"/>
      <c r="W86" s="4"/>
      <c r="X86" s="4"/>
      <c r="Y86" s="4"/>
      <c r="Z86" s="4"/>
      <c r="AA86" s="4"/>
      <c r="AB86" s="4"/>
      <c r="AC86" s="21"/>
      <c r="AD86" s="194"/>
      <c r="AE86" s="143"/>
      <c r="AF86" s="143"/>
      <c r="AG86" s="143"/>
      <c r="AH86" s="143"/>
      <c r="AI86" s="143"/>
      <c r="AJ86" s="143"/>
      <c r="AK86" s="16"/>
      <c r="AL86" s="16"/>
      <c r="AM86" s="16"/>
    </row>
    <row r="87" spans="2:39">
      <c r="B87" s="50" t="str">
        <f>B71</f>
        <v>Bolivia</v>
      </c>
      <c r="C87" s="4"/>
      <c r="D87" s="4"/>
      <c r="E87" s="36"/>
      <c r="F87" s="4"/>
      <c r="G87" s="4"/>
      <c r="H87" s="4"/>
      <c r="I87" s="4"/>
      <c r="J87" s="4"/>
      <c r="K87" s="4"/>
      <c r="L87" s="46">
        <v>357</v>
      </c>
      <c r="M87" s="46">
        <v>429</v>
      </c>
      <c r="N87" s="46">
        <v>438</v>
      </c>
      <c r="O87" s="46">
        <v>488</v>
      </c>
      <c r="P87" s="46">
        <f>'Country quarts'!L9</f>
        <v>530</v>
      </c>
      <c r="Q87" s="31">
        <f t="shared" ref="Q87:Z87" si="83">Q75/Q71</f>
        <v>555.6946454413893</v>
      </c>
      <c r="R87" s="31">
        <f t="shared" si="83"/>
        <v>578.76</v>
      </c>
      <c r="S87" s="31">
        <f t="shared" si="83"/>
        <v>613.48559999999998</v>
      </c>
      <c r="T87" s="31">
        <f t="shared" si="83"/>
        <v>616.33902139534882</v>
      </c>
      <c r="U87" s="31">
        <f t="shared" si="83"/>
        <v>619.20571451811793</v>
      </c>
      <c r="V87" s="31">
        <f t="shared" si="83"/>
        <v>616.32568793896394</v>
      </c>
      <c r="W87" s="31">
        <f t="shared" si="83"/>
        <v>607.7257946188854</v>
      </c>
      <c r="X87" s="31">
        <f t="shared" si="83"/>
        <v>644.18934229601859</v>
      </c>
      <c r="Y87" s="31">
        <f t="shared" si="83"/>
        <v>676.39880941081958</v>
      </c>
      <c r="Z87" s="31">
        <f t="shared" si="83"/>
        <v>710.21874988136062</v>
      </c>
      <c r="AA87" s="31">
        <f t="shared" ref="AA87" si="84">AA75/AA71</f>
        <v>745.72968737542863</v>
      </c>
      <c r="AB87" s="31"/>
      <c r="AC87" s="21"/>
      <c r="AD87" s="194"/>
      <c r="AE87" s="143"/>
      <c r="AF87" s="143"/>
      <c r="AG87" s="143"/>
      <c r="AH87" s="143"/>
      <c r="AI87" s="143"/>
      <c r="AJ87" s="143"/>
      <c r="AK87" s="16"/>
      <c r="AL87" s="16"/>
      <c r="AM87" s="16"/>
    </row>
    <row r="88" spans="2:39">
      <c r="B88" s="57" t="str">
        <f>B72</f>
        <v>Paraguay</v>
      </c>
      <c r="C88" s="12"/>
      <c r="D88" s="12"/>
      <c r="E88" s="136"/>
      <c r="F88" s="12"/>
      <c r="G88" s="12"/>
      <c r="H88" s="12"/>
      <c r="I88" s="12"/>
      <c r="J88" s="400">
        <f>1927628/J72</f>
        <v>387.54081222356251</v>
      </c>
      <c r="K88" s="400">
        <f>2200198/K72</f>
        <v>462.58700214627481</v>
      </c>
      <c r="L88" s="400">
        <v>593</v>
      </c>
      <c r="M88" s="400">
        <v>649</v>
      </c>
      <c r="N88" s="400">
        <v>784</v>
      </c>
      <c r="O88" s="400">
        <v>767</v>
      </c>
      <c r="P88" s="400">
        <f>'Country quarts'!L14</f>
        <v>672</v>
      </c>
      <c r="Q88" s="93">
        <f t="shared" ref="Q88:Z88" ca="1" si="85">Q89-Q87</f>
        <v>625.02952222476222</v>
      </c>
      <c r="R88" s="93">
        <f t="shared" ca="1" si="85"/>
        <v>711.45655337122957</v>
      </c>
      <c r="S88" s="93">
        <f t="shared" ca="1" si="85"/>
        <v>788.45396870553418</v>
      </c>
      <c r="T88" s="93">
        <f t="shared" ca="1" si="85"/>
        <v>1219.8538181429376</v>
      </c>
      <c r="U88" s="93">
        <f t="shared" ca="1" si="85"/>
        <v>1519.7956935486791</v>
      </c>
      <c r="V88" s="93">
        <f t="shared" ca="1" si="85"/>
        <v>1648.2241695726968</v>
      </c>
      <c r="W88" s="93">
        <f t="shared" ca="1" si="85"/>
        <v>1739.8816008195693</v>
      </c>
      <c r="X88" s="93">
        <f t="shared" ca="1" si="85"/>
        <v>1744.7907541858965</v>
      </c>
      <c r="Y88" s="93">
        <f t="shared" ca="1" si="85"/>
        <v>1710.3140097949249</v>
      </c>
      <c r="Z88" s="93">
        <f t="shared" ca="1" si="85"/>
        <v>1696.8167395455798</v>
      </c>
      <c r="AA88" s="93">
        <f t="shared" ref="AA88" ca="1" si="86">AA89-AA87</f>
        <v>1709.008774108438</v>
      </c>
      <c r="AB88" s="31"/>
      <c r="AC88" s="21"/>
      <c r="AD88" s="194"/>
      <c r="AE88" s="143">
        <f>O88*0.31</f>
        <v>237.77</v>
      </c>
      <c r="AF88" s="143"/>
      <c r="AG88" s="143"/>
      <c r="AH88" s="143"/>
      <c r="AI88" s="143"/>
      <c r="AJ88" s="143"/>
      <c r="AK88" s="16"/>
      <c r="AL88" s="16"/>
      <c r="AM88" s="16"/>
    </row>
    <row r="89" spans="2:39">
      <c r="B89" s="50" t="s">
        <v>2324</v>
      </c>
      <c r="C89" s="4"/>
      <c r="D89" s="4"/>
      <c r="E89" s="36"/>
      <c r="F89" s="4"/>
      <c r="G89" s="4"/>
      <c r="H89" s="4"/>
      <c r="I89" s="4"/>
      <c r="J89" s="4"/>
      <c r="K89" s="69"/>
      <c r="L89" s="69">
        <f t="shared" ref="L89:S89" si="87">L83</f>
        <v>950.34741615680662</v>
      </c>
      <c r="M89" s="69">
        <f t="shared" si="87"/>
        <v>1077.6725471792633</v>
      </c>
      <c r="N89" s="69">
        <f t="shared" si="87"/>
        <v>1222.2071158130318</v>
      </c>
      <c r="O89" s="69">
        <f t="shared" si="87"/>
        <v>1260.6080669791227</v>
      </c>
      <c r="P89" s="69">
        <f>P83</f>
        <v>1202.8745703409977</v>
      </c>
      <c r="Q89" s="69">
        <f ca="1">Q83</f>
        <v>1180.7241676661515</v>
      </c>
      <c r="R89" s="69">
        <f t="shared" ca="1" si="87"/>
        <v>1290.2165533712296</v>
      </c>
      <c r="S89" s="69">
        <f t="shared" ca="1" si="87"/>
        <v>1401.9395687055342</v>
      </c>
      <c r="T89" s="69">
        <f t="shared" ref="T89:Z89" ca="1" si="88">T83</f>
        <v>1836.1928395382863</v>
      </c>
      <c r="U89" s="69">
        <f t="shared" ca="1" si="88"/>
        <v>2139.001408066797</v>
      </c>
      <c r="V89" s="69">
        <f t="shared" ca="1" si="88"/>
        <v>2264.5498575116608</v>
      </c>
      <c r="W89" s="69">
        <f t="shared" ca="1" si="88"/>
        <v>2347.6073954384547</v>
      </c>
      <c r="X89" s="69">
        <f t="shared" ca="1" si="88"/>
        <v>2388.9800964819151</v>
      </c>
      <c r="Y89" s="69">
        <f t="shared" ca="1" si="88"/>
        <v>2386.7128192057444</v>
      </c>
      <c r="Z89" s="69">
        <f t="shared" ca="1" si="88"/>
        <v>2407.0354894269403</v>
      </c>
      <c r="AA89" s="69">
        <f t="shared" ref="AA89" ca="1" si="89">AA83</f>
        <v>2454.7384614838666</v>
      </c>
      <c r="AB89" s="69"/>
      <c r="AC89" s="21"/>
      <c r="AD89" s="194"/>
      <c r="AE89" s="16" t="e">
        <f>AE88/(Anna!S24*SOP!L20)</f>
        <v>#DIV/0!</v>
      </c>
      <c r="AF89" s="143"/>
      <c r="AG89" s="143"/>
      <c r="AH89" s="143"/>
      <c r="AI89" s="143"/>
      <c r="AJ89" s="143"/>
      <c r="AK89" s="16"/>
      <c r="AL89" s="16"/>
      <c r="AM89" s="16"/>
    </row>
    <row r="90" spans="2:39">
      <c r="B90" s="50" t="s">
        <v>2353</v>
      </c>
      <c r="C90" s="4"/>
      <c r="D90" s="4"/>
      <c r="E90" s="36"/>
      <c r="F90" s="4"/>
      <c r="G90" s="4"/>
      <c r="H90" s="4"/>
      <c r="I90" s="4"/>
      <c r="J90" s="4"/>
      <c r="K90" s="69"/>
      <c r="L90" s="69"/>
      <c r="M90" s="36">
        <f>M89/L89-1</f>
        <v>0.13397745798831973</v>
      </c>
      <c r="N90" s="36">
        <f t="shared" ref="N90:AA90" si="90">N89/M89-1</f>
        <v>0.1341173337040813</v>
      </c>
      <c r="O90" s="36">
        <f t="shared" si="90"/>
        <v>3.1419348381510614E-2</v>
      </c>
      <c r="P90" s="36">
        <f t="shared" si="90"/>
        <v>-4.5798133575708055E-2</v>
      </c>
      <c r="Q90" s="36">
        <f t="shared" ca="1" si="90"/>
        <v>-1.8414557278874755E-2</v>
      </c>
      <c r="R90" s="36">
        <f t="shared" ca="1" si="90"/>
        <v>9.2733246852652718E-2</v>
      </c>
      <c r="S90" s="36">
        <f t="shared" ca="1" si="90"/>
        <v>8.6592452284371513E-2</v>
      </c>
      <c r="T90" s="36">
        <f t="shared" ca="1" si="90"/>
        <v>0.30975177570151269</v>
      </c>
      <c r="U90" s="36">
        <f t="shared" ca="1" si="90"/>
        <v>0.16491109321864705</v>
      </c>
      <c r="V90" s="36">
        <f t="shared" ca="1" si="90"/>
        <v>5.8694888638868514E-2</v>
      </c>
      <c r="W90" s="36">
        <f t="shared" ca="1" si="90"/>
        <v>3.6677283854575693E-2</v>
      </c>
      <c r="X90" s="36">
        <f t="shared" ca="1" si="90"/>
        <v>1.762334755114936E-2</v>
      </c>
      <c r="Y90" s="36">
        <f t="shared" ca="1" si="90"/>
        <v>-9.4905657837396351E-4</v>
      </c>
      <c r="Z90" s="36">
        <f t="shared" ca="1" si="90"/>
        <v>8.514920629604239E-3</v>
      </c>
      <c r="AA90" s="36">
        <f t="shared" ca="1" si="90"/>
        <v>1.9818142385712445E-2</v>
      </c>
      <c r="AB90" s="36"/>
      <c r="AC90" s="21"/>
      <c r="AD90" s="194"/>
      <c r="AE90" s="143"/>
      <c r="AF90" s="143"/>
      <c r="AG90" s="143"/>
      <c r="AH90" s="143"/>
      <c r="AI90" s="143"/>
      <c r="AJ90" s="143"/>
      <c r="AK90" s="16"/>
      <c r="AL90" s="16"/>
      <c r="AM90" s="16"/>
    </row>
    <row r="91" spans="2:39">
      <c r="B91" s="50"/>
      <c r="C91" s="4"/>
      <c r="D91" s="4"/>
      <c r="E91" s="36"/>
      <c r="F91" s="4"/>
      <c r="G91" s="4"/>
      <c r="H91" s="4"/>
      <c r="I91" s="4"/>
      <c r="J91" s="4"/>
      <c r="K91" s="4"/>
      <c r="L91" s="69"/>
      <c r="M91" s="69"/>
      <c r="N91" s="69"/>
      <c r="O91" s="4"/>
      <c r="P91" s="4"/>
      <c r="Q91" s="4"/>
      <c r="R91" s="4"/>
      <c r="S91" s="4"/>
      <c r="T91" s="4"/>
      <c r="U91" s="4"/>
      <c r="V91" s="4"/>
      <c r="W91" s="4"/>
      <c r="X91" s="4"/>
      <c r="Y91" s="4"/>
      <c r="Z91" s="4"/>
      <c r="AA91" s="4"/>
      <c r="AB91" s="4"/>
      <c r="AC91" s="21"/>
      <c r="AD91" s="194"/>
      <c r="AE91" s="143"/>
      <c r="AF91" s="143"/>
      <c r="AG91" s="143"/>
      <c r="AH91" s="143"/>
      <c r="AI91" s="143"/>
      <c r="AJ91" s="143"/>
      <c r="AK91" s="16"/>
      <c r="AL91" s="16"/>
      <c r="AM91" s="16"/>
    </row>
    <row r="92" spans="2:39">
      <c r="B92" s="50" t="s">
        <v>2225</v>
      </c>
      <c r="C92" s="4"/>
      <c r="D92" s="4"/>
      <c r="E92" s="36"/>
      <c r="F92" s="36"/>
      <c r="G92" s="36"/>
      <c r="H92" s="36"/>
      <c r="I92" s="36"/>
      <c r="J92" s="36"/>
      <c r="K92" s="52"/>
      <c r="L92" s="52">
        <f t="shared" ref="L92:AA92" si="91">L87*(L71/K71)+L88*(L72/K72)</f>
        <v>877.70994145075815</v>
      </c>
      <c r="M92" s="52">
        <f t="shared" si="91"/>
        <v>1108.64401773637</v>
      </c>
      <c r="N92" s="52">
        <f t="shared" si="91"/>
        <v>1202.1249434133092</v>
      </c>
      <c r="O92" s="52">
        <f t="shared" si="91"/>
        <v>1286.7059916395726</v>
      </c>
      <c r="P92" s="52">
        <f t="shared" si="91"/>
        <v>1310.2561130244853</v>
      </c>
      <c r="Q92" s="52">
        <f t="shared" ca="1" si="91"/>
        <v>1231.4854328277991</v>
      </c>
      <c r="R92" s="52">
        <f t="shared" ca="1" si="91"/>
        <v>1284.06960736631</v>
      </c>
      <c r="S92" s="52">
        <f t="shared" ca="1" si="91"/>
        <v>1396.8582327095801</v>
      </c>
      <c r="T92" s="52">
        <f t="shared" ca="1" si="91"/>
        <v>1919.0138806872255</v>
      </c>
      <c r="U92" s="52">
        <f t="shared" ca="1" si="91"/>
        <v>2231.0357074621161</v>
      </c>
      <c r="V92" s="52">
        <f t="shared" ca="1" si="91"/>
        <v>2360.2210091942643</v>
      </c>
      <c r="W92" s="52">
        <f t="shared" ca="1" si="91"/>
        <v>2445.3832780594585</v>
      </c>
      <c r="X92" s="52">
        <f t="shared" ca="1" si="91"/>
        <v>2441.323819107492</v>
      </c>
      <c r="Y92" s="52">
        <f t="shared" ca="1" si="91"/>
        <v>2438.0222394995922</v>
      </c>
      <c r="Z92" s="52">
        <f t="shared" ca="1" si="91"/>
        <v>2457.9399916133079</v>
      </c>
      <c r="AA92" s="52">
        <f t="shared" ca="1" si="91"/>
        <v>2506.0087247071197</v>
      </c>
      <c r="AB92" s="52"/>
      <c r="AC92" s="72"/>
      <c r="AD92" s="72"/>
      <c r="AE92" s="72"/>
      <c r="AF92" s="21"/>
      <c r="AG92" s="72"/>
      <c r="AH92" s="72"/>
      <c r="AI92" s="72"/>
      <c r="AJ92" s="21"/>
      <c r="AK92" s="21"/>
      <c r="AL92" s="21"/>
    </row>
    <row r="93" spans="2:39">
      <c r="B93" s="50" t="s">
        <v>2353</v>
      </c>
      <c r="C93" s="4"/>
      <c r="D93" s="4"/>
      <c r="E93" s="36"/>
      <c r="F93" s="36"/>
      <c r="G93" s="36"/>
      <c r="H93" s="36"/>
      <c r="I93" s="36"/>
      <c r="J93" s="36"/>
      <c r="K93" s="55"/>
      <c r="L93" s="55"/>
      <c r="M93" s="55">
        <f t="shared" ref="M93:AA93" si="92">M92/L89-1</f>
        <v>0.16656708787583474</v>
      </c>
      <c r="N93" s="55">
        <f t="shared" si="92"/>
        <v>0.11548257080482549</v>
      </c>
      <c r="O93" s="55">
        <f t="shared" si="92"/>
        <v>5.2772459750927814E-2</v>
      </c>
      <c r="P93" s="55">
        <f t="shared" si="92"/>
        <v>3.9384204611935925E-2</v>
      </c>
      <c r="Q93" s="55">
        <f t="shared" ca="1" si="92"/>
        <v>2.3785408048563772E-2</v>
      </c>
      <c r="R93" s="55">
        <f t="shared" ca="1" si="92"/>
        <v>8.7527165556739339E-2</v>
      </c>
      <c r="S93" s="55">
        <f t="shared" ca="1" si="92"/>
        <v>8.2654093268067719E-2</v>
      </c>
      <c r="T93" s="55">
        <f t="shared" ca="1" si="92"/>
        <v>0.36882781792023067</v>
      </c>
      <c r="U93" s="55">
        <f t="shared" ca="1" si="92"/>
        <v>0.21503344279629899</v>
      </c>
      <c r="V93" s="55">
        <f t="shared" ca="1" si="92"/>
        <v>0.10342190533076967</v>
      </c>
      <c r="W93" s="55">
        <f t="shared" ca="1" si="92"/>
        <v>7.9854024828802661E-2</v>
      </c>
      <c r="X93" s="55">
        <f t="shared" ca="1" si="92"/>
        <v>3.9919972926961256E-2</v>
      </c>
      <c r="Y93" s="55">
        <f t="shared" ca="1" si="92"/>
        <v>2.0528485394205598E-2</v>
      </c>
      <c r="Z93" s="55">
        <f t="shared" ca="1" si="92"/>
        <v>2.9843210223870376E-2</v>
      </c>
      <c r="AA93" s="55">
        <f t="shared" ca="1" si="92"/>
        <v>4.1118311597367674E-2</v>
      </c>
      <c r="AB93" s="55"/>
      <c r="AC93" s="21"/>
      <c r="AD93" s="21"/>
      <c r="AE93" s="21"/>
      <c r="AF93" s="21"/>
      <c r="AG93" s="21"/>
      <c r="AH93" s="21"/>
      <c r="AI93" s="21"/>
      <c r="AJ93" s="21"/>
      <c r="AK93" s="21"/>
      <c r="AL93" s="21"/>
    </row>
    <row r="94" spans="2:39">
      <c r="B94" s="50" t="s">
        <v>35</v>
      </c>
      <c r="C94" s="4"/>
      <c r="D94" s="4"/>
      <c r="E94" s="36"/>
      <c r="F94" s="36"/>
      <c r="G94" s="36"/>
      <c r="H94" s="36"/>
      <c r="I94" s="36"/>
      <c r="J94" s="36"/>
      <c r="K94" s="55"/>
      <c r="L94" s="55"/>
      <c r="M94" s="55">
        <f t="shared" ref="M94:S94" si="93">M90-M93</f>
        <v>-3.2589629887515015E-2</v>
      </c>
      <c r="N94" s="55">
        <f t="shared" si="93"/>
        <v>1.8634762899255808E-2</v>
      </c>
      <c r="O94" s="55">
        <f t="shared" si="93"/>
        <v>-2.1353111369417199E-2</v>
      </c>
      <c r="P94" s="55">
        <f>P90-P93</f>
        <v>-8.518233818764398E-2</v>
      </c>
      <c r="Q94" s="55">
        <f t="shared" ca="1" si="93"/>
        <v>-4.2199965327438527E-2</v>
      </c>
      <c r="R94" s="55">
        <f t="shared" ca="1" si="93"/>
        <v>5.2060812959133784E-3</v>
      </c>
      <c r="S94" s="55">
        <f t="shared" ca="1" si="93"/>
        <v>3.938359016303794E-3</v>
      </c>
      <c r="T94" s="55">
        <f t="shared" ref="T94:Z94" ca="1" si="94">T90-T93</f>
        <v>-5.9076042218717983E-2</v>
      </c>
      <c r="U94" s="55">
        <f t="shared" ca="1" si="94"/>
        <v>-5.0122349577651937E-2</v>
      </c>
      <c r="V94" s="55">
        <f t="shared" ca="1" si="94"/>
        <v>-4.4727016691901156E-2</v>
      </c>
      <c r="W94" s="55">
        <f t="shared" ca="1" si="94"/>
        <v>-4.3176740974226968E-2</v>
      </c>
      <c r="X94" s="55">
        <f t="shared" ca="1" si="94"/>
        <v>-2.2296625375811896E-2</v>
      </c>
      <c r="Y94" s="55">
        <f t="shared" ca="1" si="94"/>
        <v>-2.1477541972579561E-2</v>
      </c>
      <c r="Z94" s="55">
        <f t="shared" ca="1" si="94"/>
        <v>-2.1328289594266137E-2</v>
      </c>
      <c r="AA94" s="55">
        <f t="shared" ref="AA94" ca="1" si="95">AA90-AA93</f>
        <v>-2.1300169211655229E-2</v>
      </c>
      <c r="AB94" s="55"/>
      <c r="AC94" s="21"/>
      <c r="AD94" s="21"/>
      <c r="AE94" s="21"/>
      <c r="AF94" s="21"/>
      <c r="AG94" s="21"/>
      <c r="AH94" s="21"/>
      <c r="AI94" s="21"/>
      <c r="AJ94" s="21"/>
      <c r="AK94" s="21"/>
      <c r="AL94" s="21"/>
    </row>
    <row r="95" spans="2:39">
      <c r="B95" s="50"/>
      <c r="C95" s="4"/>
      <c r="D95" s="4"/>
      <c r="E95" s="36"/>
      <c r="F95" s="4"/>
      <c r="G95" s="4"/>
      <c r="H95" s="4"/>
      <c r="I95" s="4"/>
      <c r="N95" s="449"/>
      <c r="O95" s="4"/>
      <c r="P95" s="4"/>
      <c r="Q95" s="4"/>
      <c r="R95" s="4"/>
      <c r="S95" s="4"/>
      <c r="T95" s="4"/>
      <c r="U95" s="4"/>
      <c r="V95" s="4"/>
      <c r="W95" s="4"/>
      <c r="X95" s="4"/>
      <c r="Y95" s="4"/>
      <c r="Z95" s="4"/>
      <c r="AA95" s="4"/>
      <c r="AB95" s="4"/>
      <c r="AC95" s="21"/>
      <c r="AD95" s="194"/>
      <c r="AE95" s="143"/>
      <c r="AF95" s="143"/>
      <c r="AG95" s="143"/>
      <c r="AH95" s="143"/>
      <c r="AI95" s="143"/>
      <c r="AJ95" s="143"/>
      <c r="AK95" s="16"/>
      <c r="AL95" s="16"/>
      <c r="AM95" s="16"/>
    </row>
    <row r="96" spans="2:39">
      <c r="B96" s="48" t="s">
        <v>3357</v>
      </c>
      <c r="C96" s="4"/>
      <c r="D96" s="4"/>
      <c r="E96" s="36"/>
      <c r="F96" s="4"/>
      <c r="G96" s="4"/>
      <c r="H96" s="4"/>
      <c r="I96" s="4"/>
      <c r="J96" s="4"/>
      <c r="K96" s="4"/>
      <c r="L96" s="4"/>
      <c r="M96" s="69"/>
      <c r="N96" s="4"/>
      <c r="O96" s="4"/>
      <c r="P96" s="4"/>
      <c r="Q96" s="4"/>
      <c r="R96" s="4"/>
      <c r="S96" s="4"/>
      <c r="T96" s="4"/>
      <c r="U96" s="4"/>
      <c r="V96" s="4"/>
      <c r="W96" s="4"/>
      <c r="X96" s="4"/>
      <c r="Y96" s="4"/>
      <c r="Z96" s="4"/>
      <c r="AA96" s="4"/>
      <c r="AB96" s="4"/>
      <c r="AC96" s="21"/>
      <c r="AD96" s="194"/>
      <c r="AE96" s="143"/>
      <c r="AF96" s="143"/>
      <c r="AG96" s="143"/>
      <c r="AH96" s="143"/>
      <c r="AI96" s="143"/>
      <c r="AJ96" s="143"/>
      <c r="AK96" s="16"/>
      <c r="AL96" s="16"/>
      <c r="AM96" s="16"/>
    </row>
    <row r="97" spans="2:39">
      <c r="B97" s="50" t="str">
        <f>B87</f>
        <v>Bolivia</v>
      </c>
      <c r="C97" s="4"/>
      <c r="D97" s="4"/>
      <c r="E97" s="36"/>
      <c r="F97" s="4"/>
      <c r="G97" s="4"/>
      <c r="H97" s="4"/>
      <c r="I97" s="4"/>
      <c r="J97" s="4"/>
      <c r="K97" s="4"/>
      <c r="L97" s="69">
        <f t="shared" ref="L97:U97" si="96">L99-L98</f>
        <v>163.16371475428139</v>
      </c>
      <c r="M97" s="69">
        <f t="shared" si="96"/>
        <v>206.57029983000393</v>
      </c>
      <c r="N97" s="69">
        <f t="shared" si="96"/>
        <v>174.33352478948404</v>
      </c>
      <c r="O97" s="69">
        <f t="shared" si="96"/>
        <v>196.83716475796967</v>
      </c>
      <c r="P97" s="69">
        <f>SUM('Country quarts'!H105:K105)</f>
        <v>195.81</v>
      </c>
      <c r="Q97" s="69">
        <f ca="1">Q99-Q98</f>
        <v>201.07261377811966</v>
      </c>
      <c r="R97" s="69">
        <f t="shared" ca="1" si="96"/>
        <v>243.83216692121107</v>
      </c>
      <c r="S97" s="69">
        <f t="shared" ca="1" si="96"/>
        <v>297.28650423593547</v>
      </c>
      <c r="T97" s="69">
        <f t="shared" ca="1" si="96"/>
        <v>509.87482437633969</v>
      </c>
      <c r="U97" s="69">
        <f t="shared" ca="1" si="96"/>
        <v>650.75922212288629</v>
      </c>
      <c r="V97" s="69">
        <f t="shared" ref="V97:AA97" ca="1" si="97">V99-V98</f>
        <v>697.11507653178296</v>
      </c>
      <c r="W97" s="69">
        <f t="shared" ca="1" si="97"/>
        <v>718.08127909894938</v>
      </c>
      <c r="X97" s="69">
        <f t="shared" ca="1" si="97"/>
        <v>736.33082204038283</v>
      </c>
      <c r="Y97" s="69">
        <f t="shared" ca="1" si="97"/>
        <v>727.9221570743498</v>
      </c>
      <c r="Z97" s="69">
        <f t="shared" ca="1" si="97"/>
        <v>731.75288927843496</v>
      </c>
      <c r="AA97" s="69">
        <f t="shared" ca="1" si="97"/>
        <v>750.65070131459368</v>
      </c>
      <c r="AB97" s="69"/>
      <c r="AC97" s="21"/>
      <c r="AD97" s="194"/>
      <c r="AE97" s="143"/>
      <c r="AF97" s="143"/>
      <c r="AG97" s="143"/>
      <c r="AH97" s="143"/>
      <c r="AI97" s="143"/>
      <c r="AJ97" s="143"/>
      <c r="AK97" s="16"/>
      <c r="AL97" s="16"/>
      <c r="AM97" s="16"/>
    </row>
    <row r="98" spans="2:39">
      <c r="B98" s="57" t="str">
        <f>B88</f>
        <v>Paraguay</v>
      </c>
      <c r="C98" s="12"/>
      <c r="D98" s="12"/>
      <c r="E98" s="136"/>
      <c r="F98" s="12"/>
      <c r="G98" s="12"/>
      <c r="H98" s="12"/>
      <c r="I98" s="12"/>
      <c r="J98" s="400">
        <f>1206908/J72</f>
        <v>242.64334539605952</v>
      </c>
      <c r="K98" s="400">
        <f>1364444/K72</f>
        <v>286.87148136507341</v>
      </c>
      <c r="L98" s="400">
        <f>1446683/L72</f>
        <v>344.7766920877026</v>
      </c>
      <c r="M98" s="766">
        <v>350</v>
      </c>
      <c r="N98" s="93">
        <f>SUM('LatAm quarts'!G27:J27)</f>
        <v>394.23047521051592</v>
      </c>
      <c r="O98" s="93">
        <f>SUM('LatAm quarts'!K27:N27)</f>
        <v>347.84027461781608</v>
      </c>
      <c r="P98" s="93">
        <f>P99-P97</f>
        <v>300.22714036951055</v>
      </c>
      <c r="Q98" s="93">
        <f t="shared" ref="Q98:Z98" ca="1" si="98">Q103*Q88</f>
        <v>287.51358022339065</v>
      </c>
      <c r="R98" s="93">
        <f t="shared" ca="1" si="98"/>
        <v>327.27001455076561</v>
      </c>
      <c r="S98" s="93">
        <f t="shared" ca="1" si="98"/>
        <v>362.68882560454574</v>
      </c>
      <c r="T98" s="93">
        <f t="shared" ca="1" si="98"/>
        <v>561.13275634575132</v>
      </c>
      <c r="U98" s="93">
        <f t="shared" ca="1" si="98"/>
        <v>699.1060190323924</v>
      </c>
      <c r="V98" s="93">
        <f t="shared" ca="1" si="98"/>
        <v>754.06255757950885</v>
      </c>
      <c r="W98" s="93">
        <f t="shared" ca="1" si="98"/>
        <v>791.64612837290406</v>
      </c>
      <c r="X98" s="93">
        <f t="shared" ca="1" si="98"/>
        <v>789.51781626911816</v>
      </c>
      <c r="Y98" s="93">
        <f t="shared" ca="1" si="98"/>
        <v>769.64130440771623</v>
      </c>
      <c r="Z98" s="93">
        <f t="shared" ca="1" si="98"/>
        <v>759.32549094664694</v>
      </c>
      <c r="AA98" s="93">
        <f t="shared" ref="AA98" ca="1" si="99">AA103*AA88</f>
        <v>760.50890447825498</v>
      </c>
      <c r="AB98" s="31"/>
      <c r="AC98" s="21"/>
      <c r="AD98" s="194"/>
      <c r="AE98" s="143"/>
      <c r="AF98" s="143"/>
      <c r="AG98" s="143"/>
      <c r="AH98" s="143"/>
      <c r="AI98" s="143"/>
      <c r="AJ98" s="143"/>
      <c r="AK98" s="16"/>
      <c r="AL98" s="16"/>
      <c r="AM98" s="16"/>
    </row>
    <row r="99" spans="2:39">
      <c r="B99" s="50" t="s">
        <v>2324</v>
      </c>
      <c r="C99" s="4"/>
      <c r="D99" s="4"/>
      <c r="E99" s="36"/>
      <c r="F99" s="4"/>
      <c r="G99" s="4"/>
      <c r="H99" s="4"/>
      <c r="I99" s="4"/>
      <c r="J99" s="4"/>
      <c r="K99" s="4"/>
      <c r="L99" s="69">
        <f t="shared" ref="L99:U99" si="100">L117</f>
        <v>507.94040684198399</v>
      </c>
      <c r="M99" s="69">
        <f t="shared" si="100"/>
        <v>556.57029983000393</v>
      </c>
      <c r="N99" s="69">
        <f t="shared" si="100"/>
        <v>568.56399999999996</v>
      </c>
      <c r="O99" s="69">
        <f t="shared" si="100"/>
        <v>544.67743937578575</v>
      </c>
      <c r="P99" s="69">
        <f t="shared" si="100"/>
        <v>496.03714036951055</v>
      </c>
      <c r="Q99" s="69">
        <f t="shared" ca="1" si="100"/>
        <v>488.58619400151031</v>
      </c>
      <c r="R99" s="69">
        <f t="shared" ca="1" si="100"/>
        <v>571.10218147197668</v>
      </c>
      <c r="S99" s="69">
        <f t="shared" ca="1" si="100"/>
        <v>659.97532984048121</v>
      </c>
      <c r="T99" s="69">
        <f t="shared" ca="1" si="100"/>
        <v>1071.007580722091</v>
      </c>
      <c r="U99" s="69">
        <f t="shared" ca="1" si="100"/>
        <v>1349.8652411552787</v>
      </c>
      <c r="V99" s="69">
        <f t="shared" ref="V99:AA99" ca="1" si="101">V117</f>
        <v>1451.1776341112918</v>
      </c>
      <c r="W99" s="69">
        <f t="shared" ca="1" si="101"/>
        <v>1509.7274074718534</v>
      </c>
      <c r="X99" s="69">
        <f t="shared" ca="1" si="101"/>
        <v>1525.848638309501</v>
      </c>
      <c r="Y99" s="69">
        <f t="shared" ca="1" si="101"/>
        <v>1497.563461482066</v>
      </c>
      <c r="Z99" s="69">
        <f t="shared" ca="1" si="101"/>
        <v>1491.0783802250819</v>
      </c>
      <c r="AA99" s="69">
        <f t="shared" ca="1" si="101"/>
        <v>1511.1596057928487</v>
      </c>
      <c r="AB99" s="69"/>
      <c r="AC99" s="21"/>
      <c r="AD99" s="194"/>
      <c r="AE99" s="143"/>
      <c r="AF99" s="143"/>
      <c r="AG99" s="143"/>
      <c r="AH99" s="143"/>
      <c r="AI99" s="143"/>
      <c r="AJ99" s="143"/>
      <c r="AK99" s="16"/>
      <c r="AL99" s="16"/>
      <c r="AM99" s="16"/>
    </row>
    <row r="100" spans="2:39">
      <c r="B100" s="50"/>
      <c r="C100" s="4"/>
      <c r="D100" s="4"/>
      <c r="E100" s="36"/>
      <c r="F100" s="4"/>
      <c r="G100" s="4"/>
      <c r="H100" s="4"/>
      <c r="I100" s="4"/>
      <c r="J100" s="4"/>
      <c r="K100" s="4"/>
      <c r="L100" s="4"/>
      <c r="M100" s="69"/>
      <c r="N100" s="4"/>
      <c r="O100" s="4"/>
      <c r="P100" s="4"/>
      <c r="Q100" s="4"/>
      <c r="R100" s="4"/>
      <c r="S100" s="4"/>
      <c r="T100" s="4"/>
      <c r="U100" s="4"/>
      <c r="V100" s="4"/>
      <c r="W100" s="4"/>
      <c r="X100" s="4"/>
      <c r="Y100" s="4"/>
      <c r="Z100" s="4"/>
      <c r="AA100" s="4"/>
      <c r="AB100" s="4"/>
      <c r="AC100" s="21"/>
      <c r="AD100" s="194"/>
      <c r="AE100" s="143"/>
      <c r="AF100" s="143"/>
      <c r="AG100" s="143"/>
      <c r="AH100" s="143"/>
      <c r="AI100" s="143"/>
      <c r="AJ100" s="143"/>
      <c r="AK100" s="16"/>
      <c r="AL100" s="16"/>
      <c r="AM100" s="16"/>
    </row>
    <row r="101" spans="2:39">
      <c r="B101" s="48" t="s">
        <v>1542</v>
      </c>
      <c r="C101" s="4"/>
      <c r="D101" s="4"/>
      <c r="E101" s="36"/>
      <c r="F101" s="4"/>
      <c r="G101" s="4"/>
      <c r="H101" s="4"/>
      <c r="I101" s="4"/>
      <c r="J101" s="4"/>
      <c r="K101" s="4"/>
      <c r="L101" s="4"/>
      <c r="M101" s="69"/>
      <c r="N101" s="4"/>
      <c r="O101" s="4"/>
      <c r="P101" s="4"/>
      <c r="Q101" s="4"/>
      <c r="R101" s="4"/>
      <c r="S101" s="4"/>
      <c r="T101" s="4"/>
      <c r="U101" s="4"/>
      <c r="V101" s="4"/>
      <c r="W101" s="4"/>
      <c r="X101" s="4"/>
      <c r="Y101" s="4"/>
      <c r="Z101" s="4"/>
      <c r="AA101" s="4"/>
      <c r="AB101" s="4"/>
      <c r="AC101" s="21"/>
      <c r="AD101" s="194"/>
      <c r="AE101" s="143"/>
      <c r="AF101" s="143"/>
      <c r="AG101" s="143"/>
      <c r="AH101" s="143"/>
      <c r="AI101" s="143"/>
      <c r="AJ101" s="143"/>
      <c r="AK101" s="16"/>
      <c r="AL101" s="16"/>
      <c r="AM101" s="16"/>
    </row>
    <row r="102" spans="2:39">
      <c r="B102" s="50" t="str">
        <f>B97</f>
        <v>Bolivia</v>
      </c>
      <c r="C102" s="4"/>
      <c r="D102" s="4"/>
      <c r="E102" s="36"/>
      <c r="F102" s="4"/>
      <c r="G102" s="4"/>
      <c r="H102" s="4"/>
      <c r="I102" s="4"/>
      <c r="J102" s="4"/>
      <c r="K102" s="29"/>
      <c r="L102" s="29">
        <f t="shared" ref="L102:N103" si="102">L97/L87</f>
        <v>0.4570412177991075</v>
      </c>
      <c r="M102" s="29">
        <f t="shared" si="102"/>
        <v>0.48151585041958961</v>
      </c>
      <c r="N102" s="29">
        <f t="shared" si="102"/>
        <v>0.39802174609471241</v>
      </c>
      <c r="O102" s="29">
        <f t="shared" ref="O102:U102" si="103">O97/O87</f>
        <v>0.40335484581551162</v>
      </c>
      <c r="P102" s="29">
        <f>P97/P87</f>
        <v>0.36945283018867925</v>
      </c>
      <c r="Q102" s="29">
        <f t="shared" ca="1" si="103"/>
        <v>0.36184011386038695</v>
      </c>
      <c r="R102" s="29">
        <f t="shared" ca="1" si="103"/>
        <v>0.42130100027854561</v>
      </c>
      <c r="S102" s="29">
        <f t="shared" ca="1" si="103"/>
        <v>0.48458595317630188</v>
      </c>
      <c r="T102" s="29">
        <f t="shared" ca="1" si="103"/>
        <v>0.82726357844748888</v>
      </c>
      <c r="U102" s="29">
        <f t="shared" ca="1" si="103"/>
        <v>1.0509580368283973</v>
      </c>
      <c r="V102" s="29">
        <f t="shared" ref="V102:AA102" ca="1" si="104">V97/V87</f>
        <v>1.131082299786959</v>
      </c>
      <c r="W102" s="29">
        <f t="shared" ca="1" si="104"/>
        <v>1.1815876262900271</v>
      </c>
      <c r="X102" s="29">
        <f t="shared" ca="1" si="104"/>
        <v>1.1430347782780039</v>
      </c>
      <c r="Y102" s="29">
        <f t="shared" ca="1" si="104"/>
        <v>1.0761730312748627</v>
      </c>
      <c r="Z102" s="29">
        <f t="shared" ca="1" si="104"/>
        <v>1.0303204321213311</v>
      </c>
      <c r="AA102" s="29">
        <f t="shared" ca="1" si="104"/>
        <v>1.00659892454662</v>
      </c>
      <c r="AB102" s="29"/>
      <c r="AC102" s="21"/>
      <c r="AD102" s="194"/>
      <c r="AE102" s="143"/>
      <c r="AF102" s="143"/>
      <c r="AG102" s="143"/>
      <c r="AH102" s="143"/>
      <c r="AI102" s="143"/>
      <c r="AJ102" s="143"/>
      <c r="AK102" s="16"/>
      <c r="AL102" s="16"/>
      <c r="AM102" s="16"/>
    </row>
    <row r="103" spans="2:39">
      <c r="B103" s="50" t="str">
        <f>B98</f>
        <v>Paraguay</v>
      </c>
      <c r="C103" s="4"/>
      <c r="D103" s="4"/>
      <c r="E103" s="36"/>
      <c r="F103" s="4"/>
      <c r="G103" s="4"/>
      <c r="H103" s="4"/>
      <c r="I103" s="4"/>
      <c r="J103" s="29">
        <f>J98/J88</f>
        <v>0.6261104320958194</v>
      </c>
      <c r="K103" s="29">
        <f>K98/K88</f>
        <v>0.62014600504136441</v>
      </c>
      <c r="L103" s="29">
        <f t="shared" si="102"/>
        <v>0.58141094787133663</v>
      </c>
      <c r="M103" s="29">
        <f t="shared" si="102"/>
        <v>0.53929121725731899</v>
      </c>
      <c r="N103" s="29">
        <f t="shared" si="102"/>
        <v>0.50284499389096415</v>
      </c>
      <c r="O103" s="29">
        <f>O98/O88</f>
        <v>0.45350752883678758</v>
      </c>
      <c r="P103" s="29">
        <f>P98/P88</f>
        <v>0.44676657793081925</v>
      </c>
      <c r="Q103" s="987">
        <v>0.46</v>
      </c>
      <c r="R103" s="987">
        <f>Q103</f>
        <v>0.46</v>
      </c>
      <c r="S103" s="987">
        <f>R103</f>
        <v>0.46</v>
      </c>
      <c r="T103" s="987">
        <f>S103</f>
        <v>0.46</v>
      </c>
      <c r="U103" s="987">
        <f>T103</f>
        <v>0.46</v>
      </c>
      <c r="V103" s="987">
        <f t="shared" ref="V103:AA103" si="105">U103-0.25%</f>
        <v>0.45750000000000002</v>
      </c>
      <c r="W103" s="987">
        <f t="shared" si="105"/>
        <v>0.45500000000000002</v>
      </c>
      <c r="X103" s="987">
        <f t="shared" si="105"/>
        <v>0.45250000000000001</v>
      </c>
      <c r="Y103" s="987">
        <f t="shared" si="105"/>
        <v>0.45</v>
      </c>
      <c r="Z103" s="987">
        <f t="shared" si="105"/>
        <v>0.44750000000000001</v>
      </c>
      <c r="AA103" s="987">
        <f t="shared" si="105"/>
        <v>0.44500000000000001</v>
      </c>
      <c r="AB103" s="987"/>
      <c r="AC103" s="21"/>
      <c r="AD103" s="194"/>
      <c r="AE103" s="143"/>
      <c r="AF103" s="143"/>
      <c r="AG103" s="143"/>
      <c r="AH103" s="143"/>
      <c r="AI103" s="143"/>
      <c r="AJ103" s="143"/>
      <c r="AK103" s="16"/>
      <c r="AL103" s="16"/>
      <c r="AM103" s="16"/>
    </row>
    <row r="104" spans="2:39">
      <c r="B104" s="50"/>
      <c r="C104" s="4"/>
      <c r="D104" s="4"/>
      <c r="E104" s="36"/>
      <c r="F104" s="4"/>
      <c r="G104" s="4"/>
      <c r="H104" s="4"/>
      <c r="I104" s="4"/>
      <c r="J104" s="4"/>
      <c r="K104" s="4"/>
      <c r="L104" s="4"/>
      <c r="M104" s="69"/>
      <c r="N104" s="4"/>
      <c r="O104" s="4"/>
      <c r="P104" s="4"/>
      <c r="Q104" s="4"/>
      <c r="R104" s="4"/>
      <c r="S104" s="4"/>
      <c r="T104" s="4"/>
      <c r="U104" s="4"/>
      <c r="V104" s="4"/>
      <c r="W104" s="4"/>
      <c r="X104" s="4"/>
      <c r="Y104" s="4"/>
      <c r="Z104" s="4"/>
      <c r="AA104" s="4"/>
      <c r="AB104" s="4"/>
      <c r="AC104" s="21"/>
      <c r="AD104" s="194"/>
      <c r="AE104" s="143"/>
      <c r="AF104" s="143"/>
      <c r="AG104" s="143"/>
      <c r="AH104" s="143"/>
      <c r="AI104" s="143"/>
      <c r="AJ104" s="143"/>
      <c r="AK104" s="16"/>
      <c r="AL104" s="16"/>
      <c r="AM104" s="16"/>
    </row>
    <row r="105" spans="2:39">
      <c r="B105" s="48" t="s">
        <v>1545</v>
      </c>
      <c r="C105" s="4"/>
      <c r="D105" s="4"/>
      <c r="E105" s="36"/>
      <c r="F105" s="4"/>
      <c r="G105" s="4"/>
      <c r="H105" s="4"/>
      <c r="I105" s="4"/>
      <c r="J105" s="4"/>
      <c r="K105" s="4"/>
      <c r="L105" s="4"/>
      <c r="M105" s="69"/>
      <c r="N105" s="4"/>
      <c r="O105" s="4"/>
      <c r="P105" s="4"/>
      <c r="Q105" s="4"/>
      <c r="R105" s="4"/>
      <c r="S105" s="4"/>
      <c r="T105" s="4"/>
      <c r="U105" s="4"/>
      <c r="V105" s="4"/>
      <c r="W105" s="4"/>
      <c r="X105" s="4"/>
      <c r="Y105" s="4"/>
      <c r="Z105" s="4"/>
      <c r="AA105" s="4"/>
      <c r="AB105" s="4"/>
      <c r="AC105" s="21"/>
      <c r="AD105" s="194"/>
      <c r="AE105" s="143"/>
      <c r="AF105" s="143"/>
      <c r="AG105" s="143"/>
      <c r="AH105" s="143"/>
      <c r="AI105" s="143"/>
      <c r="AJ105" s="143"/>
      <c r="AK105" s="16"/>
      <c r="AL105" s="16"/>
      <c r="AM105" s="16"/>
    </row>
    <row r="106" spans="2:39">
      <c r="B106" s="50" t="str">
        <f>B102</f>
        <v>Bolivia</v>
      </c>
      <c r="C106" s="4"/>
      <c r="D106" s="4"/>
      <c r="E106" s="36"/>
      <c r="F106" s="4"/>
      <c r="G106" s="4"/>
      <c r="H106" s="4"/>
      <c r="I106" s="4"/>
      <c r="J106" s="4"/>
      <c r="K106" s="4"/>
      <c r="L106" s="31">
        <f>L127-L107</f>
        <v>52.989942802669191</v>
      </c>
      <c r="M106" s="31">
        <f>M127-M107</f>
        <v>83</v>
      </c>
      <c r="N106" s="31">
        <f>N127-N107</f>
        <v>100.13</v>
      </c>
      <c r="O106" s="4"/>
      <c r="P106" s="4"/>
      <c r="Q106" s="4"/>
      <c r="R106" s="4"/>
      <c r="S106" s="4"/>
      <c r="T106" s="4"/>
      <c r="U106" s="4"/>
      <c r="V106" s="4"/>
      <c r="W106" s="4"/>
      <c r="X106" s="4"/>
      <c r="Y106" s="4"/>
      <c r="Z106" s="4"/>
      <c r="AA106" s="4"/>
      <c r="AB106" s="4"/>
      <c r="AC106" s="21"/>
      <c r="AD106" s="194"/>
      <c r="AE106" s="143"/>
      <c r="AF106" s="143"/>
      <c r="AG106" s="143"/>
      <c r="AH106" s="143"/>
      <c r="AI106" s="143"/>
      <c r="AJ106" s="143"/>
      <c r="AK106" s="16"/>
      <c r="AL106" s="16"/>
      <c r="AM106" s="16"/>
    </row>
    <row r="107" spans="2:39">
      <c r="B107" s="50" t="str">
        <f>B103</f>
        <v>Paraguay</v>
      </c>
      <c r="C107" s="4"/>
      <c r="D107" s="4"/>
      <c r="E107" s="36"/>
      <c r="F107" s="4"/>
      <c r="G107" s="4"/>
      <c r="H107" s="4"/>
      <c r="I107" s="4"/>
      <c r="J107" s="46">
        <f>167005/J72</f>
        <v>33.575593084036996</v>
      </c>
      <c r="K107" s="46">
        <f>175840/K72</f>
        <v>36.969990181520465</v>
      </c>
      <c r="L107" s="46">
        <f>318099/L72</f>
        <v>75.810057197330792</v>
      </c>
      <c r="M107" s="46">
        <v>67</v>
      </c>
      <c r="N107" s="771">
        <v>85</v>
      </c>
      <c r="O107" s="4"/>
      <c r="P107" s="4"/>
      <c r="Q107" s="4"/>
      <c r="R107" s="4"/>
      <c r="S107" s="4"/>
      <c r="T107" s="4"/>
      <c r="U107" s="4"/>
      <c r="V107" s="4"/>
      <c r="W107" s="4"/>
      <c r="X107" s="4"/>
      <c r="Y107" s="4"/>
      <c r="Z107" s="4"/>
      <c r="AA107" s="4"/>
      <c r="AB107" s="4"/>
      <c r="AC107" s="21"/>
      <c r="AD107" s="194"/>
      <c r="AE107" s="143"/>
      <c r="AF107" s="143"/>
      <c r="AG107" s="143"/>
      <c r="AH107" s="143"/>
      <c r="AI107" s="143"/>
      <c r="AJ107" s="143"/>
      <c r="AK107" s="16"/>
      <c r="AL107" s="16"/>
      <c r="AM107" s="16"/>
    </row>
    <row r="108" spans="2:39">
      <c r="B108" s="50"/>
      <c r="C108" s="4"/>
      <c r="D108" s="4"/>
      <c r="E108" s="36"/>
      <c r="F108" s="4"/>
      <c r="G108" s="4"/>
      <c r="H108" s="4"/>
      <c r="I108" s="4"/>
      <c r="J108" s="4"/>
      <c r="K108" s="4"/>
      <c r="L108" s="4"/>
      <c r="M108" s="69"/>
      <c r="N108" s="4"/>
      <c r="O108" s="4"/>
      <c r="P108" s="4"/>
      <c r="Q108" s="4"/>
      <c r="R108" s="4"/>
      <c r="S108" s="4"/>
      <c r="T108" s="4"/>
      <c r="U108" s="4"/>
      <c r="V108" s="4"/>
      <c r="W108" s="4"/>
      <c r="X108" s="4"/>
      <c r="Y108" s="4"/>
      <c r="Z108" s="4"/>
      <c r="AA108" s="4"/>
      <c r="AB108" s="4"/>
      <c r="AC108" s="21"/>
      <c r="AD108" s="194"/>
      <c r="AE108" s="143"/>
      <c r="AF108" s="143"/>
      <c r="AG108" s="143"/>
      <c r="AH108" s="143"/>
      <c r="AI108" s="143"/>
      <c r="AJ108" s="143"/>
      <c r="AK108" s="16"/>
      <c r="AL108" s="16"/>
      <c r="AM108" s="16"/>
    </row>
    <row r="109" spans="2:39">
      <c r="B109" s="48" t="s">
        <v>3359</v>
      </c>
      <c r="C109" s="4"/>
      <c r="D109" s="4"/>
      <c r="E109" s="36"/>
      <c r="F109" s="4"/>
      <c r="G109" s="4"/>
      <c r="H109" s="4"/>
      <c r="I109" s="4"/>
      <c r="J109" s="4"/>
      <c r="K109" s="4"/>
      <c r="L109" s="4"/>
      <c r="M109" s="69"/>
      <c r="N109" s="4"/>
      <c r="O109" s="4"/>
      <c r="P109" s="4"/>
      <c r="Q109" s="4"/>
      <c r="R109" s="4"/>
      <c r="S109" s="4"/>
      <c r="T109" s="4"/>
      <c r="U109" s="4"/>
      <c r="V109" s="4"/>
      <c r="W109" s="4"/>
      <c r="X109" s="4"/>
      <c r="Y109" s="4"/>
      <c r="Z109" s="4"/>
      <c r="AA109" s="4"/>
      <c r="AB109" s="4"/>
      <c r="AC109" s="21"/>
      <c r="AD109" s="194"/>
      <c r="AE109" s="143"/>
      <c r="AF109" s="143"/>
      <c r="AG109" s="143"/>
      <c r="AH109" s="143"/>
      <c r="AI109" s="143"/>
      <c r="AJ109" s="143"/>
      <c r="AK109" s="16"/>
      <c r="AL109" s="16"/>
      <c r="AM109" s="16"/>
    </row>
    <row r="110" spans="2:39">
      <c r="B110" s="50" t="str">
        <f>B106</f>
        <v>Bolivia</v>
      </c>
      <c r="C110" s="4"/>
      <c r="D110" s="4"/>
      <c r="E110" s="36"/>
      <c r="F110" s="4"/>
      <c r="G110" s="4"/>
      <c r="H110" s="4"/>
      <c r="I110" s="4"/>
      <c r="J110" s="4"/>
      <c r="K110" s="29"/>
      <c r="L110" s="29">
        <f t="shared" ref="L110:N111" si="106">L106/L87</f>
        <v>0.14843121233240669</v>
      </c>
      <c r="M110" s="29">
        <f t="shared" si="106"/>
        <v>0.19347319347319347</v>
      </c>
      <c r="N110" s="29">
        <f t="shared" si="106"/>
        <v>0.22860730593607304</v>
      </c>
      <c r="O110" s="4"/>
      <c r="P110" s="4"/>
      <c r="Q110" s="4"/>
      <c r="R110" s="4"/>
      <c r="S110" s="4"/>
      <c r="T110" s="4"/>
      <c r="U110" s="4"/>
      <c r="V110" s="4"/>
      <c r="W110" s="4"/>
      <c r="X110" s="4"/>
      <c r="Y110" s="4"/>
      <c r="Z110" s="4"/>
      <c r="AA110" s="4"/>
      <c r="AB110" s="4"/>
      <c r="AC110" s="21"/>
      <c r="AD110" s="194"/>
      <c r="AE110" s="143"/>
      <c r="AF110" s="143"/>
      <c r="AG110" s="143"/>
      <c r="AH110" s="143"/>
      <c r="AI110" s="143"/>
      <c r="AJ110" s="143"/>
      <c r="AK110" s="16"/>
      <c r="AL110" s="16"/>
      <c r="AM110" s="16"/>
    </row>
    <row r="111" spans="2:39">
      <c r="B111" s="50" t="str">
        <f>B107</f>
        <v>Paraguay</v>
      </c>
      <c r="C111" s="4"/>
      <c r="D111" s="4"/>
      <c r="E111" s="36"/>
      <c r="F111" s="4"/>
      <c r="G111" s="4"/>
      <c r="H111" s="4"/>
      <c r="I111" s="4"/>
      <c r="J111" s="29">
        <f>J107/J88</f>
        <v>8.6637566999441806E-2</v>
      </c>
      <c r="K111" s="29">
        <f>K107/K88</f>
        <v>7.992007992007992E-2</v>
      </c>
      <c r="L111" s="29">
        <f t="shared" si="106"/>
        <v>0.12784158043394736</v>
      </c>
      <c r="M111" s="29">
        <f t="shared" si="106"/>
        <v>0.10323574730354391</v>
      </c>
      <c r="N111" s="29">
        <f t="shared" si="106"/>
        <v>0.10841836734693877</v>
      </c>
      <c r="O111" s="4"/>
      <c r="P111" s="4"/>
      <c r="Q111" s="4"/>
      <c r="R111" s="4"/>
      <c r="S111" s="4"/>
      <c r="T111" s="4"/>
      <c r="U111" s="4"/>
      <c r="V111" s="4"/>
      <c r="W111" s="4"/>
      <c r="X111" s="4"/>
      <c r="Y111" s="4"/>
      <c r="Z111" s="4"/>
      <c r="AA111" s="4"/>
      <c r="AB111" s="4"/>
      <c r="AC111" s="21"/>
      <c r="AD111" s="194"/>
      <c r="AE111" s="143"/>
      <c r="AF111" s="143"/>
      <c r="AG111" s="143"/>
      <c r="AH111" s="143"/>
      <c r="AI111" s="143"/>
      <c r="AJ111" s="143"/>
      <c r="AK111" s="16"/>
      <c r="AL111" s="16"/>
      <c r="AM111" s="16"/>
    </row>
    <row r="112" spans="2:39">
      <c r="B112" s="50"/>
      <c r="C112" s="4"/>
      <c r="D112" s="4"/>
      <c r="E112" s="36"/>
      <c r="F112" s="4"/>
      <c r="G112" s="4"/>
      <c r="H112" s="4"/>
      <c r="I112" s="4"/>
      <c r="J112" s="4"/>
      <c r="K112" s="4"/>
      <c r="L112" s="4"/>
      <c r="M112" s="69"/>
      <c r="N112" s="4"/>
      <c r="O112" s="4"/>
      <c r="P112" s="4"/>
      <c r="Q112" s="4"/>
      <c r="R112" s="4"/>
      <c r="S112" s="4"/>
      <c r="T112" s="4"/>
      <c r="U112" s="4"/>
      <c r="V112" s="4"/>
      <c r="W112" s="4"/>
      <c r="X112" s="4"/>
      <c r="Y112" s="4"/>
      <c r="Z112" s="4"/>
      <c r="AA112" s="4"/>
      <c r="AB112" s="4"/>
      <c r="AC112" s="21"/>
      <c r="AD112" s="194"/>
      <c r="AE112" s="143"/>
      <c r="AF112" s="143"/>
      <c r="AG112" s="143"/>
      <c r="AH112" s="143"/>
      <c r="AI112" s="143"/>
      <c r="AJ112" s="143"/>
      <c r="AK112" s="16"/>
      <c r="AL112" s="16"/>
      <c r="AM112" s="16"/>
    </row>
    <row r="113" spans="2:39">
      <c r="B113" s="48" t="s">
        <v>1552</v>
      </c>
      <c r="C113" s="4"/>
      <c r="D113" s="4"/>
      <c r="E113" s="36"/>
      <c r="F113" s="4"/>
      <c r="G113" s="4"/>
      <c r="H113" s="4"/>
      <c r="I113" s="4"/>
      <c r="J113" s="4"/>
      <c r="K113" s="4"/>
      <c r="L113" s="4"/>
      <c r="M113" s="69"/>
      <c r="N113" s="4"/>
      <c r="O113" s="4"/>
      <c r="P113" s="4"/>
      <c r="Q113" s="4"/>
      <c r="R113" s="4"/>
      <c r="S113" s="4"/>
      <c r="T113" s="4"/>
      <c r="U113" s="4"/>
      <c r="V113" s="4"/>
      <c r="W113" s="4"/>
      <c r="X113" s="4"/>
      <c r="Y113" s="4"/>
      <c r="Z113" s="4"/>
      <c r="AA113" s="4"/>
      <c r="AB113" s="4"/>
      <c r="AC113" s="21"/>
      <c r="AD113" s="194"/>
      <c r="AE113" s="143"/>
      <c r="AF113" s="143"/>
      <c r="AG113" s="143"/>
      <c r="AH113" s="143"/>
      <c r="AI113" s="143"/>
      <c r="AJ113" s="143"/>
      <c r="AK113" s="16"/>
      <c r="AL113" s="16"/>
      <c r="AM113" s="16"/>
    </row>
    <row r="114" spans="2:39">
      <c r="B114" s="50" t="str">
        <f>B106</f>
        <v>Bolivia</v>
      </c>
      <c r="C114" s="4"/>
      <c r="D114" s="4"/>
      <c r="E114" s="36"/>
      <c r="F114" s="4"/>
      <c r="G114" s="4"/>
      <c r="H114" s="4"/>
      <c r="I114" s="4"/>
      <c r="J114" s="4"/>
      <c r="K114" s="31">
        <f t="shared" ref="J114:N115" si="107">K97-K106</f>
        <v>0</v>
      </c>
      <c r="L114" s="31">
        <f t="shared" si="107"/>
        <v>110.1737719516122</v>
      </c>
      <c r="M114" s="31">
        <f t="shared" si="107"/>
        <v>123.57029983000393</v>
      </c>
      <c r="N114" s="31">
        <f t="shared" si="107"/>
        <v>74.20352478948405</v>
      </c>
      <c r="O114" s="4"/>
      <c r="P114" s="4"/>
      <c r="Q114" s="4"/>
      <c r="R114" s="4"/>
      <c r="S114" s="4"/>
      <c r="T114" s="4"/>
      <c r="U114" s="4"/>
      <c r="V114" s="4"/>
      <c r="W114" s="4"/>
      <c r="X114" s="4"/>
      <c r="Y114" s="4"/>
      <c r="Z114" s="4"/>
      <c r="AA114" s="4"/>
      <c r="AB114" s="4"/>
      <c r="AC114" s="21"/>
      <c r="AD114" s="194"/>
      <c r="AE114" s="143"/>
      <c r="AF114" s="143"/>
      <c r="AG114" s="143"/>
      <c r="AH114" s="143"/>
      <c r="AI114" s="143"/>
      <c r="AJ114" s="143"/>
      <c r="AK114" s="16"/>
      <c r="AL114" s="16"/>
      <c r="AM114" s="16"/>
    </row>
    <row r="115" spans="2:39">
      <c r="B115" s="50" t="str">
        <f>B107</f>
        <v>Paraguay</v>
      </c>
      <c r="C115" s="4"/>
      <c r="D115" s="4"/>
      <c r="E115" s="36"/>
      <c r="F115" s="4"/>
      <c r="G115" s="4"/>
      <c r="H115" s="4"/>
      <c r="I115" s="4"/>
      <c r="J115" s="31">
        <f t="shared" si="107"/>
        <v>209.06775231202252</v>
      </c>
      <c r="K115" s="31">
        <f t="shared" si="107"/>
        <v>249.90149118355293</v>
      </c>
      <c r="L115" s="31">
        <f t="shared" si="107"/>
        <v>268.96663489037178</v>
      </c>
      <c r="M115" s="31">
        <f t="shared" si="107"/>
        <v>283</v>
      </c>
      <c r="N115" s="31">
        <f t="shared" si="107"/>
        <v>309.23047521051592</v>
      </c>
      <c r="O115" s="4"/>
      <c r="P115" s="4"/>
      <c r="Q115" s="4"/>
      <c r="R115" s="4"/>
      <c r="S115" s="4"/>
      <c r="T115" s="4"/>
      <c r="U115" s="4"/>
      <c r="V115" s="4"/>
      <c r="W115" s="4"/>
      <c r="X115" s="4"/>
      <c r="Y115" s="4"/>
      <c r="Z115" s="4"/>
      <c r="AA115" s="4"/>
      <c r="AB115" s="4"/>
      <c r="AC115" s="21"/>
      <c r="AD115" s="194"/>
      <c r="AE115" s="143"/>
      <c r="AF115" s="16"/>
      <c r="AG115" s="16">
        <f>(L115+CA!L139)/Div!K107</f>
        <v>0.58730605808240788</v>
      </c>
      <c r="AH115" s="16">
        <f>(M115+CA!M139)/Div!L107</f>
        <v>0.59788305877111025</v>
      </c>
      <c r="AI115" s="16">
        <f>(N115+CA!N139)/Div!M107</f>
        <v>0.62397424227744014</v>
      </c>
      <c r="AJ115" s="143"/>
      <c r="AK115" s="16"/>
      <c r="AL115" s="16"/>
      <c r="AM115" s="16"/>
    </row>
    <row r="116" spans="2:39">
      <c r="B116" s="50"/>
      <c r="C116" s="4"/>
      <c r="D116" s="4"/>
      <c r="E116" s="36"/>
      <c r="F116" s="4"/>
      <c r="G116" s="4"/>
      <c r="H116" s="4"/>
      <c r="I116" s="4"/>
      <c r="J116" s="4"/>
      <c r="K116" s="4"/>
      <c r="L116" s="4"/>
      <c r="M116" s="69"/>
      <c r="N116" s="4"/>
      <c r="O116" s="4"/>
      <c r="P116" s="4"/>
      <c r="Q116" s="4"/>
      <c r="R116" s="4"/>
      <c r="S116" s="4"/>
      <c r="T116" s="4"/>
      <c r="U116" s="4"/>
      <c r="V116" s="4"/>
      <c r="W116" s="4"/>
      <c r="X116" s="4"/>
      <c r="Y116" s="4"/>
      <c r="Z116" s="4"/>
      <c r="AA116" s="4"/>
      <c r="AB116" s="4"/>
      <c r="AC116" s="21"/>
      <c r="AD116" s="194"/>
      <c r="AE116" s="143"/>
      <c r="AF116" s="143"/>
      <c r="AG116" s="143"/>
      <c r="AH116" s="143"/>
      <c r="AI116" s="143"/>
      <c r="AJ116" s="143"/>
      <c r="AK116" s="16"/>
      <c r="AL116" s="16"/>
      <c r="AM116" s="16"/>
    </row>
    <row r="117" spans="2:39">
      <c r="B117" s="48" t="s">
        <v>19</v>
      </c>
      <c r="C117" s="71"/>
      <c r="D117" s="71">
        <f>SUM(Quarts!G304:J304)</f>
        <v>37.326999999999998</v>
      </c>
      <c r="E117" s="71">
        <f>SUM(Quarts!K304:N304)</f>
        <v>44.588999999999999</v>
      </c>
      <c r="F117" s="71">
        <f>SUM(Quarts!O304:R304)</f>
        <v>56.957000000000001</v>
      </c>
      <c r="G117" s="71">
        <f>SUM(Quarts!S304:V304)</f>
        <v>104.14806000000002</v>
      </c>
      <c r="H117" s="71">
        <f>SUM(Quarts!X304:AA304)</f>
        <v>181.7190354</v>
      </c>
      <c r="I117" s="71">
        <f>SUM(Quarts!AC304:AF304)</f>
        <v>287.27743973781605</v>
      </c>
      <c r="J117" s="71">
        <f>SUM(Quarts!AH304:AK304)</f>
        <v>339.10633557453383</v>
      </c>
      <c r="K117" s="71">
        <f>SUM(Quarts!AM304:AP304)</f>
        <v>413.34508563310351</v>
      </c>
      <c r="L117" s="71">
        <f>SUM(Quarts!AR304:AU304)</f>
        <v>507.94040684198399</v>
      </c>
      <c r="M117" s="71">
        <f>SUM(Quarts!AW304:AZ304)</f>
        <v>556.57029983000393</v>
      </c>
      <c r="N117" s="71">
        <f>SUM(Quarts!BB305:BE305)-Colombia!J59</f>
        <v>568.56399999999996</v>
      </c>
      <c r="O117" s="71">
        <f>SUM(Quarts!BG305:BJ305)-Colombia!K59-Div!N47</f>
        <v>544.67743937578575</v>
      </c>
      <c r="P117" s="71">
        <f>SUM(Quarts!BL305:BO305)-Colombia!L59-Div!O47</f>
        <v>496.03714036951055</v>
      </c>
      <c r="Q117" s="72">
        <f t="shared" ref="Q117:Z117" ca="1" si="108">Q83-Q120</f>
        <v>488.58619400151031</v>
      </c>
      <c r="R117" s="72">
        <f t="shared" ca="1" si="108"/>
        <v>571.10218147197668</v>
      </c>
      <c r="S117" s="72">
        <f t="shared" ca="1" si="108"/>
        <v>659.97532984048121</v>
      </c>
      <c r="T117" s="72">
        <f t="shared" ca="1" si="108"/>
        <v>1071.007580722091</v>
      </c>
      <c r="U117" s="72">
        <f t="shared" ca="1" si="108"/>
        <v>1349.8652411552787</v>
      </c>
      <c r="V117" s="72">
        <f t="shared" ca="1" si="108"/>
        <v>1451.1776341112918</v>
      </c>
      <c r="W117" s="72">
        <f t="shared" ca="1" si="108"/>
        <v>1509.7274074718534</v>
      </c>
      <c r="X117" s="72">
        <f t="shared" ca="1" si="108"/>
        <v>1525.848638309501</v>
      </c>
      <c r="Y117" s="72">
        <f t="shared" ca="1" si="108"/>
        <v>1497.563461482066</v>
      </c>
      <c r="Z117" s="72">
        <f t="shared" ca="1" si="108"/>
        <v>1491.0783802250819</v>
      </c>
      <c r="AA117" s="72">
        <f t="shared" ref="AA117" ca="1" si="109">AA83-AA120</f>
        <v>1511.1596057928487</v>
      </c>
      <c r="AB117" s="72"/>
      <c r="AC117" s="145"/>
      <c r="AD117" s="145"/>
      <c r="AE117" s="145"/>
      <c r="AF117" s="21"/>
      <c r="AG117" s="146"/>
      <c r="AH117" s="146"/>
      <c r="AI117" s="146"/>
    </row>
    <row r="118" spans="2:39">
      <c r="B118" s="50" t="s">
        <v>361</v>
      </c>
      <c r="C118" s="53"/>
      <c r="D118" s="53">
        <f t="shared" ref="D118:K118" si="110">D117/D60</f>
        <v>0.37573860261920822</v>
      </c>
      <c r="E118" s="53">
        <f t="shared" si="110"/>
        <v>0.39111442480592956</v>
      </c>
      <c r="F118" s="53">
        <f t="shared" si="110"/>
        <v>0.40339532841338871</v>
      </c>
      <c r="G118" s="53">
        <f t="shared" si="110"/>
        <v>0.45185814123400575</v>
      </c>
      <c r="H118" s="53">
        <f t="shared" si="110"/>
        <v>0.49637280105754727</v>
      </c>
      <c r="I118" s="53">
        <f t="shared" si="110"/>
        <v>0.51499787820805332</v>
      </c>
      <c r="J118" s="53">
        <f t="shared" si="110"/>
        <v>0.54335516817112606</v>
      </c>
      <c r="K118" s="53">
        <f t="shared" si="110"/>
        <v>0.54420276777114862</v>
      </c>
      <c r="L118" s="53">
        <f t="shared" ref="L118:S118" si="111">L117/L83</f>
        <v>0.53447865297102481</v>
      </c>
      <c r="M118" s="53">
        <f t="shared" si="111"/>
        <v>0.51645585784549297</v>
      </c>
      <c r="N118" s="53">
        <f t="shared" si="111"/>
        <v>0.46519447697846372</v>
      </c>
      <c r="O118" s="53">
        <f t="shared" si="111"/>
        <v>0.43207516566273596</v>
      </c>
      <c r="P118" s="53">
        <f t="shared" si="111"/>
        <v>0.41237644605695767</v>
      </c>
      <c r="Q118" s="53">
        <f t="shared" ca="1" si="111"/>
        <v>0.41380214565037809</v>
      </c>
      <c r="R118" s="53">
        <f t="shared" ca="1" si="111"/>
        <v>0.4426405629192508</v>
      </c>
      <c r="S118" s="53">
        <f t="shared" ca="1" si="111"/>
        <v>0.47075875777574516</v>
      </c>
      <c r="T118" s="53">
        <f t="shared" ref="T118:Z118" ca="1" si="112">T117/T83</f>
        <v>0.58327619935136965</v>
      </c>
      <c r="U118" s="53">
        <f t="shared" ca="1" si="112"/>
        <v>0.63107262859413926</v>
      </c>
      <c r="V118" s="53">
        <f t="shared" ca="1" si="112"/>
        <v>0.6408238835182366</v>
      </c>
      <c r="W118" s="53">
        <f t="shared" ca="1" si="112"/>
        <v>0.64309194561464855</v>
      </c>
      <c r="X118" s="53">
        <f t="shared" ca="1" si="112"/>
        <v>0.63870295133748167</v>
      </c>
      <c r="Y118" s="53">
        <f t="shared" ca="1" si="112"/>
        <v>0.62745859050626318</v>
      </c>
      <c r="Z118" s="53">
        <f t="shared" ca="1" si="112"/>
        <v>0.61946672027676386</v>
      </c>
      <c r="AA118" s="53">
        <f t="shared" ref="AA118" ca="1" si="113">AA117/AA83</f>
        <v>0.61560921031048121</v>
      </c>
      <c r="AB118" s="53"/>
      <c r="AC118" s="53"/>
      <c r="AD118" s="53"/>
      <c r="AE118" s="53"/>
      <c r="AF118" s="21"/>
      <c r="AG118" s="5"/>
      <c r="AH118" s="5"/>
      <c r="AI118" s="5"/>
    </row>
    <row r="119" spans="2:39">
      <c r="B119" s="50"/>
      <c r="C119" s="4"/>
      <c r="D119" s="4"/>
      <c r="E119" s="4"/>
      <c r="F119" s="4"/>
      <c r="G119" s="4"/>
      <c r="H119" s="204"/>
      <c r="I119" s="4"/>
      <c r="J119" s="4"/>
      <c r="K119" s="4"/>
      <c r="L119" s="4"/>
      <c r="M119" s="4"/>
      <c r="N119" s="4"/>
      <c r="O119" s="4"/>
      <c r="P119" s="4"/>
      <c r="Q119" s="4"/>
      <c r="R119" s="4"/>
      <c r="S119" s="4"/>
      <c r="T119" s="4"/>
      <c r="U119" s="4"/>
      <c r="V119" s="4"/>
      <c r="W119" s="4"/>
      <c r="X119" s="4"/>
      <c r="Y119" s="4"/>
      <c r="Z119" s="4"/>
      <c r="AA119" s="4"/>
      <c r="AB119" s="4"/>
      <c r="AC119" s="2"/>
      <c r="AD119" s="21"/>
      <c r="AE119" s="21" t="s">
        <v>1823</v>
      </c>
      <c r="AF119" s="21"/>
      <c r="AG119" s="21"/>
      <c r="AH119" s="21"/>
      <c r="AI119" s="21"/>
    </row>
    <row r="120" spans="2:39">
      <c r="B120" s="50" t="s">
        <v>1934</v>
      </c>
      <c r="C120" s="4"/>
      <c r="D120" s="69">
        <f t="shared" ref="D120:K120" si="114">D60-D117</f>
        <v>62.015999999999991</v>
      </c>
      <c r="E120" s="69">
        <f t="shared" si="114"/>
        <v>69.415999999999997</v>
      </c>
      <c r="F120" s="69">
        <f t="shared" si="114"/>
        <v>84.236999999999995</v>
      </c>
      <c r="G120" s="69">
        <f t="shared" si="114"/>
        <v>126.34034</v>
      </c>
      <c r="H120" s="69">
        <f t="shared" si="114"/>
        <v>184.3748259333334</v>
      </c>
      <c r="I120" s="69">
        <f t="shared" si="114"/>
        <v>270.5451298180127</v>
      </c>
      <c r="J120" s="69">
        <f t="shared" si="114"/>
        <v>284.99067396699417</v>
      </c>
      <c r="K120" s="69">
        <f t="shared" si="114"/>
        <v>346.19733148103705</v>
      </c>
      <c r="L120" s="69">
        <f>L83-L117</f>
        <v>442.40700931482263</v>
      </c>
      <c r="M120" s="69">
        <f>M83-M117</f>
        <v>521.10224734925941</v>
      </c>
      <c r="N120" s="69">
        <f>N83-N117</f>
        <v>653.64311581303184</v>
      </c>
      <c r="O120" s="69">
        <f>O83-O117</f>
        <v>715.93062760333692</v>
      </c>
      <c r="P120" s="69">
        <f>P83-P117</f>
        <v>706.83742997148715</v>
      </c>
      <c r="Q120" s="69">
        <f t="shared" ref="Q120:AA120" si="115">Q121*AVERAGE(P46:Q46)/100</f>
        <v>692.13797366464121</v>
      </c>
      <c r="R120" s="69">
        <f t="shared" si="115"/>
        <v>719.11437189925289</v>
      </c>
      <c r="S120" s="69">
        <f t="shared" si="115"/>
        <v>741.96423886505295</v>
      </c>
      <c r="T120" s="69">
        <f t="shared" si="115"/>
        <v>765.1852588161953</v>
      </c>
      <c r="U120" s="69">
        <f t="shared" si="115"/>
        <v>789.13616691151833</v>
      </c>
      <c r="V120" s="69">
        <f t="shared" si="115"/>
        <v>813.37222340036885</v>
      </c>
      <c r="W120" s="69">
        <f t="shared" si="115"/>
        <v>837.87998796660133</v>
      </c>
      <c r="X120" s="69">
        <f t="shared" si="115"/>
        <v>863.13145817241411</v>
      </c>
      <c r="Y120" s="69">
        <f t="shared" si="115"/>
        <v>889.14935772367824</v>
      </c>
      <c r="Z120" s="69">
        <f t="shared" si="115"/>
        <v>915.95710920185843</v>
      </c>
      <c r="AA120" s="69">
        <f t="shared" si="115"/>
        <v>943.57885569101779</v>
      </c>
      <c r="AB120" s="69"/>
      <c r="AC120" s="2"/>
      <c r="AD120" s="194" t="str">
        <f>AD63</f>
        <v xml:space="preserve">ARPU @ 8% </v>
      </c>
      <c r="AE120" s="190">
        <v>-0.02</v>
      </c>
      <c r="AF120" s="190">
        <v>-0.02</v>
      </c>
      <c r="AG120" s="190">
        <v>-0.02</v>
      </c>
      <c r="AH120" s="190">
        <v>-0.01</v>
      </c>
      <c r="AI120" s="190">
        <v>0</v>
      </c>
      <c r="AJ120" s="190">
        <v>0</v>
      </c>
      <c r="AK120" s="190">
        <v>0</v>
      </c>
      <c r="AL120" s="190">
        <v>0</v>
      </c>
      <c r="AM120" s="190">
        <v>0</v>
      </c>
    </row>
    <row r="121" spans="2:39">
      <c r="B121" s="50" t="s">
        <v>1935</v>
      </c>
      <c r="C121" s="4"/>
      <c r="D121" s="69">
        <f t="shared" ref="D121:P121" si="116">D120*100/AVERAGE(C46:D46)</f>
        <v>6.5267221365080088</v>
      </c>
      <c r="E121" s="69">
        <f t="shared" si="116"/>
        <v>7.397378372344444</v>
      </c>
      <c r="F121" s="69">
        <f t="shared" si="116"/>
        <v>7.4050078764522196</v>
      </c>
      <c r="G121" s="69">
        <f t="shared" si="116"/>
        <v>7.1229262440280667</v>
      </c>
      <c r="H121" s="69">
        <f t="shared" si="116"/>
        <v>6.9148913778145848</v>
      </c>
      <c r="I121" s="69">
        <f t="shared" si="116"/>
        <v>7.4427821132878318</v>
      </c>
      <c r="J121" s="69">
        <f t="shared" si="116"/>
        <v>6.1833515722932129</v>
      </c>
      <c r="K121" s="69">
        <f t="shared" si="116"/>
        <v>6.3424522172333564</v>
      </c>
      <c r="L121" s="69">
        <f t="shared" si="116"/>
        <v>7.2843210242742806</v>
      </c>
      <c r="M121" s="69">
        <f t="shared" si="116"/>
        <v>7.8414302512867264</v>
      </c>
      <c r="N121" s="69">
        <f t="shared" si="116"/>
        <v>9.2939444876017614</v>
      </c>
      <c r="O121" s="69">
        <f t="shared" si="116"/>
        <v>10.088503172033212</v>
      </c>
      <c r="P121" s="69">
        <f t="shared" si="116"/>
        <v>9.9737037213573636</v>
      </c>
      <c r="Q121" s="69">
        <f t="shared" ref="Q121:AA121" si="117">P121*(1+Q122)</f>
        <v>9.8739666841437899</v>
      </c>
      <c r="R121" s="69">
        <f t="shared" si="117"/>
        <v>10.36766501835098</v>
      </c>
      <c r="S121" s="69">
        <f t="shared" si="117"/>
        <v>10.67869496890151</v>
      </c>
      <c r="T121" s="69">
        <f t="shared" si="117"/>
        <v>10.89226886827954</v>
      </c>
      <c r="U121" s="69">
        <f t="shared" si="117"/>
        <v>11.110114245645132</v>
      </c>
      <c r="V121" s="69">
        <f t="shared" si="117"/>
        <v>11.332316530558035</v>
      </c>
      <c r="W121" s="69">
        <f t="shared" si="117"/>
        <v>11.558962861169196</v>
      </c>
      <c r="X121" s="69">
        <f t="shared" si="117"/>
        <v>11.790142118392581</v>
      </c>
      <c r="Y121" s="69">
        <f t="shared" si="117"/>
        <v>12.025944960760432</v>
      </c>
      <c r="Z121" s="69">
        <f t="shared" si="117"/>
        <v>12.266463859975641</v>
      </c>
      <c r="AA121" s="69">
        <f t="shared" si="117"/>
        <v>12.511793137175154</v>
      </c>
      <c r="AB121" s="69"/>
      <c r="AC121" s="21"/>
      <c r="AD121" s="194" t="str">
        <f>AD64</f>
        <v xml:space="preserve">ARPU @ 0% </v>
      </c>
      <c r="AE121" s="190">
        <v>-0.02</v>
      </c>
      <c r="AF121" s="190">
        <v>-0.01</v>
      </c>
      <c r="AG121" s="190">
        <v>-0.01</v>
      </c>
      <c r="AH121" s="190">
        <v>-0.01</v>
      </c>
      <c r="AI121" s="190">
        <v>-0.01</v>
      </c>
      <c r="AJ121" s="190">
        <v>-0.01</v>
      </c>
      <c r="AK121" s="190">
        <v>-0.01</v>
      </c>
      <c r="AL121" s="190">
        <v>-0.01</v>
      </c>
      <c r="AM121" s="190">
        <v>-0.01</v>
      </c>
    </row>
    <row r="122" spans="2:39">
      <c r="B122" s="50"/>
      <c r="C122" s="4"/>
      <c r="D122" s="69"/>
      <c r="E122" s="36">
        <f t="shared" ref="E122:L122" si="118">E121/D121-1</f>
        <v>0.13339869809476257</v>
      </c>
      <c r="F122" s="36">
        <f t="shared" si="118"/>
        <v>1.0313794595526726E-3</v>
      </c>
      <c r="G122" s="36">
        <f t="shared" si="118"/>
        <v>-3.809336021385834E-2</v>
      </c>
      <c r="H122" s="36">
        <f t="shared" si="118"/>
        <v>-2.9206376577028403E-2</v>
      </c>
      <c r="I122" s="36">
        <f t="shared" si="118"/>
        <v>7.6341146466437193E-2</v>
      </c>
      <c r="J122" s="36">
        <f t="shared" si="118"/>
        <v>-0.16921502226245722</v>
      </c>
      <c r="K122" s="36">
        <f t="shared" si="118"/>
        <v>2.5730486626872828E-2</v>
      </c>
      <c r="L122" s="36">
        <f t="shared" si="118"/>
        <v>0.14850231027073901</v>
      </c>
      <c r="M122" s="36">
        <f>M121/L121-1</f>
        <v>7.6480597869854172E-2</v>
      </c>
      <c r="N122" s="36">
        <f>N121/M121-1</f>
        <v>0.18523588041565331</v>
      </c>
      <c r="O122" s="36">
        <f>O121/N121-1</f>
        <v>8.5492084172807514E-2</v>
      </c>
      <c r="P122" s="36">
        <f>P121/O121-1</f>
        <v>-1.137923522630091E-2</v>
      </c>
      <c r="Q122" s="70">
        <v>-0.01</v>
      </c>
      <c r="R122" s="70">
        <v>0.05</v>
      </c>
      <c r="S122" s="70">
        <v>0.03</v>
      </c>
      <c r="T122" s="70">
        <v>0.02</v>
      </c>
      <c r="U122" s="70">
        <v>0.02</v>
      </c>
      <c r="V122" s="70">
        <v>0.02</v>
      </c>
      <c r="W122" s="70">
        <v>0.02</v>
      </c>
      <c r="X122" s="70">
        <v>0.02</v>
      </c>
      <c r="Y122" s="70">
        <v>0.02</v>
      </c>
      <c r="Z122" s="70">
        <v>0.02</v>
      </c>
      <c r="AA122" s="70">
        <v>0.02</v>
      </c>
      <c r="AB122" s="70"/>
      <c r="AC122" s="21"/>
      <c r="AD122" s="194" t="str">
        <f>AD65</f>
        <v>Base case</v>
      </c>
      <c r="AE122" s="16">
        <v>-0.02</v>
      </c>
      <c r="AF122" s="16">
        <v>-0.02</v>
      </c>
      <c r="AG122" s="16">
        <v>-0.02</v>
      </c>
      <c r="AH122" s="16">
        <v>-0.01</v>
      </c>
      <c r="AI122" s="16">
        <v>0</v>
      </c>
      <c r="AJ122" s="16">
        <v>0</v>
      </c>
      <c r="AK122" s="16">
        <v>0</v>
      </c>
      <c r="AL122" s="16">
        <v>0</v>
      </c>
      <c r="AM122" s="16">
        <v>0</v>
      </c>
    </row>
    <row r="123" spans="2:39">
      <c r="B123" s="50"/>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21"/>
      <c r="AD123" s="21"/>
      <c r="AE123" s="21"/>
      <c r="AF123" s="21"/>
      <c r="AG123" s="21"/>
      <c r="AH123" s="21"/>
      <c r="AI123" s="21"/>
      <c r="AJ123" s="21"/>
      <c r="AK123" s="21"/>
      <c r="AL123" s="21"/>
    </row>
    <row r="124" spans="2:39">
      <c r="B124" s="50" t="s">
        <v>2232</v>
      </c>
      <c r="F124" s="119">
        <v>0.04</v>
      </c>
      <c r="G124" s="119">
        <v>0.04</v>
      </c>
      <c r="H124" s="119">
        <v>0.04</v>
      </c>
      <c r="I124" s="119">
        <v>0.04</v>
      </c>
      <c r="J124" s="119">
        <v>0.04</v>
      </c>
      <c r="K124" s="119">
        <v>0.04</v>
      </c>
      <c r="L124" s="119">
        <v>0.04</v>
      </c>
      <c r="M124" s="119">
        <v>0.04</v>
      </c>
      <c r="N124" s="119">
        <v>0.04</v>
      </c>
      <c r="O124" s="119">
        <v>0.04</v>
      </c>
      <c r="P124" s="119">
        <v>0.04</v>
      </c>
      <c r="Q124" s="119">
        <v>0.04</v>
      </c>
      <c r="R124" s="119">
        <v>0.04</v>
      </c>
      <c r="S124" s="119">
        <v>0.04</v>
      </c>
      <c r="T124" s="119">
        <v>0.04</v>
      </c>
      <c r="U124" s="119">
        <v>0.04</v>
      </c>
      <c r="V124" s="119">
        <v>0.04</v>
      </c>
      <c r="W124" s="119">
        <v>0.04</v>
      </c>
      <c r="X124" s="119">
        <v>0.04</v>
      </c>
      <c r="Y124" s="119">
        <v>0.04</v>
      </c>
      <c r="Z124" s="119">
        <v>0.04</v>
      </c>
      <c r="AA124" s="119">
        <v>0.04</v>
      </c>
      <c r="AB124" s="119"/>
      <c r="AC124" s="21"/>
      <c r="AD124" s="21"/>
      <c r="AE124" s="21"/>
      <c r="AF124" s="21"/>
      <c r="AG124" s="21"/>
      <c r="AH124" s="21"/>
      <c r="AI124" s="21"/>
      <c r="AJ124" s="21"/>
      <c r="AK124" s="21"/>
      <c r="AL124" s="21"/>
    </row>
    <row r="125" spans="2:39">
      <c r="B125" s="50" t="s">
        <v>1758</v>
      </c>
      <c r="F125" s="5">
        <f t="shared" ref="F125:S125" si="119">F64+F124</f>
        <v>6.1637268861140813E-2</v>
      </c>
      <c r="G125" s="5">
        <f t="shared" si="119"/>
        <v>8.6951597928565522E-2</v>
      </c>
      <c r="H125" s="5">
        <f t="shared" si="119"/>
        <v>9.6600243868176977E-2</v>
      </c>
      <c r="I125" s="5">
        <f t="shared" si="119"/>
        <v>0.15767485613998231</v>
      </c>
      <c r="J125" s="5">
        <f t="shared" si="119"/>
        <v>-7.7623919355818055E-2</v>
      </c>
      <c r="K125" s="5">
        <f t="shared" si="119"/>
        <v>6.7637932940103979E-2</v>
      </c>
      <c r="L125" s="5">
        <f t="shared" si="119"/>
        <v>0.10732844581534115</v>
      </c>
      <c r="M125" s="5">
        <f t="shared" si="119"/>
        <v>4.9017806540521756E-2</v>
      </c>
      <c r="N125" s="5">
        <f t="shared" si="119"/>
        <v>5.1510961541474796E-2</v>
      </c>
      <c r="O125" s="5">
        <f t="shared" si="119"/>
        <v>2.6849257870125785E-2</v>
      </c>
      <c r="P125" s="5">
        <f t="shared" si="119"/>
        <v>-9.6687037244870072E-2</v>
      </c>
      <c r="Q125" s="5">
        <f t="shared" si="119"/>
        <v>-7.0000000000000007E-2</v>
      </c>
      <c r="R125" s="5">
        <f t="shared" si="119"/>
        <v>-1.0000000000000002E-2</v>
      </c>
      <c r="S125" s="5">
        <f t="shared" si="119"/>
        <v>-7.9999999999999988E-2</v>
      </c>
      <c r="T125" s="5">
        <f t="shared" ref="T125:Z125" si="120">T64+T124</f>
        <v>0.02</v>
      </c>
      <c r="U125" s="5">
        <f t="shared" si="120"/>
        <v>0.02</v>
      </c>
      <c r="V125" s="5">
        <f t="shared" si="120"/>
        <v>-1.9999999999999997E-2</v>
      </c>
      <c r="W125" s="5">
        <f t="shared" si="120"/>
        <v>-4.9999999999999996E-2</v>
      </c>
      <c r="X125" s="5">
        <f t="shared" si="120"/>
        <v>-6.0000000000000005E-2</v>
      </c>
      <c r="Y125" s="5">
        <f t="shared" si="120"/>
        <v>-0.13999999999999999</v>
      </c>
      <c r="Z125" s="5">
        <f t="shared" si="120"/>
        <v>-0.13999999999999999</v>
      </c>
      <c r="AA125" s="5">
        <f t="shared" ref="AA125" si="121">AA64+AA124</f>
        <v>-0.13999999999999999</v>
      </c>
      <c r="AB125" s="5"/>
      <c r="AC125" s="21"/>
      <c r="AD125" s="21"/>
      <c r="AE125" s="21"/>
      <c r="AF125" s="21"/>
      <c r="AG125" s="21"/>
      <c r="AH125" s="21"/>
      <c r="AI125" s="21"/>
      <c r="AJ125" s="21"/>
      <c r="AK125" s="21"/>
      <c r="AL125" s="21"/>
    </row>
    <row r="126" spans="2:39">
      <c r="AC126" s="21"/>
      <c r="AD126" s="21"/>
      <c r="AE126" s="21"/>
      <c r="AF126" s="21"/>
      <c r="AG126" s="21"/>
      <c r="AH126" s="21"/>
      <c r="AI126" s="21"/>
      <c r="AJ126" s="21"/>
      <c r="AK126" s="21"/>
      <c r="AL126" s="21"/>
    </row>
    <row r="127" spans="2:39">
      <c r="B127" s="2" t="s">
        <v>1545</v>
      </c>
      <c r="G127" s="10">
        <f>Div!F79</f>
        <v>54</v>
      </c>
      <c r="H127" s="10">
        <f>Div!G79</f>
        <v>142</v>
      </c>
      <c r="I127" s="10">
        <f>Div!H79</f>
        <v>195</v>
      </c>
      <c r="J127" s="10">
        <f>Div!I79</f>
        <v>81.697961717475025</v>
      </c>
      <c r="K127" s="10">
        <f>Div!J79</f>
        <v>111</v>
      </c>
      <c r="L127" s="10">
        <f>Div!K79</f>
        <v>128.79999999999998</v>
      </c>
      <c r="M127" s="10">
        <f>Div!L79</f>
        <v>150</v>
      </c>
      <c r="N127" s="10">
        <f>Div!M79</f>
        <v>185.13</v>
      </c>
      <c r="O127" s="10">
        <f>Div!N79</f>
        <v>177.60000000000002</v>
      </c>
      <c r="P127" s="10">
        <f ca="1">Div!O79</f>
        <v>245.35085945241201</v>
      </c>
      <c r="Q127" s="10">
        <f ca="1">Div!P79</f>
        <v>212.53035017990726</v>
      </c>
      <c r="R127" s="10">
        <f ca="1">Div!Q79</f>
        <v>206.43464853939673</v>
      </c>
      <c r="S127" s="10">
        <f ca="1">Div!R79</f>
        <v>224.31033099288547</v>
      </c>
      <c r="T127" s="10">
        <f ca="1">Div!S79</f>
        <v>293.79085432612584</v>
      </c>
      <c r="U127" s="10">
        <f ca="1">Div!T79</f>
        <v>342.24022529068753</v>
      </c>
      <c r="V127" s="10">
        <f ca="1">Div!U79</f>
        <v>362.32797720186574</v>
      </c>
      <c r="W127" s="10">
        <f ca="1">Div!V79</f>
        <v>375.61718327015274</v>
      </c>
      <c r="X127" s="10">
        <f ca="1">Div!W79</f>
        <v>382.23681543710643</v>
      </c>
      <c r="Y127" s="10">
        <f ca="1">Div!X79</f>
        <v>381.87405107291909</v>
      </c>
      <c r="Z127" s="10">
        <f ca="1">Div!Y79</f>
        <v>385.12567830831046</v>
      </c>
      <c r="AA127" s="10">
        <f ca="1">Div!Z79</f>
        <v>392.75815383741866</v>
      </c>
      <c r="AB127" s="10"/>
      <c r="AC127" s="130"/>
      <c r="AD127" s="130"/>
      <c r="AE127" s="130"/>
      <c r="AF127" s="21"/>
      <c r="AG127" s="146"/>
      <c r="AH127" s="146"/>
      <c r="AI127" s="146"/>
      <c r="AJ127" s="21"/>
      <c r="AK127" s="21"/>
      <c r="AL127" s="21"/>
    </row>
    <row r="128" spans="2:39">
      <c r="B128" t="s">
        <v>1431</v>
      </c>
      <c r="G128" s="16">
        <f>G127/G60</f>
        <v>0.2342851093590827</v>
      </c>
      <c r="H128" s="16">
        <f>H127/H60</f>
        <v>0.38787866992040898</v>
      </c>
      <c r="I128" s="16">
        <f>I127/I60</f>
        <v>0.34957352147882886</v>
      </c>
      <c r="J128" s="16">
        <f>J127/J60</f>
        <v>0.13090586954981839</v>
      </c>
      <c r="K128" s="16">
        <f t="shared" ref="K128:S128" si="122">K127/K83</f>
        <v>0.14148374591179175</v>
      </c>
      <c r="L128" s="16">
        <f t="shared" si="122"/>
        <v>0.13552938410761994</v>
      </c>
      <c r="M128" s="16">
        <f t="shared" si="122"/>
        <v>0.13918884766306341</v>
      </c>
      <c r="N128" s="16">
        <f t="shared" si="122"/>
        <v>0.15147187216043048</v>
      </c>
      <c r="O128" s="16">
        <f t="shared" si="122"/>
        <v>0.14088439115386156</v>
      </c>
      <c r="P128" s="16">
        <f t="shared" ca="1" si="122"/>
        <v>0.20397044338784098</v>
      </c>
      <c r="Q128" s="16">
        <f t="shared" ca="1" si="122"/>
        <v>0.18</v>
      </c>
      <c r="R128" s="16">
        <f t="shared" ca="1" si="122"/>
        <v>0.16</v>
      </c>
      <c r="S128" s="16">
        <f t="shared" ca="1" si="122"/>
        <v>0.16</v>
      </c>
      <c r="T128" s="16">
        <f t="shared" ref="T128:Z128" ca="1" si="123">T127/T83</f>
        <v>0.16</v>
      </c>
      <c r="U128" s="16">
        <f t="shared" ca="1" si="123"/>
        <v>0.16</v>
      </c>
      <c r="V128" s="16">
        <f t="shared" ca="1" si="123"/>
        <v>0.16</v>
      </c>
      <c r="W128" s="16">
        <f t="shared" ca="1" si="123"/>
        <v>0.16</v>
      </c>
      <c r="X128" s="16">
        <f t="shared" ca="1" si="123"/>
        <v>0.16</v>
      </c>
      <c r="Y128" s="16">
        <f t="shared" ca="1" si="123"/>
        <v>0.16</v>
      </c>
      <c r="Z128" s="16">
        <f t="shared" ca="1" si="123"/>
        <v>0.16</v>
      </c>
      <c r="AA128" s="16">
        <f t="shared" ref="AA128" ca="1" si="124">AA127/AA83</f>
        <v>0.16</v>
      </c>
      <c r="AB128" s="16"/>
      <c r="AC128" s="53"/>
      <c r="AD128" s="53"/>
      <c r="AE128" s="53"/>
      <c r="AF128" s="21"/>
      <c r="AG128" s="5"/>
      <c r="AH128" s="5"/>
      <c r="AI128" s="5"/>
      <c r="AJ128" s="21"/>
      <c r="AK128" s="21"/>
      <c r="AL128" s="21"/>
    </row>
    <row r="129" spans="2:38">
      <c r="AC129" s="21"/>
      <c r="AD129" s="21"/>
      <c r="AE129" s="21"/>
      <c r="AF129" s="21"/>
      <c r="AG129" s="21"/>
      <c r="AH129" s="21"/>
      <c r="AI129" s="21"/>
      <c r="AJ129" s="21"/>
      <c r="AK129" s="21"/>
      <c r="AL129" s="21"/>
    </row>
    <row r="130" spans="2:38">
      <c r="B130" s="2" t="s">
        <v>1552</v>
      </c>
      <c r="G130" s="130">
        <f>G117-G127</f>
        <v>50.148060000000015</v>
      </c>
      <c r="H130" s="130">
        <f t="shared" ref="H130:O130" si="125">H117-H127</f>
        <v>39.719035399999996</v>
      </c>
      <c r="I130" s="130">
        <f t="shared" si="125"/>
        <v>92.277439737816053</v>
      </c>
      <c r="J130" s="130">
        <f t="shared" si="125"/>
        <v>257.40837385705879</v>
      </c>
      <c r="K130" s="130">
        <f t="shared" si="125"/>
        <v>302.34508563310351</v>
      </c>
      <c r="L130" s="130">
        <f t="shared" si="125"/>
        <v>379.14040684198403</v>
      </c>
      <c r="M130" s="130">
        <f t="shared" si="125"/>
        <v>406.57029983000393</v>
      </c>
      <c r="N130" s="130">
        <f t="shared" si="125"/>
        <v>383.43399999999997</v>
      </c>
      <c r="O130" s="130">
        <f t="shared" si="125"/>
        <v>367.07743937578573</v>
      </c>
      <c r="P130" s="130">
        <f t="shared" ref="P130:U130" ca="1" si="126">P117-P127</f>
        <v>250.68628091709854</v>
      </c>
      <c r="Q130" s="130">
        <f t="shared" ca="1" si="126"/>
        <v>276.05584382160305</v>
      </c>
      <c r="R130" s="130">
        <f t="shared" ca="1" si="126"/>
        <v>364.66753293257995</v>
      </c>
      <c r="S130" s="130">
        <f t="shared" ca="1" si="126"/>
        <v>435.66499884759571</v>
      </c>
      <c r="T130" s="130">
        <f t="shared" ca="1" si="126"/>
        <v>777.21672639596522</v>
      </c>
      <c r="U130" s="130">
        <f t="shared" ca="1" si="126"/>
        <v>1007.6250158645912</v>
      </c>
      <c r="V130" s="130">
        <f t="shared" ref="V130:AA130" ca="1" si="127">V117-V127</f>
        <v>1088.8496569094261</v>
      </c>
      <c r="W130" s="130">
        <f t="shared" ca="1" si="127"/>
        <v>1134.1102242017007</v>
      </c>
      <c r="X130" s="130">
        <f t="shared" ca="1" si="127"/>
        <v>1143.6118228723944</v>
      </c>
      <c r="Y130" s="130">
        <f t="shared" ca="1" si="127"/>
        <v>1115.6894104091471</v>
      </c>
      <c r="Z130" s="130">
        <f t="shared" ca="1" si="127"/>
        <v>1105.9527019167715</v>
      </c>
      <c r="AA130" s="130">
        <f t="shared" ca="1" si="127"/>
        <v>1118.40145195543</v>
      </c>
      <c r="AB130" s="130"/>
      <c r="AC130" s="130"/>
      <c r="AD130" s="130"/>
      <c r="AE130" s="130"/>
      <c r="AF130" s="21"/>
      <c r="AG130" s="130"/>
      <c r="AH130" s="130"/>
      <c r="AI130" s="130"/>
      <c r="AJ130" s="21"/>
      <c r="AK130" s="21"/>
      <c r="AL130" s="21"/>
    </row>
    <row r="131" spans="2:38">
      <c r="B131" s="2"/>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21"/>
      <c r="AG131" s="130"/>
      <c r="AH131" s="130"/>
      <c r="AI131" s="130"/>
      <c r="AJ131" s="21"/>
      <c r="AK131" s="21"/>
      <c r="AL131" s="21"/>
    </row>
    <row r="132" spans="2:38">
      <c r="B132" s="4" t="s">
        <v>1453</v>
      </c>
      <c r="G132" s="130"/>
      <c r="H132" s="130"/>
      <c r="I132" s="130"/>
      <c r="J132" s="130"/>
      <c r="K132" s="46">
        <f>223-Colombia!G67</f>
        <v>113</v>
      </c>
      <c r="L132" s="46">
        <f>231-Colombia!H67</f>
        <v>91</v>
      </c>
      <c r="M132" s="46">
        <f>257-Colombia!I67</f>
        <v>57</v>
      </c>
      <c r="N132" s="130">
        <f t="shared" ref="N132:S132" si="128">N133*N83</f>
        <v>70.755723600197783</v>
      </c>
      <c r="O132" s="130">
        <f t="shared" si="128"/>
        <v>79.281862664873884</v>
      </c>
      <c r="P132" s="130">
        <f t="shared" si="128"/>
        <v>81.66527418012204</v>
      </c>
      <c r="Q132" s="130">
        <f t="shared" ca="1" si="128"/>
        <v>86.065065149367939</v>
      </c>
      <c r="R132" s="130">
        <f t="shared" ca="1" si="128"/>
        <v>94.046158081253907</v>
      </c>
      <c r="S132" s="130">
        <f t="shared" ca="1" si="128"/>
        <v>88.17044985037802</v>
      </c>
      <c r="T132" s="130">
        <f t="shared" ref="T132:Z132" ca="1" si="129">T133*T83</f>
        <v>97.119474860550923</v>
      </c>
      <c r="U132" s="130">
        <f t="shared" ca="1" si="129"/>
        <v>91.745539551957322</v>
      </c>
      <c r="V132" s="130">
        <f t="shared" ca="1" si="129"/>
        <v>74.485035203955746</v>
      </c>
      <c r="W132" s="130">
        <f t="shared" ca="1" si="129"/>
        <v>53.740870028664737</v>
      </c>
      <c r="X132" s="130">
        <f t="shared" ca="1" si="129"/>
        <v>30.798163094061895</v>
      </c>
      <c r="Y132" s="130">
        <f t="shared" ca="1" si="129"/>
        <v>6.9018057027181952</v>
      </c>
      <c r="Z132" s="130">
        <f t="shared" ca="1" si="129"/>
        <v>-17.109780863791613</v>
      </c>
      <c r="AA132" s="130">
        <f t="shared" ref="AA132" ca="1" si="130">AA133*AA83</f>
        <v>-41.996249551977243</v>
      </c>
      <c r="AB132" s="130"/>
      <c r="AC132" s="130"/>
      <c r="AD132" s="130"/>
      <c r="AE132" s="130"/>
      <c r="AF132" s="21"/>
      <c r="AG132" s="130"/>
      <c r="AH132" s="130"/>
      <c r="AI132" s="130"/>
      <c r="AJ132" s="21"/>
      <c r="AK132" s="21"/>
      <c r="AL132" s="21"/>
    </row>
    <row r="133" spans="2:38">
      <c r="B133" s="4" t="s">
        <v>1431</v>
      </c>
      <c r="G133" s="130"/>
      <c r="H133" s="130"/>
      <c r="I133" s="130"/>
      <c r="J133" s="130"/>
      <c r="K133" s="16">
        <f>K132/K83</f>
        <v>0.14403300259488711</v>
      </c>
      <c r="L133" s="16">
        <f>L132/L83</f>
        <v>9.5754456162992357E-2</v>
      </c>
      <c r="M133" s="16">
        <f>M132/M83</f>
        <v>5.2891762111964093E-2</v>
      </c>
      <c r="N133" s="772">
        <f>M133+0.5%</f>
        <v>5.789176211196409E-2</v>
      </c>
      <c r="O133" s="772">
        <f>N133+0.5%</f>
        <v>6.2891762111964095E-2</v>
      </c>
      <c r="P133" s="772">
        <f>O133+0.5%</f>
        <v>6.7891762111964099E-2</v>
      </c>
      <c r="Q133" s="772">
        <f>P133+0.5%</f>
        <v>7.2891762111964103E-2</v>
      </c>
      <c r="R133" s="772">
        <f>Q133</f>
        <v>7.2891762111964103E-2</v>
      </c>
      <c r="S133" s="772">
        <f t="shared" ref="S133:AA133" si="131">R133-1%</f>
        <v>6.2891762111964108E-2</v>
      </c>
      <c r="T133" s="772">
        <f t="shared" si="131"/>
        <v>5.2891762111964107E-2</v>
      </c>
      <c r="U133" s="772">
        <f t="shared" si="131"/>
        <v>4.2891762111964105E-2</v>
      </c>
      <c r="V133" s="772">
        <f t="shared" si="131"/>
        <v>3.2891762111964103E-2</v>
      </c>
      <c r="W133" s="772">
        <f t="shared" si="131"/>
        <v>2.2891762111964101E-2</v>
      </c>
      <c r="X133" s="772">
        <f t="shared" si="131"/>
        <v>1.2891762111964101E-2</v>
      </c>
      <c r="Y133" s="772">
        <f t="shared" si="131"/>
        <v>2.8917621119641003E-3</v>
      </c>
      <c r="Z133" s="772">
        <f t="shared" si="131"/>
        <v>-7.1082378880358999E-3</v>
      </c>
      <c r="AA133" s="772">
        <f t="shared" si="131"/>
        <v>-1.71082378880359E-2</v>
      </c>
      <c r="AB133" s="772"/>
      <c r="AC133" s="130"/>
      <c r="AD133" s="130"/>
      <c r="AE133" s="130"/>
      <c r="AF133" s="21"/>
      <c r="AG133" s="130"/>
      <c r="AH133" s="130"/>
      <c r="AI133" s="130"/>
      <c r="AJ133" s="21"/>
      <c r="AK133" s="21"/>
      <c r="AL133" s="21"/>
    </row>
    <row r="134" spans="2:38">
      <c r="B134" s="4"/>
      <c r="G134" s="130"/>
      <c r="H134" s="130"/>
      <c r="I134" s="130"/>
      <c r="J134" s="130"/>
      <c r="K134" s="16"/>
      <c r="L134" s="16"/>
      <c r="M134" s="16"/>
      <c r="N134" s="130"/>
      <c r="O134" s="130"/>
      <c r="P134" s="130"/>
      <c r="Q134" s="130"/>
      <c r="R134" s="130"/>
      <c r="S134" s="130"/>
      <c r="T134" s="130"/>
      <c r="U134" s="130"/>
      <c r="V134" s="130"/>
      <c r="W134" s="130"/>
      <c r="X134" s="130"/>
      <c r="Y134" s="130"/>
      <c r="Z134" s="130"/>
      <c r="AA134" s="130"/>
      <c r="AB134" s="130"/>
      <c r="AC134" s="130"/>
      <c r="AD134" s="130"/>
      <c r="AE134" s="130"/>
      <c r="AF134" s="21"/>
      <c r="AG134" s="130"/>
      <c r="AH134" s="130"/>
      <c r="AI134" s="130"/>
      <c r="AJ134" s="21"/>
      <c r="AK134" s="21"/>
      <c r="AL134" s="21"/>
    </row>
    <row r="135" spans="2:38">
      <c r="B135" s="2" t="s">
        <v>392</v>
      </c>
      <c r="C135" s="450"/>
      <c r="D135" s="450"/>
      <c r="E135" s="450"/>
      <c r="F135" s="450"/>
      <c r="G135" s="146"/>
      <c r="H135" s="146"/>
      <c r="I135" s="146"/>
      <c r="J135" s="146"/>
      <c r="K135" s="145">
        <f>K117-K132</f>
        <v>300.34508563310351</v>
      </c>
      <c r="L135" s="145">
        <f>L117-L132</f>
        <v>416.94040684198399</v>
      </c>
      <c r="M135" s="145">
        <f>M117-M132</f>
        <v>499.57029983000393</v>
      </c>
      <c r="N135" s="145">
        <f t="shared" ref="N135:S135" si="132">N117-N132</f>
        <v>497.8082763998022</v>
      </c>
      <c r="O135" s="145">
        <f t="shared" si="132"/>
        <v>465.39557671091188</v>
      </c>
      <c r="P135" s="145">
        <f t="shared" si="132"/>
        <v>414.37186618938853</v>
      </c>
      <c r="Q135" s="145">
        <f t="shared" ca="1" si="132"/>
        <v>402.5211288521424</v>
      </c>
      <c r="R135" s="145">
        <f t="shared" ca="1" si="132"/>
        <v>477.05602339072277</v>
      </c>
      <c r="S135" s="145">
        <f t="shared" ca="1" si="132"/>
        <v>571.80487999010325</v>
      </c>
      <c r="T135" s="145">
        <f t="shared" ref="T135:Z135" ca="1" si="133">T117-T132</f>
        <v>973.88810586154011</v>
      </c>
      <c r="U135" s="145">
        <f t="shared" ca="1" si="133"/>
        <v>1258.1197016033213</v>
      </c>
      <c r="V135" s="145">
        <f t="shared" ca="1" si="133"/>
        <v>1376.6925989073361</v>
      </c>
      <c r="W135" s="145">
        <f t="shared" ca="1" si="133"/>
        <v>1455.9865374431888</v>
      </c>
      <c r="X135" s="145">
        <f t="shared" ca="1" si="133"/>
        <v>1495.0504752154391</v>
      </c>
      <c r="Y135" s="145">
        <f t="shared" ca="1" si="133"/>
        <v>1490.6616557793479</v>
      </c>
      <c r="Z135" s="145">
        <f t="shared" ca="1" si="133"/>
        <v>1508.1881610888736</v>
      </c>
      <c r="AA135" s="145">
        <f t="shared" ref="AA135" ca="1" si="134">AA117-AA132</f>
        <v>1553.1558553448258</v>
      </c>
      <c r="AB135" s="145"/>
      <c r="AC135" s="130"/>
      <c r="AD135" s="130"/>
      <c r="AE135" s="130"/>
      <c r="AF135" s="21"/>
      <c r="AG135" s="130"/>
      <c r="AH135" s="130"/>
      <c r="AI135" s="130"/>
      <c r="AJ135" s="21"/>
      <c r="AK135" s="21"/>
      <c r="AL135" s="21"/>
    </row>
    <row r="136" spans="2:38">
      <c r="B136" s="4" t="s">
        <v>682</v>
      </c>
      <c r="C136" s="450"/>
      <c r="D136" s="450"/>
      <c r="E136" s="450"/>
      <c r="F136" s="450"/>
      <c r="G136" s="146"/>
      <c r="H136" s="146"/>
      <c r="I136" s="146"/>
      <c r="J136" s="146"/>
      <c r="K136" s="36">
        <f ca="1">SOP!$C$274</f>
        <v>0.16173095440888516</v>
      </c>
      <c r="L136" s="36">
        <f ca="1">K136</f>
        <v>0.16173095440888516</v>
      </c>
      <c r="M136" s="36">
        <f t="shared" ref="M136:AA136" ca="1" si="135">L136</f>
        <v>0.16173095440888516</v>
      </c>
      <c r="N136" s="36">
        <f t="shared" ca="1" si="135"/>
        <v>0.16173095440888516</v>
      </c>
      <c r="O136" s="36">
        <f t="shared" ca="1" si="135"/>
        <v>0.16173095440888516</v>
      </c>
      <c r="P136" s="36">
        <f t="shared" ca="1" si="135"/>
        <v>0.16173095440888516</v>
      </c>
      <c r="Q136" s="36">
        <f t="shared" ca="1" si="135"/>
        <v>0.16173095440888516</v>
      </c>
      <c r="R136" s="36">
        <f t="shared" ca="1" si="135"/>
        <v>0.16173095440888516</v>
      </c>
      <c r="S136" s="36">
        <f t="shared" ca="1" si="135"/>
        <v>0.16173095440888516</v>
      </c>
      <c r="T136" s="36">
        <f t="shared" ca="1" si="135"/>
        <v>0.16173095440888516</v>
      </c>
      <c r="U136" s="36">
        <f t="shared" ca="1" si="135"/>
        <v>0.16173095440888516</v>
      </c>
      <c r="V136" s="36">
        <f t="shared" ca="1" si="135"/>
        <v>0.16173095440888516</v>
      </c>
      <c r="W136" s="36">
        <f t="shared" ca="1" si="135"/>
        <v>0.16173095440888516</v>
      </c>
      <c r="X136" s="36">
        <f t="shared" ca="1" si="135"/>
        <v>0.16173095440888516</v>
      </c>
      <c r="Y136" s="36">
        <f t="shared" ca="1" si="135"/>
        <v>0.16173095440888516</v>
      </c>
      <c r="Z136" s="36">
        <f t="shared" ca="1" si="135"/>
        <v>0.16173095440888516</v>
      </c>
      <c r="AA136" s="36">
        <f t="shared" ca="1" si="135"/>
        <v>0.16173095440888516</v>
      </c>
      <c r="AB136" s="36"/>
      <c r="AC136" s="130"/>
      <c r="AD136" s="130"/>
      <c r="AE136" s="130"/>
      <c r="AF136" s="21"/>
      <c r="AG136" s="130"/>
      <c r="AH136" s="130"/>
      <c r="AI136" s="130"/>
      <c r="AJ136" s="21"/>
      <c r="AK136" s="21"/>
      <c r="AL136" s="21"/>
    </row>
    <row r="137" spans="2:38">
      <c r="B137" s="4"/>
      <c r="G137" s="130"/>
      <c r="H137" s="130"/>
      <c r="I137" s="130"/>
      <c r="J137" s="130"/>
      <c r="K137" s="16"/>
      <c r="L137" s="16"/>
      <c r="M137" s="16"/>
      <c r="N137" s="130"/>
      <c r="O137" s="130"/>
      <c r="P137" s="130"/>
      <c r="Q137" s="130"/>
      <c r="R137" s="130"/>
      <c r="S137" s="130"/>
      <c r="T137" s="130"/>
      <c r="U137" s="130"/>
      <c r="V137" s="130"/>
      <c r="W137" s="130"/>
      <c r="X137" s="130"/>
      <c r="Y137" s="130"/>
      <c r="Z137" s="130"/>
      <c r="AA137" s="130"/>
      <c r="AB137" s="130"/>
      <c r="AC137" s="130"/>
      <c r="AD137" s="130"/>
      <c r="AE137" s="130"/>
      <c r="AF137" s="21"/>
      <c r="AG137" s="130"/>
      <c r="AH137" s="130"/>
      <c r="AI137" s="130"/>
      <c r="AJ137" s="21"/>
      <c r="AK137" s="21"/>
      <c r="AL137" s="21"/>
    </row>
    <row r="138" spans="2:38">
      <c r="B138" s="4" t="s">
        <v>3451</v>
      </c>
      <c r="G138" s="130"/>
      <c r="H138" s="130"/>
      <c r="I138" s="130"/>
      <c r="J138" s="130"/>
      <c r="K138" s="16">
        <f ca="1">K135*(1-K136)/SUM(G127:K127)</f>
        <v>0.43133607583763767</v>
      </c>
      <c r="L138" s="16">
        <f ca="1">L135*(1-L136)/SUM(H127:L127)</f>
        <v>0.53076585992798508</v>
      </c>
      <c r="M138" s="16">
        <f ca="1">M135*(1-M136)/SUM(I127:M127)</f>
        <v>0.62832047882793174</v>
      </c>
      <c r="N138" s="16">
        <f t="shared" ref="N138:AA138" ca="1" si="136">N135*(1-N136)/SUM(J127:N127)</f>
        <v>0.63551553249961823</v>
      </c>
      <c r="O138" s="16">
        <f t="shared" ca="1" si="136"/>
        <v>0.51842013728593217</v>
      </c>
      <c r="P138" s="16">
        <f t="shared" ca="1" si="136"/>
        <v>0.39165926864726319</v>
      </c>
      <c r="Q138" s="16">
        <f t="shared" ca="1" si="136"/>
        <v>0.34763765260959967</v>
      </c>
      <c r="R138" s="16">
        <f t="shared" ca="1" si="136"/>
        <v>0.38937043973198382</v>
      </c>
      <c r="S138" s="16">
        <f t="shared" ca="1" si="136"/>
        <v>0.44955407762887784</v>
      </c>
      <c r="T138" s="16">
        <f t="shared" ca="1" si="136"/>
        <v>0.69043342829614252</v>
      </c>
      <c r="U138" s="16">
        <f t="shared" ca="1" si="136"/>
        <v>0.82438639704428229</v>
      </c>
      <c r="V138" s="16">
        <f t="shared" ca="1" si="136"/>
        <v>0.80752608739745635</v>
      </c>
      <c r="W138" s="16">
        <f t="shared" ca="1" si="136"/>
        <v>0.763635550231756</v>
      </c>
      <c r="X138" s="16">
        <f t="shared" ca="1" si="136"/>
        <v>0.71361189977834039</v>
      </c>
      <c r="Y138" s="16">
        <f t="shared" ca="1" si="136"/>
        <v>0.67753514217120459</v>
      </c>
      <c r="Z138" s="16">
        <f t="shared" ca="1" si="136"/>
        <v>0.66992354092012218</v>
      </c>
      <c r="AA138" s="16">
        <f t="shared" ca="1" si="136"/>
        <v>0.6789499422618116</v>
      </c>
      <c r="AB138" s="16"/>
      <c r="AC138" s="130"/>
      <c r="AD138" s="130"/>
      <c r="AE138" s="130"/>
      <c r="AF138" s="21"/>
      <c r="AG138" s="130"/>
      <c r="AH138" s="130"/>
      <c r="AI138" s="130"/>
      <c r="AJ138" s="21"/>
      <c r="AK138" s="21"/>
      <c r="AL138" s="21"/>
    </row>
    <row r="140" spans="2:38">
      <c r="B140" s="23" t="s">
        <v>2378</v>
      </c>
      <c r="C140" s="96" t="s">
        <v>518</v>
      </c>
    </row>
    <row r="141" spans="2:38">
      <c r="B141" t="s">
        <v>1166</v>
      </c>
      <c r="C141" s="16">
        <f>N51</f>
        <v>0.57799999999999996</v>
      </c>
    </row>
    <row r="142" spans="2:38">
      <c r="B142" s="4" t="s">
        <v>67</v>
      </c>
      <c r="C142" s="16">
        <v>7.0000000000000007E-2</v>
      </c>
    </row>
    <row r="143" spans="2:38">
      <c r="B143" s="4" t="s">
        <v>3406</v>
      </c>
      <c r="C143" s="16">
        <v>0.28999999999999998</v>
      </c>
    </row>
    <row r="144" spans="2:38">
      <c r="B144" s="4" t="s">
        <v>3407</v>
      </c>
      <c r="C144" s="16">
        <v>7.0000000000000007E-2</v>
      </c>
    </row>
    <row r="146" spans="2:3">
      <c r="B146" s="23" t="s">
        <v>2377</v>
      </c>
      <c r="C146" s="96" t="s">
        <v>518</v>
      </c>
    </row>
    <row r="147" spans="2:3">
      <c r="B147" t="s">
        <v>1166</v>
      </c>
      <c r="C147" s="16">
        <f>G50</f>
        <v>0.36672802468942395</v>
      </c>
    </row>
    <row r="148" spans="2:3">
      <c r="B148" t="s">
        <v>861</v>
      </c>
      <c r="C148" s="16">
        <v>0.45</v>
      </c>
    </row>
    <row r="149" spans="2:3">
      <c r="B149" t="s">
        <v>862</v>
      </c>
      <c r="C149" s="16">
        <f>100%-C147-C148</f>
        <v>0.18327197531057599</v>
      </c>
    </row>
    <row r="150" spans="2:3">
      <c r="C150" s="16"/>
    </row>
    <row r="151" spans="2:3">
      <c r="C151" s="16"/>
    </row>
    <row r="153" spans="2:3">
      <c r="B153" s="2"/>
      <c r="C153" s="8"/>
    </row>
    <row r="154" spans="2:3">
      <c r="B154" s="21"/>
      <c r="C154" s="16"/>
    </row>
    <row r="155" spans="2:3">
      <c r="B155" s="21"/>
      <c r="C155" s="16"/>
    </row>
  </sheetData>
  <phoneticPr fontId="0" type="noConversion"/>
  <pageMargins left="0.75" right="0.75" top="1" bottom="1" header="0.5" footer="0.5"/>
  <pageSetup paperSize="9" scale="26"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AO277"/>
  <sheetViews>
    <sheetView zoomScale="70" zoomScaleNormal="70" workbookViewId="0">
      <selection activeCell="AB156" sqref="AB156"/>
    </sheetView>
  </sheetViews>
  <sheetFormatPr defaultRowHeight="15"/>
  <cols>
    <col min="2" max="2" width="26.42578125" customWidth="1"/>
    <col min="3" max="4" width="9.42578125" bestFit="1" customWidth="1"/>
    <col min="5" max="6" width="9" customWidth="1"/>
    <col min="7" max="8" width="9.42578125" bestFit="1" customWidth="1"/>
    <col min="9" max="10" width="9.28515625" bestFit="1" customWidth="1"/>
    <col min="11" max="11" width="9.28515625" customWidth="1"/>
    <col min="12" max="13" width="9.42578125" customWidth="1"/>
    <col min="14" max="14" width="9.28515625" bestFit="1" customWidth="1"/>
    <col min="15" max="15" width="9.85546875" bestFit="1" customWidth="1"/>
    <col min="16" max="16" width="9.28515625" bestFit="1" customWidth="1"/>
    <col min="17" max="27" width="9.28515625" customWidth="1"/>
    <col min="28" max="28" width="10" bestFit="1" customWidth="1"/>
    <col min="29" max="29" width="14" customWidth="1"/>
  </cols>
  <sheetData>
    <row r="1" spans="2:41">
      <c r="B1" s="48" t="s">
        <v>1831</v>
      </c>
      <c r="C1" s="4"/>
      <c r="D1" s="4" t="s">
        <v>1823</v>
      </c>
      <c r="E1" s="4"/>
      <c r="F1" s="4" t="s">
        <v>1823</v>
      </c>
      <c r="G1" s="4"/>
      <c r="H1" s="4"/>
      <c r="I1" s="4"/>
      <c r="J1" s="4"/>
      <c r="K1" s="4"/>
    </row>
    <row r="2" spans="2:41">
      <c r="B2" s="49"/>
      <c r="C2" s="41">
        <v>2002</v>
      </c>
      <c r="D2" s="41">
        <f t="shared" ref="D2:O2" si="0">+C2+1</f>
        <v>2003</v>
      </c>
      <c r="E2" s="41">
        <f t="shared" si="0"/>
        <v>2004</v>
      </c>
      <c r="F2" s="41">
        <f>+E2+1</f>
        <v>2005</v>
      </c>
      <c r="G2" s="41">
        <f t="shared" si="0"/>
        <v>2006</v>
      </c>
      <c r="H2" s="41">
        <f t="shared" si="0"/>
        <v>2007</v>
      </c>
      <c r="I2" s="41">
        <f t="shared" si="0"/>
        <v>2008</v>
      </c>
      <c r="J2" s="41">
        <f t="shared" si="0"/>
        <v>2009</v>
      </c>
      <c r="K2" s="42">
        <f t="shared" si="0"/>
        <v>2010</v>
      </c>
      <c r="L2" s="42">
        <f t="shared" si="0"/>
        <v>2011</v>
      </c>
      <c r="M2" s="42">
        <f t="shared" si="0"/>
        <v>2012</v>
      </c>
      <c r="N2" s="42">
        <f t="shared" si="0"/>
        <v>2013</v>
      </c>
      <c r="O2" s="42">
        <f t="shared" si="0"/>
        <v>2014</v>
      </c>
      <c r="P2" s="42">
        <f t="shared" ref="P2:AA2" si="1">+O2+1</f>
        <v>2015</v>
      </c>
      <c r="Q2" s="42">
        <f t="shared" si="1"/>
        <v>2016</v>
      </c>
      <c r="R2" s="42">
        <f t="shared" si="1"/>
        <v>2017</v>
      </c>
      <c r="S2" s="42">
        <f t="shared" si="1"/>
        <v>2018</v>
      </c>
      <c r="T2" s="42">
        <f t="shared" si="1"/>
        <v>2019</v>
      </c>
      <c r="U2" s="42">
        <f t="shared" si="1"/>
        <v>2020</v>
      </c>
      <c r="V2" s="42">
        <f t="shared" si="1"/>
        <v>2021</v>
      </c>
      <c r="W2" s="42">
        <f t="shared" si="1"/>
        <v>2022</v>
      </c>
      <c r="X2" s="42">
        <f t="shared" si="1"/>
        <v>2023</v>
      </c>
      <c r="Y2" s="42">
        <f t="shared" si="1"/>
        <v>2024</v>
      </c>
      <c r="Z2" s="42">
        <f t="shared" si="1"/>
        <v>2025</v>
      </c>
      <c r="AA2" s="42">
        <f t="shared" si="1"/>
        <v>2026</v>
      </c>
    </row>
    <row r="3" spans="2:41">
      <c r="B3" s="48"/>
      <c r="C3" s="25"/>
      <c r="D3" s="26"/>
      <c r="E3" s="26"/>
      <c r="F3" s="26"/>
      <c r="G3" s="26"/>
      <c r="H3" s="26"/>
      <c r="I3" s="26"/>
      <c r="J3" s="26"/>
      <c r="K3" s="26"/>
      <c r="L3" s="26"/>
      <c r="M3" s="26"/>
      <c r="N3" s="26"/>
      <c r="O3" s="26"/>
      <c r="P3" s="26"/>
      <c r="Q3" s="26"/>
      <c r="R3" s="26"/>
      <c r="S3" s="26"/>
      <c r="T3" s="26"/>
      <c r="U3" s="26"/>
      <c r="V3" s="26"/>
      <c r="W3" s="26"/>
      <c r="X3" s="26"/>
      <c r="Y3" s="26"/>
      <c r="Z3" s="26"/>
      <c r="AA3" s="26"/>
      <c r="AB3" t="s">
        <v>1823</v>
      </c>
    </row>
    <row r="4" spans="2:41">
      <c r="B4" s="48" t="s">
        <v>2354</v>
      </c>
      <c r="C4" s="25"/>
      <c r="D4" s="26"/>
      <c r="E4" s="26"/>
      <c r="F4" s="26"/>
      <c r="G4" s="26"/>
      <c r="H4" s="26"/>
      <c r="I4" s="26"/>
      <c r="J4" s="26"/>
      <c r="K4" s="26"/>
      <c r="L4" s="26"/>
      <c r="M4" s="26"/>
      <c r="N4" s="26"/>
      <c r="O4" s="26"/>
      <c r="P4" s="26"/>
      <c r="Q4" s="26"/>
      <c r="R4" s="26"/>
      <c r="S4" s="26"/>
      <c r="T4" s="26"/>
      <c r="U4" s="26"/>
      <c r="V4" s="26"/>
      <c r="W4" s="26"/>
      <c r="X4" s="26"/>
      <c r="Y4" s="26"/>
      <c r="Z4" s="26"/>
      <c r="AA4" s="26"/>
      <c r="AC4" s="8" t="s">
        <v>2108</v>
      </c>
      <c r="AD4" s="8" t="s">
        <v>2107</v>
      </c>
      <c r="AM4" s="8" t="s">
        <v>2111</v>
      </c>
      <c r="AN4" s="8" t="s">
        <v>2110</v>
      </c>
      <c r="AO4" s="8" t="s">
        <v>2109</v>
      </c>
    </row>
    <row r="5" spans="2:41">
      <c r="B5" t="s">
        <v>2382</v>
      </c>
      <c r="C5" s="51">
        <v>22000</v>
      </c>
      <c r="D5" s="51">
        <v>22000</v>
      </c>
      <c r="E5" s="51">
        <v>22000</v>
      </c>
      <c r="F5" s="51">
        <v>22409</v>
      </c>
      <c r="G5" s="51">
        <v>22931</v>
      </c>
      <c r="H5" s="51">
        <v>22931</v>
      </c>
      <c r="I5" s="52">
        <f t="shared" ref="I5:L11" si="2">I37/I16</f>
        <v>23449.675324675321</v>
      </c>
      <c r="J5" s="52">
        <f t="shared" si="2"/>
        <v>24266.666666666668</v>
      </c>
      <c r="K5" s="52">
        <f t="shared" ref="K5:L9" si="3">K37/K16</f>
        <v>24413.044682678195</v>
      </c>
      <c r="L5" s="52">
        <f t="shared" si="3"/>
        <v>24916.011449432852</v>
      </c>
      <c r="M5" s="52">
        <f t="shared" ref="M5:N11" si="4">M37/M16</f>
        <v>25562.042382995198</v>
      </c>
      <c r="N5" s="52">
        <f>N37/N16</f>
        <v>25867.410161090458</v>
      </c>
      <c r="O5" s="52">
        <f>O37/O16</f>
        <v>25847.171594437696</v>
      </c>
      <c r="P5" s="52">
        <f>P37/P16</f>
        <v>26609.241891363814</v>
      </c>
      <c r="Q5" s="52">
        <f t="shared" ref="Q5:AA5" si="5">P5*(1+$AD5/2)</f>
        <v>26884.647544939431</v>
      </c>
      <c r="R5" s="52">
        <f t="shared" si="5"/>
        <v>27162.903647029558</v>
      </c>
      <c r="S5" s="52">
        <f t="shared" si="5"/>
        <v>27444.039699776316</v>
      </c>
      <c r="T5" s="52">
        <f t="shared" si="5"/>
        <v>27728.085510669003</v>
      </c>
      <c r="U5" s="52">
        <f t="shared" si="5"/>
        <v>28015.07119570443</v>
      </c>
      <c r="V5" s="52">
        <f t="shared" si="5"/>
        <v>28305.027182579972</v>
      </c>
      <c r="W5" s="52">
        <f t="shared" si="5"/>
        <v>28597.984213919677</v>
      </c>
      <c r="X5" s="52">
        <f t="shared" si="5"/>
        <v>28893.97335053375</v>
      </c>
      <c r="Y5" s="52">
        <f t="shared" si="5"/>
        <v>29193.025974711778</v>
      </c>
      <c r="Z5" s="52">
        <f t="shared" si="5"/>
        <v>29495.173793550046</v>
      </c>
      <c r="AA5" s="52">
        <f t="shared" si="5"/>
        <v>29800.44884231329</v>
      </c>
      <c r="AB5" s="153">
        <f>O5</f>
        <v>25847.171594437696</v>
      </c>
      <c r="AC5">
        <v>2500</v>
      </c>
      <c r="AD5" s="141">
        <v>2.07E-2</v>
      </c>
      <c r="AM5" s="5">
        <f t="shared" ref="AM5:AM10" si="6">100%-AN5-AO5</f>
        <v>0.57699999999999996</v>
      </c>
      <c r="AN5" s="5">
        <v>3.5000000000000003E-2</v>
      </c>
      <c r="AO5" s="5">
        <v>0.38800000000000001</v>
      </c>
    </row>
    <row r="6" spans="2:41">
      <c r="B6" t="s">
        <v>2383</v>
      </c>
      <c r="C6" s="51">
        <v>1230</v>
      </c>
      <c r="D6" s="51">
        <v>1230</v>
      </c>
      <c r="E6" s="51">
        <v>1230</v>
      </c>
      <c r="F6" s="51">
        <v>1240</v>
      </c>
      <c r="G6" s="51">
        <v>1251</v>
      </c>
      <c r="H6" s="51">
        <v>1251</v>
      </c>
      <c r="I6" s="52">
        <f t="shared" si="2"/>
        <v>1274.5394140742978</v>
      </c>
      <c r="J6" s="52">
        <f t="shared" si="2"/>
        <v>1270.3488372093022</v>
      </c>
      <c r="K6" s="52">
        <f t="shared" si="3"/>
        <v>1285.7061065580474</v>
      </c>
      <c r="L6" s="52">
        <f t="shared" si="3"/>
        <v>1290.3225806451612</v>
      </c>
      <c r="M6" s="52">
        <f t="shared" si="4"/>
        <v>1304.690968282938</v>
      </c>
      <c r="N6" s="52">
        <f t="shared" si="4"/>
        <v>0</v>
      </c>
      <c r="O6" s="52">
        <f t="shared" ref="O6:O11" si="7">O38/O17</f>
        <v>0</v>
      </c>
      <c r="P6" s="52">
        <f t="shared" ref="P6:P11" si="8">P38/P17</f>
        <v>0</v>
      </c>
      <c r="Q6" s="52">
        <f t="shared" ref="Q6:AA6" si="9">P6*(1+$AD6/2)</f>
        <v>0</v>
      </c>
      <c r="R6" s="52">
        <f t="shared" si="9"/>
        <v>0</v>
      </c>
      <c r="S6" s="52">
        <f t="shared" si="9"/>
        <v>0</v>
      </c>
      <c r="T6" s="52">
        <f t="shared" si="9"/>
        <v>0</v>
      </c>
      <c r="U6" s="52">
        <f t="shared" si="9"/>
        <v>0</v>
      </c>
      <c r="V6" s="52">
        <f t="shared" si="9"/>
        <v>0</v>
      </c>
      <c r="W6" s="52">
        <f t="shared" si="9"/>
        <v>0</v>
      </c>
      <c r="X6" s="52">
        <f t="shared" si="9"/>
        <v>0</v>
      </c>
      <c r="Y6" s="52">
        <f t="shared" si="9"/>
        <v>0</v>
      </c>
      <c r="Z6" s="52">
        <f t="shared" si="9"/>
        <v>0</v>
      </c>
      <c r="AA6" s="52">
        <f t="shared" si="9"/>
        <v>0</v>
      </c>
      <c r="AB6" s="153">
        <f t="shared" ref="AB6:AB11" si="10">O6</f>
        <v>0</v>
      </c>
      <c r="AC6">
        <v>13100</v>
      </c>
      <c r="AD6" s="141">
        <v>8.2000000000000007E-3</v>
      </c>
      <c r="AM6" s="5">
        <f t="shared" si="6"/>
        <v>0.69499999999999995</v>
      </c>
      <c r="AN6" s="5">
        <v>6.6000000000000003E-2</v>
      </c>
      <c r="AO6" s="5">
        <v>0.23899999999999999</v>
      </c>
    </row>
    <row r="7" spans="2:41">
      <c r="B7" t="s">
        <v>2384</v>
      </c>
      <c r="C7" s="51">
        <v>11700</v>
      </c>
      <c r="D7" s="51">
        <v>11700</v>
      </c>
      <c r="E7" s="51">
        <v>11700</v>
      </c>
      <c r="F7" s="51">
        <v>11987</v>
      </c>
      <c r="G7" s="51">
        <v>12522</v>
      </c>
      <c r="H7" s="51">
        <v>12522</v>
      </c>
      <c r="I7" s="52">
        <f t="shared" si="2"/>
        <v>12248.67724867725</v>
      </c>
      <c r="J7" s="52">
        <f t="shared" si="2"/>
        <v>13822.751322751323</v>
      </c>
      <c r="K7" s="52">
        <f t="shared" si="3"/>
        <v>12337.480625026183</v>
      </c>
      <c r="L7" s="52">
        <f t="shared" si="3"/>
        <v>12330.507376007883</v>
      </c>
      <c r="M7" s="52">
        <f t="shared" si="4"/>
        <v>12947.347779194039</v>
      </c>
      <c r="N7" s="52">
        <f t="shared" si="4"/>
        <v>13309.671694764864</v>
      </c>
      <c r="O7" s="52">
        <f t="shared" si="7"/>
        <v>13814.102564102566</v>
      </c>
      <c r="P7" s="52">
        <f t="shared" si="8"/>
        <v>13363.883025505716</v>
      </c>
      <c r="Q7" s="52">
        <f t="shared" ref="Q7:AA7" si="11">P7*(1+$AD7/2)</f>
        <v>13520.240456904134</v>
      </c>
      <c r="R7" s="52">
        <f t="shared" si="11"/>
        <v>13678.427270249913</v>
      </c>
      <c r="S7" s="52">
        <f t="shared" si="11"/>
        <v>13838.464869311838</v>
      </c>
      <c r="T7" s="52">
        <f t="shared" si="11"/>
        <v>14000.374908282787</v>
      </c>
      <c r="U7" s="52">
        <f t="shared" si="11"/>
        <v>14164.179294709696</v>
      </c>
      <c r="V7" s="52">
        <f t="shared" si="11"/>
        <v>14329.900192457801</v>
      </c>
      <c r="W7" s="52">
        <f t="shared" si="11"/>
        <v>14497.560024709557</v>
      </c>
      <c r="X7" s="52">
        <f t="shared" si="11"/>
        <v>14667.181476998659</v>
      </c>
      <c r="Y7" s="52">
        <f t="shared" si="11"/>
        <v>14838.787500279544</v>
      </c>
      <c r="Z7" s="52">
        <f t="shared" si="11"/>
        <v>15012.401314032815</v>
      </c>
      <c r="AA7" s="52">
        <f t="shared" si="11"/>
        <v>15188.046409406999</v>
      </c>
      <c r="AB7" s="153">
        <f t="shared" si="10"/>
        <v>13814.102564102566</v>
      </c>
      <c r="AC7">
        <v>1800</v>
      </c>
      <c r="AD7" s="141">
        <v>2.3400000000000001E-2</v>
      </c>
      <c r="AM7" s="5">
        <f t="shared" si="6"/>
        <v>0.56099999999999994</v>
      </c>
      <c r="AN7" s="5">
        <v>3.1E-2</v>
      </c>
      <c r="AO7" s="5">
        <v>0.40799999999999997</v>
      </c>
    </row>
    <row r="8" spans="2:41">
      <c r="B8" t="s">
        <v>578</v>
      </c>
      <c r="C8" s="51">
        <v>37000</v>
      </c>
      <c r="D8" s="51">
        <v>37000</v>
      </c>
      <c r="E8" s="51">
        <v>37000</v>
      </c>
      <c r="F8" s="51">
        <v>37500</v>
      </c>
      <c r="G8" s="51">
        <v>39384</v>
      </c>
      <c r="H8" s="51">
        <v>39384</v>
      </c>
      <c r="I8" s="52">
        <f t="shared" si="2"/>
        <v>40157.342657342655</v>
      </c>
      <c r="J8" s="52">
        <f t="shared" si="2"/>
        <v>44397.321428571428</v>
      </c>
      <c r="K8" s="52">
        <f t="shared" si="3"/>
        <v>39660.483985260769</v>
      </c>
      <c r="L8" s="52">
        <f t="shared" si="3"/>
        <v>43107.265998165312</v>
      </c>
      <c r="M8" s="52">
        <f t="shared" si="4"/>
        <v>43924.173923156319</v>
      </c>
      <c r="N8" s="52">
        <f t="shared" si="4"/>
        <v>46407.139321950017</v>
      </c>
      <c r="O8" s="52">
        <f t="shared" si="7"/>
        <v>47331.02253032929</v>
      </c>
      <c r="P8" s="52">
        <f t="shared" si="8"/>
        <v>50071.780728923586</v>
      </c>
      <c r="Q8" s="52">
        <f t="shared" ref="Q8:AA8" si="12">P8*(1+$AD8/2)</f>
        <v>50529.937522593238</v>
      </c>
      <c r="R8" s="52">
        <f t="shared" si="12"/>
        <v>50992.286450924963</v>
      </c>
      <c r="S8" s="52">
        <f t="shared" si="12"/>
        <v>51458.865871950926</v>
      </c>
      <c r="T8" s="52">
        <f t="shared" si="12"/>
        <v>51929.714494679276</v>
      </c>
      <c r="U8" s="52">
        <f t="shared" si="12"/>
        <v>52404.871382305588</v>
      </c>
      <c r="V8" s="52">
        <f t="shared" si="12"/>
        <v>52884.375955453681</v>
      </c>
      <c r="W8" s="52">
        <f t="shared" si="12"/>
        <v>53368.267995446084</v>
      </c>
      <c r="X8" s="52">
        <f t="shared" si="12"/>
        <v>53856.587647604414</v>
      </c>
      <c r="Y8" s="52">
        <f t="shared" si="12"/>
        <v>54349.375424579994</v>
      </c>
      <c r="Z8" s="52">
        <f t="shared" si="12"/>
        <v>54846.672209714903</v>
      </c>
      <c r="AA8" s="52">
        <f t="shared" si="12"/>
        <v>55348.519260433794</v>
      </c>
      <c r="AB8" s="153">
        <f t="shared" si="10"/>
        <v>47331.02253032929</v>
      </c>
      <c r="AC8">
        <v>700</v>
      </c>
      <c r="AD8" s="141">
        <v>1.83E-2</v>
      </c>
      <c r="AM8" s="5">
        <f t="shared" si="6"/>
        <v>0.53699999999999992</v>
      </c>
      <c r="AN8" s="5">
        <v>2.5999999999999999E-2</v>
      </c>
      <c r="AO8" s="5">
        <v>0.437</v>
      </c>
    </row>
    <row r="9" spans="2:41">
      <c r="B9" s="21" t="s">
        <v>579</v>
      </c>
      <c r="C9" s="51">
        <v>8300</v>
      </c>
      <c r="D9" s="51">
        <v>8300</v>
      </c>
      <c r="E9" s="51">
        <v>8300</v>
      </c>
      <c r="F9" s="51">
        <v>9944</v>
      </c>
      <c r="G9" s="51">
        <v>9886</v>
      </c>
      <c r="H9" s="51">
        <v>9886</v>
      </c>
      <c r="I9" s="52">
        <f t="shared" si="2"/>
        <v>10018.518518518518</v>
      </c>
      <c r="J9" s="52">
        <f t="shared" si="2"/>
        <v>11964.705882352941</v>
      </c>
      <c r="K9" s="52">
        <f t="shared" si="3"/>
        <v>11115.215328864488</v>
      </c>
      <c r="L9" s="52">
        <f t="shared" si="3"/>
        <v>11280.524121500894</v>
      </c>
      <c r="M9" s="52">
        <f t="shared" si="4"/>
        <v>11274.645931685642</v>
      </c>
      <c r="N9" s="52">
        <f t="shared" si="4"/>
        <v>11826.985694178939</v>
      </c>
      <c r="O9" s="52">
        <f t="shared" si="7"/>
        <v>12302.24532783579</v>
      </c>
      <c r="P9" s="52">
        <f t="shared" si="8"/>
        <v>12434.089771399966</v>
      </c>
      <c r="Q9" s="52">
        <f t="shared" ref="Q9:AA9" si="13">P9*(1+$AD9/2)</f>
        <v>12610.032141665277</v>
      </c>
      <c r="R9" s="52">
        <f t="shared" si="13"/>
        <v>12788.464096469841</v>
      </c>
      <c r="S9" s="52">
        <f t="shared" si="13"/>
        <v>12969.420863434891</v>
      </c>
      <c r="T9" s="52">
        <f t="shared" si="13"/>
        <v>13152.938168652496</v>
      </c>
      <c r="U9" s="52">
        <f t="shared" si="13"/>
        <v>13339.05224373893</v>
      </c>
      <c r="V9" s="52">
        <f t="shared" si="13"/>
        <v>13527.799832987837</v>
      </c>
      <c r="W9" s="52">
        <f t="shared" si="13"/>
        <v>13719.218200624617</v>
      </c>
      <c r="X9" s="52">
        <f t="shared" si="13"/>
        <v>13913.345138163457</v>
      </c>
      <c r="Y9" s="52">
        <f t="shared" si="13"/>
        <v>14110.218971868471</v>
      </c>
      <c r="Z9" s="52">
        <f t="shared" si="13"/>
        <v>14309.878570320412</v>
      </c>
      <c r="AA9" s="52">
        <f t="shared" si="13"/>
        <v>14512.363352090448</v>
      </c>
      <c r="AB9" s="153">
        <f t="shared" si="10"/>
        <v>12302.24532783579</v>
      </c>
      <c r="AC9">
        <v>1500</v>
      </c>
      <c r="AD9" s="141">
        <v>2.8299999999999999E-2</v>
      </c>
      <c r="AM9" s="5">
        <f t="shared" si="6"/>
        <v>0.49399999999999999</v>
      </c>
      <c r="AN9" s="5">
        <v>2.7E-2</v>
      </c>
      <c r="AO9" s="5">
        <v>0.47899999999999998</v>
      </c>
    </row>
    <row r="10" spans="2:41">
      <c r="B10" s="21" t="s">
        <v>676</v>
      </c>
      <c r="C10" s="51">
        <v>61000</v>
      </c>
      <c r="D10" s="51">
        <v>61000</v>
      </c>
      <c r="E10" s="51">
        <v>61000</v>
      </c>
      <c r="F10" s="51">
        <v>62660</v>
      </c>
      <c r="G10" s="51">
        <v>65752</v>
      </c>
      <c r="H10" s="51">
        <v>65752</v>
      </c>
      <c r="I10" s="52">
        <f t="shared" si="2"/>
        <v>64691.358024691363</v>
      </c>
      <c r="J10" s="52">
        <f t="shared" si="2"/>
        <v>72644.230769230766</v>
      </c>
      <c r="K10" s="52">
        <f t="shared" si="2"/>
        <v>13380.108721283805</v>
      </c>
      <c r="L10" s="52">
        <f>L42/L21</f>
        <v>13760.513910712636</v>
      </c>
      <c r="M10" s="52">
        <f t="shared" si="4"/>
        <v>14206.858679391773</v>
      </c>
      <c r="N10" s="52">
        <f t="shared" si="4"/>
        <v>27450.142450142452</v>
      </c>
      <c r="O10" s="52">
        <f t="shared" si="7"/>
        <v>28827.444956477219</v>
      </c>
      <c r="P10" s="52">
        <f t="shared" si="8"/>
        <v>28745.732036736903</v>
      </c>
      <c r="Q10" s="52">
        <f t="shared" ref="Q10:AA10" si="14">P10*(1+$AD10/2)</f>
        <v>29186.979023500815</v>
      </c>
      <c r="R10" s="52">
        <f t="shared" si="14"/>
        <v>29634.999151511551</v>
      </c>
      <c r="S10" s="52">
        <f t="shared" si="14"/>
        <v>30089.896388487254</v>
      </c>
      <c r="T10" s="52">
        <f t="shared" si="14"/>
        <v>30551.776298050532</v>
      </c>
      <c r="U10" s="52">
        <f t="shared" si="14"/>
        <v>31020.746064225608</v>
      </c>
      <c r="V10" s="52">
        <f t="shared" si="14"/>
        <v>31496.91451631147</v>
      </c>
      <c r="W10" s="52">
        <f t="shared" si="14"/>
        <v>31980.392154136851</v>
      </c>
      <c r="X10" s="52">
        <f t="shared" si="14"/>
        <v>32471.291173702852</v>
      </c>
      <c r="Y10" s="52">
        <f t="shared" si="14"/>
        <v>32969.725493219186</v>
      </c>
      <c r="Z10" s="52">
        <f t="shared" si="14"/>
        <v>33475.810779540101</v>
      </c>
      <c r="AA10" s="52">
        <f t="shared" si="14"/>
        <v>33989.664475006044</v>
      </c>
      <c r="AB10" s="153">
        <f t="shared" si="10"/>
        <v>28827.444956477219</v>
      </c>
      <c r="AC10">
        <v>700</v>
      </c>
      <c r="AD10" s="141">
        <v>3.0700000000000002E-2</v>
      </c>
      <c r="AM10" s="5">
        <f t="shared" si="6"/>
        <v>0.501</v>
      </c>
      <c r="AN10" s="5">
        <v>2.5000000000000001E-2</v>
      </c>
      <c r="AO10" s="5">
        <v>0.47399999999999998</v>
      </c>
    </row>
    <row r="11" spans="2:41">
      <c r="B11" s="11" t="s">
        <v>2227</v>
      </c>
      <c r="C11" s="58">
        <v>10000</v>
      </c>
      <c r="D11" s="58">
        <v>10000</v>
      </c>
      <c r="E11" s="58">
        <v>10000</v>
      </c>
      <c r="F11" s="58">
        <v>10000</v>
      </c>
      <c r="G11" s="58">
        <v>10000</v>
      </c>
      <c r="H11" s="58">
        <v>10000</v>
      </c>
      <c r="I11" s="61">
        <f t="shared" ca="1" si="2"/>
        <v>10049.999999999998</v>
      </c>
      <c r="J11" s="61">
        <f t="shared" ca="1" si="2"/>
        <v>10100.249999999996</v>
      </c>
      <c r="K11" s="61">
        <f t="shared" ca="1" si="2"/>
        <v>10150.751249999996</v>
      </c>
      <c r="L11" s="61">
        <f t="shared" ca="1" si="2"/>
        <v>10201.505006249994</v>
      </c>
      <c r="M11" s="61">
        <f t="shared" ca="1" si="4"/>
        <v>9542.3308366153797</v>
      </c>
      <c r="N11" s="61">
        <f t="shared" ca="1" si="4"/>
        <v>9590.0424907984561</v>
      </c>
      <c r="O11" s="61">
        <f t="shared" ca="1" si="7"/>
        <v>8536.5908535516555</v>
      </c>
      <c r="P11" s="61">
        <f t="shared" ca="1" si="8"/>
        <v>8579.2738078194125</v>
      </c>
      <c r="Q11" s="61">
        <f t="shared" ref="Q11:AA11" ca="1" si="15">P11*(1+$AD11/2)</f>
        <v>8622.1701768585081</v>
      </c>
      <c r="R11" s="61">
        <f t="shared" ca="1" si="15"/>
        <v>8665.2810277427998</v>
      </c>
      <c r="S11" s="61">
        <f t="shared" ca="1" si="15"/>
        <v>8708.6074328815121</v>
      </c>
      <c r="T11" s="61">
        <f t="shared" ca="1" si="15"/>
        <v>8752.1504700459191</v>
      </c>
      <c r="U11" s="61">
        <f t="shared" ca="1" si="15"/>
        <v>8795.9112223961474</v>
      </c>
      <c r="V11" s="61">
        <f t="shared" ca="1" si="15"/>
        <v>8839.8907785081265</v>
      </c>
      <c r="W11" s="61">
        <f t="shared" ca="1" si="15"/>
        <v>8884.0902324006656</v>
      </c>
      <c r="X11" s="61">
        <f t="shared" ca="1" si="15"/>
        <v>8928.5106835626684</v>
      </c>
      <c r="Y11" s="61">
        <f t="shared" ca="1" si="15"/>
        <v>8973.1532369804809</v>
      </c>
      <c r="Z11" s="61">
        <f t="shared" ca="1" si="15"/>
        <v>9018.0190031653819</v>
      </c>
      <c r="AA11" s="61">
        <f t="shared" ca="1" si="15"/>
        <v>9063.1090981812085</v>
      </c>
      <c r="AB11" s="154">
        <f t="shared" ca="1" si="10"/>
        <v>8536.5908535516555</v>
      </c>
      <c r="AC11">
        <v>13100</v>
      </c>
      <c r="AD11" s="141">
        <v>0.01</v>
      </c>
      <c r="AM11" s="5"/>
      <c r="AN11" s="5"/>
      <c r="AO11" s="5"/>
    </row>
    <row r="12" spans="2:41">
      <c r="B12" s="50" t="s">
        <v>1831</v>
      </c>
      <c r="C12" s="52">
        <f>SUM(C5:C8)</f>
        <v>71930</v>
      </c>
      <c r="D12" s="52">
        <f>SUM(D5:D8)</f>
        <v>71930</v>
      </c>
      <c r="E12" s="52">
        <f>SUM(E5:E8)</f>
        <v>71930</v>
      </c>
      <c r="F12" s="52">
        <f>SUM(F5:F10)</f>
        <v>145740</v>
      </c>
      <c r="G12" s="52">
        <f>SUM(G5:G10)</f>
        <v>151726</v>
      </c>
      <c r="H12" s="52">
        <f>SUM(H5:H10)</f>
        <v>151726</v>
      </c>
      <c r="I12" s="52">
        <f ca="1">SUM(I5:I11)</f>
        <v>161890.1111879794</v>
      </c>
      <c r="J12" s="52">
        <f ca="1">SUM(J5:J11)</f>
        <v>178466.27490678243</v>
      </c>
      <c r="K12" s="52">
        <f t="shared" ref="K12:S12" ca="1" si="16">SUM(K5:K11)</f>
        <v>112342.79069967149</v>
      </c>
      <c r="L12" s="52">
        <f t="shared" ca="1" si="16"/>
        <v>116886.65044271473</v>
      </c>
      <c r="M12" s="52">
        <f ca="1">SUM(M5:M11)</f>
        <v>118762.09050132129</v>
      </c>
      <c r="N12" s="52">
        <f ca="1">SUM(N5:N11)</f>
        <v>134451.39181292517</v>
      </c>
      <c r="O12" s="52">
        <f t="shared" ca="1" si="16"/>
        <v>136658.57782673422</v>
      </c>
      <c r="P12" s="52">
        <f ca="1">SUM(P5:P11)</f>
        <v>139804.00126174939</v>
      </c>
      <c r="Q12" s="52">
        <f t="shared" ca="1" si="16"/>
        <v>141354.00686646142</v>
      </c>
      <c r="R12" s="52">
        <f t="shared" ca="1" si="16"/>
        <v>142922.36164392863</v>
      </c>
      <c r="S12" s="52">
        <f t="shared" ca="1" si="16"/>
        <v>144509.29512584273</v>
      </c>
      <c r="T12" s="52">
        <f t="shared" ref="T12:Z12" ca="1" si="17">SUM(T5:T11)</f>
        <v>146115.03985038001</v>
      </c>
      <c r="U12" s="52">
        <f t="shared" ca="1" si="17"/>
        <v>147739.8314030804</v>
      </c>
      <c r="V12" s="52">
        <f t="shared" ca="1" si="17"/>
        <v>149383.90845829889</v>
      </c>
      <c r="W12" s="52">
        <f t="shared" ca="1" si="17"/>
        <v>151047.51282123744</v>
      </c>
      <c r="X12" s="52">
        <f t="shared" ca="1" si="17"/>
        <v>152730.8894705658</v>
      </c>
      <c r="Y12" s="52">
        <f t="shared" ca="1" si="17"/>
        <v>154434.28660163947</v>
      </c>
      <c r="Z12" s="52">
        <f t="shared" ca="1" si="17"/>
        <v>156157.95567032366</v>
      </c>
      <c r="AA12" s="52">
        <f t="shared" ref="AA12" ca="1" si="18">SUM(AA5:AA11)</f>
        <v>157902.15143743181</v>
      </c>
      <c r="AB12" s="153">
        <f>SUM(AB5:AB10)</f>
        <v>128121.98697318256</v>
      </c>
      <c r="AC12" s="142" t="e">
        <v>#NAME?</v>
      </c>
      <c r="AD12" s="53" t="e">
        <v>#NAME?</v>
      </c>
    </row>
    <row r="13" spans="2:41">
      <c r="B13" s="407" t="s">
        <v>1991</v>
      </c>
      <c r="C13" s="52"/>
      <c r="D13" s="52"/>
      <c r="E13" s="52"/>
      <c r="F13" s="52"/>
      <c r="G13" s="52"/>
      <c r="H13" s="52"/>
      <c r="I13" s="52"/>
      <c r="J13" s="410">
        <v>13000</v>
      </c>
      <c r="K13" s="411">
        <f t="shared" ref="K13:AA13" si="19">K10/J10*J13</f>
        <v>2394.4284568068438</v>
      </c>
      <c r="L13" s="411">
        <f t="shared" si="19"/>
        <v>2462.5036144650539</v>
      </c>
      <c r="M13" s="411">
        <f t="shared" si="19"/>
        <v>2542.3789456701097</v>
      </c>
      <c r="N13" s="411">
        <f t="shared" si="19"/>
        <v>4912.3219844596424</v>
      </c>
      <c r="O13" s="411">
        <f t="shared" si="19"/>
        <v>5158.7962384059829</v>
      </c>
      <c r="P13" s="411">
        <f t="shared" si="19"/>
        <v>5144.1733572029507</v>
      </c>
      <c r="Q13" s="411">
        <f t="shared" si="19"/>
        <v>5223.1364182360157</v>
      </c>
      <c r="R13" s="411">
        <f t="shared" si="19"/>
        <v>5303.311562255938</v>
      </c>
      <c r="S13" s="411">
        <f t="shared" si="19"/>
        <v>5384.7173947365663</v>
      </c>
      <c r="T13" s="411">
        <f t="shared" si="19"/>
        <v>5467.3728067457723</v>
      </c>
      <c r="U13" s="411">
        <f t="shared" si="19"/>
        <v>5551.2969793293196</v>
      </c>
      <c r="V13" s="411">
        <f t="shared" si="19"/>
        <v>5636.5093879620244</v>
      </c>
      <c r="W13" s="411">
        <f t="shared" si="19"/>
        <v>5723.0298070672416</v>
      </c>
      <c r="X13" s="411">
        <f t="shared" si="19"/>
        <v>5810.878314605724</v>
      </c>
      <c r="Y13" s="411">
        <f t="shared" si="19"/>
        <v>5900.0752967349217</v>
      </c>
      <c r="Z13" s="411">
        <f t="shared" si="19"/>
        <v>5990.6414525398022</v>
      </c>
      <c r="AA13" s="411">
        <f t="shared" si="19"/>
        <v>6082.5977988362883</v>
      </c>
      <c r="AB13" s="153"/>
      <c r="AC13" s="142"/>
      <c r="AD13" s="53"/>
    </row>
    <row r="14" spans="2:41">
      <c r="B14" s="48"/>
      <c r="C14" s="25"/>
      <c r="D14" s="26"/>
      <c r="E14" s="26"/>
      <c r="F14" s="26"/>
      <c r="G14" s="52"/>
      <c r="H14" s="52"/>
      <c r="I14" s="52"/>
      <c r="J14" s="52"/>
      <c r="K14" s="52"/>
      <c r="L14" s="52"/>
      <c r="M14" s="52"/>
      <c r="N14" s="52"/>
      <c r="O14" s="52"/>
      <c r="P14" s="52"/>
      <c r="Q14" s="52"/>
      <c r="R14" s="52"/>
      <c r="S14" s="52"/>
      <c r="T14" s="52"/>
      <c r="U14" s="52"/>
      <c r="V14" s="52"/>
      <c r="W14" s="52"/>
      <c r="X14" s="52"/>
      <c r="Y14" s="52"/>
      <c r="Z14" s="52"/>
      <c r="AA14" s="52"/>
      <c r="AB14" s="32"/>
      <c r="AC14" s="21"/>
      <c r="AD14" s="21"/>
      <c r="AN14" s="6" t="s">
        <v>1677</v>
      </c>
    </row>
    <row r="15" spans="2:41">
      <c r="B15" s="48" t="s">
        <v>1931</v>
      </c>
      <c r="C15" s="25"/>
      <c r="D15" s="26"/>
      <c r="E15" s="26"/>
      <c r="F15" s="26" t="s">
        <v>1823</v>
      </c>
      <c r="G15" s="26"/>
      <c r="H15" s="26"/>
      <c r="I15" s="26"/>
      <c r="J15" s="26"/>
      <c r="K15" s="26"/>
      <c r="L15" s="26"/>
      <c r="M15" s="26"/>
      <c r="N15" s="26"/>
      <c r="O15" s="52"/>
      <c r="P15" s="52"/>
      <c r="Q15" s="52"/>
      <c r="R15" s="52"/>
      <c r="S15" s="52"/>
      <c r="T15" s="52"/>
      <c r="U15" s="52"/>
      <c r="V15" s="52"/>
      <c r="W15" s="52"/>
      <c r="X15" s="52"/>
      <c r="Y15" s="52"/>
      <c r="Z15" s="52"/>
      <c r="AA15" s="52"/>
      <c r="AB15" s="32" t="s">
        <v>1823</v>
      </c>
      <c r="AC15" s="21"/>
      <c r="AD15" s="21"/>
      <c r="AM15" s="5">
        <f>100%-AN15-AO15</f>
        <v>0.66700000000000004</v>
      </c>
      <c r="AN15" s="5">
        <v>0.158</v>
      </c>
      <c r="AO15" s="5">
        <v>0.17499999999999999</v>
      </c>
    </row>
    <row r="16" spans="2:41">
      <c r="B16" s="50" t="str">
        <f t="shared" ref="B16:B21" si="20">B5</f>
        <v>Ghana</v>
      </c>
      <c r="C16" s="53">
        <f t="shared" ref="C16:E19" si="21">C37/C5</f>
        <v>9.465454545454546E-3</v>
      </c>
      <c r="D16" s="53">
        <f t="shared" si="21"/>
        <v>2.142109090909091E-2</v>
      </c>
      <c r="E16" s="53">
        <f t="shared" si="21"/>
        <v>5.0371818181818184E-2</v>
      </c>
      <c r="F16" s="54">
        <v>0.122</v>
      </c>
      <c r="G16" s="54">
        <v>0.19</v>
      </c>
      <c r="H16" s="53">
        <f t="shared" ref="H16:H21" si="22">H37/H5</f>
        <v>0.30422466800701953</v>
      </c>
      <c r="I16" s="54">
        <v>0.44</v>
      </c>
      <c r="J16" s="54">
        <v>0.51</v>
      </c>
      <c r="K16" s="54">
        <v>0.57299999999999995</v>
      </c>
      <c r="L16" s="54">
        <v>0.66100000000000003</v>
      </c>
      <c r="M16" s="54">
        <v>0.72099999999999997</v>
      </c>
      <c r="N16" s="54">
        <v>0.80700000000000005</v>
      </c>
      <c r="O16" s="54">
        <v>0.82299999999999995</v>
      </c>
      <c r="P16" s="53">
        <f t="shared" ref="O16:P22" si="23">O16+P27</f>
        <v>0.85299999999999998</v>
      </c>
      <c r="Q16" s="53">
        <f t="shared" ref="Q16:AA22" si="24">P16+Q27</f>
        <v>0.873</v>
      </c>
      <c r="R16" s="53">
        <f t="shared" si="24"/>
        <v>0.89300000000000002</v>
      </c>
      <c r="S16" s="53">
        <f t="shared" si="24"/>
        <v>0.91300000000000003</v>
      </c>
      <c r="T16" s="53">
        <f t="shared" si="24"/>
        <v>0.93300000000000005</v>
      </c>
      <c r="U16" s="53">
        <f t="shared" si="24"/>
        <v>0.95300000000000007</v>
      </c>
      <c r="V16" s="53">
        <f t="shared" si="24"/>
        <v>0.97300000000000009</v>
      </c>
      <c r="W16" s="53">
        <f t="shared" si="24"/>
        <v>0.9930000000000001</v>
      </c>
      <c r="X16" s="53">
        <f t="shared" si="24"/>
        <v>1.0130000000000001</v>
      </c>
      <c r="Y16" s="53">
        <f t="shared" si="24"/>
        <v>1.0330000000000001</v>
      </c>
      <c r="Z16" s="53">
        <f t="shared" si="24"/>
        <v>1.0530000000000002</v>
      </c>
      <c r="AA16" s="53">
        <f t="shared" si="24"/>
        <v>1.0730000000000002</v>
      </c>
      <c r="AB16" s="159" t="e">
        <f>#REF!</f>
        <v>#REF!</v>
      </c>
      <c r="AC16" s="21"/>
      <c r="AD16" s="21"/>
    </row>
    <row r="17" spans="2:30">
      <c r="B17" s="50" t="str">
        <f t="shared" si="20"/>
        <v>Mauritius</v>
      </c>
      <c r="C17" s="53">
        <f t="shared" si="21"/>
        <v>0</v>
      </c>
      <c r="D17" s="53">
        <f t="shared" si="21"/>
        <v>0.37024390243902444</v>
      </c>
      <c r="E17" s="53">
        <f t="shared" si="21"/>
        <v>0.45410569105691062</v>
      </c>
      <c r="F17" s="54">
        <v>0.48899999999999999</v>
      </c>
      <c r="G17" s="54">
        <v>0.61</v>
      </c>
      <c r="H17" s="53">
        <f t="shared" si="22"/>
        <v>0.69471660766624788</v>
      </c>
      <c r="I17" s="54">
        <v>0.77</v>
      </c>
      <c r="J17" s="54">
        <v>0.8</v>
      </c>
      <c r="K17" s="54">
        <v>0.86099999999999999</v>
      </c>
      <c r="L17" s="54">
        <v>0.93</v>
      </c>
      <c r="M17" s="54">
        <v>0.97</v>
      </c>
      <c r="N17" s="54">
        <v>1.0069999999999999</v>
      </c>
      <c r="O17" s="53">
        <f t="shared" si="23"/>
        <v>1.0269999999999999</v>
      </c>
      <c r="P17" s="53">
        <f t="shared" si="23"/>
        <v>1.0469999999999999</v>
      </c>
      <c r="Q17" s="53">
        <f t="shared" si="24"/>
        <v>1.0669999999999999</v>
      </c>
      <c r="R17" s="53">
        <f t="shared" si="24"/>
        <v>1.087</v>
      </c>
      <c r="S17" s="53">
        <f t="shared" si="24"/>
        <v>1.107</v>
      </c>
      <c r="T17" s="53">
        <f t="shared" si="24"/>
        <v>1.127</v>
      </c>
      <c r="U17" s="53">
        <f t="shared" si="24"/>
        <v>1.147</v>
      </c>
      <c r="V17" s="53">
        <f t="shared" si="24"/>
        <v>1.167</v>
      </c>
      <c r="W17" s="53">
        <f t="shared" si="24"/>
        <v>1.1870000000000001</v>
      </c>
      <c r="X17" s="53">
        <f t="shared" si="24"/>
        <v>1.2070000000000001</v>
      </c>
      <c r="Y17" s="53">
        <f t="shared" si="24"/>
        <v>1.2270000000000001</v>
      </c>
      <c r="Z17" s="53">
        <f t="shared" si="24"/>
        <v>1.2470000000000001</v>
      </c>
      <c r="AA17" s="53">
        <f t="shared" si="24"/>
        <v>1.2670000000000001</v>
      </c>
      <c r="AB17" s="159" t="e">
        <f>#REF!</f>
        <v>#REF!</v>
      </c>
      <c r="AC17" s="21"/>
      <c r="AD17" s="21"/>
    </row>
    <row r="18" spans="2:30">
      <c r="B18" s="50" t="str">
        <f t="shared" si="20"/>
        <v>Senegal</v>
      </c>
      <c r="C18" s="53">
        <f t="shared" si="21"/>
        <v>2.7864387464387467E-2</v>
      </c>
      <c r="D18" s="53">
        <f t="shared" si="21"/>
        <v>5.8833618233618233E-2</v>
      </c>
      <c r="E18" s="53">
        <f t="shared" si="21"/>
        <v>9.6833048433048435E-2</v>
      </c>
      <c r="F18" s="54">
        <v>0.14099999999999999</v>
      </c>
      <c r="G18" s="54">
        <v>0.22</v>
      </c>
      <c r="H18" s="53">
        <f t="shared" si="22"/>
        <v>0.28813932639844198</v>
      </c>
      <c r="I18" s="54">
        <v>0.42</v>
      </c>
      <c r="J18" s="54">
        <v>0.42</v>
      </c>
      <c r="K18" s="54">
        <v>0.58399999999999996</v>
      </c>
      <c r="L18" s="54">
        <v>0.64500000000000002</v>
      </c>
      <c r="M18" s="54">
        <v>0.65800000000000003</v>
      </c>
      <c r="N18" s="54">
        <v>0.69</v>
      </c>
      <c r="O18" s="54">
        <v>0.72799999999999998</v>
      </c>
      <c r="P18" s="53">
        <f t="shared" si="23"/>
        <v>0.75800000000000001</v>
      </c>
      <c r="Q18" s="53">
        <f t="shared" si="24"/>
        <v>0.78800000000000003</v>
      </c>
      <c r="R18" s="53">
        <f t="shared" si="24"/>
        <v>0.81800000000000006</v>
      </c>
      <c r="S18" s="53">
        <f t="shared" si="24"/>
        <v>0.84800000000000009</v>
      </c>
      <c r="T18" s="53">
        <f t="shared" si="24"/>
        <v>0.87800000000000011</v>
      </c>
      <c r="U18" s="53">
        <f t="shared" si="24"/>
        <v>0.90800000000000014</v>
      </c>
      <c r="V18" s="53">
        <f t="shared" si="24"/>
        <v>0.93800000000000017</v>
      </c>
      <c r="W18" s="53">
        <f t="shared" si="24"/>
        <v>0.96800000000000019</v>
      </c>
      <c r="X18" s="53">
        <f t="shared" si="24"/>
        <v>0.99800000000000022</v>
      </c>
      <c r="Y18" s="53">
        <f t="shared" si="24"/>
        <v>1.0280000000000002</v>
      </c>
      <c r="Z18" s="53">
        <f t="shared" si="24"/>
        <v>1.0580000000000003</v>
      </c>
      <c r="AA18" s="53">
        <f t="shared" si="24"/>
        <v>1.0880000000000003</v>
      </c>
      <c r="AB18" s="159" t="e">
        <f>#REF!</f>
        <v>#REF!</v>
      </c>
      <c r="AC18" s="21"/>
      <c r="AD18" s="21"/>
    </row>
    <row r="19" spans="2:30">
      <c r="B19" s="50" t="str">
        <f t="shared" si="20"/>
        <v>Tanzania</v>
      </c>
      <c r="C19" s="53">
        <f t="shared" si="21"/>
        <v>2.6277117117117117E-2</v>
      </c>
      <c r="D19" s="53">
        <f t="shared" si="21"/>
        <v>3.0425765765765767E-2</v>
      </c>
      <c r="E19" s="53">
        <f t="shared" si="21"/>
        <v>5.45427027027027E-2</v>
      </c>
      <c r="F19" s="54">
        <v>7.9000000000000001E-2</v>
      </c>
      <c r="G19" s="54">
        <v>0.09</v>
      </c>
      <c r="H19" s="53">
        <f t="shared" si="22"/>
        <v>0.18911201249238269</v>
      </c>
      <c r="I19" s="54">
        <v>0.22</v>
      </c>
      <c r="J19" s="54">
        <v>0.28000000000000003</v>
      </c>
      <c r="K19" s="54">
        <v>0.33600000000000002</v>
      </c>
      <c r="L19" s="54">
        <v>0.40400000000000003</v>
      </c>
      <c r="M19" s="54">
        <v>0.434</v>
      </c>
      <c r="N19" s="54">
        <v>0.44900000000000001</v>
      </c>
      <c r="O19" s="54">
        <v>0.57699999999999996</v>
      </c>
      <c r="P19" s="53">
        <f t="shared" si="23"/>
        <v>0.63700000000000001</v>
      </c>
      <c r="Q19" s="53">
        <f t="shared" si="24"/>
        <v>0.69700000000000006</v>
      </c>
      <c r="R19" s="53">
        <f t="shared" si="24"/>
        <v>0.75700000000000012</v>
      </c>
      <c r="S19" s="53">
        <f t="shared" si="24"/>
        <v>0.81700000000000017</v>
      </c>
      <c r="T19" s="53">
        <f t="shared" si="24"/>
        <v>0.87700000000000022</v>
      </c>
      <c r="U19" s="53">
        <f t="shared" si="24"/>
        <v>0.93700000000000028</v>
      </c>
      <c r="V19" s="53">
        <f t="shared" si="24"/>
        <v>0.99700000000000033</v>
      </c>
      <c r="W19" s="53">
        <f t="shared" si="24"/>
        <v>1.0570000000000004</v>
      </c>
      <c r="X19" s="53">
        <f t="shared" si="24"/>
        <v>1.1170000000000004</v>
      </c>
      <c r="Y19" s="53">
        <f t="shared" si="24"/>
        <v>1.1770000000000005</v>
      </c>
      <c r="Z19" s="53">
        <f t="shared" si="24"/>
        <v>1.2370000000000005</v>
      </c>
      <c r="AA19" s="53">
        <f t="shared" si="24"/>
        <v>1.2970000000000006</v>
      </c>
      <c r="AB19" s="159" t="e">
        <f>#REF!</f>
        <v>#REF!</v>
      </c>
      <c r="AC19" s="21"/>
      <c r="AD19" s="21"/>
    </row>
    <row r="20" spans="2:30">
      <c r="B20" s="50" t="str">
        <f t="shared" si="20"/>
        <v>Chad</v>
      </c>
      <c r="C20" s="53">
        <f t="shared" ref="C20:E21" si="25">D20-0.5%</f>
        <v>1.9E-2</v>
      </c>
      <c r="D20" s="53">
        <f t="shared" si="25"/>
        <v>2.4E-2</v>
      </c>
      <c r="E20" s="53">
        <f t="shared" si="25"/>
        <v>2.9000000000000001E-2</v>
      </c>
      <c r="F20" s="54">
        <v>3.4000000000000002E-2</v>
      </c>
      <c r="G20" s="54">
        <v>0.05</v>
      </c>
      <c r="H20" s="53">
        <f t="shared" si="22"/>
        <v>7.2685503630274012E-2</v>
      </c>
      <c r="I20" s="54">
        <v>0.12</v>
      </c>
      <c r="J20" s="54">
        <v>0.17</v>
      </c>
      <c r="K20" s="54">
        <v>0.22600000000000001</v>
      </c>
      <c r="L20" s="54">
        <v>0.29199999999999998</v>
      </c>
      <c r="M20" s="54">
        <v>0.32500000000000001</v>
      </c>
      <c r="N20" s="54">
        <v>0.36199999999999999</v>
      </c>
      <c r="O20" s="54">
        <v>0.42099999999999999</v>
      </c>
      <c r="P20" s="53">
        <f t="shared" si="23"/>
        <v>0.46099999999999997</v>
      </c>
      <c r="Q20" s="53">
        <f t="shared" si="24"/>
        <v>0.51100000000000001</v>
      </c>
      <c r="R20" s="53">
        <f t="shared" si="24"/>
        <v>0.56100000000000005</v>
      </c>
      <c r="S20" s="53">
        <f t="shared" si="24"/>
        <v>0.6110000000000001</v>
      </c>
      <c r="T20" s="53">
        <f t="shared" si="24"/>
        <v>0.66100000000000014</v>
      </c>
      <c r="U20" s="53">
        <f t="shared" si="24"/>
        <v>0.71100000000000019</v>
      </c>
      <c r="V20" s="53">
        <f t="shared" si="24"/>
        <v>0.76100000000000023</v>
      </c>
      <c r="W20" s="53">
        <f t="shared" si="24"/>
        <v>0.81100000000000028</v>
      </c>
      <c r="X20" s="53">
        <f t="shared" si="24"/>
        <v>0.86100000000000032</v>
      </c>
      <c r="Y20" s="53">
        <f t="shared" si="24"/>
        <v>0.91100000000000037</v>
      </c>
      <c r="Z20" s="53">
        <f t="shared" si="24"/>
        <v>0.96100000000000041</v>
      </c>
      <c r="AA20" s="53">
        <f t="shared" si="24"/>
        <v>1.0110000000000003</v>
      </c>
      <c r="AB20" s="159" t="e">
        <f>#REF!</f>
        <v>#REF!</v>
      </c>
      <c r="AC20" s="21"/>
      <c r="AD20" s="21"/>
    </row>
    <row r="21" spans="2:30">
      <c r="B21" s="50" t="str">
        <f t="shared" si="20"/>
        <v>Dem. Rep. Congo</v>
      </c>
      <c r="C21" s="53">
        <f t="shared" si="25"/>
        <v>3.2000000000000008E-2</v>
      </c>
      <c r="D21" s="53">
        <f t="shared" si="25"/>
        <v>3.7000000000000005E-2</v>
      </c>
      <c r="E21" s="53">
        <f t="shared" si="25"/>
        <v>4.2000000000000003E-2</v>
      </c>
      <c r="F21" s="54">
        <v>4.7E-2</v>
      </c>
      <c r="G21" s="54">
        <v>0.05</v>
      </c>
      <c r="H21" s="53">
        <f t="shared" si="22"/>
        <v>5.936810178506248E-2</v>
      </c>
      <c r="I21" s="54">
        <v>0.09</v>
      </c>
      <c r="J21" s="54">
        <v>0.08</v>
      </c>
      <c r="K21" s="54">
        <v>0.40899999999999997</v>
      </c>
      <c r="L21" s="54">
        <v>0.496</v>
      </c>
      <c r="M21" s="54">
        <v>0.60699999999999998</v>
      </c>
      <c r="N21" s="54">
        <v>0.45</v>
      </c>
      <c r="O21" s="54">
        <v>0.56699999999999995</v>
      </c>
      <c r="P21" s="53">
        <f t="shared" si="23"/>
        <v>0.61699999999999999</v>
      </c>
      <c r="Q21" s="53">
        <f t="shared" si="24"/>
        <v>0.63700000000000001</v>
      </c>
      <c r="R21" s="53">
        <f t="shared" si="24"/>
        <v>0.64700000000000002</v>
      </c>
      <c r="S21" s="53">
        <f t="shared" si="24"/>
        <v>0.65700000000000003</v>
      </c>
      <c r="T21" s="53">
        <f t="shared" si="24"/>
        <v>0.66700000000000004</v>
      </c>
      <c r="U21" s="53">
        <f t="shared" si="24"/>
        <v>0.67700000000000005</v>
      </c>
      <c r="V21" s="53">
        <f t="shared" si="24"/>
        <v>0.68700000000000006</v>
      </c>
      <c r="W21" s="53">
        <f t="shared" si="24"/>
        <v>0.69700000000000006</v>
      </c>
      <c r="X21" s="53">
        <f t="shared" si="24"/>
        <v>0.70700000000000007</v>
      </c>
      <c r="Y21" s="53">
        <f t="shared" si="24"/>
        <v>0.71700000000000008</v>
      </c>
      <c r="Z21" s="53">
        <f t="shared" si="24"/>
        <v>0.72700000000000009</v>
      </c>
      <c r="AA21" s="53">
        <f t="shared" si="24"/>
        <v>0.7370000000000001</v>
      </c>
      <c r="AB21" s="159" t="e">
        <f>#REF!</f>
        <v>#REF!</v>
      </c>
      <c r="AC21" s="21"/>
      <c r="AD21" s="21"/>
    </row>
    <row r="22" spans="2:30">
      <c r="B22" s="57" t="s">
        <v>2227</v>
      </c>
      <c r="C22" s="62"/>
      <c r="D22" s="78">
        <v>1.7999999999999999E-2</v>
      </c>
      <c r="E22" s="78">
        <v>2.5000000000000001E-2</v>
      </c>
      <c r="F22" s="78">
        <v>3.2000000000000001E-2</v>
      </c>
      <c r="G22" s="78">
        <v>0.04</v>
      </c>
      <c r="H22" s="78">
        <v>7.0000000000000007E-2</v>
      </c>
      <c r="I22" s="78">
        <v>0.11</v>
      </c>
      <c r="J22" s="78">
        <v>0.2</v>
      </c>
      <c r="K22" s="78">
        <v>0.26200000000000001</v>
      </c>
      <c r="L22" s="78">
        <v>0.30399999999999999</v>
      </c>
      <c r="M22" s="78">
        <v>0.32500000000000001</v>
      </c>
      <c r="N22" s="78">
        <v>0.47</v>
      </c>
      <c r="O22" s="78">
        <v>0.52800000000000002</v>
      </c>
      <c r="P22" s="62">
        <f t="shared" si="23"/>
        <v>0.58800000000000008</v>
      </c>
      <c r="Q22" s="62">
        <f t="shared" si="24"/>
        <v>0.64800000000000013</v>
      </c>
      <c r="R22" s="62">
        <f t="shared" si="24"/>
        <v>0.70800000000000018</v>
      </c>
      <c r="S22" s="62">
        <f t="shared" si="24"/>
        <v>0.76800000000000024</v>
      </c>
      <c r="T22" s="62">
        <f t="shared" si="24"/>
        <v>0.82800000000000029</v>
      </c>
      <c r="U22" s="62">
        <f t="shared" si="24"/>
        <v>0.88800000000000034</v>
      </c>
      <c r="V22" s="62">
        <f t="shared" si="24"/>
        <v>0.9480000000000004</v>
      </c>
      <c r="W22" s="62">
        <f t="shared" si="24"/>
        <v>1.0080000000000005</v>
      </c>
      <c r="X22" s="62">
        <f t="shared" si="24"/>
        <v>1.0680000000000005</v>
      </c>
      <c r="Y22" s="62">
        <f t="shared" si="24"/>
        <v>1.1280000000000006</v>
      </c>
      <c r="Z22" s="62">
        <f t="shared" si="24"/>
        <v>1.1880000000000006</v>
      </c>
      <c r="AA22" s="62">
        <f t="shared" si="24"/>
        <v>1.2480000000000007</v>
      </c>
      <c r="AB22" s="160"/>
      <c r="AC22" s="21"/>
      <c r="AD22" s="21"/>
    </row>
    <row r="23" spans="2:30">
      <c r="B23" s="50" t="str">
        <f>B12</f>
        <v>Africa</v>
      </c>
      <c r="C23" s="53">
        <f t="shared" ref="C23:AB23" si="26">C44/C12</f>
        <v>2.0944065990082951E-2</v>
      </c>
      <c r="D23" s="53">
        <f t="shared" si="26"/>
        <v>3.8103304138282584E-2</v>
      </c>
      <c r="E23" s="53">
        <f t="shared" si="26"/>
        <v>6.6978404930719673E-2</v>
      </c>
      <c r="F23" s="53">
        <f t="shared" si="26"/>
        <v>5.4843728557705501E-2</v>
      </c>
      <c r="G23" s="53">
        <f t="shared" si="26"/>
        <v>0.10018915676943964</v>
      </c>
      <c r="H23" s="53">
        <f t="shared" si="26"/>
        <v>0.15503918116131082</v>
      </c>
      <c r="I23" s="53">
        <f t="shared" ca="1" si="26"/>
        <v>0.19953508295321473</v>
      </c>
      <c r="J23" s="53">
        <f ca="1">J44/J12</f>
        <v>0.22118813824897773</v>
      </c>
      <c r="K23" s="53">
        <f ca="1">K44/K12</f>
        <v>0.38819742437144178</v>
      </c>
      <c r="L23" s="53">
        <f t="shared" ca="1" si="26"/>
        <v>0.45477498098127656</v>
      </c>
      <c r="M23" s="53">
        <f t="shared" ca="1" si="26"/>
        <v>0.50155779519778199</v>
      </c>
      <c r="N23" s="53">
        <f t="shared" ca="1" si="26"/>
        <v>0.50225892821370111</v>
      </c>
      <c r="O23" s="53">
        <f t="shared" ca="1" si="26"/>
        <v>0.586595417112179</v>
      </c>
      <c r="P23" s="53">
        <f t="shared" ca="1" si="26"/>
        <v>0.63082216707915062</v>
      </c>
      <c r="Q23" s="53">
        <f t="shared" ref="Q23:Z23" ca="1" si="27">Q44/Q12</f>
        <v>0.70720748419551227</v>
      </c>
      <c r="R23" s="53">
        <f t="shared" ca="1" si="27"/>
        <v>0.74536816953393037</v>
      </c>
      <c r="S23" s="53">
        <f t="shared" ca="1" si="27"/>
        <v>0.7834437802572719</v>
      </c>
      <c r="T23" s="53">
        <f t="shared" ca="1" si="27"/>
        <v>0.82143426299674716</v>
      </c>
      <c r="U23" s="53">
        <f t="shared" ca="1" si="27"/>
        <v>0.85933956553806434</v>
      </c>
      <c r="V23" s="53">
        <f t="shared" ca="1" si="27"/>
        <v>0.89715963682802591</v>
      </c>
      <c r="W23" s="53">
        <f t="shared" ca="1" si="27"/>
        <v>0.93489442698107561</v>
      </c>
      <c r="X23" s="53">
        <f t="shared" ca="1" si="27"/>
        <v>0.97254388728579488</v>
      </c>
      <c r="Y23" s="53">
        <f t="shared" ca="1" si="27"/>
        <v>1.0101079702113482</v>
      </c>
      <c r="Z23" s="53">
        <f t="shared" ca="1" si="27"/>
        <v>1.0475866294138794</v>
      </c>
      <c r="AA23" s="53">
        <f t="shared" ref="AA23" ca="1" si="28">AA44/AA12</f>
        <v>1.0849798197428484</v>
      </c>
      <c r="AB23" s="158" t="e">
        <f t="shared" si="26"/>
        <v>#REF!</v>
      </c>
      <c r="AC23" s="16"/>
      <c r="AD23" s="16"/>
    </row>
    <row r="24" spans="2:30">
      <c r="B24" s="407" t="s">
        <v>3335</v>
      </c>
      <c r="C24" s="408"/>
      <c r="D24" s="408"/>
      <c r="E24" s="408"/>
      <c r="F24" s="408"/>
      <c r="G24" s="408"/>
      <c r="H24" s="408"/>
      <c r="I24" s="408"/>
      <c r="J24" s="409">
        <v>0.3</v>
      </c>
      <c r="K24" s="409">
        <v>0.3</v>
      </c>
      <c r="L24" s="409">
        <v>0.3</v>
      </c>
      <c r="M24" s="409">
        <v>0.3</v>
      </c>
      <c r="N24" s="408">
        <f t="shared" ref="N24:AA24" si="29">M24+6%</f>
        <v>0.36</v>
      </c>
      <c r="O24" s="408">
        <f t="shared" si="29"/>
        <v>0.42</v>
      </c>
      <c r="P24" s="408">
        <f t="shared" si="29"/>
        <v>0.48</v>
      </c>
      <c r="Q24" s="408">
        <f t="shared" si="29"/>
        <v>0.54</v>
      </c>
      <c r="R24" s="408">
        <f t="shared" si="29"/>
        <v>0.60000000000000009</v>
      </c>
      <c r="S24" s="408">
        <f t="shared" si="29"/>
        <v>0.66000000000000014</v>
      </c>
      <c r="T24" s="408">
        <f t="shared" si="29"/>
        <v>0.7200000000000002</v>
      </c>
      <c r="U24" s="408">
        <f t="shared" si="29"/>
        <v>0.78000000000000025</v>
      </c>
      <c r="V24" s="408">
        <f t="shared" si="29"/>
        <v>0.8400000000000003</v>
      </c>
      <c r="W24" s="408">
        <f t="shared" si="29"/>
        <v>0.90000000000000036</v>
      </c>
      <c r="X24" s="408">
        <f t="shared" si="29"/>
        <v>0.96000000000000041</v>
      </c>
      <c r="Y24" s="408">
        <f t="shared" si="29"/>
        <v>1.0200000000000005</v>
      </c>
      <c r="Z24" s="408">
        <f t="shared" si="29"/>
        <v>1.0800000000000005</v>
      </c>
      <c r="AA24" s="408">
        <f t="shared" si="29"/>
        <v>1.1400000000000006</v>
      </c>
      <c r="AB24" s="158"/>
      <c r="AC24" s="16"/>
      <c r="AD24" s="16"/>
    </row>
    <row r="25" spans="2:30">
      <c r="B25" s="48"/>
      <c r="C25" s="25"/>
      <c r="D25" s="26"/>
      <c r="E25" s="26"/>
      <c r="F25" s="26"/>
      <c r="G25" s="26"/>
      <c r="H25" s="26"/>
      <c r="I25" s="26"/>
      <c r="J25" s="26"/>
      <c r="K25" s="26"/>
      <c r="L25" s="26"/>
      <c r="M25" s="26"/>
      <c r="N25" s="26"/>
      <c r="O25" s="26"/>
      <c r="P25" s="26"/>
      <c r="Q25" s="26"/>
      <c r="R25" s="26"/>
      <c r="S25" s="26"/>
      <c r="T25" s="26"/>
      <c r="U25" s="26"/>
      <c r="V25" s="26"/>
      <c r="W25" s="26"/>
      <c r="X25" s="26"/>
      <c r="Y25" s="26"/>
      <c r="Z25" s="26"/>
      <c r="AA25" s="26"/>
      <c r="AB25" s="32"/>
      <c r="AC25" s="21"/>
      <c r="AD25" s="21"/>
    </row>
    <row r="26" spans="2:30">
      <c r="B26" s="48" t="s">
        <v>1933</v>
      </c>
      <c r="C26" s="25"/>
      <c r="D26" s="26"/>
      <c r="E26" s="26"/>
      <c r="F26" s="26"/>
      <c r="G26" s="26" t="s">
        <v>1823</v>
      </c>
      <c r="H26" s="26"/>
      <c r="I26" s="26"/>
      <c r="J26" s="26"/>
      <c r="K26" s="26"/>
      <c r="L26" s="26"/>
      <c r="M26" s="26"/>
      <c r="N26" s="26"/>
      <c r="O26" s="26"/>
      <c r="P26" s="26"/>
      <c r="Q26" s="26"/>
      <c r="R26" s="26"/>
      <c r="S26" s="26"/>
      <c r="T26" s="26"/>
      <c r="U26" s="26"/>
      <c r="V26" s="26"/>
      <c r="W26" s="26"/>
      <c r="X26" s="26"/>
      <c r="Y26" s="26"/>
      <c r="Z26" s="26"/>
      <c r="AA26" s="26"/>
      <c r="AB26" s="32"/>
      <c r="AC26" s="21"/>
      <c r="AD26" s="21"/>
    </row>
    <row r="27" spans="2:30">
      <c r="B27" s="50" t="str">
        <f t="shared" ref="B27:B34" si="30">B16</f>
        <v>Ghana</v>
      </c>
      <c r="C27" s="53"/>
      <c r="D27" s="53">
        <f t="shared" ref="D27:I30" si="31">D16-C16</f>
        <v>1.1955636363636364E-2</v>
      </c>
      <c r="E27" s="53">
        <f t="shared" si="31"/>
        <v>2.8950727272727274E-2</v>
      </c>
      <c r="F27" s="53">
        <f t="shared" si="31"/>
        <v>7.1628181818181813E-2</v>
      </c>
      <c r="G27" s="53">
        <f t="shared" si="31"/>
        <v>6.8000000000000005E-2</v>
      </c>
      <c r="H27" s="53">
        <f t="shared" si="31"/>
        <v>0.11422466800701953</v>
      </c>
      <c r="I27" s="53">
        <f t="shared" ref="I27:O27" si="32">I16-H16</f>
        <v>0.13577533199298047</v>
      </c>
      <c r="J27" s="53">
        <f t="shared" si="32"/>
        <v>7.0000000000000007E-2</v>
      </c>
      <c r="K27" s="53">
        <f t="shared" si="32"/>
        <v>6.2999999999999945E-2</v>
      </c>
      <c r="L27" s="53">
        <f t="shared" si="32"/>
        <v>8.8000000000000078E-2</v>
      </c>
      <c r="M27" s="53">
        <f t="shared" si="32"/>
        <v>5.9999999999999942E-2</v>
      </c>
      <c r="N27" s="53">
        <f t="shared" si="32"/>
        <v>8.6000000000000076E-2</v>
      </c>
      <c r="O27" s="53">
        <f t="shared" si="32"/>
        <v>1.5999999999999903E-2</v>
      </c>
      <c r="P27" s="63">
        <v>0.03</v>
      </c>
      <c r="Q27" s="63">
        <v>0.02</v>
      </c>
      <c r="R27" s="63">
        <v>0.02</v>
      </c>
      <c r="S27" s="63">
        <v>0.02</v>
      </c>
      <c r="T27" s="63">
        <v>0.02</v>
      </c>
      <c r="U27" s="63">
        <v>0.02</v>
      </c>
      <c r="V27" s="63">
        <v>0.02</v>
      </c>
      <c r="W27" s="63">
        <v>0.02</v>
      </c>
      <c r="X27" s="63">
        <v>0.02</v>
      </c>
      <c r="Y27" s="63">
        <v>0.02</v>
      </c>
      <c r="Z27" s="63">
        <v>0.02</v>
      </c>
      <c r="AA27" s="63">
        <v>0.02</v>
      </c>
      <c r="AB27" s="156"/>
      <c r="AC27" s="21"/>
      <c r="AD27" s="21"/>
    </row>
    <row r="28" spans="2:30">
      <c r="B28" s="50" t="str">
        <f t="shared" si="30"/>
        <v>Mauritius</v>
      </c>
      <c r="C28" s="53"/>
      <c r="D28" s="53">
        <f t="shared" si="31"/>
        <v>0.37024390243902444</v>
      </c>
      <c r="E28" s="53">
        <f t="shared" si="31"/>
        <v>8.3861788617886179E-2</v>
      </c>
      <c r="F28" s="53">
        <f t="shared" si="31"/>
        <v>3.4894308943089369E-2</v>
      </c>
      <c r="G28" s="53">
        <f t="shared" si="31"/>
        <v>0.121</v>
      </c>
      <c r="H28" s="53">
        <f t="shared" si="31"/>
        <v>8.471660766624789E-2</v>
      </c>
      <c r="I28" s="53">
        <f t="shared" si="31"/>
        <v>7.5283392333752142E-2</v>
      </c>
      <c r="J28" s="53">
        <f t="shared" ref="J28:N33" si="33">J17-I17</f>
        <v>3.0000000000000027E-2</v>
      </c>
      <c r="K28" s="53">
        <f t="shared" ref="K28:N30" si="34">K17-J17</f>
        <v>6.0999999999999943E-2</v>
      </c>
      <c r="L28" s="53">
        <f t="shared" si="34"/>
        <v>6.9000000000000061E-2</v>
      </c>
      <c r="M28" s="53">
        <f t="shared" si="34"/>
        <v>3.9999999999999925E-2</v>
      </c>
      <c r="N28" s="53">
        <f t="shared" si="34"/>
        <v>3.6999999999999922E-2</v>
      </c>
      <c r="O28" s="63">
        <v>0.02</v>
      </c>
      <c r="P28" s="63">
        <v>0.02</v>
      </c>
      <c r="Q28" s="63">
        <v>0.02</v>
      </c>
      <c r="R28" s="63">
        <v>0.02</v>
      </c>
      <c r="S28" s="63">
        <v>0.02</v>
      </c>
      <c r="T28" s="63">
        <v>0.02</v>
      </c>
      <c r="U28" s="63">
        <v>0.02</v>
      </c>
      <c r="V28" s="63">
        <v>0.02</v>
      </c>
      <c r="W28" s="63">
        <v>0.02</v>
      </c>
      <c r="X28" s="63">
        <v>0.02</v>
      </c>
      <c r="Y28" s="63">
        <v>0.02</v>
      </c>
      <c r="Z28" s="63">
        <v>0.02</v>
      </c>
      <c r="AA28" s="63">
        <v>0.02</v>
      </c>
      <c r="AB28" s="32"/>
      <c r="AC28" s="21"/>
      <c r="AD28" s="21"/>
    </row>
    <row r="29" spans="2:30">
      <c r="B29" s="50" t="str">
        <f t="shared" si="30"/>
        <v>Senegal</v>
      </c>
      <c r="C29" s="53"/>
      <c r="D29" s="53">
        <f t="shared" si="31"/>
        <v>3.0969230769230766E-2</v>
      </c>
      <c r="E29" s="53">
        <f t="shared" si="31"/>
        <v>3.7999430199430202E-2</v>
      </c>
      <c r="F29" s="53">
        <f t="shared" si="31"/>
        <v>4.4166951566951551E-2</v>
      </c>
      <c r="G29" s="53">
        <f t="shared" si="31"/>
        <v>7.9000000000000015E-2</v>
      </c>
      <c r="H29" s="53">
        <f t="shared" si="31"/>
        <v>6.8139326398441974E-2</v>
      </c>
      <c r="I29" s="53">
        <f t="shared" si="31"/>
        <v>0.13186067360155801</v>
      </c>
      <c r="J29" s="53">
        <f t="shared" si="33"/>
        <v>0</v>
      </c>
      <c r="K29" s="53">
        <f t="shared" si="34"/>
        <v>0.16399999999999998</v>
      </c>
      <c r="L29" s="53">
        <f t="shared" si="34"/>
        <v>6.1000000000000054E-2</v>
      </c>
      <c r="M29" s="53">
        <f t="shared" si="34"/>
        <v>1.3000000000000012E-2</v>
      </c>
      <c r="N29" s="53">
        <f t="shared" si="34"/>
        <v>3.1999999999999917E-2</v>
      </c>
      <c r="O29" s="53">
        <f t="shared" ref="O29:O34" si="35">O18-N18</f>
        <v>3.8000000000000034E-2</v>
      </c>
      <c r="P29" s="63">
        <v>0.03</v>
      </c>
      <c r="Q29" s="63">
        <v>0.03</v>
      </c>
      <c r="R29" s="63">
        <v>0.03</v>
      </c>
      <c r="S29" s="63">
        <v>0.03</v>
      </c>
      <c r="T29" s="63">
        <v>0.03</v>
      </c>
      <c r="U29" s="63">
        <v>0.03</v>
      </c>
      <c r="V29" s="63">
        <v>0.03</v>
      </c>
      <c r="W29" s="63">
        <v>0.03</v>
      </c>
      <c r="X29" s="63">
        <v>0.03</v>
      </c>
      <c r="Y29" s="63">
        <v>0.03</v>
      </c>
      <c r="Z29" s="63">
        <v>0.03</v>
      </c>
      <c r="AA29" s="63">
        <v>0.03</v>
      </c>
      <c r="AB29" s="32"/>
      <c r="AC29" s="21"/>
      <c r="AD29" s="21"/>
    </row>
    <row r="30" spans="2:30">
      <c r="B30" s="50" t="str">
        <f t="shared" si="30"/>
        <v>Tanzania</v>
      </c>
      <c r="C30" s="53"/>
      <c r="D30" s="53">
        <f t="shared" si="31"/>
        <v>4.14864864864865E-3</v>
      </c>
      <c r="E30" s="53">
        <f t="shared" si="31"/>
        <v>2.4116936936936933E-2</v>
      </c>
      <c r="F30" s="53">
        <f t="shared" si="31"/>
        <v>2.4457297297297301E-2</v>
      </c>
      <c r="G30" s="53">
        <f t="shared" si="31"/>
        <v>1.0999999999999996E-2</v>
      </c>
      <c r="H30" s="53">
        <f t="shared" si="31"/>
        <v>9.911201249238269E-2</v>
      </c>
      <c r="I30" s="53">
        <f t="shared" si="31"/>
        <v>3.0887987507617315E-2</v>
      </c>
      <c r="J30" s="53">
        <f t="shared" si="33"/>
        <v>6.0000000000000026E-2</v>
      </c>
      <c r="K30" s="53">
        <f t="shared" si="34"/>
        <v>5.5999999999999994E-2</v>
      </c>
      <c r="L30" s="53">
        <f t="shared" si="34"/>
        <v>6.8000000000000005E-2</v>
      </c>
      <c r="M30" s="53">
        <f t="shared" si="34"/>
        <v>2.9999999999999971E-2</v>
      </c>
      <c r="N30" s="53">
        <f t="shared" si="34"/>
        <v>1.5000000000000013E-2</v>
      </c>
      <c r="O30" s="53">
        <f t="shared" si="35"/>
        <v>0.12799999999999995</v>
      </c>
      <c r="P30" s="63">
        <v>0.06</v>
      </c>
      <c r="Q30" s="63">
        <v>0.06</v>
      </c>
      <c r="R30" s="63">
        <v>0.06</v>
      </c>
      <c r="S30" s="63">
        <v>0.06</v>
      </c>
      <c r="T30" s="63">
        <v>0.06</v>
      </c>
      <c r="U30" s="63">
        <v>0.06</v>
      </c>
      <c r="V30" s="63">
        <v>0.06</v>
      </c>
      <c r="W30" s="63">
        <v>0.06</v>
      </c>
      <c r="X30" s="63">
        <v>0.06</v>
      </c>
      <c r="Y30" s="63">
        <v>0.06</v>
      </c>
      <c r="Z30" s="63">
        <v>0.06</v>
      </c>
      <c r="AA30" s="63">
        <v>0.06</v>
      </c>
      <c r="AB30" s="32"/>
      <c r="AC30" s="21"/>
      <c r="AD30" s="21"/>
    </row>
    <row r="31" spans="2:30">
      <c r="B31" s="50" t="str">
        <f t="shared" si="30"/>
        <v>Chad</v>
      </c>
      <c r="C31" s="53"/>
      <c r="D31" s="63">
        <f t="shared" ref="D31:G32" si="36">D20-C20</f>
        <v>5.000000000000001E-3</v>
      </c>
      <c r="E31" s="63">
        <f t="shared" si="36"/>
        <v>5.000000000000001E-3</v>
      </c>
      <c r="F31" s="53">
        <f t="shared" si="36"/>
        <v>5.000000000000001E-3</v>
      </c>
      <c r="G31" s="53">
        <f t="shared" si="36"/>
        <v>1.6E-2</v>
      </c>
      <c r="H31" s="53">
        <f t="shared" ref="H31:I34" si="37">H20-G20</f>
        <v>2.2685503630274009E-2</v>
      </c>
      <c r="I31" s="53">
        <f t="shared" si="37"/>
        <v>4.7314496369725983E-2</v>
      </c>
      <c r="J31" s="53">
        <f t="shared" si="33"/>
        <v>5.0000000000000017E-2</v>
      </c>
      <c r="K31" s="53">
        <f t="shared" si="33"/>
        <v>5.5999999999999994E-2</v>
      </c>
      <c r="L31" s="53">
        <f t="shared" si="33"/>
        <v>6.5999999999999975E-2</v>
      </c>
      <c r="M31" s="53">
        <f t="shared" si="33"/>
        <v>3.3000000000000029E-2</v>
      </c>
      <c r="N31" s="53">
        <f t="shared" si="33"/>
        <v>3.6999999999999977E-2</v>
      </c>
      <c r="O31" s="53">
        <f t="shared" si="35"/>
        <v>5.8999999999999997E-2</v>
      </c>
      <c r="P31" s="63">
        <v>0.04</v>
      </c>
      <c r="Q31" s="63">
        <v>0.05</v>
      </c>
      <c r="R31" s="63">
        <v>0.05</v>
      </c>
      <c r="S31" s="63">
        <v>0.05</v>
      </c>
      <c r="T31" s="63">
        <v>0.05</v>
      </c>
      <c r="U31" s="63">
        <v>0.05</v>
      </c>
      <c r="V31" s="63">
        <v>0.05</v>
      </c>
      <c r="W31" s="63">
        <v>0.05</v>
      </c>
      <c r="X31" s="63">
        <v>0.05</v>
      </c>
      <c r="Y31" s="63">
        <v>0.05</v>
      </c>
      <c r="Z31" s="63">
        <v>0.05</v>
      </c>
      <c r="AA31" s="63">
        <v>0.05</v>
      </c>
      <c r="AB31" s="32"/>
      <c r="AC31" s="21"/>
      <c r="AD31" s="21"/>
    </row>
    <row r="32" spans="2:30">
      <c r="B32" s="50" t="str">
        <f t="shared" si="30"/>
        <v>Dem. Rep. Congo</v>
      </c>
      <c r="C32" s="53"/>
      <c r="D32" s="63">
        <f t="shared" si="36"/>
        <v>4.9999999999999975E-3</v>
      </c>
      <c r="E32" s="63">
        <f t="shared" si="36"/>
        <v>4.9999999999999975E-3</v>
      </c>
      <c r="F32" s="53">
        <f t="shared" si="36"/>
        <v>4.9999999999999975E-3</v>
      </c>
      <c r="G32" s="53">
        <f t="shared" si="36"/>
        <v>3.0000000000000027E-3</v>
      </c>
      <c r="H32" s="53">
        <f t="shared" si="37"/>
        <v>9.368101785062477E-3</v>
      </c>
      <c r="I32" s="53">
        <f t="shared" si="37"/>
        <v>3.0631898214937517E-2</v>
      </c>
      <c r="J32" s="53">
        <f t="shared" si="33"/>
        <v>-9.999999999999995E-3</v>
      </c>
      <c r="K32" s="53">
        <f t="shared" si="33"/>
        <v>0.32899999999999996</v>
      </c>
      <c r="L32" s="53">
        <f t="shared" si="33"/>
        <v>8.7000000000000022E-2</v>
      </c>
      <c r="M32" s="53">
        <f t="shared" si="33"/>
        <v>0.11099999999999999</v>
      </c>
      <c r="N32" s="53">
        <f t="shared" si="33"/>
        <v>-0.15699999999999997</v>
      </c>
      <c r="O32" s="53">
        <f t="shared" si="35"/>
        <v>0.11699999999999994</v>
      </c>
      <c r="P32" s="63">
        <v>0.05</v>
      </c>
      <c r="Q32" s="63">
        <v>0.02</v>
      </c>
      <c r="R32" s="63">
        <v>0.01</v>
      </c>
      <c r="S32" s="63">
        <v>0.01</v>
      </c>
      <c r="T32" s="63">
        <v>0.01</v>
      </c>
      <c r="U32" s="63">
        <v>0.01</v>
      </c>
      <c r="V32" s="63">
        <v>0.01</v>
      </c>
      <c r="W32" s="63">
        <v>0.01</v>
      </c>
      <c r="X32" s="63">
        <v>0.01</v>
      </c>
      <c r="Y32" s="63">
        <v>0.01</v>
      </c>
      <c r="Z32" s="63">
        <v>0.01</v>
      </c>
      <c r="AA32" s="63">
        <v>0.01</v>
      </c>
      <c r="AB32" s="32"/>
      <c r="AC32" s="21"/>
      <c r="AD32" s="21"/>
    </row>
    <row r="33" spans="2:30">
      <c r="B33" s="57" t="str">
        <f t="shared" si="30"/>
        <v>Rwanda</v>
      </c>
      <c r="C33" s="62"/>
      <c r="D33" s="64"/>
      <c r="E33" s="62">
        <f t="shared" ref="E33:G34" si="38">E22-D22</f>
        <v>7.0000000000000027E-3</v>
      </c>
      <c r="F33" s="62">
        <f t="shared" si="38"/>
        <v>6.9999999999999993E-3</v>
      </c>
      <c r="G33" s="62">
        <f t="shared" si="38"/>
        <v>8.0000000000000002E-3</v>
      </c>
      <c r="H33" s="62">
        <f t="shared" si="37"/>
        <v>3.0000000000000006E-2</v>
      </c>
      <c r="I33" s="62">
        <f t="shared" si="37"/>
        <v>3.9999999999999994E-2</v>
      </c>
      <c r="J33" s="62">
        <f t="shared" si="33"/>
        <v>9.0000000000000011E-2</v>
      </c>
      <c r="K33" s="62">
        <f t="shared" si="33"/>
        <v>6.2E-2</v>
      </c>
      <c r="L33" s="62">
        <f t="shared" si="33"/>
        <v>4.1999999999999982E-2</v>
      </c>
      <c r="M33" s="62">
        <f t="shared" si="33"/>
        <v>2.1000000000000019E-2</v>
      </c>
      <c r="N33" s="62">
        <f t="shared" si="33"/>
        <v>0.14499999999999996</v>
      </c>
      <c r="O33" s="62">
        <f t="shared" si="35"/>
        <v>5.8000000000000052E-2</v>
      </c>
      <c r="P33" s="64">
        <v>0.06</v>
      </c>
      <c r="Q33" s="64">
        <v>0.06</v>
      </c>
      <c r="R33" s="64">
        <v>0.06</v>
      </c>
      <c r="S33" s="64">
        <v>0.06</v>
      </c>
      <c r="T33" s="64">
        <v>0.06</v>
      </c>
      <c r="U33" s="64">
        <v>0.06</v>
      </c>
      <c r="V33" s="64">
        <v>0.06</v>
      </c>
      <c r="W33" s="64">
        <v>0.06</v>
      </c>
      <c r="X33" s="64">
        <v>0.06</v>
      </c>
      <c r="Y33" s="64">
        <v>0.06</v>
      </c>
      <c r="Z33" s="64">
        <v>0.06</v>
      </c>
      <c r="AA33" s="64">
        <v>0.06</v>
      </c>
      <c r="AB33" s="314"/>
      <c r="AC33" s="21"/>
      <c r="AD33" s="21"/>
    </row>
    <row r="34" spans="2:30">
      <c r="B34" s="50" t="str">
        <f t="shared" si="30"/>
        <v>Africa</v>
      </c>
      <c r="C34" s="25"/>
      <c r="D34" s="53">
        <f>D23-C23</f>
        <v>1.7159238148199633E-2</v>
      </c>
      <c r="E34" s="53">
        <f t="shared" si="38"/>
        <v>2.8875100792437089E-2</v>
      </c>
      <c r="F34" s="53">
        <f t="shared" si="38"/>
        <v>-1.2134676373014172E-2</v>
      </c>
      <c r="G34" s="53">
        <f t="shared" si="38"/>
        <v>4.5345428211734137E-2</v>
      </c>
      <c r="H34" s="53">
        <f t="shared" si="37"/>
        <v>5.4850024391871186E-2</v>
      </c>
      <c r="I34" s="53">
        <f t="shared" ca="1" si="37"/>
        <v>4.4495901791903908E-2</v>
      </c>
      <c r="J34" s="53">
        <f t="shared" ref="J34:AA34" ca="1" si="39">J23-I23</f>
        <v>2.1653055295763002E-2</v>
      </c>
      <c r="K34" s="53">
        <f t="shared" ca="1" si="39"/>
        <v>0.16700928612246405</v>
      </c>
      <c r="L34" s="53">
        <f t="shared" ca="1" si="39"/>
        <v>6.6577556609834776E-2</v>
      </c>
      <c r="M34" s="53">
        <f t="shared" ca="1" si="39"/>
        <v>4.6782814216505431E-2</v>
      </c>
      <c r="N34" s="53">
        <f t="shared" ca="1" si="39"/>
        <v>7.0113301591911981E-4</v>
      </c>
      <c r="O34" s="53">
        <f t="shared" ca="1" si="35"/>
        <v>8.433648889847789E-2</v>
      </c>
      <c r="P34" s="53">
        <f t="shared" ca="1" si="39"/>
        <v>4.4226749966971624E-2</v>
      </c>
      <c r="Q34" s="53">
        <f t="shared" ca="1" si="39"/>
        <v>7.6385317116361651E-2</v>
      </c>
      <c r="R34" s="53">
        <f t="shared" ca="1" si="39"/>
        <v>3.8160685338418099E-2</v>
      </c>
      <c r="S34" s="53">
        <f t="shared" ca="1" si="39"/>
        <v>3.8075610723341535E-2</v>
      </c>
      <c r="T34" s="53">
        <f t="shared" ca="1" si="39"/>
        <v>3.7990482739475251E-2</v>
      </c>
      <c r="U34" s="53">
        <f t="shared" ca="1" si="39"/>
        <v>3.7905302541317187E-2</v>
      </c>
      <c r="V34" s="53">
        <f t="shared" ca="1" si="39"/>
        <v>3.7820071289961565E-2</v>
      </c>
      <c r="W34" s="53">
        <f t="shared" ca="1" si="39"/>
        <v>3.7734790153049702E-2</v>
      </c>
      <c r="X34" s="53">
        <f t="shared" ca="1" si="39"/>
        <v>3.7649460304719273E-2</v>
      </c>
      <c r="Y34" s="53">
        <f t="shared" ca="1" si="39"/>
        <v>3.7564082925553355E-2</v>
      </c>
      <c r="Z34" s="53">
        <f t="shared" ca="1" si="39"/>
        <v>3.7478659202531128E-2</v>
      </c>
      <c r="AA34" s="53">
        <f t="shared" ca="1" si="39"/>
        <v>3.7393190328969039E-2</v>
      </c>
      <c r="AB34" s="32"/>
      <c r="AC34" s="21"/>
      <c r="AD34" s="21"/>
    </row>
    <row r="35" spans="2:30">
      <c r="B35" s="48"/>
      <c r="C35" s="25"/>
      <c r="D35" s="26"/>
      <c r="E35" s="26"/>
      <c r="F35" s="26"/>
      <c r="G35" s="26"/>
      <c r="H35" s="26"/>
      <c r="I35" s="26"/>
      <c r="J35" s="26"/>
      <c r="K35" s="26"/>
      <c r="L35" s="26"/>
      <c r="M35" s="26"/>
      <c r="N35" s="26"/>
      <c r="O35" s="26"/>
      <c r="P35" s="26"/>
      <c r="Q35" s="26"/>
      <c r="R35" s="26"/>
      <c r="S35" s="26"/>
      <c r="T35" s="26"/>
      <c r="U35" s="26"/>
      <c r="V35" s="26"/>
      <c r="W35" s="26"/>
      <c r="X35" s="26"/>
      <c r="Y35" s="26"/>
      <c r="Z35" s="26"/>
      <c r="AA35" s="26"/>
      <c r="AB35" s="32"/>
      <c r="AC35" s="21"/>
      <c r="AD35" s="21"/>
    </row>
    <row r="36" spans="2:30">
      <c r="B36" s="48" t="s">
        <v>1932</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32"/>
      <c r="AC36" s="21"/>
      <c r="AD36" s="21"/>
    </row>
    <row r="37" spans="2:30">
      <c r="B37" s="50" t="str">
        <f t="shared" ref="B37:B44" si="40">B27</f>
        <v>Ghana</v>
      </c>
      <c r="C37" s="52">
        <f t="shared" ref="C37:E40" si="41">C48/C68</f>
        <v>208.24</v>
      </c>
      <c r="D37" s="52">
        <f t="shared" si="41"/>
        <v>471.26400000000001</v>
      </c>
      <c r="E37" s="52">
        <f t="shared" si="41"/>
        <v>1108.18</v>
      </c>
      <c r="F37" s="52">
        <f t="shared" ref="F37:F43" si="42">F5*F16</f>
        <v>2733.8980000000001</v>
      </c>
      <c r="G37" s="52">
        <f t="shared" ref="G37:G42" si="43">G16*G5</f>
        <v>4356.8900000000003</v>
      </c>
      <c r="H37" s="52">
        <f t="shared" ref="H37:H42" si="44">H48/H68</f>
        <v>6976.1758620689652</v>
      </c>
      <c r="I37" s="52">
        <f t="shared" ref="I37:J42" si="45">I48/I68</f>
        <v>10317.857142857141</v>
      </c>
      <c r="J37" s="52">
        <f t="shared" si="45"/>
        <v>12376</v>
      </c>
      <c r="K37" s="52">
        <f t="shared" ref="K37:L42" si="46">K48/K68</f>
        <v>13988.674603174604</v>
      </c>
      <c r="L37" s="52">
        <f t="shared" si="46"/>
        <v>16469.483568075117</v>
      </c>
      <c r="M37" s="52">
        <f t="shared" ref="M37:N42" si="47">M48/M68</f>
        <v>18430.232558139538</v>
      </c>
      <c r="N37" s="52">
        <f>N48/N68</f>
        <v>20875</v>
      </c>
      <c r="O37" s="52">
        <f>O48/O68</f>
        <v>21272.222222222223</v>
      </c>
      <c r="P37" s="52">
        <f>P48/P68</f>
        <v>22697.683333333334</v>
      </c>
      <c r="Q37" s="52">
        <f t="shared" ref="Q37:S42" si="48">Q16*Q5</f>
        <v>23470.297306732122</v>
      </c>
      <c r="R37" s="52">
        <f t="shared" si="48"/>
        <v>24256.472956797395</v>
      </c>
      <c r="S37" s="52">
        <f t="shared" si="48"/>
        <v>25056.408245895778</v>
      </c>
      <c r="T37" s="52">
        <f t="shared" ref="T37:U42" si="49">T16*T5</f>
        <v>25870.303781454182</v>
      </c>
      <c r="U37" s="52">
        <f t="shared" si="49"/>
        <v>26698.362849506324</v>
      </c>
      <c r="V37" s="52">
        <f t="shared" ref="V37:Z42" si="50">V16*V5</f>
        <v>27540.791448650314</v>
      </c>
      <c r="W37" s="52">
        <f t="shared" si="50"/>
        <v>28397.798324422241</v>
      </c>
      <c r="X37" s="52">
        <f t="shared" si="50"/>
        <v>29269.595004090694</v>
      </c>
      <c r="Y37" s="52">
        <f t="shared" si="50"/>
        <v>30156.395831877271</v>
      </c>
      <c r="Z37" s="52">
        <f t="shared" si="50"/>
        <v>31058.418004608204</v>
      </c>
      <c r="AA37" s="52">
        <f t="shared" ref="AA37" si="51">AA16*AA5</f>
        <v>31975.881607802166</v>
      </c>
      <c r="AB37" s="153" t="e">
        <f t="shared" ref="AB37:AB42" si="52">AB16*AB5</f>
        <v>#REF!</v>
      </c>
      <c r="AC37" s="21"/>
      <c r="AD37" s="21"/>
    </row>
    <row r="38" spans="2:30">
      <c r="B38" s="50" t="str">
        <f t="shared" si="40"/>
        <v>Mauritius</v>
      </c>
      <c r="C38" s="52">
        <f t="shared" si="41"/>
        <v>0</v>
      </c>
      <c r="D38" s="52">
        <f t="shared" si="41"/>
        <v>455.40000000000003</v>
      </c>
      <c r="E38" s="52">
        <f t="shared" si="41"/>
        <v>558.55000000000007</v>
      </c>
      <c r="F38" s="52">
        <f t="shared" si="42"/>
        <v>606.36</v>
      </c>
      <c r="G38" s="52">
        <f t="shared" si="43"/>
        <v>763.11</v>
      </c>
      <c r="H38" s="52">
        <f t="shared" si="44"/>
        <v>869.09047619047612</v>
      </c>
      <c r="I38" s="52">
        <f t="shared" si="45"/>
        <v>981.39534883720933</v>
      </c>
      <c r="J38" s="52">
        <f t="shared" si="45"/>
        <v>1016.2790697674419</v>
      </c>
      <c r="K38" s="52">
        <f t="shared" si="46"/>
        <v>1106.9929577464789</v>
      </c>
      <c r="L38" s="52">
        <f t="shared" si="46"/>
        <v>1200</v>
      </c>
      <c r="M38" s="52">
        <f t="shared" si="47"/>
        <v>1265.5502392344499</v>
      </c>
      <c r="N38" s="52">
        <f t="shared" si="47"/>
        <v>0</v>
      </c>
      <c r="O38" s="52">
        <f t="shared" ref="O38:P42" si="53">O49/O69</f>
        <v>0</v>
      </c>
      <c r="P38" s="52">
        <f t="shared" si="53"/>
        <v>0</v>
      </c>
      <c r="Q38" s="52">
        <f t="shared" si="48"/>
        <v>0</v>
      </c>
      <c r="R38" s="52">
        <f t="shared" si="48"/>
        <v>0</v>
      </c>
      <c r="S38" s="52">
        <f t="shared" si="48"/>
        <v>0</v>
      </c>
      <c r="T38" s="52">
        <f t="shared" si="49"/>
        <v>0</v>
      </c>
      <c r="U38" s="52">
        <f t="shared" si="49"/>
        <v>0</v>
      </c>
      <c r="V38" s="52">
        <f t="shared" si="50"/>
        <v>0</v>
      </c>
      <c r="W38" s="52">
        <f t="shared" si="50"/>
        <v>0</v>
      </c>
      <c r="X38" s="52">
        <f t="shared" si="50"/>
        <v>0</v>
      </c>
      <c r="Y38" s="52">
        <f t="shared" si="50"/>
        <v>0</v>
      </c>
      <c r="Z38" s="52">
        <f t="shared" si="50"/>
        <v>0</v>
      </c>
      <c r="AA38" s="52">
        <f t="shared" ref="AA38" si="54">AA17*AA6</f>
        <v>0</v>
      </c>
      <c r="AB38" s="153" t="e">
        <f t="shared" si="52"/>
        <v>#REF!</v>
      </c>
      <c r="AC38" s="21"/>
      <c r="AD38" s="21"/>
    </row>
    <row r="39" spans="2:30">
      <c r="B39" s="50" t="str">
        <f t="shared" si="40"/>
        <v>Senegal</v>
      </c>
      <c r="C39" s="52">
        <f t="shared" si="41"/>
        <v>326.01333333333338</v>
      </c>
      <c r="D39" s="52">
        <f t="shared" si="41"/>
        <v>688.35333333333335</v>
      </c>
      <c r="E39" s="52">
        <f t="shared" si="41"/>
        <v>1132.9466666666667</v>
      </c>
      <c r="F39" s="52">
        <f t="shared" si="42"/>
        <v>1690.1669999999999</v>
      </c>
      <c r="G39" s="52">
        <f t="shared" si="43"/>
        <v>2754.84</v>
      </c>
      <c r="H39" s="52">
        <f t="shared" si="44"/>
        <v>3608.0806451612907</v>
      </c>
      <c r="I39" s="52">
        <f t="shared" si="45"/>
        <v>5144.4444444444443</v>
      </c>
      <c r="J39" s="52">
        <f t="shared" si="45"/>
        <v>5805.5555555555557</v>
      </c>
      <c r="K39" s="52">
        <f t="shared" si="46"/>
        <v>7205.0886850152901</v>
      </c>
      <c r="L39" s="52">
        <f t="shared" si="46"/>
        <v>7953.1772575250843</v>
      </c>
      <c r="M39" s="52">
        <f t="shared" si="47"/>
        <v>8519.354838709678</v>
      </c>
      <c r="N39" s="52">
        <f t="shared" si="47"/>
        <v>9183.6734693877552</v>
      </c>
      <c r="O39" s="52">
        <f t="shared" si="53"/>
        <v>10056.666666666668</v>
      </c>
      <c r="P39" s="52">
        <f t="shared" si="53"/>
        <v>10129.823333333334</v>
      </c>
      <c r="Q39" s="52">
        <f t="shared" si="48"/>
        <v>10653.949480040457</v>
      </c>
      <c r="R39" s="52">
        <f t="shared" si="48"/>
        <v>11188.953507064429</v>
      </c>
      <c r="S39" s="52">
        <f t="shared" si="48"/>
        <v>11735.01820917644</v>
      </c>
      <c r="T39" s="52">
        <f t="shared" si="49"/>
        <v>12292.329169472288</v>
      </c>
      <c r="U39" s="52">
        <f t="shared" si="49"/>
        <v>12861.074799596407</v>
      </c>
      <c r="V39" s="52">
        <f t="shared" si="50"/>
        <v>13441.44638052542</v>
      </c>
      <c r="W39" s="52">
        <f t="shared" si="50"/>
        <v>14033.638103918855</v>
      </c>
      <c r="X39" s="52">
        <f t="shared" si="50"/>
        <v>14637.847114044665</v>
      </c>
      <c r="Y39" s="52">
        <f t="shared" si="50"/>
        <v>15254.273550287375</v>
      </c>
      <c r="Z39" s="52">
        <f t="shared" si="50"/>
        <v>15883.120590246723</v>
      </c>
      <c r="AA39" s="52">
        <f t="shared" ref="AA39" si="55">AA18*AA7</f>
        <v>16524.594493434819</v>
      </c>
      <c r="AB39" s="153" t="e">
        <f t="shared" si="52"/>
        <v>#REF!</v>
      </c>
      <c r="AC39" s="21"/>
      <c r="AD39" s="144"/>
    </row>
    <row r="40" spans="2:30">
      <c r="B40" s="50" t="str">
        <f t="shared" si="40"/>
        <v>Tanzania</v>
      </c>
      <c r="C40" s="52">
        <f t="shared" si="41"/>
        <v>972.25333333333333</v>
      </c>
      <c r="D40" s="52">
        <f t="shared" si="41"/>
        <v>1125.7533333333333</v>
      </c>
      <c r="E40" s="52">
        <f t="shared" si="41"/>
        <v>2018.08</v>
      </c>
      <c r="F40" s="52">
        <f t="shared" si="42"/>
        <v>2962.5</v>
      </c>
      <c r="G40" s="52">
        <f t="shared" si="43"/>
        <v>3544.56</v>
      </c>
      <c r="H40" s="52">
        <f t="shared" si="44"/>
        <v>7447.9875000000002</v>
      </c>
      <c r="I40" s="52">
        <f t="shared" si="45"/>
        <v>8834.6153846153848</v>
      </c>
      <c r="J40" s="52">
        <f t="shared" si="45"/>
        <v>12431.25</v>
      </c>
      <c r="K40" s="52">
        <f t="shared" si="46"/>
        <v>13325.922619047618</v>
      </c>
      <c r="L40" s="52">
        <f t="shared" si="46"/>
        <v>17415.335463258787</v>
      </c>
      <c r="M40" s="52">
        <f t="shared" si="47"/>
        <v>19063.091482649841</v>
      </c>
      <c r="N40" s="52">
        <f t="shared" si="47"/>
        <v>20836.805555555558</v>
      </c>
      <c r="O40" s="52">
        <f t="shared" si="53"/>
        <v>27310</v>
      </c>
      <c r="P40" s="52">
        <f t="shared" si="53"/>
        <v>31895.724324324325</v>
      </c>
      <c r="Q40" s="52">
        <f t="shared" si="48"/>
        <v>35219.366453247487</v>
      </c>
      <c r="R40" s="52">
        <f t="shared" si="48"/>
        <v>38601.160843350204</v>
      </c>
      <c r="S40" s="52">
        <f t="shared" si="48"/>
        <v>42041.893417383915</v>
      </c>
      <c r="T40" s="52">
        <f t="shared" si="49"/>
        <v>45542.359611833737</v>
      </c>
      <c r="U40" s="52">
        <f t="shared" si="49"/>
        <v>49103.364485220351</v>
      </c>
      <c r="V40" s="52">
        <f t="shared" si="50"/>
        <v>52725.722827587335</v>
      </c>
      <c r="W40" s="52">
        <f t="shared" si="50"/>
        <v>56410.259271186529</v>
      </c>
      <c r="X40" s="52">
        <f t="shared" si="50"/>
        <v>60157.808402374154</v>
      </c>
      <c r="Y40" s="52">
        <f t="shared" si="50"/>
        <v>63969.214874730678</v>
      </c>
      <c r="Z40" s="52">
        <f t="shared" si="50"/>
        <v>67845.333523417372</v>
      </c>
      <c r="AA40" s="52">
        <f t="shared" ref="AA40" si="56">AA19*AA8</f>
        <v>71787.029480782658</v>
      </c>
      <c r="AB40" s="153" t="e">
        <f t="shared" si="52"/>
        <v>#REF!</v>
      </c>
      <c r="AC40" s="21"/>
      <c r="AD40" s="21"/>
    </row>
    <row r="41" spans="2:30">
      <c r="B41" s="50" t="str">
        <f t="shared" si="40"/>
        <v>Chad</v>
      </c>
      <c r="C41" s="52"/>
      <c r="D41" s="52">
        <f>D20*D9</f>
        <v>199.20000000000002</v>
      </c>
      <c r="E41" s="52">
        <f>E20*E9</f>
        <v>240.70000000000002</v>
      </c>
      <c r="F41" s="52">
        <f t="shared" si="42"/>
        <v>338.096</v>
      </c>
      <c r="G41" s="52">
        <f t="shared" si="43"/>
        <v>494.3</v>
      </c>
      <c r="H41" s="52">
        <f t="shared" si="44"/>
        <v>718.56888888888886</v>
      </c>
      <c r="I41" s="52">
        <f t="shared" si="45"/>
        <v>1202.2222222222222</v>
      </c>
      <c r="J41" s="52">
        <f t="shared" si="45"/>
        <v>2034</v>
      </c>
      <c r="K41" s="52">
        <f t="shared" si="46"/>
        <v>2512.0386643233742</v>
      </c>
      <c r="L41" s="52">
        <f t="shared" si="46"/>
        <v>3293.913043478261</v>
      </c>
      <c r="M41" s="52">
        <f t="shared" si="47"/>
        <v>3664.2599277978338</v>
      </c>
      <c r="N41" s="52">
        <f t="shared" si="47"/>
        <v>4281.3688212927755</v>
      </c>
      <c r="O41" s="52">
        <f t="shared" si="53"/>
        <v>5179.2452830188677</v>
      </c>
      <c r="P41" s="52">
        <f t="shared" si="53"/>
        <v>5732.1153846153838</v>
      </c>
      <c r="Q41" s="52">
        <f t="shared" si="48"/>
        <v>6443.7264243909567</v>
      </c>
      <c r="R41" s="52">
        <f t="shared" si="48"/>
        <v>7174.3283581195819</v>
      </c>
      <c r="S41" s="52">
        <f t="shared" si="48"/>
        <v>7924.3161475587194</v>
      </c>
      <c r="T41" s="52">
        <f t="shared" si="49"/>
        <v>8694.0921294793025</v>
      </c>
      <c r="U41" s="52">
        <f t="shared" si="49"/>
        <v>9484.0661452983823</v>
      </c>
      <c r="V41" s="52">
        <f t="shared" si="50"/>
        <v>10294.655672903747</v>
      </c>
      <c r="W41" s="52">
        <f t="shared" si="50"/>
        <v>11126.285960706567</v>
      </c>
      <c r="X41" s="52">
        <f t="shared" si="50"/>
        <v>11979.39016395874</v>
      </c>
      <c r="Y41" s="52">
        <f t="shared" si="50"/>
        <v>12854.409483372183</v>
      </c>
      <c r="Z41" s="52">
        <f t="shared" si="50"/>
        <v>13751.793306077921</v>
      </c>
      <c r="AA41" s="52">
        <f t="shared" ref="AA41" si="57">AA20*AA9</f>
        <v>14671.999348963447</v>
      </c>
      <c r="AB41" s="153" t="e">
        <f t="shared" si="52"/>
        <v>#REF!</v>
      </c>
      <c r="AC41" s="21"/>
      <c r="AD41" s="21"/>
    </row>
    <row r="42" spans="2:30">
      <c r="B42" s="50" t="str">
        <f t="shared" si="40"/>
        <v>Dem. Rep. Congo</v>
      </c>
      <c r="C42" s="52"/>
      <c r="D42" s="52">
        <f>D21*D10</f>
        <v>2257.0000000000005</v>
      </c>
      <c r="E42" s="52">
        <f>E21*E10</f>
        <v>2562</v>
      </c>
      <c r="F42" s="52">
        <f t="shared" si="42"/>
        <v>2945.02</v>
      </c>
      <c r="G42" s="52">
        <f t="shared" si="43"/>
        <v>3287.6000000000004</v>
      </c>
      <c r="H42" s="52">
        <f t="shared" si="44"/>
        <v>3903.571428571428</v>
      </c>
      <c r="I42" s="52">
        <f t="shared" si="45"/>
        <v>5822.2222222222226</v>
      </c>
      <c r="J42" s="52">
        <f>J53/J73</f>
        <v>5811.538461538461</v>
      </c>
      <c r="K42" s="52">
        <f t="shared" si="46"/>
        <v>5472.4644670050757</v>
      </c>
      <c r="L42" s="52">
        <f t="shared" si="46"/>
        <v>6825.2148997134673</v>
      </c>
      <c r="M42" s="52">
        <f t="shared" si="47"/>
        <v>8623.5632183908056</v>
      </c>
      <c r="N42" s="52">
        <f t="shared" si="47"/>
        <v>12352.564102564103</v>
      </c>
      <c r="O42" s="52">
        <f t="shared" si="53"/>
        <v>16345.161290322581</v>
      </c>
      <c r="P42" s="52">
        <f t="shared" si="53"/>
        <v>17736.116666666669</v>
      </c>
      <c r="Q42" s="52">
        <f t="shared" si="48"/>
        <v>18592.10563797002</v>
      </c>
      <c r="R42" s="52">
        <f t="shared" si="48"/>
        <v>19173.844451027973</v>
      </c>
      <c r="S42" s="52">
        <f t="shared" si="48"/>
        <v>19769.061927236125</v>
      </c>
      <c r="T42" s="52">
        <f t="shared" si="49"/>
        <v>20378.034790799706</v>
      </c>
      <c r="U42" s="52">
        <f t="shared" si="49"/>
        <v>21001.045085480739</v>
      </c>
      <c r="V42" s="52">
        <f t="shared" si="50"/>
        <v>21638.380272705981</v>
      </c>
      <c r="W42" s="52">
        <f t="shared" si="50"/>
        <v>22290.333331433387</v>
      </c>
      <c r="X42" s="52">
        <f t="shared" si="50"/>
        <v>22957.20285980792</v>
      </c>
      <c r="Y42" s="52">
        <f t="shared" si="50"/>
        <v>23639.29317863816</v>
      </c>
      <c r="Z42" s="52">
        <f t="shared" si="50"/>
        <v>24336.914436725656</v>
      </c>
      <c r="AA42" s="52">
        <f t="shared" ref="AA42" si="58">AA21*AA10</f>
        <v>25050.382718079458</v>
      </c>
      <c r="AB42" s="153" t="e">
        <f t="shared" si="52"/>
        <v>#REF!</v>
      </c>
      <c r="AC42" s="21"/>
      <c r="AD42" s="21"/>
    </row>
    <row r="43" spans="2:30">
      <c r="B43" s="57" t="str">
        <f t="shared" si="40"/>
        <v>Rwanda</v>
      </c>
      <c r="C43" s="61"/>
      <c r="D43" s="61">
        <f>D11*D22</f>
        <v>180</v>
      </c>
      <c r="E43" s="61">
        <f>E11*E22</f>
        <v>250</v>
      </c>
      <c r="F43" s="61">
        <f t="shared" si="42"/>
        <v>320</v>
      </c>
      <c r="G43" s="61">
        <f t="shared" ref="G43:S43" si="59">G11*G22</f>
        <v>400</v>
      </c>
      <c r="H43" s="61">
        <f t="shared" si="59"/>
        <v>700.00000000000011</v>
      </c>
      <c r="I43" s="61">
        <f t="shared" ca="1" si="59"/>
        <v>1105.4999999999998</v>
      </c>
      <c r="J43" s="61">
        <f t="shared" ca="1" si="59"/>
        <v>2020.0499999999993</v>
      </c>
      <c r="K43" s="61">
        <f t="shared" ca="1" si="59"/>
        <v>2659.4968274999992</v>
      </c>
      <c r="L43" s="61">
        <f t="shared" ca="1" si="59"/>
        <v>3101.2575218999982</v>
      </c>
      <c r="M43" s="61">
        <f t="shared" ca="1" si="59"/>
        <v>3101.2575218999987</v>
      </c>
      <c r="N43" s="61">
        <f t="shared" ca="1" si="59"/>
        <v>4507.3199706752739</v>
      </c>
      <c r="O43" s="61">
        <f ca="1">O11*O22</f>
        <v>4507.3199706752739</v>
      </c>
      <c r="P43" s="61">
        <f ca="1">P11*P22</f>
        <v>5044.6129989978153</v>
      </c>
      <c r="Q43" s="61">
        <f t="shared" ca="1" si="59"/>
        <v>5587.1662746043139</v>
      </c>
      <c r="R43" s="61">
        <f t="shared" ca="1" si="59"/>
        <v>6135.0189676419041</v>
      </c>
      <c r="S43" s="61">
        <f t="shared" ca="1" si="59"/>
        <v>6688.2105084530031</v>
      </c>
      <c r="T43" s="61">
        <f t="shared" ref="T43:Z43" ca="1" si="60">T11*T22</f>
        <v>7246.7805891980233</v>
      </c>
      <c r="U43" s="61">
        <f t="shared" ca="1" si="60"/>
        <v>7810.7691654877817</v>
      </c>
      <c r="V43" s="61">
        <f t="shared" ca="1" si="60"/>
        <v>8380.2164580257067</v>
      </c>
      <c r="W43" s="61">
        <f t="shared" ca="1" si="60"/>
        <v>8955.1629542598748</v>
      </c>
      <c r="X43" s="61">
        <f t="shared" ca="1" si="60"/>
        <v>9535.6494100449345</v>
      </c>
      <c r="Y43" s="61">
        <f t="shared" ca="1" si="60"/>
        <v>10121.716851313988</v>
      </c>
      <c r="Z43" s="61">
        <f t="shared" ca="1" si="60"/>
        <v>10713.406575760479</v>
      </c>
      <c r="AA43" s="61">
        <f t="shared" ref="AA43" ca="1" si="61">AA11*AA22</f>
        <v>11310.760154530155</v>
      </c>
      <c r="AB43" s="153"/>
      <c r="AC43" s="21"/>
      <c r="AD43" s="21"/>
    </row>
    <row r="44" spans="2:30">
      <c r="B44" s="50" t="str">
        <f t="shared" si="40"/>
        <v>Africa</v>
      </c>
      <c r="C44" s="52">
        <f>SUM(C37:C40)</f>
        <v>1506.5066666666667</v>
      </c>
      <c r="D44" s="52">
        <f>SUM(D37:D40)</f>
        <v>2740.7706666666663</v>
      </c>
      <c r="E44" s="52">
        <f>SUM(E37:E40)</f>
        <v>4817.7566666666662</v>
      </c>
      <c r="F44" s="52">
        <f>SUM(F37:F40)</f>
        <v>7992.9250000000002</v>
      </c>
      <c r="G44" s="52">
        <f t="shared" ref="G44:L44" si="62">SUM(G37:G42)</f>
        <v>15201.3</v>
      </c>
      <c r="H44" s="52">
        <f t="shared" si="62"/>
        <v>23523.474800881046</v>
      </c>
      <c r="I44" s="52">
        <f t="shared" si="62"/>
        <v>32302.756765198625</v>
      </c>
      <c r="J44" s="52">
        <f t="shared" si="62"/>
        <v>39474.623086861458</v>
      </c>
      <c r="K44" s="52">
        <f t="shared" si="62"/>
        <v>43611.181996312436</v>
      </c>
      <c r="L44" s="52">
        <f t="shared" si="62"/>
        <v>53157.124232050715</v>
      </c>
      <c r="M44" s="52">
        <f>SUM(M37:M42)</f>
        <v>59566.052264922153</v>
      </c>
      <c r="N44" s="52">
        <f>SUM(N37:N42)</f>
        <v>67529.411948800189</v>
      </c>
      <c r="O44" s="52">
        <f>SUM(O37:O42)</f>
        <v>80163.295462230337</v>
      </c>
      <c r="P44" s="52">
        <f>SUM(P37:P42)</f>
        <v>88191.463042273055</v>
      </c>
      <c r="Q44" s="52">
        <f t="shared" ref="Q44:Z44" ca="1" si="63">SUM(Q37:Q43)</f>
        <v>99966.61157698535</v>
      </c>
      <c r="R44" s="52">
        <f t="shared" ca="1" si="63"/>
        <v>106529.77908400151</v>
      </c>
      <c r="S44" s="52">
        <f t="shared" ca="1" si="63"/>
        <v>113214.90845570399</v>
      </c>
      <c r="T44" s="52">
        <f t="shared" ca="1" si="63"/>
        <v>120023.90007223724</v>
      </c>
      <c r="U44" s="52">
        <f t="shared" ca="1" si="63"/>
        <v>126958.68253058998</v>
      </c>
      <c r="V44" s="52">
        <f t="shared" ca="1" si="63"/>
        <v>134021.2130603985</v>
      </c>
      <c r="W44" s="52">
        <f t="shared" ca="1" si="63"/>
        <v>141213.47794592744</v>
      </c>
      <c r="X44" s="52">
        <f t="shared" ca="1" si="63"/>
        <v>148537.49295432115</v>
      </c>
      <c r="Y44" s="52">
        <f t="shared" ca="1" si="63"/>
        <v>155995.30377021965</v>
      </c>
      <c r="Z44" s="52">
        <f t="shared" ca="1" si="63"/>
        <v>163588.98643683636</v>
      </c>
      <c r="AA44" s="52">
        <f t="shared" ref="AA44" ca="1" si="64">SUM(AA37:AA43)</f>
        <v>171320.6478035927</v>
      </c>
      <c r="AB44" s="153" t="e">
        <f>SUM(AB37:AB42)</f>
        <v>#REF!</v>
      </c>
      <c r="AC44" s="52"/>
      <c r="AD44" s="52"/>
    </row>
    <row r="45" spans="2:30">
      <c r="B45" s="407" t="str">
        <f>B24</f>
        <v>Kinshasa Bas-Congo (Kivu from 2013)</v>
      </c>
      <c r="C45" s="52"/>
      <c r="D45" s="52"/>
      <c r="E45" s="52"/>
      <c r="F45" s="52"/>
      <c r="G45" s="52"/>
      <c r="H45" s="52"/>
      <c r="I45" s="52"/>
      <c r="J45" s="411">
        <f t="shared" ref="J45:P45" si="65">J24*J13</f>
        <v>3900</v>
      </c>
      <c r="K45" s="411">
        <f t="shared" si="65"/>
        <v>718.32853704205309</v>
      </c>
      <c r="L45" s="411">
        <f>L24*L13</f>
        <v>738.75108433951618</v>
      </c>
      <c r="M45" s="411">
        <f>M24*M13</f>
        <v>762.71368370103289</v>
      </c>
      <c r="N45" s="411">
        <f>N24*N13</f>
        <v>1768.4359144054713</v>
      </c>
      <c r="O45" s="411">
        <f>O24*O13</f>
        <v>2166.6944201305128</v>
      </c>
      <c r="P45" s="411">
        <f t="shared" si="65"/>
        <v>2469.2032114574163</v>
      </c>
      <c r="Q45" s="411">
        <f t="shared" ref="Q45:Z45" si="66">Q24*Q13</f>
        <v>2820.4936658474485</v>
      </c>
      <c r="R45" s="411">
        <f t="shared" si="66"/>
        <v>3181.9869373535635</v>
      </c>
      <c r="S45" s="411">
        <f t="shared" si="66"/>
        <v>3553.9134805261347</v>
      </c>
      <c r="T45" s="411">
        <f t="shared" si="66"/>
        <v>3936.5084208569569</v>
      </c>
      <c r="U45" s="411">
        <f t="shared" si="66"/>
        <v>4330.0116438768709</v>
      </c>
      <c r="V45" s="411">
        <f t="shared" si="66"/>
        <v>4734.6678858881023</v>
      </c>
      <c r="W45" s="411">
        <f t="shared" si="66"/>
        <v>5150.7268263605192</v>
      </c>
      <c r="X45" s="411">
        <f t="shared" si="66"/>
        <v>5578.4431820214977</v>
      </c>
      <c r="Y45" s="411">
        <f t="shared" si="66"/>
        <v>6018.0768026696232</v>
      </c>
      <c r="Z45" s="411">
        <f t="shared" si="66"/>
        <v>6469.8927687429896</v>
      </c>
      <c r="AA45" s="411">
        <f t="shared" ref="AA45" si="67">AA24*AA13</f>
        <v>6934.1614906733721</v>
      </c>
      <c r="AB45" s="153"/>
      <c r="AC45" s="52"/>
      <c r="AD45" s="52"/>
    </row>
    <row r="46" spans="2:30">
      <c r="B46" s="50"/>
      <c r="C46" s="25"/>
      <c r="D46" s="26"/>
      <c r="E46" s="26"/>
      <c r="F46" s="26"/>
      <c r="G46" s="26"/>
      <c r="H46" s="26"/>
      <c r="I46" s="26"/>
      <c r="J46" s="26"/>
      <c r="K46" s="26"/>
      <c r="L46" s="26"/>
      <c r="M46" s="26"/>
      <c r="N46" s="26"/>
      <c r="O46" s="52"/>
      <c r="P46" s="52"/>
      <c r="Q46" s="52"/>
      <c r="R46" s="52"/>
      <c r="S46" s="52"/>
      <c r="T46" s="52"/>
      <c r="U46" s="52"/>
      <c r="V46" s="52"/>
      <c r="W46" s="52"/>
      <c r="X46" s="52"/>
      <c r="Y46" s="52"/>
      <c r="Z46" s="52"/>
      <c r="AA46" s="52"/>
      <c r="AB46" s="21"/>
      <c r="AC46" s="21" t="s">
        <v>1823</v>
      </c>
      <c r="AD46" s="21"/>
    </row>
    <row r="47" spans="2:30">
      <c r="B47" s="48" t="s">
        <v>365</v>
      </c>
      <c r="C47" s="25"/>
      <c r="D47" s="26"/>
      <c r="E47" s="26"/>
      <c r="F47" s="26"/>
      <c r="G47" s="52"/>
      <c r="I47" s="26"/>
      <c r="J47" s="26"/>
      <c r="K47" s="26"/>
      <c r="L47" s="26"/>
      <c r="M47" s="26"/>
      <c r="N47" s="26"/>
      <c r="O47" s="26"/>
      <c r="P47" s="26"/>
      <c r="Q47" s="26"/>
      <c r="R47" s="26"/>
      <c r="S47" s="26"/>
      <c r="T47" s="26"/>
      <c r="U47" s="26"/>
      <c r="V47" s="26"/>
      <c r="W47" s="26"/>
      <c r="X47" s="26"/>
      <c r="Y47" s="26"/>
      <c r="Z47" s="26"/>
      <c r="AA47" s="26"/>
      <c r="AC47" s="21"/>
      <c r="AD47" s="21"/>
    </row>
    <row r="48" spans="2:30">
      <c r="B48" s="50" t="str">
        <f t="shared" ref="B48:B55" si="68">B37</f>
        <v>Ghana</v>
      </c>
      <c r="C48" s="51">
        <f>Quarts!F134</f>
        <v>52.06</v>
      </c>
      <c r="D48" s="51">
        <f>Quarts!J134</f>
        <v>117.816</v>
      </c>
      <c r="E48" s="51">
        <f>Quarts!N134</f>
        <v>277.04500000000002</v>
      </c>
      <c r="F48" s="51">
        <f>Quarts!R134</f>
        <v>448.83800000000002</v>
      </c>
      <c r="G48" s="51">
        <f>Quarts!V134</f>
        <v>1211.904</v>
      </c>
      <c r="H48" s="51">
        <v>2023.0909999999999</v>
      </c>
      <c r="I48" s="51">
        <v>2889</v>
      </c>
      <c r="J48" s="51">
        <v>3094</v>
      </c>
      <c r="K48" s="51">
        <f>Quarts!AP134</f>
        <v>3525.1460000000002</v>
      </c>
      <c r="L48" s="51">
        <f>Quarts!AU134</f>
        <v>3508</v>
      </c>
      <c r="M48" s="51">
        <f>Quarts!AZ134</f>
        <v>3170</v>
      </c>
      <c r="N48" s="51">
        <v>3674</v>
      </c>
      <c r="O48" s="51">
        <v>3829</v>
      </c>
      <c r="P48" s="51">
        <v>4085.5830000000001</v>
      </c>
      <c r="Q48" s="52">
        <f t="shared" ref="Q48:S51" si="69">Q37*Q68</f>
        <v>4224.6535152117822</v>
      </c>
      <c r="R48" s="52">
        <f t="shared" si="69"/>
        <v>4366.1651322235311</v>
      </c>
      <c r="S48" s="52">
        <f t="shared" si="69"/>
        <v>4510.15348426124</v>
      </c>
      <c r="T48" s="52">
        <f t="shared" ref="T48:U51" si="70">T37*T68</f>
        <v>4656.6546806617525</v>
      </c>
      <c r="U48" s="52">
        <f t="shared" si="70"/>
        <v>4805.7053129111382</v>
      </c>
      <c r="V48" s="52">
        <f t="shared" ref="V48:AA48" si="71">V37*V68</f>
        <v>4957.342460757056</v>
      </c>
      <c r="W48" s="52">
        <f t="shared" si="71"/>
        <v>5111.603698396003</v>
      </c>
      <c r="X48" s="52">
        <f t="shared" si="71"/>
        <v>5268.5271007363244</v>
      </c>
      <c r="Y48" s="52">
        <f t="shared" si="71"/>
        <v>5428.151249737909</v>
      </c>
      <c r="Z48" s="52">
        <f t="shared" si="71"/>
        <v>5590.5152408294762</v>
      </c>
      <c r="AA48" s="52">
        <f t="shared" si="71"/>
        <v>5755.6586894043894</v>
      </c>
      <c r="AB48" s="26"/>
      <c r="AC48" s="55"/>
      <c r="AD48" s="21"/>
    </row>
    <row r="49" spans="2:30">
      <c r="B49" s="50" t="str">
        <f t="shared" si="68"/>
        <v>Mauritius</v>
      </c>
      <c r="C49" s="51">
        <f>Quarts!F135</f>
        <v>0</v>
      </c>
      <c r="D49" s="51">
        <f>Quarts!J135</f>
        <v>136.62</v>
      </c>
      <c r="E49" s="51">
        <f>Quarts!N135</f>
        <v>167.565</v>
      </c>
      <c r="F49" s="51">
        <f>Quarts!R135</f>
        <v>221.1</v>
      </c>
      <c r="G49" s="51">
        <f>Quarts!V135</f>
        <v>279.19299999999998</v>
      </c>
      <c r="H49" s="51">
        <v>365.01799999999997</v>
      </c>
      <c r="I49" s="51">
        <v>422</v>
      </c>
      <c r="J49" s="51">
        <v>437</v>
      </c>
      <c r="K49" s="51">
        <f>Quarts!AP135</f>
        <v>471.57900000000001</v>
      </c>
      <c r="L49" s="51">
        <f>Quarts!AU135</f>
        <v>498</v>
      </c>
      <c r="M49" s="51">
        <f>Quarts!AZ135</f>
        <v>529</v>
      </c>
      <c r="N49" s="51"/>
      <c r="O49" s="51"/>
      <c r="P49" s="51"/>
      <c r="Q49" s="52"/>
      <c r="R49" s="52"/>
      <c r="S49" s="52"/>
      <c r="T49" s="52"/>
      <c r="U49" s="52"/>
      <c r="V49" s="52"/>
      <c r="W49" s="52"/>
      <c r="X49" s="52"/>
      <c r="Y49" s="52"/>
      <c r="Z49" s="52"/>
      <c r="AA49" s="52"/>
      <c r="AB49" s="69"/>
      <c r="AC49" s="55"/>
      <c r="AD49" s="21"/>
    </row>
    <row r="50" spans="2:30">
      <c r="B50" s="50" t="str">
        <f t="shared" si="68"/>
        <v>Senegal</v>
      </c>
      <c r="C50" s="51">
        <f>Quarts!F136</f>
        <v>97.804000000000002</v>
      </c>
      <c r="D50" s="51">
        <f>Quarts!J136</f>
        <v>206.506</v>
      </c>
      <c r="E50" s="51">
        <f>Quarts!N136</f>
        <v>339.88400000000001</v>
      </c>
      <c r="F50" s="51">
        <f>Quarts!R136</f>
        <v>679.91399999999999</v>
      </c>
      <c r="G50" s="51">
        <f>Quarts!V136</f>
        <v>894.61699999999996</v>
      </c>
      <c r="H50" s="51">
        <v>1118.5050000000001</v>
      </c>
      <c r="I50" s="51">
        <v>1852</v>
      </c>
      <c r="J50" s="51">
        <v>2090</v>
      </c>
      <c r="K50" s="51">
        <f>Quarts!AP136</f>
        <v>2356.0639999999999</v>
      </c>
      <c r="L50" s="51">
        <f>Quarts!AU136</f>
        <v>2378</v>
      </c>
      <c r="M50" s="51">
        <f>Quarts!AZ136</f>
        <v>2641</v>
      </c>
      <c r="N50" s="51">
        <v>2700</v>
      </c>
      <c r="O50" s="51">
        <v>3017</v>
      </c>
      <c r="P50" s="51">
        <v>3038.9470000000001</v>
      </c>
      <c r="Q50" s="52">
        <f t="shared" si="69"/>
        <v>3196.1848440121371</v>
      </c>
      <c r="R50" s="52">
        <f t="shared" si="69"/>
        <v>3356.6860521193285</v>
      </c>
      <c r="S50" s="52">
        <f t="shared" si="69"/>
        <v>3520.5054627529321</v>
      </c>
      <c r="T50" s="52">
        <f t="shared" si="70"/>
        <v>3687.6987508416864</v>
      </c>
      <c r="U50" s="52">
        <f t="shared" si="70"/>
        <v>3858.3224398789216</v>
      </c>
      <c r="V50" s="52">
        <f t="shared" ref="V50:Z51" si="72">V39*V70</f>
        <v>4032.4339141576256</v>
      </c>
      <c r="W50" s="52">
        <f t="shared" si="72"/>
        <v>4210.091431175656</v>
      </c>
      <c r="X50" s="52">
        <f t="shared" si="72"/>
        <v>4391.3541342133994</v>
      </c>
      <c r="Y50" s="52">
        <f t="shared" si="72"/>
        <v>4576.2820650862122</v>
      </c>
      <c r="Z50" s="52">
        <f t="shared" si="72"/>
        <v>4764.936177074017</v>
      </c>
      <c r="AA50" s="52">
        <f t="shared" ref="AA50" si="73">AA39*AA70</f>
        <v>4957.3783480304455</v>
      </c>
      <c r="AB50" s="143"/>
      <c r="AC50" s="55"/>
      <c r="AD50" s="21"/>
    </row>
    <row r="51" spans="2:30">
      <c r="B51" s="50" t="str">
        <f t="shared" si="68"/>
        <v>Tanzania</v>
      </c>
      <c r="C51" s="51">
        <f>Quarts!F138</f>
        <v>145.83799999999999</v>
      </c>
      <c r="D51" s="51">
        <f>Quarts!J138</f>
        <v>168.863</v>
      </c>
      <c r="E51" s="51">
        <f>Quarts!N138</f>
        <v>302.71199999999999</v>
      </c>
      <c r="F51" s="51">
        <f>Quarts!R138</f>
        <v>475.37900000000002</v>
      </c>
      <c r="G51" s="51">
        <f>Quarts!V138</f>
        <v>760.87400000000002</v>
      </c>
      <c r="H51" s="51">
        <v>1191.6780000000001</v>
      </c>
      <c r="I51" s="51">
        <v>2297</v>
      </c>
      <c r="J51" s="51">
        <v>3978</v>
      </c>
      <c r="K51" s="51">
        <f>Quarts!AP138</f>
        <v>4477.51</v>
      </c>
      <c r="L51" s="51">
        <f>Quarts!AU138</f>
        <v>5451</v>
      </c>
      <c r="M51" s="51">
        <f>Quarts!AZ138</f>
        <v>6043</v>
      </c>
      <c r="N51" s="51">
        <v>6001</v>
      </c>
      <c r="O51" s="51">
        <v>8193</v>
      </c>
      <c r="P51" s="51">
        <v>11801.418</v>
      </c>
      <c r="Q51" s="52">
        <f t="shared" si="69"/>
        <v>13031.165587701569</v>
      </c>
      <c r="R51" s="52">
        <f t="shared" si="69"/>
        <v>14282.429512039575</v>
      </c>
      <c r="S51" s="52">
        <f t="shared" si="69"/>
        <v>15555.500564432048</v>
      </c>
      <c r="T51" s="52">
        <f t="shared" si="70"/>
        <v>16850.673056378484</v>
      </c>
      <c r="U51" s="52">
        <f t="shared" si="70"/>
        <v>18168.244859531529</v>
      </c>
      <c r="V51" s="52">
        <f t="shared" si="72"/>
        <v>19508.517446207312</v>
      </c>
      <c r="W51" s="52">
        <f t="shared" si="72"/>
        <v>20871.795930339016</v>
      </c>
      <c r="X51" s="52">
        <f t="shared" si="72"/>
        <v>22258.389108878437</v>
      </c>
      <c r="Y51" s="52">
        <f t="shared" si="72"/>
        <v>23668.60950365035</v>
      </c>
      <c r="Z51" s="52">
        <f t="shared" si="72"/>
        <v>25102.773403664429</v>
      </c>
      <c r="AA51" s="52">
        <f t="shared" ref="AA51" si="74">AA40*AA71</f>
        <v>26561.200907889583</v>
      </c>
      <c r="AB51" s="21"/>
      <c r="AC51" s="21"/>
      <c r="AD51" s="21"/>
    </row>
    <row r="52" spans="2:30">
      <c r="B52" s="50" t="str">
        <f t="shared" si="68"/>
        <v>Chad</v>
      </c>
      <c r="C52" s="51">
        <f>Quarts!F139</f>
        <v>0</v>
      </c>
      <c r="D52" s="51">
        <f>Quarts!J139</f>
        <v>0</v>
      </c>
      <c r="E52" s="51">
        <f>Quarts!N139</f>
        <v>0</v>
      </c>
      <c r="F52" s="51">
        <f>Quarts!R139</f>
        <v>91.159000000000006</v>
      </c>
      <c r="G52" s="51">
        <f>Quarts!V139</f>
        <v>186.7</v>
      </c>
      <c r="H52" s="51">
        <v>323.35599999999999</v>
      </c>
      <c r="I52" s="51">
        <v>541</v>
      </c>
      <c r="J52" s="51">
        <v>1017</v>
      </c>
      <c r="K52" s="51">
        <f>Quarts!AP139</f>
        <v>1429.35</v>
      </c>
      <c r="L52" s="51">
        <f>Quarts!AU139</f>
        <v>1894</v>
      </c>
      <c r="M52" s="51">
        <f>Quarts!AZ139</f>
        <v>2030</v>
      </c>
      <c r="N52" s="51">
        <v>2252</v>
      </c>
      <c r="O52" s="51">
        <v>2745</v>
      </c>
      <c r="P52" s="51">
        <v>2980.7</v>
      </c>
      <c r="Q52" s="52">
        <f t="shared" ref="Q52:S54" si="75">Q72*Q41</f>
        <v>3350.7377406832975</v>
      </c>
      <c r="R52" s="52">
        <f t="shared" si="75"/>
        <v>3730.6507462221825</v>
      </c>
      <c r="S52" s="52">
        <f t="shared" si="75"/>
        <v>4120.644396730534</v>
      </c>
      <c r="T52" s="52">
        <f t="shared" ref="T52:U54" si="76">T72*T41</f>
        <v>4520.9279073292373</v>
      </c>
      <c r="U52" s="52">
        <f t="shared" si="76"/>
        <v>4931.7143955551592</v>
      </c>
      <c r="V52" s="52">
        <f t="shared" ref="V52:Z54" si="77">V72*V41</f>
        <v>5353.220949909949</v>
      </c>
      <c r="W52" s="52">
        <f t="shared" si="77"/>
        <v>5785.6686995674154</v>
      </c>
      <c r="X52" s="52">
        <f t="shared" si="77"/>
        <v>6229.2828852585453</v>
      </c>
      <c r="Y52" s="52">
        <f t="shared" si="77"/>
        <v>6684.2929313535351</v>
      </c>
      <c r="Z52" s="52">
        <f t="shared" si="77"/>
        <v>7150.9325191605194</v>
      </c>
      <c r="AA52" s="52">
        <f t="shared" ref="AA52" si="78">AA72*AA41</f>
        <v>7629.4396614609932</v>
      </c>
      <c r="AB52" s="21"/>
      <c r="AC52" s="21"/>
      <c r="AD52" s="21"/>
    </row>
    <row r="53" spans="2:30">
      <c r="B53" s="50" t="str">
        <f t="shared" si="68"/>
        <v>Dem. Rep. Congo</v>
      </c>
      <c r="C53" s="51">
        <f>Quarts!F140</f>
        <v>0</v>
      </c>
      <c r="D53" s="51">
        <f>Quarts!J140</f>
        <v>0</v>
      </c>
      <c r="E53" s="51">
        <f>Quarts!K140</f>
        <v>0</v>
      </c>
      <c r="F53" s="51">
        <f>Quarts!R140</f>
        <v>60.637999999999998</v>
      </c>
      <c r="G53" s="51">
        <f>Quarts!V140</f>
        <v>50.337000000000003</v>
      </c>
      <c r="H53" s="51">
        <v>546.5</v>
      </c>
      <c r="I53" s="51">
        <v>1048</v>
      </c>
      <c r="J53" s="51">
        <v>1511</v>
      </c>
      <c r="K53" s="51">
        <f>Quarts!AP140</f>
        <v>2156.1509999999998</v>
      </c>
      <c r="L53" s="51">
        <f>Quarts!AU140</f>
        <v>2382</v>
      </c>
      <c r="M53" s="51">
        <f>Quarts!AZ140</f>
        <v>3001</v>
      </c>
      <c r="N53" s="51">
        <v>3854</v>
      </c>
      <c r="O53" s="51">
        <v>5067</v>
      </c>
      <c r="P53" s="51">
        <v>5320.835</v>
      </c>
      <c r="Q53" s="52">
        <f t="shared" si="75"/>
        <v>5577.6316913910059</v>
      </c>
      <c r="R53" s="52">
        <f t="shared" si="75"/>
        <v>5752.1533353083914</v>
      </c>
      <c r="S53" s="52">
        <f t="shared" si="75"/>
        <v>5930.7185781708376</v>
      </c>
      <c r="T53" s="52">
        <f t="shared" si="76"/>
        <v>6113.4104372399115</v>
      </c>
      <c r="U53" s="52">
        <f t="shared" si="76"/>
        <v>6300.313525644221</v>
      </c>
      <c r="V53" s="52">
        <f t="shared" si="77"/>
        <v>6491.5140818117943</v>
      </c>
      <c r="W53" s="52">
        <f t="shared" si="77"/>
        <v>6687.0999994300155</v>
      </c>
      <c r="X53" s="52">
        <f t="shared" si="77"/>
        <v>6887.1608579423755</v>
      </c>
      <c r="Y53" s="52">
        <f t="shared" si="77"/>
        <v>7091.7879535914481</v>
      </c>
      <c r="Z53" s="52">
        <f t="shared" si="77"/>
        <v>7301.0743310176967</v>
      </c>
      <c r="AA53" s="52">
        <f t="shared" ref="AA53" si="79">AA73*AA42</f>
        <v>7515.1148154238372</v>
      </c>
      <c r="AB53" s="21"/>
      <c r="AC53" s="21"/>
      <c r="AD53" s="21"/>
    </row>
    <row r="54" spans="2:30">
      <c r="B54" s="57" t="str">
        <f t="shared" si="68"/>
        <v>Rwanda</v>
      </c>
      <c r="C54" s="58">
        <v>0</v>
      </c>
      <c r="D54" s="58">
        <v>0</v>
      </c>
      <c r="E54" s="58">
        <v>0</v>
      </c>
      <c r="F54" s="58">
        <v>0</v>
      </c>
      <c r="G54" s="58">
        <v>0</v>
      </c>
      <c r="H54" s="58">
        <v>0</v>
      </c>
      <c r="I54" s="58"/>
      <c r="J54" s="58">
        <v>0</v>
      </c>
      <c r="K54" s="58">
        <f>Quarts!AP141</f>
        <v>549.53200000000004</v>
      </c>
      <c r="L54" s="58">
        <f>Quarts!AU141</f>
        <v>1192</v>
      </c>
      <c r="M54" s="58">
        <f>Quarts!AZ141</f>
        <v>1502</v>
      </c>
      <c r="N54" s="58">
        <v>1938</v>
      </c>
      <c r="O54" s="58">
        <v>2499</v>
      </c>
      <c r="P54" s="58">
        <v>2774.826</v>
      </c>
      <c r="Q54" s="61">
        <f t="shared" ca="1" si="75"/>
        <v>2402.4814980798551</v>
      </c>
      <c r="R54" s="61">
        <f t="shared" ca="1" si="75"/>
        <v>2638.0581560860187</v>
      </c>
      <c r="S54" s="61">
        <f t="shared" ca="1" si="75"/>
        <v>2875.9305186347915</v>
      </c>
      <c r="T54" s="61">
        <f t="shared" ca="1" si="76"/>
        <v>3116.1156533551498</v>
      </c>
      <c r="U54" s="61">
        <f t="shared" ca="1" si="76"/>
        <v>3358.6307411597459</v>
      </c>
      <c r="V54" s="61">
        <f t="shared" ca="1" si="77"/>
        <v>3603.4930769510538</v>
      </c>
      <c r="W54" s="61">
        <f t="shared" ca="1" si="77"/>
        <v>3850.7200703317462</v>
      </c>
      <c r="X54" s="61">
        <f t="shared" ca="1" si="77"/>
        <v>4100.329246319322</v>
      </c>
      <c r="Y54" s="61">
        <f t="shared" ca="1" si="77"/>
        <v>4352.3382460650146</v>
      </c>
      <c r="Z54" s="61">
        <f t="shared" ca="1" si="77"/>
        <v>4606.7648275770061</v>
      </c>
      <c r="AA54" s="61">
        <f t="shared" ref="AA54" ca="1" si="80">AA74*AA43</f>
        <v>4863.6268664479667</v>
      </c>
      <c r="AB54" s="21"/>
      <c r="AC54" s="21"/>
      <c r="AD54" s="21"/>
    </row>
    <row r="55" spans="2:30">
      <c r="B55" s="50" t="str">
        <f t="shared" si="68"/>
        <v>Africa</v>
      </c>
      <c r="C55" s="52">
        <f>SUM(C48:C51)</f>
        <v>295.702</v>
      </c>
      <c r="D55" s="52">
        <f>SUM(D48:D51)</f>
        <v>629.80500000000006</v>
      </c>
      <c r="E55" s="52">
        <f>SUM(E48:E51)</f>
        <v>1087.2060000000001</v>
      </c>
      <c r="F55" s="52">
        <f>SUM(F48:F53)</f>
        <v>1977.0279999999998</v>
      </c>
      <c r="G55" s="52">
        <f>SUM(G48:G53)</f>
        <v>3383.6249999999995</v>
      </c>
      <c r="H55" s="52">
        <f>SUM(H48:H53)</f>
        <v>5568.1480000000001</v>
      </c>
      <c r="I55" s="52">
        <f>SUM(I48:I53)</f>
        <v>9049</v>
      </c>
      <c r="J55" s="52">
        <f>SUM(J48:J54)</f>
        <v>12127</v>
      </c>
      <c r="K55" s="52">
        <f t="shared" ref="K55:S55" si="81">SUM(K48:K54)</f>
        <v>14965.332</v>
      </c>
      <c r="L55" s="52">
        <f t="shared" si="81"/>
        <v>17303</v>
      </c>
      <c r="M55" s="52">
        <f>SUM(M48:M54)</f>
        <v>18916</v>
      </c>
      <c r="N55" s="52">
        <f t="shared" si="81"/>
        <v>20419</v>
      </c>
      <c r="O55" s="52">
        <f t="shared" si="81"/>
        <v>25350</v>
      </c>
      <c r="P55" s="52">
        <f t="shared" si="81"/>
        <v>30002.309000000001</v>
      </c>
      <c r="Q55" s="52">
        <f t="shared" ca="1" si="81"/>
        <v>31782.854877079644</v>
      </c>
      <c r="R55" s="52">
        <f t="shared" ca="1" si="81"/>
        <v>34126.142933999021</v>
      </c>
      <c r="S55" s="52">
        <f t="shared" ca="1" si="81"/>
        <v>36513.453004982381</v>
      </c>
      <c r="T55" s="52">
        <f t="shared" ref="T55:Z55" ca="1" si="82">SUM(T48:T54)</f>
        <v>38945.48048580622</v>
      </c>
      <c r="U55" s="52">
        <f t="shared" ca="1" si="82"/>
        <v>41422.931274680712</v>
      </c>
      <c r="V55" s="52">
        <f t="shared" ca="1" si="82"/>
        <v>43946.521929794792</v>
      </c>
      <c r="W55" s="52">
        <f t="shared" ca="1" si="82"/>
        <v>46516.979829239848</v>
      </c>
      <c r="X55" s="52">
        <f t="shared" ca="1" si="82"/>
        <v>49135.043333348403</v>
      </c>
      <c r="Y55" s="52">
        <f t="shared" ca="1" si="82"/>
        <v>51801.461949484466</v>
      </c>
      <c r="Z55" s="52">
        <f t="shared" ca="1" si="82"/>
        <v>54516.996499323141</v>
      </c>
      <c r="AA55" s="52">
        <f t="shared" ref="AA55" ca="1" si="83">SUM(AA48:AA54)</f>
        <v>57282.41928865722</v>
      </c>
      <c r="AB55" s="52"/>
      <c r="AC55" s="52"/>
      <c r="AD55" s="52"/>
    </row>
    <row r="56" spans="2:30">
      <c r="B56" s="50"/>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row>
    <row r="57" spans="2:30">
      <c r="B57" s="48" t="s">
        <v>584</v>
      </c>
      <c r="C57" s="363"/>
      <c r="D57" s="364"/>
      <c r="E57" s="72"/>
      <c r="F57" s="72"/>
      <c r="G57" s="72"/>
      <c r="H57" s="72"/>
      <c r="I57" s="72"/>
      <c r="J57" s="72"/>
      <c r="K57" s="72"/>
      <c r="L57" s="72"/>
      <c r="M57" s="72"/>
      <c r="N57" s="72"/>
      <c r="O57" s="72"/>
      <c r="P57" s="72"/>
      <c r="Q57" s="72"/>
      <c r="R57" s="72"/>
      <c r="S57" s="72"/>
      <c r="T57" s="72"/>
      <c r="U57" s="72"/>
      <c r="V57" s="72"/>
      <c r="W57" s="72"/>
      <c r="X57" s="72"/>
      <c r="Y57" s="72"/>
      <c r="Z57" s="72"/>
      <c r="AA57" s="72"/>
    </row>
    <row r="58" spans="2:30">
      <c r="B58" s="50" t="str">
        <f t="shared" ref="B58:B64" si="84">B48</f>
        <v>Ghana</v>
      </c>
      <c r="C58" s="25"/>
      <c r="D58" s="26"/>
      <c r="E58" s="52">
        <f t="shared" ref="E58:AA58" si="85">E48-D48</f>
        <v>159.22900000000001</v>
      </c>
      <c r="F58" s="52">
        <f t="shared" si="85"/>
        <v>171.79300000000001</v>
      </c>
      <c r="G58" s="52">
        <f t="shared" si="85"/>
        <v>763.06600000000003</v>
      </c>
      <c r="H58" s="52">
        <f t="shared" si="85"/>
        <v>811.1869999999999</v>
      </c>
      <c r="I58" s="52">
        <f t="shared" si="85"/>
        <v>865.90900000000011</v>
      </c>
      <c r="J58" s="52">
        <f t="shared" si="85"/>
        <v>205</v>
      </c>
      <c r="K58" s="52">
        <f t="shared" ref="K58:M65" si="86">K48-J48</f>
        <v>431.14600000000019</v>
      </c>
      <c r="L58" s="52">
        <f t="shared" si="86"/>
        <v>-17.146000000000186</v>
      </c>
      <c r="M58" s="52">
        <f t="shared" si="86"/>
        <v>-338</v>
      </c>
      <c r="N58" s="52">
        <f t="shared" si="85"/>
        <v>504</v>
      </c>
      <c r="O58" s="52">
        <f t="shared" si="85"/>
        <v>155</v>
      </c>
      <c r="P58" s="52">
        <f t="shared" si="85"/>
        <v>256.58300000000008</v>
      </c>
      <c r="Q58" s="52">
        <f t="shared" si="85"/>
        <v>139.07051521178209</v>
      </c>
      <c r="R58" s="52">
        <f t="shared" si="85"/>
        <v>141.51161701174897</v>
      </c>
      <c r="S58" s="52">
        <f t="shared" si="85"/>
        <v>143.98835203770886</v>
      </c>
      <c r="T58" s="52">
        <f t="shared" si="85"/>
        <v>146.50119640051253</v>
      </c>
      <c r="U58" s="52">
        <f t="shared" si="85"/>
        <v>149.05063224938567</v>
      </c>
      <c r="V58" s="52">
        <f t="shared" si="85"/>
        <v>151.63714784591775</v>
      </c>
      <c r="W58" s="52">
        <f t="shared" si="85"/>
        <v>154.26123763894702</v>
      </c>
      <c r="X58" s="52">
        <f t="shared" si="85"/>
        <v>156.92340234032145</v>
      </c>
      <c r="Y58" s="52">
        <f t="shared" si="85"/>
        <v>159.62414900158456</v>
      </c>
      <c r="Z58" s="52">
        <f t="shared" si="85"/>
        <v>162.36399109156719</v>
      </c>
      <c r="AA58" s="52">
        <f t="shared" si="85"/>
        <v>165.14344857491324</v>
      </c>
    </row>
    <row r="59" spans="2:30">
      <c r="B59" s="50" t="str">
        <f t="shared" si="84"/>
        <v>Mauritius</v>
      </c>
      <c r="C59" s="25"/>
      <c r="D59" s="26"/>
      <c r="E59" s="52">
        <f t="shared" ref="E59:J59" si="87">E49-D49</f>
        <v>30.944999999999993</v>
      </c>
      <c r="F59" s="52">
        <f t="shared" si="87"/>
        <v>53.534999999999997</v>
      </c>
      <c r="G59" s="52">
        <f t="shared" si="87"/>
        <v>58.092999999999989</v>
      </c>
      <c r="H59" s="52">
        <f t="shared" si="87"/>
        <v>85.824999999999989</v>
      </c>
      <c r="I59" s="52">
        <f t="shared" si="87"/>
        <v>56.982000000000028</v>
      </c>
      <c r="J59" s="52">
        <f t="shared" si="87"/>
        <v>15</v>
      </c>
      <c r="K59" s="52">
        <f t="shared" si="86"/>
        <v>34.579000000000008</v>
      </c>
      <c r="L59" s="52">
        <f t="shared" si="86"/>
        <v>26.420999999999992</v>
      </c>
      <c r="M59" s="52">
        <f t="shared" si="86"/>
        <v>31</v>
      </c>
      <c r="N59" s="52"/>
      <c r="O59" s="52"/>
      <c r="P59" s="52"/>
      <c r="Q59" s="52"/>
      <c r="R59" s="52"/>
      <c r="S59" s="52"/>
      <c r="T59" s="52"/>
      <c r="U59" s="52"/>
      <c r="V59" s="52"/>
      <c r="W59" s="52"/>
      <c r="X59" s="52"/>
      <c r="Y59" s="52"/>
      <c r="Z59" s="52"/>
      <c r="AA59" s="52"/>
    </row>
    <row r="60" spans="2:30">
      <c r="B60" s="50" t="str">
        <f t="shared" si="84"/>
        <v>Senegal</v>
      </c>
      <c r="C60" s="25"/>
      <c r="D60" s="26"/>
      <c r="E60" s="52">
        <f t="shared" ref="E60:AA60" si="88">E50-D50</f>
        <v>133.37800000000001</v>
      </c>
      <c r="F60" s="52">
        <f t="shared" si="88"/>
        <v>340.03</v>
      </c>
      <c r="G60" s="52">
        <f t="shared" si="88"/>
        <v>214.70299999999997</v>
      </c>
      <c r="H60" s="52">
        <f t="shared" si="88"/>
        <v>223.88800000000015</v>
      </c>
      <c r="I60" s="52">
        <f t="shared" si="88"/>
        <v>733.49499999999989</v>
      </c>
      <c r="J60" s="52">
        <f t="shared" si="88"/>
        <v>238</v>
      </c>
      <c r="K60" s="52">
        <f t="shared" si="86"/>
        <v>266.06399999999985</v>
      </c>
      <c r="L60" s="52">
        <f t="shared" si="86"/>
        <v>21.936000000000149</v>
      </c>
      <c r="M60" s="52">
        <f t="shared" si="86"/>
        <v>263</v>
      </c>
      <c r="N60" s="52">
        <f t="shared" si="88"/>
        <v>59</v>
      </c>
      <c r="O60" s="52">
        <f t="shared" si="88"/>
        <v>317</v>
      </c>
      <c r="P60" s="52">
        <f t="shared" si="88"/>
        <v>21.947000000000116</v>
      </c>
      <c r="Q60" s="52">
        <f t="shared" si="88"/>
        <v>157.23784401213697</v>
      </c>
      <c r="R60" s="52">
        <f t="shared" si="88"/>
        <v>160.50120810719136</v>
      </c>
      <c r="S60" s="52">
        <f t="shared" si="88"/>
        <v>163.81941063360364</v>
      </c>
      <c r="T60" s="52">
        <f t="shared" si="88"/>
        <v>167.19328808875434</v>
      </c>
      <c r="U60" s="52">
        <f t="shared" si="88"/>
        <v>170.62368903723518</v>
      </c>
      <c r="V60" s="52">
        <f t="shared" si="88"/>
        <v>174.11147427870401</v>
      </c>
      <c r="W60" s="52">
        <f t="shared" si="88"/>
        <v>177.65751701803038</v>
      </c>
      <c r="X60" s="52">
        <f t="shared" si="88"/>
        <v>181.26270303774345</v>
      </c>
      <c r="Y60" s="52">
        <f t="shared" si="88"/>
        <v>184.92793087281279</v>
      </c>
      <c r="Z60" s="52">
        <f t="shared" si="88"/>
        <v>188.65411198780475</v>
      </c>
      <c r="AA60" s="52">
        <f t="shared" si="88"/>
        <v>192.44217095642853</v>
      </c>
    </row>
    <row r="61" spans="2:30">
      <c r="B61" s="50" t="str">
        <f t="shared" si="84"/>
        <v>Tanzania</v>
      </c>
      <c r="C61" s="25"/>
      <c r="D61" s="26"/>
      <c r="E61" s="52">
        <f t="shared" ref="E61:AA61" si="89">E51-D51</f>
        <v>133.84899999999999</v>
      </c>
      <c r="F61" s="52">
        <f t="shared" si="89"/>
        <v>172.66700000000003</v>
      </c>
      <c r="G61" s="52">
        <f t="shared" si="89"/>
        <v>285.495</v>
      </c>
      <c r="H61" s="52">
        <f t="shared" si="89"/>
        <v>430.80400000000009</v>
      </c>
      <c r="I61" s="52">
        <f t="shared" si="89"/>
        <v>1105.3219999999999</v>
      </c>
      <c r="J61" s="52">
        <f t="shared" si="89"/>
        <v>1681</v>
      </c>
      <c r="K61" s="52">
        <f t="shared" si="86"/>
        <v>499.51000000000022</v>
      </c>
      <c r="L61" s="52">
        <f t="shared" si="86"/>
        <v>973.48999999999978</v>
      </c>
      <c r="M61" s="52">
        <f t="shared" si="86"/>
        <v>592</v>
      </c>
      <c r="N61" s="52">
        <f t="shared" si="89"/>
        <v>-42</v>
      </c>
      <c r="O61" s="52">
        <f t="shared" si="89"/>
        <v>2192</v>
      </c>
      <c r="P61" s="52">
        <f t="shared" si="89"/>
        <v>3608.4179999999997</v>
      </c>
      <c r="Q61" s="52">
        <f t="shared" si="89"/>
        <v>1229.7475877015695</v>
      </c>
      <c r="R61" s="52">
        <f t="shared" si="89"/>
        <v>1251.2639243380054</v>
      </c>
      <c r="S61" s="52">
        <f t="shared" si="89"/>
        <v>1273.0710523924736</v>
      </c>
      <c r="T61" s="52">
        <f t="shared" si="89"/>
        <v>1295.1724919464359</v>
      </c>
      <c r="U61" s="52">
        <f t="shared" si="89"/>
        <v>1317.571803153045</v>
      </c>
      <c r="V61" s="52">
        <f t="shared" si="89"/>
        <v>1340.2725866757828</v>
      </c>
      <c r="W61" s="52">
        <f t="shared" si="89"/>
        <v>1363.2784841317043</v>
      </c>
      <c r="X61" s="52">
        <f t="shared" si="89"/>
        <v>1386.5931785394205</v>
      </c>
      <c r="Y61" s="52">
        <f t="shared" si="89"/>
        <v>1410.2203947719136</v>
      </c>
      <c r="Z61" s="52">
        <f t="shared" si="89"/>
        <v>1434.1639000140785</v>
      </c>
      <c r="AA61" s="52">
        <f t="shared" si="89"/>
        <v>1458.4275042251538</v>
      </c>
    </row>
    <row r="62" spans="2:30">
      <c r="B62" s="50" t="str">
        <f t="shared" si="84"/>
        <v>Chad</v>
      </c>
      <c r="C62" s="25"/>
      <c r="D62" s="26"/>
      <c r="E62" s="52">
        <f t="shared" ref="E62:AA62" si="90">E52-D52</f>
        <v>0</v>
      </c>
      <c r="F62" s="52">
        <f t="shared" si="90"/>
        <v>91.159000000000006</v>
      </c>
      <c r="G62" s="52">
        <f t="shared" si="90"/>
        <v>95.540999999999983</v>
      </c>
      <c r="H62" s="52">
        <f t="shared" si="90"/>
        <v>136.65600000000001</v>
      </c>
      <c r="I62" s="52">
        <f t="shared" si="90"/>
        <v>217.64400000000001</v>
      </c>
      <c r="J62" s="52">
        <f t="shared" si="90"/>
        <v>476</v>
      </c>
      <c r="K62" s="52">
        <f t="shared" si="86"/>
        <v>412.34999999999991</v>
      </c>
      <c r="L62" s="52">
        <f t="shared" si="86"/>
        <v>464.65000000000009</v>
      </c>
      <c r="M62" s="52">
        <f t="shared" si="86"/>
        <v>136</v>
      </c>
      <c r="N62" s="52">
        <f t="shared" si="90"/>
        <v>222</v>
      </c>
      <c r="O62" s="52">
        <f t="shared" si="90"/>
        <v>493</v>
      </c>
      <c r="P62" s="52">
        <f t="shared" si="90"/>
        <v>235.69999999999982</v>
      </c>
      <c r="Q62" s="52">
        <f t="shared" si="90"/>
        <v>370.03774068329767</v>
      </c>
      <c r="R62" s="52">
        <f t="shared" si="90"/>
        <v>379.91300553888505</v>
      </c>
      <c r="S62" s="52">
        <f t="shared" si="90"/>
        <v>389.99365050835149</v>
      </c>
      <c r="T62" s="52">
        <f t="shared" si="90"/>
        <v>400.28351059870329</v>
      </c>
      <c r="U62" s="52">
        <f t="shared" si="90"/>
        <v>410.78648822592186</v>
      </c>
      <c r="V62" s="52">
        <f t="shared" si="90"/>
        <v>421.50655435478984</v>
      </c>
      <c r="W62" s="52">
        <f t="shared" si="90"/>
        <v>432.44774965746637</v>
      </c>
      <c r="X62" s="52">
        <f t="shared" si="90"/>
        <v>443.61418569112993</v>
      </c>
      <c r="Y62" s="52">
        <f t="shared" si="90"/>
        <v>455.01004609498978</v>
      </c>
      <c r="Z62" s="52">
        <f t="shared" si="90"/>
        <v>466.63958780698431</v>
      </c>
      <c r="AA62" s="52">
        <f t="shared" si="90"/>
        <v>478.50714230047379</v>
      </c>
    </row>
    <row r="63" spans="2:30">
      <c r="B63" s="50" t="str">
        <f t="shared" si="84"/>
        <v>Dem. Rep. Congo</v>
      </c>
      <c r="C63" s="25"/>
      <c r="D63" s="26"/>
      <c r="E63" s="52">
        <f t="shared" ref="E63:AA63" si="91">E53-D53</f>
        <v>0</v>
      </c>
      <c r="F63" s="52">
        <f t="shared" si="91"/>
        <v>60.637999999999998</v>
      </c>
      <c r="G63" s="52">
        <f t="shared" si="91"/>
        <v>-10.300999999999995</v>
      </c>
      <c r="H63" s="52">
        <f t="shared" si="91"/>
        <v>496.16300000000001</v>
      </c>
      <c r="I63" s="52">
        <f t="shared" si="91"/>
        <v>501.5</v>
      </c>
      <c r="J63" s="52">
        <f t="shared" si="91"/>
        <v>463</v>
      </c>
      <c r="K63" s="52">
        <f t="shared" si="86"/>
        <v>645.15099999999984</v>
      </c>
      <c r="L63" s="52">
        <f t="shared" si="86"/>
        <v>225.84900000000016</v>
      </c>
      <c r="M63" s="52">
        <f t="shared" si="86"/>
        <v>619</v>
      </c>
      <c r="N63" s="52">
        <f t="shared" si="91"/>
        <v>853</v>
      </c>
      <c r="O63" s="52">
        <f t="shared" si="91"/>
        <v>1213</v>
      </c>
      <c r="P63" s="52">
        <f t="shared" si="91"/>
        <v>253.83500000000004</v>
      </c>
      <c r="Q63" s="52">
        <f t="shared" si="91"/>
        <v>256.79669139100588</v>
      </c>
      <c r="R63" s="52">
        <f t="shared" si="91"/>
        <v>174.52164391738552</v>
      </c>
      <c r="S63" s="52">
        <f t="shared" si="91"/>
        <v>178.56524286244621</v>
      </c>
      <c r="T63" s="52">
        <f t="shared" si="91"/>
        <v>182.69185906907387</v>
      </c>
      <c r="U63" s="52">
        <f t="shared" si="91"/>
        <v>186.90308840430953</v>
      </c>
      <c r="V63" s="52">
        <f t="shared" si="91"/>
        <v>191.20055616757327</v>
      </c>
      <c r="W63" s="52">
        <f t="shared" si="91"/>
        <v>195.58591761822117</v>
      </c>
      <c r="X63" s="52">
        <f t="shared" si="91"/>
        <v>200.06085851236003</v>
      </c>
      <c r="Y63" s="52">
        <f t="shared" si="91"/>
        <v>204.62709564907254</v>
      </c>
      <c r="Z63" s="52">
        <f t="shared" si="91"/>
        <v>209.28637742624869</v>
      </c>
      <c r="AA63" s="52">
        <f t="shared" si="91"/>
        <v>214.04048440614042</v>
      </c>
    </row>
    <row r="64" spans="2:30">
      <c r="B64" s="57" t="str">
        <f t="shared" si="84"/>
        <v>Rwanda</v>
      </c>
      <c r="C64" s="365"/>
      <c r="D64" s="293"/>
      <c r="E64" s="61">
        <f t="shared" ref="E64:AA64" si="92">E54-D54</f>
        <v>0</v>
      </c>
      <c r="F64" s="61">
        <f t="shared" si="92"/>
        <v>0</v>
      </c>
      <c r="G64" s="61">
        <f t="shared" si="92"/>
        <v>0</v>
      </c>
      <c r="H64" s="61">
        <f t="shared" si="92"/>
        <v>0</v>
      </c>
      <c r="I64" s="61">
        <f t="shared" si="92"/>
        <v>0</v>
      </c>
      <c r="J64" s="61">
        <f t="shared" si="92"/>
        <v>0</v>
      </c>
      <c r="K64" s="61">
        <f t="shared" si="86"/>
        <v>549.53200000000004</v>
      </c>
      <c r="L64" s="61">
        <f t="shared" si="86"/>
        <v>642.46799999999996</v>
      </c>
      <c r="M64" s="61">
        <f t="shared" si="86"/>
        <v>310</v>
      </c>
      <c r="N64" s="61">
        <f t="shared" si="92"/>
        <v>436</v>
      </c>
      <c r="O64" s="61">
        <f t="shared" si="92"/>
        <v>561</v>
      </c>
      <c r="P64" s="61">
        <f t="shared" si="92"/>
        <v>275.82600000000002</v>
      </c>
      <c r="Q64" s="61">
        <f t="shared" ca="1" si="92"/>
        <v>-372.34450192014492</v>
      </c>
      <c r="R64" s="61">
        <f t="shared" ca="1" si="92"/>
        <v>235.5766580061636</v>
      </c>
      <c r="S64" s="61">
        <f t="shared" ca="1" si="92"/>
        <v>237.8723625487728</v>
      </c>
      <c r="T64" s="61">
        <f t="shared" ca="1" si="92"/>
        <v>240.18513472035829</v>
      </c>
      <c r="U64" s="61">
        <f t="shared" ca="1" si="92"/>
        <v>242.51508780459608</v>
      </c>
      <c r="V64" s="61">
        <f t="shared" ca="1" si="92"/>
        <v>244.86233579130794</v>
      </c>
      <c r="W64" s="61">
        <f t="shared" ca="1" si="92"/>
        <v>247.22699338069242</v>
      </c>
      <c r="X64" s="61">
        <f t="shared" ca="1" si="92"/>
        <v>249.60917598757578</v>
      </c>
      <c r="Y64" s="61">
        <f t="shared" ca="1" si="92"/>
        <v>252.00899974569256</v>
      </c>
      <c r="Z64" s="61">
        <f t="shared" ca="1" si="92"/>
        <v>254.42658151199157</v>
      </c>
      <c r="AA64" s="61">
        <f t="shared" ca="1" si="92"/>
        <v>256.86203887096053</v>
      </c>
    </row>
    <row r="65" spans="1:34">
      <c r="B65" s="50" t="s">
        <v>1831</v>
      </c>
      <c r="C65" s="25"/>
      <c r="D65" s="26"/>
      <c r="E65" s="52">
        <f>E55-D55</f>
        <v>457.40100000000007</v>
      </c>
      <c r="F65" s="52">
        <f t="shared" ref="F65:AA65" si="93">F55-E55</f>
        <v>889.82199999999966</v>
      </c>
      <c r="G65" s="52">
        <f t="shared" si="93"/>
        <v>1406.5969999999998</v>
      </c>
      <c r="H65" s="52">
        <f t="shared" si="93"/>
        <v>2184.5230000000006</v>
      </c>
      <c r="I65" s="52">
        <f t="shared" si="93"/>
        <v>3480.8519999999999</v>
      </c>
      <c r="J65" s="52">
        <f t="shared" si="93"/>
        <v>3078</v>
      </c>
      <c r="K65" s="52">
        <f t="shared" si="86"/>
        <v>2838.3320000000003</v>
      </c>
      <c r="L65" s="52">
        <f t="shared" si="86"/>
        <v>2337.6679999999997</v>
      </c>
      <c r="M65" s="52">
        <f t="shared" si="86"/>
        <v>1613</v>
      </c>
      <c r="N65" s="52">
        <f t="shared" si="93"/>
        <v>1503</v>
      </c>
      <c r="O65" s="52">
        <f t="shared" si="93"/>
        <v>4931</v>
      </c>
      <c r="P65" s="52">
        <f t="shared" si="93"/>
        <v>4652.3090000000011</v>
      </c>
      <c r="Q65" s="52">
        <f t="shared" ca="1" si="93"/>
        <v>1780.5458770796431</v>
      </c>
      <c r="R65" s="52">
        <f t="shared" ca="1" si="93"/>
        <v>2343.2880569193767</v>
      </c>
      <c r="S65" s="52">
        <f t="shared" ca="1" si="93"/>
        <v>2387.3100709833598</v>
      </c>
      <c r="T65" s="52">
        <f t="shared" ca="1" si="93"/>
        <v>2432.0274808238391</v>
      </c>
      <c r="U65" s="52">
        <f t="shared" ca="1" si="93"/>
        <v>2477.450788874492</v>
      </c>
      <c r="V65" s="52">
        <f t="shared" ca="1" si="93"/>
        <v>2523.5906551140797</v>
      </c>
      <c r="W65" s="52">
        <f t="shared" ca="1" si="93"/>
        <v>2570.4578994450567</v>
      </c>
      <c r="X65" s="52">
        <f t="shared" ca="1" si="93"/>
        <v>2618.0635041085552</v>
      </c>
      <c r="Y65" s="52">
        <f t="shared" ca="1" si="93"/>
        <v>2666.4186161360631</v>
      </c>
      <c r="Z65" s="52">
        <f t="shared" ca="1" si="93"/>
        <v>2715.5345498386741</v>
      </c>
      <c r="AA65" s="52">
        <f t="shared" ca="1" si="93"/>
        <v>2765.4227893340794</v>
      </c>
    </row>
    <row r="66" spans="1:34">
      <c r="B66" s="48"/>
      <c r="C66" s="25"/>
      <c r="D66" s="26"/>
      <c r="E66" s="52"/>
      <c r="F66" s="52"/>
      <c r="G66" s="52"/>
      <c r="H66" s="52"/>
      <c r="I66" s="55"/>
      <c r="J66" s="52"/>
      <c r="K66" s="52"/>
      <c r="L66" s="26"/>
      <c r="M66" s="26"/>
      <c r="N66" s="26"/>
      <c r="O66" s="26"/>
      <c r="P66" s="26"/>
      <c r="Q66" s="26"/>
      <c r="R66" s="26"/>
      <c r="S66" s="26"/>
      <c r="T66" s="26"/>
      <c r="U66" s="26"/>
      <c r="V66" s="26"/>
      <c r="W66" s="26"/>
      <c r="X66" s="26"/>
      <c r="Y66" s="26"/>
      <c r="Z66" s="26"/>
      <c r="AA66" s="26"/>
    </row>
    <row r="67" spans="1:34">
      <c r="B67" s="48" t="s">
        <v>1930</v>
      </c>
      <c r="C67" s="25"/>
      <c r="D67" s="26"/>
      <c r="E67" s="26"/>
      <c r="F67" s="26"/>
      <c r="G67" s="26"/>
      <c r="H67" s="26"/>
      <c r="I67" s="26"/>
      <c r="J67" s="26"/>
      <c r="K67" s="26"/>
      <c r="L67" s="26"/>
      <c r="M67" s="26"/>
      <c r="N67" s="26"/>
      <c r="O67" s="26"/>
      <c r="P67" s="26"/>
      <c r="Q67" s="26"/>
      <c r="R67" s="26"/>
      <c r="S67" s="26"/>
      <c r="T67" s="26"/>
      <c r="U67" s="26"/>
      <c r="V67" s="26"/>
      <c r="W67" s="26"/>
      <c r="X67" s="26"/>
      <c r="Y67" s="26"/>
      <c r="Z67" s="26"/>
      <c r="AA67" s="26"/>
      <c r="AB67" s="8" t="s">
        <v>1968</v>
      </c>
    </row>
    <row r="68" spans="1:34">
      <c r="A68" s="188" t="str">
        <f>Quarts!C134</f>
        <v>2/4</v>
      </c>
      <c r="B68" s="50" t="str">
        <f t="shared" ref="B68:B75" si="94">B48</f>
        <v>Ghana</v>
      </c>
      <c r="C68" s="54">
        <v>0.25</v>
      </c>
      <c r="D68" s="54">
        <v>0.25</v>
      </c>
      <c r="E68" s="54">
        <v>0.25</v>
      </c>
      <c r="F68" s="53">
        <f t="shared" ref="F68:G73" si="95">F48/F37</f>
        <v>0.16417510821544914</v>
      </c>
      <c r="G68" s="53">
        <f t="shared" si="95"/>
        <v>0.27815804392582782</v>
      </c>
      <c r="H68" s="265">
        <v>0.28999999999999998</v>
      </c>
      <c r="I68" s="265">
        <v>0.28000000000000003</v>
      </c>
      <c r="J68" s="265">
        <v>0.25</v>
      </c>
      <c r="K68" s="265">
        <v>0.252</v>
      </c>
      <c r="L68" s="265">
        <v>0.21299999999999999</v>
      </c>
      <c r="M68" s="265">
        <v>0.17199999999999999</v>
      </c>
      <c r="N68" s="265">
        <v>0.17599999999999999</v>
      </c>
      <c r="O68" s="265">
        <v>0.18</v>
      </c>
      <c r="P68" s="68">
        <f t="shared" ref="P68:AA68" si="96">O68</f>
        <v>0.18</v>
      </c>
      <c r="Q68" s="68">
        <f t="shared" si="96"/>
        <v>0.18</v>
      </c>
      <c r="R68" s="68">
        <f t="shared" si="96"/>
        <v>0.18</v>
      </c>
      <c r="S68" s="68">
        <f t="shared" si="96"/>
        <v>0.18</v>
      </c>
      <c r="T68" s="68">
        <f t="shared" si="96"/>
        <v>0.18</v>
      </c>
      <c r="U68" s="68">
        <f t="shared" si="96"/>
        <v>0.18</v>
      </c>
      <c r="V68" s="68">
        <f t="shared" si="96"/>
        <v>0.18</v>
      </c>
      <c r="W68" s="68">
        <f t="shared" si="96"/>
        <v>0.18</v>
      </c>
      <c r="X68" s="68">
        <f t="shared" si="96"/>
        <v>0.18</v>
      </c>
      <c r="Y68" s="68">
        <f t="shared" si="96"/>
        <v>0.18</v>
      </c>
      <c r="Z68" s="68">
        <f t="shared" si="96"/>
        <v>0.18</v>
      </c>
      <c r="AA68" s="68">
        <f t="shared" si="96"/>
        <v>0.18</v>
      </c>
      <c r="AB68" s="36">
        <v>0.27</v>
      </c>
    </row>
    <row r="69" spans="1:34">
      <c r="A69" s="188" t="str">
        <f>Quarts!C135</f>
        <v>2/2</v>
      </c>
      <c r="B69" s="50" t="str">
        <f t="shared" si="94"/>
        <v>Mauritius</v>
      </c>
      <c r="C69" s="54">
        <v>0.3</v>
      </c>
      <c r="D69" s="54">
        <v>0.3</v>
      </c>
      <c r="E69" s="54">
        <v>0.3</v>
      </c>
      <c r="F69" s="53">
        <f t="shared" si="95"/>
        <v>0.36463487037403519</v>
      </c>
      <c r="G69" s="53">
        <f t="shared" si="95"/>
        <v>0.36586206444680319</v>
      </c>
      <c r="H69" s="265">
        <v>0.42</v>
      </c>
      <c r="I69" s="265">
        <v>0.43</v>
      </c>
      <c r="J69" s="265">
        <v>0.43</v>
      </c>
      <c r="K69" s="265">
        <v>0.42599999999999999</v>
      </c>
      <c r="L69" s="265">
        <v>0.41499999999999998</v>
      </c>
      <c r="M69" s="265">
        <v>0.41799999999999998</v>
      </c>
      <c r="N69" s="265">
        <v>0.41</v>
      </c>
      <c r="O69" s="68">
        <v>0.42</v>
      </c>
      <c r="P69" s="68">
        <v>0.42</v>
      </c>
      <c r="Q69" s="68">
        <v>0.42</v>
      </c>
      <c r="R69" s="68">
        <v>0.42</v>
      </c>
      <c r="S69" s="68">
        <v>0.42</v>
      </c>
      <c r="T69" s="68">
        <v>0.42</v>
      </c>
      <c r="U69" s="68">
        <v>0.42</v>
      </c>
      <c r="V69" s="68">
        <v>0.42</v>
      </c>
      <c r="W69" s="68">
        <v>0.42</v>
      </c>
      <c r="X69" s="68">
        <v>0.42</v>
      </c>
      <c r="Y69" s="68">
        <v>0.42</v>
      </c>
      <c r="Z69" s="68">
        <v>0.42</v>
      </c>
      <c r="AA69" s="68">
        <v>0.42</v>
      </c>
      <c r="AB69" s="36">
        <v>0.3</v>
      </c>
    </row>
    <row r="70" spans="1:34">
      <c r="A70" s="188" t="str">
        <f>Quarts!C136</f>
        <v>2/2</v>
      </c>
      <c r="B70" s="50" t="str">
        <f t="shared" si="94"/>
        <v>Senegal</v>
      </c>
      <c r="C70" s="54">
        <v>0.3</v>
      </c>
      <c r="D70" s="54">
        <v>0.3</v>
      </c>
      <c r="E70" s="54">
        <v>0.3</v>
      </c>
      <c r="F70" s="53">
        <f t="shared" si="95"/>
        <v>0.40227622477542163</v>
      </c>
      <c r="G70" s="53">
        <f t="shared" si="95"/>
        <v>0.32474372377343147</v>
      </c>
      <c r="H70" s="265">
        <v>0.31</v>
      </c>
      <c r="I70" s="265">
        <v>0.36</v>
      </c>
      <c r="J70" s="265">
        <v>0.36</v>
      </c>
      <c r="K70" s="265">
        <v>0.32700000000000001</v>
      </c>
      <c r="L70" s="265">
        <v>0.29899999999999999</v>
      </c>
      <c r="M70" s="265">
        <v>0.31</v>
      </c>
      <c r="N70" s="265">
        <v>0.29399999999999998</v>
      </c>
      <c r="O70" s="265">
        <v>0.3</v>
      </c>
      <c r="P70" s="68">
        <v>0.3</v>
      </c>
      <c r="Q70" s="68">
        <v>0.3</v>
      </c>
      <c r="R70" s="68">
        <v>0.3</v>
      </c>
      <c r="S70" s="68">
        <v>0.3</v>
      </c>
      <c r="T70" s="68">
        <v>0.3</v>
      </c>
      <c r="U70" s="68">
        <v>0.3</v>
      </c>
      <c r="V70" s="68">
        <v>0.3</v>
      </c>
      <c r="W70" s="68">
        <v>0.3</v>
      </c>
      <c r="X70" s="68">
        <v>0.3</v>
      </c>
      <c r="Y70" s="68">
        <v>0.3</v>
      </c>
      <c r="Z70" s="68">
        <v>0.3</v>
      </c>
      <c r="AA70" s="68">
        <v>0.3</v>
      </c>
      <c r="AB70" s="36">
        <v>0.39</v>
      </c>
    </row>
    <row r="71" spans="1:34">
      <c r="A71" s="188" t="str">
        <f>Quarts!C138</f>
        <v>3/4</v>
      </c>
      <c r="B71" s="50" t="str">
        <f t="shared" si="94"/>
        <v>Tanzania</v>
      </c>
      <c r="C71" s="54">
        <v>0.15</v>
      </c>
      <c r="D71" s="54">
        <v>0.15</v>
      </c>
      <c r="E71" s="54">
        <v>0.15</v>
      </c>
      <c r="F71" s="53">
        <f t="shared" si="95"/>
        <v>0.16046548523206752</v>
      </c>
      <c r="G71" s="53">
        <f t="shared" si="95"/>
        <v>0.21465964745976934</v>
      </c>
      <c r="H71" s="265">
        <v>0.16</v>
      </c>
      <c r="I71" s="265">
        <v>0.26</v>
      </c>
      <c r="J71" s="265">
        <v>0.32</v>
      </c>
      <c r="K71" s="265">
        <v>0.33600000000000002</v>
      </c>
      <c r="L71" s="265">
        <v>0.313</v>
      </c>
      <c r="M71" s="265">
        <v>0.317</v>
      </c>
      <c r="N71" s="265">
        <v>0.28799999999999998</v>
      </c>
      <c r="O71" s="265">
        <v>0.3</v>
      </c>
      <c r="P71" s="68">
        <v>0.37</v>
      </c>
      <c r="Q71" s="68">
        <v>0.37</v>
      </c>
      <c r="R71" s="68">
        <v>0.37</v>
      </c>
      <c r="S71" s="68">
        <v>0.37</v>
      </c>
      <c r="T71" s="68">
        <v>0.37</v>
      </c>
      <c r="U71" s="68">
        <v>0.37</v>
      </c>
      <c r="V71" s="68">
        <v>0.37</v>
      </c>
      <c r="W71" s="68">
        <v>0.37</v>
      </c>
      <c r="X71" s="68">
        <v>0.37</v>
      </c>
      <c r="Y71" s="68">
        <v>0.37</v>
      </c>
      <c r="Z71" s="68">
        <v>0.37</v>
      </c>
      <c r="AA71" s="68">
        <v>0.37</v>
      </c>
      <c r="AB71" s="36">
        <v>0.19</v>
      </c>
    </row>
    <row r="72" spans="1:34">
      <c r="A72" s="188" t="str">
        <f>Quarts!C139</f>
        <v>2/2</v>
      </c>
      <c r="B72" s="50" t="str">
        <f t="shared" si="94"/>
        <v>Chad</v>
      </c>
      <c r="C72" s="59"/>
      <c r="D72" s="59"/>
      <c r="E72" s="59"/>
      <c r="F72" s="53">
        <f t="shared" si="95"/>
        <v>0.269624603662865</v>
      </c>
      <c r="G72" s="53">
        <f t="shared" si="95"/>
        <v>0.37770584665183082</v>
      </c>
      <c r="H72" s="265">
        <v>0.45</v>
      </c>
      <c r="I72" s="265">
        <v>0.45</v>
      </c>
      <c r="J72" s="265">
        <v>0.5</v>
      </c>
      <c r="K72" s="265">
        <v>0.56899999999999995</v>
      </c>
      <c r="L72" s="265">
        <v>0.57499999999999996</v>
      </c>
      <c r="M72" s="265">
        <v>0.55400000000000005</v>
      </c>
      <c r="N72" s="265">
        <v>0.52600000000000002</v>
      </c>
      <c r="O72" s="265">
        <v>0.53</v>
      </c>
      <c r="P72" s="68">
        <v>0.52</v>
      </c>
      <c r="Q72" s="68">
        <v>0.52</v>
      </c>
      <c r="R72" s="68">
        <v>0.52</v>
      </c>
      <c r="S72" s="68">
        <v>0.52</v>
      </c>
      <c r="T72" s="68">
        <v>0.52</v>
      </c>
      <c r="U72" s="68">
        <v>0.52</v>
      </c>
      <c r="V72" s="68">
        <v>0.52</v>
      </c>
      <c r="W72" s="68">
        <v>0.52</v>
      </c>
      <c r="X72" s="68">
        <v>0.52</v>
      </c>
      <c r="Y72" s="68">
        <v>0.52</v>
      </c>
      <c r="Z72" s="68">
        <v>0.52</v>
      </c>
      <c r="AA72" s="68">
        <v>0.52</v>
      </c>
      <c r="AB72" s="36">
        <v>0.36</v>
      </c>
    </row>
    <row r="73" spans="1:34">
      <c r="A73" s="188" t="str">
        <f>Quarts!C140</f>
        <v>4/4</v>
      </c>
      <c r="B73" s="50" t="str">
        <f t="shared" si="94"/>
        <v>Dem. Rep. Congo</v>
      </c>
      <c r="C73" s="59"/>
      <c r="D73" s="59"/>
      <c r="E73" s="59"/>
      <c r="F73" s="53">
        <f t="shared" si="95"/>
        <v>2.0590012971049433E-2</v>
      </c>
      <c r="G73" s="53">
        <f t="shared" si="95"/>
        <v>1.5311169242000242E-2</v>
      </c>
      <c r="H73" s="265">
        <v>0.14000000000000001</v>
      </c>
      <c r="I73" s="265">
        <v>0.18</v>
      </c>
      <c r="J73" s="265">
        <v>0.26</v>
      </c>
      <c r="K73" s="265">
        <v>0.39400000000000002</v>
      </c>
      <c r="L73" s="265">
        <v>0.34899999999999998</v>
      </c>
      <c r="M73" s="265">
        <v>0.34799999999999998</v>
      </c>
      <c r="N73" s="265">
        <v>0.312</v>
      </c>
      <c r="O73" s="265">
        <v>0.31</v>
      </c>
      <c r="P73" s="68">
        <v>0.3</v>
      </c>
      <c r="Q73" s="68">
        <v>0.3</v>
      </c>
      <c r="R73" s="68">
        <v>0.3</v>
      </c>
      <c r="S73" s="68">
        <v>0.3</v>
      </c>
      <c r="T73" s="68">
        <v>0.3</v>
      </c>
      <c r="U73" s="68">
        <v>0.3</v>
      </c>
      <c r="V73" s="68">
        <v>0.3</v>
      </c>
      <c r="W73" s="68">
        <v>0.3</v>
      </c>
      <c r="X73" s="68">
        <v>0.3</v>
      </c>
      <c r="Y73" s="68">
        <v>0.3</v>
      </c>
      <c r="Z73" s="68">
        <v>0.3</v>
      </c>
      <c r="AA73" s="68">
        <v>0.3</v>
      </c>
      <c r="AB73" s="36">
        <v>0.02</v>
      </c>
    </row>
    <row r="74" spans="1:34">
      <c r="A74" s="188"/>
      <c r="B74" s="57" t="str">
        <f t="shared" si="94"/>
        <v>Rwanda</v>
      </c>
      <c r="C74" s="60"/>
      <c r="D74" s="60"/>
      <c r="E74" s="60"/>
      <c r="F74" s="62"/>
      <c r="G74" s="62"/>
      <c r="H74" s="62"/>
      <c r="I74" s="100"/>
      <c r="J74" s="100"/>
      <c r="K74" s="100"/>
      <c r="L74" s="414">
        <v>0.34499999999999997</v>
      </c>
      <c r="M74" s="414">
        <v>0.379</v>
      </c>
      <c r="N74" s="414">
        <v>0.38100000000000001</v>
      </c>
      <c r="O74" s="414">
        <v>0.43</v>
      </c>
      <c r="P74" s="100">
        <f t="shared" ref="P74:AA74" si="97">O74</f>
        <v>0.43</v>
      </c>
      <c r="Q74" s="100">
        <f t="shared" si="97"/>
        <v>0.43</v>
      </c>
      <c r="R74" s="100">
        <f t="shared" si="97"/>
        <v>0.43</v>
      </c>
      <c r="S74" s="100">
        <f t="shared" si="97"/>
        <v>0.43</v>
      </c>
      <c r="T74" s="100">
        <f t="shared" si="97"/>
        <v>0.43</v>
      </c>
      <c r="U74" s="100">
        <f t="shared" si="97"/>
        <v>0.43</v>
      </c>
      <c r="V74" s="100">
        <f t="shared" si="97"/>
        <v>0.43</v>
      </c>
      <c r="W74" s="100">
        <f t="shared" si="97"/>
        <v>0.43</v>
      </c>
      <c r="X74" s="100">
        <f t="shared" si="97"/>
        <v>0.43</v>
      </c>
      <c r="Y74" s="100">
        <f t="shared" si="97"/>
        <v>0.43</v>
      </c>
      <c r="Z74" s="100">
        <f t="shared" si="97"/>
        <v>0.43</v>
      </c>
      <c r="AA74" s="100">
        <f t="shared" si="97"/>
        <v>0.43</v>
      </c>
      <c r="AB74" s="36"/>
    </row>
    <row r="75" spans="1:34">
      <c r="B75" s="50" t="str">
        <f t="shared" si="94"/>
        <v>Africa</v>
      </c>
      <c r="C75" s="25"/>
      <c r="D75" s="53">
        <f t="shared" ref="D75:P75" si="98">D55/D44</f>
        <v>0.22979120714465717</v>
      </c>
      <c r="E75" s="53">
        <f t="shared" si="98"/>
        <v>0.2256664408815445</v>
      </c>
      <c r="F75" s="53">
        <f t="shared" si="98"/>
        <v>0.24734724772220429</v>
      </c>
      <c r="G75" s="53">
        <f t="shared" si="98"/>
        <v>0.22258787077421008</v>
      </c>
      <c r="H75" s="53">
        <f t="shared" si="98"/>
        <v>0.236706015889772</v>
      </c>
      <c r="I75" s="53">
        <f t="shared" si="98"/>
        <v>0.28013088993534263</v>
      </c>
      <c r="J75" s="53">
        <f t="shared" si="98"/>
        <v>0.30721002638366651</v>
      </c>
      <c r="K75" s="53">
        <f t="shared" si="98"/>
        <v>0.34315355179470719</v>
      </c>
      <c r="L75" s="53">
        <f t="shared" si="98"/>
        <v>0.32550669830192352</v>
      </c>
      <c r="M75" s="53">
        <f t="shared" si="98"/>
        <v>0.31756343220246341</v>
      </c>
      <c r="N75" s="53">
        <f t="shared" si="98"/>
        <v>0.30237195039520537</v>
      </c>
      <c r="O75" s="53">
        <f t="shared" si="98"/>
        <v>0.31622951444085634</v>
      </c>
      <c r="P75" s="53">
        <f t="shared" si="98"/>
        <v>0.34019516135727235</v>
      </c>
      <c r="Q75" s="53">
        <f t="shared" ref="Q75:Z75" ca="1" si="99">Q55/Q44</f>
        <v>0.317934702154062</v>
      </c>
      <c r="R75" s="53">
        <f t="shared" ca="1" si="99"/>
        <v>0.32034369382376798</v>
      </c>
      <c r="S75" s="53">
        <f t="shared" ca="1" si="99"/>
        <v>0.32251453013600667</v>
      </c>
      <c r="T75" s="53">
        <f t="shared" ca="1" si="99"/>
        <v>0.32448104471164996</v>
      </c>
      <c r="U75" s="53">
        <f t="shared" ca="1" si="99"/>
        <v>0.32627096035515402</v>
      </c>
      <c r="V75" s="53">
        <f t="shared" ca="1" si="99"/>
        <v>0.32790720906241677</v>
      </c>
      <c r="W75" s="53">
        <f t="shared" ca="1" si="99"/>
        <v>0.32940892403380811</v>
      </c>
      <c r="X75" s="53">
        <f t="shared" ca="1" si="99"/>
        <v>0.33079219499455675</v>
      </c>
      <c r="Y75" s="53">
        <f t="shared" ca="1" si="99"/>
        <v>0.332070650189494</v>
      </c>
      <c r="Z75" s="53">
        <f t="shared" ca="1" si="99"/>
        <v>0.3332559097453226</v>
      </c>
      <c r="AA75" s="53">
        <f t="shared" ref="AA75" ca="1" si="100">AA55/AA44</f>
        <v>0.33435794239073602</v>
      </c>
      <c r="AB75" s="5"/>
      <c r="AC75" s="5"/>
      <c r="AD75" s="5"/>
      <c r="AE75" s="21"/>
      <c r="AF75" s="21"/>
      <c r="AG75" s="21"/>
      <c r="AH75" s="21"/>
    </row>
    <row r="76" spans="1:34">
      <c r="B76" s="407" t="str">
        <f>B45</f>
        <v>Kinshasa Bas-Congo (Kivu from 2013)</v>
      </c>
      <c r="C76" s="25"/>
      <c r="D76" s="55"/>
      <c r="E76" s="55"/>
      <c r="F76" s="55"/>
      <c r="G76" s="55"/>
      <c r="H76" s="55"/>
      <c r="I76" s="55"/>
      <c r="J76" s="412">
        <f>J53/J45</f>
        <v>0.38743589743589746</v>
      </c>
      <c r="K76" s="412">
        <f t="shared" ref="K76:P76" si="101">K53/K45</f>
        <v>3.0016223619329385</v>
      </c>
      <c r="L76" s="412">
        <f t="shared" si="101"/>
        <v>3.2243607495069035</v>
      </c>
      <c r="M76" s="412">
        <f t="shared" si="101"/>
        <v>3.9346350591715966</v>
      </c>
      <c r="N76" s="412">
        <f t="shared" si="101"/>
        <v>2.1793269230769226</v>
      </c>
      <c r="O76" s="412">
        <f t="shared" si="101"/>
        <v>2.3385854289940826</v>
      </c>
      <c r="P76" s="412">
        <f t="shared" si="101"/>
        <v>2.154879345414201</v>
      </c>
      <c r="Q76" s="412">
        <f t="shared" ref="Q76:Z76" si="102">Q53/Q45</f>
        <v>1.9775373931623934</v>
      </c>
      <c r="R76" s="412">
        <f t="shared" si="102"/>
        <v>1.80772374260355</v>
      </c>
      <c r="S76" s="412">
        <f t="shared" si="102"/>
        <v>1.6687853012372242</v>
      </c>
      <c r="T76" s="412">
        <f t="shared" si="102"/>
        <v>1.553003266765286</v>
      </c>
      <c r="U76" s="412">
        <f t="shared" si="102"/>
        <v>1.455033852981338</v>
      </c>
      <c r="V76" s="412">
        <f t="shared" si="102"/>
        <v>1.3710600697379542</v>
      </c>
      <c r="W76" s="412">
        <f t="shared" si="102"/>
        <v>1.2982827909270216</v>
      </c>
      <c r="X76" s="412">
        <f t="shared" si="102"/>
        <v>1.2346026719674554</v>
      </c>
      <c r="Y76" s="412">
        <f t="shared" si="102"/>
        <v>1.1784143317090148</v>
      </c>
      <c r="Z76" s="412">
        <f t="shared" si="102"/>
        <v>1.1284691403681786</v>
      </c>
      <c r="AA76" s="412">
        <f t="shared" ref="AA76" si="103">AA53/AA45</f>
        <v>1.0837813375895358</v>
      </c>
      <c r="AB76" s="21"/>
      <c r="AC76" s="21"/>
      <c r="AD76" s="21"/>
      <c r="AE76" s="21"/>
      <c r="AF76" s="21"/>
      <c r="AG76" s="21"/>
      <c r="AH76" s="21"/>
    </row>
    <row r="77" spans="1:34">
      <c r="B77" s="48"/>
      <c r="C77" s="25"/>
      <c r="D77" s="26"/>
      <c r="E77" s="26"/>
      <c r="F77" s="52"/>
      <c r="G77" s="26" t="s">
        <v>1823</v>
      </c>
      <c r="H77" s="26"/>
      <c r="I77" s="55"/>
      <c r="J77" s="26"/>
      <c r="K77" s="26"/>
      <c r="L77" s="26"/>
      <c r="M77" s="536"/>
      <c r="N77" s="536"/>
      <c r="O77" s="536"/>
      <c r="P77" s="536"/>
      <c r="Q77" s="536"/>
      <c r="R77" s="536"/>
      <c r="S77" s="536"/>
      <c r="T77" s="536"/>
      <c r="U77" s="536"/>
      <c r="V77" s="536"/>
      <c r="W77" s="536"/>
      <c r="X77" s="536"/>
      <c r="Y77" s="536"/>
      <c r="Z77" s="536"/>
      <c r="AA77" s="536"/>
      <c r="AB77" s="21"/>
      <c r="AC77" s="21"/>
      <c r="AD77" s="21"/>
      <c r="AE77" s="21"/>
      <c r="AF77" s="21"/>
      <c r="AG77" s="21"/>
      <c r="AH77" s="21"/>
    </row>
    <row r="78" spans="1:34">
      <c r="B78" s="48" t="s">
        <v>1194</v>
      </c>
      <c r="C78" s="25"/>
      <c r="D78" s="26"/>
      <c r="E78" s="26"/>
      <c r="F78" s="52"/>
      <c r="G78" s="26"/>
      <c r="H78" s="26"/>
      <c r="I78" s="55"/>
      <c r="J78" s="26"/>
      <c r="K78" s="26"/>
      <c r="L78" s="71">
        <f>(SUM(Newquarts!B99:E99))</f>
        <v>952.81629004821718</v>
      </c>
      <c r="M78" s="71">
        <f>(SUM(Newquarts!G99:J99))</f>
        <v>884.32888092705889</v>
      </c>
      <c r="N78" s="71">
        <f>(SUM(Newquarts!L99:O99))</f>
        <v>881.64332870409862</v>
      </c>
      <c r="O78" s="71">
        <f>(SUM(Newquarts!Q99:T99))</f>
        <v>893.78290122092767</v>
      </c>
      <c r="P78" s="71">
        <f>(SUM(Newquarts!V99:Y99))</f>
        <v>862.16189990467103</v>
      </c>
      <c r="Q78" s="72">
        <f t="shared" ref="Q78:AA78" ca="1" si="104">Q86*AVERAGE(P55:Q55)*12/1000</f>
        <v>769.88751127523062</v>
      </c>
      <c r="R78" s="72">
        <f t="shared" ca="1" si="104"/>
        <v>813.06070907901972</v>
      </c>
      <c r="S78" s="72">
        <f t="shared" ca="1" si="104"/>
        <v>888.84625025538628</v>
      </c>
      <c r="T78" s="72">
        <f t="shared" ca="1" si="104"/>
        <v>949.48717061595903</v>
      </c>
      <c r="U78" s="72">
        <f t="shared" ca="1" si="104"/>
        <v>1011.2623165907618</v>
      </c>
      <c r="V78" s="72">
        <f t="shared" ca="1" si="104"/>
        <v>1074.1895867113433</v>
      </c>
      <c r="W78" s="72">
        <f t="shared" ca="1" si="104"/>
        <v>1138.2871497870144</v>
      </c>
      <c r="X78" s="72">
        <f t="shared" ca="1" si="104"/>
        <v>1203.5734489598199</v>
      </c>
      <c r="Y78" s="72">
        <f t="shared" ca="1" si="104"/>
        <v>1270.067205820751</v>
      </c>
      <c r="Z78" s="72">
        <f t="shared" ca="1" si="104"/>
        <v>1337.7874245881258</v>
      </c>
      <c r="AA78" s="72">
        <f t="shared" ca="1" si="104"/>
        <v>1406.753396349086</v>
      </c>
      <c r="AB78" s="21"/>
      <c r="AC78" s="21"/>
      <c r="AD78" s="21"/>
      <c r="AE78" s="21"/>
      <c r="AF78" s="21"/>
      <c r="AG78" s="21"/>
      <c r="AH78" s="21"/>
    </row>
    <row r="79" spans="1:34">
      <c r="B79" s="50" t="s">
        <v>1540</v>
      </c>
      <c r="C79" s="25"/>
      <c r="D79" s="26"/>
      <c r="E79" s="26"/>
      <c r="F79" s="52"/>
      <c r="G79" s="26"/>
      <c r="H79" s="26"/>
      <c r="I79" s="55"/>
      <c r="J79" s="26"/>
      <c r="K79" s="26"/>
      <c r="L79" s="702">
        <f>L80-L78</f>
        <v>23.725887290132164</v>
      </c>
      <c r="M79" s="702">
        <f>M80-M78</f>
        <v>21.931893490533525</v>
      </c>
      <c r="N79" s="702">
        <f>N80-N78</f>
        <v>22.859465790922968</v>
      </c>
      <c r="O79" s="702">
        <f>O80-O78</f>
        <v>30.486004753250199</v>
      </c>
      <c r="P79" s="702">
        <f>P80-P78</f>
        <v>34.970335386086276</v>
      </c>
      <c r="Q79" s="702">
        <f t="shared" ref="Q79:AA79" si="105">P79*1.1</f>
        <v>38.46736892469491</v>
      </c>
      <c r="R79" s="702">
        <f t="shared" si="105"/>
        <v>42.314105817164403</v>
      </c>
      <c r="S79" s="702">
        <f t="shared" si="105"/>
        <v>46.545516398880849</v>
      </c>
      <c r="T79" s="702">
        <f t="shared" si="105"/>
        <v>51.20006803876894</v>
      </c>
      <c r="U79" s="702">
        <f t="shared" si="105"/>
        <v>56.320074842645838</v>
      </c>
      <c r="V79" s="702">
        <f t="shared" si="105"/>
        <v>61.952082326910428</v>
      </c>
      <c r="W79" s="702">
        <f t="shared" si="105"/>
        <v>68.147290559601473</v>
      </c>
      <c r="X79" s="702">
        <f t="shared" si="105"/>
        <v>74.96201961556163</v>
      </c>
      <c r="Y79" s="702">
        <f t="shared" si="105"/>
        <v>82.458221577117797</v>
      </c>
      <c r="Z79" s="702">
        <f t="shared" si="105"/>
        <v>90.704043734829582</v>
      </c>
      <c r="AA79" s="702">
        <f t="shared" si="105"/>
        <v>99.774448108312555</v>
      </c>
      <c r="AB79" s="21"/>
      <c r="AC79" s="21"/>
      <c r="AD79" s="21"/>
      <c r="AE79" s="21"/>
      <c r="AF79" s="21"/>
      <c r="AG79" s="21"/>
      <c r="AH79" s="21"/>
    </row>
    <row r="80" spans="1:34">
      <c r="B80" s="48" t="s">
        <v>4045</v>
      </c>
      <c r="C80" s="71"/>
      <c r="D80" s="71">
        <f>SUM(Quarts!G239:J239)</f>
        <v>84.858000000000004</v>
      </c>
      <c r="E80" s="71">
        <f>SUM(Quarts!K239:N239)</f>
        <v>149.97899999999998</v>
      </c>
      <c r="F80" s="71">
        <f>SUM(Quarts!O239:R239)</f>
        <v>204.39699999999999</v>
      </c>
      <c r="G80" s="71">
        <f>SUM(Quarts!S239:V239)</f>
        <v>312.10500000000002</v>
      </c>
      <c r="H80" s="71">
        <f>SUM(Quarts!X239:AA239)</f>
        <v>476.87</v>
      </c>
      <c r="I80" s="71">
        <f>SUM(Quarts!AC239:AF239)</f>
        <v>711</v>
      </c>
      <c r="J80" s="71">
        <f>SUM(Quarts!AH239:AK239)</f>
        <v>781.5</v>
      </c>
      <c r="K80" s="71">
        <f>SUM(Quarts!AM239:AP239)</f>
        <v>909.14187722222471</v>
      </c>
      <c r="L80" s="71">
        <f>(SUM(Newquarts!B99:E99)+SUM(Newquarts!B127:E127))</f>
        <v>976.54217733834935</v>
      </c>
      <c r="M80" s="71">
        <f>(SUM(Newquarts!G99:J99)+SUM(Newquarts!G127:J127))</f>
        <v>906.26077441759242</v>
      </c>
      <c r="N80" s="71">
        <f>(SUM(Newquarts!L99:O99)+SUM(Newquarts!L127:O127))</f>
        <v>904.50279449502159</v>
      </c>
      <c r="O80" s="71">
        <f>(SUM(Newquarts!Q99:T99)+SUM(Newquarts!Q127:T127))</f>
        <v>924.26890597417787</v>
      </c>
      <c r="P80" s="71">
        <f>(SUM(Newquarts!V99:Y99)+SUM(Newquarts!V127:Y127))</f>
        <v>897.13223529075731</v>
      </c>
      <c r="Q80" s="72">
        <f t="shared" ref="Q80:Z80" ca="1" si="106">Q78+Q79</f>
        <v>808.35488019992556</v>
      </c>
      <c r="R80" s="72">
        <f t="shared" ca="1" si="106"/>
        <v>855.37481489618415</v>
      </c>
      <c r="S80" s="72">
        <f t="shared" ca="1" si="106"/>
        <v>935.39176665426714</v>
      </c>
      <c r="T80" s="72">
        <f t="shared" ca="1" si="106"/>
        <v>1000.6872386547279</v>
      </c>
      <c r="U80" s="72">
        <f t="shared" ca="1" si="106"/>
        <v>1067.5823914334076</v>
      </c>
      <c r="V80" s="72">
        <f t="shared" ca="1" si="106"/>
        <v>1136.1416690382537</v>
      </c>
      <c r="W80" s="72">
        <f t="shared" ca="1" si="106"/>
        <v>1206.4344403466159</v>
      </c>
      <c r="X80" s="72">
        <f t="shared" ca="1" si="106"/>
        <v>1278.5354685753814</v>
      </c>
      <c r="Y80" s="72">
        <f t="shared" ca="1" si="106"/>
        <v>1352.525427397869</v>
      </c>
      <c r="Z80" s="72">
        <f t="shared" ca="1" si="106"/>
        <v>1428.4914683229554</v>
      </c>
      <c r="AA80" s="72">
        <f t="shared" ref="AA80" ca="1" si="107">AA78+AA79</f>
        <v>1506.5278444573985</v>
      </c>
      <c r="AB80" s="72"/>
      <c r="AC80" s="72"/>
      <c r="AD80" s="72"/>
      <c r="AE80" s="21"/>
      <c r="AF80" s="72"/>
      <c r="AG80" s="72"/>
      <c r="AH80" s="72"/>
    </row>
    <row r="81" spans="2:38">
      <c r="B81" s="50" t="s">
        <v>2353</v>
      </c>
      <c r="C81" s="4"/>
      <c r="D81" s="4"/>
      <c r="E81" s="36">
        <f t="shared" ref="E81:M81" si="108">E80/D80-1</f>
        <v>0.76741144028848174</v>
      </c>
      <c r="F81" s="36">
        <f t="shared" si="108"/>
        <v>0.36283746391161431</v>
      </c>
      <c r="G81" s="36">
        <f t="shared" si="108"/>
        <v>0.52695489659828687</v>
      </c>
      <c r="H81" s="36">
        <f t="shared" si="108"/>
        <v>0.52791528492013895</v>
      </c>
      <c r="I81" s="36">
        <f t="shared" si="108"/>
        <v>0.4909723824103005</v>
      </c>
      <c r="J81" s="36">
        <f t="shared" si="108"/>
        <v>9.9156118143459926E-2</v>
      </c>
      <c r="K81" s="36">
        <f t="shared" si="108"/>
        <v>0.1633293374564615</v>
      </c>
      <c r="L81" s="36">
        <f t="shared" si="108"/>
        <v>7.4136173687277873E-2</v>
      </c>
      <c r="M81" s="36">
        <f t="shared" si="108"/>
        <v>-7.1969654308547182E-2</v>
      </c>
      <c r="N81" s="36">
        <f t="shared" ref="N81:AA81" si="109">N80/M80-1</f>
        <v>-1.9398168520541326E-3</v>
      </c>
      <c r="O81" s="36">
        <f t="shared" si="109"/>
        <v>2.1853013168623203E-2</v>
      </c>
      <c r="P81" s="36">
        <f t="shared" si="109"/>
        <v>-2.9360146714898505E-2</v>
      </c>
      <c r="Q81" s="36">
        <f t="shared" ca="1" si="109"/>
        <v>-9.8956822192504679E-2</v>
      </c>
      <c r="R81" s="36">
        <f t="shared" ca="1" si="109"/>
        <v>5.8167440870313669E-2</v>
      </c>
      <c r="S81" s="36">
        <f t="shared" ca="1" si="109"/>
        <v>9.3546069354163208E-2</v>
      </c>
      <c r="T81" s="36">
        <f t="shared" ca="1" si="109"/>
        <v>6.9805480792300756E-2</v>
      </c>
      <c r="U81" s="36">
        <f t="shared" ca="1" si="109"/>
        <v>6.6849211416556198E-2</v>
      </c>
      <c r="V81" s="36">
        <f t="shared" ca="1" si="109"/>
        <v>6.4219191094744277E-2</v>
      </c>
      <c r="W81" s="36">
        <f t="shared" ca="1" si="109"/>
        <v>6.1869723841627255E-2</v>
      </c>
      <c r="X81" s="36">
        <f t="shared" ca="1" si="109"/>
        <v>5.9763735033998566E-2</v>
      </c>
      <c r="Y81" s="36">
        <f t="shared" ca="1" si="109"/>
        <v>5.7870869163239913E-2</v>
      </c>
      <c r="Z81" s="36">
        <f t="shared" ca="1" si="109"/>
        <v>5.6166072286890634E-2</v>
      </c>
      <c r="AA81" s="36">
        <f t="shared" ca="1" si="109"/>
        <v>5.4628520971187644E-2</v>
      </c>
      <c r="AB81" s="21"/>
      <c r="AC81" s="21"/>
      <c r="AD81" s="21"/>
      <c r="AE81" s="21"/>
      <c r="AF81" s="21"/>
      <c r="AG81" s="21"/>
      <c r="AH81" s="21"/>
    </row>
    <row r="82" spans="2:38">
      <c r="B82" s="50" t="s">
        <v>34</v>
      </c>
      <c r="C82" s="4"/>
      <c r="D82" s="4"/>
      <c r="E82" s="36"/>
      <c r="F82" s="36"/>
      <c r="G82" s="36"/>
      <c r="H82" s="36"/>
      <c r="I82" s="36"/>
      <c r="J82" s="36"/>
      <c r="K82" s="52">
        <f>K96+K90*(K145/J145)+K91*(K146/J146)+K92*(K147/J147)+K93*(K148/J148)+K94*(K149/J149)+K95</f>
        <v>943.46264385104882</v>
      </c>
      <c r="L82" s="753">
        <f>L96+L90*(L145/K145)+L91*(L146/K146)+L92*(L147/K147)+L93*(L148/K148)+L94*(L149/K149)+L95+L79</f>
        <v>993.94120995360061</v>
      </c>
      <c r="M82" s="753">
        <f>M96+M90*(M145/L145)+M91*(M146/L146)+M92*(M147/L147)+M93*(M148/L148)+M94*(M149/L149)+M95</f>
        <v>981.94529397144015</v>
      </c>
      <c r="N82" s="753">
        <f t="shared" ref="N82:AA82" si="110">N96+N90*(N145/M145)+N92*(N147/M147)+N93*(N148/M148)+N94*(N149/M149)+N95</f>
        <v>969.34173219284992</v>
      </c>
      <c r="O82" s="753">
        <f t="shared" si="110"/>
        <v>1062.336967926703</v>
      </c>
      <c r="P82" s="753">
        <f t="shared" ca="1" si="110"/>
        <v>1168.9269446826113</v>
      </c>
      <c r="Q82" s="753">
        <f t="shared" ca="1" si="110"/>
        <v>939.60001668198697</v>
      </c>
      <c r="R82" s="753">
        <f t="shared" ca="1" si="110"/>
        <v>954.66095078064359</v>
      </c>
      <c r="S82" s="753">
        <f t="shared" ca="1" si="110"/>
        <v>874.47531482803356</v>
      </c>
      <c r="T82" s="753">
        <f t="shared" ca="1" si="110"/>
        <v>969.04820386369522</v>
      </c>
      <c r="U82" s="753">
        <f t="shared" ca="1" si="110"/>
        <v>1048.1991640767544</v>
      </c>
      <c r="V82" s="753">
        <f t="shared" ca="1" si="110"/>
        <v>1134.5848841147686</v>
      </c>
      <c r="W82" s="753">
        <f t="shared" ca="1" si="110"/>
        <v>1228.9036184890626</v>
      </c>
      <c r="X82" s="753">
        <f t="shared" ca="1" si="110"/>
        <v>1331.9227480322807</v>
      </c>
      <c r="Y82" s="753">
        <f t="shared" ca="1" si="110"/>
        <v>1444.4857116274211</v>
      </c>
      <c r="Z82" s="753">
        <f t="shared" ca="1" si="110"/>
        <v>1567.5196382014169</v>
      </c>
      <c r="AA82" s="753">
        <f t="shared" ca="1" si="110"/>
        <v>1702.0437500763576</v>
      </c>
      <c r="AB82" s="21"/>
      <c r="AC82" s="21"/>
      <c r="AD82" s="21"/>
      <c r="AE82" s="21"/>
      <c r="AF82" s="21"/>
      <c r="AG82" s="21"/>
      <c r="AH82" s="21"/>
    </row>
    <row r="83" spans="2:38">
      <c r="B83" s="50" t="s">
        <v>2353</v>
      </c>
      <c r="C83" s="4"/>
      <c r="D83" s="4"/>
      <c r="E83" s="36"/>
      <c r="F83" s="36"/>
      <c r="G83" s="36"/>
      <c r="H83" s="36"/>
      <c r="I83" s="36"/>
      <c r="J83" s="36"/>
      <c r="K83" s="55"/>
      <c r="L83" s="55">
        <f t="shared" ref="L83:Q83" si="111">L82/K80-1</f>
        <v>9.327403660083311E-2</v>
      </c>
      <c r="M83" s="55">
        <f t="shared" si="111"/>
        <v>5.5329065743146E-3</v>
      </c>
      <c r="N83" s="55">
        <f t="shared" si="111"/>
        <v>6.960574655324403E-2</v>
      </c>
      <c r="O83" s="55">
        <f t="shared" si="111"/>
        <v>0.17449827064359624</v>
      </c>
      <c r="P83" s="55">
        <f t="shared" ca="1" si="111"/>
        <v>0.2647043919004981</v>
      </c>
      <c r="Q83" s="55">
        <f t="shared" ca="1" si="111"/>
        <v>4.7337259459265812E-2</v>
      </c>
      <c r="R83" s="55">
        <f ca="1">R82/Q156-1</f>
        <v>7.758266984821538E-2</v>
      </c>
      <c r="S83" s="55">
        <f t="shared" ref="S83:AA83" ca="1" si="112">S82/R156-1</f>
        <v>-6.7628270084843511E-2</v>
      </c>
      <c r="T83" s="55">
        <f t="shared" ca="1" si="112"/>
        <v>9.5906062245305401E-2</v>
      </c>
      <c r="U83" s="55">
        <f t="shared" ca="1" si="112"/>
        <v>9.6709420595522788E-2</v>
      </c>
      <c r="V83" s="55">
        <f t="shared" ca="1" si="112"/>
        <v>9.7495246564938576E-2</v>
      </c>
      <c r="W83" s="55">
        <f t="shared" ca="1" si="112"/>
        <v>9.8262986745584424E-2</v>
      </c>
      <c r="X83" s="55">
        <f t="shared" ca="1" si="112"/>
        <v>9.901217092160719E-2</v>
      </c>
      <c r="Y83" s="55">
        <f t="shared" ca="1" si="112"/>
        <v>9.9742410470539555E-2</v>
      </c>
      <c r="Z83" s="55">
        <f t="shared" ca="1" si="112"/>
        <v>0.10045339616914806</v>
      </c>
      <c r="AA83" s="55">
        <f t="shared" ca="1" si="112"/>
        <v>0.10114489547302474</v>
      </c>
      <c r="AB83" s="21"/>
      <c r="AC83" s="21"/>
      <c r="AD83" s="21"/>
      <c r="AE83" s="21"/>
      <c r="AF83" s="21"/>
      <c r="AG83" s="21"/>
      <c r="AH83" s="21"/>
    </row>
    <row r="84" spans="2:38">
      <c r="B84" s="50" t="s">
        <v>35</v>
      </c>
      <c r="C84" s="4"/>
      <c r="D84" s="4"/>
      <c r="E84" s="36"/>
      <c r="F84" s="36"/>
      <c r="G84" s="36"/>
      <c r="H84" s="36"/>
      <c r="I84" s="36"/>
      <c r="J84" s="36"/>
      <c r="K84" s="55"/>
      <c r="L84" s="55">
        <f>L81-L83</f>
        <v>-1.9137862913555237E-2</v>
      </c>
      <c r="M84" s="55">
        <f>M81-M83</f>
        <v>-7.7502560882861782E-2</v>
      </c>
      <c r="N84" s="55">
        <f t="shared" ref="N84:S84" si="113">N81-N83</f>
        <v>-7.1545563405298163E-2</v>
      </c>
      <c r="O84" s="55">
        <f>O81-O83</f>
        <v>-0.15264525747497304</v>
      </c>
      <c r="P84" s="55">
        <f t="shared" ca="1" si="113"/>
        <v>-0.29406453861539661</v>
      </c>
      <c r="Q84" s="55">
        <f t="shared" ca="1" si="113"/>
        <v>-0.14629408165177049</v>
      </c>
      <c r="R84" s="55">
        <f t="shared" ca="1" si="113"/>
        <v>-1.9415228977901711E-2</v>
      </c>
      <c r="S84" s="55">
        <f t="shared" ca="1" si="113"/>
        <v>0.16117433943900672</v>
      </c>
      <c r="T84" s="55">
        <f t="shared" ref="T84:Z84" ca="1" si="114">T81-T83</f>
        <v>-2.6100581453004645E-2</v>
      </c>
      <c r="U84" s="55">
        <f t="shared" ca="1" si="114"/>
        <v>-2.986020917896659E-2</v>
      </c>
      <c r="V84" s="55">
        <f t="shared" ca="1" si="114"/>
        <v>-3.3276055470194299E-2</v>
      </c>
      <c r="W84" s="55">
        <f t="shared" ca="1" si="114"/>
        <v>-3.6393262903957169E-2</v>
      </c>
      <c r="X84" s="55">
        <f t="shared" ca="1" si="114"/>
        <v>-3.9248435887608624E-2</v>
      </c>
      <c r="Y84" s="55">
        <f t="shared" ca="1" si="114"/>
        <v>-4.1871541307299642E-2</v>
      </c>
      <c r="Z84" s="55">
        <f t="shared" ca="1" si="114"/>
        <v>-4.4287323882257423E-2</v>
      </c>
      <c r="AA84" s="55">
        <f t="shared" ref="AA84" ca="1" si="115">AA81-AA83</f>
        <v>-4.6516374501837099E-2</v>
      </c>
      <c r="AB84" s="21"/>
      <c r="AC84" s="21"/>
      <c r="AD84" s="21"/>
      <c r="AE84" s="21"/>
      <c r="AF84" s="21"/>
      <c r="AG84" s="21"/>
      <c r="AH84" s="21"/>
    </row>
    <row r="85" spans="2:38">
      <c r="B85" s="50"/>
      <c r="C85" s="4"/>
      <c r="D85" s="4"/>
      <c r="E85" s="36"/>
      <c r="F85" s="36"/>
      <c r="G85" s="36"/>
      <c r="H85" s="36"/>
      <c r="I85" s="36"/>
      <c r="J85" s="36"/>
      <c r="K85" s="36"/>
      <c r="L85" s="36"/>
      <c r="M85" s="36"/>
      <c r="N85" s="36"/>
      <c r="O85" s="36"/>
      <c r="P85" s="36"/>
      <c r="Q85" s="36"/>
      <c r="R85" s="36"/>
      <c r="S85" s="36"/>
      <c r="T85" s="36"/>
      <c r="U85" s="36"/>
      <c r="V85" s="36"/>
      <c r="W85" s="36"/>
      <c r="X85" s="36"/>
      <c r="Y85" s="36"/>
      <c r="Z85" s="36"/>
      <c r="AA85" s="36"/>
      <c r="AB85" s="21"/>
      <c r="AC85" s="21"/>
      <c r="AD85" s="21"/>
      <c r="AE85" s="21"/>
      <c r="AF85" s="21"/>
      <c r="AG85" s="21"/>
      <c r="AH85" s="21"/>
    </row>
    <row r="86" spans="2:38">
      <c r="B86" s="50" t="s">
        <v>366</v>
      </c>
      <c r="C86" s="4"/>
      <c r="D86" s="56">
        <f t="shared" ref="D86:K86" si="116">D80/AVERAGE(C55:D55)*1000/12</f>
        <v>15.281353895756595</v>
      </c>
      <c r="E86" s="56">
        <f t="shared" si="116"/>
        <v>14.558147851120346</v>
      </c>
      <c r="F86" s="56">
        <f t="shared" si="116"/>
        <v>11.117351568668276</v>
      </c>
      <c r="G86" s="56">
        <f t="shared" si="116"/>
        <v>9.7035752920399823</v>
      </c>
      <c r="H86" s="56">
        <f t="shared" si="116"/>
        <v>8.8785018714542172</v>
      </c>
      <c r="I86" s="56">
        <f t="shared" si="116"/>
        <v>8.1069166160183919</v>
      </c>
      <c r="J86" s="56">
        <f t="shared" si="116"/>
        <v>6.1508311295806584</v>
      </c>
      <c r="K86" s="56">
        <f t="shared" si="116"/>
        <v>5.5928609690632802</v>
      </c>
      <c r="L86" s="56">
        <f>L78/AVERAGE(K55:L55)*1000/12</f>
        <v>4.9213177491800995</v>
      </c>
      <c r="M86" s="56">
        <f>M78/AVERAGE(L55:M55)*1000/12</f>
        <v>4.0693599166508321</v>
      </c>
      <c r="N86" s="56">
        <f>N78/AVERAGE(M55:N55)*1000/12</f>
        <v>3.7356185276221292</v>
      </c>
      <c r="O86" s="56">
        <f>O78/AVERAGE(N55:O55)*1000/12</f>
        <v>3.2546880392876099</v>
      </c>
      <c r="P86" s="56">
        <f>P78/AVERAGE(O55:P55)*1000/12</f>
        <v>2.5959829423576863</v>
      </c>
      <c r="Q86" s="67">
        <f t="shared" ref="Q86:AA86" si="117">P86*(1+Q87)</f>
        <v>2.0767863538861491</v>
      </c>
      <c r="R86" s="67">
        <f t="shared" si="117"/>
        <v>2.0560184903472876</v>
      </c>
      <c r="S86" s="67">
        <f t="shared" si="117"/>
        <v>2.0971388601542333</v>
      </c>
      <c r="T86" s="67">
        <f t="shared" si="117"/>
        <v>2.0971388601542333</v>
      </c>
      <c r="U86" s="67">
        <f t="shared" si="117"/>
        <v>2.0971388601542333</v>
      </c>
      <c r="V86" s="67">
        <f t="shared" si="117"/>
        <v>2.0971388601542333</v>
      </c>
      <c r="W86" s="67">
        <f t="shared" si="117"/>
        <v>2.0971388601542333</v>
      </c>
      <c r="X86" s="67">
        <f t="shared" si="117"/>
        <v>2.0971388601542333</v>
      </c>
      <c r="Y86" s="67">
        <f t="shared" si="117"/>
        <v>2.0971388601542333</v>
      </c>
      <c r="Z86" s="67">
        <f t="shared" si="117"/>
        <v>2.0971388601542333</v>
      </c>
      <c r="AA86" s="67">
        <f t="shared" si="117"/>
        <v>2.0971388601542333</v>
      </c>
      <c r="AB86" s="195" t="e">
        <f>#REF!</f>
        <v>#REF!</v>
      </c>
      <c r="AC86" s="194" t="s">
        <v>1182</v>
      </c>
      <c r="AD86" s="190">
        <v>-0.17</v>
      </c>
      <c r="AE86" s="190">
        <v>-0.14000000000000001</v>
      </c>
      <c r="AF86" s="190">
        <v>-0.08</v>
      </c>
      <c r="AG86" s="190">
        <v>0</v>
      </c>
      <c r="AH86" s="190">
        <v>0.04</v>
      </c>
      <c r="AI86" s="190">
        <v>5.5E-2</v>
      </c>
      <c r="AJ86" s="190">
        <v>5.5E-2</v>
      </c>
      <c r="AK86" s="190">
        <v>5.5E-2</v>
      </c>
      <c r="AL86" s="190">
        <v>5.5E-2</v>
      </c>
    </row>
    <row r="87" spans="2:38">
      <c r="B87" s="50" t="s">
        <v>2353</v>
      </c>
      <c r="C87" s="4"/>
      <c r="D87" s="56"/>
      <c r="E87" s="55">
        <f t="shared" ref="E87:P87" si="118">E86/D86-1</f>
        <v>-4.7326045163908703E-2</v>
      </c>
      <c r="F87" s="55">
        <f t="shared" si="118"/>
        <v>-0.23634849141797099</v>
      </c>
      <c r="G87" s="55">
        <f t="shared" si="118"/>
        <v>-0.12716844186278142</v>
      </c>
      <c r="H87" s="55">
        <f t="shared" si="118"/>
        <v>-8.5027775407955808E-2</v>
      </c>
      <c r="I87" s="55">
        <f t="shared" si="118"/>
        <v>-8.6904893033428743E-2</v>
      </c>
      <c r="J87" s="55">
        <f t="shared" si="118"/>
        <v>-0.24128600047183413</v>
      </c>
      <c r="K87" s="55">
        <f t="shared" si="118"/>
        <v>-9.0714595924115127E-2</v>
      </c>
      <c r="L87" s="55">
        <f t="shared" si="118"/>
        <v>-0.12007150250968135</v>
      </c>
      <c r="M87" s="55">
        <f t="shared" si="118"/>
        <v>-0.17311579457985726</v>
      </c>
      <c r="N87" s="55">
        <f t="shared" si="118"/>
        <v>-8.201323939500027E-2</v>
      </c>
      <c r="O87" s="55">
        <f t="shared" si="118"/>
        <v>-0.12874186290125589</v>
      </c>
      <c r="P87" s="55">
        <f t="shared" si="118"/>
        <v>-0.20238655409631878</v>
      </c>
      <c r="Q87" s="65">
        <v>-0.2</v>
      </c>
      <c r="R87" s="65">
        <v>-0.01</v>
      </c>
      <c r="S87" s="65">
        <v>0.02</v>
      </c>
      <c r="T87" s="65">
        <v>0</v>
      </c>
      <c r="U87" s="65">
        <v>0</v>
      </c>
      <c r="V87" s="65">
        <v>0</v>
      </c>
      <c r="W87" s="65">
        <v>0</v>
      </c>
      <c r="X87" s="65">
        <v>0</v>
      </c>
      <c r="Y87" s="65">
        <v>0</v>
      </c>
      <c r="Z87" s="65">
        <v>0</v>
      </c>
      <c r="AA87" s="65">
        <v>0</v>
      </c>
      <c r="AB87" s="21"/>
      <c r="AC87" s="194" t="s">
        <v>1660</v>
      </c>
      <c r="AD87" s="190">
        <v>-0.17</v>
      </c>
      <c r="AE87" s="190">
        <v>-0.14000000000000001</v>
      </c>
      <c r="AF87" s="190">
        <v>-0.08</v>
      </c>
      <c r="AG87" s="190">
        <v>0</v>
      </c>
      <c r="AH87" s="190">
        <v>0.03</v>
      </c>
      <c r="AI87" s="190">
        <v>0.03</v>
      </c>
      <c r="AJ87" s="190">
        <v>0.03</v>
      </c>
      <c r="AK87" s="190">
        <v>0.03</v>
      </c>
      <c r="AL87" s="190">
        <v>0.03</v>
      </c>
    </row>
    <row r="88" spans="2:38">
      <c r="B88" s="50"/>
      <c r="C88" s="4"/>
      <c r="D88" s="4"/>
      <c r="E88" s="36"/>
      <c r="F88" s="4"/>
      <c r="G88" s="65"/>
      <c r="H88" s="65"/>
      <c r="I88" s="55"/>
      <c r="J88" s="65"/>
      <c r="K88" s="65"/>
      <c r="L88" s="65"/>
      <c r="M88" s="65"/>
      <c r="N88" s="65"/>
      <c r="O88" s="65"/>
      <c r="P88" s="65"/>
      <c r="Q88" s="65"/>
      <c r="R88" s="65"/>
      <c r="S88" s="65"/>
      <c r="T88" s="65"/>
      <c r="U88" s="65"/>
      <c r="V88" s="65"/>
      <c r="W88" s="65"/>
      <c r="X88" s="65"/>
      <c r="Y88" s="65"/>
      <c r="Z88" s="65"/>
      <c r="AA88" s="65"/>
      <c r="AB88" s="21"/>
      <c r="AC88" s="194" t="s">
        <v>1056</v>
      </c>
      <c r="AD88" s="16">
        <v>-0.17</v>
      </c>
      <c r="AE88" s="16">
        <v>-0.15</v>
      </c>
      <c r="AF88" s="16">
        <v>-0.08</v>
      </c>
      <c r="AG88" s="16">
        <v>-0.02</v>
      </c>
      <c r="AH88" s="16">
        <v>0</v>
      </c>
      <c r="AI88" s="16">
        <v>0</v>
      </c>
      <c r="AJ88" s="16">
        <v>0.01</v>
      </c>
      <c r="AK88" s="16">
        <v>0.01</v>
      </c>
      <c r="AL88" s="16">
        <v>0.01</v>
      </c>
    </row>
    <row r="89" spans="2:38" ht="15.75" thickBot="1">
      <c r="B89" s="299" t="s">
        <v>3671</v>
      </c>
      <c r="C89" s="360">
        <f>C2</f>
        <v>2002</v>
      </c>
      <c r="D89" s="360">
        <f t="shared" ref="D89:P89" si="119">D2</f>
        <v>2003</v>
      </c>
      <c r="E89" s="360">
        <f t="shared" si="119"/>
        <v>2004</v>
      </c>
      <c r="F89" s="733">
        <f t="shared" si="119"/>
        <v>2005</v>
      </c>
      <c r="G89" s="733">
        <f t="shared" si="119"/>
        <v>2006</v>
      </c>
      <c r="H89" s="360">
        <f t="shared" si="119"/>
        <v>2007</v>
      </c>
      <c r="I89" s="360">
        <f t="shared" si="119"/>
        <v>2008</v>
      </c>
      <c r="J89" s="360">
        <f>J2</f>
        <v>2009</v>
      </c>
      <c r="K89" s="398">
        <f t="shared" si="119"/>
        <v>2010</v>
      </c>
      <c r="L89" s="398">
        <f t="shared" si="119"/>
        <v>2011</v>
      </c>
      <c r="M89" s="398">
        <f>M2</f>
        <v>2012</v>
      </c>
      <c r="N89" s="398">
        <f>N2</f>
        <v>2013</v>
      </c>
      <c r="O89" s="398">
        <f t="shared" si="119"/>
        <v>2014</v>
      </c>
      <c r="P89" s="398">
        <f t="shared" si="119"/>
        <v>2015</v>
      </c>
      <c r="Q89" s="398">
        <f t="shared" ref="Q89:Z89" si="120">Q2</f>
        <v>2016</v>
      </c>
      <c r="R89" s="398">
        <f>R2</f>
        <v>2017</v>
      </c>
      <c r="S89" s="398">
        <f t="shared" si="120"/>
        <v>2018</v>
      </c>
      <c r="T89" s="398">
        <f t="shared" si="120"/>
        <v>2019</v>
      </c>
      <c r="U89" s="398">
        <f t="shared" si="120"/>
        <v>2020</v>
      </c>
      <c r="V89" s="398">
        <f t="shared" si="120"/>
        <v>2021</v>
      </c>
      <c r="W89" s="398">
        <f t="shared" si="120"/>
        <v>2022</v>
      </c>
      <c r="X89" s="398">
        <f t="shared" si="120"/>
        <v>2023</v>
      </c>
      <c r="Y89" s="398">
        <f t="shared" si="120"/>
        <v>2024</v>
      </c>
      <c r="Z89" s="398">
        <f t="shared" si="120"/>
        <v>2025</v>
      </c>
      <c r="AA89" s="398">
        <f t="shared" ref="AA89" si="121">AA2</f>
        <v>2026</v>
      </c>
      <c r="AB89" s="21"/>
      <c r="AC89" s="398">
        <v>2012</v>
      </c>
      <c r="AD89" s="398">
        <v>2013</v>
      </c>
      <c r="AE89" s="398">
        <v>2014</v>
      </c>
      <c r="AF89" s="398">
        <v>2015</v>
      </c>
      <c r="AG89" s="398">
        <v>2016</v>
      </c>
      <c r="AH89" s="398">
        <v>2017</v>
      </c>
      <c r="AI89" s="398">
        <v>2018</v>
      </c>
      <c r="AJ89" s="16"/>
      <c r="AK89" s="16"/>
      <c r="AL89" s="16"/>
    </row>
    <row r="90" spans="2:38">
      <c r="B90" t="str">
        <f t="shared" ref="B90:B96" si="122">B68</f>
        <v>Ghana</v>
      </c>
      <c r="D90" s="9"/>
      <c r="E90" s="9"/>
      <c r="F90" s="734">
        <f t="shared" ref="F90:F96" si="123">G90/G$97</f>
        <v>0.18067917161135724</v>
      </c>
      <c r="G90" s="735">
        <v>164</v>
      </c>
      <c r="J90" s="9">
        <f t="shared" ref="J90:K95" si="124">J99/J145</f>
        <v>193.70629370629371</v>
      </c>
      <c r="K90" s="9">
        <f t="shared" si="124"/>
        <v>214.22411176986026</v>
      </c>
      <c r="L90" s="9">
        <f>AVERAGE(K90,M90)</f>
        <v>188.98327887774897</v>
      </c>
      <c r="M90" s="732">
        <f>M$80*F90</f>
        <v>163.74244598563769</v>
      </c>
      <c r="N90" s="939">
        <v>169</v>
      </c>
      <c r="O90" s="939">
        <v>146</v>
      </c>
      <c r="P90" s="939">
        <f>'Country quarts'!L3</f>
        <v>139.22824284744019</v>
      </c>
      <c r="Q90" s="9">
        <f>Q99/Q145</f>
        <v>155.5144853029596</v>
      </c>
      <c r="R90" s="9">
        <f>R99/R145</f>
        <v>153.00068951313096</v>
      </c>
      <c r="S90" s="9"/>
      <c r="T90" s="9"/>
      <c r="U90" s="9"/>
      <c r="V90" s="9"/>
      <c r="W90" s="9"/>
      <c r="X90" s="9"/>
      <c r="Y90" s="9"/>
      <c r="Z90" s="9"/>
      <c r="AA90" s="9"/>
      <c r="AB90" s="21"/>
      <c r="AC90" s="9">
        <v>186.79870430132607</v>
      </c>
      <c r="AD90" s="9">
        <v>208.98062562394858</v>
      </c>
      <c r="AE90" s="9">
        <v>222.69495965341392</v>
      </c>
      <c r="AF90" s="9">
        <v>234.09766912246135</v>
      </c>
      <c r="AG90" s="9">
        <v>245.93459483132651</v>
      </c>
      <c r="AH90" s="9">
        <v>258.22040390162954</v>
      </c>
      <c r="AI90" s="9">
        <v>270.97022753589158</v>
      </c>
      <c r="AJ90" s="16"/>
      <c r="AK90" s="16"/>
      <c r="AL90" s="16"/>
    </row>
    <row r="91" spans="2:38">
      <c r="B91" t="str">
        <f t="shared" si="122"/>
        <v>Mauritius</v>
      </c>
      <c r="C91" s="4"/>
      <c r="D91" s="4"/>
      <c r="E91" s="36"/>
      <c r="F91" s="736">
        <f t="shared" si="123"/>
        <v>4.6271495168762215E-2</v>
      </c>
      <c r="G91" s="737">
        <v>42</v>
      </c>
      <c r="J91" s="9">
        <f t="shared" si="124"/>
        <v>34.15625</v>
      </c>
      <c r="K91" s="9">
        <f t="shared" si="124"/>
        <v>37.854927910574844</v>
      </c>
      <c r="L91" s="9">
        <f t="shared" ref="L91:L96" si="125">AVERAGE(K91,M91)</f>
        <v>37.854927910574844</v>
      </c>
      <c r="M91" s="9"/>
      <c r="N91" s="9"/>
      <c r="O91" s="9"/>
      <c r="P91" s="9"/>
      <c r="Q91" s="9"/>
      <c r="R91" s="9"/>
      <c r="S91" s="9"/>
      <c r="T91" s="9"/>
      <c r="U91" s="9"/>
      <c r="V91" s="9"/>
      <c r="W91" s="9"/>
      <c r="X91" s="9"/>
      <c r="Y91" s="9"/>
      <c r="Z91" s="9"/>
      <c r="AA91" s="9"/>
      <c r="AB91" s="21"/>
      <c r="AC91" s="9">
        <v>44.100192489105517</v>
      </c>
      <c r="AD91" s="9">
        <v>45.9453786654353</v>
      </c>
      <c r="AE91" s="9">
        <v>48.036751208959899</v>
      </c>
      <c r="AF91" s="9">
        <v>50.202403455345468</v>
      </c>
      <c r="AG91" s="9">
        <v>52.444704898050965</v>
      </c>
      <c r="AH91" s="9">
        <v>54.766096192240198</v>
      </c>
      <c r="AI91" s="9">
        <v>57.169091210839923</v>
      </c>
      <c r="AJ91" s="16"/>
      <c r="AK91" s="16"/>
      <c r="AL91" s="16"/>
    </row>
    <row r="92" spans="2:38">
      <c r="B92" t="str">
        <f t="shared" si="122"/>
        <v>Senegal</v>
      </c>
      <c r="C92" s="4"/>
      <c r="D92" s="4"/>
      <c r="E92" s="36"/>
      <c r="F92" s="736">
        <f t="shared" si="123"/>
        <v>0.13000086737890337</v>
      </c>
      <c r="G92" s="737">
        <v>118</v>
      </c>
      <c r="J92" s="9">
        <f t="shared" si="124"/>
        <v>150.28813559322035</v>
      </c>
      <c r="K92" s="9">
        <f t="shared" si="124"/>
        <v>152.87179467264676</v>
      </c>
      <c r="L92" s="9">
        <f t="shared" si="125"/>
        <v>135.34324070920522</v>
      </c>
      <c r="M92" s="732">
        <f>M$80*F92</f>
        <v>117.81468674576369</v>
      </c>
      <c r="N92" s="9">
        <f>N120*AVERAGE(M50:N50)*12/1000</f>
        <v>116.24828331935663</v>
      </c>
      <c r="O92" s="9">
        <f>O120*AVERAGE(N50:O50)*12/1000</f>
        <v>114.94093281724798</v>
      </c>
      <c r="P92" s="939">
        <f ca="1">'Country quarts'!L4</f>
        <v>113.26644024469326</v>
      </c>
      <c r="Q92" s="9">
        <f t="shared" ref="Q92:U96" ca="1" si="126">Q101/Q147</f>
        <v>131.18257850520936</v>
      </c>
      <c r="R92" s="9">
        <f ca="1">R101/R147</f>
        <v>150.14542948238736</v>
      </c>
      <c r="S92" s="9">
        <f t="shared" ca="1" si="126"/>
        <v>173.12602160594167</v>
      </c>
      <c r="T92" s="9">
        <f t="shared" ca="1" si="126"/>
        <v>187.6242598685082</v>
      </c>
      <c r="U92" s="9">
        <f t="shared" ca="1" si="126"/>
        <v>203.33663631069859</v>
      </c>
      <c r="V92" s="9">
        <f t="shared" ref="V92:Z96" ca="1" si="127">V101/V147</f>
        <v>220.36482752883597</v>
      </c>
      <c r="W92" s="9">
        <f t="shared" ca="1" si="127"/>
        <v>238.81902490809813</v>
      </c>
      <c r="X92" s="9">
        <f t="shared" ca="1" si="127"/>
        <v>258.81864768365318</v>
      </c>
      <c r="Y92" s="9">
        <f t="shared" ca="1" si="127"/>
        <v>280.49311571627447</v>
      </c>
      <c r="Z92" s="9">
        <f t="shared" ca="1" si="127"/>
        <v>303.98268698315457</v>
      </c>
      <c r="AA92" s="9">
        <f t="shared" ref="AA92" ca="1" si="128">AA101/AA147</f>
        <v>329.43936520341879</v>
      </c>
      <c r="AB92" s="21"/>
      <c r="AC92" s="9">
        <v>154.50553324393121</v>
      </c>
      <c r="AD92" s="9">
        <v>164.37331923767681</v>
      </c>
      <c r="AE92" s="9">
        <v>175.40881518155115</v>
      </c>
      <c r="AF92" s="9">
        <v>189.66522099728351</v>
      </c>
      <c r="AG92" s="9">
        <v>199.6345972409309</v>
      </c>
      <c r="AH92" s="9">
        <v>209.88383371981348</v>
      </c>
      <c r="AI92" s="9">
        <v>220.41949371783801</v>
      </c>
      <c r="AJ92" s="16"/>
      <c r="AK92" s="16"/>
      <c r="AL92" s="16"/>
    </row>
    <row r="93" spans="2:38">
      <c r="B93" t="str">
        <f t="shared" si="122"/>
        <v>Tanzania</v>
      </c>
      <c r="C93" s="4"/>
      <c r="D93" s="4"/>
      <c r="E93" s="36"/>
      <c r="F93" s="736">
        <f t="shared" si="123"/>
        <v>0.37898557947748102</v>
      </c>
      <c r="G93" s="737">
        <v>344</v>
      </c>
      <c r="J93" s="9">
        <f t="shared" si="124"/>
        <v>207.03698113207548</v>
      </c>
      <c r="K93" s="9">
        <f t="shared" si="124"/>
        <v>255.20237148773441</v>
      </c>
      <c r="L93" s="9">
        <f t="shared" si="125"/>
        <v>299.33106811904815</v>
      </c>
      <c r="M93" s="732">
        <f>M$80*F93</f>
        <v>343.45976475036196</v>
      </c>
      <c r="N93" s="939">
        <v>351</v>
      </c>
      <c r="O93" s="939">
        <v>368</v>
      </c>
      <c r="P93" s="939">
        <f>'Country quarts'!L6+'Country quarts'!L17</f>
        <v>368</v>
      </c>
      <c r="Q93" s="9">
        <f t="shared" si="126"/>
        <v>380.05212620027442</v>
      </c>
      <c r="R93" s="9">
        <f>R102/R148</f>
        <v>401.82091316025077</v>
      </c>
      <c r="S93" s="9">
        <f t="shared" si="126"/>
        <v>461.68072808586766</v>
      </c>
      <c r="T93" s="9">
        <f t="shared" si="126"/>
        <v>509.44080340509549</v>
      </c>
      <c r="U93" s="9">
        <f t="shared" si="126"/>
        <v>562.14157617113995</v>
      </c>
      <c r="V93" s="9">
        <f t="shared" si="127"/>
        <v>620.29415301643041</v>
      </c>
      <c r="W93" s="9">
        <f t="shared" si="127"/>
        <v>684.46251367330274</v>
      </c>
      <c r="X93" s="9">
        <f t="shared" si="127"/>
        <v>755.2689806050239</v>
      </c>
      <c r="Y93" s="9">
        <f t="shared" si="127"/>
        <v>833.40025446071616</v>
      </c>
      <c r="Z93" s="9">
        <f t="shared" si="127"/>
        <v>919.61407388768691</v>
      </c>
      <c r="AA93" s="9">
        <f t="shared" ref="AA93" si="129">AA102/AA148</f>
        <v>1014.7465642898617</v>
      </c>
      <c r="AB93" s="21"/>
      <c r="AC93" s="9">
        <v>296.7727854570827</v>
      </c>
      <c r="AD93" s="9">
        <v>325.54072385056452</v>
      </c>
      <c r="AE93" s="9">
        <v>366.26943221976671</v>
      </c>
      <c r="AF93" s="9">
        <v>408.37076176719927</v>
      </c>
      <c r="AG93" s="9">
        <v>445.0202546029667</v>
      </c>
      <c r="AH93" s="9">
        <v>481.96891935830507</v>
      </c>
      <c r="AI93" s="9">
        <v>519.21861641064493</v>
      </c>
      <c r="AJ93" s="16"/>
      <c r="AK93" s="16"/>
      <c r="AL93" s="16"/>
    </row>
    <row r="94" spans="2:38">
      <c r="B94" t="str">
        <f t="shared" si="122"/>
        <v>Chad</v>
      </c>
      <c r="C94" s="4"/>
      <c r="D94" s="4"/>
      <c r="E94" s="36"/>
      <c r="F94" s="736">
        <f t="shared" si="123"/>
        <v>0.13330597417667212</v>
      </c>
      <c r="G94" s="737">
        <v>121</v>
      </c>
      <c r="J94" s="9">
        <f t="shared" si="124"/>
        <v>92.069915254237287</v>
      </c>
      <c r="K94" s="9">
        <f t="shared" si="124"/>
        <v>105.29827138100856</v>
      </c>
      <c r="L94" s="9">
        <f t="shared" si="125"/>
        <v>113.0541233864255</v>
      </c>
      <c r="M94" s="732">
        <f>M$80*F94</f>
        <v>120.80997539184244</v>
      </c>
      <c r="N94" s="939">
        <v>149</v>
      </c>
      <c r="O94" s="939">
        <v>180</v>
      </c>
      <c r="P94" s="939">
        <f>'Country quarts'!L16</f>
        <v>152.28571428571428</v>
      </c>
      <c r="Q94" s="9">
        <f t="shared" ca="1" si="126"/>
        <v>156.94278963671871</v>
      </c>
      <c r="R94" s="9">
        <f ca="1">R103/R149</f>
        <v>168.4025245292481</v>
      </c>
      <c r="S94" s="9">
        <f t="shared" ca="1" si="126"/>
        <v>182.04137482315335</v>
      </c>
      <c r="T94" s="9">
        <f t="shared" ca="1" si="126"/>
        <v>188.31866361015867</v>
      </c>
      <c r="U94" s="9">
        <f t="shared" ca="1" si="126"/>
        <v>194.81241063119862</v>
      </c>
      <c r="V94" s="9">
        <f t="shared" ca="1" si="127"/>
        <v>201.53007996330894</v>
      </c>
      <c r="W94" s="9">
        <f t="shared" ca="1" si="127"/>
        <v>208.47939306549205</v>
      </c>
      <c r="X94" s="9">
        <f t="shared" ca="1" si="127"/>
        <v>215.66833765395734</v>
      </c>
      <c r="Y94" s="9">
        <f t="shared" ca="1" si="127"/>
        <v>223.10517688340414</v>
      </c>
      <c r="Z94" s="9">
        <f t="shared" ca="1" si="127"/>
        <v>230.79845884490086</v>
      </c>
      <c r="AA94" s="9">
        <f t="shared" ref="AA94" ca="1" si="130">AA103/AA149</f>
        <v>238.75702639127678</v>
      </c>
      <c r="AB94" s="21"/>
      <c r="AC94" s="9">
        <v>166.17406891911068</v>
      </c>
      <c r="AD94" s="9">
        <v>196.25382728607926</v>
      </c>
      <c r="AE94" s="9">
        <v>228.33661599416908</v>
      </c>
      <c r="AF94" s="9">
        <v>254.66892378712001</v>
      </c>
      <c r="AG94" s="9">
        <v>277.47944985267401</v>
      </c>
      <c r="AH94" s="9">
        <v>299.2297148869543</v>
      </c>
      <c r="AI94" s="9">
        <v>319.95398123318688</v>
      </c>
      <c r="AJ94" s="16"/>
      <c r="AK94" s="16"/>
      <c r="AL94" s="16"/>
    </row>
    <row r="95" spans="2:38">
      <c r="B95" t="str">
        <f t="shared" si="122"/>
        <v>Dem. Rep. Congo</v>
      </c>
      <c r="C95" s="4"/>
      <c r="D95" s="4"/>
      <c r="E95" s="36"/>
      <c r="F95" s="736">
        <f t="shared" si="123"/>
        <v>0.16195023309066775</v>
      </c>
      <c r="G95" s="737">
        <v>147</v>
      </c>
      <c r="J95" s="9">
        <f t="shared" si="124"/>
        <v>102</v>
      </c>
      <c r="K95" s="9">
        <f t="shared" si="124"/>
        <v>130</v>
      </c>
      <c r="L95" s="9">
        <f t="shared" si="125"/>
        <v>138.3845718289291</v>
      </c>
      <c r="M95" s="732">
        <f>M$80*F95</f>
        <v>146.76914365785817</v>
      </c>
      <c r="N95" s="9">
        <f>N123*AVERAGE(M53:N53)*12/1000</f>
        <v>131.25966432561509</v>
      </c>
      <c r="O95" s="9">
        <f>O123*AVERAGE(N53:O53)*12/1000</f>
        <v>127.5593928023995</v>
      </c>
      <c r="P95" s="939">
        <f>'Country quarts'!L5</f>
        <v>151.17681667701501</v>
      </c>
      <c r="Q95" s="9">
        <v>0</v>
      </c>
      <c r="R95" s="9">
        <v>0</v>
      </c>
      <c r="S95" s="9">
        <v>0</v>
      </c>
      <c r="T95" s="9">
        <v>0</v>
      </c>
      <c r="U95" s="9">
        <v>0</v>
      </c>
      <c r="V95" s="9">
        <v>0</v>
      </c>
      <c r="W95" s="9">
        <v>0</v>
      </c>
      <c r="X95" s="9">
        <v>0</v>
      </c>
      <c r="Y95" s="9">
        <v>0</v>
      </c>
      <c r="Z95" s="9">
        <v>0</v>
      </c>
      <c r="AA95" s="9">
        <v>0</v>
      </c>
      <c r="AB95" s="21"/>
      <c r="AC95" s="9">
        <v>161.56668403483107</v>
      </c>
      <c r="AD95" s="9">
        <v>170.84429596373158</v>
      </c>
      <c r="AE95" s="9">
        <v>180.43045989830065</v>
      </c>
      <c r="AF95" s="9">
        <v>185.18045414152124</v>
      </c>
      <c r="AG95" s="9">
        <v>188.37852898849866</v>
      </c>
      <c r="AH95" s="9">
        <v>191.5787873852571</v>
      </c>
      <c r="AI95" s="9">
        <v>194.78123045742257</v>
      </c>
      <c r="AJ95" s="16"/>
      <c r="AK95" s="16"/>
      <c r="AL95" s="16"/>
    </row>
    <row r="96" spans="2:38" ht="15.75" thickBot="1">
      <c r="B96" t="str">
        <f t="shared" si="122"/>
        <v>Rwanda</v>
      </c>
      <c r="C96" s="4"/>
      <c r="D96" s="4"/>
      <c r="E96" s="36"/>
      <c r="F96" s="738">
        <f t="shared" si="123"/>
        <v>4.1864686105070575E-2</v>
      </c>
      <c r="G96" s="739">
        <v>38</v>
      </c>
      <c r="J96" s="9"/>
      <c r="K96" s="9">
        <f>K80-K90-K91-K92-K93-K94-K95</f>
        <v>13.690400000399876</v>
      </c>
      <c r="L96" s="9">
        <f t="shared" si="125"/>
        <v>25.815361425365278</v>
      </c>
      <c r="M96" s="732">
        <f>M$80*F96</f>
        <v>37.940322850330681</v>
      </c>
      <c r="N96" s="9">
        <f>N156-N90-N91-N92-N93-N94-N95</f>
        <v>40.084846850049956</v>
      </c>
      <c r="O96" s="9">
        <f>O156-O90-O91-O92-O93-O94-O95</f>
        <v>63.318580354530283</v>
      </c>
      <c r="P96" s="939">
        <f>'Country quarts'!L10</f>
        <v>63.694865494453467</v>
      </c>
      <c r="Q96" s="9">
        <f t="shared" si="126"/>
        <v>62.236290633269469</v>
      </c>
      <c r="R96" s="9">
        <f>R105/R151</f>
        <v>64.534593312761672</v>
      </c>
      <c r="S96" s="9">
        <f t="shared" si="126"/>
        <v>67.395732917760967</v>
      </c>
      <c r="T96" s="9">
        <f t="shared" si="126"/>
        <v>70.38372107667648</v>
      </c>
      <c r="U96" s="9">
        <f t="shared" si="126"/>
        <v>73.504181617021757</v>
      </c>
      <c r="V96" s="9">
        <f t="shared" si="127"/>
        <v>76.762987698564601</v>
      </c>
      <c r="W96" s="9">
        <f t="shared" si="127"/>
        <v>80.166272867466489</v>
      </c>
      <c r="X96" s="9">
        <f t="shared" si="127"/>
        <v>83.720442600506885</v>
      </c>
      <c r="Y96" s="9">
        <f t="shared" si="127"/>
        <v>87.432186361120515</v>
      </c>
      <c r="Z96" s="9">
        <f t="shared" si="127"/>
        <v>91.308490189938667</v>
      </c>
      <c r="AA96" s="9">
        <f t="shared" ref="AA96" si="131">AA105/AA151</f>
        <v>95.356649853532019</v>
      </c>
      <c r="AB96" s="21"/>
      <c r="AC96" s="9">
        <v>21.448055102268199</v>
      </c>
      <c r="AD96" s="9">
        <v>0.43090995603114379</v>
      </c>
      <c r="AE96" s="9">
        <v>-17.012955071665374</v>
      </c>
      <c r="AF96" s="9">
        <v>-18.863865768902855</v>
      </c>
      <c r="AG96" s="9">
        <v>7.0438584398626745</v>
      </c>
      <c r="AH96" s="9">
        <v>36.94414546137159</v>
      </c>
      <c r="AI96" s="9">
        <v>87.267239717647328</v>
      </c>
      <c r="AJ96" s="16"/>
      <c r="AK96" s="16"/>
      <c r="AL96" s="16"/>
    </row>
    <row r="97" spans="2:38">
      <c r="C97" s="4"/>
      <c r="D97" s="4"/>
      <c r="E97" s="36"/>
      <c r="F97" s="65"/>
      <c r="G97" s="737">
        <f>M156</f>
        <v>907.68625147765067</v>
      </c>
      <c r="I97" s="52"/>
      <c r="J97" s="52"/>
      <c r="K97" s="52"/>
      <c r="L97" s="55"/>
      <c r="M97" s="55"/>
      <c r="N97" s="52"/>
      <c r="O97" s="52"/>
      <c r="P97" s="52"/>
      <c r="Q97" s="52"/>
      <c r="R97" s="52"/>
      <c r="S97" s="52"/>
      <c r="T97" s="52"/>
      <c r="U97" s="52"/>
      <c r="V97" s="52"/>
      <c r="W97" s="52"/>
      <c r="X97" s="52"/>
      <c r="Y97" s="52"/>
      <c r="Z97" s="52"/>
      <c r="AA97" s="52"/>
      <c r="AB97" s="21"/>
      <c r="AC97" s="194"/>
      <c r="AD97" s="16"/>
      <c r="AE97" s="16"/>
      <c r="AF97" s="16"/>
      <c r="AG97" s="16"/>
      <c r="AH97" s="16"/>
      <c r="AI97" s="16"/>
      <c r="AJ97" s="16"/>
      <c r="AK97" s="16"/>
      <c r="AL97" s="16"/>
    </row>
    <row r="98" spans="2:38">
      <c r="B98" s="299" t="s">
        <v>1904</v>
      </c>
      <c r="C98" s="360">
        <f t="shared" ref="C98:P98" si="132">C89</f>
        <v>2002</v>
      </c>
      <c r="D98" s="360">
        <f t="shared" si="132"/>
        <v>2003</v>
      </c>
      <c r="E98" s="360">
        <f t="shared" si="132"/>
        <v>2004</v>
      </c>
      <c r="F98" s="360">
        <f t="shared" si="132"/>
        <v>2005</v>
      </c>
      <c r="G98" s="360">
        <f t="shared" si="132"/>
        <v>2006</v>
      </c>
      <c r="H98" s="360">
        <f t="shared" si="132"/>
        <v>2007</v>
      </c>
      <c r="I98" s="360">
        <f t="shared" si="132"/>
        <v>2008</v>
      </c>
      <c r="J98" s="360">
        <f t="shared" si="132"/>
        <v>2009</v>
      </c>
      <c r="K98" s="398">
        <f t="shared" si="132"/>
        <v>2010</v>
      </c>
      <c r="L98" s="398">
        <f t="shared" si="132"/>
        <v>2011</v>
      </c>
      <c r="M98" s="398">
        <f t="shared" si="132"/>
        <v>2012</v>
      </c>
      <c r="N98" s="398">
        <f>N89</f>
        <v>2013</v>
      </c>
      <c r="O98" s="398">
        <f t="shared" si="132"/>
        <v>2014</v>
      </c>
      <c r="P98" s="398">
        <f t="shared" si="132"/>
        <v>2015</v>
      </c>
      <c r="Q98" s="398">
        <f t="shared" ref="Q98:Z98" si="133">Q89</f>
        <v>2016</v>
      </c>
      <c r="R98" s="398">
        <f t="shared" si="133"/>
        <v>2017</v>
      </c>
      <c r="S98" s="398">
        <f t="shared" si="133"/>
        <v>2018</v>
      </c>
      <c r="T98" s="398">
        <f t="shared" si="133"/>
        <v>2019</v>
      </c>
      <c r="U98" s="398">
        <f t="shared" si="133"/>
        <v>2020</v>
      </c>
      <c r="V98" s="398">
        <f t="shared" si="133"/>
        <v>2021</v>
      </c>
      <c r="W98" s="398">
        <f t="shared" si="133"/>
        <v>2022</v>
      </c>
      <c r="X98" s="398">
        <f t="shared" si="133"/>
        <v>2023</v>
      </c>
      <c r="Y98" s="398">
        <f t="shared" si="133"/>
        <v>2024</v>
      </c>
      <c r="Z98" s="398">
        <f t="shared" si="133"/>
        <v>2025</v>
      </c>
      <c r="AA98" s="398">
        <f t="shared" ref="AA98" si="134">AA89</f>
        <v>2026</v>
      </c>
      <c r="AB98" s="21"/>
      <c r="AC98" s="537">
        <f>L98</f>
        <v>2011</v>
      </c>
      <c r="AD98" s="537">
        <f>M98</f>
        <v>2012</v>
      </c>
      <c r="AE98" s="537">
        <f>N98</f>
        <v>2013</v>
      </c>
      <c r="AF98" s="16"/>
      <c r="AG98" s="16"/>
      <c r="AH98" s="16"/>
      <c r="AI98" s="16"/>
      <c r="AJ98" s="16"/>
      <c r="AK98" s="16"/>
      <c r="AL98" s="16"/>
    </row>
    <row r="99" spans="2:38">
      <c r="B99" t="str">
        <f t="shared" ref="B99:B105" si="135">B90</f>
        <v>Ghana</v>
      </c>
      <c r="C99" s="4"/>
      <c r="D99" s="4"/>
      <c r="E99" s="36"/>
      <c r="F99" s="4"/>
      <c r="G99" s="65"/>
      <c r="H99" s="65"/>
      <c r="I99" s="9"/>
      <c r="J99" s="9">
        <f>Quarts!AL154</f>
        <v>277</v>
      </c>
      <c r="K99" s="9">
        <f>SUM(Quarts!AM154:AP154)</f>
        <v>307</v>
      </c>
      <c r="L99" s="9">
        <f t="shared" ref="L99:P105" si="136">L90*L145</f>
        <v>292.92408226051094</v>
      </c>
      <c r="M99" s="9">
        <f t="shared" si="136"/>
        <v>302.92352507342974</v>
      </c>
      <c r="N99" s="9">
        <f t="shared" si="136"/>
        <v>336.31</v>
      </c>
      <c r="O99" s="9">
        <f t="shared" si="136"/>
        <v>420.47999999999996</v>
      </c>
      <c r="P99" s="9">
        <f>P90*P145</f>
        <v>525.84982742271939</v>
      </c>
      <c r="Q99" s="9">
        <f t="shared" ref="Q99:AA99" si="137">(1+Q108)*P99</f>
        <v>620.50279635880884</v>
      </c>
      <c r="R99" s="9">
        <f>(1+R108)*Q99</f>
        <v>670.14302006751359</v>
      </c>
      <c r="S99" s="9">
        <f t="shared" si="137"/>
        <v>723.75446167291477</v>
      </c>
      <c r="T99" s="9">
        <f t="shared" si="137"/>
        <v>781.65481860674799</v>
      </c>
      <c r="U99" s="9">
        <f t="shared" si="137"/>
        <v>844.18720409528794</v>
      </c>
      <c r="V99" s="9">
        <f t="shared" si="137"/>
        <v>911.72218042291104</v>
      </c>
      <c r="W99" s="9">
        <f t="shared" si="137"/>
        <v>984.65995485674398</v>
      </c>
      <c r="X99" s="9">
        <f t="shared" si="137"/>
        <v>1063.4327512452835</v>
      </c>
      <c r="Y99" s="9">
        <f t="shared" si="137"/>
        <v>1148.5073713449062</v>
      </c>
      <c r="Z99" s="9">
        <f t="shared" si="137"/>
        <v>1240.3879610524989</v>
      </c>
      <c r="AA99" s="9">
        <f t="shared" si="137"/>
        <v>1339.6189979366989</v>
      </c>
      <c r="AB99" s="21"/>
      <c r="AC99" s="222">
        <f>L99/K99-1</f>
        <v>-4.5849894916902501E-2</v>
      </c>
      <c r="AD99" s="222">
        <f>M99/L99-1</f>
        <v>3.4136636140506216E-2</v>
      </c>
      <c r="AE99" s="222">
        <f>N99/M99-1</f>
        <v>0.11021420313419794</v>
      </c>
      <c r="AF99" s="16"/>
      <c r="AG99" s="16"/>
      <c r="AH99" s="16"/>
      <c r="AI99" s="16"/>
      <c r="AJ99" s="16"/>
      <c r="AK99" s="16"/>
      <c r="AL99" s="16"/>
    </row>
    <row r="100" spans="2:38">
      <c r="B100" t="str">
        <f t="shared" si="135"/>
        <v>Mauritius</v>
      </c>
      <c r="C100" s="4"/>
      <c r="D100" s="4"/>
      <c r="E100" s="36"/>
      <c r="F100" s="4"/>
      <c r="G100" s="65"/>
      <c r="H100" s="65"/>
      <c r="I100" s="9"/>
      <c r="J100" s="9">
        <f>Quarts!AL155*Quarts!$B$135</f>
        <v>1093</v>
      </c>
      <c r="K100" s="9">
        <f>SUM(Quarts!AM155:AP155)*Quarts!$B$135</f>
        <v>1166</v>
      </c>
      <c r="L100" s="9">
        <f t="shared" si="136"/>
        <v>1097.7929094066706</v>
      </c>
      <c r="M100" s="9">
        <f>M91*M146</f>
        <v>0</v>
      </c>
      <c r="N100" s="9">
        <f t="shared" si="136"/>
        <v>0</v>
      </c>
      <c r="O100" s="9">
        <f t="shared" si="136"/>
        <v>0</v>
      </c>
      <c r="P100" s="9">
        <f t="shared" si="136"/>
        <v>0</v>
      </c>
      <c r="Q100" s="9"/>
      <c r="R100" s="9"/>
      <c r="S100" s="9"/>
      <c r="T100" s="9"/>
      <c r="U100" s="9"/>
      <c r="V100" s="9"/>
      <c r="W100" s="9"/>
      <c r="X100" s="9"/>
      <c r="Y100" s="9"/>
      <c r="Z100" s="9"/>
      <c r="AA100" s="9"/>
      <c r="AB100" s="21"/>
      <c r="AC100" s="222">
        <f t="shared" ref="AC100:AC105" si="138">L100/K100-1</f>
        <v>-5.8496647164090421E-2</v>
      </c>
      <c r="AD100" s="222">
        <f t="shared" ref="AD100:AD105" si="139">M100/L100-1</f>
        <v>-1</v>
      </c>
      <c r="AE100" s="222" t="e">
        <f t="shared" ref="AE100:AE105" si="140">N100/M100-1</f>
        <v>#DIV/0!</v>
      </c>
      <c r="AF100" s="16"/>
      <c r="AG100" s="16"/>
      <c r="AH100" s="16"/>
      <c r="AI100" s="16"/>
      <c r="AJ100" s="16"/>
      <c r="AK100" s="16"/>
      <c r="AL100" s="16"/>
    </row>
    <row r="101" spans="2:38">
      <c r="B101" t="str">
        <f t="shared" si="135"/>
        <v>Senegal</v>
      </c>
      <c r="C101" s="4"/>
      <c r="D101" s="4"/>
      <c r="E101" s="36"/>
      <c r="F101" s="4"/>
      <c r="G101" s="65"/>
      <c r="H101" s="65"/>
      <c r="I101" s="9"/>
      <c r="J101" s="9">
        <f>Quarts!AL156</f>
        <v>70936</v>
      </c>
      <c r="K101" s="9">
        <f>SUM(Quarts!AM156:AP156)</f>
        <v>75749</v>
      </c>
      <c r="L101" s="9">
        <f t="shared" si="136"/>
        <v>63882.009614744864</v>
      </c>
      <c r="M101" s="9">
        <f>M92*M147</f>
        <v>60203.30492708525</v>
      </c>
      <c r="N101" s="9">
        <f t="shared" si="136"/>
        <v>57659.148526400888</v>
      </c>
      <c r="O101" s="9">
        <f>O92*O147</f>
        <v>56780.820811720507</v>
      </c>
      <c r="P101" s="9">
        <f t="shared" ca="1" si="136"/>
        <v>67370.036079793965</v>
      </c>
      <c r="Q101" s="9">
        <f t="shared" ref="Q101:AA105" ca="1" si="141">(1+Q110)*P101</f>
        <v>79496.642574156867</v>
      </c>
      <c r="R101" s="9">
        <f ca="1">(1+R110)*Q101</f>
        <v>89036.239683055697</v>
      </c>
      <c r="S101" s="9">
        <f t="shared" ca="1" si="141"/>
        <v>99720.588445022397</v>
      </c>
      <c r="T101" s="9">
        <f t="shared" ca="1" si="141"/>
        <v>109692.64728952464</v>
      </c>
      <c r="U101" s="9">
        <f t="shared" ca="1" si="141"/>
        <v>120661.91201847712</v>
      </c>
      <c r="V101" s="9">
        <f t="shared" ca="1" si="141"/>
        <v>132728.10322032485</v>
      </c>
      <c r="W101" s="9">
        <f t="shared" ca="1" si="141"/>
        <v>146000.91354235733</v>
      </c>
      <c r="X101" s="9">
        <f t="shared" ca="1" si="141"/>
        <v>160601.00489659308</v>
      </c>
      <c r="Y101" s="9">
        <f t="shared" ca="1" si="141"/>
        <v>176661.1053862524</v>
      </c>
      <c r="Z101" s="9">
        <f t="shared" ca="1" si="141"/>
        <v>194327.21592487764</v>
      </c>
      <c r="AA101" s="9">
        <f t="shared" ca="1" si="141"/>
        <v>213759.93751736541</v>
      </c>
      <c r="AB101" s="21"/>
      <c r="AC101" s="222">
        <f t="shared" si="138"/>
        <v>-0.15666200722458556</v>
      </c>
      <c r="AD101" s="222">
        <f t="shared" si="139"/>
        <v>-5.7585926144855026E-2</v>
      </c>
      <c r="AE101" s="222">
        <f t="shared" si="140"/>
        <v>-4.2259414225941483E-2</v>
      </c>
      <c r="AF101" s="16"/>
      <c r="AG101" s="16"/>
      <c r="AH101" s="16"/>
      <c r="AI101" s="16"/>
      <c r="AJ101" s="16"/>
      <c r="AK101" s="16"/>
      <c r="AL101" s="16"/>
    </row>
    <row r="102" spans="2:38">
      <c r="B102" t="str">
        <f t="shared" si="135"/>
        <v>Tanzania</v>
      </c>
      <c r="C102" s="4"/>
      <c r="D102" s="4"/>
      <c r="E102" s="36"/>
      <c r="F102" s="4"/>
      <c r="G102" s="65"/>
      <c r="H102" s="65"/>
      <c r="I102" s="9"/>
      <c r="J102" s="9">
        <f>Quarts!AL157</f>
        <v>274324</v>
      </c>
      <c r="K102" s="9">
        <f>SUM(Quarts!AM157:AP157)</f>
        <v>367849</v>
      </c>
      <c r="L102" s="9">
        <f t="shared" si="136"/>
        <v>474739.07403681037</v>
      </c>
      <c r="M102" s="9">
        <f>M93*M148</f>
        <v>544727.18689407408</v>
      </c>
      <c r="N102" s="9">
        <f t="shared" si="136"/>
        <v>568971</v>
      </c>
      <c r="O102" s="9">
        <f>O93*O148</f>
        <v>593952</v>
      </c>
      <c r="P102" s="9">
        <f t="shared" si="136"/>
        <v>729100</v>
      </c>
      <c r="Q102" s="9">
        <f t="shared" si="141"/>
        <v>831174.00000000012</v>
      </c>
      <c r="R102" s="9">
        <f>(1+R111)*Q102</f>
        <v>897667.92000000016</v>
      </c>
      <c r="S102" s="9">
        <f t="shared" si="141"/>
        <v>1032318.1080000001</v>
      </c>
      <c r="T102" s="9">
        <f t="shared" si="141"/>
        <v>1156196.2809600004</v>
      </c>
      <c r="U102" s="9">
        <f t="shared" si="141"/>
        <v>1294939.8346752005</v>
      </c>
      <c r="V102" s="9">
        <f t="shared" si="141"/>
        <v>1450332.6148362248</v>
      </c>
      <c r="W102" s="9">
        <f t="shared" si="141"/>
        <v>1624372.528616572</v>
      </c>
      <c r="X102" s="9">
        <f t="shared" si="141"/>
        <v>1819297.2320505609</v>
      </c>
      <c r="Y102" s="9">
        <f t="shared" si="141"/>
        <v>2037612.8998966285</v>
      </c>
      <c r="Z102" s="9">
        <f t="shared" si="141"/>
        <v>2282126.4478842239</v>
      </c>
      <c r="AA102" s="9">
        <f t="shared" si="141"/>
        <v>2555981.621630331</v>
      </c>
      <c r="AB102" s="21"/>
      <c r="AC102" s="222">
        <f t="shared" si="138"/>
        <v>0.29058139083376711</v>
      </c>
      <c r="AD102" s="222">
        <f t="shared" si="139"/>
        <v>0.14742437832668687</v>
      </c>
      <c r="AE102" s="222">
        <f t="shared" si="140"/>
        <v>4.4506339483731949E-2</v>
      </c>
      <c r="AF102" s="16"/>
      <c r="AG102" s="16"/>
      <c r="AH102" s="16"/>
      <c r="AI102" s="16"/>
      <c r="AJ102" s="16"/>
      <c r="AK102" s="16"/>
      <c r="AL102" s="16"/>
    </row>
    <row r="103" spans="2:38">
      <c r="B103" t="str">
        <f t="shared" si="135"/>
        <v>Chad</v>
      </c>
      <c r="C103" s="4"/>
      <c r="D103" s="4"/>
      <c r="E103" s="36"/>
      <c r="F103" s="4"/>
      <c r="G103" s="65"/>
      <c r="H103" s="65"/>
      <c r="I103" s="9"/>
      <c r="J103" s="9">
        <f>Quarts!AL158</f>
        <v>43457</v>
      </c>
      <c r="K103" s="9">
        <f>SUM(Quarts!AM158:AP158)</f>
        <v>52176</v>
      </c>
      <c r="L103" s="9">
        <f t="shared" si="136"/>
        <v>53361.546238392839</v>
      </c>
      <c r="M103" s="9">
        <f>M94*M149</f>
        <v>61733.897425231487</v>
      </c>
      <c r="N103" s="9">
        <f t="shared" si="136"/>
        <v>73904</v>
      </c>
      <c r="O103" s="9">
        <f>O94*O149</f>
        <v>88920</v>
      </c>
      <c r="P103" s="9">
        <f t="shared" ca="1" si="136"/>
        <v>90578.41001890623</v>
      </c>
      <c r="Q103" s="9">
        <f t="shared" ca="1" si="141"/>
        <v>95107.330519851545</v>
      </c>
      <c r="R103" s="9">
        <f ca="1">(1+R112)*Q103</f>
        <v>99862.697045844121</v>
      </c>
      <c r="S103" s="9">
        <f t="shared" ca="1" si="141"/>
        <v>104855.83189813633</v>
      </c>
      <c r="T103" s="9">
        <f t="shared" ca="1" si="141"/>
        <v>110098.62349304315</v>
      </c>
      <c r="U103" s="9">
        <f t="shared" ca="1" si="141"/>
        <v>115603.55466769531</v>
      </c>
      <c r="V103" s="9">
        <f t="shared" ca="1" si="141"/>
        <v>121383.73240108008</v>
      </c>
      <c r="W103" s="9">
        <f t="shared" ca="1" si="141"/>
        <v>127452.91902113409</v>
      </c>
      <c r="X103" s="9">
        <f t="shared" ca="1" si="141"/>
        <v>133825.5649721908</v>
      </c>
      <c r="Y103" s="9">
        <f t="shared" ca="1" si="141"/>
        <v>140516.84322080034</v>
      </c>
      <c r="Z103" s="9">
        <f t="shared" ca="1" si="141"/>
        <v>147542.68538184036</v>
      </c>
      <c r="AA103" s="9">
        <f t="shared" ca="1" si="141"/>
        <v>154919.81965093239</v>
      </c>
      <c r="AB103" s="21"/>
      <c r="AC103" s="222">
        <f t="shared" si="138"/>
        <v>2.272206068676863E-2</v>
      </c>
      <c r="AD103" s="222">
        <f t="shared" si="139"/>
        <v>0.15689858666079792</v>
      </c>
      <c r="AE103" s="222">
        <f t="shared" si="140"/>
        <v>0.19713808915933484</v>
      </c>
      <c r="AF103" s="16"/>
      <c r="AG103" s="16"/>
      <c r="AH103" s="16"/>
      <c r="AI103" s="16"/>
      <c r="AJ103" s="16"/>
      <c r="AK103" s="16"/>
      <c r="AL103" s="16"/>
    </row>
    <row r="104" spans="2:38">
      <c r="B104" t="str">
        <f t="shared" si="135"/>
        <v>Dem. Rep. Congo</v>
      </c>
      <c r="C104" s="4"/>
      <c r="D104" s="4"/>
      <c r="E104" s="36"/>
      <c r="F104" s="4"/>
      <c r="G104" s="65"/>
      <c r="H104" s="65"/>
      <c r="I104" s="9"/>
      <c r="J104" s="9">
        <f>Quarts!AL159*J150</f>
        <v>82110</v>
      </c>
      <c r="K104" s="9">
        <f>SUM(Quarts!AM159:AP159)*K150</f>
        <v>117755.72327009944</v>
      </c>
      <c r="L104" s="9">
        <f t="shared" si="136"/>
        <v>127175.42151078585</v>
      </c>
      <c r="M104" s="9">
        <f>M95*M150</f>
        <v>135321.15045254523</v>
      </c>
      <c r="N104" s="9">
        <f t="shared" si="136"/>
        <v>120627.63151524027</v>
      </c>
      <c r="O104" s="9">
        <f>O95*O150</f>
        <v>117737.31955661473</v>
      </c>
      <c r="P104" s="9">
        <f t="shared" si="136"/>
        <v>139285.82028345103</v>
      </c>
      <c r="Q104" s="9">
        <f t="shared" si="141"/>
        <v>0</v>
      </c>
      <c r="R104" s="9">
        <f>(1+R113)*Q104</f>
        <v>0</v>
      </c>
      <c r="S104" s="9">
        <f t="shared" si="141"/>
        <v>0</v>
      </c>
      <c r="T104" s="9">
        <f t="shared" si="141"/>
        <v>0</v>
      </c>
      <c r="U104" s="9">
        <f t="shared" si="141"/>
        <v>0</v>
      </c>
      <c r="V104" s="9">
        <f t="shared" si="141"/>
        <v>0</v>
      </c>
      <c r="W104" s="9">
        <f t="shared" si="141"/>
        <v>0</v>
      </c>
      <c r="X104" s="9">
        <f t="shared" si="141"/>
        <v>0</v>
      </c>
      <c r="Y104" s="9">
        <f t="shared" si="141"/>
        <v>0</v>
      </c>
      <c r="Z104" s="9">
        <f t="shared" si="141"/>
        <v>0</v>
      </c>
      <c r="AA104" s="9">
        <f t="shared" si="141"/>
        <v>0</v>
      </c>
      <c r="AB104" s="21"/>
      <c r="AC104" s="222">
        <f t="shared" si="138"/>
        <v>7.9993549180452206E-2</v>
      </c>
      <c r="AD104" s="222">
        <f t="shared" si="139"/>
        <v>6.4051125956508415E-2</v>
      </c>
      <c r="AE104" s="222">
        <f t="shared" si="140"/>
        <v>-0.10858257477243161</v>
      </c>
      <c r="AF104" s="16"/>
      <c r="AG104" s="16"/>
      <c r="AH104" s="16"/>
      <c r="AI104" s="16"/>
      <c r="AJ104" s="16"/>
      <c r="AK104" s="16"/>
      <c r="AL104" s="16"/>
    </row>
    <row r="105" spans="2:38">
      <c r="B105" t="str">
        <f t="shared" si="135"/>
        <v>Rwanda</v>
      </c>
      <c r="C105" s="4"/>
      <c r="D105" s="4"/>
      <c r="E105" s="36"/>
      <c r="F105" s="4"/>
      <c r="G105" s="65"/>
      <c r="H105" s="65"/>
      <c r="I105" s="9"/>
      <c r="J105" s="9">
        <v>0</v>
      </c>
      <c r="K105" s="9">
        <f>K96*K151</f>
        <v>7983.5962885331865</v>
      </c>
      <c r="L105" s="9">
        <f t="shared" si="136"/>
        <v>15489.216855219167</v>
      </c>
      <c r="M105" s="9">
        <f t="shared" si="136"/>
        <v>23295.358230103036</v>
      </c>
      <c r="N105" s="9">
        <f t="shared" si="136"/>
        <v>26023.483423520935</v>
      </c>
      <c r="O105" s="9">
        <f t="shared" si="136"/>
        <v>43430.214265172319</v>
      </c>
      <c r="P105" s="9">
        <f t="shared" si="136"/>
        <v>45771.962838468178</v>
      </c>
      <c r="Q105" s="9">
        <f t="shared" si="141"/>
        <v>50349.159122315003</v>
      </c>
      <c r="R105" s="9">
        <f t="shared" si="141"/>
        <v>53370.108669653906</v>
      </c>
      <c r="S105" s="9">
        <f t="shared" si="141"/>
        <v>56572.315189833142</v>
      </c>
      <c r="T105" s="9">
        <f t="shared" si="141"/>
        <v>59966.654101223132</v>
      </c>
      <c r="U105" s="9">
        <f t="shared" si="141"/>
        <v>63564.653347296524</v>
      </c>
      <c r="V105" s="9">
        <f t="shared" si="141"/>
        <v>67378.532548134317</v>
      </c>
      <c r="W105" s="9">
        <f t="shared" si="141"/>
        <v>71421.244501022375</v>
      </c>
      <c r="X105" s="9">
        <f t="shared" si="141"/>
        <v>75706.519171083724</v>
      </c>
      <c r="Y105" s="9">
        <f t="shared" si="141"/>
        <v>80248.910321348754</v>
      </c>
      <c r="Z105" s="9">
        <f t="shared" si="141"/>
        <v>85063.844940629686</v>
      </c>
      <c r="AA105" s="9">
        <f t="shared" si="141"/>
        <v>90167.67563706747</v>
      </c>
      <c r="AB105" s="21"/>
      <c r="AC105" s="222">
        <f t="shared" si="138"/>
        <v>0.9401302740553501</v>
      </c>
      <c r="AD105" s="222">
        <f t="shared" si="139"/>
        <v>0.50397263127306213</v>
      </c>
      <c r="AE105" s="222">
        <f t="shared" si="140"/>
        <v>0.1171102485941824</v>
      </c>
      <c r="AF105" s="16"/>
      <c r="AG105" s="16"/>
      <c r="AH105" s="16"/>
      <c r="AI105" s="16"/>
      <c r="AJ105" s="16"/>
      <c r="AK105" s="16"/>
      <c r="AL105" s="16"/>
    </row>
    <row r="106" spans="2:38">
      <c r="C106" s="4"/>
      <c r="D106" s="4"/>
      <c r="E106" s="36"/>
      <c r="F106" s="4"/>
      <c r="G106" s="65"/>
      <c r="H106" s="65"/>
      <c r="I106" s="55"/>
      <c r="J106" s="65"/>
      <c r="K106" s="65"/>
      <c r="L106" s="65"/>
      <c r="M106" s="65"/>
      <c r="N106" s="65"/>
      <c r="O106" s="65"/>
      <c r="P106" s="65"/>
      <c r="Q106" s="65"/>
      <c r="R106" s="65"/>
      <c r="S106" s="65"/>
      <c r="T106" s="65"/>
      <c r="U106" s="65"/>
      <c r="V106" s="65"/>
      <c r="W106" s="65"/>
      <c r="X106" s="65"/>
      <c r="Y106" s="65"/>
      <c r="Z106" s="65"/>
      <c r="AA106" s="65"/>
      <c r="AB106" s="143"/>
      <c r="AC106" s="220"/>
      <c r="AD106" s="136" t="s">
        <v>1241</v>
      </c>
      <c r="AE106" s="136" t="s">
        <v>3343</v>
      </c>
      <c r="AF106" s="136" t="s">
        <v>361</v>
      </c>
      <c r="AG106" s="16"/>
      <c r="AH106" s="16"/>
      <c r="AI106" s="16"/>
      <c r="AJ106" s="16"/>
      <c r="AK106" s="16"/>
      <c r="AL106" s="16"/>
    </row>
    <row r="107" spans="2:38">
      <c r="B107" s="299" t="s">
        <v>332</v>
      </c>
      <c r="C107" s="360">
        <f t="shared" ref="C107:P107" si="142">C98</f>
        <v>2002</v>
      </c>
      <c r="D107" s="360">
        <f t="shared" si="142"/>
        <v>2003</v>
      </c>
      <c r="E107" s="360">
        <f t="shared" si="142"/>
        <v>2004</v>
      </c>
      <c r="F107" s="360">
        <f t="shared" si="142"/>
        <v>2005</v>
      </c>
      <c r="G107" s="360">
        <f t="shared" si="142"/>
        <v>2006</v>
      </c>
      <c r="H107" s="360">
        <f t="shared" si="142"/>
        <v>2007</v>
      </c>
      <c r="I107" s="360">
        <f t="shared" si="142"/>
        <v>2008</v>
      </c>
      <c r="J107" s="360">
        <f t="shared" si="142"/>
        <v>2009</v>
      </c>
      <c r="K107" s="398">
        <f t="shared" si="142"/>
        <v>2010</v>
      </c>
      <c r="L107" s="398">
        <f t="shared" si="142"/>
        <v>2011</v>
      </c>
      <c r="M107" s="398">
        <f t="shared" si="142"/>
        <v>2012</v>
      </c>
      <c r="N107" s="398">
        <f t="shared" si="142"/>
        <v>2013</v>
      </c>
      <c r="O107" s="398">
        <f t="shared" si="142"/>
        <v>2014</v>
      </c>
      <c r="P107" s="398">
        <f t="shared" si="142"/>
        <v>2015</v>
      </c>
      <c r="Q107" s="398">
        <f t="shared" ref="Q107:Z107" si="143">Q98</f>
        <v>2016</v>
      </c>
      <c r="R107" s="398">
        <f t="shared" si="143"/>
        <v>2017</v>
      </c>
      <c r="S107" s="398">
        <f t="shared" si="143"/>
        <v>2018</v>
      </c>
      <c r="T107" s="398">
        <f t="shared" si="143"/>
        <v>2019</v>
      </c>
      <c r="U107" s="398">
        <f t="shared" si="143"/>
        <v>2020</v>
      </c>
      <c r="V107" s="398">
        <f t="shared" si="143"/>
        <v>2021</v>
      </c>
      <c r="W107" s="398">
        <f t="shared" si="143"/>
        <v>2022</v>
      </c>
      <c r="X107" s="398">
        <f t="shared" si="143"/>
        <v>2023</v>
      </c>
      <c r="Y107" s="398">
        <f t="shared" si="143"/>
        <v>2024</v>
      </c>
      <c r="Z107" s="398">
        <f t="shared" si="143"/>
        <v>2025</v>
      </c>
      <c r="AA107" s="398">
        <f t="shared" ref="AA107" si="144">AA98</f>
        <v>2026</v>
      </c>
      <c r="AB107" s="143"/>
      <c r="AC107" s="406" t="s">
        <v>3787</v>
      </c>
      <c r="AD107" s="143">
        <f>O90+O92+O95+O96</f>
        <v>451.81890597417777</v>
      </c>
      <c r="AE107" s="143">
        <v>30</v>
      </c>
      <c r="AF107" s="16">
        <f>AE107/AD107</f>
        <v>6.6398283921555404E-2</v>
      </c>
      <c r="AG107" s="16"/>
      <c r="AH107" s="16"/>
      <c r="AI107" s="16"/>
      <c r="AJ107" s="16"/>
      <c r="AK107" s="16"/>
      <c r="AL107" s="16"/>
    </row>
    <row r="108" spans="2:38">
      <c r="B108" t="str">
        <f t="shared" ref="B108:B114" si="145">B99</f>
        <v>Ghana</v>
      </c>
      <c r="C108" s="4"/>
      <c r="D108" s="4"/>
      <c r="E108" s="36"/>
      <c r="F108" s="4"/>
      <c r="G108" s="65"/>
      <c r="H108" s="65"/>
      <c r="I108" s="55"/>
      <c r="J108" s="16"/>
      <c r="K108" s="16">
        <f t="shared" ref="K108:L112" si="146">K99/J99-1</f>
        <v>0.10830324909747291</v>
      </c>
      <c r="L108" s="16">
        <f t="shared" si="146"/>
        <v>-4.5849894916902501E-2</v>
      </c>
      <c r="M108" s="16">
        <f t="shared" ref="M108:M114" si="147">M99/L99-1</f>
        <v>3.4136636140506216E-2</v>
      </c>
      <c r="N108" s="16">
        <f t="shared" ref="N108:N114" si="148">N99/M99-1</f>
        <v>0.11021420313419794</v>
      </c>
      <c r="O108" s="16">
        <f>O99/N99-1</f>
        <v>0.25027504385834476</v>
      </c>
      <c r="P108" s="16">
        <f>P99/O99-1</f>
        <v>0.25059414817047054</v>
      </c>
      <c r="Q108" s="70">
        <v>0.18</v>
      </c>
      <c r="R108" s="70">
        <v>0.08</v>
      </c>
      <c r="S108" s="70">
        <v>0.08</v>
      </c>
      <c r="T108" s="70">
        <v>0.08</v>
      </c>
      <c r="U108" s="70">
        <v>0.08</v>
      </c>
      <c r="V108" s="70">
        <v>0.08</v>
      </c>
      <c r="W108" s="70">
        <v>0.08</v>
      </c>
      <c r="X108" s="70">
        <v>0.08</v>
      </c>
      <c r="Y108" s="70">
        <v>0.08</v>
      </c>
      <c r="Z108" s="70">
        <v>0.08</v>
      </c>
      <c r="AA108" s="70">
        <v>0.08</v>
      </c>
      <c r="AB108" s="143"/>
      <c r="AC108" s="406" t="s">
        <v>3788</v>
      </c>
      <c r="AD108" s="143">
        <f>O93</f>
        <v>368</v>
      </c>
      <c r="AE108" s="143">
        <f>AF108*AD108</f>
        <v>128.79999999999998</v>
      </c>
      <c r="AF108" s="16">
        <v>0.35</v>
      </c>
      <c r="AG108" s="16"/>
      <c r="AH108" s="16"/>
      <c r="AI108" s="16"/>
      <c r="AJ108" s="16"/>
      <c r="AK108" s="16"/>
      <c r="AL108" s="16"/>
    </row>
    <row r="109" spans="2:38">
      <c r="B109" t="str">
        <f t="shared" si="145"/>
        <v>Mauritius</v>
      </c>
      <c r="C109" s="4"/>
      <c r="D109" s="4"/>
      <c r="E109" s="36"/>
      <c r="F109" s="4"/>
      <c r="G109" s="65"/>
      <c r="H109" s="65"/>
      <c r="I109" s="55"/>
      <c r="J109" s="16"/>
      <c r="K109" s="16">
        <f t="shared" si="146"/>
        <v>6.6788655077767656E-2</v>
      </c>
      <c r="L109" s="16">
        <f t="shared" si="146"/>
        <v>-5.8496647164090421E-2</v>
      </c>
      <c r="M109" s="16">
        <f t="shared" si="147"/>
        <v>-1</v>
      </c>
      <c r="N109" s="16"/>
      <c r="O109" s="16"/>
      <c r="P109" s="16"/>
      <c r="Q109" s="16"/>
      <c r="R109" s="16"/>
      <c r="S109" s="16"/>
      <c r="T109" s="16"/>
      <c r="U109" s="16"/>
      <c r="V109" s="16"/>
      <c r="W109" s="16"/>
      <c r="X109" s="16"/>
      <c r="Y109" s="16"/>
      <c r="Z109" s="16"/>
      <c r="AA109" s="16"/>
      <c r="AB109" s="16"/>
      <c r="AC109" s="406" t="s">
        <v>3789</v>
      </c>
      <c r="AD109" s="143">
        <f>O94</f>
        <v>180</v>
      </c>
      <c r="AE109" s="143">
        <f>O160-AE107-AE108</f>
        <v>67.67706314004343</v>
      </c>
      <c r="AF109" s="16">
        <f>AE109/AD109</f>
        <v>0.37598368411135241</v>
      </c>
      <c r="AG109" s="16"/>
      <c r="AH109" s="16"/>
      <c r="AI109" s="16"/>
      <c r="AJ109" s="16"/>
      <c r="AK109" s="16"/>
      <c r="AL109" s="16"/>
    </row>
    <row r="110" spans="2:38">
      <c r="B110" t="str">
        <f t="shared" si="145"/>
        <v>Senegal</v>
      </c>
      <c r="C110" s="4"/>
      <c r="D110" s="4"/>
      <c r="E110" s="36"/>
      <c r="F110" s="4"/>
      <c r="G110" s="65"/>
      <c r="H110" s="65"/>
      <c r="I110" s="55"/>
      <c r="J110" s="16"/>
      <c r="K110" s="16">
        <f t="shared" si="146"/>
        <v>6.7849892861170602E-2</v>
      </c>
      <c r="L110" s="16">
        <f t="shared" si="146"/>
        <v>-0.15666200722458556</v>
      </c>
      <c r="M110" s="16">
        <f t="shared" si="147"/>
        <v>-5.7585926144855026E-2</v>
      </c>
      <c r="N110" s="16">
        <f t="shared" si="148"/>
        <v>-4.2259414225941483E-2</v>
      </c>
      <c r="O110" s="16">
        <f t="shared" ref="O110:P114" si="149">O101/N101-1</f>
        <v>-1.5233102415277866E-2</v>
      </c>
      <c r="P110" s="16">
        <f t="shared" ca="1" si="149"/>
        <v>0.18649281776299476</v>
      </c>
      <c r="Q110" s="70">
        <v>0.18</v>
      </c>
      <c r="R110" s="70">
        <v>0.12</v>
      </c>
      <c r="S110" s="70">
        <v>0.12</v>
      </c>
      <c r="T110" s="70">
        <v>0.1</v>
      </c>
      <c r="U110" s="70">
        <v>0.1</v>
      </c>
      <c r="V110" s="70">
        <v>0.1</v>
      </c>
      <c r="W110" s="70">
        <v>0.1</v>
      </c>
      <c r="X110" s="70">
        <v>0.1</v>
      </c>
      <c r="Y110" s="70">
        <v>0.1</v>
      </c>
      <c r="Z110" s="70">
        <v>0.1</v>
      </c>
      <c r="AA110" s="70">
        <v>0.1</v>
      </c>
      <c r="AB110" s="21"/>
      <c r="AC110" s="194"/>
      <c r="AD110" s="16"/>
      <c r="AE110" s="16"/>
      <c r="AF110" s="16"/>
      <c r="AG110" s="16"/>
      <c r="AH110" s="16"/>
      <c r="AI110" s="16"/>
      <c r="AJ110" s="16"/>
      <c r="AK110" s="16"/>
      <c r="AL110" s="16"/>
    </row>
    <row r="111" spans="2:38">
      <c r="B111" t="str">
        <f t="shared" si="145"/>
        <v>Tanzania</v>
      </c>
      <c r="C111" s="4"/>
      <c r="D111" s="4"/>
      <c r="E111" s="36"/>
      <c r="F111" s="4"/>
      <c r="G111" s="65"/>
      <c r="H111" s="65"/>
      <c r="I111" s="55"/>
      <c r="J111" s="16"/>
      <c r="K111" s="16">
        <f t="shared" si="146"/>
        <v>0.34092897449730986</v>
      </c>
      <c r="L111" s="16">
        <f t="shared" si="146"/>
        <v>0.29058139083376711</v>
      </c>
      <c r="M111" s="16">
        <f t="shared" si="147"/>
        <v>0.14742437832668687</v>
      </c>
      <c r="N111" s="16">
        <f t="shared" si="148"/>
        <v>4.4506339483731949E-2</v>
      </c>
      <c r="O111" s="16">
        <f t="shared" si="149"/>
        <v>4.3905576909895272E-2</v>
      </c>
      <c r="P111" s="16">
        <f t="shared" si="149"/>
        <v>0.22754027261462206</v>
      </c>
      <c r="Q111" s="70">
        <v>0.14000000000000001</v>
      </c>
      <c r="R111" s="70">
        <v>0.08</v>
      </c>
      <c r="S111" s="70">
        <v>0.15</v>
      </c>
      <c r="T111" s="70">
        <v>0.12</v>
      </c>
      <c r="U111" s="70">
        <v>0.12</v>
      </c>
      <c r="V111" s="70">
        <v>0.12</v>
      </c>
      <c r="W111" s="70">
        <v>0.12</v>
      </c>
      <c r="X111" s="70">
        <v>0.12</v>
      </c>
      <c r="Y111" s="70">
        <v>0.12</v>
      </c>
      <c r="Z111" s="70">
        <v>0.12</v>
      </c>
      <c r="AA111" s="70">
        <v>0.12</v>
      </c>
      <c r="AB111" s="687"/>
      <c r="AC111" s="194"/>
      <c r="AD111" s="16"/>
      <c r="AE111" s="16"/>
      <c r="AF111" s="16"/>
      <c r="AG111" s="16"/>
      <c r="AH111" s="16"/>
      <c r="AI111" s="16"/>
      <c r="AJ111" s="16"/>
      <c r="AK111" s="16"/>
      <c r="AL111" s="16"/>
    </row>
    <row r="112" spans="2:38">
      <c r="B112" t="str">
        <f t="shared" si="145"/>
        <v>Chad</v>
      </c>
      <c r="C112" s="4"/>
      <c r="D112" s="4"/>
      <c r="E112" s="36"/>
      <c r="F112" s="4"/>
      <c r="G112" s="65"/>
      <c r="H112" s="65"/>
      <c r="I112" s="55"/>
      <c r="J112" s="16"/>
      <c r="K112" s="16">
        <f t="shared" si="146"/>
        <v>0.20063511056906824</v>
      </c>
      <c r="L112" s="16">
        <f t="shared" si="146"/>
        <v>2.272206068676863E-2</v>
      </c>
      <c r="M112" s="16">
        <f t="shared" si="147"/>
        <v>0.15689858666079792</v>
      </c>
      <c r="N112" s="16">
        <f t="shared" si="148"/>
        <v>0.19713808915933484</v>
      </c>
      <c r="O112" s="16">
        <f t="shared" si="149"/>
        <v>0.20318250703615504</v>
      </c>
      <c r="P112" s="16">
        <f t="shared" ca="1" si="149"/>
        <v>1.8650585007942366E-2</v>
      </c>
      <c r="Q112" s="70">
        <v>0.05</v>
      </c>
      <c r="R112" s="70">
        <v>0.05</v>
      </c>
      <c r="S112" s="70">
        <v>0.05</v>
      </c>
      <c r="T112" s="70">
        <v>0.05</v>
      </c>
      <c r="U112" s="70">
        <v>0.05</v>
      </c>
      <c r="V112" s="70">
        <v>0.05</v>
      </c>
      <c r="W112" s="70">
        <v>0.05</v>
      </c>
      <c r="X112" s="70">
        <v>0.05</v>
      </c>
      <c r="Y112" s="70">
        <v>0.05</v>
      </c>
      <c r="Z112" s="70">
        <v>0.05</v>
      </c>
      <c r="AA112" s="70">
        <v>0.05</v>
      </c>
      <c r="AB112" s="449"/>
      <c r="AC112" s="194"/>
      <c r="AD112" s="16"/>
      <c r="AE112" s="16"/>
      <c r="AF112" s="16"/>
      <c r="AG112" s="16"/>
      <c r="AH112" s="16"/>
      <c r="AI112" s="16"/>
      <c r="AJ112" s="16"/>
      <c r="AK112" s="16"/>
      <c r="AL112" s="16"/>
    </row>
    <row r="113" spans="2:38">
      <c r="B113" t="str">
        <f t="shared" si="145"/>
        <v>Dem. Rep. Congo</v>
      </c>
      <c r="C113" s="4"/>
      <c r="D113" s="4"/>
      <c r="E113" s="36"/>
      <c r="F113" s="4"/>
      <c r="G113" s="65"/>
      <c r="H113" s="65"/>
      <c r="I113" s="55"/>
      <c r="J113" s="16"/>
      <c r="K113" s="16">
        <f>K104/J104-1</f>
        <v>0.43412158409571844</v>
      </c>
      <c r="L113" s="16">
        <f>L104/K104-1</f>
        <v>7.9993549180452206E-2</v>
      </c>
      <c r="M113" s="16">
        <f t="shared" si="147"/>
        <v>6.4051125956508415E-2</v>
      </c>
      <c r="N113" s="16">
        <f t="shared" si="148"/>
        <v>-0.10858257477243161</v>
      </c>
      <c r="O113" s="16">
        <f t="shared" si="149"/>
        <v>-2.3960612691465877E-2</v>
      </c>
      <c r="P113" s="16">
        <f t="shared" si="149"/>
        <v>0.18302183885267209</v>
      </c>
      <c r="Q113" s="70">
        <v>-1</v>
      </c>
      <c r="R113" s="70">
        <v>-1</v>
      </c>
      <c r="S113" s="70">
        <v>-1</v>
      </c>
      <c r="T113" s="70">
        <v>-1</v>
      </c>
      <c r="U113" s="70">
        <v>-1</v>
      </c>
      <c r="V113" s="70">
        <v>-1</v>
      </c>
      <c r="W113" s="70">
        <v>-1</v>
      </c>
      <c r="X113" s="70">
        <v>-1</v>
      </c>
      <c r="Y113" s="70">
        <v>-1</v>
      </c>
      <c r="Z113" s="70">
        <v>-1</v>
      </c>
      <c r="AA113" s="70">
        <v>-1</v>
      </c>
      <c r="AB113" s="130"/>
      <c r="AC113" s="194"/>
      <c r="AD113" s="16"/>
      <c r="AE113" s="16"/>
      <c r="AF113" s="16"/>
      <c r="AG113" s="16"/>
      <c r="AH113" s="16"/>
      <c r="AI113" s="16"/>
      <c r="AJ113" s="16"/>
      <c r="AK113" s="16"/>
      <c r="AL113" s="16"/>
    </row>
    <row r="114" spans="2:38">
      <c r="B114" s="11" t="str">
        <f t="shared" si="145"/>
        <v>Rwanda</v>
      </c>
      <c r="C114" s="12"/>
      <c r="D114" s="12"/>
      <c r="E114" s="136"/>
      <c r="F114" s="12"/>
      <c r="G114" s="66"/>
      <c r="H114" s="66"/>
      <c r="I114" s="367"/>
      <c r="J114" s="20"/>
      <c r="K114" s="20"/>
      <c r="L114" s="20">
        <f>L105/K105-1</f>
        <v>0.9401302740553501</v>
      </c>
      <c r="M114" s="20">
        <f t="shared" si="147"/>
        <v>0.50397263127306213</v>
      </c>
      <c r="N114" s="20">
        <f t="shared" si="148"/>
        <v>0.1171102485941824</v>
      </c>
      <c r="O114" s="20">
        <f t="shared" si="149"/>
        <v>0.66888550461767049</v>
      </c>
      <c r="P114" s="20">
        <f t="shared" si="149"/>
        <v>5.3919802444395426E-2</v>
      </c>
      <c r="Q114" s="1039">
        <v>0.1</v>
      </c>
      <c r="R114" s="1039">
        <v>0.06</v>
      </c>
      <c r="S114" s="1039">
        <v>0.06</v>
      </c>
      <c r="T114" s="1039">
        <v>0.06</v>
      </c>
      <c r="U114" s="1039">
        <v>0.06</v>
      </c>
      <c r="V114" s="1039">
        <v>0.06</v>
      </c>
      <c r="W114" s="1039">
        <v>0.06</v>
      </c>
      <c r="X114" s="1039">
        <v>0.06</v>
      </c>
      <c r="Y114" s="1039">
        <v>0.06</v>
      </c>
      <c r="Z114" s="1039">
        <v>0.06</v>
      </c>
      <c r="AA114" s="1039">
        <v>0.06</v>
      </c>
      <c r="AB114" s="16"/>
      <c r="AC114" s="194"/>
      <c r="AD114" s="16"/>
      <c r="AE114" s="16"/>
      <c r="AF114" s="16"/>
      <c r="AG114" s="16"/>
      <c r="AH114" s="16"/>
      <c r="AI114" s="16"/>
      <c r="AJ114" s="16"/>
      <c r="AK114" s="16"/>
      <c r="AL114" s="16"/>
    </row>
    <row r="115" spans="2:38">
      <c r="B115" t="s">
        <v>333</v>
      </c>
      <c r="C115" s="4"/>
      <c r="D115" s="4"/>
      <c r="E115" s="36"/>
      <c r="F115" s="4"/>
      <c r="G115" s="65"/>
      <c r="H115" s="65"/>
      <c r="I115" s="55"/>
      <c r="J115" s="16"/>
      <c r="K115" s="16"/>
      <c r="L115" s="16">
        <f t="shared" ref="L115:S115" si="150">((L108*L90)+(L109*L91)+(L110*L92)+(L111*L93)+(L94*L112)+(L95*L113)+(L96*L114))/L78</f>
        <v>9.7401927304225158E-2</v>
      </c>
      <c r="M115" s="16">
        <f t="shared" si="150"/>
        <v>0.10959273238401486</v>
      </c>
      <c r="N115" s="16">
        <f t="shared" si="150"/>
        <v>5.5749018767982862E-2</v>
      </c>
      <c r="O115" s="16">
        <f t="shared" si="150"/>
        <v>0.14188661716859802</v>
      </c>
      <c r="P115" s="16">
        <f ca="1">((P108*P90)+(P109*P91)+(P110*P92)+(P111*P93)+(P94*P112)+(P95*P113)+(P96*P114))/P78</f>
        <v>0.20146015738147685</v>
      </c>
      <c r="Q115" s="16">
        <f t="shared" ca="1" si="150"/>
        <v>0.15441676343308225</v>
      </c>
      <c r="R115" s="16">
        <f t="shared" ca="1" si="150"/>
        <v>9.1869377947921022E-2</v>
      </c>
      <c r="S115" s="16">
        <f t="shared" ca="1" si="150"/>
        <v>0.11607524303800848</v>
      </c>
      <c r="T115" s="16">
        <f t="shared" ref="T115:Z115" ca="1" si="151">((T108*T90)+(T109*T91)+(T110*T92)+(T111*T93)+(T94*T112)+(T95*T113)+(T96*T114))/T78</f>
        <v>9.8510313498909596E-2</v>
      </c>
      <c r="U115" s="16">
        <f t="shared" ca="1" si="151"/>
        <v>0.10080621271823939</v>
      </c>
      <c r="V115" s="16">
        <f t="shared" ca="1" si="151"/>
        <v>0.10347713825381176</v>
      </c>
      <c r="W115" s="16">
        <f t="shared" ca="1" si="151"/>
        <v>0.10652088111476628</v>
      </c>
      <c r="X115" s="16">
        <f t="shared" ca="1" si="151"/>
        <v>0.1099399342799177</v>
      </c>
      <c r="Y115" s="16">
        <f t="shared" ca="1" si="151"/>
        <v>0.1137408567599365</v>
      </c>
      <c r="Z115" s="16">
        <f t="shared" ca="1" si="151"/>
        <v>0.11793382642018269</v>
      </c>
      <c r="AA115" s="16">
        <f t="shared" ref="AA115" ca="1" si="152">((AA108*AA90)+(AA109*AA91)+(AA110*AA92)+(AA111*AA93)+(AA94*AA112)+(AA95*AA113)+(AA96*AA114))/AA78</f>
        <v>0.12253233224334559</v>
      </c>
      <c r="AB115" s="21"/>
      <c r="AC115" s="194"/>
      <c r="AD115" s="16"/>
      <c r="AE115" s="16"/>
      <c r="AF115" s="16"/>
      <c r="AG115" s="16"/>
      <c r="AH115" s="16"/>
      <c r="AI115" s="16"/>
      <c r="AJ115" s="16"/>
      <c r="AK115" s="16"/>
      <c r="AL115" s="16"/>
    </row>
    <row r="116" spans="2:38">
      <c r="C116" s="4"/>
      <c r="D116" s="4"/>
      <c r="E116" s="36"/>
      <c r="F116" s="4"/>
      <c r="G116" s="65"/>
      <c r="H116" s="65"/>
      <c r="I116" s="55"/>
      <c r="J116" s="65"/>
      <c r="K116" s="65"/>
      <c r="L116" s="65"/>
      <c r="M116" s="65"/>
      <c r="N116" s="65"/>
      <c r="O116" s="65"/>
      <c r="P116" s="65"/>
      <c r="Q116" s="65"/>
      <c r="R116" s="65"/>
      <c r="S116" s="65"/>
      <c r="T116" s="65"/>
      <c r="U116" s="65"/>
      <c r="V116" s="65"/>
      <c r="W116" s="65"/>
      <c r="X116" s="65"/>
      <c r="Y116" s="65"/>
      <c r="Z116" s="65"/>
      <c r="AA116" s="65"/>
      <c r="AB116" s="21"/>
      <c r="AC116" s="194"/>
      <c r="AD116" s="16"/>
      <c r="AE116" s="16"/>
      <c r="AF116" s="16"/>
      <c r="AG116" s="16"/>
      <c r="AH116" s="16"/>
      <c r="AI116" s="16"/>
      <c r="AJ116" s="16"/>
      <c r="AK116" s="16"/>
      <c r="AL116" s="16"/>
    </row>
    <row r="117" spans="2:38">
      <c r="B117" s="57" t="s">
        <v>1903</v>
      </c>
      <c r="C117" s="366">
        <f>C89</f>
        <v>2002</v>
      </c>
      <c r="D117" s="366">
        <f t="shared" ref="D117:P117" si="153">D89</f>
        <v>2003</v>
      </c>
      <c r="E117" s="366">
        <f t="shared" si="153"/>
        <v>2004</v>
      </c>
      <c r="F117" s="366">
        <f t="shared" si="153"/>
        <v>2005</v>
      </c>
      <c r="G117" s="366">
        <f t="shared" si="153"/>
        <v>2006</v>
      </c>
      <c r="H117" s="366">
        <f t="shared" si="153"/>
        <v>2007</v>
      </c>
      <c r="I117" s="366">
        <f t="shared" si="153"/>
        <v>2008</v>
      </c>
      <c r="J117" s="366">
        <f t="shared" si="153"/>
        <v>2009</v>
      </c>
      <c r="K117" s="399">
        <f t="shared" si="153"/>
        <v>2010</v>
      </c>
      <c r="L117" s="399">
        <f t="shared" si="153"/>
        <v>2011</v>
      </c>
      <c r="M117" s="399">
        <f t="shared" si="153"/>
        <v>2012</v>
      </c>
      <c r="N117" s="399">
        <f t="shared" si="153"/>
        <v>2013</v>
      </c>
      <c r="O117" s="399">
        <f t="shared" si="153"/>
        <v>2014</v>
      </c>
      <c r="P117" s="399">
        <f t="shared" si="153"/>
        <v>2015</v>
      </c>
      <c r="Q117" s="399">
        <f t="shared" ref="Q117:Z117" si="154">Q89</f>
        <v>2016</v>
      </c>
      <c r="R117" s="399">
        <f t="shared" si="154"/>
        <v>2017</v>
      </c>
      <c r="S117" s="399">
        <f t="shared" si="154"/>
        <v>2018</v>
      </c>
      <c r="T117" s="399">
        <f t="shared" si="154"/>
        <v>2019</v>
      </c>
      <c r="U117" s="399">
        <f t="shared" si="154"/>
        <v>2020</v>
      </c>
      <c r="V117" s="399">
        <f t="shared" si="154"/>
        <v>2021</v>
      </c>
      <c r="W117" s="399">
        <f t="shared" si="154"/>
        <v>2022</v>
      </c>
      <c r="X117" s="399">
        <f t="shared" si="154"/>
        <v>2023</v>
      </c>
      <c r="Y117" s="399">
        <f t="shared" si="154"/>
        <v>2024</v>
      </c>
      <c r="Z117" s="399">
        <f t="shared" si="154"/>
        <v>2025</v>
      </c>
      <c r="AA117" s="399">
        <f t="shared" ref="AA117" si="155">AA89</f>
        <v>2026</v>
      </c>
      <c r="AB117" s="21"/>
      <c r="AC117" s="194"/>
      <c r="AD117" s="16"/>
      <c r="AE117" s="16"/>
      <c r="AF117" s="16"/>
      <c r="AG117" s="16"/>
      <c r="AH117" s="16"/>
      <c r="AI117" s="16"/>
      <c r="AJ117" s="16"/>
      <c r="AK117" s="16"/>
      <c r="AL117" s="16"/>
    </row>
    <row r="118" spans="2:38">
      <c r="B118" t="str">
        <f>B90</f>
        <v>Ghana</v>
      </c>
      <c r="C118" s="4"/>
      <c r="D118" s="4"/>
      <c r="E118" s="36"/>
      <c r="F118" s="4"/>
      <c r="G118" s="65"/>
      <c r="H118" s="65"/>
      <c r="I118" s="65"/>
      <c r="J118" s="67">
        <f t="shared" ref="J118:J123" si="156">J127/J145</f>
        <v>5.3960191015180152</v>
      </c>
      <c r="K118" s="67">
        <f t="shared" ref="K118:M119" si="157">K127/K145</f>
        <v>5.3940521372862964</v>
      </c>
      <c r="L118" s="67">
        <f t="shared" si="157"/>
        <v>4.4783960330542687</v>
      </c>
      <c r="M118" s="67">
        <f t="shared" si="157"/>
        <v>4.0866139060007409</v>
      </c>
      <c r="N118" s="67">
        <f>N127/N145</f>
        <v>4.1155269822715761</v>
      </c>
      <c r="O118" s="67">
        <f>O127/O145</f>
        <v>3.2431471855702161</v>
      </c>
      <c r="P118" s="67">
        <f>P127/P145</f>
        <v>2.9318925761774217</v>
      </c>
      <c r="Q118" s="67"/>
      <c r="R118" s="67"/>
      <c r="S118" s="67"/>
      <c r="T118" s="67"/>
      <c r="U118" s="67"/>
      <c r="V118" s="67"/>
      <c r="W118" s="67"/>
      <c r="X118" s="67"/>
      <c r="Y118" s="67"/>
      <c r="Z118" s="67"/>
      <c r="AA118" s="67"/>
      <c r="AB118" s="21"/>
      <c r="AC118" s="194"/>
      <c r="AD118" s="16"/>
      <c r="AE118" s="16"/>
      <c r="AF118" s="16"/>
      <c r="AG118" s="16"/>
      <c r="AH118" s="16"/>
      <c r="AI118" s="16"/>
      <c r="AJ118" s="16"/>
      <c r="AK118" s="16"/>
      <c r="AL118" s="16"/>
    </row>
    <row r="119" spans="2:38">
      <c r="B119" t="str">
        <f t="shared" ref="B119:B124" si="158">B91</f>
        <v>Mauritius</v>
      </c>
      <c r="C119" s="4"/>
      <c r="D119" s="4"/>
      <c r="E119" s="36"/>
      <c r="F119" s="4"/>
      <c r="G119" s="65"/>
      <c r="H119" s="65"/>
      <c r="I119" s="65"/>
      <c r="J119" s="67">
        <f t="shared" si="156"/>
        <v>6.6271342646488165</v>
      </c>
      <c r="K119" s="67">
        <f t="shared" si="157"/>
        <v>6.9439802722300152</v>
      </c>
      <c r="L119" s="67">
        <f t="shared" si="157"/>
        <v>6.5071073649104134</v>
      </c>
      <c r="M119" s="67"/>
      <c r="N119" s="67"/>
      <c r="O119" s="67"/>
      <c r="P119" s="67"/>
      <c r="Q119" s="67"/>
      <c r="R119" s="67"/>
      <c r="S119" s="67"/>
      <c r="T119" s="67"/>
      <c r="U119" s="67"/>
      <c r="V119" s="67"/>
      <c r="W119" s="67"/>
      <c r="X119" s="67"/>
      <c r="Y119" s="67"/>
      <c r="Z119" s="67"/>
      <c r="AA119" s="67"/>
      <c r="AB119" s="21"/>
      <c r="AC119" s="194"/>
      <c r="AD119" s="16"/>
      <c r="AE119" s="16"/>
      <c r="AF119" s="16"/>
      <c r="AG119" s="16"/>
      <c r="AH119" s="16"/>
      <c r="AI119" s="16"/>
      <c r="AJ119" s="16"/>
      <c r="AK119" s="16"/>
      <c r="AL119" s="16"/>
    </row>
    <row r="120" spans="2:38">
      <c r="B120" t="str">
        <f t="shared" si="158"/>
        <v>Senegal</v>
      </c>
      <c r="C120" s="4"/>
      <c r="D120" s="4"/>
      <c r="E120" s="36"/>
      <c r="F120" s="4"/>
      <c r="G120" s="65"/>
      <c r="H120" s="65"/>
      <c r="I120" s="65"/>
      <c r="J120" s="67">
        <f t="shared" si="156"/>
        <v>6.3541406897184309</v>
      </c>
      <c r="K120" s="67">
        <f t="shared" ref="K120:P121" si="159">K129/K147</f>
        <v>5.7306040681018366</v>
      </c>
      <c r="L120" s="67">
        <f t="shared" si="159"/>
        <v>4.7648715321270547</v>
      </c>
      <c r="M120" s="67">
        <f t="shared" si="159"/>
        <v>3.9122895246650624</v>
      </c>
      <c r="N120" s="67">
        <f t="shared" si="159"/>
        <v>3.6275442588577866</v>
      </c>
      <c r="O120" s="67">
        <f t="shared" si="159"/>
        <v>3.3508522190323591</v>
      </c>
      <c r="P120" s="67">
        <f ca="1">P129/P147</f>
        <v>2.8943432528257973</v>
      </c>
      <c r="Q120" s="67"/>
      <c r="R120" s="67"/>
      <c r="S120" s="67"/>
      <c r="T120" s="67"/>
      <c r="U120" s="67"/>
      <c r="V120" s="67"/>
      <c r="W120" s="67"/>
      <c r="X120" s="67"/>
      <c r="Y120" s="67"/>
      <c r="Z120" s="67"/>
      <c r="AA120" s="67"/>
      <c r="AB120" s="21"/>
      <c r="AC120" s="194"/>
      <c r="AD120" s="16"/>
      <c r="AE120" s="16"/>
      <c r="AF120" s="16"/>
      <c r="AG120" s="16"/>
      <c r="AH120" s="16"/>
      <c r="AI120" s="16"/>
      <c r="AJ120" s="16"/>
      <c r="AK120" s="16"/>
      <c r="AL120" s="16"/>
    </row>
    <row r="121" spans="2:38">
      <c r="B121" t="str">
        <f t="shared" si="158"/>
        <v>Tanzania</v>
      </c>
      <c r="C121" s="4"/>
      <c r="D121" s="4"/>
      <c r="E121" s="36"/>
      <c r="F121" s="4"/>
      <c r="G121" s="65"/>
      <c r="H121" s="65"/>
      <c r="I121" s="65"/>
      <c r="J121" s="67">
        <f t="shared" si="156"/>
        <v>5.4989902027111679</v>
      </c>
      <c r="K121" s="67">
        <f t="shared" si="159"/>
        <v>5.0302972359194262</v>
      </c>
      <c r="L121" s="67">
        <f t="shared" si="159"/>
        <v>5.0247732392045421</v>
      </c>
      <c r="M121" s="67">
        <f t="shared" si="159"/>
        <v>4.980276154955658</v>
      </c>
      <c r="N121" s="67">
        <f t="shared" si="159"/>
        <v>4.8571903022251748</v>
      </c>
      <c r="O121" s="67">
        <f t="shared" si="159"/>
        <v>4.321074632473815</v>
      </c>
      <c r="P121" s="67">
        <f t="shared" si="159"/>
        <v>3.7313147377774145</v>
      </c>
      <c r="Q121" s="67"/>
      <c r="R121" s="67"/>
      <c r="S121" s="67"/>
      <c r="T121" s="67"/>
      <c r="U121" s="67"/>
      <c r="V121" s="67"/>
      <c r="W121" s="67"/>
      <c r="X121" s="67"/>
      <c r="Y121" s="67"/>
      <c r="Z121" s="67"/>
      <c r="AA121" s="67"/>
      <c r="AB121" s="21"/>
      <c r="AC121" s="194"/>
      <c r="AD121" s="16"/>
      <c r="AE121" s="16"/>
      <c r="AF121" s="16"/>
      <c r="AG121" s="16"/>
      <c r="AH121" s="16"/>
      <c r="AI121" s="16"/>
      <c r="AJ121" s="16"/>
      <c r="AK121" s="16"/>
      <c r="AL121" s="16"/>
    </row>
    <row r="122" spans="2:38">
      <c r="B122" t="str">
        <f t="shared" si="158"/>
        <v>Chad</v>
      </c>
      <c r="C122" s="4"/>
      <c r="D122" s="4"/>
      <c r="E122" s="36"/>
      <c r="F122" s="4"/>
      <c r="G122" s="65"/>
      <c r="H122" s="65"/>
      <c r="I122" s="65"/>
      <c r="J122" s="67">
        <f t="shared" si="156"/>
        <v>9.8491565312620111</v>
      </c>
      <c r="K122" s="67">
        <f t="shared" ref="K122:P122" si="160">K131/K149</f>
        <v>7.1738352634883649</v>
      </c>
      <c r="L122" s="67">
        <f t="shared" si="160"/>
        <v>5.6696868815314607</v>
      </c>
      <c r="M122" s="67">
        <f t="shared" si="160"/>
        <v>5.1312425837513782</v>
      </c>
      <c r="N122" s="67">
        <f t="shared" si="160"/>
        <v>5.7994706523431407</v>
      </c>
      <c r="O122" s="67">
        <f>O131/O149</f>
        <v>6.0036021612967785</v>
      </c>
      <c r="P122" s="67">
        <f t="shared" ca="1" si="160"/>
        <v>4.4876175249691208</v>
      </c>
      <c r="Q122" s="67"/>
      <c r="R122" s="67"/>
      <c r="S122" s="67"/>
      <c r="T122" s="67"/>
      <c r="U122" s="67"/>
      <c r="V122" s="67"/>
      <c r="W122" s="67"/>
      <c r="X122" s="67"/>
      <c r="Y122" s="67"/>
      <c r="Z122" s="67"/>
      <c r="AA122" s="67"/>
      <c r="AB122" s="21"/>
      <c r="AC122" s="194"/>
      <c r="AD122" s="16"/>
      <c r="AE122" s="16"/>
      <c r="AF122" s="16"/>
      <c r="AG122" s="16"/>
      <c r="AH122" s="16"/>
      <c r="AI122" s="16"/>
      <c r="AJ122" s="16"/>
      <c r="AK122" s="16"/>
      <c r="AL122" s="16"/>
    </row>
    <row r="123" spans="2:38">
      <c r="B123" t="str">
        <f t="shared" si="158"/>
        <v>Dem. Rep. Congo</v>
      </c>
      <c r="C123" s="4"/>
      <c r="D123" s="4"/>
      <c r="E123" s="36"/>
      <c r="F123" s="4"/>
      <c r="G123" s="65"/>
      <c r="H123" s="65"/>
      <c r="I123" s="65"/>
      <c r="J123" s="67">
        <f t="shared" si="156"/>
        <v>6.643220007815553</v>
      </c>
      <c r="K123" s="67">
        <f>K132/K150</f>
        <v>5.9083104749890776</v>
      </c>
      <c r="L123" s="67">
        <f>L132/L150</f>
        <v>5.0822670521147311</v>
      </c>
      <c r="M123" s="67">
        <f t="shared" ref="M123:P124" si="161">M132/M150</f>
        <v>4.5442177118663132</v>
      </c>
      <c r="N123" s="67">
        <f t="shared" si="161"/>
        <v>3.1913363560810866</v>
      </c>
      <c r="O123" s="67">
        <f t="shared" si="161"/>
        <v>2.3831295595112558</v>
      </c>
      <c r="P123" s="67">
        <f t="shared" si="161"/>
        <v>2.0293014714072193</v>
      </c>
      <c r="Q123" s="67"/>
      <c r="R123" s="67"/>
      <c r="S123" s="67"/>
      <c r="T123" s="67"/>
      <c r="U123" s="67"/>
      <c r="V123" s="67"/>
      <c r="W123" s="67"/>
      <c r="X123" s="67"/>
      <c r="Y123" s="67"/>
      <c r="Z123" s="67"/>
      <c r="AA123" s="67"/>
      <c r="AB123" s="21"/>
      <c r="AC123" s="194"/>
      <c r="AD123" s="16"/>
      <c r="AE123" s="16"/>
      <c r="AF123" s="16"/>
      <c r="AG123" s="16"/>
      <c r="AH123" s="16"/>
      <c r="AI123" s="16"/>
      <c r="AJ123" s="16"/>
      <c r="AK123" s="16"/>
      <c r="AL123" s="16"/>
    </row>
    <row r="124" spans="2:38">
      <c r="B124" t="str">
        <f t="shared" si="158"/>
        <v>Rwanda</v>
      </c>
      <c r="C124" s="4"/>
      <c r="D124" s="4"/>
      <c r="E124" s="36"/>
      <c r="F124" s="4"/>
      <c r="G124" s="65"/>
      <c r="H124" s="65"/>
      <c r="I124" s="55"/>
      <c r="J124" s="361">
        <v>4</v>
      </c>
      <c r="K124" s="67">
        <f>K133/K151</f>
        <v>4.1521391536798209</v>
      </c>
      <c r="L124" s="67">
        <f>L133/L151</f>
        <v>2.4705605395484431</v>
      </c>
      <c r="M124" s="67">
        <f t="shared" si="161"/>
        <v>2.3472112627029622</v>
      </c>
      <c r="N124" s="67">
        <f t="shared" si="161"/>
        <v>1.9420952931225757</v>
      </c>
      <c r="O124" s="67">
        <f t="shared" si="161"/>
        <v>2.3784306346078532</v>
      </c>
      <c r="P124" s="67">
        <f t="shared" si="161"/>
        <v>2.0129239978228792</v>
      </c>
      <c r="Q124" s="67"/>
      <c r="R124" s="67"/>
      <c r="S124" s="67"/>
      <c r="T124" s="67"/>
      <c r="U124" s="67"/>
      <c r="V124" s="67"/>
      <c r="W124" s="67"/>
      <c r="X124" s="67"/>
      <c r="Y124" s="67"/>
      <c r="Z124" s="67"/>
      <c r="AA124" s="67"/>
      <c r="AB124" s="21"/>
      <c r="AC124" s="194"/>
      <c r="AD124" s="16"/>
      <c r="AE124" s="16"/>
      <c r="AF124" s="16"/>
      <c r="AG124" s="16"/>
      <c r="AH124" s="16"/>
      <c r="AI124" s="16"/>
      <c r="AJ124" s="16"/>
      <c r="AK124" s="16"/>
      <c r="AL124" s="16"/>
    </row>
    <row r="125" spans="2:38">
      <c r="C125" s="4"/>
      <c r="D125" s="4"/>
      <c r="E125" s="36"/>
      <c r="F125" s="4"/>
      <c r="G125" s="65"/>
      <c r="H125" s="65"/>
      <c r="I125" s="55"/>
      <c r="J125" s="65"/>
      <c r="K125" s="65"/>
      <c r="L125" s="65"/>
      <c r="M125" s="65"/>
      <c r="N125" s="65"/>
      <c r="O125" s="65"/>
      <c r="P125" s="65"/>
      <c r="Q125" s="65"/>
      <c r="R125" s="65"/>
      <c r="S125" s="65"/>
      <c r="T125" s="65"/>
      <c r="U125" s="65"/>
      <c r="V125" s="65"/>
      <c r="W125" s="65"/>
      <c r="X125" s="65"/>
      <c r="Y125" s="65"/>
      <c r="Z125" s="65"/>
      <c r="AA125" s="65"/>
      <c r="AB125" s="21"/>
      <c r="AC125" s="194"/>
      <c r="AD125" s="16"/>
      <c r="AE125" s="16"/>
      <c r="AF125" s="16"/>
      <c r="AG125" s="16"/>
      <c r="AH125" s="16"/>
      <c r="AI125" s="16"/>
      <c r="AJ125" s="16"/>
      <c r="AK125" s="16"/>
      <c r="AL125" s="16"/>
    </row>
    <row r="126" spans="2:38">
      <c r="B126" s="57" t="s">
        <v>517</v>
      </c>
      <c r="C126" s="366">
        <f>C98</f>
        <v>2002</v>
      </c>
      <c r="D126" s="366">
        <f t="shared" ref="D126:P126" si="162">D98</f>
        <v>2003</v>
      </c>
      <c r="E126" s="366">
        <f t="shared" si="162"/>
        <v>2004</v>
      </c>
      <c r="F126" s="366">
        <f t="shared" si="162"/>
        <v>2005</v>
      </c>
      <c r="G126" s="366">
        <f t="shared" si="162"/>
        <v>2006</v>
      </c>
      <c r="H126" s="366">
        <f t="shared" si="162"/>
        <v>2007</v>
      </c>
      <c r="I126" s="366">
        <f t="shared" si="162"/>
        <v>2008</v>
      </c>
      <c r="J126" s="366">
        <f t="shared" si="162"/>
        <v>2009</v>
      </c>
      <c r="K126" s="399">
        <f>K98</f>
        <v>2010</v>
      </c>
      <c r="L126" s="399">
        <f>L98</f>
        <v>2011</v>
      </c>
      <c r="M126" s="399">
        <f t="shared" si="162"/>
        <v>2012</v>
      </c>
      <c r="N126" s="399">
        <f t="shared" si="162"/>
        <v>2013</v>
      </c>
      <c r="O126" s="399">
        <f t="shared" si="162"/>
        <v>2014</v>
      </c>
      <c r="P126" s="399">
        <f t="shared" si="162"/>
        <v>2015</v>
      </c>
      <c r="Q126" s="399">
        <f t="shared" ref="Q126:Z126" si="163">Q98</f>
        <v>2016</v>
      </c>
      <c r="R126" s="399">
        <f t="shared" si="163"/>
        <v>2017</v>
      </c>
      <c r="S126" s="399">
        <f t="shared" si="163"/>
        <v>2018</v>
      </c>
      <c r="T126" s="399">
        <f t="shared" si="163"/>
        <v>2019</v>
      </c>
      <c r="U126" s="399">
        <f t="shared" si="163"/>
        <v>2020</v>
      </c>
      <c r="V126" s="399">
        <f t="shared" si="163"/>
        <v>2021</v>
      </c>
      <c r="W126" s="399">
        <f t="shared" si="163"/>
        <v>2022</v>
      </c>
      <c r="X126" s="399">
        <f t="shared" si="163"/>
        <v>2023</v>
      </c>
      <c r="Y126" s="399">
        <f t="shared" si="163"/>
        <v>2024</v>
      </c>
      <c r="Z126" s="399">
        <f t="shared" si="163"/>
        <v>2025</v>
      </c>
      <c r="AA126" s="399">
        <f t="shared" ref="AA126" si="164">AA98</f>
        <v>2026</v>
      </c>
      <c r="AB126" s="21"/>
      <c r="AC126" s="194"/>
      <c r="AD126" s="16"/>
      <c r="AE126" s="16"/>
      <c r="AF126" s="16"/>
      <c r="AG126" s="16"/>
      <c r="AH126" s="16"/>
      <c r="AI126" s="16"/>
      <c r="AJ126" s="16"/>
      <c r="AK126" s="16"/>
      <c r="AL126" s="16"/>
    </row>
    <row r="127" spans="2:38">
      <c r="B127" t="str">
        <f>B99</f>
        <v>Ghana</v>
      </c>
      <c r="C127" s="4"/>
      <c r="D127" s="4"/>
      <c r="E127" s="36"/>
      <c r="F127" s="4"/>
      <c r="G127" s="65"/>
      <c r="H127" s="65"/>
      <c r="I127" s="67"/>
      <c r="J127" s="67">
        <f t="shared" ref="J127:L132" si="165">J99/AVERAGE(I48:J48)/12*1000</f>
        <v>7.716307315170762</v>
      </c>
      <c r="K127" s="67">
        <f t="shared" ref="K127:P127" si="166">K99/AVERAGE(J48:K48)/12*1000</f>
        <v>7.7301009324566436</v>
      </c>
      <c r="L127" s="67">
        <f t="shared" si="166"/>
        <v>6.9415138512341166</v>
      </c>
      <c r="M127" s="67">
        <f t="shared" si="166"/>
        <v>7.5602357261013715</v>
      </c>
      <c r="N127" s="67">
        <f t="shared" si="166"/>
        <v>8.1898986947204371</v>
      </c>
      <c r="O127" s="67">
        <f t="shared" si="166"/>
        <v>9.3402638944422218</v>
      </c>
      <c r="P127" s="67">
        <f t="shared" si="166"/>
        <v>11.073437211257568</v>
      </c>
      <c r="Q127" s="67"/>
      <c r="R127" s="67"/>
      <c r="S127" s="67"/>
      <c r="T127" s="67"/>
      <c r="U127" s="67"/>
      <c r="V127" s="67"/>
      <c r="W127" s="67"/>
      <c r="X127" s="67"/>
      <c r="Y127" s="67"/>
      <c r="Z127" s="67"/>
      <c r="AA127" s="67"/>
      <c r="AB127" s="16">
        <f t="shared" ref="AB127:AB132" si="167">P127/J127-1</f>
        <v>0.4350694910098345</v>
      </c>
      <c r="AC127" s="194"/>
      <c r="AD127" s="16"/>
      <c r="AE127" s="16"/>
      <c r="AF127" s="16"/>
      <c r="AG127" s="16"/>
      <c r="AH127" s="16"/>
      <c r="AI127" s="16"/>
      <c r="AJ127" s="16"/>
      <c r="AK127" s="16"/>
      <c r="AL127" s="16"/>
    </row>
    <row r="128" spans="2:38">
      <c r="B128" t="str">
        <f t="shared" ref="B128:B133" si="168">B100</f>
        <v>Mauritius</v>
      </c>
      <c r="C128" s="4"/>
      <c r="D128" s="4"/>
      <c r="E128" s="36"/>
      <c r="F128" s="4"/>
      <c r="G128" s="65"/>
      <c r="H128" s="65"/>
      <c r="I128" s="69"/>
      <c r="J128" s="69">
        <f t="shared" si="165"/>
        <v>212.06829646876213</v>
      </c>
      <c r="K128" s="69">
        <f t="shared" si="165"/>
        <v>213.88710649633478</v>
      </c>
      <c r="L128" s="40">
        <f t="shared" ref="L128:O130" si="169">L100/AVERAGE(K49:L49)/12*1000</f>
        <v>188.706113582402</v>
      </c>
      <c r="M128" s="40">
        <f t="shared" si="169"/>
        <v>0</v>
      </c>
      <c r="N128" s="69">
        <f t="shared" ref="N128:P132" si="170">(1+N137)*M128</f>
        <v>0</v>
      </c>
      <c r="O128" s="69">
        <f t="shared" si="170"/>
        <v>0</v>
      </c>
      <c r="P128" s="69">
        <f t="shared" si="170"/>
        <v>0</v>
      </c>
      <c r="Q128" s="69"/>
      <c r="R128" s="69"/>
      <c r="S128" s="69"/>
      <c r="T128" s="69"/>
      <c r="U128" s="69"/>
      <c r="V128" s="69"/>
      <c r="W128" s="69"/>
      <c r="X128" s="69"/>
      <c r="Y128" s="69"/>
      <c r="Z128" s="69"/>
      <c r="AA128" s="69"/>
      <c r="AB128" s="16">
        <f t="shared" si="167"/>
        <v>-1</v>
      </c>
      <c r="AC128" s="194"/>
      <c r="AD128" s="16"/>
      <c r="AE128" s="16"/>
      <c r="AF128" s="16"/>
      <c r="AG128" s="16"/>
      <c r="AH128" s="16"/>
      <c r="AI128" s="16"/>
      <c r="AJ128" s="16"/>
      <c r="AK128" s="16"/>
      <c r="AL128" s="16"/>
    </row>
    <row r="129" spans="2:38">
      <c r="B129" t="str">
        <f t="shared" si="168"/>
        <v>Senegal</v>
      </c>
      <c r="C129" s="4"/>
      <c r="D129" s="4"/>
      <c r="E129" s="36"/>
      <c r="F129" s="4"/>
      <c r="G129" s="65"/>
      <c r="H129" s="65"/>
      <c r="I129" s="69"/>
      <c r="J129" s="69">
        <f t="shared" si="165"/>
        <v>2999.1544055470995</v>
      </c>
      <c r="K129" s="69">
        <f t="shared" si="165"/>
        <v>2839.5527669717153</v>
      </c>
      <c r="L129" s="40">
        <f t="shared" si="169"/>
        <v>2249.01936316397</v>
      </c>
      <c r="M129" s="40">
        <f t="shared" si="169"/>
        <v>1999.1799471038469</v>
      </c>
      <c r="N129" s="30">
        <f t="shared" si="170"/>
        <v>1799.2619523934623</v>
      </c>
      <c r="O129" s="30">
        <f>(1+O138)*N129</f>
        <v>1655.3209962019853</v>
      </c>
      <c r="P129" s="69">
        <f t="shared" si="170"/>
        <v>1721.5338360500648</v>
      </c>
      <c r="Q129" s="69"/>
      <c r="R129" s="69"/>
      <c r="S129" s="69"/>
      <c r="T129" s="69"/>
      <c r="U129" s="69"/>
      <c r="V129" s="69"/>
      <c r="W129" s="69"/>
      <c r="X129" s="69"/>
      <c r="Y129" s="69"/>
      <c r="Z129" s="69"/>
      <c r="AA129" s="69"/>
      <c r="AB129" s="16">
        <f t="shared" si="167"/>
        <v>-0.42599359577286378</v>
      </c>
      <c r="AC129" s="194"/>
      <c r="AD129" s="16"/>
      <c r="AE129" s="16"/>
      <c r="AF129" s="16"/>
      <c r="AG129" s="16"/>
      <c r="AH129" s="16"/>
      <c r="AI129" s="16"/>
      <c r="AJ129" s="16"/>
      <c r="AK129" s="16"/>
      <c r="AL129" s="16"/>
    </row>
    <row r="130" spans="2:38">
      <c r="B130" t="str">
        <f t="shared" si="168"/>
        <v>Tanzania</v>
      </c>
      <c r="C130" s="4"/>
      <c r="D130" s="4"/>
      <c r="E130" s="36"/>
      <c r="F130" s="4"/>
      <c r="G130" s="65"/>
      <c r="H130" s="65"/>
      <c r="I130" s="69"/>
      <c r="J130" s="69">
        <f t="shared" si="165"/>
        <v>7286.1620185922975</v>
      </c>
      <c r="K130" s="69">
        <f t="shared" si="165"/>
        <v>7250.6763834075846</v>
      </c>
      <c r="L130" s="40">
        <f t="shared" si="169"/>
        <v>7969.2903573784042</v>
      </c>
      <c r="M130" s="40">
        <f t="shared" si="169"/>
        <v>7898.7179817596734</v>
      </c>
      <c r="N130" s="40">
        <f t="shared" si="169"/>
        <v>7873.5054799070076</v>
      </c>
      <c r="O130" s="40">
        <f t="shared" si="169"/>
        <v>6974.2144568127378</v>
      </c>
      <c r="P130" s="69">
        <f t="shared" si="170"/>
        <v>7392.6673242215029</v>
      </c>
      <c r="Q130" s="69"/>
      <c r="R130" s="69"/>
      <c r="S130" s="69"/>
      <c r="T130" s="69"/>
      <c r="U130" s="69"/>
      <c r="V130" s="69"/>
      <c r="W130" s="69"/>
      <c r="X130" s="69"/>
      <c r="Y130" s="69"/>
      <c r="Z130" s="69"/>
      <c r="AA130" s="69"/>
      <c r="AB130" s="16">
        <f t="shared" si="167"/>
        <v>1.4617476986846123E-2</v>
      </c>
      <c r="AC130" s="194"/>
      <c r="AD130" s="16"/>
      <c r="AE130" s="16"/>
      <c r="AF130" s="16"/>
      <c r="AG130" s="16"/>
      <c r="AH130" s="16"/>
      <c r="AI130" s="16"/>
      <c r="AJ130" s="16"/>
      <c r="AK130" s="16"/>
      <c r="AL130" s="16"/>
    </row>
    <row r="131" spans="2:38">
      <c r="B131" t="str">
        <f t="shared" si="168"/>
        <v>Chad</v>
      </c>
      <c r="C131" s="4"/>
      <c r="D131" s="4"/>
      <c r="E131" s="36"/>
      <c r="F131" s="4"/>
      <c r="G131" s="65"/>
      <c r="H131" s="65"/>
      <c r="I131" s="69"/>
      <c r="J131" s="69">
        <f t="shared" si="165"/>
        <v>4648.8018827556689</v>
      </c>
      <c r="K131" s="69">
        <f t="shared" si="165"/>
        <v>3554.6835080834717</v>
      </c>
      <c r="L131" s="40">
        <f t="shared" si="165"/>
        <v>2676.0922080828495</v>
      </c>
      <c r="M131" s="40">
        <f>M103/AVERAGE(L52:M52)/12*1000</f>
        <v>2622.0649602969543</v>
      </c>
      <c r="N131" s="40">
        <f>N103/AVERAGE(M52:N52)/12*1000</f>
        <v>2876.537443562198</v>
      </c>
      <c r="O131" s="40">
        <f>O103/AVERAGE(N52:O52)/12*1000</f>
        <v>2965.7794676806084</v>
      </c>
      <c r="P131" s="69">
        <f t="shared" si="170"/>
        <v>2669.2015209125475</v>
      </c>
      <c r="Q131" s="69"/>
      <c r="R131" s="69"/>
      <c r="S131" s="69"/>
      <c r="T131" s="69"/>
      <c r="U131" s="69"/>
      <c r="V131" s="69"/>
      <c r="W131" s="69"/>
      <c r="X131" s="69"/>
      <c r="Y131" s="69"/>
      <c r="Z131" s="69"/>
      <c r="AA131" s="69"/>
      <c r="AB131" s="16">
        <f t="shared" si="167"/>
        <v>-0.42583022717880903</v>
      </c>
      <c r="AC131" s="194"/>
      <c r="AD131" s="16"/>
      <c r="AE131" s="16"/>
      <c r="AF131" s="16"/>
      <c r="AG131" s="16"/>
      <c r="AH131" s="16"/>
      <c r="AI131" s="16"/>
      <c r="AJ131" s="16"/>
      <c r="AK131" s="16"/>
      <c r="AL131" s="16"/>
    </row>
    <row r="132" spans="2:38">
      <c r="B132" t="str">
        <f t="shared" si="168"/>
        <v>Dem. Rep. Congo</v>
      </c>
      <c r="C132" s="4"/>
      <c r="D132" s="4"/>
      <c r="E132" s="36"/>
      <c r="F132" s="4"/>
      <c r="G132" s="65"/>
      <c r="H132" s="65"/>
      <c r="I132" s="69"/>
      <c r="J132" s="69">
        <f t="shared" si="165"/>
        <v>5347.7921062915202</v>
      </c>
      <c r="K132" s="69">
        <f t="shared" si="165"/>
        <v>5351.8259483587963</v>
      </c>
      <c r="L132" s="40">
        <f t="shared" si="165"/>
        <v>4670.6034208934379</v>
      </c>
      <c r="M132" s="40">
        <f>M104/AVERAGE(L53:M53)/12*1000</f>
        <v>4189.7687303407411</v>
      </c>
      <c r="N132" s="30">
        <f t="shared" si="170"/>
        <v>2932.8381112385186</v>
      </c>
      <c r="O132" s="30">
        <f t="shared" si="170"/>
        <v>2199.6285834288892</v>
      </c>
      <c r="P132" s="69">
        <f t="shared" si="170"/>
        <v>1869.6842959145558</v>
      </c>
      <c r="Q132" s="69"/>
      <c r="R132" s="69"/>
      <c r="S132" s="69"/>
      <c r="T132" s="69"/>
      <c r="U132" s="69"/>
      <c r="V132" s="69"/>
      <c r="W132" s="69"/>
      <c r="X132" s="69"/>
      <c r="Y132" s="69"/>
      <c r="Z132" s="69"/>
      <c r="AA132" s="69"/>
      <c r="AB132" s="16">
        <f t="shared" si="167"/>
        <v>-0.65038201583884925</v>
      </c>
      <c r="AC132" s="194"/>
      <c r="AD132" s="16"/>
      <c r="AE132" s="16"/>
      <c r="AF132" s="16"/>
      <c r="AG132" s="16"/>
      <c r="AH132" s="16"/>
      <c r="AI132" s="16"/>
      <c r="AJ132" s="16"/>
      <c r="AK132" s="16"/>
      <c r="AL132" s="16"/>
    </row>
    <row r="133" spans="2:38">
      <c r="B133" t="str">
        <f t="shared" si="168"/>
        <v>Rwanda</v>
      </c>
      <c r="C133" s="4"/>
      <c r="D133" s="4"/>
      <c r="E133" s="36"/>
      <c r="F133" s="4"/>
      <c r="G133" s="65"/>
      <c r="H133" s="65"/>
      <c r="I133" s="69"/>
      <c r="J133" s="69"/>
      <c r="K133" s="69">
        <f t="shared" ref="K133:P133" si="171">K105/AVERAGE(J54,K54)/12*1000</f>
        <v>2421.3319359422158</v>
      </c>
      <c r="L133" s="40">
        <f t="shared" si="171"/>
        <v>1482.336323729066</v>
      </c>
      <c r="M133" s="40">
        <f t="shared" si="171"/>
        <v>1441.1877152996187</v>
      </c>
      <c r="N133" s="69">
        <f t="shared" si="171"/>
        <v>1260.8276852481074</v>
      </c>
      <c r="O133" s="69">
        <f t="shared" si="171"/>
        <v>1631.3655722775266</v>
      </c>
      <c r="P133" s="69">
        <f t="shared" si="171"/>
        <v>1446.5134938236545</v>
      </c>
      <c r="Q133" s="69"/>
      <c r="R133" s="69"/>
      <c r="S133" s="69"/>
      <c r="T133" s="69"/>
      <c r="U133" s="69"/>
      <c r="V133" s="69"/>
      <c r="W133" s="69"/>
      <c r="X133" s="69"/>
      <c r="Y133" s="69"/>
      <c r="Z133" s="69"/>
      <c r="AA133" s="69"/>
      <c r="AB133" s="16"/>
      <c r="AC133" s="194"/>
      <c r="AD133" s="16"/>
      <c r="AE133" s="16"/>
      <c r="AF133" s="16"/>
      <c r="AG133" s="16"/>
      <c r="AH133" s="16"/>
      <c r="AI133" s="16"/>
      <c r="AJ133" s="16"/>
      <c r="AK133" s="16"/>
      <c r="AL133" s="16"/>
    </row>
    <row r="134" spans="2:38">
      <c r="C134" s="4"/>
      <c r="D134" s="4"/>
      <c r="E134" s="36"/>
      <c r="F134" s="4"/>
      <c r="G134" s="65"/>
      <c r="H134" s="65"/>
      <c r="I134" s="55"/>
      <c r="J134" s="55"/>
      <c r="K134" s="55"/>
      <c r="L134" s="65"/>
      <c r="M134" s="65"/>
      <c r="N134" s="65"/>
      <c r="O134" s="65"/>
      <c r="P134" s="65"/>
      <c r="Q134" s="65"/>
      <c r="R134" s="65"/>
      <c r="S134" s="65"/>
      <c r="T134" s="65"/>
      <c r="U134" s="65"/>
      <c r="V134" s="65"/>
      <c r="W134" s="65"/>
      <c r="X134" s="65"/>
      <c r="Y134" s="65"/>
      <c r="Z134" s="65"/>
      <c r="AA134" s="65"/>
      <c r="AB134" s="21"/>
      <c r="AC134" s="194"/>
      <c r="AD134" s="16"/>
      <c r="AE134" s="16"/>
      <c r="AF134" s="16"/>
      <c r="AG134" s="16"/>
      <c r="AH134" s="16"/>
      <c r="AI134" s="16"/>
      <c r="AJ134" s="16"/>
      <c r="AK134" s="16"/>
      <c r="AL134" s="16"/>
    </row>
    <row r="135" spans="2:38">
      <c r="B135" s="12" t="s">
        <v>331</v>
      </c>
      <c r="C135" s="366">
        <f>C126</f>
        <v>2002</v>
      </c>
      <c r="D135" s="366">
        <f t="shared" ref="D135:P135" si="172">D126</f>
        <v>2003</v>
      </c>
      <c r="E135" s="366">
        <f t="shared" si="172"/>
        <v>2004</v>
      </c>
      <c r="F135" s="366">
        <f t="shared" si="172"/>
        <v>2005</v>
      </c>
      <c r="G135" s="366">
        <f t="shared" si="172"/>
        <v>2006</v>
      </c>
      <c r="H135" s="366">
        <f t="shared" si="172"/>
        <v>2007</v>
      </c>
      <c r="I135" s="366">
        <f t="shared" si="172"/>
        <v>2008</v>
      </c>
      <c r="J135" s="366">
        <f t="shared" si="172"/>
        <v>2009</v>
      </c>
      <c r="K135" s="399">
        <f t="shared" si="172"/>
        <v>2010</v>
      </c>
      <c r="L135" s="399">
        <f t="shared" si="172"/>
        <v>2011</v>
      </c>
      <c r="M135" s="399">
        <f t="shared" si="172"/>
        <v>2012</v>
      </c>
      <c r="N135" s="399">
        <f t="shared" si="172"/>
        <v>2013</v>
      </c>
      <c r="O135" s="399">
        <f t="shared" si="172"/>
        <v>2014</v>
      </c>
      <c r="P135" s="399">
        <f t="shared" si="172"/>
        <v>2015</v>
      </c>
      <c r="Q135" s="399">
        <f t="shared" ref="Q135:Z135" si="173">Q126</f>
        <v>2016</v>
      </c>
      <c r="R135" s="399">
        <f t="shared" si="173"/>
        <v>2017</v>
      </c>
      <c r="S135" s="399">
        <f t="shared" si="173"/>
        <v>2018</v>
      </c>
      <c r="T135" s="399">
        <f t="shared" si="173"/>
        <v>2019</v>
      </c>
      <c r="U135" s="399">
        <f t="shared" si="173"/>
        <v>2020</v>
      </c>
      <c r="V135" s="399">
        <f t="shared" si="173"/>
        <v>2021</v>
      </c>
      <c r="W135" s="399">
        <f t="shared" si="173"/>
        <v>2022</v>
      </c>
      <c r="X135" s="399">
        <f t="shared" si="173"/>
        <v>2023</v>
      </c>
      <c r="Y135" s="399">
        <f t="shared" si="173"/>
        <v>2024</v>
      </c>
      <c r="Z135" s="399">
        <f t="shared" si="173"/>
        <v>2025</v>
      </c>
      <c r="AA135" s="399">
        <f t="shared" ref="AA135" si="174">AA126</f>
        <v>2026</v>
      </c>
      <c r="AB135" s="21"/>
      <c r="AC135" s="194"/>
      <c r="AD135" s="16"/>
      <c r="AE135" s="16"/>
      <c r="AF135" s="16"/>
      <c r="AG135" s="16"/>
      <c r="AH135" s="16"/>
      <c r="AI135" s="16"/>
      <c r="AJ135" s="16"/>
      <c r="AK135" s="16"/>
      <c r="AL135" s="16"/>
    </row>
    <row r="136" spans="2:38">
      <c r="B136" t="str">
        <f>B127</f>
        <v>Ghana</v>
      </c>
      <c r="C136" s="4"/>
      <c r="D136" s="4"/>
      <c r="E136" s="36"/>
      <c r="F136" s="4"/>
      <c r="G136" s="65"/>
      <c r="H136" s="65"/>
      <c r="I136" s="55"/>
      <c r="J136" s="55"/>
      <c r="K136" s="70">
        <v>-0.01</v>
      </c>
      <c r="L136" s="36">
        <f t="shared" ref="L136:M142" si="175">L127/K127-1</f>
        <v>-0.10201510796727875</v>
      </c>
      <c r="M136" s="36">
        <f>M127/L127-1</f>
        <v>8.913356482855006E-2</v>
      </c>
      <c r="N136" s="36">
        <f>N127/M127-1</f>
        <v>8.3286155542106055E-2</v>
      </c>
      <c r="O136" s="36">
        <f>O127/N127-1</f>
        <v>0.14046146876802768</v>
      </c>
      <c r="P136" s="70">
        <v>0.23</v>
      </c>
      <c r="Q136" s="36"/>
      <c r="R136" s="36"/>
      <c r="S136" s="36"/>
      <c r="T136" s="36"/>
      <c r="U136" s="36"/>
      <c r="V136" s="36"/>
      <c r="W136" s="36"/>
      <c r="X136" s="36"/>
      <c r="Y136" s="36"/>
      <c r="Z136" s="36"/>
      <c r="AA136" s="36"/>
      <c r="AB136" s="21"/>
      <c r="AC136" s="194"/>
      <c r="AD136" s="16"/>
      <c r="AE136" s="16"/>
      <c r="AF136" s="16"/>
      <c r="AG136" s="16"/>
      <c r="AH136" s="16"/>
      <c r="AI136" s="16"/>
      <c r="AJ136" s="16"/>
      <c r="AK136" s="16"/>
      <c r="AL136" s="16"/>
    </row>
    <row r="137" spans="2:38">
      <c r="B137" t="str">
        <f t="shared" ref="B137:B142" si="176">B128</f>
        <v>Mauritius</v>
      </c>
      <c r="C137" s="4"/>
      <c r="D137" s="4"/>
      <c r="E137" s="36"/>
      <c r="F137" s="4"/>
      <c r="G137" s="65"/>
      <c r="H137" s="65"/>
      <c r="I137" s="55"/>
      <c r="J137" s="55"/>
      <c r="K137" s="70">
        <v>0.02</v>
      </c>
      <c r="L137" s="36">
        <f t="shared" si="175"/>
        <v>-0.11773029859733175</v>
      </c>
      <c r="M137" s="36"/>
      <c r="N137" s="36"/>
      <c r="O137" s="36"/>
      <c r="P137" s="36"/>
      <c r="Q137" s="36"/>
      <c r="R137" s="36"/>
      <c r="S137" s="36"/>
      <c r="T137" s="36"/>
      <c r="U137" s="36"/>
      <c r="V137" s="36"/>
      <c r="W137" s="36"/>
      <c r="X137" s="36"/>
      <c r="Y137" s="36"/>
      <c r="Z137" s="36"/>
      <c r="AA137" s="36"/>
      <c r="AB137" s="21"/>
      <c r="AC137" s="194"/>
      <c r="AD137" s="16"/>
      <c r="AE137" s="16"/>
      <c r="AF137" s="16"/>
      <c r="AG137" s="16"/>
      <c r="AH137" s="16"/>
      <c r="AI137" s="16"/>
      <c r="AJ137" s="16"/>
      <c r="AK137" s="16"/>
      <c r="AL137" s="16"/>
    </row>
    <row r="138" spans="2:38">
      <c r="B138" t="str">
        <f t="shared" si="176"/>
        <v>Senegal</v>
      </c>
      <c r="C138" s="4"/>
      <c r="D138" s="4"/>
      <c r="E138" s="36"/>
      <c r="F138" s="4"/>
      <c r="G138" s="65"/>
      <c r="H138" s="65"/>
      <c r="I138" s="55"/>
      <c r="J138" s="55"/>
      <c r="K138" s="70">
        <v>-0.05</v>
      </c>
      <c r="L138" s="36">
        <f t="shared" si="175"/>
        <v>-0.20796704702111546</v>
      </c>
      <c r="M138" s="36">
        <f>M129/L129-1</f>
        <v>-0.11108815697728969</v>
      </c>
      <c r="N138" s="70">
        <v>-0.1</v>
      </c>
      <c r="O138" s="70">
        <v>-0.08</v>
      </c>
      <c r="P138" s="70">
        <v>0.04</v>
      </c>
      <c r="Q138" s="36"/>
      <c r="R138" s="36"/>
      <c r="S138" s="36"/>
      <c r="T138" s="36"/>
      <c r="U138" s="36"/>
      <c r="V138" s="36"/>
      <c r="W138" s="36"/>
      <c r="X138" s="36"/>
      <c r="Y138" s="36"/>
      <c r="Z138" s="36"/>
      <c r="AA138" s="36"/>
      <c r="AB138" s="21"/>
      <c r="AC138" s="194"/>
      <c r="AD138" s="16"/>
      <c r="AE138" s="16"/>
      <c r="AF138" s="16"/>
      <c r="AG138" s="16"/>
      <c r="AH138" s="16"/>
      <c r="AI138" s="16"/>
      <c r="AJ138" s="16"/>
      <c r="AK138" s="16"/>
      <c r="AL138" s="16"/>
    </row>
    <row r="139" spans="2:38">
      <c r="B139" t="str">
        <f t="shared" si="176"/>
        <v>Tanzania</v>
      </c>
      <c r="C139" s="4"/>
      <c r="D139" s="4"/>
      <c r="E139" s="36"/>
      <c r="F139" s="4"/>
      <c r="G139" s="65"/>
      <c r="H139" s="65"/>
      <c r="I139" s="55"/>
      <c r="J139" s="55"/>
      <c r="K139" s="70">
        <v>-0.04</v>
      </c>
      <c r="L139" s="36">
        <f t="shared" si="175"/>
        <v>9.9109922436380282E-2</v>
      </c>
      <c r="M139" s="36">
        <f t="shared" si="175"/>
        <v>-8.8555407638511996E-3</v>
      </c>
      <c r="N139" s="70">
        <v>0.01</v>
      </c>
      <c r="O139" s="70">
        <v>-0.03</v>
      </c>
      <c r="P139" s="998">
        <v>0.06</v>
      </c>
      <c r="Q139" s="36"/>
      <c r="R139" s="36"/>
      <c r="S139" s="36"/>
      <c r="T139" s="36"/>
      <c r="U139" s="36"/>
      <c r="V139" s="36"/>
      <c r="W139" s="36"/>
      <c r="X139" s="36"/>
      <c r="Y139" s="36"/>
      <c r="Z139" s="36"/>
      <c r="AA139" s="36"/>
      <c r="AB139" s="21"/>
      <c r="AC139" s="194"/>
      <c r="AD139" s="16"/>
      <c r="AE139" s="16"/>
      <c r="AF139" s="16"/>
      <c r="AG139" s="16"/>
      <c r="AH139" s="16"/>
      <c r="AI139" s="16"/>
      <c r="AJ139" s="16"/>
      <c r="AK139" s="16"/>
      <c r="AL139" s="16"/>
    </row>
    <row r="140" spans="2:38">
      <c r="B140" t="str">
        <f t="shared" si="176"/>
        <v>Chad</v>
      </c>
      <c r="C140" s="4"/>
      <c r="D140" s="4"/>
      <c r="E140" s="36"/>
      <c r="F140" s="4"/>
      <c r="G140" s="65"/>
      <c r="H140" s="65"/>
      <c r="I140" s="55"/>
      <c r="J140" s="55"/>
      <c r="K140" s="70">
        <v>-0.22</v>
      </c>
      <c r="L140" s="36">
        <f t="shared" si="175"/>
        <v>-0.24716442350005996</v>
      </c>
      <c r="M140" s="36">
        <f t="shared" si="175"/>
        <v>-2.0188858822843159E-2</v>
      </c>
      <c r="N140" s="70">
        <v>0.03</v>
      </c>
      <c r="O140" s="70">
        <v>-0.01</v>
      </c>
      <c r="P140" s="70">
        <v>-0.1</v>
      </c>
      <c r="Q140" s="36"/>
      <c r="R140" s="36"/>
      <c r="S140" s="36"/>
      <c r="T140" s="36"/>
      <c r="U140" s="36"/>
      <c r="V140" s="36"/>
      <c r="W140" s="36"/>
      <c r="X140" s="36"/>
      <c r="Y140" s="36"/>
      <c r="Z140" s="36"/>
      <c r="AA140" s="36"/>
      <c r="AB140" s="21"/>
      <c r="AC140" s="194"/>
      <c r="AD140" s="16"/>
      <c r="AE140" s="16"/>
      <c r="AF140" s="16"/>
      <c r="AG140" s="16"/>
      <c r="AH140" s="16"/>
      <c r="AI140" s="16"/>
      <c r="AJ140" s="16"/>
      <c r="AK140" s="16"/>
      <c r="AL140" s="16"/>
    </row>
    <row r="141" spans="2:38">
      <c r="B141" t="str">
        <f t="shared" si="176"/>
        <v>Dem. Rep. Congo</v>
      </c>
      <c r="C141" s="4"/>
      <c r="D141" s="4"/>
      <c r="E141" s="36"/>
      <c r="F141" s="4"/>
      <c r="G141" s="65"/>
      <c r="H141" s="65"/>
      <c r="I141" s="55"/>
      <c r="J141" s="55"/>
      <c r="K141" s="70">
        <v>0.06</v>
      </c>
      <c r="L141" s="36">
        <f t="shared" si="175"/>
        <v>-0.12728787035278377</v>
      </c>
      <c r="M141" s="36">
        <f t="shared" si="175"/>
        <v>-0.10294915821834394</v>
      </c>
      <c r="N141" s="70">
        <v>-0.3</v>
      </c>
      <c r="O141" s="70">
        <v>-0.25</v>
      </c>
      <c r="P141" s="70">
        <v>-0.15</v>
      </c>
      <c r="Q141" s="36"/>
      <c r="R141" s="36"/>
      <c r="S141" s="36"/>
      <c r="T141" s="36"/>
      <c r="U141" s="36"/>
      <c r="V141" s="36"/>
      <c r="W141" s="36"/>
      <c r="X141" s="36"/>
      <c r="Y141" s="36"/>
      <c r="Z141" s="36"/>
      <c r="AA141" s="36"/>
      <c r="AB141" s="21"/>
      <c r="AC141" s="194"/>
      <c r="AD141" s="16"/>
      <c r="AE141" s="16"/>
      <c r="AF141" s="16"/>
      <c r="AG141" s="16"/>
      <c r="AH141" s="16"/>
      <c r="AI141" s="16"/>
      <c r="AJ141" s="16"/>
      <c r="AK141" s="16"/>
      <c r="AL141" s="16"/>
    </row>
    <row r="142" spans="2:38">
      <c r="B142" t="str">
        <f t="shared" si="176"/>
        <v>Rwanda</v>
      </c>
      <c r="C142" s="4"/>
      <c r="D142" s="4"/>
      <c r="E142" s="36"/>
      <c r="F142" s="4"/>
      <c r="G142" s="65"/>
      <c r="H142" s="65"/>
      <c r="I142" s="55"/>
      <c r="J142" s="50"/>
      <c r="K142" s="55"/>
      <c r="L142" s="55">
        <f t="shared" si="175"/>
        <v>-0.38780127510595008</v>
      </c>
      <c r="M142" s="55">
        <f t="shared" si="175"/>
        <v>-2.7759293063756907E-2</v>
      </c>
      <c r="N142" s="55">
        <f>N133/M133-1</f>
        <v>-0.12514679950211416</v>
      </c>
      <c r="O142" s="55">
        <f>O133/N133-1</f>
        <v>0.29388463734162396</v>
      </c>
      <c r="P142" s="55">
        <f>P133/O133-1</f>
        <v>-0.1133112538324581</v>
      </c>
      <c r="Q142" s="55"/>
      <c r="R142" s="55"/>
      <c r="S142" s="55"/>
      <c r="T142" s="55"/>
      <c r="U142" s="55"/>
      <c r="V142" s="55"/>
      <c r="W142" s="55"/>
      <c r="X142" s="55"/>
      <c r="Y142" s="55"/>
      <c r="Z142" s="55"/>
      <c r="AA142" s="55"/>
      <c r="AB142" s="21"/>
      <c r="AC142" s="194"/>
      <c r="AD142" s="16"/>
      <c r="AE142" s="16"/>
      <c r="AF142" s="16"/>
      <c r="AG142" s="16"/>
      <c r="AH142" s="16"/>
      <c r="AI142" s="16"/>
      <c r="AJ142" s="16"/>
      <c r="AK142" s="16"/>
      <c r="AL142" s="16"/>
    </row>
    <row r="143" spans="2:38">
      <c r="C143" s="4"/>
      <c r="D143" s="4"/>
      <c r="E143" s="36"/>
      <c r="F143" s="4"/>
      <c r="G143" s="65"/>
      <c r="H143" s="65"/>
      <c r="I143" s="55"/>
      <c r="J143" s="55"/>
      <c r="K143" s="55"/>
      <c r="L143" s="65"/>
      <c r="M143" s="65"/>
      <c r="N143" s="65"/>
      <c r="O143" s="65"/>
      <c r="P143" s="65"/>
      <c r="Q143" s="65"/>
      <c r="R143" s="65"/>
      <c r="S143" s="65"/>
      <c r="T143" s="65"/>
      <c r="U143" s="65"/>
      <c r="V143" s="65"/>
      <c r="W143" s="65"/>
      <c r="X143" s="65"/>
      <c r="Y143" s="65"/>
      <c r="Z143" s="65"/>
      <c r="AA143" s="65"/>
      <c r="AB143" s="21"/>
      <c r="AC143" s="194"/>
      <c r="AD143" s="16"/>
      <c r="AE143" s="16"/>
      <c r="AF143" s="16"/>
      <c r="AG143" s="16"/>
      <c r="AH143" s="16"/>
      <c r="AI143" s="16"/>
      <c r="AJ143" s="16"/>
      <c r="AK143" s="16"/>
      <c r="AL143" s="16"/>
    </row>
    <row r="144" spans="2:38">
      <c r="B144" s="57" t="s">
        <v>1905</v>
      </c>
      <c r="C144" s="366">
        <f t="shared" ref="C144:P144" si="177">C98</f>
        <v>2002</v>
      </c>
      <c r="D144" s="366">
        <f t="shared" si="177"/>
        <v>2003</v>
      </c>
      <c r="E144" s="366">
        <f t="shared" si="177"/>
        <v>2004</v>
      </c>
      <c r="F144" s="366">
        <f t="shared" si="177"/>
        <v>2005</v>
      </c>
      <c r="G144" s="366">
        <f t="shared" si="177"/>
        <v>2006</v>
      </c>
      <c r="H144" s="366">
        <f t="shared" si="177"/>
        <v>2007</v>
      </c>
      <c r="I144" s="366">
        <f t="shared" si="177"/>
        <v>2008</v>
      </c>
      <c r="J144" s="366">
        <f t="shared" si="177"/>
        <v>2009</v>
      </c>
      <c r="K144" s="399">
        <f t="shared" si="177"/>
        <v>2010</v>
      </c>
      <c r="L144" s="399">
        <f t="shared" si="177"/>
        <v>2011</v>
      </c>
      <c r="M144" s="399">
        <f t="shared" si="177"/>
        <v>2012</v>
      </c>
      <c r="N144" s="399">
        <f t="shared" si="177"/>
        <v>2013</v>
      </c>
      <c r="O144" s="399">
        <f t="shared" si="177"/>
        <v>2014</v>
      </c>
      <c r="P144" s="399">
        <f t="shared" si="177"/>
        <v>2015</v>
      </c>
      <c r="Q144" s="399">
        <f t="shared" ref="Q144:Z144" si="178">Q98</f>
        <v>2016</v>
      </c>
      <c r="R144" s="399">
        <f t="shared" si="178"/>
        <v>2017</v>
      </c>
      <c r="S144" s="399">
        <f t="shared" si="178"/>
        <v>2018</v>
      </c>
      <c r="T144" s="399">
        <f t="shared" si="178"/>
        <v>2019</v>
      </c>
      <c r="U144" s="399">
        <f t="shared" si="178"/>
        <v>2020</v>
      </c>
      <c r="V144" s="399">
        <f t="shared" si="178"/>
        <v>2021</v>
      </c>
      <c r="W144" s="399">
        <f t="shared" si="178"/>
        <v>2022</v>
      </c>
      <c r="X144" s="399">
        <f t="shared" si="178"/>
        <v>2023</v>
      </c>
      <c r="Y144" s="399">
        <f t="shared" si="178"/>
        <v>2024</v>
      </c>
      <c r="Z144" s="399">
        <f t="shared" si="178"/>
        <v>2025</v>
      </c>
      <c r="AA144" s="399">
        <f t="shared" ref="AA144" si="179">AA98</f>
        <v>2026</v>
      </c>
      <c r="AB144" s="21"/>
      <c r="AC144" s="194"/>
      <c r="AD144" s="16"/>
      <c r="AE144" s="16"/>
      <c r="AF144" s="16"/>
      <c r="AG144" s="16"/>
      <c r="AH144" s="16"/>
      <c r="AI144" s="16"/>
      <c r="AJ144" s="16"/>
      <c r="AK144" s="16"/>
      <c r="AL144" s="16"/>
    </row>
    <row r="145" spans="2:38">
      <c r="B145" t="str">
        <f t="shared" ref="B145:B151" si="180">B99</f>
        <v>Ghana</v>
      </c>
      <c r="D145" s="9"/>
      <c r="E145" s="9"/>
      <c r="F145" s="9"/>
      <c r="G145" s="9"/>
      <c r="H145" s="362">
        <v>0.94</v>
      </c>
      <c r="I145" s="362">
        <v>1.08</v>
      </c>
      <c r="J145" s="362">
        <v>1.43</v>
      </c>
      <c r="K145" s="362">
        <v>1.4330786458333333</v>
      </c>
      <c r="L145" s="362">
        <v>1.55</v>
      </c>
      <c r="M145" s="362">
        <v>1.85</v>
      </c>
      <c r="N145" s="362">
        <v>1.99</v>
      </c>
      <c r="O145" s="362">
        <v>2.88</v>
      </c>
      <c r="P145" s="362">
        <f>AVERAGE('Country quarts'!H43:K43)</f>
        <v>3.7768904977054198</v>
      </c>
      <c r="Q145" s="362">
        <f>AVERAGE('Country quarts'!P43:P43)</f>
        <v>3.99</v>
      </c>
      <c r="R145" s="362">
        <v>4.38</v>
      </c>
      <c r="S145" s="362">
        <v>4.4000000000000004</v>
      </c>
      <c r="T145" s="101">
        <f t="shared" ref="T145:AA145" si="181">S145*1.015</f>
        <v>4.4660000000000002</v>
      </c>
      <c r="U145" s="101">
        <f t="shared" si="181"/>
        <v>4.5329899999999999</v>
      </c>
      <c r="V145" s="101">
        <f t="shared" si="181"/>
        <v>4.6009848499999997</v>
      </c>
      <c r="W145" s="101">
        <f t="shared" si="181"/>
        <v>4.6699996227499989</v>
      </c>
      <c r="X145" s="101">
        <f t="shared" si="181"/>
        <v>4.7400496170912483</v>
      </c>
      <c r="Y145" s="101">
        <f t="shared" si="181"/>
        <v>4.8111503613476163</v>
      </c>
      <c r="Z145" s="101">
        <f t="shared" si="181"/>
        <v>4.8833176167678305</v>
      </c>
      <c r="AA145" s="101">
        <f t="shared" si="181"/>
        <v>4.9565673810193474</v>
      </c>
      <c r="AB145" s="16">
        <f>P145/K145-1</f>
        <v>1.6355081828109741</v>
      </c>
      <c r="AC145" s="194"/>
      <c r="AD145" s="16">
        <f>J145/I145-1</f>
        <v>0.32407407407407396</v>
      </c>
      <c r="AE145" s="16">
        <f t="shared" ref="AD145:AF151" si="182">K145/J145-1</f>
        <v>2.1528991841492928E-3</v>
      </c>
      <c r="AF145" s="16">
        <f t="shared" si="182"/>
        <v>8.1587534994408628E-2</v>
      </c>
      <c r="AG145" s="16">
        <f t="shared" ref="AG145:AG151" si="183">M145/L145-1</f>
        <v>0.19354838709677424</v>
      </c>
      <c r="AH145" s="16"/>
      <c r="AI145" s="16"/>
      <c r="AJ145" s="16"/>
      <c r="AK145" s="16"/>
      <c r="AL145" s="16"/>
    </row>
    <row r="146" spans="2:38">
      <c r="B146" t="str">
        <f t="shared" si="180"/>
        <v>Mauritius</v>
      </c>
      <c r="C146" s="4"/>
      <c r="D146" s="4"/>
      <c r="E146" s="36"/>
      <c r="F146" s="4"/>
      <c r="G146" s="65"/>
      <c r="H146" s="133">
        <v>31</v>
      </c>
      <c r="I146" s="133">
        <v>28</v>
      </c>
      <c r="J146" s="133">
        <v>32</v>
      </c>
      <c r="K146" s="133">
        <v>30.801802152534961</v>
      </c>
      <c r="L146" s="133">
        <v>29</v>
      </c>
      <c r="M146" s="133">
        <v>30</v>
      </c>
      <c r="N146" s="133">
        <v>31</v>
      </c>
      <c r="O146" s="9"/>
      <c r="P146" s="9"/>
      <c r="Q146" s="9"/>
      <c r="R146" s="9"/>
      <c r="S146" s="9"/>
      <c r="T146" s="9"/>
      <c r="U146" s="9"/>
      <c r="V146" s="9"/>
      <c r="W146" s="9"/>
      <c r="X146" s="9"/>
      <c r="Y146" s="9"/>
      <c r="Z146" s="9"/>
      <c r="AA146" s="9"/>
      <c r="AB146" s="16">
        <f t="shared" ref="AB146:AB151" si="184">P146/K146-1</f>
        <v>-1</v>
      </c>
      <c r="AC146" s="194"/>
      <c r="AD146" s="16">
        <f t="shared" si="182"/>
        <v>0.14285714285714279</v>
      </c>
      <c r="AE146" s="16">
        <f t="shared" si="182"/>
        <v>-3.7443682733282468E-2</v>
      </c>
      <c r="AF146" s="16">
        <f t="shared" si="182"/>
        <v>-5.8496647164090532E-2</v>
      </c>
      <c r="AG146" s="16">
        <f t="shared" si="183"/>
        <v>3.4482758620689724E-2</v>
      </c>
      <c r="AH146" s="16"/>
      <c r="AI146" s="16"/>
      <c r="AJ146" s="16"/>
      <c r="AK146" s="16"/>
      <c r="AL146" s="16"/>
    </row>
    <row r="147" spans="2:38">
      <c r="B147" t="str">
        <f t="shared" si="180"/>
        <v>Senegal</v>
      </c>
      <c r="C147" s="4"/>
      <c r="D147" s="4"/>
      <c r="E147" s="36"/>
      <c r="F147" s="4"/>
      <c r="G147" s="65"/>
      <c r="H147" s="133">
        <v>479</v>
      </c>
      <c r="I147" s="133">
        <v>448</v>
      </c>
      <c r="J147" s="133">
        <v>472</v>
      </c>
      <c r="K147" s="133">
        <v>495.50670980350384</v>
      </c>
      <c r="L147" s="133">
        <v>472</v>
      </c>
      <c r="M147" s="133">
        <v>511</v>
      </c>
      <c r="N147" s="133">
        <v>496</v>
      </c>
      <c r="O147" s="133">
        <v>494</v>
      </c>
      <c r="P147" s="133">
        <f ca="1">AVERAGE('Country quarts'!H44:K44)</f>
        <v>594.7925610997595</v>
      </c>
      <c r="Q147" s="133">
        <f>AVERAGE('Country quarts'!P44:P44)</f>
        <v>606</v>
      </c>
      <c r="R147" s="133">
        <v>593</v>
      </c>
      <c r="S147" s="133">
        <v>576</v>
      </c>
      <c r="T147" s="9">
        <f t="shared" ref="T147:AA148" si="185">S147*1.015</f>
        <v>584.64</v>
      </c>
      <c r="U147" s="9">
        <f t="shared" si="185"/>
        <v>593.40959999999995</v>
      </c>
      <c r="V147" s="9">
        <f t="shared" si="185"/>
        <v>602.31074399999989</v>
      </c>
      <c r="W147" s="9">
        <f t="shared" si="185"/>
        <v>611.34540515999981</v>
      </c>
      <c r="X147" s="9">
        <f t="shared" si="185"/>
        <v>620.5155862373997</v>
      </c>
      <c r="Y147" s="9">
        <f t="shared" si="185"/>
        <v>629.82332003096064</v>
      </c>
      <c r="Z147" s="9">
        <f t="shared" si="185"/>
        <v>639.27066983142504</v>
      </c>
      <c r="AA147" s="9">
        <f t="shared" si="185"/>
        <v>648.85972987889636</v>
      </c>
      <c r="AB147" s="16">
        <f t="shared" ca="1" si="184"/>
        <v>0.200372364958747</v>
      </c>
      <c r="AC147" s="194"/>
      <c r="AD147" s="16">
        <f t="shared" si="182"/>
        <v>5.3571428571428603E-2</v>
      </c>
      <c r="AE147" s="16">
        <f t="shared" si="182"/>
        <v>4.980235127860988E-2</v>
      </c>
      <c r="AF147" s="16">
        <f t="shared" si="182"/>
        <v>-4.7439740650183304E-2</v>
      </c>
      <c r="AG147" s="16">
        <f t="shared" si="183"/>
        <v>8.2627118644067687E-2</v>
      </c>
      <c r="AH147" s="16"/>
      <c r="AI147" s="16"/>
      <c r="AJ147" s="16"/>
      <c r="AK147" s="16"/>
      <c r="AL147" s="16"/>
    </row>
    <row r="148" spans="2:38">
      <c r="B148" t="str">
        <f t="shared" si="180"/>
        <v>Tanzania</v>
      </c>
      <c r="C148" s="4"/>
      <c r="D148" s="4"/>
      <c r="E148" s="36"/>
      <c r="F148" s="4"/>
      <c r="G148" s="65"/>
      <c r="H148" s="133">
        <v>1241</v>
      </c>
      <c r="I148" s="133">
        <v>1119</v>
      </c>
      <c r="J148" s="133">
        <v>1325</v>
      </c>
      <c r="K148" s="133">
        <v>1441.4011823462997</v>
      </c>
      <c r="L148" s="133">
        <v>1586</v>
      </c>
      <c r="M148" s="133">
        <v>1586</v>
      </c>
      <c r="N148" s="133">
        <v>1621</v>
      </c>
      <c r="O148" s="133">
        <v>1614</v>
      </c>
      <c r="P148" s="133">
        <f>AVERAGE('Country quarts'!H46:K46)</f>
        <v>1981.25</v>
      </c>
      <c r="Q148" s="133">
        <f>AVERAGE('Country quarts'!P46:P46)</f>
        <v>2187</v>
      </c>
      <c r="R148" s="133">
        <v>2234</v>
      </c>
      <c r="S148" s="133">
        <v>2236</v>
      </c>
      <c r="T148" s="9">
        <f t="shared" si="185"/>
        <v>2269.54</v>
      </c>
      <c r="U148" s="9">
        <f t="shared" si="185"/>
        <v>2303.5830999999998</v>
      </c>
      <c r="V148" s="9">
        <f t="shared" si="185"/>
        <v>2338.1368464999996</v>
      </c>
      <c r="W148" s="9">
        <f t="shared" si="185"/>
        <v>2373.2088991974992</v>
      </c>
      <c r="X148" s="9">
        <f t="shared" si="185"/>
        <v>2408.8070326854613</v>
      </c>
      <c r="Y148" s="9">
        <f t="shared" si="185"/>
        <v>2444.9391381757432</v>
      </c>
      <c r="Z148" s="9">
        <f t="shared" si="185"/>
        <v>2481.613225248379</v>
      </c>
      <c r="AA148" s="9">
        <f t="shared" si="185"/>
        <v>2518.8374236271043</v>
      </c>
      <c r="AB148" s="16">
        <f t="shared" si="184"/>
        <v>0.37453057779163146</v>
      </c>
      <c r="AC148" s="194"/>
      <c r="AD148" s="16">
        <f t="shared" si="182"/>
        <v>0.18409294012511168</v>
      </c>
      <c r="AE148" s="16">
        <f t="shared" si="182"/>
        <v>8.7849948940603495E-2</v>
      </c>
      <c r="AF148" s="16">
        <f t="shared" si="182"/>
        <v>0.10031823161010855</v>
      </c>
      <c r="AG148" s="16">
        <f t="shared" si="183"/>
        <v>0</v>
      </c>
      <c r="AH148" s="16"/>
      <c r="AI148" s="16"/>
      <c r="AJ148" s="16"/>
      <c r="AK148" s="16"/>
      <c r="AL148" s="16"/>
    </row>
    <row r="149" spans="2:38">
      <c r="B149" t="str">
        <f t="shared" si="180"/>
        <v>Chad</v>
      </c>
      <c r="C149" s="4"/>
      <c r="D149" s="4"/>
      <c r="E149" s="36"/>
      <c r="F149" s="4"/>
      <c r="G149" s="65"/>
      <c r="H149" s="9">
        <f>H147</f>
        <v>479</v>
      </c>
      <c r="I149" s="9">
        <f t="shared" ref="I149:P149" si="186">I147</f>
        <v>448</v>
      </c>
      <c r="J149" s="9">
        <f t="shared" si="186"/>
        <v>472</v>
      </c>
      <c r="K149" s="9">
        <f t="shared" si="186"/>
        <v>495.50670980350384</v>
      </c>
      <c r="L149" s="9">
        <f>L147</f>
        <v>472</v>
      </c>
      <c r="M149" s="9">
        <f t="shared" si="186"/>
        <v>511</v>
      </c>
      <c r="N149" s="9">
        <f t="shared" si="186"/>
        <v>496</v>
      </c>
      <c r="O149" s="9">
        <f t="shared" si="186"/>
        <v>494</v>
      </c>
      <c r="P149" s="9">
        <f t="shared" ca="1" si="186"/>
        <v>594.7925610997595</v>
      </c>
      <c r="Q149" s="9">
        <f t="shared" ref="Q149:Z149" si="187">Q147</f>
        <v>606</v>
      </c>
      <c r="R149" s="9">
        <f t="shared" si="187"/>
        <v>593</v>
      </c>
      <c r="S149" s="9">
        <f t="shared" si="187"/>
        <v>576</v>
      </c>
      <c r="T149" s="9">
        <f t="shared" si="187"/>
        <v>584.64</v>
      </c>
      <c r="U149" s="9">
        <f t="shared" si="187"/>
        <v>593.40959999999995</v>
      </c>
      <c r="V149" s="9">
        <f t="shared" si="187"/>
        <v>602.31074399999989</v>
      </c>
      <c r="W149" s="9">
        <f t="shared" si="187"/>
        <v>611.34540515999981</v>
      </c>
      <c r="X149" s="9">
        <f t="shared" si="187"/>
        <v>620.5155862373997</v>
      </c>
      <c r="Y149" s="9">
        <f t="shared" si="187"/>
        <v>629.82332003096064</v>
      </c>
      <c r="Z149" s="9">
        <f t="shared" si="187"/>
        <v>639.27066983142504</v>
      </c>
      <c r="AA149" s="9">
        <f t="shared" ref="AA149" si="188">AA147</f>
        <v>648.85972987889636</v>
      </c>
      <c r="AB149" s="16">
        <f t="shared" ca="1" si="184"/>
        <v>0.200372364958747</v>
      </c>
      <c r="AC149" s="194"/>
      <c r="AD149" s="16">
        <f t="shared" si="182"/>
        <v>5.3571428571428603E-2</v>
      </c>
      <c r="AE149" s="16">
        <f t="shared" si="182"/>
        <v>4.980235127860988E-2</v>
      </c>
      <c r="AF149" s="16">
        <f t="shared" si="182"/>
        <v>-4.7439740650183304E-2</v>
      </c>
      <c r="AG149" s="16">
        <f t="shared" si="183"/>
        <v>8.2627118644067687E-2</v>
      </c>
      <c r="AH149" s="16"/>
      <c r="AI149" s="16"/>
      <c r="AJ149" s="16"/>
      <c r="AK149" s="16"/>
      <c r="AL149" s="16"/>
    </row>
    <row r="150" spans="2:38">
      <c r="B150" t="str">
        <f t="shared" si="180"/>
        <v>Dem. Rep. Congo</v>
      </c>
      <c r="C150" s="4"/>
      <c r="D150" s="4"/>
      <c r="E150" s="36"/>
      <c r="F150" s="4"/>
      <c r="G150" s="65"/>
      <c r="H150" s="133">
        <v>556</v>
      </c>
      <c r="I150" s="133">
        <v>559</v>
      </c>
      <c r="J150" s="133">
        <v>805</v>
      </c>
      <c r="K150" s="133">
        <v>905.81325592384178</v>
      </c>
      <c r="L150" s="133">
        <v>919</v>
      </c>
      <c r="M150" s="133">
        <v>922</v>
      </c>
      <c r="N150" s="133">
        <v>919</v>
      </c>
      <c r="O150" s="133">
        <v>923</v>
      </c>
      <c r="P150" s="133">
        <f>AVERAGE('Country quarts'!H45:K45)</f>
        <v>921.34378369026808</v>
      </c>
      <c r="Q150" s="133">
        <f>AVERAGE('Country quarts'!P45:P45)</f>
        <v>0</v>
      </c>
      <c r="R150" s="133">
        <v>0</v>
      </c>
      <c r="S150" s="9">
        <f t="shared" ref="S150:AA151" si="189">R150*1.015</f>
        <v>0</v>
      </c>
      <c r="T150" s="9">
        <f t="shared" si="189"/>
        <v>0</v>
      </c>
      <c r="U150" s="9">
        <f t="shared" si="189"/>
        <v>0</v>
      </c>
      <c r="V150" s="9">
        <f t="shared" si="189"/>
        <v>0</v>
      </c>
      <c r="W150" s="9">
        <f t="shared" si="189"/>
        <v>0</v>
      </c>
      <c r="X150" s="9">
        <f t="shared" si="189"/>
        <v>0</v>
      </c>
      <c r="Y150" s="9">
        <f t="shared" si="189"/>
        <v>0</v>
      </c>
      <c r="Z150" s="9">
        <f t="shared" si="189"/>
        <v>0</v>
      </c>
      <c r="AA150" s="9">
        <f t="shared" si="189"/>
        <v>0</v>
      </c>
      <c r="AB150" s="16">
        <f t="shared" si="184"/>
        <v>1.7145396873869734E-2</v>
      </c>
      <c r="AC150" s="194"/>
      <c r="AD150" s="16">
        <f t="shared" si="182"/>
        <v>0.44007155635062611</v>
      </c>
      <c r="AE150" s="16">
        <f t="shared" si="182"/>
        <v>0.12523385829048661</v>
      </c>
      <c r="AF150" s="16">
        <f t="shared" si="182"/>
        <v>1.4557905826525941E-2</v>
      </c>
      <c r="AG150" s="16">
        <f t="shared" si="183"/>
        <v>3.2644178454841466E-3</v>
      </c>
      <c r="AH150" s="16"/>
      <c r="AI150" s="16"/>
      <c r="AJ150" s="16"/>
      <c r="AK150" s="16"/>
      <c r="AL150" s="16"/>
    </row>
    <row r="151" spans="2:38">
      <c r="B151" t="str">
        <f t="shared" si="180"/>
        <v>Rwanda</v>
      </c>
      <c r="C151" s="4"/>
      <c r="D151" s="4"/>
      <c r="E151" s="36"/>
      <c r="F151" s="4"/>
      <c r="G151" s="65"/>
      <c r="H151" s="65"/>
      <c r="I151" s="133">
        <v>546</v>
      </c>
      <c r="J151" s="133">
        <v>567</v>
      </c>
      <c r="K151" s="133">
        <v>583.15288730059001</v>
      </c>
      <c r="L151" s="133">
        <v>600</v>
      </c>
      <c r="M151" s="133">
        <v>614</v>
      </c>
      <c r="N151" s="133">
        <v>649.21</v>
      </c>
      <c r="O151" s="133">
        <v>685.9</v>
      </c>
      <c r="P151" s="133">
        <f>AVERAGE('Country quarts'!H50:K50)</f>
        <v>718.61307003551156</v>
      </c>
      <c r="Q151" s="133">
        <f>AVERAGE('Country quarts'!P50:P50)</f>
        <v>809</v>
      </c>
      <c r="R151" s="133">
        <v>827</v>
      </c>
      <c r="S151" s="9">
        <f t="shared" si="189"/>
        <v>839.40499999999997</v>
      </c>
      <c r="T151" s="9">
        <f t="shared" si="189"/>
        <v>851.99607499999991</v>
      </c>
      <c r="U151" s="9">
        <f t="shared" si="189"/>
        <v>864.77601612499984</v>
      </c>
      <c r="V151" s="9">
        <f t="shared" si="189"/>
        <v>877.74765636687471</v>
      </c>
      <c r="W151" s="9">
        <f t="shared" si="189"/>
        <v>890.91387121237779</v>
      </c>
      <c r="X151" s="9">
        <f t="shared" si="189"/>
        <v>904.27757928056337</v>
      </c>
      <c r="Y151" s="9">
        <f t="shared" si="189"/>
        <v>917.84174296977176</v>
      </c>
      <c r="Z151" s="9">
        <f t="shared" si="189"/>
        <v>931.60936911431827</v>
      </c>
      <c r="AA151" s="9">
        <f t="shared" si="189"/>
        <v>945.58350965103295</v>
      </c>
      <c r="AB151" s="16">
        <f t="shared" si="184"/>
        <v>0.23228931157653299</v>
      </c>
      <c r="AC151" s="194"/>
      <c r="AD151" s="16">
        <f t="shared" si="182"/>
        <v>3.8461538461538547E-2</v>
      </c>
      <c r="AE151" s="16">
        <f t="shared" si="182"/>
        <v>2.8488337390811358E-2</v>
      </c>
      <c r="AF151" s="16">
        <f t="shared" si="182"/>
        <v>2.8889701253808742E-2</v>
      </c>
      <c r="AG151" s="16">
        <f t="shared" si="183"/>
        <v>2.3333333333333428E-2</v>
      </c>
      <c r="AH151" s="16"/>
      <c r="AI151" s="16"/>
      <c r="AJ151" s="16"/>
      <c r="AK151" s="16"/>
      <c r="AL151" s="16"/>
    </row>
    <row r="152" spans="2:38">
      <c r="AB152" s="21"/>
      <c r="AC152" s="194"/>
      <c r="AD152" s="16"/>
      <c r="AE152" s="16"/>
      <c r="AF152" s="16"/>
      <c r="AG152" s="16"/>
      <c r="AH152" s="16"/>
      <c r="AI152" s="16"/>
      <c r="AJ152" s="16"/>
      <c r="AK152" s="16"/>
      <c r="AL152" s="16"/>
    </row>
    <row r="153" spans="2:38">
      <c r="B153" s="478" t="s">
        <v>3022</v>
      </c>
      <c r="L153" s="687">
        <f t="shared" ref="L153:S153" si="190">L80</f>
        <v>976.54217733834935</v>
      </c>
      <c r="M153" s="687">
        <f t="shared" si="190"/>
        <v>906.26077441759242</v>
      </c>
      <c r="N153" s="687">
        <f t="shared" si="190"/>
        <v>904.50279449502159</v>
      </c>
      <c r="O153" s="687">
        <f t="shared" si="190"/>
        <v>924.26890597417787</v>
      </c>
      <c r="P153" s="687">
        <f t="shared" si="190"/>
        <v>897.13223529075731</v>
      </c>
      <c r="Q153" s="687">
        <f t="shared" ca="1" si="190"/>
        <v>808.35488019992556</v>
      </c>
      <c r="R153" s="687">
        <f t="shared" ca="1" si="190"/>
        <v>855.37481489618415</v>
      </c>
      <c r="S153" s="687">
        <f t="shared" ca="1" si="190"/>
        <v>935.39176665426714</v>
      </c>
      <c r="T153" s="687">
        <f t="shared" ref="T153:Z153" ca="1" si="191">T80</f>
        <v>1000.6872386547279</v>
      </c>
      <c r="U153" s="687">
        <f t="shared" ca="1" si="191"/>
        <v>1067.5823914334076</v>
      </c>
      <c r="V153" s="687">
        <f t="shared" ca="1" si="191"/>
        <v>1136.1416690382537</v>
      </c>
      <c r="W153" s="687">
        <f t="shared" ca="1" si="191"/>
        <v>1206.4344403466159</v>
      </c>
      <c r="X153" s="687">
        <f t="shared" ca="1" si="191"/>
        <v>1278.5354685753814</v>
      </c>
      <c r="Y153" s="687">
        <f t="shared" ca="1" si="191"/>
        <v>1352.525427397869</v>
      </c>
      <c r="Z153" s="687">
        <f t="shared" ca="1" si="191"/>
        <v>1428.4914683229554</v>
      </c>
      <c r="AA153" s="687">
        <f t="shared" ref="AA153" ca="1" si="192">AA80</f>
        <v>1506.5278444573985</v>
      </c>
      <c r="AB153" s="21"/>
      <c r="AC153" s="194"/>
      <c r="AD153" s="16"/>
      <c r="AE153" s="16"/>
      <c r="AF153" s="16"/>
      <c r="AG153" s="16"/>
      <c r="AH153" s="16"/>
      <c r="AI153" s="16"/>
      <c r="AJ153" s="16"/>
      <c r="AK153" s="16"/>
      <c r="AL153" s="16"/>
    </row>
    <row r="154" spans="2:38">
      <c r="B154" s="478" t="s">
        <v>2702</v>
      </c>
      <c r="L154" s="133">
        <f>SUM(Newquarts!B124:E124)/1000</f>
        <v>3.9744063904388555E-3</v>
      </c>
      <c r="M154" s="133">
        <f>SUM(Newquarts!G124:J124)/1000</f>
        <v>2.5477060058318214E-2</v>
      </c>
      <c r="N154" s="133">
        <v>52</v>
      </c>
      <c r="O154" s="133">
        <v>75</v>
      </c>
      <c r="P154" s="133">
        <v>87</v>
      </c>
      <c r="Q154" s="9">
        <f t="shared" ref="Q154:Z154" ca="1" si="193">Q156-Q155-Q153</f>
        <v>69.173390078506031</v>
      </c>
      <c r="R154" s="9">
        <f t="shared" ca="1" si="193"/>
        <v>70.769335101594834</v>
      </c>
      <c r="S154" s="9">
        <f t="shared" ca="1" si="193"/>
        <v>-64.083909221543649</v>
      </c>
      <c r="T154" s="9">
        <f t="shared" ca="1" si="193"/>
        <v>-59.149390694289082</v>
      </c>
      <c r="U154" s="9">
        <f t="shared" ca="1" si="193"/>
        <v>-49.440146703348546</v>
      </c>
      <c r="V154" s="9">
        <f t="shared" ca="1" si="193"/>
        <v>-34.407436831113955</v>
      </c>
      <c r="W154" s="9">
        <f t="shared" ca="1" si="193"/>
        <v>-13.446833432256653</v>
      </c>
      <c r="X154" s="9">
        <f t="shared" ca="1" si="193"/>
        <v>14.107382607759746</v>
      </c>
      <c r="Y154" s="9">
        <f t="shared" ca="1" si="193"/>
        <v>48.988392927646373</v>
      </c>
      <c r="Z154" s="9">
        <f t="shared" ca="1" si="193"/>
        <v>92.003637177125711</v>
      </c>
      <c r="AA154" s="9">
        <f t="shared" ref="AA154" ca="1" si="194">AA156-AA155-AA153</f>
        <v>144.04229643453073</v>
      </c>
      <c r="AB154" s="21"/>
      <c r="AC154" s="194"/>
      <c r="AD154" s="16"/>
      <c r="AE154" s="16"/>
      <c r="AF154" s="16"/>
      <c r="AG154" s="16"/>
      <c r="AH154" s="16"/>
      <c r="AI154" s="16"/>
      <c r="AJ154" s="16"/>
      <c r="AK154" s="16"/>
      <c r="AL154" s="16"/>
    </row>
    <row r="155" spans="2:38">
      <c r="B155" s="487" t="s">
        <v>1195</v>
      </c>
      <c r="C155" s="455"/>
      <c r="D155" s="455"/>
      <c r="E155" s="455"/>
      <c r="F155" s="455"/>
      <c r="G155" s="455"/>
      <c r="H155" s="455"/>
      <c r="I155" s="455"/>
      <c r="J155" s="455"/>
      <c r="K155" s="455"/>
      <c r="L155" s="490">
        <f>Cable!I28</f>
        <v>0.8</v>
      </c>
      <c r="M155" s="490">
        <f>Cable!J28</f>
        <v>1.4</v>
      </c>
      <c r="N155" s="490">
        <f>Cable!K28</f>
        <v>0.09</v>
      </c>
      <c r="O155" s="490">
        <f>Cable!L28</f>
        <v>0.55000000000000004</v>
      </c>
      <c r="P155" s="490">
        <f>Cable!M28</f>
        <v>4</v>
      </c>
      <c r="Q155" s="490">
        <f>Cable!N28</f>
        <v>8.4</v>
      </c>
      <c r="R155" s="490">
        <f>Cable!O28</f>
        <v>11.76</v>
      </c>
      <c r="S155" s="490">
        <f>Cable!P28</f>
        <v>12.936</v>
      </c>
      <c r="T155" s="490">
        <f>Cable!Q28</f>
        <v>14.229600000000001</v>
      </c>
      <c r="U155" s="490">
        <f>Cable!R28</f>
        <v>15.652560000000003</v>
      </c>
      <c r="V155" s="490">
        <f>Cable!S28</f>
        <v>17.217816000000006</v>
      </c>
      <c r="W155" s="490">
        <f>Cable!T28</f>
        <v>18.93959760000001</v>
      </c>
      <c r="X155" s="490">
        <f>Cable!U28</f>
        <v>20.833557360000011</v>
      </c>
      <c r="Y155" s="490">
        <f>Cable!V28</f>
        <v>22.916913096000012</v>
      </c>
      <c r="Z155" s="490">
        <f>Cable!W28</f>
        <v>25.208604405600017</v>
      </c>
      <c r="AA155" s="490">
        <f>Cable!X28</f>
        <v>27.72946484616002</v>
      </c>
      <c r="AB155" s="21"/>
      <c r="AC155" s="194"/>
      <c r="AD155" s="16"/>
      <c r="AE155" s="16"/>
      <c r="AF155" s="16"/>
      <c r="AG155" s="16"/>
      <c r="AH155" s="16"/>
      <c r="AI155" s="16"/>
      <c r="AJ155" s="16"/>
      <c r="AK155" s="16"/>
      <c r="AL155" s="16"/>
    </row>
    <row r="156" spans="2:38">
      <c r="B156" s="478" t="s">
        <v>523</v>
      </c>
      <c r="L156" s="687">
        <f>SUM(L153:L155)</f>
        <v>977.3461517447397</v>
      </c>
      <c r="M156" s="687">
        <f>SUM(M153:M155)</f>
        <v>907.68625147765067</v>
      </c>
      <c r="N156" s="687">
        <f>SUM(N153:N155)</f>
        <v>956.59279449502162</v>
      </c>
      <c r="O156" s="687">
        <f>SUM(O153:O155)</f>
        <v>999.81890597417782</v>
      </c>
      <c r="P156" s="687">
        <f>SUM(P153:P155)</f>
        <v>988.13223529075731</v>
      </c>
      <c r="Q156" s="687">
        <f t="shared" ref="Q156:Z156" ca="1" si="195">SUM(Q90:Q96)</f>
        <v>885.92827027843157</v>
      </c>
      <c r="R156" s="687">
        <f t="shared" ca="1" si="195"/>
        <v>937.90414999777897</v>
      </c>
      <c r="S156" s="687">
        <f ca="1">SUM(S90:S96)</f>
        <v>884.24385743272353</v>
      </c>
      <c r="T156" s="687">
        <f t="shared" ca="1" si="195"/>
        <v>955.76744796043886</v>
      </c>
      <c r="U156" s="687">
        <f t="shared" ca="1" si="195"/>
        <v>1033.794804730059</v>
      </c>
      <c r="V156" s="687">
        <f t="shared" ca="1" si="195"/>
        <v>1118.9520482071398</v>
      </c>
      <c r="W156" s="687">
        <f t="shared" ca="1" si="195"/>
        <v>1211.9272045143593</v>
      </c>
      <c r="X156" s="687">
        <f t="shared" ca="1" si="195"/>
        <v>1313.4764085431411</v>
      </c>
      <c r="Y156" s="687">
        <f t="shared" ca="1" si="195"/>
        <v>1424.4307334215152</v>
      </c>
      <c r="Z156" s="687">
        <f t="shared" ca="1" si="195"/>
        <v>1545.7037099056811</v>
      </c>
      <c r="AA156" s="687">
        <f t="shared" ref="AA156" ca="1" si="196">SUM(AA90:AA96)</f>
        <v>1678.2996057380892</v>
      </c>
      <c r="AB156" s="21"/>
      <c r="AC156" s="194"/>
      <c r="AD156" s="16"/>
      <c r="AE156" s="16"/>
      <c r="AF156" s="16"/>
      <c r="AG156" s="16"/>
      <c r="AH156" s="16"/>
      <c r="AI156" s="16"/>
      <c r="AJ156" s="16"/>
      <c r="AK156" s="16"/>
      <c r="AL156" s="16"/>
    </row>
    <row r="157" spans="2:38">
      <c r="B157" s="478" t="s">
        <v>4409</v>
      </c>
      <c r="L157" s="687"/>
      <c r="M157" s="687"/>
      <c r="N157" s="687"/>
      <c r="O157" s="687"/>
      <c r="P157" s="687"/>
      <c r="Q157" s="687">
        <f ca="1">(Q99/P145)+(Q101/P147)+(Q102/P148)+(Q103/P149)+(Q105/P151)</f>
        <v>947.42807809261626</v>
      </c>
      <c r="R157" s="687">
        <f ca="1">(R99/Q145)+(R101/Q147)+(R102/Q148)+(R103/Q149)+(R105/Q151)</f>
        <v>956.09682553914752</v>
      </c>
      <c r="S157" s="687">
        <f t="shared" ref="S157:AA157" ca="1" si="197">(S99/R145)+(S101/R147)+(S102/R148)+(S103/R149)+(S105/R151)</f>
        <v>1040.7269954959816</v>
      </c>
      <c r="T157" s="687">
        <f t="shared" ca="1" si="197"/>
        <v>1147.75278209047</v>
      </c>
      <c r="U157" s="687">
        <f t="shared" ca="1" si="197"/>
        <v>1238.3270747847284</v>
      </c>
      <c r="V157" s="687">
        <f t="shared" ca="1" si="197"/>
        <v>1336.8667484597211</v>
      </c>
      <c r="W157" s="687">
        <f t="shared" ca="1" si="197"/>
        <v>1444.1168052833871</v>
      </c>
      <c r="X157" s="687">
        <f t="shared" ca="1" si="197"/>
        <v>1560.8943656244089</v>
      </c>
      <c r="Y157" s="687">
        <f t="shared" ca="1" si="197"/>
        <v>1688.095791299065</v>
      </c>
      <c r="Z157" s="687">
        <f t="shared" ca="1" si="197"/>
        <v>1826.7045213437489</v>
      </c>
      <c r="AA157" s="687">
        <f t="shared" ca="1" si="197"/>
        <v>1977.799692191295</v>
      </c>
      <c r="AB157" s="21"/>
      <c r="AC157" s="194"/>
      <c r="AD157" s="16"/>
      <c r="AE157" s="16"/>
      <c r="AF157" s="16"/>
      <c r="AG157" s="16"/>
      <c r="AH157" s="16"/>
      <c r="AI157" s="16"/>
      <c r="AJ157" s="16"/>
      <c r="AK157" s="16"/>
      <c r="AL157" s="16"/>
    </row>
    <row r="158" spans="2:38">
      <c r="B158" s="478"/>
      <c r="L158" s="687"/>
      <c r="M158" s="687"/>
      <c r="N158" s="687"/>
      <c r="O158" s="687"/>
      <c r="P158" s="687"/>
      <c r="Q158" s="456">
        <f ca="1">Q157/(P156-P95)-1</f>
        <v>0.13199348139934508</v>
      </c>
      <c r="R158" s="456">
        <f ca="1">R157/Q156-1</f>
        <v>7.9203427201463228E-2</v>
      </c>
      <c r="S158" s="456">
        <f t="shared" ref="S158:AA158" ca="1" si="198">S157/R156-1</f>
        <v>0.10963044091280127</v>
      </c>
      <c r="T158" s="456">
        <f t="shared" ca="1" si="198"/>
        <v>0.29800481218247543</v>
      </c>
      <c r="U158" s="456">
        <f t="shared" ca="1" si="198"/>
        <v>0.29563637831279777</v>
      </c>
      <c r="V158" s="456">
        <f t="shared" ca="1" si="198"/>
        <v>0.29316450647940639</v>
      </c>
      <c r="W158" s="456">
        <f t="shared" ca="1" si="198"/>
        <v>0.29059757975978329</v>
      </c>
      <c r="X158" s="456">
        <f t="shared" ca="1" si="198"/>
        <v>0.28794399515925284</v>
      </c>
      <c r="Y158" s="456">
        <f t="shared" ca="1" si="198"/>
        <v>0.28521211368496346</v>
      </c>
      <c r="Z158" s="456">
        <f t="shared" ca="1" si="198"/>
        <v>0.28241021376726594</v>
      </c>
      <c r="AA158" s="456">
        <f t="shared" ca="1" si="198"/>
        <v>0.27954644833710107</v>
      </c>
      <c r="AB158" s="21"/>
      <c r="AC158" s="194"/>
      <c r="AD158" s="16"/>
      <c r="AE158" s="16"/>
      <c r="AF158" s="16"/>
      <c r="AG158" s="16"/>
      <c r="AH158" s="16"/>
      <c r="AI158" s="16"/>
      <c r="AJ158" s="16"/>
      <c r="AK158" s="16"/>
      <c r="AL158" s="16"/>
    </row>
    <row r="159" spans="2:38">
      <c r="AB159" s="21"/>
      <c r="AC159" s="194"/>
      <c r="AD159" s="16"/>
      <c r="AE159" s="16"/>
      <c r="AF159" s="16"/>
      <c r="AG159" s="16"/>
      <c r="AH159" s="16"/>
      <c r="AI159" s="16"/>
      <c r="AJ159" s="16"/>
      <c r="AK159" s="16"/>
      <c r="AL159" s="16"/>
    </row>
    <row r="160" spans="2:38">
      <c r="B160" s="48" t="s">
        <v>360</v>
      </c>
      <c r="C160" s="71"/>
      <c r="D160" s="71">
        <f>SUM(Quarts!G310:J310)</f>
        <v>35.656999999999996</v>
      </c>
      <c r="E160" s="71">
        <f>SUM(Quarts!K310:N310)</f>
        <v>65.808000000000007</v>
      </c>
      <c r="F160" s="71">
        <f>SUM(Quarts!O310:R310)</f>
        <v>88.167000000000002</v>
      </c>
      <c r="G160" s="71">
        <f>SUM(Quarts!S310:V310)</f>
        <v>122.572</v>
      </c>
      <c r="H160" s="71">
        <f>SUM(Quarts!X310:AA310)</f>
        <v>152.53700000000001</v>
      </c>
      <c r="I160" s="71">
        <f>SUM(Quarts!AC310:AF310)</f>
        <v>237.256</v>
      </c>
      <c r="J160" s="71">
        <f>SUM(Quarts!AH310:AK310)</f>
        <v>284.81899999999996</v>
      </c>
      <c r="K160" s="71">
        <f>SUM(Quarts!AM310:AP310)</f>
        <v>363.03800000000001</v>
      </c>
      <c r="L160" s="71">
        <f>SUM(Quarts!AR310:AU310)</f>
        <v>402.96000000000004</v>
      </c>
      <c r="M160" s="71">
        <f>SUM(Quarts!AW310:AZ310)</f>
        <v>367.08600000000001</v>
      </c>
      <c r="N160" s="71">
        <f>SUM(Quarts!BB310:BE310)</f>
        <v>262.2</v>
      </c>
      <c r="O160" s="71">
        <f>SUM(Quarts!BG310:BJ310)</f>
        <v>226.47706314004341</v>
      </c>
      <c r="P160" s="71">
        <f>SUM(Quarts!BL310:BO310)</f>
        <v>200</v>
      </c>
      <c r="Q160" s="72">
        <f ca="1">Q156-Q171</f>
        <v>248.12673786484811</v>
      </c>
      <c r="R160" s="72">
        <f t="shared" ref="R160:Z160" ca="1" si="199">R156-R171</f>
        <v>264.33644224665647</v>
      </c>
      <c r="S160" s="72">
        <f t="shared" ca="1" si="199"/>
        <v>155.11190555621897</v>
      </c>
      <c r="T160" s="72">
        <f t="shared" ca="1" si="199"/>
        <v>161.31344371630837</v>
      </c>
      <c r="U160" s="72">
        <f t="shared" ca="1" si="199"/>
        <v>170.72951006130847</v>
      </c>
      <c r="V160" s="72">
        <f t="shared" ca="1" si="199"/>
        <v>183.8458431061415</v>
      </c>
      <c r="W160" s="72">
        <f t="shared" ca="1" si="199"/>
        <v>201.20453700504424</v>
      </c>
      <c r="X160" s="72">
        <f t="shared" ca="1" si="199"/>
        <v>223.41003430203205</v>
      </c>
      <c r="Y160" s="72">
        <f t="shared" ca="1" si="199"/>
        <v>251.13573726333993</v>
      </c>
      <c r="Z160" s="72">
        <f t="shared" ca="1" si="199"/>
        <v>285.13130107648408</v>
      </c>
      <c r="AA160" s="72">
        <f t="shared" ref="AA160" ca="1" si="200">AA156-AA171</f>
        <v>326.23067866576889</v>
      </c>
      <c r="AB160" s="145"/>
      <c r="AC160" s="145"/>
      <c r="AD160" s="145"/>
      <c r="AE160" s="21"/>
      <c r="AF160" s="146"/>
      <c r="AG160" s="146"/>
      <c r="AH160" s="146"/>
    </row>
    <row r="161" spans="2:38">
      <c r="B161" s="50" t="str">
        <f t="shared" ref="B161:B167" si="201">B136</f>
        <v>Ghana</v>
      </c>
      <c r="C161" s="72"/>
      <c r="D161" s="72"/>
      <c r="E161" s="72"/>
      <c r="F161" s="72"/>
      <c r="G161" s="72"/>
      <c r="H161" s="72"/>
      <c r="I161" s="72"/>
      <c r="J161" s="72"/>
      <c r="K161" s="72"/>
      <c r="L161" s="72"/>
      <c r="M161" s="72"/>
      <c r="N161" s="72"/>
      <c r="O161" s="72"/>
      <c r="P161" s="133">
        <f>SUM('Country quarts'!H99:K99)</f>
        <v>10.580004457845074</v>
      </c>
      <c r="Q161" s="52">
        <f>'Country quarts'!Q99</f>
        <v>31.200218427293386</v>
      </c>
      <c r="R161" s="52">
        <f t="shared" ref="R161:AA161" ca="1" si="202">Q161/Q$160*R$160</f>
        <v>33.238476463111155</v>
      </c>
      <c r="S161" s="52">
        <f t="shared" ca="1" si="202"/>
        <v>19.504247610202214</v>
      </c>
      <c r="T161" s="52">
        <f t="shared" ca="1" si="202"/>
        <v>20.284048073646726</v>
      </c>
      <c r="U161" s="52">
        <f t="shared" ca="1" si="202"/>
        <v>21.468053188201974</v>
      </c>
      <c r="V161" s="52">
        <f t="shared" ca="1" si="202"/>
        <v>23.117341207241747</v>
      </c>
      <c r="W161" s="52">
        <f t="shared" ca="1" si="202"/>
        <v>25.300076715388766</v>
      </c>
      <c r="X161" s="52">
        <f t="shared" ca="1" si="202"/>
        <v>28.09226417537166</v>
      </c>
      <c r="Y161" s="52">
        <f t="shared" ca="1" si="202"/>
        <v>31.578579257280502</v>
      </c>
      <c r="Z161" s="52">
        <f t="shared" ca="1" si="202"/>
        <v>35.853285907826248</v>
      </c>
      <c r="AA161" s="52">
        <f t="shared" ca="1" si="202"/>
        <v>41.0212479301616</v>
      </c>
      <c r="AB161" s="145"/>
      <c r="AC161" s="145"/>
      <c r="AD161" s="145"/>
      <c r="AE161" s="21"/>
      <c r="AF161" s="146"/>
      <c r="AG161" s="146"/>
      <c r="AH161" s="146"/>
    </row>
    <row r="162" spans="2:38">
      <c r="B162" s="50" t="str">
        <f t="shared" si="201"/>
        <v>Mauritius</v>
      </c>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145"/>
      <c r="AC162" s="145"/>
      <c r="AD162" s="145"/>
      <c r="AE162" s="21"/>
      <c r="AF162" s="146"/>
      <c r="AG162" s="146"/>
      <c r="AH162" s="146"/>
    </row>
    <row r="163" spans="2:38">
      <c r="B163" s="50" t="str">
        <f t="shared" si="201"/>
        <v>Senegal</v>
      </c>
      <c r="C163" s="72"/>
      <c r="D163" s="72"/>
      <c r="E163" s="72"/>
      <c r="F163" s="72"/>
      <c r="G163" s="72"/>
      <c r="H163" s="72"/>
      <c r="I163" s="72"/>
      <c r="J163" s="72"/>
      <c r="K163" s="72"/>
      <c r="L163" s="72"/>
      <c r="M163" s="72"/>
      <c r="N163" s="72"/>
      <c r="O163" s="72"/>
      <c r="P163" s="133">
        <f ca="1">SUM('Country quarts'!H100:K100)</f>
        <v>8.6183808719678314</v>
      </c>
      <c r="Q163" s="52">
        <f ca="1">'Country quarts'!Q100</f>
        <v>26.308651782325249</v>
      </c>
      <c r="R163" s="52">
        <f t="shared" ref="R163:AA167" ca="1" si="203">Q163/Q$160*R$160</f>
        <v>28.027351958473592</v>
      </c>
      <c r="S163" s="52">
        <f t="shared" ca="1" si="203"/>
        <v>16.446373920388396</v>
      </c>
      <c r="T163" s="52">
        <f t="shared" ca="1" si="203"/>
        <v>17.103917357152</v>
      </c>
      <c r="U163" s="52">
        <f t="shared" ca="1" si="203"/>
        <v>18.10229428646468</v>
      </c>
      <c r="V163" s="52">
        <f t="shared" ca="1" si="203"/>
        <v>19.493007120183858</v>
      </c>
      <c r="W163" s="52">
        <f t="shared" ca="1" si="203"/>
        <v>21.333533607220321</v>
      </c>
      <c r="X163" s="52">
        <f t="shared" ca="1" si="203"/>
        <v>23.687962239405952</v>
      </c>
      <c r="Y163" s="52">
        <f t="shared" ca="1" si="203"/>
        <v>26.627693245044462</v>
      </c>
      <c r="Z163" s="52">
        <f t="shared" ca="1" si="203"/>
        <v>30.2322118801582</v>
      </c>
      <c r="AA163" s="52">
        <f t="shared" ca="1" si="203"/>
        <v>34.589941412941371</v>
      </c>
      <c r="AB163" s="145"/>
      <c r="AC163" s="145"/>
      <c r="AD163" s="145"/>
      <c r="AE163" s="21"/>
      <c r="AF163" s="146"/>
      <c r="AG163" s="146"/>
      <c r="AH163" s="146"/>
    </row>
    <row r="164" spans="2:38">
      <c r="B164" s="50" t="str">
        <f t="shared" si="201"/>
        <v>Tanzania</v>
      </c>
      <c r="C164" s="72"/>
      <c r="D164" s="72"/>
      <c r="E164" s="72"/>
      <c r="F164" s="72"/>
      <c r="G164" s="72"/>
      <c r="H164" s="72"/>
      <c r="I164" s="72"/>
      <c r="J164" s="72"/>
      <c r="K164" s="72"/>
      <c r="L164" s="72"/>
      <c r="M164" s="72"/>
      <c r="N164" s="72"/>
      <c r="O164" s="72"/>
      <c r="P164" s="133">
        <f>SUM('Country quarts'!H102:K102)</f>
        <v>126.16999999999999</v>
      </c>
      <c r="Q164" s="52">
        <f>'Country quarts'!Q102</f>
        <v>116.9696244064944</v>
      </c>
      <c r="R164" s="52">
        <f t="shared" ca="1" si="203"/>
        <v>124.61105414355558</v>
      </c>
      <c r="S164" s="753">
        <f ca="1">R164/R$160*S$160</f>
        <v>73.121427742982959</v>
      </c>
      <c r="T164" s="52">
        <f t="shared" ca="1" si="203"/>
        <v>76.044899818464444</v>
      </c>
      <c r="U164" s="52">
        <f t="shared" ca="1" si="203"/>
        <v>80.483735202506011</v>
      </c>
      <c r="V164" s="52">
        <f t="shared" ca="1" si="203"/>
        <v>86.666916277817123</v>
      </c>
      <c r="W164" s="52">
        <f t="shared" ca="1" si="203"/>
        <v>94.849992084213753</v>
      </c>
      <c r="X164" s="52">
        <f t="shared" ca="1" si="203"/>
        <v>105.3179033659187</v>
      </c>
      <c r="Y164" s="52">
        <f t="shared" ca="1" si="203"/>
        <v>118.38809922508754</v>
      </c>
      <c r="Z164" s="52">
        <f t="shared" ca="1" si="203"/>
        <v>134.41397521462483</v>
      </c>
      <c r="AA164" s="52">
        <f t="shared" ca="1" si="203"/>
        <v>153.78866575111132</v>
      </c>
      <c r="AB164" s="145"/>
      <c r="AC164" s="145"/>
      <c r="AD164" s="145"/>
      <c r="AE164" s="21"/>
      <c r="AF164" s="146"/>
      <c r="AG164" s="146"/>
      <c r="AH164" s="146"/>
    </row>
    <row r="165" spans="2:38">
      <c r="B165" s="50" t="str">
        <f t="shared" si="201"/>
        <v>Chad</v>
      </c>
      <c r="C165" s="72"/>
      <c r="D165" s="72"/>
      <c r="E165" s="72"/>
      <c r="F165" s="72"/>
      <c r="G165" s="72"/>
      <c r="H165" s="72"/>
      <c r="I165" s="72"/>
      <c r="J165" s="72"/>
      <c r="K165" s="72"/>
      <c r="L165" s="72"/>
      <c r="M165" s="72"/>
      <c r="N165" s="72"/>
      <c r="O165" s="72"/>
      <c r="P165" s="133">
        <f>SUM('Country quarts'!H112:K112)</f>
        <v>36.33</v>
      </c>
      <c r="Q165" s="52">
        <f ca="1">'Country quarts'!Q112</f>
        <v>56.98536353986448</v>
      </c>
      <c r="R165" s="52">
        <f t="shared" ca="1" si="203"/>
        <v>60.708121937527459</v>
      </c>
      <c r="S165" s="52">
        <f t="shared" ca="1" si="203"/>
        <v>35.623360882198952</v>
      </c>
      <c r="T165" s="52">
        <f t="shared" ca="1" si="203"/>
        <v>37.047620555300071</v>
      </c>
      <c r="U165" s="52">
        <f t="shared" ca="1" si="203"/>
        <v>39.210136245477649</v>
      </c>
      <c r="V165" s="52">
        <f t="shared" ca="1" si="203"/>
        <v>42.222463789463937</v>
      </c>
      <c r="W165" s="52">
        <f t="shared" ca="1" si="203"/>
        <v>46.209101791149202</v>
      </c>
      <c r="X165" s="52">
        <f t="shared" ca="1" si="203"/>
        <v>51.30886793058707</v>
      </c>
      <c r="Y165" s="52">
        <f t="shared" ca="1" si="203"/>
        <v>57.676417337975053</v>
      </c>
      <c r="Z165" s="52">
        <f t="shared" ca="1" si="203"/>
        <v>65.483917566708485</v>
      </c>
      <c r="AA165" s="52">
        <f t="shared" ca="1" si="203"/>
        <v>74.922896184414924</v>
      </c>
      <c r="AB165" s="145"/>
      <c r="AC165" s="145"/>
      <c r="AD165" s="145"/>
      <c r="AE165" s="21"/>
      <c r="AF165" s="146"/>
      <c r="AG165" s="146"/>
      <c r="AH165" s="146"/>
    </row>
    <row r="166" spans="2:38">
      <c r="B166" s="50" t="str">
        <f t="shared" si="201"/>
        <v>Dem. Rep. Congo</v>
      </c>
      <c r="C166" s="72"/>
      <c r="D166" s="72"/>
      <c r="E166" s="72"/>
      <c r="F166" s="72"/>
      <c r="G166" s="72"/>
      <c r="H166" s="72"/>
      <c r="I166" s="72"/>
      <c r="J166" s="72"/>
      <c r="K166" s="72"/>
      <c r="L166" s="72"/>
      <c r="M166" s="72"/>
      <c r="N166" s="72"/>
      <c r="O166" s="72"/>
      <c r="P166" s="133">
        <f>SUM('Country quarts'!H101:K101)</f>
        <v>11.513349151026418</v>
      </c>
      <c r="Q166" s="52">
        <f>'Country quarts'!Q101</f>
        <v>0</v>
      </c>
      <c r="R166" s="52">
        <f t="shared" ca="1" si="203"/>
        <v>0</v>
      </c>
      <c r="S166" s="52">
        <f t="shared" ca="1" si="203"/>
        <v>0</v>
      </c>
      <c r="T166" s="52">
        <f t="shared" ca="1" si="203"/>
        <v>0</v>
      </c>
      <c r="U166" s="52">
        <f t="shared" ca="1" si="203"/>
        <v>0</v>
      </c>
      <c r="V166" s="52">
        <f t="shared" ca="1" si="203"/>
        <v>0</v>
      </c>
      <c r="W166" s="52">
        <f t="shared" ca="1" si="203"/>
        <v>0</v>
      </c>
      <c r="X166" s="52">
        <f t="shared" ca="1" si="203"/>
        <v>0</v>
      </c>
      <c r="Y166" s="52">
        <f t="shared" ca="1" si="203"/>
        <v>0</v>
      </c>
      <c r="Z166" s="52">
        <f t="shared" ca="1" si="203"/>
        <v>0</v>
      </c>
      <c r="AA166" s="52">
        <f t="shared" ca="1" si="203"/>
        <v>0</v>
      </c>
      <c r="AB166" s="145"/>
      <c r="AC166" s="145"/>
      <c r="AD166" s="145"/>
      <c r="AE166" s="21"/>
      <c r="AF166" s="146"/>
      <c r="AG166" s="146"/>
      <c r="AH166" s="146"/>
    </row>
    <row r="167" spans="2:38">
      <c r="B167" s="50" t="str">
        <f t="shared" si="201"/>
        <v>Rwanda</v>
      </c>
      <c r="C167" s="72"/>
      <c r="D167" s="72"/>
      <c r="E167" s="72"/>
      <c r="F167" s="72"/>
      <c r="G167" s="72"/>
      <c r="H167" s="72"/>
      <c r="I167" s="72"/>
      <c r="J167" s="72"/>
      <c r="K167" s="72"/>
      <c r="L167" s="72"/>
      <c r="M167" s="72"/>
      <c r="N167" s="72"/>
      <c r="O167" s="72"/>
      <c r="P167" s="133">
        <f>SUM('Country quarts'!H106:K106)</f>
        <v>4.9239207850705071</v>
      </c>
      <c r="Q167" s="52">
        <f>'Country quarts'!Q106</f>
        <v>12.276139043474714</v>
      </c>
      <c r="R167" s="52">
        <f t="shared" ca="1" si="203"/>
        <v>13.078118655011339</v>
      </c>
      <c r="S167" s="52">
        <f t="shared" ca="1" si="203"/>
        <v>7.6742044662016449</v>
      </c>
      <c r="T167" s="52">
        <f t="shared" ca="1" si="203"/>
        <v>7.9810272834110485</v>
      </c>
      <c r="U167" s="52">
        <f t="shared" ca="1" si="203"/>
        <v>8.4468897724297296</v>
      </c>
      <c r="V167" s="52">
        <f t="shared" ca="1" si="203"/>
        <v>9.0958239807478876</v>
      </c>
      <c r="W167" s="52">
        <f t="shared" ca="1" si="203"/>
        <v>9.954650166711442</v>
      </c>
      <c r="X167" s="52">
        <f t="shared" ca="1" si="203"/>
        <v>11.053273292510182</v>
      </c>
      <c r="Y167" s="52">
        <f t="shared" ca="1" si="203"/>
        <v>12.42501012168047</v>
      </c>
      <c r="Z167" s="52">
        <f t="shared" ca="1" si="203"/>
        <v>14.106950052147747</v>
      </c>
      <c r="AA167" s="52">
        <f t="shared" ca="1" si="203"/>
        <v>16.140353135700746</v>
      </c>
      <c r="AB167" s="145"/>
      <c r="AC167" s="145"/>
      <c r="AD167" s="145"/>
      <c r="AE167" s="21"/>
      <c r="AF167" s="146"/>
      <c r="AG167" s="146"/>
      <c r="AH167" s="146"/>
    </row>
    <row r="168" spans="2:38">
      <c r="B168" s="48"/>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145"/>
      <c r="AC168" s="145"/>
      <c r="AD168" s="145"/>
      <c r="AE168" s="21"/>
      <c r="AF168" s="146"/>
      <c r="AG168" s="146"/>
      <c r="AH168" s="146"/>
    </row>
    <row r="169" spans="2:38">
      <c r="B169" s="48" t="s">
        <v>361</v>
      </c>
      <c r="C169" s="1040"/>
      <c r="D169" s="1040">
        <f t="shared" ref="D169:K169" si="204">D160/D80</f>
        <v>0.42019609229536398</v>
      </c>
      <c r="E169" s="1040">
        <f t="shared" si="204"/>
        <v>0.43878142940011611</v>
      </c>
      <c r="F169" s="1040">
        <f t="shared" si="204"/>
        <v>0.43135173216828038</v>
      </c>
      <c r="G169" s="1040">
        <f t="shared" si="204"/>
        <v>0.39272680668364812</v>
      </c>
      <c r="H169" s="1040">
        <f t="shared" si="204"/>
        <v>0.31987124373518988</v>
      </c>
      <c r="I169" s="1040">
        <f t="shared" si="204"/>
        <v>0.33369338959212375</v>
      </c>
      <c r="J169" s="1040">
        <f t="shared" si="204"/>
        <v>0.36445169545745354</v>
      </c>
      <c r="K169" s="1040">
        <f t="shared" si="204"/>
        <v>0.39931941217933947</v>
      </c>
      <c r="L169" s="1040">
        <f t="shared" ref="L169:S169" si="205">L160/L156</f>
        <v>0.41230018584576561</v>
      </c>
      <c r="M169" s="1040">
        <f t="shared" si="205"/>
        <v>0.4044194779885773</v>
      </c>
      <c r="N169" s="1040">
        <f t="shared" si="205"/>
        <v>0.27409782041941205</v>
      </c>
      <c r="O169" s="1040">
        <f>O160/O156</f>
        <v>0.22651808421183486</v>
      </c>
      <c r="P169" s="1040">
        <f>P160/P156</f>
        <v>0.20240206002504324</v>
      </c>
      <c r="Q169" s="1040">
        <f t="shared" ca="1" si="205"/>
        <v>0.28007542618192582</v>
      </c>
      <c r="R169" s="1040">
        <f t="shared" ca="1" si="205"/>
        <v>0.281837373517627</v>
      </c>
      <c r="S169" s="1040">
        <f t="shared" ca="1" si="205"/>
        <v>0.17541756637876385</v>
      </c>
      <c r="T169" s="1040">
        <f t="shared" ref="T169:Z169" ca="1" si="206">T160/T156</f>
        <v>0.16877896821087954</v>
      </c>
      <c r="U169" s="1040">
        <f t="shared" ca="1" si="206"/>
        <v>0.1651483536966398</v>
      </c>
      <c r="V169" s="1040">
        <f t="shared" ca="1" si="206"/>
        <v>0.16430180667769603</v>
      </c>
      <c r="W169" s="1040">
        <f t="shared" ca="1" si="206"/>
        <v>0.16602031562256286</v>
      </c>
      <c r="X169" s="1040">
        <f t="shared" ca="1" si="206"/>
        <v>0.17009063341292144</v>
      </c>
      <c r="Y169" s="1040">
        <f t="shared" ca="1" si="206"/>
        <v>0.17630603677028658</v>
      </c>
      <c r="Z169" s="1040">
        <f t="shared" ca="1" si="206"/>
        <v>0.18446698371053455</v>
      </c>
      <c r="AA169" s="1040">
        <f t="shared" ref="AA169" ca="1" si="207">AA160/AA156</f>
        <v>0.19438166913129784</v>
      </c>
      <c r="AB169" s="53"/>
      <c r="AC169" s="53"/>
      <c r="AD169" s="53"/>
      <c r="AE169" s="21"/>
      <c r="AF169" s="5"/>
      <c r="AG169" s="5"/>
      <c r="AH169" s="5"/>
    </row>
    <row r="170" spans="2:38">
      <c r="B170" s="50"/>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21"/>
      <c r="AC170" s="21"/>
      <c r="AD170" s="21" t="s">
        <v>1823</v>
      </c>
      <c r="AE170" s="21"/>
      <c r="AF170" s="21"/>
      <c r="AG170" s="21"/>
      <c r="AH170" s="21"/>
    </row>
    <row r="171" spans="2:38">
      <c r="B171" s="50" t="s">
        <v>1934</v>
      </c>
      <c r="C171" s="4"/>
      <c r="D171" s="69">
        <f t="shared" ref="D171:J171" si="208">D80-D160</f>
        <v>49.201000000000008</v>
      </c>
      <c r="E171" s="69">
        <f t="shared" si="208"/>
        <v>84.170999999999978</v>
      </c>
      <c r="F171" s="69">
        <f t="shared" si="208"/>
        <v>116.22999999999999</v>
      </c>
      <c r="G171" s="69">
        <f t="shared" si="208"/>
        <v>189.53300000000002</v>
      </c>
      <c r="H171" s="69">
        <f t="shared" si="208"/>
        <v>324.33299999999997</v>
      </c>
      <c r="I171" s="69">
        <f t="shared" si="208"/>
        <v>473.74400000000003</v>
      </c>
      <c r="J171" s="69">
        <f t="shared" si="208"/>
        <v>496.68100000000004</v>
      </c>
      <c r="K171" s="69">
        <f>K80-K160</f>
        <v>546.1038772222247</v>
      </c>
      <c r="L171" s="69">
        <f>L156-L160</f>
        <v>574.38615174473966</v>
      </c>
      <c r="M171" s="69">
        <f>M156-M160</f>
        <v>540.60025147765066</v>
      </c>
      <c r="N171" s="69">
        <f>N156-N160</f>
        <v>694.39279449502169</v>
      </c>
      <c r="O171" s="69">
        <f>O156-O160</f>
        <v>773.34184283413447</v>
      </c>
      <c r="P171" s="69">
        <f>P156-P160</f>
        <v>788.13223529075731</v>
      </c>
      <c r="Q171" s="69">
        <f t="shared" ref="Q171:AA171" ca="1" si="209">Q172*AVERAGE(P55:Q55)/100</f>
        <v>637.80153241358346</v>
      </c>
      <c r="R171" s="69">
        <f t="shared" ca="1" si="209"/>
        <v>673.5677077511225</v>
      </c>
      <c r="S171" s="69">
        <f t="shared" ca="1" si="209"/>
        <v>729.13195187650456</v>
      </c>
      <c r="T171" s="69">
        <f t="shared" ca="1" si="209"/>
        <v>794.45400424413049</v>
      </c>
      <c r="U171" s="69">
        <f t="shared" ca="1" si="209"/>
        <v>863.06529466875054</v>
      </c>
      <c r="V171" s="69">
        <f t="shared" ca="1" si="209"/>
        <v>935.1062051009983</v>
      </c>
      <c r="W171" s="69">
        <f t="shared" ca="1" si="209"/>
        <v>1010.7226675093151</v>
      </c>
      <c r="X171" s="69">
        <f t="shared" ca="1" si="209"/>
        <v>1090.0663742411091</v>
      </c>
      <c r="Y171" s="69">
        <f t="shared" ca="1" si="209"/>
        <v>1173.2949961581753</v>
      </c>
      <c r="Z171" s="69">
        <f t="shared" ca="1" si="209"/>
        <v>1260.572408829197</v>
      </c>
      <c r="AA171" s="69">
        <f t="shared" ca="1" si="209"/>
        <v>1352.0689270723203</v>
      </c>
      <c r="AB171" s="21"/>
      <c r="AC171" s="194" t="str">
        <f>AC86</f>
        <v xml:space="preserve">ARPU @ 8% </v>
      </c>
      <c r="AD171" s="190">
        <v>-0.125</v>
      </c>
      <c r="AE171" s="190">
        <v>-0.09</v>
      </c>
      <c r="AF171" s="190">
        <v>-0.125</v>
      </c>
      <c r="AG171" s="190">
        <v>0</v>
      </c>
      <c r="AH171" s="190">
        <v>0.06</v>
      </c>
      <c r="AI171" s="190">
        <v>7.0000000000000007E-2</v>
      </c>
      <c r="AJ171" s="190">
        <v>7.0000000000000007E-2</v>
      </c>
      <c r="AK171" s="190">
        <v>7.0000000000000007E-2</v>
      </c>
      <c r="AL171" s="190">
        <v>7.0000000000000007E-2</v>
      </c>
    </row>
    <row r="172" spans="2:38">
      <c r="B172" s="50" t="s">
        <v>1935</v>
      </c>
      <c r="C172" s="4"/>
      <c r="D172" s="69">
        <f t="shared" ref="D172:N172" si="210">D171*100/AVERAGE(C55:D55)</f>
        <v>10.632226444532565</v>
      </c>
      <c r="E172" s="69">
        <f t="shared" si="210"/>
        <v>9.804363513105038</v>
      </c>
      <c r="F172" s="69">
        <f t="shared" si="210"/>
        <v>7.5862352548793588</v>
      </c>
      <c r="G172" s="69">
        <f t="shared" si="210"/>
        <v>7.071265385019327</v>
      </c>
      <c r="H172" s="69">
        <f t="shared" si="210"/>
        <v>7.2462293223923346</v>
      </c>
      <c r="I172" s="69">
        <f t="shared" si="210"/>
        <v>6.4820305575342054</v>
      </c>
      <c r="J172" s="69">
        <f t="shared" si="210"/>
        <v>4.6909803551190032</v>
      </c>
      <c r="K172" s="69">
        <f t="shared" si="210"/>
        <v>4.0314276173953916</v>
      </c>
      <c r="L172" s="69">
        <f t="shared" si="210"/>
        <v>3.5600610018809751</v>
      </c>
      <c r="M172" s="69">
        <f t="shared" si="210"/>
        <v>2.9851749163568884</v>
      </c>
      <c r="N172" s="69">
        <f t="shared" si="210"/>
        <v>3.530661215177433</v>
      </c>
      <c r="O172" s="69">
        <f>O171*100/AVERAGE(N55:O55)</f>
        <v>3.3793259316748649</v>
      </c>
      <c r="P172" s="69">
        <f>P171*100/AVERAGE(O55:P55)</f>
        <v>2.8476941595724847</v>
      </c>
      <c r="Q172" s="69">
        <f t="shared" ref="Q172:AA172" si="211">P172*(1+Q173)</f>
        <v>2.0645782656900513</v>
      </c>
      <c r="R172" s="69">
        <f t="shared" si="211"/>
        <v>2.0439324830331507</v>
      </c>
      <c r="S172" s="69">
        <f t="shared" si="211"/>
        <v>2.0643718078634823</v>
      </c>
      <c r="T172" s="69">
        <f t="shared" si="211"/>
        <v>2.1056592440207518</v>
      </c>
      <c r="U172" s="69">
        <f t="shared" si="211"/>
        <v>2.1477724289011668</v>
      </c>
      <c r="V172" s="69">
        <f t="shared" si="211"/>
        <v>2.1907278774791901</v>
      </c>
      <c r="W172" s="69">
        <f t="shared" si="211"/>
        <v>2.2345424350287737</v>
      </c>
      <c r="X172" s="69">
        <f t="shared" si="211"/>
        <v>2.2792332837293494</v>
      </c>
      <c r="Y172" s="69">
        <f t="shared" si="211"/>
        <v>2.3248179494039363</v>
      </c>
      <c r="Z172" s="69">
        <f t="shared" si="211"/>
        <v>2.371314308392015</v>
      </c>
      <c r="AA172" s="69">
        <f t="shared" si="211"/>
        <v>2.4187405945598552</v>
      </c>
      <c r="AB172" s="21"/>
      <c r="AC172" s="194" t="str">
        <f>AC87</f>
        <v xml:space="preserve">ARPU @ 0% </v>
      </c>
      <c r="AD172" s="190">
        <v>-0.125</v>
      </c>
      <c r="AE172" s="190">
        <v>-0.09</v>
      </c>
      <c r="AF172" s="190">
        <v>-0.125</v>
      </c>
      <c r="AG172" s="190">
        <v>0</v>
      </c>
      <c r="AH172" s="190">
        <v>0.03</v>
      </c>
      <c r="AI172" s="190">
        <v>0.03</v>
      </c>
      <c r="AJ172" s="190">
        <v>0.03</v>
      </c>
      <c r="AK172" s="190">
        <v>0.03</v>
      </c>
      <c r="AL172" s="190">
        <v>0.03</v>
      </c>
    </row>
    <row r="173" spans="2:38">
      <c r="B173" s="50"/>
      <c r="C173" s="4"/>
      <c r="D173" s="69"/>
      <c r="E173" s="36">
        <f t="shared" ref="E173:N173" si="212">E172/D172-1</f>
        <v>-7.7863553390855489E-2</v>
      </c>
      <c r="F173" s="36">
        <f t="shared" si="212"/>
        <v>-0.22623888386643454</v>
      </c>
      <c r="G173" s="36">
        <f t="shared" si="212"/>
        <v>-6.7882138182942642E-2</v>
      </c>
      <c r="H173" s="36">
        <f t="shared" si="212"/>
        <v>2.4742945971689023E-2</v>
      </c>
      <c r="I173" s="36">
        <f t="shared" si="212"/>
        <v>-0.10546157606364981</v>
      </c>
      <c r="J173" s="36">
        <f t="shared" si="212"/>
        <v>-0.27631005230813444</v>
      </c>
      <c r="K173" s="36">
        <f t="shared" si="212"/>
        <v>-0.14060019181361072</v>
      </c>
      <c r="L173" s="36">
        <f t="shared" si="212"/>
        <v>-0.11692300104322728</v>
      </c>
      <c r="M173" s="36">
        <f t="shared" si="212"/>
        <v>-0.16148208843060352</v>
      </c>
      <c r="N173" s="36">
        <f t="shared" si="212"/>
        <v>0.18273177086931214</v>
      </c>
      <c r="O173" s="36">
        <f>O172/N172-1</f>
        <v>-4.2863156298320382E-2</v>
      </c>
      <c r="P173" s="36">
        <f>P172/O172-1</f>
        <v>-0.15731888040728059</v>
      </c>
      <c r="Q173" s="70">
        <v>-0.27500000000000002</v>
      </c>
      <c r="R173" s="70">
        <v>-0.01</v>
      </c>
      <c r="S173" s="70">
        <v>0.01</v>
      </c>
      <c r="T173" s="70">
        <v>0.02</v>
      </c>
      <c r="U173" s="70">
        <v>0.02</v>
      </c>
      <c r="V173" s="70">
        <v>0.02</v>
      </c>
      <c r="W173" s="70">
        <v>0.02</v>
      </c>
      <c r="X173" s="70">
        <v>0.02</v>
      </c>
      <c r="Y173" s="70">
        <v>0.02</v>
      </c>
      <c r="Z173" s="70">
        <v>0.02</v>
      </c>
      <c r="AA173" s="70">
        <v>0.02</v>
      </c>
      <c r="AB173" s="21"/>
      <c r="AC173" s="194" t="str">
        <f>AC88</f>
        <v>Base case</v>
      </c>
      <c r="AD173" s="16">
        <v>-0.125</v>
      </c>
      <c r="AE173" s="16">
        <v>-0.1</v>
      </c>
      <c r="AF173" s="16">
        <v>-0.125</v>
      </c>
      <c r="AG173" s="16">
        <v>-0.02</v>
      </c>
      <c r="AH173" s="16">
        <v>0</v>
      </c>
      <c r="AI173" s="16">
        <v>0</v>
      </c>
      <c r="AJ173" s="16">
        <v>0</v>
      </c>
      <c r="AK173" s="16">
        <v>5.0000000000000001E-3</v>
      </c>
      <c r="AL173" s="16">
        <v>0.01</v>
      </c>
    </row>
    <row r="174" spans="2:38">
      <c r="B174" s="50"/>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21"/>
      <c r="AC174" s="21"/>
      <c r="AD174" s="21"/>
      <c r="AE174" s="21"/>
      <c r="AF174" s="21"/>
      <c r="AG174" s="21"/>
      <c r="AH174" s="21"/>
    </row>
    <row r="175" spans="2:38">
      <c r="B175" s="50" t="s">
        <v>2232</v>
      </c>
      <c r="F175" s="119">
        <v>0.04</v>
      </c>
      <c r="G175" s="119">
        <v>0.04</v>
      </c>
      <c r="H175" s="119">
        <v>0.04</v>
      </c>
      <c r="I175" s="119">
        <v>0.04</v>
      </c>
      <c r="J175" s="119">
        <v>0.04</v>
      </c>
      <c r="K175" s="119">
        <v>0.04</v>
      </c>
      <c r="L175" s="119">
        <v>0.04</v>
      </c>
      <c r="M175" s="119">
        <v>0.04</v>
      </c>
      <c r="N175" s="119">
        <v>0.04</v>
      </c>
      <c r="O175" s="119">
        <v>0.04</v>
      </c>
      <c r="P175" s="119">
        <v>0.04</v>
      </c>
      <c r="Q175" s="119">
        <v>0.04</v>
      </c>
      <c r="R175" s="119">
        <v>0.04</v>
      </c>
      <c r="S175" s="119">
        <v>0.04</v>
      </c>
      <c r="T175" s="119">
        <v>0.04</v>
      </c>
      <c r="U175" s="119">
        <v>0.04</v>
      </c>
      <c r="V175" s="119">
        <v>0.04</v>
      </c>
      <c r="W175" s="119">
        <v>0.04</v>
      </c>
      <c r="X175" s="119">
        <v>0.04</v>
      </c>
      <c r="Y175" s="119">
        <v>0.04</v>
      </c>
      <c r="Z175" s="119">
        <v>0.04</v>
      </c>
      <c r="AA175" s="119">
        <v>0.04</v>
      </c>
      <c r="AB175" s="21"/>
      <c r="AC175" s="21"/>
      <c r="AD175" s="21"/>
      <c r="AE175" s="21"/>
      <c r="AF175" s="21"/>
      <c r="AG175" s="21"/>
      <c r="AH175" s="21"/>
    </row>
    <row r="176" spans="2:38">
      <c r="B176" s="50" t="s">
        <v>1758</v>
      </c>
      <c r="F176" s="5">
        <f t="shared" ref="F176:S176" si="213">F87+F175</f>
        <v>-0.19634849141797098</v>
      </c>
      <c r="G176" s="5">
        <f t="shared" si="213"/>
        <v>-8.7168441862781415E-2</v>
      </c>
      <c r="H176" s="5">
        <f t="shared" si="213"/>
        <v>-4.5027775407955807E-2</v>
      </c>
      <c r="I176" s="5">
        <f t="shared" si="213"/>
        <v>-4.6904893033428742E-2</v>
      </c>
      <c r="J176" s="5">
        <f t="shared" si="213"/>
        <v>-0.20128600047183412</v>
      </c>
      <c r="K176" s="5">
        <f t="shared" si="213"/>
        <v>-5.0714595924115126E-2</v>
      </c>
      <c r="L176" s="5">
        <f t="shared" si="213"/>
        <v>-8.0071502509681342E-2</v>
      </c>
      <c r="M176" s="5">
        <f>M87+M175</f>
        <v>-0.13311579457985726</v>
      </c>
      <c r="N176" s="5">
        <f t="shared" si="213"/>
        <v>-4.2013239395000269E-2</v>
      </c>
      <c r="O176" s="5">
        <f t="shared" si="213"/>
        <v>-8.874186290125588E-2</v>
      </c>
      <c r="P176" s="5">
        <f t="shared" si="213"/>
        <v>-0.16238655409631877</v>
      </c>
      <c r="Q176" s="5">
        <f t="shared" si="213"/>
        <v>-0.16</v>
      </c>
      <c r="R176" s="5">
        <f t="shared" si="213"/>
        <v>0.03</v>
      </c>
      <c r="S176" s="5">
        <f t="shared" si="213"/>
        <v>0.06</v>
      </c>
      <c r="T176" s="5">
        <f t="shared" ref="T176:Z176" si="214">T87+T175</f>
        <v>0.04</v>
      </c>
      <c r="U176" s="5">
        <f t="shared" si="214"/>
        <v>0.04</v>
      </c>
      <c r="V176" s="5">
        <f t="shared" si="214"/>
        <v>0.04</v>
      </c>
      <c r="W176" s="5">
        <f t="shared" si="214"/>
        <v>0.04</v>
      </c>
      <c r="X176" s="5">
        <f t="shared" si="214"/>
        <v>0.04</v>
      </c>
      <c r="Y176" s="5">
        <f t="shared" si="214"/>
        <v>0.04</v>
      </c>
      <c r="Z176" s="5">
        <f t="shared" si="214"/>
        <v>0.04</v>
      </c>
      <c r="AA176" s="5">
        <f t="shared" ref="AA176" si="215">AA87+AA175</f>
        <v>0.04</v>
      </c>
      <c r="AB176" s="21"/>
      <c r="AC176" s="21"/>
      <c r="AD176" s="21"/>
      <c r="AE176" s="21"/>
      <c r="AF176" s="21"/>
      <c r="AG176" s="21"/>
      <c r="AH176" s="21"/>
    </row>
    <row r="177" spans="1:34">
      <c r="AB177" s="21"/>
      <c r="AC177" s="21"/>
      <c r="AD177" s="21"/>
      <c r="AE177" s="21"/>
      <c r="AF177" s="21"/>
      <c r="AG177" s="21"/>
      <c r="AH177" s="21"/>
    </row>
    <row r="178" spans="1:34">
      <c r="B178" s="2" t="s">
        <v>1545</v>
      </c>
      <c r="G178" s="10">
        <f>Div!F80</f>
        <v>264</v>
      </c>
      <c r="H178" s="10">
        <f>Div!G80</f>
        <v>343</v>
      </c>
      <c r="I178" s="10">
        <f>Div!H80</f>
        <v>601</v>
      </c>
      <c r="J178" s="10">
        <f>Div!I80</f>
        <v>398</v>
      </c>
      <c r="K178" s="10">
        <f>Div!J80</f>
        <v>236</v>
      </c>
      <c r="L178" s="10">
        <f>Div!K80</f>
        <v>291</v>
      </c>
      <c r="M178" s="10">
        <f>Div!L80</f>
        <v>306</v>
      </c>
      <c r="N178" s="10">
        <f>Div!M80</f>
        <v>325.5</v>
      </c>
      <c r="O178" s="10">
        <f>Div!N80</f>
        <v>361</v>
      </c>
      <c r="P178" s="10">
        <f>Div!O80</f>
        <v>242</v>
      </c>
      <c r="Q178" s="10">
        <f ca="1">Div!P80</f>
        <v>177.18565405568631</v>
      </c>
      <c r="R178" s="10">
        <f ca="1">Div!Q80</f>
        <v>159.44370549962244</v>
      </c>
      <c r="S178" s="10">
        <f ca="1">Div!R80</f>
        <v>132.63657861490853</v>
      </c>
      <c r="T178" s="10">
        <f ca="1">Div!S80</f>
        <v>143.36511719406582</v>
      </c>
      <c r="U178" s="10">
        <f ca="1">Div!T80</f>
        <v>144.73127266220828</v>
      </c>
      <c r="V178" s="10">
        <f ca="1">Div!U80</f>
        <v>162.24804699003525</v>
      </c>
      <c r="W178" s="10">
        <f ca="1">Div!V80</f>
        <v>181.78908067715389</v>
      </c>
      <c r="X178" s="10">
        <f ca="1">Div!W80</f>
        <v>197.02146128147118</v>
      </c>
      <c r="Y178" s="10">
        <f ca="1">Div!X80</f>
        <v>213.66461001322727</v>
      </c>
      <c r="Z178" s="10">
        <f ca="1">Div!Y80</f>
        <v>231.85555648585216</v>
      </c>
      <c r="AA178" s="10">
        <f ca="1">Div!Z80</f>
        <v>251.74494086071337</v>
      </c>
      <c r="AB178" s="130"/>
      <c r="AC178" s="130"/>
      <c r="AD178" s="130"/>
      <c r="AE178" s="21"/>
      <c r="AF178" s="146"/>
      <c r="AG178" s="146"/>
      <c r="AH178" s="146"/>
    </row>
    <row r="179" spans="1:34">
      <c r="B179" t="s">
        <v>1431</v>
      </c>
      <c r="G179" s="16">
        <f>G178/G80</f>
        <v>0.84586917864180322</v>
      </c>
      <c r="H179" s="16">
        <f>H178/H80</f>
        <v>0.71927359657768364</v>
      </c>
      <c r="I179" s="16">
        <f>I178/I80</f>
        <v>0.84528832630098449</v>
      </c>
      <c r="J179" s="16">
        <f>J178/J80</f>
        <v>0.50927703134996805</v>
      </c>
      <c r="K179" s="16">
        <f>K178/K80</f>
        <v>0.25958544635637071</v>
      </c>
      <c r="L179" s="16">
        <f t="shared" ref="L179:U179" si="216">L178/L156</f>
        <v>0.29774507167241859</v>
      </c>
      <c r="M179" s="16">
        <f t="shared" si="216"/>
        <v>0.33712089337241041</v>
      </c>
      <c r="N179" s="16">
        <f t="shared" si="216"/>
        <v>0.34027017752295435</v>
      </c>
      <c r="O179" s="16">
        <f t="shared" si="216"/>
        <v>0.36106538678447786</v>
      </c>
      <c r="P179" s="16">
        <f t="shared" si="216"/>
        <v>0.24490649263030231</v>
      </c>
      <c r="Q179" s="16">
        <f t="shared" ca="1" si="216"/>
        <v>0.2</v>
      </c>
      <c r="R179" s="16">
        <f t="shared" ca="1" si="216"/>
        <v>0.17</v>
      </c>
      <c r="S179" s="16">
        <f t="shared" ca="1" si="216"/>
        <v>0.15</v>
      </c>
      <c r="T179" s="16">
        <f t="shared" ca="1" si="216"/>
        <v>0.15</v>
      </c>
      <c r="U179" s="16">
        <f t="shared" ca="1" si="216"/>
        <v>0.14000000000000001</v>
      </c>
      <c r="V179" s="16">
        <f t="shared" ref="V179:AA179" ca="1" si="217">V178/V156</f>
        <v>0.14499999999999999</v>
      </c>
      <c r="W179" s="16">
        <f t="shared" ca="1" si="217"/>
        <v>0.15</v>
      </c>
      <c r="X179" s="16">
        <f t="shared" ca="1" si="217"/>
        <v>0.15</v>
      </c>
      <c r="Y179" s="16">
        <f t="shared" ca="1" si="217"/>
        <v>0.15</v>
      </c>
      <c r="Z179" s="16">
        <f t="shared" ca="1" si="217"/>
        <v>0.15</v>
      </c>
      <c r="AA179" s="16">
        <f t="shared" ca="1" si="217"/>
        <v>0.15</v>
      </c>
      <c r="AB179" s="53"/>
      <c r="AC179" s="53"/>
      <c r="AD179" s="53"/>
      <c r="AE179" s="21"/>
      <c r="AF179" s="5"/>
      <c r="AG179" s="5"/>
      <c r="AH179" s="5"/>
    </row>
    <row r="180" spans="1:34">
      <c r="AB180" s="21"/>
      <c r="AC180" s="21"/>
      <c r="AD180" s="21"/>
      <c r="AE180" s="21"/>
      <c r="AF180" s="21"/>
      <c r="AG180" s="21"/>
      <c r="AH180" s="21"/>
    </row>
    <row r="181" spans="1:34">
      <c r="B181" s="2" t="s">
        <v>1552</v>
      </c>
      <c r="G181" s="130">
        <f t="shared" ref="G181:U181" si="218">G160-G178</f>
        <v>-141.428</v>
      </c>
      <c r="H181" s="130">
        <f t="shared" si="218"/>
        <v>-190.46299999999999</v>
      </c>
      <c r="I181" s="130">
        <f t="shared" si="218"/>
        <v>-363.74400000000003</v>
      </c>
      <c r="J181" s="130">
        <f t="shared" si="218"/>
        <v>-113.18100000000004</v>
      </c>
      <c r="K181" s="130">
        <f t="shared" si="218"/>
        <v>127.03800000000001</v>
      </c>
      <c r="L181" s="130">
        <f t="shared" si="218"/>
        <v>111.96000000000004</v>
      </c>
      <c r="M181" s="130">
        <f t="shared" si="218"/>
        <v>61.086000000000013</v>
      </c>
      <c r="N181" s="130">
        <f t="shared" si="218"/>
        <v>-63.300000000000011</v>
      </c>
      <c r="O181" s="130">
        <f t="shared" si="218"/>
        <v>-134.52293685995659</v>
      </c>
      <c r="P181" s="130">
        <f t="shared" si="218"/>
        <v>-42</v>
      </c>
      <c r="Q181" s="130">
        <f t="shared" ca="1" si="218"/>
        <v>70.941083809161796</v>
      </c>
      <c r="R181" s="130">
        <f t="shared" ca="1" si="218"/>
        <v>104.89273674703404</v>
      </c>
      <c r="S181" s="130">
        <f t="shared" ca="1" si="218"/>
        <v>22.475326941310442</v>
      </c>
      <c r="T181" s="130">
        <f t="shared" ca="1" si="218"/>
        <v>17.948326522242553</v>
      </c>
      <c r="U181" s="130">
        <f t="shared" ca="1" si="218"/>
        <v>25.998237399100191</v>
      </c>
      <c r="V181" s="130">
        <f t="shared" ref="V181:AA181" ca="1" si="219">V160-V178</f>
        <v>21.597796116106252</v>
      </c>
      <c r="W181" s="130">
        <f t="shared" ca="1" si="219"/>
        <v>19.415456327890354</v>
      </c>
      <c r="X181" s="130">
        <f t="shared" ca="1" si="219"/>
        <v>26.38857302056087</v>
      </c>
      <c r="Y181" s="130">
        <f t="shared" ca="1" si="219"/>
        <v>37.471127250112659</v>
      </c>
      <c r="Z181" s="130">
        <f t="shared" ca="1" si="219"/>
        <v>53.275744590631916</v>
      </c>
      <c r="AA181" s="130">
        <f t="shared" ca="1" si="219"/>
        <v>74.485737805055521</v>
      </c>
      <c r="AB181" s="130"/>
      <c r="AC181" s="130"/>
      <c r="AD181" s="130"/>
      <c r="AE181" s="21"/>
      <c r="AF181" s="130"/>
      <c r="AG181" s="130"/>
      <c r="AH181" s="130"/>
    </row>
    <row r="183" spans="1:34">
      <c r="C183" s="198"/>
    </row>
    <row r="184" spans="1:34">
      <c r="A184" s="199" t="str">
        <f>Quarts!C134</f>
        <v>2/4</v>
      </c>
      <c r="B184" s="23" t="s">
        <v>2382</v>
      </c>
      <c r="C184" s="96" t="s">
        <v>518</v>
      </c>
      <c r="D184" s="96" t="s">
        <v>1100</v>
      </c>
      <c r="F184" s="96">
        <v>2008</v>
      </c>
      <c r="G184" s="8" t="s">
        <v>710</v>
      </c>
      <c r="H184" s="8" t="s">
        <v>711</v>
      </c>
      <c r="J184" s="96" t="s">
        <v>1129</v>
      </c>
    </row>
    <row r="185" spans="1:34">
      <c r="B185" t="s">
        <v>887</v>
      </c>
      <c r="C185" s="16">
        <f t="shared" ref="C185:C190" si="220">D185/D$191</f>
        <v>0.23146881287726359</v>
      </c>
      <c r="D185" s="9">
        <f>Quarts!AH134</f>
        <v>2876</v>
      </c>
      <c r="E185" s="5">
        <f t="shared" ref="E185:E190" si="221">D185/D$191</f>
        <v>0.23146881287726359</v>
      </c>
      <c r="F185">
        <f>I48</f>
        <v>2889</v>
      </c>
      <c r="G185" s="5">
        <f t="shared" ref="G185:G190" si="222">F185/F$191</f>
        <v>0.25231441048034936</v>
      </c>
      <c r="H185" s="16">
        <f t="shared" ref="H185:H190" si="223">(D185-F185)/(D$191-F$191)</f>
        <v>-1.3333333333333334E-2</v>
      </c>
      <c r="I185" s="9">
        <f t="shared" ref="I185:I190" si="224">D185-F185</f>
        <v>-13</v>
      </c>
      <c r="J185" s="9">
        <f>J48</f>
        <v>3094</v>
      </c>
      <c r="K185" s="16">
        <f t="shared" ref="K185:K190" si="225">J185/J$191</f>
        <v>0.19112923152952804</v>
      </c>
    </row>
    <row r="186" spans="1:34">
      <c r="B186" t="s">
        <v>1167</v>
      </c>
      <c r="C186" s="16">
        <f t="shared" si="220"/>
        <v>0.54543259557344059</v>
      </c>
      <c r="D186">
        <v>6777</v>
      </c>
      <c r="E186" s="5">
        <f t="shared" si="221"/>
        <v>0.54543259557344059</v>
      </c>
      <c r="F186">
        <v>6400</v>
      </c>
      <c r="G186" s="5">
        <f t="shared" si="222"/>
        <v>0.55895196506550215</v>
      </c>
      <c r="H186" s="16">
        <f t="shared" si="223"/>
        <v>0.38666666666666666</v>
      </c>
      <c r="I186" s="9">
        <f t="shared" si="224"/>
        <v>377</v>
      </c>
      <c r="J186">
        <v>7839</v>
      </c>
      <c r="K186" s="16">
        <f t="shared" si="225"/>
        <v>0.48424759080800595</v>
      </c>
    </row>
    <row r="187" spans="1:34">
      <c r="B187" t="s">
        <v>1725</v>
      </c>
      <c r="C187" s="16">
        <f t="shared" si="220"/>
        <v>0.14374245472837022</v>
      </c>
      <c r="D187">
        <v>1786</v>
      </c>
      <c r="E187" s="5">
        <f t="shared" si="221"/>
        <v>0.14374245472837022</v>
      </c>
      <c r="F187">
        <v>1602</v>
      </c>
      <c r="G187" s="5">
        <f t="shared" si="222"/>
        <v>0.13991266375545852</v>
      </c>
      <c r="H187" s="16">
        <f t="shared" si="223"/>
        <v>0.18871794871794872</v>
      </c>
      <c r="I187" s="9">
        <f t="shared" si="224"/>
        <v>184</v>
      </c>
      <c r="J187">
        <f>(D187-F187)*4+F187</f>
        <v>2338</v>
      </c>
      <c r="K187" s="16">
        <f t="shared" si="225"/>
        <v>0.14442797133679269</v>
      </c>
    </row>
    <row r="188" spans="1:34">
      <c r="A188" t="s">
        <v>1642</v>
      </c>
      <c r="B188" t="s">
        <v>1726</v>
      </c>
      <c r="C188" s="16">
        <f t="shared" si="220"/>
        <v>2.3259557344064385E-2</v>
      </c>
      <c r="D188" s="21">
        <v>289</v>
      </c>
      <c r="E188" s="5">
        <f t="shared" si="221"/>
        <v>2.3259557344064385E-2</v>
      </c>
      <c r="F188">
        <f>D188</f>
        <v>289</v>
      </c>
      <c r="G188" s="5">
        <f t="shared" si="222"/>
        <v>2.5240174672489082E-2</v>
      </c>
      <c r="H188" s="16">
        <f t="shared" si="223"/>
        <v>0</v>
      </c>
      <c r="I188" s="9">
        <f t="shared" si="224"/>
        <v>0</v>
      </c>
      <c r="J188">
        <f>F188+150</f>
        <v>439</v>
      </c>
      <c r="K188" s="16">
        <f t="shared" si="225"/>
        <v>2.7118853471707439E-2</v>
      </c>
    </row>
    <row r="189" spans="1:34">
      <c r="A189" t="s">
        <v>1727</v>
      </c>
      <c r="B189" t="s">
        <v>849</v>
      </c>
      <c r="C189" s="16">
        <f t="shared" si="220"/>
        <v>5.6096579476861169E-2</v>
      </c>
      <c r="D189" s="21">
        <v>697</v>
      </c>
      <c r="E189" s="5">
        <f t="shared" si="221"/>
        <v>5.6096579476861169E-2</v>
      </c>
      <c r="F189">
        <v>270</v>
      </c>
      <c r="G189" s="5">
        <f t="shared" si="222"/>
        <v>2.3580786026200874E-2</v>
      </c>
      <c r="H189" s="16">
        <f t="shared" si="223"/>
        <v>0.43794871794871792</v>
      </c>
      <c r="I189" s="9">
        <f t="shared" si="224"/>
        <v>427</v>
      </c>
      <c r="J189">
        <f>(D189-F189)*4+F189</f>
        <v>1978</v>
      </c>
      <c r="K189" s="16">
        <f t="shared" si="225"/>
        <v>0.1221892760069187</v>
      </c>
    </row>
    <row r="190" spans="1:34">
      <c r="B190" s="11" t="s">
        <v>712</v>
      </c>
      <c r="C190" s="20">
        <f t="shared" si="220"/>
        <v>0</v>
      </c>
      <c r="D190" s="11">
        <v>0</v>
      </c>
      <c r="E190" s="17">
        <f t="shared" si="221"/>
        <v>0</v>
      </c>
      <c r="F190" s="11">
        <v>0</v>
      </c>
      <c r="G190" s="5">
        <f t="shared" si="222"/>
        <v>0</v>
      </c>
      <c r="H190" s="16">
        <f t="shared" si="223"/>
        <v>0</v>
      </c>
      <c r="I190" s="9">
        <f t="shared" si="224"/>
        <v>0</v>
      </c>
      <c r="J190" s="11">
        <v>500</v>
      </c>
      <c r="K190" s="16">
        <f t="shared" si="225"/>
        <v>3.0887076847047196E-2</v>
      </c>
    </row>
    <row r="191" spans="1:34">
      <c r="D191" s="9">
        <f>SUM(D185:D190)</f>
        <v>12425</v>
      </c>
      <c r="F191" s="143">
        <f>SUM(F185:F190)</f>
        <v>11450</v>
      </c>
      <c r="J191" s="9">
        <f>SUM(J185:J190)</f>
        <v>16188</v>
      </c>
    </row>
    <row r="192" spans="1:34">
      <c r="A192" s="199" t="str">
        <f>Quarts!C137</f>
        <v>3/5</v>
      </c>
      <c r="B192" s="23" t="s">
        <v>577</v>
      </c>
      <c r="C192" s="96" t="s">
        <v>518</v>
      </c>
    </row>
    <row r="193" spans="1:6">
      <c r="B193" t="s">
        <v>1166</v>
      </c>
      <c r="C193" s="16" t="e">
        <f>#REF!</f>
        <v>#REF!</v>
      </c>
    </row>
    <row r="194" spans="1:6">
      <c r="B194" t="s">
        <v>1168</v>
      </c>
      <c r="C194" s="16">
        <v>0.78</v>
      </c>
    </row>
    <row r="195" spans="1:6">
      <c r="B195" t="s">
        <v>501</v>
      </c>
      <c r="C195" s="16">
        <v>1.4999999999999999E-2</v>
      </c>
    </row>
    <row r="196" spans="1:6">
      <c r="B196" t="s">
        <v>1170</v>
      </c>
      <c r="C196" s="16" t="e">
        <f>100%-C193-C194-C195-C197</f>
        <v>#REF!</v>
      </c>
    </row>
    <row r="197" spans="1:6">
      <c r="B197" t="s">
        <v>479</v>
      </c>
      <c r="C197" s="16">
        <v>1.4999999999999999E-2</v>
      </c>
    </row>
    <row r="198" spans="1:6">
      <c r="D198" t="s">
        <v>1823</v>
      </c>
    </row>
    <row r="199" spans="1:6">
      <c r="A199" s="251" t="s">
        <v>1556</v>
      </c>
      <c r="B199" s="23" t="s">
        <v>2384</v>
      </c>
      <c r="C199" s="96" t="s">
        <v>518</v>
      </c>
      <c r="D199" s="96">
        <v>2008</v>
      </c>
    </row>
    <row r="200" spans="1:6">
      <c r="B200" t="s">
        <v>1166</v>
      </c>
      <c r="C200" s="16">
        <f>D200/$D$203</f>
        <v>0.3435355221665739</v>
      </c>
      <c r="D200" s="9">
        <f>I50</f>
        <v>1852</v>
      </c>
    </row>
    <row r="201" spans="1:6">
      <c r="A201" t="s">
        <v>1169</v>
      </c>
      <c r="B201" t="s">
        <v>786</v>
      </c>
      <c r="C201" s="16">
        <f>D201/$D$203</f>
        <v>0.6564644778334261</v>
      </c>
      <c r="D201">
        <v>3539</v>
      </c>
    </row>
    <row r="202" spans="1:6">
      <c r="B202" s="324" t="s">
        <v>1639</v>
      </c>
      <c r="C202" s="20">
        <f>D202/$D$203</f>
        <v>0</v>
      </c>
      <c r="D202" s="324">
        <v>0</v>
      </c>
    </row>
    <row r="203" spans="1:6">
      <c r="B203" s="200"/>
      <c r="C203" s="250"/>
      <c r="D203" s="9">
        <f>SUM(D200:D202)</f>
        <v>5391</v>
      </c>
    </row>
    <row r="204" spans="1:6">
      <c r="C204" s="16"/>
    </row>
    <row r="205" spans="1:6">
      <c r="A205" s="199" t="str">
        <f>Quarts!C138</f>
        <v>3/4</v>
      </c>
      <c r="B205" s="23" t="s">
        <v>578</v>
      </c>
      <c r="C205" s="306" t="s">
        <v>1100</v>
      </c>
      <c r="D205" s="306" t="s">
        <v>1100</v>
      </c>
      <c r="E205" s="96" t="s">
        <v>785</v>
      </c>
      <c r="F205" s="306">
        <v>2008</v>
      </c>
    </row>
    <row r="206" spans="1:6">
      <c r="B206" t="s">
        <v>1166</v>
      </c>
      <c r="C206" s="16">
        <f t="shared" ref="C206:C211" si="226">D206/D$212</f>
        <v>0.24182966530288144</v>
      </c>
      <c r="D206" s="9">
        <f>Quarts!AJ138</f>
        <v>3492.6010000000001</v>
      </c>
      <c r="E206" s="16">
        <f t="shared" ref="E206:E212" si="227">D206/D$212</f>
        <v>0.24182966530288144</v>
      </c>
    </row>
    <row r="207" spans="1:6">
      <c r="B207" t="s">
        <v>849</v>
      </c>
      <c r="C207" s="16">
        <f t="shared" si="226"/>
        <v>0.28423251784796727</v>
      </c>
      <c r="D207">
        <v>4105</v>
      </c>
      <c r="E207" s="16">
        <f t="shared" si="227"/>
        <v>0.28423251784796727</v>
      </c>
    </row>
    <row r="208" spans="1:6">
      <c r="B208" t="s">
        <v>922</v>
      </c>
      <c r="C208" s="16">
        <f t="shared" si="226"/>
        <v>0.39238627981593921</v>
      </c>
      <c r="D208">
        <v>5667</v>
      </c>
      <c r="E208" s="16">
        <f t="shared" si="227"/>
        <v>0.39238627981593921</v>
      </c>
    </row>
    <row r="209" spans="1:31">
      <c r="B209" t="s">
        <v>784</v>
      </c>
      <c r="C209" s="16">
        <f t="shared" si="226"/>
        <v>7.4018163600359801E-2</v>
      </c>
      <c r="D209">
        <v>1069</v>
      </c>
      <c r="E209" s="16">
        <f t="shared" si="227"/>
        <v>7.4018163600359801E-2</v>
      </c>
    </row>
    <row r="210" spans="1:31">
      <c r="B210" s="200" t="s">
        <v>782</v>
      </c>
      <c r="C210" s="16">
        <f t="shared" si="226"/>
        <v>7.3256517389317741E-3</v>
      </c>
      <c r="D210">
        <v>105.8</v>
      </c>
      <c r="E210" s="16">
        <f t="shared" si="227"/>
        <v>7.3256517389317741E-3</v>
      </c>
    </row>
    <row r="211" spans="1:31">
      <c r="B211" s="323" t="s">
        <v>783</v>
      </c>
      <c r="C211" s="16">
        <f t="shared" si="226"/>
        <v>2.0772169392056073E-4</v>
      </c>
      <c r="D211" s="11">
        <v>3</v>
      </c>
      <c r="E211" s="20">
        <f t="shared" si="227"/>
        <v>2.0772169392056073E-4</v>
      </c>
      <c r="F211" s="11"/>
    </row>
    <row r="212" spans="1:31">
      <c r="B212" t="s">
        <v>2324</v>
      </c>
      <c r="C212" s="250"/>
      <c r="D212" s="9">
        <f>SUM(D206:D211)</f>
        <v>14442.401</v>
      </c>
      <c r="E212" s="16">
        <f t="shared" si="227"/>
        <v>1</v>
      </c>
    </row>
    <row r="213" spans="1:31">
      <c r="C213" s="16"/>
      <c r="F213" t="s">
        <v>787</v>
      </c>
    </row>
    <row r="214" spans="1:31">
      <c r="A214" s="199" t="str">
        <f>Quarts!C140</f>
        <v>4/4</v>
      </c>
      <c r="B214" s="23" t="s">
        <v>1961</v>
      </c>
      <c r="C214" s="96" t="s">
        <v>518</v>
      </c>
    </row>
    <row r="215" spans="1:31">
      <c r="B215" t="s">
        <v>1166</v>
      </c>
      <c r="C215" s="16">
        <f>H73</f>
        <v>0.14000000000000001</v>
      </c>
    </row>
    <row r="216" spans="1:31">
      <c r="B216" t="s">
        <v>922</v>
      </c>
      <c r="C216" s="16">
        <f>49%-15%</f>
        <v>0.33999999999999997</v>
      </c>
      <c r="AD216" t="s">
        <v>849</v>
      </c>
      <c r="AE216" s="16">
        <v>0.43794871794871792</v>
      </c>
    </row>
    <row r="217" spans="1:31">
      <c r="B217" t="s">
        <v>1168</v>
      </c>
      <c r="C217" s="16">
        <f>65%-15%</f>
        <v>0.5</v>
      </c>
      <c r="E217" t="s">
        <v>1823</v>
      </c>
      <c r="AD217" t="s">
        <v>1167</v>
      </c>
      <c r="AE217" s="16">
        <v>0.38666666666666666</v>
      </c>
    </row>
    <row r="218" spans="1:31">
      <c r="B218" t="s">
        <v>502</v>
      </c>
      <c r="C218" s="16">
        <f>100%-C215-C216-C217</f>
        <v>2.0000000000000018E-2</v>
      </c>
      <c r="AD218" t="s">
        <v>1725</v>
      </c>
      <c r="AE218" s="16">
        <v>0.18871794871794872</v>
      </c>
    </row>
    <row r="219" spans="1:31">
      <c r="AD219" t="s">
        <v>1726</v>
      </c>
      <c r="AE219" s="16">
        <v>0</v>
      </c>
    </row>
    <row r="220" spans="1:31">
      <c r="A220" s="199" t="str">
        <f>Quarts!C139</f>
        <v>2/2</v>
      </c>
      <c r="B220" s="23" t="s">
        <v>579</v>
      </c>
      <c r="C220" s="96" t="s">
        <v>518</v>
      </c>
      <c r="AD220" t="s">
        <v>887</v>
      </c>
      <c r="AE220" s="16">
        <v>-1.3333333333333334E-2</v>
      </c>
    </row>
    <row r="221" spans="1:31">
      <c r="B221" t="s">
        <v>1166</v>
      </c>
      <c r="C221" s="16">
        <f>H72</f>
        <v>0.45</v>
      </c>
      <c r="E221" t="s">
        <v>1823</v>
      </c>
    </row>
    <row r="222" spans="1:31">
      <c r="B222" t="s">
        <v>1168</v>
      </c>
      <c r="C222" s="16">
        <f>100%-C221</f>
        <v>0.55000000000000004</v>
      </c>
    </row>
    <row r="223" spans="1:31">
      <c r="C223" s="16"/>
    </row>
    <row r="224" spans="1:31">
      <c r="A224" s="199" t="str">
        <f>Quarts!C135</f>
        <v>2/2</v>
      </c>
      <c r="B224" s="23" t="s">
        <v>2383</v>
      </c>
      <c r="C224" s="96" t="s">
        <v>518</v>
      </c>
    </row>
    <row r="225" spans="2:3">
      <c r="B225" t="s">
        <v>1166</v>
      </c>
      <c r="C225" s="16">
        <f>H69</f>
        <v>0.42</v>
      </c>
    </row>
    <row r="226" spans="2:3">
      <c r="B226" t="s">
        <v>1284</v>
      </c>
      <c r="C226" s="16">
        <f>100%-C225</f>
        <v>0.58000000000000007</v>
      </c>
    </row>
    <row r="234" spans="2:3">
      <c r="C234" s="16"/>
    </row>
    <row r="235" spans="2:3">
      <c r="C235" s="16"/>
    </row>
    <row r="237" spans="2:3">
      <c r="B237" t="s">
        <v>1823</v>
      </c>
    </row>
    <row r="240" spans="2:3">
      <c r="B240" s="693" t="s">
        <v>2382</v>
      </c>
    </row>
    <row r="242" spans="2:12">
      <c r="B242" s="487" t="s">
        <v>2602</v>
      </c>
      <c r="C242" s="455">
        <v>2016</v>
      </c>
      <c r="D242" s="455">
        <v>2017</v>
      </c>
      <c r="E242" s="455">
        <v>2018</v>
      </c>
      <c r="F242" s="455">
        <f t="shared" ref="F242:L242" si="228">E242+1</f>
        <v>2019</v>
      </c>
      <c r="G242" s="455">
        <f t="shared" si="228"/>
        <v>2020</v>
      </c>
      <c r="H242" s="455">
        <f t="shared" si="228"/>
        <v>2021</v>
      </c>
      <c r="I242" s="455">
        <f t="shared" si="228"/>
        <v>2022</v>
      </c>
      <c r="J242" s="455">
        <f t="shared" si="228"/>
        <v>2023</v>
      </c>
      <c r="K242" s="455">
        <f t="shared" si="228"/>
        <v>2024</v>
      </c>
      <c r="L242" s="455">
        <f t="shared" si="228"/>
        <v>2025</v>
      </c>
    </row>
    <row r="243" spans="2:12">
      <c r="B243" s="478"/>
    </row>
    <row r="244" spans="2:12">
      <c r="B244" s="478" t="s">
        <v>4910</v>
      </c>
      <c r="C244">
        <v>130</v>
      </c>
      <c r="D244" s="454">
        <f>C244*1.025</f>
        <v>133.25</v>
      </c>
    </row>
    <row r="245" spans="2:12">
      <c r="B245" s="487" t="s">
        <v>887</v>
      </c>
      <c r="C245" s="455"/>
      <c r="D245" s="455">
        <f>32*4</f>
        <v>128</v>
      </c>
      <c r="E245" s="455"/>
      <c r="F245" s="462"/>
      <c r="G245" s="462"/>
      <c r="H245" s="462"/>
      <c r="I245" s="462"/>
      <c r="J245" s="462"/>
      <c r="K245" s="462"/>
      <c r="L245" s="462"/>
    </row>
    <row r="246" spans="2:12">
      <c r="B246" s="478" t="s">
        <v>2324</v>
      </c>
      <c r="D246" s="454">
        <f>D244+D245</f>
        <v>261.25</v>
      </c>
      <c r="E246" s="454">
        <f>(1+E247)*D246</f>
        <v>274.3125</v>
      </c>
      <c r="F246" s="454">
        <f t="shared" ref="F246:L246" si="229">(1+F247)*E246</f>
        <v>288.02812499999999</v>
      </c>
      <c r="G246" s="454">
        <f t="shared" si="229"/>
        <v>302.42953125000003</v>
      </c>
      <c r="H246" s="454">
        <f t="shared" si="229"/>
        <v>317.55100781250002</v>
      </c>
      <c r="I246" s="454">
        <f t="shared" si="229"/>
        <v>333.42855820312502</v>
      </c>
      <c r="J246" s="454">
        <f t="shared" si="229"/>
        <v>350.09998611328126</v>
      </c>
      <c r="K246" s="454">
        <f t="shared" si="229"/>
        <v>367.60498541894532</v>
      </c>
      <c r="L246" s="454">
        <f t="shared" si="229"/>
        <v>385.98523468989259</v>
      </c>
    </row>
    <row r="247" spans="2:12">
      <c r="B247" s="478" t="s">
        <v>2353</v>
      </c>
      <c r="E247" s="538">
        <v>0.05</v>
      </c>
      <c r="F247" s="538">
        <v>0.05</v>
      </c>
      <c r="G247" s="538">
        <v>0.05</v>
      </c>
      <c r="H247" s="538">
        <v>0.05</v>
      </c>
      <c r="I247" s="538">
        <v>0.05</v>
      </c>
      <c r="J247" s="538">
        <v>0.05</v>
      </c>
      <c r="K247" s="538">
        <v>0.05</v>
      </c>
      <c r="L247" s="538">
        <v>0.05</v>
      </c>
    </row>
    <row r="249" spans="2:12">
      <c r="B249" s="478" t="s">
        <v>657</v>
      </c>
      <c r="D249" s="454">
        <f>D244*0.05</f>
        <v>6.6625000000000005</v>
      </c>
      <c r="E249" s="454">
        <f>D249</f>
        <v>6.6625000000000005</v>
      </c>
    </row>
    <row r="250" spans="2:12">
      <c r="B250" s="487" t="s">
        <v>887</v>
      </c>
      <c r="C250" s="455"/>
      <c r="D250" s="455">
        <f>4*4</f>
        <v>16</v>
      </c>
      <c r="E250" s="455">
        <v>20</v>
      </c>
      <c r="F250" s="455"/>
      <c r="G250" s="455"/>
      <c r="H250" s="455"/>
      <c r="I250" s="455"/>
      <c r="J250" s="455"/>
      <c r="K250" s="455"/>
      <c r="L250" s="455"/>
    </row>
    <row r="251" spans="2:12">
      <c r="B251" s="478" t="s">
        <v>2324</v>
      </c>
      <c r="D251" s="454">
        <f>D249+D250</f>
        <v>22.662500000000001</v>
      </c>
      <c r="E251" s="535">
        <v>20</v>
      </c>
      <c r="F251" s="454">
        <f>F252*F246</f>
        <v>34.563375000000001</v>
      </c>
      <c r="G251" s="454">
        <f t="shared" ref="G251:L251" si="230">G252*G246</f>
        <v>45.364429687499999</v>
      </c>
      <c r="H251" s="454">
        <f t="shared" si="230"/>
        <v>57.159181406249999</v>
      </c>
      <c r="I251" s="454">
        <f t="shared" si="230"/>
        <v>66.685711640625001</v>
      </c>
      <c r="J251" s="454">
        <f t="shared" si="230"/>
        <v>70.019997222656258</v>
      </c>
      <c r="K251" s="454">
        <f t="shared" si="230"/>
        <v>73.520997083789069</v>
      </c>
      <c r="L251" s="454">
        <f t="shared" si="230"/>
        <v>77.197046937978527</v>
      </c>
    </row>
    <row r="252" spans="2:12">
      <c r="B252" s="478" t="s">
        <v>1434</v>
      </c>
      <c r="E252" s="456">
        <f>E251/E246</f>
        <v>7.2909546593757119E-2</v>
      </c>
      <c r="F252" s="538">
        <v>0.12</v>
      </c>
      <c r="G252" s="538">
        <v>0.15</v>
      </c>
      <c r="H252" s="538">
        <v>0.18</v>
      </c>
      <c r="I252" s="538">
        <v>0.2</v>
      </c>
      <c r="J252" s="538">
        <v>0.2</v>
      </c>
      <c r="K252" s="538">
        <v>0.2</v>
      </c>
      <c r="L252" s="538">
        <v>0.2</v>
      </c>
    </row>
    <row r="253" spans="2:12">
      <c r="B253" s="478"/>
      <c r="E253" s="456"/>
      <c r="F253" s="456"/>
      <c r="G253" s="456"/>
      <c r="H253" s="456"/>
      <c r="I253" s="456"/>
      <c r="J253" s="456"/>
      <c r="K253" s="456"/>
      <c r="L253" s="456"/>
    </row>
    <row r="254" spans="2:12">
      <c r="B254" s="478" t="s">
        <v>4989</v>
      </c>
      <c r="E254" s="678">
        <v>0.25</v>
      </c>
      <c r="F254" s="678">
        <v>0.25</v>
      </c>
      <c r="G254" s="678">
        <v>0.25</v>
      </c>
      <c r="H254" s="678">
        <v>0.25</v>
      </c>
      <c r="I254" s="678">
        <v>0.25</v>
      </c>
      <c r="J254" s="678">
        <v>0.25</v>
      </c>
      <c r="K254" s="678">
        <v>0.25</v>
      </c>
      <c r="L254" s="678">
        <v>0.25</v>
      </c>
    </row>
    <row r="255" spans="2:12">
      <c r="B255" s="478" t="s">
        <v>4990</v>
      </c>
      <c r="E255" s="454">
        <f>E254*E246</f>
        <v>68.578125</v>
      </c>
      <c r="F255" s="454">
        <f t="shared" ref="F255:L255" si="231">F254*F246</f>
        <v>72.007031249999997</v>
      </c>
      <c r="G255" s="454">
        <f t="shared" si="231"/>
        <v>75.607382812500006</v>
      </c>
      <c r="H255" s="454">
        <f t="shared" si="231"/>
        <v>79.387751953125004</v>
      </c>
      <c r="I255" s="454">
        <f t="shared" si="231"/>
        <v>83.357139550781255</v>
      </c>
      <c r="J255" s="454">
        <f t="shared" si="231"/>
        <v>87.524996528320315</v>
      </c>
      <c r="K255" s="454">
        <f t="shared" si="231"/>
        <v>91.90124635473633</v>
      </c>
      <c r="L255" s="454">
        <f t="shared" si="231"/>
        <v>96.496308672473148</v>
      </c>
    </row>
    <row r="256" spans="2:12">
      <c r="K256" s="454"/>
    </row>
    <row r="257" spans="2:12">
      <c r="B257" s="478" t="s">
        <v>1453</v>
      </c>
      <c r="E257" s="454">
        <f t="shared" ref="E257:L257" si="232">E269</f>
        <v>68.578125</v>
      </c>
      <c r="F257" s="454">
        <f t="shared" si="232"/>
        <v>57.605625000000003</v>
      </c>
      <c r="G257" s="454">
        <f t="shared" si="232"/>
        <v>60.485906250000006</v>
      </c>
      <c r="H257" s="454">
        <f t="shared" si="232"/>
        <v>63.510201562500008</v>
      </c>
      <c r="I257" s="454">
        <f t="shared" si="232"/>
        <v>66.685711640625001</v>
      </c>
      <c r="J257" s="454">
        <f t="shared" si="232"/>
        <v>70.019997222656258</v>
      </c>
      <c r="K257" s="454">
        <f t="shared" si="232"/>
        <v>73.520997083789069</v>
      </c>
      <c r="L257" s="454">
        <f t="shared" si="232"/>
        <v>77.197046937978527</v>
      </c>
    </row>
    <row r="258" spans="2:12">
      <c r="B258" s="478" t="s">
        <v>392</v>
      </c>
      <c r="E258" s="454">
        <f>E251-E257</f>
        <v>-48.578125</v>
      </c>
      <c r="F258" s="454">
        <f t="shared" ref="F258:L258" si="233">F251-F257</f>
        <v>-23.042250000000003</v>
      </c>
      <c r="G258" s="454">
        <f t="shared" si="233"/>
        <v>-15.121476562500007</v>
      </c>
      <c r="H258" s="454">
        <f t="shared" si="233"/>
        <v>-6.3510201562500086</v>
      </c>
      <c r="I258" s="454">
        <f t="shared" si="233"/>
        <v>0</v>
      </c>
      <c r="J258" s="454">
        <f t="shared" si="233"/>
        <v>0</v>
      </c>
      <c r="K258" s="454">
        <f t="shared" si="233"/>
        <v>0</v>
      </c>
      <c r="L258" s="454">
        <f t="shared" si="233"/>
        <v>0</v>
      </c>
    </row>
    <row r="259" spans="2:12">
      <c r="B259" s="478" t="s">
        <v>150</v>
      </c>
      <c r="E259" s="535">
        <v>50</v>
      </c>
      <c r="F259" s="454"/>
      <c r="G259" s="454"/>
      <c r="H259" s="454"/>
      <c r="I259" s="454"/>
      <c r="J259" s="454"/>
      <c r="K259" s="454"/>
      <c r="L259" s="454"/>
    </row>
    <row r="260" spans="2:12">
      <c r="B260" s="478" t="s">
        <v>1382</v>
      </c>
      <c r="E260" s="454">
        <f>E259*0.08</f>
        <v>4</v>
      </c>
      <c r="F260" s="454">
        <f t="shared" ref="F260:L260" si="234">E260</f>
        <v>4</v>
      </c>
      <c r="G260" s="454">
        <f t="shared" si="234"/>
        <v>4</v>
      </c>
      <c r="H260" s="454">
        <f t="shared" si="234"/>
        <v>4</v>
      </c>
      <c r="I260" s="454">
        <f t="shared" si="234"/>
        <v>4</v>
      </c>
      <c r="J260" s="454">
        <f t="shared" si="234"/>
        <v>4</v>
      </c>
      <c r="K260" s="454">
        <f t="shared" si="234"/>
        <v>4</v>
      </c>
      <c r="L260" s="454">
        <f t="shared" si="234"/>
        <v>4</v>
      </c>
    </row>
    <row r="261" spans="2:12">
      <c r="B261" s="478" t="s">
        <v>4863</v>
      </c>
      <c r="E261" s="454">
        <f t="shared" ref="E261:L261" si="235">E258-E260</f>
        <v>-52.578125</v>
      </c>
      <c r="F261" s="454">
        <f t="shared" si="235"/>
        <v>-27.042250000000003</v>
      </c>
      <c r="G261" s="454">
        <f t="shared" si="235"/>
        <v>-19.121476562500007</v>
      </c>
      <c r="H261" s="454">
        <f t="shared" si="235"/>
        <v>-10.351020156250009</v>
      </c>
      <c r="I261" s="454">
        <f t="shared" si="235"/>
        <v>-4</v>
      </c>
      <c r="J261" s="454">
        <f t="shared" si="235"/>
        <v>-4</v>
      </c>
      <c r="K261" s="454">
        <f t="shared" si="235"/>
        <v>-4</v>
      </c>
      <c r="L261" s="454">
        <f t="shared" si="235"/>
        <v>-4</v>
      </c>
    </row>
    <row r="262" spans="2:12">
      <c r="B262" s="478"/>
      <c r="E262" s="454"/>
      <c r="F262" s="454"/>
      <c r="G262" s="454"/>
      <c r="H262" s="454"/>
      <c r="I262" s="454"/>
      <c r="J262" s="454"/>
      <c r="K262" s="454"/>
      <c r="L262" s="454"/>
    </row>
    <row r="263" spans="2:12">
      <c r="B263" s="478" t="s">
        <v>682</v>
      </c>
      <c r="E263" s="538">
        <v>0.25</v>
      </c>
      <c r="F263" s="538">
        <v>0.25</v>
      </c>
      <c r="G263" s="538">
        <v>0.25</v>
      </c>
      <c r="H263" s="538">
        <v>0.25</v>
      </c>
      <c r="I263" s="538">
        <v>0.25</v>
      </c>
      <c r="J263" s="538">
        <v>0.25</v>
      </c>
      <c r="K263" s="538">
        <v>0.25</v>
      </c>
      <c r="L263" s="538">
        <v>0.25</v>
      </c>
    </row>
    <row r="264" spans="2:12">
      <c r="B264" s="478" t="s">
        <v>395</v>
      </c>
      <c r="E264" s="454">
        <f t="shared" ref="E264:L264" si="236">E261*E263</f>
        <v>-13.14453125</v>
      </c>
      <c r="F264" s="454">
        <f t="shared" si="236"/>
        <v>-6.7605625000000007</v>
      </c>
      <c r="G264" s="454">
        <f t="shared" si="236"/>
        <v>-4.7803691406250017</v>
      </c>
      <c r="H264" s="454">
        <f t="shared" si="236"/>
        <v>-2.5877550390625021</v>
      </c>
      <c r="I264" s="454">
        <f t="shared" si="236"/>
        <v>-1</v>
      </c>
      <c r="J264" s="454">
        <f t="shared" si="236"/>
        <v>-1</v>
      </c>
      <c r="K264" s="454">
        <f t="shared" si="236"/>
        <v>-1</v>
      </c>
      <c r="L264" s="454">
        <f t="shared" si="236"/>
        <v>-1</v>
      </c>
    </row>
    <row r="265" spans="2:12">
      <c r="B265" s="478"/>
      <c r="E265" s="454"/>
      <c r="F265" s="454"/>
      <c r="G265" s="454"/>
      <c r="H265" s="454"/>
      <c r="I265" s="454"/>
      <c r="J265" s="454"/>
      <c r="K265" s="454"/>
      <c r="L265" s="454"/>
    </row>
    <row r="266" spans="2:12">
      <c r="B266" s="478" t="s">
        <v>407</v>
      </c>
      <c r="E266" s="454">
        <f>E261-E264</f>
        <v>-39.43359375</v>
      </c>
      <c r="F266" s="454">
        <f t="shared" ref="F266:L266" si="237">F261-F264</f>
        <v>-20.281687500000004</v>
      </c>
      <c r="G266" s="454">
        <f t="shared" si="237"/>
        <v>-14.341107421875005</v>
      </c>
      <c r="H266" s="454">
        <f t="shared" si="237"/>
        <v>-7.7632651171875064</v>
      </c>
      <c r="I266" s="454">
        <f t="shared" si="237"/>
        <v>-3</v>
      </c>
      <c r="J266" s="454">
        <f t="shared" si="237"/>
        <v>-3</v>
      </c>
      <c r="K266" s="454">
        <f t="shared" si="237"/>
        <v>-3</v>
      </c>
      <c r="L266" s="454">
        <f t="shared" si="237"/>
        <v>-3</v>
      </c>
    </row>
    <row r="267" spans="2:12">
      <c r="B267" s="478" t="s">
        <v>4908</v>
      </c>
      <c r="E267" s="454">
        <f t="shared" ref="E267:L267" si="238">E266*50%</f>
        <v>-19.716796875</v>
      </c>
      <c r="F267" s="454">
        <f t="shared" si="238"/>
        <v>-10.140843750000002</v>
      </c>
      <c r="G267" s="454">
        <f t="shared" si="238"/>
        <v>-7.1705537109375026</v>
      </c>
      <c r="H267" s="454">
        <f t="shared" si="238"/>
        <v>-3.8816325585937532</v>
      </c>
      <c r="I267" s="454">
        <f t="shared" si="238"/>
        <v>-1.5</v>
      </c>
      <c r="J267" s="454">
        <f t="shared" si="238"/>
        <v>-1.5</v>
      </c>
      <c r="K267" s="454">
        <f t="shared" si="238"/>
        <v>-1.5</v>
      </c>
      <c r="L267" s="454">
        <f t="shared" si="238"/>
        <v>-1.5</v>
      </c>
    </row>
    <row r="269" spans="2:12">
      <c r="B269" s="478" t="s">
        <v>1545</v>
      </c>
      <c r="E269" s="454">
        <f>E270*E246</f>
        <v>68.578125</v>
      </c>
      <c r="F269" s="454">
        <f t="shared" ref="F269:L269" si="239">F270*F246</f>
        <v>57.605625000000003</v>
      </c>
      <c r="G269" s="454">
        <f t="shared" si="239"/>
        <v>60.485906250000006</v>
      </c>
      <c r="H269" s="454">
        <f t="shared" si="239"/>
        <v>63.510201562500008</v>
      </c>
      <c r="I269" s="454">
        <f t="shared" si="239"/>
        <v>66.685711640625001</v>
      </c>
      <c r="J269" s="454">
        <f t="shared" si="239"/>
        <v>70.019997222656258</v>
      </c>
      <c r="K269" s="454">
        <f t="shared" si="239"/>
        <v>73.520997083789069</v>
      </c>
      <c r="L269" s="454">
        <f t="shared" si="239"/>
        <v>77.197046937978527</v>
      </c>
    </row>
    <row r="270" spans="2:12">
      <c r="B270" s="478" t="s">
        <v>1431</v>
      </c>
      <c r="E270" s="538">
        <v>0.25</v>
      </c>
      <c r="F270" s="538">
        <v>0.2</v>
      </c>
      <c r="G270" s="449">
        <f t="shared" ref="G270:L270" si="240">F270</f>
        <v>0.2</v>
      </c>
      <c r="H270" s="449">
        <f t="shared" si="240"/>
        <v>0.2</v>
      </c>
      <c r="I270" s="449">
        <f t="shared" si="240"/>
        <v>0.2</v>
      </c>
      <c r="J270" s="449">
        <f t="shared" si="240"/>
        <v>0.2</v>
      </c>
      <c r="K270" s="449">
        <f t="shared" si="240"/>
        <v>0.2</v>
      </c>
      <c r="L270" s="449">
        <f t="shared" si="240"/>
        <v>0.2</v>
      </c>
    </row>
    <row r="272" spans="2:12">
      <c r="B272" s="478" t="s">
        <v>1552</v>
      </c>
      <c r="E272" s="454">
        <f>E251-E269</f>
        <v>-48.578125</v>
      </c>
      <c r="F272" s="454">
        <f t="shared" ref="F272:L272" si="241">F251-F269</f>
        <v>-23.042250000000003</v>
      </c>
      <c r="G272" s="454">
        <f t="shared" si="241"/>
        <v>-15.121476562500007</v>
      </c>
      <c r="H272" s="454">
        <f t="shared" si="241"/>
        <v>-6.3510201562500086</v>
      </c>
      <c r="I272" s="454">
        <f t="shared" si="241"/>
        <v>0</v>
      </c>
      <c r="J272" s="454">
        <f t="shared" si="241"/>
        <v>0</v>
      </c>
      <c r="K272" s="454">
        <f t="shared" si="241"/>
        <v>0</v>
      </c>
      <c r="L272" s="454">
        <f t="shared" si="241"/>
        <v>0</v>
      </c>
    </row>
    <row r="274" spans="2:5">
      <c r="B274" s="478" t="s">
        <v>4909</v>
      </c>
      <c r="E274" s="656">
        <v>5</v>
      </c>
    </row>
    <row r="275" spans="2:5">
      <c r="B275" s="478" t="s">
        <v>245</v>
      </c>
      <c r="E275" s="454">
        <f>E274*F255</f>
        <v>360.03515625</v>
      </c>
    </row>
    <row r="276" spans="2:5">
      <c r="B276" s="478" t="s">
        <v>1381</v>
      </c>
      <c r="E276" s="454">
        <f>E259</f>
        <v>50</v>
      </c>
    </row>
    <row r="277" spans="2:5">
      <c r="B277" s="478" t="s">
        <v>109</v>
      </c>
      <c r="E277" s="454">
        <f>E275-E276</f>
        <v>310.03515625</v>
      </c>
    </row>
  </sheetData>
  <phoneticPr fontId="0" type="noConversion"/>
  <pageMargins left="0.74803149606299213" right="0.74803149606299213" top="0.98425196850393704" bottom="0.98425196850393704" header="0.51181102362204722" footer="0.51181102362204722"/>
  <pageSetup scale="22" fitToHeight="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2:W136"/>
  <sheetViews>
    <sheetView zoomScale="70" zoomScaleNormal="70" workbookViewId="0">
      <selection activeCell="H31" sqref="H31"/>
    </sheetView>
  </sheetViews>
  <sheetFormatPr defaultRowHeight="15"/>
  <cols>
    <col min="2" max="2" width="35.42578125" customWidth="1"/>
    <col min="5" max="5" width="9.42578125" bestFit="1" customWidth="1"/>
  </cols>
  <sheetData>
    <row r="2" spans="2:16">
      <c r="C2" t="s">
        <v>1823</v>
      </c>
    </row>
    <row r="3" spans="2:16">
      <c r="B3" s="451" t="s">
        <v>1800</v>
      </c>
      <c r="C3" s="451">
        <f>Master!L2</f>
        <v>2009</v>
      </c>
      <c r="D3" s="451">
        <f>Master!M2</f>
        <v>2010</v>
      </c>
      <c r="E3" s="451">
        <f>Master!N2</f>
        <v>2011</v>
      </c>
      <c r="F3" s="451">
        <f>Master!O2</f>
        <v>2012</v>
      </c>
      <c r="G3" s="451">
        <f>Master!P2</f>
        <v>2013</v>
      </c>
      <c r="H3" s="451">
        <f>Master!Q2</f>
        <v>2014</v>
      </c>
      <c r="I3" s="451">
        <f>Master!R2</f>
        <v>2015</v>
      </c>
      <c r="J3" s="451">
        <f>Master!S2</f>
        <v>2016</v>
      </c>
      <c r="K3" s="451">
        <f>Master!T2</f>
        <v>2017</v>
      </c>
      <c r="L3" s="451">
        <f>Master!U2</f>
        <v>2018</v>
      </c>
    </row>
    <row r="4" spans="2:16">
      <c r="B4" s="453"/>
    </row>
    <row r="5" spans="2:16">
      <c r="B5" s="463" t="s">
        <v>1770</v>
      </c>
      <c r="C5" s="464">
        <f>Div!I13+Div!I14+CA!J41+CA!J43+CA!J42*Quarts!$B$123</f>
        <v>19295.45</v>
      </c>
      <c r="D5" s="464">
        <f>Div!J13+Div!J14+CA!K41+CA!K43+CA!K42*Quarts!$B$123</f>
        <v>20785.40365</v>
      </c>
      <c r="E5" s="464">
        <f>Div!K13+Div!K14+CA!L41+CA!L43+CA!L42*Quarts!$B$123</f>
        <v>22576.65</v>
      </c>
      <c r="F5" s="464">
        <f>Div!L13+Div!L14+CA!M41+CA!M43+CA!M42*Quarts!$B$123</f>
        <v>24748.1</v>
      </c>
      <c r="G5" s="464">
        <f>Div!M13+Div!M14+CA!N41+CA!N43+CA!N42*Quarts!$B$123</f>
        <v>25904.65</v>
      </c>
      <c r="H5" s="464">
        <f>Div!N13+Div!N14+CA!O41+CA!O43+CA!O42*Quarts!$B$123</f>
        <v>27376.5</v>
      </c>
      <c r="I5" s="464">
        <f>Div!O13+Div!O14+CA!P41+CA!P43+CA!P42*Quarts!$B$123</f>
        <v>28625.623700000004</v>
      </c>
      <c r="J5" s="464">
        <f>Div!P13+Div!P14+CA!Q41+CA!Q43+CA!Q42*Quarts!$B$123</f>
        <v>27529.069699811538</v>
      </c>
      <c r="K5" s="464">
        <f>Div!Q13+Div!Q14+CA!R41+CA!R43+CA!R42*Quarts!$B$123</f>
        <v>27988.647269681078</v>
      </c>
      <c r="L5" s="464">
        <f>Div!R13+Div!R14+CA!S41+CA!S43+CA!S42*Quarts!$B$123</f>
        <v>28659.46612663614</v>
      </c>
    </row>
    <row r="6" spans="2:16">
      <c r="B6" s="463" t="s">
        <v>1768</v>
      </c>
      <c r="C6" s="461">
        <f>D6-5</f>
        <v>165</v>
      </c>
      <c r="D6" s="461">
        <f>E6-5</f>
        <v>170</v>
      </c>
      <c r="E6" s="461">
        <v>175</v>
      </c>
      <c r="F6" s="454">
        <f>(1+F7)*E6</f>
        <v>180.25</v>
      </c>
      <c r="G6" s="454">
        <f t="shared" ref="G6:L6" si="0">(1+G7)*F6</f>
        <v>185.6575</v>
      </c>
      <c r="H6" s="454">
        <f t="shared" si="0"/>
        <v>191.227225</v>
      </c>
      <c r="I6" s="454">
        <f t="shared" si="0"/>
        <v>196.96404175000001</v>
      </c>
      <c r="J6" s="454">
        <f t="shared" si="0"/>
        <v>202.8729630025</v>
      </c>
      <c r="K6" s="454">
        <f t="shared" si="0"/>
        <v>208.95915189257499</v>
      </c>
      <c r="L6" s="454">
        <f t="shared" si="0"/>
        <v>215.22792644935225</v>
      </c>
    </row>
    <row r="7" spans="2:16">
      <c r="B7" s="463" t="s">
        <v>2353</v>
      </c>
      <c r="C7" s="461"/>
      <c r="D7" s="466">
        <f>D6/C6-1</f>
        <v>3.0303030303030276E-2</v>
      </c>
      <c r="E7" s="466">
        <f>E6/D6-1</f>
        <v>2.9411764705882248E-2</v>
      </c>
      <c r="F7" s="465">
        <v>0.03</v>
      </c>
      <c r="G7" s="465">
        <v>0.03</v>
      </c>
      <c r="H7" s="465">
        <v>0.03</v>
      </c>
      <c r="I7" s="465">
        <v>0.03</v>
      </c>
      <c r="J7" s="465">
        <v>0.03</v>
      </c>
      <c r="K7" s="465">
        <v>0.03</v>
      </c>
      <c r="L7" s="465">
        <v>0.03</v>
      </c>
    </row>
    <row r="8" spans="2:16">
      <c r="B8" s="463" t="s">
        <v>1810</v>
      </c>
      <c r="D8" s="464">
        <f>D6*12*AVERAGE(C5,D5)/1000</f>
        <v>40882.470723000006</v>
      </c>
      <c r="E8" s="464">
        <f>E6*12*AVERAGE(D5,E5)/1000</f>
        <v>45530.156332500002</v>
      </c>
      <c r="F8" s="464">
        <f t="shared" ref="F8:L8" si="1">F6*12*AVERAGE(E5,F5)/1000</f>
        <v>51181.717125000003</v>
      </c>
      <c r="G8" s="464">
        <f t="shared" si="1"/>
        <v>56424.377598749998</v>
      </c>
      <c r="H8" s="464">
        <f t="shared" si="1"/>
        <v>61132.838755852506</v>
      </c>
      <c r="I8" s="464">
        <f t="shared" si="1"/>
        <v>66182.427783212799</v>
      </c>
      <c r="J8" s="464">
        <f t="shared" si="1"/>
        <v>68353.614219100185</v>
      </c>
      <c r="K8" s="464">
        <f t="shared" si="1"/>
        <v>69605.61031774318</v>
      </c>
      <c r="L8" s="464">
        <f t="shared" si="1"/>
        <v>73153.535901342766</v>
      </c>
    </row>
    <row r="9" spans="2:16">
      <c r="B9" s="463" t="s">
        <v>1771</v>
      </c>
      <c r="D9" s="467">
        <f>D11/D8</f>
        <v>4.8564511960791264E-2</v>
      </c>
      <c r="E9" s="467">
        <f>E11/E8</f>
        <v>5.6773243444516841E-2</v>
      </c>
      <c r="F9" s="467" t="e">
        <f t="shared" ref="F9:L9" si="2">F11/F8</f>
        <v>#REF!</v>
      </c>
      <c r="G9" s="467" t="e">
        <f t="shared" si="2"/>
        <v>#REF!</v>
      </c>
      <c r="H9" s="467" t="e">
        <f t="shared" si="2"/>
        <v>#REF!</v>
      </c>
      <c r="I9" s="467" t="e">
        <f t="shared" si="2"/>
        <v>#REF!</v>
      </c>
      <c r="J9" s="467" t="e">
        <f t="shared" ca="1" si="2"/>
        <v>#REF!</v>
      </c>
      <c r="K9" s="467" t="e">
        <f t="shared" ca="1" si="2"/>
        <v>#REF!</v>
      </c>
      <c r="L9" s="467" t="e">
        <f t="shared" ca="1" si="2"/>
        <v>#REF!</v>
      </c>
    </row>
    <row r="10" spans="2:16">
      <c r="B10" s="463" t="s">
        <v>2353</v>
      </c>
      <c r="D10" s="467"/>
      <c r="E10" s="449">
        <f>E9/D9-1</f>
        <v>0.16902736488637893</v>
      </c>
      <c r="F10" s="449" t="e">
        <f t="shared" ref="F10:L10" si="3">F9/E9-1</f>
        <v>#REF!</v>
      </c>
      <c r="G10" s="449" t="e">
        <f t="shared" si="3"/>
        <v>#REF!</v>
      </c>
      <c r="H10" s="449" t="e">
        <f t="shared" si="3"/>
        <v>#REF!</v>
      </c>
      <c r="I10" s="449" t="e">
        <f t="shared" si="3"/>
        <v>#REF!</v>
      </c>
      <c r="J10" s="449" t="e">
        <f t="shared" ca="1" si="3"/>
        <v>#REF!</v>
      </c>
      <c r="K10" s="449" t="e">
        <f t="shared" ca="1" si="3"/>
        <v>#REF!</v>
      </c>
      <c r="L10" s="449" t="e">
        <f t="shared" ca="1" si="3"/>
        <v>#REF!</v>
      </c>
      <c r="N10" s="453">
        <v>2010</v>
      </c>
      <c r="O10" s="453">
        <v>2011</v>
      </c>
      <c r="P10" s="453">
        <v>2012</v>
      </c>
    </row>
    <row r="11" spans="2:16">
      <c r="B11" s="470" t="s">
        <v>1769</v>
      </c>
      <c r="C11" s="470"/>
      <c r="D11" s="471">
        <f>SUM(Analysis!E1715:H1715)</f>
        <v>1985.4372384138323</v>
      </c>
      <c r="E11" s="471">
        <f>SUM(Analysis!I1715:M1715)</f>
        <v>2584.8946495319328</v>
      </c>
      <c r="F11" s="471" t="e">
        <f>F79-F16-F14-F76</f>
        <v>#REF!</v>
      </c>
      <c r="G11" s="471" t="e">
        <f t="shared" ref="G11:L11" si="4">G79-G16-G14-G76</f>
        <v>#REF!</v>
      </c>
      <c r="H11" s="471" t="e">
        <f t="shared" si="4"/>
        <v>#REF!</v>
      </c>
      <c r="I11" s="471" t="e">
        <f t="shared" si="4"/>
        <v>#REF!</v>
      </c>
      <c r="J11" s="471" t="e">
        <f t="shared" ca="1" si="4"/>
        <v>#REF!</v>
      </c>
      <c r="K11" s="471" t="e">
        <f t="shared" ca="1" si="4"/>
        <v>#REF!</v>
      </c>
      <c r="L11" s="471" t="e">
        <f t="shared" ca="1" si="4"/>
        <v>#REF!</v>
      </c>
      <c r="N11" s="454">
        <f>D11</f>
        <v>1985.4372384138323</v>
      </c>
      <c r="O11" s="454">
        <f>E11</f>
        <v>2584.8946495319328</v>
      </c>
      <c r="P11" s="454" t="e">
        <f>F11</f>
        <v>#REF!</v>
      </c>
    </row>
    <row r="12" spans="2:16">
      <c r="B12" t="s">
        <v>2353</v>
      </c>
      <c r="D12" s="454"/>
      <c r="E12" s="449">
        <f>E11/D11-1</f>
        <v>0.30192715212544696</v>
      </c>
      <c r="F12" s="449" t="e">
        <f>F11/E11-1</f>
        <v>#REF!</v>
      </c>
      <c r="G12" s="449" t="e">
        <f t="shared" ref="G12:L12" si="5">G11/F11-1</f>
        <v>#REF!</v>
      </c>
      <c r="H12" s="449" t="e">
        <f t="shared" si="5"/>
        <v>#REF!</v>
      </c>
      <c r="I12" s="449" t="e">
        <f t="shared" si="5"/>
        <v>#REF!</v>
      </c>
      <c r="J12" s="449" t="e">
        <f t="shared" ca="1" si="5"/>
        <v>#REF!</v>
      </c>
      <c r="K12" s="449" t="e">
        <f ca="1">K11/J11-1</f>
        <v>#REF!</v>
      </c>
      <c r="L12" s="449" t="e">
        <f t="shared" ca="1" si="5"/>
        <v>#REF!</v>
      </c>
      <c r="N12" s="454">
        <f>D14</f>
        <v>320</v>
      </c>
      <c r="O12" s="454">
        <f>E14</f>
        <v>447.96440049755881</v>
      </c>
      <c r="P12" s="454">
        <f>F14</f>
        <v>456.92368850751001</v>
      </c>
    </row>
    <row r="13" spans="2:16">
      <c r="D13" s="454"/>
      <c r="E13" s="449"/>
      <c r="F13" s="454"/>
      <c r="G13" s="454"/>
      <c r="N13" s="454">
        <f>D16</f>
        <v>419</v>
      </c>
      <c r="O13" s="454">
        <f>E16</f>
        <v>1140.568353085293</v>
      </c>
      <c r="P13" s="454" t="e">
        <f>F16</f>
        <v>#REF!</v>
      </c>
    </row>
    <row r="14" spans="2:16">
      <c r="B14" s="470" t="s">
        <v>1906</v>
      </c>
      <c r="C14" s="470"/>
      <c r="D14" s="471">
        <f>SUM(Analysis!E1717:H1717)</f>
        <v>320</v>
      </c>
      <c r="E14" s="471">
        <f>SUM(Analysis!I1717:M1717)</f>
        <v>447.96440049755881</v>
      </c>
      <c r="F14" s="471">
        <f>(1+F15)*E14</f>
        <v>456.92368850751001</v>
      </c>
      <c r="G14" s="471">
        <f t="shared" ref="G14:L14" si="6">(1+G15)*F14</f>
        <v>466.06216227766021</v>
      </c>
      <c r="H14" s="471">
        <f t="shared" si="6"/>
        <v>466.06216227766021</v>
      </c>
      <c r="I14" s="471">
        <f t="shared" si="6"/>
        <v>456.740919032107</v>
      </c>
      <c r="J14" s="471">
        <f t="shared" si="6"/>
        <v>443.0386914611438</v>
      </c>
      <c r="K14" s="471">
        <f t="shared" si="6"/>
        <v>425.31714380269801</v>
      </c>
      <c r="L14" s="471">
        <f t="shared" si="6"/>
        <v>408.30445805059009</v>
      </c>
      <c r="N14" s="454">
        <f>D76</f>
        <v>168.54399999999998</v>
      </c>
      <c r="O14" s="454">
        <f>E76</f>
        <v>275.86778060096958</v>
      </c>
      <c r="P14" s="454">
        <f>F76</f>
        <v>301.74970499321341</v>
      </c>
    </row>
    <row r="15" spans="2:16">
      <c r="B15" t="s">
        <v>2353</v>
      </c>
      <c r="D15" s="454"/>
      <c r="E15" s="449">
        <f>E14/D14-1</f>
        <v>0.39988875155487125</v>
      </c>
      <c r="F15" s="465">
        <v>0.02</v>
      </c>
      <c r="G15" s="465">
        <v>0.02</v>
      </c>
      <c r="H15" s="465">
        <v>0</v>
      </c>
      <c r="I15" s="465">
        <v>-0.02</v>
      </c>
      <c r="J15" s="465">
        <v>-0.03</v>
      </c>
      <c r="K15" s="465">
        <v>-0.04</v>
      </c>
      <c r="L15" s="465">
        <v>-0.04</v>
      </c>
      <c r="N15" s="462"/>
      <c r="O15" s="462"/>
      <c r="P15" s="462"/>
    </row>
    <row r="16" spans="2:16">
      <c r="B16" s="470" t="s">
        <v>896</v>
      </c>
      <c r="C16" s="470"/>
      <c r="D16" s="471">
        <f>SUM(Analysis!E1718:H1718)</f>
        <v>419</v>
      </c>
      <c r="E16" s="471">
        <f>SUM(Analysis!I1718:M1718)</f>
        <v>1140.568353085293</v>
      </c>
      <c r="F16" s="471" t="e">
        <f t="shared" ref="F16:L16" si="7">F36+F70</f>
        <v>#REF!</v>
      </c>
      <c r="G16" s="471" t="e">
        <f t="shared" si="7"/>
        <v>#REF!</v>
      </c>
      <c r="H16" s="471" t="e">
        <f t="shared" si="7"/>
        <v>#REF!</v>
      </c>
      <c r="I16" s="471" t="e">
        <f t="shared" si="7"/>
        <v>#REF!</v>
      </c>
      <c r="J16" s="471" t="e">
        <f t="shared" si="7"/>
        <v>#REF!</v>
      </c>
      <c r="K16" s="471" t="e">
        <f t="shared" si="7"/>
        <v>#REF!</v>
      </c>
      <c r="L16" s="471" t="e">
        <f t="shared" si="7"/>
        <v>#REF!</v>
      </c>
      <c r="N16" s="454">
        <f>SUM(N11:N15)</f>
        <v>2892.9812384138322</v>
      </c>
      <c r="O16" s="454">
        <f>SUM(O11:O15)</f>
        <v>4449.2951837157543</v>
      </c>
      <c r="P16" s="454" t="e">
        <f>SUM(P11:P15)</f>
        <v>#REF!</v>
      </c>
    </row>
    <row r="17" spans="2:21">
      <c r="B17" t="s">
        <v>2353</v>
      </c>
      <c r="D17" s="454"/>
      <c r="E17" s="449">
        <f>E16/D16-1</f>
        <v>1.7221201744279071</v>
      </c>
      <c r="F17" s="449" t="e">
        <f t="shared" ref="F17:L17" si="8">F16/E16-1</f>
        <v>#REF!</v>
      </c>
      <c r="G17" s="449" t="e">
        <f t="shared" si="8"/>
        <v>#REF!</v>
      </c>
      <c r="H17" s="449" t="e">
        <f t="shared" si="8"/>
        <v>#REF!</v>
      </c>
      <c r="I17" s="449" t="e">
        <f t="shared" si="8"/>
        <v>#REF!</v>
      </c>
      <c r="J17" s="449" t="e">
        <f t="shared" si="8"/>
        <v>#REF!</v>
      </c>
      <c r="K17" s="449" t="e">
        <f t="shared" si="8"/>
        <v>#REF!</v>
      </c>
      <c r="L17" s="449" t="e">
        <f t="shared" si="8"/>
        <v>#REF!</v>
      </c>
    </row>
    <row r="18" spans="2:21">
      <c r="D18" s="454"/>
      <c r="E18" s="449"/>
      <c r="F18" s="454"/>
      <c r="G18" s="454"/>
    </row>
    <row r="19" spans="2:21">
      <c r="B19" s="450" t="s">
        <v>1792</v>
      </c>
      <c r="D19" s="454"/>
      <c r="E19" s="449"/>
      <c r="F19" s="454"/>
      <c r="G19" s="454"/>
      <c r="N19" s="454"/>
      <c r="O19" s="454"/>
      <c r="P19" s="454"/>
    </row>
    <row r="20" spans="2:21">
      <c r="B20" s="450"/>
      <c r="D20" s="454"/>
      <c r="E20" s="449"/>
      <c r="F20" s="454"/>
      <c r="G20" s="454"/>
      <c r="O20" s="449"/>
      <c r="P20" s="449"/>
    </row>
    <row r="21" spans="2:21">
      <c r="B21" s="451" t="s">
        <v>1796</v>
      </c>
      <c r="C21" s="455"/>
      <c r="D21" s="504">
        <f>D3</f>
        <v>2010</v>
      </c>
      <c r="E21" s="504">
        <f t="shared" ref="E21:L21" si="9">E3</f>
        <v>2011</v>
      </c>
      <c r="F21" s="504">
        <f t="shared" si="9"/>
        <v>2012</v>
      </c>
      <c r="G21" s="504">
        <f t="shared" si="9"/>
        <v>2013</v>
      </c>
      <c r="H21" s="504">
        <f t="shared" si="9"/>
        <v>2014</v>
      </c>
      <c r="I21" s="504">
        <f t="shared" si="9"/>
        <v>2015</v>
      </c>
      <c r="J21" s="504">
        <f t="shared" si="9"/>
        <v>2016</v>
      </c>
      <c r="K21" s="504">
        <f t="shared" si="9"/>
        <v>2017</v>
      </c>
      <c r="L21" s="504">
        <f t="shared" si="9"/>
        <v>2018</v>
      </c>
    </row>
    <row r="22" spans="2:21">
      <c r="B22" t="s">
        <v>2441</v>
      </c>
      <c r="D22" s="468">
        <f>Analysis!H1740</f>
        <v>5.8</v>
      </c>
      <c r="E22" s="469">
        <v>7.4</v>
      </c>
      <c r="F22" s="468">
        <f t="shared" ref="F22:L22" si="10">F23*F5/1000</f>
        <v>9.1567969999999992</v>
      </c>
      <c r="G22" s="468">
        <f t="shared" si="10"/>
        <v>11.398046000000001</v>
      </c>
      <c r="H22" s="468">
        <f t="shared" si="10"/>
        <v>13.68825</v>
      </c>
      <c r="I22" s="468">
        <f t="shared" si="10"/>
        <v>15.171580561000003</v>
      </c>
      <c r="J22" s="468">
        <f t="shared" si="10"/>
        <v>15.140988334896347</v>
      </c>
      <c r="K22" s="468">
        <f t="shared" si="10"/>
        <v>15.953528943718217</v>
      </c>
      <c r="L22" s="468">
        <f t="shared" si="10"/>
        <v>16.909085014715323</v>
      </c>
    </row>
    <row r="23" spans="2:21">
      <c r="B23" t="s">
        <v>1496</v>
      </c>
      <c r="D23" s="466">
        <f>D22/(D5/1000)</f>
        <v>0.27904197087844385</v>
      </c>
      <c r="E23" s="466">
        <f>E22/(E5/1000)</f>
        <v>0.32777227799518527</v>
      </c>
      <c r="F23" s="465">
        <v>0.37</v>
      </c>
      <c r="G23" s="465">
        <f>F23+7%</f>
        <v>0.44</v>
      </c>
      <c r="H23" s="465">
        <f>G23+6%</f>
        <v>0.5</v>
      </c>
      <c r="I23" s="465">
        <f>H23+3%</f>
        <v>0.53</v>
      </c>
      <c r="J23" s="465">
        <f>I23+2%</f>
        <v>0.55000000000000004</v>
      </c>
      <c r="K23" s="465">
        <f>J23+2%</f>
        <v>0.57000000000000006</v>
      </c>
      <c r="L23" s="465">
        <f>K23+2%</f>
        <v>0.59000000000000008</v>
      </c>
    </row>
    <row r="24" spans="2:21">
      <c r="B24" t="s">
        <v>2443</v>
      </c>
      <c r="E24" s="468">
        <f>E26/AVERAGE(D22,E22)/12</f>
        <v>2.9267676767676765</v>
      </c>
      <c r="F24" s="469">
        <v>3</v>
      </c>
      <c r="G24" s="469">
        <v>3.4</v>
      </c>
      <c r="H24" s="468">
        <f>(1+H25)*G24</f>
        <v>3.9099999999999997</v>
      </c>
      <c r="I24" s="468">
        <f>(1+I25)*H24</f>
        <v>4.3010000000000002</v>
      </c>
      <c r="J24" s="468">
        <f>(1+J25)*I24</f>
        <v>4.7311000000000005</v>
      </c>
      <c r="K24" s="468">
        <f>(1+K25)*J24</f>
        <v>5.2042100000000007</v>
      </c>
      <c r="L24" s="468">
        <f>(1+L25)*K24</f>
        <v>5.7246310000000014</v>
      </c>
    </row>
    <row r="25" spans="2:21">
      <c r="B25" s="455" t="s">
        <v>2353</v>
      </c>
      <c r="C25" s="455"/>
      <c r="D25" s="455"/>
      <c r="E25" s="483"/>
      <c r="F25" s="476">
        <f>F24/E24-1</f>
        <v>2.5021570319240904E-2</v>
      </c>
      <c r="G25" s="476">
        <f>G24/F24-1</f>
        <v>0.1333333333333333</v>
      </c>
      <c r="H25" s="477">
        <v>0.15</v>
      </c>
      <c r="I25" s="477">
        <v>0.1</v>
      </c>
      <c r="J25" s="477">
        <v>0.1</v>
      </c>
      <c r="K25" s="477">
        <v>0.1</v>
      </c>
      <c r="L25" s="477">
        <v>0.1</v>
      </c>
    </row>
    <row r="26" spans="2:21">
      <c r="B26" t="s">
        <v>1806</v>
      </c>
      <c r="D26" s="454">
        <f>D36-D33</f>
        <v>80</v>
      </c>
      <c r="E26" s="454">
        <f>SUM(Analysis!I1720:M1720)</f>
        <v>231.79999999999998</v>
      </c>
      <c r="F26" s="454">
        <f>F24*AVERAGE(E22,F22)*12</f>
        <v>298.02234599999997</v>
      </c>
      <c r="G26" s="454">
        <f t="shared" ref="G26:L26" si="11">G24*AVERAGE(F22,G22)*12</f>
        <v>419.31879719999995</v>
      </c>
      <c r="H26" s="454">
        <f t="shared" si="11"/>
        <v>588.52450415999988</v>
      </c>
      <c r="I26" s="454">
        <f t="shared" si="11"/>
        <v>744.75678745716618</v>
      </c>
      <c r="J26" s="454">
        <f t="shared" si="11"/>
        <v>860.47076822025133</v>
      </c>
      <c r="K26" s="454">
        <f t="shared" si="11"/>
        <v>970.93438659923231</v>
      </c>
      <c r="L26" s="454">
        <f t="shared" si="11"/>
        <v>1128.7580316448884</v>
      </c>
      <c r="N26" t="s">
        <v>1908</v>
      </c>
      <c r="O26" s="454">
        <f>E11</f>
        <v>2584.8946495319328</v>
      </c>
      <c r="P26" s="454" t="e">
        <f ca="1">L11</f>
        <v>#REF!</v>
      </c>
      <c r="Q26" s="454"/>
      <c r="R26" s="454"/>
      <c r="S26" s="454"/>
      <c r="T26" s="454"/>
      <c r="U26" s="454"/>
    </row>
    <row r="27" spans="2:21">
      <c r="B27" s="478" t="s">
        <v>2353</v>
      </c>
      <c r="C27" s="478"/>
      <c r="D27" s="485"/>
      <c r="E27" s="486">
        <f t="shared" ref="E27:L27" si="12">E26/D26-1</f>
        <v>1.8975</v>
      </c>
      <c r="F27" s="486">
        <f t="shared" si="12"/>
        <v>0.28568742881794651</v>
      </c>
      <c r="G27" s="486">
        <f t="shared" si="12"/>
        <v>0.40700455126274315</v>
      </c>
      <c r="H27" s="486">
        <f t="shared" si="12"/>
        <v>0.40352521301184341</v>
      </c>
      <c r="I27" s="486">
        <f t="shared" si="12"/>
        <v>0.2654643641731731</v>
      </c>
      <c r="J27" s="486">
        <f t="shared" si="12"/>
        <v>0.15537150209556194</v>
      </c>
      <c r="K27" s="486">
        <f t="shared" si="12"/>
        <v>0.12837579434273816</v>
      </c>
      <c r="L27" s="486">
        <f t="shared" si="12"/>
        <v>0.16254820843089601</v>
      </c>
      <c r="N27" t="s">
        <v>1906</v>
      </c>
      <c r="O27" s="454">
        <f>E14</f>
        <v>447.96440049755881</v>
      </c>
      <c r="P27" s="454">
        <f>L14</f>
        <v>408.30445805059009</v>
      </c>
      <c r="Q27" s="454"/>
      <c r="R27" s="454"/>
      <c r="S27" s="454"/>
      <c r="T27" s="454"/>
      <c r="U27" s="454"/>
    </row>
    <row r="28" spans="2:21">
      <c r="B28" s="478"/>
      <c r="C28" s="478"/>
      <c r="D28" s="485"/>
      <c r="E28" s="486"/>
      <c r="F28" s="486"/>
      <c r="G28" s="486"/>
      <c r="H28" s="486"/>
      <c r="I28" s="486"/>
      <c r="J28" s="486"/>
      <c r="K28" s="486"/>
      <c r="L28" s="486"/>
      <c r="N28" t="s">
        <v>2417</v>
      </c>
      <c r="O28" s="454">
        <f>E26</f>
        <v>231.79999999999998</v>
      </c>
      <c r="P28" s="454">
        <f>L26</f>
        <v>1128.7580316448884</v>
      </c>
      <c r="Q28" s="454"/>
      <c r="R28" s="454"/>
      <c r="S28" s="454"/>
      <c r="T28" s="454"/>
      <c r="U28" s="454"/>
    </row>
    <row r="29" spans="2:21">
      <c r="B29" t="s">
        <v>2442</v>
      </c>
      <c r="D29" s="468">
        <f>Analysis!H1742</f>
        <v>1.2</v>
      </c>
      <c r="E29" s="469">
        <v>1.3</v>
      </c>
      <c r="F29" s="468">
        <f t="shared" ref="F29:L29" si="13">(1+F30)*E29</f>
        <v>1.4040000000000001</v>
      </c>
      <c r="G29" s="468">
        <f t="shared" si="13"/>
        <v>1.5444000000000002</v>
      </c>
      <c r="H29" s="468">
        <f t="shared" si="13"/>
        <v>1.6988400000000003</v>
      </c>
      <c r="I29" s="468">
        <f t="shared" si="13"/>
        <v>1.8687240000000005</v>
      </c>
      <c r="J29" s="468">
        <f t="shared" si="13"/>
        <v>2.0555964000000007</v>
      </c>
      <c r="K29" s="468">
        <f t="shared" si="13"/>
        <v>2.2611560400000008</v>
      </c>
      <c r="L29" s="468">
        <f t="shared" si="13"/>
        <v>2.4872716440000011</v>
      </c>
      <c r="N29" t="s">
        <v>2418</v>
      </c>
      <c r="O29" s="454">
        <f>E33</f>
        <v>203.99999999999997</v>
      </c>
      <c r="P29" s="454">
        <f>L33</f>
        <v>370.37735935200016</v>
      </c>
      <c r="Q29" s="454"/>
      <c r="R29" s="454"/>
      <c r="S29" s="454"/>
      <c r="T29" s="454"/>
      <c r="U29" s="454"/>
    </row>
    <row r="30" spans="2:21">
      <c r="B30" t="s">
        <v>2353</v>
      </c>
      <c r="D30" s="468"/>
      <c r="E30" s="466">
        <f>E29/D29-1</f>
        <v>8.3333333333333481E-2</v>
      </c>
      <c r="F30" s="465">
        <v>0.08</v>
      </c>
      <c r="G30" s="465">
        <v>0.1</v>
      </c>
      <c r="H30" s="465">
        <v>0.1</v>
      </c>
      <c r="I30" s="465">
        <v>0.1</v>
      </c>
      <c r="J30" s="465">
        <v>0.1</v>
      </c>
      <c r="K30" s="465">
        <v>0.1</v>
      </c>
      <c r="L30" s="465">
        <v>0.1</v>
      </c>
      <c r="N30" t="s">
        <v>1781</v>
      </c>
      <c r="O30" s="454">
        <f>E55</f>
        <v>85.449465027787738</v>
      </c>
      <c r="P30" s="454">
        <f>L55</f>
        <v>645.65125703827789</v>
      </c>
      <c r="Q30" s="454"/>
      <c r="R30" s="454"/>
      <c r="S30" s="454"/>
      <c r="T30" s="454"/>
      <c r="U30" s="454"/>
    </row>
    <row r="31" spans="2:21">
      <c r="B31" t="s">
        <v>1793</v>
      </c>
      <c r="D31" s="454"/>
      <c r="E31" s="468">
        <f>E33/AVERAGE(D29,E29)/12</f>
        <v>13.6</v>
      </c>
      <c r="F31" s="469">
        <v>13</v>
      </c>
      <c r="G31" s="468">
        <f t="shared" ref="G31:L31" si="14">(1+G32)*F31</f>
        <v>13</v>
      </c>
      <c r="H31" s="468">
        <f t="shared" si="14"/>
        <v>13</v>
      </c>
      <c r="I31" s="468">
        <f t="shared" si="14"/>
        <v>13</v>
      </c>
      <c r="J31" s="468">
        <f t="shared" si="14"/>
        <v>13</v>
      </c>
      <c r="K31" s="468">
        <f t="shared" si="14"/>
        <v>13</v>
      </c>
      <c r="L31" s="468">
        <f t="shared" si="14"/>
        <v>13</v>
      </c>
      <c r="N31" t="s">
        <v>1785</v>
      </c>
      <c r="O31" s="454">
        <f>E67</f>
        <v>248.39365540698159</v>
      </c>
      <c r="P31" s="454">
        <f>L67</f>
        <v>523.94931288314115</v>
      </c>
      <c r="Q31" s="454"/>
      <c r="R31" s="454"/>
      <c r="S31" s="454"/>
      <c r="T31" s="454"/>
      <c r="U31" s="454"/>
    </row>
    <row r="32" spans="2:21">
      <c r="B32" s="455" t="s">
        <v>2353</v>
      </c>
      <c r="C32" s="455"/>
      <c r="D32" s="462"/>
      <c r="E32" s="483"/>
      <c r="F32" s="484"/>
      <c r="G32" s="477">
        <v>0</v>
      </c>
      <c r="H32" s="477">
        <v>0</v>
      </c>
      <c r="I32" s="477">
        <v>0</v>
      </c>
      <c r="J32" s="477">
        <v>0</v>
      </c>
      <c r="K32" s="477">
        <v>0</v>
      </c>
      <c r="L32" s="477">
        <v>0</v>
      </c>
      <c r="N32" t="s">
        <v>2416</v>
      </c>
      <c r="O32" s="454" t="e">
        <f>E74</f>
        <v>#REF!</v>
      </c>
      <c r="P32" s="454" t="e">
        <f>L74</f>
        <v>#REF!</v>
      </c>
      <c r="Q32" s="454"/>
      <c r="R32" s="454"/>
      <c r="S32" s="454"/>
      <c r="T32" s="454"/>
      <c r="U32" s="454"/>
    </row>
    <row r="33" spans="1:21">
      <c r="B33" t="s">
        <v>1794</v>
      </c>
      <c r="D33" s="482">
        <v>100</v>
      </c>
      <c r="E33" s="454">
        <f>SUM(Analysis!I1721:M1721)</f>
        <v>203.99999999999997</v>
      </c>
      <c r="F33" s="454">
        <f>F31*AVERAGE(E29,F29)*12</f>
        <v>210.91200000000001</v>
      </c>
      <c r="G33" s="454">
        <f t="shared" ref="G33:L33" si="15">G31*AVERAGE(F29,G29)*12</f>
        <v>229.97520000000003</v>
      </c>
      <c r="H33" s="454">
        <f t="shared" si="15"/>
        <v>252.97272000000004</v>
      </c>
      <c r="I33" s="454">
        <f t="shared" si="15"/>
        <v>278.26999200000012</v>
      </c>
      <c r="J33" s="454">
        <f t="shared" si="15"/>
        <v>306.09699120000005</v>
      </c>
      <c r="K33" s="454">
        <f t="shared" si="15"/>
        <v>336.70669032000012</v>
      </c>
      <c r="L33" s="454">
        <f t="shared" si="15"/>
        <v>370.37735935200016</v>
      </c>
      <c r="N33" t="s">
        <v>1003</v>
      </c>
      <c r="O33" s="454">
        <f>E76</f>
        <v>275.86778060096958</v>
      </c>
      <c r="P33" s="454">
        <f ca="1">L76</f>
        <v>409.6137540611515</v>
      </c>
      <c r="Q33" s="454"/>
      <c r="R33" s="454"/>
      <c r="S33" s="454"/>
      <c r="T33" s="454"/>
      <c r="U33" s="454"/>
    </row>
    <row r="34" spans="1:21">
      <c r="B34" s="478" t="s">
        <v>2353</v>
      </c>
      <c r="C34" s="478"/>
      <c r="D34" s="485"/>
      <c r="E34" s="486">
        <f t="shared" ref="E34:L34" si="16">E33/D33-1</f>
        <v>1.0399999999999996</v>
      </c>
      <c r="F34" s="486">
        <f t="shared" si="16"/>
        <v>3.3882352941176697E-2</v>
      </c>
      <c r="G34" s="486">
        <f t="shared" si="16"/>
        <v>9.0384615384615508E-2</v>
      </c>
      <c r="H34" s="486">
        <f t="shared" si="16"/>
        <v>0.10000000000000009</v>
      </c>
      <c r="I34" s="486">
        <f t="shared" si="16"/>
        <v>0.10000000000000031</v>
      </c>
      <c r="J34" s="486">
        <f t="shared" si="16"/>
        <v>9.9999999999999645E-2</v>
      </c>
      <c r="K34" s="486">
        <f t="shared" si="16"/>
        <v>0.10000000000000031</v>
      </c>
      <c r="L34" s="486">
        <f t="shared" si="16"/>
        <v>0.10000000000000009</v>
      </c>
    </row>
    <row r="35" spans="1:21">
      <c r="B35" s="478"/>
      <c r="C35" s="478"/>
      <c r="D35" s="485"/>
      <c r="E35" s="486"/>
      <c r="F35" s="486"/>
      <c r="G35" s="486"/>
      <c r="H35" s="486"/>
      <c r="I35" s="486"/>
      <c r="J35" s="486"/>
      <c r="K35" s="486"/>
      <c r="L35" s="486"/>
    </row>
    <row r="36" spans="1:21">
      <c r="A36" s="478"/>
      <c r="B36" s="479" t="s">
        <v>1791</v>
      </c>
      <c r="C36" s="479"/>
      <c r="D36" s="481">
        <f>SUM(Analysis!E1719:H1719)</f>
        <v>180</v>
      </c>
      <c r="E36" s="481">
        <f>SUM(Analysis!I1719:M1719)</f>
        <v>435.70000000000005</v>
      </c>
      <c r="F36" s="481">
        <f t="shared" ref="F36:L36" si="17">F26+F33</f>
        <v>508.93434600000001</v>
      </c>
      <c r="G36" s="481">
        <f t="shared" si="17"/>
        <v>649.29399719999992</v>
      </c>
      <c r="H36" s="481">
        <f t="shared" si="17"/>
        <v>841.49722415999986</v>
      </c>
      <c r="I36" s="481">
        <f t="shared" si="17"/>
        <v>1023.0267794571663</v>
      </c>
      <c r="J36" s="481">
        <f t="shared" si="17"/>
        <v>1166.5677594202514</v>
      </c>
      <c r="K36" s="481">
        <f t="shared" si="17"/>
        <v>1307.6410769192325</v>
      </c>
      <c r="L36" s="481">
        <f t="shared" si="17"/>
        <v>1499.1353909968886</v>
      </c>
    </row>
    <row r="37" spans="1:21">
      <c r="A37" s="478"/>
      <c r="B37" s="478" t="s">
        <v>2353</v>
      </c>
      <c r="C37" s="478"/>
      <c r="D37" s="485"/>
      <c r="E37" s="486">
        <f>E36/D36-1</f>
        <v>1.420555555555556</v>
      </c>
      <c r="F37" s="486">
        <f>F36/E36-1</f>
        <v>0.16808433784714238</v>
      </c>
      <c r="G37" s="486">
        <f t="shared" ref="G37:L37" si="18">G36/F36-1</f>
        <v>0.27579127308495677</v>
      </c>
      <c r="H37" s="486">
        <f t="shared" si="18"/>
        <v>0.29601879547455012</v>
      </c>
      <c r="I37" s="486">
        <f t="shared" si="18"/>
        <v>0.21572210826764526</v>
      </c>
      <c r="J37" s="486">
        <f t="shared" si="18"/>
        <v>0.14031009045457266</v>
      </c>
      <c r="K37" s="486">
        <f t="shared" si="18"/>
        <v>0.12093023860790586</v>
      </c>
      <c r="L37" s="486">
        <f t="shared" si="18"/>
        <v>0.14644256551561652</v>
      </c>
    </row>
    <row r="38" spans="1:21">
      <c r="B38" s="452"/>
      <c r="D38" s="454"/>
      <c r="E38" s="454"/>
      <c r="F38" s="454"/>
      <c r="G38" s="454"/>
    </row>
    <row r="39" spans="1:21">
      <c r="B39" s="450" t="s">
        <v>1797</v>
      </c>
      <c r="D39" s="454"/>
      <c r="E39" s="454"/>
      <c r="F39" s="454"/>
      <c r="G39" s="454"/>
    </row>
    <row r="40" spans="1:21">
      <c r="B40" s="453" t="s">
        <v>1781</v>
      </c>
      <c r="C40" s="454"/>
      <c r="D40" s="454"/>
      <c r="E40" s="454"/>
      <c r="F40" s="454"/>
      <c r="G40" s="454"/>
      <c r="H40" s="454"/>
      <c r="I40" s="454"/>
      <c r="J40" s="454"/>
      <c r="K40" s="454"/>
      <c r="L40" s="454"/>
    </row>
    <row r="41" spans="1:21">
      <c r="B41" s="452" t="s">
        <v>2437</v>
      </c>
      <c r="C41" s="454"/>
      <c r="D41" s="454"/>
      <c r="E41" s="454">
        <f>E42*(CA!L10+SA!L11)</f>
        <v>60572.594927021237</v>
      </c>
      <c r="F41" s="454"/>
      <c r="G41" s="454"/>
      <c r="H41" s="454"/>
      <c r="I41" s="454"/>
      <c r="J41" s="454"/>
      <c r="K41" s="454"/>
      <c r="L41" s="454"/>
    </row>
    <row r="42" spans="1:21">
      <c r="B42" s="452" t="s">
        <v>2439</v>
      </c>
      <c r="C42" s="454"/>
      <c r="D42" s="454"/>
      <c r="E42" s="465">
        <v>0.65</v>
      </c>
      <c r="F42" s="454"/>
      <c r="G42" s="454"/>
      <c r="H42" s="454"/>
      <c r="I42" s="454"/>
      <c r="J42" s="454"/>
      <c r="K42" s="454"/>
      <c r="L42" s="454"/>
    </row>
    <row r="43" spans="1:21">
      <c r="B43" s="452"/>
      <c r="C43" s="454"/>
      <c r="D43" s="454"/>
      <c r="E43" s="454"/>
      <c r="F43" s="454"/>
      <c r="G43" s="454"/>
      <c r="H43" s="454"/>
      <c r="I43" s="454"/>
      <c r="J43" s="454"/>
      <c r="K43" s="454"/>
      <c r="L43" s="454"/>
    </row>
    <row r="44" spans="1:21">
      <c r="B44" t="s">
        <v>2438</v>
      </c>
      <c r="C44" s="454"/>
      <c r="D44" s="454"/>
      <c r="E44" s="502">
        <v>1E-3</v>
      </c>
      <c r="F44" s="502">
        <v>0.05</v>
      </c>
      <c r="G44" s="502">
        <v>0.08</v>
      </c>
      <c r="H44" s="502">
        <v>0.1</v>
      </c>
      <c r="I44" s="502">
        <v>0.14000000000000001</v>
      </c>
      <c r="J44" s="502">
        <v>0.18</v>
      </c>
      <c r="K44" s="502">
        <v>0.22</v>
      </c>
      <c r="L44" s="502">
        <v>0.27</v>
      </c>
    </row>
    <row r="45" spans="1:21">
      <c r="B45" t="s">
        <v>1798</v>
      </c>
      <c r="C45" s="454"/>
      <c r="D45" s="454"/>
      <c r="E45" s="454">
        <f t="shared" ref="E45:L45" si="19">E44*E5</f>
        <v>22.576650000000001</v>
      </c>
      <c r="F45" s="454">
        <f t="shared" si="19"/>
        <v>1237.405</v>
      </c>
      <c r="G45" s="454">
        <f t="shared" si="19"/>
        <v>2072.3720000000003</v>
      </c>
      <c r="H45" s="454">
        <f t="shared" si="19"/>
        <v>2737.65</v>
      </c>
      <c r="I45" s="454">
        <f t="shared" si="19"/>
        <v>4007.5873180000008</v>
      </c>
      <c r="J45" s="454">
        <f t="shared" si="19"/>
        <v>4955.2325459660769</v>
      </c>
      <c r="K45" s="454">
        <f t="shared" si="19"/>
        <v>6157.5023993298373</v>
      </c>
      <c r="L45" s="454">
        <f t="shared" si="19"/>
        <v>7738.055854191758</v>
      </c>
    </row>
    <row r="46" spans="1:21">
      <c r="B46" t="s">
        <v>1799</v>
      </c>
      <c r="C46" s="454"/>
      <c r="D46" s="454"/>
      <c r="E46" s="469">
        <v>0.5</v>
      </c>
      <c r="F46" s="469">
        <v>3</v>
      </c>
      <c r="G46" s="469">
        <v>4</v>
      </c>
      <c r="H46" s="469">
        <v>5</v>
      </c>
      <c r="I46" s="469">
        <v>5</v>
      </c>
      <c r="J46" s="469">
        <v>5</v>
      </c>
      <c r="K46" s="469">
        <v>5</v>
      </c>
      <c r="L46" s="469">
        <v>5</v>
      </c>
    </row>
    <row r="47" spans="1:21">
      <c r="B47" s="452" t="s">
        <v>2440</v>
      </c>
      <c r="C47" s="454"/>
      <c r="D47" s="454"/>
      <c r="E47" s="454">
        <f>0.009*E72</f>
        <v>0.81710316815030382</v>
      </c>
      <c r="F47" s="454">
        <f t="shared" ref="F47:L47" si="20">F46*12*AVERAGE(E45,F45)/1000</f>
        <v>22.679669699999998</v>
      </c>
      <c r="G47" s="454">
        <f t="shared" si="20"/>
        <v>79.434647999999996</v>
      </c>
      <c r="H47" s="454">
        <f t="shared" si="20"/>
        <v>144.30066000000002</v>
      </c>
      <c r="I47" s="454">
        <f t="shared" si="20"/>
        <v>202.35711954000004</v>
      </c>
      <c r="J47" s="454">
        <f t="shared" si="20"/>
        <v>268.88459591898231</v>
      </c>
      <c r="K47" s="454">
        <f t="shared" si="20"/>
        <v>333.3820483588774</v>
      </c>
      <c r="L47" s="454">
        <f t="shared" si="20"/>
        <v>416.86674760564784</v>
      </c>
    </row>
    <row r="48" spans="1:21">
      <c r="B48" s="452"/>
      <c r="C48" s="454"/>
      <c r="D48" s="454"/>
      <c r="E48" s="454"/>
      <c r="F48" s="454"/>
      <c r="G48" s="454"/>
      <c r="H48" s="454"/>
      <c r="I48" s="454"/>
      <c r="J48" s="454"/>
      <c r="K48" s="454"/>
      <c r="L48" s="454"/>
    </row>
    <row r="49" spans="2:23">
      <c r="B49" s="452"/>
      <c r="C49" s="454"/>
      <c r="D49" s="454"/>
      <c r="E49" s="454"/>
      <c r="F49" s="461"/>
    </row>
    <row r="50" spans="2:23">
      <c r="B50" s="452" t="s">
        <v>1775</v>
      </c>
      <c r="C50" s="454"/>
      <c r="D50" s="454"/>
      <c r="E50" s="454">
        <f>0.926*E72</f>
        <v>84.070837078575721</v>
      </c>
      <c r="F50" s="454">
        <f>F52*F53*12/1000</f>
        <v>89.093159999999983</v>
      </c>
      <c r="G50" s="454">
        <f t="shared" ref="G50:L50" si="21">G52*G53*12/1000</f>
        <v>106.00182780000003</v>
      </c>
      <c r="H50" s="454">
        <f t="shared" si="21"/>
        <v>127.20216960000002</v>
      </c>
      <c r="I50" s="454">
        <f t="shared" si="21"/>
        <v>150.87879237301206</v>
      </c>
      <c r="J50" s="454">
        <f t="shared" si="21"/>
        <v>164.44566866577591</v>
      </c>
      <c r="K50" s="454">
        <f t="shared" si="21"/>
        <v>189.31918452003524</v>
      </c>
      <c r="L50" s="454">
        <f t="shared" si="21"/>
        <v>219.335007473725</v>
      </c>
    </row>
    <row r="51" spans="2:23">
      <c r="B51" t="s">
        <v>1776</v>
      </c>
      <c r="C51" s="449">
        <f>9.8%/0.76</f>
        <v>0.12894736842105264</v>
      </c>
      <c r="D51" s="449">
        <f>35%/0.76</f>
        <v>0.46052631578947367</v>
      </c>
      <c r="E51" s="449">
        <f>42%/0.76</f>
        <v>0.55263157894736836</v>
      </c>
      <c r="F51" s="465">
        <v>0.6</v>
      </c>
      <c r="G51" s="465">
        <f t="shared" ref="G51:L51" si="22">F51+2%</f>
        <v>0.62</v>
      </c>
      <c r="H51" s="465">
        <f t="shared" si="22"/>
        <v>0.64</v>
      </c>
      <c r="I51" s="465">
        <f t="shared" si="22"/>
        <v>0.66</v>
      </c>
      <c r="J51" s="465">
        <f t="shared" si="22"/>
        <v>0.68</v>
      </c>
      <c r="K51" s="465">
        <f t="shared" si="22"/>
        <v>0.70000000000000007</v>
      </c>
      <c r="L51" s="465">
        <f t="shared" si="22"/>
        <v>0.72000000000000008</v>
      </c>
    </row>
    <row r="52" spans="2:23">
      <c r="B52" t="s">
        <v>1778</v>
      </c>
      <c r="C52" s="454">
        <f t="shared" ref="C52:L52" si="23">C51*C5</f>
        <v>2488.0975000000003</v>
      </c>
      <c r="D52" s="454">
        <f t="shared" si="23"/>
        <v>9572.2253651315787</v>
      </c>
      <c r="E52" s="454">
        <f t="shared" si="23"/>
        <v>12476.569736842104</v>
      </c>
      <c r="F52" s="454">
        <f t="shared" si="23"/>
        <v>14848.859999999999</v>
      </c>
      <c r="G52" s="454">
        <f t="shared" si="23"/>
        <v>16060.883000000002</v>
      </c>
      <c r="H52" s="454">
        <f t="shared" si="23"/>
        <v>17520.96</v>
      </c>
      <c r="I52" s="454">
        <f t="shared" si="23"/>
        <v>18892.911642000003</v>
      </c>
      <c r="J52" s="454">
        <f t="shared" si="23"/>
        <v>18719.767395871848</v>
      </c>
      <c r="K52" s="454">
        <f t="shared" si="23"/>
        <v>19592.053088776756</v>
      </c>
      <c r="L52" s="454">
        <f t="shared" si="23"/>
        <v>20634.815611178023</v>
      </c>
    </row>
    <row r="53" spans="2:23">
      <c r="B53" t="s">
        <v>1777</v>
      </c>
      <c r="C53" s="449"/>
      <c r="D53" s="449"/>
      <c r="E53" s="468">
        <f>E50*1000/E52/12</f>
        <v>0.56152478106170123</v>
      </c>
      <c r="F53" s="469">
        <v>0.5</v>
      </c>
      <c r="G53" s="469">
        <f t="shared" ref="G53:L53" si="24">F53*1.1</f>
        <v>0.55000000000000004</v>
      </c>
      <c r="H53" s="469">
        <f t="shared" si="24"/>
        <v>0.60500000000000009</v>
      </c>
      <c r="I53" s="469">
        <f t="shared" si="24"/>
        <v>0.6655000000000002</v>
      </c>
      <c r="J53" s="469">
        <f t="shared" si="24"/>
        <v>0.73205000000000031</v>
      </c>
      <c r="K53" s="469">
        <f t="shared" si="24"/>
        <v>0.80525500000000039</v>
      </c>
      <c r="L53" s="469">
        <f t="shared" si="24"/>
        <v>0.88578050000000053</v>
      </c>
    </row>
    <row r="54" spans="2:23">
      <c r="B54" s="472" t="s">
        <v>1779</v>
      </c>
      <c r="C54" s="462"/>
      <c r="D54" s="462"/>
      <c r="E54" s="462">
        <f>E72-E47-E50</f>
        <v>5.9013006588633061</v>
      </c>
      <c r="F54" s="462">
        <f t="shared" ref="F54:L54" si="25">(1+F60)*E54</f>
        <v>6.3219801521740324</v>
      </c>
      <c r="G54" s="462">
        <f t="shared" si="25"/>
        <v>7.1511678850414233</v>
      </c>
      <c r="H54" s="462">
        <f t="shared" si="25"/>
        <v>7.7963237883555436</v>
      </c>
      <c r="I54" s="462">
        <f t="shared" si="25"/>
        <v>8.481089776697047</v>
      </c>
      <c r="J54" s="462">
        <f t="shared" si="25"/>
        <v>8.7863367600017188</v>
      </c>
      <c r="K54" s="462">
        <f t="shared" si="25"/>
        <v>8.9755321683213012</v>
      </c>
      <c r="L54" s="462">
        <f t="shared" si="25"/>
        <v>9.4495019589051577</v>
      </c>
      <c r="N54" s="454" t="str">
        <f>N26</f>
        <v>Voice</v>
      </c>
      <c r="O54" s="464">
        <f>D116</f>
        <v>1266.5983782706471</v>
      </c>
      <c r="P54" s="464" t="e">
        <f t="shared" ref="P54:P61" ca="1" si="26">K116</f>
        <v>#REF!</v>
      </c>
      <c r="Q54" s="464"/>
      <c r="R54" s="464"/>
      <c r="S54" s="464"/>
      <c r="T54" s="464"/>
      <c r="U54" s="464"/>
      <c r="W54" s="464"/>
    </row>
    <row r="55" spans="2:23">
      <c r="B55" t="s">
        <v>1782</v>
      </c>
      <c r="C55" s="449"/>
      <c r="D55" s="449"/>
      <c r="E55" s="454">
        <f>E47+E50+E53</f>
        <v>85.449465027787738</v>
      </c>
      <c r="F55" s="454">
        <f t="shared" ref="F55:L55" si="27">F47+F50+F54</f>
        <v>118.09480985217402</v>
      </c>
      <c r="G55" s="454">
        <f t="shared" si="27"/>
        <v>192.58764368504146</v>
      </c>
      <c r="H55" s="454">
        <f t="shared" si="27"/>
        <v>279.29915338835559</v>
      </c>
      <c r="I55" s="454">
        <f t="shared" si="27"/>
        <v>361.71700168970915</v>
      </c>
      <c r="J55" s="454">
        <f t="shared" si="27"/>
        <v>442.11660134475994</v>
      </c>
      <c r="K55" s="454">
        <f t="shared" si="27"/>
        <v>531.67676504723386</v>
      </c>
      <c r="L55" s="454">
        <f t="shared" si="27"/>
        <v>645.65125703827789</v>
      </c>
      <c r="N55" s="454" t="str">
        <f t="shared" ref="N55:N61" si="28">N27</f>
        <v>SMS</v>
      </c>
      <c r="O55" s="464">
        <f t="shared" ref="O55:O61" si="29">D117</f>
        <v>358.3715203980471</v>
      </c>
      <c r="P55" s="464">
        <f t="shared" si="26"/>
        <v>326.64356644047211</v>
      </c>
      <c r="Q55" s="464"/>
      <c r="R55" s="464"/>
      <c r="S55" s="464"/>
      <c r="T55" s="464"/>
      <c r="U55" s="464"/>
      <c r="W55" s="464"/>
    </row>
    <row r="56" spans="2:23">
      <c r="B56" t="s">
        <v>1773</v>
      </c>
      <c r="C56" s="454"/>
      <c r="D56" s="465">
        <v>2.9999999999999997E-4</v>
      </c>
      <c r="E56" s="465">
        <v>7.9600000000000004E-2</v>
      </c>
      <c r="F56" s="466" t="e">
        <f t="shared" ref="F56:L56" si="30">F72/F16</f>
        <v>#REF!</v>
      </c>
      <c r="G56" s="466" t="e">
        <f t="shared" si="30"/>
        <v>#REF!</v>
      </c>
      <c r="H56" s="466" t="e">
        <f t="shared" si="30"/>
        <v>#REF!</v>
      </c>
      <c r="I56" s="466" t="e">
        <f t="shared" si="30"/>
        <v>#REF!</v>
      </c>
      <c r="J56" s="466" t="e">
        <f t="shared" si="30"/>
        <v>#REF!</v>
      </c>
      <c r="K56" s="466" t="e">
        <f t="shared" si="30"/>
        <v>#REF!</v>
      </c>
      <c r="L56" s="466" t="e">
        <f t="shared" si="30"/>
        <v>#REF!</v>
      </c>
      <c r="N56" s="454" t="str">
        <f t="shared" si="28"/>
        <v>MI: handset</v>
      </c>
      <c r="O56" s="464">
        <f t="shared" si="29"/>
        <v>143.71599999999998</v>
      </c>
      <c r="P56" s="464">
        <f t="shared" si="26"/>
        <v>688.5423993033819</v>
      </c>
      <c r="Q56" s="464"/>
      <c r="R56" s="464"/>
      <c r="S56" s="464"/>
      <c r="T56" s="464"/>
      <c r="U56" s="464"/>
      <c r="W56" s="464"/>
    </row>
    <row r="57" spans="2:23">
      <c r="B57" s="452"/>
      <c r="C57" s="454"/>
      <c r="D57" s="454"/>
      <c r="E57" s="454"/>
      <c r="F57" s="461"/>
      <c r="N57" s="454" t="str">
        <f t="shared" si="28"/>
        <v>MI: dongles</v>
      </c>
      <c r="O57" s="464">
        <f t="shared" si="29"/>
        <v>126.47999999999998</v>
      </c>
      <c r="P57" s="464">
        <f t="shared" si="26"/>
        <v>225.93018920472008</v>
      </c>
      <c r="Q57" s="464"/>
      <c r="R57" s="464"/>
      <c r="S57" s="464"/>
      <c r="T57" s="464"/>
      <c r="U57" s="464"/>
      <c r="W57" s="464"/>
    </row>
    <row r="58" spans="2:23">
      <c r="B58" s="453" t="s">
        <v>1785</v>
      </c>
      <c r="C58" s="454"/>
      <c r="D58" s="454"/>
      <c r="E58" s="449"/>
      <c r="F58" s="461"/>
      <c r="N58" s="454" t="str">
        <f t="shared" si="28"/>
        <v>Solutions</v>
      </c>
      <c r="O58" s="464">
        <f t="shared" si="29"/>
        <v>51.26967901667264</v>
      </c>
      <c r="P58" s="464">
        <f t="shared" si="26"/>
        <v>64.565125703827761</v>
      </c>
      <c r="Q58" s="464"/>
      <c r="R58" s="464"/>
      <c r="S58" s="464"/>
      <c r="T58" s="464"/>
      <c r="U58" s="464"/>
      <c r="W58" s="464"/>
    </row>
    <row r="59" spans="2:23">
      <c r="B59" s="463" t="s">
        <v>1783</v>
      </c>
      <c r="C59" s="454"/>
      <c r="D59" s="454">
        <f>0.8*D67</f>
        <v>161.87643670956652</v>
      </c>
      <c r="E59" s="454">
        <f>0.75*E67</f>
        <v>186.2952415552362</v>
      </c>
      <c r="F59" s="473">
        <f>F63*AVERAGE(E62,F62)*12/1000</f>
        <v>199.57546439999999</v>
      </c>
      <c r="G59" s="473">
        <f t="shared" ref="G59:L59" si="31">G63*AVERAGE(F62,G62)*12/1000</f>
        <v>225.75168180000003</v>
      </c>
      <c r="H59" s="473">
        <f t="shared" si="31"/>
        <v>246.11828940000007</v>
      </c>
      <c r="I59" s="473">
        <f t="shared" si="31"/>
        <v>267.7353281820001</v>
      </c>
      <c r="J59" s="473">
        <f t="shared" si="31"/>
        <v>277.37151921445366</v>
      </c>
      <c r="K59" s="473">
        <f t="shared" si="31"/>
        <v>283.34413547848027</v>
      </c>
      <c r="L59" s="473">
        <f t="shared" si="31"/>
        <v>298.30665335902358</v>
      </c>
      <c r="N59" s="454" t="str">
        <f t="shared" si="28"/>
        <v>Entertainment</v>
      </c>
      <c r="O59" s="464">
        <f t="shared" si="29"/>
        <v>62.098413851745399</v>
      </c>
      <c r="P59" s="464">
        <f t="shared" si="26"/>
        <v>130.98732822078529</v>
      </c>
      <c r="Q59" s="464"/>
      <c r="R59" s="464"/>
      <c r="S59" s="464"/>
      <c r="T59" s="464"/>
      <c r="U59" s="464"/>
      <c r="W59" s="464"/>
    </row>
    <row r="60" spans="2:23">
      <c r="B60" t="s">
        <v>2353</v>
      </c>
      <c r="C60" s="454"/>
      <c r="D60" s="449"/>
      <c r="E60" s="449">
        <f>E59/D59-1</f>
        <v>0.15084842082038863</v>
      </c>
      <c r="F60" s="449">
        <f t="shared" ref="F60:L60" si="32">F59/E59-1</f>
        <v>7.1285894013703111E-2</v>
      </c>
      <c r="G60" s="449">
        <f t="shared" si="32"/>
        <v>0.13115949637745161</v>
      </c>
      <c r="H60" s="449">
        <f t="shared" si="32"/>
        <v>9.0216858796398292E-2</v>
      </c>
      <c r="I60" s="449">
        <f t="shared" si="32"/>
        <v>8.7831907310501611E-2</v>
      </c>
      <c r="J60" s="449">
        <f t="shared" si="32"/>
        <v>3.5991481206033127E-2</v>
      </c>
      <c r="K60" s="449">
        <f t="shared" si="32"/>
        <v>2.1532911096790786E-2</v>
      </c>
      <c r="L60" s="449">
        <f t="shared" si="32"/>
        <v>5.280687336364398E-2</v>
      </c>
      <c r="N60" s="454" t="str">
        <f t="shared" si="28"/>
        <v>Other VAS</v>
      </c>
      <c r="O60" s="464">
        <f t="shared" si="29"/>
        <v>-264.88443541691822</v>
      </c>
      <c r="P60" s="464" t="e">
        <f t="shared" ca="1" si="26"/>
        <v>#REF!</v>
      </c>
      <c r="Q60" s="464"/>
      <c r="R60" s="464"/>
      <c r="S60" s="464"/>
      <c r="T60" s="464"/>
      <c r="U60" s="464"/>
      <c r="W60" s="464"/>
    </row>
    <row r="61" spans="2:23">
      <c r="B61" t="s">
        <v>1787</v>
      </c>
      <c r="C61" s="454"/>
      <c r="D61" s="465">
        <v>0.24</v>
      </c>
      <c r="E61" s="465">
        <v>0.26</v>
      </c>
      <c r="F61" s="465">
        <v>0.27</v>
      </c>
      <c r="G61" s="465">
        <f t="shared" ref="G61:L61" si="33">F61+1%</f>
        <v>0.28000000000000003</v>
      </c>
      <c r="H61" s="465">
        <f t="shared" si="33"/>
        <v>0.29000000000000004</v>
      </c>
      <c r="I61" s="465">
        <f t="shared" si="33"/>
        <v>0.30000000000000004</v>
      </c>
      <c r="J61" s="465">
        <f t="shared" si="33"/>
        <v>0.31000000000000005</v>
      </c>
      <c r="K61" s="465">
        <f t="shared" si="33"/>
        <v>0.32000000000000006</v>
      </c>
      <c r="L61" s="465">
        <f t="shared" si="33"/>
        <v>0.33000000000000007</v>
      </c>
      <c r="N61" s="454" t="str">
        <f t="shared" si="28"/>
        <v>Handsets/equipment</v>
      </c>
      <c r="O61" s="464">
        <f t="shared" si="29"/>
        <v>-55.173556120193922</v>
      </c>
      <c r="P61" s="464">
        <f t="shared" ca="1" si="26"/>
        <v>-81.922750812230305</v>
      </c>
      <c r="Q61" s="464"/>
      <c r="R61" s="464"/>
      <c r="S61" s="464"/>
      <c r="T61" s="464"/>
      <c r="U61" s="464"/>
      <c r="W61" s="464"/>
    </row>
    <row r="62" spans="2:23">
      <c r="B62" t="s">
        <v>1788</v>
      </c>
      <c r="C62" s="454"/>
      <c r="D62" s="454">
        <f t="shared" ref="D62:L62" si="34">D61*D5</f>
        <v>4988.4968760000002</v>
      </c>
      <c r="E62" s="454">
        <f t="shared" si="34"/>
        <v>5869.929000000001</v>
      </c>
      <c r="F62" s="454">
        <f t="shared" si="34"/>
        <v>6681.9870000000001</v>
      </c>
      <c r="G62" s="454">
        <f t="shared" si="34"/>
        <v>7253.3020000000015</v>
      </c>
      <c r="H62" s="454">
        <f t="shared" si="34"/>
        <v>7939.1850000000013</v>
      </c>
      <c r="I62" s="454">
        <f t="shared" si="34"/>
        <v>8587.6871100000026</v>
      </c>
      <c r="J62" s="454">
        <f t="shared" si="34"/>
        <v>8534.0116069415781</v>
      </c>
      <c r="K62" s="454">
        <f t="shared" si="34"/>
        <v>8956.367126297946</v>
      </c>
      <c r="L62" s="454">
        <f t="shared" si="34"/>
        <v>9457.6238217899281</v>
      </c>
      <c r="N62" s="454"/>
    </row>
    <row r="63" spans="2:23">
      <c r="B63" t="s">
        <v>1789</v>
      </c>
      <c r="C63" s="454"/>
      <c r="D63" s="454"/>
      <c r="E63" s="474">
        <f>AVERAGE(D62,E62)/E59/12</f>
        <v>2.4285881256170145</v>
      </c>
      <c r="F63" s="475">
        <v>2.65</v>
      </c>
      <c r="G63" s="475">
        <v>2.7</v>
      </c>
      <c r="H63" s="475">
        <v>2.7</v>
      </c>
      <c r="I63" s="475">
        <v>2.7</v>
      </c>
      <c r="J63" s="475">
        <v>2.7</v>
      </c>
      <c r="K63" s="475">
        <v>2.7</v>
      </c>
      <c r="L63" s="475">
        <v>2.7</v>
      </c>
      <c r="N63" s="454"/>
    </row>
    <row r="64" spans="2:23">
      <c r="B64" s="452"/>
      <c r="C64" s="454"/>
    </row>
    <row r="65" spans="2:12">
      <c r="B65" t="s">
        <v>1786</v>
      </c>
      <c r="C65" s="454"/>
      <c r="D65" s="454">
        <f>D67-D59</f>
        <v>40.469109177391601</v>
      </c>
      <c r="E65" s="454">
        <f>E67-E59</f>
        <v>62.098413851745391</v>
      </c>
      <c r="F65" s="454">
        <f>(1+F66)*E65</f>
        <v>86.937779392443545</v>
      </c>
      <c r="G65" s="454">
        <f t="shared" ref="G65:L65" si="35">(1+G66)*F65</f>
        <v>113.01911321017661</v>
      </c>
      <c r="H65" s="454">
        <f t="shared" si="35"/>
        <v>141.27389151272075</v>
      </c>
      <c r="I65" s="454">
        <f t="shared" si="35"/>
        <v>169.52866981526489</v>
      </c>
      <c r="J65" s="454">
        <f t="shared" si="35"/>
        <v>186.4815367967914</v>
      </c>
      <c r="K65" s="454">
        <f t="shared" si="35"/>
        <v>205.12969047647056</v>
      </c>
      <c r="L65" s="454">
        <f t="shared" si="35"/>
        <v>225.64265952411762</v>
      </c>
    </row>
    <row r="66" spans="2:12">
      <c r="B66" s="455" t="s">
        <v>2353</v>
      </c>
      <c r="C66" s="462"/>
      <c r="D66" s="462"/>
      <c r="E66" s="476">
        <f>E65/D65-1</f>
        <v>0.53446456109385232</v>
      </c>
      <c r="F66" s="477">
        <v>0.4</v>
      </c>
      <c r="G66" s="477">
        <v>0.3</v>
      </c>
      <c r="H66" s="477">
        <v>0.25</v>
      </c>
      <c r="I66" s="477">
        <v>0.2</v>
      </c>
      <c r="J66" s="477">
        <v>0.1</v>
      </c>
      <c r="K66" s="477">
        <v>0.1</v>
      </c>
      <c r="L66" s="477">
        <v>0.1</v>
      </c>
    </row>
    <row r="67" spans="2:12">
      <c r="B67" t="s">
        <v>2324</v>
      </c>
      <c r="C67" s="454"/>
      <c r="D67" s="454">
        <f>0.07*D79</f>
        <v>202.34554588695812</v>
      </c>
      <c r="E67" s="454">
        <f>0.07*E79</f>
        <v>248.39365540698159</v>
      </c>
      <c r="F67" s="454">
        <f>F59+F65</f>
        <v>286.51324379244352</v>
      </c>
      <c r="G67" s="454">
        <f t="shared" ref="G67:L67" si="36">G59+G65</f>
        <v>338.77079501017664</v>
      </c>
      <c r="H67" s="454">
        <f t="shared" si="36"/>
        <v>387.39218091272085</v>
      </c>
      <c r="I67" s="454">
        <f t="shared" si="36"/>
        <v>437.26399799726499</v>
      </c>
      <c r="J67" s="454">
        <f t="shared" si="36"/>
        <v>463.85305601124503</v>
      </c>
      <c r="K67" s="454">
        <f t="shared" si="36"/>
        <v>488.47382595495083</v>
      </c>
      <c r="L67" s="454">
        <f t="shared" si="36"/>
        <v>523.94931288314115</v>
      </c>
    </row>
    <row r="68" spans="2:12">
      <c r="B68" t="s">
        <v>1773</v>
      </c>
      <c r="C68" s="454"/>
      <c r="D68" s="449">
        <f t="shared" ref="D68:L68" si="37">D67/D16</f>
        <v>0.48292493051779983</v>
      </c>
      <c r="E68" s="449">
        <f t="shared" si="37"/>
        <v>0.21778059573112357</v>
      </c>
      <c r="F68" s="449" t="e">
        <f t="shared" si="37"/>
        <v>#REF!</v>
      </c>
      <c r="G68" s="449" t="e">
        <f t="shared" si="37"/>
        <v>#REF!</v>
      </c>
      <c r="H68" s="449" t="e">
        <f t="shared" si="37"/>
        <v>#REF!</v>
      </c>
      <c r="I68" s="449" t="e">
        <f t="shared" si="37"/>
        <v>#REF!</v>
      </c>
      <c r="J68" s="449" t="e">
        <f t="shared" si="37"/>
        <v>#REF!</v>
      </c>
      <c r="K68" s="449" t="e">
        <f t="shared" si="37"/>
        <v>#REF!</v>
      </c>
      <c r="L68" s="449" t="e">
        <f t="shared" si="37"/>
        <v>#REF!</v>
      </c>
    </row>
    <row r="69" spans="2:12">
      <c r="B69" s="452"/>
    </row>
    <row r="70" spans="2:12">
      <c r="B70" s="479" t="s">
        <v>1795</v>
      </c>
      <c r="C70" s="479"/>
      <c r="D70" s="481" t="e">
        <f>SUM(Analysis!#REF!)</f>
        <v>#REF!</v>
      </c>
      <c r="E70" s="481" t="e">
        <f>SUM(Analysis!#REF!)</f>
        <v>#REF!</v>
      </c>
      <c r="F70" s="481" t="e">
        <f>F72+F73+F74</f>
        <v>#REF!</v>
      </c>
      <c r="G70" s="481" t="e">
        <f t="shared" ref="G70:L70" si="38">G72+G73+G74</f>
        <v>#REF!</v>
      </c>
      <c r="H70" s="481" t="e">
        <f t="shared" si="38"/>
        <v>#REF!</v>
      </c>
      <c r="I70" s="481" t="e">
        <f t="shared" si="38"/>
        <v>#REF!</v>
      </c>
      <c r="J70" s="481" t="e">
        <f t="shared" si="38"/>
        <v>#REF!</v>
      </c>
      <c r="K70" s="481" t="e">
        <f t="shared" si="38"/>
        <v>#REF!</v>
      </c>
      <c r="L70" s="481" t="e">
        <f t="shared" si="38"/>
        <v>#REF!</v>
      </c>
    </row>
    <row r="71" spans="2:12">
      <c r="B71" s="478" t="s">
        <v>2353</v>
      </c>
      <c r="C71" s="478"/>
      <c r="D71" s="485"/>
      <c r="E71" s="486" t="e">
        <f>E70/D70-1</f>
        <v>#REF!</v>
      </c>
      <c r="F71" s="486" t="e">
        <f t="shared" ref="F71:L71" si="39">F70/E70-1</f>
        <v>#REF!</v>
      </c>
      <c r="G71" s="486" t="e">
        <f t="shared" si="39"/>
        <v>#REF!</v>
      </c>
      <c r="H71" s="486" t="e">
        <f t="shared" si="39"/>
        <v>#REF!</v>
      </c>
      <c r="I71" s="486" t="e">
        <f t="shared" si="39"/>
        <v>#REF!</v>
      </c>
      <c r="J71" s="486" t="e">
        <f t="shared" si="39"/>
        <v>#REF!</v>
      </c>
      <c r="K71" s="486" t="e">
        <f t="shared" si="39"/>
        <v>#REF!</v>
      </c>
      <c r="L71" s="486" t="e">
        <f t="shared" si="39"/>
        <v>#REF!</v>
      </c>
    </row>
    <row r="72" spans="2:12">
      <c r="B72" s="452" t="s">
        <v>1774</v>
      </c>
      <c r="C72" s="454"/>
      <c r="D72" s="454">
        <f>D56*D16</f>
        <v>0.12569999999999998</v>
      </c>
      <c r="E72" s="454">
        <f>E56*E16</f>
        <v>90.789240905589324</v>
      </c>
      <c r="F72" s="454">
        <f t="shared" ref="F72:L72" si="40">F55</f>
        <v>118.09480985217402</v>
      </c>
      <c r="G72" s="454">
        <f t="shared" si="40"/>
        <v>192.58764368504146</v>
      </c>
      <c r="H72" s="454">
        <f t="shared" si="40"/>
        <v>279.29915338835559</v>
      </c>
      <c r="I72" s="454">
        <f t="shared" si="40"/>
        <v>361.71700168970915</v>
      </c>
      <c r="J72" s="454">
        <f t="shared" si="40"/>
        <v>442.11660134475994</v>
      </c>
      <c r="K72" s="454">
        <f t="shared" si="40"/>
        <v>531.67676504723386</v>
      </c>
      <c r="L72" s="454">
        <f t="shared" si="40"/>
        <v>645.65125703827789</v>
      </c>
    </row>
    <row r="73" spans="2:12">
      <c r="B73" s="452" t="s">
        <v>1784</v>
      </c>
      <c r="C73" s="454"/>
      <c r="D73" s="454">
        <f t="shared" ref="D73:L73" si="41">D67</f>
        <v>202.34554588695812</v>
      </c>
      <c r="E73" s="454">
        <f t="shared" si="41"/>
        <v>248.39365540698159</v>
      </c>
      <c r="F73" s="454">
        <f t="shared" si="41"/>
        <v>286.51324379244352</v>
      </c>
      <c r="G73" s="454">
        <f t="shared" si="41"/>
        <v>338.77079501017664</v>
      </c>
      <c r="H73" s="454">
        <f t="shared" si="41"/>
        <v>387.39218091272085</v>
      </c>
      <c r="I73" s="454">
        <f t="shared" si="41"/>
        <v>437.26399799726499</v>
      </c>
      <c r="J73" s="454">
        <f t="shared" si="41"/>
        <v>463.85305601124503</v>
      </c>
      <c r="K73" s="454">
        <f t="shared" si="41"/>
        <v>488.47382595495083</v>
      </c>
      <c r="L73" s="454">
        <f t="shared" si="41"/>
        <v>523.94931288314115</v>
      </c>
    </row>
    <row r="74" spans="2:12">
      <c r="B74" s="452" t="s">
        <v>1780</v>
      </c>
      <c r="C74" s="454"/>
      <c r="D74" s="454" t="e">
        <f>D70-D72-D73</f>
        <v>#REF!</v>
      </c>
      <c r="E74" s="454" t="e">
        <f>E70-E72-E73</f>
        <v>#REF!</v>
      </c>
      <c r="F74" s="454" t="e">
        <f>E74*1.05</f>
        <v>#REF!</v>
      </c>
      <c r="G74" s="454" t="e">
        <f t="shared" ref="G74:L74" si="42">F74*1.05</f>
        <v>#REF!</v>
      </c>
      <c r="H74" s="454" t="e">
        <f t="shared" si="42"/>
        <v>#REF!</v>
      </c>
      <c r="I74" s="454" t="e">
        <f t="shared" si="42"/>
        <v>#REF!</v>
      </c>
      <c r="J74" s="454" t="e">
        <f t="shared" si="42"/>
        <v>#REF!</v>
      </c>
      <c r="K74" s="454" t="e">
        <f t="shared" si="42"/>
        <v>#REF!</v>
      </c>
      <c r="L74" s="454" t="e">
        <f t="shared" si="42"/>
        <v>#REF!</v>
      </c>
    </row>
    <row r="75" spans="2:12">
      <c r="B75" s="452"/>
      <c r="C75" s="454"/>
      <c r="D75" s="454"/>
      <c r="E75" s="454"/>
      <c r="F75" s="454"/>
      <c r="G75" s="454"/>
      <c r="H75" s="454"/>
      <c r="I75" s="454"/>
      <c r="J75" s="454"/>
      <c r="K75" s="454"/>
      <c r="L75" s="454"/>
    </row>
    <row r="76" spans="2:12">
      <c r="B76" s="470" t="s">
        <v>1493</v>
      </c>
      <c r="C76" s="470"/>
      <c r="D76" s="471">
        <f>SUM(Analysis!E1712:H1712)</f>
        <v>168.54399999999998</v>
      </c>
      <c r="E76" s="471">
        <f>SUM(Analysis!I1712:M1712)</f>
        <v>275.86778060096958</v>
      </c>
      <c r="F76" s="471">
        <f t="shared" ref="F76:L76" si="43">F77*F79</f>
        <v>301.74970499321341</v>
      </c>
      <c r="G76" s="471">
        <f t="shared" si="43"/>
        <v>367.7288509308591</v>
      </c>
      <c r="H76" s="471">
        <f t="shared" si="43"/>
        <v>439.96942349414041</v>
      </c>
      <c r="I76" s="471">
        <f t="shared" si="43"/>
        <v>422.95788919023738</v>
      </c>
      <c r="J76" s="471">
        <f t="shared" ca="1" si="43"/>
        <v>391.64249975975179</v>
      </c>
      <c r="K76" s="471">
        <f t="shared" ca="1" si="43"/>
        <v>394.74704785055155</v>
      </c>
      <c r="L76" s="471">
        <f t="shared" ca="1" si="43"/>
        <v>409.6137540611515</v>
      </c>
    </row>
    <row r="77" spans="2:12">
      <c r="B77" t="s">
        <v>1790</v>
      </c>
      <c r="D77" s="449">
        <f>D76/D79</f>
        <v>5.830659601764146E-2</v>
      </c>
      <c r="E77" s="449">
        <f>E76/E79</f>
        <v>7.7742503569296503E-2</v>
      </c>
      <c r="F77" s="465">
        <v>7.0000000000000007E-2</v>
      </c>
      <c r="G77" s="465">
        <v>0.08</v>
      </c>
      <c r="H77" s="465">
        <v>0.09</v>
      </c>
      <c r="I77" s="465">
        <v>0.09</v>
      </c>
      <c r="J77" s="465">
        <v>0.09</v>
      </c>
      <c r="K77" s="465">
        <v>0.09</v>
      </c>
      <c r="L77" s="465">
        <v>0.09</v>
      </c>
    </row>
    <row r="78" spans="2:12">
      <c r="D78" s="449"/>
      <c r="E78" s="449"/>
      <c r="F78" s="465"/>
      <c r="G78" s="465"/>
      <c r="H78" s="465"/>
      <c r="I78" s="465"/>
      <c r="J78" s="465"/>
      <c r="K78" s="465"/>
      <c r="L78" s="465"/>
    </row>
    <row r="79" spans="2:12">
      <c r="B79" s="479" t="s">
        <v>1772</v>
      </c>
      <c r="C79" s="480">
        <f>Div!I29+Div!I30+Div!I32</f>
        <v>2596.0649976500235</v>
      </c>
      <c r="D79" s="480">
        <f>Div!J29+Div!J30+Div!J32</f>
        <v>2890.650655527973</v>
      </c>
      <c r="E79" s="480">
        <f>Div!K29+Div!K30+Div!K32</f>
        <v>3548.4807915283081</v>
      </c>
      <c r="F79" s="480">
        <f>Div!L29+Div!L30+Div!L32</f>
        <v>4310.7100713316195</v>
      </c>
      <c r="G79" s="480">
        <f>Div!M29+Div!M30+Div!M32</f>
        <v>4596.610636635739</v>
      </c>
      <c r="H79" s="480">
        <f>Div!N29+Div!N30+Div!N32</f>
        <v>4888.5491499348936</v>
      </c>
      <c r="I79" s="480">
        <f>Div!O29+Div!O30+Div!O32</f>
        <v>4699.5321021137488</v>
      </c>
      <c r="J79" s="480">
        <f ca="1">Div!P29+Div!P30+Div!P32</f>
        <v>4351.5833306639088</v>
      </c>
      <c r="K79" s="480">
        <f ca="1">Div!Q29+Div!Q30+Div!Q32</f>
        <v>4386.0783094505732</v>
      </c>
      <c r="L79" s="480">
        <f ca="1">Div!R29+Div!R30+Div!R32</f>
        <v>4551.2639340127944</v>
      </c>
    </row>
    <row r="80" spans="2:12">
      <c r="B80" s="478" t="s">
        <v>2353</v>
      </c>
      <c r="C80" s="491"/>
      <c r="D80" s="486">
        <f>D79/C79-1</f>
        <v>0.11347391461485379</v>
      </c>
      <c r="E80" s="486">
        <f t="shared" ref="E80:L80" si="44">E79/D79-1</f>
        <v>0.22757164887508119</v>
      </c>
      <c r="F80" s="486">
        <f t="shared" si="44"/>
        <v>0.21480439787727423</v>
      </c>
      <c r="G80" s="486">
        <f t="shared" si="44"/>
        <v>6.6323311142055585E-2</v>
      </c>
      <c r="H80" s="486">
        <f t="shared" si="44"/>
        <v>6.3511690760221562E-2</v>
      </c>
      <c r="I80" s="486">
        <f t="shared" si="44"/>
        <v>-3.8665264892276285E-2</v>
      </c>
      <c r="J80" s="486">
        <f t="shared" ca="1" si="44"/>
        <v>-7.4039024287830713E-2</v>
      </c>
      <c r="K80" s="486">
        <f t="shared" ca="1" si="44"/>
        <v>7.9269948810567481E-3</v>
      </c>
      <c r="L80" s="486">
        <f t="shared" ca="1" si="44"/>
        <v>3.76613486827857E-2</v>
      </c>
    </row>
    <row r="81" spans="2:12">
      <c r="B81" s="478" t="s">
        <v>1582</v>
      </c>
      <c r="C81" s="491"/>
      <c r="D81" s="491">
        <f t="shared" ref="D81:L81" si="45">D79-D76</f>
        <v>2722.1066555279731</v>
      </c>
      <c r="E81" s="491">
        <f t="shared" si="45"/>
        <v>3272.6130109273386</v>
      </c>
      <c r="F81" s="491">
        <f t="shared" si="45"/>
        <v>4008.9603663384059</v>
      </c>
      <c r="G81" s="491">
        <f t="shared" si="45"/>
        <v>4228.8817857048798</v>
      </c>
      <c r="H81" s="491">
        <f t="shared" si="45"/>
        <v>4448.5797264407529</v>
      </c>
      <c r="I81" s="491">
        <f t="shared" si="45"/>
        <v>4276.5742129235114</v>
      </c>
      <c r="J81" s="491">
        <f t="shared" ca="1" si="45"/>
        <v>3959.9408309041569</v>
      </c>
      <c r="K81" s="491">
        <f t="shared" ca="1" si="45"/>
        <v>3991.3312616000217</v>
      </c>
      <c r="L81" s="491">
        <f t="shared" ca="1" si="45"/>
        <v>4141.6501799516427</v>
      </c>
    </row>
    <row r="82" spans="2:12">
      <c r="B82" s="478" t="s">
        <v>2501</v>
      </c>
      <c r="C82" s="491"/>
      <c r="D82" s="491">
        <f>D14+D16</f>
        <v>739</v>
      </c>
      <c r="E82" s="491">
        <f t="shared" ref="E82:L82" si="46">E14+E16</f>
        <v>1588.5327535828519</v>
      </c>
      <c r="F82" s="491" t="e">
        <f t="shared" si="46"/>
        <v>#REF!</v>
      </c>
      <c r="G82" s="491" t="e">
        <f t="shared" si="46"/>
        <v>#REF!</v>
      </c>
      <c r="H82" s="491" t="e">
        <f t="shared" si="46"/>
        <v>#REF!</v>
      </c>
      <c r="I82" s="491" t="e">
        <f t="shared" si="46"/>
        <v>#REF!</v>
      </c>
      <c r="J82" s="491" t="e">
        <f t="shared" si="46"/>
        <v>#REF!</v>
      </c>
      <c r="K82" s="491" t="e">
        <f t="shared" si="46"/>
        <v>#REF!</v>
      </c>
      <c r="L82" s="491" t="e">
        <f t="shared" si="46"/>
        <v>#REF!</v>
      </c>
    </row>
    <row r="83" spans="2:12">
      <c r="B83" s="478" t="s">
        <v>2353</v>
      </c>
      <c r="C83" s="491"/>
      <c r="D83" s="491"/>
      <c r="E83" s="486">
        <f>E82/D82-1</f>
        <v>1.1495707085018294</v>
      </c>
      <c r="F83" s="486" t="e">
        <f t="shared" ref="F83:L83" si="47">F82/E82-1</f>
        <v>#REF!</v>
      </c>
      <c r="G83" s="486" t="e">
        <f t="shared" si="47"/>
        <v>#REF!</v>
      </c>
      <c r="H83" s="486" t="e">
        <f t="shared" si="47"/>
        <v>#REF!</v>
      </c>
      <c r="I83" s="486" t="e">
        <f t="shared" si="47"/>
        <v>#REF!</v>
      </c>
      <c r="J83" s="486" t="e">
        <f t="shared" si="47"/>
        <v>#REF!</v>
      </c>
      <c r="K83" s="486" t="e">
        <f t="shared" si="47"/>
        <v>#REF!</v>
      </c>
      <c r="L83" s="486" t="e">
        <f t="shared" si="47"/>
        <v>#REF!</v>
      </c>
    </row>
    <row r="84" spans="2:12">
      <c r="B84" t="s">
        <v>1812</v>
      </c>
      <c r="D84" s="449">
        <f t="shared" ref="D84:L84" si="48">(D14+D16)/D81</f>
        <v>0.27148091295367166</v>
      </c>
      <c r="E84" s="449">
        <f t="shared" si="48"/>
        <v>0.48540195503675515</v>
      </c>
      <c r="F84" s="449" t="e">
        <f t="shared" si="48"/>
        <v>#REF!</v>
      </c>
      <c r="G84" s="449" t="e">
        <f t="shared" si="48"/>
        <v>#REF!</v>
      </c>
      <c r="H84" s="449" t="e">
        <f t="shared" si="48"/>
        <v>#REF!</v>
      </c>
      <c r="I84" s="449" t="e">
        <f t="shared" si="48"/>
        <v>#REF!</v>
      </c>
      <c r="J84" s="449" t="e">
        <f t="shared" ca="1" si="48"/>
        <v>#REF!</v>
      </c>
      <c r="K84" s="449" t="e">
        <f t="shared" ca="1" si="48"/>
        <v>#REF!</v>
      </c>
      <c r="L84" s="449" t="e">
        <f t="shared" ca="1" si="48"/>
        <v>#REF!</v>
      </c>
    </row>
    <row r="85" spans="2:12">
      <c r="D85" s="449"/>
      <c r="E85" s="449"/>
      <c r="F85" s="449"/>
      <c r="G85" s="449"/>
      <c r="H85" s="449"/>
      <c r="I85" s="449"/>
      <c r="J85" s="449"/>
      <c r="K85" s="449"/>
      <c r="L85" s="449"/>
    </row>
    <row r="86" spans="2:12">
      <c r="B86" t="s">
        <v>2490</v>
      </c>
      <c r="D86" s="491" t="e">
        <f>CA!#REF!+CA!K76/CA!J70+CA!K78/CA!J71+Colombia!G56*1000/Colombia!F34+SA!K75/SA!J71+SA!K77*1000/SA!K72</f>
        <v>#REF!</v>
      </c>
      <c r="E86" s="491" t="e">
        <f>CA!#REF!+CA!L76/CA!K70+CA!L78/CA!K71+Colombia!H56*1000/Colombia!G34+SA!L75/SA!K71+SA!L77*1000/SA!L72</f>
        <v>#REF!</v>
      </c>
      <c r="F86" s="491" t="e">
        <f>CA!#REF!+CA!M76/CA!L70+CA!M78/CA!L71+Colombia!I56*1000/Colombia!H34+SA!M75/SA!L71+SA!M77*1000/SA!M72</f>
        <v>#REF!</v>
      </c>
      <c r="G86" s="491" t="e">
        <f>CA!#REF!+CA!N76/CA!M70+CA!N78/CA!M71+Colombia!J56*1000/Colombia!I34+SA!N75/SA!M71+SA!N77*1000/SA!N72</f>
        <v>#REF!</v>
      </c>
      <c r="H86" s="491" t="e">
        <f>CA!#REF!+CA!O76/CA!N70+CA!O78/CA!N71+Colombia!K56*1000/Colombia!J34+SA!O75/SA!N71+SA!O77*1000/SA!O72</f>
        <v>#REF!</v>
      </c>
      <c r="I86" s="491" t="e">
        <f ca="1">CA!#REF!+CA!P76/CA!O70+CA!P78/CA!O71+Colombia!L56*1000/Colombia!K34+SA!P75/SA!O71+SA!P77*1000/SA!P72</f>
        <v>#REF!</v>
      </c>
      <c r="J86" s="491" t="e">
        <f ca="1">CA!#REF!+CA!Q76/CA!P70+CA!Q78/CA!P71+Colombia!M56*1000/Colombia!L34+SA!Q75/SA!P71+SA!Q77*1000/SA!Q72</f>
        <v>#REF!</v>
      </c>
      <c r="K86" s="491" t="e">
        <f ca="1">CA!#REF!+CA!R76/CA!Q70+CA!R78/CA!Q71+Colombia!N56*1000/Colombia!M34+SA!R75/SA!Q71+SA!R77*1000/SA!R72</f>
        <v>#REF!</v>
      </c>
      <c r="L86" s="491" t="e">
        <f ca="1">CA!#REF!+CA!S76/CA!R70+CA!S78/CA!R71+Colombia!O56*1000/Colombia!N34+SA!S75/SA!R71+SA!S77*1000/SA!S72</f>
        <v>#REF!</v>
      </c>
    </row>
    <row r="87" spans="2:12">
      <c r="B87" t="s">
        <v>2492</v>
      </c>
      <c r="D87" s="486"/>
      <c r="E87" s="486" t="e">
        <f t="shared" ref="E87:L87" si="49">E86/D79-1</f>
        <v>#REF!</v>
      </c>
      <c r="F87" s="486" t="e">
        <f t="shared" si="49"/>
        <v>#REF!</v>
      </c>
      <c r="G87" s="486" t="e">
        <f t="shared" si="49"/>
        <v>#REF!</v>
      </c>
      <c r="H87" s="486" t="e">
        <f t="shared" si="49"/>
        <v>#REF!</v>
      </c>
      <c r="I87" s="486" t="e">
        <f t="shared" ca="1" si="49"/>
        <v>#REF!</v>
      </c>
      <c r="J87" s="486" t="e">
        <f t="shared" ca="1" si="49"/>
        <v>#REF!</v>
      </c>
      <c r="K87" s="486" t="e">
        <f t="shared" ca="1" si="49"/>
        <v>#REF!</v>
      </c>
      <c r="L87" s="486" t="e">
        <f t="shared" ca="1" si="49"/>
        <v>#REF!</v>
      </c>
    </row>
    <row r="88" spans="2:12">
      <c r="B88" t="s">
        <v>2491</v>
      </c>
      <c r="D88" s="486"/>
      <c r="E88" s="509" t="e">
        <f t="shared" ref="E88:L88" si="50">E80-E87</f>
        <v>#REF!</v>
      </c>
      <c r="F88" s="509" t="e">
        <f t="shared" si="50"/>
        <v>#REF!</v>
      </c>
      <c r="G88" s="509" t="e">
        <f t="shared" si="50"/>
        <v>#REF!</v>
      </c>
      <c r="H88" s="509" t="e">
        <f t="shared" si="50"/>
        <v>#REF!</v>
      </c>
      <c r="I88" s="509" t="e">
        <f t="shared" ca="1" si="50"/>
        <v>#REF!</v>
      </c>
      <c r="J88" s="509" t="e">
        <f t="shared" ca="1" si="50"/>
        <v>#REF!</v>
      </c>
      <c r="K88" s="509" t="e">
        <f t="shared" ca="1" si="50"/>
        <v>#REF!</v>
      </c>
      <c r="L88" s="509" t="e">
        <f t="shared" ca="1" si="50"/>
        <v>#REF!</v>
      </c>
    </row>
    <row r="89" spans="2:12">
      <c r="B89" s="452"/>
      <c r="C89" s="454"/>
      <c r="D89" s="454"/>
      <c r="E89" s="454"/>
      <c r="F89" s="454"/>
      <c r="G89" s="454"/>
      <c r="H89" s="454"/>
      <c r="I89" s="454"/>
      <c r="J89" s="454"/>
      <c r="K89" s="454"/>
      <c r="L89" s="454"/>
    </row>
    <row r="90" spans="2:12">
      <c r="B90" s="453" t="s">
        <v>2061</v>
      </c>
      <c r="C90" s="454"/>
      <c r="D90" s="454"/>
      <c r="E90" s="454"/>
      <c r="F90" s="454"/>
      <c r="G90" s="454"/>
      <c r="H90" s="454"/>
      <c r="I90" s="454"/>
      <c r="J90" s="454"/>
      <c r="K90" s="454"/>
      <c r="L90" s="454"/>
    </row>
    <row r="91" spans="2:12">
      <c r="B91" t="s">
        <v>1908</v>
      </c>
      <c r="C91" s="454"/>
      <c r="D91" s="454"/>
      <c r="E91" s="449">
        <f t="shared" ref="E91:L91" si="51">((E11-D11)/(E$79-D$79))*E$98</f>
        <v>0.20737802057530555</v>
      </c>
      <c r="F91" s="449" t="e">
        <f t="shared" si="51"/>
        <v>#REF!</v>
      </c>
      <c r="G91" s="449" t="e">
        <f t="shared" si="51"/>
        <v>#REF!</v>
      </c>
      <c r="H91" s="449" t="e">
        <f t="shared" si="51"/>
        <v>#REF!</v>
      </c>
      <c r="I91" s="449" t="e">
        <f t="shared" si="51"/>
        <v>#REF!</v>
      </c>
      <c r="J91" s="449" t="e">
        <f t="shared" ca="1" si="51"/>
        <v>#REF!</v>
      </c>
      <c r="K91" s="449" t="e">
        <f t="shared" ca="1" si="51"/>
        <v>#REF!</v>
      </c>
      <c r="L91" s="449" t="e">
        <f t="shared" ca="1" si="51"/>
        <v>#REF!</v>
      </c>
    </row>
    <row r="92" spans="2:12">
      <c r="B92" s="455" t="s">
        <v>1906</v>
      </c>
      <c r="C92" s="462"/>
      <c r="D92" s="462"/>
      <c r="E92" s="476">
        <f t="shared" ref="E92:L92" si="52">((E14-D14)/(E$79-D$79))*E$98</f>
        <v>4.4268372676872739E-2</v>
      </c>
      <c r="F92" s="476">
        <f t="shared" si="52"/>
        <v>2.5248235896727202E-3</v>
      </c>
      <c r="G92" s="476">
        <f t="shared" si="52"/>
        <v>2.1199462777433424E-3</v>
      </c>
      <c r="H92" s="476">
        <f t="shared" si="52"/>
        <v>0</v>
      </c>
      <c r="I92" s="476">
        <f t="shared" si="52"/>
        <v>-1.9067504406041086E-3</v>
      </c>
      <c r="J92" s="476">
        <f t="shared" ca="1" si="52"/>
        <v>-2.9156578300210422E-3</v>
      </c>
      <c r="K92" s="476">
        <f t="shared" ca="1" si="52"/>
        <v>-4.0724366998947459E-3</v>
      </c>
      <c r="L92" s="476">
        <f t="shared" ca="1" si="52"/>
        <v>-3.878792067038824E-3</v>
      </c>
    </row>
    <row r="93" spans="2:12">
      <c r="B93" t="s">
        <v>1813</v>
      </c>
      <c r="C93" s="454"/>
      <c r="D93" s="454"/>
      <c r="E93" s="449">
        <f>E91+E92</f>
        <v>0.2516463932521783</v>
      </c>
      <c r="F93" s="449" t="e">
        <f t="shared" ref="F93:L93" si="53">F91+F92</f>
        <v>#REF!</v>
      </c>
      <c r="G93" s="449" t="e">
        <f t="shared" si="53"/>
        <v>#REF!</v>
      </c>
      <c r="H93" s="449" t="e">
        <f t="shared" si="53"/>
        <v>#REF!</v>
      </c>
      <c r="I93" s="449" t="e">
        <f t="shared" si="53"/>
        <v>#REF!</v>
      </c>
      <c r="J93" s="449" t="e">
        <f t="shared" ca="1" si="53"/>
        <v>#REF!</v>
      </c>
      <c r="K93" s="449" t="e">
        <f t="shared" ca="1" si="53"/>
        <v>#REF!</v>
      </c>
      <c r="L93" s="449" t="e">
        <f t="shared" ca="1" si="53"/>
        <v>#REF!</v>
      </c>
    </row>
    <row r="94" spans="2:12">
      <c r="B94" t="s">
        <v>1814</v>
      </c>
      <c r="C94" s="454"/>
      <c r="D94" s="454"/>
      <c r="E94" s="449">
        <f t="shared" ref="E94:L94" si="54">((E36-D36)/(E$79-D$79))*E$98</f>
        <v>8.8457593279564525E-2</v>
      </c>
      <c r="F94" s="449">
        <f t="shared" si="54"/>
        <v>2.0638225286393173E-2</v>
      </c>
      <c r="G94" s="449">
        <f t="shared" si="54"/>
        <v>3.2560679998745901E-2</v>
      </c>
      <c r="H94" s="449">
        <f t="shared" si="54"/>
        <v>4.1814119609807382E-2</v>
      </c>
      <c r="I94" s="449">
        <f t="shared" si="54"/>
        <v>3.713362589380613E-2</v>
      </c>
      <c r="J94" s="449">
        <f t="shared" ca="1" si="54"/>
        <v>3.0543674741262732E-2</v>
      </c>
      <c r="K94" s="449">
        <f t="shared" ca="1" si="54"/>
        <v>3.2418847757066625E-2</v>
      </c>
      <c r="L94" s="449">
        <f t="shared" ca="1" si="54"/>
        <v>4.3659574810839152E-2</v>
      </c>
    </row>
    <row r="95" spans="2:12">
      <c r="B95" t="s">
        <v>1785</v>
      </c>
      <c r="C95" s="454"/>
      <c r="D95" s="454"/>
      <c r="E95" s="449">
        <f t="shared" ref="E95:L95" si="55">((E67-D67)/(E$79-D$79))*E$98</f>
        <v>1.5930015421255689E-2</v>
      </c>
      <c r="F95" s="449">
        <f t="shared" si="55"/>
        <v>1.0742509435719413E-2</v>
      </c>
      <c r="G95" s="449">
        <f t="shared" si="55"/>
        <v>1.2122724644664004E-2</v>
      </c>
      <c r="H95" s="449">
        <f t="shared" si="55"/>
        <v>1.0577660312366621E-2</v>
      </c>
      <c r="I95" s="449">
        <f t="shared" si="55"/>
        <v>1.0201762436040623E-2</v>
      </c>
      <c r="J95" s="449">
        <f t="shared" ca="1" si="55"/>
        <v>5.6578096364148346E-3</v>
      </c>
      <c r="K95" s="449">
        <f t="shared" ca="1" si="55"/>
        <v>5.6578877325439269E-3</v>
      </c>
      <c r="L95" s="449">
        <f t="shared" ca="1" si="55"/>
        <v>8.0882019027686304E-3</v>
      </c>
    </row>
    <row r="96" spans="2:12">
      <c r="B96" t="s">
        <v>1781</v>
      </c>
      <c r="C96" s="454"/>
      <c r="D96" s="454"/>
      <c r="E96" s="449">
        <f t="shared" ref="E96:L96" si="56">((E55-D55)/(E$79-D$79))*E$98</f>
        <v>2.9560633646399759E-2</v>
      </c>
      <c r="F96" s="449">
        <f t="shared" si="56"/>
        <v>9.1998088033403615E-3</v>
      </c>
      <c r="G96" s="449">
        <f t="shared" si="56"/>
        <v>1.7280873127673818E-2</v>
      </c>
      <c r="H96" s="449">
        <f t="shared" si="56"/>
        <v>1.886422770121295E-2</v>
      </c>
      <c r="I96" s="449">
        <f t="shared" si="56"/>
        <v>1.6859367835639162E-2</v>
      </c>
      <c r="J96" s="449">
        <f t="shared" ca="1" si="56"/>
        <v>1.7108000947347241E-2</v>
      </c>
      <c r="K96" s="449">
        <f t="shared" ca="1" si="56"/>
        <v>2.0581052204924823E-2</v>
      </c>
      <c r="L96" s="449">
        <f t="shared" ca="1" si="56"/>
        <v>2.5985512330107315E-2</v>
      </c>
    </row>
    <row r="97" spans="2:12">
      <c r="B97" s="455" t="s">
        <v>1540</v>
      </c>
      <c r="C97" s="462"/>
      <c r="D97" s="462"/>
      <c r="E97" s="476">
        <f>E98-SUM(E93:E96)</f>
        <v>-0.15802298672431708</v>
      </c>
      <c r="F97" s="476" t="e">
        <f t="shared" ref="F97:L97" si="57">F98-SUM(F93:F96)</f>
        <v>#REF!</v>
      </c>
      <c r="G97" s="476" t="e">
        <f t="shared" si="57"/>
        <v>#REF!</v>
      </c>
      <c r="H97" s="476" t="e">
        <f t="shared" si="57"/>
        <v>#REF!</v>
      </c>
      <c r="I97" s="476" t="e">
        <f t="shared" si="57"/>
        <v>#REF!</v>
      </c>
      <c r="J97" s="476" t="e">
        <f t="shared" ca="1" si="57"/>
        <v>#REF!</v>
      </c>
      <c r="K97" s="476" t="e">
        <f t="shared" ca="1" si="57"/>
        <v>#REF!</v>
      </c>
      <c r="L97" s="476" t="e">
        <f t="shared" ca="1" si="57"/>
        <v>#REF!</v>
      </c>
    </row>
    <row r="98" spans="2:12">
      <c r="B98" t="s">
        <v>1815</v>
      </c>
      <c r="C98" s="454"/>
      <c r="D98" s="454"/>
      <c r="E98" s="449">
        <f t="shared" ref="E98:L98" si="58">E79/D79-1</f>
        <v>0.22757164887508119</v>
      </c>
      <c r="F98" s="449">
        <f t="shared" si="58"/>
        <v>0.21480439787727423</v>
      </c>
      <c r="G98" s="449">
        <f t="shared" si="58"/>
        <v>6.6323311142055585E-2</v>
      </c>
      <c r="H98" s="449">
        <f t="shared" si="58"/>
        <v>6.3511690760221562E-2</v>
      </c>
      <c r="I98" s="449">
        <f t="shared" si="58"/>
        <v>-3.8665264892276285E-2</v>
      </c>
      <c r="J98" s="449">
        <f t="shared" ca="1" si="58"/>
        <v>-7.4039024287830713E-2</v>
      </c>
      <c r="K98" s="449">
        <f t="shared" ca="1" si="58"/>
        <v>7.9269948810567481E-3</v>
      </c>
      <c r="L98" s="449">
        <f t="shared" ca="1" si="58"/>
        <v>3.76613486827857E-2</v>
      </c>
    </row>
    <row r="99" spans="2:12">
      <c r="C99" s="454"/>
      <c r="D99" s="454"/>
      <c r="E99" s="454"/>
      <c r="F99" s="454"/>
      <c r="G99" s="454"/>
      <c r="H99" s="454"/>
      <c r="I99" s="454"/>
      <c r="J99" s="454"/>
      <c r="K99" s="454"/>
      <c r="L99" s="454"/>
    </row>
    <row r="100" spans="2:12">
      <c r="B100" s="450" t="s">
        <v>1802</v>
      </c>
    </row>
    <row r="101" spans="2:12">
      <c r="B101" s="450"/>
    </row>
    <row r="102" spans="2:12">
      <c r="B102" s="451" t="s">
        <v>1434</v>
      </c>
      <c r="C102" s="451">
        <f>C127</f>
        <v>2010</v>
      </c>
      <c r="D102" s="451">
        <f t="shared" ref="D102:K102" si="59">D127</f>
        <v>2011</v>
      </c>
      <c r="E102" s="451">
        <f t="shared" si="59"/>
        <v>2012</v>
      </c>
      <c r="F102" s="451">
        <f t="shared" si="59"/>
        <v>2013</v>
      </c>
      <c r="G102" s="451">
        <f t="shared" si="59"/>
        <v>2014</v>
      </c>
      <c r="H102" s="451">
        <f t="shared" si="59"/>
        <v>2015</v>
      </c>
      <c r="I102" s="451">
        <f t="shared" si="59"/>
        <v>2016</v>
      </c>
      <c r="J102" s="451">
        <f t="shared" si="59"/>
        <v>2017</v>
      </c>
      <c r="K102" s="451">
        <f t="shared" si="59"/>
        <v>2018</v>
      </c>
    </row>
    <row r="103" spans="2:12">
      <c r="B103" t="s">
        <v>1908</v>
      </c>
      <c r="C103" s="449">
        <v>0.49</v>
      </c>
      <c r="D103" s="449">
        <v>0.49</v>
      </c>
      <c r="E103" s="449">
        <v>0.49</v>
      </c>
      <c r="F103" s="449">
        <v>0.49</v>
      </c>
      <c r="G103" s="449">
        <v>0.49</v>
      </c>
      <c r="H103" s="449">
        <v>0.49</v>
      </c>
      <c r="I103" s="449">
        <v>0.49</v>
      </c>
      <c r="J103" s="449">
        <v>0.49</v>
      </c>
      <c r="K103" s="449">
        <v>0.49</v>
      </c>
    </row>
    <row r="104" spans="2:12">
      <c r="B104" t="s">
        <v>1906</v>
      </c>
      <c r="C104" s="486">
        <v>0.8</v>
      </c>
      <c r="D104" s="486">
        <v>0.8</v>
      </c>
      <c r="E104" s="486">
        <v>0.8</v>
      </c>
      <c r="F104" s="486">
        <v>0.8</v>
      </c>
      <c r="G104" s="486">
        <v>0.8</v>
      </c>
      <c r="H104" s="486">
        <v>0.8</v>
      </c>
      <c r="I104" s="486">
        <v>0.8</v>
      </c>
      <c r="J104" s="486">
        <v>0.8</v>
      </c>
      <c r="K104" s="486">
        <v>0.8</v>
      </c>
    </row>
    <row r="105" spans="2:12">
      <c r="B105" t="s">
        <v>1817</v>
      </c>
      <c r="C105" s="486">
        <v>0.62</v>
      </c>
      <c r="D105" s="486">
        <v>0.62</v>
      </c>
      <c r="E105" s="486">
        <f>62%-2%</f>
        <v>0.6</v>
      </c>
      <c r="F105" s="486">
        <f t="shared" ref="F105:K106" si="60">62%-1%</f>
        <v>0.61</v>
      </c>
      <c r="G105" s="486">
        <f t="shared" si="60"/>
        <v>0.61</v>
      </c>
      <c r="H105" s="486">
        <f t="shared" si="60"/>
        <v>0.61</v>
      </c>
      <c r="I105" s="486">
        <f t="shared" si="60"/>
        <v>0.61</v>
      </c>
      <c r="J105" s="486">
        <f t="shared" si="60"/>
        <v>0.61</v>
      </c>
      <c r="K105" s="486">
        <f t="shared" si="60"/>
        <v>0.61</v>
      </c>
    </row>
    <row r="106" spans="2:12">
      <c r="B106" t="s">
        <v>1808</v>
      </c>
      <c r="C106" s="486">
        <v>0.62</v>
      </c>
      <c r="D106" s="486">
        <v>0.62</v>
      </c>
      <c r="E106" s="486">
        <f>62%-2%</f>
        <v>0.6</v>
      </c>
      <c r="F106" s="486">
        <f t="shared" si="60"/>
        <v>0.61</v>
      </c>
      <c r="G106" s="486">
        <f t="shared" si="60"/>
        <v>0.61</v>
      </c>
      <c r="H106" s="486">
        <f t="shared" si="60"/>
        <v>0.61</v>
      </c>
      <c r="I106" s="486">
        <f t="shared" si="60"/>
        <v>0.61</v>
      </c>
      <c r="J106" s="486">
        <f t="shared" si="60"/>
        <v>0.61</v>
      </c>
      <c r="K106" s="486">
        <f t="shared" si="60"/>
        <v>0.61</v>
      </c>
    </row>
    <row r="107" spans="2:12">
      <c r="B107" t="str">
        <f>B40</f>
        <v>Solutions</v>
      </c>
      <c r="C107" s="449">
        <v>0.6</v>
      </c>
      <c r="D107" s="449">
        <v>0.6</v>
      </c>
      <c r="E107" s="449">
        <v>0.6</v>
      </c>
      <c r="F107" s="449">
        <v>0.45</v>
      </c>
      <c r="G107" s="449">
        <v>0.35</v>
      </c>
      <c r="H107" s="449">
        <f>G107-10%</f>
        <v>0.24999999999999997</v>
      </c>
      <c r="I107" s="449">
        <f>H107-5%</f>
        <v>0.19999999999999996</v>
      </c>
      <c r="J107" s="449">
        <f>I107-10%</f>
        <v>9.999999999999995E-2</v>
      </c>
      <c r="K107" s="449">
        <f>J107</f>
        <v>9.999999999999995E-2</v>
      </c>
    </row>
    <row r="108" spans="2:12">
      <c r="B108" t="str">
        <f>B58</f>
        <v>Entertainment</v>
      </c>
      <c r="C108" s="449">
        <v>0.25</v>
      </c>
      <c r="D108" s="449">
        <v>0.25</v>
      </c>
      <c r="E108" s="449">
        <v>0.25</v>
      </c>
      <c r="F108" s="449">
        <v>0.25</v>
      </c>
      <c r="G108" s="449">
        <v>0.25</v>
      </c>
      <c r="H108" s="449">
        <v>0.25</v>
      </c>
      <c r="I108" s="449">
        <v>0.25</v>
      </c>
      <c r="J108" s="449">
        <v>0.25</v>
      </c>
      <c r="K108" s="449">
        <v>0.25</v>
      </c>
    </row>
    <row r="109" spans="2:12">
      <c r="B109" t="s">
        <v>1540</v>
      </c>
      <c r="C109" s="449" t="e">
        <f t="shared" ref="C109:K109" si="61">C122/D74</f>
        <v>#REF!</v>
      </c>
      <c r="D109" s="449" t="e">
        <f t="shared" si="61"/>
        <v>#REF!</v>
      </c>
      <c r="E109" s="449" t="e">
        <f t="shared" si="61"/>
        <v>#REF!</v>
      </c>
      <c r="F109" s="449" t="e">
        <f t="shared" si="61"/>
        <v>#REF!</v>
      </c>
      <c r="G109" s="449" t="e">
        <f t="shared" si="61"/>
        <v>#REF!</v>
      </c>
      <c r="H109" s="449" t="e">
        <f t="shared" si="61"/>
        <v>#REF!</v>
      </c>
      <c r="I109" s="449" t="e">
        <f t="shared" ca="1" si="61"/>
        <v>#REF!</v>
      </c>
      <c r="J109" s="449" t="e">
        <f t="shared" ca="1" si="61"/>
        <v>#REF!</v>
      </c>
      <c r="K109" s="449" t="e">
        <f t="shared" ca="1" si="61"/>
        <v>#REF!</v>
      </c>
    </row>
    <row r="110" spans="2:12">
      <c r="B110" s="455" t="s">
        <v>1493</v>
      </c>
      <c r="C110" s="488">
        <v>-0.2</v>
      </c>
      <c r="D110" s="488">
        <v>-0.2</v>
      </c>
      <c r="E110" s="488">
        <v>-0.2</v>
      </c>
      <c r="F110" s="488">
        <v>-0.2</v>
      </c>
      <c r="G110" s="488">
        <v>-0.2</v>
      </c>
      <c r="H110" s="488">
        <v>-0.2</v>
      </c>
      <c r="I110" s="488">
        <v>-0.2</v>
      </c>
      <c r="J110" s="488">
        <v>-0.2</v>
      </c>
      <c r="K110" s="488">
        <v>-0.2</v>
      </c>
    </row>
    <row r="111" spans="2:12">
      <c r="B111" t="s">
        <v>1805</v>
      </c>
      <c r="C111" s="449">
        <f t="shared" ref="C111:K111" si="62">C124/D79</f>
        <v>0.49605890537405473</v>
      </c>
      <c r="D111" s="449">
        <f t="shared" si="62"/>
        <v>0.47583067210934071</v>
      </c>
      <c r="E111" s="449">
        <f t="shared" si="62"/>
        <v>0.3994701502780626</v>
      </c>
      <c r="F111" s="449">
        <f t="shared" si="62"/>
        <v>0.43036057573234987</v>
      </c>
      <c r="G111" s="449">
        <f t="shared" si="62"/>
        <v>0.40910737392206958</v>
      </c>
      <c r="H111" s="449">
        <f t="shared" si="62"/>
        <v>0.41034687773168871</v>
      </c>
      <c r="I111" s="449">
        <f t="shared" ca="1" si="62"/>
        <v>0.40506641016089645</v>
      </c>
      <c r="J111" s="449">
        <f t="shared" ca="1" si="62"/>
        <v>0.40900787551056145</v>
      </c>
      <c r="K111" s="449">
        <f t="shared" ca="1" si="62"/>
        <v>0.41881100872566135</v>
      </c>
    </row>
    <row r="112" spans="2:12">
      <c r="B112" t="s">
        <v>1807</v>
      </c>
      <c r="C112" s="449">
        <f t="shared" ref="C112:K112" si="63">SUM(C117:C122)/(D14+D16)</f>
        <v>0.66952307601789185</v>
      </c>
      <c r="D112" s="449">
        <f t="shared" si="63"/>
        <v>0.30030931170514619</v>
      </c>
      <c r="E112" s="449" t="e">
        <f t="shared" si="63"/>
        <v>#REF!</v>
      </c>
      <c r="F112" s="449" t="e">
        <f t="shared" si="63"/>
        <v>#REF!</v>
      </c>
      <c r="G112" s="449" t="e">
        <f t="shared" si="63"/>
        <v>#REF!</v>
      </c>
      <c r="H112" s="449" t="e">
        <f t="shared" si="63"/>
        <v>#REF!</v>
      </c>
      <c r="I112" s="449" t="e">
        <f t="shared" ca="1" si="63"/>
        <v>#REF!</v>
      </c>
      <c r="J112" s="449" t="e">
        <f t="shared" ca="1" si="63"/>
        <v>#REF!</v>
      </c>
      <c r="K112" s="449" t="e">
        <f t="shared" ca="1" si="63"/>
        <v>#REF!</v>
      </c>
    </row>
    <row r="113" spans="2:11">
      <c r="B113" t="s">
        <v>1811</v>
      </c>
      <c r="C113" s="449"/>
      <c r="D113" s="449">
        <f t="shared" ref="D113:K113" si="64">D112-D103</f>
        <v>-0.1896906882948538</v>
      </c>
      <c r="E113" s="449" t="e">
        <f t="shared" si="64"/>
        <v>#REF!</v>
      </c>
      <c r="F113" s="449" t="e">
        <f t="shared" si="64"/>
        <v>#REF!</v>
      </c>
      <c r="G113" s="449" t="e">
        <f t="shared" si="64"/>
        <v>#REF!</v>
      </c>
      <c r="H113" s="449" t="e">
        <f t="shared" si="64"/>
        <v>#REF!</v>
      </c>
      <c r="I113" s="449" t="e">
        <f t="shared" ca="1" si="64"/>
        <v>#REF!</v>
      </c>
      <c r="J113" s="449" t="e">
        <f t="shared" ca="1" si="64"/>
        <v>#REF!</v>
      </c>
      <c r="K113" s="449" t="e">
        <f t="shared" ca="1" si="64"/>
        <v>#REF!</v>
      </c>
    </row>
    <row r="114" spans="2:11">
      <c r="C114" s="449"/>
    </row>
    <row r="115" spans="2:11">
      <c r="B115" s="450" t="s">
        <v>1804</v>
      </c>
      <c r="C115" s="450">
        <f>C102</f>
        <v>2010</v>
      </c>
      <c r="D115" s="450">
        <f t="shared" ref="D115:K115" si="65">D102</f>
        <v>2011</v>
      </c>
      <c r="E115" s="450">
        <f t="shared" si="65"/>
        <v>2012</v>
      </c>
      <c r="F115" s="450">
        <f t="shared" si="65"/>
        <v>2013</v>
      </c>
      <c r="G115" s="450">
        <f t="shared" si="65"/>
        <v>2014</v>
      </c>
      <c r="H115" s="450">
        <f t="shared" si="65"/>
        <v>2015</v>
      </c>
      <c r="I115" s="450">
        <f t="shared" si="65"/>
        <v>2016</v>
      </c>
      <c r="J115" s="450">
        <f t="shared" si="65"/>
        <v>2017</v>
      </c>
      <c r="K115" s="450">
        <f t="shared" si="65"/>
        <v>2018</v>
      </c>
    </row>
    <row r="116" spans="2:11">
      <c r="B116" s="478" t="str">
        <f>B103</f>
        <v>Voice</v>
      </c>
      <c r="C116" s="464">
        <f t="shared" ref="C116:K116" si="66">C103*D11</f>
        <v>972.86424682277789</v>
      </c>
      <c r="D116" s="464">
        <f t="shared" si="66"/>
        <v>1266.5983782706471</v>
      </c>
      <c r="E116" s="464" t="e">
        <f t="shared" si="66"/>
        <v>#REF!</v>
      </c>
      <c r="F116" s="464" t="e">
        <f t="shared" si="66"/>
        <v>#REF!</v>
      </c>
      <c r="G116" s="464" t="e">
        <f t="shared" si="66"/>
        <v>#REF!</v>
      </c>
      <c r="H116" s="464" t="e">
        <f t="shared" si="66"/>
        <v>#REF!</v>
      </c>
      <c r="I116" s="464" t="e">
        <f t="shared" ca="1" si="66"/>
        <v>#REF!</v>
      </c>
      <c r="J116" s="464" t="e">
        <f t="shared" ca="1" si="66"/>
        <v>#REF!</v>
      </c>
      <c r="K116" s="464" t="e">
        <f t="shared" ca="1" si="66"/>
        <v>#REF!</v>
      </c>
    </row>
    <row r="117" spans="2:11">
      <c r="B117" s="478" t="str">
        <f t="shared" ref="B117:B123" si="67">B104</f>
        <v>SMS</v>
      </c>
      <c r="C117" s="464">
        <f t="shared" ref="C117:K117" si="68">C104*D14</f>
        <v>256</v>
      </c>
      <c r="D117" s="464">
        <f t="shared" si="68"/>
        <v>358.3715203980471</v>
      </c>
      <c r="E117" s="464">
        <f t="shared" si="68"/>
        <v>365.53895080600802</v>
      </c>
      <c r="F117" s="464">
        <f t="shared" si="68"/>
        <v>372.84972982212821</v>
      </c>
      <c r="G117" s="464">
        <f t="shared" si="68"/>
        <v>372.84972982212821</v>
      </c>
      <c r="H117" s="464">
        <f t="shared" si="68"/>
        <v>365.39273522568561</v>
      </c>
      <c r="I117" s="464">
        <f t="shared" si="68"/>
        <v>354.43095316891504</v>
      </c>
      <c r="J117" s="464">
        <f t="shared" si="68"/>
        <v>340.25371504215843</v>
      </c>
      <c r="K117" s="464">
        <f t="shared" si="68"/>
        <v>326.64356644047211</v>
      </c>
    </row>
    <row r="118" spans="2:11">
      <c r="B118" s="478" t="str">
        <f t="shared" si="67"/>
        <v>Mobile internet - handset driven</v>
      </c>
      <c r="C118" s="464">
        <f t="shared" ref="C118:K118" si="69">C105*D26</f>
        <v>49.6</v>
      </c>
      <c r="D118" s="464">
        <f t="shared" si="69"/>
        <v>143.71599999999998</v>
      </c>
      <c r="E118" s="464">
        <f t="shared" si="69"/>
        <v>178.81340759999998</v>
      </c>
      <c r="F118" s="464">
        <f t="shared" si="69"/>
        <v>255.78446629199996</v>
      </c>
      <c r="G118" s="464">
        <f t="shared" si="69"/>
        <v>358.99994753759989</v>
      </c>
      <c r="H118" s="464">
        <f t="shared" si="69"/>
        <v>454.30164034887139</v>
      </c>
      <c r="I118" s="464">
        <f t="shared" si="69"/>
        <v>524.8871686143533</v>
      </c>
      <c r="J118" s="464">
        <f t="shared" si="69"/>
        <v>592.26997582553167</v>
      </c>
      <c r="K118" s="464">
        <f t="shared" si="69"/>
        <v>688.5423993033819</v>
      </c>
    </row>
    <row r="119" spans="2:11">
      <c r="B119" s="478" t="str">
        <f t="shared" si="67"/>
        <v>Mobile internet - dongles</v>
      </c>
      <c r="C119" s="464">
        <f t="shared" ref="C119:K119" si="70">C106*D33</f>
        <v>62</v>
      </c>
      <c r="D119" s="464">
        <f t="shared" si="70"/>
        <v>126.47999999999998</v>
      </c>
      <c r="E119" s="464">
        <f t="shared" si="70"/>
        <v>126.5472</v>
      </c>
      <c r="F119" s="464">
        <f t="shared" si="70"/>
        <v>140.28487200000001</v>
      </c>
      <c r="G119" s="464">
        <f t="shared" si="70"/>
        <v>154.31335920000001</v>
      </c>
      <c r="H119" s="464">
        <f t="shared" si="70"/>
        <v>169.74469512000007</v>
      </c>
      <c r="I119" s="464">
        <f t="shared" si="70"/>
        <v>186.71916463200003</v>
      </c>
      <c r="J119" s="464">
        <f t="shared" si="70"/>
        <v>205.39108109520006</v>
      </c>
      <c r="K119" s="464">
        <f t="shared" si="70"/>
        <v>225.93018920472008</v>
      </c>
    </row>
    <row r="120" spans="2:11">
      <c r="B120" s="478" t="str">
        <f t="shared" si="67"/>
        <v>Solutions</v>
      </c>
      <c r="C120" s="464">
        <f t="shared" ref="C120:K120" si="71">C107*D55</f>
        <v>0</v>
      </c>
      <c r="D120" s="464">
        <f t="shared" si="71"/>
        <v>51.26967901667264</v>
      </c>
      <c r="E120" s="464">
        <f t="shared" si="71"/>
        <v>70.856885911304417</v>
      </c>
      <c r="F120" s="464">
        <f t="shared" si="71"/>
        <v>86.664439658268662</v>
      </c>
      <c r="G120" s="464">
        <f t="shared" si="71"/>
        <v>97.754703685924454</v>
      </c>
      <c r="H120" s="464">
        <f t="shared" si="71"/>
        <v>90.429250422427273</v>
      </c>
      <c r="I120" s="464">
        <f t="shared" si="71"/>
        <v>88.423320268951969</v>
      </c>
      <c r="J120" s="464">
        <f t="shared" si="71"/>
        <v>53.16767650472336</v>
      </c>
      <c r="K120" s="464">
        <f t="shared" si="71"/>
        <v>64.565125703827761</v>
      </c>
    </row>
    <row r="121" spans="2:11">
      <c r="B121" s="478" t="str">
        <f t="shared" si="67"/>
        <v>Entertainment</v>
      </c>
      <c r="C121" s="464">
        <f t="shared" ref="C121:K121" si="72">C108*D67</f>
        <v>50.58638647173953</v>
      </c>
      <c r="D121" s="464">
        <f t="shared" si="72"/>
        <v>62.098413851745399</v>
      </c>
      <c r="E121" s="464">
        <f t="shared" si="72"/>
        <v>71.62831094811088</v>
      </c>
      <c r="F121" s="464">
        <f t="shared" si="72"/>
        <v>84.69269875254416</v>
      </c>
      <c r="G121" s="464">
        <f t="shared" si="72"/>
        <v>96.848045228180212</v>
      </c>
      <c r="H121" s="464">
        <f t="shared" si="72"/>
        <v>109.31599949931625</v>
      </c>
      <c r="I121" s="464">
        <f t="shared" si="72"/>
        <v>115.96326400281126</v>
      </c>
      <c r="J121" s="464">
        <f t="shared" si="72"/>
        <v>122.11845648873771</v>
      </c>
      <c r="K121" s="464">
        <f t="shared" si="72"/>
        <v>130.98732822078529</v>
      </c>
    </row>
    <row r="122" spans="2:11">
      <c r="B122" s="478" t="str">
        <f t="shared" si="67"/>
        <v>Other</v>
      </c>
      <c r="C122" s="489">
        <f>C124-C116-C117-C118-C119-C120-C121-C123</f>
        <v>76.591166705482578</v>
      </c>
      <c r="D122" s="489">
        <f>D124-D116-D117-D118-D119-D120-D121-D123</f>
        <v>-264.88443541691822</v>
      </c>
      <c r="E122" s="489" t="e">
        <f t="shared" ref="E122:K122" si="73">E124-E116-E117-E118-E119-E120-E121-E123</f>
        <v>#REF!</v>
      </c>
      <c r="F122" s="489" t="e">
        <f t="shared" si="73"/>
        <v>#REF!</v>
      </c>
      <c r="G122" s="489" t="e">
        <f t="shared" si="73"/>
        <v>#REF!</v>
      </c>
      <c r="H122" s="489" t="e">
        <f t="shared" si="73"/>
        <v>#REF!</v>
      </c>
      <c r="I122" s="489" t="e">
        <f t="shared" ca="1" si="73"/>
        <v>#REF!</v>
      </c>
      <c r="J122" s="489" t="e">
        <f t="shared" ca="1" si="73"/>
        <v>#REF!</v>
      </c>
      <c r="K122" s="489" t="e">
        <f t="shared" ca="1" si="73"/>
        <v>#REF!</v>
      </c>
    </row>
    <row r="123" spans="2:11">
      <c r="B123" s="487" t="str">
        <f t="shared" si="67"/>
        <v>Handsets</v>
      </c>
      <c r="C123" s="490">
        <f t="shared" ref="C123:K123" si="74">C110*D76</f>
        <v>-33.708799999999997</v>
      </c>
      <c r="D123" s="490">
        <f t="shared" si="74"/>
        <v>-55.173556120193922</v>
      </c>
      <c r="E123" s="490">
        <f t="shared" si="74"/>
        <v>-60.349940998642687</v>
      </c>
      <c r="F123" s="490">
        <f t="shared" si="74"/>
        <v>-73.545770186171822</v>
      </c>
      <c r="G123" s="490">
        <f t="shared" si="74"/>
        <v>-87.993884698828083</v>
      </c>
      <c r="H123" s="490">
        <f t="shared" si="74"/>
        <v>-84.591577838047485</v>
      </c>
      <c r="I123" s="490">
        <f t="shared" ca="1" si="74"/>
        <v>-78.328499951950363</v>
      </c>
      <c r="J123" s="490">
        <f t="shared" ca="1" si="74"/>
        <v>-78.949409570110319</v>
      </c>
      <c r="K123" s="490">
        <f t="shared" ca="1" si="74"/>
        <v>-81.922750812230305</v>
      </c>
    </row>
    <row r="124" spans="2:11">
      <c r="B124" t="s">
        <v>1803</v>
      </c>
      <c r="C124" s="464">
        <f>Div!J45+Div!J46+Div!J48</f>
        <v>1433.933</v>
      </c>
      <c r="D124" s="464">
        <f>Div!K45+Div!K46+Div!K48</f>
        <v>1688.4760000000001</v>
      </c>
      <c r="E124" s="464">
        <f>Div!L45+Div!L46+Div!L48</f>
        <v>1722</v>
      </c>
      <c r="F124" s="464">
        <f>Div!M45+Div!M46+Div!M48</f>
        <v>1978.1999999999998</v>
      </c>
      <c r="G124" s="464">
        <f>Div!N45+Div!N46+Div!N48</f>
        <v>1999.94150501883</v>
      </c>
      <c r="H124" s="464">
        <f>Div!O45+Div!O46+Div!O48</f>
        <v>1928.4383249022164</v>
      </c>
      <c r="I124" s="464">
        <f ca="1">Div!P45+Div!P46+Div!P48</f>
        <v>1762.6802382680266</v>
      </c>
      <c r="J124" s="464">
        <f ca="1">Div!Q45+Div!Q46+Div!Q48</f>
        <v>1793.9405711713339</v>
      </c>
      <c r="K124" s="464">
        <f ca="1">Div!R45+Div!R46+Div!R48</f>
        <v>1906.1194391806202</v>
      </c>
    </row>
    <row r="125" spans="2:11">
      <c r="B125" t="s">
        <v>1809</v>
      </c>
      <c r="C125" s="449">
        <f>C122/C124</f>
        <v>5.3413351046026965E-2</v>
      </c>
      <c r="D125" s="449">
        <f t="shared" ref="D125:K125" si="75">D122/D124</f>
        <v>-0.15687782083779586</v>
      </c>
      <c r="E125" s="449" t="e">
        <f t="shared" si="75"/>
        <v>#REF!</v>
      </c>
      <c r="F125" s="449" t="e">
        <f t="shared" si="75"/>
        <v>#REF!</v>
      </c>
      <c r="G125" s="449" t="e">
        <f t="shared" si="75"/>
        <v>#REF!</v>
      </c>
      <c r="H125" s="449" t="e">
        <f t="shared" si="75"/>
        <v>#REF!</v>
      </c>
      <c r="I125" s="449" t="e">
        <f t="shared" ca="1" si="75"/>
        <v>#REF!</v>
      </c>
      <c r="J125" s="449" t="e">
        <f t="shared" ca="1" si="75"/>
        <v>#REF!</v>
      </c>
      <c r="K125" s="449" t="e">
        <f t="shared" ca="1" si="75"/>
        <v>#REF!</v>
      </c>
    </row>
    <row r="127" spans="2:11">
      <c r="B127" s="451" t="s">
        <v>1816</v>
      </c>
      <c r="C127" s="451">
        <f t="shared" ref="C127:K127" si="76">D3</f>
        <v>2010</v>
      </c>
      <c r="D127" s="451">
        <f t="shared" si="76"/>
        <v>2011</v>
      </c>
      <c r="E127" s="451">
        <f t="shared" si="76"/>
        <v>2012</v>
      </c>
      <c r="F127" s="451">
        <f t="shared" si="76"/>
        <v>2013</v>
      </c>
      <c r="G127" s="451">
        <f t="shared" si="76"/>
        <v>2014</v>
      </c>
      <c r="H127" s="451">
        <f t="shared" si="76"/>
        <v>2015</v>
      </c>
      <c r="I127" s="451">
        <f t="shared" si="76"/>
        <v>2016</v>
      </c>
      <c r="J127" s="451">
        <f t="shared" si="76"/>
        <v>2017</v>
      </c>
      <c r="K127" s="451">
        <f t="shared" si="76"/>
        <v>2018</v>
      </c>
    </row>
    <row r="128" spans="2:11">
      <c r="B128" t="str">
        <f>B116</f>
        <v>Voice</v>
      </c>
      <c r="C128" s="464">
        <f t="shared" ref="C128:K128" si="77">D11</f>
        <v>1985.4372384138323</v>
      </c>
      <c r="D128" s="464">
        <f t="shared" si="77"/>
        <v>2584.8946495319328</v>
      </c>
      <c r="E128" s="464" t="e">
        <f t="shared" si="77"/>
        <v>#REF!</v>
      </c>
      <c r="F128" s="464" t="e">
        <f t="shared" si="77"/>
        <v>#REF!</v>
      </c>
      <c r="G128" s="464" t="e">
        <f t="shared" si="77"/>
        <v>#REF!</v>
      </c>
      <c r="H128" s="464" t="e">
        <f t="shared" si="77"/>
        <v>#REF!</v>
      </c>
      <c r="I128" s="464" t="e">
        <f t="shared" ca="1" si="77"/>
        <v>#REF!</v>
      </c>
      <c r="J128" s="464" t="e">
        <f t="shared" ca="1" si="77"/>
        <v>#REF!</v>
      </c>
      <c r="K128" s="464" t="e">
        <f t="shared" ca="1" si="77"/>
        <v>#REF!</v>
      </c>
    </row>
    <row r="129" spans="2:11">
      <c r="B129" t="str">
        <f t="shared" ref="B129:B135" si="78">B117</f>
        <v>SMS</v>
      </c>
      <c r="C129" s="464">
        <f t="shared" ref="C129:K129" si="79">D14</f>
        <v>320</v>
      </c>
      <c r="D129" s="464">
        <f t="shared" si="79"/>
        <v>447.96440049755881</v>
      </c>
      <c r="E129" s="464">
        <f t="shared" si="79"/>
        <v>456.92368850751001</v>
      </c>
      <c r="F129" s="464">
        <f t="shared" si="79"/>
        <v>466.06216227766021</v>
      </c>
      <c r="G129" s="464">
        <f t="shared" si="79"/>
        <v>466.06216227766021</v>
      </c>
      <c r="H129" s="464">
        <f t="shared" si="79"/>
        <v>456.740919032107</v>
      </c>
      <c r="I129" s="464">
        <f t="shared" si="79"/>
        <v>443.0386914611438</v>
      </c>
      <c r="J129" s="464">
        <f t="shared" si="79"/>
        <v>425.31714380269801</v>
      </c>
      <c r="K129" s="464">
        <f t="shared" si="79"/>
        <v>408.30445805059009</v>
      </c>
    </row>
    <row r="130" spans="2:11">
      <c r="B130" t="str">
        <f t="shared" si="78"/>
        <v>Mobile internet - handset driven</v>
      </c>
      <c r="C130" s="464">
        <f t="shared" ref="C130:K130" si="80">D26</f>
        <v>80</v>
      </c>
      <c r="D130" s="464">
        <f t="shared" si="80"/>
        <v>231.79999999999998</v>
      </c>
      <c r="E130" s="464">
        <f t="shared" si="80"/>
        <v>298.02234599999997</v>
      </c>
      <c r="F130" s="464">
        <f t="shared" si="80"/>
        <v>419.31879719999995</v>
      </c>
      <c r="G130" s="464">
        <f t="shared" si="80"/>
        <v>588.52450415999988</v>
      </c>
      <c r="H130" s="464">
        <f t="shared" si="80"/>
        <v>744.75678745716618</v>
      </c>
      <c r="I130" s="464">
        <f t="shared" si="80"/>
        <v>860.47076822025133</v>
      </c>
      <c r="J130" s="464">
        <f t="shared" si="80"/>
        <v>970.93438659923231</v>
      </c>
      <c r="K130" s="464">
        <f t="shared" si="80"/>
        <v>1128.7580316448884</v>
      </c>
    </row>
    <row r="131" spans="2:11">
      <c r="B131" t="str">
        <f t="shared" si="78"/>
        <v>Mobile internet - dongles</v>
      </c>
      <c r="C131" s="464">
        <f t="shared" ref="C131:K131" si="81">D33</f>
        <v>100</v>
      </c>
      <c r="D131" s="464">
        <f t="shared" si="81"/>
        <v>203.99999999999997</v>
      </c>
      <c r="E131" s="464">
        <f t="shared" si="81"/>
        <v>210.91200000000001</v>
      </c>
      <c r="F131" s="464">
        <f t="shared" si="81"/>
        <v>229.97520000000003</v>
      </c>
      <c r="G131" s="464">
        <f t="shared" si="81"/>
        <v>252.97272000000004</v>
      </c>
      <c r="H131" s="464">
        <f t="shared" si="81"/>
        <v>278.26999200000012</v>
      </c>
      <c r="I131" s="464">
        <f t="shared" si="81"/>
        <v>306.09699120000005</v>
      </c>
      <c r="J131" s="464">
        <f t="shared" si="81"/>
        <v>336.70669032000012</v>
      </c>
      <c r="K131" s="464">
        <f t="shared" si="81"/>
        <v>370.37735935200016</v>
      </c>
    </row>
    <row r="132" spans="2:11">
      <c r="B132" t="str">
        <f t="shared" si="78"/>
        <v>Solutions</v>
      </c>
      <c r="C132" s="464">
        <f t="shared" ref="C132:K132" si="82">D55</f>
        <v>0</v>
      </c>
      <c r="D132" s="464">
        <f t="shared" si="82"/>
        <v>85.449465027787738</v>
      </c>
      <c r="E132" s="464">
        <f t="shared" si="82"/>
        <v>118.09480985217402</v>
      </c>
      <c r="F132" s="464">
        <f t="shared" si="82"/>
        <v>192.58764368504146</v>
      </c>
      <c r="G132" s="464">
        <f t="shared" si="82"/>
        <v>279.29915338835559</v>
      </c>
      <c r="H132" s="464">
        <f t="shared" si="82"/>
        <v>361.71700168970915</v>
      </c>
      <c r="I132" s="464">
        <f t="shared" si="82"/>
        <v>442.11660134475994</v>
      </c>
      <c r="J132" s="464">
        <f t="shared" si="82"/>
        <v>531.67676504723386</v>
      </c>
      <c r="K132" s="464">
        <f t="shared" si="82"/>
        <v>645.65125703827789</v>
      </c>
    </row>
    <row r="133" spans="2:11">
      <c r="B133" t="str">
        <f t="shared" si="78"/>
        <v>Entertainment</v>
      </c>
      <c r="C133" s="464">
        <f t="shared" ref="C133:K133" si="83">D67</f>
        <v>202.34554588695812</v>
      </c>
      <c r="D133" s="464">
        <f t="shared" si="83"/>
        <v>248.39365540698159</v>
      </c>
      <c r="E133" s="464">
        <f t="shared" si="83"/>
        <v>286.51324379244352</v>
      </c>
      <c r="F133" s="464">
        <f t="shared" si="83"/>
        <v>338.77079501017664</v>
      </c>
      <c r="G133" s="464">
        <f t="shared" si="83"/>
        <v>387.39218091272085</v>
      </c>
      <c r="H133" s="464">
        <f t="shared" si="83"/>
        <v>437.26399799726499</v>
      </c>
      <c r="I133" s="464">
        <f t="shared" si="83"/>
        <v>463.85305601124503</v>
      </c>
      <c r="J133" s="464">
        <f t="shared" si="83"/>
        <v>488.47382595495083</v>
      </c>
      <c r="K133" s="464">
        <f t="shared" si="83"/>
        <v>523.94931288314115</v>
      </c>
    </row>
    <row r="134" spans="2:11">
      <c r="B134" t="str">
        <f t="shared" si="78"/>
        <v>Other</v>
      </c>
      <c r="C134" s="464" t="e">
        <f t="shared" ref="C134:K134" si="84">D74</f>
        <v>#REF!</v>
      </c>
      <c r="D134" s="464" t="e">
        <f t="shared" si="84"/>
        <v>#REF!</v>
      </c>
      <c r="E134" s="464" t="e">
        <f t="shared" si="84"/>
        <v>#REF!</v>
      </c>
      <c r="F134" s="464" t="e">
        <f t="shared" si="84"/>
        <v>#REF!</v>
      </c>
      <c r="G134" s="464" t="e">
        <f t="shared" si="84"/>
        <v>#REF!</v>
      </c>
      <c r="H134" s="464" t="e">
        <f t="shared" si="84"/>
        <v>#REF!</v>
      </c>
      <c r="I134" s="464" t="e">
        <f t="shared" si="84"/>
        <v>#REF!</v>
      </c>
      <c r="J134" s="464" t="e">
        <f t="shared" si="84"/>
        <v>#REF!</v>
      </c>
      <c r="K134" s="464" t="e">
        <f t="shared" si="84"/>
        <v>#REF!</v>
      </c>
    </row>
    <row r="135" spans="2:11">
      <c r="B135" s="455" t="str">
        <f t="shared" si="78"/>
        <v>Handsets</v>
      </c>
      <c r="C135" s="490">
        <f t="shared" ref="C135:K135" si="85">D76</f>
        <v>168.54399999999998</v>
      </c>
      <c r="D135" s="490">
        <f t="shared" si="85"/>
        <v>275.86778060096958</v>
      </c>
      <c r="E135" s="490">
        <f t="shared" si="85"/>
        <v>301.74970499321341</v>
      </c>
      <c r="F135" s="490">
        <f t="shared" si="85"/>
        <v>367.7288509308591</v>
      </c>
      <c r="G135" s="490">
        <f t="shared" si="85"/>
        <v>439.96942349414041</v>
      </c>
      <c r="H135" s="490">
        <f t="shared" si="85"/>
        <v>422.95788919023738</v>
      </c>
      <c r="I135" s="490">
        <f t="shared" ca="1" si="85"/>
        <v>391.64249975975179</v>
      </c>
      <c r="J135" s="490">
        <f t="shared" ca="1" si="85"/>
        <v>394.74704785055155</v>
      </c>
      <c r="K135" s="490">
        <f t="shared" ca="1" si="85"/>
        <v>409.6137540611515</v>
      </c>
    </row>
    <row r="136" spans="2:11">
      <c r="B136" t="s">
        <v>523</v>
      </c>
      <c r="C136" s="464" t="e">
        <f>SUM(C128:C135)</f>
        <v>#REF!</v>
      </c>
      <c r="D136" s="464" t="e">
        <f t="shared" ref="D136:K136" si="86">SUM(D128:D135)</f>
        <v>#REF!</v>
      </c>
      <c r="E136" s="464" t="e">
        <f t="shared" si="86"/>
        <v>#REF!</v>
      </c>
      <c r="F136" s="464" t="e">
        <f t="shared" si="86"/>
        <v>#REF!</v>
      </c>
      <c r="G136" s="464" t="e">
        <f t="shared" si="86"/>
        <v>#REF!</v>
      </c>
      <c r="H136" s="464" t="e">
        <f t="shared" si="86"/>
        <v>#REF!</v>
      </c>
      <c r="I136" s="464" t="e">
        <f t="shared" ca="1" si="86"/>
        <v>#REF!</v>
      </c>
      <c r="J136" s="464" t="e">
        <f t="shared" ca="1" si="86"/>
        <v>#REF!</v>
      </c>
      <c r="K136" s="464" t="e">
        <f t="shared" ca="1" si="86"/>
        <v>#REF!</v>
      </c>
    </row>
  </sheetData>
  <phoneticPr fontId="162" type="noConversion"/>
  <pageMargins left="0.75" right="0.75" top="1" bottom="1" header="0.5" footer="0.5"/>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2:AE101"/>
  <sheetViews>
    <sheetView zoomScale="70" zoomScaleNormal="70" workbookViewId="0">
      <selection activeCell="T77" sqref="T77"/>
    </sheetView>
  </sheetViews>
  <sheetFormatPr defaultRowHeight="15"/>
  <cols>
    <col min="2" max="2" width="20" bestFit="1" customWidth="1"/>
  </cols>
  <sheetData>
    <row r="2" spans="2:30">
      <c r="B2" s="790" t="s">
        <v>2378</v>
      </c>
    </row>
    <row r="4" spans="2:30">
      <c r="B4" s="487" t="s">
        <v>3598</v>
      </c>
      <c r="C4" s="495" t="s">
        <v>2531</v>
      </c>
      <c r="D4" s="495" t="s">
        <v>2549</v>
      </c>
      <c r="E4" s="495" t="s">
        <v>2635</v>
      </c>
      <c r="F4" s="495" t="s">
        <v>2639</v>
      </c>
      <c r="G4" s="495" t="s">
        <v>2753</v>
      </c>
      <c r="H4" s="495" t="s">
        <v>2754</v>
      </c>
      <c r="I4" s="495" t="s">
        <v>2755</v>
      </c>
      <c r="J4" s="495" t="s">
        <v>3313</v>
      </c>
      <c r="K4" s="495" t="s">
        <v>3503</v>
      </c>
      <c r="L4" s="495" t="s">
        <v>3591</v>
      </c>
      <c r="M4" s="495" t="s">
        <v>3608</v>
      </c>
      <c r="N4" s="495" t="s">
        <v>3662</v>
      </c>
      <c r="O4" s="508" t="s">
        <v>3699</v>
      </c>
      <c r="P4" s="508" t="s">
        <v>3790</v>
      </c>
      <c r="Q4" s="508" t="s">
        <v>3814</v>
      </c>
      <c r="R4" s="508" t="s">
        <v>3866</v>
      </c>
      <c r="S4" s="508" t="s">
        <v>4082</v>
      </c>
      <c r="T4" s="508" t="s">
        <v>4254</v>
      </c>
      <c r="V4" s="495" t="str">
        <f t="shared" ref="V4:AA4" si="0">G4</f>
        <v>Q1 13</v>
      </c>
      <c r="W4" s="495" t="str">
        <f t="shared" si="0"/>
        <v>Q2 13</v>
      </c>
      <c r="X4" s="495" t="str">
        <f t="shared" si="0"/>
        <v>Q3 13</v>
      </c>
      <c r="Y4" s="495" t="str">
        <f t="shared" si="0"/>
        <v>Q4 13</v>
      </c>
      <c r="Z4" s="495" t="str">
        <f t="shared" si="0"/>
        <v>Q1 14</v>
      </c>
      <c r="AA4" s="495" t="str">
        <f t="shared" si="0"/>
        <v>Q2 14</v>
      </c>
      <c r="AB4" s="495" t="s">
        <v>3608</v>
      </c>
      <c r="AC4" s="495" t="s">
        <v>3662</v>
      </c>
      <c r="AD4" s="508" t="s">
        <v>3699</v>
      </c>
    </row>
    <row r="5" spans="2:30">
      <c r="B5" t="s">
        <v>798</v>
      </c>
      <c r="C5">
        <v>671525</v>
      </c>
      <c r="D5">
        <f>1338843-C5</f>
        <v>667318</v>
      </c>
      <c r="E5">
        <f>2037438-C5-D5</f>
        <v>698595</v>
      </c>
      <c r="F5">
        <f>2825305-C5-D5-E5</f>
        <v>787867</v>
      </c>
      <c r="G5">
        <v>789781</v>
      </c>
      <c r="H5">
        <f>1586342-G5</f>
        <v>796561</v>
      </c>
      <c r="I5">
        <f>2399488-G5-H5</f>
        <v>813146</v>
      </c>
      <c r="J5">
        <f>3245082-G5-H5-I5</f>
        <v>845594</v>
      </c>
      <c r="K5">
        <v>799867</v>
      </c>
      <c r="L5">
        <f>1606169-K5</f>
        <v>806302</v>
      </c>
      <c r="M5" s="454">
        <f>2389127-K5-L5</f>
        <v>782958</v>
      </c>
      <c r="N5" s="454">
        <f>3228925-K5-L5-M5</f>
        <v>839798</v>
      </c>
      <c r="O5" s="454">
        <v>769520</v>
      </c>
      <c r="P5" s="454"/>
      <c r="Q5" s="454"/>
      <c r="R5" s="454"/>
      <c r="S5" s="454"/>
      <c r="T5" s="454"/>
      <c r="V5" s="456">
        <f t="shared" ref="V5:AD6" si="1">G5/C5-1</f>
        <v>0.17610066639365618</v>
      </c>
      <c r="W5" s="456">
        <f t="shared" si="1"/>
        <v>0.19367527925217054</v>
      </c>
      <c r="X5" s="456">
        <f t="shared" si="1"/>
        <v>0.16397340376040481</v>
      </c>
      <c r="Y5" s="456">
        <f t="shared" si="1"/>
        <v>7.3269980847021188E-2</v>
      </c>
      <c r="Z5" s="456">
        <f t="shared" si="1"/>
        <v>1.2770628819888108E-2</v>
      </c>
      <c r="AA5" s="456">
        <f t="shared" si="1"/>
        <v>1.22288186341033E-2</v>
      </c>
      <c r="AB5" s="456">
        <f t="shared" si="1"/>
        <v>-3.7124944351936806E-2</v>
      </c>
      <c r="AC5" s="456">
        <f t="shared" si="1"/>
        <v>-6.8543532711916599E-3</v>
      </c>
      <c r="AD5" s="456">
        <f t="shared" si="1"/>
        <v>-3.7940057534565086E-2</v>
      </c>
    </row>
    <row r="6" spans="2:30">
      <c r="B6" t="s">
        <v>360</v>
      </c>
      <c r="C6">
        <f t="shared" ref="C6:N6" si="2">C8+C9</f>
        <v>383793</v>
      </c>
      <c r="D6">
        <f t="shared" si="2"/>
        <v>363306</v>
      </c>
      <c r="E6">
        <f t="shared" si="2"/>
        <v>383536</v>
      </c>
      <c r="F6">
        <f t="shared" si="2"/>
        <v>418522</v>
      </c>
      <c r="G6">
        <f t="shared" si="2"/>
        <v>400812</v>
      </c>
      <c r="H6">
        <f t="shared" si="2"/>
        <v>388377</v>
      </c>
      <c r="I6">
        <f t="shared" si="2"/>
        <v>398162</v>
      </c>
      <c r="J6">
        <f t="shared" si="2"/>
        <v>460983</v>
      </c>
      <c r="K6">
        <f t="shared" si="2"/>
        <v>389706</v>
      </c>
      <c r="L6">
        <f t="shared" si="2"/>
        <v>308947</v>
      </c>
      <c r="M6">
        <f t="shared" si="2"/>
        <v>216772</v>
      </c>
      <c r="N6">
        <f t="shared" si="2"/>
        <v>313496</v>
      </c>
      <c r="O6">
        <f>O8+O9</f>
        <v>286641</v>
      </c>
      <c r="V6" s="456">
        <f t="shared" si="1"/>
        <v>4.4344216804371062E-2</v>
      </c>
      <c r="W6" s="456">
        <f t="shared" si="1"/>
        <v>6.9007943716866693E-2</v>
      </c>
      <c r="X6" s="456">
        <f t="shared" si="1"/>
        <v>3.8134621000375457E-2</v>
      </c>
      <c r="Y6" s="456">
        <f t="shared" si="1"/>
        <v>0.10145464276668847</v>
      </c>
      <c r="Z6" s="456">
        <f t="shared" si="1"/>
        <v>-2.7708751234992945E-2</v>
      </c>
      <c r="AA6" s="456">
        <f t="shared" si="1"/>
        <v>-0.20451777525445636</v>
      </c>
      <c r="AB6" s="456">
        <f t="shared" si="1"/>
        <v>-0.45556833650624617</v>
      </c>
      <c r="AC6" s="456">
        <f t="shared" si="1"/>
        <v>-0.31994021471507628</v>
      </c>
      <c r="AD6" s="456">
        <f t="shared" si="1"/>
        <v>-0.26446859940570588</v>
      </c>
    </row>
    <row r="7" spans="2:30">
      <c r="B7" t="s">
        <v>1434</v>
      </c>
      <c r="C7" s="456">
        <f t="shared" ref="C7:N7" si="3">C6/C5</f>
        <v>0.57152451509623614</v>
      </c>
      <c r="D7" s="456">
        <f t="shared" si="3"/>
        <v>0.5444270947284503</v>
      </c>
      <c r="E7" s="456">
        <f t="shared" si="3"/>
        <v>0.54901051396016287</v>
      </c>
      <c r="F7" s="456">
        <f t="shared" si="3"/>
        <v>0.53120894770310212</v>
      </c>
      <c r="G7" s="456">
        <f t="shared" si="3"/>
        <v>0.50749764808218989</v>
      </c>
      <c r="H7" s="456">
        <f t="shared" si="3"/>
        <v>0.4875671794124995</v>
      </c>
      <c r="I7" s="456">
        <f t="shared" si="3"/>
        <v>0.48965622409751752</v>
      </c>
      <c r="J7" s="456">
        <f t="shared" si="3"/>
        <v>0.54515878778704674</v>
      </c>
      <c r="K7" s="456">
        <f t="shared" si="3"/>
        <v>0.48721349924424934</v>
      </c>
      <c r="L7" s="456">
        <f t="shared" si="3"/>
        <v>0.38316536483848485</v>
      </c>
      <c r="M7" s="456">
        <f t="shared" si="3"/>
        <v>0.27686287131621362</v>
      </c>
      <c r="N7" s="456">
        <f t="shared" si="3"/>
        <v>0.37329929340150847</v>
      </c>
      <c r="O7" s="456">
        <f>O6/O5</f>
        <v>0.37249324254080468</v>
      </c>
      <c r="P7" s="456"/>
      <c r="Q7" s="456"/>
      <c r="R7" s="456"/>
      <c r="S7" s="456"/>
      <c r="T7" s="456"/>
    </row>
    <row r="8" spans="2:30">
      <c r="B8" t="s">
        <v>1453</v>
      </c>
      <c r="C8">
        <v>57234</v>
      </c>
      <c r="D8">
        <f>116311-C8</f>
        <v>59077</v>
      </c>
      <c r="E8">
        <f>180225-C8-D8</f>
        <v>63914</v>
      </c>
      <c r="F8">
        <f>256891-C8-D8-E8</f>
        <v>76666</v>
      </c>
      <c r="G8">
        <v>78291</v>
      </c>
      <c r="H8">
        <f>158401-G8</f>
        <v>80110</v>
      </c>
      <c r="I8">
        <f>252557-G8-H8</f>
        <v>94156</v>
      </c>
      <c r="J8">
        <f>399307-G8-H8-I8</f>
        <v>146750</v>
      </c>
      <c r="K8">
        <v>108642</v>
      </c>
      <c r="L8">
        <f>200395-K8</f>
        <v>91753</v>
      </c>
      <c r="M8">
        <f>308776-K8-L8</f>
        <v>108381</v>
      </c>
      <c r="N8">
        <f>410713-K8-L8-M8</f>
        <v>101937</v>
      </c>
      <c r="O8">
        <v>106701</v>
      </c>
    </row>
    <row r="9" spans="2:30">
      <c r="B9" t="s">
        <v>2732</v>
      </c>
      <c r="C9">
        <v>326559</v>
      </c>
      <c r="D9">
        <f>630788-C9</f>
        <v>304229</v>
      </c>
      <c r="E9">
        <f>950410-C9-D9</f>
        <v>319622</v>
      </c>
      <c r="F9">
        <f>1292266-C9-D9-E9</f>
        <v>341856</v>
      </c>
      <c r="G9">
        <v>322521</v>
      </c>
      <c r="H9">
        <f>630788-G9</f>
        <v>308267</v>
      </c>
      <c r="I9">
        <f>934794-G9-H9</f>
        <v>304006</v>
      </c>
      <c r="J9">
        <f>1249027-G9-H9-I9</f>
        <v>314233</v>
      </c>
      <c r="K9">
        <v>281064</v>
      </c>
      <c r="L9">
        <f>498258-K9</f>
        <v>217194</v>
      </c>
      <c r="M9">
        <f>606649-K9-L9</f>
        <v>108391</v>
      </c>
      <c r="N9">
        <f>818208-K9-L9-M9</f>
        <v>211559</v>
      </c>
      <c r="O9">
        <v>179940</v>
      </c>
    </row>
    <row r="11" spans="2:30">
      <c r="B11" t="s">
        <v>3606</v>
      </c>
      <c r="C11">
        <v>10385</v>
      </c>
      <c r="D11">
        <f>20361-C11</f>
        <v>9976</v>
      </c>
      <c r="E11">
        <f>37917-C11-D11</f>
        <v>17556</v>
      </c>
      <c r="F11">
        <f>41778-C11-D11-E11</f>
        <v>3861</v>
      </c>
      <c r="G11">
        <v>11857</v>
      </c>
      <c r="H11">
        <f>23907-G11</f>
        <v>12050</v>
      </c>
      <c r="I11">
        <f>35824-G11-H11</f>
        <v>11917</v>
      </c>
      <c r="J11">
        <f>48046-G11-H11-I11</f>
        <v>12222</v>
      </c>
      <c r="K11">
        <v>0</v>
      </c>
      <c r="L11">
        <f>77819-K11</f>
        <v>77819</v>
      </c>
      <c r="M11">
        <f>240718-K11-L11</f>
        <v>162899</v>
      </c>
      <c r="N11">
        <f>321502-K11-L11-M11</f>
        <v>80784</v>
      </c>
      <c r="O11">
        <v>78700</v>
      </c>
    </row>
    <row r="12" spans="2:30">
      <c r="B12" t="s">
        <v>3607</v>
      </c>
      <c r="C12">
        <f>C6+C11</f>
        <v>394178</v>
      </c>
      <c r="D12">
        <f t="shared" ref="D12:L12" si="4">D6+D11</f>
        <v>373282</v>
      </c>
      <c r="E12">
        <f t="shared" si="4"/>
        <v>401092</v>
      </c>
      <c r="F12">
        <f t="shared" si="4"/>
        <v>422383</v>
      </c>
      <c r="G12">
        <f t="shared" si="4"/>
        <v>412669</v>
      </c>
      <c r="H12">
        <f t="shared" si="4"/>
        <v>400427</v>
      </c>
      <c r="I12">
        <f t="shared" si="4"/>
        <v>410079</v>
      </c>
      <c r="J12">
        <f t="shared" si="4"/>
        <v>473205</v>
      </c>
      <c r="K12">
        <v>391531</v>
      </c>
      <c r="L12">
        <f t="shared" si="4"/>
        <v>386766</v>
      </c>
      <c r="M12">
        <f>M6+M11</f>
        <v>379671</v>
      </c>
      <c r="N12">
        <f>N6+N11</f>
        <v>394280</v>
      </c>
      <c r="O12">
        <v>355599</v>
      </c>
      <c r="V12" s="456">
        <f t="shared" ref="V12:AD12" si="5">G12/C12-1</f>
        <v>4.6910279112482245E-2</v>
      </c>
      <c r="W12" s="456">
        <f t="shared" si="5"/>
        <v>7.2719820403877033E-2</v>
      </c>
      <c r="X12" s="456">
        <f t="shared" si="5"/>
        <v>2.2406330717142264E-2</v>
      </c>
      <c r="Y12" s="456">
        <f t="shared" si="5"/>
        <v>0.12032207735633293</v>
      </c>
      <c r="Z12" s="456">
        <f t="shared" si="5"/>
        <v>-5.1222650598906183E-2</v>
      </c>
      <c r="AA12" s="456">
        <f t="shared" si="5"/>
        <v>-3.4116081083443439E-2</v>
      </c>
      <c r="AB12" s="456">
        <f t="shared" si="5"/>
        <v>-7.4151565917786599E-2</v>
      </c>
      <c r="AC12" s="456">
        <f t="shared" si="5"/>
        <v>-0.16678817848501182</v>
      </c>
      <c r="AD12" s="456">
        <f t="shared" si="5"/>
        <v>-9.1773065223443306E-2</v>
      </c>
    </row>
    <row r="13" spans="2:30">
      <c r="B13" t="s">
        <v>1434</v>
      </c>
      <c r="C13" s="456">
        <f>C12/C5</f>
        <v>0.58698931536428278</v>
      </c>
      <c r="D13" s="456">
        <f t="shared" ref="D13:L13" si="6">D12/D5</f>
        <v>0.55937648917008087</v>
      </c>
      <c r="E13" s="456">
        <f t="shared" si="6"/>
        <v>0.5741409543440763</v>
      </c>
      <c r="F13" s="456">
        <f t="shared" si="6"/>
        <v>0.5361095210232184</v>
      </c>
      <c r="G13" s="456">
        <f t="shared" si="6"/>
        <v>0.52251067067959345</v>
      </c>
      <c r="H13" s="456">
        <f t="shared" si="6"/>
        <v>0.50269470887979706</v>
      </c>
      <c r="I13" s="456">
        <f t="shared" si="6"/>
        <v>0.50431164883059132</v>
      </c>
      <c r="J13" s="456">
        <f t="shared" si="6"/>
        <v>0.55961253272847256</v>
      </c>
      <c r="K13" s="456">
        <f t="shared" si="6"/>
        <v>0.48949512856512395</v>
      </c>
      <c r="L13" s="456">
        <f t="shared" si="6"/>
        <v>0.47967883001654466</v>
      </c>
      <c r="M13" s="456">
        <f>M12/M5</f>
        <v>0.48491873127294183</v>
      </c>
      <c r="N13" s="456">
        <f>N12/N5</f>
        <v>0.4694938544745284</v>
      </c>
      <c r="O13" s="456">
        <f>O12/O5</f>
        <v>0.46210494853934919</v>
      </c>
      <c r="P13" s="456"/>
      <c r="Q13" s="456"/>
      <c r="R13" s="456"/>
      <c r="S13" s="456"/>
      <c r="T13" s="456"/>
    </row>
    <row r="14" spans="2:30">
      <c r="F14" s="449">
        <f>SUM(C15:F15)/SUM(C5:F5)</f>
        <v>0.14917008960094574</v>
      </c>
      <c r="J14" s="449">
        <f>SUM(G15:J15)/SUM(G5:J5)</f>
        <v>0.15585522954427655</v>
      </c>
    </row>
    <row r="15" spans="2:30">
      <c r="B15" t="s">
        <v>1545</v>
      </c>
      <c r="C15">
        <v>72827</v>
      </c>
      <c r="D15">
        <f>159964-C15</f>
        <v>87137</v>
      </c>
      <c r="E15">
        <f>209124-C15-D15</f>
        <v>49160</v>
      </c>
      <c r="F15">
        <f>421451-C15-D15-E15</f>
        <v>212327</v>
      </c>
      <c r="G15">
        <v>65894</v>
      </c>
      <c r="H15">
        <f>125398-G15</f>
        <v>59504</v>
      </c>
      <c r="I15">
        <f>235975-G15-H15</f>
        <v>110577</v>
      </c>
      <c r="J15">
        <f>505763-G15-H15-I15</f>
        <v>269788</v>
      </c>
      <c r="K15">
        <v>76278</v>
      </c>
      <c r="L15">
        <f>177166-K15</f>
        <v>100888</v>
      </c>
      <c r="M15">
        <f>385099-K15-L15</f>
        <v>207933</v>
      </c>
      <c r="N15">
        <f>597015-K15-L15-M15</f>
        <v>211916</v>
      </c>
      <c r="O15">
        <v>89792</v>
      </c>
    </row>
    <row r="16" spans="2:30">
      <c r="B16" s="478" t="s">
        <v>1431</v>
      </c>
      <c r="C16" s="456">
        <f>C15/C5</f>
        <v>0.10845016939056625</v>
      </c>
      <c r="D16" s="456">
        <f t="shared" ref="D16:O16" si="7">D15/D5</f>
        <v>0.13057792536691654</v>
      </c>
      <c r="E16" s="456">
        <f t="shared" si="7"/>
        <v>7.0369813697492831E-2</v>
      </c>
      <c r="F16" s="456">
        <f t="shared" si="7"/>
        <v>0.2694959936131352</v>
      </c>
      <c r="G16" s="456">
        <f t="shared" si="7"/>
        <v>8.3433255548056987E-2</v>
      </c>
      <c r="H16" s="456">
        <f t="shared" si="7"/>
        <v>7.47011214458152E-2</v>
      </c>
      <c r="I16" s="456">
        <f t="shared" si="7"/>
        <v>0.13598664938399746</v>
      </c>
      <c r="J16" s="456">
        <f t="shared" si="7"/>
        <v>0.31905145968396181</v>
      </c>
      <c r="K16" s="456">
        <f t="shared" si="7"/>
        <v>9.5363354157628699E-2</v>
      </c>
      <c r="L16" s="456">
        <f t="shared" si="7"/>
        <v>0.12512433306627047</v>
      </c>
      <c r="M16" s="456">
        <f t="shared" si="7"/>
        <v>0.26557363230211584</v>
      </c>
      <c r="N16" s="456">
        <f t="shared" si="7"/>
        <v>0.25234163453592412</v>
      </c>
      <c r="O16" s="456">
        <f t="shared" si="7"/>
        <v>0.11668572616696123</v>
      </c>
      <c r="P16" s="456"/>
      <c r="Q16" s="456"/>
      <c r="R16" s="456"/>
      <c r="S16" s="456"/>
      <c r="T16" s="456"/>
    </row>
    <row r="18" spans="2:31">
      <c r="B18" t="s">
        <v>1552</v>
      </c>
      <c r="C18" s="478">
        <f t="shared" ref="C18:L18" si="8">C6-C15</f>
        <v>310966</v>
      </c>
      <c r="D18" s="478">
        <f t="shared" si="8"/>
        <v>276169</v>
      </c>
      <c r="E18" s="478">
        <f t="shared" si="8"/>
        <v>334376</v>
      </c>
      <c r="F18" s="478">
        <f t="shared" si="8"/>
        <v>206195</v>
      </c>
      <c r="G18" s="478">
        <f t="shared" si="8"/>
        <v>334918</v>
      </c>
      <c r="H18">
        <f t="shared" si="8"/>
        <v>328873</v>
      </c>
      <c r="I18">
        <f t="shared" si="8"/>
        <v>287585</v>
      </c>
      <c r="J18">
        <f t="shared" si="8"/>
        <v>191195</v>
      </c>
      <c r="K18">
        <f t="shared" si="8"/>
        <v>313428</v>
      </c>
      <c r="L18">
        <f t="shared" si="8"/>
        <v>208059</v>
      </c>
      <c r="M18">
        <f>M6-M15</f>
        <v>8839</v>
      </c>
      <c r="N18">
        <f>N6-N15</f>
        <v>101580</v>
      </c>
      <c r="O18">
        <f>O6-O15</f>
        <v>196849</v>
      </c>
      <c r="V18" s="456">
        <f t="shared" ref="V18:AD18" si="9">G18/C18-1</f>
        <v>7.7024497855070928E-2</v>
      </c>
      <c r="W18" s="456">
        <f t="shared" si="9"/>
        <v>0.19083966701548682</v>
      </c>
      <c r="X18" s="456">
        <f t="shared" si="9"/>
        <v>-0.13993528243653852</v>
      </c>
      <c r="Y18" s="456">
        <f t="shared" si="9"/>
        <v>-7.2746671839763355E-2</v>
      </c>
      <c r="Z18" s="456">
        <f t="shared" si="9"/>
        <v>-6.4164959781200182E-2</v>
      </c>
      <c r="AA18" s="456">
        <f t="shared" si="9"/>
        <v>-0.36735761220896823</v>
      </c>
      <c r="AB18" s="456">
        <f t="shared" si="9"/>
        <v>-0.96926473912060784</v>
      </c>
      <c r="AC18" s="456">
        <f t="shared" si="9"/>
        <v>-0.46870995580428354</v>
      </c>
      <c r="AD18" s="456">
        <f t="shared" si="9"/>
        <v>-0.37194826243985857</v>
      </c>
    </row>
    <row r="19" spans="2:31">
      <c r="B19" s="478" t="s">
        <v>1434</v>
      </c>
      <c r="C19" s="509">
        <f>C18/C5</f>
        <v>0.46307434570566991</v>
      </c>
      <c r="D19" s="509">
        <f t="shared" ref="D19:L19" si="10">D18/D5</f>
        <v>0.41384916936153376</v>
      </c>
      <c r="E19" s="509">
        <f t="shared" si="10"/>
        <v>0.47864070026267008</v>
      </c>
      <c r="F19" s="509">
        <f t="shared" si="10"/>
        <v>0.26171295408996698</v>
      </c>
      <c r="G19" s="509">
        <f t="shared" si="10"/>
        <v>0.42406439253413286</v>
      </c>
      <c r="H19" s="509">
        <f t="shared" si="10"/>
        <v>0.4128660579666843</v>
      </c>
      <c r="I19" s="509">
        <f t="shared" si="10"/>
        <v>0.35366957471352006</v>
      </c>
      <c r="J19" s="509">
        <f t="shared" si="10"/>
        <v>0.22610732810308493</v>
      </c>
      <c r="K19" s="509">
        <f t="shared" si="10"/>
        <v>0.39185014508662064</v>
      </c>
      <c r="L19" s="509">
        <f t="shared" si="10"/>
        <v>0.25804103177221438</v>
      </c>
      <c r="M19" s="509">
        <f>M18/M5</f>
        <v>1.1289239014097818E-2</v>
      </c>
      <c r="N19" s="509">
        <f>N18/N5</f>
        <v>0.12095765886558434</v>
      </c>
      <c r="O19" s="509">
        <f>O18/O5</f>
        <v>0.25580751637384341</v>
      </c>
      <c r="P19" s="509"/>
      <c r="Q19" s="509"/>
      <c r="R19" s="509"/>
      <c r="S19" s="509"/>
      <c r="T19" s="509"/>
    </row>
    <row r="20" spans="2:31">
      <c r="C20" s="478"/>
      <c r="D20" s="478"/>
      <c r="E20" s="478"/>
      <c r="F20" s="478"/>
      <c r="G20" s="478"/>
    </row>
    <row r="21" spans="2:31">
      <c r="B21" t="s">
        <v>1936</v>
      </c>
      <c r="C21" s="454">
        <f>0.9*C18</f>
        <v>279869.40000000002</v>
      </c>
      <c r="D21" s="454">
        <f t="shared" ref="D21:L21" si="11">0.9*D18</f>
        <v>248552.1</v>
      </c>
      <c r="E21" s="454">
        <f t="shared" si="11"/>
        <v>300938.40000000002</v>
      </c>
      <c r="F21" s="454">
        <f t="shared" si="11"/>
        <v>185575.5</v>
      </c>
      <c r="G21" s="454">
        <f t="shared" si="11"/>
        <v>301426.2</v>
      </c>
      <c r="H21" s="454">
        <f t="shared" si="11"/>
        <v>295985.7</v>
      </c>
      <c r="I21" s="454">
        <f t="shared" si="11"/>
        <v>258826.5</v>
      </c>
      <c r="J21" s="454">
        <f t="shared" si="11"/>
        <v>172075.5</v>
      </c>
      <c r="K21" s="454">
        <f t="shared" si="11"/>
        <v>282085.2</v>
      </c>
      <c r="L21" s="454">
        <f t="shared" si="11"/>
        <v>187253.1</v>
      </c>
      <c r="M21" s="454">
        <f>0.9*M18</f>
        <v>7955.1</v>
      </c>
      <c r="N21" s="454">
        <f>0.9*N18</f>
        <v>91422</v>
      </c>
      <c r="O21" s="454">
        <f>0.9*O18</f>
        <v>177164.1</v>
      </c>
      <c r="P21" s="454"/>
      <c r="Q21" s="454"/>
      <c r="R21" s="454"/>
      <c r="S21" s="454"/>
      <c r="T21" s="454"/>
    </row>
    <row r="23" spans="2:31">
      <c r="B23" s="478" t="s">
        <v>48</v>
      </c>
      <c r="C23" s="454">
        <v>4439.376923076923</v>
      </c>
      <c r="D23" s="454">
        <v>4401.4692307692312</v>
      </c>
      <c r="E23" s="454">
        <v>4429.5046153846151</v>
      </c>
      <c r="F23" s="454">
        <v>4400.727272727273</v>
      </c>
      <c r="G23" s="454">
        <v>4075.0859375</v>
      </c>
      <c r="H23" s="454">
        <v>4215.7138461538461</v>
      </c>
      <c r="I23" s="454">
        <v>4455.727272727273</v>
      </c>
      <c r="J23" s="454">
        <v>4466.4893939393951</v>
      </c>
      <c r="K23" s="454">
        <v>4527.7453124999984</v>
      </c>
      <c r="L23" s="454">
        <v>4419.9076923076927</v>
      </c>
      <c r="M23" s="454">
        <v>4292.9742424242413</v>
      </c>
      <c r="N23" s="454">
        <v>4615.7257575757576</v>
      </c>
      <c r="O23" s="454">
        <v>4760</v>
      </c>
      <c r="P23" s="454"/>
      <c r="Q23" s="454"/>
      <c r="R23" s="454"/>
      <c r="S23" s="454"/>
      <c r="T23" s="454"/>
    </row>
    <row r="25" spans="2:31">
      <c r="B25" s="478" t="s">
        <v>2602</v>
      </c>
    </row>
    <row r="26" spans="2:31">
      <c r="B26" t="str">
        <f>B5</f>
        <v>Revs</v>
      </c>
      <c r="C26" s="454">
        <f>C5/C$23</f>
        <v>151.26559686996961</v>
      </c>
      <c r="D26" s="454">
        <f t="shared" ref="D26:L26" si="12">D5/D$23</f>
        <v>151.61255594722741</v>
      </c>
      <c r="E26" s="454">
        <f t="shared" si="12"/>
        <v>157.71402462786256</v>
      </c>
      <c r="F26" s="454">
        <f t="shared" si="12"/>
        <v>179.03108990249544</v>
      </c>
      <c r="G26" s="454">
        <f t="shared" si="12"/>
        <v>193.8072011518162</v>
      </c>
      <c r="H26" s="454">
        <f t="shared" si="12"/>
        <v>188.95044328654623</v>
      </c>
      <c r="I26" s="454">
        <f t="shared" si="12"/>
        <v>182.49456266704752</v>
      </c>
      <c r="J26" s="454">
        <f t="shared" si="12"/>
        <v>189.31960325426749</v>
      </c>
      <c r="K26" s="454">
        <f t="shared" si="12"/>
        <v>176.65900901973498</v>
      </c>
      <c r="L26" s="454">
        <f t="shared" si="12"/>
        <v>182.42507675064567</v>
      </c>
      <c r="M26" s="454">
        <f>M5/M$23</f>
        <v>182.38124800810914</v>
      </c>
      <c r="N26" s="454">
        <f>N5/N$23</f>
        <v>181.94278518857962</v>
      </c>
      <c r="O26" s="454">
        <f>O5/O$23</f>
        <v>161.66386554621849</v>
      </c>
      <c r="P26" s="454"/>
      <c r="Q26" s="454"/>
      <c r="R26" s="454"/>
      <c r="S26" s="454"/>
      <c r="T26" s="454"/>
      <c r="AD26" s="454">
        <f>L26</f>
        <v>182.42507675064567</v>
      </c>
      <c r="AE26" s="449">
        <f>AD26/AD$29</f>
        <v>0.30763082082739573</v>
      </c>
    </row>
    <row r="27" spans="2:31">
      <c r="B27" t="str">
        <f>B6</f>
        <v>EBITDA</v>
      </c>
      <c r="C27" s="454">
        <f>C12/C$23</f>
        <v>88.791289144873062</v>
      </c>
      <c r="D27" s="454">
        <f t="shared" ref="D27:O27" si="13">D12/D$23</f>
        <v>84.808499259862515</v>
      </c>
      <c r="E27" s="454">
        <f t="shared" si="13"/>
        <v>90.550080613286156</v>
      </c>
      <c r="F27" s="454">
        <f t="shared" si="13"/>
        <v>95.980271855891587</v>
      </c>
      <c r="G27" s="454">
        <f t="shared" si="13"/>
        <v>101.26633065637036</v>
      </c>
      <c r="H27" s="454">
        <f t="shared" si="13"/>
        <v>94.984388080638965</v>
      </c>
      <c r="I27" s="454">
        <f t="shared" si="13"/>
        <v>92.034133801236408</v>
      </c>
      <c r="J27" s="454">
        <f t="shared" si="13"/>
        <v>105.9456226722702</v>
      </c>
      <c r="K27" s="454">
        <f t="shared" si="13"/>
        <v>86.473724332302567</v>
      </c>
      <c r="L27" s="454">
        <f t="shared" si="13"/>
        <v>87.50544738142807</v>
      </c>
      <c r="M27" s="454">
        <f t="shared" si="13"/>
        <v>88.440083392068033</v>
      </c>
      <c r="N27" s="454">
        <f t="shared" si="13"/>
        <v>85.421019512017381</v>
      </c>
      <c r="O27" s="454">
        <f t="shared" si="13"/>
        <v>74.705672268907563</v>
      </c>
      <c r="P27" s="454"/>
      <c r="Q27" s="454"/>
      <c r="R27" s="454"/>
      <c r="S27" s="454"/>
      <c r="T27" s="454"/>
      <c r="AD27" s="454">
        <f>L45</f>
        <v>292.70278291995629</v>
      </c>
      <c r="AE27" s="449">
        <f>AD27/AD$29</f>
        <v>0.49359659851594651</v>
      </c>
    </row>
    <row r="28" spans="2:31">
      <c r="B28" t="str">
        <f>B15</f>
        <v>Capex</v>
      </c>
      <c r="C28" s="454">
        <f>C15/C$23</f>
        <v>16.404779603513315</v>
      </c>
      <c r="D28" s="454">
        <f t="shared" ref="D28:L28" si="14">D15/D$23</f>
        <v>19.797253015164515</v>
      </c>
      <c r="E28" s="454">
        <f t="shared" si="14"/>
        <v>11.098306530544482</v>
      </c>
      <c r="F28" s="454">
        <f t="shared" si="14"/>
        <v>48.248161460915547</v>
      </c>
      <c r="G28" s="454">
        <f t="shared" si="14"/>
        <v>16.169965740753167</v>
      </c>
      <c r="H28" s="454">
        <f t="shared" si="14"/>
        <v>14.114810011188908</v>
      </c>
      <c r="I28" s="454">
        <f t="shared" si="14"/>
        <v>24.816824107889744</v>
      </c>
      <c r="J28" s="454">
        <f t="shared" si="14"/>
        <v>60.402695765062575</v>
      </c>
      <c r="K28" s="454">
        <f t="shared" si="14"/>
        <v>16.846795642284711</v>
      </c>
      <c r="L28" s="454">
        <f t="shared" si="14"/>
        <v>22.825816062987737</v>
      </c>
      <c r="M28" s="454">
        <f>M15/M$23</f>
        <v>48.435650497306568</v>
      </c>
      <c r="N28" s="454">
        <f>N15/N$23</f>
        <v>45.911739806504706</v>
      </c>
      <c r="O28" s="454">
        <f>O15/O$23</f>
        <v>18.863865546218488</v>
      </c>
      <c r="P28" s="454"/>
      <c r="Q28" s="454"/>
      <c r="R28" s="454"/>
      <c r="S28" s="454"/>
      <c r="T28" s="454"/>
      <c r="AD28" s="454">
        <f>L52</f>
        <v>117.87214032939804</v>
      </c>
      <c r="AE28" s="449">
        <f>AD28/AD$29</f>
        <v>0.19877258065665773</v>
      </c>
    </row>
    <row r="29" spans="2:31">
      <c r="B29" t="str">
        <f>B18</f>
        <v>OpFCF</v>
      </c>
      <c r="C29" s="454">
        <f>C27-C28</f>
        <v>72.386509541359743</v>
      </c>
      <c r="D29" s="454">
        <f t="shared" ref="D29:L29" si="15">D27-D28</f>
        <v>65.011246244698</v>
      </c>
      <c r="E29" s="454">
        <f t="shared" si="15"/>
        <v>79.451774082741679</v>
      </c>
      <c r="F29" s="454">
        <f t="shared" si="15"/>
        <v>47.73211039497604</v>
      </c>
      <c r="G29" s="454">
        <f t="shared" si="15"/>
        <v>85.096364915617187</v>
      </c>
      <c r="H29" s="454">
        <f t="shared" si="15"/>
        <v>80.869578069450057</v>
      </c>
      <c r="I29" s="454">
        <f t="shared" si="15"/>
        <v>67.217309693346664</v>
      </c>
      <c r="J29" s="454">
        <f t="shared" si="15"/>
        <v>45.542926907207629</v>
      </c>
      <c r="K29" s="454">
        <f t="shared" si="15"/>
        <v>69.626928690017849</v>
      </c>
      <c r="L29" s="454">
        <f t="shared" si="15"/>
        <v>64.679631318440329</v>
      </c>
      <c r="M29" s="454">
        <f>M27-M28</f>
        <v>40.004432894761464</v>
      </c>
      <c r="N29" s="454">
        <f>N27-N28</f>
        <v>39.509279705512675</v>
      </c>
      <c r="O29" s="454">
        <f>O27-O28</f>
        <v>55.841806722689071</v>
      </c>
      <c r="P29" s="454"/>
      <c r="Q29" s="454"/>
      <c r="R29" s="454"/>
      <c r="S29" s="454"/>
      <c r="T29" s="454"/>
      <c r="AD29" s="454">
        <f>SUM(AD26:AD28)</f>
        <v>593</v>
      </c>
    </row>
    <row r="31" spans="2:31">
      <c r="B31" s="790" t="s">
        <v>1665</v>
      </c>
    </row>
    <row r="32" spans="2:31">
      <c r="B32" s="478"/>
      <c r="C32" s="478" t="s">
        <v>1823</v>
      </c>
    </row>
    <row r="33" spans="2:31">
      <c r="B33" s="487" t="s">
        <v>3599</v>
      </c>
      <c r="C33" s="495" t="str">
        <f>C4</f>
        <v>Q1 12</v>
      </c>
      <c r="D33" s="495" t="str">
        <f t="shared" ref="D33:N33" si="16">D4</f>
        <v>Q2 12</v>
      </c>
      <c r="E33" s="495" t="str">
        <f t="shared" si="16"/>
        <v>Q3 12</v>
      </c>
      <c r="F33" s="495" t="str">
        <f t="shared" si="16"/>
        <v>Q4 12</v>
      </c>
      <c r="G33" s="495" t="str">
        <f t="shared" si="16"/>
        <v>Q1 13</v>
      </c>
      <c r="H33" s="495" t="str">
        <f t="shared" si="16"/>
        <v>Q2 13</v>
      </c>
      <c r="I33" s="495" t="str">
        <f t="shared" si="16"/>
        <v>Q3 13</v>
      </c>
      <c r="J33" s="495" t="str">
        <f t="shared" si="16"/>
        <v>Q4 13</v>
      </c>
      <c r="K33" s="495" t="str">
        <f t="shared" si="16"/>
        <v>Q1 14</v>
      </c>
      <c r="L33" s="495" t="str">
        <f t="shared" si="16"/>
        <v>Q2 14</v>
      </c>
      <c r="M33" s="495" t="str">
        <f t="shared" si="16"/>
        <v>Q3 14</v>
      </c>
      <c r="N33" s="495" t="str">
        <f t="shared" si="16"/>
        <v>Q4 14</v>
      </c>
      <c r="O33" s="508" t="s">
        <v>3699</v>
      </c>
      <c r="P33" s="506"/>
      <c r="Q33" s="506"/>
      <c r="R33" s="506"/>
      <c r="S33" s="506"/>
      <c r="T33" s="506"/>
      <c r="V33" s="495" t="str">
        <f t="shared" ref="V33:AA33" si="17">V4</f>
        <v>Q1 13</v>
      </c>
      <c r="W33" s="495" t="str">
        <f t="shared" si="17"/>
        <v>Q2 13</v>
      </c>
      <c r="X33" s="495" t="str">
        <f t="shared" si="17"/>
        <v>Q3 13</v>
      </c>
      <c r="Y33" s="495" t="str">
        <f t="shared" si="17"/>
        <v>Q4 13</v>
      </c>
      <c r="Z33" s="495" t="str">
        <f t="shared" si="17"/>
        <v>Q1 14</v>
      </c>
      <c r="AA33" s="495" t="str">
        <f t="shared" si="17"/>
        <v>Q2 14</v>
      </c>
      <c r="AB33" s="495" t="str">
        <f>AB4</f>
        <v>Q3 14</v>
      </c>
      <c r="AC33" s="495" t="str">
        <f>AC4</f>
        <v>Q4 14</v>
      </c>
      <c r="AD33" s="495" t="str">
        <f>AD4</f>
        <v>Q1 15</v>
      </c>
    </row>
    <row r="34" spans="2:31">
      <c r="B34" s="478" t="s">
        <v>758</v>
      </c>
      <c r="C34">
        <v>370</v>
      </c>
      <c r="D34">
        <v>375</v>
      </c>
      <c r="E34">
        <v>390</v>
      </c>
      <c r="F34" s="535">
        <f>Colombia!I56-C34-D34-E34</f>
        <v>401.69000000000005</v>
      </c>
      <c r="G34">
        <v>430</v>
      </c>
      <c r="H34" s="478">
        <v>440</v>
      </c>
      <c r="I34">
        <v>462</v>
      </c>
      <c r="J34" s="535">
        <f>Colombia!J56-G34-H34-I34</f>
        <v>480.99900000000002</v>
      </c>
      <c r="K34">
        <v>540</v>
      </c>
      <c r="L34">
        <v>560</v>
      </c>
      <c r="M34">
        <v>590</v>
      </c>
      <c r="N34" s="454">
        <f>Colombia!K56-K34-L34-M34</f>
        <v>656.65027999999984</v>
      </c>
      <c r="O34" s="454">
        <f>O35/O36</f>
        <v>669.26084837545125</v>
      </c>
      <c r="P34" s="454"/>
      <c r="Q34" s="454"/>
      <c r="R34" s="454"/>
      <c r="S34" s="454"/>
      <c r="T34" s="454"/>
      <c r="V34" s="456">
        <f t="shared" ref="V34:AD35" si="18">G34/C34-1</f>
        <v>0.16216216216216206</v>
      </c>
      <c r="W34" s="456">
        <f t="shared" si="18"/>
        <v>0.17333333333333334</v>
      </c>
      <c r="X34" s="456">
        <f t="shared" si="18"/>
        <v>0.18461538461538463</v>
      </c>
      <c r="Y34" s="456">
        <f t="shared" si="18"/>
        <v>0.19743832308496589</v>
      </c>
      <c r="Z34" s="456">
        <f t="shared" si="18"/>
        <v>0.2558139534883721</v>
      </c>
      <c r="AA34" s="456">
        <f t="shared" si="18"/>
        <v>0.27272727272727271</v>
      </c>
      <c r="AB34" s="456">
        <f t="shared" si="18"/>
        <v>0.277056277056277</v>
      </c>
      <c r="AC34" s="456">
        <f t="shared" si="18"/>
        <v>0.36518013550963691</v>
      </c>
      <c r="AD34" s="456">
        <f t="shared" si="18"/>
        <v>0.23937194143602092</v>
      </c>
    </row>
    <row r="35" spans="2:31">
      <c r="B35" s="478" t="s">
        <v>360</v>
      </c>
      <c r="C35" s="454">
        <f t="shared" ref="C35:I35" si="19">C36*C34</f>
        <v>92.5</v>
      </c>
      <c r="D35" s="454">
        <f t="shared" si="19"/>
        <v>90</v>
      </c>
      <c r="E35" s="454">
        <f t="shared" si="19"/>
        <v>93.6</v>
      </c>
      <c r="F35" s="454">
        <f t="shared" si="19"/>
        <v>98.141856609288212</v>
      </c>
      <c r="G35" s="454">
        <f t="shared" si="19"/>
        <v>98.9</v>
      </c>
      <c r="H35" s="454">
        <f t="shared" si="19"/>
        <v>101.2</v>
      </c>
      <c r="I35" s="454">
        <f t="shared" si="19"/>
        <v>106.26</v>
      </c>
      <c r="J35" s="454">
        <f>J36*J34</f>
        <v>110.62977000000001</v>
      </c>
      <c r="K35" s="454">
        <f>K36*K34</f>
        <v>135</v>
      </c>
      <c r="L35" s="454">
        <f>L36*L34</f>
        <v>140</v>
      </c>
      <c r="M35" s="454">
        <f>M36*M34</f>
        <v>153.4</v>
      </c>
      <c r="N35" s="454">
        <f>N36*N34</f>
        <v>174.66897447999997</v>
      </c>
      <c r="O35" s="953">
        <f>0.319*O38</f>
        <v>185.385255</v>
      </c>
      <c r="P35" s="953"/>
      <c r="Q35" s="953"/>
      <c r="R35" s="953"/>
      <c r="S35" s="953"/>
      <c r="T35" s="953"/>
      <c r="V35" s="456">
        <f t="shared" si="18"/>
        <v>6.9189189189189149E-2</v>
      </c>
      <c r="W35" s="456">
        <f t="shared" si="18"/>
        <v>0.12444444444444458</v>
      </c>
      <c r="X35" s="456">
        <f t="shared" si="18"/>
        <v>0.13525641025641044</v>
      </c>
      <c r="Y35" s="456">
        <f t="shared" si="18"/>
        <v>0.12724350060369582</v>
      </c>
      <c r="Z35" s="456">
        <f t="shared" si="18"/>
        <v>0.36501516683518709</v>
      </c>
      <c r="AA35" s="456">
        <f t="shared" si="18"/>
        <v>0.38339920948616601</v>
      </c>
      <c r="AB35" s="456">
        <f t="shared" si="18"/>
        <v>0.44362883493318273</v>
      </c>
      <c r="AC35" s="456">
        <f t="shared" si="18"/>
        <v>0.57886050454592786</v>
      </c>
      <c r="AD35" s="456">
        <f t="shared" si="18"/>
        <v>0.3732241111111112</v>
      </c>
    </row>
    <row r="36" spans="2:31">
      <c r="B36" s="478" t="s">
        <v>1434</v>
      </c>
      <c r="C36" s="449">
        <v>0.25</v>
      </c>
      <c r="D36" s="449">
        <v>0.24</v>
      </c>
      <c r="E36" s="449">
        <v>0.24</v>
      </c>
      <c r="F36" s="538">
        <f>Colombia!I60</f>
        <v>0.24432237946995991</v>
      </c>
      <c r="G36" s="449">
        <v>0.23</v>
      </c>
      <c r="H36" s="449">
        <v>0.23</v>
      </c>
      <c r="I36" s="449">
        <v>0.23</v>
      </c>
      <c r="J36" s="538">
        <v>0.23</v>
      </c>
      <c r="K36" s="449">
        <v>0.25</v>
      </c>
      <c r="L36" s="449">
        <v>0.25</v>
      </c>
      <c r="M36" s="449">
        <v>0.26</v>
      </c>
      <c r="N36" s="449">
        <v>0.26600000000000001</v>
      </c>
      <c r="O36" s="449">
        <v>0.27700000000000002</v>
      </c>
      <c r="P36" s="449"/>
      <c r="Q36" s="449"/>
      <c r="R36" s="449"/>
      <c r="S36" s="449"/>
      <c r="T36" s="449"/>
    </row>
    <row r="37" spans="2:31">
      <c r="B37" s="478"/>
    </row>
    <row r="38" spans="2:31">
      <c r="B38" s="478" t="s">
        <v>3667</v>
      </c>
      <c r="G38">
        <v>425</v>
      </c>
      <c r="H38">
        <v>445</v>
      </c>
      <c r="I38">
        <v>460</v>
      </c>
      <c r="J38">
        <v>460</v>
      </c>
      <c r="K38" s="454">
        <v>548.25</v>
      </c>
      <c r="L38" s="454">
        <v>560.70000000000005</v>
      </c>
      <c r="M38" s="454">
        <v>556.6</v>
      </c>
      <c r="N38" s="454">
        <v>529</v>
      </c>
      <c r="O38" s="454">
        <f>(1+AD38)*K38</f>
        <v>581.14499999999998</v>
      </c>
      <c r="P38" s="454"/>
      <c r="Q38" s="454"/>
      <c r="R38" s="454"/>
      <c r="S38" s="454"/>
      <c r="T38" s="454"/>
      <c r="Z38" s="595">
        <v>0.28999999999999998</v>
      </c>
      <c r="AA38" s="595">
        <v>0.26</v>
      </c>
      <c r="AB38" s="595">
        <v>0.21</v>
      </c>
      <c r="AC38" s="595">
        <v>0.15</v>
      </c>
      <c r="AD38" s="595">
        <v>0.06</v>
      </c>
      <c r="AE38" s="595">
        <v>0.04</v>
      </c>
    </row>
    <row r="39" spans="2:31">
      <c r="B39" s="478"/>
    </row>
    <row r="40" spans="2:31">
      <c r="B40" s="478" t="s">
        <v>1545</v>
      </c>
    </row>
    <row r="41" spans="2:31">
      <c r="B41" s="478" t="s">
        <v>1552</v>
      </c>
    </row>
    <row r="42" spans="2:31">
      <c r="B42" s="478"/>
    </row>
    <row r="43" spans="2:31">
      <c r="B43" s="478" t="s">
        <v>3600</v>
      </c>
      <c r="C43" s="454">
        <v>1798.2390769230769</v>
      </c>
      <c r="D43" s="454">
        <v>1786.5210769230771</v>
      </c>
      <c r="E43" s="454">
        <v>1798.4019999999991</v>
      </c>
      <c r="F43" s="454">
        <v>1805.9493939393944</v>
      </c>
      <c r="G43" s="454">
        <v>1792.163125</v>
      </c>
      <c r="H43" s="454">
        <v>1862.0321538461537</v>
      </c>
      <c r="I43" s="454">
        <v>1907.5406060606063</v>
      </c>
      <c r="J43" s="454">
        <v>1913.3450000000003</v>
      </c>
      <c r="K43" s="454">
        <v>2005.0587500000006</v>
      </c>
      <c r="L43" s="454">
        <v>1913.2035384615388</v>
      </c>
      <c r="M43" s="454">
        <v>1911.1348484848486</v>
      </c>
      <c r="N43" s="454">
        <v>2180.2565151515159</v>
      </c>
      <c r="O43" s="454">
        <v>2473</v>
      </c>
      <c r="P43" s="454"/>
      <c r="Q43" s="454"/>
      <c r="R43" s="454"/>
      <c r="S43" s="454"/>
      <c r="T43" s="454"/>
    </row>
    <row r="45" spans="2:31">
      <c r="B45" t="str">
        <f>B34</f>
        <v>Revenue</v>
      </c>
      <c r="C45" s="454">
        <f>C34/C$43*1000</f>
        <v>205.7568455430843</v>
      </c>
      <c r="D45" s="454">
        <f t="shared" ref="D45:M45" si="20">D34/D$43*1000</f>
        <v>209.90516420095196</v>
      </c>
      <c r="E45" s="454">
        <f t="shared" si="20"/>
        <v>216.85918943595493</v>
      </c>
      <c r="F45" s="454">
        <f t="shared" si="20"/>
        <v>222.42594468484887</v>
      </c>
      <c r="G45" s="454">
        <f t="shared" si="20"/>
        <v>239.93351609664438</v>
      </c>
      <c r="H45" s="454">
        <f t="shared" si="20"/>
        <v>236.30096778465946</v>
      </c>
      <c r="I45" s="454">
        <f t="shared" si="20"/>
        <v>242.19667908098066</v>
      </c>
      <c r="J45" s="454">
        <f t="shared" si="20"/>
        <v>251.39167269885982</v>
      </c>
      <c r="K45" s="454">
        <f t="shared" si="20"/>
        <v>269.31879178103873</v>
      </c>
      <c r="L45" s="454">
        <f t="shared" si="20"/>
        <v>292.70278291995629</v>
      </c>
      <c r="M45" s="454">
        <f t="shared" si="20"/>
        <v>308.71709574431816</v>
      </c>
      <c r="N45" s="454">
        <f>N34/N$43*1000</f>
        <v>301.18028563917227</v>
      </c>
      <c r="O45" s="454">
        <f>O34/O$43*1000</f>
        <v>270.62711216152496</v>
      </c>
      <c r="P45" s="454"/>
      <c r="Q45" s="454"/>
      <c r="R45" s="454"/>
      <c r="S45" s="454"/>
      <c r="T45" s="454"/>
    </row>
    <row r="46" spans="2:31">
      <c r="B46" t="str">
        <f>B35</f>
        <v>EBITDA</v>
      </c>
      <c r="C46" s="454">
        <f t="shared" ref="C46:L46" si="21">C35/C$43*1000</f>
        <v>51.439211385771074</v>
      </c>
      <c r="D46" s="454">
        <f t="shared" si="21"/>
        <v>50.377239408228469</v>
      </c>
      <c r="E46" s="454">
        <f t="shared" si="21"/>
        <v>52.046205464629175</v>
      </c>
      <c r="F46" s="454">
        <f t="shared" si="21"/>
        <v>54.34363606125595</v>
      </c>
      <c r="G46" s="454">
        <f t="shared" si="21"/>
        <v>55.184708702228214</v>
      </c>
      <c r="H46" s="454">
        <f t="shared" si="21"/>
        <v>54.349222590471676</v>
      </c>
      <c r="I46" s="454">
        <f t="shared" si="21"/>
        <v>55.705236188625548</v>
      </c>
      <c r="J46" s="454">
        <f t="shared" si="21"/>
        <v>57.820084720737761</v>
      </c>
      <c r="K46" s="454">
        <f t="shared" si="21"/>
        <v>67.329697945259682</v>
      </c>
      <c r="L46" s="454">
        <f t="shared" si="21"/>
        <v>73.175695729989073</v>
      </c>
      <c r="M46" s="454">
        <f>M35/M$43*1000</f>
        <v>80.266444893522717</v>
      </c>
      <c r="N46" s="454">
        <f>N35/N$43*1000</f>
        <v>80.113955980019824</v>
      </c>
      <c r="O46" s="454">
        <f>O35/O$43*1000</f>
        <v>74.963710068742415</v>
      </c>
      <c r="P46" s="454"/>
      <c r="Q46" s="454"/>
      <c r="R46" s="454"/>
      <c r="S46" s="454"/>
      <c r="T46" s="454"/>
    </row>
    <row r="47" spans="2:31">
      <c r="B47" t="str">
        <f>B36</f>
        <v>% margin</v>
      </c>
      <c r="C47" s="456">
        <f>C46/C45</f>
        <v>0.25</v>
      </c>
      <c r="D47" s="456">
        <f t="shared" ref="D47:M47" si="22">D46/D45</f>
        <v>0.24</v>
      </c>
      <c r="E47" s="456">
        <f t="shared" si="22"/>
        <v>0.23999999999999996</v>
      </c>
      <c r="F47" s="456">
        <f t="shared" si="22"/>
        <v>0.24432237946995988</v>
      </c>
      <c r="G47" s="456">
        <f t="shared" si="22"/>
        <v>0.23000000000000004</v>
      </c>
      <c r="H47" s="456">
        <f t="shared" si="22"/>
        <v>0.23</v>
      </c>
      <c r="I47" s="456">
        <f t="shared" si="22"/>
        <v>0.22999999999999998</v>
      </c>
      <c r="J47" s="456">
        <f t="shared" si="22"/>
        <v>0.23</v>
      </c>
      <c r="K47" s="456">
        <f t="shared" si="22"/>
        <v>0.25</v>
      </c>
      <c r="L47" s="456">
        <f t="shared" si="22"/>
        <v>0.25</v>
      </c>
      <c r="M47" s="456">
        <f t="shared" si="22"/>
        <v>0.26</v>
      </c>
      <c r="N47" s="456">
        <f>N46/N45</f>
        <v>0.26600000000000001</v>
      </c>
      <c r="O47" s="456">
        <f>O46/O45</f>
        <v>0.27700000000000002</v>
      </c>
      <c r="P47" s="456"/>
      <c r="Q47" s="456"/>
      <c r="R47" s="456"/>
      <c r="S47" s="456"/>
      <c r="T47" s="456"/>
    </row>
    <row r="49" spans="2:30">
      <c r="B49" s="790" t="s">
        <v>3601</v>
      </c>
    </row>
    <row r="51" spans="2:30">
      <c r="B51" s="487" t="s">
        <v>494</v>
      </c>
      <c r="C51" s="495" t="str">
        <f>C33</f>
        <v>Q1 12</v>
      </c>
      <c r="D51" s="495" t="str">
        <f t="shared" ref="D51:L51" si="23">D33</f>
        <v>Q2 12</v>
      </c>
      <c r="E51" s="495" t="str">
        <f t="shared" si="23"/>
        <v>Q3 12</v>
      </c>
      <c r="F51" s="495" t="str">
        <f t="shared" si="23"/>
        <v>Q4 12</v>
      </c>
      <c r="G51" s="495" t="str">
        <f t="shared" si="23"/>
        <v>Q1 13</v>
      </c>
      <c r="H51" s="495" t="str">
        <f t="shared" si="23"/>
        <v>Q2 13</v>
      </c>
      <c r="I51" s="495" t="str">
        <f t="shared" si="23"/>
        <v>Q3 13</v>
      </c>
      <c r="J51" s="495" t="str">
        <f t="shared" si="23"/>
        <v>Q4 13</v>
      </c>
      <c r="K51" s="495" t="str">
        <f t="shared" si="23"/>
        <v>Q1 14</v>
      </c>
      <c r="L51" s="495" t="str">
        <f t="shared" si="23"/>
        <v>Q2 14</v>
      </c>
      <c r="M51" s="495" t="str">
        <f>M33</f>
        <v>Q3 14</v>
      </c>
      <c r="N51" s="495" t="str">
        <f>N33</f>
        <v>Q4 14</v>
      </c>
      <c r="O51" s="495" t="str">
        <f>O33</f>
        <v>Q1 15</v>
      </c>
      <c r="P51" s="493"/>
      <c r="Q51" s="493"/>
      <c r="R51" s="493"/>
      <c r="S51" s="493"/>
      <c r="T51" s="493"/>
      <c r="V51" s="495" t="str">
        <f t="shared" ref="V51:AA51" si="24">V33</f>
        <v>Q1 13</v>
      </c>
      <c r="W51" s="495" t="str">
        <f t="shared" si="24"/>
        <v>Q2 13</v>
      </c>
      <c r="X51" s="495" t="str">
        <f t="shared" si="24"/>
        <v>Q3 13</v>
      </c>
      <c r="Y51" s="495" t="str">
        <f t="shared" si="24"/>
        <v>Q4 13</v>
      </c>
      <c r="Z51" s="495" t="str">
        <f t="shared" si="24"/>
        <v>Q1 14</v>
      </c>
      <c r="AA51" s="495" t="str">
        <f t="shared" si="24"/>
        <v>Q2 14</v>
      </c>
      <c r="AB51" s="495" t="str">
        <f>AB33</f>
        <v>Q3 14</v>
      </c>
      <c r="AC51" s="495" t="str">
        <f>AC33</f>
        <v>Q4 14</v>
      </c>
      <c r="AD51" s="495" t="str">
        <f>AD33</f>
        <v>Q1 15</v>
      </c>
    </row>
    <row r="52" spans="2:30">
      <c r="B52" t="str">
        <f>B34</f>
        <v>Revenue</v>
      </c>
      <c r="C52" s="454">
        <f>Quarts!AW227-'LatAm quarts'!C45-'LatAm quarts'!C26</f>
        <v>97.977557586946091</v>
      </c>
      <c r="D52" s="454">
        <f>Quarts!AX227-'LatAm quarts'!D45-'LatAm quarts'!D26</f>
        <v>104.48227985182064</v>
      </c>
      <c r="E52" s="454">
        <f>Quarts!AY227-'LatAm quarts'!E45-'LatAm quarts'!E26</f>
        <v>105.42678593618251</v>
      </c>
      <c r="F52" s="454">
        <f>Quarts!AZ227-'LatAm quarts'!F45-'LatAm quarts'!F26</f>
        <v>124.54296541265566</v>
      </c>
      <c r="G52" s="454">
        <f>Quarts!BB227-'LatAm quarts'!G45-'LatAm quarts'!G26</f>
        <v>95.259282751539416</v>
      </c>
      <c r="H52" s="535">
        <f>Quarts!BC227-3.5-'LatAm quarts'!H45-'LatAm quarts'!H26</f>
        <v>106.74858892879431</v>
      </c>
      <c r="I52" s="454">
        <f>Quarts!BD227-'LatAm quarts'!I45-'LatAm quarts'!I26</f>
        <v>117.30875825197185</v>
      </c>
      <c r="J52" s="454">
        <f>Quarts!BE227-'LatAm quarts'!J45-'LatAm quarts'!J26</f>
        <v>148.28872404687272</v>
      </c>
      <c r="K52" s="454">
        <f>Quarts!BG227-'LatAm quarts'!K45-'LatAm quarts'!K26</f>
        <v>114.02219919922629</v>
      </c>
      <c r="L52" s="454">
        <f>Quarts!BH227-'LatAm quarts'!L45-'LatAm quarts'!L26</f>
        <v>117.87214032939804</v>
      </c>
      <c r="M52" s="454">
        <f>Quarts!BI227-'LatAm quarts'!M45-'LatAm quarts'!M26</f>
        <v>318.9016562475727</v>
      </c>
      <c r="N52" s="454">
        <f>Quarts!BJ227-'LatAm quarts'!N45-'LatAm quarts'!N26</f>
        <v>476.87692917224808</v>
      </c>
      <c r="O52" s="454">
        <f>Quarts!BL227-'LatAm quarts'!O45-'LatAm quarts'!O26</f>
        <v>399.70902229225646</v>
      </c>
      <c r="P52" s="454"/>
      <c r="Q52" s="454"/>
      <c r="R52" s="454"/>
      <c r="S52" s="454"/>
      <c r="T52" s="454"/>
      <c r="V52" s="456">
        <f t="shared" ref="V52:AB52" si="25">G52/C52-1</f>
        <v>-2.7743851779469586E-2</v>
      </c>
      <c r="W52" s="456">
        <f t="shared" si="25"/>
        <v>2.1690846334783354E-2</v>
      </c>
      <c r="X52" s="456">
        <f t="shared" si="25"/>
        <v>0.11270354312974873</v>
      </c>
      <c r="Y52" s="456">
        <f t="shared" si="25"/>
        <v>0.19066318643962599</v>
      </c>
      <c r="Z52" s="456">
        <f t="shared" si="25"/>
        <v>0.19696680371429376</v>
      </c>
      <c r="AA52" s="456">
        <f t="shared" si="25"/>
        <v>0.10420326406397362</v>
      </c>
      <c r="AB52" s="456">
        <f t="shared" si="25"/>
        <v>1.718481219983524</v>
      </c>
    </row>
    <row r="53" spans="2:30">
      <c r="B53" t="str">
        <f>B35</f>
        <v>EBITDA</v>
      </c>
      <c r="C53" s="454">
        <f>Quarts!AW305-'LatAm quarts'!C46-'LatAm quarts'!C27</f>
        <v>45.769499469355864</v>
      </c>
      <c r="D53" s="454">
        <f>Quarts!AX305-'LatAm quarts'!D46-'LatAm quarts'!D27</f>
        <v>49.814261331909023</v>
      </c>
      <c r="E53" s="454">
        <f>Quarts!AY305-8-'LatAm quarts'!E46-'LatAm quarts'!E27</f>
        <v>38.403713922084677</v>
      </c>
      <c r="F53" s="454">
        <f>Quarts!AZ305-'LatAm quarts'!F46-'LatAm quarts'!F27</f>
        <v>53.676092082852463</v>
      </c>
      <c r="G53" s="454">
        <f>Quarts!BB305-'LatAm quarts'!G46-'LatAm quarts'!G27</f>
        <v>39.548960641401422</v>
      </c>
      <c r="H53" s="454">
        <f>Quarts!BC305-'LatAm quarts'!H46-'LatAm quarts'!H27</f>
        <v>39.666389328889366</v>
      </c>
      <c r="I53" s="454">
        <f>Quarts!BD305-'LatAm quarts'!I46-'LatAm quarts'!I27</f>
        <v>50.260630010138044</v>
      </c>
      <c r="J53" s="454">
        <f>Quarts!BE305-'LatAm quarts'!J46-'LatAm quarts'!J27</f>
        <v>58.234292606992042</v>
      </c>
      <c r="K53" s="454">
        <f>Quarts!BG305-'LatAm quarts'!K46-'LatAm quarts'!K27</f>
        <v>44.543271628532864</v>
      </c>
      <c r="L53" s="454">
        <f>Quarts!BH305-'LatAm quarts'!L46-'LatAm quarts'!L27</f>
        <v>37.145565190992599</v>
      </c>
      <c r="M53" s="454">
        <f>Quarts!BI305-'LatAm quarts'!M46-'LatAm quarts'!M27</f>
        <v>103.75347171440924</v>
      </c>
      <c r="N53" s="454">
        <f>Quarts!BJ305-'LatAm quarts'!N46-'LatAm quarts'!N27</f>
        <v>141.7620616752437</v>
      </c>
      <c r="O53" s="454">
        <f>Quarts!BL305-'LatAm quarts'!O46-'LatAm quarts'!O27</f>
        <v>128.83061766235002</v>
      </c>
      <c r="P53" s="454"/>
      <c r="Q53" s="454"/>
      <c r="R53" s="454"/>
      <c r="S53" s="454"/>
      <c r="T53" s="454"/>
      <c r="V53" s="456">
        <f t="shared" ref="V53:AA53" si="26">G53/C53-1</f>
        <v>-0.13591013447982514</v>
      </c>
      <c r="W53" s="456">
        <f t="shared" si="26"/>
        <v>-0.20371419211468533</v>
      </c>
      <c r="X53" s="456">
        <f t="shared" si="26"/>
        <v>0.30874399575283928</v>
      </c>
      <c r="Y53" s="456">
        <f t="shared" si="26"/>
        <v>8.4920499001747585E-2</v>
      </c>
      <c r="Z53" s="456">
        <f t="shared" si="26"/>
        <v>0.12628172538883864</v>
      </c>
      <c r="AA53" s="456">
        <f t="shared" si="26"/>
        <v>-6.3550632677848218E-2</v>
      </c>
    </row>
    <row r="54" spans="2:30">
      <c r="B54" s="478" t="s">
        <v>1434</v>
      </c>
      <c r="C54" s="456">
        <f>C53/C52</f>
        <v>0.46714268651511986</v>
      </c>
      <c r="D54" s="456">
        <f t="shared" ref="D54:L54" si="27">D53/D52</f>
        <v>0.47677234266477381</v>
      </c>
      <c r="E54" s="456">
        <f t="shared" si="27"/>
        <v>0.36426903828151808</v>
      </c>
      <c r="F54" s="456">
        <f t="shared" si="27"/>
        <v>0.4309845353770424</v>
      </c>
      <c r="G54" s="456">
        <f t="shared" si="27"/>
        <v>0.41517172394164703</v>
      </c>
      <c r="H54" s="456">
        <f t="shared" si="27"/>
        <v>0.3715870132517487</v>
      </c>
      <c r="I54" s="456">
        <f t="shared" si="27"/>
        <v>0.42844737902843849</v>
      </c>
      <c r="J54" s="456">
        <f t="shared" si="27"/>
        <v>0.39270883866115613</v>
      </c>
      <c r="K54" s="456">
        <f t="shared" si="27"/>
        <v>0.39065438082547627</v>
      </c>
      <c r="L54" s="456">
        <f t="shared" si="27"/>
        <v>0.31513439127505405</v>
      </c>
      <c r="M54" s="456">
        <f>M53/M52</f>
        <v>0.32534629307118551</v>
      </c>
      <c r="N54" s="456">
        <f>N53/N52</f>
        <v>0.29727179698399542</v>
      </c>
      <c r="O54" s="456">
        <f>O53/O52</f>
        <v>0.32231100745119673</v>
      </c>
      <c r="P54" s="456"/>
      <c r="Q54" s="456"/>
      <c r="R54" s="456"/>
      <c r="S54" s="456"/>
      <c r="T54" s="456"/>
    </row>
    <row r="56" spans="2:30">
      <c r="B56" s="790" t="s">
        <v>2379</v>
      </c>
    </row>
    <row r="58" spans="2:30">
      <c r="B58" s="638" t="s">
        <v>914</v>
      </c>
      <c r="C58" s="495" t="str">
        <f t="shared" ref="C58:T58" si="28">C4</f>
        <v>Q1 12</v>
      </c>
      <c r="D58" s="495" t="str">
        <f t="shared" si="28"/>
        <v>Q2 12</v>
      </c>
      <c r="E58" s="495" t="str">
        <f t="shared" si="28"/>
        <v>Q3 12</v>
      </c>
      <c r="F58" s="495" t="str">
        <f t="shared" si="28"/>
        <v>Q4 12</v>
      </c>
      <c r="G58" s="495" t="str">
        <f t="shared" si="28"/>
        <v>Q1 13</v>
      </c>
      <c r="H58" s="495" t="str">
        <f t="shared" si="28"/>
        <v>Q2 13</v>
      </c>
      <c r="I58" s="495" t="str">
        <f t="shared" si="28"/>
        <v>Q3 13</v>
      </c>
      <c r="J58" s="495" t="str">
        <f t="shared" si="28"/>
        <v>Q4 13</v>
      </c>
      <c r="K58" s="495" t="str">
        <f t="shared" si="28"/>
        <v>Q1 14</v>
      </c>
      <c r="L58" s="495" t="str">
        <f t="shared" si="28"/>
        <v>Q2 14</v>
      </c>
      <c r="M58" s="495" t="str">
        <f t="shared" si="28"/>
        <v>Q3 14</v>
      </c>
      <c r="N58" s="495" t="str">
        <f t="shared" si="28"/>
        <v>Q4 14</v>
      </c>
      <c r="O58" s="495" t="str">
        <f t="shared" si="28"/>
        <v>Q1 15</v>
      </c>
      <c r="P58" s="495" t="str">
        <f t="shared" si="28"/>
        <v>Q2 15</v>
      </c>
      <c r="Q58" s="495" t="str">
        <f t="shared" si="28"/>
        <v>Q3 15</v>
      </c>
      <c r="R58" s="495" t="str">
        <f t="shared" si="28"/>
        <v>Q4 15</v>
      </c>
      <c r="S58" s="495" t="str">
        <f t="shared" si="28"/>
        <v>Q1 16</v>
      </c>
      <c r="T58" s="495" t="str">
        <f t="shared" si="28"/>
        <v>Q2 16</v>
      </c>
      <c r="V58" s="495" t="str">
        <f t="shared" ref="V58:AA58" si="29">V51</f>
        <v>Q1 13</v>
      </c>
      <c r="W58" s="495" t="str">
        <f t="shared" si="29"/>
        <v>Q2 13</v>
      </c>
      <c r="X58" s="495" t="str">
        <f t="shared" si="29"/>
        <v>Q3 13</v>
      </c>
      <c r="Y58" s="495" t="str">
        <f t="shared" si="29"/>
        <v>Q4 13</v>
      </c>
      <c r="Z58" s="495" t="str">
        <f t="shared" si="29"/>
        <v>Q1 14</v>
      </c>
      <c r="AA58" s="495" t="str">
        <f t="shared" si="29"/>
        <v>Q2 14</v>
      </c>
      <c r="AB58" s="495" t="str">
        <f>AB51</f>
        <v>Q3 14</v>
      </c>
      <c r="AC58" s="495" t="str">
        <f>AC51</f>
        <v>Q4 14</v>
      </c>
      <c r="AD58" s="495" t="str">
        <f>AD51</f>
        <v>Q1 15</v>
      </c>
    </row>
    <row r="59" spans="2:30">
      <c r="B59" t="str">
        <f>B5</f>
        <v>Revs</v>
      </c>
      <c r="F59" s="478">
        <f>1129-C59-D59-E59</f>
        <v>1129</v>
      </c>
      <c r="G59">
        <v>281</v>
      </c>
      <c r="H59">
        <f>567-G59</f>
        <v>286</v>
      </c>
      <c r="I59" s="523">
        <v>290</v>
      </c>
      <c r="J59" s="478">
        <f>1164-G59-H59-I59</f>
        <v>307</v>
      </c>
      <c r="K59">
        <v>302</v>
      </c>
      <c r="L59">
        <f>613-K59</f>
        <v>311</v>
      </c>
      <c r="M59">
        <f>917-K59-L59</f>
        <v>304</v>
      </c>
      <c r="N59">
        <f>1246-K59-L59-M59</f>
        <v>329</v>
      </c>
      <c r="O59">
        <v>317</v>
      </c>
      <c r="Z59" s="456">
        <f t="shared" ref="Z59:AD61" si="30">K59/G59-1</f>
        <v>7.4733096085409345E-2</v>
      </c>
      <c r="AA59" s="456">
        <f t="shared" si="30"/>
        <v>8.7412587412587506E-2</v>
      </c>
      <c r="AB59" s="456">
        <f t="shared" si="30"/>
        <v>4.8275862068965614E-2</v>
      </c>
      <c r="AC59" s="456">
        <f t="shared" si="30"/>
        <v>7.1661237785016318E-2</v>
      </c>
      <c r="AD59" s="456">
        <f t="shared" si="30"/>
        <v>4.9668874172185351E-2</v>
      </c>
    </row>
    <row r="60" spans="2:30">
      <c r="B60" t="s">
        <v>1583</v>
      </c>
      <c r="F60" s="478">
        <f>F59-F61</f>
        <v>507</v>
      </c>
      <c r="G60" s="478">
        <f t="shared" ref="G60:O60" si="31">G59-G61</f>
        <v>129</v>
      </c>
      <c r="H60" s="478">
        <f t="shared" si="31"/>
        <v>137</v>
      </c>
      <c r="I60" s="478">
        <f t="shared" si="31"/>
        <v>142</v>
      </c>
      <c r="J60" s="478">
        <f t="shared" si="31"/>
        <v>153</v>
      </c>
      <c r="K60" s="478">
        <f t="shared" si="31"/>
        <v>149.5</v>
      </c>
      <c r="L60" s="478">
        <f t="shared" si="31"/>
        <v>153.5</v>
      </c>
      <c r="M60" s="478">
        <f t="shared" si="31"/>
        <v>144</v>
      </c>
      <c r="N60" s="478">
        <f t="shared" si="31"/>
        <v>165</v>
      </c>
      <c r="O60" s="478">
        <f t="shared" si="31"/>
        <v>154</v>
      </c>
      <c r="P60" s="478"/>
      <c r="Q60" s="478"/>
      <c r="R60" s="478"/>
      <c r="S60" s="478"/>
      <c r="T60" s="478"/>
      <c r="Z60" s="456">
        <f t="shared" si="30"/>
        <v>0.1589147286821706</v>
      </c>
      <c r="AA60" s="456">
        <f t="shared" si="30"/>
        <v>0.12043795620437958</v>
      </c>
      <c r="AB60" s="456">
        <f t="shared" si="30"/>
        <v>1.4084507042253502E-2</v>
      </c>
      <c r="AC60" s="456">
        <f t="shared" si="30"/>
        <v>7.8431372549019551E-2</v>
      </c>
      <c r="AD60" s="456">
        <f t="shared" si="30"/>
        <v>3.0100334448160515E-2</v>
      </c>
    </row>
    <row r="61" spans="2:30">
      <c r="B61" t="str">
        <f>B6</f>
        <v>EBITDA</v>
      </c>
      <c r="F61">
        <f>622-C61-D61-E61</f>
        <v>622</v>
      </c>
      <c r="G61">
        <v>152</v>
      </c>
      <c r="H61">
        <f>301-G61</f>
        <v>149</v>
      </c>
      <c r="I61" s="523">
        <v>148</v>
      </c>
      <c r="J61">
        <f>603-G61-H61-I61</f>
        <v>154</v>
      </c>
      <c r="K61">
        <v>152.5</v>
      </c>
      <c r="L61">
        <f>310-K61</f>
        <v>157.5</v>
      </c>
      <c r="M61">
        <f>470-K61-L61</f>
        <v>160</v>
      </c>
      <c r="N61">
        <f>634-K61-L61-M61</f>
        <v>164</v>
      </c>
      <c r="O61">
        <v>163</v>
      </c>
      <c r="Z61" s="456">
        <f t="shared" si="30"/>
        <v>3.2894736842106198E-3</v>
      </c>
      <c r="AA61" s="456">
        <f t="shared" si="30"/>
        <v>5.7046979865771785E-2</v>
      </c>
      <c r="AB61" s="456">
        <f t="shared" si="30"/>
        <v>8.1081081081081141E-2</v>
      </c>
      <c r="AC61" s="456">
        <f t="shared" si="30"/>
        <v>6.4935064935064846E-2</v>
      </c>
      <c r="AD61" s="456">
        <f t="shared" si="30"/>
        <v>6.8852459016393475E-2</v>
      </c>
    </row>
    <row r="62" spans="2:30">
      <c r="B62" t="str">
        <f>B7</f>
        <v>% margin</v>
      </c>
      <c r="C62" s="456"/>
      <c r="D62" s="456"/>
      <c r="E62" s="456"/>
      <c r="F62" s="456">
        <f t="shared" ref="F62:O62" si="32">F61/F59</f>
        <v>0.55093002657218781</v>
      </c>
      <c r="G62" s="456">
        <f t="shared" si="32"/>
        <v>0.54092526690391463</v>
      </c>
      <c r="H62" s="456">
        <f t="shared" si="32"/>
        <v>0.52097902097902093</v>
      </c>
      <c r="I62" s="456">
        <f t="shared" si="32"/>
        <v>0.51034482758620692</v>
      </c>
      <c r="J62" s="456">
        <f t="shared" si="32"/>
        <v>0.50162866449511401</v>
      </c>
      <c r="K62" s="456">
        <f t="shared" si="32"/>
        <v>0.50496688741721851</v>
      </c>
      <c r="L62" s="456">
        <f t="shared" si="32"/>
        <v>0.50643086816720262</v>
      </c>
      <c r="M62" s="456">
        <f t="shared" si="32"/>
        <v>0.52631578947368418</v>
      </c>
      <c r="N62" s="456">
        <f t="shared" si="32"/>
        <v>0.49848024316109424</v>
      </c>
      <c r="O62" s="456">
        <f t="shared" si="32"/>
        <v>0.51419558359621453</v>
      </c>
      <c r="P62" s="456"/>
      <c r="Q62" s="456"/>
      <c r="R62" s="456"/>
      <c r="S62" s="456"/>
      <c r="T62" s="456"/>
    </row>
    <row r="63" spans="2:30">
      <c r="N63" s="449">
        <f>155/SUM(K60:N60)</f>
        <v>0.25326797385620914</v>
      </c>
    </row>
    <row r="64" spans="2:30">
      <c r="B64" t="str">
        <f>B15</f>
        <v>Capex</v>
      </c>
      <c r="F64" s="454">
        <f>205.8-C64-D64-E64</f>
        <v>205.8</v>
      </c>
      <c r="G64">
        <v>39</v>
      </c>
      <c r="H64">
        <f>89-G64</f>
        <v>50</v>
      </c>
      <c r="I64">
        <f>156-G64-H64</f>
        <v>67</v>
      </c>
      <c r="J64">
        <f>196.2-G64-H64-I64</f>
        <v>40.199999999999989</v>
      </c>
      <c r="K64">
        <v>38</v>
      </c>
      <c r="L64">
        <f>81-K64</f>
        <v>43</v>
      </c>
      <c r="M64">
        <f>136-K64-L64</f>
        <v>55</v>
      </c>
      <c r="N64">
        <f>204.3-K64-L64-M64</f>
        <v>68.300000000000011</v>
      </c>
      <c r="O64">
        <v>27.1</v>
      </c>
    </row>
    <row r="65" spans="2:30">
      <c r="B65" t="str">
        <f>B16</f>
        <v>as % sales</v>
      </c>
      <c r="F65" s="456">
        <f t="shared" ref="F65:O65" si="33">F64/F59</f>
        <v>0.18228520814880425</v>
      </c>
      <c r="G65" s="456">
        <f t="shared" si="33"/>
        <v>0.13879003558718861</v>
      </c>
      <c r="H65" s="456">
        <f t="shared" si="33"/>
        <v>0.17482517482517482</v>
      </c>
      <c r="I65" s="456">
        <f t="shared" si="33"/>
        <v>0.23103448275862068</v>
      </c>
      <c r="J65" s="456">
        <f t="shared" si="33"/>
        <v>0.13094462540716609</v>
      </c>
      <c r="K65" s="456">
        <f t="shared" si="33"/>
        <v>0.12582781456953643</v>
      </c>
      <c r="L65" s="456">
        <f t="shared" si="33"/>
        <v>0.13826366559485531</v>
      </c>
      <c r="M65" s="456">
        <f t="shared" si="33"/>
        <v>0.18092105263157895</v>
      </c>
      <c r="N65" s="456">
        <f t="shared" si="33"/>
        <v>0.2075987841945289</v>
      </c>
      <c r="O65" s="456">
        <f t="shared" si="33"/>
        <v>8.5488958990536282E-2</v>
      </c>
      <c r="P65" s="456"/>
      <c r="Q65" s="456"/>
      <c r="R65" s="456"/>
      <c r="S65" s="456"/>
      <c r="T65" s="456"/>
    </row>
    <row r="67" spans="2:30">
      <c r="B67" t="str">
        <f>B18</f>
        <v>OpFCF</v>
      </c>
      <c r="F67" s="478">
        <f t="shared" ref="F67:K67" si="34">F61-F64</f>
        <v>416.2</v>
      </c>
      <c r="G67" s="478">
        <f t="shared" si="34"/>
        <v>113</v>
      </c>
      <c r="H67" s="478">
        <f t="shared" si="34"/>
        <v>99</v>
      </c>
      <c r="I67" s="478">
        <f t="shared" si="34"/>
        <v>81</v>
      </c>
      <c r="J67" s="478">
        <f t="shared" si="34"/>
        <v>113.80000000000001</v>
      </c>
      <c r="K67" s="478">
        <f t="shared" si="34"/>
        <v>114.5</v>
      </c>
      <c r="L67" s="478">
        <f>L61-L64</f>
        <v>114.5</v>
      </c>
      <c r="M67" s="478">
        <f>M61-M64</f>
        <v>105</v>
      </c>
      <c r="N67" s="478">
        <f>N61-N64</f>
        <v>95.699999999999989</v>
      </c>
      <c r="O67" s="478">
        <f>O61-O64</f>
        <v>135.9</v>
      </c>
      <c r="P67" s="478"/>
      <c r="Q67" s="478"/>
      <c r="R67" s="478"/>
      <c r="S67" s="478"/>
      <c r="T67" s="478"/>
    </row>
    <row r="68" spans="2:30">
      <c r="B68" t="str">
        <f>B19</f>
        <v>% margin</v>
      </c>
      <c r="F68" s="456">
        <f t="shared" ref="F68:K68" si="35">F67/F59</f>
        <v>0.36864481842338354</v>
      </c>
      <c r="G68" s="456">
        <f t="shared" si="35"/>
        <v>0.40213523131672596</v>
      </c>
      <c r="H68" s="456">
        <f t="shared" si="35"/>
        <v>0.34615384615384615</v>
      </c>
      <c r="I68" s="456">
        <f t="shared" si="35"/>
        <v>0.27931034482758621</v>
      </c>
      <c r="J68" s="456">
        <f t="shared" si="35"/>
        <v>0.37068403908794795</v>
      </c>
      <c r="K68" s="456">
        <f t="shared" si="35"/>
        <v>0.37913907284768211</v>
      </c>
      <c r="L68" s="456">
        <f>L67/L59</f>
        <v>0.36816720257234725</v>
      </c>
      <c r="M68" s="456">
        <f>M67/M59</f>
        <v>0.34539473684210525</v>
      </c>
      <c r="N68" s="456">
        <f>N67/N59</f>
        <v>0.29088145896656531</v>
      </c>
      <c r="O68" s="456">
        <f>O67/O59</f>
        <v>0.42870662460567827</v>
      </c>
      <c r="P68" s="456"/>
      <c r="Q68" s="456"/>
      <c r="R68" s="456"/>
      <c r="S68" s="456"/>
      <c r="T68" s="456"/>
    </row>
    <row r="70" spans="2:30">
      <c r="B70" s="450" t="s">
        <v>2170</v>
      </c>
      <c r="F70" s="531">
        <v>7.88</v>
      </c>
      <c r="G70" s="531">
        <v>7.8419414062500028</v>
      </c>
      <c r="H70" s="531">
        <v>7.8012576923076944</v>
      </c>
      <c r="I70" s="531">
        <v>7.887117424242426</v>
      </c>
      <c r="J70" s="531">
        <v>7.9096515151515119</v>
      </c>
      <c r="K70" s="531">
        <v>7.7810468750000004</v>
      </c>
      <c r="L70" s="531">
        <v>7.7633000000000001</v>
      </c>
      <c r="M70" s="531">
        <v>7.7674393939393935</v>
      </c>
      <c r="N70" s="531">
        <v>7.628557121212121</v>
      </c>
      <c r="O70" s="531">
        <v>7.64</v>
      </c>
      <c r="P70" s="531"/>
      <c r="Q70" s="531"/>
      <c r="R70" s="531"/>
      <c r="S70" s="531"/>
      <c r="T70" s="531"/>
    </row>
    <row r="71" spans="2:30">
      <c r="B71" s="478" t="s">
        <v>758</v>
      </c>
      <c r="F71" s="454">
        <f>F59*F70</f>
        <v>8896.52</v>
      </c>
      <c r="G71" s="454">
        <f t="shared" ref="G71:O71" si="36">G59*G70</f>
        <v>2203.5855351562509</v>
      </c>
      <c r="H71" s="454">
        <f t="shared" si="36"/>
        <v>2231.1597000000006</v>
      </c>
      <c r="I71" s="454">
        <f t="shared" si="36"/>
        <v>2287.2640530303033</v>
      </c>
      <c r="J71" s="454">
        <f t="shared" si="36"/>
        <v>2428.2630151515141</v>
      </c>
      <c r="K71" s="454">
        <f t="shared" si="36"/>
        <v>2349.8761562499999</v>
      </c>
      <c r="L71" s="454">
        <f t="shared" si="36"/>
        <v>2414.3863000000001</v>
      </c>
      <c r="M71" s="454">
        <f t="shared" si="36"/>
        <v>2361.3015757575758</v>
      </c>
      <c r="N71" s="454">
        <f t="shared" si="36"/>
        <v>2509.7952928787877</v>
      </c>
      <c r="O71" s="454">
        <f t="shared" si="36"/>
        <v>2421.88</v>
      </c>
      <c r="P71" s="454"/>
      <c r="Q71" s="454"/>
      <c r="R71" s="454"/>
      <c r="S71" s="454"/>
      <c r="T71" s="454"/>
      <c r="Z71" s="456">
        <f t="shared" ref="Z71:AD72" si="37">K71/G71-1</f>
        <v>6.6387539199097123E-2</v>
      </c>
      <c r="AA71" s="456">
        <f t="shared" si="37"/>
        <v>8.2121687658664344E-2</v>
      </c>
      <c r="AB71" s="456">
        <f t="shared" si="37"/>
        <v>3.2369468942242685E-2</v>
      </c>
      <c r="AC71" s="456">
        <f t="shared" si="37"/>
        <v>3.357637834886118E-2</v>
      </c>
      <c r="AD71" s="456">
        <f t="shared" si="37"/>
        <v>3.0641548303935284E-2</v>
      </c>
    </row>
    <row r="72" spans="2:30">
      <c r="B72" s="478" t="s">
        <v>360</v>
      </c>
      <c r="F72" s="454">
        <f>F61+F71</f>
        <v>9518.52</v>
      </c>
      <c r="G72" s="454">
        <f t="shared" ref="G72:O72" si="38">G61+G71</f>
        <v>2355.5855351562509</v>
      </c>
      <c r="H72" s="454">
        <f t="shared" si="38"/>
        <v>2380.1597000000006</v>
      </c>
      <c r="I72" s="454">
        <f t="shared" si="38"/>
        <v>2435.2640530303033</v>
      </c>
      <c r="J72" s="454">
        <f t="shared" si="38"/>
        <v>2582.2630151515141</v>
      </c>
      <c r="K72" s="454">
        <f t="shared" si="38"/>
        <v>2502.3761562499999</v>
      </c>
      <c r="L72" s="454">
        <f t="shared" si="38"/>
        <v>2571.8863000000001</v>
      </c>
      <c r="M72" s="454">
        <f t="shared" si="38"/>
        <v>2521.3015757575758</v>
      </c>
      <c r="N72" s="454">
        <f t="shared" si="38"/>
        <v>2673.7952928787877</v>
      </c>
      <c r="O72" s="454">
        <f t="shared" si="38"/>
        <v>2584.88</v>
      </c>
      <c r="P72" s="454"/>
      <c r="Q72" s="454"/>
      <c r="R72" s="454"/>
      <c r="S72" s="454"/>
      <c r="T72" s="454"/>
      <c r="Z72" s="456">
        <f t="shared" si="37"/>
        <v>6.2315979998583293E-2</v>
      </c>
      <c r="AA72" s="456">
        <f t="shared" si="37"/>
        <v>8.0551989851773254E-2</v>
      </c>
      <c r="AB72" s="456">
        <f t="shared" si="37"/>
        <v>3.532985370527375E-2</v>
      </c>
      <c r="AC72" s="456">
        <f t="shared" si="37"/>
        <v>3.5446535534995771E-2</v>
      </c>
      <c r="AD72" s="456">
        <f t="shared" si="37"/>
        <v>3.2970200560749507E-2</v>
      </c>
    </row>
    <row r="74" spans="2:30">
      <c r="B74" s="790" t="s">
        <v>2376</v>
      </c>
      <c r="C74" s="450" t="s">
        <v>3795</v>
      </c>
      <c r="X74" s="478" t="s">
        <v>1823</v>
      </c>
    </row>
    <row r="76" spans="2:30">
      <c r="B76" s="638" t="s">
        <v>2602</v>
      </c>
      <c r="C76" s="495" t="str">
        <f>C58</f>
        <v>Q1 12</v>
      </c>
      <c r="D76" s="495" t="str">
        <f t="shared" ref="D76:T76" si="39">D58</f>
        <v>Q2 12</v>
      </c>
      <c r="E76" s="495" t="str">
        <f t="shared" si="39"/>
        <v>Q3 12</v>
      </c>
      <c r="F76" s="495" t="str">
        <f t="shared" si="39"/>
        <v>Q4 12</v>
      </c>
      <c r="G76" s="495" t="str">
        <f t="shared" si="39"/>
        <v>Q1 13</v>
      </c>
      <c r="H76" s="495" t="str">
        <f t="shared" si="39"/>
        <v>Q2 13</v>
      </c>
      <c r="I76" s="495" t="str">
        <f t="shared" si="39"/>
        <v>Q3 13</v>
      </c>
      <c r="J76" s="495" t="str">
        <f t="shared" si="39"/>
        <v>Q4 13</v>
      </c>
      <c r="K76" s="495" t="str">
        <f t="shared" si="39"/>
        <v>Q1 14</v>
      </c>
      <c r="L76" s="495" t="str">
        <f t="shared" si="39"/>
        <v>Q2 14</v>
      </c>
      <c r="M76" s="495" t="str">
        <f t="shared" si="39"/>
        <v>Q3 14</v>
      </c>
      <c r="N76" s="495" t="str">
        <f t="shared" si="39"/>
        <v>Q4 14</v>
      </c>
      <c r="O76" s="495" t="str">
        <f t="shared" si="39"/>
        <v>Q1 15</v>
      </c>
      <c r="P76" s="495" t="str">
        <f t="shared" si="39"/>
        <v>Q2 15</v>
      </c>
      <c r="Q76" s="495" t="str">
        <f t="shared" si="39"/>
        <v>Q3 15</v>
      </c>
      <c r="R76" s="495" t="str">
        <f t="shared" si="39"/>
        <v>Q4 15</v>
      </c>
      <c r="S76" s="495" t="str">
        <f t="shared" si="39"/>
        <v>Q1 16</v>
      </c>
      <c r="T76" s="495" t="str">
        <f t="shared" si="39"/>
        <v>Q2 16</v>
      </c>
      <c r="V76" s="495" t="str">
        <f t="shared" ref="V76:AA76" si="40">V58</f>
        <v>Q1 13</v>
      </c>
      <c r="W76" s="495" t="str">
        <f t="shared" si="40"/>
        <v>Q2 13</v>
      </c>
      <c r="X76" s="495" t="str">
        <f t="shared" si="40"/>
        <v>Q3 13</v>
      </c>
      <c r="Y76" s="495" t="str">
        <f t="shared" si="40"/>
        <v>Q4 13</v>
      </c>
      <c r="Z76" s="495" t="str">
        <f t="shared" si="40"/>
        <v>Q1 14</v>
      </c>
      <c r="AA76" s="495" t="str">
        <f t="shared" si="40"/>
        <v>Q2 14</v>
      </c>
    </row>
    <row r="77" spans="2:30">
      <c r="B77" s="478" t="s">
        <v>1908</v>
      </c>
      <c r="C77" s="454">
        <v>60</v>
      </c>
      <c r="D77" s="454">
        <f>119-C77</f>
        <v>59</v>
      </c>
      <c r="E77" s="454">
        <f>174-C77-D77</f>
        <v>55</v>
      </c>
      <c r="F77" s="485">
        <f>232-C77-D77-E77</f>
        <v>58</v>
      </c>
      <c r="G77" s="454">
        <v>55.3</v>
      </c>
      <c r="H77" s="454">
        <f>112-G77</f>
        <v>56.7</v>
      </c>
      <c r="I77" s="485">
        <f>166-G77-H77</f>
        <v>54</v>
      </c>
      <c r="J77" s="485">
        <f>218.5-G77-H77-I77</f>
        <v>52.499999999999986</v>
      </c>
      <c r="K77" s="454">
        <v>50.6</v>
      </c>
      <c r="L77" s="454">
        <f>100-K77</f>
        <v>49.4</v>
      </c>
      <c r="M77" s="454">
        <f>148-K77-L77</f>
        <v>48.000000000000007</v>
      </c>
      <c r="N77" s="454"/>
      <c r="O77" s="454"/>
      <c r="P77" s="454"/>
      <c r="Q77" s="454"/>
      <c r="R77" s="454"/>
      <c r="S77" s="454"/>
      <c r="T77" s="454"/>
      <c r="V77" s="456">
        <f t="shared" ref="V77:X79" si="41">G77/C77-1</f>
        <v>-7.8333333333333366E-2</v>
      </c>
      <c r="W77" s="456">
        <f t="shared" si="41"/>
        <v>-3.8983050847457568E-2</v>
      </c>
      <c r="X77" s="456">
        <f t="shared" si="41"/>
        <v>-1.8181818181818188E-2</v>
      </c>
      <c r="Y77" s="456">
        <f t="shared" ref="Y77:Y82" si="42">J77/F77-1</f>
        <v>-9.4827586206896797E-2</v>
      </c>
      <c r="Z77" s="456">
        <f t="shared" ref="Z77:AA79" si="43">K77/G77-1</f>
        <v>-8.4990958408679873E-2</v>
      </c>
      <c r="AA77" s="456">
        <f t="shared" si="43"/>
        <v>-0.12874779541446213</v>
      </c>
    </row>
    <row r="78" spans="2:30">
      <c r="B78" s="478" t="s">
        <v>896</v>
      </c>
      <c r="C78" s="454">
        <v>36</v>
      </c>
      <c r="D78" s="454">
        <f>73-C78</f>
        <v>37</v>
      </c>
      <c r="E78" s="454">
        <f>110-C78-D78</f>
        <v>37</v>
      </c>
      <c r="F78" s="485">
        <f>136-C78-D78-E78</f>
        <v>26</v>
      </c>
      <c r="G78" s="454">
        <v>35.9</v>
      </c>
      <c r="H78" s="454">
        <f>72-G78</f>
        <v>36.1</v>
      </c>
      <c r="I78" s="454">
        <f>107-G78-H78</f>
        <v>34.999999999999993</v>
      </c>
      <c r="J78" s="485">
        <f>144-G78-H78-I78</f>
        <v>37.000000000000007</v>
      </c>
      <c r="K78" s="454">
        <v>35.9</v>
      </c>
      <c r="L78" s="454">
        <f>71-K78</f>
        <v>35.1</v>
      </c>
      <c r="M78" s="454">
        <f>107-K78-L78</f>
        <v>35.999999999999993</v>
      </c>
      <c r="N78" s="454"/>
      <c r="O78" s="454"/>
      <c r="P78" s="454"/>
      <c r="Q78" s="454"/>
      <c r="R78" s="454"/>
      <c r="S78" s="454"/>
      <c r="T78" s="454"/>
      <c r="V78" s="456">
        <f t="shared" si="41"/>
        <v>-2.7777777777777679E-3</v>
      </c>
      <c r="W78" s="456">
        <f t="shared" si="41"/>
        <v>-2.4324324324324298E-2</v>
      </c>
      <c r="X78" s="456">
        <f t="shared" si="41"/>
        <v>-5.4054054054054279E-2</v>
      </c>
      <c r="Y78" s="456">
        <f t="shared" si="42"/>
        <v>0.42307692307692335</v>
      </c>
      <c r="Z78" s="456">
        <f t="shared" si="43"/>
        <v>0</v>
      </c>
      <c r="AA78" s="456">
        <f t="shared" si="43"/>
        <v>-2.7700831024930705E-2</v>
      </c>
    </row>
    <row r="79" spans="2:30">
      <c r="B79" s="478" t="s">
        <v>915</v>
      </c>
      <c r="C79" s="454">
        <v>12</v>
      </c>
      <c r="D79" s="454">
        <f>23-C79</f>
        <v>11</v>
      </c>
      <c r="E79" s="454">
        <f>35-C79-D79</f>
        <v>12</v>
      </c>
      <c r="F79" s="485">
        <f>46.4-C79-D79-E79</f>
        <v>11.399999999999999</v>
      </c>
      <c r="G79" s="454">
        <v>11.7</v>
      </c>
      <c r="H79" s="454">
        <f>24-G79</f>
        <v>12.3</v>
      </c>
      <c r="I79" s="454">
        <f>36-G79-H79</f>
        <v>12</v>
      </c>
      <c r="J79" s="485">
        <f>48-G79-H79-I79</f>
        <v>11.999999999999996</v>
      </c>
      <c r="K79" s="454">
        <v>12.5</v>
      </c>
      <c r="L79" s="454">
        <f>25-K79</f>
        <v>12.5</v>
      </c>
      <c r="M79" s="454">
        <f>38-K79-L79</f>
        <v>13</v>
      </c>
      <c r="N79" s="454"/>
      <c r="O79" s="454"/>
      <c r="P79" s="454"/>
      <c r="Q79" s="454"/>
      <c r="R79" s="454"/>
      <c r="S79" s="454"/>
      <c r="T79" s="454"/>
      <c r="V79" s="456">
        <f t="shared" si="41"/>
        <v>-2.5000000000000022E-2</v>
      </c>
      <c r="W79" s="456">
        <f t="shared" si="41"/>
        <v>0.11818181818181817</v>
      </c>
      <c r="X79" s="456">
        <f t="shared" si="41"/>
        <v>0</v>
      </c>
      <c r="Y79" s="456">
        <f t="shared" si="42"/>
        <v>5.2631578947368141E-2</v>
      </c>
      <c r="Z79" s="456">
        <f t="shared" si="43"/>
        <v>6.8376068376068355E-2</v>
      </c>
      <c r="AA79" s="456">
        <f t="shared" si="43"/>
        <v>1.6260162601625883E-2</v>
      </c>
    </row>
    <row r="80" spans="2:30">
      <c r="B80" s="478" t="s">
        <v>3602</v>
      </c>
      <c r="C80" s="454"/>
      <c r="D80" s="454"/>
      <c r="E80" s="454"/>
      <c r="F80" s="485">
        <f>11.6-C80-D80-E80</f>
        <v>11.6</v>
      </c>
      <c r="G80" s="454">
        <v>3</v>
      </c>
      <c r="H80" s="454">
        <f>6-G80</f>
        <v>3</v>
      </c>
      <c r="I80" s="454"/>
      <c r="J80" s="485">
        <f>11-G80-H80-I80</f>
        <v>5</v>
      </c>
      <c r="K80" s="454">
        <v>3</v>
      </c>
      <c r="L80" s="454">
        <f>6-K80</f>
        <v>3</v>
      </c>
      <c r="M80" s="454">
        <f>9-K80-L80</f>
        <v>3</v>
      </c>
      <c r="N80" s="454"/>
      <c r="O80" s="454"/>
      <c r="P80" s="454"/>
      <c r="Q80" s="454"/>
      <c r="R80" s="454"/>
      <c r="S80" s="454"/>
      <c r="T80" s="454"/>
      <c r="V80" s="456"/>
      <c r="W80" s="456"/>
      <c r="X80" s="456"/>
      <c r="Y80" s="456"/>
      <c r="Z80" s="456"/>
      <c r="AA80" s="456"/>
    </row>
    <row r="81" spans="2:27">
      <c r="B81" s="487" t="s">
        <v>3090</v>
      </c>
      <c r="C81" s="462">
        <v>3</v>
      </c>
      <c r="D81" s="462">
        <f>5-C81</f>
        <v>2</v>
      </c>
      <c r="E81" s="462">
        <f>8-C81-D81</f>
        <v>3</v>
      </c>
      <c r="F81" s="676">
        <f>10.3-C81-D81-E81</f>
        <v>2.3000000000000007</v>
      </c>
      <c r="G81" s="462">
        <v>2.1</v>
      </c>
      <c r="H81" s="462">
        <f>5-G81</f>
        <v>2.9</v>
      </c>
      <c r="I81" s="462">
        <f>7-G81-H81</f>
        <v>2.0000000000000004</v>
      </c>
      <c r="J81" s="676">
        <f>11-G81-H81-I81</f>
        <v>3.9999999999999996</v>
      </c>
      <c r="K81" s="462">
        <v>5.2</v>
      </c>
      <c r="L81" s="462">
        <f>13-K81</f>
        <v>7.8</v>
      </c>
      <c r="M81" s="462">
        <f>20-K81-L81</f>
        <v>7.0000000000000009</v>
      </c>
      <c r="N81" s="462"/>
      <c r="O81" s="454"/>
      <c r="P81" s="454"/>
      <c r="Q81" s="454"/>
      <c r="R81" s="454"/>
      <c r="S81" s="454"/>
      <c r="T81" s="454"/>
      <c r="V81" s="561"/>
      <c r="W81" s="561"/>
      <c r="X81" s="561"/>
      <c r="Y81" s="561">
        <f t="shared" si="42"/>
        <v>0.73913043478260798</v>
      </c>
      <c r="Z81" s="561">
        <f>K81/G81-1</f>
        <v>1.4761904761904763</v>
      </c>
      <c r="AA81" s="561">
        <f>L81/H81-1</f>
        <v>1.6896551724137931</v>
      </c>
    </row>
    <row r="82" spans="2:27">
      <c r="B82" s="478" t="s">
        <v>1096</v>
      </c>
      <c r="C82" s="454">
        <f t="shared" ref="C82:M82" si="44">SUM(C77:C81)</f>
        <v>111</v>
      </c>
      <c r="D82" s="454">
        <f t="shared" si="44"/>
        <v>109</v>
      </c>
      <c r="E82" s="454">
        <f t="shared" si="44"/>
        <v>107</v>
      </c>
      <c r="F82" s="454">
        <f t="shared" si="44"/>
        <v>109.3</v>
      </c>
      <c r="G82" s="454">
        <f t="shared" si="44"/>
        <v>107.99999999999999</v>
      </c>
      <c r="H82" s="454">
        <f t="shared" si="44"/>
        <v>111.00000000000001</v>
      </c>
      <c r="I82" s="454">
        <f t="shared" si="44"/>
        <v>103</v>
      </c>
      <c r="J82" s="485">
        <f t="shared" si="44"/>
        <v>110.5</v>
      </c>
      <c r="K82" s="454">
        <f t="shared" si="44"/>
        <v>107.2</v>
      </c>
      <c r="L82" s="454">
        <f t="shared" si="44"/>
        <v>107.8</v>
      </c>
      <c r="M82" s="454">
        <f t="shared" si="44"/>
        <v>107</v>
      </c>
      <c r="N82" s="454">
        <f>CA!O104-K82-L82-M82</f>
        <v>121</v>
      </c>
      <c r="O82" s="454"/>
      <c r="P82" s="454"/>
      <c r="Q82" s="454"/>
      <c r="R82" s="454"/>
      <c r="S82" s="454"/>
      <c r="T82" s="454"/>
      <c r="V82" s="456">
        <f>G82/C82-1</f>
        <v>-2.7027027027027195E-2</v>
      </c>
      <c r="W82" s="456">
        <f>H82/D82-1</f>
        <v>1.8348623853211121E-2</v>
      </c>
      <c r="X82" s="456">
        <f>I82/E82-1</f>
        <v>-3.7383177570093462E-2</v>
      </c>
      <c r="Y82" s="456">
        <f t="shared" si="42"/>
        <v>1.0978956999085021E-2</v>
      </c>
      <c r="Z82" s="456">
        <f>K82/G82-1</f>
        <v>-7.4074074074071961E-3</v>
      </c>
      <c r="AA82" s="456">
        <f>L82/H82-1</f>
        <v>-2.8828828828828978E-2</v>
      </c>
    </row>
    <row r="83" spans="2:27">
      <c r="F83" s="478"/>
      <c r="J83" s="478"/>
    </row>
    <row r="84" spans="2:27">
      <c r="B84" t="str">
        <f>B61</f>
        <v>EBITDA</v>
      </c>
      <c r="F84">
        <f>191.6-C84-D84-E84</f>
        <v>191.6</v>
      </c>
      <c r="G84">
        <v>45.6</v>
      </c>
      <c r="H84">
        <f>91.2-G84</f>
        <v>45.6</v>
      </c>
      <c r="I84" s="523">
        <v>41</v>
      </c>
      <c r="J84">
        <f>173.7-G84-H84-I84</f>
        <v>41.5</v>
      </c>
      <c r="K84">
        <v>42.4</v>
      </c>
      <c r="L84">
        <f>83.1-K84</f>
        <v>40.699999999999996</v>
      </c>
      <c r="M84" s="468">
        <f>122.1-K84-L84</f>
        <v>38.999999999999993</v>
      </c>
      <c r="N84" s="468">
        <v>37</v>
      </c>
      <c r="Z84" s="456">
        <f>K84/G84-1</f>
        <v>-7.0175438596491335E-2</v>
      </c>
      <c r="AA84" s="456">
        <f>L84/H84-1</f>
        <v>-0.10745614035087736</v>
      </c>
    </row>
    <row r="85" spans="2:27">
      <c r="B85" t="str">
        <f>B62</f>
        <v>% margin</v>
      </c>
      <c r="C85" s="456">
        <f t="shared" ref="C85:K85" si="45">C84/C82</f>
        <v>0</v>
      </c>
      <c r="D85" s="456">
        <f t="shared" si="45"/>
        <v>0</v>
      </c>
      <c r="E85" s="456">
        <f t="shared" si="45"/>
        <v>0</v>
      </c>
      <c r="F85" s="456">
        <f t="shared" si="45"/>
        <v>1.7529734675205855</v>
      </c>
      <c r="G85" s="456">
        <f t="shared" si="45"/>
        <v>0.42222222222222228</v>
      </c>
      <c r="H85" s="456">
        <f t="shared" si="45"/>
        <v>0.41081081081081078</v>
      </c>
      <c r="I85" s="456">
        <f t="shared" si="45"/>
        <v>0.39805825242718446</v>
      </c>
      <c r="J85" s="456">
        <f t="shared" si="45"/>
        <v>0.3755656108597285</v>
      </c>
      <c r="K85" s="456">
        <f t="shared" si="45"/>
        <v>0.39552238805970147</v>
      </c>
      <c r="L85" s="456">
        <f>L84/L82</f>
        <v>0.37755102040816324</v>
      </c>
      <c r="M85" s="456">
        <f>M84/M82</f>
        <v>0.36448598130841114</v>
      </c>
      <c r="N85" s="456">
        <f>N84/N82</f>
        <v>0.30578512396694213</v>
      </c>
      <c r="O85" s="456"/>
      <c r="P85" s="456"/>
      <c r="Q85" s="456"/>
      <c r="R85" s="456"/>
      <c r="S85" s="456"/>
      <c r="T85" s="456"/>
    </row>
    <row r="87" spans="2:27">
      <c r="B87" t="str">
        <f>B64</f>
        <v>Capex</v>
      </c>
      <c r="F87">
        <f>61.6-C87-D87-E87</f>
        <v>61.6</v>
      </c>
      <c r="G87">
        <v>8.3000000000000007</v>
      </c>
      <c r="H87">
        <f>20-G87</f>
        <v>11.7</v>
      </c>
      <c r="I87" s="523">
        <v>12</v>
      </c>
      <c r="J87">
        <f>54.9-G87-H87-I87</f>
        <v>22.899999999999991</v>
      </c>
      <c r="K87">
        <v>6.2</v>
      </c>
      <c r="L87">
        <f>28.8-K87</f>
        <v>22.6</v>
      </c>
      <c r="M87">
        <f>48-K87-L87</f>
        <v>19.199999999999996</v>
      </c>
      <c r="N87" s="523">
        <v>23</v>
      </c>
    </row>
    <row r="88" spans="2:27">
      <c r="B88" t="str">
        <f>B65</f>
        <v>as % sales</v>
      </c>
      <c r="F88" s="456">
        <f>F87/F82</f>
        <v>0.56358645928636786</v>
      </c>
      <c r="G88" s="456">
        <f t="shared" ref="G88:N88" si="46">G87/G82</f>
        <v>7.6851851851851866E-2</v>
      </c>
      <c r="H88" s="456">
        <f t="shared" si="46"/>
        <v>0.10540540540540538</v>
      </c>
      <c r="I88" s="456">
        <f t="shared" si="46"/>
        <v>0.11650485436893204</v>
      </c>
      <c r="J88" s="456">
        <f t="shared" si="46"/>
        <v>0.20723981900452482</v>
      </c>
      <c r="K88" s="456">
        <f t="shared" si="46"/>
        <v>5.7835820895522388E-2</v>
      </c>
      <c r="L88" s="456">
        <f t="shared" si="46"/>
        <v>0.20964749536178109</v>
      </c>
      <c r="M88" s="456">
        <f t="shared" si="46"/>
        <v>0.17943925233644856</v>
      </c>
      <c r="N88" s="456">
        <f t="shared" si="46"/>
        <v>0.19008264462809918</v>
      </c>
      <c r="O88" s="456"/>
      <c r="P88" s="456"/>
      <c r="Q88" s="456"/>
      <c r="R88" s="456"/>
      <c r="S88" s="456"/>
      <c r="T88" s="456"/>
    </row>
    <row r="90" spans="2:27">
      <c r="B90" t="str">
        <f>B67</f>
        <v>OpFCF</v>
      </c>
      <c r="F90" s="478">
        <f t="shared" ref="F90:K90" si="47">F84-F87</f>
        <v>130</v>
      </c>
      <c r="G90" s="478">
        <f t="shared" si="47"/>
        <v>37.299999999999997</v>
      </c>
      <c r="H90" s="478">
        <f t="shared" si="47"/>
        <v>33.900000000000006</v>
      </c>
      <c r="I90" s="478">
        <f t="shared" si="47"/>
        <v>29</v>
      </c>
      <c r="J90" s="478">
        <f t="shared" si="47"/>
        <v>18.600000000000009</v>
      </c>
      <c r="K90" s="478">
        <f t="shared" si="47"/>
        <v>36.199999999999996</v>
      </c>
      <c r="L90" s="478">
        <f>L84-L87</f>
        <v>18.099999999999994</v>
      </c>
      <c r="M90" s="478">
        <f>M84-M87</f>
        <v>19.799999999999997</v>
      </c>
      <c r="N90" s="478">
        <f>N84-N87</f>
        <v>14</v>
      </c>
      <c r="O90" s="478"/>
      <c r="P90" s="478"/>
      <c r="Q90" s="478"/>
      <c r="R90" s="478"/>
      <c r="S90" s="478"/>
      <c r="T90" s="478"/>
    </row>
    <row r="91" spans="2:27">
      <c r="B91" t="str">
        <f>B68</f>
        <v>% margin</v>
      </c>
      <c r="F91" s="456">
        <f>F90/F82</f>
        <v>1.1893870082342177</v>
      </c>
      <c r="G91" s="456">
        <f t="shared" ref="G91:L91" si="48">G90/G82</f>
        <v>0.34537037037037038</v>
      </c>
      <c r="H91" s="456">
        <f t="shared" si="48"/>
        <v>0.30540540540540539</v>
      </c>
      <c r="I91" s="456">
        <f t="shared" si="48"/>
        <v>0.28155339805825241</v>
      </c>
      <c r="J91" s="456">
        <f t="shared" si="48"/>
        <v>0.16832579185520369</v>
      </c>
      <c r="K91" s="456">
        <f t="shared" si="48"/>
        <v>0.33768656716417905</v>
      </c>
      <c r="L91" s="456">
        <f t="shared" si="48"/>
        <v>0.16790352504638215</v>
      </c>
      <c r="M91" s="456">
        <f>M90/M82</f>
        <v>0.18504672897196259</v>
      </c>
      <c r="N91" s="456">
        <f>N90/N82</f>
        <v>0.11570247933884298</v>
      </c>
      <c r="O91" s="456"/>
      <c r="P91" s="456"/>
      <c r="Q91" s="456"/>
      <c r="R91" s="456"/>
      <c r="S91" s="456"/>
      <c r="T91" s="456"/>
    </row>
    <row r="93" spans="2:27">
      <c r="B93" s="790" t="s">
        <v>3603</v>
      </c>
    </row>
    <row r="95" spans="2:27">
      <c r="B95" s="455" t="str">
        <f>B76</f>
        <v>US$m</v>
      </c>
      <c r="C95" s="495" t="str">
        <f t="shared" ref="C95:L95" si="49">C76</f>
        <v>Q1 12</v>
      </c>
      <c r="D95" s="495" t="str">
        <f t="shared" si="49"/>
        <v>Q2 12</v>
      </c>
      <c r="E95" s="495" t="str">
        <f t="shared" si="49"/>
        <v>Q3 12</v>
      </c>
      <c r="F95" s="495" t="str">
        <f t="shared" si="49"/>
        <v>Q4 12</v>
      </c>
      <c r="G95" s="495" t="str">
        <f t="shared" si="49"/>
        <v>Q1 13</v>
      </c>
      <c r="H95" s="495" t="str">
        <f t="shared" si="49"/>
        <v>Q2 13</v>
      </c>
      <c r="I95" s="495" t="str">
        <f t="shared" si="49"/>
        <v>Q3 13</v>
      </c>
      <c r="J95" s="495" t="str">
        <f t="shared" si="49"/>
        <v>Q4 13</v>
      </c>
      <c r="K95" s="495" t="str">
        <f t="shared" si="49"/>
        <v>Q1 14</v>
      </c>
      <c r="L95" s="495" t="str">
        <f t="shared" si="49"/>
        <v>Q2 14</v>
      </c>
      <c r="M95" s="495" t="str">
        <f>M76</f>
        <v>Q3 14</v>
      </c>
      <c r="N95" s="493"/>
      <c r="O95" s="493"/>
      <c r="P95" s="493"/>
      <c r="Q95" s="493"/>
      <c r="R95" s="493"/>
      <c r="S95" s="493"/>
      <c r="T95" s="493"/>
      <c r="V95" s="495" t="str">
        <f t="shared" ref="V95:AA95" si="50">V76</f>
        <v>Q1 13</v>
      </c>
      <c r="W95" s="495" t="str">
        <f t="shared" si="50"/>
        <v>Q2 13</v>
      </c>
      <c r="X95" s="495" t="str">
        <f t="shared" si="50"/>
        <v>Q3 13</v>
      </c>
      <c r="Y95" s="495" t="str">
        <f t="shared" si="50"/>
        <v>Q4 13</v>
      </c>
      <c r="Z95" s="495" t="str">
        <f t="shared" si="50"/>
        <v>Q1 14</v>
      </c>
      <c r="AA95" s="495" t="str">
        <f t="shared" si="50"/>
        <v>Q2 14</v>
      </c>
    </row>
    <row r="96" spans="2:27">
      <c r="B96" t="str">
        <f>B59</f>
        <v>Revs</v>
      </c>
      <c r="G96" s="454">
        <f>Quarts!BB219-G59-G82</f>
        <v>204.88400000000001</v>
      </c>
      <c r="H96" s="454">
        <f>Quarts!BC219-H59-H82</f>
        <v>203.32799999999997</v>
      </c>
      <c r="I96" s="454">
        <f>Quarts!BD219-I59-I82</f>
        <v>202.49400000000003</v>
      </c>
      <c r="J96" s="454">
        <f>Quarts!BE219-J59-J82</f>
        <v>201.97900000000004</v>
      </c>
      <c r="K96" s="454">
        <f>Quarts!BG219-K59-K82</f>
        <v>191.8</v>
      </c>
      <c r="L96" s="454">
        <f>Quarts!BH219-L59-L82</f>
        <v>191.2</v>
      </c>
      <c r="M96" s="454">
        <f>Quarts!BI219-M59-M82</f>
        <v>195</v>
      </c>
      <c r="N96" s="454"/>
      <c r="O96" s="454"/>
      <c r="P96" s="454"/>
      <c r="Q96" s="454"/>
      <c r="R96" s="454"/>
      <c r="S96" s="454"/>
      <c r="T96" s="454"/>
      <c r="Z96" s="456">
        <f>K96/G96-1</f>
        <v>-6.3860525956150771E-2</v>
      </c>
      <c r="AA96" s="456">
        <f>L96/H96-1</f>
        <v>-5.9647466163046836E-2</v>
      </c>
    </row>
    <row r="97" spans="2:27">
      <c r="B97" t="str">
        <f>B61</f>
        <v>EBITDA</v>
      </c>
      <c r="G97" s="454">
        <f>Quarts!BB302-G61-G84</f>
        <v>97.4</v>
      </c>
      <c r="H97" s="454">
        <f>Quarts!BC302-H61-H84</f>
        <v>102.4</v>
      </c>
      <c r="I97" s="454">
        <f>Quarts!BD302-I61-I84</f>
        <v>99</v>
      </c>
      <c r="J97" s="454">
        <f>Quarts!BE302-J61-J84</f>
        <v>97.699999999999989</v>
      </c>
      <c r="K97" s="454">
        <f>Quarts!BG302-K61-K84</f>
        <v>90.948512907373157</v>
      </c>
      <c r="L97" s="454">
        <f>Quarts!BH302-L61-L84</f>
        <v>92.596007460533713</v>
      </c>
      <c r="M97" s="454">
        <f>Quarts!BI302-M61-M84</f>
        <v>82.707426206906121</v>
      </c>
      <c r="N97" s="454"/>
      <c r="O97" s="454"/>
      <c r="P97" s="454"/>
      <c r="Q97" s="454"/>
      <c r="R97" s="454"/>
      <c r="S97" s="454"/>
      <c r="T97" s="454"/>
      <c r="Z97" s="456">
        <f>K97/G97-1</f>
        <v>-6.6237033805203738E-2</v>
      </c>
      <c r="AA97" s="456">
        <f>L97/H97-1</f>
        <v>-9.5742114643225462E-2</v>
      </c>
    </row>
    <row r="98" spans="2:27">
      <c r="B98" t="str">
        <f>B62</f>
        <v>% margin</v>
      </c>
      <c r="G98" s="456">
        <f t="shared" ref="G98:L98" si="51">G97/G96</f>
        <v>0.47539095292946254</v>
      </c>
      <c r="H98" s="456">
        <f t="shared" si="51"/>
        <v>0.50361976707585787</v>
      </c>
      <c r="I98" s="456">
        <f t="shared" si="51"/>
        <v>0.48890337491481223</v>
      </c>
      <c r="J98" s="456">
        <f t="shared" si="51"/>
        <v>0.4837136533996107</v>
      </c>
      <c r="K98" s="456">
        <f t="shared" si="51"/>
        <v>0.474184113177128</v>
      </c>
      <c r="L98" s="456">
        <f t="shared" si="51"/>
        <v>0.4842887419483981</v>
      </c>
      <c r="M98" s="456">
        <f>M97/M96</f>
        <v>0.42414064721490319</v>
      </c>
      <c r="N98" s="456"/>
      <c r="O98" s="456"/>
      <c r="P98" s="456"/>
      <c r="Q98" s="456"/>
      <c r="R98" s="456"/>
      <c r="S98" s="456"/>
      <c r="T98" s="456"/>
    </row>
    <row r="100" spans="2:27">
      <c r="B100" t="str">
        <f>B64</f>
        <v>Capex</v>
      </c>
      <c r="G100" s="454">
        <f>Quarts!BB372-G64-G87</f>
        <v>-1.3000000000000007</v>
      </c>
      <c r="H100" s="454">
        <f>Quarts!BC372-H64-H87</f>
        <v>1.3000000000000007</v>
      </c>
      <c r="I100" s="454">
        <f>Quarts!BD372-I64-I87</f>
        <v>-5</v>
      </c>
      <c r="J100" s="454">
        <f>Quarts!BE372-J64-J87</f>
        <v>25.90000000000002</v>
      </c>
      <c r="K100" s="454">
        <f>Quarts!BG372-K64-K87</f>
        <v>9.8000000000000007</v>
      </c>
      <c r="L100" s="454">
        <f>Quarts!BH372-L64-L87</f>
        <v>58.4</v>
      </c>
      <c r="M100" s="454">
        <f>Quarts!BI372-M64-M87</f>
        <v>32.800000000000004</v>
      </c>
      <c r="N100" s="454"/>
      <c r="O100" s="454"/>
      <c r="P100" s="454"/>
      <c r="Q100" s="454"/>
      <c r="R100" s="454"/>
      <c r="S100" s="454"/>
      <c r="T100" s="454"/>
    </row>
    <row r="101" spans="2:27">
      <c r="B101" t="s">
        <v>1431</v>
      </c>
      <c r="G101" s="449">
        <f t="shared" ref="G101:L101" si="52">G100/G96</f>
        <v>-6.3450537865328708E-3</v>
      </c>
      <c r="H101" s="449">
        <f t="shared" si="52"/>
        <v>6.3936103242052296E-3</v>
      </c>
      <c r="I101" s="449">
        <f t="shared" si="52"/>
        <v>-2.4692089642162234E-2</v>
      </c>
      <c r="J101" s="449">
        <f t="shared" si="52"/>
        <v>0.12823115274360214</v>
      </c>
      <c r="K101" s="449">
        <f t="shared" si="52"/>
        <v>5.1094890510948905E-2</v>
      </c>
      <c r="L101" s="449">
        <f t="shared" si="52"/>
        <v>0.30543933054393307</v>
      </c>
      <c r="M101" s="449">
        <f>M100/M96</f>
        <v>0.16820512820512823</v>
      </c>
      <c r="N101" s="449"/>
      <c r="O101" s="449"/>
      <c r="P101" s="449"/>
      <c r="Q101" s="449"/>
      <c r="R101" s="449"/>
      <c r="S101" s="449"/>
      <c r="T101" s="449"/>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W853"/>
  <sheetViews>
    <sheetView zoomScale="70" zoomScaleNormal="70" workbookViewId="0">
      <selection activeCell="B309" sqref="B309"/>
    </sheetView>
  </sheetViews>
  <sheetFormatPr defaultRowHeight="15"/>
  <cols>
    <col min="1" max="1" width="10.5703125" customWidth="1"/>
    <col min="2" max="2" width="23.85546875" customWidth="1"/>
    <col min="3" max="3" width="10.140625" customWidth="1"/>
    <col min="4" max="4" width="13" customWidth="1"/>
    <col min="5" max="5" width="10.140625" customWidth="1"/>
    <col min="6" max="6" width="14.28515625" customWidth="1"/>
    <col min="7" max="7" width="29.42578125" customWidth="1"/>
    <col min="8" max="10" width="10.140625" customWidth="1"/>
    <col min="11" max="11" width="11.5703125" customWidth="1"/>
    <col min="16" max="26" width="9.28515625" customWidth="1"/>
  </cols>
  <sheetData>
    <row r="1" spans="1:6">
      <c r="A1" t="s">
        <v>1823</v>
      </c>
      <c r="B1" t="s">
        <v>1823</v>
      </c>
      <c r="C1" t="s">
        <v>1823</v>
      </c>
      <c r="D1" t="s">
        <v>1823</v>
      </c>
      <c r="E1" t="s">
        <v>1823</v>
      </c>
      <c r="F1" t="s">
        <v>1823</v>
      </c>
    </row>
    <row r="2" spans="1:6">
      <c r="B2" s="394" t="s">
        <v>1469</v>
      </c>
    </row>
    <row r="4" spans="1:6">
      <c r="B4" s="2" t="s">
        <v>1470</v>
      </c>
    </row>
    <row r="5" spans="1:6">
      <c r="B5" t="s">
        <v>1471</v>
      </c>
    </row>
    <row r="6" spans="1:6">
      <c r="B6" t="s">
        <v>1472</v>
      </c>
    </row>
    <row r="7" spans="1:6">
      <c r="B7" t="s">
        <v>1473</v>
      </c>
    </row>
    <row r="9" spans="1:6">
      <c r="B9" s="2" t="s">
        <v>1474</v>
      </c>
    </row>
    <row r="10" spans="1:6">
      <c r="B10" t="s">
        <v>1475</v>
      </c>
    </row>
    <row r="11" spans="1:6">
      <c r="B11" t="s">
        <v>1489</v>
      </c>
    </row>
    <row r="12" spans="1:6">
      <c r="B12" t="s">
        <v>1476</v>
      </c>
    </row>
    <row r="14" spans="1:6">
      <c r="B14" t="s">
        <v>2406</v>
      </c>
    </row>
    <row r="15" spans="1:6">
      <c r="B15" t="s">
        <v>2407</v>
      </c>
    </row>
    <row r="16" spans="1:6">
      <c r="B16" t="s">
        <v>1823</v>
      </c>
    </row>
    <row r="17" spans="2:15">
      <c r="B17" s="12"/>
      <c r="C17" s="508" t="s">
        <v>2454</v>
      </c>
      <c r="D17" s="99" t="s">
        <v>2449</v>
      </c>
      <c r="E17" s="99" t="s">
        <v>2452</v>
      </c>
      <c r="F17" s="99" t="s">
        <v>2450</v>
      </c>
      <c r="G17" s="99" t="s">
        <v>2453</v>
      </c>
      <c r="H17" s="21" t="s">
        <v>2484</v>
      </c>
    </row>
    <row r="18" spans="2:15">
      <c r="B18" t="s">
        <v>2382</v>
      </c>
      <c r="C18" s="506" t="s">
        <v>2455</v>
      </c>
      <c r="D18" s="505">
        <v>750</v>
      </c>
      <c r="E18" s="6">
        <v>30</v>
      </c>
      <c r="F18" s="135">
        <v>0.4</v>
      </c>
      <c r="G18" s="493"/>
      <c r="H18">
        <f>E18/(1-F18)</f>
        <v>50</v>
      </c>
      <c r="I18" s="505">
        <f>H18*1000000/D18</f>
        <v>66666.666666666672</v>
      </c>
    </row>
    <row r="19" spans="2:15">
      <c r="B19" s="478" t="s">
        <v>578</v>
      </c>
      <c r="C19" s="506" t="s">
        <v>2455</v>
      </c>
      <c r="D19" s="505">
        <v>1020</v>
      </c>
      <c r="E19" s="6">
        <v>80</v>
      </c>
      <c r="F19" s="135">
        <v>0.4</v>
      </c>
      <c r="G19" s="493"/>
      <c r="H19" s="454">
        <f>E19/(1-F19)</f>
        <v>133.33333333333334</v>
      </c>
      <c r="I19" s="505">
        <f>H19*1000000/D19</f>
        <v>130718.95424836602</v>
      </c>
    </row>
    <row r="20" spans="2:15">
      <c r="B20" s="12" t="s">
        <v>827</v>
      </c>
      <c r="C20" s="508" t="s">
        <v>2455</v>
      </c>
      <c r="D20" s="497">
        <v>729</v>
      </c>
      <c r="E20" s="104">
        <v>45</v>
      </c>
      <c r="F20" s="448">
        <v>0.4</v>
      </c>
      <c r="G20" s="104"/>
      <c r="H20">
        <f>E20/(1-F20)</f>
        <v>75</v>
      </c>
      <c r="I20" s="505">
        <f>H20*1000000/D20</f>
        <v>102880.658436214</v>
      </c>
    </row>
    <row r="21" spans="2:15">
      <c r="B21" s="4" t="s">
        <v>2414</v>
      </c>
      <c r="D21" s="505">
        <f>SUM(D18:D20)</f>
        <v>2499</v>
      </c>
      <c r="E21" s="6">
        <f>SUM(E18:E20)</f>
        <v>155</v>
      </c>
      <c r="F21" s="135">
        <v>0.4</v>
      </c>
      <c r="G21" s="493">
        <v>400</v>
      </c>
      <c r="H21">
        <f>E21/(1-F21)</f>
        <v>258.33333333333337</v>
      </c>
      <c r="I21" s="505">
        <f>H21*1000000/D21</f>
        <v>103374.683206616</v>
      </c>
    </row>
    <row r="22" spans="2:15">
      <c r="B22" s="4"/>
      <c r="D22" s="505"/>
      <c r="E22" s="6"/>
      <c r="F22" s="135"/>
      <c r="G22" s="493"/>
      <c r="H22" s="454"/>
      <c r="O22" s="478" t="s">
        <v>1823</v>
      </c>
    </row>
    <row r="23" spans="2:15">
      <c r="B23" s="4" t="s">
        <v>1665</v>
      </c>
      <c r="C23" s="506" t="s">
        <v>2456</v>
      </c>
      <c r="D23" s="496">
        <f>2126+200</f>
        <v>2326</v>
      </c>
      <c r="E23" s="6">
        <v>182</v>
      </c>
      <c r="F23" s="161" t="s">
        <v>2459</v>
      </c>
      <c r="G23" s="6">
        <f>E23</f>
        <v>182</v>
      </c>
    </row>
    <row r="24" spans="2:15">
      <c r="B24" s="12" t="s">
        <v>2379</v>
      </c>
      <c r="C24" s="508" t="s">
        <v>2457</v>
      </c>
      <c r="D24" s="497">
        <v>341</v>
      </c>
      <c r="E24" s="455"/>
      <c r="F24" s="507" t="s">
        <v>2460</v>
      </c>
      <c r="G24" s="104">
        <v>39</v>
      </c>
    </row>
    <row r="25" spans="2:15">
      <c r="B25" s="478" t="s">
        <v>2458</v>
      </c>
      <c r="D25" s="496">
        <f>D21+D24+D23</f>
        <v>5166</v>
      </c>
      <c r="E25" s="6">
        <f>E21+E23+E24</f>
        <v>337</v>
      </c>
      <c r="F25" s="493"/>
      <c r="G25" s="506" t="s">
        <v>2451</v>
      </c>
    </row>
    <row r="26" spans="2:15">
      <c r="D26" s="6"/>
      <c r="F26" s="163"/>
    </row>
    <row r="27" spans="2:15">
      <c r="C27" t="s">
        <v>2485</v>
      </c>
      <c r="D27" s="6" t="s">
        <v>2408</v>
      </c>
      <c r="F27" s="163" t="s">
        <v>2486</v>
      </c>
    </row>
    <row r="28" spans="2:15">
      <c r="B28" t="str">
        <f>B18</f>
        <v>Ghana</v>
      </c>
      <c r="C28" s="449">
        <f>(1-F18)</f>
        <v>0.6</v>
      </c>
      <c r="D28" s="6">
        <f>E18</f>
        <v>30</v>
      </c>
      <c r="E28" s="464">
        <f>D18</f>
        <v>750</v>
      </c>
      <c r="F28" s="163"/>
    </row>
    <row r="29" spans="2:15">
      <c r="B29" t="str">
        <f>B19</f>
        <v>Tanzania</v>
      </c>
      <c r="C29" s="449">
        <f>(1-F19)</f>
        <v>0.6</v>
      </c>
      <c r="D29" s="6">
        <f>E19</f>
        <v>80</v>
      </c>
      <c r="E29" s="464">
        <f>D19</f>
        <v>1020</v>
      </c>
      <c r="F29" s="163"/>
    </row>
    <row r="30" spans="2:15">
      <c r="B30" t="str">
        <f>B20</f>
        <v>DR Congo</v>
      </c>
      <c r="C30" s="449">
        <f>(1-F20)</f>
        <v>0.6</v>
      </c>
      <c r="D30" s="6">
        <f>E20</f>
        <v>45</v>
      </c>
      <c r="E30" s="464">
        <f>D20</f>
        <v>729</v>
      </c>
      <c r="F30" s="163"/>
    </row>
    <row r="31" spans="2:15">
      <c r="B31" t="s">
        <v>2324</v>
      </c>
      <c r="C31" s="449">
        <f>C30</f>
        <v>0.6</v>
      </c>
      <c r="D31" s="6">
        <f>SUM(D28:D30)</f>
        <v>155</v>
      </c>
      <c r="E31" s="6">
        <f>SUM(E28:E30)</f>
        <v>2499</v>
      </c>
      <c r="F31" s="163"/>
      <c r="H31">
        <f>70000*D21*F21/1000000</f>
        <v>69.971999999999994</v>
      </c>
      <c r="I31">
        <f>E21+H31</f>
        <v>224.97199999999998</v>
      </c>
    </row>
    <row r="32" spans="2:15">
      <c r="D32" s="6"/>
      <c r="F32" s="163"/>
    </row>
    <row r="33" spans="2:6">
      <c r="D33" s="6"/>
      <c r="F33" s="163"/>
    </row>
    <row r="34" spans="2:6">
      <c r="D34" s="6"/>
      <c r="F34" s="163"/>
    </row>
    <row r="35" spans="2:6">
      <c r="B35" s="455"/>
      <c r="C35" s="495" t="s">
        <v>2382</v>
      </c>
      <c r="D35" s="104" t="s">
        <v>827</v>
      </c>
      <c r="E35" s="495" t="s">
        <v>578</v>
      </c>
    </row>
    <row r="36" spans="2:6">
      <c r="B36" s="498">
        <v>2009</v>
      </c>
      <c r="C36">
        <v>767</v>
      </c>
      <c r="D36">
        <v>742</v>
      </c>
      <c r="E36">
        <v>990</v>
      </c>
    </row>
    <row r="37" spans="2:6">
      <c r="B37" s="498">
        <v>2010</v>
      </c>
      <c r="C37">
        <v>801</v>
      </c>
      <c r="D37" s="6">
        <v>729</v>
      </c>
      <c r="E37">
        <v>1057</v>
      </c>
    </row>
    <row r="38" spans="2:6">
      <c r="B38" s="455" t="s">
        <v>2403</v>
      </c>
      <c r="C38" s="490">
        <v>742</v>
      </c>
      <c r="D38" s="497">
        <f>C69</f>
        <v>729</v>
      </c>
      <c r="E38" s="490">
        <f>C68</f>
        <v>1020</v>
      </c>
    </row>
    <row r="39" spans="2:6">
      <c r="B39" t="s">
        <v>2404</v>
      </c>
      <c r="C39" s="464">
        <f>C37-C67</f>
        <v>59</v>
      </c>
      <c r="D39" s="6"/>
    </row>
    <row r="40" spans="2:6">
      <c r="B40" t="s">
        <v>2405</v>
      </c>
      <c r="C40" s="464">
        <v>6</v>
      </c>
      <c r="D40" s="6"/>
      <c r="F40" s="163">
        <f>1068000000</f>
        <v>1068000000</v>
      </c>
    </row>
    <row r="41" spans="2:6">
      <c r="C41" s="464">
        <f>6*1000000/C39</f>
        <v>101694.91525423729</v>
      </c>
      <c r="D41" s="6"/>
      <c r="F41" s="163">
        <f>F40/13046</f>
        <v>81864.172926567524</v>
      </c>
    </row>
    <row r="42" spans="2:6">
      <c r="D42" s="6"/>
      <c r="F42" s="163"/>
    </row>
    <row r="43" spans="2:6">
      <c r="B43" s="105"/>
      <c r="C43" s="495" t="s">
        <v>2470</v>
      </c>
      <c r="D43" s="495" t="s">
        <v>2471</v>
      </c>
      <c r="F43" s="163"/>
    </row>
    <row r="44" spans="2:6">
      <c r="B44" s="163" t="s">
        <v>2382</v>
      </c>
      <c r="C44" s="449">
        <v>0.72</v>
      </c>
      <c r="D44">
        <f>C37</f>
        <v>801</v>
      </c>
      <c r="F44" s="163"/>
    </row>
    <row r="45" spans="2:6">
      <c r="B45" s="163" t="s">
        <v>578</v>
      </c>
      <c r="C45" s="449">
        <v>0.6</v>
      </c>
      <c r="D45">
        <f>E37</f>
        <v>1057</v>
      </c>
      <c r="F45" s="163"/>
    </row>
    <row r="46" spans="2:6">
      <c r="B46" s="163" t="s">
        <v>1991</v>
      </c>
      <c r="C46" s="449">
        <v>0.75</v>
      </c>
      <c r="D46">
        <f>D37</f>
        <v>729</v>
      </c>
      <c r="F46" s="163"/>
    </row>
    <row r="47" spans="2:6">
      <c r="B47" s="163" t="s">
        <v>1665</v>
      </c>
      <c r="C47" s="449">
        <v>0.74</v>
      </c>
      <c r="D47">
        <v>2832</v>
      </c>
      <c r="F47" s="163"/>
    </row>
    <row r="48" spans="2:6">
      <c r="D48" s="6"/>
      <c r="F48" s="163"/>
    </row>
    <row r="49" spans="2:9">
      <c r="D49" s="6"/>
      <c r="F49" s="163"/>
    </row>
    <row r="50" spans="2:9">
      <c r="D50" s="6"/>
      <c r="F50" s="163"/>
    </row>
    <row r="51" spans="2:9" ht="15.75">
      <c r="B51" s="543" t="s">
        <v>2479</v>
      </c>
      <c r="C51" s="544" t="s">
        <v>2472</v>
      </c>
      <c r="D51" s="544" t="s">
        <v>2481</v>
      </c>
      <c r="E51" s="369" t="s">
        <v>2409</v>
      </c>
      <c r="F51" s="544" t="s">
        <v>2482</v>
      </c>
      <c r="G51" s="369" t="s">
        <v>2474</v>
      </c>
    </row>
    <row r="52" spans="2:9" ht="15.75">
      <c r="B52" s="545" t="s">
        <v>2543</v>
      </c>
      <c r="C52" s="546">
        <v>40483</v>
      </c>
      <c r="D52" s="547">
        <v>430</v>
      </c>
      <c r="E52" s="547">
        <f>1400+1800/3</f>
        <v>2000</v>
      </c>
      <c r="F52" s="548">
        <f>D52*1000000/E52</f>
        <v>215000</v>
      </c>
      <c r="G52" s="287" t="s">
        <v>2456</v>
      </c>
    </row>
    <row r="53" spans="2:9" ht="15.75">
      <c r="B53" s="545" t="s">
        <v>2473</v>
      </c>
      <c r="C53" s="546">
        <v>40330</v>
      </c>
      <c r="D53" s="547">
        <v>428.3</v>
      </c>
      <c r="E53" s="547">
        <v>1876</v>
      </c>
      <c r="F53" s="548">
        <f>D53*1000000/E53</f>
        <v>228304.90405117272</v>
      </c>
      <c r="G53" s="287" t="s">
        <v>2480</v>
      </c>
    </row>
    <row r="54" spans="2:9" ht="15.75">
      <c r="B54" s="545" t="s">
        <v>2483</v>
      </c>
      <c r="C54" s="546">
        <v>40210</v>
      </c>
      <c r="D54" s="547">
        <v>430</v>
      </c>
      <c r="E54" s="547">
        <v>4450</v>
      </c>
      <c r="F54" s="548">
        <f>D54*1000000/E54</f>
        <v>96629.213483146072</v>
      </c>
      <c r="G54" s="287" t="s">
        <v>2456</v>
      </c>
    </row>
    <row r="55" spans="2:9" ht="15.75">
      <c r="B55" s="545" t="s">
        <v>2477</v>
      </c>
      <c r="C55" s="546">
        <v>39814</v>
      </c>
      <c r="D55" s="547">
        <f>E55*F55/1000000</f>
        <v>2700</v>
      </c>
      <c r="E55" s="547">
        <v>18000</v>
      </c>
      <c r="F55" s="548">
        <v>150000</v>
      </c>
      <c r="G55" s="287" t="s">
        <v>2475</v>
      </c>
    </row>
    <row r="56" spans="2:9" ht="15.75">
      <c r="B56" s="545" t="s">
        <v>2476</v>
      </c>
      <c r="C56" s="546">
        <v>40179</v>
      </c>
      <c r="D56" s="547">
        <v>1840</v>
      </c>
      <c r="E56" s="547">
        <v>17500</v>
      </c>
      <c r="F56" s="548">
        <f>D56*1000000/E56</f>
        <v>105142.85714285714</v>
      </c>
      <c r="G56" s="287" t="s">
        <v>2478</v>
      </c>
    </row>
    <row r="57" spans="2:9" ht="15.75">
      <c r="B57" s="545" t="s">
        <v>2545</v>
      </c>
      <c r="C57" s="546">
        <v>40878</v>
      </c>
      <c r="D57" s="547">
        <f>476/1.9</f>
        <v>250.5263157894737</v>
      </c>
      <c r="E57" s="547">
        <v>1358</v>
      </c>
      <c r="F57" s="548">
        <f>D57*1000000/E57</f>
        <v>184481.82311448728</v>
      </c>
      <c r="G57" s="287" t="s">
        <v>2546</v>
      </c>
    </row>
    <row r="58" spans="2:9" ht="15.75">
      <c r="B58" s="543" t="s">
        <v>2544</v>
      </c>
      <c r="C58" s="549">
        <v>40878</v>
      </c>
      <c r="D58" s="550">
        <v>500</v>
      </c>
      <c r="E58" s="550">
        <v>2500</v>
      </c>
      <c r="F58" s="551">
        <f>D58*1000000/E58</f>
        <v>200000</v>
      </c>
      <c r="G58" s="369" t="s">
        <v>2456</v>
      </c>
    </row>
    <row r="59" spans="2:9">
      <c r="D59" s="496"/>
      <c r="E59" s="464"/>
      <c r="F59" s="163"/>
    </row>
    <row r="60" spans="2:9">
      <c r="B60" s="499" t="s">
        <v>2411</v>
      </c>
      <c r="D60" s="496"/>
      <c r="E60" s="464"/>
      <c r="F60" s="163"/>
    </row>
    <row r="61" spans="2:9">
      <c r="B61" t="s">
        <v>2410</v>
      </c>
      <c r="C61" s="464">
        <v>1068</v>
      </c>
      <c r="D61" s="496"/>
      <c r="E61" s="464"/>
      <c r="F61" s="163"/>
    </row>
    <row r="62" spans="2:9">
      <c r="B62" t="s">
        <v>2412</v>
      </c>
      <c r="C62" s="464">
        <v>13046</v>
      </c>
      <c r="D62" s="496"/>
      <c r="E62" s="464"/>
      <c r="F62" s="163"/>
    </row>
    <row r="63" spans="2:9">
      <c r="B63" t="s">
        <v>2413</v>
      </c>
      <c r="C63" s="464">
        <f>C61*1000000/C62</f>
        <v>81864.172926567524</v>
      </c>
      <c r="D63" s="6"/>
      <c r="F63" s="163"/>
      <c r="I63" t="s">
        <v>1823</v>
      </c>
    </row>
    <row r="64" spans="2:9">
      <c r="C64" s="464"/>
      <c r="D64" s="6"/>
      <c r="F64" s="163"/>
    </row>
    <row r="65" spans="2:6">
      <c r="D65" s="6"/>
      <c r="F65" s="163"/>
    </row>
    <row r="66" spans="2:6">
      <c r="B66" s="455" t="s">
        <v>2397</v>
      </c>
      <c r="C66" s="495" t="s">
        <v>2398</v>
      </c>
      <c r="D66" s="6"/>
      <c r="F66" s="163"/>
    </row>
    <row r="67" spans="2:6">
      <c r="B67" t="s">
        <v>2382</v>
      </c>
      <c r="C67" s="464">
        <v>742</v>
      </c>
      <c r="D67" s="6"/>
      <c r="F67" s="163"/>
    </row>
    <row r="68" spans="2:6">
      <c r="B68" t="s">
        <v>578</v>
      </c>
      <c r="C68" s="464">
        <f>D19</f>
        <v>1020</v>
      </c>
      <c r="D68" s="6"/>
      <c r="F68" s="163"/>
    </row>
    <row r="69" spans="2:6">
      <c r="B69" s="455" t="s">
        <v>827</v>
      </c>
      <c r="C69" s="490">
        <f>D20</f>
        <v>729</v>
      </c>
      <c r="D69" s="6"/>
      <c r="F69" s="163"/>
    </row>
    <row r="70" spans="2:6">
      <c r="B70" t="s">
        <v>2395</v>
      </c>
      <c r="C70" s="464">
        <f>D21</f>
        <v>2499</v>
      </c>
      <c r="D70" s="6"/>
      <c r="F70" s="163"/>
    </row>
    <row r="71" spans="2:6">
      <c r="C71" s="464"/>
      <c r="D71" s="6"/>
      <c r="F71" s="163"/>
    </row>
    <row r="72" spans="2:6">
      <c r="B72" s="499" t="s">
        <v>2382</v>
      </c>
      <c r="C72" s="464"/>
      <c r="D72" s="6"/>
      <c r="F72" s="163"/>
    </row>
    <row r="73" spans="2:6">
      <c r="B73" t="s">
        <v>2446</v>
      </c>
      <c r="C73" s="464">
        <v>60000</v>
      </c>
      <c r="D73" s="6"/>
      <c r="F73" s="163"/>
    </row>
    <row r="74" spans="2:6">
      <c r="C74" s="464"/>
      <c r="D74" s="6"/>
      <c r="F74" s="163"/>
    </row>
    <row r="75" spans="2:6">
      <c r="B75" t="s">
        <v>1831</v>
      </c>
      <c r="C75" s="496"/>
      <c r="D75" s="6"/>
      <c r="F75" s="163"/>
    </row>
    <row r="76" spans="2:6">
      <c r="B76" t="s">
        <v>2393</v>
      </c>
      <c r="C76" s="496">
        <v>400</v>
      </c>
      <c r="D76" s="6"/>
      <c r="F76" s="163"/>
    </row>
    <row r="77" spans="2:6">
      <c r="B77" t="s">
        <v>2394</v>
      </c>
      <c r="C77" s="496">
        <f>C76-C78-C79</f>
        <v>95.06</v>
      </c>
      <c r="D77" s="6"/>
      <c r="F77" s="163"/>
    </row>
    <row r="78" spans="2:6">
      <c r="B78" t="s">
        <v>2392</v>
      </c>
      <c r="C78" s="496">
        <f>E21</f>
        <v>155</v>
      </c>
      <c r="D78" s="6"/>
      <c r="F78" s="163"/>
    </row>
    <row r="79" spans="2:6">
      <c r="B79" t="s">
        <v>2396</v>
      </c>
      <c r="C79" s="496">
        <f>C73*D21/1000000</f>
        <v>149.94</v>
      </c>
      <c r="D79" s="6"/>
      <c r="F79" s="163"/>
    </row>
    <row r="80" spans="2:6">
      <c r="C80" s="496"/>
      <c r="D80" s="6"/>
      <c r="F80" s="163"/>
    </row>
    <row r="81" spans="2:11">
      <c r="B81" s="478" t="s">
        <v>2449</v>
      </c>
      <c r="C81" s="496">
        <f>D21</f>
        <v>2499</v>
      </c>
      <c r="D81" s="496">
        <f t="shared" ref="D81:J81" si="0">C81</f>
        <v>2499</v>
      </c>
      <c r="E81" s="496">
        <f t="shared" si="0"/>
        <v>2499</v>
      </c>
      <c r="F81" s="496">
        <f t="shared" si="0"/>
        <v>2499</v>
      </c>
      <c r="G81" s="496">
        <f t="shared" si="0"/>
        <v>2499</v>
      </c>
      <c r="H81" s="496">
        <f t="shared" si="0"/>
        <v>2499</v>
      </c>
      <c r="I81" s="496">
        <f t="shared" si="0"/>
        <v>2499</v>
      </c>
      <c r="J81" s="496">
        <f t="shared" si="0"/>
        <v>2499</v>
      </c>
      <c r="K81" s="496"/>
    </row>
    <row r="82" spans="2:11">
      <c r="B82" s="478" t="s">
        <v>2464</v>
      </c>
      <c r="C82" s="464">
        <v>100000</v>
      </c>
      <c r="D82" s="464">
        <f t="shared" ref="D82:J82" si="1">C82+50000</f>
        <v>150000</v>
      </c>
      <c r="E82" s="464">
        <f t="shared" si="1"/>
        <v>200000</v>
      </c>
      <c r="F82" s="464">
        <f t="shared" si="1"/>
        <v>250000</v>
      </c>
      <c r="G82" s="464">
        <f t="shared" si="1"/>
        <v>300000</v>
      </c>
      <c r="H82" s="464">
        <f t="shared" si="1"/>
        <v>350000</v>
      </c>
      <c r="I82" s="464">
        <f t="shared" si="1"/>
        <v>400000</v>
      </c>
      <c r="J82" s="464">
        <f t="shared" si="1"/>
        <v>450000</v>
      </c>
      <c r="K82" s="464"/>
    </row>
    <row r="83" spans="2:11">
      <c r="B83" s="478" t="s">
        <v>2462</v>
      </c>
      <c r="C83" s="496">
        <f>C82*C81/1000000</f>
        <v>249.9</v>
      </c>
      <c r="D83" s="496">
        <f t="shared" ref="D83:J83" si="2">D82*D81/1000000</f>
        <v>374.85</v>
      </c>
      <c r="E83" s="496">
        <f t="shared" si="2"/>
        <v>499.8</v>
      </c>
      <c r="F83" s="496">
        <f t="shared" si="2"/>
        <v>624.75</v>
      </c>
      <c r="G83" s="496">
        <f t="shared" si="2"/>
        <v>749.7</v>
      </c>
      <c r="H83" s="496">
        <f t="shared" si="2"/>
        <v>874.65</v>
      </c>
      <c r="I83" s="496">
        <f t="shared" si="2"/>
        <v>999.6</v>
      </c>
      <c r="J83" s="496">
        <f t="shared" si="2"/>
        <v>1124.55</v>
      </c>
      <c r="K83" s="496"/>
    </row>
    <row r="84" spans="2:11">
      <c r="B84" s="487" t="s">
        <v>1381</v>
      </c>
      <c r="C84" s="497">
        <v>0</v>
      </c>
      <c r="D84" s="497">
        <v>0</v>
      </c>
      <c r="E84" s="497">
        <v>0</v>
      </c>
      <c r="F84" s="497">
        <v>0</v>
      </c>
      <c r="G84" s="497">
        <v>0</v>
      </c>
      <c r="H84" s="497">
        <v>0</v>
      </c>
      <c r="I84" s="497">
        <v>0</v>
      </c>
      <c r="J84" s="497">
        <v>0</v>
      </c>
      <c r="K84" s="497"/>
    </row>
    <row r="85" spans="2:11">
      <c r="B85" s="478" t="s">
        <v>2463</v>
      </c>
      <c r="C85" s="496">
        <f>C83-C84</f>
        <v>249.9</v>
      </c>
      <c r="D85" s="496">
        <f t="shared" ref="D85:J85" si="3">D83-D84</f>
        <v>374.85</v>
      </c>
      <c r="E85" s="496">
        <f>E83-E84</f>
        <v>499.8</v>
      </c>
      <c r="F85" s="496">
        <f t="shared" si="3"/>
        <v>624.75</v>
      </c>
      <c r="G85" s="496">
        <f t="shared" si="3"/>
        <v>749.7</v>
      </c>
      <c r="H85" s="496">
        <f t="shared" si="3"/>
        <v>874.65</v>
      </c>
      <c r="I85" s="496">
        <f t="shared" si="3"/>
        <v>999.6</v>
      </c>
      <c r="J85" s="496">
        <f t="shared" si="3"/>
        <v>1124.55</v>
      </c>
      <c r="K85" s="496"/>
    </row>
    <row r="86" spans="2:11">
      <c r="B86" s="478" t="s">
        <v>2466</v>
      </c>
      <c r="C86" s="135">
        <v>0.4</v>
      </c>
      <c r="D86" s="135">
        <v>0.4</v>
      </c>
      <c r="E86" s="135">
        <v>0.4</v>
      </c>
      <c r="F86" s="135">
        <v>0.4</v>
      </c>
      <c r="G86" s="135">
        <v>0.4</v>
      </c>
      <c r="H86" s="135">
        <v>0.4</v>
      </c>
      <c r="I86" s="135">
        <v>0.4</v>
      </c>
      <c r="J86" s="135">
        <v>0.4</v>
      </c>
      <c r="K86" s="135"/>
    </row>
    <row r="87" spans="2:11">
      <c r="B87" s="478" t="s">
        <v>2467</v>
      </c>
      <c r="C87" s="496">
        <f>C85*C86</f>
        <v>99.960000000000008</v>
      </c>
      <c r="D87" s="496">
        <f t="shared" ref="D87:J87" si="4">D85*D86</f>
        <v>149.94000000000003</v>
      </c>
      <c r="E87" s="496">
        <f>E85*E86</f>
        <v>199.92000000000002</v>
      </c>
      <c r="F87" s="496">
        <f t="shared" si="4"/>
        <v>249.9</v>
      </c>
      <c r="G87" s="496">
        <f t="shared" si="4"/>
        <v>299.88000000000005</v>
      </c>
      <c r="H87" s="496">
        <f t="shared" si="4"/>
        <v>349.86</v>
      </c>
      <c r="I87" s="496">
        <f t="shared" si="4"/>
        <v>399.84000000000003</v>
      </c>
      <c r="J87" s="496">
        <f t="shared" si="4"/>
        <v>449.82</v>
      </c>
      <c r="K87" s="496"/>
    </row>
    <row r="88" spans="2:11">
      <c r="B88" s="478" t="s">
        <v>2461</v>
      </c>
      <c r="C88" s="496">
        <f>C87/SOP!$I$35*SOP!$I$42</f>
        <v>6.615410878620847</v>
      </c>
      <c r="D88" s="496">
        <f>D87/SOP!$I$35*SOP!$I$42</f>
        <v>9.9231163179312727</v>
      </c>
      <c r="E88" s="496">
        <f>E87/SOP!$I$35*SOP!$I$42</f>
        <v>13.230821757241694</v>
      </c>
      <c r="F88" s="496">
        <f>F87/SOP!$I$35*SOP!$I$42</f>
        <v>16.538527196552117</v>
      </c>
      <c r="G88" s="496">
        <f>G87/SOP!$I$35*SOP!$I$42</f>
        <v>19.846232635862545</v>
      </c>
      <c r="H88" s="496">
        <f>H87/SOP!$I$35*SOP!$I$42</f>
        <v>23.153938075172967</v>
      </c>
      <c r="I88" s="496">
        <f>I87/SOP!$I$35*SOP!$I$42</f>
        <v>26.461643514483388</v>
      </c>
      <c r="J88" s="496">
        <f>J87/SOP!$I$35*SOP!$I$42</f>
        <v>29.769348953793809</v>
      </c>
      <c r="K88" s="496"/>
    </row>
    <row r="89" spans="2:11">
      <c r="C89" s="496"/>
      <c r="D89" s="6"/>
      <c r="F89" s="163"/>
    </row>
    <row r="90" spans="2:11">
      <c r="B90" s="487" t="s">
        <v>3353</v>
      </c>
      <c r="C90" s="497">
        <v>1149</v>
      </c>
      <c r="D90" s="497">
        <f>C90</f>
        <v>1149</v>
      </c>
      <c r="E90" s="497">
        <f>D90</f>
        <v>1149</v>
      </c>
      <c r="F90" s="497">
        <f>E90</f>
        <v>1149</v>
      </c>
    </row>
    <row r="91" spans="2:11">
      <c r="B91" s="478" t="s">
        <v>3354</v>
      </c>
      <c r="C91" s="496">
        <f>C81+C90</f>
        <v>3648</v>
      </c>
      <c r="D91" s="496">
        <f>D81+D90</f>
        <v>3648</v>
      </c>
      <c r="E91" s="496">
        <f>E81+E90</f>
        <v>3648</v>
      </c>
      <c r="F91" s="496">
        <f>F81+F90</f>
        <v>3648</v>
      </c>
    </row>
    <row r="92" spans="2:11">
      <c r="B92" s="478" t="s">
        <v>3631</v>
      </c>
      <c r="C92" s="496"/>
      <c r="D92" s="496"/>
      <c r="E92" s="454">
        <f>E91*E82/1000000</f>
        <v>729.6</v>
      </c>
      <c r="F92" s="163"/>
    </row>
    <row r="93" spans="2:11">
      <c r="B93" s="478" t="s">
        <v>3630</v>
      </c>
      <c r="C93" s="496"/>
      <c r="D93" s="496"/>
      <c r="E93" s="449">
        <f>E87/E92</f>
        <v>0.27401315789473685</v>
      </c>
      <c r="F93" s="163"/>
    </row>
    <row r="94" spans="2:11">
      <c r="C94" s="496"/>
      <c r="D94" s="6"/>
      <c r="F94" s="163"/>
    </row>
    <row r="95" spans="2:11">
      <c r="B95" s="569">
        <v>42278</v>
      </c>
      <c r="C95" s="478" t="s">
        <v>3809</v>
      </c>
      <c r="D95" s="6"/>
      <c r="F95" s="163"/>
    </row>
    <row r="96" spans="2:11">
      <c r="C96" s="496"/>
      <c r="D96" s="6"/>
      <c r="F96" s="163"/>
    </row>
    <row r="97" spans="2:11">
      <c r="B97" s="478" t="s">
        <v>3810</v>
      </c>
      <c r="C97" s="496">
        <v>4800</v>
      </c>
      <c r="D97" s="6"/>
      <c r="F97" s="163"/>
    </row>
    <row r="98" spans="2:11">
      <c r="B98" s="478" t="s">
        <v>3811</v>
      </c>
      <c r="C98" s="464">
        <v>150000</v>
      </c>
      <c r="D98" s="6"/>
      <c r="F98" s="163"/>
    </row>
    <row r="99" spans="2:11">
      <c r="B99" s="478" t="s">
        <v>245</v>
      </c>
      <c r="C99" s="464">
        <f>C97*C98/1000000</f>
        <v>720</v>
      </c>
      <c r="D99" s="6"/>
      <c r="F99" s="163"/>
    </row>
    <row r="100" spans="2:11">
      <c r="B100" s="478" t="s">
        <v>1381</v>
      </c>
      <c r="C100" s="464">
        <v>200</v>
      </c>
      <c r="D100" s="6"/>
      <c r="F100" s="163"/>
    </row>
    <row r="101" spans="2:11">
      <c r="B101" s="478" t="s">
        <v>109</v>
      </c>
      <c r="C101" s="464">
        <f>C99-C100</f>
        <v>520</v>
      </c>
      <c r="D101" s="6"/>
      <c r="F101" s="163"/>
    </row>
    <row r="102" spans="2:11">
      <c r="B102" s="478" t="s">
        <v>3812</v>
      </c>
      <c r="C102" s="449">
        <v>0.24</v>
      </c>
      <c r="D102" s="6"/>
      <c r="F102" s="163"/>
    </row>
    <row r="103" spans="2:11">
      <c r="B103" s="478" t="s">
        <v>3813</v>
      </c>
      <c r="C103" s="464">
        <f>C101*C102</f>
        <v>124.8</v>
      </c>
      <c r="D103" s="6"/>
      <c r="F103" s="163"/>
    </row>
    <row r="104" spans="2:11">
      <c r="C104" s="496"/>
      <c r="D104" s="6"/>
      <c r="F104" s="163"/>
    </row>
    <row r="105" spans="2:11">
      <c r="B105" t="s">
        <v>2402</v>
      </c>
      <c r="C105" s="496"/>
      <c r="D105" s="6"/>
      <c r="F105" s="163"/>
    </row>
    <row r="106" spans="2:11">
      <c r="B106" t="s">
        <v>2449</v>
      </c>
      <c r="C106" s="496">
        <f>D23</f>
        <v>2326</v>
      </c>
      <c r="D106" s="496">
        <f>C106</f>
        <v>2326</v>
      </c>
      <c r="E106" s="496">
        <f t="shared" ref="E106:J106" si="5">D106</f>
        <v>2326</v>
      </c>
      <c r="F106" s="496">
        <f t="shared" si="5"/>
        <v>2326</v>
      </c>
      <c r="G106" s="496">
        <f t="shared" si="5"/>
        <v>2326</v>
      </c>
      <c r="H106" s="496">
        <f t="shared" si="5"/>
        <v>2326</v>
      </c>
      <c r="I106" s="496">
        <f t="shared" si="5"/>
        <v>2326</v>
      </c>
      <c r="J106" s="496">
        <f t="shared" si="5"/>
        <v>2326</v>
      </c>
      <c r="K106" s="496"/>
    </row>
    <row r="107" spans="2:11">
      <c r="B107" t="str">
        <f>B82</f>
        <v>Market price/tower (US$)</v>
      </c>
      <c r="C107" s="496">
        <f>C82</f>
        <v>100000</v>
      </c>
      <c r="D107" s="496">
        <f>C107+50000</f>
        <v>150000</v>
      </c>
      <c r="E107" s="496">
        <f t="shared" ref="E107:J107" si="6">D107+50000</f>
        <v>200000</v>
      </c>
      <c r="F107" s="496">
        <f t="shared" si="6"/>
        <v>250000</v>
      </c>
      <c r="G107" s="496">
        <f t="shared" si="6"/>
        <v>300000</v>
      </c>
      <c r="H107" s="496">
        <f t="shared" si="6"/>
        <v>350000</v>
      </c>
      <c r="I107" s="496">
        <f t="shared" si="6"/>
        <v>400000</v>
      </c>
      <c r="J107" s="496">
        <f t="shared" si="6"/>
        <v>450000</v>
      </c>
      <c r="K107" s="496"/>
    </row>
    <row r="108" spans="2:11">
      <c r="B108" s="478" t="s">
        <v>2465</v>
      </c>
      <c r="C108" s="496">
        <v>80000</v>
      </c>
      <c r="D108" s="496">
        <f>C108</f>
        <v>80000</v>
      </c>
      <c r="E108" s="496">
        <f t="shared" ref="E108:J108" si="7">D108</f>
        <v>80000</v>
      </c>
      <c r="F108" s="496">
        <f t="shared" si="7"/>
        <v>80000</v>
      </c>
      <c r="G108" s="496">
        <f t="shared" si="7"/>
        <v>80000</v>
      </c>
      <c r="H108" s="496">
        <f t="shared" si="7"/>
        <v>80000</v>
      </c>
      <c r="I108" s="496">
        <f t="shared" si="7"/>
        <v>80000</v>
      </c>
      <c r="J108" s="496">
        <f t="shared" si="7"/>
        <v>80000</v>
      </c>
      <c r="K108" s="496"/>
    </row>
    <row r="109" spans="2:11">
      <c r="B109" t="s">
        <v>2399</v>
      </c>
      <c r="C109" s="496">
        <f>C108*C106/1000000</f>
        <v>186.08</v>
      </c>
      <c r="D109" s="496">
        <f t="shared" ref="D109:J109" si="8">D108*D106/1000000</f>
        <v>186.08</v>
      </c>
      <c r="E109" s="496">
        <f t="shared" si="8"/>
        <v>186.08</v>
      </c>
      <c r="F109" s="496">
        <f t="shared" si="8"/>
        <v>186.08</v>
      </c>
      <c r="G109" s="496">
        <f>G108*G106/1000000</f>
        <v>186.08</v>
      </c>
      <c r="H109" s="496">
        <f t="shared" si="8"/>
        <v>186.08</v>
      </c>
      <c r="I109" s="496">
        <f t="shared" si="8"/>
        <v>186.08</v>
      </c>
      <c r="J109" s="496">
        <f t="shared" si="8"/>
        <v>186.08</v>
      </c>
      <c r="K109" s="496"/>
    </row>
    <row r="110" spans="2:11">
      <c r="B110" s="455" t="s">
        <v>2400</v>
      </c>
      <c r="C110" s="497">
        <f>C107*C106/1000000</f>
        <v>232.6</v>
      </c>
      <c r="D110" s="497">
        <f t="shared" ref="D110:J110" si="9">D107*D106/1000000</f>
        <v>348.9</v>
      </c>
      <c r="E110" s="497">
        <f t="shared" si="9"/>
        <v>465.2</v>
      </c>
      <c r="F110" s="497">
        <f t="shared" si="9"/>
        <v>581.5</v>
      </c>
      <c r="G110" s="497">
        <f>G107*G106/1000000</f>
        <v>697.8</v>
      </c>
      <c r="H110" s="497">
        <f t="shared" si="9"/>
        <v>814.1</v>
      </c>
      <c r="I110" s="497">
        <f t="shared" si="9"/>
        <v>930.4</v>
      </c>
      <c r="J110" s="497">
        <f t="shared" si="9"/>
        <v>1046.7</v>
      </c>
      <c r="K110" s="497"/>
    </row>
    <row r="111" spans="2:11">
      <c r="B111" t="s">
        <v>2401</v>
      </c>
      <c r="C111" s="496">
        <f>C110-C109</f>
        <v>46.519999999999982</v>
      </c>
      <c r="D111" s="496">
        <f t="shared" ref="D111:J111" si="10">D110-D109</f>
        <v>162.81999999999996</v>
      </c>
      <c r="E111" s="496">
        <f t="shared" si="10"/>
        <v>279.12</v>
      </c>
      <c r="F111" s="496">
        <f t="shared" si="10"/>
        <v>395.41999999999996</v>
      </c>
      <c r="G111" s="496">
        <f>G110-G109</f>
        <v>511.71999999999991</v>
      </c>
      <c r="H111" s="496">
        <f t="shared" si="10"/>
        <v>628.02</v>
      </c>
      <c r="I111" s="496">
        <f t="shared" si="10"/>
        <v>744.31999999999994</v>
      </c>
      <c r="J111" s="496">
        <f t="shared" si="10"/>
        <v>860.62</v>
      </c>
      <c r="K111" s="496"/>
    </row>
    <row r="112" spans="2:11">
      <c r="B112" t="s">
        <v>2468</v>
      </c>
      <c r="C112" s="135">
        <v>0.4</v>
      </c>
      <c r="D112" s="135">
        <v>0.4</v>
      </c>
      <c r="E112" s="135">
        <v>0.4</v>
      </c>
      <c r="F112" s="135">
        <v>0.4</v>
      </c>
      <c r="G112" s="135">
        <v>0.4</v>
      </c>
      <c r="H112" s="135">
        <v>0.4</v>
      </c>
      <c r="I112" s="135">
        <v>0.4</v>
      </c>
      <c r="J112" s="135">
        <v>0.4</v>
      </c>
      <c r="K112" s="135"/>
    </row>
    <row r="113" spans="2:11">
      <c r="B113" s="478" t="s">
        <v>2467</v>
      </c>
      <c r="C113" s="496">
        <f t="shared" ref="C113:J113" si="11">C111*C112</f>
        <v>18.607999999999993</v>
      </c>
      <c r="D113" s="496">
        <f t="shared" si="11"/>
        <v>65.127999999999986</v>
      </c>
      <c r="E113" s="496">
        <f t="shared" si="11"/>
        <v>111.64800000000001</v>
      </c>
      <c r="F113" s="496">
        <f t="shared" si="11"/>
        <v>158.16800000000001</v>
      </c>
      <c r="G113" s="496">
        <f t="shared" si="11"/>
        <v>204.68799999999999</v>
      </c>
      <c r="H113" s="496">
        <f t="shared" si="11"/>
        <v>251.208</v>
      </c>
      <c r="I113" s="496">
        <f t="shared" si="11"/>
        <v>297.72800000000001</v>
      </c>
      <c r="J113" s="496">
        <f t="shared" si="11"/>
        <v>344.24800000000005</v>
      </c>
      <c r="K113" s="496"/>
    </row>
    <row r="114" spans="2:11">
      <c r="B114" s="478" t="s">
        <v>2461</v>
      </c>
      <c r="C114" s="496">
        <f>C113/SOP!$I$35*SOP!$I$42</f>
        <v>1.2314882515944046</v>
      </c>
      <c r="D114" s="496">
        <f>D113/SOP!$I$35*SOP!$I$42</f>
        <v>4.310208880580416</v>
      </c>
      <c r="E114" s="496">
        <f>E113/SOP!$I$35*SOP!$I$42</f>
        <v>7.38892950956643</v>
      </c>
      <c r="F114" s="496">
        <f>F113/SOP!$I$35*SOP!$I$42</f>
        <v>10.467650138552443</v>
      </c>
      <c r="G114" s="496">
        <f>G113/SOP!$I$35*SOP!$I$42</f>
        <v>13.546370767538454</v>
      </c>
      <c r="H114" s="496">
        <f>H113/SOP!$I$35*SOP!$I$42</f>
        <v>16.625091396524468</v>
      </c>
      <c r="I114" s="496">
        <f>I113/SOP!$I$35*SOP!$I$42</f>
        <v>19.70381202551048</v>
      </c>
      <c r="J114" s="496">
        <f>J113/SOP!$I$35*SOP!$I$42</f>
        <v>22.782532654496496</v>
      </c>
      <c r="K114" s="496"/>
    </row>
    <row r="115" spans="2:11">
      <c r="C115" s="405" t="s">
        <v>1823</v>
      </c>
      <c r="D115" s="6"/>
      <c r="F115" s="163"/>
    </row>
    <row r="116" spans="2:11">
      <c r="B116" s="478" t="s">
        <v>798</v>
      </c>
      <c r="C116" s="405">
        <v>200</v>
      </c>
      <c r="D116" s="6"/>
      <c r="F116" s="163"/>
    </row>
    <row r="117" spans="2:11">
      <c r="B117" s="478" t="s">
        <v>360</v>
      </c>
      <c r="C117" s="405">
        <v>80</v>
      </c>
      <c r="D117" s="6"/>
      <c r="F117" s="163"/>
    </row>
    <row r="118" spans="2:11">
      <c r="B118" s="478" t="s">
        <v>1434</v>
      </c>
      <c r="C118" s="135">
        <f>C117/C116</f>
        <v>0.4</v>
      </c>
      <c r="D118" s="6"/>
      <c r="F118" s="163"/>
    </row>
    <row r="119" spans="2:11">
      <c r="B119" s="478" t="s">
        <v>2447</v>
      </c>
      <c r="C119" s="405">
        <v>15</v>
      </c>
      <c r="D119" s="6"/>
      <c r="F119" s="163"/>
    </row>
    <row r="120" spans="2:11">
      <c r="B120" s="478" t="s">
        <v>245</v>
      </c>
      <c r="C120" s="405">
        <f>C119*C117</f>
        <v>1200</v>
      </c>
      <c r="D120" s="6"/>
      <c r="F120" s="163"/>
    </row>
    <row r="121" spans="2:11">
      <c r="B121" s="478" t="s">
        <v>2448</v>
      </c>
      <c r="C121" s="405">
        <f>C120*1000000/D21</f>
        <v>480192.07683073229</v>
      </c>
      <c r="D121" s="6"/>
      <c r="F121" s="163"/>
    </row>
    <row r="122" spans="2:11">
      <c r="D122" s="6"/>
      <c r="F122" s="163"/>
    </row>
    <row r="123" spans="2:11">
      <c r="B123" t="s">
        <v>1518</v>
      </c>
      <c r="D123" s="6"/>
      <c r="E123" t="s">
        <v>1519</v>
      </c>
      <c r="F123" s="163"/>
    </row>
    <row r="124" spans="2:11">
      <c r="B124" t="s">
        <v>1823</v>
      </c>
      <c r="D124" s="6"/>
      <c r="F124" s="163"/>
    </row>
    <row r="125" spans="2:11">
      <c r="B125" t="s">
        <v>1517</v>
      </c>
    </row>
    <row r="127" spans="2:11">
      <c r="B127" s="106" t="s">
        <v>1665</v>
      </c>
    </row>
    <row r="128" spans="2:11">
      <c r="B128" s="117" t="s">
        <v>1514</v>
      </c>
    </row>
    <row r="129" spans="2:4">
      <c r="B129" s="117" t="s">
        <v>1515</v>
      </c>
    </row>
    <row r="130" spans="2:4">
      <c r="B130" t="s">
        <v>1513</v>
      </c>
    </row>
    <row r="131" spans="2:4">
      <c r="B131" s="106" t="s">
        <v>1831</v>
      </c>
    </row>
    <row r="132" spans="2:4">
      <c r="B132" s="117" t="s">
        <v>1516</v>
      </c>
    </row>
    <row r="134" spans="2:4">
      <c r="B134" t="s">
        <v>621</v>
      </c>
      <c r="C134" t="s">
        <v>1485</v>
      </c>
      <c r="D134" s="6" t="s">
        <v>1487</v>
      </c>
    </row>
    <row r="135" spans="2:4">
      <c r="B135" t="s">
        <v>1486</v>
      </c>
      <c r="C135" t="s">
        <v>371</v>
      </c>
      <c r="D135">
        <v>4746</v>
      </c>
    </row>
    <row r="136" spans="2:4">
      <c r="C136" t="s">
        <v>374</v>
      </c>
      <c r="D136">
        <v>4420</v>
      </c>
    </row>
    <row r="137" spans="2:4">
      <c r="C137" s="11" t="s">
        <v>1831</v>
      </c>
      <c r="D137" s="11">
        <v>3880</v>
      </c>
    </row>
    <row r="138" spans="2:4">
      <c r="D138">
        <f>SUM(D135:D137)</f>
        <v>13046</v>
      </c>
    </row>
    <row r="140" spans="2:4">
      <c r="B140" t="s">
        <v>2456</v>
      </c>
      <c r="C140" t="s">
        <v>2469</v>
      </c>
    </row>
    <row r="141" spans="2:4">
      <c r="B141" t="s">
        <v>1381</v>
      </c>
      <c r="C141">
        <v>5.7</v>
      </c>
    </row>
    <row r="142" spans="2:4">
      <c r="B142" t="s">
        <v>109</v>
      </c>
      <c r="C142">
        <v>22</v>
      </c>
    </row>
    <row r="143" spans="2:4">
      <c r="B143" t="s">
        <v>245</v>
      </c>
      <c r="C143">
        <f>C141+C142</f>
        <v>27.7</v>
      </c>
    </row>
    <row r="144" spans="2:4">
      <c r="C144">
        <v>38000</v>
      </c>
    </row>
    <row r="145" spans="2:4">
      <c r="B145" t="s">
        <v>2448</v>
      </c>
      <c r="C145" s="454">
        <f>C143*1000000000/C144</f>
        <v>728947.36842105258</v>
      </c>
    </row>
    <row r="147" spans="2:4">
      <c r="B147" s="2" t="s">
        <v>1712</v>
      </c>
    </row>
    <row r="148" spans="2:4">
      <c r="B148" s="4" t="s">
        <v>1509</v>
      </c>
    </row>
    <row r="149" spans="2:4">
      <c r="B149" s="4" t="s">
        <v>1511</v>
      </c>
    </row>
    <row r="150" spans="2:4">
      <c r="B150" s="4" t="s">
        <v>1510</v>
      </c>
    </row>
    <row r="151" spans="2:4">
      <c r="B151" s="4" t="s">
        <v>1508</v>
      </c>
    </row>
    <row r="152" spans="2:4">
      <c r="B152" s="4" t="s">
        <v>1491</v>
      </c>
    </row>
    <row r="153" spans="2:4">
      <c r="B153" s="4" t="s">
        <v>1520</v>
      </c>
    </row>
    <row r="154" spans="2:4">
      <c r="B154" s="137" t="s">
        <v>1505</v>
      </c>
      <c r="D154" t="s">
        <v>1506</v>
      </c>
    </row>
    <row r="155" spans="2:4">
      <c r="B155" s="4"/>
      <c r="D155" t="s">
        <v>1507</v>
      </c>
    </row>
    <row r="156" spans="2:4">
      <c r="B156" s="4" t="s">
        <v>1501</v>
      </c>
    </row>
    <row r="157" spans="2:4">
      <c r="B157" s="4" t="s">
        <v>1512</v>
      </c>
    </row>
    <row r="159" spans="2:4">
      <c r="B159" s="2" t="s">
        <v>1477</v>
      </c>
    </row>
    <row r="160" spans="2:4">
      <c r="B160" s="4" t="s">
        <v>1480</v>
      </c>
    </row>
    <row r="161" spans="2:2">
      <c r="B161" t="s">
        <v>1498</v>
      </c>
    </row>
    <row r="162" spans="2:2">
      <c r="B162" t="s">
        <v>1497</v>
      </c>
    </row>
    <row r="164" spans="2:2">
      <c r="B164" t="s">
        <v>1492</v>
      </c>
    </row>
    <row r="165" spans="2:2">
      <c r="B165" t="s">
        <v>1500</v>
      </c>
    </row>
    <row r="166" spans="2:2">
      <c r="B166" t="s">
        <v>1499</v>
      </c>
    </row>
    <row r="168" spans="2:2">
      <c r="B168" s="2" t="s">
        <v>1478</v>
      </c>
    </row>
    <row r="169" spans="2:2">
      <c r="B169" s="4" t="s">
        <v>1479</v>
      </c>
    </row>
    <row r="170" spans="2:2">
      <c r="B170" s="2"/>
    </row>
    <row r="171" spans="2:2">
      <c r="B171" s="2" t="s">
        <v>395</v>
      </c>
    </row>
    <row r="172" spans="2:2">
      <c r="B172" s="4" t="s">
        <v>1483</v>
      </c>
    </row>
    <row r="173" spans="2:2">
      <c r="B173" s="4" t="s">
        <v>1488</v>
      </c>
    </row>
    <row r="174" spans="2:2">
      <c r="B174" s="4"/>
    </row>
    <row r="175" spans="2:2">
      <c r="B175" s="2" t="s">
        <v>1502</v>
      </c>
    </row>
    <row r="176" spans="2:2">
      <c r="B176" s="4" t="s">
        <v>1503</v>
      </c>
    </row>
    <row r="177" spans="2:4">
      <c r="B177" s="4" t="s">
        <v>1504</v>
      </c>
    </row>
    <row r="178" spans="2:4">
      <c r="B178" s="4"/>
    </row>
    <row r="179" spans="2:4">
      <c r="B179" s="4"/>
    </row>
    <row r="180" spans="2:4">
      <c r="B180" s="2" t="s">
        <v>1381</v>
      </c>
    </row>
    <row r="181" spans="2:4">
      <c r="B181" s="4" t="s">
        <v>1484</v>
      </c>
    </row>
    <row r="183" spans="2:4">
      <c r="B183" s="394" t="s">
        <v>972</v>
      </c>
      <c r="C183" s="252"/>
      <c r="D183" s="252"/>
    </row>
    <row r="184" spans="2:4">
      <c r="B184" s="2"/>
    </row>
    <row r="185" spans="2:4">
      <c r="B185" s="2" t="s">
        <v>186</v>
      </c>
    </row>
    <row r="186" spans="2:4">
      <c r="B186" t="s">
        <v>974</v>
      </c>
    </row>
    <row r="187" spans="2:4">
      <c r="B187" s="129" t="s">
        <v>975</v>
      </c>
    </row>
    <row r="188" spans="2:4">
      <c r="B188" s="129" t="s">
        <v>976</v>
      </c>
    </row>
    <row r="189" spans="2:4">
      <c r="B189" t="s">
        <v>283</v>
      </c>
    </row>
    <row r="190" spans="2:4">
      <c r="B190" t="s">
        <v>934</v>
      </c>
    </row>
    <row r="192" spans="2:4">
      <c r="B192" t="s">
        <v>973</v>
      </c>
    </row>
    <row r="193" spans="2:2">
      <c r="B193" t="s">
        <v>936</v>
      </c>
    </row>
    <row r="194" spans="2:2">
      <c r="B194" t="s">
        <v>1533</v>
      </c>
    </row>
    <row r="195" spans="2:2">
      <c r="B195" t="s">
        <v>1534</v>
      </c>
    </row>
    <row r="196" spans="2:2">
      <c r="B196" t="s">
        <v>933</v>
      </c>
    </row>
    <row r="197" spans="2:2">
      <c r="B197" t="s">
        <v>935</v>
      </c>
    </row>
    <row r="198" spans="2:2">
      <c r="B198" t="s">
        <v>97</v>
      </c>
    </row>
    <row r="199" spans="2:2">
      <c r="B199" t="s">
        <v>1823</v>
      </c>
    </row>
    <row r="200" spans="2:2">
      <c r="B200" s="2" t="s">
        <v>1828</v>
      </c>
    </row>
    <row r="201" spans="2:2">
      <c r="B201" t="s">
        <v>835</v>
      </c>
    </row>
    <row r="202" spans="2:2">
      <c r="B202" t="s">
        <v>128</v>
      </c>
    </row>
    <row r="203" spans="2:2">
      <c r="B203" t="s">
        <v>129</v>
      </c>
    </row>
    <row r="204" spans="2:2">
      <c r="B204" t="s">
        <v>130</v>
      </c>
    </row>
    <row r="205" spans="2:2">
      <c r="B205" t="s">
        <v>2197</v>
      </c>
    </row>
    <row r="206" spans="2:2">
      <c r="B206" t="s">
        <v>2198</v>
      </c>
    </row>
    <row r="207" spans="2:2">
      <c r="B207" t="s">
        <v>2199</v>
      </c>
    </row>
    <row r="208" spans="2:2">
      <c r="B208" t="s">
        <v>916</v>
      </c>
    </row>
    <row r="209" spans="2:2">
      <c r="B209" t="s">
        <v>917</v>
      </c>
    </row>
    <row r="210" spans="2:2">
      <c r="B210" t="s">
        <v>918</v>
      </c>
    </row>
    <row r="211" spans="2:2">
      <c r="B211" t="s">
        <v>919</v>
      </c>
    </row>
    <row r="212" spans="2:2">
      <c r="B212" t="s">
        <v>1823</v>
      </c>
    </row>
    <row r="213" spans="2:2">
      <c r="B213" s="2" t="s">
        <v>1697</v>
      </c>
    </row>
    <row r="214" spans="2:2">
      <c r="B214" s="4" t="s">
        <v>386</v>
      </c>
    </row>
    <row r="215" spans="2:2">
      <c r="B215" s="4" t="s">
        <v>387</v>
      </c>
    </row>
    <row r="217" spans="2:2">
      <c r="B217" s="2" t="s">
        <v>1831</v>
      </c>
    </row>
    <row r="218" spans="2:2">
      <c r="B218" t="s">
        <v>931</v>
      </c>
    </row>
    <row r="219" spans="2:2">
      <c r="B219" t="s">
        <v>1657</v>
      </c>
    </row>
    <row r="220" spans="2:2">
      <c r="B220" t="s">
        <v>1532</v>
      </c>
    </row>
    <row r="221" spans="2:2">
      <c r="B221" t="s">
        <v>1537</v>
      </c>
    </row>
    <row r="222" spans="2:2">
      <c r="B222" s="4" t="s">
        <v>2369</v>
      </c>
    </row>
    <row r="223" spans="2:2" ht="15.75">
      <c r="B223" s="374" t="s">
        <v>2365</v>
      </c>
    </row>
    <row r="224" spans="2:2" ht="15.75">
      <c r="B224" s="374" t="s">
        <v>2366</v>
      </c>
    </row>
    <row r="225" spans="2:4">
      <c r="B225" t="s">
        <v>2367</v>
      </c>
    </row>
    <row r="226" spans="2:4">
      <c r="B226" t="s">
        <v>2368</v>
      </c>
    </row>
    <row r="227" spans="2:4">
      <c r="B227" t="s">
        <v>2385</v>
      </c>
    </row>
    <row r="228" spans="2:4">
      <c r="B228" t="s">
        <v>1658</v>
      </c>
    </row>
    <row r="229" spans="2:4">
      <c r="B229" t="s">
        <v>873</v>
      </c>
    </row>
    <row r="232" spans="2:4">
      <c r="B232" s="394" t="s">
        <v>1894</v>
      </c>
      <c r="C232" s="252"/>
      <c r="D232" s="252"/>
    </row>
    <row r="233" spans="2:4">
      <c r="B233" t="s">
        <v>1895</v>
      </c>
    </row>
    <row r="234" spans="2:4">
      <c r="B234" t="s">
        <v>1896</v>
      </c>
    </row>
    <row r="235" spans="2:4">
      <c r="B235" t="s">
        <v>1897</v>
      </c>
    </row>
    <row r="236" spans="2:4">
      <c r="B236" t="s">
        <v>1898</v>
      </c>
    </row>
    <row r="237" spans="2:4">
      <c r="B237" t="s">
        <v>1900</v>
      </c>
    </row>
    <row r="238" spans="2:4">
      <c r="B238" t="s">
        <v>2304</v>
      </c>
    </row>
    <row r="239" spans="2:4">
      <c r="B239" t="s">
        <v>2305</v>
      </c>
    </row>
    <row r="241" spans="2:2">
      <c r="B241" s="3" t="s">
        <v>1879</v>
      </c>
    </row>
    <row r="243" spans="2:2">
      <c r="B243" s="2" t="s">
        <v>989</v>
      </c>
    </row>
    <row r="244" spans="2:2">
      <c r="B244" t="s">
        <v>990</v>
      </c>
    </row>
    <row r="245" spans="2:2">
      <c r="B245" s="2" t="s">
        <v>1702</v>
      </c>
    </row>
    <row r="246" spans="2:2">
      <c r="B246" t="s">
        <v>1704</v>
      </c>
    </row>
    <row r="247" spans="2:2">
      <c r="B247" t="s">
        <v>1863</v>
      </c>
    </row>
    <row r="248" spans="2:2">
      <c r="B248" s="2" t="s">
        <v>1703</v>
      </c>
    </row>
    <row r="249" spans="2:2">
      <c r="B249" t="s">
        <v>1858</v>
      </c>
    </row>
    <row r="250" spans="2:2">
      <c r="B250" s="2" t="s">
        <v>1859</v>
      </c>
    </row>
    <row r="251" spans="2:2">
      <c r="B251" t="s">
        <v>1860</v>
      </c>
    </row>
    <row r="252" spans="2:2">
      <c r="B252" s="4" t="s">
        <v>306</v>
      </c>
    </row>
    <row r="253" spans="2:2">
      <c r="B253" s="2" t="s">
        <v>371</v>
      </c>
    </row>
    <row r="254" spans="2:2">
      <c r="B254" t="s">
        <v>441</v>
      </c>
    </row>
    <row r="255" spans="2:2">
      <c r="B255" t="s">
        <v>1862</v>
      </c>
    </row>
    <row r="256" spans="2:2">
      <c r="B256" t="s">
        <v>1754</v>
      </c>
    </row>
    <row r="257" spans="2:2">
      <c r="B257" t="s">
        <v>1755</v>
      </c>
    </row>
    <row r="258" spans="2:2">
      <c r="B258" s="2" t="s">
        <v>307</v>
      </c>
    </row>
    <row r="259" spans="2:2">
      <c r="B259" t="s">
        <v>440</v>
      </c>
    </row>
    <row r="260" spans="2:2">
      <c r="B260" s="4" t="s">
        <v>442</v>
      </c>
    </row>
    <row r="261" spans="2:2">
      <c r="B261" s="4" t="s">
        <v>443</v>
      </c>
    </row>
    <row r="262" spans="2:2">
      <c r="B262" s="4" t="s">
        <v>636</v>
      </c>
    </row>
    <row r="263" spans="2:2">
      <c r="B263" s="2" t="s">
        <v>1153</v>
      </c>
    </row>
    <row r="264" spans="2:2">
      <c r="B264" s="4" t="s">
        <v>1154</v>
      </c>
    </row>
    <row r="265" spans="2:2">
      <c r="B265" s="4" t="s">
        <v>1861</v>
      </c>
    </row>
    <row r="266" spans="2:2">
      <c r="B266" s="4" t="s">
        <v>1339</v>
      </c>
    </row>
    <row r="267" spans="2:2">
      <c r="B267" s="4" t="s">
        <v>1340</v>
      </c>
    </row>
    <row r="268" spans="2:2">
      <c r="B268" s="4" t="s">
        <v>1341</v>
      </c>
    </row>
    <row r="269" spans="2:2">
      <c r="B269" s="2" t="s">
        <v>1163</v>
      </c>
    </row>
    <row r="270" spans="2:2">
      <c r="B270" s="4" t="s">
        <v>1756</v>
      </c>
    </row>
    <row r="271" spans="2:2">
      <c r="B271" s="2" t="s">
        <v>1757</v>
      </c>
    </row>
    <row r="272" spans="2:2">
      <c r="B272" s="4" t="s">
        <v>1736</v>
      </c>
    </row>
    <row r="273" spans="2:8">
      <c r="B273" s="2" t="s">
        <v>1737</v>
      </c>
    </row>
    <row r="274" spans="2:8">
      <c r="B274" s="4" t="s">
        <v>1738</v>
      </c>
    </row>
    <row r="275" spans="2:8">
      <c r="B275" s="2" t="s">
        <v>633</v>
      </c>
    </row>
    <row r="276" spans="2:8">
      <c r="B276" s="4" t="s">
        <v>634</v>
      </c>
    </row>
    <row r="277" spans="2:8">
      <c r="B277" s="2" t="s">
        <v>155</v>
      </c>
    </row>
    <row r="278" spans="2:8">
      <c r="B278" s="4" t="s">
        <v>1237</v>
      </c>
    </row>
    <row r="279" spans="2:8">
      <c r="B279" s="2" t="s">
        <v>2307</v>
      </c>
    </row>
    <row r="280" spans="2:8">
      <c r="B280" s="4"/>
    </row>
    <row r="281" spans="2:8">
      <c r="B281" s="4"/>
    </row>
    <row r="283" spans="2:8">
      <c r="B283" s="3" t="s">
        <v>741</v>
      </c>
      <c r="F283" s="3" t="s">
        <v>1877</v>
      </c>
    </row>
    <row r="285" spans="2:8">
      <c r="B285" t="s">
        <v>742</v>
      </c>
      <c r="F285" s="2" t="s">
        <v>1831</v>
      </c>
      <c r="H285" s="38" t="s">
        <v>275</v>
      </c>
    </row>
    <row r="286" spans="2:8">
      <c r="B286" t="s">
        <v>743</v>
      </c>
      <c r="F286" t="s">
        <v>1324</v>
      </c>
      <c r="H286" s="2" t="s">
        <v>276</v>
      </c>
    </row>
    <row r="287" spans="2:8">
      <c r="B287" s="2" t="s">
        <v>1828</v>
      </c>
      <c r="F287" t="s">
        <v>467</v>
      </c>
      <c r="H287" s="2" t="s">
        <v>277</v>
      </c>
    </row>
    <row r="288" spans="2:8">
      <c r="B288" t="s">
        <v>744</v>
      </c>
      <c r="F288" t="s">
        <v>747</v>
      </c>
      <c r="H288" s="38" t="s">
        <v>1831</v>
      </c>
    </row>
    <row r="289" spans="2:8">
      <c r="B289" s="2" t="s">
        <v>1665</v>
      </c>
      <c r="F289" t="s">
        <v>1325</v>
      </c>
      <c r="H289" s="4" t="s">
        <v>278</v>
      </c>
    </row>
    <row r="290" spans="2:8">
      <c r="B290" t="s">
        <v>754</v>
      </c>
      <c r="F290" t="s">
        <v>462</v>
      </c>
      <c r="H290" s="4" t="s">
        <v>279</v>
      </c>
    </row>
    <row r="291" spans="2:8">
      <c r="B291" s="2" t="s">
        <v>1831</v>
      </c>
      <c r="F291" t="s">
        <v>463</v>
      </c>
      <c r="H291" s="4" t="s">
        <v>280</v>
      </c>
    </row>
    <row r="292" spans="2:8">
      <c r="B292" t="s">
        <v>2080</v>
      </c>
      <c r="F292" s="2" t="s">
        <v>1014</v>
      </c>
      <c r="H292" s="4" t="s">
        <v>1468</v>
      </c>
    </row>
    <row r="293" spans="2:8">
      <c r="B293" s="4" t="s">
        <v>2082</v>
      </c>
      <c r="F293" s="38" t="s">
        <v>1665</v>
      </c>
      <c r="H293" s="4" t="s">
        <v>1013</v>
      </c>
    </row>
    <row r="294" spans="2:8">
      <c r="B294" s="4" t="s">
        <v>1323</v>
      </c>
      <c r="F294" t="s">
        <v>474</v>
      </c>
      <c r="H294" s="4" t="s">
        <v>1015</v>
      </c>
    </row>
    <row r="295" spans="2:8">
      <c r="B295" s="2" t="s">
        <v>548</v>
      </c>
      <c r="F295" s="2" t="s">
        <v>477</v>
      </c>
      <c r="H295" s="4" t="s">
        <v>1016</v>
      </c>
    </row>
    <row r="296" spans="2:8">
      <c r="B296" t="s">
        <v>1326</v>
      </c>
      <c r="F296" s="2" t="s">
        <v>475</v>
      </c>
      <c r="H296" s="4" t="s">
        <v>1017</v>
      </c>
    </row>
    <row r="297" spans="2:8">
      <c r="B297" s="2" t="s">
        <v>1545</v>
      </c>
      <c r="F297" s="4" t="s">
        <v>2373</v>
      </c>
      <c r="H297" s="4" t="s">
        <v>643</v>
      </c>
    </row>
    <row r="298" spans="2:8">
      <c r="B298" t="s">
        <v>748</v>
      </c>
      <c r="F298" s="38" t="s">
        <v>470</v>
      </c>
      <c r="H298" s="38" t="s">
        <v>1665</v>
      </c>
    </row>
    <row r="299" spans="2:8">
      <c r="B299" t="s">
        <v>550</v>
      </c>
      <c r="F299" t="s">
        <v>471</v>
      </c>
      <c r="H299" s="4" t="s">
        <v>1018</v>
      </c>
    </row>
    <row r="300" spans="2:8">
      <c r="B300" t="s">
        <v>551</v>
      </c>
      <c r="F300" s="4" t="s">
        <v>472</v>
      </c>
      <c r="H300" s="2" t="s">
        <v>1019</v>
      </c>
    </row>
    <row r="301" spans="2:8">
      <c r="B301" t="s">
        <v>464</v>
      </c>
      <c r="F301" t="s">
        <v>381</v>
      </c>
      <c r="H301" s="38" t="s">
        <v>1020</v>
      </c>
    </row>
    <row r="302" spans="2:8">
      <c r="B302" s="2" t="s">
        <v>552</v>
      </c>
      <c r="F302" s="2" t="s">
        <v>382</v>
      </c>
      <c r="H302" t="s">
        <v>1021</v>
      </c>
    </row>
    <row r="303" spans="2:8">
      <c r="B303" t="s">
        <v>553</v>
      </c>
      <c r="H303" t="s">
        <v>1023</v>
      </c>
    </row>
    <row r="304" spans="2:8">
      <c r="B304" s="2" t="s">
        <v>1381</v>
      </c>
      <c r="F304" s="38" t="s">
        <v>468</v>
      </c>
      <c r="H304" t="s">
        <v>1022</v>
      </c>
    </row>
    <row r="305" spans="2:8">
      <c r="B305" t="s">
        <v>554</v>
      </c>
      <c r="F305" t="s">
        <v>462</v>
      </c>
      <c r="H305" s="106" t="s">
        <v>827</v>
      </c>
    </row>
    <row r="306" spans="2:8">
      <c r="B306" s="4" t="s">
        <v>1304</v>
      </c>
      <c r="F306" s="38" t="s">
        <v>1545</v>
      </c>
      <c r="H306" t="s">
        <v>105</v>
      </c>
    </row>
    <row r="307" spans="2:8">
      <c r="B307" s="4" t="s">
        <v>1305</v>
      </c>
      <c r="F307" t="s">
        <v>469</v>
      </c>
      <c r="H307" t="s">
        <v>491</v>
      </c>
    </row>
    <row r="308" spans="2:8">
      <c r="B308" s="2" t="s">
        <v>395</v>
      </c>
      <c r="F308" s="38" t="s">
        <v>1381</v>
      </c>
      <c r="H308" t="s">
        <v>492</v>
      </c>
    </row>
    <row r="309" spans="2:8">
      <c r="B309" s="4" t="s">
        <v>2386</v>
      </c>
      <c r="F309" t="s">
        <v>473</v>
      </c>
      <c r="H309" s="106" t="s">
        <v>493</v>
      </c>
    </row>
    <row r="310" spans="2:8">
      <c r="B310" s="4"/>
      <c r="F310" s="38" t="s">
        <v>395</v>
      </c>
      <c r="H310" t="s">
        <v>641</v>
      </c>
    </row>
    <row r="311" spans="2:8">
      <c r="B311" s="4"/>
      <c r="F311" t="s">
        <v>476</v>
      </c>
      <c r="H311" s="106" t="s">
        <v>1545</v>
      </c>
    </row>
    <row r="312" spans="2:8">
      <c r="B312" s="4"/>
      <c r="F312" s="2" t="s">
        <v>380</v>
      </c>
      <c r="H312" t="s">
        <v>642</v>
      </c>
    </row>
    <row r="313" spans="2:8">
      <c r="B313" s="4"/>
      <c r="F313" s="2" t="s">
        <v>378</v>
      </c>
      <c r="H313" s="117" t="s">
        <v>644</v>
      </c>
    </row>
    <row r="314" spans="2:8">
      <c r="B314" s="4"/>
      <c r="F314" s="2" t="s">
        <v>379</v>
      </c>
      <c r="H314" s="106" t="s">
        <v>645</v>
      </c>
    </row>
    <row r="315" spans="2:8">
      <c r="B315" s="4"/>
      <c r="H315" s="117" t="s">
        <v>1183</v>
      </c>
    </row>
    <row r="316" spans="2:8">
      <c r="B316" s="4"/>
      <c r="H316" s="117" t="s">
        <v>1574</v>
      </c>
    </row>
    <row r="317" spans="2:8">
      <c r="B317" s="4"/>
      <c r="H317" s="106" t="s">
        <v>1828</v>
      </c>
    </row>
    <row r="318" spans="2:8">
      <c r="B318" s="4"/>
      <c r="H318" s="117" t="s">
        <v>1575</v>
      </c>
    </row>
    <row r="319" spans="2:8">
      <c r="B319" s="4"/>
      <c r="H319" s="117" t="s">
        <v>1576</v>
      </c>
    </row>
    <row r="320" spans="2:8">
      <c r="B320" s="4"/>
      <c r="H320" s="117" t="s">
        <v>1577</v>
      </c>
    </row>
    <row r="321" spans="2:8">
      <c r="B321" s="4"/>
      <c r="H321" s="117" t="s">
        <v>385</v>
      </c>
    </row>
    <row r="322" spans="2:8">
      <c r="B322" s="4"/>
      <c r="F322" t="s">
        <v>1823</v>
      </c>
      <c r="H322" s="106" t="s">
        <v>2370</v>
      </c>
    </row>
    <row r="323" spans="2:8">
      <c r="B323" s="4"/>
      <c r="H323" s="117" t="s">
        <v>2371</v>
      </c>
    </row>
    <row r="324" spans="2:8">
      <c r="B324" s="4"/>
      <c r="H324" s="117" t="s">
        <v>2372</v>
      </c>
    </row>
    <row r="325" spans="2:8">
      <c r="B325" s="4"/>
      <c r="H325" s="117"/>
    </row>
    <row r="326" spans="2:8">
      <c r="B326" s="4"/>
      <c r="H326" s="117"/>
    </row>
    <row r="327" spans="2:8">
      <c r="B327" s="4"/>
      <c r="H327" s="117"/>
    </row>
    <row r="329" spans="2:8">
      <c r="B329" s="3" t="s">
        <v>1717</v>
      </c>
      <c r="F329" s="3" t="s">
        <v>1877</v>
      </c>
      <c r="H329" s="2" t="s">
        <v>837</v>
      </c>
    </row>
    <row r="331" spans="2:8">
      <c r="B331" t="s">
        <v>310</v>
      </c>
      <c r="F331" s="2" t="s">
        <v>1665</v>
      </c>
      <c r="H331" s="2" t="s">
        <v>584</v>
      </c>
    </row>
    <row r="332" spans="2:8">
      <c r="B332" t="s">
        <v>639</v>
      </c>
      <c r="F332" t="s">
        <v>422</v>
      </c>
      <c r="H332" t="s">
        <v>838</v>
      </c>
    </row>
    <row r="333" spans="2:8">
      <c r="B333" t="s">
        <v>638</v>
      </c>
      <c r="F333" s="4" t="s">
        <v>1465</v>
      </c>
      <c r="H333" s="137" t="s">
        <v>839</v>
      </c>
    </row>
    <row r="334" spans="2:8">
      <c r="B334" t="s">
        <v>1718</v>
      </c>
      <c r="F334" t="s">
        <v>1466</v>
      </c>
      <c r="H334" s="2" t="s">
        <v>941</v>
      </c>
    </row>
    <row r="335" spans="2:8">
      <c r="B335" t="s">
        <v>640</v>
      </c>
      <c r="F335" s="2" t="s">
        <v>1467</v>
      </c>
      <c r="H335" t="s">
        <v>840</v>
      </c>
    </row>
    <row r="336" spans="2:8">
      <c r="B336" t="s">
        <v>308</v>
      </c>
      <c r="F336" t="s">
        <v>977</v>
      </c>
      <c r="H336" t="s">
        <v>841</v>
      </c>
    </row>
    <row r="337" spans="2:19">
      <c r="B337" t="s">
        <v>309</v>
      </c>
      <c r="F337" t="s">
        <v>1155</v>
      </c>
      <c r="H337" s="2" t="s">
        <v>940</v>
      </c>
    </row>
    <row r="338" spans="2:19">
      <c r="B338" s="2" t="s">
        <v>1828</v>
      </c>
      <c r="F338" t="s">
        <v>1840</v>
      </c>
      <c r="H338" t="s">
        <v>89</v>
      </c>
    </row>
    <row r="339" spans="2:19">
      <c r="B339" s="4" t="s">
        <v>311</v>
      </c>
      <c r="E339" t="s">
        <v>1823</v>
      </c>
      <c r="F339" t="s">
        <v>1839</v>
      </c>
      <c r="H339" s="129" t="s">
        <v>2201</v>
      </c>
    </row>
    <row r="340" spans="2:19">
      <c r="B340" s="4" t="s">
        <v>2280</v>
      </c>
      <c r="F340" s="2" t="s">
        <v>978</v>
      </c>
      <c r="H340" s="129" t="s">
        <v>2202</v>
      </c>
      <c r="J340" s="7"/>
    </row>
    <row r="341" spans="2:19">
      <c r="B341" s="4" t="s">
        <v>1572</v>
      </c>
      <c r="F341" t="s">
        <v>979</v>
      </c>
      <c r="H341" s="4" t="s">
        <v>163</v>
      </c>
    </row>
    <row r="342" spans="2:19">
      <c r="B342" s="4" t="s">
        <v>671</v>
      </c>
      <c r="F342" s="4" t="s">
        <v>980</v>
      </c>
      <c r="H342" s="129" t="s">
        <v>164</v>
      </c>
    </row>
    <row r="343" spans="2:19">
      <c r="B343" s="2" t="s">
        <v>39</v>
      </c>
      <c r="F343" s="2" t="s">
        <v>446</v>
      </c>
      <c r="H343" s="129" t="s">
        <v>165</v>
      </c>
      <c r="I343" s="2" t="s">
        <v>2298</v>
      </c>
    </row>
    <row r="344" spans="2:19">
      <c r="B344" s="4" t="s">
        <v>1573</v>
      </c>
      <c r="F344" s="4" t="s">
        <v>447</v>
      </c>
      <c r="H344" t="s">
        <v>162</v>
      </c>
      <c r="I344" s="11"/>
      <c r="J344" s="96" t="e">
        <f>Quarts!#REF!</f>
        <v>#REF!</v>
      </c>
      <c r="K344" s="96" t="e">
        <f>Quarts!#REF!</f>
        <v>#REF!</v>
      </c>
      <c r="L344" s="96" t="str">
        <f>Quarts!BV115</f>
        <v>Q1 06</v>
      </c>
      <c r="M344" s="96" t="str">
        <f>Quarts!BW115</f>
        <v>Q2 06</v>
      </c>
      <c r="N344" s="96" t="str">
        <f>Quarts!BX115</f>
        <v>Q3 06</v>
      </c>
      <c r="O344" s="96" t="str">
        <f>Quarts!BY115</f>
        <v>Q4 06</v>
      </c>
      <c r="P344" s="96" t="str">
        <f>Quarts!BZ115</f>
        <v>Q1 07</v>
      </c>
      <c r="Q344" s="96" t="e">
        <f>Quarts!#REF!</f>
        <v>#REF!</v>
      </c>
      <c r="R344" s="96" t="e">
        <f>Quarts!#REF!</f>
        <v>#REF!</v>
      </c>
      <c r="S344" s="96" t="e">
        <f>Quarts!#REF!</f>
        <v>#REF!</v>
      </c>
    </row>
    <row r="345" spans="2:19">
      <c r="B345" s="4" t="s">
        <v>421</v>
      </c>
      <c r="F345" s="4" t="s">
        <v>448</v>
      </c>
      <c r="H345" s="2" t="s">
        <v>2200</v>
      </c>
      <c r="I345" t="s">
        <v>2171</v>
      </c>
      <c r="J345" s="7">
        <f>Quarts!Q290</f>
        <v>26.458739136372827</v>
      </c>
      <c r="K345" s="7">
        <f>Quarts!R290</f>
        <v>26.376437083992048</v>
      </c>
      <c r="L345" s="7">
        <f>Quarts!S290</f>
        <v>25.061417875222379</v>
      </c>
      <c r="M345" s="7">
        <f>Quarts!T290</f>
        <v>25.2120969549816</v>
      </c>
      <c r="N345" s="7">
        <f>Quarts!U290</f>
        <v>24.877119534495812</v>
      </c>
      <c r="O345" s="7">
        <f>Quarts!V290</f>
        <v>25.214863682159045</v>
      </c>
      <c r="P345" s="7">
        <f>Quarts!X290</f>
        <v>21.251612849884943</v>
      </c>
      <c r="Q345" s="7" t="e">
        <f>Quarts!#REF!</f>
        <v>#REF!</v>
      </c>
      <c r="R345" s="7" t="e">
        <f>Quarts!#REF!</f>
        <v>#REF!</v>
      </c>
      <c r="S345" s="7" t="e">
        <f>Quarts!#REF!</f>
        <v>#REF!</v>
      </c>
    </row>
    <row r="346" spans="2:19">
      <c r="B346" s="4" t="s">
        <v>420</v>
      </c>
      <c r="F346" s="4" t="s">
        <v>449</v>
      </c>
      <c r="H346" t="s">
        <v>943</v>
      </c>
      <c r="I346" t="s">
        <v>942</v>
      </c>
      <c r="J346" s="7"/>
      <c r="K346" s="7"/>
      <c r="L346" s="7">
        <f>P346/(1+P350)</f>
        <v>12</v>
      </c>
      <c r="M346" s="7">
        <f>M345*100/M347</f>
        <v>11.957636720274913</v>
      </c>
      <c r="N346" s="7">
        <f>N345*100/N347</f>
        <v>11.687895945023005</v>
      </c>
      <c r="O346" s="7">
        <f>O345*100/O347</f>
        <v>11.736296492703996</v>
      </c>
      <c r="P346" s="211">
        <v>9</v>
      </c>
      <c r="Q346" s="7">
        <f>(1+Q350)*M346</f>
        <v>8.9682275402061844</v>
      </c>
      <c r="R346" s="7">
        <f>(1+R350)*N346</f>
        <v>8.7659219587672546</v>
      </c>
      <c r="S346" s="7">
        <f>(1+S350)*O346</f>
        <v>8.8022223695279962</v>
      </c>
    </row>
    <row r="347" spans="2:19">
      <c r="B347" s="4" t="s">
        <v>670</v>
      </c>
      <c r="F347" s="2" t="s">
        <v>450</v>
      </c>
      <c r="H347" t="s">
        <v>1418</v>
      </c>
      <c r="I347" t="s">
        <v>515</v>
      </c>
      <c r="J347" s="9"/>
      <c r="K347" s="9"/>
      <c r="L347" s="9">
        <f>L345*100/L346</f>
        <v>208.84514896018649</v>
      </c>
      <c r="M347" s="176">
        <f>L347+2</f>
        <v>210.84514896018649</v>
      </c>
      <c r="N347" s="176">
        <f>M347+2</f>
        <v>212.84514896018649</v>
      </c>
      <c r="O347" s="176">
        <f>N347+2</f>
        <v>214.84514896018649</v>
      </c>
      <c r="P347" s="9">
        <f>P345*100/P346</f>
        <v>236.12903166538823</v>
      </c>
      <c r="Q347" s="9" t="e">
        <f>Q345*100/Q346</f>
        <v>#REF!</v>
      </c>
      <c r="R347" s="9" t="e">
        <f>R345*100/R346</f>
        <v>#REF!</v>
      </c>
      <c r="S347" s="9" t="e">
        <f>S345*100/S346</f>
        <v>#REF!</v>
      </c>
    </row>
    <row r="348" spans="2:19">
      <c r="B348" s="2" t="s">
        <v>1831</v>
      </c>
      <c r="F348" s="4" t="s">
        <v>452</v>
      </c>
      <c r="G348" s="200" t="s">
        <v>451</v>
      </c>
      <c r="H348" t="s">
        <v>937</v>
      </c>
    </row>
    <row r="349" spans="2:19">
      <c r="B349" s="4" t="s">
        <v>672</v>
      </c>
      <c r="F349" s="4" t="s">
        <v>453</v>
      </c>
      <c r="H349" t="s">
        <v>938</v>
      </c>
      <c r="I349" t="s">
        <v>2296</v>
      </c>
      <c r="L349" s="7"/>
      <c r="O349" s="16">
        <f>O345/K345-1</f>
        <v>-4.4038298202829118E-2</v>
      </c>
      <c r="P349" s="16">
        <f>P345/L345-1</f>
        <v>-0.15201873430729151</v>
      </c>
      <c r="Q349" s="16" t="e">
        <f>Q345/M345-1</f>
        <v>#REF!</v>
      </c>
      <c r="R349" s="16" t="e">
        <f>R345/N345-1</f>
        <v>#REF!</v>
      </c>
      <c r="S349" s="16" t="e">
        <f>S345/O345-1</f>
        <v>#REF!</v>
      </c>
    </row>
    <row r="350" spans="2:19">
      <c r="B350" s="2" t="s">
        <v>1163</v>
      </c>
      <c r="F350" s="4" t="s">
        <v>454</v>
      </c>
      <c r="H350" t="s">
        <v>939</v>
      </c>
      <c r="I350" t="s">
        <v>2296</v>
      </c>
      <c r="O350" s="16"/>
      <c r="P350" s="16">
        <v>-0.25</v>
      </c>
      <c r="Q350" s="65">
        <f>P350</f>
        <v>-0.25</v>
      </c>
      <c r="R350" s="65">
        <f>Q350</f>
        <v>-0.25</v>
      </c>
      <c r="S350" s="65">
        <f>R350</f>
        <v>-0.25</v>
      </c>
    </row>
    <row r="351" spans="2:19">
      <c r="B351" s="4" t="s">
        <v>673</v>
      </c>
      <c r="F351" s="4" t="s">
        <v>455</v>
      </c>
      <c r="H351" t="s">
        <v>83</v>
      </c>
      <c r="I351" t="s">
        <v>2296</v>
      </c>
      <c r="O351" s="16"/>
      <c r="P351" s="16">
        <f>P347/L347-1</f>
        <v>0.13064168759027783</v>
      </c>
      <c r="Q351" s="16" t="e">
        <f>Q347/M347-1</f>
        <v>#REF!</v>
      </c>
      <c r="R351" s="16" t="e">
        <f>R347/N347-1</f>
        <v>#REF!</v>
      </c>
      <c r="S351" s="16" t="e">
        <f>S347/O347-1</f>
        <v>#REF!</v>
      </c>
    </row>
    <row r="352" spans="2:19">
      <c r="B352" s="4" t="s">
        <v>1890</v>
      </c>
      <c r="E352" t="s">
        <v>1891</v>
      </c>
      <c r="F352" s="4" t="s">
        <v>1231</v>
      </c>
      <c r="H352" s="2" t="s">
        <v>1828</v>
      </c>
    </row>
    <row r="353" spans="1:17">
      <c r="B353" s="4" t="s">
        <v>1948</v>
      </c>
      <c r="F353" s="4"/>
      <c r="H353" s="2"/>
    </row>
    <row r="354" spans="1:17">
      <c r="B354" s="2" t="s">
        <v>548</v>
      </c>
      <c r="F354" s="4" t="s">
        <v>1232</v>
      </c>
      <c r="H354" t="s">
        <v>91</v>
      </c>
      <c r="I354" s="23" t="s">
        <v>2297</v>
      </c>
      <c r="J354" s="96" t="e">
        <f t="shared" ref="J354:P354" si="12">J344</f>
        <v>#REF!</v>
      </c>
      <c r="K354" s="96" t="e">
        <f t="shared" si="12"/>
        <v>#REF!</v>
      </c>
      <c r="L354" s="96" t="str">
        <f t="shared" si="12"/>
        <v>Q1 06</v>
      </c>
      <c r="M354" s="96" t="str">
        <f t="shared" si="12"/>
        <v>Q2 06</v>
      </c>
      <c r="N354" s="96" t="str">
        <f t="shared" si="12"/>
        <v>Q3 06</v>
      </c>
      <c r="O354" s="96" t="str">
        <f t="shared" si="12"/>
        <v>Q4 06</v>
      </c>
      <c r="P354" s="96" t="str">
        <f t="shared" si="12"/>
        <v>Q1 07</v>
      </c>
      <c r="Q354" s="96"/>
    </row>
    <row r="355" spans="1:17">
      <c r="B355" s="4" t="s">
        <v>1892</v>
      </c>
      <c r="F355" s="2" t="s">
        <v>456</v>
      </c>
      <c r="H355" t="s">
        <v>84</v>
      </c>
      <c r="I355" t="str">
        <f>I345</f>
        <v>ARPU</v>
      </c>
      <c r="J355" s="7">
        <v>13</v>
      </c>
      <c r="K355" s="7">
        <v>12</v>
      </c>
      <c r="L355" s="7">
        <v>14</v>
      </c>
      <c r="N355" s="7">
        <v>9</v>
      </c>
      <c r="O355" s="7">
        <v>9</v>
      </c>
      <c r="P355" s="7">
        <v>11</v>
      </c>
      <c r="Q355" s="16"/>
    </row>
    <row r="356" spans="1:17">
      <c r="B356" s="4" t="s">
        <v>1893</v>
      </c>
      <c r="F356" s="4" t="s">
        <v>457</v>
      </c>
      <c r="H356" t="s">
        <v>2299</v>
      </c>
      <c r="I356" t="str">
        <f>I346</f>
        <v>Price/min ($ cents)</v>
      </c>
      <c r="J356" s="7">
        <f>J355*100/J357</f>
        <v>7.2625698324022343</v>
      </c>
      <c r="K356" s="7">
        <f>K355*100/K357</f>
        <v>7.2289156626506026</v>
      </c>
      <c r="L356" s="7">
        <f>L355*100/L357</f>
        <v>8.8607594936708853</v>
      </c>
      <c r="N356" s="7">
        <f>N355*100/N357</f>
        <v>6.0810810810810807</v>
      </c>
      <c r="O356" s="7">
        <f>O355*100/O357</f>
        <v>6.3829787234042552</v>
      </c>
      <c r="P356" s="7">
        <f>P355*100/P357</f>
        <v>8.5271317829457356</v>
      </c>
      <c r="Q356" s="16"/>
    </row>
    <row r="357" spans="1:17">
      <c r="B357" s="209" t="s">
        <v>132</v>
      </c>
      <c r="F357" s="2" t="s">
        <v>458</v>
      </c>
      <c r="H357" t="s">
        <v>321</v>
      </c>
      <c r="I357" t="str">
        <f>I347</f>
        <v>MOU</v>
      </c>
      <c r="J357">
        <v>179</v>
      </c>
      <c r="K357">
        <v>166</v>
      </c>
      <c r="L357">
        <v>158</v>
      </c>
      <c r="N357">
        <v>148</v>
      </c>
      <c r="O357">
        <v>141</v>
      </c>
      <c r="P357">
        <v>129</v>
      </c>
      <c r="Q357" s="16"/>
    </row>
    <row r="358" spans="1:17">
      <c r="B358" s="2" t="s">
        <v>133</v>
      </c>
      <c r="F358" s="4" t="s">
        <v>459</v>
      </c>
      <c r="G358" s="200" t="s">
        <v>836</v>
      </c>
      <c r="H358" t="s">
        <v>326</v>
      </c>
    </row>
    <row r="359" spans="1:17">
      <c r="B359" t="s">
        <v>135</v>
      </c>
      <c r="F359" s="2" t="s">
        <v>460</v>
      </c>
      <c r="H359" t="s">
        <v>2295</v>
      </c>
      <c r="I359" t="s">
        <v>2296</v>
      </c>
      <c r="N359" s="16">
        <f t="shared" ref="N359:P361" si="13">N355/J355-1</f>
        <v>-0.30769230769230771</v>
      </c>
      <c r="O359" s="16">
        <f t="shared" si="13"/>
        <v>-0.25</v>
      </c>
      <c r="P359" s="16">
        <f t="shared" si="13"/>
        <v>-0.2142857142857143</v>
      </c>
    </row>
    <row r="360" spans="1:17">
      <c r="B360" s="2" t="s">
        <v>136</v>
      </c>
      <c r="F360" s="4" t="s">
        <v>461</v>
      </c>
      <c r="G360" s="200" t="s">
        <v>1818</v>
      </c>
      <c r="H360" t="s">
        <v>88</v>
      </c>
      <c r="I360" t="s">
        <v>2296</v>
      </c>
      <c r="L360" t="s">
        <v>1823</v>
      </c>
      <c r="N360" s="16">
        <f t="shared" si="13"/>
        <v>-0.16268191268191268</v>
      </c>
      <c r="O360" s="16">
        <f t="shared" si="13"/>
        <v>-0.11702127659574468</v>
      </c>
      <c r="P360" s="16">
        <f t="shared" si="13"/>
        <v>-3.7652270210409733E-2</v>
      </c>
    </row>
    <row r="361" spans="1:17">
      <c r="B361" s="4" t="s">
        <v>2333</v>
      </c>
      <c r="F361" s="2" t="s">
        <v>1819</v>
      </c>
      <c r="H361" s="2" t="s">
        <v>322</v>
      </c>
      <c r="I361" t="s">
        <v>2296</v>
      </c>
      <c r="K361" s="213"/>
      <c r="N361" s="16">
        <f t="shared" si="13"/>
        <v>-0.17318435754189943</v>
      </c>
      <c r="O361" s="16">
        <f t="shared" si="13"/>
        <v>-0.1506024096385542</v>
      </c>
      <c r="P361" s="16">
        <f t="shared" si="13"/>
        <v>-0.18354430379746833</v>
      </c>
    </row>
    <row r="362" spans="1:17">
      <c r="B362" s="4" t="s">
        <v>1665</v>
      </c>
      <c r="F362" s="4" t="s">
        <v>609</v>
      </c>
      <c r="H362" t="s">
        <v>323</v>
      </c>
    </row>
    <row r="363" spans="1:17">
      <c r="B363" s="4" t="s">
        <v>2334</v>
      </c>
      <c r="F363" s="4" t="s">
        <v>610</v>
      </c>
      <c r="H363" s="2" t="s">
        <v>324</v>
      </c>
      <c r="J363" s="16">
        <f>J345/J355-1</f>
        <v>1.0352876258748327</v>
      </c>
      <c r="K363" s="16">
        <f>K345/K355-1</f>
        <v>1.1980364236660042</v>
      </c>
      <c r="L363" s="16">
        <f>L345/L355-1</f>
        <v>0.79010127680159847</v>
      </c>
      <c r="M363" s="16"/>
      <c r="N363" s="16">
        <f>N345/N355-1</f>
        <v>1.7641243927217567</v>
      </c>
      <c r="O363" s="16">
        <f>O345/O355-1</f>
        <v>1.8016515202398939</v>
      </c>
      <c r="P363" s="16">
        <f>P345/P355-1</f>
        <v>0.93196480453499486</v>
      </c>
    </row>
    <row r="364" spans="1:17">
      <c r="B364" s="4" t="s">
        <v>2335</v>
      </c>
      <c r="F364" s="2" t="s">
        <v>611</v>
      </c>
      <c r="H364" t="s">
        <v>325</v>
      </c>
    </row>
    <row r="365" spans="1:17">
      <c r="B365" s="4" t="s">
        <v>2336</v>
      </c>
      <c r="F365" s="4" t="s">
        <v>612</v>
      </c>
      <c r="H365" s="2" t="s">
        <v>85</v>
      </c>
    </row>
    <row r="366" spans="1:17">
      <c r="A366" t="s">
        <v>1823</v>
      </c>
      <c r="B366" s="2" t="s">
        <v>2337</v>
      </c>
      <c r="F366" s="4" t="s">
        <v>1228</v>
      </c>
      <c r="H366" t="s">
        <v>86</v>
      </c>
      <c r="I366" s="3" t="s">
        <v>506</v>
      </c>
      <c r="N366" t="s">
        <v>1609</v>
      </c>
      <c r="O366" s="7">
        <f>P345</f>
        <v>21.251612849884943</v>
      </c>
    </row>
    <row r="367" spans="1:17">
      <c r="B367" s="4" t="s">
        <v>2338</v>
      </c>
      <c r="F367" s="4" t="s">
        <v>1229</v>
      </c>
      <c r="H367" s="4" t="s">
        <v>87</v>
      </c>
      <c r="I367" s="169" t="s">
        <v>2377</v>
      </c>
      <c r="N367" t="s">
        <v>1607</v>
      </c>
      <c r="O367" s="7">
        <f>P355</f>
        <v>11</v>
      </c>
    </row>
    <row r="368" spans="1:17">
      <c r="B368" s="4" t="s">
        <v>75</v>
      </c>
      <c r="F368" s="4" t="s">
        <v>1230</v>
      </c>
      <c r="I368" s="169" t="s">
        <v>2378</v>
      </c>
    </row>
    <row r="369" spans="2:10">
      <c r="B369" s="2" t="s">
        <v>1381</v>
      </c>
      <c r="F369" s="2" t="s">
        <v>1233</v>
      </c>
      <c r="I369" s="169" t="s">
        <v>2382</v>
      </c>
    </row>
    <row r="370" spans="2:10">
      <c r="B370" s="4" t="s">
        <v>2346</v>
      </c>
      <c r="F370" s="4" t="s">
        <v>1978</v>
      </c>
      <c r="I370" s="169" t="s">
        <v>2384</v>
      </c>
    </row>
    <row r="371" spans="2:10">
      <c r="B371" s="4" t="s">
        <v>2347</v>
      </c>
      <c r="F371" s="4" t="s">
        <v>816</v>
      </c>
      <c r="I371" s="169" t="s">
        <v>505</v>
      </c>
      <c r="J371" t="s">
        <v>1823</v>
      </c>
    </row>
    <row r="372" spans="2:10">
      <c r="B372" s="4" t="s">
        <v>2348</v>
      </c>
      <c r="F372" s="4" t="s">
        <v>1344</v>
      </c>
      <c r="I372" s="210">
        <v>39114</v>
      </c>
    </row>
    <row r="373" spans="2:10">
      <c r="B373" s="2" t="s">
        <v>1382</v>
      </c>
      <c r="F373" s="2" t="s">
        <v>1345</v>
      </c>
      <c r="I373" s="169" t="s">
        <v>2379</v>
      </c>
    </row>
    <row r="374" spans="2:10">
      <c r="B374" s="4" t="s">
        <v>2349</v>
      </c>
      <c r="F374" t="s">
        <v>1347</v>
      </c>
      <c r="I374" s="169" t="s">
        <v>2380</v>
      </c>
    </row>
    <row r="375" spans="2:10">
      <c r="B375" s="4" t="s">
        <v>2350</v>
      </c>
      <c r="F375" t="s">
        <v>1346</v>
      </c>
      <c r="I375" s="169" t="s">
        <v>2376</v>
      </c>
    </row>
    <row r="376" spans="2:10">
      <c r="B376" s="2" t="s">
        <v>395</v>
      </c>
      <c r="F376" s="2" t="s">
        <v>1351</v>
      </c>
      <c r="I376" s="169" t="s">
        <v>738</v>
      </c>
    </row>
    <row r="377" spans="2:10">
      <c r="B377" s="4" t="s">
        <v>2351</v>
      </c>
      <c r="F377" s="209" t="s">
        <v>1348</v>
      </c>
      <c r="G377" s="200" t="s">
        <v>1349</v>
      </c>
      <c r="I377" s="214" t="s">
        <v>544</v>
      </c>
    </row>
    <row r="378" spans="2:10">
      <c r="B378" s="4" t="s">
        <v>2352</v>
      </c>
      <c r="F378" t="s">
        <v>1350</v>
      </c>
      <c r="I378" s="169" t="s">
        <v>1665</v>
      </c>
    </row>
    <row r="379" spans="2:10">
      <c r="B379" s="4" t="s">
        <v>418</v>
      </c>
      <c r="F379" t="s">
        <v>1352</v>
      </c>
      <c r="I379" s="169" t="s">
        <v>579</v>
      </c>
    </row>
    <row r="380" spans="2:10">
      <c r="B380" s="4" t="s">
        <v>419</v>
      </c>
      <c r="F380" s="2" t="s">
        <v>1353</v>
      </c>
      <c r="I380" s="169" t="s">
        <v>739</v>
      </c>
    </row>
    <row r="381" spans="2:10">
      <c r="B381" s="2"/>
      <c r="F381" t="s">
        <v>1443</v>
      </c>
    </row>
    <row r="382" spans="2:10">
      <c r="B382" s="2"/>
      <c r="F382" t="s">
        <v>1444</v>
      </c>
      <c r="G382" s="200" t="s">
        <v>1445</v>
      </c>
    </row>
    <row r="383" spans="2:10">
      <c r="B383" s="2"/>
      <c r="F383" s="2" t="s">
        <v>1044</v>
      </c>
      <c r="G383" s="200"/>
    </row>
    <row r="384" spans="2:10">
      <c r="B384" s="2"/>
      <c r="F384" t="s">
        <v>1045</v>
      </c>
      <c r="G384" s="200"/>
    </row>
    <row r="385" spans="2:7">
      <c r="B385" s="2"/>
      <c r="F385" t="s">
        <v>1046</v>
      </c>
      <c r="G385" s="200"/>
    </row>
    <row r="386" spans="2:7">
      <c r="B386" s="2"/>
      <c r="F386" t="s">
        <v>1047</v>
      </c>
      <c r="G386" s="200"/>
    </row>
    <row r="387" spans="2:7">
      <c r="B387" s="2"/>
      <c r="F387" t="s">
        <v>1048</v>
      </c>
      <c r="G387" s="200"/>
    </row>
    <row r="388" spans="2:7">
      <c r="B388" s="2"/>
      <c r="F388" s="200" t="s">
        <v>1356</v>
      </c>
      <c r="G388" s="200"/>
    </row>
    <row r="389" spans="2:7">
      <c r="B389" s="2"/>
      <c r="F389" t="s">
        <v>1358</v>
      </c>
    </row>
    <row r="390" spans="2:7">
      <c r="B390" s="2"/>
      <c r="F390" t="s">
        <v>1357</v>
      </c>
    </row>
    <row r="391" spans="2:7">
      <c r="B391" s="2"/>
      <c r="F391" s="2" t="s">
        <v>1359</v>
      </c>
    </row>
    <row r="392" spans="2:7">
      <c r="B392" s="2"/>
      <c r="F392" t="s">
        <v>1360</v>
      </c>
    </row>
    <row r="393" spans="2:7">
      <c r="B393" s="2"/>
      <c r="F393" t="s">
        <v>1361</v>
      </c>
    </row>
    <row r="394" spans="2:7">
      <c r="B394" s="2"/>
      <c r="F394" s="2" t="s">
        <v>1364</v>
      </c>
    </row>
    <row r="395" spans="2:7">
      <c r="B395" s="2"/>
      <c r="F395" t="s">
        <v>1362</v>
      </c>
    </row>
    <row r="396" spans="2:7">
      <c r="B396" s="2"/>
      <c r="F396" t="s">
        <v>1363</v>
      </c>
    </row>
    <row r="397" spans="2:7">
      <c r="B397" s="2"/>
      <c r="F397" t="s">
        <v>1365</v>
      </c>
    </row>
    <row r="398" spans="2:7">
      <c r="B398" s="2"/>
      <c r="F398" s="2" t="s">
        <v>1163</v>
      </c>
    </row>
    <row r="399" spans="2:7">
      <c r="B399" s="2"/>
      <c r="F399" t="s">
        <v>1366</v>
      </c>
    </row>
    <row r="400" spans="2:7">
      <c r="B400" s="2"/>
    </row>
    <row r="401" spans="2:8">
      <c r="B401" s="3" t="s">
        <v>2359</v>
      </c>
      <c r="H401" s="2" t="s">
        <v>2192</v>
      </c>
    </row>
    <row r="402" spans="2:8">
      <c r="G402" t="s">
        <v>319</v>
      </c>
      <c r="H402" t="s">
        <v>2194</v>
      </c>
    </row>
    <row r="403" spans="2:8">
      <c r="B403" t="s">
        <v>318</v>
      </c>
      <c r="G403" t="s">
        <v>320</v>
      </c>
      <c r="H403" t="s">
        <v>2195</v>
      </c>
    </row>
    <row r="404" spans="2:8">
      <c r="B404" s="4" t="s">
        <v>95</v>
      </c>
    </row>
    <row r="405" spans="2:8">
      <c r="B405" s="4" t="s">
        <v>2191</v>
      </c>
    </row>
    <row r="406" spans="2:8">
      <c r="B406" t="s">
        <v>2360</v>
      </c>
      <c r="C406" s="2" t="s">
        <v>2302</v>
      </c>
    </row>
    <row r="407" spans="2:8">
      <c r="B407" t="s">
        <v>2339</v>
      </c>
    </row>
    <row r="408" spans="2:8">
      <c r="B408" s="2" t="s">
        <v>315</v>
      </c>
    </row>
    <row r="409" spans="2:8">
      <c r="B409" t="s">
        <v>2340</v>
      </c>
    </row>
    <row r="410" spans="2:8">
      <c r="B410" s="2" t="s">
        <v>287</v>
      </c>
    </row>
    <row r="411" spans="2:8">
      <c r="B411" t="s">
        <v>2288</v>
      </c>
    </row>
    <row r="412" spans="2:8">
      <c r="B412" t="s">
        <v>2342</v>
      </c>
    </row>
    <row r="413" spans="2:8">
      <c r="B413" t="s">
        <v>1449</v>
      </c>
    </row>
    <row r="414" spans="2:8">
      <c r="B414" t="s">
        <v>1450</v>
      </c>
    </row>
    <row r="415" spans="2:8">
      <c r="B415" t="s">
        <v>1049</v>
      </c>
    </row>
    <row r="416" spans="2:8">
      <c r="B416" t="s">
        <v>1050</v>
      </c>
    </row>
    <row r="417" spans="2:2">
      <c r="B417" t="s">
        <v>1052</v>
      </c>
    </row>
    <row r="418" spans="2:2">
      <c r="B418" t="s">
        <v>1051</v>
      </c>
    </row>
    <row r="419" spans="2:2">
      <c r="B419" t="s">
        <v>1659</v>
      </c>
    </row>
    <row r="420" spans="2:2">
      <c r="B420" t="s">
        <v>314</v>
      </c>
    </row>
    <row r="421" spans="2:2">
      <c r="B421" t="s">
        <v>316</v>
      </c>
    </row>
    <row r="422" spans="2:2">
      <c r="B422" t="s">
        <v>317</v>
      </c>
    </row>
    <row r="423" spans="2:2">
      <c r="B423" t="s">
        <v>288</v>
      </c>
    </row>
    <row r="424" spans="2:2">
      <c r="B424" t="s">
        <v>2193</v>
      </c>
    </row>
    <row r="425" spans="2:2">
      <c r="B425" s="3" t="s">
        <v>1877</v>
      </c>
    </row>
    <row r="426" spans="2:2">
      <c r="B426" s="2" t="s">
        <v>565</v>
      </c>
    </row>
    <row r="427" spans="2:2">
      <c r="B427" s="4" t="s">
        <v>2303</v>
      </c>
    </row>
    <row r="428" spans="2:2">
      <c r="B428" s="4" t="s">
        <v>92</v>
      </c>
    </row>
    <row r="429" spans="2:2">
      <c r="B429" s="4" t="s">
        <v>869</v>
      </c>
    </row>
    <row r="430" spans="2:2">
      <c r="B430" s="2" t="s">
        <v>2341</v>
      </c>
    </row>
    <row r="431" spans="2:2">
      <c r="B431" s="4" t="s">
        <v>868</v>
      </c>
    </row>
    <row r="432" spans="2:2">
      <c r="B432" s="4" t="s">
        <v>289</v>
      </c>
    </row>
    <row r="433" spans="1:2">
      <c r="B433" s="4" t="s">
        <v>1439</v>
      </c>
    </row>
    <row r="434" spans="1:2">
      <c r="B434" s="2" t="s">
        <v>1665</v>
      </c>
    </row>
    <row r="435" spans="1:2">
      <c r="B435" s="4" t="s">
        <v>2284</v>
      </c>
    </row>
    <row r="436" spans="1:2">
      <c r="B436" s="4" t="s">
        <v>1446</v>
      </c>
    </row>
    <row r="437" spans="1:2">
      <c r="B437" s="4" t="s">
        <v>1447</v>
      </c>
    </row>
    <row r="438" spans="1:2">
      <c r="B438" s="4" t="s">
        <v>1437</v>
      </c>
    </row>
    <row r="439" spans="1:2">
      <c r="B439" s="4" t="s">
        <v>1438</v>
      </c>
    </row>
    <row r="440" spans="1:2">
      <c r="B440" s="2" t="s">
        <v>1448</v>
      </c>
    </row>
    <row r="441" spans="1:2">
      <c r="B441" s="4" t="s">
        <v>2275</v>
      </c>
    </row>
    <row r="442" spans="1:2">
      <c r="B442" s="4" t="s">
        <v>963</v>
      </c>
    </row>
    <row r="443" spans="1:2">
      <c r="B443" s="4" t="s">
        <v>964</v>
      </c>
    </row>
    <row r="444" spans="1:2">
      <c r="B444" s="4" t="s">
        <v>2301</v>
      </c>
    </row>
    <row r="445" spans="1:2">
      <c r="B445" s="2" t="s">
        <v>1459</v>
      </c>
    </row>
    <row r="446" spans="1:2">
      <c r="A446" t="s">
        <v>1823</v>
      </c>
      <c r="B446" s="4" t="s">
        <v>73</v>
      </c>
    </row>
    <row r="447" spans="1:2">
      <c r="B447" s="2" t="s">
        <v>1458</v>
      </c>
    </row>
    <row r="448" spans="1:2">
      <c r="B448" s="4" t="s">
        <v>74</v>
      </c>
    </row>
    <row r="449" spans="1:7">
      <c r="B449" s="4" t="s">
        <v>878</v>
      </c>
    </row>
    <row r="450" spans="1:7">
      <c r="A450" t="s">
        <v>1823</v>
      </c>
      <c r="B450" s="4" t="s">
        <v>879</v>
      </c>
    </row>
    <row r="451" spans="1:7">
      <c r="B451" s="4" t="s">
        <v>1460</v>
      </c>
    </row>
    <row r="452" spans="1:7">
      <c r="B452" s="2" t="s">
        <v>93</v>
      </c>
    </row>
    <row r="453" spans="1:7">
      <c r="B453" s="4" t="s">
        <v>1457</v>
      </c>
    </row>
    <row r="454" spans="1:7">
      <c r="B454" s="4" t="s">
        <v>94</v>
      </c>
    </row>
    <row r="455" spans="1:7">
      <c r="B455" s="4" t="s">
        <v>997</v>
      </c>
      <c r="G455" s="2" t="s">
        <v>998</v>
      </c>
    </row>
    <row r="456" spans="1:7">
      <c r="B456" s="2" t="s">
        <v>1828</v>
      </c>
    </row>
    <row r="457" spans="1:7">
      <c r="B457" s="4" t="s">
        <v>2196</v>
      </c>
    </row>
    <row r="458" spans="1:7">
      <c r="B458" s="4" t="s">
        <v>1064</v>
      </c>
    </row>
    <row r="459" spans="1:7">
      <c r="B459" s="2" t="s">
        <v>737</v>
      </c>
    </row>
    <row r="460" spans="1:7">
      <c r="B460" s="4" t="s">
        <v>1065</v>
      </c>
    </row>
    <row r="461" spans="1:7">
      <c r="B461" s="4" t="s">
        <v>1456</v>
      </c>
    </row>
    <row r="462" spans="1:7">
      <c r="B462" s="2"/>
    </row>
    <row r="463" spans="1:7">
      <c r="B463" s="175" t="s">
        <v>273</v>
      </c>
      <c r="C463" s="175"/>
    </row>
    <row r="465" spans="2:8">
      <c r="B465" s="2" t="s">
        <v>729</v>
      </c>
      <c r="H465" s="2" t="s">
        <v>1709</v>
      </c>
    </row>
    <row r="466" spans="2:8">
      <c r="B466" t="s">
        <v>274</v>
      </c>
      <c r="H466" t="s">
        <v>1710</v>
      </c>
    </row>
    <row r="467" spans="2:8">
      <c r="B467" t="s">
        <v>1692</v>
      </c>
      <c r="H467" t="s">
        <v>2238</v>
      </c>
    </row>
    <row r="468" spans="2:8">
      <c r="B468" t="s">
        <v>1560</v>
      </c>
      <c r="H468" t="s">
        <v>1821</v>
      </c>
    </row>
    <row r="469" spans="2:8">
      <c r="B469" t="s">
        <v>1689</v>
      </c>
      <c r="H469" t="s">
        <v>1822</v>
      </c>
    </row>
    <row r="470" spans="2:8">
      <c r="B470" s="129" t="s">
        <v>1690</v>
      </c>
      <c r="H470" t="s">
        <v>2049</v>
      </c>
    </row>
    <row r="471" spans="2:8">
      <c r="B471" t="s">
        <v>1691</v>
      </c>
      <c r="H471" t="s">
        <v>801</v>
      </c>
    </row>
    <row r="472" spans="2:8">
      <c r="B472" t="s">
        <v>1126</v>
      </c>
    </row>
    <row r="473" spans="2:8">
      <c r="B473" s="2" t="s">
        <v>1665</v>
      </c>
    </row>
    <row r="474" spans="2:8">
      <c r="B474" t="s">
        <v>1124</v>
      </c>
    </row>
    <row r="475" spans="2:8">
      <c r="B475" t="s">
        <v>1125</v>
      </c>
    </row>
    <row r="476" spans="2:8">
      <c r="B476" t="s">
        <v>377</v>
      </c>
    </row>
    <row r="477" spans="2:8">
      <c r="B477" t="s">
        <v>606</v>
      </c>
    </row>
    <row r="478" spans="2:8">
      <c r="B478" t="s">
        <v>1708</v>
      </c>
    </row>
    <row r="479" spans="2:8">
      <c r="B479" s="2" t="s">
        <v>827</v>
      </c>
    </row>
    <row r="480" spans="2:8">
      <c r="B480" t="s">
        <v>1127</v>
      </c>
    </row>
    <row r="481" spans="2:2">
      <c r="B481" s="2" t="s">
        <v>1561</v>
      </c>
    </row>
    <row r="482" spans="2:2">
      <c r="B482" t="s">
        <v>602</v>
      </c>
    </row>
    <row r="483" spans="2:2">
      <c r="B483" s="2" t="s">
        <v>1562</v>
      </c>
    </row>
    <row r="484" spans="2:2">
      <c r="B484" s="4" t="s">
        <v>1189</v>
      </c>
    </row>
    <row r="485" spans="2:2">
      <c r="B485" s="4" t="s">
        <v>1578</v>
      </c>
    </row>
    <row r="486" spans="2:2">
      <c r="B486" s="4" t="s">
        <v>1857</v>
      </c>
    </row>
    <row r="487" spans="2:2">
      <c r="B487" s="4" t="s">
        <v>1188</v>
      </c>
    </row>
    <row r="488" spans="2:2">
      <c r="B488" s="4" t="s">
        <v>1186</v>
      </c>
    </row>
    <row r="489" spans="2:2">
      <c r="B489" s="4" t="s">
        <v>1187</v>
      </c>
    </row>
    <row r="490" spans="2:2">
      <c r="B490" t="s">
        <v>1026</v>
      </c>
    </row>
    <row r="491" spans="2:2">
      <c r="B491" t="s">
        <v>1190</v>
      </c>
    </row>
    <row r="492" spans="2:2">
      <c r="B492" s="4" t="s">
        <v>1027</v>
      </c>
    </row>
    <row r="493" spans="2:2">
      <c r="B493" s="2" t="s">
        <v>1191</v>
      </c>
    </row>
    <row r="494" spans="2:2">
      <c r="B494" s="4" t="s">
        <v>376</v>
      </c>
    </row>
    <row r="495" spans="2:2">
      <c r="B495" s="4" t="s">
        <v>1586</v>
      </c>
    </row>
    <row r="496" spans="2:2">
      <c r="B496" s="4" t="s">
        <v>1192</v>
      </c>
    </row>
    <row r="497" spans="2:4">
      <c r="B497" s="4" t="s">
        <v>1693</v>
      </c>
    </row>
    <row r="498" spans="2:4">
      <c r="B498" s="2" t="s">
        <v>1712</v>
      </c>
    </row>
    <row r="499" spans="2:4">
      <c r="B499" s="4" t="s">
        <v>1713</v>
      </c>
    </row>
    <row r="500" spans="2:4">
      <c r="B500" s="2" t="s">
        <v>2382</v>
      </c>
    </row>
    <row r="501" spans="2:4">
      <c r="B501" s="4" t="s">
        <v>1711</v>
      </c>
    </row>
    <row r="503" spans="2:4">
      <c r="B503" s="2" t="s">
        <v>1665</v>
      </c>
    </row>
    <row r="504" spans="2:4">
      <c r="B504" t="s">
        <v>1408</v>
      </c>
    </row>
    <row r="505" spans="2:4">
      <c r="B505" t="s">
        <v>1409</v>
      </c>
    </row>
    <row r="506" spans="2:4">
      <c r="B506" t="s">
        <v>818</v>
      </c>
    </row>
    <row r="507" spans="2:4">
      <c r="B507" t="s">
        <v>1410</v>
      </c>
    </row>
    <row r="508" spans="2:4">
      <c r="B508" s="2" t="s">
        <v>1961</v>
      </c>
      <c r="D508" t="s">
        <v>1823</v>
      </c>
    </row>
    <row r="509" spans="2:4">
      <c r="B509" t="s">
        <v>819</v>
      </c>
    </row>
    <row r="510" spans="2:4">
      <c r="B510" t="s">
        <v>820</v>
      </c>
    </row>
    <row r="522" spans="2:6">
      <c r="B522" s="2" t="s">
        <v>268</v>
      </c>
    </row>
    <row r="523" spans="2:6">
      <c r="B523" t="s">
        <v>269</v>
      </c>
    </row>
    <row r="524" spans="2:6">
      <c r="B524" t="s">
        <v>270</v>
      </c>
    </row>
    <row r="525" spans="2:6">
      <c r="B525" t="s">
        <v>271</v>
      </c>
    </row>
    <row r="526" spans="2:6">
      <c r="B526" t="s">
        <v>272</v>
      </c>
    </row>
    <row r="527" spans="2:6">
      <c r="F527" t="s">
        <v>521</v>
      </c>
    </row>
    <row r="528" spans="2:6">
      <c r="B528" s="175" t="s">
        <v>1386</v>
      </c>
      <c r="C528" s="175"/>
    </row>
    <row r="529" spans="2:7">
      <c r="B529" s="2" t="s">
        <v>1828</v>
      </c>
      <c r="G529" s="2" t="s">
        <v>1877</v>
      </c>
    </row>
    <row r="530" spans="2:7">
      <c r="B530" s="2" t="s">
        <v>1279</v>
      </c>
      <c r="G530" s="2" t="s">
        <v>1601</v>
      </c>
    </row>
    <row r="531" spans="2:7">
      <c r="C531" s="6" t="s">
        <v>1387</v>
      </c>
      <c r="D531" s="6" t="s">
        <v>2239</v>
      </c>
      <c r="E531" s="6" t="s">
        <v>1650</v>
      </c>
      <c r="G531" t="s">
        <v>1602</v>
      </c>
    </row>
    <row r="532" spans="2:7">
      <c r="B532" t="s">
        <v>560</v>
      </c>
      <c r="C532">
        <v>1.9</v>
      </c>
      <c r="G532" s="2" t="s">
        <v>1280</v>
      </c>
    </row>
    <row r="533" spans="2:7">
      <c r="B533" t="s">
        <v>798</v>
      </c>
      <c r="C533">
        <v>230</v>
      </c>
      <c r="D533" t="e">
        <f>#REF!</f>
        <v>#REF!</v>
      </c>
      <c r="E533" t="e">
        <f>C533-D533</f>
        <v>#REF!</v>
      </c>
      <c r="G533" s="4" t="s">
        <v>2233</v>
      </c>
    </row>
    <row r="534" spans="2:7">
      <c r="B534" t="s">
        <v>360</v>
      </c>
      <c r="C534" s="6" t="s">
        <v>1388</v>
      </c>
      <c r="G534" s="2" t="s">
        <v>1665</v>
      </c>
    </row>
    <row r="535" spans="2:7">
      <c r="B535" t="s">
        <v>1391</v>
      </c>
      <c r="C535" s="6" t="s">
        <v>1389</v>
      </c>
      <c r="D535" t="s">
        <v>1390</v>
      </c>
      <c r="G535" s="4" t="s">
        <v>2234</v>
      </c>
    </row>
    <row r="536" spans="2:7">
      <c r="B536" s="2" t="s">
        <v>2374</v>
      </c>
      <c r="G536" s="4" t="s">
        <v>2235</v>
      </c>
    </row>
    <row r="537" spans="2:7">
      <c r="B537" t="s">
        <v>1392</v>
      </c>
      <c r="G537" s="2" t="s">
        <v>729</v>
      </c>
    </row>
    <row r="538" spans="2:7">
      <c r="B538" t="s">
        <v>1393</v>
      </c>
      <c r="G538" s="4" t="s">
        <v>2236</v>
      </c>
    </row>
    <row r="539" spans="2:7">
      <c r="B539" s="2" t="s">
        <v>1086</v>
      </c>
      <c r="G539" s="2" t="s">
        <v>2237</v>
      </c>
    </row>
    <row r="540" spans="2:7">
      <c r="G540" s="4" t="s">
        <v>2115</v>
      </c>
    </row>
    <row r="541" spans="2:7">
      <c r="B541" s="2" t="s">
        <v>853</v>
      </c>
      <c r="G541" s="2" t="s">
        <v>718</v>
      </c>
    </row>
    <row r="542" spans="2:7">
      <c r="B542" t="s">
        <v>1394</v>
      </c>
      <c r="G542" s="4" t="s">
        <v>716</v>
      </c>
    </row>
    <row r="543" spans="2:7">
      <c r="B543" t="s">
        <v>1395</v>
      </c>
      <c r="G543" s="4" t="s">
        <v>717</v>
      </c>
    </row>
    <row r="544" spans="2:7">
      <c r="B544" t="s">
        <v>1396</v>
      </c>
      <c r="G544" s="2" t="s">
        <v>927</v>
      </c>
    </row>
    <row r="545" spans="2:7">
      <c r="B545" s="2" t="s">
        <v>1545</v>
      </c>
    </row>
    <row r="546" spans="2:7">
      <c r="B546" s="4" t="s">
        <v>854</v>
      </c>
      <c r="G546" s="2" t="s">
        <v>928</v>
      </c>
    </row>
    <row r="547" spans="2:7">
      <c r="B547" s="2" t="s">
        <v>856</v>
      </c>
      <c r="G547" t="s">
        <v>929</v>
      </c>
    </row>
    <row r="548" spans="2:7">
      <c r="B548" s="4" t="s">
        <v>855</v>
      </c>
      <c r="G548" s="2" t="s">
        <v>930</v>
      </c>
    </row>
    <row r="549" spans="2:7">
      <c r="B549" s="4" t="s">
        <v>857</v>
      </c>
      <c r="G549" t="s">
        <v>2219</v>
      </c>
    </row>
    <row r="550" spans="2:7">
      <c r="B550" s="4" t="s">
        <v>858</v>
      </c>
      <c r="G550" s="2" t="s">
        <v>2220</v>
      </c>
    </row>
    <row r="551" spans="2:7">
      <c r="B551" s="4" t="s">
        <v>2156</v>
      </c>
      <c r="G551" t="s">
        <v>2221</v>
      </c>
    </row>
    <row r="552" spans="2:7">
      <c r="B552" s="4" t="s">
        <v>2208</v>
      </c>
      <c r="G552" s="4" t="s">
        <v>2141</v>
      </c>
    </row>
    <row r="553" spans="2:7">
      <c r="B553" s="4" t="s">
        <v>2269</v>
      </c>
      <c r="G553" s="4" t="s">
        <v>2142</v>
      </c>
    </row>
    <row r="554" spans="2:7">
      <c r="B554" s="4" t="s">
        <v>1278</v>
      </c>
      <c r="G554" s="2" t="s">
        <v>2143</v>
      </c>
    </row>
    <row r="555" spans="2:7">
      <c r="G555" s="4" t="s">
        <v>2144</v>
      </c>
    </row>
    <row r="556" spans="2:7">
      <c r="B556" s="175" t="s">
        <v>1615</v>
      </c>
      <c r="C556" s="174"/>
      <c r="G556" s="4" t="s">
        <v>1306</v>
      </c>
    </row>
    <row r="557" spans="2:7">
      <c r="B557" s="4" t="s">
        <v>1617</v>
      </c>
      <c r="G557" s="4" t="s">
        <v>2113</v>
      </c>
    </row>
    <row r="558" spans="2:7">
      <c r="B558" t="s">
        <v>1614</v>
      </c>
      <c r="G558" s="2" t="s">
        <v>2382</v>
      </c>
    </row>
    <row r="559" spans="2:7">
      <c r="B559" t="s">
        <v>1616</v>
      </c>
      <c r="G559" s="4" t="s">
        <v>2114</v>
      </c>
    </row>
    <row r="560" spans="2:7">
      <c r="B560" t="s">
        <v>194</v>
      </c>
      <c r="G560" s="2" t="s">
        <v>2116</v>
      </c>
    </row>
    <row r="561" spans="1:15">
      <c r="G561" s="4" t="s">
        <v>2117</v>
      </c>
    </row>
    <row r="562" spans="1:15">
      <c r="B562" s="3" t="s">
        <v>1665</v>
      </c>
    </row>
    <row r="563" spans="1:15">
      <c r="B563" t="s">
        <v>508</v>
      </c>
    </row>
    <row r="564" spans="1:15">
      <c r="B564" t="s">
        <v>109</v>
      </c>
    </row>
    <row r="565" spans="1:15">
      <c r="B565" t="s">
        <v>509</v>
      </c>
    </row>
    <row r="566" spans="1:15">
      <c r="B566" t="s">
        <v>510</v>
      </c>
    </row>
    <row r="567" spans="1:15">
      <c r="B567" t="s">
        <v>511</v>
      </c>
    </row>
    <row r="568" spans="1:15">
      <c r="B568" t="s">
        <v>512</v>
      </c>
    </row>
    <row r="569" spans="1:15">
      <c r="B569" t="s">
        <v>513</v>
      </c>
    </row>
    <row r="570" spans="1:15">
      <c r="B570" t="s">
        <v>514</v>
      </c>
    </row>
    <row r="573" spans="1:15">
      <c r="D573" s="8" t="s">
        <v>253</v>
      </c>
      <c r="E573" s="8" t="s">
        <v>42</v>
      </c>
      <c r="F573" s="8" t="s">
        <v>42</v>
      </c>
      <c r="I573" s="8" t="s">
        <v>37</v>
      </c>
      <c r="N573" s="2" t="s">
        <v>793</v>
      </c>
      <c r="O573" s="8" t="s">
        <v>794</v>
      </c>
    </row>
    <row r="574" spans="1:15">
      <c r="A574" s="23" t="s">
        <v>41</v>
      </c>
      <c r="B574" s="23" t="s">
        <v>791</v>
      </c>
      <c r="C574" s="23" t="s">
        <v>790</v>
      </c>
      <c r="D574" s="96" t="s">
        <v>43</v>
      </c>
      <c r="E574" s="96" t="s">
        <v>1944</v>
      </c>
      <c r="F574" s="96" t="s">
        <v>1945</v>
      </c>
      <c r="G574" s="23"/>
      <c r="H574" s="23" t="s">
        <v>99</v>
      </c>
      <c r="I574" s="96" t="s">
        <v>38</v>
      </c>
      <c r="N574" s="23" t="s">
        <v>792</v>
      </c>
      <c r="O574" s="23" t="s">
        <v>792</v>
      </c>
    </row>
    <row r="575" spans="1:15">
      <c r="A575" t="s">
        <v>39</v>
      </c>
      <c r="B575" s="21" t="s">
        <v>6</v>
      </c>
      <c r="C575" s="21" t="s">
        <v>7</v>
      </c>
      <c r="D575">
        <v>187</v>
      </c>
      <c r="E575" s="16">
        <v>0.26300000000000001</v>
      </c>
      <c r="F575" s="16">
        <v>0.62</v>
      </c>
      <c r="G575" s="21"/>
      <c r="H575" s="21"/>
      <c r="I575">
        <v>360</v>
      </c>
      <c r="N575" s="29">
        <f>SA!O42/SA!O6</f>
        <v>0.56315999999999988</v>
      </c>
      <c r="O575" s="29">
        <f>SA!O15</f>
        <v>0.98799999999999999</v>
      </c>
    </row>
    <row r="576" spans="1:15">
      <c r="A576" s="21"/>
      <c r="B576" s="21" t="s">
        <v>2378</v>
      </c>
      <c r="C576" s="219" t="s">
        <v>789</v>
      </c>
      <c r="D576" s="21">
        <v>149</v>
      </c>
      <c r="E576" s="16">
        <v>0.76</v>
      </c>
      <c r="F576" s="16">
        <v>0.8</v>
      </c>
      <c r="G576" s="21"/>
      <c r="H576" s="21"/>
      <c r="I576" s="21">
        <v>133</v>
      </c>
      <c r="N576" s="150">
        <f>SA!O41/SA!O5</f>
        <v>0.26676999999999995</v>
      </c>
      <c r="O576" s="150">
        <f>SA!O14</f>
        <v>0.72099999999999997</v>
      </c>
    </row>
    <row r="577" spans="1:15">
      <c r="A577" s="11"/>
      <c r="B577" s="11" t="s">
        <v>1665</v>
      </c>
      <c r="C577" s="166"/>
      <c r="D577" s="11"/>
      <c r="E577" s="20"/>
      <c r="F577" s="20">
        <v>0.74</v>
      </c>
      <c r="G577" s="11"/>
      <c r="H577" s="11"/>
      <c r="I577" s="11"/>
      <c r="N577" s="29"/>
      <c r="O577" s="29"/>
    </row>
    <row r="578" spans="1:15">
      <c r="A578" t="s">
        <v>40</v>
      </c>
      <c r="B578" t="s">
        <v>2376</v>
      </c>
      <c r="C578" s="162">
        <v>2018</v>
      </c>
      <c r="D578">
        <v>221</v>
      </c>
      <c r="E578" s="16">
        <v>0.84</v>
      </c>
      <c r="F578" s="16">
        <v>0.87</v>
      </c>
      <c r="I578">
        <v>469</v>
      </c>
      <c r="N578" s="29">
        <f>CA!O41/CA!O5</f>
        <v>0.45296000000000003</v>
      </c>
      <c r="O578" s="29">
        <f>CA!O14</f>
        <v>1.1919999999999999</v>
      </c>
    </row>
    <row r="579" spans="1:15">
      <c r="B579" t="s">
        <v>2379</v>
      </c>
      <c r="C579" t="s">
        <v>8</v>
      </c>
      <c r="D579">
        <v>564</v>
      </c>
      <c r="E579" s="16">
        <v>0.71</v>
      </c>
      <c r="F579" s="16">
        <v>0.76</v>
      </c>
      <c r="I579">
        <v>951</v>
      </c>
      <c r="N579" s="29">
        <f>CA!O42/CA!O6</f>
        <v>0.50561999999999996</v>
      </c>
      <c r="O579" s="29">
        <f>CA!O15</f>
        <v>0.95399999999999996</v>
      </c>
    </row>
    <row r="580" spans="1:15">
      <c r="A580" s="11"/>
      <c r="B580" s="11" t="s">
        <v>2380</v>
      </c>
      <c r="C580" s="164">
        <v>2021</v>
      </c>
      <c r="D580" s="11">
        <v>227</v>
      </c>
      <c r="E580" s="20">
        <v>0.57199999999999995</v>
      </c>
      <c r="F580" s="20">
        <v>0.74</v>
      </c>
      <c r="G580" s="11"/>
      <c r="H580" s="104" t="s">
        <v>100</v>
      </c>
      <c r="I580" s="11">
        <v>863</v>
      </c>
      <c r="N580" s="150">
        <f>CA!O43/CA!O7</f>
        <v>0.51675000000000004</v>
      </c>
      <c r="O580" s="150">
        <f>CA!O16</f>
        <v>0.79500000000000004</v>
      </c>
    </row>
    <row r="581" spans="1:15">
      <c r="A581" t="s">
        <v>1831</v>
      </c>
      <c r="B581" t="s">
        <v>2382</v>
      </c>
      <c r="C581" s="129" t="s">
        <v>10</v>
      </c>
      <c r="D581">
        <v>11</v>
      </c>
      <c r="E581" s="16">
        <v>0.35</v>
      </c>
      <c r="F581" s="16">
        <v>0.61</v>
      </c>
      <c r="I581">
        <v>150</v>
      </c>
      <c r="N581" s="5">
        <f>Africa!O52/Africa!O9</f>
        <v>0.22313000000000002</v>
      </c>
      <c r="O581" s="5">
        <f>Africa!O20</f>
        <v>0.42099999999999999</v>
      </c>
    </row>
    <row r="582" spans="1:15">
      <c r="B582" t="s">
        <v>2383</v>
      </c>
      <c r="C582" s="163" t="s">
        <v>788</v>
      </c>
      <c r="D582">
        <v>62</v>
      </c>
      <c r="E582" s="16">
        <v>0.98</v>
      </c>
      <c r="F582" s="16">
        <v>0.98</v>
      </c>
      <c r="I582">
        <v>100</v>
      </c>
      <c r="N582" s="5">
        <f>Africa!O53/Africa!O10</f>
        <v>0.17576999999999998</v>
      </c>
      <c r="O582" s="5">
        <f>Africa!O21</f>
        <v>0.56699999999999995</v>
      </c>
    </row>
    <row r="583" spans="1:15">
      <c r="B583" t="s">
        <v>2384</v>
      </c>
      <c r="C583" s="129" t="s">
        <v>11</v>
      </c>
      <c r="D583">
        <v>153</v>
      </c>
      <c r="E583" s="16">
        <v>0.53</v>
      </c>
      <c r="F583" s="16">
        <v>0.65</v>
      </c>
      <c r="H583" s="6" t="s">
        <v>100</v>
      </c>
      <c r="I583">
        <v>700</v>
      </c>
      <c r="N583" s="5">
        <f>Africa!O48/Africa!O5</f>
        <v>0.14813999999999999</v>
      </c>
      <c r="O583" s="5">
        <f>Africa!O16</f>
        <v>0.82299999999999995</v>
      </c>
    </row>
    <row r="584" spans="1:15">
      <c r="B584" t="s">
        <v>577</v>
      </c>
      <c r="C584" s="163">
        <v>2015</v>
      </c>
      <c r="D584">
        <v>114</v>
      </c>
      <c r="E584" s="16">
        <v>0.27</v>
      </c>
      <c r="F584" s="16">
        <v>0.27</v>
      </c>
      <c r="I584">
        <v>225</v>
      </c>
      <c r="N584" s="5" t="e">
        <f>Africa!O49/Africa!O6</f>
        <v>#DIV/0!</v>
      </c>
      <c r="O584" s="5">
        <f>Africa!O17</f>
        <v>1.0269999999999999</v>
      </c>
    </row>
    <row r="585" spans="1:15">
      <c r="B585" s="21" t="s">
        <v>578</v>
      </c>
      <c r="C585" s="129" t="s">
        <v>12</v>
      </c>
      <c r="D585">
        <v>167</v>
      </c>
      <c r="E585" s="16">
        <v>0.7</v>
      </c>
      <c r="F585" s="16">
        <v>0.5</v>
      </c>
      <c r="G585" s="21"/>
      <c r="H585" s="21"/>
      <c r="I585">
        <v>850</v>
      </c>
      <c r="N585" s="5">
        <f>Africa!O50/Africa!O7</f>
        <v>0.21839999999999996</v>
      </c>
      <c r="O585" s="5">
        <f>Africa!O18</f>
        <v>0.72799999999999998</v>
      </c>
    </row>
    <row r="586" spans="1:15">
      <c r="B586" t="s">
        <v>579</v>
      </c>
      <c r="C586" s="129" t="s">
        <v>9</v>
      </c>
      <c r="D586">
        <v>20</v>
      </c>
      <c r="E586" s="16">
        <v>0.12</v>
      </c>
      <c r="F586" s="16">
        <v>0.2</v>
      </c>
      <c r="I586">
        <v>91</v>
      </c>
      <c r="N586" s="5" t="e">
        <f>Africa!#REF!/Africa!#REF!</f>
        <v>#REF!</v>
      </c>
      <c r="O586" s="5" t="e">
        <f>Africa!#REF!</f>
        <v>#REF!</v>
      </c>
    </row>
    <row r="587" spans="1:15">
      <c r="A587" s="11"/>
      <c r="B587" s="11" t="s">
        <v>1961</v>
      </c>
      <c r="C587" s="165"/>
      <c r="D587" s="11">
        <v>287</v>
      </c>
      <c r="E587" s="20">
        <v>0.17</v>
      </c>
      <c r="F587" s="20">
        <v>0.17</v>
      </c>
      <c r="G587" s="11"/>
      <c r="H587" s="11"/>
      <c r="I587" s="11">
        <v>502</v>
      </c>
      <c r="N587" s="17">
        <f>Africa!O51/Africa!O8</f>
        <v>0.1731</v>
      </c>
      <c r="O587" s="17">
        <f>Africa!O19</f>
        <v>0.57699999999999996</v>
      </c>
    </row>
    <row r="588" spans="1:15">
      <c r="A588" t="s">
        <v>1939</v>
      </c>
      <c r="B588" t="s">
        <v>729</v>
      </c>
      <c r="C588" s="129" t="s">
        <v>13</v>
      </c>
      <c r="D588">
        <v>669</v>
      </c>
      <c r="E588" s="16">
        <v>0.27</v>
      </c>
      <c r="F588" s="16"/>
      <c r="G588" s="21"/>
      <c r="I588">
        <v>2040</v>
      </c>
      <c r="N588" s="5" t="e">
        <f>#REF!/#REF!</f>
        <v>#REF!</v>
      </c>
      <c r="O588" s="5" t="e">
        <f>#REF!</f>
        <v>#REF!</v>
      </c>
    </row>
    <row r="589" spans="1:15">
      <c r="A589" s="11"/>
      <c r="B589" s="11" t="s">
        <v>730</v>
      </c>
      <c r="C589" s="164">
        <v>2018</v>
      </c>
      <c r="D589" s="11">
        <v>180</v>
      </c>
      <c r="E589" s="20">
        <v>0.47</v>
      </c>
      <c r="F589" s="20"/>
      <c r="G589" s="11"/>
      <c r="H589" s="11"/>
      <c r="I589" s="11">
        <v>642</v>
      </c>
      <c r="N589" s="5" t="e">
        <f>#REF!/#REF!</f>
        <v>#REF!</v>
      </c>
      <c r="O589" s="5" t="e">
        <f>#REF!</f>
        <v>#REF!</v>
      </c>
    </row>
    <row r="590" spans="1:15">
      <c r="A590" t="s">
        <v>1086</v>
      </c>
      <c r="B590" t="s">
        <v>738</v>
      </c>
      <c r="C590" s="162">
        <v>2021</v>
      </c>
      <c r="D590">
        <v>461</v>
      </c>
      <c r="E590" s="16">
        <v>0.44</v>
      </c>
      <c r="F590" s="16">
        <v>0.44</v>
      </c>
      <c r="I590">
        <v>1100</v>
      </c>
      <c r="N590" s="5">
        <f>Asia!O38/Asia!O6</f>
        <v>0.29250000000000009</v>
      </c>
      <c r="O590" s="5">
        <f>Asia!O14</f>
        <v>0.65000000000000013</v>
      </c>
    </row>
    <row r="591" spans="1:15">
      <c r="B591" t="s">
        <v>739</v>
      </c>
      <c r="C591" s="162">
        <v>2022</v>
      </c>
      <c r="D591">
        <v>80</v>
      </c>
      <c r="E591" s="16">
        <v>0.11</v>
      </c>
      <c r="F591" s="16">
        <v>0.45</v>
      </c>
      <c r="I591">
        <v>122</v>
      </c>
      <c r="N591" s="5">
        <f>Asia!O39/Asia!O7</f>
        <v>0.13750000000000001</v>
      </c>
      <c r="O591" s="5">
        <f>Asia!O15</f>
        <v>0.55000000000000004</v>
      </c>
    </row>
    <row r="592" spans="1:15">
      <c r="G592" t="s">
        <v>1823</v>
      </c>
    </row>
    <row r="593" spans="2:14">
      <c r="E593" t="s">
        <v>1823</v>
      </c>
      <c r="K593" t="s">
        <v>1967</v>
      </c>
      <c r="M593" t="s">
        <v>1823</v>
      </c>
    </row>
    <row r="594" spans="2:14">
      <c r="B594" s="3" t="s">
        <v>2095</v>
      </c>
      <c r="J594" t="s">
        <v>1951</v>
      </c>
      <c r="K594" s="16">
        <v>0.69819999999999993</v>
      </c>
      <c r="M594" s="21" t="s">
        <v>1961</v>
      </c>
      <c r="N594" s="16">
        <v>1.9199999999999998E-2</v>
      </c>
    </row>
    <row r="595" spans="2:14">
      <c r="B595" t="s">
        <v>2096</v>
      </c>
      <c r="E595" s="2" t="s">
        <v>44</v>
      </c>
      <c r="J595" s="11" t="s">
        <v>1952</v>
      </c>
      <c r="K595" s="20">
        <v>0.14000000000000001</v>
      </c>
      <c r="M595" s="21" t="s">
        <v>1953</v>
      </c>
      <c r="N595" s="16">
        <v>3.3300000000000003E-2</v>
      </c>
    </row>
    <row r="596" spans="2:14">
      <c r="B596" t="s">
        <v>2098</v>
      </c>
      <c r="E596" s="2" t="s">
        <v>5</v>
      </c>
      <c r="J596" t="s">
        <v>1953</v>
      </c>
      <c r="K596" s="16">
        <v>3.3300000000000003E-2</v>
      </c>
      <c r="M596" s="21" t="s">
        <v>1965</v>
      </c>
      <c r="N596" s="16">
        <v>0.13</v>
      </c>
    </row>
    <row r="597" spans="2:14">
      <c r="B597" t="s">
        <v>2112</v>
      </c>
      <c r="E597" s="2" t="s">
        <v>1024</v>
      </c>
      <c r="J597" s="11" t="s">
        <v>1954</v>
      </c>
      <c r="K597" s="20">
        <v>0.23</v>
      </c>
      <c r="M597" s="21" t="s">
        <v>1952</v>
      </c>
      <c r="N597" s="16">
        <v>0.14000000000000001</v>
      </c>
    </row>
    <row r="598" spans="2:14">
      <c r="B598" t="s">
        <v>1949</v>
      </c>
      <c r="E598" s="2" t="s">
        <v>822</v>
      </c>
      <c r="J598" t="s">
        <v>1955</v>
      </c>
      <c r="K598" s="16">
        <v>0.4</v>
      </c>
      <c r="M598" s="21" t="s">
        <v>1966</v>
      </c>
      <c r="N598" s="16">
        <v>0.19</v>
      </c>
    </row>
    <row r="599" spans="2:14">
      <c r="B599" t="s">
        <v>1950</v>
      </c>
      <c r="E599" s="2" t="s">
        <v>797</v>
      </c>
      <c r="J599" t="s">
        <v>1956</v>
      </c>
      <c r="K599" s="16">
        <v>0.34</v>
      </c>
      <c r="M599" s="21" t="s">
        <v>1954</v>
      </c>
      <c r="N599" s="16">
        <v>0.23</v>
      </c>
    </row>
    <row r="600" spans="2:14">
      <c r="E600" t="s">
        <v>1823</v>
      </c>
      <c r="J600" s="11" t="s">
        <v>1957</v>
      </c>
      <c r="K600" s="20">
        <v>0.66</v>
      </c>
      <c r="M600" s="21" t="s">
        <v>1962</v>
      </c>
      <c r="N600" s="16">
        <v>0.26558999999999999</v>
      </c>
    </row>
    <row r="601" spans="2:14">
      <c r="B601" t="s">
        <v>66</v>
      </c>
      <c r="E601" s="2" t="s">
        <v>795</v>
      </c>
      <c r="J601" t="s">
        <v>1958</v>
      </c>
      <c r="K601" s="16">
        <v>0.34</v>
      </c>
      <c r="M601" s="21" t="s">
        <v>1963</v>
      </c>
      <c r="N601" s="16">
        <v>0.3</v>
      </c>
    </row>
    <row r="602" spans="2:14">
      <c r="B602" t="s">
        <v>882</v>
      </c>
      <c r="E602" s="2" t="s">
        <v>796</v>
      </c>
      <c r="J602" s="11" t="s">
        <v>1959</v>
      </c>
      <c r="K602" s="20">
        <v>0.44819999999999999</v>
      </c>
      <c r="M602" s="21" t="s">
        <v>1956</v>
      </c>
      <c r="N602" s="16">
        <v>0.34</v>
      </c>
    </row>
    <row r="603" spans="2:14">
      <c r="B603" t="s">
        <v>883</v>
      </c>
      <c r="E603" s="2" t="s">
        <v>795</v>
      </c>
      <c r="J603" t="s">
        <v>1960</v>
      </c>
      <c r="K603" s="16">
        <v>0.36</v>
      </c>
      <c r="M603" s="21" t="s">
        <v>1958</v>
      </c>
      <c r="N603" s="16">
        <v>0.34</v>
      </c>
    </row>
    <row r="604" spans="2:14">
      <c r="B604" t="s">
        <v>887</v>
      </c>
      <c r="C604" t="s">
        <v>2166</v>
      </c>
      <c r="E604" s="2" t="s">
        <v>795</v>
      </c>
      <c r="J604" t="s">
        <v>1961</v>
      </c>
      <c r="K604" s="16">
        <v>1.9199999999999998E-2</v>
      </c>
      <c r="M604" s="21" t="s">
        <v>1960</v>
      </c>
      <c r="N604" s="16">
        <v>0.36</v>
      </c>
    </row>
    <row r="605" spans="2:14">
      <c r="C605" t="s">
        <v>888</v>
      </c>
      <c r="J605" t="s">
        <v>1962</v>
      </c>
      <c r="K605" s="16">
        <v>0.26558999999999999</v>
      </c>
      <c r="M605" s="21" t="s">
        <v>1964</v>
      </c>
      <c r="N605" s="16">
        <v>0.38649</v>
      </c>
    </row>
    <row r="606" spans="2:14">
      <c r="B606" t="s">
        <v>799</v>
      </c>
      <c r="J606" t="s">
        <v>1963</v>
      </c>
      <c r="K606" s="16">
        <v>0.3</v>
      </c>
      <c r="M606" s="21" t="s">
        <v>1955</v>
      </c>
      <c r="N606" s="16">
        <v>0.4</v>
      </c>
    </row>
    <row r="607" spans="2:14">
      <c r="B607" t="s">
        <v>98</v>
      </c>
      <c r="E607" s="2" t="s">
        <v>1653</v>
      </c>
      <c r="J607" t="s">
        <v>1964</v>
      </c>
      <c r="K607" s="16">
        <v>0.38649</v>
      </c>
      <c r="M607" s="21" t="s">
        <v>1959</v>
      </c>
      <c r="N607" s="16">
        <v>0.44819999999999999</v>
      </c>
    </row>
    <row r="608" spans="2:14">
      <c r="B608" t="s">
        <v>1652</v>
      </c>
      <c r="J608" t="s">
        <v>1965</v>
      </c>
      <c r="K608" s="16">
        <v>0.13</v>
      </c>
      <c r="M608" s="21" t="s">
        <v>1957</v>
      </c>
      <c r="N608" s="16">
        <v>0.66</v>
      </c>
    </row>
    <row r="609" spans="2:17">
      <c r="J609" t="s">
        <v>1966</v>
      </c>
      <c r="K609" s="16">
        <v>0.19</v>
      </c>
      <c r="M609" s="21" t="s">
        <v>1951</v>
      </c>
      <c r="N609" s="16">
        <v>0.69819999999999993</v>
      </c>
    </row>
    <row r="611" spans="2:17">
      <c r="J611" t="s">
        <v>2167</v>
      </c>
      <c r="K611" t="s">
        <v>2168</v>
      </c>
      <c r="M611" s="6" t="s">
        <v>2169</v>
      </c>
      <c r="N611" s="6" t="s">
        <v>2171</v>
      </c>
    </row>
    <row r="612" spans="2:17">
      <c r="J612" t="s">
        <v>1823</v>
      </c>
    </row>
    <row r="613" spans="2:17">
      <c r="B613" s="3" t="s">
        <v>1109</v>
      </c>
      <c r="J613" s="3" t="s">
        <v>1877</v>
      </c>
    </row>
    <row r="614" spans="2:17">
      <c r="B614" t="s">
        <v>334</v>
      </c>
      <c r="J614" s="2" t="s">
        <v>827</v>
      </c>
    </row>
    <row r="615" spans="2:17">
      <c r="B615" t="s">
        <v>335</v>
      </c>
      <c r="J615" t="s">
        <v>1878</v>
      </c>
    </row>
    <row r="616" spans="2:17">
      <c r="B616" t="s">
        <v>1074</v>
      </c>
      <c r="J616" t="s">
        <v>1337</v>
      </c>
    </row>
    <row r="617" spans="2:17">
      <c r="B617" t="s">
        <v>2290</v>
      </c>
      <c r="J617" s="2" t="s">
        <v>729</v>
      </c>
    </row>
    <row r="618" spans="2:17">
      <c r="B618" t="s">
        <v>2289</v>
      </c>
      <c r="J618" t="s">
        <v>1200</v>
      </c>
    </row>
    <row r="619" spans="2:17">
      <c r="B619" t="s">
        <v>545</v>
      </c>
      <c r="J619" t="s">
        <v>1336</v>
      </c>
    </row>
    <row r="620" spans="2:17">
      <c r="B620" t="s">
        <v>2291</v>
      </c>
      <c r="J620" t="s">
        <v>1335</v>
      </c>
    </row>
    <row r="621" spans="2:17">
      <c r="B621" t="s">
        <v>2292</v>
      </c>
      <c r="J621" t="s">
        <v>749</v>
      </c>
      <c r="Q621" s="2" t="s">
        <v>294</v>
      </c>
    </row>
    <row r="622" spans="2:17">
      <c r="J622" t="s">
        <v>189</v>
      </c>
      <c r="Q622" s="2" t="s">
        <v>296</v>
      </c>
    </row>
    <row r="623" spans="2:17">
      <c r="J623" t="s">
        <v>2048</v>
      </c>
      <c r="Q623" s="2"/>
    </row>
    <row r="624" spans="2:17">
      <c r="B624" s="2" t="s">
        <v>371</v>
      </c>
      <c r="J624" s="2" t="s">
        <v>1831</v>
      </c>
      <c r="Q624" s="2" t="s">
        <v>383</v>
      </c>
    </row>
    <row r="625" spans="2:20">
      <c r="B625" s="129" t="s">
        <v>372</v>
      </c>
      <c r="J625" t="s">
        <v>1338</v>
      </c>
      <c r="Q625" s="3" t="s">
        <v>1062</v>
      </c>
    </row>
    <row r="626" spans="2:20">
      <c r="B626" t="s">
        <v>369</v>
      </c>
      <c r="J626" t="s">
        <v>1521</v>
      </c>
      <c r="Q626" s="4" t="s">
        <v>1522</v>
      </c>
      <c r="T626" t="s">
        <v>1063</v>
      </c>
    </row>
    <row r="627" spans="2:20">
      <c r="B627" t="s">
        <v>370</v>
      </c>
      <c r="J627" s="2" t="s">
        <v>737</v>
      </c>
      <c r="Q627" s="4" t="s">
        <v>1059</v>
      </c>
    </row>
    <row r="628" spans="2:20">
      <c r="B628" t="s">
        <v>373</v>
      </c>
      <c r="J628" t="s">
        <v>1664</v>
      </c>
      <c r="Q628" s="4" t="s">
        <v>1060</v>
      </c>
    </row>
    <row r="629" spans="2:20">
      <c r="B629" s="2" t="s">
        <v>374</v>
      </c>
      <c r="J629" t="s">
        <v>1887</v>
      </c>
      <c r="Q629" s="4" t="s">
        <v>1061</v>
      </c>
    </row>
    <row r="630" spans="2:20">
      <c r="B630" s="129" t="s">
        <v>375</v>
      </c>
      <c r="J630" t="s">
        <v>1661</v>
      </c>
      <c r="Q630" s="4" t="s">
        <v>183</v>
      </c>
    </row>
    <row r="631" spans="2:20">
      <c r="B631" s="2" t="s">
        <v>1831</v>
      </c>
      <c r="J631" s="2" t="s">
        <v>1663</v>
      </c>
      <c r="Q631" s="4" t="s">
        <v>119</v>
      </c>
    </row>
    <row r="632" spans="2:20">
      <c r="B632" t="s">
        <v>540</v>
      </c>
      <c r="J632" t="s">
        <v>1662</v>
      </c>
      <c r="Q632" s="4" t="s">
        <v>120</v>
      </c>
    </row>
    <row r="633" spans="2:20">
      <c r="B633" s="2" t="s">
        <v>1939</v>
      </c>
      <c r="J633" s="2" t="s">
        <v>1665</v>
      </c>
      <c r="Q633" s="4" t="s">
        <v>121</v>
      </c>
    </row>
    <row r="634" spans="2:20">
      <c r="B634" s="129" t="s">
        <v>541</v>
      </c>
      <c r="J634" t="s">
        <v>503</v>
      </c>
    </row>
    <row r="635" spans="2:20">
      <c r="B635" t="s">
        <v>542</v>
      </c>
      <c r="J635" s="4" t="s">
        <v>1750</v>
      </c>
      <c r="Q635" t="s">
        <v>198</v>
      </c>
    </row>
    <row r="636" spans="2:20">
      <c r="B636" s="139" t="s">
        <v>547</v>
      </c>
      <c r="J636" s="4" t="s">
        <v>1666</v>
      </c>
    </row>
    <row r="637" spans="2:20">
      <c r="B637" s="139"/>
      <c r="J637" s="4" t="s">
        <v>1076</v>
      </c>
    </row>
    <row r="638" spans="2:20">
      <c r="B638" s="139"/>
      <c r="J638" s="4" t="s">
        <v>504</v>
      </c>
    </row>
    <row r="639" spans="2:20">
      <c r="B639" s="16" t="s">
        <v>546</v>
      </c>
      <c r="J639" s="2" t="s">
        <v>750</v>
      </c>
    </row>
    <row r="640" spans="2:20">
      <c r="B640" s="19" t="s">
        <v>543</v>
      </c>
      <c r="J640" s="4" t="s">
        <v>2136</v>
      </c>
    </row>
    <row r="641" spans="2:17">
      <c r="B641" s="19" t="s">
        <v>1086</v>
      </c>
      <c r="J641" s="4" t="s">
        <v>2133</v>
      </c>
    </row>
    <row r="642" spans="2:17">
      <c r="B642" s="19"/>
      <c r="J642" s="2" t="s">
        <v>751</v>
      </c>
    </row>
    <row r="643" spans="2:17">
      <c r="B643" s="140" t="s">
        <v>548</v>
      </c>
      <c r="J643" s="4" t="s">
        <v>196</v>
      </c>
    </row>
    <row r="644" spans="2:17">
      <c r="B644" s="19" t="s">
        <v>549</v>
      </c>
      <c r="J644" s="4" t="s">
        <v>2134</v>
      </c>
    </row>
    <row r="645" spans="2:17">
      <c r="B645" s="36" t="s">
        <v>384</v>
      </c>
      <c r="J645" s="4" t="s">
        <v>197</v>
      </c>
    </row>
    <row r="646" spans="2:17">
      <c r="B646" s="36" t="s">
        <v>1302</v>
      </c>
      <c r="J646" s="4" t="s">
        <v>2135</v>
      </c>
    </row>
    <row r="647" spans="2:17">
      <c r="B647" s="36" t="s">
        <v>1303</v>
      </c>
      <c r="J647" s="2" t="s">
        <v>1828</v>
      </c>
    </row>
    <row r="648" spans="2:17">
      <c r="B648" s="19" t="s">
        <v>1545</v>
      </c>
      <c r="J648" s="4" t="s">
        <v>2137</v>
      </c>
    </row>
    <row r="649" spans="2:17">
      <c r="B649" s="36" t="s">
        <v>1694</v>
      </c>
      <c r="J649" s="4" t="s">
        <v>167</v>
      </c>
    </row>
    <row r="650" spans="2:17">
      <c r="B650" s="36" t="s">
        <v>1695</v>
      </c>
      <c r="F650" s="2" t="s">
        <v>570</v>
      </c>
      <c r="J650" s="4" t="s">
        <v>555</v>
      </c>
    </row>
    <row r="651" spans="2:17">
      <c r="F651" s="19" t="s">
        <v>1864</v>
      </c>
      <c r="J651" s="2" t="s">
        <v>395</v>
      </c>
    </row>
    <row r="652" spans="2:17">
      <c r="J652" s="4" t="s">
        <v>556</v>
      </c>
      <c r="Q652" s="2" t="s">
        <v>2092</v>
      </c>
    </row>
    <row r="653" spans="2:17">
      <c r="B653" t="s">
        <v>1873</v>
      </c>
      <c r="J653" s="4" t="s">
        <v>557</v>
      </c>
      <c r="Q653" s="2" t="s">
        <v>2093</v>
      </c>
    </row>
    <row r="654" spans="2:17">
      <c r="B654" t="s">
        <v>1870</v>
      </c>
      <c r="J654" s="4" t="s">
        <v>559</v>
      </c>
      <c r="Q654" s="2" t="s">
        <v>2094</v>
      </c>
    </row>
    <row r="655" spans="2:17">
      <c r="B655" t="s">
        <v>1871</v>
      </c>
      <c r="J655" s="2" t="s">
        <v>560</v>
      </c>
    </row>
    <row r="656" spans="2:17">
      <c r="B656" t="s">
        <v>1872</v>
      </c>
      <c r="J656" s="4" t="s">
        <v>561</v>
      </c>
      <c r="Q656" s="2" t="s">
        <v>295</v>
      </c>
    </row>
    <row r="657" spans="2:22">
      <c r="B657" t="s">
        <v>1874</v>
      </c>
      <c r="F657" s="2" t="s">
        <v>1875</v>
      </c>
      <c r="J657" s="4" t="s">
        <v>562</v>
      </c>
      <c r="Q657" s="2" t="s">
        <v>292</v>
      </c>
    </row>
    <row r="658" spans="2:22">
      <c r="B658" t="s">
        <v>1876</v>
      </c>
      <c r="F658" s="2"/>
      <c r="J658" s="2" t="s">
        <v>565</v>
      </c>
    </row>
    <row r="659" spans="2:22">
      <c r="J659" s="4" t="s">
        <v>566</v>
      </c>
    </row>
    <row r="660" spans="2:22">
      <c r="B660" t="s">
        <v>489</v>
      </c>
      <c r="J660" s="2" t="s">
        <v>1683</v>
      </c>
      <c r="Q660" s="2" t="s">
        <v>1682</v>
      </c>
    </row>
    <row r="661" spans="2:22">
      <c r="B661" t="s">
        <v>1671</v>
      </c>
      <c r="J661" s="4" t="s">
        <v>1684</v>
      </c>
      <c r="Q661" s="2" t="s">
        <v>293</v>
      </c>
      <c r="T661" t="s">
        <v>1823</v>
      </c>
      <c r="V661" t="s">
        <v>1823</v>
      </c>
    </row>
    <row r="662" spans="2:22">
      <c r="B662" t="s">
        <v>1672</v>
      </c>
      <c r="J662" s="4" t="s">
        <v>1685</v>
      </c>
    </row>
    <row r="663" spans="2:22">
      <c r="J663" s="4" t="s">
        <v>1686</v>
      </c>
      <c r="N663" s="3" t="s">
        <v>2229</v>
      </c>
      <c r="O663" s="3" t="s">
        <v>1284</v>
      </c>
      <c r="Q663" s="3" t="s">
        <v>1290</v>
      </c>
      <c r="T663" s="3" t="s">
        <v>1285</v>
      </c>
      <c r="U663" s="3" t="s">
        <v>922</v>
      </c>
      <c r="V663" s="3" t="s">
        <v>259</v>
      </c>
    </row>
    <row r="664" spans="2:22" ht="17.25">
      <c r="C664" s="11" t="s">
        <v>2154</v>
      </c>
      <c r="D664" s="11" t="s">
        <v>921</v>
      </c>
      <c r="E664" s="11" t="s">
        <v>1831</v>
      </c>
      <c r="F664" s="11" t="s">
        <v>1086</v>
      </c>
      <c r="G664" s="11" t="s">
        <v>2374</v>
      </c>
      <c r="J664" s="4" t="s">
        <v>1687</v>
      </c>
      <c r="N664" t="s">
        <v>2382</v>
      </c>
      <c r="O664" t="s">
        <v>1291</v>
      </c>
      <c r="P664" t="s">
        <v>2245</v>
      </c>
      <c r="Q664" t="s">
        <v>826</v>
      </c>
      <c r="R664" t="s">
        <v>2243</v>
      </c>
      <c r="S664" t="s">
        <v>2248</v>
      </c>
      <c r="T664" t="s">
        <v>925</v>
      </c>
      <c r="U664" s="118" t="s">
        <v>578</v>
      </c>
      <c r="V664" t="s">
        <v>264</v>
      </c>
    </row>
    <row r="665" spans="2:22" ht="16.5">
      <c r="C665" t="s">
        <v>1606</v>
      </c>
      <c r="D665" t="s">
        <v>1606</v>
      </c>
      <c r="E665" t="s">
        <v>2044</v>
      </c>
      <c r="F665" t="s">
        <v>1286</v>
      </c>
      <c r="G665" t="s">
        <v>1287</v>
      </c>
      <c r="J665" s="4" t="s">
        <v>2344</v>
      </c>
      <c r="N665" t="s">
        <v>2383</v>
      </c>
      <c r="O665" t="s">
        <v>1292</v>
      </c>
      <c r="P665" t="s">
        <v>2227</v>
      </c>
      <c r="Q665" s="118" t="s">
        <v>579</v>
      </c>
      <c r="R665" s="118" t="s">
        <v>577</v>
      </c>
      <c r="S665" t="s">
        <v>2249</v>
      </c>
      <c r="T665" t="s">
        <v>2270</v>
      </c>
      <c r="U665" s="118" t="s">
        <v>1551</v>
      </c>
      <c r="V665" t="s">
        <v>260</v>
      </c>
    </row>
    <row r="666" spans="2:22" ht="17.25">
      <c r="C666" t="s">
        <v>1607</v>
      </c>
      <c r="D666" t="s">
        <v>1607</v>
      </c>
      <c r="E666" t="s">
        <v>2155</v>
      </c>
      <c r="F666" t="s">
        <v>1285</v>
      </c>
      <c r="G666" t="s">
        <v>1289</v>
      </c>
      <c r="J666" s="2" t="s">
        <v>1545</v>
      </c>
      <c r="N666" t="s">
        <v>2384</v>
      </c>
      <c r="O666" t="s">
        <v>1293</v>
      </c>
      <c r="P666" t="s">
        <v>2246</v>
      </c>
      <c r="Q666" s="118" t="s">
        <v>827</v>
      </c>
      <c r="R666" t="s">
        <v>2244</v>
      </c>
      <c r="S666" t="s">
        <v>2250</v>
      </c>
      <c r="T666" t="s">
        <v>925</v>
      </c>
      <c r="U666" t="s">
        <v>923</v>
      </c>
      <c r="V666" s="118" t="s">
        <v>2382</v>
      </c>
    </row>
    <row r="667" spans="2:22">
      <c r="E667" t="s">
        <v>1285</v>
      </c>
      <c r="F667" t="s">
        <v>1287</v>
      </c>
      <c r="G667" t="s">
        <v>2153</v>
      </c>
      <c r="H667" t="s">
        <v>1823</v>
      </c>
      <c r="J667" s="4" t="s">
        <v>2345</v>
      </c>
      <c r="N667" t="s">
        <v>577</v>
      </c>
      <c r="O667" t="s">
        <v>1295</v>
      </c>
      <c r="P667" t="s">
        <v>2228</v>
      </c>
      <c r="Q667" t="s">
        <v>852</v>
      </c>
      <c r="R667" s="118" t="s">
        <v>578</v>
      </c>
      <c r="S667" t="s">
        <v>2152</v>
      </c>
      <c r="T667" t="s">
        <v>2271</v>
      </c>
      <c r="U667" t="s">
        <v>924</v>
      </c>
      <c r="V667" t="s">
        <v>261</v>
      </c>
    </row>
    <row r="668" spans="2:22">
      <c r="F668" t="s">
        <v>1289</v>
      </c>
      <c r="G668" t="s">
        <v>1288</v>
      </c>
      <c r="J668" s="2" t="s">
        <v>1078</v>
      </c>
      <c r="N668" t="s">
        <v>578</v>
      </c>
      <c r="O668" t="s">
        <v>2274</v>
      </c>
      <c r="P668" s="118" t="s">
        <v>2383</v>
      </c>
      <c r="Q668" t="s">
        <v>2240</v>
      </c>
      <c r="R668" t="s">
        <v>2245</v>
      </c>
      <c r="T668" t="s">
        <v>2273</v>
      </c>
      <c r="V668" t="s">
        <v>262</v>
      </c>
    </row>
    <row r="669" spans="2:22">
      <c r="F669" t="s">
        <v>2153</v>
      </c>
      <c r="J669" s="4" t="s">
        <v>1079</v>
      </c>
      <c r="N669" t="s">
        <v>579</v>
      </c>
      <c r="O669" s="118" t="s">
        <v>2375</v>
      </c>
      <c r="Q669" t="s">
        <v>2241</v>
      </c>
      <c r="R669" t="s">
        <v>2246</v>
      </c>
      <c r="V669" t="s">
        <v>263</v>
      </c>
    </row>
    <row r="670" spans="2:22">
      <c r="F670" t="s">
        <v>1288</v>
      </c>
      <c r="N670" t="s">
        <v>827</v>
      </c>
      <c r="Q670" t="s">
        <v>2242</v>
      </c>
      <c r="R670" t="s">
        <v>2247</v>
      </c>
      <c r="U670" t="s">
        <v>1823</v>
      </c>
      <c r="V670" t="s">
        <v>2244</v>
      </c>
    </row>
    <row r="671" spans="2:22">
      <c r="C671" t="s">
        <v>2045</v>
      </c>
      <c r="T671" s="118" t="s">
        <v>926</v>
      </c>
    </row>
    <row r="672" spans="2:22">
      <c r="C672" t="s">
        <v>2046</v>
      </c>
      <c r="O672" t="s">
        <v>1294</v>
      </c>
      <c r="P672" t="s">
        <v>1301</v>
      </c>
      <c r="T672" t="s">
        <v>2272</v>
      </c>
      <c r="U672" s="118" t="s">
        <v>2230</v>
      </c>
    </row>
    <row r="673" spans="2:21">
      <c r="C673" t="s">
        <v>920</v>
      </c>
      <c r="O673" t="s">
        <v>1298</v>
      </c>
      <c r="P673" t="s">
        <v>823</v>
      </c>
      <c r="U673" s="118" t="s">
        <v>2231</v>
      </c>
    </row>
    <row r="674" spans="2:21">
      <c r="O674" t="s">
        <v>1297</v>
      </c>
      <c r="P674" t="s">
        <v>824</v>
      </c>
      <c r="U674" t="s">
        <v>923</v>
      </c>
    </row>
    <row r="675" spans="2:21">
      <c r="B675" s="3" t="s">
        <v>1608</v>
      </c>
      <c r="C675" t="s">
        <v>1823</v>
      </c>
      <c r="E675" t="s">
        <v>1823</v>
      </c>
      <c r="F675" t="s">
        <v>1823</v>
      </c>
      <c r="O675" t="s">
        <v>1296</v>
      </c>
      <c r="P675" t="s">
        <v>825</v>
      </c>
      <c r="U675" t="s">
        <v>924</v>
      </c>
    </row>
    <row r="676" spans="2:21">
      <c r="I676" s="115" t="s">
        <v>1283</v>
      </c>
      <c r="O676" t="s">
        <v>1299</v>
      </c>
      <c r="P676" s="118" t="s">
        <v>2383</v>
      </c>
    </row>
    <row r="677" spans="2:21">
      <c r="B677" s="3"/>
      <c r="C677" s="114" t="s">
        <v>1550</v>
      </c>
      <c r="D677" s="114" t="s">
        <v>1609</v>
      </c>
      <c r="E677" s="114" t="s">
        <v>1606</v>
      </c>
      <c r="F677" s="114" t="s">
        <v>1607</v>
      </c>
      <c r="G677" s="114" t="s">
        <v>1612</v>
      </c>
      <c r="H677" s="114" t="s">
        <v>1540</v>
      </c>
      <c r="I677" s="114" t="s">
        <v>1282</v>
      </c>
      <c r="O677" s="118" t="s">
        <v>1300</v>
      </c>
    </row>
    <row r="678" spans="2:21">
      <c r="B678" t="s">
        <v>2376</v>
      </c>
      <c r="C678" s="116">
        <v>0.25</v>
      </c>
      <c r="D678" s="113">
        <v>0.43</v>
      </c>
      <c r="E678" s="113">
        <v>0.26</v>
      </c>
      <c r="F678" s="113">
        <v>0.26</v>
      </c>
      <c r="G678" s="115" t="s">
        <v>1611</v>
      </c>
      <c r="H678" s="113" t="s">
        <v>1610</v>
      </c>
      <c r="I678" s="16">
        <f>D678+E678</f>
        <v>0.69</v>
      </c>
    </row>
    <row r="679" spans="2:21">
      <c r="B679" t="s">
        <v>2379</v>
      </c>
      <c r="C679" s="116">
        <v>0.66666666666666663</v>
      </c>
      <c r="D679" s="113">
        <v>0.33</v>
      </c>
      <c r="E679" s="113">
        <v>0.24</v>
      </c>
      <c r="F679" s="113">
        <v>0.43</v>
      </c>
      <c r="G679" s="115" t="s">
        <v>1611</v>
      </c>
      <c r="H679" s="115" t="s">
        <v>1611</v>
      </c>
      <c r="I679" s="16">
        <f>D679+E679</f>
        <v>0.57000000000000006</v>
      </c>
    </row>
    <row r="680" spans="2:21">
      <c r="B680" t="s">
        <v>2380</v>
      </c>
      <c r="C680" s="116">
        <v>0.5</v>
      </c>
      <c r="D680" s="113">
        <v>0.67</v>
      </c>
      <c r="E680" s="115" t="s">
        <v>1611</v>
      </c>
      <c r="F680" s="113">
        <v>0.33</v>
      </c>
      <c r="G680" s="115" t="s">
        <v>1611</v>
      </c>
      <c r="H680" s="115" t="s">
        <v>1611</v>
      </c>
      <c r="I680" s="16">
        <f>D680</f>
        <v>0.67</v>
      </c>
      <c r="N680" s="3" t="s">
        <v>1288</v>
      </c>
      <c r="P680" s="2"/>
    </row>
    <row r="681" spans="2:21">
      <c r="B681" t="s">
        <v>2377</v>
      </c>
      <c r="C681" s="116">
        <v>0.66666666666666663</v>
      </c>
      <c r="D681" s="113">
        <v>0.35</v>
      </c>
      <c r="E681" s="115" t="s">
        <v>1611</v>
      </c>
      <c r="F681" s="115" t="s">
        <v>1611</v>
      </c>
      <c r="G681" s="113">
        <v>0.5</v>
      </c>
      <c r="H681" s="115" t="s">
        <v>1613</v>
      </c>
      <c r="I681" s="16">
        <f>D681</f>
        <v>0.35</v>
      </c>
      <c r="N681" t="s">
        <v>258</v>
      </c>
      <c r="Q681" t="s">
        <v>1823</v>
      </c>
    </row>
    <row r="682" spans="2:21">
      <c r="B682" t="s">
        <v>2378</v>
      </c>
      <c r="C682" s="116">
        <v>0.25</v>
      </c>
      <c r="D682" s="113">
        <v>0.43</v>
      </c>
      <c r="E682" s="115" t="s">
        <v>1611</v>
      </c>
      <c r="F682" s="113">
        <v>0.08</v>
      </c>
      <c r="G682" s="115" t="s">
        <v>1611</v>
      </c>
      <c r="H682" s="115" t="s">
        <v>1162</v>
      </c>
      <c r="I682" s="16">
        <f>D682</f>
        <v>0.43</v>
      </c>
      <c r="N682" t="s">
        <v>254</v>
      </c>
    </row>
    <row r="683" spans="2:21">
      <c r="D683" t="s">
        <v>1823</v>
      </c>
      <c r="G683" t="s">
        <v>1823</v>
      </c>
      <c r="N683" t="s">
        <v>255</v>
      </c>
    </row>
    <row r="684" spans="2:21">
      <c r="B684" s="3" t="s">
        <v>1163</v>
      </c>
      <c r="N684" t="s">
        <v>256</v>
      </c>
    </row>
    <row r="685" spans="2:21">
      <c r="B685" t="s">
        <v>729</v>
      </c>
      <c r="N685" t="s">
        <v>730</v>
      </c>
    </row>
    <row r="686" spans="2:21">
      <c r="B686" t="s">
        <v>730</v>
      </c>
      <c r="N686" t="s">
        <v>2382</v>
      </c>
    </row>
    <row r="687" spans="2:21">
      <c r="B687" t="s">
        <v>738</v>
      </c>
      <c r="N687" t="s">
        <v>257</v>
      </c>
    </row>
    <row r="688" spans="2:21">
      <c r="B688" t="s">
        <v>739</v>
      </c>
      <c r="N688" t="s">
        <v>737</v>
      </c>
    </row>
    <row r="690" spans="2:2">
      <c r="B690" t="s">
        <v>191</v>
      </c>
    </row>
    <row r="691" spans="2:2">
      <c r="B691" t="s">
        <v>1164</v>
      </c>
    </row>
    <row r="692" spans="2:2">
      <c r="B692" s="117" t="s">
        <v>1165</v>
      </c>
    </row>
    <row r="693" spans="2:2">
      <c r="B693" s="117" t="s">
        <v>2256</v>
      </c>
    </row>
    <row r="694" spans="2:2">
      <c r="B694" s="117" t="s">
        <v>190</v>
      </c>
    </row>
    <row r="695" spans="2:2">
      <c r="B695" s="117" t="s">
        <v>192</v>
      </c>
    </row>
    <row r="696" spans="2:2">
      <c r="B696" s="117" t="s">
        <v>193</v>
      </c>
    </row>
    <row r="697" spans="2:2">
      <c r="B697" s="117" t="s">
        <v>1397</v>
      </c>
    </row>
    <row r="699" spans="2:2">
      <c r="B699" s="3" t="s">
        <v>186</v>
      </c>
    </row>
    <row r="700" spans="2:2">
      <c r="B700" t="s">
        <v>187</v>
      </c>
    </row>
    <row r="701" spans="2:2">
      <c r="B701" s="106" t="s">
        <v>395</v>
      </c>
    </row>
    <row r="702" spans="2:2">
      <c r="B702" t="s">
        <v>188</v>
      </c>
    </row>
    <row r="703" spans="2:2">
      <c r="B703" t="s">
        <v>1411</v>
      </c>
    </row>
    <row r="704" spans="2:2">
      <c r="B704" t="s">
        <v>1412</v>
      </c>
    </row>
    <row r="706" spans="1:8">
      <c r="B706" s="3" t="s">
        <v>1381</v>
      </c>
    </row>
    <row r="707" spans="1:8">
      <c r="A707" s="2">
        <v>2003</v>
      </c>
      <c r="B707" s="38" t="s">
        <v>1980</v>
      </c>
    </row>
    <row r="708" spans="1:8">
      <c r="B708" t="s">
        <v>1656</v>
      </c>
    </row>
    <row r="709" spans="1:8">
      <c r="B709" t="s">
        <v>2179</v>
      </c>
    </row>
    <row r="710" spans="1:8">
      <c r="B710" t="s">
        <v>2180</v>
      </c>
    </row>
    <row r="711" spans="1:8">
      <c r="B711" t="s">
        <v>1979</v>
      </c>
    </row>
    <row r="712" spans="1:8">
      <c r="A712" s="2">
        <v>2005</v>
      </c>
      <c r="B712" t="s">
        <v>1379</v>
      </c>
    </row>
    <row r="713" spans="1:8">
      <c r="B713" s="38" t="s">
        <v>1981</v>
      </c>
    </row>
    <row r="714" spans="1:8">
      <c r="B714" t="s">
        <v>1380</v>
      </c>
    </row>
    <row r="715" spans="1:8">
      <c r="B715" t="s">
        <v>251</v>
      </c>
      <c r="D715" s="7">
        <f>200/34.86</f>
        <v>5.7372346528973033</v>
      </c>
    </row>
    <row r="716" spans="1:8">
      <c r="B716" s="106" t="s">
        <v>1382</v>
      </c>
    </row>
    <row r="717" spans="1:8">
      <c r="B717" s="110">
        <f>10%*550+4%*175</f>
        <v>62</v>
      </c>
      <c r="C717" t="s">
        <v>1383</v>
      </c>
    </row>
    <row r="719" spans="1:8">
      <c r="A719" s="2">
        <v>2004</v>
      </c>
      <c r="B719" t="s">
        <v>1082</v>
      </c>
      <c r="H719" s="2" t="s">
        <v>1083</v>
      </c>
    </row>
    <row r="720" spans="1:8">
      <c r="A720" s="1" t="s">
        <v>1715</v>
      </c>
      <c r="B720" t="s">
        <v>1714</v>
      </c>
      <c r="H720" s="2" t="s">
        <v>1085</v>
      </c>
    </row>
    <row r="721" spans="1:8">
      <c r="A721" s="1"/>
      <c r="B721" t="s">
        <v>1084</v>
      </c>
    </row>
    <row r="722" spans="1:8">
      <c r="A722" s="1"/>
    </row>
    <row r="723" spans="1:8">
      <c r="A723" s="2">
        <v>2005</v>
      </c>
      <c r="B723" t="s">
        <v>1716</v>
      </c>
    </row>
    <row r="724" spans="1:8">
      <c r="B724" t="s">
        <v>1369</v>
      </c>
      <c r="H724" s="2" t="s">
        <v>1260</v>
      </c>
    </row>
    <row r="725" spans="1:8">
      <c r="B725" t="s">
        <v>1370</v>
      </c>
    </row>
    <row r="727" spans="1:8">
      <c r="A727" s="2" t="s">
        <v>1886</v>
      </c>
      <c r="B727" t="s">
        <v>646</v>
      </c>
    </row>
    <row r="729" spans="1:8">
      <c r="B729" s="3" t="s">
        <v>1087</v>
      </c>
    </row>
    <row r="730" spans="1:8">
      <c r="B730" t="s">
        <v>1698</v>
      </c>
    </row>
    <row r="731" spans="1:8">
      <c r="B731" t="s">
        <v>1427</v>
      </c>
      <c r="H731" s="2" t="s">
        <v>2259</v>
      </c>
    </row>
    <row r="732" spans="1:8">
      <c r="B732" t="s">
        <v>2258</v>
      </c>
      <c r="H732" s="2" t="s">
        <v>1699</v>
      </c>
    </row>
    <row r="734" spans="1:8">
      <c r="B734" s="3" t="s">
        <v>1700</v>
      </c>
    </row>
    <row r="735" spans="1:8">
      <c r="B735" s="2" t="s">
        <v>729</v>
      </c>
    </row>
    <row r="736" spans="1:8">
      <c r="B736" t="s">
        <v>1088</v>
      </c>
      <c r="H736" s="2" t="s">
        <v>1413</v>
      </c>
    </row>
    <row r="737" spans="2:11">
      <c r="B737" t="s">
        <v>1701</v>
      </c>
      <c r="H737" s="2" t="s">
        <v>1414</v>
      </c>
    </row>
    <row r="738" spans="2:11">
      <c r="H738" s="2" t="s">
        <v>1327</v>
      </c>
    </row>
    <row r="739" spans="2:11">
      <c r="B739" t="s">
        <v>496</v>
      </c>
      <c r="H739" s="2" t="s">
        <v>1415</v>
      </c>
    </row>
    <row r="740" spans="2:11">
      <c r="B740" t="s">
        <v>497</v>
      </c>
      <c r="H740" s="2" t="s">
        <v>1416</v>
      </c>
      <c r="K740" t="s">
        <v>1823</v>
      </c>
    </row>
    <row r="741" spans="2:11">
      <c r="B741" t="s">
        <v>725</v>
      </c>
      <c r="H741" s="2" t="s">
        <v>726</v>
      </c>
    </row>
    <row r="742" spans="2:11">
      <c r="B742" t="s">
        <v>1827</v>
      </c>
    </row>
    <row r="743" spans="2:11">
      <c r="B743" t="s">
        <v>1826</v>
      </c>
    </row>
    <row r="744" spans="2:11">
      <c r="B744" t="s">
        <v>727</v>
      </c>
      <c r="H744" s="2" t="s">
        <v>728</v>
      </c>
    </row>
    <row r="745" spans="2:11">
      <c r="B745" t="s">
        <v>731</v>
      </c>
      <c r="H745" s="2" t="s">
        <v>1546</v>
      </c>
    </row>
    <row r="746" spans="2:11">
      <c r="B746" s="2" t="s">
        <v>730</v>
      </c>
    </row>
    <row r="747" spans="2:11">
      <c r="B747" t="s">
        <v>733</v>
      </c>
      <c r="H747" s="2" t="s">
        <v>732</v>
      </c>
    </row>
    <row r="748" spans="2:11">
      <c r="B748" t="s">
        <v>734</v>
      </c>
      <c r="H748" s="2" t="s">
        <v>735</v>
      </c>
    </row>
    <row r="749" spans="2:11">
      <c r="B749" s="2" t="s">
        <v>2375</v>
      </c>
      <c r="H749" s="2"/>
    </row>
    <row r="750" spans="2:11">
      <c r="B750" s="4" t="s">
        <v>76</v>
      </c>
      <c r="H750" s="2"/>
    </row>
    <row r="751" spans="2:11">
      <c r="B751" s="2"/>
    </row>
    <row r="752" spans="2:11">
      <c r="B752" s="3" t="s">
        <v>736</v>
      </c>
    </row>
    <row r="753" spans="1:16">
      <c r="B753" t="s">
        <v>1829</v>
      </c>
      <c r="P753" t="s">
        <v>1823</v>
      </c>
    </row>
    <row r="754" spans="1:16">
      <c r="B754" t="s">
        <v>1830</v>
      </c>
    </row>
    <row r="755" spans="1:16">
      <c r="H755" s="2" t="s">
        <v>1942</v>
      </c>
      <c r="P755" s="86" t="s">
        <v>1422</v>
      </c>
    </row>
    <row r="756" spans="1:16">
      <c r="P756" s="86" t="s">
        <v>1421</v>
      </c>
    </row>
    <row r="757" spans="1:16">
      <c r="A757" t="s">
        <v>1823</v>
      </c>
      <c r="B757" s="3" t="s">
        <v>1697</v>
      </c>
      <c r="P757" s="86" t="s">
        <v>1423</v>
      </c>
    </row>
    <row r="758" spans="1:16">
      <c r="B758" t="s">
        <v>1202</v>
      </c>
      <c r="H758" s="2" t="s">
        <v>1328</v>
      </c>
      <c r="P758" s="86" t="s">
        <v>1424</v>
      </c>
    </row>
    <row r="759" spans="1:16">
      <c r="H759" s="2"/>
      <c r="P759" s="86"/>
    </row>
    <row r="761" spans="1:16">
      <c r="B761" s="3" t="s">
        <v>1831</v>
      </c>
    </row>
    <row r="762" spans="1:16">
      <c r="B762" t="s">
        <v>1696</v>
      </c>
      <c r="H762" s="2" t="s">
        <v>677</v>
      </c>
    </row>
    <row r="763" spans="1:16">
      <c r="H763" s="2" t="s">
        <v>675</v>
      </c>
    </row>
    <row r="764" spans="1:16">
      <c r="H764" s="2" t="s">
        <v>1329</v>
      </c>
    </row>
    <row r="765" spans="1:16">
      <c r="B765" s="3" t="s">
        <v>1547</v>
      </c>
    </row>
    <row r="766" spans="1:16">
      <c r="B766" s="4" t="s">
        <v>2260</v>
      </c>
      <c r="H766" t="s">
        <v>1823</v>
      </c>
    </row>
    <row r="767" spans="1:16">
      <c r="B767" t="s">
        <v>762</v>
      </c>
      <c r="H767" s="2" t="s">
        <v>1330</v>
      </c>
    </row>
    <row r="768" spans="1:16">
      <c r="B768" t="s">
        <v>1548</v>
      </c>
      <c r="H768" s="2" t="s">
        <v>674</v>
      </c>
    </row>
    <row r="769" spans="2:11">
      <c r="B769" t="s">
        <v>1549</v>
      </c>
    </row>
    <row r="771" spans="2:11">
      <c r="H771" s="2" t="s">
        <v>77</v>
      </c>
    </row>
    <row r="772" spans="2:11">
      <c r="B772" s="3" t="s">
        <v>2268</v>
      </c>
      <c r="H772" s="2"/>
    </row>
    <row r="773" spans="2:11">
      <c r="B773" t="s">
        <v>1667</v>
      </c>
      <c r="H773" s="2" t="s">
        <v>184</v>
      </c>
    </row>
    <row r="774" spans="2:11">
      <c r="B774" t="s">
        <v>1587</v>
      </c>
      <c r="H774" s="2" t="s">
        <v>185</v>
      </c>
    </row>
    <row r="775" spans="2:11">
      <c r="B775" t="s">
        <v>368</v>
      </c>
      <c r="H775" s="2"/>
    </row>
    <row r="776" spans="2:11">
      <c r="H776" s="2"/>
    </row>
    <row r="777" spans="2:11">
      <c r="B777" t="s">
        <v>1594</v>
      </c>
      <c r="H777" s="2"/>
    </row>
    <row r="778" spans="2:11">
      <c r="E778" t="s">
        <v>1598</v>
      </c>
      <c r="F778" t="s">
        <v>1599</v>
      </c>
      <c r="H778" s="4" t="s">
        <v>1597</v>
      </c>
      <c r="K778" t="s">
        <v>1600</v>
      </c>
    </row>
    <row r="779" spans="2:11">
      <c r="B779" t="s">
        <v>1595</v>
      </c>
      <c r="D779" s="109">
        <v>84</v>
      </c>
      <c r="E779" s="9">
        <f>F779/Master!H273</f>
        <v>321.18143778037472</v>
      </c>
      <c r="F779" s="9">
        <v>2555.9940000000001</v>
      </c>
      <c r="G779" s="9"/>
      <c r="H779" s="27">
        <f>F779*1000/D779</f>
        <v>30428.5</v>
      </c>
      <c r="I779" s="9"/>
      <c r="K779" s="88">
        <f>8968*3</f>
        <v>26904</v>
      </c>
    </row>
    <row r="780" spans="2:11">
      <c r="F780" s="9"/>
      <c r="G780" s="9"/>
      <c r="H780" s="2"/>
    </row>
    <row r="781" spans="2:11">
      <c r="B781" t="s">
        <v>1596</v>
      </c>
      <c r="E781" s="101">
        <f>D779/95</f>
        <v>0.88421052631578945</v>
      </c>
      <c r="F781" s="9"/>
      <c r="G781" s="9"/>
      <c r="H781" s="2"/>
    </row>
    <row r="782" spans="2:11">
      <c r="F782" s="9"/>
      <c r="G782" s="9"/>
      <c r="H782" s="2"/>
    </row>
    <row r="783" spans="2:11">
      <c r="B783" s="3" t="s">
        <v>1251</v>
      </c>
      <c r="F783" s="9"/>
      <c r="G783" s="9"/>
      <c r="H783" s="2"/>
    </row>
    <row r="784" spans="2:11">
      <c r="B784" t="s">
        <v>1252</v>
      </c>
      <c r="H784" s="2"/>
    </row>
    <row r="786" spans="2:11">
      <c r="B786" s="3" t="s">
        <v>1275</v>
      </c>
    </row>
    <row r="787" spans="2:11">
      <c r="B787" t="s">
        <v>1272</v>
      </c>
    </row>
    <row r="788" spans="2:11">
      <c r="B788" t="s">
        <v>1274</v>
      </c>
    </row>
    <row r="789" spans="2:11">
      <c r="B789" t="s">
        <v>1273</v>
      </c>
    </row>
    <row r="790" spans="2:11">
      <c r="B790" t="s">
        <v>1276</v>
      </c>
    </row>
    <row r="791" spans="2:11">
      <c r="B791" t="s">
        <v>1277</v>
      </c>
    </row>
    <row r="792" spans="2:11">
      <c r="B792" t="s">
        <v>1688</v>
      </c>
    </row>
    <row r="793" spans="2:11">
      <c r="B793" t="s">
        <v>1281</v>
      </c>
    </row>
    <row r="794" spans="2:11">
      <c r="B794" t="s">
        <v>1823</v>
      </c>
      <c r="D794" t="s">
        <v>1823</v>
      </c>
    </row>
    <row r="795" spans="2:11">
      <c r="B795" t="s">
        <v>1680</v>
      </c>
      <c r="C795" s="88">
        <v>47157.664207008063</v>
      </c>
      <c r="D795" s="88">
        <v>41119.621000108811</v>
      </c>
      <c r="E795" s="88">
        <v>34790.6847088512</v>
      </c>
      <c r="F795" s="88">
        <v>28129.218814685282</v>
      </c>
      <c r="G795" s="88">
        <v>20749.41265555899</v>
      </c>
      <c r="K795" t="s">
        <v>1823</v>
      </c>
    </row>
    <row r="796" spans="2:11">
      <c r="B796" t="s">
        <v>2223</v>
      </c>
      <c r="C796" s="88">
        <v>20081.955733420768</v>
      </c>
      <c r="D796" s="88">
        <v>21104.073747753424</v>
      </c>
      <c r="E796" s="88">
        <v>21793.541256256067</v>
      </c>
      <c r="F796" s="88">
        <v>22289.850746797951</v>
      </c>
      <c r="G796" s="88">
        <v>22431.323046209884</v>
      </c>
    </row>
    <row r="798" spans="2:11">
      <c r="B798" s="106" t="s">
        <v>1552</v>
      </c>
      <c r="C798" s="23">
        <f>C804</f>
        <v>2006</v>
      </c>
      <c r="D798" s="23">
        <f>D804</f>
        <v>2007</v>
      </c>
      <c r="E798" s="23">
        <f>E804</f>
        <v>2008</v>
      </c>
      <c r="F798" s="23">
        <f>F804</f>
        <v>2009</v>
      </c>
      <c r="G798" s="23">
        <f>G804</f>
        <v>2010</v>
      </c>
      <c r="K798" t="s">
        <v>1823</v>
      </c>
    </row>
    <row r="799" spans="2:11">
      <c r="B799" t="s">
        <v>482</v>
      </c>
      <c r="C799" s="112">
        <v>13315.985799159133</v>
      </c>
      <c r="D799" s="112">
        <v>14528.76235333126</v>
      </c>
      <c r="E799" s="112">
        <v>15284.457771995869</v>
      </c>
      <c r="F799" s="112">
        <v>15765.259594514519</v>
      </c>
      <c r="G799" s="112">
        <v>15887.247727576872</v>
      </c>
    </row>
    <row r="800" spans="2:11">
      <c r="B800" t="s">
        <v>480</v>
      </c>
      <c r="C800" s="13">
        <f>(Div!F100+Div!F103)/$A$807</f>
        <v>0</v>
      </c>
      <c r="D800" s="13">
        <f>(Div!G100+Div!G103)/$A$807</f>
        <v>291.71970114754106</v>
      </c>
      <c r="E800" s="13">
        <f>(Div!H100+Div!H103)/$A$807</f>
        <v>456.64216371952136</v>
      </c>
      <c r="F800" s="13">
        <f>(Div!I100+Div!I103)/$A$807</f>
        <v>753.39292939103177</v>
      </c>
      <c r="G800" s="13">
        <f>(Div!J100+Div!J103)/$A$807</f>
        <v>810.27302101074054</v>
      </c>
    </row>
    <row r="801" spans="1:9">
      <c r="B801" t="s">
        <v>2324</v>
      </c>
      <c r="C801" s="88">
        <f>C799+C800</f>
        <v>13315.985799159133</v>
      </c>
      <c r="D801" s="88">
        <f>D799+D800</f>
        <v>14820.482054478802</v>
      </c>
      <c r="E801" s="88">
        <f>E799+E800</f>
        <v>15741.099935715391</v>
      </c>
      <c r="F801" s="88">
        <f>F799+F800</f>
        <v>16518.652523905552</v>
      </c>
      <c r="G801" s="88">
        <f>G799+G800</f>
        <v>16697.520748587613</v>
      </c>
    </row>
    <row r="802" spans="1:9">
      <c r="B802" t="s">
        <v>481</v>
      </c>
      <c r="C802" s="5">
        <f>C800/C801</f>
        <v>0</v>
      </c>
      <c r="D802" s="5">
        <f>D800/D801</f>
        <v>1.9683550108235671E-2</v>
      </c>
      <c r="E802" s="5">
        <f>E800/E801</f>
        <v>2.9009546066309767E-2</v>
      </c>
      <c r="F802" s="5">
        <f>F800/F801</f>
        <v>4.560861900210883E-2</v>
      </c>
      <c r="G802" s="5">
        <f>G800/G801</f>
        <v>4.8526546737741219E-2</v>
      </c>
    </row>
    <row r="803" spans="1:9">
      <c r="A803" s="16">
        <v>0.3</v>
      </c>
    </row>
    <row r="804" spans="1:9">
      <c r="C804" s="23">
        <v>2006</v>
      </c>
      <c r="D804" s="23">
        <f>C804+1</f>
        <v>2007</v>
      </c>
      <c r="E804" s="23">
        <f>D804+1</f>
        <v>2008</v>
      </c>
      <c r="F804" s="23">
        <f>E804+1</f>
        <v>2009</v>
      </c>
      <c r="G804" s="23">
        <f>F804+1</f>
        <v>2010</v>
      </c>
    </row>
    <row r="805" spans="1:9">
      <c r="B805" t="s">
        <v>1760</v>
      </c>
      <c r="C805" s="112">
        <v>107836.53473468374</v>
      </c>
      <c r="D805" s="112">
        <v>100070.96517386986</v>
      </c>
      <c r="E805" s="112">
        <v>91192.025599202141</v>
      </c>
      <c r="F805" s="112">
        <v>81367.168285240987</v>
      </c>
      <c r="G805" s="112">
        <v>70774.872813513357</v>
      </c>
    </row>
    <row r="806" spans="1:9">
      <c r="B806" t="s">
        <v>1759</v>
      </c>
      <c r="C806">
        <v>0</v>
      </c>
      <c r="D806">
        <v>0</v>
      </c>
      <c r="E806">
        <v>0</v>
      </c>
      <c r="F806">
        <v>0</v>
      </c>
      <c r="G806">
        <v>0</v>
      </c>
    </row>
    <row r="807" spans="1:9">
      <c r="A807">
        <v>1.22</v>
      </c>
      <c r="B807" t="s">
        <v>484</v>
      </c>
      <c r="C807" s="89">
        <f>(SOP!F15+SOP!F16)*(1+$A$803)/$A$807</f>
        <v>10073.145528072078</v>
      </c>
      <c r="D807" s="89">
        <f>C807-D811</f>
        <v>9868.9417372688004</v>
      </c>
      <c r="E807" s="89">
        <f>D807-E811</f>
        <v>9549.2922226651353</v>
      </c>
      <c r="F807" s="89">
        <f>E807-F811</f>
        <v>9021.9171720914128</v>
      </c>
      <c r="G807" s="89">
        <f>F807-G811</f>
        <v>8454.7260573838939</v>
      </c>
      <c r="I807" s="88" t="s">
        <v>2161</v>
      </c>
    </row>
    <row r="808" spans="1:9">
      <c r="B808" t="s">
        <v>485</v>
      </c>
      <c r="C808" s="88">
        <f>C805+C806+C807</f>
        <v>117909.68026275582</v>
      </c>
      <c r="D808" s="88">
        <f>D805+D806+D807</f>
        <v>109939.90691113866</v>
      </c>
      <c r="E808" s="88">
        <f>E805+E806+E807</f>
        <v>100741.31782186727</v>
      </c>
      <c r="F808" s="88">
        <f>F805+F806+F807</f>
        <v>90389.085457332403</v>
      </c>
      <c r="G808" s="88">
        <f>G805+G806+G807</f>
        <v>79229.598870897258</v>
      </c>
    </row>
    <row r="810" spans="1:9">
      <c r="B810" t="s">
        <v>1761</v>
      </c>
      <c r="C810" s="112">
        <v>8655.3907694534373</v>
      </c>
      <c r="D810" s="112">
        <v>9443.6955296653196</v>
      </c>
      <c r="E810" s="112">
        <v>9934.8975517973158</v>
      </c>
      <c r="F810" s="112">
        <v>10247.418736434438</v>
      </c>
      <c r="G810" s="112">
        <v>10326.711022924967</v>
      </c>
    </row>
    <row r="811" spans="1:9">
      <c r="B811" t="s">
        <v>2157</v>
      </c>
      <c r="C811" s="89">
        <f>(1-0.3)*(Div!F100+Div!F103)/$A$807</f>
        <v>0</v>
      </c>
      <c r="D811" s="89">
        <f>(1-0.3)*(Div!G100+Div!G103)/$A$807</f>
        <v>204.20379080327874</v>
      </c>
      <c r="E811" s="89">
        <f>(1-0.3)*(Div!H100+Div!H103)/$A$807</f>
        <v>319.64951460366495</v>
      </c>
      <c r="F811" s="89">
        <f>(1-0.3)*(Div!I100+Div!I103)/$A$807</f>
        <v>527.37505057372221</v>
      </c>
      <c r="G811" s="89">
        <f>(1-0.3)*(Div!J100+Div!J103)/$A$807</f>
        <v>567.19111470751841</v>
      </c>
    </row>
    <row r="812" spans="1:9">
      <c r="B812" t="s">
        <v>2158</v>
      </c>
      <c r="C812" s="88">
        <f>C810+C811</f>
        <v>8655.3907694534373</v>
      </c>
      <c r="D812" s="88">
        <f>D810+D811</f>
        <v>9647.8993204685976</v>
      </c>
      <c r="E812" s="88">
        <f>E810+E811</f>
        <v>10254.547066400981</v>
      </c>
      <c r="F812" s="88">
        <f>F810+F811</f>
        <v>10774.793787008161</v>
      </c>
      <c r="G812" s="88">
        <f>G810+G811</f>
        <v>10893.902137632485</v>
      </c>
    </row>
    <row r="813" spans="1:9">
      <c r="C813" s="7"/>
    </row>
    <row r="814" spans="1:9">
      <c r="C814" s="23">
        <f>C798</f>
        <v>2006</v>
      </c>
      <c r="D814" s="23">
        <f>D798</f>
        <v>2007</v>
      </c>
      <c r="E814" s="23">
        <f>E798</f>
        <v>2008</v>
      </c>
      <c r="F814" s="23">
        <f>F798</f>
        <v>2009</v>
      </c>
      <c r="G814" s="23">
        <f>G798</f>
        <v>2010</v>
      </c>
    </row>
    <row r="815" spans="1:9">
      <c r="B815" t="s">
        <v>2159</v>
      </c>
      <c r="C815" s="7">
        <v>12.4588869072509</v>
      </c>
      <c r="D815" s="7">
        <v>10.596589529969348</v>
      </c>
      <c r="E815" s="7">
        <v>9.1789598356456779</v>
      </c>
      <c r="F815" s="7">
        <v>7.940259920865933</v>
      </c>
      <c r="G815" s="7">
        <v>6.8535734810817708</v>
      </c>
    </row>
    <row r="816" spans="1:9">
      <c r="B816" t="s">
        <v>2160</v>
      </c>
      <c r="C816" s="7">
        <f>C808/C812</f>
        <v>13.622687109504298</v>
      </c>
      <c r="D816" s="7">
        <f>D808/D812</f>
        <v>11.395217058069267</v>
      </c>
      <c r="E816" s="7">
        <f>E808/E812</f>
        <v>9.8240631370200795</v>
      </c>
      <c r="F816" s="7">
        <f>F808/F812</f>
        <v>8.3889387810205847</v>
      </c>
      <c r="G816" s="7">
        <f>G808/G812</f>
        <v>7.2728392333544321</v>
      </c>
    </row>
    <row r="817" spans="2:11">
      <c r="B817" t="s">
        <v>483</v>
      </c>
      <c r="C817" s="5">
        <f>C816/C815-1</f>
        <v>9.3411250211773211E-2</v>
      </c>
      <c r="D817" s="5">
        <f>D816/D815-1</f>
        <v>7.5366468224633554E-2</v>
      </c>
      <c r="E817" s="5">
        <f>E816/E815-1</f>
        <v>7.0280654118258568E-2</v>
      </c>
      <c r="F817" s="5">
        <f>F816/F815-1</f>
        <v>5.6506822777373289E-2</v>
      </c>
      <c r="G817" s="5">
        <f>G816/G815-1</f>
        <v>6.1174765752491034E-2</v>
      </c>
    </row>
    <row r="818" spans="2:11">
      <c r="C818" s="5"/>
      <c r="D818" s="5"/>
      <c r="E818" s="5"/>
      <c r="F818" s="5"/>
      <c r="G818" s="5"/>
    </row>
    <row r="819" spans="2:11">
      <c r="B819" t="s">
        <v>2224</v>
      </c>
      <c r="C819" s="7">
        <v>2.2999999999999998</v>
      </c>
      <c r="D819" s="5"/>
      <c r="E819" s="5"/>
      <c r="F819" s="5"/>
      <c r="G819" s="5"/>
    </row>
    <row r="820" spans="2:11">
      <c r="B820" t="s">
        <v>1681</v>
      </c>
      <c r="C820" s="88">
        <f>C795+0+C807</f>
        <v>57230.80973508014</v>
      </c>
      <c r="D820" s="5"/>
      <c r="E820" s="5" t="s">
        <v>1823</v>
      </c>
      <c r="F820" s="5" t="s">
        <v>1823</v>
      </c>
      <c r="G820" s="5"/>
    </row>
    <row r="821" spans="2:11">
      <c r="B821" t="s">
        <v>2079</v>
      </c>
      <c r="C821" s="7">
        <f>C820/(C796+Div!F45/Notes!$A$807)</f>
        <v>2.8023448571536869</v>
      </c>
      <c r="D821" s="5"/>
      <c r="E821" s="5" t="s">
        <v>1823</v>
      </c>
      <c r="F821" s="5"/>
      <c r="G821" s="5"/>
    </row>
    <row r="823" spans="2:11">
      <c r="B823" t="s">
        <v>1823</v>
      </c>
      <c r="C823" t="s">
        <v>486</v>
      </c>
      <c r="G823" t="s">
        <v>1425</v>
      </c>
      <c r="H823" t="s">
        <v>487</v>
      </c>
    </row>
    <row r="824" spans="2:11">
      <c r="B824" s="117"/>
      <c r="C824" s="96" t="str">
        <f>Quarts!O208</f>
        <v>Q1 05</v>
      </c>
      <c r="D824" s="96" t="str">
        <f>Quarts!P208</f>
        <v>Q2 05</v>
      </c>
      <c r="E824" s="96" t="str">
        <f>Quarts!Q208</f>
        <v>Q3 05</v>
      </c>
      <c r="F824" s="120" t="s">
        <v>488</v>
      </c>
      <c r="G824" s="96" t="str">
        <f>C824</f>
        <v>Q1 05</v>
      </c>
      <c r="H824" s="96" t="str">
        <f>D824</f>
        <v>Q2 05</v>
      </c>
      <c r="I824" s="96" t="str">
        <f>E824</f>
        <v>Q3 05</v>
      </c>
      <c r="J824" s="96" t="str">
        <f>F824</f>
        <v>Q4 05</v>
      </c>
    </row>
    <row r="825" spans="2:11">
      <c r="B825" t="str">
        <f>Quarts!D210</f>
        <v>SE Asia</v>
      </c>
      <c r="C825" s="9">
        <f>Quarts!O210</f>
        <v>70.296000000000006</v>
      </c>
      <c r="D825" s="9">
        <f>Quarts!P210</f>
        <v>45.491999999999997</v>
      </c>
      <c r="E825" s="9">
        <f>Quarts!Q210</f>
        <v>21.832000000000001</v>
      </c>
      <c r="F825" s="121" t="e">
        <f>Quarts!#REF!</f>
        <v>#REF!</v>
      </c>
      <c r="G825" s="16" t="e">
        <f>Quarts!#REF!</f>
        <v>#REF!</v>
      </c>
      <c r="H825" s="16" t="e">
        <f>Quarts!#REF!</f>
        <v>#REF!</v>
      </c>
      <c r="I825" s="16" t="e">
        <f>Quarts!#REF!</f>
        <v>#REF!</v>
      </c>
      <c r="J825" s="16" t="e">
        <f>Quarts!#REF!</f>
        <v>#REF!</v>
      </c>
    </row>
    <row r="826" spans="2:11">
      <c r="B826" t="str">
        <f>Quarts!D211</f>
        <v>South Asia</v>
      </c>
      <c r="C826" s="9">
        <f>Quarts!O211</f>
        <v>29.704000000000001</v>
      </c>
      <c r="D826" s="9">
        <f>Quarts!P211</f>
        <v>31.611000000000001</v>
      </c>
      <c r="E826" s="9">
        <f>Quarts!Q211</f>
        <v>30.49</v>
      </c>
      <c r="F826" s="121" t="e">
        <f>Quarts!#REF!</f>
        <v>#REF!</v>
      </c>
      <c r="G826" s="16" t="e">
        <f>Quarts!#REF!</f>
        <v>#REF!</v>
      </c>
      <c r="H826" s="16" t="e">
        <f>Quarts!#REF!</f>
        <v>#REF!</v>
      </c>
      <c r="I826" s="16" t="e">
        <f>Quarts!#REF!</f>
        <v>#REF!</v>
      </c>
      <c r="J826" s="16" t="e">
        <f>Quarts!#REF!</f>
        <v>#REF!</v>
      </c>
    </row>
    <row r="827" spans="2:11">
      <c r="B827" s="108" t="str">
        <f>Quarts!D217</f>
        <v>CA ex-Amnet (incs MFS)</v>
      </c>
      <c r="C827" s="122">
        <f>Quarts!O217</f>
        <v>88.591999999999999</v>
      </c>
      <c r="D827" s="122">
        <f>Quarts!P217</f>
        <v>101.652</v>
      </c>
      <c r="E827" s="122">
        <f>Quarts!Q217</f>
        <v>120.37</v>
      </c>
      <c r="F827" s="123" t="e">
        <f>Quarts!#REF!</f>
        <v>#REF!</v>
      </c>
      <c r="G827" s="124" t="e">
        <f>Quarts!#REF!</f>
        <v>#REF!</v>
      </c>
      <c r="H827" s="124" t="e">
        <f>Quarts!#REF!</f>
        <v>#REF!</v>
      </c>
      <c r="I827" s="124" t="e">
        <f>Quarts!#REF!</f>
        <v>#REF!</v>
      </c>
      <c r="J827" s="125" t="e">
        <f>Quarts!#REF!</f>
        <v>#REF!</v>
      </c>
    </row>
    <row r="828" spans="2:11">
      <c r="B828" t="str">
        <f>Quarts!D226</f>
        <v>SA ex Col, inc MFS</v>
      </c>
      <c r="C828" s="9">
        <f>Quarts!O226</f>
        <v>31.210999999999999</v>
      </c>
      <c r="D828" s="9">
        <f>Quarts!P226</f>
        <v>33.383000000000003</v>
      </c>
      <c r="E828" s="9">
        <f>Quarts!Q226</f>
        <v>36.582000000000001</v>
      </c>
      <c r="F828" s="121" t="e">
        <f>Quarts!#REF!</f>
        <v>#REF!</v>
      </c>
      <c r="G828" s="16" t="e">
        <f>Quarts!#REF!</f>
        <v>#REF!</v>
      </c>
      <c r="H828" s="16" t="e">
        <f>Quarts!#REF!</f>
        <v>#REF!</v>
      </c>
      <c r="I828" s="16" t="e">
        <f>Quarts!#REF!</f>
        <v>#REF!</v>
      </c>
      <c r="J828" s="16" t="e">
        <f>Quarts!#REF!</f>
        <v>#REF!</v>
      </c>
    </row>
    <row r="829" spans="2:11">
      <c r="B829" t="str">
        <f>Quarts!D239</f>
        <v>Africa</v>
      </c>
      <c r="C829" s="9">
        <f>Quarts!O239</f>
        <v>47.954000000000001</v>
      </c>
      <c r="D829" s="9">
        <f>Quarts!P239</f>
        <v>47.985999999999997</v>
      </c>
      <c r="E829" s="9">
        <f>Quarts!Q239</f>
        <v>50.39</v>
      </c>
      <c r="F829" s="121" t="e">
        <f>Quarts!#REF!</f>
        <v>#REF!</v>
      </c>
      <c r="G829" s="16" t="e">
        <f>Quarts!#REF!</f>
        <v>#REF!</v>
      </c>
      <c r="H829" s="16" t="e">
        <f>Quarts!#REF!</f>
        <v>#REF!</v>
      </c>
      <c r="I829" s="16" t="e">
        <f>Quarts!#REF!</f>
        <v>#REF!</v>
      </c>
      <c r="J829" s="16" t="e">
        <f>Quarts!#REF!</f>
        <v>#REF!</v>
      </c>
    </row>
    <row r="830" spans="2:11">
      <c r="B830" t="s">
        <v>1823</v>
      </c>
    </row>
    <row r="831" spans="2:11">
      <c r="C831" s="96" t="e">
        <f>Valuation!#REF!</f>
        <v>#REF!</v>
      </c>
      <c r="D831" s="96" t="e">
        <f>Valuation!#REF!</f>
        <v>#REF!</v>
      </c>
      <c r="E831" s="96" t="e">
        <f>Valuation!#REF!</f>
        <v>#REF!</v>
      </c>
      <c r="F831" s="96" t="e">
        <f>Valuation!#REF!</f>
        <v>#REF!</v>
      </c>
      <c r="G831" s="23"/>
      <c r="H831" s="96" t="e">
        <f>C831</f>
        <v>#REF!</v>
      </c>
      <c r="I831" s="96" t="e">
        <f>D831</f>
        <v>#REF!</v>
      </c>
      <c r="J831" s="96" t="e">
        <f>E831</f>
        <v>#REF!</v>
      </c>
      <c r="K831" s="96" t="e">
        <f>F831</f>
        <v>#REF!</v>
      </c>
    </row>
    <row r="832" spans="2:11">
      <c r="B832" t="str">
        <f>Valuation!A62</f>
        <v>EV/EBITDA</v>
      </c>
      <c r="C832" s="7" t="e">
        <f>Valuation!#REF!</f>
        <v>#REF!</v>
      </c>
      <c r="D832" s="7" t="e">
        <f>Valuation!#REF!</f>
        <v>#REF!</v>
      </c>
      <c r="E832" s="7" t="e">
        <f>Valuation!#REF!</f>
        <v>#REF!</v>
      </c>
      <c r="F832" s="7" t="e">
        <f>Valuation!#REF!</f>
        <v>#REF!</v>
      </c>
      <c r="G832" t="str">
        <f>Valuation!A71</f>
        <v>Equity FCF yield</v>
      </c>
      <c r="H832" s="5" t="e">
        <f>Valuation!#REF!</f>
        <v>#REF!</v>
      </c>
      <c r="I832" s="5" t="e">
        <f>Valuation!#REF!</f>
        <v>#REF!</v>
      </c>
      <c r="J832" s="5" t="e">
        <f>Valuation!#REF!</f>
        <v>#REF!</v>
      </c>
      <c r="K832" s="5" t="e">
        <f>Valuation!#REF!</f>
        <v>#REF!</v>
      </c>
    </row>
    <row r="833" spans="2:23">
      <c r="B833" t="str">
        <f>Valuation!A64</f>
        <v>EV/OpFCF</v>
      </c>
      <c r="C833" s="7" t="e">
        <f>Valuation!#REF!</f>
        <v>#REF!</v>
      </c>
      <c r="D833" s="7" t="e">
        <f>Valuation!#REF!</f>
        <v>#REF!</v>
      </c>
      <c r="E833" s="7" t="e">
        <f>Valuation!#REF!</f>
        <v>#REF!</v>
      </c>
      <c r="F833" s="7" t="e">
        <f>Valuation!#REF!</f>
        <v>#REF!</v>
      </c>
      <c r="G833" t="str">
        <f>Valuation!A73</f>
        <v>P/E adj</v>
      </c>
      <c r="H833" s="7" t="e">
        <f>Valuation!#REF!</f>
        <v>#REF!</v>
      </c>
      <c r="I833" s="7" t="e">
        <f>Valuation!#REF!</f>
        <v>#REF!</v>
      </c>
      <c r="J833" s="7" t="e">
        <f>Valuation!#REF!</f>
        <v>#REF!</v>
      </c>
      <c r="K833" s="7" t="e">
        <f>Valuation!#REF!</f>
        <v>#REF!</v>
      </c>
    </row>
    <row r="834" spans="2:23">
      <c r="B834" t="str">
        <f>Valuation!A65</f>
        <v>EV/FCF</v>
      </c>
      <c r="C834" s="7" t="e">
        <f>Valuation!#REF!</f>
        <v>#REF!</v>
      </c>
      <c r="D834" s="7" t="e">
        <f>Valuation!#REF!</f>
        <v>#REF!</v>
      </c>
      <c r="E834" s="7" t="e">
        <f>Valuation!#REF!</f>
        <v>#REF!</v>
      </c>
      <c r="F834" s="7" t="e">
        <f>Valuation!#REF!</f>
        <v>#REF!</v>
      </c>
      <c r="H834" s="5"/>
      <c r="I834" s="5"/>
      <c r="J834" s="5"/>
      <c r="K834" s="5"/>
    </row>
    <row r="836" spans="2:23">
      <c r="D836" s="23">
        <f>E836-1</f>
        <v>1998</v>
      </c>
      <c r="E836" s="23">
        <f>F836-1</f>
        <v>1999</v>
      </c>
      <c r="F836" s="23">
        <f>G836-1</f>
        <v>2000</v>
      </c>
      <c r="G836" s="23">
        <f>H836-1</f>
        <v>2001</v>
      </c>
      <c r="H836" s="23">
        <v>2002</v>
      </c>
      <c r="I836" s="23">
        <f>H836+1</f>
        <v>2003</v>
      </c>
      <c r="J836" s="23">
        <f t="shared" ref="J836:P836" si="14">I836+1</f>
        <v>2004</v>
      </c>
      <c r="K836" s="23">
        <f t="shared" si="14"/>
        <v>2005</v>
      </c>
      <c r="L836" s="23">
        <f t="shared" si="14"/>
        <v>2006</v>
      </c>
      <c r="M836" s="23">
        <f t="shared" si="14"/>
        <v>2007</v>
      </c>
      <c r="N836" s="23">
        <f t="shared" si="14"/>
        <v>2008</v>
      </c>
      <c r="O836" s="23">
        <f t="shared" si="14"/>
        <v>2009</v>
      </c>
      <c r="P836" s="23">
        <f t="shared" si="14"/>
        <v>2010</v>
      </c>
    </row>
    <row r="837" spans="2:23">
      <c r="B837" t="s">
        <v>1673</v>
      </c>
      <c r="C837" t="s">
        <v>366</v>
      </c>
      <c r="I837">
        <v>12.5</v>
      </c>
      <c r="J837" s="7">
        <v>12.592592592592593</v>
      </c>
      <c r="K837" s="7">
        <v>9.1770674784373405</v>
      </c>
      <c r="L837" s="7">
        <v>7.8620498210241783</v>
      </c>
      <c r="M837" s="7">
        <v>7.2330858353422443</v>
      </c>
      <c r="N837" s="7">
        <v>6.871431543575131</v>
      </c>
      <c r="O837" s="7">
        <v>6.5278599663963748</v>
      </c>
      <c r="P837" s="7">
        <v>6.2667455677405197</v>
      </c>
    </row>
    <row r="838" spans="2:23">
      <c r="C838" t="s">
        <v>1931</v>
      </c>
      <c r="I838" s="16">
        <v>0.13</v>
      </c>
      <c r="J838" s="16">
        <v>0.27541084947200623</v>
      </c>
      <c r="K838" s="16">
        <v>0.6054108494720063</v>
      </c>
      <c r="L838" s="16">
        <v>0.75541084947200632</v>
      </c>
      <c r="M838" s="16">
        <v>0.83541084947200628</v>
      </c>
      <c r="N838" s="16">
        <v>0.87541084947200631</v>
      </c>
      <c r="O838" s="16">
        <v>0.89541084947200633</v>
      </c>
      <c r="P838" s="16">
        <v>0.91541084947200635</v>
      </c>
    </row>
    <row r="839" spans="2:23">
      <c r="B839" t="s">
        <v>1674</v>
      </c>
      <c r="C839" t="s">
        <v>366</v>
      </c>
      <c r="J839" s="7"/>
      <c r="K839" s="7">
        <v>3.5714285714285712</v>
      </c>
      <c r="L839" s="7">
        <v>4.2778176597272077</v>
      </c>
      <c r="M839" s="7">
        <v>5.347272074659009</v>
      </c>
      <c r="N839" s="7">
        <v>5.6146356783919602</v>
      </c>
      <c r="O839" s="7">
        <v>5.726928391959798</v>
      </c>
      <c r="P839" s="7">
        <v>5.726928391959798</v>
      </c>
    </row>
    <row r="840" spans="2:23">
      <c r="C840" t="s">
        <v>1931</v>
      </c>
      <c r="J840" s="16">
        <v>0.03</v>
      </c>
      <c r="K840" s="16">
        <v>0.14000000000000001</v>
      </c>
      <c r="L840" s="16">
        <v>0.21</v>
      </c>
      <c r="M840" s="16">
        <v>0.27</v>
      </c>
      <c r="N840" s="16">
        <v>0.31</v>
      </c>
      <c r="O840" s="16">
        <v>0.34</v>
      </c>
      <c r="P840" s="16">
        <v>0.37</v>
      </c>
    </row>
    <row r="841" spans="2:23">
      <c r="B841" t="s">
        <v>1675</v>
      </c>
      <c r="C841" t="s">
        <v>366</v>
      </c>
      <c r="J841" s="7">
        <v>10.978104178141017</v>
      </c>
      <c r="K841" s="7">
        <v>10.62233732810002</v>
      </c>
      <c r="L841" s="7">
        <v>10.023341135354476</v>
      </c>
      <c r="M841" s="7">
        <v>9.7226409012938415</v>
      </c>
      <c r="N841" s="7">
        <v>9.5281880832679633</v>
      </c>
      <c r="O841" s="7">
        <v>9.4329062024352837</v>
      </c>
      <c r="P841" s="7">
        <v>9.4329062024352837</v>
      </c>
    </row>
    <row r="842" spans="2:23">
      <c r="C842" t="s">
        <v>1931</v>
      </c>
      <c r="J842" s="16">
        <v>0.41</v>
      </c>
      <c r="K842" s="16">
        <v>0.47499999999999998</v>
      </c>
      <c r="L842" s="16">
        <v>0.54500000000000004</v>
      </c>
      <c r="M842" s="16">
        <v>0.61499999999999999</v>
      </c>
      <c r="N842" s="16">
        <v>0.67500000000000004</v>
      </c>
      <c r="O842" s="16">
        <v>0.71499999999999997</v>
      </c>
      <c r="P842" s="16">
        <v>0.73499999999999999</v>
      </c>
    </row>
    <row r="843" spans="2:23">
      <c r="B843" t="s">
        <v>1609</v>
      </c>
      <c r="C843" t="s">
        <v>366</v>
      </c>
      <c r="H843" t="s">
        <v>1823</v>
      </c>
      <c r="J843" s="7">
        <f>Div!D118</f>
        <v>22.910393978637188</v>
      </c>
      <c r="K843" s="7">
        <f>Div!E118</f>
        <v>18.473925291286715</v>
      </c>
      <c r="L843" s="7">
        <f>Div!F118</f>
        <v>13.522914111962844</v>
      </c>
      <c r="M843" s="7">
        <f>Div!G118</f>
        <v>11.757903316202073</v>
      </c>
      <c r="N843" s="7">
        <f>Div!H118</f>
        <v>9.4541904037954723</v>
      </c>
      <c r="O843" s="7">
        <f>Div!I118</f>
        <v>9.0470824167527315</v>
      </c>
      <c r="P843" s="7">
        <f>Div!J118</f>
        <v>9.2620579780309669</v>
      </c>
    </row>
    <row r="844" spans="2:23">
      <c r="C844" t="s">
        <v>1931</v>
      </c>
      <c r="J844" s="16">
        <f ca="1">Div!D8</f>
        <v>0.10183383303432803</v>
      </c>
      <c r="K844" s="16">
        <f>Div!E8</f>
        <v>0.10182587204521344</v>
      </c>
      <c r="L844" s="16">
        <f>Div!F8</f>
        <v>0.16034245757799759</v>
      </c>
      <c r="M844" s="16">
        <f>Div!G8</f>
        <v>0.24126760438772904</v>
      </c>
      <c r="N844" s="16">
        <f ca="1">Div!H8</f>
        <v>0.304178548095492</v>
      </c>
      <c r="O844" s="16">
        <f ca="1">Div!I8</f>
        <v>0.4306982138303117</v>
      </c>
      <c r="P844" s="16">
        <f ca="1">Div!J8</f>
        <v>0.6151942205660178</v>
      </c>
    </row>
    <row r="845" spans="2:23">
      <c r="B845" t="s">
        <v>1677</v>
      </c>
      <c r="C845" t="s">
        <v>366</v>
      </c>
      <c r="D845" s="7">
        <f>38.28*1.8</f>
        <v>68.904000000000011</v>
      </c>
      <c r="E845" s="7">
        <f>33.31*1.8</f>
        <v>59.958000000000006</v>
      </c>
      <c r="F845" s="7">
        <f>26.83*1.8</f>
        <v>48.293999999999997</v>
      </c>
      <c r="G845" s="7">
        <f>21.85*1.8</f>
        <v>39.330000000000005</v>
      </c>
      <c r="H845" s="7">
        <f>21.7*1.8</f>
        <v>39.06</v>
      </c>
      <c r="I845" s="7">
        <f>22.7*1.8</f>
        <v>40.86</v>
      </c>
    </row>
    <row r="846" spans="2:23">
      <c r="C846" t="s">
        <v>1931</v>
      </c>
      <c r="D846" s="16">
        <v>0.222</v>
      </c>
      <c r="E846" s="16">
        <v>0.41199999999999998</v>
      </c>
      <c r="F846" s="16">
        <v>0.69</v>
      </c>
      <c r="G846" s="16">
        <v>0.79</v>
      </c>
      <c r="H846" s="16">
        <v>0.85</v>
      </c>
      <c r="I846" s="16">
        <v>0.91300000000000003</v>
      </c>
    </row>
    <row r="848" spans="2:23">
      <c r="C848" s="2" t="s">
        <v>1931</v>
      </c>
      <c r="D848" s="127">
        <f>E848-5%</f>
        <v>5.0000000000000017E-2</v>
      </c>
      <c r="E848" s="127">
        <f>F848-5%</f>
        <v>0.10000000000000002</v>
      </c>
      <c r="F848" s="127">
        <f>G848-5%</f>
        <v>0.15000000000000002</v>
      </c>
      <c r="G848" s="127">
        <v>0.2</v>
      </c>
      <c r="H848" s="127">
        <f>G848+5%</f>
        <v>0.25</v>
      </c>
      <c r="I848" s="127">
        <f>H848+5%</f>
        <v>0.3</v>
      </c>
      <c r="J848" s="127">
        <f t="shared" ref="J848:W848" si="15">I848+5%</f>
        <v>0.35</v>
      </c>
      <c r="K848" s="127">
        <f t="shared" si="15"/>
        <v>0.39999999999999997</v>
      </c>
      <c r="L848" s="127">
        <f t="shared" si="15"/>
        <v>0.44999999999999996</v>
      </c>
      <c r="M848" s="127">
        <f t="shared" si="15"/>
        <v>0.49999999999999994</v>
      </c>
      <c r="N848" s="127">
        <f t="shared" si="15"/>
        <v>0.54999999999999993</v>
      </c>
      <c r="O848" s="127">
        <f t="shared" si="15"/>
        <v>0.6</v>
      </c>
      <c r="P848" s="127">
        <f t="shared" si="15"/>
        <v>0.65</v>
      </c>
      <c r="Q848" s="127">
        <f t="shared" si="15"/>
        <v>0.70000000000000007</v>
      </c>
      <c r="R848" s="127">
        <f t="shared" si="15"/>
        <v>0.75000000000000011</v>
      </c>
      <c r="S848" s="127">
        <f t="shared" si="15"/>
        <v>0.80000000000000016</v>
      </c>
      <c r="T848" s="127">
        <f t="shared" si="15"/>
        <v>0.8500000000000002</v>
      </c>
      <c r="U848" s="127">
        <f t="shared" si="15"/>
        <v>0.90000000000000024</v>
      </c>
      <c r="V848" s="127">
        <f t="shared" si="15"/>
        <v>0.95000000000000029</v>
      </c>
      <c r="W848" s="127">
        <f t="shared" si="15"/>
        <v>1.0000000000000002</v>
      </c>
    </row>
    <row r="849" spans="2:21">
      <c r="C849" t="s">
        <v>1673</v>
      </c>
      <c r="D849" s="128">
        <f>E849</f>
        <v>12.5</v>
      </c>
      <c r="E849" s="128">
        <f>F849</f>
        <v>12.5</v>
      </c>
      <c r="F849" s="7">
        <f>I837</f>
        <v>12.5</v>
      </c>
      <c r="G849" s="128">
        <f>H849</f>
        <v>12.592592592592593</v>
      </c>
      <c r="H849" s="128">
        <f>I849</f>
        <v>12.592592592592593</v>
      </c>
      <c r="I849" s="7">
        <f>J837</f>
        <v>12.592592592592593</v>
      </c>
      <c r="J849" s="128">
        <f t="shared" ref="J849:S849" si="16">K849</f>
        <v>9.1770674784373405</v>
      </c>
      <c r="K849" s="128">
        <f t="shared" si="16"/>
        <v>9.1770674784373405</v>
      </c>
      <c r="L849" s="128">
        <f t="shared" si="16"/>
        <v>9.1770674784373405</v>
      </c>
      <c r="M849" s="128">
        <f t="shared" si="16"/>
        <v>9.1770674784373405</v>
      </c>
      <c r="N849" s="128">
        <f t="shared" si="16"/>
        <v>9.1770674784373405</v>
      </c>
      <c r="O849" s="7">
        <f>K837</f>
        <v>9.1770674784373405</v>
      </c>
      <c r="P849" s="128">
        <f t="shared" si="16"/>
        <v>7.8620498210241783</v>
      </c>
      <c r="Q849" s="128">
        <f t="shared" si="16"/>
        <v>7.8620498210241783</v>
      </c>
      <c r="R849" s="7">
        <f>L837</f>
        <v>7.8620498210241783</v>
      </c>
      <c r="S849" s="128">
        <f t="shared" si="16"/>
        <v>7.2330858353422443</v>
      </c>
      <c r="T849" s="7">
        <f>M837</f>
        <v>7.2330858353422443</v>
      </c>
      <c r="U849" s="7">
        <f>N837</f>
        <v>6.871431543575131</v>
      </c>
    </row>
    <row r="850" spans="2:21">
      <c r="C850" t="s">
        <v>1674</v>
      </c>
      <c r="D850" s="128">
        <f>E850</f>
        <v>3.5714285714285712</v>
      </c>
      <c r="E850" s="128">
        <f>F850</f>
        <v>3.5714285714285712</v>
      </c>
      <c r="F850" s="7">
        <f t="shared" ref="F850:K850" si="17">K839</f>
        <v>3.5714285714285712</v>
      </c>
      <c r="G850" s="7">
        <f t="shared" si="17"/>
        <v>4.2778176597272077</v>
      </c>
      <c r="H850" s="7">
        <f>M839</f>
        <v>5.347272074659009</v>
      </c>
      <c r="I850" s="7">
        <f t="shared" si="17"/>
        <v>5.6146356783919602</v>
      </c>
      <c r="J850" s="7">
        <f t="shared" si="17"/>
        <v>5.726928391959798</v>
      </c>
      <c r="K850" s="7">
        <f t="shared" si="17"/>
        <v>5.726928391959798</v>
      </c>
      <c r="L850" s="7"/>
      <c r="M850" s="7"/>
      <c r="N850" s="7"/>
      <c r="O850" s="7"/>
      <c r="P850" s="7"/>
      <c r="Q850" s="7"/>
      <c r="R850" s="7"/>
      <c r="S850" s="7"/>
    </row>
    <row r="851" spans="2:21">
      <c r="C851" t="s">
        <v>1675</v>
      </c>
      <c r="D851" s="128">
        <f t="shared" ref="D851:L851" si="18">E851</f>
        <v>10.62233732810002</v>
      </c>
      <c r="E851" s="128">
        <f t="shared" si="18"/>
        <v>10.62233732810002</v>
      </c>
      <c r="F851" s="128">
        <f>G851</f>
        <v>10.62233732810002</v>
      </c>
      <c r="G851" s="128">
        <f>H851</f>
        <v>10.62233732810002</v>
      </c>
      <c r="H851" s="128">
        <f>I851</f>
        <v>10.62233732810002</v>
      </c>
      <c r="I851" s="128">
        <f t="shared" si="18"/>
        <v>10.62233732810002</v>
      </c>
      <c r="J851" s="128">
        <f t="shared" si="18"/>
        <v>10.62233732810002</v>
      </c>
      <c r="K851" s="128">
        <f t="shared" si="18"/>
        <v>10.62233732810002</v>
      </c>
      <c r="L851" s="128">
        <f t="shared" si="18"/>
        <v>10.62233732810002</v>
      </c>
      <c r="M851" s="7">
        <f>K841</f>
        <v>10.62233732810002</v>
      </c>
      <c r="N851" s="7">
        <f>L841</f>
        <v>10.023341135354476</v>
      </c>
      <c r="O851" s="7">
        <f>M841</f>
        <v>9.7226409012938415</v>
      </c>
      <c r="P851" s="128">
        <f>Q851</f>
        <v>9.5281880832679633</v>
      </c>
      <c r="Q851" s="7">
        <f>N841</f>
        <v>9.5281880832679633</v>
      </c>
      <c r="R851" s="7">
        <f>P841</f>
        <v>9.4329062024352837</v>
      </c>
    </row>
    <row r="852" spans="2:21">
      <c r="C852" t="s">
        <v>1609</v>
      </c>
      <c r="D852" s="7">
        <f>J843</f>
        <v>22.910393978637188</v>
      </c>
      <c r="E852" s="128">
        <f>F852</f>
        <v>18.473925291286715</v>
      </c>
      <c r="F852" s="7">
        <f>K843</f>
        <v>18.473925291286715</v>
      </c>
      <c r="G852" s="7">
        <f>M843</f>
        <v>11.757903316202073</v>
      </c>
      <c r="H852" s="7">
        <f>N843</f>
        <v>9.4541904037954723</v>
      </c>
      <c r="I852" s="7">
        <f>P843</f>
        <v>9.2620579780309669</v>
      </c>
    </row>
    <row r="853" spans="2:21">
      <c r="B853" t="s">
        <v>1823</v>
      </c>
      <c r="C853" t="s">
        <v>1678</v>
      </c>
      <c r="D853" s="128">
        <f>E853</f>
        <v>68.904000000000011</v>
      </c>
      <c r="E853" s="128">
        <f>F853</f>
        <v>68.904000000000011</v>
      </c>
      <c r="F853" s="128">
        <f>G853</f>
        <v>68.904000000000011</v>
      </c>
      <c r="G853" s="7">
        <f>D845</f>
        <v>68.904000000000011</v>
      </c>
      <c r="H853" s="128">
        <f>I853</f>
        <v>59.958000000000006</v>
      </c>
      <c r="I853" s="128">
        <f>J853</f>
        <v>59.958000000000006</v>
      </c>
      <c r="J853" s="128">
        <f>K853</f>
        <v>59.958000000000006</v>
      </c>
      <c r="K853" s="7">
        <f>E845</f>
        <v>59.958000000000006</v>
      </c>
      <c r="L853" s="128">
        <f>M853</f>
        <v>48.293999999999997</v>
      </c>
      <c r="M853" s="128">
        <f>N853</f>
        <v>48.293999999999997</v>
      </c>
      <c r="N853" s="128">
        <f>O853</f>
        <v>48.293999999999997</v>
      </c>
      <c r="O853" s="128">
        <f>P853</f>
        <v>48.293999999999997</v>
      </c>
      <c r="P853" s="128">
        <f>Q853</f>
        <v>48.293999999999997</v>
      </c>
      <c r="Q853" s="7">
        <f>F845</f>
        <v>48.293999999999997</v>
      </c>
      <c r="R853" s="128">
        <f>S853</f>
        <v>39.330000000000005</v>
      </c>
      <c r="S853" s="7">
        <f>G845</f>
        <v>39.330000000000005</v>
      </c>
      <c r="T853" s="7">
        <f>H845</f>
        <v>39.06</v>
      </c>
      <c r="U853" s="7">
        <f>I845</f>
        <v>40.86</v>
      </c>
    </row>
  </sheetData>
  <phoneticPr fontId="0" type="noConversion"/>
  <pageMargins left="0.75" right="0.75" top="1" bottom="1" header="0.5" footer="0.5"/>
  <pageSetup paperSize="9" scale="10"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F39B-C65C-4A6D-9178-08B3C19DF971}">
  <dimension ref="B2:P41"/>
  <sheetViews>
    <sheetView zoomScale="72" zoomScaleNormal="72" workbookViewId="0">
      <selection activeCell="D34" sqref="D34"/>
    </sheetView>
  </sheetViews>
  <sheetFormatPr defaultRowHeight="15"/>
  <cols>
    <col min="1" max="1" width="4.7109375" customWidth="1"/>
    <col min="2" max="2" width="34.5703125" bestFit="1" customWidth="1"/>
    <col min="3" max="3" width="12.5703125" bestFit="1" customWidth="1"/>
    <col min="4" max="6" width="9.42578125" bestFit="1" customWidth="1"/>
    <col min="7" max="7" width="11.140625" bestFit="1" customWidth="1"/>
    <col min="8" max="8" width="16.28515625" customWidth="1"/>
    <col min="10" max="10" width="27.5703125" bestFit="1" customWidth="1"/>
    <col min="11" max="15" width="9.42578125" bestFit="1" customWidth="1"/>
    <col min="16" max="16" width="17.7109375" customWidth="1"/>
  </cols>
  <sheetData>
    <row r="2" spans="2:16" ht="16.5">
      <c r="B2" s="2366" t="s">
        <v>9099</v>
      </c>
      <c r="C2" s="2367">
        <v>2023</v>
      </c>
      <c r="D2" s="2367" t="s">
        <v>8514</v>
      </c>
      <c r="E2" s="2367" t="s">
        <v>8631</v>
      </c>
      <c r="F2" s="2367" t="s">
        <v>8632</v>
      </c>
      <c r="G2" s="2367" t="s">
        <v>9100</v>
      </c>
      <c r="H2" s="2367" t="s">
        <v>9101</v>
      </c>
      <c r="I2" s="2368"/>
      <c r="J2" s="2366" t="s">
        <v>9115</v>
      </c>
      <c r="K2" s="2367">
        <v>2023</v>
      </c>
      <c r="L2" s="2367" t="s">
        <v>8514</v>
      </c>
      <c r="M2" s="2367" t="s">
        <v>8631</v>
      </c>
      <c r="N2" s="2367" t="s">
        <v>8632</v>
      </c>
      <c r="O2" s="2367" t="s">
        <v>9100</v>
      </c>
      <c r="P2" s="2367" t="s">
        <v>9101</v>
      </c>
    </row>
    <row r="3" spans="2:16" ht="16.5">
      <c r="B3" s="2369" t="s">
        <v>9108</v>
      </c>
      <c r="C3" s="2370">
        <f>SOP!I39</f>
        <v>29.58</v>
      </c>
      <c r="D3" s="2369"/>
      <c r="E3" s="2369"/>
      <c r="F3" s="2369"/>
      <c r="G3" s="2369"/>
      <c r="H3" s="2371"/>
      <c r="I3" s="2369"/>
      <c r="J3" s="2369" t="s">
        <v>9102</v>
      </c>
      <c r="K3" s="2372">
        <f>C11/C26</f>
        <v>2.555677559976917</v>
      </c>
      <c r="L3" s="2372">
        <f t="shared" ref="L3:O3" si="0">D11/D26</f>
        <v>2.3422809834249523</v>
      </c>
      <c r="M3" s="2372">
        <f t="shared" ca="1" si="0"/>
        <v>2.2040117296004569</v>
      </c>
      <c r="N3" s="2372">
        <f t="shared" ca="1" si="0"/>
        <v>2.0928287535187207</v>
      </c>
      <c r="O3" s="2372">
        <f t="shared" ca="1" si="0"/>
        <v>1.9708339729780071</v>
      </c>
      <c r="P3" s="2371"/>
    </row>
    <row r="4" spans="2:16" ht="16.5">
      <c r="B4" s="2379" t="s">
        <v>9103</v>
      </c>
      <c r="C4" s="2380">
        <f>Valuation!M7</f>
        <v>171.39699999999999</v>
      </c>
      <c r="D4" s="2380">
        <f>Valuation!N7</f>
        <v>171.31299999999999</v>
      </c>
      <c r="E4" s="2380">
        <f>Valuation!O7</f>
        <v>166.363</v>
      </c>
      <c r="F4" s="2380">
        <f>Valuation!P7</f>
        <v>161.363</v>
      </c>
      <c r="G4" s="2380">
        <f>Valuation!Q7</f>
        <v>156.363</v>
      </c>
      <c r="H4" s="2381"/>
      <c r="I4" s="2379"/>
      <c r="J4" s="2379" t="s">
        <v>1243</v>
      </c>
      <c r="K4" s="2382">
        <f>C11/C27</f>
        <v>6.8525505750071831</v>
      </c>
      <c r="L4" s="2382">
        <f t="shared" ref="L4:O4" ca="1" si="1">D11/D27</f>
        <v>5.5071513082311467</v>
      </c>
      <c r="M4" s="2382">
        <f t="shared" ca="1" si="1"/>
        <v>5.1118677688453831</v>
      </c>
      <c r="N4" s="2382">
        <f t="shared" ca="1" si="1"/>
        <v>4.893679667114486</v>
      </c>
      <c r="O4" s="2382">
        <f t="shared" ca="1" si="1"/>
        <v>4.5625019561976323</v>
      </c>
      <c r="P4" s="2381"/>
    </row>
    <row r="5" spans="2:16" ht="16.5">
      <c r="B5" s="2369" t="s">
        <v>175</v>
      </c>
      <c r="C5" s="2374">
        <f>Valuation!M10</f>
        <v>5069.9232599999996</v>
      </c>
      <c r="D5" s="2374">
        <f>Valuation!N10</f>
        <v>5067.4385399999992</v>
      </c>
      <c r="E5" s="2374">
        <f>Valuation!O10</f>
        <v>4921.0175399999998</v>
      </c>
      <c r="F5" s="2374">
        <f>Valuation!P10</f>
        <v>4773.1175399999993</v>
      </c>
      <c r="G5" s="2374">
        <f>Valuation!Q10</f>
        <v>4625.2175399999996</v>
      </c>
      <c r="H5" s="2371"/>
      <c r="I5" s="2369"/>
      <c r="J5" s="2369" t="s">
        <v>9114</v>
      </c>
      <c r="K5" s="2372">
        <f ca="1">Valuation!M63</f>
        <v>6.0729517898980241</v>
      </c>
      <c r="L5" s="2372">
        <f ca="1">Valuation!N63</f>
        <v>4.9227312746070346</v>
      </c>
      <c r="M5" s="2372">
        <f ca="1">Valuation!O63</f>
        <v>4.5253547191056365</v>
      </c>
      <c r="N5" s="2372">
        <f ca="1">Valuation!P63</f>
        <v>4.4309394539926625</v>
      </c>
      <c r="O5" s="2372">
        <f ca="1">Valuation!Q63</f>
        <v>4.1054719714488286</v>
      </c>
      <c r="P5" s="2371"/>
    </row>
    <row r="6" spans="2:16" ht="16.5">
      <c r="B6" s="2373" t="s">
        <v>9104</v>
      </c>
      <c r="C6" s="2376">
        <f>Valuation!M16</f>
        <v>6999</v>
      </c>
      <c r="D6" s="2376">
        <f>Valuation!N16</f>
        <v>6129</v>
      </c>
      <c r="E6" s="2376">
        <f ca="1">Valuation!O16</f>
        <v>5411.8432365614617</v>
      </c>
      <c r="F6" s="2376">
        <f ca="1">Valuation!P16</f>
        <v>5610.2016384406788</v>
      </c>
      <c r="G6" s="2376">
        <f ca="1">Valuation!Q16</f>
        <v>5784.6553564899041</v>
      </c>
      <c r="H6" s="2377"/>
      <c r="I6" s="2375"/>
      <c r="J6" s="2375" t="s">
        <v>1244</v>
      </c>
      <c r="K6" s="2413">
        <f>Valuation!M64</f>
        <v>11.109461532843088</v>
      </c>
      <c r="L6" s="2413">
        <f>Valuation!N64</f>
        <v>6.9803277100124292</v>
      </c>
      <c r="M6" s="2413">
        <f ca="1">Valuation!O64</f>
        <v>7.1552980068372642</v>
      </c>
      <c r="N6" s="2413">
        <f ca="1">Valuation!P64</f>
        <v>6.7468556822194037</v>
      </c>
      <c r="O6" s="2413">
        <f ca="1">Valuation!Q64</f>
        <v>6.2162923611702086</v>
      </c>
      <c r="P6" s="2377"/>
    </row>
    <row r="7" spans="2:16" ht="16.5">
      <c r="B7" s="2385" t="s">
        <v>571</v>
      </c>
      <c r="C7" s="2386">
        <f>Valuation!M15+Valuation!M13</f>
        <v>1958.3144276161113</v>
      </c>
      <c r="D7" s="2386">
        <f>Valuation!N15+Valuation!N13</f>
        <v>1958.3144276161113</v>
      </c>
      <c r="E7" s="2386">
        <f>Valuation!O15+Valuation!O13</f>
        <v>1958.3144276161113</v>
      </c>
      <c r="F7" s="2386">
        <f>Valuation!P15+Valuation!P13</f>
        <v>1958.3144276161113</v>
      </c>
      <c r="G7" s="2386">
        <f>Valuation!Q15+Valuation!Q13</f>
        <v>1958.3144276161113</v>
      </c>
      <c r="H7" s="2387"/>
      <c r="I7" s="2385"/>
      <c r="J7" s="2369" t="s">
        <v>9116</v>
      </c>
      <c r="K7" s="2372"/>
      <c r="L7" s="2372">
        <f ca="1">Valuation!N101</f>
        <v>6.8091898228899863</v>
      </c>
      <c r="M7" s="2372">
        <f ca="1">Valuation!O101</f>
        <v>6.3475301411058211</v>
      </c>
      <c r="N7" s="2372">
        <f ca="1">Valuation!P101</f>
        <v>6.1373703332942462</v>
      </c>
      <c r="O7" s="2372">
        <f ca="1">Valuation!Q101</f>
        <v>5.6304092500160126</v>
      </c>
      <c r="P7" s="2390"/>
    </row>
    <row r="8" spans="2:16" ht="16.5">
      <c r="B8" s="2379" t="s">
        <v>9110</v>
      </c>
      <c r="C8" s="2380">
        <f>Valuation!M14</f>
        <v>1471.8324594835435</v>
      </c>
      <c r="D8" s="2380">
        <f>Valuation!N14</f>
        <v>1471.8324594835435</v>
      </c>
      <c r="E8" s="2380">
        <f>Valuation!O14</f>
        <v>1471.8324594835435</v>
      </c>
      <c r="F8" s="2380">
        <f>Valuation!P14</f>
        <v>1471.8324594835435</v>
      </c>
      <c r="G8" s="2380">
        <f>Valuation!Q14</f>
        <v>1471.8324594835435</v>
      </c>
      <c r="H8" s="2381"/>
      <c r="I8" s="2379"/>
      <c r="J8" s="2379" t="s">
        <v>1245</v>
      </c>
      <c r="K8" s="2382"/>
      <c r="L8" s="2382">
        <f ca="1">Valuation!N65</f>
        <v>12.800160125274257</v>
      </c>
      <c r="M8" s="2382">
        <f ca="1">Valuation!O65</f>
        <v>14.163706078157437</v>
      </c>
      <c r="N8" s="2382">
        <f ca="1">Valuation!P65</f>
        <v>10.94503016782291</v>
      </c>
      <c r="O8" s="2382">
        <f ca="1">Valuation!Q65</f>
        <v>10.134615745452006</v>
      </c>
      <c r="P8" s="2381"/>
    </row>
    <row r="9" spans="2:16" ht="16.5">
      <c r="B9" s="2385" t="s">
        <v>9109</v>
      </c>
      <c r="C9" s="2386">
        <f>-Valuation!M11</f>
        <v>1031.3794800703261</v>
      </c>
      <c r="D9" s="2386">
        <f>-Valuation!N11</f>
        <v>1031.3794800703261</v>
      </c>
      <c r="E9" s="2386">
        <f>-Valuation!O11</f>
        <v>1031.3794800703261</v>
      </c>
      <c r="F9" s="2386">
        <f>-Valuation!P11</f>
        <v>1031.3794800703261</v>
      </c>
      <c r="G9" s="2386">
        <f>-Valuation!Q11</f>
        <v>1031.3794800703261</v>
      </c>
      <c r="H9" s="2387"/>
      <c r="I9" s="2385"/>
      <c r="J9" s="2388" t="s">
        <v>1648</v>
      </c>
      <c r="K9" s="2391">
        <f>Valuation!M70</f>
        <v>-7.0443867033995397E-3</v>
      </c>
      <c r="L9" s="2391">
        <f ca="1">Valuation!N70</f>
        <v>0.15365668352042813</v>
      </c>
      <c r="M9" s="2391">
        <f ca="1">Valuation!O70</f>
        <v>0.15436257121302321</v>
      </c>
      <c r="N9" s="2391">
        <f ca="1">Valuation!P70</f>
        <v>0.16573606117070405</v>
      </c>
      <c r="O9" s="2391">
        <f ca="1">Valuation!Q70</f>
        <v>0.18210110632368406</v>
      </c>
      <c r="P9" s="2387"/>
    </row>
    <row r="10" spans="2:16" ht="16.5">
      <c r="B10" s="2383" t="s">
        <v>9105</v>
      </c>
      <c r="C10" s="2384">
        <f>Valuation!M17</f>
        <v>0</v>
      </c>
      <c r="D10" s="2384">
        <f>Valuation!N17</f>
        <v>0</v>
      </c>
      <c r="E10" s="2384">
        <f>Valuation!O17</f>
        <v>556.76724999999999</v>
      </c>
      <c r="F10" s="2384">
        <f>Valuation!P17</f>
        <v>1055.85625</v>
      </c>
      <c r="G10" s="2384">
        <f>Valuation!Q17</f>
        <v>1580.2860000000001</v>
      </c>
      <c r="H10" s="2377"/>
      <c r="I10" s="2375"/>
      <c r="J10" s="2379" t="s">
        <v>1649</v>
      </c>
      <c r="K10" s="2382">
        <f>Valuation!M73</f>
        <v>84.06175216262622</v>
      </c>
      <c r="L10" s="2382">
        <f ca="1">Valuation!N73</f>
        <v>11.508486776082469</v>
      </c>
      <c r="M10" s="2382">
        <f ca="1">Valuation!O73</f>
        <v>11.867807611803617</v>
      </c>
      <c r="N10" s="2382">
        <f ca="1">Valuation!P73</f>
        <v>7.0961470670921925</v>
      </c>
      <c r="O10" s="2382">
        <f ca="1">Valuation!Q73</f>
        <v>7.1992867694374825</v>
      </c>
      <c r="P10" s="2377"/>
    </row>
    <row r="11" spans="2:16" ht="16.5">
      <c r="B11" s="2388" t="s">
        <v>245</v>
      </c>
      <c r="C11" s="2386">
        <f>Valuation!M18</f>
        <v>14467.690667029328</v>
      </c>
      <c r="D11" s="2386">
        <f>Valuation!N18</f>
        <v>13595.205947029328</v>
      </c>
      <c r="E11" s="2386">
        <f ca="1">Valuation!O18</f>
        <v>12174.86093359079</v>
      </c>
      <c r="F11" s="2386">
        <f ca="1">Valuation!P18</f>
        <v>11726.230335470005</v>
      </c>
      <c r="G11" s="2386">
        <f ca="1">Valuation!Q18</f>
        <v>11228.354303519232</v>
      </c>
      <c r="H11" s="2390"/>
      <c r="I11" s="2388"/>
      <c r="J11" s="2388" t="s">
        <v>1248</v>
      </c>
      <c r="K11" s="2391">
        <f>Valuation!M72</f>
        <v>0</v>
      </c>
      <c r="L11" s="2391">
        <f>Valuation!N72</f>
        <v>0.10987153482082489</v>
      </c>
      <c r="M11" s="2391">
        <f>Valuation!O72</f>
        <v>0.10141987829614606</v>
      </c>
      <c r="N11" s="2391">
        <f>Valuation!P72</f>
        <v>0.10987153482082489</v>
      </c>
      <c r="O11" s="2391">
        <f>Valuation!Q72</f>
        <v>0.11832319134550372</v>
      </c>
      <c r="P11" s="2390"/>
    </row>
    <row r="12" spans="2:16" ht="16.5">
      <c r="B12" s="2375"/>
      <c r="C12" s="2376"/>
      <c r="D12" s="2376"/>
      <c r="E12" s="2376"/>
      <c r="F12" s="2376"/>
      <c r="G12" s="2376"/>
      <c r="H12" s="2377"/>
      <c r="I12" s="2375"/>
      <c r="J12" s="2399"/>
      <c r="K12" s="2399"/>
      <c r="L12" s="2399"/>
      <c r="M12" s="2399"/>
      <c r="N12" s="2399"/>
      <c r="O12" s="2399"/>
      <c r="P12" s="2375"/>
    </row>
    <row r="13" spans="2:16" ht="16.5">
      <c r="B13" s="2398" t="s">
        <v>8410</v>
      </c>
      <c r="C13" s="2388"/>
      <c r="D13" s="2389"/>
      <c r="E13" s="2388"/>
      <c r="F13" s="2388"/>
      <c r="G13" s="2388"/>
      <c r="H13" s="2390"/>
      <c r="I13" s="2388"/>
      <c r="J13" s="2398" t="s">
        <v>5568</v>
      </c>
      <c r="K13" s="2388"/>
      <c r="L13" s="2388"/>
      <c r="M13" s="2388"/>
      <c r="N13" s="2388"/>
      <c r="O13" s="2388"/>
      <c r="P13" s="2390"/>
    </row>
    <row r="14" spans="2:16" ht="16.5">
      <c r="B14" s="2375" t="s">
        <v>360</v>
      </c>
      <c r="C14" s="2376">
        <f>Valuation!M21</f>
        <v>2111.2855</v>
      </c>
      <c r="D14" s="2376">
        <f ca="1">Valuation!N21</f>
        <v>2468.6458000000002</v>
      </c>
      <c r="E14" s="2376">
        <f>Valuation!O21</f>
        <v>2381.685419914671</v>
      </c>
      <c r="F14" s="2376">
        <f>Valuation!P21</f>
        <v>2396.1990022089599</v>
      </c>
      <c r="G14" s="2376">
        <f>Valuation!Q21</f>
        <v>2461.0081072440548</v>
      </c>
      <c r="H14" s="2393">
        <f t="shared" ref="H14:H23" ca="1" si="2">(G14/D14)^(1/3)-1</f>
        <v>-1.0323585807049396E-3</v>
      </c>
      <c r="I14" s="2375"/>
      <c r="J14" s="2375" t="str">
        <f>'New split'!C6</f>
        <v>Guatemala</v>
      </c>
      <c r="K14" s="2376">
        <f>'New split'!M6</f>
        <v>1564.4625999999998</v>
      </c>
      <c r="L14" s="2376">
        <f>'New split'!N6</f>
        <v>1603.0111999999999</v>
      </c>
      <c r="M14" s="2376">
        <f>'New split'!O6</f>
        <v>1652.3888816467534</v>
      </c>
      <c r="N14" s="2376">
        <f>'New split'!P6</f>
        <v>1675.8686339788608</v>
      </c>
      <c r="O14" s="2376">
        <f>'New split'!Q6</f>
        <v>1699.6865937554721</v>
      </c>
      <c r="P14" s="2393">
        <f t="shared" ref="P14:P22" si="3">(O14/L14)^(1/3)-1</f>
        <v>1.971176665310348E-2</v>
      </c>
    </row>
    <row r="15" spans="2:16" ht="16.5">
      <c r="B15" s="2388" t="s">
        <v>1055</v>
      </c>
      <c r="C15" s="2389">
        <f>Valuation!M22</f>
        <v>-931</v>
      </c>
      <c r="D15" s="2389">
        <f>Valuation!N22</f>
        <v>-575</v>
      </c>
      <c r="E15" s="2389">
        <f>Valuation!O22</f>
        <v>-580.1684569653894</v>
      </c>
      <c r="F15" s="2389">
        <f>Valuation!P22</f>
        <v>-558.17007617557863</v>
      </c>
      <c r="G15" s="2389">
        <f>Valuation!Q22</f>
        <v>-554.72975816629184</v>
      </c>
      <c r="H15" s="2392">
        <f t="shared" si="2"/>
        <v>-1.1891717222066056E-2</v>
      </c>
      <c r="I15" s="2388"/>
      <c r="J15" s="2388" t="str">
        <f>'New split'!C20</f>
        <v>Colombia</v>
      </c>
      <c r="K15" s="2389">
        <f>'New split'!M20</f>
        <v>1313.3579999999999</v>
      </c>
      <c r="L15" s="2389">
        <f>'New split'!N20</f>
        <v>1380.0451000000003</v>
      </c>
      <c r="M15" s="2389">
        <f>'New split'!O20</f>
        <v>1383.2869383277109</v>
      </c>
      <c r="N15" s="2389">
        <f>'New split'!P20</f>
        <v>1389.8862059865814</v>
      </c>
      <c r="O15" s="2389">
        <f>'New split'!Q20</f>
        <v>1403.1494400068614</v>
      </c>
      <c r="P15" s="2392">
        <f t="shared" si="3"/>
        <v>5.5497197112024388E-3</v>
      </c>
    </row>
    <row r="16" spans="2:16" ht="16.5">
      <c r="B16" s="2375" t="s">
        <v>9117</v>
      </c>
      <c r="C16" s="2376">
        <f>Valuation!M23</f>
        <v>-766</v>
      </c>
      <c r="D16" s="2376">
        <f>Valuation!N23</f>
        <v>-780</v>
      </c>
      <c r="E16" s="2376">
        <f ca="1">Valuation!O23</f>
        <v>-735.61354709684394</v>
      </c>
      <c r="F16" s="2376">
        <f ca="1">Valuation!P23</f>
        <v>-739.25921562505346</v>
      </c>
      <c r="G16" s="2376">
        <f ca="1">Valuation!Q23</f>
        <v>-766.5264517736116</v>
      </c>
      <c r="H16" s="2393">
        <f t="shared" ca="1" si="2"/>
        <v>-5.7914021831898532E-3</v>
      </c>
      <c r="I16" s="2375"/>
      <c r="J16" s="2375" t="str">
        <f>'New split'!C8</f>
        <v>Panama</v>
      </c>
      <c r="K16" s="2376">
        <f>'New split'!M8</f>
        <v>719.19690000000003</v>
      </c>
      <c r="L16" s="2376">
        <f>'New split'!N8</f>
        <v>755.57830000000013</v>
      </c>
      <c r="M16" s="2376">
        <f>'New split'!O8</f>
        <v>787.07830000000013</v>
      </c>
      <c r="N16" s="2376">
        <f>'New split'!P8</f>
        <v>819.27861600000017</v>
      </c>
      <c r="O16" s="2376">
        <f>'New split'!Q8</f>
        <v>850.91596332000017</v>
      </c>
      <c r="P16" s="2393">
        <f t="shared" si="3"/>
        <v>4.0404922178302272E-2</v>
      </c>
    </row>
    <row r="17" spans="2:16" ht="16.5">
      <c r="B17" s="2388" t="s">
        <v>7423</v>
      </c>
      <c r="C17" s="2389">
        <f>Valuation!M24</f>
        <v>86</v>
      </c>
      <c r="D17" s="2389">
        <f>Valuation!N24</f>
        <v>89</v>
      </c>
      <c r="E17" s="2389">
        <f>Valuation!O24</f>
        <v>90.811654055326841</v>
      </c>
      <c r="F17" s="2389">
        <f>Valuation!P24</f>
        <v>92.146272251115363</v>
      </c>
      <c r="G17" s="2389">
        <f>Valuation!Q24</f>
        <v>96.027797564235556</v>
      </c>
      <c r="H17" s="2392">
        <f t="shared" si="2"/>
        <v>2.5657406568349694E-2</v>
      </c>
      <c r="I17" s="2388"/>
      <c r="J17" s="2388" t="str">
        <f>'New split'!C19</f>
        <v>Bolivia</v>
      </c>
      <c r="K17" s="2389">
        <f>'New split'!M19</f>
        <v>612.86900000000003</v>
      </c>
      <c r="L17" s="2389">
        <f>'New split'!N19</f>
        <v>613.51430000000005</v>
      </c>
      <c r="M17" s="2389">
        <f>'New split'!O19</f>
        <v>247.04821788571431</v>
      </c>
      <c r="N17" s="2389">
        <f>'New split'!P19</f>
        <v>252.60089081485717</v>
      </c>
      <c r="O17" s="2389">
        <f>'New split'!Q19</f>
        <v>258.90385265972571</v>
      </c>
      <c r="P17" s="2392">
        <f t="shared" si="3"/>
        <v>-0.24992514323482562</v>
      </c>
    </row>
    <row r="18" spans="2:16" ht="16.5">
      <c r="B18" s="2375" t="s">
        <v>395</v>
      </c>
      <c r="C18" s="2376">
        <f>Valuation!M25</f>
        <v>-233</v>
      </c>
      <c r="D18" s="2376">
        <f>Valuation!N25</f>
        <v>-239</v>
      </c>
      <c r="E18" s="2376">
        <f ca="1">Valuation!O25</f>
        <v>-267.30215329751451</v>
      </c>
      <c r="F18" s="2376">
        <f ca="1">Valuation!P25</f>
        <v>-348.1306027258467</v>
      </c>
      <c r="G18" s="2376">
        <f ca="1">Valuation!Q25</f>
        <v>-344.46528864977483</v>
      </c>
      <c r="H18" s="2393">
        <f t="shared" ca="1" si="2"/>
        <v>0.12957703604484472</v>
      </c>
      <c r="I18" s="2375"/>
      <c r="J18" s="2375" t="str">
        <f>'New split'!C21</f>
        <v>Paraguay</v>
      </c>
      <c r="K18" s="2376">
        <f>'New split'!M21</f>
        <v>568.44500000000005</v>
      </c>
      <c r="L18" s="2376">
        <f>'New split'!N21</f>
        <v>558.51189999999997</v>
      </c>
      <c r="M18" s="2376">
        <f>'New split'!O21</f>
        <v>545.5556625353164</v>
      </c>
      <c r="N18" s="2376">
        <f>'New split'!P21</f>
        <v>550.73161190240512</v>
      </c>
      <c r="O18" s="2376">
        <f>'New split'!Q21</f>
        <v>558.57165285549502</v>
      </c>
      <c r="P18" s="2393">
        <f t="shared" si="3"/>
        <v>3.5660669431836212E-5</v>
      </c>
    </row>
    <row r="19" spans="2:16" ht="16.5">
      <c r="B19" s="2388" t="s">
        <v>9111</v>
      </c>
      <c r="C19" s="2389">
        <f>Valuation!M26</f>
        <v>0</v>
      </c>
      <c r="D19" s="2389">
        <f>Valuation!N26</f>
        <v>0</v>
      </c>
      <c r="E19" s="2389">
        <f>Valuation!O26</f>
        <v>0</v>
      </c>
      <c r="F19" s="2389">
        <f>Valuation!P26</f>
        <v>0</v>
      </c>
      <c r="G19" s="2389">
        <f>Valuation!Q26</f>
        <v>0</v>
      </c>
      <c r="H19" s="2392"/>
      <c r="I19" s="2388"/>
      <c r="J19" s="2388" t="str">
        <f>'New split'!C5</f>
        <v>El Salvador</v>
      </c>
      <c r="K19" s="2389">
        <f>'New split'!M5</f>
        <v>489.221</v>
      </c>
      <c r="L19" s="2389">
        <f>'New split'!N5</f>
        <v>495.702</v>
      </c>
      <c r="M19" s="2389">
        <f>'New split'!O5</f>
        <v>504.66200000000003</v>
      </c>
      <c r="N19" s="2389">
        <f>'New split'!P5</f>
        <v>514.75524000000007</v>
      </c>
      <c r="O19" s="2389">
        <f>'New split'!Q5</f>
        <v>525.05034480000006</v>
      </c>
      <c r="P19" s="2392">
        <f t="shared" si="3"/>
        <v>1.9358054715112871E-2</v>
      </c>
    </row>
    <row r="20" spans="2:16" ht="16.5">
      <c r="B20" s="2375" t="s">
        <v>7797</v>
      </c>
      <c r="C20" s="2376">
        <f>-Valuation!M28</f>
        <v>-236</v>
      </c>
      <c r="D20" s="2376">
        <f>-Valuation!N28</f>
        <v>-135</v>
      </c>
      <c r="E20" s="2376">
        <f>-Valuation!O28</f>
        <v>-100</v>
      </c>
      <c r="F20" s="2376">
        <f>-Valuation!P28</f>
        <v>-100</v>
      </c>
      <c r="G20" s="2376">
        <f>-Valuation!Q28</f>
        <v>-100</v>
      </c>
      <c r="H20" s="2393">
        <f t="shared" si="2"/>
        <v>-9.5194127801697781E-2</v>
      </c>
      <c r="I20" s="2375"/>
      <c r="J20" s="2375" t="str">
        <f>'New split'!C10</f>
        <v>Nicaragua</v>
      </c>
      <c r="K20" s="2376">
        <f>'New split'!M10</f>
        <v>255.26609999999999</v>
      </c>
      <c r="L20" s="2376">
        <f>'New split'!N10</f>
        <v>266.9898</v>
      </c>
      <c r="M20" s="2376">
        <f>'New split'!O10</f>
        <v>274.0725409880435</v>
      </c>
      <c r="N20" s="2376">
        <f>'New split'!P10</f>
        <v>276.67799708352521</v>
      </c>
      <c r="O20" s="2376">
        <f>'New split'!Q10</f>
        <v>281.93999664890976</v>
      </c>
      <c r="P20" s="2393">
        <f t="shared" si="3"/>
        <v>1.8327190482529065E-2</v>
      </c>
    </row>
    <row r="21" spans="2:16" ht="16.5">
      <c r="B21" s="2388" t="s">
        <v>8402</v>
      </c>
      <c r="C21" s="2389">
        <f>Valuation!M30</f>
        <v>56</v>
      </c>
      <c r="D21" s="2389">
        <f>Valuation!N30</f>
        <v>47</v>
      </c>
      <c r="E21" s="2389">
        <f>Valuation!O30</f>
        <v>28.75</v>
      </c>
      <c r="F21" s="2389">
        <f>Valuation!P30</f>
        <v>57.5</v>
      </c>
      <c r="G21" s="2389">
        <f>Valuation!Q30</f>
        <v>57.5</v>
      </c>
      <c r="H21" s="2392">
        <f t="shared" si="2"/>
        <v>6.9522672739187108E-2</v>
      </c>
      <c r="I21" s="2388"/>
      <c r="J21" s="2388" t="str">
        <f>'New split'!C9</f>
        <v>Costa Rica</v>
      </c>
      <c r="K21" s="2389">
        <f>'New split'!M9</f>
        <v>158.07929999999999</v>
      </c>
      <c r="L21" s="2389">
        <f>'New split'!N9</f>
        <v>151.5685</v>
      </c>
      <c r="M21" s="2389">
        <f>'New split'!O9</f>
        <v>149.86214999999999</v>
      </c>
      <c r="N21" s="2389">
        <f>'New split'!P9</f>
        <v>143.25376102941175</v>
      </c>
      <c r="O21" s="2389">
        <f>'New split'!Q9</f>
        <v>139.0425327638408</v>
      </c>
      <c r="P21" s="2392">
        <f t="shared" si="3"/>
        <v>-2.8343174306788455E-2</v>
      </c>
    </row>
    <row r="22" spans="2:16" ht="16.5">
      <c r="B22" s="2375" t="s">
        <v>8640</v>
      </c>
      <c r="C22" s="2376">
        <f>Valuation!M31</f>
        <v>-123</v>
      </c>
      <c r="D22" s="2376">
        <f>Valuation!N31</f>
        <v>-97</v>
      </c>
      <c r="E22" s="2376">
        <f>Valuation!O31</f>
        <v>-58.541996151463962</v>
      </c>
      <c r="F22" s="2376">
        <f>Valuation!P31</f>
        <v>-9.2076793491958924</v>
      </c>
      <c r="G22" s="2376">
        <f>Valuation!Q31</f>
        <v>-6.5571751969035077</v>
      </c>
      <c r="H22" s="2393">
        <f t="shared" si="2"/>
        <v>-0.59263690237871058</v>
      </c>
      <c r="I22" s="2375"/>
      <c r="J22" s="2375" t="s">
        <v>1540</v>
      </c>
      <c r="K22" s="2376">
        <f>'New split'!L34</f>
        <v>-20.094800000000362</v>
      </c>
      <c r="L22" s="2376">
        <f>'New split'!M34</f>
        <v>-19.897899999999879</v>
      </c>
      <c r="M22" s="2376">
        <f>'New split'!N34</f>
        <v>-20.661900000000088</v>
      </c>
      <c r="N22" s="2376">
        <f>'New split'!O34</f>
        <v>-20</v>
      </c>
      <c r="O22" s="2376">
        <f>'New split'!P34</f>
        <v>-20</v>
      </c>
      <c r="P22" s="2393">
        <f t="shared" si="3"/>
        <v>1.7074810986490441E-3</v>
      </c>
    </row>
    <row r="23" spans="2:16" ht="16.5">
      <c r="B23" s="2402" t="s">
        <v>7659</v>
      </c>
      <c r="C23" s="2403">
        <f>Valuation!M32</f>
        <v>-35.714500000000044</v>
      </c>
      <c r="D23" s="2403">
        <f ca="1">Valuation!N32</f>
        <v>778.64580000000024</v>
      </c>
      <c r="E23" s="2403">
        <f ca="1">Valuation!O32</f>
        <v>759.62092045878626</v>
      </c>
      <c r="F23" s="2403">
        <f ca="1">Valuation!P32</f>
        <v>791.0777005844003</v>
      </c>
      <c r="G23" s="2403">
        <f ca="1">Valuation!Q32</f>
        <v>842.25723102170844</v>
      </c>
      <c r="H23" s="2392">
        <f t="shared" ca="1" si="2"/>
        <v>2.6522014625615098E-2</v>
      </c>
      <c r="I23" s="2388"/>
      <c r="J23" s="2388" t="str">
        <f>'New split'!C7</f>
        <v>Honduras (JV)</v>
      </c>
      <c r="K23" s="2389">
        <f>'New split'!M7</f>
        <v>611.50199999999995</v>
      </c>
      <c r="L23" s="2389">
        <f>'New split'!N7</f>
        <v>617.73540000000003</v>
      </c>
      <c r="M23" s="2389">
        <f>'New split'!O7</f>
        <v>614.20666144531231</v>
      </c>
      <c r="N23" s="2389">
        <f>'New split'!P7</f>
        <v>626.04006202274127</v>
      </c>
      <c r="O23" s="2389">
        <f>'New split'!Q7</f>
        <v>638.10452887328745</v>
      </c>
      <c r="P23" s="2392">
        <f>(O23/L23)^(1/3)-1</f>
        <v>1.0872648218684722E-2</v>
      </c>
    </row>
    <row r="24" spans="2:16" ht="16.5">
      <c r="B24" s="2399"/>
      <c r="C24" s="2400"/>
      <c r="D24" s="2400"/>
      <c r="E24" s="2400"/>
      <c r="F24" s="2400"/>
      <c r="G24" s="2400"/>
      <c r="H24" s="2393"/>
      <c r="I24" s="2375"/>
      <c r="J24" s="2375"/>
      <c r="K24" s="2376"/>
      <c r="L24" s="2376"/>
      <c r="M24" s="2376"/>
      <c r="N24" s="2376"/>
      <c r="O24" s="2376"/>
      <c r="P24" s="2397"/>
    </row>
    <row r="25" spans="2:16" ht="16.5">
      <c r="B25" s="2398" t="s">
        <v>9112</v>
      </c>
      <c r="C25" s="2389"/>
      <c r="D25" s="2389"/>
      <c r="E25" s="2389"/>
      <c r="F25" s="2389"/>
      <c r="G25" s="2389"/>
      <c r="H25" s="2392"/>
      <c r="I25" s="2391"/>
      <c r="J25" s="2398" t="s">
        <v>9113</v>
      </c>
      <c r="K25" s="2388"/>
      <c r="L25" s="2388"/>
      <c r="M25" s="2388"/>
      <c r="N25" s="2388"/>
      <c r="O25" s="2388"/>
      <c r="P25" s="2392"/>
    </row>
    <row r="26" spans="2:16" ht="16.5">
      <c r="B26" s="2375" t="s">
        <v>758</v>
      </c>
      <c r="C26" s="2376">
        <f>Master!Z5</f>
        <v>5661</v>
      </c>
      <c r="D26" s="2376">
        <f>Master!AA5</f>
        <v>5804.2592000000004</v>
      </c>
      <c r="E26" s="2376">
        <f>Master!AB5</f>
        <v>5523.9546913835384</v>
      </c>
      <c r="F26" s="2376">
        <f>Master!AC5</f>
        <v>5603.0529567956419</v>
      </c>
      <c r="G26" s="2376">
        <f>Master!AD5</f>
        <v>5697.2603768103054</v>
      </c>
      <c r="H26" s="2393">
        <f>(G26/D26)^(1/3)-1</f>
        <v>-6.182995866341523E-3</v>
      </c>
      <c r="I26" s="2378"/>
      <c r="J26" s="2375" t="str">
        <f>J14</f>
        <v>Guatemala</v>
      </c>
      <c r="K26" s="2376">
        <f>'New split'!M274</f>
        <v>810.2650000000001</v>
      </c>
      <c r="L26" s="2376">
        <f>'New split'!N274</f>
        <v>866.86189999999999</v>
      </c>
      <c r="M26" s="2376">
        <f>'New split'!O274</f>
        <v>892.28999608924687</v>
      </c>
      <c r="N26" s="2376">
        <f>'New split'!P274</f>
        <v>909.15873393353195</v>
      </c>
      <c r="O26" s="2376">
        <f>'New split'!Q274</f>
        <v>926.32919359673224</v>
      </c>
      <c r="P26" s="2393">
        <f t="shared" ref="P26:P30" si="4">(O26/L26)^(1/3)-1</f>
        <v>2.2363050787095329E-2</v>
      </c>
    </row>
    <row r="27" spans="2:16" ht="16.5">
      <c r="B27" s="2388" t="s">
        <v>9106</v>
      </c>
      <c r="C27" s="2389">
        <f>Master!Z14</f>
        <v>2111.2855</v>
      </c>
      <c r="D27" s="2389">
        <f ca="1">Master!AA14</f>
        <v>2468.6458000000002</v>
      </c>
      <c r="E27" s="2389">
        <f>Master!AB14</f>
        <v>2381.685419914671</v>
      </c>
      <c r="F27" s="2389">
        <f>Master!AC14</f>
        <v>2396.1990022089599</v>
      </c>
      <c r="G27" s="2389">
        <f>Master!AD14</f>
        <v>2461.0081072440548</v>
      </c>
      <c r="H27" s="2392">
        <f ca="1">(G27/D27)^(1/3)-1</f>
        <v>-1.0323585807049396E-3</v>
      </c>
      <c r="I27" s="2388"/>
      <c r="J27" s="2388" t="str">
        <f t="shared" ref="J27:J30" si="5">J15</f>
        <v>Colombia</v>
      </c>
      <c r="K27" s="2389">
        <f>'New split'!M288</f>
        <v>456.71199999999999</v>
      </c>
      <c r="L27" s="2389">
        <f>'New split'!N288</f>
        <v>525.32209999999998</v>
      </c>
      <c r="M27" s="2389">
        <f>'New split'!O288</f>
        <v>553.31477533108443</v>
      </c>
      <c r="N27" s="2389">
        <f>'New split'!P288</f>
        <v>569.85334445449837</v>
      </c>
      <c r="O27" s="2389">
        <f>'New split'!Q288</f>
        <v>582.3070176028474</v>
      </c>
      <c r="P27" s="2392">
        <f t="shared" si="4"/>
        <v>3.492477612920486E-2</v>
      </c>
    </row>
    <row r="28" spans="2:16" ht="16.5">
      <c r="B28" s="2375" t="s">
        <v>1434</v>
      </c>
      <c r="C28" s="2378">
        <f>C27/C26</f>
        <v>0.37295274686451158</v>
      </c>
      <c r="D28" s="2378">
        <f t="shared" ref="D28:G28" ca="1" si="6">D27/D26</f>
        <v>0.42531625741317686</v>
      </c>
      <c r="E28" s="2378">
        <f t="shared" si="6"/>
        <v>0.43115585716691501</v>
      </c>
      <c r="F28" s="2378">
        <f t="shared" si="6"/>
        <v>0.42765953145289104</v>
      </c>
      <c r="G28" s="2378">
        <f t="shared" si="6"/>
        <v>0.43196342530897036</v>
      </c>
      <c r="H28" s="2395"/>
      <c r="I28" s="2378"/>
      <c r="J28" s="2375" t="str">
        <f t="shared" si="5"/>
        <v>Panama</v>
      </c>
      <c r="K28" s="2376">
        <f>'New split'!M276</f>
        <v>304.18920000000003</v>
      </c>
      <c r="L28" s="2376">
        <f>'New split'!N276</f>
        <v>353.94280000000003</v>
      </c>
      <c r="M28" s="2376">
        <f>'New split'!O276</f>
        <v>369.92680100000001</v>
      </c>
      <c r="N28" s="2376">
        <f>'New split'!P276</f>
        <v>387.10914606000006</v>
      </c>
      <c r="O28" s="2376">
        <f>'New split'!Q276</f>
        <v>404.18508257700006</v>
      </c>
      <c r="P28" s="2393">
        <f t="shared" si="4"/>
        <v>4.5239305866330071E-2</v>
      </c>
    </row>
    <row r="29" spans="2:16" ht="16.5">
      <c r="B29" s="2388" t="s">
        <v>7865</v>
      </c>
      <c r="C29" s="2389">
        <f>Valuation!M38</f>
        <v>1812</v>
      </c>
      <c r="D29" s="2389">
        <f>Valuation!N38</f>
        <v>2142</v>
      </c>
      <c r="E29" s="2389">
        <f ca="1">Valuation!O38</f>
        <v>2022.3750399146707</v>
      </c>
      <c r="F29" s="2389">
        <f ca="1">Valuation!P38</f>
        <v>2029.7024146089595</v>
      </c>
      <c r="G29" s="2389">
        <f ca="1">Valuation!Q38</f>
        <v>2087.1815878920547</v>
      </c>
      <c r="H29" s="2392">
        <f ca="1">(G29/D29)^(1/3)-1</f>
        <v>-8.6045467073807558E-3</v>
      </c>
      <c r="I29" s="2391"/>
      <c r="J29" s="2388" t="str">
        <f t="shared" si="5"/>
        <v>Bolivia</v>
      </c>
      <c r="K29" s="2389">
        <f>'New split'!M287</f>
        <v>228.05799999999999</v>
      </c>
      <c r="L29" s="2389">
        <f>'New split'!N287</f>
        <v>266.29340000000002</v>
      </c>
      <c r="M29" s="2389">
        <f>'New split'!O287</f>
        <v>105.24254081931429</v>
      </c>
      <c r="N29" s="2389">
        <f>'New split'!P287</f>
        <v>107.3553785963143</v>
      </c>
      <c r="O29" s="2389">
        <f>'New split'!Q287</f>
        <v>111.32865664368205</v>
      </c>
      <c r="P29" s="2392">
        <f t="shared" si="4"/>
        <v>-0.2522630273830706</v>
      </c>
    </row>
    <row r="30" spans="2:16" ht="16.5">
      <c r="B30" s="2375" t="s">
        <v>1545</v>
      </c>
      <c r="C30" s="2376">
        <f>-Valuation!M40</f>
        <v>809</v>
      </c>
      <c r="D30" s="2376">
        <f>-Valuation!N40</f>
        <v>677</v>
      </c>
      <c r="E30" s="2376">
        <f>-Valuation!O40</f>
        <v>680.1684569653894</v>
      </c>
      <c r="F30" s="2376">
        <f>-Valuation!P40</f>
        <v>658.17007617557863</v>
      </c>
      <c r="G30" s="2376">
        <f>-Valuation!Q40</f>
        <v>654.72975816629184</v>
      </c>
      <c r="H30" s="2393">
        <f>(G30/D30)^(1/3)-1</f>
        <v>-1.1087642379988938E-2</v>
      </c>
      <c r="I30" s="2375"/>
      <c r="J30" s="2375" t="str">
        <f t="shared" si="5"/>
        <v>Paraguay</v>
      </c>
      <c r="K30" s="2376">
        <f>'New split'!M289</f>
        <v>254.7</v>
      </c>
      <c r="L30" s="2376">
        <f>'New split'!N289</f>
        <v>266.68740000000003</v>
      </c>
      <c r="M30" s="2376">
        <f>'New split'!O289</f>
        <v>261.86473291064499</v>
      </c>
      <c r="N30" s="2376">
        <f>'New split'!P289</f>
        <v>265.72599880294382</v>
      </c>
      <c r="O30" s="2376">
        <f>'New split'!Q289</f>
        <v>270.90521916749321</v>
      </c>
      <c r="P30" s="2393">
        <f t="shared" si="4"/>
        <v>5.2443131734718484E-3</v>
      </c>
    </row>
    <row r="31" spans="2:16" ht="16.5">
      <c r="B31" s="2388" t="s">
        <v>681</v>
      </c>
      <c r="C31" s="2391">
        <f>C30/C26</f>
        <v>0.1429076134958488</v>
      </c>
      <c r="D31" s="2391">
        <f t="shared" ref="D31:G31" si="7">D30/D26</f>
        <v>0.11663848506283109</v>
      </c>
      <c r="E31" s="2391">
        <f t="shared" si="7"/>
        <v>0.12313070887897405</v>
      </c>
      <c r="F31" s="2391">
        <f t="shared" si="7"/>
        <v>0.11746633152508749</v>
      </c>
      <c r="G31" s="2391">
        <f t="shared" si="7"/>
        <v>0.11492010455257654</v>
      </c>
      <c r="H31" s="2394"/>
      <c r="I31" s="2388"/>
      <c r="J31" s="2388"/>
      <c r="K31" s="2389"/>
      <c r="L31" s="2389"/>
      <c r="M31" s="2389"/>
      <c r="N31" s="2389"/>
      <c r="O31" s="2389"/>
      <c r="P31" s="2392"/>
    </row>
    <row r="32" spans="2:16" ht="16.5">
      <c r="B32" s="2375" t="s">
        <v>407</v>
      </c>
      <c r="C32" s="2376">
        <f>Master!Z47</f>
        <v>-82.714500000000044</v>
      </c>
      <c r="D32" s="2376">
        <f ca="1">Master!AA47</f>
        <v>254.02020000000039</v>
      </c>
      <c r="E32" s="2376">
        <f ca="1">Master!AB47</f>
        <v>298.23037764165321</v>
      </c>
      <c r="F32" s="2376">
        <f ca="1">Master!AC47</f>
        <v>584.8039710693763</v>
      </c>
      <c r="G32" s="2376">
        <f ca="1">Master!AD47</f>
        <v>571.80876661784896</v>
      </c>
      <c r="H32" s="2393">
        <f ca="1">(G32/D32)^(1/3)-1</f>
        <v>0.31057189977083643</v>
      </c>
      <c r="I32" s="2378"/>
      <c r="J32" s="2396" t="s">
        <v>1542</v>
      </c>
      <c r="K32" s="2375"/>
      <c r="L32" s="2375"/>
      <c r="M32" s="2375"/>
      <c r="N32" s="2375"/>
      <c r="O32" s="2375"/>
      <c r="P32" s="2377"/>
    </row>
    <row r="33" spans="2:16" ht="16.5">
      <c r="B33" s="2388" t="s">
        <v>538</v>
      </c>
      <c r="C33" s="2389">
        <f>-Master!Z109</f>
        <v>0</v>
      </c>
      <c r="D33" s="2389">
        <f>-Master!AA109</f>
        <v>0</v>
      </c>
      <c r="E33" s="2389">
        <f>-Master!AB109</f>
        <v>556.76724999999999</v>
      </c>
      <c r="F33" s="2389">
        <f>-Master!AC109</f>
        <v>499.089</v>
      </c>
      <c r="G33" s="2389">
        <f>-Master!AD109</f>
        <v>524.42975000000001</v>
      </c>
      <c r="H33" s="2392"/>
      <c r="I33" s="2391"/>
      <c r="J33" s="2388" t="str">
        <f>J26</f>
        <v>Guatemala</v>
      </c>
      <c r="K33" s="2410">
        <f>K26/K14</f>
        <v>0.51791906051317571</v>
      </c>
      <c r="L33" s="2410">
        <f t="shared" ref="L33:O33" si="8">L26/L14</f>
        <v>0.5407709565597546</v>
      </c>
      <c r="M33" s="2410">
        <f t="shared" si="8"/>
        <v>0.54</v>
      </c>
      <c r="N33" s="2410">
        <f t="shared" si="8"/>
        <v>0.54249999999999998</v>
      </c>
      <c r="O33" s="2410">
        <f t="shared" si="8"/>
        <v>0.54499999999999993</v>
      </c>
      <c r="P33" s="2405"/>
    </row>
    <row r="34" spans="2:16" ht="16.5">
      <c r="B34" s="2375" t="s">
        <v>9107</v>
      </c>
      <c r="C34" s="2401">
        <f>Valuation!M76</f>
        <v>3.3229304635761587</v>
      </c>
      <c r="D34" s="2401">
        <f>Valuation!N76</f>
        <v>2.4159663865546217</v>
      </c>
      <c r="E34" s="2401">
        <f ca="1">Valuation!O76</f>
        <v>2.1924683350267933</v>
      </c>
      <c r="F34" s="2401">
        <f ca="1">Valuation!P76</f>
        <v>2.2702369348702938</v>
      </c>
      <c r="G34" s="2401">
        <f ca="1">Valuation!Q76</f>
        <v>2.2792945893339991</v>
      </c>
      <c r="H34" s="2377"/>
      <c r="I34" s="2375"/>
      <c r="J34" s="2375" t="str">
        <f t="shared" ref="J34:J37" si="9">J27</f>
        <v>Colombia</v>
      </c>
      <c r="K34" s="2411">
        <f t="shared" ref="K34:O34" si="10">K27/K15</f>
        <v>0.34774372257982972</v>
      </c>
      <c r="L34" s="2411">
        <f t="shared" si="10"/>
        <v>0.38065574813460795</v>
      </c>
      <c r="M34" s="2411">
        <f t="shared" si="10"/>
        <v>0.4</v>
      </c>
      <c r="N34" s="2411">
        <f t="shared" si="10"/>
        <v>0.41</v>
      </c>
      <c r="O34" s="2411">
        <f t="shared" si="10"/>
        <v>0.41499999999999992</v>
      </c>
      <c r="P34" s="2377"/>
    </row>
    <row r="35" spans="2:16" ht="16.5">
      <c r="B35" s="1288"/>
      <c r="C35" s="1288"/>
      <c r="D35" s="1288"/>
      <c r="E35" s="1288"/>
      <c r="F35" s="1288"/>
      <c r="G35" s="1288"/>
      <c r="H35" s="1288"/>
      <c r="I35" s="1288"/>
      <c r="J35" s="2388" t="str">
        <f t="shared" si="9"/>
        <v>Panama</v>
      </c>
      <c r="K35" s="2410">
        <f t="shared" ref="K35:O35" si="11">K28/K16</f>
        <v>0.4229567730339216</v>
      </c>
      <c r="L35" s="2410">
        <f t="shared" si="11"/>
        <v>0.46843960447249472</v>
      </c>
      <c r="M35" s="2410">
        <f t="shared" si="11"/>
        <v>0.46999999999999992</v>
      </c>
      <c r="N35" s="2410">
        <f t="shared" si="11"/>
        <v>0.47249999999999998</v>
      </c>
      <c r="O35" s="2410">
        <f t="shared" si="11"/>
        <v>0.47499999999999998</v>
      </c>
      <c r="P35" s="2406"/>
    </row>
    <row r="36" spans="2:16" ht="16.5">
      <c r="B36" s="2399"/>
      <c r="C36" s="2399"/>
      <c r="D36" s="2399"/>
      <c r="E36" s="2399"/>
      <c r="F36" s="2399"/>
      <c r="G36" s="2399"/>
      <c r="H36" s="2399"/>
      <c r="I36" s="2399"/>
      <c r="J36" s="2375" t="str">
        <f t="shared" si="9"/>
        <v>Bolivia</v>
      </c>
      <c r="K36" s="2411">
        <f t="shared" ref="K36:O36" si="12">K29/K17</f>
        <v>0.37211541128691444</v>
      </c>
      <c r="L36" s="2411">
        <f t="shared" si="12"/>
        <v>0.43404595459307144</v>
      </c>
      <c r="M36" s="2411">
        <f t="shared" si="12"/>
        <v>0.42599999999999993</v>
      </c>
      <c r="N36" s="2411">
        <f t="shared" si="12"/>
        <v>0.42499999999999999</v>
      </c>
      <c r="O36" s="2411">
        <f t="shared" si="12"/>
        <v>0.43</v>
      </c>
      <c r="P36" s="2404"/>
    </row>
    <row r="37" spans="2:16" ht="16.5">
      <c r="B37" s="2407"/>
      <c r="C37" s="2407"/>
      <c r="D37" s="2407"/>
      <c r="E37" s="2407"/>
      <c r="F37" s="2407"/>
      <c r="G37" s="2407"/>
      <c r="H37" s="2407"/>
      <c r="I37" s="2407"/>
      <c r="J37" s="2408" t="str">
        <f t="shared" si="9"/>
        <v>Paraguay</v>
      </c>
      <c r="K37" s="2412">
        <f t="shared" ref="K37:O37" si="13">K30/K18</f>
        <v>0.4480644565437289</v>
      </c>
      <c r="L37" s="2412">
        <f t="shared" si="13"/>
        <v>0.47749636131298195</v>
      </c>
      <c r="M37" s="2412">
        <f t="shared" si="13"/>
        <v>0.47999636131298196</v>
      </c>
      <c r="N37" s="2412">
        <f t="shared" si="13"/>
        <v>0.48249636131298196</v>
      </c>
      <c r="O37" s="2412">
        <f t="shared" si="13"/>
        <v>0.48499636131298202</v>
      </c>
      <c r="P37" s="2409"/>
    </row>
    <row r="40" spans="2:16" ht="16.5">
      <c r="B40" s="2373"/>
      <c r="C40" s="2373"/>
      <c r="D40" s="2373"/>
      <c r="E40" s="2373"/>
      <c r="F40" s="2373"/>
      <c r="G40" s="2373"/>
      <c r="H40" s="2373"/>
      <c r="I40" s="2373"/>
    </row>
    <row r="41" spans="2:16" ht="16.5">
      <c r="B41" s="2373"/>
      <c r="C41" s="2373"/>
      <c r="D41" s="2373"/>
      <c r="E41" s="2373"/>
      <c r="F41" s="2373"/>
      <c r="G41" s="2373"/>
      <c r="H41" s="2373"/>
      <c r="I41" s="2373"/>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dimension ref="B1:AA110"/>
  <sheetViews>
    <sheetView zoomScale="75" workbookViewId="0">
      <selection activeCell="D10" sqref="D10"/>
    </sheetView>
  </sheetViews>
  <sheetFormatPr defaultRowHeight="15"/>
  <cols>
    <col min="2" max="2" width="31.140625" customWidth="1"/>
    <col min="3" max="3" width="9.28515625" bestFit="1" customWidth="1"/>
    <col min="4" max="4" width="9.85546875" bestFit="1" customWidth="1"/>
    <col min="5" max="6" width="9" customWidth="1"/>
    <col min="17" max="17" width="9" customWidth="1"/>
    <col min="18" max="18" width="14.28515625" customWidth="1"/>
  </cols>
  <sheetData>
    <row r="1" spans="2:23">
      <c r="B1" s="48" t="s">
        <v>1086</v>
      </c>
      <c r="C1" s="4"/>
      <c r="D1" s="4" t="s">
        <v>1823</v>
      </c>
      <c r="E1" s="4"/>
      <c r="F1" s="4" t="s">
        <v>1823</v>
      </c>
      <c r="G1" s="4"/>
      <c r="H1" s="4"/>
      <c r="I1" s="4"/>
      <c r="J1" s="4"/>
      <c r="K1" s="4"/>
    </row>
    <row r="2" spans="2:23">
      <c r="B2" s="49"/>
      <c r="C2" s="41">
        <v>2002</v>
      </c>
      <c r="D2" s="41">
        <f t="shared" ref="D2:O2" si="0">+C2+1</f>
        <v>2003</v>
      </c>
      <c r="E2" s="41">
        <f t="shared" si="0"/>
        <v>2004</v>
      </c>
      <c r="F2" s="41">
        <f t="shared" si="0"/>
        <v>2005</v>
      </c>
      <c r="G2" s="41">
        <f t="shared" si="0"/>
        <v>2006</v>
      </c>
      <c r="H2" s="41">
        <f t="shared" si="0"/>
        <v>2007</v>
      </c>
      <c r="I2" s="41">
        <f t="shared" si="0"/>
        <v>2008</v>
      </c>
      <c r="J2" s="42">
        <f t="shared" si="0"/>
        <v>2009</v>
      </c>
      <c r="K2" s="42">
        <f t="shared" si="0"/>
        <v>2010</v>
      </c>
      <c r="L2" s="42">
        <f t="shared" si="0"/>
        <v>2011</v>
      </c>
      <c r="M2" s="42">
        <f t="shared" si="0"/>
        <v>2012</v>
      </c>
      <c r="N2" s="42">
        <f t="shared" si="0"/>
        <v>2013</v>
      </c>
      <c r="O2" s="42">
        <f t="shared" si="0"/>
        <v>2014</v>
      </c>
      <c r="P2" s="42">
        <f>+O2+1</f>
        <v>2015</v>
      </c>
    </row>
    <row r="3" spans="2:23">
      <c r="B3" s="48"/>
      <c r="C3" s="25"/>
      <c r="D3" s="26"/>
      <c r="E3" s="26"/>
      <c r="F3" s="26"/>
      <c r="G3" s="26"/>
      <c r="H3" s="26"/>
      <c r="I3" s="26"/>
      <c r="J3" s="26"/>
      <c r="K3" s="26"/>
      <c r="L3" s="26"/>
      <c r="M3" s="26"/>
      <c r="N3" s="26"/>
      <c r="O3" s="26"/>
      <c r="P3" s="26"/>
      <c r="Q3" t="s">
        <v>1823</v>
      </c>
    </row>
    <row r="4" spans="2:23">
      <c r="B4" s="48" t="s">
        <v>2354</v>
      </c>
      <c r="C4" s="25"/>
      <c r="D4" s="26"/>
      <c r="E4" s="26"/>
      <c r="F4" s="26"/>
      <c r="G4" s="26"/>
      <c r="H4" s="26"/>
      <c r="I4" s="26"/>
      <c r="J4" s="26"/>
      <c r="K4" s="26"/>
      <c r="L4" s="26"/>
      <c r="M4" s="26"/>
      <c r="N4" s="26"/>
      <c r="O4" s="26"/>
      <c r="P4" s="26"/>
      <c r="R4" s="8" t="s">
        <v>2108</v>
      </c>
      <c r="S4" s="8" t="s">
        <v>2107</v>
      </c>
    </row>
    <row r="5" spans="2:23">
      <c r="B5" s="50" t="s">
        <v>730</v>
      </c>
      <c r="C5" s="51">
        <v>20000</v>
      </c>
      <c r="D5" s="51">
        <v>20000</v>
      </c>
      <c r="E5" s="51">
        <v>20000</v>
      </c>
      <c r="F5" s="51">
        <v>20222</v>
      </c>
      <c r="G5" s="52">
        <f>F5*(1+$S5/2)</f>
        <v>20300.8658</v>
      </c>
      <c r="H5" s="52">
        <f>G5*(1+$S5)</f>
        <v>20459.212553239999</v>
      </c>
      <c r="I5" s="52">
        <f t="shared" ref="I5:P7" si="1">H5*(1+$S5/2)</f>
        <v>20539.003482197633</v>
      </c>
      <c r="J5" s="52">
        <f t="shared" si="1"/>
        <v>20619.105595778205</v>
      </c>
      <c r="K5" s="52">
        <f t="shared" si="1"/>
        <v>20699.52010760174</v>
      </c>
      <c r="L5" s="52">
        <f t="shared" si="1"/>
        <v>20780.248236021387</v>
      </c>
      <c r="M5" s="52">
        <f t="shared" si="1"/>
        <v>20861.291204141871</v>
      </c>
      <c r="N5" s="52">
        <f t="shared" si="1"/>
        <v>20942.650239838025</v>
      </c>
      <c r="O5" s="52">
        <f t="shared" si="1"/>
        <v>21024.326575773393</v>
      </c>
      <c r="P5" s="52">
        <f t="shared" si="1"/>
        <v>21106.321449418909</v>
      </c>
      <c r="Q5" s="153"/>
      <c r="R5" s="52">
        <v>4300</v>
      </c>
      <c r="S5" s="141">
        <v>7.7999999999999996E-3</v>
      </c>
    </row>
    <row r="6" spans="2:23">
      <c r="B6" s="50" t="s">
        <v>738</v>
      </c>
      <c r="C6" s="52">
        <v>13400</v>
      </c>
      <c r="D6" s="52">
        <v>13400</v>
      </c>
      <c r="E6" s="52">
        <v>13400</v>
      </c>
      <c r="F6" s="51">
        <v>13881.427</v>
      </c>
      <c r="G6" s="51">
        <v>13995</v>
      </c>
      <c r="H6" s="51">
        <v>13995</v>
      </c>
      <c r="I6" s="52">
        <f t="shared" si="1"/>
        <v>14119.555499999999</v>
      </c>
      <c r="J6" s="52">
        <f t="shared" si="1"/>
        <v>14245.219543949997</v>
      </c>
      <c r="K6" s="52">
        <f t="shared" si="1"/>
        <v>14372.001997891151</v>
      </c>
      <c r="L6" s="52">
        <f t="shared" si="1"/>
        <v>14499.912815672382</v>
      </c>
      <c r="M6" s="52">
        <f t="shared" si="1"/>
        <v>14628.962039731865</v>
      </c>
      <c r="N6" s="52">
        <f t="shared" si="1"/>
        <v>14759.159801885477</v>
      </c>
      <c r="O6" s="52">
        <f t="shared" si="1"/>
        <v>14890.516324122256</v>
      </c>
      <c r="P6" s="52">
        <f t="shared" si="1"/>
        <v>15023.041919406944</v>
      </c>
      <c r="Q6" s="153">
        <f>O6</f>
        <v>14890.516324122256</v>
      </c>
      <c r="R6" s="52">
        <v>2800</v>
      </c>
      <c r="S6" s="141">
        <v>1.78E-2</v>
      </c>
    </row>
    <row r="7" spans="2:23">
      <c r="B7" s="50" t="s">
        <v>739</v>
      </c>
      <c r="C7" s="52">
        <v>6100</v>
      </c>
      <c r="D7" s="52">
        <v>6100</v>
      </c>
      <c r="E7" s="52">
        <v>6100</v>
      </c>
      <c r="F7" s="51">
        <v>6368.4809999999998</v>
      </c>
      <c r="G7" s="51">
        <v>6522</v>
      </c>
      <c r="H7" s="51">
        <v>6522</v>
      </c>
      <c r="I7" s="52">
        <f t="shared" si="1"/>
        <v>6599.937899999999</v>
      </c>
      <c r="J7" s="52">
        <f t="shared" si="1"/>
        <v>6678.8071579049983</v>
      </c>
      <c r="K7" s="52">
        <f t="shared" si="1"/>
        <v>6758.6189034419622</v>
      </c>
      <c r="L7" s="52">
        <f t="shared" si="1"/>
        <v>6839.3843993380933</v>
      </c>
      <c r="M7" s="52">
        <f t="shared" si="1"/>
        <v>6921.1150429101826</v>
      </c>
      <c r="N7" s="52">
        <f t="shared" si="1"/>
        <v>7003.8223676729585</v>
      </c>
      <c r="O7" s="52">
        <f t="shared" si="1"/>
        <v>7087.5180449666495</v>
      </c>
      <c r="P7" s="52">
        <f t="shared" si="1"/>
        <v>7172.2138856040001</v>
      </c>
      <c r="Q7" s="153">
        <f>O7</f>
        <v>7087.5180449666495</v>
      </c>
      <c r="R7" s="52">
        <v>1900</v>
      </c>
      <c r="S7" s="141">
        <v>2.3900000000000001E-2</v>
      </c>
    </row>
    <row r="8" spans="2:23">
      <c r="B8" s="50"/>
      <c r="C8" s="52"/>
      <c r="D8" s="52"/>
      <c r="E8" s="52"/>
      <c r="F8" s="52"/>
      <c r="G8" s="52"/>
      <c r="H8" s="52"/>
      <c r="I8" s="52"/>
      <c r="J8" s="52"/>
      <c r="K8" s="52"/>
      <c r="L8" s="52"/>
      <c r="M8" s="52"/>
      <c r="N8" s="52"/>
      <c r="O8" s="52"/>
      <c r="P8" s="52"/>
      <c r="Q8" s="151"/>
      <c r="R8" s="142" t="e">
        <v>#NAME?</v>
      </c>
      <c r="S8" s="168" t="e">
        <v>#NAME?</v>
      </c>
    </row>
    <row r="9" spans="2:23">
      <c r="B9" s="57"/>
      <c r="C9" s="61"/>
      <c r="D9" s="61"/>
      <c r="E9" s="61"/>
      <c r="F9" s="61"/>
      <c r="G9" s="61"/>
      <c r="H9" s="61"/>
      <c r="I9" s="61"/>
      <c r="J9" s="61"/>
      <c r="K9" s="61"/>
      <c r="L9" s="61"/>
      <c r="M9" s="61"/>
      <c r="N9" s="61"/>
      <c r="O9" s="61"/>
      <c r="P9" s="61"/>
      <c r="Q9" s="151"/>
    </row>
    <row r="10" spans="2:23">
      <c r="B10" s="50" t="s">
        <v>2355</v>
      </c>
      <c r="C10" s="52">
        <f>SUM(C5:C7)</f>
        <v>39500</v>
      </c>
      <c r="D10" s="52">
        <f>SUM(D5:D7)</f>
        <v>39500</v>
      </c>
      <c r="E10" s="52">
        <f>SUM(E5:E7)</f>
        <v>39500</v>
      </c>
      <c r="F10" s="52">
        <f>SUM(F6:F7)</f>
        <v>20249.907999999999</v>
      </c>
      <c r="G10" s="52">
        <f>SUM(G5:G7)</f>
        <v>40817.8658</v>
      </c>
      <c r="H10" s="52">
        <f>SUM(H5:H7)</f>
        <v>40976.212553239995</v>
      </c>
      <c r="I10" s="52">
        <f>SUM(I5:I7)</f>
        <v>41258.496882197629</v>
      </c>
      <c r="J10" s="52">
        <f t="shared" ref="J10:O10" si="2">SUM(J5:J7)</f>
        <v>41543.132297633201</v>
      </c>
      <c r="K10" s="52">
        <f t="shared" si="2"/>
        <v>41830.14100893485</v>
      </c>
      <c r="L10" s="52">
        <f t="shared" si="2"/>
        <v>42119.54545103186</v>
      </c>
      <c r="M10" s="52">
        <f t="shared" si="2"/>
        <v>42411.368286783923</v>
      </c>
      <c r="N10" s="52">
        <f t="shared" si="2"/>
        <v>42705.632409396465</v>
      </c>
      <c r="O10" s="52">
        <f t="shared" si="2"/>
        <v>43002.360944862303</v>
      </c>
      <c r="P10" s="52">
        <f>SUM(P5:P7)</f>
        <v>43301.577254429852</v>
      </c>
      <c r="Q10" s="153">
        <f>SUM(Q6:Q9)</f>
        <v>21978.034369088906</v>
      </c>
      <c r="R10" s="143"/>
      <c r="S10" s="143"/>
      <c r="T10" s="21"/>
      <c r="U10" s="21"/>
      <c r="V10" s="21"/>
      <c r="W10" s="21"/>
    </row>
    <row r="11" spans="2:23">
      <c r="B11" s="48"/>
      <c r="C11" s="25"/>
      <c r="D11" s="26"/>
      <c r="E11" s="26"/>
      <c r="F11" s="26"/>
      <c r="G11" s="26"/>
      <c r="H11" s="26"/>
      <c r="I11" s="26"/>
      <c r="J11" s="26"/>
      <c r="K11" s="26"/>
      <c r="L11" s="26"/>
      <c r="M11" s="26"/>
      <c r="N11" s="26"/>
      <c r="O11" s="26"/>
      <c r="P11" s="26"/>
      <c r="Q11" s="151"/>
      <c r="R11" s="21"/>
      <c r="S11" s="21"/>
      <c r="T11" s="21"/>
      <c r="U11" s="21"/>
      <c r="V11" s="21"/>
      <c r="W11" s="21"/>
    </row>
    <row r="12" spans="2:23">
      <c r="B12" s="48" t="s">
        <v>1931</v>
      </c>
      <c r="C12" s="25"/>
      <c r="D12" s="26"/>
      <c r="E12" s="26"/>
      <c r="F12" s="26"/>
      <c r="G12" s="26"/>
      <c r="H12" s="26"/>
      <c r="I12" s="26"/>
      <c r="J12" s="26"/>
      <c r="K12" s="26"/>
      <c r="L12" s="26"/>
      <c r="M12" s="26"/>
      <c r="N12" s="26"/>
      <c r="O12" s="26"/>
      <c r="P12" s="26"/>
      <c r="Q12" s="151"/>
      <c r="R12" s="21"/>
      <c r="S12" s="21"/>
      <c r="T12" s="21"/>
      <c r="U12" s="21"/>
      <c r="V12" s="21"/>
      <c r="W12" s="21"/>
    </row>
    <row r="13" spans="2:23">
      <c r="B13" s="50" t="s">
        <v>730</v>
      </c>
      <c r="C13" s="53">
        <f ca="1">C29/C5</f>
        <v>4.6579000000000009E-2</v>
      </c>
      <c r="D13" s="53">
        <f ca="1">D29/D5</f>
        <v>6.9670149999999986E-2</v>
      </c>
      <c r="E13" s="53">
        <f ca="1">E29/E5</f>
        <v>0.1105579</v>
      </c>
      <c r="F13" s="54">
        <v>0.17</v>
      </c>
      <c r="G13" s="54">
        <v>0.19</v>
      </c>
      <c r="H13" s="53">
        <f>H29/H5</f>
        <v>0.24072285222043202</v>
      </c>
      <c r="I13" s="54">
        <v>0.33</v>
      </c>
      <c r="J13" s="53">
        <f t="shared" ref="J13:O15" si="3">I13+J21</f>
        <v>0.45</v>
      </c>
      <c r="K13" s="53">
        <f t="shared" si="3"/>
        <v>0.55000000000000004</v>
      </c>
      <c r="L13" s="53">
        <f t="shared" si="3"/>
        <v>0.65</v>
      </c>
      <c r="M13" s="53">
        <f t="shared" si="3"/>
        <v>0.75</v>
      </c>
      <c r="N13" s="53">
        <f t="shared" si="3"/>
        <v>0.83</v>
      </c>
      <c r="O13" s="53">
        <f t="shared" si="3"/>
        <v>0.8899999999999999</v>
      </c>
      <c r="P13" s="53">
        <f>O13+P21</f>
        <v>0.95</v>
      </c>
      <c r="Q13" s="155"/>
      <c r="R13" s="21"/>
      <c r="S13" s="21"/>
      <c r="T13" s="21"/>
      <c r="U13" s="21"/>
      <c r="V13" s="21"/>
      <c r="W13" s="21"/>
    </row>
    <row r="14" spans="2:23">
      <c r="B14" s="50" t="s">
        <v>738</v>
      </c>
      <c r="C14" s="53">
        <f>C30/C6</f>
        <v>4.8546865671641792E-2</v>
      </c>
      <c r="D14" s="53">
        <f>D30/D6</f>
        <v>6.446432835820895E-2</v>
      </c>
      <c r="E14" s="54">
        <v>7.0000000000000007E-2</v>
      </c>
      <c r="F14" s="54">
        <v>8.3000000000000004E-2</v>
      </c>
      <c r="G14" s="54">
        <v>0.11</v>
      </c>
      <c r="H14" s="53">
        <f>H30/H6</f>
        <v>0.17117914783230034</v>
      </c>
      <c r="I14" s="54">
        <v>0.28999999999999998</v>
      </c>
      <c r="J14" s="53">
        <f t="shared" si="3"/>
        <v>0.37</v>
      </c>
      <c r="K14" s="53">
        <f t="shared" si="3"/>
        <v>0.45</v>
      </c>
      <c r="L14" s="53">
        <f t="shared" si="3"/>
        <v>0.51</v>
      </c>
      <c r="M14" s="53">
        <f t="shared" si="3"/>
        <v>0.56000000000000005</v>
      </c>
      <c r="N14" s="53">
        <f t="shared" si="3"/>
        <v>0.6100000000000001</v>
      </c>
      <c r="O14" s="53">
        <f t="shared" si="3"/>
        <v>0.65000000000000013</v>
      </c>
      <c r="P14" s="53">
        <f>O14+P22</f>
        <v>0.69000000000000017</v>
      </c>
      <c r="Q14" s="155" t="e">
        <f>#REF!</f>
        <v>#REF!</v>
      </c>
      <c r="R14" s="21"/>
      <c r="S14" s="21"/>
      <c r="T14" s="21"/>
      <c r="U14" s="21"/>
      <c r="V14" s="21"/>
      <c r="W14" s="21"/>
    </row>
    <row r="15" spans="2:23">
      <c r="B15" s="50" t="s">
        <v>739</v>
      </c>
      <c r="C15" s="53">
        <f>C31/C7</f>
        <v>0</v>
      </c>
      <c r="D15" s="53">
        <f>D31/D7</f>
        <v>8.1377049180327878E-3</v>
      </c>
      <c r="E15" s="54">
        <v>0.05</v>
      </c>
      <c r="F15" s="54">
        <v>7.6999999999999999E-2</v>
      </c>
      <c r="G15" s="54">
        <v>0.1</v>
      </c>
      <c r="H15" s="53">
        <f>H31/H7</f>
        <v>0.13390575488091588</v>
      </c>
      <c r="I15" s="54">
        <v>0.17</v>
      </c>
      <c r="J15" s="53">
        <f t="shared" si="3"/>
        <v>0.25</v>
      </c>
      <c r="K15" s="53">
        <f t="shared" si="3"/>
        <v>0.35</v>
      </c>
      <c r="L15" s="53">
        <f t="shared" si="3"/>
        <v>0.44999999999999996</v>
      </c>
      <c r="M15" s="53">
        <f t="shared" si="3"/>
        <v>0.51</v>
      </c>
      <c r="N15" s="53">
        <f t="shared" si="3"/>
        <v>0.54</v>
      </c>
      <c r="O15" s="53">
        <f t="shared" si="3"/>
        <v>0.55000000000000004</v>
      </c>
      <c r="P15" s="53">
        <f>O15+P23</f>
        <v>0.56000000000000005</v>
      </c>
      <c r="Q15" s="155" t="e">
        <f>#REF!</f>
        <v>#REF!</v>
      </c>
      <c r="R15" s="21"/>
      <c r="S15" s="21"/>
      <c r="T15" s="21"/>
      <c r="U15" s="21"/>
      <c r="V15" s="21"/>
      <c r="W15" s="21"/>
    </row>
    <row r="16" spans="2:23">
      <c r="B16" s="50"/>
      <c r="C16" s="53"/>
      <c r="D16" s="53"/>
      <c r="E16" s="53"/>
      <c r="F16" s="53"/>
      <c r="G16" s="53"/>
      <c r="H16" s="53"/>
      <c r="I16" s="53"/>
      <c r="J16" s="53"/>
      <c r="K16" s="53"/>
      <c r="L16" s="53"/>
      <c r="M16" s="53"/>
      <c r="N16" s="53"/>
      <c r="O16" s="53"/>
      <c r="P16" s="53"/>
      <c r="Q16" s="151"/>
      <c r="R16" s="21"/>
      <c r="S16" s="21"/>
      <c r="T16" s="21"/>
      <c r="U16" s="21"/>
      <c r="V16" s="21"/>
      <c r="W16" s="21"/>
    </row>
    <row r="17" spans="2:23">
      <c r="B17" s="57"/>
      <c r="C17" s="62"/>
      <c r="D17" s="62"/>
      <c r="E17" s="62"/>
      <c r="F17" s="62"/>
      <c r="G17" s="62"/>
      <c r="H17" s="62"/>
      <c r="I17" s="62"/>
      <c r="J17" s="62"/>
      <c r="K17" s="62"/>
      <c r="L17" s="62"/>
      <c r="M17" s="62"/>
      <c r="N17" s="62"/>
      <c r="O17" s="62"/>
      <c r="P17" s="62"/>
      <c r="Q17" s="151"/>
      <c r="R17" s="21"/>
      <c r="S17" s="21"/>
      <c r="T17" s="21"/>
      <c r="U17" s="21"/>
      <c r="V17" s="21"/>
      <c r="W17" s="21"/>
    </row>
    <row r="18" spans="2:23">
      <c r="B18" s="50" t="s">
        <v>2355</v>
      </c>
      <c r="C18" s="25"/>
      <c r="D18" s="53">
        <f t="shared" ref="D18:Q18" ca="1" si="4">D34/D10</f>
        <v>5.8401645569620249E-2</v>
      </c>
      <c r="E18" s="53">
        <f t="shared" ca="1" si="4"/>
        <v>8.9765866184448456E-2</v>
      </c>
      <c r="F18" s="53">
        <f t="shared" si="4"/>
        <v>8.1113034093784522E-2</v>
      </c>
      <c r="G18" s="53">
        <f t="shared" si="4"/>
        <v>0.14819036672907088</v>
      </c>
      <c r="H18" s="53">
        <f t="shared" si="4"/>
        <v>0.19996932358255445</v>
      </c>
      <c r="I18" s="53">
        <f>I34/I10</f>
        <v>0.29478540219555299</v>
      </c>
      <c r="J18" s="53">
        <f t="shared" si="4"/>
        <v>0.39041424278356529</v>
      </c>
      <c r="K18" s="53">
        <f t="shared" si="4"/>
        <v>0.48332740666875124</v>
      </c>
      <c r="L18" s="53">
        <f t="shared" si="4"/>
        <v>0.56932807826684406</v>
      </c>
      <c r="M18" s="53">
        <f t="shared" si="4"/>
        <v>0.6452976388825622</v>
      </c>
      <c r="N18" s="53">
        <f t="shared" si="4"/>
        <v>0.70640684974662438</v>
      </c>
      <c r="O18" s="53">
        <f t="shared" si="4"/>
        <v>0.75085694083750354</v>
      </c>
      <c r="P18" s="53">
        <f>P34/P10</f>
        <v>0.7951983798408726</v>
      </c>
      <c r="Q18" s="158" t="e">
        <f t="shared" si="4"/>
        <v>#REF!</v>
      </c>
      <c r="R18" s="16"/>
      <c r="S18" s="16"/>
      <c r="T18" s="21"/>
      <c r="U18" s="21"/>
      <c r="V18" s="21"/>
      <c r="W18" s="21"/>
    </row>
    <row r="19" spans="2:23">
      <c r="B19" s="48"/>
      <c r="C19" s="25"/>
      <c r="D19" s="26"/>
      <c r="E19" s="26"/>
      <c r="F19" s="26"/>
      <c r="G19" s="26"/>
      <c r="H19" s="26"/>
      <c r="I19" s="26"/>
      <c r="J19" s="26"/>
      <c r="K19" s="26"/>
      <c r="L19" s="26"/>
      <c r="M19" s="26"/>
      <c r="N19" s="26"/>
      <c r="O19" s="26"/>
      <c r="P19" s="26"/>
      <c r="Q19" s="151"/>
      <c r="R19" s="21"/>
      <c r="S19" s="21"/>
      <c r="T19" s="21"/>
      <c r="U19" s="21"/>
      <c r="V19" s="21"/>
      <c r="W19" s="21"/>
    </row>
    <row r="20" spans="2:23">
      <c r="B20" s="48" t="s">
        <v>1933</v>
      </c>
      <c r="C20" s="25"/>
      <c r="D20" s="26"/>
      <c r="E20" s="26"/>
      <c r="F20" s="26"/>
      <c r="G20" s="26"/>
      <c r="H20" s="26"/>
      <c r="I20" s="26"/>
      <c r="J20" s="26"/>
      <c r="K20" s="26"/>
      <c r="L20" s="26"/>
      <c r="M20" s="26"/>
      <c r="N20" s="26"/>
      <c r="O20" s="26"/>
      <c r="P20" s="26"/>
      <c r="Q20" s="151"/>
      <c r="R20" s="21"/>
      <c r="S20" s="21"/>
      <c r="T20" s="21"/>
      <c r="U20" s="21"/>
      <c r="V20" s="21"/>
      <c r="W20" s="21"/>
    </row>
    <row r="21" spans="2:23">
      <c r="B21" s="50" t="s">
        <v>730</v>
      </c>
      <c r="C21" s="53"/>
      <c r="D21" s="53">
        <f t="shared" ref="D21:I21" ca="1" si="5">D13-C13</f>
        <v>2.3091149999999977E-2</v>
      </c>
      <c r="E21" s="53">
        <f t="shared" ca="1" si="5"/>
        <v>4.0887750000000014E-2</v>
      </c>
      <c r="F21" s="53">
        <f t="shared" ca="1" si="5"/>
        <v>5.9442100000000012E-2</v>
      </c>
      <c r="G21" s="53">
        <f t="shared" si="5"/>
        <v>1.999999999999999E-2</v>
      </c>
      <c r="H21" s="53">
        <f t="shared" si="5"/>
        <v>5.0722852220432019E-2</v>
      </c>
      <c r="I21" s="53">
        <f t="shared" si="5"/>
        <v>8.9277147779567995E-2</v>
      </c>
      <c r="J21" s="63">
        <v>0.12</v>
      </c>
      <c r="K21" s="63">
        <v>0.1</v>
      </c>
      <c r="L21" s="63">
        <v>0.1</v>
      </c>
      <c r="M21" s="63">
        <v>0.1</v>
      </c>
      <c r="N21" s="63">
        <v>0.08</v>
      </c>
      <c r="O21" s="63">
        <v>0.06</v>
      </c>
      <c r="P21" s="63">
        <v>0.06</v>
      </c>
      <c r="Q21" s="151"/>
      <c r="R21" s="21"/>
      <c r="S21" s="21"/>
      <c r="T21" s="21"/>
      <c r="U21" s="21"/>
      <c r="V21" s="21"/>
      <c r="W21" s="21"/>
    </row>
    <row r="22" spans="2:23">
      <c r="B22" s="50" t="s">
        <v>738</v>
      </c>
      <c r="C22" s="53"/>
      <c r="D22" s="53">
        <f t="shared" ref="D22:I23" si="6">D14-C14</f>
        <v>1.5917462686567158E-2</v>
      </c>
      <c r="E22" s="53">
        <f t="shared" si="6"/>
        <v>5.5356716417910568E-3</v>
      </c>
      <c r="F22" s="53">
        <f t="shared" si="6"/>
        <v>1.2999999999999998E-2</v>
      </c>
      <c r="G22" s="53">
        <f t="shared" si="6"/>
        <v>2.6999999999999996E-2</v>
      </c>
      <c r="H22" s="53">
        <f t="shared" si="6"/>
        <v>6.1179147832300343E-2</v>
      </c>
      <c r="I22" s="53">
        <f t="shared" si="6"/>
        <v>0.11882085216769964</v>
      </c>
      <c r="J22" s="63">
        <v>0.08</v>
      </c>
      <c r="K22" s="63">
        <v>0.08</v>
      </c>
      <c r="L22" s="63">
        <v>0.06</v>
      </c>
      <c r="M22" s="63">
        <v>0.05</v>
      </c>
      <c r="N22" s="63">
        <v>0.05</v>
      </c>
      <c r="O22" s="63">
        <v>0.04</v>
      </c>
      <c r="P22" s="63">
        <v>0.04</v>
      </c>
      <c r="Q22" s="151"/>
      <c r="R22" s="21"/>
      <c r="S22" s="21"/>
      <c r="T22" s="21"/>
      <c r="U22" s="21"/>
      <c r="V22" s="21"/>
      <c r="W22" s="21"/>
    </row>
    <row r="23" spans="2:23">
      <c r="B23" s="50" t="s">
        <v>739</v>
      </c>
      <c r="C23" s="53"/>
      <c r="D23" s="53">
        <f t="shared" si="6"/>
        <v>8.1377049180327878E-3</v>
      </c>
      <c r="E23" s="53">
        <f t="shared" si="6"/>
        <v>4.1862295081967218E-2</v>
      </c>
      <c r="F23" s="53">
        <f t="shared" si="6"/>
        <v>2.6999999999999996E-2</v>
      </c>
      <c r="G23" s="53">
        <f t="shared" si="6"/>
        <v>2.3000000000000007E-2</v>
      </c>
      <c r="H23" s="53">
        <f t="shared" si="6"/>
        <v>3.3905754880915878E-2</v>
      </c>
      <c r="I23" s="53">
        <f t="shared" si="6"/>
        <v>3.6094245119084128E-2</v>
      </c>
      <c r="J23" s="63">
        <v>0.08</v>
      </c>
      <c r="K23" s="63">
        <v>0.1</v>
      </c>
      <c r="L23" s="63">
        <v>0.1</v>
      </c>
      <c r="M23" s="63">
        <v>0.06</v>
      </c>
      <c r="N23" s="63">
        <v>0.03</v>
      </c>
      <c r="O23" s="63">
        <v>0.01</v>
      </c>
      <c r="P23" s="63">
        <v>0.01</v>
      </c>
      <c r="Q23" s="151"/>
      <c r="R23" s="21"/>
      <c r="S23" s="21"/>
      <c r="T23" s="21"/>
      <c r="U23" s="21"/>
      <c r="V23" s="21"/>
      <c r="W23" s="21"/>
    </row>
    <row r="24" spans="2:23">
      <c r="B24" s="50"/>
      <c r="C24" s="53"/>
      <c r="D24" s="53"/>
      <c r="E24" s="53"/>
      <c r="F24" s="63"/>
      <c r="G24" s="63"/>
      <c r="H24" s="63"/>
      <c r="I24" s="63"/>
      <c r="J24" s="63"/>
      <c r="K24" s="63"/>
      <c r="L24" s="63"/>
      <c r="M24" s="63"/>
      <c r="N24" s="63"/>
      <c r="O24" s="63"/>
      <c r="P24" s="63"/>
      <c r="Q24" s="151"/>
      <c r="R24" s="21"/>
      <c r="S24" s="21"/>
      <c r="T24" s="21"/>
      <c r="U24" s="21"/>
      <c r="V24" s="21"/>
      <c r="W24" s="21"/>
    </row>
    <row r="25" spans="2:23">
      <c r="B25" s="57"/>
      <c r="C25" s="62"/>
      <c r="D25" s="62"/>
      <c r="E25" s="62"/>
      <c r="F25" s="64"/>
      <c r="G25" s="64"/>
      <c r="H25" s="64"/>
      <c r="I25" s="64"/>
      <c r="J25" s="64"/>
      <c r="K25" s="64"/>
      <c r="L25" s="64"/>
      <c r="M25" s="64"/>
      <c r="N25" s="64"/>
      <c r="O25" s="64"/>
      <c r="P25" s="64"/>
      <c r="Q25" s="151"/>
      <c r="R25" s="21"/>
      <c r="S25" s="21"/>
      <c r="T25" s="21"/>
      <c r="U25" s="21"/>
      <c r="V25" s="21"/>
      <c r="W25" s="21"/>
    </row>
    <row r="26" spans="2:23">
      <c r="B26" s="50" t="s">
        <v>2355</v>
      </c>
      <c r="C26" s="25"/>
      <c r="D26" s="53"/>
      <c r="E26" s="53">
        <f t="shared" ref="E26:P26" ca="1" si="7">E18-D18</f>
        <v>3.1364220614828207E-2</v>
      </c>
      <c r="F26" s="53">
        <f t="shared" ca="1" si="7"/>
        <v>-8.6528320906639339E-3</v>
      </c>
      <c r="G26" s="53">
        <f t="shared" si="7"/>
        <v>6.7077332635286355E-2</v>
      </c>
      <c r="H26" s="53">
        <f t="shared" si="7"/>
        <v>5.1778956853483576E-2</v>
      </c>
      <c r="I26" s="53">
        <f t="shared" si="7"/>
        <v>9.4816078612998539E-2</v>
      </c>
      <c r="J26" s="53">
        <f t="shared" si="7"/>
        <v>9.5628840588012298E-2</v>
      </c>
      <c r="K26" s="53">
        <f t="shared" si="7"/>
        <v>9.2913163885185945E-2</v>
      </c>
      <c r="L26" s="53">
        <f t="shared" si="7"/>
        <v>8.6000671598092826E-2</v>
      </c>
      <c r="M26" s="53">
        <f t="shared" si="7"/>
        <v>7.5969560615718135E-2</v>
      </c>
      <c r="N26" s="53">
        <f t="shared" si="7"/>
        <v>6.110921086406218E-2</v>
      </c>
      <c r="O26" s="53">
        <f t="shared" si="7"/>
        <v>4.4450091090879162E-2</v>
      </c>
      <c r="P26" s="53">
        <f t="shared" si="7"/>
        <v>4.4341439003369065E-2</v>
      </c>
      <c r="Q26" s="151"/>
      <c r="R26" s="21"/>
      <c r="S26" s="21"/>
      <c r="T26" s="21"/>
      <c r="U26" s="21"/>
      <c r="V26" s="21"/>
      <c r="W26" s="21"/>
    </row>
    <row r="27" spans="2:23">
      <c r="B27" s="48"/>
      <c r="C27" s="25"/>
      <c r="D27" s="26"/>
      <c r="E27" s="26"/>
      <c r="F27" s="26"/>
      <c r="G27" s="26"/>
      <c r="H27" s="26"/>
      <c r="I27" s="26"/>
      <c r="J27" s="26"/>
      <c r="K27" s="26"/>
      <c r="L27" s="26"/>
      <c r="M27" s="26"/>
      <c r="N27" s="26"/>
      <c r="O27" s="26"/>
      <c r="P27" s="26"/>
      <c r="Q27" s="151" t="s">
        <v>1823</v>
      </c>
      <c r="R27" s="21"/>
      <c r="S27" s="21"/>
      <c r="T27" s="21"/>
      <c r="U27" s="21"/>
      <c r="V27" s="21"/>
      <c r="W27" s="21"/>
    </row>
    <row r="28" spans="2:23">
      <c r="B28" s="48" t="s">
        <v>1932</v>
      </c>
      <c r="C28" s="25"/>
      <c r="D28" s="26"/>
      <c r="E28" s="26"/>
      <c r="F28" s="26"/>
      <c r="G28" s="26"/>
      <c r="H28" s="26"/>
      <c r="I28" s="26"/>
      <c r="J28" s="26"/>
      <c r="K28" s="26"/>
      <c r="L28" s="26"/>
      <c r="M28" s="26"/>
      <c r="N28" s="26"/>
      <c r="O28" s="26"/>
      <c r="P28" s="26"/>
      <c r="Q28" s="151"/>
      <c r="R28" s="21"/>
      <c r="S28" s="21"/>
      <c r="T28" s="21"/>
      <c r="U28" s="21"/>
      <c r="V28" s="21"/>
      <c r="W28" s="21"/>
    </row>
    <row r="29" spans="2:23">
      <c r="B29" s="50" t="s">
        <v>730</v>
      </c>
      <c r="C29" s="52">
        <f ca="1">C37/C45</f>
        <v>931.58000000000015</v>
      </c>
      <c r="D29" s="52">
        <f t="shared" ref="C29:E31" ca="1" si="8">D37/D45</f>
        <v>1393.4029999999998</v>
      </c>
      <c r="E29" s="52">
        <f t="shared" ca="1" si="8"/>
        <v>2211.1579999999999</v>
      </c>
      <c r="F29" s="52">
        <f>F13*F5</f>
        <v>3437.7400000000002</v>
      </c>
      <c r="G29" s="52">
        <f>G13*G5</f>
        <v>3857.1645020000001</v>
      </c>
      <c r="H29" s="52">
        <f t="shared" ref="H29:I31" si="9">H37/H45</f>
        <v>4925</v>
      </c>
      <c r="I29" s="52">
        <f t="shared" si="9"/>
        <v>7142.8571428571422</v>
      </c>
      <c r="J29" s="52">
        <f t="shared" ref="J29:O29" si="10">J13*J5</f>
        <v>9278.5975181001922</v>
      </c>
      <c r="K29" s="52">
        <f t="shared" si="10"/>
        <v>11384.736059180957</v>
      </c>
      <c r="L29" s="52">
        <f t="shared" si="10"/>
        <v>13507.161353413901</v>
      </c>
      <c r="M29" s="52">
        <f t="shared" si="10"/>
        <v>15645.968403106403</v>
      </c>
      <c r="N29" s="52">
        <f t="shared" si="10"/>
        <v>17382.399699065561</v>
      </c>
      <c r="O29" s="52">
        <f t="shared" si="10"/>
        <v>18711.650652438319</v>
      </c>
      <c r="P29" s="52">
        <f t="shared" ref="P29:Q31" si="11">P13*P5</f>
        <v>20051.005376947964</v>
      </c>
      <c r="Q29" s="153">
        <f t="shared" si="11"/>
        <v>0</v>
      </c>
      <c r="R29" s="21"/>
      <c r="S29" s="21"/>
      <c r="T29" s="21"/>
      <c r="U29" s="21"/>
      <c r="V29" s="21"/>
      <c r="W29" s="21"/>
    </row>
    <row r="30" spans="2:23">
      <c r="B30" s="50" t="s">
        <v>738</v>
      </c>
      <c r="C30" s="52">
        <f t="shared" si="8"/>
        <v>650.52800000000002</v>
      </c>
      <c r="D30" s="52">
        <f t="shared" si="8"/>
        <v>863.822</v>
      </c>
      <c r="E30" s="52">
        <f>E38/E46</f>
        <v>1219.4079999999999</v>
      </c>
      <c r="F30" s="52">
        <f>F14*F6</f>
        <v>1152.158441</v>
      </c>
      <c r="G30" s="52">
        <f>G14*G6</f>
        <v>1539.45</v>
      </c>
      <c r="H30" s="52">
        <f t="shared" si="9"/>
        <v>2395.6521739130435</v>
      </c>
      <c r="I30" s="52">
        <f t="shared" si="9"/>
        <v>3854.545454545454</v>
      </c>
      <c r="J30" s="52">
        <f t="shared" ref="J30:O30" si="12">J14*J6</f>
        <v>5270.7312312614986</v>
      </c>
      <c r="K30" s="52">
        <f t="shared" si="12"/>
        <v>6467.4008990510183</v>
      </c>
      <c r="L30" s="52">
        <f t="shared" si="12"/>
        <v>7394.9555359929145</v>
      </c>
      <c r="M30" s="52">
        <f t="shared" si="12"/>
        <v>8192.2187422498446</v>
      </c>
      <c r="N30" s="52">
        <f t="shared" si="12"/>
        <v>9003.0874791501428</v>
      </c>
      <c r="O30" s="52">
        <f t="shared" si="12"/>
        <v>9678.835610679469</v>
      </c>
      <c r="P30" s="52">
        <f t="shared" si="11"/>
        <v>10365.898924390794</v>
      </c>
      <c r="Q30" s="153" t="e">
        <f t="shared" si="11"/>
        <v>#REF!</v>
      </c>
      <c r="R30" s="21"/>
      <c r="S30" s="21"/>
      <c r="T30" s="21"/>
      <c r="U30" s="21"/>
      <c r="V30" s="21"/>
      <c r="W30" s="21"/>
    </row>
    <row r="31" spans="2:23">
      <c r="B31" s="50" t="s">
        <v>739</v>
      </c>
      <c r="C31" s="52">
        <f t="shared" si="8"/>
        <v>0</v>
      </c>
      <c r="D31" s="52">
        <f t="shared" si="8"/>
        <v>49.64</v>
      </c>
      <c r="E31" s="52">
        <f t="shared" si="8"/>
        <v>115.18571428571428</v>
      </c>
      <c r="F31" s="52">
        <f>F15*F7</f>
        <v>490.37303699999995</v>
      </c>
      <c r="G31" s="52">
        <f t="shared" ref="G31:N31" si="13">G15*G7</f>
        <v>652.20000000000005</v>
      </c>
      <c r="H31" s="52">
        <f t="shared" si="9"/>
        <v>873.33333333333337</v>
      </c>
      <c r="I31" s="52">
        <f t="shared" si="9"/>
        <v>1165</v>
      </c>
      <c r="J31" s="52">
        <f t="shared" si="13"/>
        <v>1669.7017894762496</v>
      </c>
      <c r="K31" s="52">
        <f t="shared" si="13"/>
        <v>2365.5166162046867</v>
      </c>
      <c r="L31" s="52">
        <f t="shared" si="13"/>
        <v>3077.7229797021419</v>
      </c>
      <c r="M31" s="52">
        <f t="shared" si="13"/>
        <v>3529.7686718841933</v>
      </c>
      <c r="N31" s="52">
        <f t="shared" si="13"/>
        <v>3782.064078543398</v>
      </c>
      <c r="O31" s="52">
        <f>O15*O7</f>
        <v>3898.1349247316575</v>
      </c>
      <c r="P31" s="52">
        <f t="shared" si="11"/>
        <v>4016.4397759382405</v>
      </c>
      <c r="Q31" s="153" t="e">
        <f t="shared" si="11"/>
        <v>#REF!</v>
      </c>
      <c r="R31" s="21"/>
      <c r="S31" s="21"/>
      <c r="T31" s="21"/>
      <c r="U31" s="21"/>
      <c r="V31" s="21"/>
      <c r="W31" s="21"/>
    </row>
    <row r="32" spans="2:23">
      <c r="B32" s="50"/>
      <c r="C32" s="52"/>
      <c r="D32" s="52"/>
      <c r="E32" s="52"/>
      <c r="F32" s="52"/>
      <c r="G32" s="52"/>
      <c r="H32" s="52"/>
      <c r="I32" s="52"/>
      <c r="J32" s="52"/>
      <c r="K32" s="52"/>
      <c r="L32" s="52"/>
      <c r="M32" s="52"/>
      <c r="N32" s="52"/>
      <c r="O32" s="52"/>
      <c r="P32" s="52"/>
      <c r="Q32" s="21"/>
      <c r="R32" s="21"/>
      <c r="S32" s="21"/>
      <c r="T32" s="21"/>
      <c r="U32" s="21"/>
      <c r="V32" s="21"/>
      <c r="W32" s="21"/>
    </row>
    <row r="33" spans="2:23">
      <c r="B33" s="57"/>
      <c r="C33" s="61"/>
      <c r="D33" s="61"/>
      <c r="E33" s="61"/>
      <c r="F33" s="61"/>
      <c r="G33" s="61"/>
      <c r="H33" s="61"/>
      <c r="I33" s="61"/>
      <c r="J33" s="61"/>
      <c r="K33" s="61"/>
      <c r="L33" s="61"/>
      <c r="M33" s="61"/>
      <c r="N33" s="61"/>
      <c r="O33" s="61"/>
      <c r="P33" s="61"/>
      <c r="Q33" s="21"/>
      <c r="R33" s="21"/>
      <c r="S33" s="21"/>
      <c r="T33" s="21"/>
      <c r="U33" s="21"/>
      <c r="V33" s="21"/>
      <c r="W33" s="21"/>
    </row>
    <row r="34" spans="2:23">
      <c r="B34" s="50" t="s">
        <v>2355</v>
      </c>
      <c r="C34" s="52"/>
      <c r="D34" s="52">
        <f ca="1">SUM(D29:D31)</f>
        <v>2306.8649999999998</v>
      </c>
      <c r="E34" s="52">
        <f ca="1">SUM(E29:E31)</f>
        <v>3545.7517142857141</v>
      </c>
      <c r="F34" s="52">
        <f>SUM(F30:F31)</f>
        <v>1642.5314779999999</v>
      </c>
      <c r="G34" s="52">
        <f t="shared" ref="G34:O34" si="14">SUM(G29:G31)</f>
        <v>6048.8145020000002</v>
      </c>
      <c r="H34" s="52">
        <f>SUM(H29:H31)</f>
        <v>8193.9855072463779</v>
      </c>
      <c r="I34" s="52">
        <f>SUM(I29:I31)</f>
        <v>12162.402597402597</v>
      </c>
      <c r="J34" s="52">
        <f t="shared" si="14"/>
        <v>16219.030538837942</v>
      </c>
      <c r="K34" s="52">
        <f t="shared" si="14"/>
        <v>20217.653574436663</v>
      </c>
      <c r="L34" s="52">
        <f t="shared" si="14"/>
        <v>23979.839869108961</v>
      </c>
      <c r="M34" s="52">
        <f t="shared" si="14"/>
        <v>27367.955817240443</v>
      </c>
      <c r="N34" s="52">
        <f t="shared" si="14"/>
        <v>30167.551256759103</v>
      </c>
      <c r="O34" s="52">
        <f t="shared" si="14"/>
        <v>32288.621187849447</v>
      </c>
      <c r="P34" s="52">
        <f>SUM(P29:P31)</f>
        <v>34433.344077276997</v>
      </c>
      <c r="Q34" s="153" t="e">
        <f>SUM(Q30:Q33)</f>
        <v>#REF!</v>
      </c>
      <c r="R34" s="52"/>
      <c r="S34" s="52"/>
      <c r="T34" s="21"/>
      <c r="U34" s="21"/>
      <c r="V34" s="21"/>
      <c r="W34" s="21"/>
    </row>
    <row r="35" spans="2:23">
      <c r="B35" s="50"/>
      <c r="C35" s="25"/>
      <c r="D35" s="26"/>
      <c r="E35" s="26"/>
      <c r="F35" s="26"/>
      <c r="G35" s="26"/>
      <c r="H35" s="26"/>
      <c r="I35" s="26"/>
      <c r="J35" s="26"/>
      <c r="K35" s="26"/>
      <c r="L35" s="26"/>
      <c r="M35" s="26"/>
      <c r="N35" s="26"/>
      <c r="O35" s="26"/>
      <c r="P35" s="26"/>
      <c r="Q35" s="21"/>
      <c r="R35" s="21"/>
      <c r="S35" s="21"/>
      <c r="T35" s="21"/>
      <c r="U35" s="21"/>
      <c r="V35" s="21"/>
      <c r="W35" s="21"/>
    </row>
    <row r="36" spans="2:23">
      <c r="B36" s="48" t="s">
        <v>365</v>
      </c>
      <c r="C36" s="25"/>
      <c r="D36" s="26"/>
      <c r="E36" s="26"/>
      <c r="F36" s="26" t="s">
        <v>1823</v>
      </c>
      <c r="G36" s="26"/>
      <c r="H36" s="26"/>
      <c r="I36" s="26"/>
      <c r="J36" s="26"/>
      <c r="K36" s="26"/>
      <c r="L36" s="26"/>
      <c r="M36" s="26"/>
      <c r="N36" s="26"/>
      <c r="O36" s="26"/>
      <c r="P36" s="26"/>
      <c r="Q36" s="21"/>
      <c r="R36" s="21"/>
      <c r="S36" s="21"/>
      <c r="T36" s="21"/>
      <c r="U36" s="21"/>
      <c r="V36" s="21"/>
      <c r="W36" s="21"/>
    </row>
    <row r="37" spans="2:23">
      <c r="B37" s="50" t="s">
        <v>730</v>
      </c>
      <c r="C37" s="51">
        <v>266.37200000000001</v>
      </c>
      <c r="D37" s="51">
        <v>368.10199999999998</v>
      </c>
      <c r="E37" s="51">
        <v>442.54599999999999</v>
      </c>
      <c r="F37" s="51">
        <v>579.42999999999995</v>
      </c>
      <c r="G37" s="51">
        <v>863</v>
      </c>
      <c r="H37" s="51">
        <v>1182</v>
      </c>
      <c r="I37" s="51">
        <v>2000</v>
      </c>
      <c r="J37" s="52">
        <f t="shared" ref="J37:O37" si="15">J29*J45</f>
        <v>2412.43535470605</v>
      </c>
      <c r="K37" s="52">
        <f t="shared" si="15"/>
        <v>2846.1840147952394</v>
      </c>
      <c r="L37" s="52">
        <f t="shared" si="15"/>
        <v>3376.7903383534754</v>
      </c>
      <c r="M37" s="52">
        <f t="shared" si="15"/>
        <v>3911.4921007766006</v>
      </c>
      <c r="N37" s="52">
        <f t="shared" si="15"/>
        <v>4345.5999247663904</v>
      </c>
      <c r="O37" s="52">
        <f t="shared" si="15"/>
        <v>4677.9126631095796</v>
      </c>
      <c r="P37" s="52">
        <f>P29*P45</f>
        <v>5012.7513442369909</v>
      </c>
      <c r="Q37" s="21"/>
      <c r="R37" s="21"/>
      <c r="S37" s="21"/>
      <c r="T37" s="21"/>
      <c r="U37" s="21"/>
      <c r="V37" s="21"/>
      <c r="W37" s="21"/>
    </row>
    <row r="38" spans="2:23">
      <c r="B38" s="50" t="s">
        <v>738</v>
      </c>
      <c r="C38" s="51">
        <f>Quarts!F118</f>
        <v>325.26400000000001</v>
      </c>
      <c r="D38" s="51">
        <f>Quarts!J118</f>
        <v>431.911</v>
      </c>
      <c r="E38" s="51">
        <f>Quarts!N118</f>
        <v>609.70399999999995</v>
      </c>
      <c r="F38" s="51">
        <f>Quarts!R118</f>
        <v>773.60799999999995</v>
      </c>
      <c r="G38" s="51">
        <v>1075</v>
      </c>
      <c r="H38" s="51">
        <v>1653</v>
      </c>
      <c r="I38" s="51">
        <v>2120</v>
      </c>
      <c r="J38" s="52">
        <f t="shared" ref="J38:O38" si="16">J30*J46</f>
        <v>2371.8290540676744</v>
      </c>
      <c r="K38" s="52">
        <f>K30*K46</f>
        <v>2910.3304045729583</v>
      </c>
      <c r="L38" s="52">
        <f t="shared" si="16"/>
        <v>3327.7299911968116</v>
      </c>
      <c r="M38" s="52">
        <f t="shared" si="16"/>
        <v>3686.4984340124302</v>
      </c>
      <c r="N38" s="52">
        <f t="shared" si="16"/>
        <v>4051.3893656175642</v>
      </c>
      <c r="O38" s="52">
        <f t="shared" si="16"/>
        <v>4355.476024805761</v>
      </c>
      <c r="P38" s="52">
        <f>P30*P46</f>
        <v>4664.654515975858</v>
      </c>
      <c r="Q38" s="2"/>
      <c r="R38" s="21"/>
      <c r="S38" s="21"/>
      <c r="T38" s="21"/>
      <c r="U38" s="21"/>
      <c r="V38" s="21"/>
      <c r="W38" s="21"/>
    </row>
    <row r="39" spans="2:23">
      <c r="B39" s="50" t="s">
        <v>739</v>
      </c>
      <c r="C39" s="51">
        <f>Quarts!F119</f>
        <v>0</v>
      </c>
      <c r="D39" s="51">
        <f>Quarts!J119</f>
        <v>17.373999999999999</v>
      </c>
      <c r="E39" s="51">
        <f>Quarts!N119</f>
        <v>40.314999999999998</v>
      </c>
      <c r="F39" s="51">
        <f>Quarts!R119</f>
        <v>76.727999999999994</v>
      </c>
      <c r="G39" s="51">
        <v>87</v>
      </c>
      <c r="H39" s="51">
        <v>131</v>
      </c>
      <c r="I39" s="51">
        <v>233</v>
      </c>
      <c r="J39" s="52">
        <f t="shared" ref="J39:O39" si="17">J31*J47</f>
        <v>367.33439368477491</v>
      </c>
      <c r="K39" s="52">
        <f t="shared" si="17"/>
        <v>567.72398788912483</v>
      </c>
      <c r="L39" s="52">
        <f t="shared" si="17"/>
        <v>769.43074492553546</v>
      </c>
      <c r="M39" s="52">
        <f t="shared" si="17"/>
        <v>882.44216797104832</v>
      </c>
      <c r="N39" s="52">
        <f t="shared" si="17"/>
        <v>945.51601963584949</v>
      </c>
      <c r="O39" s="52">
        <f t="shared" si="17"/>
        <v>974.53373118291438</v>
      </c>
      <c r="P39" s="52">
        <f>P31*P47</f>
        <v>1004.1099439845601</v>
      </c>
      <c r="Q39" s="21"/>
      <c r="R39" s="21"/>
      <c r="S39" s="21"/>
      <c r="T39" s="21"/>
      <c r="U39" s="21"/>
      <c r="V39" s="21"/>
      <c r="W39" s="21"/>
    </row>
    <row r="40" spans="2:23">
      <c r="B40" s="50"/>
      <c r="C40" s="51"/>
      <c r="D40" s="51"/>
      <c r="E40" s="51"/>
      <c r="F40" s="52"/>
      <c r="G40" s="52"/>
      <c r="H40" s="52"/>
      <c r="I40" s="52"/>
      <c r="J40" s="52"/>
      <c r="K40" s="52"/>
      <c r="L40" s="52"/>
      <c r="M40" s="52"/>
      <c r="N40" s="52"/>
      <c r="O40" s="52"/>
      <c r="P40" s="52"/>
      <c r="Q40" s="21"/>
      <c r="R40" s="21"/>
      <c r="S40" s="21"/>
      <c r="T40" s="21"/>
      <c r="U40" s="21"/>
      <c r="V40" s="21"/>
      <c r="W40" s="21"/>
    </row>
    <row r="41" spans="2:23">
      <c r="B41" s="57"/>
      <c r="C41" s="58"/>
      <c r="D41" s="58"/>
      <c r="E41" s="58"/>
      <c r="F41" s="61"/>
      <c r="G41" s="61"/>
      <c r="H41" s="61"/>
      <c r="I41" s="61"/>
      <c r="J41" s="61"/>
      <c r="K41" s="61"/>
      <c r="L41" s="61"/>
      <c r="M41" s="61"/>
      <c r="N41" s="61"/>
      <c r="O41" s="61"/>
      <c r="P41" s="61"/>
      <c r="Q41" s="21"/>
      <c r="R41" s="21"/>
      <c r="S41" s="21"/>
      <c r="T41" s="21"/>
      <c r="U41" s="21"/>
      <c r="V41" s="21"/>
      <c r="W41" s="21"/>
    </row>
    <row r="42" spans="2:23">
      <c r="B42" s="50" t="s">
        <v>1086</v>
      </c>
      <c r="C42" s="51">
        <f>Quarts!F120</f>
        <v>325.26400000000001</v>
      </c>
      <c r="D42" s="51">
        <f>Quarts!J120</f>
        <v>449.28500000000003</v>
      </c>
      <c r="E42" s="51">
        <f>Quarts!N120</f>
        <v>650.01900000000001</v>
      </c>
      <c r="F42" s="51">
        <f>SUM(F38:F39)</f>
        <v>850.3359999999999</v>
      </c>
      <c r="G42" s="51">
        <f>SUM(G38:G39)</f>
        <v>1162</v>
      </c>
      <c r="H42" s="51">
        <f>SUM(H37:H39)</f>
        <v>2966</v>
      </c>
      <c r="I42" s="51">
        <f>SUM(I37:I39)</f>
        <v>4353</v>
      </c>
      <c r="J42" s="52">
        <f t="shared" ref="J42:O42" si="18">SUM(J37:J39)</f>
        <v>5151.5988024584994</v>
      </c>
      <c r="K42" s="52">
        <f t="shared" si="18"/>
        <v>6324.2384072573223</v>
      </c>
      <c r="L42" s="52">
        <f t="shared" si="18"/>
        <v>7473.9510744758227</v>
      </c>
      <c r="M42" s="52">
        <f t="shared" si="18"/>
        <v>8480.4327027600793</v>
      </c>
      <c r="N42" s="52">
        <f t="shared" si="18"/>
        <v>9342.5053100198038</v>
      </c>
      <c r="O42" s="52">
        <f t="shared" si="18"/>
        <v>10007.922419098253</v>
      </c>
      <c r="P42" s="52">
        <f>SUM(P37:P39)</f>
        <v>10681.51580419741</v>
      </c>
      <c r="Q42" s="52"/>
      <c r="R42" s="52"/>
      <c r="S42" s="52"/>
      <c r="T42" s="21"/>
      <c r="U42" s="21"/>
      <c r="V42" s="21"/>
      <c r="W42" s="21"/>
    </row>
    <row r="43" spans="2:23">
      <c r="B43" s="48"/>
      <c r="C43" s="25"/>
      <c r="D43" s="26"/>
      <c r="E43" s="26"/>
      <c r="F43" s="26"/>
      <c r="G43" s="26"/>
      <c r="H43" s="26"/>
      <c r="I43" s="26"/>
      <c r="J43" s="26"/>
      <c r="K43" s="26"/>
      <c r="L43" s="26"/>
      <c r="M43" s="26"/>
      <c r="N43" s="26"/>
      <c r="O43" s="26"/>
      <c r="P43" s="26"/>
      <c r="Q43" s="21"/>
      <c r="R43" s="21"/>
      <c r="S43" s="21"/>
      <c r="T43" s="21"/>
      <c r="U43" s="21"/>
      <c r="V43" s="21"/>
      <c r="W43" s="21"/>
    </row>
    <row r="44" spans="2:23">
      <c r="B44" s="48" t="s">
        <v>1930</v>
      </c>
      <c r="C44" s="25"/>
      <c r="D44" s="26"/>
      <c r="E44" s="26"/>
      <c r="F44" s="26"/>
      <c r="G44" s="26"/>
      <c r="H44" s="26"/>
      <c r="I44" s="26"/>
      <c r="J44" s="26"/>
      <c r="K44" s="26"/>
      <c r="L44" s="26"/>
      <c r="M44" s="26"/>
      <c r="N44" s="26"/>
      <c r="O44" s="26"/>
      <c r="P44" s="26"/>
      <c r="Q44" s="21"/>
      <c r="R44" s="21"/>
      <c r="S44" s="21"/>
      <c r="T44" s="21"/>
      <c r="U44" s="21"/>
      <c r="V44" s="21"/>
      <c r="W44" s="21"/>
    </row>
    <row r="45" spans="2:23">
      <c r="B45" s="50" t="s">
        <v>730</v>
      </c>
      <c r="C45" s="53">
        <f ca="1">C37/C29</f>
        <v>0.28593572210652868</v>
      </c>
      <c r="D45" s="53">
        <f ca="1">D37/D29</f>
        <v>0.26417482953603516</v>
      </c>
      <c r="E45" s="53">
        <f ca="1">E37/E29</f>
        <v>0.20014218793953215</v>
      </c>
      <c r="F45" s="53">
        <f>F37/F29</f>
        <v>0.1685496867127822</v>
      </c>
      <c r="G45" s="53">
        <f>G37/G29</f>
        <v>0.22373948519761627</v>
      </c>
      <c r="H45" s="54">
        <v>0.24</v>
      </c>
      <c r="I45" s="54">
        <v>0.28000000000000003</v>
      </c>
      <c r="J45" s="68">
        <v>0.26</v>
      </c>
      <c r="K45" s="68">
        <v>0.25</v>
      </c>
      <c r="L45" s="68">
        <v>0.25</v>
      </c>
      <c r="M45" s="68">
        <v>0.25</v>
      </c>
      <c r="N45" s="68">
        <v>0.25</v>
      </c>
      <c r="O45" s="68">
        <v>0.25</v>
      </c>
      <c r="P45" s="68">
        <v>0.25</v>
      </c>
      <c r="Q45" s="21"/>
      <c r="R45" s="21"/>
      <c r="S45" s="21"/>
      <c r="T45" s="21"/>
      <c r="U45" s="21"/>
      <c r="V45" s="21"/>
      <c r="W45" s="21"/>
    </row>
    <row r="46" spans="2:23">
      <c r="B46" s="50" t="s">
        <v>738</v>
      </c>
      <c r="C46" s="59">
        <v>0.5</v>
      </c>
      <c r="D46" s="59">
        <v>0.5</v>
      </c>
      <c r="E46" s="59">
        <v>0.5</v>
      </c>
      <c r="F46" s="171">
        <f>F38/F30</f>
        <v>0.67144237499883919</v>
      </c>
      <c r="G46" s="171">
        <f>G38/G30</f>
        <v>0.69830134138815814</v>
      </c>
      <c r="H46" s="263">
        <v>0.69</v>
      </c>
      <c r="I46" s="263">
        <v>0.55000000000000004</v>
      </c>
      <c r="J46" s="65">
        <v>0.45</v>
      </c>
      <c r="K46" s="65">
        <v>0.45</v>
      </c>
      <c r="L46" s="65">
        <v>0.45</v>
      </c>
      <c r="M46" s="65">
        <v>0.45</v>
      </c>
      <c r="N46" s="65">
        <v>0.45</v>
      </c>
      <c r="O46" s="65">
        <v>0.45</v>
      </c>
      <c r="P46" s="65">
        <v>0.45</v>
      </c>
      <c r="Q46" s="21"/>
      <c r="R46" s="21"/>
      <c r="S46" s="21"/>
      <c r="T46" s="21"/>
      <c r="U46" s="21"/>
      <c r="V46" s="21"/>
      <c r="W46" s="21"/>
    </row>
    <row r="47" spans="2:23">
      <c r="B47" s="50" t="s">
        <v>739</v>
      </c>
      <c r="C47" s="59">
        <v>0.35</v>
      </c>
      <c r="D47" s="59">
        <v>0.35</v>
      </c>
      <c r="E47" s="59">
        <v>0.35</v>
      </c>
      <c r="F47" s="171">
        <f>F39/F31</f>
        <v>0.15646863552981197</v>
      </c>
      <c r="G47" s="171">
        <f>G39/G31</f>
        <v>0.13339466421343146</v>
      </c>
      <c r="H47" s="263">
        <v>0.15</v>
      </c>
      <c r="I47" s="263">
        <v>0.2</v>
      </c>
      <c r="J47" s="65">
        <v>0.22</v>
      </c>
      <c r="K47" s="65">
        <v>0.24</v>
      </c>
      <c r="L47" s="65">
        <v>0.25</v>
      </c>
      <c r="M47" s="65">
        <v>0.25</v>
      </c>
      <c r="N47" s="65">
        <v>0.25</v>
      </c>
      <c r="O47" s="65">
        <v>0.25</v>
      </c>
      <c r="P47" s="65">
        <v>0.25</v>
      </c>
      <c r="Q47" s="21"/>
      <c r="R47" s="21"/>
      <c r="S47" s="21"/>
      <c r="T47" s="21"/>
      <c r="U47" s="21"/>
      <c r="V47" s="21"/>
      <c r="W47" s="21"/>
    </row>
    <row r="48" spans="2:23">
      <c r="B48" s="50"/>
      <c r="C48" s="59"/>
      <c r="D48" s="59"/>
      <c r="E48" s="59"/>
      <c r="F48" s="65"/>
      <c r="G48" s="65"/>
      <c r="H48" s="65"/>
      <c r="I48" s="65"/>
      <c r="J48" s="65"/>
      <c r="K48" s="65"/>
      <c r="L48" s="65"/>
      <c r="M48" s="65"/>
      <c r="N48" s="65"/>
      <c r="O48" s="65"/>
      <c r="P48" s="65"/>
      <c r="Q48" s="21"/>
      <c r="R48" s="21"/>
      <c r="S48" s="21"/>
      <c r="T48" s="21"/>
      <c r="U48" s="21"/>
      <c r="V48" s="21"/>
      <c r="W48" s="21"/>
    </row>
    <row r="49" spans="2:27">
      <c r="B49" s="57"/>
      <c r="C49" s="60"/>
      <c r="D49" s="60"/>
      <c r="E49" s="60"/>
      <c r="F49" s="66"/>
      <c r="G49" s="66"/>
      <c r="H49" s="66"/>
      <c r="I49" s="66"/>
      <c r="J49" s="66"/>
      <c r="K49" s="66"/>
      <c r="L49" s="66"/>
      <c r="M49" s="66"/>
      <c r="N49" s="66"/>
      <c r="O49" s="66"/>
      <c r="P49" s="66"/>
      <c r="Q49" s="21"/>
      <c r="R49" s="21"/>
      <c r="S49" s="21"/>
      <c r="T49" s="21"/>
      <c r="U49" s="21"/>
      <c r="V49" s="21"/>
      <c r="W49" s="21"/>
    </row>
    <row r="50" spans="2:27">
      <c r="B50" s="50" t="s">
        <v>2355</v>
      </c>
      <c r="C50" s="55"/>
      <c r="D50" s="55">
        <f t="shared" ref="D50:I50" ca="1" si="19">D42/D34</f>
        <v>0.19475998812240858</v>
      </c>
      <c r="E50" s="55">
        <f t="shared" ca="1" si="19"/>
        <v>0.18332332672394838</v>
      </c>
      <c r="F50" s="55">
        <f t="shared" si="19"/>
        <v>0.51769844985582669</v>
      </c>
      <c r="G50" s="55">
        <f t="shared" si="19"/>
        <v>0.19210375844982391</v>
      </c>
      <c r="H50" s="55">
        <f t="shared" si="19"/>
        <v>0.36197281498447953</v>
      </c>
      <c r="I50" s="55">
        <f t="shared" si="19"/>
        <v>0.35790625784165597</v>
      </c>
      <c r="J50" s="55">
        <f t="shared" ref="J50:O50" si="20">J42/J34</f>
        <v>0.31762680205345989</v>
      </c>
      <c r="K50" s="55">
        <f t="shared" si="20"/>
        <v>0.31280773428889552</v>
      </c>
      <c r="L50" s="55">
        <f t="shared" si="20"/>
        <v>0.31167643801090733</v>
      </c>
      <c r="M50" s="55">
        <f t="shared" si="20"/>
        <v>0.30986723156786999</v>
      </c>
      <c r="N50" s="55">
        <f t="shared" si="20"/>
        <v>0.30968722752817385</v>
      </c>
      <c r="O50" s="55">
        <f t="shared" si="20"/>
        <v>0.30995199085380398</v>
      </c>
      <c r="P50" s="55">
        <f>P42/P34</f>
        <v>0.31020849384321864</v>
      </c>
      <c r="Q50" s="16"/>
      <c r="R50" s="16"/>
      <c r="S50" s="16"/>
      <c r="T50" s="21"/>
      <c r="U50" s="21"/>
      <c r="V50" s="21"/>
      <c r="W50" s="21"/>
    </row>
    <row r="51" spans="2:27">
      <c r="B51" s="50"/>
      <c r="C51" s="25"/>
      <c r="D51" s="26"/>
      <c r="E51" s="26"/>
      <c r="F51" s="26"/>
      <c r="G51" s="26"/>
      <c r="H51" s="26"/>
      <c r="I51" s="26"/>
      <c r="J51" s="26"/>
      <c r="K51" s="26"/>
      <c r="L51" s="26"/>
      <c r="M51" s="26"/>
      <c r="N51" s="26"/>
      <c r="O51" s="26"/>
      <c r="P51" s="26"/>
      <c r="Q51" s="21"/>
      <c r="R51" s="21"/>
      <c r="S51" s="21"/>
      <c r="T51" s="21"/>
      <c r="U51" s="21"/>
      <c r="V51" s="21"/>
      <c r="W51" s="21"/>
    </row>
    <row r="52" spans="2:27">
      <c r="B52" s="48"/>
      <c r="C52" s="25"/>
      <c r="D52" s="26"/>
      <c r="E52" s="26"/>
      <c r="F52" s="26"/>
      <c r="G52" s="26"/>
      <c r="H52" s="26"/>
      <c r="I52" s="26"/>
      <c r="J52" s="26"/>
      <c r="K52" s="26"/>
      <c r="L52" s="26"/>
      <c r="M52" s="26"/>
      <c r="N52" s="26"/>
      <c r="O52" s="26"/>
      <c r="P52" s="26"/>
      <c r="Q52" s="21"/>
      <c r="R52" s="21"/>
      <c r="S52" s="21"/>
      <c r="T52" s="21"/>
      <c r="U52" s="21"/>
      <c r="V52" s="21"/>
      <c r="W52" s="21"/>
    </row>
    <row r="53" spans="2:27">
      <c r="B53" s="48" t="s">
        <v>359</v>
      </c>
      <c r="C53" s="71"/>
      <c r="D53" s="71">
        <f>SUM(Quarts!G210:J210)</f>
        <v>175.154</v>
      </c>
      <c r="E53" s="71">
        <f>SUM(Quarts!K210:N210)</f>
        <v>231.80199999999999</v>
      </c>
      <c r="F53" s="71">
        <f>SUM(Quarts!O210:R210)</f>
        <v>161.523</v>
      </c>
      <c r="G53" s="71">
        <f>SUM(Quarts!S210:V210)</f>
        <v>109.04900000000001</v>
      </c>
      <c r="H53" s="71">
        <f>SUM(Quarts!X212:AA212)</f>
        <v>194.75800000000001</v>
      </c>
      <c r="I53" s="71">
        <f>SUM(Quarts!AC212:AF212)</f>
        <v>261.14600000000002</v>
      </c>
      <c r="J53" s="72">
        <f t="shared" ref="J53:P53" si="21">J56*AVERAGE(I42:J42)*12/1000</f>
        <v>271.30350691261947</v>
      </c>
      <c r="K53" s="72">
        <f t="shared" si="21"/>
        <v>294.81427359711466</v>
      </c>
      <c r="L53" s="72">
        <f t="shared" si="21"/>
        <v>319.02795597445709</v>
      </c>
      <c r="M53" s="72">
        <f t="shared" si="21"/>
        <v>343.0596340469433</v>
      </c>
      <c r="N53" s="72">
        <f t="shared" si="21"/>
        <v>360.24398290881737</v>
      </c>
      <c r="O53" s="72">
        <f t="shared" si="21"/>
        <v>371.56227517437657</v>
      </c>
      <c r="P53" s="72">
        <f t="shared" si="21"/>
        <v>377.40995205091156</v>
      </c>
      <c r="Q53" s="72"/>
      <c r="R53" s="72"/>
      <c r="S53" s="72"/>
      <c r="T53" s="21"/>
      <c r="U53" s="72"/>
      <c r="V53" s="72"/>
      <c r="W53" s="72"/>
    </row>
    <row r="54" spans="2:27">
      <c r="B54" s="50" t="s">
        <v>2353</v>
      </c>
      <c r="C54" s="4"/>
      <c r="D54" s="4"/>
      <c r="E54" s="36">
        <f>E53/D53-1</f>
        <v>0.32341824908366346</v>
      </c>
      <c r="F54" s="36">
        <f t="shared" ref="F54:P54" si="22">F53/E53-1</f>
        <v>-0.30318547726076561</v>
      </c>
      <c r="G54" s="36">
        <f t="shared" si="22"/>
        <v>-0.32487014233267086</v>
      </c>
      <c r="H54" s="36">
        <f t="shared" si="22"/>
        <v>0.78596777595392897</v>
      </c>
      <c r="I54" s="36">
        <f t="shared" si="22"/>
        <v>0.34087431581757865</v>
      </c>
      <c r="J54" s="36">
        <f t="shared" si="22"/>
        <v>3.8895893150266314E-2</v>
      </c>
      <c r="K54" s="36">
        <f t="shared" si="22"/>
        <v>8.6658543238320451E-2</v>
      </c>
      <c r="L54" s="36">
        <f t="shared" si="22"/>
        <v>8.2131987986552524E-2</v>
      </c>
      <c r="M54" s="36">
        <f t="shared" si="22"/>
        <v>7.5327812570790131E-2</v>
      </c>
      <c r="N54" s="36">
        <f t="shared" si="22"/>
        <v>5.0091433548030251E-2</v>
      </c>
      <c r="O54" s="36">
        <f t="shared" si="22"/>
        <v>3.1418407530831693E-2</v>
      </c>
      <c r="P54" s="36">
        <f t="shared" si="22"/>
        <v>1.5738080174556579E-2</v>
      </c>
      <c r="Q54" s="72"/>
      <c r="R54" s="72"/>
      <c r="S54" s="72"/>
      <c r="T54" s="21"/>
      <c r="U54" s="72"/>
      <c r="V54" s="72"/>
      <c r="W54" s="72"/>
    </row>
    <row r="55" spans="2:27">
      <c r="B55" s="50"/>
      <c r="C55" s="4"/>
      <c r="D55" s="4"/>
      <c r="E55" s="36"/>
      <c r="F55" s="4"/>
      <c r="G55" s="4" t="s">
        <v>1823</v>
      </c>
      <c r="H55" s="4"/>
      <c r="I55" s="4"/>
      <c r="J55" s="4"/>
      <c r="K55" s="4"/>
      <c r="L55" s="4"/>
      <c r="M55" s="4"/>
      <c r="N55" s="4"/>
      <c r="O55" s="4"/>
      <c r="P55" s="4"/>
      <c r="Q55" s="21"/>
      <c r="R55" s="21"/>
      <c r="S55" s="21"/>
      <c r="T55" s="21"/>
      <c r="U55" s="21"/>
      <c r="V55" s="21"/>
      <c r="W55" s="21"/>
    </row>
    <row r="56" spans="2:27">
      <c r="B56" s="50" t="s">
        <v>366</v>
      </c>
      <c r="C56" s="4"/>
      <c r="D56" s="56">
        <f t="shared" ref="D56:I56" si="23">D53/AVERAGE(C42:D42)*1000/12</f>
        <v>37.68945971569692</v>
      </c>
      <c r="E56" s="56">
        <f t="shared" si="23"/>
        <v>35.143751561594122</v>
      </c>
      <c r="F56" s="56">
        <f t="shared" si="23"/>
        <v>17.942753548326895</v>
      </c>
      <c r="G56" s="56">
        <f t="shared" si="23"/>
        <v>9.0317090850302026</v>
      </c>
      <c r="H56" s="56">
        <f t="shared" si="23"/>
        <v>7.8632913436692506</v>
      </c>
      <c r="I56" s="56">
        <f t="shared" si="23"/>
        <v>5.9467595755339984</v>
      </c>
      <c r="J56" s="67">
        <f t="shared" ref="J56:O56" si="24">I56*(1+J57)</f>
        <v>4.7574076604271989</v>
      </c>
      <c r="K56" s="67">
        <f t="shared" si="24"/>
        <v>4.2816668943844789</v>
      </c>
      <c r="L56" s="67">
        <f t="shared" si="24"/>
        <v>3.8535002049460312</v>
      </c>
      <c r="M56" s="67">
        <f t="shared" si="24"/>
        <v>3.5837551905998088</v>
      </c>
      <c r="N56" s="67">
        <f t="shared" si="24"/>
        <v>3.3687298791638201</v>
      </c>
      <c r="O56" s="67">
        <f t="shared" si="24"/>
        <v>3.200293385205629</v>
      </c>
      <c r="P56" s="67">
        <f>O56*(1+P57)</f>
        <v>3.0402787159453473</v>
      </c>
      <c r="Q56" s="195" t="e">
        <f>#REF!</f>
        <v>#REF!</v>
      </c>
      <c r="R56" s="194" t="s">
        <v>1182</v>
      </c>
      <c r="S56" s="190">
        <v>0.15</v>
      </c>
      <c r="T56" s="190">
        <v>-0.08</v>
      </c>
      <c r="U56" s="190">
        <v>-0.03</v>
      </c>
      <c r="V56" s="190">
        <v>0</v>
      </c>
      <c r="W56" s="190">
        <v>0.05</v>
      </c>
      <c r="X56" s="190">
        <v>0.05</v>
      </c>
      <c r="Y56" s="190">
        <v>0.04</v>
      </c>
      <c r="Z56" s="190">
        <v>0.03</v>
      </c>
      <c r="AA56" s="190">
        <v>0.01</v>
      </c>
    </row>
    <row r="57" spans="2:27">
      <c r="B57" s="50" t="s">
        <v>2353</v>
      </c>
      <c r="C57" s="4"/>
      <c r="D57" s="56"/>
      <c r="E57" s="55">
        <f>E56/D56-1</f>
        <v>-6.7544299475393088E-2</v>
      </c>
      <c r="F57" s="55">
        <f>F56/E56-1</f>
        <v>-0.48944683617855023</v>
      </c>
      <c r="G57" s="55">
        <f>G56/F56-1</f>
        <v>-0.49663751103172338</v>
      </c>
      <c r="H57" s="55">
        <f>H56/G56-1</f>
        <v>-0.12936839864534289</v>
      </c>
      <c r="I57" s="55">
        <f>I56/H56-1</f>
        <v>-0.24373149669422534</v>
      </c>
      <c r="J57" s="65">
        <v>-0.2</v>
      </c>
      <c r="K57" s="65">
        <v>-0.1</v>
      </c>
      <c r="L57" s="65">
        <v>-0.1</v>
      </c>
      <c r="M57" s="65">
        <v>-7.0000000000000007E-2</v>
      </c>
      <c r="N57" s="65">
        <v>-0.06</v>
      </c>
      <c r="O57" s="65">
        <v>-0.05</v>
      </c>
      <c r="P57" s="65">
        <v>-0.05</v>
      </c>
      <c r="Q57" s="21"/>
      <c r="R57" s="194" t="s">
        <v>1660</v>
      </c>
      <c r="S57" s="190">
        <v>0.15</v>
      </c>
      <c r="T57" s="190">
        <v>-0.08</v>
      </c>
      <c r="U57" s="190">
        <v>0</v>
      </c>
      <c r="V57" s="190">
        <v>0</v>
      </c>
      <c r="W57" s="190">
        <v>0</v>
      </c>
      <c r="X57" s="190">
        <v>0</v>
      </c>
      <c r="Y57" s="190">
        <v>0</v>
      </c>
      <c r="Z57" s="190">
        <v>0</v>
      </c>
      <c r="AA57" s="190">
        <v>0</v>
      </c>
    </row>
    <row r="58" spans="2:27">
      <c r="B58" s="50"/>
      <c r="C58" s="4"/>
      <c r="D58" s="4"/>
      <c r="E58" s="36"/>
      <c r="F58" s="4"/>
      <c r="G58" s="4"/>
      <c r="H58" s="4"/>
      <c r="I58" s="4"/>
      <c r="J58" s="4"/>
      <c r="K58" s="4"/>
      <c r="L58" s="4"/>
      <c r="M58" s="4"/>
      <c r="N58" s="4"/>
      <c r="O58" s="4"/>
      <c r="P58" s="4"/>
      <c r="Q58" s="21"/>
      <c r="R58" s="194" t="s">
        <v>1056</v>
      </c>
      <c r="S58" s="16">
        <v>0.15</v>
      </c>
      <c r="T58" s="16">
        <v>-0.08</v>
      </c>
      <c r="U58" s="16">
        <v>-0.08</v>
      </c>
      <c r="V58" s="16">
        <v>0</v>
      </c>
      <c r="W58" s="16">
        <v>0.02</v>
      </c>
      <c r="X58" s="16">
        <v>0.02</v>
      </c>
      <c r="Y58" s="16">
        <v>0.02</v>
      </c>
      <c r="Z58" s="16">
        <v>0.02</v>
      </c>
      <c r="AA58" s="16">
        <v>0.02</v>
      </c>
    </row>
    <row r="59" spans="2:27">
      <c r="B59" s="48" t="s">
        <v>360</v>
      </c>
      <c r="C59" s="71"/>
      <c r="D59" s="71">
        <f>SUM(Quarts!G297:J297)</f>
        <v>102.152</v>
      </c>
      <c r="E59" s="71">
        <f>SUM(Quarts!K297:N297)</f>
        <v>141.255</v>
      </c>
      <c r="F59" s="71">
        <f>SUM(Quarts!O297:R297)</f>
        <v>88.679999999999993</v>
      </c>
      <c r="G59" s="71">
        <f>SUM(Quarts!S297:V297)</f>
        <v>41.171999999999997</v>
      </c>
      <c r="H59" s="71">
        <f>SUM(Quarts!X299:AA299)</f>
        <v>81.621000000000009</v>
      </c>
      <c r="I59" s="71">
        <f>SUM(Quarts!AC299:AF299)</f>
        <v>101.44499999999999</v>
      </c>
      <c r="J59" s="72">
        <f t="shared" ref="J59:O59" si="25">J53-J62</f>
        <v>99.169067141929133</v>
      </c>
      <c r="K59" s="72">
        <f t="shared" si="25"/>
        <v>109.84126247433366</v>
      </c>
      <c r="L59" s="72">
        <f t="shared" si="25"/>
        <v>116.6386858104128</v>
      </c>
      <c r="M59" s="72">
        <f t="shared" si="25"/>
        <v>127.76498213357084</v>
      </c>
      <c r="N59" s="72">
        <f t="shared" si="25"/>
        <v>138.97510621743166</v>
      </c>
      <c r="O59" s="72">
        <f t="shared" si="25"/>
        <v>150.54845513383782</v>
      </c>
      <c r="P59" s="72">
        <f>P53-P62</f>
        <v>160.00702468331153</v>
      </c>
      <c r="Q59" s="145"/>
      <c r="R59" s="145"/>
      <c r="S59" s="145"/>
      <c r="T59" s="21"/>
      <c r="U59" s="146"/>
      <c r="V59" s="146"/>
      <c r="W59" s="146"/>
    </row>
    <row r="60" spans="2:27">
      <c r="B60" s="50" t="s">
        <v>361</v>
      </c>
      <c r="C60" s="53"/>
      <c r="D60" s="53">
        <f>D59/D53</f>
        <v>0.58321248729689301</v>
      </c>
      <c r="E60" s="53">
        <f>E59/E53</f>
        <v>0.60937783107997345</v>
      </c>
      <c r="F60" s="53">
        <f t="shared" ref="F60:P60" si="26">F59/F53</f>
        <v>0.54902397800932368</v>
      </c>
      <c r="G60" s="53">
        <f>G59/G53</f>
        <v>0.37755504406276075</v>
      </c>
      <c r="H60" s="53">
        <f>H59/H53</f>
        <v>0.41908933137534787</v>
      </c>
      <c r="I60" s="53">
        <f>I59/I53</f>
        <v>0.38846086097432081</v>
      </c>
      <c r="J60" s="53">
        <f t="shared" si="26"/>
        <v>0.36552814326085797</v>
      </c>
      <c r="K60" s="53">
        <f t="shared" si="26"/>
        <v>0.37257783055795934</v>
      </c>
      <c r="L60" s="53">
        <f t="shared" si="26"/>
        <v>0.36560647311971445</v>
      </c>
      <c r="M60" s="53">
        <f t="shared" si="26"/>
        <v>0.37242790889262084</v>
      </c>
      <c r="N60" s="53">
        <f t="shared" si="26"/>
        <v>0.3857805065757563</v>
      </c>
      <c r="O60" s="53">
        <f t="shared" si="26"/>
        <v>0.40517691163125874</v>
      </c>
      <c r="P60" s="53">
        <f t="shared" si="26"/>
        <v>0.4239607986323769</v>
      </c>
      <c r="Q60" s="53"/>
      <c r="R60" s="53"/>
      <c r="S60" s="53"/>
      <c r="T60" s="21"/>
      <c r="U60" s="5"/>
      <c r="V60" s="5"/>
      <c r="W60" s="5"/>
    </row>
    <row r="61" spans="2:27">
      <c r="B61" s="50"/>
      <c r="C61" s="4"/>
      <c r="D61" s="4"/>
      <c r="E61" s="4"/>
      <c r="F61" s="4"/>
      <c r="G61" s="4"/>
      <c r="H61" s="4"/>
      <c r="I61" s="4"/>
      <c r="J61" s="4"/>
      <c r="K61" s="4"/>
      <c r="L61" s="4"/>
      <c r="M61" s="4"/>
      <c r="N61" s="4"/>
      <c r="O61" s="4"/>
      <c r="P61" s="4"/>
      <c r="Q61" s="21"/>
      <c r="R61" s="21"/>
      <c r="S61" s="21" t="s">
        <v>1823</v>
      </c>
      <c r="T61" s="21"/>
      <c r="U61" s="21"/>
      <c r="V61" s="21"/>
      <c r="W61" s="21"/>
    </row>
    <row r="62" spans="2:27">
      <c r="B62" s="50" t="s">
        <v>1934</v>
      </c>
      <c r="C62" s="4"/>
      <c r="D62" s="69">
        <f t="shared" ref="D62:I62" si="27">D53-D59</f>
        <v>73.001999999999995</v>
      </c>
      <c r="E62" s="69">
        <f t="shared" si="27"/>
        <v>90.546999999999997</v>
      </c>
      <c r="F62" s="69">
        <f t="shared" si="27"/>
        <v>72.843000000000004</v>
      </c>
      <c r="G62" s="69">
        <f t="shared" si="27"/>
        <v>67.87700000000001</v>
      </c>
      <c r="H62" s="69">
        <f t="shared" si="27"/>
        <v>113.137</v>
      </c>
      <c r="I62" s="69">
        <f t="shared" si="27"/>
        <v>159.70100000000002</v>
      </c>
      <c r="J62" s="69">
        <f t="shared" ref="J62:P62" si="28">J63*AVERAGE(I42:J42)/100</f>
        <v>172.13443977069034</v>
      </c>
      <c r="K62" s="69">
        <f t="shared" si="28"/>
        <v>184.973011122781</v>
      </c>
      <c r="L62" s="69">
        <f t="shared" si="28"/>
        <v>202.38927016404429</v>
      </c>
      <c r="M62" s="69">
        <f t="shared" si="28"/>
        <v>215.29465191337246</v>
      </c>
      <c r="N62" s="69">
        <f t="shared" si="28"/>
        <v>221.26887669138571</v>
      </c>
      <c r="O62" s="69">
        <f t="shared" si="28"/>
        <v>221.01382004053875</v>
      </c>
      <c r="P62" s="69">
        <f t="shared" si="28"/>
        <v>217.40292736760003</v>
      </c>
      <c r="Q62" s="143"/>
      <c r="R62" s="194" t="str">
        <f>R56</f>
        <v xml:space="preserve">ARPU @ 8% </v>
      </c>
      <c r="S62" s="190">
        <v>0.6</v>
      </c>
      <c r="T62" s="190">
        <v>-0.11</v>
      </c>
      <c r="U62" s="190">
        <v>0</v>
      </c>
      <c r="V62" s="190">
        <v>0</v>
      </c>
      <c r="W62" s="190">
        <v>0.03</v>
      </c>
      <c r="X62" s="190">
        <v>0.03</v>
      </c>
      <c r="Y62" s="190">
        <v>0.03</v>
      </c>
      <c r="Z62" s="190">
        <v>0.03</v>
      </c>
      <c r="AA62" s="190">
        <v>0.03</v>
      </c>
    </row>
    <row r="63" spans="2:27">
      <c r="B63" s="50" t="s">
        <v>1935</v>
      </c>
      <c r="C63" s="4"/>
      <c r="D63" s="69">
        <f t="shared" ref="D63:I63" si="29">D62*100/AVERAGE(C42:D42)</f>
        <v>18.850195404035123</v>
      </c>
      <c r="E63" s="69">
        <f t="shared" si="29"/>
        <v>16.473514150771759</v>
      </c>
      <c r="F63" s="69">
        <f t="shared" si="29"/>
        <v>9.7101019425402662</v>
      </c>
      <c r="G63" s="69">
        <f t="shared" si="29"/>
        <v>6.7460901161635052</v>
      </c>
      <c r="H63" s="69">
        <f t="shared" si="29"/>
        <v>5.4814437984496127</v>
      </c>
      <c r="I63" s="69">
        <f t="shared" si="29"/>
        <v>4.3640114769777298</v>
      </c>
      <c r="J63" s="69">
        <f t="shared" ref="J63:O63" si="30">I63*(1+J64)</f>
        <v>3.6221295258915154</v>
      </c>
      <c r="K63" s="69">
        <f t="shared" si="30"/>
        <v>3.2236952780434489</v>
      </c>
      <c r="L63" s="69">
        <f t="shared" si="30"/>
        <v>2.9335627030195388</v>
      </c>
      <c r="M63" s="69">
        <f t="shared" si="30"/>
        <v>2.6988776867779758</v>
      </c>
      <c r="N63" s="69">
        <f t="shared" si="30"/>
        <v>2.482967471835738</v>
      </c>
      <c r="O63" s="69">
        <f t="shared" si="30"/>
        <v>2.2843300740888792</v>
      </c>
      <c r="P63" s="69">
        <f>O63*(1+P64)</f>
        <v>2.1015836681617688</v>
      </c>
      <c r="Q63" s="21"/>
      <c r="R63" s="194" t="str">
        <f>R57</f>
        <v xml:space="preserve">ARPU @ 0% </v>
      </c>
      <c r="S63" s="190">
        <v>0.6</v>
      </c>
      <c r="T63" s="190">
        <v>-0.11</v>
      </c>
      <c r="U63" s="190">
        <v>0</v>
      </c>
      <c r="V63" s="190">
        <v>0</v>
      </c>
      <c r="W63" s="190">
        <v>0</v>
      </c>
      <c r="X63" s="190">
        <v>0</v>
      </c>
      <c r="Y63" s="190">
        <v>0</v>
      </c>
      <c r="Z63" s="190">
        <v>0</v>
      </c>
      <c r="AA63" s="190">
        <v>0</v>
      </c>
    </row>
    <row r="64" spans="2:27">
      <c r="B64" s="50"/>
      <c r="C64" s="4"/>
      <c r="D64" s="69"/>
      <c r="E64" s="36">
        <f>E63/D63-1</f>
        <v>-0.12608257910974252</v>
      </c>
      <c r="F64" s="36">
        <f>F63/E63-1</f>
        <v>-0.41056280683831126</v>
      </c>
      <c r="G64" s="36">
        <f>G63/F63-1</f>
        <v>-0.30525033042045946</v>
      </c>
      <c r="H64" s="36">
        <f>H63/G63-1</f>
        <v>-0.18746359682978797</v>
      </c>
      <c r="I64" s="36">
        <f>I63/H63-1</f>
        <v>-0.20385729792357643</v>
      </c>
      <c r="J64" s="70">
        <v>-0.17</v>
      </c>
      <c r="K64" s="70">
        <v>-0.11</v>
      </c>
      <c r="L64" s="70">
        <v>-0.09</v>
      </c>
      <c r="M64" s="70">
        <v>-0.08</v>
      </c>
      <c r="N64" s="70">
        <v>-0.08</v>
      </c>
      <c r="O64" s="70">
        <v>-0.08</v>
      </c>
      <c r="P64" s="70">
        <v>-0.08</v>
      </c>
      <c r="Q64" s="21"/>
      <c r="R64" s="194" t="str">
        <f>R58</f>
        <v>Base case</v>
      </c>
      <c r="S64" s="16">
        <v>0.6</v>
      </c>
      <c r="T64" s="16">
        <v>-0.11</v>
      </c>
      <c r="U64" s="16">
        <v>0</v>
      </c>
      <c r="V64" s="16">
        <v>0</v>
      </c>
      <c r="W64" s="16">
        <v>0.03</v>
      </c>
      <c r="X64" s="16">
        <v>0.03</v>
      </c>
      <c r="Y64" s="16">
        <v>0.03</v>
      </c>
      <c r="Z64" s="16">
        <v>0.03</v>
      </c>
      <c r="AA64" s="16">
        <v>0.03</v>
      </c>
    </row>
    <row r="65" spans="2:23">
      <c r="B65" s="50"/>
      <c r="C65" s="4"/>
      <c r="D65" s="4"/>
      <c r="E65" s="4"/>
      <c r="F65" s="4"/>
      <c r="G65" s="4"/>
      <c r="H65" s="4"/>
      <c r="I65" s="4"/>
      <c r="J65" s="4"/>
      <c r="K65" s="4"/>
      <c r="L65" s="4"/>
      <c r="M65" s="4"/>
      <c r="N65" s="4"/>
      <c r="O65" s="4"/>
      <c r="P65" s="4"/>
      <c r="Q65" s="21"/>
      <c r="R65" s="21"/>
      <c r="S65" s="21"/>
      <c r="T65" s="21"/>
      <c r="U65" s="21"/>
      <c r="V65" s="21"/>
      <c r="W65" s="21"/>
    </row>
    <row r="66" spans="2:23">
      <c r="B66" s="50" t="s">
        <v>2232</v>
      </c>
      <c r="F66" s="119">
        <v>0.04</v>
      </c>
      <c r="G66" s="119">
        <v>0.04</v>
      </c>
      <c r="H66" s="119">
        <v>0.04</v>
      </c>
      <c r="I66" s="119">
        <v>0.04</v>
      </c>
      <c r="J66" s="119">
        <v>0.04</v>
      </c>
      <c r="K66" s="119">
        <v>0.04</v>
      </c>
      <c r="L66" s="119">
        <v>0.04</v>
      </c>
      <c r="M66" s="119">
        <v>0.04</v>
      </c>
      <c r="N66" s="119">
        <v>0.04</v>
      </c>
      <c r="O66" s="119">
        <v>0.04</v>
      </c>
      <c r="P66" s="119">
        <v>0.04</v>
      </c>
      <c r="Q66" s="21"/>
      <c r="R66" s="21"/>
      <c r="S66" s="21"/>
      <c r="T66" s="21"/>
      <c r="U66" s="21"/>
      <c r="V66" s="21"/>
      <c r="W66" s="21"/>
    </row>
    <row r="67" spans="2:23">
      <c r="B67" s="50" t="s">
        <v>1758</v>
      </c>
      <c r="F67" s="5">
        <f>F57+F66</f>
        <v>-0.44944683617855025</v>
      </c>
      <c r="G67" s="5">
        <f t="shared" ref="G67:P67" si="31">G57+G66</f>
        <v>-0.4566375110317234</v>
      </c>
      <c r="H67" s="5">
        <f t="shared" si="31"/>
        <v>-8.9368398645342878E-2</v>
      </c>
      <c r="I67" s="5">
        <f t="shared" si="31"/>
        <v>-0.20373149669422533</v>
      </c>
      <c r="J67" s="5">
        <f t="shared" si="31"/>
        <v>-0.16</v>
      </c>
      <c r="K67" s="5">
        <f t="shared" si="31"/>
        <v>-6.0000000000000005E-2</v>
      </c>
      <c r="L67" s="5">
        <f t="shared" si="31"/>
        <v>-6.0000000000000005E-2</v>
      </c>
      <c r="M67" s="5">
        <f t="shared" si="31"/>
        <v>-3.0000000000000006E-2</v>
      </c>
      <c r="N67" s="5">
        <f t="shared" si="31"/>
        <v>-1.9999999999999997E-2</v>
      </c>
      <c r="O67" s="5">
        <f t="shared" si="31"/>
        <v>-1.0000000000000002E-2</v>
      </c>
      <c r="P67" s="5">
        <f t="shared" si="31"/>
        <v>-1.0000000000000002E-2</v>
      </c>
      <c r="Q67" s="21"/>
      <c r="R67" s="21"/>
      <c r="S67" s="21"/>
      <c r="T67" s="21"/>
      <c r="U67" s="21"/>
      <c r="V67" s="21"/>
      <c r="W67" s="21"/>
    </row>
    <row r="68" spans="2:23">
      <c r="Q68" s="21"/>
      <c r="R68" s="21"/>
      <c r="S68" s="21"/>
      <c r="T68" s="21"/>
      <c r="U68" s="21"/>
      <c r="V68" s="21"/>
      <c r="W68" s="21"/>
    </row>
    <row r="69" spans="2:23">
      <c r="B69" s="2" t="s">
        <v>1545</v>
      </c>
      <c r="G69" s="10"/>
      <c r="H69" s="10">
        <f>Div!G75</f>
        <v>94</v>
      </c>
      <c r="I69" s="10">
        <f>Div!H75</f>
        <v>155</v>
      </c>
      <c r="J69" s="10">
        <f>Div!I75</f>
        <v>0</v>
      </c>
      <c r="K69" s="10">
        <f>Div!J75</f>
        <v>0</v>
      </c>
      <c r="L69" s="10">
        <f>Div!K75</f>
        <v>0</v>
      </c>
      <c r="M69" s="10">
        <f>Div!L75</f>
        <v>0</v>
      </c>
      <c r="N69" s="10">
        <f>Div!T76</f>
        <v>372.55934395932138</v>
      </c>
      <c r="O69" s="10">
        <f>Div!N75</f>
        <v>0</v>
      </c>
      <c r="P69" s="10">
        <f>Div!O75</f>
        <v>0</v>
      </c>
      <c r="Q69" s="146"/>
      <c r="R69" s="146"/>
      <c r="S69" s="146"/>
      <c r="T69" s="21"/>
      <c r="U69" s="146"/>
      <c r="V69" s="146"/>
      <c r="W69" s="146"/>
    </row>
    <row r="70" spans="2:23">
      <c r="B70" t="s">
        <v>1431</v>
      </c>
      <c r="G70" s="16"/>
      <c r="H70" s="16">
        <f>H69/H53</f>
        <v>0.48265026340381395</v>
      </c>
      <c r="I70" s="16">
        <f t="shared" ref="I70:P70" si="32">I69/I53</f>
        <v>0.59353771453516424</v>
      </c>
      <c r="J70" s="16">
        <f t="shared" si="32"/>
        <v>0</v>
      </c>
      <c r="K70" s="16">
        <f t="shared" si="32"/>
        <v>0</v>
      </c>
      <c r="L70" s="16">
        <f t="shared" si="32"/>
        <v>0</v>
      </c>
      <c r="M70" s="16">
        <f t="shared" si="32"/>
        <v>0</v>
      </c>
      <c r="N70" s="16">
        <f t="shared" si="32"/>
        <v>1.0341861672499362</v>
      </c>
      <c r="O70" s="16">
        <f t="shared" si="32"/>
        <v>0</v>
      </c>
      <c r="P70" s="16">
        <f t="shared" si="32"/>
        <v>0</v>
      </c>
      <c r="Q70" s="53"/>
      <c r="R70" s="53"/>
      <c r="S70" s="53"/>
      <c r="T70" s="21"/>
      <c r="U70" s="5"/>
      <c r="V70" s="5"/>
      <c r="W70" s="5"/>
    </row>
    <row r="71" spans="2:23">
      <c r="Q71" s="21"/>
      <c r="R71" s="21"/>
      <c r="S71" s="21"/>
      <c r="T71" s="21"/>
      <c r="U71" s="21"/>
      <c r="V71" s="21"/>
      <c r="W71" s="21"/>
    </row>
    <row r="72" spans="2:23">
      <c r="B72" s="2" t="s">
        <v>1552</v>
      </c>
      <c r="G72" s="130"/>
      <c r="H72" s="130">
        <f>H59-H69</f>
        <v>-12.378999999999991</v>
      </c>
      <c r="I72" s="130">
        <f t="shared" ref="I72:N72" si="33">I59-I69</f>
        <v>-53.555000000000007</v>
      </c>
      <c r="J72" s="130">
        <f t="shared" si="33"/>
        <v>99.169067141929133</v>
      </c>
      <c r="K72" s="130">
        <f t="shared" si="33"/>
        <v>109.84126247433366</v>
      </c>
      <c r="L72" s="130">
        <f t="shared" si="33"/>
        <v>116.6386858104128</v>
      </c>
      <c r="M72" s="130">
        <f t="shared" si="33"/>
        <v>127.76498213357084</v>
      </c>
      <c r="N72" s="130">
        <f t="shared" si="33"/>
        <v>-233.58423774188972</v>
      </c>
      <c r="O72" s="130">
        <f>O59-O69</f>
        <v>150.54845513383782</v>
      </c>
      <c r="P72" s="130">
        <f>P59-P69</f>
        <v>160.00702468331153</v>
      </c>
      <c r="Q72" s="130"/>
      <c r="R72" s="130"/>
      <c r="S72" s="130"/>
      <c r="T72" s="21"/>
      <c r="U72" s="130"/>
      <c r="V72" s="130"/>
      <c r="W72" s="130"/>
    </row>
    <row r="75" spans="2:23">
      <c r="B75" s="23" t="s">
        <v>738</v>
      </c>
      <c r="C75" s="23">
        <v>2008</v>
      </c>
      <c r="D75" s="96" t="s">
        <v>560</v>
      </c>
      <c r="F75" s="96" t="s">
        <v>1100</v>
      </c>
      <c r="G75" s="96" t="s">
        <v>560</v>
      </c>
    </row>
    <row r="76" spans="2:23">
      <c r="B76" t="s">
        <v>698</v>
      </c>
      <c r="C76" s="16">
        <f>I46</f>
        <v>0.55000000000000004</v>
      </c>
      <c r="D76" s="130">
        <f t="shared" ref="D76:D81" si="34">C76*I$30</f>
        <v>2120</v>
      </c>
      <c r="F76" s="16">
        <v>0.51</v>
      </c>
      <c r="G76" s="9">
        <f>Quarts!AH118</f>
        <v>2172</v>
      </c>
    </row>
    <row r="77" spans="2:23">
      <c r="B77" t="s">
        <v>697</v>
      </c>
      <c r="C77" s="16">
        <v>0.22</v>
      </c>
      <c r="D77" s="130">
        <f t="shared" si="34"/>
        <v>847.99999999999989</v>
      </c>
      <c r="F77" s="16">
        <f>G77/G$82</f>
        <v>0.21132596685082872</v>
      </c>
      <c r="G77">
        <v>900</v>
      </c>
    </row>
    <row r="78" spans="2:23">
      <c r="B78" t="s">
        <v>696</v>
      </c>
      <c r="C78" s="16">
        <v>0.17</v>
      </c>
      <c r="D78" s="130">
        <f t="shared" si="34"/>
        <v>655.27272727272725</v>
      </c>
      <c r="F78" s="16">
        <f>G78/G$82</f>
        <v>0.15732044198895026</v>
      </c>
      <c r="G78">
        <v>670</v>
      </c>
    </row>
    <row r="79" spans="2:23">
      <c r="B79" t="s">
        <v>699</v>
      </c>
      <c r="C79" s="16">
        <v>0.04</v>
      </c>
      <c r="D79" s="130">
        <f t="shared" si="34"/>
        <v>154.18181818181816</v>
      </c>
      <c r="F79" s="16">
        <f>G79/G$82</f>
        <v>2.3480662983425413E-2</v>
      </c>
      <c r="G79">
        <v>100</v>
      </c>
    </row>
    <row r="80" spans="2:23">
      <c r="B80" t="s">
        <v>1095</v>
      </c>
      <c r="C80" s="16">
        <v>0.02</v>
      </c>
      <c r="D80" s="130">
        <f t="shared" si="34"/>
        <v>77.090909090909079</v>
      </c>
      <c r="F80" s="16">
        <f>G80/G$82</f>
        <v>1.5690607734806666E-2</v>
      </c>
      <c r="G80" s="9">
        <f>G82-G76-G77-G78-G79-G81</f>
        <v>66.823529411764866</v>
      </c>
    </row>
    <row r="81" spans="2:8">
      <c r="B81" s="11" t="s">
        <v>700</v>
      </c>
      <c r="C81" s="20">
        <v>0</v>
      </c>
      <c r="D81" s="322">
        <f t="shared" si="34"/>
        <v>0</v>
      </c>
      <c r="F81" s="20">
        <f>G81/G$82</f>
        <v>8.2182320441988949E-2</v>
      </c>
      <c r="G81" s="11">
        <v>350</v>
      </c>
      <c r="H81" t="s">
        <v>701</v>
      </c>
    </row>
    <row r="82" spans="2:8">
      <c r="C82" s="16">
        <f>SUM(C76:C81)</f>
        <v>1</v>
      </c>
      <c r="D82" s="130">
        <f>SUM(D76:D81)</f>
        <v>3854.545454545454</v>
      </c>
      <c r="G82" s="9">
        <f>G76/F$76</f>
        <v>4258.8235294117649</v>
      </c>
    </row>
    <row r="83" spans="2:8">
      <c r="B83" s="106" t="s">
        <v>887</v>
      </c>
      <c r="C83" s="16"/>
      <c r="D83" s="130"/>
      <c r="G83" s="9"/>
    </row>
    <row r="84" spans="2:8">
      <c r="B84" s="117" t="s">
        <v>1090</v>
      </c>
      <c r="C84" s="16"/>
      <c r="D84" s="130"/>
      <c r="G84" s="9"/>
    </row>
    <row r="85" spans="2:8">
      <c r="B85" t="s">
        <v>651</v>
      </c>
      <c r="C85" s="16"/>
      <c r="D85" s="130"/>
      <c r="G85" s="9"/>
    </row>
    <row r="86" spans="2:8">
      <c r="B86" s="106" t="s">
        <v>650</v>
      </c>
    </row>
    <row r="87" spans="2:8">
      <c r="B87" t="s">
        <v>649</v>
      </c>
    </row>
    <row r="88" spans="2:8">
      <c r="B88" s="106" t="s">
        <v>702</v>
      </c>
    </row>
    <row r="89" spans="2:8">
      <c r="B89" t="s">
        <v>703</v>
      </c>
    </row>
    <row r="90" spans="2:8">
      <c r="B90" t="s">
        <v>648</v>
      </c>
    </row>
    <row r="93" spans="2:8">
      <c r="B93" s="23" t="s">
        <v>730</v>
      </c>
      <c r="C93" s="96" t="s">
        <v>1100</v>
      </c>
      <c r="D93" s="11"/>
    </row>
    <row r="94" spans="2:8">
      <c r="B94" t="s">
        <v>887</v>
      </c>
      <c r="C94" s="9">
        <f>Quarts!AH117</f>
        <v>2112</v>
      </c>
      <c r="D94" s="16">
        <f>C94/C$99</f>
        <v>0.18780010670460609</v>
      </c>
    </row>
    <row r="95" spans="2:8">
      <c r="B95" t="s">
        <v>657</v>
      </c>
      <c r="C95">
        <v>400</v>
      </c>
      <c r="D95" s="16">
        <f>C95/C$99</f>
        <v>3.5568202027387516E-2</v>
      </c>
    </row>
    <row r="96" spans="2:8">
      <c r="B96" t="s">
        <v>1110</v>
      </c>
      <c r="C96">
        <v>5847</v>
      </c>
      <c r="D96" s="16">
        <f>C96/C$99</f>
        <v>0.51991819313533705</v>
      </c>
    </row>
    <row r="97" spans="2:4">
      <c r="B97" t="s">
        <v>1113</v>
      </c>
      <c r="C97">
        <v>2000</v>
      </c>
      <c r="D97" s="16">
        <f>C97/C$99</f>
        <v>0.17784101013693757</v>
      </c>
    </row>
    <row r="98" spans="2:4">
      <c r="B98" t="s">
        <v>1112</v>
      </c>
      <c r="C98">
        <v>887</v>
      </c>
      <c r="D98" s="16">
        <f>C98/C$99</f>
        <v>7.8872487995731821E-2</v>
      </c>
    </row>
    <row r="99" spans="2:4">
      <c r="B99" t="s">
        <v>2324</v>
      </c>
      <c r="C99" s="143">
        <f>C94+C95+C96+C97+C98</f>
        <v>11246</v>
      </c>
    </row>
    <row r="101" spans="2:4">
      <c r="B101" s="106" t="s">
        <v>887</v>
      </c>
    </row>
    <row r="102" spans="2:4">
      <c r="B102" s="117" t="s">
        <v>1115</v>
      </c>
    </row>
    <row r="103" spans="2:4">
      <c r="B103" s="117" t="s">
        <v>1094</v>
      </c>
    </row>
    <row r="104" spans="2:4">
      <c r="B104" s="106" t="s">
        <v>1288</v>
      </c>
    </row>
    <row r="105" spans="2:4">
      <c r="B105" t="s">
        <v>1089</v>
      </c>
    </row>
    <row r="106" spans="2:4">
      <c r="B106" t="s">
        <v>1114</v>
      </c>
    </row>
    <row r="107" spans="2:4">
      <c r="B107" s="106" t="s">
        <v>1111</v>
      </c>
    </row>
    <row r="108" spans="2:4">
      <c r="B108" t="s">
        <v>1092</v>
      </c>
    </row>
    <row r="109" spans="2:4">
      <c r="B109" t="s">
        <v>1091</v>
      </c>
    </row>
    <row r="110" spans="2:4">
      <c r="B110" t="s">
        <v>1093</v>
      </c>
    </row>
  </sheetData>
  <phoneticPr fontId="0"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pageSetUpPr fitToPage="1"/>
  </sheetPr>
  <dimension ref="A1:AQ158"/>
  <sheetViews>
    <sheetView zoomScale="72" zoomScaleNormal="72" workbookViewId="0">
      <pane xSplit="1" ySplit="6" topLeftCell="B7" activePane="bottomRight" state="frozen"/>
      <selection pane="topRight" activeCell="B1" sqref="B1"/>
      <selection pane="bottomLeft" activeCell="A7" sqref="A7"/>
      <selection pane="bottomRight" activeCell="X75" sqref="X75"/>
    </sheetView>
  </sheetViews>
  <sheetFormatPr defaultRowHeight="15" outlineLevelRow="1"/>
  <cols>
    <col min="1" max="1" width="45.140625" bestFit="1" customWidth="1"/>
    <col min="3" max="9" width="9.140625" customWidth="1"/>
    <col min="10" max="10" width="8.85546875" customWidth="1"/>
    <col min="12" max="12" width="9.140625" customWidth="1"/>
    <col min="14" max="16" width="9.140625" customWidth="1"/>
    <col min="21" max="22" width="9.140625" customWidth="1"/>
    <col min="25" max="25" width="9.140625" customWidth="1"/>
    <col min="26" max="29" width="9.28515625" customWidth="1"/>
    <col min="30" max="32" width="11.140625" customWidth="1"/>
  </cols>
  <sheetData>
    <row r="1" spans="1:33" ht="15.75">
      <c r="A1" s="1684"/>
      <c r="B1" s="1653"/>
      <c r="C1" s="1653"/>
      <c r="D1" s="1653"/>
      <c r="E1" s="1653"/>
      <c r="F1" s="1653"/>
      <c r="G1" s="1653"/>
      <c r="H1" s="1653"/>
      <c r="I1" s="1653"/>
      <c r="J1" s="165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row>
    <row r="2" spans="1:33" ht="15.75">
      <c r="A2" s="1653" t="s">
        <v>281</v>
      </c>
      <c r="B2" s="1869">
        <f>B4*11.01</f>
        <v>325.67579999999998</v>
      </c>
      <c r="C2" s="1665"/>
      <c r="D2" s="1653"/>
      <c r="E2" s="1653"/>
      <c r="F2" s="1653"/>
      <c r="G2" s="1653"/>
      <c r="H2" s="1653"/>
      <c r="I2" s="1653"/>
      <c r="J2" s="1653"/>
      <c r="K2" s="1293"/>
      <c r="L2" s="1293"/>
      <c r="M2" s="1293"/>
      <c r="N2" s="1293"/>
      <c r="O2" s="1293"/>
      <c r="P2" s="1293"/>
      <c r="Q2" s="1293"/>
      <c r="R2" s="1293"/>
      <c r="S2" s="1293"/>
      <c r="T2" s="1293"/>
      <c r="U2" s="1293"/>
      <c r="V2" s="1870"/>
      <c r="W2" s="1293"/>
      <c r="X2" s="1293"/>
      <c r="Y2" s="1293"/>
      <c r="Z2" s="1293"/>
      <c r="AA2" s="1293"/>
      <c r="AB2" s="1293"/>
      <c r="AC2" s="1293"/>
      <c r="AD2" s="1293"/>
      <c r="AE2" s="1293"/>
      <c r="AF2" s="1293"/>
      <c r="AG2" s="1293"/>
    </row>
    <row r="3" spans="1:33" ht="15.75">
      <c r="A3" s="1653" t="s">
        <v>1203</v>
      </c>
      <c r="B3" s="1652">
        <f>B2/B4</f>
        <v>11.01</v>
      </c>
      <c r="C3" s="1653"/>
      <c r="D3" s="1653"/>
      <c r="E3" s="1653"/>
      <c r="F3" s="1653"/>
      <c r="G3" s="1653"/>
      <c r="H3" s="1653"/>
      <c r="I3" s="1653"/>
      <c r="J3" s="165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1293"/>
    </row>
    <row r="4" spans="1:33" ht="15.75">
      <c r="A4" s="1684" t="s">
        <v>8573</v>
      </c>
      <c r="B4" s="1871">
        <v>29.58</v>
      </c>
      <c r="C4" s="1653"/>
      <c r="D4" s="1653"/>
      <c r="E4" s="1653"/>
      <c r="F4" s="1653"/>
      <c r="G4" s="1653"/>
      <c r="H4" s="1653"/>
      <c r="I4" s="1653"/>
      <c r="J4" s="1653"/>
      <c r="K4" s="1724"/>
      <c r="L4" s="1293"/>
      <c r="M4" s="1293"/>
      <c r="N4" s="1293"/>
      <c r="O4" s="1293"/>
      <c r="P4" s="1293"/>
      <c r="Q4" s="1293"/>
      <c r="R4" s="1293"/>
      <c r="S4" s="1293"/>
      <c r="T4" s="1293"/>
      <c r="U4" s="1293"/>
      <c r="V4" s="1293"/>
      <c r="W4" s="1293"/>
      <c r="X4" s="1293"/>
      <c r="Y4" s="1293"/>
      <c r="Z4" s="1293"/>
      <c r="AA4" s="1293"/>
      <c r="AB4" s="1293"/>
      <c r="AC4" s="1293"/>
      <c r="AD4" s="1293"/>
      <c r="AE4" s="1293"/>
      <c r="AF4" s="1293"/>
      <c r="AG4" s="1293"/>
    </row>
    <row r="5" spans="1:33" ht="15.75">
      <c r="A5" s="1684"/>
      <c r="B5" s="1684"/>
      <c r="C5" s="1653"/>
      <c r="D5" s="1653"/>
      <c r="E5" s="1653"/>
      <c r="F5" s="1653"/>
      <c r="G5" s="1653"/>
      <c r="H5" s="1653"/>
      <c r="I5" s="1653"/>
      <c r="J5" s="165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row>
    <row r="6" spans="1:33" ht="26.25" customHeight="1">
      <c r="A6" s="2534"/>
      <c r="B6" s="1693"/>
      <c r="C6" s="1693"/>
      <c r="D6" s="1693" t="s">
        <v>3937</v>
      </c>
      <c r="E6" s="1693" t="s">
        <v>4033</v>
      </c>
      <c r="F6" s="1693" t="s">
        <v>4629</v>
      </c>
      <c r="G6" s="1693" t="s">
        <v>5498</v>
      </c>
      <c r="H6" s="1693" t="s">
        <v>5615</v>
      </c>
      <c r="I6" s="1693" t="s">
        <v>6142</v>
      </c>
      <c r="J6" s="1693" t="s">
        <v>7034</v>
      </c>
      <c r="K6" s="1693" t="s">
        <v>7451</v>
      </c>
      <c r="L6" s="1693" t="s">
        <v>7899</v>
      </c>
      <c r="M6" s="1693" t="s">
        <v>8576</v>
      </c>
      <c r="N6" s="1693" t="s">
        <v>9175</v>
      </c>
      <c r="O6" s="2537" t="s">
        <v>4547</v>
      </c>
      <c r="P6" s="2537" t="s">
        <v>8351</v>
      </c>
      <c r="Q6" s="2537" t="s">
        <v>8726</v>
      </c>
      <c r="R6" s="2537" t="s">
        <v>8727</v>
      </c>
      <c r="S6" s="2537" t="s">
        <v>9065</v>
      </c>
      <c r="T6" s="2537" t="s">
        <v>9066</v>
      </c>
      <c r="U6" s="1293"/>
      <c r="V6" s="1293"/>
      <c r="W6" s="1293"/>
      <c r="X6" s="1293"/>
      <c r="Y6" s="1293"/>
      <c r="Z6" s="1293"/>
      <c r="AA6" s="1293"/>
      <c r="AB6" s="1293"/>
      <c r="AC6" s="1293"/>
      <c r="AD6" s="1293"/>
      <c r="AE6" s="1293"/>
      <c r="AF6" s="1293"/>
      <c r="AG6" s="1293"/>
    </row>
    <row r="7" spans="1:33" ht="15.75">
      <c r="A7" s="1653" t="s">
        <v>678</v>
      </c>
      <c r="B7" s="1713"/>
      <c r="C7" s="1675"/>
      <c r="D7" s="1675">
        <f>Master!Q54</f>
        <v>99.899999999999991</v>
      </c>
      <c r="E7" s="1675">
        <f>Master!R54</f>
        <v>99.899999999999991</v>
      </c>
      <c r="F7" s="1675">
        <f>Master!S54</f>
        <v>99.899999999999991</v>
      </c>
      <c r="G7" s="1675">
        <f>Master!T54</f>
        <v>99.899999999999991</v>
      </c>
      <c r="H7" s="1675">
        <f>Master!U54</f>
        <v>99.899999999999991</v>
      </c>
      <c r="I7" s="1675">
        <f>Master!V54</f>
        <v>99.899999999999991</v>
      </c>
      <c r="J7" s="1675">
        <f>Master!W54</f>
        <v>99.559999999999988</v>
      </c>
      <c r="K7" s="1675">
        <f>Master!X54</f>
        <v>98.559999999999988</v>
      </c>
      <c r="L7" s="1675">
        <f>Master!Y54</f>
        <v>168.95999999999998</v>
      </c>
      <c r="M7" s="1675">
        <f>Master!Z54</f>
        <v>171.39699999999999</v>
      </c>
      <c r="N7" s="1675">
        <f>Master!AA54</f>
        <v>171.31299999999999</v>
      </c>
      <c r="O7" s="1675">
        <f>Master!AB54</f>
        <v>166.363</v>
      </c>
      <c r="P7" s="1675">
        <f>Master!AC54</f>
        <v>161.363</v>
      </c>
      <c r="Q7" s="1675">
        <f>Master!AD54</f>
        <v>156.363</v>
      </c>
      <c r="R7" s="1675">
        <f>Master!AE54</f>
        <v>151.363</v>
      </c>
      <c r="S7" s="1675">
        <f>Master!AF54</f>
        <v>146.363</v>
      </c>
      <c r="T7" s="1675">
        <f>Master!AG54</f>
        <v>141.363</v>
      </c>
      <c r="U7" s="1293"/>
      <c r="V7" s="1293"/>
      <c r="W7" s="1293"/>
      <c r="X7" s="1293"/>
      <c r="Y7" s="1293"/>
      <c r="Z7" s="1293"/>
      <c r="AA7" s="1293"/>
      <c r="AB7" s="1293"/>
      <c r="AC7" s="1293"/>
      <c r="AD7" s="1293"/>
      <c r="AE7" s="1293"/>
      <c r="AF7" s="1293"/>
      <c r="AG7" s="1293"/>
    </row>
    <row r="8" spans="1:33" ht="15.75">
      <c r="A8" s="1653"/>
      <c r="B8" s="1713"/>
      <c r="C8" s="1653"/>
      <c r="D8" s="1653"/>
      <c r="E8" s="1653"/>
      <c r="F8" s="1653"/>
      <c r="G8" s="1653"/>
      <c r="H8" s="1653"/>
      <c r="I8" s="1653"/>
      <c r="J8" s="1653"/>
      <c r="K8" s="1653"/>
      <c r="L8" s="1653"/>
      <c r="M8" s="1653"/>
      <c r="N8" s="1653"/>
      <c r="O8" s="1653"/>
      <c r="P8" s="1653"/>
      <c r="Q8" s="1653"/>
      <c r="R8" s="1653"/>
      <c r="S8" s="1653"/>
      <c r="T8" s="1653"/>
      <c r="U8" s="1293"/>
      <c r="V8" s="1293"/>
      <c r="W8" s="1293"/>
      <c r="X8" s="1293"/>
      <c r="Y8" s="1293"/>
      <c r="Z8" s="1293"/>
      <c r="AA8" s="1293"/>
      <c r="AB8" s="1293"/>
      <c r="AC8" s="1293"/>
      <c r="AD8" s="1293"/>
      <c r="AE8" s="1293"/>
      <c r="AF8" s="1293"/>
      <c r="AG8" s="1293"/>
    </row>
    <row r="9" spans="1:33" ht="15.75">
      <c r="A9" s="1706" t="s">
        <v>174</v>
      </c>
      <c r="B9" s="1713"/>
      <c r="C9" s="1653"/>
      <c r="D9" s="1653"/>
      <c r="E9" s="1653"/>
      <c r="F9" s="1653"/>
      <c r="G9" s="1653"/>
      <c r="H9" s="1653"/>
      <c r="I9" s="1653"/>
      <c r="J9" s="1688"/>
      <c r="K9" s="1688"/>
      <c r="L9" s="1653"/>
      <c r="M9" s="1653"/>
      <c r="N9" s="1688"/>
      <c r="O9" s="1653"/>
      <c r="P9" s="1653"/>
      <c r="Q9" s="1653"/>
      <c r="R9" s="1653"/>
      <c r="S9" s="1653"/>
      <c r="T9" s="1653"/>
      <c r="U9" s="1293"/>
      <c r="V9" s="1293"/>
      <c r="W9" s="1293"/>
      <c r="X9" s="1293"/>
      <c r="Y9" s="1293"/>
      <c r="Z9" s="1293"/>
      <c r="AA9" s="1293"/>
      <c r="AB9" s="1293"/>
      <c r="AC9" s="1293"/>
      <c r="AD9" s="1293"/>
      <c r="AE9" s="1293"/>
      <c r="AF9" s="1293"/>
      <c r="AG9" s="1293"/>
    </row>
    <row r="10" spans="1:33" ht="15.75">
      <c r="A10" s="1653" t="s">
        <v>252</v>
      </c>
      <c r="B10" s="1675"/>
      <c r="C10" s="1675"/>
      <c r="D10" s="1675">
        <f t="shared" ref="D10:P10" si="0">$B$4*D7</f>
        <v>2955.0419999999995</v>
      </c>
      <c r="E10" s="1675">
        <f t="shared" si="0"/>
        <v>2955.0419999999995</v>
      </c>
      <c r="F10" s="1675">
        <f t="shared" si="0"/>
        <v>2955.0419999999995</v>
      </c>
      <c r="G10" s="1675">
        <f t="shared" si="0"/>
        <v>2955.0419999999995</v>
      </c>
      <c r="H10" s="1675">
        <f t="shared" si="0"/>
        <v>2955.0419999999995</v>
      </c>
      <c r="I10" s="1675">
        <f t="shared" si="0"/>
        <v>2955.0419999999995</v>
      </c>
      <c r="J10" s="1675">
        <f t="shared" si="0"/>
        <v>2944.9847999999993</v>
      </c>
      <c r="K10" s="1675">
        <f t="shared" si="0"/>
        <v>2915.4047999999993</v>
      </c>
      <c r="L10" s="1675">
        <f t="shared" si="0"/>
        <v>4997.8367999999991</v>
      </c>
      <c r="M10" s="1675">
        <f t="shared" si="0"/>
        <v>5069.9232599999996</v>
      </c>
      <c r="N10" s="1675">
        <f t="shared" si="0"/>
        <v>5067.4385399999992</v>
      </c>
      <c r="O10" s="1675">
        <f t="shared" si="0"/>
        <v>4921.0175399999998</v>
      </c>
      <c r="P10" s="1675">
        <f t="shared" si="0"/>
        <v>4773.1175399999993</v>
      </c>
      <c r="Q10" s="1675">
        <f t="shared" ref="Q10:R10" si="1">$B$4*Q7</f>
        <v>4625.2175399999996</v>
      </c>
      <c r="R10" s="1675">
        <f t="shared" si="1"/>
        <v>4477.31754</v>
      </c>
      <c r="S10" s="1675">
        <f t="shared" ref="S10:T10" si="2">$B$4*S7</f>
        <v>4329.4175399999995</v>
      </c>
      <c r="T10" s="1675">
        <f t="shared" si="2"/>
        <v>4181.5175399999998</v>
      </c>
      <c r="U10" s="1293"/>
      <c r="V10" s="1293"/>
      <c r="W10" s="1293"/>
      <c r="X10" s="1293"/>
      <c r="Y10" s="1293"/>
      <c r="Z10" s="1293"/>
      <c r="AA10" s="1293"/>
      <c r="AB10" s="1293"/>
      <c r="AC10" s="1293"/>
      <c r="AD10" s="1293"/>
      <c r="AE10" s="1293"/>
      <c r="AF10" s="1293"/>
      <c r="AG10" s="1293"/>
    </row>
    <row r="11" spans="1:33" ht="15.75">
      <c r="A11" s="1653" t="s">
        <v>1825</v>
      </c>
      <c r="B11" s="1675"/>
      <c r="C11" s="1675"/>
      <c r="D11" s="1717">
        <f>-SOP!I23-SOP!I22</f>
        <v>-1031.3794800703261</v>
      </c>
      <c r="E11" s="1675">
        <f t="shared" ref="E11:J15" si="3">D11</f>
        <v>-1031.3794800703261</v>
      </c>
      <c r="F11" s="1675">
        <f t="shared" si="3"/>
        <v>-1031.3794800703261</v>
      </c>
      <c r="G11" s="1675">
        <f t="shared" si="3"/>
        <v>-1031.3794800703261</v>
      </c>
      <c r="H11" s="1675">
        <f t="shared" si="3"/>
        <v>-1031.3794800703261</v>
      </c>
      <c r="I11" s="1675">
        <f t="shared" si="3"/>
        <v>-1031.3794800703261</v>
      </c>
      <c r="J11" s="1675">
        <f t="shared" si="3"/>
        <v>-1031.3794800703261</v>
      </c>
      <c r="K11" s="1675">
        <f t="shared" ref="K11:R11" si="4">J11</f>
        <v>-1031.3794800703261</v>
      </c>
      <c r="L11" s="1675">
        <f t="shared" si="4"/>
        <v>-1031.3794800703261</v>
      </c>
      <c r="M11" s="1675">
        <f t="shared" si="4"/>
        <v>-1031.3794800703261</v>
      </c>
      <c r="N11" s="1675">
        <f t="shared" si="4"/>
        <v>-1031.3794800703261</v>
      </c>
      <c r="O11" s="1675">
        <f t="shared" si="4"/>
        <v>-1031.3794800703261</v>
      </c>
      <c r="P11" s="1675">
        <f t="shared" si="4"/>
        <v>-1031.3794800703261</v>
      </c>
      <c r="Q11" s="1675">
        <f t="shared" si="4"/>
        <v>-1031.3794800703261</v>
      </c>
      <c r="R11" s="1675">
        <f t="shared" si="4"/>
        <v>-1031.3794800703261</v>
      </c>
      <c r="S11" s="1675">
        <f t="shared" ref="S11" si="5">R11</f>
        <v>-1031.3794800703261</v>
      </c>
      <c r="T11" s="1675">
        <f t="shared" ref="T11" si="6">S11</f>
        <v>-1031.3794800703261</v>
      </c>
      <c r="U11" s="1293"/>
      <c r="V11" s="1293"/>
      <c r="W11" s="1293"/>
      <c r="X11" s="1293"/>
      <c r="Y11" s="1293"/>
      <c r="Z11" s="1293"/>
      <c r="AA11" s="1293"/>
      <c r="AB11" s="1293"/>
      <c r="AC11" s="1293"/>
      <c r="AD11" s="1293"/>
      <c r="AE11" s="1293"/>
      <c r="AF11" s="1293"/>
      <c r="AG11" s="1293"/>
    </row>
    <row r="12" spans="1:33" ht="15.75">
      <c r="A12" s="1653" t="s">
        <v>2517</v>
      </c>
      <c r="B12" s="1675"/>
      <c r="C12" s="1675"/>
      <c r="D12" s="1717">
        <v>0</v>
      </c>
      <c r="E12" s="1675">
        <f>-Colombia!L89</f>
        <v>0</v>
      </c>
      <c r="F12" s="1675">
        <f>-Colombia!M89</f>
        <v>0</v>
      </c>
      <c r="G12" s="1675">
        <f>-Colombia!N89</f>
        <v>0</v>
      </c>
      <c r="H12" s="1675">
        <f>-Colombia!O89</f>
        <v>0</v>
      </c>
      <c r="I12" s="1675">
        <f>-Colombia!P89</f>
        <v>0</v>
      </c>
      <c r="J12" s="1675">
        <f>-Colombia!Q89</f>
        <v>0</v>
      </c>
      <c r="K12" s="1675">
        <f>-Colombia!R89</f>
        <v>0</v>
      </c>
      <c r="L12" s="1675">
        <f>-Colombia!S89</f>
        <v>0</v>
      </c>
      <c r="M12" s="1675">
        <f>-Colombia!T89</f>
        <v>0</v>
      </c>
      <c r="N12" s="1675">
        <f>-Colombia!U89</f>
        <v>0</v>
      </c>
      <c r="O12" s="1675">
        <f>-Colombia!V89</f>
        <v>0</v>
      </c>
      <c r="P12" s="1675">
        <f>-Colombia!AG89</f>
        <v>0</v>
      </c>
      <c r="Q12" s="1675">
        <f>-Colombia!AH89</f>
        <v>0</v>
      </c>
      <c r="R12" s="1675">
        <f>-Colombia!AI89</f>
        <v>0</v>
      </c>
      <c r="S12" s="1675">
        <f>-Colombia!AJ89</f>
        <v>0</v>
      </c>
      <c r="T12" s="1675">
        <f>-Colombia!AK89</f>
        <v>0</v>
      </c>
      <c r="U12" s="1293"/>
      <c r="V12" s="1327"/>
      <c r="W12" s="1293"/>
      <c r="X12" s="1293"/>
      <c r="Y12" s="1293"/>
      <c r="Z12" s="1293"/>
      <c r="AA12" s="1293"/>
      <c r="AB12" s="1293"/>
      <c r="AC12" s="1293"/>
      <c r="AD12" s="1293"/>
      <c r="AE12" s="1293"/>
      <c r="AF12" s="1293"/>
      <c r="AG12" s="1293"/>
    </row>
    <row r="13" spans="1:33" ht="15.75">
      <c r="A13" s="1653" t="s">
        <v>680</v>
      </c>
      <c r="B13" s="1713"/>
      <c r="C13" s="1675"/>
      <c r="D13" s="1717">
        <f>-SOP!I29</f>
        <v>887.38393981123295</v>
      </c>
      <c r="E13" s="1675">
        <f t="shared" si="3"/>
        <v>887.38393981123295</v>
      </c>
      <c r="F13" s="1675">
        <f t="shared" si="3"/>
        <v>887.38393981123295</v>
      </c>
      <c r="G13" s="1675">
        <f t="shared" si="3"/>
        <v>887.38393981123295</v>
      </c>
      <c r="H13" s="1675">
        <f t="shared" si="3"/>
        <v>887.38393981123295</v>
      </c>
      <c r="I13" s="1675">
        <f t="shared" si="3"/>
        <v>887.38393981123295</v>
      </c>
      <c r="J13" s="1675">
        <f t="shared" si="3"/>
        <v>887.38393981123295</v>
      </c>
      <c r="K13" s="1675">
        <f t="shared" ref="K13:R15" si="7">J13</f>
        <v>887.38393981123295</v>
      </c>
      <c r="L13" s="1675">
        <f t="shared" si="7"/>
        <v>887.38393981123295</v>
      </c>
      <c r="M13" s="1675">
        <f t="shared" si="7"/>
        <v>887.38393981123295</v>
      </c>
      <c r="N13" s="1675">
        <f t="shared" si="7"/>
        <v>887.38393981123295</v>
      </c>
      <c r="O13" s="1675">
        <f t="shared" si="7"/>
        <v>887.38393981123295</v>
      </c>
      <c r="P13" s="1675">
        <f t="shared" si="7"/>
        <v>887.38393981123295</v>
      </c>
      <c r="Q13" s="1675">
        <f t="shared" si="7"/>
        <v>887.38393981123295</v>
      </c>
      <c r="R13" s="1675">
        <f t="shared" si="7"/>
        <v>887.38393981123295</v>
      </c>
      <c r="S13" s="1675">
        <f t="shared" ref="S13:S15" si="8">R13</f>
        <v>887.38393981123295</v>
      </c>
      <c r="T13" s="1675">
        <f t="shared" ref="T13:T15" si="9">S13</f>
        <v>887.38393981123295</v>
      </c>
      <c r="U13" s="1293"/>
      <c r="V13" s="1293"/>
      <c r="W13" s="1293"/>
      <c r="X13" s="1293"/>
      <c r="Y13" s="1293"/>
      <c r="Z13" s="1293"/>
      <c r="AA13" s="1293"/>
      <c r="AB13" s="1293"/>
      <c r="AC13" s="1293"/>
      <c r="AD13" s="1293"/>
      <c r="AE13" s="1293"/>
      <c r="AF13" s="1293"/>
      <c r="AG13" s="1293"/>
    </row>
    <row r="14" spans="1:33" ht="15.75">
      <c r="A14" s="1653" t="s">
        <v>2190</v>
      </c>
      <c r="B14" s="1675"/>
      <c r="C14" s="1675"/>
      <c r="D14" s="1717">
        <f>-(SOP!I26)</f>
        <v>1471.8324594835435</v>
      </c>
      <c r="E14" s="1675">
        <f>D14</f>
        <v>1471.8324594835435</v>
      </c>
      <c r="F14" s="1675">
        <f t="shared" si="3"/>
        <v>1471.8324594835435</v>
      </c>
      <c r="G14" s="1675">
        <f t="shared" si="3"/>
        <v>1471.8324594835435</v>
      </c>
      <c r="H14" s="1675">
        <f t="shared" si="3"/>
        <v>1471.8324594835435</v>
      </c>
      <c r="I14" s="1675">
        <f t="shared" si="3"/>
        <v>1471.8324594835435</v>
      </c>
      <c r="J14" s="1675">
        <f t="shared" si="3"/>
        <v>1471.8324594835435</v>
      </c>
      <c r="K14" s="1675">
        <f t="shared" si="7"/>
        <v>1471.8324594835435</v>
      </c>
      <c r="L14" s="1675">
        <f t="shared" si="7"/>
        <v>1471.8324594835435</v>
      </c>
      <c r="M14" s="1675">
        <f t="shared" si="7"/>
        <v>1471.8324594835435</v>
      </c>
      <c r="N14" s="1675">
        <f t="shared" si="7"/>
        <v>1471.8324594835435</v>
      </c>
      <c r="O14" s="1675">
        <f t="shared" si="7"/>
        <v>1471.8324594835435</v>
      </c>
      <c r="P14" s="1675">
        <f t="shared" si="7"/>
        <v>1471.8324594835435</v>
      </c>
      <c r="Q14" s="1675">
        <f t="shared" si="7"/>
        <v>1471.8324594835435</v>
      </c>
      <c r="R14" s="1675">
        <f t="shared" si="7"/>
        <v>1471.8324594835435</v>
      </c>
      <c r="S14" s="1675">
        <f t="shared" si="8"/>
        <v>1471.8324594835435</v>
      </c>
      <c r="T14" s="1675">
        <f t="shared" si="9"/>
        <v>1471.8324594835435</v>
      </c>
      <c r="U14" s="1293"/>
      <c r="V14" s="1293"/>
      <c r="W14" s="1293"/>
      <c r="X14" s="1293"/>
      <c r="Y14" s="1293"/>
      <c r="Z14" s="1293"/>
      <c r="AA14" s="1293"/>
      <c r="AB14" s="1293"/>
      <c r="AC14" s="1293"/>
      <c r="AD14" s="1293"/>
      <c r="AE14" s="1293"/>
      <c r="AF14" s="1293"/>
      <c r="AG14" s="1293"/>
    </row>
    <row r="15" spans="1:33" ht="15.75">
      <c r="A15" s="1653" t="s">
        <v>571</v>
      </c>
      <c r="B15" s="1675"/>
      <c r="C15" s="1675"/>
      <c r="D15" s="1717">
        <f>-SOP!I28</f>
        <v>1070.9304878048783</v>
      </c>
      <c r="E15" s="1675">
        <f t="shared" si="3"/>
        <v>1070.9304878048783</v>
      </c>
      <c r="F15" s="1675">
        <f t="shared" si="3"/>
        <v>1070.9304878048783</v>
      </c>
      <c r="G15" s="1675">
        <f t="shared" si="3"/>
        <v>1070.9304878048783</v>
      </c>
      <c r="H15" s="1675">
        <f t="shared" si="3"/>
        <v>1070.9304878048783</v>
      </c>
      <c r="I15" s="1675">
        <f t="shared" si="3"/>
        <v>1070.9304878048783</v>
      </c>
      <c r="J15" s="1675">
        <f t="shared" si="3"/>
        <v>1070.9304878048783</v>
      </c>
      <c r="K15" s="1675">
        <f t="shared" si="7"/>
        <v>1070.9304878048783</v>
      </c>
      <c r="L15" s="1675">
        <f t="shared" si="7"/>
        <v>1070.9304878048783</v>
      </c>
      <c r="M15" s="1675">
        <f t="shared" si="7"/>
        <v>1070.9304878048783</v>
      </c>
      <c r="N15" s="1675">
        <f t="shared" si="7"/>
        <v>1070.9304878048783</v>
      </c>
      <c r="O15" s="1675">
        <f t="shared" si="7"/>
        <v>1070.9304878048783</v>
      </c>
      <c r="P15" s="1675">
        <f t="shared" si="7"/>
        <v>1070.9304878048783</v>
      </c>
      <c r="Q15" s="1675">
        <f t="shared" si="7"/>
        <v>1070.9304878048783</v>
      </c>
      <c r="R15" s="1675">
        <f t="shared" si="7"/>
        <v>1070.9304878048783</v>
      </c>
      <c r="S15" s="1675">
        <f t="shared" si="8"/>
        <v>1070.9304878048783</v>
      </c>
      <c r="T15" s="1675">
        <f t="shared" si="9"/>
        <v>1070.9304878048783</v>
      </c>
      <c r="U15" s="1293"/>
      <c r="V15" s="1293"/>
      <c r="W15" s="1293"/>
      <c r="X15" s="1293"/>
      <c r="Y15" s="1293"/>
      <c r="Z15" s="1293"/>
      <c r="AA15" s="1293"/>
      <c r="AB15" s="1293"/>
      <c r="AC15" s="1293"/>
      <c r="AD15" s="1293"/>
      <c r="AE15" s="1293"/>
      <c r="AF15" s="1293"/>
      <c r="AG15" s="1293"/>
    </row>
    <row r="16" spans="1:33" ht="15.75">
      <c r="A16" s="1653" t="s">
        <v>2527</v>
      </c>
      <c r="B16" s="1675"/>
      <c r="C16" s="1675"/>
      <c r="D16" s="1675">
        <f>Master!Q428</f>
        <v>3998</v>
      </c>
      <c r="E16" s="1675">
        <f>Master!R428</f>
        <v>4295</v>
      </c>
      <c r="F16" s="1675">
        <f>Master!S428</f>
        <v>4187</v>
      </c>
      <c r="G16" s="1675">
        <f>Master!T428</f>
        <v>4073</v>
      </c>
      <c r="H16" s="1675">
        <f>Master!U428</f>
        <v>5133</v>
      </c>
      <c r="I16" s="1675">
        <f>Master!V428</f>
        <v>7236</v>
      </c>
      <c r="J16" s="1675">
        <f>Master!W428</f>
        <v>6631</v>
      </c>
      <c r="K16" s="1675">
        <f>Master!X428</f>
        <v>8281</v>
      </c>
      <c r="L16" s="1675">
        <f>Master!Y428</f>
        <v>6815</v>
      </c>
      <c r="M16" s="1675">
        <f>Master!Z428</f>
        <v>6999</v>
      </c>
      <c r="N16" s="1675">
        <f>Master!AA428</f>
        <v>6129</v>
      </c>
      <c r="O16" s="1675">
        <f ca="1">Master!AB428</f>
        <v>5411.8432365614617</v>
      </c>
      <c r="P16" s="1675">
        <f ca="1">Master!AC428</f>
        <v>5610.2016384406788</v>
      </c>
      <c r="Q16" s="1675">
        <f ca="1">Master!AD428</f>
        <v>5784.6553564899041</v>
      </c>
      <c r="R16" s="1675">
        <f ca="1">Master!AE428</f>
        <v>5940.5686334332822</v>
      </c>
      <c r="S16" s="1675">
        <f ca="1">Master!AF428</f>
        <v>6045.1632045673487</v>
      </c>
      <c r="T16" s="1675">
        <f ca="1">Master!AG428</f>
        <v>6123.1099035994321</v>
      </c>
      <c r="U16" s="1293"/>
      <c r="V16" s="1293"/>
      <c r="W16" s="1293"/>
      <c r="X16" s="1293"/>
      <c r="Y16" s="1293"/>
      <c r="Z16" s="1293"/>
      <c r="AA16" s="1293"/>
      <c r="AB16" s="1293"/>
      <c r="AC16" s="1293"/>
      <c r="AD16" s="1293"/>
      <c r="AE16" s="1293"/>
      <c r="AF16" s="1293"/>
      <c r="AG16" s="1293"/>
    </row>
    <row r="17" spans="1:43" ht="15.75">
      <c r="A17" s="1672" t="s">
        <v>572</v>
      </c>
      <c r="B17" s="1705"/>
      <c r="C17" s="1705"/>
      <c r="D17" s="1705">
        <v>0</v>
      </c>
      <c r="E17" s="1705">
        <v>0</v>
      </c>
      <c r="F17" s="1705">
        <v>0</v>
      </c>
      <c r="G17" s="1705">
        <v>0</v>
      </c>
      <c r="H17" s="1705">
        <v>0</v>
      </c>
      <c r="I17" s="1705">
        <v>0</v>
      </c>
      <c r="J17" s="1705">
        <v>0</v>
      </c>
      <c r="K17" s="1705">
        <f>J17+Master!W364</f>
        <v>0</v>
      </c>
      <c r="L17" s="1705">
        <f>K17+Master!X364</f>
        <v>0</v>
      </c>
      <c r="M17" s="1705">
        <f>L17+Master!Y364</f>
        <v>0</v>
      </c>
      <c r="N17" s="1705">
        <f>M17+Master!Z364</f>
        <v>0</v>
      </c>
      <c r="O17" s="1705">
        <f>N17+Master!AA364</f>
        <v>556.76724999999999</v>
      </c>
      <c r="P17" s="1705">
        <f>O17+Master!AB364</f>
        <v>1055.85625</v>
      </c>
      <c r="Q17" s="1705">
        <f>P17+Master!AC364</f>
        <v>1580.2860000000001</v>
      </c>
      <c r="R17" s="1705">
        <f>Q17+Master!AD364</f>
        <v>2127.5565000000001</v>
      </c>
      <c r="S17" s="1705">
        <f>R17+Master!AE364</f>
        <v>2695.1677500000001</v>
      </c>
      <c r="T17" s="1705">
        <f>S17+Master!AF364</f>
        <v>3280.6197499999998</v>
      </c>
      <c r="U17" s="1293"/>
      <c r="V17" s="1293"/>
      <c r="W17" s="1293"/>
      <c r="X17" s="1293"/>
      <c r="Y17" s="1293"/>
      <c r="Z17" s="1293"/>
      <c r="AA17" s="1293"/>
      <c r="AB17" s="1293"/>
      <c r="AC17" s="1293"/>
      <c r="AD17" s="1293"/>
      <c r="AE17" s="1293"/>
      <c r="AF17" s="1293"/>
      <c r="AG17" s="1293"/>
    </row>
    <row r="18" spans="1:43" ht="15.75">
      <c r="A18" s="1684" t="s">
        <v>573</v>
      </c>
      <c r="B18" s="1713"/>
      <c r="C18" s="1713"/>
      <c r="D18" s="1713">
        <f t="shared" ref="D18:O18" si="10">SUM(D10:D16)-D17</f>
        <v>9351.8094070293282</v>
      </c>
      <c r="E18" s="1713">
        <f t="shared" si="10"/>
        <v>9648.8094070293282</v>
      </c>
      <c r="F18" s="1713">
        <f t="shared" si="10"/>
        <v>9540.8094070293282</v>
      </c>
      <c r="G18" s="1713">
        <f t="shared" si="10"/>
        <v>9426.8094070293282</v>
      </c>
      <c r="H18" s="1713">
        <f t="shared" si="10"/>
        <v>10486.809407029328</v>
      </c>
      <c r="I18" s="1713">
        <f t="shared" si="10"/>
        <v>12589.809407029328</v>
      </c>
      <c r="J18" s="1713">
        <f t="shared" si="10"/>
        <v>11974.752207029329</v>
      </c>
      <c r="K18" s="1713">
        <f t="shared" si="10"/>
        <v>13595.172207029329</v>
      </c>
      <c r="L18" s="1713">
        <f t="shared" si="10"/>
        <v>14211.604207029328</v>
      </c>
      <c r="M18" s="1713">
        <f t="shared" si="10"/>
        <v>14467.690667029328</v>
      </c>
      <c r="N18" s="1713">
        <f t="shared" si="10"/>
        <v>13595.205947029328</v>
      </c>
      <c r="O18" s="1713">
        <f t="shared" ca="1" si="10"/>
        <v>12174.86093359079</v>
      </c>
      <c r="P18" s="1713">
        <f t="shared" ref="P18:Q18" ca="1" si="11">SUM(P10:P16)-P17</f>
        <v>11726.230335470005</v>
      </c>
      <c r="Q18" s="1713">
        <f t="shared" ca="1" si="11"/>
        <v>11228.354303519232</v>
      </c>
      <c r="R18" s="1713">
        <f t="shared" ref="R18:T18" ca="1" si="12">SUM(R10:R16)-R17</f>
        <v>10689.09708046261</v>
      </c>
      <c r="S18" s="1713">
        <f t="shared" ca="1" si="12"/>
        <v>10078.180401596677</v>
      </c>
      <c r="T18" s="1713">
        <f t="shared" ca="1" si="12"/>
        <v>9422.7751006287617</v>
      </c>
      <c r="U18" s="1293"/>
      <c r="V18" s="1293"/>
      <c r="W18" s="1293"/>
      <c r="X18" s="1293"/>
      <c r="Y18" s="1293"/>
      <c r="Z18" s="1293"/>
      <c r="AA18" s="1293"/>
      <c r="AB18" s="1293"/>
      <c r="AC18" s="1293"/>
      <c r="AD18" s="1293"/>
      <c r="AE18" s="1293"/>
      <c r="AF18" s="1293"/>
      <c r="AG18" s="1293"/>
    </row>
    <row r="19" spans="1:43" ht="15.75">
      <c r="A19" s="1653"/>
      <c r="B19" s="1675" t="s">
        <v>1823</v>
      </c>
      <c r="C19" s="1675"/>
      <c r="D19" s="1653"/>
      <c r="E19" s="1653"/>
      <c r="F19" s="1653"/>
      <c r="G19" s="1653"/>
      <c r="H19" s="1653"/>
      <c r="I19" s="1653"/>
      <c r="J19" s="1653"/>
      <c r="K19" s="1653"/>
      <c r="L19" s="1665"/>
      <c r="M19" s="1872"/>
      <c r="N19" s="1675"/>
      <c r="O19" s="1653"/>
      <c r="P19" s="1653"/>
      <c r="Q19" s="1653"/>
      <c r="R19" s="1653"/>
      <c r="S19" s="1653"/>
      <c r="T19" s="1653"/>
      <c r="U19" s="1293"/>
      <c r="V19" s="1293"/>
      <c r="W19" s="1293"/>
      <c r="X19" s="1293"/>
      <c r="Y19" s="1293"/>
      <c r="Z19" s="1293"/>
      <c r="AA19" s="1293"/>
      <c r="AB19" s="1293"/>
      <c r="AC19" s="1293"/>
      <c r="AD19" s="1293"/>
      <c r="AE19" s="1293"/>
      <c r="AF19" s="1293"/>
      <c r="AG19" s="1293"/>
    </row>
    <row r="20" spans="1:43" ht="15.75">
      <c r="A20" s="1706" t="s">
        <v>574</v>
      </c>
      <c r="B20" s="1675"/>
      <c r="C20" s="1675"/>
      <c r="D20" s="1707"/>
      <c r="E20" s="1707"/>
      <c r="F20" s="1707"/>
      <c r="G20" s="1665"/>
      <c r="H20" s="1707"/>
      <c r="I20" s="1707"/>
      <c r="J20" s="1707"/>
      <c r="K20" s="1707"/>
      <c r="L20" s="1688"/>
      <c r="M20" s="1675"/>
      <c r="N20" s="1675"/>
      <c r="O20" s="1688"/>
      <c r="P20" s="1688"/>
      <c r="Q20" s="1688"/>
      <c r="R20" s="1688"/>
      <c r="S20" s="1688"/>
      <c r="T20" s="1688"/>
      <c r="U20" s="1293"/>
      <c r="V20" s="1293"/>
      <c r="W20" s="1293"/>
      <c r="X20" s="1293"/>
      <c r="Y20" s="1293"/>
      <c r="Z20" s="1293"/>
      <c r="AA20" s="1293"/>
      <c r="AB20" s="1293"/>
      <c r="AC20" s="1293"/>
      <c r="AD20" s="1293"/>
      <c r="AE20" s="1293"/>
      <c r="AF20" s="1293"/>
      <c r="AG20" s="1293"/>
    </row>
    <row r="21" spans="1:43" ht="15.75">
      <c r="A21" s="1653" t="s">
        <v>360</v>
      </c>
      <c r="B21" s="1675"/>
      <c r="C21" s="1675"/>
      <c r="D21" s="1675">
        <f>Master!Q14</f>
        <v>2109.5211117787239</v>
      </c>
      <c r="E21" s="1675">
        <f>Master!R14</f>
        <v>2265.6309442315396</v>
      </c>
      <c r="F21" s="1675">
        <f>Master!S14</f>
        <v>2225.5</v>
      </c>
      <c r="G21" s="1675">
        <f>Master!T14</f>
        <v>2181</v>
      </c>
      <c r="H21" s="1675">
        <f>Master!U14</f>
        <v>2182</v>
      </c>
      <c r="I21" s="1675">
        <f>Master!V12</f>
        <v>2550</v>
      </c>
      <c r="J21" s="1675">
        <f>Master!W12</f>
        <v>2485</v>
      </c>
      <c r="K21" s="1675">
        <f>Master!X12</f>
        <v>2613</v>
      </c>
      <c r="L21" s="1675">
        <f>Master!Y14</f>
        <v>2228.1349999999998</v>
      </c>
      <c r="M21" s="1675">
        <f>Master!Z14</f>
        <v>2111.2855</v>
      </c>
      <c r="N21" s="1675">
        <f ca="1">Master!AA14</f>
        <v>2468.6458000000002</v>
      </c>
      <c r="O21" s="1675">
        <f>Master!AB14</f>
        <v>2381.685419914671</v>
      </c>
      <c r="P21" s="1675">
        <f>Master!AC14</f>
        <v>2396.1990022089599</v>
      </c>
      <c r="Q21" s="1675">
        <f>Master!AD14</f>
        <v>2461.0081072440548</v>
      </c>
      <c r="R21" s="1675">
        <f>Master!AE14</f>
        <v>2531.4814825398967</v>
      </c>
      <c r="S21" s="1675">
        <f>Master!AF14</f>
        <v>2605.2274230211528</v>
      </c>
      <c r="T21" s="1675">
        <f>Master!AG14</f>
        <v>2675.7831928277733</v>
      </c>
      <c r="U21" s="1293"/>
      <c r="V21" s="1293"/>
      <c r="W21" s="1293"/>
      <c r="X21" s="1293"/>
      <c r="Y21" s="1293"/>
      <c r="Z21" s="1293"/>
      <c r="AA21" s="1293"/>
      <c r="AB21" s="1293"/>
      <c r="AC21" s="1293"/>
      <c r="AD21" s="1293"/>
      <c r="AE21" s="1293"/>
      <c r="AF21" s="1293"/>
      <c r="AG21" s="1293"/>
    </row>
    <row r="22" spans="1:43" ht="15.75">
      <c r="A22" s="1653" t="s">
        <v>214</v>
      </c>
      <c r="B22" s="1675"/>
      <c r="C22" s="1675"/>
      <c r="D22" s="1675">
        <f>-'New split'!D437</f>
        <v>-1206.4077910056501</v>
      </c>
      <c r="E22" s="1675">
        <f ca="1">-'New split'!E437</f>
        <v>-1272.90797223254</v>
      </c>
      <c r="F22" s="1675">
        <f ca="1">-'New split'!F437</f>
        <v>-1030.8847425156582</v>
      </c>
      <c r="G22" s="1675">
        <f>-'New split'!G437</f>
        <v>-994</v>
      </c>
      <c r="H22" s="1675">
        <f>-'New split'!H437</f>
        <v>-998.00000000000011</v>
      </c>
      <c r="I22" s="1675">
        <f ca="1">-'New split'!I437</f>
        <v>-1056</v>
      </c>
      <c r="J22" s="1675">
        <f ca="1">-'New split'!J437</f>
        <v>-990</v>
      </c>
      <c r="K22" s="1675">
        <f ca="1">-'New split'!K437</f>
        <v>-1111</v>
      </c>
      <c r="L22" s="1873">
        <v>-957</v>
      </c>
      <c r="M22" s="1873">
        <v>-931</v>
      </c>
      <c r="N22" s="1873">
        <v>-575</v>
      </c>
      <c r="O22" s="1675">
        <f>-'New split'!O405</f>
        <v>-580.1684569653894</v>
      </c>
      <c r="P22" s="1675">
        <f>-'New split'!P405</f>
        <v>-558.17007617557863</v>
      </c>
      <c r="Q22" s="1675">
        <f>-'New split'!Q405</f>
        <v>-554.72975816629184</v>
      </c>
      <c r="R22" s="1675">
        <f>-'New split'!R405</f>
        <v>-562.60612420755035</v>
      </c>
      <c r="S22" s="1675">
        <f>-'New split'!S405</f>
        <v>-564.67014578764781</v>
      </c>
      <c r="T22" s="1675">
        <f>-'New split'!T405</f>
        <v>-562.33058356837569</v>
      </c>
      <c r="U22" s="1293"/>
      <c r="V22" s="1293"/>
      <c r="W22" s="1293"/>
      <c r="X22" s="1293"/>
      <c r="Y22" s="1293"/>
      <c r="Z22" s="1293"/>
      <c r="AA22" s="1293"/>
      <c r="AB22" s="1293"/>
      <c r="AC22" s="1293"/>
      <c r="AD22" s="1293"/>
      <c r="AE22" s="1293"/>
      <c r="AF22" s="1293"/>
      <c r="AG22" s="1293"/>
    </row>
    <row r="23" spans="1:43" ht="15.75">
      <c r="A23" s="1653" t="s">
        <v>5459</v>
      </c>
      <c r="B23" s="1675"/>
      <c r="C23" s="1675"/>
      <c r="D23" s="1675">
        <f>Master!Q402+Master!Q411</f>
        <v>-383</v>
      </c>
      <c r="E23" s="1675">
        <f>Master!R402+Master!R411</f>
        <v>-397</v>
      </c>
      <c r="F23" s="1675">
        <f>Master!S402+Master!S411</f>
        <v>-472</v>
      </c>
      <c r="G23" s="1675">
        <f>Master!T402+Master!T411</f>
        <v>-471</v>
      </c>
      <c r="H23" s="1675">
        <f>Master!U402+Master!U411</f>
        <v>-436</v>
      </c>
      <c r="I23" s="1675">
        <f>Master!V402+Master!V411-Master!V437</f>
        <v>-612</v>
      </c>
      <c r="J23" s="1675">
        <f>Master!W402+Master!W411-Master!W437</f>
        <v>-722</v>
      </c>
      <c r="K23" s="1675">
        <f>Master!X402+Master!X411-Master!X437</f>
        <v>-583</v>
      </c>
      <c r="L23" s="1873">
        <f>-688</f>
        <v>-688</v>
      </c>
      <c r="M23" s="1873">
        <f>-766</f>
        <v>-766</v>
      </c>
      <c r="N23" s="1873">
        <f>-456-324</f>
        <v>-780</v>
      </c>
      <c r="O23" s="1675">
        <f ca="1">-(Master!AB493+Master!AB437+Master!AB438-Master!AB401)</f>
        <v>-735.61354709684394</v>
      </c>
      <c r="P23" s="1675">
        <f ca="1">-(Master!AC493+Master!AC437+Master!AC438-Master!AC401)</f>
        <v>-739.25921562505346</v>
      </c>
      <c r="Q23" s="1675">
        <f ca="1">-(Master!AD493+Master!AD437+Master!AD438-Master!AD401)</f>
        <v>-766.5264517736116</v>
      </c>
      <c r="R23" s="1675">
        <f ca="1">-(Master!AE493+Master!AE437+Master!AE438-Master!AE401)</f>
        <v>-784.79285583029628</v>
      </c>
      <c r="S23" s="1675">
        <f ca="1">-(Master!AF493+Master!AF437+Master!AF438-Master!AF401)</f>
        <v>-800.7425354027007</v>
      </c>
      <c r="T23" s="1675">
        <f ca="1">-(Master!AG493+Master!AG437+Master!AG438-Master!AG401)</f>
        <v>-814.81017516165525</v>
      </c>
      <c r="U23" s="1293" t="s">
        <v>9174</v>
      </c>
      <c r="V23" s="1293"/>
      <c r="W23" s="1293"/>
      <c r="X23" s="1293"/>
      <c r="Y23" s="1293"/>
      <c r="Z23" s="1293"/>
      <c r="AA23" s="1293"/>
      <c r="AB23" s="1293"/>
      <c r="AC23" s="1293"/>
      <c r="AD23" s="1293"/>
      <c r="AE23" s="1293"/>
      <c r="AF23" s="1293"/>
      <c r="AG23" s="1293"/>
    </row>
    <row r="24" spans="1:43" ht="15.75">
      <c r="A24" s="1653" t="s">
        <v>7423</v>
      </c>
      <c r="B24" s="1675"/>
      <c r="C24" s="1675"/>
      <c r="D24" s="1675"/>
      <c r="E24" s="1675"/>
      <c r="F24" s="1675"/>
      <c r="G24" s="1675"/>
      <c r="H24" s="1675"/>
      <c r="I24" s="1675"/>
      <c r="J24" s="1675"/>
      <c r="K24" s="1675"/>
      <c r="L24" s="1873">
        <v>88</v>
      </c>
      <c r="M24" s="1873">
        <v>86</v>
      </c>
      <c r="N24" s="1873">
        <v>89</v>
      </c>
      <c r="O24" s="1675">
        <f t="shared" ref="O24" si="13">O125</f>
        <v>90.811654055326841</v>
      </c>
      <c r="P24" s="1675">
        <f t="shared" ref="P24:Q24" si="14">P125</f>
        <v>92.146272251115363</v>
      </c>
      <c r="Q24" s="1675">
        <f t="shared" si="14"/>
        <v>96.027797564235556</v>
      </c>
      <c r="R24" s="1675">
        <f t="shared" ref="R24:T24" si="15">R125</f>
        <v>96.027797564235556</v>
      </c>
      <c r="S24" s="1675">
        <f t="shared" si="15"/>
        <v>96.027797564235556</v>
      </c>
      <c r="T24" s="1675">
        <f t="shared" si="15"/>
        <v>96.027797564235556</v>
      </c>
      <c r="U24" s="1293"/>
      <c r="V24" s="1293"/>
      <c r="W24" s="1293"/>
      <c r="X24" s="1293"/>
      <c r="Y24" s="1293"/>
      <c r="Z24" s="1293"/>
      <c r="AA24" s="1293"/>
      <c r="AB24" s="1293"/>
      <c r="AC24" s="1293"/>
      <c r="AD24" s="1293"/>
      <c r="AE24" s="1293"/>
      <c r="AF24" s="1293"/>
      <c r="AG24" s="1293"/>
    </row>
    <row r="25" spans="1:43" ht="15.75">
      <c r="A25" s="1653" t="s">
        <v>8180</v>
      </c>
      <c r="B25" s="1675"/>
      <c r="C25" s="1675"/>
      <c r="D25" s="1675">
        <f>-Master!Q176</f>
        <v>-292</v>
      </c>
      <c r="E25" s="1675">
        <f>-Master!R176</f>
        <v>-291</v>
      </c>
      <c r="F25" s="1675">
        <f>-Master!S176</f>
        <v>-251</v>
      </c>
      <c r="G25" s="1675">
        <f>-Master!T176</f>
        <v>-252</v>
      </c>
      <c r="H25" s="1675">
        <f>-Master!U176</f>
        <v>-204</v>
      </c>
      <c r="I25" s="1675">
        <f>-Master!V176</f>
        <v>-222</v>
      </c>
      <c r="J25" s="1675">
        <f>-Master!W176</f>
        <v>-204</v>
      </c>
      <c r="K25" s="1675">
        <f>-Master!X176</f>
        <v>-158</v>
      </c>
      <c r="L25" s="1873">
        <v>-316</v>
      </c>
      <c r="M25" s="1873">
        <v>-233</v>
      </c>
      <c r="N25" s="1873">
        <v>-239</v>
      </c>
      <c r="O25" s="1675">
        <f ca="1">-Master!AB176</f>
        <v>-267.30215329751451</v>
      </c>
      <c r="P25" s="1675">
        <f ca="1">-Master!AC176</f>
        <v>-348.1306027258467</v>
      </c>
      <c r="Q25" s="1675">
        <f ca="1">-Master!AD176</f>
        <v>-344.46528864977483</v>
      </c>
      <c r="R25" s="1675">
        <f ca="1">-Master!AE176</f>
        <v>-350.34330438073926</v>
      </c>
      <c r="S25" s="1675">
        <f ca="1">-Master!AF176</f>
        <v>-361.15754461674925</v>
      </c>
      <c r="T25" s="1675">
        <f ca="1">-Master!AG176</f>
        <v>-374.78229820533898</v>
      </c>
      <c r="U25" s="1293"/>
      <c r="V25" s="1293"/>
      <c r="W25" s="1293"/>
      <c r="X25" s="1293"/>
      <c r="Y25" s="1293"/>
      <c r="Z25" s="1293"/>
      <c r="AA25" s="1293"/>
      <c r="AB25" s="1293"/>
      <c r="AC25" s="1293"/>
      <c r="AD25" s="1293"/>
      <c r="AE25" s="1293"/>
      <c r="AF25" s="1293"/>
      <c r="AG25" s="1293"/>
      <c r="AH25">
        <v>777</v>
      </c>
      <c r="AJ25">
        <v>728</v>
      </c>
      <c r="AL25">
        <v>750</v>
      </c>
      <c r="AP25" t="s">
        <v>9127</v>
      </c>
      <c r="AQ25">
        <v>750</v>
      </c>
    </row>
    <row r="26" spans="1:43" ht="15.75">
      <c r="A26" s="1672" t="s">
        <v>5827</v>
      </c>
      <c r="B26" s="1705"/>
      <c r="C26" s="1705"/>
      <c r="D26" s="1705">
        <f>Master!Q107</f>
        <v>-300</v>
      </c>
      <c r="E26" s="1705">
        <f>Master!R107</f>
        <v>-269</v>
      </c>
      <c r="F26" s="1705">
        <f>Master!S107</f>
        <v>-165</v>
      </c>
      <c r="G26" s="1705">
        <f>Master!T107</f>
        <v>-164</v>
      </c>
      <c r="H26" s="1705">
        <f>Master!U107</f>
        <v>-198</v>
      </c>
      <c r="I26" s="1705">
        <f ca="1">-I123</f>
        <v>-125.1156955842669</v>
      </c>
      <c r="J26" s="1705">
        <f t="shared" ref="J26:O26" ca="1" si="16">-J123</f>
        <v>-144.48857795266565</v>
      </c>
      <c r="K26" s="1705">
        <f t="shared" ca="1" si="16"/>
        <v>-183.05293298771892</v>
      </c>
      <c r="L26" s="1874">
        <v>-4</v>
      </c>
      <c r="M26" s="1874">
        <v>0</v>
      </c>
      <c r="N26" s="1874">
        <v>0</v>
      </c>
      <c r="O26" s="1705">
        <f t="shared" si="16"/>
        <v>0</v>
      </c>
      <c r="P26" s="1705">
        <f t="shared" ref="P26:Q26" si="17">-P123</f>
        <v>0</v>
      </c>
      <c r="Q26" s="1705">
        <f t="shared" si="17"/>
        <v>0</v>
      </c>
      <c r="R26" s="1705">
        <f t="shared" ref="R26:T26" si="18">-R123</f>
        <v>0</v>
      </c>
      <c r="S26" s="1705">
        <f t="shared" si="18"/>
        <v>0</v>
      </c>
      <c r="T26" s="1705">
        <f t="shared" si="18"/>
        <v>0</v>
      </c>
      <c r="U26" s="1293"/>
      <c r="V26" s="1293"/>
      <c r="W26" s="1293"/>
      <c r="X26" s="1293"/>
      <c r="Y26" s="1293"/>
      <c r="Z26" s="1293"/>
      <c r="AA26" s="1293"/>
      <c r="AB26" s="1293"/>
      <c r="AC26" s="1293"/>
      <c r="AD26" s="1293"/>
      <c r="AE26" s="1293"/>
      <c r="AF26" s="1293"/>
      <c r="AG26" s="1293"/>
      <c r="AH26" s="464">
        <f ca="1">N32</f>
        <v>778.64580000000024</v>
      </c>
      <c r="AI26" s="2460">
        <f ca="1">AH25/AH26-1</f>
        <v>-2.113669655702588E-3</v>
      </c>
      <c r="AJ26" s="464">
        <f ca="1">AH26</f>
        <v>778.64580000000024</v>
      </c>
      <c r="AK26" s="2460">
        <f ca="1">AJ25/AJ26-1</f>
        <v>-6.5043438235973583E-2</v>
      </c>
      <c r="AL26">
        <v>750</v>
      </c>
      <c r="AM26" s="2460">
        <f>AL25/AL26-1</f>
        <v>0</v>
      </c>
      <c r="AP26" t="s">
        <v>1643</v>
      </c>
      <c r="AQ26">
        <v>721</v>
      </c>
    </row>
    <row r="27" spans="1:43" ht="15.75">
      <c r="A27" s="1653" t="s">
        <v>8409</v>
      </c>
      <c r="B27" s="1675"/>
      <c r="C27" s="1675"/>
      <c r="D27" s="1675">
        <f t="shared" ref="D27:R27" si="19">SUM(D21:D26)</f>
        <v>-71.886679226926162</v>
      </c>
      <c r="E27" s="1675">
        <f t="shared" ca="1" si="19"/>
        <v>35.722971998999583</v>
      </c>
      <c r="F27" s="1675">
        <f t="shared" ca="1" si="19"/>
        <v>306.61525748434178</v>
      </c>
      <c r="G27" s="1675">
        <f t="shared" si="19"/>
        <v>300</v>
      </c>
      <c r="H27" s="1675">
        <f t="shared" si="19"/>
        <v>346</v>
      </c>
      <c r="I27" s="1675">
        <f t="shared" ca="1" si="19"/>
        <v>534.88430441573314</v>
      </c>
      <c r="J27" s="1675">
        <f t="shared" ca="1" si="19"/>
        <v>424.51142204733435</v>
      </c>
      <c r="K27" s="1675">
        <f t="shared" ca="1" si="19"/>
        <v>577.94706701228108</v>
      </c>
      <c r="L27" s="1675">
        <f t="shared" si="19"/>
        <v>351.13499999999976</v>
      </c>
      <c r="M27" s="1675">
        <f t="shared" si="19"/>
        <v>267.28549999999996</v>
      </c>
      <c r="N27" s="1675">
        <f t="shared" ca="1" si="19"/>
        <v>963.64580000000024</v>
      </c>
      <c r="O27" s="1675">
        <f t="shared" ca="1" si="19"/>
        <v>889.41291661025025</v>
      </c>
      <c r="P27" s="1675">
        <f t="shared" ca="1" si="19"/>
        <v>842.78537993359623</v>
      </c>
      <c r="Q27" s="1675">
        <f t="shared" ca="1" si="19"/>
        <v>891.31440621861191</v>
      </c>
      <c r="R27" s="1675">
        <f t="shared" ca="1" si="19"/>
        <v>929.76699568554636</v>
      </c>
      <c r="S27" s="1675">
        <f t="shared" ref="S27:T27" ca="1" si="20">SUM(S21:S26)</f>
        <v>974.6849947782905</v>
      </c>
      <c r="T27" s="1675">
        <f t="shared" ca="1" si="20"/>
        <v>1019.8879334566391</v>
      </c>
      <c r="U27" s="1293"/>
      <c r="V27" s="1293"/>
      <c r="W27" s="1293"/>
      <c r="X27" s="1293"/>
      <c r="Y27" s="1293"/>
      <c r="Z27" s="1293"/>
      <c r="AA27" s="1293"/>
      <c r="AB27" s="1293"/>
      <c r="AC27" s="1293"/>
      <c r="AD27" s="1293"/>
      <c r="AE27" s="1293"/>
      <c r="AF27" s="1293"/>
      <c r="AG27" s="1293"/>
      <c r="AH27">
        <v>678</v>
      </c>
      <c r="AI27" s="2460">
        <f>AH25/AH27-1</f>
        <v>0.14601769911504414</v>
      </c>
      <c r="AJ27">
        <v>678</v>
      </c>
      <c r="AK27" s="2460">
        <f>AJ25/AJ27-1</f>
        <v>7.3746312684365822E-2</v>
      </c>
      <c r="AL27">
        <v>721</v>
      </c>
      <c r="AM27" s="2460">
        <f>AL25/AL27-1</f>
        <v>4.0221914008321757E-2</v>
      </c>
      <c r="AP27" t="s">
        <v>6093</v>
      </c>
      <c r="AQ27">
        <v>750</v>
      </c>
    </row>
    <row r="28" spans="1:43" ht="15.75">
      <c r="A28" s="1672" t="s">
        <v>7797</v>
      </c>
      <c r="B28" s="1705"/>
      <c r="C28" s="1705"/>
      <c r="D28" s="1705"/>
      <c r="E28" s="1705"/>
      <c r="F28" s="1705"/>
      <c r="G28" s="1705"/>
      <c r="H28" s="1705"/>
      <c r="I28" s="1705"/>
      <c r="J28" s="1705"/>
      <c r="K28" s="1705"/>
      <c r="L28" s="1874">
        <f>-'New (new) quarts'!AY486</f>
        <v>92.93</v>
      </c>
      <c r="M28" s="1874">
        <v>236</v>
      </c>
      <c r="N28" s="1874">
        <v>135</v>
      </c>
      <c r="O28" s="1705">
        <f>Master!AB211</f>
        <v>100</v>
      </c>
      <c r="P28" s="1705">
        <f>Master!AC211</f>
        <v>100</v>
      </c>
      <c r="Q28" s="1705">
        <f>Master!AD211</f>
        <v>100</v>
      </c>
      <c r="R28" s="1705">
        <f>Master!AE211</f>
        <v>100</v>
      </c>
      <c r="S28" s="1705">
        <f>Master!AF211</f>
        <v>100</v>
      </c>
      <c r="T28" s="1705">
        <f>Master!AG211</f>
        <v>100</v>
      </c>
      <c r="U28" s="1293"/>
      <c r="V28" s="1293"/>
      <c r="W28" s="1293"/>
      <c r="X28" s="1293"/>
      <c r="Y28" s="1293"/>
      <c r="Z28" s="1293"/>
      <c r="AA28" s="1293"/>
      <c r="AB28" s="1293"/>
      <c r="AC28" s="1293"/>
      <c r="AD28" s="1293"/>
      <c r="AE28" s="1293"/>
      <c r="AF28" s="1293"/>
      <c r="AG28" s="1293"/>
    </row>
    <row r="29" spans="1:43" ht="15.75">
      <c r="A29" s="1653" t="s">
        <v>7474</v>
      </c>
      <c r="B29" s="1675"/>
      <c r="C29" s="1675"/>
      <c r="D29" s="1675"/>
      <c r="E29" s="1675"/>
      <c r="F29" s="1675"/>
      <c r="G29" s="1675"/>
      <c r="H29" s="1675"/>
      <c r="I29" s="1675"/>
      <c r="J29" s="1675"/>
      <c r="K29" s="1675"/>
      <c r="L29" s="1675">
        <f t="shared" ref="L29:R29" si="21">L27-L28</f>
        <v>258.20499999999976</v>
      </c>
      <c r="M29" s="1675">
        <f t="shared" si="21"/>
        <v>31.285499999999956</v>
      </c>
      <c r="N29" s="1675">
        <f t="shared" ca="1" si="21"/>
        <v>828.64580000000024</v>
      </c>
      <c r="O29" s="1675">
        <f t="shared" ca="1" si="21"/>
        <v>789.41291661025025</v>
      </c>
      <c r="P29" s="1675">
        <f t="shared" ca="1" si="21"/>
        <v>742.78537993359623</v>
      </c>
      <c r="Q29" s="1675">
        <f t="shared" ca="1" si="21"/>
        <v>791.31440621861191</v>
      </c>
      <c r="R29" s="1675">
        <f t="shared" ca="1" si="21"/>
        <v>829.76699568554636</v>
      </c>
      <c r="S29" s="1675">
        <f t="shared" ref="S29:T29" ca="1" si="22">S27-S28</f>
        <v>874.6849947782905</v>
      </c>
      <c r="T29" s="1675">
        <f t="shared" ca="1" si="22"/>
        <v>919.88793345663908</v>
      </c>
      <c r="U29" s="1293"/>
      <c r="V29" s="1293"/>
      <c r="W29" s="1293"/>
      <c r="X29" s="1293"/>
      <c r="Y29" s="1293"/>
      <c r="Z29" s="1293"/>
      <c r="AA29" s="1293"/>
      <c r="AB29" s="1293"/>
      <c r="AC29" s="1293"/>
      <c r="AD29" s="1293"/>
      <c r="AE29" s="1293"/>
      <c r="AF29" s="1293"/>
      <c r="AG29" s="1293"/>
    </row>
    <row r="30" spans="1:43" ht="15.75">
      <c r="A30" s="1653" t="s">
        <v>8402</v>
      </c>
      <c r="B30" s="1675"/>
      <c r="C30" s="1675"/>
      <c r="D30" s="1675"/>
      <c r="E30" s="1675"/>
      <c r="F30" s="1675"/>
      <c r="G30" s="1675"/>
      <c r="H30" s="1675"/>
      <c r="I30" s="1675"/>
      <c r="J30" s="1675"/>
      <c r="K30" s="1675"/>
      <c r="L30" s="1873">
        <f>29+24</f>
        <v>53</v>
      </c>
      <c r="M30" s="1873">
        <f>52+4</f>
        <v>56</v>
      </c>
      <c r="N30" s="1873">
        <f>50-3</f>
        <v>47</v>
      </c>
      <c r="O30" s="1875">
        <f>97.5/2-40/2</f>
        <v>28.75</v>
      </c>
      <c r="P30" s="1875">
        <f>97.5-40</f>
        <v>57.5</v>
      </c>
      <c r="Q30" s="1875">
        <f t="shared" ref="Q30:T30" si="23">97.5-40</f>
        <v>57.5</v>
      </c>
      <c r="R30" s="1875">
        <f t="shared" si="23"/>
        <v>57.5</v>
      </c>
      <c r="S30" s="1875">
        <f t="shared" si="23"/>
        <v>57.5</v>
      </c>
      <c r="T30" s="1875">
        <f t="shared" si="23"/>
        <v>57.5</v>
      </c>
      <c r="U30" s="1293"/>
      <c r="V30" s="1293"/>
      <c r="W30" s="1293"/>
      <c r="X30" s="1293"/>
      <c r="Y30" s="1293"/>
      <c r="Z30" s="1293"/>
      <c r="AA30" s="1293"/>
      <c r="AB30" s="1293"/>
      <c r="AC30" s="1293"/>
      <c r="AD30" s="1293"/>
      <c r="AE30" s="1293"/>
      <c r="AF30" s="1293"/>
      <c r="AG30" s="1293"/>
      <c r="AH30" s="464">
        <f ca="1">N32</f>
        <v>778.64580000000024</v>
      </c>
    </row>
    <row r="31" spans="1:43" ht="15.75">
      <c r="A31" s="1672" t="s">
        <v>7798</v>
      </c>
      <c r="B31" s="1705"/>
      <c r="C31" s="1705"/>
      <c r="D31" s="1705"/>
      <c r="E31" s="1705"/>
      <c r="F31" s="1705"/>
      <c r="G31" s="1705"/>
      <c r="H31" s="1705"/>
      <c r="I31" s="1705"/>
      <c r="J31" s="1705"/>
      <c r="K31" s="1705"/>
      <c r="L31" s="1874">
        <v>-151</v>
      </c>
      <c r="M31" s="1874">
        <v>-123</v>
      </c>
      <c r="N31" s="1874">
        <v>-97</v>
      </c>
      <c r="O31" s="1705">
        <f>Master!AB319+Master!AB95</f>
        <v>-58.541996151463962</v>
      </c>
      <c r="P31" s="1705">
        <f>Master!AC319+Master!AC95</f>
        <v>-9.2076793491958924</v>
      </c>
      <c r="Q31" s="1705">
        <f>Master!AD319+Master!AD95</f>
        <v>-6.5571751969035077</v>
      </c>
      <c r="R31" s="1705">
        <f>Master!AE319+Master!AE95</f>
        <v>-5.9049368953626669</v>
      </c>
      <c r="S31" s="1705">
        <f>Master!AF319+Master!AF95</f>
        <v>18.584542419381009</v>
      </c>
      <c r="T31" s="1705">
        <f>Master!AG319+Master!AG95</f>
        <v>15.584941484987212</v>
      </c>
      <c r="U31" s="1293"/>
      <c r="V31" s="1293"/>
      <c r="W31" s="1293"/>
      <c r="X31" s="1671" t="str">
        <f>N6</f>
        <v>2024A</v>
      </c>
      <c r="Y31" s="1671" t="str">
        <f>O6</f>
        <v>2025E</v>
      </c>
      <c r="Z31" s="1671" t="str">
        <f>P6</f>
        <v>2026E</v>
      </c>
      <c r="AA31" s="1293"/>
      <c r="AB31" s="1293"/>
      <c r="AC31" s="1293"/>
      <c r="AD31" s="1293"/>
      <c r="AE31" s="1293"/>
      <c r="AF31" s="1293"/>
      <c r="AG31" s="1293"/>
      <c r="AH31">
        <v>1</v>
      </c>
      <c r="AI31">
        <v>268</v>
      </c>
      <c r="AJ31">
        <v>271</v>
      </c>
    </row>
    <row r="32" spans="1:43" ht="15.75">
      <c r="A32" s="1684" t="s">
        <v>7659</v>
      </c>
      <c r="B32" s="1713"/>
      <c r="C32" s="1713"/>
      <c r="D32" s="1713"/>
      <c r="E32" s="1713"/>
      <c r="F32" s="1713"/>
      <c r="G32" s="1713"/>
      <c r="H32" s="1713"/>
      <c r="I32" s="1713"/>
      <c r="J32" s="1713"/>
      <c r="K32" s="1713"/>
      <c r="L32" s="1713">
        <f>L29+L30+L31</f>
        <v>160.20499999999976</v>
      </c>
      <c r="M32" s="1713">
        <f>M29+M30+M31</f>
        <v>-35.714500000000044</v>
      </c>
      <c r="N32" s="1713">
        <f t="shared" ref="N32:O32" ca="1" si="24">N29+N30+N31</f>
        <v>778.64580000000024</v>
      </c>
      <c r="O32" s="1713">
        <f t="shared" ca="1" si="24"/>
        <v>759.62092045878626</v>
      </c>
      <c r="P32" s="1713">
        <f t="shared" ref="P32:Q32" ca="1" si="25">P29+P30+P31</f>
        <v>791.0777005844003</v>
      </c>
      <c r="Q32" s="1713">
        <f t="shared" ca="1" si="25"/>
        <v>842.25723102170844</v>
      </c>
      <c r="R32" s="1713">
        <f t="shared" ref="R32:T32" ca="1" si="26">R29+R30+R31</f>
        <v>881.36205879018371</v>
      </c>
      <c r="S32" s="1713">
        <f t="shared" ca="1" si="26"/>
        <v>950.76953719767153</v>
      </c>
      <c r="T32" s="1713">
        <f t="shared" ca="1" si="26"/>
        <v>992.97287494162629</v>
      </c>
      <c r="U32" s="1293"/>
      <c r="V32" s="1293"/>
      <c r="W32" s="1293" t="s">
        <v>574</v>
      </c>
      <c r="X32" s="1327">
        <f ca="1">N32</f>
        <v>778.64580000000024</v>
      </c>
      <c r="Y32" s="1327">
        <f ca="1">O32</f>
        <v>759.62092045878626</v>
      </c>
      <c r="Z32" s="1327">
        <f ca="1">P32</f>
        <v>791.0777005844003</v>
      </c>
      <c r="AA32" s="1293"/>
      <c r="AB32" s="1293"/>
      <c r="AC32" s="1293"/>
      <c r="AD32" s="1293"/>
      <c r="AE32" s="1293"/>
      <c r="AF32" s="1293"/>
      <c r="AG32" s="1293"/>
      <c r="AJ32" s="464">
        <f ca="1">AH30-AH31-AI31-AJ31</f>
        <v>238.64580000000024</v>
      </c>
      <c r="AK32" t="s">
        <v>7006</v>
      </c>
      <c r="AL32" s="138">
        <f ca="1">AJ35/AJ32-1</f>
        <v>-1.1086723504039164E-2</v>
      </c>
    </row>
    <row r="33" spans="1:38" s="463" customFormat="1" ht="15.75">
      <c r="A33" s="1653" t="s">
        <v>6092</v>
      </c>
      <c r="B33" s="1675"/>
      <c r="C33" s="1675"/>
      <c r="D33" s="1675"/>
      <c r="E33" s="1675"/>
      <c r="F33" s="1675"/>
      <c r="G33" s="1675"/>
      <c r="H33" s="1675"/>
      <c r="I33" s="1675"/>
      <c r="J33" s="1675"/>
      <c r="K33" s="1675"/>
      <c r="L33" s="1675"/>
      <c r="M33" s="1675"/>
      <c r="N33" s="1675"/>
      <c r="O33" s="2511">
        <v>750</v>
      </c>
      <c r="P33" s="1877"/>
      <c r="Q33" s="1877"/>
      <c r="R33" s="1675"/>
      <c r="S33" s="1675"/>
      <c r="T33" s="1675"/>
      <c r="U33" s="1293"/>
      <c r="V33" s="1293"/>
      <c r="W33" s="1293"/>
      <c r="X33" s="1327"/>
      <c r="Y33" s="1327"/>
      <c r="Z33" s="1327"/>
      <c r="AA33" s="1293"/>
      <c r="AB33" s="1293"/>
      <c r="AC33" s="1293"/>
      <c r="AD33" s="1293"/>
      <c r="AE33" s="1293"/>
      <c r="AF33" s="1293"/>
      <c r="AG33" s="1293"/>
      <c r="AJ33" s="1276"/>
      <c r="AL33" s="2510"/>
    </row>
    <row r="34" spans="1:38" ht="15.75">
      <c r="A34" s="1653" t="s">
        <v>9008</v>
      </c>
      <c r="B34" s="1675"/>
      <c r="C34" s="1675"/>
      <c r="D34" s="1675"/>
      <c r="E34" s="1675"/>
      <c r="F34" s="1675"/>
      <c r="G34" s="1675"/>
      <c r="H34" s="1675"/>
      <c r="I34" s="1675"/>
      <c r="J34" s="1675"/>
      <c r="K34" s="1675"/>
      <c r="L34" s="1675"/>
      <c r="M34" s="1675"/>
      <c r="N34" s="1675"/>
      <c r="O34" s="1876"/>
      <c r="P34" s="1876">
        <v>833</v>
      </c>
      <c r="Q34" s="1876"/>
      <c r="R34" s="1675"/>
      <c r="S34" s="1675"/>
      <c r="T34" s="1675"/>
      <c r="U34" s="1293"/>
      <c r="V34" s="1293"/>
      <c r="W34" s="1293" t="s">
        <v>1648</v>
      </c>
      <c r="X34" s="1328">
        <f ca="1">N70</f>
        <v>0.15365668352042813</v>
      </c>
      <c r="Y34" s="1328">
        <f ca="1">O70</f>
        <v>0.15436257121302321</v>
      </c>
      <c r="Z34" s="1328">
        <f ca="1">P70</f>
        <v>0.16573606117070405</v>
      </c>
      <c r="AA34" s="1293"/>
      <c r="AB34" s="1293"/>
      <c r="AC34" s="1293"/>
      <c r="AD34" s="1293"/>
      <c r="AE34" s="1293"/>
      <c r="AF34" s="1293"/>
      <c r="AG34" s="1293"/>
      <c r="AJ34">
        <v>138</v>
      </c>
      <c r="AK34" t="s">
        <v>7005</v>
      </c>
      <c r="AL34" s="138">
        <f>AJ35/AJ34-1</f>
        <v>0.71014492753623193</v>
      </c>
    </row>
    <row r="35" spans="1:38" ht="15.75">
      <c r="A35" s="1653" t="s">
        <v>8509</v>
      </c>
      <c r="B35" s="1675"/>
      <c r="C35" s="1675"/>
      <c r="D35" s="1675"/>
      <c r="E35" s="1675"/>
      <c r="F35" s="1675"/>
      <c r="G35" s="1675"/>
      <c r="H35" s="1675"/>
      <c r="I35" s="1675"/>
      <c r="J35" s="1675"/>
      <c r="K35" s="1675"/>
      <c r="L35" s="1675"/>
      <c r="M35" s="1675"/>
      <c r="N35" s="1675"/>
      <c r="O35" s="1877">
        <v>677</v>
      </c>
      <c r="P35" s="1877">
        <v>766</v>
      </c>
      <c r="Q35" s="1877"/>
      <c r="R35" s="1675"/>
      <c r="S35" s="1675"/>
      <c r="T35" s="1675"/>
      <c r="U35" s="1293"/>
      <c r="V35" s="1293"/>
      <c r="W35" s="1293"/>
      <c r="X35" s="1293"/>
      <c r="Y35" s="1293"/>
      <c r="Z35" s="1293"/>
      <c r="AA35" s="1293"/>
      <c r="AB35" s="1293"/>
      <c r="AC35" s="1293"/>
      <c r="AD35" s="1293"/>
      <c r="AE35" s="1293"/>
      <c r="AF35" s="1293"/>
      <c r="AG35" s="1293"/>
      <c r="AJ35">
        <v>236</v>
      </c>
      <c r="AK35" t="s">
        <v>9122</v>
      </c>
    </row>
    <row r="36" spans="1:38" ht="15.75">
      <c r="A36" s="1653"/>
      <c r="B36" s="1675"/>
      <c r="C36" s="1675"/>
      <c r="D36" s="1675"/>
      <c r="E36" s="1675"/>
      <c r="F36" s="1675"/>
      <c r="G36" s="1675"/>
      <c r="H36" s="1675"/>
      <c r="I36" s="1675"/>
      <c r="J36" s="1675"/>
      <c r="K36" s="1675"/>
      <c r="L36" s="1675"/>
      <c r="M36" s="1675"/>
      <c r="N36" s="1675"/>
      <c r="O36" s="1675"/>
      <c r="P36" s="1675"/>
      <c r="Q36" s="1675"/>
      <c r="R36" s="1675"/>
      <c r="S36" s="1675"/>
      <c r="T36" s="1675"/>
      <c r="U36" s="1293"/>
      <c r="V36" s="1293"/>
      <c r="W36" s="1293"/>
      <c r="X36" s="1293"/>
      <c r="Y36" s="1293"/>
      <c r="Z36" s="1293"/>
      <c r="AA36" s="1293"/>
      <c r="AB36" s="1293"/>
      <c r="AC36" s="1293"/>
      <c r="AD36" s="1293"/>
      <c r="AE36" s="1293"/>
      <c r="AF36" s="1293"/>
      <c r="AG36" s="1293"/>
      <c r="AK36" t="s">
        <v>9123</v>
      </c>
    </row>
    <row r="37" spans="1:38" ht="15.75">
      <c r="A37" s="1684" t="s">
        <v>1936</v>
      </c>
      <c r="B37" s="1675"/>
      <c r="C37" s="1675"/>
      <c r="D37" s="1675"/>
      <c r="E37" s="1675"/>
      <c r="F37" s="1675"/>
      <c r="G37" s="1675"/>
      <c r="H37" s="1675"/>
      <c r="I37" s="1675"/>
      <c r="J37" s="1675"/>
      <c r="K37" s="1675"/>
      <c r="L37" s="1675"/>
      <c r="M37" s="1675"/>
      <c r="N37" s="1675"/>
      <c r="O37" s="1675"/>
      <c r="P37" s="1675"/>
      <c r="Q37" s="1675"/>
      <c r="R37" s="1675"/>
      <c r="S37" s="1675"/>
      <c r="T37" s="1675"/>
      <c r="U37" s="1293"/>
      <c r="V37" s="1293"/>
      <c r="W37" s="1293"/>
      <c r="X37" s="1293"/>
      <c r="Y37" s="1293"/>
      <c r="Z37" s="1293"/>
      <c r="AA37" s="1293"/>
      <c r="AB37" s="1293"/>
      <c r="AC37" s="1293"/>
      <c r="AD37" s="1293"/>
      <c r="AE37" s="1293"/>
      <c r="AF37" s="1293"/>
      <c r="AG37" s="1293"/>
    </row>
    <row r="38" spans="1:38" ht="15.75">
      <c r="A38" s="1653" t="s">
        <v>7865</v>
      </c>
      <c r="B38" s="1675"/>
      <c r="C38" s="1675"/>
      <c r="D38" s="1675"/>
      <c r="E38" s="1675"/>
      <c r="F38" s="1675"/>
      <c r="G38" s="1675"/>
      <c r="H38" s="1675"/>
      <c r="I38" s="1675"/>
      <c r="J38" s="1675"/>
      <c r="K38" s="1675"/>
      <c r="L38" s="1675">
        <f>Master!Y22</f>
        <v>1936</v>
      </c>
      <c r="M38" s="1675">
        <f>Master!Z22</f>
        <v>1812</v>
      </c>
      <c r="N38" s="1675">
        <f>Master!AA22</f>
        <v>2142</v>
      </c>
      <c r="O38" s="1675">
        <f ca="1">Master!AB22</f>
        <v>2022.3750399146707</v>
      </c>
      <c r="P38" s="1675">
        <f ca="1">Master!AC22</f>
        <v>2029.7024146089595</v>
      </c>
      <c r="Q38" s="1675">
        <f ca="1">Master!AD22</f>
        <v>2087.1815878920547</v>
      </c>
      <c r="R38" s="1675">
        <f ca="1">Master!AE22</f>
        <v>2150.1784328008562</v>
      </c>
      <c r="S38" s="1675">
        <f ca="1">Master!AF22</f>
        <v>2216.298312287332</v>
      </c>
      <c r="T38" s="1675">
        <f ca="1">Master!AG22</f>
        <v>2279.0754998792759</v>
      </c>
      <c r="U38" s="1293"/>
      <c r="V38" s="1293"/>
      <c r="W38" s="1293"/>
      <c r="X38" s="1293"/>
      <c r="Y38" s="1293"/>
      <c r="Z38" s="1293"/>
      <c r="AA38" s="1293"/>
      <c r="AB38" s="1293"/>
      <c r="AC38" s="1293"/>
      <c r="AD38" s="1293"/>
      <c r="AE38" s="1293"/>
      <c r="AF38" s="1293"/>
      <c r="AG38" s="1293"/>
    </row>
    <row r="39" spans="1:38" ht="15.75">
      <c r="A39" s="1653" t="s">
        <v>8639</v>
      </c>
      <c r="B39" s="1675"/>
      <c r="C39" s="1675"/>
      <c r="D39" s="1675"/>
      <c r="E39" s="1675"/>
      <c r="F39" s="1675"/>
      <c r="G39" s="1675"/>
      <c r="H39" s="1675"/>
      <c r="I39" s="1675"/>
      <c r="J39" s="1675"/>
      <c r="K39" s="1675"/>
      <c r="L39" s="1675">
        <f t="shared" ref="L39:R39" si="27">L24</f>
        <v>88</v>
      </c>
      <c r="M39" s="1675">
        <f t="shared" si="27"/>
        <v>86</v>
      </c>
      <c r="N39" s="1675">
        <f t="shared" si="27"/>
        <v>89</v>
      </c>
      <c r="O39" s="1675">
        <f t="shared" si="27"/>
        <v>90.811654055326841</v>
      </c>
      <c r="P39" s="1675">
        <f t="shared" si="27"/>
        <v>92.146272251115363</v>
      </c>
      <c r="Q39" s="1675">
        <f t="shared" si="27"/>
        <v>96.027797564235556</v>
      </c>
      <c r="R39" s="1675">
        <f t="shared" si="27"/>
        <v>96.027797564235556</v>
      </c>
      <c r="S39" s="1675">
        <f t="shared" ref="S39:T39" si="28">S24</f>
        <v>96.027797564235556</v>
      </c>
      <c r="T39" s="1675">
        <f t="shared" si="28"/>
        <v>96.027797564235556</v>
      </c>
      <c r="U39" s="1293"/>
      <c r="V39" s="1293"/>
      <c r="W39" s="1293"/>
      <c r="X39" s="1293"/>
      <c r="Y39" s="1293"/>
      <c r="Z39" s="1293"/>
      <c r="AA39" s="1293"/>
      <c r="AB39" s="1293"/>
      <c r="AC39" s="1293"/>
      <c r="AD39" s="1293"/>
      <c r="AE39" s="1293"/>
      <c r="AF39" s="1293"/>
      <c r="AG39" s="1293"/>
    </row>
    <row r="40" spans="1:38" ht="15.75">
      <c r="A40" s="1653" t="s">
        <v>1545</v>
      </c>
      <c r="B40" s="1675"/>
      <c r="C40" s="1675"/>
      <c r="D40" s="1675"/>
      <c r="E40" s="1675"/>
      <c r="F40" s="1675"/>
      <c r="G40" s="1675"/>
      <c r="H40" s="1675"/>
      <c r="I40" s="1675"/>
      <c r="J40" s="1675"/>
      <c r="K40" s="1675"/>
      <c r="L40" s="1675">
        <f>-'New split'!L398</f>
        <v>-973</v>
      </c>
      <c r="M40" s="1675">
        <f>-'New split'!M398</f>
        <v>-809</v>
      </c>
      <c r="N40" s="1675">
        <f>-'New split'!N398</f>
        <v>-677</v>
      </c>
      <c r="O40" s="1675">
        <f>-'New split'!O398</f>
        <v>-680.1684569653894</v>
      </c>
      <c r="P40" s="1675">
        <f>-'New split'!P398</f>
        <v>-658.17007617557863</v>
      </c>
      <c r="Q40" s="1675">
        <f>-'New split'!Q398</f>
        <v>-654.72975816629184</v>
      </c>
      <c r="R40" s="1675">
        <f>-'New split'!R398</f>
        <v>-662.60612420755035</v>
      </c>
      <c r="S40" s="1675">
        <f>-'New split'!S398</f>
        <v>-664.67014578764781</v>
      </c>
      <c r="T40" s="1675">
        <f>-'New split'!T398</f>
        <v>-662.33058356837569</v>
      </c>
      <c r="U40" s="1293"/>
      <c r="V40" s="1293"/>
      <c r="W40" s="1293"/>
      <c r="X40" s="1293"/>
      <c r="Y40" s="1293"/>
      <c r="Z40" s="1293"/>
      <c r="AA40" s="1293"/>
      <c r="AB40" s="1293"/>
      <c r="AC40" s="1293"/>
      <c r="AD40" s="1293"/>
      <c r="AE40" s="1293"/>
      <c r="AF40" s="1293"/>
      <c r="AG40" s="1293"/>
    </row>
    <row r="41" spans="1:38" ht="15.75">
      <c r="A41" s="1653" t="s">
        <v>4061</v>
      </c>
      <c r="B41" s="1675"/>
      <c r="C41" s="1675"/>
      <c r="D41" s="1675"/>
      <c r="E41" s="1675"/>
      <c r="F41" s="1675"/>
      <c r="G41" s="1675"/>
      <c r="H41" s="1675"/>
      <c r="I41" s="1675"/>
      <c r="J41" s="1675"/>
      <c r="K41" s="1675"/>
      <c r="L41" s="1675">
        <f t="shared" ref="L41:R41" si="29">-L28</f>
        <v>-92.93</v>
      </c>
      <c r="M41" s="1675">
        <f t="shared" si="29"/>
        <v>-236</v>
      </c>
      <c r="N41" s="1675">
        <f t="shared" si="29"/>
        <v>-135</v>
      </c>
      <c r="O41" s="1675">
        <f t="shared" si="29"/>
        <v>-100</v>
      </c>
      <c r="P41" s="1675">
        <f t="shared" si="29"/>
        <v>-100</v>
      </c>
      <c r="Q41" s="1675">
        <f t="shared" si="29"/>
        <v>-100</v>
      </c>
      <c r="R41" s="1675">
        <f t="shared" si="29"/>
        <v>-100</v>
      </c>
      <c r="S41" s="1675">
        <f t="shared" ref="S41:T41" si="30">-S28</f>
        <v>-100</v>
      </c>
      <c r="T41" s="1675">
        <f t="shared" si="30"/>
        <v>-100</v>
      </c>
      <c r="U41" s="1293"/>
      <c r="V41" s="1293"/>
      <c r="W41" s="1293"/>
      <c r="X41" s="1293"/>
      <c r="Y41" s="1293"/>
      <c r="Z41" s="1293"/>
      <c r="AA41" s="1293"/>
      <c r="AB41" s="1293"/>
      <c r="AC41" s="1293"/>
      <c r="AD41" s="1293"/>
      <c r="AE41" s="1293"/>
      <c r="AF41" s="1293"/>
      <c r="AG41" s="1293"/>
    </row>
    <row r="42" spans="1:38" ht="15.75">
      <c r="A42" s="1653" t="s">
        <v>396</v>
      </c>
      <c r="B42" s="1675"/>
      <c r="C42" s="1675"/>
      <c r="D42" s="1675"/>
      <c r="E42" s="1675"/>
      <c r="F42" s="1675"/>
      <c r="G42" s="1675"/>
      <c r="H42" s="1675"/>
      <c r="I42" s="1675"/>
      <c r="J42" s="1675"/>
      <c r="K42" s="1675"/>
      <c r="L42" s="1675">
        <f t="shared" ref="L42:R42" si="31">L26</f>
        <v>-4</v>
      </c>
      <c r="M42" s="1675">
        <f t="shared" si="31"/>
        <v>0</v>
      </c>
      <c r="N42" s="1675">
        <f t="shared" si="31"/>
        <v>0</v>
      </c>
      <c r="O42" s="1675">
        <f t="shared" si="31"/>
        <v>0</v>
      </c>
      <c r="P42" s="1675">
        <f t="shared" si="31"/>
        <v>0</v>
      </c>
      <c r="Q42" s="1675">
        <f t="shared" si="31"/>
        <v>0</v>
      </c>
      <c r="R42" s="1675">
        <f t="shared" si="31"/>
        <v>0</v>
      </c>
      <c r="S42" s="1675">
        <f t="shared" ref="S42:T42" si="32">S26</f>
        <v>0</v>
      </c>
      <c r="T42" s="1675">
        <f t="shared" si="32"/>
        <v>0</v>
      </c>
      <c r="U42" s="1293"/>
      <c r="V42" s="1293"/>
      <c r="W42" s="1293"/>
      <c r="X42" s="1293"/>
      <c r="Y42" s="1293"/>
      <c r="Z42" s="1293"/>
      <c r="AA42" s="1293"/>
      <c r="AB42" s="1293"/>
      <c r="AC42" s="1293"/>
      <c r="AD42" s="1293"/>
      <c r="AE42" s="1293"/>
      <c r="AF42" s="1293"/>
      <c r="AG42" s="1293"/>
    </row>
    <row r="43" spans="1:38" ht="15.75">
      <c r="A43" s="1653" t="s">
        <v>8640</v>
      </c>
      <c r="B43" s="1675"/>
      <c r="C43" s="1675"/>
      <c r="D43" s="1675"/>
      <c r="E43" s="1675"/>
      <c r="F43" s="1675"/>
      <c r="G43" s="1675"/>
      <c r="H43" s="1675"/>
      <c r="I43" s="1675"/>
      <c r="J43" s="1675"/>
      <c r="K43" s="1675"/>
      <c r="L43" s="1675">
        <f t="shared" ref="L43:R43" si="33">L31</f>
        <v>-151</v>
      </c>
      <c r="M43" s="1675">
        <f t="shared" si="33"/>
        <v>-123</v>
      </c>
      <c r="N43" s="1675">
        <f t="shared" si="33"/>
        <v>-97</v>
      </c>
      <c r="O43" s="1675">
        <f t="shared" si="33"/>
        <v>-58.541996151463962</v>
      </c>
      <c r="P43" s="1675">
        <f t="shared" si="33"/>
        <v>-9.2076793491958924</v>
      </c>
      <c r="Q43" s="1675">
        <f t="shared" si="33"/>
        <v>-6.5571751969035077</v>
      </c>
      <c r="R43" s="1675">
        <f t="shared" si="33"/>
        <v>-5.9049368953626669</v>
      </c>
      <c r="S43" s="1675">
        <f t="shared" ref="S43:T43" si="34">S31</f>
        <v>18.584542419381009</v>
      </c>
      <c r="T43" s="1675">
        <f t="shared" si="34"/>
        <v>15.584941484987212</v>
      </c>
      <c r="U43" s="1293"/>
      <c r="V43" s="1293"/>
      <c r="W43" s="1293"/>
      <c r="X43" s="1293"/>
      <c r="Y43" s="1293"/>
      <c r="Z43" s="1293"/>
      <c r="AA43" s="1293"/>
      <c r="AB43" s="1293"/>
      <c r="AC43" s="1293"/>
      <c r="AD43" s="1293"/>
      <c r="AE43" s="1293"/>
      <c r="AF43" s="1293"/>
      <c r="AG43" s="1293"/>
    </row>
    <row r="44" spans="1:38" ht="15.75">
      <c r="A44" s="1672" t="s">
        <v>395</v>
      </c>
      <c r="B44" s="1705"/>
      <c r="C44" s="1705"/>
      <c r="D44" s="1705"/>
      <c r="E44" s="1705"/>
      <c r="F44" s="1705"/>
      <c r="G44" s="1705"/>
      <c r="H44" s="1705"/>
      <c r="I44" s="1705"/>
      <c r="J44" s="1705"/>
      <c r="K44" s="1705"/>
      <c r="L44" s="1705">
        <f t="shared" ref="L44:R44" si="35">L25</f>
        <v>-316</v>
      </c>
      <c r="M44" s="1705">
        <f t="shared" si="35"/>
        <v>-233</v>
      </c>
      <c r="N44" s="1705">
        <f t="shared" si="35"/>
        <v>-239</v>
      </c>
      <c r="O44" s="1705">
        <f t="shared" ca="1" si="35"/>
        <v>-267.30215329751451</v>
      </c>
      <c r="P44" s="1705">
        <f t="shared" ca="1" si="35"/>
        <v>-348.1306027258467</v>
      </c>
      <c r="Q44" s="1705">
        <f t="shared" ca="1" si="35"/>
        <v>-344.46528864977483</v>
      </c>
      <c r="R44" s="1705">
        <f t="shared" ca="1" si="35"/>
        <v>-350.34330438073926</v>
      </c>
      <c r="S44" s="1705">
        <f t="shared" ref="S44:T44" ca="1" si="36">S25</f>
        <v>-361.15754461674925</v>
      </c>
      <c r="T44" s="1705">
        <f t="shared" ca="1" si="36"/>
        <v>-374.78229820533898</v>
      </c>
      <c r="U44" s="1293"/>
      <c r="V44" s="1293"/>
      <c r="W44" s="1293"/>
      <c r="X44" s="1293"/>
      <c r="Y44" s="1293"/>
      <c r="Z44" s="1293"/>
      <c r="AA44" s="1293"/>
      <c r="AB44" s="1293"/>
      <c r="AC44" s="1293"/>
      <c r="AD44" s="1293"/>
      <c r="AE44" s="1293"/>
      <c r="AF44" s="1293"/>
      <c r="AG44" s="1293"/>
    </row>
    <row r="45" spans="1:38" ht="15.75">
      <c r="A45" s="1684" t="s">
        <v>8638</v>
      </c>
      <c r="B45" s="1713"/>
      <c r="C45" s="1713"/>
      <c r="D45" s="1713"/>
      <c r="E45" s="1713"/>
      <c r="F45" s="1713"/>
      <c r="G45" s="1713"/>
      <c r="H45" s="1713"/>
      <c r="I45" s="1713"/>
      <c r="J45" s="1713"/>
      <c r="K45" s="1713"/>
      <c r="L45" s="1713">
        <f t="shared" ref="L45:R45" si="37">SUM(L38:L44)</f>
        <v>487.06999999999994</v>
      </c>
      <c r="M45" s="1713">
        <f t="shared" si="37"/>
        <v>497</v>
      </c>
      <c r="N45" s="1713">
        <f t="shared" si="37"/>
        <v>1083</v>
      </c>
      <c r="O45" s="1713">
        <f t="shared" ca="1" si="37"/>
        <v>1007.1740875556297</v>
      </c>
      <c r="P45" s="1713">
        <f t="shared" ca="1" si="37"/>
        <v>1006.3403286094535</v>
      </c>
      <c r="Q45" s="1713">
        <f t="shared" ca="1" si="37"/>
        <v>1077.45716344332</v>
      </c>
      <c r="R45" s="1713">
        <f t="shared" ca="1" si="37"/>
        <v>1127.3518648814397</v>
      </c>
      <c r="S45" s="1713">
        <f t="shared" ref="S45:T45" ca="1" si="38">SUM(S38:S44)</f>
        <v>1205.0829618665516</v>
      </c>
      <c r="T45" s="1713">
        <f t="shared" ca="1" si="38"/>
        <v>1253.5753571547841</v>
      </c>
      <c r="U45" s="1293"/>
      <c r="V45" s="1293"/>
      <c r="W45" s="1293"/>
      <c r="X45" s="1293"/>
      <c r="Y45" s="1293"/>
      <c r="Z45" s="1293"/>
      <c r="AA45" s="1293"/>
      <c r="AB45" s="1293"/>
      <c r="AC45" s="1293"/>
      <c r="AD45" s="1293"/>
      <c r="AE45" s="1293"/>
      <c r="AF45" s="1293"/>
      <c r="AG45" s="1293"/>
    </row>
    <row r="46" spans="1:38" ht="15.75">
      <c r="A46" s="1653"/>
      <c r="B46" s="1675"/>
      <c r="C46" s="1675"/>
      <c r="D46" s="1675"/>
      <c r="E46" s="1675"/>
      <c r="F46" s="1675"/>
      <c r="G46" s="1675"/>
      <c r="H46" s="1675"/>
      <c r="I46" s="1675"/>
      <c r="J46" s="1675"/>
      <c r="K46" s="1675"/>
      <c r="L46" s="1675"/>
      <c r="M46" s="1675"/>
      <c r="N46" s="1675"/>
      <c r="O46" s="1675"/>
      <c r="P46" s="1675"/>
      <c r="Q46" s="1675"/>
      <c r="R46" s="1675"/>
      <c r="S46" s="1675"/>
      <c r="T46" s="1675"/>
      <c r="U46" s="1293"/>
      <c r="V46" s="1293"/>
      <c r="W46" s="1293"/>
      <c r="X46" s="1293"/>
      <c r="Y46" s="1293"/>
      <c r="Z46" s="1293"/>
      <c r="AA46" s="1293"/>
      <c r="AB46" s="1293"/>
      <c r="AC46" s="1293"/>
      <c r="AD46" s="1293"/>
      <c r="AE46" s="1293"/>
      <c r="AF46" s="1293"/>
      <c r="AG46" s="1293"/>
    </row>
    <row r="47" spans="1:38" ht="15.75">
      <c r="A47" s="1653" t="s">
        <v>8637</v>
      </c>
      <c r="B47" s="1675"/>
      <c r="C47" s="1675"/>
      <c r="D47" s="1675"/>
      <c r="E47" s="1675"/>
      <c r="F47" s="1675"/>
      <c r="G47" s="1675"/>
      <c r="H47" s="1675"/>
      <c r="I47" s="1675"/>
      <c r="J47" s="1675"/>
      <c r="K47" s="1675"/>
      <c r="L47" s="1675">
        <f>(L18-L15-Master!Y434)-L13-L11-L14</f>
        <v>10796.836799999999</v>
      </c>
      <c r="M47" s="1675">
        <f>(M18-M15-Master!Z434)-M13-M11-M14</f>
        <v>11025.92326</v>
      </c>
      <c r="N47" s="1675">
        <f>(N18-N15-Master!AA434)-N13-N11-N14</f>
        <v>10242.438539999999</v>
      </c>
      <c r="O47" s="1675">
        <f ca="1">(O18-O15-Master!AB434)-O13-O11-O14</f>
        <v>8798.2435265614604</v>
      </c>
      <c r="P47" s="1675">
        <f ca="1">(P18-P15-Master!AC434)-P13-P11-P14</f>
        <v>8325.1666784406771</v>
      </c>
      <c r="Q47" s="1675">
        <f ca="1">(Q18-Q15-Master!AD434)-Q13-Q11-Q14</f>
        <v>7802.2332402399043</v>
      </c>
      <c r="R47" s="1675">
        <f ca="1">(R18-R15-Master!AE434)-R13-R11-R14</f>
        <v>7237.2921757770309</v>
      </c>
      <c r="S47" s="1675">
        <f ca="1">(S18-S15-Master!AF434)-S13-S11-S14</f>
        <v>6600.0495594696931</v>
      </c>
      <c r="T47" s="1675">
        <f ca="1">(T18-T15-Master!AG434)-T13-T11-T14</f>
        <v>5917.6601726243352</v>
      </c>
      <c r="U47" s="1293"/>
      <c r="V47" s="1293"/>
      <c r="W47" s="1293"/>
      <c r="X47" s="1293"/>
      <c r="Y47" s="1293"/>
      <c r="Z47" s="1293"/>
      <c r="AA47" s="1293"/>
      <c r="AB47" s="1293"/>
      <c r="AC47" s="1293"/>
      <c r="AD47" s="1293"/>
      <c r="AE47" s="1293"/>
      <c r="AF47" s="1293"/>
      <c r="AG47" s="1293"/>
    </row>
    <row r="48" spans="1:38" ht="15.75">
      <c r="A48" s="1653" t="s">
        <v>1245</v>
      </c>
      <c r="B48" s="1675"/>
      <c r="C48" s="1675"/>
      <c r="D48" s="1675"/>
      <c r="E48" s="1675"/>
      <c r="F48" s="1675"/>
      <c r="G48" s="1675"/>
      <c r="H48" s="1675"/>
      <c r="I48" s="1675"/>
      <c r="J48" s="1675"/>
      <c r="K48" s="1675"/>
      <c r="L48" s="1872">
        <f>L47/L45</f>
        <v>22.166909889748908</v>
      </c>
      <c r="M48" s="1872">
        <f t="shared" ref="M48:P48" si="39">M47/M45</f>
        <v>22.18495625754527</v>
      </c>
      <c r="N48" s="1872">
        <f t="shared" si="39"/>
        <v>9.4574686426592791</v>
      </c>
      <c r="O48" s="1872">
        <f t="shared" ca="1" si="39"/>
        <v>8.7355737555901953</v>
      </c>
      <c r="P48" s="1872">
        <f t="shared" ca="1" si="39"/>
        <v>8.2727149471831982</v>
      </c>
      <c r="Q48" s="1872">
        <f t="shared" ref="Q48:R48" ca="1" si="40">Q47/Q45</f>
        <v>7.2413396141946418</v>
      </c>
      <c r="R48" s="1872">
        <f t="shared" ca="1" si="40"/>
        <v>6.4197278606871828</v>
      </c>
      <c r="S48" s="1872">
        <f t="shared" ref="S48:T48" ca="1" si="41">S47/S45</f>
        <v>5.4768424816552743</v>
      </c>
      <c r="T48" s="1872">
        <f t="shared" ca="1" si="41"/>
        <v>4.7206257995175775</v>
      </c>
      <c r="U48" s="1293"/>
      <c r="V48" s="1293"/>
      <c r="W48" s="1293"/>
      <c r="X48" s="1293"/>
      <c r="Y48" s="1293"/>
      <c r="Z48" s="1293"/>
      <c r="AA48" s="1293"/>
      <c r="AB48" s="1293"/>
      <c r="AC48" s="1293"/>
      <c r="AD48" s="1293"/>
      <c r="AE48" s="1293"/>
      <c r="AF48" s="1293"/>
      <c r="AG48" s="1293"/>
    </row>
    <row r="49" spans="1:33" ht="15.75">
      <c r="A49" s="1653"/>
      <c r="B49" s="1675"/>
      <c r="C49" s="1675"/>
      <c r="D49" s="1675"/>
      <c r="E49" s="1675"/>
      <c r="F49" s="1675"/>
      <c r="G49" s="1675"/>
      <c r="H49" s="1675"/>
      <c r="I49" s="1675"/>
      <c r="J49" s="1675"/>
      <c r="K49" s="1675"/>
      <c r="L49" s="1675"/>
      <c r="M49" s="1675"/>
      <c r="N49" s="1675"/>
      <c r="O49" s="1675"/>
      <c r="P49" s="1675"/>
      <c r="Q49" s="1675"/>
      <c r="R49" s="1675"/>
      <c r="S49" s="1675"/>
      <c r="T49" s="1675"/>
      <c r="U49" s="1293"/>
      <c r="V49" s="1293"/>
      <c r="W49" s="1293"/>
      <c r="X49" s="1293"/>
      <c r="Y49" s="1293"/>
      <c r="Z49" s="1293"/>
      <c r="AA49" s="1293"/>
      <c r="AB49" s="1293"/>
      <c r="AC49" s="1293"/>
      <c r="AD49" s="1293"/>
      <c r="AE49" s="1293"/>
      <c r="AF49" s="1293"/>
      <c r="AG49" s="1293"/>
    </row>
    <row r="50" spans="1:33" ht="15.75" hidden="1" outlineLevel="1">
      <c r="A50" s="1653" t="s">
        <v>1936</v>
      </c>
      <c r="B50" s="1675"/>
      <c r="C50" s="1675"/>
      <c r="D50" s="1675">
        <f>Div!N109*(1-Master!Q178)</f>
        <v>511.7281722865759</v>
      </c>
      <c r="E50" s="1675">
        <f ca="1">Div!O109*(1-Master!R178)</f>
        <v>508.04242045902964</v>
      </c>
      <c r="F50" s="1675">
        <f ca="1">Div!P109*(1-Master!S178)</f>
        <v>430.58416484785135</v>
      </c>
      <c r="G50" s="1675">
        <f ca="1">Div!Q109*(1-Master!T178)</f>
        <v>411.40817117558055</v>
      </c>
      <c r="H50" s="1675">
        <f ca="1">Div!R109*(1-Master!U178)</f>
        <v>692.45437420883093</v>
      </c>
      <c r="I50" s="1675">
        <f ca="1">Div!S109*(1-Master!V178)</f>
        <v>489.84808596637095</v>
      </c>
      <c r="J50" s="1675">
        <f ca="1">Div!T109*(1-Master!W178)</f>
        <v>343.78706503047255</v>
      </c>
      <c r="K50" s="1675">
        <f ca="1">Div!U109*(1-Master!X178)</f>
        <v>1150.2082534120207</v>
      </c>
      <c r="L50" s="1675">
        <f ca="1">Div!V109*(1-Master!Y178)</f>
        <v>597.89795889829963</v>
      </c>
      <c r="M50" s="1675">
        <f ca="1">Div!W109*(1-Master!Z178)</f>
        <v>-4351.5981263474505</v>
      </c>
      <c r="N50" s="1675">
        <f ca="1">Div!X109*(1-Master!AA178)</f>
        <v>1051.7951013985523</v>
      </c>
      <c r="O50" s="1675">
        <f ca="1">Div!Y109*(1-Master!AB178)</f>
        <v>1013.5731614230428</v>
      </c>
      <c r="P50" s="1675">
        <f ca="1">Div!Z109*(1-Master!AC178)</f>
        <v>648.04369786724374</v>
      </c>
      <c r="Q50" s="1675">
        <f ca="1">Div!AA109*(1-Master!AD178)</f>
        <v>0</v>
      </c>
      <c r="R50" s="1675">
        <f ca="1">Div!AB109*(1-Master!AE178)</f>
        <v>0</v>
      </c>
      <c r="S50" s="1675">
        <f ca="1">Div!AC109*(1-Master!AF178)</f>
        <v>0</v>
      </c>
      <c r="T50" s="1675">
        <f ca="1">Div!AD109*(1-Master!AG178)</f>
        <v>0</v>
      </c>
      <c r="U50" s="1293"/>
      <c r="V50" s="1293"/>
      <c r="W50" s="1293"/>
      <c r="X50" s="1293"/>
      <c r="Y50" s="1293"/>
      <c r="Z50" s="1293"/>
      <c r="AA50" s="1293"/>
      <c r="AB50" s="1293"/>
      <c r="AC50" s="1293"/>
      <c r="AD50" s="1293"/>
      <c r="AE50" s="1293"/>
      <c r="AF50" s="1293"/>
      <c r="AG50" s="1293"/>
    </row>
    <row r="51" spans="1:33" ht="15.75" hidden="1" outlineLevel="1">
      <c r="A51" s="1653" t="s">
        <v>4493</v>
      </c>
      <c r="B51" s="1675"/>
      <c r="C51" s="1675"/>
      <c r="D51" s="1675">
        <f>Master!Q30*(1-Master!Q178)-Master!Q25-Master!Q26-Div!N83</f>
        <v>498.29741401818592</v>
      </c>
      <c r="E51" s="1675">
        <f ca="1">Master!R30*(1-Master!R178)-Master!R25-Master!R26-Div!O83</f>
        <v>557.44670994544686</v>
      </c>
      <c r="F51" s="1675">
        <f ca="1">Master!S30*(1-Master!S178)-Master!S25-Master!S26-Div!P83</f>
        <v>508.94842471031029</v>
      </c>
      <c r="G51" s="1675">
        <f ca="1">Master!T30*(1-Master!T178)-Master!T25-Master!T26-Div!Q83</f>
        <v>499.43599562967484</v>
      </c>
      <c r="H51" s="1675">
        <f ca="1">Master!U30*(1-Master!U178)-Master!U25-Master!U26-Div!R83</f>
        <v>782.58926452677667</v>
      </c>
      <c r="I51" s="1675">
        <f ca="1">Master!V30*(1-Master!V178)-Master!V25-Master!V26-Div!S83</f>
        <v>760.20034637191111</v>
      </c>
      <c r="J51" s="1675">
        <f ca="1">Master!W30*(1-Master!W178)-Master!W25-Master!W26-Div!T83</f>
        <v>744.94783779239697</v>
      </c>
      <c r="K51" s="1675">
        <f ca="1">Master!X30*(1-Master!X178)-Master!X25-Master!X26-Div!U83</f>
        <v>1006.165005699781</v>
      </c>
      <c r="L51" s="1675">
        <f ca="1">Master!Y30*(1-Master!Y178)-Master!Y25-Master!Y26-Div!V83</f>
        <v>403.00712514112593</v>
      </c>
      <c r="M51" s="1675">
        <f ca="1">Master!Z30*(1-Master!Z178)-Master!Z25-Master!Z26-Div!W83</f>
        <v>-1742.342308310783</v>
      </c>
      <c r="N51" s="1675">
        <f ca="1">Master!AA30*(1-Master!AA178)-Master!AA25-Master!AA26-Div!X83</f>
        <v>692.11594085370939</v>
      </c>
      <c r="O51" s="1675">
        <f ca="1">Master!AB30*(1-Master!AB178)-Master!AB25-Master!AB26-Div!Y83</f>
        <v>543.14285427776895</v>
      </c>
      <c r="P51" s="1675">
        <f ca="1">Master!AC30*(1-Master!AC178)-Master!AC25-Master!AC26-Div!Z83</f>
        <v>684.07592961709975</v>
      </c>
      <c r="Q51" s="1675">
        <f ca="1">Master!AD30*(1-Master!AD178)-Master!AD25-Master!AD26-Div!AA83</f>
        <v>1926.3454639659165</v>
      </c>
      <c r="R51" s="1675">
        <f ca="1">Master!AE30*(1-Master!AE178)-Master!AE25-Master!AE26-Div!AB83</f>
        <v>1991.7544915345804</v>
      </c>
      <c r="S51" s="1675">
        <f ca="1">Master!AF30*(1-Master!AF178)-Master!AF25-Master!AF26-Div!AC83</f>
        <v>2058.9344283003129</v>
      </c>
      <c r="T51" s="1675">
        <f ca="1">Master!AG30*(1-Master!AG178)-Master!AG25-Master!AG26-Div!AD83</f>
        <v>2121.8063598566468</v>
      </c>
      <c r="U51" s="1293"/>
      <c r="V51" s="1293"/>
      <c r="W51" s="1293"/>
      <c r="X51" s="1293"/>
      <c r="Y51" s="1293"/>
      <c r="Z51" s="1293"/>
      <c r="AA51" s="1293"/>
      <c r="AB51" s="1293"/>
      <c r="AC51" s="1293"/>
      <c r="AD51" s="1293"/>
      <c r="AE51" s="1293"/>
      <c r="AF51" s="1293"/>
      <c r="AG51" s="1293"/>
    </row>
    <row r="52" spans="1:33" ht="15.75" hidden="1" outlineLevel="1">
      <c r="A52" s="1653"/>
      <c r="B52" s="1675"/>
      <c r="C52" s="1675"/>
      <c r="D52" s="1653"/>
      <c r="E52" s="1653"/>
      <c r="F52" s="1653"/>
      <c r="G52" s="1653"/>
      <c r="H52" s="1653"/>
      <c r="I52" s="1653"/>
      <c r="J52" s="1653"/>
      <c r="K52" s="1653"/>
      <c r="L52" s="1653"/>
      <c r="M52" s="1653"/>
      <c r="N52" s="1653"/>
      <c r="O52" s="1653"/>
      <c r="P52" s="1653"/>
      <c r="Q52" s="1653"/>
      <c r="R52" s="1653"/>
      <c r="S52" s="1653"/>
      <c r="T52" s="1653"/>
      <c r="U52" s="1293"/>
      <c r="V52" s="1293"/>
      <c r="W52" s="1293"/>
      <c r="X52" s="1293"/>
      <c r="Y52" s="1293"/>
      <c r="Z52" s="1293"/>
      <c r="AA52" s="1293"/>
      <c r="AB52" s="1293"/>
      <c r="AC52" s="1293"/>
      <c r="AD52" s="1293"/>
      <c r="AE52" s="1293"/>
      <c r="AF52" s="1293"/>
      <c r="AG52" s="1293"/>
    </row>
    <row r="53" spans="1:33" ht="15.75" collapsed="1">
      <c r="A53" s="1653" t="s">
        <v>175</v>
      </c>
      <c r="B53" s="1675"/>
      <c r="C53" s="1675"/>
      <c r="D53" s="1675">
        <f t="shared" ref="D53:R53" si="42">D10</f>
        <v>2955.0419999999995</v>
      </c>
      <c r="E53" s="1675">
        <f t="shared" si="42"/>
        <v>2955.0419999999995</v>
      </c>
      <c r="F53" s="1675">
        <f t="shared" si="42"/>
        <v>2955.0419999999995</v>
      </c>
      <c r="G53" s="1675">
        <f t="shared" si="42"/>
        <v>2955.0419999999995</v>
      </c>
      <c r="H53" s="1675">
        <f t="shared" si="42"/>
        <v>2955.0419999999995</v>
      </c>
      <c r="I53" s="1675">
        <f t="shared" si="42"/>
        <v>2955.0419999999995</v>
      </c>
      <c r="J53" s="1675">
        <f t="shared" si="42"/>
        <v>2944.9847999999993</v>
      </c>
      <c r="K53" s="1675">
        <f t="shared" si="42"/>
        <v>2915.4047999999993</v>
      </c>
      <c r="L53" s="1675">
        <f t="shared" si="42"/>
        <v>4997.8367999999991</v>
      </c>
      <c r="M53" s="1675">
        <f t="shared" si="42"/>
        <v>5069.9232599999996</v>
      </c>
      <c r="N53" s="1675">
        <f t="shared" si="42"/>
        <v>5067.4385399999992</v>
      </c>
      <c r="O53" s="1675">
        <f t="shared" si="42"/>
        <v>4921.0175399999998</v>
      </c>
      <c r="P53" s="1675">
        <f t="shared" si="42"/>
        <v>4773.1175399999993</v>
      </c>
      <c r="Q53" s="1675">
        <f t="shared" si="42"/>
        <v>4625.2175399999996</v>
      </c>
      <c r="R53" s="1675">
        <f t="shared" si="42"/>
        <v>4477.31754</v>
      </c>
      <c r="S53" s="1675">
        <f t="shared" ref="S53:T53" si="43">S10</f>
        <v>4329.4175399999995</v>
      </c>
      <c r="T53" s="1675">
        <f t="shared" si="43"/>
        <v>4181.5175399999998</v>
      </c>
      <c r="U53" s="1293"/>
      <c r="V53" s="1293"/>
      <c r="W53" s="1293"/>
      <c r="X53" s="1293"/>
      <c r="Y53" s="1293"/>
      <c r="Z53" s="1293"/>
      <c r="AA53" s="1293"/>
      <c r="AB53" s="1293"/>
      <c r="AC53" s="1293"/>
      <c r="AD53" s="1293"/>
      <c r="AE53" s="1293"/>
      <c r="AF53" s="1293"/>
      <c r="AG53" s="1293"/>
    </row>
    <row r="54" spans="1:33" ht="15.75">
      <c r="A54" s="1653" t="s">
        <v>177</v>
      </c>
      <c r="B54" s="1675"/>
      <c r="C54" s="1675"/>
      <c r="D54" s="1675"/>
      <c r="E54" s="1675"/>
      <c r="F54" s="1675"/>
      <c r="G54" s="1675"/>
      <c r="H54" s="1675"/>
      <c r="I54" s="1675"/>
      <c r="J54" s="1675"/>
      <c r="K54" s="1675"/>
      <c r="L54" s="1675"/>
      <c r="M54" s="1675"/>
      <c r="N54" s="1675"/>
      <c r="O54" s="1675"/>
      <c r="P54" s="1675"/>
      <c r="Q54" s="1675"/>
      <c r="R54" s="1675"/>
      <c r="S54" s="1675"/>
      <c r="T54" s="1675"/>
      <c r="U54" s="1293"/>
      <c r="V54" s="1293"/>
      <c r="W54" s="1293"/>
      <c r="X54" s="1293"/>
      <c r="Y54" s="1293"/>
      <c r="Z54" s="1293"/>
      <c r="AA54" s="1293"/>
      <c r="AB54" s="1293"/>
      <c r="AC54" s="1293"/>
      <c r="AD54" s="1293"/>
      <c r="AE54" s="1293"/>
      <c r="AF54" s="1293"/>
      <c r="AG54" s="1293"/>
    </row>
    <row r="55" spans="1:33" ht="15.75">
      <c r="A55" s="1672" t="s">
        <v>679</v>
      </c>
      <c r="B55" s="1705"/>
      <c r="C55" s="1705"/>
      <c r="D55" s="1719">
        <f>-SOP!$I$29</f>
        <v>887.38393981123295</v>
      </c>
      <c r="E55" s="1705">
        <f>D55</f>
        <v>887.38393981123295</v>
      </c>
      <c r="F55" s="1705">
        <f t="shared" ref="F55:R55" si="44">E55</f>
        <v>887.38393981123295</v>
      </c>
      <c r="G55" s="1705">
        <f t="shared" si="44"/>
        <v>887.38393981123295</v>
      </c>
      <c r="H55" s="1705">
        <f t="shared" si="44"/>
        <v>887.38393981123295</v>
      </c>
      <c r="I55" s="1705">
        <f t="shared" si="44"/>
        <v>887.38393981123295</v>
      </c>
      <c r="J55" s="1705">
        <f t="shared" si="44"/>
        <v>887.38393981123295</v>
      </c>
      <c r="K55" s="1705">
        <f t="shared" si="44"/>
        <v>887.38393981123295</v>
      </c>
      <c r="L55" s="1705">
        <f t="shared" si="44"/>
        <v>887.38393981123295</v>
      </c>
      <c r="M55" s="1705">
        <f t="shared" si="44"/>
        <v>887.38393981123295</v>
      </c>
      <c r="N55" s="1705">
        <f t="shared" si="44"/>
        <v>887.38393981123295</v>
      </c>
      <c r="O55" s="1705">
        <f t="shared" si="44"/>
        <v>887.38393981123295</v>
      </c>
      <c r="P55" s="1705">
        <f t="shared" si="44"/>
        <v>887.38393981123295</v>
      </c>
      <c r="Q55" s="1705">
        <f t="shared" si="44"/>
        <v>887.38393981123295</v>
      </c>
      <c r="R55" s="1705">
        <f t="shared" si="44"/>
        <v>887.38393981123295</v>
      </c>
      <c r="S55" s="1705">
        <f t="shared" ref="S55" si="45">R55</f>
        <v>887.38393981123295</v>
      </c>
      <c r="T55" s="1705">
        <f t="shared" ref="T55" si="46">S55</f>
        <v>887.38393981123295</v>
      </c>
      <c r="U55" s="1293"/>
      <c r="V55" s="1293"/>
      <c r="W55" s="1293"/>
      <c r="X55" s="1293"/>
      <c r="Y55" s="1293"/>
      <c r="Z55" s="1293"/>
      <c r="AA55" s="1293"/>
      <c r="AB55" s="1293"/>
      <c r="AC55" s="1293"/>
      <c r="AD55" s="1293"/>
      <c r="AE55" s="1293"/>
      <c r="AF55" s="1293"/>
      <c r="AG55" s="1293"/>
    </row>
    <row r="56" spans="1:33" ht="15.75">
      <c r="A56" s="1653" t="s">
        <v>1238</v>
      </c>
      <c r="B56" s="1675"/>
      <c r="C56" s="1675"/>
      <c r="D56" s="1675">
        <f t="shared" ref="D56:O56" si="47">SUM(D53:D55)</f>
        <v>3842.4259398112326</v>
      </c>
      <c r="E56" s="1675">
        <f t="shared" si="47"/>
        <v>3842.4259398112326</v>
      </c>
      <c r="F56" s="1675">
        <f t="shared" si="47"/>
        <v>3842.4259398112326</v>
      </c>
      <c r="G56" s="1675">
        <f t="shared" si="47"/>
        <v>3842.4259398112326</v>
      </c>
      <c r="H56" s="1675">
        <f t="shared" si="47"/>
        <v>3842.4259398112326</v>
      </c>
      <c r="I56" s="1675">
        <f t="shared" si="47"/>
        <v>3842.4259398112326</v>
      </c>
      <c r="J56" s="1675">
        <f t="shared" si="47"/>
        <v>3832.3687398112324</v>
      </c>
      <c r="K56" s="1675">
        <f t="shared" si="47"/>
        <v>3802.7887398112325</v>
      </c>
      <c r="L56" s="1675">
        <f t="shared" si="47"/>
        <v>5885.2207398112323</v>
      </c>
      <c r="M56" s="1675">
        <f t="shared" si="47"/>
        <v>5957.3071998112327</v>
      </c>
      <c r="N56" s="1675">
        <f t="shared" si="47"/>
        <v>5954.8224798112324</v>
      </c>
      <c r="O56" s="1675">
        <f t="shared" si="47"/>
        <v>5808.401479811233</v>
      </c>
      <c r="P56" s="1675">
        <f t="shared" ref="P56:Q56" si="48">SUM(P53:P55)</f>
        <v>5660.5014798112325</v>
      </c>
      <c r="Q56" s="1675">
        <f t="shared" si="48"/>
        <v>5512.6014798112328</v>
      </c>
      <c r="R56" s="1675">
        <f t="shared" ref="R56:T56" si="49">SUM(R53:R55)</f>
        <v>5364.7014798112332</v>
      </c>
      <c r="S56" s="1675">
        <f t="shared" si="49"/>
        <v>5216.8014798112326</v>
      </c>
      <c r="T56" s="1675">
        <f t="shared" si="49"/>
        <v>5068.901479811233</v>
      </c>
      <c r="U56" s="1293"/>
      <c r="V56" s="1293"/>
      <c r="W56" s="1293"/>
      <c r="X56" s="1293"/>
      <c r="Y56" s="1293"/>
      <c r="Z56" s="1293"/>
      <c r="AA56" s="1293"/>
      <c r="AB56" s="1293"/>
      <c r="AC56" s="1293"/>
      <c r="AD56" s="1293"/>
      <c r="AE56" s="1293"/>
      <c r="AF56" s="1293"/>
      <c r="AG56" s="1293"/>
    </row>
    <row r="57" spans="1:33" ht="15.75">
      <c r="A57" s="1653"/>
      <c r="B57" s="1675"/>
      <c r="C57" s="1675"/>
      <c r="D57" s="1675"/>
      <c r="E57" s="1675"/>
      <c r="F57" s="1653"/>
      <c r="G57" s="1653"/>
      <c r="H57" s="1653"/>
      <c r="I57" s="1653"/>
      <c r="J57" s="1653"/>
      <c r="K57" s="1653"/>
      <c r="L57" s="1653"/>
      <c r="M57" s="1653"/>
      <c r="N57" s="1653"/>
      <c r="O57" s="1653"/>
      <c r="P57" s="1653"/>
      <c r="Q57" s="1653"/>
      <c r="R57" s="1653"/>
      <c r="S57" s="1653"/>
      <c r="T57" s="1653"/>
      <c r="U57" s="1293"/>
      <c r="V57" s="1293"/>
      <c r="W57" s="1293"/>
      <c r="X57" s="1293"/>
      <c r="Y57" s="1293"/>
      <c r="Z57" s="1293"/>
      <c r="AA57" s="1293"/>
      <c r="AB57" s="1293"/>
      <c r="AC57" s="1293"/>
      <c r="AD57" s="1293"/>
      <c r="AE57" s="1293"/>
      <c r="AF57" s="1293"/>
      <c r="AG57" s="1293"/>
    </row>
    <row r="58" spans="1:33" ht="15.75">
      <c r="A58" s="1653" t="s">
        <v>1239</v>
      </c>
      <c r="B58" s="1675"/>
      <c r="C58" s="1872"/>
      <c r="D58" s="1872">
        <f>Master!Q69</f>
        <v>1.7305533310730508</v>
      </c>
      <c r="E58" s="1872">
        <f>Master!R69</f>
        <v>2.3860991822418081</v>
      </c>
      <c r="F58" s="1872">
        <f>Master!S69</f>
        <v>1.2642914514065864</v>
      </c>
      <c r="G58" s="1872">
        <f>Master!T69</f>
        <v>0.28756433012385102</v>
      </c>
      <c r="H58" s="1872">
        <f>Master!U69</f>
        <v>1.4774856961535792</v>
      </c>
      <c r="I58" s="1872">
        <f>Master!V69</f>
        <v>0.69412079685067485</v>
      </c>
      <c r="J58" s="1872">
        <f>Master!W69</f>
        <v>0.10300450496792171</v>
      </c>
      <c r="K58" s="1872">
        <f>Master!X69</f>
        <v>2.2905986296072269</v>
      </c>
      <c r="L58" s="1872">
        <f>Master!Y69</f>
        <v>2.4927782310525024</v>
      </c>
      <c r="M58" s="1872">
        <f>Master!Z69</f>
        <v>0.35188417132650773</v>
      </c>
      <c r="N58" s="1872">
        <f ca="1">Master!AA69</f>
        <v>2.5702770985908141</v>
      </c>
      <c r="O58" s="1872">
        <f ca="1">Master!AB69</f>
        <v>2.4924569867967854</v>
      </c>
      <c r="P58" s="1872">
        <f ca="1">Master!AC69</f>
        <v>4.1684592667441818</v>
      </c>
      <c r="Q58" s="1872">
        <f ca="1">Master!AD69</f>
        <v>4.1087403443315313</v>
      </c>
      <c r="R58" s="1872">
        <f ca="1">Master!AE69</f>
        <v>4.2454124985712207</v>
      </c>
      <c r="S58" s="1872">
        <f ca="1">Master!AF69</f>
        <v>4.4838233975702906</v>
      </c>
      <c r="T58" s="1872">
        <f ca="1">Master!AG69</f>
        <v>4.7803040873179761</v>
      </c>
      <c r="U58" s="1293"/>
      <c r="V58" s="1293"/>
      <c r="W58" s="1293"/>
      <c r="X58" s="1293"/>
      <c r="Y58" s="1293"/>
      <c r="Z58" s="1293"/>
      <c r="AA58" s="1293"/>
      <c r="AB58" s="1293"/>
      <c r="AC58" s="1293"/>
      <c r="AD58" s="1293"/>
      <c r="AE58" s="1293"/>
      <c r="AF58" s="1293"/>
      <c r="AG58" s="1293"/>
    </row>
    <row r="59" spans="1:33" ht="15.75">
      <c r="A59" s="1653" t="s">
        <v>404</v>
      </c>
      <c r="B59" s="1675"/>
      <c r="C59" s="1872"/>
      <c r="D59" s="1872">
        <f>Master!Q70</f>
        <v>2.64</v>
      </c>
      <c r="E59" s="1872">
        <f>Master!R70</f>
        <v>2.64</v>
      </c>
      <c r="F59" s="1872">
        <f>Master!S70</f>
        <v>2.64</v>
      </c>
      <c r="G59" s="1872">
        <f>Master!T70</f>
        <v>2.64</v>
      </c>
      <c r="H59" s="1872">
        <f>Master!U70</f>
        <v>2.64</v>
      </c>
      <c r="I59" s="1872">
        <f>Master!V70</f>
        <v>0</v>
      </c>
      <c r="J59" s="1872">
        <f>Master!W70</f>
        <v>0</v>
      </c>
      <c r="K59" s="1872">
        <f>Master!X70</f>
        <v>0</v>
      </c>
      <c r="L59" s="1872">
        <f>Master!Y70</f>
        <v>0</v>
      </c>
      <c r="M59" s="1872">
        <f>Master!Z70</f>
        <v>0</v>
      </c>
      <c r="N59" s="1872">
        <f>Master!AA70</f>
        <v>3.25</v>
      </c>
      <c r="O59" s="1872">
        <f>Master!AB70</f>
        <v>3</v>
      </c>
      <c r="P59" s="1872">
        <f>Master!AC70</f>
        <v>3.25</v>
      </c>
      <c r="Q59" s="1872">
        <f>Master!AD70</f>
        <v>3.5</v>
      </c>
      <c r="R59" s="1872">
        <f>Master!AE70</f>
        <v>3.75</v>
      </c>
      <c r="S59" s="1872">
        <f>Master!AF70</f>
        <v>4</v>
      </c>
      <c r="T59" s="1872">
        <f>Master!AG70</f>
        <v>4.25</v>
      </c>
      <c r="U59" s="1293"/>
      <c r="V59" s="1293"/>
      <c r="W59" s="1293"/>
      <c r="X59" s="1293"/>
      <c r="Y59" s="1293"/>
      <c r="Z59" s="1293"/>
      <c r="AA59" s="1293"/>
      <c r="AB59" s="1293"/>
      <c r="AC59" s="1293"/>
      <c r="AD59" s="1293"/>
      <c r="AE59" s="1293"/>
      <c r="AF59" s="1293"/>
      <c r="AG59" s="1293"/>
    </row>
    <row r="60" spans="1:33" ht="15.75">
      <c r="A60" s="1653"/>
      <c r="B60" s="1675"/>
      <c r="C60" s="1675"/>
      <c r="D60" s="1688"/>
      <c r="E60" s="1688"/>
      <c r="F60" s="1688"/>
      <c r="G60" s="1878"/>
      <c r="H60" s="1688"/>
      <c r="I60" s="1688"/>
      <c r="J60" s="1688"/>
      <c r="K60" s="1688"/>
      <c r="L60" s="1688"/>
      <c r="M60" s="1688"/>
      <c r="N60" s="1688"/>
      <c r="O60" s="1688"/>
      <c r="P60" s="1688"/>
      <c r="Q60" s="1688"/>
      <c r="R60" s="1688"/>
      <c r="S60" s="1688"/>
      <c r="T60" s="1688"/>
      <c r="U60" s="1293"/>
      <c r="V60" s="1293"/>
      <c r="W60" s="1293"/>
      <c r="X60" s="1293"/>
      <c r="Y60" s="1293"/>
      <c r="Z60" s="1293"/>
      <c r="AA60" s="1293"/>
      <c r="AB60" s="1293"/>
      <c r="AC60" s="1293"/>
      <c r="AD60" s="1293"/>
      <c r="AE60" s="1293"/>
      <c r="AF60" s="1293"/>
      <c r="AG60" s="1293"/>
    </row>
    <row r="61" spans="1:33" ht="15.75">
      <c r="A61" s="1653" t="s">
        <v>1242</v>
      </c>
      <c r="B61" s="1713"/>
      <c r="C61" s="1878"/>
      <c r="D61" s="1872">
        <f>D18/'New split'!D35</f>
        <v>1.4644211371423823</v>
      </c>
      <c r="E61" s="1872">
        <f>E18/'New split'!E35</f>
        <v>1.4336721614065995</v>
      </c>
      <c r="F61" s="1872">
        <f>F18/'New split'!F35</f>
        <v>1.5268026394446683</v>
      </c>
      <c r="G61" s="1872">
        <f>G18/'New split'!G35</f>
        <v>1.5481703739578467</v>
      </c>
      <c r="H61" s="1872">
        <f>H18/'New split'!H35</f>
        <v>1.7443129419543126</v>
      </c>
      <c r="I61" s="1872">
        <f>I18/'New split'!I35</f>
        <v>1.9761119772452249</v>
      </c>
      <c r="J61" s="1872">
        <f>J18/'New split'!J35</f>
        <v>1.9214942565836535</v>
      </c>
      <c r="K61" s="1872">
        <f>K18/'New split'!K35</f>
        <v>2.068650670576587</v>
      </c>
      <c r="L61" s="1872">
        <f>L18/'New split'!L35</f>
        <v>2.5267185359539956</v>
      </c>
      <c r="M61" s="1872">
        <f>M18/'New split'!M35</f>
        <v>2.555677559976917</v>
      </c>
      <c r="N61" s="1872">
        <f>N18/'New split'!N35</f>
        <v>2.3422809834249523</v>
      </c>
      <c r="O61" s="1872">
        <f ca="1">O18/'New split'!O35</f>
        <v>2.2040117296004569</v>
      </c>
      <c r="P61" s="1872">
        <f ca="1">P18/'New split'!P35</f>
        <v>2.0928287535187207</v>
      </c>
      <c r="Q61" s="1872">
        <f ca="1">Q18/'New split'!Q35</f>
        <v>1.9708339729780071</v>
      </c>
      <c r="R61" s="1872">
        <f ca="1">R18/'New split'!R35</f>
        <v>1.8433849716327764</v>
      </c>
      <c r="S61" s="1872">
        <f ca="1">S18/'New split'!S35</f>
        <v>1.7133796788661517</v>
      </c>
      <c r="T61" s="1872">
        <f ca="1">T18/'New split'!T35</f>
        <v>1.5831260515223429</v>
      </c>
      <c r="U61" s="1293"/>
      <c r="V61" s="1293"/>
      <c r="W61" s="1293"/>
      <c r="X61" s="1293"/>
      <c r="Y61" s="1293"/>
      <c r="Z61" s="1293"/>
      <c r="AA61" s="1293"/>
      <c r="AB61" s="1293"/>
      <c r="AC61" s="1293"/>
      <c r="AD61" s="1293"/>
      <c r="AE61" s="1293"/>
      <c r="AF61" s="1293"/>
      <c r="AG61" s="1293"/>
    </row>
    <row r="62" spans="1:33" ht="15.75">
      <c r="A62" s="1653" t="s">
        <v>1243</v>
      </c>
      <c r="B62" s="1675"/>
      <c r="C62" s="1872"/>
      <c r="D62" s="1872">
        <f>D18/(D21+Colombia!J240*0.5)</f>
        <v>4.1260632245733646</v>
      </c>
      <c r="E62" s="1872">
        <f t="shared" ref="E62:T62" si="50">E18/E21</f>
        <v>4.258773668145686</v>
      </c>
      <c r="F62" s="1872">
        <f t="shared" si="50"/>
        <v>4.287040847912527</v>
      </c>
      <c r="G62" s="1872">
        <f t="shared" si="50"/>
        <v>4.3222418189038647</v>
      </c>
      <c r="H62" s="1872">
        <f t="shared" si="50"/>
        <v>4.8060538070711862</v>
      </c>
      <c r="I62" s="1872">
        <f t="shared" si="50"/>
        <v>4.9371801596193441</v>
      </c>
      <c r="J62" s="1872">
        <f t="shared" si="50"/>
        <v>4.8188137654041565</v>
      </c>
      <c r="K62" s="1872">
        <f t="shared" si="50"/>
        <v>5.2028978978298239</v>
      </c>
      <c r="L62" s="1872">
        <f t="shared" si="50"/>
        <v>6.3782509619162795</v>
      </c>
      <c r="M62" s="1872">
        <f t="shared" si="50"/>
        <v>6.8525505750071831</v>
      </c>
      <c r="N62" s="1872">
        <f t="shared" ca="1" si="50"/>
        <v>5.5071513082311467</v>
      </c>
      <c r="O62" s="1872">
        <f t="shared" ca="1" si="50"/>
        <v>5.1118677688453831</v>
      </c>
      <c r="P62" s="1872">
        <f t="shared" ca="1" si="50"/>
        <v>4.893679667114486</v>
      </c>
      <c r="Q62" s="1872">
        <f t="shared" ca="1" si="50"/>
        <v>4.5625019561976323</v>
      </c>
      <c r="R62" s="1872">
        <f t="shared" ca="1" si="50"/>
        <v>4.2224670234356134</v>
      </c>
      <c r="S62" s="1872">
        <f t="shared" ca="1" si="50"/>
        <v>3.8684455385892997</v>
      </c>
      <c r="T62" s="1872">
        <f t="shared" ca="1" si="50"/>
        <v>3.5215017142964986</v>
      </c>
      <c r="U62" s="1293"/>
      <c r="V62" s="1293"/>
      <c r="W62" s="1293"/>
      <c r="X62" s="1293"/>
      <c r="Y62" s="1293"/>
      <c r="Z62" s="1293"/>
      <c r="AA62" s="1293"/>
      <c r="AB62" s="1293"/>
      <c r="AC62" s="1293"/>
      <c r="AD62" s="1293"/>
      <c r="AE62" s="1293"/>
      <c r="AF62" s="1293"/>
      <c r="AG62" s="1293"/>
    </row>
    <row r="63" spans="1:33" ht="15.75">
      <c r="A63" s="1653" t="s">
        <v>2748</v>
      </c>
      <c r="B63" s="1675"/>
      <c r="C63" s="1872"/>
      <c r="D63" s="1872"/>
      <c r="E63" s="1872"/>
      <c r="F63" s="1872"/>
      <c r="G63" s="1872"/>
      <c r="H63" s="1872"/>
      <c r="I63" s="1872"/>
      <c r="J63" s="1872">
        <f t="shared" ref="J63:O63" si="51">J100</f>
        <v>4.9001353502026248</v>
      </c>
      <c r="K63" s="1872">
        <f t="shared" si="51"/>
        <v>5.0695412604905963</v>
      </c>
      <c r="L63" s="1872">
        <f t="shared" ca="1" si="51"/>
        <v>5.7432925239392514</v>
      </c>
      <c r="M63" s="1872">
        <f t="shared" ca="1" si="51"/>
        <v>6.0729517898980241</v>
      </c>
      <c r="N63" s="1872">
        <f t="shared" ca="1" si="51"/>
        <v>4.9227312746070346</v>
      </c>
      <c r="O63" s="1872">
        <f t="shared" ca="1" si="51"/>
        <v>4.5253547191056365</v>
      </c>
      <c r="P63" s="1872">
        <f t="shared" ref="P63:Q63" ca="1" si="52">P100</f>
        <v>4.4309394539926625</v>
      </c>
      <c r="Q63" s="1872">
        <f t="shared" ca="1" si="52"/>
        <v>4.1054719714488286</v>
      </c>
      <c r="R63" s="1872">
        <f t="shared" ref="R63:T63" ca="1" si="53">R100</f>
        <v>3.7729477999255252</v>
      </c>
      <c r="S63" s="1872">
        <f t="shared" ca="1" si="53"/>
        <v>3.4290700569294157</v>
      </c>
      <c r="T63" s="1872">
        <f t="shared" ca="1" si="53"/>
        <v>3.0884324745588434</v>
      </c>
      <c r="V63" s="1293"/>
      <c r="W63" s="1878">
        <f ca="1">(N63*5+O63*7)/12</f>
        <v>4.6909282838978861</v>
      </c>
      <c r="X63" s="1293"/>
      <c r="Y63" s="1293"/>
      <c r="Z63" s="1293"/>
      <c r="AA63" s="1293"/>
      <c r="AB63" s="1293"/>
      <c r="AC63" s="1293"/>
      <c r="AD63" s="1293"/>
      <c r="AE63" s="1293"/>
      <c r="AF63" s="1293"/>
      <c r="AG63" s="1293"/>
    </row>
    <row r="64" spans="1:33" ht="15.75">
      <c r="A64" s="1653" t="s">
        <v>1244</v>
      </c>
      <c r="B64" s="1666"/>
      <c r="C64" s="1872"/>
      <c r="D64" s="1872">
        <f>D18/'New split'!D489</f>
        <v>10.544220261431935</v>
      </c>
      <c r="E64" s="1872">
        <f ca="1">E18/'New split'!E489</f>
        <v>10.658856486377063</v>
      </c>
      <c r="F64" s="1872">
        <f ca="1">F18/'New split'!F489</f>
        <v>8.3649140645769577</v>
      </c>
      <c r="G64" s="1872">
        <f>G18/'New split'!G489</f>
        <v>7.8165915481171879</v>
      </c>
      <c r="H64" s="1872">
        <f>H18/'New split'!H489</f>
        <v>8.8571025397207173</v>
      </c>
      <c r="I64" s="1872">
        <f ca="1">I18/'New split'!I489</f>
        <v>7.8616398017962066</v>
      </c>
      <c r="J64" s="1872">
        <f ca="1">J18/'New split'!J489</f>
        <v>7.7856942092065085</v>
      </c>
      <c r="K64" s="1872">
        <f ca="1">K18/'New split'!K489</f>
        <v>8.9115911099615701</v>
      </c>
      <c r="L64" s="1872">
        <f>L18/'New split'!L468</f>
        <v>11.322769428809913</v>
      </c>
      <c r="M64" s="1872">
        <f>M18/'New split'!M468</f>
        <v>11.109461532843088</v>
      </c>
      <c r="N64" s="1872">
        <f>N18/'New split'!N468</f>
        <v>6.9803277100124292</v>
      </c>
      <c r="O64" s="1872">
        <f ca="1">O18/'New split'!O468</f>
        <v>7.1552980068372642</v>
      </c>
      <c r="P64" s="1872">
        <f ca="1">P18/'New split'!P468</f>
        <v>6.7468556822194037</v>
      </c>
      <c r="Q64" s="1872">
        <f ca="1">Q18/'New split'!Q468</f>
        <v>6.2162923611702086</v>
      </c>
      <c r="R64" s="1872">
        <f ca="1">R18/'New split'!R468</f>
        <v>5.7195344958696515</v>
      </c>
      <c r="S64" s="1872">
        <f ca="1">S18/'New split'!S468</f>
        <v>5.1934465010815458</v>
      </c>
      <c r="T64" s="1872">
        <f ca="1">T18/'New split'!T468</f>
        <v>4.6799090563620034</v>
      </c>
      <c r="U64" s="1293"/>
      <c r="V64" s="1293"/>
      <c r="W64" s="1293"/>
      <c r="X64" s="1293"/>
      <c r="Y64" s="1293"/>
      <c r="Z64" s="1293"/>
      <c r="AA64" s="1293"/>
      <c r="AB64" s="1293"/>
      <c r="AC64" s="1293"/>
      <c r="AD64" s="1293"/>
      <c r="AE64" s="1293"/>
      <c r="AF64" s="1293"/>
      <c r="AG64" s="1293"/>
    </row>
    <row r="65" spans="1:33" ht="15.75">
      <c r="A65" s="1653" t="s">
        <v>1245</v>
      </c>
      <c r="B65" s="1879"/>
      <c r="C65" s="1872"/>
      <c r="D65" s="1872">
        <f>D64/(1-Master!Q178)</f>
        <v>16.57514091349034</v>
      </c>
      <c r="E65" s="1872">
        <f ca="1">E64/(1-Master!R178)</f>
        <v>19.983687177344457</v>
      </c>
      <c r="F65" s="1872">
        <f ca="1">F64/(1-Master!S178)</f>
        <v>21.128399962502893</v>
      </c>
      <c r="G65" s="1872">
        <f>G64/(1-Master!T178)</f>
        <v>22.090367418592056</v>
      </c>
      <c r="H65" s="1872">
        <f>H64/(1-Master!U178)</f>
        <v>15.753472456144481</v>
      </c>
      <c r="I65" s="1872">
        <f ca="1">I64/(1-Master!V178)</f>
        <v>25.854258729618451</v>
      </c>
      <c r="J65" s="1872">
        <f ca="1">J64/(1-Master!W178)</f>
        <v>43.080841290942672</v>
      </c>
      <c r="K65" s="1872">
        <f ca="1">K64/(1-Master!X178)</f>
        <v>14.90321406899956</v>
      </c>
      <c r="L65" s="1872">
        <f>L64/(1-Master!Y178)</f>
        <v>37.744746757824544</v>
      </c>
      <c r="M65" s="1872">
        <f>M64/(1-Master!Z178)</f>
        <v>-4.9827091314918475</v>
      </c>
      <c r="N65" s="1872">
        <f ca="1">N64/(1-Master!AA178)</f>
        <v>12.800160125274257</v>
      </c>
      <c r="O65" s="1872">
        <f ca="1">O64/(1-Master!AB178)</f>
        <v>14.163706078157437</v>
      </c>
      <c r="P65" s="1872">
        <f ca="1">P64/(1-Master!AC178)</f>
        <v>10.94503016782291</v>
      </c>
      <c r="Q65" s="1872">
        <f ca="1">Q64/(1-Master!AD178)</f>
        <v>10.134615745452006</v>
      </c>
      <c r="R65" s="1872">
        <f ca="1">R64/(1-Master!AE178)</f>
        <v>9.2515611082442408</v>
      </c>
      <c r="S65" s="1872">
        <f ca="1">S64/(1-Master!AF178)</f>
        <v>8.2902965025222368</v>
      </c>
      <c r="T65" s="1872">
        <f ca="1">T64/(1-Master!AG178)</f>
        <v>7.36190614779429</v>
      </c>
      <c r="U65" s="1293"/>
      <c r="V65" s="1293"/>
      <c r="W65" s="1293"/>
      <c r="X65" s="1293"/>
      <c r="Y65" s="1293"/>
      <c r="Z65" s="1293"/>
      <c r="AA65" s="1293"/>
      <c r="AB65" s="1293"/>
      <c r="AC65" s="1293"/>
      <c r="AD65" s="1293"/>
      <c r="AE65" s="1293"/>
      <c r="AF65" s="1293"/>
      <c r="AG65" s="1293"/>
    </row>
    <row r="66" spans="1:33" ht="15.75">
      <c r="A66" s="1653" t="s">
        <v>4494</v>
      </c>
      <c r="B66" s="1666"/>
      <c r="C66" s="1872"/>
      <c r="D66" s="1872">
        <f>D18/Master!Q30</f>
        <v>9.3938835614648113</v>
      </c>
      <c r="E66" s="1872">
        <f>E18/Master!R30</f>
        <v>9.8695826517783889</v>
      </c>
      <c r="F66" s="1872">
        <f>F18/Master!S30</f>
        <v>12.463500205133021</v>
      </c>
      <c r="G66" s="1872">
        <f>G18/Master!T30</f>
        <v>11.038418509402023</v>
      </c>
      <c r="H66" s="1872">
        <f>H18/Master!U30</f>
        <v>11.626174508901695</v>
      </c>
      <c r="I66" s="1872">
        <f>I18/Master!V30</f>
        <v>13.046434618683241</v>
      </c>
      <c r="J66" s="1872">
        <f>J18/Master!W30</f>
        <v>12.460720298677762</v>
      </c>
      <c r="K66" s="1872">
        <f>K18/Master!X30</f>
        <v>13.844370882921924</v>
      </c>
      <c r="L66" s="1872">
        <f>L18/Master!Y30</f>
        <v>15.546504845596473</v>
      </c>
      <c r="M66" s="1872">
        <f>M18/Master!Z30</f>
        <v>17.530528122727624</v>
      </c>
      <c r="N66" s="1872">
        <f ca="1">N18/Master!AA30</f>
        <v>10.130311270450196</v>
      </c>
      <c r="O66" s="1872">
        <f ca="1">O18/Master!AB30</f>
        <v>10.235531963379202</v>
      </c>
      <c r="P66" s="1872">
        <f ca="1">P18/Master!AC30</f>
        <v>7.5336383420957178</v>
      </c>
      <c r="Q66" s="1872">
        <f ca="1">Q18/Master!AD30</f>
        <v>7.1835869059942308</v>
      </c>
      <c r="R66" s="1872">
        <f ca="1">R18/Master!AE30</f>
        <v>6.6643995718620408</v>
      </c>
      <c r="S66" s="1872">
        <f ca="1">S18/Master!AF30</f>
        <v>6.0536241915441824</v>
      </c>
      <c r="T66" s="1872">
        <f ca="1">T18/Master!AG30</f>
        <v>5.4261429576110096</v>
      </c>
      <c r="U66" s="1293"/>
      <c r="V66" s="1293"/>
      <c r="W66" s="1293"/>
      <c r="X66" s="1293"/>
      <c r="Y66" s="1293"/>
      <c r="Z66" s="1293"/>
      <c r="AA66" s="1293"/>
      <c r="AB66" s="1293"/>
      <c r="AC66" s="1293"/>
      <c r="AD66" s="1293"/>
      <c r="AE66" s="1293"/>
      <c r="AF66" s="1293"/>
      <c r="AG66" s="1293"/>
    </row>
    <row r="67" spans="1:33" ht="15.75">
      <c r="A67" s="1653" t="s">
        <v>4495</v>
      </c>
      <c r="B67" s="1879"/>
      <c r="C67" s="1872"/>
      <c r="D67" s="1872">
        <f t="shared" ref="D67:T67" si="54">D18/D51</f>
        <v>18.767525465600798</v>
      </c>
      <c r="E67" s="1872">
        <f t="shared" ca="1" si="54"/>
        <v>17.308935966226414</v>
      </c>
      <c r="F67" s="1872">
        <f t="shared" ca="1" si="54"/>
        <v>18.746122286280553</v>
      </c>
      <c r="G67" s="1872">
        <f t="shared" ca="1" si="54"/>
        <v>18.874909877379327</v>
      </c>
      <c r="H67" s="1872">
        <f t="shared" ca="1" si="54"/>
        <v>13.400144727733506</v>
      </c>
      <c r="I67" s="1872">
        <f t="shared" ca="1" si="54"/>
        <v>16.561172942257571</v>
      </c>
      <c r="J67" s="1872">
        <f t="shared" ca="1" si="54"/>
        <v>16.074618382027534</v>
      </c>
      <c r="K67" s="1872">
        <f t="shared" ca="1" si="54"/>
        <v>13.51187144257117</v>
      </c>
      <c r="L67" s="1872">
        <f t="shared" ca="1" si="54"/>
        <v>35.263903093655422</v>
      </c>
      <c r="M67" s="1872">
        <f t="shared" ca="1" si="54"/>
        <v>-8.3035868428494339</v>
      </c>
      <c r="N67" s="1872">
        <f t="shared" ca="1" si="54"/>
        <v>19.642960296883132</v>
      </c>
      <c r="O67" s="1872">
        <f t="shared" ca="1" si="54"/>
        <v>22.415577849735346</v>
      </c>
      <c r="P67" s="1872">
        <f t="shared" ca="1" si="54"/>
        <v>17.141708731125171</v>
      </c>
      <c r="Q67" s="1872">
        <f t="shared" ca="1" si="54"/>
        <v>5.828837305434587</v>
      </c>
      <c r="R67" s="1872">
        <f t="shared" ca="1" si="54"/>
        <v>5.3666740182556421</v>
      </c>
      <c r="S67" s="1872">
        <f t="shared" ca="1" si="54"/>
        <v>4.8948525329757073</v>
      </c>
      <c r="T67" s="1872">
        <f t="shared" ca="1" si="54"/>
        <v>4.4409213201082975</v>
      </c>
      <c r="U67" s="1293"/>
      <c r="V67" s="1293"/>
      <c r="W67" s="1293"/>
      <c r="X67" s="1293"/>
      <c r="Y67" s="1293"/>
      <c r="Z67" s="1293"/>
      <c r="AA67" s="1293"/>
      <c r="AB67" s="1293"/>
      <c r="AC67" s="1293"/>
      <c r="AD67" s="1293"/>
      <c r="AE67" s="1293"/>
      <c r="AF67" s="1293"/>
      <c r="AG67" s="1293"/>
    </row>
    <row r="68" spans="1:33" ht="15.75">
      <c r="A68" s="1653"/>
      <c r="B68" s="1879"/>
      <c r="C68" s="1872"/>
      <c r="D68" s="1872"/>
      <c r="E68" s="1872"/>
      <c r="F68" s="1872"/>
      <c r="G68" s="1872"/>
      <c r="H68" s="1872"/>
      <c r="I68" s="1872"/>
      <c r="J68" s="1872"/>
      <c r="K68" s="1872"/>
      <c r="L68" s="1872"/>
      <c r="M68" s="1872"/>
      <c r="N68" s="1872"/>
      <c r="O68" s="1872"/>
      <c r="P68" s="1872"/>
      <c r="Q68" s="1872"/>
      <c r="R68" s="1872"/>
      <c r="S68" s="1872"/>
      <c r="T68" s="1872"/>
      <c r="U68" s="1293"/>
      <c r="V68" s="1293"/>
      <c r="W68" s="1293"/>
      <c r="X68" s="1293"/>
      <c r="Y68" s="1293"/>
      <c r="Z68" s="1293"/>
      <c r="AA68" s="1293"/>
      <c r="AB68" s="1293"/>
      <c r="AC68" s="1293"/>
      <c r="AD68" s="1293"/>
      <c r="AE68" s="1293"/>
      <c r="AF68" s="1293"/>
      <c r="AG68" s="1293"/>
    </row>
    <row r="69" spans="1:33" ht="15.75">
      <c r="A69" s="1653" t="s">
        <v>1246</v>
      </c>
      <c r="B69" s="1713"/>
      <c r="C69" s="1872"/>
      <c r="D69" s="1872">
        <f t="shared" ref="D69:O69" si="55">1/D71</f>
        <v>-53.451153692630136</v>
      </c>
      <c r="E69" s="1872">
        <f t="shared" ca="1" si="55"/>
        <v>107.56176557535132</v>
      </c>
      <c r="F69" s="1872">
        <f t="shared" ca="1" si="55"/>
        <v>12.531750609336386</v>
      </c>
      <c r="G69" s="1872">
        <f t="shared" si="55"/>
        <v>12.808086466037443</v>
      </c>
      <c r="H69" s="1872">
        <f t="shared" si="55"/>
        <v>11.105277282691425</v>
      </c>
      <c r="I69" s="1872">
        <f t="shared" ca="1" si="55"/>
        <v>7.1836580510778045</v>
      </c>
      <c r="J69" s="1872">
        <f t="shared" ca="1" si="55"/>
        <v>9.0277164306403783</v>
      </c>
      <c r="K69" s="1872">
        <f t="shared" ca="1" si="55"/>
        <v>6.579821850242948</v>
      </c>
      <c r="L69" s="1872">
        <f t="shared" si="55"/>
        <v>16.760564283854464</v>
      </c>
      <c r="M69" s="1872">
        <f t="shared" si="55"/>
        <v>22.288179492756747</v>
      </c>
      <c r="N69" s="1872">
        <f t="shared" ca="1" si="55"/>
        <v>6.1794722498777359</v>
      </c>
      <c r="O69" s="1872">
        <f t="shared" ca="1" si="55"/>
        <v>6.5306016714355106</v>
      </c>
      <c r="P69" s="1872">
        <f t="shared" ref="P69:Q69" ca="1" si="56">1/P71</f>
        <v>6.7164210658913284</v>
      </c>
      <c r="Q69" s="1872">
        <f t="shared" ca="1" si="56"/>
        <v>6.1848001573298506</v>
      </c>
      <c r="R69" s="1872">
        <f t="shared" ref="R69:T69" ca="1" si="57">1/R71</f>
        <v>5.7699418291952496</v>
      </c>
      <c r="S69" s="1872">
        <f t="shared" ca="1" si="57"/>
        <v>5.3522948519361249</v>
      </c>
      <c r="T69" s="1872">
        <f t="shared" ca="1" si="57"/>
        <v>4.9700573107395618</v>
      </c>
      <c r="U69" s="1293"/>
      <c r="V69" s="1293"/>
      <c r="W69" s="1293"/>
      <c r="X69" s="1293"/>
      <c r="Y69" s="1293"/>
      <c r="Z69" s="1293"/>
      <c r="AA69" s="1293"/>
      <c r="AB69" s="1293"/>
      <c r="AC69" s="1293"/>
      <c r="AD69" s="1293"/>
      <c r="AE69" s="1293"/>
      <c r="AF69" s="1293"/>
      <c r="AG69" s="1293"/>
    </row>
    <row r="70" spans="1:33" ht="15.75">
      <c r="A70" s="1684" t="s">
        <v>7493</v>
      </c>
      <c r="B70" s="1713"/>
      <c r="C70" s="1880"/>
      <c r="D70" s="1880"/>
      <c r="E70" s="1880"/>
      <c r="F70" s="1880"/>
      <c r="G70" s="1880"/>
      <c r="H70" s="1880"/>
      <c r="I70" s="1880"/>
      <c r="J70" s="1880"/>
      <c r="K70" s="1880"/>
      <c r="L70" s="1715">
        <f t="shared" ref="L70:T70" si="58">L32/L53</f>
        <v>3.2054868218185872E-2</v>
      </c>
      <c r="M70" s="1715">
        <f t="shared" si="58"/>
        <v>-7.0443867033995397E-3</v>
      </c>
      <c r="N70" s="1715">
        <f t="shared" ca="1" si="58"/>
        <v>0.15365668352042813</v>
      </c>
      <c r="O70" s="1715">
        <f ca="1">O32/O53</f>
        <v>0.15436257121302321</v>
      </c>
      <c r="P70" s="1715">
        <f t="shared" ca="1" si="58"/>
        <v>0.16573606117070405</v>
      </c>
      <c r="Q70" s="1715">
        <f t="shared" ca="1" si="58"/>
        <v>0.18210110632368406</v>
      </c>
      <c r="R70" s="1715">
        <f t="shared" ca="1" si="58"/>
        <v>0.19685046926338481</v>
      </c>
      <c r="S70" s="1715">
        <f t="shared" ca="1" si="58"/>
        <v>0.21960680124136783</v>
      </c>
      <c r="T70" s="1715">
        <f t="shared" ca="1" si="58"/>
        <v>0.23746710744196145</v>
      </c>
      <c r="U70" s="1293"/>
      <c r="V70" s="1293"/>
      <c r="W70" s="1293"/>
      <c r="X70" s="1293"/>
      <c r="Y70" s="1293"/>
      <c r="Z70" s="1293"/>
      <c r="AA70" s="1293"/>
      <c r="AB70" s="1293"/>
      <c r="AC70" s="1293"/>
      <c r="AD70" s="1293"/>
      <c r="AE70" s="1293"/>
      <c r="AF70" s="1293"/>
      <c r="AG70" s="1293"/>
    </row>
    <row r="71" spans="1:33" ht="15.75">
      <c r="A71" s="1653" t="s">
        <v>1247</v>
      </c>
      <c r="B71" s="1713"/>
      <c r="C71" s="1709"/>
      <c r="D71" s="1709">
        <f t="shared" ref="D71:T71" si="59">D27/D56</f>
        <v>-1.8708670083165676E-2</v>
      </c>
      <c r="E71" s="1709">
        <f t="shared" ca="1" si="59"/>
        <v>9.2969838738790507E-3</v>
      </c>
      <c r="F71" s="1709">
        <f t="shared" ca="1" si="59"/>
        <v>7.9797310940339136E-2</v>
      </c>
      <c r="G71" s="1709">
        <f t="shared" si="59"/>
        <v>7.8075675289329877E-2</v>
      </c>
      <c r="H71" s="1709">
        <f t="shared" si="59"/>
        <v>9.0047278833693789E-2</v>
      </c>
      <c r="I71" s="1709">
        <f t="shared" ca="1" si="59"/>
        <v>0.13920484422973953</v>
      </c>
      <c r="J71" s="1709">
        <f t="shared" ca="1" si="59"/>
        <v>0.11076998349283168</v>
      </c>
      <c r="K71" s="1709">
        <f t="shared" ca="1" si="59"/>
        <v>0.1519797986571744</v>
      </c>
      <c r="L71" s="1709">
        <f t="shared" si="59"/>
        <v>5.9663862329701223E-2</v>
      </c>
      <c r="M71" s="1709">
        <f t="shared" si="59"/>
        <v>4.486683178071954E-2</v>
      </c>
      <c r="N71" s="1709">
        <f t="shared" ca="1" si="59"/>
        <v>0.16182611711215072</v>
      </c>
      <c r="O71" s="1709">
        <f t="shared" ca="1" si="59"/>
        <v>0.153125247919184</v>
      </c>
      <c r="P71" s="1709">
        <f t="shared" ca="1" si="59"/>
        <v>0.1488888189393604</v>
      </c>
      <c r="Q71" s="1709">
        <f t="shared" ca="1" si="59"/>
        <v>0.16168671170641796</v>
      </c>
      <c r="R71" s="1709">
        <f t="shared" ca="1" si="59"/>
        <v>0.17331197256445702</v>
      </c>
      <c r="S71" s="1709">
        <f t="shared" ca="1" si="59"/>
        <v>0.18683574572470774</v>
      </c>
      <c r="T71" s="1709">
        <f t="shared" ca="1" si="59"/>
        <v>0.20120492329920367</v>
      </c>
      <c r="U71" s="1293"/>
      <c r="V71" s="1293"/>
      <c r="W71" s="1293"/>
      <c r="X71" s="1293"/>
      <c r="Y71" s="1293"/>
      <c r="Z71" s="1293"/>
      <c r="AA71" s="1293"/>
      <c r="AB71" s="1293"/>
      <c r="AC71" s="1293"/>
      <c r="AD71" s="1293"/>
      <c r="AE71" s="1293"/>
      <c r="AF71" s="1293"/>
      <c r="AG71" s="1293"/>
    </row>
    <row r="72" spans="1:33" ht="15.75">
      <c r="A72" s="1653" t="s">
        <v>1248</v>
      </c>
      <c r="B72" s="1713"/>
      <c r="C72" s="1709"/>
      <c r="D72" s="1709">
        <f t="shared" ref="D72:T72" si="60">D59/$B$2*$B$3</f>
        <v>8.9249492900608518E-2</v>
      </c>
      <c r="E72" s="1709">
        <f t="shared" si="60"/>
        <v>8.9249492900608518E-2</v>
      </c>
      <c r="F72" s="1709">
        <f t="shared" si="60"/>
        <v>8.9249492900608518E-2</v>
      </c>
      <c r="G72" s="1709">
        <f t="shared" si="60"/>
        <v>8.9249492900608518E-2</v>
      </c>
      <c r="H72" s="1709">
        <f t="shared" si="60"/>
        <v>8.9249492900608518E-2</v>
      </c>
      <c r="I72" s="1709">
        <f t="shared" si="60"/>
        <v>0</v>
      </c>
      <c r="J72" s="1709">
        <f t="shared" si="60"/>
        <v>0</v>
      </c>
      <c r="K72" s="1709">
        <f t="shared" si="60"/>
        <v>0</v>
      </c>
      <c r="L72" s="1709">
        <f t="shared" si="60"/>
        <v>0</v>
      </c>
      <c r="M72" s="1709">
        <f t="shared" si="60"/>
        <v>0</v>
      </c>
      <c r="N72" s="1709">
        <f t="shared" si="60"/>
        <v>0.10987153482082489</v>
      </c>
      <c r="O72" s="1709">
        <f t="shared" si="60"/>
        <v>0.10141987829614606</v>
      </c>
      <c r="P72" s="1709">
        <f t="shared" si="60"/>
        <v>0.10987153482082489</v>
      </c>
      <c r="Q72" s="1709">
        <f t="shared" si="60"/>
        <v>0.11832319134550372</v>
      </c>
      <c r="R72" s="1709">
        <f t="shared" si="60"/>
        <v>0.12677484787018256</v>
      </c>
      <c r="S72" s="1709">
        <f t="shared" si="60"/>
        <v>0.13522650439486139</v>
      </c>
      <c r="T72" s="1709">
        <f t="shared" si="60"/>
        <v>0.14367816091954025</v>
      </c>
      <c r="U72" s="1293"/>
      <c r="V72" s="1293"/>
      <c r="W72" s="1293"/>
      <c r="X72" s="1293"/>
      <c r="Y72" s="1293"/>
      <c r="Z72" s="1293"/>
      <c r="AA72" s="1293"/>
      <c r="AB72" s="1293"/>
      <c r="AC72" s="1293"/>
      <c r="AD72" s="1293"/>
      <c r="AE72" s="1293"/>
      <c r="AF72" s="1293"/>
      <c r="AG72" s="1293"/>
    </row>
    <row r="73" spans="1:33" ht="15.75">
      <c r="A73" s="1653" t="s">
        <v>1249</v>
      </c>
      <c r="B73" s="1880"/>
      <c r="C73" s="1872"/>
      <c r="D73" s="1872">
        <f t="shared" ref="D73:T73" si="61">($B$2/$B$3)/D58</f>
        <v>17.092798857379655</v>
      </c>
      <c r="E73" s="1872">
        <f t="shared" si="61"/>
        <v>12.396802371060177</v>
      </c>
      <c r="F73" s="1872">
        <f t="shared" si="61"/>
        <v>23.396503999999997</v>
      </c>
      <c r="G73" s="1872">
        <f t="shared" si="61"/>
        <v>102.86393999999999</v>
      </c>
      <c r="H73" s="1872">
        <f t="shared" si="61"/>
        <v>20.020498389261743</v>
      </c>
      <c r="I73" s="1872">
        <f t="shared" si="61"/>
        <v>42.615060857142851</v>
      </c>
      <c r="J73" s="1872">
        <f t="shared" si="61"/>
        <v>287.17190582307035</v>
      </c>
      <c r="K73" s="1872">
        <f t="shared" si="61"/>
        <v>12.913654805194804</v>
      </c>
      <c r="L73" s="1872">
        <f t="shared" si="61"/>
        <v>11.866278207793362</v>
      </c>
      <c r="M73" s="1872">
        <f t="shared" si="61"/>
        <v>84.06175216262622</v>
      </c>
      <c r="N73" s="1872">
        <f t="shared" ca="1" si="61"/>
        <v>11.508486776082469</v>
      </c>
      <c r="O73" s="1872">
        <f t="shared" ca="1" si="61"/>
        <v>11.867807611803617</v>
      </c>
      <c r="P73" s="1872">
        <f t="shared" ca="1" si="61"/>
        <v>7.0961470670921925</v>
      </c>
      <c r="Q73" s="1872">
        <f t="shared" ca="1" si="61"/>
        <v>7.1992867694374825</v>
      </c>
      <c r="R73" s="1872">
        <f t="shared" ca="1" si="61"/>
        <v>6.9675208262930983</v>
      </c>
      <c r="S73" s="1872">
        <f t="shared" ca="1" si="61"/>
        <v>6.5970484065070245</v>
      </c>
      <c r="T73" s="1872">
        <f t="shared" ca="1" si="61"/>
        <v>6.1878908662892345</v>
      </c>
      <c r="U73" s="1293"/>
      <c r="V73" s="1293"/>
      <c r="W73" s="1293"/>
      <c r="X73" s="1293"/>
      <c r="Y73" s="1293"/>
      <c r="Z73" s="1293"/>
      <c r="AA73" s="1293"/>
      <c r="AB73" s="1293"/>
      <c r="AC73" s="1293"/>
      <c r="AD73" s="1293"/>
      <c r="AE73" s="1293"/>
      <c r="AF73" s="1293"/>
      <c r="AG73" s="1293"/>
    </row>
    <row r="74" spans="1:33" ht="15.75">
      <c r="A74" s="1653"/>
      <c r="B74" s="1880"/>
      <c r="C74" s="1872"/>
      <c r="D74" s="1872"/>
      <c r="E74" s="1872"/>
      <c r="F74" s="1872"/>
      <c r="G74" s="1872"/>
      <c r="H74" s="1872"/>
      <c r="I74" s="1872"/>
      <c r="J74" s="1872"/>
      <c r="K74" s="1872"/>
      <c r="L74" s="1872"/>
      <c r="M74" s="1872"/>
      <c r="N74" s="1878"/>
      <c r="O74" s="1878"/>
      <c r="P74" s="1878"/>
      <c r="Q74" s="1878"/>
      <c r="R74" s="1878"/>
      <c r="S74" s="1878"/>
      <c r="T74" s="1878"/>
      <c r="U74" s="1293"/>
      <c r="V74" s="1293"/>
      <c r="W74" s="1293"/>
      <c r="X74" s="1293"/>
      <c r="Y74" s="1293"/>
      <c r="Z74" s="1293"/>
      <c r="AA74" s="1293"/>
      <c r="AB74" s="1293"/>
      <c r="AC74" s="1293"/>
      <c r="AD74" s="1293"/>
      <c r="AE74" s="1293"/>
      <c r="AF74" s="1293"/>
      <c r="AG74" s="1293"/>
    </row>
    <row r="75" spans="1:33" ht="15.75">
      <c r="A75" s="1653" t="s">
        <v>8633</v>
      </c>
      <c r="B75" s="1880"/>
      <c r="C75" s="1872"/>
      <c r="D75" s="1878">
        <f t="shared" ref="D75:T75" si="62">D16/D21</f>
        <v>1.8952168706332275</v>
      </c>
      <c r="E75" s="1878">
        <f t="shared" si="62"/>
        <v>1.8957191642069424</v>
      </c>
      <c r="F75" s="1878">
        <f t="shared" si="62"/>
        <v>1.8813749719164232</v>
      </c>
      <c r="G75" s="1878">
        <f t="shared" si="62"/>
        <v>1.8674919761577258</v>
      </c>
      <c r="H75" s="1878">
        <f t="shared" si="62"/>
        <v>2.352428964252979</v>
      </c>
      <c r="I75" s="1878">
        <f t="shared" si="62"/>
        <v>2.8376470588235296</v>
      </c>
      <c r="J75" s="1878">
        <f t="shared" si="62"/>
        <v>2.6684104627766598</v>
      </c>
      <c r="K75" s="1878">
        <f t="shared" si="62"/>
        <v>3.1691542288557213</v>
      </c>
      <c r="L75" s="1878">
        <f t="shared" si="62"/>
        <v>3.0586117986567243</v>
      </c>
      <c r="M75" s="1878">
        <f t="shared" si="62"/>
        <v>3.3150419495610612</v>
      </c>
      <c r="N75" s="1878">
        <f t="shared" ca="1" si="62"/>
        <v>2.4827377017796555</v>
      </c>
      <c r="O75" s="1878">
        <f ca="1">O16/O21</f>
        <v>2.2722745797198325</v>
      </c>
      <c r="P75" s="1878">
        <f t="shared" ca="1" si="62"/>
        <v>2.3412920351226498</v>
      </c>
      <c r="Q75" s="1878">
        <f t="shared" ca="1" si="62"/>
        <v>2.3505226738028977</v>
      </c>
      <c r="R75" s="1878">
        <f t="shared" ca="1" si="62"/>
        <v>2.3466767086413629</v>
      </c>
      <c r="S75" s="1878">
        <f t="shared" ca="1" si="62"/>
        <v>2.3203975020181051</v>
      </c>
      <c r="T75" s="1878">
        <f t="shared" ca="1" si="62"/>
        <v>2.288343061579857</v>
      </c>
      <c r="U75" s="1293"/>
      <c r="V75" s="1293"/>
      <c r="W75" s="1293"/>
      <c r="X75" s="1293"/>
      <c r="Y75" s="1293"/>
      <c r="Z75" s="1293"/>
      <c r="AA75" s="1293"/>
      <c r="AB75" s="1293"/>
      <c r="AC75" s="1293"/>
      <c r="AD75" s="1293"/>
      <c r="AE75" s="1293"/>
      <c r="AF75" s="1293"/>
      <c r="AG75" s="1293"/>
    </row>
    <row r="76" spans="1:33" ht="15.75">
      <c r="A76" s="1653" t="s">
        <v>8634</v>
      </c>
      <c r="B76" s="1880"/>
      <c r="C76" s="1872"/>
      <c r="D76" s="1878"/>
      <c r="E76" s="1878"/>
      <c r="F76" s="1878"/>
      <c r="G76" s="1878"/>
      <c r="H76" s="1878"/>
      <c r="I76" s="1878"/>
      <c r="J76" s="1878"/>
      <c r="K76" s="1878"/>
      <c r="L76" s="1878">
        <f>(L16-Master!AA434)/Master!Y22</f>
        <v>3.0273760330578514</v>
      </c>
      <c r="M76" s="1878">
        <f>(M16-Master!AB434)/Master!Z22</f>
        <v>3.3229304635761587</v>
      </c>
      <c r="N76" s="2364">
        <f>(N16-Master!AA434)/Master!AA22</f>
        <v>2.4159663865546217</v>
      </c>
      <c r="O76" s="2364">
        <f ca="1">(O16-Master!AB434)/Master!AB22</f>
        <v>2.1924683350267933</v>
      </c>
      <c r="P76" s="2364">
        <f ca="1">(P16-Master!AC434)/Master!AC22</f>
        <v>2.2702369348702938</v>
      </c>
      <c r="Q76" s="2364">
        <f ca="1">(Q16-Master!AD434)/Master!AD22</f>
        <v>2.2792945893339991</v>
      </c>
      <c r="R76" s="2364">
        <f ca="1">(R16-Master!AE434)/Master!AE22</f>
        <v>2.273081648117202</v>
      </c>
      <c r="S76" s="2364">
        <f ca="1">(S16-Master!AF434)/Master!AF22</f>
        <v>2.2405827509495944</v>
      </c>
      <c r="T76" s="2364">
        <f ca="1">(T16-Master!AG434)/Master!AG22</f>
        <v>2.2012269373656452</v>
      </c>
      <c r="U76" s="1293"/>
      <c r="V76" s="1293"/>
      <c r="W76" s="1293"/>
      <c r="X76" s="2153"/>
      <c r="Y76" s="2153"/>
      <c r="Z76" s="2153"/>
      <c r="AA76" s="2153"/>
      <c r="AB76" s="2153"/>
      <c r="AC76" s="2153"/>
      <c r="AD76" s="1293"/>
      <c r="AE76" s="1293"/>
      <c r="AF76" s="1293"/>
      <c r="AG76" s="1293"/>
    </row>
    <row r="77" spans="1:33" ht="15.75">
      <c r="A77" s="1653" t="s">
        <v>988</v>
      </c>
      <c r="B77" s="1293"/>
      <c r="C77" s="1293"/>
      <c r="D77" s="1665">
        <f>(Master!Q30+Master!Q44)/Master!Q120</f>
        <v>0.1596892921137387</v>
      </c>
      <c r="E77" s="1665">
        <f>(Master!R30+Master!R44)/Master!R120</f>
        <v>0.16209417946920199</v>
      </c>
      <c r="F77" s="1665">
        <f>(Master!S30+Master!S44)/Master!S120</f>
        <v>0.12235434007134365</v>
      </c>
      <c r="G77" s="1665">
        <f>(Master!T30+Master!T44)/Master!T120</f>
        <v>0.15159909342734829</v>
      </c>
      <c r="H77" s="1665">
        <f>(Master!U30+Master!U44)/Master!U120</f>
        <v>0.17333002234914327</v>
      </c>
      <c r="I77" s="1665">
        <f>(Master!V30+Master!V44)/Master!V120</f>
        <v>0.19496195224350565</v>
      </c>
      <c r="J77" s="1665">
        <f>(Master!W30+Master!W44)/Master!W120</f>
        <v>0.20859740975475338</v>
      </c>
      <c r="K77" s="1665">
        <f>(Master!X30+Master!X44)/Master!X120</f>
        <v>0.22592592592592592</v>
      </c>
      <c r="L77" s="1665">
        <f>(Master!Y30+Master!Y44)/Master!Y120</f>
        <v>0.23055704248912673</v>
      </c>
      <c r="M77" s="1665">
        <f>(Master!Z30+Master!Z44)/Master!Z120</f>
        <v>0.12915529449629867</v>
      </c>
      <c r="N77" s="1665">
        <f ca="1">(Master!AA30+Master!AA44)/Master!AA120</f>
        <v>0.37268436951176687</v>
      </c>
      <c r="O77" s="1665">
        <f ca="1">(Master!AB30+Master!AB44)/Master!AB120</f>
        <v>0.52963818358395687</v>
      </c>
      <c r="P77" s="1665">
        <f ca="1">(Master!AC30+Master!AC44)/Master!AC120</f>
        <v>0.62219367617600907</v>
      </c>
      <c r="Q77" s="1665">
        <f ca="1">(Master!AD30+Master!AD44)/Master!AD120</f>
        <v>0.58716457677080158</v>
      </c>
      <c r="R77" s="1665">
        <f ca="1">(Master!AE30+Master!AE44)/Master!AE120</f>
        <v>0.57665296894763152</v>
      </c>
      <c r="S77" s="1665">
        <f ca="1">(Master!AF30+Master!AF44)/Master!AF120</f>
        <v>0.58123875018012194</v>
      </c>
      <c r="T77" s="1665">
        <f ca="1">(Master!AG30+Master!AG44)/Master!AG120</f>
        <v>0.59530822753620027</v>
      </c>
      <c r="U77" s="1293"/>
      <c r="V77" s="1293"/>
      <c r="W77" s="1293"/>
      <c r="X77" s="1293"/>
      <c r="Y77" s="1293"/>
      <c r="Z77" s="1293"/>
      <c r="AA77" s="1293"/>
      <c r="AB77" s="1293"/>
      <c r="AC77" s="1293"/>
      <c r="AD77" s="1293"/>
      <c r="AE77" s="1293"/>
      <c r="AF77" s="1293"/>
      <c r="AG77" s="1293"/>
    </row>
    <row r="78" spans="1:33" ht="15.75">
      <c r="A78" s="1653" t="s">
        <v>2530</v>
      </c>
      <c r="B78" s="1293"/>
      <c r="C78" s="1293"/>
      <c r="D78" s="1724">
        <f>Master!Q30/(Master!Q150+Master!Q134+Master!Q135)</f>
        <v>0.12853726427097792</v>
      </c>
      <c r="E78" s="1724">
        <f>Master!R30/(Master!R150+Master!R134+Master!R135)</f>
        <v>0.11226813783090717</v>
      </c>
      <c r="F78" s="1724">
        <f>Master!S30/(Master!S150+Master!S134+Master!S135)</f>
        <v>9.2697989828045529E-2</v>
      </c>
      <c r="G78" s="1724">
        <f>Master!T30/(Master!T150+Master!T134+Master!T135)</f>
        <v>0.10752958952404935</v>
      </c>
      <c r="H78" s="1724">
        <f>Master!U30/(Master!U150+Master!U134+Master!U135)</f>
        <v>0.10623012601578141</v>
      </c>
      <c r="I78" s="1724">
        <f>Master!V30/(Master!V150+Master!V134+Master!V135)</f>
        <v>9.222094801223242E-2</v>
      </c>
      <c r="J78" s="1724">
        <f>Master!W30/(Master!W150+Master!W134+Master!W135)</f>
        <v>0.10296796314154077</v>
      </c>
      <c r="K78" s="1724">
        <f>Master!X30/(Master!X150+Master!X134+Master!X135)</f>
        <v>9.066568183916536E-2</v>
      </c>
      <c r="L78" s="1724">
        <f>Master!Y30/(Master!Y150+Master!Y134+Master!Y135)</f>
        <v>8.7485405301942751E-2</v>
      </c>
      <c r="M78" s="1724">
        <f>Master!Z30/(Master!Z150+Master!Z134+Master!Z135)</f>
        <v>7.9020059364228262E-2</v>
      </c>
      <c r="N78" s="1724">
        <f ca="1">Master!AA30/(Master!AA150+Master!AA134+Master!AA135)</f>
        <v>0.13831107904771722</v>
      </c>
      <c r="O78" s="1724">
        <f ca="1">Master!AB30/(Master!AB150+Master!AB134+Master!AB135)</f>
        <v>0.13832614145254266</v>
      </c>
      <c r="P78" s="1724">
        <f ca="1">Master!AC30/(Master!AC150+Master!AC134+Master!AC135)</f>
        <v>0.17777085125594241</v>
      </c>
      <c r="Q78" s="1724">
        <f ca="1">Master!AD30/(Master!AD150+Master!AD134+Master!AD135)</f>
        <v>0.176563046514118</v>
      </c>
      <c r="R78" s="1724">
        <f ca="1">Master!AE30/(Master!AE150+Master!AE134+Master!AE135)</f>
        <v>0.17957100829937261</v>
      </c>
      <c r="S78" s="1724">
        <f ca="1">Master!AF30/(Master!AF150+Master!AF134+Master!AF135)</f>
        <v>0.18537902786876145</v>
      </c>
      <c r="T78" s="1724">
        <f ca="1">Master!AG30/(Master!AG150+Master!AG134+Master!AG135)</f>
        <v>0.19218077092756122</v>
      </c>
      <c r="U78" s="1293"/>
      <c r="V78" s="1293"/>
      <c r="W78" s="1293"/>
      <c r="X78" s="1293"/>
      <c r="Y78" s="1293"/>
      <c r="Z78" s="1293"/>
      <c r="AA78" s="1293"/>
      <c r="AB78" s="1293"/>
      <c r="AC78" s="1293"/>
      <c r="AD78" s="1293"/>
      <c r="AE78" s="1293"/>
      <c r="AF78" s="1293"/>
      <c r="AG78" s="1293"/>
    </row>
    <row r="79" spans="1:33" ht="15.75">
      <c r="A79" s="1293"/>
      <c r="B79" s="1293"/>
      <c r="C79" s="1293"/>
      <c r="D79" s="1293"/>
      <c r="E79" s="1293"/>
      <c r="F79" s="1293"/>
      <c r="G79" s="1293"/>
      <c r="H79" s="1293"/>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row>
    <row r="80" spans="1:33" ht="15.75">
      <c r="A80" s="1293" t="s">
        <v>8935</v>
      </c>
      <c r="B80" s="1293"/>
      <c r="C80" s="1293"/>
      <c r="D80" s="1293"/>
      <c r="E80" s="1293"/>
      <c r="F80" s="1293"/>
      <c r="G80" s="1293"/>
      <c r="H80" s="1327"/>
      <c r="I80" s="1327">
        <f>'New (new) quarts'!AJ137-'New (new) quarts'!AJ110-'New (new) quarts'!AJ111-'New (new) quarts'!AJ112+'New CA'!G169</f>
        <v>2721.3784597935019</v>
      </c>
      <c r="J80" s="1327">
        <f t="shared" ref="J80:T80" si="63">J21</f>
        <v>2485</v>
      </c>
      <c r="K80" s="1327">
        <f t="shared" si="63"/>
        <v>2613</v>
      </c>
      <c r="L80" s="1327">
        <f t="shared" si="63"/>
        <v>2228.1349999999998</v>
      </c>
      <c r="M80" s="1327">
        <f t="shared" si="63"/>
        <v>2111.2855</v>
      </c>
      <c r="N80" s="1327">
        <f t="shared" ca="1" si="63"/>
        <v>2468.6458000000002</v>
      </c>
      <c r="O80" s="1327">
        <f t="shared" si="63"/>
        <v>2381.685419914671</v>
      </c>
      <c r="P80" s="1327">
        <f t="shared" si="63"/>
        <v>2396.1990022089599</v>
      </c>
      <c r="Q80" s="1327">
        <f t="shared" si="63"/>
        <v>2461.0081072440548</v>
      </c>
      <c r="R80" s="1327">
        <f t="shared" si="63"/>
        <v>2531.4814825398967</v>
      </c>
      <c r="S80" s="1327">
        <f t="shared" si="63"/>
        <v>2605.2274230211528</v>
      </c>
      <c r="T80" s="1327">
        <f t="shared" si="63"/>
        <v>2675.7831928277733</v>
      </c>
      <c r="U80" s="1293"/>
      <c r="V80" s="1293"/>
      <c r="W80" s="1293"/>
      <c r="X80" s="1293"/>
      <c r="Y80" s="1293"/>
      <c r="Z80" s="1293"/>
      <c r="AA80" s="1293"/>
      <c r="AB80" s="1293"/>
      <c r="AC80" s="1293"/>
      <c r="AD80" s="1293"/>
      <c r="AE80" s="1293"/>
      <c r="AF80" s="1293"/>
      <c r="AG80" s="1293"/>
    </row>
    <row r="81" spans="1:33" ht="15.75">
      <c r="A81" s="1293" t="s">
        <v>8936</v>
      </c>
      <c r="B81" s="1293"/>
      <c r="C81" s="1293"/>
      <c r="D81" s="1293"/>
      <c r="E81" s="1293"/>
      <c r="F81" s="1293"/>
      <c r="G81" s="1293"/>
      <c r="H81" s="1881"/>
      <c r="I81" s="1881">
        <f t="shared" ref="I81:T81" si="64">I16/I80</f>
        <v>2.6589465989045373</v>
      </c>
      <c r="J81" s="1881">
        <f t="shared" si="64"/>
        <v>2.6684104627766598</v>
      </c>
      <c r="K81" s="1881">
        <f t="shared" si="64"/>
        <v>3.1691542288557213</v>
      </c>
      <c r="L81" s="1881">
        <f t="shared" si="64"/>
        <v>3.0586117986567243</v>
      </c>
      <c r="M81" s="1881">
        <f t="shared" si="64"/>
        <v>3.3150419495610612</v>
      </c>
      <c r="N81" s="1881">
        <f t="shared" ca="1" si="64"/>
        <v>2.4827377017796555</v>
      </c>
      <c r="O81" s="1881">
        <f t="shared" ca="1" si="64"/>
        <v>2.2722745797198325</v>
      </c>
      <c r="P81" s="1881">
        <f t="shared" ca="1" si="64"/>
        <v>2.3412920351226498</v>
      </c>
      <c r="Q81" s="1881">
        <f t="shared" ca="1" si="64"/>
        <v>2.3505226738028977</v>
      </c>
      <c r="R81" s="1881">
        <f t="shared" ca="1" si="64"/>
        <v>2.3466767086413629</v>
      </c>
      <c r="S81" s="1881">
        <f t="shared" ca="1" si="64"/>
        <v>2.3203975020181051</v>
      </c>
      <c r="T81" s="1881">
        <f t="shared" ca="1" si="64"/>
        <v>2.288343061579857</v>
      </c>
      <c r="U81" s="1293"/>
      <c r="V81" s="1293"/>
      <c r="W81" s="1293"/>
      <c r="X81" s="1293"/>
      <c r="Y81" s="1293"/>
      <c r="Z81" s="1293"/>
      <c r="AA81" s="1293"/>
      <c r="AB81" s="1293"/>
      <c r="AC81" s="1293"/>
      <c r="AD81" s="1293"/>
      <c r="AE81" s="1293"/>
      <c r="AF81" s="1293"/>
      <c r="AG81" s="1293"/>
    </row>
    <row r="82" spans="1:33" ht="15.75">
      <c r="A82" s="1293"/>
      <c r="B82" s="1293"/>
      <c r="C82" s="1293"/>
      <c r="D82" s="1293"/>
      <c r="E82" s="1293"/>
      <c r="F82" s="1293"/>
      <c r="G82" s="1293"/>
      <c r="H82" s="1293"/>
      <c r="I82" s="1293"/>
      <c r="J82" s="1293"/>
      <c r="K82" s="1293"/>
      <c r="L82" s="1293"/>
      <c r="M82" s="1293"/>
      <c r="N82" s="1293"/>
      <c r="O82" s="1293"/>
      <c r="P82" s="1293"/>
      <c r="Q82" s="1293"/>
      <c r="R82" s="1293"/>
      <c r="S82" s="1293"/>
      <c r="T82" s="1293"/>
      <c r="U82" s="1293"/>
      <c r="V82" s="1293"/>
      <c r="W82" s="1293"/>
      <c r="X82" s="1293"/>
      <c r="Y82" s="1293"/>
      <c r="Z82" s="1293"/>
      <c r="AA82" s="1293"/>
      <c r="AB82" s="1293"/>
      <c r="AC82" s="1293"/>
      <c r="AD82" s="1293"/>
      <c r="AE82" s="1293"/>
      <c r="AF82" s="1293"/>
      <c r="AG82" s="1293"/>
    </row>
    <row r="83" spans="1:33" ht="15.75">
      <c r="A83" s="1324" t="s">
        <v>5816</v>
      </c>
      <c r="B83" s="1331"/>
      <c r="C83" s="1331"/>
      <c r="D83" s="1331"/>
      <c r="E83" s="1331"/>
      <c r="F83" s="1331"/>
      <c r="G83" s="1882"/>
      <c r="H83" s="1331"/>
      <c r="I83" s="1883" t="str">
        <f t="shared" ref="I83:T83" si="65">I6</f>
        <v>2019A</v>
      </c>
      <c r="J83" s="1883" t="str">
        <f t="shared" si="65"/>
        <v>2020A</v>
      </c>
      <c r="K83" s="1883" t="str">
        <f t="shared" si="65"/>
        <v>2021A</v>
      </c>
      <c r="L83" s="1883" t="str">
        <f t="shared" si="65"/>
        <v>2022A</v>
      </c>
      <c r="M83" s="1883" t="str">
        <f t="shared" si="65"/>
        <v>2023A</v>
      </c>
      <c r="N83" s="1883" t="str">
        <f t="shared" si="65"/>
        <v>2024A</v>
      </c>
      <c r="O83" s="1883" t="str">
        <f t="shared" si="65"/>
        <v>2025E</v>
      </c>
      <c r="P83" s="1883" t="str">
        <f t="shared" si="65"/>
        <v>2026E</v>
      </c>
      <c r="Q83" s="1883" t="str">
        <f t="shared" si="65"/>
        <v>2027E</v>
      </c>
      <c r="R83" s="1883" t="str">
        <f t="shared" si="65"/>
        <v>2028E</v>
      </c>
      <c r="S83" s="1883" t="str">
        <f t="shared" si="65"/>
        <v>2029E</v>
      </c>
      <c r="T83" s="1883" t="str">
        <f t="shared" si="65"/>
        <v>2030E</v>
      </c>
      <c r="U83" s="1293"/>
      <c r="V83" s="1293"/>
      <c r="W83" s="1293"/>
      <c r="X83" s="1293"/>
      <c r="Y83" s="1293"/>
      <c r="Z83" s="1293"/>
      <c r="AA83" s="1293"/>
      <c r="AB83" s="1293"/>
      <c r="AC83" s="1293"/>
      <c r="AD83" s="1293"/>
      <c r="AE83" s="1293"/>
      <c r="AF83" s="1293"/>
      <c r="AG83" s="1293"/>
    </row>
    <row r="84" spans="1:33" ht="15.75">
      <c r="A84" s="1293" t="s">
        <v>5910</v>
      </c>
      <c r="B84" s="1293"/>
      <c r="C84" s="1293"/>
      <c r="D84" s="1293"/>
      <c r="E84" s="1293"/>
      <c r="F84" s="1293"/>
      <c r="G84" s="1724"/>
      <c r="H84" s="1293"/>
      <c r="I84" s="1675">
        <f ca="1">Master!V5-0.5*Colombia!P279-(1-0.55)*CA!T105-(1-0.66)*CA!T241-(1-0.8)*Onda!E98</f>
        <v>4661.2332924580742</v>
      </c>
      <c r="J84" s="1675">
        <f ca="1">Master!W5-0.5*Colombia!Q279-(1-0.55)*CA!U105-(1-0.66)*CA!U241-(1-0.8)*Onda!F98</f>
        <v>4616.4688948350322</v>
      </c>
      <c r="K84" s="1675">
        <f ca="1">Master!X5-0.5*Colombia!R279-(1-0.66)*CA!V241-(1-0.8)*Onda!G98</f>
        <v>5549.7524171389759</v>
      </c>
      <c r="L84" s="1884">
        <f ca="1">Master!Y5-0.5*Colombia!S279-(1-0.9)*Onda!H98+(CA!W241*CA!W281)</f>
        <v>5229.8558245514005</v>
      </c>
      <c r="M84" s="1884">
        <f ca="1">Master!Z5-0.5*Colombia!T279+(CA!X241*CA!X281)</f>
        <v>5336.3798240282194</v>
      </c>
      <c r="N84" s="1884">
        <f ca="1">Master!AA5-0.5*Colombia!U279+(CA!Y241*CA!Y281)</f>
        <v>5473.4818037743617</v>
      </c>
      <c r="O84" s="1884">
        <f ca="1">Master!AB5-0.5*Colombia!V279+(CA!Z241*CA!Z281)</f>
        <v>5177.8471115940129</v>
      </c>
      <c r="P84" s="1884">
        <f>Master!AC5-0.5*Colombia!AG279+(CA!AA241*CA!AA281)</f>
        <v>6020.62167816481</v>
      </c>
      <c r="Q84" s="1884">
        <f>Master!AD5-0.5*Colombia!AH279+(CA!AB241*CA!AB281)</f>
        <v>5870.3760975687883</v>
      </c>
      <c r="R84" s="1884">
        <f>Master!AE5-0.5*Colombia!AI279+(CA!AC241*CA!AC281)</f>
        <v>6232.3169091538193</v>
      </c>
      <c r="S84" s="1884">
        <f>Master!AF5-0.5*Colombia!AJ279+(CA!AD241*CA!AD281)</f>
        <v>6322.1970423952725</v>
      </c>
      <c r="T84" s="1884">
        <f>Master!AG5-0.5*Colombia!AK279+(CA!AE241*CA!AE281)</f>
        <v>6398.577983789869</v>
      </c>
      <c r="U84" s="1293"/>
      <c r="V84" s="1293"/>
      <c r="W84" s="1293"/>
      <c r="X84" s="1293"/>
      <c r="Y84" s="1293"/>
      <c r="Z84" s="1293"/>
      <c r="AA84" s="1293"/>
      <c r="AB84" s="1293"/>
      <c r="AC84" s="1293"/>
      <c r="AD84" s="1293"/>
      <c r="AE84" s="1293"/>
      <c r="AF84" s="1293"/>
      <c r="AG84" s="1293"/>
    </row>
    <row r="85" spans="1:33" ht="15.75">
      <c r="A85" s="1293" t="s">
        <v>312</v>
      </c>
      <c r="B85" s="1293"/>
      <c r="C85" s="1293"/>
      <c r="D85" s="1675">
        <f ca="1">Master!Q14-0.5*Colombia!K282-(1-0.55)*CA!O115-(1-0.66)*CA!O245</f>
        <v>1388.1489188540406</v>
      </c>
      <c r="E85" s="1675">
        <f>Master!R14-0.5*Colombia!L282-(1-0.55)*CA!P115-(1-0.66)*CA!P245</f>
        <v>1595.7886942315395</v>
      </c>
      <c r="F85" s="1675">
        <f>Master!S14-0.5*Colombia!M282-(1-0.55)*CA!Q115-(1-0.66)*CA!Q245</f>
        <v>1599.2504139817918</v>
      </c>
      <c r="G85" s="1675">
        <f>Master!T14-0.5*Colombia!N282-(1-0.55)*CA!R115-(1-0.66)*CA!R245</f>
        <v>1555.2413908612966</v>
      </c>
      <c r="H85" s="1675">
        <f>Master!U14-0.5*Colombia!O282-(1-0.55)*CA!S115-(1-0.66)*CA!S245-(1-0.8)*Onda!D29</f>
        <v>1509.1597148892563</v>
      </c>
      <c r="I85" s="1675">
        <f>Master!V14-0.5*Colombia!P282-(1-0.55)*CA!T115-(1-0.66)*CA!T245-(1-0.8)*Onda!E99</f>
        <v>1826.4561492822902</v>
      </c>
      <c r="J85" s="1675">
        <f>Master!W14-0.5*Colombia!Q282-(1-0.55)*CA!U115-(1-0.66)*CA!U245-(1-0.8)*Onda!F99</f>
        <v>1948.833871935987</v>
      </c>
      <c r="K85" s="1675">
        <f>Master!X14-0.5*Colombia!R282-(1-0.66)*CA!V245-(1-0.8)*Onda!G99</f>
        <v>2249.9993099971803</v>
      </c>
      <c r="L85" s="1884">
        <f ca="1">Master!Y14-0.5*Colombia!S282-(1-0.9)*Onda!H99+(CA!W245*CA!W281)</f>
        <v>2143.0273123558168</v>
      </c>
      <c r="M85" s="1884">
        <f>Master!Z14-0.5*'New split'!M288+(CA!X245*CA!X281)</f>
        <v>2066.557268</v>
      </c>
      <c r="N85" s="1884">
        <f ca="1">Master!AA14-0.5*'New split'!N288+(CA!Y245*CA!Y281)</f>
        <v>2407.4353583000002</v>
      </c>
      <c r="O85" s="1884">
        <f>Master!AB14-0.5*'New split'!O288+(CA!Z245*CA!Z281)</f>
        <v>2306.3520679887342</v>
      </c>
      <c r="P85" s="1884">
        <f>Master!AC14-0.5*'New split'!P288+(CA!AA245*CA!AA281)</f>
        <v>2317.5190275487653</v>
      </c>
      <c r="Q85" s="1884">
        <f>Master!AD14-0.5*'New split'!Q288+(CA!AB245*CA!AB281)</f>
        <v>2381.1399315024273</v>
      </c>
      <c r="R85" s="1884">
        <f>Master!AE14-0.5*'New split'!R288+(CA!AC245*CA!AC281)</f>
        <v>2449.5111573036802</v>
      </c>
      <c r="S85" s="1884">
        <f>Master!AF14-0.5*'New split'!S288+(CA!AD245*CA!AD281)</f>
        <v>2518.5846608134548</v>
      </c>
      <c r="T85" s="1884">
        <f>Master!AG14-0.5*'New split'!T288+(CA!AE245*CA!AE281)</f>
        <v>2585.9230311061538</v>
      </c>
      <c r="U85" s="1293"/>
      <c r="V85" s="1293"/>
      <c r="W85" s="1293"/>
      <c r="X85" s="1293"/>
      <c r="Y85" s="1293"/>
      <c r="Z85" s="1293"/>
      <c r="AA85" s="1293"/>
      <c r="AB85" s="1293"/>
      <c r="AC85" s="1293"/>
      <c r="AD85" s="1293"/>
      <c r="AE85" s="1293"/>
      <c r="AF85" s="1293"/>
      <c r="AG85" s="1293"/>
    </row>
    <row r="86" spans="1:33" ht="15.75">
      <c r="A86" s="1293" t="s">
        <v>9083</v>
      </c>
      <c r="B86" s="1293"/>
      <c r="C86" s="1293"/>
      <c r="D86" s="1675"/>
      <c r="E86" s="1675"/>
      <c r="F86" s="1675"/>
      <c r="G86" s="1675"/>
      <c r="H86" s="1675"/>
      <c r="I86" s="1688"/>
      <c r="J86" s="1675"/>
      <c r="K86" s="1293"/>
      <c r="L86" s="1675"/>
      <c r="M86" s="1675"/>
      <c r="N86" s="1884">
        <f>'New split'!N399-0.5*'New split'!N393+(CA!Y265*CA!Y281)</f>
        <v>666.97024598091332</v>
      </c>
      <c r="O86" s="1884">
        <f>'New split'!O399-0.5*'New split'!O393+(CA!Z265*CA!Z281)</f>
        <v>662.08083448914954</v>
      </c>
      <c r="P86" s="1884">
        <f>'New split'!P399-0.5*'New split'!P393+(CA!AA265*CA!AA281)</f>
        <v>644.36164305169189</v>
      </c>
      <c r="Q86" s="1884">
        <f>'New split'!Q399-0.5*'New split'!Q393+(CA!AB265*CA!AB281)</f>
        <v>644.9067706797041</v>
      </c>
      <c r="R86" s="1884">
        <f>'New split'!R399-0.5*'New split'!R393+(CA!AC265*CA!AC281)</f>
        <v>652.95903969194762</v>
      </c>
      <c r="S86" s="1884">
        <f>'New split'!S399-0.5*'New split'!S393+(CA!AD265*CA!AD281)</f>
        <v>655.25904735783149</v>
      </c>
      <c r="T86" s="1884">
        <f>'New split'!T399-0.5*'New split'!T393+(CA!AE265*CA!AE281)</f>
        <v>653.52265034683478</v>
      </c>
      <c r="U86" s="1293"/>
      <c r="V86" s="1293"/>
      <c r="W86" s="1293"/>
      <c r="X86" s="1293"/>
      <c r="Y86" s="1293"/>
      <c r="Z86" s="1293"/>
      <c r="AA86" s="1293"/>
      <c r="AB86" s="1293"/>
      <c r="AC86" s="1293"/>
      <c r="AD86" s="1293"/>
      <c r="AE86" s="1293"/>
      <c r="AF86" s="1293"/>
      <c r="AG86" s="1293"/>
    </row>
    <row r="87" spans="1:33" ht="15.75">
      <c r="A87" s="1293" t="s">
        <v>9084</v>
      </c>
      <c r="B87" s="1293"/>
      <c r="C87" s="1293"/>
      <c r="D87" s="1675"/>
      <c r="E87" s="1675"/>
      <c r="F87" s="1675"/>
      <c r="G87" s="1675"/>
      <c r="H87" s="1675"/>
      <c r="I87" s="1688"/>
      <c r="J87" s="1675"/>
      <c r="K87" s="1293"/>
      <c r="L87" s="1675"/>
      <c r="M87" s="1675"/>
      <c r="N87" s="1675">
        <f ca="1">N85-N86</f>
        <v>1740.465112319087</v>
      </c>
      <c r="O87" s="1675">
        <f t="shared" ref="O87:T87" si="66">O85-O86</f>
        <v>1644.2712334995847</v>
      </c>
      <c r="P87" s="1675">
        <f t="shared" si="66"/>
        <v>1673.1573844970735</v>
      </c>
      <c r="Q87" s="1675">
        <f t="shared" si="66"/>
        <v>1736.2331608227232</v>
      </c>
      <c r="R87" s="1675">
        <f t="shared" si="66"/>
        <v>1796.5521176117327</v>
      </c>
      <c r="S87" s="1675">
        <f t="shared" si="66"/>
        <v>1863.3256134556232</v>
      </c>
      <c r="T87" s="1675">
        <f t="shared" si="66"/>
        <v>1932.400380759319</v>
      </c>
      <c r="U87" s="1293"/>
      <c r="V87" s="1293"/>
      <c r="W87" s="1293"/>
      <c r="X87" s="1293"/>
      <c r="Y87" s="1293"/>
      <c r="Z87" s="1293"/>
      <c r="AA87" s="1293"/>
      <c r="AB87" s="1293"/>
      <c r="AC87" s="1293"/>
      <c r="AD87" s="1293"/>
      <c r="AE87" s="1293"/>
      <c r="AF87" s="1293"/>
      <c r="AG87" s="1293"/>
    </row>
    <row r="88" spans="1:33" ht="15.75">
      <c r="A88" s="1293"/>
      <c r="B88" s="1293"/>
      <c r="C88" s="1293"/>
      <c r="D88" s="1675"/>
      <c r="E88" s="1675"/>
      <c r="F88" s="1675"/>
      <c r="G88" s="1675"/>
      <c r="H88" s="1675"/>
      <c r="I88" s="1688"/>
      <c r="J88" s="1675"/>
      <c r="K88" s="1293"/>
      <c r="L88" s="1675"/>
      <c r="M88" s="1675"/>
      <c r="N88" s="1675"/>
      <c r="O88" s="1675"/>
      <c r="P88" s="1675"/>
      <c r="Q88" s="1675"/>
      <c r="R88" s="1675"/>
      <c r="S88" s="1675"/>
      <c r="T88" s="1675"/>
      <c r="U88" s="1293"/>
      <c r="V88" s="1293"/>
      <c r="W88" s="1293"/>
      <c r="X88" s="1293"/>
      <c r="Y88" s="1293"/>
      <c r="Z88" s="1293"/>
      <c r="AA88" s="1293"/>
      <c r="AB88" s="1293"/>
      <c r="AC88" s="1293"/>
      <c r="AD88" s="1293"/>
      <c r="AE88" s="1293"/>
      <c r="AF88" s="1293"/>
      <c r="AG88" s="1293"/>
    </row>
    <row r="89" spans="1:33" ht="15.75">
      <c r="A89" s="1293"/>
      <c r="B89" s="1293"/>
      <c r="C89" s="1293"/>
      <c r="D89" s="1675"/>
      <c r="E89" s="1675"/>
      <c r="F89" s="1675"/>
      <c r="G89" s="1675"/>
      <c r="H89" s="1675"/>
      <c r="I89" s="1688"/>
      <c r="J89" s="1675"/>
      <c r="K89" s="1293"/>
      <c r="L89" s="1675"/>
      <c r="M89" s="1675"/>
      <c r="N89" s="1675"/>
      <c r="O89" s="1675"/>
      <c r="P89" s="1675"/>
      <c r="Q89" s="1675"/>
      <c r="R89" s="1675"/>
      <c r="S89" s="1675"/>
      <c r="T89" s="1675"/>
      <c r="U89" s="1293"/>
      <c r="V89" s="1293"/>
      <c r="W89" s="1293"/>
      <c r="X89" s="1293"/>
      <c r="Y89" s="1293"/>
      <c r="Z89" s="1293"/>
      <c r="AA89" s="1293"/>
      <c r="AB89" s="1293"/>
      <c r="AC89" s="1293"/>
      <c r="AD89" s="1293"/>
      <c r="AE89" s="1293"/>
      <c r="AF89" s="1293"/>
      <c r="AG89" s="1293"/>
    </row>
    <row r="90" spans="1:33" ht="15.75">
      <c r="A90" s="1293" t="s">
        <v>5887</v>
      </c>
      <c r="B90" s="1293"/>
      <c r="C90" s="1293"/>
      <c r="D90" s="1675"/>
      <c r="E90" s="1675"/>
      <c r="F90" s="1675"/>
      <c r="G90" s="1675"/>
      <c r="H90" s="1675"/>
      <c r="I90" s="1675">
        <f>0.5*Colombia!P310+0.45*CA!T190+0.33*CA!T275+0.2*Onda!E38</f>
        <v>1046.6400000000001</v>
      </c>
      <c r="J90" s="1675">
        <f>0.5*Colombia!Q310+0.45*CA!U190+0.33*CA!U275+0.2*Onda!F38</f>
        <v>953.37</v>
      </c>
      <c r="K90" s="1675">
        <f>0.5*Colombia!R310+0.33*CA!V275+0.2*Onda!G38</f>
        <v>716.87540943970725</v>
      </c>
      <c r="L90" s="1675">
        <f ca="1">0.5*Colombia!S310+0.2*Onda!H38</f>
        <v>610.54544895365234</v>
      </c>
      <c r="M90" s="1675">
        <f ca="1">0.5*Colombia!T310+0.2*Onda!I38</f>
        <v>606.13621738258814</v>
      </c>
      <c r="N90" s="1675">
        <f>0.5*Colombia!U310+0.2*Onda!J38</f>
        <v>425.25967264417147</v>
      </c>
      <c r="O90" s="1675">
        <f ca="1">0.5*Colombia!V310+0.2*Onda!K38</f>
        <v>411.64844350090863</v>
      </c>
      <c r="P90" s="1675">
        <f>0.5*Colombia!AG310+0.2*Onda!L38</f>
        <v>123.66331117723097</v>
      </c>
      <c r="Q90" s="1675">
        <f>0.5*Colombia!AH310+0.2*Onda!M38</f>
        <v>110.96774513376783</v>
      </c>
      <c r="R90" s="1675">
        <f>0.5*Colombia!AI310+0.2*Onda!N38</f>
        <v>97.320262648506059</v>
      </c>
      <c r="S90" s="1675">
        <f>0.5*Colombia!AJ310+0.2*Onda!O38</f>
        <v>83.348979676841083</v>
      </c>
      <c r="T90" s="1675">
        <f>0.5*Colombia!AK310+0.2*Onda!P38</f>
        <v>69.049023021452541</v>
      </c>
      <c r="U90" s="1293"/>
      <c r="V90" s="1293"/>
      <c r="W90" s="1293"/>
      <c r="X90" s="1293"/>
      <c r="Y90" s="1293"/>
      <c r="Z90" s="1293"/>
      <c r="AA90" s="1293"/>
      <c r="AB90" s="1293"/>
      <c r="AC90" s="1293"/>
      <c r="AD90" s="1293"/>
      <c r="AE90" s="1293"/>
      <c r="AF90" s="1293"/>
      <c r="AG90" s="1293"/>
    </row>
    <row r="91" spans="1:33" ht="15.75">
      <c r="A91" s="1293" t="s">
        <v>5814</v>
      </c>
      <c r="B91" s="1293"/>
      <c r="C91" s="1293"/>
      <c r="D91" s="1675"/>
      <c r="E91" s="1675"/>
      <c r="F91" s="1675"/>
      <c r="G91" s="1675"/>
      <c r="H91" s="1675"/>
      <c r="I91" s="1675">
        <f>1376-1030</f>
        <v>346</v>
      </c>
      <c r="J91" s="1675">
        <f>K91</f>
        <v>0</v>
      </c>
      <c r="K91" s="1675"/>
      <c r="L91" s="1884"/>
      <c r="M91" s="1675"/>
      <c r="N91" s="1675"/>
      <c r="O91" s="1675"/>
      <c r="P91" s="1675"/>
      <c r="Q91" s="1675"/>
      <c r="R91" s="1675"/>
      <c r="S91" s="1675"/>
      <c r="T91" s="1675"/>
      <c r="U91" s="1293"/>
      <c r="V91" s="1293"/>
      <c r="W91" s="1293"/>
      <c r="X91" s="1293"/>
      <c r="Y91" s="1293"/>
      <c r="Z91" s="1293"/>
      <c r="AA91" s="1293"/>
      <c r="AB91" s="1293"/>
      <c r="AC91" s="1293"/>
      <c r="AD91" s="1293"/>
      <c r="AE91" s="1293"/>
      <c r="AF91" s="1293"/>
      <c r="AG91" s="1293"/>
    </row>
    <row r="92" spans="1:33" ht="15.75">
      <c r="A92" s="1293" t="s">
        <v>7425</v>
      </c>
      <c r="B92" s="1293"/>
      <c r="C92" s="1293"/>
      <c r="D92" s="1675"/>
      <c r="E92" s="1675"/>
      <c r="F92" s="1675"/>
      <c r="G92" s="1675"/>
      <c r="H92" s="1675"/>
      <c r="I92" s="1675"/>
      <c r="J92" s="1675"/>
      <c r="K92" s="1675"/>
      <c r="L92" s="1675">
        <f>CA!W275*CA!W281</f>
        <v>178.80644305865661</v>
      </c>
      <c r="M92" s="1675">
        <f>CA!X275*CA!X281</f>
        <v>160.3806694641743</v>
      </c>
      <c r="N92" s="1675">
        <f>CA!Y275*CA!Y281</f>
        <v>153.04351499658989</v>
      </c>
      <c r="O92" s="1675">
        <f>CA!Z275*CA!Z281</f>
        <v>145.6811841855245</v>
      </c>
      <c r="P92" s="1675">
        <f>CA!AA275*CA!AA281</f>
        <v>138.05192973530146</v>
      </c>
      <c r="Q92" s="1675">
        <f>CA!AB275*CA!AB281</f>
        <v>130.14914997887789</v>
      </c>
      <c r="R92" s="1675">
        <f>CA!AC275*CA!AC281</f>
        <v>121.93337351138526</v>
      </c>
      <c r="S92" s="1675">
        <f>CA!AD275*CA!AD281</f>
        <v>113.4042838008537</v>
      </c>
      <c r="T92" s="1675">
        <f>CA!AE275*CA!AE281</f>
        <v>104.55504785411698</v>
      </c>
      <c r="U92" s="1293"/>
      <c r="V92" s="1293"/>
      <c r="W92" s="1293"/>
      <c r="X92" s="1293"/>
      <c r="Y92" s="1293"/>
      <c r="Z92" s="1293"/>
      <c r="AA92" s="1293"/>
      <c r="AB92" s="1293"/>
      <c r="AC92" s="1293"/>
      <c r="AD92" s="1293"/>
      <c r="AE92" s="1293"/>
      <c r="AF92" s="1293"/>
      <c r="AG92" s="1293"/>
    </row>
    <row r="93" spans="1:33" ht="15.75">
      <c r="A93" s="1331" t="s">
        <v>7426</v>
      </c>
      <c r="B93" s="1331"/>
      <c r="C93" s="1331"/>
      <c r="D93" s="1705"/>
      <c r="E93" s="1705"/>
      <c r="F93" s="1705"/>
      <c r="G93" s="1705"/>
      <c r="H93" s="1705"/>
      <c r="I93" s="1705"/>
      <c r="J93" s="1705"/>
      <c r="K93" s="1705"/>
      <c r="L93" s="1705"/>
      <c r="M93" s="1705"/>
      <c r="N93" s="1705"/>
      <c r="O93" s="1705"/>
      <c r="P93" s="1705"/>
      <c r="Q93" s="1705"/>
      <c r="R93" s="1705"/>
      <c r="S93" s="1705"/>
      <c r="T93" s="1705"/>
      <c r="U93" s="1293"/>
      <c r="V93" s="1293"/>
      <c r="W93" s="1293"/>
      <c r="X93" s="1293"/>
      <c r="Y93" s="1293"/>
      <c r="Z93" s="1293"/>
      <c r="AA93" s="1293"/>
      <c r="AB93" s="1293"/>
      <c r="AC93" s="1293"/>
      <c r="AD93" s="1293"/>
      <c r="AE93" s="1293"/>
      <c r="AF93" s="1293"/>
      <c r="AG93" s="1293"/>
    </row>
    <row r="94" spans="1:33" ht="15.75">
      <c r="A94" s="1293" t="s">
        <v>5818</v>
      </c>
      <c r="B94" s="1293"/>
      <c r="C94" s="1293"/>
      <c r="D94" s="1675">
        <f>D16-0.5*Colombia!K310-(1-0.55)*CA!O190-(1-0.66)*CA!O275</f>
        <v>3198.54</v>
      </c>
      <c r="E94" s="1675">
        <f>E16-0.5*Colombia!L310-(1-0.55)*CA!P190-(1-0.66)*CA!P275</f>
        <v>3497.8169291338586</v>
      </c>
      <c r="F94" s="1675">
        <f>F16-0.5*Colombia!M310-(1-0.55)*CA!Q190-(1-0.66)*CA!Q275</f>
        <v>3357.1899999999996</v>
      </c>
      <c r="G94" s="1675">
        <f>G16-0.5*Colombia!N310-(1-0.55)*CA!R190-(1-0.66)*CA!R275</f>
        <v>3173.8900000000003</v>
      </c>
      <c r="H94" s="1675">
        <f>H16-0.5*Colombia!O310-(1-0.55)*CA!S190-(1-0.66)*CA!S275-(1-0.8)*Onda!D38</f>
        <v>4233.58</v>
      </c>
      <c r="I94" s="1675">
        <f>I16-I90-I91</f>
        <v>5843.36</v>
      </c>
      <c r="J94" s="1675">
        <f>J16-J90-J91</f>
        <v>5677.63</v>
      </c>
      <c r="K94" s="1675">
        <f>K16-K90-K91</f>
        <v>7564.1245905602927</v>
      </c>
      <c r="L94" s="1675">
        <f t="shared" ref="L94:T94" ca="1" si="67">L16-L90+L92</f>
        <v>6383.2609941050041</v>
      </c>
      <c r="M94" s="1675">
        <f t="shared" ca="1" si="67"/>
        <v>6553.2444520815861</v>
      </c>
      <c r="N94" s="1675">
        <f t="shared" si="67"/>
        <v>5856.7838423524181</v>
      </c>
      <c r="O94" s="1675">
        <f t="shared" ca="1" si="67"/>
        <v>5145.8759772460771</v>
      </c>
      <c r="P94" s="1675">
        <f t="shared" ca="1" si="67"/>
        <v>5624.5902569987493</v>
      </c>
      <c r="Q94" s="1675">
        <f t="shared" ca="1" si="67"/>
        <v>5803.8367613350147</v>
      </c>
      <c r="R94" s="1675">
        <f t="shared" ca="1" si="67"/>
        <v>5965.181744296161</v>
      </c>
      <c r="S94" s="1675">
        <f t="shared" ca="1" si="67"/>
        <v>6075.2185086913614</v>
      </c>
      <c r="T94" s="1675">
        <f t="shared" ca="1" si="67"/>
        <v>6158.6159284320966</v>
      </c>
      <c r="U94" s="1293"/>
      <c r="V94" s="1293"/>
      <c r="W94" s="1293"/>
      <c r="X94" s="1293"/>
      <c r="Y94" s="1293"/>
      <c r="Z94" s="1293"/>
      <c r="AA94" s="1293"/>
      <c r="AB94" s="1293"/>
      <c r="AC94" s="1293"/>
      <c r="AD94" s="1293"/>
      <c r="AE94" s="1293"/>
      <c r="AF94" s="1293"/>
      <c r="AG94" s="1293"/>
    </row>
    <row r="95" spans="1:33" ht="15.75">
      <c r="A95" s="1293"/>
      <c r="B95" s="1293"/>
      <c r="C95" s="1293"/>
      <c r="D95" s="1675"/>
      <c r="E95" s="1675"/>
      <c r="F95" s="1675"/>
      <c r="G95" s="1675"/>
      <c r="H95" s="1675"/>
      <c r="I95" s="1675"/>
      <c r="J95" s="1675"/>
      <c r="K95" s="1675"/>
      <c r="L95" s="1675"/>
      <c r="M95" s="1675"/>
      <c r="N95" s="1675"/>
      <c r="O95" s="1675"/>
      <c r="P95" s="1675"/>
      <c r="Q95" s="1675"/>
      <c r="R95" s="1675"/>
      <c r="S95" s="1675"/>
      <c r="T95" s="1675"/>
      <c r="U95" s="1293"/>
      <c r="V95" s="1293"/>
      <c r="W95" s="1293"/>
      <c r="X95" s="1293"/>
      <c r="Y95" s="1293"/>
      <c r="Z95" s="1293"/>
      <c r="AA95" s="1293"/>
      <c r="AB95" s="1293"/>
      <c r="AC95" s="1293"/>
      <c r="AD95" s="1293"/>
      <c r="AE95" s="1293"/>
      <c r="AF95" s="1293"/>
      <c r="AG95" s="1293"/>
    </row>
    <row r="96" spans="1:33" ht="15.75">
      <c r="A96" s="1293" t="s">
        <v>7334</v>
      </c>
      <c r="B96" s="1293"/>
      <c r="C96" s="1293"/>
      <c r="D96" s="1881">
        <f ca="1">D94/D85</f>
        <v>2.3041764154817717</v>
      </c>
      <c r="E96" s="1881">
        <f>E94/E85</f>
        <v>2.1919048190890029</v>
      </c>
      <c r="F96" s="1881">
        <f>F94/F85</f>
        <v>2.0992272196080375</v>
      </c>
      <c r="G96" s="1881">
        <f>G94/G85</f>
        <v>2.0407700172140428</v>
      </c>
      <c r="H96" s="1881">
        <f>H94/H85</f>
        <v>2.8052564339160515</v>
      </c>
      <c r="I96" s="1881">
        <f>(I94)/I85</f>
        <v>3.1992884155998818</v>
      </c>
      <c r="J96" s="1881">
        <f>J94/J85</f>
        <v>2.9133473518498514</v>
      </c>
      <c r="K96" s="1881">
        <f>K94/K85</f>
        <v>3.3618341823268256</v>
      </c>
      <c r="L96" s="1881">
        <f t="shared" ref="L96:R96" ca="1" si="68">(L94)/L85</f>
        <v>2.978618591233877</v>
      </c>
      <c r="M96" s="1881">
        <f t="shared" ca="1" si="68"/>
        <v>3.1710925961532976</v>
      </c>
      <c r="N96" s="1881">
        <f t="shared" ca="1" si="68"/>
        <v>2.4327896581564543</v>
      </c>
      <c r="O96" s="1881">
        <f t="shared" ca="1" si="68"/>
        <v>2.2311753910726924</v>
      </c>
      <c r="P96" s="1881">
        <f t="shared" ca="1" si="68"/>
        <v>2.4269877356510277</v>
      </c>
      <c r="Q96" s="1881">
        <f t="shared" ca="1" si="68"/>
        <v>2.4374194412308094</v>
      </c>
      <c r="R96" s="1881">
        <f t="shared" ca="1" si="68"/>
        <v>2.4352539593501525</v>
      </c>
      <c r="S96" s="1881">
        <f t="shared" ref="S96:T96" ca="1" si="69">(S94)/S85</f>
        <v>2.4121557647894121</v>
      </c>
      <c r="T96" s="1881">
        <f t="shared" ca="1" si="69"/>
        <v>2.3815928990731363</v>
      </c>
      <c r="U96" s="1293"/>
      <c r="V96" s="1293"/>
      <c r="W96" s="1293"/>
      <c r="X96" s="2362"/>
      <c r="Y96" s="2362"/>
      <c r="Z96" s="2362"/>
      <c r="AA96" s="2362"/>
      <c r="AB96" s="2362"/>
      <c r="AC96" s="2362"/>
      <c r="AD96" s="1293"/>
      <c r="AE96" s="1293"/>
      <c r="AF96" s="1293"/>
      <c r="AG96" s="1293"/>
    </row>
    <row r="97" spans="1:33" ht="15.75">
      <c r="A97" s="1293" t="s">
        <v>7335</v>
      </c>
      <c r="B97" s="1293"/>
      <c r="C97" s="1293"/>
      <c r="D97" s="1881"/>
      <c r="E97" s="1881"/>
      <c r="F97" s="1881"/>
      <c r="G97" s="1881"/>
      <c r="H97" s="1881"/>
      <c r="I97" s="1881"/>
      <c r="J97" s="1881"/>
      <c r="K97" s="1881">
        <f>K96-'New (new) quarts'!$AS$568</f>
        <v>3.2818341823268256</v>
      </c>
      <c r="L97" s="1881">
        <f ca="1">L96-'New (new) quarts'!$AS$568</f>
        <v>2.8986185912338769</v>
      </c>
      <c r="M97" s="1881">
        <f ca="1">M96-'New (new) quarts'!$AS$568</f>
        <v>3.0910925961532976</v>
      </c>
      <c r="N97" s="1881">
        <f ca="1">N96-'New (new) quarts'!$AS$568</f>
        <v>2.3527896581564542</v>
      </c>
      <c r="O97" s="1881">
        <f ca="1">O96-'New (new) quarts'!$AS$568</f>
        <v>2.1511753910726923</v>
      </c>
      <c r="P97" s="1881">
        <f ca="1">P96-'New (new) quarts'!$AS$568</f>
        <v>2.3469877356510276</v>
      </c>
      <c r="Q97" s="1881">
        <f ca="1">Q96-'New (new) quarts'!$AS$568</f>
        <v>2.3574194412308094</v>
      </c>
      <c r="R97" s="1881">
        <f ca="1">R96-'New (new) quarts'!$AS$568</f>
        <v>2.3552539593501525</v>
      </c>
      <c r="S97" s="1881">
        <f ca="1">S96-'New (new) quarts'!$AS$568</f>
        <v>2.332155764789412</v>
      </c>
      <c r="T97" s="1881">
        <f ca="1">T96-'New (new) quarts'!$AS$568</f>
        <v>2.3015928990731362</v>
      </c>
      <c r="U97" s="1293"/>
      <c r="V97" s="1293"/>
      <c r="W97" s="1293"/>
      <c r="X97" s="1881"/>
      <c r="Y97" s="1881"/>
      <c r="Z97" s="1881"/>
      <c r="AA97" s="1881"/>
      <c r="AB97" s="1881"/>
      <c r="AC97" s="1881"/>
      <c r="AD97" s="1293"/>
      <c r="AE97" s="1293"/>
      <c r="AF97" s="1293"/>
      <c r="AG97" s="1293"/>
    </row>
    <row r="98" spans="1:33" ht="15.75">
      <c r="A98" s="1293"/>
      <c r="B98" s="1293"/>
      <c r="C98" s="1293"/>
      <c r="D98" s="1881"/>
      <c r="E98" s="1881"/>
      <c r="F98" s="1881"/>
      <c r="G98" s="1881"/>
      <c r="H98" s="1881"/>
      <c r="I98" s="1881"/>
      <c r="J98" s="1881"/>
      <c r="K98" s="1881"/>
      <c r="L98" s="1881"/>
      <c r="M98" s="1881"/>
      <c r="N98" s="1881"/>
      <c r="O98" s="1881">
        <v>2.5</v>
      </c>
      <c r="P98" s="1881">
        <v>2.5</v>
      </c>
      <c r="Q98" s="1881">
        <v>2.5</v>
      </c>
      <c r="R98" s="1881">
        <v>2.5</v>
      </c>
      <c r="S98" s="1881">
        <v>2.5</v>
      </c>
      <c r="T98" s="1881">
        <v>2.5</v>
      </c>
      <c r="U98" s="1293"/>
      <c r="V98" s="1293"/>
      <c r="W98" s="1293"/>
      <c r="X98" s="1293"/>
      <c r="Y98" s="1293"/>
      <c r="Z98" s="1293"/>
      <c r="AA98" s="1293"/>
      <c r="AB98" s="1293"/>
      <c r="AC98" s="1293"/>
      <c r="AD98" s="1293"/>
      <c r="AE98" s="1293"/>
      <c r="AF98" s="1293"/>
      <c r="AG98" s="1293"/>
    </row>
    <row r="99" spans="1:33" ht="15.75">
      <c r="A99" s="1293" t="s">
        <v>245</v>
      </c>
      <c r="B99" s="1293"/>
      <c r="C99" s="1293"/>
      <c r="D99" s="1675"/>
      <c r="E99" s="1675">
        <f>E10+E11+E12+E13+E94+E15-E17</f>
        <v>7379.7938766796433</v>
      </c>
      <c r="F99" s="1675">
        <f>F10+F11+F12+F13+F94+F15-F17</f>
        <v>7239.1669475457838</v>
      </c>
      <c r="G99" s="1675">
        <f>G10+G11+G12+G13+G94+G15-G17</f>
        <v>7055.8669475457846</v>
      </c>
      <c r="H99" s="1675">
        <f>H10+H11+H12+H13+H94+H15-H17</f>
        <v>8115.5569475457851</v>
      </c>
      <c r="I99" s="1675">
        <f>I10+I11+I12+I13+I94+I15-I17-I91</f>
        <v>9379.3369475457839</v>
      </c>
      <c r="J99" s="1675">
        <f>J10+J11+J12+J13+J94+J15-J17-J91</f>
        <v>9549.5497475457851</v>
      </c>
      <c r="K99" s="1675">
        <f>K10+K11+K12+K13+K94+K15-K17</f>
        <v>11406.464338106078</v>
      </c>
      <c r="L99" s="1675">
        <f t="shared" ref="L99:T99" ca="1" si="70">L10+L11+L12+L13+L94+L15-L17-L91</f>
        <v>12308.03274165079</v>
      </c>
      <c r="M99" s="1675">
        <f t="shared" ca="1" si="70"/>
        <v>12550.102659627371</v>
      </c>
      <c r="N99" s="1675">
        <f t="shared" si="70"/>
        <v>11851.157329898204</v>
      </c>
      <c r="O99" s="1675">
        <f t="shared" ca="1" si="70"/>
        <v>10437.061214791862</v>
      </c>
      <c r="P99" s="1675">
        <f t="shared" ca="1" si="70"/>
        <v>10268.786494544533</v>
      </c>
      <c r="Q99" s="1675">
        <f t="shared" ca="1" si="70"/>
        <v>9775.7032488807999</v>
      </c>
      <c r="R99" s="1675">
        <f t="shared" ca="1" si="70"/>
        <v>9241.877731841947</v>
      </c>
      <c r="S99" s="1675">
        <f t="shared" ca="1" si="70"/>
        <v>8636.403246237147</v>
      </c>
      <c r="T99" s="1675">
        <f t="shared" ca="1" si="70"/>
        <v>7986.4486659778831</v>
      </c>
      <c r="U99" s="1293"/>
      <c r="V99" s="1293"/>
      <c r="W99" s="1293"/>
      <c r="X99" s="1293"/>
      <c r="Y99" s="1293"/>
      <c r="Z99" s="1293"/>
      <c r="AA99" s="1293"/>
      <c r="AB99" s="1293"/>
      <c r="AC99" s="1293"/>
      <c r="AD99" s="1293"/>
      <c r="AE99" s="1293"/>
      <c r="AF99" s="1293"/>
      <c r="AG99" s="1293"/>
    </row>
    <row r="100" spans="1:33" ht="15.75">
      <c r="A100" s="1293" t="s">
        <v>2748</v>
      </c>
      <c r="B100" s="1293"/>
      <c r="C100" s="1293"/>
      <c r="D100" s="1675"/>
      <c r="E100" s="1872">
        <f>E99/Valuation!E85</f>
        <v>4.6245432765353822</v>
      </c>
      <c r="F100" s="1872">
        <f>F99/Valuation!F85</f>
        <v>4.526600014766796</v>
      </c>
      <c r="G100" s="1872">
        <f>G99/Valuation!G85</f>
        <v>4.5368307383063069</v>
      </c>
      <c r="H100" s="1872">
        <f>H99/Valuation!H85</f>
        <v>5.3775335158222886</v>
      </c>
      <c r="I100" s="1872">
        <f>I99/Valuation!I85</f>
        <v>5.1352653340357577</v>
      </c>
      <c r="J100" s="1872">
        <f>J99/Valuation!J85</f>
        <v>4.9001353502026248</v>
      </c>
      <c r="K100" s="1872">
        <f>K99/Valuation!K85</f>
        <v>5.0695412604905963</v>
      </c>
      <c r="L100" s="1872">
        <f ca="1">L99/Valuation!L85</f>
        <v>5.7432925239392514</v>
      </c>
      <c r="M100" s="1872">
        <f ca="1">M99/Valuation!M85</f>
        <v>6.0729517898980241</v>
      </c>
      <c r="N100" s="1872">
        <f ca="1">N99/Valuation!N85</f>
        <v>4.9227312746070346</v>
      </c>
      <c r="O100" s="1872">
        <f ca="1">O99/Valuation!O85</f>
        <v>4.5253547191056365</v>
      </c>
      <c r="P100" s="1872">
        <f ca="1">P99/Valuation!P85</f>
        <v>4.4309394539926625</v>
      </c>
      <c r="Q100" s="1872">
        <f ca="1">Q99/Valuation!Q85</f>
        <v>4.1054719714488286</v>
      </c>
      <c r="R100" s="1872">
        <f ca="1">R99/Valuation!R85</f>
        <v>3.7729477999255252</v>
      </c>
      <c r="S100" s="1872">
        <f ca="1">S99/Valuation!S85</f>
        <v>3.4290700569294157</v>
      </c>
      <c r="T100" s="1872">
        <f ca="1">T99/Valuation!T85</f>
        <v>3.0884324745588434</v>
      </c>
      <c r="U100" s="1293"/>
      <c r="V100" s="1293"/>
      <c r="W100" s="1293"/>
      <c r="X100" s="1293"/>
      <c r="Y100" s="1293"/>
      <c r="Z100" s="1293"/>
      <c r="AA100" s="1293"/>
      <c r="AB100" s="1293"/>
      <c r="AC100" s="1293"/>
      <c r="AD100" s="1293"/>
      <c r="AE100" s="1293"/>
      <c r="AF100" s="1293"/>
      <c r="AG100" s="1293"/>
    </row>
    <row r="101" spans="1:33" ht="15.75">
      <c r="A101" s="1293" t="s">
        <v>9085</v>
      </c>
      <c r="B101" s="1293"/>
      <c r="C101" s="1293"/>
      <c r="D101" s="1675"/>
      <c r="E101" s="1872"/>
      <c r="F101" s="1872"/>
      <c r="G101" s="1872"/>
      <c r="H101" s="1872"/>
      <c r="I101" s="1872"/>
      <c r="J101" s="1872"/>
      <c r="K101" s="1872"/>
      <c r="L101" s="1872"/>
      <c r="M101" s="1872"/>
      <c r="N101" s="1872">
        <f ca="1">N99/Valuation!N87</f>
        <v>6.8091898228899863</v>
      </c>
      <c r="O101" s="1872">
        <f ca="1">O99/Valuation!O87</f>
        <v>6.3475301411058211</v>
      </c>
      <c r="P101" s="1872">
        <f ca="1">P99/Valuation!P87</f>
        <v>6.1373703332942462</v>
      </c>
      <c r="Q101" s="1872">
        <f ca="1">Q99/Valuation!Q87</f>
        <v>5.6304092500160126</v>
      </c>
      <c r="R101" s="1872">
        <f ca="1">R99/Valuation!R87</f>
        <v>5.1442302403827531</v>
      </c>
      <c r="S101" s="1872">
        <f ca="1">S99/Valuation!S87</f>
        <v>4.6349404440486062</v>
      </c>
      <c r="T101" s="1872">
        <f ca="1">T99/Valuation!T87</f>
        <v>4.1329161107076997</v>
      </c>
      <c r="U101" s="1293"/>
      <c r="V101" s="1293"/>
      <c r="W101" s="1293"/>
      <c r="X101" s="1293"/>
      <c r="Y101" s="1293"/>
      <c r="Z101" s="1293"/>
      <c r="AA101" s="1293"/>
      <c r="AB101" s="1293"/>
      <c r="AC101" s="1293"/>
      <c r="AD101" s="1293"/>
      <c r="AE101" s="1293"/>
      <c r="AF101" s="1293"/>
      <c r="AG101" s="1293"/>
    </row>
    <row r="102" spans="1:33" ht="15.75">
      <c r="A102" s="1293"/>
      <c r="B102" s="1293"/>
      <c r="C102" s="1293"/>
      <c r="D102" s="1675"/>
      <c r="E102" s="1872"/>
      <c r="F102" s="1872"/>
      <c r="G102" s="1872"/>
      <c r="H102" s="1872"/>
      <c r="I102" s="1872"/>
      <c r="J102" s="1872"/>
      <c r="K102" s="1872"/>
      <c r="L102" s="1872"/>
      <c r="M102" s="1872"/>
      <c r="N102" s="1872"/>
      <c r="O102" s="1872"/>
      <c r="P102" s="1872"/>
      <c r="Q102" s="1872"/>
      <c r="R102" s="1872"/>
      <c r="S102" s="1872"/>
      <c r="T102" s="1872"/>
      <c r="U102" s="1293"/>
      <c r="V102" s="1293"/>
      <c r="W102" s="1293"/>
      <c r="X102" s="1293"/>
      <c r="Y102" s="1293"/>
      <c r="Z102" s="1293"/>
      <c r="AA102" s="1293"/>
      <c r="AB102" s="1293"/>
      <c r="AC102" s="1293"/>
      <c r="AD102" s="1293"/>
      <c r="AE102" s="1293"/>
      <c r="AF102" s="1293"/>
      <c r="AG102" s="1293"/>
    </row>
    <row r="103" spans="1:33" ht="15.75">
      <c r="A103" s="1293" t="s">
        <v>5728</v>
      </c>
      <c r="B103" s="1293"/>
      <c r="C103" s="1293"/>
      <c r="D103" s="1675"/>
      <c r="E103" s="1872"/>
      <c r="F103" s="1872"/>
      <c r="G103" s="1872"/>
      <c r="H103" s="1872"/>
      <c r="I103" s="1328">
        <f>I85/Master!V14</f>
        <v>0.71625731344403543</v>
      </c>
      <c r="J103" s="1328">
        <f>J85/Master!W14</f>
        <v>0.73791513515183149</v>
      </c>
      <c r="K103" s="1328">
        <f>K85/Master!X14</f>
        <v>0.86107895522280142</v>
      </c>
      <c r="L103" s="1328">
        <f ca="1">L85/Master!Y14</f>
        <v>0.96180317276817473</v>
      </c>
      <c r="M103" s="1328">
        <f>M85/Master!Z14</f>
        <v>0.97881469275472222</v>
      </c>
      <c r="N103" s="1328">
        <f ca="1">N85/Master!AA14</f>
        <v>0.9752048504892844</v>
      </c>
      <c r="O103" s="1328">
        <f>O85/Master!AB14</f>
        <v>0.96836973040350738</v>
      </c>
      <c r="P103" s="1328">
        <f>P85/Master!AC14</f>
        <v>0.96716467430807596</v>
      </c>
      <c r="Q103" s="1328">
        <f>Q85/Master!AD14</f>
        <v>0.96754656130285266</v>
      </c>
      <c r="R103" s="1328">
        <f>R85/Master!AE14</f>
        <v>0.96761962281708114</v>
      </c>
      <c r="S103" s="1328">
        <f>S85/Master!AF14</f>
        <v>0.96674272601229461</v>
      </c>
      <c r="T103" s="1328">
        <f>T85/Master!AG14</f>
        <v>0.96641724861622469</v>
      </c>
      <c r="U103" s="1293"/>
      <c r="V103" s="1293"/>
      <c r="W103" s="1293"/>
      <c r="X103" s="1293"/>
      <c r="Y103" s="1293"/>
      <c r="Z103" s="1293"/>
      <c r="AA103" s="1293"/>
      <c r="AB103" s="1293"/>
      <c r="AC103" s="1293"/>
      <c r="AD103" s="1293"/>
      <c r="AE103" s="1293"/>
      <c r="AF103" s="1293"/>
      <c r="AG103" s="1293"/>
    </row>
    <row r="104" spans="1:33" ht="15.75">
      <c r="A104" s="1293" t="s">
        <v>5817</v>
      </c>
      <c r="B104" s="1293"/>
      <c r="C104" s="1293"/>
      <c r="D104" s="1675"/>
      <c r="E104" s="1872"/>
      <c r="F104" s="1872"/>
      <c r="G104" s="1872"/>
      <c r="H104" s="1872"/>
      <c r="I104" s="1328">
        <f t="shared" ref="I104:T104" si="71">(I94-I91)/I16</f>
        <v>0.7597236042012161</v>
      </c>
      <c r="J104" s="1328">
        <f t="shared" si="71"/>
        <v>0.85622530538380337</v>
      </c>
      <c r="K104" s="1328">
        <f t="shared" si="71"/>
        <v>0.91343129942764067</v>
      </c>
      <c r="L104" s="1328">
        <f t="shared" ca="1" si="71"/>
        <v>0.93664871520249515</v>
      </c>
      <c r="M104" s="1328">
        <f t="shared" ca="1" si="71"/>
        <v>0.93631153765989228</v>
      </c>
      <c r="N104" s="1328">
        <f t="shared" si="71"/>
        <v>0.95558555104461051</v>
      </c>
      <c r="O104" s="1328">
        <f t="shared" ca="1" si="71"/>
        <v>0.9508545891502258</v>
      </c>
      <c r="P104" s="1328">
        <f t="shared" ca="1" si="71"/>
        <v>1.0025647239592033</v>
      </c>
      <c r="Q104" s="1328">
        <f t="shared" ca="1" si="71"/>
        <v>1.0033159114351715</v>
      </c>
      <c r="R104" s="1328">
        <f t="shared" ca="1" si="71"/>
        <v>1.0041432247284137</v>
      </c>
      <c r="S104" s="1328">
        <f t="shared" ca="1" si="71"/>
        <v>1.0049717936649427</v>
      </c>
      <c r="T104" s="1328">
        <f t="shared" ca="1" si="71"/>
        <v>1.005798691415255</v>
      </c>
      <c r="U104" s="1293"/>
      <c r="V104" s="1293"/>
      <c r="W104" s="1293"/>
      <c r="X104" s="1293"/>
      <c r="Y104" s="1293"/>
      <c r="Z104" s="1293"/>
      <c r="AA104" s="1293"/>
      <c r="AB104" s="1293"/>
      <c r="AC104" s="1293"/>
      <c r="AD104" s="1293"/>
      <c r="AE104" s="1293"/>
      <c r="AF104" s="1293"/>
      <c r="AG104" s="1293"/>
    </row>
    <row r="105" spans="1:33" ht="15.75">
      <c r="A105" s="1293"/>
      <c r="B105" s="1293"/>
      <c r="C105" s="1293"/>
      <c r="D105" s="1699"/>
      <c r="E105" s="1698"/>
      <c r="F105" s="1872"/>
      <c r="G105" s="1872"/>
      <c r="H105" s="1328"/>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row>
    <row r="106" spans="1:33" ht="15.75">
      <c r="A106" s="1293" t="s">
        <v>5388</v>
      </c>
      <c r="B106" s="1293"/>
      <c r="C106" s="1293"/>
      <c r="D106" s="1293"/>
      <c r="E106" s="1698"/>
      <c r="F106" s="1872"/>
      <c r="G106" s="1872"/>
      <c r="H106" s="1328"/>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row>
    <row r="107" spans="1:33" ht="15.75">
      <c r="A107" s="1293" t="s">
        <v>1665</v>
      </c>
      <c r="B107" s="1293"/>
      <c r="C107" s="1293"/>
      <c r="D107" s="1293"/>
      <c r="E107" s="1327"/>
      <c r="F107" s="1872"/>
      <c r="G107" s="1872"/>
      <c r="H107" s="1328">
        <f>0.5*'New split'!H288/H85</f>
        <v>0.16366723651785597</v>
      </c>
      <c r="I107" s="1328">
        <f>0.5*'New split'!I288/I85</f>
        <v>0.14043589280848173</v>
      </c>
      <c r="J107" s="1328">
        <f>0.5*'New split'!J288/J85</f>
        <v>0.11724960413019007</v>
      </c>
      <c r="K107" s="1328">
        <f>0.5*'New split'!K288/K85</f>
        <v>9.8000030053465359E-2</v>
      </c>
      <c r="L107" s="1328">
        <f ca="1">0.5*'New split'!L288/L85</f>
        <v>9.4046864843006991E-2</v>
      </c>
      <c r="M107" s="1328">
        <f>0.5*'New split'!M288/M85</f>
        <v>0.11050068804577642</v>
      </c>
      <c r="N107" s="1328">
        <f ca="1">0.5*'New split'!N288/N85</f>
        <v>0.10910409249180295</v>
      </c>
      <c r="O107" s="1328">
        <f>0.5*'New split'!O288/O85</f>
        <v>0.11995453404770186</v>
      </c>
      <c r="P107" s="1328">
        <f>0.5*'New split'!P288/P85</f>
        <v>0.12294469596161871</v>
      </c>
      <c r="Q107" s="1328">
        <f>0.5*'New split'!Q288/Q85</f>
        <v>0.12227484195677431</v>
      </c>
      <c r="R107" s="1328">
        <f>0.5*'New split'!R288/R85</f>
        <v>0.12201628892935493</v>
      </c>
      <c r="S107" s="1328">
        <f>0.5*'New split'!S288/S85</f>
        <v>0.12265553788630217</v>
      </c>
      <c r="T107" s="1328">
        <f>0.5*'New split'!T288/T85</f>
        <v>0.12282348748072894</v>
      </c>
      <c r="U107" s="1293"/>
      <c r="V107" s="1293"/>
      <c r="W107" s="1293"/>
      <c r="X107" s="1293"/>
      <c r="Y107" s="1293"/>
      <c r="Z107" s="1293"/>
      <c r="AA107" s="1293"/>
      <c r="AB107" s="1293"/>
      <c r="AC107" s="1293"/>
      <c r="AD107" s="1293"/>
      <c r="AE107" s="1293"/>
      <c r="AF107" s="1293"/>
      <c r="AG107" s="1293"/>
    </row>
    <row r="108" spans="1:33" ht="15.75">
      <c r="A108" s="1293" t="s">
        <v>2378</v>
      </c>
      <c r="B108" s="1293"/>
      <c r="C108" s="1293"/>
      <c r="D108" s="1293"/>
      <c r="E108" s="1698"/>
      <c r="F108" s="1872"/>
      <c r="G108" s="1872"/>
      <c r="H108" s="1328">
        <f>'New split'!H289/H85</f>
        <v>0.21932734934174222</v>
      </c>
      <c r="I108" s="1328">
        <f>'New split'!I289/I85</f>
        <v>0.15713489760637137</v>
      </c>
      <c r="J108" s="1328">
        <f>'New split'!J289/J85</f>
        <v>0.12930809733395141</v>
      </c>
      <c r="K108" s="1328">
        <f>'New split'!K289/K85</f>
        <v>0.10755558853940417</v>
      </c>
      <c r="L108" s="1328">
        <f ca="1">'New split'!L289/L85</f>
        <v>0.11435691863889315</v>
      </c>
      <c r="M108" s="1328">
        <f>'New split'!M289/M85</f>
        <v>0.12324845962120222</v>
      </c>
      <c r="N108" s="1328">
        <f ca="1">'New split'!N289/N85</f>
        <v>0.11077655692002469</v>
      </c>
      <c r="O108" s="1328">
        <f>'New split'!O289/O85</f>
        <v>0.11354065866405445</v>
      </c>
      <c r="P108" s="1328">
        <f>'New split'!P289/P85</f>
        <v>0.1146596837584551</v>
      </c>
      <c r="Q108" s="1328">
        <f>'New split'!Q289/Q85</f>
        <v>0.11377123015049359</v>
      </c>
      <c r="R108" s="1328">
        <f>'New split'!R289/R85</f>
        <v>0.11274896408197807</v>
      </c>
      <c r="S108" s="1328">
        <f>'New split'!S289/S85</f>
        <v>0.11126693040510342</v>
      </c>
      <c r="T108" s="1328">
        <f>'New split'!T289/T85</f>
        <v>0.10999543118512793</v>
      </c>
      <c r="U108" s="1293"/>
      <c r="V108" s="1293"/>
      <c r="W108" s="1293"/>
      <c r="X108" s="1293"/>
      <c r="Y108" s="1293"/>
      <c r="Z108" s="1293"/>
      <c r="AA108" s="1293"/>
      <c r="AB108" s="1293"/>
      <c r="AC108" s="1293"/>
      <c r="AD108" s="1293"/>
      <c r="AE108" s="1293"/>
      <c r="AF108" s="1293"/>
      <c r="AG108" s="1293"/>
    </row>
    <row r="109" spans="1:33" ht="15.75">
      <c r="A109" s="1293"/>
      <c r="B109" s="1293"/>
      <c r="C109" s="1293"/>
      <c r="D109" s="1293"/>
      <c r="E109" s="1293"/>
      <c r="F109" s="1872"/>
      <c r="G109" s="1872"/>
      <c r="H109" s="1293"/>
      <c r="I109" s="1293"/>
      <c r="J109" s="1293"/>
      <c r="K109" s="1293"/>
      <c r="L109" s="1293"/>
      <c r="M109" s="1293"/>
      <c r="N109" s="1293"/>
      <c r="O109" s="1293"/>
      <c r="P109" s="1293"/>
      <c r="Q109" s="1293"/>
      <c r="R109" s="1293"/>
      <c r="S109" s="1293"/>
      <c r="T109" s="1293"/>
      <c r="U109" s="1293"/>
      <c r="V109" s="1293"/>
      <c r="W109" s="1293"/>
      <c r="X109" s="1293"/>
      <c r="Y109" s="1293"/>
      <c r="Z109" s="1293"/>
      <c r="AA109" s="1293"/>
      <c r="AB109" s="1293"/>
      <c r="AC109" s="1293"/>
      <c r="AD109" s="1293"/>
      <c r="AE109" s="1293"/>
      <c r="AF109" s="1293"/>
      <c r="AG109" s="1293"/>
    </row>
    <row r="110" spans="1:33" ht="15.75">
      <c r="A110" s="1324" t="s">
        <v>5831</v>
      </c>
      <c r="B110" s="1331"/>
      <c r="C110" s="1331"/>
      <c r="D110" s="1331"/>
      <c r="E110" s="1331"/>
      <c r="F110" s="1331"/>
      <c r="G110" s="1331"/>
      <c r="H110" s="1331"/>
      <c r="I110" s="1883" t="str">
        <f t="shared" ref="I110:T110" si="72">I6</f>
        <v>2019A</v>
      </c>
      <c r="J110" s="1883" t="str">
        <f t="shared" si="72"/>
        <v>2020A</v>
      </c>
      <c r="K110" s="1883" t="str">
        <f t="shared" si="72"/>
        <v>2021A</v>
      </c>
      <c r="L110" s="1883" t="str">
        <f t="shared" si="72"/>
        <v>2022A</v>
      </c>
      <c r="M110" s="1883" t="str">
        <f t="shared" si="72"/>
        <v>2023A</v>
      </c>
      <c r="N110" s="1883" t="str">
        <f t="shared" si="72"/>
        <v>2024A</v>
      </c>
      <c r="O110" s="1883" t="str">
        <f t="shared" si="72"/>
        <v>2025E</v>
      </c>
      <c r="P110" s="1883" t="str">
        <f t="shared" si="72"/>
        <v>2026E</v>
      </c>
      <c r="Q110" s="1883" t="str">
        <f t="shared" si="72"/>
        <v>2027E</v>
      </c>
      <c r="R110" s="1883" t="str">
        <f t="shared" si="72"/>
        <v>2028E</v>
      </c>
      <c r="S110" s="1883" t="str">
        <f t="shared" si="72"/>
        <v>2029E</v>
      </c>
      <c r="T110" s="1883" t="str">
        <f t="shared" si="72"/>
        <v>2030E</v>
      </c>
      <c r="U110" s="1293"/>
      <c r="V110" s="1293"/>
      <c r="W110" s="1293"/>
      <c r="X110" s="1293"/>
      <c r="Y110" s="1293"/>
      <c r="Z110" s="1293"/>
      <c r="AA110" s="1293"/>
      <c r="AB110" s="1293"/>
      <c r="AC110" s="1293"/>
      <c r="AD110" s="1293"/>
      <c r="AE110" s="1293"/>
      <c r="AF110" s="1293"/>
      <c r="AG110" s="1293"/>
    </row>
    <row r="111" spans="1:33" ht="15.75">
      <c r="A111" s="1293" t="s">
        <v>1665</v>
      </c>
      <c r="B111" s="1293"/>
      <c r="C111" s="1293"/>
      <c r="D111" s="1293"/>
      <c r="E111" s="1293"/>
      <c r="F111" s="1293"/>
      <c r="G111" s="1293"/>
      <c r="H111" s="1293"/>
      <c r="I111" s="1698">
        <f ca="1">Colombia!P302</f>
        <v>-54.804184357240132</v>
      </c>
      <c r="J111" s="1698">
        <f ca="1">Colombia!Q302</f>
        <v>-34.49330461272551</v>
      </c>
      <c r="K111" s="1698">
        <f ca="1">Colombia!R302</f>
        <v>3.8571177056805936</v>
      </c>
      <c r="L111" s="1698">
        <f ca="1">Colombia!S302</f>
        <v>21.456876710005503</v>
      </c>
      <c r="M111" s="1698">
        <f ca="1">Colombia!T302</f>
        <v>23.773328314994956</v>
      </c>
      <c r="N111" s="1698">
        <f ca="1">Colombia!U302</f>
        <v>10.06774426750583</v>
      </c>
      <c r="O111" s="1698">
        <f ca="1">Colombia!V302</f>
        <v>78.572763280310454</v>
      </c>
      <c r="P111" s="1698">
        <f ca="1">Colombia!AG302</f>
        <v>90.88081163438207</v>
      </c>
      <c r="Q111" s="1698">
        <f>Colombia!AH302</f>
        <v>0</v>
      </c>
      <c r="R111" s="1698">
        <f>Colombia!AI302</f>
        <v>0</v>
      </c>
      <c r="S111" s="1698">
        <f>Colombia!AJ302</f>
        <v>0</v>
      </c>
      <c r="T111" s="1698">
        <f>Colombia!AK302</f>
        <v>0</v>
      </c>
      <c r="U111" s="1293"/>
      <c r="V111" s="1293"/>
      <c r="W111" s="1293"/>
      <c r="X111" s="1293"/>
      <c r="Y111" s="1293"/>
      <c r="Z111" s="1293"/>
      <c r="AA111" s="1293"/>
      <c r="AB111" s="1293"/>
      <c r="AC111" s="1293"/>
      <c r="AD111" s="1293"/>
      <c r="AE111" s="1293"/>
      <c r="AF111" s="1293"/>
      <c r="AG111" s="1293"/>
    </row>
    <row r="112" spans="1:33" ht="15.75">
      <c r="A112" s="1293" t="s">
        <v>2379</v>
      </c>
      <c r="B112" s="1293"/>
      <c r="C112" s="1293"/>
      <c r="D112" s="1293"/>
      <c r="E112" s="1293"/>
      <c r="F112" s="1293"/>
      <c r="G112" s="1293"/>
      <c r="H112" s="1293"/>
      <c r="I112" s="1698">
        <f>CA!T214</f>
        <v>405.20918420345214</v>
      </c>
      <c r="J112" s="1698">
        <f>CA!U214</f>
        <v>429.99809613507847</v>
      </c>
      <c r="K112" s="1698">
        <f>CA!V214</f>
        <v>506.9818127113686</v>
      </c>
      <c r="L112" s="1698">
        <v>0</v>
      </c>
      <c r="M112" s="1698">
        <v>0</v>
      </c>
      <c r="N112" s="1698">
        <v>0</v>
      </c>
      <c r="O112" s="1698">
        <v>0</v>
      </c>
      <c r="P112" s="1698">
        <v>0</v>
      </c>
      <c r="Q112" s="1698">
        <v>0</v>
      </c>
      <c r="R112" s="1698">
        <v>0</v>
      </c>
      <c r="S112" s="1698">
        <v>0</v>
      </c>
      <c r="T112" s="1698">
        <v>0</v>
      </c>
      <c r="U112" s="1293"/>
      <c r="V112" s="1293"/>
      <c r="W112" s="1293"/>
      <c r="X112" s="1293"/>
      <c r="Y112" s="1293"/>
      <c r="Z112" s="1293"/>
      <c r="AA112" s="1293"/>
      <c r="AB112" s="1293"/>
      <c r="AC112" s="1293"/>
      <c r="AD112" s="1293"/>
      <c r="AE112" s="1293"/>
      <c r="AF112" s="1293"/>
      <c r="AG112" s="1293"/>
    </row>
    <row r="113" spans="1:33" ht="15.75">
      <c r="A113" s="1293" t="s">
        <v>2380</v>
      </c>
      <c r="B113" s="1293"/>
      <c r="C113" s="1293"/>
      <c r="D113" s="1293"/>
      <c r="E113" s="1293"/>
      <c r="F113" s="1293"/>
      <c r="G113" s="1293"/>
      <c r="H113" s="1293"/>
      <c r="I113" s="1698">
        <f>CA!T271</f>
        <v>60.357019205057668</v>
      </c>
      <c r="J113" s="1698">
        <f>CA!U271</f>
        <v>68.909638946370023</v>
      </c>
      <c r="K113" s="1698">
        <f>CA!V271</f>
        <v>18.936912486622901</v>
      </c>
      <c r="L113" s="1698">
        <v>0</v>
      </c>
      <c r="M113" s="1698">
        <v>0</v>
      </c>
      <c r="N113" s="1698">
        <v>0</v>
      </c>
      <c r="O113" s="1698">
        <v>0</v>
      </c>
      <c r="P113" s="1698">
        <v>0</v>
      </c>
      <c r="Q113" s="1698">
        <v>0</v>
      </c>
      <c r="R113" s="1698">
        <v>0</v>
      </c>
      <c r="S113" s="1698">
        <v>0</v>
      </c>
      <c r="T113" s="1698">
        <v>0</v>
      </c>
      <c r="U113" s="1293"/>
      <c r="V113" s="1293"/>
      <c r="W113" s="1293"/>
      <c r="X113" s="1293"/>
      <c r="Y113" s="1293"/>
      <c r="Z113" s="1293"/>
      <c r="AA113" s="1293"/>
      <c r="AB113" s="1293"/>
      <c r="AC113" s="1293"/>
      <c r="AD113" s="1293"/>
      <c r="AE113" s="1293"/>
      <c r="AF113" s="1293"/>
      <c r="AG113" s="1293"/>
    </row>
    <row r="114" spans="1:33" ht="15.75">
      <c r="A114" s="1331" t="s">
        <v>5390</v>
      </c>
      <c r="B114" s="1331"/>
      <c r="C114" s="1331"/>
      <c r="D114" s="1331"/>
      <c r="E114" s="1331"/>
      <c r="F114" s="1331"/>
      <c r="G114" s="1331"/>
      <c r="H114" s="1331"/>
      <c r="I114" s="1702">
        <f>Onda!E108</f>
        <v>92.691323341836721</v>
      </c>
      <c r="J114" s="1702">
        <f>Onda!F108</f>
        <v>68.746266867616924</v>
      </c>
      <c r="K114" s="1702">
        <f>Onda!G108</f>
        <v>75.783158958613555</v>
      </c>
      <c r="L114" s="1702">
        <f>Onda!H108*0.5</f>
        <v>49.099744386287149</v>
      </c>
      <c r="M114" s="1702">
        <v>0</v>
      </c>
      <c r="N114" s="1702">
        <v>0</v>
      </c>
      <c r="O114" s="1702">
        <v>0</v>
      </c>
      <c r="P114" s="1702">
        <v>0</v>
      </c>
      <c r="Q114" s="1702">
        <v>0</v>
      </c>
      <c r="R114" s="1702">
        <v>0</v>
      </c>
      <c r="S114" s="1702">
        <v>0</v>
      </c>
      <c r="T114" s="1702">
        <v>0</v>
      </c>
      <c r="U114" s="1293"/>
      <c r="V114" s="1293"/>
      <c r="W114" s="1293"/>
      <c r="X114" s="1293"/>
      <c r="Y114" s="1293"/>
      <c r="Z114" s="1293"/>
      <c r="AA114" s="1293"/>
      <c r="AB114" s="1293"/>
      <c r="AC114" s="1293"/>
      <c r="AD114" s="1293"/>
      <c r="AE114" s="1293"/>
      <c r="AF114" s="1293"/>
      <c r="AG114" s="1293"/>
    </row>
    <row r="115" spans="1:33" ht="15.75">
      <c r="A115" s="1293" t="s">
        <v>2324</v>
      </c>
      <c r="B115" s="1293"/>
      <c r="C115" s="1293"/>
      <c r="D115" s="1293"/>
      <c r="E115" s="1293"/>
      <c r="F115" s="1293"/>
      <c r="G115" s="1293"/>
      <c r="H115" s="1293"/>
      <c r="I115" s="1698">
        <f t="shared" ref="I115:O115" ca="1" si="73">SUM(I111:I114)</f>
        <v>503.45334239310642</v>
      </c>
      <c r="J115" s="1698">
        <f t="shared" ca="1" si="73"/>
        <v>533.16069733633992</v>
      </c>
      <c r="K115" s="1698">
        <f t="shared" ca="1" si="73"/>
        <v>605.55900186228564</v>
      </c>
      <c r="L115" s="1698">
        <f t="shared" ca="1" si="73"/>
        <v>70.556621096292645</v>
      </c>
      <c r="M115" s="1698">
        <f t="shared" ca="1" si="73"/>
        <v>23.773328314994956</v>
      </c>
      <c r="N115" s="1698">
        <f t="shared" ca="1" si="73"/>
        <v>10.06774426750583</v>
      </c>
      <c r="O115" s="1698">
        <f t="shared" ca="1" si="73"/>
        <v>78.572763280310454</v>
      </c>
      <c r="P115" s="1698">
        <f t="shared" ref="P115:Q115" ca="1" si="74">SUM(P111:P114)</f>
        <v>90.88081163438207</v>
      </c>
      <c r="Q115" s="1698">
        <f t="shared" si="74"/>
        <v>0</v>
      </c>
      <c r="R115" s="1698">
        <f t="shared" ref="R115:T115" si="75">SUM(R111:R114)</f>
        <v>0</v>
      </c>
      <c r="S115" s="1698">
        <f t="shared" si="75"/>
        <v>0</v>
      </c>
      <c r="T115" s="1698">
        <f t="shared" si="75"/>
        <v>0</v>
      </c>
      <c r="U115" s="1293"/>
      <c r="V115" s="1293"/>
      <c r="W115" s="1293"/>
      <c r="X115" s="1293"/>
      <c r="Y115" s="1293"/>
      <c r="Z115" s="1293"/>
      <c r="AA115" s="1293"/>
      <c r="AB115" s="1293"/>
      <c r="AC115" s="1293"/>
      <c r="AD115" s="1293"/>
      <c r="AE115" s="1293"/>
      <c r="AF115" s="1293"/>
      <c r="AG115" s="1293"/>
    </row>
    <row r="116" spans="1:33" ht="15.75">
      <c r="A116" s="1293"/>
      <c r="B116" s="1293"/>
      <c r="C116" s="1293"/>
      <c r="D116" s="1293"/>
      <c r="E116" s="1293"/>
      <c r="F116" s="1293"/>
      <c r="G116" s="1293"/>
      <c r="H116" s="1293"/>
      <c r="I116" s="1293"/>
      <c r="J116" s="1293"/>
      <c r="K116" s="1293"/>
      <c r="L116" s="1293"/>
      <c r="M116" s="1293"/>
      <c r="N116" s="1293"/>
      <c r="O116" s="1293"/>
      <c r="P116" s="1293"/>
      <c r="Q116" s="1293"/>
      <c r="R116" s="1293"/>
      <c r="S116" s="1293"/>
      <c r="T116" s="1293"/>
      <c r="U116" s="1293"/>
      <c r="V116" s="1293"/>
      <c r="W116" s="1293"/>
      <c r="X116" s="1293"/>
      <c r="Y116" s="1293"/>
      <c r="Z116" s="1293"/>
      <c r="AA116" s="1293"/>
      <c r="AB116" s="1293"/>
      <c r="AC116" s="1293"/>
      <c r="AD116" s="1293"/>
      <c r="AE116" s="1293"/>
      <c r="AF116" s="1293"/>
      <c r="AG116" s="1293"/>
    </row>
    <row r="117" spans="1:33" ht="15.75">
      <c r="A117" s="1334" t="s">
        <v>5830</v>
      </c>
      <c r="B117" s="1293"/>
      <c r="C117" s="1293"/>
      <c r="D117" s="1293"/>
      <c r="E117" s="1293"/>
      <c r="F117" s="1293"/>
      <c r="G117" s="1293"/>
      <c r="H117" s="1293"/>
      <c r="I117" s="1293"/>
      <c r="J117" s="1293"/>
      <c r="K117" s="1293"/>
      <c r="L117" s="1293"/>
      <c r="M117" s="1293"/>
      <c r="N117" s="1293"/>
      <c r="O117" s="1293"/>
      <c r="P117" s="1293"/>
      <c r="Q117" s="1293"/>
      <c r="R117" s="1293"/>
      <c r="S117" s="1293"/>
      <c r="T117" s="1293"/>
      <c r="U117" s="1293"/>
      <c r="V117" s="1293"/>
      <c r="W117" s="1293"/>
      <c r="X117" s="1293"/>
      <c r="Y117" s="1293"/>
      <c r="Z117" s="1293"/>
      <c r="AA117" s="1293"/>
      <c r="AB117" s="1293"/>
      <c r="AC117" s="1293"/>
      <c r="AD117" s="1293"/>
      <c r="AE117" s="1293"/>
      <c r="AF117" s="1293"/>
      <c r="AG117" s="1293"/>
    </row>
    <row r="118" spans="1:33" ht="15.75">
      <c r="A118" s="1293" t="str">
        <f>A111</f>
        <v>Colombia</v>
      </c>
      <c r="B118" s="1293"/>
      <c r="C118" s="1293"/>
      <c r="D118" s="1293"/>
      <c r="E118" s="1293"/>
      <c r="F118" s="1293"/>
      <c r="G118" s="1293"/>
      <c r="H118" s="1293"/>
      <c r="I118" s="1698">
        <f ca="1">I111*(1-Analysis!$A$3981)</f>
        <v>-27.402092178620066</v>
      </c>
      <c r="J118" s="1698">
        <f ca="1">J111*(1-Analysis!$A$3981)</f>
        <v>-17.246652306362755</v>
      </c>
      <c r="K118" s="1698">
        <f ca="1">K111*(1-Analysis!$A$3981)</f>
        <v>1.9285588528402968</v>
      </c>
      <c r="L118" s="1698">
        <f ca="1">L111*(1-Analysis!$A$3981)</f>
        <v>10.728438355002751</v>
      </c>
      <c r="M118" s="1698">
        <f ca="1">M111*(1-Analysis!$A$3981)</f>
        <v>11.886664157497478</v>
      </c>
      <c r="N118" s="1885">
        <v>0</v>
      </c>
      <c r="O118" s="1885">
        <v>0</v>
      </c>
      <c r="P118" s="1885">
        <v>0</v>
      </c>
      <c r="Q118" s="1698">
        <f>Q111*(1-Analysis!$A$3981)</f>
        <v>0</v>
      </c>
      <c r="R118" s="1698">
        <f>R111*(1-Analysis!$A$3981)</f>
        <v>0</v>
      </c>
      <c r="S118" s="1698">
        <f>S111*(1-Analysis!$A$3981)</f>
        <v>0</v>
      </c>
      <c r="T118" s="1698">
        <f>T111*(1-Analysis!$A$3981)</f>
        <v>0</v>
      </c>
      <c r="U118" s="1293"/>
      <c r="V118" s="1293"/>
      <c r="W118" s="1293"/>
      <c r="X118" s="1293"/>
      <c r="Y118" s="1293"/>
      <c r="Z118" s="1293"/>
      <c r="AA118" s="1293"/>
      <c r="AB118" s="1293"/>
      <c r="AC118" s="1293"/>
      <c r="AD118" s="1293"/>
      <c r="AE118" s="1293"/>
      <c r="AF118" s="1293"/>
      <c r="AG118" s="1293"/>
    </row>
    <row r="119" spans="1:33" ht="15.75">
      <c r="A119" s="1293" t="str">
        <f>A112</f>
        <v>Guatemala</v>
      </c>
      <c r="B119" s="1293"/>
      <c r="C119" s="1293"/>
      <c r="D119" s="1293"/>
      <c r="E119" s="1293"/>
      <c r="F119" s="1293"/>
      <c r="G119" s="1293"/>
      <c r="H119" s="1293"/>
      <c r="I119" s="1698">
        <f>I112*(1-Analysis!$A$3984)</f>
        <v>182.34413289155344</v>
      </c>
      <c r="J119" s="1698">
        <f>J112*(1-Analysis!$A$3984)</f>
        <v>193.4991432607853</v>
      </c>
      <c r="K119" s="1698">
        <f>K112*(1-Analysis!$A$3984)</f>
        <v>228.14181572011586</v>
      </c>
      <c r="L119" s="1698">
        <f>L112*(1-Analysis!$A$3984)</f>
        <v>0</v>
      </c>
      <c r="M119" s="1698">
        <f>M112*(1-Analysis!$A$3984)</f>
        <v>0</v>
      </c>
      <c r="N119" s="1698">
        <f>N112*(1-Analysis!$A$3984)</f>
        <v>0</v>
      </c>
      <c r="O119" s="1698">
        <f>O112*(1-Analysis!$A$3984)</f>
        <v>0</v>
      </c>
      <c r="P119" s="1698">
        <f>P112*(1-Analysis!$A$3984)</f>
        <v>0</v>
      </c>
      <c r="Q119" s="1698">
        <f>Q112*(1-Analysis!$A$3984)</f>
        <v>0</v>
      </c>
      <c r="R119" s="1698">
        <f>R112*(1-Analysis!$A$3984)</f>
        <v>0</v>
      </c>
      <c r="S119" s="1698">
        <f>S112*(1-Analysis!$A$3984)</f>
        <v>0</v>
      </c>
      <c r="T119" s="1698">
        <f>T112*(1-Analysis!$A$3984)</f>
        <v>0</v>
      </c>
      <c r="U119" s="1293"/>
      <c r="V119" s="1293"/>
      <c r="W119" s="1293"/>
      <c r="X119" s="1293"/>
      <c r="Y119" s="1293"/>
      <c r="Z119" s="1293"/>
      <c r="AA119" s="1293"/>
      <c r="AB119" s="1293"/>
      <c r="AC119" s="1293"/>
      <c r="AD119" s="1293"/>
      <c r="AE119" s="1293"/>
      <c r="AF119" s="1293"/>
      <c r="AG119" s="1293"/>
    </row>
    <row r="120" spans="1:33" ht="15.75">
      <c r="A120" s="1293" t="str">
        <f>A113</f>
        <v>Honduras</v>
      </c>
      <c r="B120" s="1293"/>
      <c r="C120" s="1293"/>
      <c r="D120" s="1293"/>
      <c r="E120" s="1293"/>
      <c r="F120" s="1293"/>
      <c r="G120" s="1293"/>
      <c r="H120" s="1293"/>
      <c r="I120" s="1698">
        <f>I113*(1-Analysis!$A$3985)</f>
        <v>20.123030202966227</v>
      </c>
      <c r="J120" s="1698">
        <f>J113*(1-Analysis!$A$3985)</f>
        <v>22.974473624719767</v>
      </c>
      <c r="K120" s="1698">
        <f>K113*(1-Analysis!$A$3985)</f>
        <v>6.3135666230400762</v>
      </c>
      <c r="L120" s="1698">
        <f>L113*(1-Analysis!$A$3985)</f>
        <v>0</v>
      </c>
      <c r="M120" s="1698">
        <f>M113*(1-Analysis!$A$3985)</f>
        <v>0</v>
      </c>
      <c r="N120" s="1698">
        <f>N113*(1-Analysis!$A$3985)</f>
        <v>0</v>
      </c>
      <c r="O120" s="1698">
        <f>O113*(1-Analysis!$A$3985)</f>
        <v>0</v>
      </c>
      <c r="P120" s="1698">
        <f>P113*(1-Analysis!$A$3985)</f>
        <v>0</v>
      </c>
      <c r="Q120" s="1698">
        <f>Q113*(1-Analysis!$A$3985)</f>
        <v>0</v>
      </c>
      <c r="R120" s="1698">
        <f>R113*(1-Analysis!$A$3985)</f>
        <v>0</v>
      </c>
      <c r="S120" s="1698">
        <f>S113*(1-Analysis!$A$3985)</f>
        <v>0</v>
      </c>
      <c r="T120" s="1698">
        <f>T113*(1-Analysis!$A$3985)</f>
        <v>0</v>
      </c>
      <c r="U120" s="1293"/>
      <c r="V120" s="1293"/>
      <c r="W120" s="1293"/>
      <c r="X120" s="1293"/>
      <c r="Y120" s="1293"/>
      <c r="Z120" s="1293"/>
      <c r="AA120" s="1293"/>
      <c r="AB120" s="1293"/>
      <c r="AC120" s="1293"/>
      <c r="AD120" s="1293"/>
      <c r="AE120" s="1293"/>
      <c r="AF120" s="1293"/>
      <c r="AG120" s="1293"/>
    </row>
    <row r="121" spans="1:33" ht="15.75">
      <c r="A121" s="1293" t="str">
        <f>A114</f>
        <v>Onda</v>
      </c>
      <c r="B121" s="1293"/>
      <c r="C121" s="1293"/>
      <c r="D121" s="1293"/>
      <c r="E121" s="1293"/>
      <c r="F121" s="1293"/>
      <c r="G121" s="1293"/>
      <c r="H121" s="1293"/>
      <c r="I121" s="1698">
        <f>I114*(1-Analysis!$A$3986)</f>
        <v>18.53826466836734</v>
      </c>
      <c r="J121" s="1698">
        <f>J114*(1-Analysis!$A$3986)</f>
        <v>13.749253373523382</v>
      </c>
      <c r="K121" s="1698">
        <f>K114*(1-Analysis!$A$3986)</f>
        <v>15.156631791722708</v>
      </c>
      <c r="L121" s="1698">
        <f>L114*(1-Analysis!$A$3986)</f>
        <v>9.8199488772574277</v>
      </c>
      <c r="M121" s="1698">
        <f>M114*(1-Analysis!$A$3986)</f>
        <v>0</v>
      </c>
      <c r="N121" s="1698">
        <f>N114*(1-Analysis!$A$3986)</f>
        <v>0</v>
      </c>
      <c r="O121" s="1698">
        <f>O114*(1-Analysis!$A$3986)</f>
        <v>0</v>
      </c>
      <c r="P121" s="1698">
        <f>P114*(1-Analysis!$A$3986)</f>
        <v>0</v>
      </c>
      <c r="Q121" s="1698">
        <f>Q114*(1-Analysis!$A$3986)</f>
        <v>0</v>
      </c>
      <c r="R121" s="1698">
        <f>R114*(1-Analysis!$A$3986)</f>
        <v>0</v>
      </c>
      <c r="S121" s="1698">
        <f>S114*(1-Analysis!$A$3986)</f>
        <v>0</v>
      </c>
      <c r="T121" s="1698">
        <f>T114*(1-Analysis!$A$3986)</f>
        <v>0</v>
      </c>
      <c r="U121" s="1293"/>
      <c r="V121" s="1293"/>
      <c r="W121" s="1293"/>
      <c r="X121" s="1293"/>
      <c r="Y121" s="1293"/>
      <c r="Z121" s="1293"/>
      <c r="AA121" s="1293"/>
      <c r="AB121" s="1293"/>
      <c r="AC121" s="1293"/>
      <c r="AD121" s="1293"/>
      <c r="AE121" s="1293"/>
      <c r="AF121" s="1293"/>
      <c r="AG121" s="1293"/>
    </row>
    <row r="122" spans="1:33" ht="15.75">
      <c r="A122" s="1331" t="s">
        <v>5829</v>
      </c>
      <c r="B122" s="1331"/>
      <c r="C122" s="1331"/>
      <c r="D122" s="1331"/>
      <c r="E122" s="1331"/>
      <c r="F122" s="1331"/>
      <c r="G122" s="1331"/>
      <c r="H122" s="1331"/>
      <c r="I122" s="1702">
        <f>-(Analysis!M3981+Analysis!M3984+Analysis!M3985+Analysis!M3986)/5</f>
        <v>-68.487640000000013</v>
      </c>
      <c r="J122" s="1702">
        <f t="shared" ref="J122:K122" si="76">I122</f>
        <v>-68.487640000000013</v>
      </c>
      <c r="K122" s="1702">
        <f t="shared" si="76"/>
        <v>-68.487640000000013</v>
      </c>
      <c r="L122" s="1886">
        <v>0</v>
      </c>
      <c r="M122" s="1886">
        <v>0</v>
      </c>
      <c r="N122" s="1886">
        <v>0</v>
      </c>
      <c r="O122" s="1886">
        <v>0</v>
      </c>
      <c r="P122" s="1886">
        <v>0</v>
      </c>
      <c r="Q122" s="1886">
        <v>0</v>
      </c>
      <c r="R122" s="1886">
        <v>0</v>
      </c>
      <c r="S122" s="1886">
        <v>0</v>
      </c>
      <c r="T122" s="1886">
        <v>0</v>
      </c>
      <c r="U122" s="1293"/>
      <c r="V122" s="1293"/>
      <c r="W122" s="1293"/>
      <c r="X122" s="1293"/>
      <c r="Y122" s="1293"/>
      <c r="Z122" s="1293"/>
      <c r="AA122" s="1293"/>
      <c r="AB122" s="1293"/>
      <c r="AC122" s="1293"/>
      <c r="AD122" s="1293"/>
      <c r="AE122" s="1293"/>
      <c r="AF122" s="1293"/>
      <c r="AG122" s="1293"/>
    </row>
    <row r="123" spans="1:33" ht="15.75">
      <c r="A123" s="1293" t="s">
        <v>2324</v>
      </c>
      <c r="B123" s="1293"/>
      <c r="C123" s="1293"/>
      <c r="D123" s="1293"/>
      <c r="E123" s="1293"/>
      <c r="F123" s="1293"/>
      <c r="G123" s="1293"/>
      <c r="H123" s="1293"/>
      <c r="I123" s="1698">
        <f ca="1">SUM(I118:I122)</f>
        <v>125.1156955842669</v>
      </c>
      <c r="J123" s="1698">
        <f t="shared" ref="J123:O123" ca="1" si="77">SUM(J118:J122)</f>
        <v>144.48857795266565</v>
      </c>
      <c r="K123" s="1698">
        <f t="shared" ca="1" si="77"/>
        <v>183.05293298771892</v>
      </c>
      <c r="L123" s="1698">
        <f t="shared" ca="1" si="77"/>
        <v>20.548387232260179</v>
      </c>
      <c r="M123" s="1698">
        <f t="shared" ca="1" si="77"/>
        <v>11.886664157497478</v>
      </c>
      <c r="N123" s="1698">
        <f t="shared" si="77"/>
        <v>0</v>
      </c>
      <c r="O123" s="1698">
        <f t="shared" si="77"/>
        <v>0</v>
      </c>
      <c r="P123" s="1698">
        <f t="shared" ref="P123:Q123" si="78">SUM(P118:P122)</f>
        <v>0</v>
      </c>
      <c r="Q123" s="1698">
        <f t="shared" si="78"/>
        <v>0</v>
      </c>
      <c r="R123" s="1698">
        <f t="shared" ref="R123:T123" si="79">SUM(R118:R122)</f>
        <v>0</v>
      </c>
      <c r="S123" s="1698">
        <f t="shared" si="79"/>
        <v>0</v>
      </c>
      <c r="T123" s="1698">
        <f t="shared" si="79"/>
        <v>0</v>
      </c>
      <c r="U123" s="1293"/>
      <c r="V123" s="1293"/>
      <c r="W123" s="1293"/>
      <c r="X123" s="1293"/>
      <c r="Y123" s="1293"/>
      <c r="Z123" s="1293"/>
      <c r="AA123" s="1293"/>
      <c r="AB123" s="1293"/>
      <c r="AC123" s="1293"/>
      <c r="AD123" s="1293"/>
      <c r="AE123" s="1293"/>
      <c r="AF123" s="1293"/>
      <c r="AG123" s="1293"/>
    </row>
    <row r="124" spans="1:33" ht="15.75">
      <c r="A124" s="1293"/>
      <c r="B124" s="1293"/>
      <c r="C124" s="1293"/>
      <c r="D124" s="1293"/>
      <c r="E124" s="1293"/>
      <c r="F124" s="1293"/>
      <c r="G124" s="1293"/>
      <c r="H124" s="1293"/>
      <c r="I124" s="1293"/>
      <c r="J124" s="1293"/>
      <c r="K124" s="1293"/>
      <c r="L124" s="1293"/>
      <c r="M124" s="1293"/>
      <c r="N124" s="1293"/>
      <c r="O124" s="1293"/>
      <c r="P124" s="1293"/>
      <c r="Q124" s="1293"/>
      <c r="R124" s="1293"/>
      <c r="S124" s="1293"/>
      <c r="T124" s="1293"/>
      <c r="U124" s="1293"/>
      <c r="V124" s="1293"/>
      <c r="W124" s="1293"/>
      <c r="X124" s="1293"/>
      <c r="Y124" s="1293"/>
      <c r="Z124" s="1293"/>
      <c r="AA124" s="1293"/>
      <c r="AB124" s="1293"/>
      <c r="AC124" s="1293"/>
      <c r="AD124" s="1293"/>
      <c r="AE124" s="1293"/>
      <c r="AF124" s="1293"/>
      <c r="AG124" s="1293"/>
    </row>
    <row r="125" spans="1:33" ht="15.75">
      <c r="A125" s="1334" t="s">
        <v>7424</v>
      </c>
      <c r="B125" s="1293"/>
      <c r="C125" s="1293"/>
      <c r="D125" s="1698"/>
      <c r="E125" s="1698"/>
      <c r="F125" s="1698"/>
      <c r="G125" s="1698"/>
      <c r="H125" s="1698"/>
      <c r="I125" s="1698"/>
      <c r="J125" s="1698"/>
      <c r="K125" s="1698"/>
      <c r="L125" s="1698">
        <f>L24</f>
        <v>88</v>
      </c>
      <c r="M125" s="1698">
        <f t="shared" ref="M125:N125" si="80">M24</f>
        <v>86</v>
      </c>
      <c r="N125" s="1698">
        <f t="shared" si="80"/>
        <v>89</v>
      </c>
      <c r="O125" s="1887">
        <f>(CA!Z281*CA!Z271+108)*0.5</f>
        <v>90.811654055326841</v>
      </c>
      <c r="P125" s="1887">
        <f>(CA!AA281*CA!AA271+108)*0.5</f>
        <v>92.146272251115363</v>
      </c>
      <c r="Q125" s="1869">
        <f>CA!AB281*CA!AB271+17</f>
        <v>96.027797564235556</v>
      </c>
      <c r="R125" s="1869">
        <f>Q125</f>
        <v>96.027797564235556</v>
      </c>
      <c r="S125" s="1869">
        <f t="shared" ref="S125:T125" si="81">R125</f>
        <v>96.027797564235556</v>
      </c>
      <c r="T125" s="1869">
        <f t="shared" si="81"/>
        <v>96.027797564235556</v>
      </c>
      <c r="U125" s="1293"/>
      <c r="V125" s="1293"/>
      <c r="W125" s="1293"/>
      <c r="X125" s="1293"/>
      <c r="Y125" s="1293"/>
      <c r="Z125" s="1293"/>
      <c r="AA125" s="1293"/>
      <c r="AB125" s="1293"/>
      <c r="AC125" s="1293"/>
      <c r="AD125" s="1293"/>
      <c r="AE125" s="1293"/>
      <c r="AF125" s="1293"/>
      <c r="AG125" s="1293"/>
    </row>
    <row r="126" spans="1:33" ht="15.75">
      <c r="A126" s="1293"/>
      <c r="B126" s="1293"/>
      <c r="C126" s="1293"/>
      <c r="D126" s="1293"/>
      <c r="E126" s="1293"/>
      <c r="F126" s="1293"/>
      <c r="G126" s="1293"/>
      <c r="H126" s="1293"/>
      <c r="I126" s="1293"/>
      <c r="J126" s="1293"/>
      <c r="K126" s="1293"/>
      <c r="L126" s="1293"/>
      <c r="M126" s="1293"/>
      <c r="N126" s="1293"/>
      <c r="O126" s="1293"/>
      <c r="P126" s="1293"/>
      <c r="Q126" s="1293"/>
      <c r="R126" s="1293"/>
      <c r="S126" s="1293"/>
      <c r="T126" s="1293"/>
      <c r="U126" s="1293"/>
      <c r="V126" s="1293"/>
      <c r="W126" s="1293"/>
      <c r="X126" s="1293"/>
      <c r="Y126" s="1293"/>
      <c r="Z126" s="1293"/>
      <c r="AA126" s="1293"/>
      <c r="AB126" s="1293"/>
      <c r="AC126" s="1293"/>
      <c r="AD126" s="1293"/>
      <c r="AE126" s="1293"/>
      <c r="AF126" s="1293"/>
      <c r="AG126" s="1293"/>
    </row>
    <row r="127" spans="1:33" ht="15.75">
      <c r="A127" s="1293"/>
      <c r="B127" s="1293"/>
      <c r="C127" s="1293"/>
      <c r="D127" s="1293"/>
      <c r="E127" s="1293"/>
      <c r="F127" s="1293"/>
      <c r="G127" s="1293"/>
      <c r="H127" s="1293"/>
      <c r="I127" s="1293"/>
      <c r="J127" s="1293"/>
      <c r="K127" s="1293"/>
      <c r="L127" s="1293"/>
      <c r="M127" s="1293"/>
      <c r="N127" s="1293"/>
      <c r="O127" s="1293"/>
      <c r="P127" s="1293"/>
      <c r="Q127" s="1293"/>
      <c r="R127" s="1293"/>
      <c r="S127" s="1293"/>
      <c r="T127" s="1293"/>
      <c r="U127" s="1293"/>
      <c r="V127" s="1293"/>
      <c r="W127" s="1293"/>
      <c r="X127" s="1293"/>
      <c r="Y127" s="1293"/>
      <c r="Z127" s="1293"/>
      <c r="AA127" s="1293"/>
      <c r="AB127" s="1293"/>
      <c r="AC127" s="1293"/>
      <c r="AD127" s="1293"/>
      <c r="AE127" s="1293"/>
      <c r="AF127" s="1293"/>
      <c r="AG127" s="1293"/>
    </row>
    <row r="128" spans="1:33" ht="15.75">
      <c r="A128" s="1293"/>
      <c r="B128" s="1293"/>
      <c r="C128" s="1293"/>
      <c r="D128" s="1293"/>
      <c r="E128" s="1293"/>
      <c r="F128" s="1293"/>
      <c r="G128" s="1293"/>
      <c r="H128" s="1293"/>
      <c r="I128" s="1293"/>
      <c r="J128" s="1293"/>
      <c r="K128" s="1293"/>
      <c r="L128" s="1293"/>
      <c r="M128" s="1293"/>
      <c r="N128" s="1293"/>
      <c r="O128" s="1293"/>
      <c r="P128" s="1293"/>
      <c r="Q128" s="1293"/>
      <c r="R128" s="1293"/>
      <c r="S128" s="1293"/>
      <c r="T128" s="1293"/>
      <c r="U128" s="1293"/>
      <c r="V128" s="1293"/>
      <c r="W128" s="1293"/>
      <c r="X128" s="1293"/>
      <c r="Y128" s="1293"/>
      <c r="Z128" s="1293"/>
      <c r="AA128" s="1293"/>
      <c r="AB128" s="1293"/>
      <c r="AC128" s="1293"/>
      <c r="AD128" s="1293"/>
      <c r="AE128" s="1293"/>
      <c r="AF128" s="1293"/>
      <c r="AG128" s="1293"/>
    </row>
    <row r="129" spans="1:33" ht="15.75">
      <c r="A129" s="1293"/>
      <c r="B129" s="1293"/>
      <c r="C129" s="1293"/>
      <c r="D129" s="1293"/>
      <c r="E129" s="1293"/>
      <c r="F129" s="1293"/>
      <c r="G129" s="1293"/>
      <c r="H129" s="1293"/>
      <c r="I129" s="1293"/>
      <c r="J129" s="1293"/>
      <c r="K129" s="1293"/>
      <c r="L129" s="1293"/>
      <c r="M129" s="1293"/>
      <c r="N129" s="1293"/>
      <c r="O129" s="1293"/>
      <c r="P129" s="1293"/>
      <c r="Q129" s="1293"/>
      <c r="R129" s="1293"/>
      <c r="S129" s="1293"/>
      <c r="T129" s="1293"/>
      <c r="U129" s="1293"/>
      <c r="V129" s="1293"/>
      <c r="W129" s="1293"/>
      <c r="X129" s="1293"/>
      <c r="Y129" s="1293"/>
      <c r="Z129" s="1293"/>
      <c r="AA129" s="1293"/>
      <c r="AB129" s="1293"/>
      <c r="AC129" s="1293"/>
      <c r="AD129" s="1293"/>
      <c r="AE129" s="1293"/>
      <c r="AF129" s="1293"/>
      <c r="AG129" s="1293"/>
    </row>
    <row r="130" spans="1:33" ht="15.75">
      <c r="A130" s="1293"/>
      <c r="B130" s="1293"/>
      <c r="C130" s="1293"/>
      <c r="D130" s="1293"/>
      <c r="E130" s="1293"/>
      <c r="F130" s="1293"/>
      <c r="G130" s="1293"/>
      <c r="H130" s="1293"/>
      <c r="I130" s="1293"/>
      <c r="J130" s="1293"/>
      <c r="K130" s="1293"/>
      <c r="L130" s="1293"/>
      <c r="M130" s="1293"/>
      <c r="N130" s="1293"/>
      <c r="O130" s="1293"/>
      <c r="P130" s="1293"/>
      <c r="Q130" s="1293"/>
      <c r="R130" s="1293"/>
      <c r="S130" s="1293"/>
      <c r="T130" s="1293"/>
      <c r="U130" s="1293"/>
      <c r="V130" s="1293"/>
      <c r="W130" s="1293"/>
      <c r="X130" s="1293"/>
      <c r="Y130" s="1293"/>
      <c r="Z130" s="1293"/>
      <c r="AA130" s="1293"/>
      <c r="AB130" s="1293"/>
      <c r="AC130" s="1293"/>
      <c r="AD130" s="1293"/>
      <c r="AE130" s="1293"/>
      <c r="AF130" s="1293"/>
      <c r="AG130" s="1293"/>
    </row>
    <row r="131" spans="1:33" ht="15.75">
      <c r="A131" s="1293"/>
      <c r="B131" s="1293"/>
      <c r="C131" s="1293"/>
      <c r="D131" s="1293"/>
      <c r="E131" s="1293"/>
      <c r="F131" s="1293"/>
      <c r="G131" s="1293"/>
      <c r="H131" s="1293"/>
      <c r="I131" s="1293"/>
      <c r="J131" s="1293"/>
      <c r="K131" s="1293"/>
      <c r="L131" s="1293"/>
      <c r="M131" s="1293"/>
      <c r="N131" s="1293"/>
      <c r="O131" s="1293"/>
      <c r="P131" s="1293"/>
      <c r="Q131" s="1293"/>
      <c r="R131" s="1293"/>
      <c r="S131" s="1293"/>
      <c r="T131" s="1293"/>
      <c r="U131" s="1293"/>
      <c r="V131" s="1293"/>
      <c r="W131" s="1293"/>
      <c r="X131" s="1293"/>
      <c r="Y131" s="1293"/>
      <c r="Z131" s="1293"/>
      <c r="AA131" s="1293"/>
      <c r="AB131" s="1293"/>
      <c r="AC131" s="1293"/>
      <c r="AD131" s="1293"/>
      <c r="AE131" s="1293"/>
      <c r="AF131" s="1293"/>
      <c r="AG131" s="1293"/>
    </row>
    <row r="132" spans="1:33" ht="15.75">
      <c r="A132" s="1293"/>
      <c r="B132" s="1293"/>
      <c r="C132" s="1293"/>
      <c r="D132" s="1293"/>
      <c r="E132" s="1293"/>
      <c r="F132" s="1293"/>
      <c r="G132" s="1293"/>
      <c r="H132" s="1293"/>
      <c r="I132" s="1293"/>
      <c r="J132" s="1293"/>
      <c r="K132" s="1293"/>
      <c r="L132" s="1293"/>
      <c r="M132" s="1293"/>
      <c r="N132" s="1293"/>
      <c r="O132" s="1293"/>
      <c r="P132" s="1293"/>
      <c r="Q132" s="1293"/>
      <c r="R132" s="1293"/>
      <c r="S132" s="1293"/>
      <c r="T132" s="1293"/>
      <c r="U132" s="1293"/>
      <c r="V132" s="1293"/>
      <c r="W132" s="1293"/>
      <c r="X132" s="1293"/>
      <c r="Y132" s="1293"/>
      <c r="Z132" s="1293"/>
      <c r="AA132" s="1293"/>
      <c r="AB132" s="1293"/>
      <c r="AC132" s="1293"/>
      <c r="AD132" s="1293"/>
      <c r="AE132" s="1293"/>
      <c r="AF132" s="1293"/>
      <c r="AG132" s="1293"/>
    </row>
    <row r="133" spans="1:33" ht="15.75">
      <c r="A133" s="1293"/>
      <c r="B133" s="1293"/>
      <c r="C133" s="1293"/>
      <c r="D133" s="1293"/>
      <c r="E133" s="1293"/>
      <c r="F133" s="1293"/>
      <c r="G133" s="1293"/>
      <c r="H133" s="1293"/>
      <c r="I133" s="1293"/>
      <c r="J133" s="1293"/>
      <c r="K133" s="1293"/>
      <c r="L133" s="1293"/>
      <c r="M133" s="1293"/>
      <c r="N133" s="1293"/>
      <c r="O133" s="1293"/>
      <c r="P133" s="1293"/>
      <c r="Q133" s="1293"/>
      <c r="R133" s="1293"/>
      <c r="S133" s="1293"/>
      <c r="T133" s="1293"/>
      <c r="U133" s="1293"/>
      <c r="V133" s="1293"/>
      <c r="W133" s="1293"/>
      <c r="X133" s="1293"/>
      <c r="Y133" s="1293"/>
      <c r="Z133" s="1293"/>
      <c r="AA133" s="1293"/>
      <c r="AB133" s="1293"/>
      <c r="AC133" s="1293"/>
      <c r="AD133" s="1293"/>
      <c r="AE133" s="1293"/>
      <c r="AF133" s="1293"/>
      <c r="AG133" s="1293"/>
    </row>
    <row r="134" spans="1:33" ht="15.75">
      <c r="A134" s="1293"/>
      <c r="B134" s="1293"/>
      <c r="C134" s="1293"/>
      <c r="D134" s="1293"/>
      <c r="E134" s="1293"/>
      <c r="F134" s="1293"/>
      <c r="G134" s="1293"/>
      <c r="H134" s="1293"/>
      <c r="I134" s="1293"/>
      <c r="J134" s="1293"/>
      <c r="K134" s="1293"/>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3"/>
    </row>
    <row r="135" spans="1:33" ht="15.75">
      <c r="A135" s="1293"/>
      <c r="B135" s="1293"/>
      <c r="C135" s="1293"/>
      <c r="D135" s="1293"/>
      <c r="E135" s="1293"/>
      <c r="F135" s="1293"/>
      <c r="G135" s="1293"/>
      <c r="H135" s="1293"/>
      <c r="I135" s="129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row>
    <row r="136" spans="1:33" ht="15.75">
      <c r="A136" s="1293"/>
      <c r="B136" s="1293"/>
      <c r="C136" s="1293"/>
      <c r="D136" s="1293"/>
      <c r="E136" s="1293"/>
      <c r="F136" s="1293"/>
      <c r="G136" s="1293"/>
      <c r="H136" s="1293"/>
      <c r="I136" s="1293"/>
      <c r="J136" s="1293"/>
      <c r="K136" s="1293"/>
      <c r="L136" s="1293"/>
      <c r="M136" s="1293"/>
      <c r="N136" s="1293"/>
      <c r="O136" s="1293"/>
      <c r="P136" s="1293"/>
      <c r="Q136" s="1293"/>
      <c r="R136" s="1293"/>
      <c r="S136" s="1293"/>
      <c r="T136" s="1293"/>
      <c r="U136" s="1293"/>
      <c r="V136" s="1293"/>
      <c r="W136" s="1293"/>
      <c r="X136" s="1293"/>
      <c r="Y136" s="1293"/>
      <c r="Z136" s="1293"/>
      <c r="AA136" s="1293"/>
      <c r="AB136" s="1293"/>
      <c r="AC136" s="1293"/>
      <c r="AD136" s="1293"/>
      <c r="AE136" s="1293"/>
      <c r="AF136" s="1293"/>
      <c r="AG136" s="1293"/>
    </row>
    <row r="137" spans="1:33" ht="15.75">
      <c r="A137" s="1293"/>
      <c r="B137" s="1293"/>
      <c r="C137" s="1293"/>
      <c r="D137" s="1293"/>
      <c r="E137" s="1293"/>
      <c r="F137" s="1293"/>
      <c r="G137" s="1293"/>
      <c r="H137" s="1293"/>
      <c r="I137" s="1293"/>
      <c r="J137" s="1293"/>
      <c r="K137" s="1293"/>
      <c r="L137" s="1293"/>
      <c r="M137" s="1293"/>
      <c r="N137" s="1293"/>
      <c r="O137" s="1293"/>
      <c r="P137" s="1293"/>
      <c r="Q137" s="1293"/>
      <c r="R137" s="1293"/>
      <c r="S137" s="1293"/>
      <c r="T137" s="1293"/>
      <c r="U137" s="1293"/>
      <c r="V137" s="1293"/>
      <c r="W137" s="1293"/>
      <c r="X137" s="1293"/>
      <c r="Y137" s="1293"/>
      <c r="Z137" s="1293"/>
      <c r="AA137" s="1293"/>
      <c r="AB137" s="1293"/>
      <c r="AC137" s="1293"/>
      <c r="AD137" s="1293"/>
      <c r="AE137" s="1293"/>
      <c r="AF137" s="1293"/>
      <c r="AG137" s="1293"/>
    </row>
    <row r="138" spans="1:33" ht="15.75">
      <c r="A138" s="1293"/>
      <c r="B138" s="1293"/>
      <c r="C138" s="1293"/>
      <c r="D138" s="1293"/>
      <c r="E138" s="1293"/>
      <c r="F138" s="1293"/>
      <c r="G138" s="1293"/>
      <c r="H138" s="1293"/>
      <c r="I138" s="1293"/>
      <c r="J138" s="1293"/>
      <c r="K138" s="1293"/>
      <c r="L138" s="1293"/>
      <c r="M138" s="1293"/>
      <c r="N138" s="1293"/>
      <c r="O138" s="1293"/>
      <c r="P138" s="1293"/>
      <c r="Q138" s="1293"/>
      <c r="R138" s="1293"/>
      <c r="S138" s="1293"/>
      <c r="T138" s="1293"/>
      <c r="U138" s="1293"/>
      <c r="V138" s="1293"/>
      <c r="W138" s="1293"/>
      <c r="X138" s="1293"/>
      <c r="Y138" s="1293"/>
      <c r="Z138" s="1293"/>
      <c r="AA138" s="1293"/>
      <c r="AB138" s="1293"/>
      <c r="AC138" s="1293"/>
      <c r="AD138" s="1293"/>
      <c r="AE138" s="1293"/>
      <c r="AF138" s="1293"/>
      <c r="AG138" s="1293"/>
    </row>
    <row r="139" spans="1:33" ht="15.75">
      <c r="A139" s="1293"/>
      <c r="B139" s="1293"/>
      <c r="C139" s="1293"/>
      <c r="D139" s="1293"/>
      <c r="E139" s="1293"/>
      <c r="F139" s="1293"/>
      <c r="G139" s="1293"/>
      <c r="H139" s="1293"/>
      <c r="I139" s="1293"/>
      <c r="J139" s="1293"/>
      <c r="K139" s="1293"/>
      <c r="L139" s="1293"/>
      <c r="M139" s="1293"/>
      <c r="N139" s="1293"/>
      <c r="O139" s="1293"/>
      <c r="P139" s="1293"/>
      <c r="Q139" s="1293"/>
      <c r="R139" s="1293"/>
      <c r="S139" s="1293"/>
      <c r="T139" s="1293"/>
      <c r="U139" s="1293"/>
      <c r="V139" s="1293"/>
      <c r="W139" s="1293"/>
      <c r="X139" s="1293"/>
      <c r="Y139" s="1293"/>
      <c r="Z139" s="1293"/>
      <c r="AA139" s="1293"/>
      <c r="AB139" s="1293"/>
      <c r="AC139" s="1293"/>
      <c r="AD139" s="1293"/>
      <c r="AE139" s="1293"/>
      <c r="AF139" s="1293"/>
      <c r="AG139" s="1293"/>
    </row>
    <row r="140" spans="1:33" ht="15.75">
      <c r="A140" s="1293"/>
      <c r="B140" s="1293"/>
      <c r="C140" s="1293"/>
      <c r="D140" s="1293"/>
      <c r="E140" s="1293"/>
      <c r="F140" s="1293"/>
      <c r="G140" s="1293"/>
      <c r="H140" s="1293"/>
      <c r="I140" s="1293"/>
      <c r="J140" s="1293"/>
      <c r="K140" s="1293"/>
      <c r="L140" s="1293"/>
      <c r="M140" s="1293"/>
      <c r="N140" s="1293"/>
      <c r="O140" s="1293"/>
      <c r="P140" s="1293"/>
      <c r="Q140" s="1293"/>
      <c r="R140" s="1293"/>
      <c r="S140" s="1293"/>
      <c r="T140" s="1293"/>
      <c r="U140" s="1293"/>
      <c r="V140" s="1293"/>
      <c r="W140" s="1293"/>
      <c r="X140" s="1293"/>
      <c r="Y140" s="1293"/>
      <c r="Z140" s="1293"/>
      <c r="AA140" s="1293"/>
      <c r="AB140" s="1293"/>
      <c r="AC140" s="1293"/>
      <c r="AD140" s="1293"/>
      <c r="AE140" s="1293"/>
      <c r="AF140" s="1293"/>
      <c r="AG140" s="1293"/>
    </row>
    <row r="141" spans="1:33" ht="15.75">
      <c r="A141" s="1293"/>
      <c r="B141" s="1293"/>
      <c r="C141" s="1293"/>
      <c r="D141" s="1293"/>
      <c r="E141" s="1293"/>
      <c r="F141" s="1293"/>
      <c r="G141" s="1293"/>
      <c r="H141" s="1293"/>
      <c r="I141" s="1293"/>
      <c r="J141" s="1293"/>
      <c r="K141" s="1293"/>
      <c r="L141" s="1293"/>
      <c r="M141" s="1293"/>
      <c r="N141" s="1293"/>
      <c r="O141" s="1293"/>
      <c r="P141" s="1293"/>
      <c r="Q141" s="1293"/>
      <c r="R141" s="1293"/>
      <c r="S141" s="1293"/>
      <c r="T141" s="1293"/>
      <c r="U141" s="1293"/>
      <c r="V141" s="1293"/>
      <c r="W141" s="1293"/>
      <c r="X141" s="1293"/>
      <c r="Y141" s="1293"/>
      <c r="Z141" s="1293"/>
      <c r="AA141" s="1293"/>
      <c r="AB141" s="1293"/>
      <c r="AC141" s="1293"/>
      <c r="AD141" s="1293"/>
      <c r="AE141" s="1293"/>
      <c r="AF141" s="1293"/>
      <c r="AG141" s="1293"/>
    </row>
    <row r="142" spans="1:33" ht="15.75">
      <c r="A142" s="1293"/>
      <c r="B142" s="1293"/>
      <c r="C142" s="1293"/>
      <c r="D142" s="1293"/>
      <c r="E142" s="1293"/>
      <c r="F142" s="1293"/>
      <c r="G142" s="1293"/>
      <c r="H142" s="1293"/>
      <c r="I142" s="1293"/>
      <c r="J142" s="1293"/>
      <c r="K142" s="1293"/>
      <c r="L142" s="1293"/>
      <c r="M142" s="1293"/>
      <c r="N142" s="1293"/>
      <c r="O142" s="1293"/>
      <c r="P142" s="1293"/>
      <c r="Q142" s="1293"/>
      <c r="R142" s="1293"/>
      <c r="S142" s="1293"/>
      <c r="T142" s="1293"/>
      <c r="U142" s="1293"/>
      <c r="V142" s="1293"/>
      <c r="W142" s="1293"/>
      <c r="X142" s="1293"/>
      <c r="Y142" s="1293"/>
      <c r="Z142" s="1293"/>
      <c r="AA142" s="1293"/>
      <c r="AB142" s="1293"/>
      <c r="AC142" s="1293"/>
      <c r="AD142" s="1293"/>
      <c r="AE142" s="1293"/>
      <c r="AF142" s="1293"/>
      <c r="AG142" s="1293"/>
    </row>
    <row r="143" spans="1:33" ht="15.75">
      <c r="A143" s="1293"/>
      <c r="B143" s="1293"/>
      <c r="C143" s="1293"/>
      <c r="D143" s="1293"/>
      <c r="E143" s="1293"/>
      <c r="F143" s="1293"/>
      <c r="G143" s="1293"/>
      <c r="H143" s="1293"/>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row>
    <row r="144" spans="1:33" ht="15.75">
      <c r="A144" s="1293"/>
      <c r="B144" s="1293"/>
      <c r="C144" s="1293"/>
      <c r="D144" s="1293"/>
      <c r="E144" s="1293"/>
      <c r="F144" s="1293"/>
      <c r="G144" s="1293"/>
      <c r="H144" s="1293"/>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row>
    <row r="145" spans="1:33" ht="15.75">
      <c r="A145" s="1293"/>
      <c r="B145" s="1293"/>
      <c r="C145" s="1293"/>
      <c r="D145" s="1293"/>
      <c r="E145" s="1293"/>
      <c r="F145" s="1293"/>
      <c r="G145" s="1293"/>
      <c r="H145" s="1293"/>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row>
    <row r="146" spans="1:33" ht="15.75">
      <c r="A146" s="1293"/>
      <c r="B146" s="1293"/>
      <c r="C146" s="1293"/>
      <c r="D146" s="1293"/>
      <c r="E146" s="1293"/>
      <c r="F146" s="1293"/>
      <c r="G146" s="1293"/>
      <c r="H146" s="1293"/>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row>
    <row r="147" spans="1:33" ht="15.75">
      <c r="A147" s="1293"/>
      <c r="B147" s="1293"/>
      <c r="C147" s="1293"/>
      <c r="D147" s="1293"/>
      <c r="E147" s="1293"/>
      <c r="F147" s="1293"/>
      <c r="G147" s="1293"/>
      <c r="H147" s="1293"/>
      <c r="I147" s="1293"/>
      <c r="J147" s="1293"/>
      <c r="K147" s="1293"/>
      <c r="L147" s="1293"/>
      <c r="M147" s="1293"/>
      <c r="N147" s="1293"/>
      <c r="O147" s="1293"/>
      <c r="P147" s="1293"/>
      <c r="Q147" s="1293"/>
      <c r="R147" s="1293"/>
      <c r="S147" s="1293"/>
      <c r="T147" s="1293"/>
      <c r="U147" s="1293"/>
      <c r="V147" s="1293"/>
      <c r="W147" s="1293"/>
      <c r="X147" s="1293"/>
      <c r="Y147" s="1293"/>
      <c r="Z147" s="1293"/>
      <c r="AA147" s="1293"/>
      <c r="AB147" s="1293"/>
      <c r="AC147" s="1293"/>
      <c r="AD147" s="1293"/>
      <c r="AE147" s="1293"/>
      <c r="AF147" s="1293"/>
      <c r="AG147" s="1293"/>
    </row>
    <row r="148" spans="1:33" ht="15.75">
      <c r="A148" s="1293"/>
      <c r="B148" s="1293"/>
      <c r="C148" s="1293"/>
      <c r="D148" s="1293"/>
      <c r="E148" s="1293"/>
      <c r="F148" s="1293"/>
      <c r="G148" s="1293"/>
      <c r="H148" s="1293"/>
      <c r="I148" s="1293"/>
      <c r="J148" s="1293"/>
      <c r="K148" s="1293"/>
      <c r="L148" s="1293"/>
      <c r="M148" s="1293"/>
      <c r="N148" s="1293"/>
      <c r="O148" s="1293"/>
      <c r="P148" s="1293"/>
      <c r="Q148" s="1293"/>
      <c r="R148" s="1293"/>
      <c r="S148" s="1293"/>
      <c r="T148" s="1293"/>
      <c r="U148" s="1293"/>
      <c r="V148" s="1293"/>
      <c r="W148" s="1293"/>
      <c r="X148" s="1293"/>
      <c r="Y148" s="1293"/>
      <c r="Z148" s="1293"/>
      <c r="AA148" s="1293"/>
      <c r="AB148" s="1293"/>
      <c r="AC148" s="1293"/>
      <c r="AD148" s="1293"/>
      <c r="AE148" s="1293"/>
      <c r="AF148" s="1293"/>
      <c r="AG148" s="1293"/>
    </row>
    <row r="149" spans="1:33" ht="15.75">
      <c r="A149" s="1293"/>
      <c r="B149" s="1293"/>
      <c r="C149" s="1293"/>
      <c r="D149" s="1293"/>
      <c r="E149" s="1293"/>
      <c r="F149" s="1293"/>
      <c r="G149" s="1293"/>
      <c r="H149" s="1293"/>
      <c r="I149" s="1293"/>
      <c r="J149" s="1293"/>
      <c r="K149" s="1293"/>
      <c r="L149" s="1293"/>
      <c r="M149" s="1293"/>
      <c r="N149" s="1293"/>
      <c r="O149" s="1293"/>
      <c r="P149" s="1293"/>
      <c r="Q149" s="1293"/>
      <c r="R149" s="1293"/>
      <c r="S149" s="1293"/>
      <c r="T149" s="1293"/>
      <c r="U149" s="1293"/>
      <c r="V149" s="1293"/>
      <c r="W149" s="1293"/>
      <c r="X149" s="1293"/>
      <c r="Y149" s="1293"/>
      <c r="Z149" s="1293"/>
      <c r="AA149" s="1293"/>
      <c r="AB149" s="1293"/>
      <c r="AC149" s="1293"/>
      <c r="AD149" s="1293"/>
      <c r="AE149" s="1293"/>
      <c r="AF149" s="1293"/>
      <c r="AG149" s="1293"/>
    </row>
    <row r="150" spans="1:33" ht="15.75">
      <c r="A150" s="1293"/>
      <c r="B150" s="1293"/>
      <c r="C150" s="1293"/>
      <c r="D150" s="1293"/>
      <c r="E150" s="1293"/>
      <c r="F150" s="1293"/>
      <c r="G150" s="1293"/>
      <c r="H150" s="1293"/>
      <c r="I150" s="1293"/>
      <c r="J150" s="1293"/>
      <c r="K150" s="1293"/>
      <c r="L150" s="1293"/>
      <c r="M150" s="1293"/>
      <c r="N150" s="1293"/>
      <c r="O150" s="1293"/>
      <c r="P150" s="1293"/>
      <c r="Q150" s="1293"/>
      <c r="R150" s="1293"/>
      <c r="S150" s="1293"/>
      <c r="T150" s="1293"/>
      <c r="U150" s="1293"/>
      <c r="V150" s="1293"/>
      <c r="W150" s="1293"/>
      <c r="X150" s="1293"/>
      <c r="Y150" s="1293"/>
      <c r="Z150" s="1293"/>
      <c r="AA150" s="1293"/>
      <c r="AB150" s="1293"/>
      <c r="AC150" s="1293"/>
      <c r="AD150" s="1293"/>
      <c r="AE150" s="1293"/>
      <c r="AF150" s="1293"/>
      <c r="AG150" s="1293"/>
    </row>
    <row r="151" spans="1:33" ht="15.75">
      <c r="A151" s="1293"/>
      <c r="B151" s="1293"/>
      <c r="C151" s="1293"/>
      <c r="D151" s="1293"/>
      <c r="E151" s="1293"/>
      <c r="F151" s="1293"/>
      <c r="G151" s="1293"/>
      <c r="H151" s="1293"/>
      <c r="I151" s="1293"/>
      <c r="J151" s="1293"/>
      <c r="K151" s="1293"/>
      <c r="L151" s="1293"/>
      <c r="M151" s="1293"/>
      <c r="N151" s="1293"/>
      <c r="O151" s="1293"/>
      <c r="P151" s="1293"/>
      <c r="Q151" s="1293"/>
      <c r="R151" s="1293"/>
      <c r="S151" s="1293"/>
      <c r="T151" s="1293"/>
      <c r="U151" s="1293"/>
      <c r="V151" s="1293"/>
      <c r="W151" s="1293"/>
      <c r="X151" s="1293"/>
      <c r="Y151" s="1293"/>
      <c r="Z151" s="1293"/>
      <c r="AA151" s="1293"/>
      <c r="AB151" s="1293"/>
      <c r="AC151" s="1293"/>
      <c r="AD151" s="1293"/>
      <c r="AE151" s="1293"/>
      <c r="AF151" s="1293"/>
      <c r="AG151" s="1293"/>
    </row>
    <row r="152" spans="1:33" ht="15.75">
      <c r="A152" s="1293"/>
      <c r="B152" s="1293"/>
      <c r="C152" s="1293"/>
      <c r="D152" s="1293"/>
      <c r="E152" s="1293"/>
      <c r="F152" s="1293"/>
      <c r="G152" s="1293"/>
      <c r="H152" s="1293"/>
      <c r="I152" s="1293"/>
      <c r="J152" s="1293"/>
      <c r="K152" s="1293"/>
      <c r="L152" s="1293"/>
      <c r="M152" s="1293"/>
      <c r="N152" s="1293"/>
      <c r="O152" s="1293"/>
      <c r="P152" s="1293"/>
      <c r="Q152" s="1293"/>
      <c r="R152" s="1293"/>
      <c r="S152" s="1293"/>
      <c r="T152" s="1293"/>
      <c r="U152" s="1293"/>
      <c r="V152" s="1293"/>
      <c r="W152" s="1293"/>
      <c r="X152" s="1293"/>
      <c r="Y152" s="1293"/>
      <c r="Z152" s="1293"/>
      <c r="AA152" s="1293"/>
      <c r="AB152" s="1293"/>
      <c r="AC152" s="1293"/>
      <c r="AD152" s="1293"/>
      <c r="AE152" s="1293"/>
      <c r="AF152" s="1293"/>
      <c r="AG152" s="1293"/>
    </row>
    <row r="153" spans="1:33" ht="15.75">
      <c r="A153" s="1293"/>
      <c r="B153" s="1293"/>
      <c r="C153" s="1293"/>
      <c r="D153" s="1293"/>
      <c r="E153" s="1293"/>
      <c r="F153" s="1293"/>
      <c r="G153" s="1293"/>
      <c r="H153" s="1293"/>
      <c r="I153" s="1293"/>
      <c r="J153" s="1293"/>
      <c r="K153" s="1293"/>
      <c r="L153" s="1293"/>
      <c r="M153" s="1293"/>
      <c r="N153" s="1293"/>
      <c r="O153" s="1293"/>
      <c r="P153" s="1293"/>
      <c r="Q153" s="1293"/>
      <c r="R153" s="1293"/>
      <c r="S153" s="1293"/>
      <c r="T153" s="1293"/>
      <c r="U153" s="1293"/>
      <c r="V153" s="1293"/>
      <c r="W153" s="1293"/>
      <c r="X153" s="1293"/>
      <c r="Y153" s="1293"/>
      <c r="Z153" s="1293"/>
      <c r="AA153" s="1293"/>
      <c r="AB153" s="1293"/>
      <c r="AC153" s="1293"/>
      <c r="AD153" s="1293"/>
      <c r="AE153" s="1293"/>
      <c r="AF153" s="1293"/>
      <c r="AG153" s="1293"/>
    </row>
    <row r="154" spans="1:33" ht="15.75">
      <c r="A154" s="1293"/>
      <c r="B154" s="1293"/>
      <c r="C154" s="1293"/>
      <c r="D154" s="1293"/>
      <c r="E154" s="1293"/>
      <c r="F154" s="1293"/>
      <c r="G154" s="1293"/>
      <c r="H154" s="1293"/>
      <c r="I154" s="1293"/>
      <c r="J154" s="1293"/>
      <c r="K154" s="1293"/>
      <c r="L154" s="1293"/>
      <c r="M154" s="1293"/>
      <c r="N154" s="1293"/>
      <c r="O154" s="1293"/>
      <c r="P154" s="1293"/>
      <c r="Q154" s="1293"/>
      <c r="R154" s="1293"/>
      <c r="S154" s="1293"/>
      <c r="T154" s="1293"/>
      <c r="U154" s="1293"/>
      <c r="V154" s="1293"/>
      <c r="W154" s="1293"/>
      <c r="X154" s="1293"/>
      <c r="Y154" s="1293"/>
      <c r="Z154" s="1293"/>
      <c r="AA154" s="1293"/>
      <c r="AB154" s="1293"/>
      <c r="AC154" s="1293"/>
      <c r="AD154" s="1293"/>
      <c r="AE154" s="1293"/>
      <c r="AF154" s="1293"/>
      <c r="AG154" s="1293"/>
    </row>
    <row r="155" spans="1:33" ht="15.75">
      <c r="A155" s="1293"/>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row>
    <row r="156" spans="1:33" ht="15.75">
      <c r="A156" s="1293"/>
      <c r="B156" s="1293"/>
      <c r="C156" s="1293"/>
      <c r="D156" s="1293"/>
      <c r="E156" s="1293"/>
      <c r="F156" s="1293"/>
      <c r="G156" s="1293"/>
      <c r="H156" s="1293"/>
      <c r="I156" s="1293"/>
      <c r="J156" s="1293"/>
      <c r="K156" s="1293"/>
      <c r="L156" s="1293"/>
      <c r="M156" s="1293"/>
      <c r="N156" s="1293"/>
      <c r="O156" s="1293"/>
      <c r="P156" s="1293"/>
      <c r="Q156" s="1293"/>
      <c r="R156" s="1293"/>
      <c r="S156" s="1293"/>
      <c r="T156" s="1293"/>
      <c r="U156" s="1293"/>
      <c r="V156" s="1293"/>
      <c r="W156" s="1293"/>
      <c r="X156" s="1293"/>
      <c r="Y156" s="1293"/>
      <c r="Z156" s="1293"/>
      <c r="AA156" s="1293"/>
      <c r="AB156" s="1293"/>
      <c r="AC156" s="1293"/>
      <c r="AD156" s="1293"/>
      <c r="AE156" s="1293"/>
      <c r="AF156" s="1293"/>
      <c r="AG156" s="1293"/>
    </row>
    <row r="157" spans="1:33" ht="15.75">
      <c r="A157" s="1293"/>
      <c r="B157" s="1293"/>
      <c r="C157" s="1293"/>
      <c r="D157" s="1293"/>
      <c r="E157" s="1293"/>
      <c r="F157" s="1293"/>
      <c r="G157" s="1293"/>
      <c r="H157" s="1293"/>
      <c r="I157" s="1293"/>
      <c r="J157" s="1293"/>
      <c r="K157" s="1293"/>
      <c r="L157" s="1293"/>
      <c r="M157" s="1293"/>
      <c r="N157" s="1293"/>
      <c r="O157" s="1293"/>
      <c r="P157" s="1293"/>
      <c r="Q157" s="1293"/>
      <c r="R157" s="1293"/>
      <c r="S157" s="1293"/>
      <c r="T157" s="1293"/>
      <c r="U157" s="1293"/>
      <c r="V157" s="1293"/>
      <c r="W157" s="1293"/>
      <c r="X157" s="1293"/>
      <c r="Y157" s="1293"/>
      <c r="Z157" s="1293"/>
      <c r="AA157" s="1293"/>
      <c r="AB157" s="1293"/>
      <c r="AC157" s="1293"/>
      <c r="AD157" s="1293"/>
      <c r="AE157" s="1293"/>
      <c r="AF157" s="1293"/>
      <c r="AG157" s="1293"/>
    </row>
    <row r="158" spans="1:33" ht="15.75">
      <c r="A158" s="1293"/>
      <c r="B158" s="1293"/>
      <c r="C158" s="1293"/>
      <c r="D158" s="1293"/>
      <c r="E158" s="1293"/>
      <c r="F158" s="1293"/>
      <c r="G158" s="1293"/>
      <c r="H158" s="1293"/>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row>
  </sheetData>
  <phoneticPr fontId="17" type="noConversion"/>
  <pageMargins left="0.75" right="0.75" top="1" bottom="1" header="0.5" footer="0.5"/>
  <pageSetup paperSize="9" scale="31" orientation="portrait" r:id="rId1"/>
  <headerFooter alignWithMargins="0"/>
  <ignoredErrors>
    <ignoredError sqref="E12:H12"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U743"/>
  <sheetViews>
    <sheetView zoomScale="72" zoomScaleNormal="72" workbookViewId="0">
      <pane xSplit="4" ySplit="2" topLeftCell="V77" activePane="bottomRight" state="frozen"/>
      <selection pane="topRight" activeCell="E1" sqref="E1"/>
      <selection pane="bottomLeft" activeCell="A3" sqref="A3"/>
      <selection pane="bottomRight" activeCell="AB90" sqref="AB90:AB109"/>
    </sheetView>
  </sheetViews>
  <sheetFormatPr defaultRowHeight="15" outlineLevelCol="1"/>
  <cols>
    <col min="1" max="1" width="28.7109375" customWidth="1"/>
    <col min="5" max="5" width="9.7109375" customWidth="1"/>
    <col min="6" max="16" width="9.7109375" hidden="1" customWidth="1" outlineLevel="1"/>
    <col min="17" max="17" width="9.7109375" customWidth="1" collapsed="1"/>
    <col min="18" max="33" width="9.7109375" customWidth="1"/>
  </cols>
  <sheetData>
    <row r="1" spans="1:45" ht="15.75">
      <c r="A1" s="1325"/>
      <c r="B1" s="1325"/>
      <c r="C1" s="1325"/>
      <c r="D1" s="1325"/>
      <c r="E1" s="1325"/>
      <c r="F1" s="1325"/>
      <c r="G1" s="1325"/>
      <c r="H1" s="1325" t="s">
        <v>1823</v>
      </c>
      <c r="I1" s="1325"/>
      <c r="J1" s="1325"/>
      <c r="K1" s="1325"/>
      <c r="L1" s="1325"/>
      <c r="M1" s="1325"/>
      <c r="N1" s="1325"/>
      <c r="O1" s="1325"/>
      <c r="P1" s="1325"/>
      <c r="Q1" s="1325"/>
      <c r="R1" s="1332"/>
      <c r="S1" s="1325"/>
      <c r="T1" s="1325"/>
      <c r="U1" s="1325"/>
      <c r="V1" s="1325"/>
      <c r="W1" s="1325"/>
      <c r="X1" s="2533"/>
      <c r="Y1" s="1325"/>
      <c r="Z1" s="1325"/>
      <c r="AA1" s="1325"/>
      <c r="AB1" s="1977"/>
      <c r="AC1" s="1977"/>
      <c r="AD1" s="1977"/>
      <c r="AE1" s="1977"/>
      <c r="AF1" s="1977"/>
      <c r="AG1" s="1977"/>
      <c r="AH1" s="1293"/>
      <c r="AI1" s="1293">
        <f ca="1">SOP!I38</f>
        <v>36.64868071123005</v>
      </c>
      <c r="AJ1" s="1293"/>
      <c r="AK1" s="1327">
        <f ca="1">Valuation!O32</f>
        <v>759.62092045878626</v>
      </c>
      <c r="AL1" s="1293"/>
      <c r="AM1" s="1293"/>
      <c r="AN1" s="1293"/>
      <c r="AO1" s="1293"/>
      <c r="AP1" s="1293"/>
      <c r="AQ1" s="1293"/>
      <c r="AR1" s="1293"/>
      <c r="AS1" s="1293"/>
    </row>
    <row r="2" spans="1:45" ht="15.75">
      <c r="A2" s="2534" t="s">
        <v>1426</v>
      </c>
      <c r="B2" s="2534"/>
      <c r="C2" s="2534"/>
      <c r="D2" s="2535"/>
      <c r="E2" s="2535"/>
      <c r="F2" s="2535">
        <v>2003</v>
      </c>
      <c r="G2" s="2535">
        <f t="shared" ref="G2:AG2" si="0">+F2+1</f>
        <v>2004</v>
      </c>
      <c r="H2" s="2535">
        <f t="shared" si="0"/>
        <v>2005</v>
      </c>
      <c r="I2" s="2535">
        <f t="shared" si="0"/>
        <v>2006</v>
      </c>
      <c r="J2" s="2535">
        <f t="shared" si="0"/>
        <v>2007</v>
      </c>
      <c r="K2" s="2535">
        <f t="shared" si="0"/>
        <v>2008</v>
      </c>
      <c r="L2" s="2535">
        <f t="shared" si="0"/>
        <v>2009</v>
      </c>
      <c r="M2" s="2535">
        <f t="shared" si="0"/>
        <v>2010</v>
      </c>
      <c r="N2" s="2535">
        <f t="shared" si="0"/>
        <v>2011</v>
      </c>
      <c r="O2" s="2535">
        <f t="shared" si="0"/>
        <v>2012</v>
      </c>
      <c r="P2" s="2535">
        <f t="shared" si="0"/>
        <v>2013</v>
      </c>
      <c r="Q2" s="2535">
        <f t="shared" si="0"/>
        <v>2014</v>
      </c>
      <c r="R2" s="2535">
        <f t="shared" si="0"/>
        <v>2015</v>
      </c>
      <c r="S2" s="2535">
        <f t="shared" si="0"/>
        <v>2016</v>
      </c>
      <c r="T2" s="2535">
        <f t="shared" si="0"/>
        <v>2017</v>
      </c>
      <c r="U2" s="2535">
        <f t="shared" si="0"/>
        <v>2018</v>
      </c>
      <c r="V2" s="2535">
        <f t="shared" si="0"/>
        <v>2019</v>
      </c>
      <c r="W2" s="2535">
        <f t="shared" si="0"/>
        <v>2020</v>
      </c>
      <c r="X2" s="2535">
        <f t="shared" si="0"/>
        <v>2021</v>
      </c>
      <c r="Y2" s="2535">
        <f t="shared" si="0"/>
        <v>2022</v>
      </c>
      <c r="Z2" s="2535">
        <f t="shared" si="0"/>
        <v>2023</v>
      </c>
      <c r="AA2" s="2535">
        <f t="shared" si="0"/>
        <v>2024</v>
      </c>
      <c r="AB2" s="2536">
        <f t="shared" si="0"/>
        <v>2025</v>
      </c>
      <c r="AC2" s="2536">
        <f t="shared" si="0"/>
        <v>2026</v>
      </c>
      <c r="AD2" s="2536">
        <f t="shared" si="0"/>
        <v>2027</v>
      </c>
      <c r="AE2" s="2536">
        <f t="shared" si="0"/>
        <v>2028</v>
      </c>
      <c r="AF2" s="2536">
        <f t="shared" si="0"/>
        <v>2029</v>
      </c>
      <c r="AG2" s="2536">
        <f t="shared" si="0"/>
        <v>2030</v>
      </c>
      <c r="AH2" s="1293"/>
      <c r="AI2" s="1293"/>
      <c r="AJ2" s="1293"/>
      <c r="AK2" s="1293"/>
      <c r="AL2" s="1293"/>
      <c r="AM2" s="1293"/>
      <c r="AN2" s="1293"/>
      <c r="AO2" s="1293"/>
      <c r="AP2" s="1293"/>
      <c r="AQ2" s="1293"/>
      <c r="AR2" s="1293"/>
      <c r="AS2" s="1293"/>
    </row>
    <row r="3" spans="1:45" ht="15.75">
      <c r="A3" s="1706"/>
      <c r="B3" s="1706"/>
      <c r="C3" s="1684"/>
      <c r="D3" s="1890"/>
      <c r="E3" s="1890"/>
      <c r="F3" s="1891"/>
      <c r="G3" s="1891"/>
      <c r="H3" s="1891"/>
      <c r="I3" s="1675"/>
      <c r="J3" s="1293"/>
      <c r="K3" s="1688"/>
      <c r="L3" s="1688"/>
      <c r="M3" s="1891"/>
      <c r="N3" s="1891"/>
      <c r="O3" s="1892"/>
      <c r="P3" s="1891"/>
      <c r="Q3" s="1891"/>
      <c r="R3" s="1891"/>
      <c r="S3" s="1893"/>
      <c r="T3" s="1892"/>
      <c r="U3" s="1891"/>
      <c r="V3" s="1891"/>
      <c r="W3" s="1892"/>
      <c r="X3" s="1891"/>
      <c r="Y3" s="1891"/>
      <c r="Z3" s="1891"/>
      <c r="AA3" s="1891"/>
      <c r="AB3" s="1892"/>
      <c r="AC3" s="1891"/>
      <c r="AD3" s="1891"/>
      <c r="AE3" s="1891"/>
      <c r="AF3" s="1891"/>
      <c r="AG3" s="1891"/>
      <c r="AH3" s="1293"/>
      <c r="AI3" s="1293"/>
      <c r="AJ3" s="1293"/>
      <c r="AK3" s="1293"/>
      <c r="AL3" s="1293"/>
      <c r="AM3" s="1293"/>
      <c r="AN3" s="1293"/>
      <c r="AO3" s="1293"/>
      <c r="AP3" s="1293"/>
      <c r="AQ3" s="1293"/>
      <c r="AR3" s="1293"/>
      <c r="AS3" s="1293"/>
    </row>
    <row r="4" spans="1:45" ht="15.75">
      <c r="A4" s="1706" t="s">
        <v>9173</v>
      </c>
      <c r="B4" s="1706"/>
      <c r="C4" s="1684"/>
      <c r="D4" s="1890"/>
      <c r="E4" s="1890"/>
      <c r="F4" s="1891"/>
      <c r="G4" s="1891"/>
      <c r="H4" s="1891"/>
      <c r="I4" s="1675"/>
      <c r="J4" s="1293"/>
      <c r="K4" s="1688"/>
      <c r="L4" s="1688"/>
      <c r="M4" s="1891"/>
      <c r="N4" s="1891"/>
      <c r="O4" s="1892"/>
      <c r="P4" s="1891"/>
      <c r="Q4" s="1891"/>
      <c r="R4" s="1891"/>
      <c r="S4" s="1893"/>
      <c r="T4" s="1892"/>
      <c r="U4" s="1891"/>
      <c r="V4" s="1891"/>
      <c r="W4" s="1892"/>
      <c r="X4" s="1891"/>
      <c r="Y4" s="1891"/>
      <c r="Z4" s="1891"/>
      <c r="AA4" s="1891"/>
      <c r="AB4" s="1892"/>
      <c r="AC4" s="1891"/>
      <c r="AD4" s="1891"/>
      <c r="AE4" s="1891"/>
      <c r="AF4" s="1891"/>
      <c r="AG4" s="1891"/>
      <c r="AH4" s="1293"/>
      <c r="AI4" s="1293"/>
      <c r="AJ4" s="1293"/>
      <c r="AK4" s="1293"/>
      <c r="AL4" s="1293"/>
      <c r="AM4" s="1293"/>
      <c r="AN4" s="1293"/>
      <c r="AO4" s="1293"/>
      <c r="AP4" s="1293"/>
      <c r="AQ4" s="1293"/>
      <c r="AR4" s="1293"/>
      <c r="AS4" s="1293"/>
    </row>
    <row r="5" spans="1:45" ht="15.75">
      <c r="A5" s="1684" t="s">
        <v>1425</v>
      </c>
      <c r="B5" s="1684"/>
      <c r="C5" s="1684"/>
      <c r="D5" s="1713"/>
      <c r="E5" s="1713"/>
      <c r="F5" s="1713">
        <f>SUM(Div!C28:C36)</f>
        <v>641.08799999999985</v>
      </c>
      <c r="G5" s="1713">
        <f>SUM(Div!D28:D36)</f>
        <v>921.45600000000002</v>
      </c>
      <c r="H5" s="1713">
        <f>SUM(Div!E28:E36)</f>
        <v>1083.3330000000001</v>
      </c>
      <c r="I5" s="1713">
        <f>SUM(Div!F28:F36)</f>
        <v>1630.15</v>
      </c>
      <c r="J5" s="1713">
        <f>SUM(Div!G28:G36)</f>
        <v>2630.8449999999998</v>
      </c>
      <c r="K5" s="1713">
        <f>SUM(Div!H28:H36)</f>
        <v>3397.9075695558286</v>
      </c>
      <c r="L5" s="1713">
        <f>SUM(Div!I29:I36)</f>
        <v>3576.5649976500235</v>
      </c>
      <c r="M5" s="1713">
        <f>SUM(Div!J29:J36)</f>
        <v>4025.2485327501977</v>
      </c>
      <c r="N5" s="1713"/>
      <c r="O5" s="1713"/>
      <c r="P5" s="1713"/>
      <c r="Q5" s="1713">
        <f>'New split'!D35</f>
        <v>6386.0109430529701</v>
      </c>
      <c r="R5" s="1713">
        <f>'New split'!E35</f>
        <v>6730.1365449983496</v>
      </c>
      <c r="S5" s="1713">
        <f>'New split'!F35</f>
        <v>6248.8819186869696</v>
      </c>
      <c r="T5" s="1713">
        <f>'New split'!G35</f>
        <v>6089</v>
      </c>
      <c r="U5" s="1713">
        <f>'New split'!H35</f>
        <v>6012</v>
      </c>
      <c r="V5" s="1713">
        <f>'New split'!I35</f>
        <v>6371</v>
      </c>
      <c r="W5" s="1713">
        <f>'New split'!J35</f>
        <v>6232</v>
      </c>
      <c r="X5" s="1713">
        <f>'New split'!K35</f>
        <v>6572</v>
      </c>
      <c r="Y5" s="1713">
        <f>'New split'!L35</f>
        <v>5624.5300000000007</v>
      </c>
      <c r="Z5" s="1713">
        <f>'New split'!M35</f>
        <v>5661</v>
      </c>
      <c r="AA5" s="1713">
        <f>'New split'!N35</f>
        <v>5804.2592000000004</v>
      </c>
      <c r="AB5" s="1713">
        <f>'New split'!O35</f>
        <v>5523.9546913835384</v>
      </c>
      <c r="AC5" s="1713">
        <f>'New split'!P35</f>
        <v>5603.0529567956419</v>
      </c>
      <c r="AD5" s="1713">
        <f>'New split'!Q35</f>
        <v>5697.2603768103054</v>
      </c>
      <c r="AE5" s="1713">
        <f>'New split'!R35</f>
        <v>5798.6244029074151</v>
      </c>
      <c r="AF5" s="1713">
        <f>'New split'!S35</f>
        <v>5882.0473511545479</v>
      </c>
      <c r="AG5" s="1713">
        <f>'New split'!T35</f>
        <v>5952.0055851318775</v>
      </c>
      <c r="AH5" s="1293"/>
      <c r="AI5" s="1293"/>
      <c r="AJ5" s="1293"/>
      <c r="AK5" s="1293"/>
      <c r="AL5" s="1293"/>
      <c r="AM5" s="1293"/>
      <c r="AN5" s="1293"/>
      <c r="AO5" s="1293"/>
      <c r="AP5" s="1293"/>
      <c r="AQ5" s="1293"/>
      <c r="AR5" s="1293"/>
      <c r="AS5" s="1293"/>
    </row>
    <row r="6" spans="1:45" ht="15.75">
      <c r="A6" s="1675" t="s">
        <v>1540</v>
      </c>
      <c r="B6" s="1675"/>
      <c r="C6" s="1653"/>
      <c r="D6" s="1675"/>
      <c r="E6" s="1675"/>
      <c r="F6" s="1675">
        <f>Div!C36</f>
        <v>10.736000000000001</v>
      </c>
      <c r="G6" s="1675">
        <f>Div!D36</f>
        <v>7.3969999999999994</v>
      </c>
      <c r="H6" s="1675">
        <f>Div!E36</f>
        <v>2.9009999999999998</v>
      </c>
      <c r="I6" s="1675">
        <f>Div!F36</f>
        <v>1.919</v>
      </c>
      <c r="J6" s="1675">
        <f>Div!G36</f>
        <v>0</v>
      </c>
      <c r="K6" s="1675">
        <f>Div!H36</f>
        <v>0</v>
      </c>
      <c r="L6" s="1675">
        <f>Div!I36</f>
        <v>0</v>
      </c>
      <c r="M6" s="1675">
        <f>Div!J36</f>
        <v>0</v>
      </c>
      <c r="N6" s="1675"/>
      <c r="O6" s="1675"/>
      <c r="P6" s="1675"/>
      <c r="Q6" s="1675">
        <v>0</v>
      </c>
      <c r="R6" s="1675">
        <v>0</v>
      </c>
      <c r="S6" s="1675">
        <v>0</v>
      </c>
      <c r="T6" s="1675">
        <v>0</v>
      </c>
      <c r="U6" s="1675">
        <v>0</v>
      </c>
      <c r="V6" s="1675">
        <v>0</v>
      </c>
      <c r="W6" s="1675">
        <v>0</v>
      </c>
      <c r="X6" s="1675">
        <v>0</v>
      </c>
      <c r="Y6" s="1675">
        <v>0</v>
      </c>
      <c r="Z6" s="1675">
        <v>0</v>
      </c>
      <c r="AA6" s="1675">
        <v>0</v>
      </c>
      <c r="AB6" s="1894">
        <v>0</v>
      </c>
      <c r="AC6" s="1894">
        <v>0</v>
      </c>
      <c r="AD6" s="1894">
        <v>0</v>
      </c>
      <c r="AE6" s="1894">
        <v>0</v>
      </c>
      <c r="AF6" s="1894">
        <v>0</v>
      </c>
      <c r="AG6" s="1894">
        <v>0</v>
      </c>
      <c r="AH6" s="1293"/>
      <c r="AI6" s="1293"/>
      <c r="AJ6" s="1293"/>
      <c r="AK6" s="1293"/>
      <c r="AL6" s="1293"/>
      <c r="AM6" s="1293"/>
      <c r="AN6" s="1293"/>
      <c r="AO6" s="1293"/>
      <c r="AP6" s="1293"/>
      <c r="AQ6" s="1293"/>
      <c r="AR6" s="1293"/>
      <c r="AS6" s="1293"/>
    </row>
    <row r="7" spans="1:45" ht="15.75">
      <c r="A7" s="1675" t="s">
        <v>1432</v>
      </c>
      <c r="B7" s="1675"/>
      <c r="C7" s="1653"/>
      <c r="D7" s="1675"/>
      <c r="E7" s="1675"/>
      <c r="F7" s="1675">
        <f t="shared" ref="F7:M7" si="1">SUM(F5:F6)</f>
        <v>651.82399999999984</v>
      </c>
      <c r="G7" s="1675">
        <f t="shared" si="1"/>
        <v>928.85300000000007</v>
      </c>
      <c r="H7" s="1675">
        <f t="shared" si="1"/>
        <v>1086.2340000000002</v>
      </c>
      <c r="I7" s="1675">
        <f t="shared" si="1"/>
        <v>1632.0690000000002</v>
      </c>
      <c r="J7" s="1675">
        <f t="shared" si="1"/>
        <v>2630.8449999999998</v>
      </c>
      <c r="K7" s="1675">
        <f t="shared" si="1"/>
        <v>3397.9075695558286</v>
      </c>
      <c r="L7" s="1675">
        <f t="shared" si="1"/>
        <v>3576.5649976500235</v>
      </c>
      <c r="M7" s="1675">
        <f t="shared" si="1"/>
        <v>4025.2485327501977</v>
      </c>
      <c r="N7" s="1675"/>
      <c r="O7" s="1675"/>
      <c r="P7" s="1675"/>
      <c r="Q7" s="1675">
        <f t="shared" ref="Q7:AG7" si="2">SUM(Q5:Q6)</f>
        <v>6386.0109430529701</v>
      </c>
      <c r="R7" s="1675">
        <f t="shared" si="2"/>
        <v>6730.1365449983496</v>
      </c>
      <c r="S7" s="1675">
        <f t="shared" si="2"/>
        <v>6248.8819186869696</v>
      </c>
      <c r="T7" s="1675">
        <f t="shared" si="2"/>
        <v>6089</v>
      </c>
      <c r="U7" s="1675">
        <f t="shared" si="2"/>
        <v>6012</v>
      </c>
      <c r="V7" s="1675">
        <f t="shared" si="2"/>
        <v>6371</v>
      </c>
      <c r="W7" s="1675">
        <f t="shared" si="2"/>
        <v>6232</v>
      </c>
      <c r="X7" s="1675">
        <f t="shared" si="2"/>
        <v>6572</v>
      </c>
      <c r="Y7" s="1675">
        <f t="shared" si="2"/>
        <v>5624.5300000000007</v>
      </c>
      <c r="Z7" s="1675">
        <f t="shared" si="2"/>
        <v>5661</v>
      </c>
      <c r="AA7" s="1675">
        <f t="shared" si="2"/>
        <v>5804.2592000000004</v>
      </c>
      <c r="AB7" s="1675">
        <f t="shared" si="2"/>
        <v>5523.9546913835384</v>
      </c>
      <c r="AC7" s="1675">
        <f t="shared" si="2"/>
        <v>5603.0529567956419</v>
      </c>
      <c r="AD7" s="1675">
        <f t="shared" si="2"/>
        <v>5697.2603768103054</v>
      </c>
      <c r="AE7" s="1675">
        <f t="shared" si="2"/>
        <v>5798.6244029074151</v>
      </c>
      <c r="AF7" s="1675">
        <f t="shared" si="2"/>
        <v>5882.0473511545479</v>
      </c>
      <c r="AG7" s="1675">
        <f t="shared" si="2"/>
        <v>5952.0055851318775</v>
      </c>
      <c r="AH7" s="1293"/>
      <c r="AI7" s="1293"/>
      <c r="AJ7" s="1293"/>
      <c r="AK7" s="1293"/>
      <c r="AL7" s="1293"/>
      <c r="AM7" s="1293"/>
      <c r="AN7" s="1293"/>
      <c r="AO7" s="1293"/>
      <c r="AP7" s="1293"/>
      <c r="AQ7" s="1293"/>
      <c r="AR7" s="1293"/>
      <c r="AS7" s="1293"/>
    </row>
    <row r="8" spans="1:45" ht="15.75">
      <c r="A8" s="1675" t="s">
        <v>760</v>
      </c>
      <c r="B8" s="1675"/>
      <c r="C8" s="1653"/>
      <c r="D8" s="1675"/>
      <c r="E8" s="1653"/>
      <c r="F8" s="1895">
        <v>0</v>
      </c>
      <c r="G8" s="1896">
        <v>3.2869999999999999</v>
      </c>
      <c r="H8" s="1895">
        <v>0</v>
      </c>
      <c r="I8" s="1895">
        <v>0</v>
      </c>
      <c r="J8" s="1895">
        <v>0</v>
      </c>
      <c r="K8" s="1895">
        <v>0</v>
      </c>
      <c r="L8" s="1895">
        <v>0</v>
      </c>
      <c r="M8" s="1895">
        <v>0</v>
      </c>
      <c r="N8" s="1713"/>
      <c r="O8" s="1713"/>
      <c r="P8" s="1713"/>
      <c r="Q8" s="1675">
        <v>0</v>
      </c>
      <c r="R8" s="1675">
        <v>0</v>
      </c>
      <c r="S8" s="1675">
        <v>0</v>
      </c>
      <c r="T8" s="1675">
        <v>0</v>
      </c>
      <c r="U8" s="1675">
        <v>0</v>
      </c>
      <c r="V8" s="1675">
        <v>0</v>
      </c>
      <c r="W8" s="1675">
        <v>0</v>
      </c>
      <c r="X8" s="1675">
        <v>0</v>
      </c>
      <c r="Y8" s="1675">
        <v>0</v>
      </c>
      <c r="Z8" s="1675">
        <v>0</v>
      </c>
      <c r="AA8" s="1675">
        <v>0</v>
      </c>
      <c r="AB8" s="1894">
        <v>0</v>
      </c>
      <c r="AC8" s="1894">
        <v>0</v>
      </c>
      <c r="AD8" s="1894">
        <v>0</v>
      </c>
      <c r="AE8" s="1894">
        <v>0</v>
      </c>
      <c r="AF8" s="1894">
        <v>0</v>
      </c>
      <c r="AG8" s="1894">
        <v>0</v>
      </c>
      <c r="AH8" s="1293"/>
      <c r="AI8" s="1293"/>
      <c r="AJ8" s="1293"/>
      <c r="AK8" s="1293"/>
      <c r="AL8" s="1293"/>
      <c r="AM8" s="1293"/>
      <c r="AN8" s="1293"/>
      <c r="AO8" s="1293"/>
      <c r="AP8" s="1293"/>
      <c r="AQ8" s="1293"/>
      <c r="AR8" s="1293"/>
      <c r="AS8" s="1293"/>
    </row>
    <row r="9" spans="1:45" ht="15.75">
      <c r="A9" s="1675"/>
      <c r="B9" s="1675"/>
      <c r="C9" s="1653"/>
      <c r="D9" s="1675"/>
      <c r="E9" s="1653"/>
      <c r="F9" s="1653"/>
      <c r="G9" s="1653"/>
      <c r="H9" s="1653"/>
      <c r="I9" s="1653"/>
      <c r="J9" s="1688"/>
      <c r="K9" s="1897"/>
      <c r="L9" s="1715"/>
      <c r="M9" s="1675"/>
      <c r="N9" s="1713"/>
      <c r="O9" s="1713"/>
      <c r="P9" s="1713"/>
      <c r="Q9" s="1898"/>
      <c r="R9" s="1898"/>
      <c r="S9" s="1653"/>
      <c r="T9" s="1653"/>
      <c r="U9" s="1653"/>
      <c r="V9" s="1653"/>
      <c r="W9" s="1653"/>
      <c r="X9" s="1653"/>
      <c r="Y9" s="1653"/>
      <c r="Z9" s="1653"/>
      <c r="AA9" s="1653"/>
      <c r="AB9" s="1653"/>
      <c r="AC9" s="1653"/>
      <c r="AD9" s="1653"/>
      <c r="AE9" s="1653"/>
      <c r="AF9" s="1653"/>
      <c r="AG9" s="1653"/>
      <c r="AH9" s="1293"/>
      <c r="AI9" s="1293"/>
      <c r="AJ9" s="1293"/>
      <c r="AK9" s="1293"/>
      <c r="AL9" s="1293"/>
      <c r="AM9" s="1293"/>
      <c r="AN9" s="1293"/>
      <c r="AO9" s="1293"/>
      <c r="AP9" s="1293"/>
      <c r="AQ9" s="1293"/>
      <c r="AR9" s="1293"/>
      <c r="AS9" s="1293"/>
    </row>
    <row r="10" spans="1:45" ht="15.75">
      <c r="A10" s="1675" t="s">
        <v>4543</v>
      </c>
      <c r="B10" s="1675"/>
      <c r="C10" s="1653"/>
      <c r="D10" s="1675"/>
      <c r="E10" s="1653"/>
      <c r="F10" s="1653"/>
      <c r="G10" s="1653"/>
      <c r="H10" s="1653"/>
      <c r="I10" s="1653"/>
      <c r="J10" s="1688"/>
      <c r="K10" s="1897"/>
      <c r="L10" s="1715"/>
      <c r="M10" s="1675"/>
      <c r="N10" s="1713"/>
      <c r="O10" s="1713"/>
      <c r="P10" s="1713"/>
      <c r="Q10" s="1675">
        <f>'New split'!D284+'New split'!D291+'New split'!D301+'New split'!D303</f>
        <v>2351.3211117787241</v>
      </c>
      <c r="R10" s="1675">
        <f>'New split'!E284+'New split'!E291+'New split'!E301+'New split'!E303</f>
        <v>2382.1466739039001</v>
      </c>
      <c r="S10" s="1675">
        <f>'New split'!F284+'New split'!F291+'New split'!F301+'New split'!F303</f>
        <v>2336.4594493655409</v>
      </c>
      <c r="T10" s="1675">
        <f>'New split'!G284+'New split'!G291+'New split'!G301+'New split'!G303</f>
        <v>2347.6759999999999</v>
      </c>
      <c r="U10" s="1675">
        <f>'New split'!H284+'New split'!H291+'New split'!H301+'New split'!H303</f>
        <v>2332.634</v>
      </c>
      <c r="V10" s="1675">
        <f>'New split'!I284+'New split'!I291+'New split'!I301+'New split'!I303</f>
        <v>2700.7249999999999</v>
      </c>
      <c r="W10" s="1675">
        <f>'New split'!J284+'New split'!J291+'New split'!J301+'New split'!J303</f>
        <v>2624</v>
      </c>
      <c r="X10" s="1675">
        <f>'New split'!K284+'New split'!K291+'New split'!K301+'New split'!K303</f>
        <v>2768</v>
      </c>
      <c r="Y10" s="1675">
        <f>'New split'!L308-'New split'!L304</f>
        <v>2375.8026999999997</v>
      </c>
      <c r="Z10" s="1675">
        <f>'New split'!M308-'New split'!M304</f>
        <v>2440.7795000000001</v>
      </c>
      <c r="AA10" s="1675">
        <f ca="1">'New split'!N308-'New split'!N304</f>
        <v>2850.1398000000004</v>
      </c>
      <c r="AB10" s="1675">
        <f>'New split'!O308-'New split'!O304</f>
        <v>2531.685419914671</v>
      </c>
      <c r="AC10" s="1675">
        <f>'New split'!P308-'New split'!P304</f>
        <v>2546.1990022089599</v>
      </c>
      <c r="AD10" s="1675">
        <f>'New split'!Q308-'New split'!Q304</f>
        <v>2611.0081072440548</v>
      </c>
      <c r="AE10" s="1675">
        <f>'New split'!R308-'New split'!R304</f>
        <v>2681.4814825398967</v>
      </c>
      <c r="AF10" s="1675">
        <f>'New split'!S308-'New split'!S304</f>
        <v>2755.2274230211528</v>
      </c>
      <c r="AG10" s="1675">
        <f>'New split'!T308-'New split'!T304</f>
        <v>2825.7831928277733</v>
      </c>
      <c r="AH10" s="1293"/>
      <c r="AI10" s="1293"/>
      <c r="AJ10" s="1293"/>
      <c r="AK10" s="1293"/>
      <c r="AL10" s="1293"/>
      <c r="AM10" s="1293"/>
      <c r="AN10" s="1293"/>
      <c r="AO10" s="1293"/>
      <c r="AP10" s="1293"/>
      <c r="AQ10" s="1293"/>
      <c r="AR10" s="1293"/>
      <c r="AS10" s="1293"/>
    </row>
    <row r="11" spans="1:45" ht="15.75">
      <c r="A11" s="1653" t="s">
        <v>2261</v>
      </c>
      <c r="B11" s="1653"/>
      <c r="C11" s="1653"/>
      <c r="D11" s="1675"/>
      <c r="E11" s="1675"/>
      <c r="F11" s="1675">
        <f t="shared" ref="F11:M11" si="3">F288</f>
        <v>-25.454999999999998</v>
      </c>
      <c r="G11" s="1675">
        <f t="shared" si="3"/>
        <v>-26.244</v>
      </c>
      <c r="H11" s="1675">
        <f t="shared" si="3"/>
        <v>-23.137</v>
      </c>
      <c r="I11" s="1675">
        <f t="shared" si="3"/>
        <v>-37.6</v>
      </c>
      <c r="J11" s="1675">
        <f t="shared" si="3"/>
        <v>-49.6</v>
      </c>
      <c r="K11" s="1675">
        <f t="shared" si="3"/>
        <v>-61.4</v>
      </c>
      <c r="L11" s="1675">
        <f t="shared" si="3"/>
        <v>-65.58</v>
      </c>
      <c r="M11" s="1675">
        <f t="shared" si="3"/>
        <v>-105.6</v>
      </c>
      <c r="N11" s="1713"/>
      <c r="O11" s="1713"/>
      <c r="P11" s="1713"/>
      <c r="Q11" s="1675">
        <f>'New split'!D304</f>
        <v>-258</v>
      </c>
      <c r="R11" s="1675">
        <f>'New split'!E304</f>
        <v>-204</v>
      </c>
      <c r="S11" s="1675">
        <f>'New split'!F304</f>
        <v>-165</v>
      </c>
      <c r="T11" s="1675">
        <f>'New split'!G304</f>
        <v>-147.67599999999999</v>
      </c>
      <c r="U11" s="1675">
        <f>'New split'!H304</f>
        <v>-150.63400000000001</v>
      </c>
      <c r="V11" s="1675">
        <f>'New split'!I304</f>
        <v>-150.72500000000002</v>
      </c>
      <c r="W11" s="1675">
        <f>'New split'!J304</f>
        <v>-139</v>
      </c>
      <c r="X11" s="1675">
        <f>'New split'!K304</f>
        <v>-155</v>
      </c>
      <c r="Y11" s="1675">
        <f>'New split'!L304</f>
        <v>-147.66770000000002</v>
      </c>
      <c r="Z11" s="1675">
        <f>'New split'!M304</f>
        <v>-225.49399999999997</v>
      </c>
      <c r="AA11" s="1675">
        <f ca="1">'New split'!N304</f>
        <v>-225.49399999999997</v>
      </c>
      <c r="AB11" s="1675">
        <f>'New split'!O304</f>
        <v>-150</v>
      </c>
      <c r="AC11" s="1675">
        <f>'New split'!P304</f>
        <v>-150</v>
      </c>
      <c r="AD11" s="1675">
        <f>'New split'!Q304</f>
        <v>-150</v>
      </c>
      <c r="AE11" s="1675">
        <f>'New split'!R304</f>
        <v>-150</v>
      </c>
      <c r="AF11" s="1675">
        <f>'New split'!S304</f>
        <v>-150</v>
      </c>
      <c r="AG11" s="1675">
        <f>'New split'!T304</f>
        <v>-150</v>
      </c>
      <c r="AH11" s="1293"/>
      <c r="AI11" s="1293"/>
      <c r="AJ11" s="1293"/>
      <c r="AK11" s="1293"/>
      <c r="AL11" s="1293"/>
      <c r="AM11" s="1293"/>
      <c r="AN11" s="1293"/>
      <c r="AO11" s="1293"/>
      <c r="AP11" s="1293"/>
      <c r="AQ11" s="1293"/>
      <c r="AR11" s="1293"/>
      <c r="AS11" s="1293"/>
    </row>
    <row r="12" spans="1:45" ht="15.75">
      <c r="A12" s="1684" t="s">
        <v>8513</v>
      </c>
      <c r="B12" s="1653"/>
      <c r="C12" s="1653"/>
      <c r="D12" s="1675"/>
      <c r="E12" s="1675"/>
      <c r="F12" s="1675"/>
      <c r="G12" s="1675"/>
      <c r="H12" s="1675"/>
      <c r="I12" s="1675"/>
      <c r="J12" s="1675"/>
      <c r="K12" s="1675"/>
      <c r="L12" s="1675"/>
      <c r="M12" s="1675"/>
      <c r="N12" s="1713"/>
      <c r="O12" s="1713"/>
      <c r="P12" s="1713"/>
      <c r="Q12" s="1713">
        <f t="shared" ref="Q12:AG12" si="4">Q10+Q11</f>
        <v>2093.3211117787241</v>
      </c>
      <c r="R12" s="1713">
        <f t="shared" si="4"/>
        <v>2178.1466739039001</v>
      </c>
      <c r="S12" s="1713">
        <f t="shared" si="4"/>
        <v>2171.4594493655409</v>
      </c>
      <c r="T12" s="1713">
        <f t="shared" si="4"/>
        <v>2200</v>
      </c>
      <c r="U12" s="1713">
        <f t="shared" si="4"/>
        <v>2182</v>
      </c>
      <c r="V12" s="1713">
        <f t="shared" si="4"/>
        <v>2550</v>
      </c>
      <c r="W12" s="1713">
        <f t="shared" si="4"/>
        <v>2485</v>
      </c>
      <c r="X12" s="1713">
        <f t="shared" si="4"/>
        <v>2613</v>
      </c>
      <c r="Y12" s="1713">
        <f t="shared" si="4"/>
        <v>2228.1349999999998</v>
      </c>
      <c r="Z12" s="1713">
        <f t="shared" si="4"/>
        <v>2215.2855</v>
      </c>
      <c r="AA12" s="1713">
        <f t="shared" ca="1" si="4"/>
        <v>2624.6458000000002</v>
      </c>
      <c r="AB12" s="1713">
        <f t="shared" si="4"/>
        <v>2381.685419914671</v>
      </c>
      <c r="AC12" s="1713">
        <f t="shared" si="4"/>
        <v>2396.1990022089599</v>
      </c>
      <c r="AD12" s="1713">
        <f t="shared" si="4"/>
        <v>2461.0081072440548</v>
      </c>
      <c r="AE12" s="1713">
        <f t="shared" si="4"/>
        <v>2531.4814825398967</v>
      </c>
      <c r="AF12" s="1713">
        <f t="shared" si="4"/>
        <v>2605.2274230211528</v>
      </c>
      <c r="AG12" s="1713">
        <f t="shared" si="4"/>
        <v>2675.7831928277733</v>
      </c>
      <c r="AH12" s="1293"/>
      <c r="AI12" s="1293"/>
      <c r="AJ12" s="1293"/>
      <c r="AK12" s="1293"/>
      <c r="AL12" s="1293"/>
      <c r="AM12" s="1293"/>
      <c r="AN12" s="1293"/>
      <c r="AO12" s="1293"/>
      <c r="AP12" s="1293"/>
      <c r="AQ12" s="1293"/>
      <c r="AR12" s="1293"/>
      <c r="AS12" s="1293"/>
    </row>
    <row r="13" spans="1:45" ht="15.75">
      <c r="A13" s="1675" t="s">
        <v>4548</v>
      </c>
      <c r="B13" s="1675"/>
      <c r="C13" s="1653"/>
      <c r="D13" s="1675"/>
      <c r="E13" s="1653"/>
      <c r="F13" s="1895">
        <v>0</v>
      </c>
      <c r="G13" s="1895">
        <v>0</v>
      </c>
      <c r="H13" s="1895">
        <v>0</v>
      </c>
      <c r="I13" s="1895">
        <v>0</v>
      </c>
      <c r="J13" s="1895">
        <v>5</v>
      </c>
      <c r="K13" s="1895">
        <v>0</v>
      </c>
      <c r="L13" s="1895">
        <v>0</v>
      </c>
      <c r="M13" s="1895">
        <v>0</v>
      </c>
      <c r="N13" s="1713"/>
      <c r="O13" s="1713"/>
      <c r="P13" s="1713"/>
      <c r="Q13" s="1666">
        <f>'New split'!D307</f>
        <v>16.199999999999818</v>
      </c>
      <c r="R13" s="1666">
        <f>'New split'!E307</f>
        <v>87.484270327639479</v>
      </c>
      <c r="S13" s="1666">
        <f>'New split'!F307</f>
        <v>54.040550634459009</v>
      </c>
      <c r="T13" s="1666">
        <f>'New split'!G307</f>
        <v>-19</v>
      </c>
      <c r="U13" s="1666">
        <f>'New split'!H307</f>
        <v>0</v>
      </c>
      <c r="V13" s="1666">
        <f>'New split'!I307</f>
        <v>0</v>
      </c>
      <c r="W13" s="1666">
        <f>'New split'!J307</f>
        <v>156</v>
      </c>
      <c r="X13" s="1666">
        <f>'New split'!K307</f>
        <v>0</v>
      </c>
      <c r="Y13" s="1666">
        <f>'New split'!L307</f>
        <v>0</v>
      </c>
      <c r="Z13" s="1666">
        <f>'New split'!M307</f>
        <v>104</v>
      </c>
      <c r="AA13" s="1666">
        <f>'New split'!N307</f>
        <v>156</v>
      </c>
      <c r="AB13" s="1666">
        <f>'New split'!O307</f>
        <v>0</v>
      </c>
      <c r="AC13" s="1666">
        <f>'New split'!P307</f>
        <v>0</v>
      </c>
      <c r="AD13" s="1666">
        <f>'New split'!Q307</f>
        <v>0</v>
      </c>
      <c r="AE13" s="1666">
        <f>'New split'!R307</f>
        <v>0</v>
      </c>
      <c r="AF13" s="1666">
        <f>'New split'!S307</f>
        <v>0</v>
      </c>
      <c r="AG13" s="1666">
        <f>'New split'!T307</f>
        <v>0</v>
      </c>
      <c r="AH13" s="1293"/>
      <c r="AI13" s="1293"/>
      <c r="AJ13" s="1293"/>
      <c r="AK13" s="1293"/>
      <c r="AL13" s="1293"/>
      <c r="AM13" s="1293"/>
      <c r="AN13" s="1293"/>
      <c r="AO13" s="1293"/>
      <c r="AP13" s="1293"/>
      <c r="AQ13" s="1293"/>
      <c r="AR13" s="1293"/>
      <c r="AS13" s="1293"/>
    </row>
    <row r="14" spans="1:45" ht="15.75">
      <c r="A14" s="2530" t="s">
        <v>360</v>
      </c>
      <c r="B14" s="2530"/>
      <c r="C14" s="2529"/>
      <c r="D14" s="2530"/>
      <c r="E14" s="2529"/>
      <c r="F14" s="2530" t="e">
        <f>#REF!+F11</f>
        <v>#REF!</v>
      </c>
      <c r="G14" s="2530" t="e">
        <f>#REF!+G11</f>
        <v>#REF!</v>
      </c>
      <c r="H14" s="2530" t="e">
        <f>#REF!+H11</f>
        <v>#REF!</v>
      </c>
      <c r="I14" s="2530" t="e">
        <f>#REF!+I11</f>
        <v>#REF!</v>
      </c>
      <c r="J14" s="2530" t="e">
        <f>#REF!+J11</f>
        <v>#REF!</v>
      </c>
      <c r="K14" s="2530" t="e">
        <f>#REF!+K11</f>
        <v>#REF!</v>
      </c>
      <c r="L14" s="2530" t="e">
        <f>#REF!+L11</f>
        <v>#REF!</v>
      </c>
      <c r="M14" s="2530" t="e">
        <f>#REF!+M11</f>
        <v>#REF!</v>
      </c>
      <c r="N14" s="2530"/>
      <c r="O14" s="2530"/>
      <c r="P14" s="2530"/>
      <c r="Q14" s="2530">
        <f t="shared" ref="Q14:Y14" si="5">Q12+Q13</f>
        <v>2109.5211117787239</v>
      </c>
      <c r="R14" s="2530">
        <f t="shared" si="5"/>
        <v>2265.6309442315396</v>
      </c>
      <c r="S14" s="2530">
        <f t="shared" si="5"/>
        <v>2225.5</v>
      </c>
      <c r="T14" s="2530">
        <f t="shared" si="5"/>
        <v>2181</v>
      </c>
      <c r="U14" s="2530">
        <f t="shared" si="5"/>
        <v>2182</v>
      </c>
      <c r="V14" s="2530">
        <f t="shared" si="5"/>
        <v>2550</v>
      </c>
      <c r="W14" s="2530">
        <f t="shared" si="5"/>
        <v>2641</v>
      </c>
      <c r="X14" s="2530">
        <f t="shared" si="5"/>
        <v>2613</v>
      </c>
      <c r="Y14" s="2530">
        <f t="shared" si="5"/>
        <v>2228.1349999999998</v>
      </c>
      <c r="Z14" s="2530">
        <f t="shared" ref="Z14:AG14" si="6">Z12-Z13</f>
        <v>2111.2855</v>
      </c>
      <c r="AA14" s="2530">
        <f t="shared" ca="1" si="6"/>
        <v>2468.6458000000002</v>
      </c>
      <c r="AB14" s="2530">
        <f t="shared" si="6"/>
        <v>2381.685419914671</v>
      </c>
      <c r="AC14" s="2530">
        <f t="shared" si="6"/>
        <v>2396.1990022089599</v>
      </c>
      <c r="AD14" s="2530">
        <f t="shared" si="6"/>
        <v>2461.0081072440548</v>
      </c>
      <c r="AE14" s="2530">
        <f t="shared" si="6"/>
        <v>2531.4814825398967</v>
      </c>
      <c r="AF14" s="2530">
        <f t="shared" si="6"/>
        <v>2605.2274230211528</v>
      </c>
      <c r="AG14" s="2530">
        <f t="shared" si="6"/>
        <v>2675.7831928277733</v>
      </c>
      <c r="AH14" s="1293"/>
      <c r="AI14" s="1293"/>
      <c r="AJ14" s="1293"/>
      <c r="AK14" s="1293"/>
      <c r="AL14" s="1293"/>
      <c r="AM14" s="1293"/>
      <c r="AN14" s="1293"/>
      <c r="AO14" s="1293"/>
      <c r="AP14" s="1293"/>
      <c r="AQ14" s="1293"/>
      <c r="AR14" s="1293"/>
      <c r="AS14" s="1293"/>
    </row>
    <row r="15" spans="1:45" ht="15.75">
      <c r="A15" s="1899" t="s">
        <v>2353</v>
      </c>
      <c r="B15" s="1899"/>
      <c r="C15" s="1900"/>
      <c r="D15" s="1899"/>
      <c r="E15" s="1900"/>
      <c r="F15" s="1899"/>
      <c r="G15" s="1901" t="e">
        <f t="shared" ref="G15:M15" si="7">G14/F14-1</f>
        <v>#REF!</v>
      </c>
      <c r="H15" s="1901" t="e">
        <f t="shared" si="7"/>
        <v>#REF!</v>
      </c>
      <c r="I15" s="1901" t="e">
        <f t="shared" si="7"/>
        <v>#REF!</v>
      </c>
      <c r="J15" s="1901" t="e">
        <f t="shared" si="7"/>
        <v>#REF!</v>
      </c>
      <c r="K15" s="1901" t="e">
        <f t="shared" si="7"/>
        <v>#REF!</v>
      </c>
      <c r="L15" s="1901" t="e">
        <f t="shared" si="7"/>
        <v>#REF!</v>
      </c>
      <c r="M15" s="1901" t="e">
        <f t="shared" si="7"/>
        <v>#REF!</v>
      </c>
      <c r="N15" s="1901"/>
      <c r="O15" s="1901"/>
      <c r="P15" s="1901"/>
      <c r="Q15" s="1901"/>
      <c r="R15" s="1901">
        <f t="shared" ref="R15:AG15" si="8">R14/Q14-1</f>
        <v>7.4002498283217255E-2</v>
      </c>
      <c r="S15" s="1901">
        <f t="shared" si="8"/>
        <v>-1.7712922015704291E-2</v>
      </c>
      <c r="T15" s="1901">
        <f t="shared" si="8"/>
        <v>-1.9995506627724091E-2</v>
      </c>
      <c r="U15" s="1901">
        <f t="shared" si="8"/>
        <v>4.5850527281054987E-4</v>
      </c>
      <c r="V15" s="1901">
        <f t="shared" si="8"/>
        <v>0.16865261228230977</v>
      </c>
      <c r="W15" s="1901">
        <f t="shared" si="8"/>
        <v>3.5686274509803884E-2</v>
      </c>
      <c r="X15" s="1901">
        <f t="shared" si="8"/>
        <v>-1.0602044680045442E-2</v>
      </c>
      <c r="Y15" s="1901">
        <f t="shared" si="8"/>
        <v>-0.14728855721393042</v>
      </c>
      <c r="Z15" s="1901">
        <f t="shared" si="8"/>
        <v>-5.2442737984906618E-2</v>
      </c>
      <c r="AA15" s="1901">
        <f t="shared" ca="1" si="8"/>
        <v>0.1692619496510539</v>
      </c>
      <c r="AB15" s="1901">
        <f t="shared" ca="1" si="8"/>
        <v>-3.5225944558481936E-2</v>
      </c>
      <c r="AC15" s="1901">
        <f t="shared" si="8"/>
        <v>6.093828417864211E-3</v>
      </c>
      <c r="AD15" s="1901">
        <f t="shared" si="8"/>
        <v>2.7046628838151676E-2</v>
      </c>
      <c r="AE15" s="1901">
        <f t="shared" si="8"/>
        <v>2.8635978519697458E-2</v>
      </c>
      <c r="AF15" s="1901">
        <f t="shared" si="8"/>
        <v>2.9131534632939493E-2</v>
      </c>
      <c r="AG15" s="1901">
        <f t="shared" si="8"/>
        <v>2.7082384126296599E-2</v>
      </c>
      <c r="AH15" s="1293"/>
      <c r="AI15" s="1293"/>
      <c r="AJ15" s="1293"/>
      <c r="AK15" s="1293"/>
      <c r="AL15" s="1293"/>
      <c r="AM15" s="1293"/>
      <c r="AN15" s="1293"/>
      <c r="AO15" s="1293"/>
      <c r="AP15" s="1293"/>
      <c r="AQ15" s="1293"/>
      <c r="AR15" s="1293"/>
      <c r="AS15" s="1293"/>
    </row>
    <row r="16" spans="1:45" ht="15.75">
      <c r="A16" s="1684" t="s">
        <v>1434</v>
      </c>
      <c r="B16" s="1684"/>
      <c r="C16" s="1684"/>
      <c r="D16" s="1713"/>
      <c r="E16" s="1684"/>
      <c r="F16" s="1715" t="e">
        <f t="shared" ref="F16:M16" si="9">F14/F5</f>
        <v>#REF!</v>
      </c>
      <c r="G16" s="1715" t="e">
        <f t="shared" si="9"/>
        <v>#REF!</v>
      </c>
      <c r="H16" s="1715" t="e">
        <f t="shared" si="9"/>
        <v>#REF!</v>
      </c>
      <c r="I16" s="1715" t="e">
        <f t="shared" si="9"/>
        <v>#REF!</v>
      </c>
      <c r="J16" s="1715" t="e">
        <f t="shared" si="9"/>
        <v>#REF!</v>
      </c>
      <c r="K16" s="1715" t="e">
        <f t="shared" si="9"/>
        <v>#REF!</v>
      </c>
      <c r="L16" s="1715" t="e">
        <f t="shared" si="9"/>
        <v>#REF!</v>
      </c>
      <c r="M16" s="1715" t="e">
        <f t="shared" si="9"/>
        <v>#REF!</v>
      </c>
      <c r="N16" s="1715"/>
      <c r="O16" s="1715"/>
      <c r="P16" s="1715"/>
      <c r="Q16" s="1715">
        <f t="shared" ref="Q16:AG16" si="10">Q14/Q5</f>
        <v>0.33033471608337422</v>
      </c>
      <c r="R16" s="1715">
        <f t="shared" si="10"/>
        <v>0.336639669802137</v>
      </c>
      <c r="S16" s="1715">
        <f t="shared" si="10"/>
        <v>0.35614371162059461</v>
      </c>
      <c r="T16" s="1715">
        <f t="shared" si="10"/>
        <v>0.35818689439973722</v>
      </c>
      <c r="U16" s="1715">
        <f t="shared" si="10"/>
        <v>0.36294078509647371</v>
      </c>
      <c r="V16" s="1715">
        <f t="shared" si="10"/>
        <v>0.4002511379689217</v>
      </c>
      <c r="W16" s="1715">
        <f t="shared" si="10"/>
        <v>0.42378048780487804</v>
      </c>
      <c r="X16" s="1715">
        <f t="shared" si="10"/>
        <v>0.39759586122945828</v>
      </c>
      <c r="Y16" s="1715">
        <f t="shared" si="10"/>
        <v>0.39614598908708809</v>
      </c>
      <c r="Z16" s="1715">
        <f t="shared" si="10"/>
        <v>0.37295274686451158</v>
      </c>
      <c r="AA16" s="1715">
        <f t="shared" ca="1" si="10"/>
        <v>0.42531625741317686</v>
      </c>
      <c r="AB16" s="1715">
        <f t="shared" si="10"/>
        <v>0.43115585716691501</v>
      </c>
      <c r="AC16" s="1715">
        <f t="shared" si="10"/>
        <v>0.42765953145289104</v>
      </c>
      <c r="AD16" s="1715">
        <f t="shared" si="10"/>
        <v>0.43196342530897036</v>
      </c>
      <c r="AE16" s="1715">
        <f t="shared" si="10"/>
        <v>0.43656586573715972</v>
      </c>
      <c r="AF16" s="1715">
        <f t="shared" si="10"/>
        <v>0.4429116713094447</v>
      </c>
      <c r="AG16" s="1715">
        <f t="shared" si="10"/>
        <v>0.44955992640730802</v>
      </c>
      <c r="AH16" s="1293"/>
      <c r="AI16" s="1293"/>
      <c r="AJ16" s="1293"/>
      <c r="AK16" s="1293"/>
      <c r="AL16" s="1293"/>
      <c r="AM16" s="1293"/>
      <c r="AN16" s="1293"/>
      <c r="AO16" s="1293"/>
      <c r="AP16" s="1293"/>
      <c r="AQ16" s="1293"/>
      <c r="AR16" s="1293"/>
      <c r="AS16" s="1293"/>
    </row>
    <row r="17" spans="1:45" ht="15.75">
      <c r="A17" s="1653" t="s">
        <v>5729</v>
      </c>
      <c r="B17" s="1684"/>
      <c r="C17" s="1684"/>
      <c r="D17" s="1713"/>
      <c r="E17" s="1684"/>
      <c r="F17" s="1715"/>
      <c r="G17" s="1715"/>
      <c r="H17" s="1715"/>
      <c r="I17" s="1715"/>
      <c r="J17" s="1715"/>
      <c r="K17" s="1715"/>
      <c r="L17" s="1715"/>
      <c r="M17" s="1715"/>
      <c r="N17" s="1715"/>
      <c r="O17" s="1715"/>
      <c r="P17" s="1715"/>
      <c r="Q17" s="1715"/>
      <c r="R17" s="1715"/>
      <c r="S17" s="1715"/>
      <c r="T17" s="1715"/>
      <c r="U17" s="1715"/>
      <c r="V17" s="1715"/>
      <c r="W17" s="1715"/>
      <c r="X17" s="1715"/>
      <c r="Y17" s="1715"/>
      <c r="Z17" s="1715"/>
      <c r="AA17" s="1715"/>
      <c r="AB17" s="1715"/>
      <c r="AC17" s="1715"/>
      <c r="AD17" s="1715"/>
      <c r="AE17" s="1715"/>
      <c r="AF17" s="1715"/>
      <c r="AG17" s="1715"/>
      <c r="AH17" s="1293"/>
      <c r="AI17" s="1293"/>
      <c r="AJ17" s="1293"/>
      <c r="AK17" s="1293"/>
      <c r="AL17" s="1293"/>
      <c r="AM17" s="1293"/>
      <c r="AN17" s="1293"/>
      <c r="AO17" s="1293"/>
      <c r="AP17" s="1293"/>
      <c r="AQ17" s="1293"/>
      <c r="AR17" s="1293"/>
      <c r="AS17" s="1293"/>
    </row>
    <row r="18" spans="1:45" ht="15.75">
      <c r="A18" s="1675"/>
      <c r="B18" s="1675"/>
      <c r="C18" s="1653"/>
      <c r="D18" s="1675"/>
      <c r="E18" s="1653"/>
      <c r="F18" s="1653"/>
      <c r="G18" s="1665"/>
      <c r="H18" s="1665" t="s">
        <v>1823</v>
      </c>
      <c r="I18" s="1675"/>
      <c r="J18" s="1675"/>
      <c r="K18" s="1688"/>
      <c r="L18" s="1715"/>
      <c r="M18" s="1715"/>
      <c r="N18" s="1327"/>
      <c r="O18" s="1665"/>
      <c r="P18" s="1898"/>
      <c r="Q18" s="1897"/>
      <c r="R18" s="1897"/>
      <c r="S18" s="1897"/>
      <c r="T18" s="1897"/>
      <c r="U18" s="1897"/>
      <c r="V18" s="1897"/>
      <c r="W18" s="1902"/>
      <c r="X18" s="1902"/>
      <c r="Y18" s="1903"/>
      <c r="Z18" s="1897"/>
      <c r="AA18" s="1897"/>
      <c r="AB18" s="1897"/>
      <c r="AC18" s="1897"/>
      <c r="AD18" s="1897"/>
      <c r="AE18" s="1897"/>
      <c r="AF18" s="1897"/>
      <c r="AG18" s="1897"/>
      <c r="AH18" s="1293"/>
      <c r="AI18" s="1293"/>
      <c r="AJ18" s="1293"/>
      <c r="AK18" s="1293"/>
      <c r="AL18" s="1293"/>
      <c r="AM18" s="1293"/>
      <c r="AN18" s="1293"/>
      <c r="AO18" s="1293"/>
      <c r="AP18" s="1293"/>
      <c r="AQ18" s="1293"/>
      <c r="AR18" s="1293"/>
      <c r="AS18" s="1293"/>
    </row>
    <row r="19" spans="1:45" ht="15.75">
      <c r="A19" s="1675" t="s">
        <v>8624</v>
      </c>
      <c r="B19" s="1675"/>
      <c r="C19" s="1653"/>
      <c r="D19" s="1675"/>
      <c r="E19" s="1653"/>
      <c r="F19" s="1653"/>
      <c r="G19" s="1665"/>
      <c r="H19" s="1665"/>
      <c r="I19" s="1675"/>
      <c r="J19" s="1675"/>
      <c r="K19" s="1688"/>
      <c r="L19" s="1715"/>
      <c r="M19" s="1715"/>
      <c r="N19" s="1327"/>
      <c r="O19" s="1665"/>
      <c r="P19" s="1898"/>
      <c r="Q19" s="1897"/>
      <c r="R19" s="1897"/>
      <c r="S19" s="1897"/>
      <c r="T19" s="1897"/>
      <c r="U19" s="1897"/>
      <c r="V19" s="1897"/>
      <c r="W19" s="1902"/>
      <c r="X19" s="1902"/>
      <c r="Y19" s="1675">
        <f>Y14-Y22</f>
        <v>292.13499999999976</v>
      </c>
      <c r="Z19" s="1675">
        <f>Z14-Z22</f>
        <v>299.28549999999996</v>
      </c>
      <c r="AA19" s="1675">
        <f ca="1">AA14-AA22</f>
        <v>326.64580000000024</v>
      </c>
      <c r="AB19" s="1717">
        <f ca="1">AA19*1.1</f>
        <v>359.31038000000029</v>
      </c>
      <c r="AC19" s="1717">
        <f ca="1">AB19*1.02</f>
        <v>366.49658760000028</v>
      </c>
      <c r="AD19" s="1717">
        <f ca="1">AC19*1.02</f>
        <v>373.82651935200028</v>
      </c>
      <c r="AE19" s="1717">
        <f ca="1">AD19*1.02</f>
        <v>381.30304973904026</v>
      </c>
      <c r="AF19" s="1717">
        <f ca="1">AE19*1.02</f>
        <v>388.92911073382106</v>
      </c>
      <c r="AG19" s="1717">
        <f ca="1">AF19*1.02</f>
        <v>396.70769294849748</v>
      </c>
      <c r="AH19" s="1293"/>
      <c r="AI19" s="1293"/>
      <c r="AJ19" s="1293"/>
      <c r="AK19" s="1293"/>
      <c r="AL19" s="1293"/>
      <c r="AM19" s="1293"/>
      <c r="AN19" s="1293"/>
      <c r="AO19" s="1293"/>
      <c r="AP19" s="1293"/>
      <c r="AQ19" s="1293"/>
      <c r="AR19" s="1293"/>
      <c r="AS19" s="1293"/>
    </row>
    <row r="20" spans="1:45" ht="15.75" hidden="1">
      <c r="A20" s="2552" t="s">
        <v>9185</v>
      </c>
      <c r="B20" s="1675"/>
      <c r="C20" s="1653"/>
      <c r="D20" s="1675"/>
      <c r="E20" s="1653"/>
      <c r="F20" s="1653"/>
      <c r="G20" s="1665"/>
      <c r="H20" s="1665"/>
      <c r="I20" s="1675"/>
      <c r="J20" s="1675"/>
      <c r="K20" s="1688"/>
      <c r="L20" s="1715"/>
      <c r="M20" s="1715"/>
      <c r="N20" s="1327"/>
      <c r="O20" s="1665"/>
      <c r="P20" s="1898"/>
      <c r="Q20" s="1897"/>
      <c r="R20" s="1897"/>
      <c r="S20" s="1897"/>
      <c r="T20" s="1897"/>
      <c r="U20" s="1897"/>
      <c r="V20" s="1897"/>
      <c r="W20" s="1902"/>
      <c r="X20" s="1902"/>
      <c r="Y20" s="1675">
        <f>Y495</f>
        <v>124</v>
      </c>
      <c r="Z20" s="1675">
        <f>Z495</f>
        <v>117</v>
      </c>
      <c r="AA20" s="1675">
        <f>AA495</f>
        <v>122</v>
      </c>
      <c r="AB20" s="1675">
        <f t="shared" ref="AB20:AG20" si="11">AB495</f>
        <v>125.05</v>
      </c>
      <c r="AC20" s="1675">
        <f t="shared" si="11"/>
        <v>128.17624999999998</v>
      </c>
      <c r="AD20" s="1675">
        <f t="shared" si="11"/>
        <v>131.38065624999999</v>
      </c>
      <c r="AE20" s="1675">
        <f t="shared" si="11"/>
        <v>134.66517265624998</v>
      </c>
      <c r="AF20" s="1675">
        <f t="shared" si="11"/>
        <v>138.03180197265621</v>
      </c>
      <c r="AG20" s="1675">
        <f t="shared" si="11"/>
        <v>141.48259702197259</v>
      </c>
      <c r="AH20" s="1293"/>
      <c r="AI20" s="1293"/>
      <c r="AJ20" s="1293"/>
      <c r="AK20" s="1293"/>
      <c r="AL20" s="1293"/>
      <c r="AM20" s="1293"/>
      <c r="AN20" s="1293"/>
      <c r="AO20" s="1293"/>
      <c r="AP20" s="1293"/>
      <c r="AQ20" s="1293"/>
      <c r="AR20" s="1293"/>
      <c r="AS20" s="1293"/>
    </row>
    <row r="21" spans="1:45" ht="15.75" hidden="1">
      <c r="A21" s="2552" t="s">
        <v>9186</v>
      </c>
      <c r="B21" s="1675"/>
      <c r="C21" s="1653"/>
      <c r="D21" s="1675"/>
      <c r="E21" s="1653"/>
      <c r="F21" s="1653"/>
      <c r="G21" s="1665"/>
      <c r="H21" s="1665"/>
      <c r="I21" s="1675"/>
      <c r="J21" s="1675"/>
      <c r="K21" s="1688"/>
      <c r="L21" s="1715"/>
      <c r="M21" s="1715"/>
      <c r="N21" s="1327"/>
      <c r="O21" s="1665"/>
      <c r="P21" s="1898"/>
      <c r="Q21" s="1897"/>
      <c r="R21" s="1897"/>
      <c r="S21" s="1897"/>
      <c r="T21" s="1897"/>
      <c r="U21" s="1897"/>
      <c r="V21" s="1897"/>
      <c r="W21" s="1902"/>
      <c r="X21" s="1902"/>
      <c r="Y21" s="1675">
        <f>Y19-Y20</f>
        <v>168.13499999999976</v>
      </c>
      <c r="Z21" s="1675">
        <f>Z19-Z20</f>
        <v>182.28549999999996</v>
      </c>
      <c r="AA21" s="1675">
        <f ca="1">AA19-AA20</f>
        <v>204.64580000000024</v>
      </c>
      <c r="AB21" s="1675">
        <f t="shared" ref="AB21:AG21" ca="1" si="12">AB19-AB20</f>
        <v>234.26038000000028</v>
      </c>
      <c r="AC21" s="1675">
        <f t="shared" ca="1" si="12"/>
        <v>238.3203376000003</v>
      </c>
      <c r="AD21" s="1675">
        <f t="shared" ca="1" si="12"/>
        <v>242.44586310200029</v>
      </c>
      <c r="AE21" s="1675">
        <f t="shared" ca="1" si="12"/>
        <v>246.63787708279028</v>
      </c>
      <c r="AF21" s="1675">
        <f t="shared" ca="1" si="12"/>
        <v>250.89730876116485</v>
      </c>
      <c r="AG21" s="1675">
        <f t="shared" ca="1" si="12"/>
        <v>255.22509592652489</v>
      </c>
      <c r="AH21" s="1293"/>
      <c r="AI21" s="1293"/>
      <c r="AJ21" s="1293"/>
      <c r="AK21" s="1293"/>
      <c r="AL21" s="1293"/>
      <c r="AM21" s="1293"/>
      <c r="AN21" s="1293"/>
      <c r="AO21" s="1293"/>
      <c r="AP21" s="1293"/>
      <c r="AQ21" s="1293"/>
      <c r="AR21" s="1293"/>
      <c r="AS21" s="1293"/>
    </row>
    <row r="22" spans="1:45" ht="15.75">
      <c r="A22" s="1713" t="s">
        <v>7865</v>
      </c>
      <c r="B22" s="1675"/>
      <c r="C22" s="1653"/>
      <c r="D22" s="1675"/>
      <c r="E22" s="1653"/>
      <c r="F22" s="1653"/>
      <c r="G22" s="1665"/>
      <c r="H22" s="1665"/>
      <c r="I22" s="1675"/>
      <c r="J22" s="1675"/>
      <c r="K22" s="1688"/>
      <c r="L22" s="1715"/>
      <c r="M22" s="1715"/>
      <c r="N22" s="1327"/>
      <c r="O22" s="1665"/>
      <c r="P22" s="1898"/>
      <c r="Q22" s="1897"/>
      <c r="R22" s="1897"/>
      <c r="S22" s="1897"/>
      <c r="T22" s="1897"/>
      <c r="U22" s="1897"/>
      <c r="V22" s="1897"/>
      <c r="W22" s="1902"/>
      <c r="X22" s="1902"/>
      <c r="Y22" s="2329">
        <v>1936</v>
      </c>
      <c r="Z22" s="2329">
        <v>1812</v>
      </c>
      <c r="AA22" s="2329">
        <v>2142</v>
      </c>
      <c r="AB22" s="1713">
        <f t="shared" ref="AB22:AG22" ca="1" si="13">AB12-AB19</f>
        <v>2022.3750399146707</v>
      </c>
      <c r="AC22" s="1713">
        <f t="shared" ca="1" si="13"/>
        <v>2029.7024146089595</v>
      </c>
      <c r="AD22" s="1713">
        <f t="shared" ca="1" si="13"/>
        <v>2087.1815878920547</v>
      </c>
      <c r="AE22" s="1713">
        <f t="shared" ca="1" si="13"/>
        <v>2150.1784328008562</v>
      </c>
      <c r="AF22" s="1713">
        <f t="shared" ca="1" si="13"/>
        <v>2216.298312287332</v>
      </c>
      <c r="AG22" s="1713">
        <f t="shared" ca="1" si="13"/>
        <v>2279.0754998792759</v>
      </c>
      <c r="AH22" s="1293"/>
      <c r="AI22" s="1293"/>
      <c r="AJ22" s="1293"/>
      <c r="AK22" s="1293"/>
      <c r="AL22" s="1293"/>
      <c r="AM22" s="1293"/>
      <c r="AN22" s="1293"/>
      <c r="AO22" s="1293"/>
      <c r="AP22" s="1293"/>
      <c r="AQ22" s="1293"/>
      <c r="AR22" s="1293"/>
      <c r="AS22" s="1293"/>
    </row>
    <row r="23" spans="1:45" ht="15.75">
      <c r="A23" s="1675" t="s">
        <v>1434</v>
      </c>
      <c r="B23" s="1675"/>
      <c r="C23" s="1653"/>
      <c r="D23" s="1675"/>
      <c r="E23" s="1653"/>
      <c r="F23" s="1653"/>
      <c r="G23" s="1665"/>
      <c r="H23" s="1665"/>
      <c r="I23" s="1675"/>
      <c r="J23" s="1675"/>
      <c r="K23" s="1688"/>
      <c r="L23" s="1688"/>
      <c r="M23" s="1688"/>
      <c r="N23" s="1327"/>
      <c r="O23" s="1665"/>
      <c r="P23" s="1905"/>
      <c r="Q23" s="1897"/>
      <c r="R23" s="1897"/>
      <c r="S23" s="1897"/>
      <c r="T23" s="1897"/>
      <c r="U23" s="1897"/>
      <c r="V23" s="1897"/>
      <c r="W23" s="1906"/>
      <c r="X23" s="1906"/>
      <c r="Y23" s="1715">
        <f t="shared" ref="Y23:AG23" si="14">Y22/Y5</f>
        <v>0.34420653814629842</v>
      </c>
      <c r="Z23" s="1715">
        <f t="shared" si="14"/>
        <v>0.32008479067302598</v>
      </c>
      <c r="AA23" s="1715">
        <f t="shared" si="14"/>
        <v>0.36903934269510225</v>
      </c>
      <c r="AB23" s="1715">
        <f t="shared" ca="1" si="14"/>
        <v>0.36610999780089498</v>
      </c>
      <c r="AC23" s="1715">
        <f t="shared" ca="1" si="14"/>
        <v>0.36224937195127571</v>
      </c>
      <c r="AD23" s="1715">
        <f t="shared" ca="1" si="14"/>
        <v>0.36634828844887618</v>
      </c>
      <c r="AE23" s="1715">
        <f t="shared" ca="1" si="14"/>
        <v>0.3708083647774742</v>
      </c>
      <c r="AF23" s="1715">
        <f t="shared" ca="1" si="14"/>
        <v>0.37679028745872123</v>
      </c>
      <c r="AG23" s="1715">
        <f t="shared" ca="1" si="14"/>
        <v>0.38290883086071209</v>
      </c>
      <c r="AH23" s="1293"/>
      <c r="AI23" s="1293"/>
      <c r="AJ23" s="1293"/>
      <c r="AK23" s="1293"/>
      <c r="AL23" s="1293"/>
      <c r="AM23" s="1293"/>
      <c r="AN23" s="1293"/>
      <c r="AO23" s="1293"/>
      <c r="AP23" s="1293"/>
      <c r="AQ23" s="1293"/>
      <c r="AR23" s="1293"/>
      <c r="AS23" s="1293"/>
    </row>
    <row r="24" spans="1:45" ht="15.75">
      <c r="A24" s="1675"/>
      <c r="B24" s="1675"/>
      <c r="C24" s="1653"/>
      <c r="D24" s="1675"/>
      <c r="E24" s="1653"/>
      <c r="F24" s="1653"/>
      <c r="G24" s="1665"/>
      <c r="H24" s="1665"/>
      <c r="I24" s="1675"/>
      <c r="J24" s="1675"/>
      <c r="K24" s="1688"/>
      <c r="L24" s="1715"/>
      <c r="M24" s="1715"/>
      <c r="N24" s="1327"/>
      <c r="O24" s="1665"/>
      <c r="P24" s="1898"/>
      <c r="Q24" s="1897"/>
      <c r="R24" s="1897"/>
      <c r="S24" s="1897"/>
      <c r="T24" s="1897"/>
      <c r="U24" s="1897"/>
      <c r="V24" s="1897"/>
      <c r="W24" s="1907"/>
      <c r="X24" s="1907"/>
      <c r="Y24" s="1902"/>
      <c r="Z24" s="1897"/>
      <c r="AA24" s="1897"/>
      <c r="AB24" s="1897"/>
      <c r="AC24" s="1897"/>
      <c r="AD24" s="1897"/>
      <c r="AE24" s="1897"/>
      <c r="AF24" s="1897"/>
      <c r="AG24" s="1897"/>
      <c r="AH24" s="1293"/>
      <c r="AI24" s="1293"/>
      <c r="AJ24" s="1293"/>
      <c r="AK24" s="1293"/>
      <c r="AL24" s="1293"/>
      <c r="AM24" s="1293"/>
      <c r="AN24" s="1293"/>
      <c r="AO24" s="1293"/>
      <c r="AP24" s="1293"/>
      <c r="AQ24" s="1293"/>
      <c r="AR24" s="1293"/>
      <c r="AS24" s="1293"/>
    </row>
    <row r="25" spans="1:45" ht="15.75">
      <c r="A25" s="1653" t="s">
        <v>388</v>
      </c>
      <c r="B25" s="1653"/>
      <c r="C25" s="1653"/>
      <c r="D25" s="1675"/>
      <c r="E25" s="1675"/>
      <c r="F25" s="1675">
        <f t="shared" ref="F25:AG25" si="15">F188</f>
        <v>-114.383</v>
      </c>
      <c r="G25" s="1675">
        <f t="shared" si="15"/>
        <v>-153.184</v>
      </c>
      <c r="H25" s="1675">
        <f t="shared" si="15"/>
        <v>-187.43799999999999</v>
      </c>
      <c r="I25" s="1675">
        <f t="shared" si="15"/>
        <v>-190</v>
      </c>
      <c r="J25" s="1675">
        <f t="shared" si="15"/>
        <v>-333.55</v>
      </c>
      <c r="K25" s="1675">
        <f t="shared" si="15"/>
        <v>-494.72662500000001</v>
      </c>
      <c r="L25" s="1675">
        <f t="shared" si="15"/>
        <v>-616.32212812499995</v>
      </c>
      <c r="M25" s="1675">
        <f t="shared" si="15"/>
        <v>-658.79796851562503</v>
      </c>
      <c r="N25" s="1675">
        <f t="shared" si="15"/>
        <v>-722.16312087695314</v>
      </c>
      <c r="O25" s="1675">
        <f t="shared" si="15"/>
        <v>-786.42588681118161</v>
      </c>
      <c r="P25" s="1675">
        <f t="shared" si="15"/>
        <v>-781</v>
      </c>
      <c r="Q25" s="1675">
        <f t="shared" si="15"/>
        <v>-919</v>
      </c>
      <c r="R25" s="1675">
        <f t="shared" si="15"/>
        <v>-780.69609665427515</v>
      </c>
      <c r="S25" s="1675">
        <f t="shared" si="15"/>
        <v>-945</v>
      </c>
      <c r="T25" s="1675">
        <f t="shared" si="15"/>
        <v>-924</v>
      </c>
      <c r="U25" s="1675">
        <f t="shared" si="15"/>
        <v>-961</v>
      </c>
      <c r="V25" s="1675">
        <f t="shared" si="15"/>
        <v>-1138</v>
      </c>
      <c r="W25" s="1675">
        <f t="shared" si="15"/>
        <v>-1209</v>
      </c>
      <c r="X25" s="1675">
        <f t="shared" si="15"/>
        <v>-1164</v>
      </c>
      <c r="Y25" s="1675">
        <f t="shared" si="15"/>
        <v>-999</v>
      </c>
      <c r="Z25" s="1675">
        <f t="shared" si="15"/>
        <v>-978</v>
      </c>
      <c r="AA25" s="1675">
        <f t="shared" si="15"/>
        <v>-916</v>
      </c>
      <c r="AB25" s="1675">
        <f t="shared" si="15"/>
        <v>-911.04</v>
      </c>
      <c r="AC25" s="1675">
        <f t="shared" si="15"/>
        <v>-557.1611062289245</v>
      </c>
      <c r="AD25" s="1675">
        <f t="shared" si="15"/>
        <v>-621.48397661185356</v>
      </c>
      <c r="AE25" s="1675">
        <f t="shared" si="15"/>
        <v>-664.12262670927396</v>
      </c>
      <c r="AF25" s="1675">
        <f t="shared" si="15"/>
        <v>-695.63734590872252</v>
      </c>
      <c r="AG25" s="1675">
        <f t="shared" si="15"/>
        <v>-717.72784186997865</v>
      </c>
      <c r="AH25" s="1293"/>
      <c r="AI25" s="1293"/>
      <c r="AJ25" s="1293"/>
      <c r="AK25" s="1293"/>
      <c r="AL25" s="1293"/>
      <c r="AM25" s="1293"/>
      <c r="AN25" s="1293"/>
      <c r="AO25" s="1293"/>
      <c r="AP25" s="1293"/>
      <c r="AQ25" s="1293"/>
      <c r="AR25" s="1293"/>
      <c r="AS25" s="1293"/>
    </row>
    <row r="26" spans="1:45" ht="15.75">
      <c r="A26" s="1653" t="s">
        <v>389</v>
      </c>
      <c r="B26" s="1653"/>
      <c r="C26" s="1653"/>
      <c r="D26" s="1675"/>
      <c r="E26" s="1675"/>
      <c r="F26" s="1675">
        <f t="shared" ref="F26:AG26" si="16">F241</f>
        <v>-7.4909999999999997</v>
      </c>
      <c r="G26" s="1675">
        <f t="shared" si="16"/>
        <v>-9.5679999999999996</v>
      </c>
      <c r="H26" s="1675">
        <f t="shared" si="16"/>
        <v>-31.152000000000001</v>
      </c>
      <c r="I26" s="1675">
        <f t="shared" si="16"/>
        <v>-39</v>
      </c>
      <c r="J26" s="1675">
        <f t="shared" si="16"/>
        <v>-21.45</v>
      </c>
      <c r="K26" s="1675">
        <f t="shared" si="16"/>
        <v>-21.273374999999998</v>
      </c>
      <c r="L26" s="1675">
        <f t="shared" si="16"/>
        <v>-19.677871874999997</v>
      </c>
      <c r="M26" s="1675">
        <f t="shared" si="16"/>
        <v>-18.202031484374999</v>
      </c>
      <c r="N26" s="1675">
        <f t="shared" si="16"/>
        <v>-16.836879123046874</v>
      </c>
      <c r="O26" s="1675">
        <f t="shared" si="16"/>
        <v>-15.574113188818355</v>
      </c>
      <c r="P26" s="1675">
        <f t="shared" si="16"/>
        <v>-153</v>
      </c>
      <c r="Q26" s="1675">
        <f t="shared" si="16"/>
        <v>-239</v>
      </c>
      <c r="R26" s="1675">
        <f t="shared" si="16"/>
        <v>-541.30390334572485</v>
      </c>
      <c r="S26" s="1675">
        <f t="shared" si="16"/>
        <v>-343</v>
      </c>
      <c r="T26" s="1675">
        <f t="shared" si="16"/>
        <v>-317</v>
      </c>
      <c r="U26" s="1675">
        <f t="shared" si="16"/>
        <v>-284</v>
      </c>
      <c r="V26" s="1675">
        <f t="shared" si="16"/>
        <v>-406</v>
      </c>
      <c r="W26" s="1675">
        <f t="shared" si="16"/>
        <v>-452</v>
      </c>
      <c r="X26" s="1675">
        <f t="shared" si="16"/>
        <v>-434</v>
      </c>
      <c r="Y26" s="1675">
        <f t="shared" si="16"/>
        <v>-345</v>
      </c>
      <c r="Z26" s="1675">
        <f t="shared" si="16"/>
        <v>-360</v>
      </c>
      <c r="AA26" s="1675">
        <f t="shared" si="16"/>
        <v>-318.61340000000001</v>
      </c>
      <c r="AB26" s="1675">
        <f t="shared" si="16"/>
        <v>-345.78</v>
      </c>
      <c r="AC26" s="1675">
        <f t="shared" si="16"/>
        <v>-349.62200000000007</v>
      </c>
      <c r="AD26" s="1675">
        <f t="shared" si="16"/>
        <v>-346.12578000000002</v>
      </c>
      <c r="AE26" s="1675">
        <f t="shared" si="16"/>
        <v>-336.05666639999998</v>
      </c>
      <c r="AF26" s="1675">
        <f t="shared" si="16"/>
        <v>-320.37402196800002</v>
      </c>
      <c r="AG26" s="1675">
        <f t="shared" si="16"/>
        <v>-300.16581442848008</v>
      </c>
      <c r="AH26" s="1293"/>
      <c r="AI26" s="1293"/>
      <c r="AJ26" s="1293"/>
      <c r="AK26" s="1293"/>
      <c r="AL26" s="1293"/>
      <c r="AM26" s="1293"/>
      <c r="AN26" s="1293"/>
      <c r="AO26" s="1293"/>
      <c r="AP26" s="1293"/>
      <c r="AQ26" s="1293"/>
      <c r="AR26" s="1293"/>
      <c r="AS26" s="1293"/>
    </row>
    <row r="27" spans="1:45" ht="15.75">
      <c r="A27" s="1653" t="s">
        <v>3337</v>
      </c>
      <c r="B27" s="1653"/>
      <c r="C27" s="1653"/>
      <c r="D27" s="1675"/>
      <c r="E27" s="1675"/>
      <c r="F27" s="1675">
        <f t="shared" ref="F27:M27" si="17">F197</f>
        <v>-6.4820000000000002</v>
      </c>
      <c r="G27" s="1675">
        <f t="shared" si="17"/>
        <v>-9.73</v>
      </c>
      <c r="H27" s="1675">
        <f t="shared" si="17"/>
        <v>-51.540999999999997</v>
      </c>
      <c r="I27" s="1675">
        <f t="shared" si="17"/>
        <v>4.1769999999999987</v>
      </c>
      <c r="J27" s="1675">
        <f t="shared" si="17"/>
        <v>-27</v>
      </c>
      <c r="K27" s="1675">
        <f t="shared" si="17"/>
        <v>-9</v>
      </c>
      <c r="L27" s="1675">
        <f t="shared" si="17"/>
        <v>-7.2</v>
      </c>
      <c r="M27" s="1675">
        <f t="shared" si="17"/>
        <v>-16.257000000000001</v>
      </c>
      <c r="N27" s="1675"/>
      <c r="O27" s="1675"/>
      <c r="P27" s="1675"/>
      <c r="Q27" s="1675">
        <f t="shared" ref="Q27:AG27" si="18">Q197</f>
        <v>-11</v>
      </c>
      <c r="R27" s="1675">
        <f t="shared" si="18"/>
        <v>-66</v>
      </c>
      <c r="S27" s="1675">
        <f t="shared" si="18"/>
        <v>-123</v>
      </c>
      <c r="T27" s="1675">
        <f t="shared" si="18"/>
        <v>0</v>
      </c>
      <c r="U27" s="1675">
        <f t="shared" si="18"/>
        <v>0</v>
      </c>
      <c r="V27" s="1675">
        <f t="shared" si="18"/>
        <v>0</v>
      </c>
      <c r="W27" s="1675">
        <f t="shared" si="18"/>
        <v>-18</v>
      </c>
      <c r="X27" s="1675">
        <f t="shared" si="18"/>
        <v>6</v>
      </c>
      <c r="Y27" s="1675">
        <f t="shared" si="18"/>
        <v>-2</v>
      </c>
      <c r="Z27" s="1675">
        <f t="shared" si="18"/>
        <v>10</v>
      </c>
      <c r="AA27" s="1675">
        <f t="shared" si="18"/>
        <v>54</v>
      </c>
      <c r="AB27" s="1675">
        <f t="shared" si="18"/>
        <v>0</v>
      </c>
      <c r="AC27" s="1675">
        <f t="shared" si="18"/>
        <v>0</v>
      </c>
      <c r="AD27" s="1675">
        <f t="shared" si="18"/>
        <v>0</v>
      </c>
      <c r="AE27" s="1675">
        <f t="shared" si="18"/>
        <v>0</v>
      </c>
      <c r="AF27" s="1675">
        <f t="shared" si="18"/>
        <v>0</v>
      </c>
      <c r="AG27" s="1675">
        <f t="shared" si="18"/>
        <v>0</v>
      </c>
      <c r="AH27" s="1293"/>
      <c r="AI27" s="1293"/>
      <c r="AJ27" s="1293"/>
      <c r="AK27" s="1293"/>
      <c r="AL27" s="1327"/>
      <c r="AM27" s="1293"/>
      <c r="AN27" s="1293"/>
      <c r="AO27" s="1293"/>
      <c r="AP27" s="1293"/>
      <c r="AQ27" s="1293"/>
      <c r="AR27" s="1293"/>
      <c r="AS27" s="1293"/>
    </row>
    <row r="28" spans="1:45" ht="15.75">
      <c r="A28" s="1653" t="s">
        <v>3459</v>
      </c>
      <c r="B28" s="1653"/>
      <c r="C28" s="1653"/>
      <c r="D28" s="1653"/>
      <c r="E28" s="1653"/>
      <c r="F28" s="1666">
        <f t="shared" ref="F28:AG28" si="19">F286</f>
        <v>0.38</v>
      </c>
      <c r="G28" s="1666">
        <f t="shared" si="19"/>
        <v>0.81399999999999995</v>
      </c>
      <c r="H28" s="1666">
        <f t="shared" si="19"/>
        <v>1.296</v>
      </c>
      <c r="I28" s="1666">
        <f t="shared" si="19"/>
        <v>1.4830000000000001</v>
      </c>
      <c r="J28" s="1666">
        <f t="shared" si="19"/>
        <v>4</v>
      </c>
      <c r="K28" s="1666">
        <f t="shared" si="19"/>
        <v>8.9</v>
      </c>
      <c r="L28" s="1666">
        <f t="shared" si="19"/>
        <v>2.2999999999999998</v>
      </c>
      <c r="M28" s="1666">
        <f t="shared" si="19"/>
        <v>-31.518999999999998</v>
      </c>
      <c r="N28" s="1666">
        <f t="shared" si="19"/>
        <v>0</v>
      </c>
      <c r="O28" s="1666">
        <f t="shared" si="19"/>
        <v>-23</v>
      </c>
      <c r="P28" s="1666">
        <f t="shared" si="19"/>
        <v>-7</v>
      </c>
      <c r="Q28" s="1666">
        <f t="shared" si="19"/>
        <v>55</v>
      </c>
      <c r="R28" s="1666">
        <f t="shared" si="19"/>
        <v>100</v>
      </c>
      <c r="S28" s="1666">
        <f t="shared" si="19"/>
        <v>-49</v>
      </c>
      <c r="T28" s="1666">
        <f t="shared" si="19"/>
        <v>-86</v>
      </c>
      <c r="U28" s="1666">
        <f t="shared" si="19"/>
        <v>-35</v>
      </c>
      <c r="V28" s="1666">
        <f t="shared" si="19"/>
        <v>-41</v>
      </c>
      <c r="W28" s="1666">
        <f t="shared" si="19"/>
        <v>-1</v>
      </c>
      <c r="X28" s="1666">
        <f t="shared" si="19"/>
        <v>-39</v>
      </c>
      <c r="Y28" s="1666">
        <f t="shared" si="19"/>
        <v>32</v>
      </c>
      <c r="Z28" s="1666">
        <f t="shared" si="19"/>
        <v>42</v>
      </c>
      <c r="AA28" s="1666">
        <f t="shared" si="19"/>
        <v>54</v>
      </c>
      <c r="AB28" s="1666">
        <f t="shared" si="19"/>
        <v>64.604846716329632</v>
      </c>
      <c r="AC28" s="1666">
        <f t="shared" si="19"/>
        <v>67.100332035230252</v>
      </c>
      <c r="AD28" s="1666">
        <f t="shared" si="19"/>
        <v>69.658441254023217</v>
      </c>
      <c r="AE28" s="1666">
        <f t="shared" si="19"/>
        <v>72.607805041101955</v>
      </c>
      <c r="AF28" s="1666">
        <f t="shared" si="19"/>
        <v>75.601595028514595</v>
      </c>
      <c r="AG28" s="1666">
        <f t="shared" si="19"/>
        <v>78.661670145373847</v>
      </c>
      <c r="AH28" s="1293"/>
      <c r="AI28" s="1293"/>
      <c r="AJ28" s="1293"/>
      <c r="AK28" s="1293"/>
      <c r="AL28" s="1293"/>
      <c r="AM28" s="1293"/>
      <c r="AN28" s="1293"/>
      <c r="AO28" s="1293"/>
      <c r="AP28" s="1293"/>
      <c r="AQ28" s="1293"/>
      <c r="AR28" s="1293"/>
      <c r="AS28" s="1293"/>
    </row>
    <row r="29" spans="1:45" ht="15.75">
      <c r="A29" s="1653" t="s">
        <v>2266</v>
      </c>
      <c r="B29" s="1653"/>
      <c r="C29" s="1653"/>
      <c r="D29" s="1675"/>
      <c r="E29" s="1675"/>
      <c r="F29" s="1675">
        <f t="shared" ref="F29:M29" si="20">F238+F290</f>
        <v>-6.6950000000000003</v>
      </c>
      <c r="G29" s="1675">
        <f t="shared" si="20"/>
        <v>-8.2420000000000009</v>
      </c>
      <c r="H29" s="1675">
        <f t="shared" si="20"/>
        <v>-3.0750000000000002</v>
      </c>
      <c r="I29" s="1675">
        <f t="shared" si="20"/>
        <v>-12.8</v>
      </c>
      <c r="J29" s="1675">
        <f t="shared" si="20"/>
        <v>-19.2</v>
      </c>
      <c r="K29" s="1675">
        <f t="shared" si="20"/>
        <v>-13.6</v>
      </c>
      <c r="L29" s="1675">
        <f t="shared" si="20"/>
        <v>-10</v>
      </c>
      <c r="M29" s="1675">
        <f t="shared" si="20"/>
        <v>-10</v>
      </c>
      <c r="N29" s="1675"/>
      <c r="O29" s="1675"/>
      <c r="P29" s="1675"/>
      <c r="Q29" s="1675">
        <f t="shared" ref="Q29:AG29" si="21">Q238+Q290</f>
        <v>0</v>
      </c>
      <c r="R29" s="1675">
        <f t="shared" si="21"/>
        <v>0</v>
      </c>
      <c r="S29" s="1675">
        <f t="shared" si="21"/>
        <v>0</v>
      </c>
      <c r="T29" s="1675">
        <f t="shared" si="21"/>
        <v>0</v>
      </c>
      <c r="U29" s="1675">
        <f t="shared" si="21"/>
        <v>0</v>
      </c>
      <c r="V29" s="1675">
        <f t="shared" si="21"/>
        <v>0</v>
      </c>
      <c r="W29" s="1675">
        <f t="shared" si="21"/>
        <v>0</v>
      </c>
      <c r="X29" s="1675">
        <f t="shared" si="21"/>
        <v>0</v>
      </c>
      <c r="Y29" s="1675">
        <f t="shared" si="21"/>
        <v>0</v>
      </c>
      <c r="Z29" s="1675">
        <f t="shared" si="21"/>
        <v>0</v>
      </c>
      <c r="AA29" s="1675">
        <f t="shared" si="21"/>
        <v>0</v>
      </c>
      <c r="AB29" s="1675">
        <f t="shared" si="21"/>
        <v>0</v>
      </c>
      <c r="AC29" s="1675">
        <f t="shared" si="21"/>
        <v>0</v>
      </c>
      <c r="AD29" s="1675">
        <f t="shared" si="21"/>
        <v>0</v>
      </c>
      <c r="AE29" s="1675">
        <f t="shared" si="21"/>
        <v>0</v>
      </c>
      <c r="AF29" s="1675">
        <f t="shared" si="21"/>
        <v>0</v>
      </c>
      <c r="AG29" s="1675">
        <f t="shared" si="21"/>
        <v>0</v>
      </c>
      <c r="AH29" s="1293"/>
      <c r="AI29" s="1293"/>
      <c r="AJ29" s="1293"/>
      <c r="AK29" s="1293"/>
      <c r="AL29" s="1293"/>
      <c r="AM29" s="1293"/>
      <c r="AN29" s="1293"/>
      <c r="AO29" s="1293"/>
      <c r="AP29" s="1293"/>
      <c r="AQ29" s="1293"/>
      <c r="AR29" s="1293"/>
      <c r="AS29" s="1293"/>
    </row>
    <row r="30" spans="1:45" ht="15.75">
      <c r="A30" s="2529" t="s">
        <v>392</v>
      </c>
      <c r="B30" s="2529"/>
      <c r="C30" s="2529"/>
      <c r="D30" s="2530"/>
      <c r="E30" s="2530"/>
      <c r="F30" s="2530" t="e">
        <f>#REF!+F11+F25+F26+F27+F29</f>
        <v>#REF!</v>
      </c>
      <c r="G30" s="2530" t="e">
        <f>#REF!+G11+G25+G26+G27+G29</f>
        <v>#REF!</v>
      </c>
      <c r="H30" s="2530" t="e">
        <f>#REF!+H11+H25+H26+H27+H29</f>
        <v>#REF!</v>
      </c>
      <c r="I30" s="2530" t="e">
        <f>#REF!+I11+I25+I26+I27+I29</f>
        <v>#REF!</v>
      </c>
      <c r="J30" s="2530" t="e">
        <f>#REF!+J11+J25+J26+J27+J29</f>
        <v>#REF!</v>
      </c>
      <c r="K30" s="2530" t="e">
        <f>#REF!+K11+K25+K26+K27+K29</f>
        <v>#REF!</v>
      </c>
      <c r="L30" s="2530" t="e">
        <f>#REF!+L11+L25+L26+L27+L29</f>
        <v>#REF!</v>
      </c>
      <c r="M30" s="2530" t="e">
        <f>#REF!+M11+M25+M26+M27+M29</f>
        <v>#REF!</v>
      </c>
      <c r="N30" s="2530"/>
      <c r="O30" s="2530"/>
      <c r="P30" s="2530"/>
      <c r="Q30" s="2530">
        <f t="shared" ref="Q30:AG30" si="22">Q14+Q25+Q26+Q27+Q28+Q29</f>
        <v>995.52111177872393</v>
      </c>
      <c r="R30" s="2530">
        <f t="shared" si="22"/>
        <v>977.63094423153962</v>
      </c>
      <c r="S30" s="2530">
        <f t="shared" si="22"/>
        <v>765.5</v>
      </c>
      <c r="T30" s="2530">
        <f t="shared" si="22"/>
        <v>854</v>
      </c>
      <c r="U30" s="2530">
        <f t="shared" si="22"/>
        <v>902</v>
      </c>
      <c r="V30" s="2530">
        <f t="shared" si="22"/>
        <v>965</v>
      </c>
      <c r="W30" s="2530">
        <f t="shared" si="22"/>
        <v>961</v>
      </c>
      <c r="X30" s="2530">
        <f t="shared" si="22"/>
        <v>982</v>
      </c>
      <c r="Y30" s="2530">
        <f t="shared" si="22"/>
        <v>914.13499999999976</v>
      </c>
      <c r="Z30" s="2530">
        <f t="shared" si="22"/>
        <v>825.28549999999996</v>
      </c>
      <c r="AA30" s="2530">
        <f t="shared" ca="1" si="22"/>
        <v>1342.0324000000003</v>
      </c>
      <c r="AB30" s="2530">
        <f t="shared" si="22"/>
        <v>1189.4702666310006</v>
      </c>
      <c r="AC30" s="2530">
        <f t="shared" si="22"/>
        <v>1556.5162280152656</v>
      </c>
      <c r="AD30" s="2530">
        <f t="shared" si="22"/>
        <v>1563.0567918862246</v>
      </c>
      <c r="AE30" s="2530">
        <f t="shared" si="22"/>
        <v>1603.9099944717248</v>
      </c>
      <c r="AF30" s="2530">
        <f t="shared" si="22"/>
        <v>1664.8176501729447</v>
      </c>
      <c r="AG30" s="2530">
        <f t="shared" si="22"/>
        <v>1736.5512066746885</v>
      </c>
      <c r="AH30" s="1293"/>
      <c r="AI30" s="1293"/>
      <c r="AJ30" s="1293"/>
      <c r="AK30" s="1293"/>
      <c r="AL30" s="1293"/>
      <c r="AM30" s="1293"/>
      <c r="AN30" s="1293"/>
      <c r="AO30" s="1293"/>
      <c r="AP30" s="1293"/>
      <c r="AQ30" s="1293"/>
      <c r="AR30" s="1293"/>
      <c r="AS30" s="1293"/>
    </row>
    <row r="31" spans="1:45" ht="15.75">
      <c r="A31" s="1653"/>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293"/>
      <c r="AI31" s="1293"/>
      <c r="AJ31" s="1293"/>
      <c r="AK31" s="1293"/>
      <c r="AL31" s="1293"/>
      <c r="AM31" s="1293"/>
      <c r="AN31" s="1293"/>
      <c r="AO31" s="1293"/>
      <c r="AP31" s="1293"/>
      <c r="AQ31" s="1293"/>
      <c r="AR31" s="1293"/>
      <c r="AS31" s="1293"/>
    </row>
    <row r="33" spans="1:45" ht="15.75">
      <c r="A33" s="1653" t="s">
        <v>2262</v>
      </c>
      <c r="B33" s="1653"/>
      <c r="C33" s="1653"/>
      <c r="D33" s="1653"/>
      <c r="E33" s="1653"/>
      <c r="F33" s="1675">
        <f t="shared" ref="F33:AG33" si="23">F292</f>
        <v>4.0469999999999997</v>
      </c>
      <c r="G33" s="1675">
        <f t="shared" si="23"/>
        <v>0.193</v>
      </c>
      <c r="H33" s="1675">
        <f t="shared" si="23"/>
        <v>2.4369999999999998</v>
      </c>
      <c r="I33" s="1675">
        <f t="shared" si="23"/>
        <v>8</v>
      </c>
      <c r="J33" s="1675">
        <f t="shared" si="23"/>
        <v>0</v>
      </c>
      <c r="K33" s="1675">
        <f t="shared" si="23"/>
        <v>0</v>
      </c>
      <c r="L33" s="1675">
        <f t="shared" si="23"/>
        <v>0</v>
      </c>
      <c r="M33" s="1675">
        <f t="shared" si="23"/>
        <v>0</v>
      </c>
      <c r="N33" s="1675">
        <f t="shared" si="23"/>
        <v>0</v>
      </c>
      <c r="O33" s="1675">
        <f t="shared" si="23"/>
        <v>0</v>
      </c>
      <c r="P33" s="1675">
        <f t="shared" si="23"/>
        <v>0</v>
      </c>
      <c r="Q33" s="1675">
        <f t="shared" si="23"/>
        <v>0</v>
      </c>
      <c r="R33" s="1675">
        <f t="shared" si="23"/>
        <v>0</v>
      </c>
      <c r="S33" s="1675">
        <f t="shared" si="23"/>
        <v>-1</v>
      </c>
      <c r="T33" s="1675">
        <f t="shared" si="23"/>
        <v>7</v>
      </c>
      <c r="U33" s="1675">
        <f t="shared" si="23"/>
        <v>0</v>
      </c>
      <c r="V33" s="1675">
        <f t="shared" si="23"/>
        <v>192</v>
      </c>
      <c r="W33" s="1675">
        <f t="shared" si="23"/>
        <v>-37</v>
      </c>
      <c r="X33" s="1675">
        <f t="shared" si="23"/>
        <v>666</v>
      </c>
      <c r="Y33" s="1675">
        <f t="shared" si="23"/>
        <v>0</v>
      </c>
      <c r="Z33" s="1675">
        <f t="shared" si="23"/>
        <v>-3</v>
      </c>
      <c r="AA33" s="1675">
        <f t="shared" si="23"/>
        <v>-1.2200000000000001E-2</v>
      </c>
      <c r="AB33" s="1675">
        <f t="shared" si="23"/>
        <v>0</v>
      </c>
      <c r="AC33" s="1675">
        <f t="shared" si="23"/>
        <v>0</v>
      </c>
      <c r="AD33" s="1675">
        <f t="shared" si="23"/>
        <v>0</v>
      </c>
      <c r="AE33" s="1675">
        <f t="shared" si="23"/>
        <v>0</v>
      </c>
      <c r="AF33" s="1675">
        <f t="shared" si="23"/>
        <v>0</v>
      </c>
      <c r="AG33" s="1675">
        <f t="shared" si="23"/>
        <v>0</v>
      </c>
      <c r="AH33" s="1293"/>
      <c r="AI33" s="1293"/>
      <c r="AJ33" s="1293"/>
      <c r="AK33" s="1293"/>
      <c r="AL33" s="1293"/>
      <c r="AM33" s="1293"/>
      <c r="AN33" s="1293"/>
      <c r="AO33" s="1293"/>
      <c r="AP33" s="1293"/>
      <c r="AQ33" s="1293"/>
      <c r="AR33" s="1293"/>
      <c r="AS33" s="1293"/>
    </row>
    <row r="34" spans="1:45" ht="15.75">
      <c r="A34" s="1653"/>
      <c r="B34" s="1653"/>
      <c r="C34" s="1653"/>
      <c r="D34" s="1653"/>
      <c r="E34" s="1653"/>
      <c r="F34" s="1675"/>
      <c r="G34" s="1675"/>
      <c r="H34" s="1675"/>
      <c r="I34" s="1675"/>
      <c r="J34" s="1675"/>
      <c r="K34" s="1675"/>
      <c r="L34" s="1675"/>
      <c r="M34" s="1675"/>
      <c r="N34" s="1675"/>
      <c r="O34" s="1675"/>
      <c r="P34" s="1675"/>
      <c r="Q34" s="1675"/>
      <c r="R34" s="1675"/>
      <c r="S34" s="1675"/>
      <c r="T34" s="1675"/>
      <c r="U34" s="1675"/>
      <c r="V34" s="1675"/>
      <c r="W34" s="1675"/>
      <c r="X34" s="1675"/>
      <c r="Y34" s="1675"/>
      <c r="Z34" s="1675"/>
      <c r="AA34" s="1675"/>
      <c r="AB34" s="1675"/>
      <c r="AC34" s="1675"/>
      <c r="AD34" s="1675"/>
      <c r="AE34" s="1675"/>
      <c r="AF34" s="1675"/>
      <c r="AG34" s="1675"/>
      <c r="AH34" s="1293"/>
      <c r="AI34" s="1293"/>
      <c r="AJ34" s="1293"/>
      <c r="AK34" s="1293"/>
      <c r="AL34" s="1293"/>
      <c r="AM34" s="1293"/>
      <c r="AN34" s="1293"/>
      <c r="AO34" s="1293"/>
      <c r="AP34" s="1293"/>
      <c r="AQ34" s="1293"/>
      <c r="AR34" s="1293"/>
      <c r="AS34" s="1293"/>
    </row>
    <row r="35" spans="1:45" ht="15.75">
      <c r="A35" s="1653" t="s">
        <v>2263</v>
      </c>
      <c r="B35" s="1653"/>
      <c r="C35" s="1653"/>
      <c r="D35" s="1653"/>
      <c r="E35" s="1653"/>
      <c r="F35" s="1675">
        <f t="shared" ref="F35:AG35" si="24">F276</f>
        <v>244.92599999999999</v>
      </c>
      <c r="G35" s="1675">
        <f t="shared" si="24"/>
        <v>-127.15800000000002</v>
      </c>
      <c r="H35" s="1675">
        <f t="shared" si="24"/>
        <v>-63.355999999999995</v>
      </c>
      <c r="I35" s="1675">
        <f t="shared" si="24"/>
        <v>-36</v>
      </c>
      <c r="J35" s="1675">
        <f t="shared" si="24"/>
        <v>0</v>
      </c>
      <c r="K35" s="1675">
        <f t="shared" si="24"/>
        <v>0</v>
      </c>
      <c r="L35" s="1675">
        <f t="shared" si="24"/>
        <v>0</v>
      </c>
      <c r="M35" s="1675">
        <f t="shared" si="24"/>
        <v>0</v>
      </c>
      <c r="N35" s="1675">
        <f t="shared" si="24"/>
        <v>0</v>
      </c>
      <c r="O35" s="1675">
        <f t="shared" si="24"/>
        <v>0</v>
      </c>
      <c r="P35" s="1675">
        <f t="shared" si="24"/>
        <v>0</v>
      </c>
      <c r="Q35" s="1675">
        <f t="shared" si="24"/>
        <v>0</v>
      </c>
      <c r="R35" s="1675">
        <f t="shared" si="24"/>
        <v>0</v>
      </c>
      <c r="S35" s="1675">
        <f t="shared" si="24"/>
        <v>0</v>
      </c>
      <c r="T35" s="1675">
        <f t="shared" si="24"/>
        <v>0</v>
      </c>
      <c r="U35" s="1675">
        <f t="shared" si="24"/>
        <v>0</v>
      </c>
      <c r="V35" s="1675">
        <f t="shared" si="24"/>
        <v>0</v>
      </c>
      <c r="W35" s="1675">
        <f t="shared" si="24"/>
        <v>0</v>
      </c>
      <c r="X35" s="1675">
        <f t="shared" si="24"/>
        <v>0</v>
      </c>
      <c r="Y35" s="1675">
        <f t="shared" si="24"/>
        <v>0</v>
      </c>
      <c r="Z35" s="1675">
        <f t="shared" si="24"/>
        <v>0</v>
      </c>
      <c r="AA35" s="1675">
        <f t="shared" si="24"/>
        <v>0</v>
      </c>
      <c r="AB35" s="1675">
        <f t="shared" si="24"/>
        <v>0</v>
      </c>
      <c r="AC35" s="1675">
        <f t="shared" si="24"/>
        <v>0</v>
      </c>
      <c r="AD35" s="1675">
        <f t="shared" si="24"/>
        <v>0</v>
      </c>
      <c r="AE35" s="1675">
        <f t="shared" si="24"/>
        <v>0</v>
      </c>
      <c r="AF35" s="1675">
        <f t="shared" si="24"/>
        <v>0</v>
      </c>
      <c r="AG35" s="1675">
        <f t="shared" si="24"/>
        <v>0</v>
      </c>
      <c r="AH35" s="1293"/>
      <c r="AI35" s="1293"/>
      <c r="AJ35" s="1293"/>
      <c r="AK35" s="1293"/>
      <c r="AL35" s="1293"/>
      <c r="AM35" s="1293"/>
      <c r="AN35" s="1293"/>
      <c r="AO35" s="1293"/>
      <c r="AP35" s="1293"/>
      <c r="AQ35" s="1293"/>
      <c r="AR35" s="1293"/>
      <c r="AS35" s="1293"/>
    </row>
    <row r="36" spans="1:45" ht="15.75">
      <c r="A36" s="1653" t="s">
        <v>2264</v>
      </c>
      <c r="B36" s="1653"/>
      <c r="C36" s="1653"/>
      <c r="D36" s="1653"/>
      <c r="E36" s="1653"/>
      <c r="F36" s="1675">
        <f t="shared" ref="F36:AG36" si="25">F294</f>
        <v>-84.578000000000003</v>
      </c>
      <c r="G36" s="1675">
        <f t="shared" si="25"/>
        <v>148.71199999999999</v>
      </c>
      <c r="H36" s="1675">
        <f t="shared" si="25"/>
        <v>-5.9780000000000015</v>
      </c>
      <c r="I36" s="1675">
        <f t="shared" si="25"/>
        <v>67</v>
      </c>
      <c r="J36" s="1675">
        <f t="shared" si="25"/>
        <v>0</v>
      </c>
      <c r="K36" s="1675">
        <f t="shared" si="25"/>
        <v>0</v>
      </c>
      <c r="L36" s="1675">
        <f t="shared" si="25"/>
        <v>0</v>
      </c>
      <c r="M36" s="1675">
        <f t="shared" si="25"/>
        <v>0</v>
      </c>
      <c r="N36" s="1675">
        <f t="shared" si="25"/>
        <v>0</v>
      </c>
      <c r="O36" s="1675">
        <f t="shared" si="25"/>
        <v>-6</v>
      </c>
      <c r="P36" s="1675">
        <f t="shared" si="25"/>
        <v>-19</v>
      </c>
      <c r="Q36" s="1675">
        <f t="shared" si="25"/>
        <v>211</v>
      </c>
      <c r="R36" s="1675">
        <f t="shared" si="25"/>
        <v>0</v>
      </c>
      <c r="S36" s="1675">
        <f t="shared" si="25"/>
        <v>0</v>
      </c>
      <c r="T36" s="1675">
        <f t="shared" si="25"/>
        <v>0</v>
      </c>
      <c r="U36" s="1675">
        <f t="shared" si="25"/>
        <v>0</v>
      </c>
      <c r="V36" s="1675">
        <f t="shared" si="25"/>
        <v>0</v>
      </c>
      <c r="W36" s="1675">
        <f t="shared" si="25"/>
        <v>0</v>
      </c>
      <c r="X36" s="1675">
        <f t="shared" si="25"/>
        <v>0</v>
      </c>
      <c r="Y36" s="1675">
        <f t="shared" si="25"/>
        <v>0</v>
      </c>
      <c r="Z36" s="1675">
        <f t="shared" si="25"/>
        <v>0</v>
      </c>
      <c r="AA36" s="1675">
        <f t="shared" si="25"/>
        <v>0</v>
      </c>
      <c r="AB36" s="1675">
        <f t="shared" si="25"/>
        <v>0</v>
      </c>
      <c r="AC36" s="1675">
        <f t="shared" si="25"/>
        <v>0</v>
      </c>
      <c r="AD36" s="1675">
        <f t="shared" si="25"/>
        <v>0</v>
      </c>
      <c r="AE36" s="1675">
        <f t="shared" si="25"/>
        <v>0</v>
      </c>
      <c r="AF36" s="1675">
        <f t="shared" si="25"/>
        <v>0</v>
      </c>
      <c r="AG36" s="1675">
        <f t="shared" si="25"/>
        <v>0</v>
      </c>
      <c r="AH36" s="1293"/>
      <c r="AI36" s="1293"/>
      <c r="AJ36" s="1293"/>
      <c r="AK36" s="1293"/>
      <c r="AL36" s="1293"/>
      <c r="AM36" s="1293"/>
      <c r="AN36" s="1293"/>
      <c r="AO36" s="1293"/>
      <c r="AP36" s="1293"/>
      <c r="AQ36" s="1293"/>
      <c r="AR36" s="1293"/>
      <c r="AS36" s="1293"/>
    </row>
    <row r="37" spans="1:45" ht="15.75">
      <c r="A37" s="1672" t="s">
        <v>2279</v>
      </c>
      <c r="B37" s="1672"/>
      <c r="C37" s="1672"/>
      <c r="D37" s="1672"/>
      <c r="E37" s="1672"/>
      <c r="F37" s="1705">
        <f t="shared" ref="F37:AG37" si="26">F296</f>
        <v>-45.601999999999997</v>
      </c>
      <c r="G37" s="1705">
        <f t="shared" si="26"/>
        <v>-26.795999999999999</v>
      </c>
      <c r="H37" s="1705">
        <f t="shared" si="26"/>
        <v>52.445999999999998</v>
      </c>
      <c r="I37" s="1705">
        <f t="shared" si="26"/>
        <v>-30</v>
      </c>
      <c r="J37" s="1705">
        <f t="shared" si="26"/>
        <v>10</v>
      </c>
      <c r="K37" s="1705">
        <f t="shared" si="26"/>
        <v>-55.6</v>
      </c>
      <c r="L37" s="1705">
        <f t="shared" si="26"/>
        <v>0</v>
      </c>
      <c r="M37" s="1705">
        <f t="shared" si="26"/>
        <v>0</v>
      </c>
      <c r="N37" s="1705">
        <f t="shared" si="26"/>
        <v>0</v>
      </c>
      <c r="O37" s="1705">
        <f t="shared" si="26"/>
        <v>28</v>
      </c>
      <c r="P37" s="1705">
        <f t="shared" si="26"/>
        <v>-111</v>
      </c>
      <c r="Q37" s="1705">
        <f t="shared" si="26"/>
        <v>2250</v>
      </c>
      <c r="R37" s="1705">
        <f t="shared" si="26"/>
        <v>-622</v>
      </c>
      <c r="S37" s="1705">
        <f t="shared" si="26"/>
        <v>1</v>
      </c>
      <c r="T37" s="1705">
        <f t="shared" si="26"/>
        <v>0</v>
      </c>
      <c r="U37" s="1705">
        <f t="shared" si="26"/>
        <v>0</v>
      </c>
      <c r="V37" s="1705">
        <f t="shared" si="26"/>
        <v>0</v>
      </c>
      <c r="W37" s="1705">
        <f t="shared" si="26"/>
        <v>-72</v>
      </c>
      <c r="X37" s="1705">
        <f t="shared" si="26"/>
        <v>-47</v>
      </c>
      <c r="Y37" s="1705">
        <f t="shared" si="26"/>
        <v>-78</v>
      </c>
      <c r="Z37" s="1705">
        <f t="shared" si="26"/>
        <v>36</v>
      </c>
      <c r="AA37" s="1705">
        <f t="shared" si="26"/>
        <v>-119</v>
      </c>
      <c r="AB37" s="1705">
        <f t="shared" si="26"/>
        <v>0</v>
      </c>
      <c r="AC37" s="1705">
        <f t="shared" si="26"/>
        <v>0</v>
      </c>
      <c r="AD37" s="1705">
        <f t="shared" si="26"/>
        <v>0</v>
      </c>
      <c r="AE37" s="1705">
        <f t="shared" si="26"/>
        <v>0</v>
      </c>
      <c r="AF37" s="1705">
        <f t="shared" si="26"/>
        <v>0</v>
      </c>
      <c r="AG37" s="1705">
        <f t="shared" si="26"/>
        <v>0</v>
      </c>
      <c r="AH37" s="1293"/>
      <c r="AI37" s="1293"/>
      <c r="AJ37" s="1293"/>
      <c r="AK37" s="1293"/>
      <c r="AL37" s="1293"/>
      <c r="AM37" s="1293"/>
      <c r="AN37" s="1293"/>
      <c r="AO37" s="1293"/>
      <c r="AP37" s="1293"/>
      <c r="AQ37" s="1293"/>
      <c r="AR37" s="1293"/>
      <c r="AS37" s="1293"/>
    </row>
    <row r="38" spans="1:45" ht="15.75">
      <c r="A38" s="1653" t="s">
        <v>688</v>
      </c>
      <c r="B38" s="1653"/>
      <c r="C38" s="1653"/>
      <c r="D38" s="1653"/>
      <c r="E38" s="1653"/>
      <c r="F38" s="1675">
        <f t="shared" ref="F38:AG38" si="27">SUM(F35:F37)</f>
        <v>114.74599999999998</v>
      </c>
      <c r="G38" s="1675">
        <f t="shared" si="27"/>
        <v>-5.2420000000000258</v>
      </c>
      <c r="H38" s="1675">
        <f t="shared" si="27"/>
        <v>-16.888000000000005</v>
      </c>
      <c r="I38" s="1675">
        <f t="shared" si="27"/>
        <v>1</v>
      </c>
      <c r="J38" s="1675">
        <f t="shared" si="27"/>
        <v>10</v>
      </c>
      <c r="K38" s="1675">
        <f t="shared" si="27"/>
        <v>-55.6</v>
      </c>
      <c r="L38" s="1675">
        <f t="shared" si="27"/>
        <v>0</v>
      </c>
      <c r="M38" s="1675">
        <f t="shared" si="27"/>
        <v>0</v>
      </c>
      <c r="N38" s="1675">
        <f t="shared" si="27"/>
        <v>0</v>
      </c>
      <c r="O38" s="1675">
        <f t="shared" si="27"/>
        <v>22</v>
      </c>
      <c r="P38" s="1675">
        <f t="shared" si="27"/>
        <v>-130</v>
      </c>
      <c r="Q38" s="1675">
        <f t="shared" si="27"/>
        <v>2461</v>
      </c>
      <c r="R38" s="1675">
        <f t="shared" si="27"/>
        <v>-622</v>
      </c>
      <c r="S38" s="1675">
        <f t="shared" si="27"/>
        <v>1</v>
      </c>
      <c r="T38" s="1675">
        <f t="shared" si="27"/>
        <v>0</v>
      </c>
      <c r="U38" s="1675">
        <f t="shared" si="27"/>
        <v>0</v>
      </c>
      <c r="V38" s="1675">
        <f t="shared" si="27"/>
        <v>0</v>
      </c>
      <c r="W38" s="1675">
        <f t="shared" si="27"/>
        <v>-72</v>
      </c>
      <c r="X38" s="1675">
        <f t="shared" si="27"/>
        <v>-47</v>
      </c>
      <c r="Y38" s="1675">
        <f t="shared" si="27"/>
        <v>-78</v>
      </c>
      <c r="Z38" s="1675">
        <f t="shared" si="27"/>
        <v>36</v>
      </c>
      <c r="AA38" s="1675">
        <f t="shared" si="27"/>
        <v>-119</v>
      </c>
      <c r="AB38" s="1675">
        <f t="shared" si="27"/>
        <v>0</v>
      </c>
      <c r="AC38" s="1675">
        <f t="shared" si="27"/>
        <v>0</v>
      </c>
      <c r="AD38" s="1675">
        <f t="shared" si="27"/>
        <v>0</v>
      </c>
      <c r="AE38" s="1675">
        <f t="shared" si="27"/>
        <v>0</v>
      </c>
      <c r="AF38" s="1675">
        <f t="shared" si="27"/>
        <v>0</v>
      </c>
      <c r="AG38" s="1675">
        <f t="shared" si="27"/>
        <v>0</v>
      </c>
      <c r="AH38" s="1293"/>
      <c r="AI38" s="1293"/>
      <c r="AJ38" s="1293"/>
      <c r="AK38" s="1293"/>
      <c r="AL38" s="1293"/>
      <c r="AM38" s="1293"/>
      <c r="AN38" s="1293"/>
      <c r="AO38" s="1293"/>
      <c r="AP38" s="1293"/>
      <c r="AQ38" s="1293"/>
      <c r="AR38" s="1293"/>
      <c r="AS38" s="1293"/>
    </row>
    <row r="39" spans="1:45" ht="15.75">
      <c r="A39" s="1653"/>
      <c r="B39" s="1653"/>
      <c r="C39" s="1653"/>
      <c r="D39" s="1653"/>
      <c r="E39" s="1653"/>
      <c r="F39" s="1653"/>
      <c r="G39" s="1653"/>
      <c r="H39" s="1675"/>
      <c r="I39" s="1653"/>
      <c r="J39" s="1653"/>
      <c r="K39" s="1653"/>
      <c r="L39" s="1653"/>
      <c r="M39" s="1653"/>
      <c r="N39" s="1653"/>
      <c r="O39" s="1653"/>
      <c r="P39" s="1653"/>
      <c r="Q39" s="1653"/>
      <c r="R39" s="1653"/>
      <c r="S39" s="1653"/>
      <c r="T39" s="1653"/>
      <c r="U39" s="1653"/>
      <c r="V39" s="1653"/>
      <c r="W39" s="1653"/>
      <c r="X39" s="1653"/>
      <c r="Y39" s="1653"/>
      <c r="Z39" s="1653"/>
      <c r="AA39" s="1653"/>
      <c r="AB39" s="1653"/>
      <c r="AC39" s="1653"/>
      <c r="AD39" s="1653"/>
      <c r="AE39" s="1653"/>
      <c r="AF39" s="1653"/>
      <c r="AG39" s="1653"/>
      <c r="AH39" s="1293"/>
      <c r="AI39" s="1293"/>
      <c r="AJ39" s="1293"/>
      <c r="AK39" s="1293"/>
      <c r="AL39" s="1293"/>
      <c r="AM39" s="1293"/>
      <c r="AN39" s="1293"/>
      <c r="AO39" s="1293"/>
      <c r="AP39" s="1293"/>
      <c r="AQ39" s="1293"/>
      <c r="AR39" s="1293"/>
      <c r="AS39" s="1293"/>
    </row>
    <row r="40" spans="1:45" ht="15.75">
      <c r="A40" s="1653" t="s">
        <v>9120</v>
      </c>
      <c r="B40" s="1653"/>
      <c r="C40" s="1653"/>
      <c r="D40" s="1675"/>
      <c r="E40" s="1675"/>
      <c r="F40" s="1675">
        <f t="shared" ref="F40:AA40" si="28">F399</f>
        <v>-33.587999999999994</v>
      </c>
      <c r="G40" s="1675">
        <f t="shared" si="28"/>
        <v>-100.724</v>
      </c>
      <c r="H40" s="1675">
        <f t="shared" si="28"/>
        <v>-112.42800000000001</v>
      </c>
      <c r="I40" s="1675">
        <f t="shared" si="28"/>
        <v>-87.584000000000003</v>
      </c>
      <c r="J40" s="1675">
        <f t="shared" si="28"/>
        <v>-138.01600000000002</v>
      </c>
      <c r="K40" s="1675">
        <f t="shared" si="28"/>
        <v>-116.1</v>
      </c>
      <c r="L40" s="1675">
        <f t="shared" si="28"/>
        <v>-168</v>
      </c>
      <c r="M40" s="1675">
        <f t="shared" si="28"/>
        <v>-200.05200000000002</v>
      </c>
      <c r="N40" s="1675">
        <f t="shared" si="28"/>
        <v>-172</v>
      </c>
      <c r="O40" s="1675">
        <f t="shared" si="28"/>
        <v>-206</v>
      </c>
      <c r="P40" s="1675">
        <f t="shared" si="28"/>
        <v>-258</v>
      </c>
      <c r="Q40" s="1675">
        <f t="shared" si="28"/>
        <v>-404</v>
      </c>
      <c r="R40" s="1675">
        <f t="shared" si="28"/>
        <v>-420</v>
      </c>
      <c r="S40" s="1675">
        <f t="shared" si="28"/>
        <v>-472</v>
      </c>
      <c r="T40" s="1675">
        <f t="shared" si="28"/>
        <v>-471</v>
      </c>
      <c r="U40" s="1675">
        <f t="shared" si="28"/>
        <v>-436</v>
      </c>
      <c r="V40" s="1675">
        <f t="shared" si="28"/>
        <v>-646</v>
      </c>
      <c r="W40" s="1675">
        <f t="shared" si="28"/>
        <v>-730</v>
      </c>
      <c r="X40" s="1675">
        <f t="shared" si="28"/>
        <v>-583</v>
      </c>
      <c r="Y40" s="1675">
        <f t="shared" si="28"/>
        <v>-599</v>
      </c>
      <c r="Z40" s="1675">
        <f t="shared" si="28"/>
        <v>-684</v>
      </c>
      <c r="AA40" s="1675">
        <f t="shared" si="28"/>
        <v>-670</v>
      </c>
      <c r="AB40" s="1675">
        <f ca="1">AB399</f>
        <v>-649.26354709684381</v>
      </c>
      <c r="AC40" s="1675">
        <f t="shared" ref="AC40:AG40" ca="1" si="29">AC399</f>
        <v>-648.90746562505342</v>
      </c>
      <c r="AD40" s="1675">
        <f t="shared" ca="1" si="29"/>
        <v>-672.10854802361166</v>
      </c>
      <c r="AE40" s="1675">
        <f t="shared" ca="1" si="29"/>
        <v>-686.24349728654636</v>
      </c>
      <c r="AF40" s="1675">
        <f t="shared" ca="1" si="29"/>
        <v>-697.99551555135713</v>
      </c>
      <c r="AG40" s="1675">
        <f t="shared" ca="1" si="29"/>
        <v>-707.79837392314801</v>
      </c>
      <c r="AH40" s="1293"/>
      <c r="AI40" s="1293"/>
      <c r="AJ40" s="1293"/>
      <c r="AK40" s="1293"/>
      <c r="AL40" s="1293"/>
      <c r="AM40" s="1293"/>
      <c r="AN40" s="1293"/>
      <c r="AO40" s="1293"/>
      <c r="AP40" s="1293"/>
      <c r="AQ40" s="1293"/>
      <c r="AR40" s="1293"/>
      <c r="AS40" s="1293"/>
    </row>
    <row r="41" spans="1:45" ht="15.75">
      <c r="A41" s="1653" t="s">
        <v>393</v>
      </c>
      <c r="B41" s="1653"/>
      <c r="C41" s="1653"/>
      <c r="D41" s="1675"/>
      <c r="E41" s="1675"/>
      <c r="F41" s="1675"/>
      <c r="G41" s="1675"/>
      <c r="H41" s="1675"/>
      <c r="I41" s="1675"/>
      <c r="J41" s="1675"/>
      <c r="K41" s="1675"/>
      <c r="L41" s="1675"/>
      <c r="M41" s="1675"/>
      <c r="N41" s="1675"/>
      <c r="O41" s="1675"/>
      <c r="P41" s="1675"/>
      <c r="Q41" s="1675"/>
      <c r="R41" s="1675"/>
      <c r="S41" s="1675"/>
      <c r="T41" s="1675"/>
      <c r="U41" s="1675"/>
      <c r="V41" s="1675"/>
      <c r="W41" s="1675"/>
      <c r="X41" s="1675"/>
      <c r="Y41" s="1675"/>
      <c r="Z41" s="1675"/>
      <c r="AA41" s="1675"/>
      <c r="AB41" s="2498">
        <v>-629.28503561431717</v>
      </c>
      <c r="AC41" s="2498">
        <v>-590.33575654786887</v>
      </c>
      <c r="AD41" s="2498">
        <v>-609.35276495294397</v>
      </c>
      <c r="AE41" s="2498">
        <v>-629.59129836817749</v>
      </c>
      <c r="AF41" s="2498">
        <v>-650.76660343199944</v>
      </c>
      <c r="AG41" s="2498">
        <v>-672.5060201999836</v>
      </c>
      <c r="AH41" s="1293"/>
      <c r="AI41" s="1293"/>
      <c r="AJ41" s="1293"/>
      <c r="AK41" s="1293"/>
      <c r="AL41" s="1293"/>
      <c r="AM41" s="1293"/>
      <c r="AN41" s="1293"/>
      <c r="AO41" s="1293"/>
      <c r="AP41" s="1293"/>
      <c r="AQ41" s="1293"/>
      <c r="AR41" s="1293"/>
      <c r="AS41" s="1293"/>
    </row>
    <row r="42" spans="1:45" ht="15.75">
      <c r="A42" s="2529" t="s">
        <v>394</v>
      </c>
      <c r="B42" s="2529"/>
      <c r="C42" s="2529"/>
      <c r="D42" s="2530"/>
      <c r="E42" s="2530"/>
      <c r="F42" s="2530" t="e">
        <f t="shared" ref="F42:P42" si="30">F30+F28+F33+F38+F40</f>
        <v>#REF!</v>
      </c>
      <c r="G42" s="2530" t="e">
        <f t="shared" si="30"/>
        <v>#REF!</v>
      </c>
      <c r="H42" s="2530" t="e">
        <f t="shared" si="30"/>
        <v>#REF!</v>
      </c>
      <c r="I42" s="2530" t="e">
        <f t="shared" si="30"/>
        <v>#REF!</v>
      </c>
      <c r="J42" s="2530" t="e">
        <f t="shared" si="30"/>
        <v>#REF!</v>
      </c>
      <c r="K42" s="2530" t="e">
        <f t="shared" si="30"/>
        <v>#REF!</v>
      </c>
      <c r="L42" s="2530" t="e">
        <f t="shared" si="30"/>
        <v>#REF!</v>
      </c>
      <c r="M42" s="2530" t="e">
        <f t="shared" si="30"/>
        <v>#REF!</v>
      </c>
      <c r="N42" s="2530">
        <f t="shared" si="30"/>
        <v>-172</v>
      </c>
      <c r="O42" s="2530">
        <f t="shared" si="30"/>
        <v>-207</v>
      </c>
      <c r="P42" s="2530">
        <f t="shared" si="30"/>
        <v>-395</v>
      </c>
      <c r="Q42" s="2530">
        <f t="shared" ref="Q42:AG42" si="31">Q30+Q33+Q38+Q40</f>
        <v>3052.5211117787239</v>
      </c>
      <c r="R42" s="2530">
        <f t="shared" si="31"/>
        <v>-64.369055768460385</v>
      </c>
      <c r="S42" s="2530">
        <f t="shared" si="31"/>
        <v>293.5</v>
      </c>
      <c r="T42" s="2530">
        <f t="shared" si="31"/>
        <v>390</v>
      </c>
      <c r="U42" s="2530">
        <f t="shared" si="31"/>
        <v>466</v>
      </c>
      <c r="V42" s="2530">
        <f t="shared" si="31"/>
        <v>511</v>
      </c>
      <c r="W42" s="2530">
        <f t="shared" si="31"/>
        <v>122</v>
      </c>
      <c r="X42" s="2530">
        <f t="shared" si="31"/>
        <v>1018</v>
      </c>
      <c r="Y42" s="2530">
        <f t="shared" si="31"/>
        <v>237.13499999999976</v>
      </c>
      <c r="Z42" s="2530">
        <f t="shared" si="31"/>
        <v>174.28549999999996</v>
      </c>
      <c r="AA42" s="2530">
        <f t="shared" ca="1" si="31"/>
        <v>553.02020000000039</v>
      </c>
      <c r="AB42" s="2530">
        <f t="shared" ca="1" si="31"/>
        <v>540.20671953415683</v>
      </c>
      <c r="AC42" s="2530">
        <f t="shared" ca="1" si="31"/>
        <v>907.60876239021218</v>
      </c>
      <c r="AD42" s="2530">
        <f t="shared" ca="1" si="31"/>
        <v>890.94824386261291</v>
      </c>
      <c r="AE42" s="2530">
        <f t="shared" ca="1" si="31"/>
        <v>917.6664971851784</v>
      </c>
      <c r="AF42" s="2530">
        <f t="shared" ca="1" si="31"/>
        <v>966.82213462158757</v>
      </c>
      <c r="AG42" s="2530">
        <f t="shared" ca="1" si="31"/>
        <v>1028.7528327515406</v>
      </c>
      <c r="AH42" s="1293"/>
      <c r="AI42" s="1293"/>
      <c r="AJ42" s="1293"/>
      <c r="AK42" s="1293"/>
      <c r="AL42" s="1293"/>
      <c r="AM42" s="1293"/>
      <c r="AN42" s="1293"/>
      <c r="AO42" s="1293"/>
      <c r="AP42" s="1293"/>
      <c r="AQ42" s="1293"/>
      <c r="AR42" s="1293"/>
      <c r="AS42" s="1293"/>
    </row>
    <row r="43" spans="1:45" ht="15.75">
      <c r="A43" s="1900"/>
      <c r="B43" s="1900"/>
      <c r="C43" s="1653"/>
      <c r="D43" s="1653"/>
      <c r="E43" s="1653"/>
      <c r="F43" s="1908"/>
      <c r="G43" s="1908"/>
      <c r="H43" s="1899"/>
      <c r="I43" s="1899"/>
      <c r="J43" s="1899"/>
      <c r="K43" s="1899"/>
      <c r="L43" s="1899"/>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293"/>
      <c r="AI43" s="1293"/>
      <c r="AJ43" s="1293"/>
      <c r="AK43" s="1293"/>
      <c r="AL43" s="1293"/>
      <c r="AM43" s="1293"/>
      <c r="AN43" s="1293"/>
      <c r="AO43" s="1293"/>
      <c r="AP43" s="1293"/>
      <c r="AQ43" s="1293"/>
      <c r="AR43" s="1293"/>
      <c r="AS43" s="1293"/>
    </row>
    <row r="44" spans="1:45" ht="15.75">
      <c r="A44" s="1653" t="s">
        <v>395</v>
      </c>
      <c r="B44" s="1653"/>
      <c r="C44" s="1653"/>
      <c r="D44" s="1675"/>
      <c r="E44" s="1675"/>
      <c r="F44" s="1675">
        <f t="shared" ref="F44:AG44" si="32">F183</f>
        <v>-52.369</v>
      </c>
      <c r="G44" s="1675">
        <f t="shared" si="32"/>
        <v>-58.9</v>
      </c>
      <c r="H44" s="1675">
        <f t="shared" si="32"/>
        <v>-65.228999999999999</v>
      </c>
      <c r="I44" s="1675">
        <f t="shared" si="32"/>
        <v>-118.205</v>
      </c>
      <c r="J44" s="1675">
        <f t="shared" si="32"/>
        <v>-87.1</v>
      </c>
      <c r="K44" s="1675">
        <f t="shared" si="32"/>
        <v>-277.39999999999998</v>
      </c>
      <c r="L44" s="1675">
        <f t="shared" si="32"/>
        <v>-212</v>
      </c>
      <c r="M44" s="1675">
        <f t="shared" si="32"/>
        <v>-227</v>
      </c>
      <c r="N44" s="1675">
        <f t="shared" si="32"/>
        <v>19</v>
      </c>
      <c r="O44" s="1675">
        <f t="shared" si="32"/>
        <v>-393</v>
      </c>
      <c r="P44" s="1675">
        <f t="shared" si="32"/>
        <v>-207</v>
      </c>
      <c r="Q44" s="1675">
        <f t="shared" si="32"/>
        <v>-256</v>
      </c>
      <c r="R44" s="1675">
        <f t="shared" si="32"/>
        <v>-291</v>
      </c>
      <c r="S44" s="1675">
        <f t="shared" si="32"/>
        <v>-251</v>
      </c>
      <c r="T44" s="1675">
        <f t="shared" si="32"/>
        <v>-252</v>
      </c>
      <c r="U44" s="1675">
        <f t="shared" si="32"/>
        <v>-204</v>
      </c>
      <c r="V44" s="1675">
        <f t="shared" si="32"/>
        <v>-222</v>
      </c>
      <c r="W44" s="1675">
        <f t="shared" si="32"/>
        <v>-204</v>
      </c>
      <c r="X44" s="1675">
        <f t="shared" si="32"/>
        <v>-189</v>
      </c>
      <c r="Y44" s="1675">
        <f t="shared" si="32"/>
        <v>-225</v>
      </c>
      <c r="Z44" s="1675">
        <f t="shared" si="32"/>
        <v>-424</v>
      </c>
      <c r="AA44" s="1675">
        <f t="shared" si="32"/>
        <v>-281</v>
      </c>
      <c r="AB44" s="1675">
        <f t="shared" ca="1" si="32"/>
        <v>-267.30215329751451</v>
      </c>
      <c r="AC44" s="1675">
        <f t="shared" ca="1" si="32"/>
        <v>-348.1306027258467</v>
      </c>
      <c r="AD44" s="1675">
        <f t="shared" ca="1" si="32"/>
        <v>-344.46528864977483</v>
      </c>
      <c r="AE44" s="1675">
        <f t="shared" ca="1" si="32"/>
        <v>-350.34330438073926</v>
      </c>
      <c r="AF44" s="1675">
        <f t="shared" ca="1" si="32"/>
        <v>-361.15754461674925</v>
      </c>
      <c r="AG44" s="1675">
        <f t="shared" ca="1" si="32"/>
        <v>-374.78229820533898</v>
      </c>
      <c r="AH44" s="1293"/>
      <c r="AI44" s="1293"/>
      <c r="AJ44" s="1293"/>
      <c r="AK44" s="1293"/>
      <c r="AL44" s="1293"/>
      <c r="AM44" s="1293"/>
      <c r="AN44" s="1293"/>
      <c r="AO44" s="1293"/>
      <c r="AP44" s="1293"/>
      <c r="AQ44" s="1293"/>
      <c r="AR44" s="1293"/>
      <c r="AS44" s="1293"/>
    </row>
    <row r="45" spans="1:45" ht="15.75">
      <c r="A45" s="1653" t="s">
        <v>1923</v>
      </c>
      <c r="B45" s="1653"/>
      <c r="C45" s="1653"/>
      <c r="D45" s="1675"/>
      <c r="E45" s="1675"/>
      <c r="F45" s="1675"/>
      <c r="G45" s="1675"/>
      <c r="H45" s="1675"/>
      <c r="I45" s="1717">
        <v>-76</v>
      </c>
      <c r="J45" s="1717">
        <v>258.60000000000002</v>
      </c>
      <c r="K45" s="1717">
        <v>-22.4</v>
      </c>
      <c r="L45" s="1717">
        <v>300.3</v>
      </c>
      <c r="M45" s="1717">
        <v>0</v>
      </c>
      <c r="N45" s="1717">
        <v>39</v>
      </c>
      <c r="O45" s="1717">
        <v>0</v>
      </c>
      <c r="P45" s="1717">
        <v>0</v>
      </c>
      <c r="Q45" s="2498">
        <v>21</v>
      </c>
      <c r="R45" s="2498">
        <v>-83</v>
      </c>
      <c r="S45" s="2498">
        <v>19</v>
      </c>
      <c r="T45" s="2498">
        <v>0</v>
      </c>
      <c r="U45" s="2498">
        <v>-32</v>
      </c>
      <c r="V45" s="2498">
        <v>57</v>
      </c>
      <c r="W45" s="2498">
        <v>-12</v>
      </c>
      <c r="X45" s="2498">
        <v>0</v>
      </c>
      <c r="Y45" s="2498">
        <v>113</v>
      </c>
      <c r="Z45" s="2498">
        <v>4</v>
      </c>
      <c r="AA45" s="2498">
        <v>-3</v>
      </c>
      <c r="AB45" s="1717">
        <v>0</v>
      </c>
      <c r="AC45" s="1717">
        <v>0</v>
      </c>
      <c r="AD45" s="1717">
        <v>0</v>
      </c>
      <c r="AE45" s="1717">
        <v>0</v>
      </c>
      <c r="AF45" s="1717">
        <v>0</v>
      </c>
      <c r="AG45" s="1717">
        <v>0</v>
      </c>
      <c r="AH45" s="1293"/>
      <c r="AI45" s="1293"/>
      <c r="AJ45" s="1293"/>
      <c r="AK45" s="1293"/>
      <c r="AL45" s="1293"/>
      <c r="AM45" s="1293"/>
      <c r="AN45" s="1293"/>
      <c r="AO45" s="1293"/>
      <c r="AP45" s="1293"/>
      <c r="AQ45" s="1293"/>
      <c r="AR45" s="1293"/>
      <c r="AS45" s="1293"/>
    </row>
    <row r="46" spans="1:45" ht="15.75">
      <c r="A46" s="1653" t="s">
        <v>396</v>
      </c>
      <c r="B46" s="1653"/>
      <c r="C46" s="1653"/>
      <c r="D46" s="1653"/>
      <c r="E46" s="1653"/>
      <c r="F46" s="1666">
        <f t="shared" ref="F46:AG46" si="33">F343</f>
        <v>-14.695</v>
      </c>
      <c r="G46" s="1666">
        <f t="shared" si="33"/>
        <v>-16.79</v>
      </c>
      <c r="H46" s="1666">
        <f t="shared" si="33"/>
        <v>6.1319999999999997</v>
      </c>
      <c r="I46" s="1666">
        <f t="shared" si="33"/>
        <v>8.9640000000000004</v>
      </c>
      <c r="J46" s="1666">
        <f t="shared" si="33"/>
        <v>-13</v>
      </c>
      <c r="K46" s="1666">
        <f t="shared" si="33"/>
        <v>113.075</v>
      </c>
      <c r="L46" s="1666">
        <f t="shared" si="33"/>
        <v>-5</v>
      </c>
      <c r="M46" s="1666">
        <f t="shared" si="33"/>
        <v>-2.6</v>
      </c>
      <c r="N46" s="1666">
        <f t="shared" si="33"/>
        <v>-204</v>
      </c>
      <c r="O46" s="1666">
        <f t="shared" si="33"/>
        <v>4</v>
      </c>
      <c r="P46" s="1666">
        <f t="shared" si="33"/>
        <v>-204</v>
      </c>
      <c r="Q46" s="1666">
        <f t="shared" si="33"/>
        <v>-157</v>
      </c>
      <c r="R46" s="1666">
        <f t="shared" si="33"/>
        <v>-115</v>
      </c>
      <c r="S46" s="1666">
        <f t="shared" si="33"/>
        <v>-38</v>
      </c>
      <c r="T46" s="1666">
        <f t="shared" si="33"/>
        <v>-102</v>
      </c>
      <c r="U46" s="1666">
        <f t="shared" si="33"/>
        <v>-113</v>
      </c>
      <c r="V46" s="1666">
        <f t="shared" si="33"/>
        <v>-152</v>
      </c>
      <c r="W46" s="1666">
        <f t="shared" si="33"/>
        <v>-99</v>
      </c>
      <c r="X46" s="1666">
        <f t="shared" si="33"/>
        <v>-121</v>
      </c>
      <c r="Y46" s="1666">
        <f t="shared" si="33"/>
        <v>48</v>
      </c>
      <c r="Z46" s="1666">
        <f t="shared" si="33"/>
        <v>163</v>
      </c>
      <c r="AA46" s="1666">
        <f t="shared" si="33"/>
        <v>-15</v>
      </c>
      <c r="AB46" s="1666">
        <f t="shared" ca="1" si="33"/>
        <v>25.325811405010896</v>
      </c>
      <c r="AC46" s="1666">
        <f t="shared" ca="1" si="33"/>
        <v>25.325811405010896</v>
      </c>
      <c r="AD46" s="1666">
        <f t="shared" ca="1" si="33"/>
        <v>25.325811405010896</v>
      </c>
      <c r="AE46" s="1666">
        <f t="shared" ca="1" si="33"/>
        <v>25.325811405010896</v>
      </c>
      <c r="AF46" s="1666">
        <f t="shared" ca="1" si="33"/>
        <v>25.325811405010896</v>
      </c>
      <c r="AG46" s="1666">
        <f t="shared" ca="1" si="33"/>
        <v>25.325811405010896</v>
      </c>
      <c r="AH46" s="1293"/>
      <c r="AI46" s="1293"/>
      <c r="AJ46" s="1293"/>
      <c r="AK46" s="1293"/>
      <c r="AL46" s="1293"/>
      <c r="AM46" s="1293"/>
      <c r="AN46" s="1293"/>
      <c r="AO46" s="1293"/>
      <c r="AP46" s="1293"/>
      <c r="AQ46" s="1293"/>
      <c r="AR46" s="1293"/>
      <c r="AS46" s="1293"/>
    </row>
    <row r="47" spans="1:45" ht="15.75">
      <c r="A47" s="1834" t="s">
        <v>9128</v>
      </c>
      <c r="B47" s="1834"/>
      <c r="C47" s="1834"/>
      <c r="D47" s="1914"/>
      <c r="E47" s="1914"/>
      <c r="F47" s="1914" t="e">
        <f t="shared" ref="F47:AG47" si="34">F42+SUM(F44:F46)</f>
        <v>#REF!</v>
      </c>
      <c r="G47" s="1914" t="e">
        <f t="shared" si="34"/>
        <v>#REF!</v>
      </c>
      <c r="H47" s="1914" t="e">
        <f t="shared" si="34"/>
        <v>#REF!</v>
      </c>
      <c r="I47" s="1914" t="e">
        <f t="shared" si="34"/>
        <v>#REF!</v>
      </c>
      <c r="J47" s="1914" t="e">
        <f t="shared" si="34"/>
        <v>#REF!</v>
      </c>
      <c r="K47" s="1914" t="e">
        <f t="shared" si="34"/>
        <v>#REF!</v>
      </c>
      <c r="L47" s="1914" t="e">
        <f t="shared" si="34"/>
        <v>#REF!</v>
      </c>
      <c r="M47" s="1914" t="e">
        <f t="shared" si="34"/>
        <v>#REF!</v>
      </c>
      <c r="N47" s="1914">
        <f t="shared" si="34"/>
        <v>-318</v>
      </c>
      <c r="O47" s="1914">
        <f t="shared" si="34"/>
        <v>-596</v>
      </c>
      <c r="P47" s="1914">
        <f t="shared" si="34"/>
        <v>-806</v>
      </c>
      <c r="Q47" s="1914">
        <f t="shared" si="34"/>
        <v>2660.5211117787239</v>
      </c>
      <c r="R47" s="1914">
        <f t="shared" si="34"/>
        <v>-553.36905576846038</v>
      </c>
      <c r="S47" s="1914">
        <f t="shared" si="34"/>
        <v>23.5</v>
      </c>
      <c r="T47" s="1914">
        <f t="shared" si="34"/>
        <v>36</v>
      </c>
      <c r="U47" s="1914">
        <f t="shared" si="34"/>
        <v>117</v>
      </c>
      <c r="V47" s="1914">
        <f t="shared" si="34"/>
        <v>194</v>
      </c>
      <c r="W47" s="1914">
        <f t="shared" si="34"/>
        <v>-193</v>
      </c>
      <c r="X47" s="1914">
        <f t="shared" si="34"/>
        <v>708</v>
      </c>
      <c r="Y47" s="1914">
        <f t="shared" si="34"/>
        <v>173.13499999999976</v>
      </c>
      <c r="Z47" s="1914">
        <f t="shared" si="34"/>
        <v>-82.714500000000044</v>
      </c>
      <c r="AA47" s="1914">
        <f t="shared" ca="1" si="34"/>
        <v>254.02020000000039</v>
      </c>
      <c r="AB47" s="1914">
        <f t="shared" ca="1" si="34"/>
        <v>298.23037764165321</v>
      </c>
      <c r="AC47" s="1914">
        <f t="shared" ca="1" si="34"/>
        <v>584.8039710693763</v>
      </c>
      <c r="AD47" s="1914">
        <f t="shared" ca="1" si="34"/>
        <v>571.80876661784896</v>
      </c>
      <c r="AE47" s="1914">
        <f t="shared" ca="1" si="34"/>
        <v>592.64900420945003</v>
      </c>
      <c r="AF47" s="1914">
        <f t="shared" ca="1" si="34"/>
        <v>630.99040140984926</v>
      </c>
      <c r="AG47" s="1914">
        <f t="shared" ca="1" si="34"/>
        <v>679.29634595121252</v>
      </c>
      <c r="AH47" s="1293"/>
      <c r="AI47" s="1293"/>
      <c r="AJ47" s="1293"/>
      <c r="AK47" s="1293"/>
      <c r="AL47" s="1293"/>
      <c r="AM47" s="1293"/>
      <c r="AN47" s="1293"/>
      <c r="AO47" s="1293"/>
      <c r="AP47" s="1293"/>
      <c r="AQ47" s="1293"/>
      <c r="AR47" s="1293"/>
      <c r="AS47" s="1293"/>
    </row>
    <row r="48" spans="1:45" ht="15.75">
      <c r="A48" s="1653" t="s">
        <v>397</v>
      </c>
      <c r="B48" s="1653"/>
      <c r="C48" s="1653"/>
      <c r="D48" s="1675"/>
      <c r="E48" s="1675"/>
      <c r="F48" s="1675"/>
      <c r="G48" s="1675"/>
      <c r="H48" s="1675"/>
      <c r="I48" s="1675"/>
      <c r="J48" s="1675"/>
      <c r="K48" s="1675"/>
      <c r="L48" s="1675"/>
      <c r="M48" s="1675"/>
      <c r="N48" s="1911"/>
      <c r="O48" s="1911"/>
      <c r="P48" s="1911"/>
      <c r="Q48" s="1675">
        <f t="shared" ref="Q48:AG48" si="35">Q47-Q46</f>
        <v>2817.5211117787239</v>
      </c>
      <c r="R48" s="1675">
        <f t="shared" si="35"/>
        <v>-438.36905576846038</v>
      </c>
      <c r="S48" s="1675">
        <f t="shared" si="35"/>
        <v>61.5</v>
      </c>
      <c r="T48" s="1675">
        <f t="shared" si="35"/>
        <v>138</v>
      </c>
      <c r="U48" s="1675">
        <f t="shared" si="35"/>
        <v>230</v>
      </c>
      <c r="V48" s="1675">
        <f t="shared" si="35"/>
        <v>346</v>
      </c>
      <c r="W48" s="1675">
        <f t="shared" si="35"/>
        <v>-94</v>
      </c>
      <c r="X48" s="1675">
        <f t="shared" si="35"/>
        <v>829</v>
      </c>
      <c r="Y48" s="1675">
        <f t="shared" si="35"/>
        <v>125.13499999999976</v>
      </c>
      <c r="Z48" s="1675">
        <f t="shared" si="35"/>
        <v>-245.71450000000004</v>
      </c>
      <c r="AA48" s="1675">
        <f t="shared" ca="1" si="35"/>
        <v>269.02020000000039</v>
      </c>
      <c r="AB48" s="1675">
        <f t="shared" ca="1" si="35"/>
        <v>272.90456623664232</v>
      </c>
      <c r="AC48" s="1675">
        <f t="shared" ca="1" si="35"/>
        <v>559.47815966436542</v>
      </c>
      <c r="AD48" s="1675">
        <f t="shared" ca="1" si="35"/>
        <v>546.48295521283808</v>
      </c>
      <c r="AE48" s="1675">
        <f t="shared" ca="1" si="35"/>
        <v>567.32319280443915</v>
      </c>
      <c r="AF48" s="1675">
        <f t="shared" ca="1" si="35"/>
        <v>605.66459000483837</v>
      </c>
      <c r="AG48" s="1675">
        <f t="shared" ca="1" si="35"/>
        <v>653.97053454620163</v>
      </c>
      <c r="AH48" s="1293"/>
      <c r="AI48" s="1293"/>
      <c r="AJ48" s="1293"/>
      <c r="AK48" s="1293"/>
      <c r="AL48" s="1293"/>
      <c r="AM48" s="1293"/>
      <c r="AN48" s="1293"/>
      <c r="AO48" s="1293"/>
      <c r="AP48" s="1293"/>
      <c r="AQ48" s="1293"/>
      <c r="AR48" s="1293"/>
      <c r="AS48" s="1293"/>
    </row>
    <row r="49" spans="1:45" ht="15.75">
      <c r="A49" s="1653"/>
      <c r="B49" s="1653"/>
      <c r="C49" s="1653"/>
      <c r="D49" s="1653"/>
      <c r="E49" s="1653"/>
      <c r="F49" s="1653"/>
      <c r="G49" s="1653"/>
      <c r="H49" s="1653"/>
      <c r="I49" s="1912"/>
      <c r="J49" s="1912"/>
      <c r="K49" s="1912"/>
      <c r="L49" s="1653"/>
      <c r="M49" s="1653"/>
      <c r="N49" s="1653"/>
      <c r="O49" s="1653"/>
      <c r="P49" s="1653"/>
      <c r="Q49" s="1653"/>
      <c r="R49" s="1653"/>
      <c r="S49" s="1653"/>
      <c r="T49" s="1653"/>
      <c r="U49" s="1653"/>
      <c r="V49" s="1653"/>
      <c r="W49" s="1653"/>
      <c r="X49" s="1653"/>
      <c r="Y49" s="1653"/>
      <c r="Z49" s="1653"/>
      <c r="AA49" s="1653"/>
      <c r="AB49" s="1653"/>
      <c r="AC49" s="1653"/>
      <c r="AD49" s="1653"/>
      <c r="AE49" s="1653"/>
      <c r="AF49" s="1653"/>
      <c r="AG49" s="1653"/>
      <c r="AH49" s="1293"/>
      <c r="AI49" s="1293"/>
      <c r="AJ49" s="1293"/>
      <c r="AK49" s="1293"/>
      <c r="AL49" s="1293"/>
      <c r="AM49" s="1293"/>
      <c r="AN49" s="1293"/>
      <c r="AO49" s="1293"/>
      <c r="AP49" s="1293"/>
      <c r="AQ49" s="1293"/>
      <c r="AR49" s="1293"/>
      <c r="AS49" s="1293"/>
    </row>
    <row r="50" spans="1:45" ht="15.75">
      <c r="A50" s="1653" t="s">
        <v>398</v>
      </c>
      <c r="B50" s="1653"/>
      <c r="C50" s="1653"/>
      <c r="D50" s="1675"/>
      <c r="E50" s="1675"/>
      <c r="F50" s="1675">
        <f t="shared" ref="F50:AG50" si="36">F367</f>
        <v>65.311999999999998</v>
      </c>
      <c r="G50" s="1675">
        <f t="shared" si="36"/>
        <v>83.334999999999994</v>
      </c>
      <c r="H50" s="1675">
        <f t="shared" si="36"/>
        <v>99.461500000000001</v>
      </c>
      <c r="I50" s="1675">
        <f t="shared" si="36"/>
        <v>100.19399999999999</v>
      </c>
      <c r="J50" s="1675">
        <f t="shared" si="36"/>
        <v>101.556</v>
      </c>
      <c r="K50" s="1675">
        <f t="shared" si="36"/>
        <v>105.3625</v>
      </c>
      <c r="L50" s="1675">
        <f t="shared" si="36"/>
        <v>108.4725</v>
      </c>
      <c r="M50" s="1675">
        <f t="shared" si="36"/>
        <v>108.8505</v>
      </c>
      <c r="N50" s="1675">
        <f t="shared" si="36"/>
        <v>106.953</v>
      </c>
      <c r="O50" s="1675">
        <f t="shared" si="36"/>
        <v>102.8265</v>
      </c>
      <c r="P50" s="1675">
        <f t="shared" si="36"/>
        <v>100.35</v>
      </c>
      <c r="Q50" s="1675">
        <f t="shared" si="36"/>
        <v>99.899999999999991</v>
      </c>
      <c r="R50" s="1675">
        <f t="shared" si="36"/>
        <v>99.899999999999991</v>
      </c>
      <c r="S50" s="1675">
        <f t="shared" si="36"/>
        <v>99.899999999999991</v>
      </c>
      <c r="T50" s="1675">
        <f t="shared" si="36"/>
        <v>99.899999999999991</v>
      </c>
      <c r="U50" s="1675">
        <f t="shared" si="36"/>
        <v>99.899999999999991</v>
      </c>
      <c r="V50" s="1675">
        <f t="shared" si="36"/>
        <v>99.899999999999991</v>
      </c>
      <c r="W50" s="1675">
        <f t="shared" si="36"/>
        <v>99.72999999999999</v>
      </c>
      <c r="X50" s="1675">
        <f t="shared" si="36"/>
        <v>99.059999999999988</v>
      </c>
      <c r="Y50" s="1675">
        <f t="shared" si="36"/>
        <v>133.76</v>
      </c>
      <c r="Z50" s="1675">
        <f t="shared" si="36"/>
        <v>170.17849999999999</v>
      </c>
      <c r="AA50" s="1675">
        <f t="shared" si="36"/>
        <v>171.35499999999999</v>
      </c>
      <c r="AB50" s="1675">
        <f t="shared" si="36"/>
        <v>168.83799999999999</v>
      </c>
      <c r="AC50" s="1675">
        <f t="shared" si="36"/>
        <v>163.863</v>
      </c>
      <c r="AD50" s="1675">
        <f t="shared" si="36"/>
        <v>158.863</v>
      </c>
      <c r="AE50" s="1675">
        <f t="shared" si="36"/>
        <v>153.863</v>
      </c>
      <c r="AF50" s="1675">
        <f t="shared" si="36"/>
        <v>148.863</v>
      </c>
      <c r="AG50" s="1675">
        <f t="shared" si="36"/>
        <v>143.863</v>
      </c>
      <c r="AH50" s="1293"/>
      <c r="AI50" s="1293"/>
      <c r="AJ50" s="1293"/>
      <c r="AK50" s="1293"/>
      <c r="AL50" s="1293"/>
      <c r="AM50" s="1293"/>
      <c r="AN50" s="1293"/>
      <c r="AO50" s="1293"/>
      <c r="AP50" s="1293"/>
      <c r="AQ50" s="1293"/>
      <c r="AR50" s="1293"/>
      <c r="AS50" s="1293"/>
    </row>
    <row r="51" spans="1:45" ht="15.75">
      <c r="A51" s="1653" t="s">
        <v>399</v>
      </c>
      <c r="B51" s="1653"/>
      <c r="C51" s="1653"/>
      <c r="D51" s="1675"/>
      <c r="E51" s="1675"/>
      <c r="F51" s="1675">
        <f t="shared" ref="F51:AG51" si="37">F368</f>
        <v>66.319999999999993</v>
      </c>
      <c r="G51" s="1675">
        <f t="shared" si="37"/>
        <v>99.218999999999994</v>
      </c>
      <c r="H51" s="1675">
        <f t="shared" si="37"/>
        <v>99.703999999999994</v>
      </c>
      <c r="I51" s="1675">
        <f t="shared" si="37"/>
        <v>100.684</v>
      </c>
      <c r="J51" s="1675">
        <f t="shared" si="37"/>
        <v>102.428</v>
      </c>
      <c r="K51" s="1675">
        <f t="shared" si="37"/>
        <v>108.297</v>
      </c>
      <c r="L51" s="1675">
        <f t="shared" si="37"/>
        <v>108.648</v>
      </c>
      <c r="M51" s="1675">
        <f t="shared" si="37"/>
        <v>109.053</v>
      </c>
      <c r="N51" s="1675">
        <f t="shared" si="37"/>
        <v>104.85299999999999</v>
      </c>
      <c r="O51" s="1675">
        <f t="shared" si="37"/>
        <v>100.8</v>
      </c>
      <c r="P51" s="1675">
        <f t="shared" si="37"/>
        <v>99.899999999999991</v>
      </c>
      <c r="Q51" s="1675">
        <f t="shared" si="37"/>
        <v>99.899999999999991</v>
      </c>
      <c r="R51" s="1675">
        <f t="shared" si="37"/>
        <v>99.899999999999991</v>
      </c>
      <c r="S51" s="1675">
        <f t="shared" si="37"/>
        <v>99.899999999999991</v>
      </c>
      <c r="T51" s="1675">
        <f t="shared" si="37"/>
        <v>99.899999999999991</v>
      </c>
      <c r="U51" s="1675">
        <f t="shared" si="37"/>
        <v>99.899999999999991</v>
      </c>
      <c r="V51" s="1675">
        <f t="shared" si="37"/>
        <v>99.899999999999991</v>
      </c>
      <c r="W51" s="1675">
        <f t="shared" si="37"/>
        <v>99.559999999999988</v>
      </c>
      <c r="X51" s="1675">
        <f t="shared" si="37"/>
        <v>98.559999999999988</v>
      </c>
      <c r="Y51" s="1675">
        <f t="shared" si="37"/>
        <v>168.95999999999998</v>
      </c>
      <c r="Z51" s="1675">
        <f t="shared" si="37"/>
        <v>171.39699999999999</v>
      </c>
      <c r="AA51" s="1675">
        <f t="shared" si="37"/>
        <v>171.31299999999999</v>
      </c>
      <c r="AB51" s="1675">
        <f t="shared" si="37"/>
        <v>166.363</v>
      </c>
      <c r="AC51" s="1675">
        <f t="shared" si="37"/>
        <v>161.363</v>
      </c>
      <c r="AD51" s="1675">
        <f t="shared" si="37"/>
        <v>156.363</v>
      </c>
      <c r="AE51" s="1675">
        <f t="shared" si="37"/>
        <v>151.363</v>
      </c>
      <c r="AF51" s="1675">
        <f t="shared" si="37"/>
        <v>146.363</v>
      </c>
      <c r="AG51" s="1675">
        <f t="shared" si="37"/>
        <v>141.363</v>
      </c>
      <c r="AH51" s="1293"/>
      <c r="AI51" s="1293"/>
      <c r="AJ51" s="1293"/>
      <c r="AK51" s="1293"/>
      <c r="AL51" s="1293"/>
      <c r="AM51" s="1293"/>
      <c r="AN51" s="1293"/>
      <c r="AO51" s="1293"/>
      <c r="AP51" s="1293"/>
      <c r="AQ51" s="1293"/>
      <c r="AR51" s="1293"/>
      <c r="AS51" s="1293"/>
    </row>
    <row r="52" spans="1:45" ht="15.75">
      <c r="A52" s="1653"/>
      <c r="B52" s="1653"/>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1653"/>
      <c r="AB52" s="1653"/>
      <c r="AC52" s="1653"/>
      <c r="AD52" s="1653"/>
      <c r="AE52" s="1653"/>
      <c r="AF52" s="1653"/>
      <c r="AG52" s="1653"/>
      <c r="AH52" s="1293"/>
      <c r="AI52" s="1293"/>
      <c r="AJ52" s="1293"/>
      <c r="AK52" s="1293"/>
      <c r="AL52" s="1293"/>
      <c r="AM52" s="1293"/>
      <c r="AN52" s="1293"/>
      <c r="AO52" s="1293"/>
      <c r="AP52" s="1293"/>
      <c r="AQ52" s="1293"/>
      <c r="AR52" s="1293"/>
      <c r="AS52" s="1293"/>
    </row>
    <row r="53" spans="1:45" ht="15.75">
      <c r="A53" s="1653" t="s">
        <v>2529</v>
      </c>
      <c r="B53" s="1653"/>
      <c r="C53" s="1653"/>
      <c r="D53" s="1653"/>
      <c r="E53" s="1653"/>
      <c r="F53" s="1675">
        <f t="shared" ref="F53:AG53" si="38">F373</f>
        <v>80.5</v>
      </c>
      <c r="G53" s="1675">
        <f t="shared" si="38"/>
        <v>90.311999999999998</v>
      </c>
      <c r="H53" s="1675">
        <f t="shared" si="38"/>
        <v>109.17099999999999</v>
      </c>
      <c r="I53" s="1675">
        <f t="shared" si="38"/>
        <v>109.02999999999999</v>
      </c>
      <c r="J53" s="1675">
        <f t="shared" si="38"/>
        <v>108.83999999999999</v>
      </c>
      <c r="K53" s="1675">
        <f t="shared" si="38"/>
        <v>108.646</v>
      </c>
      <c r="L53" s="1675">
        <f t="shared" si="38"/>
        <v>108.75</v>
      </c>
      <c r="M53" s="1675">
        <f t="shared" si="38"/>
        <v>107.22399999999999</v>
      </c>
      <c r="N53" s="1675">
        <f t="shared" si="38"/>
        <v>103.7735</v>
      </c>
      <c r="O53" s="1675">
        <f t="shared" si="38"/>
        <v>101.297</v>
      </c>
      <c r="P53" s="1675">
        <f t="shared" si="38"/>
        <v>100.84699999999999</v>
      </c>
      <c r="Q53" s="1675">
        <f t="shared" si="38"/>
        <v>100.84699999999999</v>
      </c>
      <c r="R53" s="1675">
        <f t="shared" si="38"/>
        <v>100.84699999999999</v>
      </c>
      <c r="S53" s="1675">
        <f t="shared" si="38"/>
        <v>100.84699999999999</v>
      </c>
      <c r="T53" s="1675">
        <f t="shared" si="38"/>
        <v>100.84699999999999</v>
      </c>
      <c r="U53" s="1675">
        <f t="shared" si="38"/>
        <v>100.84699999999999</v>
      </c>
      <c r="V53" s="1675">
        <f t="shared" si="38"/>
        <v>100.84699999999999</v>
      </c>
      <c r="W53" s="1675">
        <f t="shared" si="38"/>
        <v>100.84699999999999</v>
      </c>
      <c r="X53" s="1675">
        <f t="shared" si="38"/>
        <v>100.84699999999999</v>
      </c>
      <c r="Y53" s="1675">
        <f t="shared" si="38"/>
        <v>136.047</v>
      </c>
      <c r="Z53" s="1675">
        <f t="shared" si="38"/>
        <v>171.322</v>
      </c>
      <c r="AA53" s="1675">
        <f t="shared" si="38"/>
        <v>171.9785</v>
      </c>
      <c r="AB53" s="1675">
        <f t="shared" si="38"/>
        <v>172.56</v>
      </c>
      <c r="AC53" s="1675">
        <f t="shared" si="38"/>
        <v>172.56</v>
      </c>
      <c r="AD53" s="1675">
        <f t="shared" si="38"/>
        <v>172.56</v>
      </c>
      <c r="AE53" s="1675">
        <f t="shared" si="38"/>
        <v>172.56</v>
      </c>
      <c r="AF53" s="1675">
        <f t="shared" si="38"/>
        <v>172.56</v>
      </c>
      <c r="AG53" s="1675">
        <f t="shared" si="38"/>
        <v>172.56</v>
      </c>
      <c r="AH53" s="1293"/>
      <c r="AI53" s="1293"/>
      <c r="AJ53" s="1293"/>
      <c r="AK53" s="1293"/>
      <c r="AL53" s="1293"/>
      <c r="AM53" s="1293"/>
      <c r="AN53" s="1293"/>
      <c r="AO53" s="1293"/>
      <c r="AP53" s="1293"/>
      <c r="AQ53" s="1293"/>
      <c r="AR53" s="1293"/>
      <c r="AS53" s="1293"/>
    </row>
    <row r="54" spans="1:45" ht="15.75">
      <c r="A54" s="1653" t="s">
        <v>2528</v>
      </c>
      <c r="B54" s="1653"/>
      <c r="C54" s="1653"/>
      <c r="D54" s="1653"/>
      <c r="E54" s="1653"/>
      <c r="F54" s="1675">
        <f>F374</f>
        <v>100</v>
      </c>
      <c r="G54" s="1675">
        <f>G374</f>
        <v>109.08599999999998</v>
      </c>
      <c r="H54" s="1675">
        <f t="shared" ref="H54:AG54" si="39">H368</f>
        <v>99.703999999999994</v>
      </c>
      <c r="I54" s="1675">
        <f t="shared" si="39"/>
        <v>100.684</v>
      </c>
      <c r="J54" s="1675">
        <f t="shared" si="39"/>
        <v>102.428</v>
      </c>
      <c r="K54" s="1675">
        <f t="shared" si="39"/>
        <v>108.297</v>
      </c>
      <c r="L54" s="1675">
        <f t="shared" si="39"/>
        <v>108.648</v>
      </c>
      <c r="M54" s="1675">
        <f t="shared" si="39"/>
        <v>109.053</v>
      </c>
      <c r="N54" s="1675">
        <f t="shared" si="39"/>
        <v>104.85299999999999</v>
      </c>
      <c r="O54" s="1675">
        <f t="shared" si="39"/>
        <v>100.8</v>
      </c>
      <c r="P54" s="1675">
        <f t="shared" si="39"/>
        <v>99.899999999999991</v>
      </c>
      <c r="Q54" s="1675">
        <f t="shared" si="39"/>
        <v>99.899999999999991</v>
      </c>
      <c r="R54" s="1675">
        <f t="shared" si="39"/>
        <v>99.899999999999991</v>
      </c>
      <c r="S54" s="1675">
        <f t="shared" si="39"/>
        <v>99.899999999999991</v>
      </c>
      <c r="T54" s="1675">
        <f t="shared" si="39"/>
        <v>99.899999999999991</v>
      </c>
      <c r="U54" s="1675">
        <f t="shared" si="39"/>
        <v>99.899999999999991</v>
      </c>
      <c r="V54" s="1675">
        <f t="shared" si="39"/>
        <v>99.899999999999991</v>
      </c>
      <c r="W54" s="1675">
        <f t="shared" si="39"/>
        <v>99.559999999999988</v>
      </c>
      <c r="X54" s="1675">
        <f t="shared" si="39"/>
        <v>98.559999999999988</v>
      </c>
      <c r="Y54" s="1675">
        <f t="shared" si="39"/>
        <v>168.95999999999998</v>
      </c>
      <c r="Z54" s="1675">
        <f t="shared" si="39"/>
        <v>171.39699999999999</v>
      </c>
      <c r="AA54" s="1675">
        <f t="shared" si="39"/>
        <v>171.31299999999999</v>
      </c>
      <c r="AB54" s="1675">
        <f t="shared" si="39"/>
        <v>166.363</v>
      </c>
      <c r="AC54" s="1675">
        <f t="shared" si="39"/>
        <v>161.363</v>
      </c>
      <c r="AD54" s="1675">
        <f t="shared" si="39"/>
        <v>156.363</v>
      </c>
      <c r="AE54" s="1675">
        <f t="shared" si="39"/>
        <v>151.363</v>
      </c>
      <c r="AF54" s="1675">
        <f t="shared" si="39"/>
        <v>146.363</v>
      </c>
      <c r="AG54" s="1675">
        <f t="shared" si="39"/>
        <v>141.363</v>
      </c>
      <c r="AH54" s="1293"/>
      <c r="AI54" s="1293"/>
      <c r="AJ54" s="1293"/>
      <c r="AK54" s="1293"/>
      <c r="AL54" s="1293"/>
      <c r="AM54" s="1293"/>
      <c r="AN54" s="1293"/>
      <c r="AO54" s="1293"/>
      <c r="AP54" s="1293"/>
      <c r="AQ54" s="1293"/>
      <c r="AR54" s="1293"/>
      <c r="AS54" s="1293"/>
    </row>
    <row r="55" spans="1:45" ht="15.75">
      <c r="A55" s="1653"/>
      <c r="B55" s="1653"/>
      <c r="C55" s="1653"/>
      <c r="D55" s="1653"/>
      <c r="E55" s="1653"/>
      <c r="F55" s="1653"/>
      <c r="G55" s="1653"/>
      <c r="H55" s="1653"/>
      <c r="I55" s="1653"/>
      <c r="J55" s="1653"/>
      <c r="K55" s="1653"/>
      <c r="L55" s="1653"/>
      <c r="M55" s="1653"/>
      <c r="N55" s="1653"/>
      <c r="O55" s="1653"/>
      <c r="P55" s="1653"/>
      <c r="Q55" s="1653"/>
      <c r="R55" s="1653"/>
      <c r="S55" s="1653"/>
      <c r="T55" s="1653"/>
      <c r="U55" s="1653"/>
      <c r="V55" s="1653"/>
      <c r="W55" s="1653"/>
      <c r="X55" s="1653"/>
      <c r="Y55" s="1653"/>
      <c r="Z55" s="1653"/>
      <c r="AA55" s="1653"/>
      <c r="AB55" s="1653"/>
      <c r="AC55" s="1653"/>
      <c r="AD55" s="1653"/>
      <c r="AE55" s="1653"/>
      <c r="AF55" s="1653"/>
      <c r="AG55" s="1653"/>
      <c r="AH55" s="1293"/>
      <c r="AI55" s="1293"/>
      <c r="AJ55" s="1293"/>
      <c r="AK55" s="1293"/>
      <c r="AL55" s="1293"/>
      <c r="AM55" s="1293"/>
      <c r="AN55" s="1293"/>
      <c r="AO55" s="1293"/>
      <c r="AP55" s="1293"/>
      <c r="AQ55" s="1293"/>
      <c r="AR55" s="1293"/>
      <c r="AS55" s="1293"/>
    </row>
    <row r="56" spans="1:45" ht="15.75">
      <c r="A56" s="1653" t="s">
        <v>400</v>
      </c>
      <c r="B56" s="1653"/>
      <c r="C56" s="1653"/>
      <c r="D56" s="1652"/>
      <c r="E56" s="1652"/>
      <c r="F56" s="1652" t="e">
        <f t="shared" ref="F56:AG56" si="40">F47/F53</f>
        <v>#REF!</v>
      </c>
      <c r="G56" s="1652" t="e">
        <f t="shared" si="40"/>
        <v>#REF!</v>
      </c>
      <c r="H56" s="1652" t="e">
        <f t="shared" si="40"/>
        <v>#REF!</v>
      </c>
      <c r="I56" s="1652" t="e">
        <f t="shared" si="40"/>
        <v>#REF!</v>
      </c>
      <c r="J56" s="1652" t="e">
        <f t="shared" si="40"/>
        <v>#REF!</v>
      </c>
      <c r="K56" s="1652" t="e">
        <f t="shared" si="40"/>
        <v>#REF!</v>
      </c>
      <c r="L56" s="1652" t="e">
        <f t="shared" si="40"/>
        <v>#REF!</v>
      </c>
      <c r="M56" s="1652" t="e">
        <f t="shared" si="40"/>
        <v>#REF!</v>
      </c>
      <c r="N56" s="1652">
        <f t="shared" si="40"/>
        <v>-3.0643661435722995</v>
      </c>
      <c r="O56" s="1652">
        <f t="shared" si="40"/>
        <v>-5.8836885593847796</v>
      </c>
      <c r="P56" s="1652">
        <f t="shared" si="40"/>
        <v>-7.9923051751663419</v>
      </c>
      <c r="Q56" s="1652">
        <f t="shared" si="40"/>
        <v>26.381757630655589</v>
      </c>
      <c r="R56" s="1652">
        <f t="shared" si="40"/>
        <v>-5.4872138563215609</v>
      </c>
      <c r="S56" s="1652">
        <f t="shared" si="40"/>
        <v>0.23302626751415512</v>
      </c>
      <c r="T56" s="1652">
        <f t="shared" si="40"/>
        <v>0.35697640980891848</v>
      </c>
      <c r="U56" s="1652">
        <f t="shared" si="40"/>
        <v>1.1601733318789851</v>
      </c>
      <c r="V56" s="1652">
        <f t="shared" si="40"/>
        <v>1.9237062084147274</v>
      </c>
      <c r="W56" s="1652">
        <f t="shared" si="40"/>
        <v>-1.9137901970311464</v>
      </c>
      <c r="X56" s="1652">
        <f t="shared" si="40"/>
        <v>7.0205360595753969</v>
      </c>
      <c r="Y56" s="1652">
        <f t="shared" si="40"/>
        <v>1.2726116709666495</v>
      </c>
      <c r="Z56" s="1707">
        <f t="shared" si="40"/>
        <v>-0.48280139153173579</v>
      </c>
      <c r="AA56" s="1707">
        <f t="shared" ca="1" si="40"/>
        <v>1.4770462586893152</v>
      </c>
      <c r="AB56" s="1707">
        <f t="shared" ca="1" si="40"/>
        <v>1.7282706168385096</v>
      </c>
      <c r="AC56" s="1652">
        <f t="shared" ca="1" si="40"/>
        <v>3.3889891693867424</v>
      </c>
      <c r="AD56" s="1652">
        <f t="shared" ca="1" si="40"/>
        <v>3.313680845026941</v>
      </c>
      <c r="AE56" s="1652">
        <f t="shared" ca="1" si="40"/>
        <v>3.4344518092805401</v>
      </c>
      <c r="AF56" s="1652">
        <f t="shared" ca="1" si="40"/>
        <v>3.6566434944937951</v>
      </c>
      <c r="AG56" s="1652">
        <f t="shared" ca="1" si="40"/>
        <v>3.9365805861799519</v>
      </c>
      <c r="AH56" s="1293"/>
      <c r="AI56" s="1293"/>
      <c r="AJ56" s="1293"/>
      <c r="AK56" s="1293"/>
      <c r="AL56" s="1293"/>
      <c r="AM56" s="1293"/>
      <c r="AN56" s="1293"/>
      <c r="AO56" s="1293"/>
      <c r="AP56" s="1293"/>
      <c r="AQ56" s="1293"/>
      <c r="AR56" s="1293"/>
      <c r="AS56" s="1293"/>
    </row>
    <row r="57" spans="1:45" ht="15.75">
      <c r="A57" s="1653" t="s">
        <v>401</v>
      </c>
      <c r="B57" s="1653"/>
      <c r="C57" s="1653"/>
      <c r="D57" s="1653"/>
      <c r="E57" s="1653"/>
      <c r="F57" s="1652"/>
      <c r="G57" s="1666"/>
      <c r="H57" s="1666"/>
      <c r="I57" s="1666"/>
      <c r="J57" s="1653"/>
      <c r="K57" s="1653"/>
      <c r="L57" s="1653"/>
      <c r="M57" s="1653"/>
      <c r="N57" s="1653"/>
      <c r="O57" s="1653"/>
      <c r="P57" s="1653"/>
      <c r="Q57" s="1653"/>
      <c r="R57" s="1653"/>
      <c r="S57" s="1653"/>
      <c r="T57" s="1653"/>
      <c r="U57" s="1653"/>
      <c r="V57" s="1653"/>
      <c r="W57" s="1653"/>
      <c r="X57" s="1653"/>
      <c r="Y57" s="1653"/>
      <c r="Z57" s="1653"/>
      <c r="AA57" s="1653"/>
      <c r="AB57" s="1653"/>
      <c r="AC57" s="1653"/>
      <c r="AD57" s="1653"/>
      <c r="AE57" s="1653"/>
      <c r="AF57" s="1653"/>
      <c r="AG57" s="1653"/>
      <c r="AH57" s="1293"/>
      <c r="AI57" s="1293"/>
      <c r="AJ57" s="1293"/>
      <c r="AK57" s="1293"/>
      <c r="AL57" s="1293"/>
      <c r="AM57" s="1293"/>
      <c r="AN57" s="1293"/>
      <c r="AO57" s="1293"/>
      <c r="AP57" s="1293"/>
      <c r="AQ57" s="1293"/>
      <c r="AR57" s="1293"/>
      <c r="AS57" s="1293"/>
    </row>
    <row r="58" spans="1:45" ht="15.75">
      <c r="A58" s="1653"/>
      <c r="B58" s="1653"/>
      <c r="C58" s="1653"/>
      <c r="D58" s="1653"/>
      <c r="E58" s="1653"/>
      <c r="F58" s="1675"/>
      <c r="G58" s="1675"/>
      <c r="H58" s="1675"/>
      <c r="I58" s="1675"/>
      <c r="J58" s="1653"/>
      <c r="K58" s="1653"/>
      <c r="L58" s="1653"/>
      <c r="M58" s="1665"/>
      <c r="N58" s="1653"/>
      <c r="O58" s="1653"/>
      <c r="P58" s="1653"/>
      <c r="Q58" s="1653"/>
      <c r="R58" s="1653"/>
      <c r="S58" s="1653"/>
      <c r="T58" s="1653"/>
      <c r="U58" s="1653"/>
      <c r="V58" s="1653"/>
      <c r="W58" s="1653"/>
      <c r="X58" s="1653"/>
      <c r="Y58" s="1653"/>
      <c r="Z58" s="1653"/>
      <c r="AA58" s="1653"/>
      <c r="AB58" s="1653"/>
      <c r="AC58" s="1653"/>
      <c r="AD58" s="1653"/>
      <c r="AE58" s="1653"/>
      <c r="AF58" s="1653"/>
      <c r="AG58" s="1653"/>
      <c r="AH58" s="1293"/>
      <c r="AI58" s="1293"/>
      <c r="AJ58" s="1293"/>
      <c r="AK58" s="1293"/>
      <c r="AL58" s="1293"/>
      <c r="AM58" s="1293"/>
      <c r="AN58" s="1293"/>
      <c r="AO58" s="1293"/>
      <c r="AP58" s="1293"/>
      <c r="AQ58" s="1293"/>
      <c r="AR58" s="1293"/>
      <c r="AS58" s="1293"/>
    </row>
    <row r="59" spans="1:45" ht="15.75">
      <c r="A59" s="1653"/>
      <c r="B59" s="1653"/>
      <c r="C59" s="1653"/>
      <c r="D59" s="1653"/>
      <c r="E59" s="1653"/>
      <c r="F59" s="1675"/>
      <c r="G59" s="1675"/>
      <c r="H59" s="1675"/>
      <c r="I59" s="1675"/>
      <c r="J59" s="1653"/>
      <c r="K59" s="1653"/>
      <c r="L59" s="1653"/>
      <c r="M59" s="1665"/>
      <c r="N59" s="1653"/>
      <c r="O59" s="1653"/>
      <c r="P59" s="1653"/>
      <c r="Q59" s="1653"/>
      <c r="R59" s="1653"/>
      <c r="S59" s="1653"/>
      <c r="T59" s="1653"/>
      <c r="U59" s="1653"/>
      <c r="V59" s="1653"/>
      <c r="W59" s="1653"/>
      <c r="X59" s="1653"/>
      <c r="Y59" s="1653"/>
      <c r="Z59" s="1653"/>
      <c r="AA59" s="1653"/>
      <c r="AB59" s="1653"/>
      <c r="AC59" s="1653"/>
      <c r="AD59" s="1653"/>
      <c r="AE59" s="1653"/>
      <c r="AF59" s="1653"/>
      <c r="AG59" s="1653"/>
      <c r="AH59" s="1293"/>
      <c r="AI59" s="1293"/>
      <c r="AJ59" s="1293"/>
      <c r="AK59" s="1293"/>
      <c r="AL59" s="1293"/>
      <c r="AM59" s="1293"/>
      <c r="AN59" s="1293"/>
      <c r="AO59" s="1293"/>
      <c r="AP59" s="1293"/>
      <c r="AQ59" s="1293"/>
      <c r="AR59" s="1293"/>
      <c r="AS59" s="1293"/>
    </row>
    <row r="60" spans="1:45" ht="15.75">
      <c r="A60" s="1653" t="s">
        <v>1433</v>
      </c>
      <c r="B60" s="1653"/>
      <c r="C60" s="1653"/>
      <c r="D60" s="1675"/>
      <c r="E60" s="1675"/>
      <c r="F60" s="1675" t="e">
        <f t="shared" ref="F60:AG60" si="41">F14</f>
        <v>#REF!</v>
      </c>
      <c r="G60" s="1675" t="e">
        <f t="shared" si="41"/>
        <v>#REF!</v>
      </c>
      <c r="H60" s="1675" t="e">
        <f t="shared" si="41"/>
        <v>#REF!</v>
      </c>
      <c r="I60" s="1675" t="e">
        <f t="shared" si="41"/>
        <v>#REF!</v>
      </c>
      <c r="J60" s="1675" t="e">
        <f t="shared" si="41"/>
        <v>#REF!</v>
      </c>
      <c r="K60" s="1675" t="e">
        <f t="shared" si="41"/>
        <v>#REF!</v>
      </c>
      <c r="L60" s="1675" t="e">
        <f t="shared" si="41"/>
        <v>#REF!</v>
      </c>
      <c r="M60" s="1675" t="e">
        <f t="shared" si="41"/>
        <v>#REF!</v>
      </c>
      <c r="N60" s="1675">
        <f t="shared" si="41"/>
        <v>0</v>
      </c>
      <c r="O60" s="1675">
        <f t="shared" si="41"/>
        <v>0</v>
      </c>
      <c r="P60" s="1675">
        <f t="shared" si="41"/>
        <v>0</v>
      </c>
      <c r="Q60" s="1675">
        <f t="shared" si="41"/>
        <v>2109.5211117787239</v>
      </c>
      <c r="R60" s="1675">
        <f t="shared" si="41"/>
        <v>2265.6309442315396</v>
      </c>
      <c r="S60" s="1675">
        <f t="shared" si="41"/>
        <v>2225.5</v>
      </c>
      <c r="T60" s="1675">
        <f t="shared" si="41"/>
        <v>2181</v>
      </c>
      <c r="U60" s="1675">
        <f t="shared" si="41"/>
        <v>2182</v>
      </c>
      <c r="V60" s="1675">
        <f t="shared" si="41"/>
        <v>2550</v>
      </c>
      <c r="W60" s="1675">
        <f t="shared" si="41"/>
        <v>2641</v>
      </c>
      <c r="X60" s="1675">
        <f t="shared" si="41"/>
        <v>2613</v>
      </c>
      <c r="Y60" s="1675">
        <f t="shared" si="41"/>
        <v>2228.1349999999998</v>
      </c>
      <c r="Z60" s="1675">
        <f t="shared" si="41"/>
        <v>2111.2855</v>
      </c>
      <c r="AA60" s="1675">
        <f t="shared" ca="1" si="41"/>
        <v>2468.6458000000002</v>
      </c>
      <c r="AB60" s="1675">
        <f t="shared" si="41"/>
        <v>2381.685419914671</v>
      </c>
      <c r="AC60" s="1675">
        <f t="shared" si="41"/>
        <v>2396.1990022089599</v>
      </c>
      <c r="AD60" s="1675">
        <f t="shared" si="41"/>
        <v>2461.0081072440548</v>
      </c>
      <c r="AE60" s="1675">
        <f t="shared" si="41"/>
        <v>2531.4814825398967</v>
      </c>
      <c r="AF60" s="1675">
        <f t="shared" si="41"/>
        <v>2605.2274230211528</v>
      </c>
      <c r="AG60" s="1675">
        <f t="shared" si="41"/>
        <v>2675.7831928277733</v>
      </c>
      <c r="AH60" s="1293"/>
      <c r="AI60" s="1293"/>
      <c r="AJ60" s="1293"/>
      <c r="AK60" s="1293"/>
      <c r="AL60" s="1293"/>
      <c r="AM60" s="1293"/>
      <c r="AN60" s="1293"/>
      <c r="AO60" s="1293"/>
      <c r="AP60" s="1293"/>
      <c r="AQ60" s="1293"/>
      <c r="AR60" s="1293"/>
      <c r="AS60" s="1293"/>
    </row>
    <row r="61" spans="1:45" ht="15.75">
      <c r="A61" s="1653" t="s">
        <v>9129</v>
      </c>
      <c r="B61" s="1653"/>
      <c r="C61" s="1653"/>
      <c r="D61" s="1675"/>
      <c r="E61" s="1675"/>
      <c r="F61" s="1675">
        <f t="shared" ref="F61:AG61" si="42">+F25+F26</f>
        <v>-121.874</v>
      </c>
      <c r="G61" s="1675">
        <f t="shared" si="42"/>
        <v>-162.75200000000001</v>
      </c>
      <c r="H61" s="1675">
        <f t="shared" si="42"/>
        <v>-218.58999999999997</v>
      </c>
      <c r="I61" s="1675">
        <f t="shared" si="42"/>
        <v>-229</v>
      </c>
      <c r="J61" s="1675">
        <f t="shared" si="42"/>
        <v>-355</v>
      </c>
      <c r="K61" s="1675">
        <f t="shared" si="42"/>
        <v>-516</v>
      </c>
      <c r="L61" s="1675">
        <f t="shared" si="42"/>
        <v>-636</v>
      </c>
      <c r="M61" s="1675">
        <f t="shared" si="42"/>
        <v>-677</v>
      </c>
      <c r="N61" s="1675">
        <f t="shared" si="42"/>
        <v>-739</v>
      </c>
      <c r="O61" s="1675">
        <f t="shared" si="42"/>
        <v>-802</v>
      </c>
      <c r="P61" s="1675">
        <f t="shared" si="42"/>
        <v>-934</v>
      </c>
      <c r="Q61" s="1675">
        <f t="shared" si="42"/>
        <v>-1158</v>
      </c>
      <c r="R61" s="1675">
        <f t="shared" si="42"/>
        <v>-1322</v>
      </c>
      <c r="S61" s="1675">
        <f t="shared" si="42"/>
        <v>-1288</v>
      </c>
      <c r="T61" s="1675">
        <f t="shared" si="42"/>
        <v>-1241</v>
      </c>
      <c r="U61" s="1675">
        <f t="shared" si="42"/>
        <v>-1245</v>
      </c>
      <c r="V61" s="1675">
        <f t="shared" si="42"/>
        <v>-1544</v>
      </c>
      <c r="W61" s="1675">
        <f t="shared" si="42"/>
        <v>-1661</v>
      </c>
      <c r="X61" s="1675">
        <f t="shared" si="42"/>
        <v>-1598</v>
      </c>
      <c r="Y61" s="1675">
        <f t="shared" si="42"/>
        <v>-1344</v>
      </c>
      <c r="Z61" s="1675">
        <f t="shared" si="42"/>
        <v>-1338</v>
      </c>
      <c r="AA61" s="1675">
        <f t="shared" si="42"/>
        <v>-1234.6134</v>
      </c>
      <c r="AB61" s="1675">
        <f t="shared" si="42"/>
        <v>-1256.82</v>
      </c>
      <c r="AC61" s="1675">
        <f t="shared" si="42"/>
        <v>-906.78310622892457</v>
      </c>
      <c r="AD61" s="1675">
        <f t="shared" si="42"/>
        <v>-967.60975661185353</v>
      </c>
      <c r="AE61" s="1675">
        <f t="shared" si="42"/>
        <v>-1000.1792931092739</v>
      </c>
      <c r="AF61" s="1675">
        <f t="shared" si="42"/>
        <v>-1016.0113678767225</v>
      </c>
      <c r="AG61" s="1675">
        <f t="shared" si="42"/>
        <v>-1017.8936562984587</v>
      </c>
      <c r="AH61" s="1293"/>
      <c r="AI61" s="1293"/>
      <c r="AJ61" s="1293"/>
      <c r="AK61" s="1293"/>
      <c r="AL61" s="1293"/>
      <c r="AM61" s="1293"/>
      <c r="AN61" s="1293"/>
      <c r="AO61" s="1293"/>
      <c r="AP61" s="1293"/>
      <c r="AQ61" s="1293"/>
      <c r="AR61" s="1293"/>
      <c r="AS61" s="1293"/>
    </row>
    <row r="62" spans="1:45" ht="15.75">
      <c r="A62" s="1653" t="s">
        <v>9130</v>
      </c>
      <c r="B62" s="1653"/>
      <c r="C62" s="1653"/>
      <c r="D62" s="1675"/>
      <c r="E62" s="1675"/>
      <c r="F62" s="1675">
        <f t="shared" ref="F62:AG62" si="43">F28</f>
        <v>0.38</v>
      </c>
      <c r="G62" s="1675">
        <f t="shared" si="43"/>
        <v>0.81399999999999995</v>
      </c>
      <c r="H62" s="1675">
        <f t="shared" si="43"/>
        <v>1.296</v>
      </c>
      <c r="I62" s="1675">
        <f t="shared" si="43"/>
        <v>1.4830000000000001</v>
      </c>
      <c r="J62" s="1675">
        <f t="shared" si="43"/>
        <v>4</v>
      </c>
      <c r="K62" s="1675">
        <f t="shared" si="43"/>
        <v>8.9</v>
      </c>
      <c r="L62" s="1675">
        <f t="shared" si="43"/>
        <v>2.2999999999999998</v>
      </c>
      <c r="M62" s="1675">
        <f t="shared" si="43"/>
        <v>-31.518999999999998</v>
      </c>
      <c r="N62" s="1675">
        <f t="shared" si="43"/>
        <v>0</v>
      </c>
      <c r="O62" s="1675">
        <f t="shared" si="43"/>
        <v>-23</v>
      </c>
      <c r="P62" s="1675">
        <f t="shared" si="43"/>
        <v>-7</v>
      </c>
      <c r="Q62" s="1675">
        <f t="shared" si="43"/>
        <v>55</v>
      </c>
      <c r="R62" s="1675">
        <f t="shared" si="43"/>
        <v>100</v>
      </c>
      <c r="S62" s="1675">
        <f t="shared" si="43"/>
        <v>-49</v>
      </c>
      <c r="T62" s="1675">
        <f t="shared" si="43"/>
        <v>-86</v>
      </c>
      <c r="U62" s="1675">
        <f t="shared" si="43"/>
        <v>-35</v>
      </c>
      <c r="V62" s="1675">
        <f t="shared" si="43"/>
        <v>-41</v>
      </c>
      <c r="W62" s="1675">
        <f t="shared" si="43"/>
        <v>-1</v>
      </c>
      <c r="X62" s="1675">
        <f t="shared" si="43"/>
        <v>-39</v>
      </c>
      <c r="Y62" s="1675">
        <f t="shared" si="43"/>
        <v>32</v>
      </c>
      <c r="Z62" s="1675">
        <f t="shared" si="43"/>
        <v>42</v>
      </c>
      <c r="AA62" s="1675">
        <f t="shared" si="43"/>
        <v>54</v>
      </c>
      <c r="AB62" s="1675">
        <f t="shared" si="43"/>
        <v>64.604846716329632</v>
      </c>
      <c r="AC62" s="1675">
        <f t="shared" si="43"/>
        <v>67.100332035230252</v>
      </c>
      <c r="AD62" s="1675">
        <f t="shared" si="43"/>
        <v>69.658441254023217</v>
      </c>
      <c r="AE62" s="1675">
        <f t="shared" si="43"/>
        <v>72.607805041101955</v>
      </c>
      <c r="AF62" s="1675">
        <f t="shared" si="43"/>
        <v>75.601595028514595</v>
      </c>
      <c r="AG62" s="1675">
        <f t="shared" si="43"/>
        <v>78.661670145373847</v>
      </c>
      <c r="AH62" s="1293"/>
      <c r="AI62" s="1293"/>
      <c r="AJ62" s="1293"/>
      <c r="AK62" s="1293"/>
      <c r="AL62" s="1293"/>
      <c r="AM62" s="1293"/>
      <c r="AN62" s="1293"/>
      <c r="AO62" s="1293"/>
      <c r="AP62" s="1293"/>
      <c r="AQ62" s="1293"/>
      <c r="AR62" s="1293"/>
      <c r="AS62" s="1293"/>
    </row>
    <row r="63" spans="1:45" ht="15.75">
      <c r="A63" s="1653" t="s">
        <v>9131</v>
      </c>
      <c r="B63" s="1653"/>
      <c r="C63" s="1653"/>
      <c r="D63" s="1675"/>
      <c r="E63" s="1675"/>
      <c r="F63" s="1675">
        <f t="shared" ref="F63:AG63" si="44">F402+F411</f>
        <v>-130.33599999999998</v>
      </c>
      <c r="G63" s="1675">
        <f t="shared" si="44"/>
        <v>-100.724</v>
      </c>
      <c r="H63" s="1675">
        <f t="shared" si="44"/>
        <v>-112.42800000000001</v>
      </c>
      <c r="I63" s="1675">
        <f t="shared" si="44"/>
        <v>-87.584000000000003</v>
      </c>
      <c r="J63" s="1675">
        <f t="shared" si="44"/>
        <v>-107.01600000000001</v>
      </c>
      <c r="K63" s="1675">
        <f t="shared" si="44"/>
        <v>-146.1</v>
      </c>
      <c r="L63" s="1675">
        <f t="shared" si="44"/>
        <v>-168</v>
      </c>
      <c r="M63" s="1675">
        <f t="shared" si="44"/>
        <v>-200.05200000000002</v>
      </c>
      <c r="N63" s="1675">
        <f t="shared" si="44"/>
        <v>-172</v>
      </c>
      <c r="O63" s="1675">
        <f t="shared" si="44"/>
        <v>-206</v>
      </c>
      <c r="P63" s="1675">
        <f t="shared" si="44"/>
        <v>-258</v>
      </c>
      <c r="Q63" s="1675">
        <f t="shared" si="44"/>
        <v>-383</v>
      </c>
      <c r="R63" s="1675">
        <f t="shared" si="44"/>
        <v>-397</v>
      </c>
      <c r="S63" s="1675">
        <f t="shared" si="44"/>
        <v>-472</v>
      </c>
      <c r="T63" s="1675">
        <f t="shared" si="44"/>
        <v>-471</v>
      </c>
      <c r="U63" s="1675">
        <f t="shared" si="44"/>
        <v>-436</v>
      </c>
      <c r="V63" s="1675">
        <f t="shared" si="44"/>
        <v>-521</v>
      </c>
      <c r="W63" s="1675">
        <f t="shared" si="44"/>
        <v>-665.6123046875</v>
      </c>
      <c r="X63" s="1675">
        <f t="shared" si="44"/>
        <v>-466</v>
      </c>
      <c r="Y63" s="1675">
        <f t="shared" si="44"/>
        <v>-403</v>
      </c>
      <c r="Z63" s="1675">
        <f t="shared" si="44"/>
        <v>-494</v>
      </c>
      <c r="AA63" s="1675">
        <f t="shared" si="44"/>
        <v>-550</v>
      </c>
      <c r="AB63" s="1675">
        <f t="shared" ca="1" si="44"/>
        <v>-517.39554709684376</v>
      </c>
      <c r="AC63" s="1675">
        <f t="shared" ca="1" si="44"/>
        <v>-514.40210562505342</v>
      </c>
      <c r="AD63" s="1675">
        <f t="shared" ca="1" si="44"/>
        <v>-534.91308082361172</v>
      </c>
      <c r="AE63" s="1675">
        <f t="shared" ca="1" si="44"/>
        <v>-546.30412074254639</v>
      </c>
      <c r="AF63" s="1675">
        <f t="shared" ca="1" si="44"/>
        <v>-555.2573514764772</v>
      </c>
      <c r="AG63" s="1675">
        <f t="shared" ca="1" si="44"/>
        <v>-562.20544656677043</v>
      </c>
      <c r="AH63" s="1293"/>
      <c r="AI63" s="1293"/>
      <c r="AJ63" s="1293"/>
      <c r="AK63" s="1293"/>
      <c r="AL63" s="1293"/>
      <c r="AM63" s="1293"/>
      <c r="AN63" s="1293"/>
      <c r="AO63" s="1293"/>
      <c r="AP63" s="1293"/>
      <c r="AQ63" s="1293"/>
      <c r="AR63" s="1293"/>
      <c r="AS63" s="1293"/>
    </row>
    <row r="64" spans="1:45" ht="15.75">
      <c r="A64" s="1653" t="s">
        <v>9132</v>
      </c>
      <c r="B64" s="1653"/>
      <c r="C64" s="1653"/>
      <c r="D64" s="1675"/>
      <c r="E64" s="1675"/>
      <c r="F64" s="1675">
        <f t="shared" ref="F64:P64" si="45">F181</f>
        <v>-52.369</v>
      </c>
      <c r="G64" s="1675">
        <f t="shared" si="45"/>
        <v>-58.9</v>
      </c>
      <c r="H64" s="1675">
        <f t="shared" si="45"/>
        <v>-65.228999999999999</v>
      </c>
      <c r="I64" s="1675">
        <f t="shared" si="45"/>
        <v>-118.205</v>
      </c>
      <c r="J64" s="1675">
        <f t="shared" si="45"/>
        <v>-173.1</v>
      </c>
      <c r="K64" s="1675">
        <f t="shared" si="45"/>
        <v>-187.39999999999998</v>
      </c>
      <c r="L64" s="1675">
        <f t="shared" si="45"/>
        <v>-212</v>
      </c>
      <c r="M64" s="1675">
        <f t="shared" si="45"/>
        <v>-227</v>
      </c>
      <c r="N64" s="1675">
        <f t="shared" si="45"/>
        <v>-212</v>
      </c>
      <c r="O64" s="1675">
        <f t="shared" si="45"/>
        <v>-326</v>
      </c>
      <c r="P64" s="1675">
        <f t="shared" si="45"/>
        <v>-253</v>
      </c>
      <c r="Q64" s="1675">
        <f t="shared" ref="Q64:AG64" si="46">-Q176</f>
        <v>-292</v>
      </c>
      <c r="R64" s="1675">
        <f t="shared" si="46"/>
        <v>-291</v>
      </c>
      <c r="S64" s="1675">
        <f t="shared" si="46"/>
        <v>-251</v>
      </c>
      <c r="T64" s="1675">
        <f t="shared" si="46"/>
        <v>-252</v>
      </c>
      <c r="U64" s="1675">
        <f t="shared" si="46"/>
        <v>-204</v>
      </c>
      <c r="V64" s="1675">
        <f t="shared" si="46"/>
        <v>-222</v>
      </c>
      <c r="W64" s="1675">
        <f t="shared" si="46"/>
        <v>-204</v>
      </c>
      <c r="X64" s="1675">
        <f t="shared" si="46"/>
        <v>-158</v>
      </c>
      <c r="Y64" s="1675">
        <f t="shared" si="46"/>
        <v>-222</v>
      </c>
      <c r="Z64" s="1675">
        <f t="shared" si="46"/>
        <v>-424</v>
      </c>
      <c r="AA64" s="1675">
        <f t="shared" si="46"/>
        <v>-281</v>
      </c>
      <c r="AB64" s="1675">
        <f t="shared" ca="1" si="46"/>
        <v>-267.30215329751451</v>
      </c>
      <c r="AC64" s="1675">
        <f t="shared" ca="1" si="46"/>
        <v>-348.1306027258467</v>
      </c>
      <c r="AD64" s="1675">
        <f t="shared" ca="1" si="46"/>
        <v>-344.46528864977483</v>
      </c>
      <c r="AE64" s="1675">
        <f t="shared" ca="1" si="46"/>
        <v>-350.34330438073926</v>
      </c>
      <c r="AF64" s="1675">
        <f t="shared" ca="1" si="46"/>
        <v>-361.15754461674925</v>
      </c>
      <c r="AG64" s="1675">
        <f t="shared" ca="1" si="46"/>
        <v>-374.78229820533898</v>
      </c>
      <c r="AH64" s="1293"/>
      <c r="AI64" s="1293"/>
      <c r="AJ64" s="1293"/>
      <c r="AK64" s="1293"/>
      <c r="AL64" s="1293"/>
      <c r="AM64" s="1293"/>
      <c r="AN64" s="1293"/>
      <c r="AO64" s="1293"/>
      <c r="AP64" s="1293"/>
      <c r="AQ64" s="1293"/>
      <c r="AR64" s="1293"/>
      <c r="AS64" s="1293"/>
    </row>
    <row r="65" spans="1:45" ht="15.75">
      <c r="A65" s="1653" t="s">
        <v>9133</v>
      </c>
      <c r="B65" s="1653"/>
      <c r="C65" s="1653"/>
      <c r="D65" s="1675"/>
      <c r="E65" s="1675"/>
      <c r="F65" s="1675">
        <f t="shared" ref="F65:M65" si="47">F46</f>
        <v>-14.695</v>
      </c>
      <c r="G65" s="1675">
        <f t="shared" si="47"/>
        <v>-16.79</v>
      </c>
      <c r="H65" s="1675">
        <f t="shared" si="47"/>
        <v>6.1319999999999997</v>
      </c>
      <c r="I65" s="1675">
        <f t="shared" si="47"/>
        <v>8.9640000000000004</v>
      </c>
      <c r="J65" s="1675">
        <f t="shared" si="47"/>
        <v>-13</v>
      </c>
      <c r="K65" s="1675">
        <f t="shared" si="47"/>
        <v>113.075</v>
      </c>
      <c r="L65" s="1675">
        <f t="shared" si="47"/>
        <v>-5</v>
      </c>
      <c r="M65" s="1675">
        <f t="shared" si="47"/>
        <v>-2.6</v>
      </c>
      <c r="N65" s="1675">
        <f>N46+92</f>
        <v>-112</v>
      </c>
      <c r="O65" s="1675">
        <f t="shared" ref="O65:AG65" si="48">O46</f>
        <v>4</v>
      </c>
      <c r="P65" s="1675">
        <f t="shared" si="48"/>
        <v>-204</v>
      </c>
      <c r="Q65" s="1675">
        <f t="shared" si="48"/>
        <v>-157</v>
      </c>
      <c r="R65" s="1675">
        <f t="shared" si="48"/>
        <v>-115</v>
      </c>
      <c r="S65" s="1675">
        <f t="shared" si="48"/>
        <v>-38</v>
      </c>
      <c r="T65" s="1675">
        <f t="shared" si="48"/>
        <v>-102</v>
      </c>
      <c r="U65" s="1675">
        <f t="shared" si="48"/>
        <v>-113</v>
      </c>
      <c r="V65" s="1675">
        <f t="shared" si="48"/>
        <v>-152</v>
      </c>
      <c r="W65" s="1675">
        <f t="shared" si="48"/>
        <v>-99</v>
      </c>
      <c r="X65" s="1675">
        <f t="shared" si="48"/>
        <v>-121</v>
      </c>
      <c r="Y65" s="1675">
        <f t="shared" si="48"/>
        <v>48</v>
      </c>
      <c r="Z65" s="1675">
        <f t="shared" si="48"/>
        <v>163</v>
      </c>
      <c r="AA65" s="1675">
        <f t="shared" si="48"/>
        <v>-15</v>
      </c>
      <c r="AB65" s="1675">
        <f t="shared" ca="1" si="48"/>
        <v>25.325811405010896</v>
      </c>
      <c r="AC65" s="1675">
        <f t="shared" ca="1" si="48"/>
        <v>25.325811405010896</v>
      </c>
      <c r="AD65" s="1675">
        <f t="shared" ca="1" si="48"/>
        <v>25.325811405010896</v>
      </c>
      <c r="AE65" s="1675">
        <f t="shared" ca="1" si="48"/>
        <v>25.325811405010896</v>
      </c>
      <c r="AF65" s="1675">
        <f t="shared" ca="1" si="48"/>
        <v>25.325811405010896</v>
      </c>
      <c r="AG65" s="1675">
        <f t="shared" ca="1" si="48"/>
        <v>25.325811405010896</v>
      </c>
      <c r="AH65" s="1293"/>
      <c r="AI65" s="1293"/>
      <c r="AJ65" s="1293"/>
      <c r="AK65" s="1293"/>
      <c r="AL65" s="1293"/>
      <c r="AM65" s="1293"/>
      <c r="AN65" s="1293"/>
      <c r="AO65" s="1293"/>
      <c r="AP65" s="1293"/>
      <c r="AQ65" s="1293"/>
      <c r="AR65" s="1293"/>
      <c r="AS65" s="1293"/>
    </row>
    <row r="66" spans="1:45" ht="15.75">
      <c r="A66" s="1834" t="s">
        <v>402</v>
      </c>
      <c r="B66" s="1834"/>
      <c r="C66" s="1834"/>
      <c r="D66" s="1914"/>
      <c r="E66" s="1914"/>
      <c r="F66" s="1914" t="e">
        <f t="shared" ref="F66:AG66" si="49">SUM(F60:F65)</f>
        <v>#REF!</v>
      </c>
      <c r="G66" s="1914" t="e">
        <f t="shared" si="49"/>
        <v>#REF!</v>
      </c>
      <c r="H66" s="1914" t="e">
        <f t="shared" si="49"/>
        <v>#REF!</v>
      </c>
      <c r="I66" s="1914" t="e">
        <f t="shared" si="49"/>
        <v>#REF!</v>
      </c>
      <c r="J66" s="1914" t="e">
        <f t="shared" si="49"/>
        <v>#REF!</v>
      </c>
      <c r="K66" s="1914" t="e">
        <f t="shared" si="49"/>
        <v>#REF!</v>
      </c>
      <c r="L66" s="1914" t="e">
        <f t="shared" si="49"/>
        <v>#REF!</v>
      </c>
      <c r="M66" s="1914" t="e">
        <f t="shared" si="49"/>
        <v>#REF!</v>
      </c>
      <c r="N66" s="1914">
        <f t="shared" si="49"/>
        <v>-1235</v>
      </c>
      <c r="O66" s="1914">
        <f t="shared" si="49"/>
        <v>-1353</v>
      </c>
      <c r="P66" s="1914">
        <f t="shared" si="49"/>
        <v>-1656</v>
      </c>
      <c r="Q66" s="1914">
        <f t="shared" si="49"/>
        <v>174.52111177872393</v>
      </c>
      <c r="R66" s="1914">
        <f t="shared" si="49"/>
        <v>240.63094423153962</v>
      </c>
      <c r="S66" s="1914">
        <f t="shared" si="49"/>
        <v>127.5</v>
      </c>
      <c r="T66" s="1914">
        <f t="shared" si="49"/>
        <v>29</v>
      </c>
      <c r="U66" s="1914">
        <f t="shared" si="49"/>
        <v>149</v>
      </c>
      <c r="V66" s="1914">
        <f t="shared" si="49"/>
        <v>70</v>
      </c>
      <c r="W66" s="1914">
        <f t="shared" si="49"/>
        <v>10.3876953125</v>
      </c>
      <c r="X66" s="1914">
        <f t="shared" si="49"/>
        <v>231</v>
      </c>
      <c r="Y66" s="1914">
        <f t="shared" si="49"/>
        <v>339.13499999999976</v>
      </c>
      <c r="Z66" s="1914">
        <f t="shared" si="49"/>
        <v>60.285499999999956</v>
      </c>
      <c r="AA66" s="1914">
        <f t="shared" ca="1" si="49"/>
        <v>442.03240000000028</v>
      </c>
      <c r="AB66" s="1914">
        <f t="shared" ca="1" si="49"/>
        <v>430.09837764165326</v>
      </c>
      <c r="AC66" s="1914">
        <f t="shared" ca="1" si="49"/>
        <v>719.30933106937596</v>
      </c>
      <c r="AD66" s="1914">
        <f t="shared" ca="1" si="49"/>
        <v>709.00423381784901</v>
      </c>
      <c r="AE66" s="1914">
        <f t="shared" ca="1" si="49"/>
        <v>732.58838075344988</v>
      </c>
      <c r="AF66" s="1914">
        <f t="shared" ca="1" si="49"/>
        <v>773.72856548472942</v>
      </c>
      <c r="AG66" s="1914">
        <f t="shared" ca="1" si="49"/>
        <v>824.88927330758997</v>
      </c>
      <c r="AH66" s="1293"/>
      <c r="AI66" s="1293"/>
      <c r="AJ66" s="1293"/>
      <c r="AK66" s="1293"/>
      <c r="AL66" s="1293"/>
      <c r="AM66" s="1293"/>
      <c r="AN66" s="1293"/>
      <c r="AO66" s="1293"/>
      <c r="AP66" s="1293"/>
      <c r="AQ66" s="1293"/>
      <c r="AR66" s="1293"/>
      <c r="AS66" s="1293"/>
    </row>
    <row r="67" spans="1:45" ht="15.75">
      <c r="A67" s="1899" t="s">
        <v>2353</v>
      </c>
      <c r="B67" s="1899"/>
      <c r="C67" s="1900"/>
      <c r="D67" s="1899"/>
      <c r="E67" s="1900"/>
      <c r="F67" s="1899"/>
      <c r="G67" s="1901" t="e">
        <f t="shared" ref="G67:AG67" si="50">G66/F66-1</f>
        <v>#REF!</v>
      </c>
      <c r="H67" s="1901" t="e">
        <f t="shared" si="50"/>
        <v>#REF!</v>
      </c>
      <c r="I67" s="1901" t="e">
        <f t="shared" si="50"/>
        <v>#REF!</v>
      </c>
      <c r="J67" s="1901" t="e">
        <f t="shared" si="50"/>
        <v>#REF!</v>
      </c>
      <c r="K67" s="1901" t="e">
        <f t="shared" si="50"/>
        <v>#REF!</v>
      </c>
      <c r="L67" s="1901" t="e">
        <f t="shared" si="50"/>
        <v>#REF!</v>
      </c>
      <c r="M67" s="1901" t="e">
        <f t="shared" si="50"/>
        <v>#REF!</v>
      </c>
      <c r="N67" s="1908" t="e">
        <f t="shared" si="50"/>
        <v>#REF!</v>
      </c>
      <c r="O67" s="1908">
        <f t="shared" si="50"/>
        <v>9.5546558704453499E-2</v>
      </c>
      <c r="P67" s="1908">
        <f t="shared" si="50"/>
        <v>0.22394678492239461</v>
      </c>
      <c r="Q67" s="1908">
        <f t="shared" si="50"/>
        <v>-1.1053871447939154</v>
      </c>
      <c r="R67" s="1908">
        <f t="shared" si="50"/>
        <v>0.37880707828996996</v>
      </c>
      <c r="S67" s="1908">
        <f t="shared" si="50"/>
        <v>-0.47014295934725214</v>
      </c>
      <c r="T67" s="1908">
        <f t="shared" si="50"/>
        <v>-0.77254901960784317</v>
      </c>
      <c r="U67" s="1908">
        <f t="shared" si="50"/>
        <v>4.1379310344827589</v>
      </c>
      <c r="V67" s="1908">
        <f t="shared" si="50"/>
        <v>-0.53020134228187921</v>
      </c>
      <c r="W67" s="1908">
        <f t="shared" si="50"/>
        <v>-0.85160435267857149</v>
      </c>
      <c r="X67" s="1908">
        <f t="shared" si="50"/>
        <v>21.237849017580146</v>
      </c>
      <c r="Y67" s="1908">
        <f t="shared" si="50"/>
        <v>0.46811688311688204</v>
      </c>
      <c r="Z67" s="1908">
        <f t="shared" si="50"/>
        <v>-0.82223745705987294</v>
      </c>
      <c r="AA67" s="1908">
        <f t="shared" ca="1" si="50"/>
        <v>6.3323170579990311</v>
      </c>
      <c r="AB67" s="1908">
        <f t="shared" ca="1" si="50"/>
        <v>-2.6998071540337398E-2</v>
      </c>
      <c r="AC67" s="1908">
        <f t="shared" ca="1" si="50"/>
        <v>0.67242977063420994</v>
      </c>
      <c r="AD67" s="1908">
        <f t="shared" ca="1" si="50"/>
        <v>-1.4326377827195258E-2</v>
      </c>
      <c r="AE67" s="1908">
        <f t="shared" ca="1" si="50"/>
        <v>3.326376037080192E-2</v>
      </c>
      <c r="AF67" s="1908">
        <f t="shared" ca="1" si="50"/>
        <v>5.6157298985506365E-2</v>
      </c>
      <c r="AG67" s="1908">
        <f t="shared" ca="1" si="50"/>
        <v>6.6122294180529728E-2</v>
      </c>
      <c r="AH67" s="1293"/>
      <c r="AI67" s="1293"/>
      <c r="AJ67" s="1293"/>
      <c r="AK67" s="1293"/>
      <c r="AL67" s="1293"/>
      <c r="AM67" s="1293"/>
      <c r="AN67" s="1293"/>
      <c r="AO67" s="1293"/>
      <c r="AP67" s="1293"/>
      <c r="AQ67" s="1293"/>
      <c r="AR67" s="1293"/>
      <c r="AS67" s="1293"/>
    </row>
    <row r="68" spans="1:45" ht="15.75">
      <c r="A68" s="1653"/>
      <c r="B68" s="1653"/>
      <c r="C68" s="1653"/>
      <c r="D68" s="1675"/>
      <c r="E68" s="1675"/>
      <c r="F68" s="1675"/>
      <c r="G68" s="1675"/>
      <c r="H68" s="1675"/>
      <c r="I68" s="1675"/>
      <c r="J68" s="1675"/>
      <c r="K68" s="1675"/>
      <c r="L68" s="1675"/>
      <c r="M68" s="1675"/>
      <c r="N68" s="1675"/>
      <c r="O68" s="1675"/>
      <c r="P68" s="1675"/>
      <c r="Q68" s="1675"/>
      <c r="R68" s="1675"/>
      <c r="S68" s="1675"/>
      <c r="T68" s="1675"/>
      <c r="U68" s="1675"/>
      <c r="V68" s="1675"/>
      <c r="W68" s="1675"/>
      <c r="X68" s="1675"/>
      <c r="Y68" s="1675"/>
      <c r="Z68" s="1675"/>
      <c r="AA68" s="1675"/>
      <c r="AB68" s="1675"/>
      <c r="AC68" s="1675"/>
      <c r="AD68" s="1675"/>
      <c r="AE68" s="1675"/>
      <c r="AF68" s="1675"/>
      <c r="AG68" s="1675"/>
      <c r="AH68" s="1293"/>
      <c r="AI68" s="1293"/>
      <c r="AJ68" s="1293"/>
      <c r="AK68" s="1293"/>
      <c r="AL68" s="1293"/>
      <c r="AM68" s="1293"/>
      <c r="AN68" s="1293"/>
      <c r="AO68" s="1293"/>
      <c r="AP68" s="1293"/>
      <c r="AQ68" s="1293"/>
      <c r="AR68" s="1293"/>
      <c r="AS68" s="1293"/>
    </row>
    <row r="69" spans="1:45" ht="15.75">
      <c r="A69" s="1653" t="s">
        <v>403</v>
      </c>
      <c r="B69" s="1653"/>
      <c r="C69" s="1653"/>
      <c r="D69" s="1652"/>
      <c r="E69" s="1652"/>
      <c r="F69" s="1652" t="e">
        <f t="shared" ref="F69:AG69" si="51">F66/F53</f>
        <v>#REF!</v>
      </c>
      <c r="G69" s="1652" t="e">
        <f t="shared" si="51"/>
        <v>#REF!</v>
      </c>
      <c r="H69" s="1652" t="e">
        <f t="shared" si="51"/>
        <v>#REF!</v>
      </c>
      <c r="I69" s="1652" t="e">
        <f t="shared" si="51"/>
        <v>#REF!</v>
      </c>
      <c r="J69" s="1652" t="e">
        <f t="shared" si="51"/>
        <v>#REF!</v>
      </c>
      <c r="K69" s="1652" t="e">
        <f t="shared" si="51"/>
        <v>#REF!</v>
      </c>
      <c r="L69" s="1652" t="e">
        <f t="shared" si="51"/>
        <v>#REF!</v>
      </c>
      <c r="M69" s="1652" t="e">
        <f t="shared" si="51"/>
        <v>#REF!</v>
      </c>
      <c r="N69" s="1652">
        <f t="shared" si="51"/>
        <v>-11.900918828024496</v>
      </c>
      <c r="O69" s="1652">
        <f t="shared" si="51"/>
        <v>-13.356762786657058</v>
      </c>
      <c r="P69" s="1652">
        <f t="shared" si="51"/>
        <v>-16.420914851210249</v>
      </c>
      <c r="Q69" s="1652">
        <f t="shared" si="51"/>
        <v>1.7305533310730508</v>
      </c>
      <c r="R69" s="1652">
        <f t="shared" si="51"/>
        <v>2.3860991822418081</v>
      </c>
      <c r="S69" s="1652">
        <f t="shared" si="51"/>
        <v>1.2642914514065864</v>
      </c>
      <c r="T69" s="1652">
        <f t="shared" si="51"/>
        <v>0.28756433012385102</v>
      </c>
      <c r="U69" s="1652">
        <f t="shared" si="51"/>
        <v>1.4774856961535792</v>
      </c>
      <c r="V69" s="1652">
        <f t="shared" si="51"/>
        <v>0.69412079685067485</v>
      </c>
      <c r="W69" s="1652">
        <f t="shared" si="51"/>
        <v>0.10300450496792171</v>
      </c>
      <c r="X69" s="1652">
        <f t="shared" si="51"/>
        <v>2.2905986296072269</v>
      </c>
      <c r="Y69" s="1652">
        <f t="shared" si="51"/>
        <v>2.4927782310525024</v>
      </c>
      <c r="Z69" s="1652">
        <f t="shared" si="51"/>
        <v>0.35188417132650773</v>
      </c>
      <c r="AA69" s="1652">
        <f t="shared" ca="1" si="51"/>
        <v>2.5702770985908141</v>
      </c>
      <c r="AB69" s="1652">
        <f t="shared" ca="1" si="51"/>
        <v>2.4924569867967854</v>
      </c>
      <c r="AC69" s="1652">
        <f t="shared" ca="1" si="51"/>
        <v>4.1684592667441818</v>
      </c>
      <c r="AD69" s="1652">
        <f t="shared" ca="1" si="51"/>
        <v>4.1087403443315313</v>
      </c>
      <c r="AE69" s="1652">
        <f t="shared" ca="1" si="51"/>
        <v>4.2454124985712207</v>
      </c>
      <c r="AF69" s="1652">
        <f t="shared" ca="1" si="51"/>
        <v>4.4838233975702906</v>
      </c>
      <c r="AG69" s="1652">
        <f t="shared" ca="1" si="51"/>
        <v>4.7803040873179761</v>
      </c>
      <c r="AH69" s="1293"/>
      <c r="AI69" s="1293"/>
      <c r="AJ69" s="1293"/>
      <c r="AK69" s="1293"/>
      <c r="AL69" s="1293"/>
      <c r="AM69" s="1293"/>
      <c r="AN69" s="1293"/>
      <c r="AO69" s="1293"/>
      <c r="AP69" s="1293"/>
      <c r="AQ69" s="1293"/>
      <c r="AR69" s="1293"/>
      <c r="AS69" s="1293"/>
    </row>
    <row r="70" spans="1:45" ht="15.75">
      <c r="A70" s="1653" t="s">
        <v>404</v>
      </c>
      <c r="B70" s="1653"/>
      <c r="C70" s="1653"/>
      <c r="D70" s="1652"/>
      <c r="E70" s="1652"/>
      <c r="F70" s="1652">
        <f t="shared" ref="F70:AG70" si="52">F386</f>
        <v>0</v>
      </c>
      <c r="G70" s="1652">
        <f t="shared" si="52"/>
        <v>0</v>
      </c>
      <c r="H70" s="1652">
        <f t="shared" ca="1" si="52"/>
        <v>0</v>
      </c>
      <c r="I70" s="1652">
        <f t="shared" ca="1" si="52"/>
        <v>0</v>
      </c>
      <c r="J70" s="1652">
        <f t="shared" si="52"/>
        <v>2.4</v>
      </c>
      <c r="K70" s="1652">
        <f t="shared" si="52"/>
        <v>1.2</v>
      </c>
      <c r="L70" s="1652">
        <f t="shared" si="52"/>
        <v>6</v>
      </c>
      <c r="M70" s="1652">
        <f t="shared" si="52"/>
        <v>4.8</v>
      </c>
      <c r="N70" s="1652">
        <f t="shared" si="52"/>
        <v>5.4</v>
      </c>
      <c r="O70" s="1652">
        <f t="shared" si="52"/>
        <v>2.64</v>
      </c>
      <c r="P70" s="1652">
        <f t="shared" si="52"/>
        <v>2.64</v>
      </c>
      <c r="Q70" s="1652">
        <f t="shared" si="52"/>
        <v>2.64</v>
      </c>
      <c r="R70" s="1652">
        <f t="shared" si="52"/>
        <v>2.64</v>
      </c>
      <c r="S70" s="1652">
        <f t="shared" si="52"/>
        <v>2.64</v>
      </c>
      <c r="T70" s="1652">
        <f t="shared" si="52"/>
        <v>2.64</v>
      </c>
      <c r="U70" s="1652">
        <f t="shared" si="52"/>
        <v>2.64</v>
      </c>
      <c r="V70" s="1652">
        <f t="shared" si="52"/>
        <v>0</v>
      </c>
      <c r="W70" s="1652">
        <f t="shared" si="52"/>
        <v>0</v>
      </c>
      <c r="X70" s="1652">
        <f t="shared" si="52"/>
        <v>0</v>
      </c>
      <c r="Y70" s="1652">
        <f t="shared" si="52"/>
        <v>0</v>
      </c>
      <c r="Z70" s="1652">
        <f t="shared" si="52"/>
        <v>0</v>
      </c>
      <c r="AA70" s="1652">
        <f t="shared" si="52"/>
        <v>3.25</v>
      </c>
      <c r="AB70" s="1652">
        <f t="shared" si="52"/>
        <v>3</v>
      </c>
      <c r="AC70" s="1652">
        <f t="shared" si="52"/>
        <v>3.25</v>
      </c>
      <c r="AD70" s="1652">
        <f t="shared" si="52"/>
        <v>3.5</v>
      </c>
      <c r="AE70" s="1652">
        <f t="shared" si="52"/>
        <v>3.75</v>
      </c>
      <c r="AF70" s="1652">
        <f t="shared" si="52"/>
        <v>4</v>
      </c>
      <c r="AG70" s="1652">
        <f t="shared" si="52"/>
        <v>4.25</v>
      </c>
      <c r="AH70" s="1293"/>
      <c r="AI70" s="1293"/>
      <c r="AJ70" s="1293"/>
      <c r="AK70" s="1293"/>
      <c r="AL70" s="1293"/>
      <c r="AM70" s="1293"/>
      <c r="AN70" s="1293"/>
      <c r="AO70" s="1293"/>
      <c r="AP70" s="1293"/>
      <c r="AQ70" s="1293"/>
      <c r="AR70" s="1293"/>
      <c r="AS70" s="1293"/>
    </row>
    <row r="71" spans="1:45" ht="15.75">
      <c r="A71" s="1653" t="s">
        <v>405</v>
      </c>
      <c r="B71" s="1653"/>
      <c r="C71" s="1653"/>
      <c r="D71" s="1665"/>
      <c r="E71" s="1665"/>
      <c r="F71" s="1665" t="e">
        <f t="shared" ref="F71:AG71" si="53">F70/F69</f>
        <v>#REF!</v>
      </c>
      <c r="G71" s="1665" t="e">
        <f t="shared" si="53"/>
        <v>#REF!</v>
      </c>
      <c r="H71" s="1665" t="e">
        <f t="shared" ca="1" si="53"/>
        <v>#REF!</v>
      </c>
      <c r="I71" s="1665" t="e">
        <f t="shared" ca="1" si="53"/>
        <v>#REF!</v>
      </c>
      <c r="J71" s="1665" t="e">
        <f t="shared" si="53"/>
        <v>#REF!</v>
      </c>
      <c r="K71" s="1665" t="e">
        <f t="shared" si="53"/>
        <v>#REF!</v>
      </c>
      <c r="L71" s="1665" t="e">
        <f t="shared" si="53"/>
        <v>#REF!</v>
      </c>
      <c r="M71" s="1665" t="e">
        <f t="shared" si="53"/>
        <v>#REF!</v>
      </c>
      <c r="N71" s="1665">
        <f t="shared" si="53"/>
        <v>-0.45374647773279353</v>
      </c>
      <c r="O71" s="1665">
        <f t="shared" si="53"/>
        <v>-0.19765268292682928</v>
      </c>
      <c r="P71" s="1665">
        <f t="shared" si="53"/>
        <v>-0.16077057971014494</v>
      </c>
      <c r="Q71" s="1665">
        <f t="shared" si="53"/>
        <v>1.5255236302732351</v>
      </c>
      <c r="R71" s="1665">
        <f t="shared" si="53"/>
        <v>1.1064083252061823</v>
      </c>
      <c r="S71" s="1665">
        <f t="shared" si="53"/>
        <v>2.0881261176470587</v>
      </c>
      <c r="T71" s="1665">
        <f t="shared" si="53"/>
        <v>9.1805544827586196</v>
      </c>
      <c r="U71" s="1665">
        <f t="shared" si="53"/>
        <v>1.7868193288590606</v>
      </c>
      <c r="V71" s="1665">
        <f t="shared" si="53"/>
        <v>0</v>
      </c>
      <c r="W71" s="1665">
        <f t="shared" si="53"/>
        <v>0</v>
      </c>
      <c r="X71" s="1665">
        <f t="shared" si="53"/>
        <v>0</v>
      </c>
      <c r="Y71" s="1665">
        <f t="shared" si="53"/>
        <v>0</v>
      </c>
      <c r="Z71" s="1665">
        <f t="shared" si="53"/>
        <v>0</v>
      </c>
      <c r="AA71" s="1665">
        <f t="shared" ca="1" si="53"/>
        <v>1.2644551055533477</v>
      </c>
      <c r="AB71" s="1665">
        <f t="shared" ca="1" si="53"/>
        <v>1.2036316036311987</v>
      </c>
      <c r="AC71" s="1665">
        <f t="shared" ca="1" si="53"/>
        <v>0.77966456957571428</v>
      </c>
      <c r="AD71" s="1665">
        <f t="shared" ca="1" si="53"/>
        <v>0.85184258597130458</v>
      </c>
      <c r="AE71" s="1665">
        <f t="shared" ca="1" si="53"/>
        <v>0.88330639278563627</v>
      </c>
      <c r="AF71" s="1665">
        <f t="shared" ca="1" si="53"/>
        <v>0.89209579533563554</v>
      </c>
      <c r="AG71" s="1665">
        <f t="shared" ca="1" si="53"/>
        <v>0.8890647796392579</v>
      </c>
      <c r="AH71" s="1293"/>
      <c r="AI71" s="1293"/>
      <c r="AJ71" s="1293"/>
      <c r="AK71" s="1293"/>
      <c r="AL71" s="1293"/>
      <c r="AM71" s="1293"/>
      <c r="AN71" s="1293"/>
      <c r="AO71" s="1293"/>
      <c r="AP71" s="1293"/>
      <c r="AQ71" s="1293"/>
      <c r="AR71" s="1293"/>
      <c r="AS71" s="1293"/>
    </row>
    <row r="72" spans="1:45" ht="15.75">
      <c r="A72" s="1653"/>
      <c r="B72" s="1653"/>
      <c r="C72" s="1653"/>
      <c r="D72" s="1653"/>
      <c r="E72" s="1653"/>
      <c r="F72" s="1653"/>
      <c r="G72" s="1653"/>
      <c r="H72" s="1653"/>
      <c r="I72" s="1653"/>
      <c r="J72" s="1653"/>
      <c r="K72" s="1653"/>
      <c r="L72" s="1653"/>
      <c r="M72" s="1653"/>
      <c r="N72" s="1653"/>
      <c r="O72" s="1653"/>
      <c r="P72" s="1653"/>
      <c r="Q72" s="1653"/>
      <c r="R72" s="1653"/>
      <c r="S72" s="1653"/>
      <c r="T72" s="1653"/>
      <c r="U72" s="1653"/>
      <c r="V72" s="1653"/>
      <c r="W72" s="1653"/>
      <c r="X72" s="1653"/>
      <c r="Y72" s="1653"/>
      <c r="Z72" s="1653"/>
      <c r="AA72" s="1653"/>
      <c r="AB72" s="1653"/>
      <c r="AC72" s="1653"/>
      <c r="AD72" s="1653"/>
      <c r="AE72" s="1653"/>
      <c r="AF72" s="1653"/>
      <c r="AG72" s="1653"/>
      <c r="AH72" s="1293"/>
      <c r="AI72" s="1293"/>
      <c r="AJ72" s="1293"/>
      <c r="AK72" s="1293"/>
      <c r="AL72" s="1293"/>
      <c r="AM72" s="1293"/>
      <c r="AN72" s="1293"/>
      <c r="AO72" s="1293"/>
      <c r="AP72" s="1293"/>
      <c r="AQ72" s="1293"/>
      <c r="AR72" s="1293"/>
      <c r="AS72" s="1293"/>
    </row>
    <row r="73" spans="1:45" ht="15.75">
      <c r="A73" s="1653"/>
      <c r="B73" s="1653"/>
      <c r="C73" s="1653"/>
      <c r="D73" s="1653"/>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3"/>
      <c r="AA73" s="1653"/>
      <c r="AB73" s="1653"/>
      <c r="AC73" s="1653"/>
      <c r="AD73" s="1653"/>
      <c r="AE73" s="1653"/>
      <c r="AF73" s="1653"/>
      <c r="AG73" s="1653"/>
      <c r="AH73" s="1293"/>
      <c r="AI73" s="1293"/>
      <c r="AJ73" s="1293"/>
      <c r="AK73" s="1293"/>
      <c r="AL73" s="1293"/>
      <c r="AM73" s="1293"/>
      <c r="AN73" s="1293"/>
      <c r="AO73" s="1293"/>
      <c r="AP73" s="1293"/>
      <c r="AQ73" s="1293"/>
      <c r="AR73" s="1293"/>
      <c r="AS73" s="1293"/>
    </row>
    <row r="74" spans="1:45" ht="15.75">
      <c r="A74" s="1653"/>
      <c r="B74" s="1653"/>
      <c r="C74" s="1653"/>
      <c r="D74" s="1653"/>
      <c r="E74" s="1653"/>
      <c r="F74" s="1653"/>
      <c r="G74" s="1653"/>
      <c r="H74" s="1653"/>
      <c r="I74" s="1653"/>
      <c r="J74" s="1653"/>
      <c r="K74" s="1653"/>
      <c r="L74" s="1653"/>
      <c r="M74" s="1653"/>
      <c r="N74" s="1653"/>
      <c r="O74" s="1653"/>
      <c r="P74" s="1653"/>
      <c r="Q74" s="1653"/>
      <c r="R74" s="1653"/>
      <c r="S74" s="1653"/>
      <c r="T74" s="1653"/>
      <c r="U74" s="1653"/>
      <c r="V74" s="1653"/>
      <c r="W74" s="1653"/>
      <c r="X74" s="1653"/>
      <c r="Y74" s="1653"/>
      <c r="Z74" s="1653"/>
      <c r="AA74" s="1653"/>
      <c r="AB74" s="1653"/>
      <c r="AC74" s="1653"/>
      <c r="AD74" s="1653"/>
      <c r="AE74" s="1653"/>
      <c r="AF74" s="1653"/>
      <c r="AG74" s="1653"/>
      <c r="AH74" s="1293"/>
      <c r="AI74" s="1293"/>
      <c r="AJ74" s="1293"/>
      <c r="AK74" s="1293"/>
      <c r="AL74" s="1293"/>
      <c r="AM74" s="1293"/>
      <c r="AN74" s="1293"/>
      <c r="AO74" s="1293"/>
      <c r="AP74" s="1293"/>
      <c r="AQ74" s="1293"/>
      <c r="AR74" s="1293"/>
      <c r="AS74" s="1293"/>
    </row>
    <row r="75" spans="1:45" ht="15.75">
      <c r="A75" s="1653"/>
      <c r="B75" s="1653"/>
      <c r="C75" s="1653"/>
      <c r="D75" s="1653"/>
      <c r="E75" s="1653"/>
      <c r="F75" s="1653"/>
      <c r="G75" s="1653"/>
      <c r="H75" s="1653"/>
      <c r="I75" s="1653"/>
      <c r="J75" s="1653"/>
      <c r="K75" s="1653"/>
      <c r="L75" s="1653"/>
      <c r="M75" s="1653"/>
      <c r="N75" s="1653"/>
      <c r="O75" s="1653"/>
      <c r="P75" s="1653"/>
      <c r="Q75" s="1653"/>
      <c r="R75" s="1653"/>
      <c r="S75" s="1653"/>
      <c r="T75" s="1653"/>
      <c r="U75" s="1653"/>
      <c r="V75" s="1653"/>
      <c r="W75" s="1653"/>
      <c r="X75" s="1653"/>
      <c r="Y75" s="1653"/>
      <c r="Z75" s="1653"/>
      <c r="AA75" s="1653"/>
      <c r="AB75" s="1653"/>
      <c r="AC75" s="1653"/>
      <c r="AD75" s="1653"/>
      <c r="AE75" s="1653"/>
      <c r="AF75" s="1653"/>
      <c r="AG75" s="1653"/>
      <c r="AH75" s="1293"/>
      <c r="AI75" s="1293"/>
      <c r="AJ75" s="1293"/>
      <c r="AK75" s="1293"/>
      <c r="AL75" s="1293"/>
      <c r="AM75" s="1293"/>
      <c r="AN75" s="1293"/>
      <c r="AO75" s="1293"/>
      <c r="AP75" s="1293"/>
      <c r="AQ75" s="1293"/>
      <c r="AR75" s="1293"/>
      <c r="AS75" s="1293"/>
    </row>
    <row r="76" spans="1:45" ht="15.75">
      <c r="A76" s="1653"/>
      <c r="B76" s="1653"/>
      <c r="C76" s="1653"/>
      <c r="D76" s="1653"/>
      <c r="E76" s="1653"/>
      <c r="F76" s="1653"/>
      <c r="G76" s="1653"/>
      <c r="H76" s="1653"/>
      <c r="I76" s="1653"/>
      <c r="J76" s="1653"/>
      <c r="K76" s="1653"/>
      <c r="L76" s="1653"/>
      <c r="M76" s="1653"/>
      <c r="N76" s="1653"/>
      <c r="O76" s="1653"/>
      <c r="P76" s="1653"/>
      <c r="Q76" s="1653"/>
      <c r="R76" s="1653"/>
      <c r="S76" s="1653"/>
      <c r="T76" s="1653"/>
      <c r="U76" s="1653"/>
      <c r="V76" s="1653"/>
      <c r="W76" s="1653"/>
      <c r="X76" s="1653"/>
      <c r="Y76" s="1653"/>
      <c r="Z76" s="1653"/>
      <c r="AA76" s="1653"/>
      <c r="AB76" s="1653"/>
      <c r="AC76" s="1653"/>
      <c r="AD76" s="1653"/>
      <c r="AE76" s="1653"/>
      <c r="AF76" s="1653"/>
      <c r="AG76" s="1653"/>
      <c r="AH76" s="1293"/>
      <c r="AI76" s="1293"/>
      <c r="AJ76" s="1293"/>
      <c r="AK76" s="1293"/>
      <c r="AL76" s="1293"/>
      <c r="AM76" s="1293"/>
      <c r="AN76" s="1293"/>
      <c r="AO76" s="1293"/>
      <c r="AP76" s="1293"/>
      <c r="AQ76" s="1293"/>
      <c r="AR76" s="1293"/>
      <c r="AS76" s="1293"/>
    </row>
    <row r="77" spans="1:45" ht="15.75">
      <c r="A77" s="1706" t="s">
        <v>406</v>
      </c>
      <c r="B77" s="1706"/>
      <c r="C77" s="1653"/>
      <c r="D77" s="1653"/>
      <c r="E77" s="1653"/>
      <c r="F77" s="1653"/>
      <c r="G77" s="1653"/>
      <c r="H77" s="1653"/>
      <c r="I77" s="1653"/>
      <c r="J77" s="1653"/>
      <c r="K77" s="1653"/>
      <c r="L77" s="1653"/>
      <c r="M77" s="1653"/>
      <c r="N77" s="1653"/>
      <c r="O77" s="1653"/>
      <c r="P77" s="1653"/>
      <c r="Q77" s="1653"/>
      <c r="R77" s="1653"/>
      <c r="S77" s="1653"/>
      <c r="T77" s="1653"/>
      <c r="U77" s="1653"/>
      <c r="V77" s="1653"/>
      <c r="W77" s="1653"/>
      <c r="X77" s="1653"/>
      <c r="Y77" s="1653"/>
      <c r="Z77" s="1653"/>
      <c r="AA77" s="1653"/>
      <c r="AB77" s="1653"/>
      <c r="AC77" s="1653"/>
      <c r="AD77" s="1653"/>
      <c r="AE77" s="1653"/>
      <c r="AF77" s="1653"/>
      <c r="AG77" s="1653"/>
      <c r="AH77" s="1293"/>
      <c r="AI77" s="1293"/>
      <c r="AJ77" s="1293"/>
      <c r="AK77" s="1293"/>
      <c r="AL77" s="1293"/>
      <c r="AM77" s="1293"/>
      <c r="AN77" s="1293"/>
      <c r="AO77" s="1293"/>
      <c r="AP77" s="1293"/>
      <c r="AQ77" s="1293"/>
      <c r="AR77" s="1293"/>
      <c r="AS77" s="1293"/>
    </row>
    <row r="78" spans="1:45" ht="15.75">
      <c r="A78" s="1653"/>
      <c r="B78" s="1653"/>
      <c r="C78" s="1653"/>
      <c r="D78" s="1653"/>
      <c r="E78" s="1653"/>
      <c r="F78" s="1653"/>
      <c r="G78" s="1653"/>
      <c r="H78" s="1653"/>
      <c r="I78" s="1653"/>
      <c r="J78" s="1653"/>
      <c r="K78" s="1653"/>
      <c r="L78" s="1653"/>
      <c r="M78" s="1653"/>
      <c r="N78" s="1653"/>
      <c r="O78" s="1653"/>
      <c r="P78" s="1653"/>
      <c r="Q78" s="1653"/>
      <c r="R78" s="1653"/>
      <c r="S78" s="1653"/>
      <c r="T78" s="1653"/>
      <c r="U78" s="1653"/>
      <c r="V78" s="1653"/>
      <c r="W78" s="1653"/>
      <c r="X78" s="1653"/>
      <c r="Y78" s="1653"/>
      <c r="Z78" s="1653"/>
      <c r="AA78" s="1653"/>
      <c r="AB78" s="1653"/>
      <c r="AC78" s="1653"/>
      <c r="AD78" s="1653"/>
      <c r="AE78" s="1653"/>
      <c r="AF78" s="1653"/>
      <c r="AG78" s="1653"/>
      <c r="AH78" s="1293"/>
      <c r="AI78" s="1293"/>
      <c r="AJ78" s="1293"/>
      <c r="AK78" s="1293"/>
      <c r="AL78" s="1293"/>
      <c r="AM78" s="1293"/>
      <c r="AN78" s="1293"/>
      <c r="AO78" s="1293"/>
      <c r="AP78" s="1293"/>
      <c r="AQ78" s="1293"/>
      <c r="AR78" s="1293"/>
      <c r="AS78" s="1293"/>
    </row>
    <row r="79" spans="1:45" ht="15.75">
      <c r="A79" s="1653" t="s">
        <v>407</v>
      </c>
      <c r="B79" s="1653"/>
      <c r="C79" s="1653"/>
      <c r="D79" s="1675"/>
      <c r="E79" s="1675"/>
      <c r="F79" s="1675" t="e">
        <f t="shared" ref="F79:M79" si="54">F47</f>
        <v>#REF!</v>
      </c>
      <c r="G79" s="1675" t="e">
        <f t="shared" si="54"/>
        <v>#REF!</v>
      </c>
      <c r="H79" s="1675" t="e">
        <f t="shared" si="54"/>
        <v>#REF!</v>
      </c>
      <c r="I79" s="1675" t="e">
        <f t="shared" si="54"/>
        <v>#REF!</v>
      </c>
      <c r="J79" s="1675" t="e">
        <f t="shared" si="54"/>
        <v>#REF!</v>
      </c>
      <c r="K79" s="1675" t="e">
        <f t="shared" si="54"/>
        <v>#REF!</v>
      </c>
      <c r="L79" s="1675" t="e">
        <f t="shared" si="54"/>
        <v>#REF!</v>
      </c>
      <c r="M79" s="1675" t="e">
        <f t="shared" si="54"/>
        <v>#REF!</v>
      </c>
      <c r="N79" s="1675">
        <f>N47-N182</f>
        <v>-549</v>
      </c>
      <c r="O79" s="1675">
        <f t="shared" ref="O79:X79" si="55">O47</f>
        <v>-596</v>
      </c>
      <c r="P79" s="1675">
        <f t="shared" si="55"/>
        <v>-806</v>
      </c>
      <c r="Q79" s="1675">
        <f t="shared" si="55"/>
        <v>2660.5211117787239</v>
      </c>
      <c r="R79" s="1675">
        <f t="shared" si="55"/>
        <v>-553.36905576846038</v>
      </c>
      <c r="S79" s="1675">
        <f t="shared" si="55"/>
        <v>23.5</v>
      </c>
      <c r="T79" s="1675">
        <f t="shared" si="55"/>
        <v>36</v>
      </c>
      <c r="U79" s="1675">
        <f t="shared" si="55"/>
        <v>117</v>
      </c>
      <c r="V79" s="1675">
        <f t="shared" si="55"/>
        <v>194</v>
      </c>
      <c r="W79" s="1675">
        <f t="shared" si="55"/>
        <v>-193</v>
      </c>
      <c r="X79" s="1675">
        <f t="shared" si="55"/>
        <v>708</v>
      </c>
      <c r="Y79" s="1675">
        <f t="shared" ref="Y79:AG79" si="56">Y47-Y45</f>
        <v>60.134999999999764</v>
      </c>
      <c r="Z79" s="1675">
        <f t="shared" si="56"/>
        <v>-86.714500000000044</v>
      </c>
      <c r="AA79" s="1675">
        <f t="shared" ca="1" si="56"/>
        <v>257.02020000000039</v>
      </c>
      <c r="AB79" s="1675">
        <f ca="1">AB47-AB45</f>
        <v>298.23037764165321</v>
      </c>
      <c r="AC79" s="1675">
        <f t="shared" ca="1" si="56"/>
        <v>584.8039710693763</v>
      </c>
      <c r="AD79" s="1675">
        <f t="shared" ca="1" si="56"/>
        <v>571.80876661784896</v>
      </c>
      <c r="AE79" s="1675">
        <f t="shared" ca="1" si="56"/>
        <v>592.64900420945003</v>
      </c>
      <c r="AF79" s="1675">
        <f t="shared" ca="1" si="56"/>
        <v>630.99040140984926</v>
      </c>
      <c r="AG79" s="1675">
        <f t="shared" ca="1" si="56"/>
        <v>679.29634595121252</v>
      </c>
      <c r="AH79" s="1293"/>
      <c r="AI79" s="1293"/>
      <c r="AJ79" s="1293"/>
      <c r="AK79" s="1293"/>
      <c r="AL79" s="1293"/>
      <c r="AM79" s="1293"/>
      <c r="AN79" s="1293"/>
      <c r="AO79" s="1293"/>
      <c r="AP79" s="1293"/>
      <c r="AQ79" s="1293"/>
      <c r="AR79" s="1293"/>
      <c r="AS79" s="1293"/>
    </row>
    <row r="80" spans="1:45" ht="15.75">
      <c r="A80" s="1653" t="s">
        <v>396</v>
      </c>
      <c r="B80" s="1653"/>
      <c r="C80" s="1653"/>
      <c r="D80" s="1653"/>
      <c r="E80" s="1653"/>
      <c r="F80" s="1666">
        <f t="shared" ref="F80:AG80" si="57">-F46</f>
        <v>14.695</v>
      </c>
      <c r="G80" s="1666">
        <f t="shared" si="57"/>
        <v>16.79</v>
      </c>
      <c r="H80" s="1666">
        <f t="shared" si="57"/>
        <v>-6.1319999999999997</v>
      </c>
      <c r="I80" s="1666">
        <f t="shared" si="57"/>
        <v>-8.9640000000000004</v>
      </c>
      <c r="J80" s="1666">
        <f t="shared" si="57"/>
        <v>13</v>
      </c>
      <c r="K80" s="1666">
        <f t="shared" si="57"/>
        <v>-113.075</v>
      </c>
      <c r="L80" s="1666">
        <f t="shared" si="57"/>
        <v>5</v>
      </c>
      <c r="M80" s="1666">
        <f t="shared" si="57"/>
        <v>2.6</v>
      </c>
      <c r="N80" s="1666">
        <f t="shared" si="57"/>
        <v>204</v>
      </c>
      <c r="O80" s="1666">
        <f t="shared" si="57"/>
        <v>-4</v>
      </c>
      <c r="P80" s="1666">
        <f t="shared" si="57"/>
        <v>204</v>
      </c>
      <c r="Q80" s="1666">
        <f t="shared" si="57"/>
        <v>157</v>
      </c>
      <c r="R80" s="1666">
        <f t="shared" si="57"/>
        <v>115</v>
      </c>
      <c r="S80" s="1666">
        <f t="shared" si="57"/>
        <v>38</v>
      </c>
      <c r="T80" s="1666">
        <f t="shared" si="57"/>
        <v>102</v>
      </c>
      <c r="U80" s="1666">
        <f t="shared" si="57"/>
        <v>113</v>
      </c>
      <c r="V80" s="1666">
        <f t="shared" si="57"/>
        <v>152</v>
      </c>
      <c r="W80" s="1666">
        <f t="shared" si="57"/>
        <v>99</v>
      </c>
      <c r="X80" s="1666">
        <f t="shared" si="57"/>
        <v>121</v>
      </c>
      <c r="Y80" s="1666">
        <f t="shared" si="57"/>
        <v>-48</v>
      </c>
      <c r="Z80" s="1666">
        <f t="shared" si="57"/>
        <v>-163</v>
      </c>
      <c r="AA80" s="1666">
        <f t="shared" si="57"/>
        <v>15</v>
      </c>
      <c r="AB80" s="1666">
        <f t="shared" ca="1" si="57"/>
        <v>-25.325811405010896</v>
      </c>
      <c r="AC80" s="1666">
        <f t="shared" ca="1" si="57"/>
        <v>-25.325811405010896</v>
      </c>
      <c r="AD80" s="1666">
        <f t="shared" ca="1" si="57"/>
        <v>-25.325811405010896</v>
      </c>
      <c r="AE80" s="1666">
        <f t="shared" ca="1" si="57"/>
        <v>-25.325811405010896</v>
      </c>
      <c r="AF80" s="1666">
        <f t="shared" ca="1" si="57"/>
        <v>-25.325811405010896</v>
      </c>
      <c r="AG80" s="1666">
        <f t="shared" ca="1" si="57"/>
        <v>-25.325811405010896</v>
      </c>
      <c r="AH80" s="1293"/>
      <c r="AI80" s="1293"/>
      <c r="AJ80" s="1293"/>
      <c r="AK80" s="1293"/>
      <c r="AL80" s="1293"/>
      <c r="AM80" s="1293"/>
      <c r="AN80" s="1293"/>
      <c r="AO80" s="1293"/>
      <c r="AP80" s="1293"/>
      <c r="AQ80" s="1293"/>
      <c r="AR80" s="1293"/>
      <c r="AS80" s="1293"/>
    </row>
    <row r="81" spans="1:45" ht="15.75">
      <c r="A81" s="1653" t="s">
        <v>9202</v>
      </c>
      <c r="B81" s="1653"/>
      <c r="C81" s="1653"/>
      <c r="D81" s="1675"/>
      <c r="E81" s="1675"/>
      <c r="F81" s="1675">
        <f t="shared" ref="F81:V81" si="58">-F25-F26</f>
        <v>121.874</v>
      </c>
      <c r="G81" s="1675">
        <f t="shared" si="58"/>
        <v>162.75200000000001</v>
      </c>
      <c r="H81" s="1675">
        <f t="shared" si="58"/>
        <v>218.58999999999997</v>
      </c>
      <c r="I81" s="1675">
        <f t="shared" si="58"/>
        <v>229</v>
      </c>
      <c r="J81" s="1675">
        <f t="shared" si="58"/>
        <v>355</v>
      </c>
      <c r="K81" s="1675">
        <f t="shared" si="58"/>
        <v>516</v>
      </c>
      <c r="L81" s="1675">
        <f t="shared" si="58"/>
        <v>636</v>
      </c>
      <c r="M81" s="1675">
        <f t="shared" si="58"/>
        <v>677</v>
      </c>
      <c r="N81" s="1675">
        <f t="shared" si="58"/>
        <v>739</v>
      </c>
      <c r="O81" s="1675">
        <f t="shared" si="58"/>
        <v>802</v>
      </c>
      <c r="P81" s="1675">
        <f t="shared" si="58"/>
        <v>934</v>
      </c>
      <c r="Q81" s="1675">
        <f t="shared" si="58"/>
        <v>1158</v>
      </c>
      <c r="R81" s="1675">
        <f t="shared" si="58"/>
        <v>1322</v>
      </c>
      <c r="S81" s="1675">
        <f t="shared" si="58"/>
        <v>1288</v>
      </c>
      <c r="T81" s="1675">
        <f t="shared" si="58"/>
        <v>1241</v>
      </c>
      <c r="U81" s="1675">
        <f t="shared" si="58"/>
        <v>1245</v>
      </c>
      <c r="V81" s="1675">
        <f t="shared" si="58"/>
        <v>1544</v>
      </c>
      <c r="W81" s="1675">
        <f t="shared" ref="W81:AG81" si="59">-W25-W26-W438</f>
        <v>1509</v>
      </c>
      <c r="X81" s="1675">
        <f t="shared" si="59"/>
        <v>1438</v>
      </c>
      <c r="Y81" s="1675">
        <f t="shared" si="59"/>
        <v>1255</v>
      </c>
      <c r="Z81" s="1675">
        <f t="shared" si="59"/>
        <v>1236</v>
      </c>
      <c r="AA81" s="1675">
        <f t="shared" si="59"/>
        <v>1030.6134</v>
      </c>
      <c r="AB81" s="1675">
        <f ca="1">-AB25-AB26-AB438</f>
        <v>1032.288</v>
      </c>
      <c r="AC81" s="1675">
        <f t="shared" ca="1" si="59"/>
        <v>677.76046622892454</v>
      </c>
      <c r="AD81" s="1675">
        <f t="shared" ca="1" si="59"/>
        <v>734.00666381185351</v>
      </c>
      <c r="AE81" s="1675">
        <f t="shared" ca="1" si="59"/>
        <v>761.90413845327396</v>
      </c>
      <c r="AF81" s="1675">
        <f t="shared" ca="1" si="59"/>
        <v>772.97071012760262</v>
      </c>
      <c r="AG81" s="1675">
        <f t="shared" ca="1" si="59"/>
        <v>769.9921853943564</v>
      </c>
      <c r="AH81" s="1293"/>
      <c r="AI81" s="1293"/>
      <c r="AJ81" s="1293"/>
      <c r="AK81" s="1293"/>
      <c r="AL81" s="1293"/>
      <c r="AM81" s="1293"/>
      <c r="AN81" s="1293"/>
      <c r="AO81" s="1293"/>
      <c r="AP81" s="1293"/>
      <c r="AQ81" s="1293"/>
      <c r="AR81" s="1293"/>
      <c r="AS81" s="1293"/>
    </row>
    <row r="82" spans="1:45" ht="15.75">
      <c r="A82" s="1653" t="s">
        <v>78</v>
      </c>
      <c r="B82" s="1653"/>
      <c r="C82" s="1653"/>
      <c r="D82" s="1675"/>
      <c r="E82" s="1675"/>
      <c r="F82" s="1675">
        <f t="shared" ref="F82:P82" si="60">-F27</f>
        <v>6.4820000000000002</v>
      </c>
      <c r="G82" s="1675">
        <f t="shared" si="60"/>
        <v>9.73</v>
      </c>
      <c r="H82" s="1675">
        <f t="shared" si="60"/>
        <v>51.540999999999997</v>
      </c>
      <c r="I82" s="1675">
        <f t="shared" si="60"/>
        <v>-4.1769999999999987</v>
      </c>
      <c r="J82" s="1675">
        <f t="shared" si="60"/>
        <v>27</v>
      </c>
      <c r="K82" s="1675">
        <f t="shared" si="60"/>
        <v>9</v>
      </c>
      <c r="L82" s="1675">
        <f t="shared" si="60"/>
        <v>7.2</v>
      </c>
      <c r="M82" s="1675">
        <f t="shared" si="60"/>
        <v>16.257000000000001</v>
      </c>
      <c r="N82" s="1675">
        <f t="shared" si="60"/>
        <v>0</v>
      </c>
      <c r="O82" s="1675">
        <f t="shared" si="60"/>
        <v>0</v>
      </c>
      <c r="P82" s="1675">
        <f t="shared" si="60"/>
        <v>0</v>
      </c>
      <c r="Q82" s="1675">
        <f t="shared" ref="Q82:AG82" si="61">-Q27+Q13</f>
        <v>27.199999999999818</v>
      </c>
      <c r="R82" s="1675">
        <f t="shared" si="61"/>
        <v>153.48427032763948</v>
      </c>
      <c r="S82" s="1675">
        <f t="shared" si="61"/>
        <v>177.04055063445901</v>
      </c>
      <c r="T82" s="1675">
        <f t="shared" si="61"/>
        <v>-19</v>
      </c>
      <c r="U82" s="1675">
        <f t="shared" si="61"/>
        <v>0</v>
      </c>
      <c r="V82" s="1675">
        <f t="shared" si="61"/>
        <v>0</v>
      </c>
      <c r="W82" s="1675">
        <f t="shared" si="61"/>
        <v>174</v>
      </c>
      <c r="X82" s="1675">
        <f t="shared" si="61"/>
        <v>-6</v>
      </c>
      <c r="Y82" s="1675">
        <f t="shared" si="61"/>
        <v>2</v>
      </c>
      <c r="Z82" s="1675">
        <f t="shared" si="61"/>
        <v>94</v>
      </c>
      <c r="AA82" s="1675">
        <f t="shared" si="61"/>
        <v>102</v>
      </c>
      <c r="AB82" s="1675">
        <f t="shared" si="61"/>
        <v>0</v>
      </c>
      <c r="AC82" s="1675">
        <f t="shared" si="61"/>
        <v>0</v>
      </c>
      <c r="AD82" s="1675">
        <f t="shared" si="61"/>
        <v>0</v>
      </c>
      <c r="AE82" s="1675">
        <f t="shared" si="61"/>
        <v>0</v>
      </c>
      <c r="AF82" s="1675">
        <f t="shared" si="61"/>
        <v>0</v>
      </c>
      <c r="AG82" s="1675">
        <f t="shared" si="61"/>
        <v>0</v>
      </c>
      <c r="AH82" s="1293"/>
      <c r="AI82" s="1293"/>
      <c r="AJ82" s="1293"/>
      <c r="AK82" s="1293"/>
      <c r="AL82" s="1293"/>
      <c r="AM82" s="1293"/>
      <c r="AN82" s="1293"/>
      <c r="AO82" s="1293"/>
      <c r="AP82" s="1293"/>
      <c r="AQ82" s="1293"/>
      <c r="AR82" s="1293"/>
      <c r="AS82" s="1293"/>
    </row>
    <row r="83" spans="1:45" ht="15.75">
      <c r="A83" s="1653" t="str">
        <f>A35</f>
        <v>Valuation movement on sec. invests</v>
      </c>
      <c r="B83" s="1653"/>
      <c r="C83" s="1653"/>
      <c r="D83" s="1675"/>
      <c r="E83" s="1675"/>
      <c r="F83" s="1675">
        <f t="shared" ref="F83:AG83" si="62">-F35</f>
        <v>-244.92599999999999</v>
      </c>
      <c r="G83" s="1675">
        <f t="shared" si="62"/>
        <v>127.15800000000002</v>
      </c>
      <c r="H83" s="1675">
        <f t="shared" si="62"/>
        <v>63.355999999999995</v>
      </c>
      <c r="I83" s="1675">
        <f t="shared" si="62"/>
        <v>36</v>
      </c>
      <c r="J83" s="1675">
        <f t="shared" si="62"/>
        <v>0</v>
      </c>
      <c r="K83" s="1675">
        <f t="shared" si="62"/>
        <v>0</v>
      </c>
      <c r="L83" s="1675">
        <f t="shared" si="62"/>
        <v>0</v>
      </c>
      <c r="M83" s="1675">
        <f t="shared" si="62"/>
        <v>0</v>
      </c>
      <c r="N83" s="1675">
        <f t="shared" si="62"/>
        <v>0</v>
      </c>
      <c r="O83" s="1675">
        <f t="shared" si="62"/>
        <v>0</v>
      </c>
      <c r="P83" s="1675">
        <f t="shared" si="62"/>
        <v>0</v>
      </c>
      <c r="Q83" s="1675">
        <f t="shared" si="62"/>
        <v>0</v>
      </c>
      <c r="R83" s="1675">
        <f t="shared" si="62"/>
        <v>0</v>
      </c>
      <c r="S83" s="1675">
        <f t="shared" si="62"/>
        <v>0</v>
      </c>
      <c r="T83" s="1675">
        <f t="shared" si="62"/>
        <v>0</v>
      </c>
      <c r="U83" s="1675">
        <f t="shared" si="62"/>
        <v>0</v>
      </c>
      <c r="V83" s="1675">
        <f t="shared" si="62"/>
        <v>0</v>
      </c>
      <c r="W83" s="1675">
        <f t="shared" si="62"/>
        <v>0</v>
      </c>
      <c r="X83" s="1675">
        <f t="shared" si="62"/>
        <v>0</v>
      </c>
      <c r="Y83" s="1675">
        <f t="shared" si="62"/>
        <v>0</v>
      </c>
      <c r="Z83" s="1675">
        <f t="shared" si="62"/>
        <v>0</v>
      </c>
      <c r="AA83" s="1675">
        <f t="shared" si="62"/>
        <v>0</v>
      </c>
      <c r="AB83" s="1675">
        <f t="shared" si="62"/>
        <v>0</v>
      </c>
      <c r="AC83" s="1675">
        <f t="shared" si="62"/>
        <v>0</v>
      </c>
      <c r="AD83" s="1675">
        <f t="shared" si="62"/>
        <v>0</v>
      </c>
      <c r="AE83" s="1675">
        <f t="shared" si="62"/>
        <v>0</v>
      </c>
      <c r="AF83" s="1675">
        <f t="shared" si="62"/>
        <v>0</v>
      </c>
      <c r="AG83" s="1675">
        <f t="shared" si="62"/>
        <v>0</v>
      </c>
      <c r="AH83" s="1293"/>
      <c r="AI83" s="1293"/>
      <c r="AJ83" s="1293"/>
      <c r="AK83" s="1293"/>
      <c r="AL83" s="1293"/>
      <c r="AM83" s="1293"/>
      <c r="AN83" s="1293"/>
      <c r="AO83" s="1293"/>
      <c r="AP83" s="1293"/>
      <c r="AQ83" s="1293"/>
      <c r="AR83" s="1293"/>
      <c r="AS83" s="1293"/>
    </row>
    <row r="84" spans="1:45" ht="15.75">
      <c r="A84" s="1653" t="str">
        <f>A36</f>
        <v>Fair value result on financial instruments</v>
      </c>
      <c r="B84" s="1653"/>
      <c r="C84" s="1653"/>
      <c r="D84" s="1675"/>
      <c r="E84" s="1675"/>
      <c r="F84" s="1675">
        <f t="shared" ref="F84:AG84" si="63">-F36</f>
        <v>84.578000000000003</v>
      </c>
      <c r="G84" s="1675">
        <f t="shared" si="63"/>
        <v>-148.71199999999999</v>
      </c>
      <c r="H84" s="1675">
        <f t="shared" si="63"/>
        <v>5.9780000000000015</v>
      </c>
      <c r="I84" s="1675">
        <f t="shared" si="63"/>
        <v>-67</v>
      </c>
      <c r="J84" s="1675">
        <f t="shared" si="63"/>
        <v>0</v>
      </c>
      <c r="K84" s="1675">
        <f t="shared" si="63"/>
        <v>0</v>
      </c>
      <c r="L84" s="1675">
        <f t="shared" si="63"/>
        <v>0</v>
      </c>
      <c r="M84" s="1675">
        <f t="shared" si="63"/>
        <v>0</v>
      </c>
      <c r="N84" s="1675">
        <f t="shared" si="63"/>
        <v>0</v>
      </c>
      <c r="O84" s="1675">
        <f t="shared" si="63"/>
        <v>6</v>
      </c>
      <c r="P84" s="1675">
        <f t="shared" si="63"/>
        <v>19</v>
      </c>
      <c r="Q84" s="1675">
        <f t="shared" si="63"/>
        <v>-211</v>
      </c>
      <c r="R84" s="1675">
        <f t="shared" si="63"/>
        <v>0</v>
      </c>
      <c r="S84" s="1675">
        <f t="shared" si="63"/>
        <v>0</v>
      </c>
      <c r="T84" s="1675">
        <f t="shared" si="63"/>
        <v>0</v>
      </c>
      <c r="U84" s="1675">
        <f t="shared" si="63"/>
        <v>0</v>
      </c>
      <c r="V84" s="1675">
        <f t="shared" si="63"/>
        <v>0</v>
      </c>
      <c r="W84" s="1675">
        <f t="shared" si="63"/>
        <v>0</v>
      </c>
      <c r="X84" s="1675">
        <f t="shared" si="63"/>
        <v>0</v>
      </c>
      <c r="Y84" s="1675">
        <f t="shared" si="63"/>
        <v>0</v>
      </c>
      <c r="Z84" s="1675">
        <f t="shared" si="63"/>
        <v>0</v>
      </c>
      <c r="AA84" s="1675">
        <f t="shared" si="63"/>
        <v>0</v>
      </c>
      <c r="AB84" s="1675">
        <f t="shared" si="63"/>
        <v>0</v>
      </c>
      <c r="AC84" s="1675">
        <f t="shared" si="63"/>
        <v>0</v>
      </c>
      <c r="AD84" s="1675">
        <f t="shared" si="63"/>
        <v>0</v>
      </c>
      <c r="AE84" s="1675">
        <f t="shared" si="63"/>
        <v>0</v>
      </c>
      <c r="AF84" s="1675">
        <f t="shared" si="63"/>
        <v>0</v>
      </c>
      <c r="AG84" s="1675">
        <f t="shared" si="63"/>
        <v>0</v>
      </c>
      <c r="AH84" s="1293"/>
      <c r="AI84" s="1293"/>
      <c r="AJ84" s="1293"/>
      <c r="AK84" s="1293"/>
      <c r="AL84" s="1293"/>
      <c r="AM84" s="1293"/>
      <c r="AN84" s="1293"/>
      <c r="AO84" s="1293"/>
      <c r="AP84" s="1293"/>
      <c r="AQ84" s="1293"/>
      <c r="AR84" s="1293"/>
      <c r="AS84" s="1293"/>
    </row>
    <row r="85" spans="1:45" ht="15.75">
      <c r="A85" s="1653" t="str">
        <f>A37</f>
        <v>Exchange loss net/other</v>
      </c>
      <c r="B85" s="1653"/>
      <c r="C85" s="1653"/>
      <c r="D85" s="1675"/>
      <c r="E85" s="1675"/>
      <c r="F85" s="1675">
        <f t="shared" ref="F85:AG85" si="64">-F37</f>
        <v>45.601999999999997</v>
      </c>
      <c r="G85" s="1675">
        <f t="shared" si="64"/>
        <v>26.795999999999999</v>
      </c>
      <c r="H85" s="1675">
        <f t="shared" si="64"/>
        <v>-52.445999999999998</v>
      </c>
      <c r="I85" s="1675">
        <f t="shared" si="64"/>
        <v>30</v>
      </c>
      <c r="J85" s="1675">
        <f t="shared" si="64"/>
        <v>-10</v>
      </c>
      <c r="K85" s="1675">
        <f t="shared" si="64"/>
        <v>55.6</v>
      </c>
      <c r="L85" s="1675">
        <f t="shared" si="64"/>
        <v>0</v>
      </c>
      <c r="M85" s="1675">
        <f t="shared" si="64"/>
        <v>0</v>
      </c>
      <c r="N85" s="1675">
        <f t="shared" si="64"/>
        <v>0</v>
      </c>
      <c r="O85" s="1675">
        <f t="shared" si="64"/>
        <v>-28</v>
      </c>
      <c r="P85" s="1675">
        <f t="shared" si="64"/>
        <v>111</v>
      </c>
      <c r="Q85" s="1675">
        <f t="shared" si="64"/>
        <v>-2250</v>
      </c>
      <c r="R85" s="1675">
        <f t="shared" si="64"/>
        <v>622</v>
      </c>
      <c r="S85" s="1675">
        <f t="shared" si="64"/>
        <v>-1</v>
      </c>
      <c r="T85" s="1675">
        <f t="shared" si="64"/>
        <v>0</v>
      </c>
      <c r="U85" s="1675">
        <f t="shared" si="64"/>
        <v>0</v>
      </c>
      <c r="V85" s="1675">
        <f t="shared" si="64"/>
        <v>0</v>
      </c>
      <c r="W85" s="1675">
        <f t="shared" si="64"/>
        <v>72</v>
      </c>
      <c r="X85" s="1675">
        <f t="shared" si="64"/>
        <v>47</v>
      </c>
      <c r="Y85" s="1675">
        <f t="shared" si="64"/>
        <v>78</v>
      </c>
      <c r="Z85" s="1675">
        <f t="shared" si="64"/>
        <v>-36</v>
      </c>
      <c r="AA85" s="1675">
        <f t="shared" si="64"/>
        <v>119</v>
      </c>
      <c r="AB85" s="1675">
        <f t="shared" si="64"/>
        <v>0</v>
      </c>
      <c r="AC85" s="1675">
        <f t="shared" si="64"/>
        <v>0</v>
      </c>
      <c r="AD85" s="1675">
        <f t="shared" si="64"/>
        <v>0</v>
      </c>
      <c r="AE85" s="1675">
        <f t="shared" si="64"/>
        <v>0</v>
      </c>
      <c r="AF85" s="1675">
        <f t="shared" si="64"/>
        <v>0</v>
      </c>
      <c r="AG85" s="1675">
        <f t="shared" si="64"/>
        <v>0</v>
      </c>
      <c r="AH85" s="1293"/>
      <c r="AI85" s="1293"/>
      <c r="AJ85" s="1293"/>
      <c r="AK85" s="1293"/>
      <c r="AL85" s="1293"/>
      <c r="AM85" s="1293"/>
      <c r="AN85" s="1293"/>
      <c r="AO85" s="1293"/>
      <c r="AP85" s="1293"/>
      <c r="AQ85" s="1293"/>
      <c r="AR85" s="1293"/>
      <c r="AS85" s="1293"/>
    </row>
    <row r="86" spans="1:45" ht="15.75">
      <c r="A86" s="1653" t="s">
        <v>345</v>
      </c>
      <c r="B86" s="1653"/>
      <c r="C86" s="1653"/>
      <c r="D86" s="1675"/>
      <c r="E86" s="1675"/>
      <c r="F86" s="1675">
        <f>-F403</f>
        <v>-96.748000000000005</v>
      </c>
      <c r="G86" s="1675">
        <f>-G403</f>
        <v>0</v>
      </c>
      <c r="H86" s="1675">
        <f>-H403</f>
        <v>0</v>
      </c>
      <c r="I86" s="1675">
        <f>-I403</f>
        <v>0</v>
      </c>
      <c r="J86" s="1675">
        <f>-J403</f>
        <v>0</v>
      </c>
      <c r="K86" s="1675">
        <f t="shared" ref="K86:AG86" si="65">-K403-K29</f>
        <v>13.6</v>
      </c>
      <c r="L86" s="1675">
        <f t="shared" si="65"/>
        <v>10</v>
      </c>
      <c r="M86" s="1675">
        <f t="shared" si="65"/>
        <v>10</v>
      </c>
      <c r="N86" s="1675">
        <f t="shared" si="65"/>
        <v>0</v>
      </c>
      <c r="O86" s="1675">
        <f t="shared" si="65"/>
        <v>0</v>
      </c>
      <c r="P86" s="1675">
        <f t="shared" si="65"/>
        <v>0</v>
      </c>
      <c r="Q86" s="1675">
        <f t="shared" si="65"/>
        <v>0</v>
      </c>
      <c r="R86" s="1675">
        <f t="shared" si="65"/>
        <v>0</v>
      </c>
      <c r="S86" s="1675">
        <f t="shared" si="65"/>
        <v>0</v>
      </c>
      <c r="T86" s="1675">
        <f t="shared" si="65"/>
        <v>0</v>
      </c>
      <c r="U86" s="1675">
        <f t="shared" si="65"/>
        <v>0</v>
      </c>
      <c r="V86" s="1675">
        <f t="shared" si="65"/>
        <v>0</v>
      </c>
      <c r="W86" s="1675">
        <f t="shared" si="65"/>
        <v>0</v>
      </c>
      <c r="X86" s="1675">
        <f t="shared" si="65"/>
        <v>0</v>
      </c>
      <c r="Y86" s="1675">
        <f t="shared" si="65"/>
        <v>0</v>
      </c>
      <c r="Z86" s="1675">
        <f t="shared" si="65"/>
        <v>0</v>
      </c>
      <c r="AA86" s="1675">
        <f t="shared" si="65"/>
        <v>0</v>
      </c>
      <c r="AB86" s="1675">
        <f t="shared" si="65"/>
        <v>0</v>
      </c>
      <c r="AC86" s="1675">
        <f t="shared" si="65"/>
        <v>0</v>
      </c>
      <c r="AD86" s="1675">
        <f t="shared" si="65"/>
        <v>0</v>
      </c>
      <c r="AE86" s="1675">
        <f t="shared" si="65"/>
        <v>0</v>
      </c>
      <c r="AF86" s="1675">
        <f t="shared" si="65"/>
        <v>0</v>
      </c>
      <c r="AG86" s="1675">
        <f t="shared" si="65"/>
        <v>0</v>
      </c>
      <c r="AH86" s="1293"/>
      <c r="AI86" s="1293"/>
      <c r="AJ86" s="1293"/>
      <c r="AK86" s="1293"/>
      <c r="AL86" s="1293"/>
      <c r="AM86" s="1293"/>
      <c r="AN86" s="1293"/>
      <c r="AO86" s="1293"/>
      <c r="AP86" s="1293"/>
      <c r="AQ86" s="1293"/>
      <c r="AR86" s="1293"/>
      <c r="AS86" s="1293"/>
    </row>
    <row r="87" spans="1:45" ht="15.75">
      <c r="A87" s="1672" t="s">
        <v>408</v>
      </c>
      <c r="B87" s="1672"/>
      <c r="C87" s="1672"/>
      <c r="D87" s="1672"/>
      <c r="E87" s="1672"/>
      <c r="F87" s="1701">
        <f t="shared" ref="F87:AG87" si="66">-F28</f>
        <v>-0.38</v>
      </c>
      <c r="G87" s="1701">
        <f t="shared" si="66"/>
        <v>-0.81399999999999995</v>
      </c>
      <c r="H87" s="1701">
        <f t="shared" si="66"/>
        <v>-1.296</v>
      </c>
      <c r="I87" s="1701">
        <f t="shared" si="66"/>
        <v>-1.4830000000000001</v>
      </c>
      <c r="J87" s="1701">
        <f t="shared" si="66"/>
        <v>-4</v>
      </c>
      <c r="K87" s="1701">
        <f t="shared" si="66"/>
        <v>-8.9</v>
      </c>
      <c r="L87" s="1701">
        <f t="shared" si="66"/>
        <v>-2.2999999999999998</v>
      </c>
      <c r="M87" s="1701">
        <f t="shared" si="66"/>
        <v>31.518999999999998</v>
      </c>
      <c r="N87" s="1701">
        <f t="shared" si="66"/>
        <v>0</v>
      </c>
      <c r="O87" s="1701">
        <f t="shared" si="66"/>
        <v>23</v>
      </c>
      <c r="P87" s="1701">
        <f t="shared" si="66"/>
        <v>7</v>
      </c>
      <c r="Q87" s="1701">
        <f t="shared" si="66"/>
        <v>-55</v>
      </c>
      <c r="R87" s="1701">
        <f t="shared" si="66"/>
        <v>-100</v>
      </c>
      <c r="S87" s="1701">
        <f t="shared" si="66"/>
        <v>49</v>
      </c>
      <c r="T87" s="1701">
        <f t="shared" si="66"/>
        <v>86</v>
      </c>
      <c r="U87" s="1701">
        <f t="shared" si="66"/>
        <v>35</v>
      </c>
      <c r="V87" s="1701">
        <f t="shared" si="66"/>
        <v>41</v>
      </c>
      <c r="W87" s="1701">
        <f t="shared" si="66"/>
        <v>1</v>
      </c>
      <c r="X87" s="1701">
        <f t="shared" si="66"/>
        <v>39</v>
      </c>
      <c r="Y87" s="1701">
        <f t="shared" si="66"/>
        <v>-32</v>
      </c>
      <c r="Z87" s="1701">
        <f t="shared" si="66"/>
        <v>-42</v>
      </c>
      <c r="AA87" s="1701">
        <f t="shared" si="66"/>
        <v>-54</v>
      </c>
      <c r="AB87" s="1701">
        <f t="shared" si="66"/>
        <v>-64.604846716329632</v>
      </c>
      <c r="AC87" s="1701">
        <f t="shared" si="66"/>
        <v>-67.100332035230252</v>
      </c>
      <c r="AD87" s="1701">
        <f t="shared" si="66"/>
        <v>-69.658441254023217</v>
      </c>
      <c r="AE87" s="1701">
        <f t="shared" si="66"/>
        <v>-72.607805041101955</v>
      </c>
      <c r="AF87" s="1701">
        <f t="shared" si="66"/>
        <v>-75.601595028514595</v>
      </c>
      <c r="AG87" s="1701">
        <f t="shared" si="66"/>
        <v>-78.661670145373847</v>
      </c>
      <c r="AH87" s="1293"/>
      <c r="AI87" s="1293"/>
      <c r="AJ87" s="1293"/>
      <c r="AK87" s="1293"/>
      <c r="AL87" s="1293"/>
      <c r="AM87" s="1293"/>
      <c r="AN87" s="1293"/>
      <c r="AO87" s="1293"/>
      <c r="AP87" s="1293"/>
      <c r="AQ87" s="1293"/>
      <c r="AR87" s="1293"/>
      <c r="AS87" s="1293"/>
    </row>
    <row r="88" spans="1:45" ht="15.75">
      <c r="A88" s="1653" t="s">
        <v>409</v>
      </c>
      <c r="B88" s="1653"/>
      <c r="C88" s="1653"/>
      <c r="D88" s="1675"/>
      <c r="E88" s="1675"/>
      <c r="F88" s="1675" t="e">
        <f t="shared" ref="F88:AG88" si="67">SUM(F79:F87)</f>
        <v>#REF!</v>
      </c>
      <c r="G88" s="1675" t="e">
        <f t="shared" si="67"/>
        <v>#REF!</v>
      </c>
      <c r="H88" s="1675" t="e">
        <f t="shared" si="67"/>
        <v>#REF!</v>
      </c>
      <c r="I88" s="1675" t="e">
        <f t="shared" si="67"/>
        <v>#REF!</v>
      </c>
      <c r="J88" s="1675" t="e">
        <f t="shared" si="67"/>
        <v>#REF!</v>
      </c>
      <c r="K88" s="1675" t="e">
        <f t="shared" si="67"/>
        <v>#REF!</v>
      </c>
      <c r="L88" s="1675" t="e">
        <f t="shared" si="67"/>
        <v>#REF!</v>
      </c>
      <c r="M88" s="1675" t="e">
        <f t="shared" si="67"/>
        <v>#REF!</v>
      </c>
      <c r="N88" s="1675">
        <f t="shared" si="67"/>
        <v>394</v>
      </c>
      <c r="O88" s="1675">
        <f t="shared" si="67"/>
        <v>203</v>
      </c>
      <c r="P88" s="1675">
        <f t="shared" si="67"/>
        <v>469</v>
      </c>
      <c r="Q88" s="1675">
        <f t="shared" si="67"/>
        <v>1486.7211117787238</v>
      </c>
      <c r="R88" s="1675">
        <f t="shared" si="67"/>
        <v>1559.1152145591791</v>
      </c>
      <c r="S88" s="1675">
        <f t="shared" si="67"/>
        <v>1574.5405506344591</v>
      </c>
      <c r="T88" s="1675">
        <f t="shared" si="67"/>
        <v>1446</v>
      </c>
      <c r="U88" s="1675">
        <f t="shared" si="67"/>
        <v>1510</v>
      </c>
      <c r="V88" s="1675">
        <f t="shared" si="67"/>
        <v>1931</v>
      </c>
      <c r="W88" s="1675">
        <f t="shared" si="67"/>
        <v>1662</v>
      </c>
      <c r="X88" s="1675">
        <f t="shared" si="67"/>
        <v>2347</v>
      </c>
      <c r="Y88" s="1675">
        <f t="shared" si="67"/>
        <v>1315.1349999999998</v>
      </c>
      <c r="Z88" s="1675">
        <f t="shared" si="67"/>
        <v>1002.2855</v>
      </c>
      <c r="AA88" s="1675">
        <f t="shared" ca="1" si="67"/>
        <v>1469.6336000000003</v>
      </c>
      <c r="AB88" s="1675">
        <f t="shared" ca="1" si="67"/>
        <v>1240.5877195203127</v>
      </c>
      <c r="AC88" s="1675">
        <f t="shared" ca="1" si="67"/>
        <v>1170.1382938580598</v>
      </c>
      <c r="AD88" s="1675">
        <f t="shared" ca="1" si="67"/>
        <v>1210.8311777706683</v>
      </c>
      <c r="AE88" s="1675">
        <f t="shared" ca="1" si="67"/>
        <v>1256.6195262166111</v>
      </c>
      <c r="AF88" s="1675">
        <f t="shared" ca="1" si="67"/>
        <v>1303.0337051039264</v>
      </c>
      <c r="AG88" s="1675">
        <f t="shared" ca="1" si="67"/>
        <v>1345.3010497951843</v>
      </c>
      <c r="AH88" s="1293"/>
      <c r="AI88" s="1293"/>
      <c r="AJ88" s="1293"/>
      <c r="AK88" s="1293"/>
      <c r="AL88" s="1293"/>
      <c r="AM88" s="1293"/>
      <c r="AN88" s="1293"/>
      <c r="AO88" s="1293"/>
      <c r="AP88" s="1293"/>
      <c r="AQ88" s="1293"/>
      <c r="AR88" s="1293"/>
      <c r="AS88" s="1293"/>
    </row>
    <row r="89" spans="1:45" ht="15.75">
      <c r="A89" s="1653"/>
      <c r="B89" s="1653"/>
      <c r="C89" s="1653"/>
      <c r="D89" s="1653"/>
      <c r="E89" s="1653"/>
      <c r="F89" s="1653"/>
      <c r="G89" s="1653"/>
      <c r="H89" s="1653"/>
      <c r="I89" s="1653"/>
      <c r="J89" s="1653"/>
      <c r="K89" s="1653"/>
      <c r="L89" s="1653"/>
      <c r="M89" s="1653"/>
      <c r="N89" s="1653"/>
      <c r="O89" s="1653"/>
      <c r="P89" s="1653"/>
      <c r="Q89" s="1653"/>
      <c r="R89" s="1675"/>
      <c r="S89" s="1653"/>
      <c r="T89" s="1653"/>
      <c r="U89" s="1653"/>
      <c r="V89" s="1653"/>
      <c r="W89" s="1653"/>
      <c r="X89" s="1653"/>
      <c r="Y89" s="1653"/>
      <c r="Z89" s="1653"/>
      <c r="AA89" s="1653"/>
      <c r="AB89" s="1653"/>
      <c r="AC89" s="1653"/>
      <c r="AD89" s="1653"/>
      <c r="AE89" s="1653"/>
      <c r="AF89" s="1653"/>
      <c r="AG89" s="1653"/>
      <c r="AH89" s="1293"/>
      <c r="AI89" s="1293"/>
      <c r="AJ89" s="1293"/>
      <c r="AK89" s="1293"/>
      <c r="AL89" s="1293"/>
      <c r="AM89" s="1293"/>
      <c r="AN89" s="1293"/>
      <c r="AO89" s="1293"/>
      <c r="AP89" s="1293"/>
      <c r="AQ89" s="1293"/>
      <c r="AR89" s="1293"/>
      <c r="AS89" s="1293"/>
    </row>
    <row r="90" spans="1:45" ht="15.75">
      <c r="A90" s="1653" t="s">
        <v>410</v>
      </c>
      <c r="B90" s="1653"/>
      <c r="C90" s="1653"/>
      <c r="D90" s="1653"/>
      <c r="E90" s="1675"/>
      <c r="F90" s="1675">
        <f t="shared" ref="F90:AG90" si="68">F319</f>
        <v>0</v>
      </c>
      <c r="G90" s="1675">
        <f t="shared" si="68"/>
        <v>10.316999999999979</v>
      </c>
      <c r="H90" s="1675">
        <f t="shared" si="68"/>
        <v>-145.65599999999995</v>
      </c>
      <c r="I90" s="1675">
        <f t="shared" si="68"/>
        <v>510.1629999999999</v>
      </c>
      <c r="J90" s="1675">
        <f t="shared" si="68"/>
        <v>318.32500000000005</v>
      </c>
      <c r="K90" s="1675">
        <f t="shared" si="68"/>
        <v>235.05700000000002</v>
      </c>
      <c r="L90" s="1675">
        <f t="shared" si="68"/>
        <v>-218.06600000000014</v>
      </c>
      <c r="M90" s="1675">
        <f t="shared" si="68"/>
        <v>753.06899999999996</v>
      </c>
      <c r="N90" s="1675">
        <f t="shared" si="68"/>
        <v>315.73100000000011</v>
      </c>
      <c r="O90" s="1675">
        <f t="shared" si="68"/>
        <v>169</v>
      </c>
      <c r="P90" s="1675">
        <f t="shared" si="68"/>
        <v>147</v>
      </c>
      <c r="Q90" s="1675">
        <f t="shared" si="68"/>
        <v>1985</v>
      </c>
      <c r="R90" s="1675">
        <f t="shared" si="68"/>
        <v>-2012</v>
      </c>
      <c r="S90" s="1675">
        <f t="shared" si="68"/>
        <v>-308</v>
      </c>
      <c r="T90" s="1675">
        <f t="shared" si="68"/>
        <v>-177.40000000000009</v>
      </c>
      <c r="U90" s="1675">
        <f t="shared" si="68"/>
        <v>565.40000000000009</v>
      </c>
      <c r="V90" s="1675">
        <f t="shared" si="68"/>
        <v>483</v>
      </c>
      <c r="W90" s="1675">
        <f t="shared" si="68"/>
        <v>65.999999999999886</v>
      </c>
      <c r="X90" s="1675">
        <f t="shared" si="68"/>
        <v>314</v>
      </c>
      <c r="Y90" s="1675">
        <f t="shared" si="68"/>
        <v>-427.99999999999989</v>
      </c>
      <c r="Z90" s="1675">
        <f t="shared" si="68"/>
        <v>101</v>
      </c>
      <c r="AA90" s="1675">
        <f t="shared" si="68"/>
        <v>156</v>
      </c>
      <c r="AB90" s="1675">
        <f t="shared" si="68"/>
        <v>64.541628537852972</v>
      </c>
      <c r="AC90" s="1675">
        <f t="shared" si="68"/>
        <v>40.494988985792226</v>
      </c>
      <c r="AD90" s="1675">
        <f t="shared" si="68"/>
        <v>43.820909170173103</v>
      </c>
      <c r="AE90" s="1675">
        <f t="shared" si="68"/>
        <v>45.999465567884883</v>
      </c>
      <c r="AF90" s="1675">
        <f t="shared" si="68"/>
        <v>43.823631762797149</v>
      </c>
      <c r="AG90" s="1675">
        <f t="shared" si="68"/>
        <v>42.196848881666767</v>
      </c>
      <c r="AH90" s="1293"/>
      <c r="AI90" s="1293"/>
      <c r="AJ90" s="1293"/>
      <c r="AK90" s="1293"/>
      <c r="AL90" s="1293"/>
      <c r="AM90" s="1293"/>
      <c r="AN90" s="1293"/>
      <c r="AO90" s="1293"/>
      <c r="AP90" s="1293"/>
      <c r="AQ90" s="1293"/>
      <c r="AR90" s="1293"/>
      <c r="AS90" s="1293"/>
    </row>
    <row r="91" spans="1:45" ht="15.75">
      <c r="A91" s="1653"/>
      <c r="B91" s="1653"/>
      <c r="C91" s="1653"/>
      <c r="D91" s="1653"/>
      <c r="E91" s="1653"/>
      <c r="F91" s="1653"/>
      <c r="G91" s="1653"/>
      <c r="H91" s="1653"/>
      <c r="I91" s="1653"/>
      <c r="J91" s="1653"/>
      <c r="K91" s="1653"/>
      <c r="L91" s="1653"/>
      <c r="M91" s="1653"/>
      <c r="N91" s="1653"/>
      <c r="O91" s="1653"/>
      <c r="P91" s="1653"/>
      <c r="Q91" s="1653"/>
      <c r="R91" s="1653"/>
      <c r="S91" s="1653"/>
      <c r="T91" s="1653"/>
      <c r="U91" s="1653"/>
      <c r="V91" s="1653"/>
      <c r="W91" s="1653"/>
      <c r="X91" s="1653"/>
      <c r="Y91" s="1653"/>
      <c r="Z91" s="1653"/>
      <c r="AA91" s="1653"/>
      <c r="AB91" s="1653"/>
      <c r="AC91" s="1653"/>
      <c r="AD91" s="1653"/>
      <c r="AE91" s="1653"/>
      <c r="AF91" s="1653"/>
      <c r="AG91" s="1653"/>
      <c r="AH91" s="1293"/>
      <c r="AI91" s="1293"/>
      <c r="AJ91" s="1293"/>
      <c r="AK91" s="1293"/>
      <c r="AL91" s="1293"/>
      <c r="AM91" s="1293"/>
      <c r="AN91" s="1293"/>
      <c r="AO91" s="1293"/>
      <c r="AP91" s="1293"/>
      <c r="AQ91" s="1293"/>
      <c r="AR91" s="1293"/>
      <c r="AS91" s="1293"/>
    </row>
    <row r="92" spans="1:45" ht="15.75">
      <c r="A92" s="2529" t="s">
        <v>411</v>
      </c>
      <c r="B92" s="2529"/>
      <c r="C92" s="2529"/>
      <c r="D92" s="2529"/>
      <c r="E92" s="2530"/>
      <c r="F92" s="2530" t="e">
        <f t="shared" ref="F92:AG92" si="69">F88+F90</f>
        <v>#REF!</v>
      </c>
      <c r="G92" s="2530" t="e">
        <f t="shared" si="69"/>
        <v>#REF!</v>
      </c>
      <c r="H92" s="2530" t="e">
        <f t="shared" si="69"/>
        <v>#REF!</v>
      </c>
      <c r="I92" s="2530" t="e">
        <f t="shared" si="69"/>
        <v>#REF!</v>
      </c>
      <c r="J92" s="2530" t="e">
        <f t="shared" si="69"/>
        <v>#REF!</v>
      </c>
      <c r="K92" s="2530" t="e">
        <f t="shared" si="69"/>
        <v>#REF!</v>
      </c>
      <c r="L92" s="2530" t="e">
        <f t="shared" si="69"/>
        <v>#REF!</v>
      </c>
      <c r="M92" s="2530" t="e">
        <f t="shared" si="69"/>
        <v>#REF!</v>
      </c>
      <c r="N92" s="2530">
        <f t="shared" si="69"/>
        <v>709.73100000000011</v>
      </c>
      <c r="O92" s="2530">
        <f t="shared" si="69"/>
        <v>372</v>
      </c>
      <c r="P92" s="2530">
        <f t="shared" si="69"/>
        <v>616</v>
      </c>
      <c r="Q92" s="2530">
        <f t="shared" si="69"/>
        <v>3471.7211117787238</v>
      </c>
      <c r="R92" s="2530">
        <f t="shared" si="69"/>
        <v>-452.88478544082091</v>
      </c>
      <c r="S92" s="2530">
        <f t="shared" si="69"/>
        <v>1266.5405506344591</v>
      </c>
      <c r="T92" s="2530">
        <f t="shared" si="69"/>
        <v>1268.5999999999999</v>
      </c>
      <c r="U92" s="2530">
        <f t="shared" si="69"/>
        <v>2075.4</v>
      </c>
      <c r="V92" s="2530">
        <f t="shared" si="69"/>
        <v>2414</v>
      </c>
      <c r="W92" s="2530">
        <f t="shared" si="69"/>
        <v>1728</v>
      </c>
      <c r="X92" s="2530">
        <f t="shared" si="69"/>
        <v>2661</v>
      </c>
      <c r="Y92" s="2530">
        <f t="shared" si="69"/>
        <v>887.13499999999988</v>
      </c>
      <c r="Z92" s="2530">
        <f t="shared" si="69"/>
        <v>1103.2855</v>
      </c>
      <c r="AA92" s="2530">
        <f t="shared" ca="1" si="69"/>
        <v>1625.6336000000003</v>
      </c>
      <c r="AB92" s="2530">
        <f t="shared" ca="1" si="69"/>
        <v>1305.1293480581658</v>
      </c>
      <c r="AC92" s="2530">
        <f t="shared" ca="1" si="69"/>
        <v>1210.6332828438519</v>
      </c>
      <c r="AD92" s="2530">
        <f t="shared" ca="1" si="69"/>
        <v>1254.6520869408414</v>
      </c>
      <c r="AE92" s="2530">
        <f t="shared" ca="1" si="69"/>
        <v>1302.6189917844961</v>
      </c>
      <c r="AF92" s="2530">
        <f t="shared" ca="1" si="69"/>
        <v>1346.8573368667235</v>
      </c>
      <c r="AG92" s="2530">
        <f t="shared" ca="1" si="69"/>
        <v>1387.497898676851</v>
      </c>
      <c r="AH92" s="1293"/>
      <c r="AI92" s="1293"/>
      <c r="AJ92" s="1293"/>
      <c r="AK92" s="1293"/>
      <c r="AL92" s="1293"/>
      <c r="AM92" s="1293"/>
      <c r="AN92" s="1293"/>
      <c r="AO92" s="1293"/>
      <c r="AP92" s="1293"/>
      <c r="AQ92" s="1293"/>
      <c r="AR92" s="1293"/>
      <c r="AS92" s="1293"/>
    </row>
    <row r="93" spans="1:45" ht="15.75">
      <c r="A93" s="1653"/>
      <c r="B93" s="1653"/>
      <c r="C93" s="1653"/>
      <c r="D93" s="1653"/>
      <c r="E93" s="1653"/>
      <c r="F93" s="1653"/>
      <c r="G93" s="1653"/>
      <c r="H93" s="1653" t="s">
        <v>1823</v>
      </c>
      <c r="I93" s="1653"/>
      <c r="J93" s="1653"/>
      <c r="K93" s="1653"/>
      <c r="L93" s="1653"/>
      <c r="M93" s="1653"/>
      <c r="N93" s="1653"/>
      <c r="O93" s="1653"/>
      <c r="P93" s="1653"/>
      <c r="Q93" s="1653"/>
      <c r="R93" s="1653"/>
      <c r="S93" s="1653"/>
      <c r="T93" s="1653"/>
      <c r="U93" s="1653"/>
      <c r="V93" s="1653"/>
      <c r="W93" s="1653"/>
      <c r="X93" s="1653"/>
      <c r="Y93" s="1653"/>
      <c r="Z93" s="1653"/>
      <c r="AA93" s="1653"/>
      <c r="AB93" s="1653"/>
      <c r="AC93" s="1653"/>
      <c r="AD93" s="1653"/>
      <c r="AE93" s="1653"/>
      <c r="AF93" s="1653"/>
      <c r="AG93" s="1653"/>
      <c r="AH93" s="1293"/>
      <c r="AI93" s="1293"/>
      <c r="AJ93" s="1293"/>
      <c r="AK93" s="1293"/>
      <c r="AL93" s="1293"/>
      <c r="AM93" s="1293"/>
      <c r="AN93" s="1293"/>
      <c r="AO93" s="1293"/>
      <c r="AP93" s="1293"/>
      <c r="AQ93" s="1293"/>
      <c r="AR93" s="1293"/>
      <c r="AS93" s="1293"/>
    </row>
    <row r="94" spans="1:45" ht="15.75">
      <c r="A94" s="1653" t="s">
        <v>412</v>
      </c>
      <c r="B94" s="1653"/>
      <c r="C94" s="1653"/>
      <c r="D94" s="1653"/>
      <c r="E94" s="1675"/>
      <c r="F94" s="1675">
        <f>F138-E138</f>
        <v>0</v>
      </c>
      <c r="G94" s="1675">
        <f t="shared" ref="G94:AG94" si="70">-G328</f>
        <v>0</v>
      </c>
      <c r="H94" s="1675">
        <f t="shared" si="70"/>
        <v>0</v>
      </c>
      <c r="I94" s="1675">
        <f t="shared" si="70"/>
        <v>0</v>
      </c>
      <c r="J94" s="1675">
        <f t="shared" si="70"/>
        <v>0</v>
      </c>
      <c r="K94" s="1675">
        <f t="shared" si="70"/>
        <v>0</v>
      </c>
      <c r="L94" s="1675">
        <f t="shared" si="70"/>
        <v>0</v>
      </c>
      <c r="M94" s="1675">
        <f t="shared" si="70"/>
        <v>0</v>
      </c>
      <c r="N94" s="1675">
        <f t="shared" si="70"/>
        <v>0</v>
      </c>
      <c r="O94" s="1675">
        <f t="shared" si="70"/>
        <v>0</v>
      </c>
      <c r="P94" s="1675">
        <f t="shared" si="70"/>
        <v>0</v>
      </c>
      <c r="Q94" s="1675">
        <f t="shared" si="70"/>
        <v>0</v>
      </c>
      <c r="R94" s="1675">
        <f t="shared" si="70"/>
        <v>0</v>
      </c>
      <c r="S94" s="1675">
        <f t="shared" si="70"/>
        <v>0</v>
      </c>
      <c r="T94" s="1675">
        <f t="shared" si="70"/>
        <v>0</v>
      </c>
      <c r="U94" s="1675">
        <f t="shared" si="70"/>
        <v>0</v>
      </c>
      <c r="V94" s="1675">
        <f t="shared" si="70"/>
        <v>0</v>
      </c>
      <c r="W94" s="1675">
        <f t="shared" si="70"/>
        <v>0</v>
      </c>
      <c r="X94" s="1675">
        <f t="shared" si="70"/>
        <v>0</v>
      </c>
      <c r="Y94" s="1675">
        <f t="shared" si="70"/>
        <v>0</v>
      </c>
      <c r="Z94" s="1675">
        <f t="shared" si="70"/>
        <v>0</v>
      </c>
      <c r="AA94" s="1675">
        <f t="shared" si="70"/>
        <v>0</v>
      </c>
      <c r="AB94" s="1675">
        <f t="shared" si="70"/>
        <v>0</v>
      </c>
      <c r="AC94" s="1675">
        <f t="shared" si="70"/>
        <v>0</v>
      </c>
      <c r="AD94" s="1675">
        <f t="shared" si="70"/>
        <v>0</v>
      </c>
      <c r="AE94" s="1675">
        <f t="shared" si="70"/>
        <v>0</v>
      </c>
      <c r="AF94" s="1675">
        <f t="shared" si="70"/>
        <v>0</v>
      </c>
      <c r="AG94" s="1675">
        <f t="shared" si="70"/>
        <v>0</v>
      </c>
      <c r="AH94" s="1293"/>
      <c r="AI94" s="1293"/>
      <c r="AJ94" s="1293"/>
      <c r="AK94" s="1293"/>
      <c r="AL94" s="1293"/>
      <c r="AM94" s="1293"/>
      <c r="AN94" s="1293"/>
      <c r="AO94" s="1293"/>
      <c r="AP94" s="1293"/>
      <c r="AQ94" s="1293"/>
      <c r="AR94" s="1293"/>
      <c r="AS94" s="1293"/>
    </row>
    <row r="95" spans="1:45" ht="15.75">
      <c r="A95" s="1653" t="s">
        <v>1385</v>
      </c>
      <c r="B95" s="1653"/>
      <c r="C95" s="1653"/>
      <c r="D95" s="1653"/>
      <c r="E95" s="1675"/>
      <c r="F95" s="1675">
        <f t="shared" ref="F95:AG95" si="71">F339</f>
        <v>-43.693999999999846</v>
      </c>
      <c r="G95" s="1675">
        <f t="shared" si="71"/>
        <v>285.69999999999993</v>
      </c>
      <c r="H95" s="1675">
        <f t="shared" si="71"/>
        <v>322.15800000000002</v>
      </c>
      <c r="I95" s="1675">
        <f t="shared" si="71"/>
        <v>-481.19500000000005</v>
      </c>
      <c r="J95" s="1675">
        <f t="shared" si="71"/>
        <v>14.349999999999909</v>
      </c>
      <c r="K95" s="1675">
        <f t="shared" si="71"/>
        <v>53.735000000000127</v>
      </c>
      <c r="L95" s="1675">
        <f t="shared" ca="1" si="71"/>
        <v>4.9459999999999127</v>
      </c>
      <c r="M95" s="1675">
        <f t="shared" ca="1" si="71"/>
        <v>137.42799999999988</v>
      </c>
      <c r="N95" s="1675">
        <f t="shared" ca="1" si="71"/>
        <v>-92.427999999999884</v>
      </c>
      <c r="O95" s="1675">
        <f t="shared" ca="1" si="71"/>
        <v>-3</v>
      </c>
      <c r="P95" s="1675">
        <f t="shared" ca="1" si="71"/>
        <v>9</v>
      </c>
      <c r="Q95" s="1675">
        <f t="shared" si="71"/>
        <v>43</v>
      </c>
      <c r="R95" s="1675">
        <f t="shared" si="71"/>
        <v>-10</v>
      </c>
      <c r="S95" s="1675">
        <f t="shared" si="71"/>
        <v>95</v>
      </c>
      <c r="T95" s="1675">
        <f t="shared" si="71"/>
        <v>-18</v>
      </c>
      <c r="U95" s="1675">
        <f t="shared" si="71"/>
        <v>27</v>
      </c>
      <c r="V95" s="1675">
        <f t="shared" si="71"/>
        <v>485</v>
      </c>
      <c r="W95" s="1675">
        <f t="shared" si="71"/>
        <v>395</v>
      </c>
      <c r="X95" s="1675">
        <f t="shared" si="71"/>
        <v>-138</v>
      </c>
      <c r="Y95" s="1675">
        <f t="shared" si="71"/>
        <v>-152</v>
      </c>
      <c r="Z95" s="1675">
        <f t="shared" si="71"/>
        <v>372</v>
      </c>
      <c r="AA95" s="1675">
        <f t="shared" si="71"/>
        <v>-741</v>
      </c>
      <c r="AB95" s="1675">
        <f t="shared" si="71"/>
        <v>-123.08362468931693</v>
      </c>
      <c r="AC95" s="1675">
        <f t="shared" si="71"/>
        <v>-49.702668334988118</v>
      </c>
      <c r="AD95" s="1675">
        <f t="shared" si="71"/>
        <v>-50.37808436707661</v>
      </c>
      <c r="AE95" s="1675">
        <f t="shared" si="71"/>
        <v>-51.90440246324755</v>
      </c>
      <c r="AF95" s="1675">
        <f t="shared" si="71"/>
        <v>-25.23908934341614</v>
      </c>
      <c r="AG95" s="1675">
        <f t="shared" si="71"/>
        <v>-26.611907396679555</v>
      </c>
      <c r="AH95" s="1293"/>
      <c r="AI95" s="1293"/>
      <c r="AJ95" s="1293"/>
      <c r="AK95" s="1293"/>
      <c r="AL95" s="1293"/>
      <c r="AM95" s="1293"/>
      <c r="AN95" s="1293"/>
      <c r="AO95" s="1293"/>
      <c r="AP95" s="1293"/>
      <c r="AQ95" s="1293"/>
      <c r="AR95" s="1293"/>
      <c r="AS95" s="1293"/>
    </row>
    <row r="96" spans="1:45" ht="15.75">
      <c r="A96" s="1653"/>
      <c r="B96" s="1653"/>
      <c r="C96" s="1653"/>
      <c r="D96" s="1653"/>
      <c r="E96" s="1653"/>
      <c r="F96" s="1653"/>
      <c r="G96" s="1653"/>
      <c r="H96" s="1653"/>
      <c r="I96" s="1653"/>
      <c r="J96" s="1653"/>
      <c r="K96" s="1653"/>
      <c r="L96" s="1653"/>
      <c r="M96" s="1653"/>
      <c r="N96" s="1653"/>
      <c r="O96" s="1653"/>
      <c r="P96" s="1653"/>
      <c r="Q96" s="1653"/>
      <c r="R96" s="1653"/>
      <c r="S96" s="1653"/>
      <c r="T96" s="1653"/>
      <c r="U96" s="1653"/>
      <c r="V96" s="1653"/>
      <c r="W96" s="1653"/>
      <c r="X96" s="1653"/>
      <c r="Y96" s="1653"/>
      <c r="Z96" s="1653"/>
      <c r="AA96" s="1653"/>
      <c r="AB96" s="1653"/>
      <c r="AC96" s="1653"/>
      <c r="AD96" s="1653"/>
      <c r="AE96" s="1653"/>
      <c r="AF96" s="1653"/>
      <c r="AG96" s="1653"/>
      <c r="AH96" s="1293"/>
      <c r="AI96" s="1293"/>
      <c r="AJ96" s="1293"/>
      <c r="AK96" s="1293"/>
      <c r="AL96" s="1293"/>
      <c r="AM96" s="1293"/>
      <c r="AN96" s="1293"/>
      <c r="AO96" s="1293"/>
      <c r="AP96" s="1293"/>
      <c r="AQ96" s="1293"/>
      <c r="AR96" s="1293"/>
      <c r="AS96" s="1293"/>
    </row>
    <row r="97" spans="1:45" ht="15.75">
      <c r="A97" s="1653" t="s">
        <v>1603</v>
      </c>
      <c r="B97" s="1653"/>
      <c r="C97" s="1653"/>
      <c r="D97" s="1653"/>
      <c r="E97" s="1675"/>
      <c r="F97" s="1675">
        <f t="shared" ref="F97:Z97" si="72">-F202</f>
        <v>-103.828</v>
      </c>
      <c r="G97" s="1675">
        <f t="shared" si="72"/>
        <v>-237</v>
      </c>
      <c r="H97" s="1675">
        <f t="shared" si="72"/>
        <v>-354.00000000000006</v>
      </c>
      <c r="I97" s="1675">
        <f t="shared" si="72"/>
        <v>-676</v>
      </c>
      <c r="J97" s="1675">
        <f t="shared" si="72"/>
        <v>-1056</v>
      </c>
      <c r="K97" s="1675">
        <f t="shared" si="72"/>
        <v>-1431</v>
      </c>
      <c r="L97" s="1675">
        <f t="shared" si="72"/>
        <v>-737</v>
      </c>
      <c r="M97" s="1675">
        <f t="shared" si="72"/>
        <v>-688</v>
      </c>
      <c r="N97" s="1675">
        <f t="shared" si="72"/>
        <v>-804</v>
      </c>
      <c r="O97" s="1675">
        <f t="shared" si="72"/>
        <v>-922</v>
      </c>
      <c r="P97" s="1675">
        <f t="shared" si="72"/>
        <v>-1083</v>
      </c>
      <c r="Q97" s="1675">
        <f t="shared" si="72"/>
        <v>-1206.4077910056501</v>
      </c>
      <c r="R97" s="1675">
        <f t="shared" ca="1" si="72"/>
        <v>-1272.90797223254</v>
      </c>
      <c r="S97" s="1675">
        <f t="shared" ca="1" si="72"/>
        <v>-1030.8847425156582</v>
      </c>
      <c r="T97" s="1675">
        <f t="shared" si="72"/>
        <v>-994</v>
      </c>
      <c r="U97" s="1675">
        <f t="shared" si="72"/>
        <v>-998.00000000000011</v>
      </c>
      <c r="V97" s="1675">
        <f t="shared" ca="1" si="72"/>
        <v>-1056</v>
      </c>
      <c r="W97" s="1675">
        <f t="shared" ca="1" si="72"/>
        <v>-990</v>
      </c>
      <c r="X97" s="1675">
        <f t="shared" ca="1" si="72"/>
        <v>-1111</v>
      </c>
      <c r="Y97" s="1675">
        <f t="shared" si="72"/>
        <v>-973</v>
      </c>
      <c r="Z97" s="1675">
        <f t="shared" si="72"/>
        <v>-809</v>
      </c>
      <c r="AA97" s="1675">
        <f>-('New split'!N407-'New split'!N406)</f>
        <v>-575</v>
      </c>
      <c r="AB97" s="1675">
        <f>-('New split'!O407-'New split'!O406)</f>
        <v>-580.1684569653894</v>
      </c>
      <c r="AC97" s="1675">
        <f>-('New split'!P407-'New split'!P406)</f>
        <v>-558.17007617557863</v>
      </c>
      <c r="AD97" s="1675">
        <f>-('New split'!Q407-'New split'!Q406)</f>
        <v>-554.72975816629184</v>
      </c>
      <c r="AE97" s="1675">
        <f>-('New split'!R407-'New split'!R406)</f>
        <v>-562.60612420755035</v>
      </c>
      <c r="AF97" s="1675">
        <f>-('New split'!S407-'New split'!S406)</f>
        <v>-564.67014578764781</v>
      </c>
      <c r="AG97" s="1675">
        <f>-('New split'!T407-'New split'!T406)</f>
        <v>-562.33058356837569</v>
      </c>
      <c r="AH97" s="1293"/>
      <c r="AI97" s="1293"/>
      <c r="AJ97" s="1293"/>
      <c r="AK97" s="1293"/>
      <c r="AL97" s="1293"/>
      <c r="AM97" s="1293"/>
      <c r="AN97" s="1293"/>
      <c r="AO97" s="1293"/>
      <c r="AP97" s="1293"/>
      <c r="AQ97" s="1293"/>
      <c r="AR97" s="1293"/>
      <c r="AS97" s="1293"/>
    </row>
    <row r="98" spans="1:45" ht="15.75">
      <c r="A98" s="1653" t="s">
        <v>1605</v>
      </c>
      <c r="B98" s="1653"/>
      <c r="C98" s="1653"/>
      <c r="D98" s="1653"/>
      <c r="E98" s="1675"/>
      <c r="F98" s="1675">
        <f t="shared" ref="F98:Z98" si="73">-F256</f>
        <v>0</v>
      </c>
      <c r="G98" s="1675">
        <f t="shared" si="73"/>
        <v>-48.5</v>
      </c>
      <c r="H98" s="1675">
        <f t="shared" si="73"/>
        <v>-48.5</v>
      </c>
      <c r="I98" s="1675">
        <f t="shared" si="73"/>
        <v>0</v>
      </c>
      <c r="J98" s="1675">
        <f t="shared" si="73"/>
        <v>0</v>
      </c>
      <c r="K98" s="1675">
        <f t="shared" si="73"/>
        <v>0</v>
      </c>
      <c r="L98" s="1675">
        <f t="shared" si="73"/>
        <v>0</v>
      </c>
      <c r="M98" s="1675">
        <f t="shared" si="73"/>
        <v>0</v>
      </c>
      <c r="N98" s="1675">
        <f t="shared" si="73"/>
        <v>0</v>
      </c>
      <c r="O98" s="1675">
        <f t="shared" si="73"/>
        <v>0</v>
      </c>
      <c r="P98" s="1675">
        <f t="shared" si="73"/>
        <v>0</v>
      </c>
      <c r="Q98" s="1675">
        <f t="shared" si="73"/>
        <v>0</v>
      </c>
      <c r="R98" s="1675">
        <f t="shared" si="73"/>
        <v>0</v>
      </c>
      <c r="S98" s="1675">
        <f t="shared" si="73"/>
        <v>0</v>
      </c>
      <c r="T98" s="1675">
        <f t="shared" si="73"/>
        <v>0</v>
      </c>
      <c r="U98" s="1675">
        <f t="shared" si="73"/>
        <v>0</v>
      </c>
      <c r="V98" s="1675">
        <f t="shared" si="73"/>
        <v>0</v>
      </c>
      <c r="W98" s="1675">
        <f t="shared" si="73"/>
        <v>0</v>
      </c>
      <c r="X98" s="1675">
        <f t="shared" si="73"/>
        <v>-2000</v>
      </c>
      <c r="Y98" s="1675">
        <f t="shared" si="73"/>
        <v>0</v>
      </c>
      <c r="Z98" s="1675">
        <f t="shared" si="73"/>
        <v>0</v>
      </c>
      <c r="AA98" s="1675">
        <f>-'New split'!N406</f>
        <v>-135</v>
      </c>
      <c r="AB98" s="1675">
        <f>-'New split'!O406</f>
        <v>-100</v>
      </c>
      <c r="AC98" s="1675">
        <f>-'New split'!P406</f>
        <v>-100</v>
      </c>
      <c r="AD98" s="1675">
        <f>-'New split'!Q406</f>
        <v>-100</v>
      </c>
      <c r="AE98" s="1675">
        <f>-'New split'!R406</f>
        <v>-100</v>
      </c>
      <c r="AF98" s="1675">
        <f>-'New split'!S406</f>
        <v>-100</v>
      </c>
      <c r="AG98" s="1675">
        <f>-'New split'!T406</f>
        <v>-100</v>
      </c>
      <c r="AH98" s="1293"/>
      <c r="AI98" s="1293"/>
      <c r="AJ98" s="1293"/>
      <c r="AK98" s="1293"/>
      <c r="AL98" s="1293"/>
      <c r="AM98" s="1293"/>
      <c r="AN98" s="1293"/>
      <c r="AO98" s="1293"/>
      <c r="AP98" s="1293"/>
      <c r="AQ98" s="1293"/>
      <c r="AR98" s="1293"/>
      <c r="AS98" s="1293"/>
    </row>
    <row r="99" spans="1:45" ht="15.75">
      <c r="A99" s="1684"/>
      <c r="B99" s="1684"/>
      <c r="C99" s="1653"/>
      <c r="D99" s="1653"/>
      <c r="E99" s="1713"/>
      <c r="F99" s="1675"/>
      <c r="G99" s="1675"/>
      <c r="H99" s="1675"/>
      <c r="I99" s="1675"/>
      <c r="J99" s="1675"/>
      <c r="K99" s="1675"/>
      <c r="L99" s="1675"/>
      <c r="M99" s="1675"/>
      <c r="N99" s="1675"/>
      <c r="O99" s="1675"/>
      <c r="P99" s="1675"/>
      <c r="Q99" s="1675"/>
      <c r="R99" s="1675"/>
      <c r="S99" s="1675"/>
      <c r="T99" s="1675"/>
      <c r="U99" s="1675"/>
      <c r="V99" s="1675"/>
      <c r="W99" s="1675"/>
      <c r="X99" s="1675"/>
      <c r="Y99" s="1675"/>
      <c r="Z99" s="1675"/>
      <c r="AA99" s="1675"/>
      <c r="AB99" s="1675"/>
      <c r="AC99" s="1675"/>
      <c r="AD99" s="1675"/>
      <c r="AE99" s="1675"/>
      <c r="AF99" s="1675"/>
      <c r="AG99" s="1675"/>
      <c r="AH99" s="1293"/>
      <c r="AI99" s="1293"/>
      <c r="AJ99" s="1293"/>
      <c r="AK99" s="1293"/>
      <c r="AL99" s="1293"/>
      <c r="AM99" s="1293"/>
      <c r="AN99" s="1293"/>
      <c r="AO99" s="1293"/>
      <c r="AP99" s="1293"/>
      <c r="AQ99" s="1293"/>
      <c r="AR99" s="1293"/>
      <c r="AS99" s="1293"/>
    </row>
    <row r="100" spans="1:45" ht="15.75">
      <c r="A100" s="1653" t="s">
        <v>413</v>
      </c>
      <c r="B100" s="1653"/>
      <c r="C100" s="1653"/>
      <c r="D100" s="1653"/>
      <c r="E100" s="1675"/>
      <c r="F100" s="1675">
        <f>-F205</f>
        <v>82.256</v>
      </c>
      <c r="G100" s="1675">
        <f>-G205</f>
        <v>4</v>
      </c>
      <c r="H100" s="1675">
        <f>-H205</f>
        <v>-35</v>
      </c>
      <c r="I100" s="1675">
        <f>-I205-I255</f>
        <v>-350</v>
      </c>
      <c r="J100" s="1675">
        <f t="shared" ref="J100:AG100" si="74">-J229</f>
        <v>284</v>
      </c>
      <c r="K100" s="1675">
        <f t="shared" si="74"/>
        <v>-350</v>
      </c>
      <c r="L100" s="1675">
        <f t="shared" si="74"/>
        <v>363</v>
      </c>
      <c r="M100" s="1675">
        <f t="shared" si="74"/>
        <v>102</v>
      </c>
      <c r="N100" s="1675">
        <f t="shared" si="74"/>
        <v>163</v>
      </c>
      <c r="O100" s="1675">
        <f t="shared" si="74"/>
        <v>-113</v>
      </c>
      <c r="P100" s="1675">
        <f t="shared" si="74"/>
        <v>-163.71241968911917</v>
      </c>
      <c r="Q100" s="1675">
        <f t="shared" si="74"/>
        <v>-1230</v>
      </c>
      <c r="R100" s="1675">
        <f t="shared" si="74"/>
        <v>-143</v>
      </c>
      <c r="S100" s="1675">
        <f t="shared" si="74"/>
        <v>118</v>
      </c>
      <c r="T100" s="1675">
        <f t="shared" si="74"/>
        <v>-43.15</v>
      </c>
      <c r="U100" s="1675">
        <f t="shared" si="74"/>
        <v>-1146.1500000000001</v>
      </c>
      <c r="V100" s="1675">
        <f t="shared" si="74"/>
        <v>-1906.15</v>
      </c>
      <c r="W100" s="1675">
        <f t="shared" si="74"/>
        <v>-136.69999999999999</v>
      </c>
      <c r="X100" s="1675">
        <f t="shared" si="74"/>
        <v>-2005</v>
      </c>
      <c r="Y100" s="1675">
        <f t="shared" si="74"/>
        <v>347.06999999999994</v>
      </c>
      <c r="Z100" s="1675">
        <f t="shared" si="74"/>
        <v>-236</v>
      </c>
      <c r="AA100" s="1675">
        <f t="shared" si="74"/>
        <v>-135</v>
      </c>
      <c r="AB100" s="1675">
        <f t="shared" si="74"/>
        <v>875</v>
      </c>
      <c r="AC100" s="1675">
        <f t="shared" si="74"/>
        <v>-100</v>
      </c>
      <c r="AD100" s="1675">
        <f t="shared" si="74"/>
        <v>-100</v>
      </c>
      <c r="AE100" s="1675">
        <f t="shared" si="74"/>
        <v>-100</v>
      </c>
      <c r="AF100" s="1675">
        <f t="shared" si="74"/>
        <v>-100</v>
      </c>
      <c r="AG100" s="1675">
        <f t="shared" si="74"/>
        <v>-100</v>
      </c>
      <c r="AH100" s="1293"/>
      <c r="AI100" s="1293"/>
      <c r="AJ100" s="1293"/>
      <c r="AK100" s="1293"/>
      <c r="AL100" s="1293"/>
      <c r="AM100" s="1293"/>
      <c r="AN100" s="1293"/>
      <c r="AO100" s="1293"/>
      <c r="AP100" s="1293"/>
      <c r="AQ100" s="1293"/>
      <c r="AR100" s="1293"/>
      <c r="AS100" s="1293"/>
    </row>
    <row r="101" spans="1:45" ht="15.75">
      <c r="A101" s="1653" t="s">
        <v>7660</v>
      </c>
      <c r="B101" s="1653"/>
      <c r="C101" s="1653"/>
      <c r="D101" s="1653"/>
      <c r="E101" s="1675"/>
      <c r="F101" s="1675"/>
      <c r="G101" s="1675"/>
      <c r="H101" s="1675"/>
      <c r="I101" s="1675"/>
      <c r="J101" s="1675"/>
      <c r="K101" s="1675"/>
      <c r="L101" s="1675"/>
      <c r="M101" s="1675"/>
      <c r="N101" s="1675"/>
      <c r="O101" s="1675"/>
      <c r="P101" s="1675"/>
      <c r="Q101" s="1675"/>
      <c r="R101" s="1675"/>
      <c r="S101" s="1675"/>
      <c r="T101" s="1675"/>
      <c r="U101" s="1675"/>
      <c r="V101" s="1675"/>
      <c r="W101" s="1675"/>
      <c r="X101" s="1675"/>
      <c r="Y101" s="1884">
        <v>250</v>
      </c>
      <c r="Z101" s="1884">
        <v>-250</v>
      </c>
      <c r="AA101" s="1884">
        <v>-175</v>
      </c>
      <c r="AB101" s="1884">
        <v>0</v>
      </c>
      <c r="AC101" s="1884">
        <v>0</v>
      </c>
      <c r="AD101" s="1884">
        <v>0</v>
      </c>
      <c r="AE101" s="1884">
        <v>0</v>
      </c>
      <c r="AF101" s="1884">
        <v>0</v>
      </c>
      <c r="AG101" s="1884">
        <v>0</v>
      </c>
      <c r="AH101" s="1293"/>
      <c r="AI101" s="1293"/>
      <c r="AJ101" s="1293"/>
      <c r="AK101" s="1293"/>
      <c r="AL101" s="1293"/>
      <c r="AM101" s="1293"/>
      <c r="AN101" s="1293"/>
      <c r="AO101" s="1293"/>
      <c r="AP101" s="1293"/>
      <c r="AQ101" s="1293"/>
      <c r="AR101" s="1293"/>
      <c r="AS101" s="1293"/>
    </row>
    <row r="102" spans="1:45" ht="15.75">
      <c r="A102" s="1653" t="s">
        <v>414</v>
      </c>
      <c r="B102" s="1653"/>
      <c r="C102" s="1653"/>
      <c r="D102" s="1653"/>
      <c r="E102" s="1653"/>
      <c r="F102" s="1653"/>
      <c r="G102" s="1653"/>
      <c r="H102" s="1653"/>
      <c r="I102" s="1653"/>
      <c r="J102" s="1653"/>
      <c r="K102" s="1653"/>
      <c r="L102" s="1653"/>
      <c r="M102" s="1653"/>
      <c r="N102" s="1653"/>
      <c r="O102" s="1653"/>
      <c r="P102" s="1653"/>
      <c r="Q102" s="1653"/>
      <c r="R102" s="1653"/>
      <c r="S102" s="1653"/>
      <c r="T102" s="1653"/>
      <c r="U102" s="1653"/>
      <c r="V102" s="1653"/>
      <c r="W102" s="1653"/>
      <c r="X102" s="1653"/>
      <c r="Y102" s="1653"/>
      <c r="Z102" s="1653"/>
      <c r="AA102" s="1653"/>
      <c r="AB102" s="1653"/>
      <c r="AC102" s="1653"/>
      <c r="AD102" s="1653"/>
      <c r="AE102" s="1653"/>
      <c r="AF102" s="1653"/>
      <c r="AG102" s="1653"/>
      <c r="AH102" s="1293"/>
      <c r="AI102" s="1293"/>
      <c r="AJ102" s="1293"/>
      <c r="AK102" s="1293"/>
      <c r="AL102" s="1293"/>
      <c r="AM102" s="1293"/>
      <c r="AN102" s="1293"/>
      <c r="AO102" s="1293"/>
      <c r="AP102" s="1293"/>
      <c r="AQ102" s="1293"/>
      <c r="AR102" s="1293"/>
      <c r="AS102" s="1293"/>
    </row>
    <row r="103" spans="1:45" ht="15.75">
      <c r="A103" s="1653" t="s">
        <v>415</v>
      </c>
      <c r="B103" s="1653"/>
      <c r="C103" s="1653"/>
      <c r="D103" s="1653"/>
      <c r="E103" s="1653"/>
      <c r="F103" s="1653"/>
      <c r="G103" s="1653"/>
      <c r="H103" s="1653"/>
      <c r="I103" s="1653"/>
      <c r="J103" s="1653"/>
      <c r="K103" s="1653"/>
      <c r="L103" s="1653"/>
      <c r="M103" s="1666">
        <f t="shared" ref="M103:AG103" si="75">-M378</f>
        <v>-299.27600000000001</v>
      </c>
      <c r="N103" s="1666">
        <f t="shared" si="75"/>
        <v>-308.81017257039053</v>
      </c>
      <c r="O103" s="1666">
        <f t="shared" si="75"/>
        <v>-26.622000000000003</v>
      </c>
      <c r="P103" s="1666">
        <f t="shared" si="75"/>
        <v>0</v>
      </c>
      <c r="Q103" s="1666">
        <f t="shared" si="75"/>
        <v>0</v>
      </c>
      <c r="R103" s="1666">
        <f t="shared" si="75"/>
        <v>0</v>
      </c>
      <c r="S103" s="1666">
        <f t="shared" si="75"/>
        <v>0</v>
      </c>
      <c r="T103" s="1666">
        <f t="shared" si="75"/>
        <v>0</v>
      </c>
      <c r="U103" s="1666">
        <f t="shared" si="75"/>
        <v>0</v>
      </c>
      <c r="V103" s="1666">
        <f t="shared" si="75"/>
        <v>0</v>
      </c>
      <c r="W103" s="1666">
        <f t="shared" si="75"/>
        <v>-10.0572</v>
      </c>
      <c r="X103" s="1666">
        <f t="shared" si="75"/>
        <v>-29.58</v>
      </c>
      <c r="Y103" s="1666">
        <f t="shared" si="75"/>
        <v>0</v>
      </c>
      <c r="Z103" s="1666">
        <f t="shared" si="75"/>
        <v>0</v>
      </c>
      <c r="AA103" s="1666">
        <f t="shared" si="75"/>
        <v>0</v>
      </c>
      <c r="AB103" s="1666">
        <f t="shared" si="75"/>
        <v>-146.42099999999999</v>
      </c>
      <c r="AC103" s="1666">
        <f t="shared" si="75"/>
        <v>-147.89999999999998</v>
      </c>
      <c r="AD103" s="1666">
        <f t="shared" si="75"/>
        <v>-147.89999999999998</v>
      </c>
      <c r="AE103" s="1666">
        <f t="shared" si="75"/>
        <v>-147.89999999999998</v>
      </c>
      <c r="AF103" s="1666">
        <f t="shared" si="75"/>
        <v>-147.89999999999998</v>
      </c>
      <c r="AG103" s="1666">
        <f t="shared" si="75"/>
        <v>-147.89999999999998</v>
      </c>
      <c r="AH103" s="1293"/>
      <c r="AI103" s="1293"/>
      <c r="AJ103" s="1293"/>
      <c r="AK103" s="1293"/>
      <c r="AL103" s="1293"/>
      <c r="AM103" s="1293"/>
      <c r="AN103" s="1293"/>
      <c r="AO103" s="1293"/>
      <c r="AP103" s="1293"/>
      <c r="AQ103" s="1293"/>
      <c r="AR103" s="1293"/>
      <c r="AS103" s="1293"/>
    </row>
    <row r="104" spans="1:45" ht="15.75">
      <c r="A104" s="2529" t="s">
        <v>416</v>
      </c>
      <c r="B104" s="2529"/>
      <c r="C104" s="2529"/>
      <c r="D104" s="2529"/>
      <c r="E104" s="2530"/>
      <c r="F104" s="2530">
        <f t="shared" ref="F104:AG104" si="76">SUM(F97:F103)</f>
        <v>-21.572000000000003</v>
      </c>
      <c r="G104" s="2530">
        <f t="shared" si="76"/>
        <v>-281.5</v>
      </c>
      <c r="H104" s="2530">
        <f t="shared" si="76"/>
        <v>-437.50000000000006</v>
      </c>
      <c r="I104" s="2530">
        <f t="shared" si="76"/>
        <v>-1026</v>
      </c>
      <c r="J104" s="2530">
        <f t="shared" si="76"/>
        <v>-772</v>
      </c>
      <c r="K104" s="2530">
        <f t="shared" si="76"/>
        <v>-1781</v>
      </c>
      <c r="L104" s="2530">
        <f t="shared" si="76"/>
        <v>-374</v>
      </c>
      <c r="M104" s="2530">
        <f t="shared" si="76"/>
        <v>-885.27600000000007</v>
      </c>
      <c r="N104" s="2530">
        <f t="shared" si="76"/>
        <v>-949.81017257039048</v>
      </c>
      <c r="O104" s="2530">
        <f t="shared" si="76"/>
        <v>-1061.6220000000001</v>
      </c>
      <c r="P104" s="2530">
        <f t="shared" si="76"/>
        <v>-1246.7124196891191</v>
      </c>
      <c r="Q104" s="2530">
        <f t="shared" si="76"/>
        <v>-2436.4077910056503</v>
      </c>
      <c r="R104" s="2530">
        <f t="shared" ca="1" si="76"/>
        <v>-1415.90797223254</v>
      </c>
      <c r="S104" s="2530">
        <f t="shared" ca="1" si="76"/>
        <v>-912.88474251565822</v>
      </c>
      <c r="T104" s="2530">
        <f t="shared" si="76"/>
        <v>-1037.1500000000001</v>
      </c>
      <c r="U104" s="2530">
        <f t="shared" si="76"/>
        <v>-2144.15</v>
      </c>
      <c r="V104" s="2530">
        <f t="shared" ca="1" si="76"/>
        <v>-2962.15</v>
      </c>
      <c r="W104" s="2530">
        <f t="shared" ca="1" si="76"/>
        <v>-1136.7572</v>
      </c>
      <c r="X104" s="2530">
        <f t="shared" ca="1" si="76"/>
        <v>-5145.58</v>
      </c>
      <c r="Y104" s="2530">
        <f t="shared" si="76"/>
        <v>-375.93000000000006</v>
      </c>
      <c r="Z104" s="2530">
        <f t="shared" si="76"/>
        <v>-1295</v>
      </c>
      <c r="AA104" s="2530">
        <f t="shared" si="76"/>
        <v>-1020</v>
      </c>
      <c r="AB104" s="2530">
        <f t="shared" si="76"/>
        <v>48.410543034610612</v>
      </c>
      <c r="AC104" s="2530">
        <f t="shared" si="76"/>
        <v>-906.07007617557861</v>
      </c>
      <c r="AD104" s="2530">
        <f t="shared" si="76"/>
        <v>-902.62975816629182</v>
      </c>
      <c r="AE104" s="2530">
        <f t="shared" si="76"/>
        <v>-910.50612420755033</v>
      </c>
      <c r="AF104" s="2530">
        <f t="shared" si="76"/>
        <v>-912.57014578764779</v>
      </c>
      <c r="AG104" s="2530">
        <f t="shared" si="76"/>
        <v>-910.23058356837566</v>
      </c>
      <c r="AH104" s="1293"/>
      <c r="AI104" s="1293"/>
      <c r="AJ104" s="1293"/>
      <c r="AK104" s="1293"/>
      <c r="AL104" s="1293"/>
      <c r="AM104" s="1293"/>
      <c r="AN104" s="1293"/>
      <c r="AO104" s="1293"/>
      <c r="AP104" s="1293"/>
      <c r="AQ104" s="1293"/>
      <c r="AR104" s="1293"/>
      <c r="AS104" s="1293"/>
    </row>
    <row r="105" spans="1:45" ht="15.75">
      <c r="A105" s="1653"/>
      <c r="B105" s="1653"/>
      <c r="C105" s="1653"/>
      <c r="D105" s="1653"/>
      <c r="E105" s="1653"/>
      <c r="F105" s="1653"/>
      <c r="G105" s="1653"/>
      <c r="H105" s="1653"/>
      <c r="I105" s="1653"/>
      <c r="J105" s="1653"/>
      <c r="K105" s="1653"/>
      <c r="L105" s="1653"/>
      <c r="M105" s="1653"/>
      <c r="N105" s="1653"/>
      <c r="O105" s="1653"/>
      <c r="P105" s="1653"/>
      <c r="Q105" s="1653"/>
      <c r="R105" s="1653"/>
      <c r="S105" s="1653"/>
      <c r="T105" s="1653"/>
      <c r="U105" s="1653"/>
      <c r="V105" s="1653"/>
      <c r="W105" s="1653"/>
      <c r="X105" s="1653"/>
      <c r="Y105" s="1653"/>
      <c r="Z105" s="1653"/>
      <c r="AA105" s="1653"/>
      <c r="AB105" s="1653"/>
      <c r="AC105" s="1653"/>
      <c r="AD105" s="1653"/>
      <c r="AE105" s="1653"/>
      <c r="AF105" s="1653"/>
      <c r="AG105" s="1653"/>
      <c r="AH105" s="1293"/>
      <c r="AI105" s="1293"/>
      <c r="AJ105" s="1293"/>
      <c r="AK105" s="1293"/>
      <c r="AL105" s="1293"/>
      <c r="AM105" s="1293"/>
      <c r="AN105" s="1293"/>
      <c r="AO105" s="1293"/>
      <c r="AP105" s="1293"/>
      <c r="AQ105" s="1293"/>
      <c r="AR105" s="1293"/>
      <c r="AS105" s="1293"/>
    </row>
    <row r="106" spans="1:45" ht="15.75">
      <c r="A106" s="1653" t="s">
        <v>417</v>
      </c>
      <c r="B106" s="1653"/>
      <c r="C106" s="1653"/>
      <c r="D106" s="1653"/>
      <c r="E106" s="1653"/>
      <c r="F106" s="1653"/>
      <c r="G106" s="1653"/>
      <c r="H106" s="1653"/>
      <c r="I106" s="1653"/>
      <c r="J106" s="1653"/>
      <c r="K106" s="1653"/>
      <c r="L106" s="1653"/>
      <c r="M106" s="1653"/>
      <c r="N106" s="1653"/>
      <c r="O106" s="1653"/>
      <c r="P106" s="1653"/>
      <c r="Q106" s="1653"/>
      <c r="R106" s="1653"/>
      <c r="S106" s="1653"/>
      <c r="T106" s="1653"/>
      <c r="U106" s="1653"/>
      <c r="V106" s="1653"/>
      <c r="W106" s="1653"/>
      <c r="X106" s="1653"/>
      <c r="Y106" s="1675">
        <f>Y384</f>
        <v>710</v>
      </c>
      <c r="Z106" s="1675">
        <f>Z384</f>
        <v>0</v>
      </c>
      <c r="AA106" s="1675">
        <f t="shared" ref="AA106:AG106" si="77">Z384</f>
        <v>0</v>
      </c>
      <c r="AB106" s="1675">
        <f t="shared" si="77"/>
        <v>0</v>
      </c>
      <c r="AC106" s="1675">
        <f t="shared" si="77"/>
        <v>0</v>
      </c>
      <c r="AD106" s="1675">
        <f t="shared" si="77"/>
        <v>0</v>
      </c>
      <c r="AE106" s="1675">
        <f t="shared" si="77"/>
        <v>0</v>
      </c>
      <c r="AF106" s="1675">
        <f t="shared" si="77"/>
        <v>0</v>
      </c>
      <c r="AG106" s="1675">
        <f t="shared" si="77"/>
        <v>0</v>
      </c>
      <c r="AH106" s="1293"/>
      <c r="AI106" s="1293"/>
      <c r="AJ106" s="1293"/>
      <c r="AK106" s="1293"/>
      <c r="AL106" s="1293"/>
      <c r="AM106" s="1293"/>
      <c r="AN106" s="1293"/>
      <c r="AO106" s="1293"/>
      <c r="AP106" s="1293"/>
      <c r="AQ106" s="1293"/>
      <c r="AR106" s="1293"/>
      <c r="AS106" s="1293"/>
    </row>
    <row r="107" spans="1:45" ht="15.75">
      <c r="A107" s="1653" t="s">
        <v>3369</v>
      </c>
      <c r="B107" s="1653"/>
      <c r="C107" s="1653"/>
      <c r="D107" s="1653"/>
      <c r="E107" s="1653"/>
      <c r="F107" s="1653"/>
      <c r="G107" s="1653"/>
      <c r="H107" s="1653"/>
      <c r="I107" s="1653"/>
      <c r="J107" s="1653"/>
      <c r="K107" s="1653"/>
      <c r="L107" s="1653"/>
      <c r="M107" s="1653"/>
      <c r="N107" s="1666">
        <f>-CA!L282</f>
        <v>-77.24425841999998</v>
      </c>
      <c r="O107" s="1666">
        <f>-CA!M282</f>
        <v>-71.292935699999973</v>
      </c>
      <c r="P107" s="1666">
        <f>-CA!N282-CA!N219-Colombia!J304</f>
        <v>-233.65200149999998</v>
      </c>
      <c r="Q107" s="1717">
        <v>-300</v>
      </c>
      <c r="R107" s="1717">
        <v>-269</v>
      </c>
      <c r="S107" s="1717">
        <v>-165</v>
      </c>
      <c r="T107" s="1717">
        <v>-164</v>
      </c>
      <c r="U107" s="1717">
        <v>-198</v>
      </c>
      <c r="V107" s="1717">
        <v>-204</v>
      </c>
      <c r="W107" s="1717">
        <v>-70</v>
      </c>
      <c r="X107" s="1717">
        <v>-25</v>
      </c>
      <c r="Y107" s="1717">
        <v>-4</v>
      </c>
      <c r="Z107" s="1717">
        <v>0</v>
      </c>
      <c r="AA107" s="1717">
        <v>0</v>
      </c>
      <c r="AB107" s="1913">
        <f t="shared" ref="AB107:AG107" ca="1" si="78">IF(AB343&lt;0,0,-AB343*0.9)</f>
        <v>-22.793230264509805</v>
      </c>
      <c r="AC107" s="1913">
        <f t="shared" ca="1" si="78"/>
        <v>-22.793230264509805</v>
      </c>
      <c r="AD107" s="1913">
        <f t="shared" ca="1" si="78"/>
        <v>-22.793230264509805</v>
      </c>
      <c r="AE107" s="1913">
        <f t="shared" ca="1" si="78"/>
        <v>-22.793230264509805</v>
      </c>
      <c r="AF107" s="1913">
        <f t="shared" ca="1" si="78"/>
        <v>-22.793230264509805</v>
      </c>
      <c r="AG107" s="1913">
        <f t="shared" ca="1" si="78"/>
        <v>-22.793230264509805</v>
      </c>
      <c r="AH107" s="1293"/>
      <c r="AI107" s="1293"/>
      <c r="AJ107" s="1293"/>
      <c r="AK107" s="1293"/>
      <c r="AL107" s="1293"/>
      <c r="AM107" s="1293"/>
      <c r="AN107" s="1293"/>
      <c r="AO107" s="1293"/>
      <c r="AP107" s="1293"/>
      <c r="AQ107" s="1293"/>
      <c r="AR107" s="1293"/>
      <c r="AS107" s="1293"/>
    </row>
    <row r="108" spans="1:45" ht="15.75">
      <c r="A108" s="1653" t="s">
        <v>7428</v>
      </c>
      <c r="B108" s="1653"/>
      <c r="C108" s="1653"/>
      <c r="D108" s="1653"/>
      <c r="E108" s="1653"/>
      <c r="F108" s="1653"/>
      <c r="G108" s="1653"/>
      <c r="H108" s="1653"/>
      <c r="I108" s="1653"/>
      <c r="J108" s="1653"/>
      <c r="K108" s="1653"/>
      <c r="L108" s="1653"/>
      <c r="M108" s="1653"/>
      <c r="N108" s="1666"/>
      <c r="O108" s="1666"/>
      <c r="P108" s="1666"/>
      <c r="Q108" s="1913"/>
      <c r="R108" s="1913"/>
      <c r="S108" s="1913"/>
      <c r="T108" s="1913"/>
      <c r="U108" s="1913"/>
      <c r="V108" s="1913"/>
      <c r="W108" s="1913"/>
      <c r="X108" s="1913"/>
      <c r="Y108" s="1698">
        <f>CA!W283</f>
        <v>28.318096627054658</v>
      </c>
      <c r="Z108" s="1698">
        <f>CA!X283</f>
        <v>42.993471720458757</v>
      </c>
      <c r="AA108" s="1698">
        <f>CA!Y283</f>
        <v>66.034390208259779</v>
      </c>
      <c r="AB108" s="1698">
        <f>CA!Z283</f>
        <v>66.260977299588319</v>
      </c>
      <c r="AC108" s="1698">
        <f>CA!AA283</f>
        <v>68.663290052007653</v>
      </c>
      <c r="AD108" s="1698">
        <f>CA!AB283</f>
        <v>71.125017807812</v>
      </c>
      <c r="AE108" s="1698">
        <f>CA!AC283</f>
        <v>73.94198820743344</v>
      </c>
      <c r="AF108" s="1698">
        <f>CA!AD283</f>
        <v>76.761807394783972</v>
      </c>
      <c r="AG108" s="1698">
        <f>CA!AE283</f>
        <v>79.643123520630468</v>
      </c>
      <c r="AH108" s="1293"/>
      <c r="AI108" s="1293"/>
      <c r="AJ108" s="1293"/>
      <c r="AK108" s="1293"/>
      <c r="AL108" s="1293"/>
      <c r="AM108" s="1293"/>
      <c r="AN108" s="1293"/>
      <c r="AO108" s="1293"/>
      <c r="AP108" s="1293"/>
      <c r="AQ108" s="1293"/>
      <c r="AR108" s="1293"/>
      <c r="AS108" s="1293"/>
    </row>
    <row r="109" spans="1:45" ht="15.75">
      <c r="A109" s="1653" t="s">
        <v>168</v>
      </c>
      <c r="B109" s="1653"/>
      <c r="C109" s="1653"/>
      <c r="D109" s="1653"/>
      <c r="E109" s="1675"/>
      <c r="F109" s="1675">
        <f t="shared" ref="F109:AG109" si="79">-E364</f>
        <v>0</v>
      </c>
      <c r="G109" s="1675">
        <f t="shared" si="79"/>
        <v>0</v>
      </c>
      <c r="H109" s="1675">
        <f t="shared" si="79"/>
        <v>0</v>
      </c>
      <c r="I109" s="1675">
        <f t="shared" ca="1" si="79"/>
        <v>0</v>
      </c>
      <c r="J109" s="1675">
        <f t="shared" ca="1" si="79"/>
        <v>0</v>
      </c>
      <c r="K109" s="1675">
        <f t="shared" si="79"/>
        <v>-259.7</v>
      </c>
      <c r="L109" s="1675">
        <f t="shared" si="79"/>
        <v>-130.37520000000001</v>
      </c>
      <c r="M109" s="1675">
        <f t="shared" si="79"/>
        <v>-652.5</v>
      </c>
      <c r="N109" s="1675">
        <f t="shared" si="79"/>
        <v>-523.45439999999996</v>
      </c>
      <c r="O109" s="1675">
        <f t="shared" si="79"/>
        <v>-566.20619999999997</v>
      </c>
      <c r="P109" s="1675">
        <f t="shared" si="79"/>
        <v>-266.11200000000002</v>
      </c>
      <c r="Q109" s="1675">
        <f t="shared" si="79"/>
        <v>-263.73599999999999</v>
      </c>
      <c r="R109" s="1675">
        <f t="shared" si="79"/>
        <v>-263.73599999999999</v>
      </c>
      <c r="S109" s="1675">
        <f t="shared" si="79"/>
        <v>-263.73599999999999</v>
      </c>
      <c r="T109" s="1675">
        <f t="shared" si="79"/>
        <v>-263.73599999999999</v>
      </c>
      <c r="U109" s="1675">
        <f t="shared" si="79"/>
        <v>-263.73599999999999</v>
      </c>
      <c r="V109" s="1675">
        <f t="shared" si="79"/>
        <v>-263.73599999999999</v>
      </c>
      <c r="W109" s="1675">
        <f t="shared" si="79"/>
        <v>0</v>
      </c>
      <c r="X109" s="1675">
        <f t="shared" si="79"/>
        <v>0</v>
      </c>
      <c r="Y109" s="1675">
        <f t="shared" si="79"/>
        <v>0</v>
      </c>
      <c r="Z109" s="1675">
        <f t="shared" si="79"/>
        <v>0</v>
      </c>
      <c r="AA109" s="1675">
        <f t="shared" si="79"/>
        <v>0</v>
      </c>
      <c r="AB109" s="1675">
        <f t="shared" si="79"/>
        <v>-556.76724999999999</v>
      </c>
      <c r="AC109" s="1675">
        <f t="shared" si="79"/>
        <v>-499.089</v>
      </c>
      <c r="AD109" s="1675">
        <f t="shared" si="79"/>
        <v>-524.42975000000001</v>
      </c>
      <c r="AE109" s="1675">
        <f t="shared" si="79"/>
        <v>-547.27049999999997</v>
      </c>
      <c r="AF109" s="1675">
        <f t="shared" si="79"/>
        <v>-567.61125000000004</v>
      </c>
      <c r="AG109" s="1675">
        <f t="shared" si="79"/>
        <v>-585.452</v>
      </c>
      <c r="AH109" s="1293"/>
      <c r="AI109" s="1293"/>
      <c r="AJ109" s="1293"/>
      <c r="AK109" s="1293"/>
      <c r="AL109" s="1293"/>
      <c r="AM109" s="1293"/>
      <c r="AN109" s="1293"/>
      <c r="AO109" s="1293"/>
      <c r="AP109" s="1293"/>
      <c r="AQ109" s="1293"/>
      <c r="AR109" s="1293"/>
      <c r="AS109" s="1293"/>
    </row>
    <row r="110" spans="1:45" ht="15.75">
      <c r="A110" s="1653"/>
      <c r="B110" s="1653"/>
      <c r="C110" s="1653"/>
      <c r="D110" s="1653"/>
      <c r="E110" s="1653"/>
      <c r="F110" s="1653"/>
      <c r="G110" s="1653"/>
      <c r="H110" s="1653"/>
      <c r="I110" s="1653"/>
      <c r="J110" s="1653"/>
      <c r="K110" s="1653"/>
      <c r="L110" s="1653"/>
      <c r="M110" s="1653"/>
      <c r="N110" s="1653"/>
      <c r="O110" s="1653"/>
      <c r="P110" s="1653"/>
      <c r="Q110" s="1653"/>
      <c r="R110" s="1653"/>
      <c r="S110" s="1653"/>
      <c r="T110" s="1653"/>
      <c r="U110" s="1653"/>
      <c r="V110" s="1653"/>
      <c r="W110" s="1653"/>
      <c r="X110" s="1653"/>
      <c r="Y110" s="1653"/>
      <c r="Z110" s="1653"/>
      <c r="AA110" s="1653"/>
      <c r="AB110" s="1653"/>
      <c r="AC110" s="1653"/>
      <c r="AD110" s="1653"/>
      <c r="AE110" s="1653"/>
      <c r="AF110" s="1653"/>
      <c r="AG110" s="1653"/>
      <c r="AH110" s="1293"/>
      <c r="AI110" s="1293"/>
      <c r="AJ110" s="1293"/>
      <c r="AK110" s="1293"/>
      <c r="AL110" s="1293"/>
      <c r="AM110" s="1293"/>
      <c r="AN110" s="1293"/>
      <c r="AO110" s="1293"/>
      <c r="AP110" s="1293"/>
      <c r="AQ110" s="1293"/>
      <c r="AR110" s="1293"/>
      <c r="AS110" s="1293"/>
    </row>
    <row r="111" spans="1:45" ht="15.75">
      <c r="A111" s="1834" t="s">
        <v>169</v>
      </c>
      <c r="B111" s="1834"/>
      <c r="C111" s="1834"/>
      <c r="D111" s="1834"/>
      <c r="E111" s="1960"/>
      <c r="F111" s="1960">
        <f>E150-F150</f>
        <v>-613.1</v>
      </c>
      <c r="G111" s="1960">
        <f>F150-G150</f>
        <v>285.70000000000005</v>
      </c>
      <c r="H111" s="1914" t="e">
        <f>H92+H94+H95+H104+H109</f>
        <v>#REF!</v>
      </c>
      <c r="I111" s="1914" t="e">
        <f ca="1">I92+I94+I95+I104+I109</f>
        <v>#REF!</v>
      </c>
      <c r="J111" s="1914" t="e">
        <f ca="1">J92+J94+J95+J104+J109</f>
        <v>#REF!</v>
      </c>
      <c r="K111" s="1914" t="e">
        <f>K92+K94+K95+K104+K109</f>
        <v>#REF!</v>
      </c>
      <c r="L111" s="1914" t="e">
        <f ca="1">L92+L94+L95+L104+L109</f>
        <v>#REF!</v>
      </c>
      <c r="M111" s="1914" t="e">
        <f t="shared" ref="M111:X111" ca="1" si="80">M92+M94+M95+M104+M109+M107</f>
        <v>#REF!</v>
      </c>
      <c r="N111" s="1914">
        <f t="shared" ca="1" si="80"/>
        <v>-933.20583099039015</v>
      </c>
      <c r="O111" s="1914">
        <f t="shared" ca="1" si="80"/>
        <v>-1330.1211357</v>
      </c>
      <c r="P111" s="1914">
        <f t="shared" ca="1" si="80"/>
        <v>-1121.4764211891193</v>
      </c>
      <c r="Q111" s="1914">
        <f t="shared" si="80"/>
        <v>514.57732077307344</v>
      </c>
      <c r="R111" s="1914">
        <f t="shared" ca="1" si="80"/>
        <v>-2411.5287576733608</v>
      </c>
      <c r="S111" s="1914">
        <f t="shared" ca="1" si="80"/>
        <v>19.919808118800916</v>
      </c>
      <c r="T111" s="1914">
        <f t="shared" si="80"/>
        <v>-214.28600000000017</v>
      </c>
      <c r="U111" s="1914">
        <f t="shared" si="80"/>
        <v>-503.48599999999999</v>
      </c>
      <c r="V111" s="1914">
        <f t="shared" ca="1" si="80"/>
        <v>-530.88600000000008</v>
      </c>
      <c r="W111" s="1914">
        <f t="shared" ca="1" si="80"/>
        <v>916.24279999999999</v>
      </c>
      <c r="X111" s="1914">
        <f t="shared" ca="1" si="80"/>
        <v>-2647.58</v>
      </c>
      <c r="Y111" s="1914">
        <f t="shared" ref="Y111:AG111" si="81">Y92+Y94+Y95+Y104+Y109+Y107+Y106+Y108</f>
        <v>1093.5230966270547</v>
      </c>
      <c r="Z111" s="1914">
        <f t="shared" si="81"/>
        <v>223.27897172045871</v>
      </c>
      <c r="AA111" s="1914">
        <f t="shared" ca="1" si="81"/>
        <v>-69.332009791739878</v>
      </c>
      <c r="AB111" s="1914">
        <f t="shared" ca="1" si="81"/>
        <v>717.15676343853806</v>
      </c>
      <c r="AC111" s="1914">
        <f t="shared" ca="1" si="81"/>
        <v>-198.35840187921701</v>
      </c>
      <c r="AD111" s="1914">
        <f t="shared" ca="1" si="81"/>
        <v>-174.45371804922479</v>
      </c>
      <c r="AE111" s="1914">
        <f t="shared" ca="1" si="81"/>
        <v>-155.91327694337821</v>
      </c>
      <c r="AF111" s="1914">
        <f t="shared" ca="1" si="81"/>
        <v>-104.59457113406646</v>
      </c>
      <c r="AG111" s="1914">
        <f t="shared" ca="1" si="81"/>
        <v>-77.946699032083473</v>
      </c>
      <c r="AH111" s="1293"/>
      <c r="AI111" s="1293"/>
      <c r="AJ111" s="1293"/>
      <c r="AK111" s="1293"/>
      <c r="AL111" s="1293"/>
      <c r="AM111" s="1293"/>
      <c r="AN111" s="1293"/>
      <c r="AO111" s="1293"/>
      <c r="AP111" s="1293"/>
      <c r="AQ111" s="1293"/>
      <c r="AR111" s="1293"/>
      <c r="AS111" s="1293"/>
    </row>
    <row r="112" spans="1:45" ht="15.75">
      <c r="A112" s="1653"/>
      <c r="B112" s="1653"/>
      <c r="C112" s="1653"/>
      <c r="D112" s="1653"/>
      <c r="E112" s="1653"/>
      <c r="F112" s="1653"/>
      <c r="G112" s="1653"/>
      <c r="H112" s="1653"/>
      <c r="I112" s="1653"/>
      <c r="J112" s="1653"/>
      <c r="K112" s="1653"/>
      <c r="L112" s="1653"/>
      <c r="M112" s="1675"/>
      <c r="N112" s="1675"/>
      <c r="O112" s="1675"/>
      <c r="P112" s="1653"/>
      <c r="Q112" s="1653"/>
      <c r="R112" s="1653"/>
      <c r="S112" s="1653"/>
      <c r="T112" s="1653"/>
      <c r="U112" s="1653"/>
      <c r="V112" s="1653"/>
      <c r="W112" s="1653"/>
      <c r="X112" s="1653"/>
      <c r="Y112" s="1653"/>
      <c r="Z112" s="1653"/>
      <c r="AA112" s="1653"/>
      <c r="AB112" s="1653"/>
      <c r="AC112" s="1653"/>
      <c r="AD112" s="1653"/>
      <c r="AE112" s="1653"/>
      <c r="AF112" s="1653"/>
      <c r="AG112" s="1653"/>
      <c r="AH112" s="1293"/>
      <c r="AI112" s="1293"/>
      <c r="AJ112" s="1293"/>
      <c r="AK112" s="1293"/>
      <c r="AL112" s="1293"/>
      <c r="AM112" s="1293"/>
      <c r="AN112" s="1293"/>
      <c r="AO112" s="1293"/>
      <c r="AP112" s="1293"/>
      <c r="AQ112" s="1293"/>
      <c r="AR112" s="1293"/>
      <c r="AS112" s="1293"/>
    </row>
    <row r="113" spans="1:45" ht="15.75">
      <c r="A113" s="1653"/>
      <c r="B113" s="1653"/>
      <c r="C113" s="1653"/>
      <c r="D113" s="1653"/>
      <c r="E113" s="1653"/>
      <c r="F113" s="1653"/>
      <c r="G113" s="1653"/>
      <c r="H113" s="1653"/>
      <c r="I113" s="1653"/>
      <c r="J113" s="1653"/>
      <c r="K113" s="1653"/>
      <c r="L113" s="1653"/>
      <c r="M113" s="1675"/>
      <c r="N113" s="1675"/>
      <c r="O113" s="1675"/>
      <c r="P113" s="1653"/>
      <c r="Q113" s="1653"/>
      <c r="R113" s="1653"/>
      <c r="S113" s="1653"/>
      <c r="T113" s="1653"/>
      <c r="U113" s="1653"/>
      <c r="V113" s="1653"/>
      <c r="W113" s="1653"/>
      <c r="X113" s="1653"/>
      <c r="Y113" s="1653"/>
      <c r="Z113" s="1653"/>
      <c r="AA113" s="1653"/>
      <c r="AB113" s="1653"/>
      <c r="AC113" s="1653"/>
      <c r="AD113" s="1653"/>
      <c r="AE113" s="1653"/>
      <c r="AF113" s="1653"/>
      <c r="AG113" s="1653"/>
      <c r="AH113" s="1293"/>
      <c r="AI113" s="1293"/>
      <c r="AJ113" s="1293"/>
      <c r="AK113" s="1293"/>
      <c r="AL113" s="1293"/>
      <c r="AM113" s="1293"/>
      <c r="AN113" s="1293"/>
      <c r="AO113" s="1293"/>
      <c r="AP113" s="1293"/>
      <c r="AQ113" s="1293"/>
      <c r="AR113" s="1293"/>
      <c r="AS113" s="1293"/>
    </row>
    <row r="114" spans="1:45" ht="15.75">
      <c r="A114" s="1653"/>
      <c r="B114" s="1653"/>
      <c r="C114" s="1653"/>
      <c r="D114" s="1653"/>
      <c r="E114" s="1653"/>
      <c r="F114" s="1653"/>
      <c r="G114" s="1653"/>
      <c r="H114" s="1653"/>
      <c r="I114" s="1653"/>
      <c r="J114" s="1653"/>
      <c r="K114" s="1653"/>
      <c r="L114" s="1653"/>
      <c r="M114" s="1675"/>
      <c r="N114" s="1675"/>
      <c r="O114" s="1675"/>
      <c r="P114" s="1653"/>
      <c r="Q114" s="1653"/>
      <c r="R114" s="1653"/>
      <c r="S114" s="1653"/>
      <c r="T114" s="1653"/>
      <c r="U114" s="1653"/>
      <c r="V114" s="1653"/>
      <c r="W114" s="1653"/>
      <c r="X114" s="1653"/>
      <c r="Y114" s="1653"/>
      <c r="Z114" s="1653"/>
      <c r="AA114" s="1653"/>
      <c r="AB114" s="1653"/>
      <c r="AC114" s="1653"/>
      <c r="AD114" s="1653"/>
      <c r="AE114" s="1653"/>
      <c r="AF114" s="1653"/>
      <c r="AG114" s="1653"/>
      <c r="AH114" s="1293"/>
      <c r="AI114" s="1293"/>
      <c r="AJ114" s="1293"/>
      <c r="AK114" s="1293"/>
      <c r="AL114" s="1293"/>
      <c r="AM114" s="1293"/>
      <c r="AN114" s="1293"/>
      <c r="AO114" s="1293"/>
      <c r="AP114" s="1293"/>
      <c r="AQ114" s="1293"/>
      <c r="AR114" s="1293"/>
      <c r="AS114" s="1293"/>
    </row>
    <row r="115" spans="1:45" ht="15.75">
      <c r="A115" s="1653"/>
      <c r="B115" s="1653"/>
      <c r="C115" s="1653"/>
      <c r="D115" s="1653"/>
      <c r="E115" s="1653"/>
      <c r="F115" s="1653"/>
      <c r="G115" s="1653"/>
      <c r="H115" s="1653"/>
      <c r="I115" s="1653"/>
      <c r="J115" s="1653"/>
      <c r="K115" s="1653"/>
      <c r="L115" s="1653"/>
      <c r="M115" s="1675"/>
      <c r="N115" s="1675"/>
      <c r="O115" s="1675"/>
      <c r="P115" s="1653"/>
      <c r="Q115" s="1653"/>
      <c r="R115" s="1653"/>
      <c r="S115" s="1653"/>
      <c r="T115" s="1653"/>
      <c r="U115" s="1653"/>
      <c r="V115" s="1653"/>
      <c r="W115" s="1653"/>
      <c r="X115" s="1653"/>
      <c r="Y115" s="1653"/>
      <c r="Z115" s="1653"/>
      <c r="AA115" s="1653"/>
      <c r="AB115" s="1653"/>
      <c r="AC115" s="1653"/>
      <c r="AD115" s="1653"/>
      <c r="AE115" s="1653"/>
      <c r="AF115" s="1653"/>
      <c r="AG115" s="1653"/>
      <c r="AH115" s="1293"/>
      <c r="AI115" s="1293"/>
      <c r="AJ115" s="1293"/>
      <c r="AK115" s="1293"/>
      <c r="AL115" s="1293"/>
      <c r="AM115" s="1293"/>
      <c r="AN115" s="1293"/>
      <c r="AO115" s="1293"/>
      <c r="AP115" s="1293"/>
      <c r="AQ115" s="1293"/>
      <c r="AR115" s="1293"/>
      <c r="AS115" s="1293"/>
    </row>
    <row r="116" spans="1:45" ht="15.75">
      <c r="A116" s="1653"/>
      <c r="B116" s="1653"/>
      <c r="C116" s="1653"/>
      <c r="D116" s="1653"/>
      <c r="E116" s="1653"/>
      <c r="F116" s="1653"/>
      <c r="G116" s="1653"/>
      <c r="H116" s="1653"/>
      <c r="I116" s="1653"/>
      <c r="J116" s="1653"/>
      <c r="K116" s="1653"/>
      <c r="L116" s="1653"/>
      <c r="M116" s="1675"/>
      <c r="N116" s="1675"/>
      <c r="O116" s="1675"/>
      <c r="P116" s="1653"/>
      <c r="Q116" s="1653"/>
      <c r="R116" s="1653"/>
      <c r="S116" s="1653"/>
      <c r="T116" s="1653"/>
      <c r="U116" s="1653"/>
      <c r="V116" s="1653"/>
      <c r="W116" s="1653"/>
      <c r="X116" s="1653"/>
      <c r="Y116" s="1653"/>
      <c r="Z116" s="1653"/>
      <c r="AA116" s="1653"/>
      <c r="AB116" s="1653"/>
      <c r="AC116" s="1653"/>
      <c r="AD116" s="1653"/>
      <c r="AE116" s="1653"/>
      <c r="AF116" s="1653"/>
      <c r="AG116" s="1653"/>
      <c r="AH116" s="1293"/>
      <c r="AI116" s="1293"/>
      <c r="AJ116" s="1293"/>
      <c r="AK116" s="1293"/>
      <c r="AL116" s="1293"/>
      <c r="AM116" s="1293"/>
      <c r="AN116" s="1293"/>
      <c r="AO116" s="1293"/>
      <c r="AP116" s="1293"/>
      <c r="AQ116" s="1293"/>
      <c r="AR116" s="1293"/>
      <c r="AS116" s="1293"/>
    </row>
    <row r="117" spans="1:45" ht="15.75">
      <c r="A117" s="1914" t="s">
        <v>1886</v>
      </c>
      <c r="B117" s="1914"/>
      <c r="C117" s="1915"/>
      <c r="D117" s="1916"/>
      <c r="E117" s="1916"/>
      <c r="F117" s="1916">
        <f t="shared" ref="F117:AG117" si="82">F2</f>
        <v>2003</v>
      </c>
      <c r="G117" s="1916">
        <f t="shared" si="82"/>
        <v>2004</v>
      </c>
      <c r="H117" s="1916">
        <f t="shared" si="82"/>
        <v>2005</v>
      </c>
      <c r="I117" s="1916">
        <f t="shared" si="82"/>
        <v>2006</v>
      </c>
      <c r="J117" s="1916">
        <f t="shared" si="82"/>
        <v>2007</v>
      </c>
      <c r="K117" s="1916">
        <f t="shared" si="82"/>
        <v>2008</v>
      </c>
      <c r="L117" s="1916">
        <f t="shared" si="82"/>
        <v>2009</v>
      </c>
      <c r="M117" s="1916">
        <f t="shared" si="82"/>
        <v>2010</v>
      </c>
      <c r="N117" s="1916">
        <f t="shared" si="82"/>
        <v>2011</v>
      </c>
      <c r="O117" s="1916">
        <f t="shared" si="82"/>
        <v>2012</v>
      </c>
      <c r="P117" s="1916">
        <f t="shared" si="82"/>
        <v>2013</v>
      </c>
      <c r="Q117" s="1916">
        <f t="shared" si="82"/>
        <v>2014</v>
      </c>
      <c r="R117" s="1916">
        <f t="shared" si="82"/>
        <v>2015</v>
      </c>
      <c r="S117" s="1916">
        <f t="shared" si="82"/>
        <v>2016</v>
      </c>
      <c r="T117" s="1916">
        <f t="shared" si="82"/>
        <v>2017</v>
      </c>
      <c r="U117" s="1916">
        <f t="shared" si="82"/>
        <v>2018</v>
      </c>
      <c r="V117" s="1916">
        <f t="shared" si="82"/>
        <v>2019</v>
      </c>
      <c r="W117" s="1916">
        <f t="shared" si="82"/>
        <v>2020</v>
      </c>
      <c r="X117" s="1916">
        <f t="shared" si="82"/>
        <v>2021</v>
      </c>
      <c r="Y117" s="1916">
        <f t="shared" si="82"/>
        <v>2022</v>
      </c>
      <c r="Z117" s="1916">
        <f t="shared" si="82"/>
        <v>2023</v>
      </c>
      <c r="AA117" s="1917">
        <f t="shared" si="82"/>
        <v>2024</v>
      </c>
      <c r="AB117" s="1917">
        <f t="shared" si="82"/>
        <v>2025</v>
      </c>
      <c r="AC117" s="1917">
        <f t="shared" si="82"/>
        <v>2026</v>
      </c>
      <c r="AD117" s="1917">
        <f t="shared" si="82"/>
        <v>2027</v>
      </c>
      <c r="AE117" s="1917">
        <f t="shared" si="82"/>
        <v>2028</v>
      </c>
      <c r="AF117" s="1917">
        <f t="shared" si="82"/>
        <v>2029</v>
      </c>
      <c r="AG117" s="1917">
        <f t="shared" si="82"/>
        <v>2030</v>
      </c>
      <c r="AH117" s="1293"/>
      <c r="AI117" s="1293"/>
      <c r="AJ117" s="1293"/>
      <c r="AK117" s="1293"/>
      <c r="AL117" s="1293"/>
      <c r="AM117" s="1293"/>
      <c r="AN117" s="1293"/>
      <c r="AO117" s="1293"/>
      <c r="AP117" s="1293"/>
      <c r="AQ117" s="1293"/>
      <c r="AR117" s="1293"/>
      <c r="AS117" s="1293"/>
    </row>
    <row r="118" spans="1:45" ht="15.75">
      <c r="A118" s="1675"/>
      <c r="B118" s="1675"/>
      <c r="C118" s="1675"/>
      <c r="D118" s="1675"/>
      <c r="E118" s="1675"/>
      <c r="F118" s="1675"/>
      <c r="G118" s="1675"/>
      <c r="H118" s="1675"/>
      <c r="I118" s="1653"/>
      <c r="J118" s="1653"/>
      <c r="K118" s="1653"/>
      <c r="L118" s="1653"/>
      <c r="M118" s="1653"/>
      <c r="N118" s="1653"/>
      <c r="O118" s="1653"/>
      <c r="P118" s="1653"/>
      <c r="Q118" s="1653"/>
      <c r="R118" s="1653"/>
      <c r="S118" s="1653"/>
      <c r="T118" s="1653"/>
      <c r="U118" s="1653"/>
      <c r="V118" s="1653"/>
      <c r="W118" s="1653"/>
      <c r="X118" s="1653"/>
      <c r="Y118" s="1653"/>
      <c r="Z118" s="1653"/>
      <c r="AA118" s="1653"/>
      <c r="AB118" s="1653"/>
      <c r="AC118" s="1653"/>
      <c r="AD118" s="1653"/>
      <c r="AE118" s="1653"/>
      <c r="AF118" s="1653"/>
      <c r="AG118" s="1653"/>
      <c r="AH118" s="1293"/>
      <c r="AI118" s="1293"/>
      <c r="AJ118" s="1293"/>
      <c r="AK118" s="1293"/>
      <c r="AL118" s="1293"/>
      <c r="AM118" s="1293"/>
      <c r="AN118" s="1293"/>
      <c r="AO118" s="1293"/>
      <c r="AP118" s="1293"/>
      <c r="AQ118" s="1293"/>
      <c r="AR118" s="1293"/>
      <c r="AS118" s="1293"/>
    </row>
    <row r="119" spans="1:45" ht="15.75">
      <c r="A119" s="1675" t="str">
        <f>A236</f>
        <v>Intangible assets</v>
      </c>
      <c r="B119" s="1675"/>
      <c r="C119" s="1675"/>
      <c r="D119" s="1675"/>
      <c r="E119" s="1675"/>
      <c r="F119" s="1675">
        <f t="shared" ref="F119:AG119" si="83">F264</f>
        <v>83.818000000000012</v>
      </c>
      <c r="G119" s="1675">
        <f t="shared" si="83"/>
        <v>317.96799999999996</v>
      </c>
      <c r="H119" s="1675">
        <f t="shared" si="83"/>
        <v>373.25300000000004</v>
      </c>
      <c r="I119" s="1675">
        <f t="shared" si="83"/>
        <v>482.178</v>
      </c>
      <c r="J119" s="1675">
        <f t="shared" si="83"/>
        <v>467.50199999999995</v>
      </c>
      <c r="K119" s="1675">
        <f t="shared" si="83"/>
        <v>990.35000000000014</v>
      </c>
      <c r="L119" s="1675">
        <f t="shared" si="83"/>
        <v>1044.837</v>
      </c>
      <c r="M119" s="1675">
        <f t="shared" si="83"/>
        <v>2282.8449999999998</v>
      </c>
      <c r="N119" s="1675">
        <f t="shared" si="83"/>
        <v>2170</v>
      </c>
      <c r="O119" s="1675">
        <f t="shared" si="83"/>
        <v>2419</v>
      </c>
      <c r="P119" s="1675">
        <f t="shared" si="83"/>
        <v>2458</v>
      </c>
      <c r="Q119" s="1675">
        <f t="shared" si="83"/>
        <v>5503</v>
      </c>
      <c r="R119" s="1675">
        <f t="shared" si="83"/>
        <v>4835</v>
      </c>
      <c r="S119" s="1675">
        <f t="shared" si="83"/>
        <v>4618</v>
      </c>
      <c r="T119" s="1675">
        <f t="shared" si="83"/>
        <v>4313</v>
      </c>
      <c r="U119" s="1675">
        <f t="shared" si="83"/>
        <v>5303</v>
      </c>
      <c r="V119" s="1675">
        <f t="shared" si="83"/>
        <v>6069</v>
      </c>
      <c r="W119" s="1675">
        <f t="shared" si="83"/>
        <v>6240</v>
      </c>
      <c r="X119" s="1675">
        <f t="shared" si="83"/>
        <v>8199</v>
      </c>
      <c r="Y119" s="1675">
        <f t="shared" si="83"/>
        <v>7361</v>
      </c>
      <c r="Z119" s="1675">
        <f t="shared" si="83"/>
        <v>7785</v>
      </c>
      <c r="AA119" s="1675">
        <f t="shared" si="83"/>
        <v>6908</v>
      </c>
      <c r="AB119" s="1675">
        <f t="shared" si="83"/>
        <v>6562.22</v>
      </c>
      <c r="AC119" s="1675">
        <f t="shared" si="83"/>
        <v>6212.598</v>
      </c>
      <c r="AD119" s="1675">
        <f t="shared" si="83"/>
        <v>5866.4722199999997</v>
      </c>
      <c r="AE119" s="1675">
        <f t="shared" si="83"/>
        <v>5530.4155535999998</v>
      </c>
      <c r="AF119" s="1675">
        <f t="shared" si="83"/>
        <v>5210.0415316320004</v>
      </c>
      <c r="AG119" s="1675">
        <f t="shared" si="83"/>
        <v>4909.8757172035203</v>
      </c>
      <c r="AH119" s="1293"/>
      <c r="AI119" s="1293"/>
      <c r="AJ119" s="1293"/>
      <c r="AK119" s="1293"/>
      <c r="AL119" s="1293"/>
      <c r="AM119" s="1293"/>
      <c r="AN119" s="1293"/>
      <c r="AO119" s="1293"/>
      <c r="AP119" s="1293"/>
      <c r="AQ119" s="1293"/>
      <c r="AR119" s="1293"/>
      <c r="AS119" s="1293"/>
    </row>
    <row r="120" spans="1:45" ht="15.75">
      <c r="A120" s="1675" t="str">
        <f>A194</f>
        <v>Tangible assets</v>
      </c>
      <c r="B120" s="1675"/>
      <c r="C120" s="1675"/>
      <c r="D120" s="1675"/>
      <c r="E120" s="1675"/>
      <c r="F120" s="1675">
        <f t="shared" ref="F120:AG120" si="84">F234</f>
        <v>489.54299999999995</v>
      </c>
      <c r="G120" s="1675">
        <f t="shared" si="84"/>
        <v>575.649</v>
      </c>
      <c r="H120" s="1675">
        <f t="shared" si="84"/>
        <v>671.77400000000011</v>
      </c>
      <c r="I120" s="1675">
        <f t="shared" si="84"/>
        <v>1266.902</v>
      </c>
      <c r="J120" s="1675">
        <f t="shared" si="84"/>
        <v>2066.136</v>
      </c>
      <c r="K120" s="1675">
        <f t="shared" si="84"/>
        <v>2787.2</v>
      </c>
      <c r="L120" s="1675">
        <f t="shared" si="84"/>
        <v>2711</v>
      </c>
      <c r="M120" s="1675">
        <f t="shared" si="84"/>
        <v>2768</v>
      </c>
      <c r="N120" s="1675">
        <f t="shared" si="84"/>
        <v>2865</v>
      </c>
      <c r="O120" s="1675">
        <f t="shared" si="84"/>
        <v>3108.0000000000005</v>
      </c>
      <c r="P120" s="1675">
        <f t="shared" si="84"/>
        <v>2771</v>
      </c>
      <c r="Q120" s="1675">
        <f t="shared" si="84"/>
        <v>4631</v>
      </c>
      <c r="R120" s="1675">
        <f t="shared" si="84"/>
        <v>4236</v>
      </c>
      <c r="S120" s="1675">
        <f t="shared" si="84"/>
        <v>4205</v>
      </c>
      <c r="T120" s="1675">
        <f t="shared" si="84"/>
        <v>3971</v>
      </c>
      <c r="U120" s="1675">
        <f t="shared" si="84"/>
        <v>4027</v>
      </c>
      <c r="V120" s="1675">
        <f t="shared" si="84"/>
        <v>3811</v>
      </c>
      <c r="W120" s="1675">
        <f t="shared" si="84"/>
        <v>3629</v>
      </c>
      <c r="X120" s="1675">
        <f t="shared" si="84"/>
        <v>3510</v>
      </c>
      <c r="Y120" s="1675">
        <f t="shared" si="84"/>
        <v>2989</v>
      </c>
      <c r="Z120" s="1675">
        <f t="shared" si="84"/>
        <v>3107</v>
      </c>
      <c r="AA120" s="1675">
        <f t="shared" si="84"/>
        <v>2847</v>
      </c>
      <c r="AB120" s="1675">
        <f t="shared" si="84"/>
        <v>1741.128456965389</v>
      </c>
      <c r="AC120" s="1675">
        <f t="shared" si="84"/>
        <v>1942.1374269120424</v>
      </c>
      <c r="AD120" s="1675">
        <f t="shared" si="84"/>
        <v>2075.3832084664809</v>
      </c>
      <c r="AE120" s="1675">
        <f t="shared" si="84"/>
        <v>2173.8667059647578</v>
      </c>
      <c r="AF120" s="1675">
        <f t="shared" si="84"/>
        <v>2242.8995058436831</v>
      </c>
      <c r="AG120" s="1675">
        <f t="shared" si="84"/>
        <v>2287.5022475420792</v>
      </c>
      <c r="AH120" s="1293"/>
      <c r="AI120" s="1293"/>
      <c r="AJ120" s="1293"/>
      <c r="AK120" s="1293"/>
      <c r="AL120" s="1293"/>
      <c r="AM120" s="1293"/>
      <c r="AN120" s="1293"/>
      <c r="AO120" s="1293"/>
      <c r="AP120" s="1293"/>
      <c r="AQ120" s="1293"/>
      <c r="AR120" s="1293"/>
      <c r="AS120" s="1293"/>
    </row>
    <row r="121" spans="1:45" ht="15.75">
      <c r="A121" s="1705" t="s">
        <v>170</v>
      </c>
      <c r="B121" s="1705"/>
      <c r="C121" s="1705"/>
      <c r="D121" s="1705"/>
      <c r="E121" s="1705"/>
      <c r="F121" s="1705">
        <f t="shared" ref="F121:AG121" si="85">F267</f>
        <v>534.78800000000001</v>
      </c>
      <c r="G121" s="1705">
        <f t="shared" si="85"/>
        <v>441.32399999999996</v>
      </c>
      <c r="H121" s="1705">
        <f t="shared" si="85"/>
        <v>22.991</v>
      </c>
      <c r="I121" s="1705">
        <f t="shared" si="85"/>
        <v>36.931000000000004</v>
      </c>
      <c r="J121" s="1705">
        <f t="shared" si="85"/>
        <v>128.59199999999998</v>
      </c>
      <c r="K121" s="1705">
        <f t="shared" si="85"/>
        <v>58.481999999999999</v>
      </c>
      <c r="L121" s="1705">
        <f t="shared" si="85"/>
        <v>82.1</v>
      </c>
      <c r="M121" s="1705">
        <f t="shared" si="85"/>
        <v>108.759</v>
      </c>
      <c r="N121" s="1705">
        <f t="shared" si="85"/>
        <v>467</v>
      </c>
      <c r="O121" s="1705">
        <f t="shared" si="85"/>
        <v>585</v>
      </c>
      <c r="P121" s="1705">
        <f t="shared" si="85"/>
        <v>844</v>
      </c>
      <c r="Q121" s="1705">
        <f t="shared" si="85"/>
        <v>757</v>
      </c>
      <c r="R121" s="1705">
        <f t="shared" si="85"/>
        <v>659</v>
      </c>
      <c r="S121" s="1705">
        <f t="shared" si="85"/>
        <v>612</v>
      </c>
      <c r="T121" s="1705">
        <f t="shared" si="85"/>
        <v>747.6</v>
      </c>
      <c r="U121" s="1705">
        <f t="shared" si="85"/>
        <v>670</v>
      </c>
      <c r="V121" s="1705">
        <f t="shared" si="85"/>
        <v>1786</v>
      </c>
      <c r="W121" s="1705">
        <f t="shared" si="85"/>
        <v>1552</v>
      </c>
      <c r="X121" s="1705">
        <f t="shared" si="85"/>
        <v>1385</v>
      </c>
      <c r="Y121" s="1705">
        <f t="shared" si="85"/>
        <v>1783</v>
      </c>
      <c r="Z121" s="1705">
        <f t="shared" si="85"/>
        <v>1709</v>
      </c>
      <c r="AA121" s="1705">
        <f t="shared" si="85"/>
        <v>1602</v>
      </c>
      <c r="AB121" s="1705">
        <f t="shared" ca="1" si="85"/>
        <v>1891.1368467163295</v>
      </c>
      <c r="AC121" s="1705">
        <f t="shared" ca="1" si="85"/>
        <v>2187.2598187515596</v>
      </c>
      <c r="AD121" s="1705">
        <f t="shared" ca="1" si="85"/>
        <v>2490.5213528055829</v>
      </c>
      <c r="AE121" s="1705">
        <f t="shared" ca="1" si="85"/>
        <v>2801.4043125026847</v>
      </c>
      <c r="AF121" s="1705">
        <f t="shared" ca="1" si="85"/>
        <v>3120.0465652803191</v>
      </c>
      <c r="AG121" s="1705">
        <f t="shared" ca="1" si="85"/>
        <v>3446.6097063297952</v>
      </c>
      <c r="AH121" s="1293"/>
      <c r="AI121" s="1293"/>
      <c r="AJ121" s="1293"/>
      <c r="AK121" s="1293"/>
      <c r="AL121" s="1293"/>
      <c r="AM121" s="1293"/>
      <c r="AN121" s="1293"/>
      <c r="AO121" s="1293"/>
      <c r="AP121" s="1293"/>
      <c r="AQ121" s="1293"/>
      <c r="AR121" s="1293"/>
      <c r="AS121" s="1293"/>
    </row>
    <row r="122" spans="1:45" ht="15.75">
      <c r="A122" s="1675" t="s">
        <v>3339</v>
      </c>
      <c r="B122" s="1675"/>
      <c r="C122" s="1675"/>
      <c r="D122" s="1675"/>
      <c r="E122" s="1675"/>
      <c r="F122" s="1675">
        <f t="shared" ref="F122:AG122" si="86">SUM(F119:F121)</f>
        <v>1108.1489999999999</v>
      </c>
      <c r="G122" s="1675">
        <f t="shared" si="86"/>
        <v>1334.9409999999998</v>
      </c>
      <c r="H122" s="1675">
        <f t="shared" si="86"/>
        <v>1068.018</v>
      </c>
      <c r="I122" s="1675">
        <f t="shared" si="86"/>
        <v>1786.011</v>
      </c>
      <c r="J122" s="1675">
        <f t="shared" si="86"/>
        <v>2662.23</v>
      </c>
      <c r="K122" s="1675">
        <f t="shared" si="86"/>
        <v>3836.0320000000002</v>
      </c>
      <c r="L122" s="1675">
        <f t="shared" si="86"/>
        <v>3837.9369999999999</v>
      </c>
      <c r="M122" s="1675">
        <f t="shared" si="86"/>
        <v>5159.6039999999994</v>
      </c>
      <c r="N122" s="1675">
        <f t="shared" si="86"/>
        <v>5502</v>
      </c>
      <c r="O122" s="1675">
        <f t="shared" si="86"/>
        <v>6112</v>
      </c>
      <c r="P122" s="1675">
        <f t="shared" si="86"/>
        <v>6073</v>
      </c>
      <c r="Q122" s="1675">
        <f t="shared" si="86"/>
        <v>10891</v>
      </c>
      <c r="R122" s="1675">
        <f t="shared" si="86"/>
        <v>9730</v>
      </c>
      <c r="S122" s="1675">
        <f t="shared" si="86"/>
        <v>9435</v>
      </c>
      <c r="T122" s="1675">
        <f t="shared" si="86"/>
        <v>9031.6</v>
      </c>
      <c r="U122" s="1675">
        <f t="shared" si="86"/>
        <v>10000</v>
      </c>
      <c r="V122" s="1675">
        <f t="shared" si="86"/>
        <v>11666</v>
      </c>
      <c r="W122" s="1675">
        <f t="shared" si="86"/>
        <v>11421</v>
      </c>
      <c r="X122" s="1675">
        <f t="shared" si="86"/>
        <v>13094</v>
      </c>
      <c r="Y122" s="1675">
        <f t="shared" si="86"/>
        <v>12133</v>
      </c>
      <c r="Z122" s="1675">
        <f t="shared" si="86"/>
        <v>12601</v>
      </c>
      <c r="AA122" s="1675">
        <f t="shared" si="86"/>
        <v>11357</v>
      </c>
      <c r="AB122" s="1675">
        <f t="shared" ca="1" si="86"/>
        <v>10194.485303681719</v>
      </c>
      <c r="AC122" s="1675">
        <f t="shared" ca="1" si="86"/>
        <v>10341.995245663602</v>
      </c>
      <c r="AD122" s="1675">
        <f t="shared" ca="1" si="86"/>
        <v>10432.376781272063</v>
      </c>
      <c r="AE122" s="1675">
        <f t="shared" ca="1" si="86"/>
        <v>10505.686572067443</v>
      </c>
      <c r="AF122" s="1675">
        <f t="shared" ca="1" si="86"/>
        <v>10572.987602756002</v>
      </c>
      <c r="AG122" s="1675">
        <f t="shared" ca="1" si="86"/>
        <v>10643.987671075394</v>
      </c>
      <c r="AH122" s="1293"/>
      <c r="AI122" s="1293"/>
      <c r="AJ122" s="1293"/>
      <c r="AK122" s="1293"/>
      <c r="AL122" s="1293"/>
      <c r="AM122" s="1293"/>
      <c r="AN122" s="1293"/>
      <c r="AO122" s="1293"/>
      <c r="AP122" s="1293"/>
      <c r="AQ122" s="1293"/>
      <c r="AR122" s="1293"/>
      <c r="AS122" s="1293"/>
    </row>
    <row r="123" spans="1:45" ht="15.75">
      <c r="A123" s="1675"/>
      <c r="B123" s="1675"/>
      <c r="C123" s="1675"/>
      <c r="D123" s="1675"/>
      <c r="E123" s="1675"/>
      <c r="F123" s="1675"/>
      <c r="G123" s="1675"/>
      <c r="H123" s="1675"/>
      <c r="I123" s="1675"/>
      <c r="J123" s="1675"/>
      <c r="K123" s="1675"/>
      <c r="L123" s="1675"/>
      <c r="M123" s="1675"/>
      <c r="N123" s="1675"/>
      <c r="O123" s="1675"/>
      <c r="P123" s="1675"/>
      <c r="Q123" s="1675"/>
      <c r="R123" s="1675"/>
      <c r="S123" s="1675"/>
      <c r="T123" s="1675"/>
      <c r="U123" s="1675"/>
      <c r="V123" s="1675"/>
      <c r="W123" s="1675"/>
      <c r="X123" s="1675"/>
      <c r="Y123" s="1675"/>
      <c r="Z123" s="1675"/>
      <c r="AA123" s="1675"/>
      <c r="AB123" s="1675"/>
      <c r="AC123" s="1675"/>
      <c r="AD123" s="1675"/>
      <c r="AE123" s="1675"/>
      <c r="AF123" s="1675"/>
      <c r="AG123" s="1675"/>
      <c r="AH123" s="1293"/>
      <c r="AI123" s="1293"/>
      <c r="AJ123" s="1293"/>
      <c r="AK123" s="1293"/>
      <c r="AL123" s="1293"/>
      <c r="AM123" s="1293"/>
      <c r="AN123" s="1293"/>
      <c r="AO123" s="1293"/>
      <c r="AP123" s="1293"/>
      <c r="AQ123" s="1293"/>
      <c r="AR123" s="1293"/>
      <c r="AS123" s="1293"/>
    </row>
    <row r="124" spans="1:45" ht="15.75">
      <c r="A124" s="1675" t="s">
        <v>171</v>
      </c>
      <c r="B124" s="1675"/>
      <c r="C124" s="1675"/>
      <c r="D124" s="1675"/>
      <c r="E124" s="1675"/>
      <c r="F124" s="1675">
        <f t="shared" ref="F124:AG124" si="87">F299</f>
        <v>10.941000000000001</v>
      </c>
      <c r="G124" s="1675">
        <f t="shared" si="87"/>
        <v>16.303999999999998</v>
      </c>
      <c r="H124" s="1675">
        <f t="shared" si="87"/>
        <v>16.369</v>
      </c>
      <c r="I124" s="1675">
        <f t="shared" si="87"/>
        <v>54</v>
      </c>
      <c r="J124" s="1675">
        <f t="shared" si="87"/>
        <v>82.893000000000001</v>
      </c>
      <c r="K124" s="1675">
        <f t="shared" si="87"/>
        <v>58.161999999999999</v>
      </c>
      <c r="L124" s="1675">
        <f t="shared" si="87"/>
        <v>46.9</v>
      </c>
      <c r="M124" s="1675">
        <f t="shared" si="87"/>
        <v>62.131999999999998</v>
      </c>
      <c r="N124" s="1675">
        <f t="shared" si="87"/>
        <v>75</v>
      </c>
      <c r="O124" s="1675">
        <f t="shared" si="87"/>
        <v>93</v>
      </c>
      <c r="P124" s="1675">
        <f t="shared" si="87"/>
        <v>122</v>
      </c>
      <c r="Q124" s="1675">
        <f t="shared" si="87"/>
        <v>152</v>
      </c>
      <c r="R124" s="1675">
        <f t="shared" si="87"/>
        <v>112</v>
      </c>
      <c r="S124" s="1675">
        <f t="shared" si="87"/>
        <v>82</v>
      </c>
      <c r="T124" s="1675">
        <f t="shared" si="87"/>
        <v>75</v>
      </c>
      <c r="U124" s="1675">
        <f t="shared" si="87"/>
        <v>67</v>
      </c>
      <c r="V124" s="1675">
        <f t="shared" si="87"/>
        <v>70</v>
      </c>
      <c r="W124" s="1675">
        <f t="shared" si="87"/>
        <v>72</v>
      </c>
      <c r="X124" s="1675">
        <f t="shared" si="87"/>
        <v>68</v>
      </c>
      <c r="Y124" s="1675">
        <f t="shared" si="87"/>
        <v>53</v>
      </c>
      <c r="Z124" s="1675">
        <f t="shared" si="87"/>
        <v>45</v>
      </c>
      <c r="AA124" s="1675">
        <f t="shared" si="87"/>
        <v>44</v>
      </c>
      <c r="AB124" s="1675">
        <f t="shared" si="87"/>
        <v>41.875112403814718</v>
      </c>
      <c r="AC124" s="1675">
        <f t="shared" si="87"/>
        <v>42.474727885861512</v>
      </c>
      <c r="AD124" s="1675">
        <f t="shared" si="87"/>
        <v>43.188880431055431</v>
      </c>
      <c r="AE124" s="1675">
        <f t="shared" si="87"/>
        <v>43.957284631245663</v>
      </c>
      <c r="AF124" s="1675">
        <f t="shared" si="87"/>
        <v>44.589683977379941</v>
      </c>
      <c r="AG124" s="1675">
        <f t="shared" si="87"/>
        <v>45.120012170683658</v>
      </c>
      <c r="AH124" s="1293"/>
      <c r="AI124" s="1293"/>
      <c r="AJ124" s="1293"/>
      <c r="AK124" s="1293"/>
      <c r="AL124" s="1293"/>
      <c r="AM124" s="1293"/>
      <c r="AN124" s="1293"/>
      <c r="AO124" s="1293"/>
      <c r="AP124" s="1293"/>
      <c r="AQ124" s="1293"/>
      <c r="AR124" s="1293"/>
      <c r="AS124" s="1293"/>
    </row>
    <row r="125" spans="1:45" ht="15.75">
      <c r="A125" s="1675" t="s">
        <v>172</v>
      </c>
      <c r="B125" s="1675"/>
      <c r="C125" s="1918"/>
      <c r="D125" s="1675"/>
      <c r="E125" s="1675"/>
      <c r="F125" s="1675">
        <f t="shared" ref="F125:AG125" si="88">F303</f>
        <v>113.75</v>
      </c>
      <c r="G125" s="1675">
        <f t="shared" si="88"/>
        <v>141.97200000000001</v>
      </c>
      <c r="H125" s="1675">
        <f t="shared" si="88"/>
        <v>109.16500000000001</v>
      </c>
      <c r="I125" s="1675">
        <f t="shared" si="88"/>
        <v>185.45500000000001</v>
      </c>
      <c r="J125" s="1675">
        <f t="shared" si="88"/>
        <v>223.57900000000001</v>
      </c>
      <c r="K125" s="1675">
        <f t="shared" si="88"/>
        <v>257.45499999999998</v>
      </c>
      <c r="L125" s="1675">
        <f t="shared" si="88"/>
        <v>225</v>
      </c>
      <c r="M125" s="1675">
        <f t="shared" si="88"/>
        <v>253.25800000000001</v>
      </c>
      <c r="N125" s="1675">
        <f t="shared" si="88"/>
        <v>277</v>
      </c>
      <c r="O125" s="1675">
        <f t="shared" si="88"/>
        <v>322</v>
      </c>
      <c r="P125" s="1675">
        <f t="shared" si="88"/>
        <v>282</v>
      </c>
      <c r="Q125" s="1675">
        <f t="shared" si="88"/>
        <v>492</v>
      </c>
      <c r="R125" s="1675">
        <f t="shared" si="88"/>
        <v>491</v>
      </c>
      <c r="S125" s="1675">
        <f t="shared" si="88"/>
        <v>481</v>
      </c>
      <c r="T125" s="1675">
        <f t="shared" si="88"/>
        <v>487</v>
      </c>
      <c r="U125" s="1675">
        <f t="shared" si="88"/>
        <v>423</v>
      </c>
      <c r="V125" s="1675">
        <f t="shared" si="88"/>
        <v>447</v>
      </c>
      <c r="W125" s="1675">
        <f t="shared" si="88"/>
        <v>442</v>
      </c>
      <c r="X125" s="1675">
        <f t="shared" si="88"/>
        <v>440</v>
      </c>
      <c r="Y125" s="1675">
        <f t="shared" si="88"/>
        <v>379</v>
      </c>
      <c r="Z125" s="1675">
        <f t="shared" si="88"/>
        <v>443</v>
      </c>
      <c r="AA125" s="1675">
        <f t="shared" si="88"/>
        <v>390</v>
      </c>
      <c r="AB125" s="1675">
        <f t="shared" si="88"/>
        <v>371.16576903381224</v>
      </c>
      <c r="AC125" s="1675">
        <f t="shared" si="88"/>
        <v>376.48054262468162</v>
      </c>
      <c r="AD125" s="1675">
        <f t="shared" si="88"/>
        <v>382.81053109344583</v>
      </c>
      <c r="AE125" s="1675">
        <f t="shared" si="88"/>
        <v>389.62138650422293</v>
      </c>
      <c r="AF125" s="1675">
        <f t="shared" si="88"/>
        <v>395.22674434495855</v>
      </c>
      <c r="AG125" s="1675">
        <f t="shared" si="88"/>
        <v>399.92738060378701</v>
      </c>
      <c r="AH125" s="1293"/>
      <c r="AI125" s="1293"/>
      <c r="AJ125" s="1293"/>
      <c r="AK125" s="1293"/>
      <c r="AL125" s="1293"/>
      <c r="AM125" s="1293"/>
      <c r="AN125" s="1293"/>
      <c r="AO125" s="1293"/>
      <c r="AP125" s="1293"/>
      <c r="AQ125" s="1293"/>
      <c r="AR125" s="1293"/>
      <c r="AS125" s="1293"/>
    </row>
    <row r="126" spans="1:45" ht="15.75">
      <c r="A126" s="1675" t="s">
        <v>817</v>
      </c>
      <c r="B126" s="1675"/>
      <c r="C126" s="1918"/>
      <c r="D126" s="1675"/>
      <c r="E126" s="1675"/>
      <c r="F126" s="1675">
        <f>F311</f>
        <v>108.4</v>
      </c>
      <c r="G126" s="1675">
        <f>G311</f>
        <v>137.62100000000001</v>
      </c>
      <c r="H126" s="1675">
        <f t="shared" ref="H126:AG126" si="89">H311+H275+H278</f>
        <v>519.10800000000006</v>
      </c>
      <c r="I126" s="1675">
        <f t="shared" si="89"/>
        <v>230</v>
      </c>
      <c r="J126" s="1675">
        <f t="shared" si="89"/>
        <v>270</v>
      </c>
      <c r="K126" s="1675">
        <f t="shared" si="89"/>
        <v>374.38300000000004</v>
      </c>
      <c r="L126" s="1675">
        <f t="shared" si="89"/>
        <v>229.09999999999991</v>
      </c>
      <c r="M126" s="1675">
        <f t="shared" si="89"/>
        <v>263.12299999999982</v>
      </c>
      <c r="N126" s="1675">
        <f t="shared" si="89"/>
        <v>446</v>
      </c>
      <c r="O126" s="1675">
        <f t="shared" si="89"/>
        <v>446</v>
      </c>
      <c r="P126" s="1675">
        <f t="shared" si="89"/>
        <v>476</v>
      </c>
      <c r="Q126" s="1675">
        <f t="shared" si="89"/>
        <v>897</v>
      </c>
      <c r="R126" s="1675">
        <f t="shared" si="89"/>
        <v>969</v>
      </c>
      <c r="S126" s="1675">
        <f t="shared" si="89"/>
        <v>779</v>
      </c>
      <c r="T126" s="1675">
        <f t="shared" si="89"/>
        <v>634.59999999999991</v>
      </c>
      <c r="U126" s="1675">
        <f t="shared" si="89"/>
        <v>782</v>
      </c>
      <c r="V126" s="1675">
        <f t="shared" si="89"/>
        <v>1418</v>
      </c>
      <c r="W126" s="1675">
        <f t="shared" si="89"/>
        <v>1208</v>
      </c>
      <c r="X126" s="1675">
        <f t="shared" si="89"/>
        <v>911</v>
      </c>
      <c r="Y126" s="1675">
        <f t="shared" si="89"/>
        <v>594</v>
      </c>
      <c r="Z126" s="1675">
        <f t="shared" si="89"/>
        <v>647</v>
      </c>
      <c r="AA126" s="1675">
        <f t="shared" si="89"/>
        <v>620</v>
      </c>
      <c r="AB126" s="1675">
        <f t="shared" si="89"/>
        <v>552.39546913835386</v>
      </c>
      <c r="AC126" s="1675">
        <f t="shared" si="89"/>
        <v>532.29003089558603</v>
      </c>
      <c r="AD126" s="1675">
        <f t="shared" si="89"/>
        <v>512.75343391292745</v>
      </c>
      <c r="AE126" s="1675">
        <f t="shared" si="89"/>
        <v>492.88307424713025</v>
      </c>
      <c r="AF126" s="1675">
        <f t="shared" si="89"/>
        <v>470.56378809236378</v>
      </c>
      <c r="AG126" s="1675">
        <f t="shared" si="89"/>
        <v>446.40041888489071</v>
      </c>
      <c r="AH126" s="1293"/>
      <c r="AI126" s="1293"/>
      <c r="AJ126" s="1293"/>
      <c r="AK126" s="1293"/>
      <c r="AL126" s="1293"/>
      <c r="AM126" s="1293"/>
      <c r="AN126" s="1293"/>
      <c r="AO126" s="1293"/>
      <c r="AP126" s="1293"/>
      <c r="AQ126" s="1293"/>
      <c r="AR126" s="1293"/>
      <c r="AS126" s="1293"/>
    </row>
    <row r="127" spans="1:45" ht="15.75">
      <c r="A127" s="1675" t="s">
        <v>173</v>
      </c>
      <c r="B127" s="1675"/>
      <c r="C127" s="1713"/>
      <c r="D127" s="1675"/>
      <c r="E127" s="1675"/>
      <c r="F127" s="1675">
        <f t="shared" ref="F127:AG127" si="90">F418</f>
        <v>181.709</v>
      </c>
      <c r="G127" s="1675">
        <f t="shared" si="90"/>
        <v>413.99099999999999</v>
      </c>
      <c r="H127" s="1675">
        <f t="shared" si="90"/>
        <v>596.67499999999995</v>
      </c>
      <c r="I127" s="1675">
        <f t="shared" si="90"/>
        <v>656.69200000000001</v>
      </c>
      <c r="J127" s="1675">
        <f t="shared" si="90"/>
        <v>1175</v>
      </c>
      <c r="K127" s="1675">
        <f t="shared" si="90"/>
        <v>674</v>
      </c>
      <c r="L127" s="1675">
        <f t="shared" si="90"/>
        <v>1574</v>
      </c>
      <c r="M127" s="1675">
        <f t="shared" si="90"/>
        <v>1076.4870000000001</v>
      </c>
      <c r="N127" s="1675">
        <f t="shared" si="90"/>
        <v>916</v>
      </c>
      <c r="O127" s="1675">
        <f t="shared" si="90"/>
        <v>1217</v>
      </c>
      <c r="P127" s="1675">
        <f t="shared" si="90"/>
        <v>1806</v>
      </c>
      <c r="Q127" s="1675">
        <f t="shared" si="90"/>
        <v>831</v>
      </c>
      <c r="R127" s="1675">
        <f t="shared" si="90"/>
        <v>1090</v>
      </c>
      <c r="S127" s="1675">
        <f t="shared" si="90"/>
        <v>1103</v>
      </c>
      <c r="T127" s="1675">
        <f t="shared" si="90"/>
        <v>1095</v>
      </c>
      <c r="U127" s="1675">
        <f t="shared" si="90"/>
        <v>940</v>
      </c>
      <c r="V127" s="1675">
        <f t="shared" si="90"/>
        <v>1395</v>
      </c>
      <c r="W127" s="1675">
        <f t="shared" si="90"/>
        <v>1122</v>
      </c>
      <c r="X127" s="1675">
        <f t="shared" si="90"/>
        <v>969</v>
      </c>
      <c r="Y127" s="1675">
        <f t="shared" si="90"/>
        <v>1039</v>
      </c>
      <c r="Z127" s="1675">
        <f t="shared" si="90"/>
        <v>780</v>
      </c>
      <c r="AA127" s="1675">
        <f t="shared" si="90"/>
        <v>699</v>
      </c>
      <c r="AB127" s="1675">
        <f t="shared" ca="1" si="90"/>
        <v>1440.0067634385387</v>
      </c>
      <c r="AC127" s="1675">
        <f t="shared" ca="1" si="90"/>
        <v>1266.0946115593206</v>
      </c>
      <c r="AD127" s="1675">
        <f t="shared" ca="1" si="90"/>
        <v>1116.6982997600953</v>
      </c>
      <c r="AE127" s="1675">
        <f t="shared" ca="1" si="90"/>
        <v>986.46886422296757</v>
      </c>
      <c r="AF127" s="1675">
        <f t="shared" ca="1" si="90"/>
        <v>908.20023053030673</v>
      </c>
      <c r="AG127" s="1675">
        <f t="shared" ca="1" si="90"/>
        <v>857.23761737566474</v>
      </c>
      <c r="AH127" s="1293"/>
      <c r="AI127" s="1293"/>
      <c r="AJ127" s="1293"/>
      <c r="AK127" s="1293"/>
      <c r="AL127" s="1293"/>
      <c r="AM127" s="1293"/>
      <c r="AN127" s="1293"/>
      <c r="AO127" s="1293"/>
      <c r="AP127" s="1293"/>
      <c r="AQ127" s="1293"/>
      <c r="AR127" s="1293"/>
      <c r="AS127" s="1293"/>
    </row>
    <row r="128" spans="1:45" ht="15.75">
      <c r="A128" s="1705" t="s">
        <v>2099</v>
      </c>
      <c r="B128" s="1705"/>
      <c r="C128" s="1919"/>
      <c r="D128" s="1705"/>
      <c r="E128" s="1705"/>
      <c r="F128" s="1705">
        <f t="shared" ref="F128:AG128" si="91">F324</f>
        <v>0</v>
      </c>
      <c r="G128" s="1705">
        <f t="shared" si="91"/>
        <v>0</v>
      </c>
      <c r="H128" s="1705">
        <f t="shared" si="91"/>
        <v>250.08699999999999</v>
      </c>
      <c r="I128" s="1705">
        <f t="shared" si="91"/>
        <v>407.04300000000001</v>
      </c>
      <c r="J128" s="1705">
        <f t="shared" si="91"/>
        <v>0</v>
      </c>
      <c r="K128" s="1705">
        <f t="shared" si="91"/>
        <v>20</v>
      </c>
      <c r="L128" s="1705">
        <f t="shared" si="91"/>
        <v>78</v>
      </c>
      <c r="M128" s="1705">
        <f t="shared" si="91"/>
        <v>184.71</v>
      </c>
      <c r="N128" s="1705">
        <f t="shared" si="91"/>
        <v>66</v>
      </c>
      <c r="O128" s="1705">
        <f t="shared" si="91"/>
        <v>21</v>
      </c>
      <c r="P128" s="1705">
        <f t="shared" si="91"/>
        <v>14</v>
      </c>
      <c r="Q128" s="1705">
        <f t="shared" si="91"/>
        <v>34</v>
      </c>
      <c r="R128" s="1705">
        <f t="shared" si="91"/>
        <v>13</v>
      </c>
      <c r="S128" s="1705">
        <f t="shared" si="91"/>
        <v>3</v>
      </c>
      <c r="T128" s="1705">
        <f t="shared" si="91"/>
        <v>233</v>
      </c>
      <c r="U128" s="1705">
        <f t="shared" si="91"/>
        <v>3</v>
      </c>
      <c r="V128" s="1705">
        <f t="shared" si="91"/>
        <v>5</v>
      </c>
      <c r="W128" s="1705">
        <f t="shared" si="91"/>
        <v>1</v>
      </c>
      <c r="X128" s="1705">
        <f t="shared" si="91"/>
        <v>0</v>
      </c>
      <c r="Y128" s="1705">
        <f t="shared" si="91"/>
        <v>0</v>
      </c>
      <c r="Z128" s="1705">
        <f t="shared" si="91"/>
        <v>0</v>
      </c>
      <c r="AA128" s="1705">
        <f t="shared" si="91"/>
        <v>627</v>
      </c>
      <c r="AB128" s="1705">
        <f t="shared" si="91"/>
        <v>0</v>
      </c>
      <c r="AC128" s="1705">
        <f t="shared" si="91"/>
        <v>0</v>
      </c>
      <c r="AD128" s="1705">
        <f t="shared" si="91"/>
        <v>0</v>
      </c>
      <c r="AE128" s="1705">
        <f t="shared" si="91"/>
        <v>0</v>
      </c>
      <c r="AF128" s="1705">
        <f t="shared" si="91"/>
        <v>0</v>
      </c>
      <c r="AG128" s="1705">
        <f t="shared" si="91"/>
        <v>0</v>
      </c>
      <c r="AH128" s="1293"/>
      <c r="AI128" s="1293"/>
      <c r="AJ128" s="1293"/>
      <c r="AK128" s="1293"/>
      <c r="AL128" s="1293"/>
      <c r="AM128" s="1293"/>
      <c r="AN128" s="1293"/>
      <c r="AO128" s="1293"/>
      <c r="AP128" s="1293"/>
      <c r="AQ128" s="1293"/>
      <c r="AR128" s="1293"/>
      <c r="AS128" s="1293"/>
    </row>
    <row r="129" spans="1:45" ht="15.75">
      <c r="A129" s="1675" t="s">
        <v>107</v>
      </c>
      <c r="B129" s="1675"/>
      <c r="C129" s="1675"/>
      <c r="D129" s="1675"/>
      <c r="E129" s="1675"/>
      <c r="F129" s="1675">
        <f t="shared" ref="F129:AG129" si="92">SUM(F124:F128)</f>
        <v>414.8</v>
      </c>
      <c r="G129" s="1675">
        <f t="shared" si="92"/>
        <v>709.88800000000003</v>
      </c>
      <c r="H129" s="1675">
        <f t="shared" si="92"/>
        <v>1491.404</v>
      </c>
      <c r="I129" s="1675">
        <f t="shared" si="92"/>
        <v>1533.19</v>
      </c>
      <c r="J129" s="1675">
        <f t="shared" si="92"/>
        <v>1751.472</v>
      </c>
      <c r="K129" s="1675">
        <f t="shared" si="92"/>
        <v>1384</v>
      </c>
      <c r="L129" s="1675">
        <f t="shared" si="92"/>
        <v>2153</v>
      </c>
      <c r="M129" s="1675">
        <f t="shared" si="92"/>
        <v>1839.71</v>
      </c>
      <c r="N129" s="1675">
        <f t="shared" si="92"/>
        <v>1780</v>
      </c>
      <c r="O129" s="1675">
        <f t="shared" si="92"/>
        <v>2099</v>
      </c>
      <c r="P129" s="1675">
        <f t="shared" si="92"/>
        <v>2700</v>
      </c>
      <c r="Q129" s="1675">
        <f t="shared" si="92"/>
        <v>2406</v>
      </c>
      <c r="R129" s="1675">
        <f t="shared" si="92"/>
        <v>2675</v>
      </c>
      <c r="S129" s="1675">
        <f t="shared" si="92"/>
        <v>2448</v>
      </c>
      <c r="T129" s="1675">
        <f t="shared" si="92"/>
        <v>2524.6</v>
      </c>
      <c r="U129" s="1675">
        <f t="shared" si="92"/>
        <v>2215</v>
      </c>
      <c r="V129" s="1675">
        <f t="shared" si="92"/>
        <v>3335</v>
      </c>
      <c r="W129" s="1675">
        <f t="shared" si="92"/>
        <v>2845</v>
      </c>
      <c r="X129" s="1675">
        <f t="shared" si="92"/>
        <v>2388</v>
      </c>
      <c r="Y129" s="1675">
        <f t="shared" si="92"/>
        <v>2065</v>
      </c>
      <c r="Z129" s="1675">
        <f t="shared" si="92"/>
        <v>1915</v>
      </c>
      <c r="AA129" s="1675">
        <f t="shared" si="92"/>
        <v>2380</v>
      </c>
      <c r="AB129" s="1675">
        <f t="shared" ca="1" si="92"/>
        <v>2405.4431140145198</v>
      </c>
      <c r="AC129" s="1675">
        <f t="shared" ca="1" si="92"/>
        <v>2217.3399129654499</v>
      </c>
      <c r="AD129" s="1675">
        <f t="shared" ca="1" si="92"/>
        <v>2055.4511451975241</v>
      </c>
      <c r="AE129" s="1675">
        <f t="shared" ca="1" si="92"/>
        <v>1912.9306096055664</v>
      </c>
      <c r="AF129" s="1675">
        <f t="shared" ca="1" si="92"/>
        <v>1818.580446945009</v>
      </c>
      <c r="AG129" s="1675">
        <f t="shared" ca="1" si="92"/>
        <v>1748.6854290350261</v>
      </c>
      <c r="AH129" s="1293"/>
      <c r="AI129" s="1293"/>
      <c r="AJ129" s="1293"/>
      <c r="AK129" s="1293"/>
      <c r="AL129" s="1293"/>
      <c r="AM129" s="1293"/>
      <c r="AN129" s="1293"/>
      <c r="AO129" s="1293"/>
      <c r="AP129" s="1293"/>
      <c r="AQ129" s="1293"/>
      <c r="AR129" s="1293"/>
      <c r="AS129" s="1293"/>
    </row>
    <row r="130" spans="1:45" ht="15.75">
      <c r="A130" s="1675"/>
      <c r="B130" s="1675"/>
      <c r="C130" s="1675"/>
      <c r="D130" s="1675"/>
      <c r="E130" s="1675"/>
      <c r="F130" s="1675"/>
      <c r="G130" s="1675"/>
      <c r="H130" s="1675"/>
      <c r="I130" s="1675"/>
      <c r="J130" s="1675"/>
      <c r="K130" s="1675"/>
      <c r="L130" s="1675"/>
      <c r="M130" s="1675"/>
      <c r="N130" s="1675"/>
      <c r="O130" s="1675"/>
      <c r="P130" s="1675"/>
      <c r="Q130" s="1675"/>
      <c r="R130" s="1675"/>
      <c r="S130" s="1675"/>
      <c r="T130" s="1675"/>
      <c r="U130" s="1675"/>
      <c r="V130" s="1675"/>
      <c r="W130" s="1675"/>
      <c r="X130" s="1675"/>
      <c r="Y130" s="1675"/>
      <c r="Z130" s="1675"/>
      <c r="AA130" s="1675"/>
      <c r="AB130" s="1675"/>
      <c r="AC130" s="1675"/>
      <c r="AD130" s="1675"/>
      <c r="AE130" s="1675"/>
      <c r="AF130" s="1675"/>
      <c r="AG130" s="1675"/>
      <c r="AH130" s="1293"/>
      <c r="AI130" s="1293"/>
      <c r="AJ130" s="1293"/>
      <c r="AK130" s="1293"/>
      <c r="AL130" s="1293"/>
      <c r="AM130" s="1293"/>
      <c r="AN130" s="1293"/>
      <c r="AO130" s="1293"/>
      <c r="AP130" s="1293"/>
      <c r="AQ130" s="1293"/>
      <c r="AR130" s="1293"/>
      <c r="AS130" s="1293"/>
    </row>
    <row r="131" spans="1:45" ht="16.5" thickBot="1">
      <c r="A131" s="1920" t="s">
        <v>108</v>
      </c>
      <c r="B131" s="1920"/>
      <c r="C131" s="1920"/>
      <c r="D131" s="1920"/>
      <c r="E131" s="1920"/>
      <c r="F131" s="1920">
        <f t="shared" ref="F131:AG131" si="93">F122+F129</f>
        <v>1522.9489999999998</v>
      </c>
      <c r="G131" s="1920">
        <f t="shared" si="93"/>
        <v>2044.8289999999997</v>
      </c>
      <c r="H131" s="1920">
        <f t="shared" si="93"/>
        <v>2559.422</v>
      </c>
      <c r="I131" s="1920">
        <f t="shared" si="93"/>
        <v>3319.201</v>
      </c>
      <c r="J131" s="1920">
        <f t="shared" si="93"/>
        <v>4413.7020000000002</v>
      </c>
      <c r="K131" s="1920">
        <f t="shared" si="93"/>
        <v>5220.0320000000002</v>
      </c>
      <c r="L131" s="1920">
        <f t="shared" si="93"/>
        <v>5990.9369999999999</v>
      </c>
      <c r="M131" s="1920">
        <f t="shared" si="93"/>
        <v>6999.3139999999994</v>
      </c>
      <c r="N131" s="1920">
        <f t="shared" si="93"/>
        <v>7282</v>
      </c>
      <c r="O131" s="1920">
        <f t="shared" si="93"/>
        <v>8211</v>
      </c>
      <c r="P131" s="1920">
        <f t="shared" si="93"/>
        <v>8773</v>
      </c>
      <c r="Q131" s="1920">
        <f t="shared" si="93"/>
        <v>13297</v>
      </c>
      <c r="R131" s="1920">
        <f t="shared" si="93"/>
        <v>12405</v>
      </c>
      <c r="S131" s="1920">
        <f t="shared" si="93"/>
        <v>11883</v>
      </c>
      <c r="T131" s="1920">
        <f t="shared" si="93"/>
        <v>11556.2</v>
      </c>
      <c r="U131" s="1920">
        <f t="shared" si="93"/>
        <v>12215</v>
      </c>
      <c r="V131" s="1920">
        <f t="shared" si="93"/>
        <v>15001</v>
      </c>
      <c r="W131" s="1920">
        <f t="shared" si="93"/>
        <v>14266</v>
      </c>
      <c r="X131" s="1920">
        <f t="shared" si="93"/>
        <v>15482</v>
      </c>
      <c r="Y131" s="1920">
        <f t="shared" si="93"/>
        <v>14198</v>
      </c>
      <c r="Z131" s="1920">
        <f t="shared" si="93"/>
        <v>14516</v>
      </c>
      <c r="AA131" s="1920">
        <f t="shared" si="93"/>
        <v>13737</v>
      </c>
      <c r="AB131" s="1920">
        <f t="shared" ca="1" si="93"/>
        <v>12599.928417696239</v>
      </c>
      <c r="AC131" s="1920">
        <f t="shared" ca="1" si="93"/>
        <v>12559.335158629052</v>
      </c>
      <c r="AD131" s="1920">
        <f t="shared" ca="1" si="93"/>
        <v>12487.827926469588</v>
      </c>
      <c r="AE131" s="1920">
        <f t="shared" ca="1" si="93"/>
        <v>12418.617181673009</v>
      </c>
      <c r="AF131" s="1920">
        <f t="shared" ca="1" si="93"/>
        <v>12391.568049701011</v>
      </c>
      <c r="AG131" s="1920">
        <f t="shared" ca="1" si="93"/>
        <v>12392.67310011042</v>
      </c>
      <c r="AH131" s="1293"/>
      <c r="AI131" s="1293"/>
      <c r="AJ131" s="1293"/>
      <c r="AK131" s="1293"/>
      <c r="AL131" s="1293"/>
      <c r="AM131" s="1293"/>
      <c r="AN131" s="1293"/>
      <c r="AO131" s="1293"/>
      <c r="AP131" s="1293"/>
      <c r="AQ131" s="1293"/>
      <c r="AR131" s="1293"/>
      <c r="AS131" s="1293"/>
    </row>
    <row r="132" spans="1:45" ht="16.5" thickTop="1">
      <c r="A132" s="1653"/>
      <c r="B132" s="1653"/>
      <c r="C132" s="1675"/>
      <c r="D132" s="1675"/>
      <c r="E132" s="1675"/>
      <c r="F132" s="1675"/>
      <c r="G132" s="1675"/>
      <c r="H132" s="1675"/>
      <c r="I132" s="1675"/>
      <c r="J132" s="1675"/>
      <c r="K132" s="1675"/>
      <c r="L132" s="1675"/>
      <c r="M132" s="1675"/>
      <c r="N132" s="1675"/>
      <c r="O132" s="1675"/>
      <c r="P132" s="1675"/>
      <c r="Q132" s="1675"/>
      <c r="R132" s="1675"/>
      <c r="S132" s="1675"/>
      <c r="T132" s="1675"/>
      <c r="U132" s="1675"/>
      <c r="V132" s="1675"/>
      <c r="W132" s="1675"/>
      <c r="X132" s="1675"/>
      <c r="Y132" s="1675"/>
      <c r="Z132" s="1675"/>
      <c r="AA132" s="1675"/>
      <c r="AB132" s="1675"/>
      <c r="AC132" s="1675"/>
      <c r="AD132" s="1675"/>
      <c r="AE132" s="1675"/>
      <c r="AF132" s="1675"/>
      <c r="AG132" s="1675"/>
      <c r="AH132" s="1293"/>
      <c r="AI132" s="1293"/>
      <c r="AJ132" s="1293"/>
      <c r="AK132" s="1293"/>
      <c r="AL132" s="1293"/>
      <c r="AM132" s="1293"/>
      <c r="AN132" s="1293"/>
      <c r="AO132" s="1293"/>
      <c r="AP132" s="1293"/>
      <c r="AQ132" s="1293"/>
      <c r="AR132" s="1293"/>
      <c r="AS132" s="1293"/>
    </row>
    <row r="133" spans="1:45" ht="15.75">
      <c r="A133" s="1675"/>
      <c r="B133" s="1675"/>
      <c r="C133" s="1675"/>
      <c r="D133" s="1675"/>
      <c r="E133" s="1675"/>
      <c r="F133" s="1675"/>
      <c r="G133" s="1675"/>
      <c r="H133" s="1675"/>
      <c r="I133" s="1675"/>
      <c r="J133" s="1675"/>
      <c r="K133" s="1675"/>
      <c r="L133" s="1675"/>
      <c r="M133" s="1675"/>
      <c r="N133" s="1675"/>
      <c r="O133" s="1675"/>
      <c r="P133" s="1675"/>
      <c r="Q133" s="1675"/>
      <c r="R133" s="1675"/>
      <c r="S133" s="1675"/>
      <c r="T133" s="1675"/>
      <c r="U133" s="1675"/>
      <c r="V133" s="1675"/>
      <c r="W133" s="1675"/>
      <c r="X133" s="1675"/>
      <c r="Y133" s="1675"/>
      <c r="Z133" s="1675"/>
      <c r="AA133" s="1675"/>
      <c r="AB133" s="1675"/>
      <c r="AC133" s="1675"/>
      <c r="AD133" s="1675"/>
      <c r="AE133" s="1675"/>
      <c r="AF133" s="1675"/>
      <c r="AG133" s="1675"/>
      <c r="AH133" s="1293"/>
      <c r="AI133" s="1293"/>
      <c r="AJ133" s="1293"/>
      <c r="AK133" s="1293"/>
      <c r="AL133" s="1293"/>
      <c r="AM133" s="1293"/>
      <c r="AN133" s="1293"/>
      <c r="AO133" s="1293"/>
      <c r="AP133" s="1293"/>
      <c r="AQ133" s="1293"/>
      <c r="AR133" s="1293"/>
      <c r="AS133" s="1293"/>
    </row>
    <row r="134" spans="1:45" ht="15.75">
      <c r="A134" s="1675" t="s">
        <v>109</v>
      </c>
      <c r="B134" s="1675"/>
      <c r="C134" s="1675"/>
      <c r="D134" s="1675"/>
      <c r="E134" s="1675"/>
      <c r="F134" s="1675">
        <f t="shared" ref="F134:AG134" si="94">F360</f>
        <v>-85.18</v>
      </c>
      <c r="G134" s="1675">
        <f t="shared" si="94"/>
        <v>239.04300000000001</v>
      </c>
      <c r="H134" s="1675">
        <f t="shared" si="94"/>
        <v>299.37099999999998</v>
      </c>
      <c r="I134" s="1675">
        <f t="shared" si="94"/>
        <v>505</v>
      </c>
      <c r="J134" s="1675">
        <f t="shared" si="94"/>
        <v>1288</v>
      </c>
      <c r="K134" s="1675">
        <f t="shared" si="94"/>
        <v>1678</v>
      </c>
      <c r="L134" s="1675">
        <f t="shared" si="94"/>
        <v>2384</v>
      </c>
      <c r="M134" s="1675">
        <f t="shared" si="94"/>
        <v>2344</v>
      </c>
      <c r="N134" s="1675">
        <f t="shared" si="94"/>
        <v>2254</v>
      </c>
      <c r="O134" s="1675">
        <f t="shared" si="94"/>
        <v>2024</v>
      </c>
      <c r="P134" s="1675">
        <f t="shared" si="94"/>
        <v>1929</v>
      </c>
      <c r="Q134" s="1675">
        <f t="shared" si="94"/>
        <v>2342</v>
      </c>
      <c r="R134" s="1675">
        <f t="shared" si="94"/>
        <v>3285</v>
      </c>
      <c r="S134" s="1675">
        <f t="shared" si="94"/>
        <v>2976</v>
      </c>
      <c r="T134" s="1675">
        <f t="shared" si="94"/>
        <v>2905</v>
      </c>
      <c r="U134" s="1675">
        <f t="shared" si="94"/>
        <v>2500</v>
      </c>
      <c r="V134" s="1675">
        <f t="shared" si="94"/>
        <v>2369</v>
      </c>
      <c r="W134" s="1675">
        <f t="shared" si="94"/>
        <v>2005</v>
      </c>
      <c r="X134" s="1675">
        <f t="shared" si="94"/>
        <v>2541</v>
      </c>
      <c r="Y134" s="1675">
        <f t="shared" si="94"/>
        <v>3605</v>
      </c>
      <c r="Z134" s="1675">
        <f t="shared" si="94"/>
        <v>3529</v>
      </c>
      <c r="AA134" s="1675">
        <f t="shared" si="94"/>
        <v>3628</v>
      </c>
      <c r="AB134" s="1675">
        <f t="shared" ca="1" si="94"/>
        <v>3289.3031049412421</v>
      </c>
      <c r="AC134" s="1675">
        <f t="shared" ca="1" si="94"/>
        <v>3295.7813660626261</v>
      </c>
      <c r="AD134" s="1675">
        <f t="shared" ca="1" si="94"/>
        <v>3266.3854004882869</v>
      </c>
      <c r="AE134" s="1675">
        <f t="shared" ca="1" si="94"/>
        <v>3237.8058929051704</v>
      </c>
      <c r="AF134" s="1675">
        <f t="shared" ca="1" si="94"/>
        <v>3230.0468517098034</v>
      </c>
      <c r="AG134" s="1675">
        <f t="shared" ca="1" si="94"/>
        <v>3255.6343211816466</v>
      </c>
      <c r="AH134" s="1293"/>
      <c r="AI134" s="1293"/>
      <c r="AJ134" s="1293"/>
      <c r="AK134" s="1293"/>
      <c r="AL134" s="1293"/>
      <c r="AM134" s="1293"/>
      <c r="AN134" s="1293"/>
      <c r="AO134" s="1293"/>
      <c r="AP134" s="1293"/>
      <c r="AQ134" s="1293"/>
      <c r="AR134" s="1293"/>
      <c r="AS134" s="1293"/>
    </row>
    <row r="135" spans="1:45" ht="15.75">
      <c r="A135" s="1705" t="s">
        <v>110</v>
      </c>
      <c r="B135" s="1705"/>
      <c r="C135" s="1705"/>
      <c r="D135" s="1705"/>
      <c r="E135" s="1705"/>
      <c r="F135" s="1705">
        <f t="shared" ref="F135:AG135" si="95">F356</f>
        <v>26.571000000000002</v>
      </c>
      <c r="G135" s="1705">
        <f t="shared" si="95"/>
        <v>43.350999999999999</v>
      </c>
      <c r="H135" s="1705">
        <f t="shared" si="95"/>
        <v>34.179000000000002</v>
      </c>
      <c r="I135" s="1705">
        <f t="shared" si="95"/>
        <v>76</v>
      </c>
      <c r="J135" s="1705">
        <f t="shared" si="95"/>
        <v>80</v>
      </c>
      <c r="K135" s="1705">
        <f t="shared" si="95"/>
        <v>-25.8</v>
      </c>
      <c r="L135" s="1705">
        <f t="shared" si="95"/>
        <v>-74</v>
      </c>
      <c r="M135" s="1705">
        <f t="shared" si="95"/>
        <v>45.6</v>
      </c>
      <c r="N135" s="1705">
        <f t="shared" si="95"/>
        <v>192</v>
      </c>
      <c r="O135" s="1705">
        <f t="shared" si="95"/>
        <v>312</v>
      </c>
      <c r="P135" s="1705">
        <f t="shared" si="95"/>
        <v>152</v>
      </c>
      <c r="Q135" s="1705">
        <f t="shared" si="95"/>
        <v>1405</v>
      </c>
      <c r="R135" s="1705">
        <f t="shared" si="95"/>
        <v>1128</v>
      </c>
      <c r="S135" s="1705">
        <f t="shared" si="95"/>
        <v>1095</v>
      </c>
      <c r="T135" s="1705">
        <f t="shared" si="95"/>
        <v>964</v>
      </c>
      <c r="U135" s="1705">
        <f t="shared" si="95"/>
        <v>858</v>
      </c>
      <c r="V135" s="1705">
        <f t="shared" si="95"/>
        <v>859</v>
      </c>
      <c r="W135" s="1705">
        <f t="shared" si="95"/>
        <v>697</v>
      </c>
      <c r="X135" s="1705">
        <f t="shared" si="95"/>
        <v>9</v>
      </c>
      <c r="Y135" s="1705">
        <f t="shared" si="95"/>
        <v>29</v>
      </c>
      <c r="Z135" s="1705">
        <f t="shared" si="95"/>
        <v>-84</v>
      </c>
      <c r="AA135" s="1705">
        <f t="shared" si="95"/>
        <v>-54</v>
      </c>
      <c r="AB135" s="1705">
        <f t="shared" ca="1" si="95"/>
        <v>-102.1190416695207</v>
      </c>
      <c r="AC135" s="1705">
        <f t="shared" ca="1" si="95"/>
        <v>-150.2380833390414</v>
      </c>
      <c r="AD135" s="1705">
        <f t="shared" ca="1" si="95"/>
        <v>-198.35712500856209</v>
      </c>
      <c r="AE135" s="1705">
        <f t="shared" ca="1" si="95"/>
        <v>-246.47616667808279</v>
      </c>
      <c r="AF135" s="1705">
        <f t="shared" ca="1" si="95"/>
        <v>-294.59520834760349</v>
      </c>
      <c r="AG135" s="1705">
        <f t="shared" ca="1" si="95"/>
        <v>-342.71425001712419</v>
      </c>
      <c r="AH135" s="1293"/>
      <c r="AI135" s="1293"/>
      <c r="AJ135" s="1293"/>
      <c r="AK135" s="1293"/>
      <c r="AL135" s="1293"/>
      <c r="AM135" s="1293"/>
      <c r="AN135" s="1293"/>
      <c r="AO135" s="1293"/>
      <c r="AP135" s="1293"/>
      <c r="AQ135" s="1293"/>
      <c r="AR135" s="1293"/>
      <c r="AS135" s="1293"/>
    </row>
    <row r="136" spans="1:45" ht="15.75">
      <c r="A136" s="1675" t="s">
        <v>111</v>
      </c>
      <c r="B136" s="1675"/>
      <c r="C136" s="1675"/>
      <c r="D136" s="1675"/>
      <c r="E136" s="1675"/>
      <c r="F136" s="1675">
        <f t="shared" ref="F136:AG136" si="96">SUM(F134:F135)</f>
        <v>-58.609000000000009</v>
      </c>
      <c r="G136" s="1675">
        <f t="shared" si="96"/>
        <v>282.39400000000001</v>
      </c>
      <c r="H136" s="1675">
        <f t="shared" si="96"/>
        <v>333.54999999999995</v>
      </c>
      <c r="I136" s="1675">
        <f t="shared" si="96"/>
        <v>581</v>
      </c>
      <c r="J136" s="1675">
        <f t="shared" si="96"/>
        <v>1368</v>
      </c>
      <c r="K136" s="1675">
        <f t="shared" si="96"/>
        <v>1652.2</v>
      </c>
      <c r="L136" s="1675">
        <f t="shared" si="96"/>
        <v>2310</v>
      </c>
      <c r="M136" s="1675">
        <f t="shared" si="96"/>
        <v>2389.6</v>
      </c>
      <c r="N136" s="1675">
        <f t="shared" si="96"/>
        <v>2446</v>
      </c>
      <c r="O136" s="1675">
        <f t="shared" si="96"/>
        <v>2336</v>
      </c>
      <c r="P136" s="1675">
        <f t="shared" si="96"/>
        <v>2081</v>
      </c>
      <c r="Q136" s="1675">
        <f t="shared" si="96"/>
        <v>3747</v>
      </c>
      <c r="R136" s="1675">
        <f t="shared" si="96"/>
        <v>4413</v>
      </c>
      <c r="S136" s="1675">
        <f t="shared" si="96"/>
        <v>4071</v>
      </c>
      <c r="T136" s="1675">
        <f t="shared" si="96"/>
        <v>3869</v>
      </c>
      <c r="U136" s="1675">
        <f t="shared" si="96"/>
        <v>3358</v>
      </c>
      <c r="V136" s="1675">
        <f t="shared" si="96"/>
        <v>3228</v>
      </c>
      <c r="W136" s="1675">
        <f t="shared" si="96"/>
        <v>2702</v>
      </c>
      <c r="X136" s="1675">
        <f t="shared" si="96"/>
        <v>2550</v>
      </c>
      <c r="Y136" s="1675">
        <f t="shared" si="96"/>
        <v>3634</v>
      </c>
      <c r="Z136" s="1675">
        <f t="shared" si="96"/>
        <v>3445</v>
      </c>
      <c r="AA136" s="1675">
        <f t="shared" si="96"/>
        <v>3574</v>
      </c>
      <c r="AB136" s="1675">
        <f t="shared" ca="1" si="96"/>
        <v>3187.1840632717212</v>
      </c>
      <c r="AC136" s="1675">
        <f t="shared" ca="1" si="96"/>
        <v>3145.5432827235845</v>
      </c>
      <c r="AD136" s="1675">
        <f t="shared" ca="1" si="96"/>
        <v>3068.0282754797249</v>
      </c>
      <c r="AE136" s="1675">
        <f t="shared" ca="1" si="96"/>
        <v>2991.3297262270876</v>
      </c>
      <c r="AF136" s="1675">
        <f t="shared" ca="1" si="96"/>
        <v>2935.4516433621998</v>
      </c>
      <c r="AG136" s="1675">
        <f t="shared" ca="1" si="96"/>
        <v>2912.9200711645226</v>
      </c>
      <c r="AH136" s="1293"/>
      <c r="AI136" s="1293"/>
      <c r="AJ136" s="1293"/>
      <c r="AK136" s="1293"/>
      <c r="AL136" s="1293"/>
      <c r="AM136" s="1293"/>
      <c r="AN136" s="1293"/>
      <c r="AO136" s="1293"/>
      <c r="AP136" s="1293"/>
      <c r="AQ136" s="1293"/>
      <c r="AR136" s="1293"/>
      <c r="AS136" s="1293"/>
    </row>
    <row r="137" spans="1:45" ht="15.75">
      <c r="A137" s="1921"/>
      <c r="B137" s="1921"/>
      <c r="C137" s="1713"/>
      <c r="D137" s="1675"/>
      <c r="E137" s="1675"/>
      <c r="F137" s="1675"/>
      <c r="G137" s="1675"/>
      <c r="H137" s="1675"/>
      <c r="I137" s="1675"/>
      <c r="J137" s="1675"/>
      <c r="K137" s="1675"/>
      <c r="L137" s="1675"/>
      <c r="M137" s="1675"/>
      <c r="N137" s="1675"/>
      <c r="O137" s="1675"/>
      <c r="P137" s="1675"/>
      <c r="Q137" s="1675"/>
      <c r="R137" s="1675"/>
      <c r="S137" s="1675"/>
      <c r="T137" s="1675"/>
      <c r="U137" s="1675"/>
      <c r="V137" s="1675"/>
      <c r="W137" s="1675"/>
      <c r="X137" s="1675"/>
      <c r="Y137" s="1675"/>
      <c r="Z137" s="1675"/>
      <c r="AA137" s="1675"/>
      <c r="AB137" s="1675"/>
      <c r="AC137" s="1675"/>
      <c r="AD137" s="1675"/>
      <c r="AE137" s="1675"/>
      <c r="AF137" s="1675"/>
      <c r="AG137" s="1675"/>
      <c r="AH137" s="1293"/>
      <c r="AI137" s="1293"/>
      <c r="AJ137" s="1293"/>
      <c r="AK137" s="1293"/>
      <c r="AL137" s="1293"/>
      <c r="AM137" s="1293"/>
      <c r="AN137" s="1293"/>
      <c r="AO137" s="1293"/>
      <c r="AP137" s="1293"/>
      <c r="AQ137" s="1293"/>
      <c r="AR137" s="1293"/>
      <c r="AS137" s="1293"/>
    </row>
    <row r="138" spans="1:45" ht="15.75">
      <c r="A138" s="1675" t="s">
        <v>412</v>
      </c>
      <c r="B138" s="1675"/>
      <c r="C138" s="1675"/>
      <c r="D138" s="1675"/>
      <c r="E138" s="1675"/>
      <c r="F138" s="1675">
        <f t="shared" ref="F138:AG138" si="97">F327</f>
        <v>0</v>
      </c>
      <c r="G138" s="1675">
        <f t="shared" si="97"/>
        <v>0</v>
      </c>
      <c r="H138" s="1675">
        <f t="shared" si="97"/>
        <v>0</v>
      </c>
      <c r="I138" s="1675">
        <f t="shared" si="97"/>
        <v>0</v>
      </c>
      <c r="J138" s="1675">
        <f t="shared" si="97"/>
        <v>0</v>
      </c>
      <c r="K138" s="1675">
        <f t="shared" si="97"/>
        <v>0</v>
      </c>
      <c r="L138" s="1675">
        <f t="shared" si="97"/>
        <v>0</v>
      </c>
      <c r="M138" s="1675">
        <f t="shared" si="97"/>
        <v>0</v>
      </c>
      <c r="N138" s="1675">
        <f t="shared" si="97"/>
        <v>0</v>
      </c>
      <c r="O138" s="1675">
        <f t="shared" si="97"/>
        <v>113</v>
      </c>
      <c r="P138" s="1675">
        <f t="shared" si="97"/>
        <v>150</v>
      </c>
      <c r="Q138" s="1675">
        <f t="shared" si="97"/>
        <v>259</v>
      </c>
      <c r="R138" s="1675">
        <f t="shared" si="97"/>
        <v>282</v>
      </c>
      <c r="S138" s="1675">
        <f t="shared" si="97"/>
        <v>260</v>
      </c>
      <c r="T138" s="1675">
        <f t="shared" si="97"/>
        <v>230</v>
      </c>
      <c r="U138" s="1675">
        <f t="shared" si="97"/>
        <v>200</v>
      </c>
      <c r="V138" s="1675">
        <f t="shared" si="97"/>
        <v>200</v>
      </c>
      <c r="W138" s="1675">
        <f t="shared" si="97"/>
        <v>200</v>
      </c>
      <c r="X138" s="1675">
        <f t="shared" si="97"/>
        <v>200</v>
      </c>
      <c r="Y138" s="1675">
        <f t="shared" si="97"/>
        <v>200</v>
      </c>
      <c r="Z138" s="1675">
        <f t="shared" si="97"/>
        <v>200</v>
      </c>
      <c r="AA138" s="1675">
        <f t="shared" si="97"/>
        <v>200</v>
      </c>
      <c r="AB138" s="1675">
        <f t="shared" si="97"/>
        <v>200</v>
      </c>
      <c r="AC138" s="1675">
        <f t="shared" si="97"/>
        <v>200</v>
      </c>
      <c r="AD138" s="1675">
        <f t="shared" si="97"/>
        <v>200</v>
      </c>
      <c r="AE138" s="1675">
        <f t="shared" si="97"/>
        <v>200</v>
      </c>
      <c r="AF138" s="1675">
        <f t="shared" si="97"/>
        <v>200</v>
      </c>
      <c r="AG138" s="1675">
        <f t="shared" si="97"/>
        <v>200</v>
      </c>
      <c r="AH138" s="1293"/>
      <c r="AI138" s="1293"/>
      <c r="AJ138" s="1293"/>
      <c r="AK138" s="1293"/>
      <c r="AL138" s="1293"/>
      <c r="AM138" s="1293"/>
      <c r="AN138" s="1293"/>
      <c r="AO138" s="1293"/>
      <c r="AP138" s="1293"/>
      <c r="AQ138" s="1293"/>
      <c r="AR138" s="1293"/>
      <c r="AS138" s="1293"/>
    </row>
    <row r="139" spans="1:45" ht="15.75">
      <c r="A139" s="1675"/>
      <c r="B139" s="1675"/>
      <c r="C139" s="1675"/>
      <c r="D139" s="1675"/>
      <c r="E139" s="1675"/>
      <c r="F139" s="1675"/>
      <c r="G139" s="1675"/>
      <c r="H139" s="1675"/>
      <c r="I139" s="1675"/>
      <c r="J139" s="1675"/>
      <c r="K139" s="1675"/>
      <c r="L139" s="1675"/>
      <c r="M139" s="1675"/>
      <c r="N139" s="1675"/>
      <c r="O139" s="1675"/>
      <c r="P139" s="1675"/>
      <c r="Q139" s="1675"/>
      <c r="R139" s="1675"/>
      <c r="S139" s="1675"/>
      <c r="T139" s="1675"/>
      <c r="U139" s="1675"/>
      <c r="V139" s="1675"/>
      <c r="W139" s="1675"/>
      <c r="X139" s="1675"/>
      <c r="Y139" s="1675"/>
      <c r="Z139" s="1675"/>
      <c r="AA139" s="1675"/>
      <c r="AB139" s="1675"/>
      <c r="AC139" s="1675"/>
      <c r="AD139" s="1675"/>
      <c r="AE139" s="1675"/>
      <c r="AF139" s="1675"/>
      <c r="AG139" s="1675"/>
      <c r="AH139" s="1293"/>
      <c r="AI139" s="1293"/>
      <c r="AJ139" s="1293"/>
      <c r="AK139" s="1293"/>
      <c r="AL139" s="1293"/>
      <c r="AM139" s="1293"/>
      <c r="AN139" s="1293"/>
      <c r="AO139" s="1293"/>
      <c r="AP139" s="1293"/>
      <c r="AQ139" s="1293"/>
      <c r="AR139" s="1293"/>
      <c r="AS139" s="1293"/>
    </row>
    <row r="140" spans="1:45" ht="15.75">
      <c r="A140" s="1675" t="s">
        <v>112</v>
      </c>
      <c r="B140" s="1675"/>
      <c r="C140" s="1675"/>
      <c r="D140" s="1675"/>
      <c r="E140" s="1675"/>
      <c r="F140" s="1675">
        <f t="shared" ref="F140:AG140" si="98">F421</f>
        <v>794.80899999999997</v>
      </c>
      <c r="G140" s="1675">
        <f t="shared" si="98"/>
        <v>652.88</v>
      </c>
      <c r="H140" s="1675">
        <f t="shared" si="98"/>
        <v>505.976</v>
      </c>
      <c r="I140" s="1675">
        <f t="shared" si="98"/>
        <v>1359.0309999999999</v>
      </c>
      <c r="J140" s="1675">
        <f t="shared" si="98"/>
        <v>945.68100000000004</v>
      </c>
      <c r="K140" s="1675">
        <f t="shared" si="98"/>
        <v>1661.5</v>
      </c>
      <c r="L140" s="1675">
        <f t="shared" ca="1" si="98"/>
        <v>1912</v>
      </c>
      <c r="M140" s="1675">
        <f t="shared" ca="1" si="98"/>
        <v>1796.5720000000001</v>
      </c>
      <c r="N140" s="1675">
        <f t="shared" ca="1" si="98"/>
        <v>1937</v>
      </c>
      <c r="O140" s="1675">
        <f t="shared" ca="1" si="98"/>
        <v>2566</v>
      </c>
      <c r="P140" s="1675">
        <f t="shared" si="98"/>
        <v>3504</v>
      </c>
      <c r="Q140" s="1675">
        <f t="shared" si="98"/>
        <v>4467</v>
      </c>
      <c r="R140" s="1675">
        <f t="shared" si="98"/>
        <v>5134</v>
      </c>
      <c r="S140" s="1675">
        <f t="shared" si="98"/>
        <v>5147</v>
      </c>
      <c r="T140" s="1675">
        <f t="shared" si="98"/>
        <v>4903</v>
      </c>
      <c r="U140" s="1675">
        <f t="shared" si="98"/>
        <v>5530</v>
      </c>
      <c r="V140" s="1675">
        <f t="shared" si="98"/>
        <v>8288</v>
      </c>
      <c r="W140" s="1675">
        <f t="shared" si="98"/>
        <v>7483</v>
      </c>
      <c r="X140" s="1675">
        <f t="shared" si="98"/>
        <v>7166</v>
      </c>
      <c r="Y140" s="1675">
        <f t="shared" si="98"/>
        <v>7511</v>
      </c>
      <c r="Z140" s="1675">
        <f t="shared" si="98"/>
        <v>7436</v>
      </c>
      <c r="AA140" s="1675">
        <f t="shared" si="98"/>
        <v>6485</v>
      </c>
      <c r="AB140" s="1675">
        <f t="shared" si="98"/>
        <v>6508.85</v>
      </c>
      <c r="AC140" s="1675">
        <f t="shared" si="98"/>
        <v>6533.2962499999994</v>
      </c>
      <c r="AD140" s="1675">
        <f t="shared" si="98"/>
        <v>6558.3536562499994</v>
      </c>
      <c r="AE140" s="1675">
        <f t="shared" si="98"/>
        <v>6584.0374976562498</v>
      </c>
      <c r="AF140" s="1675">
        <f t="shared" si="98"/>
        <v>6610.3634350976554</v>
      </c>
      <c r="AG140" s="1675">
        <f t="shared" si="98"/>
        <v>6637.3475209750968</v>
      </c>
      <c r="AH140" s="1293"/>
      <c r="AI140" s="1293"/>
      <c r="AJ140" s="1293"/>
      <c r="AK140" s="1293"/>
      <c r="AL140" s="1293"/>
      <c r="AM140" s="1293"/>
      <c r="AN140" s="1293"/>
      <c r="AO140" s="1293"/>
      <c r="AP140" s="1293"/>
      <c r="AQ140" s="1293"/>
      <c r="AR140" s="1293"/>
      <c r="AS140" s="1293"/>
    </row>
    <row r="141" spans="1:45" ht="15.75">
      <c r="A141" s="1705" t="s">
        <v>113</v>
      </c>
      <c r="B141" s="1705"/>
      <c r="C141" s="1919"/>
      <c r="D141" s="1705"/>
      <c r="E141" s="1705"/>
      <c r="F141" s="1705">
        <f>F333+F336+F338</f>
        <v>387.39800000000014</v>
      </c>
      <c r="G141" s="1705">
        <f>G333+G336+G338</f>
        <v>607.01200000000006</v>
      </c>
      <c r="H141" s="1705">
        <f t="shared" ref="H141:AG141" si="99">H336+H338</f>
        <v>564.1640000000001</v>
      </c>
      <c r="I141" s="1705">
        <f t="shared" si="99"/>
        <v>82.969000000000051</v>
      </c>
      <c r="J141" s="1705">
        <f t="shared" si="99"/>
        <v>97.31899999999996</v>
      </c>
      <c r="K141" s="1705">
        <f t="shared" si="99"/>
        <v>151.05400000000009</v>
      </c>
      <c r="L141" s="1705">
        <f t="shared" ca="1" si="99"/>
        <v>156</v>
      </c>
      <c r="M141" s="1705">
        <f t="shared" ca="1" si="99"/>
        <v>293.42799999999988</v>
      </c>
      <c r="N141" s="1705">
        <f t="shared" ca="1" si="99"/>
        <v>201</v>
      </c>
      <c r="O141" s="1705">
        <f t="shared" ca="1" si="99"/>
        <v>198</v>
      </c>
      <c r="P141" s="1705">
        <f t="shared" si="99"/>
        <v>207</v>
      </c>
      <c r="Q141" s="1705">
        <f t="shared" si="99"/>
        <v>250</v>
      </c>
      <c r="R141" s="1705">
        <f t="shared" si="99"/>
        <v>240</v>
      </c>
      <c r="S141" s="1705">
        <f t="shared" si="99"/>
        <v>335</v>
      </c>
      <c r="T141" s="1705">
        <f t="shared" si="99"/>
        <v>317</v>
      </c>
      <c r="U141" s="1705">
        <f t="shared" si="99"/>
        <v>344</v>
      </c>
      <c r="V141" s="1705">
        <f t="shared" si="99"/>
        <v>829</v>
      </c>
      <c r="W141" s="1705">
        <f t="shared" si="99"/>
        <v>1224</v>
      </c>
      <c r="X141" s="1705">
        <f t="shared" si="99"/>
        <v>1086</v>
      </c>
      <c r="Y141" s="1705">
        <f t="shared" si="99"/>
        <v>934</v>
      </c>
      <c r="Z141" s="1705">
        <f t="shared" si="99"/>
        <v>1306</v>
      </c>
      <c r="AA141" s="1705">
        <f t="shared" si="99"/>
        <v>565</v>
      </c>
      <c r="AB141" s="1705">
        <f t="shared" si="99"/>
        <v>441.91637531068307</v>
      </c>
      <c r="AC141" s="1705">
        <f t="shared" si="99"/>
        <v>392.21370697569495</v>
      </c>
      <c r="AD141" s="1705">
        <f t="shared" si="99"/>
        <v>341.83562260861834</v>
      </c>
      <c r="AE141" s="1705">
        <f t="shared" si="99"/>
        <v>289.93122014537079</v>
      </c>
      <c r="AF141" s="1705">
        <f t="shared" si="99"/>
        <v>264.69213080195465</v>
      </c>
      <c r="AG141" s="1705">
        <f t="shared" si="99"/>
        <v>238.08022340527509</v>
      </c>
      <c r="AH141" s="1293"/>
      <c r="AI141" s="1293"/>
      <c r="AJ141" s="1293"/>
      <c r="AK141" s="1293"/>
      <c r="AL141" s="1293"/>
      <c r="AM141" s="1293"/>
      <c r="AN141" s="1293"/>
      <c r="AO141" s="1293"/>
      <c r="AP141" s="1293"/>
      <c r="AQ141" s="1293"/>
      <c r="AR141" s="1293"/>
      <c r="AS141" s="1293"/>
    </row>
    <row r="142" spans="1:45" ht="15.75">
      <c r="A142" s="1675" t="s">
        <v>114</v>
      </c>
      <c r="B142" s="1675"/>
      <c r="C142" s="1675"/>
      <c r="D142" s="1675"/>
      <c r="E142" s="1675"/>
      <c r="F142" s="1675">
        <f t="shared" ref="F142:AG142" si="100">SUM(F140:F141)</f>
        <v>1182.2070000000001</v>
      </c>
      <c r="G142" s="1675">
        <f t="shared" si="100"/>
        <v>1259.8920000000001</v>
      </c>
      <c r="H142" s="1675">
        <f t="shared" si="100"/>
        <v>1070.1400000000001</v>
      </c>
      <c r="I142" s="1675">
        <f t="shared" si="100"/>
        <v>1442</v>
      </c>
      <c r="J142" s="1675">
        <f t="shared" si="100"/>
        <v>1043</v>
      </c>
      <c r="K142" s="1675">
        <f t="shared" si="100"/>
        <v>1812.5540000000001</v>
      </c>
      <c r="L142" s="1675">
        <f t="shared" ca="1" si="100"/>
        <v>2068</v>
      </c>
      <c r="M142" s="1675">
        <f t="shared" ca="1" si="100"/>
        <v>2090</v>
      </c>
      <c r="N142" s="1675">
        <f t="shared" ca="1" si="100"/>
        <v>2138</v>
      </c>
      <c r="O142" s="1675">
        <f t="shared" ca="1" si="100"/>
        <v>2764</v>
      </c>
      <c r="P142" s="1675">
        <f t="shared" si="100"/>
        <v>3711</v>
      </c>
      <c r="Q142" s="1675">
        <f t="shared" si="100"/>
        <v>4717</v>
      </c>
      <c r="R142" s="1675">
        <f t="shared" si="100"/>
        <v>5374</v>
      </c>
      <c r="S142" s="1675">
        <f t="shared" si="100"/>
        <v>5482</v>
      </c>
      <c r="T142" s="1675">
        <f t="shared" si="100"/>
        <v>5220</v>
      </c>
      <c r="U142" s="1675">
        <f t="shared" si="100"/>
        <v>5874</v>
      </c>
      <c r="V142" s="1675">
        <f t="shared" si="100"/>
        <v>9117</v>
      </c>
      <c r="W142" s="1675">
        <f t="shared" si="100"/>
        <v>8707</v>
      </c>
      <c r="X142" s="1675">
        <f t="shared" si="100"/>
        <v>8252</v>
      </c>
      <c r="Y142" s="1675">
        <f t="shared" si="100"/>
        <v>8445</v>
      </c>
      <c r="Z142" s="1675">
        <f t="shared" si="100"/>
        <v>8742</v>
      </c>
      <c r="AA142" s="1675">
        <f t="shared" si="100"/>
        <v>7050</v>
      </c>
      <c r="AB142" s="1675">
        <f t="shared" si="100"/>
        <v>6950.7663753106835</v>
      </c>
      <c r="AC142" s="1675">
        <f t="shared" si="100"/>
        <v>6925.509956975694</v>
      </c>
      <c r="AD142" s="1675">
        <f t="shared" si="100"/>
        <v>6900.1892788586174</v>
      </c>
      <c r="AE142" s="1675">
        <f t="shared" si="100"/>
        <v>6873.9687178016202</v>
      </c>
      <c r="AF142" s="1675">
        <f t="shared" si="100"/>
        <v>6875.05556589961</v>
      </c>
      <c r="AG142" s="1675">
        <f t="shared" si="100"/>
        <v>6875.4277443803721</v>
      </c>
      <c r="AH142" s="1293"/>
      <c r="AI142" s="1293"/>
      <c r="AJ142" s="1293"/>
      <c r="AK142" s="1293"/>
      <c r="AL142" s="1293"/>
      <c r="AM142" s="1293"/>
      <c r="AN142" s="1293"/>
      <c r="AO142" s="1293"/>
      <c r="AP142" s="1293"/>
      <c r="AQ142" s="1293"/>
      <c r="AR142" s="1293"/>
      <c r="AS142" s="1293"/>
    </row>
    <row r="143" spans="1:45" ht="15.75">
      <c r="A143" s="1713"/>
      <c r="B143" s="1713"/>
      <c r="C143" s="1713"/>
      <c r="D143" s="1675"/>
      <c r="E143" s="1675"/>
      <c r="F143" s="1675"/>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293"/>
      <c r="AI143" s="1293"/>
      <c r="AJ143" s="1293"/>
      <c r="AK143" s="1293"/>
      <c r="AL143" s="1293"/>
      <c r="AM143" s="1293"/>
      <c r="AN143" s="1293"/>
      <c r="AO143" s="1293"/>
      <c r="AP143" s="1293"/>
      <c r="AQ143" s="1293"/>
      <c r="AR143" s="1293"/>
      <c r="AS143" s="1293"/>
    </row>
    <row r="144" spans="1:45" ht="15.75">
      <c r="A144" s="1675" t="s">
        <v>115</v>
      </c>
      <c r="B144" s="1675"/>
      <c r="C144" s="1675"/>
      <c r="D144" s="1675"/>
      <c r="E144" s="1675"/>
      <c r="F144" s="1675">
        <f t="shared" ref="F144:AG144" si="101">F420</f>
        <v>0</v>
      </c>
      <c r="G144" s="1675">
        <f t="shared" si="101"/>
        <v>88.510999999999996</v>
      </c>
      <c r="H144" s="1675">
        <f t="shared" si="101"/>
        <v>411.69899999999996</v>
      </c>
      <c r="I144" s="1675">
        <f t="shared" si="101"/>
        <v>134.661</v>
      </c>
      <c r="J144" s="1675">
        <f t="shared" si="101"/>
        <v>889.31899999999996</v>
      </c>
      <c r="K144" s="1675">
        <f t="shared" si="101"/>
        <v>496.5</v>
      </c>
      <c r="L144" s="1675">
        <f t="shared" si="101"/>
        <v>434</v>
      </c>
      <c r="M144" s="1675">
        <f t="shared" si="101"/>
        <v>555.46400000000006</v>
      </c>
      <c r="N144" s="1675">
        <f t="shared" si="101"/>
        <v>621</v>
      </c>
      <c r="O144" s="1675">
        <f t="shared" si="101"/>
        <v>693</v>
      </c>
      <c r="P144" s="1675">
        <f t="shared" si="101"/>
        <v>423</v>
      </c>
      <c r="Q144" s="1675">
        <f t="shared" si="101"/>
        <v>362</v>
      </c>
      <c r="R144" s="1675">
        <f t="shared" si="101"/>
        <v>251</v>
      </c>
      <c r="S144" s="1675">
        <f t="shared" si="101"/>
        <v>143</v>
      </c>
      <c r="T144" s="1675">
        <f t="shared" si="101"/>
        <v>265</v>
      </c>
      <c r="U144" s="1675">
        <f t="shared" si="101"/>
        <v>543</v>
      </c>
      <c r="V144" s="1675">
        <f t="shared" si="101"/>
        <v>343</v>
      </c>
      <c r="W144" s="1675">
        <f t="shared" si="101"/>
        <v>270</v>
      </c>
      <c r="X144" s="1675">
        <f t="shared" si="101"/>
        <v>2084</v>
      </c>
      <c r="Y144" s="1675">
        <f t="shared" si="101"/>
        <v>343</v>
      </c>
      <c r="Z144" s="1675">
        <f t="shared" si="101"/>
        <v>343</v>
      </c>
      <c r="AA144" s="1675">
        <f t="shared" si="101"/>
        <v>343</v>
      </c>
      <c r="AB144" s="1675">
        <f t="shared" si="101"/>
        <v>343</v>
      </c>
      <c r="AC144" s="1675">
        <f t="shared" si="101"/>
        <v>343</v>
      </c>
      <c r="AD144" s="1675">
        <f t="shared" si="101"/>
        <v>343</v>
      </c>
      <c r="AE144" s="1675">
        <f t="shared" si="101"/>
        <v>343</v>
      </c>
      <c r="AF144" s="1675">
        <f t="shared" si="101"/>
        <v>343</v>
      </c>
      <c r="AG144" s="1675">
        <f t="shared" si="101"/>
        <v>343</v>
      </c>
      <c r="AH144" s="1293"/>
      <c r="AI144" s="1293"/>
      <c r="AJ144" s="1293"/>
      <c r="AK144" s="1293"/>
      <c r="AL144" s="1293"/>
      <c r="AM144" s="1293"/>
      <c r="AN144" s="1293"/>
      <c r="AO144" s="1293"/>
      <c r="AP144" s="1293"/>
      <c r="AQ144" s="1293"/>
      <c r="AR144" s="1293"/>
      <c r="AS144" s="1293"/>
    </row>
    <row r="145" spans="1:45" ht="15.75">
      <c r="A145" s="1705" t="s">
        <v>116</v>
      </c>
      <c r="B145" s="1705"/>
      <c r="C145" s="1705"/>
      <c r="D145" s="1705"/>
      <c r="E145" s="1705"/>
      <c r="F145" s="1705">
        <f>F315+F307</f>
        <v>399.351</v>
      </c>
      <c r="G145" s="1705">
        <f>G315+G307</f>
        <v>414.03200000000004</v>
      </c>
      <c r="H145" s="1705">
        <f t="shared" ref="H145:AG145" si="102">H315+H307+H325+H333</f>
        <v>744.03300000000013</v>
      </c>
      <c r="I145" s="1705">
        <f t="shared" si="102"/>
        <v>1161.3389999999999</v>
      </c>
      <c r="J145" s="1705">
        <f t="shared" si="102"/>
        <v>1112.681</v>
      </c>
      <c r="K145" s="1705">
        <f t="shared" si="102"/>
        <v>1259.5</v>
      </c>
      <c r="L145" s="1705">
        <f t="shared" si="102"/>
        <v>1180</v>
      </c>
      <c r="M145" s="1705">
        <f t="shared" si="102"/>
        <v>1959.336</v>
      </c>
      <c r="N145" s="1705">
        <f t="shared" si="102"/>
        <v>2077</v>
      </c>
      <c r="O145" s="1705">
        <f t="shared" si="102"/>
        <v>2305</v>
      </c>
      <c r="P145" s="1705">
        <f t="shared" si="102"/>
        <v>2408</v>
      </c>
      <c r="Q145" s="1705">
        <f t="shared" si="102"/>
        <v>4212</v>
      </c>
      <c r="R145" s="1705">
        <f t="shared" si="102"/>
        <v>2085</v>
      </c>
      <c r="S145" s="1705">
        <f t="shared" si="102"/>
        <v>1927</v>
      </c>
      <c r="T145" s="1705">
        <f t="shared" si="102"/>
        <v>1972</v>
      </c>
      <c r="U145" s="1705">
        <f t="shared" si="102"/>
        <v>2239</v>
      </c>
      <c r="V145" s="1705">
        <f t="shared" si="102"/>
        <v>2113</v>
      </c>
      <c r="W145" s="1705">
        <f t="shared" si="102"/>
        <v>2386</v>
      </c>
      <c r="X145" s="1705">
        <f t="shared" si="102"/>
        <v>2397</v>
      </c>
      <c r="Y145" s="1705">
        <f t="shared" si="102"/>
        <v>1576</v>
      </c>
      <c r="Z145" s="1705">
        <f t="shared" si="102"/>
        <v>1786</v>
      </c>
      <c r="AA145" s="1705">
        <f t="shared" si="102"/>
        <v>2570</v>
      </c>
      <c r="AB145" s="1705">
        <f t="shared" si="102"/>
        <v>1836.9779791138337</v>
      </c>
      <c r="AC145" s="1705">
        <f t="shared" si="102"/>
        <v>1863.2819189297743</v>
      </c>
      <c r="AD145" s="1705">
        <f t="shared" si="102"/>
        <v>1894.610372131247</v>
      </c>
      <c r="AE145" s="1705">
        <f t="shared" si="102"/>
        <v>1928.318737644302</v>
      </c>
      <c r="AF145" s="1705">
        <f t="shared" si="102"/>
        <v>1956.0608404392026</v>
      </c>
      <c r="AG145" s="1705">
        <f t="shared" si="102"/>
        <v>1979.3252845655284</v>
      </c>
      <c r="AH145" s="1293"/>
      <c r="AI145" s="1293"/>
      <c r="AJ145" s="1293"/>
      <c r="AK145" s="1293"/>
      <c r="AL145" s="1293"/>
      <c r="AM145" s="1293"/>
      <c r="AN145" s="1293"/>
      <c r="AO145" s="1293"/>
      <c r="AP145" s="1293"/>
      <c r="AQ145" s="1293"/>
      <c r="AR145" s="1293"/>
      <c r="AS145" s="1293"/>
    </row>
    <row r="146" spans="1:45" ht="15.75">
      <c r="A146" s="1675" t="s">
        <v>117</v>
      </c>
      <c r="B146" s="1675"/>
      <c r="C146" s="1713"/>
      <c r="D146" s="1675"/>
      <c r="E146" s="1675"/>
      <c r="F146" s="1675">
        <f t="shared" ref="F146:AG146" si="103">SUM(F144:F145)</f>
        <v>399.351</v>
      </c>
      <c r="G146" s="1675">
        <f t="shared" si="103"/>
        <v>502.54300000000001</v>
      </c>
      <c r="H146" s="1675">
        <f t="shared" si="103"/>
        <v>1155.732</v>
      </c>
      <c r="I146" s="1675">
        <f t="shared" si="103"/>
        <v>1296</v>
      </c>
      <c r="J146" s="1675">
        <f t="shared" si="103"/>
        <v>2002</v>
      </c>
      <c r="K146" s="1675">
        <f t="shared" si="103"/>
        <v>1756</v>
      </c>
      <c r="L146" s="1675">
        <f t="shared" si="103"/>
        <v>1614</v>
      </c>
      <c r="M146" s="1675">
        <f t="shared" si="103"/>
        <v>2514.8000000000002</v>
      </c>
      <c r="N146" s="1675">
        <f t="shared" si="103"/>
        <v>2698</v>
      </c>
      <c r="O146" s="1675">
        <f t="shared" si="103"/>
        <v>2998</v>
      </c>
      <c r="P146" s="1675">
        <f t="shared" si="103"/>
        <v>2831</v>
      </c>
      <c r="Q146" s="1675">
        <f t="shared" si="103"/>
        <v>4574</v>
      </c>
      <c r="R146" s="1675">
        <f t="shared" si="103"/>
        <v>2336</v>
      </c>
      <c r="S146" s="1675">
        <f t="shared" si="103"/>
        <v>2070</v>
      </c>
      <c r="T146" s="1675">
        <f t="shared" si="103"/>
        <v>2237</v>
      </c>
      <c r="U146" s="1675">
        <f t="shared" si="103"/>
        <v>2782</v>
      </c>
      <c r="V146" s="1675">
        <f t="shared" si="103"/>
        <v>2456</v>
      </c>
      <c r="W146" s="1675">
        <f t="shared" si="103"/>
        <v>2656</v>
      </c>
      <c r="X146" s="1675">
        <f t="shared" si="103"/>
        <v>4481</v>
      </c>
      <c r="Y146" s="1675">
        <f t="shared" si="103"/>
        <v>1919</v>
      </c>
      <c r="Z146" s="1675">
        <f t="shared" si="103"/>
        <v>2129</v>
      </c>
      <c r="AA146" s="1675">
        <f t="shared" si="103"/>
        <v>2913</v>
      </c>
      <c r="AB146" s="1675">
        <f t="shared" si="103"/>
        <v>2179.9779791138335</v>
      </c>
      <c r="AC146" s="1675">
        <f t="shared" si="103"/>
        <v>2206.2819189297743</v>
      </c>
      <c r="AD146" s="1675">
        <f t="shared" si="103"/>
        <v>2237.610372131247</v>
      </c>
      <c r="AE146" s="1675">
        <f t="shared" si="103"/>
        <v>2271.318737644302</v>
      </c>
      <c r="AF146" s="1675">
        <f t="shared" si="103"/>
        <v>2299.0608404392024</v>
      </c>
      <c r="AG146" s="1675">
        <f t="shared" si="103"/>
        <v>2322.3252845655284</v>
      </c>
      <c r="AH146" s="1293"/>
      <c r="AI146" s="1293"/>
      <c r="AJ146" s="1293"/>
      <c r="AK146" s="1293"/>
      <c r="AL146" s="1293"/>
      <c r="AM146" s="1293"/>
      <c r="AN146" s="1293"/>
      <c r="AO146" s="1293"/>
      <c r="AP146" s="1293"/>
      <c r="AQ146" s="1293"/>
      <c r="AR146" s="1293"/>
      <c r="AS146" s="1293"/>
    </row>
    <row r="147" spans="1:45" ht="15.75">
      <c r="A147" s="1675"/>
      <c r="B147" s="1675"/>
      <c r="C147" s="1675"/>
      <c r="D147" s="1675"/>
      <c r="E147" s="1675"/>
      <c r="F147" s="1675"/>
      <c r="G147" s="1675"/>
      <c r="H147" s="1675"/>
      <c r="I147" s="1675"/>
      <c r="J147" s="1675"/>
      <c r="K147" s="1675"/>
      <c r="L147" s="1675"/>
      <c r="M147" s="1675"/>
      <c r="N147" s="1675"/>
      <c r="O147" s="1675"/>
      <c r="P147" s="1675"/>
      <c r="Q147" s="1675"/>
      <c r="R147" s="1675"/>
      <c r="S147" s="1675"/>
      <c r="T147" s="1675"/>
      <c r="U147" s="1675"/>
      <c r="V147" s="1675"/>
      <c r="W147" s="1675"/>
      <c r="X147" s="1675"/>
      <c r="Y147" s="1675"/>
      <c r="Z147" s="1675"/>
      <c r="AA147" s="1675"/>
      <c r="AB147" s="1675"/>
      <c r="AC147" s="1675"/>
      <c r="AD147" s="1675"/>
      <c r="AE147" s="1675"/>
      <c r="AF147" s="1675"/>
      <c r="AG147" s="1675"/>
      <c r="AH147" s="1293"/>
      <c r="AI147" s="1293"/>
      <c r="AJ147" s="1293"/>
      <c r="AK147" s="1293"/>
      <c r="AL147" s="1293"/>
      <c r="AM147" s="1293"/>
      <c r="AN147" s="1293"/>
      <c r="AO147" s="1293"/>
      <c r="AP147" s="1293"/>
      <c r="AQ147" s="1293"/>
      <c r="AR147" s="1293"/>
      <c r="AS147" s="1293"/>
    </row>
    <row r="148" spans="1:45" ht="16.5" thickBot="1">
      <c r="A148" s="1922" t="s">
        <v>118</v>
      </c>
      <c r="B148" s="1922"/>
      <c r="C148" s="1923"/>
      <c r="D148" s="1920"/>
      <c r="E148" s="1920"/>
      <c r="F148" s="1920">
        <f t="shared" ref="F148:AG148" si="104">F136+F138+F142+F146</f>
        <v>1522.9490000000001</v>
      </c>
      <c r="G148" s="1920">
        <f t="shared" si="104"/>
        <v>2044.8290000000002</v>
      </c>
      <c r="H148" s="1920">
        <f t="shared" si="104"/>
        <v>2559.422</v>
      </c>
      <c r="I148" s="1920">
        <f t="shared" si="104"/>
        <v>3319</v>
      </c>
      <c r="J148" s="1920">
        <f t="shared" si="104"/>
        <v>4413</v>
      </c>
      <c r="K148" s="1920">
        <f t="shared" si="104"/>
        <v>5220.7539999999999</v>
      </c>
      <c r="L148" s="1920">
        <f t="shared" ca="1" si="104"/>
        <v>5992</v>
      </c>
      <c r="M148" s="1920">
        <f t="shared" ca="1" si="104"/>
        <v>6994.4000000000005</v>
      </c>
      <c r="N148" s="1920">
        <f t="shared" ca="1" si="104"/>
        <v>7282</v>
      </c>
      <c r="O148" s="1920">
        <f t="shared" ca="1" si="104"/>
        <v>8211</v>
      </c>
      <c r="P148" s="1920">
        <f t="shared" si="104"/>
        <v>8773</v>
      </c>
      <c r="Q148" s="1920">
        <f t="shared" si="104"/>
        <v>13297</v>
      </c>
      <c r="R148" s="1920">
        <f t="shared" si="104"/>
        <v>12405</v>
      </c>
      <c r="S148" s="1920">
        <f t="shared" si="104"/>
        <v>11883</v>
      </c>
      <c r="T148" s="1920">
        <f t="shared" si="104"/>
        <v>11556</v>
      </c>
      <c r="U148" s="1920">
        <f t="shared" si="104"/>
        <v>12214</v>
      </c>
      <c r="V148" s="1920">
        <f t="shared" si="104"/>
        <v>15001</v>
      </c>
      <c r="W148" s="1920">
        <f t="shared" si="104"/>
        <v>14265</v>
      </c>
      <c r="X148" s="1920">
        <f t="shared" si="104"/>
        <v>15483</v>
      </c>
      <c r="Y148" s="1920">
        <f t="shared" si="104"/>
        <v>14198</v>
      </c>
      <c r="Z148" s="1920">
        <f t="shared" si="104"/>
        <v>14516</v>
      </c>
      <c r="AA148" s="1920">
        <f t="shared" si="104"/>
        <v>13737</v>
      </c>
      <c r="AB148" s="1920">
        <f t="shared" ca="1" si="104"/>
        <v>12517.928417696237</v>
      </c>
      <c r="AC148" s="1920">
        <f t="shared" ca="1" si="104"/>
        <v>12477.335158629052</v>
      </c>
      <c r="AD148" s="1920">
        <f t="shared" ca="1" si="104"/>
        <v>12405.827926469588</v>
      </c>
      <c r="AE148" s="1920">
        <f t="shared" ca="1" si="104"/>
        <v>12336.617181673009</v>
      </c>
      <c r="AF148" s="1920">
        <f t="shared" ca="1" si="104"/>
        <v>12309.568049701013</v>
      </c>
      <c r="AG148" s="1920">
        <f t="shared" ca="1" si="104"/>
        <v>12310.673100110422</v>
      </c>
      <c r="AH148" s="1293"/>
      <c r="AI148" s="1293"/>
      <c r="AJ148" s="1293"/>
      <c r="AK148" s="1293"/>
      <c r="AL148" s="1293"/>
      <c r="AM148" s="1293"/>
      <c r="AN148" s="1293"/>
      <c r="AO148" s="1293"/>
      <c r="AP148" s="1293"/>
      <c r="AQ148" s="1293"/>
      <c r="AR148" s="1293"/>
      <c r="AS148" s="1293"/>
    </row>
    <row r="149" spans="1:45" ht="16.5" thickTop="1">
      <c r="A149" s="1675"/>
      <c r="B149" s="1675"/>
      <c r="C149" s="1675"/>
      <c r="D149" s="1924"/>
      <c r="E149" s="1924"/>
      <c r="F149" s="1924"/>
      <c r="G149" s="1924"/>
      <c r="H149" s="1924"/>
      <c r="I149" s="1675"/>
      <c r="J149" s="1653"/>
      <c r="K149" s="1653"/>
      <c r="L149" s="1653"/>
      <c r="M149" s="1653"/>
      <c r="N149" s="1653"/>
      <c r="O149" s="1653"/>
      <c r="P149" s="1653"/>
      <c r="Q149" s="1653"/>
      <c r="R149" s="1653"/>
      <c r="S149" s="1653"/>
      <c r="T149" s="1653"/>
      <c r="U149" s="1653"/>
      <c r="V149" s="1653"/>
      <c r="W149" s="1675"/>
      <c r="X149" s="1675"/>
      <c r="Y149" s="1675"/>
      <c r="Z149" s="1675"/>
      <c r="AA149" s="1675"/>
      <c r="AB149" s="1675"/>
      <c r="AC149" s="1675"/>
      <c r="AD149" s="1675"/>
      <c r="AE149" s="1675"/>
      <c r="AF149" s="1675"/>
      <c r="AG149" s="1675"/>
      <c r="AH149" s="1293"/>
      <c r="AI149" s="1293"/>
      <c r="AJ149" s="1293"/>
      <c r="AK149" s="1293"/>
      <c r="AL149" s="1293"/>
      <c r="AM149" s="1293"/>
      <c r="AN149" s="1293"/>
      <c r="AO149" s="1293"/>
      <c r="AP149" s="1293"/>
      <c r="AQ149" s="1293"/>
      <c r="AR149" s="1293"/>
      <c r="AS149" s="1293"/>
    </row>
    <row r="150" spans="1:45" ht="15.75">
      <c r="A150" s="1653" t="s">
        <v>150</v>
      </c>
      <c r="B150" s="1653"/>
      <c r="C150" s="1653"/>
      <c r="D150" s="1675"/>
      <c r="E150" s="1675"/>
      <c r="F150" s="1675">
        <f t="shared" ref="F150:AG150" si="105">F424</f>
        <v>613.1</v>
      </c>
      <c r="G150" s="1675">
        <f t="shared" si="105"/>
        <v>327.39999999999998</v>
      </c>
      <c r="H150" s="1675">
        <f t="shared" si="105"/>
        <v>321</v>
      </c>
      <c r="I150" s="1675">
        <f t="shared" si="105"/>
        <v>837</v>
      </c>
      <c r="J150" s="1675">
        <f t="shared" si="105"/>
        <v>660</v>
      </c>
      <c r="K150" s="1675">
        <f t="shared" si="105"/>
        <v>1484</v>
      </c>
      <c r="L150" s="1675">
        <f t="shared" ca="1" si="105"/>
        <v>772</v>
      </c>
      <c r="M150" s="1675">
        <f t="shared" ca="1" si="105"/>
        <v>1275.549</v>
      </c>
      <c r="N150" s="1675">
        <f t="shared" ca="1" si="105"/>
        <v>1642</v>
      </c>
      <c r="O150" s="1675">
        <f t="shared" ca="1" si="105"/>
        <v>2042</v>
      </c>
      <c r="P150" s="1675">
        <f t="shared" si="105"/>
        <v>2121</v>
      </c>
      <c r="Q150" s="1675">
        <f t="shared" si="105"/>
        <v>3998</v>
      </c>
      <c r="R150" s="1675">
        <f t="shared" si="105"/>
        <v>4295</v>
      </c>
      <c r="S150" s="1675">
        <f t="shared" si="105"/>
        <v>4187</v>
      </c>
      <c r="T150" s="1675">
        <f t="shared" si="105"/>
        <v>4073</v>
      </c>
      <c r="U150" s="1675">
        <f t="shared" si="105"/>
        <v>5133</v>
      </c>
      <c r="V150" s="1675">
        <f t="shared" si="105"/>
        <v>7236</v>
      </c>
      <c r="W150" s="1675">
        <f t="shared" si="105"/>
        <v>6631</v>
      </c>
      <c r="X150" s="1675">
        <f t="shared" si="105"/>
        <v>8281</v>
      </c>
      <c r="Y150" s="1675">
        <f t="shared" si="105"/>
        <v>6815</v>
      </c>
      <c r="Z150" s="1675">
        <f t="shared" si="105"/>
        <v>6999</v>
      </c>
      <c r="AA150" s="1675">
        <f t="shared" si="105"/>
        <v>6129</v>
      </c>
      <c r="AB150" s="1675">
        <f t="shared" ca="1" si="105"/>
        <v>5411.8432365614617</v>
      </c>
      <c r="AC150" s="1675">
        <f t="shared" ca="1" si="105"/>
        <v>5610.2016384406788</v>
      </c>
      <c r="AD150" s="1675">
        <f t="shared" ca="1" si="105"/>
        <v>5784.6553564899041</v>
      </c>
      <c r="AE150" s="1675">
        <f t="shared" ca="1" si="105"/>
        <v>5940.5686334332822</v>
      </c>
      <c r="AF150" s="1675">
        <f t="shared" ca="1" si="105"/>
        <v>6045.1632045673487</v>
      </c>
      <c r="AG150" s="1675">
        <f t="shared" ca="1" si="105"/>
        <v>6123.1099035994321</v>
      </c>
      <c r="AH150" s="1293"/>
      <c r="AI150" s="1293"/>
      <c r="AJ150" s="1293"/>
      <c r="AK150" s="1293"/>
      <c r="AL150" s="1293"/>
      <c r="AM150" s="1293"/>
      <c r="AN150" s="1293"/>
      <c r="AO150" s="1293"/>
      <c r="AP150" s="1293"/>
      <c r="AQ150" s="1293"/>
      <c r="AR150" s="1293"/>
      <c r="AS150" s="1293"/>
    </row>
    <row r="151" spans="1:45" ht="15.75">
      <c r="A151" s="1675" t="s">
        <v>151</v>
      </c>
      <c r="B151" s="1675"/>
      <c r="C151" s="1653"/>
      <c r="D151" s="1675"/>
      <c r="E151" s="1872"/>
      <c r="F151" s="1872" t="e">
        <f t="shared" ref="F151:AG151" si="106">F150/F14</f>
        <v>#REF!</v>
      </c>
      <c r="G151" s="1872" t="e">
        <f t="shared" si="106"/>
        <v>#REF!</v>
      </c>
      <c r="H151" s="1872" t="e">
        <f t="shared" si="106"/>
        <v>#REF!</v>
      </c>
      <c r="I151" s="1872" t="e">
        <f t="shared" si="106"/>
        <v>#REF!</v>
      </c>
      <c r="J151" s="1872" t="e">
        <f t="shared" si="106"/>
        <v>#REF!</v>
      </c>
      <c r="K151" s="1872" t="e">
        <f t="shared" si="106"/>
        <v>#REF!</v>
      </c>
      <c r="L151" s="1872" t="e">
        <f t="shared" ca="1" si="106"/>
        <v>#REF!</v>
      </c>
      <c r="M151" s="1872" t="e">
        <f t="shared" ca="1" si="106"/>
        <v>#REF!</v>
      </c>
      <c r="N151" s="1872" t="e">
        <f t="shared" ca="1" si="106"/>
        <v>#DIV/0!</v>
      </c>
      <c r="O151" s="1872" t="e">
        <f t="shared" ca="1" si="106"/>
        <v>#DIV/0!</v>
      </c>
      <c r="P151" s="1872" t="e">
        <f t="shared" si="106"/>
        <v>#DIV/0!</v>
      </c>
      <c r="Q151" s="1872">
        <f t="shared" si="106"/>
        <v>1.8952168706332275</v>
      </c>
      <c r="R151" s="1872">
        <f t="shared" si="106"/>
        <v>1.8957191642069424</v>
      </c>
      <c r="S151" s="1872">
        <f t="shared" si="106"/>
        <v>1.8813749719164232</v>
      </c>
      <c r="T151" s="1872">
        <f t="shared" si="106"/>
        <v>1.8674919761577258</v>
      </c>
      <c r="U151" s="1872">
        <f t="shared" si="106"/>
        <v>2.352428964252979</v>
      </c>
      <c r="V151" s="1872">
        <f t="shared" si="106"/>
        <v>2.8376470588235296</v>
      </c>
      <c r="W151" s="1872">
        <f t="shared" si="106"/>
        <v>2.5107913669064748</v>
      </c>
      <c r="X151" s="1872">
        <f t="shared" si="106"/>
        <v>3.1691542288557213</v>
      </c>
      <c r="Y151" s="1872">
        <f t="shared" si="106"/>
        <v>3.0586117986567243</v>
      </c>
      <c r="Z151" s="1872">
        <f t="shared" si="106"/>
        <v>3.3150419495610612</v>
      </c>
      <c r="AA151" s="1872">
        <f t="shared" ca="1" si="106"/>
        <v>2.4827377017796555</v>
      </c>
      <c r="AB151" s="1872">
        <f t="shared" ca="1" si="106"/>
        <v>2.2722745797198325</v>
      </c>
      <c r="AC151" s="1872">
        <f t="shared" ca="1" si="106"/>
        <v>2.3412920351226498</v>
      </c>
      <c r="AD151" s="1872">
        <f t="shared" ca="1" si="106"/>
        <v>2.3505226738028977</v>
      </c>
      <c r="AE151" s="1872">
        <f t="shared" ca="1" si="106"/>
        <v>2.3466767086413629</v>
      </c>
      <c r="AF151" s="1872">
        <f t="shared" ca="1" si="106"/>
        <v>2.3203975020181051</v>
      </c>
      <c r="AG151" s="1872">
        <f t="shared" ca="1" si="106"/>
        <v>2.288343061579857</v>
      </c>
      <c r="AH151" s="1293"/>
      <c r="AI151" s="1293"/>
      <c r="AJ151" s="1293"/>
      <c r="AK151" s="1293"/>
      <c r="AL151" s="1293"/>
      <c r="AM151" s="1293"/>
      <c r="AN151" s="1293"/>
      <c r="AO151" s="1293"/>
      <c r="AP151" s="1293"/>
      <c r="AQ151" s="1293"/>
      <c r="AR151" s="1293"/>
      <c r="AS151" s="1293"/>
    </row>
    <row r="152" spans="1:45" ht="15.75">
      <c r="A152" s="1653"/>
      <c r="B152" s="1653"/>
      <c r="C152" s="1653"/>
      <c r="D152" s="1653"/>
      <c r="E152" s="1653"/>
      <c r="F152" s="1653"/>
      <c r="G152" s="1653"/>
      <c r="H152" s="1653"/>
      <c r="I152" s="1653"/>
      <c r="J152" s="1653"/>
      <c r="K152" s="1653"/>
      <c r="L152" s="1653"/>
      <c r="M152" s="1653"/>
      <c r="N152" s="1653"/>
      <c r="O152" s="1653"/>
      <c r="P152" s="1653"/>
      <c r="Q152" s="1653"/>
      <c r="R152" s="1653"/>
      <c r="S152" s="1653"/>
      <c r="T152" s="1653"/>
      <c r="U152" s="1653"/>
      <c r="V152" s="1653"/>
      <c r="W152" s="1653"/>
      <c r="X152" s="1653"/>
      <c r="Y152" s="1653"/>
      <c r="Z152" s="1653"/>
      <c r="AA152" s="1653"/>
      <c r="AB152" s="1653"/>
      <c r="AC152" s="1653"/>
      <c r="AD152" s="1653"/>
      <c r="AE152" s="1653"/>
      <c r="AF152" s="1653"/>
      <c r="AG152" s="1653"/>
      <c r="AH152" s="1293"/>
      <c r="AI152" s="1293"/>
      <c r="AJ152" s="1293"/>
      <c r="AK152" s="1293"/>
      <c r="AL152" s="1293"/>
      <c r="AM152" s="1293"/>
      <c r="AN152" s="1293"/>
      <c r="AO152" s="1293"/>
      <c r="AP152" s="1293"/>
      <c r="AQ152" s="1293"/>
      <c r="AR152" s="1293"/>
      <c r="AS152" s="1293"/>
    </row>
    <row r="153" spans="1:45" ht="15.75">
      <c r="A153" s="1653" t="s">
        <v>152</v>
      </c>
      <c r="B153" s="1653"/>
      <c r="C153" s="1653"/>
      <c r="D153" s="1925"/>
      <c r="E153" s="1925"/>
      <c r="F153" s="1925">
        <f t="shared" ref="F153:P153" si="107">+IF(F148-F131=0,"OK",F148-F131)</f>
        <v>2.2737367544323206E-13</v>
      </c>
      <c r="G153" s="1925">
        <f t="shared" si="107"/>
        <v>4.5474735088646412E-13</v>
      </c>
      <c r="H153" s="1925" t="str">
        <f t="shared" si="107"/>
        <v>OK</v>
      </c>
      <c r="I153" s="1925">
        <f t="shared" si="107"/>
        <v>-0.20100000000002183</v>
      </c>
      <c r="J153" s="1925">
        <f t="shared" si="107"/>
        <v>-0.70200000000022555</v>
      </c>
      <c r="K153" s="1925">
        <f t="shared" si="107"/>
        <v>0.72199999999975262</v>
      </c>
      <c r="L153" s="1925">
        <f t="shared" ca="1" si="107"/>
        <v>1.0630000000001019</v>
      </c>
      <c r="M153" s="1925">
        <f t="shared" ca="1" si="107"/>
        <v>-4.9139999999988504</v>
      </c>
      <c r="N153" s="1925" t="str">
        <f t="shared" ca="1" si="107"/>
        <v>OK</v>
      </c>
      <c r="O153" s="1925" t="str">
        <f t="shared" ca="1" si="107"/>
        <v>OK</v>
      </c>
      <c r="P153" s="1925" t="str">
        <f t="shared" si="107"/>
        <v>OK</v>
      </c>
      <c r="Q153" s="1925" t="str">
        <f t="shared" ref="Q153:AG153" si="108">+IF(Q148-Q131=0,"OK",IF(AND(Q148-Q131&gt;-2,Q148-Q131&lt;2)=TRUE,"OK",Q148-Q131))</f>
        <v>OK</v>
      </c>
      <c r="R153" s="1925" t="str">
        <f t="shared" si="108"/>
        <v>OK</v>
      </c>
      <c r="S153" s="1925" t="str">
        <f t="shared" si="108"/>
        <v>OK</v>
      </c>
      <c r="T153" s="1925" t="str">
        <f t="shared" si="108"/>
        <v>OK</v>
      </c>
      <c r="U153" s="1925" t="str">
        <f t="shared" si="108"/>
        <v>OK</v>
      </c>
      <c r="V153" s="1925" t="str">
        <f t="shared" si="108"/>
        <v>OK</v>
      </c>
      <c r="W153" s="1925" t="str">
        <f t="shared" si="108"/>
        <v>OK</v>
      </c>
      <c r="X153" s="1925" t="str">
        <f t="shared" si="108"/>
        <v>OK</v>
      </c>
      <c r="Y153" s="1925" t="str">
        <f t="shared" si="108"/>
        <v>OK</v>
      </c>
      <c r="Z153" s="1925" t="str">
        <f t="shared" si="108"/>
        <v>OK</v>
      </c>
      <c r="AA153" s="1925" t="str">
        <f t="shared" si="108"/>
        <v>OK</v>
      </c>
      <c r="AB153" s="1925">
        <f t="shared" ca="1" si="108"/>
        <v>-82.000000000001819</v>
      </c>
      <c r="AC153" s="1925">
        <f t="shared" ca="1" si="108"/>
        <v>-82</v>
      </c>
      <c r="AD153" s="1925">
        <f t="shared" ca="1" si="108"/>
        <v>-82</v>
      </c>
      <c r="AE153" s="1925">
        <f t="shared" ca="1" si="108"/>
        <v>-82</v>
      </c>
      <c r="AF153" s="1925">
        <f t="shared" ca="1" si="108"/>
        <v>-81.999999999998181</v>
      </c>
      <c r="AG153" s="1925">
        <f t="shared" ca="1" si="108"/>
        <v>-81.999999999998181</v>
      </c>
      <c r="AH153" s="1293"/>
      <c r="AI153" s="1293"/>
      <c r="AJ153" s="1293"/>
      <c r="AK153" s="1293"/>
      <c r="AL153" s="1293"/>
      <c r="AM153" s="1293"/>
      <c r="AN153" s="1293"/>
      <c r="AO153" s="1293"/>
      <c r="AP153" s="1293"/>
      <c r="AQ153" s="1293"/>
      <c r="AR153" s="1293"/>
      <c r="AS153" s="1293"/>
    </row>
    <row r="154" spans="1:45" ht="15.75">
      <c r="A154" s="1926" t="s">
        <v>153</v>
      </c>
      <c r="B154" s="1926"/>
      <c r="C154" s="1926"/>
      <c r="D154" s="1653"/>
      <c r="E154" s="1653"/>
      <c r="F154" s="1927"/>
      <c r="G154" s="1927">
        <f t="shared" ref="G154:AG154" si="109">IF(G153="OK", 0, G153-F153)</f>
        <v>2.2737367544323206E-13</v>
      </c>
      <c r="H154" s="1927">
        <f t="shared" si="109"/>
        <v>0</v>
      </c>
      <c r="I154" s="1927" t="e">
        <f t="shared" si="109"/>
        <v>#VALUE!</v>
      </c>
      <c r="J154" s="1927">
        <f t="shared" si="109"/>
        <v>-0.50100000000020373</v>
      </c>
      <c r="K154" s="1927">
        <f t="shared" si="109"/>
        <v>1.4239999999999782</v>
      </c>
      <c r="L154" s="1927">
        <f t="shared" ca="1" si="109"/>
        <v>0.34100000000034925</v>
      </c>
      <c r="M154" s="1927">
        <f t="shared" ca="1" si="109"/>
        <v>-5.9769999999989523</v>
      </c>
      <c r="N154" s="1927">
        <f t="shared" ca="1" si="109"/>
        <v>0</v>
      </c>
      <c r="O154" s="1927">
        <f t="shared" ca="1" si="109"/>
        <v>0</v>
      </c>
      <c r="P154" s="1927">
        <f t="shared" si="109"/>
        <v>0</v>
      </c>
      <c r="Q154" s="1927">
        <f t="shared" si="109"/>
        <v>0</v>
      </c>
      <c r="R154" s="1927">
        <f t="shared" si="109"/>
        <v>0</v>
      </c>
      <c r="S154" s="1927">
        <f t="shared" si="109"/>
        <v>0</v>
      </c>
      <c r="T154" s="1927">
        <f t="shared" si="109"/>
        <v>0</v>
      </c>
      <c r="U154" s="1927">
        <f t="shared" si="109"/>
        <v>0</v>
      </c>
      <c r="V154" s="1927">
        <f t="shared" si="109"/>
        <v>0</v>
      </c>
      <c r="W154" s="1927">
        <f t="shared" si="109"/>
        <v>0</v>
      </c>
      <c r="X154" s="1927">
        <f t="shared" si="109"/>
        <v>0</v>
      </c>
      <c r="Y154" s="1927">
        <f t="shared" si="109"/>
        <v>0</v>
      </c>
      <c r="Z154" s="1927">
        <f t="shared" si="109"/>
        <v>0</v>
      </c>
      <c r="AA154" s="1927">
        <f t="shared" si="109"/>
        <v>0</v>
      </c>
      <c r="AB154" s="1927" t="e">
        <f t="shared" ca="1" si="109"/>
        <v>#VALUE!</v>
      </c>
      <c r="AC154" s="1927">
        <f t="shared" ca="1" si="109"/>
        <v>1.8189894035458565E-12</v>
      </c>
      <c r="AD154" s="1927">
        <f t="shared" ca="1" si="109"/>
        <v>0</v>
      </c>
      <c r="AE154" s="1927">
        <f t="shared" ca="1" si="109"/>
        <v>0</v>
      </c>
      <c r="AF154" s="1927">
        <f t="shared" ca="1" si="109"/>
        <v>1.8189894035458565E-12</v>
      </c>
      <c r="AG154" s="1927">
        <f t="shared" ca="1" si="109"/>
        <v>0</v>
      </c>
      <c r="AI154" s="1293"/>
      <c r="AJ154" s="1293"/>
      <c r="AK154" s="1293"/>
      <c r="AL154" s="1293"/>
      <c r="AM154" s="1293"/>
      <c r="AN154" s="1293"/>
      <c r="AO154" s="1293"/>
      <c r="AP154" s="1293"/>
      <c r="AQ154" s="1293"/>
      <c r="AR154" s="1293"/>
      <c r="AS154" s="1293"/>
    </row>
    <row r="155" spans="1:45" ht="15.75">
      <c r="A155" s="1653"/>
      <c r="B155" s="1653"/>
      <c r="C155" s="1653"/>
      <c r="D155" s="1653"/>
      <c r="E155" s="1653"/>
      <c r="F155" s="1653" t="s">
        <v>1823</v>
      </c>
      <c r="G155" s="1653"/>
      <c r="H155" s="1653"/>
      <c r="I155" s="1653"/>
      <c r="J155" s="1653"/>
      <c r="K155" s="1653"/>
      <c r="L155" s="1653"/>
      <c r="M155" s="1653"/>
      <c r="N155" s="1653"/>
      <c r="O155" s="1653"/>
      <c r="P155" s="1653"/>
      <c r="Q155" s="1653"/>
      <c r="R155" s="1653"/>
      <c r="S155" s="1653"/>
      <c r="T155" s="1653"/>
      <c r="U155" s="1653"/>
      <c r="V155" s="1653"/>
      <c r="W155" s="1653"/>
      <c r="X155" s="1653"/>
      <c r="Y155" s="1653"/>
      <c r="Z155" s="1653"/>
      <c r="AA155" s="1653"/>
      <c r="AB155" s="1653"/>
      <c r="AC155" s="1653"/>
      <c r="AD155" s="1653"/>
      <c r="AE155" s="1653"/>
      <c r="AF155" s="1653"/>
      <c r="AG155" s="1653"/>
      <c r="AH155" s="1293"/>
      <c r="AI155" s="1293"/>
      <c r="AJ155" s="1293"/>
      <c r="AK155" s="1293"/>
      <c r="AL155" s="1293"/>
      <c r="AM155" s="1293"/>
      <c r="AN155" s="1293"/>
      <c r="AO155" s="1293"/>
      <c r="AP155" s="1293"/>
      <c r="AQ155" s="1293"/>
      <c r="AR155" s="1293"/>
      <c r="AS155" s="1293"/>
    </row>
    <row r="156" spans="1:45" ht="15.75">
      <c r="A156" s="1653"/>
      <c r="B156" s="1653"/>
      <c r="C156" s="1653"/>
      <c r="D156" s="1653"/>
      <c r="E156" s="1653"/>
      <c r="F156" s="1653"/>
      <c r="G156" s="1653"/>
      <c r="H156" s="1653"/>
      <c r="I156" s="1653"/>
      <c r="J156" s="1653"/>
      <c r="K156" s="1653"/>
      <c r="L156" s="1653"/>
      <c r="M156" s="1653"/>
      <c r="N156" s="1653"/>
      <c r="O156" s="1653"/>
      <c r="P156" s="1653"/>
      <c r="Q156" s="1653"/>
      <c r="R156" s="1653"/>
      <c r="S156" s="1653"/>
      <c r="T156" s="1653"/>
      <c r="U156" s="1653"/>
      <c r="V156" s="1653"/>
      <c r="W156" s="1653"/>
      <c r="X156" s="1653"/>
      <c r="Y156" s="1653"/>
      <c r="Z156" s="1653"/>
      <c r="AA156" s="1653"/>
      <c r="AB156" s="1653"/>
      <c r="AC156" s="1653"/>
      <c r="AD156" s="1653"/>
      <c r="AE156" s="1653"/>
      <c r="AF156" s="1653"/>
      <c r="AG156" s="1653"/>
      <c r="AH156" s="1293"/>
      <c r="AI156" s="1293"/>
      <c r="AJ156" s="1293"/>
      <c r="AK156" s="1293"/>
      <c r="AL156" s="1293"/>
      <c r="AM156" s="1293"/>
      <c r="AN156" s="1293"/>
      <c r="AO156" s="1293"/>
      <c r="AP156" s="1293"/>
      <c r="AQ156" s="1293"/>
      <c r="AR156" s="1293"/>
      <c r="AS156" s="1293"/>
    </row>
    <row r="157" spans="1:45" ht="15.75">
      <c r="A157" s="1653"/>
      <c r="B157" s="1653"/>
      <c r="C157" s="1653"/>
      <c r="D157" s="1653"/>
      <c r="E157" s="1653"/>
      <c r="F157" s="1653"/>
      <c r="G157" s="1653"/>
      <c r="H157" s="1653"/>
      <c r="I157" s="1653"/>
      <c r="J157" s="1653"/>
      <c r="K157" s="1653"/>
      <c r="L157" s="1653"/>
      <c r="M157" s="1653"/>
      <c r="N157" s="1653"/>
      <c r="O157" s="1653"/>
      <c r="P157" s="1653"/>
      <c r="Q157" s="1653"/>
      <c r="R157" s="1653"/>
      <c r="S157" s="1653"/>
      <c r="T157" s="1653"/>
      <c r="U157" s="1653"/>
      <c r="V157" s="1653"/>
      <c r="W157" s="1653"/>
      <c r="X157" s="1653"/>
      <c r="Y157" s="1653"/>
      <c r="Z157" s="1653"/>
      <c r="AA157" s="1653"/>
      <c r="AB157" s="1653"/>
      <c r="AC157" s="1653"/>
      <c r="AD157" s="1653"/>
      <c r="AE157" s="1653"/>
      <c r="AF157" s="1653"/>
      <c r="AG157" s="1653"/>
      <c r="AH157" s="1293"/>
      <c r="AI157" s="1293"/>
      <c r="AJ157" s="1293"/>
      <c r="AK157" s="1293"/>
      <c r="AL157" s="1293"/>
      <c r="AM157" s="1293"/>
      <c r="AN157" s="1293"/>
      <c r="AO157" s="1293"/>
      <c r="AP157" s="1293"/>
      <c r="AQ157" s="1293"/>
      <c r="AR157" s="1293"/>
      <c r="AS157" s="1293"/>
    </row>
    <row r="158" spans="1:45" ht="15.75">
      <c r="A158" s="1653"/>
      <c r="B158" s="1653"/>
      <c r="C158" s="1653"/>
      <c r="D158" s="1653"/>
      <c r="E158" s="1653"/>
      <c r="F158" s="1653"/>
      <c r="G158" s="1653"/>
      <c r="H158" s="1653"/>
      <c r="I158" s="1653"/>
      <c r="J158" s="1653"/>
      <c r="K158" s="1653"/>
      <c r="L158" s="1653"/>
      <c r="M158" s="1653"/>
      <c r="N158" s="1653"/>
      <c r="O158" s="1653"/>
      <c r="P158" s="1653"/>
      <c r="Q158" s="1653"/>
      <c r="R158" s="1653"/>
      <c r="S158" s="1653"/>
      <c r="T158" s="1653"/>
      <c r="U158" s="1653"/>
      <c r="V158" s="1653"/>
      <c r="W158" s="1653"/>
      <c r="X158" s="1653"/>
      <c r="Y158" s="1653"/>
      <c r="Z158" s="1653"/>
      <c r="AA158" s="1653"/>
      <c r="AB158" s="1653"/>
      <c r="AC158" s="1653"/>
      <c r="AD158" s="1653"/>
      <c r="AE158" s="1653"/>
      <c r="AF158" s="1653"/>
      <c r="AG158" s="1653"/>
      <c r="AH158" s="1293"/>
      <c r="AI158" s="1293"/>
      <c r="AJ158" s="1293"/>
      <c r="AK158" s="1293"/>
      <c r="AL158" s="1293"/>
      <c r="AM158" s="1293"/>
      <c r="AN158" s="1293"/>
      <c r="AO158" s="1293"/>
      <c r="AP158" s="1293"/>
      <c r="AQ158" s="1293"/>
      <c r="AR158" s="1293"/>
      <c r="AS158" s="1293"/>
    </row>
    <row r="159" spans="1:45" ht="15.75">
      <c r="A159" s="1653"/>
      <c r="B159" s="1653"/>
      <c r="C159" s="1653"/>
      <c r="D159" s="1653"/>
      <c r="E159" s="1653"/>
      <c r="F159" s="1653"/>
      <c r="G159" s="1653"/>
      <c r="H159" s="1653"/>
      <c r="I159" s="1653"/>
      <c r="J159" s="1653"/>
      <c r="K159" s="1653"/>
      <c r="L159" s="1653"/>
      <c r="M159" s="1653"/>
      <c r="N159" s="1653"/>
      <c r="O159" s="1653"/>
      <c r="P159" s="1653"/>
      <c r="Q159" s="1653"/>
      <c r="R159" s="1653"/>
      <c r="S159" s="1653"/>
      <c r="T159" s="1653"/>
      <c r="U159" s="1653"/>
      <c r="V159" s="1653"/>
      <c r="W159" s="1653"/>
      <c r="X159" s="1653"/>
      <c r="Y159" s="1653"/>
      <c r="Z159" s="1653"/>
      <c r="AA159" s="1653"/>
      <c r="AB159" s="1653"/>
      <c r="AC159" s="1653"/>
      <c r="AD159" s="1653"/>
      <c r="AE159" s="1653"/>
      <c r="AF159" s="1653"/>
      <c r="AG159" s="1653"/>
      <c r="AH159" s="1293"/>
      <c r="AI159" s="1293"/>
      <c r="AJ159" s="1293"/>
      <c r="AK159" s="1293"/>
      <c r="AL159" s="1293"/>
      <c r="AM159" s="1293"/>
      <c r="AN159" s="1293"/>
      <c r="AO159" s="1293"/>
      <c r="AP159" s="1293"/>
      <c r="AQ159" s="1293"/>
      <c r="AR159" s="1293"/>
      <c r="AS159" s="1293"/>
    </row>
    <row r="160" spans="1:45" ht="15.75">
      <c r="A160" s="1928" t="s">
        <v>154</v>
      </c>
      <c r="B160" s="1928"/>
      <c r="C160" s="1909"/>
      <c r="D160" s="1929"/>
      <c r="E160" s="1929"/>
      <c r="F160" s="1916">
        <f t="shared" ref="F160:AG160" si="110">F117</f>
        <v>2003</v>
      </c>
      <c r="G160" s="1916">
        <f t="shared" si="110"/>
        <v>2004</v>
      </c>
      <c r="H160" s="1916">
        <f t="shared" si="110"/>
        <v>2005</v>
      </c>
      <c r="I160" s="1916">
        <f t="shared" si="110"/>
        <v>2006</v>
      </c>
      <c r="J160" s="1916">
        <f t="shared" si="110"/>
        <v>2007</v>
      </c>
      <c r="K160" s="1916">
        <f t="shared" si="110"/>
        <v>2008</v>
      </c>
      <c r="L160" s="1916">
        <f t="shared" si="110"/>
        <v>2009</v>
      </c>
      <c r="M160" s="1916">
        <f t="shared" si="110"/>
        <v>2010</v>
      </c>
      <c r="N160" s="1916">
        <f t="shared" si="110"/>
        <v>2011</v>
      </c>
      <c r="O160" s="1916">
        <f t="shared" si="110"/>
        <v>2012</v>
      </c>
      <c r="P160" s="1916">
        <f t="shared" si="110"/>
        <v>2013</v>
      </c>
      <c r="Q160" s="1916">
        <f t="shared" si="110"/>
        <v>2014</v>
      </c>
      <c r="R160" s="1916">
        <f t="shared" si="110"/>
        <v>2015</v>
      </c>
      <c r="S160" s="1916">
        <f t="shared" si="110"/>
        <v>2016</v>
      </c>
      <c r="T160" s="1916">
        <f t="shared" si="110"/>
        <v>2017</v>
      </c>
      <c r="U160" s="1916">
        <f t="shared" si="110"/>
        <v>2018</v>
      </c>
      <c r="V160" s="1917">
        <f t="shared" si="110"/>
        <v>2019</v>
      </c>
      <c r="W160" s="1917">
        <f t="shared" si="110"/>
        <v>2020</v>
      </c>
      <c r="X160" s="1917">
        <f t="shared" si="110"/>
        <v>2021</v>
      </c>
      <c r="Y160" s="1917">
        <f t="shared" si="110"/>
        <v>2022</v>
      </c>
      <c r="Z160" s="1917">
        <f t="shared" si="110"/>
        <v>2023</v>
      </c>
      <c r="AA160" s="1917">
        <f t="shared" si="110"/>
        <v>2024</v>
      </c>
      <c r="AB160" s="1917">
        <f t="shared" si="110"/>
        <v>2025</v>
      </c>
      <c r="AC160" s="1917">
        <f t="shared" si="110"/>
        <v>2026</v>
      </c>
      <c r="AD160" s="1917">
        <f t="shared" si="110"/>
        <v>2027</v>
      </c>
      <c r="AE160" s="1917">
        <f t="shared" si="110"/>
        <v>2028</v>
      </c>
      <c r="AF160" s="1917">
        <f t="shared" si="110"/>
        <v>2029</v>
      </c>
      <c r="AG160" s="1917">
        <f t="shared" si="110"/>
        <v>2030</v>
      </c>
      <c r="AH160" s="1293"/>
      <c r="AI160" s="1293"/>
      <c r="AJ160" s="1293"/>
      <c r="AK160" s="1293"/>
      <c r="AL160" s="1293"/>
      <c r="AM160" s="1293"/>
      <c r="AN160" s="1293"/>
      <c r="AO160" s="1293"/>
      <c r="AP160" s="1293"/>
      <c r="AQ160" s="1293"/>
      <c r="AR160" s="1293"/>
      <c r="AS160" s="1293"/>
    </row>
    <row r="161" spans="1:45" ht="15.75">
      <c r="A161" s="1653"/>
      <c r="B161" s="1653"/>
      <c r="C161" s="1653"/>
      <c r="D161" s="1675"/>
      <c r="E161" s="1675"/>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D161" s="1666"/>
      <c r="AE161" s="1666"/>
      <c r="AF161" s="1666"/>
      <c r="AG161" s="1666"/>
      <c r="AH161" s="1293"/>
      <c r="AI161" s="1293"/>
      <c r="AJ161" s="1293"/>
      <c r="AK161" s="1293"/>
      <c r="AL161" s="1293"/>
      <c r="AM161" s="1293"/>
      <c r="AN161" s="1293"/>
      <c r="AO161" s="1293"/>
      <c r="AP161" s="1293"/>
      <c r="AQ161" s="1293"/>
      <c r="AR161" s="1293"/>
      <c r="AS161" s="1293"/>
    </row>
    <row r="162" spans="1:45" ht="15.75">
      <c r="A162" s="1684" t="s">
        <v>2097</v>
      </c>
      <c r="B162" s="1684"/>
      <c r="C162" s="1684"/>
      <c r="D162" s="1713"/>
      <c r="E162" s="1713"/>
      <c r="F162" s="1713" t="e">
        <f t="shared" ref="F162:P162" si="111">F42-F27-F37</f>
        <v>#REF!</v>
      </c>
      <c r="G162" s="1713" t="e">
        <f t="shared" si="111"/>
        <v>#REF!</v>
      </c>
      <c r="H162" s="1713" t="e">
        <f t="shared" si="111"/>
        <v>#REF!</v>
      </c>
      <c r="I162" s="1713" t="e">
        <f t="shared" si="111"/>
        <v>#REF!</v>
      </c>
      <c r="J162" s="1713" t="e">
        <f t="shared" si="111"/>
        <v>#REF!</v>
      </c>
      <c r="K162" s="1713" t="e">
        <f t="shared" si="111"/>
        <v>#REF!</v>
      </c>
      <c r="L162" s="1713" t="e">
        <f t="shared" si="111"/>
        <v>#REF!</v>
      </c>
      <c r="M162" s="1713" t="e">
        <f t="shared" si="111"/>
        <v>#REF!</v>
      </c>
      <c r="N162" s="1713">
        <f t="shared" si="111"/>
        <v>-172</v>
      </c>
      <c r="O162" s="1713">
        <f t="shared" si="111"/>
        <v>-235</v>
      </c>
      <c r="P162" s="1713">
        <f t="shared" si="111"/>
        <v>-284</v>
      </c>
      <c r="Q162" s="1713">
        <f>Q42</f>
        <v>3052.5211117787239</v>
      </c>
      <c r="R162" s="1713">
        <f>R42-R27-R37</f>
        <v>623.63094423153962</v>
      </c>
      <c r="S162" s="1713">
        <f>S42-S27-S37</f>
        <v>415.5</v>
      </c>
      <c r="T162" s="1713">
        <f>T42-T27-T37</f>
        <v>390</v>
      </c>
      <c r="U162" s="1713">
        <f t="shared" ref="U162:AG162" si="112">U42-U27-U37-U33</f>
        <v>466</v>
      </c>
      <c r="V162" s="1713">
        <f t="shared" si="112"/>
        <v>319</v>
      </c>
      <c r="W162" s="1713">
        <f t="shared" si="112"/>
        <v>249</v>
      </c>
      <c r="X162" s="1713">
        <f t="shared" si="112"/>
        <v>393</v>
      </c>
      <c r="Y162" s="1713">
        <f t="shared" si="112"/>
        <v>317.13499999999976</v>
      </c>
      <c r="Z162" s="1713">
        <f t="shared" si="112"/>
        <v>131.28549999999996</v>
      </c>
      <c r="AA162" s="1713">
        <f t="shared" ca="1" si="112"/>
        <v>618.03240000000039</v>
      </c>
      <c r="AB162" s="1713">
        <f t="shared" ca="1" si="112"/>
        <v>540.20671953415683</v>
      </c>
      <c r="AC162" s="1713">
        <f t="shared" ca="1" si="112"/>
        <v>907.60876239021218</v>
      </c>
      <c r="AD162" s="1713">
        <f t="shared" ca="1" si="112"/>
        <v>890.94824386261291</v>
      </c>
      <c r="AE162" s="1713">
        <f t="shared" ca="1" si="112"/>
        <v>917.6664971851784</v>
      </c>
      <c r="AF162" s="1713">
        <f t="shared" ca="1" si="112"/>
        <v>966.82213462158757</v>
      </c>
      <c r="AG162" s="1713">
        <f t="shared" ca="1" si="112"/>
        <v>1028.7528327515406</v>
      </c>
      <c r="AH162" s="1293"/>
      <c r="AI162" s="1293"/>
      <c r="AJ162" s="1293"/>
      <c r="AK162" s="1293"/>
      <c r="AL162" s="1293"/>
      <c r="AM162" s="1293"/>
      <c r="AN162" s="1293"/>
      <c r="AO162" s="1293"/>
      <c r="AP162" s="1293"/>
      <c r="AQ162" s="1293"/>
      <c r="AR162" s="1293"/>
      <c r="AS162" s="1293"/>
    </row>
    <row r="163" spans="1:45" ht="15.75">
      <c r="A163" s="1653" t="s">
        <v>3948</v>
      </c>
      <c r="B163" s="1684"/>
      <c r="C163" s="1684"/>
      <c r="D163" s="1713"/>
      <c r="E163" s="1713"/>
      <c r="F163" s="1713"/>
      <c r="G163" s="1713"/>
      <c r="H163" s="1713"/>
      <c r="I163" s="1713"/>
      <c r="J163" s="1713"/>
      <c r="K163" s="1713"/>
      <c r="L163" s="1713"/>
      <c r="M163" s="1713"/>
      <c r="N163" s="1713"/>
      <c r="O163" s="1713"/>
      <c r="P163" s="1675">
        <f>P162+P85</f>
        <v>-173</v>
      </c>
      <c r="Q163" s="1675">
        <f>Q162+Q85</f>
        <v>802.52111177872393</v>
      </c>
      <c r="R163" s="1675">
        <f t="shared" ref="R163:AG163" si="113">R162</f>
        <v>623.63094423153962</v>
      </c>
      <c r="S163" s="1675">
        <f t="shared" si="113"/>
        <v>415.5</v>
      </c>
      <c r="T163" s="1675">
        <f t="shared" si="113"/>
        <v>390</v>
      </c>
      <c r="U163" s="1675">
        <f t="shared" si="113"/>
        <v>466</v>
      </c>
      <c r="V163" s="1675">
        <f t="shared" si="113"/>
        <v>319</v>
      </c>
      <c r="W163" s="1675">
        <f t="shared" si="113"/>
        <v>249</v>
      </c>
      <c r="X163" s="1675">
        <f t="shared" si="113"/>
        <v>393</v>
      </c>
      <c r="Y163" s="1675">
        <f t="shared" si="113"/>
        <v>317.13499999999976</v>
      </c>
      <c r="Z163" s="1675">
        <f t="shared" si="113"/>
        <v>131.28549999999996</v>
      </c>
      <c r="AA163" s="1675">
        <f t="shared" ca="1" si="113"/>
        <v>618.03240000000039</v>
      </c>
      <c r="AB163" s="1675">
        <f t="shared" ca="1" si="113"/>
        <v>540.20671953415683</v>
      </c>
      <c r="AC163" s="1675">
        <f t="shared" ca="1" si="113"/>
        <v>907.60876239021218</v>
      </c>
      <c r="AD163" s="1675">
        <f t="shared" ca="1" si="113"/>
        <v>890.94824386261291</v>
      </c>
      <c r="AE163" s="1675">
        <f t="shared" ca="1" si="113"/>
        <v>917.6664971851784</v>
      </c>
      <c r="AF163" s="1675">
        <f t="shared" ca="1" si="113"/>
        <v>966.82213462158757</v>
      </c>
      <c r="AG163" s="1675">
        <f t="shared" ca="1" si="113"/>
        <v>1028.7528327515406</v>
      </c>
      <c r="AH163" s="1293"/>
      <c r="AI163" s="1293"/>
      <c r="AJ163" s="1293"/>
      <c r="AK163" s="1293"/>
      <c r="AL163" s="1293"/>
      <c r="AM163" s="1293"/>
      <c r="AN163" s="1293"/>
      <c r="AO163" s="1293"/>
      <c r="AP163" s="1293"/>
      <c r="AQ163" s="1293"/>
      <c r="AR163" s="1293"/>
      <c r="AS163" s="1293"/>
    </row>
    <row r="164" spans="1:45" ht="15.75">
      <c r="A164" s="1930" t="s">
        <v>3905</v>
      </c>
      <c r="B164" s="1684"/>
      <c r="C164" s="1684"/>
      <c r="D164" s="1713"/>
      <c r="E164" s="1713"/>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c r="AA164" s="1713"/>
      <c r="AB164" s="1713"/>
      <c r="AC164" s="1713"/>
      <c r="AD164" s="1713"/>
      <c r="AE164" s="1713"/>
      <c r="AF164" s="1713"/>
      <c r="AG164" s="1713"/>
      <c r="AH164" s="1293"/>
      <c r="AI164" s="1293"/>
      <c r="AJ164" s="1293"/>
      <c r="AK164" s="1293"/>
      <c r="AL164" s="1293"/>
      <c r="AM164" s="1293"/>
      <c r="AN164" s="1293"/>
      <c r="AO164" s="1293"/>
      <c r="AP164" s="1293"/>
      <c r="AQ164" s="1293"/>
      <c r="AR164" s="1293"/>
      <c r="AS164" s="1293"/>
    </row>
    <row r="165" spans="1:45" ht="15.75">
      <c r="A165" s="1931" t="s">
        <v>3907</v>
      </c>
      <c r="B165" s="1684"/>
      <c r="C165" s="1684"/>
      <c r="D165" s="1713"/>
      <c r="E165" s="1713"/>
      <c r="F165" s="1713"/>
      <c r="G165" s="1713"/>
      <c r="H165" s="1713"/>
      <c r="I165" s="1713"/>
      <c r="J165" s="1713"/>
      <c r="K165" s="1713"/>
      <c r="L165" s="1713"/>
      <c r="M165" s="1713"/>
      <c r="N165" s="1713"/>
      <c r="O165" s="1713"/>
      <c r="P165" s="1713"/>
      <c r="Q165" s="1675">
        <f t="shared" ref="Q165:AG165" si="114">Q11</f>
        <v>-258</v>
      </c>
      <c r="R165" s="1675">
        <f t="shared" si="114"/>
        <v>-204</v>
      </c>
      <c r="S165" s="1675">
        <f t="shared" si="114"/>
        <v>-165</v>
      </c>
      <c r="T165" s="1675">
        <f t="shared" si="114"/>
        <v>-147.67599999999999</v>
      </c>
      <c r="U165" s="1675">
        <f t="shared" si="114"/>
        <v>-150.63400000000001</v>
      </c>
      <c r="V165" s="1675">
        <f t="shared" si="114"/>
        <v>-150.72500000000002</v>
      </c>
      <c r="W165" s="1675">
        <f t="shared" si="114"/>
        <v>-139</v>
      </c>
      <c r="X165" s="1675">
        <f t="shared" si="114"/>
        <v>-155</v>
      </c>
      <c r="Y165" s="1675">
        <f t="shared" si="114"/>
        <v>-147.66770000000002</v>
      </c>
      <c r="Z165" s="1675">
        <f t="shared" si="114"/>
        <v>-225.49399999999997</v>
      </c>
      <c r="AA165" s="1675">
        <f t="shared" ca="1" si="114"/>
        <v>-225.49399999999997</v>
      </c>
      <c r="AB165" s="1675">
        <f t="shared" si="114"/>
        <v>-150</v>
      </c>
      <c r="AC165" s="1675">
        <f t="shared" si="114"/>
        <v>-150</v>
      </c>
      <c r="AD165" s="1675">
        <f t="shared" si="114"/>
        <v>-150</v>
      </c>
      <c r="AE165" s="1675">
        <f t="shared" si="114"/>
        <v>-150</v>
      </c>
      <c r="AF165" s="1675">
        <f t="shared" si="114"/>
        <v>-150</v>
      </c>
      <c r="AG165" s="1675">
        <f t="shared" si="114"/>
        <v>-150</v>
      </c>
      <c r="AH165" s="1293"/>
      <c r="AI165" s="1293"/>
      <c r="AJ165" s="1293"/>
      <c r="AK165" s="1293"/>
      <c r="AL165" s="1293"/>
      <c r="AM165" s="1293"/>
      <c r="AN165" s="1293"/>
      <c r="AO165" s="1293"/>
      <c r="AP165" s="1293"/>
      <c r="AQ165" s="1293"/>
      <c r="AR165" s="1293"/>
      <c r="AS165" s="1293"/>
    </row>
    <row r="166" spans="1:45" ht="15.75">
      <c r="A166" s="1653" t="s">
        <v>3951</v>
      </c>
      <c r="B166" s="1684"/>
      <c r="C166" s="1684"/>
      <c r="D166" s="1713"/>
      <c r="E166" s="1713"/>
      <c r="F166" s="1713"/>
      <c r="G166" s="1713"/>
      <c r="H166" s="1713"/>
      <c r="I166" s="1713"/>
      <c r="J166" s="1713"/>
      <c r="K166" s="1713"/>
      <c r="L166" s="1713"/>
      <c r="M166" s="1713"/>
      <c r="N166" s="1713"/>
      <c r="O166" s="1713"/>
      <c r="P166" s="1713"/>
      <c r="Q166" s="1717">
        <v>-50</v>
      </c>
      <c r="R166" s="1717">
        <v>-50</v>
      </c>
      <c r="S166" s="1717">
        <v>-10</v>
      </c>
      <c r="T166" s="1717">
        <v>0</v>
      </c>
      <c r="U166" s="1717">
        <v>0</v>
      </c>
      <c r="V166" s="1717">
        <v>0</v>
      </c>
      <c r="W166" s="1717">
        <v>0</v>
      </c>
      <c r="X166" s="1717">
        <v>0</v>
      </c>
      <c r="Y166" s="1717">
        <v>0</v>
      </c>
      <c r="Z166" s="1717">
        <v>0</v>
      </c>
      <c r="AA166" s="1717">
        <v>0</v>
      </c>
      <c r="AB166" s="1906">
        <v>0</v>
      </c>
      <c r="AC166" s="1906">
        <v>0</v>
      </c>
      <c r="AD166" s="1906">
        <v>0</v>
      </c>
      <c r="AE166" s="1906">
        <v>0</v>
      </c>
      <c r="AF166" s="1906">
        <v>0</v>
      </c>
      <c r="AG166" s="1906">
        <v>0</v>
      </c>
      <c r="AH166" s="1293"/>
      <c r="AI166" s="1293"/>
      <c r="AJ166" s="1293"/>
      <c r="AK166" s="1293"/>
      <c r="AL166" s="1293"/>
      <c r="AM166" s="1293"/>
      <c r="AN166" s="1293"/>
      <c r="AO166" s="1293"/>
      <c r="AP166" s="1293"/>
      <c r="AQ166" s="1293"/>
      <c r="AR166" s="1293"/>
      <c r="AS166" s="1293"/>
    </row>
    <row r="167" spans="1:45" ht="15.75">
      <c r="A167" s="1653" t="s">
        <v>3906</v>
      </c>
      <c r="B167" s="1684"/>
      <c r="C167" s="1684"/>
      <c r="D167" s="1713"/>
      <c r="E167" s="1713"/>
      <c r="F167" s="1713"/>
      <c r="G167" s="1713"/>
      <c r="H167" s="1713"/>
      <c r="I167" s="1713"/>
      <c r="J167" s="1713"/>
      <c r="K167" s="1713"/>
      <c r="L167" s="1713"/>
      <c r="M167" s="1713"/>
      <c r="N167" s="1713"/>
      <c r="O167" s="1713"/>
      <c r="P167" s="1713"/>
      <c r="Q167" s="1675">
        <f t="shared" ref="Q167:V167" si="115">-(Q650+Q651+Q654+Q655+Q658)</f>
        <v>-89.876874999999998</v>
      </c>
      <c r="R167" s="1675">
        <f t="shared" si="115"/>
        <v>-117.50687499999999</v>
      </c>
      <c r="S167" s="1675">
        <f t="shared" si="115"/>
        <v>-102.765</v>
      </c>
      <c r="T167" s="1675">
        <f t="shared" si="115"/>
        <v>-59.236249999999998</v>
      </c>
      <c r="U167" s="1675">
        <f t="shared" si="115"/>
        <v>-29.61</v>
      </c>
      <c r="V167" s="1675">
        <f t="shared" si="115"/>
        <v>-29.459999999999997</v>
      </c>
      <c r="W167" s="1675">
        <f>X167</f>
        <v>-134.60974999999999</v>
      </c>
      <c r="X167" s="1675">
        <f>Y167</f>
        <v>-134.60974999999999</v>
      </c>
      <c r="Y167" s="1675">
        <f t="shared" ref="Y167:AG167" si="116">-Y481</f>
        <v>-134.60974999999999</v>
      </c>
      <c r="Z167" s="1675">
        <f t="shared" si="116"/>
        <v>-123.43375</v>
      </c>
      <c r="AA167" s="1675">
        <f t="shared" si="116"/>
        <v>-148.324375</v>
      </c>
      <c r="AB167" s="1675">
        <f t="shared" si="116"/>
        <v>-156.62125</v>
      </c>
      <c r="AC167" s="1675">
        <f t="shared" si="116"/>
        <v>-156.62125</v>
      </c>
      <c r="AD167" s="1675">
        <f t="shared" si="116"/>
        <v>-156.62125</v>
      </c>
      <c r="AE167" s="1675">
        <f t="shared" si="116"/>
        <v>-156.62125</v>
      </c>
      <c r="AF167" s="1675">
        <f t="shared" si="116"/>
        <v>-156.62125</v>
      </c>
      <c r="AG167" s="1675">
        <f t="shared" si="116"/>
        <v>-156.62125</v>
      </c>
      <c r="AH167" s="1293"/>
      <c r="AI167" s="1293"/>
      <c r="AJ167" s="1293"/>
      <c r="AK167" s="1293"/>
      <c r="AL167" s="1293"/>
      <c r="AM167" s="1293"/>
      <c r="AN167" s="1293"/>
      <c r="AO167" s="1293"/>
      <c r="AP167" s="1293"/>
      <c r="AQ167" s="1293"/>
      <c r="AR167" s="1293"/>
      <c r="AS167" s="1293"/>
    </row>
    <row r="168" spans="1:45" ht="15.75">
      <c r="A168" s="1672" t="s">
        <v>3911</v>
      </c>
      <c r="B168" s="1657"/>
      <c r="C168" s="1657"/>
      <c r="D168" s="1919"/>
      <c r="E168" s="1919"/>
      <c r="F168" s="1919"/>
      <c r="G168" s="1919"/>
      <c r="H168" s="1919"/>
      <c r="I168" s="1919"/>
      <c r="J168" s="1919"/>
      <c r="K168" s="1919"/>
      <c r="L168" s="1919"/>
      <c r="M168" s="1919"/>
      <c r="N168" s="1919"/>
      <c r="O168" s="1919"/>
      <c r="P168" s="1919"/>
      <c r="Q168" s="1705">
        <f t="shared" ref="Q168:AG168" si="117">IF(Q28&gt;0, 0, -Q28)</f>
        <v>0</v>
      </c>
      <c r="R168" s="1705">
        <f t="shared" si="117"/>
        <v>0</v>
      </c>
      <c r="S168" s="1705">
        <f t="shared" si="117"/>
        <v>49</v>
      </c>
      <c r="T168" s="1705">
        <f t="shared" si="117"/>
        <v>86</v>
      </c>
      <c r="U168" s="1705">
        <f t="shared" si="117"/>
        <v>35</v>
      </c>
      <c r="V168" s="1705">
        <f t="shared" si="117"/>
        <v>41</v>
      </c>
      <c r="W168" s="1705">
        <f t="shared" si="117"/>
        <v>1</v>
      </c>
      <c r="X168" s="1705">
        <f t="shared" si="117"/>
        <v>39</v>
      </c>
      <c r="Y168" s="1705">
        <f t="shared" si="117"/>
        <v>0</v>
      </c>
      <c r="Z168" s="1705">
        <f t="shared" si="117"/>
        <v>0</v>
      </c>
      <c r="AA168" s="1705">
        <f t="shared" si="117"/>
        <v>0</v>
      </c>
      <c r="AB168" s="1705">
        <f t="shared" si="117"/>
        <v>0</v>
      </c>
      <c r="AC168" s="1705">
        <f t="shared" si="117"/>
        <v>0</v>
      </c>
      <c r="AD168" s="1705">
        <f t="shared" si="117"/>
        <v>0</v>
      </c>
      <c r="AE168" s="1705">
        <f t="shared" si="117"/>
        <v>0</v>
      </c>
      <c r="AF168" s="1705">
        <f t="shared" si="117"/>
        <v>0</v>
      </c>
      <c r="AG168" s="1705">
        <f t="shared" si="117"/>
        <v>0</v>
      </c>
      <c r="AH168" s="1293"/>
      <c r="AI168" s="1293"/>
      <c r="AJ168" s="1293"/>
      <c r="AK168" s="1293"/>
      <c r="AL168" s="1293"/>
      <c r="AM168" s="1293"/>
      <c r="AN168" s="1293"/>
      <c r="AO168" s="1293"/>
      <c r="AP168" s="1293"/>
      <c r="AQ168" s="1293"/>
      <c r="AR168" s="1293"/>
      <c r="AS168" s="1293"/>
    </row>
    <row r="169" spans="1:45" ht="15.75">
      <c r="A169" s="1653" t="s">
        <v>3908</v>
      </c>
      <c r="B169" s="1684"/>
      <c r="C169" s="1684"/>
      <c r="D169" s="1713"/>
      <c r="E169" s="1713"/>
      <c r="F169" s="1713"/>
      <c r="G169" s="1713"/>
      <c r="H169" s="1713"/>
      <c r="I169" s="1713"/>
      <c r="J169" s="1713"/>
      <c r="K169" s="1713"/>
      <c r="L169" s="1713"/>
      <c r="M169" s="1713"/>
      <c r="N169" s="1713"/>
      <c r="O169" s="1713"/>
      <c r="P169" s="1713"/>
      <c r="Q169" s="1675">
        <f t="shared" ref="Q169:AG169" si="118">SUM(Q165:Q168)</f>
        <v>-397.87687499999998</v>
      </c>
      <c r="R169" s="1675">
        <f t="shared" si="118"/>
        <v>-371.50687499999998</v>
      </c>
      <c r="S169" s="1675">
        <f t="shared" si="118"/>
        <v>-228.76499999999999</v>
      </c>
      <c r="T169" s="1675">
        <f t="shared" si="118"/>
        <v>-120.91224999999997</v>
      </c>
      <c r="U169" s="1675">
        <f t="shared" si="118"/>
        <v>-145.24400000000003</v>
      </c>
      <c r="V169" s="1675">
        <f t="shared" si="118"/>
        <v>-139.18500000000003</v>
      </c>
      <c r="W169" s="1675">
        <f t="shared" si="118"/>
        <v>-272.60974999999996</v>
      </c>
      <c r="X169" s="1675">
        <f t="shared" si="118"/>
        <v>-250.60974999999996</v>
      </c>
      <c r="Y169" s="1675">
        <f t="shared" si="118"/>
        <v>-282.27745000000004</v>
      </c>
      <c r="Z169" s="1675">
        <f t="shared" si="118"/>
        <v>-348.92774999999995</v>
      </c>
      <c r="AA169" s="1675">
        <f t="shared" ca="1" si="118"/>
        <v>-373.81837499999995</v>
      </c>
      <c r="AB169" s="1675">
        <f t="shared" si="118"/>
        <v>-306.62125000000003</v>
      </c>
      <c r="AC169" s="1675">
        <f t="shared" si="118"/>
        <v>-306.62125000000003</v>
      </c>
      <c r="AD169" s="1675">
        <f t="shared" si="118"/>
        <v>-306.62125000000003</v>
      </c>
      <c r="AE169" s="1675">
        <f t="shared" si="118"/>
        <v>-306.62125000000003</v>
      </c>
      <c r="AF169" s="1675">
        <f t="shared" si="118"/>
        <v>-306.62125000000003</v>
      </c>
      <c r="AG169" s="1675">
        <f t="shared" si="118"/>
        <v>-306.62125000000003</v>
      </c>
      <c r="AH169" s="1293"/>
      <c r="AI169" s="1293"/>
      <c r="AJ169" s="1293"/>
      <c r="AK169" s="1293"/>
      <c r="AL169" s="1293"/>
      <c r="AM169" s="1293"/>
      <c r="AN169" s="1293"/>
      <c r="AO169" s="1293"/>
      <c r="AP169" s="1293"/>
      <c r="AQ169" s="1293"/>
      <c r="AR169" s="1293"/>
      <c r="AS169" s="1293"/>
    </row>
    <row r="170" spans="1:45" ht="15.75">
      <c r="A170" s="1653"/>
      <c r="B170" s="1684"/>
      <c r="C170" s="1684"/>
      <c r="D170" s="1713"/>
      <c r="E170" s="1713"/>
      <c r="F170" s="1713"/>
      <c r="G170" s="1713"/>
      <c r="H170" s="1713"/>
      <c r="I170" s="1713"/>
      <c r="J170" s="1713"/>
      <c r="K170" s="1713"/>
      <c r="L170" s="1713"/>
      <c r="M170" s="1713"/>
      <c r="N170" s="1713"/>
      <c r="O170" s="1713"/>
      <c r="P170" s="1713"/>
      <c r="Q170" s="1675"/>
      <c r="R170" s="1713"/>
      <c r="S170" s="1713"/>
      <c r="T170" s="1713"/>
      <c r="U170" s="1713"/>
      <c r="V170" s="1713"/>
      <c r="W170" s="1713"/>
      <c r="X170" s="1713"/>
      <c r="Y170" s="1713"/>
      <c r="Z170" s="1713"/>
      <c r="AA170" s="1713"/>
      <c r="AB170" s="1713"/>
      <c r="AC170" s="1713"/>
      <c r="AD170" s="1713"/>
      <c r="AE170" s="1713"/>
      <c r="AF170" s="1713"/>
      <c r="AG170" s="1713"/>
      <c r="AH170" s="1293"/>
      <c r="AI170" s="1293"/>
      <c r="AJ170" s="1293"/>
      <c r="AK170" s="1293"/>
      <c r="AL170" s="1293"/>
      <c r="AM170" s="1293"/>
      <c r="AN170" s="1293"/>
      <c r="AO170" s="1293"/>
      <c r="AP170" s="1293"/>
      <c r="AQ170" s="1293"/>
      <c r="AR170" s="1293"/>
      <c r="AS170" s="1293"/>
    </row>
    <row r="171" spans="1:45" ht="15.75">
      <c r="A171" s="1684" t="s">
        <v>3909</v>
      </c>
      <c r="B171" s="1684"/>
      <c r="C171" s="1684"/>
      <c r="D171" s="1713"/>
      <c r="E171" s="1713"/>
      <c r="F171" s="1713"/>
      <c r="G171" s="1713"/>
      <c r="H171" s="1713"/>
      <c r="I171" s="1713"/>
      <c r="J171" s="1713"/>
      <c r="K171" s="1713"/>
      <c r="L171" s="1713"/>
      <c r="M171" s="1713"/>
      <c r="N171" s="1713"/>
      <c r="O171" s="1713"/>
      <c r="P171" s="1713"/>
      <c r="Q171" s="1713">
        <f t="shared" ref="Q171:AG171" si="119">Q162-Q169</f>
        <v>3450.3979867787239</v>
      </c>
      <c r="R171" s="1713">
        <f t="shared" si="119"/>
        <v>995.13781923153965</v>
      </c>
      <c r="S171" s="1713">
        <f t="shared" si="119"/>
        <v>644.26499999999999</v>
      </c>
      <c r="T171" s="1713">
        <f t="shared" si="119"/>
        <v>510.91224999999997</v>
      </c>
      <c r="U171" s="1713">
        <f t="shared" si="119"/>
        <v>611.24400000000003</v>
      </c>
      <c r="V171" s="1713">
        <f t="shared" si="119"/>
        <v>458.18500000000006</v>
      </c>
      <c r="W171" s="1713">
        <f t="shared" si="119"/>
        <v>521.60974999999996</v>
      </c>
      <c r="X171" s="1713">
        <f t="shared" si="119"/>
        <v>643.60974999999996</v>
      </c>
      <c r="Y171" s="1713">
        <f t="shared" si="119"/>
        <v>599.41244999999981</v>
      </c>
      <c r="Z171" s="1713">
        <f t="shared" si="119"/>
        <v>480.2132499999999</v>
      </c>
      <c r="AA171" s="1713">
        <f t="shared" ca="1" si="119"/>
        <v>991.85077500000034</v>
      </c>
      <c r="AB171" s="1713">
        <f t="shared" ca="1" si="119"/>
        <v>846.82796953415686</v>
      </c>
      <c r="AC171" s="1713">
        <f t="shared" ca="1" si="119"/>
        <v>1214.2300123902123</v>
      </c>
      <c r="AD171" s="1713">
        <f t="shared" ca="1" si="119"/>
        <v>1197.5694938626129</v>
      </c>
      <c r="AE171" s="1713">
        <f t="shared" ca="1" si="119"/>
        <v>1224.2877471851784</v>
      </c>
      <c r="AF171" s="1713">
        <f t="shared" ca="1" si="119"/>
        <v>1273.4433846215875</v>
      </c>
      <c r="AG171" s="1713">
        <f t="shared" ca="1" si="119"/>
        <v>1335.3740827515408</v>
      </c>
      <c r="AH171" s="1293"/>
      <c r="AI171" s="1293"/>
      <c r="AJ171" s="1293"/>
      <c r="AK171" s="1293"/>
      <c r="AL171" s="1293"/>
      <c r="AM171" s="1293"/>
      <c r="AN171" s="1293"/>
      <c r="AO171" s="1293"/>
      <c r="AP171" s="1293"/>
      <c r="AQ171" s="1293"/>
      <c r="AR171" s="1293"/>
      <c r="AS171" s="1293"/>
    </row>
    <row r="172" spans="1:45" ht="15.75">
      <c r="A172" s="1653" t="s">
        <v>3910</v>
      </c>
      <c r="B172" s="1684"/>
      <c r="C172" s="1684"/>
      <c r="D172" s="1713"/>
      <c r="E172" s="1713"/>
      <c r="F172" s="1713"/>
      <c r="G172" s="1713"/>
      <c r="H172" s="1713"/>
      <c r="I172" s="1713"/>
      <c r="J172" s="1713"/>
      <c r="K172" s="1713"/>
      <c r="L172" s="1713"/>
      <c r="M172" s="1713"/>
      <c r="N172" s="1713"/>
      <c r="O172" s="1713"/>
      <c r="P172" s="1713"/>
      <c r="Q172" s="1932">
        <v>0.27</v>
      </c>
      <c r="R172" s="1932">
        <v>0.27</v>
      </c>
      <c r="S172" s="1932">
        <v>0.27</v>
      </c>
      <c r="T172" s="1932">
        <v>0.27</v>
      </c>
      <c r="U172" s="1932">
        <v>0.27</v>
      </c>
      <c r="V172" s="1932">
        <v>0.27</v>
      </c>
      <c r="W172" s="1932">
        <v>0.27</v>
      </c>
      <c r="X172" s="1932">
        <v>0.27</v>
      </c>
      <c r="Y172" s="1932">
        <v>0.27</v>
      </c>
      <c r="Z172" s="1932">
        <v>0.27</v>
      </c>
      <c r="AA172" s="1932">
        <v>0.27</v>
      </c>
      <c r="AB172" s="1933">
        <v>0.22</v>
      </c>
      <c r="AC172" s="1933">
        <f>AB172</f>
        <v>0.22</v>
      </c>
      <c r="AD172" s="1933">
        <f t="shared" ref="AD172:AG172" si="120">AC172</f>
        <v>0.22</v>
      </c>
      <c r="AE172" s="1933">
        <f t="shared" si="120"/>
        <v>0.22</v>
      </c>
      <c r="AF172" s="1933">
        <f t="shared" si="120"/>
        <v>0.22</v>
      </c>
      <c r="AG172" s="1933">
        <f t="shared" si="120"/>
        <v>0.22</v>
      </c>
      <c r="AH172" s="1293"/>
      <c r="AI172" s="1293"/>
      <c r="AJ172" s="1293"/>
      <c r="AK172" s="1293"/>
      <c r="AL172" s="1293"/>
      <c r="AM172" s="1293"/>
      <c r="AN172" s="1293"/>
      <c r="AO172" s="1293"/>
      <c r="AP172" s="1293"/>
      <c r="AQ172" s="1293"/>
      <c r="AR172" s="1293"/>
      <c r="AS172" s="1293"/>
    </row>
    <row r="173" spans="1:45" ht="15.75">
      <c r="A173" s="1653" t="s">
        <v>3947</v>
      </c>
      <c r="B173" s="1684"/>
      <c r="C173" s="1684"/>
      <c r="D173" s="1713"/>
      <c r="E173" s="1713"/>
      <c r="F173" s="1713"/>
      <c r="G173" s="1713"/>
      <c r="H173" s="1713"/>
      <c r="I173" s="1713"/>
      <c r="J173" s="1713"/>
      <c r="K173" s="1713"/>
      <c r="L173" s="1713"/>
      <c r="M173" s="1713"/>
      <c r="N173" s="1713"/>
      <c r="O173" s="1713"/>
      <c r="P173" s="1713"/>
      <c r="Q173" s="1675">
        <f t="shared" ref="Q173:AG173" si="121">Q172*Q171</f>
        <v>931.60745643025552</v>
      </c>
      <c r="R173" s="1675">
        <f t="shared" si="121"/>
        <v>268.68721119251575</v>
      </c>
      <c r="S173" s="1675">
        <f t="shared" si="121"/>
        <v>173.95155</v>
      </c>
      <c r="T173" s="1675">
        <f t="shared" si="121"/>
        <v>137.94630749999999</v>
      </c>
      <c r="U173" s="1675">
        <f t="shared" si="121"/>
        <v>165.03588000000002</v>
      </c>
      <c r="V173" s="1675">
        <f t="shared" si="121"/>
        <v>123.70995000000002</v>
      </c>
      <c r="W173" s="1675">
        <f t="shared" si="121"/>
        <v>140.8346325</v>
      </c>
      <c r="X173" s="1675">
        <f t="shared" si="121"/>
        <v>173.7746325</v>
      </c>
      <c r="Y173" s="1675">
        <f t="shared" si="121"/>
        <v>161.84136149999995</v>
      </c>
      <c r="Z173" s="1675">
        <f t="shared" si="121"/>
        <v>129.65757749999997</v>
      </c>
      <c r="AA173" s="1675">
        <f t="shared" ca="1" si="121"/>
        <v>267.79970925000009</v>
      </c>
      <c r="AB173" s="1675">
        <f t="shared" ca="1" si="121"/>
        <v>186.30215329751451</v>
      </c>
      <c r="AC173" s="1675">
        <f t="shared" ca="1" si="121"/>
        <v>267.1306027258467</v>
      </c>
      <c r="AD173" s="1675">
        <f t="shared" ca="1" si="121"/>
        <v>263.46528864977483</v>
      </c>
      <c r="AE173" s="1675">
        <f t="shared" ca="1" si="121"/>
        <v>269.34330438073926</v>
      </c>
      <c r="AF173" s="1675">
        <f t="shared" ca="1" si="121"/>
        <v>280.15754461674925</v>
      </c>
      <c r="AG173" s="1675">
        <f t="shared" ca="1" si="121"/>
        <v>293.78229820533898</v>
      </c>
      <c r="AH173" s="1293"/>
      <c r="AI173" s="1293"/>
      <c r="AJ173" s="1293"/>
      <c r="AK173" s="1293"/>
      <c r="AL173" s="1293"/>
      <c r="AM173" s="1293"/>
      <c r="AN173" s="1293"/>
      <c r="AO173" s="1293"/>
      <c r="AP173" s="1293"/>
      <c r="AQ173" s="1293"/>
      <c r="AR173" s="1293"/>
      <c r="AS173" s="1293"/>
    </row>
    <row r="174" spans="1:45" ht="15.75">
      <c r="A174" s="1653" t="s">
        <v>3912</v>
      </c>
      <c r="B174" s="1684"/>
      <c r="C174" s="1684"/>
      <c r="D174" s="1713"/>
      <c r="E174" s="1713"/>
      <c r="F174" s="1713"/>
      <c r="G174" s="1713"/>
      <c r="H174" s="1713"/>
      <c r="I174" s="1713"/>
      <c r="J174" s="1713"/>
      <c r="K174" s="1713"/>
      <c r="L174" s="1713"/>
      <c r="M174" s="1713"/>
      <c r="N174" s="1713"/>
      <c r="O174" s="1713"/>
      <c r="P174" s="1713"/>
      <c r="Q174" s="1717">
        <v>79</v>
      </c>
      <c r="R174" s="1717">
        <v>75</v>
      </c>
      <c r="S174" s="1717">
        <v>70</v>
      </c>
      <c r="T174" s="1717">
        <v>65</v>
      </c>
      <c r="U174" s="1717">
        <v>65</v>
      </c>
      <c r="V174" s="1717">
        <v>65</v>
      </c>
      <c r="W174" s="1717">
        <v>55</v>
      </c>
      <c r="X174" s="2498">
        <v>56</v>
      </c>
      <c r="Y174" s="2498">
        <v>70</v>
      </c>
      <c r="Z174" s="2498">
        <v>81</v>
      </c>
      <c r="AA174" s="1934">
        <f>Z174</f>
        <v>81</v>
      </c>
      <c r="AB174" s="1934">
        <f t="shared" ref="AB174:AG174" si="122">AA174/Z174*AA174</f>
        <v>81</v>
      </c>
      <c r="AC174" s="1934">
        <f t="shared" si="122"/>
        <v>81</v>
      </c>
      <c r="AD174" s="1934">
        <f t="shared" si="122"/>
        <v>81</v>
      </c>
      <c r="AE174" s="1934">
        <f t="shared" si="122"/>
        <v>81</v>
      </c>
      <c r="AF174" s="1934">
        <f t="shared" si="122"/>
        <v>81</v>
      </c>
      <c r="AG174" s="1934">
        <f t="shared" si="122"/>
        <v>81</v>
      </c>
      <c r="AH174" s="1293"/>
      <c r="AI174" s="1293"/>
      <c r="AJ174" s="1293"/>
      <c r="AK174" s="1293"/>
      <c r="AL174" s="1293"/>
      <c r="AM174" s="1293"/>
      <c r="AN174" s="1293"/>
      <c r="AO174" s="1293"/>
      <c r="AP174" s="1293"/>
      <c r="AQ174" s="1293"/>
      <c r="AR174" s="1293"/>
      <c r="AS174" s="1293"/>
    </row>
    <row r="175" spans="1:45" ht="15.75">
      <c r="A175" s="1672" t="s">
        <v>3946</v>
      </c>
      <c r="B175" s="1657"/>
      <c r="C175" s="1657"/>
      <c r="D175" s="1919"/>
      <c r="E175" s="1919"/>
      <c r="F175" s="1919"/>
      <c r="G175" s="1919"/>
      <c r="H175" s="1919"/>
      <c r="I175" s="1919"/>
      <c r="J175" s="1919"/>
      <c r="K175" s="1919"/>
      <c r="L175" s="1919"/>
      <c r="M175" s="1919"/>
      <c r="N175" s="1919"/>
      <c r="O175" s="1919"/>
      <c r="P175" s="1919"/>
      <c r="Q175" s="1705">
        <f>-761+47</f>
        <v>-714</v>
      </c>
      <c r="R175" s="1705">
        <v>-4</v>
      </c>
      <c r="S175" s="1935">
        <v>0</v>
      </c>
      <c r="T175" s="1935">
        <v>0</v>
      </c>
      <c r="U175" s="1935">
        <v>0</v>
      </c>
      <c r="V175" s="1935">
        <v>0</v>
      </c>
      <c r="W175" s="1935">
        <v>0</v>
      </c>
      <c r="X175" s="1935">
        <v>0</v>
      </c>
      <c r="Y175" s="1935">
        <v>0</v>
      </c>
      <c r="Z175" s="1935">
        <v>0</v>
      </c>
      <c r="AA175" s="1935">
        <v>0</v>
      </c>
      <c r="AB175" s="1935">
        <v>0</v>
      </c>
      <c r="AC175" s="1935">
        <v>0</v>
      </c>
      <c r="AD175" s="1935">
        <v>0</v>
      </c>
      <c r="AE175" s="1935">
        <v>0</v>
      </c>
      <c r="AF175" s="1935">
        <v>0</v>
      </c>
      <c r="AG175" s="1935">
        <v>0</v>
      </c>
      <c r="AH175" s="1293"/>
      <c r="AI175" s="1293"/>
      <c r="AJ175" s="1293"/>
      <c r="AK175" s="1293"/>
      <c r="AL175" s="1293"/>
      <c r="AM175" s="1293"/>
      <c r="AN175" s="1293"/>
      <c r="AO175" s="1293"/>
      <c r="AP175" s="1293"/>
      <c r="AQ175" s="1293"/>
      <c r="AR175" s="1293"/>
      <c r="AS175" s="1293"/>
    </row>
    <row r="176" spans="1:45" ht="15.75">
      <c r="A176" s="1653" t="s">
        <v>3913</v>
      </c>
      <c r="B176" s="1684"/>
      <c r="C176" s="1684"/>
      <c r="D176" s="1713"/>
      <c r="E176" s="1713"/>
      <c r="F176" s="1713"/>
      <c r="G176" s="1713"/>
      <c r="H176" s="1713"/>
      <c r="I176" s="1713"/>
      <c r="J176" s="1713"/>
      <c r="K176" s="1713"/>
      <c r="L176" s="1713"/>
      <c r="M176" s="1713"/>
      <c r="N176" s="1713"/>
      <c r="O176" s="1713"/>
      <c r="P176" s="1713">
        <f t="shared" ref="P176:AA176" si="123">-P181</f>
        <v>253</v>
      </c>
      <c r="Q176" s="1713">
        <f t="shared" si="123"/>
        <v>292</v>
      </c>
      <c r="R176" s="1713">
        <f t="shared" si="123"/>
        <v>291</v>
      </c>
      <c r="S176" s="1713">
        <f t="shared" si="123"/>
        <v>251</v>
      </c>
      <c r="T176" s="1713">
        <f t="shared" si="123"/>
        <v>252</v>
      </c>
      <c r="U176" s="1713">
        <f t="shared" si="123"/>
        <v>204</v>
      </c>
      <c r="V176" s="1713">
        <f t="shared" si="123"/>
        <v>222</v>
      </c>
      <c r="W176" s="1713">
        <f t="shared" si="123"/>
        <v>204</v>
      </c>
      <c r="X176" s="1713">
        <f t="shared" si="123"/>
        <v>158</v>
      </c>
      <c r="Y176" s="1713">
        <f t="shared" si="123"/>
        <v>222</v>
      </c>
      <c r="Z176" s="1713">
        <f t="shared" si="123"/>
        <v>424</v>
      </c>
      <c r="AA176" s="1713">
        <f t="shared" si="123"/>
        <v>281</v>
      </c>
      <c r="AB176" s="1713">
        <f t="shared" ref="AB176:AG176" ca="1" si="124">AB173+AB174</f>
        <v>267.30215329751451</v>
      </c>
      <c r="AC176" s="1713">
        <f t="shared" ca="1" si="124"/>
        <v>348.1306027258467</v>
      </c>
      <c r="AD176" s="1713">
        <f t="shared" ca="1" si="124"/>
        <v>344.46528864977483</v>
      </c>
      <c r="AE176" s="1713">
        <f t="shared" ca="1" si="124"/>
        <v>350.34330438073926</v>
      </c>
      <c r="AF176" s="1713">
        <f t="shared" ca="1" si="124"/>
        <v>361.15754461674925</v>
      </c>
      <c r="AG176" s="1713">
        <f t="shared" ca="1" si="124"/>
        <v>374.78229820533898</v>
      </c>
      <c r="AH176" s="1293"/>
      <c r="AI176" s="1293"/>
      <c r="AJ176" s="1293"/>
      <c r="AK176" s="1293"/>
      <c r="AL176" s="1293"/>
      <c r="AM176" s="1293"/>
      <c r="AN176" s="1293"/>
      <c r="AO176" s="1293"/>
      <c r="AP176" s="1293"/>
      <c r="AQ176" s="1293"/>
      <c r="AR176" s="1293"/>
      <c r="AS176" s="1293"/>
    </row>
    <row r="177" spans="1:45" ht="15.75">
      <c r="A177" s="1653"/>
      <c r="B177" s="1684"/>
      <c r="C177" s="1684"/>
      <c r="D177" s="1713"/>
      <c r="E177" s="1713"/>
      <c r="F177" s="1713"/>
      <c r="G177" s="1713"/>
      <c r="H177" s="1713"/>
      <c r="I177" s="1713"/>
      <c r="J177" s="1713"/>
      <c r="K177" s="1713"/>
      <c r="L177" s="1713"/>
      <c r="M177" s="1713"/>
      <c r="N177" s="1713"/>
      <c r="O177" s="1713"/>
      <c r="P177" s="1713"/>
      <c r="Q177" s="1675"/>
      <c r="R177" s="1675"/>
      <c r="S177" s="1675"/>
      <c r="T177" s="1675"/>
      <c r="U177" s="1675"/>
      <c r="V177" s="1675"/>
      <c r="W177" s="1675"/>
      <c r="X177" s="1878"/>
      <c r="Y177" s="1878"/>
      <c r="Z177" s="1878"/>
      <c r="AA177" s="1675"/>
      <c r="AB177" s="1675"/>
      <c r="AC177" s="1675"/>
      <c r="AD177" s="1675"/>
      <c r="AE177" s="1675"/>
      <c r="AF177" s="1675"/>
      <c r="AG177" s="1675"/>
      <c r="AH177" s="1293"/>
      <c r="AI177" s="1293"/>
      <c r="AJ177" s="1293"/>
      <c r="AK177" s="1293"/>
      <c r="AL177" s="1293"/>
      <c r="AM177" s="1293"/>
      <c r="AN177" s="1293"/>
      <c r="AO177" s="1293"/>
      <c r="AP177" s="1293"/>
      <c r="AQ177" s="1293"/>
      <c r="AR177" s="1293"/>
      <c r="AS177" s="1293"/>
    </row>
    <row r="178" spans="1:45" ht="15.75">
      <c r="A178" s="1653" t="s">
        <v>3949</v>
      </c>
      <c r="B178" s="1653"/>
      <c r="C178" s="1653"/>
      <c r="D178" s="1936"/>
      <c r="E178" s="1936"/>
      <c r="F178" s="1665" t="e">
        <f t="shared" ref="F178:O178" si="125">-F181/F162</f>
        <v>#REF!</v>
      </c>
      <c r="G178" s="1665" t="e">
        <f t="shared" si="125"/>
        <v>#REF!</v>
      </c>
      <c r="H178" s="1665" t="e">
        <f t="shared" si="125"/>
        <v>#REF!</v>
      </c>
      <c r="I178" s="1665" t="e">
        <f t="shared" si="125"/>
        <v>#REF!</v>
      </c>
      <c r="J178" s="1665" t="e">
        <f t="shared" si="125"/>
        <v>#REF!</v>
      </c>
      <c r="K178" s="1665" t="e">
        <f t="shared" si="125"/>
        <v>#REF!</v>
      </c>
      <c r="L178" s="1665" t="e">
        <f t="shared" si="125"/>
        <v>#REF!</v>
      </c>
      <c r="M178" s="1665" t="e">
        <f t="shared" si="125"/>
        <v>#REF!</v>
      </c>
      <c r="N178" s="1665">
        <f t="shared" si="125"/>
        <v>-1.2325581395348837</v>
      </c>
      <c r="O178" s="1665">
        <f t="shared" si="125"/>
        <v>-1.3872340425531915</v>
      </c>
      <c r="P178" s="1665">
        <f t="shared" ref="P178:AG178" si="126">P176/P163</f>
        <v>-1.4624277456647399</v>
      </c>
      <c r="Q178" s="1665">
        <f t="shared" si="126"/>
        <v>0.36385335627221732</v>
      </c>
      <c r="R178" s="1665">
        <f t="shared" si="126"/>
        <v>0.46662213075167497</v>
      </c>
      <c r="S178" s="1665">
        <f t="shared" si="126"/>
        <v>0.60409145607701564</v>
      </c>
      <c r="T178" s="1665">
        <f t="shared" si="126"/>
        <v>0.64615384615384619</v>
      </c>
      <c r="U178" s="1665">
        <f t="shared" si="126"/>
        <v>0.43776824034334766</v>
      </c>
      <c r="V178" s="1665">
        <f t="shared" si="126"/>
        <v>0.6959247648902821</v>
      </c>
      <c r="W178" s="1665">
        <f t="shared" si="126"/>
        <v>0.81927710843373491</v>
      </c>
      <c r="X178" s="1665">
        <f t="shared" si="126"/>
        <v>0.4020356234096692</v>
      </c>
      <c r="Y178" s="1665">
        <f t="shared" si="126"/>
        <v>0.70001734277200611</v>
      </c>
      <c r="Z178" s="1665">
        <f t="shared" si="126"/>
        <v>3.2296026598520031</v>
      </c>
      <c r="AA178" s="1665">
        <f t="shared" ca="1" si="126"/>
        <v>0.45466871963346878</v>
      </c>
      <c r="AB178" s="1665">
        <f t="shared" ca="1" si="126"/>
        <v>0.49481456566852872</v>
      </c>
      <c r="AC178" s="1665">
        <f t="shared" ca="1" si="126"/>
        <v>0.38356901911021152</v>
      </c>
      <c r="AD178" s="1665">
        <f t="shared" ca="1" si="126"/>
        <v>0.38662772054679811</v>
      </c>
      <c r="AE178" s="1665">
        <f t="shared" ca="1" si="126"/>
        <v>0.3817762830563951</v>
      </c>
      <c r="AF178" s="1665">
        <f t="shared" ca="1" si="126"/>
        <v>0.37355117522015119</v>
      </c>
      <c r="AG178" s="1665">
        <f t="shared" ca="1" si="126"/>
        <v>0.36430742766747215</v>
      </c>
      <c r="AH178" s="1293"/>
      <c r="AI178" s="1293"/>
      <c r="AJ178" s="1293"/>
      <c r="AK178" s="1293"/>
      <c r="AL178" s="1293"/>
      <c r="AM178" s="1293"/>
      <c r="AN178" s="1293"/>
      <c r="AO178" s="1293"/>
      <c r="AP178" s="1293"/>
      <c r="AQ178" s="1293"/>
      <c r="AR178" s="1293"/>
      <c r="AS178" s="1293"/>
    </row>
    <row r="179" spans="1:45" ht="15.75">
      <c r="A179" s="1653"/>
      <c r="B179" s="1653"/>
      <c r="C179" s="1653"/>
      <c r="D179" s="1653"/>
      <c r="E179" s="1653"/>
      <c r="F179" s="1653"/>
      <c r="G179" s="1653"/>
      <c r="H179" s="1653"/>
      <c r="I179" s="1653"/>
      <c r="J179" s="1653"/>
      <c r="K179" s="1653"/>
      <c r="L179" s="1653"/>
      <c r="M179" s="1653"/>
      <c r="N179" s="1653"/>
      <c r="O179" s="1653"/>
      <c r="P179" s="1653"/>
      <c r="Q179" s="1675"/>
      <c r="R179" s="1653"/>
      <c r="S179" s="1653"/>
      <c r="T179" s="1653"/>
      <c r="U179" s="1653"/>
      <c r="V179" s="1653"/>
      <c r="W179" s="1653"/>
      <c r="X179" s="1653"/>
      <c r="Y179" s="1653"/>
      <c r="Z179" s="1653"/>
      <c r="AA179" s="1653"/>
      <c r="AB179" s="1653"/>
      <c r="AC179" s="1653"/>
      <c r="AD179" s="1653"/>
      <c r="AE179" s="1653"/>
      <c r="AF179" s="1653"/>
      <c r="AG179" s="1653"/>
      <c r="AH179" s="1293"/>
      <c r="AI179" s="1293"/>
      <c r="AJ179" s="1293"/>
      <c r="AK179" s="1293"/>
      <c r="AL179" s="1293"/>
      <c r="AM179" s="1293"/>
      <c r="AN179" s="1293"/>
      <c r="AO179" s="1293"/>
      <c r="AP179" s="1293"/>
      <c r="AQ179" s="1293"/>
      <c r="AR179" s="1293"/>
      <c r="AS179" s="1293"/>
    </row>
    <row r="180" spans="1:45" ht="15.75">
      <c r="A180" s="1653"/>
      <c r="B180" s="1653"/>
      <c r="C180" s="1653"/>
      <c r="D180" s="1653"/>
      <c r="E180" s="1653"/>
      <c r="F180" s="1653"/>
      <c r="G180" s="1653"/>
      <c r="H180" s="1653"/>
      <c r="I180" s="1653"/>
      <c r="J180" s="1653"/>
      <c r="K180" s="1653"/>
      <c r="L180" s="1653"/>
      <c r="M180" s="1653"/>
      <c r="N180" s="1653"/>
      <c r="O180" s="1653"/>
      <c r="P180" s="1653"/>
      <c r="Q180" s="1653"/>
      <c r="R180" s="1653"/>
      <c r="S180" s="1653"/>
      <c r="T180" s="1653"/>
      <c r="U180" s="1653"/>
      <c r="V180" s="1653"/>
      <c r="W180" s="1653"/>
      <c r="X180" s="1653"/>
      <c r="Y180" s="1653"/>
      <c r="Z180" s="1653"/>
      <c r="AA180" s="1653"/>
      <c r="AB180" s="1653"/>
      <c r="AC180" s="1653"/>
      <c r="AD180" s="1653"/>
      <c r="AE180" s="1653"/>
      <c r="AF180" s="1653"/>
      <c r="AG180" s="1653"/>
      <c r="AH180" s="1293"/>
      <c r="AI180" s="1293"/>
      <c r="AJ180" s="1293"/>
      <c r="AK180" s="1293"/>
      <c r="AL180" s="1293"/>
      <c r="AM180" s="1293"/>
      <c r="AN180" s="1293"/>
      <c r="AO180" s="1293"/>
      <c r="AP180" s="1293"/>
      <c r="AQ180" s="1293"/>
      <c r="AR180" s="1293"/>
      <c r="AS180" s="1293"/>
    </row>
    <row r="181" spans="1:45" ht="15.75">
      <c r="A181" s="1653" t="s">
        <v>3925</v>
      </c>
      <c r="B181" s="1653"/>
      <c r="C181" s="1653"/>
      <c r="D181" s="1675"/>
      <c r="E181" s="1675"/>
      <c r="F181" s="1675">
        <f t="shared" ref="F181:AA181" si="127">F183-F182</f>
        <v>-52.369</v>
      </c>
      <c r="G181" s="1675">
        <f t="shared" si="127"/>
        <v>-58.9</v>
      </c>
      <c r="H181" s="1675">
        <f t="shared" si="127"/>
        <v>-65.228999999999999</v>
      </c>
      <c r="I181" s="1675">
        <f t="shared" si="127"/>
        <v>-118.205</v>
      </c>
      <c r="J181" s="1675">
        <f t="shared" si="127"/>
        <v>-173.1</v>
      </c>
      <c r="K181" s="1675">
        <f t="shared" si="127"/>
        <v>-187.39999999999998</v>
      </c>
      <c r="L181" s="1675">
        <f t="shared" si="127"/>
        <v>-212</v>
      </c>
      <c r="M181" s="1675">
        <f t="shared" si="127"/>
        <v>-227</v>
      </c>
      <c r="N181" s="1675">
        <f t="shared" si="127"/>
        <v>-212</v>
      </c>
      <c r="O181" s="1675">
        <f t="shared" si="127"/>
        <v>-326</v>
      </c>
      <c r="P181" s="1675">
        <f t="shared" si="127"/>
        <v>-253</v>
      </c>
      <c r="Q181" s="1675">
        <f t="shared" si="127"/>
        <v>-292</v>
      </c>
      <c r="R181" s="1675">
        <f t="shared" si="127"/>
        <v>-291</v>
      </c>
      <c r="S181" s="1675">
        <f t="shared" si="127"/>
        <v>-251</v>
      </c>
      <c r="T181" s="1675">
        <f t="shared" si="127"/>
        <v>-252</v>
      </c>
      <c r="U181" s="1675">
        <f t="shared" si="127"/>
        <v>-204</v>
      </c>
      <c r="V181" s="1675">
        <f t="shared" si="127"/>
        <v>-222</v>
      </c>
      <c r="W181" s="1675">
        <f t="shared" si="127"/>
        <v>-204</v>
      </c>
      <c r="X181" s="1675">
        <f t="shared" si="127"/>
        <v>-158</v>
      </c>
      <c r="Y181" s="1675">
        <f t="shared" si="127"/>
        <v>-222</v>
      </c>
      <c r="Z181" s="1675">
        <f t="shared" si="127"/>
        <v>-424</v>
      </c>
      <c r="AA181" s="1675">
        <f t="shared" si="127"/>
        <v>-281</v>
      </c>
      <c r="AB181" s="1675">
        <f t="shared" ref="AB181:AG181" ca="1" si="128">-AB176</f>
        <v>-267.30215329751451</v>
      </c>
      <c r="AC181" s="1675">
        <f t="shared" ca="1" si="128"/>
        <v>-348.1306027258467</v>
      </c>
      <c r="AD181" s="1675">
        <f t="shared" ca="1" si="128"/>
        <v>-344.46528864977483</v>
      </c>
      <c r="AE181" s="1675">
        <f t="shared" ca="1" si="128"/>
        <v>-350.34330438073926</v>
      </c>
      <c r="AF181" s="1675">
        <f t="shared" ca="1" si="128"/>
        <v>-361.15754461674925</v>
      </c>
      <c r="AG181" s="1675">
        <f t="shared" ca="1" si="128"/>
        <v>-374.78229820533898</v>
      </c>
      <c r="AH181" s="1293"/>
      <c r="AI181" s="1293"/>
      <c r="AJ181" s="1293"/>
      <c r="AK181" s="1293"/>
      <c r="AL181" s="1293"/>
      <c r="AM181" s="1293"/>
      <c r="AN181" s="1293"/>
      <c r="AO181" s="1293"/>
      <c r="AP181" s="1293"/>
      <c r="AQ181" s="1293"/>
      <c r="AR181" s="1293"/>
      <c r="AS181" s="1293"/>
    </row>
    <row r="182" spans="1:45" ht="15.75">
      <c r="A182" s="1653" t="s">
        <v>1540</v>
      </c>
      <c r="B182" s="1653"/>
      <c r="C182" s="1653"/>
      <c r="D182" s="1675"/>
      <c r="E182" s="1675"/>
      <c r="F182" s="1675">
        <v>0</v>
      </c>
      <c r="G182" s="1675">
        <v>0</v>
      </c>
      <c r="H182" s="1675">
        <v>0</v>
      </c>
      <c r="I182" s="1675">
        <v>0</v>
      </c>
      <c r="J182" s="1717">
        <v>86</v>
      </c>
      <c r="K182" s="1717">
        <v>-90</v>
      </c>
      <c r="L182" s="1937">
        <v>0</v>
      </c>
      <c r="M182" s="1937">
        <v>0</v>
      </c>
      <c r="N182" s="1717">
        <v>231</v>
      </c>
      <c r="O182" s="1717">
        <v>-67</v>
      </c>
      <c r="P182" s="1717">
        <v>46</v>
      </c>
      <c r="Q182" s="1717">
        <v>36</v>
      </c>
      <c r="R182" s="1717">
        <v>0</v>
      </c>
      <c r="S182" s="1717">
        <v>0</v>
      </c>
      <c r="T182" s="1717">
        <v>0</v>
      </c>
      <c r="U182" s="1717">
        <v>0</v>
      </c>
      <c r="V182" s="1717">
        <v>0</v>
      </c>
      <c r="W182" s="1717">
        <v>0</v>
      </c>
      <c r="X182" s="1717">
        <v>-31</v>
      </c>
      <c r="Y182" s="1717">
        <v>-3</v>
      </c>
      <c r="Z182" s="1717">
        <v>0</v>
      </c>
      <c r="AA182" s="1717">
        <v>0</v>
      </c>
      <c r="AB182" s="1717">
        <v>0</v>
      </c>
      <c r="AC182" s="1717">
        <v>0</v>
      </c>
      <c r="AD182" s="1717">
        <v>0</v>
      </c>
      <c r="AE182" s="1717">
        <v>0</v>
      </c>
      <c r="AF182" s="1717">
        <v>0</v>
      </c>
      <c r="AG182" s="1717">
        <v>0</v>
      </c>
      <c r="AH182" s="1293"/>
      <c r="AI182" s="1293"/>
      <c r="AJ182" s="1293"/>
      <c r="AK182" s="1293"/>
      <c r="AL182" s="1293"/>
      <c r="AM182" s="1293"/>
      <c r="AN182" s="1293"/>
      <c r="AO182" s="1293"/>
      <c r="AP182" s="1293"/>
      <c r="AQ182" s="1293"/>
      <c r="AR182" s="1293"/>
      <c r="AS182" s="1293"/>
    </row>
    <row r="183" spans="1:45" ht="15.75">
      <c r="A183" s="1653" t="s">
        <v>156</v>
      </c>
      <c r="B183" s="1653"/>
      <c r="C183" s="1653"/>
      <c r="D183" s="1675"/>
      <c r="E183" s="1675"/>
      <c r="F183" s="1717">
        <v>-52.369</v>
      </c>
      <c r="G183" s="1717">
        <v>-58.9</v>
      </c>
      <c r="H183" s="1717">
        <v>-65.228999999999999</v>
      </c>
      <c r="I183" s="1717">
        <v>-118.205</v>
      </c>
      <c r="J183" s="1717">
        <v>-87.1</v>
      </c>
      <c r="K183" s="1717">
        <v>-277.39999999999998</v>
      </c>
      <c r="L183" s="1717">
        <v>-212</v>
      </c>
      <c r="M183" s="1717">
        <v>-227</v>
      </c>
      <c r="N183" s="1717">
        <v>19</v>
      </c>
      <c r="O183" s="1717">
        <v>-393</v>
      </c>
      <c r="P183" s="1717">
        <v>-207</v>
      </c>
      <c r="Q183" s="1717">
        <v>-256</v>
      </c>
      <c r="R183" s="1717">
        <v>-291</v>
      </c>
      <c r="S183" s="1717">
        <v>-251</v>
      </c>
      <c r="T183" s="1717">
        <v>-252</v>
      </c>
      <c r="U183" s="1717">
        <v>-204</v>
      </c>
      <c r="V183" s="1717">
        <v>-222</v>
      </c>
      <c r="W183" s="1717">
        <v>-204</v>
      </c>
      <c r="X183" s="2498">
        <v>-189</v>
      </c>
      <c r="Y183" s="2498">
        <v>-225</v>
      </c>
      <c r="Z183" s="2498">
        <v>-424</v>
      </c>
      <c r="AA183" s="2498">
        <v>-281</v>
      </c>
      <c r="AB183" s="1675">
        <f t="shared" ref="AB183:AG183" ca="1" si="129">AB181+AB182</f>
        <v>-267.30215329751451</v>
      </c>
      <c r="AC183" s="1675">
        <f t="shared" ca="1" si="129"/>
        <v>-348.1306027258467</v>
      </c>
      <c r="AD183" s="1675">
        <f t="shared" ca="1" si="129"/>
        <v>-344.46528864977483</v>
      </c>
      <c r="AE183" s="1675">
        <f t="shared" ca="1" si="129"/>
        <v>-350.34330438073926</v>
      </c>
      <c r="AF183" s="1675">
        <f t="shared" ca="1" si="129"/>
        <v>-361.15754461674925</v>
      </c>
      <c r="AG183" s="1675">
        <f t="shared" ca="1" si="129"/>
        <v>-374.78229820533898</v>
      </c>
      <c r="AH183" s="1293"/>
      <c r="AI183" s="1293"/>
      <c r="AJ183" s="1293"/>
      <c r="AK183" s="1293"/>
      <c r="AL183" s="1293"/>
      <c r="AM183" s="1293"/>
      <c r="AN183" s="1293"/>
      <c r="AO183" s="1293"/>
      <c r="AP183" s="1293"/>
      <c r="AQ183" s="1293"/>
      <c r="AR183" s="1293"/>
      <c r="AS183" s="1293"/>
    </row>
    <row r="184" spans="1:45" ht="15.75">
      <c r="A184" s="1653"/>
      <c r="B184" s="1653"/>
      <c r="C184" s="1675"/>
      <c r="D184" s="1675"/>
      <c r="E184" s="1675"/>
      <c r="F184" s="1675"/>
      <c r="G184" s="1675"/>
      <c r="H184" s="1675"/>
      <c r="I184" s="1675"/>
      <c r="J184" s="1675"/>
      <c r="K184" s="1675"/>
      <c r="L184" s="1675"/>
      <c r="M184" s="1675"/>
      <c r="N184" s="1675"/>
      <c r="O184" s="1675"/>
      <c r="P184" s="1675"/>
      <c r="Q184" s="1675"/>
      <c r="R184" s="1675"/>
      <c r="S184" s="1675"/>
      <c r="T184" s="1675"/>
      <c r="U184" s="1675"/>
      <c r="V184" s="1675"/>
      <c r="W184" s="1675"/>
      <c r="X184" s="1675"/>
      <c r="Y184" s="1675"/>
      <c r="Z184" s="1675"/>
      <c r="AA184" s="1675"/>
      <c r="AB184" s="1675"/>
      <c r="AC184" s="1675"/>
      <c r="AD184" s="1675"/>
      <c r="AE184" s="1675"/>
      <c r="AF184" s="1675"/>
      <c r="AG184" s="1675"/>
      <c r="AH184" s="1293"/>
      <c r="AI184" s="1293"/>
      <c r="AJ184" s="1293"/>
      <c r="AK184" s="1293"/>
      <c r="AL184" s="1293"/>
      <c r="AM184" s="1293"/>
      <c r="AN184" s="1293"/>
      <c r="AO184" s="1293"/>
      <c r="AP184" s="1293"/>
      <c r="AQ184" s="1293"/>
      <c r="AR184" s="1293"/>
      <c r="AS184" s="1293"/>
    </row>
    <row r="185" spans="1:45" ht="15.75">
      <c r="A185" s="1653" t="s">
        <v>3980</v>
      </c>
      <c r="B185" s="1653"/>
      <c r="C185" s="1653"/>
      <c r="D185" s="1653"/>
      <c r="E185" s="1653"/>
      <c r="F185" s="1653"/>
      <c r="G185" s="1653"/>
      <c r="H185" s="1653"/>
      <c r="I185" s="1653"/>
      <c r="J185" s="1653"/>
      <c r="K185" s="1653"/>
      <c r="L185" s="1653"/>
      <c r="M185" s="1653"/>
      <c r="N185" s="1653"/>
      <c r="O185" s="1653"/>
      <c r="P185" s="1653"/>
      <c r="Q185" s="1932">
        <v>0.27</v>
      </c>
      <c r="R185" s="1932">
        <v>0.27</v>
      </c>
      <c r="S185" s="1932">
        <f t="shared" ref="S185:AG185" si="130">R185</f>
        <v>0.27</v>
      </c>
      <c r="T185" s="1932">
        <f t="shared" si="130"/>
        <v>0.27</v>
      </c>
      <c r="U185" s="1932">
        <f t="shared" si="130"/>
        <v>0.27</v>
      </c>
      <c r="V185" s="1932">
        <f t="shared" si="130"/>
        <v>0.27</v>
      </c>
      <c r="W185" s="1932">
        <f t="shared" si="130"/>
        <v>0.27</v>
      </c>
      <c r="X185" s="1932">
        <f t="shared" si="130"/>
        <v>0.27</v>
      </c>
      <c r="Y185" s="1932">
        <f t="shared" si="130"/>
        <v>0.27</v>
      </c>
      <c r="Z185" s="1932">
        <f t="shared" si="130"/>
        <v>0.27</v>
      </c>
      <c r="AA185" s="1932">
        <f t="shared" si="130"/>
        <v>0.27</v>
      </c>
      <c r="AB185" s="1932">
        <f t="shared" si="130"/>
        <v>0.27</v>
      </c>
      <c r="AC185" s="1932">
        <f t="shared" si="130"/>
        <v>0.27</v>
      </c>
      <c r="AD185" s="1932">
        <f t="shared" si="130"/>
        <v>0.27</v>
      </c>
      <c r="AE185" s="1932">
        <f t="shared" si="130"/>
        <v>0.27</v>
      </c>
      <c r="AF185" s="1932">
        <f t="shared" si="130"/>
        <v>0.27</v>
      </c>
      <c r="AG185" s="1932">
        <f t="shared" si="130"/>
        <v>0.27</v>
      </c>
      <c r="AH185" s="1293"/>
      <c r="AI185" s="1293"/>
      <c r="AJ185" s="1293"/>
      <c r="AK185" s="1293"/>
      <c r="AL185" s="1293"/>
      <c r="AM185" s="1293"/>
      <c r="AN185" s="1293"/>
      <c r="AO185" s="1293"/>
      <c r="AP185" s="1293"/>
      <c r="AQ185" s="1293"/>
      <c r="AR185" s="1293"/>
      <c r="AS185" s="1293"/>
    </row>
    <row r="186" spans="1:45" ht="15.75">
      <c r="A186" s="1653" t="s">
        <v>3981</v>
      </c>
      <c r="B186" s="1653"/>
      <c r="C186" s="1653"/>
      <c r="D186" s="1675"/>
      <c r="E186" s="1675"/>
      <c r="F186" s="1675"/>
      <c r="G186" s="1675"/>
      <c r="H186" s="1675"/>
      <c r="I186" s="1675"/>
      <c r="J186" s="1675"/>
      <c r="K186" s="1675"/>
      <c r="L186" s="1675"/>
      <c r="M186" s="1675"/>
      <c r="N186" s="1675"/>
      <c r="O186" s="1675"/>
      <c r="P186" s="1675"/>
      <c r="Q186" s="1675">
        <f t="shared" ref="Q186:AG186" si="131">-Q185*Q162</f>
        <v>-824.18070018025549</v>
      </c>
      <c r="R186" s="1675">
        <f t="shared" si="131"/>
        <v>-168.38035494251571</v>
      </c>
      <c r="S186" s="1675">
        <f t="shared" si="131"/>
        <v>-112.185</v>
      </c>
      <c r="T186" s="1675">
        <f t="shared" si="131"/>
        <v>-105.30000000000001</v>
      </c>
      <c r="U186" s="1675">
        <f t="shared" si="131"/>
        <v>-125.82000000000001</v>
      </c>
      <c r="V186" s="1675">
        <f t="shared" si="131"/>
        <v>-86.13000000000001</v>
      </c>
      <c r="W186" s="1675">
        <f t="shared" si="131"/>
        <v>-67.23</v>
      </c>
      <c r="X186" s="1675">
        <f t="shared" si="131"/>
        <v>-106.11000000000001</v>
      </c>
      <c r="Y186" s="1675">
        <f t="shared" si="131"/>
        <v>-85.626449999999949</v>
      </c>
      <c r="Z186" s="1675">
        <f t="shared" si="131"/>
        <v>-35.447084999999987</v>
      </c>
      <c r="AA186" s="1675">
        <f t="shared" ca="1" si="131"/>
        <v>-166.86874800000012</v>
      </c>
      <c r="AB186" s="1675">
        <f t="shared" ca="1" si="131"/>
        <v>-145.85581427422235</v>
      </c>
      <c r="AC186" s="1675">
        <f t="shared" ca="1" si="131"/>
        <v>-245.0543658453573</v>
      </c>
      <c r="AD186" s="1675">
        <f t="shared" ca="1" si="131"/>
        <v>-240.55602584290551</v>
      </c>
      <c r="AE186" s="1675">
        <f t="shared" ca="1" si="131"/>
        <v>-247.76995423999819</v>
      </c>
      <c r="AF186" s="1675">
        <f t="shared" ca="1" si="131"/>
        <v>-261.04197634782867</v>
      </c>
      <c r="AG186" s="1675">
        <f t="shared" ca="1" si="131"/>
        <v>-277.76326484291599</v>
      </c>
      <c r="AH186" s="1293"/>
      <c r="AI186" s="1293"/>
      <c r="AJ186" s="1293"/>
      <c r="AK186" s="1293"/>
      <c r="AL186" s="1293"/>
      <c r="AM186" s="1293"/>
      <c r="AN186" s="1293"/>
      <c r="AO186" s="1293"/>
      <c r="AP186" s="1293"/>
      <c r="AQ186" s="1293"/>
      <c r="AR186" s="1293"/>
      <c r="AS186" s="1293"/>
    </row>
    <row r="187" spans="1:45" ht="15.75">
      <c r="A187" s="1653"/>
      <c r="B187" s="1653"/>
      <c r="C187" s="1653"/>
      <c r="D187" s="1675"/>
      <c r="E187" s="1675"/>
      <c r="F187" s="1675" t="s">
        <v>1823</v>
      </c>
      <c r="G187" s="1653"/>
      <c r="H187" s="1653"/>
      <c r="I187" s="1653"/>
      <c r="J187" s="1653"/>
      <c r="K187" s="1653"/>
      <c r="L187" s="1653"/>
      <c r="M187" s="1653"/>
      <c r="N187" s="1653"/>
      <c r="O187" s="1653"/>
      <c r="P187" s="1653"/>
      <c r="Q187" s="1653"/>
      <c r="R187" s="1653"/>
      <c r="S187" s="1653"/>
      <c r="T187" s="1653"/>
      <c r="U187" s="1653"/>
      <c r="V187" s="1653"/>
      <c r="W187" s="1653"/>
      <c r="X187" s="1653"/>
      <c r="Y187" s="1653"/>
      <c r="Z187" s="1653"/>
      <c r="AA187" s="1653"/>
      <c r="AB187" s="1653"/>
      <c r="AC187" s="1653"/>
      <c r="AD187" s="1653"/>
      <c r="AE187" s="1653"/>
      <c r="AF187" s="1653"/>
      <c r="AG187" s="1653"/>
      <c r="AH187" s="1293"/>
      <c r="AI187" s="1293"/>
      <c r="AJ187" s="1293"/>
      <c r="AK187" s="1293"/>
      <c r="AL187" s="1293"/>
      <c r="AM187" s="1293"/>
      <c r="AN187" s="1293"/>
      <c r="AO187" s="1293"/>
      <c r="AP187" s="1293"/>
      <c r="AQ187" s="1293"/>
      <c r="AR187" s="1293"/>
      <c r="AS187" s="1293"/>
    </row>
    <row r="188" spans="1:45" ht="15.75">
      <c r="A188" s="1653" t="s">
        <v>5751</v>
      </c>
      <c r="B188" s="1653"/>
      <c r="C188" s="1653"/>
      <c r="D188" s="1675"/>
      <c r="E188" s="1675"/>
      <c r="F188" s="1717">
        <v>-114.383</v>
      </c>
      <c r="G188" s="1717">
        <v>-153.184</v>
      </c>
      <c r="H188" s="1717">
        <v>-187.43799999999999</v>
      </c>
      <c r="I188" s="1717">
        <f>-229-I241</f>
        <v>-190</v>
      </c>
      <c r="J188" s="1717">
        <f>-355-J241</f>
        <v>-333.55</v>
      </c>
      <c r="K188" s="1717">
        <f>-516-K241</f>
        <v>-494.72662500000001</v>
      </c>
      <c r="L188" s="1717">
        <f>-636-L241</f>
        <v>-616.32212812499995</v>
      </c>
      <c r="M188" s="1717">
        <f>-677-M241</f>
        <v>-658.79796851562503</v>
      </c>
      <c r="N188" s="1717">
        <f>-739-N241</f>
        <v>-722.16312087695314</v>
      </c>
      <c r="O188" s="1717">
        <f>-802-O241</f>
        <v>-786.42588681118161</v>
      </c>
      <c r="P188" s="1717">
        <f>-934-P241</f>
        <v>-781</v>
      </c>
      <c r="Q188" s="1717">
        <v>-919</v>
      </c>
      <c r="R188" s="1717">
        <f>-1322-R241</f>
        <v>-780.69609665427515</v>
      </c>
      <c r="S188" s="1717">
        <f>-1368-S241+80</f>
        <v>-945</v>
      </c>
      <c r="T188" s="1717">
        <f>-1321-T241+80</f>
        <v>-924</v>
      </c>
      <c r="U188" s="1717">
        <f>-1245-U241</f>
        <v>-961</v>
      </c>
      <c r="V188" s="1717">
        <f>-1544-V241</f>
        <v>-1138</v>
      </c>
      <c r="W188" s="1717">
        <v>-1209</v>
      </c>
      <c r="X188" s="1717">
        <v>-1164</v>
      </c>
      <c r="Y188" s="1717">
        <v>-999</v>
      </c>
      <c r="Z188" s="1717">
        <v>-978</v>
      </c>
      <c r="AA188" s="1717">
        <v>-916</v>
      </c>
      <c r="AB188" s="1675">
        <f>-AB190*AA234</f>
        <v>-911.04</v>
      </c>
      <c r="AC188" s="1675">
        <f>-AC190*AB234</f>
        <v>-557.1611062289245</v>
      </c>
      <c r="AD188" s="1675">
        <f t="shared" ref="AD188:AG188" si="132">-AD190*AC234</f>
        <v>-621.48397661185356</v>
      </c>
      <c r="AE188" s="1675">
        <f t="shared" si="132"/>
        <v>-664.12262670927396</v>
      </c>
      <c r="AF188" s="1675">
        <f t="shared" si="132"/>
        <v>-695.63734590872252</v>
      </c>
      <c r="AG188" s="1675">
        <f t="shared" si="132"/>
        <v>-717.72784186997865</v>
      </c>
      <c r="AH188" s="1293"/>
      <c r="AI188" s="1293"/>
      <c r="AJ188" s="1293"/>
      <c r="AK188" s="1293"/>
      <c r="AL188" s="1293"/>
      <c r="AM188" s="1293"/>
      <c r="AN188" s="1293"/>
      <c r="AO188" s="1293"/>
      <c r="AP188" s="1293"/>
      <c r="AQ188" s="1293"/>
      <c r="AR188" s="1293"/>
      <c r="AS188" s="1293"/>
    </row>
    <row r="189" spans="1:45" ht="15.75">
      <c r="A189" s="1653"/>
      <c r="B189" s="1653"/>
      <c r="C189" s="1653"/>
      <c r="D189" s="1665"/>
      <c r="E189" s="1688"/>
      <c r="F189" s="1688"/>
      <c r="G189" s="1688"/>
      <c r="H189" s="1688"/>
      <c r="I189" s="1688"/>
      <c r="J189" s="1688"/>
      <c r="K189" s="1688"/>
      <c r="L189" s="1688"/>
      <c r="M189" s="1688"/>
      <c r="N189" s="1688"/>
      <c r="O189" s="1688"/>
      <c r="P189" s="1688"/>
      <c r="Q189" s="1688"/>
      <c r="R189" s="1688"/>
      <c r="S189" s="1688"/>
      <c r="T189" s="1688"/>
      <c r="U189" s="1688"/>
      <c r="V189" s="1688"/>
      <c r="W189" s="1688"/>
      <c r="X189" s="1688"/>
      <c r="Y189" s="1688"/>
      <c r="Z189" s="1688"/>
      <c r="AA189" s="1688"/>
      <c r="AB189" s="1688"/>
      <c r="AC189" s="1688"/>
      <c r="AD189" s="1688"/>
      <c r="AE189" s="1688"/>
      <c r="AF189" s="1688"/>
      <c r="AG189" s="1688"/>
      <c r="AH189" s="1293"/>
      <c r="AI189" s="1293"/>
      <c r="AJ189" s="1293"/>
      <c r="AK189" s="1293"/>
      <c r="AL189" s="1293"/>
      <c r="AM189" s="1293"/>
      <c r="AN189" s="1293"/>
      <c r="AO189" s="1293"/>
      <c r="AP189" s="1293"/>
      <c r="AQ189" s="1293"/>
      <c r="AR189" s="1293"/>
      <c r="AS189" s="1293"/>
    </row>
    <row r="190" spans="1:45" ht="15.75">
      <c r="A190" s="1653" t="s">
        <v>2104</v>
      </c>
      <c r="B190" s="1653"/>
      <c r="C190" s="1653"/>
      <c r="D190" s="1665"/>
      <c r="E190" s="1688"/>
      <c r="F190" s="1688"/>
      <c r="G190" s="1688">
        <f t="shared" ref="G190:AA190" si="133">-G188/F234</f>
        <v>0.31291224672807089</v>
      </c>
      <c r="H190" s="1688">
        <f t="shared" si="133"/>
        <v>0.32561161402173894</v>
      </c>
      <c r="I190" s="1688">
        <f t="shared" si="133"/>
        <v>0.28283321474186252</v>
      </c>
      <c r="J190" s="1688">
        <f t="shared" si="133"/>
        <v>0.26328003270971234</v>
      </c>
      <c r="K190" s="1688">
        <f t="shared" si="133"/>
        <v>0.23944533418903693</v>
      </c>
      <c r="L190" s="1688">
        <f t="shared" si="133"/>
        <v>0.22112590704829219</v>
      </c>
      <c r="M190" s="1688">
        <f t="shared" si="133"/>
        <v>0.24300921007584841</v>
      </c>
      <c r="N190" s="1688">
        <f t="shared" si="133"/>
        <v>0.26089708124167382</v>
      </c>
      <c r="O190" s="1688">
        <f t="shared" si="133"/>
        <v>0.27449420133025537</v>
      </c>
      <c r="P190" s="1688">
        <f t="shared" si="133"/>
        <v>0.25128700128700127</v>
      </c>
      <c r="Q190" s="1688">
        <f t="shared" si="133"/>
        <v>0.33164922410682063</v>
      </c>
      <c r="R190" s="1688">
        <f t="shared" si="133"/>
        <v>0.16858045706203306</v>
      </c>
      <c r="S190" s="1688">
        <f t="shared" si="133"/>
        <v>0.22308781869688385</v>
      </c>
      <c r="T190" s="1688">
        <f t="shared" si="133"/>
        <v>0.21973840665873959</v>
      </c>
      <c r="U190" s="1688">
        <f t="shared" si="133"/>
        <v>0.24200453286325863</v>
      </c>
      <c r="V190" s="1688">
        <f t="shared" si="133"/>
        <v>0.28259250062080954</v>
      </c>
      <c r="W190" s="1688">
        <f t="shared" si="133"/>
        <v>0.31723956966675415</v>
      </c>
      <c r="X190" s="1688">
        <f t="shared" si="133"/>
        <v>0.32074951777349131</v>
      </c>
      <c r="Y190" s="1688">
        <f t="shared" si="133"/>
        <v>0.2846153846153846</v>
      </c>
      <c r="Z190" s="1688">
        <f t="shared" si="133"/>
        <v>0.32719973235195715</v>
      </c>
      <c r="AA190" s="1688">
        <f t="shared" si="133"/>
        <v>0.29481815255873833</v>
      </c>
      <c r="AB190" s="1938">
        <v>0.32</v>
      </c>
      <c r="AC190" s="1938">
        <v>0.32</v>
      </c>
      <c r="AD190" s="1938">
        <v>0.32</v>
      </c>
      <c r="AE190" s="1938">
        <v>0.32</v>
      </c>
      <c r="AF190" s="1938">
        <v>0.32</v>
      </c>
      <c r="AG190" s="1938">
        <v>0.32</v>
      </c>
      <c r="AH190" s="1293"/>
      <c r="AI190" s="1293"/>
      <c r="AJ190" s="1293"/>
      <c r="AK190" s="1293"/>
      <c r="AL190" s="1293"/>
      <c r="AM190" s="1293"/>
      <c r="AN190" s="1293"/>
      <c r="AO190" s="1293"/>
      <c r="AP190" s="1293"/>
      <c r="AQ190" s="1293"/>
      <c r="AR190" s="1293"/>
      <c r="AS190" s="1293"/>
    </row>
    <row r="191" spans="1:45" ht="15.75">
      <c r="A191" s="1653" t="s">
        <v>2105</v>
      </c>
      <c r="B191" s="1653"/>
      <c r="C191" s="1653"/>
      <c r="D191" s="1665"/>
      <c r="E191" s="1688"/>
      <c r="F191" s="1688"/>
      <c r="G191" s="1688">
        <f t="shared" ref="G191:AG191" si="134">-G188/F200</f>
        <v>0.15873397469109962</v>
      </c>
      <c r="H191" s="1688">
        <f t="shared" si="134"/>
        <v>0.15723661914173256</v>
      </c>
      <c r="I191" s="1688">
        <f t="shared" si="134"/>
        <v>0.15871544075695568</v>
      </c>
      <c r="J191" s="1688">
        <f t="shared" si="134"/>
        <v>0.17229694478336197</v>
      </c>
      <c r="K191" s="1688">
        <f t="shared" si="134"/>
        <v>0.17630172771383854</v>
      </c>
      <c r="L191" s="1688">
        <f t="shared" si="134"/>
        <v>0.15289837435951836</v>
      </c>
      <c r="M191" s="1688">
        <f t="shared" si="134"/>
        <v>0.14389737300008998</v>
      </c>
      <c r="N191" s="1688">
        <f t="shared" si="134"/>
        <v>0.13599280921239662</v>
      </c>
      <c r="O191" s="1688">
        <f t="shared" si="134"/>
        <v>0.1283024946568061</v>
      </c>
      <c r="P191" s="1688">
        <f t="shared" si="134"/>
        <v>0.10909508348971014</v>
      </c>
      <c r="Q191" s="1688">
        <f t="shared" si="134"/>
        <v>0.15581553068836893</v>
      </c>
      <c r="R191" s="1688">
        <f t="shared" si="134"/>
        <v>8.5191629927354337E-2</v>
      </c>
      <c r="S191" s="1688">
        <f t="shared" ca="1" si="134"/>
        <v>9.4899451032798926E-2</v>
      </c>
      <c r="T191" s="1688">
        <f t="shared" ca="1" si="134"/>
        <v>8.4990582900512993E-2</v>
      </c>
      <c r="U191" s="1688">
        <f t="shared" ca="1" si="134"/>
        <v>8.0695660649193007E-2</v>
      </c>
      <c r="V191" s="1688">
        <f t="shared" ca="1" si="134"/>
        <v>8.0978616102469134E-2</v>
      </c>
      <c r="W191" s="1688">
        <f t="shared" ca="1" si="134"/>
        <v>7.1053937946596701E-2</v>
      </c>
      <c r="X191" s="1688">
        <f t="shared" ca="1" si="134"/>
        <v>6.4416363592009321E-2</v>
      </c>
      <c r="Y191" s="1688">
        <f t="shared" ca="1" si="134"/>
        <v>4.7258749573270691E-2</v>
      </c>
      <c r="Z191" s="1688">
        <f t="shared" ca="1" si="134"/>
        <v>4.5096405224664286E-2</v>
      </c>
      <c r="AA191" s="1688">
        <f t="shared" si="134"/>
        <v>9.1783567134268537E-2</v>
      </c>
      <c r="AB191" s="1688">
        <f t="shared" si="134"/>
        <v>8.5359317904993903E-2</v>
      </c>
      <c r="AC191" s="1688">
        <f t="shared" si="134"/>
        <v>5.3173520593529894E-2</v>
      </c>
      <c r="AD191" s="1688">
        <f t="shared" si="134"/>
        <v>5.5310186212245246E-2</v>
      </c>
      <c r="AE191" s="1688">
        <f t="shared" si="134"/>
        <v>5.5384775615924017E-2</v>
      </c>
      <c r="AF191" s="1688">
        <f t="shared" si="134"/>
        <v>5.4544072809517674E-2</v>
      </c>
      <c r="AG191" s="1688">
        <f t="shared" si="134"/>
        <v>5.3092879724677432E-2</v>
      </c>
      <c r="AH191" s="1293"/>
      <c r="AI191" s="1293"/>
      <c r="AJ191" s="1293"/>
      <c r="AK191" s="1293"/>
      <c r="AL191" s="1293"/>
      <c r="AM191" s="1293"/>
      <c r="AN191" s="1293"/>
      <c r="AO191" s="1293"/>
      <c r="AP191" s="1293"/>
      <c r="AQ191" s="1293"/>
      <c r="AR191" s="1293"/>
      <c r="AS191" s="1293"/>
    </row>
    <row r="192" spans="1:45" ht="15.75">
      <c r="A192" s="1653" t="s">
        <v>2106</v>
      </c>
      <c r="B192" s="1653"/>
      <c r="C192" s="1653"/>
      <c r="D192" s="1665"/>
      <c r="E192" s="1688"/>
      <c r="F192" s="1688"/>
      <c r="G192" s="1872">
        <f t="shared" ref="G192:AG192" si="135">1/G191</f>
        <v>6.2998485481512425</v>
      </c>
      <c r="H192" s="1872">
        <f t="shared" si="135"/>
        <v>6.3598416543070249</v>
      </c>
      <c r="I192" s="1872">
        <f t="shared" si="135"/>
        <v>6.300584210526317</v>
      </c>
      <c r="J192" s="1872">
        <f t="shared" si="135"/>
        <v>5.8039334432618794</v>
      </c>
      <c r="K192" s="1872">
        <f t="shared" si="135"/>
        <v>5.6720941590721949</v>
      </c>
      <c r="L192" s="1872">
        <f t="shared" si="135"/>
        <v>6.5402919042726051</v>
      </c>
      <c r="M192" s="1872">
        <f t="shared" si="135"/>
        <v>6.9493971929520537</v>
      </c>
      <c r="N192" s="1872">
        <f t="shared" si="135"/>
        <v>7.3533299723088854</v>
      </c>
      <c r="O192" s="1872">
        <f t="shared" si="135"/>
        <v>7.7940807205259803</v>
      </c>
      <c r="P192" s="1872">
        <f t="shared" si="135"/>
        <v>9.1663159146334952</v>
      </c>
      <c r="Q192" s="1872">
        <f t="shared" si="135"/>
        <v>6.4178454842219805</v>
      </c>
      <c r="R192" s="1872">
        <f t="shared" si="135"/>
        <v>11.738242370203885</v>
      </c>
      <c r="S192" s="1872">
        <f t="shared" ca="1" si="135"/>
        <v>10.537468753685229</v>
      </c>
      <c r="T192" s="1872">
        <f t="shared" ca="1" si="135"/>
        <v>11.766009431545669</v>
      </c>
      <c r="U192" s="1872">
        <f t="shared" ca="1" si="135"/>
        <v>12.392240077781684</v>
      </c>
      <c r="V192" s="1872">
        <f t="shared" ca="1" si="135"/>
        <v>12.348939116650437</v>
      </c>
      <c r="W192" s="1872">
        <f t="shared" ca="1" si="135"/>
        <v>14.073815314101074</v>
      </c>
      <c r="X192" s="1872">
        <f t="shared" ca="1" si="135"/>
        <v>15.52400576868402</v>
      </c>
      <c r="Y192" s="1872">
        <f t="shared" ca="1" si="135"/>
        <v>21.160102817565765</v>
      </c>
      <c r="Z192" s="1872">
        <f t="shared" ca="1" si="135"/>
        <v>22.174716477247646</v>
      </c>
      <c r="AA192" s="1872">
        <f t="shared" si="135"/>
        <v>10.895196506550219</v>
      </c>
      <c r="AB192" s="1872">
        <f t="shared" si="135"/>
        <v>11.715182648401827</v>
      </c>
      <c r="AC192" s="1872">
        <f t="shared" si="135"/>
        <v>18.806353027557087</v>
      </c>
      <c r="AD192" s="1872">
        <f t="shared" si="135"/>
        <v>18.079852346955356</v>
      </c>
      <c r="AE192" s="1872">
        <f t="shared" si="135"/>
        <v>18.055503319805521</v>
      </c>
      <c r="AF192" s="1872">
        <f t="shared" si="135"/>
        <v>18.333797761899159</v>
      </c>
      <c r="AG192" s="1872">
        <f t="shared" si="135"/>
        <v>18.834917321977596</v>
      </c>
      <c r="AH192" s="1293"/>
      <c r="AI192" s="1293"/>
      <c r="AJ192" s="1293"/>
      <c r="AK192" s="1293"/>
      <c r="AL192" s="1293"/>
      <c r="AM192" s="1293"/>
      <c r="AN192" s="1293"/>
      <c r="AO192" s="1293"/>
      <c r="AP192" s="1293"/>
      <c r="AQ192" s="1293"/>
      <c r="AR192" s="1293"/>
      <c r="AS192" s="1293"/>
    </row>
    <row r="193" spans="1:45" ht="15.75">
      <c r="A193" s="1653"/>
      <c r="B193" s="1653"/>
      <c r="C193" s="1653"/>
      <c r="D193" s="1665"/>
      <c r="E193" s="1688"/>
      <c r="F193" s="1688"/>
      <c r="G193" s="1688"/>
      <c r="H193" s="1688"/>
      <c r="I193" s="1688"/>
      <c r="J193" s="1688"/>
      <c r="K193" s="1688"/>
      <c r="L193" s="1688"/>
      <c r="M193" s="1688"/>
      <c r="N193" s="1688"/>
      <c r="O193" s="1688"/>
      <c r="P193" s="1688"/>
      <c r="Q193" s="1688"/>
      <c r="R193" s="1688"/>
      <c r="S193" s="1688"/>
      <c r="T193" s="1688"/>
      <c r="U193" s="1688"/>
      <c r="V193" s="1688"/>
      <c r="W193" s="1688"/>
      <c r="X193" s="1688"/>
      <c r="Y193" s="1688"/>
      <c r="Z193" s="1688"/>
      <c r="AA193" s="1688"/>
      <c r="AB193" s="1688"/>
      <c r="AC193" s="1688"/>
      <c r="AD193" s="1688"/>
      <c r="AE193" s="1688"/>
      <c r="AF193" s="1688"/>
      <c r="AG193" s="1688"/>
      <c r="AH193" s="1293"/>
      <c r="AI193" s="1293"/>
      <c r="AJ193" s="1293"/>
      <c r="AK193" s="1293"/>
      <c r="AL193" s="1293"/>
      <c r="AM193" s="1293"/>
      <c r="AN193" s="1293"/>
      <c r="AO193" s="1293"/>
      <c r="AP193" s="1293"/>
      <c r="AQ193" s="1293"/>
      <c r="AR193" s="1293"/>
      <c r="AS193" s="1293"/>
    </row>
    <row r="194" spans="1:45" ht="15.75">
      <c r="A194" s="1706" t="s">
        <v>157</v>
      </c>
      <c r="B194" s="1706"/>
      <c r="C194" s="1653"/>
      <c r="D194" s="1675"/>
      <c r="E194" s="1675"/>
      <c r="F194" s="1675"/>
      <c r="G194" s="1653"/>
      <c r="H194" s="1653"/>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C194" s="1666"/>
      <c r="AD194" s="1666"/>
      <c r="AE194" s="1666"/>
      <c r="AF194" s="1666"/>
      <c r="AG194" s="1666"/>
      <c r="AH194" s="1293"/>
      <c r="AI194" s="1293"/>
      <c r="AJ194" s="1293"/>
      <c r="AK194" s="1293"/>
      <c r="AL194" s="1293"/>
      <c r="AM194" s="1293"/>
      <c r="AN194" s="1293"/>
      <c r="AO194" s="1293"/>
      <c r="AP194" s="1293"/>
      <c r="AQ194" s="1293"/>
      <c r="AR194" s="1293"/>
      <c r="AS194" s="1293"/>
    </row>
    <row r="195" spans="1:45" ht="15.75">
      <c r="A195" s="1706"/>
      <c r="B195" s="1706"/>
      <c r="C195" s="1653"/>
      <c r="D195" s="1675"/>
      <c r="E195" s="1675"/>
      <c r="F195" s="1675"/>
      <c r="G195" s="1653" t="s">
        <v>1823</v>
      </c>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1653"/>
      <c r="AG195" s="1653"/>
      <c r="AH195" s="1293"/>
      <c r="AI195" s="1293"/>
      <c r="AJ195" s="1293"/>
      <c r="AK195" s="1293"/>
      <c r="AL195" s="1293"/>
      <c r="AM195" s="1293"/>
      <c r="AN195" s="1293"/>
      <c r="AO195" s="1293"/>
      <c r="AP195" s="1293"/>
      <c r="AQ195" s="1293"/>
      <c r="AR195" s="1293"/>
      <c r="AS195" s="1293"/>
    </row>
    <row r="196" spans="1:45" ht="15.75">
      <c r="A196" s="1653" t="s">
        <v>158</v>
      </c>
      <c r="B196" s="1653"/>
      <c r="C196" s="1653"/>
      <c r="D196" s="1675"/>
      <c r="E196" s="1675"/>
      <c r="F196" s="1675">
        <f t="shared" ref="F196:M196" si="136">F188</f>
        <v>-114.383</v>
      </c>
      <c r="G196" s="1675">
        <f t="shared" si="136"/>
        <v>-153.184</v>
      </c>
      <c r="H196" s="1675">
        <f t="shared" si="136"/>
        <v>-187.43799999999999</v>
      </c>
      <c r="I196" s="1675">
        <f t="shared" si="136"/>
        <v>-190</v>
      </c>
      <c r="J196" s="1675">
        <f t="shared" si="136"/>
        <v>-333.55</v>
      </c>
      <c r="K196" s="1675">
        <f t="shared" si="136"/>
        <v>-494.72662500000001</v>
      </c>
      <c r="L196" s="1675">
        <f t="shared" si="136"/>
        <v>-616.32212812499995</v>
      </c>
      <c r="M196" s="1675">
        <f t="shared" si="136"/>
        <v>-658.79796851562503</v>
      </c>
      <c r="N196" s="1675">
        <f t="shared" ref="N196:AG196" si="137">N188-N197</f>
        <v>-744.16312087695314</v>
      </c>
      <c r="O196" s="1675">
        <f t="shared" si="137"/>
        <v>-780.42588681118161</v>
      </c>
      <c r="P196" s="1675">
        <f t="shared" si="137"/>
        <v>-752</v>
      </c>
      <c r="Q196" s="1675">
        <f t="shared" si="137"/>
        <v>-908</v>
      </c>
      <c r="R196" s="1675">
        <f t="shared" si="137"/>
        <v>-714.69609665427515</v>
      </c>
      <c r="S196" s="1675">
        <f t="shared" si="137"/>
        <v>-822</v>
      </c>
      <c r="T196" s="1675">
        <f t="shared" si="137"/>
        <v>-924</v>
      </c>
      <c r="U196" s="1675">
        <f t="shared" si="137"/>
        <v>-961</v>
      </c>
      <c r="V196" s="1675">
        <f t="shared" si="137"/>
        <v>-1138</v>
      </c>
      <c r="W196" s="1675">
        <f t="shared" si="137"/>
        <v>-1191</v>
      </c>
      <c r="X196" s="1675">
        <f t="shared" si="137"/>
        <v>-1170</v>
      </c>
      <c r="Y196" s="1675">
        <f t="shared" si="137"/>
        <v>-997</v>
      </c>
      <c r="Z196" s="1675">
        <f t="shared" si="137"/>
        <v>-988</v>
      </c>
      <c r="AA196" s="1675">
        <f t="shared" si="137"/>
        <v>-970</v>
      </c>
      <c r="AB196" s="1675">
        <f t="shared" si="137"/>
        <v>-911.04</v>
      </c>
      <c r="AC196" s="1675">
        <f t="shared" si="137"/>
        <v>-557.1611062289245</v>
      </c>
      <c r="AD196" s="1675">
        <f t="shared" si="137"/>
        <v>-621.48397661185356</v>
      </c>
      <c r="AE196" s="1675">
        <f t="shared" si="137"/>
        <v>-664.12262670927396</v>
      </c>
      <c r="AF196" s="1675">
        <f t="shared" si="137"/>
        <v>-695.63734590872252</v>
      </c>
      <c r="AG196" s="1675">
        <f t="shared" si="137"/>
        <v>-717.72784186997865</v>
      </c>
      <c r="AH196" s="1293"/>
      <c r="AI196" s="1293"/>
      <c r="AJ196" s="1293"/>
      <c r="AK196" s="1293"/>
      <c r="AL196" s="1293"/>
      <c r="AM196" s="1293"/>
      <c r="AN196" s="1293"/>
      <c r="AO196" s="1293"/>
      <c r="AP196" s="1293"/>
      <c r="AQ196" s="1293"/>
      <c r="AR196" s="1293"/>
      <c r="AS196" s="1293"/>
    </row>
    <row r="197" spans="1:45" ht="15.75">
      <c r="A197" s="1653" t="s">
        <v>390</v>
      </c>
      <c r="B197" s="1653"/>
      <c r="C197" s="1653"/>
      <c r="D197" s="1675"/>
      <c r="E197" s="1675"/>
      <c r="F197" s="1717">
        <v>-6.4820000000000002</v>
      </c>
      <c r="G197" s="1717">
        <v>-9.73</v>
      </c>
      <c r="H197" s="1717">
        <v>-51.540999999999997</v>
      </c>
      <c r="I197" s="1717">
        <f>SUM(Quarts!S37:V37)</f>
        <v>4.1769999999999987</v>
      </c>
      <c r="J197" s="1717">
        <v>-27</v>
      </c>
      <c r="K197" s="1717">
        <v>-9</v>
      </c>
      <c r="L197" s="1717">
        <v>-7.2</v>
      </c>
      <c r="M197" s="1717">
        <v>-16.257000000000001</v>
      </c>
      <c r="N197" s="1717">
        <v>22</v>
      </c>
      <c r="O197" s="1717">
        <v>-6</v>
      </c>
      <c r="P197" s="1717">
        <v>-29</v>
      </c>
      <c r="Q197" s="1717">
        <v>-11</v>
      </c>
      <c r="R197" s="1717">
        <v>-66</v>
      </c>
      <c r="S197" s="1717">
        <f>-43-80</f>
        <v>-123</v>
      </c>
      <c r="T197" s="1717">
        <v>0</v>
      </c>
      <c r="U197" s="1717">
        <v>0</v>
      </c>
      <c r="V197" s="1717">
        <v>0</v>
      </c>
      <c r="W197" s="1717">
        <v>-18</v>
      </c>
      <c r="X197" s="1717">
        <v>6</v>
      </c>
      <c r="Y197" s="1717">
        <v>-2</v>
      </c>
      <c r="Z197" s="1717">
        <v>10</v>
      </c>
      <c r="AA197" s="1717">
        <v>54</v>
      </c>
      <c r="AB197" s="1717">
        <v>0</v>
      </c>
      <c r="AC197" s="1717">
        <v>0</v>
      </c>
      <c r="AD197" s="1717">
        <v>0</v>
      </c>
      <c r="AE197" s="1717">
        <v>0</v>
      </c>
      <c r="AF197" s="1717">
        <v>0</v>
      </c>
      <c r="AG197" s="1717">
        <v>0</v>
      </c>
      <c r="AH197" s="1293"/>
      <c r="AI197" s="1293"/>
      <c r="AJ197" s="1293"/>
      <c r="AK197" s="1293"/>
      <c r="AL197" s="1293"/>
      <c r="AM197" s="1293"/>
      <c r="AN197" s="1293"/>
      <c r="AO197" s="1293"/>
      <c r="AP197" s="1293"/>
      <c r="AQ197" s="1293"/>
      <c r="AR197" s="1293"/>
      <c r="AS197" s="1293"/>
    </row>
    <row r="198" spans="1:45" ht="15.75">
      <c r="A198" s="1653" t="s">
        <v>159</v>
      </c>
      <c r="B198" s="1653"/>
      <c r="C198" s="1653"/>
      <c r="D198" s="1675"/>
      <c r="E198" s="1675"/>
      <c r="F198" s="1717">
        <f>12.07+1.461-9.667+48.76</f>
        <v>52.623999999999995</v>
      </c>
      <c r="G198" s="1717">
        <f>2.794+7.56+1.896</f>
        <v>12.25</v>
      </c>
      <c r="H198" s="1717">
        <v>0</v>
      </c>
      <c r="I198" s="1717">
        <v>0</v>
      </c>
      <c r="J198" s="1717">
        <v>0</v>
      </c>
      <c r="K198" s="1717">
        <v>0</v>
      </c>
      <c r="L198" s="1717">
        <v>0</v>
      </c>
      <c r="M198" s="1717">
        <v>0</v>
      </c>
      <c r="N198" s="1717">
        <v>0</v>
      </c>
      <c r="O198" s="1717">
        <v>0</v>
      </c>
      <c r="P198" s="1717">
        <v>0</v>
      </c>
      <c r="Q198" s="1717">
        <v>0</v>
      </c>
      <c r="R198" s="1717">
        <v>0</v>
      </c>
      <c r="S198" s="1717">
        <v>0</v>
      </c>
      <c r="T198" s="1717">
        <v>0</v>
      </c>
      <c r="U198" s="1717">
        <v>0</v>
      </c>
      <c r="V198" s="1717">
        <v>0</v>
      </c>
      <c r="W198" s="1717">
        <v>0</v>
      </c>
      <c r="X198" s="1717">
        <v>0</v>
      </c>
      <c r="Y198" s="1717">
        <v>0</v>
      </c>
      <c r="Z198" s="1717">
        <v>0</v>
      </c>
      <c r="AA198" s="1717">
        <v>0</v>
      </c>
      <c r="AB198" s="1717">
        <v>0</v>
      </c>
      <c r="AC198" s="1717">
        <v>0</v>
      </c>
      <c r="AD198" s="1717">
        <v>0</v>
      </c>
      <c r="AE198" s="1717">
        <v>0</v>
      </c>
      <c r="AF198" s="1717">
        <v>0</v>
      </c>
      <c r="AG198" s="1717">
        <v>0</v>
      </c>
      <c r="AH198" s="1293"/>
      <c r="AI198" s="1293"/>
      <c r="AJ198" s="1293"/>
      <c r="AK198" s="1293"/>
      <c r="AL198" s="1293"/>
      <c r="AM198" s="1293"/>
      <c r="AN198" s="1293"/>
      <c r="AO198" s="1293"/>
      <c r="AP198" s="1293"/>
      <c r="AQ198" s="1293"/>
      <c r="AR198" s="1293"/>
      <c r="AS198" s="1293"/>
    </row>
    <row r="199" spans="1:45" ht="15.75">
      <c r="A199" s="1653"/>
      <c r="B199" s="1653"/>
      <c r="C199" s="1653"/>
      <c r="D199" s="1653"/>
      <c r="E199" s="1653"/>
      <c r="F199" s="1653"/>
      <c r="G199" s="1653"/>
      <c r="H199" s="1653"/>
      <c r="I199" s="1653"/>
      <c r="J199" s="1653"/>
      <c r="K199" s="1653"/>
      <c r="L199" s="1653"/>
      <c r="M199" s="1653"/>
      <c r="N199" s="1653"/>
      <c r="O199" s="1653"/>
      <c r="P199" s="1653"/>
      <c r="Q199" s="1653"/>
      <c r="R199" s="1653"/>
      <c r="S199" s="1653"/>
      <c r="T199" s="1653"/>
      <c r="U199" s="1653"/>
      <c r="V199" s="1653"/>
      <c r="W199" s="1653"/>
      <c r="X199" s="1653"/>
      <c r="Y199" s="1653"/>
      <c r="Z199" s="1653"/>
      <c r="AA199" s="1653"/>
      <c r="AB199" s="1653"/>
      <c r="AC199" s="1653"/>
      <c r="AD199" s="1653"/>
      <c r="AE199" s="1653"/>
      <c r="AF199" s="1653"/>
      <c r="AG199" s="1653"/>
      <c r="AH199" s="1293"/>
      <c r="AI199" s="1293"/>
      <c r="AJ199" s="1293"/>
      <c r="AK199" s="1293"/>
      <c r="AL199" s="1293"/>
      <c r="AM199" s="1293"/>
      <c r="AN199" s="1293"/>
      <c r="AO199" s="1293"/>
      <c r="AP199" s="1293"/>
      <c r="AQ199" s="1293"/>
      <c r="AR199" s="1293"/>
      <c r="AS199" s="1293"/>
    </row>
    <row r="200" spans="1:45" ht="15.75">
      <c r="A200" s="1653" t="s">
        <v>160</v>
      </c>
      <c r="B200" s="1653"/>
      <c r="C200" s="1653"/>
      <c r="D200" s="1675"/>
      <c r="E200" s="1675"/>
      <c r="F200" s="1717">
        <v>965.03599999999994</v>
      </c>
      <c r="G200" s="1717">
        <v>1192.076</v>
      </c>
      <c r="H200" s="1717">
        <v>1197.1110000000001</v>
      </c>
      <c r="I200" s="1717">
        <v>1935.902</v>
      </c>
      <c r="J200" s="1717">
        <v>2806.136</v>
      </c>
      <c r="K200" s="1717">
        <f>2787.2-K233</f>
        <v>4030.9266250000001</v>
      </c>
      <c r="L200" s="1717">
        <f>2711-L233</f>
        <v>4578.2487531249999</v>
      </c>
      <c r="M200" s="1717">
        <f>2768-M233</f>
        <v>5310.3037216406246</v>
      </c>
      <c r="N200" s="1717">
        <f>2865-N233</f>
        <v>6129.4668425175778</v>
      </c>
      <c r="O200" s="1717">
        <f>3108-O233</f>
        <v>7158.8927293287597</v>
      </c>
      <c r="P200" s="1717">
        <v>5898</v>
      </c>
      <c r="Q200" s="2498">
        <v>9164</v>
      </c>
      <c r="R200" s="1675">
        <f t="shared" ref="R200:AG200" ca="1" si="138">Q200+R229+R202+R296</f>
        <v>9957.9079722325405</v>
      </c>
      <c r="S200" s="1675">
        <f t="shared" ca="1" si="138"/>
        <v>10871.792714748199</v>
      </c>
      <c r="T200" s="1675">
        <f t="shared" ca="1" si="138"/>
        <v>11908.942714748198</v>
      </c>
      <c r="U200" s="1675">
        <f t="shared" ca="1" si="138"/>
        <v>14053.092714748198</v>
      </c>
      <c r="V200" s="1675">
        <f t="shared" ca="1" si="138"/>
        <v>17015.242714748198</v>
      </c>
      <c r="W200" s="1675">
        <f t="shared" ca="1" si="138"/>
        <v>18069.942714748198</v>
      </c>
      <c r="X200" s="1675">
        <f t="shared" ca="1" si="138"/>
        <v>21138.942714748198</v>
      </c>
      <c r="Y200" s="1675">
        <f t="shared" ca="1" si="138"/>
        <v>21686.872714748199</v>
      </c>
      <c r="Z200" s="1873">
        <v>9980</v>
      </c>
      <c r="AA200" s="1675">
        <f t="shared" si="138"/>
        <v>10673</v>
      </c>
      <c r="AB200" s="1675">
        <f t="shared" si="138"/>
        <v>10478.16845696539</v>
      </c>
      <c r="AC200" s="1675">
        <f t="shared" si="138"/>
        <v>11236.338533140968</v>
      </c>
      <c r="AD200" s="1675">
        <f t="shared" si="138"/>
        <v>11991.06829130726</v>
      </c>
      <c r="AE200" s="1675">
        <f t="shared" si="138"/>
        <v>12753.67441551481</v>
      </c>
      <c r="AF200" s="1675">
        <f t="shared" si="138"/>
        <v>13518.344561302458</v>
      </c>
      <c r="AG200" s="1675">
        <f t="shared" si="138"/>
        <v>14280.675144870833</v>
      </c>
      <c r="AH200" s="1293"/>
      <c r="AI200" s="1293"/>
      <c r="AJ200" s="1293"/>
      <c r="AK200" s="1293"/>
      <c r="AL200" s="1293"/>
      <c r="AM200" s="1293"/>
      <c r="AN200" s="1293"/>
      <c r="AO200" s="1293"/>
      <c r="AP200" s="1293"/>
      <c r="AQ200" s="1293"/>
      <c r="AR200" s="1293"/>
      <c r="AS200" s="1293"/>
    </row>
    <row r="201" spans="1:45" ht="15.75">
      <c r="A201" s="1653"/>
      <c r="B201" s="1653"/>
      <c r="C201" s="1653"/>
      <c r="D201" s="1675"/>
      <c r="E201" s="1675"/>
      <c r="F201" s="1665"/>
      <c r="G201" s="1665"/>
      <c r="H201" s="1665"/>
      <c r="I201" s="1665"/>
      <c r="J201" s="1665"/>
      <c r="K201" s="1665"/>
      <c r="L201" s="1665"/>
      <c r="M201" s="1665"/>
      <c r="N201" s="1665"/>
      <c r="O201" s="1665"/>
      <c r="P201" s="1665"/>
      <c r="Q201" s="1665"/>
      <c r="R201" s="1665"/>
      <c r="S201" s="1665"/>
      <c r="T201" s="1665"/>
      <c r="U201" s="1665"/>
      <c r="V201" s="1665"/>
      <c r="W201" s="1665"/>
      <c r="X201" s="1665"/>
      <c r="Y201" s="1665"/>
      <c r="Z201" s="1665"/>
      <c r="AA201" s="1665"/>
      <c r="AB201" s="1665"/>
      <c r="AC201" s="1665"/>
      <c r="AD201" s="1665"/>
      <c r="AE201" s="1665"/>
      <c r="AF201" s="1665"/>
      <c r="AG201" s="1665"/>
      <c r="AH201" s="1293"/>
      <c r="AI201" s="1293"/>
      <c r="AJ201" s="1293"/>
      <c r="AK201" s="1293"/>
      <c r="AL201" s="1293"/>
      <c r="AM201" s="1293"/>
      <c r="AN201" s="1293"/>
      <c r="AO201" s="1293"/>
      <c r="AP201" s="1293"/>
      <c r="AQ201" s="1293"/>
      <c r="AR201" s="1293"/>
      <c r="AS201" s="1293"/>
    </row>
    <row r="202" spans="1:45" ht="15.75">
      <c r="A202" s="1653" t="s">
        <v>161</v>
      </c>
      <c r="B202" s="1653"/>
      <c r="C202" s="1653"/>
      <c r="D202" s="1675"/>
      <c r="E202" s="1675"/>
      <c r="F202" s="1675">
        <f>Div!C83</f>
        <v>103.828</v>
      </c>
      <c r="G202" s="1675">
        <f>Div!D83</f>
        <v>237</v>
      </c>
      <c r="H202" s="1675">
        <f>Div!E83</f>
        <v>354.00000000000006</v>
      </c>
      <c r="I202" s="1675">
        <f>Div!F83</f>
        <v>676</v>
      </c>
      <c r="J202" s="1675">
        <f>Div!G83</f>
        <v>1056</v>
      </c>
      <c r="K202" s="1675">
        <f>Div!H83</f>
        <v>1431</v>
      </c>
      <c r="L202" s="1675">
        <f>Div!I83</f>
        <v>737</v>
      </c>
      <c r="M202" s="1675">
        <f>Div!J83</f>
        <v>688</v>
      </c>
      <c r="N202" s="1675">
        <f>Div!K83</f>
        <v>804</v>
      </c>
      <c r="O202" s="1675">
        <f>Div!L83</f>
        <v>922</v>
      </c>
      <c r="P202" s="1675">
        <f>Div!M83</f>
        <v>1083</v>
      </c>
      <c r="Q202" s="1675">
        <f>'New split'!D437</f>
        <v>1206.4077910056501</v>
      </c>
      <c r="R202" s="1675">
        <f ca="1">'New split'!E437</f>
        <v>1272.90797223254</v>
      </c>
      <c r="S202" s="1675">
        <f ca="1">'New split'!F437</f>
        <v>1030.8847425156582</v>
      </c>
      <c r="T202" s="1675">
        <f>'New split'!G437</f>
        <v>994</v>
      </c>
      <c r="U202" s="1675">
        <f>'New split'!H437</f>
        <v>998.00000000000011</v>
      </c>
      <c r="V202" s="1675">
        <f ca="1">'New split'!I437</f>
        <v>1056</v>
      </c>
      <c r="W202" s="1675">
        <f ca="1">'New split'!J437</f>
        <v>990</v>
      </c>
      <c r="X202" s="1675">
        <f ca="1">'New split'!K437</f>
        <v>1111</v>
      </c>
      <c r="Y202" s="1675">
        <f>'New split'!L399</f>
        <v>973</v>
      </c>
      <c r="Z202" s="1675">
        <f>'New split'!M399</f>
        <v>809</v>
      </c>
      <c r="AA202" s="1675">
        <f>'New split'!N399</f>
        <v>677</v>
      </c>
      <c r="AB202" s="1675">
        <f>'New split'!O399</f>
        <v>680.1684569653894</v>
      </c>
      <c r="AC202" s="1675">
        <f>'New split'!P399</f>
        <v>658.17007617557863</v>
      </c>
      <c r="AD202" s="1675">
        <f>'New split'!Q399</f>
        <v>654.72975816629184</v>
      </c>
      <c r="AE202" s="1675">
        <f>'New split'!R399</f>
        <v>662.60612420755035</v>
      </c>
      <c r="AF202" s="1675">
        <f>'New split'!S399</f>
        <v>664.67014578764781</v>
      </c>
      <c r="AG202" s="1675">
        <f>'New split'!T399</f>
        <v>662.33058356837569</v>
      </c>
      <c r="AH202" s="1293"/>
      <c r="AI202" s="1293"/>
      <c r="AJ202" s="1293"/>
      <c r="AK202" s="1293"/>
      <c r="AL202" s="1293"/>
      <c r="AM202" s="1293"/>
      <c r="AN202" s="1293"/>
      <c r="AO202" s="1293"/>
      <c r="AP202" s="1293"/>
      <c r="AQ202" s="1293"/>
      <c r="AR202" s="1293"/>
      <c r="AS202" s="1293"/>
    </row>
    <row r="203" spans="1:45" ht="15.75">
      <c r="A203" s="1653"/>
      <c r="B203" s="1653"/>
      <c r="C203" s="1653"/>
      <c r="D203" s="1675"/>
      <c r="E203" s="1675"/>
      <c r="F203" s="1675"/>
      <c r="G203" s="1675"/>
      <c r="H203" s="1675"/>
      <c r="I203" s="1675"/>
      <c r="J203" s="1675"/>
      <c r="K203" s="1675"/>
      <c r="L203" s="1675"/>
      <c r="M203" s="1675"/>
      <c r="N203" s="1675"/>
      <c r="O203" s="1675"/>
      <c r="P203" s="1675"/>
      <c r="Q203" s="1675"/>
      <c r="R203" s="1675"/>
      <c r="S203" s="1675"/>
      <c r="T203" s="1675"/>
      <c r="U203" s="1675"/>
      <c r="V203" s="1675"/>
      <c r="W203" s="1675"/>
      <c r="X203" s="1675"/>
      <c r="Y203" s="1675"/>
      <c r="Z203" s="1675"/>
      <c r="AA203" s="1675"/>
      <c r="AB203" s="1675"/>
      <c r="AC203" s="1675"/>
      <c r="AD203" s="1675"/>
      <c r="AE203" s="1675"/>
      <c r="AF203" s="1675"/>
      <c r="AG203" s="1675"/>
      <c r="AH203" s="1293"/>
      <c r="AI203" s="1293"/>
      <c r="AJ203" s="1293"/>
      <c r="AK203" s="1293"/>
      <c r="AL203" s="1293"/>
      <c r="AM203" s="1293"/>
      <c r="AN203" s="1293"/>
      <c r="AO203" s="1293"/>
      <c r="AP203" s="1293"/>
      <c r="AQ203" s="1293"/>
      <c r="AR203" s="1293"/>
      <c r="AS203" s="1293"/>
    </row>
    <row r="204" spans="1:45" ht="15.75">
      <c r="A204" s="1653" t="s">
        <v>1025</v>
      </c>
      <c r="B204" s="1653"/>
      <c r="C204" s="1653"/>
      <c r="D204" s="1675"/>
      <c r="E204" s="1675"/>
      <c r="F204" s="1675"/>
      <c r="G204" s="1675"/>
      <c r="H204" s="1675"/>
      <c r="I204" s="1675"/>
      <c r="J204" s="1675"/>
      <c r="K204" s="1675"/>
      <c r="L204" s="1675"/>
      <c r="M204" s="1675"/>
      <c r="N204" s="1675"/>
      <c r="O204" s="1675"/>
      <c r="P204" s="1675"/>
      <c r="Q204" s="1675"/>
      <c r="R204" s="1675"/>
      <c r="S204" s="1675"/>
      <c r="T204" s="1675"/>
      <c r="U204" s="1675"/>
      <c r="V204" s="1675"/>
      <c r="W204" s="1675"/>
      <c r="X204" s="1675"/>
      <c r="Y204" s="1675"/>
      <c r="Z204" s="1675"/>
      <c r="AA204" s="1675"/>
      <c r="AB204" s="1675"/>
      <c r="AC204" s="1675"/>
      <c r="AD204" s="1675"/>
      <c r="AE204" s="1675"/>
      <c r="AF204" s="1675"/>
      <c r="AG204" s="1675"/>
      <c r="AH204" s="1293"/>
      <c r="AI204" s="1293"/>
      <c r="AJ204" s="1293"/>
      <c r="AK204" s="1293"/>
      <c r="AL204" s="1293"/>
      <c r="AM204" s="1293"/>
      <c r="AN204" s="1293"/>
      <c r="AO204" s="1293"/>
      <c r="AP204" s="1293"/>
      <c r="AQ204" s="1293"/>
      <c r="AR204" s="1293"/>
      <c r="AS204" s="1293"/>
    </row>
    <row r="205" spans="1:45" ht="15.75">
      <c r="A205" s="1653" t="s">
        <v>2564</v>
      </c>
      <c r="B205" s="1653"/>
      <c r="C205" s="1653"/>
      <c r="D205" s="1675"/>
      <c r="E205" s="1675"/>
      <c r="F205" s="1717">
        <v>-82.256</v>
      </c>
      <c r="G205" s="1717">
        <v>-4</v>
      </c>
      <c r="H205" s="1717">
        <v>35</v>
      </c>
      <c r="I205" s="1717">
        <v>0</v>
      </c>
      <c r="J205" s="1717">
        <f>-284</f>
        <v>-284</v>
      </c>
      <c r="K205" s="1717">
        <v>350</v>
      </c>
      <c r="L205" s="1717">
        <f>53-416</f>
        <v>-363</v>
      </c>
      <c r="M205" s="1717">
        <f>-Analysis!G747</f>
        <v>-102</v>
      </c>
      <c r="N205" s="1717">
        <v>-163</v>
      </c>
      <c r="O205" s="1717">
        <v>-140</v>
      </c>
      <c r="P205" s="1717">
        <v>-30</v>
      </c>
      <c r="Q205" s="1717">
        <v>-110</v>
      </c>
      <c r="R205" s="1717">
        <v>0</v>
      </c>
      <c r="S205" s="1717">
        <v>0</v>
      </c>
      <c r="T205" s="1717">
        <v>0</v>
      </c>
      <c r="U205" s="1717">
        <v>0</v>
      </c>
      <c r="V205" s="1717">
        <v>0</v>
      </c>
      <c r="W205" s="1717">
        <v>0</v>
      </c>
      <c r="X205" s="1717">
        <v>0</v>
      </c>
      <c r="Y205" s="1717">
        <v>0</v>
      </c>
      <c r="Z205" s="1717">
        <v>0</v>
      </c>
      <c r="AA205" s="1717">
        <v>0</v>
      </c>
      <c r="AB205" s="1717">
        <v>-975</v>
      </c>
      <c r="AC205" s="1717">
        <v>0</v>
      </c>
      <c r="AD205" s="1717">
        <v>0</v>
      </c>
      <c r="AE205" s="1717">
        <v>0</v>
      </c>
      <c r="AF205" s="1717">
        <v>0</v>
      </c>
      <c r="AG205" s="1717">
        <v>0</v>
      </c>
      <c r="AH205" s="1293"/>
      <c r="AI205" s="1293"/>
      <c r="AJ205" s="1293"/>
      <c r="AK205" s="1293"/>
      <c r="AL205" s="1293"/>
      <c r="AM205" s="1293"/>
      <c r="AN205" s="1293"/>
      <c r="AO205" s="1293"/>
      <c r="AP205" s="1293"/>
      <c r="AQ205" s="1293"/>
      <c r="AR205" s="1293"/>
      <c r="AS205" s="1293"/>
    </row>
    <row r="206" spans="1:45" ht="15.75">
      <c r="A206" s="1653" t="s">
        <v>2565</v>
      </c>
      <c r="B206" s="1653"/>
      <c r="C206" s="1653"/>
      <c r="D206" s="1675"/>
      <c r="E206" s="1675"/>
      <c r="F206" s="1717"/>
      <c r="G206" s="1717"/>
      <c r="H206" s="1717"/>
      <c r="I206" s="1717"/>
      <c r="J206" s="1717"/>
      <c r="K206" s="1717"/>
      <c r="L206" s="1717"/>
      <c r="M206" s="1717"/>
      <c r="N206" s="1717"/>
      <c r="O206" s="1717">
        <v>150</v>
      </c>
      <c r="P206" s="1717"/>
      <c r="Q206" s="1717"/>
      <c r="R206" s="1717"/>
      <c r="S206" s="1717"/>
      <c r="T206" s="1717"/>
      <c r="U206" s="1717"/>
      <c r="V206" s="1717"/>
      <c r="W206" s="1717"/>
      <c r="X206" s="1717"/>
      <c r="Y206" s="1717"/>
      <c r="Z206" s="1717"/>
      <c r="AA206" s="1717"/>
      <c r="AB206" s="1717"/>
      <c r="AC206" s="1717"/>
      <c r="AD206" s="1717"/>
      <c r="AE206" s="1717"/>
      <c r="AF206" s="1717"/>
      <c r="AG206" s="1717"/>
      <c r="AH206" s="1293"/>
      <c r="AI206" s="1293"/>
      <c r="AJ206" s="1293"/>
      <c r="AK206" s="1293"/>
      <c r="AL206" s="1293"/>
      <c r="AM206" s="1293"/>
      <c r="AN206" s="1293"/>
      <c r="AO206" s="1293"/>
      <c r="AP206" s="1293"/>
      <c r="AQ206" s="1293"/>
      <c r="AR206" s="1293"/>
      <c r="AS206" s="1293"/>
    </row>
    <row r="207" spans="1:45" ht="15.75">
      <c r="A207" s="1653" t="s">
        <v>2566</v>
      </c>
      <c r="B207" s="1653"/>
      <c r="C207" s="1653"/>
      <c r="D207" s="1675"/>
      <c r="E207" s="1675"/>
      <c r="F207" s="1717"/>
      <c r="G207" s="1717"/>
      <c r="H207" s="1717"/>
      <c r="I207" s="1717"/>
      <c r="J207" s="1717"/>
      <c r="K207" s="1717"/>
      <c r="L207" s="1717"/>
      <c r="M207" s="1717"/>
      <c r="N207" s="1717"/>
      <c r="O207" s="1717"/>
      <c r="P207" s="1717"/>
      <c r="Q207" s="1717"/>
      <c r="R207" s="1717"/>
      <c r="S207" s="1717"/>
      <c r="T207" s="1717"/>
      <c r="U207" s="1717"/>
      <c r="V207" s="1717"/>
      <c r="W207" s="1717"/>
      <c r="X207" s="1717"/>
      <c r="Y207" s="1717"/>
      <c r="Z207" s="1717"/>
      <c r="AA207" s="1717"/>
      <c r="AB207" s="1717"/>
      <c r="AC207" s="1717"/>
      <c r="AD207" s="1717"/>
      <c r="AE207" s="1717"/>
      <c r="AF207" s="1717"/>
      <c r="AG207" s="1717"/>
      <c r="AH207" s="1293"/>
      <c r="AI207" s="1293"/>
      <c r="AJ207" s="1293"/>
      <c r="AK207" s="1293"/>
      <c r="AL207" s="1293"/>
      <c r="AM207" s="1293"/>
      <c r="AN207" s="1293"/>
      <c r="AO207" s="1293"/>
      <c r="AP207" s="1293"/>
      <c r="AQ207" s="1293"/>
      <c r="AR207" s="1293"/>
      <c r="AS207" s="1293"/>
    </row>
    <row r="208" spans="1:45" ht="15.75">
      <c r="A208" s="1653" t="s">
        <v>2578</v>
      </c>
      <c r="B208" s="1653"/>
      <c r="C208" s="1653"/>
      <c r="D208" s="1675"/>
      <c r="E208" s="1675"/>
      <c r="F208" s="1717"/>
      <c r="G208" s="1717"/>
      <c r="H208" s="1717"/>
      <c r="I208" s="1717"/>
      <c r="J208" s="1717"/>
      <c r="K208" s="1717"/>
      <c r="L208" s="1717"/>
      <c r="M208" s="1717"/>
      <c r="N208" s="1717"/>
      <c r="O208" s="1717"/>
      <c r="P208" s="1717">
        <f>Analysis!F2484/2+4+Notes1!J112</f>
        <v>107.71241968911917</v>
      </c>
      <c r="Q208" s="1717"/>
      <c r="R208" s="1717"/>
      <c r="S208" s="1717">
        <v>0</v>
      </c>
      <c r="T208" s="1717"/>
      <c r="U208" s="1717"/>
      <c r="V208" s="1717"/>
      <c r="W208" s="1717">
        <f>0.05*Analysis!E4185</f>
        <v>36.700000000000003</v>
      </c>
      <c r="X208" s="1717"/>
      <c r="Y208" s="1717"/>
      <c r="Z208" s="1717"/>
      <c r="AA208" s="1717"/>
      <c r="AB208" s="1717"/>
      <c r="AC208" s="1717"/>
      <c r="AD208" s="1717"/>
      <c r="AE208" s="1717"/>
      <c r="AF208" s="1717"/>
      <c r="AG208" s="1717"/>
      <c r="AH208" s="1293"/>
      <c r="AI208" s="1293"/>
      <c r="AJ208" s="1293"/>
      <c r="AK208" s="1293"/>
      <c r="AL208" s="1293"/>
      <c r="AM208" s="1293"/>
      <c r="AN208" s="1293"/>
      <c r="AO208" s="1293"/>
      <c r="AP208" s="1293"/>
      <c r="AQ208" s="1293"/>
      <c r="AR208" s="1293"/>
      <c r="AS208" s="1293"/>
    </row>
    <row r="209" spans="1:45" ht="15.75">
      <c r="A209" s="1653" t="s">
        <v>5056</v>
      </c>
      <c r="B209" s="1653"/>
      <c r="C209" s="1653"/>
      <c r="D209" s="1675"/>
      <c r="E209" s="1675"/>
      <c r="F209" s="1717"/>
      <c r="G209" s="1717"/>
      <c r="H209" s="1717"/>
      <c r="I209" s="1717"/>
      <c r="J209" s="1717"/>
      <c r="K209" s="1717"/>
      <c r="L209" s="1717"/>
      <c r="M209" s="1717"/>
      <c r="N209" s="1717"/>
      <c r="O209" s="1717"/>
      <c r="P209" s="1717"/>
      <c r="Q209" s="1717"/>
      <c r="R209" s="1717"/>
      <c r="S209" s="1717"/>
      <c r="T209" s="1717">
        <f>36.3/2</f>
        <v>18.149999999999999</v>
      </c>
      <c r="U209" s="1717">
        <f>36.3/2</f>
        <v>18.149999999999999</v>
      </c>
      <c r="V209" s="1717"/>
      <c r="W209" s="1717"/>
      <c r="X209" s="1717"/>
      <c r="Y209" s="1717"/>
      <c r="Z209" s="1717"/>
      <c r="AA209" s="1717"/>
      <c r="AB209" s="1717"/>
      <c r="AC209" s="1717"/>
      <c r="AD209" s="1717"/>
      <c r="AE209" s="1717"/>
      <c r="AF209" s="1717"/>
      <c r="AG209" s="1717"/>
      <c r="AH209" s="1293"/>
      <c r="AI209" s="1293"/>
      <c r="AJ209" s="1293"/>
      <c r="AK209" s="1293"/>
      <c r="AL209" s="1293"/>
      <c r="AM209" s="1293"/>
      <c r="AN209" s="1293"/>
      <c r="AO209" s="1293"/>
      <c r="AP209" s="1293"/>
      <c r="AQ209" s="1293"/>
      <c r="AR209" s="1293"/>
      <c r="AS209" s="1293"/>
    </row>
    <row r="210" spans="1:45" ht="15.75">
      <c r="A210" s="1653" t="s">
        <v>3076</v>
      </c>
      <c r="B210" s="1653"/>
      <c r="C210" s="1653"/>
      <c r="D210" s="1675"/>
      <c r="E210" s="1675"/>
      <c r="F210" s="1717"/>
      <c r="G210" s="1717"/>
      <c r="H210" s="1717"/>
      <c r="I210" s="1717"/>
      <c r="J210" s="1717"/>
      <c r="K210" s="1717"/>
      <c r="L210" s="1717"/>
      <c r="M210" s="1717"/>
      <c r="N210" s="1717"/>
      <c r="O210" s="1717"/>
      <c r="P210" s="1717"/>
      <c r="Q210" s="1717">
        <f>1100+240</f>
        <v>1340</v>
      </c>
      <c r="R210" s="1717"/>
      <c r="S210" s="1717"/>
      <c r="T210" s="1717"/>
      <c r="U210" s="1717"/>
      <c r="V210" s="1717"/>
      <c r="W210" s="1717"/>
      <c r="X210" s="1717"/>
      <c r="Y210" s="1717"/>
      <c r="Z210" s="1717"/>
      <c r="AA210" s="1717"/>
      <c r="AB210" s="1717"/>
      <c r="AC210" s="1717"/>
      <c r="AD210" s="1717"/>
      <c r="AE210" s="1717"/>
      <c r="AF210" s="1717"/>
      <c r="AG210" s="1717"/>
      <c r="AH210" s="1293"/>
      <c r="AI210" s="1293"/>
      <c r="AJ210" s="1293"/>
      <c r="AK210" s="1293"/>
      <c r="AL210" s="1293"/>
      <c r="AM210" s="1293"/>
      <c r="AN210" s="1293"/>
      <c r="AO210" s="1293"/>
      <c r="AP210" s="1293"/>
      <c r="AQ210" s="1293"/>
      <c r="AR210" s="1293"/>
      <c r="AS210" s="1293"/>
    </row>
    <row r="211" spans="1:45" ht="15.75">
      <c r="A211" s="1653" t="s">
        <v>2611</v>
      </c>
      <c r="B211" s="1653"/>
      <c r="C211" s="1653"/>
      <c r="D211" s="1675"/>
      <c r="E211" s="1675"/>
      <c r="F211" s="1717"/>
      <c r="G211" s="1717"/>
      <c r="H211" s="1717"/>
      <c r="I211" s="1717"/>
      <c r="J211" s="1717"/>
      <c r="K211" s="1717"/>
      <c r="L211" s="1717"/>
      <c r="M211" s="1717"/>
      <c r="N211" s="1717"/>
      <c r="O211" s="1717">
        <v>103</v>
      </c>
      <c r="P211" s="1717">
        <f>Notes1!J111+Notes1!J116+Notes1!J119+Notes1!J122</f>
        <v>86</v>
      </c>
      <c r="Q211" s="2498"/>
      <c r="R211" s="2498"/>
      <c r="S211" s="2498">
        <v>42</v>
      </c>
      <c r="T211" s="2498">
        <v>25</v>
      </c>
      <c r="U211" s="2498">
        <v>10</v>
      </c>
      <c r="V211" s="2498">
        <v>50</v>
      </c>
      <c r="W211" s="2498">
        <f>SOP!G189</f>
        <v>100</v>
      </c>
      <c r="X211" s="2498">
        <f>SOP!H189</f>
        <v>0</v>
      </c>
      <c r="Y211" s="2498">
        <f>Valuation!L28</f>
        <v>92.93</v>
      </c>
      <c r="Z211" s="2498">
        <f>Valuation!M28</f>
        <v>236</v>
      </c>
      <c r="AA211" s="2498">
        <f>Valuation!N28</f>
        <v>135</v>
      </c>
      <c r="AB211" s="1717">
        <v>100</v>
      </c>
      <c r="AC211" s="1717">
        <v>100</v>
      </c>
      <c r="AD211" s="1717">
        <v>100</v>
      </c>
      <c r="AE211" s="1717">
        <v>100</v>
      </c>
      <c r="AF211" s="1717">
        <v>100</v>
      </c>
      <c r="AG211" s="1717">
        <v>100</v>
      </c>
      <c r="AH211" s="1293"/>
      <c r="AI211" s="1293"/>
      <c r="AJ211" s="1293"/>
      <c r="AK211" s="1293"/>
      <c r="AL211" s="1293"/>
      <c r="AM211" s="1293"/>
      <c r="AN211" s="1293"/>
      <c r="AO211" s="1293"/>
      <c r="AP211" s="1293"/>
      <c r="AQ211" s="1293"/>
      <c r="AR211" s="1293"/>
      <c r="AS211" s="1293"/>
    </row>
    <row r="212" spans="1:45" ht="15.75">
      <c r="A212" s="1653" t="s">
        <v>3936</v>
      </c>
      <c r="B212" s="1653"/>
      <c r="C212" s="1653"/>
      <c r="D212" s="1675"/>
      <c r="E212" s="1675"/>
      <c r="F212" s="1717"/>
      <c r="G212" s="1717"/>
      <c r="H212" s="1717"/>
      <c r="I212" s="1717"/>
      <c r="J212" s="1717"/>
      <c r="K212" s="1717"/>
      <c r="L212" s="1717"/>
      <c r="M212" s="1717"/>
      <c r="N212" s="1717"/>
      <c r="O212" s="1717"/>
      <c r="P212" s="1717"/>
      <c r="Q212" s="1717"/>
      <c r="R212" s="1717">
        <v>23</v>
      </c>
      <c r="S212" s="1717"/>
      <c r="T212" s="1717"/>
      <c r="U212" s="1717"/>
      <c r="V212" s="1717"/>
      <c r="W212" s="1717"/>
      <c r="X212" s="1717"/>
      <c r="Y212" s="1717"/>
      <c r="Z212" s="1717"/>
      <c r="AA212" s="1717"/>
      <c r="AB212" s="1717"/>
      <c r="AC212" s="1717"/>
      <c r="AD212" s="1717"/>
      <c r="AE212" s="1717"/>
      <c r="AF212" s="1717"/>
      <c r="AG212" s="1717"/>
      <c r="AH212" s="1293"/>
      <c r="AI212" s="1293"/>
      <c r="AJ212" s="1293"/>
      <c r="AK212" s="1293"/>
      <c r="AL212" s="1293"/>
      <c r="AM212" s="1293"/>
      <c r="AN212" s="1293"/>
      <c r="AO212" s="1293"/>
      <c r="AP212" s="1293"/>
      <c r="AQ212" s="1293"/>
      <c r="AR212" s="1293"/>
      <c r="AS212" s="1293"/>
    </row>
    <row r="213" spans="1:45" ht="15.75">
      <c r="A213" s="1653" t="s">
        <v>3914</v>
      </c>
      <c r="B213" s="1653"/>
      <c r="C213" s="1653"/>
      <c r="D213" s="1675"/>
      <c r="E213" s="1675"/>
      <c r="F213" s="1717"/>
      <c r="G213" s="1717"/>
      <c r="H213" s="1717"/>
      <c r="I213" s="1717"/>
      <c r="J213" s="1717"/>
      <c r="K213" s="1717"/>
      <c r="L213" s="1717"/>
      <c r="M213" s="1717"/>
      <c r="N213" s="1717"/>
      <c r="O213" s="1717"/>
      <c r="P213" s="1717"/>
      <c r="Q213" s="1717"/>
      <c r="R213" s="1717">
        <v>45</v>
      </c>
      <c r="S213" s="1717"/>
      <c r="T213" s="1717"/>
      <c r="U213" s="1717"/>
      <c r="V213" s="1717"/>
      <c r="W213" s="1717"/>
      <c r="X213" s="1717"/>
      <c r="Y213" s="1717"/>
      <c r="Z213" s="1717"/>
      <c r="AA213" s="1717"/>
      <c r="AB213" s="1717"/>
      <c r="AC213" s="1717"/>
      <c r="AD213" s="1717"/>
      <c r="AE213" s="1717"/>
      <c r="AF213" s="1717"/>
      <c r="AG213" s="1717"/>
      <c r="AH213" s="1293"/>
      <c r="AI213" s="1293"/>
      <c r="AJ213" s="1293"/>
      <c r="AK213" s="1293"/>
      <c r="AL213" s="1293"/>
      <c r="AM213" s="1293"/>
      <c r="AN213" s="1293"/>
      <c r="AO213" s="1293"/>
      <c r="AP213" s="1293"/>
      <c r="AQ213" s="1293"/>
      <c r="AR213" s="1293"/>
      <c r="AS213" s="1293"/>
    </row>
    <row r="214" spans="1:45" ht="15.75">
      <c r="A214" s="1653" t="s">
        <v>781</v>
      </c>
      <c r="B214" s="1653"/>
      <c r="C214" s="1653"/>
      <c r="D214" s="1675"/>
      <c r="E214" s="1675"/>
      <c r="F214" s="1717"/>
      <c r="G214" s="1717"/>
      <c r="H214" s="1717"/>
      <c r="I214" s="1717"/>
      <c r="J214" s="1717"/>
      <c r="K214" s="1717"/>
      <c r="L214" s="1717"/>
      <c r="M214" s="1717"/>
      <c r="N214" s="1717"/>
      <c r="O214" s="1717"/>
      <c r="P214" s="1717"/>
      <c r="Q214" s="1717"/>
      <c r="R214" s="1717">
        <v>75</v>
      </c>
      <c r="S214" s="1717"/>
      <c r="T214" s="1717"/>
      <c r="U214" s="1717"/>
      <c r="V214" s="1717"/>
      <c r="W214" s="1717"/>
      <c r="X214" s="1717"/>
      <c r="Y214" s="1717"/>
      <c r="Z214" s="1717"/>
      <c r="AA214" s="1717"/>
      <c r="AB214" s="1717"/>
      <c r="AC214" s="1717"/>
      <c r="AD214" s="1717"/>
      <c r="AE214" s="1717"/>
      <c r="AF214" s="1717"/>
      <c r="AG214" s="1717"/>
      <c r="AH214" s="1293"/>
      <c r="AI214" s="1293"/>
      <c r="AJ214" s="1293"/>
      <c r="AK214" s="1293"/>
      <c r="AL214" s="1293"/>
      <c r="AM214" s="1293"/>
      <c r="AN214" s="1293"/>
      <c r="AO214" s="1293"/>
      <c r="AP214" s="1293"/>
      <c r="AQ214" s="1293"/>
      <c r="AR214" s="1293"/>
      <c r="AS214" s="1293"/>
    </row>
    <row r="215" spans="1:45" ht="15.75">
      <c r="A215" s="1653" t="s">
        <v>827</v>
      </c>
      <c r="B215" s="1653"/>
      <c r="C215" s="1653"/>
      <c r="D215" s="1675"/>
      <c r="E215" s="1675"/>
      <c r="F215" s="1717"/>
      <c r="G215" s="1717"/>
      <c r="H215" s="1717"/>
      <c r="I215" s="1717"/>
      <c r="J215" s="1717"/>
      <c r="K215" s="1717"/>
      <c r="L215" s="1717"/>
      <c r="M215" s="1717"/>
      <c r="N215" s="1717"/>
      <c r="O215" s="1717"/>
      <c r="P215" s="1717"/>
      <c r="Q215" s="1717"/>
      <c r="R215" s="1717"/>
      <c r="S215" s="1717">
        <v>-160</v>
      </c>
      <c r="T215" s="1717"/>
      <c r="U215" s="1717"/>
      <c r="V215" s="1717"/>
      <c r="W215" s="1717"/>
      <c r="X215" s="1717"/>
      <c r="Y215" s="1717"/>
      <c r="Z215" s="1717"/>
      <c r="AA215" s="1717"/>
      <c r="AB215" s="1717"/>
      <c r="AC215" s="1717"/>
      <c r="AD215" s="1717"/>
      <c r="AE215" s="1717"/>
      <c r="AF215" s="1717"/>
      <c r="AG215" s="1717"/>
      <c r="AH215" s="1293"/>
      <c r="AI215" s="1293"/>
      <c r="AJ215" s="1293"/>
      <c r="AK215" s="1293"/>
      <c r="AL215" s="1293"/>
      <c r="AM215" s="1293"/>
      <c r="AN215" s="1293"/>
      <c r="AO215" s="1293"/>
      <c r="AP215" s="1293"/>
      <c r="AQ215" s="1293"/>
      <c r="AR215" s="1293"/>
      <c r="AS215" s="1293"/>
    </row>
    <row r="216" spans="1:45" ht="15.75">
      <c r="A216" s="1653" t="s">
        <v>2384</v>
      </c>
      <c r="B216" s="1653"/>
      <c r="C216" s="1653"/>
      <c r="D216" s="1675"/>
      <c r="E216" s="1675"/>
      <c r="F216" s="1717"/>
      <c r="G216" s="1717"/>
      <c r="H216" s="1717"/>
      <c r="I216" s="1717"/>
      <c r="J216" s="1717"/>
      <c r="K216" s="1717"/>
      <c r="L216" s="1717"/>
      <c r="M216" s="1717"/>
      <c r="N216" s="1717"/>
      <c r="O216" s="1717"/>
      <c r="P216" s="1717"/>
      <c r="Q216" s="1717"/>
      <c r="R216" s="1717"/>
      <c r="S216" s="1717"/>
      <c r="T216" s="1717"/>
      <c r="U216" s="1717">
        <v>-129</v>
      </c>
      <c r="V216" s="1717"/>
      <c r="W216" s="1717"/>
      <c r="X216" s="1717"/>
      <c r="Y216" s="1717"/>
      <c r="Z216" s="1717"/>
      <c r="AA216" s="1717"/>
      <c r="AB216" s="1717"/>
      <c r="AC216" s="1717"/>
      <c r="AD216" s="1717"/>
      <c r="AE216" s="1717"/>
      <c r="AF216" s="1717"/>
      <c r="AG216" s="1717"/>
      <c r="AH216" s="1293"/>
      <c r="AI216" s="1293"/>
      <c r="AJ216" s="1293"/>
      <c r="AK216" s="1293"/>
      <c r="AL216" s="1293"/>
      <c r="AM216" s="1293"/>
      <c r="AN216" s="1293"/>
      <c r="AO216" s="1293"/>
      <c r="AP216" s="1293"/>
      <c r="AQ216" s="1293"/>
      <c r="AR216" s="1293"/>
      <c r="AS216" s="1293"/>
    </row>
    <row r="217" spans="1:45" ht="15.75">
      <c r="A217" s="1653" t="s">
        <v>4859</v>
      </c>
      <c r="B217" s="1653"/>
      <c r="C217" s="1653"/>
      <c r="D217" s="1675"/>
      <c r="E217" s="1675"/>
      <c r="F217" s="1717"/>
      <c r="G217" s="1717"/>
      <c r="H217" s="1717"/>
      <c r="I217" s="1717"/>
      <c r="J217" s="1717"/>
      <c r="K217" s="1717"/>
      <c r="L217" s="1717"/>
      <c r="M217" s="1717"/>
      <c r="N217" s="1717"/>
      <c r="O217" s="1717"/>
      <c r="P217" s="1717"/>
      <c r="Q217" s="1717"/>
      <c r="R217" s="1717"/>
      <c r="S217" s="1717"/>
      <c r="T217" s="1717"/>
      <c r="U217" s="1717">
        <f>125-(0.7*125)</f>
        <v>37.5</v>
      </c>
      <c r="V217" s="1717"/>
      <c r="W217" s="1717"/>
      <c r="X217" s="1717"/>
      <c r="Y217" s="1717"/>
      <c r="Z217" s="1717"/>
      <c r="AA217" s="1717"/>
      <c r="AB217" s="1717"/>
      <c r="AC217" s="1717"/>
      <c r="AD217" s="1717"/>
      <c r="AE217" s="1717"/>
      <c r="AF217" s="1717"/>
      <c r="AG217" s="1717"/>
      <c r="AH217" s="1293"/>
      <c r="AI217" s="1293"/>
      <c r="AJ217" s="1293"/>
      <c r="AK217" s="1293"/>
      <c r="AL217" s="1293"/>
      <c r="AM217" s="1293"/>
      <c r="AN217" s="1293"/>
      <c r="AO217" s="1293"/>
      <c r="AP217" s="1293"/>
      <c r="AQ217" s="1293"/>
      <c r="AR217" s="1293"/>
      <c r="AS217" s="1293"/>
    </row>
    <row r="218" spans="1:45" ht="15.75">
      <c r="A218" s="1653" t="s">
        <v>5478</v>
      </c>
      <c r="B218" s="1653"/>
      <c r="C218" s="1653"/>
      <c r="D218" s="1675"/>
      <c r="E218" s="1675"/>
      <c r="F218" s="1717"/>
      <c r="G218" s="1717"/>
      <c r="H218" s="1717"/>
      <c r="I218" s="1717"/>
      <c r="J218" s="1717"/>
      <c r="K218" s="1717"/>
      <c r="L218" s="1717"/>
      <c r="M218" s="1717"/>
      <c r="N218" s="1717"/>
      <c r="O218" s="1717"/>
      <c r="P218" s="1717"/>
      <c r="Q218" s="1717"/>
      <c r="R218" s="1717"/>
      <c r="S218" s="1717"/>
      <c r="T218" s="1717"/>
      <c r="U218" s="1717">
        <f>Onda!C89+Onda!C92</f>
        <v>1209.5</v>
      </c>
      <c r="V218" s="1717"/>
      <c r="W218" s="1717"/>
      <c r="X218" s="1717"/>
      <c r="Y218" s="1717"/>
      <c r="Z218" s="1717"/>
      <c r="AA218" s="1717"/>
      <c r="AB218" s="1717"/>
      <c r="AC218" s="1717"/>
      <c r="AD218" s="1717"/>
      <c r="AE218" s="1717"/>
      <c r="AF218" s="1717"/>
      <c r="AG218" s="1717"/>
      <c r="AH218" s="1293"/>
      <c r="AI218" s="1293"/>
      <c r="AJ218" s="1293"/>
      <c r="AK218" s="1293"/>
      <c r="AL218" s="1293"/>
      <c r="AM218" s="1293"/>
      <c r="AN218" s="1293"/>
      <c r="AO218" s="1293"/>
      <c r="AP218" s="1293"/>
      <c r="AQ218" s="1293"/>
      <c r="AR218" s="1293"/>
      <c r="AS218" s="1293"/>
    </row>
    <row r="219" spans="1:45" ht="15.75">
      <c r="A219" s="1653" t="s">
        <v>5604</v>
      </c>
      <c r="B219" s="1653"/>
      <c r="C219" s="1653"/>
      <c r="D219" s="1675"/>
      <c r="E219" s="1675"/>
      <c r="F219" s="1717"/>
      <c r="G219" s="1717"/>
      <c r="H219" s="1717"/>
      <c r="I219" s="1717"/>
      <c r="J219" s="1717"/>
      <c r="K219" s="1717"/>
      <c r="L219" s="1717"/>
      <c r="M219" s="1717"/>
      <c r="N219" s="1717"/>
      <c r="O219" s="1717"/>
      <c r="P219" s="1717"/>
      <c r="Q219" s="1717"/>
      <c r="R219" s="1717"/>
      <c r="S219" s="1717"/>
      <c r="T219" s="1717"/>
      <c r="U219" s="1717"/>
      <c r="V219" s="1717">
        <f>650+430</f>
        <v>1080</v>
      </c>
      <c r="W219" s="1717"/>
      <c r="X219" s="1717"/>
      <c r="Y219" s="1717"/>
      <c r="Z219" s="1717"/>
      <c r="AA219" s="1717"/>
      <c r="AB219" s="1717"/>
      <c r="AC219" s="1717"/>
      <c r="AD219" s="1717"/>
      <c r="AE219" s="1717"/>
      <c r="AF219" s="1717"/>
      <c r="AG219" s="1717"/>
      <c r="AH219" s="1293"/>
      <c r="AI219" s="1293"/>
      <c r="AJ219" s="1293"/>
      <c r="AK219" s="1293"/>
      <c r="AL219" s="1293"/>
      <c r="AM219" s="1293"/>
      <c r="AN219" s="1293"/>
      <c r="AO219" s="1293"/>
      <c r="AP219" s="1293"/>
      <c r="AQ219" s="1293"/>
      <c r="AR219" s="1293"/>
      <c r="AS219" s="1293"/>
    </row>
    <row r="220" spans="1:45" ht="15.75">
      <c r="A220" s="1653" t="s">
        <v>5641</v>
      </c>
      <c r="B220" s="1653"/>
      <c r="C220" s="1653"/>
      <c r="D220" s="1675"/>
      <c r="E220" s="1675"/>
      <c r="F220" s="1717"/>
      <c r="G220" s="1717"/>
      <c r="H220" s="1717"/>
      <c r="I220" s="1717"/>
      <c r="J220" s="1717"/>
      <c r="K220" s="1717"/>
      <c r="L220" s="1717"/>
      <c r="M220" s="1717"/>
      <c r="N220" s="1717"/>
      <c r="O220" s="1717"/>
      <c r="P220" s="1717"/>
      <c r="Q220" s="1717"/>
      <c r="R220" s="1717"/>
      <c r="S220" s="1717"/>
      <c r="T220" s="1717"/>
      <c r="U220" s="1717"/>
      <c r="V220" s="1717">
        <v>917</v>
      </c>
      <c r="W220" s="1717"/>
      <c r="X220" s="1717"/>
      <c r="Y220" s="1717"/>
      <c r="Z220" s="1717"/>
      <c r="AA220" s="1717"/>
      <c r="AB220" s="1717"/>
      <c r="AC220" s="1717"/>
      <c r="AD220" s="1717"/>
      <c r="AE220" s="1717"/>
      <c r="AF220" s="1717"/>
      <c r="AG220" s="1717"/>
      <c r="AH220" s="1293"/>
      <c r="AI220" s="1293"/>
      <c r="AJ220" s="1293"/>
      <c r="AK220" s="1293"/>
      <c r="AL220" s="1293"/>
      <c r="AM220" s="1293"/>
      <c r="AN220" s="1293"/>
      <c r="AO220" s="1293"/>
      <c r="AP220" s="1293"/>
      <c r="AQ220" s="1293"/>
      <c r="AR220" s="1293"/>
      <c r="AS220" s="1293"/>
    </row>
    <row r="221" spans="1:45" ht="15.75">
      <c r="A221" s="1653" t="s">
        <v>5833</v>
      </c>
      <c r="B221" s="1653"/>
      <c r="C221" s="1653"/>
      <c r="D221" s="1675"/>
      <c r="E221" s="1675"/>
      <c r="F221" s="1717"/>
      <c r="G221" s="1717"/>
      <c r="H221" s="1717"/>
      <c r="I221" s="1717"/>
      <c r="J221" s="1717"/>
      <c r="K221" s="1717"/>
      <c r="L221" s="1717"/>
      <c r="M221" s="1717"/>
      <c r="N221" s="1717"/>
      <c r="O221" s="1717"/>
      <c r="P221" s="1717"/>
      <c r="Q221" s="1717"/>
      <c r="R221" s="1717"/>
      <c r="S221" s="1717"/>
      <c r="T221" s="1717"/>
      <c r="U221" s="1717"/>
      <c r="V221" s="1717">
        <f>-30*115*1.3/100</f>
        <v>-44.85</v>
      </c>
      <c r="W221" s="1717"/>
      <c r="X221" s="1717"/>
      <c r="Y221" s="1717"/>
      <c r="Z221" s="1717"/>
      <c r="AA221" s="1717"/>
      <c r="AB221" s="1717"/>
      <c r="AC221" s="1717"/>
      <c r="AD221" s="1717"/>
      <c r="AE221" s="1717"/>
      <c r="AF221" s="1717"/>
      <c r="AG221" s="1717"/>
      <c r="AH221" s="1293"/>
      <c r="AI221" s="1293"/>
      <c r="AJ221" s="1293"/>
      <c r="AK221" s="1293"/>
      <c r="AL221" s="1293"/>
      <c r="AM221" s="1293"/>
      <c r="AN221" s="1293"/>
      <c r="AO221" s="1293"/>
      <c r="AP221" s="1293"/>
      <c r="AQ221" s="1293"/>
      <c r="AR221" s="1293"/>
      <c r="AS221" s="1293"/>
    </row>
    <row r="222" spans="1:45" ht="15.75">
      <c r="A222" s="1653" t="s">
        <v>5875</v>
      </c>
      <c r="B222" s="1653"/>
      <c r="C222" s="1653"/>
      <c r="D222" s="1675"/>
      <c r="E222" s="1675"/>
      <c r="F222" s="1717"/>
      <c r="G222" s="1717"/>
      <c r="H222" s="1717"/>
      <c r="I222" s="1717"/>
      <c r="J222" s="1717"/>
      <c r="K222" s="1717"/>
      <c r="L222" s="1717"/>
      <c r="M222" s="1717"/>
      <c r="N222" s="1717"/>
      <c r="O222" s="1717"/>
      <c r="P222" s="1717"/>
      <c r="Q222" s="1717"/>
      <c r="R222" s="1717"/>
      <c r="S222" s="1717"/>
      <c r="T222" s="1717"/>
      <c r="U222" s="1717"/>
      <c r="V222" s="1717">
        <v>-96</v>
      </c>
      <c r="W222" s="1717"/>
      <c r="X222" s="1717"/>
      <c r="Y222" s="1717"/>
      <c r="Z222" s="1717"/>
      <c r="AA222" s="1717"/>
      <c r="AB222" s="1717"/>
      <c r="AC222" s="1717"/>
      <c r="AD222" s="1717"/>
      <c r="AE222" s="1717"/>
      <c r="AF222" s="1717"/>
      <c r="AG222" s="1717"/>
      <c r="AH222" s="1293"/>
      <c r="AI222" s="1293"/>
      <c r="AJ222" s="1293"/>
      <c r="AK222" s="1293"/>
      <c r="AL222" s="1293"/>
      <c r="AM222" s="1293"/>
      <c r="AN222" s="1293"/>
      <c r="AO222" s="1293"/>
      <c r="AP222" s="1293"/>
      <c r="AQ222" s="1293"/>
      <c r="AR222" s="1293"/>
      <c r="AS222" s="1293"/>
    </row>
    <row r="223" spans="1:45" ht="15.75">
      <c r="A223" s="1653" t="s">
        <v>7235</v>
      </c>
      <c r="B223" s="1653"/>
      <c r="C223" s="1653"/>
      <c r="D223" s="1675"/>
      <c r="E223" s="1675"/>
      <c r="F223" s="1717"/>
      <c r="G223" s="1717"/>
      <c r="H223" s="1717"/>
      <c r="I223" s="1717"/>
      <c r="J223" s="1717"/>
      <c r="K223" s="1717"/>
      <c r="L223" s="1717"/>
      <c r="M223" s="1717"/>
      <c r="N223" s="1717"/>
      <c r="O223" s="1717"/>
      <c r="P223" s="1717"/>
      <c r="Q223" s="1717"/>
      <c r="R223" s="1717"/>
      <c r="S223" s="1717"/>
      <c r="T223" s="1717"/>
      <c r="U223" s="1717"/>
      <c r="V223" s="1717"/>
      <c r="W223" s="1717"/>
      <c r="X223" s="1717">
        <v>-195</v>
      </c>
      <c r="Y223" s="1717"/>
      <c r="Z223" s="1717"/>
      <c r="AA223" s="1717"/>
      <c r="AB223" s="1717"/>
      <c r="AC223" s="1717"/>
      <c r="AD223" s="1717"/>
      <c r="AE223" s="1717"/>
      <c r="AF223" s="1717"/>
      <c r="AG223" s="1717"/>
      <c r="AH223" s="1293"/>
      <c r="AI223" s="1293"/>
      <c r="AJ223" s="1293"/>
      <c r="AK223" s="1293"/>
      <c r="AL223" s="1293"/>
      <c r="AM223" s="1293"/>
      <c r="AN223" s="1293"/>
      <c r="AO223" s="1293"/>
      <c r="AP223" s="1293"/>
      <c r="AQ223" s="1293"/>
      <c r="AR223" s="1293"/>
      <c r="AS223" s="1293"/>
    </row>
    <row r="224" spans="1:45" ht="15.75">
      <c r="A224" s="1653" t="s">
        <v>7230</v>
      </c>
      <c r="B224" s="1653"/>
      <c r="C224" s="1653"/>
      <c r="D224" s="1675"/>
      <c r="E224" s="1675"/>
      <c r="F224" s="1717"/>
      <c r="G224" s="1717"/>
      <c r="H224" s="1717"/>
      <c r="I224" s="1717"/>
      <c r="J224" s="1717"/>
      <c r="K224" s="1717"/>
      <c r="L224" s="1717"/>
      <c r="M224" s="1717"/>
      <c r="N224" s="1717"/>
      <c r="O224" s="1717"/>
      <c r="P224" s="1717"/>
      <c r="Q224" s="1717"/>
      <c r="R224" s="1717"/>
      <c r="S224" s="1717"/>
      <c r="T224" s="1717"/>
      <c r="U224" s="1717"/>
      <c r="V224" s="1717"/>
      <c r="W224" s="1717"/>
      <c r="X224" s="1717"/>
      <c r="Y224" s="1717">
        <v>-430</v>
      </c>
      <c r="Z224" s="1717"/>
      <c r="AA224" s="1717"/>
      <c r="AB224" s="1717"/>
      <c r="AC224" s="1717"/>
      <c r="AD224" s="1717"/>
      <c r="AE224" s="1717"/>
      <c r="AF224" s="1717"/>
      <c r="AG224" s="1717"/>
      <c r="AH224" s="1293"/>
      <c r="AI224" s="1293"/>
      <c r="AJ224" s="1293"/>
      <c r="AK224" s="1293"/>
      <c r="AL224" s="1293"/>
      <c r="AM224" s="1293"/>
      <c r="AN224" s="1293"/>
      <c r="AO224" s="1293"/>
      <c r="AP224" s="1293"/>
      <c r="AQ224" s="1293"/>
      <c r="AR224" s="1293"/>
      <c r="AS224" s="1293"/>
    </row>
    <row r="225" spans="1:45" ht="15.75">
      <c r="A225" s="1653" t="s">
        <v>7329</v>
      </c>
      <c r="B225" s="1653"/>
      <c r="C225" s="1653"/>
      <c r="D225" s="1675"/>
      <c r="E225" s="1675"/>
      <c r="F225" s="1717"/>
      <c r="G225" s="1717"/>
      <c r="H225" s="1717"/>
      <c r="I225" s="1717"/>
      <c r="J225" s="1717"/>
      <c r="K225" s="1717"/>
      <c r="L225" s="1717"/>
      <c r="M225" s="1717"/>
      <c r="N225" s="1717"/>
      <c r="O225" s="1717"/>
      <c r="P225" s="1717"/>
      <c r="Q225" s="1717"/>
      <c r="R225" s="1717"/>
      <c r="S225" s="1717"/>
      <c r="T225" s="1717"/>
      <c r="U225" s="1717"/>
      <c r="V225" s="1717"/>
      <c r="W225" s="1717"/>
      <c r="X225" s="1717">
        <v>2200</v>
      </c>
      <c r="Y225" s="1717"/>
      <c r="Z225" s="1717"/>
      <c r="AA225" s="1717"/>
      <c r="AB225" s="1717"/>
      <c r="AC225" s="1717"/>
      <c r="AD225" s="1717"/>
      <c r="AE225" s="1717"/>
      <c r="AF225" s="1717"/>
      <c r="AG225" s="1717"/>
      <c r="AH225" s="1293"/>
      <c r="AI225" s="1293"/>
      <c r="AJ225" s="1293"/>
      <c r="AK225" s="1293"/>
      <c r="AL225" s="1293"/>
      <c r="AM225" s="1293"/>
      <c r="AN225" s="1293"/>
      <c r="AO225" s="1293"/>
      <c r="AP225" s="1293"/>
      <c r="AQ225" s="1293"/>
      <c r="AR225" s="1293"/>
      <c r="AS225" s="1293"/>
    </row>
    <row r="226" spans="1:45" ht="15.75">
      <c r="A226" s="1653" t="s">
        <v>7427</v>
      </c>
      <c r="B226" s="1653"/>
      <c r="C226" s="1653"/>
      <c r="D226" s="1675"/>
      <c r="E226" s="1675"/>
      <c r="F226" s="1717"/>
      <c r="G226" s="1717"/>
      <c r="H226" s="1717"/>
      <c r="I226" s="1717"/>
      <c r="J226" s="1717"/>
      <c r="K226" s="1717"/>
      <c r="L226" s="1717"/>
      <c r="M226" s="1717"/>
      <c r="N226" s="1717"/>
      <c r="O226" s="1717"/>
      <c r="P226" s="1717"/>
      <c r="Q226" s="1717"/>
      <c r="R226" s="1717"/>
      <c r="S226" s="1717"/>
      <c r="T226" s="1717"/>
      <c r="U226" s="1717"/>
      <c r="V226" s="1717"/>
      <c r="W226" s="1717"/>
      <c r="X226" s="1717"/>
      <c r="Y226" s="1717">
        <v>-300</v>
      </c>
      <c r="Z226" s="1717"/>
      <c r="AA226" s="1717"/>
      <c r="AB226" s="1717"/>
      <c r="AC226" s="1717"/>
      <c r="AD226" s="1717"/>
      <c r="AE226" s="1717"/>
      <c r="AF226" s="1717"/>
      <c r="AG226" s="1717"/>
      <c r="AH226" s="1293"/>
      <c r="AI226" s="1293"/>
      <c r="AJ226" s="1293"/>
      <c r="AK226" s="1293"/>
      <c r="AL226" s="1293"/>
      <c r="AM226" s="1293"/>
      <c r="AN226" s="1293"/>
      <c r="AO226" s="1293"/>
      <c r="AP226" s="1293"/>
      <c r="AQ226" s="1293"/>
      <c r="AR226" s="1293"/>
      <c r="AS226" s="1293"/>
    </row>
    <row r="227" spans="1:45" ht="15.75">
      <c r="A227" s="1653" t="s">
        <v>7633</v>
      </c>
      <c r="B227" s="1653"/>
      <c r="C227" s="1653"/>
      <c r="D227" s="1675"/>
      <c r="E227" s="1675"/>
      <c r="F227" s="1717"/>
      <c r="G227" s="1717"/>
      <c r="H227" s="1717"/>
      <c r="I227" s="1717"/>
      <c r="J227" s="1717"/>
      <c r="K227" s="1717"/>
      <c r="L227" s="1717"/>
      <c r="M227" s="1717"/>
      <c r="N227" s="1717"/>
      <c r="O227" s="1717"/>
      <c r="P227" s="1717"/>
      <c r="Q227" s="1717"/>
      <c r="R227" s="1717"/>
      <c r="S227" s="1717"/>
      <c r="T227" s="1717"/>
      <c r="U227" s="1717"/>
      <c r="V227" s="1717"/>
      <c r="W227" s="1717"/>
      <c r="X227" s="1717"/>
      <c r="Y227" s="1717">
        <v>290</v>
      </c>
      <c r="Z227" s="1717"/>
      <c r="AA227" s="1717"/>
      <c r="AB227" s="1717"/>
      <c r="AC227" s="1717"/>
      <c r="AD227" s="1717"/>
      <c r="AE227" s="1717"/>
      <c r="AF227" s="1717"/>
      <c r="AG227" s="1717"/>
      <c r="AH227" s="1293"/>
      <c r="AI227" s="1293"/>
      <c r="AJ227" s="1293"/>
      <c r="AK227" s="1293"/>
      <c r="AL227" s="1293"/>
      <c r="AM227" s="1293"/>
      <c r="AN227" s="1293"/>
      <c r="AO227" s="1293"/>
      <c r="AP227" s="1293"/>
      <c r="AQ227" s="1293"/>
      <c r="AR227" s="1293"/>
      <c r="AS227" s="1293"/>
    </row>
    <row r="228" spans="1:45" ht="15.75">
      <c r="A228" s="1672" t="s">
        <v>3356</v>
      </c>
      <c r="B228" s="1672"/>
      <c r="C228" s="1672"/>
      <c r="D228" s="1705"/>
      <c r="E228" s="1705"/>
      <c r="F228" s="1719"/>
      <c r="G228" s="1719"/>
      <c r="H228" s="1719"/>
      <c r="I228" s="1719"/>
      <c r="J228" s="1719"/>
      <c r="K228" s="1719"/>
      <c r="L228" s="1719"/>
      <c r="M228" s="1719"/>
      <c r="N228" s="1719"/>
      <c r="O228" s="1719"/>
      <c r="P228" s="1719"/>
      <c r="Q228" s="1719"/>
      <c r="R228" s="1719"/>
      <c r="S228" s="1719"/>
      <c r="T228" s="1719"/>
      <c r="U228" s="1719"/>
      <c r="V228" s="1719"/>
      <c r="W228" s="1719"/>
      <c r="X228" s="1719"/>
      <c r="Y228" s="1719"/>
      <c r="Z228" s="1719"/>
      <c r="AA228" s="1719"/>
      <c r="AB228" s="1719"/>
      <c r="AC228" s="1719"/>
      <c r="AD228" s="1719"/>
      <c r="AE228" s="1719"/>
      <c r="AF228" s="1719"/>
      <c r="AG228" s="1719"/>
      <c r="AH228" s="1293"/>
      <c r="AI228" s="1293"/>
      <c r="AJ228" s="1293"/>
      <c r="AK228" s="1293"/>
      <c r="AL228" s="1293"/>
      <c r="AM228" s="1293"/>
      <c r="AN228" s="1293"/>
      <c r="AO228" s="1293"/>
      <c r="AP228" s="1293"/>
      <c r="AQ228" s="1293"/>
      <c r="AR228" s="1293"/>
      <c r="AS228" s="1293"/>
    </row>
    <row r="229" spans="1:45" ht="15.75">
      <c r="A229" s="1653" t="s">
        <v>2324</v>
      </c>
      <c r="B229" s="1653"/>
      <c r="C229" s="1653"/>
      <c r="D229" s="1675"/>
      <c r="E229" s="1675"/>
      <c r="F229" s="1717">
        <f t="shared" ref="F229:P229" si="139">SUM(F205:F211)</f>
        <v>-82.256</v>
      </c>
      <c r="G229" s="1717">
        <f t="shared" si="139"/>
        <v>-4</v>
      </c>
      <c r="H229" s="1717">
        <f t="shared" si="139"/>
        <v>35</v>
      </c>
      <c r="I229" s="1717">
        <f t="shared" si="139"/>
        <v>0</v>
      </c>
      <c r="J229" s="1717">
        <f t="shared" si="139"/>
        <v>-284</v>
      </c>
      <c r="K229" s="1717">
        <f t="shared" si="139"/>
        <v>350</v>
      </c>
      <c r="L229" s="1717">
        <f t="shared" si="139"/>
        <v>-363</v>
      </c>
      <c r="M229" s="1717">
        <f t="shared" si="139"/>
        <v>-102</v>
      </c>
      <c r="N229" s="1717">
        <f t="shared" si="139"/>
        <v>-163</v>
      </c>
      <c r="O229" s="1717">
        <f t="shared" si="139"/>
        <v>113</v>
      </c>
      <c r="P229" s="1717">
        <f t="shared" si="139"/>
        <v>163.71241968911917</v>
      </c>
      <c r="Q229" s="1717">
        <f t="shared" ref="Q229:AG229" si="140">SUM(Q205:Q228)</f>
        <v>1230</v>
      </c>
      <c r="R229" s="1717">
        <f t="shared" si="140"/>
        <v>143</v>
      </c>
      <c r="S229" s="1717">
        <f t="shared" si="140"/>
        <v>-118</v>
      </c>
      <c r="T229" s="1717">
        <f t="shared" si="140"/>
        <v>43.15</v>
      </c>
      <c r="U229" s="1717">
        <f t="shared" si="140"/>
        <v>1146.1500000000001</v>
      </c>
      <c r="V229" s="1717">
        <f t="shared" si="140"/>
        <v>1906.15</v>
      </c>
      <c r="W229" s="1717">
        <f t="shared" si="140"/>
        <v>136.69999999999999</v>
      </c>
      <c r="X229" s="1717">
        <f t="shared" si="140"/>
        <v>2005</v>
      </c>
      <c r="Y229" s="1717">
        <f t="shared" si="140"/>
        <v>-347.06999999999994</v>
      </c>
      <c r="Z229" s="1717">
        <f t="shared" si="140"/>
        <v>236</v>
      </c>
      <c r="AA229" s="1717">
        <f t="shared" si="140"/>
        <v>135</v>
      </c>
      <c r="AB229" s="1717">
        <f t="shared" si="140"/>
        <v>-875</v>
      </c>
      <c r="AC229" s="1717">
        <f t="shared" si="140"/>
        <v>100</v>
      </c>
      <c r="AD229" s="1717">
        <f t="shared" si="140"/>
        <v>100</v>
      </c>
      <c r="AE229" s="1717">
        <f t="shared" si="140"/>
        <v>100</v>
      </c>
      <c r="AF229" s="1717">
        <f t="shared" si="140"/>
        <v>100</v>
      </c>
      <c r="AG229" s="1717">
        <f t="shared" si="140"/>
        <v>100</v>
      </c>
      <c r="AH229" s="1293"/>
      <c r="AI229" s="1293"/>
      <c r="AJ229" s="1293"/>
      <c r="AK229" s="1293"/>
      <c r="AL229" s="1293"/>
      <c r="AM229" s="1293"/>
      <c r="AN229" s="1293"/>
      <c r="AO229" s="1293"/>
      <c r="AP229" s="1293"/>
      <c r="AQ229" s="1293"/>
      <c r="AR229" s="1293"/>
      <c r="AS229" s="1293"/>
    </row>
    <row r="230" spans="1:45" ht="15.75">
      <c r="A230" s="1653"/>
      <c r="B230" s="1653"/>
      <c r="C230" s="1653"/>
      <c r="D230" s="1675"/>
      <c r="E230" s="1675"/>
      <c r="F230" s="1717"/>
      <c r="G230" s="1717"/>
      <c r="H230" s="1717"/>
      <c r="I230" s="1717"/>
      <c r="J230" s="1717"/>
      <c r="K230" s="1717"/>
      <c r="L230" s="1717"/>
      <c r="M230" s="1717"/>
      <c r="N230" s="1717"/>
      <c r="O230" s="1717"/>
      <c r="P230" s="1717"/>
      <c r="Q230" s="1717"/>
      <c r="R230" s="1717"/>
      <c r="S230" s="1717"/>
      <c r="T230" s="1717"/>
      <c r="U230" s="1717"/>
      <c r="V230" s="1717"/>
      <c r="W230" s="1717"/>
      <c r="X230" s="1717"/>
      <c r="Y230" s="1717"/>
      <c r="Z230" s="1717"/>
      <c r="AA230" s="1717"/>
      <c r="AB230" s="1717"/>
      <c r="AC230" s="1717"/>
      <c r="AD230" s="1717"/>
      <c r="AE230" s="1717"/>
      <c r="AF230" s="1717"/>
      <c r="AG230" s="1717"/>
      <c r="AH230" s="1293"/>
      <c r="AI230" s="1293"/>
      <c r="AJ230" s="1293"/>
      <c r="AK230" s="1293"/>
      <c r="AL230" s="1293"/>
      <c r="AM230" s="1293"/>
      <c r="AN230" s="1293"/>
      <c r="AO230" s="1293"/>
      <c r="AP230" s="1293"/>
      <c r="AQ230" s="1293"/>
      <c r="AR230" s="1293"/>
      <c r="AS230" s="1293"/>
    </row>
    <row r="231" spans="1:45" ht="15.75">
      <c r="A231" s="1653" t="s">
        <v>78</v>
      </c>
      <c r="B231" s="1653"/>
      <c r="C231" s="1653"/>
      <c r="D231" s="1675"/>
      <c r="E231" s="1675"/>
      <c r="F231" s="1717">
        <f>-16.854-6.121-2.518+19.98+74.513</f>
        <v>69</v>
      </c>
      <c r="G231" s="1717">
        <f>-3.322-7.237-9.864+13.848</f>
        <v>-6.5750000000000011</v>
      </c>
      <c r="H231" s="1717">
        <v>0</v>
      </c>
      <c r="I231" s="1717">
        <v>0</v>
      </c>
      <c r="J231" s="1717">
        <v>0</v>
      </c>
      <c r="K231" s="1717">
        <v>0</v>
      </c>
      <c r="L231" s="1717">
        <v>0</v>
      </c>
      <c r="M231" s="1717">
        <v>0</v>
      </c>
      <c r="N231" s="1717">
        <v>0</v>
      </c>
      <c r="O231" s="1717">
        <v>0</v>
      </c>
      <c r="P231" s="1717">
        <v>0</v>
      </c>
      <c r="Q231" s="1717">
        <v>0</v>
      </c>
      <c r="R231" s="1717">
        <v>0</v>
      </c>
      <c r="S231" s="1717">
        <v>0</v>
      </c>
      <c r="T231" s="1717">
        <v>0</v>
      </c>
      <c r="U231" s="1717">
        <v>0</v>
      </c>
      <c r="V231" s="1717">
        <v>0</v>
      </c>
      <c r="W231" s="1717">
        <v>0</v>
      </c>
      <c r="X231" s="1717">
        <v>0</v>
      </c>
      <c r="Y231" s="1717">
        <v>0</v>
      </c>
      <c r="Z231" s="1717">
        <v>0</v>
      </c>
      <c r="AA231" s="1717">
        <v>0</v>
      </c>
      <c r="AB231" s="1717">
        <v>0</v>
      </c>
      <c r="AC231" s="1717">
        <v>0</v>
      </c>
      <c r="AD231" s="1717">
        <v>0</v>
      </c>
      <c r="AE231" s="1717">
        <v>0</v>
      </c>
      <c r="AF231" s="1717">
        <v>0</v>
      </c>
      <c r="AG231" s="1717">
        <v>0</v>
      </c>
      <c r="AH231" s="1293"/>
      <c r="AI231" s="1293"/>
      <c r="AJ231" s="1293"/>
      <c r="AK231" s="1293"/>
      <c r="AL231" s="1293"/>
      <c r="AM231" s="1293"/>
      <c r="AN231" s="1293"/>
      <c r="AO231" s="1293"/>
      <c r="AP231" s="1293"/>
      <c r="AQ231" s="1293"/>
      <c r="AR231" s="1293"/>
      <c r="AS231" s="1293"/>
    </row>
    <row r="232" spans="1:45" ht="15.75">
      <c r="A232" s="1653"/>
      <c r="B232" s="1653"/>
      <c r="C232" s="1653"/>
      <c r="D232" s="1653"/>
      <c r="E232" s="1653"/>
      <c r="F232" s="1653"/>
      <c r="G232" s="1653"/>
      <c r="H232" s="1653"/>
      <c r="I232" s="1653"/>
      <c r="J232" s="1653"/>
      <c r="K232" s="1653"/>
      <c r="L232" s="1653"/>
      <c r="M232" s="1653"/>
      <c r="N232" s="1653"/>
      <c r="O232" s="1653"/>
      <c r="P232" s="1653"/>
      <c r="Q232" s="1653"/>
      <c r="R232" s="1653"/>
      <c r="S232" s="1653"/>
      <c r="T232" s="1653"/>
      <c r="U232" s="1653"/>
      <c r="V232" s="1653"/>
      <c r="W232" s="1653"/>
      <c r="X232" s="1653"/>
      <c r="Y232" s="1653"/>
      <c r="Z232" s="1653"/>
      <c r="AA232" s="1653"/>
      <c r="AB232" s="1653"/>
      <c r="AC232" s="1653"/>
      <c r="AD232" s="1653"/>
      <c r="AE232" s="1653"/>
      <c r="AF232" s="1653"/>
      <c r="AG232" s="1653"/>
      <c r="AH232" s="1293"/>
      <c r="AI232" s="1293"/>
      <c r="AJ232" s="1293"/>
      <c r="AK232" s="1293"/>
      <c r="AL232" s="1293"/>
      <c r="AM232" s="1293"/>
      <c r="AN232" s="1293"/>
      <c r="AO232" s="1293"/>
      <c r="AP232" s="1293"/>
      <c r="AQ232" s="1293"/>
      <c r="AR232" s="1293"/>
      <c r="AS232" s="1293"/>
    </row>
    <row r="233" spans="1:45" ht="15.75">
      <c r="A233" s="1653" t="s">
        <v>982</v>
      </c>
      <c r="B233" s="1653"/>
      <c r="C233" s="1653"/>
      <c r="D233" s="1675"/>
      <c r="E233" s="1675"/>
      <c r="F233" s="1717">
        <v>-475.49299999999999</v>
      </c>
      <c r="G233" s="1717">
        <v>-616.42700000000002</v>
      </c>
      <c r="H233" s="1717">
        <v>-525.33699999999999</v>
      </c>
      <c r="I233" s="1717">
        <v>-669</v>
      </c>
      <c r="J233" s="1717">
        <v>-740</v>
      </c>
      <c r="K233" s="1675">
        <f>J233+SUM(K196:K198)</f>
        <v>-1243.726625</v>
      </c>
      <c r="L233" s="1675">
        <f>K233+SUM(L196:L198)</f>
        <v>-1867.2487531249999</v>
      </c>
      <c r="M233" s="1675">
        <f>L233+SUM(M196:M198)</f>
        <v>-2542.3037216406246</v>
      </c>
      <c r="N233" s="1675">
        <f>M233+SUM(N196:N198)</f>
        <v>-3264.4668425175778</v>
      </c>
      <c r="O233" s="1675">
        <f>N233+SUM(O196:O198)</f>
        <v>-4050.8927293287593</v>
      </c>
      <c r="P233" s="1675">
        <f t="shared" ref="P233:AA233" si="141">P234-P200</f>
        <v>-3127</v>
      </c>
      <c r="Q233" s="1675">
        <f t="shared" si="141"/>
        <v>-4533</v>
      </c>
      <c r="R233" s="1675">
        <f t="shared" ca="1" si="141"/>
        <v>-5721.9079722325405</v>
      </c>
      <c r="S233" s="1675">
        <f t="shared" ca="1" si="141"/>
        <v>-6666.7927147481987</v>
      </c>
      <c r="T233" s="1675">
        <f t="shared" ca="1" si="141"/>
        <v>-7937.9427147481983</v>
      </c>
      <c r="U233" s="1675">
        <f t="shared" ca="1" si="141"/>
        <v>-10026.092714748198</v>
      </c>
      <c r="V233" s="1675">
        <f t="shared" ca="1" si="141"/>
        <v>-13204.242714748198</v>
      </c>
      <c r="W233" s="1675">
        <f t="shared" ca="1" si="141"/>
        <v>-14440.942714748198</v>
      </c>
      <c r="X233" s="1675">
        <f t="shared" ca="1" si="141"/>
        <v>-17628.942714748198</v>
      </c>
      <c r="Y233" s="1675">
        <f t="shared" ca="1" si="141"/>
        <v>-18697.872714748199</v>
      </c>
      <c r="Z233" s="1675">
        <f t="shared" si="141"/>
        <v>-6873</v>
      </c>
      <c r="AA233" s="1675">
        <f t="shared" si="141"/>
        <v>-7826</v>
      </c>
      <c r="AB233" s="1675">
        <f t="shared" ref="AB233:AG233" si="142">AA233+SUM(AB196:AB198)</f>
        <v>-8737.0400000000009</v>
      </c>
      <c r="AC233" s="1675">
        <f t="shared" si="142"/>
        <v>-9294.2011062289257</v>
      </c>
      <c r="AD233" s="1675">
        <f t="shared" si="142"/>
        <v>-9915.6850828407787</v>
      </c>
      <c r="AE233" s="1675">
        <f t="shared" si="142"/>
        <v>-10579.807709550052</v>
      </c>
      <c r="AF233" s="1675">
        <f t="shared" si="142"/>
        <v>-11275.445055458775</v>
      </c>
      <c r="AG233" s="1675">
        <f t="shared" si="142"/>
        <v>-11993.172897328754</v>
      </c>
      <c r="AH233" s="1293"/>
      <c r="AI233" s="1293"/>
      <c r="AJ233" s="1293"/>
      <c r="AK233" s="1293"/>
      <c r="AL233" s="1293"/>
      <c r="AM233" s="1293"/>
      <c r="AN233" s="1293"/>
      <c r="AO233" s="1293"/>
      <c r="AP233" s="1293"/>
      <c r="AQ233" s="1293"/>
      <c r="AR233" s="1293"/>
      <c r="AS233" s="1293"/>
    </row>
    <row r="234" spans="1:45" ht="15.75">
      <c r="A234" s="1653" t="s">
        <v>983</v>
      </c>
      <c r="B234" s="1653"/>
      <c r="C234" s="1653"/>
      <c r="D234" s="1675"/>
      <c r="E234" s="1675"/>
      <c r="F234" s="1675">
        <f t="shared" ref="F234:O234" si="143">F200+F233</f>
        <v>489.54299999999995</v>
      </c>
      <c r="G234" s="1675">
        <f t="shared" si="143"/>
        <v>575.649</v>
      </c>
      <c r="H234" s="1675">
        <f t="shared" si="143"/>
        <v>671.77400000000011</v>
      </c>
      <c r="I234" s="1675">
        <f t="shared" si="143"/>
        <v>1266.902</v>
      </c>
      <c r="J234" s="1675">
        <f t="shared" si="143"/>
        <v>2066.136</v>
      </c>
      <c r="K234" s="1675">
        <f t="shared" si="143"/>
        <v>2787.2</v>
      </c>
      <c r="L234" s="1675">
        <f t="shared" si="143"/>
        <v>2711</v>
      </c>
      <c r="M234" s="1675">
        <f t="shared" si="143"/>
        <v>2768</v>
      </c>
      <c r="N234" s="1675">
        <f t="shared" si="143"/>
        <v>2865</v>
      </c>
      <c r="O234" s="1675">
        <f t="shared" si="143"/>
        <v>3108.0000000000005</v>
      </c>
      <c r="P234" s="1717">
        <v>2771</v>
      </c>
      <c r="Q234" s="1717">
        <v>4631</v>
      </c>
      <c r="R234" s="1717">
        <v>4236</v>
      </c>
      <c r="S234" s="1717">
        <v>4205</v>
      </c>
      <c r="T234" s="1717">
        <v>3971</v>
      </c>
      <c r="U234" s="1717">
        <v>4027</v>
      </c>
      <c r="V234" s="1717">
        <v>3811</v>
      </c>
      <c r="W234" s="1717">
        <v>3629</v>
      </c>
      <c r="X234" s="1717">
        <v>3510</v>
      </c>
      <c r="Y234" s="1717">
        <v>2989</v>
      </c>
      <c r="Z234" s="1717">
        <v>3107</v>
      </c>
      <c r="AA234" s="1717">
        <v>2847</v>
      </c>
      <c r="AB234" s="1675">
        <f>AB200+AB233</f>
        <v>1741.128456965389</v>
      </c>
      <c r="AC234" s="1675">
        <f t="shared" ref="AC234:AG234" si="144">AC200+AC233</f>
        <v>1942.1374269120424</v>
      </c>
      <c r="AD234" s="1675">
        <f t="shared" si="144"/>
        <v>2075.3832084664809</v>
      </c>
      <c r="AE234" s="1675">
        <f t="shared" si="144"/>
        <v>2173.8667059647578</v>
      </c>
      <c r="AF234" s="1675">
        <f t="shared" si="144"/>
        <v>2242.8995058436831</v>
      </c>
      <c r="AG234" s="1675">
        <f t="shared" si="144"/>
        <v>2287.5022475420792</v>
      </c>
      <c r="AH234" s="1293"/>
      <c r="AI234" s="1293"/>
      <c r="AJ234" s="1293"/>
      <c r="AK234" s="1293"/>
      <c r="AL234" s="1293"/>
      <c r="AM234" s="1293"/>
      <c r="AN234" s="1293"/>
      <c r="AO234" s="1293"/>
      <c r="AP234" s="1293"/>
      <c r="AQ234" s="1293"/>
      <c r="AR234" s="1293"/>
      <c r="AS234" s="1293"/>
    </row>
    <row r="235" spans="1:45" ht="15.75">
      <c r="A235" s="1653"/>
      <c r="B235" s="1653"/>
      <c r="C235" s="1653"/>
      <c r="D235" s="1653"/>
      <c r="E235" s="1653"/>
      <c r="F235" s="1675"/>
      <c r="G235" s="1675"/>
      <c r="H235" s="1675" t="s">
        <v>1823</v>
      </c>
      <c r="I235" s="1653"/>
      <c r="J235" s="1653"/>
      <c r="K235" s="1653"/>
      <c r="L235" s="1653"/>
      <c r="M235" s="1653"/>
      <c r="N235" s="1653"/>
      <c r="O235" s="1653"/>
      <c r="P235" s="1653"/>
      <c r="Q235" s="1653"/>
      <c r="R235" s="1653"/>
      <c r="S235" s="1653"/>
      <c r="T235" s="1653"/>
      <c r="U235" s="1653"/>
      <c r="V235" s="1653"/>
      <c r="W235" s="1653"/>
      <c r="X235" s="1653"/>
      <c r="Y235" s="1653"/>
      <c r="Z235" s="1653"/>
      <c r="AA235" s="1653"/>
      <c r="AB235" s="1653"/>
      <c r="AC235" s="1653"/>
      <c r="AD235" s="1653"/>
      <c r="AE235" s="1653"/>
      <c r="AF235" s="1653"/>
      <c r="AG235" s="1653"/>
      <c r="AH235" s="1293"/>
      <c r="AI235" s="1293"/>
      <c r="AJ235" s="1293"/>
      <c r="AK235" s="1293"/>
      <c r="AL235" s="1293"/>
      <c r="AM235" s="1293"/>
      <c r="AN235" s="1293"/>
      <c r="AO235" s="1293"/>
      <c r="AP235" s="1293"/>
      <c r="AQ235" s="1293"/>
      <c r="AR235" s="1293"/>
      <c r="AS235" s="1293"/>
    </row>
    <row r="236" spans="1:45" ht="15.75">
      <c r="A236" s="1939" t="s">
        <v>984</v>
      </c>
      <c r="B236" s="1939"/>
      <c r="C236" s="1653"/>
      <c r="D236" s="1653"/>
      <c r="E236" s="1653"/>
      <c r="F236" s="1653"/>
      <c r="G236" s="1653"/>
      <c r="H236" s="1653"/>
      <c r="I236" s="1653"/>
      <c r="J236" s="1653"/>
      <c r="K236" s="1653"/>
      <c r="L236" s="1653"/>
      <c r="M236" s="1653"/>
      <c r="N236" s="1653"/>
      <c r="O236" s="1653"/>
      <c r="P236" s="1653"/>
      <c r="Q236" s="1653"/>
      <c r="R236" s="1653"/>
      <c r="S236" s="1653"/>
      <c r="T236" s="1653"/>
      <c r="U236" s="1653"/>
      <c r="V236" s="1653"/>
      <c r="W236" s="1653"/>
      <c r="X236" s="1653"/>
      <c r="Y236" s="1653"/>
      <c r="Z236" s="1653"/>
      <c r="AA236" s="1653"/>
      <c r="AB236" s="1653"/>
      <c r="AC236" s="1653"/>
      <c r="AD236" s="1653"/>
      <c r="AE236" s="1653"/>
      <c r="AF236" s="1653"/>
      <c r="AG236" s="1653"/>
      <c r="AH236" s="1293"/>
      <c r="AI236" s="1293"/>
      <c r="AJ236" s="1293"/>
      <c r="AK236" s="1293"/>
      <c r="AL236" s="1293"/>
      <c r="AM236" s="1293"/>
      <c r="AN236" s="1293"/>
      <c r="AO236" s="1293"/>
      <c r="AP236" s="1293"/>
      <c r="AQ236" s="1293"/>
      <c r="AR236" s="1293"/>
      <c r="AS236" s="1293"/>
    </row>
    <row r="237" spans="1:45" ht="15.75">
      <c r="A237" s="1653"/>
      <c r="B237" s="1653"/>
      <c r="C237" s="1653"/>
      <c r="D237" s="1653"/>
      <c r="E237" s="1653"/>
      <c r="F237" s="1653"/>
      <c r="G237" s="1653"/>
      <c r="H237" s="1653"/>
      <c r="I237" s="1653"/>
      <c r="J237" s="1653"/>
      <c r="K237" s="1653"/>
      <c r="L237" s="1653"/>
      <c r="M237" s="1653"/>
      <c r="N237" s="1653"/>
      <c r="O237" s="1653"/>
      <c r="P237" s="1653"/>
      <c r="Q237" s="1653"/>
      <c r="R237" s="1653"/>
      <c r="S237" s="1653"/>
      <c r="T237" s="1653"/>
      <c r="U237" s="1653"/>
      <c r="V237" s="1653"/>
      <c r="W237" s="1653"/>
      <c r="X237" s="1653"/>
      <c r="Y237" s="1653"/>
      <c r="Z237" s="1653"/>
      <c r="AA237" s="1653"/>
      <c r="AB237" s="1653"/>
      <c r="AC237" s="1653"/>
      <c r="AD237" s="1653"/>
      <c r="AE237" s="1653"/>
      <c r="AF237" s="1653"/>
      <c r="AG237" s="1653"/>
      <c r="AH237" s="1293"/>
      <c r="AI237" s="1293"/>
      <c r="AJ237" s="1293"/>
      <c r="AK237" s="1293"/>
      <c r="AL237" s="1293"/>
      <c r="AM237" s="1293"/>
      <c r="AN237" s="1293"/>
      <c r="AO237" s="1293"/>
      <c r="AP237" s="1293"/>
      <c r="AQ237" s="1293"/>
      <c r="AR237" s="1293"/>
      <c r="AS237" s="1293"/>
    </row>
    <row r="238" spans="1:45" ht="15.75">
      <c r="A238" s="1653" t="s">
        <v>985</v>
      </c>
      <c r="B238" s="1653"/>
      <c r="C238" s="1653"/>
      <c r="D238" s="1675"/>
      <c r="E238" s="1675"/>
      <c r="F238" s="1717">
        <v>-6.6950000000000003</v>
      </c>
      <c r="G238" s="1717">
        <v>-8.2420000000000009</v>
      </c>
      <c r="H238" s="1717">
        <v>0</v>
      </c>
      <c r="I238" s="1717">
        <v>0</v>
      </c>
      <c r="J238" s="1675">
        <v>0</v>
      </c>
      <c r="K238" s="1675">
        <v>0</v>
      </c>
      <c r="L238" s="1675">
        <v>0</v>
      </c>
      <c r="M238" s="1675">
        <v>0</v>
      </c>
      <c r="N238" s="1675">
        <v>0</v>
      </c>
      <c r="O238" s="1675">
        <v>0</v>
      </c>
      <c r="P238" s="1675">
        <v>0</v>
      </c>
      <c r="Q238" s="1675">
        <v>0</v>
      </c>
      <c r="R238" s="1675">
        <v>0</v>
      </c>
      <c r="S238" s="1675">
        <v>0</v>
      </c>
      <c r="T238" s="1675">
        <v>0</v>
      </c>
      <c r="U238" s="1675">
        <v>0</v>
      </c>
      <c r="V238" s="1675">
        <v>0</v>
      </c>
      <c r="W238" s="1675">
        <v>0</v>
      </c>
      <c r="X238" s="1675">
        <v>0</v>
      </c>
      <c r="Y238" s="1675">
        <v>0</v>
      </c>
      <c r="Z238" s="1675">
        <v>0</v>
      </c>
      <c r="AA238" s="1675">
        <v>0</v>
      </c>
      <c r="AB238" s="1675">
        <v>0</v>
      </c>
      <c r="AC238" s="1675">
        <v>0</v>
      </c>
      <c r="AD238" s="1675">
        <v>0</v>
      </c>
      <c r="AE238" s="1675">
        <v>0</v>
      </c>
      <c r="AF238" s="1675">
        <v>0</v>
      </c>
      <c r="AG238" s="1675">
        <v>0</v>
      </c>
      <c r="AH238" s="1293"/>
      <c r="AI238" s="1293"/>
      <c r="AJ238" s="1293"/>
      <c r="AK238" s="1293"/>
      <c r="AL238" s="1293"/>
      <c r="AM238" s="1293"/>
      <c r="AN238" s="1293"/>
      <c r="AO238" s="1293"/>
      <c r="AP238" s="1293"/>
      <c r="AQ238" s="1293"/>
      <c r="AR238" s="1293"/>
      <c r="AS238" s="1293"/>
    </row>
    <row r="239" spans="1:45" ht="15.75">
      <c r="A239" s="1653"/>
      <c r="B239" s="1653"/>
      <c r="C239" s="1653"/>
      <c r="D239" s="1675"/>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1675"/>
      <c r="AC239" s="1675"/>
      <c r="AD239" s="1675"/>
      <c r="AE239" s="1675"/>
      <c r="AF239" s="1675"/>
      <c r="AG239" s="1675"/>
      <c r="AH239" s="1293"/>
      <c r="AI239" s="1293"/>
      <c r="AJ239" s="1293"/>
      <c r="AK239" s="1293"/>
      <c r="AL239" s="1293"/>
      <c r="AM239" s="1293"/>
      <c r="AN239" s="1293"/>
      <c r="AO239" s="1293"/>
      <c r="AP239" s="1293"/>
      <c r="AQ239" s="1293"/>
      <c r="AR239" s="1293"/>
      <c r="AS239" s="1293"/>
    </row>
    <row r="240" spans="1:45" ht="15.75">
      <c r="A240" s="1672" t="s">
        <v>986</v>
      </c>
      <c r="B240" s="1672"/>
      <c r="C240" s="1672"/>
      <c r="D240" s="1705"/>
      <c r="E240" s="1705"/>
      <c r="F240" s="1719">
        <f>-6.122-1.369</f>
        <v>-7.4909999999999997</v>
      </c>
      <c r="G240" s="1719">
        <f>-8.296-1.272</f>
        <v>-9.5679999999999996</v>
      </c>
      <c r="H240" s="1719">
        <f>-27.234-3.918</f>
        <v>-31.152000000000001</v>
      </c>
      <c r="I240" s="1719">
        <f>-26-13</f>
        <v>-39</v>
      </c>
      <c r="J240" s="1705">
        <f t="shared" ref="J240:O240" si="145">-J248*I263</f>
        <v>-21.45</v>
      </c>
      <c r="K240" s="1705">
        <f t="shared" si="145"/>
        <v>-21.273374999999998</v>
      </c>
      <c r="L240" s="1705">
        <f t="shared" si="145"/>
        <v>-19.677871874999997</v>
      </c>
      <c r="M240" s="1705">
        <f t="shared" si="145"/>
        <v>-18.202031484374999</v>
      </c>
      <c r="N240" s="1705">
        <f t="shared" si="145"/>
        <v>-16.836879123046874</v>
      </c>
      <c r="O240" s="1705">
        <f t="shared" si="145"/>
        <v>-15.574113188818355</v>
      </c>
      <c r="P240" s="1719">
        <v>-153</v>
      </c>
      <c r="Q240" s="1719">
        <v>-239</v>
      </c>
      <c r="R240" s="1705">
        <f>-R248*Q263</f>
        <v>-541.30390334572485</v>
      </c>
      <c r="S240" s="1719">
        <v>-343</v>
      </c>
      <c r="T240" s="1719">
        <v>-317</v>
      </c>
      <c r="U240" s="1719">
        <v>-284</v>
      </c>
      <c r="V240" s="1719">
        <v>-406</v>
      </c>
      <c r="W240" s="1719">
        <v>-452</v>
      </c>
      <c r="X240" s="1719">
        <v>-434</v>
      </c>
      <c r="Y240" s="1719">
        <v>-345</v>
      </c>
      <c r="Z240" s="1719">
        <v>-360</v>
      </c>
      <c r="AA240" s="1719">
        <v>-318.61340000000001</v>
      </c>
      <c r="AB240" s="1705">
        <f t="shared" ref="AB240:AG240" si="146">-AB248*AA263</f>
        <v>-345.78</v>
      </c>
      <c r="AC240" s="1705">
        <f t="shared" si="146"/>
        <v>-349.62200000000007</v>
      </c>
      <c r="AD240" s="1705">
        <f t="shared" si="146"/>
        <v>-346.12578000000002</v>
      </c>
      <c r="AE240" s="1705">
        <f t="shared" si="146"/>
        <v>-336.05666639999998</v>
      </c>
      <c r="AF240" s="1705">
        <f t="shared" si="146"/>
        <v>-320.37402196800002</v>
      </c>
      <c r="AG240" s="1705">
        <f t="shared" si="146"/>
        <v>-300.16581442848008</v>
      </c>
      <c r="AH240" s="1293"/>
      <c r="AI240" s="1293"/>
      <c r="AJ240" s="1293"/>
      <c r="AK240" s="1293"/>
      <c r="AL240" s="1293"/>
      <c r="AM240" s="1293"/>
      <c r="AN240" s="1293"/>
      <c r="AO240" s="1293"/>
      <c r="AP240" s="1293"/>
      <c r="AQ240" s="1293"/>
      <c r="AR240" s="1293"/>
      <c r="AS240" s="1293"/>
    </row>
    <row r="241" spans="1:45" ht="15.75">
      <c r="A241" s="1653" t="s">
        <v>987</v>
      </c>
      <c r="B241" s="1653"/>
      <c r="C241" s="1653"/>
      <c r="D241" s="1675"/>
      <c r="E241" s="1675"/>
      <c r="F241" s="1675">
        <f t="shared" ref="F241:AG241" si="147">F240</f>
        <v>-7.4909999999999997</v>
      </c>
      <c r="G241" s="1675">
        <f t="shared" si="147"/>
        <v>-9.5679999999999996</v>
      </c>
      <c r="H241" s="1675">
        <f t="shared" si="147"/>
        <v>-31.152000000000001</v>
      </c>
      <c r="I241" s="1675">
        <f t="shared" si="147"/>
        <v>-39</v>
      </c>
      <c r="J241" s="1675">
        <f t="shared" si="147"/>
        <v>-21.45</v>
      </c>
      <c r="K241" s="1675">
        <f t="shared" si="147"/>
        <v>-21.273374999999998</v>
      </c>
      <c r="L241" s="1675">
        <f t="shared" si="147"/>
        <v>-19.677871874999997</v>
      </c>
      <c r="M241" s="1675">
        <f t="shared" si="147"/>
        <v>-18.202031484374999</v>
      </c>
      <c r="N241" s="1675">
        <f t="shared" si="147"/>
        <v>-16.836879123046874</v>
      </c>
      <c r="O241" s="1675">
        <f t="shared" si="147"/>
        <v>-15.574113188818355</v>
      </c>
      <c r="P241" s="1675">
        <f t="shared" si="147"/>
        <v>-153</v>
      </c>
      <c r="Q241" s="1675">
        <f t="shared" si="147"/>
        <v>-239</v>
      </c>
      <c r="R241" s="1675">
        <f t="shared" si="147"/>
        <v>-541.30390334572485</v>
      </c>
      <c r="S241" s="1675">
        <f t="shared" si="147"/>
        <v>-343</v>
      </c>
      <c r="T241" s="1675">
        <f t="shared" si="147"/>
        <v>-317</v>
      </c>
      <c r="U241" s="1675">
        <f t="shared" si="147"/>
        <v>-284</v>
      </c>
      <c r="V241" s="1675">
        <f t="shared" si="147"/>
        <v>-406</v>
      </c>
      <c r="W241" s="1675">
        <f t="shared" si="147"/>
        <v>-452</v>
      </c>
      <c r="X241" s="1675">
        <f t="shared" si="147"/>
        <v>-434</v>
      </c>
      <c r="Y241" s="1675">
        <f t="shared" si="147"/>
        <v>-345</v>
      </c>
      <c r="Z241" s="1675">
        <f t="shared" si="147"/>
        <v>-360</v>
      </c>
      <c r="AA241" s="1675">
        <f t="shared" si="147"/>
        <v>-318.61340000000001</v>
      </c>
      <c r="AB241" s="1675">
        <f t="shared" si="147"/>
        <v>-345.78</v>
      </c>
      <c r="AC241" s="1675">
        <f t="shared" si="147"/>
        <v>-349.62200000000007</v>
      </c>
      <c r="AD241" s="1675">
        <f t="shared" si="147"/>
        <v>-346.12578000000002</v>
      </c>
      <c r="AE241" s="1675">
        <f t="shared" si="147"/>
        <v>-336.05666639999998</v>
      </c>
      <c r="AF241" s="1675">
        <f t="shared" si="147"/>
        <v>-320.37402196800002</v>
      </c>
      <c r="AG241" s="1675">
        <f t="shared" si="147"/>
        <v>-300.16581442848008</v>
      </c>
      <c r="AH241" s="1293"/>
      <c r="AI241" s="1293"/>
      <c r="AJ241" s="1293"/>
      <c r="AK241" s="1293"/>
      <c r="AL241" s="1293"/>
      <c r="AM241" s="1293"/>
      <c r="AN241" s="1293"/>
      <c r="AO241" s="1293"/>
      <c r="AP241" s="1293"/>
      <c r="AQ241" s="1293"/>
      <c r="AR241" s="1293"/>
      <c r="AS241" s="1293"/>
    </row>
    <row r="242" spans="1:45" ht="15.75">
      <c r="A242" s="1653"/>
      <c r="B242" s="1653"/>
      <c r="C242" s="1653"/>
      <c r="D242" s="1675"/>
      <c r="E242" s="1675"/>
      <c r="F242" s="1675"/>
      <c r="G242" s="1675"/>
      <c r="H242" s="1675"/>
      <c r="I242" s="1675"/>
      <c r="J242" s="1675"/>
      <c r="K242" s="1675"/>
      <c r="L242" s="1675"/>
      <c r="M242" s="1675"/>
      <c r="N242" s="1675"/>
      <c r="O242" s="1675"/>
      <c r="P242" s="1675"/>
      <c r="Q242" s="1675"/>
      <c r="R242" s="1675"/>
      <c r="S242" s="1675"/>
      <c r="T242" s="1675"/>
      <c r="U242" s="1675"/>
      <c r="V242" s="1675"/>
      <c r="W242" s="1675"/>
      <c r="X242" s="1675"/>
      <c r="Y242" s="1675"/>
      <c r="Z242" s="1675"/>
      <c r="AA242" s="1675"/>
      <c r="AB242" s="1675"/>
      <c r="AC242" s="1675"/>
      <c r="AD242" s="1675"/>
      <c r="AE242" s="1675"/>
      <c r="AF242" s="1675"/>
      <c r="AG242" s="1675"/>
      <c r="AH242" s="1293"/>
      <c r="AI242" s="1293"/>
      <c r="AJ242" s="1293"/>
      <c r="AK242" s="1293"/>
      <c r="AL242" s="1293"/>
      <c r="AM242" s="1293"/>
      <c r="AN242" s="1293"/>
      <c r="AO242" s="1293"/>
      <c r="AP242" s="1293"/>
      <c r="AQ242" s="1293"/>
      <c r="AR242" s="1293"/>
      <c r="AS242" s="1293"/>
    </row>
    <row r="243" spans="1:45" ht="15.75">
      <c r="A243" s="1653" t="s">
        <v>80</v>
      </c>
      <c r="B243" s="1653"/>
      <c r="C243" s="1653"/>
      <c r="D243" s="1653"/>
      <c r="E243" s="1653"/>
      <c r="F243" s="1896">
        <v>9.7119999999999997</v>
      </c>
      <c r="G243" s="1896">
        <v>0.107</v>
      </c>
      <c r="H243" s="1895">
        <v>0</v>
      </c>
      <c r="I243" s="1895">
        <v>0</v>
      </c>
      <c r="J243" s="1895">
        <v>0</v>
      </c>
      <c r="K243" s="1895">
        <v>0</v>
      </c>
      <c r="L243" s="1895">
        <v>0</v>
      </c>
      <c r="M243" s="1895">
        <v>0</v>
      </c>
      <c r="N243" s="1895">
        <v>0</v>
      </c>
      <c r="O243" s="1895">
        <v>0</v>
      </c>
      <c r="P243" s="1895">
        <v>0</v>
      </c>
      <c r="Q243" s="1895">
        <v>0</v>
      </c>
      <c r="R243" s="1895">
        <v>0</v>
      </c>
      <c r="S243" s="1895">
        <v>0</v>
      </c>
      <c r="T243" s="1895">
        <v>0</v>
      </c>
      <c r="U243" s="1895">
        <v>0</v>
      </c>
      <c r="V243" s="1895">
        <v>0</v>
      </c>
      <c r="W243" s="1895">
        <v>0</v>
      </c>
      <c r="X243" s="1895">
        <v>0</v>
      </c>
      <c r="Y243" s="1895">
        <v>0</v>
      </c>
      <c r="Z243" s="1895">
        <v>0</v>
      </c>
      <c r="AA243" s="1895">
        <v>0</v>
      </c>
      <c r="AB243" s="1895">
        <v>0</v>
      </c>
      <c r="AC243" s="1895">
        <v>0</v>
      </c>
      <c r="AD243" s="1895">
        <v>0</v>
      </c>
      <c r="AE243" s="1895">
        <v>0</v>
      </c>
      <c r="AF243" s="1895">
        <v>0</v>
      </c>
      <c r="AG243" s="1895">
        <v>0</v>
      </c>
      <c r="AH243" s="1293"/>
      <c r="AI243" s="1293"/>
      <c r="AJ243" s="1293"/>
      <c r="AK243" s="1293"/>
      <c r="AL243" s="1293"/>
      <c r="AM243" s="1293"/>
      <c r="AN243" s="1293"/>
      <c r="AO243" s="1293"/>
      <c r="AP243" s="1293"/>
      <c r="AQ243" s="1293"/>
      <c r="AR243" s="1293"/>
      <c r="AS243" s="1293"/>
    </row>
    <row r="244" spans="1:45" ht="15.75">
      <c r="A244" s="1672" t="s">
        <v>81</v>
      </c>
      <c r="B244" s="1672"/>
      <c r="C244" s="1672"/>
      <c r="D244" s="1672"/>
      <c r="E244" s="1672"/>
      <c r="F244" s="1940">
        <v>0</v>
      </c>
      <c r="G244" s="1940">
        <v>0</v>
      </c>
      <c r="H244" s="1940">
        <v>0</v>
      </c>
      <c r="I244" s="1940">
        <v>0</v>
      </c>
      <c r="J244" s="1940">
        <v>0</v>
      </c>
      <c r="K244" s="1940">
        <v>0</v>
      </c>
      <c r="L244" s="1940">
        <v>0</v>
      </c>
      <c r="M244" s="1940">
        <v>0</v>
      </c>
      <c r="N244" s="1940">
        <v>0</v>
      </c>
      <c r="O244" s="1940">
        <v>0</v>
      </c>
      <c r="P244" s="1940">
        <v>0</v>
      </c>
      <c r="Q244" s="1940">
        <v>0</v>
      </c>
      <c r="R244" s="1940">
        <v>0</v>
      </c>
      <c r="S244" s="1940">
        <v>0</v>
      </c>
      <c r="T244" s="1940">
        <v>0</v>
      </c>
      <c r="U244" s="1940">
        <v>0</v>
      </c>
      <c r="V244" s="1940">
        <v>0</v>
      </c>
      <c r="W244" s="1940">
        <v>0</v>
      </c>
      <c r="X244" s="1940">
        <v>0</v>
      </c>
      <c r="Y244" s="1940">
        <v>0</v>
      </c>
      <c r="Z244" s="1940">
        <v>0</v>
      </c>
      <c r="AA244" s="1940">
        <v>0</v>
      </c>
      <c r="AB244" s="1940">
        <v>0</v>
      </c>
      <c r="AC244" s="1940">
        <v>0</v>
      </c>
      <c r="AD244" s="1940">
        <v>0</v>
      </c>
      <c r="AE244" s="1940">
        <v>0</v>
      </c>
      <c r="AF244" s="1940">
        <v>0</v>
      </c>
      <c r="AG244" s="1940">
        <v>0</v>
      </c>
      <c r="AH244" s="1293"/>
      <c r="AI244" s="1293"/>
      <c r="AJ244" s="1293"/>
      <c r="AK244" s="1293"/>
      <c r="AL244" s="1293"/>
      <c r="AM244" s="1293"/>
      <c r="AN244" s="1293"/>
      <c r="AO244" s="1293"/>
      <c r="AP244" s="1293"/>
      <c r="AQ244" s="1293"/>
      <c r="AR244" s="1293"/>
      <c r="AS244" s="1293"/>
    </row>
    <row r="245" spans="1:45" ht="15.75">
      <c r="A245" s="1653" t="s">
        <v>2041</v>
      </c>
      <c r="B245" s="1653"/>
      <c r="C245" s="1653"/>
      <c r="D245" s="1653"/>
      <c r="E245" s="1653"/>
      <c r="F245" s="1666">
        <f t="shared" ref="F245:AG245" si="148">SUM(F243:F244)</f>
        <v>9.7119999999999997</v>
      </c>
      <c r="G245" s="1666">
        <f t="shared" si="148"/>
        <v>0.107</v>
      </c>
      <c r="H245" s="1653">
        <f t="shared" si="148"/>
        <v>0</v>
      </c>
      <c r="I245" s="1653">
        <f t="shared" si="148"/>
        <v>0</v>
      </c>
      <c r="J245" s="1653">
        <f t="shared" si="148"/>
        <v>0</v>
      </c>
      <c r="K245" s="1653">
        <f t="shared" si="148"/>
        <v>0</v>
      </c>
      <c r="L245" s="1653">
        <f t="shared" si="148"/>
        <v>0</v>
      </c>
      <c r="M245" s="1653">
        <f t="shared" si="148"/>
        <v>0</v>
      </c>
      <c r="N245" s="1653">
        <f t="shared" si="148"/>
        <v>0</v>
      </c>
      <c r="O245" s="1653">
        <f t="shared" si="148"/>
        <v>0</v>
      </c>
      <c r="P245" s="1653">
        <f t="shared" si="148"/>
        <v>0</v>
      </c>
      <c r="Q245" s="1653">
        <f t="shared" si="148"/>
        <v>0</v>
      </c>
      <c r="R245" s="1653">
        <f t="shared" si="148"/>
        <v>0</v>
      </c>
      <c r="S245" s="1653">
        <f t="shared" si="148"/>
        <v>0</v>
      </c>
      <c r="T245" s="1653">
        <f t="shared" si="148"/>
        <v>0</v>
      </c>
      <c r="U245" s="1653">
        <f t="shared" si="148"/>
        <v>0</v>
      </c>
      <c r="V245" s="1653">
        <f t="shared" si="148"/>
        <v>0</v>
      </c>
      <c r="W245" s="1653">
        <f t="shared" si="148"/>
        <v>0</v>
      </c>
      <c r="X245" s="1653">
        <f t="shared" si="148"/>
        <v>0</v>
      </c>
      <c r="Y245" s="1653">
        <f t="shared" si="148"/>
        <v>0</v>
      </c>
      <c r="Z245" s="1653">
        <f t="shared" si="148"/>
        <v>0</v>
      </c>
      <c r="AA245" s="1653">
        <f t="shared" si="148"/>
        <v>0</v>
      </c>
      <c r="AB245" s="1653">
        <f t="shared" si="148"/>
        <v>0</v>
      </c>
      <c r="AC245" s="1653">
        <f t="shared" si="148"/>
        <v>0</v>
      </c>
      <c r="AD245" s="1653">
        <f t="shared" si="148"/>
        <v>0</v>
      </c>
      <c r="AE245" s="1653">
        <f t="shared" si="148"/>
        <v>0</v>
      </c>
      <c r="AF245" s="1653">
        <f t="shared" si="148"/>
        <v>0</v>
      </c>
      <c r="AG245" s="1653">
        <f t="shared" si="148"/>
        <v>0</v>
      </c>
      <c r="AH245" s="1293"/>
      <c r="AI245" s="1293"/>
      <c r="AJ245" s="1293"/>
      <c r="AK245" s="1293"/>
      <c r="AL245" s="1293"/>
      <c r="AM245" s="1293"/>
      <c r="AN245" s="1293"/>
      <c r="AO245" s="1293"/>
      <c r="AP245" s="1293"/>
      <c r="AQ245" s="1293"/>
      <c r="AR245" s="1293"/>
      <c r="AS245" s="1293"/>
    </row>
    <row r="246" spans="1:45" ht="15.75">
      <c r="A246" s="1653"/>
      <c r="B246" s="1653"/>
      <c r="C246" s="1653"/>
      <c r="D246" s="1653"/>
      <c r="E246" s="1653"/>
      <c r="F246" s="1653"/>
      <c r="G246" s="1653"/>
      <c r="H246" s="1653"/>
      <c r="I246" s="1653"/>
      <c r="J246" s="1653"/>
      <c r="K246" s="1653"/>
      <c r="L246" s="1653"/>
      <c r="M246" s="1653"/>
      <c r="N246" s="1653"/>
      <c r="O246" s="1653"/>
      <c r="P246" s="1653"/>
      <c r="Q246" s="1653"/>
      <c r="R246" s="1653"/>
      <c r="S246" s="1653"/>
      <c r="T246" s="1653"/>
      <c r="U246" s="1653"/>
      <c r="V246" s="1653"/>
      <c r="W246" s="1653"/>
      <c r="X246" s="1653"/>
      <c r="Y246" s="1653"/>
      <c r="Z246" s="1653"/>
      <c r="AA246" s="1653"/>
      <c r="AB246" s="1653"/>
      <c r="AC246" s="1653"/>
      <c r="AD246" s="1653"/>
      <c r="AE246" s="1653"/>
      <c r="AF246" s="1653"/>
      <c r="AG246" s="1653"/>
      <c r="AH246" s="1293"/>
      <c r="AI246" s="1293"/>
      <c r="AJ246" s="1293"/>
      <c r="AK246" s="1293"/>
      <c r="AL246" s="1293"/>
      <c r="AM246" s="1293"/>
      <c r="AN246" s="1293"/>
      <c r="AO246" s="1293"/>
      <c r="AP246" s="1293"/>
      <c r="AQ246" s="1293"/>
      <c r="AR246" s="1293"/>
      <c r="AS246" s="1293"/>
    </row>
    <row r="247" spans="1:45" ht="15.75">
      <c r="A247" s="1653" t="s">
        <v>2308</v>
      </c>
      <c r="B247" s="1653"/>
      <c r="C247" s="1653"/>
      <c r="D247" s="1675"/>
      <c r="E247" s="1688"/>
      <c r="F247" s="1688"/>
      <c r="G247" s="1688">
        <f>-G238/F262</f>
        <v>0.16624309169389651</v>
      </c>
      <c r="H247" s="1688">
        <f>-H238/G262</f>
        <v>0</v>
      </c>
      <c r="I247" s="1688">
        <f>-I238/H262</f>
        <v>0</v>
      </c>
      <c r="J247" s="1941">
        <f t="shared" ref="J247:AG247" si="149">I247</f>
        <v>0</v>
      </c>
      <c r="K247" s="1941">
        <f t="shared" si="149"/>
        <v>0</v>
      </c>
      <c r="L247" s="1941">
        <f t="shared" si="149"/>
        <v>0</v>
      </c>
      <c r="M247" s="1941">
        <f t="shared" si="149"/>
        <v>0</v>
      </c>
      <c r="N247" s="1941">
        <f t="shared" si="149"/>
        <v>0</v>
      </c>
      <c r="O247" s="1941">
        <f t="shared" si="149"/>
        <v>0</v>
      </c>
      <c r="P247" s="1941">
        <f t="shared" si="149"/>
        <v>0</v>
      </c>
      <c r="Q247" s="1941">
        <f t="shared" si="149"/>
        <v>0</v>
      </c>
      <c r="R247" s="1941">
        <f t="shared" si="149"/>
        <v>0</v>
      </c>
      <c r="S247" s="1941">
        <f t="shared" si="149"/>
        <v>0</v>
      </c>
      <c r="T247" s="1941">
        <f t="shared" si="149"/>
        <v>0</v>
      </c>
      <c r="U247" s="1941">
        <f t="shared" si="149"/>
        <v>0</v>
      </c>
      <c r="V247" s="1941">
        <f t="shared" si="149"/>
        <v>0</v>
      </c>
      <c r="W247" s="1941">
        <f t="shared" si="149"/>
        <v>0</v>
      </c>
      <c r="X247" s="1941">
        <f t="shared" si="149"/>
        <v>0</v>
      </c>
      <c r="Y247" s="1941">
        <f t="shared" si="149"/>
        <v>0</v>
      </c>
      <c r="Z247" s="1941">
        <f t="shared" si="149"/>
        <v>0</v>
      </c>
      <c r="AA247" s="1941">
        <f t="shared" si="149"/>
        <v>0</v>
      </c>
      <c r="AB247" s="1941">
        <f t="shared" si="149"/>
        <v>0</v>
      </c>
      <c r="AC247" s="1941">
        <f t="shared" si="149"/>
        <v>0</v>
      </c>
      <c r="AD247" s="1941">
        <f t="shared" si="149"/>
        <v>0</v>
      </c>
      <c r="AE247" s="1941">
        <f t="shared" si="149"/>
        <v>0</v>
      </c>
      <c r="AF247" s="1941">
        <f t="shared" si="149"/>
        <v>0</v>
      </c>
      <c r="AG247" s="1941">
        <f t="shared" si="149"/>
        <v>0</v>
      </c>
      <c r="AH247" s="1293"/>
      <c r="AI247" s="1293"/>
      <c r="AJ247" s="1293"/>
      <c r="AK247" s="1293"/>
      <c r="AL247" s="1293"/>
      <c r="AM247" s="1293"/>
      <c r="AN247" s="1293"/>
      <c r="AO247" s="1293"/>
      <c r="AP247" s="1293"/>
      <c r="AQ247" s="1293"/>
      <c r="AR247" s="1293"/>
      <c r="AS247" s="1293"/>
    </row>
    <row r="248" spans="1:45" ht="15.75">
      <c r="A248" s="1653" t="s">
        <v>2309</v>
      </c>
      <c r="B248" s="1653"/>
      <c r="C248" s="1653"/>
      <c r="D248" s="1675"/>
      <c r="E248" s="1688"/>
      <c r="F248" s="1688"/>
      <c r="G248" s="1688">
        <f>-G240/F263</f>
        <v>0.27943925233644856</v>
      </c>
      <c r="H248" s="1688">
        <f>-H240/G263</f>
        <v>0.11115154888570146</v>
      </c>
      <c r="I248" s="1688">
        <f>-I240/H263</f>
        <v>0.13004117970690718</v>
      </c>
      <c r="J248" s="1941">
        <v>7.4999999999999997E-2</v>
      </c>
      <c r="K248" s="1941">
        <f>J248</f>
        <v>7.4999999999999997E-2</v>
      </c>
      <c r="L248" s="1941">
        <f>K248</f>
        <v>7.4999999999999997E-2</v>
      </c>
      <c r="M248" s="1941">
        <f>L248</f>
        <v>7.4999999999999997E-2</v>
      </c>
      <c r="N248" s="1941">
        <f>M248</f>
        <v>7.4999999999999997E-2</v>
      </c>
      <c r="O248" s="1941">
        <f>N248</f>
        <v>7.4999999999999997E-2</v>
      </c>
      <c r="P248" s="1688">
        <f>-P240/O263</f>
        <v>0.79654008257189457</v>
      </c>
      <c r="Q248" s="1688">
        <f>-Q240/P263</f>
        <v>0.22211895910780668</v>
      </c>
      <c r="R248" s="1941">
        <f>Q248</f>
        <v>0.22211895910780668</v>
      </c>
      <c r="S248" s="1688">
        <f t="shared" ref="S248:AA248" si="150">-S240/R263</f>
        <v>0.19389485585076313</v>
      </c>
      <c r="T248" s="1688">
        <f t="shared" si="150"/>
        <v>0.20425257731958762</v>
      </c>
      <c r="U248" s="1688">
        <f t="shared" si="150"/>
        <v>0.22774659182036888</v>
      </c>
      <c r="V248" s="1688">
        <f t="shared" si="150"/>
        <v>0.18149307107733573</v>
      </c>
      <c r="W248" s="1688">
        <f t="shared" si="150"/>
        <v>0.15051615051615053</v>
      </c>
      <c r="X248" s="1688">
        <f t="shared" si="150"/>
        <v>0.13673597983616886</v>
      </c>
      <c r="Y248" s="1688">
        <f t="shared" si="150"/>
        <v>6.7212156633547626E-2</v>
      </c>
      <c r="Z248" s="1688">
        <f t="shared" si="150"/>
        <v>8.381839348079162E-2</v>
      </c>
      <c r="AA248" s="1688">
        <f t="shared" si="150"/>
        <v>6.7517143462598017E-2</v>
      </c>
      <c r="AB248" s="1941">
        <v>0.09</v>
      </c>
      <c r="AC248" s="1941">
        <v>0.1</v>
      </c>
      <c r="AD248" s="1941">
        <v>0.11</v>
      </c>
      <c r="AE248" s="1941">
        <v>0.12</v>
      </c>
      <c r="AF248" s="1941">
        <v>0.13</v>
      </c>
      <c r="AG248" s="1941">
        <v>0.14000000000000001</v>
      </c>
      <c r="AH248" s="1293"/>
      <c r="AI248" s="1293"/>
      <c r="AJ248" s="1293"/>
      <c r="AK248" s="1293"/>
      <c r="AL248" s="1293"/>
      <c r="AM248" s="1293"/>
      <c r="AN248" s="1293"/>
      <c r="AO248" s="1293"/>
      <c r="AP248" s="1293"/>
      <c r="AQ248" s="1293"/>
      <c r="AR248" s="1293"/>
      <c r="AS248" s="1293"/>
    </row>
    <row r="249" spans="1:45" ht="15.75">
      <c r="A249" s="1653"/>
      <c r="B249" s="1653"/>
      <c r="C249" s="1653" t="s">
        <v>1823</v>
      </c>
      <c r="D249" s="1653"/>
      <c r="E249" s="1653"/>
      <c r="F249" s="1653"/>
      <c r="G249" s="1653"/>
      <c r="H249" s="1653"/>
      <c r="I249" s="1653"/>
      <c r="J249" s="1653"/>
      <c r="K249" s="1653"/>
      <c r="L249" s="1653"/>
      <c r="M249" s="1653"/>
      <c r="N249" s="1653"/>
      <c r="O249" s="1653"/>
      <c r="P249" s="1653"/>
      <c r="Q249" s="1653"/>
      <c r="R249" s="1653"/>
      <c r="S249" s="1653"/>
      <c r="T249" s="1653"/>
      <c r="U249" s="1653"/>
      <c r="V249" s="1653"/>
      <c r="W249" s="1653"/>
      <c r="X249" s="1653"/>
      <c r="Y249" s="1653"/>
      <c r="Z249" s="1653"/>
      <c r="AA249" s="1653"/>
      <c r="AB249" s="1653"/>
      <c r="AC249" s="1653"/>
      <c r="AD249" s="1653"/>
      <c r="AE249" s="1653"/>
      <c r="AF249" s="1653"/>
      <c r="AG249" s="1653"/>
      <c r="AH249" s="1293"/>
      <c r="AI249" s="1293"/>
      <c r="AJ249" s="1293"/>
      <c r="AK249" s="1293"/>
      <c r="AL249" s="1293"/>
      <c r="AM249" s="1293"/>
      <c r="AN249" s="1293"/>
      <c r="AO249" s="1293"/>
      <c r="AP249" s="1293"/>
      <c r="AQ249" s="1293"/>
      <c r="AR249" s="1293"/>
      <c r="AS249" s="1293"/>
    </row>
    <row r="250" spans="1:45" ht="15.75">
      <c r="A250" s="1704" t="s">
        <v>2310</v>
      </c>
      <c r="B250" s="1704"/>
      <c r="C250" s="1653"/>
      <c r="D250" s="1653"/>
      <c r="E250" s="1675"/>
      <c r="F250" s="1653"/>
      <c r="G250" s="1653"/>
      <c r="H250" s="1653"/>
      <c r="I250" s="1653"/>
      <c r="J250" s="1653"/>
      <c r="K250" s="1653"/>
      <c r="L250" s="1653"/>
      <c r="M250" s="1653"/>
      <c r="N250" s="1653"/>
      <c r="O250" s="1653"/>
      <c r="P250" s="1653"/>
      <c r="Q250" s="1653"/>
      <c r="R250" s="1653"/>
      <c r="S250" s="1653"/>
      <c r="T250" s="1653"/>
      <c r="U250" s="1653"/>
      <c r="V250" s="1653"/>
      <c r="W250" s="1653"/>
      <c r="X250" s="1653"/>
      <c r="Y250" s="1653"/>
      <c r="Z250" s="1653"/>
      <c r="AA250" s="1653"/>
      <c r="AB250" s="1653"/>
      <c r="AC250" s="1653"/>
      <c r="AD250" s="1653"/>
      <c r="AE250" s="1653"/>
      <c r="AF250" s="1653"/>
      <c r="AG250" s="1653"/>
      <c r="AH250" s="1293"/>
      <c r="AI250" s="1293"/>
      <c r="AJ250" s="1293"/>
      <c r="AK250" s="1293"/>
      <c r="AL250" s="1293"/>
      <c r="AM250" s="1293"/>
      <c r="AN250" s="1293"/>
      <c r="AO250" s="1293"/>
      <c r="AP250" s="1293"/>
      <c r="AQ250" s="1293"/>
      <c r="AR250" s="1293"/>
      <c r="AS250" s="1293"/>
    </row>
    <row r="251" spans="1:45" ht="15.75">
      <c r="A251" s="1653" t="s">
        <v>2311</v>
      </c>
      <c r="B251" s="1653"/>
      <c r="C251" s="1675"/>
      <c r="D251" s="1675"/>
      <c r="E251" s="1653"/>
      <c r="F251" s="1717">
        <v>71.950999999999993</v>
      </c>
      <c r="G251" s="1717">
        <v>68.209999999999994</v>
      </c>
      <c r="H251" s="1717">
        <v>73.347999999999999</v>
      </c>
      <c r="I251" s="1717">
        <v>196.178</v>
      </c>
      <c r="J251" s="1717">
        <v>183.857</v>
      </c>
      <c r="K251" s="1675">
        <f>K253-K252</f>
        <v>727.97837500000014</v>
      </c>
      <c r="L251" s="1675">
        <f>L253-L252</f>
        <v>802.14324687499993</v>
      </c>
      <c r="M251" s="1675">
        <f>M253-M252</f>
        <v>2058.3532783593746</v>
      </c>
      <c r="N251" s="1675">
        <f>N253-N252</f>
        <v>1962.3451574824219</v>
      </c>
      <c r="O251" s="1675">
        <f>O253-O252</f>
        <v>2226.9192706712402</v>
      </c>
      <c r="P251" s="1675">
        <f>P262</f>
        <v>1382</v>
      </c>
      <c r="Q251" s="1675">
        <f>Q262</f>
        <v>3066</v>
      </c>
      <c r="R251" s="1675">
        <f t="shared" ref="R251:AG251" si="151">Q251+R255</f>
        <v>3066</v>
      </c>
      <c r="S251" s="1675">
        <f t="shared" si="151"/>
        <v>3066</v>
      </c>
      <c r="T251" s="1675">
        <f t="shared" si="151"/>
        <v>3066</v>
      </c>
      <c r="U251" s="1675">
        <f t="shared" si="151"/>
        <v>3066</v>
      </c>
      <c r="V251" s="1675">
        <f t="shared" si="151"/>
        <v>3066</v>
      </c>
      <c r="W251" s="1675">
        <f t="shared" si="151"/>
        <v>3066</v>
      </c>
      <c r="X251" s="1675">
        <f t="shared" si="151"/>
        <v>3066</v>
      </c>
      <c r="Y251" s="1675">
        <f t="shared" si="151"/>
        <v>3066</v>
      </c>
      <c r="Z251" s="1675">
        <f t="shared" si="151"/>
        <v>3066</v>
      </c>
      <c r="AA251" s="1675">
        <f t="shared" si="151"/>
        <v>3066</v>
      </c>
      <c r="AB251" s="1675">
        <f t="shared" si="151"/>
        <v>3066</v>
      </c>
      <c r="AC251" s="1675">
        <f t="shared" si="151"/>
        <v>3066</v>
      </c>
      <c r="AD251" s="1675">
        <f t="shared" si="151"/>
        <v>3066</v>
      </c>
      <c r="AE251" s="1675">
        <f t="shared" si="151"/>
        <v>3066</v>
      </c>
      <c r="AF251" s="1675">
        <f t="shared" si="151"/>
        <v>3066</v>
      </c>
      <c r="AG251" s="1675">
        <f t="shared" si="151"/>
        <v>3066</v>
      </c>
      <c r="AH251" s="1293"/>
      <c r="AI251" s="1293"/>
      <c r="AJ251" s="1293"/>
      <c r="AK251" s="1293"/>
      <c r="AL251" s="1293"/>
      <c r="AM251" s="1293"/>
      <c r="AN251" s="1293"/>
      <c r="AO251" s="1293"/>
      <c r="AP251" s="1293"/>
      <c r="AQ251" s="1293"/>
      <c r="AR251" s="1293"/>
      <c r="AS251" s="1293"/>
    </row>
    <row r="252" spans="1:45" ht="15.75">
      <c r="A252" s="1672" t="s">
        <v>79</v>
      </c>
      <c r="B252" s="1672"/>
      <c r="C252" s="1705"/>
      <c r="D252" s="1705"/>
      <c r="E252" s="1672"/>
      <c r="F252" s="1719">
        <f>95.945+3.122</f>
        <v>99.066999999999993</v>
      </c>
      <c r="G252" s="1719">
        <f>347.601+3.351</f>
        <v>350.952</v>
      </c>
      <c r="H252" s="1719">
        <f>318.799+34.469</f>
        <v>353.26799999999997</v>
      </c>
      <c r="I252" s="1719">
        <f>209+136</f>
        <v>345</v>
      </c>
      <c r="J252" s="1719">
        <f>567.809-J251</f>
        <v>383.952</v>
      </c>
      <c r="K252" s="1705">
        <f>J252+K256</f>
        <v>383.952</v>
      </c>
      <c r="L252" s="1705">
        <f>K252+L256</f>
        <v>383.952</v>
      </c>
      <c r="M252" s="1705">
        <f>L252+M256</f>
        <v>383.952</v>
      </c>
      <c r="N252" s="1705">
        <f>M252+N256</f>
        <v>383.952</v>
      </c>
      <c r="O252" s="1705">
        <f>N252+O256</f>
        <v>383.952</v>
      </c>
      <c r="P252" s="1705">
        <f>P253-P251</f>
        <v>1870</v>
      </c>
      <c r="Q252" s="1705">
        <f>Q253-Q251</f>
        <v>3584</v>
      </c>
      <c r="R252" s="1705">
        <f t="shared" ref="R252:AG252" si="152">Q252+R256</f>
        <v>3584</v>
      </c>
      <c r="S252" s="1705">
        <f t="shared" si="152"/>
        <v>3584</v>
      </c>
      <c r="T252" s="1705">
        <f t="shared" si="152"/>
        <v>3584</v>
      </c>
      <c r="U252" s="1705">
        <f t="shared" si="152"/>
        <v>3584</v>
      </c>
      <c r="V252" s="1705">
        <f t="shared" si="152"/>
        <v>3584</v>
      </c>
      <c r="W252" s="1705">
        <f t="shared" si="152"/>
        <v>3584</v>
      </c>
      <c r="X252" s="1705">
        <f t="shared" si="152"/>
        <v>5584</v>
      </c>
      <c r="Y252" s="1705">
        <f t="shared" si="152"/>
        <v>5584</v>
      </c>
      <c r="Z252" s="1705">
        <f t="shared" si="152"/>
        <v>5584</v>
      </c>
      <c r="AA252" s="1705">
        <f t="shared" si="152"/>
        <v>5584</v>
      </c>
      <c r="AB252" s="1705">
        <f t="shared" si="152"/>
        <v>5584</v>
      </c>
      <c r="AC252" s="1705">
        <f t="shared" si="152"/>
        <v>5584</v>
      </c>
      <c r="AD252" s="1705">
        <f t="shared" si="152"/>
        <v>5584</v>
      </c>
      <c r="AE252" s="1705">
        <f t="shared" si="152"/>
        <v>5584</v>
      </c>
      <c r="AF252" s="1705">
        <f t="shared" si="152"/>
        <v>5584</v>
      </c>
      <c r="AG252" s="1705">
        <f t="shared" si="152"/>
        <v>5584</v>
      </c>
      <c r="AH252" s="1293"/>
      <c r="AI252" s="1293"/>
      <c r="AJ252" s="1293"/>
      <c r="AK252" s="1293"/>
      <c r="AL252" s="1293"/>
      <c r="AM252" s="1293"/>
      <c r="AN252" s="1293"/>
      <c r="AO252" s="1293"/>
      <c r="AP252" s="1293"/>
      <c r="AQ252" s="1293"/>
      <c r="AR252" s="1293"/>
      <c r="AS252" s="1293"/>
    </row>
    <row r="253" spans="1:45" ht="15.75">
      <c r="A253" s="1653" t="s">
        <v>2313</v>
      </c>
      <c r="B253" s="1653"/>
      <c r="C253" s="1675"/>
      <c r="D253" s="1675"/>
      <c r="E253" s="1675"/>
      <c r="F253" s="1675">
        <f>SUM(F251:F252)</f>
        <v>171.01799999999997</v>
      </c>
      <c r="G253" s="1675">
        <f>SUM(G251:G252)</f>
        <v>419.16199999999998</v>
      </c>
      <c r="H253" s="1675">
        <f>SUM(H251:H252)</f>
        <v>426.61599999999999</v>
      </c>
      <c r="I253" s="1675">
        <f>SUM(I251:I252)</f>
        <v>541.178</v>
      </c>
      <c r="J253" s="1675">
        <f>SUM(J251:J252)</f>
        <v>567.80899999999997</v>
      </c>
      <c r="K253" s="1717">
        <f>990.35+K258+K259</f>
        <v>1111.9303750000001</v>
      </c>
      <c r="L253" s="1717">
        <f>L264+L258+L259</f>
        <v>1186.0952468749999</v>
      </c>
      <c r="M253" s="1717">
        <f>M264+M258+M259</f>
        <v>2442.3052783593748</v>
      </c>
      <c r="N253" s="1717">
        <f>N264+N258+N259</f>
        <v>2346.2971574824219</v>
      </c>
      <c r="O253" s="1717">
        <f>O264+O258+O259</f>
        <v>2610.8712706712404</v>
      </c>
      <c r="P253" s="1717">
        <v>3252</v>
      </c>
      <c r="Q253" s="1717">
        <v>6650</v>
      </c>
      <c r="R253" s="1675">
        <f t="shared" ref="R253:AG253" si="153">SUM(R251:R252)</f>
        <v>6650</v>
      </c>
      <c r="S253" s="1675">
        <f t="shared" si="153"/>
        <v>6650</v>
      </c>
      <c r="T253" s="1675">
        <f t="shared" si="153"/>
        <v>6650</v>
      </c>
      <c r="U253" s="1675">
        <f t="shared" si="153"/>
        <v>6650</v>
      </c>
      <c r="V253" s="1675">
        <f t="shared" si="153"/>
        <v>6650</v>
      </c>
      <c r="W253" s="1675">
        <f t="shared" si="153"/>
        <v>6650</v>
      </c>
      <c r="X253" s="1675">
        <f t="shared" si="153"/>
        <v>8650</v>
      </c>
      <c r="Y253" s="1675">
        <f t="shared" si="153"/>
        <v>8650</v>
      </c>
      <c r="Z253" s="1675">
        <f t="shared" si="153"/>
        <v>8650</v>
      </c>
      <c r="AA253" s="1675">
        <f t="shared" si="153"/>
        <v>8650</v>
      </c>
      <c r="AB253" s="1675">
        <f t="shared" si="153"/>
        <v>8650</v>
      </c>
      <c r="AC253" s="1675">
        <f t="shared" si="153"/>
        <v>8650</v>
      </c>
      <c r="AD253" s="1675">
        <f t="shared" si="153"/>
        <v>8650</v>
      </c>
      <c r="AE253" s="1675">
        <f t="shared" si="153"/>
        <v>8650</v>
      </c>
      <c r="AF253" s="1675">
        <f t="shared" si="153"/>
        <v>8650</v>
      </c>
      <c r="AG253" s="1675">
        <f t="shared" si="153"/>
        <v>8650</v>
      </c>
      <c r="AH253" s="1293"/>
      <c r="AI253" s="1293"/>
      <c r="AJ253" s="1293"/>
      <c r="AK253" s="1293"/>
      <c r="AL253" s="1293"/>
      <c r="AM253" s="1293"/>
      <c r="AN253" s="1293"/>
      <c r="AO253" s="1293"/>
      <c r="AP253" s="1293"/>
      <c r="AQ253" s="1293"/>
      <c r="AR253" s="1293"/>
      <c r="AS253" s="1293"/>
    </row>
    <row r="254" spans="1:45" ht="15.75">
      <c r="A254" s="1653"/>
      <c r="B254" s="1653"/>
      <c r="C254" s="1653"/>
      <c r="D254" s="1675"/>
      <c r="E254" s="1675"/>
      <c r="F254" s="1653"/>
      <c r="G254" s="1653"/>
      <c r="H254" s="1653"/>
      <c r="I254" s="1653"/>
      <c r="J254" s="1653"/>
      <c r="K254" s="1653"/>
      <c r="L254" s="1653"/>
      <c r="M254" s="1653"/>
      <c r="N254" s="1653"/>
      <c r="O254" s="1653"/>
      <c r="P254" s="1653"/>
      <c r="Q254" s="1653"/>
      <c r="R254" s="1653"/>
      <c r="S254" s="1653"/>
      <c r="T254" s="1653"/>
      <c r="U254" s="1653"/>
      <c r="V254" s="1653"/>
      <c r="W254" s="1653"/>
      <c r="X254" s="1653"/>
      <c r="Y254" s="1653"/>
      <c r="Z254" s="1653"/>
      <c r="AA254" s="1653"/>
      <c r="AB254" s="1653"/>
      <c r="AC254" s="1653"/>
      <c r="AD254" s="1653"/>
      <c r="AE254" s="1653"/>
      <c r="AF254" s="1653"/>
      <c r="AG254" s="1653"/>
      <c r="AH254" s="1293"/>
      <c r="AI254" s="1293"/>
      <c r="AJ254" s="1293"/>
      <c r="AK254" s="1293"/>
      <c r="AL254" s="1293"/>
      <c r="AM254" s="1293"/>
      <c r="AN254" s="1293"/>
      <c r="AO254" s="1293"/>
      <c r="AP254" s="1293"/>
      <c r="AQ254" s="1293"/>
      <c r="AR254" s="1293"/>
      <c r="AS254" s="1293"/>
    </row>
    <row r="255" spans="1:45" ht="15.75">
      <c r="A255" s="1653" t="s">
        <v>2314</v>
      </c>
      <c r="B255" s="1653"/>
      <c r="C255" s="1653" t="s">
        <v>1823</v>
      </c>
      <c r="D255" s="1675"/>
      <c r="E255" s="1675"/>
      <c r="F255" s="1717">
        <v>46.1</v>
      </c>
      <c r="G255" s="1717">
        <f>-3.66+0.026</f>
        <v>-3.6340000000000003</v>
      </c>
      <c r="H255" s="1717">
        <v>0</v>
      </c>
      <c r="I255" s="1717">
        <v>350</v>
      </c>
      <c r="J255" s="1717">
        <v>0</v>
      </c>
      <c r="K255" s="1717">
        <v>0</v>
      </c>
      <c r="L255" s="1717">
        <v>0</v>
      </c>
      <c r="M255" s="1717">
        <v>0</v>
      </c>
      <c r="N255" s="1717">
        <v>0</v>
      </c>
      <c r="O255" s="1717">
        <v>0</v>
      </c>
      <c r="P255" s="1717">
        <v>0</v>
      </c>
      <c r="Q255" s="1717">
        <v>1864</v>
      </c>
      <c r="R255" s="1937">
        <v>0</v>
      </c>
      <c r="S255" s="1937">
        <v>0</v>
      </c>
      <c r="T255" s="1937">
        <v>0</v>
      </c>
      <c r="U255" s="1937">
        <v>0</v>
      </c>
      <c r="V255" s="1937">
        <v>0</v>
      </c>
      <c r="W255" s="1937">
        <v>0</v>
      </c>
      <c r="X255" s="1937">
        <v>0</v>
      </c>
      <c r="Y255" s="1937">
        <v>0</v>
      </c>
      <c r="Z255" s="1937">
        <v>0</v>
      </c>
      <c r="AA255" s="1937">
        <v>0</v>
      </c>
      <c r="AB255" s="1937">
        <v>0</v>
      </c>
      <c r="AC255" s="1937">
        <v>0</v>
      </c>
      <c r="AD255" s="1937">
        <v>0</v>
      </c>
      <c r="AE255" s="1937">
        <v>0</v>
      </c>
      <c r="AF255" s="1937">
        <v>0</v>
      </c>
      <c r="AG255" s="1937">
        <v>0</v>
      </c>
      <c r="AH255" s="1293"/>
      <c r="AI255" s="1293"/>
      <c r="AJ255" s="1293"/>
      <c r="AK255" s="1293"/>
      <c r="AL255" s="1293"/>
      <c r="AM255" s="1293"/>
      <c r="AN255" s="1293"/>
      <c r="AO255" s="1293"/>
      <c r="AP255" s="1293"/>
      <c r="AQ255" s="1293"/>
      <c r="AR255" s="1293"/>
      <c r="AS255" s="1293"/>
    </row>
    <row r="256" spans="1:45" ht="15.75">
      <c r="A256" s="1653" t="s">
        <v>2315</v>
      </c>
      <c r="B256" s="1653"/>
      <c r="C256" s="1653"/>
      <c r="D256" s="1675"/>
      <c r="E256" s="1675"/>
      <c r="F256" s="1717">
        <v>0</v>
      </c>
      <c r="G256" s="1717">
        <f>291*50%/3</f>
        <v>48.5</v>
      </c>
      <c r="H256" s="1717">
        <f>291*50%/3</f>
        <v>48.5</v>
      </c>
      <c r="I256" s="1717"/>
      <c r="J256" s="1717"/>
      <c r="K256" s="1717"/>
      <c r="L256" s="1717"/>
      <c r="M256" s="1717"/>
      <c r="N256" s="1717"/>
      <c r="O256" s="1717"/>
      <c r="P256" s="1717"/>
      <c r="Q256" s="1717"/>
      <c r="R256" s="1717"/>
      <c r="S256" s="1717"/>
      <c r="T256" s="1717"/>
      <c r="U256" s="1717"/>
      <c r="V256" s="1717"/>
      <c r="W256" s="1717"/>
      <c r="X256" s="1717">
        <v>2000</v>
      </c>
      <c r="Y256" s="1717"/>
      <c r="Z256" s="1717"/>
      <c r="AA256" s="1717"/>
      <c r="AB256" s="1717"/>
      <c r="AC256" s="1717"/>
      <c r="AD256" s="1717"/>
      <c r="AE256" s="1717"/>
      <c r="AF256" s="1717"/>
      <c r="AG256" s="1717"/>
      <c r="AH256" s="1293"/>
      <c r="AI256" s="1293"/>
      <c r="AJ256" s="1293"/>
      <c r="AK256" s="1293"/>
      <c r="AL256" s="1293"/>
      <c r="AM256" s="1293"/>
      <c r="AN256" s="1293"/>
      <c r="AO256" s="1293"/>
      <c r="AP256" s="1293"/>
      <c r="AQ256" s="1293"/>
      <c r="AR256" s="1293"/>
      <c r="AS256" s="1293"/>
    </row>
    <row r="257" spans="1:45" ht="15.75">
      <c r="A257" s="1653"/>
      <c r="B257" s="1653"/>
      <c r="C257" s="1653"/>
      <c r="D257" s="1675"/>
      <c r="E257" s="1675"/>
      <c r="F257" s="1653"/>
      <c r="G257" s="1653"/>
      <c r="H257" s="1653"/>
      <c r="I257" s="1653"/>
      <c r="J257" s="1653"/>
      <c r="K257" s="1653"/>
      <c r="L257" s="1653"/>
      <c r="M257" s="1653"/>
      <c r="N257" s="1653"/>
      <c r="O257" s="1653"/>
      <c r="P257" s="1653"/>
      <c r="Q257" s="1653"/>
      <c r="R257" s="1653"/>
      <c r="S257" s="1653"/>
      <c r="T257" s="1653"/>
      <c r="U257" s="1653"/>
      <c r="V257" s="1653"/>
      <c r="W257" s="1653"/>
      <c r="X257" s="1653"/>
      <c r="Y257" s="1653"/>
      <c r="Z257" s="1653"/>
      <c r="AA257" s="1653"/>
      <c r="AB257" s="1653"/>
      <c r="AC257" s="1653"/>
      <c r="AD257" s="1653"/>
      <c r="AE257" s="1653"/>
      <c r="AF257" s="1653"/>
      <c r="AG257" s="1653"/>
      <c r="AH257" s="1293"/>
      <c r="AI257" s="1293"/>
      <c r="AJ257" s="1293"/>
      <c r="AK257" s="1293"/>
      <c r="AL257" s="1293"/>
      <c r="AM257" s="1293"/>
      <c r="AN257" s="1293"/>
      <c r="AO257" s="1293"/>
      <c r="AP257" s="1293"/>
      <c r="AQ257" s="1293"/>
      <c r="AR257" s="1293"/>
      <c r="AS257" s="1293"/>
    </row>
    <row r="258" spans="1:45" ht="15.75">
      <c r="A258" s="1653" t="s">
        <v>2316</v>
      </c>
      <c r="B258" s="1653"/>
      <c r="C258" s="1653"/>
      <c r="D258" s="1675"/>
      <c r="E258" s="1675"/>
      <c r="F258" s="1675">
        <f t="shared" ref="F258:J259" si="154">F251-F262</f>
        <v>22.37299999999999</v>
      </c>
      <c r="G258" s="1675">
        <f t="shared" si="154"/>
        <v>30.507999999999996</v>
      </c>
      <c r="H258" s="1675">
        <f t="shared" si="154"/>
        <v>0</v>
      </c>
      <c r="I258" s="1675">
        <f t="shared" si="154"/>
        <v>0</v>
      </c>
      <c r="J258" s="1675">
        <f t="shared" si="154"/>
        <v>0</v>
      </c>
      <c r="K258" s="1675">
        <f t="shared" ref="K258:AG258" si="155">J258-K238-K243</f>
        <v>0</v>
      </c>
      <c r="L258" s="1675">
        <f t="shared" si="155"/>
        <v>0</v>
      </c>
      <c r="M258" s="1675">
        <f t="shared" si="155"/>
        <v>0</v>
      </c>
      <c r="N258" s="1675">
        <f t="shared" si="155"/>
        <v>0</v>
      </c>
      <c r="O258" s="1675">
        <f t="shared" si="155"/>
        <v>0</v>
      </c>
      <c r="P258" s="1675">
        <f t="shared" si="155"/>
        <v>0</v>
      </c>
      <c r="Q258" s="1675">
        <f t="shared" si="155"/>
        <v>0</v>
      </c>
      <c r="R258" s="1675">
        <f t="shared" si="155"/>
        <v>0</v>
      </c>
      <c r="S258" s="1675">
        <f t="shared" si="155"/>
        <v>0</v>
      </c>
      <c r="T258" s="1675">
        <f t="shared" si="155"/>
        <v>0</v>
      </c>
      <c r="U258" s="1675">
        <f t="shared" si="155"/>
        <v>0</v>
      </c>
      <c r="V258" s="1675">
        <f t="shared" si="155"/>
        <v>0</v>
      </c>
      <c r="W258" s="1675">
        <f t="shared" si="155"/>
        <v>0</v>
      </c>
      <c r="X258" s="1675">
        <f t="shared" si="155"/>
        <v>0</v>
      </c>
      <c r="Y258" s="1675">
        <f t="shared" si="155"/>
        <v>0</v>
      </c>
      <c r="Z258" s="1675">
        <f t="shared" si="155"/>
        <v>0</v>
      </c>
      <c r="AA258" s="1675">
        <f t="shared" si="155"/>
        <v>0</v>
      </c>
      <c r="AB258" s="1675">
        <f t="shared" si="155"/>
        <v>0</v>
      </c>
      <c r="AC258" s="1675">
        <f t="shared" si="155"/>
        <v>0</v>
      </c>
      <c r="AD258" s="1675">
        <f t="shared" si="155"/>
        <v>0</v>
      </c>
      <c r="AE258" s="1675">
        <f t="shared" si="155"/>
        <v>0</v>
      </c>
      <c r="AF258" s="1675">
        <f t="shared" si="155"/>
        <v>0</v>
      </c>
      <c r="AG258" s="1675">
        <f t="shared" si="155"/>
        <v>0</v>
      </c>
      <c r="AH258" s="1293"/>
      <c r="AI258" s="1293"/>
      <c r="AJ258" s="1293"/>
      <c r="AK258" s="1293"/>
      <c r="AL258" s="1293"/>
      <c r="AM258" s="1293"/>
      <c r="AN258" s="1293"/>
      <c r="AO258" s="1293"/>
      <c r="AP258" s="1293"/>
      <c r="AQ258" s="1293"/>
      <c r="AR258" s="1293"/>
      <c r="AS258" s="1293"/>
    </row>
    <row r="259" spans="1:45" ht="15.75">
      <c r="A259" s="1653" t="s">
        <v>2318</v>
      </c>
      <c r="B259" s="1653"/>
      <c r="C259" s="1653"/>
      <c r="D259" s="1675"/>
      <c r="E259" s="1675"/>
      <c r="F259" s="1675">
        <f t="shared" si="154"/>
        <v>64.826999999999998</v>
      </c>
      <c r="G259" s="1675">
        <f t="shared" si="154"/>
        <v>70.686000000000035</v>
      </c>
      <c r="H259" s="1675">
        <f t="shared" si="154"/>
        <v>53.362999999999943</v>
      </c>
      <c r="I259" s="1675">
        <f t="shared" si="154"/>
        <v>59</v>
      </c>
      <c r="J259" s="1675">
        <f t="shared" si="154"/>
        <v>100.30700000000002</v>
      </c>
      <c r="K259" s="1675">
        <f>J259-K240-K244</f>
        <v>121.58037500000002</v>
      </c>
      <c r="L259" s="1675">
        <f>K259-L240-L244</f>
        <v>141.25824687500003</v>
      </c>
      <c r="M259" s="1675">
        <f>L259-M240-M244</f>
        <v>159.46027835937502</v>
      </c>
      <c r="N259" s="1675">
        <f>M259-N240-N244</f>
        <v>176.29715748242191</v>
      </c>
      <c r="O259" s="1675">
        <f>N259-O240-O244</f>
        <v>191.87127067124027</v>
      </c>
      <c r="P259" s="1675">
        <f t="shared" ref="P259:AA259" si="156">P252-P263</f>
        <v>794</v>
      </c>
      <c r="Q259" s="1675">
        <f t="shared" si="156"/>
        <v>1147</v>
      </c>
      <c r="R259" s="1675">
        <f t="shared" si="156"/>
        <v>1815</v>
      </c>
      <c r="S259" s="1675">
        <f t="shared" si="156"/>
        <v>2032</v>
      </c>
      <c r="T259" s="1675">
        <f t="shared" si="156"/>
        <v>2337</v>
      </c>
      <c r="U259" s="1675">
        <f t="shared" si="156"/>
        <v>1347</v>
      </c>
      <c r="V259" s="1675">
        <f t="shared" si="156"/>
        <v>581</v>
      </c>
      <c r="W259" s="1675">
        <f t="shared" si="156"/>
        <v>410</v>
      </c>
      <c r="X259" s="1675">
        <f t="shared" si="156"/>
        <v>451</v>
      </c>
      <c r="Y259" s="1675">
        <f t="shared" si="156"/>
        <v>1289</v>
      </c>
      <c r="Z259" s="1675">
        <f t="shared" si="156"/>
        <v>865</v>
      </c>
      <c r="AA259" s="1675">
        <f t="shared" si="156"/>
        <v>1742</v>
      </c>
      <c r="AB259" s="1675">
        <f t="shared" ref="AB259:AG259" si="157">AA259-AB240-AB244</f>
        <v>2087.7799999999997</v>
      </c>
      <c r="AC259" s="1675">
        <f t="shared" si="157"/>
        <v>2437.402</v>
      </c>
      <c r="AD259" s="1675">
        <f t="shared" si="157"/>
        <v>2783.5277799999999</v>
      </c>
      <c r="AE259" s="1675">
        <f t="shared" si="157"/>
        <v>3119.5844463999997</v>
      </c>
      <c r="AF259" s="1675">
        <f t="shared" si="157"/>
        <v>3439.9584683679996</v>
      </c>
      <c r="AG259" s="1675">
        <f t="shared" si="157"/>
        <v>3740.1242827964797</v>
      </c>
      <c r="AH259" s="1293"/>
      <c r="AI259" s="1293"/>
      <c r="AJ259" s="1293"/>
      <c r="AK259" s="1293"/>
      <c r="AL259" s="1293"/>
      <c r="AM259" s="1293"/>
      <c r="AN259" s="1293"/>
      <c r="AO259" s="1293"/>
      <c r="AP259" s="1293"/>
      <c r="AQ259" s="1293"/>
      <c r="AR259" s="1293"/>
      <c r="AS259" s="1293"/>
    </row>
    <row r="260" spans="1:45" ht="15.75">
      <c r="A260" s="1653"/>
      <c r="B260" s="1653"/>
      <c r="C260" s="1653"/>
      <c r="D260" s="1675"/>
      <c r="E260" s="1675"/>
      <c r="F260" s="1653"/>
      <c r="G260" s="1653"/>
      <c r="H260" s="1653"/>
      <c r="I260" s="1653"/>
      <c r="J260" s="1653"/>
      <c r="K260" s="1653"/>
      <c r="L260" s="1653"/>
      <c r="M260" s="1653"/>
      <c r="N260" s="1653"/>
      <c r="O260" s="1653"/>
      <c r="P260" s="1653"/>
      <c r="Q260" s="1653"/>
      <c r="R260" s="1653"/>
      <c r="S260" s="1653"/>
      <c r="T260" s="1653"/>
      <c r="U260" s="1653"/>
      <c r="V260" s="1653"/>
      <c r="W260" s="1653"/>
      <c r="X260" s="1653"/>
      <c r="Y260" s="1653"/>
      <c r="Z260" s="1653"/>
      <c r="AA260" s="1653"/>
      <c r="AB260" s="1653"/>
      <c r="AC260" s="1653"/>
      <c r="AD260" s="1653"/>
      <c r="AE260" s="1653"/>
      <c r="AF260" s="1653"/>
      <c r="AG260" s="1653"/>
      <c r="AH260" s="1293"/>
      <c r="AI260" s="1293"/>
      <c r="AJ260" s="1293"/>
      <c r="AK260" s="1293"/>
      <c r="AL260" s="1293"/>
      <c r="AM260" s="1293"/>
      <c r="AN260" s="1293"/>
      <c r="AO260" s="1293"/>
      <c r="AP260" s="1293"/>
      <c r="AQ260" s="1293"/>
      <c r="AR260" s="1293"/>
      <c r="AS260" s="1293"/>
    </row>
    <row r="261" spans="1:45" ht="15.75">
      <c r="A261" s="1704" t="s">
        <v>2319</v>
      </c>
      <c r="B261" s="1704"/>
      <c r="C261" s="1653"/>
      <c r="D261" s="1675"/>
      <c r="E261" s="1675"/>
      <c r="F261" s="1653"/>
      <c r="G261" s="1653"/>
      <c r="H261" s="1653"/>
      <c r="I261" s="1653"/>
      <c r="J261" s="1653"/>
      <c r="K261" s="1653"/>
      <c r="L261" s="1653"/>
      <c r="M261" s="1653"/>
      <c r="N261" s="1653"/>
      <c r="O261" s="1653"/>
      <c r="P261" s="1653"/>
      <c r="Q261" s="1653"/>
      <c r="R261" s="1653"/>
      <c r="S261" s="1653"/>
      <c r="T261" s="1653"/>
      <c r="U261" s="1653"/>
      <c r="V261" s="1653"/>
      <c r="W261" s="1653"/>
      <c r="X261" s="1653"/>
      <c r="Y261" s="1653"/>
      <c r="Z261" s="1653"/>
      <c r="AA261" s="1653"/>
      <c r="AB261" s="1653"/>
      <c r="AC261" s="1653"/>
      <c r="AD261" s="1653"/>
      <c r="AE261" s="1653"/>
      <c r="AF261" s="1653"/>
      <c r="AG261" s="1653"/>
      <c r="AH261" s="1293"/>
      <c r="AI261" s="1293"/>
      <c r="AJ261" s="1293"/>
      <c r="AK261" s="1293"/>
      <c r="AL261" s="1293"/>
      <c r="AM261" s="1293"/>
      <c r="AN261" s="1293"/>
      <c r="AO261" s="1293"/>
      <c r="AP261" s="1293"/>
      <c r="AQ261" s="1293"/>
      <c r="AR261" s="1293"/>
      <c r="AS261" s="1293"/>
    </row>
    <row r="262" spans="1:45" ht="15.75">
      <c r="A262" s="1653" t="s">
        <v>2311</v>
      </c>
      <c r="B262" s="1653"/>
      <c r="C262" s="1653"/>
      <c r="D262" s="1675"/>
      <c r="E262" s="1675"/>
      <c r="F262" s="1717">
        <v>49.578000000000003</v>
      </c>
      <c r="G262" s="1717">
        <v>37.701999999999998</v>
      </c>
      <c r="H262" s="1717">
        <v>73.347999999999999</v>
      </c>
      <c r="I262" s="1717">
        <v>196.178</v>
      </c>
      <c r="J262" s="1717">
        <v>183.857</v>
      </c>
      <c r="K262" s="1675">
        <f>K264-K263</f>
        <v>727.97837500000014</v>
      </c>
      <c r="L262" s="1675">
        <f>L264-L263</f>
        <v>802.14324687500005</v>
      </c>
      <c r="M262" s="1675">
        <f>M264-M263</f>
        <v>2058.3532783593746</v>
      </c>
      <c r="N262" s="1675">
        <f>N264-N263</f>
        <v>1962.3451574824219</v>
      </c>
      <c r="O262" s="1675">
        <f>O264-O263</f>
        <v>2226.9192706712402</v>
      </c>
      <c r="P262" s="1717">
        <v>1382</v>
      </c>
      <c r="Q262" s="1717">
        <v>3066</v>
      </c>
      <c r="R262" s="1675">
        <f t="shared" ref="R262:AG262" si="158">R251-R258</f>
        <v>3066</v>
      </c>
      <c r="S262" s="1675">
        <f t="shared" si="158"/>
        <v>3066</v>
      </c>
      <c r="T262" s="1675">
        <f t="shared" si="158"/>
        <v>3066</v>
      </c>
      <c r="U262" s="1675">
        <f t="shared" si="158"/>
        <v>3066</v>
      </c>
      <c r="V262" s="1675">
        <f t="shared" si="158"/>
        <v>3066</v>
      </c>
      <c r="W262" s="1675">
        <f t="shared" si="158"/>
        <v>3066</v>
      </c>
      <c r="X262" s="1675">
        <f t="shared" si="158"/>
        <v>3066</v>
      </c>
      <c r="Y262" s="1675">
        <f t="shared" si="158"/>
        <v>3066</v>
      </c>
      <c r="Z262" s="1675">
        <f t="shared" si="158"/>
        <v>3066</v>
      </c>
      <c r="AA262" s="1675">
        <f t="shared" si="158"/>
        <v>3066</v>
      </c>
      <c r="AB262" s="1675">
        <f t="shared" si="158"/>
        <v>3066</v>
      </c>
      <c r="AC262" s="1675">
        <f t="shared" si="158"/>
        <v>3066</v>
      </c>
      <c r="AD262" s="1675">
        <f t="shared" si="158"/>
        <v>3066</v>
      </c>
      <c r="AE262" s="1675">
        <f t="shared" si="158"/>
        <v>3066</v>
      </c>
      <c r="AF262" s="1675">
        <f t="shared" si="158"/>
        <v>3066</v>
      </c>
      <c r="AG262" s="1675">
        <f t="shared" si="158"/>
        <v>3066</v>
      </c>
      <c r="AH262" s="1293"/>
      <c r="AI262" s="1293"/>
      <c r="AJ262" s="1293"/>
      <c r="AK262" s="1293"/>
      <c r="AL262" s="1293"/>
      <c r="AM262" s="1293"/>
      <c r="AN262" s="1293"/>
      <c r="AO262" s="1293"/>
      <c r="AP262" s="1293"/>
      <c r="AQ262" s="1293"/>
      <c r="AR262" s="1293"/>
      <c r="AS262" s="1293"/>
    </row>
    <row r="263" spans="1:45" ht="15.75">
      <c r="A263" s="1672" t="s">
        <v>2312</v>
      </c>
      <c r="B263" s="1672"/>
      <c r="C263" s="1672"/>
      <c r="D263" s="1705"/>
      <c r="E263" s="1705"/>
      <c r="F263" s="1719">
        <f>30.889+3.351</f>
        <v>34.24</v>
      </c>
      <c r="G263" s="1719">
        <f>277.705+2.561</f>
        <v>280.26599999999996</v>
      </c>
      <c r="H263" s="1719">
        <f>271.937+27.968</f>
        <v>299.90500000000003</v>
      </c>
      <c r="I263" s="1719">
        <f>165+121</f>
        <v>286</v>
      </c>
      <c r="J263" s="1719">
        <f>467.502-J262</f>
        <v>283.64499999999998</v>
      </c>
      <c r="K263" s="1705">
        <f>K252-K259</f>
        <v>262.37162499999999</v>
      </c>
      <c r="L263" s="1705">
        <f>L252-L259</f>
        <v>242.69375312499997</v>
      </c>
      <c r="M263" s="1705">
        <f>M252-M259</f>
        <v>224.49172164062497</v>
      </c>
      <c r="N263" s="1705">
        <f>N252-N259</f>
        <v>207.65484251757809</v>
      </c>
      <c r="O263" s="1705">
        <f>O252-O259</f>
        <v>192.08072932875973</v>
      </c>
      <c r="P263" s="1705">
        <f t="shared" ref="P263:AA263" si="159">P264-P262</f>
        <v>1076</v>
      </c>
      <c r="Q263" s="1705">
        <f t="shared" si="159"/>
        <v>2437</v>
      </c>
      <c r="R263" s="1705">
        <f t="shared" si="159"/>
        <v>1769</v>
      </c>
      <c r="S263" s="1705">
        <f t="shared" si="159"/>
        <v>1552</v>
      </c>
      <c r="T263" s="1705">
        <f t="shared" si="159"/>
        <v>1247</v>
      </c>
      <c r="U263" s="1705">
        <f t="shared" si="159"/>
        <v>2237</v>
      </c>
      <c r="V263" s="1705">
        <f t="shared" si="159"/>
        <v>3003</v>
      </c>
      <c r="W263" s="1705">
        <f t="shared" si="159"/>
        <v>3174</v>
      </c>
      <c r="X263" s="1705">
        <f t="shared" si="159"/>
        <v>5133</v>
      </c>
      <c r="Y263" s="1705">
        <f t="shared" si="159"/>
        <v>4295</v>
      </c>
      <c r="Z263" s="1705">
        <f t="shared" si="159"/>
        <v>4719</v>
      </c>
      <c r="AA263" s="1705">
        <f t="shared" si="159"/>
        <v>3842</v>
      </c>
      <c r="AB263" s="1705">
        <f t="shared" ref="AB263:AG263" si="160">AB252-AB259</f>
        <v>3496.2200000000003</v>
      </c>
      <c r="AC263" s="1705">
        <f t="shared" si="160"/>
        <v>3146.598</v>
      </c>
      <c r="AD263" s="1705">
        <f t="shared" si="160"/>
        <v>2800.4722200000001</v>
      </c>
      <c r="AE263" s="1705">
        <f t="shared" si="160"/>
        <v>2464.4155536000003</v>
      </c>
      <c r="AF263" s="1705">
        <f t="shared" si="160"/>
        <v>2144.0415316320004</v>
      </c>
      <c r="AG263" s="1705">
        <f t="shared" si="160"/>
        <v>1843.8757172035203</v>
      </c>
      <c r="AH263" s="1293"/>
      <c r="AI263" s="1293"/>
      <c r="AJ263" s="1293"/>
      <c r="AK263" s="1293"/>
      <c r="AL263" s="1293"/>
      <c r="AM263" s="1293"/>
      <c r="AN263" s="1293"/>
      <c r="AO263" s="1293"/>
      <c r="AP263" s="1293"/>
      <c r="AQ263" s="1293"/>
      <c r="AR263" s="1293"/>
      <c r="AS263" s="1293"/>
    </row>
    <row r="264" spans="1:45" ht="15.75">
      <c r="A264" s="1653" t="s">
        <v>2320</v>
      </c>
      <c r="B264" s="1653"/>
      <c r="C264" s="1653"/>
      <c r="D264" s="1675"/>
      <c r="E264" s="1675"/>
      <c r="F264" s="1675">
        <f>SUM(F262:F263)</f>
        <v>83.818000000000012</v>
      </c>
      <c r="G264" s="1675">
        <f>SUM(G262:G263)</f>
        <v>317.96799999999996</v>
      </c>
      <c r="H264" s="1675">
        <f>SUM(H262:H263)</f>
        <v>373.25300000000004</v>
      </c>
      <c r="I264" s="1675">
        <f>SUM(I262:I263)</f>
        <v>482.178</v>
      </c>
      <c r="J264" s="1675">
        <f>SUM(J262:J263)</f>
        <v>467.50199999999995</v>
      </c>
      <c r="K264" s="1675">
        <f>K253-K258-K259</f>
        <v>990.35000000000014</v>
      </c>
      <c r="L264" s="1717">
        <v>1044.837</v>
      </c>
      <c r="M264" s="1717">
        <v>2282.8449999999998</v>
      </c>
      <c r="N264" s="1717">
        <v>2170</v>
      </c>
      <c r="O264" s="1717">
        <v>2419</v>
      </c>
      <c r="P264" s="1717">
        <v>2458</v>
      </c>
      <c r="Q264" s="1717">
        <v>5503</v>
      </c>
      <c r="R264" s="1717">
        <v>4835</v>
      </c>
      <c r="S264" s="1717">
        <v>4618</v>
      </c>
      <c r="T264" s="1717">
        <v>4313</v>
      </c>
      <c r="U264" s="1717">
        <v>5303</v>
      </c>
      <c r="V264" s="1717">
        <v>6069</v>
      </c>
      <c r="W264" s="1717">
        <v>6240</v>
      </c>
      <c r="X264" s="1717">
        <v>8199</v>
      </c>
      <c r="Y264" s="1717">
        <v>7361</v>
      </c>
      <c r="Z264" s="1717">
        <v>7785</v>
      </c>
      <c r="AA264" s="1717">
        <v>6908</v>
      </c>
      <c r="AB264" s="1675">
        <f t="shared" ref="AB264:AG264" si="161">SUM(AB262:AB263)</f>
        <v>6562.22</v>
      </c>
      <c r="AC264" s="1675">
        <f t="shared" si="161"/>
        <v>6212.598</v>
      </c>
      <c r="AD264" s="1675">
        <f t="shared" si="161"/>
        <v>5866.4722199999997</v>
      </c>
      <c r="AE264" s="1675">
        <f t="shared" si="161"/>
        <v>5530.4155535999998</v>
      </c>
      <c r="AF264" s="1675">
        <f t="shared" si="161"/>
        <v>5210.0415316320004</v>
      </c>
      <c r="AG264" s="1675">
        <f t="shared" si="161"/>
        <v>4909.8757172035203</v>
      </c>
      <c r="AH264" s="1293"/>
      <c r="AI264" s="1293"/>
      <c r="AJ264" s="1293"/>
      <c r="AK264" s="1293"/>
      <c r="AL264" s="1293"/>
      <c r="AM264" s="1293"/>
      <c r="AN264" s="1293"/>
      <c r="AO264" s="1293"/>
      <c r="AP264" s="1293"/>
      <c r="AQ264" s="1293"/>
      <c r="AR264" s="1293"/>
      <c r="AS264" s="1293"/>
    </row>
    <row r="265" spans="1:45" ht="15.75">
      <c r="A265" s="1653"/>
      <c r="B265" s="1653"/>
      <c r="C265" s="1653"/>
      <c r="D265" s="1675"/>
      <c r="E265" s="1675"/>
      <c r="F265" s="1675"/>
      <c r="G265" s="1675"/>
      <c r="H265" s="1675"/>
      <c r="I265" s="1653"/>
      <c r="J265" s="1653"/>
      <c r="K265" s="1653"/>
      <c r="L265" s="1653"/>
      <c r="M265" s="1653"/>
      <c r="N265" s="1653"/>
      <c r="O265" s="1653"/>
      <c r="P265" s="1653"/>
      <c r="Q265" s="1653"/>
      <c r="R265" s="1653"/>
      <c r="S265" s="1653"/>
      <c r="T265" s="1653"/>
      <c r="U265" s="1653"/>
      <c r="V265" s="1653"/>
      <c r="W265" s="1653"/>
      <c r="X265" s="1653"/>
      <c r="Y265" s="1653"/>
      <c r="Z265" s="1653"/>
      <c r="AA265" s="1653"/>
      <c r="AB265" s="1653"/>
      <c r="AC265" s="1653"/>
      <c r="AD265" s="1653"/>
      <c r="AE265" s="1653"/>
      <c r="AF265" s="1653"/>
      <c r="AG265" s="1653"/>
      <c r="AH265" s="1293"/>
      <c r="AI265" s="1293"/>
      <c r="AJ265" s="1293"/>
      <c r="AK265" s="1293"/>
      <c r="AL265" s="1293"/>
      <c r="AM265" s="1293"/>
      <c r="AN265" s="1293"/>
      <c r="AO265" s="1293"/>
      <c r="AP265" s="1293"/>
      <c r="AQ265" s="1293"/>
      <c r="AR265" s="1293"/>
      <c r="AS265" s="1293"/>
    </row>
    <row r="266" spans="1:45" ht="15.75">
      <c r="A266" s="1706" t="s">
        <v>170</v>
      </c>
      <c r="B266" s="1706"/>
      <c r="C266" s="1653"/>
      <c r="D266" s="1653"/>
      <c r="E266" s="1653"/>
      <c r="F266" s="1653"/>
      <c r="G266" s="1653"/>
      <c r="H266" s="1653"/>
      <c r="I266" s="1653"/>
      <c r="J266" s="1653"/>
      <c r="K266" s="1653"/>
      <c r="L266" s="1653"/>
      <c r="M266" s="1653"/>
      <c r="N266" s="1653"/>
      <c r="O266" s="1653"/>
      <c r="P266" s="1653"/>
      <c r="Q266" s="1653"/>
      <c r="R266" s="1653"/>
      <c r="S266" s="1653"/>
      <c r="T266" s="1653"/>
      <c r="U266" s="1653"/>
      <c r="V266" s="1653"/>
      <c r="W266" s="1653"/>
      <c r="X266" s="1653"/>
      <c r="Y266" s="1653"/>
      <c r="Z266" s="1653"/>
      <c r="AA266" s="1653"/>
      <c r="AB266" s="1653"/>
      <c r="AC266" s="1653"/>
      <c r="AD266" s="1653"/>
      <c r="AE266" s="1653"/>
      <c r="AF266" s="1653"/>
      <c r="AG266" s="1653"/>
      <c r="AH266" s="1293"/>
      <c r="AI266" s="1293"/>
      <c r="AJ266" s="1293"/>
      <c r="AK266" s="1293"/>
      <c r="AL266" s="1293"/>
      <c r="AM266" s="1293"/>
      <c r="AN266" s="1293"/>
      <c r="AO266" s="1293"/>
      <c r="AP266" s="1293"/>
      <c r="AQ266" s="1293"/>
      <c r="AR266" s="1293"/>
      <c r="AS266" s="1293"/>
    </row>
    <row r="267" spans="1:45" ht="15.75">
      <c r="A267" s="1653" t="s">
        <v>2324</v>
      </c>
      <c r="B267" s="1653"/>
      <c r="C267" s="1653"/>
      <c r="D267" s="1675"/>
      <c r="E267" s="1675"/>
      <c r="F267" s="1675">
        <f>F270+F275+F278+F280</f>
        <v>534.78800000000001</v>
      </c>
      <c r="G267" s="1675">
        <f>G270+G275+G278+G280</f>
        <v>441.32399999999996</v>
      </c>
      <c r="H267" s="1675">
        <f>H270+H280</f>
        <v>22.991</v>
      </c>
      <c r="I267" s="1675">
        <f t="shared" ref="I267:AG267" si="162">I270+I275+I278+I280</f>
        <v>36.931000000000004</v>
      </c>
      <c r="J267" s="1675">
        <f t="shared" si="162"/>
        <v>128.59199999999998</v>
      </c>
      <c r="K267" s="1675">
        <f t="shared" si="162"/>
        <v>58.481999999999999</v>
      </c>
      <c r="L267" s="1675">
        <f t="shared" si="162"/>
        <v>82.1</v>
      </c>
      <c r="M267" s="1675">
        <f t="shared" si="162"/>
        <v>108.759</v>
      </c>
      <c r="N267" s="1675">
        <f t="shared" si="162"/>
        <v>467</v>
      </c>
      <c r="O267" s="1675">
        <f t="shared" si="162"/>
        <v>585</v>
      </c>
      <c r="P267" s="1675">
        <f t="shared" si="162"/>
        <v>844</v>
      </c>
      <c r="Q267" s="1675">
        <f t="shared" si="162"/>
        <v>757</v>
      </c>
      <c r="R267" s="1675">
        <f t="shared" si="162"/>
        <v>659</v>
      </c>
      <c r="S267" s="1675">
        <f t="shared" si="162"/>
        <v>612</v>
      </c>
      <c r="T267" s="1675">
        <f t="shared" si="162"/>
        <v>747.6</v>
      </c>
      <c r="U267" s="1675">
        <f t="shared" si="162"/>
        <v>670</v>
      </c>
      <c r="V267" s="1675">
        <f t="shared" si="162"/>
        <v>1786</v>
      </c>
      <c r="W267" s="1675">
        <f t="shared" si="162"/>
        <v>1552</v>
      </c>
      <c r="X267" s="1675">
        <f t="shared" si="162"/>
        <v>1385</v>
      </c>
      <c r="Y267" s="1675">
        <f t="shared" si="162"/>
        <v>1783</v>
      </c>
      <c r="Z267" s="1675">
        <f t="shared" si="162"/>
        <v>1709</v>
      </c>
      <c r="AA267" s="1675">
        <f t="shared" si="162"/>
        <v>1602</v>
      </c>
      <c r="AB267" s="1675">
        <f t="shared" ca="1" si="162"/>
        <v>1891.1368467163295</v>
      </c>
      <c r="AC267" s="1675">
        <f t="shared" ca="1" si="162"/>
        <v>2187.2598187515596</v>
      </c>
      <c r="AD267" s="1675">
        <f t="shared" ca="1" si="162"/>
        <v>2490.5213528055829</v>
      </c>
      <c r="AE267" s="1675">
        <f t="shared" ca="1" si="162"/>
        <v>2801.4043125026847</v>
      </c>
      <c r="AF267" s="1675">
        <f t="shared" ca="1" si="162"/>
        <v>3120.0465652803191</v>
      </c>
      <c r="AG267" s="1675">
        <f t="shared" ca="1" si="162"/>
        <v>3446.6097063297952</v>
      </c>
      <c r="AH267" s="1293"/>
      <c r="AI267" s="1293"/>
      <c r="AJ267" s="1293"/>
      <c r="AK267" s="1293"/>
      <c r="AL267" s="1293"/>
      <c r="AM267" s="1293"/>
      <c r="AN267" s="1293"/>
      <c r="AO267" s="1293"/>
      <c r="AP267" s="1293"/>
      <c r="AQ267" s="1293"/>
      <c r="AR267" s="1293"/>
      <c r="AS267" s="1293"/>
    </row>
    <row r="268" spans="1:45" ht="15.75">
      <c r="A268" s="1653" t="s">
        <v>2325</v>
      </c>
      <c r="B268" s="1653"/>
      <c r="C268" s="1653"/>
      <c r="D268" s="1675"/>
      <c r="E268" s="1675"/>
      <c r="F268" s="1675" t="s">
        <v>1823</v>
      </c>
      <c r="G268" s="1675"/>
      <c r="H268" s="1675"/>
      <c r="I268" s="1675"/>
      <c r="J268" s="1675"/>
      <c r="K268" s="1675"/>
      <c r="L268" s="1675"/>
      <c r="M268" s="1675"/>
      <c r="N268" s="1675"/>
      <c r="O268" s="1675"/>
      <c r="P268" s="1675"/>
      <c r="Q268" s="1675"/>
      <c r="R268" s="1675"/>
      <c r="S268" s="1675"/>
      <c r="T268" s="1675"/>
      <c r="U268" s="1675"/>
      <c r="V268" s="1675"/>
      <c r="W268" s="1675"/>
      <c r="X268" s="1675"/>
      <c r="Y268" s="1675"/>
      <c r="Z268" s="1675"/>
      <c r="AA268" s="1675"/>
      <c r="AB268" s="1675"/>
      <c r="AC268" s="1675"/>
      <c r="AD268" s="1675"/>
      <c r="AE268" s="1675"/>
      <c r="AF268" s="1675"/>
      <c r="AG268" s="1675"/>
      <c r="AH268" s="1293"/>
      <c r="AI268" s="1293"/>
      <c r="AJ268" s="1293"/>
      <c r="AK268" s="1293"/>
      <c r="AL268" s="1293"/>
      <c r="AM268" s="1293"/>
      <c r="AN268" s="1293"/>
      <c r="AO268" s="1293"/>
      <c r="AP268" s="1293"/>
      <c r="AQ268" s="1293"/>
      <c r="AR268" s="1293"/>
      <c r="AS268" s="1293"/>
    </row>
    <row r="269" spans="1:45" ht="15.75">
      <c r="A269" s="1653"/>
      <c r="B269" s="1653"/>
      <c r="C269" s="1653"/>
      <c r="D269" s="1675"/>
      <c r="E269" s="1675"/>
      <c r="F269" s="1675"/>
      <c r="G269" s="1675"/>
      <c r="H269" s="1675"/>
      <c r="I269" s="1675" t="s">
        <v>1823</v>
      </c>
      <c r="J269" s="1675"/>
      <c r="K269" s="1675"/>
      <c r="L269" s="1675"/>
      <c r="M269" s="1675"/>
      <c r="N269" s="1675"/>
      <c r="O269" s="1675"/>
      <c r="P269" s="1675"/>
      <c r="Q269" s="1675"/>
      <c r="R269" s="1675"/>
      <c r="S269" s="1675"/>
      <c r="T269" s="1675"/>
      <c r="U269" s="1675"/>
      <c r="V269" s="1675"/>
      <c r="W269" s="1675"/>
      <c r="X269" s="1675"/>
      <c r="Y269" s="1675"/>
      <c r="Z269" s="1675"/>
      <c r="AA269" s="1675"/>
      <c r="AB269" s="1675"/>
      <c r="AC269" s="1675"/>
      <c r="AD269" s="1675"/>
      <c r="AE269" s="1675"/>
      <c r="AF269" s="1675"/>
      <c r="AG269" s="1675"/>
      <c r="AH269" s="1293"/>
      <c r="AI269" s="1293"/>
      <c r="AJ269" s="1293"/>
      <c r="AK269" s="1293"/>
      <c r="AL269" s="1293"/>
      <c r="AM269" s="1293"/>
      <c r="AN269" s="1293"/>
      <c r="AO269" s="1293"/>
      <c r="AP269" s="1293"/>
      <c r="AQ269" s="1293"/>
      <c r="AR269" s="1293"/>
      <c r="AS269" s="1293"/>
    </row>
    <row r="270" spans="1:45" ht="15.75">
      <c r="A270" s="1653" t="s">
        <v>2326</v>
      </c>
      <c r="B270" s="1653"/>
      <c r="C270" s="1653"/>
      <c r="D270" s="1675"/>
      <c r="E270" s="1675"/>
      <c r="F270" s="1717">
        <v>5.226</v>
      </c>
      <c r="G270" s="1717">
        <v>5.883</v>
      </c>
      <c r="H270" s="1717">
        <v>4.8170000000000002</v>
      </c>
      <c r="I270" s="1717">
        <v>3.706</v>
      </c>
      <c r="J270" s="1717">
        <v>97.5</v>
      </c>
      <c r="K270" s="1717">
        <v>14.2</v>
      </c>
      <c r="L270" s="1717">
        <v>19.899999999999999</v>
      </c>
      <c r="M270" s="1717">
        <v>23.959</v>
      </c>
      <c r="N270" s="1717">
        <v>317</v>
      </c>
      <c r="O270" s="1717">
        <v>259</v>
      </c>
      <c r="P270" s="1717">
        <v>312</v>
      </c>
      <c r="Q270" s="1717">
        <v>294</v>
      </c>
      <c r="R270" s="1717">
        <v>192</v>
      </c>
      <c r="S270" s="1717">
        <v>0</v>
      </c>
      <c r="T270" s="1717">
        <v>0</v>
      </c>
      <c r="U270" s="1717">
        <v>0</v>
      </c>
      <c r="V270" s="1717">
        <v>0</v>
      </c>
      <c r="W270" s="1717">
        <v>0</v>
      </c>
      <c r="X270" s="1717">
        <f t="shared" ref="X270:AG270" si="163">W270</f>
        <v>0</v>
      </c>
      <c r="Y270" s="1717">
        <f t="shared" si="163"/>
        <v>0</v>
      </c>
      <c r="Z270" s="1717">
        <f t="shared" si="163"/>
        <v>0</v>
      </c>
      <c r="AA270" s="1717">
        <f t="shared" si="163"/>
        <v>0</v>
      </c>
      <c r="AB270" s="1675">
        <f t="shared" si="163"/>
        <v>0</v>
      </c>
      <c r="AC270" s="1675">
        <f t="shared" si="163"/>
        <v>0</v>
      </c>
      <c r="AD270" s="1675">
        <f t="shared" si="163"/>
        <v>0</v>
      </c>
      <c r="AE270" s="1675">
        <f t="shared" si="163"/>
        <v>0</v>
      </c>
      <c r="AF270" s="1675">
        <f t="shared" si="163"/>
        <v>0</v>
      </c>
      <c r="AG270" s="1675">
        <f t="shared" si="163"/>
        <v>0</v>
      </c>
      <c r="AH270" s="1293"/>
      <c r="AI270" s="1293"/>
      <c r="AJ270" s="1293"/>
      <c r="AK270" s="1293"/>
      <c r="AL270" s="1293"/>
      <c r="AM270" s="1293"/>
      <c r="AN270" s="1293"/>
      <c r="AO270" s="1293"/>
      <c r="AP270" s="1293"/>
      <c r="AQ270" s="1293"/>
      <c r="AR270" s="1293"/>
      <c r="AS270" s="1293"/>
    </row>
    <row r="271" spans="1:45" ht="15.75">
      <c r="A271" s="1653"/>
      <c r="B271" s="1653"/>
      <c r="C271" s="1653"/>
      <c r="D271" s="1675"/>
      <c r="E271" s="1675"/>
      <c r="F271" s="1675"/>
      <c r="G271" s="1675"/>
      <c r="H271" s="1675"/>
      <c r="I271" s="1675" t="s">
        <v>1823</v>
      </c>
      <c r="J271" s="1675"/>
      <c r="K271" s="1675"/>
      <c r="L271" s="1675"/>
      <c r="M271" s="1675"/>
      <c r="N271" s="1675"/>
      <c r="O271" s="1675"/>
      <c r="P271" s="1675"/>
      <c r="Q271" s="1675"/>
      <c r="R271" s="1675"/>
      <c r="S271" s="1675"/>
      <c r="T271" s="1675"/>
      <c r="U271" s="1675"/>
      <c r="V271" s="1675"/>
      <c r="W271" s="1675"/>
      <c r="X271" s="1675"/>
      <c r="Y271" s="1675"/>
      <c r="Z271" s="1675"/>
      <c r="AA271" s="1675"/>
      <c r="AB271" s="1675"/>
      <c r="AC271" s="1675"/>
      <c r="AD271" s="1675"/>
      <c r="AE271" s="1675"/>
      <c r="AF271" s="1675"/>
      <c r="AG271" s="1675"/>
      <c r="AH271" s="1293"/>
      <c r="AI271" s="1293"/>
      <c r="AJ271" s="1293"/>
      <c r="AK271" s="1293"/>
      <c r="AL271" s="1293"/>
      <c r="AM271" s="1293"/>
      <c r="AN271" s="1293"/>
      <c r="AO271" s="1293"/>
      <c r="AP271" s="1293"/>
      <c r="AQ271" s="1293"/>
      <c r="AR271" s="1293"/>
      <c r="AS271" s="1293"/>
    </row>
    <row r="272" spans="1:45" ht="15.75">
      <c r="A272" s="1653" t="s">
        <v>756</v>
      </c>
      <c r="B272" s="1653"/>
      <c r="C272" s="1653"/>
      <c r="D272" s="1675"/>
      <c r="E272" s="1717">
        <f>10012.543*3</f>
        <v>30037.629000000001</v>
      </c>
      <c r="F272" s="1717">
        <f>8968.414*3</f>
        <v>26905.242000000002</v>
      </c>
      <c r="G272" s="1717">
        <f>8968.414*3</f>
        <v>26905.242000000002</v>
      </c>
      <c r="H272" s="1675">
        <f>G272</f>
        <v>26905.242000000002</v>
      </c>
      <c r="I272" s="1675">
        <v>0</v>
      </c>
      <c r="J272" s="1675">
        <f t="shared" ref="J272:AG272" si="164">I272</f>
        <v>0</v>
      </c>
      <c r="K272" s="1675">
        <f t="shared" si="164"/>
        <v>0</v>
      </c>
      <c r="L272" s="1675">
        <f t="shared" si="164"/>
        <v>0</v>
      </c>
      <c r="M272" s="1675">
        <f t="shared" si="164"/>
        <v>0</v>
      </c>
      <c r="N272" s="1675">
        <f t="shared" si="164"/>
        <v>0</v>
      </c>
      <c r="O272" s="1675">
        <f t="shared" si="164"/>
        <v>0</v>
      </c>
      <c r="P272" s="1675">
        <f t="shared" si="164"/>
        <v>0</v>
      </c>
      <c r="Q272" s="1675">
        <f t="shared" si="164"/>
        <v>0</v>
      </c>
      <c r="R272" s="1675">
        <f t="shared" si="164"/>
        <v>0</v>
      </c>
      <c r="S272" s="1675">
        <f t="shared" si="164"/>
        <v>0</v>
      </c>
      <c r="T272" s="1675">
        <f t="shared" si="164"/>
        <v>0</v>
      </c>
      <c r="U272" s="1675">
        <f t="shared" si="164"/>
        <v>0</v>
      </c>
      <c r="V272" s="1675">
        <f t="shared" si="164"/>
        <v>0</v>
      </c>
      <c r="W272" s="1675">
        <f t="shared" si="164"/>
        <v>0</v>
      </c>
      <c r="X272" s="1675">
        <f t="shared" si="164"/>
        <v>0</v>
      </c>
      <c r="Y272" s="1675">
        <f t="shared" si="164"/>
        <v>0</v>
      </c>
      <c r="Z272" s="1675">
        <f t="shared" si="164"/>
        <v>0</v>
      </c>
      <c r="AA272" s="1675">
        <f t="shared" si="164"/>
        <v>0</v>
      </c>
      <c r="AB272" s="1675">
        <f t="shared" si="164"/>
        <v>0</v>
      </c>
      <c r="AC272" s="1675">
        <f t="shared" si="164"/>
        <v>0</v>
      </c>
      <c r="AD272" s="1675">
        <f t="shared" si="164"/>
        <v>0</v>
      </c>
      <c r="AE272" s="1675">
        <f t="shared" si="164"/>
        <v>0</v>
      </c>
      <c r="AF272" s="1675">
        <f t="shared" si="164"/>
        <v>0</v>
      </c>
      <c r="AG272" s="1675">
        <f t="shared" si="164"/>
        <v>0</v>
      </c>
      <c r="AH272" s="1293"/>
      <c r="AI272" s="1293"/>
      <c r="AJ272" s="1293"/>
      <c r="AK272" s="1293"/>
      <c r="AL272" s="1293"/>
      <c r="AM272" s="1293"/>
      <c r="AN272" s="1293"/>
      <c r="AO272" s="1293"/>
      <c r="AP272" s="1293"/>
      <c r="AQ272" s="1293"/>
      <c r="AR272" s="1293"/>
      <c r="AS272" s="1293"/>
    </row>
    <row r="273" spans="1:45" ht="15.75">
      <c r="A273" s="1653" t="s">
        <v>1203</v>
      </c>
      <c r="B273" s="1653"/>
      <c r="C273" s="1653"/>
      <c r="D273" s="1675"/>
      <c r="E273" s="1942">
        <v>8.6775000000000002</v>
      </c>
      <c r="F273" s="1942">
        <v>7.2148000000000003</v>
      </c>
      <c r="G273" s="1942">
        <v>6.6520999999999999</v>
      </c>
      <c r="H273" s="1942">
        <v>7.9581</v>
      </c>
      <c r="I273" s="1943">
        <f>H273</f>
        <v>7.9581</v>
      </c>
      <c r="J273" s="1943">
        <f t="shared" ref="J273:AG273" si="165">I273</f>
        <v>7.9581</v>
      </c>
      <c r="K273" s="1943">
        <f t="shared" si="165"/>
        <v>7.9581</v>
      </c>
      <c r="L273" s="1943">
        <f t="shared" si="165"/>
        <v>7.9581</v>
      </c>
      <c r="M273" s="1943">
        <f t="shared" si="165"/>
        <v>7.9581</v>
      </c>
      <c r="N273" s="1943">
        <f t="shared" si="165"/>
        <v>7.9581</v>
      </c>
      <c r="O273" s="1943">
        <f t="shared" si="165"/>
        <v>7.9581</v>
      </c>
      <c r="P273" s="1943">
        <f t="shared" si="165"/>
        <v>7.9581</v>
      </c>
      <c r="Q273" s="1943">
        <f t="shared" si="165"/>
        <v>7.9581</v>
      </c>
      <c r="R273" s="1943">
        <f t="shared" si="165"/>
        <v>7.9581</v>
      </c>
      <c r="S273" s="1943">
        <f t="shared" si="165"/>
        <v>7.9581</v>
      </c>
      <c r="T273" s="1943">
        <f t="shared" si="165"/>
        <v>7.9581</v>
      </c>
      <c r="U273" s="1943">
        <f t="shared" si="165"/>
        <v>7.9581</v>
      </c>
      <c r="V273" s="1943">
        <f t="shared" si="165"/>
        <v>7.9581</v>
      </c>
      <c r="W273" s="1943">
        <f t="shared" si="165"/>
        <v>7.9581</v>
      </c>
      <c r="X273" s="1943">
        <f t="shared" si="165"/>
        <v>7.9581</v>
      </c>
      <c r="Y273" s="1943">
        <f t="shared" si="165"/>
        <v>7.9581</v>
      </c>
      <c r="Z273" s="1943">
        <f t="shared" si="165"/>
        <v>7.9581</v>
      </c>
      <c r="AA273" s="1943">
        <f t="shared" si="165"/>
        <v>7.9581</v>
      </c>
      <c r="AB273" s="1943">
        <f t="shared" si="165"/>
        <v>7.9581</v>
      </c>
      <c r="AC273" s="1943">
        <f t="shared" si="165"/>
        <v>7.9581</v>
      </c>
      <c r="AD273" s="1943">
        <f t="shared" si="165"/>
        <v>7.9581</v>
      </c>
      <c r="AE273" s="1943">
        <f t="shared" si="165"/>
        <v>7.9581</v>
      </c>
      <c r="AF273" s="1943">
        <f t="shared" si="165"/>
        <v>7.9581</v>
      </c>
      <c r="AG273" s="1943">
        <f t="shared" si="165"/>
        <v>7.9581</v>
      </c>
      <c r="AH273" s="1293"/>
      <c r="AI273" s="1293"/>
      <c r="AJ273" s="1293"/>
      <c r="AK273" s="1293"/>
      <c r="AL273" s="1293"/>
      <c r="AM273" s="1293"/>
      <c r="AN273" s="1293"/>
      <c r="AO273" s="1293"/>
      <c r="AP273" s="1293"/>
      <c r="AQ273" s="1293"/>
      <c r="AR273" s="1293"/>
      <c r="AS273" s="1293"/>
    </row>
    <row r="274" spans="1:45" ht="15.75">
      <c r="A274" s="1653" t="s">
        <v>815</v>
      </c>
      <c r="B274" s="1653"/>
      <c r="C274" s="1653"/>
      <c r="D274" s="1675"/>
      <c r="E274" s="1675" t="s">
        <v>1823</v>
      </c>
      <c r="F274" s="1675">
        <f>F275*F273*1000/F272</f>
        <v>128.45741331744944</v>
      </c>
      <c r="G274" s="1675">
        <f>G275*G273*1000/G272</f>
        <v>86.999933031637468</v>
      </c>
      <c r="H274" s="1675">
        <f>H275*H273*1000/H272</f>
        <v>85.340944363183937</v>
      </c>
      <c r="I274" s="1937">
        <f>H274</f>
        <v>85.340944363183937</v>
      </c>
      <c r="J274" s="1937">
        <f t="shared" ref="J274:AG274" si="166">I274</f>
        <v>85.340944363183937</v>
      </c>
      <c r="K274" s="1937">
        <f t="shared" si="166"/>
        <v>85.340944363183937</v>
      </c>
      <c r="L274" s="1937">
        <f t="shared" si="166"/>
        <v>85.340944363183937</v>
      </c>
      <c r="M274" s="1937">
        <f t="shared" si="166"/>
        <v>85.340944363183937</v>
      </c>
      <c r="N274" s="1937">
        <f t="shared" si="166"/>
        <v>85.340944363183937</v>
      </c>
      <c r="O274" s="1937">
        <f t="shared" si="166"/>
        <v>85.340944363183937</v>
      </c>
      <c r="P274" s="1937">
        <f t="shared" si="166"/>
        <v>85.340944363183937</v>
      </c>
      <c r="Q274" s="1937">
        <f t="shared" si="166"/>
        <v>85.340944363183937</v>
      </c>
      <c r="R274" s="1937">
        <f t="shared" si="166"/>
        <v>85.340944363183937</v>
      </c>
      <c r="S274" s="1937">
        <f t="shared" si="166"/>
        <v>85.340944363183937</v>
      </c>
      <c r="T274" s="1937">
        <f t="shared" si="166"/>
        <v>85.340944363183937</v>
      </c>
      <c r="U274" s="1937">
        <f t="shared" si="166"/>
        <v>85.340944363183937</v>
      </c>
      <c r="V274" s="1937">
        <f t="shared" si="166"/>
        <v>85.340944363183937</v>
      </c>
      <c r="W274" s="1937">
        <f t="shared" si="166"/>
        <v>85.340944363183937</v>
      </c>
      <c r="X274" s="1937">
        <f t="shared" si="166"/>
        <v>85.340944363183937</v>
      </c>
      <c r="Y274" s="1937">
        <f t="shared" si="166"/>
        <v>85.340944363183937</v>
      </c>
      <c r="Z274" s="1937">
        <f t="shared" si="166"/>
        <v>85.340944363183937</v>
      </c>
      <c r="AA274" s="1937">
        <f t="shared" si="166"/>
        <v>85.340944363183937</v>
      </c>
      <c r="AB274" s="1937">
        <f t="shared" si="166"/>
        <v>85.340944363183937</v>
      </c>
      <c r="AC274" s="1937">
        <f t="shared" si="166"/>
        <v>85.340944363183937</v>
      </c>
      <c r="AD274" s="1937">
        <f t="shared" si="166"/>
        <v>85.340944363183937</v>
      </c>
      <c r="AE274" s="1937">
        <f t="shared" si="166"/>
        <v>85.340944363183937</v>
      </c>
      <c r="AF274" s="1937">
        <f t="shared" si="166"/>
        <v>85.340944363183937</v>
      </c>
      <c r="AG274" s="1937">
        <f t="shared" si="166"/>
        <v>85.340944363183937</v>
      </c>
      <c r="AH274" s="1293"/>
      <c r="AI274" s="1293"/>
      <c r="AJ274" s="1293"/>
      <c r="AK274" s="1293"/>
      <c r="AL274" s="1293"/>
      <c r="AM274" s="1293"/>
      <c r="AN274" s="1293"/>
      <c r="AO274" s="1293"/>
      <c r="AP274" s="1293"/>
      <c r="AQ274" s="1293"/>
      <c r="AR274" s="1293"/>
      <c r="AS274" s="1293"/>
    </row>
    <row r="275" spans="1:45" ht="15.75">
      <c r="A275" s="1653" t="s">
        <v>757</v>
      </c>
      <c r="B275" s="1653"/>
      <c r="C275" s="1653"/>
      <c r="D275" s="1675"/>
      <c r="E275" s="1675">
        <f>F275-F276</f>
        <v>234.11400000000003</v>
      </c>
      <c r="F275" s="1717">
        <v>479.04</v>
      </c>
      <c r="G275" s="1717">
        <v>351.88200000000001</v>
      </c>
      <c r="H275" s="1717">
        <v>288.52600000000001</v>
      </c>
      <c r="I275" s="1717">
        <v>0</v>
      </c>
      <c r="J275" s="1937">
        <f t="shared" ref="J275:AG275" si="167">J272*J274/J273</f>
        <v>0</v>
      </c>
      <c r="K275" s="1937">
        <f t="shared" si="167"/>
        <v>0</v>
      </c>
      <c r="L275" s="1937">
        <f t="shared" si="167"/>
        <v>0</v>
      </c>
      <c r="M275" s="1937">
        <f t="shared" si="167"/>
        <v>0</v>
      </c>
      <c r="N275" s="1937">
        <f t="shared" si="167"/>
        <v>0</v>
      </c>
      <c r="O275" s="1937">
        <f t="shared" si="167"/>
        <v>0</v>
      </c>
      <c r="P275" s="1937">
        <f t="shared" si="167"/>
        <v>0</v>
      </c>
      <c r="Q275" s="1937">
        <f t="shared" si="167"/>
        <v>0</v>
      </c>
      <c r="R275" s="1937">
        <f t="shared" si="167"/>
        <v>0</v>
      </c>
      <c r="S275" s="1937">
        <f t="shared" si="167"/>
        <v>0</v>
      </c>
      <c r="T275" s="1937">
        <f t="shared" si="167"/>
        <v>0</v>
      </c>
      <c r="U275" s="1937">
        <f t="shared" si="167"/>
        <v>0</v>
      </c>
      <c r="V275" s="1937">
        <f t="shared" si="167"/>
        <v>0</v>
      </c>
      <c r="W275" s="1937">
        <f t="shared" si="167"/>
        <v>0</v>
      </c>
      <c r="X275" s="1937">
        <f t="shared" si="167"/>
        <v>0</v>
      </c>
      <c r="Y275" s="1937">
        <f t="shared" si="167"/>
        <v>0</v>
      </c>
      <c r="Z275" s="1937">
        <f t="shared" si="167"/>
        <v>0</v>
      </c>
      <c r="AA275" s="1937">
        <f t="shared" si="167"/>
        <v>0</v>
      </c>
      <c r="AB275" s="1937">
        <f t="shared" si="167"/>
        <v>0</v>
      </c>
      <c r="AC275" s="1937">
        <f t="shared" si="167"/>
        <v>0</v>
      </c>
      <c r="AD275" s="1937">
        <f t="shared" si="167"/>
        <v>0</v>
      </c>
      <c r="AE275" s="1937">
        <f t="shared" si="167"/>
        <v>0</v>
      </c>
      <c r="AF275" s="1937">
        <f t="shared" si="167"/>
        <v>0</v>
      </c>
      <c r="AG275" s="1937">
        <f t="shared" si="167"/>
        <v>0</v>
      </c>
      <c r="AH275" s="1293"/>
      <c r="AI275" s="1293"/>
      <c r="AJ275" s="1293"/>
      <c r="AK275" s="1293"/>
      <c r="AL275" s="1293"/>
      <c r="AM275" s="1293"/>
      <c r="AN275" s="1293"/>
      <c r="AO275" s="1293"/>
      <c r="AP275" s="1293"/>
      <c r="AQ275" s="1293"/>
      <c r="AR275" s="1293"/>
      <c r="AS275" s="1293"/>
    </row>
    <row r="276" spans="1:45" ht="15.75">
      <c r="A276" s="1653" t="s">
        <v>2265</v>
      </c>
      <c r="B276" s="1653"/>
      <c r="C276" s="1653"/>
      <c r="D276" s="1675"/>
      <c r="E276" s="1675"/>
      <c r="F276" s="1717">
        <v>244.92599999999999</v>
      </c>
      <c r="G276" s="1675">
        <f>G275-F275</f>
        <v>-127.15800000000002</v>
      </c>
      <c r="H276" s="1675">
        <f>H275-G275</f>
        <v>-63.355999999999995</v>
      </c>
      <c r="I276" s="1717">
        <v>-36</v>
      </c>
      <c r="J276" s="1675">
        <f t="shared" ref="J276:AG276" si="168">J275-I275</f>
        <v>0</v>
      </c>
      <c r="K276" s="1675">
        <f t="shared" si="168"/>
        <v>0</v>
      </c>
      <c r="L276" s="1675">
        <f t="shared" si="168"/>
        <v>0</v>
      </c>
      <c r="M276" s="1675">
        <f t="shared" si="168"/>
        <v>0</v>
      </c>
      <c r="N276" s="1675">
        <f t="shared" si="168"/>
        <v>0</v>
      </c>
      <c r="O276" s="1675">
        <f t="shared" si="168"/>
        <v>0</v>
      </c>
      <c r="P276" s="1675">
        <f t="shared" si="168"/>
        <v>0</v>
      </c>
      <c r="Q276" s="1675">
        <f t="shared" si="168"/>
        <v>0</v>
      </c>
      <c r="R276" s="1675">
        <f t="shared" si="168"/>
        <v>0</v>
      </c>
      <c r="S276" s="1675">
        <f t="shared" si="168"/>
        <v>0</v>
      </c>
      <c r="T276" s="1675">
        <f t="shared" si="168"/>
        <v>0</v>
      </c>
      <c r="U276" s="1675">
        <f t="shared" si="168"/>
        <v>0</v>
      </c>
      <c r="V276" s="1675">
        <f t="shared" si="168"/>
        <v>0</v>
      </c>
      <c r="W276" s="1675">
        <f t="shared" si="168"/>
        <v>0</v>
      </c>
      <c r="X276" s="1675">
        <f t="shared" si="168"/>
        <v>0</v>
      </c>
      <c r="Y276" s="1675">
        <f t="shared" si="168"/>
        <v>0</v>
      </c>
      <c r="Z276" s="1675">
        <f t="shared" si="168"/>
        <v>0</v>
      </c>
      <c r="AA276" s="1675">
        <f t="shared" si="168"/>
        <v>0</v>
      </c>
      <c r="AB276" s="1675">
        <f t="shared" si="168"/>
        <v>0</v>
      </c>
      <c r="AC276" s="1675">
        <f t="shared" si="168"/>
        <v>0</v>
      </c>
      <c r="AD276" s="1675">
        <f t="shared" si="168"/>
        <v>0</v>
      </c>
      <c r="AE276" s="1675">
        <f t="shared" si="168"/>
        <v>0</v>
      </c>
      <c r="AF276" s="1675">
        <f t="shared" si="168"/>
        <v>0</v>
      </c>
      <c r="AG276" s="1675">
        <f t="shared" si="168"/>
        <v>0</v>
      </c>
      <c r="AH276" s="1293"/>
      <c r="AI276" s="1293"/>
      <c r="AJ276" s="1293"/>
      <c r="AK276" s="1293"/>
      <c r="AL276" s="1293"/>
      <c r="AM276" s="1293"/>
      <c r="AN276" s="1293"/>
      <c r="AO276" s="1293"/>
      <c r="AP276" s="1293"/>
      <c r="AQ276" s="1293"/>
      <c r="AR276" s="1293"/>
      <c r="AS276" s="1293"/>
    </row>
    <row r="277" spans="1:45" ht="15.75">
      <c r="A277" s="1653"/>
      <c r="B277" s="1653"/>
      <c r="C277" s="1653"/>
      <c r="D277" s="1675"/>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675"/>
      <c r="AF277" s="1675"/>
      <c r="AG277" s="1675"/>
      <c r="AH277" s="1293"/>
      <c r="AI277" s="1293"/>
      <c r="AJ277" s="1293"/>
      <c r="AK277" s="1293"/>
      <c r="AL277" s="1293"/>
      <c r="AM277" s="1293"/>
      <c r="AN277" s="1293"/>
      <c r="AO277" s="1293"/>
      <c r="AP277" s="1293"/>
      <c r="AQ277" s="1293"/>
      <c r="AR277" s="1293"/>
      <c r="AS277" s="1293"/>
    </row>
    <row r="278" spans="1:45" ht="15.75">
      <c r="A278" s="1653" t="s">
        <v>1668</v>
      </c>
      <c r="B278" s="1653"/>
      <c r="C278" s="1653"/>
      <c r="D278" s="1675"/>
      <c r="E278" s="1675"/>
      <c r="F278" s="1717">
        <v>0</v>
      </c>
      <c r="G278" s="1717">
        <v>45.255000000000003</v>
      </c>
      <c r="H278" s="1717">
        <v>39.277000000000001</v>
      </c>
      <c r="I278" s="1717">
        <v>0</v>
      </c>
      <c r="J278" s="1937">
        <v>0</v>
      </c>
      <c r="K278" s="1937">
        <v>0</v>
      </c>
      <c r="L278" s="1937">
        <v>0</v>
      </c>
      <c r="M278" s="1937">
        <v>0</v>
      </c>
      <c r="N278" s="1937">
        <v>0</v>
      </c>
      <c r="O278" s="1937">
        <v>0</v>
      </c>
      <c r="P278" s="1937">
        <v>0</v>
      </c>
      <c r="Q278" s="1937">
        <v>0</v>
      </c>
      <c r="R278" s="1937">
        <v>0</v>
      </c>
      <c r="S278" s="1937">
        <v>0</v>
      </c>
      <c r="T278" s="1937">
        <v>0</v>
      </c>
      <c r="U278" s="1937">
        <v>0</v>
      </c>
      <c r="V278" s="1937">
        <v>0</v>
      </c>
      <c r="W278" s="1937">
        <v>0</v>
      </c>
      <c r="X278" s="1937">
        <v>0</v>
      </c>
      <c r="Y278" s="1937">
        <v>0</v>
      </c>
      <c r="Z278" s="1937">
        <v>0</v>
      </c>
      <c r="AA278" s="1937">
        <v>0</v>
      </c>
      <c r="AB278" s="1937">
        <v>0</v>
      </c>
      <c r="AC278" s="1937">
        <v>0</v>
      </c>
      <c r="AD278" s="1937">
        <v>0</v>
      </c>
      <c r="AE278" s="1937">
        <v>0</v>
      </c>
      <c r="AF278" s="1937">
        <v>0</v>
      </c>
      <c r="AG278" s="1937">
        <v>0</v>
      </c>
      <c r="AH278" s="1293"/>
      <c r="AI278" s="1293"/>
      <c r="AJ278" s="1293"/>
      <c r="AK278" s="1293"/>
      <c r="AL278" s="1293"/>
      <c r="AM278" s="1293"/>
      <c r="AN278" s="1293"/>
      <c r="AO278" s="1293"/>
      <c r="AP278" s="1293"/>
      <c r="AQ278" s="1293"/>
      <c r="AR278" s="1293"/>
      <c r="AS278" s="1293"/>
    </row>
    <row r="279" spans="1:45" ht="15.75">
      <c r="A279" s="1653"/>
      <c r="B279" s="1653"/>
      <c r="C279" s="1653"/>
      <c r="D279" s="1675"/>
      <c r="E279" s="1675"/>
      <c r="F279" s="1675"/>
      <c r="G279" s="1675"/>
      <c r="H279" s="1675"/>
      <c r="I279" s="1675" t="s">
        <v>1823</v>
      </c>
      <c r="J279" s="1675"/>
      <c r="K279" s="1675"/>
      <c r="L279" s="1675"/>
      <c r="M279" s="1675"/>
      <c r="N279" s="1675"/>
      <c r="O279" s="1675"/>
      <c r="P279" s="1675"/>
      <c r="Q279" s="1675"/>
      <c r="R279" s="1675"/>
      <c r="S279" s="1675"/>
      <c r="T279" s="1675"/>
      <c r="U279" s="1675"/>
      <c r="V279" s="1675"/>
      <c r="W279" s="1675"/>
      <c r="X279" s="1675"/>
      <c r="Y279" s="1675"/>
      <c r="Z279" s="1675"/>
      <c r="AA279" s="1675"/>
      <c r="AB279" s="1675"/>
      <c r="AC279" s="1675"/>
      <c r="AD279" s="1675"/>
      <c r="AE279" s="1675"/>
      <c r="AF279" s="1675"/>
      <c r="AG279" s="1675"/>
      <c r="AH279" s="1293"/>
      <c r="AI279" s="1293"/>
      <c r="AJ279" s="1293"/>
      <c r="AK279" s="1293"/>
      <c r="AL279" s="1293"/>
      <c r="AM279" s="1293"/>
      <c r="AN279" s="1293"/>
      <c r="AO279" s="1293"/>
      <c r="AP279" s="1293"/>
      <c r="AQ279" s="1293"/>
      <c r="AR279" s="1293"/>
      <c r="AS279" s="1293"/>
    </row>
    <row r="280" spans="1:45" ht="15.75">
      <c r="A280" s="1653" t="s">
        <v>1384</v>
      </c>
      <c r="B280" s="1653"/>
      <c r="C280" s="1653"/>
      <c r="D280" s="1675"/>
      <c r="E280" s="1675"/>
      <c r="F280" s="1717">
        <f>25.397+1.34+23.785</f>
        <v>50.521999999999998</v>
      </c>
      <c r="G280" s="1717">
        <f>10.54+2.22+25.544</f>
        <v>38.304000000000002</v>
      </c>
      <c r="H280" s="1717">
        <f>6.307+5.367+6.5</f>
        <v>18.173999999999999</v>
      </c>
      <c r="I280" s="1717">
        <f>4.512+21.713+7</f>
        <v>33.225000000000001</v>
      </c>
      <c r="J280" s="1717">
        <f>6.02+13.838+11.234</f>
        <v>31.091999999999999</v>
      </c>
      <c r="K280" s="1717">
        <f>23.195+21.087</f>
        <v>44.281999999999996</v>
      </c>
      <c r="L280" s="1717">
        <f>0.9+53.3+8</f>
        <v>62.199999999999996</v>
      </c>
      <c r="M280" s="1717">
        <f>50+17.8+17</f>
        <v>84.8</v>
      </c>
      <c r="N280" s="1717">
        <f>50+37+63</f>
        <v>150</v>
      </c>
      <c r="O280" s="1717">
        <f>47+86+193</f>
        <v>326</v>
      </c>
      <c r="P280" s="1717">
        <f>122+83+327</f>
        <v>532</v>
      </c>
      <c r="Q280" s="1717">
        <f>185+2+89+74+113</f>
        <v>463</v>
      </c>
      <c r="R280" s="1717">
        <f>363+26+78</f>
        <v>467</v>
      </c>
      <c r="S280" s="1717">
        <f>331+281</f>
        <v>612</v>
      </c>
      <c r="T280" s="1717">
        <v>747.6</v>
      </c>
      <c r="U280" s="1717">
        <f>469+201</f>
        <v>670</v>
      </c>
      <c r="V280" s="1717">
        <f>25+482+1279</f>
        <v>1786</v>
      </c>
      <c r="W280" s="1717">
        <f>24+361+1167</f>
        <v>1552</v>
      </c>
      <c r="X280" s="1717">
        <f>22+302+1061</f>
        <v>1385</v>
      </c>
      <c r="Y280" s="1717">
        <f>12133-Y119-Y120</f>
        <v>1783</v>
      </c>
      <c r="Z280" s="1717">
        <f>12601-Z119-Z120</f>
        <v>1709</v>
      </c>
      <c r="AA280" s="1717">
        <f>11357-AA119-AA120</f>
        <v>1602</v>
      </c>
      <c r="AB280" s="1675">
        <f t="shared" ref="AB280:AG280" ca="1" si="169">AA280+AB281+AB286+AB29+AB438+AB45</f>
        <v>1891.1368467163295</v>
      </c>
      <c r="AC280" s="1675">
        <f t="shared" ca="1" si="169"/>
        <v>2187.2598187515596</v>
      </c>
      <c r="AD280" s="1675">
        <f t="shared" ca="1" si="169"/>
        <v>2490.5213528055829</v>
      </c>
      <c r="AE280" s="1675">
        <f t="shared" ca="1" si="169"/>
        <v>2801.4043125026847</v>
      </c>
      <c r="AF280" s="1675">
        <f t="shared" ca="1" si="169"/>
        <v>3120.0465652803191</v>
      </c>
      <c r="AG280" s="1675">
        <f t="shared" ca="1" si="169"/>
        <v>3446.6097063297952</v>
      </c>
      <c r="AH280" s="1293"/>
      <c r="AI280" s="1293"/>
      <c r="AJ280" s="1293"/>
      <c r="AK280" s="1293"/>
      <c r="AL280" s="1293"/>
      <c r="AM280" s="1293"/>
      <c r="AN280" s="1293"/>
      <c r="AO280" s="1293"/>
      <c r="AP280" s="1293"/>
      <c r="AQ280" s="1293"/>
      <c r="AR280" s="1293"/>
      <c r="AS280" s="1293"/>
    </row>
    <row r="281" spans="1:45" ht="15.75">
      <c r="A281" s="1653"/>
      <c r="B281" s="1653"/>
      <c r="C281" s="1653"/>
      <c r="D281" s="1675"/>
      <c r="E281" s="1675"/>
      <c r="F281" s="1675"/>
      <c r="G281" s="1675">
        <f t="shared" ref="G281:AA281" si="170">G280-F280</f>
        <v>-12.217999999999996</v>
      </c>
      <c r="H281" s="1675">
        <f t="shared" si="170"/>
        <v>-20.130000000000003</v>
      </c>
      <c r="I281" s="1675">
        <f t="shared" si="170"/>
        <v>15.051000000000002</v>
      </c>
      <c r="J281" s="1675">
        <f t="shared" si="170"/>
        <v>-2.1330000000000027</v>
      </c>
      <c r="K281" s="1675">
        <f t="shared" si="170"/>
        <v>13.189999999999998</v>
      </c>
      <c r="L281" s="1675">
        <f t="shared" si="170"/>
        <v>17.917999999999999</v>
      </c>
      <c r="M281" s="1675">
        <f t="shared" si="170"/>
        <v>22.6</v>
      </c>
      <c r="N281" s="1675">
        <f t="shared" si="170"/>
        <v>65.2</v>
      </c>
      <c r="O281" s="1675">
        <f t="shared" si="170"/>
        <v>176</v>
      </c>
      <c r="P281" s="1675">
        <f t="shared" si="170"/>
        <v>206</v>
      </c>
      <c r="Q281" s="1675">
        <f t="shared" si="170"/>
        <v>-69</v>
      </c>
      <c r="R281" s="1675">
        <f t="shared" si="170"/>
        <v>4</v>
      </c>
      <c r="S281" s="1675">
        <f t="shared" si="170"/>
        <v>145</v>
      </c>
      <c r="T281" s="1675">
        <f t="shared" si="170"/>
        <v>135.60000000000002</v>
      </c>
      <c r="U281" s="1675">
        <f t="shared" si="170"/>
        <v>-77.600000000000023</v>
      </c>
      <c r="V281" s="1675">
        <f t="shared" si="170"/>
        <v>1116</v>
      </c>
      <c r="W281" s="1675">
        <f t="shared" si="170"/>
        <v>-234</v>
      </c>
      <c r="X281" s="1675">
        <f t="shared" si="170"/>
        <v>-167</v>
      </c>
      <c r="Y281" s="1675">
        <f t="shared" si="170"/>
        <v>398</v>
      </c>
      <c r="Z281" s="1675">
        <f t="shared" si="170"/>
        <v>-74</v>
      </c>
      <c r="AA281" s="1675">
        <f t="shared" si="170"/>
        <v>-107</v>
      </c>
      <c r="AB281" s="1717">
        <v>0</v>
      </c>
      <c r="AC281" s="1717">
        <v>0</v>
      </c>
      <c r="AD281" s="1717">
        <v>0</v>
      </c>
      <c r="AE281" s="1717">
        <v>0</v>
      </c>
      <c r="AF281" s="1717">
        <v>0</v>
      </c>
      <c r="AG281" s="1717">
        <v>0</v>
      </c>
      <c r="AH281" s="1293"/>
      <c r="AI281" s="1293"/>
      <c r="AJ281" s="1293"/>
      <c r="AK281" s="1293"/>
      <c r="AL281" s="1293"/>
      <c r="AM281" s="1293"/>
      <c r="AN281" s="1293"/>
      <c r="AO281" s="1293"/>
      <c r="AP281" s="1293"/>
      <c r="AQ281" s="1293"/>
      <c r="AR281" s="1293"/>
      <c r="AS281" s="1293"/>
    </row>
    <row r="282" spans="1:45" ht="15.75">
      <c r="A282" s="1653"/>
      <c r="B282" s="1653"/>
      <c r="C282" s="1653"/>
      <c r="D282" s="1653"/>
      <c r="E282" s="1653"/>
      <c r="F282" s="1653"/>
      <c r="G282" s="1675"/>
      <c r="H282" s="1653"/>
      <c r="I282" s="1653"/>
      <c r="J282" s="1653"/>
      <c r="K282" s="1653"/>
      <c r="L282" s="1653"/>
      <c r="M282" s="1653"/>
      <c r="N282" s="1653"/>
      <c r="O282" s="1653"/>
      <c r="P282" s="1653"/>
      <c r="Q282" s="1653"/>
      <c r="R282" s="1653"/>
      <c r="S282" s="1653"/>
      <c r="T282" s="1653"/>
      <c r="U282" s="1653"/>
      <c r="V282" s="1653"/>
      <c r="W282" s="1653"/>
      <c r="X282" s="1653"/>
      <c r="Y282" s="1653"/>
      <c r="Z282" s="1653"/>
      <c r="AA282" s="1653"/>
      <c r="AB282" s="1653"/>
      <c r="AC282" s="1653"/>
      <c r="AD282" s="1653"/>
      <c r="AE282" s="1653"/>
      <c r="AF282" s="1653"/>
      <c r="AG282" s="1653"/>
      <c r="AH282" s="1293"/>
      <c r="AI282" s="1293"/>
      <c r="AJ282" s="1293"/>
      <c r="AK282" s="1293"/>
      <c r="AL282" s="1293"/>
      <c r="AM282" s="1293"/>
      <c r="AN282" s="1293"/>
      <c r="AO282" s="1293"/>
      <c r="AP282" s="1293"/>
      <c r="AQ282" s="1293"/>
      <c r="AR282" s="1293"/>
      <c r="AS282" s="1293"/>
    </row>
    <row r="283" spans="1:45" ht="15.75">
      <c r="A283" s="1704" t="s">
        <v>2321</v>
      </c>
      <c r="B283" s="1704"/>
      <c r="C283" s="1653"/>
      <c r="D283" s="1653"/>
      <c r="E283" s="1653"/>
      <c r="F283" s="1653"/>
      <c r="G283" s="1653"/>
      <c r="H283" s="1653"/>
      <c r="I283" s="1653"/>
      <c r="J283" s="1653"/>
      <c r="K283" s="1653"/>
      <c r="L283" s="1653"/>
      <c r="M283" s="1653"/>
      <c r="N283" s="1653"/>
      <c r="O283" s="1653"/>
      <c r="P283" s="1653"/>
      <c r="Q283" s="1653"/>
      <c r="R283" s="1653"/>
      <c r="S283" s="1653"/>
      <c r="T283" s="1653"/>
      <c r="U283" s="1653"/>
      <c r="V283" s="1653"/>
      <c r="W283" s="1653"/>
      <c r="X283" s="1653"/>
      <c r="Y283" s="1653"/>
      <c r="Z283" s="1653"/>
      <c r="AA283" s="1653"/>
      <c r="AB283" s="1653"/>
      <c r="AC283" s="1653"/>
      <c r="AD283" s="1653"/>
      <c r="AE283" s="1653"/>
      <c r="AF283" s="1653"/>
      <c r="AG283" s="1653"/>
      <c r="AH283" s="1293"/>
      <c r="AI283" s="1293"/>
      <c r="AJ283" s="1293"/>
      <c r="AK283" s="1293"/>
      <c r="AL283" s="1293"/>
      <c r="AM283" s="1293"/>
      <c r="AN283" s="1293"/>
      <c r="AO283" s="1293"/>
      <c r="AP283" s="1293"/>
      <c r="AQ283" s="1293"/>
      <c r="AR283" s="1293"/>
      <c r="AS283" s="1293"/>
    </row>
    <row r="284" spans="1:45" ht="15.75">
      <c r="A284" s="1653" t="s">
        <v>2322</v>
      </c>
      <c r="B284" s="1653"/>
      <c r="C284" s="1653"/>
      <c r="D284" s="1653"/>
      <c r="E284" s="1653"/>
      <c r="F284" s="1904">
        <v>0.38</v>
      </c>
      <c r="G284" s="1904">
        <v>0.81399999999999995</v>
      </c>
      <c r="H284" s="1904">
        <v>1.296</v>
      </c>
      <c r="I284" s="1904">
        <v>1.4830000000000001</v>
      </c>
      <c r="J284" s="1904">
        <v>4</v>
      </c>
      <c r="K284" s="1904">
        <v>8.9</v>
      </c>
      <c r="L284" s="1904">
        <v>2.2999999999999998</v>
      </c>
      <c r="M284" s="1904">
        <v>-31.518999999999998</v>
      </c>
      <c r="N284" s="1904">
        <v>0</v>
      </c>
      <c r="O284" s="1904">
        <v>-23</v>
      </c>
      <c r="P284" s="1904">
        <f>-15+8</f>
        <v>-7</v>
      </c>
      <c r="Q284" s="1904">
        <v>55</v>
      </c>
      <c r="R284" s="1666">
        <f>R286-R285</f>
        <v>-47</v>
      </c>
      <c r="S284" s="1666">
        <f>S286-S285</f>
        <v>-77</v>
      </c>
      <c r="T284" s="1666">
        <f>T286-T285</f>
        <v>-56</v>
      </c>
      <c r="U284" s="1666">
        <f>U286-U285</f>
        <v>-20</v>
      </c>
      <c r="V284" s="1666">
        <f>V286-V285</f>
        <v>-51</v>
      </c>
      <c r="W284" s="1944">
        <f>+Africa!G266</f>
        <v>-14.341107421875005</v>
      </c>
      <c r="X284" s="1944">
        <f>+Africa!H266</f>
        <v>-7.7632651171875064</v>
      </c>
      <c r="Y284" s="1944">
        <f>CA!W263</f>
        <v>47.995070095637047</v>
      </c>
      <c r="Z284" s="1944">
        <f>CA!X263</f>
        <v>52.441798274136652</v>
      </c>
      <c r="AA284" s="1944">
        <f>CA!Y263</f>
        <v>64.276935197416634</v>
      </c>
      <c r="AB284" s="1944">
        <f>CA!Z263</f>
        <v>64.604846716329632</v>
      </c>
      <c r="AC284" s="1944">
        <f>CA!AA263</f>
        <v>67.100332035230252</v>
      </c>
      <c r="AD284" s="1944">
        <f>CA!AB263</f>
        <v>69.658441254023217</v>
      </c>
      <c r="AE284" s="1944">
        <f>CA!AC263</f>
        <v>72.607805041101955</v>
      </c>
      <c r="AF284" s="1944">
        <f>CA!AD263</f>
        <v>75.601595028514595</v>
      </c>
      <c r="AG284" s="1944">
        <f>CA!AE263</f>
        <v>78.661670145373847</v>
      </c>
      <c r="AH284" s="1293"/>
      <c r="AI284" s="1293"/>
      <c r="AJ284" s="1293"/>
      <c r="AK284" s="1293"/>
      <c r="AL284" s="1293"/>
      <c r="AM284" s="1293"/>
      <c r="AN284" s="1293"/>
      <c r="AO284" s="1293"/>
      <c r="AP284" s="1293"/>
      <c r="AQ284" s="1293"/>
      <c r="AR284" s="1293"/>
      <c r="AS284" s="1293"/>
    </row>
    <row r="285" spans="1:45" ht="15.75">
      <c r="A285" s="1653" t="s">
        <v>2323</v>
      </c>
      <c r="B285" s="1653"/>
      <c r="C285" s="1653"/>
      <c r="D285" s="1653"/>
      <c r="E285" s="1653"/>
      <c r="F285" s="1895">
        <v>0</v>
      </c>
      <c r="G285" s="1895">
        <v>0</v>
      </c>
      <c r="H285" s="1895">
        <v>0</v>
      </c>
      <c r="I285" s="1895">
        <v>0</v>
      </c>
      <c r="J285" s="1895">
        <v>0</v>
      </c>
      <c r="K285" s="1895">
        <v>0</v>
      </c>
      <c r="L285" s="1895">
        <v>0</v>
      </c>
      <c r="M285" s="1895">
        <v>0</v>
      </c>
      <c r="N285" s="1895">
        <v>0</v>
      </c>
      <c r="O285" s="1895">
        <v>0</v>
      </c>
      <c r="P285" s="1895">
        <v>0</v>
      </c>
      <c r="Q285" s="1895">
        <v>0</v>
      </c>
      <c r="R285" s="1895">
        <v>147</v>
      </c>
      <c r="S285" s="1895">
        <v>28</v>
      </c>
      <c r="T285" s="1895">
        <v>-30</v>
      </c>
      <c r="U285" s="1895">
        <v>-15</v>
      </c>
      <c r="V285" s="1895">
        <v>10</v>
      </c>
      <c r="W285" s="1895">
        <v>10</v>
      </c>
      <c r="X285" s="1895">
        <v>10</v>
      </c>
      <c r="Y285" s="1895">
        <v>0</v>
      </c>
      <c r="Z285" s="1895">
        <v>0</v>
      </c>
      <c r="AA285" s="1895">
        <v>0</v>
      </c>
      <c r="AB285" s="1895">
        <v>0</v>
      </c>
      <c r="AC285" s="1895">
        <v>0</v>
      </c>
      <c r="AD285" s="1895">
        <v>0</v>
      </c>
      <c r="AE285" s="1895">
        <v>0</v>
      </c>
      <c r="AF285" s="1895">
        <v>0</v>
      </c>
      <c r="AG285" s="1895">
        <v>0</v>
      </c>
      <c r="AH285" s="1293"/>
      <c r="AI285" s="1293"/>
      <c r="AJ285" s="1293"/>
      <c r="AK285" s="1293"/>
      <c r="AL285" s="1293"/>
      <c r="AM285" s="1293"/>
      <c r="AN285" s="1293"/>
      <c r="AO285" s="1293"/>
      <c r="AP285" s="1293"/>
      <c r="AQ285" s="1293"/>
      <c r="AR285" s="1293"/>
      <c r="AS285" s="1293"/>
    </row>
    <row r="286" spans="1:45" ht="15.75">
      <c r="A286" s="1653" t="s">
        <v>2324</v>
      </c>
      <c r="B286" s="1653"/>
      <c r="C286" s="1653"/>
      <c r="D286" s="1653"/>
      <c r="E286" s="1653"/>
      <c r="F286" s="1666">
        <f t="shared" ref="F286:Q286" si="171">SUM(F284:F285)</f>
        <v>0.38</v>
      </c>
      <c r="G286" s="1666">
        <f t="shared" si="171"/>
        <v>0.81399999999999995</v>
      </c>
      <c r="H286" s="1666">
        <f t="shared" si="171"/>
        <v>1.296</v>
      </c>
      <c r="I286" s="1666">
        <f t="shared" si="171"/>
        <v>1.4830000000000001</v>
      </c>
      <c r="J286" s="1666">
        <f t="shared" si="171"/>
        <v>4</v>
      </c>
      <c r="K286" s="1666">
        <f t="shared" si="171"/>
        <v>8.9</v>
      </c>
      <c r="L286" s="1666">
        <f t="shared" si="171"/>
        <v>2.2999999999999998</v>
      </c>
      <c r="M286" s="1666">
        <f t="shared" si="171"/>
        <v>-31.518999999999998</v>
      </c>
      <c r="N286" s="1666">
        <f t="shared" si="171"/>
        <v>0</v>
      </c>
      <c r="O286" s="1666">
        <f t="shared" si="171"/>
        <v>-23</v>
      </c>
      <c r="P286" s="1666">
        <f t="shared" si="171"/>
        <v>-7</v>
      </c>
      <c r="Q286" s="1666">
        <f t="shared" si="171"/>
        <v>55</v>
      </c>
      <c r="R286" s="1895">
        <v>100</v>
      </c>
      <c r="S286" s="1895">
        <v>-49</v>
      </c>
      <c r="T286" s="1895">
        <v>-86</v>
      </c>
      <c r="U286" s="1895">
        <v>-35</v>
      </c>
      <c r="V286" s="1895">
        <v>-41</v>
      </c>
      <c r="W286" s="1895">
        <v>-1</v>
      </c>
      <c r="X286" s="1895">
        <v>-39</v>
      </c>
      <c r="Y286" s="1895">
        <v>32</v>
      </c>
      <c r="Z286" s="1895">
        <v>42</v>
      </c>
      <c r="AA286" s="1895">
        <v>54</v>
      </c>
      <c r="AB286" s="1666">
        <f t="shared" ref="AB286:AG286" si="172">SUM(AB284:AB285)</f>
        <v>64.604846716329632</v>
      </c>
      <c r="AC286" s="1666">
        <f t="shared" si="172"/>
        <v>67.100332035230252</v>
      </c>
      <c r="AD286" s="1666">
        <f t="shared" si="172"/>
        <v>69.658441254023217</v>
      </c>
      <c r="AE286" s="1666">
        <f t="shared" si="172"/>
        <v>72.607805041101955</v>
      </c>
      <c r="AF286" s="1666">
        <f t="shared" si="172"/>
        <v>75.601595028514595</v>
      </c>
      <c r="AG286" s="1666">
        <f t="shared" si="172"/>
        <v>78.661670145373847</v>
      </c>
      <c r="AH286" s="1293"/>
      <c r="AI286" s="1293"/>
      <c r="AJ286" s="1293"/>
      <c r="AK286" s="1293"/>
      <c r="AL286" s="1293"/>
      <c r="AM286" s="1293"/>
      <c r="AN286" s="1293"/>
      <c r="AO286" s="1293"/>
      <c r="AP286" s="1293"/>
      <c r="AQ286" s="1293"/>
      <c r="AR286" s="1293"/>
      <c r="AS286" s="1293"/>
    </row>
    <row r="287" spans="1:45" ht="15.75">
      <c r="A287" s="1653"/>
      <c r="B287" s="1653"/>
      <c r="C287" s="1653"/>
      <c r="D287" s="1653"/>
      <c r="E287" s="1653"/>
      <c r="F287" s="1653"/>
      <c r="G287" s="1653"/>
      <c r="H287" s="1666"/>
      <c r="I287" s="1666"/>
      <c r="J287" s="1666"/>
      <c r="K287" s="1666"/>
      <c r="L287" s="1666"/>
      <c r="M287" s="1666"/>
      <c r="N287" s="1666"/>
      <c r="O287" s="1666"/>
      <c r="P287" s="1666"/>
      <c r="Q287" s="1666"/>
      <c r="R287" s="1666"/>
      <c r="S287" s="1666"/>
      <c r="T287" s="1666"/>
      <c r="U287" s="1666"/>
      <c r="V287" s="1666"/>
      <c r="W287" s="1666"/>
      <c r="X287" s="1666"/>
      <c r="Y287" s="1666"/>
      <c r="Z287" s="1666"/>
      <c r="AA287" s="1666"/>
      <c r="AB287" s="1666"/>
      <c r="AC287" s="1666"/>
      <c r="AD287" s="1666"/>
      <c r="AE287" s="1666"/>
      <c r="AF287" s="1666"/>
      <c r="AG287" s="1666"/>
      <c r="AH287" s="1293"/>
      <c r="AI287" s="1293"/>
      <c r="AJ287" s="1293"/>
      <c r="AK287" s="1293"/>
      <c r="AL287" s="1293"/>
      <c r="AM287" s="1293"/>
      <c r="AN287" s="1293"/>
      <c r="AO287" s="1293"/>
      <c r="AP287" s="1293"/>
      <c r="AQ287" s="1293"/>
      <c r="AR287" s="1293"/>
      <c r="AS287" s="1293"/>
    </row>
    <row r="288" spans="1:45" ht="15.75">
      <c r="A288" s="1653" t="s">
        <v>2261</v>
      </c>
      <c r="B288" s="1653"/>
      <c r="C288" s="1653"/>
      <c r="D288" s="1653"/>
      <c r="E288" s="1653"/>
      <c r="F288" s="1904">
        <v>-25.454999999999998</v>
      </c>
      <c r="G288" s="1904">
        <v>-26.244</v>
      </c>
      <c r="H288" s="1904">
        <f>-23.137</f>
        <v>-23.137</v>
      </c>
      <c r="I288" s="1904">
        <v>-37.6</v>
      </c>
      <c r="J288" s="1904">
        <v>-49.6</v>
      </c>
      <c r="K288" s="1904">
        <v>-61.4</v>
      </c>
      <c r="L288" s="1904">
        <v>-65.58</v>
      </c>
      <c r="M288" s="1904">
        <v>-105.6</v>
      </c>
      <c r="N288" s="1904">
        <v>-113</v>
      </c>
      <c r="O288" s="1904">
        <v>-144</v>
      </c>
      <c r="P288" s="1904">
        <v>-196</v>
      </c>
      <c r="Q288" s="1904">
        <v>-258</v>
      </c>
      <c r="R288" s="1904">
        <v>-204</v>
      </c>
      <c r="S288" s="1904">
        <f>'New split'!F304</f>
        <v>-165</v>
      </c>
      <c r="T288" s="1904">
        <f>'New split'!G304</f>
        <v>-147.67599999999999</v>
      </c>
      <c r="U288" s="1904">
        <f>'New split'!H304</f>
        <v>-150.63400000000001</v>
      </c>
      <c r="V288" s="1904">
        <f>'New split'!I304</f>
        <v>-150.72500000000002</v>
      </c>
      <c r="W288" s="1904">
        <f>'New split'!J304</f>
        <v>-139</v>
      </c>
      <c r="X288" s="1904">
        <f>'New split'!K304</f>
        <v>-155</v>
      </c>
      <c r="Y288" s="1904">
        <f>'New split'!L304</f>
        <v>-147.66770000000002</v>
      </c>
      <c r="Z288" s="1904">
        <f>'New split'!M304</f>
        <v>-225.49399999999997</v>
      </c>
      <c r="AA288" s="1904">
        <f ca="1">'New split'!N304</f>
        <v>-225.49399999999997</v>
      </c>
      <c r="AB288" s="1945">
        <v>-150</v>
      </c>
      <c r="AC288" s="1945">
        <f>AB288</f>
        <v>-150</v>
      </c>
      <c r="AD288" s="1945">
        <f>AC288</f>
        <v>-150</v>
      </c>
      <c r="AE288" s="1945">
        <f>AD288</f>
        <v>-150</v>
      </c>
      <c r="AF288" s="1945">
        <f>AE288</f>
        <v>-150</v>
      </c>
      <c r="AG288" s="1945">
        <f>AF288</f>
        <v>-150</v>
      </c>
      <c r="AH288" s="1293"/>
      <c r="AI288" s="1293"/>
      <c r="AJ288" s="1293"/>
      <c r="AK288" s="1293"/>
      <c r="AL288" s="1293"/>
      <c r="AM288" s="1293"/>
      <c r="AN288" s="1293"/>
      <c r="AO288" s="1293"/>
      <c r="AP288" s="1293"/>
      <c r="AQ288" s="1293"/>
      <c r="AR288" s="1293"/>
      <c r="AS288" s="1293"/>
    </row>
    <row r="289" spans="1:45" ht="15.75">
      <c r="A289" s="1653"/>
      <c r="B289" s="1653"/>
      <c r="C289" s="1653"/>
      <c r="D289" s="1653"/>
      <c r="E289" s="1653"/>
      <c r="F289" s="1653"/>
      <c r="G289" s="1653"/>
      <c r="H289" s="1653"/>
      <c r="I289" s="1653"/>
      <c r="J289" s="1653"/>
      <c r="K289" s="1653"/>
      <c r="L289" s="1653"/>
      <c r="M289" s="1653"/>
      <c r="N289" s="1653"/>
      <c r="O289" s="1653"/>
      <c r="P289" s="1653"/>
      <c r="Q289" s="1653"/>
      <c r="R289" s="1653"/>
      <c r="S289" s="1653"/>
      <c r="T289" s="1653"/>
      <c r="U289" s="1653"/>
      <c r="V289" s="1653"/>
      <c r="W289" s="1653"/>
      <c r="X289" s="1653"/>
      <c r="Y289" s="1653"/>
      <c r="Z289" s="1653"/>
      <c r="AA289" s="1653"/>
      <c r="AB289" s="1653"/>
      <c r="AC289" s="1653"/>
      <c r="AD289" s="1653"/>
      <c r="AE289" s="1653"/>
      <c r="AF289" s="1653"/>
      <c r="AG289" s="1653"/>
      <c r="AH289" s="1293"/>
      <c r="AI289" s="1293"/>
      <c r="AJ289" s="1293"/>
      <c r="AK289" s="1293"/>
      <c r="AL289" s="1293"/>
      <c r="AM289" s="1293"/>
      <c r="AN289" s="1293"/>
      <c r="AO289" s="1293"/>
      <c r="AP289" s="1293"/>
      <c r="AQ289" s="1293"/>
      <c r="AR289" s="1293"/>
      <c r="AS289" s="1293"/>
    </row>
    <row r="290" spans="1:45" ht="15.75">
      <c r="A290" s="1653" t="s">
        <v>2102</v>
      </c>
      <c r="B290" s="1653"/>
      <c r="C290" s="1653"/>
      <c r="D290" s="1653"/>
      <c r="E290" s="1653"/>
      <c r="F290" s="1904"/>
      <c r="G290" s="1904"/>
      <c r="H290" s="1904">
        <f>-3.075</f>
        <v>-3.0750000000000002</v>
      </c>
      <c r="I290" s="1904">
        <v>-12.8</v>
      </c>
      <c r="J290" s="1904">
        <v>-19.2</v>
      </c>
      <c r="K290" s="1904">
        <v>-13.6</v>
      </c>
      <c r="L290" s="1904">
        <v>-10</v>
      </c>
      <c r="M290" s="1904">
        <v>-10</v>
      </c>
      <c r="N290" s="1904">
        <v>-14</v>
      </c>
      <c r="O290" s="1944">
        <v>0</v>
      </c>
      <c r="P290" s="1944">
        <v>0</v>
      </c>
      <c r="Q290" s="1944">
        <v>0</v>
      </c>
      <c r="R290" s="1944">
        <v>0</v>
      </c>
      <c r="S290" s="1944">
        <v>0</v>
      </c>
      <c r="T290" s="1944">
        <v>0</v>
      </c>
      <c r="U290" s="1944">
        <v>0</v>
      </c>
      <c r="V290" s="1944">
        <v>0</v>
      </c>
      <c r="W290" s="1944">
        <v>0</v>
      </c>
      <c r="X290" s="1944">
        <v>0</v>
      </c>
      <c r="Y290" s="1944">
        <v>0</v>
      </c>
      <c r="Z290" s="1944">
        <v>0</v>
      </c>
      <c r="AA290" s="1944">
        <v>0</v>
      </c>
      <c r="AB290" s="1944">
        <v>0</v>
      </c>
      <c r="AC290" s="1944">
        <v>0</v>
      </c>
      <c r="AD290" s="1944">
        <v>0</v>
      </c>
      <c r="AE290" s="1944">
        <v>0</v>
      </c>
      <c r="AF290" s="1944">
        <v>0</v>
      </c>
      <c r="AG290" s="1944">
        <v>0</v>
      </c>
      <c r="AH290" s="1293"/>
      <c r="AI290" s="1293"/>
      <c r="AJ290" s="1293"/>
      <c r="AK290" s="1293"/>
      <c r="AL290" s="1293"/>
      <c r="AM290" s="1293"/>
      <c r="AN290" s="1293"/>
      <c r="AO290" s="1293"/>
      <c r="AP290" s="1293"/>
      <c r="AQ290" s="1293"/>
      <c r="AR290" s="1293"/>
      <c r="AS290" s="1293"/>
    </row>
    <row r="291" spans="1:45" ht="15.75">
      <c r="A291" s="1653"/>
      <c r="B291" s="1653"/>
      <c r="C291" s="1653"/>
      <c r="D291" s="1653"/>
      <c r="E291" s="1653"/>
      <c r="F291" s="1653"/>
      <c r="G291" s="1653"/>
      <c r="H291" s="1653"/>
      <c r="I291" s="1653"/>
      <c r="J291" s="1653"/>
      <c r="K291" s="1653"/>
      <c r="L291" s="1653"/>
      <c r="M291" s="1653"/>
      <c r="N291" s="1653"/>
      <c r="O291" s="1653"/>
      <c r="P291" s="1653"/>
      <c r="Q291" s="1653"/>
      <c r="R291" s="1653"/>
      <c r="S291" s="1653"/>
      <c r="T291" s="1653"/>
      <c r="U291" s="1653"/>
      <c r="V291" s="1653"/>
      <c r="W291" s="1653"/>
      <c r="X291" s="1653"/>
      <c r="Y291" s="1653"/>
      <c r="Z291" s="1653"/>
      <c r="AA291" s="1653"/>
      <c r="AB291" s="1653"/>
      <c r="AC291" s="1653"/>
      <c r="AD291" s="1653"/>
      <c r="AE291" s="1653"/>
      <c r="AF291" s="1653"/>
      <c r="AG291" s="1653"/>
      <c r="AH291" s="1293"/>
      <c r="AI291" s="1293"/>
      <c r="AJ291" s="1293"/>
      <c r="AK291" s="1293"/>
      <c r="AL291" s="1293"/>
      <c r="AM291" s="1293"/>
      <c r="AN291" s="1293"/>
      <c r="AO291" s="1293"/>
      <c r="AP291" s="1293"/>
      <c r="AQ291" s="1293"/>
      <c r="AR291" s="1293"/>
      <c r="AS291" s="1293"/>
    </row>
    <row r="292" spans="1:45" ht="15.75">
      <c r="A292" s="1653" t="s">
        <v>2262</v>
      </c>
      <c r="B292" s="1653"/>
      <c r="C292" s="1653"/>
      <c r="D292" s="1653"/>
      <c r="E292" s="1653"/>
      <c r="F292" s="1717">
        <v>4.0469999999999997</v>
      </c>
      <c r="G292" s="1717">
        <v>0.193</v>
      </c>
      <c r="H292" s="1717">
        <v>2.4369999999999998</v>
      </c>
      <c r="I292" s="1717">
        <v>8</v>
      </c>
      <c r="J292" s="1717">
        <v>0</v>
      </c>
      <c r="K292" s="1717">
        <v>0</v>
      </c>
      <c r="L292" s="1717">
        <v>0</v>
      </c>
      <c r="M292" s="1653"/>
      <c r="N292" s="1653"/>
      <c r="O292" s="1653"/>
      <c r="P292" s="1653"/>
      <c r="Q292" s="1666"/>
      <c r="R292" s="1666"/>
      <c r="S292" s="1895">
        <v>-1</v>
      </c>
      <c r="T292" s="1895">
        <v>7</v>
      </c>
      <c r="U292" s="1895">
        <v>0</v>
      </c>
      <c r="V292" s="1895">
        <v>192</v>
      </c>
      <c r="W292" s="1895">
        <v>-37</v>
      </c>
      <c r="X292" s="1895">
        <v>666</v>
      </c>
      <c r="Y292" s="1895">
        <v>0</v>
      </c>
      <c r="Z292" s="2500">
        <v>-3</v>
      </c>
      <c r="AA292" s="2216">
        <v>-1.2200000000000001E-2</v>
      </c>
      <c r="AB292" s="1895">
        <v>0</v>
      </c>
      <c r="AC292" s="1895">
        <v>0</v>
      </c>
      <c r="AD292" s="1895">
        <v>0</v>
      </c>
      <c r="AE292" s="1895">
        <v>0</v>
      </c>
      <c r="AF292" s="1895">
        <v>0</v>
      </c>
      <c r="AG292" s="1895">
        <v>0</v>
      </c>
      <c r="AH292" s="1293"/>
      <c r="AI292" s="1293"/>
      <c r="AJ292" s="1293"/>
      <c r="AK292" s="1293"/>
      <c r="AL292" s="1293"/>
      <c r="AM292" s="1293"/>
      <c r="AN292" s="1293"/>
      <c r="AO292" s="1293"/>
      <c r="AP292" s="1293"/>
      <c r="AQ292" s="1293"/>
      <c r="AR292" s="1293"/>
      <c r="AS292" s="1293"/>
    </row>
    <row r="293" spans="1:45" ht="15.75">
      <c r="A293" s="1653"/>
      <c r="B293" s="1653"/>
      <c r="C293" s="1653"/>
      <c r="D293" s="1653"/>
      <c r="E293" s="1653"/>
      <c r="F293" s="1653"/>
      <c r="G293" s="1675"/>
      <c r="H293" s="1653"/>
      <c r="I293" s="1653"/>
      <c r="J293" s="1653"/>
      <c r="K293" s="1653"/>
      <c r="L293" s="1653"/>
      <c r="M293" s="1653"/>
      <c r="N293" s="1653"/>
      <c r="O293" s="1653"/>
      <c r="P293" s="1653"/>
      <c r="Q293" s="1653"/>
      <c r="R293" s="1653"/>
      <c r="S293" s="1653"/>
      <c r="T293" s="1653"/>
      <c r="U293" s="1653"/>
      <c r="V293" s="1653"/>
      <c r="W293" s="1653"/>
      <c r="X293" s="1653"/>
      <c r="Y293" s="1653"/>
      <c r="Z293" s="1653"/>
      <c r="AA293" s="1653"/>
      <c r="AB293" s="1653"/>
      <c r="AC293" s="1653"/>
      <c r="AD293" s="1653"/>
      <c r="AE293" s="1653"/>
      <c r="AF293" s="1653"/>
      <c r="AG293" s="1653"/>
      <c r="AH293" s="1293"/>
      <c r="AI293" s="1293"/>
      <c r="AJ293" s="1293"/>
      <c r="AK293" s="1293"/>
      <c r="AL293" s="1293"/>
      <c r="AM293" s="1293"/>
      <c r="AN293" s="1293"/>
      <c r="AO293" s="1293"/>
      <c r="AP293" s="1293"/>
      <c r="AQ293" s="1293"/>
      <c r="AR293" s="1293"/>
      <c r="AS293" s="1293"/>
    </row>
    <row r="294" spans="1:45" ht="15.75">
      <c r="A294" s="1653" t="s">
        <v>2264</v>
      </c>
      <c r="B294" s="1653"/>
      <c r="C294" s="1653"/>
      <c r="D294" s="1653"/>
      <c r="E294" s="1653"/>
      <c r="F294" s="1717">
        <v>-84.578000000000003</v>
      </c>
      <c r="G294" s="1675">
        <f>G278-F278-(G336-F336)</f>
        <v>148.71199999999999</v>
      </c>
      <c r="H294" s="1675">
        <f>H278-G278-(H336-G336)</f>
        <v>-5.9780000000000015</v>
      </c>
      <c r="I294" s="1717">
        <f>66+1</f>
        <v>67</v>
      </c>
      <c r="J294" s="1717">
        <v>0</v>
      </c>
      <c r="K294" s="1717">
        <v>0</v>
      </c>
      <c r="L294" s="1717">
        <v>0</v>
      </c>
      <c r="M294" s="1717">
        <v>0</v>
      </c>
      <c r="N294" s="1717">
        <v>0</v>
      </c>
      <c r="O294" s="1717">
        <v>-6</v>
      </c>
      <c r="P294" s="1717">
        <v>-19</v>
      </c>
      <c r="Q294" s="1717">
        <v>211</v>
      </c>
      <c r="R294" s="1675">
        <f t="shared" ref="R294:AG294" si="173">R278-Q278-(R336-Q336)</f>
        <v>0</v>
      </c>
      <c r="S294" s="1675">
        <f t="shared" si="173"/>
        <v>0</v>
      </c>
      <c r="T294" s="1675">
        <f t="shared" si="173"/>
        <v>0</v>
      </c>
      <c r="U294" s="1675">
        <f t="shared" si="173"/>
        <v>0</v>
      </c>
      <c r="V294" s="1675">
        <f t="shared" si="173"/>
        <v>0</v>
      </c>
      <c r="W294" s="1675">
        <f t="shared" si="173"/>
        <v>0</v>
      </c>
      <c r="X294" s="1675">
        <f t="shared" si="173"/>
        <v>0</v>
      </c>
      <c r="Y294" s="1675">
        <f t="shared" si="173"/>
        <v>0</v>
      </c>
      <c r="Z294" s="1675">
        <f t="shared" si="173"/>
        <v>0</v>
      </c>
      <c r="AA294" s="1675">
        <f t="shared" si="173"/>
        <v>0</v>
      </c>
      <c r="AB294" s="1675">
        <f t="shared" si="173"/>
        <v>0</v>
      </c>
      <c r="AC294" s="1675">
        <f t="shared" si="173"/>
        <v>0</v>
      </c>
      <c r="AD294" s="1675">
        <f t="shared" si="173"/>
        <v>0</v>
      </c>
      <c r="AE294" s="1675">
        <f t="shared" si="173"/>
        <v>0</v>
      </c>
      <c r="AF294" s="1675">
        <f t="shared" si="173"/>
        <v>0</v>
      </c>
      <c r="AG294" s="1675">
        <f t="shared" si="173"/>
        <v>0</v>
      </c>
      <c r="AH294" s="1293"/>
      <c r="AI294" s="1293"/>
      <c r="AJ294" s="1293"/>
      <c r="AK294" s="1293"/>
      <c r="AL294" s="1293"/>
      <c r="AM294" s="1293"/>
      <c r="AN294" s="1293"/>
      <c r="AO294" s="1293"/>
      <c r="AP294" s="1293"/>
      <c r="AQ294" s="1293"/>
      <c r="AR294" s="1293"/>
      <c r="AS294" s="1293"/>
    </row>
    <row r="295" spans="1:45" ht="15.75">
      <c r="A295" s="1653"/>
      <c r="B295" s="1653"/>
      <c r="C295" s="1653"/>
      <c r="D295" s="1653"/>
      <c r="E295" s="1653"/>
      <c r="F295" s="1653"/>
      <c r="G295" s="1653"/>
      <c r="H295" s="1653"/>
      <c r="I295" s="1653"/>
      <c r="J295" s="1653"/>
      <c r="K295" s="1653"/>
      <c r="L295" s="1653"/>
      <c r="M295" s="1653"/>
      <c r="N295" s="1653"/>
      <c r="O295" s="1653"/>
      <c r="P295" s="1653"/>
      <c r="Q295" s="1653"/>
      <c r="R295" s="1653"/>
      <c r="S295" s="1653"/>
      <c r="T295" s="1653"/>
      <c r="U295" s="1653"/>
      <c r="V295" s="1653"/>
      <c r="W295" s="1653"/>
      <c r="X295" s="1653"/>
      <c r="Y295" s="1653"/>
      <c r="Z295" s="1653"/>
      <c r="AA295" s="1653"/>
      <c r="AB295" s="1653"/>
      <c r="AC295" s="1653"/>
      <c r="AD295" s="1653"/>
      <c r="AE295" s="1653"/>
      <c r="AF295" s="1653"/>
      <c r="AG295" s="1653"/>
      <c r="AH295" s="1293"/>
      <c r="AI295" s="1293"/>
      <c r="AJ295" s="1293"/>
      <c r="AK295" s="1293"/>
      <c r="AL295" s="1293"/>
      <c r="AM295" s="1293"/>
      <c r="AN295" s="1293"/>
      <c r="AO295" s="1293"/>
      <c r="AP295" s="1293"/>
      <c r="AQ295" s="1293"/>
      <c r="AR295" s="1293"/>
      <c r="AS295" s="1293"/>
    </row>
    <row r="296" spans="1:45" ht="15.75">
      <c r="A296" s="1653" t="s">
        <v>2279</v>
      </c>
      <c r="B296" s="1653"/>
      <c r="C296" s="1653"/>
      <c r="D296" s="1653"/>
      <c r="E296" s="1653"/>
      <c r="F296" s="1717">
        <v>-45.601999999999997</v>
      </c>
      <c r="G296" s="1717">
        <v>-26.795999999999999</v>
      </c>
      <c r="H296" s="1717">
        <v>52.445999999999998</v>
      </c>
      <c r="I296" s="1717">
        <f>-36+6</f>
        <v>-30</v>
      </c>
      <c r="J296" s="1717">
        <v>10</v>
      </c>
      <c r="K296" s="1717">
        <v>-55.6</v>
      </c>
      <c r="L296" s="1717">
        <v>0</v>
      </c>
      <c r="M296" s="1717">
        <v>0</v>
      </c>
      <c r="N296" s="1717">
        <v>0</v>
      </c>
      <c r="O296" s="1717">
        <f>2+15+9+2</f>
        <v>28</v>
      </c>
      <c r="P296" s="1717">
        <f>-50-62-1+2</f>
        <v>-111</v>
      </c>
      <c r="Q296" s="1717">
        <v>2250</v>
      </c>
      <c r="R296" s="1717">
        <f>SUM(Quarts!BL37:BO37)</f>
        <v>-622</v>
      </c>
      <c r="S296" s="1717">
        <v>1</v>
      </c>
      <c r="T296" s="1944">
        <v>0</v>
      </c>
      <c r="U296" s="1944">
        <v>0</v>
      </c>
      <c r="V296" s="1944">
        <v>0</v>
      </c>
      <c r="W296" s="1717">
        <v>-72</v>
      </c>
      <c r="X296" s="1717">
        <v>-47</v>
      </c>
      <c r="Y296" s="1717">
        <v>-78</v>
      </c>
      <c r="Z296" s="1717">
        <v>36</v>
      </c>
      <c r="AA296" s="1717">
        <v>-119</v>
      </c>
      <c r="AB296" s="1944">
        <v>0</v>
      </c>
      <c r="AC296" s="1944">
        <v>0</v>
      </c>
      <c r="AD296" s="1944">
        <v>0</v>
      </c>
      <c r="AE296" s="1944">
        <v>0</v>
      </c>
      <c r="AF296" s="1944">
        <v>0</v>
      </c>
      <c r="AG296" s="1944">
        <v>0</v>
      </c>
      <c r="AH296" s="1293"/>
      <c r="AI296" s="1293"/>
      <c r="AJ296" s="1293"/>
      <c r="AK296" s="1293"/>
      <c r="AL296" s="1293"/>
      <c r="AM296" s="1293"/>
      <c r="AN296" s="1293"/>
      <c r="AO296" s="1293"/>
      <c r="AP296" s="1293"/>
      <c r="AQ296" s="1293"/>
      <c r="AR296" s="1293"/>
      <c r="AS296" s="1293"/>
    </row>
    <row r="297" spans="1:45" ht="15.75">
      <c r="A297" s="1653"/>
      <c r="B297" s="1653"/>
      <c r="C297" s="1653"/>
      <c r="D297" s="1653"/>
      <c r="E297" s="1653"/>
      <c r="F297" s="1653"/>
      <c r="G297" s="1675"/>
      <c r="H297" s="1653"/>
      <c r="I297" s="1653"/>
      <c r="J297" s="1653"/>
      <c r="K297" s="1653"/>
      <c r="L297" s="1653"/>
      <c r="M297" s="1653"/>
      <c r="N297" s="1653"/>
      <c r="O297" s="1653"/>
      <c r="P297" s="1653"/>
      <c r="Q297" s="1653"/>
      <c r="R297" s="1653"/>
      <c r="S297" s="1653"/>
      <c r="T297" s="1653"/>
      <c r="U297" s="1653"/>
      <c r="V297" s="1653"/>
      <c r="W297" s="1653"/>
      <c r="X297" s="1653"/>
      <c r="Y297" s="1653"/>
      <c r="Z297" s="1653"/>
      <c r="AA297" s="1653"/>
      <c r="AB297" s="1653"/>
      <c r="AC297" s="1653"/>
      <c r="AD297" s="1653"/>
      <c r="AE297" s="1653"/>
      <c r="AF297" s="1653"/>
      <c r="AG297" s="1653"/>
      <c r="AH297" s="1293"/>
      <c r="AI297" s="1293"/>
      <c r="AJ297" s="1293"/>
      <c r="AK297" s="1293"/>
      <c r="AL297" s="1293"/>
      <c r="AM297" s="1293"/>
      <c r="AN297" s="1293"/>
      <c r="AO297" s="1293"/>
      <c r="AP297" s="1293"/>
      <c r="AQ297" s="1293"/>
      <c r="AR297" s="1293"/>
      <c r="AS297" s="1293"/>
    </row>
    <row r="298" spans="1:45" ht="15.75">
      <c r="A298" s="1706" t="s">
        <v>2327</v>
      </c>
      <c r="B298" s="1706"/>
      <c r="C298" s="1653"/>
      <c r="D298" s="1653"/>
      <c r="E298" s="1653"/>
      <c r="F298" s="1653"/>
      <c r="G298" s="1653"/>
      <c r="H298" s="1653"/>
      <c r="I298" s="1653"/>
      <c r="J298" s="1653"/>
      <c r="K298" s="1653"/>
      <c r="L298" s="1653"/>
      <c r="M298" s="1653"/>
      <c r="N298" s="1653"/>
      <c r="O298" s="1653"/>
      <c r="P298" s="1653"/>
      <c r="Q298" s="1653"/>
      <c r="R298" s="1653"/>
      <c r="S298" s="1653"/>
      <c r="T298" s="1653"/>
      <c r="U298" s="1653"/>
      <c r="V298" s="1653"/>
      <c r="W298" s="1653"/>
      <c r="X298" s="1653"/>
      <c r="Y298" s="1653"/>
      <c r="Z298" s="1653"/>
      <c r="AA298" s="1653"/>
      <c r="AB298" s="1653"/>
      <c r="AC298" s="1653"/>
      <c r="AD298" s="1653"/>
      <c r="AE298" s="1653"/>
      <c r="AF298" s="1653"/>
      <c r="AG298" s="1653"/>
      <c r="AH298" s="1293"/>
      <c r="AI298" s="1293"/>
      <c r="AJ298" s="1293"/>
      <c r="AK298" s="1293"/>
      <c r="AL298" s="1293"/>
      <c r="AM298" s="1293"/>
      <c r="AN298" s="1293"/>
      <c r="AO298" s="1293"/>
      <c r="AP298" s="1293"/>
      <c r="AQ298" s="1293"/>
      <c r="AR298" s="1293"/>
      <c r="AS298" s="1293"/>
    </row>
    <row r="299" spans="1:45" ht="15.75">
      <c r="A299" s="1653" t="s">
        <v>171</v>
      </c>
      <c r="B299" s="1653"/>
      <c r="C299" s="1653"/>
      <c r="D299" s="1717"/>
      <c r="E299" s="1717"/>
      <c r="F299" s="1717">
        <v>10.941000000000001</v>
      </c>
      <c r="G299" s="1717">
        <v>16.303999999999998</v>
      </c>
      <c r="H299" s="1717">
        <v>16.369</v>
      </c>
      <c r="I299" s="1717">
        <v>54</v>
      </c>
      <c r="J299" s="1717">
        <v>82.893000000000001</v>
      </c>
      <c r="K299" s="1717">
        <v>58.161999999999999</v>
      </c>
      <c r="L299" s="1717">
        <v>46.9</v>
      </c>
      <c r="M299" s="1717">
        <v>62.131999999999998</v>
      </c>
      <c r="N299" s="1717">
        <v>75</v>
      </c>
      <c r="O299" s="1717">
        <v>93</v>
      </c>
      <c r="P299" s="1717">
        <v>122</v>
      </c>
      <c r="Q299" s="1717">
        <v>152</v>
      </c>
      <c r="R299" s="1717">
        <v>112</v>
      </c>
      <c r="S299" s="1717">
        <v>82</v>
      </c>
      <c r="T299" s="1717">
        <v>75</v>
      </c>
      <c r="U299" s="1717">
        <v>67</v>
      </c>
      <c r="V299" s="1717">
        <v>70</v>
      </c>
      <c r="W299" s="1717">
        <v>72</v>
      </c>
      <c r="X299" s="1717">
        <v>68</v>
      </c>
      <c r="Y299" s="1717">
        <v>53</v>
      </c>
      <c r="Z299" s="1717">
        <v>45</v>
      </c>
      <c r="AA299" s="1717">
        <v>44</v>
      </c>
      <c r="AB299" s="1666">
        <f t="shared" ref="AB299:AG299" si="174">AB301*AB5</f>
        <v>41.875112403814718</v>
      </c>
      <c r="AC299" s="1666">
        <f t="shared" si="174"/>
        <v>42.474727885861512</v>
      </c>
      <c r="AD299" s="1666">
        <f t="shared" si="174"/>
        <v>43.188880431055431</v>
      </c>
      <c r="AE299" s="1666">
        <f t="shared" si="174"/>
        <v>43.957284631245663</v>
      </c>
      <c r="AF299" s="1666">
        <f t="shared" si="174"/>
        <v>44.589683977379941</v>
      </c>
      <c r="AG299" s="1666">
        <f t="shared" si="174"/>
        <v>45.120012170683658</v>
      </c>
      <c r="AH299" s="1293"/>
      <c r="AI299" s="1293"/>
      <c r="AJ299" s="1293"/>
      <c r="AK299" s="1293"/>
      <c r="AL299" s="1293"/>
      <c r="AM299" s="1293"/>
      <c r="AN299" s="1293"/>
      <c r="AO299" s="1293"/>
      <c r="AP299" s="1293"/>
      <c r="AQ299" s="1293"/>
      <c r="AR299" s="1293"/>
      <c r="AS299" s="1293"/>
    </row>
    <row r="300" spans="1:45" ht="15.75">
      <c r="A300" s="1653" t="s">
        <v>2328</v>
      </c>
      <c r="B300" s="1653"/>
      <c r="C300" s="1653"/>
      <c r="D300" s="1666"/>
      <c r="E300" s="1666"/>
      <c r="F300" s="1666">
        <f t="shared" ref="F300:AG300" si="175">E299-F299</f>
        <v>-10.941000000000001</v>
      </c>
      <c r="G300" s="1666">
        <f t="shared" si="175"/>
        <v>-5.3629999999999978</v>
      </c>
      <c r="H300" s="1666">
        <f t="shared" si="175"/>
        <v>-6.5000000000001279E-2</v>
      </c>
      <c r="I300" s="1666">
        <f t="shared" si="175"/>
        <v>-37.631</v>
      </c>
      <c r="J300" s="1666">
        <f t="shared" si="175"/>
        <v>-28.893000000000001</v>
      </c>
      <c r="K300" s="1666">
        <f t="shared" si="175"/>
        <v>24.731000000000002</v>
      </c>
      <c r="L300" s="1666">
        <f t="shared" si="175"/>
        <v>11.262</v>
      </c>
      <c r="M300" s="1666">
        <f t="shared" si="175"/>
        <v>-15.231999999999999</v>
      </c>
      <c r="N300" s="1666">
        <f t="shared" si="175"/>
        <v>-12.868000000000002</v>
      </c>
      <c r="O300" s="1666">
        <f t="shared" si="175"/>
        <v>-18</v>
      </c>
      <c r="P300" s="1666">
        <f t="shared" si="175"/>
        <v>-29</v>
      </c>
      <c r="Q300" s="1666">
        <f t="shared" si="175"/>
        <v>-30</v>
      </c>
      <c r="R300" s="1666">
        <f t="shared" si="175"/>
        <v>40</v>
      </c>
      <c r="S300" s="1666">
        <f t="shared" si="175"/>
        <v>30</v>
      </c>
      <c r="T300" s="1666">
        <f t="shared" si="175"/>
        <v>7</v>
      </c>
      <c r="U300" s="1666">
        <f t="shared" si="175"/>
        <v>8</v>
      </c>
      <c r="V300" s="1666">
        <f t="shared" si="175"/>
        <v>-3</v>
      </c>
      <c r="W300" s="1666">
        <f t="shared" si="175"/>
        <v>-2</v>
      </c>
      <c r="X300" s="1666">
        <f t="shared" si="175"/>
        <v>4</v>
      </c>
      <c r="Y300" s="1666">
        <f t="shared" si="175"/>
        <v>15</v>
      </c>
      <c r="Z300" s="1666">
        <f t="shared" si="175"/>
        <v>8</v>
      </c>
      <c r="AA300" s="1666">
        <f t="shared" si="175"/>
        <v>1</v>
      </c>
      <c r="AB300" s="1666">
        <f t="shared" si="175"/>
        <v>2.1248875961852818</v>
      </c>
      <c r="AC300" s="1666">
        <f t="shared" si="175"/>
        <v>-0.5996154820467936</v>
      </c>
      <c r="AD300" s="1666">
        <f t="shared" si="175"/>
        <v>-0.7141525451939188</v>
      </c>
      <c r="AE300" s="1666">
        <f t="shared" si="175"/>
        <v>-0.7684042001902327</v>
      </c>
      <c r="AF300" s="1666">
        <f t="shared" si="175"/>
        <v>-0.63239934613427806</v>
      </c>
      <c r="AG300" s="1666">
        <f t="shared" si="175"/>
        <v>-0.53032819330371694</v>
      </c>
      <c r="AH300" s="1293"/>
      <c r="AI300" s="1293"/>
      <c r="AJ300" s="1293"/>
      <c r="AK300" s="1293"/>
      <c r="AL300" s="1293"/>
      <c r="AM300" s="1293"/>
      <c r="AN300" s="1293"/>
      <c r="AO300" s="1293"/>
      <c r="AP300" s="1293"/>
      <c r="AQ300" s="1293"/>
      <c r="AR300" s="1293"/>
      <c r="AS300" s="1293"/>
    </row>
    <row r="301" spans="1:45" ht="15.75">
      <c r="A301" s="1653" t="s">
        <v>1431</v>
      </c>
      <c r="B301" s="1653"/>
      <c r="C301" s="1653"/>
      <c r="D301" s="1688"/>
      <c r="E301" s="1688"/>
      <c r="F301" s="1688">
        <f t="shared" ref="F301:AA301" si="176">F299/F5</f>
        <v>1.7066299790356398E-2</v>
      </c>
      <c r="G301" s="1688">
        <f t="shared" si="176"/>
        <v>1.7693736868607941E-2</v>
      </c>
      <c r="H301" s="1688">
        <f t="shared" si="176"/>
        <v>1.5109850803031014E-2</v>
      </c>
      <c r="I301" s="1688">
        <f t="shared" si="176"/>
        <v>3.3125785970616196E-2</v>
      </c>
      <c r="J301" s="1688">
        <f t="shared" si="176"/>
        <v>3.1508127616792329E-2</v>
      </c>
      <c r="K301" s="1688">
        <f t="shared" si="176"/>
        <v>1.7117004747602031E-2</v>
      </c>
      <c r="L301" s="1688">
        <f t="shared" si="176"/>
        <v>1.3113140689688449E-2</v>
      </c>
      <c r="M301" s="1688">
        <f t="shared" si="176"/>
        <v>1.543556863495063E-2</v>
      </c>
      <c r="N301" s="1688" t="e">
        <f t="shared" si="176"/>
        <v>#DIV/0!</v>
      </c>
      <c r="O301" s="1688" t="e">
        <f t="shared" si="176"/>
        <v>#DIV/0!</v>
      </c>
      <c r="P301" s="1688" t="e">
        <f t="shared" si="176"/>
        <v>#DIV/0!</v>
      </c>
      <c r="Q301" s="1688">
        <f t="shared" si="176"/>
        <v>2.3802026234445054E-2</v>
      </c>
      <c r="R301" s="1688">
        <f t="shared" si="176"/>
        <v>1.6641564290881334E-2</v>
      </c>
      <c r="S301" s="1688">
        <f t="shared" si="176"/>
        <v>1.3122347496242982E-2</v>
      </c>
      <c r="T301" s="1688">
        <f t="shared" si="176"/>
        <v>1.2317293480045984E-2</v>
      </c>
      <c r="U301" s="1688">
        <f t="shared" si="176"/>
        <v>1.1144377910844976E-2</v>
      </c>
      <c r="V301" s="1688">
        <f t="shared" si="176"/>
        <v>1.098728614032334E-2</v>
      </c>
      <c r="W301" s="1688">
        <f t="shared" si="176"/>
        <v>1.1553273427471117E-2</v>
      </c>
      <c r="X301" s="1688">
        <f t="shared" si="176"/>
        <v>1.0346926354230066E-2</v>
      </c>
      <c r="Y301" s="1688">
        <f t="shared" si="176"/>
        <v>9.4230095670215994E-3</v>
      </c>
      <c r="Z301" s="1688">
        <f t="shared" si="176"/>
        <v>7.9491255961844191E-3</v>
      </c>
      <c r="AA301" s="1688">
        <f t="shared" si="176"/>
        <v>7.5806400927098498E-3</v>
      </c>
      <c r="AB301" s="1946">
        <f t="shared" ref="AB301:AG301" si="177">AA301</f>
        <v>7.5806400927098498E-3</v>
      </c>
      <c r="AC301" s="1946">
        <f t="shared" si="177"/>
        <v>7.5806400927098498E-3</v>
      </c>
      <c r="AD301" s="1946">
        <f t="shared" si="177"/>
        <v>7.5806400927098498E-3</v>
      </c>
      <c r="AE301" s="1946">
        <f t="shared" si="177"/>
        <v>7.5806400927098498E-3</v>
      </c>
      <c r="AF301" s="1946">
        <f t="shared" si="177"/>
        <v>7.5806400927098498E-3</v>
      </c>
      <c r="AG301" s="1946">
        <f t="shared" si="177"/>
        <v>7.5806400927098498E-3</v>
      </c>
      <c r="AH301" s="1293"/>
      <c r="AI301" s="1293"/>
      <c r="AJ301" s="1293"/>
      <c r="AK301" s="1293"/>
      <c r="AL301" s="1293"/>
      <c r="AM301" s="1293"/>
      <c r="AN301" s="1293"/>
      <c r="AO301" s="1293"/>
      <c r="AP301" s="1293"/>
      <c r="AQ301" s="1293"/>
      <c r="AR301" s="1293"/>
      <c r="AS301" s="1293"/>
    </row>
    <row r="302" spans="1:45" ht="15.75">
      <c r="A302" s="1653"/>
      <c r="B302" s="1653"/>
      <c r="C302" s="1653"/>
      <c r="D302" s="1653"/>
      <c r="E302" s="1653"/>
      <c r="F302" s="1653"/>
      <c r="G302" s="1653"/>
      <c r="H302" s="1653"/>
      <c r="I302" s="1653" t="s">
        <v>1823</v>
      </c>
      <c r="J302" s="1653"/>
      <c r="K302" s="1653"/>
      <c r="L302" s="1653"/>
      <c r="M302" s="1653"/>
      <c r="N302" s="1653"/>
      <c r="O302" s="1653"/>
      <c r="P302" s="1653"/>
      <c r="Q302" s="1653"/>
      <c r="R302" s="1653"/>
      <c r="S302" s="1653"/>
      <c r="T302" s="1653"/>
      <c r="U302" s="1653"/>
      <c r="V302" s="1653"/>
      <c r="W302" s="1653"/>
      <c r="X302" s="1653"/>
      <c r="Y302" s="1653"/>
      <c r="Z302" s="1653"/>
      <c r="AA302" s="1653"/>
      <c r="AB302" s="1653"/>
      <c r="AC302" s="1653"/>
      <c r="AD302" s="1653"/>
      <c r="AE302" s="1653"/>
      <c r="AF302" s="1653"/>
      <c r="AG302" s="1653"/>
      <c r="AH302" s="1293"/>
      <c r="AI302" s="1293"/>
      <c r="AJ302" s="1293"/>
      <c r="AK302" s="1293"/>
      <c r="AL302" s="1293"/>
      <c r="AM302" s="1293"/>
      <c r="AN302" s="1293"/>
      <c r="AO302" s="1293"/>
      <c r="AP302" s="1293"/>
      <c r="AQ302" s="1293"/>
      <c r="AR302" s="1293"/>
      <c r="AS302" s="1293"/>
    </row>
    <row r="303" spans="1:45" ht="15.75">
      <c r="A303" s="1653" t="s">
        <v>2329</v>
      </c>
      <c r="B303" s="1653"/>
      <c r="C303" s="1653"/>
      <c r="D303" s="1717"/>
      <c r="E303" s="1717"/>
      <c r="F303" s="1717">
        <v>113.75</v>
      </c>
      <c r="G303" s="1717">
        <v>141.97200000000001</v>
      </c>
      <c r="H303" s="1717">
        <v>109.16500000000001</v>
      </c>
      <c r="I303" s="1717">
        <v>185.45500000000001</v>
      </c>
      <c r="J303" s="1717">
        <v>223.57900000000001</v>
      </c>
      <c r="K303" s="1717">
        <v>257.45499999999998</v>
      </c>
      <c r="L303" s="1717">
        <v>225</v>
      </c>
      <c r="M303" s="1717">
        <v>253.25800000000001</v>
      </c>
      <c r="N303" s="1717">
        <v>277</v>
      </c>
      <c r="O303" s="1717">
        <v>322</v>
      </c>
      <c r="P303" s="1717">
        <v>282</v>
      </c>
      <c r="Q303" s="1717">
        <v>492</v>
      </c>
      <c r="R303" s="1717">
        <v>491</v>
      </c>
      <c r="S303" s="1717">
        <v>481</v>
      </c>
      <c r="T303" s="1717">
        <v>487</v>
      </c>
      <c r="U303" s="1717">
        <v>423</v>
      </c>
      <c r="V303" s="1717">
        <v>447</v>
      </c>
      <c r="W303" s="1717">
        <v>442</v>
      </c>
      <c r="X303" s="1717">
        <v>440</v>
      </c>
      <c r="Y303" s="1717">
        <v>379</v>
      </c>
      <c r="Z303" s="1717">
        <v>443</v>
      </c>
      <c r="AA303" s="1717">
        <v>390</v>
      </c>
      <c r="AB303" s="1675">
        <f t="shared" ref="AB303:AG303" si="178">AB305*AB5</f>
        <v>371.16576903381224</v>
      </c>
      <c r="AC303" s="1675">
        <f t="shared" si="178"/>
        <v>376.48054262468162</v>
      </c>
      <c r="AD303" s="1675">
        <f t="shared" si="178"/>
        <v>382.81053109344583</v>
      </c>
      <c r="AE303" s="1675">
        <f t="shared" si="178"/>
        <v>389.62138650422293</v>
      </c>
      <c r="AF303" s="1675">
        <f t="shared" si="178"/>
        <v>395.22674434495855</v>
      </c>
      <c r="AG303" s="1675">
        <f t="shared" si="178"/>
        <v>399.92738060378701</v>
      </c>
      <c r="AH303" s="1293"/>
      <c r="AI303" s="1293"/>
      <c r="AJ303" s="1293"/>
      <c r="AK303" s="1293"/>
      <c r="AL303" s="1293"/>
      <c r="AM303" s="1293"/>
      <c r="AN303" s="1293"/>
      <c r="AO303" s="1293"/>
      <c r="AP303" s="1293"/>
      <c r="AQ303" s="1293"/>
      <c r="AR303" s="1293"/>
      <c r="AS303" s="1293"/>
    </row>
    <row r="304" spans="1:45" ht="15.75">
      <c r="A304" s="1653" t="s">
        <v>2328</v>
      </c>
      <c r="B304" s="1653"/>
      <c r="C304" s="1653"/>
      <c r="D304" s="1666"/>
      <c r="E304" s="1666"/>
      <c r="F304" s="1666">
        <f t="shared" ref="F304:AG304" si="179">E303-F303</f>
        <v>-113.75</v>
      </c>
      <c r="G304" s="1666">
        <f t="shared" si="179"/>
        <v>-28.222000000000008</v>
      </c>
      <c r="H304" s="1666">
        <f t="shared" si="179"/>
        <v>32.807000000000002</v>
      </c>
      <c r="I304" s="1666">
        <f t="shared" si="179"/>
        <v>-76.290000000000006</v>
      </c>
      <c r="J304" s="1666">
        <f t="shared" si="179"/>
        <v>-38.123999999999995</v>
      </c>
      <c r="K304" s="1666">
        <f t="shared" si="179"/>
        <v>-33.875999999999976</v>
      </c>
      <c r="L304" s="1666">
        <f t="shared" si="179"/>
        <v>32.454999999999984</v>
      </c>
      <c r="M304" s="1666">
        <f t="shared" si="179"/>
        <v>-28.25800000000001</v>
      </c>
      <c r="N304" s="1666">
        <f t="shared" si="179"/>
        <v>-23.74199999999999</v>
      </c>
      <c r="O304" s="1666">
        <f t="shared" si="179"/>
        <v>-45</v>
      </c>
      <c r="P304" s="1666">
        <f t="shared" si="179"/>
        <v>40</v>
      </c>
      <c r="Q304" s="1666">
        <f t="shared" si="179"/>
        <v>-210</v>
      </c>
      <c r="R304" s="1666">
        <f t="shared" si="179"/>
        <v>1</v>
      </c>
      <c r="S304" s="1666">
        <f t="shared" si="179"/>
        <v>10</v>
      </c>
      <c r="T304" s="1666">
        <f t="shared" si="179"/>
        <v>-6</v>
      </c>
      <c r="U304" s="1666">
        <f t="shared" si="179"/>
        <v>64</v>
      </c>
      <c r="V304" s="1666">
        <f t="shared" si="179"/>
        <v>-24</v>
      </c>
      <c r="W304" s="1666">
        <f t="shared" si="179"/>
        <v>5</v>
      </c>
      <c r="X304" s="1666">
        <f t="shared" si="179"/>
        <v>2</v>
      </c>
      <c r="Y304" s="1666">
        <f t="shared" si="179"/>
        <v>61</v>
      </c>
      <c r="Z304" s="1666">
        <f t="shared" si="179"/>
        <v>-64</v>
      </c>
      <c r="AA304" s="1666">
        <f t="shared" si="179"/>
        <v>53</v>
      </c>
      <c r="AB304" s="1666">
        <f t="shared" si="179"/>
        <v>18.834230966187761</v>
      </c>
      <c r="AC304" s="1666">
        <f t="shared" si="179"/>
        <v>-5.3147735908693789</v>
      </c>
      <c r="AD304" s="1666">
        <f t="shared" si="179"/>
        <v>-6.3299884687642134</v>
      </c>
      <c r="AE304" s="1666">
        <f t="shared" si="179"/>
        <v>-6.8108554107770942</v>
      </c>
      <c r="AF304" s="1666">
        <f t="shared" si="179"/>
        <v>-5.6053578407356213</v>
      </c>
      <c r="AG304" s="1666">
        <f t="shared" si="179"/>
        <v>-4.7006362588284674</v>
      </c>
      <c r="AH304" s="1293"/>
      <c r="AI304" s="1293"/>
      <c r="AJ304" s="1293"/>
      <c r="AK304" s="1293"/>
      <c r="AL304" s="1293"/>
      <c r="AM304" s="1293"/>
      <c r="AN304" s="1293"/>
      <c r="AO304" s="1293"/>
      <c r="AP304" s="1293"/>
      <c r="AQ304" s="1293"/>
      <c r="AR304" s="1293"/>
      <c r="AS304" s="1293"/>
    </row>
    <row r="305" spans="1:45" ht="15.75">
      <c r="A305" s="1653" t="s">
        <v>1431</v>
      </c>
      <c r="B305" s="1653"/>
      <c r="C305" s="1653"/>
      <c r="D305" s="1688"/>
      <c r="E305" s="1688"/>
      <c r="F305" s="1688">
        <f t="shared" ref="F305:AA305" si="180">F303/F5</f>
        <v>0.17743273934311674</v>
      </c>
      <c r="G305" s="1688">
        <f t="shared" si="180"/>
        <v>0.15407355315934781</v>
      </c>
      <c r="H305" s="1688">
        <f t="shared" si="180"/>
        <v>0.10076772331314564</v>
      </c>
      <c r="I305" s="1688">
        <f t="shared" si="180"/>
        <v>0.11376560439223385</v>
      </c>
      <c r="J305" s="1688">
        <f t="shared" si="180"/>
        <v>8.4983721960054673E-2</v>
      </c>
      <c r="K305" s="1688">
        <f t="shared" si="180"/>
        <v>7.5768688444239896E-2</v>
      </c>
      <c r="L305" s="1688">
        <f t="shared" si="180"/>
        <v>6.2909523564603442E-2</v>
      </c>
      <c r="M305" s="1688">
        <f t="shared" si="180"/>
        <v>6.2917357261158935E-2</v>
      </c>
      <c r="N305" s="1688" t="e">
        <f t="shared" si="180"/>
        <v>#DIV/0!</v>
      </c>
      <c r="O305" s="1688" t="e">
        <f t="shared" si="180"/>
        <v>#DIV/0!</v>
      </c>
      <c r="P305" s="1688" t="e">
        <f t="shared" si="180"/>
        <v>#DIV/0!</v>
      </c>
      <c r="Q305" s="1688">
        <f t="shared" si="180"/>
        <v>7.7043400706230045E-2</v>
      </c>
      <c r="R305" s="1688">
        <f t="shared" si="180"/>
        <v>7.2955429168060124E-2</v>
      </c>
      <c r="S305" s="1688">
        <f t="shared" si="180"/>
        <v>7.6973770069425296E-2</v>
      </c>
      <c r="T305" s="1688">
        <f t="shared" si="180"/>
        <v>7.9980292330431926E-2</v>
      </c>
      <c r="U305" s="1688">
        <f t="shared" si="180"/>
        <v>7.0359281437125748E-2</v>
      </c>
      <c r="V305" s="1688">
        <f t="shared" si="180"/>
        <v>7.0161670067493326E-2</v>
      </c>
      <c r="W305" s="1688">
        <f t="shared" si="180"/>
        <v>7.0924261874197689E-2</v>
      </c>
      <c r="X305" s="1688">
        <f t="shared" si="180"/>
        <v>6.695069993913573E-2</v>
      </c>
      <c r="Y305" s="1688">
        <f t="shared" si="180"/>
        <v>6.7383408035871437E-2</v>
      </c>
      <c r="Z305" s="1688">
        <f t="shared" si="180"/>
        <v>7.8254725313548837E-2</v>
      </c>
      <c r="AA305" s="1688">
        <f t="shared" si="180"/>
        <v>6.7192037185382761E-2</v>
      </c>
      <c r="AB305" s="1946">
        <f t="shared" ref="AB305:AG305" si="181">AA305</f>
        <v>6.7192037185382761E-2</v>
      </c>
      <c r="AC305" s="1946">
        <f t="shared" si="181"/>
        <v>6.7192037185382761E-2</v>
      </c>
      <c r="AD305" s="1946">
        <f t="shared" si="181"/>
        <v>6.7192037185382761E-2</v>
      </c>
      <c r="AE305" s="1946">
        <f t="shared" si="181"/>
        <v>6.7192037185382761E-2</v>
      </c>
      <c r="AF305" s="1946">
        <f t="shared" si="181"/>
        <v>6.7192037185382761E-2</v>
      </c>
      <c r="AG305" s="1946">
        <f t="shared" si="181"/>
        <v>6.7192037185382761E-2</v>
      </c>
      <c r="AH305" s="1293"/>
      <c r="AI305" s="1293"/>
      <c r="AJ305" s="1293"/>
      <c r="AK305" s="1293"/>
      <c r="AL305" s="1293"/>
      <c r="AM305" s="1293"/>
      <c r="AN305" s="1293"/>
      <c r="AO305" s="1293"/>
      <c r="AP305" s="1293"/>
      <c r="AQ305" s="1293"/>
      <c r="AR305" s="1293"/>
      <c r="AS305" s="1293"/>
    </row>
    <row r="306" spans="1:45" ht="15.75">
      <c r="A306" s="1653"/>
      <c r="B306" s="1653"/>
      <c r="C306" s="1653"/>
      <c r="D306" s="1653"/>
      <c r="E306" s="1653"/>
      <c r="F306" s="1653"/>
      <c r="G306" s="1653"/>
      <c r="H306" s="1653"/>
      <c r="I306" s="1653"/>
      <c r="J306" s="1653"/>
      <c r="K306" s="1653"/>
      <c r="L306" s="1653"/>
      <c r="M306" s="1653"/>
      <c r="N306" s="1653"/>
      <c r="O306" s="1653"/>
      <c r="P306" s="1653"/>
      <c r="Q306" s="1653"/>
      <c r="R306" s="1653"/>
      <c r="S306" s="1653"/>
      <c r="T306" s="1653"/>
      <c r="U306" s="1653"/>
      <c r="V306" s="1653"/>
      <c r="W306" s="1653"/>
      <c r="X306" s="1653"/>
      <c r="Y306" s="1653"/>
      <c r="Z306" s="1653"/>
      <c r="AA306" s="1653"/>
      <c r="AB306" s="1653"/>
      <c r="AC306" s="1653"/>
      <c r="AD306" s="1653"/>
      <c r="AE306" s="1653"/>
      <c r="AF306" s="1653"/>
      <c r="AG306" s="1653"/>
      <c r="AH306" s="1293"/>
      <c r="AI306" s="1293"/>
      <c r="AJ306" s="1293"/>
      <c r="AK306" s="1293"/>
      <c r="AL306" s="1293"/>
      <c r="AM306" s="1293"/>
      <c r="AN306" s="1293"/>
      <c r="AO306" s="1293"/>
      <c r="AP306" s="1293"/>
      <c r="AQ306" s="1293"/>
      <c r="AR306" s="1293"/>
      <c r="AS306" s="1293"/>
    </row>
    <row r="307" spans="1:45" ht="15.75">
      <c r="A307" s="1653" t="s">
        <v>2330</v>
      </c>
      <c r="B307" s="1653"/>
      <c r="C307" s="1653"/>
      <c r="D307" s="1717"/>
      <c r="E307" s="1717"/>
      <c r="F307" s="1717">
        <v>107.42400000000001</v>
      </c>
      <c r="G307" s="1717">
        <v>173.96899999999999</v>
      </c>
      <c r="H307" s="1717">
        <v>211.01900000000001</v>
      </c>
      <c r="I307" s="1717">
        <v>428.30399999999997</v>
      </c>
      <c r="J307" s="1717">
        <f>461+238</f>
        <v>699</v>
      </c>
      <c r="K307" s="1717">
        <f>502+241</f>
        <v>743</v>
      </c>
      <c r="L307" s="1717">
        <f>277+195</f>
        <v>472</v>
      </c>
      <c r="M307" s="1717">
        <f>228+98</f>
        <v>326</v>
      </c>
      <c r="N307" s="1717">
        <f>264+93</f>
        <v>357</v>
      </c>
      <c r="O307" s="1717">
        <f>411+19</f>
        <v>430</v>
      </c>
      <c r="P307" s="1717">
        <v>424</v>
      </c>
      <c r="Q307" s="1717">
        <v>371</v>
      </c>
      <c r="R307" s="1717">
        <v>285</v>
      </c>
      <c r="S307" s="1717">
        <v>738</v>
      </c>
      <c r="T307" s="1717">
        <v>713</v>
      </c>
      <c r="U307" s="1717">
        <v>726</v>
      </c>
      <c r="V307" s="1675">
        <f>V309*V5</f>
        <v>737.49729540918156</v>
      </c>
      <c r="W307" s="1675">
        <f>W309*W5</f>
        <v>690.24686626746495</v>
      </c>
      <c r="X307" s="1675">
        <f>X309*X5</f>
        <v>695.04475049900191</v>
      </c>
      <c r="Y307" s="1717">
        <v>428</v>
      </c>
      <c r="Z307" s="1717">
        <v>314</v>
      </c>
      <c r="AA307" s="1717">
        <v>305</v>
      </c>
      <c r="AB307" s="1675">
        <f t="shared" ref="AB307:AG307" si="182">AB309*AB5</f>
        <v>290.27066552644288</v>
      </c>
      <c r="AC307" s="1675">
        <f t="shared" si="182"/>
        <v>294.42709102699456</v>
      </c>
      <c r="AD307" s="1675">
        <f t="shared" si="182"/>
        <v>299.37746662436143</v>
      </c>
      <c r="AE307" s="1675">
        <f t="shared" si="182"/>
        <v>304.70390483022561</v>
      </c>
      <c r="AF307" s="1675">
        <f t="shared" si="182"/>
        <v>309.08758211592908</v>
      </c>
      <c r="AG307" s="1675">
        <f t="shared" si="182"/>
        <v>312.76372072860261</v>
      </c>
      <c r="AH307" s="1293"/>
      <c r="AI307" s="1293"/>
      <c r="AJ307" s="1293"/>
      <c r="AK307" s="1293"/>
      <c r="AL307" s="1293"/>
      <c r="AM307" s="1293"/>
      <c r="AN307" s="1293"/>
      <c r="AO307" s="1293"/>
      <c r="AP307" s="1293"/>
      <c r="AQ307" s="1293"/>
      <c r="AR307" s="1293"/>
      <c r="AS307" s="1293"/>
    </row>
    <row r="308" spans="1:45" ht="15.75">
      <c r="A308" s="1653" t="s">
        <v>2328</v>
      </c>
      <c r="B308" s="1653"/>
      <c r="C308" s="1653"/>
      <c r="D308" s="1666"/>
      <c r="E308" s="1666"/>
      <c r="F308" s="1666">
        <f t="shared" ref="F308:AG308" si="183">F307-E307</f>
        <v>107.42400000000001</v>
      </c>
      <c r="G308" s="1666">
        <f t="shared" si="183"/>
        <v>66.544999999999987</v>
      </c>
      <c r="H308" s="1666">
        <f t="shared" si="183"/>
        <v>37.050000000000011</v>
      </c>
      <c r="I308" s="1666">
        <f t="shared" si="183"/>
        <v>217.28499999999997</v>
      </c>
      <c r="J308" s="1666">
        <f t="shared" si="183"/>
        <v>270.69600000000003</v>
      </c>
      <c r="K308" s="1666">
        <f t="shared" si="183"/>
        <v>44</v>
      </c>
      <c r="L308" s="1666">
        <f t="shared" si="183"/>
        <v>-271</v>
      </c>
      <c r="M308" s="1666">
        <f t="shared" si="183"/>
        <v>-146</v>
      </c>
      <c r="N308" s="1666">
        <f t="shared" si="183"/>
        <v>31</v>
      </c>
      <c r="O308" s="1666">
        <f t="shared" si="183"/>
        <v>73</v>
      </c>
      <c r="P308" s="1666">
        <f t="shared" si="183"/>
        <v>-6</v>
      </c>
      <c r="Q308" s="1666">
        <f t="shared" si="183"/>
        <v>-53</v>
      </c>
      <c r="R308" s="1666">
        <f t="shared" si="183"/>
        <v>-86</v>
      </c>
      <c r="S308" s="1666">
        <f t="shared" si="183"/>
        <v>453</v>
      </c>
      <c r="T308" s="1666">
        <f t="shared" si="183"/>
        <v>-25</v>
      </c>
      <c r="U308" s="1666">
        <f t="shared" si="183"/>
        <v>13</v>
      </c>
      <c r="V308" s="1666">
        <f t="shared" si="183"/>
        <v>11.497295409181561</v>
      </c>
      <c r="W308" s="1666">
        <f t="shared" si="183"/>
        <v>-47.250429141716609</v>
      </c>
      <c r="X308" s="1666">
        <f t="shared" si="183"/>
        <v>4.7978842315369548</v>
      </c>
      <c r="Y308" s="1666">
        <f t="shared" si="183"/>
        <v>-267.04475049900191</v>
      </c>
      <c r="Z308" s="1666">
        <f t="shared" si="183"/>
        <v>-114</v>
      </c>
      <c r="AA308" s="1666">
        <f t="shared" si="183"/>
        <v>-9</v>
      </c>
      <c r="AB308" s="1666">
        <f t="shared" si="183"/>
        <v>-14.729334473557117</v>
      </c>
      <c r="AC308" s="1666">
        <f t="shared" si="183"/>
        <v>4.156425500551677</v>
      </c>
      <c r="AD308" s="1666">
        <f t="shared" si="183"/>
        <v>4.9503755973668717</v>
      </c>
      <c r="AE308" s="1666">
        <f t="shared" si="183"/>
        <v>5.3264382058641786</v>
      </c>
      <c r="AF308" s="1666">
        <f t="shared" si="183"/>
        <v>4.3836772857034703</v>
      </c>
      <c r="AG308" s="1666">
        <f t="shared" si="183"/>
        <v>3.676138612673526</v>
      </c>
      <c r="AH308" s="1293"/>
      <c r="AI308" s="1293"/>
      <c r="AJ308" s="1293"/>
      <c r="AK308" s="1293"/>
      <c r="AL308" s="1293"/>
      <c r="AM308" s="1293"/>
      <c r="AN308" s="1293"/>
      <c r="AO308" s="1293"/>
      <c r="AP308" s="1293"/>
      <c r="AQ308" s="1293"/>
      <c r="AR308" s="1293"/>
      <c r="AS308" s="1293"/>
    </row>
    <row r="309" spans="1:45" ht="15.75">
      <c r="A309" s="1653" t="s">
        <v>1431</v>
      </c>
      <c r="B309" s="1653"/>
      <c r="C309" s="1653"/>
      <c r="D309" s="1688"/>
      <c r="E309" s="1688"/>
      <c r="F309" s="1688">
        <f t="shared" ref="F309:U309" si="184">F307/F5</f>
        <v>0.16756513926325253</v>
      </c>
      <c r="G309" s="1688">
        <f t="shared" si="184"/>
        <v>0.18879794585959611</v>
      </c>
      <c r="H309" s="1688">
        <f t="shared" si="184"/>
        <v>0.1947868291651782</v>
      </c>
      <c r="I309" s="1688">
        <f t="shared" si="184"/>
        <v>0.26273901174738518</v>
      </c>
      <c r="J309" s="1688">
        <f t="shared" si="184"/>
        <v>0.26569410208507155</v>
      </c>
      <c r="K309" s="1688">
        <f t="shared" si="184"/>
        <v>0.21866398210976773</v>
      </c>
      <c r="L309" s="1688">
        <f t="shared" si="184"/>
        <v>0.13197020054441255</v>
      </c>
      <c r="M309" s="1688">
        <f t="shared" si="184"/>
        <v>8.0988787983549637E-2</v>
      </c>
      <c r="N309" s="1688" t="e">
        <f t="shared" si="184"/>
        <v>#DIV/0!</v>
      </c>
      <c r="O309" s="1688" t="e">
        <f t="shared" si="184"/>
        <v>#DIV/0!</v>
      </c>
      <c r="P309" s="1688" t="e">
        <f t="shared" si="184"/>
        <v>#DIV/0!</v>
      </c>
      <c r="Q309" s="1688">
        <f t="shared" si="184"/>
        <v>5.8095735085388914E-2</v>
      </c>
      <c r="R309" s="1688">
        <f t="shared" si="184"/>
        <v>4.2346837704474817E-2</v>
      </c>
      <c r="S309" s="1688">
        <f t="shared" si="184"/>
        <v>0.11810112746618684</v>
      </c>
      <c r="T309" s="1688">
        <f t="shared" si="184"/>
        <v>0.11709640335030383</v>
      </c>
      <c r="U309" s="1688">
        <f t="shared" si="184"/>
        <v>0.12075848303393213</v>
      </c>
      <c r="V309" s="1946">
        <f>U309-0.5%</f>
        <v>0.11575848303393213</v>
      </c>
      <c r="W309" s="1946">
        <f>V309-0.5%</f>
        <v>0.11075848303393213</v>
      </c>
      <c r="X309" s="1946">
        <f>W309-0.5%</f>
        <v>0.10575848303393212</v>
      </c>
      <c r="Y309" s="1688">
        <f>Y307/Y5</f>
        <v>7.6095247069532912E-2</v>
      </c>
      <c r="Z309" s="1688">
        <f>Z307/Z5</f>
        <v>5.5467231937820174E-2</v>
      </c>
      <c r="AA309" s="1688">
        <f>AA307/AA5</f>
        <v>5.2547618824466E-2</v>
      </c>
      <c r="AB309" s="1946">
        <f>AA309</f>
        <v>5.2547618824466E-2</v>
      </c>
      <c r="AC309" s="1946">
        <f t="shared" ref="AC309:AG309" si="185">AB309</f>
        <v>5.2547618824466E-2</v>
      </c>
      <c r="AD309" s="1946">
        <f t="shared" si="185"/>
        <v>5.2547618824466E-2</v>
      </c>
      <c r="AE309" s="1946">
        <f t="shared" si="185"/>
        <v>5.2547618824466E-2</v>
      </c>
      <c r="AF309" s="1946">
        <f t="shared" si="185"/>
        <v>5.2547618824466E-2</v>
      </c>
      <c r="AG309" s="1946">
        <f t="shared" si="185"/>
        <v>5.2547618824466E-2</v>
      </c>
      <c r="AH309" s="1293"/>
      <c r="AI309" s="1293"/>
      <c r="AJ309" s="1293"/>
      <c r="AK309" s="1293"/>
      <c r="AL309" s="1293"/>
      <c r="AM309" s="1293"/>
      <c r="AN309" s="1293"/>
      <c r="AO309" s="1293"/>
      <c r="AP309" s="1293"/>
      <c r="AQ309" s="1293"/>
      <c r="AR309" s="1293"/>
      <c r="AS309" s="1293"/>
    </row>
    <row r="310" spans="1:45" ht="15.75">
      <c r="A310" s="1653"/>
      <c r="B310" s="1653"/>
      <c r="C310" s="1653"/>
      <c r="D310" s="1688"/>
      <c r="E310" s="1688"/>
      <c r="F310" s="1688"/>
      <c r="G310" s="1688"/>
      <c r="H310" s="1688"/>
      <c r="I310" s="1688"/>
      <c r="J310" s="1688"/>
      <c r="K310" s="1688"/>
      <c r="L310" s="1688"/>
      <c r="M310" s="1688"/>
      <c r="N310" s="1688"/>
      <c r="O310" s="1688"/>
      <c r="P310" s="1688"/>
      <c r="Q310" s="1688"/>
      <c r="R310" s="1688"/>
      <c r="S310" s="1688"/>
      <c r="T310" s="1688"/>
      <c r="U310" s="1688"/>
      <c r="V310" s="1688"/>
      <c r="W310" s="1688"/>
      <c r="X310" s="1688"/>
      <c r="Y310" s="1688"/>
      <c r="Z310" s="1688"/>
      <c r="AA310" s="1688"/>
      <c r="AB310" s="1688"/>
      <c r="AC310" s="1688"/>
      <c r="AD310" s="1688"/>
      <c r="AE310" s="1688"/>
      <c r="AF310" s="1688"/>
      <c r="AG310" s="1688"/>
      <c r="AH310" s="1293"/>
      <c r="AI310" s="1293"/>
      <c r="AJ310" s="1293"/>
      <c r="AK310" s="1293"/>
      <c r="AL310" s="1293"/>
      <c r="AM310" s="1293"/>
      <c r="AN310" s="1293"/>
      <c r="AO310" s="1293"/>
      <c r="AP310" s="1293"/>
      <c r="AQ310" s="1293"/>
      <c r="AR310" s="1293"/>
      <c r="AS310" s="1293"/>
    </row>
    <row r="311" spans="1:45" ht="15.75">
      <c r="A311" s="1653" t="s">
        <v>817</v>
      </c>
      <c r="B311" s="1653"/>
      <c r="C311" s="1653"/>
      <c r="D311" s="1688"/>
      <c r="E311" s="1688"/>
      <c r="F311" s="1717">
        <f>15.291+13.137+2.905+19.739+49.583+7.745</f>
        <v>108.4</v>
      </c>
      <c r="G311" s="1717">
        <f>15.327+11.715+2.067+36.875+62.377+9.26</f>
        <v>137.62100000000001</v>
      </c>
      <c r="H311" s="1717">
        <f>7.687+17.036+4.004+48.046+67.497+47.035</f>
        <v>191.30499999999998</v>
      </c>
      <c r="I311" s="1717">
        <f>45+37+1+58+5+84</f>
        <v>230</v>
      </c>
      <c r="J311" s="1717">
        <f>8.2+65+71.2+8.9+76.5+40.2</f>
        <v>270</v>
      </c>
      <c r="K311" s="1717">
        <f>1364-K124-K125-K127</f>
        <v>374.38300000000004</v>
      </c>
      <c r="L311" s="1717">
        <f>2075-L124-L125-L127</f>
        <v>229.09999999999991</v>
      </c>
      <c r="M311" s="1717">
        <f>1655-M124-M125-M127</f>
        <v>263.12299999999982</v>
      </c>
      <c r="N311" s="1717">
        <f>1714-N124-N125-N127</f>
        <v>446</v>
      </c>
      <c r="O311" s="1717">
        <f>2078-O124-O125-O127</f>
        <v>446</v>
      </c>
      <c r="P311" s="1717">
        <f>2686-P124-P125-P127</f>
        <v>476</v>
      </c>
      <c r="Q311" s="1717">
        <f>2372-Q124-Q125-Q127</f>
        <v>897</v>
      </c>
      <c r="R311" s="1717">
        <f>2662-R124-R125-R127</f>
        <v>969</v>
      </c>
      <c r="S311" s="1717">
        <f>2445-S124-S125-S127</f>
        <v>779</v>
      </c>
      <c r="T311" s="1717">
        <f>2291.6-T124-T125-T127</f>
        <v>634.59999999999991</v>
      </c>
      <c r="U311" s="1717">
        <f>2212-U124-U125-U127</f>
        <v>782</v>
      </c>
      <c r="V311" s="1717">
        <f>3330+5-V124-V125-V127-V128</f>
        <v>1418</v>
      </c>
      <c r="W311" s="1717">
        <f>2844+1-W124-W125-W127-W128</f>
        <v>1208</v>
      </c>
      <c r="X311" s="1717">
        <f>2388+0-X124-X125-X127-X128</f>
        <v>911</v>
      </c>
      <c r="Y311" s="1717">
        <f>2065+0-Y124-Y125-Y127-Y128</f>
        <v>594</v>
      </c>
      <c r="Z311" s="1717">
        <f>1915+0-Z124-Z125-Z127-Z128</f>
        <v>647</v>
      </c>
      <c r="AA311" s="1717">
        <f>1753+627-AA124-AA125-AA127-AA128</f>
        <v>620</v>
      </c>
      <c r="AB311" s="1675">
        <f t="shared" ref="AB311:AG311" si="186">AB313*AB5</f>
        <v>552.39546913835386</v>
      </c>
      <c r="AC311" s="1675">
        <f t="shared" si="186"/>
        <v>532.29003089558603</v>
      </c>
      <c r="AD311" s="1675">
        <f t="shared" si="186"/>
        <v>512.75343391292745</v>
      </c>
      <c r="AE311" s="1675">
        <f t="shared" si="186"/>
        <v>492.88307424713025</v>
      </c>
      <c r="AF311" s="1675">
        <f t="shared" si="186"/>
        <v>470.56378809236378</v>
      </c>
      <c r="AG311" s="1675">
        <f t="shared" si="186"/>
        <v>446.40041888489071</v>
      </c>
      <c r="AH311" s="1293"/>
      <c r="AI311" s="1293"/>
      <c r="AJ311" s="1293"/>
      <c r="AK311" s="1293"/>
      <c r="AL311" s="1293"/>
      <c r="AM311" s="1293"/>
      <c r="AN311" s="1293"/>
      <c r="AO311" s="1293"/>
      <c r="AP311" s="1293"/>
      <c r="AQ311" s="1293"/>
      <c r="AR311" s="1293"/>
      <c r="AS311" s="1293"/>
    </row>
    <row r="312" spans="1:45" ht="15.75">
      <c r="A312" s="1653" t="s">
        <v>2328</v>
      </c>
      <c r="B312" s="1653"/>
      <c r="C312" s="1653"/>
      <c r="D312" s="1688"/>
      <c r="E312" s="1688"/>
      <c r="F312" s="1666">
        <f t="shared" ref="F312:W312" si="187">F311-E311</f>
        <v>108.4</v>
      </c>
      <c r="G312" s="1666">
        <f t="shared" si="187"/>
        <v>29.221000000000004</v>
      </c>
      <c r="H312" s="1666">
        <f t="shared" si="187"/>
        <v>53.683999999999969</v>
      </c>
      <c r="I312" s="1666">
        <f t="shared" si="187"/>
        <v>38.695000000000022</v>
      </c>
      <c r="J312" s="1666">
        <f t="shared" si="187"/>
        <v>40</v>
      </c>
      <c r="K312" s="1666">
        <f t="shared" si="187"/>
        <v>104.38300000000004</v>
      </c>
      <c r="L312" s="1666">
        <f t="shared" si="187"/>
        <v>-145.28300000000013</v>
      </c>
      <c r="M312" s="1666">
        <f t="shared" si="187"/>
        <v>34.022999999999911</v>
      </c>
      <c r="N312" s="1666">
        <f t="shared" si="187"/>
        <v>182.87700000000018</v>
      </c>
      <c r="O312" s="1666">
        <f t="shared" si="187"/>
        <v>0</v>
      </c>
      <c r="P312" s="1666">
        <f t="shared" si="187"/>
        <v>30</v>
      </c>
      <c r="Q312" s="1666">
        <f t="shared" si="187"/>
        <v>421</v>
      </c>
      <c r="R312" s="1666">
        <f t="shared" si="187"/>
        <v>72</v>
      </c>
      <c r="S312" s="1666">
        <f t="shared" si="187"/>
        <v>-190</v>
      </c>
      <c r="T312" s="1666">
        <f t="shared" si="187"/>
        <v>-144.40000000000009</v>
      </c>
      <c r="U312" s="1666">
        <f t="shared" si="187"/>
        <v>147.40000000000009</v>
      </c>
      <c r="V312" s="1666">
        <f t="shared" si="187"/>
        <v>636</v>
      </c>
      <c r="W312" s="1666">
        <f t="shared" si="187"/>
        <v>-210</v>
      </c>
      <c r="X312" s="1666">
        <f t="shared" ref="X312:AG312" si="188">-(X311-W311)</f>
        <v>297</v>
      </c>
      <c r="Y312" s="1666">
        <f t="shared" si="188"/>
        <v>317</v>
      </c>
      <c r="Z312" s="1666">
        <f t="shared" si="188"/>
        <v>-53</v>
      </c>
      <c r="AA312" s="1666">
        <f t="shared" si="188"/>
        <v>27</v>
      </c>
      <c r="AB312" s="1666">
        <f t="shared" si="188"/>
        <v>67.60453086164614</v>
      </c>
      <c r="AC312" s="1666">
        <f t="shared" si="188"/>
        <v>20.105438242767832</v>
      </c>
      <c r="AD312" s="1666">
        <f t="shared" si="188"/>
        <v>19.53659698265858</v>
      </c>
      <c r="AE312" s="1666">
        <f t="shared" si="188"/>
        <v>19.870359665797196</v>
      </c>
      <c r="AF312" s="1666">
        <f t="shared" si="188"/>
        <v>22.319286154766473</v>
      </c>
      <c r="AG312" s="1666">
        <f t="shared" si="188"/>
        <v>24.163369207473067</v>
      </c>
      <c r="AH312" s="1293"/>
      <c r="AI312" s="1293"/>
      <c r="AJ312" s="1293"/>
      <c r="AK312" s="1293"/>
      <c r="AL312" s="1293"/>
      <c r="AM312" s="1293"/>
      <c r="AN312" s="1293"/>
      <c r="AO312" s="1293"/>
      <c r="AP312" s="1293"/>
      <c r="AQ312" s="1293"/>
      <c r="AR312" s="1293"/>
      <c r="AS312" s="1293"/>
    </row>
    <row r="313" spans="1:45" ht="15.75">
      <c r="A313" s="1653" t="s">
        <v>1431</v>
      </c>
      <c r="B313" s="1653"/>
      <c r="C313" s="1653"/>
      <c r="D313" s="1688"/>
      <c r="E313" s="1688"/>
      <c r="F313" s="1688">
        <f t="shared" ref="F313:AA313" si="189">F311/F5</f>
        <v>0.1690875511630229</v>
      </c>
      <c r="G313" s="1688">
        <f t="shared" si="189"/>
        <v>0.14935167821360978</v>
      </c>
      <c r="H313" s="1688">
        <f t="shared" si="189"/>
        <v>0.17658928510439539</v>
      </c>
      <c r="I313" s="1688">
        <f t="shared" si="189"/>
        <v>0.14109131061558752</v>
      </c>
      <c r="J313" s="1688">
        <f t="shared" si="189"/>
        <v>0.10262862312298901</v>
      </c>
      <c r="K313" s="1688">
        <f t="shared" si="189"/>
        <v>0.11018045439327211</v>
      </c>
      <c r="L313" s="1688">
        <f t="shared" si="189"/>
        <v>6.4055874882891745E-2</v>
      </c>
      <c r="M313" s="1688">
        <f t="shared" si="189"/>
        <v>6.5368137609188692E-2</v>
      </c>
      <c r="N313" s="1688" t="e">
        <f t="shared" si="189"/>
        <v>#DIV/0!</v>
      </c>
      <c r="O313" s="1688" t="e">
        <f t="shared" si="189"/>
        <v>#DIV/0!</v>
      </c>
      <c r="P313" s="1688" t="e">
        <f t="shared" si="189"/>
        <v>#DIV/0!</v>
      </c>
      <c r="Q313" s="1688">
        <f t="shared" si="189"/>
        <v>0.14046327323879745</v>
      </c>
      <c r="R313" s="1688">
        <f t="shared" si="189"/>
        <v>0.14397924819521438</v>
      </c>
      <c r="S313" s="1688">
        <f t="shared" si="189"/>
        <v>0.12466230121430834</v>
      </c>
      <c r="T313" s="1688">
        <f t="shared" si="189"/>
        <v>0.10422072589916241</v>
      </c>
      <c r="U313" s="1688">
        <f t="shared" si="189"/>
        <v>0.1300731869594145</v>
      </c>
      <c r="V313" s="1688">
        <f t="shared" si="189"/>
        <v>0.22257102495683567</v>
      </c>
      <c r="W313" s="1688">
        <f t="shared" si="189"/>
        <v>0.19383825417201542</v>
      </c>
      <c r="X313" s="1688">
        <f t="shared" si="189"/>
        <v>0.13861838101034693</v>
      </c>
      <c r="Y313" s="1688">
        <f t="shared" si="189"/>
        <v>0.10560882420397792</v>
      </c>
      <c r="Z313" s="1688">
        <f t="shared" si="189"/>
        <v>0.11429076134958488</v>
      </c>
      <c r="AA313" s="1688">
        <f t="shared" si="189"/>
        <v>0.10681811039727515</v>
      </c>
      <c r="AB313" s="1946">
        <v>0.1</v>
      </c>
      <c r="AC313" s="1946">
        <v>9.5000000000000001E-2</v>
      </c>
      <c r="AD313" s="1946">
        <v>0.09</v>
      </c>
      <c r="AE313" s="1946">
        <f>AD313-0.5%</f>
        <v>8.4999999999999992E-2</v>
      </c>
      <c r="AF313" s="1946">
        <f>AE313-0.5%</f>
        <v>7.9999999999999988E-2</v>
      </c>
      <c r="AG313" s="1946">
        <f>AF313-0.5%</f>
        <v>7.4999999999999983E-2</v>
      </c>
      <c r="AH313" s="1293"/>
      <c r="AI313" s="1293"/>
      <c r="AJ313" s="1293"/>
      <c r="AK313" s="1293"/>
      <c r="AL313" s="1293"/>
      <c r="AM313" s="1293"/>
      <c r="AN313" s="1293"/>
      <c r="AO313" s="1293"/>
      <c r="AP313" s="1293"/>
      <c r="AQ313" s="1293"/>
      <c r="AR313" s="1293"/>
      <c r="AS313" s="1293"/>
    </row>
    <row r="314" spans="1:45" ht="15.75">
      <c r="A314" s="1653"/>
      <c r="B314" s="1653"/>
      <c r="C314" s="1653"/>
      <c r="D314" s="1653"/>
      <c r="E314" s="1653"/>
      <c r="F314" s="1653"/>
      <c r="G314" s="1653" t="s">
        <v>1823</v>
      </c>
      <c r="H314" s="1653"/>
      <c r="I314" s="1653"/>
      <c r="J314" s="1653"/>
      <c r="K314" s="1653"/>
      <c r="L314" s="1653"/>
      <c r="M314" s="1653"/>
      <c r="N314" s="1653"/>
      <c r="O314" s="1653"/>
      <c r="P314" s="1653"/>
      <c r="Q314" s="1653"/>
      <c r="R314" s="1653"/>
      <c r="S314" s="1653"/>
      <c r="T314" s="1653"/>
      <c r="U314" s="1653"/>
      <c r="V314" s="1653"/>
      <c r="W314" s="1653"/>
      <c r="X314" s="1653"/>
      <c r="Y314" s="1653">
        <f>2119-428-343-200</f>
        <v>1148</v>
      </c>
      <c r="Z314" s="1653"/>
      <c r="AA314" s="1653"/>
      <c r="AB314" s="1653"/>
      <c r="AC314" s="1653"/>
      <c r="AD314" s="1653"/>
      <c r="AE314" s="1653"/>
      <c r="AF314" s="1653"/>
      <c r="AG314" s="1653"/>
      <c r="AH314" s="1293"/>
      <c r="AI314" s="1293"/>
      <c r="AJ314" s="1293"/>
      <c r="AK314" s="1293"/>
      <c r="AL314" s="1293"/>
      <c r="AM314" s="1293"/>
      <c r="AN314" s="1293"/>
      <c r="AO314" s="1293"/>
      <c r="AP314" s="1293"/>
      <c r="AQ314" s="1293"/>
      <c r="AR314" s="1293"/>
      <c r="AS314" s="1293"/>
    </row>
    <row r="315" spans="1:45" ht="15.75">
      <c r="A315" s="1653" t="s">
        <v>2331</v>
      </c>
      <c r="B315" s="1653"/>
      <c r="C315" s="1653"/>
      <c r="D315" s="1717"/>
      <c r="E315" s="1717"/>
      <c r="F315" s="1717">
        <f>132.664+5.34+0.608+44.673+108.642-F144</f>
        <v>291.92700000000002</v>
      </c>
      <c r="G315" s="1717">
        <f>88.511+7.76+0.975+55.203+176.125-G144</f>
        <v>240.06300000000002</v>
      </c>
      <c r="H315" s="1717">
        <f>909.008-H307-H333-H420</f>
        <v>-29.068999999999903</v>
      </c>
      <c r="I315" s="1717">
        <f>902-I307-I333-I420</f>
        <v>339.03500000000003</v>
      </c>
      <c r="J315" s="1717">
        <f>2002-J307-J333-J420</f>
        <v>413.68100000000004</v>
      </c>
      <c r="K315" s="1717">
        <f>1749-K307-K333-K420</f>
        <v>509.5</v>
      </c>
      <c r="L315" s="1717">
        <f>1570-L307-L333-L420</f>
        <v>664</v>
      </c>
      <c r="M315" s="1717">
        <f>2454-M307-M333-M420</f>
        <v>1572.5360000000001</v>
      </c>
      <c r="N315" s="1717">
        <f>2689-N307-N333-N420</f>
        <v>1711</v>
      </c>
      <c r="O315" s="1717">
        <f>2993-O307-O333-O420</f>
        <v>1870</v>
      </c>
      <c r="P315" s="1717">
        <f>2829-P307-P333-P420</f>
        <v>1982</v>
      </c>
      <c r="Q315" s="1717">
        <f>4572-Q307-Q333-Q420</f>
        <v>3839</v>
      </c>
      <c r="R315" s="1717">
        <f>2336-R307-R333-R420</f>
        <v>1800</v>
      </c>
      <c r="S315" s="1717">
        <f>2070-S307-S333-S420</f>
        <v>1189</v>
      </c>
      <c r="T315" s="1717">
        <f>2158-T307-T333-T420</f>
        <v>1180</v>
      </c>
      <c r="U315" s="1717">
        <f>2782-U307-U333-U420</f>
        <v>1513</v>
      </c>
      <c r="V315" s="1717">
        <f>2656-V307-V333-V420-V138</f>
        <v>1375.5027045908184</v>
      </c>
      <c r="W315" s="1717">
        <f>2856-W307-W333-W420-W138</f>
        <v>1695.7531337325349</v>
      </c>
      <c r="X315" s="1717">
        <f>4681-X307-X333-X420-X138</f>
        <v>1701.955249500998</v>
      </c>
      <c r="Y315" s="1717">
        <f>2119-Y307-Y333-Y420-Y138</f>
        <v>1148</v>
      </c>
      <c r="Z315" s="1717">
        <f>2329-Z307-Z333-Z420-Z138</f>
        <v>1472</v>
      </c>
      <c r="AA315" s="1717">
        <f>2404-AA307-AA333-AA420-AA138</f>
        <v>1556</v>
      </c>
      <c r="AB315" s="1675">
        <f t="shared" ref="AB315:AG315" si="190">AB317*AB5</f>
        <v>1546.7073135873909</v>
      </c>
      <c r="AC315" s="1675">
        <f t="shared" si="190"/>
        <v>1568.8548279027798</v>
      </c>
      <c r="AD315" s="1675">
        <f t="shared" si="190"/>
        <v>1595.2329055068856</v>
      </c>
      <c r="AE315" s="1675">
        <f t="shared" si="190"/>
        <v>1623.6148328140764</v>
      </c>
      <c r="AF315" s="1675">
        <f t="shared" si="190"/>
        <v>1646.9732583232735</v>
      </c>
      <c r="AG315" s="1675">
        <f t="shared" si="190"/>
        <v>1666.5615638369259</v>
      </c>
      <c r="AH315" s="1293"/>
      <c r="AI315" s="1293"/>
      <c r="AJ315" s="1293"/>
      <c r="AK315" s="1293"/>
      <c r="AL315" s="1293"/>
      <c r="AM315" s="1293"/>
      <c r="AN315" s="1293"/>
      <c r="AO315" s="1293"/>
      <c r="AP315" s="1293"/>
      <c r="AQ315" s="1293"/>
      <c r="AR315" s="1293"/>
      <c r="AS315" s="1293"/>
    </row>
    <row r="316" spans="1:45" ht="15.75">
      <c r="A316" s="1653" t="s">
        <v>2328</v>
      </c>
      <c r="B316" s="1653"/>
      <c r="C316" s="1653"/>
      <c r="D316" s="1666"/>
      <c r="E316" s="1666"/>
      <c r="F316" s="1666">
        <f t="shared" ref="F316:AG316" si="191">F315-E315</f>
        <v>291.92700000000002</v>
      </c>
      <c r="G316" s="1666">
        <f t="shared" si="191"/>
        <v>-51.864000000000004</v>
      </c>
      <c r="H316" s="1666">
        <f t="shared" si="191"/>
        <v>-269.13199999999995</v>
      </c>
      <c r="I316" s="1666">
        <f t="shared" si="191"/>
        <v>368.10399999999993</v>
      </c>
      <c r="J316" s="1666">
        <f t="shared" si="191"/>
        <v>74.646000000000015</v>
      </c>
      <c r="K316" s="1666">
        <f t="shared" si="191"/>
        <v>95.81899999999996</v>
      </c>
      <c r="L316" s="1666">
        <f t="shared" si="191"/>
        <v>154.5</v>
      </c>
      <c r="M316" s="1666">
        <f t="shared" si="191"/>
        <v>908.53600000000006</v>
      </c>
      <c r="N316" s="1666">
        <f t="shared" si="191"/>
        <v>138.46399999999994</v>
      </c>
      <c r="O316" s="1666">
        <f t="shared" si="191"/>
        <v>159</v>
      </c>
      <c r="P316" s="1666">
        <f t="shared" si="191"/>
        <v>112</v>
      </c>
      <c r="Q316" s="1666">
        <f t="shared" si="191"/>
        <v>1857</v>
      </c>
      <c r="R316" s="1666">
        <f t="shared" si="191"/>
        <v>-2039</v>
      </c>
      <c r="S316" s="1666">
        <f t="shared" si="191"/>
        <v>-611</v>
      </c>
      <c r="T316" s="1666">
        <f t="shared" si="191"/>
        <v>-9</v>
      </c>
      <c r="U316" s="1666">
        <f t="shared" si="191"/>
        <v>333</v>
      </c>
      <c r="V316" s="1666">
        <f t="shared" si="191"/>
        <v>-137.49729540918156</v>
      </c>
      <c r="W316" s="1666">
        <f t="shared" si="191"/>
        <v>320.25042914171649</v>
      </c>
      <c r="X316" s="1666">
        <f t="shared" si="191"/>
        <v>6.2021157684630452</v>
      </c>
      <c r="Y316" s="1666">
        <f t="shared" si="191"/>
        <v>-553.95524950099798</v>
      </c>
      <c r="Z316" s="1666">
        <f t="shared" si="191"/>
        <v>324</v>
      </c>
      <c r="AA316" s="1666">
        <f t="shared" si="191"/>
        <v>84</v>
      </c>
      <c r="AB316" s="1666">
        <f t="shared" si="191"/>
        <v>-9.2926864126091004</v>
      </c>
      <c r="AC316" s="1666">
        <f t="shared" si="191"/>
        <v>22.147514315388889</v>
      </c>
      <c r="AD316" s="1666">
        <f t="shared" si="191"/>
        <v>26.378077604105783</v>
      </c>
      <c r="AE316" s="1666">
        <f t="shared" si="191"/>
        <v>28.381927307190836</v>
      </c>
      <c r="AF316" s="1666">
        <f t="shared" si="191"/>
        <v>23.358425509197104</v>
      </c>
      <c r="AG316" s="1666">
        <f t="shared" si="191"/>
        <v>19.588305513652358</v>
      </c>
      <c r="AH316" s="1293"/>
      <c r="AI316" s="1293"/>
      <c r="AJ316" s="1293"/>
      <c r="AK316" s="1293"/>
      <c r="AL316" s="1293"/>
      <c r="AM316" s="1293"/>
      <c r="AN316" s="1293"/>
      <c r="AO316" s="1293"/>
      <c r="AP316" s="1293"/>
      <c r="AQ316" s="1293"/>
      <c r="AR316" s="1293"/>
      <c r="AS316" s="1293"/>
    </row>
    <row r="317" spans="1:45" ht="15.75">
      <c r="A317" s="1653" t="s">
        <v>1431</v>
      </c>
      <c r="B317" s="1653"/>
      <c r="C317" s="1653"/>
      <c r="D317" s="1688"/>
      <c r="E317" s="1688"/>
      <c r="F317" s="1688">
        <f t="shared" ref="F317:AA317" si="192">F315/F5</f>
        <v>0.45536182240191686</v>
      </c>
      <c r="G317" s="1688">
        <f t="shared" si="192"/>
        <v>0.26052573318747724</v>
      </c>
      <c r="H317" s="1688">
        <f t="shared" si="192"/>
        <v>-2.6832931333209551E-2</v>
      </c>
      <c r="I317" s="1688">
        <f t="shared" si="192"/>
        <v>0.20797779345459008</v>
      </c>
      <c r="J317" s="1688">
        <f t="shared" si="192"/>
        <v>0.15724263497089341</v>
      </c>
      <c r="K317" s="1688">
        <f t="shared" si="192"/>
        <v>0.14994522057190665</v>
      </c>
      <c r="L317" s="1688">
        <f t="shared" si="192"/>
        <v>0.18565299398620749</v>
      </c>
      <c r="M317" s="1688">
        <f t="shared" si="192"/>
        <v>0.39066805122852516</v>
      </c>
      <c r="N317" s="1688" t="e">
        <f t="shared" si="192"/>
        <v>#DIV/0!</v>
      </c>
      <c r="O317" s="1688" t="e">
        <f t="shared" si="192"/>
        <v>#DIV/0!</v>
      </c>
      <c r="P317" s="1688" t="e">
        <f t="shared" si="192"/>
        <v>#DIV/0!</v>
      </c>
      <c r="Q317" s="1688">
        <f t="shared" si="192"/>
        <v>0.6011577546975958</v>
      </c>
      <c r="R317" s="1688">
        <f t="shared" si="192"/>
        <v>0.2674537118177357</v>
      </c>
      <c r="S317" s="1688">
        <f t="shared" si="192"/>
        <v>0.19027403869552326</v>
      </c>
      <c r="T317" s="1688">
        <f t="shared" si="192"/>
        <v>0.19379208408605683</v>
      </c>
      <c r="U317" s="1688">
        <f t="shared" si="192"/>
        <v>0.25166333998669327</v>
      </c>
      <c r="V317" s="1688">
        <f t="shared" si="192"/>
        <v>0.21590059717325671</v>
      </c>
      <c r="W317" s="1688">
        <f t="shared" si="192"/>
        <v>0.27210416138198573</v>
      </c>
      <c r="X317" s="1688">
        <f t="shared" si="192"/>
        <v>0.25897067095267773</v>
      </c>
      <c r="Y317" s="1688">
        <f t="shared" si="192"/>
        <v>0.20410594307435465</v>
      </c>
      <c r="Z317" s="1688">
        <f t="shared" si="192"/>
        <v>0.26002473061296588</v>
      </c>
      <c r="AA317" s="1688">
        <f t="shared" si="192"/>
        <v>0.26807899964219378</v>
      </c>
      <c r="AB317" s="1946">
        <v>0.28000000000000003</v>
      </c>
      <c r="AC317" s="1946">
        <v>0.28000000000000003</v>
      </c>
      <c r="AD317" s="1946">
        <v>0.28000000000000003</v>
      </c>
      <c r="AE317" s="1946">
        <v>0.28000000000000003</v>
      </c>
      <c r="AF317" s="1946">
        <v>0.28000000000000003</v>
      </c>
      <c r="AG317" s="1946">
        <v>0.28000000000000003</v>
      </c>
      <c r="AH317" s="1293"/>
      <c r="AI317" s="1293"/>
      <c r="AJ317" s="1293"/>
      <c r="AK317" s="1293"/>
      <c r="AL317" s="1293"/>
      <c r="AM317" s="1293"/>
      <c r="AN317" s="1293"/>
      <c r="AO317" s="1293"/>
      <c r="AP317" s="1293"/>
      <c r="AQ317" s="1293"/>
      <c r="AR317" s="1293"/>
      <c r="AS317" s="1293"/>
    </row>
    <row r="318" spans="1:45" ht="15.75">
      <c r="A318" s="1653"/>
      <c r="B318" s="1653"/>
      <c r="C318" s="1653"/>
      <c r="D318" s="1653"/>
      <c r="E318" s="1653"/>
      <c r="F318" s="1653" t="s">
        <v>1823</v>
      </c>
      <c r="G318" s="1653"/>
      <c r="H318" s="1653"/>
      <c r="I318" s="1653"/>
      <c r="J318" s="1653"/>
      <c r="K318" s="1653"/>
      <c r="L318" s="1653"/>
      <c r="M318" s="1653"/>
      <c r="N318" s="1653"/>
      <c r="O318" s="1653"/>
      <c r="P318" s="1653"/>
      <c r="Q318" s="1653"/>
      <c r="R318" s="1653"/>
      <c r="S318" s="1653"/>
      <c r="T318" s="1653"/>
      <c r="U318" s="1653"/>
      <c r="V318" s="1653"/>
      <c r="W318" s="1653"/>
      <c r="X318" s="1653"/>
      <c r="Y318" s="1653"/>
      <c r="Z318" s="1653"/>
      <c r="AA318" s="1653"/>
      <c r="AB318" s="1653"/>
      <c r="AC318" s="1653"/>
      <c r="AD318" s="1653"/>
      <c r="AE318" s="1653"/>
      <c r="AF318" s="1653"/>
      <c r="AG318" s="1653"/>
      <c r="AH318" s="1293"/>
      <c r="AI318" s="1293"/>
      <c r="AJ318" s="1293"/>
      <c r="AK318" s="1293"/>
      <c r="AL318" s="1293"/>
      <c r="AM318" s="1293"/>
      <c r="AN318" s="1293"/>
      <c r="AO318" s="1293"/>
      <c r="AP318" s="1293"/>
      <c r="AQ318" s="1293"/>
      <c r="AR318" s="1293"/>
      <c r="AS318" s="1293"/>
    </row>
    <row r="319" spans="1:45" ht="15.75">
      <c r="A319" s="2529" t="s">
        <v>2332</v>
      </c>
      <c r="B319" s="2529"/>
      <c r="C319" s="2529"/>
      <c r="D319" s="2529"/>
      <c r="E319" s="2531"/>
      <c r="F319" s="2531">
        <v>0</v>
      </c>
      <c r="G319" s="2532">
        <f t="shared" ref="G319:AG319" si="193">G300+G304+G308+G312+G316</f>
        <v>10.316999999999979</v>
      </c>
      <c r="H319" s="2532">
        <f t="shared" si="193"/>
        <v>-145.65599999999995</v>
      </c>
      <c r="I319" s="2532">
        <f t="shared" si="193"/>
        <v>510.1629999999999</v>
      </c>
      <c r="J319" s="2532">
        <f t="shared" si="193"/>
        <v>318.32500000000005</v>
      </c>
      <c r="K319" s="2532">
        <f t="shared" si="193"/>
        <v>235.05700000000002</v>
      </c>
      <c r="L319" s="2532">
        <f t="shared" si="193"/>
        <v>-218.06600000000014</v>
      </c>
      <c r="M319" s="2532">
        <f t="shared" si="193"/>
        <v>753.06899999999996</v>
      </c>
      <c r="N319" s="2532">
        <f t="shared" si="193"/>
        <v>315.73100000000011</v>
      </c>
      <c r="O319" s="2532">
        <f t="shared" si="193"/>
        <v>169</v>
      </c>
      <c r="P319" s="2532">
        <f t="shared" si="193"/>
        <v>147</v>
      </c>
      <c r="Q319" s="2532">
        <f t="shared" si="193"/>
        <v>1985</v>
      </c>
      <c r="R319" s="2532">
        <f t="shared" si="193"/>
        <v>-2012</v>
      </c>
      <c r="S319" s="2532">
        <f t="shared" si="193"/>
        <v>-308</v>
      </c>
      <c r="T319" s="2532">
        <f t="shared" si="193"/>
        <v>-177.40000000000009</v>
      </c>
      <c r="U319" s="2532">
        <f t="shared" si="193"/>
        <v>565.40000000000009</v>
      </c>
      <c r="V319" s="2532">
        <f t="shared" si="193"/>
        <v>483</v>
      </c>
      <c r="W319" s="2532">
        <f t="shared" si="193"/>
        <v>65.999999999999886</v>
      </c>
      <c r="X319" s="2532">
        <f t="shared" si="193"/>
        <v>314</v>
      </c>
      <c r="Y319" s="2532">
        <f t="shared" si="193"/>
        <v>-427.99999999999989</v>
      </c>
      <c r="Z319" s="2532">
        <f t="shared" si="193"/>
        <v>101</v>
      </c>
      <c r="AA319" s="2532">
        <f t="shared" si="193"/>
        <v>156</v>
      </c>
      <c r="AB319" s="2532">
        <f t="shared" si="193"/>
        <v>64.541628537852972</v>
      </c>
      <c r="AC319" s="2532">
        <f t="shared" si="193"/>
        <v>40.494988985792226</v>
      </c>
      <c r="AD319" s="2532">
        <f t="shared" si="193"/>
        <v>43.820909170173103</v>
      </c>
      <c r="AE319" s="2532">
        <f t="shared" si="193"/>
        <v>45.999465567884883</v>
      </c>
      <c r="AF319" s="2532">
        <f t="shared" si="193"/>
        <v>43.823631762797149</v>
      </c>
      <c r="AG319" s="2532">
        <f t="shared" si="193"/>
        <v>42.196848881666767</v>
      </c>
      <c r="AH319" s="1293"/>
      <c r="AI319" s="1293"/>
      <c r="AJ319" s="1327"/>
      <c r="AK319" s="1327"/>
      <c r="AL319" s="1293"/>
      <c r="AM319" s="1293"/>
      <c r="AN319" s="1293"/>
      <c r="AO319" s="1293"/>
      <c r="AP319" s="1293"/>
      <c r="AQ319" s="1293"/>
      <c r="AR319" s="1293"/>
      <c r="AS319" s="1293"/>
    </row>
    <row r="320" spans="1:45" ht="15.75">
      <c r="A320" s="1653"/>
      <c r="B320" s="1653"/>
      <c r="C320" s="1653"/>
      <c r="D320" s="1653"/>
      <c r="E320" s="1653"/>
      <c r="F320" s="1653"/>
      <c r="G320" s="1666" t="s">
        <v>1823</v>
      </c>
      <c r="H320" s="1666"/>
      <c r="I320" s="1666"/>
      <c r="J320" s="1666"/>
      <c r="K320" s="1666"/>
      <c r="L320" s="1666" t="s">
        <v>1823</v>
      </c>
      <c r="M320" s="1666"/>
      <c r="N320" s="1666"/>
      <c r="O320" s="1666"/>
      <c r="P320" s="1666"/>
      <c r="Q320" s="1666"/>
      <c r="R320" s="1666"/>
      <c r="S320" s="1666"/>
      <c r="T320" s="1666"/>
      <c r="U320" s="1666"/>
      <c r="V320" s="1666"/>
      <c r="W320" s="1666"/>
      <c r="X320" s="1666"/>
      <c r="Y320" s="1666"/>
      <c r="Z320" s="1666"/>
      <c r="AA320" s="1666"/>
      <c r="AB320" s="1666"/>
      <c r="AC320" s="1666"/>
      <c r="AD320" s="1666"/>
      <c r="AE320" s="1666"/>
      <c r="AF320" s="1666"/>
      <c r="AG320" s="1666"/>
      <c r="AH320" s="1293"/>
      <c r="AI320" s="1293"/>
      <c r="AJ320" s="1327"/>
      <c r="AK320" s="1327"/>
      <c r="AL320" s="1293"/>
      <c r="AM320" s="1293"/>
      <c r="AN320" s="1293"/>
      <c r="AO320" s="1293"/>
      <c r="AP320" s="1293"/>
      <c r="AQ320" s="1293"/>
      <c r="AR320" s="1293"/>
      <c r="AS320" s="1293"/>
    </row>
    <row r="321" spans="1:45" ht="15.75">
      <c r="A321" s="1653"/>
      <c r="B321" s="1653"/>
      <c r="C321" s="1653"/>
      <c r="D321" s="1653"/>
      <c r="E321" s="1653"/>
      <c r="F321" s="1653"/>
      <c r="G321" s="1666"/>
      <c r="H321" s="1666"/>
      <c r="I321" s="1666"/>
      <c r="J321" s="1666"/>
      <c r="K321" s="1666"/>
      <c r="L321" s="1666"/>
      <c r="M321" s="1666"/>
      <c r="N321" s="1666"/>
      <c r="O321" s="1666"/>
      <c r="P321" s="1666"/>
      <c r="Q321" s="1666"/>
      <c r="R321" s="1666"/>
      <c r="S321" s="1666"/>
      <c r="T321" s="1666"/>
      <c r="U321" s="1666"/>
      <c r="V321" s="1666"/>
      <c r="W321" s="1666"/>
      <c r="X321" s="1666"/>
      <c r="Y321" s="1666"/>
      <c r="Z321" s="1666"/>
      <c r="AA321" s="1666"/>
      <c r="AB321" s="1666"/>
      <c r="AC321" s="1666"/>
      <c r="AD321" s="1666"/>
      <c r="AE321" s="1666"/>
      <c r="AF321" s="1666"/>
      <c r="AG321" s="1666"/>
      <c r="AH321" s="1293"/>
      <c r="AI321" s="1293"/>
      <c r="AJ321" s="1327"/>
      <c r="AK321" s="1327"/>
      <c r="AL321" s="1293"/>
      <c r="AM321" s="1293"/>
      <c r="AN321" s="1293"/>
      <c r="AO321" s="1293"/>
      <c r="AP321" s="1293"/>
      <c r="AQ321" s="1293"/>
      <c r="AR321" s="1293"/>
      <c r="AS321" s="1293"/>
    </row>
    <row r="322" spans="1:45" ht="15.75">
      <c r="A322" s="1653"/>
      <c r="B322" s="1653"/>
      <c r="C322" s="1653"/>
      <c r="D322" s="1653"/>
      <c r="E322" s="1653"/>
      <c r="F322" s="1653"/>
      <c r="G322" s="1666"/>
      <c r="H322" s="1666"/>
      <c r="I322" s="1666"/>
      <c r="J322" s="1666"/>
      <c r="K322" s="1666"/>
      <c r="L322" s="1666"/>
      <c r="M322" s="1666"/>
      <c r="N322" s="1666"/>
      <c r="O322" s="1666"/>
      <c r="P322" s="1666"/>
      <c r="Q322" s="1666"/>
      <c r="R322" s="1666"/>
      <c r="S322" s="1666"/>
      <c r="T322" s="1666"/>
      <c r="U322" s="1666"/>
      <c r="V322" s="1666"/>
      <c r="W322" s="1666"/>
      <c r="X322" s="1666"/>
      <c r="Y322" s="1666"/>
      <c r="Z322" s="1666"/>
      <c r="AA322" s="1666"/>
      <c r="AB322" s="1666"/>
      <c r="AC322" s="1666"/>
      <c r="AD322" s="1666"/>
      <c r="AE322" s="1666"/>
      <c r="AF322" s="1666"/>
      <c r="AG322" s="1666"/>
      <c r="AH322" s="1293"/>
      <c r="AI322" s="1293"/>
      <c r="AJ322" s="1327"/>
      <c r="AK322" s="1327"/>
      <c r="AL322" s="1293"/>
      <c r="AM322" s="1293"/>
      <c r="AN322" s="1293"/>
      <c r="AO322" s="1293"/>
      <c r="AP322" s="1293"/>
      <c r="AQ322" s="1293"/>
      <c r="AR322" s="1293"/>
      <c r="AS322" s="1293"/>
    </row>
    <row r="323" spans="1:45" ht="15.75">
      <c r="A323" s="1706" t="s">
        <v>2099</v>
      </c>
      <c r="B323" s="1706"/>
      <c r="C323" s="1653"/>
      <c r="D323" s="1653"/>
      <c r="E323" s="1653"/>
      <c r="F323" s="1653"/>
      <c r="G323" s="1666"/>
      <c r="H323" s="1666"/>
      <c r="I323" s="1666"/>
      <c r="J323" s="1666"/>
      <c r="K323" s="1666"/>
      <c r="L323" s="1666"/>
      <c r="M323" s="1666"/>
      <c r="N323" s="1666"/>
      <c r="O323" s="1666"/>
      <c r="P323" s="1666"/>
      <c r="Q323" s="1666"/>
      <c r="R323" s="1666"/>
      <c r="S323" s="1666"/>
      <c r="T323" s="1666"/>
      <c r="U323" s="1666"/>
      <c r="V323" s="1666"/>
      <c r="W323" s="1666"/>
      <c r="X323" s="1666"/>
      <c r="Y323" s="1666"/>
      <c r="Z323" s="1666"/>
      <c r="AA323" s="1666"/>
      <c r="AB323" s="1666"/>
      <c r="AC323" s="1666"/>
      <c r="AD323" s="1666"/>
      <c r="AE323" s="1666"/>
      <c r="AF323" s="1666"/>
      <c r="AG323" s="1666"/>
      <c r="AH323" s="1293"/>
      <c r="AI323" s="1293"/>
      <c r="AJ323" s="1293"/>
      <c r="AK323" s="1293"/>
      <c r="AL323" s="1293"/>
      <c r="AM323" s="1293"/>
      <c r="AN323" s="1293"/>
      <c r="AO323" s="1293"/>
      <c r="AP323" s="1293"/>
      <c r="AQ323" s="1293"/>
      <c r="AR323" s="1293"/>
      <c r="AS323" s="1293"/>
    </row>
    <row r="324" spans="1:45" ht="15.75">
      <c r="A324" s="1653" t="s">
        <v>2100</v>
      </c>
      <c r="B324" s="1653"/>
      <c r="C324" s="1653"/>
      <c r="D324" s="1653"/>
      <c r="E324" s="1653"/>
      <c r="F324" s="1653"/>
      <c r="G324" s="1904">
        <v>0</v>
      </c>
      <c r="H324" s="1904">
        <v>250.08699999999999</v>
      </c>
      <c r="I324" s="1904">
        <v>407.04300000000001</v>
      </c>
      <c r="J324" s="1944">
        <v>0</v>
      </c>
      <c r="K324" s="1904">
        <v>20</v>
      </c>
      <c r="L324" s="1904">
        <v>78</v>
      </c>
      <c r="M324" s="1904">
        <f>184.71</f>
        <v>184.71</v>
      </c>
      <c r="N324" s="1904">
        <v>66</v>
      </c>
      <c r="O324" s="1904">
        <v>21</v>
      </c>
      <c r="P324" s="1904">
        <v>14</v>
      </c>
      <c r="Q324" s="1904">
        <v>34</v>
      </c>
      <c r="R324" s="1904">
        <v>13</v>
      </c>
      <c r="S324" s="1904">
        <v>3</v>
      </c>
      <c r="T324" s="1904">
        <v>233</v>
      </c>
      <c r="U324" s="1904">
        <v>3</v>
      </c>
      <c r="V324" s="1904">
        <v>5</v>
      </c>
      <c r="W324" s="1904">
        <v>1</v>
      </c>
      <c r="X324" s="1904">
        <v>0</v>
      </c>
      <c r="Y324" s="1904">
        <v>0</v>
      </c>
      <c r="Z324" s="1904">
        <v>0</v>
      </c>
      <c r="AA324" s="1904">
        <v>627</v>
      </c>
      <c r="AB324" s="2499">
        <v>0</v>
      </c>
      <c r="AC324" s="2499">
        <f t="shared" ref="AC324:AG325" si="194">AB324</f>
        <v>0</v>
      </c>
      <c r="AD324" s="2499">
        <f t="shared" si="194"/>
        <v>0</v>
      </c>
      <c r="AE324" s="2499">
        <f t="shared" si="194"/>
        <v>0</v>
      </c>
      <c r="AF324" s="2499">
        <f t="shared" si="194"/>
        <v>0</v>
      </c>
      <c r="AG324" s="2499">
        <f t="shared" si="194"/>
        <v>0</v>
      </c>
      <c r="AH324" s="1293"/>
      <c r="AI324" s="1293"/>
      <c r="AJ324" s="1293"/>
      <c r="AK324" s="1293"/>
      <c r="AL324" s="1293"/>
      <c r="AM324" s="1293"/>
      <c r="AN324" s="1293"/>
      <c r="AO324" s="1293"/>
      <c r="AP324" s="1293"/>
      <c r="AQ324" s="1293"/>
      <c r="AR324" s="1293"/>
      <c r="AS324" s="1293"/>
    </row>
    <row r="325" spans="1:45" ht="15.75">
      <c r="A325" s="1653" t="s">
        <v>2101</v>
      </c>
      <c r="B325" s="1653"/>
      <c r="C325" s="1653"/>
      <c r="D325" s="1653"/>
      <c r="E325" s="1653"/>
      <c r="F325" s="1653"/>
      <c r="G325" s="1904">
        <v>0</v>
      </c>
      <c r="H325" s="1904">
        <v>246.72399999999999</v>
      </c>
      <c r="I325" s="1904">
        <v>394</v>
      </c>
      <c r="J325" s="1944">
        <v>0</v>
      </c>
      <c r="K325" s="1904">
        <v>7</v>
      </c>
      <c r="L325" s="1904">
        <v>44</v>
      </c>
      <c r="M325" s="1904">
        <v>60.8</v>
      </c>
      <c r="N325" s="1904">
        <v>9</v>
      </c>
      <c r="O325" s="1904">
        <v>5</v>
      </c>
      <c r="P325" s="1904">
        <v>2</v>
      </c>
      <c r="Q325" s="1904">
        <v>2</v>
      </c>
      <c r="R325" s="1904">
        <v>0</v>
      </c>
      <c r="S325" s="1904">
        <v>0</v>
      </c>
      <c r="T325" s="1904">
        <v>79</v>
      </c>
      <c r="U325" s="1904">
        <v>0</v>
      </c>
      <c r="V325" s="1904">
        <v>0</v>
      </c>
      <c r="W325" s="1904">
        <v>0</v>
      </c>
      <c r="X325" s="1904">
        <f>W325</f>
        <v>0</v>
      </c>
      <c r="Y325" s="1904">
        <f>X325</f>
        <v>0</v>
      </c>
      <c r="Z325" s="1904">
        <f>Y325</f>
        <v>0</v>
      </c>
      <c r="AA325" s="1904">
        <v>709</v>
      </c>
      <c r="AB325" s="2499">
        <v>0</v>
      </c>
      <c r="AC325" s="2499">
        <f t="shared" si="194"/>
        <v>0</v>
      </c>
      <c r="AD325" s="2499">
        <f t="shared" si="194"/>
        <v>0</v>
      </c>
      <c r="AE325" s="2499">
        <f t="shared" si="194"/>
        <v>0</v>
      </c>
      <c r="AF325" s="2499">
        <f t="shared" si="194"/>
        <v>0</v>
      </c>
      <c r="AG325" s="2499">
        <f t="shared" si="194"/>
        <v>0</v>
      </c>
      <c r="AH325" s="1293"/>
      <c r="AI325" s="1293"/>
      <c r="AJ325" s="1293"/>
      <c r="AK325" s="1293"/>
      <c r="AL325" s="1293"/>
      <c r="AM325" s="1293"/>
      <c r="AN325" s="1293"/>
      <c r="AO325" s="1293"/>
      <c r="AP325" s="1293"/>
      <c r="AQ325" s="1293"/>
      <c r="AR325" s="1293"/>
      <c r="AS325" s="1293"/>
    </row>
    <row r="326" spans="1:45" ht="15.75">
      <c r="A326" s="1653"/>
      <c r="B326" s="1653"/>
      <c r="C326" s="1653"/>
      <c r="D326" s="1653"/>
      <c r="E326" s="1653"/>
      <c r="F326" s="1653"/>
      <c r="G326" s="1666"/>
      <c r="H326" s="1666"/>
      <c r="I326" s="1666"/>
      <c r="J326" s="1666"/>
      <c r="K326" s="1666"/>
      <c r="L326" s="1666"/>
      <c r="M326" s="1666"/>
      <c r="N326" s="1666"/>
      <c r="O326" s="1666"/>
      <c r="P326" s="1666"/>
      <c r="Q326" s="1666"/>
      <c r="R326" s="1666"/>
      <c r="S326" s="1666"/>
      <c r="T326" s="1666"/>
      <c r="U326" s="1666"/>
      <c r="V326" s="1666"/>
      <c r="W326" s="1666"/>
      <c r="X326" s="1666"/>
      <c r="Y326" s="1666"/>
      <c r="Z326" s="1666"/>
      <c r="AA326" s="1666"/>
      <c r="AB326" s="1666"/>
      <c r="AC326" s="1666"/>
      <c r="AD326" s="1666"/>
      <c r="AE326" s="1666"/>
      <c r="AF326" s="1666"/>
      <c r="AG326" s="1666"/>
      <c r="AH326" s="1293"/>
      <c r="AI326" s="1293"/>
      <c r="AJ326" s="1293"/>
      <c r="AK326" s="1293"/>
      <c r="AL326" s="1293"/>
      <c r="AM326" s="1293"/>
      <c r="AN326" s="1293"/>
      <c r="AO326" s="1293"/>
      <c r="AP326" s="1293"/>
      <c r="AQ326" s="1293"/>
      <c r="AR326" s="1293"/>
      <c r="AS326" s="1293"/>
    </row>
    <row r="327" spans="1:45" ht="15.75">
      <c r="A327" s="1706" t="s">
        <v>412</v>
      </c>
      <c r="B327" s="1706"/>
      <c r="C327" s="1653"/>
      <c r="D327" s="1717"/>
      <c r="E327" s="1717"/>
      <c r="F327" s="1717">
        <v>0</v>
      </c>
      <c r="G327" s="1717">
        <v>0</v>
      </c>
      <c r="H327" s="1675">
        <f t="shared" ref="H327:N327" si="195">G327-H329-H328</f>
        <v>0</v>
      </c>
      <c r="I327" s="1675">
        <f t="shared" si="195"/>
        <v>0</v>
      </c>
      <c r="J327" s="1675">
        <f t="shared" si="195"/>
        <v>0</v>
      </c>
      <c r="K327" s="1675">
        <f t="shared" si="195"/>
        <v>0</v>
      </c>
      <c r="L327" s="1675">
        <f t="shared" si="195"/>
        <v>0</v>
      </c>
      <c r="M327" s="1675">
        <f t="shared" si="195"/>
        <v>0</v>
      </c>
      <c r="N327" s="1675">
        <f t="shared" si="195"/>
        <v>0</v>
      </c>
      <c r="O327" s="1904">
        <v>113</v>
      </c>
      <c r="P327" s="1904">
        <v>150</v>
      </c>
      <c r="Q327" s="1904">
        <v>259</v>
      </c>
      <c r="R327" s="1904">
        <v>282</v>
      </c>
      <c r="S327" s="1904">
        <v>260</v>
      </c>
      <c r="T327" s="1904">
        <v>230</v>
      </c>
      <c r="U327" s="1904">
        <v>200</v>
      </c>
      <c r="V327" s="1904">
        <v>200</v>
      </c>
      <c r="W327" s="1904">
        <v>200</v>
      </c>
      <c r="X327" s="1904">
        <v>200</v>
      </c>
      <c r="Y327" s="1904">
        <v>200</v>
      </c>
      <c r="Z327" s="1904">
        <v>200</v>
      </c>
      <c r="AA327" s="1904">
        <v>200</v>
      </c>
      <c r="AB327" s="1675">
        <f t="shared" ref="AB327:AG327" si="196">AA327-AB329-AB328</f>
        <v>200</v>
      </c>
      <c r="AC327" s="1675">
        <f t="shared" si="196"/>
        <v>200</v>
      </c>
      <c r="AD327" s="1675">
        <f t="shared" si="196"/>
        <v>200</v>
      </c>
      <c r="AE327" s="1675">
        <f t="shared" si="196"/>
        <v>200</v>
      </c>
      <c r="AF327" s="1675">
        <f t="shared" si="196"/>
        <v>200</v>
      </c>
      <c r="AG327" s="1675">
        <f t="shared" si="196"/>
        <v>200</v>
      </c>
      <c r="AH327" s="1293"/>
      <c r="AI327" s="1293"/>
      <c r="AJ327" s="1293"/>
      <c r="AK327" s="1293"/>
      <c r="AL327" s="1293"/>
      <c r="AM327" s="1293"/>
      <c r="AN327" s="1293"/>
      <c r="AO327" s="1293"/>
      <c r="AP327" s="1293"/>
      <c r="AQ327" s="1293"/>
      <c r="AR327" s="1293"/>
      <c r="AS327" s="1293"/>
    </row>
    <row r="328" spans="1:45" ht="15.75">
      <c r="A328" s="1653" t="s">
        <v>615</v>
      </c>
      <c r="B328" s="1653"/>
      <c r="C328" s="1653"/>
      <c r="D328" s="1717"/>
      <c r="E328" s="1717"/>
      <c r="F328" s="1717"/>
      <c r="G328" s="1947">
        <v>0</v>
      </c>
      <c r="H328" s="1947">
        <v>0</v>
      </c>
      <c r="I328" s="1947">
        <v>0</v>
      </c>
      <c r="J328" s="1947">
        <v>0</v>
      </c>
      <c r="K328" s="1947">
        <v>0</v>
      </c>
      <c r="L328" s="1947">
        <v>0</v>
      </c>
      <c r="M328" s="1947">
        <v>0</v>
      </c>
      <c r="N328" s="1947">
        <v>0</v>
      </c>
      <c r="O328" s="1947">
        <v>0</v>
      </c>
      <c r="P328" s="1947">
        <v>0</v>
      </c>
      <c r="Q328" s="1947">
        <v>0</v>
      </c>
      <c r="R328" s="1947">
        <v>0</v>
      </c>
      <c r="S328" s="1947">
        <v>0</v>
      </c>
      <c r="T328" s="1947">
        <v>0</v>
      </c>
      <c r="U328" s="1947">
        <v>0</v>
      </c>
      <c r="V328" s="1947">
        <v>0</v>
      </c>
      <c r="W328" s="1947">
        <v>0</v>
      </c>
      <c r="X328" s="1947">
        <v>0</v>
      </c>
      <c r="Y328" s="1947">
        <v>0</v>
      </c>
      <c r="Z328" s="1947">
        <v>0</v>
      </c>
      <c r="AA328" s="1947">
        <v>0</v>
      </c>
      <c r="AB328" s="1947">
        <v>0</v>
      </c>
      <c r="AC328" s="1947">
        <v>0</v>
      </c>
      <c r="AD328" s="1947">
        <v>0</v>
      </c>
      <c r="AE328" s="1947">
        <v>0</v>
      </c>
      <c r="AF328" s="1947">
        <v>0</v>
      </c>
      <c r="AG328" s="1947">
        <v>0</v>
      </c>
      <c r="AH328" s="1293"/>
      <c r="AI328" s="1293"/>
      <c r="AJ328" s="1293"/>
      <c r="AK328" s="1293"/>
      <c r="AL328" s="1293"/>
      <c r="AM328" s="1293"/>
      <c r="AN328" s="1293"/>
      <c r="AO328" s="1293"/>
      <c r="AP328" s="1293"/>
      <c r="AQ328" s="1293"/>
      <c r="AR328" s="1293"/>
      <c r="AS328" s="1293"/>
    </row>
    <row r="329" spans="1:45" ht="15.75">
      <c r="A329" s="1653" t="s">
        <v>616</v>
      </c>
      <c r="B329" s="1653"/>
      <c r="C329" s="1653"/>
      <c r="D329" s="1675"/>
      <c r="E329" s="1675"/>
      <c r="F329" s="1675"/>
      <c r="G329" s="1717">
        <v>0</v>
      </c>
      <c r="H329" s="1947">
        <v>0</v>
      </c>
      <c r="I329" s="1947">
        <v>0</v>
      </c>
      <c r="J329" s="1947">
        <v>0</v>
      </c>
      <c r="K329" s="1947">
        <v>0</v>
      </c>
      <c r="L329" s="1947">
        <v>0</v>
      </c>
      <c r="M329" s="1947">
        <v>0</v>
      </c>
      <c r="N329" s="1947">
        <v>0</v>
      </c>
      <c r="O329" s="1947">
        <v>0</v>
      </c>
      <c r="P329" s="1947">
        <v>0</v>
      </c>
      <c r="Q329" s="1947">
        <v>0</v>
      </c>
      <c r="R329" s="1947">
        <v>0</v>
      </c>
      <c r="S329" s="1675"/>
      <c r="T329" s="1675"/>
      <c r="U329" s="1675"/>
      <c r="V329" s="1675">
        <f t="shared" ref="V329:AG329" si="197">-V13</f>
        <v>0</v>
      </c>
      <c r="W329" s="1675">
        <f t="shared" si="197"/>
        <v>-156</v>
      </c>
      <c r="X329" s="1675">
        <f t="shared" si="197"/>
        <v>0</v>
      </c>
      <c r="Y329" s="1675">
        <f t="shared" si="197"/>
        <v>0</v>
      </c>
      <c r="Z329" s="1675">
        <f t="shared" si="197"/>
        <v>-104</v>
      </c>
      <c r="AA329" s="1675">
        <f t="shared" si="197"/>
        <v>-156</v>
      </c>
      <c r="AB329" s="1675">
        <f t="shared" si="197"/>
        <v>0</v>
      </c>
      <c r="AC329" s="1675">
        <f t="shared" si="197"/>
        <v>0</v>
      </c>
      <c r="AD329" s="1675">
        <f t="shared" si="197"/>
        <v>0</v>
      </c>
      <c r="AE329" s="1675">
        <f t="shared" si="197"/>
        <v>0</v>
      </c>
      <c r="AF329" s="1675">
        <f t="shared" si="197"/>
        <v>0</v>
      </c>
      <c r="AG329" s="1675">
        <f t="shared" si="197"/>
        <v>0</v>
      </c>
      <c r="AH329" s="1293"/>
      <c r="AI329" s="1293"/>
      <c r="AJ329" s="1293"/>
      <c r="AK329" s="1293"/>
      <c r="AL329" s="1293"/>
      <c r="AM329" s="1293"/>
      <c r="AN329" s="1293"/>
      <c r="AO329" s="1293"/>
      <c r="AP329" s="1293"/>
      <c r="AQ329" s="1293"/>
      <c r="AR329" s="1293"/>
      <c r="AS329" s="1293"/>
    </row>
    <row r="330" spans="1:45" ht="15.75">
      <c r="A330" s="1653"/>
      <c r="B330" s="1653"/>
      <c r="C330" s="1653"/>
      <c r="D330" s="1653"/>
      <c r="E330" s="1653"/>
      <c r="F330" s="1653"/>
      <c r="G330" s="1653"/>
      <c r="H330" s="1653"/>
      <c r="I330" s="1653"/>
      <c r="J330" s="1653"/>
      <c r="K330" s="1653"/>
      <c r="L330" s="1653"/>
      <c r="M330" s="1653"/>
      <c r="N330" s="1653"/>
      <c r="O330" s="1653"/>
      <c r="P330" s="1653"/>
      <c r="Q330" s="1653"/>
      <c r="R330" s="1653"/>
      <c r="S330" s="1653"/>
      <c r="T330" s="1653"/>
      <c r="U330" s="1653"/>
      <c r="V330" s="1653"/>
      <c r="W330" s="1653"/>
      <c r="X330" s="1653"/>
      <c r="Y330" s="1653"/>
      <c r="Z330" s="1653"/>
      <c r="AA330" s="1653"/>
      <c r="AB330" s="1653"/>
      <c r="AC330" s="1653"/>
      <c r="AD330" s="1653"/>
      <c r="AE330" s="1653"/>
      <c r="AF330" s="1653"/>
      <c r="AG330" s="1653"/>
      <c r="AH330" s="1293"/>
      <c r="AI330" s="1293"/>
      <c r="AJ330" s="1293"/>
      <c r="AK330" s="1293"/>
      <c r="AL330" s="1293"/>
      <c r="AM330" s="1293"/>
      <c r="AN330" s="1293"/>
      <c r="AO330" s="1293"/>
      <c r="AP330" s="1293"/>
      <c r="AQ330" s="1293"/>
      <c r="AR330" s="1293"/>
      <c r="AS330" s="1293"/>
    </row>
    <row r="331" spans="1:45" ht="15.75">
      <c r="A331" s="1706" t="s">
        <v>617</v>
      </c>
      <c r="B331" s="1706"/>
      <c r="C331" s="1653"/>
      <c r="D331" s="1653"/>
      <c r="E331" s="1653"/>
      <c r="F331" s="1653"/>
      <c r="G331" s="1653"/>
      <c r="H331" s="1653"/>
      <c r="I331" s="1653"/>
      <c r="J331" s="1653"/>
      <c r="K331" s="1653"/>
      <c r="L331" s="1653"/>
      <c r="M331" s="1653"/>
      <c r="N331" s="1653"/>
      <c r="O331" s="1653"/>
      <c r="P331" s="1653"/>
      <c r="Q331" s="1653"/>
      <c r="R331" s="1653"/>
      <c r="S331" s="1653"/>
      <c r="T331" s="1653"/>
      <c r="U331" s="1653"/>
      <c r="V331" s="1653"/>
      <c r="W331" s="1653"/>
      <c r="X331" s="1653"/>
      <c r="Y331" s="1653"/>
      <c r="Z331" s="1653"/>
      <c r="AA331" s="1653"/>
      <c r="AB331" s="1653"/>
      <c r="AC331" s="1653"/>
      <c r="AD331" s="1653"/>
      <c r="AE331" s="1653"/>
      <c r="AF331" s="1653"/>
      <c r="AG331" s="1653"/>
      <c r="AH331" s="1293"/>
      <c r="AI331" s="1293"/>
      <c r="AJ331" s="1293"/>
      <c r="AK331" s="1293"/>
      <c r="AL331" s="1293"/>
      <c r="AM331" s="1293"/>
      <c r="AN331" s="1293"/>
      <c r="AO331" s="1293"/>
      <c r="AP331" s="1293"/>
      <c r="AQ331" s="1293"/>
      <c r="AR331" s="1293"/>
      <c r="AS331" s="1293"/>
    </row>
    <row r="332" spans="1:45" ht="15.75">
      <c r="A332" s="1653"/>
      <c r="B332" s="1653"/>
      <c r="C332" s="1653"/>
      <c r="D332" s="1653"/>
      <c r="E332" s="1653"/>
      <c r="F332" s="1653"/>
      <c r="G332" s="1653"/>
      <c r="H332" s="1653"/>
      <c r="I332" s="1653"/>
      <c r="J332" s="1653"/>
      <c r="K332" s="1653"/>
      <c r="L332" s="1653"/>
      <c r="M332" s="1653"/>
      <c r="N332" s="1653"/>
      <c r="O332" s="1653"/>
      <c r="P332" s="1653"/>
      <c r="Q332" s="1653"/>
      <c r="R332" s="1653"/>
      <c r="S332" s="1653"/>
      <c r="T332" s="1653"/>
      <c r="U332" s="1653"/>
      <c r="V332" s="1653"/>
      <c r="W332" s="1653"/>
      <c r="X332" s="1653"/>
      <c r="Y332" s="1653"/>
      <c r="Z332" s="1653"/>
      <c r="AA332" s="1653"/>
      <c r="AB332" s="1653"/>
      <c r="AC332" s="1653"/>
      <c r="AD332" s="1653"/>
      <c r="AE332" s="1653"/>
      <c r="AF332" s="1653"/>
      <c r="AG332" s="1653"/>
      <c r="AH332" s="1293"/>
      <c r="AI332" s="1293"/>
      <c r="AJ332" s="1293"/>
      <c r="AK332" s="1293"/>
      <c r="AL332" s="1293"/>
      <c r="AM332" s="1293"/>
      <c r="AN332" s="1293"/>
      <c r="AO332" s="1293"/>
      <c r="AP332" s="1293"/>
      <c r="AQ332" s="1293"/>
      <c r="AR332" s="1293"/>
      <c r="AS332" s="1293"/>
    </row>
    <row r="333" spans="1:45" ht="15.75">
      <c r="A333" s="1653" t="s">
        <v>1669</v>
      </c>
      <c r="B333" s="1653"/>
      <c r="C333" s="1653"/>
      <c r="D333" s="1653"/>
      <c r="E333" s="1653"/>
      <c r="F333" s="1717">
        <v>327.63499999999999</v>
      </c>
      <c r="G333" s="1717">
        <v>365.00599999999997</v>
      </c>
      <c r="H333" s="1717">
        <v>315.35899999999998</v>
      </c>
      <c r="I333" s="1947">
        <v>0</v>
      </c>
      <c r="J333" s="1947">
        <f t="shared" ref="J333:AG333" si="198">I333</f>
        <v>0</v>
      </c>
      <c r="K333" s="1947">
        <f t="shared" si="198"/>
        <v>0</v>
      </c>
      <c r="L333" s="1947">
        <f t="shared" si="198"/>
        <v>0</v>
      </c>
      <c r="M333" s="1947">
        <f t="shared" si="198"/>
        <v>0</v>
      </c>
      <c r="N333" s="1947">
        <f t="shared" si="198"/>
        <v>0</v>
      </c>
      <c r="O333" s="1947">
        <f t="shared" si="198"/>
        <v>0</v>
      </c>
      <c r="P333" s="1947">
        <f t="shared" si="198"/>
        <v>0</v>
      </c>
      <c r="Q333" s="1947">
        <f t="shared" si="198"/>
        <v>0</v>
      </c>
      <c r="R333" s="1947">
        <f t="shared" si="198"/>
        <v>0</v>
      </c>
      <c r="S333" s="1947">
        <f t="shared" si="198"/>
        <v>0</v>
      </c>
      <c r="T333" s="1947">
        <f t="shared" si="198"/>
        <v>0</v>
      </c>
      <c r="U333" s="1947">
        <f t="shared" si="198"/>
        <v>0</v>
      </c>
      <c r="V333" s="1947">
        <f t="shared" si="198"/>
        <v>0</v>
      </c>
      <c r="W333" s="1947">
        <f t="shared" si="198"/>
        <v>0</v>
      </c>
      <c r="X333" s="1947">
        <f t="shared" si="198"/>
        <v>0</v>
      </c>
      <c r="Y333" s="1947">
        <f t="shared" si="198"/>
        <v>0</v>
      </c>
      <c r="Z333" s="1947">
        <f t="shared" si="198"/>
        <v>0</v>
      </c>
      <c r="AA333" s="1947">
        <f t="shared" si="198"/>
        <v>0</v>
      </c>
      <c r="AB333" s="1947">
        <f t="shared" si="198"/>
        <v>0</v>
      </c>
      <c r="AC333" s="1947">
        <f t="shared" si="198"/>
        <v>0</v>
      </c>
      <c r="AD333" s="1947">
        <f t="shared" si="198"/>
        <v>0</v>
      </c>
      <c r="AE333" s="1947">
        <f t="shared" si="198"/>
        <v>0</v>
      </c>
      <c r="AF333" s="1947">
        <f t="shared" si="198"/>
        <v>0</v>
      </c>
      <c r="AG333" s="1947">
        <f t="shared" si="198"/>
        <v>0</v>
      </c>
      <c r="AH333" s="1293"/>
      <c r="AI333" s="1293"/>
      <c r="AJ333" s="1293"/>
      <c r="AK333" s="1293"/>
      <c r="AL333" s="1293"/>
      <c r="AM333" s="1293"/>
      <c r="AN333" s="1293"/>
      <c r="AO333" s="1293"/>
      <c r="AP333" s="1293"/>
      <c r="AQ333" s="1293"/>
      <c r="AR333" s="1293"/>
      <c r="AS333" s="1293"/>
    </row>
    <row r="334" spans="1:45" ht="15.75">
      <c r="A334" s="1653" t="s">
        <v>814</v>
      </c>
      <c r="B334" s="1653"/>
      <c r="C334" s="1653"/>
      <c r="D334" s="1653"/>
      <c r="E334" s="1653"/>
      <c r="F334" s="1653"/>
      <c r="G334" s="1675">
        <f t="shared" ref="G334:AG334" si="199">G333-F333</f>
        <v>37.370999999999981</v>
      </c>
      <c r="H334" s="1675">
        <f t="shared" si="199"/>
        <v>-49.646999999999991</v>
      </c>
      <c r="I334" s="1675">
        <f t="shared" si="199"/>
        <v>-315.35899999999998</v>
      </c>
      <c r="J334" s="1675">
        <f t="shared" si="199"/>
        <v>0</v>
      </c>
      <c r="K334" s="1675">
        <f t="shared" si="199"/>
        <v>0</v>
      </c>
      <c r="L334" s="1675">
        <f t="shared" si="199"/>
        <v>0</v>
      </c>
      <c r="M334" s="1675">
        <f t="shared" si="199"/>
        <v>0</v>
      </c>
      <c r="N334" s="1675">
        <f t="shared" si="199"/>
        <v>0</v>
      </c>
      <c r="O334" s="1675">
        <f t="shared" si="199"/>
        <v>0</v>
      </c>
      <c r="P334" s="1675">
        <f t="shared" si="199"/>
        <v>0</v>
      </c>
      <c r="Q334" s="1675">
        <f t="shared" si="199"/>
        <v>0</v>
      </c>
      <c r="R334" s="1675">
        <f t="shared" si="199"/>
        <v>0</v>
      </c>
      <c r="S334" s="1675">
        <f t="shared" si="199"/>
        <v>0</v>
      </c>
      <c r="T334" s="1675">
        <f t="shared" si="199"/>
        <v>0</v>
      </c>
      <c r="U334" s="1675">
        <f t="shared" si="199"/>
        <v>0</v>
      </c>
      <c r="V334" s="1675">
        <f t="shared" si="199"/>
        <v>0</v>
      </c>
      <c r="W334" s="1675">
        <f t="shared" si="199"/>
        <v>0</v>
      </c>
      <c r="X334" s="1675">
        <f t="shared" si="199"/>
        <v>0</v>
      </c>
      <c r="Y334" s="1675">
        <f t="shared" si="199"/>
        <v>0</v>
      </c>
      <c r="Z334" s="1675">
        <f t="shared" si="199"/>
        <v>0</v>
      </c>
      <c r="AA334" s="1675">
        <f t="shared" si="199"/>
        <v>0</v>
      </c>
      <c r="AB334" s="1675">
        <f t="shared" si="199"/>
        <v>0</v>
      </c>
      <c r="AC334" s="1675">
        <f t="shared" si="199"/>
        <v>0</v>
      </c>
      <c r="AD334" s="1675">
        <f t="shared" si="199"/>
        <v>0</v>
      </c>
      <c r="AE334" s="1675">
        <f t="shared" si="199"/>
        <v>0</v>
      </c>
      <c r="AF334" s="1675">
        <f t="shared" si="199"/>
        <v>0</v>
      </c>
      <c r="AG334" s="1675">
        <f t="shared" si="199"/>
        <v>0</v>
      </c>
      <c r="AH334" s="1293"/>
      <c r="AI334" s="1293"/>
      <c r="AJ334" s="1293"/>
      <c r="AK334" s="1293"/>
      <c r="AL334" s="1293"/>
      <c r="AM334" s="1293"/>
      <c r="AN334" s="1293"/>
      <c r="AO334" s="1293"/>
      <c r="AP334" s="1293"/>
      <c r="AQ334" s="1293"/>
      <c r="AR334" s="1293"/>
      <c r="AS334" s="1293"/>
    </row>
    <row r="335" spans="1:45" ht="15.75">
      <c r="A335" s="1653"/>
      <c r="B335" s="1653"/>
      <c r="C335" s="1653"/>
      <c r="D335" s="1653"/>
      <c r="E335" s="1653"/>
      <c r="F335" s="1653"/>
      <c r="G335" s="1653"/>
      <c r="H335" s="1653"/>
      <c r="I335" s="1653"/>
      <c r="J335" s="1653"/>
      <c r="K335" s="1653"/>
      <c r="L335" s="1653"/>
      <c r="M335" s="1653"/>
      <c r="N335" s="1653"/>
      <c r="O335" s="1653"/>
      <c r="P335" s="1653"/>
      <c r="Q335" s="1653"/>
      <c r="R335" s="1653"/>
      <c r="S335" s="1653"/>
      <c r="T335" s="1653"/>
      <c r="U335" s="1653"/>
      <c r="V335" s="1653"/>
      <c r="W335" s="1653"/>
      <c r="X335" s="1653"/>
      <c r="Y335" s="1653"/>
      <c r="Z335" s="1653"/>
      <c r="AA335" s="1653"/>
      <c r="AB335" s="1653"/>
      <c r="AC335" s="1653"/>
      <c r="AD335" s="1653"/>
      <c r="AE335" s="1653"/>
      <c r="AF335" s="1653"/>
      <c r="AG335" s="1653"/>
      <c r="AH335" s="1293"/>
      <c r="AI335" s="1293"/>
      <c r="AJ335" s="1293"/>
      <c r="AK335" s="1293"/>
      <c r="AL335" s="1293"/>
      <c r="AM335" s="1293"/>
      <c r="AN335" s="1293"/>
      <c r="AO335" s="1293"/>
      <c r="AP335" s="1293"/>
      <c r="AQ335" s="1293"/>
      <c r="AR335" s="1293"/>
      <c r="AS335" s="1293"/>
    </row>
    <row r="336" spans="1:45" ht="15.75">
      <c r="A336" s="1653" t="s">
        <v>1670</v>
      </c>
      <c r="B336" s="1653"/>
      <c r="C336" s="1653"/>
      <c r="D336" s="1653"/>
      <c r="E336" s="1653"/>
      <c r="F336" s="1717">
        <v>103.45699999999999</v>
      </c>
      <c r="G336" s="1717">
        <v>0</v>
      </c>
      <c r="H336" s="1717">
        <v>0</v>
      </c>
      <c r="I336" s="1947">
        <f t="shared" ref="I336:AG336" si="200">H336</f>
        <v>0</v>
      </c>
      <c r="J336" s="1947">
        <f t="shared" si="200"/>
        <v>0</v>
      </c>
      <c r="K336" s="1947">
        <f t="shared" si="200"/>
        <v>0</v>
      </c>
      <c r="L336" s="1947">
        <f t="shared" si="200"/>
        <v>0</v>
      </c>
      <c r="M336" s="1947">
        <f t="shared" si="200"/>
        <v>0</v>
      </c>
      <c r="N336" s="1947">
        <f t="shared" si="200"/>
        <v>0</v>
      </c>
      <c r="O336" s="1947">
        <f t="shared" si="200"/>
        <v>0</v>
      </c>
      <c r="P336" s="1947">
        <f t="shared" si="200"/>
        <v>0</v>
      </c>
      <c r="Q336" s="1947">
        <f t="shared" si="200"/>
        <v>0</v>
      </c>
      <c r="R336" s="1947">
        <f t="shared" si="200"/>
        <v>0</v>
      </c>
      <c r="S336" s="1947">
        <f t="shared" si="200"/>
        <v>0</v>
      </c>
      <c r="T336" s="1947">
        <f t="shared" si="200"/>
        <v>0</v>
      </c>
      <c r="U336" s="1947">
        <f t="shared" si="200"/>
        <v>0</v>
      </c>
      <c r="V336" s="1947">
        <f t="shared" si="200"/>
        <v>0</v>
      </c>
      <c r="W336" s="1947">
        <f t="shared" si="200"/>
        <v>0</v>
      </c>
      <c r="X336" s="1947">
        <f t="shared" si="200"/>
        <v>0</v>
      </c>
      <c r="Y336" s="1947">
        <f t="shared" si="200"/>
        <v>0</v>
      </c>
      <c r="Z336" s="1947">
        <f t="shared" si="200"/>
        <v>0</v>
      </c>
      <c r="AA336" s="1947">
        <f t="shared" si="200"/>
        <v>0</v>
      </c>
      <c r="AB336" s="1947">
        <f t="shared" si="200"/>
        <v>0</v>
      </c>
      <c r="AC336" s="1947">
        <f t="shared" si="200"/>
        <v>0</v>
      </c>
      <c r="AD336" s="1947">
        <f t="shared" si="200"/>
        <v>0</v>
      </c>
      <c r="AE336" s="1947">
        <f t="shared" si="200"/>
        <v>0</v>
      </c>
      <c r="AF336" s="1947">
        <f t="shared" si="200"/>
        <v>0</v>
      </c>
      <c r="AG336" s="1947">
        <f t="shared" si="200"/>
        <v>0</v>
      </c>
      <c r="AH336" s="1293"/>
      <c r="AI336" s="1293"/>
      <c r="AJ336" s="1293"/>
      <c r="AK336" s="1293"/>
      <c r="AL336" s="1293"/>
      <c r="AM336" s="1293"/>
      <c r="AN336" s="1293"/>
      <c r="AO336" s="1293"/>
      <c r="AP336" s="1293"/>
      <c r="AQ336" s="1293"/>
      <c r="AR336" s="1293"/>
      <c r="AS336" s="1293"/>
    </row>
    <row r="337" spans="1:45" ht="15.75">
      <c r="A337" s="1653"/>
      <c r="B337" s="1653"/>
      <c r="C337" s="1653"/>
      <c r="D337" s="1653"/>
      <c r="E337" s="1653"/>
      <c r="F337" s="1653"/>
      <c r="G337" s="1653"/>
      <c r="H337" s="1653"/>
      <c r="I337" s="1653"/>
      <c r="J337" s="1653"/>
      <c r="K337" s="1653"/>
      <c r="L337" s="1653"/>
      <c r="M337" s="1653"/>
      <c r="N337" s="1653"/>
      <c r="O337" s="1653"/>
      <c r="P337" s="1653"/>
      <c r="Q337" s="1653"/>
      <c r="R337" s="1653"/>
      <c r="S337" s="1653"/>
      <c r="T337" s="1653"/>
      <c r="U337" s="1653"/>
      <c r="V337" s="1653"/>
      <c r="W337" s="1653"/>
      <c r="X337" s="1653"/>
      <c r="Y337" s="1653"/>
      <c r="Z337" s="1653"/>
      <c r="AA337" s="1653"/>
      <c r="AB337" s="1653"/>
      <c r="AC337" s="1653"/>
      <c r="AD337" s="1653"/>
      <c r="AE337" s="1653"/>
      <c r="AF337" s="1653"/>
      <c r="AG337" s="1653"/>
      <c r="AH337" s="1293"/>
      <c r="AI337" s="1293"/>
      <c r="AJ337" s="1293"/>
      <c r="AK337" s="1293"/>
      <c r="AL337" s="1293"/>
      <c r="AM337" s="1293"/>
      <c r="AN337" s="1293"/>
      <c r="AO337" s="1293"/>
      <c r="AP337" s="1293"/>
      <c r="AQ337" s="1293"/>
      <c r="AR337" s="1293"/>
      <c r="AS337" s="1293"/>
    </row>
    <row r="338" spans="1:45" ht="15.75">
      <c r="A338" s="1653" t="s">
        <v>755</v>
      </c>
      <c r="B338" s="1653"/>
      <c r="C338" s="1653"/>
      <c r="D338" s="1717"/>
      <c r="E338" s="1717"/>
      <c r="F338" s="1717">
        <f>1182.207-F333-F336-F421</f>
        <v>-43.693999999999846</v>
      </c>
      <c r="G338" s="1717">
        <f>1259.892-G333-G336-G421</f>
        <v>242.00600000000009</v>
      </c>
      <c r="H338" s="1717">
        <f>1070.14-H336-H421</f>
        <v>564.1640000000001</v>
      </c>
      <c r="I338" s="1717">
        <f>1442-I336-I421</f>
        <v>82.969000000000051</v>
      </c>
      <c r="J338" s="1717">
        <f>1043-J336-J421</f>
        <v>97.31899999999996</v>
      </c>
      <c r="K338" s="1717">
        <f>1812.554-K336-K421</f>
        <v>151.05400000000009</v>
      </c>
      <c r="L338" s="1717">
        <f ca="1">2068-L336-L421</f>
        <v>156</v>
      </c>
      <c r="M338" s="1717">
        <f ca="1">2090-M336-M421</f>
        <v>293.42799999999988</v>
      </c>
      <c r="N338" s="1717">
        <f ca="1">2138-N336-N421</f>
        <v>201</v>
      </c>
      <c r="O338" s="1717">
        <f ca="1">2877-O336-O421-O327</f>
        <v>198</v>
      </c>
      <c r="P338" s="1717">
        <f>3861-P336-P421-P327</f>
        <v>207</v>
      </c>
      <c r="Q338" s="1717">
        <f>4976-Q336-Q421-Q327</f>
        <v>250</v>
      </c>
      <c r="R338" s="1717">
        <f>5656-R336-R421-R327</f>
        <v>240</v>
      </c>
      <c r="S338" s="1717">
        <f>5742-S336-S421-S327</f>
        <v>335</v>
      </c>
      <c r="T338" s="1717">
        <f>5450-T336-T421-T327</f>
        <v>317</v>
      </c>
      <c r="U338" s="1717">
        <f>6074-U336-U421-U327</f>
        <v>344</v>
      </c>
      <c r="V338" s="1717">
        <f>9117-V140</f>
        <v>829</v>
      </c>
      <c r="W338" s="1717">
        <f>8707-W140</f>
        <v>1224</v>
      </c>
      <c r="X338" s="1717">
        <f>8252-X140</f>
        <v>1086</v>
      </c>
      <c r="Y338" s="1717">
        <f>8445-Y140</f>
        <v>934</v>
      </c>
      <c r="Z338" s="1717">
        <f>8742-Z140</f>
        <v>1306</v>
      </c>
      <c r="AA338" s="1717">
        <f>7050-AA140</f>
        <v>565</v>
      </c>
      <c r="AB338" s="1675">
        <f t="shared" ref="AB338:AG338" si="201">AB340*AB5</f>
        <v>441.91637531068307</v>
      </c>
      <c r="AC338" s="1675">
        <f t="shared" si="201"/>
        <v>392.21370697569495</v>
      </c>
      <c r="AD338" s="1675">
        <f t="shared" si="201"/>
        <v>341.83562260861834</v>
      </c>
      <c r="AE338" s="1675">
        <f t="shared" si="201"/>
        <v>289.93122014537079</v>
      </c>
      <c r="AF338" s="1675">
        <f t="shared" si="201"/>
        <v>264.69213080195465</v>
      </c>
      <c r="AG338" s="1675">
        <f t="shared" si="201"/>
        <v>238.08022340527509</v>
      </c>
      <c r="AH338" s="1293"/>
      <c r="AI338" s="1293"/>
      <c r="AJ338" s="1293"/>
      <c r="AK338" s="1293"/>
      <c r="AL338" s="1293"/>
      <c r="AM338" s="1293"/>
      <c r="AN338" s="1293"/>
      <c r="AO338" s="1293"/>
      <c r="AP338" s="1293"/>
      <c r="AQ338" s="1293"/>
      <c r="AR338" s="1293"/>
      <c r="AS338" s="1293"/>
    </row>
    <row r="339" spans="1:45" ht="15.75">
      <c r="A339" s="1653" t="s">
        <v>2328</v>
      </c>
      <c r="B339" s="1653"/>
      <c r="C339" s="1653"/>
      <c r="D339" s="1666"/>
      <c r="E339" s="1666"/>
      <c r="F339" s="1666">
        <f t="shared" ref="F339:AG339" si="202">F338-E338</f>
        <v>-43.693999999999846</v>
      </c>
      <c r="G339" s="1666">
        <f t="shared" si="202"/>
        <v>285.69999999999993</v>
      </c>
      <c r="H339" s="1666">
        <f t="shared" si="202"/>
        <v>322.15800000000002</v>
      </c>
      <c r="I339" s="1666">
        <f t="shared" si="202"/>
        <v>-481.19500000000005</v>
      </c>
      <c r="J339" s="1666">
        <f t="shared" si="202"/>
        <v>14.349999999999909</v>
      </c>
      <c r="K339" s="1666">
        <f t="shared" si="202"/>
        <v>53.735000000000127</v>
      </c>
      <c r="L339" s="1666">
        <f t="shared" ca="1" si="202"/>
        <v>4.9459999999999127</v>
      </c>
      <c r="M339" s="1666">
        <f t="shared" ca="1" si="202"/>
        <v>137.42799999999988</v>
      </c>
      <c r="N339" s="1666">
        <f t="shared" ca="1" si="202"/>
        <v>-92.427999999999884</v>
      </c>
      <c r="O339" s="1666">
        <f t="shared" ca="1" si="202"/>
        <v>-3</v>
      </c>
      <c r="P339" s="1666">
        <f t="shared" ca="1" si="202"/>
        <v>9</v>
      </c>
      <c r="Q339" s="1666">
        <f t="shared" si="202"/>
        <v>43</v>
      </c>
      <c r="R339" s="1666">
        <f t="shared" si="202"/>
        <v>-10</v>
      </c>
      <c r="S339" s="1666">
        <f t="shared" si="202"/>
        <v>95</v>
      </c>
      <c r="T339" s="1666">
        <f t="shared" si="202"/>
        <v>-18</v>
      </c>
      <c r="U339" s="1666">
        <f t="shared" si="202"/>
        <v>27</v>
      </c>
      <c r="V339" s="1666">
        <f t="shared" si="202"/>
        <v>485</v>
      </c>
      <c r="W339" s="1666">
        <f t="shared" si="202"/>
        <v>395</v>
      </c>
      <c r="X339" s="1666">
        <f t="shared" si="202"/>
        <v>-138</v>
      </c>
      <c r="Y339" s="1666">
        <f t="shared" si="202"/>
        <v>-152</v>
      </c>
      <c r="Z339" s="1666">
        <f t="shared" si="202"/>
        <v>372</v>
      </c>
      <c r="AA339" s="1666">
        <f t="shared" si="202"/>
        <v>-741</v>
      </c>
      <c r="AB339" s="1666">
        <f t="shared" si="202"/>
        <v>-123.08362468931693</v>
      </c>
      <c r="AC339" s="1666">
        <f t="shared" si="202"/>
        <v>-49.702668334988118</v>
      </c>
      <c r="AD339" s="1666">
        <f t="shared" si="202"/>
        <v>-50.37808436707661</v>
      </c>
      <c r="AE339" s="1666">
        <f t="shared" si="202"/>
        <v>-51.90440246324755</v>
      </c>
      <c r="AF339" s="1666">
        <f t="shared" si="202"/>
        <v>-25.23908934341614</v>
      </c>
      <c r="AG339" s="1666">
        <f t="shared" si="202"/>
        <v>-26.611907396679555</v>
      </c>
      <c r="AH339" s="1293"/>
      <c r="AI339" s="1293"/>
      <c r="AJ339" s="1293"/>
      <c r="AK339" s="1293"/>
      <c r="AL339" s="1293"/>
      <c r="AM339" s="1293"/>
      <c r="AN339" s="1293"/>
      <c r="AO339" s="1293"/>
      <c r="AP339" s="1293"/>
      <c r="AQ339" s="1293"/>
      <c r="AR339" s="1293"/>
      <c r="AS339" s="1293"/>
    </row>
    <row r="340" spans="1:45" ht="15.75">
      <c r="A340" s="1653" t="s">
        <v>1431</v>
      </c>
      <c r="B340" s="1653"/>
      <c r="C340" s="1653"/>
      <c r="D340" s="1688"/>
      <c r="E340" s="1688"/>
      <c r="F340" s="1688">
        <f t="shared" ref="F340:AA340" si="203">F338/F5</f>
        <v>-6.8156009783368054E-2</v>
      </c>
      <c r="G340" s="1688">
        <f t="shared" si="203"/>
        <v>0.26263435258981449</v>
      </c>
      <c r="H340" s="1688">
        <f t="shared" si="203"/>
        <v>0.52076692946674763</v>
      </c>
      <c r="I340" s="1688">
        <f t="shared" si="203"/>
        <v>5.0896543262889948E-2</v>
      </c>
      <c r="J340" s="1688">
        <f t="shared" si="203"/>
        <v>3.6991536939652458E-2</v>
      </c>
      <c r="K340" s="1688">
        <f t="shared" si="203"/>
        <v>4.4455005590321499E-2</v>
      </c>
      <c r="L340" s="1688">
        <f t="shared" ca="1" si="203"/>
        <v>4.3617269671458382E-2</v>
      </c>
      <c r="M340" s="1688">
        <f t="shared" ca="1" si="203"/>
        <v>7.2896865277414083E-2</v>
      </c>
      <c r="N340" s="1688" t="e">
        <f t="shared" ca="1" si="203"/>
        <v>#DIV/0!</v>
      </c>
      <c r="O340" s="1688" t="e">
        <f t="shared" ca="1" si="203"/>
        <v>#DIV/0!</v>
      </c>
      <c r="P340" s="1688" t="e">
        <f t="shared" si="203"/>
        <v>#DIV/0!</v>
      </c>
      <c r="Q340" s="1688">
        <f t="shared" si="203"/>
        <v>3.914806946454779E-2</v>
      </c>
      <c r="R340" s="1688">
        <f t="shared" si="203"/>
        <v>3.5660494909031427E-2</v>
      </c>
      <c r="S340" s="1688">
        <f t="shared" si="203"/>
        <v>5.3609590380992674E-2</v>
      </c>
      <c r="T340" s="1688">
        <f t="shared" si="203"/>
        <v>5.2061093775661031E-2</v>
      </c>
      <c r="U340" s="1688">
        <f t="shared" si="203"/>
        <v>5.7218895542248835E-2</v>
      </c>
      <c r="V340" s="1688">
        <f t="shared" si="203"/>
        <v>0.13012086014754357</v>
      </c>
      <c r="W340" s="1688">
        <f t="shared" si="203"/>
        <v>0.19640564826700899</v>
      </c>
      <c r="X340" s="1688">
        <f t="shared" si="203"/>
        <v>0.16524650030432136</v>
      </c>
      <c r="Y340" s="1688">
        <f t="shared" si="203"/>
        <v>0.16605831953958819</v>
      </c>
      <c r="Z340" s="1688">
        <f t="shared" si="203"/>
        <v>0.23070128952481894</v>
      </c>
      <c r="AA340" s="1688">
        <f t="shared" si="203"/>
        <v>9.7342310281387845E-2</v>
      </c>
      <c r="AB340" s="1941">
        <v>0.08</v>
      </c>
      <c r="AC340" s="1941">
        <v>7.0000000000000007E-2</v>
      </c>
      <c r="AD340" s="1941">
        <v>0.06</v>
      </c>
      <c r="AE340" s="1941">
        <v>0.05</v>
      </c>
      <c r="AF340" s="1941">
        <v>4.4999999999999998E-2</v>
      </c>
      <c r="AG340" s="1941">
        <v>0.04</v>
      </c>
      <c r="AH340" s="1293"/>
      <c r="AI340" s="1293"/>
      <c r="AJ340" s="1293"/>
      <c r="AK340" s="1293"/>
      <c r="AL340" s="1293"/>
      <c r="AM340" s="1293"/>
      <c r="AN340" s="1293"/>
      <c r="AO340" s="1293"/>
      <c r="AP340" s="1293"/>
      <c r="AQ340" s="1293"/>
      <c r="AR340" s="1293"/>
      <c r="AS340" s="1293"/>
    </row>
    <row r="341" spans="1:45" ht="15.75">
      <c r="A341" s="1653"/>
      <c r="B341" s="1653"/>
      <c r="C341" s="1653"/>
      <c r="D341" s="1688"/>
      <c r="E341" s="1688"/>
      <c r="F341" s="1688"/>
      <c r="G341" s="1688"/>
      <c r="H341" s="1688"/>
      <c r="I341" s="1688"/>
      <c r="J341" s="1688"/>
      <c r="K341" s="1688"/>
      <c r="L341" s="1688"/>
      <c r="M341" s="1688"/>
      <c r="N341" s="1688"/>
      <c r="O341" s="1688"/>
      <c r="P341" s="1688"/>
      <c r="Q341" s="1688"/>
      <c r="R341" s="1688"/>
      <c r="S341" s="1688"/>
      <c r="T341" s="1688"/>
      <c r="U341" s="1688"/>
      <c r="V341" s="1688"/>
      <c r="W341" s="1688"/>
      <c r="X341" s="1688"/>
      <c r="Y341" s="1688"/>
      <c r="Z341" s="1688"/>
      <c r="AA341" s="1688"/>
      <c r="AB341" s="1688"/>
      <c r="AC341" s="1688"/>
      <c r="AD341" s="1688"/>
      <c r="AE341" s="1688"/>
      <c r="AF341" s="1688"/>
      <c r="AG341" s="1688"/>
      <c r="AH341" s="1293"/>
      <c r="AI341" s="1293"/>
      <c r="AJ341" s="1293"/>
      <c r="AK341" s="1293"/>
      <c r="AL341" s="1293"/>
      <c r="AM341" s="1293"/>
      <c r="AN341" s="1293"/>
      <c r="AO341" s="1293"/>
      <c r="AP341" s="1293"/>
      <c r="AQ341" s="1293"/>
      <c r="AR341" s="1293"/>
      <c r="AS341" s="1293"/>
    </row>
    <row r="342" spans="1:45" ht="15.75">
      <c r="A342" s="1706" t="s">
        <v>110</v>
      </c>
      <c r="B342" s="1706"/>
      <c r="C342" s="1653"/>
      <c r="D342" s="1653"/>
      <c r="E342" s="1653"/>
      <c r="F342" s="1653"/>
      <c r="G342" s="1653"/>
      <c r="H342" s="1653"/>
      <c r="I342" s="1653"/>
      <c r="J342" s="1653"/>
      <c r="K342" s="1653"/>
      <c r="L342" s="1653"/>
      <c r="M342" s="1653"/>
      <c r="N342" s="1653"/>
      <c r="O342" s="1653"/>
      <c r="P342" s="1653"/>
      <c r="Q342" s="1653"/>
      <c r="R342" s="1653"/>
      <c r="S342" s="1653"/>
      <c r="T342" s="1653"/>
      <c r="U342" s="1653"/>
      <c r="V342" s="1653"/>
      <c r="W342" s="1653"/>
      <c r="X342" s="1653"/>
      <c r="Y342" s="1653"/>
      <c r="Z342" s="1653"/>
      <c r="AA342" s="1653"/>
      <c r="AB342" s="1653"/>
      <c r="AC342" s="1653"/>
      <c r="AD342" s="1653"/>
      <c r="AE342" s="1653"/>
      <c r="AF342" s="1653"/>
      <c r="AG342" s="1653"/>
      <c r="AH342" s="1293"/>
      <c r="AI342" s="1293"/>
      <c r="AJ342" s="1293"/>
      <c r="AK342" s="1293"/>
      <c r="AL342" s="1293"/>
      <c r="AM342" s="1293"/>
      <c r="AN342" s="1293"/>
      <c r="AO342" s="1293"/>
      <c r="AP342" s="1293"/>
      <c r="AQ342" s="1293"/>
      <c r="AR342" s="1293"/>
      <c r="AS342" s="1293"/>
    </row>
    <row r="343" spans="1:45" ht="15.75">
      <c r="A343" s="1653" t="s">
        <v>618</v>
      </c>
      <c r="B343" s="1653"/>
      <c r="C343" s="1653"/>
      <c r="D343" s="1895"/>
      <c r="E343" s="1895"/>
      <c r="F343" s="1904">
        <v>-14.695</v>
      </c>
      <c r="G343" s="1904">
        <v>-16.79</v>
      </c>
      <c r="H343" s="1904">
        <v>6.1319999999999997</v>
      </c>
      <c r="I343" s="1904">
        <v>8.9640000000000004</v>
      </c>
      <c r="J343" s="1904">
        <v>-13</v>
      </c>
      <c r="K343" s="1904">
        <v>113.075</v>
      </c>
      <c r="L343" s="1904">
        <v>-5</v>
      </c>
      <c r="M343" s="1904">
        <v>-2.6</v>
      </c>
      <c r="N343" s="1904">
        <v>-204</v>
      </c>
      <c r="O343" s="1904">
        <v>4</v>
      </c>
      <c r="P343" s="1904">
        <v>-204</v>
      </c>
      <c r="Q343" s="2216">
        <v>-157</v>
      </c>
      <c r="R343" s="2216">
        <v>-115</v>
      </c>
      <c r="S343" s="2216">
        <v>-38</v>
      </c>
      <c r="T343" s="2216">
        <v>-102</v>
      </c>
      <c r="U343" s="2216">
        <v>-113</v>
      </c>
      <c r="V343" s="2216">
        <v>-152</v>
      </c>
      <c r="W343" s="2216">
        <v>-99</v>
      </c>
      <c r="X343" s="2216">
        <v>-121</v>
      </c>
      <c r="Y343" s="2216">
        <v>48</v>
      </c>
      <c r="Z343" s="2216">
        <v>163</v>
      </c>
      <c r="AA343" s="2216">
        <v>-15</v>
      </c>
      <c r="AB343" s="1666">
        <f t="shared" ref="AB343:AG343" ca="1" si="204">AB345+AB347+AB349+AB351</f>
        <v>25.325811405010896</v>
      </c>
      <c r="AC343" s="1666">
        <f t="shared" ca="1" si="204"/>
        <v>25.325811405010896</v>
      </c>
      <c r="AD343" s="1666">
        <f t="shared" ca="1" si="204"/>
        <v>25.325811405010896</v>
      </c>
      <c r="AE343" s="1666">
        <f t="shared" ca="1" si="204"/>
        <v>25.325811405010896</v>
      </c>
      <c r="AF343" s="1666">
        <f t="shared" ca="1" si="204"/>
        <v>25.325811405010896</v>
      </c>
      <c r="AG343" s="1666">
        <f t="shared" ca="1" si="204"/>
        <v>25.325811405010896</v>
      </c>
      <c r="AH343" s="1293"/>
      <c r="AI343" s="1293"/>
      <c r="AJ343" s="1293"/>
      <c r="AK343" s="1293"/>
      <c r="AL343" s="1293"/>
      <c r="AM343" s="1293"/>
      <c r="AN343" s="1293"/>
      <c r="AO343" s="1293"/>
      <c r="AP343" s="1293"/>
      <c r="AQ343" s="1293"/>
      <c r="AR343" s="1293"/>
      <c r="AS343" s="1293"/>
    </row>
    <row r="344" spans="1:45" ht="15.75">
      <c r="A344" s="1653"/>
      <c r="B344" s="1653"/>
      <c r="C344" s="1653"/>
      <c r="D344" s="1653"/>
      <c r="E344" s="1653"/>
      <c r="F344" s="1653"/>
      <c r="G344" s="1653"/>
      <c r="H344" s="1653"/>
      <c r="I344" s="1653"/>
      <c r="J344" s="1653"/>
      <c r="K344" s="1653"/>
      <c r="L344" s="1653"/>
      <c r="M344" s="1653"/>
      <c r="N344" s="1653"/>
      <c r="O344" s="1653"/>
      <c r="P344" s="1653"/>
      <c r="Q344" s="1653"/>
      <c r="R344" s="1653"/>
      <c r="S344" s="1653"/>
      <c r="T344" s="1653"/>
      <c r="U344" s="1653"/>
      <c r="V344" s="1653"/>
      <c r="W344" s="1653"/>
      <c r="X344" s="1653"/>
      <c r="Y344" s="1653"/>
      <c r="Z344" s="1653"/>
      <c r="AA344" s="1653"/>
      <c r="AB344" s="1653"/>
      <c r="AC344" s="1653"/>
      <c r="AD344" s="1653"/>
      <c r="AE344" s="1653"/>
      <c r="AF344" s="1653"/>
      <c r="AG344" s="1653"/>
      <c r="AH344" s="1293"/>
      <c r="AI344" s="1293"/>
      <c r="AJ344" s="1293"/>
      <c r="AK344" s="1293"/>
      <c r="AL344" s="1293"/>
      <c r="AM344" s="1293"/>
      <c r="AN344" s="1293"/>
      <c r="AO344" s="1293"/>
      <c r="AP344" s="1293"/>
      <c r="AQ344" s="1293"/>
      <c r="AR344" s="1293"/>
      <c r="AS344" s="1293"/>
    </row>
    <row r="345" spans="1:45" ht="15.75">
      <c r="A345" s="1653" t="s">
        <v>3884</v>
      </c>
      <c r="B345" s="1653"/>
      <c r="C345" s="1653"/>
      <c r="D345" s="1895"/>
      <c r="E345" s="1895"/>
      <c r="F345" s="1904"/>
      <c r="G345" s="1904"/>
      <c r="H345" s="1904"/>
      <c r="I345" s="1904"/>
      <c r="J345" s="1904"/>
      <c r="K345" s="1904"/>
      <c r="L345" s="1904"/>
      <c r="M345" s="1904"/>
      <c r="N345" s="1904"/>
      <c r="O345" s="1666">
        <f>-(1-SOP!$C$15)*CA!M173</f>
        <v>0</v>
      </c>
      <c r="P345" s="1666">
        <f>-(1-SOP!$C$15)*CA!N173</f>
        <v>0</v>
      </c>
      <c r="Q345" s="1904">
        <v>-157</v>
      </c>
      <c r="R345" s="1904">
        <v>-148</v>
      </c>
      <c r="S345" s="1666">
        <f>-(1-Quarts!$B$123)*CA!Q209</f>
        <v>-109.99389403843826</v>
      </c>
      <c r="T345" s="1666">
        <f>-(1-Quarts!$B$123)*CA!R209</f>
        <v>-144</v>
      </c>
      <c r="U345" s="1666">
        <f>-(1-Quarts!$B$123)*CA!S209</f>
        <v>-151.19999999999999</v>
      </c>
      <c r="V345" s="1904">
        <v>-125</v>
      </c>
      <c r="W345" s="1904">
        <v>-119</v>
      </c>
      <c r="X345" s="1904">
        <v>-146</v>
      </c>
      <c r="Y345" s="1666">
        <v>0</v>
      </c>
      <c r="Z345" s="1666">
        <v>0</v>
      </c>
      <c r="AA345" s="1666">
        <v>0</v>
      </c>
      <c r="AB345" s="1666">
        <v>0</v>
      </c>
      <c r="AC345" s="1666">
        <v>0</v>
      </c>
      <c r="AD345" s="1666">
        <v>0</v>
      </c>
      <c r="AE345" s="1666">
        <v>0</v>
      </c>
      <c r="AF345" s="1666">
        <v>0</v>
      </c>
      <c r="AG345" s="1666">
        <v>0</v>
      </c>
      <c r="AH345" s="1293"/>
      <c r="AI345" s="1293"/>
      <c r="AJ345" s="1293"/>
      <c r="AK345" s="1293"/>
      <c r="AL345" s="1293"/>
      <c r="AM345" s="1293"/>
      <c r="AN345" s="1293"/>
      <c r="AO345" s="1293"/>
      <c r="AP345" s="1293"/>
      <c r="AQ345" s="1293"/>
      <c r="AR345" s="1293"/>
      <c r="AS345" s="1293"/>
    </row>
    <row r="346" spans="1:45" ht="15.75">
      <c r="A346" s="1653"/>
      <c r="B346" s="1653"/>
      <c r="C346" s="1653"/>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293"/>
      <c r="AI346" s="1293"/>
      <c r="AJ346" s="1293"/>
      <c r="AK346" s="1293"/>
      <c r="AL346" s="1293"/>
      <c r="AM346" s="1293"/>
      <c r="AN346" s="1293"/>
      <c r="AO346" s="1293"/>
      <c r="AP346" s="1293"/>
      <c r="AQ346" s="1293"/>
      <c r="AR346" s="1293"/>
      <c r="AS346" s="1293"/>
    </row>
    <row r="347" spans="1:45" ht="15.75">
      <c r="A347" s="1653" t="s">
        <v>7408</v>
      </c>
      <c r="B347" s="1653"/>
      <c r="C347" s="1653"/>
      <c r="D347" s="1666"/>
      <c r="E347" s="1666"/>
      <c r="F347" s="1666"/>
      <c r="G347" s="1666"/>
      <c r="H347" s="1666"/>
      <c r="I347" s="1666"/>
      <c r="J347" s="1666"/>
      <c r="K347" s="1666"/>
      <c r="L347" s="1666"/>
      <c r="M347" s="1666"/>
      <c r="N347" s="1666"/>
      <c r="O347" s="1666"/>
      <c r="P347" s="1666"/>
      <c r="Q347" s="1904">
        <v>-23</v>
      </c>
      <c r="R347" s="1904">
        <v>-20</v>
      </c>
      <c r="S347" s="1666">
        <f>-(1-Quarts!$B$124)*CA!Q261</f>
        <v>-30.422427380206816</v>
      </c>
      <c r="T347" s="1666">
        <f>-(1-Quarts!$B$124)*CA!R261</f>
        <v>-33.433868483004453</v>
      </c>
      <c r="U347" s="1666">
        <f>-(1-Quarts!$B$124)*CA!S261</f>
        <v>13.985999999999999</v>
      </c>
      <c r="V347" s="1666">
        <f>-(1-Quarts!$B$124)*CA!T261</f>
        <v>-14.057555956904896</v>
      </c>
      <c r="W347" s="1904">
        <v>-21</v>
      </c>
      <c r="X347" s="1904">
        <v>-22</v>
      </c>
      <c r="Y347" s="1666">
        <v>0</v>
      </c>
      <c r="Z347" s="1666">
        <v>0</v>
      </c>
      <c r="AA347" s="1666">
        <v>0</v>
      </c>
      <c r="AB347" s="1666">
        <v>0</v>
      </c>
      <c r="AC347" s="1666">
        <v>0</v>
      </c>
      <c r="AD347" s="1666">
        <v>0</v>
      </c>
      <c r="AE347" s="1666">
        <v>0</v>
      </c>
      <c r="AF347" s="1666">
        <v>0</v>
      </c>
      <c r="AG347" s="1666">
        <v>0</v>
      </c>
      <c r="AH347" s="1293"/>
      <c r="AI347" s="1293"/>
      <c r="AJ347" s="1293"/>
      <c r="AK347" s="1293"/>
      <c r="AL347" s="1293"/>
      <c r="AM347" s="1293"/>
      <c r="AN347" s="1293"/>
      <c r="AO347" s="1293"/>
      <c r="AP347" s="1293"/>
      <c r="AQ347" s="1293"/>
      <c r="AR347" s="1293"/>
      <c r="AS347" s="1293"/>
    </row>
    <row r="348" spans="1:45" ht="15.75">
      <c r="A348" s="1653"/>
      <c r="B348" s="1653"/>
      <c r="C348" s="1653"/>
      <c r="D348" s="1653"/>
      <c r="E348" s="1653"/>
      <c r="F348" s="1653"/>
      <c r="G348" s="1653"/>
      <c r="H348" s="1653"/>
      <c r="I348" s="1653"/>
      <c r="J348" s="1653"/>
      <c r="K348" s="1653"/>
      <c r="L348" s="1653"/>
      <c r="M348" s="1653"/>
      <c r="N348" s="1653"/>
      <c r="O348" s="1653"/>
      <c r="P348" s="1653"/>
      <c r="Q348" s="1653"/>
      <c r="R348" s="1653"/>
      <c r="S348" s="1653"/>
      <c r="T348" s="1653"/>
      <c r="U348" s="1653"/>
      <c r="V348" s="1653"/>
      <c r="W348" s="1653"/>
      <c r="X348" s="1653"/>
      <c r="Y348" s="1666"/>
      <c r="Z348" s="1666"/>
      <c r="AA348" s="1666"/>
      <c r="AB348" s="1666"/>
      <c r="AC348" s="1666"/>
      <c r="AD348" s="1666"/>
      <c r="AE348" s="1666"/>
      <c r="AF348" s="1666"/>
      <c r="AG348" s="1666"/>
      <c r="AH348" s="1293"/>
      <c r="AI348" s="1293"/>
      <c r="AJ348" s="1293"/>
      <c r="AK348" s="1293"/>
      <c r="AL348" s="1293"/>
      <c r="AM348" s="1293"/>
      <c r="AN348" s="1293"/>
      <c r="AO348" s="1293"/>
      <c r="AP348" s="1293"/>
      <c r="AQ348" s="1293"/>
      <c r="AR348" s="1293"/>
      <c r="AS348" s="1293"/>
    </row>
    <row r="349" spans="1:45" ht="15.75">
      <c r="A349" s="1653" t="s">
        <v>5479</v>
      </c>
      <c r="B349" s="1653"/>
      <c r="C349" s="1653"/>
      <c r="D349" s="1895"/>
      <c r="E349" s="1895"/>
      <c r="F349" s="1904"/>
      <c r="G349" s="1904"/>
      <c r="H349" s="1904"/>
      <c r="I349" s="1904"/>
      <c r="J349" s="1904"/>
      <c r="K349" s="1904"/>
      <c r="L349" s="1904"/>
      <c r="M349" s="1904"/>
      <c r="N349" s="1904"/>
      <c r="O349" s="1666">
        <f>-Colombia!I77*50%</f>
        <v>12.445149915002023</v>
      </c>
      <c r="P349" s="1666">
        <f>-Colombia!J77*50%</f>
        <v>25.706999999999997</v>
      </c>
      <c r="Q349" s="1904">
        <v>13</v>
      </c>
      <c r="R349" s="1904">
        <v>50</v>
      </c>
      <c r="S349" s="1666" t="e">
        <f ca="1">-Colombia!M77*(1-SOP!#REF!)-Colombia!M250*(1-SOP!$C$11)</f>
        <v>#REF!</v>
      </c>
      <c r="T349" s="1666" t="e">
        <f ca="1">-Colombia!N77*(1-SOP!#REF!)-Colombia!N250*(1-SOP!$C$11)</f>
        <v>#REF!</v>
      </c>
      <c r="U349" s="1666" t="e">
        <f ca="1">-Colombia!O77*(1-SOP!#REF!)-Colombia!O250*(1-SOP!$C$11)</f>
        <v>#REF!</v>
      </c>
      <c r="V349" s="1666" t="e">
        <f ca="1">-Colombia!P77*(1-SOP!#REF!)-Colombia!P250*(1-SOP!$C$11)+50</f>
        <v>#REF!</v>
      </c>
      <c r="W349" s="2216">
        <v>23</v>
      </c>
      <c r="X349" s="2216">
        <v>40</v>
      </c>
      <c r="Y349" s="2216">
        <v>52</v>
      </c>
      <c r="Z349" s="2216">
        <v>163</v>
      </c>
      <c r="AA349" s="2216">
        <v>-15</v>
      </c>
      <c r="AB349" s="2522">
        <f ca="1">-Colombia!V77*(1-SOP!$C$11)-Colombia!V250*(1-SOP!$C$11)+79+25</f>
        <v>25.325811405010896</v>
      </c>
      <c r="AC349" s="2522">
        <f ca="1">AB349</f>
        <v>25.325811405010896</v>
      </c>
      <c r="AD349" s="2522">
        <f t="shared" ref="AD349:AG349" ca="1" si="205">AC349</f>
        <v>25.325811405010896</v>
      </c>
      <c r="AE349" s="2522">
        <f t="shared" ca="1" si="205"/>
        <v>25.325811405010896</v>
      </c>
      <c r="AF349" s="2522">
        <f t="shared" ca="1" si="205"/>
        <v>25.325811405010896</v>
      </c>
      <c r="AG349" s="2522">
        <f t="shared" ca="1" si="205"/>
        <v>25.325811405010896</v>
      </c>
      <c r="AH349" s="1293"/>
      <c r="AI349" s="1293"/>
      <c r="AJ349" s="1293"/>
      <c r="AK349" s="1293"/>
      <c r="AL349" s="1293"/>
      <c r="AM349" s="1293"/>
      <c r="AN349" s="1293"/>
      <c r="AO349" s="1293"/>
      <c r="AP349" s="1293"/>
      <c r="AQ349" s="1293"/>
      <c r="AR349" s="1293"/>
      <c r="AS349" s="1293"/>
    </row>
    <row r="350" spans="1:45" ht="15.75">
      <c r="A350" s="1653"/>
      <c r="B350" s="1653"/>
      <c r="C350" s="1653"/>
      <c r="D350" s="1653"/>
      <c r="E350" s="1653"/>
      <c r="F350" s="1653"/>
      <c r="G350" s="1653"/>
      <c r="H350" s="1653"/>
      <c r="I350" s="1653"/>
      <c r="J350" s="1653"/>
      <c r="K350" s="1653"/>
      <c r="L350" s="1653"/>
      <c r="M350" s="1653"/>
      <c r="N350" s="1653"/>
      <c r="O350" s="1653"/>
      <c r="P350" s="1653"/>
      <c r="Q350" s="1653"/>
      <c r="R350" s="1653"/>
      <c r="S350" s="1653"/>
      <c r="T350" s="1653"/>
      <c r="U350" s="1653"/>
      <c r="V350" s="1653"/>
      <c r="W350" s="1653"/>
      <c r="X350" s="1653"/>
      <c r="Y350" s="1653"/>
      <c r="Z350" s="1653"/>
      <c r="AA350" s="1653"/>
      <c r="AB350" s="1653"/>
      <c r="AC350" s="1653"/>
      <c r="AD350" s="1653"/>
      <c r="AE350" s="1653"/>
      <c r="AF350" s="1653"/>
      <c r="AG350" s="1653"/>
      <c r="AH350" s="1293"/>
      <c r="AI350" s="1293"/>
      <c r="AJ350" s="1293"/>
      <c r="AK350" s="1293"/>
      <c r="AL350" s="1293"/>
      <c r="AM350" s="1293"/>
      <c r="AN350" s="1293"/>
      <c r="AO350" s="1293"/>
      <c r="AP350" s="1293"/>
      <c r="AQ350" s="1293"/>
      <c r="AR350" s="1293"/>
      <c r="AS350" s="1293"/>
    </row>
    <row r="351" spans="1:45" ht="15.75">
      <c r="A351" s="1653" t="s">
        <v>5480</v>
      </c>
      <c r="B351" s="1653"/>
      <c r="C351" s="1653"/>
      <c r="D351" s="1653"/>
      <c r="E351" s="1653"/>
      <c r="F351" s="1653"/>
      <c r="G351" s="1653"/>
      <c r="H351" s="1653"/>
      <c r="I351" s="1653"/>
      <c r="J351" s="1653"/>
      <c r="K351" s="1653"/>
      <c r="L351" s="1653"/>
      <c r="M351" s="1653"/>
      <c r="N351" s="1653"/>
      <c r="O351" s="1653"/>
      <c r="P351" s="1653"/>
      <c r="Q351" s="1653"/>
      <c r="R351" s="1653"/>
      <c r="S351" s="1653"/>
      <c r="T351" s="1653"/>
      <c r="U351" s="1653"/>
      <c r="V351" s="1666">
        <f>-0.2*Onda!E46</f>
        <v>-6.819</v>
      </c>
      <c r="W351" s="2216">
        <v>17</v>
      </c>
      <c r="X351" s="2216">
        <v>7</v>
      </c>
      <c r="Y351" s="2216">
        <v>-4</v>
      </c>
      <c r="Z351" s="2216">
        <v>0</v>
      </c>
      <c r="AA351" s="2216">
        <v>0</v>
      </c>
      <c r="AB351" s="1666">
        <f>0*Onda!K46</f>
        <v>0</v>
      </c>
      <c r="AC351" s="1666">
        <f>0*Onda!L46</f>
        <v>0</v>
      </c>
      <c r="AD351" s="1666">
        <f>0*Onda!M46</f>
        <v>0</v>
      </c>
      <c r="AE351" s="1666">
        <f>0*Onda!N46</f>
        <v>0</v>
      </c>
      <c r="AF351" s="1666">
        <f>0*Onda!O46</f>
        <v>0</v>
      </c>
      <c r="AG351" s="1666">
        <f>0*Onda!P46</f>
        <v>0</v>
      </c>
      <c r="AH351" s="1293"/>
      <c r="AI351" s="1293"/>
      <c r="AJ351" s="1293"/>
      <c r="AK351" s="1293"/>
      <c r="AL351" s="1293"/>
      <c r="AM351" s="1293"/>
      <c r="AN351" s="1293"/>
      <c r="AO351" s="1293"/>
      <c r="AP351" s="1293"/>
      <c r="AQ351" s="1293"/>
      <c r="AR351" s="1293"/>
      <c r="AS351" s="1293"/>
    </row>
    <row r="352" spans="1:45" ht="15.75">
      <c r="A352" s="1653"/>
      <c r="B352" s="1653"/>
      <c r="C352" s="1653"/>
      <c r="D352" s="1653"/>
      <c r="E352" s="1653"/>
      <c r="F352" s="1653"/>
      <c r="G352" s="1653"/>
      <c r="H352" s="1653"/>
      <c r="I352" s="1653"/>
      <c r="J352" s="1653"/>
      <c r="K352" s="1653"/>
      <c r="L352" s="1653"/>
      <c r="M352" s="1653"/>
      <c r="N352" s="1653"/>
      <c r="O352" s="1653"/>
      <c r="P352" s="1653"/>
      <c r="Q352" s="1653"/>
      <c r="R352" s="1653"/>
      <c r="S352" s="1653"/>
      <c r="T352" s="1653"/>
      <c r="U352" s="1653"/>
      <c r="V352" s="1653"/>
      <c r="W352" s="1653"/>
      <c r="X352" s="1653"/>
      <c r="Y352" s="1653"/>
      <c r="Z352" s="1653"/>
      <c r="AA352" s="1653"/>
      <c r="AB352" s="1653"/>
      <c r="AC352" s="1653"/>
      <c r="AD352" s="1653"/>
      <c r="AE352" s="1653"/>
      <c r="AF352" s="1653"/>
      <c r="AG352" s="1653"/>
      <c r="AH352" s="1293"/>
      <c r="AI352" s="1293"/>
      <c r="AJ352" s="1293"/>
      <c r="AK352" s="1293"/>
      <c r="AL352" s="1293"/>
      <c r="AM352" s="1293"/>
      <c r="AN352" s="1293"/>
      <c r="AO352" s="1293"/>
      <c r="AP352" s="1293"/>
      <c r="AQ352" s="1293"/>
      <c r="AR352" s="1293"/>
      <c r="AS352" s="1293"/>
    </row>
    <row r="353" spans="1:45" ht="15.75">
      <c r="A353" s="1653" t="s">
        <v>1540</v>
      </c>
      <c r="B353" s="1653"/>
      <c r="C353" s="1653"/>
      <c r="D353" s="1653"/>
      <c r="E353" s="1653"/>
      <c r="F353" s="1653"/>
      <c r="G353" s="1653"/>
      <c r="H353" s="1653"/>
      <c r="I353" s="1653"/>
      <c r="J353" s="1653"/>
      <c r="K353" s="1653"/>
      <c r="L353" s="1653"/>
      <c r="M353" s="1653"/>
      <c r="N353" s="1653"/>
      <c r="O353" s="1653"/>
      <c r="P353" s="1653"/>
      <c r="Q353" s="1666">
        <f t="shared" ref="Q353:V353" si="206">Q343-Q345-Q347-Q349</f>
        <v>10</v>
      </c>
      <c r="R353" s="1666">
        <f t="shared" si="206"/>
        <v>3</v>
      </c>
      <c r="S353" s="1666" t="e">
        <f t="shared" ca="1" si="206"/>
        <v>#REF!</v>
      </c>
      <c r="T353" s="1666" t="e">
        <f t="shared" ca="1" si="206"/>
        <v>#REF!</v>
      </c>
      <c r="U353" s="1666" t="e">
        <f t="shared" ca="1" si="206"/>
        <v>#REF!</v>
      </c>
      <c r="V353" s="1666" t="e">
        <f t="shared" ca="1" si="206"/>
        <v>#REF!</v>
      </c>
      <c r="W353" s="1904">
        <v>1</v>
      </c>
      <c r="X353" s="1666">
        <f>X343-X345-X347-X349-X351</f>
        <v>0</v>
      </c>
      <c r="Y353" s="1666">
        <f>Y343-Y345-Y347-Y349-Y351</f>
        <v>0</v>
      </c>
      <c r="Z353" s="1666">
        <f>Z343-Z345-Z347-Z349-Z351</f>
        <v>0</v>
      </c>
      <c r="AA353" s="1666">
        <f>AA343-AA345-AA347-AA349-AA351</f>
        <v>0</v>
      </c>
      <c r="AB353" s="1904">
        <v>0</v>
      </c>
      <c r="AC353" s="1904">
        <v>0</v>
      </c>
      <c r="AD353" s="1904">
        <v>0</v>
      </c>
      <c r="AE353" s="1904">
        <v>0</v>
      </c>
      <c r="AF353" s="1904">
        <v>0</v>
      </c>
      <c r="AG353" s="1904">
        <v>0</v>
      </c>
      <c r="AH353" s="1293"/>
      <c r="AI353" s="1293"/>
      <c r="AJ353" s="1293"/>
      <c r="AK353" s="1293"/>
      <c r="AL353" s="1293"/>
      <c r="AM353" s="1293"/>
      <c r="AN353" s="1293"/>
      <c r="AO353" s="1293"/>
      <c r="AP353" s="1293"/>
      <c r="AQ353" s="1293"/>
      <c r="AR353" s="1293"/>
      <c r="AS353" s="1293"/>
    </row>
    <row r="354" spans="1:45" ht="15.75">
      <c r="A354" s="1653"/>
      <c r="B354" s="1653"/>
      <c r="C354" s="1653"/>
      <c r="D354" s="1653"/>
      <c r="E354" s="1653"/>
      <c r="F354" s="1653"/>
      <c r="G354" s="1653"/>
      <c r="H354" s="1653"/>
      <c r="I354" s="1653"/>
      <c r="J354" s="1653"/>
      <c r="K354" s="1653"/>
      <c r="L354" s="1653"/>
      <c r="M354" s="1653"/>
      <c r="N354" s="1653"/>
      <c r="O354" s="1653"/>
      <c r="P354" s="1653"/>
      <c r="Q354" s="1653"/>
      <c r="R354" s="1653"/>
      <c r="S354" s="1653"/>
      <c r="T354" s="1653"/>
      <c r="U354" s="1653"/>
      <c r="V354" s="1653"/>
      <c r="W354" s="1653"/>
      <c r="X354" s="1653"/>
      <c r="Y354" s="1653"/>
      <c r="Z354" s="1653"/>
      <c r="AA354" s="1653"/>
      <c r="AB354" s="1653"/>
      <c r="AC354" s="1653"/>
      <c r="AD354" s="1653"/>
      <c r="AE354" s="1653"/>
      <c r="AF354" s="1653"/>
      <c r="AG354" s="1653"/>
      <c r="AH354" s="1293"/>
      <c r="AI354" s="1293"/>
      <c r="AJ354" s="1293"/>
      <c r="AK354" s="1293"/>
      <c r="AL354" s="1293"/>
      <c r="AM354" s="1293"/>
      <c r="AN354" s="1293"/>
      <c r="AO354" s="1293"/>
      <c r="AP354" s="1293"/>
      <c r="AQ354" s="1293"/>
      <c r="AR354" s="1293"/>
      <c r="AS354" s="1293"/>
    </row>
    <row r="355" spans="1:45" ht="15.75">
      <c r="A355" s="1653" t="s">
        <v>619</v>
      </c>
      <c r="B355" s="1653"/>
      <c r="C355" s="1653"/>
      <c r="D355" s="1653"/>
      <c r="E355" s="1653"/>
      <c r="F355" s="1666">
        <f t="shared" ref="F355:AG355" si="207">F343-E343</f>
        <v>-14.695</v>
      </c>
      <c r="G355" s="1666">
        <f t="shared" si="207"/>
        <v>-2.0949999999999989</v>
      </c>
      <c r="H355" s="1666">
        <f t="shared" si="207"/>
        <v>22.921999999999997</v>
      </c>
      <c r="I355" s="1666">
        <f t="shared" si="207"/>
        <v>2.8320000000000007</v>
      </c>
      <c r="J355" s="1666">
        <f t="shared" si="207"/>
        <v>-21.963999999999999</v>
      </c>
      <c r="K355" s="1666">
        <f t="shared" si="207"/>
        <v>126.075</v>
      </c>
      <c r="L355" s="1666">
        <f t="shared" si="207"/>
        <v>-118.075</v>
      </c>
      <c r="M355" s="1666">
        <f t="shared" si="207"/>
        <v>2.4</v>
      </c>
      <c r="N355" s="1666">
        <f t="shared" si="207"/>
        <v>-201.4</v>
      </c>
      <c r="O355" s="1666">
        <f t="shared" si="207"/>
        <v>208</v>
      </c>
      <c r="P355" s="1666">
        <f t="shared" si="207"/>
        <v>-208</v>
      </c>
      <c r="Q355" s="1666">
        <f t="shared" si="207"/>
        <v>47</v>
      </c>
      <c r="R355" s="1666">
        <f t="shared" si="207"/>
        <v>42</v>
      </c>
      <c r="S355" s="1666">
        <f t="shared" si="207"/>
        <v>77</v>
      </c>
      <c r="T355" s="1666">
        <f t="shared" si="207"/>
        <v>-64</v>
      </c>
      <c r="U355" s="1666">
        <f t="shared" si="207"/>
        <v>-11</v>
      </c>
      <c r="V355" s="1666">
        <f t="shared" si="207"/>
        <v>-39</v>
      </c>
      <c r="W355" s="1666">
        <f t="shared" si="207"/>
        <v>53</v>
      </c>
      <c r="X355" s="1666">
        <f t="shared" si="207"/>
        <v>-22</v>
      </c>
      <c r="Y355" s="1666">
        <f t="shared" si="207"/>
        <v>169</v>
      </c>
      <c r="Z355" s="1666">
        <f t="shared" si="207"/>
        <v>115</v>
      </c>
      <c r="AA355" s="1666">
        <f t="shared" si="207"/>
        <v>-178</v>
      </c>
      <c r="AB355" s="1666">
        <f t="shared" ca="1" si="207"/>
        <v>40.325811405010896</v>
      </c>
      <c r="AC355" s="1666">
        <f t="shared" ca="1" si="207"/>
        <v>0</v>
      </c>
      <c r="AD355" s="1666">
        <f t="shared" ca="1" si="207"/>
        <v>0</v>
      </c>
      <c r="AE355" s="1666">
        <f t="shared" ca="1" si="207"/>
        <v>0</v>
      </c>
      <c r="AF355" s="1666">
        <f t="shared" ca="1" si="207"/>
        <v>0</v>
      </c>
      <c r="AG355" s="1666">
        <f t="shared" ca="1" si="207"/>
        <v>0</v>
      </c>
      <c r="AH355" s="1293"/>
      <c r="AI355" s="1293"/>
      <c r="AJ355" s="1293"/>
      <c r="AK355" s="1293"/>
      <c r="AL355" s="1293"/>
      <c r="AM355" s="1293"/>
      <c r="AN355" s="1293"/>
      <c r="AO355" s="1293"/>
      <c r="AP355" s="1293"/>
      <c r="AQ355" s="1293"/>
      <c r="AR355" s="1293"/>
      <c r="AS355" s="1293"/>
    </row>
    <row r="356" spans="1:45" ht="15.75">
      <c r="A356" s="1653" t="s">
        <v>620</v>
      </c>
      <c r="B356" s="1653"/>
      <c r="C356" s="1653"/>
      <c r="D356" s="1895"/>
      <c r="E356" s="1895"/>
      <c r="F356" s="1904">
        <v>26.571000000000002</v>
      </c>
      <c r="G356" s="1904">
        <v>43.350999999999999</v>
      </c>
      <c r="H356" s="1904">
        <v>34.179000000000002</v>
      </c>
      <c r="I356" s="1904">
        <v>76</v>
      </c>
      <c r="J356" s="1904">
        <v>80</v>
      </c>
      <c r="K356" s="1904">
        <v>-25.8</v>
      </c>
      <c r="L356" s="1904">
        <v>-74</v>
      </c>
      <c r="M356" s="1904">
        <v>45.6</v>
      </c>
      <c r="N356" s="1904">
        <v>192</v>
      </c>
      <c r="O356" s="1904">
        <v>312</v>
      </c>
      <c r="P356" s="1904">
        <v>152</v>
      </c>
      <c r="Q356" s="1904">
        <v>1405</v>
      </c>
      <c r="R356" s="1904">
        <v>1128</v>
      </c>
      <c r="S356" s="1904">
        <v>1095</v>
      </c>
      <c r="T356" s="1904">
        <v>964</v>
      </c>
      <c r="U356" s="1904">
        <v>858</v>
      </c>
      <c r="V356" s="1904">
        <v>859</v>
      </c>
      <c r="W356" s="1904">
        <v>697</v>
      </c>
      <c r="X356" s="1904">
        <v>9</v>
      </c>
      <c r="Y356" s="1904">
        <v>29</v>
      </c>
      <c r="Z356" s="1904">
        <v>-84</v>
      </c>
      <c r="AA356" s="1904">
        <v>-54</v>
      </c>
      <c r="AB356" s="1666">
        <f t="shared" ref="AB356:AG356" ca="1" si="208">AA356-AB343+AB107</f>
        <v>-102.1190416695207</v>
      </c>
      <c r="AC356" s="1666">
        <f t="shared" ca="1" si="208"/>
        <v>-150.2380833390414</v>
      </c>
      <c r="AD356" s="1666">
        <f t="shared" ca="1" si="208"/>
        <v>-198.35712500856209</v>
      </c>
      <c r="AE356" s="1666">
        <f t="shared" ca="1" si="208"/>
        <v>-246.47616667808279</v>
      </c>
      <c r="AF356" s="1666">
        <f t="shared" ca="1" si="208"/>
        <v>-294.59520834760349</v>
      </c>
      <c r="AG356" s="1666">
        <f t="shared" ca="1" si="208"/>
        <v>-342.71425001712419</v>
      </c>
      <c r="AH356" s="1293"/>
      <c r="AI356" s="1293"/>
      <c r="AJ356" s="1293"/>
      <c r="AK356" s="1293"/>
      <c r="AL356" s="1293"/>
      <c r="AM356" s="1293"/>
      <c r="AN356" s="1293"/>
      <c r="AO356" s="1293"/>
      <c r="AP356" s="1293"/>
      <c r="AQ356" s="1293"/>
      <c r="AR356" s="1293"/>
      <c r="AS356" s="1293"/>
    </row>
    <row r="357" spans="1:45" ht="15.75">
      <c r="A357" s="1653" t="s">
        <v>619</v>
      </c>
      <c r="B357" s="1653"/>
      <c r="C357" s="1653"/>
      <c r="D357" s="1653"/>
      <c r="E357" s="1653"/>
      <c r="F357" s="1666">
        <f t="shared" ref="F357:AG357" si="209">F356-E356</f>
        <v>26.571000000000002</v>
      </c>
      <c r="G357" s="1666">
        <f t="shared" si="209"/>
        <v>16.779999999999998</v>
      </c>
      <c r="H357" s="1666">
        <f t="shared" si="209"/>
        <v>-9.171999999999997</v>
      </c>
      <c r="I357" s="1666">
        <f t="shared" si="209"/>
        <v>41.820999999999998</v>
      </c>
      <c r="J357" s="1666">
        <f t="shared" si="209"/>
        <v>4</v>
      </c>
      <c r="K357" s="1666">
        <f t="shared" si="209"/>
        <v>-105.8</v>
      </c>
      <c r="L357" s="1666">
        <f t="shared" si="209"/>
        <v>-48.2</v>
      </c>
      <c r="M357" s="1666">
        <f t="shared" si="209"/>
        <v>119.6</v>
      </c>
      <c r="N357" s="1666">
        <f t="shared" si="209"/>
        <v>146.4</v>
      </c>
      <c r="O357" s="1666">
        <f t="shared" si="209"/>
        <v>120</v>
      </c>
      <c r="P357" s="1666">
        <f t="shared" si="209"/>
        <v>-160</v>
      </c>
      <c r="Q357" s="1666">
        <f t="shared" si="209"/>
        <v>1253</v>
      </c>
      <c r="R357" s="1666">
        <f t="shared" si="209"/>
        <v>-277</v>
      </c>
      <c r="S357" s="1666">
        <f t="shared" si="209"/>
        <v>-33</v>
      </c>
      <c r="T357" s="1666">
        <f t="shared" si="209"/>
        <v>-131</v>
      </c>
      <c r="U357" s="1666">
        <f t="shared" si="209"/>
        <v>-106</v>
      </c>
      <c r="V357" s="1666">
        <f t="shared" si="209"/>
        <v>1</v>
      </c>
      <c r="W357" s="1666">
        <f t="shared" si="209"/>
        <v>-162</v>
      </c>
      <c r="X357" s="1666">
        <f t="shared" si="209"/>
        <v>-688</v>
      </c>
      <c r="Y357" s="1666">
        <f t="shared" si="209"/>
        <v>20</v>
      </c>
      <c r="Z357" s="1666">
        <f t="shared" si="209"/>
        <v>-113</v>
      </c>
      <c r="AA357" s="1666">
        <f t="shared" si="209"/>
        <v>30</v>
      </c>
      <c r="AB357" s="1666">
        <f t="shared" ca="1" si="209"/>
        <v>-48.119041669520698</v>
      </c>
      <c r="AC357" s="1666">
        <f t="shared" ca="1" si="209"/>
        <v>-48.119041669520698</v>
      </c>
      <c r="AD357" s="1666">
        <f t="shared" ca="1" si="209"/>
        <v>-48.119041669520698</v>
      </c>
      <c r="AE357" s="1666">
        <f t="shared" ca="1" si="209"/>
        <v>-48.119041669520698</v>
      </c>
      <c r="AF357" s="1666">
        <f t="shared" ca="1" si="209"/>
        <v>-48.119041669520698</v>
      </c>
      <c r="AG357" s="1666">
        <f t="shared" ca="1" si="209"/>
        <v>-48.119041669520698</v>
      </c>
      <c r="AH357" s="1293"/>
      <c r="AI357" s="1293"/>
      <c r="AJ357" s="1293"/>
      <c r="AK357" s="1293"/>
      <c r="AL357" s="1293"/>
      <c r="AM357" s="1293"/>
      <c r="AN357" s="1293"/>
      <c r="AO357" s="1293"/>
      <c r="AP357" s="1293"/>
      <c r="AQ357" s="1293"/>
      <c r="AR357" s="1293"/>
      <c r="AS357" s="1293"/>
    </row>
    <row r="358" spans="1:45" ht="15.75">
      <c r="A358" s="1653"/>
      <c r="B358" s="1653"/>
      <c r="C358" s="1653"/>
      <c r="D358" s="1653"/>
      <c r="E358" s="1653"/>
      <c r="F358" s="1653"/>
      <c r="G358" s="1653"/>
      <c r="H358" s="1653"/>
      <c r="I358" s="1653"/>
      <c r="J358" s="1653"/>
      <c r="K358" s="1653"/>
      <c r="L358" s="1653"/>
      <c r="M358" s="1653"/>
      <c r="N358" s="1653"/>
      <c r="O358" s="1653"/>
      <c r="P358" s="1653"/>
      <c r="Q358" s="1653"/>
      <c r="R358" s="1653"/>
      <c r="S358" s="1653"/>
      <c r="T358" s="1653"/>
      <c r="U358" s="1653"/>
      <c r="V358" s="1653"/>
      <c r="W358" s="1653"/>
      <c r="X358" s="1653"/>
      <c r="Y358" s="1653"/>
      <c r="Z358" s="1653"/>
      <c r="AA358" s="1653"/>
      <c r="AB358" s="1653"/>
      <c r="AC358" s="1653"/>
      <c r="AD358" s="1653"/>
      <c r="AE358" s="1653"/>
      <c r="AF358" s="1653"/>
      <c r="AG358" s="1653"/>
      <c r="AH358" s="1293"/>
      <c r="AI358" s="1293"/>
      <c r="AJ358" s="1293"/>
      <c r="AK358" s="1293"/>
      <c r="AL358" s="1293"/>
      <c r="AM358" s="1293"/>
      <c r="AN358" s="1293"/>
      <c r="AO358" s="1293"/>
      <c r="AP358" s="1293"/>
      <c r="AQ358" s="1293"/>
      <c r="AR358" s="1293"/>
      <c r="AS358" s="1293"/>
    </row>
    <row r="359" spans="1:45" ht="15.75">
      <c r="A359" s="1706" t="s">
        <v>109</v>
      </c>
      <c r="B359" s="1706"/>
      <c r="C359" s="1653"/>
      <c r="D359" s="1653"/>
      <c r="E359" s="1653"/>
      <c r="F359" s="1675"/>
      <c r="G359" s="1653"/>
      <c r="H359" s="1653"/>
      <c r="I359" s="1653"/>
      <c r="J359" s="1653"/>
      <c r="K359" s="1653"/>
      <c r="L359" s="1653"/>
      <c r="M359" s="1653"/>
      <c r="N359" s="1653"/>
      <c r="O359" s="1653"/>
      <c r="P359" s="1653"/>
      <c r="Q359" s="1653"/>
      <c r="R359" s="1653"/>
      <c r="S359" s="1653"/>
      <c r="T359" s="1653"/>
      <c r="U359" s="1653"/>
      <c r="V359" s="1653"/>
      <c r="W359" s="1653"/>
      <c r="X359" s="1653"/>
      <c r="Y359" s="1653"/>
      <c r="Z359" s="1653"/>
      <c r="AA359" s="1653"/>
      <c r="AB359" s="1653"/>
      <c r="AC359" s="1653"/>
      <c r="AD359" s="1653"/>
      <c r="AE359" s="1653"/>
      <c r="AF359" s="1653"/>
      <c r="AG359" s="1653"/>
      <c r="AH359" s="1293"/>
      <c r="AI359" s="1293"/>
      <c r="AJ359" s="1293"/>
      <c r="AK359" s="1293"/>
      <c r="AL359" s="1293"/>
      <c r="AM359" s="1293"/>
      <c r="AN359" s="1293"/>
      <c r="AO359" s="1293"/>
      <c r="AP359" s="1293"/>
      <c r="AQ359" s="1293"/>
      <c r="AR359" s="1293"/>
      <c r="AS359" s="1293"/>
    </row>
    <row r="360" spans="1:45" ht="15.75">
      <c r="A360" s="1653" t="s">
        <v>621</v>
      </c>
      <c r="B360" s="1653"/>
      <c r="C360" s="1653"/>
      <c r="D360" s="1717"/>
      <c r="E360" s="1717"/>
      <c r="F360" s="1717">
        <v>-85.18</v>
      </c>
      <c r="G360" s="1717">
        <v>239.04300000000001</v>
      </c>
      <c r="H360" s="1717">
        <f>333.55-H356</f>
        <v>299.37099999999998</v>
      </c>
      <c r="I360" s="1717">
        <v>505</v>
      </c>
      <c r="J360" s="1717">
        <v>1288</v>
      </c>
      <c r="K360" s="1717">
        <v>1678</v>
      </c>
      <c r="L360" s="1717">
        <v>2384</v>
      </c>
      <c r="M360" s="1717">
        <v>2344</v>
      </c>
      <c r="N360" s="1717">
        <v>2254</v>
      </c>
      <c r="O360" s="1717">
        <v>2024</v>
      </c>
      <c r="P360" s="1717">
        <v>1929</v>
      </c>
      <c r="Q360" s="1717">
        <v>2342</v>
      </c>
      <c r="R360" s="1717">
        <v>3285</v>
      </c>
      <c r="S360" s="1717">
        <v>2976</v>
      </c>
      <c r="T360" s="1717">
        <v>2905</v>
      </c>
      <c r="U360" s="1717">
        <v>2500</v>
      </c>
      <c r="V360" s="1717">
        <v>2369</v>
      </c>
      <c r="W360" s="1717">
        <v>2005</v>
      </c>
      <c r="X360" s="1717">
        <v>2541</v>
      </c>
      <c r="Y360" s="1717">
        <v>3605</v>
      </c>
      <c r="Z360" s="1717">
        <v>3529</v>
      </c>
      <c r="AA360" s="1717">
        <v>3628</v>
      </c>
      <c r="AB360" s="1675">
        <f ca="1">AA360+AB361-AA364+AB362+AB363-AB378+CA!Z283</f>
        <v>3289.3031049412421</v>
      </c>
      <c r="AC360" s="1675">
        <f ca="1">AB360+AC361-AB364+AC362+AC363-AC378+CA!AA283</f>
        <v>3295.7813660626261</v>
      </c>
      <c r="AD360" s="1675">
        <f ca="1">AC360+AD361-AC364+AD362+AD363-AD378+CA!AB283</f>
        <v>3266.3854004882869</v>
      </c>
      <c r="AE360" s="1675">
        <f ca="1">AD360+AE361-AD364+AE362+AE363-AE378+CA!AC283</f>
        <v>3237.8058929051704</v>
      </c>
      <c r="AF360" s="1675">
        <f ca="1">AE360+AF361-AE364+AF362+AF363-AF378+CA!AD283</f>
        <v>3230.0468517098034</v>
      </c>
      <c r="AG360" s="1675">
        <f ca="1">AF360+AG361-AF364+AG362+AG363-AG378+CA!AE283</f>
        <v>3255.6343211816466</v>
      </c>
      <c r="AH360" s="1293"/>
      <c r="AI360" s="1293"/>
      <c r="AJ360" s="1293"/>
      <c r="AK360" s="1293"/>
      <c r="AL360" s="1293"/>
      <c r="AM360" s="1293"/>
      <c r="AN360" s="1293"/>
      <c r="AO360" s="1293"/>
      <c r="AP360" s="1293"/>
      <c r="AQ360" s="1293"/>
      <c r="AR360" s="1293"/>
      <c r="AS360" s="1293"/>
    </row>
    <row r="361" spans="1:45" ht="15.75">
      <c r="A361" s="1653" t="s">
        <v>622</v>
      </c>
      <c r="B361" s="1653"/>
      <c r="C361" s="1653"/>
      <c r="D361" s="1675"/>
      <c r="E361" s="1675"/>
      <c r="F361" s="1675" t="e">
        <f t="shared" ref="F361:AG361" si="210">F47</f>
        <v>#REF!</v>
      </c>
      <c r="G361" s="1675" t="e">
        <f t="shared" si="210"/>
        <v>#REF!</v>
      </c>
      <c r="H361" s="1675" t="e">
        <f t="shared" si="210"/>
        <v>#REF!</v>
      </c>
      <c r="I361" s="1675" t="e">
        <f t="shared" si="210"/>
        <v>#REF!</v>
      </c>
      <c r="J361" s="1675" t="e">
        <f t="shared" si="210"/>
        <v>#REF!</v>
      </c>
      <c r="K361" s="1675" t="e">
        <f t="shared" si="210"/>
        <v>#REF!</v>
      </c>
      <c r="L361" s="1675" t="e">
        <f t="shared" si="210"/>
        <v>#REF!</v>
      </c>
      <c r="M361" s="1675" t="e">
        <f t="shared" si="210"/>
        <v>#REF!</v>
      </c>
      <c r="N361" s="1675">
        <f t="shared" si="210"/>
        <v>-318</v>
      </c>
      <c r="O361" s="1675">
        <f t="shared" si="210"/>
        <v>-596</v>
      </c>
      <c r="P361" s="1675">
        <f t="shared" si="210"/>
        <v>-806</v>
      </c>
      <c r="Q361" s="1675">
        <f t="shared" si="210"/>
        <v>2660.5211117787239</v>
      </c>
      <c r="R361" s="1675">
        <f t="shared" si="210"/>
        <v>-553.36905576846038</v>
      </c>
      <c r="S361" s="1675">
        <f t="shared" si="210"/>
        <v>23.5</v>
      </c>
      <c r="T361" s="1675">
        <f t="shared" si="210"/>
        <v>36</v>
      </c>
      <c r="U361" s="1675">
        <f t="shared" si="210"/>
        <v>117</v>
      </c>
      <c r="V361" s="1675">
        <f t="shared" si="210"/>
        <v>194</v>
      </c>
      <c r="W361" s="1675">
        <f t="shared" si="210"/>
        <v>-193</v>
      </c>
      <c r="X361" s="1675">
        <f t="shared" si="210"/>
        <v>708</v>
      </c>
      <c r="Y361" s="1675">
        <f t="shared" si="210"/>
        <v>173.13499999999976</v>
      </c>
      <c r="Z361" s="1675">
        <f t="shared" si="210"/>
        <v>-82.714500000000044</v>
      </c>
      <c r="AA361" s="1675">
        <f t="shared" ca="1" si="210"/>
        <v>254.02020000000039</v>
      </c>
      <c r="AB361" s="1675">
        <f t="shared" ca="1" si="210"/>
        <v>298.23037764165321</v>
      </c>
      <c r="AC361" s="1675">
        <f t="shared" ca="1" si="210"/>
        <v>584.8039710693763</v>
      </c>
      <c r="AD361" s="1675">
        <f t="shared" ca="1" si="210"/>
        <v>571.80876661784896</v>
      </c>
      <c r="AE361" s="1675">
        <f t="shared" ca="1" si="210"/>
        <v>592.64900420945003</v>
      </c>
      <c r="AF361" s="1675">
        <f t="shared" ca="1" si="210"/>
        <v>630.99040140984926</v>
      </c>
      <c r="AG361" s="1675">
        <f t="shared" ca="1" si="210"/>
        <v>679.29634595121252</v>
      </c>
      <c r="AH361" s="1293"/>
      <c r="AI361" s="1293"/>
      <c r="AJ361" s="1293"/>
      <c r="AK361" s="1293"/>
      <c r="AL361" s="1293"/>
      <c r="AM361" s="1293"/>
      <c r="AN361" s="1293"/>
      <c r="AO361" s="1293"/>
      <c r="AP361" s="1293"/>
      <c r="AQ361" s="1293"/>
      <c r="AR361" s="1293"/>
      <c r="AS361" s="1293"/>
    </row>
    <row r="362" spans="1:45" ht="15.75">
      <c r="A362" s="1653" t="s">
        <v>623</v>
      </c>
      <c r="B362" s="1653"/>
      <c r="C362" s="1653"/>
      <c r="D362" s="1717"/>
      <c r="E362" s="1717"/>
      <c r="F362" s="1717">
        <v>0</v>
      </c>
      <c r="G362" s="1950">
        <v>0</v>
      </c>
      <c r="H362" s="1950">
        <v>0</v>
      </c>
      <c r="I362" s="1950">
        <v>0</v>
      </c>
      <c r="J362" s="1950">
        <v>0</v>
      </c>
      <c r="K362" s="1950">
        <v>0</v>
      </c>
      <c r="L362" s="1950">
        <v>0</v>
      </c>
      <c r="M362" s="1950">
        <v>0</v>
      </c>
      <c r="N362" s="1950">
        <v>0</v>
      </c>
      <c r="O362" s="1950">
        <v>0</v>
      </c>
      <c r="P362" s="1950">
        <v>0</v>
      </c>
      <c r="Q362" s="1950">
        <v>0</v>
      </c>
      <c r="R362" s="1950">
        <v>0</v>
      </c>
      <c r="S362" s="1950">
        <v>0</v>
      </c>
      <c r="T362" s="1950">
        <v>0</v>
      </c>
      <c r="U362" s="1950">
        <v>0</v>
      </c>
      <c r="V362" s="1950">
        <v>0</v>
      </c>
      <c r="W362" s="1950">
        <v>0</v>
      </c>
      <c r="X362" s="1950">
        <v>0</v>
      </c>
      <c r="Y362" s="1950">
        <v>0</v>
      </c>
      <c r="Z362" s="1950">
        <v>0</v>
      </c>
      <c r="AA362" s="1950">
        <v>0</v>
      </c>
      <c r="AB362" s="1950">
        <v>0</v>
      </c>
      <c r="AC362" s="1950">
        <v>0</v>
      </c>
      <c r="AD362" s="1950">
        <v>0</v>
      </c>
      <c r="AE362" s="1950">
        <v>0</v>
      </c>
      <c r="AF362" s="1950">
        <v>0</v>
      </c>
      <c r="AG362" s="1950">
        <v>0</v>
      </c>
      <c r="AH362" s="1293"/>
      <c r="AI362" s="1293"/>
      <c r="AJ362" s="1293"/>
      <c r="AK362" s="1293"/>
      <c r="AL362" s="1293"/>
      <c r="AM362" s="1293"/>
      <c r="AN362" s="1293"/>
      <c r="AO362" s="1293"/>
      <c r="AP362" s="1293"/>
      <c r="AQ362" s="1293"/>
      <c r="AR362" s="1293"/>
      <c r="AS362" s="1293"/>
    </row>
    <row r="363" spans="1:45" ht="15.75">
      <c r="A363" s="1653" t="s">
        <v>7331</v>
      </c>
      <c r="B363" s="1653"/>
      <c r="C363" s="1653"/>
      <c r="D363" s="1653"/>
      <c r="E363" s="1653"/>
      <c r="F363" s="1653"/>
      <c r="G363" s="1950"/>
      <c r="H363" s="1717">
        <v>0</v>
      </c>
      <c r="I363" s="1717">
        <v>0</v>
      </c>
      <c r="J363" s="1717">
        <v>0</v>
      </c>
      <c r="K363" s="1717">
        <f>K617</f>
        <v>0</v>
      </c>
      <c r="L363" s="1717">
        <v>0</v>
      </c>
      <c r="M363" s="1717">
        <v>0</v>
      </c>
      <c r="N363" s="1717">
        <v>0</v>
      </c>
      <c r="O363" s="1717">
        <v>0</v>
      </c>
      <c r="P363" s="1717">
        <v>0</v>
      </c>
      <c r="Q363" s="1717">
        <v>0</v>
      </c>
      <c r="R363" s="1717">
        <v>0</v>
      </c>
      <c r="S363" s="1717">
        <v>0</v>
      </c>
      <c r="T363" s="1717">
        <v>0</v>
      </c>
      <c r="U363" s="1717">
        <v>0</v>
      </c>
      <c r="V363" s="1717">
        <v>0</v>
      </c>
      <c r="W363" s="1717">
        <v>0</v>
      </c>
      <c r="X363" s="1717">
        <v>0</v>
      </c>
      <c r="Y363" s="1675">
        <f>Y360-X360</f>
        <v>1064</v>
      </c>
      <c r="Z363" s="1675">
        <f>Z360-Y360</f>
        <v>-76</v>
      </c>
      <c r="AA363" s="1675">
        <f>AA360-Z360</f>
        <v>99</v>
      </c>
      <c r="AB363" s="1675">
        <f t="shared" ref="AB363:AG363" si="211">AB384</f>
        <v>0</v>
      </c>
      <c r="AC363" s="1675">
        <f t="shared" si="211"/>
        <v>0</v>
      </c>
      <c r="AD363" s="1675">
        <f t="shared" si="211"/>
        <v>0</v>
      </c>
      <c r="AE363" s="1675">
        <f t="shared" si="211"/>
        <v>0</v>
      </c>
      <c r="AF363" s="1675">
        <f t="shared" si="211"/>
        <v>0</v>
      </c>
      <c r="AG363" s="1675">
        <f t="shared" si="211"/>
        <v>0</v>
      </c>
      <c r="AH363" s="1293"/>
      <c r="AI363" s="1293"/>
      <c r="AJ363" s="1293"/>
      <c r="AK363" s="1293"/>
      <c r="AL363" s="1293"/>
      <c r="AM363" s="1293"/>
      <c r="AN363" s="1293"/>
      <c r="AO363" s="1293"/>
      <c r="AP363" s="1293"/>
      <c r="AQ363" s="1293"/>
      <c r="AR363" s="1293"/>
      <c r="AS363" s="1293"/>
    </row>
    <row r="364" spans="1:45" ht="15.75">
      <c r="A364" s="1653" t="s">
        <v>538</v>
      </c>
      <c r="B364" s="1653"/>
      <c r="C364" s="1653"/>
      <c r="D364" s="1717"/>
      <c r="E364" s="1717"/>
      <c r="F364" s="1717">
        <v>0</v>
      </c>
      <c r="G364" s="1717">
        <v>0</v>
      </c>
      <c r="H364" s="1675">
        <f ca="1">H373*H386</f>
        <v>0</v>
      </c>
      <c r="I364" s="1675">
        <f ca="1">I373*I386</f>
        <v>0</v>
      </c>
      <c r="J364" s="1717">
        <v>259.7</v>
      </c>
      <c r="K364" s="1675">
        <f>K373*K386</f>
        <v>130.37520000000001</v>
      </c>
      <c r="L364" s="1675">
        <f>L373*L386</f>
        <v>652.5</v>
      </c>
      <c r="M364" s="1675">
        <f t="shared" ref="M364:AG364" si="212">M368*M386</f>
        <v>523.45439999999996</v>
      </c>
      <c r="N364" s="1675">
        <f t="shared" si="212"/>
        <v>566.20619999999997</v>
      </c>
      <c r="O364" s="1675">
        <f t="shared" si="212"/>
        <v>266.11200000000002</v>
      </c>
      <c r="P364" s="1675">
        <f t="shared" si="212"/>
        <v>263.73599999999999</v>
      </c>
      <c r="Q364" s="1675">
        <f t="shared" si="212"/>
        <v>263.73599999999999</v>
      </c>
      <c r="R364" s="1675">
        <f t="shared" si="212"/>
        <v>263.73599999999999</v>
      </c>
      <c r="S364" s="1675">
        <f t="shared" si="212"/>
        <v>263.73599999999999</v>
      </c>
      <c r="T364" s="1675">
        <f t="shared" si="212"/>
        <v>263.73599999999999</v>
      </c>
      <c r="U364" s="1675">
        <f t="shared" si="212"/>
        <v>263.73599999999999</v>
      </c>
      <c r="V364" s="1675">
        <f t="shared" si="212"/>
        <v>0</v>
      </c>
      <c r="W364" s="1675">
        <f t="shared" si="212"/>
        <v>0</v>
      </c>
      <c r="X364" s="1675">
        <f t="shared" si="212"/>
        <v>0</v>
      </c>
      <c r="Y364" s="1675">
        <f t="shared" si="212"/>
        <v>0</v>
      </c>
      <c r="Z364" s="1675">
        <f t="shared" si="212"/>
        <v>0</v>
      </c>
      <c r="AA364" s="1675">
        <f>AA368*AA386</f>
        <v>556.76724999999999</v>
      </c>
      <c r="AB364" s="1675">
        <f>AB368*AB386</f>
        <v>499.089</v>
      </c>
      <c r="AC364" s="1675">
        <f t="shared" si="212"/>
        <v>524.42975000000001</v>
      </c>
      <c r="AD364" s="1675">
        <f t="shared" si="212"/>
        <v>547.27049999999997</v>
      </c>
      <c r="AE364" s="1675">
        <f t="shared" si="212"/>
        <v>567.61125000000004</v>
      </c>
      <c r="AF364" s="1675">
        <f t="shared" si="212"/>
        <v>585.452</v>
      </c>
      <c r="AG364" s="1675">
        <f t="shared" si="212"/>
        <v>600.79274999999996</v>
      </c>
      <c r="AH364" s="1293"/>
      <c r="AI364" s="1293"/>
      <c r="AJ364" s="1293"/>
      <c r="AK364" s="1293"/>
      <c r="AL364" s="1293"/>
      <c r="AM364" s="1293"/>
      <c r="AN364" s="1293"/>
      <c r="AO364" s="1293"/>
      <c r="AP364" s="1293"/>
      <c r="AQ364" s="1293"/>
      <c r="AR364" s="1293"/>
      <c r="AS364" s="1293"/>
    </row>
    <row r="365" spans="1:45" ht="15.75">
      <c r="A365" s="1653" t="s">
        <v>539</v>
      </c>
      <c r="B365" s="1653"/>
      <c r="C365" s="1653"/>
      <c r="D365" s="1675"/>
      <c r="E365" s="1675"/>
      <c r="F365" s="1653" t="s">
        <v>1823</v>
      </c>
      <c r="G365" s="1653" t="s">
        <v>1823</v>
      </c>
      <c r="H365" s="1665"/>
      <c r="I365" s="1665"/>
      <c r="J365" s="1665"/>
      <c r="K365" s="1665"/>
      <c r="L365" s="1665"/>
      <c r="M365" s="1665"/>
      <c r="N365" s="1665"/>
      <c r="O365" s="1665"/>
      <c r="P365" s="1665"/>
      <c r="Q365" s="1665"/>
      <c r="R365" s="1665"/>
      <c r="S365" s="1665"/>
      <c r="T365" s="1665"/>
      <c r="U365" s="1665"/>
      <c r="V365" s="1665"/>
      <c r="W365" s="1665"/>
      <c r="X365" s="1665"/>
      <c r="Y365" s="1665"/>
      <c r="Z365" s="1665"/>
      <c r="AA365" s="1665"/>
      <c r="AB365" s="1665"/>
      <c r="AC365" s="1665"/>
      <c r="AD365" s="1665"/>
      <c r="AE365" s="1665"/>
      <c r="AF365" s="1665"/>
      <c r="AG365" s="1665"/>
      <c r="AH365" s="1293"/>
      <c r="AI365" s="1293"/>
      <c r="AJ365" s="1293"/>
      <c r="AK365" s="1293"/>
      <c r="AL365" s="1293"/>
      <c r="AM365" s="1293"/>
      <c r="AN365" s="1293"/>
      <c r="AO365" s="1293"/>
      <c r="AP365" s="1293"/>
      <c r="AQ365" s="1293"/>
      <c r="AR365" s="1293"/>
      <c r="AS365" s="1293"/>
    </row>
    <row r="366" spans="1:45" ht="15.75">
      <c r="A366" s="1653"/>
      <c r="B366" s="1653"/>
      <c r="C366" s="1653"/>
      <c r="D366" s="1675"/>
      <c r="E366" s="1675"/>
      <c r="F366" s="1653"/>
      <c r="G366" s="1653"/>
      <c r="H366" s="1653"/>
      <c r="I366" s="1653"/>
      <c r="J366" s="1653"/>
      <c r="K366" s="1653"/>
      <c r="L366" s="1653"/>
      <c r="M366" s="1653"/>
      <c r="N366" s="1653"/>
      <c r="O366" s="1653"/>
      <c r="P366" s="1653"/>
      <c r="Q366" s="1653"/>
      <c r="R366" s="1653"/>
      <c r="S366" s="1653"/>
      <c r="T366" s="1653"/>
      <c r="U366" s="1653"/>
      <c r="V366" s="1653"/>
      <c r="W366" s="1653"/>
      <c r="X366" s="1653"/>
      <c r="Y366" s="1653"/>
      <c r="Z366" s="1653"/>
      <c r="AA366" s="1653"/>
      <c r="AB366" s="1653"/>
      <c r="AC366" s="1653"/>
      <c r="AD366" s="1653"/>
      <c r="AE366" s="1653"/>
      <c r="AF366" s="1653"/>
      <c r="AG366" s="1653"/>
      <c r="AH366" s="1293"/>
      <c r="AI366" s="1293"/>
      <c r="AJ366" s="1293"/>
      <c r="AK366" s="1293"/>
      <c r="AL366" s="1293"/>
      <c r="AM366" s="1293"/>
      <c r="AN366" s="1293"/>
      <c r="AO366" s="1293"/>
      <c r="AP366" s="1293"/>
      <c r="AQ366" s="1293"/>
      <c r="AR366" s="1293"/>
      <c r="AS366" s="1293"/>
    </row>
    <row r="367" spans="1:45" ht="15.75">
      <c r="A367" s="1653" t="s">
        <v>764</v>
      </c>
      <c r="B367" s="1653"/>
      <c r="C367" s="1653"/>
      <c r="D367" s="1675"/>
      <c r="E367" s="1717">
        <v>65.272000000000006</v>
      </c>
      <c r="F367" s="1717">
        <v>65.311999999999998</v>
      </c>
      <c r="G367" s="1717">
        <v>83.334999999999994</v>
      </c>
      <c r="H367" s="1675">
        <f t="shared" ref="H367:AG367" si="213">AVERAGE(G368:H368)</f>
        <v>99.461500000000001</v>
      </c>
      <c r="I367" s="1675">
        <f t="shared" si="213"/>
        <v>100.19399999999999</v>
      </c>
      <c r="J367" s="1675">
        <f t="shared" si="213"/>
        <v>101.556</v>
      </c>
      <c r="K367" s="1675">
        <f t="shared" si="213"/>
        <v>105.3625</v>
      </c>
      <c r="L367" s="1675">
        <f t="shared" si="213"/>
        <v>108.4725</v>
      </c>
      <c r="M367" s="1675">
        <f t="shared" si="213"/>
        <v>108.8505</v>
      </c>
      <c r="N367" s="1675">
        <f t="shared" si="213"/>
        <v>106.953</v>
      </c>
      <c r="O367" s="1675">
        <f t="shared" si="213"/>
        <v>102.8265</v>
      </c>
      <c r="P367" s="1675">
        <f t="shared" si="213"/>
        <v>100.35</v>
      </c>
      <c r="Q367" s="1675">
        <f t="shared" si="213"/>
        <v>99.899999999999991</v>
      </c>
      <c r="R367" s="1675">
        <f t="shared" si="213"/>
        <v>99.899999999999991</v>
      </c>
      <c r="S367" s="1675">
        <f t="shared" si="213"/>
        <v>99.899999999999991</v>
      </c>
      <c r="T367" s="1675">
        <f t="shared" si="213"/>
        <v>99.899999999999991</v>
      </c>
      <c r="U367" s="1675">
        <f t="shared" si="213"/>
        <v>99.899999999999991</v>
      </c>
      <c r="V367" s="1675">
        <f t="shared" si="213"/>
        <v>99.899999999999991</v>
      </c>
      <c r="W367" s="1675">
        <f t="shared" si="213"/>
        <v>99.72999999999999</v>
      </c>
      <c r="X367" s="1675">
        <f t="shared" si="213"/>
        <v>99.059999999999988</v>
      </c>
      <c r="Y367" s="1675">
        <f t="shared" si="213"/>
        <v>133.76</v>
      </c>
      <c r="Z367" s="1675">
        <f t="shared" si="213"/>
        <v>170.17849999999999</v>
      </c>
      <c r="AA367" s="1675">
        <f t="shared" si="213"/>
        <v>171.35499999999999</v>
      </c>
      <c r="AB367" s="1675">
        <f t="shared" si="213"/>
        <v>168.83799999999999</v>
      </c>
      <c r="AC367" s="1675">
        <f t="shared" si="213"/>
        <v>163.863</v>
      </c>
      <c r="AD367" s="1675">
        <f t="shared" si="213"/>
        <v>158.863</v>
      </c>
      <c r="AE367" s="1675">
        <f t="shared" si="213"/>
        <v>153.863</v>
      </c>
      <c r="AF367" s="1675">
        <f t="shared" si="213"/>
        <v>148.863</v>
      </c>
      <c r="AG367" s="1675">
        <f t="shared" si="213"/>
        <v>143.863</v>
      </c>
      <c r="AH367" s="1293"/>
      <c r="AI367" s="1293"/>
      <c r="AJ367" s="1293"/>
      <c r="AK367" s="1293"/>
      <c r="AL367" s="1293"/>
      <c r="AM367" s="1293"/>
      <c r="AN367" s="1293"/>
      <c r="AO367" s="1293"/>
      <c r="AP367" s="1293"/>
      <c r="AQ367" s="1293"/>
      <c r="AR367" s="1293"/>
      <c r="AS367" s="1293"/>
    </row>
    <row r="368" spans="1:45" ht="15.75">
      <c r="A368" s="1653" t="s">
        <v>765</v>
      </c>
      <c r="B368" s="1653"/>
      <c r="C368" s="1653"/>
      <c r="D368" s="1717">
        <v>94.832999999999998</v>
      </c>
      <c r="E368" s="1717">
        <v>94.832999999999998</v>
      </c>
      <c r="F368" s="1717">
        <v>66.319999999999993</v>
      </c>
      <c r="G368" s="1717">
        <v>99.218999999999994</v>
      </c>
      <c r="H368" s="1717">
        <v>99.703999999999994</v>
      </c>
      <c r="I368" s="1717">
        <v>100.684</v>
      </c>
      <c r="J368" s="1717">
        <v>102.428</v>
      </c>
      <c r="K368" s="1717">
        <v>108.297</v>
      </c>
      <c r="L368" s="1717">
        <v>108.648</v>
      </c>
      <c r="M368" s="1717">
        <v>109.053</v>
      </c>
      <c r="N368" s="1675">
        <f t="shared" ref="N368:W368" si="214">M368-N380</f>
        <v>104.85299999999999</v>
      </c>
      <c r="O368" s="1675">
        <f t="shared" si="214"/>
        <v>100.8</v>
      </c>
      <c r="P368" s="1675">
        <f t="shared" si="214"/>
        <v>99.899999999999991</v>
      </c>
      <c r="Q368" s="1675">
        <f t="shared" si="214"/>
        <v>99.899999999999991</v>
      </c>
      <c r="R368" s="1675">
        <f t="shared" si="214"/>
        <v>99.899999999999991</v>
      </c>
      <c r="S368" s="1675">
        <f t="shared" si="214"/>
        <v>99.899999999999991</v>
      </c>
      <c r="T368" s="1675">
        <f t="shared" si="214"/>
        <v>99.899999999999991</v>
      </c>
      <c r="U368" s="1675">
        <f t="shared" si="214"/>
        <v>99.899999999999991</v>
      </c>
      <c r="V368" s="1675">
        <f t="shared" si="214"/>
        <v>99.899999999999991</v>
      </c>
      <c r="W368" s="1675">
        <f t="shared" si="214"/>
        <v>99.559999999999988</v>
      </c>
      <c r="X368" s="1675">
        <f>W368-X380+X382</f>
        <v>98.559999999999988</v>
      </c>
      <c r="Y368" s="1675">
        <f>X368-Y380+Y382</f>
        <v>168.95999999999998</v>
      </c>
      <c r="Z368" s="2498">
        <v>171.39699999999999</v>
      </c>
      <c r="AA368" s="2498">
        <v>171.31299999999999</v>
      </c>
      <c r="AB368" s="1675">
        <f t="shared" ref="AB368:AG368" si="215">AA368-AB380+AB382</f>
        <v>166.363</v>
      </c>
      <c r="AC368" s="1675">
        <f t="shared" si="215"/>
        <v>161.363</v>
      </c>
      <c r="AD368" s="1675">
        <f t="shared" si="215"/>
        <v>156.363</v>
      </c>
      <c r="AE368" s="1675">
        <f t="shared" si="215"/>
        <v>151.363</v>
      </c>
      <c r="AF368" s="1675">
        <f t="shared" si="215"/>
        <v>146.363</v>
      </c>
      <c r="AG368" s="1675">
        <f t="shared" si="215"/>
        <v>141.363</v>
      </c>
      <c r="AH368" s="1293"/>
      <c r="AI368" s="1293"/>
      <c r="AJ368" s="1293"/>
      <c r="AK368" s="1293"/>
      <c r="AL368" s="1293"/>
      <c r="AM368" s="1293"/>
      <c r="AN368" s="1293"/>
      <c r="AO368" s="1293"/>
      <c r="AP368" s="1293"/>
      <c r="AQ368" s="1293"/>
      <c r="AR368" s="1293"/>
      <c r="AS368" s="1293"/>
    </row>
    <row r="369" spans="1:45" ht="15.75">
      <c r="A369" s="1653" t="s">
        <v>766</v>
      </c>
      <c r="B369" s="1653"/>
      <c r="C369" s="1653"/>
      <c r="D369" s="1653"/>
      <c r="E369" s="1675">
        <f t="shared" ref="E369:AG369" si="216">E368-D368</f>
        <v>0</v>
      </c>
      <c r="F369" s="1675">
        <f t="shared" si="216"/>
        <v>-28.513000000000005</v>
      </c>
      <c r="G369" s="1675">
        <f t="shared" si="216"/>
        <v>32.899000000000001</v>
      </c>
      <c r="H369" s="1675">
        <f t="shared" si="216"/>
        <v>0.48499999999999943</v>
      </c>
      <c r="I369" s="1675">
        <f t="shared" si="216"/>
        <v>0.98000000000000398</v>
      </c>
      <c r="J369" s="1675">
        <f t="shared" si="216"/>
        <v>1.7439999999999998</v>
      </c>
      <c r="K369" s="1675">
        <f t="shared" si="216"/>
        <v>5.8689999999999998</v>
      </c>
      <c r="L369" s="1675">
        <f t="shared" si="216"/>
        <v>0.35099999999999909</v>
      </c>
      <c r="M369" s="1872">
        <f t="shared" si="216"/>
        <v>0.40500000000000114</v>
      </c>
      <c r="N369" s="1675">
        <f t="shared" si="216"/>
        <v>-4.2000000000000028</v>
      </c>
      <c r="O369" s="1675">
        <f t="shared" si="216"/>
        <v>-4.0529999999999973</v>
      </c>
      <c r="P369" s="1675">
        <f t="shared" si="216"/>
        <v>-0.90000000000000568</v>
      </c>
      <c r="Q369" s="1675">
        <f t="shared" si="216"/>
        <v>0</v>
      </c>
      <c r="R369" s="1675">
        <f t="shared" si="216"/>
        <v>0</v>
      </c>
      <c r="S369" s="1675">
        <f t="shared" si="216"/>
        <v>0</v>
      </c>
      <c r="T369" s="1675">
        <f t="shared" si="216"/>
        <v>0</v>
      </c>
      <c r="U369" s="1675">
        <f t="shared" si="216"/>
        <v>0</v>
      </c>
      <c r="V369" s="1675">
        <f t="shared" si="216"/>
        <v>0</v>
      </c>
      <c r="W369" s="1675">
        <f t="shared" si="216"/>
        <v>-0.34000000000000341</v>
      </c>
      <c r="X369" s="1675">
        <f t="shared" si="216"/>
        <v>-1</v>
      </c>
      <c r="Y369" s="1675">
        <f t="shared" si="216"/>
        <v>70.399999999999991</v>
      </c>
      <c r="Z369" s="1675">
        <f t="shared" si="216"/>
        <v>2.4370000000000118</v>
      </c>
      <c r="AA369" s="1675">
        <f t="shared" si="216"/>
        <v>-8.4000000000003183E-2</v>
      </c>
      <c r="AB369" s="1675">
        <f t="shared" si="216"/>
        <v>-4.9499999999999886</v>
      </c>
      <c r="AC369" s="1675">
        <f t="shared" si="216"/>
        <v>-5</v>
      </c>
      <c r="AD369" s="1675">
        <f t="shared" si="216"/>
        <v>-5</v>
      </c>
      <c r="AE369" s="1675">
        <f t="shared" si="216"/>
        <v>-5</v>
      </c>
      <c r="AF369" s="1675">
        <f t="shared" si="216"/>
        <v>-5</v>
      </c>
      <c r="AG369" s="1675">
        <f t="shared" si="216"/>
        <v>-5</v>
      </c>
      <c r="AH369" s="1293"/>
      <c r="AI369" s="1293"/>
      <c r="AJ369" s="1293"/>
      <c r="AK369" s="1293"/>
      <c r="AL369" s="1293"/>
      <c r="AM369" s="1293"/>
      <c r="AN369" s="1293"/>
      <c r="AO369" s="1293"/>
      <c r="AP369" s="1293"/>
      <c r="AQ369" s="1293"/>
      <c r="AR369" s="1293"/>
      <c r="AS369" s="1293"/>
    </row>
    <row r="370" spans="1:45" ht="15.75">
      <c r="A370" s="1653"/>
      <c r="B370" s="1653"/>
      <c r="C370" s="1653"/>
      <c r="D370" s="1675"/>
      <c r="E370" s="1675" t="s">
        <v>1823</v>
      </c>
      <c r="F370" s="1675"/>
      <c r="G370" s="1675"/>
      <c r="H370" s="1653" t="s">
        <v>1823</v>
      </c>
      <c r="I370" s="1653"/>
      <c r="J370" s="1653"/>
      <c r="K370" s="1653"/>
      <c r="L370" s="1653"/>
      <c r="M370" s="1653"/>
      <c r="N370" s="1653"/>
      <c r="O370" s="1653"/>
      <c r="P370" s="1653"/>
      <c r="Q370" s="1653"/>
      <c r="R370" s="1653"/>
      <c r="S370" s="1653"/>
      <c r="T370" s="1653"/>
      <c r="U370" s="1653"/>
      <c r="V370" s="1653"/>
      <c r="W370" s="1653"/>
      <c r="X370" s="1653"/>
      <c r="Y370" s="1653"/>
      <c r="Z370" s="1653"/>
      <c r="AA370" s="1653"/>
      <c r="AB370" s="1653"/>
      <c r="AC370" s="1653"/>
      <c r="AD370" s="1653"/>
      <c r="AE370" s="1653"/>
      <c r="AF370" s="1653"/>
      <c r="AG370" s="1653"/>
      <c r="AH370" s="1293"/>
      <c r="AI370" s="1293"/>
      <c r="AJ370" s="1293"/>
      <c r="AK370" s="1293"/>
      <c r="AL370" s="1293"/>
      <c r="AM370" s="1293"/>
      <c r="AN370" s="1293"/>
      <c r="AO370" s="1293"/>
      <c r="AP370" s="1293"/>
      <c r="AQ370" s="1293"/>
      <c r="AR370" s="1293"/>
      <c r="AS370" s="1293"/>
    </row>
    <row r="371" spans="1:45" ht="15.75">
      <c r="A371" s="1653" t="s">
        <v>859</v>
      </c>
      <c r="B371" s="1653"/>
      <c r="C371" s="1653"/>
      <c r="D371" s="1675"/>
      <c r="E371" s="1675"/>
      <c r="F371" s="1675"/>
      <c r="G371" s="1675"/>
      <c r="H371" s="1653"/>
      <c r="I371" s="1653"/>
      <c r="J371" s="1653"/>
      <c r="K371" s="1653"/>
      <c r="L371" s="1653"/>
      <c r="M371" s="1951">
        <v>3.2530000000000001</v>
      </c>
      <c r="N371" s="1872">
        <f t="shared" ref="N371:AG371" si="217">M371-N380+N377</f>
        <v>4.0529999999999999</v>
      </c>
      <c r="O371" s="1872">
        <f t="shared" si="217"/>
        <v>0.9</v>
      </c>
      <c r="P371" s="1872">
        <f t="shared" si="217"/>
        <v>0</v>
      </c>
      <c r="Q371" s="1878">
        <f t="shared" si="217"/>
        <v>0</v>
      </c>
      <c r="R371" s="1872">
        <f t="shared" si="217"/>
        <v>0</v>
      </c>
      <c r="S371" s="1872">
        <f t="shared" si="217"/>
        <v>0</v>
      </c>
      <c r="T371" s="1872">
        <f t="shared" si="217"/>
        <v>0</v>
      </c>
      <c r="U371" s="1872">
        <f t="shared" si="217"/>
        <v>0</v>
      </c>
      <c r="V371" s="1872">
        <f t="shared" si="217"/>
        <v>0</v>
      </c>
      <c r="W371" s="1872">
        <f t="shared" si="217"/>
        <v>0</v>
      </c>
      <c r="X371" s="1872">
        <f t="shared" si="217"/>
        <v>0</v>
      </c>
      <c r="Y371" s="1872">
        <f t="shared" si="217"/>
        <v>0</v>
      </c>
      <c r="Z371" s="1872">
        <f t="shared" si="217"/>
        <v>0</v>
      </c>
      <c r="AA371" s="1872">
        <f t="shared" si="217"/>
        <v>0</v>
      </c>
      <c r="AB371" s="1872">
        <f t="shared" si="217"/>
        <v>0</v>
      </c>
      <c r="AC371" s="1872">
        <f t="shared" si="217"/>
        <v>0</v>
      </c>
      <c r="AD371" s="1872">
        <f t="shared" si="217"/>
        <v>0</v>
      </c>
      <c r="AE371" s="1872">
        <f t="shared" si="217"/>
        <v>0</v>
      </c>
      <c r="AF371" s="1872">
        <f t="shared" si="217"/>
        <v>0</v>
      </c>
      <c r="AG371" s="1872">
        <f t="shared" si="217"/>
        <v>0</v>
      </c>
      <c r="AH371" s="1293"/>
      <c r="AI371" s="1293"/>
      <c r="AJ371" s="1293"/>
      <c r="AK371" s="1293"/>
      <c r="AL371" s="1293"/>
      <c r="AM371" s="1293"/>
      <c r="AN371" s="1293"/>
      <c r="AO371" s="1293"/>
      <c r="AP371" s="1293"/>
      <c r="AQ371" s="1293"/>
      <c r="AR371" s="1293"/>
      <c r="AS371" s="1293"/>
    </row>
    <row r="372" spans="1:45" ht="15.75">
      <c r="A372" s="1653"/>
      <c r="B372" s="1653"/>
      <c r="C372" s="1653"/>
      <c r="D372" s="1675"/>
      <c r="E372" s="1675"/>
      <c r="F372" s="1675"/>
      <c r="G372" s="1675"/>
      <c r="H372" s="1653"/>
      <c r="I372" s="1653"/>
      <c r="J372" s="1653"/>
      <c r="K372" s="1653"/>
      <c r="L372" s="1653"/>
      <c r="M372" s="1653"/>
      <c r="N372" s="1653"/>
      <c r="O372" s="1653"/>
      <c r="P372" s="1653"/>
      <c r="Q372" s="1653"/>
      <c r="R372" s="1653"/>
      <c r="S372" s="1653"/>
      <c r="T372" s="1653"/>
      <c r="U372" s="1653"/>
      <c r="V372" s="1653"/>
      <c r="W372" s="1653"/>
      <c r="X372" s="1653"/>
      <c r="Y372" s="1653"/>
      <c r="Z372" s="1653"/>
      <c r="AA372" s="1653"/>
      <c r="AB372" s="1653"/>
      <c r="AC372" s="1653"/>
      <c r="AD372" s="1653"/>
      <c r="AE372" s="1653"/>
      <c r="AF372" s="1653"/>
      <c r="AG372" s="1653"/>
      <c r="AH372" s="1293"/>
      <c r="AI372" s="1293"/>
      <c r="AJ372" s="1293"/>
      <c r="AK372" s="1293"/>
      <c r="AL372" s="1293"/>
      <c r="AM372" s="1293"/>
      <c r="AN372" s="1293"/>
      <c r="AO372" s="1293"/>
      <c r="AP372" s="1293"/>
      <c r="AQ372" s="1293"/>
      <c r="AR372" s="1293"/>
      <c r="AS372" s="1293"/>
    </row>
    <row r="373" spans="1:45" ht="15.75">
      <c r="A373" s="1653" t="s">
        <v>763</v>
      </c>
      <c r="B373" s="1653"/>
      <c r="C373" s="1653"/>
      <c r="D373" s="1675"/>
      <c r="E373" s="1717">
        <v>65.272000000000006</v>
      </c>
      <c r="F373" s="1717">
        <v>80.5</v>
      </c>
      <c r="G373" s="1717">
        <v>90.311999999999998</v>
      </c>
      <c r="H373" s="1872">
        <f>AVERAGE(G374:H374)</f>
        <v>109.17099999999999</v>
      </c>
      <c r="I373" s="1872">
        <f>AVERAGE(H374:I374)</f>
        <v>109.02999999999999</v>
      </c>
      <c r="J373" s="1872">
        <f>AVERAGE(I374:J374)</f>
        <v>108.83999999999999</v>
      </c>
      <c r="K373" s="1717">
        <v>108.646</v>
      </c>
      <c r="L373" s="1717">
        <v>108.75</v>
      </c>
      <c r="M373" s="1675">
        <f t="shared" ref="M373:AG373" si="218">AVERAGE(L374:M374)</f>
        <v>107.22399999999999</v>
      </c>
      <c r="N373" s="1675">
        <f t="shared" si="218"/>
        <v>103.7735</v>
      </c>
      <c r="O373" s="1675">
        <f t="shared" si="218"/>
        <v>101.297</v>
      </c>
      <c r="P373" s="1675">
        <f t="shared" si="218"/>
        <v>100.84699999999999</v>
      </c>
      <c r="Q373" s="1872">
        <f t="shared" si="218"/>
        <v>100.84699999999999</v>
      </c>
      <c r="R373" s="1872">
        <f t="shared" si="218"/>
        <v>100.84699999999999</v>
      </c>
      <c r="S373" s="1872">
        <f t="shared" si="218"/>
        <v>100.84699999999999</v>
      </c>
      <c r="T373" s="1872">
        <f t="shared" si="218"/>
        <v>100.84699999999999</v>
      </c>
      <c r="U373" s="1872">
        <f t="shared" si="218"/>
        <v>100.84699999999999</v>
      </c>
      <c r="V373" s="1872">
        <f t="shared" si="218"/>
        <v>100.84699999999999</v>
      </c>
      <c r="W373" s="1872">
        <f t="shared" si="218"/>
        <v>100.84699999999999</v>
      </c>
      <c r="X373" s="1872">
        <f t="shared" si="218"/>
        <v>100.84699999999999</v>
      </c>
      <c r="Y373" s="1872">
        <f t="shared" si="218"/>
        <v>136.047</v>
      </c>
      <c r="Z373" s="1872">
        <f t="shared" si="218"/>
        <v>171.322</v>
      </c>
      <c r="AA373" s="1872">
        <f t="shared" si="218"/>
        <v>171.9785</v>
      </c>
      <c r="AB373" s="1872">
        <f t="shared" si="218"/>
        <v>172.56</v>
      </c>
      <c r="AC373" s="1872">
        <f t="shared" si="218"/>
        <v>172.56</v>
      </c>
      <c r="AD373" s="1872">
        <f t="shared" si="218"/>
        <v>172.56</v>
      </c>
      <c r="AE373" s="1872">
        <f t="shared" si="218"/>
        <v>172.56</v>
      </c>
      <c r="AF373" s="1872">
        <f t="shared" si="218"/>
        <v>172.56</v>
      </c>
      <c r="AG373" s="1872">
        <f t="shared" si="218"/>
        <v>172.56</v>
      </c>
      <c r="AH373" s="1293"/>
      <c r="AI373" s="1293"/>
      <c r="AJ373" s="1293"/>
      <c r="AK373" s="1293"/>
      <c r="AL373" s="1293"/>
      <c r="AM373" s="1293"/>
      <c r="AN373" s="1293"/>
      <c r="AO373" s="1293"/>
      <c r="AP373" s="1293"/>
      <c r="AQ373" s="1293"/>
      <c r="AR373" s="1293"/>
      <c r="AS373" s="1293"/>
    </row>
    <row r="374" spans="1:45" ht="15.75">
      <c r="A374" s="1653" t="s">
        <v>767</v>
      </c>
      <c r="B374" s="1653"/>
      <c r="C374" s="1653"/>
      <c r="D374" s="1717">
        <v>94.832999999999998</v>
      </c>
      <c r="E374" s="1717">
        <v>94.832999999999998</v>
      </c>
      <c r="F374" s="1952">
        <v>100</v>
      </c>
      <c r="G374" s="1717">
        <f>G368+5.74+4.127</f>
        <v>109.08599999999998</v>
      </c>
      <c r="H374" s="1717">
        <f>H368+5.74+3.812</f>
        <v>109.25599999999999</v>
      </c>
      <c r="I374" s="1717">
        <f>I368+5.74+2.38</f>
        <v>108.80399999999999</v>
      </c>
      <c r="J374" s="1717">
        <f>J368+5.74+0.708</f>
        <v>108.87599999999999</v>
      </c>
      <c r="K374" s="1717">
        <v>108.297</v>
      </c>
      <c r="L374" s="1717">
        <v>108.648</v>
      </c>
      <c r="M374" s="1675">
        <f>M368-M371</f>
        <v>105.8</v>
      </c>
      <c r="N374" s="1675">
        <f t="shared" ref="N374:X374" si="219">M374-N371</f>
        <v>101.747</v>
      </c>
      <c r="O374" s="1675">
        <f t="shared" si="219"/>
        <v>100.84699999999999</v>
      </c>
      <c r="P374" s="1675">
        <f t="shared" si="219"/>
        <v>100.84699999999999</v>
      </c>
      <c r="Q374" s="1872">
        <f t="shared" si="219"/>
        <v>100.84699999999999</v>
      </c>
      <c r="R374" s="1872">
        <f t="shared" si="219"/>
        <v>100.84699999999999</v>
      </c>
      <c r="S374" s="1872">
        <f t="shared" si="219"/>
        <v>100.84699999999999</v>
      </c>
      <c r="T374" s="1872">
        <f t="shared" si="219"/>
        <v>100.84699999999999</v>
      </c>
      <c r="U374" s="1872">
        <f t="shared" si="219"/>
        <v>100.84699999999999</v>
      </c>
      <c r="V374" s="1872">
        <f t="shared" si="219"/>
        <v>100.84699999999999</v>
      </c>
      <c r="W374" s="1872">
        <f t="shared" si="219"/>
        <v>100.84699999999999</v>
      </c>
      <c r="X374" s="1872">
        <f t="shared" si="219"/>
        <v>100.84699999999999</v>
      </c>
      <c r="Y374" s="1872">
        <f>X374-Y371+Y382</f>
        <v>171.24700000000001</v>
      </c>
      <c r="Z374" s="2501">
        <v>171.39699999999999</v>
      </c>
      <c r="AA374" s="2501">
        <v>172.56</v>
      </c>
      <c r="AB374" s="1872">
        <f t="shared" ref="AB374:AG374" si="220">AA374-AB371+AB382</f>
        <v>172.56</v>
      </c>
      <c r="AC374" s="1872">
        <f t="shared" si="220"/>
        <v>172.56</v>
      </c>
      <c r="AD374" s="1872">
        <f t="shared" si="220"/>
        <v>172.56</v>
      </c>
      <c r="AE374" s="1872">
        <f t="shared" si="220"/>
        <v>172.56</v>
      </c>
      <c r="AF374" s="1872">
        <f t="shared" si="220"/>
        <v>172.56</v>
      </c>
      <c r="AG374" s="1872">
        <f t="shared" si="220"/>
        <v>172.56</v>
      </c>
      <c r="AH374" s="1293"/>
      <c r="AI374" s="1293"/>
      <c r="AJ374" s="1293"/>
      <c r="AK374" s="1293"/>
      <c r="AL374" s="1293"/>
      <c r="AM374" s="1293"/>
      <c r="AN374" s="1293"/>
      <c r="AO374" s="1293"/>
      <c r="AP374" s="1293"/>
      <c r="AQ374" s="1293"/>
      <c r="AR374" s="1293"/>
      <c r="AS374" s="1293"/>
    </row>
    <row r="375" spans="1:45" ht="15.75">
      <c r="A375" s="1653" t="s">
        <v>766</v>
      </c>
      <c r="B375" s="1653"/>
      <c r="C375" s="1653"/>
      <c r="D375" s="1653"/>
      <c r="E375" s="1675">
        <f t="shared" ref="E375:AG375" si="221">E374-D374</f>
        <v>0</v>
      </c>
      <c r="F375" s="1675">
        <f t="shared" si="221"/>
        <v>5.1670000000000016</v>
      </c>
      <c r="G375" s="1675">
        <f t="shared" si="221"/>
        <v>9.0859999999999843</v>
      </c>
      <c r="H375" s="1675">
        <f t="shared" si="221"/>
        <v>0.17000000000000171</v>
      </c>
      <c r="I375" s="1675">
        <f t="shared" si="221"/>
        <v>-0.45199999999999818</v>
      </c>
      <c r="J375" s="1675">
        <f t="shared" si="221"/>
        <v>7.2000000000002728E-2</v>
      </c>
      <c r="K375" s="1675">
        <f t="shared" si="221"/>
        <v>-0.57899999999999352</v>
      </c>
      <c r="L375" s="1675">
        <f t="shared" si="221"/>
        <v>0.35099999999999909</v>
      </c>
      <c r="M375" s="1872">
        <f t="shared" si="221"/>
        <v>-2.847999999999999</v>
      </c>
      <c r="N375" s="1872">
        <f t="shared" si="221"/>
        <v>-4.0529999999999973</v>
      </c>
      <c r="O375" s="1872">
        <f t="shared" si="221"/>
        <v>-0.90000000000000568</v>
      </c>
      <c r="P375" s="1872">
        <f t="shared" si="221"/>
        <v>0</v>
      </c>
      <c r="Q375" s="1872">
        <f t="shared" si="221"/>
        <v>0</v>
      </c>
      <c r="R375" s="1872">
        <f t="shared" si="221"/>
        <v>0</v>
      </c>
      <c r="S375" s="1872">
        <f t="shared" si="221"/>
        <v>0</v>
      </c>
      <c r="T375" s="1872">
        <f t="shared" si="221"/>
        <v>0</v>
      </c>
      <c r="U375" s="1872">
        <f t="shared" si="221"/>
        <v>0</v>
      </c>
      <c r="V375" s="1872">
        <f t="shared" si="221"/>
        <v>0</v>
      </c>
      <c r="W375" s="1872">
        <f t="shared" si="221"/>
        <v>0</v>
      </c>
      <c r="X375" s="1872">
        <f t="shared" si="221"/>
        <v>0</v>
      </c>
      <c r="Y375" s="1872">
        <f t="shared" si="221"/>
        <v>70.40000000000002</v>
      </c>
      <c r="Z375" s="1872">
        <f t="shared" si="221"/>
        <v>0.14999999999997726</v>
      </c>
      <c r="AA375" s="1872">
        <f t="shared" si="221"/>
        <v>1.1630000000000109</v>
      </c>
      <c r="AB375" s="1872">
        <f t="shared" si="221"/>
        <v>0</v>
      </c>
      <c r="AC375" s="1872">
        <f t="shared" si="221"/>
        <v>0</v>
      </c>
      <c r="AD375" s="1872">
        <f t="shared" si="221"/>
        <v>0</v>
      </c>
      <c r="AE375" s="1872">
        <f t="shared" si="221"/>
        <v>0</v>
      </c>
      <c r="AF375" s="1872">
        <f t="shared" si="221"/>
        <v>0</v>
      </c>
      <c r="AG375" s="1872">
        <f t="shared" si="221"/>
        <v>0</v>
      </c>
      <c r="AH375" s="1293"/>
      <c r="AI375" s="1293"/>
      <c r="AJ375" s="1293"/>
      <c r="AK375" s="1293"/>
      <c r="AL375" s="1293"/>
      <c r="AM375" s="1293"/>
      <c r="AN375" s="1293"/>
      <c r="AO375" s="1293"/>
      <c r="AP375" s="1293"/>
      <c r="AQ375" s="1293"/>
      <c r="AR375" s="1293"/>
      <c r="AS375" s="1293"/>
    </row>
    <row r="376" spans="1:45" ht="15.75">
      <c r="A376" s="1653"/>
      <c r="B376" s="1653"/>
      <c r="C376" s="1653"/>
      <c r="D376" s="1675"/>
      <c r="E376" s="167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1675"/>
      <c r="AH376" s="1293"/>
      <c r="AI376" s="1293"/>
      <c r="AJ376" s="1293"/>
      <c r="AK376" s="1293"/>
      <c r="AL376" s="1293"/>
      <c r="AM376" s="1293"/>
      <c r="AN376" s="1293"/>
      <c r="AO376" s="1293"/>
      <c r="AP376" s="1293"/>
      <c r="AQ376" s="1293"/>
      <c r="AR376" s="1293"/>
      <c r="AS376" s="1293"/>
    </row>
    <row r="377" spans="1:45" ht="15.75">
      <c r="A377" s="1653" t="s">
        <v>415</v>
      </c>
      <c r="B377" s="1653"/>
      <c r="C377" s="1653"/>
      <c r="D377" s="1951">
        <v>0</v>
      </c>
      <c r="E377" s="1951">
        <v>0</v>
      </c>
      <c r="F377" s="1951">
        <v>0</v>
      </c>
      <c r="G377" s="1951">
        <v>0</v>
      </c>
      <c r="H377" s="1951">
        <v>0</v>
      </c>
      <c r="I377" s="1951">
        <v>0</v>
      </c>
      <c r="J377" s="1951">
        <v>0</v>
      </c>
      <c r="K377" s="1951">
        <v>0</v>
      </c>
      <c r="L377" s="1951">
        <v>0</v>
      </c>
      <c r="M377" s="1951">
        <v>3.2530000000000001</v>
      </c>
      <c r="N377" s="1951">
        <v>5</v>
      </c>
      <c r="O377" s="1951">
        <v>0.9</v>
      </c>
      <c r="P377" s="1951">
        <v>0</v>
      </c>
      <c r="Q377" s="1951">
        <v>0</v>
      </c>
      <c r="R377" s="1951">
        <v>0</v>
      </c>
      <c r="S377" s="1951">
        <v>0</v>
      </c>
      <c r="T377" s="1951">
        <v>0</v>
      </c>
      <c r="U377" s="1951">
        <v>0</v>
      </c>
      <c r="V377" s="1951">
        <v>0</v>
      </c>
      <c r="W377" s="1951">
        <v>0.34</v>
      </c>
      <c r="X377" s="1951">
        <v>1</v>
      </c>
      <c r="Y377" s="1951">
        <v>0</v>
      </c>
      <c r="Z377" s="1951">
        <v>0</v>
      </c>
      <c r="AA377" s="1951">
        <v>0</v>
      </c>
      <c r="AB377" s="1951">
        <v>4.95</v>
      </c>
      <c r="AC377" s="1951">
        <v>5</v>
      </c>
      <c r="AD377" s="1951">
        <v>5</v>
      </c>
      <c r="AE377" s="1951">
        <v>5</v>
      </c>
      <c r="AF377" s="1951">
        <v>5</v>
      </c>
      <c r="AG377" s="1951">
        <v>5</v>
      </c>
      <c r="AH377" s="1293"/>
      <c r="AI377" s="1293"/>
      <c r="AJ377" s="1293"/>
      <c r="AK377" s="1293"/>
      <c r="AL377" s="1293"/>
      <c r="AM377" s="1293"/>
      <c r="AN377" s="1293"/>
      <c r="AO377" s="1293"/>
      <c r="AP377" s="1293"/>
      <c r="AQ377" s="1293"/>
      <c r="AR377" s="1293"/>
      <c r="AS377" s="1293"/>
    </row>
    <row r="378" spans="1:45" ht="15.75">
      <c r="A378" s="1653" t="s">
        <v>834</v>
      </c>
      <c r="B378" s="1653"/>
      <c r="C378" s="1653"/>
      <c r="D378" s="1653">
        <f ca="1">D377*SOP!$I$38</f>
        <v>0</v>
      </c>
      <c r="E378" s="1653">
        <f ca="1">E377*SOP!$I$38</f>
        <v>0</v>
      </c>
      <c r="F378" s="1653">
        <f ca="1">F377*SOP!$I$38</f>
        <v>0</v>
      </c>
      <c r="G378" s="1653">
        <f ca="1">G377*SOP!$I$38</f>
        <v>0</v>
      </c>
      <c r="H378" s="1653">
        <f ca="1">H377*SOP!$I$38</f>
        <v>0</v>
      </c>
      <c r="I378" s="1653">
        <f ca="1">I377*SOP!$I$38</f>
        <v>0</v>
      </c>
      <c r="J378" s="1653">
        <f ca="1">J377*SOP!$I$38</f>
        <v>0</v>
      </c>
      <c r="K378" s="1653">
        <f ca="1">K377*SOP!$I$38</f>
        <v>0</v>
      </c>
      <c r="L378" s="1653">
        <f ca="1">L377*SOP!$I$38</f>
        <v>0</v>
      </c>
      <c r="M378" s="1666">
        <f>M377*92</f>
        <v>299.27600000000001</v>
      </c>
      <c r="N378" s="1666">
        <f>N377*680/SOP!$I$42</f>
        <v>308.81017257039053</v>
      </c>
      <c r="O378" s="1666">
        <f>O377*Valuation!$B$2/SOP!$I$42</f>
        <v>26.622000000000003</v>
      </c>
      <c r="P378" s="1666">
        <f>P377*Valuation!$B$2/SOP!$I$42</f>
        <v>0</v>
      </c>
      <c r="Q378" s="1666">
        <f>Q377*Valuation!$B$2/SOP!$I$42</f>
        <v>0</v>
      </c>
      <c r="R378" s="1666">
        <f>R377*Valuation!$B$2/SOP!$I$42</f>
        <v>0</v>
      </c>
      <c r="S378" s="1666">
        <f>S377*Valuation!$B$2/SOP!$I$42</f>
        <v>0</v>
      </c>
      <c r="T378" s="1666">
        <f>T377*Valuation!$B$2/SOP!$I$42</f>
        <v>0</v>
      </c>
      <c r="U378" s="1666">
        <f>U377*Valuation!$B$2/SOP!$I$42</f>
        <v>0</v>
      </c>
      <c r="V378" s="1666">
        <f>V377*Valuation!$B$3</f>
        <v>0</v>
      </c>
      <c r="W378" s="1666">
        <f>W377*Valuation!$B$4</f>
        <v>10.0572</v>
      </c>
      <c r="X378" s="1666">
        <f>X377*Valuation!$B$4</f>
        <v>29.58</v>
      </c>
      <c r="Y378" s="1666">
        <f>Y377*Valuation!$B$4</f>
        <v>0</v>
      </c>
      <c r="Z378" s="1666">
        <f>Z377*Valuation!$B$4</f>
        <v>0</v>
      </c>
      <c r="AA378" s="1666">
        <f>AA377*Valuation!$B$4</f>
        <v>0</v>
      </c>
      <c r="AB378" s="1666">
        <f>AB377*Valuation!$B$4</f>
        <v>146.42099999999999</v>
      </c>
      <c r="AC378" s="1666">
        <f>AC377*Valuation!$B$4</f>
        <v>147.89999999999998</v>
      </c>
      <c r="AD378" s="1666">
        <f>AD377*Valuation!$B$4</f>
        <v>147.89999999999998</v>
      </c>
      <c r="AE378" s="1666">
        <f>AE377*Valuation!$B$4</f>
        <v>147.89999999999998</v>
      </c>
      <c r="AF378" s="1666">
        <f>AF377*Valuation!$B$4</f>
        <v>147.89999999999998</v>
      </c>
      <c r="AG378" s="1666">
        <f>AG377*Valuation!$B$4</f>
        <v>147.89999999999998</v>
      </c>
      <c r="AH378" s="1293"/>
      <c r="AI378" s="1293"/>
      <c r="AJ378" s="1293"/>
      <c r="AK378" s="1293"/>
      <c r="AL378" s="1293"/>
      <c r="AM378" s="1293"/>
      <c r="AN378" s="1293"/>
      <c r="AO378" s="1293"/>
      <c r="AP378" s="1293"/>
      <c r="AQ378" s="1293"/>
      <c r="AR378" s="1293"/>
      <c r="AS378" s="1293"/>
    </row>
    <row r="379" spans="1:45" ht="15.75">
      <c r="A379" s="1653"/>
      <c r="B379" s="1653"/>
      <c r="C379" s="1653"/>
      <c r="D379" s="1675"/>
      <c r="E379" s="1675"/>
      <c r="F379" s="1675"/>
      <c r="G379" s="1675"/>
      <c r="H379" s="1675"/>
      <c r="I379" s="1675"/>
      <c r="J379" s="1675"/>
      <c r="K379" s="1675"/>
      <c r="L379" s="1675"/>
      <c r="M379" s="1675"/>
      <c r="N379" s="1675"/>
      <c r="O379" s="1675"/>
      <c r="P379" s="1675"/>
      <c r="Q379" s="1675"/>
      <c r="R379" s="1675"/>
      <c r="S379" s="1675"/>
      <c r="T379" s="1675"/>
      <c r="U379" s="1675"/>
      <c r="V379" s="1675"/>
      <c r="W379" s="1675"/>
      <c r="X379" s="1675"/>
      <c r="Y379" s="1675"/>
      <c r="Z379" s="1675"/>
      <c r="AA379" s="1675"/>
      <c r="AB379" s="1675"/>
      <c r="AC379" s="1675"/>
      <c r="AD379" s="1675"/>
      <c r="AE379" s="1675"/>
      <c r="AF379" s="1675"/>
      <c r="AG379" s="1675"/>
      <c r="AH379" s="1293"/>
      <c r="AI379" s="1293"/>
      <c r="AJ379" s="1293"/>
      <c r="AK379" s="1293"/>
      <c r="AL379" s="1293"/>
      <c r="AM379" s="1293"/>
      <c r="AN379" s="1293"/>
      <c r="AO379" s="1293"/>
      <c r="AP379" s="1293"/>
      <c r="AQ379" s="1293"/>
      <c r="AR379" s="1293"/>
      <c r="AS379" s="1293"/>
    </row>
    <row r="380" spans="1:45" ht="15.75">
      <c r="A380" s="1653" t="s">
        <v>860</v>
      </c>
      <c r="B380" s="1653"/>
      <c r="C380" s="1653"/>
      <c r="D380" s="1675"/>
      <c r="E380" s="1675"/>
      <c r="F380" s="1675"/>
      <c r="G380" s="1675"/>
      <c r="H380" s="1675"/>
      <c r="I380" s="1675"/>
      <c r="J380" s="1675"/>
      <c r="K380" s="1675"/>
      <c r="L380" s="1675"/>
      <c r="M380" s="1675"/>
      <c r="N380" s="1951">
        <v>4.2</v>
      </c>
      <c r="O380" s="1872">
        <f t="shared" ref="O380:U380" si="222">N371</f>
        <v>4.0529999999999999</v>
      </c>
      <c r="P380" s="1872">
        <f t="shared" si="222"/>
        <v>0.9</v>
      </c>
      <c r="Q380" s="1872">
        <f t="shared" si="222"/>
        <v>0</v>
      </c>
      <c r="R380" s="1872">
        <f t="shared" si="222"/>
        <v>0</v>
      </c>
      <c r="S380" s="1872">
        <f t="shared" si="222"/>
        <v>0</v>
      </c>
      <c r="T380" s="1872">
        <f t="shared" si="222"/>
        <v>0</v>
      </c>
      <c r="U380" s="1872">
        <f t="shared" si="222"/>
        <v>0</v>
      </c>
      <c r="V380" s="1872">
        <f t="shared" ref="V380:AG380" si="223">V377</f>
        <v>0</v>
      </c>
      <c r="W380" s="1872">
        <f t="shared" si="223"/>
        <v>0.34</v>
      </c>
      <c r="X380" s="1872">
        <f t="shared" si="223"/>
        <v>1</v>
      </c>
      <c r="Y380" s="1872">
        <f t="shared" si="223"/>
        <v>0</v>
      </c>
      <c r="Z380" s="1872">
        <f t="shared" si="223"/>
        <v>0</v>
      </c>
      <c r="AA380" s="1872">
        <f t="shared" si="223"/>
        <v>0</v>
      </c>
      <c r="AB380" s="1872">
        <f t="shared" si="223"/>
        <v>4.95</v>
      </c>
      <c r="AC380" s="1872">
        <f t="shared" si="223"/>
        <v>5</v>
      </c>
      <c r="AD380" s="1872">
        <f t="shared" si="223"/>
        <v>5</v>
      </c>
      <c r="AE380" s="1872">
        <f t="shared" si="223"/>
        <v>5</v>
      </c>
      <c r="AF380" s="1872">
        <f t="shared" si="223"/>
        <v>5</v>
      </c>
      <c r="AG380" s="1872">
        <f t="shared" si="223"/>
        <v>5</v>
      </c>
      <c r="AH380" s="1293"/>
      <c r="AI380" s="1293"/>
      <c r="AJ380" s="1293"/>
      <c r="AK380" s="1293"/>
      <c r="AL380" s="1293"/>
      <c r="AM380" s="1293"/>
      <c r="AN380" s="1293"/>
      <c r="AO380" s="1293"/>
      <c r="AP380" s="1293"/>
      <c r="AQ380" s="1293"/>
      <c r="AR380" s="1293"/>
      <c r="AS380" s="1293"/>
    </row>
    <row r="381" spans="1:45" ht="15.75">
      <c r="A381" s="1653"/>
      <c r="B381" s="1653"/>
      <c r="C381" s="1653"/>
      <c r="D381" s="1675"/>
      <c r="E381" s="1675"/>
      <c r="F381" s="1675"/>
      <c r="G381" s="1675"/>
      <c r="H381" s="1675"/>
      <c r="I381" s="1675"/>
      <c r="J381" s="1675"/>
      <c r="K381" s="1675"/>
      <c r="L381" s="1675"/>
      <c r="M381" s="1675"/>
      <c r="N381" s="1675"/>
      <c r="O381" s="1675"/>
      <c r="P381" s="1675"/>
      <c r="Q381" s="1675"/>
      <c r="R381" s="1675"/>
      <c r="S381" s="1675"/>
      <c r="T381" s="1675"/>
      <c r="U381" s="1675"/>
      <c r="V381" s="1675"/>
      <c r="W381" s="1675"/>
      <c r="X381" s="1675"/>
      <c r="Y381" s="1675"/>
      <c r="Z381" s="1675"/>
      <c r="AA381" s="1675"/>
      <c r="AB381" s="1675"/>
      <c r="AC381" s="1675"/>
      <c r="AD381" s="1675"/>
      <c r="AE381" s="1675"/>
      <c r="AF381" s="1675"/>
      <c r="AG381" s="1675"/>
      <c r="AH381" s="1293"/>
      <c r="AI381" s="1293"/>
      <c r="AJ381" s="1293"/>
      <c r="AK381" s="1293"/>
      <c r="AL381" s="1293"/>
      <c r="AM381" s="1293"/>
      <c r="AN381" s="1293"/>
      <c r="AO381" s="1293"/>
      <c r="AP381" s="1293"/>
      <c r="AQ381" s="1293"/>
      <c r="AR381" s="1293"/>
      <c r="AS381" s="1293"/>
    </row>
    <row r="382" spans="1:45" ht="15.75">
      <c r="A382" s="1653" t="s">
        <v>7298</v>
      </c>
      <c r="B382" s="1653"/>
      <c r="C382" s="1653"/>
      <c r="D382" s="1675"/>
      <c r="E382" s="1675"/>
      <c r="F382" s="1675"/>
      <c r="G382" s="1675"/>
      <c r="H382" s="1675"/>
      <c r="I382" s="1675"/>
      <c r="J382" s="1675"/>
      <c r="K382" s="1675"/>
      <c r="L382" s="1675"/>
      <c r="M382" s="1675"/>
      <c r="N382" s="1675"/>
      <c r="O382" s="1675"/>
      <c r="P382" s="1675"/>
      <c r="Q382" s="1675"/>
      <c r="R382" s="1675"/>
      <c r="S382" s="1675"/>
      <c r="T382" s="1675"/>
      <c r="U382" s="1675"/>
      <c r="V382" s="1675"/>
      <c r="W382" s="1675"/>
      <c r="X382" s="1675"/>
      <c r="Y382" s="1951">
        <v>70.400000000000006</v>
      </c>
      <c r="Z382" s="1951"/>
      <c r="AA382" s="1951"/>
      <c r="AB382" s="1951"/>
      <c r="AC382" s="1951"/>
      <c r="AD382" s="1951"/>
      <c r="AE382" s="1951"/>
      <c r="AF382" s="1951"/>
      <c r="AG382" s="1951"/>
      <c r="AH382" s="1293"/>
      <c r="AI382" s="1293"/>
      <c r="AJ382" s="1293"/>
      <c r="AK382" s="1293"/>
      <c r="AL382" s="1293"/>
      <c r="AM382" s="1293"/>
      <c r="AN382" s="1293"/>
      <c r="AO382" s="1293"/>
      <c r="AP382" s="1293"/>
      <c r="AQ382" s="1293"/>
      <c r="AR382" s="1293"/>
      <c r="AS382" s="1293"/>
    </row>
    <row r="383" spans="1:45" ht="15.75">
      <c r="A383" s="1653" t="s">
        <v>2408</v>
      </c>
      <c r="B383" s="1653"/>
      <c r="C383" s="1653"/>
      <c r="D383" s="1675"/>
      <c r="E383" s="1675"/>
      <c r="F383" s="1675"/>
      <c r="G383" s="1675"/>
      <c r="H383" s="1675"/>
      <c r="I383" s="1675"/>
      <c r="J383" s="1675"/>
      <c r="K383" s="1675"/>
      <c r="L383" s="1675"/>
      <c r="M383" s="1675"/>
      <c r="N383" s="1675"/>
      <c r="O383" s="1675"/>
      <c r="P383" s="1675"/>
      <c r="Q383" s="1675"/>
      <c r="R383" s="1675"/>
      <c r="S383" s="1675"/>
      <c r="T383" s="1675"/>
      <c r="U383" s="1675"/>
      <c r="V383" s="1675"/>
      <c r="W383" s="1675"/>
      <c r="X383" s="1675"/>
      <c r="Y383" s="1872">
        <f>Y384/Y382</f>
        <v>10.085227272727272</v>
      </c>
      <c r="Z383" s="1951"/>
      <c r="AA383" s="1951"/>
      <c r="AB383" s="1951"/>
      <c r="AC383" s="1951"/>
      <c r="AD383" s="1951"/>
      <c r="AE383" s="1951"/>
      <c r="AF383" s="1951"/>
      <c r="AG383" s="1951"/>
      <c r="AH383" s="1293"/>
      <c r="AI383" s="1293"/>
      <c r="AJ383" s="1293"/>
      <c r="AK383" s="1293"/>
      <c r="AL383" s="1293"/>
      <c r="AM383" s="1293"/>
      <c r="AN383" s="1293"/>
      <c r="AO383" s="1293"/>
      <c r="AP383" s="1293"/>
      <c r="AQ383" s="1293"/>
      <c r="AR383" s="1293"/>
      <c r="AS383" s="1293"/>
    </row>
    <row r="384" spans="1:45" ht="15.75">
      <c r="A384" s="1653" t="s">
        <v>7330</v>
      </c>
      <c r="B384" s="1653"/>
      <c r="C384" s="1653"/>
      <c r="D384" s="1675"/>
      <c r="E384" s="1675"/>
      <c r="F384" s="1675"/>
      <c r="G384" s="1675"/>
      <c r="H384" s="1675"/>
      <c r="I384" s="1675"/>
      <c r="J384" s="1675"/>
      <c r="K384" s="1675"/>
      <c r="L384" s="1675"/>
      <c r="M384" s="1675"/>
      <c r="N384" s="1675"/>
      <c r="O384" s="1675"/>
      <c r="P384" s="1675"/>
      <c r="Q384" s="1675"/>
      <c r="R384" s="1675"/>
      <c r="S384" s="1675"/>
      <c r="T384" s="1675"/>
      <c r="U384" s="1675"/>
      <c r="V384" s="1675"/>
      <c r="W384" s="1675"/>
      <c r="X384" s="1675"/>
      <c r="Y384" s="1717">
        <v>710</v>
      </c>
      <c r="Z384" s="1951">
        <v>0</v>
      </c>
      <c r="AA384" s="1951">
        <v>0</v>
      </c>
      <c r="AB384" s="1951">
        <v>0</v>
      </c>
      <c r="AC384" s="1951">
        <v>0</v>
      </c>
      <c r="AD384" s="1951">
        <v>0</v>
      </c>
      <c r="AE384" s="1951">
        <v>0</v>
      </c>
      <c r="AF384" s="1951">
        <v>0</v>
      </c>
      <c r="AG384" s="1951">
        <v>0</v>
      </c>
      <c r="AH384" s="1293"/>
      <c r="AI384" s="1293"/>
      <c r="AJ384" s="1293"/>
      <c r="AK384" s="1293"/>
      <c r="AL384" s="1293"/>
      <c r="AM384" s="1293"/>
      <c r="AN384" s="1293"/>
      <c r="AO384" s="1293"/>
      <c r="AP384" s="1293"/>
      <c r="AQ384" s="1293"/>
      <c r="AR384" s="1293"/>
      <c r="AS384" s="1293"/>
    </row>
    <row r="385" spans="1:45" ht="15.75">
      <c r="A385" s="1653"/>
      <c r="B385" s="1653"/>
      <c r="C385" s="1653"/>
      <c r="D385" s="1675"/>
      <c r="E385" s="1675"/>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1675"/>
      <c r="AH385" s="1293"/>
      <c r="AI385" s="1293"/>
      <c r="AJ385" s="1293"/>
      <c r="AK385" s="1293"/>
      <c r="AL385" s="1293"/>
      <c r="AM385" s="1293"/>
      <c r="AN385" s="1293"/>
      <c r="AO385" s="1293"/>
      <c r="AP385" s="1293"/>
      <c r="AQ385" s="1293"/>
      <c r="AR385" s="1293"/>
      <c r="AS385" s="1293"/>
    </row>
    <row r="386" spans="1:45" ht="15.75">
      <c r="A386" s="1653" t="s">
        <v>404</v>
      </c>
      <c r="B386" s="1653"/>
      <c r="C386" s="1653"/>
      <c r="D386" s="1675"/>
      <c r="E386" s="1675"/>
      <c r="F386" s="1872">
        <f>F364/F373</f>
        <v>0</v>
      </c>
      <c r="G386" s="1872">
        <f>G364/G367</f>
        <v>0</v>
      </c>
      <c r="H386" s="1872">
        <f ca="1">H364/H367</f>
        <v>0</v>
      </c>
      <c r="I386" s="1872">
        <f ca="1">I364/I367</f>
        <v>0</v>
      </c>
      <c r="J386" s="1951">
        <v>2.4</v>
      </c>
      <c r="K386" s="1951">
        <v>1.2</v>
      </c>
      <c r="L386" s="1872">
        <f t="shared" ref="L386:AG386" si="224">L389+L392</f>
        <v>6</v>
      </c>
      <c r="M386" s="1872">
        <f t="shared" si="224"/>
        <v>4.8</v>
      </c>
      <c r="N386" s="1872">
        <f t="shared" si="224"/>
        <v>5.4</v>
      </c>
      <c r="O386" s="1872">
        <f t="shared" si="224"/>
        <v>2.64</v>
      </c>
      <c r="P386" s="1872">
        <f t="shared" si="224"/>
        <v>2.64</v>
      </c>
      <c r="Q386" s="1872">
        <f t="shared" si="224"/>
        <v>2.64</v>
      </c>
      <c r="R386" s="1872">
        <f t="shared" si="224"/>
        <v>2.64</v>
      </c>
      <c r="S386" s="1872">
        <f t="shared" si="224"/>
        <v>2.64</v>
      </c>
      <c r="T386" s="1872">
        <f t="shared" si="224"/>
        <v>2.64</v>
      </c>
      <c r="U386" s="1872">
        <f t="shared" si="224"/>
        <v>2.64</v>
      </c>
      <c r="V386" s="1872">
        <f t="shared" si="224"/>
        <v>0</v>
      </c>
      <c r="W386" s="1872">
        <f t="shared" si="224"/>
        <v>0</v>
      </c>
      <c r="X386" s="1872">
        <f t="shared" si="224"/>
        <v>0</v>
      </c>
      <c r="Y386" s="1872">
        <f t="shared" si="224"/>
        <v>0</v>
      </c>
      <c r="Z386" s="1872">
        <f t="shared" si="224"/>
        <v>0</v>
      </c>
      <c r="AA386" s="1872">
        <f t="shared" si="224"/>
        <v>3.25</v>
      </c>
      <c r="AB386" s="1872">
        <f t="shared" si="224"/>
        <v>3</v>
      </c>
      <c r="AC386" s="1872">
        <f t="shared" si="224"/>
        <v>3.25</v>
      </c>
      <c r="AD386" s="1872">
        <f t="shared" si="224"/>
        <v>3.5</v>
      </c>
      <c r="AE386" s="1872">
        <f t="shared" si="224"/>
        <v>3.75</v>
      </c>
      <c r="AF386" s="1872">
        <f t="shared" si="224"/>
        <v>4</v>
      </c>
      <c r="AG386" s="1872">
        <f t="shared" si="224"/>
        <v>4.25</v>
      </c>
      <c r="AH386" s="1293"/>
      <c r="AI386" s="1293"/>
      <c r="AJ386" s="1293"/>
      <c r="AK386" s="1293"/>
      <c r="AL386" s="1293"/>
      <c r="AM386" s="1293"/>
      <c r="AN386" s="1293"/>
      <c r="AO386" s="1293"/>
      <c r="AP386" s="1293"/>
      <c r="AQ386" s="1293"/>
      <c r="AR386" s="1293"/>
      <c r="AS386" s="1293"/>
    </row>
    <row r="387" spans="1:45" ht="15.75">
      <c r="A387" s="1653" t="s">
        <v>153</v>
      </c>
      <c r="B387" s="1653"/>
      <c r="C387" s="1653"/>
      <c r="D387" s="1675"/>
      <c r="E387" s="1675"/>
      <c r="F387" s="1675"/>
      <c r="G387" s="1665"/>
      <c r="H387" s="1665"/>
      <c r="I387" s="1665"/>
      <c r="J387" s="1665"/>
      <c r="K387" s="1665"/>
      <c r="L387" s="1665">
        <f t="shared" ref="L387:U387" si="225">L386/K386-1</f>
        <v>4</v>
      </c>
      <c r="M387" s="1665">
        <f t="shared" si="225"/>
        <v>-0.20000000000000007</v>
      </c>
      <c r="N387" s="1665">
        <f t="shared" si="225"/>
        <v>0.12500000000000022</v>
      </c>
      <c r="O387" s="1665">
        <f t="shared" si="225"/>
        <v>-0.51111111111111107</v>
      </c>
      <c r="P387" s="1665">
        <f t="shared" si="225"/>
        <v>0</v>
      </c>
      <c r="Q387" s="1665">
        <f t="shared" si="225"/>
        <v>0</v>
      </c>
      <c r="R387" s="1665">
        <f t="shared" si="225"/>
        <v>0</v>
      </c>
      <c r="S387" s="1665">
        <f t="shared" si="225"/>
        <v>0</v>
      </c>
      <c r="T387" s="1665">
        <f t="shared" si="225"/>
        <v>0</v>
      </c>
      <c r="U387" s="1665">
        <f t="shared" si="225"/>
        <v>0</v>
      </c>
      <c r="V387" s="1665"/>
      <c r="W387" s="1665"/>
      <c r="X387" s="1665"/>
      <c r="Y387" s="1665"/>
      <c r="Z387" s="1665"/>
      <c r="AA387" s="1665"/>
      <c r="AB387" s="1665"/>
      <c r="AC387" s="1665"/>
      <c r="AD387" s="1665"/>
      <c r="AE387" s="1665"/>
      <c r="AF387" s="1665"/>
      <c r="AG387" s="1665"/>
      <c r="AH387" s="1293"/>
      <c r="AI387" s="1293"/>
      <c r="AJ387" s="1293"/>
      <c r="AK387" s="1293"/>
      <c r="AL387" s="1293"/>
      <c r="AM387" s="1293"/>
      <c r="AN387" s="1293"/>
      <c r="AO387" s="1293"/>
      <c r="AP387" s="1293"/>
      <c r="AQ387" s="1293"/>
      <c r="AR387" s="1293"/>
      <c r="AS387" s="1293"/>
    </row>
    <row r="388" spans="1:45" ht="15.75">
      <c r="A388" s="1653"/>
      <c r="B388" s="1653"/>
      <c r="C388" s="1653"/>
      <c r="D388" s="1653"/>
      <c r="E388" s="1653"/>
      <c r="F388" s="1653"/>
      <c r="G388" s="1653"/>
      <c r="H388" s="1653"/>
      <c r="I388" s="1653"/>
      <c r="J388" s="1653"/>
      <c r="K388" s="1653"/>
      <c r="L388" s="1653"/>
      <c r="M388" s="1653"/>
      <c r="N388" s="1653"/>
      <c r="O388" s="1665"/>
      <c r="P388" s="1653"/>
      <c r="Q388" s="1653"/>
      <c r="R388" s="1653"/>
      <c r="S388" s="1653"/>
      <c r="T388" s="1653"/>
      <c r="U388" s="1653"/>
      <c r="V388" s="1653"/>
      <c r="W388" s="1653"/>
      <c r="X388" s="1653"/>
      <c r="Y388" s="1653"/>
      <c r="Z388" s="1653"/>
      <c r="AA388" s="1653"/>
      <c r="AB388" s="1653"/>
      <c r="AC388" s="1653"/>
      <c r="AD388" s="1653"/>
      <c r="AE388" s="1653"/>
      <c r="AF388" s="1653"/>
      <c r="AG388" s="1653"/>
      <c r="AH388" s="1293"/>
      <c r="AI388" s="1293"/>
      <c r="AJ388" s="1293"/>
      <c r="AK388" s="1293"/>
      <c r="AL388" s="1293"/>
      <c r="AM388" s="1293"/>
      <c r="AN388" s="1293"/>
      <c r="AO388" s="1293"/>
      <c r="AP388" s="1293"/>
      <c r="AQ388" s="1293"/>
      <c r="AR388" s="1293"/>
      <c r="AS388" s="1293"/>
    </row>
    <row r="389" spans="1:45" ht="15.75">
      <c r="A389" s="1653" t="s">
        <v>342</v>
      </c>
      <c r="B389" s="1653"/>
      <c r="C389" s="1653"/>
      <c r="D389" s="1653"/>
      <c r="E389" s="1653"/>
      <c r="F389" s="1653"/>
      <c r="G389" s="1653"/>
      <c r="H389" s="1653"/>
      <c r="I389" s="1653"/>
      <c r="J389" s="1653"/>
      <c r="K389" s="1653"/>
      <c r="L389" s="1942">
        <v>1.4</v>
      </c>
      <c r="M389" s="1942">
        <v>1.8</v>
      </c>
      <c r="N389" s="1942">
        <v>2.4</v>
      </c>
      <c r="O389" s="1942">
        <v>2.64</v>
      </c>
      <c r="P389" s="1942">
        <v>2.64</v>
      </c>
      <c r="Q389" s="2502">
        <v>2.64</v>
      </c>
      <c r="R389" s="2502">
        <v>2.64</v>
      </c>
      <c r="S389" s="2502">
        <v>2.64</v>
      </c>
      <c r="T389" s="2502">
        <v>2.64</v>
      </c>
      <c r="U389" s="2502">
        <v>2.64</v>
      </c>
      <c r="V389" s="2502">
        <v>0</v>
      </c>
      <c r="W389" s="2502">
        <v>0</v>
      </c>
      <c r="X389" s="2502">
        <v>0</v>
      </c>
      <c r="Y389" s="2502">
        <v>0</v>
      </c>
      <c r="Z389" s="2502">
        <v>0</v>
      </c>
      <c r="AA389" s="2502">
        <v>0</v>
      </c>
      <c r="AB389" s="1942">
        <f>4*0.75</f>
        <v>3</v>
      </c>
      <c r="AC389" s="1951">
        <f>AB389+0.25</f>
        <v>3.25</v>
      </c>
      <c r="AD389" s="1951">
        <f>AC389+0.25</f>
        <v>3.5</v>
      </c>
      <c r="AE389" s="1951">
        <f>AD389+0.25</f>
        <v>3.75</v>
      </c>
      <c r="AF389" s="1951">
        <f>AE389+0.25</f>
        <v>4</v>
      </c>
      <c r="AG389" s="1951">
        <f>AF389+0.25</f>
        <v>4.25</v>
      </c>
      <c r="AH389" s="1953"/>
      <c r="AI389" s="1953"/>
      <c r="AJ389" s="1953"/>
      <c r="AK389" s="1953"/>
      <c r="AL389" s="1953"/>
      <c r="AM389" s="1953"/>
      <c r="AN389" s="1953"/>
      <c r="AO389" s="1953"/>
      <c r="AP389" s="1953"/>
      <c r="AQ389" s="1953"/>
      <c r="AR389" s="1293"/>
      <c r="AS389" s="1293"/>
    </row>
    <row r="390" spans="1:45" ht="15.75">
      <c r="A390" s="1653" t="s">
        <v>344</v>
      </c>
      <c r="B390" s="1653"/>
      <c r="C390" s="1653"/>
      <c r="D390" s="1653"/>
      <c r="E390" s="1653"/>
      <c r="F390" s="1653"/>
      <c r="G390" s="1653"/>
      <c r="H390" s="1653"/>
      <c r="I390" s="1653"/>
      <c r="J390" s="1653"/>
      <c r="K390" s="1653"/>
      <c r="L390" s="1665" t="e">
        <f t="shared" ref="L390:AG390" si="226">L389/L69</f>
        <v>#REF!</v>
      </c>
      <c r="M390" s="1665" t="e">
        <f t="shared" si="226"/>
        <v>#REF!</v>
      </c>
      <c r="N390" s="1665">
        <f t="shared" si="226"/>
        <v>-0.2016651012145749</v>
      </c>
      <c r="O390" s="1665">
        <f t="shared" si="226"/>
        <v>-0.19765268292682928</v>
      </c>
      <c r="P390" s="1665">
        <f t="shared" si="226"/>
        <v>-0.16077057971014494</v>
      </c>
      <c r="Q390" s="1665">
        <f t="shared" si="226"/>
        <v>1.5255236302732351</v>
      </c>
      <c r="R390" s="1665">
        <f t="shared" si="226"/>
        <v>1.1064083252061823</v>
      </c>
      <c r="S390" s="1665">
        <f t="shared" si="226"/>
        <v>2.0881261176470587</v>
      </c>
      <c r="T390" s="1665">
        <f t="shared" si="226"/>
        <v>9.1805544827586196</v>
      </c>
      <c r="U390" s="1665">
        <f t="shared" si="226"/>
        <v>1.7868193288590606</v>
      </c>
      <c r="V390" s="1665">
        <f t="shared" si="226"/>
        <v>0</v>
      </c>
      <c r="W390" s="1665">
        <f t="shared" si="226"/>
        <v>0</v>
      </c>
      <c r="X390" s="1665">
        <f t="shared" si="226"/>
        <v>0</v>
      </c>
      <c r="Y390" s="1665">
        <f t="shared" si="226"/>
        <v>0</v>
      </c>
      <c r="Z390" s="1665">
        <f t="shared" si="226"/>
        <v>0</v>
      </c>
      <c r="AA390" s="1665">
        <f t="shared" ca="1" si="226"/>
        <v>0</v>
      </c>
      <c r="AB390" s="1665">
        <f t="shared" ca="1" si="226"/>
        <v>1.2036316036311987</v>
      </c>
      <c r="AC390" s="1665">
        <f t="shared" ca="1" si="226"/>
        <v>0.77966456957571428</v>
      </c>
      <c r="AD390" s="1665">
        <f t="shared" ca="1" si="226"/>
        <v>0.85184258597130458</v>
      </c>
      <c r="AE390" s="1665">
        <f t="shared" ca="1" si="226"/>
        <v>0.88330639278563627</v>
      </c>
      <c r="AF390" s="1665">
        <f t="shared" ca="1" si="226"/>
        <v>0.89209579533563554</v>
      </c>
      <c r="AG390" s="1665">
        <f t="shared" ca="1" si="226"/>
        <v>0.8890647796392579</v>
      </c>
      <c r="AH390" s="1293"/>
      <c r="AI390" s="1293"/>
      <c r="AJ390" s="1293"/>
      <c r="AK390" s="1293"/>
      <c r="AL390" s="1293"/>
      <c r="AM390" s="1293"/>
      <c r="AN390" s="1293"/>
      <c r="AO390" s="1293"/>
      <c r="AP390" s="1293"/>
      <c r="AQ390" s="1293"/>
      <c r="AR390" s="1293"/>
      <c r="AS390" s="1293"/>
    </row>
    <row r="391" spans="1:45" ht="15.75">
      <c r="A391" s="1653" t="s">
        <v>2353</v>
      </c>
      <c r="B391" s="1653"/>
      <c r="C391" s="1653"/>
      <c r="D391" s="1653"/>
      <c r="E391" s="1653"/>
      <c r="F391" s="1653"/>
      <c r="G391" s="1653"/>
      <c r="H391" s="1653"/>
      <c r="I391" s="1653"/>
      <c r="J391" s="1653"/>
      <c r="K391" s="1653"/>
      <c r="L391" s="1653"/>
      <c r="M391" s="1665">
        <f t="shared" ref="M391:U391" si="227">M389/L389-1</f>
        <v>0.28571428571428581</v>
      </c>
      <c r="N391" s="1665">
        <f t="shared" si="227"/>
        <v>0.33333333333333326</v>
      </c>
      <c r="O391" s="1665">
        <f t="shared" si="227"/>
        <v>0.10000000000000009</v>
      </c>
      <c r="P391" s="1665">
        <f t="shared" si="227"/>
        <v>0</v>
      </c>
      <c r="Q391" s="1665">
        <f t="shared" si="227"/>
        <v>0</v>
      </c>
      <c r="R391" s="1665">
        <f t="shared" si="227"/>
        <v>0</v>
      </c>
      <c r="S391" s="1665">
        <f t="shared" si="227"/>
        <v>0</v>
      </c>
      <c r="T391" s="1665">
        <f t="shared" si="227"/>
        <v>0</v>
      </c>
      <c r="U391" s="1665">
        <f t="shared" si="227"/>
        <v>0</v>
      </c>
      <c r="V391" s="1665"/>
      <c r="W391" s="1665"/>
      <c r="X391" s="1665"/>
      <c r="Y391" s="1665"/>
      <c r="Z391" s="1665"/>
      <c r="AA391" s="1665"/>
      <c r="AB391" s="1665"/>
      <c r="AC391" s="1665"/>
      <c r="AD391" s="1665"/>
      <c r="AE391" s="1665"/>
      <c r="AF391" s="1665"/>
      <c r="AG391" s="1665"/>
      <c r="AH391" s="1293"/>
      <c r="AI391" s="1293"/>
      <c r="AJ391" s="1293"/>
      <c r="AK391" s="1293"/>
      <c r="AL391" s="1293"/>
      <c r="AM391" s="1293"/>
      <c r="AN391" s="1293"/>
      <c r="AO391" s="1293"/>
      <c r="AP391" s="1293"/>
      <c r="AQ391" s="1293"/>
      <c r="AR391" s="1293"/>
      <c r="AS391" s="1293"/>
    </row>
    <row r="392" spans="1:45" ht="15.75">
      <c r="A392" s="1653" t="s">
        <v>343</v>
      </c>
      <c r="B392" s="1653"/>
      <c r="C392" s="1653"/>
      <c r="D392" s="1653"/>
      <c r="E392" s="1653"/>
      <c r="F392" s="1653"/>
      <c r="G392" s="1653"/>
      <c r="H392" s="1653"/>
      <c r="I392" s="1653"/>
      <c r="J392" s="1653"/>
      <c r="K392" s="1653"/>
      <c r="L392" s="1951">
        <v>4.5999999999999996</v>
      </c>
      <c r="M392" s="1951">
        <v>3</v>
      </c>
      <c r="N392" s="1951">
        <v>3</v>
      </c>
      <c r="O392" s="1951">
        <v>0</v>
      </c>
      <c r="P392" s="1951">
        <v>0</v>
      </c>
      <c r="Q392" s="1951">
        <v>0</v>
      </c>
      <c r="R392" s="1951">
        <v>0</v>
      </c>
      <c r="S392" s="1951">
        <v>0</v>
      </c>
      <c r="T392" s="1951">
        <v>0</v>
      </c>
      <c r="U392" s="1951">
        <v>0</v>
      </c>
      <c r="V392" s="1951">
        <v>0</v>
      </c>
      <c r="W392" s="1951">
        <v>0</v>
      </c>
      <c r="X392" s="1951">
        <v>0</v>
      </c>
      <c r="Y392" s="1951">
        <v>0</v>
      </c>
      <c r="Z392" s="1951">
        <v>0</v>
      </c>
      <c r="AA392" s="1951">
        <f>1+0.75+2*0.75</f>
        <v>3.25</v>
      </c>
      <c r="AB392" s="1951">
        <v>0</v>
      </c>
      <c r="AC392" s="1951">
        <v>0</v>
      </c>
      <c r="AD392" s="1951">
        <v>0</v>
      </c>
      <c r="AE392" s="1951">
        <v>0</v>
      </c>
      <c r="AF392" s="1951">
        <v>0</v>
      </c>
      <c r="AG392" s="1951">
        <v>0</v>
      </c>
      <c r="AH392" s="1293"/>
      <c r="AI392" s="1293"/>
      <c r="AJ392" s="1293"/>
      <c r="AK392" s="1293"/>
      <c r="AL392" s="1293"/>
      <c r="AM392" s="1293"/>
      <c r="AN392" s="1293"/>
      <c r="AO392" s="1293"/>
      <c r="AP392" s="1293"/>
      <c r="AQ392" s="1293"/>
      <c r="AR392" s="1293"/>
      <c r="AS392" s="1293"/>
    </row>
    <row r="393" spans="1:45" ht="15.75">
      <c r="A393" s="1653" t="s">
        <v>2353</v>
      </c>
      <c r="B393" s="1653"/>
      <c r="C393" s="1653"/>
      <c r="D393" s="1653"/>
      <c r="E393" s="1653"/>
      <c r="F393" s="1653"/>
      <c r="G393" s="1653"/>
      <c r="H393" s="1653"/>
      <c r="I393" s="1653"/>
      <c r="J393" s="1653"/>
      <c r="K393" s="1653"/>
      <c r="L393" s="1653"/>
      <c r="M393" s="1653"/>
      <c r="N393" s="1653"/>
      <c r="O393" s="1653"/>
      <c r="P393" s="1653"/>
      <c r="Q393" s="1653"/>
      <c r="R393" s="1653"/>
      <c r="S393" s="1653"/>
      <c r="T393" s="1653"/>
      <c r="U393" s="1653"/>
      <c r="V393" s="1653"/>
      <c r="W393" s="1653"/>
      <c r="X393" s="1653"/>
      <c r="Y393" s="1653"/>
      <c r="Z393" s="1653"/>
      <c r="AA393" s="1653"/>
      <c r="AB393" s="1653"/>
      <c r="AC393" s="1653"/>
      <c r="AD393" s="1653"/>
      <c r="AE393" s="1653"/>
      <c r="AF393" s="1653"/>
      <c r="AG393" s="1653"/>
      <c r="AH393" s="1293"/>
      <c r="AI393" s="1293"/>
      <c r="AJ393" s="1293"/>
      <c r="AK393" s="1293"/>
      <c r="AL393" s="1293"/>
      <c r="AM393" s="1293"/>
      <c r="AN393" s="1293"/>
      <c r="AO393" s="1293"/>
      <c r="AP393" s="1293"/>
      <c r="AQ393" s="1293"/>
      <c r="AR393" s="1293"/>
      <c r="AS393" s="1293"/>
    </row>
    <row r="394" spans="1:45" ht="15.75">
      <c r="A394" s="1653"/>
      <c r="B394" s="1653"/>
      <c r="C394" s="1653"/>
      <c r="D394" s="1653"/>
      <c r="E394" s="1653"/>
      <c r="F394" s="1653"/>
      <c r="G394" s="1653"/>
      <c r="H394" s="1653"/>
      <c r="I394" s="1653"/>
      <c r="J394" s="1653"/>
      <c r="K394" s="1653"/>
      <c r="L394" s="1653"/>
      <c r="M394" s="1653"/>
      <c r="N394" s="1653"/>
      <c r="O394" s="1653"/>
      <c r="P394" s="1653"/>
      <c r="Q394" s="1653"/>
      <c r="R394" s="1653"/>
      <c r="S394" s="1653"/>
      <c r="T394" s="1653"/>
      <c r="U394" s="1653"/>
      <c r="V394" s="1653"/>
      <c r="W394" s="1653"/>
      <c r="X394" s="1653"/>
      <c r="Y394" s="1653"/>
      <c r="Z394" s="1653"/>
      <c r="AA394" s="1653"/>
      <c r="AB394" s="1653"/>
      <c r="AC394" s="1653"/>
      <c r="AD394" s="1653"/>
      <c r="AE394" s="1653"/>
      <c r="AF394" s="1653"/>
      <c r="AG394" s="1653"/>
      <c r="AH394" s="1293"/>
      <c r="AI394" s="1293"/>
      <c r="AJ394" s="1293"/>
      <c r="AK394" s="1293"/>
      <c r="AL394" s="1293"/>
      <c r="AM394" s="1293"/>
      <c r="AN394" s="1293"/>
      <c r="AO394" s="1293"/>
      <c r="AP394" s="1293"/>
      <c r="AQ394" s="1293"/>
      <c r="AR394" s="1293"/>
      <c r="AS394" s="1293"/>
    </row>
    <row r="395" spans="1:45" ht="15.75">
      <c r="A395" s="1653" t="s">
        <v>1203</v>
      </c>
      <c r="B395" s="1653"/>
      <c r="C395" s="1653"/>
      <c r="D395" s="1653"/>
      <c r="E395" s="1653"/>
      <c r="F395" s="1653"/>
      <c r="G395" s="1653"/>
      <c r="H395" s="1653"/>
      <c r="I395" s="1653"/>
      <c r="J395" s="1653"/>
      <c r="K395" s="1653"/>
      <c r="L395" s="1653"/>
      <c r="M395" s="1895">
        <v>6.2</v>
      </c>
      <c r="N395" s="1895">
        <v>6.2</v>
      </c>
      <c r="O395" s="1895">
        <v>6.2</v>
      </c>
      <c r="P395" s="1895">
        <v>6.2</v>
      </c>
      <c r="Q395" s="1895">
        <v>6.2</v>
      </c>
      <c r="R395" s="1895">
        <v>6.2</v>
      </c>
      <c r="S395" s="1895">
        <v>6.2</v>
      </c>
      <c r="T395" s="1895">
        <v>6.2</v>
      </c>
      <c r="U395" s="1895">
        <v>6.2</v>
      </c>
      <c r="V395" s="1895">
        <v>6.2</v>
      </c>
      <c r="W395" s="1895">
        <v>6.2</v>
      </c>
      <c r="X395" s="1895">
        <v>6.2</v>
      </c>
      <c r="Y395" s="1895">
        <v>6.2</v>
      </c>
      <c r="Z395" s="1895">
        <v>6.2</v>
      </c>
      <c r="AA395" s="1895">
        <v>6.2</v>
      </c>
      <c r="AB395" s="1895">
        <v>6.2</v>
      </c>
      <c r="AC395" s="1895">
        <v>6.2</v>
      </c>
      <c r="AD395" s="1895">
        <v>6.2</v>
      </c>
      <c r="AE395" s="1895">
        <v>6.2</v>
      </c>
      <c r="AF395" s="1895">
        <v>6.2</v>
      </c>
      <c r="AG395" s="1895">
        <v>6.2</v>
      </c>
      <c r="AH395" s="1293"/>
      <c r="AI395" s="1293"/>
      <c r="AJ395" s="1293"/>
      <c r="AK395" s="1293"/>
      <c r="AL395" s="1293"/>
      <c r="AM395" s="1293"/>
      <c r="AN395" s="1293"/>
      <c r="AO395" s="1293"/>
      <c r="AP395" s="1293"/>
      <c r="AQ395" s="1293"/>
      <c r="AR395" s="1293"/>
      <c r="AS395" s="1293"/>
    </row>
    <row r="396" spans="1:45" ht="15.75">
      <c r="A396" s="1653" t="s">
        <v>282</v>
      </c>
      <c r="B396" s="1653"/>
      <c r="C396" s="1653"/>
      <c r="D396" s="1653"/>
      <c r="E396" s="1653"/>
      <c r="F396" s="1653"/>
      <c r="G396" s="1653"/>
      <c r="H396" s="1653"/>
      <c r="I396" s="1653"/>
      <c r="J396" s="1653"/>
      <c r="K396" s="1653"/>
      <c r="L396" s="1653"/>
      <c r="M396" s="1652">
        <f t="shared" ref="M396:AG396" si="228">M386*M395</f>
        <v>29.759999999999998</v>
      </c>
      <c r="N396" s="1652">
        <f t="shared" si="228"/>
        <v>33.480000000000004</v>
      </c>
      <c r="O396" s="1652">
        <f t="shared" si="228"/>
        <v>16.368000000000002</v>
      </c>
      <c r="P396" s="1652">
        <f t="shared" si="228"/>
        <v>16.368000000000002</v>
      </c>
      <c r="Q396" s="1652">
        <f t="shared" si="228"/>
        <v>16.368000000000002</v>
      </c>
      <c r="R396" s="1652">
        <f t="shared" si="228"/>
        <v>16.368000000000002</v>
      </c>
      <c r="S396" s="1652">
        <f t="shared" si="228"/>
        <v>16.368000000000002</v>
      </c>
      <c r="T396" s="1652">
        <f t="shared" si="228"/>
        <v>16.368000000000002</v>
      </c>
      <c r="U396" s="1652">
        <f t="shared" si="228"/>
        <v>16.368000000000002</v>
      </c>
      <c r="V396" s="1652">
        <f t="shared" si="228"/>
        <v>0</v>
      </c>
      <c r="W396" s="1652">
        <f t="shared" si="228"/>
        <v>0</v>
      </c>
      <c r="X396" s="1652">
        <f t="shared" si="228"/>
        <v>0</v>
      </c>
      <c r="Y396" s="1652">
        <f t="shared" si="228"/>
        <v>0</v>
      </c>
      <c r="Z396" s="1652">
        <f t="shared" si="228"/>
        <v>0</v>
      </c>
      <c r="AA396" s="1652">
        <f t="shared" si="228"/>
        <v>20.150000000000002</v>
      </c>
      <c r="AB396" s="1652">
        <f t="shared" si="228"/>
        <v>18.600000000000001</v>
      </c>
      <c r="AC396" s="1652">
        <f t="shared" si="228"/>
        <v>20.150000000000002</v>
      </c>
      <c r="AD396" s="1652">
        <f t="shared" si="228"/>
        <v>21.7</v>
      </c>
      <c r="AE396" s="1652">
        <f t="shared" si="228"/>
        <v>23.25</v>
      </c>
      <c r="AF396" s="1652">
        <f t="shared" si="228"/>
        <v>24.8</v>
      </c>
      <c r="AG396" s="1652">
        <f t="shared" si="228"/>
        <v>26.35</v>
      </c>
      <c r="AH396" s="1293"/>
      <c r="AI396" s="1293"/>
      <c r="AJ396" s="1293"/>
      <c r="AK396" s="1293"/>
      <c r="AL396" s="1293"/>
      <c r="AM396" s="1293"/>
      <c r="AN396" s="1293"/>
      <c r="AO396" s="1293"/>
      <c r="AP396" s="1293"/>
      <c r="AQ396" s="1293"/>
      <c r="AR396" s="1293"/>
      <c r="AS396" s="1293"/>
    </row>
    <row r="397" spans="1:45" ht="15.75">
      <c r="A397" s="1653"/>
      <c r="B397" s="1653"/>
      <c r="C397" s="1653"/>
      <c r="D397" s="1653"/>
      <c r="E397" s="1653"/>
      <c r="F397" s="1653"/>
      <c r="G397" s="1653"/>
      <c r="H397" s="1653"/>
      <c r="I397" s="1653"/>
      <c r="J397" s="1653"/>
      <c r="K397" s="1653"/>
      <c r="L397" s="1653"/>
      <c r="M397" s="1653"/>
      <c r="N397" s="1653"/>
      <c r="O397" s="1653"/>
      <c r="P397" s="1653"/>
      <c r="Q397" s="1653"/>
      <c r="R397" s="1653"/>
      <c r="S397" s="1653"/>
      <c r="T397" s="1653"/>
      <c r="U397" s="1653"/>
      <c r="V397" s="1653"/>
      <c r="W397" s="1653"/>
      <c r="X397" s="1653"/>
      <c r="Y397" s="1653"/>
      <c r="Z397" s="1653"/>
      <c r="AA397" s="1653"/>
      <c r="AB397" s="1653"/>
      <c r="AC397" s="1653"/>
      <c r="AD397" s="1653"/>
      <c r="AE397" s="1653"/>
      <c r="AF397" s="1653"/>
      <c r="AG397" s="1653"/>
      <c r="AH397" s="1293"/>
      <c r="AI397" s="1293"/>
      <c r="AJ397" s="1293"/>
      <c r="AK397" s="1293"/>
      <c r="AL397" s="1293"/>
      <c r="AM397" s="1293"/>
      <c r="AN397" s="1293"/>
      <c r="AO397" s="1293"/>
      <c r="AP397" s="1293"/>
      <c r="AQ397" s="1293"/>
      <c r="AR397" s="1293"/>
      <c r="AS397" s="1293"/>
    </row>
    <row r="398" spans="1:45" ht="15.75">
      <c r="A398" s="1706" t="s">
        <v>1174</v>
      </c>
      <c r="B398" s="1706"/>
      <c r="C398" s="1653"/>
      <c r="D398" s="1653"/>
      <c r="E398" s="1653"/>
      <c r="F398" s="1653"/>
      <c r="G398" s="1653"/>
      <c r="H398" s="1653"/>
      <c r="I398" s="1653"/>
      <c r="J398" s="1653"/>
      <c r="K398" s="1653"/>
      <c r="L398" s="1653"/>
      <c r="M398" s="1653"/>
      <c r="N398" s="1653"/>
      <c r="O398" s="1653"/>
      <c r="P398" s="1653"/>
      <c r="Q398" s="1653"/>
      <c r="R398" s="1653"/>
      <c r="S398" s="1653"/>
      <c r="T398" s="1653"/>
      <c r="U398" s="1653"/>
      <c r="V398" s="1653"/>
      <c r="W398" s="1653"/>
      <c r="X398" s="1653"/>
      <c r="Y398" s="1653"/>
      <c r="Z398" s="1653"/>
      <c r="AA398" s="1653"/>
      <c r="AB398" s="1653"/>
      <c r="AC398" s="1653"/>
      <c r="AD398" s="1653"/>
      <c r="AE398" s="1653"/>
      <c r="AF398" s="1653"/>
      <c r="AG398" s="1653"/>
      <c r="AH398" s="1293"/>
      <c r="AI398" s="1293"/>
      <c r="AJ398" s="1293"/>
      <c r="AK398" s="1293"/>
      <c r="AL398" s="1293"/>
      <c r="AM398" s="1293"/>
      <c r="AN398" s="1293"/>
      <c r="AO398" s="1293"/>
      <c r="AP398" s="1293"/>
      <c r="AQ398" s="1293"/>
      <c r="AR398" s="1293"/>
      <c r="AS398" s="1293"/>
    </row>
    <row r="399" spans="1:45" ht="15.75">
      <c r="A399" s="1653" t="s">
        <v>5733</v>
      </c>
      <c r="B399" s="1653"/>
      <c r="C399" s="1653"/>
      <c r="D399" s="1675"/>
      <c r="E399" s="1675"/>
      <c r="F399" s="1675">
        <f t="shared" ref="F399:R399" si="229">F401+F410</f>
        <v>-33.587999999999994</v>
      </c>
      <c r="G399" s="1675">
        <f t="shared" si="229"/>
        <v>-100.724</v>
      </c>
      <c r="H399" s="1675">
        <f t="shared" si="229"/>
        <v>-112.42800000000001</v>
      </c>
      <c r="I399" s="1675">
        <f t="shared" si="229"/>
        <v>-87.584000000000003</v>
      </c>
      <c r="J399" s="1675">
        <f t="shared" si="229"/>
        <v>-138.01600000000002</v>
      </c>
      <c r="K399" s="1675">
        <f t="shared" si="229"/>
        <v>-116.1</v>
      </c>
      <c r="L399" s="1675">
        <f t="shared" si="229"/>
        <v>-168</v>
      </c>
      <c r="M399" s="1675">
        <f t="shared" si="229"/>
        <v>-200.05200000000002</v>
      </c>
      <c r="N399" s="1675">
        <f t="shared" si="229"/>
        <v>-172</v>
      </c>
      <c r="O399" s="1675">
        <f t="shared" si="229"/>
        <v>-206</v>
      </c>
      <c r="P399" s="1675">
        <f t="shared" si="229"/>
        <v>-258</v>
      </c>
      <c r="Q399" s="1675">
        <f t="shared" si="229"/>
        <v>-404</v>
      </c>
      <c r="R399" s="1675">
        <f t="shared" si="229"/>
        <v>-420</v>
      </c>
      <c r="S399" s="1717">
        <v>-472</v>
      </c>
      <c r="T399" s="1717">
        <v>-471</v>
      </c>
      <c r="U399" s="1717">
        <v>-436</v>
      </c>
      <c r="V399" s="1717">
        <v>-646</v>
      </c>
      <c r="W399" s="1717">
        <v>-730</v>
      </c>
      <c r="X399" s="1717">
        <v>-583</v>
      </c>
      <c r="Y399" s="1717">
        <v>-599</v>
      </c>
      <c r="Z399" s="1717">
        <v>-684</v>
      </c>
      <c r="AA399" s="1717">
        <v>-670</v>
      </c>
      <c r="AB399" s="1713">
        <f ca="1">-AB497+AB401</f>
        <v>-649.26354709684381</v>
      </c>
      <c r="AC399" s="1713">
        <f t="shared" ref="AC399:AG399" ca="1" si="230">-AC497+AC401</f>
        <v>-648.90746562505342</v>
      </c>
      <c r="AD399" s="1713">
        <f t="shared" ca="1" si="230"/>
        <v>-672.10854802361166</v>
      </c>
      <c r="AE399" s="1713">
        <f t="shared" ca="1" si="230"/>
        <v>-686.24349728654636</v>
      </c>
      <c r="AF399" s="1713">
        <f t="shared" ca="1" si="230"/>
        <v>-697.99551555135713</v>
      </c>
      <c r="AG399" s="1713">
        <f t="shared" ca="1" si="230"/>
        <v>-707.79837392314801</v>
      </c>
      <c r="AH399" s="1293" t="s">
        <v>9140</v>
      </c>
      <c r="AI399" s="1293"/>
      <c r="AJ399" s="1293"/>
      <c r="AK399" s="1293"/>
      <c r="AL399" s="1293"/>
      <c r="AM399" s="1293"/>
      <c r="AN399" s="1293"/>
      <c r="AO399" s="1293"/>
      <c r="AP399" s="1293"/>
      <c r="AQ399" s="1293"/>
      <c r="AR399" s="1293"/>
      <c r="AS399" s="1293"/>
    </row>
    <row r="400" spans="1:45" ht="15.75">
      <c r="A400" s="1653"/>
      <c r="B400" s="1653"/>
      <c r="C400" s="1653"/>
      <c r="D400" s="1653"/>
      <c r="E400" s="1653"/>
      <c r="F400" s="1653"/>
      <c r="G400" s="1653"/>
      <c r="H400" s="1653"/>
      <c r="I400" s="1653"/>
      <c r="J400" s="1653"/>
      <c r="K400" s="1653"/>
      <c r="L400" s="1665"/>
      <c r="M400" s="1653"/>
      <c r="N400" s="1653"/>
      <c r="O400" s="1653"/>
      <c r="P400" s="1653"/>
      <c r="Q400" s="1653"/>
      <c r="R400" s="1653"/>
      <c r="S400" s="1675"/>
      <c r="T400" s="1675"/>
      <c r="U400" s="1675"/>
      <c r="V400" s="1675"/>
      <c r="W400" s="1675"/>
      <c r="X400" s="1675"/>
      <c r="Y400" s="1675"/>
      <c r="Z400" s="1675">
        <f>Z399+Z437</f>
        <v>-494</v>
      </c>
      <c r="AA400" s="1675">
        <f>AA399+AA437</f>
        <v>-550</v>
      </c>
      <c r="AB400" s="1675"/>
      <c r="AC400" s="1675"/>
      <c r="AD400" s="1675"/>
      <c r="AE400" s="1675"/>
      <c r="AF400" s="1675"/>
      <c r="AG400" s="1675"/>
      <c r="AH400" s="1293" t="s">
        <v>9143</v>
      </c>
      <c r="AI400" s="1293"/>
      <c r="AJ400" s="1293"/>
      <c r="AK400" s="1293"/>
      <c r="AL400" s="1293"/>
      <c r="AM400" s="1293"/>
      <c r="AN400" s="1293"/>
      <c r="AO400" s="1293"/>
      <c r="AP400" s="1293"/>
      <c r="AQ400" s="1293"/>
      <c r="AR400" s="1293"/>
      <c r="AS400" s="1293"/>
    </row>
    <row r="401" spans="1:45" ht="15.75">
      <c r="A401" s="1653" t="s">
        <v>1175</v>
      </c>
      <c r="B401" s="1653"/>
      <c r="C401" s="1653"/>
      <c r="D401" s="1653"/>
      <c r="E401" s="1653"/>
      <c r="F401" s="1675">
        <f t="shared" ref="F401:AG401" si="231">F402+F403</f>
        <v>101.584</v>
      </c>
      <c r="G401" s="1675">
        <f t="shared" si="231"/>
        <v>7.81</v>
      </c>
      <c r="H401" s="1675">
        <f t="shared" si="231"/>
        <v>31.312000000000001</v>
      </c>
      <c r="I401" s="1675">
        <f t="shared" si="231"/>
        <v>36.384999999999998</v>
      </c>
      <c r="J401" s="1675">
        <f t="shared" si="231"/>
        <v>56.384</v>
      </c>
      <c r="K401" s="1675">
        <f t="shared" si="231"/>
        <v>32.9</v>
      </c>
      <c r="L401" s="1675">
        <f t="shared" si="231"/>
        <v>30</v>
      </c>
      <c r="M401" s="1675">
        <f t="shared" si="231"/>
        <v>14.747999999999999</v>
      </c>
      <c r="N401" s="1675">
        <f t="shared" si="231"/>
        <v>15</v>
      </c>
      <c r="O401" s="1675">
        <f t="shared" si="231"/>
        <v>14</v>
      </c>
      <c r="P401" s="1675">
        <f t="shared" si="231"/>
        <v>24</v>
      </c>
      <c r="Q401" s="1675">
        <f t="shared" si="231"/>
        <v>22</v>
      </c>
      <c r="R401" s="1675">
        <f t="shared" si="231"/>
        <v>22</v>
      </c>
      <c r="S401" s="1675">
        <f t="shared" si="231"/>
        <v>22</v>
      </c>
      <c r="T401" s="1675">
        <f t="shared" si="231"/>
        <v>22</v>
      </c>
      <c r="U401" s="1675">
        <f t="shared" si="231"/>
        <v>22</v>
      </c>
      <c r="V401" s="1675">
        <f t="shared" si="231"/>
        <v>22</v>
      </c>
      <c r="W401" s="1675">
        <f t="shared" si="231"/>
        <v>22</v>
      </c>
      <c r="X401" s="1675">
        <f t="shared" si="231"/>
        <v>22</v>
      </c>
      <c r="Y401" s="1675">
        <f t="shared" si="231"/>
        <v>22</v>
      </c>
      <c r="Z401" s="1675">
        <f t="shared" si="231"/>
        <v>28</v>
      </c>
      <c r="AA401" s="1675">
        <f t="shared" si="231"/>
        <v>46</v>
      </c>
      <c r="AB401" s="1675">
        <f t="shared" ca="1" si="231"/>
        <v>64.170202903156152</v>
      </c>
      <c r="AC401" s="1675">
        <f t="shared" ca="1" si="231"/>
        <v>67.652534374946484</v>
      </c>
      <c r="AD401" s="1675">
        <f t="shared" ca="1" si="231"/>
        <v>47.655858226388318</v>
      </c>
      <c r="AE401" s="1675">
        <f t="shared" ca="1" si="231"/>
        <v>36.805425369703606</v>
      </c>
      <c r="AF401" s="1675">
        <f t="shared" ca="1" si="231"/>
        <v>28.420036421299113</v>
      </c>
      <c r="AG401" s="1675">
        <f t="shared" ca="1" si="231"/>
        <v>22.067973098824645</v>
      </c>
      <c r="AH401" s="1293"/>
      <c r="AI401" s="1327"/>
      <c r="AJ401" s="1293"/>
      <c r="AK401" s="1293"/>
      <c r="AL401" s="1293"/>
      <c r="AM401" s="1293"/>
      <c r="AN401" s="1293"/>
      <c r="AO401" s="1293"/>
      <c r="AP401" s="1293"/>
      <c r="AQ401" s="1293"/>
      <c r="AR401" s="1293"/>
      <c r="AS401" s="1293"/>
    </row>
    <row r="402" spans="1:45" ht="15.75">
      <c r="A402" s="1653" t="s">
        <v>9135</v>
      </c>
      <c r="B402" s="1653"/>
      <c r="C402" s="1653"/>
      <c r="D402" s="1717"/>
      <c r="E402" s="1717"/>
      <c r="F402" s="1717">
        <v>4.8360000000000003</v>
      </c>
      <c r="G402" s="1717">
        <v>7.81</v>
      </c>
      <c r="H402" s="1717">
        <v>31.312000000000001</v>
      </c>
      <c r="I402" s="1717">
        <v>36.384999999999998</v>
      </c>
      <c r="J402" s="1717">
        <v>56.384</v>
      </c>
      <c r="K402" s="1717">
        <v>32.9</v>
      </c>
      <c r="L402" s="1952">
        <v>30</v>
      </c>
      <c r="M402" s="1717">
        <v>14.747999999999999</v>
      </c>
      <c r="N402" s="1717">
        <v>15</v>
      </c>
      <c r="O402" s="1717">
        <v>14</v>
      </c>
      <c r="P402" s="1717">
        <v>24</v>
      </c>
      <c r="Q402" s="1717">
        <v>22</v>
      </c>
      <c r="R402" s="1717">
        <v>22</v>
      </c>
      <c r="S402" s="1717">
        <f t="shared" ref="S402:Y403" si="232">R402</f>
        <v>22</v>
      </c>
      <c r="T402" s="1717">
        <f t="shared" si="232"/>
        <v>22</v>
      </c>
      <c r="U402" s="1717">
        <f t="shared" si="232"/>
        <v>22</v>
      </c>
      <c r="V402" s="1717">
        <f t="shared" si="232"/>
        <v>22</v>
      </c>
      <c r="W402" s="1717">
        <f t="shared" si="232"/>
        <v>22</v>
      </c>
      <c r="X402" s="1717">
        <f t="shared" si="232"/>
        <v>22</v>
      </c>
      <c r="Y402" s="1717">
        <f t="shared" si="232"/>
        <v>22</v>
      </c>
      <c r="Z402" s="1717">
        <v>28</v>
      </c>
      <c r="AA402" s="1717">
        <v>46</v>
      </c>
      <c r="AB402" s="1675">
        <f t="shared" ref="AB402:AG402" ca="1" si="233">AB406*AB407</f>
        <v>64.170202903156152</v>
      </c>
      <c r="AC402" s="1675">
        <f t="shared" ca="1" si="233"/>
        <v>67.652534374946484</v>
      </c>
      <c r="AD402" s="1675">
        <f t="shared" ca="1" si="233"/>
        <v>47.655858226388318</v>
      </c>
      <c r="AE402" s="1675">
        <f t="shared" ca="1" si="233"/>
        <v>36.805425369703606</v>
      </c>
      <c r="AF402" s="1675">
        <f t="shared" ca="1" si="233"/>
        <v>28.420036421299113</v>
      </c>
      <c r="AG402" s="1675">
        <f t="shared" ca="1" si="233"/>
        <v>22.067973098824645</v>
      </c>
      <c r="AH402" s="1293"/>
      <c r="AI402" s="1293"/>
      <c r="AJ402" s="1293"/>
      <c r="AK402" s="1293"/>
      <c r="AL402" s="1293"/>
      <c r="AM402" s="1293"/>
      <c r="AN402" s="1293"/>
      <c r="AO402" s="1293"/>
      <c r="AP402" s="1293"/>
      <c r="AQ402" s="1293"/>
      <c r="AR402" s="1293"/>
      <c r="AS402" s="1293"/>
    </row>
    <row r="403" spans="1:45" ht="15.75">
      <c r="A403" s="1653" t="s">
        <v>345</v>
      </c>
      <c r="B403" s="1653"/>
      <c r="C403" s="1653"/>
      <c r="D403" s="1653"/>
      <c r="E403" s="1653"/>
      <c r="F403" s="1717">
        <v>96.748000000000005</v>
      </c>
      <c r="G403" s="1717">
        <v>0</v>
      </c>
      <c r="H403" s="1717">
        <v>0</v>
      </c>
      <c r="I403" s="1717">
        <v>0</v>
      </c>
      <c r="J403" s="1717">
        <v>0</v>
      </c>
      <c r="K403" s="1947">
        <f t="shared" ref="K403:R403" si="234">J403</f>
        <v>0</v>
      </c>
      <c r="L403" s="1947">
        <f t="shared" si="234"/>
        <v>0</v>
      </c>
      <c r="M403" s="1947">
        <f t="shared" si="234"/>
        <v>0</v>
      </c>
      <c r="N403" s="1947">
        <f t="shared" si="234"/>
        <v>0</v>
      </c>
      <c r="O403" s="1947">
        <f t="shared" si="234"/>
        <v>0</v>
      </c>
      <c r="P403" s="1947">
        <f t="shared" si="234"/>
        <v>0</v>
      </c>
      <c r="Q403" s="1717">
        <f t="shared" si="234"/>
        <v>0</v>
      </c>
      <c r="R403" s="1717">
        <f t="shared" si="234"/>
        <v>0</v>
      </c>
      <c r="S403" s="1717">
        <f t="shared" si="232"/>
        <v>0</v>
      </c>
      <c r="T403" s="1717">
        <f t="shared" si="232"/>
        <v>0</v>
      </c>
      <c r="U403" s="1717">
        <f t="shared" si="232"/>
        <v>0</v>
      </c>
      <c r="V403" s="1717">
        <f t="shared" si="232"/>
        <v>0</v>
      </c>
      <c r="W403" s="1717">
        <f t="shared" si="232"/>
        <v>0</v>
      </c>
      <c r="X403" s="1717">
        <f t="shared" si="232"/>
        <v>0</v>
      </c>
      <c r="Y403" s="1717">
        <f t="shared" si="232"/>
        <v>0</v>
      </c>
      <c r="Z403" s="1717">
        <v>0</v>
      </c>
      <c r="AA403" s="1717">
        <v>0</v>
      </c>
      <c r="AB403" s="1717">
        <v>0</v>
      </c>
      <c r="AC403" s="1717">
        <v>0</v>
      </c>
      <c r="AD403" s="1717">
        <v>0</v>
      </c>
      <c r="AE403" s="1717">
        <v>0</v>
      </c>
      <c r="AF403" s="1717">
        <v>0</v>
      </c>
      <c r="AG403" s="1717">
        <v>0</v>
      </c>
      <c r="AH403" s="1293"/>
      <c r="AI403" s="1293"/>
      <c r="AJ403" s="1293"/>
      <c r="AK403" s="1293"/>
      <c r="AL403" s="1293"/>
      <c r="AM403" s="1293"/>
      <c r="AN403" s="1293"/>
      <c r="AO403" s="1293"/>
      <c r="AP403" s="1293"/>
      <c r="AQ403" s="1293"/>
      <c r="AR403" s="1293"/>
      <c r="AS403" s="1293"/>
    </row>
    <row r="404" spans="1:45" ht="15.75">
      <c r="A404" s="1653" t="s">
        <v>346</v>
      </c>
      <c r="B404" s="1653"/>
      <c r="C404" s="1653"/>
      <c r="D404" s="1653"/>
      <c r="E404" s="1653"/>
      <c r="F404" s="1653"/>
      <c r="G404" s="1653"/>
      <c r="H404" s="1653"/>
      <c r="I404" s="1653"/>
      <c r="J404" s="1653"/>
      <c r="K404" s="1653"/>
      <c r="L404" s="1653"/>
      <c r="M404" s="1653"/>
      <c r="N404" s="1653"/>
      <c r="O404" s="1653"/>
      <c r="P404" s="1653"/>
      <c r="Q404" s="1717">
        <v>0</v>
      </c>
      <c r="R404" s="1717">
        <v>0</v>
      </c>
      <c r="S404" s="1717">
        <v>0</v>
      </c>
      <c r="T404" s="1717">
        <v>0</v>
      </c>
      <c r="U404" s="1717">
        <v>0</v>
      </c>
      <c r="V404" s="1717">
        <v>0</v>
      </c>
      <c r="W404" s="1717">
        <v>0</v>
      </c>
      <c r="X404" s="1717">
        <v>0</v>
      </c>
      <c r="Y404" s="1717">
        <v>0</v>
      </c>
      <c r="Z404" s="1717">
        <v>0</v>
      </c>
      <c r="AA404" s="1717">
        <v>0</v>
      </c>
      <c r="AB404" s="1717">
        <v>0</v>
      </c>
      <c r="AC404" s="1717">
        <v>0</v>
      </c>
      <c r="AD404" s="1717">
        <v>0</v>
      </c>
      <c r="AE404" s="1717">
        <v>0</v>
      </c>
      <c r="AF404" s="1717">
        <v>0</v>
      </c>
      <c r="AG404" s="1717">
        <v>0</v>
      </c>
      <c r="AH404" s="1293"/>
      <c r="AI404" s="1293"/>
      <c r="AJ404" s="1293"/>
      <c r="AK404" s="1293"/>
      <c r="AL404" s="1293"/>
      <c r="AM404" s="1293"/>
      <c r="AN404" s="1293"/>
      <c r="AO404" s="1293"/>
      <c r="AP404" s="1293"/>
      <c r="AQ404" s="1293"/>
      <c r="AR404" s="1293"/>
      <c r="AS404" s="1293"/>
    </row>
    <row r="405" spans="1:45" ht="15.75">
      <c r="A405" s="1653"/>
      <c r="B405" s="1653"/>
      <c r="C405" s="1653"/>
      <c r="D405" s="1653"/>
      <c r="E405" s="1653"/>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1653"/>
      <c r="AD405" s="1653"/>
      <c r="AE405" s="1653"/>
      <c r="AF405" s="1653"/>
      <c r="AG405" s="1653"/>
      <c r="AH405" s="1293"/>
      <c r="AI405" s="1293"/>
      <c r="AJ405" s="1293"/>
      <c r="AK405" s="1293"/>
      <c r="AL405" s="1293"/>
      <c r="AM405" s="1293"/>
      <c r="AN405" s="1293"/>
      <c r="AO405" s="1293"/>
      <c r="AP405" s="1293"/>
      <c r="AQ405" s="1293"/>
      <c r="AR405" s="1293"/>
      <c r="AS405" s="1293"/>
    </row>
    <row r="406" spans="1:45" ht="15.75">
      <c r="A406" s="1653" t="s">
        <v>347</v>
      </c>
      <c r="B406" s="1653"/>
      <c r="C406" s="1653"/>
      <c r="D406" s="1653"/>
      <c r="E406" s="1688"/>
      <c r="F406" s="1688">
        <f t="shared" ref="F406:AA406" si="235">F402/F407</f>
        <v>2.6613981696008454E-2</v>
      </c>
      <c r="G406" s="1688">
        <f t="shared" si="235"/>
        <v>2.6221252308208827E-2</v>
      </c>
      <c r="H406" s="1688">
        <f t="shared" si="235"/>
        <v>6.1963101558774124E-2</v>
      </c>
      <c r="I406" s="1688">
        <f t="shared" si="235"/>
        <v>5.8059610632799491E-2</v>
      </c>
      <c r="J406" s="1688">
        <f t="shared" si="235"/>
        <v>6.1564935589607857E-2</v>
      </c>
      <c r="K406" s="1688">
        <f t="shared" si="235"/>
        <v>3.5586803677663599E-2</v>
      </c>
      <c r="L406" s="1688">
        <f t="shared" si="235"/>
        <v>2.6690391459074734E-2</v>
      </c>
      <c r="M406" s="1688">
        <f t="shared" si="235"/>
        <v>1.1128520909553602E-2</v>
      </c>
      <c r="N406" s="1688">
        <f t="shared" si="235"/>
        <v>1.5056559967517981E-2</v>
      </c>
      <c r="O406" s="1688">
        <f t="shared" si="235"/>
        <v>1.3127051101734646E-2</v>
      </c>
      <c r="P406" s="1688">
        <f t="shared" si="235"/>
        <v>1.587826662256037E-2</v>
      </c>
      <c r="Q406" s="1688">
        <f t="shared" si="235"/>
        <v>1.6685627607129314E-2</v>
      </c>
      <c r="R406" s="1688">
        <f t="shared" si="235"/>
        <v>2.2904737116085372E-2</v>
      </c>
      <c r="S406" s="1688">
        <f t="shared" si="235"/>
        <v>2.0063839489284085E-2</v>
      </c>
      <c r="T406" s="1688">
        <f t="shared" si="235"/>
        <v>2.0018198362147407E-2</v>
      </c>
      <c r="U406" s="1688">
        <f t="shared" si="235"/>
        <v>2.1621621621621623E-2</v>
      </c>
      <c r="V406" s="1688">
        <f t="shared" si="235"/>
        <v>1.8843683083511777E-2</v>
      </c>
      <c r="W406" s="1688">
        <f t="shared" si="235"/>
        <v>1.7481128327373859E-2</v>
      </c>
      <c r="X406" s="1688">
        <f t="shared" si="235"/>
        <v>2.1042563366810138E-2</v>
      </c>
      <c r="Y406" s="1688">
        <f t="shared" si="235"/>
        <v>2.1912350597609563E-2</v>
      </c>
      <c r="Z406" s="1688">
        <f t="shared" si="235"/>
        <v>3.0786146234194612E-2</v>
      </c>
      <c r="AA406" s="1688">
        <f t="shared" si="235"/>
        <v>6.220419202163624E-2</v>
      </c>
      <c r="AB406" s="2503">
        <v>0.06</v>
      </c>
      <c r="AC406" s="2503">
        <v>0.05</v>
      </c>
      <c r="AD406" s="2503">
        <v>0.04</v>
      </c>
      <c r="AE406" s="2503">
        <v>3.5000000000000003E-2</v>
      </c>
      <c r="AF406" s="2503">
        <v>0.03</v>
      </c>
      <c r="AG406" s="2503">
        <v>2.5000000000000001E-2</v>
      </c>
      <c r="AH406" s="1293"/>
      <c r="AI406" s="1293"/>
      <c r="AJ406" s="1293"/>
      <c r="AK406" s="1293"/>
      <c r="AL406" s="1293"/>
      <c r="AM406" s="1293"/>
      <c r="AN406" s="1293"/>
      <c r="AO406" s="1293"/>
      <c r="AP406" s="1293"/>
      <c r="AQ406" s="1293"/>
      <c r="AR406" s="1293"/>
      <c r="AS406" s="1293"/>
    </row>
    <row r="407" spans="1:45" ht="15.75">
      <c r="A407" s="1653" t="s">
        <v>348</v>
      </c>
      <c r="B407" s="1653"/>
      <c r="C407" s="1653"/>
      <c r="D407" s="1653"/>
      <c r="E407" s="1675"/>
      <c r="F407" s="1675">
        <f t="shared" ref="F407:AG407" si="236">AVERAGE(E418:F418)</f>
        <v>181.709</v>
      </c>
      <c r="G407" s="1675">
        <f t="shared" si="236"/>
        <v>297.85000000000002</v>
      </c>
      <c r="H407" s="1675">
        <f t="shared" si="236"/>
        <v>505.33299999999997</v>
      </c>
      <c r="I407" s="1675">
        <f t="shared" si="236"/>
        <v>626.68349999999998</v>
      </c>
      <c r="J407" s="1675">
        <f t="shared" si="236"/>
        <v>915.846</v>
      </c>
      <c r="K407" s="1675">
        <f t="shared" si="236"/>
        <v>924.5</v>
      </c>
      <c r="L407" s="1675">
        <f t="shared" si="236"/>
        <v>1124</v>
      </c>
      <c r="M407" s="1675">
        <f t="shared" si="236"/>
        <v>1325.2435</v>
      </c>
      <c r="N407" s="1675">
        <f t="shared" si="236"/>
        <v>996.24350000000004</v>
      </c>
      <c r="O407" s="1675">
        <f t="shared" si="236"/>
        <v>1066.5</v>
      </c>
      <c r="P407" s="1675">
        <f t="shared" si="236"/>
        <v>1511.5</v>
      </c>
      <c r="Q407" s="1675">
        <f t="shared" si="236"/>
        <v>1318.5</v>
      </c>
      <c r="R407" s="1675">
        <f t="shared" si="236"/>
        <v>960.5</v>
      </c>
      <c r="S407" s="1675">
        <f t="shared" si="236"/>
        <v>1096.5</v>
      </c>
      <c r="T407" s="1675">
        <f t="shared" si="236"/>
        <v>1099</v>
      </c>
      <c r="U407" s="1675">
        <f t="shared" si="236"/>
        <v>1017.5</v>
      </c>
      <c r="V407" s="1675">
        <f t="shared" si="236"/>
        <v>1167.5</v>
      </c>
      <c r="W407" s="1675">
        <f t="shared" si="236"/>
        <v>1258.5</v>
      </c>
      <c r="X407" s="1675">
        <f t="shared" si="236"/>
        <v>1045.5</v>
      </c>
      <c r="Y407" s="1675">
        <f t="shared" si="236"/>
        <v>1004</v>
      </c>
      <c r="Z407" s="1675">
        <f t="shared" si="236"/>
        <v>909.5</v>
      </c>
      <c r="AA407" s="1675">
        <f t="shared" si="236"/>
        <v>739.5</v>
      </c>
      <c r="AB407" s="1675">
        <f t="shared" ca="1" si="236"/>
        <v>1069.5033817192693</v>
      </c>
      <c r="AC407" s="1675">
        <f t="shared" ca="1" si="236"/>
        <v>1353.0506874989296</v>
      </c>
      <c r="AD407" s="1675">
        <f t="shared" ca="1" si="236"/>
        <v>1191.396455659708</v>
      </c>
      <c r="AE407" s="1675">
        <f t="shared" ca="1" si="236"/>
        <v>1051.5835819915314</v>
      </c>
      <c r="AF407" s="1675">
        <f t="shared" ca="1" si="236"/>
        <v>947.33454737663715</v>
      </c>
      <c r="AG407" s="1675">
        <f t="shared" ca="1" si="236"/>
        <v>882.71892395298573</v>
      </c>
      <c r="AH407" s="1293"/>
      <c r="AI407" s="1293"/>
      <c r="AJ407" s="1293"/>
      <c r="AK407" s="1293"/>
      <c r="AL407" s="1293"/>
      <c r="AM407" s="1293"/>
      <c r="AN407" s="1293"/>
      <c r="AO407" s="1293"/>
      <c r="AP407" s="1293"/>
      <c r="AQ407" s="1293"/>
      <c r="AR407" s="1293"/>
      <c r="AS407" s="1293"/>
    </row>
    <row r="408" spans="1:45" ht="15.75">
      <c r="A408" s="1653" t="s">
        <v>349</v>
      </c>
      <c r="B408" s="1653"/>
      <c r="C408" s="1653"/>
      <c r="D408" s="1653"/>
      <c r="E408" s="1653"/>
      <c r="F408" s="1653" t="s">
        <v>1823</v>
      </c>
      <c r="G408" s="1653" t="s">
        <v>1823</v>
      </c>
      <c r="H408" s="1653"/>
      <c r="I408" s="1653"/>
      <c r="J408" s="1653"/>
      <c r="K408" s="1653"/>
      <c r="L408" s="1653"/>
      <c r="M408" s="1653"/>
      <c r="N408" s="1653"/>
      <c r="O408" s="1653"/>
      <c r="P408" s="1653"/>
      <c r="Q408" s="1653"/>
      <c r="R408" s="1653"/>
      <c r="S408" s="1653"/>
      <c r="T408" s="1653"/>
      <c r="U408" s="1653"/>
      <c r="V408" s="1653"/>
      <c r="W408" s="1653"/>
      <c r="X408" s="1653"/>
      <c r="Y408" s="1653"/>
      <c r="Z408" s="1653"/>
      <c r="AA408" s="1653"/>
      <c r="AB408" s="1653"/>
      <c r="AC408" s="1653"/>
      <c r="AD408" s="1653"/>
      <c r="AE408" s="1653"/>
      <c r="AF408" s="1653"/>
      <c r="AG408" s="1653"/>
      <c r="AH408" s="1293"/>
      <c r="AI408" s="1293"/>
      <c r="AJ408" s="1293"/>
      <c r="AK408" s="1293"/>
      <c r="AL408" s="1293"/>
      <c r="AM408" s="1293"/>
      <c r="AN408" s="1293"/>
      <c r="AO408" s="1293"/>
      <c r="AP408" s="1293"/>
      <c r="AQ408" s="1293"/>
      <c r="AR408" s="1293"/>
      <c r="AS408" s="1293"/>
    </row>
    <row r="409" spans="1:45" ht="15.75">
      <c r="A409" s="1653"/>
      <c r="B409" s="1653"/>
      <c r="C409" s="1653"/>
      <c r="D409" s="1653"/>
      <c r="E409" s="1653"/>
      <c r="F409" s="1653"/>
      <c r="G409" s="1653"/>
      <c r="H409" s="1653"/>
      <c r="I409" s="1653"/>
      <c r="J409" s="1653"/>
      <c r="K409" s="1653"/>
      <c r="L409" s="1653"/>
      <c r="M409" s="1653"/>
      <c r="N409" s="1653"/>
      <c r="O409" s="1653"/>
      <c r="P409" s="1653"/>
      <c r="Q409" s="1653"/>
      <c r="R409" s="1653"/>
      <c r="S409" s="1653"/>
      <c r="T409" s="1653"/>
      <c r="U409" s="1653"/>
      <c r="V409" s="1653"/>
      <c r="W409" s="1653"/>
      <c r="X409" s="1653"/>
      <c r="Y409" s="1653"/>
      <c r="Z409" s="1653"/>
      <c r="AA409" s="1675"/>
      <c r="AB409" s="1675"/>
      <c r="AC409" s="1675"/>
      <c r="AD409" s="1653"/>
      <c r="AE409" s="1653"/>
      <c r="AF409" s="1653"/>
      <c r="AG409" s="1653"/>
      <c r="AH409" s="1293"/>
      <c r="AI409" s="1293"/>
      <c r="AJ409" s="1293"/>
      <c r="AK409" s="1293"/>
      <c r="AL409" s="1293"/>
      <c r="AM409" s="1293"/>
      <c r="AN409" s="1293"/>
      <c r="AO409" s="1293"/>
      <c r="AP409" s="1293"/>
      <c r="AQ409" s="1293"/>
      <c r="AR409" s="1293"/>
      <c r="AS409" s="1293"/>
    </row>
    <row r="410" spans="1:45" ht="15.75">
      <c r="A410" s="1653" t="s">
        <v>350</v>
      </c>
      <c r="B410" s="1653"/>
      <c r="C410" s="1653"/>
      <c r="D410" s="1675"/>
      <c r="E410" s="1675"/>
      <c r="F410" s="1717">
        <f>-135.172</f>
        <v>-135.172</v>
      </c>
      <c r="G410" s="1717">
        <f>-108.534</f>
        <v>-108.53400000000001</v>
      </c>
      <c r="H410" s="1717">
        <v>-143.74</v>
      </c>
      <c r="I410" s="1717">
        <v>-123.96899999999999</v>
      </c>
      <c r="J410" s="1717">
        <v>-194.4</v>
      </c>
      <c r="K410" s="1717">
        <v>-149</v>
      </c>
      <c r="L410" s="1717">
        <f>-168-L402</f>
        <v>-198</v>
      </c>
      <c r="M410" s="1717">
        <v>-214.8</v>
      </c>
      <c r="N410" s="1717">
        <v>-187</v>
      </c>
      <c r="O410" s="1717">
        <v>-220</v>
      </c>
      <c r="P410" s="1717">
        <v>-282</v>
      </c>
      <c r="Q410" s="1717">
        <v>-426</v>
      </c>
      <c r="R410" s="1717">
        <v>-442</v>
      </c>
      <c r="S410" s="1675">
        <f>S399-S401</f>
        <v>-494</v>
      </c>
      <c r="T410" s="1675">
        <f>T399-T401</f>
        <v>-493</v>
      </c>
      <c r="U410" s="1675">
        <f>U399-U401</f>
        <v>-458</v>
      </c>
      <c r="V410" s="1675">
        <f t="shared" ref="V410:AG410" si="237">V399-V401+V437</f>
        <v>-577</v>
      </c>
      <c r="W410" s="1675">
        <f t="shared" si="237"/>
        <v>-695.6123046875</v>
      </c>
      <c r="X410" s="1675">
        <f t="shared" si="237"/>
        <v>-488</v>
      </c>
      <c r="Y410" s="1675">
        <f t="shared" si="237"/>
        <v>-425</v>
      </c>
      <c r="Z410" s="1675">
        <f t="shared" si="237"/>
        <v>-522</v>
      </c>
      <c r="AA410" s="1675">
        <f t="shared" si="237"/>
        <v>-596</v>
      </c>
      <c r="AB410" s="1675">
        <f t="shared" ca="1" si="237"/>
        <v>-581.56574999999987</v>
      </c>
      <c r="AC410" s="1675">
        <f t="shared" ca="1" si="237"/>
        <v>-582.05463999999995</v>
      </c>
      <c r="AD410" s="1675">
        <f t="shared" ca="1" si="237"/>
        <v>-582.56893905000004</v>
      </c>
      <c r="AE410" s="1675">
        <f t="shared" ca="1" si="237"/>
        <v>-583.10954611224997</v>
      </c>
      <c r="AF410" s="1675">
        <f t="shared" ca="1" si="237"/>
        <v>-583.67738789777627</v>
      </c>
      <c r="AG410" s="1675">
        <f t="shared" ca="1" si="237"/>
        <v>-584.27341966559504</v>
      </c>
      <c r="AH410" s="1293" t="s">
        <v>5832</v>
      </c>
      <c r="AI410" s="1293"/>
      <c r="AJ410" s="1293"/>
      <c r="AK410" s="1293"/>
      <c r="AL410" s="1293"/>
      <c r="AM410" s="1293"/>
      <c r="AN410" s="1293"/>
      <c r="AO410" s="1293"/>
      <c r="AP410" s="1293"/>
      <c r="AQ410" s="1293"/>
      <c r="AR410" s="1293"/>
      <c r="AS410" s="1293"/>
    </row>
    <row r="411" spans="1:45" ht="15.75">
      <c r="A411" s="1653" t="s">
        <v>9144</v>
      </c>
      <c r="B411" s="1653"/>
      <c r="C411" s="1653"/>
      <c r="D411" s="1717"/>
      <c r="E411" s="1717"/>
      <c r="F411" s="1675">
        <f t="shared" ref="F411:Y411" si="238">F410-F412</f>
        <v>-135.172</v>
      </c>
      <c r="G411" s="1675">
        <f t="shared" si="238"/>
        <v>-108.53400000000001</v>
      </c>
      <c r="H411" s="1675">
        <f t="shared" si="238"/>
        <v>-143.74</v>
      </c>
      <c r="I411" s="1675">
        <f t="shared" si="238"/>
        <v>-123.96899999999999</v>
      </c>
      <c r="J411" s="1675">
        <f t="shared" si="238"/>
        <v>-163.4</v>
      </c>
      <c r="K411" s="1675">
        <f t="shared" si="238"/>
        <v>-179</v>
      </c>
      <c r="L411" s="1675">
        <f t="shared" si="238"/>
        <v>-198</v>
      </c>
      <c r="M411" s="1675">
        <f t="shared" si="238"/>
        <v>-214.8</v>
      </c>
      <c r="N411" s="1675">
        <f t="shared" si="238"/>
        <v>-187</v>
      </c>
      <c r="O411" s="1675">
        <f t="shared" si="238"/>
        <v>-220</v>
      </c>
      <c r="P411" s="1675">
        <f t="shared" si="238"/>
        <v>-282</v>
      </c>
      <c r="Q411" s="1675">
        <f t="shared" si="238"/>
        <v>-405</v>
      </c>
      <c r="R411" s="1675">
        <f t="shared" si="238"/>
        <v>-419</v>
      </c>
      <c r="S411" s="1675">
        <f t="shared" si="238"/>
        <v>-494</v>
      </c>
      <c r="T411" s="1675">
        <f t="shared" si="238"/>
        <v>-493</v>
      </c>
      <c r="U411" s="1675">
        <f t="shared" si="238"/>
        <v>-458</v>
      </c>
      <c r="V411" s="1675">
        <f t="shared" si="238"/>
        <v>-543</v>
      </c>
      <c r="W411" s="1675">
        <f t="shared" si="238"/>
        <v>-687.6123046875</v>
      </c>
      <c r="X411" s="1675">
        <f t="shared" si="238"/>
        <v>-488</v>
      </c>
      <c r="Y411" s="1675">
        <f t="shared" si="238"/>
        <v>-425</v>
      </c>
      <c r="Z411" s="1675">
        <f t="shared" ref="Z411:AG411" si="239">Z410</f>
        <v>-522</v>
      </c>
      <c r="AA411" s="1675">
        <f t="shared" si="239"/>
        <v>-596</v>
      </c>
      <c r="AB411" s="1675">
        <f t="shared" ca="1" si="239"/>
        <v>-581.56574999999987</v>
      </c>
      <c r="AC411" s="1675">
        <f t="shared" ca="1" si="239"/>
        <v>-582.05463999999995</v>
      </c>
      <c r="AD411" s="1675">
        <f t="shared" ca="1" si="239"/>
        <v>-582.56893905000004</v>
      </c>
      <c r="AE411" s="1675">
        <f t="shared" ca="1" si="239"/>
        <v>-583.10954611224997</v>
      </c>
      <c r="AF411" s="1675">
        <f t="shared" ca="1" si="239"/>
        <v>-583.67738789777627</v>
      </c>
      <c r="AG411" s="1675">
        <f t="shared" ca="1" si="239"/>
        <v>-584.27341966559504</v>
      </c>
      <c r="AH411" s="1293"/>
      <c r="AI411" s="1293"/>
      <c r="AJ411" s="1293"/>
      <c r="AK411" s="1293"/>
      <c r="AL411" s="1293"/>
      <c r="AM411" s="1293"/>
      <c r="AN411" s="1293"/>
      <c r="AO411" s="1293"/>
      <c r="AP411" s="1293"/>
      <c r="AQ411" s="1293"/>
      <c r="AR411" s="1293"/>
      <c r="AS411" s="1293"/>
    </row>
    <row r="412" spans="1:45" ht="15.75">
      <c r="A412" s="1653" t="s">
        <v>351</v>
      </c>
      <c r="B412" s="1653"/>
      <c r="C412" s="1653"/>
      <c r="D412" s="1717"/>
      <c r="E412" s="1717"/>
      <c r="F412" s="1717">
        <v>0</v>
      </c>
      <c r="G412" s="1717">
        <v>0</v>
      </c>
      <c r="H412" s="1717">
        <f>G412</f>
        <v>0</v>
      </c>
      <c r="I412" s="1717">
        <f>H412</f>
        <v>0</v>
      </c>
      <c r="J412" s="1717">
        <v>-31</v>
      </c>
      <c r="K412" s="1717">
        <v>30</v>
      </c>
      <c r="L412" s="1947">
        <v>0</v>
      </c>
      <c r="M412" s="1947">
        <f>L412</f>
        <v>0</v>
      </c>
      <c r="N412" s="1947">
        <f>M412</f>
        <v>0</v>
      </c>
      <c r="O412" s="1947">
        <f>N412</f>
        <v>0</v>
      </c>
      <c r="P412" s="1947">
        <f>O412</f>
        <v>0</v>
      </c>
      <c r="Q412" s="1947">
        <v>-21</v>
      </c>
      <c r="R412" s="1947">
        <f>-17-6</f>
        <v>-23</v>
      </c>
      <c r="S412" s="1937">
        <v>0</v>
      </c>
      <c r="T412" s="1937">
        <v>0</v>
      </c>
      <c r="U412" s="1937">
        <v>0</v>
      </c>
      <c r="V412" s="1947">
        <f>-24-10</f>
        <v>-34</v>
      </c>
      <c r="W412" s="1947">
        <v>-8</v>
      </c>
      <c r="X412" s="1947">
        <v>0</v>
      </c>
      <c r="Y412" s="1947">
        <v>0</v>
      </c>
      <c r="Z412" s="1947">
        <v>0</v>
      </c>
      <c r="AA412" s="1947">
        <v>0</v>
      </c>
      <c r="AB412" s="1947">
        <v>0</v>
      </c>
      <c r="AC412" s="1947">
        <v>0</v>
      </c>
      <c r="AD412" s="1947">
        <v>0</v>
      </c>
      <c r="AE412" s="1947">
        <v>0</v>
      </c>
      <c r="AF412" s="1947">
        <v>0</v>
      </c>
      <c r="AG412" s="1947">
        <v>0</v>
      </c>
      <c r="AH412" s="1293"/>
      <c r="AI412" s="1293"/>
      <c r="AJ412" s="1293"/>
      <c r="AK412" s="1293"/>
      <c r="AL412" s="1293"/>
      <c r="AM412" s="1293"/>
      <c r="AN412" s="1293"/>
      <c r="AO412" s="1293"/>
      <c r="AP412" s="1293"/>
      <c r="AQ412" s="1293"/>
      <c r="AR412" s="1293"/>
      <c r="AS412" s="1293"/>
    </row>
    <row r="413" spans="1:45" ht="15.75">
      <c r="A413" s="1653"/>
      <c r="B413" s="1653"/>
      <c r="C413" s="1653"/>
      <c r="D413" s="1653"/>
      <c r="E413" s="1653"/>
      <c r="F413" s="1653" t="s">
        <v>1823</v>
      </c>
      <c r="G413" s="1653"/>
      <c r="H413" s="1653"/>
      <c r="I413" s="1653"/>
      <c r="J413" s="1653"/>
      <c r="K413" s="1653"/>
      <c r="L413" s="1653"/>
      <c r="M413" s="1653"/>
      <c r="N413" s="1653"/>
      <c r="O413" s="1653"/>
      <c r="P413" s="1653"/>
      <c r="Q413" s="1653"/>
      <c r="R413" s="1653"/>
      <c r="S413" s="1653"/>
      <c r="T413" s="1653"/>
      <c r="U413" s="1653"/>
      <c r="V413" s="1653"/>
      <c r="W413" s="1653"/>
      <c r="X413" s="1653"/>
      <c r="Y413" s="1653"/>
      <c r="Z413" s="1653"/>
      <c r="AA413" s="1653"/>
      <c r="AB413" s="1653"/>
      <c r="AC413" s="1653"/>
      <c r="AD413" s="1653"/>
      <c r="AE413" s="1653"/>
      <c r="AF413" s="1653"/>
      <c r="AG413" s="1653"/>
      <c r="AH413" s="1293"/>
      <c r="AI413" s="1293"/>
      <c r="AJ413" s="1293"/>
      <c r="AK413" s="1293"/>
      <c r="AL413" s="1293"/>
      <c r="AM413" s="1293"/>
      <c r="AN413" s="1293"/>
      <c r="AO413" s="1293"/>
      <c r="AP413" s="1293"/>
      <c r="AQ413" s="1293"/>
      <c r="AR413" s="1293"/>
      <c r="AS413" s="1293"/>
    </row>
    <row r="414" spans="1:45" ht="15.75">
      <c r="A414" s="1653" t="s">
        <v>352</v>
      </c>
      <c r="B414" s="1653"/>
      <c r="C414" s="1653"/>
      <c r="D414" s="1688"/>
      <c r="E414" s="1688"/>
      <c r="F414" s="1688">
        <f t="shared" ref="F414:AG414" si="240">-F411/F415</f>
        <v>0.34013706437647284</v>
      </c>
      <c r="G414" s="1688">
        <f t="shared" si="240"/>
        <v>0.14130191381330559</v>
      </c>
      <c r="H414" s="1688">
        <f t="shared" si="240"/>
        <v>0.17327821798530019</v>
      </c>
      <c r="I414" s="1688">
        <f t="shared" si="240"/>
        <v>0.10282051632953423</v>
      </c>
      <c r="J414" s="1688">
        <f t="shared" si="240"/>
        <v>9.8176701238804912E-2</v>
      </c>
      <c r="K414" s="1688">
        <f t="shared" si="240"/>
        <v>8.9656899574254947E-2</v>
      </c>
      <c r="L414" s="1688">
        <f t="shared" ca="1" si="240"/>
        <v>8.7921847246891657E-2</v>
      </c>
      <c r="M414" s="1688">
        <f t="shared" ca="1" si="240"/>
        <v>9.1442466596679983E-2</v>
      </c>
      <c r="N414" s="1688">
        <f t="shared" ca="1" si="240"/>
        <v>7.6170520949337239E-2</v>
      </c>
      <c r="O414" s="1688">
        <f t="shared" ca="1" si="240"/>
        <v>7.5640364449028705E-2</v>
      </c>
      <c r="P414" s="1688">
        <f t="shared" ca="1" si="240"/>
        <v>7.8485944892847201E-2</v>
      </c>
      <c r="Q414" s="1688">
        <f t="shared" si="240"/>
        <v>9.250799451804477E-2</v>
      </c>
      <c r="R414" s="1688">
        <f t="shared" si="240"/>
        <v>8.2044252986097507E-2</v>
      </c>
      <c r="S414" s="1688">
        <f t="shared" si="240"/>
        <v>9.2552693208430917E-2</v>
      </c>
      <c r="T414" s="1688">
        <f t="shared" si="240"/>
        <v>9.4281889462612359E-2</v>
      </c>
      <c r="U414" s="1688">
        <f t="shared" si="240"/>
        <v>8.1487412151943772E-2</v>
      </c>
      <c r="V414" s="1688">
        <f t="shared" si="240"/>
        <v>7.3857453754080524E-2</v>
      </c>
      <c r="W414" s="1688">
        <f t="shared" si="240"/>
        <v>8.393704891204834E-2</v>
      </c>
      <c r="X414" s="1688">
        <f t="shared" si="240"/>
        <v>5.7401635005587252E-2</v>
      </c>
      <c r="Y414" s="1688">
        <f t="shared" si="240"/>
        <v>4.9695977549111321E-2</v>
      </c>
      <c r="Z414" s="1688">
        <f t="shared" si="240"/>
        <v>6.6781807714450206E-2</v>
      </c>
      <c r="AA414" s="1688">
        <f t="shared" si="240"/>
        <v>8.1604710070514133E-2</v>
      </c>
      <c r="AB414" s="1688">
        <f t="shared" ca="1" si="240"/>
        <v>8.5025164749613455E-2</v>
      </c>
      <c r="AC414" s="1688">
        <f t="shared" ca="1" si="240"/>
        <v>8.4797266783197323E-2</v>
      </c>
      <c r="AD414" s="1688">
        <f t="shared" ca="1" si="240"/>
        <v>8.4567243762773719E-2</v>
      </c>
      <c r="AE414" s="1688">
        <f t="shared" ca="1" si="240"/>
        <v>8.4335124689835367E-2</v>
      </c>
      <c r="AF414" s="1688">
        <f t="shared" ca="1" si="240"/>
        <v>8.4100940704163546E-2</v>
      </c>
      <c r="AG414" s="1688">
        <f t="shared" ca="1" si="240"/>
        <v>8.3864725127077544E-2</v>
      </c>
      <c r="AH414" s="1293"/>
      <c r="AI414" s="1293"/>
      <c r="AJ414" s="1293"/>
      <c r="AK414" s="1293"/>
      <c r="AL414" s="1293"/>
      <c r="AM414" s="1293"/>
      <c r="AN414" s="1293"/>
      <c r="AO414" s="1293"/>
      <c r="AP414" s="1293"/>
      <c r="AQ414" s="1293"/>
      <c r="AR414" s="1293"/>
      <c r="AS414" s="1293"/>
    </row>
    <row r="415" spans="1:45" ht="15.75">
      <c r="A415" s="1653" t="s">
        <v>353</v>
      </c>
      <c r="B415" s="1653"/>
      <c r="C415" s="1653"/>
      <c r="D415" s="1675"/>
      <c r="E415" s="1675"/>
      <c r="F415" s="1675">
        <f t="shared" ref="F415:AG415" si="241">+(F422+E422)/2</f>
        <v>397.40449999999998</v>
      </c>
      <c r="G415" s="1675">
        <f t="shared" si="241"/>
        <v>768.09999999999991</v>
      </c>
      <c r="H415" s="1675">
        <f t="shared" si="241"/>
        <v>829.5329999999999</v>
      </c>
      <c r="I415" s="1675">
        <f t="shared" si="241"/>
        <v>1205.6835000000001</v>
      </c>
      <c r="J415" s="1675">
        <f t="shared" si="241"/>
        <v>1664.346</v>
      </c>
      <c r="K415" s="1675">
        <f t="shared" si="241"/>
        <v>1996.5</v>
      </c>
      <c r="L415" s="1675">
        <f t="shared" ca="1" si="241"/>
        <v>2252</v>
      </c>
      <c r="M415" s="1675">
        <f t="shared" ca="1" si="241"/>
        <v>2349.018</v>
      </c>
      <c r="N415" s="1675">
        <f t="shared" ca="1" si="241"/>
        <v>2455.018</v>
      </c>
      <c r="O415" s="1675">
        <f t="shared" ca="1" si="241"/>
        <v>2908.5</v>
      </c>
      <c r="P415" s="1675">
        <f t="shared" ca="1" si="241"/>
        <v>3593</v>
      </c>
      <c r="Q415" s="1675">
        <f t="shared" si="241"/>
        <v>4378</v>
      </c>
      <c r="R415" s="1675">
        <f t="shared" si="241"/>
        <v>5107</v>
      </c>
      <c r="S415" s="1675">
        <f t="shared" si="241"/>
        <v>5337.5</v>
      </c>
      <c r="T415" s="1675">
        <f t="shared" si="241"/>
        <v>5229</v>
      </c>
      <c r="U415" s="1675">
        <f t="shared" si="241"/>
        <v>5620.5</v>
      </c>
      <c r="V415" s="1675">
        <f t="shared" si="241"/>
        <v>7352</v>
      </c>
      <c r="W415" s="1675">
        <f t="shared" si="241"/>
        <v>8192</v>
      </c>
      <c r="X415" s="1675">
        <f t="shared" si="241"/>
        <v>8501.5</v>
      </c>
      <c r="Y415" s="1675">
        <f t="shared" si="241"/>
        <v>8552</v>
      </c>
      <c r="Z415" s="1675">
        <f t="shared" si="241"/>
        <v>7816.5</v>
      </c>
      <c r="AA415" s="1675">
        <f t="shared" si="241"/>
        <v>7303.5</v>
      </c>
      <c r="AB415" s="1675">
        <f t="shared" si="241"/>
        <v>6839.9250000000002</v>
      </c>
      <c r="AC415" s="1675">
        <f t="shared" si="241"/>
        <v>6864.0731249999999</v>
      </c>
      <c r="AD415" s="1675">
        <f t="shared" si="241"/>
        <v>6888.8249531249994</v>
      </c>
      <c r="AE415" s="1675">
        <f t="shared" si="241"/>
        <v>6914.1955769531251</v>
      </c>
      <c r="AF415" s="1675">
        <f t="shared" si="241"/>
        <v>6940.200466376953</v>
      </c>
      <c r="AG415" s="1675">
        <f t="shared" si="241"/>
        <v>6966.8554780363756</v>
      </c>
      <c r="AH415" s="1293"/>
      <c r="AI415" s="1293"/>
      <c r="AJ415" s="1293"/>
      <c r="AK415" s="1293"/>
      <c r="AL415" s="1293"/>
      <c r="AM415" s="1293"/>
      <c r="AN415" s="1293"/>
      <c r="AO415" s="1293"/>
      <c r="AP415" s="1293"/>
      <c r="AQ415" s="1293"/>
      <c r="AR415" s="1293"/>
      <c r="AS415" s="1293"/>
    </row>
    <row r="416" spans="1:45" ht="15.75">
      <c r="A416" s="1653" t="s">
        <v>354</v>
      </c>
      <c r="B416" s="1653"/>
      <c r="C416" s="1653"/>
      <c r="D416" s="1653"/>
      <c r="E416" s="1653"/>
      <c r="F416" s="1653"/>
      <c r="G416" s="1653"/>
      <c r="H416" s="1653"/>
      <c r="I416" s="1653"/>
      <c r="J416" s="1653"/>
      <c r="K416" s="1653"/>
      <c r="L416" s="1653"/>
      <c r="M416" s="1653"/>
      <c r="N416" s="1653"/>
      <c r="O416" s="1653"/>
      <c r="P416" s="1653"/>
      <c r="Q416" s="1653"/>
      <c r="R416" s="1653"/>
      <c r="S416" s="1653"/>
      <c r="T416" s="1653"/>
      <c r="U416" s="1653"/>
      <c r="V416" s="1653"/>
      <c r="W416" s="1653"/>
      <c r="X416" s="1653"/>
      <c r="Y416" s="1653"/>
      <c r="Z416" s="1653"/>
      <c r="AA416" s="1653"/>
      <c r="AB416" s="1653"/>
      <c r="AC416" s="1653"/>
      <c r="AD416" s="1653"/>
      <c r="AE416" s="1653"/>
      <c r="AF416" s="1653"/>
      <c r="AG416" s="1653"/>
      <c r="AH416" s="1293"/>
      <c r="AI416" s="1293"/>
      <c r="AJ416" s="1293"/>
      <c r="AK416" s="1293"/>
      <c r="AL416" s="1293"/>
      <c r="AM416" s="1293"/>
      <c r="AN416" s="1293"/>
      <c r="AO416" s="1293"/>
      <c r="AP416" s="1293"/>
      <c r="AQ416" s="1293"/>
      <c r="AR416" s="1293"/>
      <c r="AS416" s="1293"/>
    </row>
    <row r="417" spans="1:47" ht="15.75">
      <c r="A417" s="1653"/>
      <c r="B417" s="1653"/>
      <c r="C417" s="1653"/>
      <c r="D417" s="1653"/>
      <c r="E417" s="1653"/>
      <c r="F417" s="1653"/>
      <c r="G417" s="1675"/>
      <c r="H417" s="1653"/>
      <c r="I417" s="1653"/>
      <c r="J417" s="1653"/>
      <c r="K417" s="1653"/>
      <c r="L417" s="1653"/>
      <c r="M417" s="1653"/>
      <c r="N417" s="1653"/>
      <c r="O417" s="1653"/>
      <c r="P417" s="1653"/>
      <c r="Q417" s="1653"/>
      <c r="R417" s="1653"/>
      <c r="S417" s="1653"/>
      <c r="T417" s="1653"/>
      <c r="U417" s="1653"/>
      <c r="V417" s="1653"/>
      <c r="W417" s="1653"/>
      <c r="X417" s="1653"/>
      <c r="Y417" s="1653"/>
      <c r="Z417" s="1653"/>
      <c r="AA417" s="1653"/>
      <c r="AB417" s="1653"/>
      <c r="AC417" s="1653"/>
      <c r="AD417" s="1653"/>
      <c r="AE417" s="1653"/>
      <c r="AF417" s="1653"/>
      <c r="AG417" s="1653"/>
      <c r="AH417" s="1293"/>
      <c r="AI417" s="1293"/>
      <c r="AJ417" s="1293"/>
      <c r="AK417" s="1293"/>
      <c r="AL417" s="1293"/>
      <c r="AM417" s="1293"/>
      <c r="AN417" s="1293"/>
      <c r="AO417" s="1293"/>
      <c r="AP417" s="1293"/>
      <c r="AQ417" s="1293"/>
      <c r="AR417" s="1293"/>
      <c r="AS417" s="1293"/>
    </row>
    <row r="418" spans="1:47" ht="15.75">
      <c r="A418" s="1653" t="s">
        <v>173</v>
      </c>
      <c r="B418" s="1653"/>
      <c r="C418" s="1653"/>
      <c r="D418" s="1717"/>
      <c r="E418" s="1717"/>
      <c r="F418" s="1717">
        <f>148.829+32.88</f>
        <v>181.709</v>
      </c>
      <c r="G418" s="1717">
        <f>413.381+0.61</f>
        <v>413.99099999999999</v>
      </c>
      <c r="H418" s="1717">
        <f>596.567+0.108</f>
        <v>596.67499999999995</v>
      </c>
      <c r="I418" s="1717">
        <v>656.69200000000001</v>
      </c>
      <c r="J418" s="1717">
        <v>1175</v>
      </c>
      <c r="K418" s="1717">
        <v>674</v>
      </c>
      <c r="L418" s="1717">
        <f>1511+50+53-40</f>
        <v>1574</v>
      </c>
      <c r="M418" s="1717">
        <f>1023.487+53</f>
        <v>1076.4870000000001</v>
      </c>
      <c r="N418" s="1717">
        <f>916</f>
        <v>916</v>
      </c>
      <c r="O418" s="1717">
        <f>1174+43</f>
        <v>1217</v>
      </c>
      <c r="P418" s="1717">
        <f>909+80+817</f>
        <v>1806</v>
      </c>
      <c r="Q418" s="1717">
        <f>831</f>
        <v>831</v>
      </c>
      <c r="R418" s="1717">
        <f>1090</f>
        <v>1090</v>
      </c>
      <c r="S418" s="1717">
        <f>947+156</f>
        <v>1103</v>
      </c>
      <c r="T418" s="1717">
        <f>938+157</f>
        <v>1095</v>
      </c>
      <c r="U418" s="1717">
        <f>769+171</f>
        <v>940</v>
      </c>
      <c r="V418" s="1717">
        <v>1395</v>
      </c>
      <c r="W418" s="1717">
        <v>1122</v>
      </c>
      <c r="X418" s="1717">
        <v>969</v>
      </c>
      <c r="Y418" s="1717">
        <v>1039</v>
      </c>
      <c r="Z418" s="1717">
        <v>780</v>
      </c>
      <c r="AA418" s="1717">
        <v>699</v>
      </c>
      <c r="AB418" s="1675">
        <f t="shared" ref="AB418:AG418" ca="1" si="242">AB422-AB424</f>
        <v>1440.0067634385387</v>
      </c>
      <c r="AC418" s="1675">
        <f t="shared" ca="1" si="242"/>
        <v>1266.0946115593206</v>
      </c>
      <c r="AD418" s="1675">
        <f t="shared" ca="1" si="242"/>
        <v>1116.6982997600953</v>
      </c>
      <c r="AE418" s="1675">
        <f t="shared" ca="1" si="242"/>
        <v>986.46886422296757</v>
      </c>
      <c r="AF418" s="1675">
        <f t="shared" ca="1" si="242"/>
        <v>908.20023053030673</v>
      </c>
      <c r="AG418" s="1675">
        <f t="shared" ca="1" si="242"/>
        <v>857.23761737566474</v>
      </c>
      <c r="AH418" s="1293"/>
      <c r="AI418" s="1293"/>
      <c r="AJ418" s="1293"/>
      <c r="AK418" s="1293"/>
      <c r="AL418" s="1293"/>
      <c r="AM418" s="1293"/>
      <c r="AN418" s="1293"/>
      <c r="AO418" s="1293"/>
      <c r="AP418" s="1293"/>
      <c r="AQ418" s="1293"/>
      <c r="AR418" s="1293"/>
      <c r="AS418" s="1293"/>
    </row>
    <row r="419" spans="1:47" ht="15.75">
      <c r="A419" s="1653" t="s">
        <v>355</v>
      </c>
      <c r="B419" s="1653"/>
      <c r="C419" s="1653"/>
      <c r="D419" s="1688"/>
      <c r="E419" s="1688"/>
      <c r="F419" s="1688">
        <f t="shared" ref="F419:AG419" si="243">F418/F5</f>
        <v>0.28343846710592002</v>
      </c>
      <c r="G419" s="1688">
        <f t="shared" si="243"/>
        <v>0.44927918424753865</v>
      </c>
      <c r="H419" s="1688">
        <f t="shared" si="243"/>
        <v>0.55077709254679763</v>
      </c>
      <c r="I419" s="1688">
        <f t="shared" si="243"/>
        <v>0.40284145630770174</v>
      </c>
      <c r="J419" s="1688">
        <f t="shared" si="243"/>
        <v>0.44662456359078551</v>
      </c>
      <c r="K419" s="1688">
        <f t="shared" si="243"/>
        <v>0.19835736735125631</v>
      </c>
      <c r="L419" s="1688">
        <f t="shared" si="243"/>
        <v>0.44008706706971473</v>
      </c>
      <c r="M419" s="1688">
        <f t="shared" si="243"/>
        <v>0.2674336730369552</v>
      </c>
      <c r="N419" s="1688" t="e">
        <f t="shared" si="243"/>
        <v>#DIV/0!</v>
      </c>
      <c r="O419" s="1688" t="e">
        <f t="shared" si="243"/>
        <v>#DIV/0!</v>
      </c>
      <c r="P419" s="1688" t="e">
        <f t="shared" si="243"/>
        <v>#DIV/0!</v>
      </c>
      <c r="Q419" s="1688">
        <f t="shared" si="243"/>
        <v>0.13012818290015685</v>
      </c>
      <c r="R419" s="1688">
        <f t="shared" si="243"/>
        <v>0.16195808104518439</v>
      </c>
      <c r="S419" s="1688">
        <f t="shared" si="243"/>
        <v>0.17651157668726841</v>
      </c>
      <c r="T419" s="1688">
        <f t="shared" si="243"/>
        <v>0.17983248480867137</v>
      </c>
      <c r="U419" s="1688">
        <f t="shared" si="243"/>
        <v>0.15635395874916833</v>
      </c>
      <c r="V419" s="1688">
        <f t="shared" si="243"/>
        <v>0.21896091665358655</v>
      </c>
      <c r="W419" s="1688">
        <f t="shared" si="243"/>
        <v>0.18003851091142489</v>
      </c>
      <c r="X419" s="1688">
        <f t="shared" si="243"/>
        <v>0.14744370054777844</v>
      </c>
      <c r="Y419" s="1688">
        <f t="shared" si="243"/>
        <v>0.18472654604029135</v>
      </c>
      <c r="Z419" s="1688">
        <f t="shared" si="243"/>
        <v>0.13778484366719662</v>
      </c>
      <c r="AA419" s="1688">
        <f t="shared" si="243"/>
        <v>0.12042880510918602</v>
      </c>
      <c r="AB419" s="1688">
        <f t="shared" ca="1" si="243"/>
        <v>0.26068402872397062</v>
      </c>
      <c r="AC419" s="1688">
        <f t="shared" ca="1" si="243"/>
        <v>0.225965133887186</v>
      </c>
      <c r="AD419" s="1688">
        <f t="shared" ca="1" si="243"/>
        <v>0.19600618997604866</v>
      </c>
      <c r="AE419" s="1688">
        <f t="shared" ca="1" si="243"/>
        <v>0.17012118662632378</v>
      </c>
      <c r="AF419" s="1688">
        <f t="shared" ca="1" si="243"/>
        <v>0.15440206042408722</v>
      </c>
      <c r="AG419" s="1688">
        <f t="shared" ca="1" si="243"/>
        <v>0.14402500218028125</v>
      </c>
      <c r="AH419" s="1293"/>
      <c r="AI419" s="1293"/>
      <c r="AJ419" s="1293"/>
      <c r="AK419" s="1293"/>
      <c r="AL419" s="1293"/>
      <c r="AM419" s="1293"/>
      <c r="AN419" s="1293"/>
      <c r="AO419" s="1293"/>
      <c r="AP419" s="1293"/>
      <c r="AQ419" s="1293"/>
      <c r="AR419" s="1293"/>
      <c r="AS419" s="1293"/>
    </row>
    <row r="420" spans="1:47" ht="15.75">
      <c r="A420" s="1653" t="s">
        <v>115</v>
      </c>
      <c r="B420" s="1653"/>
      <c r="C420" s="1653"/>
      <c r="D420" s="1717"/>
      <c r="E420" s="1717"/>
      <c r="F420" s="1675">
        <f t="shared" ref="F420:AG420" si="244">F529</f>
        <v>0</v>
      </c>
      <c r="G420" s="1675">
        <f t="shared" si="244"/>
        <v>88.510999999999996</v>
      </c>
      <c r="H420" s="1675">
        <f t="shared" si="244"/>
        <v>411.69899999999996</v>
      </c>
      <c r="I420" s="1675">
        <f t="shared" si="244"/>
        <v>134.661</v>
      </c>
      <c r="J420" s="1675">
        <f t="shared" si="244"/>
        <v>889.31899999999996</v>
      </c>
      <c r="K420" s="1675">
        <f t="shared" si="244"/>
        <v>496.5</v>
      </c>
      <c r="L420" s="1675">
        <f t="shared" si="244"/>
        <v>434</v>
      </c>
      <c r="M420" s="1675">
        <f t="shared" si="244"/>
        <v>555.46400000000006</v>
      </c>
      <c r="N420" s="1675">
        <f t="shared" si="244"/>
        <v>621</v>
      </c>
      <c r="O420" s="1675">
        <f t="shared" si="244"/>
        <v>693</v>
      </c>
      <c r="P420" s="1675">
        <f t="shared" si="244"/>
        <v>423</v>
      </c>
      <c r="Q420" s="1675">
        <f t="shared" si="244"/>
        <v>362</v>
      </c>
      <c r="R420" s="1675">
        <f t="shared" si="244"/>
        <v>251</v>
      </c>
      <c r="S420" s="1675">
        <f t="shared" si="244"/>
        <v>143</v>
      </c>
      <c r="T420" s="1675">
        <f t="shared" si="244"/>
        <v>265</v>
      </c>
      <c r="U420" s="1675">
        <f t="shared" si="244"/>
        <v>543</v>
      </c>
      <c r="V420" s="1675">
        <f t="shared" si="244"/>
        <v>343</v>
      </c>
      <c r="W420" s="1675">
        <f t="shared" si="244"/>
        <v>270</v>
      </c>
      <c r="X420" s="1675">
        <f t="shared" si="244"/>
        <v>2084</v>
      </c>
      <c r="Y420" s="1675">
        <f t="shared" si="244"/>
        <v>343</v>
      </c>
      <c r="Z420" s="1675">
        <f t="shared" si="244"/>
        <v>343</v>
      </c>
      <c r="AA420" s="1675">
        <f t="shared" si="244"/>
        <v>343</v>
      </c>
      <c r="AB420" s="1675">
        <f t="shared" si="244"/>
        <v>343</v>
      </c>
      <c r="AC420" s="1675">
        <f t="shared" si="244"/>
        <v>343</v>
      </c>
      <c r="AD420" s="1675">
        <f t="shared" si="244"/>
        <v>343</v>
      </c>
      <c r="AE420" s="1675">
        <f t="shared" si="244"/>
        <v>343</v>
      </c>
      <c r="AF420" s="1675">
        <f t="shared" si="244"/>
        <v>343</v>
      </c>
      <c r="AG420" s="1675">
        <f t="shared" si="244"/>
        <v>343</v>
      </c>
      <c r="AH420" s="1293"/>
      <c r="AI420" s="1293"/>
      <c r="AJ420" s="1293"/>
      <c r="AK420" s="1293"/>
      <c r="AL420" s="1293"/>
      <c r="AM420" s="1293"/>
      <c r="AN420" s="1293"/>
      <c r="AO420" s="1293"/>
      <c r="AP420" s="1293"/>
      <c r="AQ420" s="1293"/>
      <c r="AR420" s="1293"/>
      <c r="AS420" s="1293"/>
    </row>
    <row r="421" spans="1:47" ht="15.75">
      <c r="A421" s="1653" t="s">
        <v>112</v>
      </c>
      <c r="B421" s="1653"/>
      <c r="C421" s="1653"/>
      <c r="D421" s="1717"/>
      <c r="E421" s="1717"/>
      <c r="F421" s="1675">
        <f>F418+F424-F420</f>
        <v>794.80899999999997</v>
      </c>
      <c r="G421" s="1675">
        <f>G418+G424-G420</f>
        <v>652.88</v>
      </c>
      <c r="H421" s="1675">
        <f t="shared" ref="H421:AG421" si="245">H422-H420</f>
        <v>505.976</v>
      </c>
      <c r="I421" s="1675">
        <f t="shared" si="245"/>
        <v>1359.0309999999999</v>
      </c>
      <c r="J421" s="1675">
        <f t="shared" si="245"/>
        <v>945.68100000000004</v>
      </c>
      <c r="K421" s="1675">
        <f t="shared" si="245"/>
        <v>1661.5</v>
      </c>
      <c r="L421" s="1675">
        <f t="shared" ca="1" si="245"/>
        <v>1912</v>
      </c>
      <c r="M421" s="1675">
        <f t="shared" ca="1" si="245"/>
        <v>1796.5720000000001</v>
      </c>
      <c r="N421" s="1675">
        <f t="shared" ca="1" si="245"/>
        <v>1937</v>
      </c>
      <c r="O421" s="1675">
        <f t="shared" ca="1" si="245"/>
        <v>2566</v>
      </c>
      <c r="P421" s="1675">
        <f t="shared" si="245"/>
        <v>3504</v>
      </c>
      <c r="Q421" s="1675">
        <f t="shared" si="245"/>
        <v>4467</v>
      </c>
      <c r="R421" s="1675">
        <f t="shared" si="245"/>
        <v>5134</v>
      </c>
      <c r="S421" s="1675">
        <f t="shared" si="245"/>
        <v>5147</v>
      </c>
      <c r="T421" s="1675">
        <f t="shared" si="245"/>
        <v>4903</v>
      </c>
      <c r="U421" s="1675">
        <f t="shared" si="245"/>
        <v>5530</v>
      </c>
      <c r="V421" s="1675">
        <f t="shared" si="245"/>
        <v>8288</v>
      </c>
      <c r="W421" s="1675">
        <f t="shared" si="245"/>
        <v>7483</v>
      </c>
      <c r="X421" s="1675">
        <f t="shared" si="245"/>
        <v>7166</v>
      </c>
      <c r="Y421" s="1675">
        <f t="shared" si="245"/>
        <v>7511</v>
      </c>
      <c r="Z421" s="1675">
        <f t="shared" si="245"/>
        <v>7436</v>
      </c>
      <c r="AA421" s="1675">
        <f t="shared" si="245"/>
        <v>6485</v>
      </c>
      <c r="AB421" s="1675">
        <f t="shared" si="245"/>
        <v>6508.85</v>
      </c>
      <c r="AC421" s="1675">
        <f t="shared" si="245"/>
        <v>6533.2962499999994</v>
      </c>
      <c r="AD421" s="1675">
        <f t="shared" si="245"/>
        <v>6558.3536562499994</v>
      </c>
      <c r="AE421" s="1675">
        <f t="shared" si="245"/>
        <v>6584.0374976562498</v>
      </c>
      <c r="AF421" s="1675">
        <f t="shared" si="245"/>
        <v>6610.3634350976554</v>
      </c>
      <c r="AG421" s="1675">
        <f t="shared" si="245"/>
        <v>6637.3475209750968</v>
      </c>
      <c r="AH421" s="1293"/>
      <c r="AI421" s="1293"/>
      <c r="AJ421" s="1293"/>
      <c r="AK421" s="1293"/>
      <c r="AL421" s="1293"/>
      <c r="AM421" s="1293"/>
      <c r="AN421" s="1293"/>
      <c r="AO421" s="1293"/>
      <c r="AP421" s="1293"/>
      <c r="AQ421" s="1293"/>
      <c r="AR421" s="1293"/>
      <c r="AS421" s="1293"/>
    </row>
    <row r="422" spans="1:47" ht="15.75">
      <c r="A422" s="1653" t="s">
        <v>356</v>
      </c>
      <c r="B422" s="1653"/>
      <c r="C422" s="1653"/>
      <c r="D422" s="1675"/>
      <c r="E422" s="1675"/>
      <c r="F422" s="1675">
        <f>SUM(F420:F421)</f>
        <v>794.80899999999997</v>
      </c>
      <c r="G422" s="1675">
        <f>SUM(G420:G421)</f>
        <v>741.39099999999996</v>
      </c>
      <c r="H422" s="1675">
        <f>H424+H418</f>
        <v>917.67499999999995</v>
      </c>
      <c r="I422" s="1675">
        <f>I424+I418</f>
        <v>1493.692</v>
      </c>
      <c r="J422" s="1675">
        <f>J424+J418</f>
        <v>1835</v>
      </c>
      <c r="K422" s="1675">
        <f>K424+K418</f>
        <v>2158</v>
      </c>
      <c r="L422" s="1675">
        <f t="shared" ref="L422:X422" ca="1" si="246">L585</f>
        <v>2346</v>
      </c>
      <c r="M422" s="1675">
        <f t="shared" ca="1" si="246"/>
        <v>2352.0360000000001</v>
      </c>
      <c r="N422" s="1675">
        <f t="shared" ca="1" si="246"/>
        <v>2558</v>
      </c>
      <c r="O422" s="1675">
        <f t="shared" ca="1" si="246"/>
        <v>3259</v>
      </c>
      <c r="P422" s="1675">
        <f t="shared" si="246"/>
        <v>3927</v>
      </c>
      <c r="Q422" s="1675">
        <f t="shared" si="246"/>
        <v>4829</v>
      </c>
      <c r="R422" s="1675">
        <f t="shared" si="246"/>
        <v>5385</v>
      </c>
      <c r="S422" s="1675">
        <f t="shared" si="246"/>
        <v>5290</v>
      </c>
      <c r="T422" s="1675">
        <f t="shared" si="246"/>
        <v>5168</v>
      </c>
      <c r="U422" s="1675">
        <f t="shared" si="246"/>
        <v>6073</v>
      </c>
      <c r="V422" s="1675">
        <f t="shared" si="246"/>
        <v>8631</v>
      </c>
      <c r="W422" s="1675">
        <f t="shared" si="246"/>
        <v>7753</v>
      </c>
      <c r="X422" s="1675">
        <f t="shared" si="246"/>
        <v>9250</v>
      </c>
      <c r="Y422" s="1675">
        <f t="shared" ref="Y422:AG422" si="247">Y467</f>
        <v>7854</v>
      </c>
      <c r="Z422" s="1675">
        <f t="shared" si="247"/>
        <v>7779</v>
      </c>
      <c r="AA422" s="1675">
        <f t="shared" si="247"/>
        <v>6828</v>
      </c>
      <c r="AB422" s="1675">
        <f t="shared" si="247"/>
        <v>6851.85</v>
      </c>
      <c r="AC422" s="1675">
        <f t="shared" si="247"/>
        <v>6876.2962499999994</v>
      </c>
      <c r="AD422" s="1675">
        <f t="shared" si="247"/>
        <v>6901.3536562499994</v>
      </c>
      <c r="AE422" s="1675">
        <f t="shared" si="247"/>
        <v>6927.0374976562498</v>
      </c>
      <c r="AF422" s="1675">
        <f t="shared" si="247"/>
        <v>6953.3634350976554</v>
      </c>
      <c r="AG422" s="1675">
        <f t="shared" si="247"/>
        <v>6980.3475209750968</v>
      </c>
      <c r="AH422" s="1293" t="s">
        <v>9145</v>
      </c>
      <c r="AI422" s="1293"/>
      <c r="AJ422" s="1293"/>
      <c r="AK422" s="1293"/>
      <c r="AL422" s="1293"/>
      <c r="AM422" s="1293"/>
      <c r="AN422" s="1293"/>
      <c r="AO422" s="1293"/>
      <c r="AP422" s="1293"/>
      <c r="AQ422" s="1293"/>
      <c r="AR422" s="1293"/>
      <c r="AS422" s="1293"/>
    </row>
    <row r="423" spans="1:47" ht="15.75">
      <c r="A423" s="1653"/>
      <c r="B423" s="1653"/>
      <c r="C423" s="1653"/>
      <c r="D423" s="1653"/>
      <c r="E423" s="1653"/>
      <c r="F423" s="1653"/>
      <c r="G423" s="1653"/>
      <c r="H423" s="1653"/>
      <c r="I423" s="1653"/>
      <c r="J423" s="1653"/>
      <c r="K423" s="1653"/>
      <c r="L423" s="1675"/>
      <c r="M423" s="1653"/>
      <c r="N423" s="1653"/>
      <c r="O423" s="1653"/>
      <c r="P423" s="1653"/>
      <c r="Q423" s="1653"/>
      <c r="R423" s="1653"/>
      <c r="S423" s="1653"/>
      <c r="T423" s="1653"/>
      <c r="U423" s="1653"/>
      <c r="V423" s="1653"/>
      <c r="W423" s="1653"/>
      <c r="X423" s="1653"/>
      <c r="Y423" s="1653"/>
      <c r="Z423" s="1653"/>
      <c r="AA423" s="1653"/>
      <c r="AB423" s="1653"/>
      <c r="AC423" s="1653"/>
      <c r="AD423" s="1653"/>
      <c r="AE423" s="1653"/>
      <c r="AF423" s="1653"/>
      <c r="AG423" s="1653"/>
      <c r="AH423" s="1293"/>
      <c r="AI423" s="1293"/>
      <c r="AJ423" s="1293"/>
      <c r="AK423" s="1293"/>
      <c r="AL423" s="1293"/>
      <c r="AM423" s="1293"/>
      <c r="AN423" s="1293"/>
      <c r="AO423" s="1293"/>
      <c r="AP423" s="1293"/>
      <c r="AQ423" s="1293"/>
      <c r="AR423" s="1293"/>
      <c r="AS423" s="1293"/>
    </row>
    <row r="424" spans="1:47" ht="15.75">
      <c r="A424" s="1684" t="s">
        <v>150</v>
      </c>
      <c r="B424" s="1684"/>
      <c r="C424" s="1684"/>
      <c r="D424" s="1713"/>
      <c r="E424" s="1713"/>
      <c r="F424" s="1959">
        <v>613.1</v>
      </c>
      <c r="G424" s="1959">
        <v>327.39999999999998</v>
      </c>
      <c r="H424" s="1959">
        <f>321</f>
        <v>321</v>
      </c>
      <c r="I424" s="1959">
        <f>837</f>
        <v>837</v>
      </c>
      <c r="J424" s="1959">
        <v>660</v>
      </c>
      <c r="K424" s="1959">
        <v>1484</v>
      </c>
      <c r="L424" s="1713">
        <f t="shared" ref="L424:AA424" ca="1" si="248">L422-L418</f>
        <v>772</v>
      </c>
      <c r="M424" s="1713">
        <f t="shared" ca="1" si="248"/>
        <v>1275.549</v>
      </c>
      <c r="N424" s="1713">
        <f t="shared" ca="1" si="248"/>
        <v>1642</v>
      </c>
      <c r="O424" s="1713">
        <f t="shared" ca="1" si="248"/>
        <v>2042</v>
      </c>
      <c r="P424" s="1713">
        <f t="shared" si="248"/>
        <v>2121</v>
      </c>
      <c r="Q424" s="1713">
        <f t="shared" si="248"/>
        <v>3998</v>
      </c>
      <c r="R424" s="1713">
        <f t="shared" si="248"/>
        <v>4295</v>
      </c>
      <c r="S424" s="1713">
        <f t="shared" si="248"/>
        <v>4187</v>
      </c>
      <c r="T424" s="1713">
        <f t="shared" si="248"/>
        <v>4073</v>
      </c>
      <c r="U424" s="1713">
        <f t="shared" si="248"/>
        <v>5133</v>
      </c>
      <c r="V424" s="1713">
        <f t="shared" si="248"/>
        <v>7236</v>
      </c>
      <c r="W424" s="1713">
        <f t="shared" si="248"/>
        <v>6631</v>
      </c>
      <c r="X424" s="1713">
        <f t="shared" si="248"/>
        <v>8281</v>
      </c>
      <c r="Y424" s="1713">
        <f t="shared" si="248"/>
        <v>6815</v>
      </c>
      <c r="Z424" s="1713">
        <f t="shared" si="248"/>
        <v>6999</v>
      </c>
      <c r="AA424" s="1713">
        <f t="shared" si="248"/>
        <v>6129</v>
      </c>
      <c r="AB424" s="1713">
        <f t="shared" ref="AB424:AG424" ca="1" si="249">AA424+AB426</f>
        <v>5411.8432365614617</v>
      </c>
      <c r="AC424" s="1713">
        <f ca="1">AB424+AC426</f>
        <v>5610.2016384406788</v>
      </c>
      <c r="AD424" s="1713">
        <f t="shared" ca="1" si="249"/>
        <v>5784.6553564899041</v>
      </c>
      <c r="AE424" s="1713">
        <f t="shared" ca="1" si="249"/>
        <v>5940.5686334332822</v>
      </c>
      <c r="AF424" s="1713">
        <f t="shared" ca="1" si="249"/>
        <v>6045.1632045673487</v>
      </c>
      <c r="AG424" s="1713">
        <f t="shared" ca="1" si="249"/>
        <v>6123.1099035994321</v>
      </c>
      <c r="AH424" s="1334" t="s">
        <v>9141</v>
      </c>
      <c r="AI424" s="1293"/>
      <c r="AJ424" s="1293"/>
      <c r="AK424" s="1293"/>
      <c r="AL424" s="1293"/>
      <c r="AM424" s="1293"/>
      <c r="AN424" s="1293"/>
      <c r="AO424" s="1293"/>
      <c r="AP424" s="1293"/>
      <c r="AQ424" s="1293"/>
      <c r="AR424" s="1293"/>
      <c r="AS424" s="1293"/>
    </row>
    <row r="425" spans="1:47" ht="15.75">
      <c r="A425" s="1653" t="s">
        <v>357</v>
      </c>
      <c r="B425" s="1653"/>
      <c r="C425" s="1653"/>
      <c r="D425" s="1653"/>
      <c r="E425" s="1675"/>
      <c r="F425" s="1675">
        <f t="shared" ref="F425:AG425" si="250">F424-E424</f>
        <v>613.1</v>
      </c>
      <c r="G425" s="1675">
        <f t="shared" si="250"/>
        <v>-285.70000000000005</v>
      </c>
      <c r="H425" s="1675">
        <f t="shared" si="250"/>
        <v>-6.3999999999999773</v>
      </c>
      <c r="I425" s="1675">
        <f t="shared" si="250"/>
        <v>516</v>
      </c>
      <c r="J425" s="1675">
        <f t="shared" si="250"/>
        <v>-177</v>
      </c>
      <c r="K425" s="1675">
        <f t="shared" si="250"/>
        <v>824</v>
      </c>
      <c r="L425" s="1675">
        <f t="shared" ca="1" si="250"/>
        <v>-712</v>
      </c>
      <c r="M425" s="1675">
        <f t="shared" ca="1" si="250"/>
        <v>503.54899999999998</v>
      </c>
      <c r="N425" s="1675">
        <f t="shared" ca="1" si="250"/>
        <v>366.45100000000002</v>
      </c>
      <c r="O425" s="1675">
        <f t="shared" ca="1" si="250"/>
        <v>400</v>
      </c>
      <c r="P425" s="1675">
        <f t="shared" ca="1" si="250"/>
        <v>79</v>
      </c>
      <c r="Q425" s="1675">
        <f t="shared" si="250"/>
        <v>1877</v>
      </c>
      <c r="R425" s="1675">
        <f t="shared" si="250"/>
        <v>297</v>
      </c>
      <c r="S425" s="1675">
        <f t="shared" si="250"/>
        <v>-108</v>
      </c>
      <c r="T425" s="1675">
        <f t="shared" si="250"/>
        <v>-114</v>
      </c>
      <c r="U425" s="1675">
        <f t="shared" si="250"/>
        <v>1060</v>
      </c>
      <c r="V425" s="1675">
        <f t="shared" si="250"/>
        <v>2103</v>
      </c>
      <c r="W425" s="1675">
        <f t="shared" si="250"/>
        <v>-605</v>
      </c>
      <c r="X425" s="1675">
        <f t="shared" si="250"/>
        <v>1650</v>
      </c>
      <c r="Y425" s="1675">
        <f t="shared" si="250"/>
        <v>-1466</v>
      </c>
      <c r="Z425" s="1675">
        <f t="shared" si="250"/>
        <v>184</v>
      </c>
      <c r="AA425" s="1675">
        <f t="shared" si="250"/>
        <v>-870</v>
      </c>
      <c r="AB425" s="1675">
        <f t="shared" ca="1" si="250"/>
        <v>-717.15676343853829</v>
      </c>
      <c r="AC425" s="1675">
        <f t="shared" ca="1" si="250"/>
        <v>198.35840187921713</v>
      </c>
      <c r="AD425" s="1675">
        <f t="shared" ca="1" si="250"/>
        <v>174.45371804922524</v>
      </c>
      <c r="AE425" s="1675">
        <f t="shared" ca="1" si="250"/>
        <v>155.91327694337815</v>
      </c>
      <c r="AF425" s="1675">
        <f t="shared" ca="1" si="250"/>
        <v>104.59457113406643</v>
      </c>
      <c r="AG425" s="1675">
        <f t="shared" ca="1" si="250"/>
        <v>77.946699032083416</v>
      </c>
      <c r="AH425" s="1293"/>
      <c r="AI425" s="1293"/>
      <c r="AJ425" s="1293"/>
      <c r="AK425" s="1293"/>
      <c r="AL425" s="1293"/>
      <c r="AM425" s="1293"/>
      <c r="AN425" s="1293"/>
      <c r="AO425" s="1293"/>
      <c r="AP425" s="1293"/>
      <c r="AQ425" s="1293"/>
      <c r="AR425" s="1293"/>
      <c r="AS425" s="1293"/>
    </row>
    <row r="426" spans="1:47" ht="15.75">
      <c r="A426" s="1653" t="s">
        <v>358</v>
      </c>
      <c r="B426" s="1653"/>
      <c r="C426" s="1653"/>
      <c r="D426" s="1653"/>
      <c r="E426" s="1675"/>
      <c r="F426" s="1675">
        <f>-F111</f>
        <v>613.1</v>
      </c>
      <c r="G426" s="1675">
        <f>-G111</f>
        <v>-285.70000000000005</v>
      </c>
      <c r="H426" s="1675" t="e">
        <f>-H111</f>
        <v>#REF!</v>
      </c>
      <c r="I426" s="1675" t="e">
        <f ca="1">-I111</f>
        <v>#REF!</v>
      </c>
      <c r="J426" s="1675" t="e">
        <f ca="1">-J111</f>
        <v>#REF!</v>
      </c>
      <c r="K426" s="1717" t="e">
        <f>-K111-K617</f>
        <v>#REF!</v>
      </c>
      <c r="L426" s="1675" t="e">
        <f t="shared" ref="L426:AG426" ca="1" si="251">-L111</f>
        <v>#REF!</v>
      </c>
      <c r="M426" s="1675" t="e">
        <f t="shared" ca="1" si="251"/>
        <v>#REF!</v>
      </c>
      <c r="N426" s="1675">
        <f t="shared" ca="1" si="251"/>
        <v>933.20583099039015</v>
      </c>
      <c r="O426" s="1675">
        <f t="shared" ca="1" si="251"/>
        <v>1330.1211357</v>
      </c>
      <c r="P426" s="1675">
        <f t="shared" ca="1" si="251"/>
        <v>1121.4764211891193</v>
      </c>
      <c r="Q426" s="1675">
        <f t="shared" si="251"/>
        <v>-514.57732077307344</v>
      </c>
      <c r="R426" s="1675">
        <f t="shared" ca="1" si="251"/>
        <v>2411.5287576733608</v>
      </c>
      <c r="S426" s="1675">
        <f t="shared" ca="1" si="251"/>
        <v>-19.919808118800916</v>
      </c>
      <c r="T426" s="1675">
        <f t="shared" si="251"/>
        <v>214.28600000000017</v>
      </c>
      <c r="U426" s="1675">
        <f t="shared" si="251"/>
        <v>503.48599999999999</v>
      </c>
      <c r="V426" s="1675">
        <f t="shared" ca="1" si="251"/>
        <v>530.88600000000008</v>
      </c>
      <c r="W426" s="1675">
        <f t="shared" ca="1" si="251"/>
        <v>-916.24279999999999</v>
      </c>
      <c r="X426" s="1675">
        <f t="shared" ca="1" si="251"/>
        <v>2647.58</v>
      </c>
      <c r="Y426" s="1675">
        <f t="shared" si="251"/>
        <v>-1093.5230966270547</v>
      </c>
      <c r="Z426" s="1675">
        <f t="shared" si="251"/>
        <v>-223.27897172045871</v>
      </c>
      <c r="AA426" s="1675">
        <f t="shared" ca="1" si="251"/>
        <v>69.332009791739878</v>
      </c>
      <c r="AB426" s="1675">
        <f t="shared" ca="1" si="251"/>
        <v>-717.15676343853806</v>
      </c>
      <c r="AC426" s="1675">
        <f t="shared" ca="1" si="251"/>
        <v>198.35840187921701</v>
      </c>
      <c r="AD426" s="1675">
        <f t="shared" ca="1" si="251"/>
        <v>174.45371804922479</v>
      </c>
      <c r="AE426" s="1675">
        <f t="shared" ca="1" si="251"/>
        <v>155.91327694337821</v>
      </c>
      <c r="AF426" s="1675">
        <f t="shared" ca="1" si="251"/>
        <v>104.59457113406646</v>
      </c>
      <c r="AG426" s="1675">
        <f t="shared" ca="1" si="251"/>
        <v>77.946699032083473</v>
      </c>
      <c r="AH426" s="1293"/>
      <c r="AI426" s="1293"/>
      <c r="AJ426" s="1293"/>
      <c r="AK426" s="1293"/>
      <c r="AL426" s="1293"/>
      <c r="AM426" s="1293"/>
      <c r="AN426" s="1293"/>
      <c r="AO426" s="1293"/>
      <c r="AP426" s="1293"/>
      <c r="AQ426" s="1293"/>
      <c r="AR426" s="1293"/>
      <c r="AS426" s="1293"/>
    </row>
    <row r="427" spans="1:47" ht="15.75">
      <c r="A427" s="1293"/>
      <c r="B427" s="1293"/>
      <c r="C427" s="1293"/>
      <c r="D427" s="1293"/>
      <c r="E427" s="1293"/>
      <c r="F427" s="1293"/>
      <c r="G427" s="1293"/>
      <c r="H427" s="1293"/>
      <c r="I427" s="1293"/>
      <c r="J427" s="1293"/>
      <c r="K427" s="1675"/>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c r="AH427" s="1293"/>
      <c r="AI427" s="1293"/>
      <c r="AJ427" s="1293"/>
      <c r="AK427" s="1293"/>
      <c r="AL427" s="1293"/>
      <c r="AM427" s="1293"/>
      <c r="AN427" s="1293"/>
      <c r="AO427" s="1293"/>
      <c r="AP427" s="1293"/>
      <c r="AQ427" s="1293"/>
      <c r="AR427" s="1293"/>
      <c r="AS427" s="1293"/>
    </row>
    <row r="428" spans="1:47" ht="15.75">
      <c r="A428" s="1293" t="s">
        <v>687</v>
      </c>
      <c r="B428" s="1293"/>
      <c r="C428" s="1293"/>
      <c r="D428" s="1293"/>
      <c r="E428" s="1293"/>
      <c r="F428" s="1675">
        <f>F424-F533</f>
        <v>613.1</v>
      </c>
      <c r="G428" s="1675">
        <f>G424-G533</f>
        <v>327.39999999999998</v>
      </c>
      <c r="H428" s="1675">
        <f>H424-H533</f>
        <v>157.71600000000001</v>
      </c>
      <c r="I428" s="1675">
        <f>I424-I533</f>
        <v>665.83100000000002</v>
      </c>
      <c r="J428" s="1675">
        <f t="shared" ref="J428:AG428" si="252">J424-J505</f>
        <v>481</v>
      </c>
      <c r="K428" s="1675">
        <f t="shared" si="252"/>
        <v>1484</v>
      </c>
      <c r="L428" s="1675">
        <f t="shared" ca="1" si="252"/>
        <v>772</v>
      </c>
      <c r="M428" s="1675">
        <f t="shared" ca="1" si="252"/>
        <v>1275.549</v>
      </c>
      <c r="N428" s="1675">
        <f t="shared" ca="1" si="252"/>
        <v>1642</v>
      </c>
      <c r="O428" s="1675">
        <f t="shared" ca="1" si="252"/>
        <v>2042</v>
      </c>
      <c r="P428" s="1675">
        <f t="shared" si="252"/>
        <v>2121</v>
      </c>
      <c r="Q428" s="1675">
        <f t="shared" si="252"/>
        <v>3998</v>
      </c>
      <c r="R428" s="1675">
        <f t="shared" si="252"/>
        <v>4295</v>
      </c>
      <c r="S428" s="1675">
        <f t="shared" si="252"/>
        <v>4187</v>
      </c>
      <c r="T428" s="1675">
        <f t="shared" si="252"/>
        <v>4073</v>
      </c>
      <c r="U428" s="1675">
        <f t="shared" si="252"/>
        <v>5133</v>
      </c>
      <c r="V428" s="1675">
        <f t="shared" si="252"/>
        <v>7236</v>
      </c>
      <c r="W428" s="1675">
        <f t="shared" si="252"/>
        <v>6631</v>
      </c>
      <c r="X428" s="1675">
        <f t="shared" si="252"/>
        <v>8281</v>
      </c>
      <c r="Y428" s="1675">
        <f t="shared" si="252"/>
        <v>6815</v>
      </c>
      <c r="Z428" s="1675">
        <f t="shared" si="252"/>
        <v>6999</v>
      </c>
      <c r="AA428" s="1675">
        <f t="shared" si="252"/>
        <v>6129</v>
      </c>
      <c r="AB428" s="1675">
        <f t="shared" ca="1" si="252"/>
        <v>5411.8432365614617</v>
      </c>
      <c r="AC428" s="1675">
        <f t="shared" ca="1" si="252"/>
        <v>5610.2016384406788</v>
      </c>
      <c r="AD428" s="1675">
        <f t="shared" ca="1" si="252"/>
        <v>5784.6553564899041</v>
      </c>
      <c r="AE428" s="1675">
        <f t="shared" ca="1" si="252"/>
        <v>5940.5686334332822</v>
      </c>
      <c r="AF428" s="1675">
        <f t="shared" ca="1" si="252"/>
        <v>6045.1632045673487</v>
      </c>
      <c r="AG428" s="1675">
        <f t="shared" ca="1" si="252"/>
        <v>6123.1099035994321</v>
      </c>
      <c r="AH428" s="1675"/>
      <c r="AI428" s="1293"/>
      <c r="AJ428" s="1293"/>
      <c r="AK428" s="1293"/>
      <c r="AL428" s="1293"/>
      <c r="AM428" s="1293"/>
      <c r="AN428" s="1293"/>
      <c r="AO428" s="1293"/>
      <c r="AP428" s="1293"/>
      <c r="AQ428" s="1293"/>
      <c r="AR428" s="1293"/>
      <c r="AS428" s="1293"/>
    </row>
    <row r="429" spans="1:47" ht="15.75">
      <c r="A429" s="1293"/>
      <c r="B429" s="1293"/>
      <c r="C429" s="1293"/>
      <c r="D429" s="1293"/>
      <c r="E429" s="1293"/>
      <c r="F429" s="1675"/>
      <c r="G429" s="1675"/>
      <c r="H429" s="1675"/>
      <c r="I429" s="1675"/>
      <c r="J429" s="1675"/>
      <c r="K429" s="1675"/>
      <c r="L429" s="1675"/>
      <c r="M429" s="1675"/>
      <c r="N429" s="1675"/>
      <c r="O429" s="1675"/>
      <c r="P429" s="1675"/>
      <c r="Q429" s="1675"/>
      <c r="R429" s="1675"/>
      <c r="S429" s="1675"/>
      <c r="T429" s="1675"/>
      <c r="U429" s="1675"/>
      <c r="V429" s="1675"/>
      <c r="W429" s="1675"/>
      <c r="X429" s="1675"/>
      <c r="Y429" s="1675"/>
      <c r="Z429" s="1675"/>
      <c r="AA429" s="1872">
        <f ca="1">AA151</f>
        <v>2.4827377017796555</v>
      </c>
      <c r="AB429" s="1872">
        <f t="shared" ref="AB429:AG429" ca="1" si="253">AB151</f>
        <v>2.2722745797198325</v>
      </c>
      <c r="AC429" s="1872">
        <f t="shared" ca="1" si="253"/>
        <v>2.3412920351226498</v>
      </c>
      <c r="AD429" s="1872">
        <f t="shared" ca="1" si="253"/>
        <v>2.3505226738028977</v>
      </c>
      <c r="AE429" s="1872">
        <f t="shared" ca="1" si="253"/>
        <v>2.3466767086413629</v>
      </c>
      <c r="AF429" s="1872">
        <f t="shared" ca="1" si="253"/>
        <v>2.3203975020181051</v>
      </c>
      <c r="AG429" s="1872">
        <f t="shared" ca="1" si="253"/>
        <v>2.288343061579857</v>
      </c>
      <c r="AH429" s="1675"/>
      <c r="AI429" s="1293"/>
      <c r="AJ429" s="1293"/>
      <c r="AK429" s="1293"/>
      <c r="AL429" s="1293"/>
      <c r="AM429" s="1293"/>
      <c r="AN429" s="1293"/>
      <c r="AO429" s="1293"/>
      <c r="AP429" s="1293"/>
      <c r="AQ429" s="1293"/>
      <c r="AR429" s="1293"/>
      <c r="AS429" s="1293"/>
    </row>
    <row r="430" spans="1:47" ht="15.75">
      <c r="A430" s="1293"/>
      <c r="B430" s="1293"/>
      <c r="C430" s="1293"/>
      <c r="D430" s="1293"/>
      <c r="E430" s="1293"/>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1675"/>
      <c r="AG430" s="1675"/>
      <c r="AH430" s="1675"/>
      <c r="AI430" s="1293"/>
      <c r="AJ430" s="1293"/>
      <c r="AK430" s="1293"/>
      <c r="AL430" s="1293"/>
      <c r="AM430" s="1293"/>
      <c r="AN430" s="1293"/>
      <c r="AO430" s="1293"/>
      <c r="AP430" s="1293"/>
      <c r="AQ430" s="1293"/>
      <c r="AR430" s="1293"/>
      <c r="AS430" s="1293"/>
    </row>
    <row r="431" spans="1:47" ht="15.75">
      <c r="A431" s="2508" t="s">
        <v>8326</v>
      </c>
      <c r="B431" s="1334"/>
      <c r="C431" s="1334"/>
      <c r="D431" s="1334"/>
      <c r="E431" s="1334"/>
      <c r="F431" s="1713"/>
      <c r="G431" s="1713"/>
      <c r="H431" s="1713"/>
      <c r="I431" s="1713"/>
      <c r="J431" s="1713"/>
      <c r="K431" s="1713"/>
      <c r="L431" s="1713"/>
      <c r="M431" s="1713"/>
      <c r="N431" s="1713"/>
      <c r="O431" s="1713"/>
      <c r="P431" s="1713"/>
      <c r="Q431" s="1713"/>
      <c r="R431" s="1713"/>
      <c r="S431" s="1713"/>
      <c r="T431" s="1713"/>
      <c r="U431" s="1713"/>
      <c r="V431" s="2509">
        <f t="shared" ref="V431:AG431" si="254">V428-V434</f>
        <v>6212</v>
      </c>
      <c r="W431" s="2509">
        <f t="shared" si="254"/>
        <v>5610</v>
      </c>
      <c r="X431" s="2509">
        <f t="shared" si="254"/>
        <v>7114</v>
      </c>
      <c r="Y431" s="2509">
        <f t="shared" si="254"/>
        <v>5799</v>
      </c>
      <c r="Z431" s="2509">
        <f t="shared" si="254"/>
        <v>5956</v>
      </c>
      <c r="AA431" s="2509">
        <f t="shared" si="254"/>
        <v>5175</v>
      </c>
      <c r="AB431" s="2509">
        <f t="shared" ca="1" si="254"/>
        <v>4433.9932365614623</v>
      </c>
      <c r="AC431" s="2509">
        <f t="shared" ca="1" si="254"/>
        <v>4607.9053884406785</v>
      </c>
      <c r="AD431" s="2509">
        <f t="shared" ca="1" si="254"/>
        <v>4757.3017002399047</v>
      </c>
      <c r="AE431" s="2509">
        <f t="shared" ca="1" si="254"/>
        <v>4887.5311357770324</v>
      </c>
      <c r="AF431" s="2509">
        <f t="shared" ca="1" si="254"/>
        <v>4965.7997694696933</v>
      </c>
      <c r="AG431" s="2509">
        <f t="shared" ca="1" si="254"/>
        <v>5016.7623826243353</v>
      </c>
      <c r="AH431" s="1293"/>
      <c r="AI431" s="1293"/>
      <c r="AJ431" s="1293"/>
      <c r="AK431" s="1293"/>
      <c r="AL431" s="1293"/>
      <c r="AM431" s="1293"/>
      <c r="AN431" s="1293"/>
      <c r="AO431" s="1293"/>
      <c r="AP431" s="1293"/>
      <c r="AQ431" s="1293"/>
      <c r="AR431" s="1293"/>
      <c r="AS431" s="1293"/>
      <c r="AU431">
        <v>5815</v>
      </c>
    </row>
    <row r="432" spans="1:47" s="463" customFormat="1" ht="15.75">
      <c r="A432" s="2508" t="s">
        <v>9172</v>
      </c>
      <c r="B432" s="1334"/>
      <c r="C432" s="1334"/>
      <c r="D432" s="1334"/>
      <c r="E432" s="1334"/>
      <c r="F432" s="1713"/>
      <c r="G432" s="1713"/>
      <c r="H432" s="1713"/>
      <c r="I432" s="1713"/>
      <c r="J432" s="1713"/>
      <c r="K432" s="1713"/>
      <c r="L432" s="1713"/>
      <c r="M432" s="1713"/>
      <c r="N432" s="1713"/>
      <c r="O432" s="1713"/>
      <c r="P432" s="1713"/>
      <c r="Q432" s="1713"/>
      <c r="R432" s="1713"/>
      <c r="S432" s="1713"/>
      <c r="T432" s="1713"/>
      <c r="U432" s="1713"/>
      <c r="V432" s="2528"/>
      <c r="W432" s="2528"/>
      <c r="X432" s="2528"/>
      <c r="Y432" s="2528">
        <f t="shared" ref="Y432:AG432" si="255">Y431/Y22</f>
        <v>2.9953512396694215</v>
      </c>
      <c r="Z432" s="2528">
        <f t="shared" si="255"/>
        <v>3.2869757174392937</v>
      </c>
      <c r="AA432" s="2528">
        <f t="shared" si="255"/>
        <v>2.4159663865546217</v>
      </c>
      <c r="AB432" s="2528">
        <f t="shared" ca="1" si="255"/>
        <v>2.1924683350267933</v>
      </c>
      <c r="AC432" s="2528">
        <f t="shared" ca="1" si="255"/>
        <v>2.2702369348702938</v>
      </c>
      <c r="AD432" s="2528">
        <f t="shared" ca="1" si="255"/>
        <v>2.2792945893339991</v>
      </c>
      <c r="AE432" s="2528">
        <f t="shared" ca="1" si="255"/>
        <v>2.273081648117202</v>
      </c>
      <c r="AF432" s="2528">
        <f t="shared" ca="1" si="255"/>
        <v>2.2405827509495944</v>
      </c>
      <c r="AG432" s="2528">
        <f t="shared" ca="1" si="255"/>
        <v>2.2012269373656452</v>
      </c>
      <c r="AH432" s="1293"/>
      <c r="AI432" s="1293"/>
      <c r="AJ432" s="1293"/>
      <c r="AK432" s="1293"/>
      <c r="AL432" s="1293"/>
      <c r="AM432" s="1293"/>
      <c r="AN432" s="1293"/>
      <c r="AO432" s="1293"/>
      <c r="AP432" s="1293"/>
      <c r="AQ432" s="1293"/>
      <c r="AR432" s="1293"/>
      <c r="AS432" s="1293"/>
    </row>
    <row r="433" spans="1:47" s="463" customFormat="1" ht="15.75">
      <c r="A433" s="1334"/>
      <c r="B433" s="1334"/>
      <c r="C433" s="1334"/>
      <c r="D433" s="1334"/>
      <c r="E433" s="1334"/>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c r="AA433" s="1713"/>
      <c r="AB433" s="1675"/>
      <c r="AC433" s="1675"/>
      <c r="AD433" s="1675"/>
      <c r="AE433" s="1675"/>
      <c r="AF433" s="1675"/>
      <c r="AG433" s="1675"/>
      <c r="AH433" s="1293"/>
      <c r="AI433" s="1293"/>
      <c r="AJ433" s="1293"/>
      <c r="AK433" s="1293"/>
      <c r="AL433" s="1293"/>
      <c r="AM433" s="1293"/>
      <c r="AN433" s="1293"/>
      <c r="AO433" s="1293"/>
      <c r="AP433" s="1293"/>
      <c r="AQ433" s="1293"/>
      <c r="AR433" s="1293"/>
      <c r="AS433" s="1293"/>
    </row>
    <row r="434" spans="1:47" ht="15.75">
      <c r="A434" s="1293" t="s">
        <v>7870</v>
      </c>
      <c r="B434" s="1293"/>
      <c r="C434" s="1293"/>
      <c r="D434" s="1293"/>
      <c r="E434" s="1293"/>
      <c r="F434" s="1675"/>
      <c r="G434" s="1675"/>
      <c r="H434" s="1675"/>
      <c r="I434" s="1675"/>
      <c r="J434" s="1675"/>
      <c r="K434" s="1675"/>
      <c r="L434" s="1675"/>
      <c r="M434" s="1675"/>
      <c r="N434" s="1675"/>
      <c r="O434" s="1675"/>
      <c r="P434" s="1675"/>
      <c r="Q434" s="1675"/>
      <c r="R434" s="1675"/>
      <c r="S434" s="1675"/>
      <c r="T434" s="1675"/>
      <c r="U434" s="1675"/>
      <c r="V434" s="2498">
        <v>1024</v>
      </c>
      <c r="W434" s="2498">
        <v>1021</v>
      </c>
      <c r="X434" s="2498">
        <v>1167</v>
      </c>
      <c r="Y434" s="2498">
        <v>1016</v>
      </c>
      <c r="Z434" s="2498">
        <v>1043</v>
      </c>
      <c r="AA434" s="2498">
        <v>954</v>
      </c>
      <c r="AB434" s="2506">
        <f t="shared" ref="AB434:AG434" si="256">AA434*1.025</f>
        <v>977.84999999999991</v>
      </c>
      <c r="AC434" s="2506">
        <f t="shared" si="256"/>
        <v>1002.2962499999999</v>
      </c>
      <c r="AD434" s="2506">
        <f t="shared" si="256"/>
        <v>1027.3536562499999</v>
      </c>
      <c r="AE434" s="2506">
        <f t="shared" si="256"/>
        <v>1053.0374976562498</v>
      </c>
      <c r="AF434" s="2506">
        <f t="shared" si="256"/>
        <v>1079.3634350976558</v>
      </c>
      <c r="AG434" s="2506">
        <f t="shared" si="256"/>
        <v>1106.347520975097</v>
      </c>
      <c r="AH434" s="1293" t="s">
        <v>9137</v>
      </c>
      <c r="AI434" s="1293"/>
      <c r="AJ434" s="1293"/>
      <c r="AK434" s="1293"/>
      <c r="AL434" s="1293"/>
      <c r="AM434" s="1293"/>
      <c r="AN434" s="1293"/>
      <c r="AO434" s="1293"/>
      <c r="AP434" s="1293"/>
      <c r="AQ434" s="1293"/>
      <c r="AR434" s="1293"/>
      <c r="AS434" s="1293"/>
      <c r="AU434">
        <v>5174</v>
      </c>
    </row>
    <row r="435" spans="1:47" ht="15.75">
      <c r="A435" s="1293" t="s">
        <v>5736</v>
      </c>
      <c r="B435" s="1293"/>
      <c r="C435" s="1293"/>
      <c r="D435" s="1293"/>
      <c r="E435" s="1293"/>
      <c r="F435" s="1675"/>
      <c r="G435" s="1675"/>
      <c r="H435" s="1675"/>
      <c r="I435" s="1675"/>
      <c r="J435" s="1675"/>
      <c r="K435" s="1675"/>
      <c r="L435" s="1675"/>
      <c r="M435" s="1675"/>
      <c r="N435" s="1675"/>
      <c r="O435" s="1675"/>
      <c r="P435" s="1675"/>
      <c r="Q435" s="1675"/>
      <c r="R435" s="1675"/>
      <c r="S435" s="1675"/>
      <c r="T435" s="1675"/>
      <c r="U435" s="1675"/>
      <c r="V435" s="2498">
        <v>209</v>
      </c>
      <c r="W435" s="1675">
        <f>W436*W434</f>
        <v>208.3876953125</v>
      </c>
      <c r="X435" s="2498">
        <v>277</v>
      </c>
      <c r="Y435" s="2498">
        <v>285</v>
      </c>
      <c r="Z435" s="2498">
        <v>292</v>
      </c>
      <c r="AA435" s="2498">
        <v>324</v>
      </c>
      <c r="AB435" s="1675">
        <f t="shared" ref="AB435:AG435" ca="1" si="257">AA435*AB19/AA19</f>
        <v>356.40000000000003</v>
      </c>
      <c r="AC435" s="1675">
        <f t="shared" ca="1" si="257"/>
        <v>363.52800000000002</v>
      </c>
      <c r="AD435" s="1675">
        <f t="shared" ca="1" si="257"/>
        <v>370.79855999999995</v>
      </c>
      <c r="AE435" s="1675">
        <f t="shared" ca="1" si="257"/>
        <v>378.2145311999999</v>
      </c>
      <c r="AF435" s="1675">
        <f t="shared" ca="1" si="257"/>
        <v>385.77882182399986</v>
      </c>
      <c r="AG435" s="1675">
        <f t="shared" ca="1" si="257"/>
        <v>393.49439826047984</v>
      </c>
      <c r="AH435" s="1293" t="s">
        <v>9138</v>
      </c>
      <c r="AJ435" s="1293"/>
      <c r="AK435" s="1293"/>
      <c r="AL435" s="1293"/>
      <c r="AM435" s="1293"/>
      <c r="AN435" s="1293"/>
      <c r="AO435" s="1293"/>
      <c r="AP435" s="1293">
        <v>2024</v>
      </c>
      <c r="AQ435" s="1293"/>
      <c r="AR435" s="1293"/>
      <c r="AS435" s="1293"/>
      <c r="AU435">
        <f>AU431-AU434</f>
        <v>641</v>
      </c>
    </row>
    <row r="436" spans="1:47" ht="15.75">
      <c r="A436" s="1293" t="s">
        <v>5732</v>
      </c>
      <c r="B436" s="1293"/>
      <c r="C436" s="1293"/>
      <c r="D436" s="1293"/>
      <c r="E436" s="1293"/>
      <c r="F436" s="1675"/>
      <c r="G436" s="1675"/>
      <c r="H436" s="1675"/>
      <c r="I436" s="1675"/>
      <c r="J436" s="1675"/>
      <c r="K436" s="1675"/>
      <c r="L436" s="1675"/>
      <c r="M436" s="1675"/>
      <c r="N436" s="1675"/>
      <c r="O436" s="1675"/>
      <c r="P436" s="1675"/>
      <c r="Q436" s="1675"/>
      <c r="R436" s="1675"/>
      <c r="S436" s="1675"/>
      <c r="T436" s="1675"/>
      <c r="U436" s="1675"/>
      <c r="V436" s="1665">
        <f>V435/V434</f>
        <v>0.2041015625</v>
      </c>
      <c r="W436" s="1724">
        <f>V436</f>
        <v>0.2041015625</v>
      </c>
      <c r="X436" s="1665">
        <f>X435/X434</f>
        <v>0.23736075407026563</v>
      </c>
      <c r="Y436" s="1665">
        <f>Y435/Y434</f>
        <v>0.28051181102362205</v>
      </c>
      <c r="Z436" s="1665">
        <f>Z435/Z434</f>
        <v>0.27996164908916588</v>
      </c>
      <c r="AA436" s="1665">
        <f>AA435/AA434</f>
        <v>0.33962264150943394</v>
      </c>
      <c r="AB436" s="1665">
        <f t="shared" ref="AB436:AG436" ca="1" si="258">AB435/AB434</f>
        <v>0.36447307869305118</v>
      </c>
      <c r="AC436" s="1665">
        <f t="shared" ca="1" si="258"/>
        <v>0.36269516123601186</v>
      </c>
      <c r="AD436" s="1665">
        <f t="shared" ca="1" si="258"/>
        <v>0.36092591654705564</v>
      </c>
      <c r="AE436" s="1665">
        <f t="shared" ca="1" si="258"/>
        <v>0.35916530231999683</v>
      </c>
      <c r="AF436" s="1665">
        <f t="shared" ca="1" si="258"/>
        <v>0.35741327645502124</v>
      </c>
      <c r="AG436" s="1665">
        <f t="shared" ca="1" si="258"/>
        <v>0.35566979705767976</v>
      </c>
      <c r="AH436" s="1293"/>
      <c r="AJ436" s="1293"/>
      <c r="AK436" s="1293"/>
      <c r="AL436" s="1293"/>
      <c r="AM436" s="1293"/>
      <c r="AN436" s="1293"/>
      <c r="AO436" s="1293"/>
      <c r="AP436" s="1293">
        <v>5533</v>
      </c>
      <c r="AQ436" s="1293">
        <v>282</v>
      </c>
      <c r="AR436" s="1334">
        <f>AP436+AQ436</f>
        <v>5815</v>
      </c>
      <c r="AS436" s="1293" t="s">
        <v>2721</v>
      </c>
    </row>
    <row r="437" spans="1:47" ht="15.75">
      <c r="A437" s="1870" t="s">
        <v>5730</v>
      </c>
      <c r="B437" s="1293"/>
      <c r="C437" s="1293"/>
      <c r="D437" s="1293"/>
      <c r="E437" s="1293"/>
      <c r="F437" s="1675"/>
      <c r="G437" s="1675"/>
      <c r="H437" s="1675"/>
      <c r="I437" s="1675"/>
      <c r="J437" s="1675"/>
      <c r="K437" s="1675"/>
      <c r="L437" s="1675"/>
      <c r="M437" s="1675"/>
      <c r="N437" s="1675"/>
      <c r="O437" s="1675"/>
      <c r="P437" s="1675"/>
      <c r="Q437" s="1675"/>
      <c r="R437" s="1675"/>
      <c r="S437" s="1675"/>
      <c r="T437" s="1675"/>
      <c r="U437" s="1675"/>
      <c r="V437" s="1675">
        <f>V435-V438</f>
        <v>91</v>
      </c>
      <c r="W437" s="1675">
        <f>W435-W438</f>
        <v>56.3876953125</v>
      </c>
      <c r="X437" s="1675">
        <f>X435-X438</f>
        <v>117</v>
      </c>
      <c r="Y437" s="1675">
        <f>Y435-Y438</f>
        <v>196</v>
      </c>
      <c r="Z437" s="1675">
        <f>Z435-Z438</f>
        <v>190</v>
      </c>
      <c r="AA437" s="2498">
        <v>120</v>
      </c>
      <c r="AB437" s="1675">
        <f t="shared" ref="AB437:AG437" ca="1" si="259">AB435-AB438</f>
        <v>131.86800000000002</v>
      </c>
      <c r="AC437" s="1675">
        <f t="shared" ca="1" si="259"/>
        <v>134.50536</v>
      </c>
      <c r="AD437" s="1675">
        <f t="shared" ca="1" si="259"/>
        <v>137.19546719999997</v>
      </c>
      <c r="AE437" s="1675">
        <f t="shared" ca="1" si="259"/>
        <v>139.93937654399997</v>
      </c>
      <c r="AF437" s="1675">
        <f t="shared" ca="1" si="259"/>
        <v>142.73816407487996</v>
      </c>
      <c r="AG437" s="1675">
        <f t="shared" ca="1" si="259"/>
        <v>145.59292735637754</v>
      </c>
      <c r="AH437" s="1293"/>
      <c r="AJ437" s="1293"/>
      <c r="AK437" s="1293"/>
      <c r="AL437" s="1293"/>
      <c r="AM437" s="1293"/>
      <c r="AN437" s="1293"/>
      <c r="AO437" s="1293"/>
      <c r="AP437" s="1293">
        <v>798</v>
      </c>
      <c r="AQ437" s="1293">
        <v>156</v>
      </c>
      <c r="AR437" s="1334">
        <f>AP437+AQ437</f>
        <v>954</v>
      </c>
      <c r="AS437" s="1293" t="s">
        <v>7532</v>
      </c>
    </row>
    <row r="438" spans="1:47" ht="15.75">
      <c r="A438" s="1870" t="s">
        <v>5731</v>
      </c>
      <c r="B438" s="1293"/>
      <c r="C438" s="1293"/>
      <c r="D438" s="1293"/>
      <c r="E438" s="1293"/>
      <c r="F438" s="1675"/>
      <c r="G438" s="1675"/>
      <c r="H438" s="1675"/>
      <c r="I438" s="1675"/>
      <c r="J438" s="1675"/>
      <c r="K438" s="1675"/>
      <c r="L438" s="1675"/>
      <c r="M438" s="1675"/>
      <c r="N438" s="1675"/>
      <c r="O438" s="1675"/>
      <c r="P438" s="1675"/>
      <c r="Q438" s="1675"/>
      <c r="R438" s="1675"/>
      <c r="S438" s="1675"/>
      <c r="T438" s="1675"/>
      <c r="U438" s="1675"/>
      <c r="V438" s="1717">
        <v>118</v>
      </c>
      <c r="W438" s="1717">
        <v>152</v>
      </c>
      <c r="X438" s="1717">
        <v>160</v>
      </c>
      <c r="Y438" s="1717">
        <f>688+Y40</f>
        <v>89</v>
      </c>
      <c r="Z438" s="1717">
        <f>Z399+786</f>
        <v>102</v>
      </c>
      <c r="AA438" s="2498">
        <v>204</v>
      </c>
      <c r="AB438" s="1675">
        <f t="shared" ref="AB438:AG438" ca="1" si="260">AB439*AB435</f>
        <v>224.53200000000001</v>
      </c>
      <c r="AC438" s="1675">
        <f t="shared" ca="1" si="260"/>
        <v>229.02264000000002</v>
      </c>
      <c r="AD438" s="1675">
        <f t="shared" ca="1" si="260"/>
        <v>233.60309279999998</v>
      </c>
      <c r="AE438" s="1675">
        <f t="shared" ca="1" si="260"/>
        <v>238.27515465599993</v>
      </c>
      <c r="AF438" s="1675">
        <f t="shared" ca="1" si="260"/>
        <v>243.0406577491199</v>
      </c>
      <c r="AG438" s="1675">
        <f t="shared" ca="1" si="260"/>
        <v>247.9014709041023</v>
      </c>
      <c r="AH438" s="1293"/>
      <c r="AJ438" s="1293"/>
      <c r="AK438" s="1293"/>
      <c r="AL438" s="1293"/>
      <c r="AM438" s="1293"/>
      <c r="AN438" s="1293"/>
      <c r="AO438" s="1293"/>
      <c r="AP438" s="1293"/>
      <c r="AQ438" s="1293"/>
      <c r="AR438" s="1293">
        <f>AR436+AR437</f>
        <v>6769</v>
      </c>
      <c r="AS438" s="1293">
        <v>699</v>
      </c>
    </row>
    <row r="439" spans="1:47" ht="15.75">
      <c r="A439" s="1870" t="s">
        <v>70</v>
      </c>
      <c r="B439" s="1293"/>
      <c r="C439" s="1293"/>
      <c r="D439" s="1293"/>
      <c r="E439" s="1293"/>
      <c r="F439" s="1675"/>
      <c r="G439" s="1675"/>
      <c r="H439" s="1675"/>
      <c r="I439" s="1675"/>
      <c r="J439" s="1675"/>
      <c r="K439" s="1675"/>
      <c r="L439" s="1675"/>
      <c r="M439" s="1675"/>
      <c r="N439" s="1675"/>
      <c r="O439" s="1675"/>
      <c r="P439" s="1675"/>
      <c r="Q439" s="1675"/>
      <c r="R439" s="1675"/>
      <c r="S439" s="1675"/>
      <c r="T439" s="1675"/>
      <c r="U439" s="1675"/>
      <c r="V439" s="1665">
        <f t="shared" ref="V439:AA439" si="261">V438/V435</f>
        <v>0.56459330143540665</v>
      </c>
      <c r="W439" s="1665">
        <f t="shared" si="261"/>
        <v>0.72940966966432197</v>
      </c>
      <c r="X439" s="1665">
        <f t="shared" si="261"/>
        <v>0.57761732851985559</v>
      </c>
      <c r="Y439" s="1665">
        <f t="shared" si="261"/>
        <v>0.31228070175438599</v>
      </c>
      <c r="Z439" s="1665">
        <f t="shared" si="261"/>
        <v>0.34931506849315069</v>
      </c>
      <c r="AA439" s="1665">
        <f t="shared" si="261"/>
        <v>0.62962962962962965</v>
      </c>
      <c r="AB439" s="2505">
        <v>0.63</v>
      </c>
      <c r="AC439" s="2505">
        <f t="shared" ref="AC439:AG439" si="262">AB439</f>
        <v>0.63</v>
      </c>
      <c r="AD439" s="2505">
        <f t="shared" si="262"/>
        <v>0.63</v>
      </c>
      <c r="AE439" s="2505">
        <f t="shared" si="262"/>
        <v>0.63</v>
      </c>
      <c r="AF439" s="2505">
        <f t="shared" si="262"/>
        <v>0.63</v>
      </c>
      <c r="AG439" s="2505">
        <f t="shared" si="262"/>
        <v>0.63</v>
      </c>
      <c r="AH439" s="1293"/>
      <c r="AI439" s="1293"/>
      <c r="AJ439" s="1293"/>
      <c r="AK439" s="1293"/>
      <c r="AL439" s="1293"/>
      <c r="AM439" s="1293"/>
      <c r="AN439" s="1293"/>
      <c r="AO439" s="1293"/>
      <c r="AP439" s="1293"/>
      <c r="AQ439" s="1293"/>
      <c r="AR439" s="1293"/>
      <c r="AS439" s="1293"/>
    </row>
    <row r="440" spans="1:47" ht="15.75">
      <c r="A440" s="1293"/>
      <c r="B440" s="1293"/>
      <c r="C440" s="1293"/>
      <c r="D440" s="1293"/>
      <c r="E440" s="1293"/>
      <c r="F440" s="1293"/>
      <c r="G440" s="1293"/>
      <c r="H440" s="1293"/>
      <c r="I440" s="1293"/>
      <c r="J440" s="1293"/>
      <c r="K440" s="1675"/>
      <c r="L440" s="1293"/>
      <c r="M440" s="1293"/>
      <c r="N440" s="1293"/>
      <c r="O440" s="1293"/>
      <c r="P440" s="1293"/>
      <c r="Q440" s="1293"/>
      <c r="R440" s="1293"/>
      <c r="S440" s="1293"/>
      <c r="T440" s="1293"/>
      <c r="U440" s="1293"/>
      <c r="V440" s="1293"/>
      <c r="W440" s="1293"/>
      <c r="X440" s="1293"/>
      <c r="Y440" s="2520">
        <f t="shared" ref="Y440:AG440" si="263">Y19</f>
        <v>292.13499999999976</v>
      </c>
      <c r="Z440" s="2520">
        <f t="shared" si="263"/>
        <v>299.28549999999996</v>
      </c>
      <c r="AA440" s="2520">
        <f t="shared" ca="1" si="263"/>
        <v>326.64580000000024</v>
      </c>
      <c r="AB440" s="2520">
        <f t="shared" ca="1" si="263"/>
        <v>359.31038000000029</v>
      </c>
      <c r="AC440" s="2520">
        <f t="shared" ca="1" si="263"/>
        <v>366.49658760000028</v>
      </c>
      <c r="AD440" s="2520">
        <f t="shared" ca="1" si="263"/>
        <v>373.82651935200028</v>
      </c>
      <c r="AE440" s="2520">
        <f t="shared" ca="1" si="263"/>
        <v>381.30304973904026</v>
      </c>
      <c r="AF440" s="2520">
        <f t="shared" ca="1" si="263"/>
        <v>388.92911073382106</v>
      </c>
      <c r="AG440" s="2520">
        <f t="shared" ca="1" si="263"/>
        <v>396.70769294849748</v>
      </c>
      <c r="AH440" s="2508" t="s">
        <v>856</v>
      </c>
      <c r="AI440" s="1293"/>
      <c r="AJ440" s="1293"/>
      <c r="AK440" s="1293"/>
      <c r="AL440" s="1293"/>
      <c r="AM440" s="1293"/>
      <c r="AN440" s="1293"/>
      <c r="AO440" s="1293"/>
      <c r="AP440" s="1293"/>
      <c r="AQ440" s="1293"/>
      <c r="AR440" s="1293"/>
      <c r="AS440" s="1293"/>
    </row>
    <row r="441" spans="1:47" ht="15.75">
      <c r="A441" s="1334" t="s">
        <v>8158</v>
      </c>
      <c r="B441" s="1293"/>
      <c r="C441" s="1293"/>
      <c r="D441" s="1293"/>
      <c r="E441" s="1293"/>
      <c r="F441" s="1293"/>
      <c r="G441" s="1293"/>
      <c r="H441" s="1293"/>
      <c r="I441" s="1293"/>
      <c r="J441" s="1293"/>
      <c r="K441" s="1675"/>
      <c r="L441" s="1293"/>
      <c r="M441" s="1293"/>
      <c r="N441" s="1293"/>
      <c r="O441" s="1293"/>
      <c r="P441" s="1293"/>
      <c r="Q441" s="1293"/>
      <c r="R441" s="1293"/>
      <c r="S441" s="1293"/>
      <c r="T441" s="1293"/>
      <c r="U441" s="1293"/>
      <c r="V441" s="1293"/>
      <c r="W441" s="1293"/>
      <c r="X441" s="1293"/>
      <c r="Y441" s="1293"/>
      <c r="Z441" s="1293"/>
      <c r="AA441" s="2029" t="s">
        <v>9134</v>
      </c>
      <c r="AB441" s="1293"/>
      <c r="AC441" s="1293"/>
      <c r="AD441" s="1293"/>
      <c r="AE441" s="1293"/>
      <c r="AF441" s="1293"/>
      <c r="AG441" s="1293"/>
      <c r="AH441" s="1293"/>
      <c r="AI441" s="1293"/>
      <c r="AJ441" s="1293"/>
      <c r="AK441" s="1293"/>
      <c r="AL441" s="1293"/>
      <c r="AM441" s="1293"/>
      <c r="AN441" s="1293"/>
      <c r="AO441" s="1293"/>
      <c r="AP441" s="1293">
        <v>2023</v>
      </c>
      <c r="AQ441" s="1293"/>
      <c r="AR441" s="1293"/>
      <c r="AS441" s="1293"/>
    </row>
    <row r="442" spans="1:47" ht="15.75">
      <c r="A442" s="1293" t="s">
        <v>8161</v>
      </c>
      <c r="B442" s="1293" t="s">
        <v>8159</v>
      </c>
      <c r="C442" s="1293"/>
      <c r="D442" s="1328">
        <f>3.5%+2.35%</f>
        <v>5.8500000000000003E-2</v>
      </c>
      <c r="E442" s="1293"/>
      <c r="F442" s="1293"/>
      <c r="G442" s="1293"/>
      <c r="H442" s="1293"/>
      <c r="I442" s="1293"/>
      <c r="J442" s="1293"/>
      <c r="K442" s="1675"/>
      <c r="L442" s="1293"/>
      <c r="M442" s="1293"/>
      <c r="N442" s="1293"/>
      <c r="O442" s="1293"/>
      <c r="P442" s="1293"/>
      <c r="Q442" s="1293"/>
      <c r="R442" s="1293"/>
      <c r="S442" s="1293"/>
      <c r="T442" s="1293"/>
      <c r="U442" s="1293"/>
      <c r="V442" s="1293"/>
      <c r="W442" s="1293"/>
      <c r="X442" s="1293"/>
      <c r="Y442" s="1717">
        <v>191</v>
      </c>
      <c r="Z442" s="1717">
        <v>0</v>
      </c>
      <c r="AA442" s="2494">
        <f t="shared" ref="AA442:AG447" si="264">Z442</f>
        <v>0</v>
      </c>
      <c r="AB442" s="1327">
        <f t="shared" si="264"/>
        <v>0</v>
      </c>
      <c r="AC442" s="1327">
        <f t="shared" si="264"/>
        <v>0</v>
      </c>
      <c r="AD442" s="1327">
        <f t="shared" si="264"/>
        <v>0</v>
      </c>
      <c r="AE442" s="1327">
        <f t="shared" si="264"/>
        <v>0</v>
      </c>
      <c r="AF442" s="1327">
        <f t="shared" si="264"/>
        <v>0</v>
      </c>
      <c r="AG442" s="1327">
        <f t="shared" si="264"/>
        <v>0</v>
      </c>
      <c r="AH442" s="1293"/>
      <c r="AI442" s="1293"/>
      <c r="AJ442" s="1293"/>
      <c r="AK442" s="1293"/>
      <c r="AL442" s="1293"/>
      <c r="AM442" s="1293"/>
      <c r="AN442" s="1293"/>
      <c r="AO442" s="1293"/>
      <c r="AP442" s="1293">
        <v>6476</v>
      </c>
      <c r="AQ442" s="1293">
        <v>221</v>
      </c>
      <c r="AR442" s="1293">
        <f>AP442+AQ442</f>
        <v>6697</v>
      </c>
      <c r="AS442" s="1293" t="s">
        <v>2721</v>
      </c>
    </row>
    <row r="443" spans="1:47" ht="15.75">
      <c r="A443" s="1293" t="s">
        <v>8162</v>
      </c>
      <c r="B443" s="1293" t="s">
        <v>8160</v>
      </c>
      <c r="C443" s="1293"/>
      <c r="D443" s="1328">
        <f>3.5%+3%</f>
        <v>6.5000000000000002E-2</v>
      </c>
      <c r="E443" s="1293"/>
      <c r="F443" s="1293"/>
      <c r="G443" s="1293"/>
      <c r="H443" s="1293"/>
      <c r="I443" s="1293"/>
      <c r="J443" s="1293"/>
      <c r="K443" s="1675"/>
      <c r="L443" s="1293"/>
      <c r="M443" s="1293"/>
      <c r="N443" s="1293"/>
      <c r="O443" s="1293"/>
      <c r="P443" s="1293"/>
      <c r="Q443" s="1293"/>
      <c r="R443" s="1293"/>
      <c r="S443" s="1293"/>
      <c r="T443" s="1293"/>
      <c r="U443" s="1293"/>
      <c r="V443" s="1293"/>
      <c r="W443" s="1293"/>
      <c r="X443" s="1293"/>
      <c r="Y443" s="1717">
        <v>214</v>
      </c>
      <c r="Z443" s="1717">
        <v>222</v>
      </c>
      <c r="AA443" s="2494">
        <f t="shared" si="264"/>
        <v>222</v>
      </c>
      <c r="AB443" s="1327">
        <f t="shared" si="264"/>
        <v>222</v>
      </c>
      <c r="AC443" s="1327">
        <f t="shared" si="264"/>
        <v>222</v>
      </c>
      <c r="AD443" s="1327">
        <f t="shared" si="264"/>
        <v>222</v>
      </c>
      <c r="AE443" s="1327">
        <f t="shared" si="264"/>
        <v>222</v>
      </c>
      <c r="AF443" s="1327">
        <f t="shared" si="264"/>
        <v>222</v>
      </c>
      <c r="AG443" s="1327">
        <f t="shared" si="264"/>
        <v>222</v>
      </c>
      <c r="AH443" s="1293"/>
      <c r="AI443" s="1293"/>
      <c r="AJ443" s="1293"/>
      <c r="AK443" s="1293"/>
      <c r="AL443" s="1293"/>
      <c r="AM443" s="1293"/>
      <c r="AN443" s="1293"/>
      <c r="AO443" s="1293"/>
      <c r="AP443" s="1293">
        <v>854</v>
      </c>
      <c r="AQ443" s="1293">
        <v>189</v>
      </c>
      <c r="AR443" s="1293">
        <f>AP443+AQ443</f>
        <v>1043</v>
      </c>
      <c r="AS443" s="1293" t="s">
        <v>7532</v>
      </c>
    </row>
    <row r="444" spans="1:47" ht="15.75">
      <c r="A444" s="1293" t="s">
        <v>8163</v>
      </c>
      <c r="B444" s="1955">
        <v>4.4999999999999998E-2</v>
      </c>
      <c r="C444" s="1293"/>
      <c r="D444" s="1955">
        <f>B444</f>
        <v>4.4999999999999998E-2</v>
      </c>
      <c r="E444" s="1293"/>
      <c r="F444" s="1293"/>
      <c r="G444" s="1293"/>
      <c r="H444" s="1293"/>
      <c r="I444" s="1293"/>
      <c r="J444" s="1293"/>
      <c r="K444" s="1675"/>
      <c r="L444" s="1293"/>
      <c r="M444" s="1293"/>
      <c r="N444" s="1293"/>
      <c r="O444" s="1293"/>
      <c r="P444" s="1293"/>
      <c r="Q444" s="1293"/>
      <c r="R444" s="1293"/>
      <c r="S444" s="1293"/>
      <c r="T444" s="1293"/>
      <c r="U444" s="1293"/>
      <c r="V444" s="1293"/>
      <c r="W444" s="1293"/>
      <c r="X444" s="1293"/>
      <c r="Y444" s="1717">
        <v>779</v>
      </c>
      <c r="Z444" s="1717">
        <v>766</v>
      </c>
      <c r="AA444" s="2494">
        <f t="shared" si="264"/>
        <v>766</v>
      </c>
      <c r="AB444" s="1327">
        <f t="shared" si="264"/>
        <v>766</v>
      </c>
      <c r="AC444" s="1327">
        <f t="shared" si="264"/>
        <v>766</v>
      </c>
      <c r="AD444" s="1327">
        <f t="shared" si="264"/>
        <v>766</v>
      </c>
      <c r="AE444" s="1327">
        <f t="shared" si="264"/>
        <v>766</v>
      </c>
      <c r="AF444" s="1327">
        <f t="shared" si="264"/>
        <v>766</v>
      </c>
      <c r="AG444" s="1327">
        <f t="shared" si="264"/>
        <v>766</v>
      </c>
      <c r="AH444" s="1293"/>
      <c r="AI444" s="1293"/>
      <c r="AJ444" s="1293"/>
      <c r="AK444" s="1293"/>
      <c r="AL444" s="1293"/>
      <c r="AM444" s="1293"/>
      <c r="AN444" s="1293"/>
      <c r="AO444" s="1293"/>
      <c r="AP444" s="1293"/>
      <c r="AQ444" s="1293"/>
      <c r="AR444" s="1293">
        <f>AR442+AR443</f>
        <v>7740</v>
      </c>
      <c r="AS444" s="1293"/>
    </row>
    <row r="445" spans="1:47" ht="15.75">
      <c r="A445" s="1293" t="s">
        <v>8164</v>
      </c>
      <c r="B445" s="1955">
        <v>6.6250000000000003E-2</v>
      </c>
      <c r="C445" s="1293"/>
      <c r="D445" s="1955">
        <f>B445</f>
        <v>6.6250000000000003E-2</v>
      </c>
      <c r="E445" s="1293"/>
      <c r="F445" s="1293"/>
      <c r="G445" s="1293"/>
      <c r="H445" s="1293"/>
      <c r="I445" s="1293"/>
      <c r="J445" s="1293"/>
      <c r="K445" s="1675"/>
      <c r="L445" s="1293"/>
      <c r="M445" s="1293"/>
      <c r="N445" s="1293"/>
      <c r="O445" s="1293"/>
      <c r="P445" s="1293"/>
      <c r="Q445" s="1293"/>
      <c r="R445" s="1293"/>
      <c r="S445" s="1293"/>
      <c r="T445" s="1293"/>
      <c r="U445" s="1293"/>
      <c r="V445" s="1293"/>
      <c r="W445" s="1293"/>
      <c r="X445" s="1293"/>
      <c r="Y445" s="1717">
        <v>147</v>
      </c>
      <c r="Z445" s="1717">
        <v>147</v>
      </c>
      <c r="AA445" s="2494">
        <f t="shared" si="264"/>
        <v>147</v>
      </c>
      <c r="AB445" s="1327">
        <f t="shared" si="264"/>
        <v>147</v>
      </c>
      <c r="AC445" s="1327">
        <f t="shared" si="264"/>
        <v>147</v>
      </c>
      <c r="AD445" s="1327">
        <f t="shared" si="264"/>
        <v>147</v>
      </c>
      <c r="AE445" s="1327">
        <f t="shared" si="264"/>
        <v>147</v>
      </c>
      <c r="AF445" s="1327">
        <f t="shared" si="264"/>
        <v>147</v>
      </c>
      <c r="AG445" s="1327">
        <f t="shared" si="264"/>
        <v>147</v>
      </c>
      <c r="AH445" s="1293"/>
      <c r="AI445" s="1293"/>
      <c r="AJ445" s="1293"/>
      <c r="AK445" s="1293"/>
      <c r="AL445" s="1293"/>
      <c r="AM445" s="1293"/>
      <c r="AN445" s="1293"/>
      <c r="AO445" s="1293"/>
      <c r="AP445" s="1293"/>
      <c r="AQ445" s="1293">
        <v>86</v>
      </c>
      <c r="AS445" s="1293" t="s">
        <v>9136</v>
      </c>
    </row>
    <row r="446" spans="1:47" ht="15.75">
      <c r="A446" s="1293" t="s">
        <v>8166</v>
      </c>
      <c r="B446" s="1955">
        <v>6.25E-2</v>
      </c>
      <c r="C446" s="1293"/>
      <c r="D446" s="1955">
        <f>B446</f>
        <v>6.25E-2</v>
      </c>
      <c r="E446" s="1293"/>
      <c r="F446" s="1293"/>
      <c r="G446" s="1293"/>
      <c r="H446" s="1293"/>
      <c r="I446" s="1293"/>
      <c r="J446" s="1293"/>
      <c r="K446" s="1675"/>
      <c r="L446" s="1293"/>
      <c r="M446" s="1293"/>
      <c r="N446" s="1293"/>
      <c r="O446" s="1293"/>
      <c r="P446" s="1293"/>
      <c r="Q446" s="1293"/>
      <c r="R446" s="1293"/>
      <c r="S446" s="1293"/>
      <c r="T446" s="1293"/>
      <c r="U446" s="1293"/>
      <c r="V446" s="1293"/>
      <c r="W446" s="1293"/>
      <c r="X446" s="1293"/>
      <c r="Y446" s="1717">
        <v>670</v>
      </c>
      <c r="Z446" s="1717">
        <v>671</v>
      </c>
      <c r="AA446" s="2494">
        <f t="shared" si="264"/>
        <v>671</v>
      </c>
      <c r="AB446" s="1327">
        <f t="shared" si="264"/>
        <v>671</v>
      </c>
      <c r="AC446" s="1327">
        <f t="shared" si="264"/>
        <v>671</v>
      </c>
      <c r="AD446" s="1327">
        <f t="shared" si="264"/>
        <v>671</v>
      </c>
      <c r="AE446" s="1327">
        <f t="shared" si="264"/>
        <v>671</v>
      </c>
      <c r="AF446" s="1327">
        <f t="shared" si="264"/>
        <v>671</v>
      </c>
      <c r="AG446" s="1327">
        <f t="shared" si="264"/>
        <v>671</v>
      </c>
      <c r="AH446" s="1293"/>
      <c r="AI446" s="1293"/>
      <c r="AJ446" s="1293"/>
      <c r="AK446" s="1293"/>
      <c r="AL446" s="1293"/>
      <c r="AM446" s="1293"/>
      <c r="AN446" s="1293"/>
      <c r="AO446" s="1293"/>
      <c r="AP446" s="1293"/>
      <c r="AQ446" s="1293"/>
      <c r="AR446" s="1293">
        <f>AR444+AQ445</f>
        <v>7826</v>
      </c>
      <c r="AS446" s="1293"/>
    </row>
    <row r="447" spans="1:47" ht="15.75">
      <c r="A447" s="1293" t="s">
        <v>8165</v>
      </c>
      <c r="B447" s="1955">
        <v>5.1249999999999997E-2</v>
      </c>
      <c r="C447" s="1293"/>
      <c r="D447" s="1955">
        <f>B447</f>
        <v>5.1249999999999997E-2</v>
      </c>
      <c r="E447" s="1293"/>
      <c r="F447" s="1293"/>
      <c r="G447" s="1293"/>
      <c r="H447" s="1293"/>
      <c r="I447" s="1293"/>
      <c r="J447" s="1293"/>
      <c r="K447" s="1675"/>
      <c r="L447" s="1293"/>
      <c r="M447" s="1293"/>
      <c r="N447" s="1293"/>
      <c r="O447" s="1293"/>
      <c r="P447" s="1293"/>
      <c r="Q447" s="1293"/>
      <c r="R447" s="1293"/>
      <c r="S447" s="1293"/>
      <c r="T447" s="1293"/>
      <c r="U447" s="1293"/>
      <c r="V447" s="1293"/>
      <c r="W447" s="1293"/>
      <c r="X447" s="1293"/>
      <c r="Y447" s="1717">
        <v>446</v>
      </c>
      <c r="Z447" s="1717">
        <v>446</v>
      </c>
      <c r="AA447" s="2494">
        <f t="shared" si="264"/>
        <v>446</v>
      </c>
      <c r="AB447" s="1327">
        <f t="shared" si="264"/>
        <v>446</v>
      </c>
      <c r="AC447" s="1327">
        <f t="shared" si="264"/>
        <v>446</v>
      </c>
      <c r="AD447" s="1327">
        <f t="shared" si="264"/>
        <v>446</v>
      </c>
      <c r="AE447" s="1327">
        <f t="shared" si="264"/>
        <v>446</v>
      </c>
      <c r="AF447" s="1327">
        <f t="shared" si="264"/>
        <v>446</v>
      </c>
      <c r="AG447" s="1327">
        <f t="shared" si="264"/>
        <v>446</v>
      </c>
      <c r="AH447" s="1293"/>
      <c r="AI447" s="1293"/>
      <c r="AJ447" s="1293"/>
      <c r="AK447" s="1293"/>
      <c r="AL447" s="1293"/>
      <c r="AM447" s="1293"/>
      <c r="AN447" s="1293"/>
      <c r="AO447" s="1293"/>
      <c r="AP447" s="1293"/>
      <c r="AQ447" s="1293"/>
      <c r="AR447" s="1293"/>
      <c r="AS447" s="1293"/>
    </row>
    <row r="448" spans="1:47" ht="15.75">
      <c r="A448" s="1331" t="s">
        <v>8725</v>
      </c>
      <c r="B448" s="1956">
        <v>7.3749999999999996E-2</v>
      </c>
      <c r="C448" s="1331"/>
      <c r="D448" s="1956">
        <f>B448</f>
        <v>7.3749999999999996E-2</v>
      </c>
      <c r="E448" s="1331"/>
      <c r="F448" s="1331"/>
      <c r="G448" s="1331"/>
      <c r="H448" s="1331"/>
      <c r="I448" s="1331"/>
      <c r="J448" s="1331"/>
      <c r="K448" s="1705"/>
      <c r="L448" s="1331"/>
      <c r="M448" s="1331"/>
      <c r="N448" s="1331"/>
      <c r="O448" s="1331"/>
      <c r="P448" s="1331"/>
      <c r="Q448" s="1331"/>
      <c r="R448" s="1331"/>
      <c r="S448" s="1331"/>
      <c r="T448" s="1331"/>
      <c r="U448" s="1331"/>
      <c r="V448" s="1331"/>
      <c r="W448" s="1331"/>
      <c r="X448" s="1331"/>
      <c r="Y448" s="1719"/>
      <c r="Z448" s="1719"/>
      <c r="AA448" s="2495">
        <v>450</v>
      </c>
      <c r="AB448" s="1718">
        <f t="shared" ref="AB448:AG448" si="265">AA448</f>
        <v>450</v>
      </c>
      <c r="AC448" s="1718">
        <f t="shared" si="265"/>
        <v>450</v>
      </c>
      <c r="AD448" s="1718">
        <f t="shared" si="265"/>
        <v>450</v>
      </c>
      <c r="AE448" s="1718">
        <f t="shared" si="265"/>
        <v>450</v>
      </c>
      <c r="AF448" s="1718">
        <f t="shared" si="265"/>
        <v>450</v>
      </c>
      <c r="AG448" s="1718">
        <f t="shared" si="265"/>
        <v>450</v>
      </c>
      <c r="AH448" s="1293"/>
      <c r="AI448" s="1293"/>
      <c r="AJ448" s="1293"/>
      <c r="AK448" s="1293"/>
      <c r="AL448" s="1293"/>
      <c r="AM448" s="1293"/>
      <c r="AN448" s="1293"/>
      <c r="AO448" s="1293"/>
      <c r="AP448" s="1293"/>
      <c r="AQ448" s="1293"/>
      <c r="AR448" s="1293"/>
      <c r="AS448" s="1293"/>
    </row>
    <row r="449" spans="1:45" ht="15.75">
      <c r="A449" s="1334" t="s">
        <v>8167</v>
      </c>
      <c r="B449" s="1957"/>
      <c r="C449" s="1334"/>
      <c r="D449" s="1957"/>
      <c r="E449" s="1334"/>
      <c r="F449" s="1334"/>
      <c r="G449" s="1334"/>
      <c r="H449" s="1334"/>
      <c r="I449" s="1334"/>
      <c r="J449" s="1334"/>
      <c r="K449" s="1713"/>
      <c r="L449" s="1334"/>
      <c r="M449" s="1334"/>
      <c r="N449" s="1334"/>
      <c r="O449" s="1334"/>
      <c r="P449" s="1334"/>
      <c r="Q449" s="1334"/>
      <c r="R449" s="1334"/>
      <c r="S449" s="1334"/>
      <c r="T449" s="1334"/>
      <c r="U449" s="1334"/>
      <c r="V449" s="1334"/>
      <c r="W449" s="1334"/>
      <c r="X449" s="1334"/>
      <c r="Y449" s="1958">
        <f>SUM(Y442:Y447)</f>
        <v>2447</v>
      </c>
      <c r="Z449" s="1958">
        <f>SUM(Z442:Z447)</f>
        <v>2252</v>
      </c>
      <c r="AA449" s="1958">
        <f t="shared" ref="AA449:AG449" si="266">SUM(AA442:AA448)</f>
        <v>2702</v>
      </c>
      <c r="AB449" s="1958">
        <f t="shared" si="266"/>
        <v>2702</v>
      </c>
      <c r="AC449" s="1958">
        <f t="shared" si="266"/>
        <v>2702</v>
      </c>
      <c r="AD449" s="1958">
        <f t="shared" si="266"/>
        <v>2702</v>
      </c>
      <c r="AE449" s="1958">
        <f t="shared" si="266"/>
        <v>2702</v>
      </c>
      <c r="AF449" s="1958">
        <f t="shared" si="266"/>
        <v>2702</v>
      </c>
      <c r="AG449" s="1958">
        <f t="shared" si="266"/>
        <v>2702</v>
      </c>
      <c r="AH449" s="1293"/>
      <c r="AI449" s="1293"/>
      <c r="AJ449" s="1293"/>
      <c r="AK449" s="1293"/>
      <c r="AL449" s="1293"/>
      <c r="AM449" s="1293"/>
      <c r="AN449" s="1293"/>
      <c r="AO449" s="1293"/>
      <c r="AP449" s="1293"/>
      <c r="AQ449" s="1293"/>
      <c r="AR449" s="1293"/>
      <c r="AS449" s="1293"/>
    </row>
    <row r="450" spans="1:45" ht="15.75">
      <c r="A450" s="1293" t="s">
        <v>8169</v>
      </c>
      <c r="B450" s="1955">
        <v>5.8749999999999997E-2</v>
      </c>
      <c r="C450" s="1334"/>
      <c r="D450" s="1955">
        <f>B450</f>
        <v>5.8749999999999997E-2</v>
      </c>
      <c r="E450" s="1334"/>
      <c r="F450" s="1334"/>
      <c r="G450" s="1334"/>
      <c r="H450" s="1334"/>
      <c r="I450" s="1334"/>
      <c r="J450" s="1334"/>
      <c r="K450" s="1713"/>
      <c r="L450" s="1334"/>
      <c r="M450" s="1334"/>
      <c r="N450" s="1334"/>
      <c r="O450" s="1334"/>
      <c r="P450" s="1334"/>
      <c r="Q450" s="1334"/>
      <c r="R450" s="1334"/>
      <c r="S450" s="1334"/>
      <c r="T450" s="1334"/>
      <c r="U450" s="1334"/>
      <c r="V450" s="1334"/>
      <c r="W450" s="1334"/>
      <c r="X450" s="1334"/>
      <c r="Y450" s="1717">
        <v>508</v>
      </c>
      <c r="Z450" s="1717">
        <v>507</v>
      </c>
      <c r="AA450" s="2494">
        <f t="shared" ref="AA450:AG455" si="267">Z450</f>
        <v>507</v>
      </c>
      <c r="AB450" s="1327">
        <f t="shared" si="267"/>
        <v>507</v>
      </c>
      <c r="AC450" s="1327">
        <f t="shared" si="267"/>
        <v>507</v>
      </c>
      <c r="AD450" s="1327">
        <f t="shared" si="267"/>
        <v>507</v>
      </c>
      <c r="AE450" s="1327">
        <f t="shared" si="267"/>
        <v>507</v>
      </c>
      <c r="AF450" s="1327">
        <f t="shared" si="267"/>
        <v>507</v>
      </c>
      <c r="AG450" s="1327">
        <f t="shared" si="267"/>
        <v>507</v>
      </c>
      <c r="AH450" s="1293"/>
      <c r="AI450" s="1293"/>
      <c r="AJ450" s="1293"/>
      <c r="AK450" s="1293"/>
      <c r="AL450" s="1293"/>
      <c r="AM450" s="1293"/>
      <c r="AN450" s="1293"/>
      <c r="AO450" s="1293"/>
      <c r="AP450" s="1293"/>
      <c r="AQ450" s="1293"/>
      <c r="AR450" s="1293"/>
      <c r="AS450" s="1293"/>
    </row>
    <row r="451" spans="1:45" ht="15.75">
      <c r="A451" s="1293" t="s">
        <v>8170</v>
      </c>
      <c r="B451" s="1955"/>
      <c r="C451" s="1334"/>
      <c r="D451" s="1955">
        <v>5.5E-2</v>
      </c>
      <c r="E451" s="1334"/>
      <c r="F451" s="1334"/>
      <c r="G451" s="1334"/>
      <c r="H451" s="1334"/>
      <c r="I451" s="1334"/>
      <c r="J451" s="1334"/>
      <c r="K451" s="1713"/>
      <c r="L451" s="1334"/>
      <c r="M451" s="1334"/>
      <c r="N451" s="1334"/>
      <c r="O451" s="1334"/>
      <c r="P451" s="1334"/>
      <c r="Q451" s="1334"/>
      <c r="R451" s="1334"/>
      <c r="S451" s="1334"/>
      <c r="T451" s="1334"/>
      <c r="U451" s="1334"/>
      <c r="V451" s="1334"/>
      <c r="W451" s="1334"/>
      <c r="X451" s="1334"/>
      <c r="Y451" s="1717">
        <f>35+14+14+41+15+21+8+48</f>
        <v>196</v>
      </c>
      <c r="Z451" s="1717">
        <f>29+7+20+13+10+6+42+57</f>
        <v>184</v>
      </c>
      <c r="AA451" s="2494">
        <f t="shared" si="267"/>
        <v>184</v>
      </c>
      <c r="AB451" s="1327">
        <f t="shared" si="267"/>
        <v>184</v>
      </c>
      <c r="AC451" s="1327">
        <f t="shared" si="267"/>
        <v>184</v>
      </c>
      <c r="AD451" s="1327">
        <f t="shared" si="267"/>
        <v>184</v>
      </c>
      <c r="AE451" s="1327">
        <f t="shared" si="267"/>
        <v>184</v>
      </c>
      <c r="AF451" s="1327">
        <f t="shared" si="267"/>
        <v>184</v>
      </c>
      <c r="AG451" s="1327">
        <f t="shared" si="267"/>
        <v>184</v>
      </c>
      <c r="AH451" s="1293"/>
      <c r="AI451" s="1293"/>
      <c r="AJ451" s="1293"/>
      <c r="AK451" s="1293"/>
      <c r="AL451" s="1293"/>
      <c r="AM451" s="1293"/>
      <c r="AN451" s="1293"/>
      <c r="AO451" s="1293"/>
      <c r="AP451" s="1293"/>
      <c r="AQ451" s="1293"/>
      <c r="AR451" s="1293"/>
      <c r="AS451" s="1293"/>
    </row>
    <row r="452" spans="1:45" ht="15.75">
      <c r="A452" s="1293" t="s">
        <v>8171</v>
      </c>
      <c r="B452" s="1955" t="s">
        <v>8172</v>
      </c>
      <c r="C452" s="1334"/>
      <c r="D452" s="1955">
        <f>13%+4%</f>
        <v>0.17</v>
      </c>
      <c r="E452" s="1334"/>
      <c r="F452" s="1334"/>
      <c r="G452" s="1334"/>
      <c r="H452" s="1334"/>
      <c r="I452" s="1334"/>
      <c r="J452" s="1334"/>
      <c r="K452" s="1713"/>
      <c r="L452" s="1334"/>
      <c r="M452" s="1334"/>
      <c r="N452" s="1334"/>
      <c r="O452" s="1334"/>
      <c r="P452" s="1334"/>
      <c r="Q452" s="1334"/>
      <c r="R452" s="1334"/>
      <c r="S452" s="1334"/>
      <c r="T452" s="1334"/>
      <c r="U452" s="1334"/>
      <c r="V452" s="1334"/>
      <c r="W452" s="1334"/>
      <c r="X452" s="1334"/>
      <c r="Y452" s="1717">
        <f>31+53+26+59+18</f>
        <v>187</v>
      </c>
      <c r="Z452" s="1717">
        <f>66+33+74+22+3+4</f>
        <v>202</v>
      </c>
      <c r="AA452" s="2494">
        <f t="shared" si="267"/>
        <v>202</v>
      </c>
      <c r="AB452" s="1327">
        <f t="shared" si="267"/>
        <v>202</v>
      </c>
      <c r="AC452" s="1327">
        <f t="shared" si="267"/>
        <v>202</v>
      </c>
      <c r="AD452" s="1327">
        <f t="shared" si="267"/>
        <v>202</v>
      </c>
      <c r="AE452" s="1327">
        <f t="shared" si="267"/>
        <v>202</v>
      </c>
      <c r="AF452" s="1327">
        <f t="shared" si="267"/>
        <v>202</v>
      </c>
      <c r="AG452" s="1327">
        <f t="shared" si="267"/>
        <v>202</v>
      </c>
      <c r="AH452" s="1293"/>
      <c r="AI452" s="1293"/>
      <c r="AJ452" s="1293"/>
      <c r="AK452" s="1293"/>
      <c r="AL452" s="1293"/>
      <c r="AM452" s="1293"/>
      <c r="AN452" s="1293"/>
      <c r="AO452" s="1293"/>
      <c r="AP452" s="1293"/>
      <c r="AQ452" s="1293"/>
      <c r="AR452" s="1293"/>
      <c r="AS452" s="1293"/>
    </row>
    <row r="453" spans="1:45" ht="15.75">
      <c r="A453" s="1293" t="s">
        <v>8171</v>
      </c>
      <c r="B453" s="1955"/>
      <c r="C453" s="1334"/>
      <c r="D453" s="1955">
        <v>0.06</v>
      </c>
      <c r="E453" s="1334"/>
      <c r="F453" s="1334"/>
      <c r="G453" s="1334"/>
      <c r="H453" s="1334"/>
      <c r="I453" s="1334"/>
      <c r="J453" s="1334"/>
      <c r="K453" s="1713"/>
      <c r="L453" s="1334"/>
      <c r="M453" s="1334"/>
      <c r="N453" s="1334"/>
      <c r="O453" s="1334"/>
      <c r="P453" s="1334"/>
      <c r="Q453" s="1334"/>
      <c r="R453" s="1334"/>
      <c r="S453" s="1334"/>
      <c r="T453" s="1334"/>
      <c r="U453" s="1334"/>
      <c r="V453" s="1334"/>
      <c r="W453" s="1334"/>
      <c r="X453" s="1334"/>
      <c r="Y453" s="1717">
        <f>33+31+24</f>
        <v>88</v>
      </c>
      <c r="Z453" s="1717">
        <f>39+30</f>
        <v>69</v>
      </c>
      <c r="AA453" s="2494">
        <f t="shared" si="267"/>
        <v>69</v>
      </c>
      <c r="AB453" s="1327">
        <f t="shared" si="267"/>
        <v>69</v>
      </c>
      <c r="AC453" s="1327">
        <f t="shared" si="267"/>
        <v>69</v>
      </c>
      <c r="AD453" s="1327">
        <f t="shared" si="267"/>
        <v>69</v>
      </c>
      <c r="AE453" s="1327">
        <f t="shared" si="267"/>
        <v>69</v>
      </c>
      <c r="AF453" s="1327">
        <f t="shared" si="267"/>
        <v>69</v>
      </c>
      <c r="AG453" s="1327">
        <f t="shared" si="267"/>
        <v>69</v>
      </c>
      <c r="AH453" s="1293"/>
      <c r="AI453" s="1293"/>
      <c r="AJ453" s="1293"/>
      <c r="AK453" s="1293"/>
      <c r="AL453" s="1293"/>
      <c r="AM453" s="1293"/>
      <c r="AN453" s="1293"/>
      <c r="AO453" s="1293"/>
      <c r="AP453" s="1293"/>
      <c r="AQ453" s="1293"/>
      <c r="AR453" s="1293"/>
      <c r="AS453" s="1293"/>
    </row>
    <row r="454" spans="1:45" ht="15.75">
      <c r="A454" s="1293" t="s">
        <v>8173</v>
      </c>
      <c r="B454" s="1955"/>
      <c r="C454" s="1334"/>
      <c r="D454" s="1955">
        <v>4.4999999999999998E-2</v>
      </c>
      <c r="E454" s="1334"/>
      <c r="F454" s="1334"/>
      <c r="G454" s="1334"/>
      <c r="H454" s="1334"/>
      <c r="I454" s="1334"/>
      <c r="J454" s="1334"/>
      <c r="K454" s="1713"/>
      <c r="L454" s="1334"/>
      <c r="M454" s="1334"/>
      <c r="N454" s="1334"/>
      <c r="O454" s="1334"/>
      <c r="P454" s="1334"/>
      <c r="Q454" s="1334"/>
      <c r="R454" s="1334"/>
      <c r="S454" s="1334"/>
      <c r="T454" s="1334"/>
      <c r="U454" s="1334"/>
      <c r="V454" s="1334"/>
      <c r="W454" s="1334"/>
      <c r="X454" s="1334"/>
      <c r="Y454" s="1717">
        <v>589</v>
      </c>
      <c r="Z454" s="1717">
        <v>575</v>
      </c>
      <c r="AA454" s="2494">
        <f t="shared" si="267"/>
        <v>575</v>
      </c>
      <c r="AB454" s="1327">
        <f t="shared" si="267"/>
        <v>575</v>
      </c>
      <c r="AC454" s="1327">
        <f t="shared" si="267"/>
        <v>575</v>
      </c>
      <c r="AD454" s="1327">
        <f t="shared" si="267"/>
        <v>575</v>
      </c>
      <c r="AE454" s="1327">
        <f t="shared" si="267"/>
        <v>575</v>
      </c>
      <c r="AF454" s="1327">
        <f t="shared" si="267"/>
        <v>575</v>
      </c>
      <c r="AG454" s="1327">
        <f t="shared" si="267"/>
        <v>575</v>
      </c>
      <c r="AH454" s="1293"/>
      <c r="AI454" s="1293"/>
      <c r="AJ454" s="1293"/>
      <c r="AK454" s="1293"/>
      <c r="AL454" s="1293"/>
      <c r="AM454" s="1293"/>
      <c r="AN454" s="1293"/>
      <c r="AO454" s="1293"/>
      <c r="AP454" s="1293"/>
      <c r="AQ454" s="1293"/>
      <c r="AR454" s="1293"/>
      <c r="AS454" s="1293"/>
    </row>
    <row r="455" spans="1:45" ht="15.75">
      <c r="A455" s="1331" t="s">
        <v>8174</v>
      </c>
      <c r="B455" s="1956"/>
      <c r="C455" s="1324"/>
      <c r="D455" s="1956">
        <v>5.1249999999999997E-2</v>
      </c>
      <c r="E455" s="1324"/>
      <c r="F455" s="1324"/>
      <c r="G455" s="1324"/>
      <c r="H455" s="1324"/>
      <c r="I455" s="1324"/>
      <c r="J455" s="1324"/>
      <c r="K455" s="1919"/>
      <c r="L455" s="1324"/>
      <c r="M455" s="1324"/>
      <c r="N455" s="1324"/>
      <c r="O455" s="1324"/>
      <c r="P455" s="1324"/>
      <c r="Q455" s="1324"/>
      <c r="R455" s="1324"/>
      <c r="S455" s="1324"/>
      <c r="T455" s="1324"/>
      <c r="U455" s="1324"/>
      <c r="V455" s="1324"/>
      <c r="W455" s="1324"/>
      <c r="X455" s="1324"/>
      <c r="Y455" s="1719">
        <v>870</v>
      </c>
      <c r="Z455" s="1719">
        <v>823</v>
      </c>
      <c r="AA455" s="2495">
        <f t="shared" si="267"/>
        <v>823</v>
      </c>
      <c r="AB455" s="1718">
        <f t="shared" si="267"/>
        <v>823</v>
      </c>
      <c r="AC455" s="1718">
        <f t="shared" si="267"/>
        <v>823</v>
      </c>
      <c r="AD455" s="1718">
        <f t="shared" si="267"/>
        <v>823</v>
      </c>
      <c r="AE455" s="1718">
        <f t="shared" si="267"/>
        <v>823</v>
      </c>
      <c r="AF455" s="1718">
        <f t="shared" si="267"/>
        <v>823</v>
      </c>
      <c r="AG455" s="1718">
        <f t="shared" si="267"/>
        <v>823</v>
      </c>
      <c r="AH455" s="1293"/>
      <c r="AI455" s="1293"/>
      <c r="AJ455" s="1293"/>
      <c r="AK455" s="1293"/>
      <c r="AL455" s="1293"/>
      <c r="AM455" s="1293"/>
      <c r="AN455" s="1293"/>
      <c r="AO455" s="1293"/>
      <c r="AP455" s="1293"/>
      <c r="AQ455" s="1293"/>
      <c r="AR455" s="1293"/>
      <c r="AS455" s="1293"/>
    </row>
    <row r="456" spans="1:45" ht="15.75">
      <c r="A456" s="1334" t="s">
        <v>8176</v>
      </c>
      <c r="B456" s="1955"/>
      <c r="C456" s="1334"/>
      <c r="D456" s="1955"/>
      <c r="E456" s="1334"/>
      <c r="F456" s="1334"/>
      <c r="G456" s="1334"/>
      <c r="H456" s="1334"/>
      <c r="I456" s="1334"/>
      <c r="J456" s="1334"/>
      <c r="K456" s="1713"/>
      <c r="L456" s="1334"/>
      <c r="M456" s="1334"/>
      <c r="N456" s="1334"/>
      <c r="O456" s="1334"/>
      <c r="P456" s="1334"/>
      <c r="Q456" s="1334"/>
      <c r="R456" s="1334"/>
      <c r="S456" s="1334"/>
      <c r="T456" s="1334"/>
      <c r="U456" s="1334"/>
      <c r="V456" s="1334"/>
      <c r="W456" s="1334"/>
      <c r="X456" s="1334"/>
      <c r="Y456" s="1958">
        <f t="shared" ref="Y456:AG456" si="268">SUM(Y450:Y455)</f>
        <v>2438</v>
      </c>
      <c r="Z456" s="1958">
        <f t="shared" si="268"/>
        <v>2360</v>
      </c>
      <c r="AA456" s="1958">
        <f t="shared" si="268"/>
        <v>2360</v>
      </c>
      <c r="AB456" s="1958">
        <f t="shared" si="268"/>
        <v>2360</v>
      </c>
      <c r="AC456" s="1958">
        <f t="shared" si="268"/>
        <v>2360</v>
      </c>
      <c r="AD456" s="1958">
        <f t="shared" si="268"/>
        <v>2360</v>
      </c>
      <c r="AE456" s="1958">
        <f t="shared" si="268"/>
        <v>2360</v>
      </c>
      <c r="AF456" s="1958">
        <f t="shared" si="268"/>
        <v>2360</v>
      </c>
      <c r="AG456" s="1958">
        <f t="shared" si="268"/>
        <v>2360</v>
      </c>
      <c r="AH456" s="1293"/>
      <c r="AI456" s="1293"/>
      <c r="AJ456" s="1293"/>
      <c r="AM456" s="1293"/>
      <c r="AN456" s="1293"/>
      <c r="AO456" s="1293"/>
      <c r="AP456" s="1293"/>
      <c r="AQ456" s="1293"/>
      <c r="AR456" s="1293"/>
      <c r="AS456" s="1293"/>
    </row>
    <row r="457" spans="1:45" ht="15.75">
      <c r="A457" s="1293"/>
      <c r="B457" s="1293"/>
      <c r="C457" s="1293"/>
      <c r="D457" s="1293"/>
      <c r="E457" s="1293"/>
      <c r="F457" s="1293"/>
      <c r="G457" s="1293"/>
      <c r="H457" s="1293"/>
      <c r="I457" s="1293"/>
      <c r="J457" s="1293"/>
      <c r="K457" s="1675"/>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3"/>
      <c r="AG457" s="1293"/>
      <c r="AH457" s="1293"/>
      <c r="AI457" s="1293"/>
      <c r="AJ457" s="1293"/>
      <c r="AM457" s="1293"/>
      <c r="AN457" s="1293"/>
      <c r="AO457" s="1293"/>
      <c r="AP457" s="1293"/>
      <c r="AQ457" s="1293"/>
      <c r="AR457" s="1293"/>
      <c r="AS457" s="1293"/>
    </row>
    <row r="458" spans="1:45" ht="15.75">
      <c r="A458" s="1334" t="s">
        <v>8175</v>
      </c>
      <c r="B458" s="1293"/>
      <c r="C458" s="1293"/>
      <c r="D458" s="1955">
        <v>4.7500000000000001E-2</v>
      </c>
      <c r="E458" s="1293"/>
      <c r="F458" s="1293"/>
      <c r="G458" s="1293"/>
      <c r="H458" s="1293"/>
      <c r="I458" s="1293"/>
      <c r="J458" s="1293"/>
      <c r="K458" s="1675"/>
      <c r="L458" s="1293"/>
      <c r="M458" s="1293"/>
      <c r="N458" s="1293"/>
      <c r="O458" s="1293"/>
      <c r="P458" s="1293"/>
      <c r="Q458" s="1293"/>
      <c r="R458" s="1293"/>
      <c r="S458" s="1293"/>
      <c r="T458" s="1293"/>
      <c r="U458" s="1293"/>
      <c r="V458" s="1293"/>
      <c r="W458" s="1293"/>
      <c r="X458" s="1293"/>
      <c r="Y458" s="1959">
        <f>1776+18</f>
        <v>1794</v>
      </c>
      <c r="Z458" s="1959">
        <f>1832+59</f>
        <v>1891</v>
      </c>
      <c r="AA458" s="2496">
        <f>Z458-200</f>
        <v>1691</v>
      </c>
      <c r="AB458" s="1958">
        <f t="shared" ref="AB458:AG459" si="269">AA458</f>
        <v>1691</v>
      </c>
      <c r="AC458" s="1958">
        <f t="shared" si="269"/>
        <v>1691</v>
      </c>
      <c r="AD458" s="1958">
        <f t="shared" si="269"/>
        <v>1691</v>
      </c>
      <c r="AE458" s="1958">
        <f t="shared" si="269"/>
        <v>1691</v>
      </c>
      <c r="AF458" s="1958">
        <f t="shared" si="269"/>
        <v>1691</v>
      </c>
      <c r="AG458" s="1958">
        <f t="shared" si="269"/>
        <v>1691</v>
      </c>
      <c r="AH458" s="1293"/>
      <c r="AI458" s="1293"/>
      <c r="AJ458" s="1293"/>
      <c r="AM458" s="1293"/>
      <c r="AN458" s="1293"/>
      <c r="AO458" s="1293"/>
      <c r="AP458" s="1293"/>
      <c r="AQ458" s="1293"/>
      <c r="AR458" s="1293"/>
      <c r="AS458" s="1293"/>
    </row>
    <row r="459" spans="1:45" ht="15.75">
      <c r="A459" s="1293" t="s">
        <v>1540</v>
      </c>
      <c r="B459" s="1293"/>
      <c r="C459" s="1293"/>
      <c r="D459" s="1328">
        <f>Z491/Z459</f>
        <v>0.67030714285714288</v>
      </c>
      <c r="E459" s="1293"/>
      <c r="F459" s="1293"/>
      <c r="G459" s="1293"/>
      <c r="H459" s="1293"/>
      <c r="I459" s="1293"/>
      <c r="J459" s="1293"/>
      <c r="K459" s="1675"/>
      <c r="L459" s="1293"/>
      <c r="M459" s="1293"/>
      <c r="N459" s="1293"/>
      <c r="O459" s="1293"/>
      <c r="P459" s="1293"/>
      <c r="Q459" s="1293"/>
      <c r="R459" s="1293"/>
      <c r="S459" s="1293"/>
      <c r="T459" s="1293"/>
      <c r="U459" s="1293"/>
      <c r="V459" s="1293"/>
      <c r="W459" s="1293"/>
      <c r="X459" s="1293"/>
      <c r="Y459" s="1327">
        <f>Y461-Y449-Y456-Y458</f>
        <v>125</v>
      </c>
      <c r="Z459" s="1327">
        <f>Z461-Z449-Z456-Z458</f>
        <v>175</v>
      </c>
      <c r="AA459" s="1327">
        <f>Z459</f>
        <v>175</v>
      </c>
      <c r="AB459" s="1327">
        <f t="shared" si="269"/>
        <v>175</v>
      </c>
      <c r="AC459" s="1327">
        <f t="shared" si="269"/>
        <v>175</v>
      </c>
      <c r="AD459" s="1327">
        <f t="shared" si="269"/>
        <v>175</v>
      </c>
      <c r="AE459" s="1327">
        <f t="shared" si="269"/>
        <v>175</v>
      </c>
      <c r="AF459" s="1327">
        <f t="shared" si="269"/>
        <v>175</v>
      </c>
      <c r="AG459" s="1327">
        <f t="shared" si="269"/>
        <v>175</v>
      </c>
      <c r="AH459" s="1293"/>
      <c r="AI459" s="1293"/>
      <c r="AJ459" s="1293"/>
      <c r="AM459" s="1293"/>
      <c r="AN459" s="1293"/>
      <c r="AO459" s="1293"/>
      <c r="AP459" s="1293"/>
      <c r="AQ459" s="1293"/>
      <c r="AR459" s="1293"/>
      <c r="AS459" s="1293"/>
    </row>
    <row r="460" spans="1:45" ht="15.75">
      <c r="A460" s="1293"/>
      <c r="B460" s="1293"/>
      <c r="C460" s="1293"/>
      <c r="D460" s="1293"/>
      <c r="E460" s="1293"/>
      <c r="F460" s="1293"/>
      <c r="G460" s="1293"/>
      <c r="H460" s="1293"/>
      <c r="I460" s="1293"/>
      <c r="J460" s="1293"/>
      <c r="K460" s="1675"/>
      <c r="L460" s="1293"/>
      <c r="M460" s="1293"/>
      <c r="N460" s="1293"/>
      <c r="O460" s="1293"/>
      <c r="P460" s="1293"/>
      <c r="Q460" s="1293"/>
      <c r="R460" s="1293"/>
      <c r="S460" s="1293"/>
      <c r="T460" s="1293"/>
      <c r="U460" s="1293"/>
      <c r="V460" s="1293"/>
      <c r="W460" s="1293"/>
      <c r="X460" s="1293"/>
      <c r="Y460" s="1293"/>
      <c r="Z460" s="1293"/>
      <c r="AA460" s="1293"/>
      <c r="AB460" s="1293"/>
      <c r="AC460" s="1293"/>
      <c r="AD460" s="1293"/>
      <c r="AE460" s="1293"/>
      <c r="AF460" s="1293"/>
      <c r="AG460" s="1293"/>
      <c r="AH460" s="1293"/>
      <c r="AI460" s="1293"/>
      <c r="AJ460" s="1293"/>
      <c r="AK460" s="1293"/>
      <c r="AL460" s="1293"/>
      <c r="AM460" s="1293"/>
      <c r="AN460" s="1293"/>
      <c r="AO460" s="1293"/>
      <c r="AP460" s="1293"/>
      <c r="AQ460" s="1293"/>
      <c r="AR460" s="1293"/>
      <c r="AS460" s="1293"/>
    </row>
    <row r="461" spans="1:45" ht="15.75">
      <c r="A461" s="1363" t="s">
        <v>8177</v>
      </c>
      <c r="B461" s="1833"/>
      <c r="C461" s="1833"/>
      <c r="D461" s="1833"/>
      <c r="E461" s="1833"/>
      <c r="F461" s="1833"/>
      <c r="G461" s="1833"/>
      <c r="H461" s="1833"/>
      <c r="I461" s="1833"/>
      <c r="J461" s="1833"/>
      <c r="K461" s="1910"/>
      <c r="L461" s="1833"/>
      <c r="M461" s="1833"/>
      <c r="N461" s="1833"/>
      <c r="O461" s="1833"/>
      <c r="P461" s="1833"/>
      <c r="Q461" s="1833"/>
      <c r="R461" s="1833"/>
      <c r="S461" s="1833"/>
      <c r="T461" s="1833"/>
      <c r="U461" s="1833"/>
      <c r="V461" s="1833"/>
      <c r="W461" s="1833"/>
      <c r="X461" s="2507"/>
      <c r="Y461" s="1960">
        <v>6804</v>
      </c>
      <c r="Z461" s="1960">
        <f>6678</f>
        <v>6678</v>
      </c>
      <c r="AA461" s="1960">
        <f>5815</f>
        <v>5815</v>
      </c>
      <c r="AB461" s="2553">
        <f>AA461</f>
        <v>5815</v>
      </c>
      <c r="AC461" s="2553">
        <f t="shared" ref="AC461:AG461" si="270">AB461</f>
        <v>5815</v>
      </c>
      <c r="AD461" s="2553">
        <f t="shared" si="270"/>
        <v>5815</v>
      </c>
      <c r="AE461" s="2553">
        <f t="shared" si="270"/>
        <v>5815</v>
      </c>
      <c r="AF461" s="2553">
        <f t="shared" si="270"/>
        <v>5815</v>
      </c>
      <c r="AG461" s="2553">
        <f t="shared" si="270"/>
        <v>5815</v>
      </c>
      <c r="AH461" s="1293"/>
      <c r="AI461" s="1293"/>
      <c r="AJ461" s="1293"/>
      <c r="AK461" s="1293"/>
      <c r="AL461" s="1293"/>
      <c r="AM461" s="1293"/>
      <c r="AN461" s="1293"/>
      <c r="AO461" s="1293"/>
      <c r="AP461" s="1293"/>
      <c r="AQ461" s="1293"/>
      <c r="AR461" s="1293"/>
      <c r="AS461" s="1293"/>
    </row>
    <row r="462" spans="1:45" ht="15.75">
      <c r="A462" s="1293"/>
      <c r="B462" s="1293"/>
      <c r="C462" s="1293"/>
      <c r="D462" s="1293"/>
      <c r="E462" s="1293"/>
      <c r="F462" s="1293"/>
      <c r="G462" s="1293"/>
      <c r="H462" s="1293"/>
      <c r="I462" s="1293"/>
      <c r="J462" s="1293"/>
      <c r="K462" s="1675"/>
      <c r="L462" s="1293"/>
      <c r="M462" s="1293"/>
      <c r="N462" s="1293"/>
      <c r="O462" s="1293"/>
      <c r="P462" s="1293"/>
      <c r="Q462" s="1293"/>
      <c r="R462" s="1293"/>
      <c r="S462" s="1293"/>
      <c r="T462" s="1293"/>
      <c r="U462" s="1293"/>
      <c r="V462" s="1293"/>
      <c r="W462" s="1293"/>
      <c r="X462" s="1293"/>
      <c r="Y462" s="1293"/>
      <c r="Z462" s="1293"/>
      <c r="AA462" s="1293"/>
      <c r="AB462" s="1293"/>
      <c r="AC462" s="1293"/>
      <c r="AD462" s="1293"/>
      <c r="AE462" s="1293"/>
      <c r="AF462" s="1293"/>
      <c r="AG462" s="1293"/>
      <c r="AH462" s="1293"/>
      <c r="AI462" s="1293"/>
      <c r="AJ462" s="1293"/>
      <c r="AK462" s="1293"/>
      <c r="AL462" s="1293"/>
      <c r="AM462" s="1293"/>
      <c r="AN462" s="1293"/>
      <c r="AO462" s="1293"/>
      <c r="AP462" s="1293"/>
      <c r="AQ462" s="1293"/>
      <c r="AR462" s="1293"/>
      <c r="AS462" s="1293"/>
    </row>
    <row r="463" spans="1:45" ht="15.75">
      <c r="A463" s="1293" t="s">
        <v>9139</v>
      </c>
      <c r="B463" s="1293"/>
      <c r="C463" s="1293"/>
      <c r="D463" s="1293"/>
      <c r="E463" s="1293"/>
      <c r="F463" s="1293"/>
      <c r="G463" s="1293"/>
      <c r="H463" s="1293"/>
      <c r="I463" s="1293"/>
      <c r="J463" s="1293"/>
      <c r="K463" s="1675"/>
      <c r="L463" s="1293"/>
      <c r="M463" s="1293"/>
      <c r="N463" s="1293"/>
      <c r="O463" s="1293"/>
      <c r="P463" s="1293"/>
      <c r="Q463" s="1293"/>
      <c r="R463" s="1293"/>
      <c r="S463" s="1293"/>
      <c r="T463" s="1293"/>
      <c r="U463" s="1293"/>
      <c r="V463" s="1293"/>
      <c r="W463" s="1293"/>
      <c r="X463" s="1293"/>
      <c r="Y463" s="1717">
        <v>34</v>
      </c>
      <c r="Z463" s="1717">
        <v>58</v>
      </c>
      <c r="AA463" s="1717">
        <v>59</v>
      </c>
      <c r="AB463" s="1717">
        <f t="shared" ref="AB463:AG463" si="271">AA463</f>
        <v>59</v>
      </c>
      <c r="AC463" s="1717">
        <f t="shared" si="271"/>
        <v>59</v>
      </c>
      <c r="AD463" s="1717">
        <f t="shared" si="271"/>
        <v>59</v>
      </c>
      <c r="AE463" s="1717">
        <f t="shared" si="271"/>
        <v>59</v>
      </c>
      <c r="AF463" s="1717">
        <f t="shared" si="271"/>
        <v>59</v>
      </c>
      <c r="AG463" s="1717">
        <f t="shared" si="271"/>
        <v>59</v>
      </c>
      <c r="AH463" s="1293"/>
      <c r="AI463" s="1293"/>
      <c r="AJ463" s="1293"/>
      <c r="AK463" s="1293"/>
      <c r="AL463" s="1293"/>
      <c r="AM463" s="1293"/>
      <c r="AN463" s="1293"/>
      <c r="AO463" s="1293"/>
      <c r="AP463" s="1293"/>
      <c r="AQ463" s="1293"/>
      <c r="AR463" s="1293"/>
      <c r="AS463" s="1293"/>
    </row>
    <row r="464" spans="1:45" ht="15.75">
      <c r="A464" s="1334" t="s">
        <v>9142</v>
      </c>
      <c r="B464" s="1334"/>
      <c r="C464" s="1334"/>
      <c r="D464" s="1334"/>
      <c r="E464" s="1334"/>
      <c r="F464" s="1334"/>
      <c r="G464" s="1334"/>
      <c r="H464" s="1334"/>
      <c r="I464" s="1334"/>
      <c r="J464" s="1334"/>
      <c r="K464" s="1713"/>
      <c r="L464" s="1334"/>
      <c r="M464" s="1334"/>
      <c r="N464" s="1334"/>
      <c r="O464" s="1334"/>
      <c r="P464" s="1334"/>
      <c r="Q464" s="1334"/>
      <c r="R464" s="1334"/>
      <c r="S464" s="1334"/>
      <c r="T464" s="1334"/>
      <c r="U464" s="1334"/>
      <c r="V464" s="1958">
        <f>V467-V466</f>
        <v>7607</v>
      </c>
      <c r="W464" s="1958">
        <f>W467-W466</f>
        <v>6732</v>
      </c>
      <c r="X464" s="1958">
        <f>X467-X466</f>
        <v>8083</v>
      </c>
      <c r="Y464" s="1958">
        <f t="shared" ref="Y464:AG464" si="272">Y461+Y463</f>
        <v>6838</v>
      </c>
      <c r="Z464" s="1958">
        <f t="shared" si="272"/>
        <v>6736</v>
      </c>
      <c r="AA464" s="1958">
        <f t="shared" si="272"/>
        <v>5874</v>
      </c>
      <c r="AB464" s="1958">
        <f t="shared" si="272"/>
        <v>5874</v>
      </c>
      <c r="AC464" s="1958">
        <f t="shared" si="272"/>
        <v>5874</v>
      </c>
      <c r="AD464" s="1958">
        <f t="shared" si="272"/>
        <v>5874</v>
      </c>
      <c r="AE464" s="1958">
        <f t="shared" si="272"/>
        <v>5874</v>
      </c>
      <c r="AF464" s="1958">
        <f t="shared" si="272"/>
        <v>5874</v>
      </c>
      <c r="AG464" s="1958">
        <f t="shared" si="272"/>
        <v>5874</v>
      </c>
      <c r="AH464" s="1293"/>
      <c r="AI464" s="1293"/>
      <c r="AJ464" s="1293"/>
      <c r="AK464" s="1293"/>
      <c r="AL464" s="1293"/>
      <c r="AM464" s="1293"/>
      <c r="AN464" s="1293"/>
      <c r="AO464" s="1293"/>
      <c r="AP464" s="1293"/>
      <c r="AQ464" s="1293"/>
      <c r="AR464" s="1293"/>
      <c r="AS464" s="1293"/>
    </row>
    <row r="465" spans="1:45" ht="15.75">
      <c r="A465" s="1293"/>
      <c r="B465" s="1293"/>
      <c r="C465" s="1293"/>
      <c r="D465" s="1293"/>
      <c r="E465" s="1293"/>
      <c r="F465" s="1293"/>
      <c r="G465" s="1293"/>
      <c r="H465" s="1293"/>
      <c r="I465" s="1293"/>
      <c r="J465" s="1293"/>
      <c r="K465" s="1675"/>
      <c r="L465" s="1293"/>
      <c r="M465" s="1293"/>
      <c r="N465" s="1293"/>
      <c r="O465" s="1293"/>
      <c r="P465" s="1293"/>
      <c r="Q465" s="1293"/>
      <c r="R465" s="1293"/>
      <c r="S465" s="1293"/>
      <c r="T465" s="1293"/>
      <c r="U465" s="1293"/>
      <c r="V465" s="1293"/>
      <c r="W465" s="1293"/>
      <c r="X465" s="1293"/>
      <c r="Y465" s="1293"/>
      <c r="Z465" s="1293"/>
      <c r="AA465" s="1293"/>
      <c r="AB465" s="1293"/>
      <c r="AC465" s="1293"/>
      <c r="AD465" s="1293"/>
      <c r="AE465" s="1293"/>
      <c r="AF465" s="1293"/>
      <c r="AG465" s="1293"/>
      <c r="AH465" s="1293"/>
      <c r="AI465" s="1293"/>
      <c r="AJ465" s="1293"/>
      <c r="AK465" s="1293"/>
      <c r="AL465" s="1293"/>
      <c r="AM465" s="1293"/>
      <c r="AN465" s="1293"/>
      <c r="AO465" s="1293"/>
      <c r="AP465" s="1293"/>
      <c r="AQ465" s="1293"/>
      <c r="AR465" s="1293"/>
      <c r="AS465" s="1293"/>
    </row>
    <row r="466" spans="1:45" ht="15.75">
      <c r="A466" s="1331" t="s">
        <v>7044</v>
      </c>
      <c r="B466" s="1331"/>
      <c r="C466" s="1331"/>
      <c r="D466" s="1337">
        <f>AA495/AA466</f>
        <v>0.1278825995807128</v>
      </c>
      <c r="E466" s="1331"/>
      <c r="F466" s="1331"/>
      <c r="G466" s="1331"/>
      <c r="H466" s="1331"/>
      <c r="I466" s="1331"/>
      <c r="J466" s="1331"/>
      <c r="K466" s="1705"/>
      <c r="L466" s="1331"/>
      <c r="M466" s="1331"/>
      <c r="N466" s="1331"/>
      <c r="O466" s="1331"/>
      <c r="P466" s="1331"/>
      <c r="Q466" s="1331"/>
      <c r="R466" s="1331"/>
      <c r="S466" s="1331"/>
      <c r="T466" s="1331"/>
      <c r="U466" s="1331"/>
      <c r="V466" s="1718">
        <f t="shared" ref="V466:AG466" si="273">V434</f>
        <v>1024</v>
      </c>
      <c r="W466" s="1718">
        <f t="shared" si="273"/>
        <v>1021</v>
      </c>
      <c r="X466" s="1718">
        <f t="shared" si="273"/>
        <v>1167</v>
      </c>
      <c r="Y466" s="1718">
        <f t="shared" si="273"/>
        <v>1016</v>
      </c>
      <c r="Z466" s="1718">
        <f t="shared" si="273"/>
        <v>1043</v>
      </c>
      <c r="AA466" s="1718">
        <f t="shared" si="273"/>
        <v>954</v>
      </c>
      <c r="AB466" s="1718">
        <f t="shared" si="273"/>
        <v>977.84999999999991</v>
      </c>
      <c r="AC466" s="1718">
        <f t="shared" si="273"/>
        <v>1002.2962499999999</v>
      </c>
      <c r="AD466" s="1718">
        <f t="shared" si="273"/>
        <v>1027.3536562499999</v>
      </c>
      <c r="AE466" s="1718">
        <f t="shared" si="273"/>
        <v>1053.0374976562498</v>
      </c>
      <c r="AF466" s="1718">
        <f t="shared" si="273"/>
        <v>1079.3634350976558</v>
      </c>
      <c r="AG466" s="1718">
        <f t="shared" si="273"/>
        <v>1106.347520975097</v>
      </c>
      <c r="AH466" s="1293"/>
      <c r="AI466" s="1293"/>
      <c r="AJ466" s="1293"/>
      <c r="AK466" s="1293"/>
      <c r="AL466" s="1293"/>
      <c r="AM466" s="1293"/>
      <c r="AN466" s="1293"/>
      <c r="AO466" s="1293"/>
      <c r="AP466" s="1293"/>
      <c r="AQ466" s="1293"/>
      <c r="AR466" s="1293"/>
      <c r="AS466" s="1293"/>
    </row>
    <row r="467" spans="1:45" ht="15.75">
      <c r="A467" s="1334" t="s">
        <v>8179</v>
      </c>
      <c r="B467" s="1293"/>
      <c r="C467" s="1293"/>
      <c r="D467" s="1328"/>
      <c r="E467" s="1327"/>
      <c r="F467" s="1327"/>
      <c r="G467" s="1327"/>
      <c r="H467" s="1327"/>
      <c r="I467" s="1327"/>
      <c r="J467" s="1327"/>
      <c r="K467" s="1327"/>
      <c r="L467" s="1327"/>
      <c r="M467" s="1327"/>
      <c r="N467" s="1327"/>
      <c r="O467" s="1327"/>
      <c r="P467" s="1327"/>
      <c r="Q467" s="1327"/>
      <c r="R467" s="1327"/>
      <c r="S467" s="1327"/>
      <c r="T467" s="1327"/>
      <c r="U467" s="1327"/>
      <c r="V467" s="1327">
        <f>V424+V418</f>
        <v>8631</v>
      </c>
      <c r="W467" s="1327">
        <f>W424+W418</f>
        <v>7753</v>
      </c>
      <c r="X467" s="1327">
        <f>X424+X418</f>
        <v>9250</v>
      </c>
      <c r="Y467" s="1958">
        <f t="shared" ref="Y467:AG467" si="274">Y464+Y466</f>
        <v>7854</v>
      </c>
      <c r="Z467" s="1958">
        <f t="shared" si="274"/>
        <v>7779</v>
      </c>
      <c r="AA467" s="1958">
        <f t="shared" si="274"/>
        <v>6828</v>
      </c>
      <c r="AB467" s="1958">
        <f t="shared" si="274"/>
        <v>6851.85</v>
      </c>
      <c r="AC467" s="1958">
        <f t="shared" si="274"/>
        <v>6876.2962499999994</v>
      </c>
      <c r="AD467" s="1958">
        <f t="shared" si="274"/>
        <v>6901.3536562499994</v>
      </c>
      <c r="AE467" s="1958">
        <f t="shared" si="274"/>
        <v>6927.0374976562498</v>
      </c>
      <c r="AF467" s="1958">
        <f t="shared" si="274"/>
        <v>6953.3634350976554</v>
      </c>
      <c r="AG467" s="1958">
        <f t="shared" si="274"/>
        <v>6980.3475209750968</v>
      </c>
      <c r="AH467" s="1293"/>
      <c r="AI467" s="1293"/>
      <c r="AJ467" s="1293"/>
      <c r="AK467" s="1293"/>
      <c r="AL467" s="1293"/>
      <c r="AM467" s="1293"/>
      <c r="AN467" s="1293"/>
      <c r="AO467" s="1293"/>
      <c r="AP467" s="1293"/>
      <c r="AQ467" s="1293"/>
      <c r="AR467" s="1293"/>
      <c r="AS467" s="1293"/>
    </row>
    <row r="468" spans="1:45" ht="15.75">
      <c r="A468" s="1293"/>
      <c r="B468" s="1293"/>
      <c r="C468" s="1293"/>
      <c r="D468" s="1293"/>
      <c r="E468" s="1293"/>
      <c r="F468" s="1293"/>
      <c r="G468" s="1293"/>
      <c r="H468" s="1293"/>
      <c r="I468" s="1293"/>
      <c r="J468" s="1293"/>
      <c r="K468" s="1675"/>
      <c r="L468" s="1293"/>
      <c r="M468" s="1293"/>
      <c r="N468" s="1293"/>
      <c r="O468" s="1293"/>
      <c r="P468" s="1293"/>
      <c r="Q468" s="1293"/>
      <c r="R468" s="1293"/>
      <c r="S468" s="1293"/>
      <c r="T468" s="1293"/>
      <c r="U468" s="1293"/>
      <c r="V468" s="1293"/>
      <c r="W468" s="1293"/>
      <c r="X468" s="1293"/>
      <c r="Y468" s="1293"/>
      <c r="Z468" s="1293"/>
      <c r="AA468" s="1293"/>
      <c r="AB468" s="1293"/>
      <c r="AC468" s="1293"/>
      <c r="AD468" s="1293"/>
      <c r="AE468" s="1293"/>
      <c r="AF468" s="1293"/>
      <c r="AG468" s="1293"/>
      <c r="AH468" s="1293"/>
      <c r="AI468" s="1293"/>
      <c r="AJ468" s="1293"/>
      <c r="AK468" s="1293"/>
      <c r="AL468" s="1293"/>
      <c r="AM468" s="1293"/>
      <c r="AN468" s="1293"/>
      <c r="AO468" s="1293"/>
      <c r="AP468" s="1293"/>
      <c r="AQ468" s="1293"/>
      <c r="AR468" s="1293"/>
      <c r="AS468" s="1293"/>
    </row>
    <row r="469" spans="1:45">
      <c r="V469" s="2460"/>
      <c r="W469" s="2460">
        <f t="shared" ref="W469:Z469" si="275">W495/AVERAGE(V466:W466)</f>
        <v>0.10953545232273838</v>
      </c>
      <c r="X469" s="2460">
        <f t="shared" si="275"/>
        <v>0.10329067641681901</v>
      </c>
      <c r="Y469" s="2460">
        <f t="shared" si="275"/>
        <v>0.11360513055428309</v>
      </c>
      <c r="Z469" s="2460">
        <f t="shared" si="275"/>
        <v>0.11364740165128703</v>
      </c>
      <c r="AA469" s="2460">
        <f>AA495/AVERAGE(Z466:AA466)</f>
        <v>0.12218327491236855</v>
      </c>
    </row>
    <row r="470" spans="1:45" ht="15.75">
      <c r="A470" s="1293"/>
      <c r="B470" s="1293"/>
      <c r="C470" s="1293"/>
      <c r="D470" s="1293"/>
      <c r="E470" s="1293"/>
      <c r="F470" s="1293"/>
      <c r="G470" s="1293"/>
      <c r="H470" s="1293"/>
      <c r="I470" s="1293"/>
      <c r="J470" s="1293"/>
      <c r="K470" s="1675"/>
      <c r="L470" s="1293"/>
      <c r="M470" s="1293"/>
      <c r="N470" s="1293"/>
      <c r="O470" s="1293"/>
      <c r="P470" s="1293"/>
      <c r="Q470" s="1293"/>
      <c r="R470" s="1293"/>
      <c r="S470" s="1293"/>
      <c r="T470" s="1293"/>
      <c r="U470" s="1293"/>
      <c r="V470" s="1293"/>
      <c r="W470" s="1293"/>
      <c r="X470" s="1293"/>
      <c r="AH470" s="1293"/>
      <c r="AI470" s="1293"/>
      <c r="AJ470" s="1293"/>
      <c r="AK470" s="1293"/>
      <c r="AL470" s="1293"/>
      <c r="AM470" s="1293"/>
      <c r="AN470" s="1293"/>
      <c r="AO470" s="1293"/>
      <c r="AP470" s="1293"/>
      <c r="AQ470" s="1293"/>
      <c r="AR470" s="1293"/>
      <c r="AS470" s="1293"/>
    </row>
    <row r="471" spans="1:45" ht="15.75">
      <c r="A471" s="1293"/>
      <c r="B471" s="1293"/>
      <c r="C471" s="1293"/>
      <c r="D471" s="1293"/>
      <c r="E471" s="1293"/>
      <c r="F471" s="1293"/>
      <c r="G471" s="1293"/>
      <c r="H471" s="1293"/>
      <c r="I471" s="1293"/>
      <c r="J471" s="1293"/>
      <c r="K471" s="1675"/>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c r="AH471" s="1293"/>
      <c r="AI471" s="1293"/>
      <c r="AJ471" s="1293"/>
      <c r="AK471" s="1293"/>
      <c r="AL471" s="1293"/>
      <c r="AM471" s="1293"/>
      <c r="AN471" s="1293"/>
      <c r="AO471" s="1293"/>
      <c r="AP471" s="1293"/>
      <c r="AQ471" s="1293"/>
      <c r="AR471" s="1293"/>
      <c r="AS471" s="1293"/>
    </row>
    <row r="472" spans="1:45" ht="15.75">
      <c r="A472" s="1293"/>
      <c r="B472" s="1293"/>
      <c r="C472" s="1293"/>
      <c r="D472" s="1293"/>
      <c r="E472" s="1293"/>
      <c r="F472" s="1293"/>
      <c r="G472" s="1293"/>
      <c r="H472" s="1293"/>
      <c r="I472" s="1293"/>
      <c r="J472" s="1293"/>
      <c r="K472" s="1675"/>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c r="AH472" s="1293"/>
      <c r="AI472" s="1293"/>
      <c r="AJ472" s="1293"/>
      <c r="AK472" s="1293"/>
      <c r="AL472" s="1293"/>
      <c r="AM472" s="1293"/>
      <c r="AN472" s="1293"/>
      <c r="AO472" s="1293"/>
      <c r="AP472" s="1293"/>
      <c r="AQ472" s="1293"/>
      <c r="AR472" s="1293"/>
      <c r="AS472" s="1293"/>
    </row>
    <row r="473" spans="1:45" ht="15.75">
      <c r="A473" s="1334" t="s">
        <v>1382</v>
      </c>
      <c r="B473" s="1293"/>
      <c r="C473" s="1293"/>
      <c r="D473" s="1293"/>
      <c r="E473" s="1293"/>
      <c r="F473" s="1293"/>
      <c r="G473" s="1293"/>
      <c r="H473" s="1293"/>
      <c r="I473" s="1293"/>
      <c r="J473" s="1293"/>
      <c r="K473" s="1675"/>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c r="AK473" s="1293"/>
      <c r="AL473" s="1293"/>
      <c r="AM473" s="1293"/>
      <c r="AN473" s="1293"/>
      <c r="AO473" s="1293"/>
      <c r="AP473" s="1293"/>
      <c r="AQ473" s="1293"/>
      <c r="AR473" s="1293"/>
      <c r="AS473" s="1293"/>
    </row>
    <row r="474" spans="1:45" ht="15.75">
      <c r="A474" s="1293" t="str">
        <f t="shared" ref="A474:A480" si="276">A442</f>
        <v>Lux 24</v>
      </c>
      <c r="B474" s="1293"/>
      <c r="C474" s="1293"/>
      <c r="D474" s="1293"/>
      <c r="E474" s="1293"/>
      <c r="F474" s="1293"/>
      <c r="G474" s="1293"/>
      <c r="H474" s="1293"/>
      <c r="I474" s="1293"/>
      <c r="J474" s="1293"/>
      <c r="K474" s="1675"/>
      <c r="L474" s="1293"/>
      <c r="M474" s="1293"/>
      <c r="N474" s="1293"/>
      <c r="O474" s="1293"/>
      <c r="P474" s="1293"/>
      <c r="Q474" s="1293"/>
      <c r="R474" s="1293"/>
      <c r="S474" s="1293"/>
      <c r="T474" s="1293"/>
      <c r="U474" s="1293"/>
      <c r="V474" s="1293"/>
      <c r="W474" s="1293"/>
      <c r="X474" s="1293"/>
      <c r="Y474" s="1698">
        <f t="shared" ref="Y474:AG474" si="277">$D442*Y442</f>
        <v>11.173500000000001</v>
      </c>
      <c r="Z474" s="1698">
        <f t="shared" si="277"/>
        <v>0</v>
      </c>
      <c r="AA474" s="1698">
        <f t="shared" si="277"/>
        <v>0</v>
      </c>
      <c r="AB474" s="1698">
        <f t="shared" si="277"/>
        <v>0</v>
      </c>
      <c r="AC474" s="1698">
        <f t="shared" si="277"/>
        <v>0</v>
      </c>
      <c r="AD474" s="1698">
        <f t="shared" si="277"/>
        <v>0</v>
      </c>
      <c r="AE474" s="1698">
        <f t="shared" si="277"/>
        <v>0</v>
      </c>
      <c r="AF474" s="1698">
        <f t="shared" si="277"/>
        <v>0</v>
      </c>
      <c r="AG474" s="1698">
        <f t="shared" si="277"/>
        <v>0</v>
      </c>
      <c r="AH474" s="1293"/>
      <c r="AI474" s="1293"/>
      <c r="AJ474" s="1293"/>
      <c r="AK474" s="1293"/>
      <c r="AL474" s="1293"/>
      <c r="AM474" s="1293"/>
      <c r="AN474" s="1293"/>
      <c r="AO474" s="1293"/>
      <c r="AP474" s="1293"/>
      <c r="AQ474" s="1293"/>
      <c r="AR474" s="1293"/>
      <c r="AS474" s="1293"/>
    </row>
    <row r="475" spans="1:45" ht="15.75">
      <c r="A475" s="1293" t="str">
        <f t="shared" si="276"/>
        <v>Lux 27</v>
      </c>
      <c r="B475" s="1293"/>
      <c r="C475" s="1293"/>
      <c r="D475" s="1293"/>
      <c r="E475" s="1293"/>
      <c r="F475" s="1293"/>
      <c r="G475" s="1293"/>
      <c r="H475" s="1293"/>
      <c r="I475" s="1293"/>
      <c r="J475" s="1293"/>
      <c r="K475" s="1675"/>
      <c r="L475" s="1293"/>
      <c r="M475" s="1293"/>
      <c r="N475" s="1293"/>
      <c r="O475" s="1293"/>
      <c r="P475" s="1293"/>
      <c r="Q475" s="1293"/>
      <c r="R475" s="1293"/>
      <c r="S475" s="1293"/>
      <c r="T475" s="1293"/>
      <c r="U475" s="1293"/>
      <c r="V475" s="1293"/>
      <c r="W475" s="1293"/>
      <c r="X475" s="1293"/>
      <c r="Y475" s="1698">
        <f t="shared" ref="Y475:AG475" si="278">$D443*Y443</f>
        <v>13.91</v>
      </c>
      <c r="Z475" s="1698">
        <f t="shared" si="278"/>
        <v>14.43</v>
      </c>
      <c r="AA475" s="1698">
        <f t="shared" si="278"/>
        <v>14.43</v>
      </c>
      <c r="AB475" s="1698">
        <f t="shared" si="278"/>
        <v>14.43</v>
      </c>
      <c r="AC475" s="1698">
        <f t="shared" si="278"/>
        <v>14.43</v>
      </c>
      <c r="AD475" s="1698">
        <f t="shared" si="278"/>
        <v>14.43</v>
      </c>
      <c r="AE475" s="1698">
        <f t="shared" si="278"/>
        <v>14.43</v>
      </c>
      <c r="AF475" s="1698">
        <f t="shared" si="278"/>
        <v>14.43</v>
      </c>
      <c r="AG475" s="1698">
        <f t="shared" si="278"/>
        <v>14.43</v>
      </c>
      <c r="AH475" s="1293"/>
      <c r="AI475" s="1293"/>
      <c r="AJ475" s="1293"/>
      <c r="AK475" s="1293"/>
      <c r="AL475" s="1293"/>
      <c r="AM475" s="1293"/>
      <c r="AN475" s="1293"/>
      <c r="AO475" s="1293"/>
      <c r="AP475" s="1293"/>
      <c r="AQ475" s="1293"/>
      <c r="AR475" s="1293"/>
      <c r="AS475" s="1293"/>
    </row>
    <row r="476" spans="1:45" ht="15.75">
      <c r="A476" s="1293" t="str">
        <f t="shared" si="276"/>
        <v>Lux 31</v>
      </c>
      <c r="B476" s="1293"/>
      <c r="C476" s="1293"/>
      <c r="D476" s="1293"/>
      <c r="E476" s="1293"/>
      <c r="F476" s="1293"/>
      <c r="G476" s="1293"/>
      <c r="H476" s="1293"/>
      <c r="I476" s="1293"/>
      <c r="J476" s="1293"/>
      <c r="K476" s="1675"/>
      <c r="L476" s="1293"/>
      <c r="M476" s="1293"/>
      <c r="N476" s="1293"/>
      <c r="O476" s="1293"/>
      <c r="P476" s="1293"/>
      <c r="Q476" s="1293"/>
      <c r="R476" s="1293"/>
      <c r="S476" s="1293"/>
      <c r="T476" s="1293"/>
      <c r="U476" s="1293"/>
      <c r="V476" s="1293"/>
      <c r="W476" s="1293"/>
      <c r="X476" s="1293"/>
      <c r="Y476" s="1698">
        <f t="shared" ref="Y476:AG476" si="279">$D444*Y444</f>
        <v>35.055</v>
      </c>
      <c r="Z476" s="1698">
        <f t="shared" si="279"/>
        <v>34.47</v>
      </c>
      <c r="AA476" s="1698">
        <f t="shared" si="279"/>
        <v>34.47</v>
      </c>
      <c r="AB476" s="1698">
        <f t="shared" si="279"/>
        <v>34.47</v>
      </c>
      <c r="AC476" s="1698">
        <f t="shared" si="279"/>
        <v>34.47</v>
      </c>
      <c r="AD476" s="1698">
        <f t="shared" si="279"/>
        <v>34.47</v>
      </c>
      <c r="AE476" s="1698">
        <f t="shared" si="279"/>
        <v>34.47</v>
      </c>
      <c r="AF476" s="1698">
        <f t="shared" si="279"/>
        <v>34.47</v>
      </c>
      <c r="AG476" s="1698">
        <f t="shared" si="279"/>
        <v>34.47</v>
      </c>
      <c r="AH476" s="1293"/>
      <c r="AI476" s="1293"/>
      <c r="AJ476" s="1293"/>
      <c r="AK476" s="1293"/>
      <c r="AL476" s="1293"/>
      <c r="AM476" s="1293"/>
      <c r="AN476" s="1293"/>
      <c r="AO476" s="1293"/>
      <c r="AP476" s="1293"/>
      <c r="AQ476" s="1293"/>
      <c r="AR476" s="1293"/>
      <c r="AS476" s="1293"/>
    </row>
    <row r="477" spans="1:45" ht="15.75">
      <c r="A477" s="1293" t="str">
        <f t="shared" si="276"/>
        <v>Lux 26</v>
      </c>
      <c r="B477" s="1293"/>
      <c r="C477" s="1293"/>
      <c r="D477" s="1293"/>
      <c r="E477" s="1293"/>
      <c r="F477" s="1293"/>
      <c r="G477" s="1293"/>
      <c r="H477" s="1293"/>
      <c r="I477" s="1293"/>
      <c r="J477" s="1293"/>
      <c r="K477" s="1675"/>
      <c r="L477" s="1293"/>
      <c r="M477" s="1293"/>
      <c r="N477" s="1293"/>
      <c r="O477" s="1293"/>
      <c r="P477" s="1293"/>
      <c r="Q477" s="1293"/>
      <c r="R477" s="1293"/>
      <c r="S477" s="1293"/>
      <c r="T477" s="1293"/>
      <c r="U477" s="1293"/>
      <c r="V477" s="1293"/>
      <c r="W477" s="1293"/>
      <c r="X477" s="1293"/>
      <c r="Y477" s="1698">
        <f t="shared" ref="Y477:AG477" si="280">$D445*Y445</f>
        <v>9.7387500000000014</v>
      </c>
      <c r="Z477" s="1698">
        <f t="shared" si="280"/>
        <v>9.7387500000000014</v>
      </c>
      <c r="AA477" s="1698">
        <f t="shared" si="280"/>
        <v>9.7387500000000014</v>
      </c>
      <c r="AB477" s="1698">
        <f t="shared" si="280"/>
        <v>9.7387500000000014</v>
      </c>
      <c r="AC477" s="1698">
        <f t="shared" si="280"/>
        <v>9.7387500000000014</v>
      </c>
      <c r="AD477" s="1698">
        <f t="shared" si="280"/>
        <v>9.7387500000000014</v>
      </c>
      <c r="AE477" s="1698">
        <f t="shared" si="280"/>
        <v>9.7387500000000014</v>
      </c>
      <c r="AF477" s="1698">
        <f t="shared" si="280"/>
        <v>9.7387500000000014</v>
      </c>
      <c r="AG477" s="1698">
        <f t="shared" si="280"/>
        <v>9.7387500000000014</v>
      </c>
      <c r="AH477" s="1293"/>
      <c r="AI477" s="1293"/>
      <c r="AJ477" s="1293"/>
      <c r="AK477" s="1293"/>
      <c r="AL477" s="1293"/>
      <c r="AM477" s="1293"/>
      <c r="AN477" s="1293"/>
      <c r="AO477" s="1293"/>
      <c r="AP477" s="1293"/>
      <c r="AQ477" s="1293"/>
      <c r="AR477" s="1293"/>
      <c r="AS477" s="1293"/>
    </row>
    <row r="478" spans="1:45" ht="15.75">
      <c r="A478" s="1293" t="str">
        <f t="shared" si="276"/>
        <v>Lux 29</v>
      </c>
      <c r="B478" s="1293"/>
      <c r="C478" s="1293"/>
      <c r="D478" s="1293"/>
      <c r="E478" s="1293"/>
      <c r="F478" s="1293"/>
      <c r="G478" s="1293"/>
      <c r="H478" s="1293"/>
      <c r="I478" s="1293"/>
      <c r="J478" s="1293"/>
      <c r="K478" s="1675"/>
      <c r="L478" s="1293"/>
      <c r="M478" s="1293"/>
      <c r="N478" s="1293"/>
      <c r="O478" s="1293"/>
      <c r="P478" s="1293"/>
      <c r="Q478" s="1293"/>
      <c r="R478" s="1293"/>
      <c r="S478" s="1293"/>
      <c r="T478" s="1293"/>
      <c r="U478" s="1293"/>
      <c r="V478" s="1293"/>
      <c r="W478" s="1293"/>
      <c r="X478" s="1293"/>
      <c r="Y478" s="1698">
        <f t="shared" ref="Y478:AG478" si="281">$D446*Y446</f>
        <v>41.875</v>
      </c>
      <c r="Z478" s="1698">
        <f t="shared" si="281"/>
        <v>41.9375</v>
      </c>
      <c r="AA478" s="1698">
        <f t="shared" si="281"/>
        <v>41.9375</v>
      </c>
      <c r="AB478" s="1698">
        <f t="shared" si="281"/>
        <v>41.9375</v>
      </c>
      <c r="AC478" s="1698">
        <f t="shared" si="281"/>
        <v>41.9375</v>
      </c>
      <c r="AD478" s="1698">
        <f t="shared" si="281"/>
        <v>41.9375</v>
      </c>
      <c r="AE478" s="1698">
        <f t="shared" si="281"/>
        <v>41.9375</v>
      </c>
      <c r="AF478" s="1698">
        <f t="shared" si="281"/>
        <v>41.9375</v>
      </c>
      <c r="AG478" s="1698">
        <f t="shared" si="281"/>
        <v>41.9375</v>
      </c>
      <c r="AH478" s="1293"/>
      <c r="AI478" s="1293"/>
      <c r="AJ478" s="1293"/>
      <c r="AK478" s="1293"/>
      <c r="AL478" s="1293"/>
      <c r="AM478" s="1293"/>
      <c r="AN478" s="1293"/>
      <c r="AO478" s="1293"/>
      <c r="AP478" s="1293"/>
      <c r="AQ478" s="1293"/>
      <c r="AR478" s="1293"/>
      <c r="AS478" s="1293"/>
    </row>
    <row r="479" spans="1:45" ht="15.75">
      <c r="A479" s="1293" t="str">
        <f t="shared" si="276"/>
        <v>Lux 28</v>
      </c>
      <c r="B479" s="1293"/>
      <c r="C479" s="1293"/>
      <c r="D479" s="1293"/>
      <c r="E479" s="1293"/>
      <c r="F479" s="1293"/>
      <c r="G479" s="1293"/>
      <c r="H479" s="1293"/>
      <c r="I479" s="1293"/>
      <c r="J479" s="1293"/>
      <c r="K479" s="1675"/>
      <c r="L479" s="1293"/>
      <c r="M479" s="1293"/>
      <c r="N479" s="1293"/>
      <c r="O479" s="1293"/>
      <c r="P479" s="1293"/>
      <c r="Q479" s="1293"/>
      <c r="R479" s="1293"/>
      <c r="S479" s="1293"/>
      <c r="T479" s="1293"/>
      <c r="U479" s="1293"/>
      <c r="V479" s="1293"/>
      <c r="W479" s="1293"/>
      <c r="X479" s="1293"/>
      <c r="Y479" s="1698">
        <f t="shared" ref="Y479:AG479" si="282">$D447*Y447</f>
        <v>22.857499999999998</v>
      </c>
      <c r="Z479" s="1698">
        <f t="shared" si="282"/>
        <v>22.857499999999998</v>
      </c>
      <c r="AA479" s="1698">
        <f t="shared" si="282"/>
        <v>22.857499999999998</v>
      </c>
      <c r="AB479" s="1698">
        <f t="shared" si="282"/>
        <v>22.857499999999998</v>
      </c>
      <c r="AC479" s="1698">
        <f t="shared" si="282"/>
        <v>22.857499999999998</v>
      </c>
      <c r="AD479" s="1698">
        <f t="shared" si="282"/>
        <v>22.857499999999998</v>
      </c>
      <c r="AE479" s="1698">
        <f t="shared" si="282"/>
        <v>22.857499999999998</v>
      </c>
      <c r="AF479" s="1698">
        <f t="shared" si="282"/>
        <v>22.857499999999998</v>
      </c>
      <c r="AG479" s="1698">
        <f t="shared" si="282"/>
        <v>22.857499999999998</v>
      </c>
      <c r="AH479" s="1293"/>
      <c r="AI479" s="1293"/>
      <c r="AJ479" s="1293"/>
      <c r="AK479" s="1293"/>
      <c r="AL479" s="1293"/>
      <c r="AM479" s="1293"/>
      <c r="AN479" s="1293"/>
      <c r="AO479" s="1293"/>
      <c r="AP479" s="1293"/>
      <c r="AQ479" s="1293"/>
      <c r="AR479" s="1293"/>
      <c r="AS479" s="1293"/>
    </row>
    <row r="480" spans="1:45" ht="15.75">
      <c r="A480" s="1331" t="str">
        <f t="shared" si="276"/>
        <v>Lux 32</v>
      </c>
      <c r="B480" s="1331"/>
      <c r="C480" s="1331"/>
      <c r="D480" s="1331"/>
      <c r="E480" s="1331"/>
      <c r="F480" s="1331"/>
      <c r="G480" s="1331"/>
      <c r="H480" s="1331"/>
      <c r="I480" s="1331"/>
      <c r="J480" s="1331"/>
      <c r="K480" s="1705"/>
      <c r="L480" s="1331"/>
      <c r="M480" s="1331"/>
      <c r="N480" s="1331"/>
      <c r="O480" s="1331"/>
      <c r="P480" s="1331"/>
      <c r="Q480" s="1331"/>
      <c r="R480" s="1331"/>
      <c r="S480" s="1331"/>
      <c r="T480" s="1331"/>
      <c r="U480" s="1331"/>
      <c r="V480" s="1331"/>
      <c r="W480" s="1331"/>
      <c r="X480" s="1331"/>
      <c r="Y480" s="1702">
        <f>$D448*Y448</f>
        <v>0</v>
      </c>
      <c r="Z480" s="1702">
        <f>$D448*Z448</f>
        <v>0</v>
      </c>
      <c r="AA480" s="1702">
        <f>$D448*AA448*3/4</f>
        <v>24.890625</v>
      </c>
      <c r="AB480" s="1702">
        <f t="shared" ref="AB480:AG480" si="283">$D448*AB448</f>
        <v>33.1875</v>
      </c>
      <c r="AC480" s="1702">
        <f t="shared" si="283"/>
        <v>33.1875</v>
      </c>
      <c r="AD480" s="1702">
        <f t="shared" si="283"/>
        <v>33.1875</v>
      </c>
      <c r="AE480" s="1702">
        <f t="shared" si="283"/>
        <v>33.1875</v>
      </c>
      <c r="AF480" s="1702">
        <f t="shared" si="283"/>
        <v>33.1875</v>
      </c>
      <c r="AG480" s="1702">
        <f t="shared" si="283"/>
        <v>33.1875</v>
      </c>
      <c r="AH480" s="1293"/>
      <c r="AI480" s="1293"/>
      <c r="AJ480" s="1293"/>
      <c r="AK480" s="1293"/>
      <c r="AL480" s="1293"/>
      <c r="AM480" s="1293"/>
      <c r="AN480" s="1293"/>
      <c r="AO480" s="1293"/>
      <c r="AP480" s="1293"/>
      <c r="AQ480" s="1293"/>
      <c r="AR480" s="1293"/>
      <c r="AS480" s="1293"/>
    </row>
    <row r="481" spans="1:45" ht="15.75">
      <c r="A481" s="1334" t="s">
        <v>8168</v>
      </c>
      <c r="B481" s="1957"/>
      <c r="C481" s="1334"/>
      <c r="D481" s="1957"/>
      <c r="E481" s="1334"/>
      <c r="F481" s="1334"/>
      <c r="G481" s="1334"/>
      <c r="H481" s="1334"/>
      <c r="I481" s="1334"/>
      <c r="J481" s="1334"/>
      <c r="K481" s="1713"/>
      <c r="L481" s="1334"/>
      <c r="M481" s="1334"/>
      <c r="N481" s="1334"/>
      <c r="O481" s="1334"/>
      <c r="P481" s="1334"/>
      <c r="Q481" s="1334"/>
      <c r="R481" s="1334"/>
      <c r="S481" s="1334"/>
      <c r="T481" s="1334"/>
      <c r="U481" s="1334"/>
      <c r="V481" s="1334"/>
      <c r="W481" s="1334"/>
      <c r="X481" s="1334"/>
      <c r="Y481" s="1958">
        <f t="shared" ref="Y481:AG481" si="284">SUM(Y474:Y480)</f>
        <v>134.60974999999999</v>
      </c>
      <c r="Z481" s="1958">
        <f t="shared" si="284"/>
        <v>123.43375</v>
      </c>
      <c r="AA481" s="1958">
        <f t="shared" si="284"/>
        <v>148.324375</v>
      </c>
      <c r="AB481" s="1958">
        <f>SUM(AB474:AB480)</f>
        <v>156.62125</v>
      </c>
      <c r="AC481" s="1958">
        <f t="shared" si="284"/>
        <v>156.62125</v>
      </c>
      <c r="AD481" s="1958">
        <f t="shared" si="284"/>
        <v>156.62125</v>
      </c>
      <c r="AE481" s="1958">
        <f t="shared" si="284"/>
        <v>156.62125</v>
      </c>
      <c r="AF481" s="1958">
        <f t="shared" si="284"/>
        <v>156.62125</v>
      </c>
      <c r="AG481" s="1958">
        <f t="shared" si="284"/>
        <v>156.62125</v>
      </c>
      <c r="AH481" s="1293"/>
      <c r="AI481" s="1293"/>
      <c r="AJ481" s="1293"/>
      <c r="AK481" s="1293"/>
      <c r="AL481" s="1293"/>
      <c r="AM481" s="1293"/>
      <c r="AN481" s="1293"/>
      <c r="AO481" s="1293"/>
      <c r="AP481" s="1293"/>
      <c r="AQ481" s="1293"/>
      <c r="AR481" s="1293"/>
      <c r="AS481" s="1293"/>
    </row>
    <row r="482" spans="1:45" ht="15.75">
      <c r="A482" s="1293" t="str">
        <f t="shared" ref="A482:A488" si="285">A450</f>
        <v>Para 27</v>
      </c>
      <c r="B482" s="1957"/>
      <c r="C482" s="1334"/>
      <c r="D482" s="1957"/>
      <c r="E482" s="1334"/>
      <c r="F482" s="1334"/>
      <c r="G482" s="1334"/>
      <c r="H482" s="1334"/>
      <c r="I482" s="1334"/>
      <c r="J482" s="1334"/>
      <c r="K482" s="1713"/>
      <c r="L482" s="1334"/>
      <c r="M482" s="1334"/>
      <c r="N482" s="1334"/>
      <c r="O482" s="1334"/>
      <c r="P482" s="1334"/>
      <c r="Q482" s="1334"/>
      <c r="R482" s="1334"/>
      <c r="S482" s="1334"/>
      <c r="T482" s="1334"/>
      <c r="U482" s="1334"/>
      <c r="V482" s="1334"/>
      <c r="W482" s="1334"/>
      <c r="X482" s="1334"/>
      <c r="Y482" s="1698">
        <f t="shared" ref="Y482:AG482" si="286">$D450*Y450</f>
        <v>29.844999999999999</v>
      </c>
      <c r="Z482" s="1698">
        <f t="shared" si="286"/>
        <v>29.786249999999999</v>
      </c>
      <c r="AA482" s="1698">
        <f t="shared" si="286"/>
        <v>29.786249999999999</v>
      </c>
      <c r="AB482" s="1698">
        <f t="shared" si="286"/>
        <v>29.786249999999999</v>
      </c>
      <c r="AC482" s="1698">
        <f t="shared" si="286"/>
        <v>29.786249999999999</v>
      </c>
      <c r="AD482" s="1698">
        <f t="shared" si="286"/>
        <v>29.786249999999999</v>
      </c>
      <c r="AE482" s="1698">
        <f t="shared" si="286"/>
        <v>29.786249999999999</v>
      </c>
      <c r="AF482" s="1698">
        <f t="shared" si="286"/>
        <v>29.786249999999999</v>
      </c>
      <c r="AG482" s="1698">
        <f t="shared" si="286"/>
        <v>29.786249999999999</v>
      </c>
      <c r="AH482" s="1293"/>
      <c r="AI482" s="1293"/>
      <c r="AJ482" s="1293"/>
      <c r="AK482" s="1293"/>
      <c r="AL482" s="1293"/>
      <c r="AM482" s="1293"/>
      <c r="AN482" s="1293"/>
      <c r="AO482" s="1293"/>
      <c r="AP482" s="1293"/>
      <c r="AQ482" s="1293"/>
      <c r="AR482" s="1293"/>
      <c r="AS482" s="1293"/>
    </row>
    <row r="483" spans="1:45" ht="15.75">
      <c r="A483" s="1293" t="str">
        <f t="shared" si="285"/>
        <v>Bolivia (bunch)</v>
      </c>
      <c r="B483" s="1957"/>
      <c r="C483" s="1334"/>
      <c r="D483" s="1957"/>
      <c r="E483" s="1334"/>
      <c r="F483" s="1334"/>
      <c r="G483" s="1334"/>
      <c r="H483" s="1334"/>
      <c r="I483" s="1334"/>
      <c r="J483" s="1334"/>
      <c r="K483" s="1713"/>
      <c r="L483" s="1334"/>
      <c r="M483" s="1334"/>
      <c r="N483" s="1334"/>
      <c r="O483" s="1334"/>
      <c r="P483" s="1334"/>
      <c r="Q483" s="1334"/>
      <c r="R483" s="1334"/>
      <c r="S483" s="1334"/>
      <c r="T483" s="1334"/>
      <c r="U483" s="1334"/>
      <c r="V483" s="1334"/>
      <c r="W483" s="1334"/>
      <c r="X483" s="1334"/>
      <c r="Y483" s="1698">
        <f t="shared" ref="Y483:AG483" si="287">$D451*Y451</f>
        <v>10.78</v>
      </c>
      <c r="Z483" s="1698">
        <f t="shared" si="287"/>
        <v>10.119999999999999</v>
      </c>
      <c r="AA483" s="1698">
        <f t="shared" si="287"/>
        <v>10.119999999999999</v>
      </c>
      <c r="AB483" s="1698">
        <f t="shared" si="287"/>
        <v>10.119999999999999</v>
      </c>
      <c r="AC483" s="1698">
        <f t="shared" si="287"/>
        <v>10.119999999999999</v>
      </c>
      <c r="AD483" s="1698">
        <f t="shared" si="287"/>
        <v>10.119999999999999</v>
      </c>
      <c r="AE483" s="1698">
        <f t="shared" si="287"/>
        <v>10.119999999999999</v>
      </c>
      <c r="AF483" s="1698">
        <f t="shared" si="287"/>
        <v>10.119999999999999</v>
      </c>
      <c r="AG483" s="1698">
        <f t="shared" si="287"/>
        <v>10.119999999999999</v>
      </c>
      <c r="AH483" s="1293"/>
      <c r="AI483" s="1293"/>
      <c r="AJ483" s="1293"/>
      <c r="AK483" s="1293"/>
      <c r="AL483" s="1293"/>
      <c r="AM483" s="1293"/>
      <c r="AN483" s="1293"/>
      <c r="AO483" s="1293"/>
      <c r="AP483" s="1293"/>
      <c r="AQ483" s="1293"/>
      <c r="AR483" s="1293"/>
      <c r="AS483" s="1293"/>
    </row>
    <row r="484" spans="1:45" ht="15.75">
      <c r="A484" s="1293" t="str">
        <f t="shared" si="285"/>
        <v>Colombia / UNE (bunch)</v>
      </c>
      <c r="B484" s="1957"/>
      <c r="C484" s="1334"/>
      <c r="D484" s="1957"/>
      <c r="E484" s="1334"/>
      <c r="F484" s="1334"/>
      <c r="G484" s="1334"/>
      <c r="H484" s="1334"/>
      <c r="I484" s="1334"/>
      <c r="J484" s="1334"/>
      <c r="K484" s="1713"/>
      <c r="L484" s="1334"/>
      <c r="M484" s="1334"/>
      <c r="N484" s="1334"/>
      <c r="O484" s="1334"/>
      <c r="P484" s="1334"/>
      <c r="Q484" s="1334"/>
      <c r="R484" s="1334"/>
      <c r="S484" s="1334"/>
      <c r="T484" s="1334"/>
      <c r="U484" s="1334"/>
      <c r="V484" s="1334"/>
      <c r="W484" s="1334"/>
      <c r="X484" s="1334"/>
      <c r="Y484" s="1698">
        <f t="shared" ref="Y484:AG484" si="288">$D452*Y452</f>
        <v>31.790000000000003</v>
      </c>
      <c r="Z484" s="1698">
        <f t="shared" si="288"/>
        <v>34.340000000000003</v>
      </c>
      <c r="AA484" s="1698">
        <f t="shared" si="288"/>
        <v>34.340000000000003</v>
      </c>
      <c r="AB484" s="1698">
        <f t="shared" si="288"/>
        <v>34.340000000000003</v>
      </c>
      <c r="AC484" s="1698">
        <f t="shared" si="288"/>
        <v>34.340000000000003</v>
      </c>
      <c r="AD484" s="1698">
        <f t="shared" si="288"/>
        <v>34.340000000000003</v>
      </c>
      <c r="AE484" s="1698">
        <f t="shared" si="288"/>
        <v>34.340000000000003</v>
      </c>
      <c r="AF484" s="1698">
        <f t="shared" si="288"/>
        <v>34.340000000000003</v>
      </c>
      <c r="AG484" s="1698">
        <f t="shared" si="288"/>
        <v>34.340000000000003</v>
      </c>
      <c r="AH484" s="1293"/>
      <c r="AI484" s="1293"/>
      <c r="AJ484" s="1293"/>
      <c r="AK484" s="1293"/>
      <c r="AL484" s="1293"/>
      <c r="AM484" s="1293"/>
      <c r="AN484" s="1293"/>
      <c r="AO484" s="1293"/>
      <c r="AP484" s="1293"/>
      <c r="AQ484" s="1293"/>
      <c r="AR484" s="1293"/>
      <c r="AS484" s="1293"/>
    </row>
    <row r="485" spans="1:45" ht="15.75">
      <c r="A485" s="1293" t="str">
        <f t="shared" si="285"/>
        <v>Colombia / UNE (bunch)</v>
      </c>
      <c r="B485" s="1957"/>
      <c r="C485" s="1334"/>
      <c r="D485" s="1957"/>
      <c r="E485" s="1334"/>
      <c r="F485" s="1334"/>
      <c r="G485" s="1334"/>
      <c r="H485" s="1334"/>
      <c r="I485" s="1334"/>
      <c r="J485" s="1334"/>
      <c r="K485" s="1713"/>
      <c r="L485" s="1334"/>
      <c r="M485" s="1334"/>
      <c r="N485" s="1334"/>
      <c r="O485" s="1334"/>
      <c r="P485" s="1334"/>
      <c r="Q485" s="1334"/>
      <c r="R485" s="1334"/>
      <c r="S485" s="1334"/>
      <c r="T485" s="1334"/>
      <c r="U485" s="1334"/>
      <c r="V485" s="1334"/>
      <c r="W485" s="1334"/>
      <c r="X485" s="1334"/>
      <c r="Y485" s="1698">
        <f t="shared" ref="Y485:AG485" si="289">$D453*Y453</f>
        <v>5.2799999999999994</v>
      </c>
      <c r="Z485" s="1698">
        <f t="shared" si="289"/>
        <v>4.1399999999999997</v>
      </c>
      <c r="AA485" s="1698">
        <f t="shared" si="289"/>
        <v>4.1399999999999997</v>
      </c>
      <c r="AB485" s="1698">
        <f t="shared" si="289"/>
        <v>4.1399999999999997</v>
      </c>
      <c r="AC485" s="1698">
        <f t="shared" si="289"/>
        <v>4.1399999999999997</v>
      </c>
      <c r="AD485" s="1698">
        <f t="shared" si="289"/>
        <v>4.1399999999999997</v>
      </c>
      <c r="AE485" s="1698">
        <f t="shared" si="289"/>
        <v>4.1399999999999997</v>
      </c>
      <c r="AF485" s="1698">
        <f t="shared" si="289"/>
        <v>4.1399999999999997</v>
      </c>
      <c r="AG485" s="1698">
        <f t="shared" si="289"/>
        <v>4.1399999999999997</v>
      </c>
      <c r="AH485" s="1293"/>
      <c r="AI485" s="1293"/>
      <c r="AJ485" s="1293"/>
      <c r="AK485" s="1293"/>
      <c r="AL485" s="1293"/>
      <c r="AM485" s="1293"/>
      <c r="AN485" s="1293"/>
      <c r="AO485" s="1293"/>
      <c r="AP485" s="1293"/>
      <c r="AQ485" s="1293"/>
      <c r="AR485" s="1293"/>
      <c r="AS485" s="1293"/>
    </row>
    <row r="486" spans="1:45" ht="15.75">
      <c r="A486" s="1293" t="str">
        <f t="shared" si="285"/>
        <v>Panama 30</v>
      </c>
      <c r="B486" s="1957"/>
      <c r="C486" s="1334"/>
      <c r="D486" s="1957"/>
      <c r="E486" s="1334"/>
      <c r="F486" s="1334"/>
      <c r="G486" s="1334"/>
      <c r="H486" s="1334"/>
      <c r="I486" s="1334"/>
      <c r="J486" s="1334"/>
      <c r="K486" s="1713"/>
      <c r="L486" s="1334"/>
      <c r="M486" s="1334"/>
      <c r="N486" s="1334"/>
      <c r="O486" s="1334"/>
      <c r="P486" s="1334"/>
      <c r="Q486" s="1334"/>
      <c r="R486" s="1334"/>
      <c r="S486" s="1334"/>
      <c r="T486" s="1334"/>
      <c r="U486" s="1334"/>
      <c r="V486" s="1334"/>
      <c r="W486" s="1334"/>
      <c r="X486" s="1334"/>
      <c r="Y486" s="1698">
        <f t="shared" ref="Y486:AG486" si="290">$D454*Y454</f>
        <v>26.504999999999999</v>
      </c>
      <c r="Z486" s="1698">
        <f t="shared" si="290"/>
        <v>25.875</v>
      </c>
      <c r="AA486" s="1698">
        <f t="shared" si="290"/>
        <v>25.875</v>
      </c>
      <c r="AB486" s="1698">
        <f t="shared" si="290"/>
        <v>25.875</v>
      </c>
      <c r="AC486" s="1698">
        <f t="shared" si="290"/>
        <v>25.875</v>
      </c>
      <c r="AD486" s="1698">
        <f t="shared" si="290"/>
        <v>25.875</v>
      </c>
      <c r="AE486" s="1698">
        <f t="shared" si="290"/>
        <v>25.875</v>
      </c>
      <c r="AF486" s="1698">
        <f t="shared" si="290"/>
        <v>25.875</v>
      </c>
      <c r="AG486" s="1698">
        <f t="shared" si="290"/>
        <v>25.875</v>
      </c>
      <c r="AH486" s="1293"/>
      <c r="AI486" s="1293"/>
      <c r="AJ486" s="1293"/>
      <c r="AK486" s="1293"/>
      <c r="AL486" s="1293"/>
      <c r="AM486" s="1293"/>
      <c r="AN486" s="1293"/>
      <c r="AO486" s="1293"/>
      <c r="AP486" s="1293"/>
      <c r="AQ486" s="1293"/>
      <c r="AR486" s="1293"/>
      <c r="AS486" s="1293"/>
    </row>
    <row r="487" spans="1:45" ht="15.75">
      <c r="A487" s="1331" t="str">
        <f t="shared" si="285"/>
        <v>Guat 32</v>
      </c>
      <c r="B487" s="1962"/>
      <c r="C487" s="1324"/>
      <c r="D487" s="1962"/>
      <c r="E487" s="1324"/>
      <c r="F487" s="1324"/>
      <c r="G487" s="1324"/>
      <c r="H487" s="1324"/>
      <c r="I487" s="1324"/>
      <c r="J487" s="1324"/>
      <c r="K487" s="1919"/>
      <c r="L487" s="1324"/>
      <c r="M487" s="1324"/>
      <c r="N487" s="1324"/>
      <c r="O487" s="1324"/>
      <c r="P487" s="1324"/>
      <c r="Q487" s="1324"/>
      <c r="R487" s="1324"/>
      <c r="S487" s="1324"/>
      <c r="T487" s="1324"/>
      <c r="U487" s="1324"/>
      <c r="V487" s="1324"/>
      <c r="W487" s="1324"/>
      <c r="X487" s="1324"/>
      <c r="Y487" s="1702">
        <f t="shared" ref="Y487:AG487" si="291">$D455*Y455</f>
        <v>44.587499999999999</v>
      </c>
      <c r="Z487" s="1702">
        <f t="shared" si="291"/>
        <v>42.178750000000001</v>
      </c>
      <c r="AA487" s="1702">
        <f t="shared" si="291"/>
        <v>42.178750000000001</v>
      </c>
      <c r="AB487" s="1702">
        <f t="shared" si="291"/>
        <v>42.178750000000001</v>
      </c>
      <c r="AC487" s="1702">
        <f t="shared" si="291"/>
        <v>42.178750000000001</v>
      </c>
      <c r="AD487" s="1702">
        <f t="shared" si="291"/>
        <v>42.178750000000001</v>
      </c>
      <c r="AE487" s="1702">
        <f t="shared" si="291"/>
        <v>42.178750000000001</v>
      </c>
      <c r="AF487" s="1702">
        <f t="shared" si="291"/>
        <v>42.178750000000001</v>
      </c>
      <c r="AG487" s="1702">
        <f t="shared" si="291"/>
        <v>42.178750000000001</v>
      </c>
      <c r="AH487" s="1293"/>
      <c r="AI487" s="1293"/>
      <c r="AJ487" s="1293"/>
      <c r="AK487" s="1293"/>
      <c r="AL487" s="1293"/>
      <c r="AM487" s="1293"/>
      <c r="AN487" s="1293"/>
      <c r="AO487" s="1293"/>
      <c r="AP487" s="1293"/>
      <c r="AQ487" s="1293"/>
      <c r="AR487" s="1293">
        <v>324</v>
      </c>
      <c r="AS487" s="1293"/>
    </row>
    <row r="488" spans="1:45" ht="15.75">
      <c r="A488" s="1334" t="str">
        <f t="shared" si="285"/>
        <v>Op co bonds</v>
      </c>
      <c r="B488" s="1293"/>
      <c r="C488" s="1293"/>
      <c r="D488" s="1293"/>
      <c r="E488" s="1293"/>
      <c r="F488" s="1293"/>
      <c r="G488" s="1293"/>
      <c r="H488" s="1293"/>
      <c r="I488" s="1293"/>
      <c r="J488" s="1293"/>
      <c r="K488" s="1675"/>
      <c r="L488" s="1293"/>
      <c r="M488" s="1293"/>
      <c r="N488" s="1293"/>
      <c r="O488" s="1293"/>
      <c r="P488" s="1293"/>
      <c r="Q488" s="1293"/>
      <c r="R488" s="1293"/>
      <c r="S488" s="1293"/>
      <c r="T488" s="1293"/>
      <c r="U488" s="1293"/>
      <c r="V488" s="1293"/>
      <c r="W488" s="1293"/>
      <c r="X488" s="1293"/>
      <c r="Y488" s="1963">
        <f t="shared" ref="Y488:AG488" si="292">SUM(Y482:Y487)</f>
        <v>148.78749999999999</v>
      </c>
      <c r="Z488" s="1963">
        <f t="shared" si="292"/>
        <v>146.44</v>
      </c>
      <c r="AA488" s="1963">
        <f t="shared" si="292"/>
        <v>146.44</v>
      </c>
      <c r="AB488" s="1963">
        <f t="shared" si="292"/>
        <v>146.44</v>
      </c>
      <c r="AC488" s="1963">
        <f t="shared" si="292"/>
        <v>146.44</v>
      </c>
      <c r="AD488" s="1963">
        <f t="shared" si="292"/>
        <v>146.44</v>
      </c>
      <c r="AE488" s="1963">
        <f t="shared" si="292"/>
        <v>146.44</v>
      </c>
      <c r="AF488" s="1963">
        <f t="shared" si="292"/>
        <v>146.44</v>
      </c>
      <c r="AG488" s="1963">
        <f t="shared" si="292"/>
        <v>146.44</v>
      </c>
      <c r="AH488" s="1293"/>
      <c r="AI488" s="1293"/>
      <c r="AJ488" s="1293"/>
      <c r="AK488" s="1293"/>
      <c r="AL488" s="1293"/>
      <c r="AM488" s="1293"/>
      <c r="AN488" s="1293"/>
      <c r="AO488" s="1293"/>
      <c r="AP488" s="1293"/>
      <c r="AQ488" s="1293"/>
      <c r="AR488" s="1293">
        <f>AM491</f>
        <v>449</v>
      </c>
      <c r="AS488" s="1293"/>
    </row>
    <row r="489" spans="1:45" ht="15.75">
      <c r="A489" s="1334"/>
      <c r="B489" s="1293"/>
      <c r="C489" s="1293"/>
      <c r="D489" s="1293"/>
      <c r="E489" s="1293"/>
      <c r="F489" s="1293"/>
      <c r="G489" s="1293"/>
      <c r="H489" s="1293"/>
      <c r="I489" s="1293"/>
      <c r="J489" s="1293"/>
      <c r="K489" s="1675"/>
      <c r="L489" s="1293"/>
      <c r="M489" s="1293"/>
      <c r="N489" s="1293"/>
      <c r="O489" s="1293"/>
      <c r="P489" s="1293"/>
      <c r="Q489" s="1293"/>
      <c r="R489" s="1293"/>
      <c r="S489" s="1293"/>
      <c r="T489" s="1293"/>
      <c r="U489" s="1293"/>
      <c r="V489" s="1293"/>
      <c r="W489" s="1293"/>
      <c r="X489" s="1293"/>
      <c r="Y489" s="1293"/>
      <c r="Z489" s="1293"/>
      <c r="AA489" s="1293"/>
      <c r="AB489" s="1293"/>
      <c r="AC489" s="1293"/>
      <c r="AD489" s="1293"/>
      <c r="AE489" s="1293"/>
      <c r="AF489" s="1293"/>
      <c r="AG489" s="1293"/>
      <c r="AH489" s="1293"/>
      <c r="AI489" s="1293"/>
      <c r="AJ489" s="1293"/>
      <c r="AK489" s="1293"/>
      <c r="AL489" s="1293"/>
      <c r="AM489" s="1293"/>
      <c r="AN489" s="1293"/>
      <c r="AO489" s="1293"/>
      <c r="AP489" s="1293"/>
      <c r="AQ489" s="1293"/>
      <c r="AR489" s="1293">
        <f>AR487+AR488</f>
        <v>773</v>
      </c>
      <c r="AS489" s="1293"/>
    </row>
    <row r="490" spans="1:45" ht="15.75">
      <c r="A490" s="1334" t="str">
        <f>A458</f>
        <v>Bank loans</v>
      </c>
      <c r="B490" s="1293"/>
      <c r="C490" s="1293"/>
      <c r="D490" s="1293"/>
      <c r="E490" s="1293"/>
      <c r="F490" s="1293"/>
      <c r="G490" s="1293"/>
      <c r="H490" s="1293"/>
      <c r="I490" s="1293"/>
      <c r="J490" s="1293"/>
      <c r="K490" s="1675"/>
      <c r="L490" s="1293"/>
      <c r="M490" s="1293"/>
      <c r="N490" s="1293"/>
      <c r="O490" s="1293"/>
      <c r="P490" s="1293"/>
      <c r="Q490" s="1293"/>
      <c r="R490" s="1293"/>
      <c r="S490" s="1293"/>
      <c r="T490" s="1293"/>
      <c r="U490" s="1293"/>
      <c r="V490" s="1293"/>
      <c r="W490" s="1293"/>
      <c r="X490" s="1293"/>
      <c r="Y490" s="1963">
        <f t="shared" ref="Y490:AG490" si="293">$D458*Y458</f>
        <v>85.215000000000003</v>
      </c>
      <c r="Z490" s="1963">
        <f t="shared" si="293"/>
        <v>89.822500000000005</v>
      </c>
      <c r="AA490" s="1963">
        <f>$D458*AA458</f>
        <v>80.322500000000005</v>
      </c>
      <c r="AB490" s="1963">
        <f t="shared" si="293"/>
        <v>80.322500000000005</v>
      </c>
      <c r="AC490" s="1963">
        <f t="shared" si="293"/>
        <v>80.322500000000005</v>
      </c>
      <c r="AD490" s="1963">
        <f t="shared" si="293"/>
        <v>80.322500000000005</v>
      </c>
      <c r="AE490" s="1963">
        <f t="shared" si="293"/>
        <v>80.322500000000005</v>
      </c>
      <c r="AF490" s="1963">
        <f t="shared" si="293"/>
        <v>80.322500000000005</v>
      </c>
      <c r="AG490" s="1963">
        <f t="shared" si="293"/>
        <v>80.322500000000005</v>
      </c>
      <c r="AH490" s="1293"/>
      <c r="AI490" s="1293"/>
      <c r="AJ490" s="1293"/>
      <c r="AK490" s="1293"/>
      <c r="AL490" s="1293"/>
      <c r="AM490" s="1334">
        <v>2024</v>
      </c>
      <c r="AN490" s="1334">
        <v>2023</v>
      </c>
      <c r="AO490" s="1293"/>
      <c r="AP490" s="1293"/>
      <c r="AQ490" s="1293"/>
      <c r="AR490" s="1293"/>
      <c r="AS490" s="1293"/>
    </row>
    <row r="491" spans="1:45" ht="15.75">
      <c r="A491" s="1293" t="s">
        <v>1540</v>
      </c>
      <c r="B491" s="1293"/>
      <c r="C491" s="1293"/>
      <c r="D491" s="1293"/>
      <c r="E491" s="1293"/>
      <c r="F491" s="1293"/>
      <c r="G491" s="1293"/>
      <c r="H491" s="1293"/>
      <c r="I491" s="1293"/>
      <c r="J491" s="1293"/>
      <c r="K491" s="1675"/>
      <c r="L491" s="1293"/>
      <c r="M491" s="1293"/>
      <c r="N491" s="1293"/>
      <c r="O491" s="1293"/>
      <c r="P491" s="1293"/>
      <c r="Q491" s="1293"/>
      <c r="R491" s="1293"/>
      <c r="S491" s="1293"/>
      <c r="T491" s="1293"/>
      <c r="U491" s="1293"/>
      <c r="V491" s="1293"/>
      <c r="W491" s="1293"/>
      <c r="X491" s="1293"/>
      <c r="Y491" s="1698">
        <f>Y493-Y490-Y488-Y481</f>
        <v>65.387749999999983</v>
      </c>
      <c r="Z491" s="1698">
        <f>Z493-Z490-Z488-Z481</f>
        <v>117.30375000000001</v>
      </c>
      <c r="AA491" s="1698">
        <f>AA493-AA490-AA488-AA481</f>
        <v>73.913125000000008</v>
      </c>
      <c r="AB491" s="1869">
        <v>60</v>
      </c>
      <c r="AC491" s="1869">
        <v>60</v>
      </c>
      <c r="AD491" s="1869">
        <v>60</v>
      </c>
      <c r="AE491" s="1869">
        <v>60</v>
      </c>
      <c r="AF491" s="1869">
        <v>60</v>
      </c>
      <c r="AG491" s="1869">
        <v>60</v>
      </c>
      <c r="AH491" s="1293"/>
      <c r="AI491" s="1293"/>
      <c r="AJ491" s="1293"/>
      <c r="AK491" s="1293"/>
      <c r="AL491" s="1293" t="s">
        <v>9161</v>
      </c>
      <c r="AM491" s="1293">
        <v>449</v>
      </c>
      <c r="AN491" s="1293">
        <v>477</v>
      </c>
      <c r="AO491" s="1293"/>
      <c r="AP491" s="1293"/>
      <c r="AQ491" s="1293"/>
      <c r="AR491" s="1293"/>
      <c r="AS491" s="1293"/>
    </row>
    <row r="492" spans="1:45" ht="15.75">
      <c r="A492" s="1293"/>
      <c r="B492" s="1293"/>
      <c r="C492" s="1293"/>
      <c r="D492" s="1293"/>
      <c r="E492" s="1293"/>
      <c r="F492" s="1293"/>
      <c r="G492" s="1293"/>
      <c r="H492" s="1293"/>
      <c r="I492" s="1293"/>
      <c r="J492" s="1293"/>
      <c r="K492" s="1675"/>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c r="AH492" s="1293"/>
      <c r="AI492" s="1293"/>
      <c r="AJ492" s="1293"/>
      <c r="AK492" s="1293"/>
      <c r="AL492" s="1293" t="s">
        <v>9162</v>
      </c>
      <c r="AM492" s="1293">
        <v>122</v>
      </c>
      <c r="AN492" s="1293">
        <v>117</v>
      </c>
      <c r="AO492" s="1293"/>
      <c r="AP492" s="2521" t="s">
        <v>856</v>
      </c>
      <c r="AQ492" s="1293"/>
      <c r="AR492" s="1293"/>
      <c r="AS492" s="1293"/>
    </row>
    <row r="493" spans="1:45" ht="15.75">
      <c r="A493" s="1363" t="s">
        <v>8178</v>
      </c>
      <c r="B493" s="1833"/>
      <c r="C493" s="1833"/>
      <c r="D493" s="1833"/>
      <c r="E493" s="1833"/>
      <c r="F493" s="1833"/>
      <c r="G493" s="1833"/>
      <c r="H493" s="1833"/>
      <c r="I493" s="1833"/>
      <c r="J493" s="1833"/>
      <c r="K493" s="1910"/>
      <c r="L493" s="1833"/>
      <c r="M493" s="1833"/>
      <c r="N493" s="1833"/>
      <c r="O493" s="1833"/>
      <c r="P493" s="1833"/>
      <c r="Q493" s="1833"/>
      <c r="R493" s="1833"/>
      <c r="S493" s="1833"/>
      <c r="T493" s="1833"/>
      <c r="U493" s="1833"/>
      <c r="V493" s="1833"/>
      <c r="W493" s="1833"/>
      <c r="X493" s="1960">
        <v>329</v>
      </c>
      <c r="Y493" s="1960">
        <v>434</v>
      </c>
      <c r="Z493" s="1960">
        <v>477</v>
      </c>
      <c r="AA493" s="1960">
        <v>449</v>
      </c>
      <c r="AB493" s="1964">
        <f t="shared" ref="AB493:AG493" si="294">AB481+AB488+AB490+AB491</f>
        <v>443.38374999999996</v>
      </c>
      <c r="AC493" s="1964">
        <f t="shared" si="294"/>
        <v>443.38374999999996</v>
      </c>
      <c r="AD493" s="1964">
        <f t="shared" si="294"/>
        <v>443.38374999999996</v>
      </c>
      <c r="AE493" s="1964">
        <f t="shared" si="294"/>
        <v>443.38374999999996</v>
      </c>
      <c r="AF493" s="1964">
        <f t="shared" si="294"/>
        <v>443.38374999999996</v>
      </c>
      <c r="AG493" s="1964">
        <f t="shared" si="294"/>
        <v>443.38374999999996</v>
      </c>
      <c r="AH493" s="1293"/>
      <c r="AI493" s="1293"/>
      <c r="AJ493" s="1293"/>
      <c r="AK493" s="1293"/>
      <c r="AL493" s="1293" t="s">
        <v>9163</v>
      </c>
      <c r="AM493" s="1293">
        <v>146</v>
      </c>
      <c r="AN493" s="1293">
        <v>118</v>
      </c>
      <c r="AO493" s="1293"/>
      <c r="AP493" s="1293"/>
      <c r="AQ493" s="1293"/>
      <c r="AR493" s="1293"/>
      <c r="AS493" s="1293"/>
    </row>
    <row r="494" spans="1:45" ht="15.75">
      <c r="A494" s="1293"/>
      <c r="B494" s="1293"/>
      <c r="C494" s="1293"/>
      <c r="D494" s="1293"/>
      <c r="E494" s="1293"/>
      <c r="F494" s="1293"/>
      <c r="G494" s="1293"/>
      <c r="H494" s="1293"/>
      <c r="I494" s="1293"/>
      <c r="J494" s="1293"/>
      <c r="K494" s="1675"/>
      <c r="L494" s="1293"/>
      <c r="M494" s="1293"/>
      <c r="N494" s="1293"/>
      <c r="O494" s="1293"/>
      <c r="P494" s="1293"/>
      <c r="Q494" s="1293"/>
      <c r="R494" s="1293"/>
      <c r="S494" s="1293"/>
      <c r="T494" s="1293"/>
      <c r="U494" s="1293"/>
      <c r="V494" s="1293"/>
      <c r="W494" s="1293"/>
      <c r="X494" s="2554" t="e">
        <f t="shared" ref="X494:Z494" si="295">X493/AVERAGE(W461:X461)</f>
        <v>#DIV/0!</v>
      </c>
      <c r="Y494" s="2554">
        <f t="shared" si="295"/>
        <v>6.3786008230452676E-2</v>
      </c>
      <c r="Z494" s="2554">
        <f t="shared" si="295"/>
        <v>7.0761014686248333E-2</v>
      </c>
      <c r="AA494" s="2554">
        <f>AA493/AVERAGE(Z461:AA461)</f>
        <v>7.1880252941647321E-2</v>
      </c>
      <c r="AB494" s="2554">
        <f t="shared" ref="AB494:AG494" si="296">AB493/AVERAGE(AA461:AB461)</f>
        <v>7.6248280309544281E-2</v>
      </c>
      <c r="AC494" s="2554">
        <f t="shared" si="296"/>
        <v>7.6248280309544281E-2</v>
      </c>
      <c r="AD494" s="2554">
        <f t="shared" si="296"/>
        <v>7.6248280309544281E-2</v>
      </c>
      <c r="AE494" s="2554">
        <f t="shared" si="296"/>
        <v>7.6248280309544281E-2</v>
      </c>
      <c r="AF494" s="2554">
        <f t="shared" si="296"/>
        <v>7.6248280309544281E-2</v>
      </c>
      <c r="AG494" s="2554">
        <f t="shared" si="296"/>
        <v>7.6248280309544281E-2</v>
      </c>
      <c r="AH494" s="1293"/>
      <c r="AI494" s="1293"/>
      <c r="AJ494" s="1293"/>
      <c r="AK494" s="1293"/>
      <c r="AL494" s="1293"/>
      <c r="AM494" s="1293">
        <f>AM491+AM492+AM493</f>
        <v>717</v>
      </c>
      <c r="AN494" s="1293">
        <f>AN491+AN492+AN493</f>
        <v>712</v>
      </c>
      <c r="AO494" s="1293"/>
      <c r="AP494" s="1293"/>
      <c r="AQ494" s="1293"/>
      <c r="AR494" s="1293"/>
      <c r="AS494" s="1293"/>
    </row>
    <row r="495" spans="1:45" ht="15.75">
      <c r="A495" s="1293" t="str">
        <f>A466</f>
        <v>Leases</v>
      </c>
      <c r="B495" s="1293"/>
      <c r="C495" s="1293"/>
      <c r="D495" s="1293"/>
      <c r="E495" s="1293"/>
      <c r="F495" s="1293"/>
      <c r="G495" s="1293"/>
      <c r="H495" s="1293"/>
      <c r="I495" s="1293"/>
      <c r="J495" s="1293"/>
      <c r="K495" s="1675"/>
      <c r="L495" s="1293"/>
      <c r="M495" s="1293"/>
      <c r="N495" s="1293"/>
      <c r="O495" s="1293"/>
      <c r="P495" s="1293"/>
      <c r="Q495" s="1293"/>
      <c r="R495" s="1293"/>
      <c r="S495" s="1293"/>
      <c r="T495" s="1293"/>
      <c r="U495" s="1293"/>
      <c r="V495" s="1293"/>
      <c r="W495" s="1717">
        <v>112</v>
      </c>
      <c r="X495" s="1717">
        <v>113</v>
      </c>
      <c r="Y495" s="1717">
        <v>124</v>
      </c>
      <c r="Z495" s="1717">
        <v>117</v>
      </c>
      <c r="AA495" s="1717">
        <v>122</v>
      </c>
      <c r="AB495" s="1698">
        <f t="shared" ref="AB495:AG495" si="297">$D466*AB466</f>
        <v>125.05</v>
      </c>
      <c r="AC495" s="1698">
        <f t="shared" si="297"/>
        <v>128.17624999999998</v>
      </c>
      <c r="AD495" s="1698">
        <f t="shared" si="297"/>
        <v>131.38065624999999</v>
      </c>
      <c r="AE495" s="1698">
        <f t="shared" si="297"/>
        <v>134.66517265624998</v>
      </c>
      <c r="AF495" s="1698">
        <f t="shared" si="297"/>
        <v>138.03180197265621</v>
      </c>
      <c r="AG495" s="1698">
        <f t="shared" si="297"/>
        <v>141.48259702197259</v>
      </c>
      <c r="AH495" s="1293"/>
      <c r="AI495" s="1293"/>
      <c r="AJ495" s="1293"/>
      <c r="AK495" s="1293"/>
      <c r="AL495" s="1293"/>
      <c r="AM495" s="1293"/>
      <c r="AN495" s="1293"/>
      <c r="AO495" s="1293"/>
      <c r="AP495" s="1293"/>
      <c r="AQ495" s="1293"/>
      <c r="AR495" s="1293"/>
      <c r="AS495" s="1293"/>
    </row>
    <row r="496" spans="1:45" ht="15.75">
      <c r="A496" s="1331" t="s">
        <v>1540</v>
      </c>
      <c r="B496" s="1331"/>
      <c r="C496" s="1331"/>
      <c r="D496" s="1331"/>
      <c r="E496" s="1331"/>
      <c r="F496" s="1331"/>
      <c r="G496" s="1331"/>
      <c r="H496" s="1331"/>
      <c r="I496" s="1331"/>
      <c r="J496" s="1331"/>
      <c r="K496" s="1705"/>
      <c r="L496" s="1331"/>
      <c r="M496" s="1331"/>
      <c r="N496" s="1331"/>
      <c r="O496" s="1331"/>
      <c r="P496" s="1331"/>
      <c r="Q496" s="1331"/>
      <c r="R496" s="1331"/>
      <c r="S496" s="1331"/>
      <c r="T496" s="1331"/>
      <c r="U496" s="1331"/>
      <c r="V496" s="1331"/>
      <c r="W496" s="1718">
        <f>W497-W495-W493</f>
        <v>448</v>
      </c>
      <c r="X496" s="1718">
        <f>X497-X495-X493</f>
        <v>53</v>
      </c>
      <c r="Y496" s="1718">
        <f>Y497-Y495-Y493</f>
        <v>59</v>
      </c>
      <c r="Z496" s="1718">
        <f>Z497-Z495-Z493</f>
        <v>118</v>
      </c>
      <c r="AA496" s="1718">
        <f>AA497-AA495-AA493</f>
        <v>145</v>
      </c>
      <c r="AB496" s="2519">
        <f>AA496</f>
        <v>145</v>
      </c>
      <c r="AC496" s="2519">
        <f t="shared" ref="AC496:AG496" si="298">AB496</f>
        <v>145</v>
      </c>
      <c r="AD496" s="2519">
        <f t="shared" si="298"/>
        <v>145</v>
      </c>
      <c r="AE496" s="2519">
        <f t="shared" si="298"/>
        <v>145</v>
      </c>
      <c r="AF496" s="2519">
        <f t="shared" si="298"/>
        <v>145</v>
      </c>
      <c r="AG496" s="2519">
        <f t="shared" si="298"/>
        <v>145</v>
      </c>
      <c r="AH496" s="1293"/>
      <c r="AI496" s="1293"/>
      <c r="AJ496" s="1293"/>
      <c r="AK496" s="1293"/>
      <c r="AL496" s="1293"/>
      <c r="AM496" s="1293"/>
      <c r="AN496" s="1293"/>
      <c r="AO496" s="1293"/>
      <c r="AP496" s="1293"/>
      <c r="AQ496" s="1293"/>
      <c r="AR496" s="1293"/>
      <c r="AS496" s="1293"/>
    </row>
    <row r="497" spans="1:45" ht="15.75">
      <c r="A497" s="1334" t="s">
        <v>2324</v>
      </c>
      <c r="B497" s="1334"/>
      <c r="C497" s="1334"/>
      <c r="D497" s="1334"/>
      <c r="E497" s="1334"/>
      <c r="F497" s="1334"/>
      <c r="G497" s="1334"/>
      <c r="H497" s="1334"/>
      <c r="I497" s="1334"/>
      <c r="J497" s="1334"/>
      <c r="K497" s="1713"/>
      <c r="L497" s="1334"/>
      <c r="M497" s="1334"/>
      <c r="N497" s="1334"/>
      <c r="O497" s="1334"/>
      <c r="P497" s="1334"/>
      <c r="Q497" s="1334"/>
      <c r="R497" s="1334"/>
      <c r="S497" s="1334"/>
      <c r="T497" s="1334"/>
      <c r="U497" s="1334"/>
      <c r="V497" s="1334"/>
      <c r="W497" s="1959">
        <v>560</v>
      </c>
      <c r="X497" s="1959">
        <v>495</v>
      </c>
      <c r="Y497" s="1959">
        <v>617</v>
      </c>
      <c r="Z497" s="1959">
        <v>712</v>
      </c>
      <c r="AA497" s="1959">
        <v>716</v>
      </c>
      <c r="AB497" s="1963">
        <f t="shared" ref="AB497:AG497" si="299">AB493+AB495+AB496</f>
        <v>713.43374999999992</v>
      </c>
      <c r="AC497" s="1963">
        <f t="shared" si="299"/>
        <v>716.56</v>
      </c>
      <c r="AD497" s="1963">
        <f t="shared" si="299"/>
        <v>719.76440624999998</v>
      </c>
      <c r="AE497" s="1963">
        <f t="shared" si="299"/>
        <v>723.04892265624994</v>
      </c>
      <c r="AF497" s="1963">
        <f t="shared" si="299"/>
        <v>726.4155519726562</v>
      </c>
      <c r="AG497" s="1963">
        <f t="shared" si="299"/>
        <v>729.86634702197262</v>
      </c>
      <c r="AH497" s="1293"/>
      <c r="AI497" s="1293"/>
      <c r="AJ497" s="1293"/>
      <c r="AK497" s="1293"/>
      <c r="AL497" s="1293" t="s">
        <v>9164</v>
      </c>
      <c r="AM497" s="1293">
        <v>456</v>
      </c>
      <c r="AN497" s="1293">
        <v>474</v>
      </c>
      <c r="AO497" s="1293"/>
      <c r="AP497" s="1293"/>
      <c r="AQ497" s="1293"/>
      <c r="AR497" s="1293"/>
      <c r="AS497" s="1293"/>
    </row>
    <row r="498" spans="1:45" ht="15.75">
      <c r="A498" s="1293"/>
      <c r="B498" s="1293"/>
      <c r="C498" s="1293"/>
      <c r="D498" s="1293"/>
      <c r="E498" s="1293"/>
      <c r="F498" s="1293"/>
      <c r="G498" s="1293"/>
      <c r="H498" s="1293"/>
      <c r="I498" s="1293"/>
      <c r="J498" s="1293"/>
      <c r="K498" s="1675"/>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3"/>
      <c r="AJ498" s="1293"/>
      <c r="AK498" s="1293"/>
      <c r="AL498" s="1293" t="s">
        <v>9165</v>
      </c>
      <c r="AM498" s="1293">
        <v>120</v>
      </c>
      <c r="AN498" s="1293">
        <v>115</v>
      </c>
      <c r="AO498" s="1293"/>
      <c r="AP498" s="2504" t="s">
        <v>9170</v>
      </c>
      <c r="AQ498" s="1293"/>
      <c r="AR498" s="1293"/>
      <c r="AS498" s="1293"/>
    </row>
    <row r="499" spans="1:45" ht="15.75">
      <c r="A499" s="1293"/>
      <c r="B499" s="1293"/>
      <c r="C499" s="1293"/>
      <c r="D499" s="1293"/>
      <c r="E499" s="1293"/>
      <c r="F499" s="1293"/>
      <c r="G499" s="1293"/>
      <c r="H499" s="1293"/>
      <c r="I499" s="1293"/>
      <c r="J499" s="1293"/>
      <c r="K499" s="1675"/>
      <c r="L499" s="1293"/>
      <c r="M499" s="1293"/>
      <c r="N499" s="1293"/>
      <c r="O499" s="1293"/>
      <c r="P499" s="1293"/>
      <c r="Q499" s="1293"/>
      <c r="R499" s="1293"/>
      <c r="S499" s="1293"/>
      <c r="T499" s="1293"/>
      <c r="U499" s="1293"/>
      <c r="V499" s="1293"/>
      <c r="W499" s="1293"/>
      <c r="X499" s="1293"/>
      <c r="Y499" s="1293"/>
      <c r="Z499" s="1293"/>
      <c r="AA499" s="1327"/>
      <c r="AB499" s="1293"/>
      <c r="AC499" s="1293"/>
      <c r="AD499" s="1293"/>
      <c r="AE499" s="1293"/>
      <c r="AF499" s="1293"/>
      <c r="AG499" s="1293"/>
      <c r="AH499" s="1293"/>
      <c r="AI499" s="1293"/>
      <c r="AJ499" s="1293"/>
      <c r="AK499" s="1293"/>
      <c r="AL499" s="1293" t="s">
        <v>9166</v>
      </c>
      <c r="AM499" s="1293">
        <v>204</v>
      </c>
      <c r="AN499" s="1293">
        <v>177</v>
      </c>
      <c r="AO499" s="1293"/>
      <c r="AP499" s="1293"/>
      <c r="AQ499" s="1293"/>
      <c r="AR499" s="1293"/>
      <c r="AS499" s="1293"/>
    </row>
    <row r="500" spans="1:45" ht="15.75">
      <c r="A500" s="1293"/>
      <c r="B500" s="1293"/>
      <c r="C500" s="1293"/>
      <c r="D500" s="1293"/>
      <c r="E500" s="1293"/>
      <c r="F500" s="1293"/>
      <c r="G500" s="1293"/>
      <c r="H500" s="1293"/>
      <c r="I500" s="1293"/>
      <c r="J500" s="1293"/>
      <c r="K500" s="1675"/>
      <c r="L500" s="1293"/>
      <c r="M500" s="1293"/>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c r="AH500" s="1293"/>
      <c r="AI500" s="1293"/>
      <c r="AJ500" s="1293"/>
      <c r="AK500" s="1293"/>
      <c r="AL500" s="1293"/>
      <c r="AM500" s="1293">
        <f>AM497+AM498+AM499</f>
        <v>780</v>
      </c>
      <c r="AN500" s="1293">
        <f>AN497+AN498+AN499</f>
        <v>766</v>
      </c>
      <c r="AO500" s="1293"/>
      <c r="AP500" s="1293"/>
      <c r="AQ500" s="1293"/>
      <c r="AR500" s="1293"/>
      <c r="AS500" s="1293"/>
    </row>
    <row r="501" spans="1:45" ht="15.75">
      <c r="A501" s="1293"/>
      <c r="B501" s="1293"/>
      <c r="C501" s="1293"/>
      <c r="D501" s="1293"/>
      <c r="E501" s="1293"/>
      <c r="F501" s="1293"/>
      <c r="G501" s="1293"/>
      <c r="H501" s="1293"/>
      <c r="I501" s="1293"/>
      <c r="J501" s="1293"/>
      <c r="K501" s="1675"/>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c r="AH501" s="1293"/>
      <c r="AI501" s="1293"/>
      <c r="AJ501" s="1293"/>
      <c r="AK501" s="1293"/>
      <c r="AL501" s="1293"/>
      <c r="AM501" s="1293"/>
      <c r="AN501" s="1293"/>
      <c r="AO501" s="1293"/>
      <c r="AP501" s="1293"/>
      <c r="AQ501" s="1293"/>
      <c r="AR501" s="1293"/>
      <c r="AS501" s="1293"/>
    </row>
    <row r="502" spans="1:45" ht="15.75">
      <c r="A502" s="1684" t="s">
        <v>723</v>
      </c>
      <c r="B502" s="1293"/>
      <c r="C502" s="1293"/>
      <c r="D502" s="1293"/>
      <c r="E502" s="1293"/>
      <c r="F502" s="1293"/>
      <c r="G502" s="1888">
        <v>2004</v>
      </c>
      <c r="H502" s="1888">
        <f t="shared" ref="H502:AG502" si="300">+G502+1</f>
        <v>2005</v>
      </c>
      <c r="I502" s="1888">
        <f t="shared" si="300"/>
        <v>2006</v>
      </c>
      <c r="J502" s="1888">
        <f t="shared" si="300"/>
        <v>2007</v>
      </c>
      <c r="K502" s="1888">
        <f t="shared" si="300"/>
        <v>2008</v>
      </c>
      <c r="L502" s="1888">
        <f t="shared" si="300"/>
        <v>2009</v>
      </c>
      <c r="M502" s="1888">
        <f t="shared" si="300"/>
        <v>2010</v>
      </c>
      <c r="N502" s="1888">
        <f t="shared" si="300"/>
        <v>2011</v>
      </c>
      <c r="O502" s="1888">
        <f t="shared" si="300"/>
        <v>2012</v>
      </c>
      <c r="P502" s="1888">
        <f t="shared" si="300"/>
        <v>2013</v>
      </c>
      <c r="Q502" s="1888">
        <f t="shared" si="300"/>
        <v>2014</v>
      </c>
      <c r="R502" s="1888">
        <f t="shared" si="300"/>
        <v>2015</v>
      </c>
      <c r="S502" s="1888">
        <f t="shared" si="300"/>
        <v>2016</v>
      </c>
      <c r="T502" s="1888">
        <f t="shared" si="300"/>
        <v>2017</v>
      </c>
      <c r="U502" s="1888">
        <f t="shared" si="300"/>
        <v>2018</v>
      </c>
      <c r="V502" s="1888">
        <f t="shared" si="300"/>
        <v>2019</v>
      </c>
      <c r="W502" s="1888">
        <f t="shared" si="300"/>
        <v>2020</v>
      </c>
      <c r="X502" s="1888">
        <f t="shared" si="300"/>
        <v>2021</v>
      </c>
      <c r="Y502" s="1888">
        <f t="shared" si="300"/>
        <v>2022</v>
      </c>
      <c r="Z502" s="1889">
        <f t="shared" si="300"/>
        <v>2023</v>
      </c>
      <c r="AA502" s="1889">
        <f t="shared" si="300"/>
        <v>2024</v>
      </c>
      <c r="AB502" s="1889">
        <f t="shared" si="300"/>
        <v>2025</v>
      </c>
      <c r="AC502" s="1889">
        <f t="shared" si="300"/>
        <v>2026</v>
      </c>
      <c r="AD502" s="1889">
        <f t="shared" si="300"/>
        <v>2027</v>
      </c>
      <c r="AE502" s="1889">
        <f t="shared" si="300"/>
        <v>2028</v>
      </c>
      <c r="AF502" s="1889">
        <f t="shared" si="300"/>
        <v>2029</v>
      </c>
      <c r="AG502" s="1889">
        <f t="shared" si="300"/>
        <v>2030</v>
      </c>
      <c r="AH502" s="1293"/>
      <c r="AI502" s="1293"/>
      <c r="AJ502" s="1293"/>
      <c r="AK502" s="1293"/>
      <c r="AL502" s="1293"/>
      <c r="AM502" s="1293">
        <v>46</v>
      </c>
      <c r="AN502" s="1293">
        <v>28</v>
      </c>
      <c r="AO502" s="1293"/>
      <c r="AP502" s="1293"/>
      <c r="AQ502" s="1293"/>
      <c r="AR502" s="1293"/>
      <c r="AS502" s="1293"/>
    </row>
    <row r="503" spans="1:45" ht="15.75">
      <c r="A503" s="2504" t="s">
        <v>724</v>
      </c>
      <c r="B503" s="1293"/>
      <c r="C503" s="1293"/>
      <c r="D503" s="1293"/>
      <c r="E503" s="1293"/>
      <c r="F503" s="1293"/>
      <c r="G503" s="1293"/>
      <c r="H503" s="1293"/>
      <c r="I503" s="1293"/>
      <c r="J503" s="1293"/>
      <c r="K503" s="1293"/>
      <c r="L503" s="1293"/>
      <c r="M503" s="1293"/>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c r="AH503" s="1293"/>
      <c r="AI503" s="1293"/>
      <c r="AJ503" s="1293"/>
      <c r="AK503" s="1293"/>
      <c r="AL503" s="1293"/>
      <c r="AM503" s="1293">
        <f>AM500+AM502</f>
        <v>826</v>
      </c>
      <c r="AN503" s="1293">
        <f>AN500+AN502</f>
        <v>794</v>
      </c>
      <c r="AO503" s="1293"/>
      <c r="AP503" s="1293"/>
      <c r="AQ503" s="1293"/>
      <c r="AR503" s="1293"/>
      <c r="AS503" s="1293"/>
    </row>
    <row r="504" spans="1:45" ht="15.75">
      <c r="A504" s="1293" t="s">
        <v>804</v>
      </c>
      <c r="B504" s="1293"/>
      <c r="C504" s="1293"/>
      <c r="D504" s="1293"/>
      <c r="E504" s="1293"/>
      <c r="F504" s="1293"/>
      <c r="G504" s="1965"/>
      <c r="H504" s="1965"/>
      <c r="I504" s="1965">
        <f>+J616</f>
        <v>0</v>
      </c>
      <c r="J504" s="1966">
        <v>480</v>
      </c>
      <c r="K504" s="1966">
        <v>0</v>
      </c>
      <c r="L504" s="1966">
        <v>0</v>
      </c>
      <c r="M504" s="1966">
        <v>0</v>
      </c>
      <c r="N504" s="1966">
        <v>0</v>
      </c>
      <c r="O504" s="1966">
        <v>0</v>
      </c>
      <c r="P504" s="1965">
        <f t="shared" ref="P504:AG504" si="301">O504</f>
        <v>0</v>
      </c>
      <c r="Q504" s="1965">
        <f t="shared" si="301"/>
        <v>0</v>
      </c>
      <c r="R504" s="1965">
        <f t="shared" si="301"/>
        <v>0</v>
      </c>
      <c r="S504" s="1965">
        <f t="shared" si="301"/>
        <v>0</v>
      </c>
      <c r="T504" s="1965">
        <f t="shared" si="301"/>
        <v>0</v>
      </c>
      <c r="U504" s="1965">
        <f t="shared" si="301"/>
        <v>0</v>
      </c>
      <c r="V504" s="1965">
        <f t="shared" si="301"/>
        <v>0</v>
      </c>
      <c r="W504" s="1965">
        <f t="shared" si="301"/>
        <v>0</v>
      </c>
      <c r="X504" s="1965">
        <f t="shared" si="301"/>
        <v>0</v>
      </c>
      <c r="Y504" s="1965">
        <f t="shared" si="301"/>
        <v>0</v>
      </c>
      <c r="Z504" s="1965">
        <f t="shared" si="301"/>
        <v>0</v>
      </c>
      <c r="AA504" s="1965">
        <f t="shared" si="301"/>
        <v>0</v>
      </c>
      <c r="AB504" s="1965">
        <f t="shared" si="301"/>
        <v>0</v>
      </c>
      <c r="AC504" s="1965">
        <f t="shared" si="301"/>
        <v>0</v>
      </c>
      <c r="AD504" s="1965">
        <f t="shared" si="301"/>
        <v>0</v>
      </c>
      <c r="AE504" s="1965">
        <f t="shared" si="301"/>
        <v>0</v>
      </c>
      <c r="AF504" s="1965">
        <f t="shared" si="301"/>
        <v>0</v>
      </c>
      <c r="AG504" s="1965">
        <f t="shared" si="301"/>
        <v>0</v>
      </c>
      <c r="AH504" s="1293"/>
      <c r="AI504" s="1293"/>
      <c r="AJ504" s="1293"/>
      <c r="AK504" s="1293"/>
      <c r="AL504" s="1293"/>
      <c r="AM504" s="1293"/>
      <c r="AN504" s="1293"/>
      <c r="AO504" s="1293"/>
      <c r="AP504" s="1293"/>
      <c r="AQ504" s="1293"/>
      <c r="AR504" s="1293"/>
      <c r="AS504" s="1293"/>
    </row>
    <row r="505" spans="1:45" ht="15.75">
      <c r="A505" s="1293" t="s">
        <v>805</v>
      </c>
      <c r="B505" s="1293"/>
      <c r="C505" s="1293"/>
      <c r="D505" s="1293"/>
      <c r="E505" s="1293"/>
      <c r="F505" s="1293"/>
      <c r="G505" s="1965"/>
      <c r="H505" s="1965"/>
      <c r="I505" s="1965">
        <f>+J617</f>
        <v>0</v>
      </c>
      <c r="J505" s="1966">
        <v>179</v>
      </c>
      <c r="K505" s="1966">
        <v>0</v>
      </c>
      <c r="L505" s="1966">
        <v>0</v>
      </c>
      <c r="M505" s="1965">
        <v>0</v>
      </c>
      <c r="N505" s="1965">
        <v>0</v>
      </c>
      <c r="O505" s="1965">
        <v>0</v>
      </c>
      <c r="P505" s="1965">
        <f t="shared" ref="P505:AG505" si="302">O505</f>
        <v>0</v>
      </c>
      <c r="Q505" s="1965">
        <f t="shared" si="302"/>
        <v>0</v>
      </c>
      <c r="R505" s="1965">
        <f t="shared" si="302"/>
        <v>0</v>
      </c>
      <c r="S505" s="1965">
        <f t="shared" si="302"/>
        <v>0</v>
      </c>
      <c r="T505" s="1965">
        <f t="shared" si="302"/>
        <v>0</v>
      </c>
      <c r="U505" s="1965">
        <f t="shared" si="302"/>
        <v>0</v>
      </c>
      <c r="V505" s="1965">
        <f t="shared" si="302"/>
        <v>0</v>
      </c>
      <c r="W505" s="1965">
        <f t="shared" si="302"/>
        <v>0</v>
      </c>
      <c r="X505" s="1965">
        <f t="shared" si="302"/>
        <v>0</v>
      </c>
      <c r="Y505" s="1965">
        <f t="shared" si="302"/>
        <v>0</v>
      </c>
      <c r="Z505" s="1965">
        <f t="shared" si="302"/>
        <v>0</v>
      </c>
      <c r="AA505" s="1965">
        <f t="shared" si="302"/>
        <v>0</v>
      </c>
      <c r="AB505" s="1965">
        <f t="shared" si="302"/>
        <v>0</v>
      </c>
      <c r="AC505" s="1965">
        <f t="shared" si="302"/>
        <v>0</v>
      </c>
      <c r="AD505" s="1965">
        <f t="shared" si="302"/>
        <v>0</v>
      </c>
      <c r="AE505" s="1965">
        <f t="shared" si="302"/>
        <v>0</v>
      </c>
      <c r="AF505" s="1965">
        <f t="shared" si="302"/>
        <v>0</v>
      </c>
      <c r="AG505" s="1965">
        <f t="shared" si="302"/>
        <v>0</v>
      </c>
      <c r="AH505" s="1293"/>
      <c r="AI505" s="1293"/>
      <c r="AJ505" s="1293"/>
      <c r="AK505" s="1293"/>
      <c r="AL505" s="1293"/>
      <c r="AM505" s="1293"/>
      <c r="AN505" s="1293"/>
      <c r="AO505" s="1293"/>
      <c r="AP505" s="1293"/>
      <c r="AQ505" s="1293"/>
      <c r="AR505" s="1293"/>
      <c r="AS505" s="1293"/>
    </row>
    <row r="506" spans="1:45" ht="15.75">
      <c r="A506" s="1293" t="s">
        <v>806</v>
      </c>
      <c r="B506" s="1293"/>
      <c r="C506" s="1293"/>
      <c r="D506" s="1293"/>
      <c r="E506" s="1293"/>
      <c r="F506" s="1293"/>
      <c r="G506" s="1965">
        <v>0</v>
      </c>
      <c r="H506" s="1966">
        <v>315.35899999999998</v>
      </c>
      <c r="I506" s="1965">
        <v>0</v>
      </c>
      <c r="J506" s="1965">
        <v>0</v>
      </c>
      <c r="K506" s="1965">
        <v>0</v>
      </c>
      <c r="L506" s="1965">
        <v>0</v>
      </c>
      <c r="M506" s="1965">
        <v>0</v>
      </c>
      <c r="N506" s="1965">
        <v>0</v>
      </c>
      <c r="O506" s="1965">
        <v>0</v>
      </c>
      <c r="P506" s="1965">
        <f t="shared" ref="P506:AG506" si="303">O506</f>
        <v>0</v>
      </c>
      <c r="Q506" s="1965">
        <f t="shared" si="303"/>
        <v>0</v>
      </c>
      <c r="R506" s="1965">
        <f t="shared" si="303"/>
        <v>0</v>
      </c>
      <c r="S506" s="1965">
        <f t="shared" si="303"/>
        <v>0</v>
      </c>
      <c r="T506" s="1965">
        <f t="shared" si="303"/>
        <v>0</v>
      </c>
      <c r="U506" s="1965">
        <f t="shared" si="303"/>
        <v>0</v>
      </c>
      <c r="V506" s="1965">
        <f t="shared" si="303"/>
        <v>0</v>
      </c>
      <c r="W506" s="1965">
        <f t="shared" si="303"/>
        <v>0</v>
      </c>
      <c r="X506" s="1965">
        <f t="shared" si="303"/>
        <v>0</v>
      </c>
      <c r="Y506" s="1965">
        <f t="shared" si="303"/>
        <v>0</v>
      </c>
      <c r="Z506" s="1965">
        <f t="shared" si="303"/>
        <v>0</v>
      </c>
      <c r="AA506" s="1965">
        <f t="shared" si="303"/>
        <v>0</v>
      </c>
      <c r="AB506" s="1965">
        <f t="shared" si="303"/>
        <v>0</v>
      </c>
      <c r="AC506" s="1965">
        <f t="shared" si="303"/>
        <v>0</v>
      </c>
      <c r="AD506" s="1965">
        <f t="shared" si="303"/>
        <v>0</v>
      </c>
      <c r="AE506" s="1965">
        <f t="shared" si="303"/>
        <v>0</v>
      </c>
      <c r="AF506" s="1965">
        <f t="shared" si="303"/>
        <v>0</v>
      </c>
      <c r="AG506" s="1965">
        <f t="shared" si="303"/>
        <v>0</v>
      </c>
      <c r="AH506" s="1293"/>
      <c r="AI506" s="1293"/>
      <c r="AJ506" s="1293"/>
      <c r="AK506" s="1293"/>
      <c r="AL506" s="1293"/>
      <c r="AM506" s="1293"/>
      <c r="AN506" s="1293"/>
      <c r="AO506" s="1293"/>
      <c r="AP506" s="1293"/>
      <c r="AQ506" s="1293"/>
      <c r="AR506" s="1293"/>
      <c r="AS506" s="1293"/>
    </row>
    <row r="507" spans="1:45" ht="15.75">
      <c r="A507" s="1293" t="s">
        <v>807</v>
      </c>
      <c r="B507" s="1293"/>
      <c r="C507" s="1293"/>
      <c r="D507" s="1293"/>
      <c r="E507" s="1293"/>
      <c r="F507" s="1293"/>
      <c r="G507" s="1966">
        <v>88.510999999999996</v>
      </c>
      <c r="H507" s="1966">
        <v>96.34</v>
      </c>
      <c r="I507" s="1966">
        <v>134.661</v>
      </c>
      <c r="J507" s="1966">
        <v>230.31899999999999</v>
      </c>
      <c r="K507" s="1966">
        <v>496.5</v>
      </c>
      <c r="L507" s="1966">
        <v>434</v>
      </c>
      <c r="M507" s="1966">
        <v>555.46400000000006</v>
      </c>
      <c r="N507" s="1966">
        <v>621</v>
      </c>
      <c r="O507" s="1966">
        <v>693</v>
      </c>
      <c r="P507" s="1966">
        <v>423</v>
      </c>
      <c r="Q507" s="1966">
        <v>362</v>
      </c>
      <c r="R507" s="1966">
        <v>251</v>
      </c>
      <c r="S507" s="1966">
        <v>143</v>
      </c>
      <c r="T507" s="1966">
        <v>265</v>
      </c>
      <c r="U507" s="1966">
        <v>543</v>
      </c>
      <c r="V507" s="1966">
        <v>343</v>
      </c>
      <c r="W507" s="1966">
        <v>270</v>
      </c>
      <c r="X507" s="1966">
        <v>2084</v>
      </c>
      <c r="Y507" s="1966">
        <v>343</v>
      </c>
      <c r="Z507" s="2497">
        <f t="shared" ref="Z507:AG508" si="304">Y507</f>
        <v>343</v>
      </c>
      <c r="AA507" s="2497">
        <f t="shared" si="304"/>
        <v>343</v>
      </c>
      <c r="AB507" s="1965">
        <f t="shared" si="304"/>
        <v>343</v>
      </c>
      <c r="AC507" s="1965">
        <f t="shared" si="304"/>
        <v>343</v>
      </c>
      <c r="AD507" s="1965">
        <f t="shared" si="304"/>
        <v>343</v>
      </c>
      <c r="AE507" s="1965">
        <f t="shared" si="304"/>
        <v>343</v>
      </c>
      <c r="AF507" s="1965">
        <f t="shared" si="304"/>
        <v>343</v>
      </c>
      <c r="AG507" s="1965">
        <f t="shared" si="304"/>
        <v>343</v>
      </c>
      <c r="AH507" s="1293"/>
      <c r="AI507" s="1293"/>
      <c r="AJ507" s="1293"/>
      <c r="AK507" s="1293"/>
      <c r="AO507" s="1293"/>
      <c r="AP507" s="1293"/>
      <c r="AQ507" s="1293"/>
      <c r="AR507" s="1293"/>
      <c r="AS507" s="1293"/>
    </row>
    <row r="508" spans="1:45" ht="15.75">
      <c r="A508" s="1293" t="s">
        <v>3387</v>
      </c>
      <c r="B508" s="1293"/>
      <c r="C508" s="1293"/>
      <c r="D508" s="1293"/>
      <c r="E508" s="1293"/>
      <c r="F508" s="1293"/>
      <c r="G508" s="1965"/>
      <c r="H508" s="1965"/>
      <c r="I508" s="1965">
        <v>0</v>
      </c>
      <c r="J508" s="1965">
        <v>0</v>
      </c>
      <c r="K508" s="1965">
        <v>0</v>
      </c>
      <c r="L508" s="1965">
        <v>0</v>
      </c>
      <c r="M508" s="1965">
        <v>0</v>
      </c>
      <c r="N508" s="1965">
        <v>0</v>
      </c>
      <c r="O508" s="1965">
        <v>0</v>
      </c>
      <c r="P508" s="1965">
        <f t="shared" ref="P508:Y508" si="305">O508</f>
        <v>0</v>
      </c>
      <c r="Q508" s="1965">
        <f t="shared" si="305"/>
        <v>0</v>
      </c>
      <c r="R508" s="1965">
        <f t="shared" si="305"/>
        <v>0</v>
      </c>
      <c r="S508" s="1965">
        <f t="shared" si="305"/>
        <v>0</v>
      </c>
      <c r="T508" s="1965">
        <f t="shared" si="305"/>
        <v>0</v>
      </c>
      <c r="U508" s="1965">
        <f t="shared" si="305"/>
        <v>0</v>
      </c>
      <c r="V508" s="1965">
        <f t="shared" si="305"/>
        <v>0</v>
      </c>
      <c r="W508" s="1965">
        <f t="shared" si="305"/>
        <v>0</v>
      </c>
      <c r="X508" s="1965">
        <f t="shared" si="305"/>
        <v>0</v>
      </c>
      <c r="Y508" s="1965">
        <f t="shared" si="305"/>
        <v>0</v>
      </c>
      <c r="Z508" s="1965">
        <f t="shared" si="304"/>
        <v>0</v>
      </c>
      <c r="AA508" s="1965">
        <f t="shared" si="304"/>
        <v>0</v>
      </c>
      <c r="AB508" s="1965">
        <f t="shared" si="304"/>
        <v>0</v>
      </c>
      <c r="AC508" s="1965">
        <f t="shared" si="304"/>
        <v>0</v>
      </c>
      <c r="AD508" s="1965">
        <f t="shared" si="304"/>
        <v>0</v>
      </c>
      <c r="AE508" s="1965">
        <f t="shared" si="304"/>
        <v>0</v>
      </c>
      <c r="AF508" s="1965">
        <f t="shared" si="304"/>
        <v>0</v>
      </c>
      <c r="AG508" s="1965">
        <f t="shared" si="304"/>
        <v>0</v>
      </c>
      <c r="AH508" s="1293"/>
      <c r="AI508" s="1293"/>
      <c r="AJ508" s="1293"/>
      <c r="AK508" s="1293"/>
      <c r="AL508" s="1293"/>
      <c r="AM508" s="1293"/>
      <c r="AN508" s="1293"/>
      <c r="AO508" s="1293"/>
      <c r="AP508" s="1293"/>
      <c r="AQ508" s="1293"/>
      <c r="AR508" s="1293"/>
      <c r="AS508" s="1293"/>
    </row>
    <row r="509" spans="1:45" ht="15.75">
      <c r="A509" s="1293" t="s">
        <v>3924</v>
      </c>
      <c r="B509" s="1293"/>
      <c r="C509" s="1293"/>
      <c r="D509" s="1293"/>
      <c r="E509" s="1293"/>
      <c r="F509" s="1293"/>
      <c r="G509" s="1965"/>
      <c r="H509" s="1965"/>
      <c r="I509" s="1965"/>
      <c r="J509" s="1965"/>
      <c r="K509" s="1965"/>
      <c r="L509" s="1965"/>
      <c r="M509" s="1965"/>
      <c r="N509" s="1965"/>
      <c r="O509" s="1965"/>
      <c r="P509" s="1965"/>
      <c r="Q509" s="1965"/>
      <c r="R509" s="1965"/>
      <c r="S509" s="1965"/>
      <c r="T509" s="1965"/>
      <c r="U509" s="1965"/>
      <c r="V509" s="1965"/>
      <c r="W509" s="1965"/>
      <c r="X509" s="1965"/>
      <c r="Y509" s="1965"/>
      <c r="Z509" s="1965"/>
      <c r="AA509" s="1965"/>
      <c r="AB509" s="1965"/>
      <c r="AC509" s="1965"/>
      <c r="AD509" s="1965"/>
      <c r="AE509" s="1965"/>
      <c r="AF509" s="1965"/>
      <c r="AG509" s="1965"/>
      <c r="AH509" s="1293"/>
      <c r="AI509" s="1293"/>
      <c r="AJ509" s="1293"/>
      <c r="AK509" s="1293"/>
      <c r="AL509" s="1293"/>
      <c r="AM509" s="1293"/>
      <c r="AN509" s="1293"/>
      <c r="AO509" s="1293"/>
      <c r="AP509" s="1293"/>
      <c r="AQ509" s="1293"/>
      <c r="AR509" s="1293"/>
      <c r="AS509" s="1293"/>
    </row>
    <row r="510" spans="1:45" ht="15.75">
      <c r="A510" s="1293" t="s">
        <v>4080</v>
      </c>
      <c r="B510" s="1293"/>
      <c r="C510" s="1293"/>
      <c r="D510" s="1293"/>
      <c r="E510" s="1293"/>
      <c r="F510" s="1293"/>
      <c r="G510" s="1965"/>
      <c r="H510" s="1965"/>
      <c r="I510" s="1965"/>
      <c r="J510" s="1965"/>
      <c r="K510" s="1965"/>
      <c r="L510" s="1965"/>
      <c r="M510" s="1965"/>
      <c r="N510" s="1965"/>
      <c r="O510" s="1965"/>
      <c r="P510" s="1965"/>
      <c r="Q510" s="1965"/>
      <c r="R510" s="1965"/>
      <c r="S510" s="1965"/>
      <c r="T510" s="1965"/>
      <c r="U510" s="1965"/>
      <c r="V510" s="1965"/>
      <c r="W510" s="1965"/>
      <c r="X510" s="1965"/>
      <c r="Y510" s="1965"/>
      <c r="Z510" s="1965"/>
      <c r="AA510" s="1965"/>
      <c r="AB510" s="1965"/>
      <c r="AC510" s="1965"/>
      <c r="AD510" s="1965"/>
      <c r="AE510" s="1965"/>
      <c r="AF510" s="1965"/>
      <c r="AG510" s="1965"/>
      <c r="AH510" s="1293"/>
      <c r="AI510" s="1293"/>
      <c r="AJ510" s="1293"/>
      <c r="AK510" s="1293"/>
      <c r="AL510" s="1671" t="s">
        <v>9168</v>
      </c>
      <c r="AM510" s="1293">
        <v>122</v>
      </c>
      <c r="AN510" s="1293">
        <v>117</v>
      </c>
      <c r="AO510" s="1293"/>
      <c r="AP510" s="1293"/>
      <c r="AQ510" s="1293"/>
      <c r="AR510" s="1293"/>
      <c r="AS510" s="1293"/>
    </row>
    <row r="511" spans="1:45" ht="15.75">
      <c r="A511" s="1293" t="s">
        <v>4081</v>
      </c>
      <c r="B511" s="1293"/>
      <c r="C511" s="1293"/>
      <c r="D511" s="1293"/>
      <c r="E511" s="1293"/>
      <c r="F511" s="1293"/>
      <c r="G511" s="1965"/>
      <c r="H511" s="1965"/>
      <c r="I511" s="1965"/>
      <c r="J511" s="1965"/>
      <c r="K511" s="1965"/>
      <c r="L511" s="1965"/>
      <c r="M511" s="1965"/>
      <c r="N511" s="1965"/>
      <c r="O511" s="1965"/>
      <c r="P511" s="1965"/>
      <c r="Q511" s="1965"/>
      <c r="R511" s="1965"/>
      <c r="S511" s="1965"/>
      <c r="T511" s="1965"/>
      <c r="U511" s="1965"/>
      <c r="V511" s="1965"/>
      <c r="W511" s="1965"/>
      <c r="X511" s="1965"/>
      <c r="Y511" s="1965"/>
      <c r="Z511" s="1965"/>
      <c r="AA511" s="1965"/>
      <c r="AB511" s="1965"/>
      <c r="AC511" s="1965"/>
      <c r="AD511" s="1965"/>
      <c r="AE511" s="1965"/>
      <c r="AF511" s="1965"/>
      <c r="AG511" s="1965"/>
      <c r="AH511" s="1293"/>
      <c r="AI511" s="1293"/>
      <c r="AJ511" s="1293"/>
      <c r="AK511" s="1293"/>
      <c r="AL511" s="1671" t="s">
        <v>9169</v>
      </c>
      <c r="AM511" s="1293">
        <v>204</v>
      </c>
      <c r="AN511" s="1293">
        <v>183</v>
      </c>
      <c r="AO511" s="1293"/>
      <c r="AP511" s="2521" t="s">
        <v>856</v>
      </c>
      <c r="AQ511" s="1293"/>
      <c r="AR511" s="1293"/>
      <c r="AS511" s="1293"/>
    </row>
    <row r="512" spans="1:45" ht="15.75">
      <c r="A512" s="1293" t="s">
        <v>3919</v>
      </c>
      <c r="B512" s="1293"/>
      <c r="C512" s="1293"/>
      <c r="D512" s="1293"/>
      <c r="E512" s="1293"/>
      <c r="F512" s="1293"/>
      <c r="G512" s="1965"/>
      <c r="H512" s="1965"/>
      <c r="I512" s="1965"/>
      <c r="J512" s="1965"/>
      <c r="K512" s="1965"/>
      <c r="L512" s="1965"/>
      <c r="M512" s="1965"/>
      <c r="N512" s="1965"/>
      <c r="O512" s="1965"/>
      <c r="P512" s="1965"/>
      <c r="Q512" s="1965"/>
      <c r="R512" s="1965"/>
      <c r="S512" s="1965"/>
      <c r="T512" s="1965"/>
      <c r="U512" s="1965"/>
      <c r="V512" s="1965"/>
      <c r="W512" s="1965"/>
      <c r="X512" s="1965"/>
      <c r="Y512" s="1965"/>
      <c r="Z512" s="1965"/>
      <c r="AA512" s="1965"/>
      <c r="AB512" s="1965"/>
      <c r="AC512" s="1965"/>
      <c r="AD512" s="1965"/>
      <c r="AE512" s="1965"/>
      <c r="AF512" s="1965"/>
      <c r="AG512" s="1965"/>
      <c r="AH512" s="1293"/>
      <c r="AI512" s="1293"/>
      <c r="AJ512" s="1293"/>
      <c r="AK512" s="1293"/>
      <c r="AL512" s="1671"/>
      <c r="AM512" s="1375">
        <f>AM510+AM511</f>
        <v>326</v>
      </c>
      <c r="AN512" s="1375">
        <f>AN510+AN511</f>
        <v>300</v>
      </c>
      <c r="AO512" s="1293"/>
      <c r="AP512" s="1293"/>
      <c r="AQ512" s="1293"/>
      <c r="AR512" s="1293"/>
      <c r="AS512" s="1293"/>
    </row>
    <row r="513" spans="1:45" ht="15.75">
      <c r="A513" s="1293" t="s">
        <v>5757</v>
      </c>
      <c r="B513" s="1293"/>
      <c r="C513" s="1293"/>
      <c r="D513" s="1293"/>
      <c r="E513" s="1293"/>
      <c r="F513" s="1293"/>
      <c r="G513" s="1965"/>
      <c r="H513" s="1965"/>
      <c r="I513" s="1965"/>
      <c r="J513" s="1965"/>
      <c r="K513" s="1965"/>
      <c r="L513" s="1965"/>
      <c r="M513" s="1965"/>
      <c r="N513" s="1965"/>
      <c r="O513" s="1965"/>
      <c r="P513" s="1965"/>
      <c r="Q513" s="1965"/>
      <c r="R513" s="1965"/>
      <c r="S513" s="1965"/>
      <c r="T513" s="1965"/>
      <c r="U513" s="1965"/>
      <c r="V513" s="1965"/>
      <c r="W513" s="1965"/>
      <c r="X513" s="1965"/>
      <c r="Y513" s="1965"/>
      <c r="Z513" s="1965"/>
      <c r="AA513" s="1965"/>
      <c r="AB513" s="1965"/>
      <c r="AC513" s="1965"/>
      <c r="AD513" s="1965"/>
      <c r="AE513" s="1965"/>
      <c r="AF513" s="1965"/>
      <c r="AG513" s="1965"/>
      <c r="AH513" s="1293"/>
      <c r="AI513" s="1293"/>
      <c r="AJ513" s="1293"/>
      <c r="AK513" s="1293"/>
      <c r="AL513" s="1671" t="s">
        <v>9167</v>
      </c>
      <c r="AM513" s="1327">
        <f ca="1">AA19</f>
        <v>326.64580000000024</v>
      </c>
      <c r="AN513" s="1293">
        <v>299</v>
      </c>
      <c r="AO513" s="1293" t="s">
        <v>9171</v>
      </c>
      <c r="AP513" s="1293"/>
      <c r="AQ513" s="1293"/>
      <c r="AR513" s="1293"/>
      <c r="AS513" s="1293"/>
    </row>
    <row r="514" spans="1:45" ht="15.75">
      <c r="A514" s="1293" t="s">
        <v>3340</v>
      </c>
      <c r="B514" s="1293"/>
      <c r="C514" s="1293"/>
      <c r="D514" s="1293"/>
      <c r="E514" s="1293"/>
      <c r="F514" s="1293"/>
      <c r="G514" s="1965"/>
      <c r="H514" s="1965"/>
      <c r="I514" s="1965"/>
      <c r="J514" s="1965"/>
      <c r="K514" s="1965"/>
      <c r="L514" s="1965"/>
      <c r="M514" s="1965"/>
      <c r="N514" s="1965"/>
      <c r="O514" s="1965"/>
      <c r="P514" s="1965"/>
      <c r="Q514" s="1965"/>
      <c r="R514" s="1965"/>
      <c r="S514" s="1965"/>
      <c r="T514" s="1965"/>
      <c r="U514" s="1965"/>
      <c r="V514" s="1965"/>
      <c r="W514" s="1965"/>
      <c r="X514" s="1965"/>
      <c r="Y514" s="1965"/>
      <c r="Z514" s="1965"/>
      <c r="AA514" s="1965"/>
      <c r="AB514" s="1965"/>
      <c r="AC514" s="1965"/>
      <c r="AD514" s="1965"/>
      <c r="AE514" s="1965"/>
      <c r="AF514" s="1965"/>
      <c r="AG514" s="1965"/>
      <c r="AH514" s="1293"/>
      <c r="AI514" s="1293"/>
      <c r="AJ514" s="1293"/>
      <c r="AK514" s="1293"/>
      <c r="AL514" s="1293"/>
      <c r="AM514" s="1293"/>
      <c r="AN514" s="1293"/>
      <c r="AO514" s="1293"/>
      <c r="AP514" s="1293"/>
      <c r="AQ514" s="1293"/>
      <c r="AR514" s="1293"/>
      <c r="AS514" s="1293"/>
    </row>
    <row r="515" spans="1:45" ht="15.75">
      <c r="A515" s="1293" t="s">
        <v>3342</v>
      </c>
      <c r="B515" s="1293"/>
      <c r="C515" s="1293"/>
      <c r="D515" s="1293"/>
      <c r="E515" s="1293"/>
      <c r="F515" s="1293"/>
      <c r="G515" s="1965"/>
      <c r="H515" s="1965"/>
      <c r="I515" s="1965"/>
      <c r="J515" s="1965"/>
      <c r="K515" s="1965"/>
      <c r="L515" s="1965"/>
      <c r="M515" s="1965"/>
      <c r="N515" s="1965"/>
      <c r="O515" s="1965"/>
      <c r="P515" s="1965"/>
      <c r="Q515" s="1965"/>
      <c r="R515" s="1965"/>
      <c r="S515" s="1965"/>
      <c r="T515" s="1965"/>
      <c r="U515" s="1965"/>
      <c r="V515" s="1965"/>
      <c r="W515" s="1965"/>
      <c r="X515" s="1965"/>
      <c r="Y515" s="1965"/>
      <c r="Z515" s="1965"/>
      <c r="AA515" s="1965"/>
      <c r="AB515" s="1965"/>
      <c r="AC515" s="1965"/>
      <c r="AD515" s="1965"/>
      <c r="AE515" s="1965"/>
      <c r="AF515" s="1965"/>
      <c r="AG515" s="1965"/>
      <c r="AH515" s="1293"/>
      <c r="AI515" s="1293"/>
      <c r="AJ515" s="1293"/>
      <c r="AK515" s="1293"/>
      <c r="AL515" s="1293"/>
      <c r="AM515" s="1293"/>
      <c r="AN515" s="1293"/>
      <c r="AO515" s="1293"/>
      <c r="AP515" s="1293"/>
      <c r="AQ515" s="1293"/>
      <c r="AR515" s="1293"/>
      <c r="AS515" s="1293"/>
    </row>
    <row r="516" spans="1:45" ht="15.75">
      <c r="A516" s="1293" t="s">
        <v>3918</v>
      </c>
      <c r="B516" s="1293"/>
      <c r="C516" s="1293"/>
      <c r="D516" s="1293"/>
      <c r="E516" s="1293"/>
      <c r="F516" s="1293"/>
      <c r="G516" s="1965"/>
      <c r="H516" s="1965"/>
      <c r="I516" s="1965"/>
      <c r="J516" s="1965"/>
      <c r="K516" s="1965"/>
      <c r="L516" s="1965"/>
      <c r="M516" s="1965"/>
      <c r="N516" s="1965"/>
      <c r="O516" s="1965"/>
      <c r="P516" s="1965"/>
      <c r="Q516" s="1965"/>
      <c r="R516" s="1965"/>
      <c r="S516" s="1965"/>
      <c r="T516" s="1965"/>
      <c r="U516" s="1965"/>
      <c r="V516" s="1965"/>
      <c r="W516" s="1965"/>
      <c r="X516" s="1965"/>
      <c r="Y516" s="1965"/>
      <c r="Z516" s="1965"/>
      <c r="AA516" s="1965"/>
      <c r="AB516" s="1965"/>
      <c r="AC516" s="1965"/>
      <c r="AD516" s="1965"/>
      <c r="AE516" s="1965"/>
      <c r="AF516" s="1965"/>
      <c r="AG516" s="1965"/>
      <c r="AH516" s="1293"/>
      <c r="AI516" s="1293"/>
      <c r="AJ516" s="1293"/>
      <c r="AK516" s="1293"/>
      <c r="AL516" s="1293"/>
      <c r="AM516" s="1293"/>
      <c r="AN516" s="1293"/>
      <c r="AO516" s="1293"/>
      <c r="AP516" s="1293"/>
      <c r="AQ516" s="1293"/>
      <c r="AR516" s="1293"/>
      <c r="AS516" s="1293"/>
    </row>
    <row r="517" spans="1:45" ht="15.75">
      <c r="A517" s="1293" t="s">
        <v>3341</v>
      </c>
      <c r="B517" s="1293"/>
      <c r="C517" s="1293"/>
      <c r="D517" s="1293"/>
      <c r="E517" s="1293"/>
      <c r="F517" s="1293"/>
      <c r="G517" s="1965"/>
      <c r="H517" s="1965"/>
      <c r="I517" s="1965"/>
      <c r="J517" s="1965"/>
      <c r="K517" s="1965"/>
      <c r="L517" s="1965"/>
      <c r="M517" s="1965"/>
      <c r="N517" s="1965"/>
      <c r="O517" s="1965"/>
      <c r="P517" s="1965"/>
      <c r="Q517" s="1965"/>
      <c r="R517" s="1965"/>
      <c r="S517" s="1965"/>
      <c r="T517" s="1965"/>
      <c r="U517" s="1965"/>
      <c r="V517" s="1965"/>
      <c r="W517" s="1965"/>
      <c r="X517" s="1965"/>
      <c r="Y517" s="1965"/>
      <c r="Z517" s="1965"/>
      <c r="AA517" s="1965"/>
      <c r="AB517" s="1965"/>
      <c r="AC517" s="1965"/>
      <c r="AD517" s="1965"/>
      <c r="AE517" s="1965"/>
      <c r="AF517" s="1965"/>
      <c r="AG517" s="1965"/>
      <c r="AH517" s="1293"/>
      <c r="AI517" s="1293"/>
      <c r="AJ517" s="1293"/>
      <c r="AK517" s="1293"/>
      <c r="AL517" s="1293"/>
      <c r="AM517" s="1293"/>
      <c r="AN517" s="1293"/>
      <c r="AO517" s="1293"/>
      <c r="AP517" s="1293"/>
      <c r="AQ517" s="1293"/>
      <c r="AR517" s="1293"/>
      <c r="AS517" s="1293"/>
    </row>
    <row r="518" spans="1:45" ht="15.75">
      <c r="A518" s="1293" t="s">
        <v>5762</v>
      </c>
      <c r="B518" s="1293"/>
      <c r="C518" s="1293"/>
      <c r="D518" s="1293"/>
      <c r="E518" s="1293"/>
      <c r="F518" s="1293"/>
      <c r="G518" s="1965"/>
      <c r="H518" s="1965"/>
      <c r="I518" s="1965"/>
      <c r="J518" s="1965"/>
      <c r="K518" s="1965"/>
      <c r="L518" s="1965"/>
      <c r="M518" s="1965"/>
      <c r="N518" s="1965"/>
      <c r="O518" s="1965"/>
      <c r="P518" s="1965"/>
      <c r="Q518" s="1965"/>
      <c r="R518" s="1965"/>
      <c r="S518" s="1965"/>
      <c r="T518" s="1965"/>
      <c r="U518" s="1965"/>
      <c r="V518" s="1965"/>
      <c r="W518" s="1965"/>
      <c r="X518" s="1965"/>
      <c r="Y518" s="1965"/>
      <c r="Z518" s="1965"/>
      <c r="AA518" s="1965"/>
      <c r="AB518" s="1965"/>
      <c r="AC518" s="1965"/>
      <c r="AD518" s="1965"/>
      <c r="AE518" s="1965"/>
      <c r="AF518" s="1965"/>
      <c r="AG518" s="1965"/>
      <c r="AH518" s="1293"/>
      <c r="AI518" s="1293"/>
      <c r="AJ518" s="1293"/>
      <c r="AK518" s="1293"/>
      <c r="AL518" s="1293"/>
      <c r="AM518" s="1293"/>
      <c r="AN518" s="1293"/>
      <c r="AO518" s="1293"/>
      <c r="AP518" s="1293"/>
      <c r="AQ518" s="1293"/>
      <c r="AR518" s="1293"/>
      <c r="AS518" s="1293"/>
    </row>
    <row r="519" spans="1:45" ht="15.75">
      <c r="A519" s="1293" t="s">
        <v>3974</v>
      </c>
      <c r="B519" s="1293"/>
      <c r="C519" s="1293"/>
      <c r="D519" s="1293"/>
      <c r="E519" s="1293"/>
      <c r="F519" s="1293"/>
      <c r="G519" s="1965"/>
      <c r="H519" s="1965"/>
      <c r="I519" s="1965"/>
      <c r="J519" s="1965"/>
      <c r="K519" s="1965"/>
      <c r="L519" s="1965"/>
      <c r="M519" s="1965"/>
      <c r="N519" s="1965"/>
      <c r="O519" s="1965"/>
      <c r="P519" s="1965"/>
      <c r="Q519" s="1965"/>
      <c r="R519" s="1965"/>
      <c r="S519" s="1965"/>
      <c r="T519" s="1965"/>
      <c r="U519" s="1965"/>
      <c r="V519" s="1965"/>
      <c r="W519" s="1965"/>
      <c r="X519" s="1965"/>
      <c r="Y519" s="1965"/>
      <c r="Z519" s="1965"/>
      <c r="AA519" s="1965"/>
      <c r="AB519" s="1965"/>
      <c r="AC519" s="1965"/>
      <c r="AD519" s="1965"/>
      <c r="AE519" s="1965"/>
      <c r="AF519" s="1965"/>
      <c r="AG519" s="1965"/>
      <c r="AH519" s="1293"/>
      <c r="AI519" s="1293"/>
      <c r="AJ519" s="1293"/>
      <c r="AK519" s="1293"/>
      <c r="AL519" s="1293"/>
      <c r="AM519" s="1293"/>
      <c r="AN519" s="1293"/>
      <c r="AO519" s="1293"/>
      <c r="AP519" s="1293"/>
      <c r="AQ519" s="1293"/>
      <c r="AR519" s="1293"/>
      <c r="AS519" s="1293"/>
    </row>
    <row r="520" spans="1:45" ht="15.75">
      <c r="A520" s="1293" t="s">
        <v>4861</v>
      </c>
      <c r="B520" s="1293"/>
      <c r="C520" s="1293"/>
      <c r="D520" s="1293"/>
      <c r="E520" s="1293"/>
      <c r="F520" s="1293"/>
      <c r="G520" s="1965"/>
      <c r="H520" s="1965"/>
      <c r="I520" s="1965"/>
      <c r="J520" s="1965"/>
      <c r="K520" s="1965"/>
      <c r="L520" s="1965"/>
      <c r="M520" s="1965"/>
      <c r="N520" s="1965"/>
      <c r="O520" s="1965"/>
      <c r="P520" s="1965"/>
      <c r="Q520" s="1965"/>
      <c r="R520" s="1965"/>
      <c r="S520" s="1965"/>
      <c r="T520" s="1965"/>
      <c r="U520" s="1965"/>
      <c r="V520" s="1965"/>
      <c r="W520" s="1965"/>
      <c r="X520" s="1965"/>
      <c r="Y520" s="1965"/>
      <c r="Z520" s="1965"/>
      <c r="AA520" s="1965"/>
      <c r="AB520" s="1965"/>
      <c r="AC520" s="1965"/>
      <c r="AD520" s="1965"/>
      <c r="AE520" s="1965"/>
      <c r="AF520" s="1965"/>
      <c r="AG520" s="1965"/>
      <c r="AH520" s="1293"/>
      <c r="AI520" s="1293"/>
      <c r="AJ520" s="1293"/>
      <c r="AK520" s="1293"/>
      <c r="AL520" s="1293"/>
      <c r="AM520" s="1293"/>
      <c r="AN520" s="1293"/>
      <c r="AO520" s="1293"/>
      <c r="AP520" s="1293"/>
      <c r="AQ520" s="1293"/>
      <c r="AR520" s="1293"/>
      <c r="AS520" s="1293"/>
    </row>
    <row r="521" spans="1:45" ht="15.75">
      <c r="A521" s="1293" t="s">
        <v>5758</v>
      </c>
      <c r="B521" s="1293"/>
      <c r="C521" s="1293"/>
      <c r="D521" s="1293"/>
      <c r="E521" s="1293"/>
      <c r="F521" s="1293"/>
      <c r="G521" s="1965"/>
      <c r="H521" s="1965"/>
      <c r="I521" s="1965"/>
      <c r="J521" s="1965"/>
      <c r="K521" s="1965"/>
      <c r="L521" s="1965"/>
      <c r="M521" s="1965"/>
      <c r="N521" s="1965"/>
      <c r="O521" s="1965"/>
      <c r="P521" s="1965"/>
      <c r="Q521" s="1965"/>
      <c r="R521" s="1965"/>
      <c r="S521" s="1965"/>
      <c r="T521" s="1965"/>
      <c r="U521" s="1965"/>
      <c r="V521" s="1965"/>
      <c r="W521" s="1965"/>
      <c r="X521" s="1965"/>
      <c r="Y521" s="1965"/>
      <c r="Z521" s="1965"/>
      <c r="AA521" s="1965"/>
      <c r="AB521" s="1965"/>
      <c r="AC521" s="1965"/>
      <c r="AD521" s="1965"/>
      <c r="AE521" s="1965"/>
      <c r="AF521" s="1965"/>
      <c r="AG521" s="1965"/>
      <c r="AH521" s="1293"/>
      <c r="AI521" s="1293"/>
      <c r="AJ521" s="1293"/>
      <c r="AK521" s="1293"/>
      <c r="AL521" s="1293"/>
      <c r="AM521" s="1293"/>
      <c r="AN521" s="1293"/>
      <c r="AO521" s="1293"/>
      <c r="AP521" s="1293"/>
      <c r="AQ521" s="1293"/>
      <c r="AR521" s="1293"/>
      <c r="AS521" s="1293"/>
    </row>
    <row r="522" spans="1:45" ht="15.75">
      <c r="A522" s="1293" t="s">
        <v>5759</v>
      </c>
      <c r="B522" s="1293"/>
      <c r="C522" s="1293"/>
      <c r="D522" s="1293"/>
      <c r="E522" s="1293"/>
      <c r="F522" s="1293"/>
      <c r="G522" s="1965"/>
      <c r="H522" s="1965"/>
      <c r="I522" s="1965"/>
      <c r="J522" s="1965"/>
      <c r="K522" s="1965"/>
      <c r="L522" s="1965"/>
      <c r="M522" s="1965"/>
      <c r="N522" s="1965"/>
      <c r="O522" s="1965"/>
      <c r="P522" s="1965"/>
      <c r="Q522" s="1965"/>
      <c r="R522" s="1965"/>
      <c r="S522" s="1965"/>
      <c r="T522" s="1965"/>
      <c r="U522" s="1965"/>
      <c r="V522" s="1965"/>
      <c r="W522" s="1965"/>
      <c r="X522" s="1965"/>
      <c r="Y522" s="1965"/>
      <c r="Z522" s="1965"/>
      <c r="AA522" s="1965"/>
      <c r="AB522" s="1965"/>
      <c r="AC522" s="1965"/>
      <c r="AD522" s="1965"/>
      <c r="AE522" s="1965"/>
      <c r="AF522" s="1965"/>
      <c r="AG522" s="1965"/>
      <c r="AH522" s="1293"/>
      <c r="AI522" s="1293"/>
      <c r="AJ522" s="1293"/>
      <c r="AK522" s="1293"/>
      <c r="AL522" s="1293"/>
      <c r="AM522" s="1293"/>
      <c r="AN522" s="1293"/>
      <c r="AO522" s="1293"/>
      <c r="AP522" s="1293"/>
      <c r="AQ522" s="1293"/>
      <c r="AR522" s="1293"/>
      <c r="AS522" s="1293"/>
    </row>
    <row r="523" spans="1:45" ht="15.75">
      <c r="A523" s="1293" t="s">
        <v>5746</v>
      </c>
      <c r="B523" s="1293"/>
      <c r="C523" s="1293"/>
      <c r="D523" s="1293"/>
      <c r="E523" s="1293"/>
      <c r="F523" s="1293"/>
      <c r="G523" s="1965"/>
      <c r="H523" s="1965"/>
      <c r="I523" s="1965"/>
      <c r="J523" s="1965"/>
      <c r="K523" s="1965"/>
      <c r="L523" s="1965"/>
      <c r="M523" s="1965"/>
      <c r="N523" s="1965"/>
      <c r="O523" s="1965"/>
      <c r="P523" s="1965"/>
      <c r="Q523" s="1965"/>
      <c r="R523" s="1965"/>
      <c r="S523" s="1965"/>
      <c r="T523" s="1965"/>
      <c r="U523" s="1965"/>
      <c r="V523" s="1965"/>
      <c r="W523" s="1965"/>
      <c r="X523" s="1965"/>
      <c r="Y523" s="1965"/>
      <c r="Z523" s="1965"/>
      <c r="AA523" s="1965"/>
      <c r="AB523" s="1965"/>
      <c r="AC523" s="1965"/>
      <c r="AD523" s="1965"/>
      <c r="AE523" s="1965"/>
      <c r="AF523" s="1965"/>
      <c r="AG523" s="1965"/>
      <c r="AH523" s="1293"/>
      <c r="AI523" s="1293"/>
      <c r="AJ523" s="1293"/>
      <c r="AK523" s="1293"/>
      <c r="AL523" s="1293"/>
      <c r="AM523" s="1293"/>
      <c r="AN523" s="1293"/>
      <c r="AO523" s="1293"/>
      <c r="AP523" s="1293"/>
      <c r="AQ523" s="1293"/>
      <c r="AR523" s="1293"/>
      <c r="AS523" s="1293"/>
    </row>
    <row r="524" spans="1:45" ht="15.75">
      <c r="A524" s="1293" t="s">
        <v>5760</v>
      </c>
      <c r="B524" s="1293"/>
      <c r="C524" s="1293"/>
      <c r="D524" s="1293"/>
      <c r="E524" s="1293"/>
      <c r="F524" s="1293"/>
      <c r="G524" s="1965"/>
      <c r="H524" s="1965"/>
      <c r="I524" s="1965"/>
      <c r="J524" s="1965"/>
      <c r="K524" s="1965"/>
      <c r="L524" s="1965"/>
      <c r="M524" s="1965"/>
      <c r="N524" s="1965"/>
      <c r="O524" s="1965"/>
      <c r="P524" s="1965"/>
      <c r="Q524" s="1965"/>
      <c r="R524" s="1965"/>
      <c r="S524" s="1965"/>
      <c r="T524" s="1965"/>
      <c r="U524" s="1965"/>
      <c r="V524" s="1965"/>
      <c r="W524" s="1965"/>
      <c r="X524" s="1965"/>
      <c r="Y524" s="1965"/>
      <c r="Z524" s="1965"/>
      <c r="AA524" s="1965"/>
      <c r="AB524" s="1965"/>
      <c r="AC524" s="1965"/>
      <c r="AD524" s="1965"/>
      <c r="AE524" s="1965"/>
      <c r="AF524" s="1965"/>
      <c r="AG524" s="1965"/>
      <c r="AH524" s="1293"/>
      <c r="AI524" s="1293"/>
      <c r="AJ524" s="1293"/>
      <c r="AK524" s="1293"/>
      <c r="AL524" s="1293"/>
      <c r="AM524" s="1293"/>
      <c r="AN524" s="1293"/>
      <c r="AO524" s="1293"/>
      <c r="AP524" s="1293"/>
      <c r="AQ524" s="1293"/>
      <c r="AR524" s="1293"/>
      <c r="AS524" s="1293"/>
    </row>
    <row r="525" spans="1:45" ht="15.75">
      <c r="A525" s="1293" t="s">
        <v>5761</v>
      </c>
      <c r="B525" s="1293"/>
      <c r="C525" s="1293"/>
      <c r="D525" s="1293"/>
      <c r="E525" s="1293"/>
      <c r="F525" s="1293"/>
      <c r="G525" s="1965"/>
      <c r="H525" s="1965"/>
      <c r="I525" s="1965"/>
      <c r="J525" s="1965"/>
      <c r="K525" s="1965"/>
      <c r="L525" s="1965"/>
      <c r="M525" s="1965"/>
      <c r="N525" s="1965"/>
      <c r="O525" s="1965"/>
      <c r="P525" s="1965"/>
      <c r="Q525" s="1965"/>
      <c r="R525" s="1965"/>
      <c r="S525" s="1965"/>
      <c r="T525" s="1965"/>
      <c r="U525" s="1965"/>
      <c r="V525" s="1965"/>
      <c r="W525" s="1965"/>
      <c r="X525" s="1965"/>
      <c r="Y525" s="1965"/>
      <c r="Z525" s="1965"/>
      <c r="AA525" s="1965"/>
      <c r="AB525" s="1965"/>
      <c r="AC525" s="1965"/>
      <c r="AD525" s="1965"/>
      <c r="AE525" s="1965"/>
      <c r="AF525" s="1965"/>
      <c r="AG525" s="1965"/>
      <c r="AH525" s="1293"/>
      <c r="AI525" s="1293"/>
      <c r="AJ525" s="1293"/>
      <c r="AK525" s="1293"/>
      <c r="AL525" s="1293"/>
      <c r="AM525" s="1293"/>
      <c r="AN525" s="1293"/>
      <c r="AO525" s="1293"/>
      <c r="AP525" s="1293"/>
      <c r="AQ525" s="1293"/>
      <c r="AR525" s="1293"/>
      <c r="AS525" s="1293"/>
    </row>
    <row r="526" spans="1:45" ht="15.75">
      <c r="A526" s="1293" t="s">
        <v>5763</v>
      </c>
      <c r="B526" s="1293"/>
      <c r="C526" s="1293"/>
      <c r="D526" s="1293"/>
      <c r="E526" s="1293"/>
      <c r="F526" s="1293"/>
      <c r="G526" s="1965"/>
      <c r="H526" s="1965"/>
      <c r="I526" s="1965"/>
      <c r="J526" s="1965"/>
      <c r="K526" s="1965"/>
      <c r="L526" s="1965"/>
      <c r="M526" s="1965"/>
      <c r="N526" s="1965"/>
      <c r="O526" s="1965"/>
      <c r="P526" s="1965"/>
      <c r="Q526" s="1965"/>
      <c r="R526" s="1965"/>
      <c r="S526" s="1965"/>
      <c r="T526" s="1965"/>
      <c r="U526" s="1965"/>
      <c r="V526" s="1965"/>
      <c r="W526" s="1965"/>
      <c r="X526" s="1965"/>
      <c r="Y526" s="1965"/>
      <c r="Z526" s="1965"/>
      <c r="AA526" s="1965"/>
      <c r="AB526" s="1965"/>
      <c r="AC526" s="1965"/>
      <c r="AD526" s="1965"/>
      <c r="AE526" s="1965"/>
      <c r="AF526" s="1965"/>
      <c r="AG526" s="1965"/>
      <c r="AH526" s="1293"/>
      <c r="AI526" s="1293"/>
      <c r="AJ526" s="1293"/>
      <c r="AK526" s="1293"/>
      <c r="AL526" s="1293"/>
      <c r="AM526" s="1293"/>
      <c r="AN526" s="1293"/>
      <c r="AO526" s="1293"/>
      <c r="AP526" s="1293"/>
      <c r="AQ526" s="1293"/>
      <c r="AR526" s="1293"/>
      <c r="AS526" s="1293"/>
    </row>
    <row r="527" spans="1:45" ht="15.75">
      <c r="A527" s="1293" t="s">
        <v>6428</v>
      </c>
      <c r="B527" s="1293"/>
      <c r="C527" s="1293"/>
      <c r="D527" s="1293"/>
      <c r="E527" s="1293"/>
      <c r="F527" s="1293"/>
      <c r="G527" s="1965"/>
      <c r="H527" s="1965"/>
      <c r="I527" s="1965"/>
      <c r="J527" s="1965"/>
      <c r="K527" s="1965"/>
      <c r="L527" s="1965"/>
      <c r="M527" s="1965"/>
      <c r="N527" s="1965"/>
      <c r="O527" s="1965"/>
      <c r="P527" s="1965"/>
      <c r="Q527" s="1965"/>
      <c r="R527" s="1965"/>
      <c r="S527" s="1965"/>
      <c r="T527" s="1965"/>
      <c r="U527" s="1965"/>
      <c r="V527" s="1965"/>
      <c r="W527" s="1965"/>
      <c r="X527" s="1965"/>
      <c r="Y527" s="1965"/>
      <c r="Z527" s="1965"/>
      <c r="AA527" s="1965"/>
      <c r="AB527" s="1965"/>
      <c r="AC527" s="1965"/>
      <c r="AD527" s="1965"/>
      <c r="AE527" s="1965"/>
      <c r="AF527" s="1965"/>
      <c r="AG527" s="1965"/>
      <c r="AH527" s="1293"/>
      <c r="AI527" s="1293"/>
      <c r="AJ527" s="1293"/>
      <c r="AK527" s="1293"/>
      <c r="AL527" s="1293"/>
      <c r="AM527" s="1293"/>
      <c r="AN527" s="1293"/>
      <c r="AO527" s="1293"/>
      <c r="AP527" s="1293"/>
      <c r="AQ527" s="1293"/>
      <c r="AR527" s="1293"/>
      <c r="AS527" s="1293"/>
    </row>
    <row r="528" spans="1:45" ht="15.75">
      <c r="A528" s="1331" t="s">
        <v>7332</v>
      </c>
      <c r="B528" s="1331"/>
      <c r="C528" s="1331"/>
      <c r="D528" s="1331"/>
      <c r="E528" s="1331"/>
      <c r="F528" s="1331"/>
      <c r="G528" s="1968"/>
      <c r="H528" s="1968"/>
      <c r="I528" s="1968"/>
      <c r="J528" s="1968"/>
      <c r="K528" s="1968"/>
      <c r="L528" s="1968"/>
      <c r="M528" s="1968"/>
      <c r="N528" s="1968"/>
      <c r="O528" s="1968"/>
      <c r="P528" s="1968"/>
      <c r="Q528" s="1968"/>
      <c r="R528" s="1968"/>
      <c r="S528" s="1968"/>
      <c r="T528" s="1968"/>
      <c r="U528" s="1968"/>
      <c r="V528" s="1968"/>
      <c r="W528" s="1968"/>
      <c r="X528" s="1968"/>
      <c r="Y528" s="1968"/>
      <c r="Z528" s="1968"/>
      <c r="AA528" s="1968"/>
      <c r="AB528" s="1968"/>
      <c r="AC528" s="1968"/>
      <c r="AD528" s="1968"/>
      <c r="AE528" s="1968"/>
      <c r="AF528" s="1968"/>
      <c r="AG528" s="1968"/>
      <c r="AH528" s="1293"/>
      <c r="AI528" s="1293"/>
      <c r="AJ528" s="1293"/>
      <c r="AK528" s="1293"/>
      <c r="AL528" s="1293"/>
      <c r="AM528" s="1293"/>
      <c r="AN528" s="1293"/>
      <c r="AO528" s="1293"/>
      <c r="AP528" s="1293"/>
      <c r="AQ528" s="1293"/>
      <c r="AR528" s="1293"/>
      <c r="AS528" s="1293"/>
    </row>
    <row r="529" spans="1:45" ht="15.75">
      <c r="A529" s="1293" t="s">
        <v>2324</v>
      </c>
      <c r="B529" s="1293"/>
      <c r="C529" s="1293"/>
      <c r="D529" s="1293"/>
      <c r="E529" s="1293"/>
      <c r="F529" s="1293"/>
      <c r="G529" s="1965">
        <f t="shared" ref="G529:M529" si="306">SUM(G504:G510)</f>
        <v>88.510999999999996</v>
      </c>
      <c r="H529" s="1965">
        <f t="shared" si="306"/>
        <v>411.69899999999996</v>
      </c>
      <c r="I529" s="1965">
        <f t="shared" si="306"/>
        <v>134.661</v>
      </c>
      <c r="J529" s="1965">
        <f t="shared" si="306"/>
        <v>889.31899999999996</v>
      </c>
      <c r="K529" s="1965">
        <f t="shared" si="306"/>
        <v>496.5</v>
      </c>
      <c r="L529" s="1965">
        <f t="shared" si="306"/>
        <v>434</v>
      </c>
      <c r="M529" s="1965">
        <f t="shared" si="306"/>
        <v>555.46400000000006</v>
      </c>
      <c r="N529" s="1965">
        <f t="shared" ref="N529:AG529" si="307">SUM(N504:N528)</f>
        <v>621</v>
      </c>
      <c r="O529" s="1965">
        <f t="shared" si="307"/>
        <v>693</v>
      </c>
      <c r="P529" s="1965">
        <f t="shared" si="307"/>
        <v>423</v>
      </c>
      <c r="Q529" s="1965">
        <f t="shared" si="307"/>
        <v>362</v>
      </c>
      <c r="R529" s="1965">
        <f t="shared" si="307"/>
        <v>251</v>
      </c>
      <c r="S529" s="1965">
        <f t="shared" si="307"/>
        <v>143</v>
      </c>
      <c r="T529" s="1965">
        <f t="shared" si="307"/>
        <v>265</v>
      </c>
      <c r="U529" s="1965">
        <f t="shared" si="307"/>
        <v>543</v>
      </c>
      <c r="V529" s="1965">
        <f t="shared" si="307"/>
        <v>343</v>
      </c>
      <c r="W529" s="1965">
        <f t="shared" si="307"/>
        <v>270</v>
      </c>
      <c r="X529" s="1965">
        <f t="shared" si="307"/>
        <v>2084</v>
      </c>
      <c r="Y529" s="1965">
        <f t="shared" si="307"/>
        <v>343</v>
      </c>
      <c r="Z529" s="1965">
        <f t="shared" si="307"/>
        <v>343</v>
      </c>
      <c r="AA529" s="1965">
        <f t="shared" si="307"/>
        <v>343</v>
      </c>
      <c r="AB529" s="1965">
        <f t="shared" si="307"/>
        <v>343</v>
      </c>
      <c r="AC529" s="1965">
        <f t="shared" si="307"/>
        <v>343</v>
      </c>
      <c r="AD529" s="1965">
        <f t="shared" si="307"/>
        <v>343</v>
      </c>
      <c r="AE529" s="1965">
        <f t="shared" si="307"/>
        <v>343</v>
      </c>
      <c r="AF529" s="1965">
        <f t="shared" si="307"/>
        <v>343</v>
      </c>
      <c r="AG529" s="1965">
        <f t="shared" si="307"/>
        <v>343</v>
      </c>
      <c r="AH529" s="1293"/>
      <c r="AI529" s="1293"/>
      <c r="AJ529" s="1293"/>
      <c r="AK529" s="1293"/>
      <c r="AL529" s="1293"/>
      <c r="AM529" s="1293"/>
      <c r="AN529" s="1293"/>
      <c r="AO529" s="1293"/>
      <c r="AP529" s="1293"/>
      <c r="AQ529" s="1293"/>
      <c r="AR529" s="1293"/>
      <c r="AS529" s="1293"/>
    </row>
    <row r="530" spans="1:45" ht="15.75">
      <c r="A530" s="1293"/>
      <c r="B530" s="1293"/>
      <c r="C530" s="1293"/>
      <c r="D530" s="1293"/>
      <c r="E530" s="1293"/>
      <c r="F530" s="1293"/>
      <c r="G530" s="1965"/>
      <c r="H530" s="1965"/>
      <c r="I530" s="1965"/>
      <c r="J530" s="1965"/>
      <c r="K530" s="1965"/>
      <c r="L530" s="1965"/>
      <c r="M530" s="1965"/>
      <c r="N530" s="1965"/>
      <c r="O530" s="1965"/>
      <c r="P530" s="1965"/>
      <c r="Q530" s="1965"/>
      <c r="R530" s="1965"/>
      <c r="S530" s="1965"/>
      <c r="T530" s="1965"/>
      <c r="U530" s="1965"/>
      <c r="V530" s="1965"/>
      <c r="W530" s="1965"/>
      <c r="X530" s="1965"/>
      <c r="Y530" s="1965"/>
      <c r="Z530" s="1965"/>
      <c r="AA530" s="1965"/>
      <c r="AB530" s="1965"/>
      <c r="AC530" s="1965"/>
      <c r="AD530" s="1965"/>
      <c r="AE530" s="1965"/>
      <c r="AF530" s="1965"/>
      <c r="AG530" s="1965"/>
      <c r="AH530" s="1293"/>
      <c r="AI530" s="1293"/>
      <c r="AJ530" s="1293"/>
      <c r="AK530" s="1293"/>
      <c r="AL530" s="1293"/>
      <c r="AM530" s="1293"/>
      <c r="AN530" s="1293"/>
      <c r="AO530" s="1293"/>
      <c r="AP530" s="1293"/>
      <c r="AQ530" s="1293"/>
      <c r="AR530" s="1293"/>
      <c r="AS530" s="1293"/>
    </row>
    <row r="531" spans="1:45" ht="15.75">
      <c r="A531" s="2504" t="s">
        <v>808</v>
      </c>
      <c r="B531" s="1293"/>
      <c r="C531" s="1293"/>
      <c r="D531" s="1293"/>
      <c r="E531" s="1293"/>
      <c r="F531" s="1293"/>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1965"/>
      <c r="AH531" s="1293"/>
      <c r="AI531" s="1293"/>
      <c r="AJ531" s="1293"/>
      <c r="AK531" s="1293"/>
      <c r="AL531" s="1293"/>
      <c r="AM531" s="1293"/>
      <c r="AN531" s="1293"/>
      <c r="AO531" s="1293"/>
      <c r="AP531" s="1293"/>
      <c r="AQ531" s="1293"/>
      <c r="AR531" s="1293"/>
      <c r="AS531" s="1293"/>
    </row>
    <row r="532" spans="1:45" ht="15.75">
      <c r="A532" s="1293" t="s">
        <v>804</v>
      </c>
      <c r="B532" s="1293"/>
      <c r="C532" s="1293"/>
      <c r="D532" s="1293"/>
      <c r="E532" s="1293"/>
      <c r="F532" s="1293"/>
      <c r="G532" s="1966">
        <v>536.62900000000002</v>
      </c>
      <c r="H532" s="1966">
        <v>537.59900000000005</v>
      </c>
      <c r="I532" s="1966">
        <v>538.673</v>
      </c>
      <c r="J532" s="1966">
        <v>0</v>
      </c>
      <c r="K532" s="1966">
        <v>453.47</v>
      </c>
      <c r="L532" s="1966">
        <v>454</v>
      </c>
      <c r="M532" s="1966">
        <v>0</v>
      </c>
      <c r="N532" s="1966">
        <v>0</v>
      </c>
      <c r="O532" s="1966">
        <v>0</v>
      </c>
      <c r="P532" s="1965">
        <f t="shared" ref="P532:AG532" si="308">P560-P504</f>
        <v>0</v>
      </c>
      <c r="Q532" s="1965">
        <f t="shared" si="308"/>
        <v>0</v>
      </c>
      <c r="R532" s="1965">
        <f t="shared" si="308"/>
        <v>0</v>
      </c>
      <c r="S532" s="1965">
        <f t="shared" si="308"/>
        <v>0</v>
      </c>
      <c r="T532" s="1965">
        <f t="shared" si="308"/>
        <v>0</v>
      </c>
      <c r="U532" s="1965">
        <f t="shared" si="308"/>
        <v>0</v>
      </c>
      <c r="V532" s="1965">
        <f t="shared" si="308"/>
        <v>0</v>
      </c>
      <c r="W532" s="1965">
        <f t="shared" si="308"/>
        <v>0</v>
      </c>
      <c r="X532" s="1965">
        <f t="shared" si="308"/>
        <v>0</v>
      </c>
      <c r="Y532" s="1965">
        <f t="shared" si="308"/>
        <v>0</v>
      </c>
      <c r="Z532" s="1965">
        <f t="shared" si="308"/>
        <v>0</v>
      </c>
      <c r="AA532" s="1965">
        <f t="shared" si="308"/>
        <v>0</v>
      </c>
      <c r="AB532" s="1965">
        <f t="shared" si="308"/>
        <v>0</v>
      </c>
      <c r="AC532" s="1965">
        <f t="shared" si="308"/>
        <v>0</v>
      </c>
      <c r="AD532" s="1965">
        <f t="shared" si="308"/>
        <v>0</v>
      </c>
      <c r="AE532" s="1965">
        <f t="shared" si="308"/>
        <v>0</v>
      </c>
      <c r="AF532" s="1965">
        <f t="shared" si="308"/>
        <v>0</v>
      </c>
      <c r="AG532" s="1965">
        <f t="shared" si="308"/>
        <v>0</v>
      </c>
      <c r="AH532" s="1293"/>
      <c r="AI532" s="1293"/>
      <c r="AJ532" s="1293"/>
      <c r="AK532" s="1293"/>
      <c r="AL532" s="1293"/>
      <c r="AM532" s="1293"/>
      <c r="AN532" s="1293"/>
      <c r="AO532" s="1293"/>
      <c r="AP532" s="1293"/>
      <c r="AQ532" s="1293"/>
      <c r="AR532" s="1293"/>
      <c r="AS532" s="1293"/>
    </row>
    <row r="533" spans="1:45" ht="15.75">
      <c r="A533" s="1293" t="s">
        <v>805</v>
      </c>
      <c r="B533" s="1293"/>
      <c r="C533" s="1293"/>
      <c r="D533" s="1293"/>
      <c r="E533" s="1293"/>
      <c r="F533" s="1293"/>
      <c r="G533" s="1965"/>
      <c r="H533" s="1966">
        <v>163.28399999999999</v>
      </c>
      <c r="I533" s="1966">
        <v>171.16900000000001</v>
      </c>
      <c r="J533" s="1966">
        <v>0</v>
      </c>
      <c r="K533" s="1966">
        <v>0</v>
      </c>
      <c r="L533" s="1966">
        <v>0</v>
      </c>
      <c r="M533" s="1965">
        <f t="shared" ref="M533:O534" ca="1" si="309">M561-M505</f>
        <v>0</v>
      </c>
      <c r="N533" s="1965">
        <f t="shared" ca="1" si="309"/>
        <v>0</v>
      </c>
      <c r="O533" s="1965">
        <f t="shared" si="309"/>
        <v>0</v>
      </c>
      <c r="P533" s="1965">
        <f t="shared" ref="P533:AG533" si="310">P561-P505</f>
        <v>0</v>
      </c>
      <c r="Q533" s="1965">
        <f t="shared" si="310"/>
        <v>0</v>
      </c>
      <c r="R533" s="1965">
        <f t="shared" si="310"/>
        <v>0</v>
      </c>
      <c r="S533" s="1965">
        <f t="shared" si="310"/>
        <v>0</v>
      </c>
      <c r="T533" s="1965">
        <f t="shared" si="310"/>
        <v>0</v>
      </c>
      <c r="U533" s="1965">
        <f t="shared" si="310"/>
        <v>0</v>
      </c>
      <c r="V533" s="1965">
        <f t="shared" si="310"/>
        <v>0</v>
      </c>
      <c r="W533" s="1965">
        <f t="shared" si="310"/>
        <v>0</v>
      </c>
      <c r="X533" s="1965">
        <f t="shared" si="310"/>
        <v>0</v>
      </c>
      <c r="Y533" s="1965">
        <f t="shared" si="310"/>
        <v>0</v>
      </c>
      <c r="Z533" s="1965">
        <f t="shared" si="310"/>
        <v>0</v>
      </c>
      <c r="AA533" s="1965">
        <f t="shared" si="310"/>
        <v>0</v>
      </c>
      <c r="AB533" s="1965">
        <f t="shared" si="310"/>
        <v>0</v>
      </c>
      <c r="AC533" s="1965">
        <f t="shared" si="310"/>
        <v>0</v>
      </c>
      <c r="AD533" s="1965">
        <f t="shared" si="310"/>
        <v>0</v>
      </c>
      <c r="AE533" s="1965">
        <f t="shared" si="310"/>
        <v>0</v>
      </c>
      <c r="AF533" s="1965">
        <f t="shared" si="310"/>
        <v>0</v>
      </c>
      <c r="AG533" s="1965">
        <f t="shared" si="310"/>
        <v>0</v>
      </c>
      <c r="AH533" s="1293"/>
      <c r="AI533" s="1293"/>
      <c r="AJ533" s="1293"/>
      <c r="AK533" s="1293"/>
      <c r="AL533" s="1293"/>
      <c r="AM533" s="1293"/>
      <c r="AN533" s="1293"/>
      <c r="AO533" s="1293"/>
      <c r="AP533" s="1293"/>
      <c r="AQ533" s="1293"/>
      <c r="AR533" s="1293"/>
      <c r="AS533" s="1293"/>
    </row>
    <row r="534" spans="1:45" ht="15.75">
      <c r="A534" s="1293" t="s">
        <v>806</v>
      </c>
      <c r="B534" s="1293"/>
      <c r="C534" s="1293"/>
      <c r="D534" s="1293"/>
      <c r="E534" s="1293"/>
      <c r="F534" s="1293"/>
      <c r="G534" s="1966">
        <v>365.00599999999997</v>
      </c>
      <c r="H534" s="1965"/>
      <c r="I534" s="1965">
        <v>0</v>
      </c>
      <c r="J534" s="1965">
        <f ca="1">+J562-J506</f>
        <v>0</v>
      </c>
      <c r="K534" s="1965">
        <f ca="1">+K562-K506</f>
        <v>0</v>
      </c>
      <c r="L534" s="1965">
        <f ca="1">+L562-L506</f>
        <v>0</v>
      </c>
      <c r="M534" s="1965">
        <f t="shared" ca="1" si="309"/>
        <v>0</v>
      </c>
      <c r="N534" s="1965">
        <f t="shared" ca="1" si="309"/>
        <v>0</v>
      </c>
      <c r="O534" s="1965">
        <f t="shared" ca="1" si="309"/>
        <v>0</v>
      </c>
      <c r="P534" s="1965">
        <f t="shared" ref="P534:AG534" ca="1" si="311">P562-P506</f>
        <v>0</v>
      </c>
      <c r="Q534" s="1965">
        <f t="shared" ca="1" si="311"/>
        <v>0</v>
      </c>
      <c r="R534" s="1965">
        <f t="shared" ca="1" si="311"/>
        <v>0</v>
      </c>
      <c r="S534" s="1965">
        <f t="shared" ca="1" si="311"/>
        <v>0</v>
      </c>
      <c r="T534" s="1965">
        <f t="shared" ca="1" si="311"/>
        <v>0</v>
      </c>
      <c r="U534" s="1965">
        <f t="shared" ca="1" si="311"/>
        <v>0</v>
      </c>
      <c r="V534" s="1965">
        <f t="shared" ca="1" si="311"/>
        <v>0</v>
      </c>
      <c r="W534" s="1965">
        <f t="shared" ca="1" si="311"/>
        <v>0</v>
      </c>
      <c r="X534" s="1965">
        <f t="shared" ca="1" si="311"/>
        <v>0</v>
      </c>
      <c r="Y534" s="1965">
        <f t="shared" ca="1" si="311"/>
        <v>0</v>
      </c>
      <c r="Z534" s="1965">
        <f t="shared" ca="1" si="311"/>
        <v>0</v>
      </c>
      <c r="AA534" s="1965">
        <f t="shared" ca="1" si="311"/>
        <v>0</v>
      </c>
      <c r="AB534" s="1965">
        <f t="shared" ca="1" si="311"/>
        <v>0</v>
      </c>
      <c r="AC534" s="1965">
        <f t="shared" ca="1" si="311"/>
        <v>0</v>
      </c>
      <c r="AD534" s="1965">
        <f t="shared" ca="1" si="311"/>
        <v>0</v>
      </c>
      <c r="AE534" s="1965">
        <f t="shared" ca="1" si="311"/>
        <v>0</v>
      </c>
      <c r="AF534" s="1965">
        <f t="shared" ca="1" si="311"/>
        <v>0</v>
      </c>
      <c r="AG534" s="1965">
        <f t="shared" ca="1" si="311"/>
        <v>0</v>
      </c>
      <c r="AH534" s="1293"/>
      <c r="AI534" s="1293"/>
      <c r="AJ534" s="1293"/>
      <c r="AK534" s="1293"/>
      <c r="AL534" s="1293"/>
      <c r="AM534" s="1293"/>
      <c r="AN534" s="1293"/>
      <c r="AO534" s="1293"/>
      <c r="AP534" s="1293"/>
      <c r="AQ534" s="1293"/>
      <c r="AR534" s="1293"/>
      <c r="AS534" s="1293"/>
    </row>
    <row r="535" spans="1:45" ht="15.75">
      <c r="A535" s="1293" t="s">
        <v>807</v>
      </c>
      <c r="B535" s="1293"/>
      <c r="C535" s="1293"/>
      <c r="D535" s="1293"/>
      <c r="E535" s="1293"/>
      <c r="F535" s="1293"/>
      <c r="G535" s="1966">
        <v>124.267</v>
      </c>
      <c r="H535" s="1966">
        <v>120.041</v>
      </c>
      <c r="I535" s="1966">
        <v>649.15300000000002</v>
      </c>
      <c r="J535" s="1966">
        <v>945.20600000000002</v>
      </c>
      <c r="K535" s="1966">
        <v>1208</v>
      </c>
      <c r="L535" s="1966">
        <v>1458</v>
      </c>
      <c r="M535" s="1966">
        <f>1796.572-M536</f>
        <v>1346.5719999999999</v>
      </c>
      <c r="N535" s="1966">
        <f>1817+120-N536</f>
        <v>1487</v>
      </c>
      <c r="O535" s="1966">
        <f>2566-SUM(O536:O541)</f>
        <v>1092.3076923076924</v>
      </c>
      <c r="P535" s="1965">
        <f t="shared" ref="P535:AG535" ca="1" si="312">+P563-P507</f>
        <v>723</v>
      </c>
      <c r="Q535" s="1965">
        <f t="shared" ca="1" si="312"/>
        <v>868</v>
      </c>
      <c r="R535" s="1965">
        <f t="shared" ca="1" si="312"/>
        <v>1161</v>
      </c>
      <c r="S535" s="1965">
        <f t="shared" ca="1" si="312"/>
        <v>1547</v>
      </c>
      <c r="T535" s="1965">
        <f t="shared" ca="1" si="312"/>
        <v>1725</v>
      </c>
      <c r="U535" s="1965">
        <f t="shared" ca="1" si="312"/>
        <v>1668.5</v>
      </c>
      <c r="V535" s="1965">
        <f t="shared" ca="1" si="312"/>
        <v>1540.9876438628989</v>
      </c>
      <c r="W535" s="1965">
        <f t="shared" ca="1" si="312"/>
        <v>797.33020504113847</v>
      </c>
      <c r="X535" s="1965">
        <f t="shared" ca="1" si="312"/>
        <v>-1003.033988507249</v>
      </c>
      <c r="Y535" s="1965">
        <f t="shared" ca="1" si="312"/>
        <v>69.192866331461119</v>
      </c>
      <c r="Z535" s="1965">
        <f t="shared" ca="1" si="312"/>
        <v>46.731526815332472</v>
      </c>
      <c r="AA535" s="1965">
        <f t="shared" ca="1" si="312"/>
        <v>46.731526815332472</v>
      </c>
      <c r="AB535" s="1965">
        <f t="shared" ca="1" si="312"/>
        <v>46.731526815332472</v>
      </c>
      <c r="AC535" s="1965">
        <f t="shared" ca="1" si="312"/>
        <v>46.731526815332472</v>
      </c>
      <c r="AD535" s="1965">
        <f t="shared" ca="1" si="312"/>
        <v>46.731526815332472</v>
      </c>
      <c r="AE535" s="1965">
        <f t="shared" ca="1" si="312"/>
        <v>46.731526815332472</v>
      </c>
      <c r="AF535" s="1965">
        <f t="shared" ca="1" si="312"/>
        <v>46.731526815332472</v>
      </c>
      <c r="AG535" s="1965">
        <f t="shared" ca="1" si="312"/>
        <v>46.731526815332472</v>
      </c>
      <c r="AH535" s="1293"/>
      <c r="AI535" s="1293"/>
      <c r="AJ535" s="1293"/>
      <c r="AK535" s="1293"/>
      <c r="AL535" s="1293"/>
      <c r="AM535" s="1293"/>
      <c r="AN535" s="1293"/>
      <c r="AO535" s="1293"/>
      <c r="AP535" s="1293"/>
      <c r="AQ535" s="1293"/>
      <c r="AR535" s="1293"/>
      <c r="AS535" s="1293"/>
    </row>
    <row r="536" spans="1:45" ht="15.75">
      <c r="A536" s="1293" t="str">
        <f t="shared" ref="A536:A557" si="313">A508</f>
        <v>8.00% notes (El Sal)</v>
      </c>
      <c r="B536" s="1293"/>
      <c r="C536" s="1293"/>
      <c r="D536" s="1293"/>
      <c r="E536" s="1293"/>
      <c r="F536" s="1293"/>
      <c r="G536" s="1965"/>
      <c r="H536" s="1965"/>
      <c r="I536" s="1965">
        <f t="shared" ref="I536:O539" si="314">+I564-I508</f>
        <v>0</v>
      </c>
      <c r="J536" s="1965">
        <f t="shared" si="314"/>
        <v>0</v>
      </c>
      <c r="K536" s="1965">
        <f t="shared" si="314"/>
        <v>0</v>
      </c>
      <c r="L536" s="1965">
        <f t="shared" si="314"/>
        <v>0</v>
      </c>
      <c r="M536" s="1965">
        <f t="shared" si="314"/>
        <v>450</v>
      </c>
      <c r="N536" s="1965">
        <f t="shared" si="314"/>
        <v>450</v>
      </c>
      <c r="O536" s="1965">
        <f t="shared" si="314"/>
        <v>450</v>
      </c>
      <c r="P536" s="1965">
        <f t="shared" ref="P536:AG536" si="315">+P564-P508</f>
        <v>441</v>
      </c>
      <c r="Q536" s="1965">
        <f t="shared" si="315"/>
        <v>304</v>
      </c>
      <c r="R536" s="1965">
        <f t="shared" si="315"/>
        <v>0</v>
      </c>
      <c r="S536" s="1965">
        <f t="shared" si="315"/>
        <v>0</v>
      </c>
      <c r="T536" s="1965">
        <f t="shared" si="315"/>
        <v>0</v>
      </c>
      <c r="U536" s="1965">
        <f t="shared" si="315"/>
        <v>0</v>
      </c>
      <c r="V536" s="1965">
        <f t="shared" si="315"/>
        <v>0</v>
      </c>
      <c r="W536" s="1965">
        <f t="shared" si="315"/>
        <v>0</v>
      </c>
      <c r="X536" s="1965">
        <f t="shared" si="315"/>
        <v>0</v>
      </c>
      <c r="Y536" s="1965">
        <f t="shared" si="315"/>
        <v>0</v>
      </c>
      <c r="Z536" s="1965">
        <f t="shared" si="315"/>
        <v>0</v>
      </c>
      <c r="AA536" s="1965">
        <f t="shared" si="315"/>
        <v>0</v>
      </c>
      <c r="AB536" s="1965">
        <f t="shared" si="315"/>
        <v>0</v>
      </c>
      <c r="AC536" s="1965">
        <f t="shared" si="315"/>
        <v>0</v>
      </c>
      <c r="AD536" s="1965">
        <f t="shared" si="315"/>
        <v>0</v>
      </c>
      <c r="AE536" s="1965">
        <f t="shared" si="315"/>
        <v>0</v>
      </c>
      <c r="AF536" s="1965">
        <f t="shared" si="315"/>
        <v>0</v>
      </c>
      <c r="AG536" s="1965">
        <f t="shared" si="315"/>
        <v>0</v>
      </c>
      <c r="AH536" s="1293"/>
      <c r="AI536" s="1293"/>
      <c r="AJ536" s="1293"/>
      <c r="AK536" s="1293"/>
      <c r="AL536" s="1293"/>
      <c r="AM536" s="1293"/>
      <c r="AN536" s="1293"/>
      <c r="AO536" s="1293"/>
      <c r="AP536" s="1293"/>
      <c r="AQ536" s="1293"/>
      <c r="AR536" s="1293"/>
      <c r="AS536" s="1293"/>
    </row>
    <row r="537" spans="1:45" ht="15.75">
      <c r="A537" s="1293" t="str">
        <f t="shared" si="313"/>
        <v>Towers lease liability</v>
      </c>
      <c r="B537" s="1293"/>
      <c r="C537" s="1293"/>
      <c r="D537" s="1293"/>
      <c r="E537" s="1293"/>
      <c r="F537" s="1293"/>
      <c r="G537" s="1965"/>
      <c r="H537" s="1965"/>
      <c r="I537" s="1965">
        <f t="shared" si="314"/>
        <v>0</v>
      </c>
      <c r="J537" s="1965">
        <f t="shared" si="314"/>
        <v>0</v>
      </c>
      <c r="K537" s="1965">
        <f t="shared" si="314"/>
        <v>0</v>
      </c>
      <c r="L537" s="1965">
        <f t="shared" si="314"/>
        <v>0</v>
      </c>
      <c r="M537" s="1965">
        <f t="shared" si="314"/>
        <v>0</v>
      </c>
      <c r="N537" s="1965">
        <f t="shared" si="314"/>
        <v>0</v>
      </c>
      <c r="O537" s="1965">
        <f t="shared" si="314"/>
        <v>232</v>
      </c>
      <c r="P537" s="1965">
        <f t="shared" ref="P537:AG537" si="316">+P565-P509</f>
        <v>279</v>
      </c>
      <c r="Q537" s="1965">
        <f t="shared" si="316"/>
        <v>272</v>
      </c>
      <c r="R537" s="1965">
        <f t="shared" si="316"/>
        <v>336</v>
      </c>
      <c r="S537" s="1965">
        <f t="shared" si="316"/>
        <v>295</v>
      </c>
      <c r="T537" s="1965">
        <f t="shared" si="316"/>
        <v>295</v>
      </c>
      <c r="U537" s="1965">
        <f t="shared" si="316"/>
        <v>382.5</v>
      </c>
      <c r="V537" s="1965">
        <f t="shared" si="316"/>
        <v>382.5</v>
      </c>
      <c r="W537" s="1965">
        <f t="shared" si="316"/>
        <v>382.5</v>
      </c>
      <c r="X537" s="1965">
        <f t="shared" si="316"/>
        <v>382.5</v>
      </c>
      <c r="Y537" s="1965">
        <f t="shared" si="316"/>
        <v>382.5</v>
      </c>
      <c r="Z537" s="1965">
        <f t="shared" si="316"/>
        <v>382.5</v>
      </c>
      <c r="AA537" s="1965">
        <f t="shared" si="316"/>
        <v>382.5</v>
      </c>
      <c r="AB537" s="1965">
        <f t="shared" si="316"/>
        <v>382.5</v>
      </c>
      <c r="AC537" s="1965">
        <f t="shared" si="316"/>
        <v>382.5</v>
      </c>
      <c r="AD537" s="1965">
        <f t="shared" si="316"/>
        <v>382.5</v>
      </c>
      <c r="AE537" s="1965">
        <f t="shared" si="316"/>
        <v>382.5</v>
      </c>
      <c r="AF537" s="1965">
        <f t="shared" si="316"/>
        <v>382.5</v>
      </c>
      <c r="AG537" s="1965">
        <f t="shared" si="316"/>
        <v>382.5</v>
      </c>
      <c r="AH537" s="1293"/>
      <c r="AI537" s="1293"/>
      <c r="AJ537" s="1293"/>
      <c r="AK537" s="1293"/>
      <c r="AL537" s="1293"/>
      <c r="AM537" s="1293"/>
      <c r="AN537" s="1293"/>
      <c r="AO537" s="1293"/>
      <c r="AP537" s="1293"/>
      <c r="AQ537" s="1293"/>
      <c r="AR537" s="1293"/>
      <c r="AS537" s="1293"/>
    </row>
    <row r="538" spans="1:45" ht="15.75">
      <c r="A538" s="1293" t="str">
        <f t="shared" si="313"/>
        <v>SEK1.75bn floating</v>
      </c>
      <c r="B538" s="1293"/>
      <c r="C538" s="1293"/>
      <c r="D538" s="1293"/>
      <c r="E538" s="1293"/>
      <c r="F538" s="1293"/>
      <c r="G538" s="1965"/>
      <c r="H538" s="1965"/>
      <c r="I538" s="1965">
        <f t="shared" si="314"/>
        <v>0</v>
      </c>
      <c r="J538" s="1965">
        <f t="shared" si="314"/>
        <v>0</v>
      </c>
      <c r="K538" s="1965">
        <f t="shared" si="314"/>
        <v>0</v>
      </c>
      <c r="L538" s="1965">
        <f t="shared" si="314"/>
        <v>0</v>
      </c>
      <c r="M538" s="1965">
        <f t="shared" si="314"/>
        <v>0</v>
      </c>
      <c r="N538" s="1965">
        <f t="shared" si="314"/>
        <v>0</v>
      </c>
      <c r="O538" s="1965">
        <f t="shared" si="314"/>
        <v>269.23076923076923</v>
      </c>
      <c r="P538" s="1965">
        <f t="shared" ref="P538:AG538" si="317">+P566-P510</f>
        <v>273</v>
      </c>
      <c r="Q538" s="1965">
        <f t="shared" si="317"/>
        <v>226</v>
      </c>
      <c r="R538" s="1965">
        <f t="shared" si="317"/>
        <v>207</v>
      </c>
      <c r="S538" s="1965">
        <f t="shared" si="317"/>
        <v>0</v>
      </c>
      <c r="T538" s="1965">
        <f t="shared" si="317"/>
        <v>0</v>
      </c>
      <c r="U538" s="1965">
        <f t="shared" si="317"/>
        <v>0</v>
      </c>
      <c r="V538" s="1965">
        <f t="shared" si="317"/>
        <v>0</v>
      </c>
      <c r="W538" s="1965">
        <f t="shared" si="317"/>
        <v>0</v>
      </c>
      <c r="X538" s="1965">
        <f t="shared" si="317"/>
        <v>0</v>
      </c>
      <c r="Y538" s="1965">
        <f t="shared" si="317"/>
        <v>0</v>
      </c>
      <c r="Z538" s="1965">
        <f t="shared" si="317"/>
        <v>0</v>
      </c>
      <c r="AA538" s="1965">
        <f t="shared" si="317"/>
        <v>0</v>
      </c>
      <c r="AB538" s="1965">
        <f t="shared" si="317"/>
        <v>0</v>
      </c>
      <c r="AC538" s="1965">
        <f t="shared" si="317"/>
        <v>0</v>
      </c>
      <c r="AD538" s="1965">
        <f t="shared" si="317"/>
        <v>0</v>
      </c>
      <c r="AE538" s="1965">
        <f t="shared" si="317"/>
        <v>0</v>
      </c>
      <c r="AF538" s="1965">
        <f t="shared" si="317"/>
        <v>0</v>
      </c>
      <c r="AG538" s="1965">
        <f t="shared" si="317"/>
        <v>0</v>
      </c>
      <c r="AH538" s="1293"/>
      <c r="AI538" s="1293"/>
      <c r="AJ538" s="1293"/>
      <c r="AK538" s="1293"/>
      <c r="AL538" s="1293"/>
      <c r="AM538" s="1293"/>
      <c r="AN538" s="1293"/>
      <c r="AO538" s="1293"/>
      <c r="AP538" s="1293"/>
      <c r="AQ538" s="1293"/>
      <c r="AR538" s="1293"/>
      <c r="AS538" s="1293"/>
    </row>
    <row r="539" spans="1:45" ht="15.75">
      <c r="A539" s="1293" t="str">
        <f t="shared" si="313"/>
        <v>SEK0.25bn 5.125%</v>
      </c>
      <c r="B539" s="1293"/>
      <c r="C539" s="1293"/>
      <c r="D539" s="1293"/>
      <c r="E539" s="1293"/>
      <c r="F539" s="1293"/>
      <c r="G539" s="1965"/>
      <c r="H539" s="1965"/>
      <c r="I539" s="1965">
        <f t="shared" si="314"/>
        <v>0</v>
      </c>
      <c r="J539" s="1965">
        <f t="shared" si="314"/>
        <v>0</v>
      </c>
      <c r="K539" s="1965">
        <f t="shared" si="314"/>
        <v>0</v>
      </c>
      <c r="L539" s="1965">
        <f t="shared" si="314"/>
        <v>0</v>
      </c>
      <c r="M539" s="1965">
        <f t="shared" si="314"/>
        <v>0</v>
      </c>
      <c r="N539" s="1965">
        <f t="shared" si="314"/>
        <v>0</v>
      </c>
      <c r="O539" s="1965">
        <f t="shared" si="314"/>
        <v>38.46153846153846</v>
      </c>
      <c r="P539" s="1965">
        <f t="shared" ref="P539:AG539" si="318">+P567-P511</f>
        <v>37</v>
      </c>
      <c r="Q539" s="1965">
        <f t="shared" si="318"/>
        <v>30</v>
      </c>
      <c r="R539" s="1965">
        <f t="shared" si="318"/>
        <v>27</v>
      </c>
      <c r="S539" s="1965">
        <f t="shared" si="318"/>
        <v>0</v>
      </c>
      <c r="T539" s="1965">
        <f t="shared" si="318"/>
        <v>0</v>
      </c>
      <c r="U539" s="1965">
        <f t="shared" si="318"/>
        <v>0</v>
      </c>
      <c r="V539" s="1965">
        <f t="shared" si="318"/>
        <v>0</v>
      </c>
      <c r="W539" s="1965">
        <f t="shared" si="318"/>
        <v>0</v>
      </c>
      <c r="X539" s="1965">
        <f t="shared" si="318"/>
        <v>0</v>
      </c>
      <c r="Y539" s="1965">
        <f t="shared" si="318"/>
        <v>0</v>
      </c>
      <c r="Z539" s="1965">
        <f t="shared" si="318"/>
        <v>0</v>
      </c>
      <c r="AA539" s="1965">
        <f t="shared" si="318"/>
        <v>0</v>
      </c>
      <c r="AB539" s="1965">
        <f t="shared" si="318"/>
        <v>0</v>
      </c>
      <c r="AC539" s="1965">
        <f t="shared" si="318"/>
        <v>0</v>
      </c>
      <c r="AD539" s="1965">
        <f t="shared" si="318"/>
        <v>0</v>
      </c>
      <c r="AE539" s="1965">
        <f t="shared" si="318"/>
        <v>0</v>
      </c>
      <c r="AF539" s="1965">
        <f t="shared" si="318"/>
        <v>0</v>
      </c>
      <c r="AG539" s="1965">
        <f t="shared" si="318"/>
        <v>0</v>
      </c>
      <c r="AH539" s="1293"/>
      <c r="AI539" s="1293"/>
      <c r="AJ539" s="1293"/>
      <c r="AK539" s="1293"/>
      <c r="AL539" s="1293"/>
      <c r="AM539" s="1293"/>
      <c r="AN539" s="1293"/>
      <c r="AO539" s="1293"/>
      <c r="AP539" s="1293"/>
      <c r="AQ539" s="1293"/>
      <c r="AR539" s="1293"/>
      <c r="AS539" s="1293"/>
    </row>
    <row r="540" spans="1:45" ht="15.75">
      <c r="A540" s="1293" t="str">
        <f t="shared" si="313"/>
        <v>Bolivia 4.75% (BOL)</v>
      </c>
      <c r="B540" s="1293"/>
      <c r="C540" s="1293"/>
      <c r="D540" s="1293"/>
      <c r="E540" s="1293"/>
      <c r="F540" s="1293"/>
      <c r="G540" s="1965"/>
      <c r="H540" s="1965"/>
      <c r="I540" s="1965"/>
      <c r="J540" s="1965"/>
      <c r="K540" s="1965"/>
      <c r="L540" s="1965"/>
      <c r="M540" s="1965"/>
      <c r="N540" s="1965"/>
      <c r="O540" s="1965">
        <f>+O568-O512</f>
        <v>191</v>
      </c>
      <c r="P540" s="1965">
        <f t="shared" ref="P540:AG540" si="319">+P568-P512</f>
        <v>175</v>
      </c>
      <c r="Q540" s="1965">
        <f t="shared" si="319"/>
        <v>156</v>
      </c>
      <c r="R540" s="1965">
        <f t="shared" si="319"/>
        <v>235</v>
      </c>
      <c r="S540" s="1965">
        <f t="shared" si="319"/>
        <v>287</v>
      </c>
      <c r="T540" s="1965">
        <f t="shared" si="319"/>
        <v>335</v>
      </c>
      <c r="U540" s="1965">
        <f t="shared" si="319"/>
        <v>281</v>
      </c>
      <c r="V540" s="1965">
        <f t="shared" si="319"/>
        <v>256</v>
      </c>
      <c r="W540" s="1965">
        <f t="shared" si="319"/>
        <v>231</v>
      </c>
      <c r="X540" s="1965">
        <f t="shared" si="319"/>
        <v>206</v>
      </c>
      <c r="Y540" s="1965">
        <f t="shared" si="319"/>
        <v>181</v>
      </c>
      <c r="Z540" s="1965">
        <f t="shared" si="319"/>
        <v>156</v>
      </c>
      <c r="AA540" s="1965">
        <f t="shared" si="319"/>
        <v>131</v>
      </c>
      <c r="AB540" s="1965">
        <f t="shared" si="319"/>
        <v>106</v>
      </c>
      <c r="AC540" s="1965">
        <f t="shared" si="319"/>
        <v>81</v>
      </c>
      <c r="AD540" s="1965">
        <f t="shared" si="319"/>
        <v>56</v>
      </c>
      <c r="AE540" s="1965">
        <f t="shared" si="319"/>
        <v>31</v>
      </c>
      <c r="AF540" s="1965">
        <f t="shared" si="319"/>
        <v>6</v>
      </c>
      <c r="AG540" s="1965">
        <f t="shared" si="319"/>
        <v>-19</v>
      </c>
      <c r="AH540" s="1293"/>
      <c r="AI540" s="1293"/>
      <c r="AJ540" s="1293"/>
      <c r="AK540" s="1293"/>
      <c r="AL540" s="1293"/>
      <c r="AM540" s="1293"/>
      <c r="AN540" s="1293"/>
      <c r="AO540" s="1293"/>
      <c r="AP540" s="1293"/>
      <c r="AQ540" s="1293"/>
      <c r="AR540" s="1293"/>
      <c r="AS540" s="1293"/>
    </row>
    <row r="541" spans="1:45" ht="15.75">
      <c r="A541" s="1293" t="str">
        <f t="shared" si="313"/>
        <v>Paraguay 6.75% 2022</v>
      </c>
      <c r="B541" s="1293"/>
      <c r="C541" s="1293"/>
      <c r="D541" s="1293"/>
      <c r="E541" s="1293"/>
      <c r="F541" s="1293"/>
      <c r="G541" s="1965"/>
      <c r="H541" s="1965"/>
      <c r="I541" s="1965"/>
      <c r="J541" s="1965"/>
      <c r="K541" s="1965"/>
      <c r="L541" s="1965"/>
      <c r="M541" s="1965"/>
      <c r="N541" s="1965"/>
      <c r="O541" s="1965">
        <f>+O569-O513</f>
        <v>293</v>
      </c>
      <c r="P541" s="1965">
        <f t="shared" ref="P541:AG541" si="320">+P569-P513</f>
        <v>294</v>
      </c>
      <c r="Q541" s="1965">
        <f t="shared" si="320"/>
        <v>294</v>
      </c>
      <c r="R541" s="1965">
        <f t="shared" si="320"/>
        <v>295</v>
      </c>
      <c r="S541" s="1965">
        <f t="shared" si="320"/>
        <v>296</v>
      </c>
      <c r="T541" s="1965">
        <f t="shared" si="320"/>
        <v>296</v>
      </c>
      <c r="U541" s="1965">
        <f t="shared" si="320"/>
        <v>297</v>
      </c>
      <c r="V541" s="1965">
        <f t="shared" si="320"/>
        <v>0</v>
      </c>
      <c r="W541" s="1965">
        <f t="shared" si="320"/>
        <v>0</v>
      </c>
      <c r="X541" s="1965">
        <f t="shared" si="320"/>
        <v>0</v>
      </c>
      <c r="Y541" s="1965">
        <f t="shared" si="320"/>
        <v>0</v>
      </c>
      <c r="Z541" s="1965">
        <f t="shared" si="320"/>
        <v>0</v>
      </c>
      <c r="AA541" s="1965">
        <f t="shared" si="320"/>
        <v>0</v>
      </c>
      <c r="AB541" s="1965">
        <f t="shared" si="320"/>
        <v>0</v>
      </c>
      <c r="AC541" s="1965">
        <f t="shared" si="320"/>
        <v>0</v>
      </c>
      <c r="AD541" s="1965">
        <f t="shared" si="320"/>
        <v>0</v>
      </c>
      <c r="AE541" s="1965">
        <f t="shared" si="320"/>
        <v>0</v>
      </c>
      <c r="AF541" s="1965">
        <f t="shared" si="320"/>
        <v>0</v>
      </c>
      <c r="AG541" s="1965">
        <f t="shared" si="320"/>
        <v>0</v>
      </c>
      <c r="AH541" s="1293"/>
      <c r="AI541" s="1293"/>
      <c r="AJ541" s="1293"/>
      <c r="AK541" s="1293"/>
      <c r="AL541" s="1293"/>
      <c r="AM541" s="1293"/>
      <c r="AN541" s="1293"/>
      <c r="AO541" s="1293"/>
      <c r="AP541" s="1293"/>
      <c r="AQ541" s="1293"/>
      <c r="AR541" s="1293"/>
      <c r="AS541" s="1293"/>
    </row>
    <row r="542" spans="1:45" ht="15.75">
      <c r="A542" s="1293" t="str">
        <f t="shared" si="313"/>
        <v>$ 4.75% bond</v>
      </c>
      <c r="B542" s="1293"/>
      <c r="C542" s="1293"/>
      <c r="D542" s="1293"/>
      <c r="E542" s="1293"/>
      <c r="F542" s="1293"/>
      <c r="G542" s="1965"/>
      <c r="H542" s="1965"/>
      <c r="I542" s="1965"/>
      <c r="J542" s="1965"/>
      <c r="K542" s="1965"/>
      <c r="L542" s="1965"/>
      <c r="M542" s="1965"/>
      <c r="N542" s="1965"/>
      <c r="O542" s="1965">
        <f>+O570-O514</f>
        <v>0</v>
      </c>
      <c r="P542" s="1965">
        <f t="shared" ref="P542:AG542" si="321">+P570-P514</f>
        <v>491</v>
      </c>
      <c r="Q542" s="1965">
        <f t="shared" si="321"/>
        <v>492</v>
      </c>
      <c r="R542" s="1965">
        <f t="shared" si="321"/>
        <v>486</v>
      </c>
      <c r="S542" s="1965">
        <f t="shared" si="321"/>
        <v>333</v>
      </c>
      <c r="T542" s="1965">
        <f t="shared" si="321"/>
        <v>0</v>
      </c>
      <c r="U542" s="1965">
        <f t="shared" si="321"/>
        <v>0</v>
      </c>
      <c r="V542" s="1965">
        <f t="shared" si="321"/>
        <v>0</v>
      </c>
      <c r="W542" s="1965">
        <f t="shared" si="321"/>
        <v>0</v>
      </c>
      <c r="X542" s="1965">
        <f t="shared" si="321"/>
        <v>0</v>
      </c>
      <c r="Y542" s="1965">
        <f t="shared" si="321"/>
        <v>0</v>
      </c>
      <c r="Z542" s="1965">
        <f t="shared" si="321"/>
        <v>0</v>
      </c>
      <c r="AA542" s="1965">
        <f t="shared" si="321"/>
        <v>0</v>
      </c>
      <c r="AB542" s="1965">
        <f t="shared" si="321"/>
        <v>0</v>
      </c>
      <c r="AC542" s="1965">
        <f t="shared" si="321"/>
        <v>0</v>
      </c>
      <c r="AD542" s="1965">
        <f t="shared" si="321"/>
        <v>0</v>
      </c>
      <c r="AE542" s="1965">
        <f t="shared" si="321"/>
        <v>0</v>
      </c>
      <c r="AF542" s="1965">
        <f t="shared" si="321"/>
        <v>0</v>
      </c>
      <c r="AG542" s="1965">
        <f t="shared" si="321"/>
        <v>0</v>
      </c>
      <c r="AH542" s="1293"/>
      <c r="AI542" s="1293"/>
      <c r="AJ542" s="1293"/>
      <c r="AK542" s="1293"/>
      <c r="AL542" s="1293"/>
      <c r="AM542" s="1293"/>
      <c r="AN542" s="1293"/>
      <c r="AO542" s="1293"/>
      <c r="AP542" s="1293"/>
      <c r="AQ542" s="1293"/>
      <c r="AR542" s="1293"/>
      <c r="AS542" s="1293"/>
    </row>
    <row r="543" spans="1:45" ht="15.75">
      <c r="A543" s="1293" t="str">
        <f t="shared" si="313"/>
        <v>$ 6.625% notes</v>
      </c>
      <c r="B543" s="1293"/>
      <c r="C543" s="1293"/>
      <c r="D543" s="1293"/>
      <c r="E543" s="1293"/>
      <c r="F543" s="1293"/>
      <c r="G543" s="1965"/>
      <c r="H543" s="1965"/>
      <c r="I543" s="1965"/>
      <c r="J543" s="1965"/>
      <c r="K543" s="1965"/>
      <c r="L543" s="1965"/>
      <c r="M543" s="1965"/>
      <c r="N543" s="1965"/>
      <c r="O543" s="1965"/>
      <c r="P543" s="1965">
        <f>+P571-P515</f>
        <v>791</v>
      </c>
      <c r="Q543" s="1965">
        <f>+Q571-Q515</f>
        <v>791</v>
      </c>
      <c r="R543" s="1965">
        <f>Q543</f>
        <v>791</v>
      </c>
      <c r="S543" s="1965">
        <f>R543</f>
        <v>791</v>
      </c>
      <c r="T543" s="1965">
        <f>S543</f>
        <v>791</v>
      </c>
      <c r="U543" s="1965">
        <f>T543</f>
        <v>791</v>
      </c>
      <c r="V543" s="1965">
        <f t="shared" ref="V543:AG543" si="322">+V571-V515</f>
        <v>0</v>
      </c>
      <c r="W543" s="1965">
        <f t="shared" si="322"/>
        <v>0</v>
      </c>
      <c r="X543" s="1965">
        <f t="shared" si="322"/>
        <v>0</v>
      </c>
      <c r="Y543" s="1965">
        <f t="shared" si="322"/>
        <v>0</v>
      </c>
      <c r="Z543" s="1965">
        <f t="shared" si="322"/>
        <v>0</v>
      </c>
      <c r="AA543" s="1965">
        <f t="shared" si="322"/>
        <v>0</v>
      </c>
      <c r="AB543" s="1965">
        <f t="shared" si="322"/>
        <v>0</v>
      </c>
      <c r="AC543" s="1965">
        <f t="shared" si="322"/>
        <v>0</v>
      </c>
      <c r="AD543" s="1965">
        <f t="shared" si="322"/>
        <v>0</v>
      </c>
      <c r="AE543" s="1965">
        <f t="shared" si="322"/>
        <v>0</v>
      </c>
      <c r="AF543" s="1965">
        <f t="shared" si="322"/>
        <v>0</v>
      </c>
      <c r="AG543" s="1965">
        <f t="shared" si="322"/>
        <v>0</v>
      </c>
      <c r="AH543" s="1293"/>
      <c r="AI543" s="1293"/>
      <c r="AJ543" s="1293"/>
      <c r="AK543" s="1293"/>
      <c r="AL543" s="1293"/>
      <c r="AM543" s="1293"/>
      <c r="AN543" s="1293"/>
      <c r="AO543" s="1293"/>
      <c r="AP543" s="1293"/>
      <c r="AQ543" s="1293"/>
      <c r="AR543" s="1293"/>
      <c r="AS543" s="1293"/>
    </row>
    <row r="544" spans="1:45" ht="15.75">
      <c r="A544" s="1293" t="str">
        <f t="shared" si="313"/>
        <v>UNE bonds, 7.33%-8.76% (COP)</v>
      </c>
      <c r="B544" s="1293"/>
      <c r="C544" s="1293"/>
      <c r="D544" s="1293"/>
      <c r="E544" s="1293"/>
      <c r="F544" s="1293"/>
      <c r="G544" s="1965"/>
      <c r="H544" s="1965"/>
      <c r="I544" s="1965"/>
      <c r="J544" s="1965"/>
      <c r="K544" s="1965"/>
      <c r="L544" s="1965"/>
      <c r="M544" s="1965"/>
      <c r="N544" s="1965"/>
      <c r="O544" s="1965"/>
      <c r="P544" s="1965"/>
      <c r="Q544" s="1965">
        <f>+Q572-Q516</f>
        <v>253</v>
      </c>
      <c r="R544" s="1965">
        <f>+R572-R516</f>
        <v>141</v>
      </c>
      <c r="S544" s="1965">
        <f>+S572-S516</f>
        <v>281</v>
      </c>
      <c r="T544" s="1965">
        <f>+T572-T516</f>
        <v>282</v>
      </c>
      <c r="U544" s="1965">
        <f>+U572-U516</f>
        <v>258</v>
      </c>
      <c r="V544" s="1965">
        <f t="shared" ref="V544:AG544" si="323">+V572-V516</f>
        <v>237.08320633953062</v>
      </c>
      <c r="W544" s="1965">
        <f t="shared" si="323"/>
        <v>200.74064516129033</v>
      </c>
      <c r="X544" s="1965">
        <f t="shared" si="323"/>
        <v>209.10483870967741</v>
      </c>
      <c r="Y544" s="1965">
        <f t="shared" si="323"/>
        <v>215.37798387096774</v>
      </c>
      <c r="Z544" s="1965">
        <f t="shared" si="323"/>
        <v>221.83932338709678</v>
      </c>
      <c r="AA544" s="1965">
        <f t="shared" si="323"/>
        <v>228.49450308870968</v>
      </c>
      <c r="AB544" s="1965">
        <f t="shared" si="323"/>
        <v>235.34933818137097</v>
      </c>
      <c r="AC544" s="1965">
        <f t="shared" si="323"/>
        <v>235.34933818137097</v>
      </c>
      <c r="AD544" s="1965">
        <f t="shared" si="323"/>
        <v>235.34933818137097</v>
      </c>
      <c r="AE544" s="1965">
        <f t="shared" si="323"/>
        <v>235.34933818137097</v>
      </c>
      <c r="AF544" s="1965">
        <f t="shared" si="323"/>
        <v>235.34933818137097</v>
      </c>
      <c r="AG544" s="1965">
        <f t="shared" si="323"/>
        <v>235.34933818137097</v>
      </c>
      <c r="AH544" s="1293"/>
      <c r="AI544" s="1293"/>
      <c r="AJ544" s="1293"/>
      <c r="AK544" s="1293"/>
      <c r="AL544" s="1293"/>
      <c r="AM544" s="1293"/>
      <c r="AN544" s="1293"/>
      <c r="AO544" s="1293"/>
      <c r="AP544" s="1293"/>
      <c r="AQ544" s="1293"/>
      <c r="AR544" s="1293"/>
      <c r="AS544" s="1293"/>
    </row>
    <row r="545" spans="1:45" ht="15.75">
      <c r="A545" s="1293" t="str">
        <f t="shared" si="313"/>
        <v>Guatemala $ 6.875%</v>
      </c>
      <c r="B545" s="1293"/>
      <c r="C545" s="1293"/>
      <c r="D545" s="1293"/>
      <c r="E545" s="1293"/>
      <c r="F545" s="1293"/>
      <c r="G545" s="1965"/>
      <c r="H545" s="1965"/>
      <c r="I545" s="1965"/>
      <c r="J545" s="1965"/>
      <c r="K545" s="1965"/>
      <c r="L545" s="1965"/>
      <c r="M545" s="1965"/>
      <c r="N545" s="1965"/>
      <c r="O545" s="1965"/>
      <c r="P545" s="1965">
        <f>+P573-P517</f>
        <v>0</v>
      </c>
      <c r="Q545" s="1965">
        <f>+Q573-Q517</f>
        <v>781</v>
      </c>
      <c r="R545" s="1965">
        <f>Q545</f>
        <v>781</v>
      </c>
      <c r="S545" s="1965">
        <f>R545</f>
        <v>781</v>
      </c>
      <c r="T545" s="1965">
        <f>S545</f>
        <v>781</v>
      </c>
      <c r="U545" s="1965">
        <f>T545</f>
        <v>781</v>
      </c>
      <c r="V545" s="1965">
        <f t="shared" ref="V545:AG545" si="324">+V573-V517</f>
        <v>800</v>
      </c>
      <c r="W545" s="1965">
        <f t="shared" si="324"/>
        <v>800</v>
      </c>
      <c r="X545" s="1965">
        <f t="shared" si="324"/>
        <v>800</v>
      </c>
      <c r="Y545" s="1965">
        <f t="shared" si="324"/>
        <v>800</v>
      </c>
      <c r="Z545" s="1965">
        <f t="shared" si="324"/>
        <v>800</v>
      </c>
      <c r="AA545" s="1965">
        <f t="shared" si="324"/>
        <v>0</v>
      </c>
      <c r="AB545" s="1965">
        <f t="shared" si="324"/>
        <v>0</v>
      </c>
      <c r="AC545" s="1965">
        <f t="shared" si="324"/>
        <v>0</v>
      </c>
      <c r="AD545" s="1965">
        <f t="shared" si="324"/>
        <v>0</v>
      </c>
      <c r="AE545" s="1965">
        <f t="shared" si="324"/>
        <v>0</v>
      </c>
      <c r="AF545" s="1965">
        <f t="shared" si="324"/>
        <v>0</v>
      </c>
      <c r="AG545" s="1965">
        <f t="shared" si="324"/>
        <v>0</v>
      </c>
      <c r="AH545" s="1293"/>
      <c r="AI545" s="1293"/>
      <c r="AJ545" s="1293"/>
      <c r="AK545" s="1293"/>
      <c r="AL545" s="1293"/>
      <c r="AM545" s="1293"/>
      <c r="AN545" s="1293"/>
      <c r="AO545" s="1293"/>
      <c r="AP545" s="1293"/>
      <c r="AQ545" s="1293"/>
      <c r="AR545" s="1293"/>
      <c r="AS545" s="1293"/>
    </row>
    <row r="546" spans="1:45" ht="15.75">
      <c r="A546" s="1293" t="str">
        <f t="shared" si="313"/>
        <v>$500m 6.0% (Lux), 2025</v>
      </c>
      <c r="B546" s="1293"/>
      <c r="C546" s="1293"/>
      <c r="D546" s="1293"/>
      <c r="E546" s="1293"/>
      <c r="F546" s="1293"/>
      <c r="G546" s="1965"/>
      <c r="H546" s="1965"/>
      <c r="I546" s="1965"/>
      <c r="J546" s="1965"/>
      <c r="K546" s="1965"/>
      <c r="L546" s="1965"/>
      <c r="M546" s="1965"/>
      <c r="N546" s="1965"/>
      <c r="O546" s="1965"/>
      <c r="P546" s="1965"/>
      <c r="Q546" s="1965"/>
      <c r="R546" s="1965">
        <f t="shared" ref="R546:U550" si="325">+R574-R518</f>
        <v>494</v>
      </c>
      <c r="S546" s="1965">
        <f t="shared" si="325"/>
        <v>495</v>
      </c>
      <c r="T546" s="1965">
        <f t="shared" si="325"/>
        <v>496</v>
      </c>
      <c r="U546" s="1965">
        <f t="shared" si="325"/>
        <v>491</v>
      </c>
      <c r="V546" s="1965">
        <f t="shared" ref="V546:AG546" si="326">+V574-V518</f>
        <v>491</v>
      </c>
      <c r="W546" s="1965">
        <f t="shared" si="326"/>
        <v>491</v>
      </c>
      <c r="X546" s="1965">
        <f t="shared" si="326"/>
        <v>491</v>
      </c>
      <c r="Y546" s="1965">
        <f t="shared" si="326"/>
        <v>491</v>
      </c>
      <c r="Z546" s="1965">
        <f t="shared" si="326"/>
        <v>491</v>
      </c>
      <c r="AA546" s="1965">
        <f t="shared" si="326"/>
        <v>491</v>
      </c>
      <c r="AB546" s="1965">
        <f t="shared" si="326"/>
        <v>0</v>
      </c>
      <c r="AC546" s="1965">
        <f t="shared" si="326"/>
        <v>0</v>
      </c>
      <c r="AD546" s="1965">
        <f t="shared" si="326"/>
        <v>0</v>
      </c>
      <c r="AE546" s="1965">
        <f t="shared" si="326"/>
        <v>0</v>
      </c>
      <c r="AF546" s="1965">
        <f t="shared" si="326"/>
        <v>0</v>
      </c>
      <c r="AG546" s="1965">
        <f t="shared" si="326"/>
        <v>0</v>
      </c>
      <c r="AH546" s="1293"/>
      <c r="AI546" s="1293"/>
      <c r="AJ546" s="1293"/>
      <c r="AK546" s="1293"/>
      <c r="AL546" s="1293"/>
      <c r="AM546" s="1293"/>
      <c r="AN546" s="1293"/>
      <c r="AO546" s="1293"/>
      <c r="AP546" s="1293"/>
      <c r="AQ546" s="1293"/>
      <c r="AR546" s="1293"/>
      <c r="AS546" s="1293"/>
    </row>
    <row r="547" spans="1:45" ht="15.75">
      <c r="A547" s="1293" t="str">
        <f t="shared" si="313"/>
        <v>Guatemala facility</v>
      </c>
      <c r="B547" s="1293"/>
      <c r="C547" s="1293"/>
      <c r="D547" s="1293"/>
      <c r="E547" s="1293"/>
      <c r="F547" s="1293"/>
      <c r="G547" s="1965"/>
      <c r="H547" s="1965"/>
      <c r="I547" s="1965"/>
      <c r="J547" s="1965"/>
      <c r="K547" s="1965"/>
      <c r="L547" s="1965"/>
      <c r="M547" s="1965"/>
      <c r="N547" s="1965"/>
      <c r="O547" s="1965"/>
      <c r="P547" s="1965"/>
      <c r="Q547" s="1965"/>
      <c r="R547" s="1965">
        <f t="shared" si="325"/>
        <v>180</v>
      </c>
      <c r="S547" s="1965">
        <f t="shared" si="325"/>
        <v>180</v>
      </c>
      <c r="T547" s="1965">
        <f t="shared" si="325"/>
        <v>180</v>
      </c>
      <c r="U547" s="1965">
        <f t="shared" si="325"/>
        <v>180</v>
      </c>
      <c r="V547" s="1965">
        <f t="shared" ref="V547:AG547" si="327">+V575-V519</f>
        <v>180</v>
      </c>
      <c r="W547" s="1965">
        <f t="shared" si="327"/>
        <v>180</v>
      </c>
      <c r="X547" s="1965">
        <f t="shared" si="327"/>
        <v>180</v>
      </c>
      <c r="Y547" s="1965">
        <f t="shared" si="327"/>
        <v>180</v>
      </c>
      <c r="Z547" s="1965">
        <f t="shared" si="327"/>
        <v>180</v>
      </c>
      <c r="AA547" s="1965">
        <f t="shared" si="327"/>
        <v>180</v>
      </c>
      <c r="AB547" s="1965">
        <f t="shared" si="327"/>
        <v>180</v>
      </c>
      <c r="AC547" s="1965">
        <f t="shared" si="327"/>
        <v>180</v>
      </c>
      <c r="AD547" s="1965">
        <f t="shared" si="327"/>
        <v>180</v>
      </c>
      <c r="AE547" s="1965">
        <f t="shared" si="327"/>
        <v>180</v>
      </c>
      <c r="AF547" s="1965">
        <f t="shared" si="327"/>
        <v>180</v>
      </c>
      <c r="AG547" s="1965">
        <f t="shared" si="327"/>
        <v>180</v>
      </c>
      <c r="AH547" s="1293"/>
      <c r="AI547" s="1293"/>
      <c r="AJ547" s="1293"/>
      <c r="AK547" s="1293"/>
      <c r="AL547" s="1293"/>
      <c r="AM547" s="1293"/>
      <c r="AN547" s="1293"/>
      <c r="AO547" s="1293"/>
      <c r="AP547" s="1293"/>
      <c r="AQ547" s="1293"/>
      <c r="AR547" s="1293"/>
      <c r="AS547" s="1293"/>
    </row>
    <row r="548" spans="1:45" ht="15.75">
      <c r="A548" s="1293" t="str">
        <f t="shared" si="313"/>
        <v>Lux $500m 5.125% 2028</v>
      </c>
      <c r="B548" s="1293"/>
      <c r="C548" s="1293"/>
      <c r="D548" s="1293"/>
      <c r="E548" s="1293"/>
      <c r="F548" s="1293"/>
      <c r="G548" s="1965"/>
      <c r="H548" s="1965"/>
      <c r="I548" s="1965"/>
      <c r="J548" s="1965"/>
      <c r="K548" s="1965"/>
      <c r="L548" s="1965"/>
      <c r="M548" s="1965"/>
      <c r="N548" s="1965"/>
      <c r="O548" s="1965"/>
      <c r="P548" s="1965"/>
      <c r="Q548" s="1965"/>
      <c r="R548" s="1965">
        <f t="shared" si="325"/>
        <v>0</v>
      </c>
      <c r="S548" s="1965">
        <f t="shared" si="325"/>
        <v>0</v>
      </c>
      <c r="T548" s="1965">
        <f t="shared" si="325"/>
        <v>494</v>
      </c>
      <c r="U548" s="1965">
        <f t="shared" si="325"/>
        <v>493</v>
      </c>
      <c r="V548" s="1965">
        <f t="shared" ref="V548:AG548" si="328">+V576-V520</f>
        <v>493</v>
      </c>
      <c r="W548" s="1965">
        <f t="shared" si="328"/>
        <v>493</v>
      </c>
      <c r="X548" s="1965">
        <f t="shared" si="328"/>
        <v>493</v>
      </c>
      <c r="Y548" s="1965">
        <f t="shared" si="328"/>
        <v>493</v>
      </c>
      <c r="Z548" s="1965">
        <f t="shared" si="328"/>
        <v>493</v>
      </c>
      <c r="AA548" s="1965">
        <f t="shared" si="328"/>
        <v>493</v>
      </c>
      <c r="AB548" s="1965">
        <f t="shared" si="328"/>
        <v>493</v>
      </c>
      <c r="AC548" s="1965">
        <f t="shared" si="328"/>
        <v>493</v>
      </c>
      <c r="AD548" s="1965">
        <f t="shared" si="328"/>
        <v>493</v>
      </c>
      <c r="AE548" s="1965">
        <f t="shared" si="328"/>
        <v>493</v>
      </c>
      <c r="AF548" s="1965">
        <f t="shared" si="328"/>
        <v>493</v>
      </c>
      <c r="AG548" s="1965">
        <f t="shared" si="328"/>
        <v>493</v>
      </c>
      <c r="AH548" s="1293"/>
      <c r="AI548" s="1293"/>
      <c r="AJ548" s="1293"/>
      <c r="AK548" s="1293"/>
      <c r="AL548" s="1293"/>
      <c r="AM548" s="1293"/>
      <c r="AN548" s="1293"/>
      <c r="AO548" s="1293"/>
      <c r="AP548" s="1293"/>
      <c r="AQ548" s="1293"/>
      <c r="AR548" s="1293"/>
      <c r="AS548" s="1293"/>
    </row>
    <row r="549" spans="1:45" ht="15.75">
      <c r="A549" s="1293" t="str">
        <f t="shared" si="313"/>
        <v>$500m 6.625% (Lux), 2026</v>
      </c>
      <c r="B549" s="1293"/>
      <c r="C549" s="1293"/>
      <c r="D549" s="1293"/>
      <c r="E549" s="1293"/>
      <c r="F549" s="1293"/>
      <c r="G549" s="1965"/>
      <c r="H549" s="1965"/>
      <c r="I549" s="1965"/>
      <c r="J549" s="1965"/>
      <c r="K549" s="1965"/>
      <c r="L549" s="1965"/>
      <c r="M549" s="1965"/>
      <c r="N549" s="1965"/>
      <c r="O549" s="1965"/>
      <c r="P549" s="1965"/>
      <c r="Q549" s="1965"/>
      <c r="R549" s="1965">
        <f t="shared" si="325"/>
        <v>0</v>
      </c>
      <c r="S549" s="1965">
        <f t="shared" si="325"/>
        <v>0</v>
      </c>
      <c r="T549" s="1965">
        <f t="shared" si="325"/>
        <v>0</v>
      </c>
      <c r="U549" s="1965">
        <f t="shared" si="325"/>
        <v>495</v>
      </c>
      <c r="V549" s="1965">
        <f t="shared" ref="V549:AG549" si="329">+V577-V521</f>
        <v>495</v>
      </c>
      <c r="W549" s="1965">
        <f t="shared" si="329"/>
        <v>495</v>
      </c>
      <c r="X549" s="1965">
        <f t="shared" si="329"/>
        <v>495</v>
      </c>
      <c r="Y549" s="1965">
        <f t="shared" si="329"/>
        <v>495</v>
      </c>
      <c r="Z549" s="1965">
        <f t="shared" si="329"/>
        <v>495</v>
      </c>
      <c r="AA549" s="1965">
        <f t="shared" si="329"/>
        <v>495</v>
      </c>
      <c r="AB549" s="1965">
        <f t="shared" si="329"/>
        <v>495</v>
      </c>
      <c r="AC549" s="1965">
        <f t="shared" si="329"/>
        <v>495</v>
      </c>
      <c r="AD549" s="1965">
        <f t="shared" si="329"/>
        <v>495</v>
      </c>
      <c r="AE549" s="1965">
        <f t="shared" si="329"/>
        <v>495</v>
      </c>
      <c r="AF549" s="1965">
        <f t="shared" si="329"/>
        <v>495</v>
      </c>
      <c r="AG549" s="1965">
        <f t="shared" si="329"/>
        <v>495</v>
      </c>
      <c r="AH549" s="1293"/>
      <c r="AI549" s="1293"/>
      <c r="AJ549" s="1293"/>
      <c r="AK549" s="1293"/>
      <c r="AL549" s="1293"/>
      <c r="AM549" s="1293"/>
      <c r="AN549" s="1293"/>
      <c r="AO549" s="1293"/>
      <c r="AP549" s="1293"/>
      <c r="AQ549" s="1293"/>
      <c r="AR549" s="1293"/>
      <c r="AS549" s="1293"/>
    </row>
    <row r="550" spans="1:45" ht="15.75">
      <c r="A550" s="1293" t="str">
        <f t="shared" si="313"/>
        <v>Cable Onda 5.75%, 2025</v>
      </c>
      <c r="B550" s="1293"/>
      <c r="C550" s="1293"/>
      <c r="D550" s="1293"/>
      <c r="E550" s="1293"/>
      <c r="F550" s="1293"/>
      <c r="G550" s="1965"/>
      <c r="H550" s="1965"/>
      <c r="I550" s="1965"/>
      <c r="J550" s="1965"/>
      <c r="K550" s="1965"/>
      <c r="L550" s="1965"/>
      <c r="M550" s="1965"/>
      <c r="N550" s="1965"/>
      <c r="O550" s="1965"/>
      <c r="P550" s="1965"/>
      <c r="Q550" s="1965"/>
      <c r="R550" s="1965">
        <f t="shared" si="325"/>
        <v>0</v>
      </c>
      <c r="S550" s="1965">
        <f t="shared" si="325"/>
        <v>0</v>
      </c>
      <c r="T550" s="1965">
        <f t="shared" si="325"/>
        <v>0</v>
      </c>
      <c r="U550" s="1965">
        <f t="shared" si="325"/>
        <v>184</v>
      </c>
      <c r="V550" s="1965">
        <f t="shared" ref="V550:AG550" si="330">+V578-V522</f>
        <v>184</v>
      </c>
      <c r="W550" s="1965">
        <f t="shared" si="330"/>
        <v>184</v>
      </c>
      <c r="X550" s="1965">
        <f t="shared" si="330"/>
        <v>184</v>
      </c>
      <c r="Y550" s="1965">
        <f t="shared" si="330"/>
        <v>184</v>
      </c>
      <c r="Z550" s="1965">
        <f t="shared" si="330"/>
        <v>184</v>
      </c>
      <c r="AA550" s="1965">
        <f t="shared" si="330"/>
        <v>184</v>
      </c>
      <c r="AB550" s="1965">
        <f t="shared" si="330"/>
        <v>184</v>
      </c>
      <c r="AC550" s="1965">
        <f t="shared" si="330"/>
        <v>184</v>
      </c>
      <c r="AD550" s="1965">
        <f t="shared" si="330"/>
        <v>184</v>
      </c>
      <c r="AE550" s="1965">
        <f t="shared" si="330"/>
        <v>184</v>
      </c>
      <c r="AF550" s="1965">
        <f t="shared" si="330"/>
        <v>184</v>
      </c>
      <c r="AG550" s="1965">
        <f t="shared" si="330"/>
        <v>184</v>
      </c>
      <c r="AH550" s="1293"/>
      <c r="AI550" s="1293"/>
      <c r="AJ550" s="1293"/>
      <c r="AK550" s="1293"/>
      <c r="AL550" s="1293"/>
      <c r="AM550" s="1293"/>
      <c r="AN550" s="1293"/>
      <c r="AO550" s="1293"/>
      <c r="AP550" s="1293"/>
      <c r="AQ550" s="1293"/>
      <c r="AR550" s="1293"/>
      <c r="AS550" s="1293"/>
    </row>
    <row r="551" spans="1:45" ht="15.75">
      <c r="A551" s="1293" t="str">
        <f t="shared" si="313"/>
        <v>IFRS 16 leases</v>
      </c>
      <c r="B551" s="1293"/>
      <c r="C551" s="1293"/>
      <c r="D551" s="1293"/>
      <c r="E551" s="1293"/>
      <c r="F551" s="1293"/>
      <c r="G551" s="1965"/>
      <c r="H551" s="1965"/>
      <c r="I551" s="1965"/>
      <c r="J551" s="1965"/>
      <c r="K551" s="1965"/>
      <c r="L551" s="1965"/>
      <c r="M551" s="1965"/>
      <c r="N551" s="1965"/>
      <c r="O551" s="1965"/>
      <c r="P551" s="1965"/>
      <c r="Q551" s="1965"/>
      <c r="R551" s="1965"/>
      <c r="S551" s="1965"/>
      <c r="T551" s="1965"/>
      <c r="U551" s="1965"/>
      <c r="V551" s="1965">
        <f t="shared" ref="V551:AG551" si="331">+V579-V523</f>
        <v>1376</v>
      </c>
      <c r="W551" s="1965">
        <f t="shared" si="331"/>
        <v>1376</v>
      </c>
      <c r="X551" s="1965">
        <f t="shared" si="331"/>
        <v>1376</v>
      </c>
      <c r="Y551" s="1965">
        <f t="shared" si="331"/>
        <v>633.5</v>
      </c>
      <c r="Z551" s="1965">
        <f t="shared" si="331"/>
        <v>633.5</v>
      </c>
      <c r="AA551" s="1965">
        <f t="shared" si="331"/>
        <v>633.5</v>
      </c>
      <c r="AB551" s="1965">
        <f t="shared" si="331"/>
        <v>633.5</v>
      </c>
      <c r="AC551" s="1965">
        <f t="shared" si="331"/>
        <v>633.5</v>
      </c>
      <c r="AD551" s="1965">
        <f t="shared" si="331"/>
        <v>633.5</v>
      </c>
      <c r="AE551" s="1965">
        <f t="shared" si="331"/>
        <v>633.5</v>
      </c>
      <c r="AF551" s="1965">
        <f t="shared" si="331"/>
        <v>633.5</v>
      </c>
      <c r="AG551" s="1965">
        <f t="shared" si="331"/>
        <v>633.5</v>
      </c>
      <c r="AH551" s="1293"/>
      <c r="AI551" s="1293"/>
      <c r="AJ551" s="1293"/>
      <c r="AK551" s="1293"/>
      <c r="AL551" s="1293"/>
      <c r="AM551" s="1293"/>
      <c r="AN551" s="1293"/>
      <c r="AO551" s="1293"/>
      <c r="AP551" s="1293"/>
      <c r="AQ551" s="1293"/>
      <c r="AR551" s="1293"/>
      <c r="AS551" s="1293"/>
    </row>
    <row r="552" spans="1:45" ht="15.75">
      <c r="A552" s="1293" t="str">
        <f t="shared" si="313"/>
        <v>Paraguay 5.875% 2027</v>
      </c>
      <c r="B552" s="1293"/>
      <c r="C552" s="1293"/>
      <c r="D552" s="1293"/>
      <c r="E552" s="1293"/>
      <c r="F552" s="1293"/>
      <c r="G552" s="1965"/>
      <c r="H552" s="1965"/>
      <c r="I552" s="1965"/>
      <c r="J552" s="1965"/>
      <c r="K552" s="1965"/>
      <c r="L552" s="1965"/>
      <c r="M552" s="1965"/>
      <c r="N552" s="1965"/>
      <c r="O552" s="1965"/>
      <c r="P552" s="1965"/>
      <c r="Q552" s="1965"/>
      <c r="R552" s="1965">
        <f t="shared" ref="R552:U557" si="332">+R580-R524</f>
        <v>0</v>
      </c>
      <c r="S552" s="1965">
        <f t="shared" si="332"/>
        <v>0</v>
      </c>
      <c r="T552" s="1965">
        <f t="shared" si="332"/>
        <v>0</v>
      </c>
      <c r="U552" s="1965">
        <f t="shared" si="332"/>
        <v>0</v>
      </c>
      <c r="V552" s="1965">
        <f t="shared" ref="V552:AG552" si="333">+V580-V524</f>
        <v>300</v>
      </c>
      <c r="W552" s="1965">
        <f t="shared" si="333"/>
        <v>300</v>
      </c>
      <c r="X552" s="1965">
        <f t="shared" si="333"/>
        <v>300</v>
      </c>
      <c r="Y552" s="1965">
        <f t="shared" si="333"/>
        <v>300</v>
      </c>
      <c r="Z552" s="1965">
        <f t="shared" si="333"/>
        <v>300</v>
      </c>
      <c r="AA552" s="1965">
        <f t="shared" si="333"/>
        <v>300</v>
      </c>
      <c r="AB552" s="1965">
        <f t="shared" si="333"/>
        <v>300</v>
      </c>
      <c r="AC552" s="1965">
        <f t="shared" si="333"/>
        <v>300</v>
      </c>
      <c r="AD552" s="1965">
        <f t="shared" si="333"/>
        <v>300</v>
      </c>
      <c r="AE552" s="1965">
        <f t="shared" si="333"/>
        <v>300</v>
      </c>
      <c r="AF552" s="1965">
        <f t="shared" si="333"/>
        <v>300</v>
      </c>
      <c r="AG552" s="1965">
        <f t="shared" si="333"/>
        <v>300</v>
      </c>
      <c r="AH552" s="1293"/>
      <c r="AI552" s="1293"/>
      <c r="AJ552" s="1293"/>
      <c r="AK552" s="1293"/>
      <c r="AL552" s="1293"/>
      <c r="AM552" s="1293"/>
      <c r="AN552" s="1293"/>
      <c r="AO552" s="1293"/>
      <c r="AP552" s="1293"/>
      <c r="AQ552" s="1293"/>
      <c r="AR552" s="1293"/>
      <c r="AS552" s="1293"/>
    </row>
    <row r="553" spans="1:45" ht="15.75">
      <c r="A553" s="1293" t="str">
        <f t="shared" si="313"/>
        <v>SEK2 bn sustainability, STIBOR + 2.35%</v>
      </c>
      <c r="B553" s="1293"/>
      <c r="C553" s="1293"/>
      <c r="D553" s="1293"/>
      <c r="E553" s="1293"/>
      <c r="F553" s="1293"/>
      <c r="G553" s="1965"/>
      <c r="H553" s="1965"/>
      <c r="I553" s="1965"/>
      <c r="J553" s="1965"/>
      <c r="K553" s="1965"/>
      <c r="L553" s="1965"/>
      <c r="M553" s="1965"/>
      <c r="N553" s="1965"/>
      <c r="O553" s="1965"/>
      <c r="P553" s="1965"/>
      <c r="Q553" s="1965"/>
      <c r="R553" s="1965">
        <f t="shared" si="332"/>
        <v>0</v>
      </c>
      <c r="S553" s="1965">
        <f t="shared" si="332"/>
        <v>0</v>
      </c>
      <c r="T553" s="1965">
        <f t="shared" si="332"/>
        <v>0</v>
      </c>
      <c r="U553" s="1965">
        <f t="shared" si="332"/>
        <v>0</v>
      </c>
      <c r="V553" s="1965">
        <f t="shared" ref="V553:AG553" si="334">+V581-V525</f>
        <v>202.42914979757083</v>
      </c>
      <c r="W553" s="1965">
        <f t="shared" si="334"/>
        <v>202.42914979757083</v>
      </c>
      <c r="X553" s="1965">
        <f t="shared" si="334"/>
        <v>202.42914979757083</v>
      </c>
      <c r="Y553" s="1965">
        <f t="shared" si="334"/>
        <v>202.42914979757083</v>
      </c>
      <c r="Z553" s="1965">
        <f t="shared" si="334"/>
        <v>202.42914979757083</v>
      </c>
      <c r="AA553" s="1965">
        <f t="shared" si="334"/>
        <v>0</v>
      </c>
      <c r="AB553" s="1965">
        <f t="shared" si="334"/>
        <v>0</v>
      </c>
      <c r="AC553" s="1965">
        <f t="shared" si="334"/>
        <v>0</v>
      </c>
      <c r="AD553" s="1965">
        <f t="shared" si="334"/>
        <v>0</v>
      </c>
      <c r="AE553" s="1965">
        <f t="shared" si="334"/>
        <v>0</v>
      </c>
      <c r="AF553" s="1965">
        <f t="shared" si="334"/>
        <v>0</v>
      </c>
      <c r="AG553" s="1965">
        <f t="shared" si="334"/>
        <v>0</v>
      </c>
      <c r="AH553" s="1293"/>
      <c r="AI553" s="1293"/>
      <c r="AJ553" s="1293"/>
      <c r="AK553" s="1293"/>
      <c r="AL553" s="1293"/>
      <c r="AM553" s="1293"/>
      <c r="AN553" s="1293"/>
      <c r="AO553" s="1293"/>
      <c r="AP553" s="1293"/>
      <c r="AQ553" s="1293"/>
      <c r="AR553" s="1293"/>
      <c r="AS553" s="1293"/>
    </row>
    <row r="554" spans="1:45" ht="15.75">
      <c r="A554" s="1293" t="str">
        <f t="shared" si="313"/>
        <v>$750m 6.25% (Lux), 2029</v>
      </c>
      <c r="B554" s="1293"/>
      <c r="C554" s="1293"/>
      <c r="D554" s="1293"/>
      <c r="E554" s="1293"/>
      <c r="F554" s="1293"/>
      <c r="G554" s="1965"/>
      <c r="H554" s="1965"/>
      <c r="I554" s="1965"/>
      <c r="J554" s="1965"/>
      <c r="K554" s="1965"/>
      <c r="L554" s="1965"/>
      <c r="M554" s="1965"/>
      <c r="N554" s="1965"/>
      <c r="O554" s="1965"/>
      <c r="P554" s="1965"/>
      <c r="Q554" s="1965"/>
      <c r="R554" s="1965">
        <f t="shared" si="332"/>
        <v>0</v>
      </c>
      <c r="S554" s="1965">
        <f t="shared" si="332"/>
        <v>0</v>
      </c>
      <c r="T554" s="1965">
        <f t="shared" si="332"/>
        <v>0</v>
      </c>
      <c r="U554" s="1965">
        <f t="shared" si="332"/>
        <v>0</v>
      </c>
      <c r="V554" s="1965">
        <f t="shared" ref="V554:AG554" si="335">+V582-V526</f>
        <v>750</v>
      </c>
      <c r="W554" s="1965">
        <f t="shared" si="335"/>
        <v>750</v>
      </c>
      <c r="X554" s="1965">
        <f t="shared" si="335"/>
        <v>750</v>
      </c>
      <c r="Y554" s="1965">
        <f t="shared" si="335"/>
        <v>750</v>
      </c>
      <c r="Z554" s="1965">
        <f t="shared" si="335"/>
        <v>750</v>
      </c>
      <c r="AA554" s="1965">
        <f t="shared" si="335"/>
        <v>750</v>
      </c>
      <c r="AB554" s="1965">
        <f t="shared" si="335"/>
        <v>750</v>
      </c>
      <c r="AC554" s="1965">
        <f t="shared" si="335"/>
        <v>750</v>
      </c>
      <c r="AD554" s="1965">
        <f t="shared" si="335"/>
        <v>750</v>
      </c>
      <c r="AE554" s="1965">
        <f t="shared" si="335"/>
        <v>750</v>
      </c>
      <c r="AF554" s="1965">
        <f t="shared" si="335"/>
        <v>750</v>
      </c>
      <c r="AG554" s="1965">
        <f t="shared" si="335"/>
        <v>750</v>
      </c>
      <c r="AH554" s="1293"/>
      <c r="AI554" s="1293"/>
      <c r="AJ554" s="1293"/>
      <c r="AK554" s="1293"/>
      <c r="AL554" s="1293"/>
      <c r="AM554" s="1293"/>
      <c r="AN554" s="1293"/>
      <c r="AO554" s="1293"/>
      <c r="AP554" s="1293"/>
      <c r="AQ554" s="1293"/>
      <c r="AR554" s="1293"/>
      <c r="AS554" s="1293"/>
    </row>
    <row r="555" spans="1:45" ht="15.75">
      <c r="A555" s="1293" t="str">
        <f t="shared" si="313"/>
        <v>$600m Panama @ 4.5%</v>
      </c>
      <c r="B555" s="1293"/>
      <c r="C555" s="1293"/>
      <c r="D555" s="1293"/>
      <c r="E555" s="1293"/>
      <c r="F555" s="1293"/>
      <c r="G555" s="1965"/>
      <c r="H555" s="1965"/>
      <c r="I555" s="1965"/>
      <c r="J555" s="1965"/>
      <c r="K555" s="1965"/>
      <c r="L555" s="1965"/>
      <c r="M555" s="1965"/>
      <c r="N555" s="1965"/>
      <c r="O555" s="1965"/>
      <c r="P555" s="1965"/>
      <c r="Q555" s="1965"/>
      <c r="R555" s="1965">
        <f t="shared" si="332"/>
        <v>0</v>
      </c>
      <c r="S555" s="1965">
        <f t="shared" si="332"/>
        <v>0</v>
      </c>
      <c r="T555" s="1965">
        <f t="shared" si="332"/>
        <v>0</v>
      </c>
      <c r="U555" s="1965">
        <f t="shared" si="332"/>
        <v>0</v>
      </c>
      <c r="V555" s="1965">
        <f t="shared" ref="V555:AG555" si="336">+V583-V527</f>
        <v>600</v>
      </c>
      <c r="W555" s="1965">
        <f t="shared" si="336"/>
        <v>600</v>
      </c>
      <c r="X555" s="1965">
        <f t="shared" si="336"/>
        <v>600</v>
      </c>
      <c r="Y555" s="1965">
        <f t="shared" si="336"/>
        <v>600</v>
      </c>
      <c r="Z555" s="1965">
        <f t="shared" si="336"/>
        <v>600</v>
      </c>
      <c r="AA555" s="1965">
        <f t="shared" si="336"/>
        <v>600</v>
      </c>
      <c r="AB555" s="1965">
        <f t="shared" si="336"/>
        <v>600</v>
      </c>
      <c r="AC555" s="1965">
        <f t="shared" si="336"/>
        <v>600</v>
      </c>
      <c r="AD555" s="1965">
        <f t="shared" si="336"/>
        <v>600</v>
      </c>
      <c r="AE555" s="1965">
        <f t="shared" si="336"/>
        <v>600</v>
      </c>
      <c r="AF555" s="1965">
        <f t="shared" si="336"/>
        <v>600</v>
      </c>
      <c r="AG555" s="1965">
        <f t="shared" si="336"/>
        <v>600</v>
      </c>
      <c r="AH555" s="1293"/>
      <c r="AI555" s="1293"/>
      <c r="AJ555" s="1293"/>
      <c r="AK555" s="1293"/>
      <c r="AL555" s="1293"/>
      <c r="AM555" s="1293"/>
      <c r="AN555" s="1293"/>
      <c r="AO555" s="1293"/>
      <c r="AP555" s="1293"/>
      <c r="AQ555" s="1293"/>
      <c r="AR555" s="1293"/>
      <c r="AS555" s="1293"/>
    </row>
    <row r="556" spans="1:45" ht="15.75">
      <c r="A556" s="1331" t="str">
        <f t="shared" si="313"/>
        <v>$1500 Guat funding</v>
      </c>
      <c r="B556" s="1331"/>
      <c r="C556" s="1331"/>
      <c r="D556" s="1331"/>
      <c r="E556" s="1331"/>
      <c r="F556" s="1331"/>
      <c r="G556" s="1968"/>
      <c r="H556" s="1968"/>
      <c r="I556" s="1968"/>
      <c r="J556" s="1968"/>
      <c r="K556" s="1968"/>
      <c r="L556" s="1968"/>
      <c r="M556" s="1968"/>
      <c r="N556" s="1968"/>
      <c r="O556" s="1968"/>
      <c r="P556" s="1968"/>
      <c r="Q556" s="1968"/>
      <c r="R556" s="1968">
        <f t="shared" si="332"/>
        <v>0</v>
      </c>
      <c r="S556" s="1968">
        <f t="shared" si="332"/>
        <v>0</v>
      </c>
      <c r="T556" s="1968">
        <f t="shared" si="332"/>
        <v>0</v>
      </c>
      <c r="U556" s="1968">
        <f t="shared" si="332"/>
        <v>0</v>
      </c>
      <c r="V556" s="1968">
        <f t="shared" ref="V556:AG556" si="337">+V584-V528</f>
        <v>0</v>
      </c>
      <c r="W556" s="1968">
        <f t="shared" si="337"/>
        <v>0</v>
      </c>
      <c r="X556" s="1968">
        <f t="shared" si="337"/>
        <v>1500</v>
      </c>
      <c r="Y556" s="1968">
        <f t="shared" si="337"/>
        <v>1500</v>
      </c>
      <c r="Z556" s="1968">
        <f t="shared" si="337"/>
        <v>1500</v>
      </c>
      <c r="AA556" s="1968">
        <f t="shared" si="337"/>
        <v>1500</v>
      </c>
      <c r="AB556" s="1968">
        <f t="shared" si="337"/>
        <v>1500</v>
      </c>
      <c r="AC556" s="1968">
        <f t="shared" si="337"/>
        <v>1500</v>
      </c>
      <c r="AD556" s="1968">
        <f t="shared" si="337"/>
        <v>1500</v>
      </c>
      <c r="AE556" s="1968">
        <f t="shared" si="337"/>
        <v>1500</v>
      </c>
      <c r="AF556" s="1968">
        <f t="shared" si="337"/>
        <v>1500</v>
      </c>
      <c r="AG556" s="1968">
        <f t="shared" si="337"/>
        <v>1500</v>
      </c>
      <c r="AH556" s="1293"/>
      <c r="AI556" s="1293"/>
      <c r="AJ556" s="1293"/>
      <c r="AK556" s="1293"/>
      <c r="AL556" s="1293"/>
      <c r="AM556" s="1293"/>
      <c r="AN556" s="1293"/>
      <c r="AO556" s="1293"/>
      <c r="AP556" s="1293"/>
      <c r="AQ556" s="1293"/>
      <c r="AR556" s="1293"/>
      <c r="AS556" s="1293"/>
    </row>
    <row r="557" spans="1:45" ht="15.75">
      <c r="A557" s="1293" t="str">
        <f t="shared" si="313"/>
        <v>Total</v>
      </c>
      <c r="B557" s="1293"/>
      <c r="C557" s="1293"/>
      <c r="D557" s="1293"/>
      <c r="E557" s="1293"/>
      <c r="F557" s="1293"/>
      <c r="G557" s="1965"/>
      <c r="H557" s="1965"/>
      <c r="I557" s="1965"/>
      <c r="J557" s="1965"/>
      <c r="K557" s="1965"/>
      <c r="L557" s="1965"/>
      <c r="M557" s="1965"/>
      <c r="N557" s="1965"/>
      <c r="O557" s="1965"/>
      <c r="P557" s="1965"/>
      <c r="Q557" s="1965"/>
      <c r="R557" s="1965">
        <f t="shared" si="332"/>
        <v>5134</v>
      </c>
      <c r="S557" s="1965">
        <f t="shared" si="332"/>
        <v>5147</v>
      </c>
      <c r="T557" s="1965">
        <f t="shared" si="332"/>
        <v>4903</v>
      </c>
      <c r="U557" s="1965">
        <f t="shared" si="332"/>
        <v>5530</v>
      </c>
      <c r="V557" s="1965">
        <f t="shared" ref="V557:AG557" si="338">+V585-V529</f>
        <v>8288</v>
      </c>
      <c r="W557" s="1965">
        <f t="shared" si="338"/>
        <v>7483</v>
      </c>
      <c r="X557" s="1965">
        <f t="shared" si="338"/>
        <v>7166</v>
      </c>
      <c r="Y557" s="1965">
        <f t="shared" si="338"/>
        <v>7477</v>
      </c>
      <c r="Z557" s="1965">
        <f t="shared" si="338"/>
        <v>7436</v>
      </c>
      <c r="AA557" s="1965">
        <f t="shared" ca="1" si="338"/>
        <v>6415.2260299040427</v>
      </c>
      <c r="AB557" s="1965">
        <f t="shared" ca="1" si="338"/>
        <v>5906.0808649967039</v>
      </c>
      <c r="AC557" s="1965">
        <f t="shared" ca="1" si="338"/>
        <v>5881.0808649967039</v>
      </c>
      <c r="AD557" s="1965">
        <f t="shared" ca="1" si="338"/>
        <v>5856.0808649967039</v>
      </c>
      <c r="AE557" s="1965">
        <f t="shared" ca="1" si="338"/>
        <v>5831.0808649967039</v>
      </c>
      <c r="AF557" s="1965">
        <f t="shared" ca="1" si="338"/>
        <v>5806.0808649967039</v>
      </c>
      <c r="AG557" s="1965">
        <f t="shared" ca="1" si="338"/>
        <v>5781.0808649967039</v>
      </c>
      <c r="AH557" s="1293"/>
      <c r="AI557" s="1293"/>
      <c r="AJ557" s="1293"/>
      <c r="AK557" s="1293"/>
      <c r="AL557" s="1293"/>
      <c r="AM557" s="1293"/>
      <c r="AN557" s="1293"/>
      <c r="AO557" s="1293"/>
      <c r="AP557" s="1293"/>
      <c r="AQ557" s="1293"/>
      <c r="AR557" s="1293"/>
      <c r="AS557" s="1293"/>
    </row>
    <row r="558" spans="1:45" ht="15.75">
      <c r="A558" s="1293"/>
      <c r="B558" s="1293"/>
      <c r="C558" s="1293"/>
      <c r="D558" s="1293"/>
      <c r="E558" s="1293"/>
      <c r="F558" s="1293"/>
      <c r="G558" s="1965"/>
      <c r="H558" s="1965"/>
      <c r="I558" s="1965"/>
      <c r="J558" s="1965"/>
      <c r="K558" s="1965"/>
      <c r="L558" s="1965"/>
      <c r="M558" s="1965"/>
      <c r="N558" s="1965"/>
      <c r="O558" s="1965"/>
      <c r="P558" s="1965"/>
      <c r="Q558" s="1965"/>
      <c r="R558" s="1965"/>
      <c r="S558" s="1965"/>
      <c r="T558" s="1965"/>
      <c r="U558" s="1965"/>
      <c r="V558" s="1965"/>
      <c r="W558" s="1965"/>
      <c r="X558" s="1965"/>
      <c r="Y558" s="1965"/>
      <c r="Z558" s="1965"/>
      <c r="AA558" s="1965"/>
      <c r="AB558" s="1965"/>
      <c r="AC558" s="1965"/>
      <c r="AD558" s="1965"/>
      <c r="AE558" s="1965"/>
      <c r="AF558" s="1965"/>
      <c r="AG558" s="1965"/>
      <c r="AH558" s="1293"/>
      <c r="AI558" s="1293"/>
      <c r="AJ558" s="1293"/>
      <c r="AK558" s="1293"/>
      <c r="AL558" s="1293"/>
      <c r="AM558" s="1293"/>
      <c r="AN558" s="1293"/>
      <c r="AO558" s="1293"/>
      <c r="AP558" s="1293"/>
      <c r="AQ558" s="1293"/>
      <c r="AR558" s="1293"/>
      <c r="AS558" s="1293"/>
    </row>
    <row r="559" spans="1:45" ht="15.75">
      <c r="A559" s="2504" t="s">
        <v>810</v>
      </c>
      <c r="B559" s="1293"/>
      <c r="C559" s="1293"/>
      <c r="D559" s="1293"/>
      <c r="E559" s="1293"/>
      <c r="F559" s="1293"/>
      <c r="G559" s="1965"/>
      <c r="H559" s="1965"/>
      <c r="I559" s="1965"/>
      <c r="J559" s="1965"/>
      <c r="K559" s="1965"/>
      <c r="L559" s="1965"/>
      <c r="M559" s="1965"/>
      <c r="N559" s="1965"/>
      <c r="O559" s="1965"/>
      <c r="P559" s="1965"/>
      <c r="Q559" s="1965"/>
      <c r="R559" s="1965"/>
      <c r="S559" s="1965"/>
      <c r="T559" s="1965"/>
      <c r="U559" s="1965"/>
      <c r="V559" s="1965"/>
      <c r="W559" s="1965"/>
      <c r="X559" s="1965"/>
      <c r="Y559" s="1965"/>
      <c r="Z559" s="1965"/>
      <c r="AA559" s="1965"/>
      <c r="AB559" s="1965"/>
      <c r="AC559" s="1965"/>
      <c r="AD559" s="1965"/>
      <c r="AE559" s="1965"/>
      <c r="AF559" s="1965"/>
      <c r="AG559" s="1965"/>
      <c r="AH559" s="1293"/>
      <c r="AI559" s="1293"/>
      <c r="AJ559" s="1293"/>
      <c r="AK559" s="1293"/>
      <c r="AL559" s="1293"/>
      <c r="AM559" s="1293"/>
      <c r="AN559" s="1293"/>
      <c r="AO559" s="1293"/>
      <c r="AP559" s="1293"/>
      <c r="AQ559" s="1293"/>
      <c r="AR559" s="1293"/>
      <c r="AS559" s="1293"/>
    </row>
    <row r="560" spans="1:45" ht="15.75">
      <c r="A560" s="1293" t="s">
        <v>804</v>
      </c>
      <c r="B560" s="1293"/>
      <c r="C560" s="1293"/>
      <c r="D560" s="1293"/>
      <c r="E560" s="1293"/>
      <c r="F560" s="1293"/>
      <c r="G560" s="1965">
        <f t="shared" ref="G560:N560" si="339">+G504+G532</f>
        <v>536.62900000000002</v>
      </c>
      <c r="H560" s="1965">
        <f t="shared" si="339"/>
        <v>537.59900000000005</v>
      </c>
      <c r="I560" s="1965">
        <f t="shared" si="339"/>
        <v>538.673</v>
      </c>
      <c r="J560" s="1965">
        <f t="shared" si="339"/>
        <v>480</v>
      </c>
      <c r="K560" s="1965">
        <f t="shared" si="339"/>
        <v>453.47</v>
      </c>
      <c r="L560" s="1965">
        <f t="shared" si="339"/>
        <v>454</v>
      </c>
      <c r="M560" s="1965">
        <f t="shared" si="339"/>
        <v>0</v>
      </c>
      <c r="N560" s="1965">
        <f t="shared" si="339"/>
        <v>0</v>
      </c>
      <c r="O560" s="1965">
        <f t="shared" ref="O560:AG560" si="340">+N560+O588-O616</f>
        <v>0</v>
      </c>
      <c r="P560" s="1965">
        <f t="shared" si="340"/>
        <v>0</v>
      </c>
      <c r="Q560" s="1965">
        <f t="shared" si="340"/>
        <v>0</v>
      </c>
      <c r="R560" s="1965">
        <f t="shared" si="340"/>
        <v>0</v>
      </c>
      <c r="S560" s="1965">
        <f t="shared" si="340"/>
        <v>0</v>
      </c>
      <c r="T560" s="1965">
        <f t="shared" si="340"/>
        <v>0</v>
      </c>
      <c r="U560" s="1965">
        <f t="shared" si="340"/>
        <v>0</v>
      </c>
      <c r="V560" s="1965">
        <f t="shared" si="340"/>
        <v>0</v>
      </c>
      <c r="W560" s="1965">
        <f t="shared" si="340"/>
        <v>0</v>
      </c>
      <c r="X560" s="1965">
        <f t="shared" si="340"/>
        <v>0</v>
      </c>
      <c r="Y560" s="1965">
        <f t="shared" si="340"/>
        <v>0</v>
      </c>
      <c r="Z560" s="1965">
        <f t="shared" si="340"/>
        <v>0</v>
      </c>
      <c r="AA560" s="1965">
        <f t="shared" si="340"/>
        <v>0</v>
      </c>
      <c r="AB560" s="1965">
        <f t="shared" si="340"/>
        <v>0</v>
      </c>
      <c r="AC560" s="1965">
        <f t="shared" si="340"/>
        <v>0</v>
      </c>
      <c r="AD560" s="1965">
        <f t="shared" si="340"/>
        <v>0</v>
      </c>
      <c r="AE560" s="1965">
        <f t="shared" si="340"/>
        <v>0</v>
      </c>
      <c r="AF560" s="1965">
        <f t="shared" si="340"/>
        <v>0</v>
      </c>
      <c r="AG560" s="1965">
        <f t="shared" si="340"/>
        <v>0</v>
      </c>
      <c r="AH560" s="1293"/>
      <c r="AI560" s="1293"/>
      <c r="AJ560" s="1293"/>
      <c r="AK560" s="1293"/>
      <c r="AL560" s="1293"/>
      <c r="AM560" s="1293"/>
      <c r="AN560" s="1293"/>
      <c r="AO560" s="1293"/>
      <c r="AP560" s="1293"/>
      <c r="AQ560" s="1293"/>
      <c r="AR560" s="1293"/>
      <c r="AS560" s="1293"/>
    </row>
    <row r="561" spans="1:45" ht="15.75">
      <c r="A561" s="1293" t="s">
        <v>805</v>
      </c>
      <c r="B561" s="1293"/>
      <c r="C561" s="1293"/>
      <c r="D561" s="1293"/>
      <c r="E561" s="1293"/>
      <c r="F561" s="1293"/>
      <c r="G561" s="1965"/>
      <c r="H561" s="1965">
        <f t="shared" ref="H561:N563" si="341">+H505+H533</f>
        <v>163.28399999999999</v>
      </c>
      <c r="I561" s="1965">
        <f t="shared" si="341"/>
        <v>171.16900000000001</v>
      </c>
      <c r="J561" s="1965">
        <f t="shared" si="341"/>
        <v>179</v>
      </c>
      <c r="K561" s="1965">
        <f t="shared" si="341"/>
        <v>0</v>
      </c>
      <c r="L561" s="1965">
        <f t="shared" si="341"/>
        <v>0</v>
      </c>
      <c r="M561" s="1965">
        <f t="shared" ca="1" si="341"/>
        <v>0</v>
      </c>
      <c r="N561" s="1965">
        <f t="shared" ca="1" si="341"/>
        <v>0</v>
      </c>
      <c r="O561" s="1965">
        <v>0</v>
      </c>
      <c r="P561" s="1965">
        <v>0</v>
      </c>
      <c r="Q561" s="1965">
        <v>0</v>
      </c>
      <c r="R561" s="1965">
        <v>0</v>
      </c>
      <c r="S561" s="1965">
        <v>0</v>
      </c>
      <c r="T561" s="1965">
        <v>0</v>
      </c>
      <c r="U561" s="1965">
        <v>0</v>
      </c>
      <c r="V561" s="1965">
        <v>0</v>
      </c>
      <c r="W561" s="1965">
        <v>0</v>
      </c>
      <c r="X561" s="1965">
        <v>0</v>
      </c>
      <c r="Y561" s="1965">
        <v>0</v>
      </c>
      <c r="Z561" s="1965">
        <v>0</v>
      </c>
      <c r="AA561" s="1965">
        <v>0</v>
      </c>
      <c r="AB561" s="1965">
        <v>0</v>
      </c>
      <c r="AC561" s="1965">
        <v>0</v>
      </c>
      <c r="AD561" s="1965">
        <v>0</v>
      </c>
      <c r="AE561" s="1965">
        <v>0</v>
      </c>
      <c r="AF561" s="1965">
        <v>0</v>
      </c>
      <c r="AG561" s="1965">
        <v>0</v>
      </c>
      <c r="AH561" s="1293"/>
      <c r="AI561" s="1293"/>
      <c r="AJ561" s="1293"/>
      <c r="AK561" s="1293"/>
      <c r="AL561" s="1293"/>
      <c r="AM561" s="1293"/>
      <c r="AN561" s="1293"/>
      <c r="AO561" s="1293"/>
      <c r="AP561" s="1293"/>
      <c r="AQ561" s="1293"/>
      <c r="AR561" s="1293"/>
      <c r="AS561" s="1293"/>
    </row>
    <row r="562" spans="1:45" ht="15.75">
      <c r="A562" s="1293" t="s">
        <v>806</v>
      </c>
      <c r="B562" s="1293"/>
      <c r="C562" s="1293"/>
      <c r="D562" s="1293"/>
      <c r="E562" s="1293"/>
      <c r="F562" s="1293"/>
      <c r="G562" s="1965">
        <f>+G506+G534</f>
        <v>365.00599999999997</v>
      </c>
      <c r="H562" s="1965">
        <f t="shared" si="341"/>
        <v>315.35899999999998</v>
      </c>
      <c r="I562" s="1965">
        <f t="shared" si="341"/>
        <v>0</v>
      </c>
      <c r="J562" s="1965">
        <f t="shared" ca="1" si="341"/>
        <v>0</v>
      </c>
      <c r="K562" s="1965">
        <f t="shared" ca="1" si="341"/>
        <v>0</v>
      </c>
      <c r="L562" s="1965">
        <f t="shared" ca="1" si="341"/>
        <v>0</v>
      </c>
      <c r="M562" s="1965">
        <f t="shared" ca="1" si="341"/>
        <v>0</v>
      </c>
      <c r="N562" s="1965">
        <f t="shared" ca="1" si="341"/>
        <v>0</v>
      </c>
      <c r="O562" s="1965">
        <f t="shared" ref="O562:AG562" ca="1" si="342">+N562+O590-O618</f>
        <v>0</v>
      </c>
      <c r="P562" s="1965">
        <f t="shared" ca="1" si="342"/>
        <v>0</v>
      </c>
      <c r="Q562" s="1965">
        <f t="shared" ca="1" si="342"/>
        <v>0</v>
      </c>
      <c r="R562" s="1965">
        <f t="shared" ca="1" si="342"/>
        <v>0</v>
      </c>
      <c r="S562" s="1965">
        <f t="shared" ca="1" si="342"/>
        <v>0</v>
      </c>
      <c r="T562" s="1965">
        <f t="shared" ca="1" si="342"/>
        <v>0</v>
      </c>
      <c r="U562" s="1965">
        <f t="shared" ca="1" si="342"/>
        <v>0</v>
      </c>
      <c r="V562" s="1965">
        <f t="shared" ca="1" si="342"/>
        <v>0</v>
      </c>
      <c r="W562" s="1965">
        <f t="shared" ca="1" si="342"/>
        <v>0</v>
      </c>
      <c r="X562" s="1965">
        <f t="shared" ca="1" si="342"/>
        <v>0</v>
      </c>
      <c r="Y562" s="1965">
        <f t="shared" ca="1" si="342"/>
        <v>0</v>
      </c>
      <c r="Z562" s="1965">
        <f t="shared" ca="1" si="342"/>
        <v>0</v>
      </c>
      <c r="AA562" s="1965">
        <f t="shared" ca="1" si="342"/>
        <v>0</v>
      </c>
      <c r="AB562" s="1965">
        <f t="shared" ca="1" si="342"/>
        <v>0</v>
      </c>
      <c r="AC562" s="1965">
        <f t="shared" ca="1" si="342"/>
        <v>0</v>
      </c>
      <c r="AD562" s="1965">
        <f t="shared" ca="1" si="342"/>
        <v>0</v>
      </c>
      <c r="AE562" s="1965">
        <f t="shared" ca="1" si="342"/>
        <v>0</v>
      </c>
      <c r="AF562" s="1965">
        <f t="shared" ca="1" si="342"/>
        <v>0</v>
      </c>
      <c r="AG562" s="1965">
        <f t="shared" ca="1" si="342"/>
        <v>0</v>
      </c>
      <c r="AH562" s="1293"/>
      <c r="AI562" s="1293"/>
      <c r="AJ562" s="1293"/>
      <c r="AK562" s="1293"/>
      <c r="AL562" s="1293"/>
      <c r="AM562" s="1293"/>
      <c r="AN562" s="1293"/>
      <c r="AO562" s="1293"/>
      <c r="AP562" s="1293"/>
      <c r="AQ562" s="1293"/>
      <c r="AR562" s="1293"/>
      <c r="AS562" s="1293"/>
    </row>
    <row r="563" spans="1:45" ht="15.75">
      <c r="A563" s="1293" t="s">
        <v>4860</v>
      </c>
      <c r="B563" s="1293"/>
      <c r="C563" s="1293"/>
      <c r="D563" s="1293"/>
      <c r="E563" s="1293"/>
      <c r="F563" s="1293"/>
      <c r="G563" s="1965">
        <f>+G507+G535</f>
        <v>212.77799999999999</v>
      </c>
      <c r="H563" s="1965">
        <f t="shared" si="341"/>
        <v>216.381</v>
      </c>
      <c r="I563" s="1965">
        <f t="shared" si="341"/>
        <v>783.81400000000008</v>
      </c>
      <c r="J563" s="1965">
        <f t="shared" si="341"/>
        <v>1175.5250000000001</v>
      </c>
      <c r="K563" s="1965">
        <f t="shared" si="341"/>
        <v>1704.5</v>
      </c>
      <c r="L563" s="1965">
        <f t="shared" si="341"/>
        <v>1892</v>
      </c>
      <c r="M563" s="1965">
        <f t="shared" si="341"/>
        <v>1902.0360000000001</v>
      </c>
      <c r="N563" s="1965">
        <f t="shared" si="341"/>
        <v>2108</v>
      </c>
      <c r="O563" s="1965">
        <f>+O507+O535</f>
        <v>1785.3076923076924</v>
      </c>
      <c r="P563" s="1965">
        <f ca="1">P585-SUM(P560:P562)-SUM(P564:P577)</f>
        <v>1146</v>
      </c>
      <c r="Q563" s="1965">
        <f ca="1">Q585-SUM(Q560:Q562)-SUM(Q564:Q577)</f>
        <v>1230</v>
      </c>
      <c r="R563" s="1965">
        <f ca="1">R585-SUM(R560:R562)-SUM(R564:R577)</f>
        <v>1412</v>
      </c>
      <c r="S563" s="1965">
        <f ca="1">S585-SUM(S560:S562)-SUM(S564:S577)</f>
        <v>1690</v>
      </c>
      <c r="T563" s="1965">
        <f ca="1">T585-SUM(T560:T562)-SUM(T564:T577)</f>
        <v>1990</v>
      </c>
      <c r="U563" s="1965">
        <f t="shared" ref="U563:Z563" ca="1" si="343">U585-SUM(U560:U562)-SUM(U564:U584)</f>
        <v>2211.5</v>
      </c>
      <c r="V563" s="1965">
        <f t="shared" ca="1" si="343"/>
        <v>1883.9876438628989</v>
      </c>
      <c r="W563" s="1965">
        <f t="shared" ca="1" si="343"/>
        <v>1067.3302050411385</v>
      </c>
      <c r="X563" s="1965">
        <f t="shared" ca="1" si="343"/>
        <v>1080.966011492751</v>
      </c>
      <c r="Y563" s="1965">
        <f t="shared" ca="1" si="343"/>
        <v>412.19286633146112</v>
      </c>
      <c r="Z563" s="1965">
        <f t="shared" ca="1" si="343"/>
        <v>389.73152681533247</v>
      </c>
      <c r="AA563" s="1965">
        <f t="shared" ref="AA563:AG564" ca="1" si="344">+Z563+AA591-AA619</f>
        <v>389.73152681533247</v>
      </c>
      <c r="AB563" s="1965">
        <f t="shared" ca="1" si="344"/>
        <v>389.73152681533247</v>
      </c>
      <c r="AC563" s="1965">
        <f t="shared" ca="1" si="344"/>
        <v>389.73152681533247</v>
      </c>
      <c r="AD563" s="1965">
        <f t="shared" ca="1" si="344"/>
        <v>389.73152681533247</v>
      </c>
      <c r="AE563" s="1965">
        <f t="shared" ca="1" si="344"/>
        <v>389.73152681533247</v>
      </c>
      <c r="AF563" s="1965">
        <f t="shared" ca="1" si="344"/>
        <v>389.73152681533247</v>
      </c>
      <c r="AG563" s="1965">
        <f t="shared" ca="1" si="344"/>
        <v>389.73152681533247</v>
      </c>
      <c r="AH563" s="1293"/>
      <c r="AI563" s="1293"/>
      <c r="AJ563" s="1293"/>
      <c r="AK563" s="1293"/>
      <c r="AL563" s="1293"/>
      <c r="AM563" s="1293"/>
      <c r="AN563" s="1293"/>
      <c r="AO563" s="1293"/>
      <c r="AP563" s="1293"/>
      <c r="AQ563" s="1293"/>
      <c r="AR563" s="1293"/>
      <c r="AS563" s="1293"/>
    </row>
    <row r="564" spans="1:45" ht="15.75">
      <c r="A564" s="1293" t="str">
        <f t="shared" ref="A564:A578" si="345">A536</f>
        <v>8.00% notes (El Sal)</v>
      </c>
      <c r="B564" s="1293"/>
      <c r="C564" s="1293"/>
      <c r="D564" s="1293"/>
      <c r="E564" s="1293"/>
      <c r="F564" s="1293"/>
      <c r="G564" s="1965"/>
      <c r="H564" s="1965"/>
      <c r="I564" s="1965">
        <f t="shared" ref="I564:O564" si="346">+H564+I592-I620</f>
        <v>0</v>
      </c>
      <c r="J564" s="1965">
        <f t="shared" si="346"/>
        <v>0</v>
      </c>
      <c r="K564" s="1965">
        <f t="shared" si="346"/>
        <v>0</v>
      </c>
      <c r="L564" s="1965">
        <f t="shared" si="346"/>
        <v>0</v>
      </c>
      <c r="M564" s="1965">
        <f t="shared" si="346"/>
        <v>450</v>
      </c>
      <c r="N564" s="1965">
        <f t="shared" si="346"/>
        <v>450</v>
      </c>
      <c r="O564" s="1965">
        <f t="shared" si="346"/>
        <v>450</v>
      </c>
      <c r="P564" s="1966">
        <v>441</v>
      </c>
      <c r="Q564" s="1966">
        <v>304</v>
      </c>
      <c r="R564" s="1965">
        <f t="shared" ref="R564:Z564" si="347">+Q564+R592-R620</f>
        <v>0</v>
      </c>
      <c r="S564" s="1965">
        <f t="shared" si="347"/>
        <v>0</v>
      </c>
      <c r="T564" s="1965">
        <f t="shared" si="347"/>
        <v>0</v>
      </c>
      <c r="U564" s="1965">
        <f t="shared" si="347"/>
        <v>0</v>
      </c>
      <c r="V564" s="1965">
        <f t="shared" si="347"/>
        <v>0</v>
      </c>
      <c r="W564" s="1965">
        <f t="shared" si="347"/>
        <v>0</v>
      </c>
      <c r="X564" s="1965">
        <f t="shared" si="347"/>
        <v>0</v>
      </c>
      <c r="Y564" s="1965">
        <f t="shared" si="347"/>
        <v>0</v>
      </c>
      <c r="Z564" s="1965">
        <f t="shared" si="347"/>
        <v>0</v>
      </c>
      <c r="AA564" s="1965">
        <f t="shared" si="344"/>
        <v>0</v>
      </c>
      <c r="AB564" s="1965">
        <f t="shared" si="344"/>
        <v>0</v>
      </c>
      <c r="AC564" s="1965">
        <f t="shared" si="344"/>
        <v>0</v>
      </c>
      <c r="AD564" s="1965">
        <f t="shared" si="344"/>
        <v>0</v>
      </c>
      <c r="AE564" s="1965">
        <f t="shared" si="344"/>
        <v>0</v>
      </c>
      <c r="AF564" s="1965">
        <f t="shared" si="344"/>
        <v>0</v>
      </c>
      <c r="AG564" s="1965">
        <f t="shared" si="344"/>
        <v>0</v>
      </c>
      <c r="AH564" s="1293"/>
      <c r="AI564" s="1293"/>
      <c r="AJ564" s="1293"/>
      <c r="AK564" s="1293"/>
      <c r="AL564" s="1293"/>
      <c r="AM564" s="1293"/>
      <c r="AN564" s="1293"/>
      <c r="AO564" s="1293"/>
      <c r="AP564" s="1293"/>
      <c r="AQ564" s="1293"/>
      <c r="AR564" s="1293"/>
      <c r="AS564" s="1293"/>
    </row>
    <row r="565" spans="1:45" ht="15.75">
      <c r="A565" s="1293" t="str">
        <f t="shared" si="345"/>
        <v>Towers lease liability</v>
      </c>
      <c r="B565" s="1293"/>
      <c r="C565" s="1293"/>
      <c r="D565" s="1293"/>
      <c r="E565" s="1293"/>
      <c r="F565" s="1293"/>
      <c r="G565" s="1965"/>
      <c r="H565" s="1965"/>
      <c r="I565" s="1965"/>
      <c r="J565" s="1965"/>
      <c r="K565" s="1965"/>
      <c r="L565" s="1965"/>
      <c r="M565" s="1965"/>
      <c r="N565" s="1965"/>
      <c r="O565" s="1966">
        <v>232</v>
      </c>
      <c r="P565" s="1966">
        <v>279</v>
      </c>
      <c r="Q565" s="1966">
        <v>272</v>
      </c>
      <c r="R565" s="1966">
        <v>336</v>
      </c>
      <c r="S565" s="1966">
        <v>295</v>
      </c>
      <c r="T565" s="1965">
        <f t="shared" ref="T565:AG565" si="348">S565+T593-T621</f>
        <v>295</v>
      </c>
      <c r="U565" s="1965">
        <f t="shared" si="348"/>
        <v>382.5</v>
      </c>
      <c r="V565" s="1965">
        <f t="shared" si="348"/>
        <v>382.5</v>
      </c>
      <c r="W565" s="1965">
        <f t="shared" si="348"/>
        <v>382.5</v>
      </c>
      <c r="X565" s="1965">
        <f t="shared" si="348"/>
        <v>382.5</v>
      </c>
      <c r="Y565" s="1965">
        <f t="shared" si="348"/>
        <v>382.5</v>
      </c>
      <c r="Z565" s="1965">
        <f t="shared" si="348"/>
        <v>382.5</v>
      </c>
      <c r="AA565" s="1965">
        <f t="shared" si="348"/>
        <v>382.5</v>
      </c>
      <c r="AB565" s="1965">
        <f t="shared" si="348"/>
        <v>382.5</v>
      </c>
      <c r="AC565" s="1965">
        <f t="shared" si="348"/>
        <v>382.5</v>
      </c>
      <c r="AD565" s="1965">
        <f t="shared" si="348"/>
        <v>382.5</v>
      </c>
      <c r="AE565" s="1965">
        <f t="shared" si="348"/>
        <v>382.5</v>
      </c>
      <c r="AF565" s="1965">
        <f t="shared" si="348"/>
        <v>382.5</v>
      </c>
      <c r="AG565" s="1965">
        <f t="shared" si="348"/>
        <v>382.5</v>
      </c>
      <c r="AH565" s="1293"/>
      <c r="AI565" s="1293"/>
      <c r="AJ565" s="1293"/>
      <c r="AK565" s="1293"/>
      <c r="AL565" s="1293"/>
      <c r="AM565" s="1293"/>
      <c r="AN565" s="1293"/>
      <c r="AO565" s="1293"/>
      <c r="AP565" s="1293"/>
      <c r="AQ565" s="1293"/>
      <c r="AR565" s="1293"/>
      <c r="AS565" s="1293"/>
    </row>
    <row r="566" spans="1:45" ht="15.75">
      <c r="A566" s="1293" t="str">
        <f t="shared" si="345"/>
        <v>SEK1.75bn floating</v>
      </c>
      <c r="B566" s="1293"/>
      <c r="C566" s="1293"/>
      <c r="D566" s="1293"/>
      <c r="E566" s="1293"/>
      <c r="F566" s="1293"/>
      <c r="G566" s="1965"/>
      <c r="H566" s="1965"/>
      <c r="I566" s="1965">
        <f t="shared" ref="I566:O567" si="349">+H566+I594-I622</f>
        <v>0</v>
      </c>
      <c r="J566" s="1965">
        <f t="shared" si="349"/>
        <v>0</v>
      </c>
      <c r="K566" s="1965">
        <f t="shared" si="349"/>
        <v>0</v>
      </c>
      <c r="L566" s="1965">
        <f t="shared" si="349"/>
        <v>0</v>
      </c>
      <c r="M566" s="1965">
        <f t="shared" si="349"/>
        <v>0</v>
      </c>
      <c r="N566" s="1965">
        <f t="shared" si="349"/>
        <v>0</v>
      </c>
      <c r="O566" s="1965">
        <f t="shared" si="349"/>
        <v>269.23076923076923</v>
      </c>
      <c r="P566" s="1966">
        <v>273</v>
      </c>
      <c r="Q566" s="1966">
        <v>226</v>
      </c>
      <c r="R566" s="1966">
        <v>207</v>
      </c>
      <c r="S566" s="1966">
        <v>0</v>
      </c>
      <c r="T566" s="1965">
        <f t="shared" ref="T566:AG566" si="350">+S566+T594-T622</f>
        <v>0</v>
      </c>
      <c r="U566" s="1965">
        <f t="shared" si="350"/>
        <v>0</v>
      </c>
      <c r="V566" s="1965">
        <f t="shared" si="350"/>
        <v>0</v>
      </c>
      <c r="W566" s="1965">
        <f t="shared" si="350"/>
        <v>0</v>
      </c>
      <c r="X566" s="1965">
        <f t="shared" si="350"/>
        <v>0</v>
      </c>
      <c r="Y566" s="1965">
        <f t="shared" si="350"/>
        <v>0</v>
      </c>
      <c r="Z566" s="1965">
        <f t="shared" si="350"/>
        <v>0</v>
      </c>
      <c r="AA566" s="1965">
        <f t="shared" si="350"/>
        <v>0</v>
      </c>
      <c r="AB566" s="1965">
        <f t="shared" si="350"/>
        <v>0</v>
      </c>
      <c r="AC566" s="1965">
        <f t="shared" si="350"/>
        <v>0</v>
      </c>
      <c r="AD566" s="1965">
        <f t="shared" si="350"/>
        <v>0</v>
      </c>
      <c r="AE566" s="1965">
        <f t="shared" si="350"/>
        <v>0</v>
      </c>
      <c r="AF566" s="1965">
        <f t="shared" si="350"/>
        <v>0</v>
      </c>
      <c r="AG566" s="1965">
        <f t="shared" si="350"/>
        <v>0</v>
      </c>
      <c r="AH566" s="1293"/>
      <c r="AI566" s="1293"/>
      <c r="AJ566" s="1293"/>
      <c r="AK566" s="1293"/>
      <c r="AL566" s="1293"/>
      <c r="AM566" s="1293"/>
      <c r="AN566" s="1293"/>
      <c r="AO566" s="1293"/>
      <c r="AP566" s="1293"/>
      <c r="AQ566" s="1293"/>
      <c r="AR566" s="1293"/>
      <c r="AS566" s="1293"/>
    </row>
    <row r="567" spans="1:45" ht="15.75">
      <c r="A567" s="1293" t="str">
        <f t="shared" si="345"/>
        <v>SEK0.25bn 5.125%</v>
      </c>
      <c r="B567" s="1293"/>
      <c r="C567" s="1293"/>
      <c r="D567" s="1293"/>
      <c r="E567" s="1293"/>
      <c r="F567" s="1293"/>
      <c r="G567" s="1965"/>
      <c r="H567" s="1965"/>
      <c r="I567" s="1965">
        <f t="shared" si="349"/>
        <v>0</v>
      </c>
      <c r="J567" s="1965">
        <f t="shared" si="349"/>
        <v>0</v>
      </c>
      <c r="K567" s="1965">
        <f t="shared" si="349"/>
        <v>0</v>
      </c>
      <c r="L567" s="1965">
        <f t="shared" si="349"/>
        <v>0</v>
      </c>
      <c r="M567" s="1965">
        <f t="shared" si="349"/>
        <v>0</v>
      </c>
      <c r="N567" s="1965">
        <f t="shared" si="349"/>
        <v>0</v>
      </c>
      <c r="O567" s="1965">
        <f t="shared" si="349"/>
        <v>38.46153846153846</v>
      </c>
      <c r="P567" s="1966">
        <v>37</v>
      </c>
      <c r="Q567" s="1966">
        <v>30</v>
      </c>
      <c r="R567" s="1966">
        <v>27</v>
      </c>
      <c r="S567" s="1966">
        <v>0</v>
      </c>
      <c r="T567" s="1965">
        <f t="shared" ref="T567:AG567" si="351">+S567+T595-T623</f>
        <v>0</v>
      </c>
      <c r="U567" s="1965">
        <f t="shared" si="351"/>
        <v>0</v>
      </c>
      <c r="V567" s="1965">
        <f t="shared" si="351"/>
        <v>0</v>
      </c>
      <c r="W567" s="1965">
        <f t="shared" si="351"/>
        <v>0</v>
      </c>
      <c r="X567" s="1965">
        <f t="shared" si="351"/>
        <v>0</v>
      </c>
      <c r="Y567" s="1965">
        <f t="shared" si="351"/>
        <v>0</v>
      </c>
      <c r="Z567" s="1965">
        <f t="shared" si="351"/>
        <v>0</v>
      </c>
      <c r="AA567" s="1965">
        <f t="shared" si="351"/>
        <v>0</v>
      </c>
      <c r="AB567" s="1965">
        <f t="shared" si="351"/>
        <v>0</v>
      </c>
      <c r="AC567" s="1965">
        <f t="shared" si="351"/>
        <v>0</v>
      </c>
      <c r="AD567" s="1965">
        <f t="shared" si="351"/>
        <v>0</v>
      </c>
      <c r="AE567" s="1965">
        <f t="shared" si="351"/>
        <v>0</v>
      </c>
      <c r="AF567" s="1965">
        <f t="shared" si="351"/>
        <v>0</v>
      </c>
      <c r="AG567" s="1965">
        <f t="shared" si="351"/>
        <v>0</v>
      </c>
      <c r="AH567" s="1293"/>
      <c r="AI567" s="1293"/>
      <c r="AJ567" s="1293"/>
      <c r="AK567" s="1293"/>
      <c r="AL567" s="1293"/>
      <c r="AM567" s="1293"/>
      <c r="AN567" s="1293"/>
      <c r="AO567" s="1293"/>
      <c r="AP567" s="1293"/>
      <c r="AQ567" s="1293"/>
      <c r="AR567" s="1293"/>
      <c r="AS567" s="1293"/>
    </row>
    <row r="568" spans="1:45" ht="15.75">
      <c r="A568" s="1293" t="str">
        <f t="shared" si="345"/>
        <v>Bolivia 4.75% (BOL)</v>
      </c>
      <c r="B568" s="1293"/>
      <c r="C568" s="1293"/>
      <c r="D568" s="1293"/>
      <c r="E568" s="1293"/>
      <c r="F568" s="1293"/>
      <c r="G568" s="1965"/>
      <c r="H568" s="1965"/>
      <c r="I568" s="1965"/>
      <c r="J568" s="1965"/>
      <c r="K568" s="1965"/>
      <c r="L568" s="1965"/>
      <c r="M568" s="1965"/>
      <c r="N568" s="1965"/>
      <c r="O568" s="1966">
        <v>191</v>
      </c>
      <c r="P568" s="1966">
        <v>175</v>
      </c>
      <c r="Q568" s="1966">
        <v>156</v>
      </c>
      <c r="R568" s="1966">
        <f>135+15+85</f>
        <v>235</v>
      </c>
      <c r="S568" s="1966">
        <f>112+15+85+50+25</f>
        <v>287</v>
      </c>
      <c r="T568" s="1966">
        <v>335</v>
      </c>
      <c r="U568" s="1966">
        <v>281</v>
      </c>
      <c r="V568" s="1965">
        <f t="shared" ref="V568:AG568" si="352">+U568+V596-V624</f>
        <v>256</v>
      </c>
      <c r="W568" s="1965">
        <f t="shared" si="352"/>
        <v>231</v>
      </c>
      <c r="X568" s="1965">
        <f t="shared" si="352"/>
        <v>206</v>
      </c>
      <c r="Y568" s="1965">
        <f t="shared" si="352"/>
        <v>181</v>
      </c>
      <c r="Z568" s="1965">
        <f t="shared" si="352"/>
        <v>156</v>
      </c>
      <c r="AA568" s="1965">
        <f t="shared" si="352"/>
        <v>131</v>
      </c>
      <c r="AB568" s="1965">
        <f t="shared" si="352"/>
        <v>106</v>
      </c>
      <c r="AC568" s="1965">
        <f t="shared" si="352"/>
        <v>81</v>
      </c>
      <c r="AD568" s="1965">
        <f t="shared" si="352"/>
        <v>56</v>
      </c>
      <c r="AE568" s="1965">
        <f t="shared" si="352"/>
        <v>31</v>
      </c>
      <c r="AF568" s="1965">
        <f t="shared" si="352"/>
        <v>6</v>
      </c>
      <c r="AG568" s="1965">
        <f t="shared" si="352"/>
        <v>-19</v>
      </c>
      <c r="AH568" s="1293"/>
      <c r="AI568" s="1293"/>
      <c r="AJ568" s="1293"/>
      <c r="AK568" s="1293"/>
      <c r="AL568" s="1293"/>
      <c r="AM568" s="1293"/>
      <c r="AN568" s="1293"/>
      <c r="AO568" s="1293"/>
      <c r="AP568" s="1293"/>
      <c r="AQ568" s="1293"/>
      <c r="AR568" s="1293"/>
      <c r="AS568" s="1293"/>
    </row>
    <row r="569" spans="1:45" ht="15.75">
      <c r="A569" s="1293" t="str">
        <f t="shared" si="345"/>
        <v>Paraguay 6.75% 2022</v>
      </c>
      <c r="B569" s="1293"/>
      <c r="C569" s="1293"/>
      <c r="D569" s="1293"/>
      <c r="E569" s="1293"/>
      <c r="F569" s="1293"/>
      <c r="G569" s="1965"/>
      <c r="H569" s="1965"/>
      <c r="I569" s="1965">
        <f t="shared" ref="I569:N570" si="353">+H569+I597-I625</f>
        <v>0</v>
      </c>
      <c r="J569" s="1965">
        <f t="shared" si="353"/>
        <v>0</v>
      </c>
      <c r="K569" s="1965">
        <f t="shared" si="353"/>
        <v>0</v>
      </c>
      <c r="L569" s="1965">
        <f t="shared" si="353"/>
        <v>0</v>
      </c>
      <c r="M569" s="1965">
        <f t="shared" si="353"/>
        <v>0</v>
      </c>
      <c r="N569" s="1965">
        <f t="shared" si="353"/>
        <v>0</v>
      </c>
      <c r="O569" s="1966">
        <v>293</v>
      </c>
      <c r="P569" s="1966">
        <v>294</v>
      </c>
      <c r="Q569" s="1966">
        <v>294</v>
      </c>
      <c r="R569" s="1966">
        <v>295</v>
      </c>
      <c r="S569" s="1966">
        <v>296</v>
      </c>
      <c r="T569" s="1966">
        <v>296</v>
      </c>
      <c r="U569" s="1966">
        <v>297</v>
      </c>
      <c r="V569" s="1965">
        <f t="shared" ref="V569:AG569" si="354">+U569+V597-V625</f>
        <v>0</v>
      </c>
      <c r="W569" s="1965">
        <f t="shared" si="354"/>
        <v>0</v>
      </c>
      <c r="X569" s="1965">
        <f t="shared" si="354"/>
        <v>0</v>
      </c>
      <c r="Y569" s="1965">
        <f t="shared" si="354"/>
        <v>0</v>
      </c>
      <c r="Z569" s="1965">
        <f t="shared" si="354"/>
        <v>0</v>
      </c>
      <c r="AA569" s="1965">
        <f t="shared" si="354"/>
        <v>0</v>
      </c>
      <c r="AB569" s="1965">
        <f t="shared" si="354"/>
        <v>0</v>
      </c>
      <c r="AC569" s="1965">
        <f t="shared" si="354"/>
        <v>0</v>
      </c>
      <c r="AD569" s="1965">
        <f t="shared" si="354"/>
        <v>0</v>
      </c>
      <c r="AE569" s="1965">
        <f t="shared" si="354"/>
        <v>0</v>
      </c>
      <c r="AF569" s="1965">
        <f t="shared" si="354"/>
        <v>0</v>
      </c>
      <c r="AG569" s="1965">
        <f t="shared" si="354"/>
        <v>0</v>
      </c>
      <c r="AH569" s="1293"/>
      <c r="AI569" s="1293"/>
      <c r="AJ569" s="1293"/>
      <c r="AK569" s="1293"/>
      <c r="AL569" s="1293"/>
      <c r="AM569" s="1293"/>
      <c r="AN569" s="1293"/>
      <c r="AO569" s="1293"/>
      <c r="AP569" s="1293"/>
      <c r="AQ569" s="1293"/>
      <c r="AR569" s="1293"/>
      <c r="AS569" s="1293"/>
    </row>
    <row r="570" spans="1:45" ht="15.75">
      <c r="A570" s="1293" t="str">
        <f t="shared" si="345"/>
        <v>$ 4.75% bond</v>
      </c>
      <c r="B570" s="1293"/>
      <c r="C570" s="1293"/>
      <c r="D570" s="1293"/>
      <c r="E570" s="1293"/>
      <c r="F570" s="1293"/>
      <c r="G570" s="1965"/>
      <c r="H570" s="1965"/>
      <c r="I570" s="1965">
        <f t="shared" si="353"/>
        <v>0</v>
      </c>
      <c r="J570" s="1965">
        <f t="shared" si="353"/>
        <v>0</v>
      </c>
      <c r="K570" s="1965">
        <f t="shared" si="353"/>
        <v>0</v>
      </c>
      <c r="L570" s="1965">
        <f t="shared" si="353"/>
        <v>0</v>
      </c>
      <c r="M570" s="1965">
        <f t="shared" si="353"/>
        <v>0</v>
      </c>
      <c r="N570" s="1965">
        <f t="shared" si="353"/>
        <v>0</v>
      </c>
      <c r="O570" s="1965">
        <f>+N570+O598-O626</f>
        <v>0</v>
      </c>
      <c r="P570" s="1966">
        <v>491</v>
      </c>
      <c r="Q570" s="1966">
        <v>492</v>
      </c>
      <c r="R570" s="1966">
        <v>486</v>
      </c>
      <c r="S570" s="1966">
        <v>333</v>
      </c>
      <c r="T570" s="1965">
        <f>+S570+T598-T626</f>
        <v>0</v>
      </c>
      <c r="U570" s="1965">
        <f>+T570+U598-U626</f>
        <v>0</v>
      </c>
      <c r="V570" s="1965">
        <f t="shared" ref="V570:AG570" si="355">+U570+V598-V626</f>
        <v>0</v>
      </c>
      <c r="W570" s="1965">
        <f t="shared" si="355"/>
        <v>0</v>
      </c>
      <c r="X570" s="1965">
        <f t="shared" si="355"/>
        <v>0</v>
      </c>
      <c r="Y570" s="1965">
        <f t="shared" si="355"/>
        <v>0</v>
      </c>
      <c r="Z570" s="1965">
        <f t="shared" si="355"/>
        <v>0</v>
      </c>
      <c r="AA570" s="1965">
        <f t="shared" si="355"/>
        <v>0</v>
      </c>
      <c r="AB570" s="1965">
        <f t="shared" si="355"/>
        <v>0</v>
      </c>
      <c r="AC570" s="1965">
        <f t="shared" si="355"/>
        <v>0</v>
      </c>
      <c r="AD570" s="1965">
        <f t="shared" si="355"/>
        <v>0</v>
      </c>
      <c r="AE570" s="1965">
        <f t="shared" si="355"/>
        <v>0</v>
      </c>
      <c r="AF570" s="1965">
        <f t="shared" si="355"/>
        <v>0</v>
      </c>
      <c r="AG570" s="1965">
        <f t="shared" si="355"/>
        <v>0</v>
      </c>
      <c r="AH570" s="1293"/>
      <c r="AI570" s="1293"/>
      <c r="AJ570" s="1293"/>
      <c r="AK570" s="1293"/>
      <c r="AL570" s="1293"/>
      <c r="AM570" s="1293"/>
      <c r="AN570" s="1293"/>
      <c r="AO570" s="1293"/>
      <c r="AP570" s="1293"/>
      <c r="AQ570" s="1293"/>
      <c r="AR570" s="1293"/>
      <c r="AS570" s="1293"/>
    </row>
    <row r="571" spans="1:45" ht="15.75">
      <c r="A571" s="1293" t="str">
        <f t="shared" si="345"/>
        <v>$ 6.625% notes</v>
      </c>
      <c r="B571" s="1293"/>
      <c r="C571" s="1293"/>
      <c r="D571" s="1293"/>
      <c r="E571" s="1293"/>
      <c r="F571" s="1293"/>
      <c r="G571" s="1965"/>
      <c r="H571" s="1965"/>
      <c r="I571" s="1965"/>
      <c r="J571" s="1965"/>
      <c r="K571" s="1965"/>
      <c r="L571" s="1965"/>
      <c r="M571" s="1965"/>
      <c r="N571" s="1965"/>
      <c r="O571" s="1965">
        <v>0</v>
      </c>
      <c r="P571" s="1966">
        <v>791</v>
      </c>
      <c r="Q571" s="1966">
        <v>791</v>
      </c>
      <c r="R571" s="1966">
        <v>791</v>
      </c>
      <c r="S571" s="1966">
        <v>652</v>
      </c>
      <c r="T571" s="1965">
        <f>+S571+T599-T627</f>
        <v>0</v>
      </c>
      <c r="U571" s="1965">
        <f>+T571+U599-U627</f>
        <v>0</v>
      </c>
      <c r="V571" s="1965">
        <f t="shared" ref="V571:AG571" si="356">+U571+V599-V627</f>
        <v>0</v>
      </c>
      <c r="W571" s="1965">
        <f t="shared" si="356"/>
        <v>0</v>
      </c>
      <c r="X571" s="1965">
        <f t="shared" si="356"/>
        <v>0</v>
      </c>
      <c r="Y571" s="1965">
        <f t="shared" si="356"/>
        <v>0</v>
      </c>
      <c r="Z571" s="1965">
        <f t="shared" si="356"/>
        <v>0</v>
      </c>
      <c r="AA571" s="1965">
        <f t="shared" si="356"/>
        <v>0</v>
      </c>
      <c r="AB571" s="1965">
        <f t="shared" si="356"/>
        <v>0</v>
      </c>
      <c r="AC571" s="1965">
        <f t="shared" si="356"/>
        <v>0</v>
      </c>
      <c r="AD571" s="1965">
        <f t="shared" si="356"/>
        <v>0</v>
      </c>
      <c r="AE571" s="1965">
        <f t="shared" si="356"/>
        <v>0</v>
      </c>
      <c r="AF571" s="1965">
        <f t="shared" si="356"/>
        <v>0</v>
      </c>
      <c r="AG571" s="1965">
        <f t="shared" si="356"/>
        <v>0</v>
      </c>
      <c r="AH571" s="1293"/>
      <c r="AI571" s="1293"/>
      <c r="AJ571" s="1293"/>
      <c r="AK571" s="1293"/>
      <c r="AL571" s="1293"/>
      <c r="AM571" s="1293"/>
      <c r="AN571" s="1293"/>
      <c r="AO571" s="1293"/>
      <c r="AP571" s="1293"/>
      <c r="AQ571" s="1293"/>
      <c r="AR571" s="1293"/>
      <c r="AS571" s="1293"/>
    </row>
    <row r="572" spans="1:45" ht="15.75">
      <c r="A572" s="1293" t="str">
        <f t="shared" si="345"/>
        <v>UNE bonds, 7.33%-8.76% (COP)</v>
      </c>
      <c r="B572" s="1293"/>
      <c r="C572" s="1293"/>
      <c r="D572" s="1293"/>
      <c r="E572" s="1293"/>
      <c r="F572" s="1293"/>
      <c r="G572" s="1965"/>
      <c r="H572" s="1965"/>
      <c r="I572" s="1965"/>
      <c r="J572" s="1965"/>
      <c r="K572" s="1965"/>
      <c r="L572" s="1965"/>
      <c r="M572" s="1965"/>
      <c r="N572" s="1965"/>
      <c r="O572" s="1965"/>
      <c r="P572" s="1966"/>
      <c r="Q572" s="1966">
        <v>253</v>
      </c>
      <c r="R572" s="1966">
        <f>47+94</f>
        <v>141</v>
      </c>
      <c r="S572" s="1966">
        <f>50+50+53+85+43</f>
        <v>281</v>
      </c>
      <c r="T572" s="1966">
        <v>282</v>
      </c>
      <c r="U572" s="1966">
        <v>258</v>
      </c>
      <c r="V572" s="1965">
        <f t="shared" ref="V572:AG572" si="357">+U572+V600-V628</f>
        <v>237.08320633953062</v>
      </c>
      <c r="W572" s="1965">
        <f t="shared" si="357"/>
        <v>200.74064516129033</v>
      </c>
      <c r="X572" s="1965">
        <f t="shared" si="357"/>
        <v>209.10483870967741</v>
      </c>
      <c r="Y572" s="1965">
        <f t="shared" si="357"/>
        <v>215.37798387096774</v>
      </c>
      <c r="Z572" s="1965">
        <f t="shared" si="357"/>
        <v>221.83932338709678</v>
      </c>
      <c r="AA572" s="1965">
        <f t="shared" si="357"/>
        <v>228.49450308870968</v>
      </c>
      <c r="AB572" s="1965">
        <f t="shared" si="357"/>
        <v>235.34933818137097</v>
      </c>
      <c r="AC572" s="1965">
        <f t="shared" si="357"/>
        <v>235.34933818137097</v>
      </c>
      <c r="AD572" s="1965">
        <f t="shared" si="357"/>
        <v>235.34933818137097</v>
      </c>
      <c r="AE572" s="1965">
        <f t="shared" si="357"/>
        <v>235.34933818137097</v>
      </c>
      <c r="AF572" s="1965">
        <f t="shared" si="357"/>
        <v>235.34933818137097</v>
      </c>
      <c r="AG572" s="1965">
        <f t="shared" si="357"/>
        <v>235.34933818137097</v>
      </c>
      <c r="AH572" s="1293"/>
      <c r="AI572" s="1293"/>
      <c r="AJ572" s="1293"/>
      <c r="AK572" s="1293"/>
      <c r="AL572" s="1293"/>
      <c r="AM572" s="1293"/>
      <c r="AN572" s="1293"/>
      <c r="AO572" s="1293"/>
      <c r="AP572" s="1293"/>
      <c r="AQ572" s="1293"/>
      <c r="AR572" s="1293"/>
      <c r="AS572" s="1293"/>
    </row>
    <row r="573" spans="1:45" ht="15.75">
      <c r="A573" s="1293" t="str">
        <f t="shared" si="345"/>
        <v>Guatemala $ 6.875%</v>
      </c>
      <c r="B573" s="1293"/>
      <c r="C573" s="1293"/>
      <c r="D573" s="1293"/>
      <c r="E573" s="1293"/>
      <c r="F573" s="1293"/>
      <c r="G573" s="1965"/>
      <c r="H573" s="1965"/>
      <c r="I573" s="1965"/>
      <c r="J573" s="1965"/>
      <c r="K573" s="1965"/>
      <c r="L573" s="1965"/>
      <c r="M573" s="1965"/>
      <c r="N573" s="1965"/>
      <c r="O573" s="1965">
        <v>0</v>
      </c>
      <c r="P573" s="1965">
        <f>+O573+P601-P629</f>
        <v>0</v>
      </c>
      <c r="Q573" s="1966">
        <v>781</v>
      </c>
      <c r="R573" s="1965">
        <f>+Q573+R601-R629</f>
        <v>781</v>
      </c>
      <c r="S573" s="1965">
        <f>+R573+S601-S629</f>
        <v>781</v>
      </c>
      <c r="T573" s="1966">
        <v>800</v>
      </c>
      <c r="U573" s="1966">
        <v>800</v>
      </c>
      <c r="V573" s="1965">
        <f t="shared" ref="V573:AG573" si="358">+U573+V601-V629</f>
        <v>800</v>
      </c>
      <c r="W573" s="1965">
        <f t="shared" si="358"/>
        <v>800</v>
      </c>
      <c r="X573" s="1965">
        <f t="shared" si="358"/>
        <v>800</v>
      </c>
      <c r="Y573" s="1965">
        <f t="shared" si="358"/>
        <v>800</v>
      </c>
      <c r="Z573" s="1965">
        <f t="shared" si="358"/>
        <v>800</v>
      </c>
      <c r="AA573" s="1965">
        <f t="shared" si="358"/>
        <v>0</v>
      </c>
      <c r="AB573" s="1965">
        <f t="shared" si="358"/>
        <v>0</v>
      </c>
      <c r="AC573" s="1965">
        <f t="shared" si="358"/>
        <v>0</v>
      </c>
      <c r="AD573" s="1965">
        <f t="shared" si="358"/>
        <v>0</v>
      </c>
      <c r="AE573" s="1965">
        <f t="shared" si="358"/>
        <v>0</v>
      </c>
      <c r="AF573" s="1965">
        <f t="shared" si="358"/>
        <v>0</v>
      </c>
      <c r="AG573" s="1965">
        <f t="shared" si="358"/>
        <v>0</v>
      </c>
      <c r="AH573" s="1293"/>
      <c r="AI573" s="1293"/>
      <c r="AJ573" s="1293"/>
      <c r="AK573" s="1293"/>
      <c r="AL573" s="1293"/>
      <c r="AM573" s="1293"/>
      <c r="AN573" s="1293"/>
      <c r="AO573" s="1293"/>
      <c r="AP573" s="1293"/>
      <c r="AQ573" s="1293"/>
      <c r="AR573" s="1293"/>
      <c r="AS573" s="1293"/>
    </row>
    <row r="574" spans="1:45" ht="15.75">
      <c r="A574" s="1293" t="str">
        <f t="shared" si="345"/>
        <v>$500m 6.0% (Lux), 2025</v>
      </c>
      <c r="B574" s="1293"/>
      <c r="C574" s="1293"/>
      <c r="D574" s="1293"/>
      <c r="E574" s="1293"/>
      <c r="F574" s="1293"/>
      <c r="G574" s="1965"/>
      <c r="H574" s="1965"/>
      <c r="I574" s="1965"/>
      <c r="J574" s="1965"/>
      <c r="K574" s="1965"/>
      <c r="L574" s="1965"/>
      <c r="M574" s="1965"/>
      <c r="N574" s="1965"/>
      <c r="O574" s="1965"/>
      <c r="P574" s="1965"/>
      <c r="Q574" s="1965"/>
      <c r="R574" s="1966">
        <v>494</v>
      </c>
      <c r="S574" s="1966">
        <v>495</v>
      </c>
      <c r="T574" s="1966">
        <v>496</v>
      </c>
      <c r="U574" s="1966">
        <v>491</v>
      </c>
      <c r="V574" s="1965">
        <f t="shared" ref="V574:AG574" si="359">+U574+V602-V630</f>
        <v>491</v>
      </c>
      <c r="W574" s="1965">
        <f t="shared" si="359"/>
        <v>491</v>
      </c>
      <c r="X574" s="1965">
        <f t="shared" si="359"/>
        <v>491</v>
      </c>
      <c r="Y574" s="1965">
        <f t="shared" si="359"/>
        <v>491</v>
      </c>
      <c r="Z574" s="1965">
        <f t="shared" si="359"/>
        <v>491</v>
      </c>
      <c r="AA574" s="1965">
        <f t="shared" si="359"/>
        <v>491</v>
      </c>
      <c r="AB574" s="1965">
        <f t="shared" si="359"/>
        <v>0</v>
      </c>
      <c r="AC574" s="1965">
        <f t="shared" si="359"/>
        <v>0</v>
      </c>
      <c r="AD574" s="1965">
        <f t="shared" si="359"/>
        <v>0</v>
      </c>
      <c r="AE574" s="1965">
        <f t="shared" si="359"/>
        <v>0</v>
      </c>
      <c r="AF574" s="1965">
        <f t="shared" si="359"/>
        <v>0</v>
      </c>
      <c r="AG574" s="1965">
        <f t="shared" si="359"/>
        <v>0</v>
      </c>
      <c r="AH574" s="1293"/>
      <c r="AI574" s="1293"/>
      <c r="AJ574" s="1293"/>
      <c r="AK574" s="1293"/>
      <c r="AL574" s="1293"/>
      <c r="AM574" s="1293"/>
      <c r="AN574" s="1293"/>
      <c r="AO574" s="1293"/>
      <c r="AP574" s="1293"/>
      <c r="AQ574" s="1293"/>
      <c r="AR574" s="1293"/>
      <c r="AS574" s="1293"/>
    </row>
    <row r="575" spans="1:45" ht="15.75">
      <c r="A575" s="1293" t="str">
        <f t="shared" si="345"/>
        <v>Guatemala facility</v>
      </c>
      <c r="B575" s="1293"/>
      <c r="C575" s="1293"/>
      <c r="D575" s="1293"/>
      <c r="E575" s="1293"/>
      <c r="F575" s="1293"/>
      <c r="G575" s="1965"/>
      <c r="H575" s="1965"/>
      <c r="I575" s="1965"/>
      <c r="J575" s="1965"/>
      <c r="K575" s="1965"/>
      <c r="L575" s="1965"/>
      <c r="M575" s="1965"/>
      <c r="N575" s="1965"/>
      <c r="O575" s="1965"/>
      <c r="P575" s="1965"/>
      <c r="Q575" s="1965"/>
      <c r="R575" s="1965">
        <f>+Q575+R603-R631</f>
        <v>180</v>
      </c>
      <c r="S575" s="1965">
        <f>+R575+S603-S631</f>
        <v>180</v>
      </c>
      <c r="T575" s="1965">
        <f>+S575+T603-T631</f>
        <v>180</v>
      </c>
      <c r="U575" s="1965">
        <f>+T575+U603-U631</f>
        <v>180</v>
      </c>
      <c r="V575" s="1965">
        <f t="shared" ref="V575:AG575" si="360">+U575+V603-V631</f>
        <v>180</v>
      </c>
      <c r="W575" s="1965">
        <f t="shared" si="360"/>
        <v>180</v>
      </c>
      <c r="X575" s="1965">
        <f t="shared" si="360"/>
        <v>180</v>
      </c>
      <c r="Y575" s="1965">
        <f t="shared" si="360"/>
        <v>180</v>
      </c>
      <c r="Z575" s="1965">
        <f t="shared" si="360"/>
        <v>180</v>
      </c>
      <c r="AA575" s="1965">
        <f t="shared" si="360"/>
        <v>180</v>
      </c>
      <c r="AB575" s="1965">
        <f t="shared" si="360"/>
        <v>180</v>
      </c>
      <c r="AC575" s="1965">
        <f t="shared" si="360"/>
        <v>180</v>
      </c>
      <c r="AD575" s="1965">
        <f t="shared" si="360"/>
        <v>180</v>
      </c>
      <c r="AE575" s="1965">
        <f t="shared" si="360"/>
        <v>180</v>
      </c>
      <c r="AF575" s="1965">
        <f t="shared" si="360"/>
        <v>180</v>
      </c>
      <c r="AG575" s="1965">
        <f t="shared" si="360"/>
        <v>180</v>
      </c>
      <c r="AH575" s="1293"/>
      <c r="AI575" s="1293"/>
      <c r="AJ575" s="1293"/>
      <c r="AK575" s="1293"/>
      <c r="AL575" s="1293"/>
      <c r="AM575" s="1293"/>
      <c r="AN575" s="1293"/>
      <c r="AO575" s="1293"/>
      <c r="AP575" s="1293"/>
      <c r="AQ575" s="1293"/>
      <c r="AR575" s="1293"/>
      <c r="AS575" s="1293"/>
    </row>
    <row r="576" spans="1:45" ht="15.75">
      <c r="A576" s="1293" t="str">
        <f t="shared" si="345"/>
        <v>Lux $500m 5.125% 2028</v>
      </c>
      <c r="B576" s="1293"/>
      <c r="C576" s="1293"/>
      <c r="D576" s="1293"/>
      <c r="E576" s="1293"/>
      <c r="F576" s="1293"/>
      <c r="G576" s="1965"/>
      <c r="H576" s="1965"/>
      <c r="I576" s="1965"/>
      <c r="J576" s="1965"/>
      <c r="K576" s="1965"/>
      <c r="L576" s="1965"/>
      <c r="M576" s="1965"/>
      <c r="N576" s="1965"/>
      <c r="O576" s="1965"/>
      <c r="P576" s="1965"/>
      <c r="Q576" s="1965"/>
      <c r="R576" s="1965"/>
      <c r="S576" s="1965">
        <f>+R576+S604-S632</f>
        <v>0</v>
      </c>
      <c r="T576" s="1966">
        <v>494</v>
      </c>
      <c r="U576" s="1966">
        <v>493</v>
      </c>
      <c r="V576" s="1965">
        <f t="shared" ref="V576:AG576" si="361">+U576+V604-V632</f>
        <v>493</v>
      </c>
      <c r="W576" s="1965">
        <f t="shared" si="361"/>
        <v>493</v>
      </c>
      <c r="X576" s="1965">
        <f t="shared" si="361"/>
        <v>493</v>
      </c>
      <c r="Y576" s="1965">
        <f t="shared" si="361"/>
        <v>493</v>
      </c>
      <c r="Z576" s="1965">
        <f t="shared" si="361"/>
        <v>493</v>
      </c>
      <c r="AA576" s="1965">
        <f t="shared" si="361"/>
        <v>493</v>
      </c>
      <c r="AB576" s="1965">
        <f t="shared" si="361"/>
        <v>493</v>
      </c>
      <c r="AC576" s="1965">
        <f t="shared" si="361"/>
        <v>493</v>
      </c>
      <c r="AD576" s="1965">
        <f t="shared" si="361"/>
        <v>493</v>
      </c>
      <c r="AE576" s="1965">
        <f t="shared" si="361"/>
        <v>493</v>
      </c>
      <c r="AF576" s="1965">
        <f t="shared" si="361"/>
        <v>493</v>
      </c>
      <c r="AG576" s="1965">
        <f t="shared" si="361"/>
        <v>493</v>
      </c>
      <c r="AH576" s="1293"/>
      <c r="AI576" s="1293"/>
      <c r="AJ576" s="1293"/>
      <c r="AK576" s="1293"/>
      <c r="AL576" s="1293"/>
      <c r="AM576" s="1293"/>
      <c r="AN576" s="1293">
        <v>281</v>
      </c>
      <c r="AO576" s="1293">
        <v>554</v>
      </c>
      <c r="AP576" s="1293"/>
      <c r="AQ576" s="1293"/>
      <c r="AR576" s="1293"/>
      <c r="AS576" s="1293"/>
    </row>
    <row r="577" spans="1:45" ht="15.75">
      <c r="A577" s="1293" t="str">
        <f t="shared" si="345"/>
        <v>$500m 6.625% (Lux), 2026</v>
      </c>
      <c r="B577" s="1293"/>
      <c r="C577" s="1293"/>
      <c r="D577" s="1293"/>
      <c r="E577" s="1293"/>
      <c r="F577" s="1293"/>
      <c r="G577" s="1965"/>
      <c r="H577" s="1965"/>
      <c r="I577" s="1965"/>
      <c r="J577" s="1965"/>
      <c r="K577" s="1965"/>
      <c r="L577" s="1965"/>
      <c r="M577" s="1965"/>
      <c r="N577" s="1965"/>
      <c r="O577" s="1965"/>
      <c r="P577" s="1965"/>
      <c r="Q577" s="1965"/>
      <c r="R577" s="1965"/>
      <c r="S577" s="1965">
        <f>+R577+S605-S633</f>
        <v>0</v>
      </c>
      <c r="T577" s="1966">
        <v>0</v>
      </c>
      <c r="U577" s="1966">
        <v>495</v>
      </c>
      <c r="V577" s="1965">
        <f t="shared" ref="V577:AG577" si="362">+U577+V605-V633</f>
        <v>495</v>
      </c>
      <c r="W577" s="1965">
        <f t="shared" si="362"/>
        <v>495</v>
      </c>
      <c r="X577" s="1965">
        <f t="shared" si="362"/>
        <v>495</v>
      </c>
      <c r="Y577" s="1965">
        <f t="shared" si="362"/>
        <v>495</v>
      </c>
      <c r="Z577" s="1965">
        <f t="shared" si="362"/>
        <v>495</v>
      </c>
      <c r="AA577" s="1965">
        <f t="shared" si="362"/>
        <v>495</v>
      </c>
      <c r="AB577" s="1965">
        <f t="shared" si="362"/>
        <v>495</v>
      </c>
      <c r="AC577" s="1965">
        <f t="shared" si="362"/>
        <v>495</v>
      </c>
      <c r="AD577" s="1965">
        <f t="shared" si="362"/>
        <v>495</v>
      </c>
      <c r="AE577" s="1965">
        <f t="shared" si="362"/>
        <v>495</v>
      </c>
      <c r="AF577" s="1965">
        <f t="shared" si="362"/>
        <v>495</v>
      </c>
      <c r="AG577" s="1965">
        <f t="shared" si="362"/>
        <v>495</v>
      </c>
      <c r="AH577" s="1293"/>
      <c r="AI577" s="1293"/>
      <c r="AJ577" s="1293"/>
      <c r="AK577" s="1293"/>
      <c r="AL577" s="1293"/>
      <c r="AM577" s="1293"/>
      <c r="AN577" s="1293">
        <v>457</v>
      </c>
      <c r="AO577" s="1293">
        <v>2401</v>
      </c>
      <c r="AP577" s="1293"/>
      <c r="AQ577" s="1293"/>
      <c r="AR577" s="1293"/>
      <c r="AS577" s="1293"/>
    </row>
    <row r="578" spans="1:45" ht="15.75">
      <c r="A578" s="1293" t="str">
        <f t="shared" si="345"/>
        <v>Cable Onda 5.75%, 2025</v>
      </c>
      <c r="B578" s="1293"/>
      <c r="C578" s="1293"/>
      <c r="D578" s="1293"/>
      <c r="E578" s="1293"/>
      <c r="F578" s="1293"/>
      <c r="G578" s="1965"/>
      <c r="H578" s="1965"/>
      <c r="I578" s="1965"/>
      <c r="J578" s="1965"/>
      <c r="K578" s="1965"/>
      <c r="L578" s="1965"/>
      <c r="M578" s="1965"/>
      <c r="N578" s="1965"/>
      <c r="O578" s="1965"/>
      <c r="P578" s="1965"/>
      <c r="Q578" s="1965"/>
      <c r="R578" s="1965"/>
      <c r="S578" s="1965"/>
      <c r="T578" s="1966">
        <v>0</v>
      </c>
      <c r="U578" s="1966">
        <v>184</v>
      </c>
      <c r="V578" s="1965">
        <f t="shared" ref="V578:AG578" si="363">+U578+V606-V634</f>
        <v>184</v>
      </c>
      <c r="W578" s="1965">
        <f t="shared" si="363"/>
        <v>184</v>
      </c>
      <c r="X578" s="1965">
        <f t="shared" si="363"/>
        <v>184</v>
      </c>
      <c r="Y578" s="1965">
        <f t="shared" si="363"/>
        <v>184</v>
      </c>
      <c r="Z578" s="1965">
        <f t="shared" si="363"/>
        <v>184</v>
      </c>
      <c r="AA578" s="1965">
        <f t="shared" si="363"/>
        <v>184</v>
      </c>
      <c r="AB578" s="1965">
        <f t="shared" si="363"/>
        <v>184</v>
      </c>
      <c r="AC578" s="1965">
        <f t="shared" si="363"/>
        <v>184</v>
      </c>
      <c r="AD578" s="1965">
        <f t="shared" si="363"/>
        <v>184</v>
      </c>
      <c r="AE578" s="1965">
        <f t="shared" si="363"/>
        <v>184</v>
      </c>
      <c r="AF578" s="1965">
        <f t="shared" si="363"/>
        <v>184</v>
      </c>
      <c r="AG578" s="1965">
        <f t="shared" si="363"/>
        <v>184</v>
      </c>
      <c r="AH578" s="1293"/>
      <c r="AI578" s="1293"/>
      <c r="AJ578" s="1293"/>
      <c r="AK578" s="1293"/>
      <c r="AL578" s="1293"/>
      <c r="AM578" s="1293"/>
      <c r="AN578" s="1293">
        <v>693</v>
      </c>
      <c r="AO578" s="1293">
        <v>524</v>
      </c>
      <c r="AP578" s="1293"/>
      <c r="AQ578" s="1293"/>
      <c r="AR578" s="1293"/>
      <c r="AS578" s="1293"/>
    </row>
    <row r="579" spans="1:45" ht="15.75">
      <c r="A579" s="1293" t="s">
        <v>5746</v>
      </c>
      <c r="B579" s="1293"/>
      <c r="C579" s="1293"/>
      <c r="D579" s="1293"/>
      <c r="E579" s="1293"/>
      <c r="F579" s="1293"/>
      <c r="G579" s="1965"/>
      <c r="H579" s="1965"/>
      <c r="I579" s="1965"/>
      <c r="J579" s="1965"/>
      <c r="K579" s="1965"/>
      <c r="L579" s="1965"/>
      <c r="M579" s="1965"/>
      <c r="N579" s="1965"/>
      <c r="O579" s="1965"/>
      <c r="P579" s="1965"/>
      <c r="Q579" s="1965"/>
      <c r="R579" s="1965"/>
      <c r="S579" s="1965"/>
      <c r="T579" s="1965"/>
      <c r="U579" s="1965"/>
      <c r="V579" s="1966">
        <v>1376</v>
      </c>
      <c r="W579" s="1965">
        <f>+V579+W607-W640</f>
        <v>1376</v>
      </c>
      <c r="X579" s="1965">
        <f>+W579+X607-X640</f>
        <v>1376</v>
      </c>
      <c r="Y579" s="1965">
        <f>Y434-Y565</f>
        <v>633.5</v>
      </c>
      <c r="Z579" s="1965">
        <f t="shared" ref="Z579:AG579" si="364">+Y579+Z607-Z640</f>
        <v>633.5</v>
      </c>
      <c r="AA579" s="1965">
        <f t="shared" si="364"/>
        <v>633.5</v>
      </c>
      <c r="AB579" s="1965">
        <f t="shared" si="364"/>
        <v>633.5</v>
      </c>
      <c r="AC579" s="1965">
        <f t="shared" si="364"/>
        <v>633.5</v>
      </c>
      <c r="AD579" s="1965">
        <f t="shared" si="364"/>
        <v>633.5</v>
      </c>
      <c r="AE579" s="1965">
        <f t="shared" si="364"/>
        <v>633.5</v>
      </c>
      <c r="AF579" s="1965">
        <f t="shared" si="364"/>
        <v>633.5</v>
      </c>
      <c r="AG579" s="1965">
        <f t="shared" si="364"/>
        <v>633.5</v>
      </c>
      <c r="AH579" s="1293"/>
      <c r="AI579" s="1293"/>
      <c r="AJ579" s="1293"/>
      <c r="AK579" s="1293"/>
      <c r="AL579" s="1293"/>
      <c r="AM579" s="1293"/>
      <c r="AN579" s="1293">
        <v>908</v>
      </c>
      <c r="AO579" s="1293">
        <v>153</v>
      </c>
      <c r="AP579" s="1293"/>
      <c r="AQ579" s="1293"/>
      <c r="AR579" s="1293"/>
      <c r="AS579" s="1293"/>
    </row>
    <row r="580" spans="1:45" ht="15.75">
      <c r="A580" s="1293" t="str">
        <f>A552</f>
        <v>Paraguay 5.875% 2027</v>
      </c>
      <c r="B580" s="1293"/>
      <c r="C580" s="1293"/>
      <c r="D580" s="1293"/>
      <c r="E580" s="1293"/>
      <c r="F580" s="1293"/>
      <c r="G580" s="1965"/>
      <c r="H580" s="1965"/>
      <c r="I580" s="1965"/>
      <c r="J580" s="1965"/>
      <c r="K580" s="1965"/>
      <c r="L580" s="1965"/>
      <c r="M580" s="1965"/>
      <c r="N580" s="1965"/>
      <c r="O580" s="1965"/>
      <c r="P580" s="1965"/>
      <c r="Q580" s="1965"/>
      <c r="R580" s="1965"/>
      <c r="S580" s="1965"/>
      <c r="T580" s="1965"/>
      <c r="U580" s="1965"/>
      <c r="V580" s="1965">
        <f t="shared" ref="V580:AG580" si="365">+U580+V608-V636</f>
        <v>300</v>
      </c>
      <c r="W580" s="1965">
        <f t="shared" si="365"/>
        <v>300</v>
      </c>
      <c r="X580" s="1965">
        <f t="shared" si="365"/>
        <v>300</v>
      </c>
      <c r="Y580" s="1965">
        <f t="shared" si="365"/>
        <v>300</v>
      </c>
      <c r="Z580" s="1965">
        <f t="shared" si="365"/>
        <v>300</v>
      </c>
      <c r="AA580" s="1965">
        <f t="shared" si="365"/>
        <v>300</v>
      </c>
      <c r="AB580" s="1965">
        <f t="shared" si="365"/>
        <v>300</v>
      </c>
      <c r="AC580" s="1965">
        <f t="shared" si="365"/>
        <v>300</v>
      </c>
      <c r="AD580" s="1965">
        <f t="shared" si="365"/>
        <v>300</v>
      </c>
      <c r="AE580" s="1965">
        <f t="shared" si="365"/>
        <v>300</v>
      </c>
      <c r="AF580" s="1965">
        <f t="shared" si="365"/>
        <v>300</v>
      </c>
      <c r="AG580" s="1965">
        <f t="shared" si="365"/>
        <v>300</v>
      </c>
      <c r="AH580" s="1293"/>
      <c r="AI580" s="1293"/>
      <c r="AJ580" s="1293"/>
      <c r="AK580" s="1293"/>
      <c r="AL580" s="1293"/>
      <c r="AM580" s="1293"/>
      <c r="AN580" s="1293">
        <v>683</v>
      </c>
      <c r="AO580" s="1293">
        <v>734</v>
      </c>
      <c r="AP580" s="1293"/>
      <c r="AQ580" s="1293"/>
      <c r="AR580" s="1293"/>
      <c r="AS580" s="1293"/>
    </row>
    <row r="581" spans="1:45" ht="15.75">
      <c r="A581" s="1293" t="str">
        <f>A553</f>
        <v>SEK2 bn sustainability, STIBOR + 2.35%</v>
      </c>
      <c r="B581" s="1293"/>
      <c r="C581" s="1293"/>
      <c r="D581" s="1293"/>
      <c r="E581" s="1293"/>
      <c r="F581" s="1293"/>
      <c r="G581" s="1965"/>
      <c r="H581" s="1965"/>
      <c r="I581" s="1965"/>
      <c r="J581" s="1965"/>
      <c r="K581" s="1965"/>
      <c r="L581" s="1965"/>
      <c r="M581" s="1965"/>
      <c r="N581" s="1965"/>
      <c r="O581" s="1965"/>
      <c r="P581" s="1965"/>
      <c r="Q581" s="1965"/>
      <c r="R581" s="1965"/>
      <c r="S581" s="1965"/>
      <c r="T581" s="1965"/>
      <c r="U581" s="1965"/>
      <c r="V581" s="1965">
        <f t="shared" ref="V581:AG581" si="366">+U581+V609-V637</f>
        <v>202.42914979757083</v>
      </c>
      <c r="W581" s="1965">
        <f t="shared" si="366"/>
        <v>202.42914979757083</v>
      </c>
      <c r="X581" s="1965">
        <f t="shared" si="366"/>
        <v>202.42914979757083</v>
      </c>
      <c r="Y581" s="1965">
        <f t="shared" si="366"/>
        <v>202.42914979757083</v>
      </c>
      <c r="Z581" s="1965">
        <f t="shared" si="366"/>
        <v>202.42914979757083</v>
      </c>
      <c r="AA581" s="1965">
        <f t="shared" si="366"/>
        <v>0</v>
      </c>
      <c r="AB581" s="1965">
        <f t="shared" si="366"/>
        <v>0</v>
      </c>
      <c r="AC581" s="1965">
        <f t="shared" si="366"/>
        <v>0</v>
      </c>
      <c r="AD581" s="1965">
        <f t="shared" si="366"/>
        <v>0</v>
      </c>
      <c r="AE581" s="1965">
        <f t="shared" si="366"/>
        <v>0</v>
      </c>
      <c r="AF581" s="1965">
        <f t="shared" si="366"/>
        <v>0</v>
      </c>
      <c r="AG581" s="1965">
        <f t="shared" si="366"/>
        <v>0</v>
      </c>
      <c r="AH581" s="1293"/>
      <c r="AI581" s="1293"/>
      <c r="AJ581" s="1293"/>
      <c r="AK581" s="1293"/>
      <c r="AL581" s="1293"/>
      <c r="AM581" s="1293"/>
      <c r="AN581" s="1293">
        <v>676</v>
      </c>
      <c r="AO581" s="1293">
        <v>146</v>
      </c>
      <c r="AP581" s="1293"/>
      <c r="AQ581" s="1293"/>
      <c r="AR581" s="1293"/>
      <c r="AS581" s="1293"/>
    </row>
    <row r="582" spans="1:45" ht="15.75">
      <c r="A582" s="1293" t="str">
        <f>A554</f>
        <v>$750m 6.25% (Lux), 2029</v>
      </c>
      <c r="B582" s="1293"/>
      <c r="C582" s="1293"/>
      <c r="D582" s="1293"/>
      <c r="E582" s="1293"/>
      <c r="F582" s="1293"/>
      <c r="G582" s="1965"/>
      <c r="H582" s="1965"/>
      <c r="I582" s="1965"/>
      <c r="J582" s="1965"/>
      <c r="K582" s="1965"/>
      <c r="L582" s="1965"/>
      <c r="M582" s="1965"/>
      <c r="N582" s="1965"/>
      <c r="O582" s="1965"/>
      <c r="P582" s="1965"/>
      <c r="Q582" s="1965"/>
      <c r="R582" s="1965"/>
      <c r="S582" s="1965"/>
      <c r="T582" s="1965"/>
      <c r="U582" s="1965"/>
      <c r="V582" s="1965">
        <f t="shared" ref="V582:AG582" si="367">+U582+V610-V638</f>
        <v>750</v>
      </c>
      <c r="W582" s="1965">
        <f t="shared" si="367"/>
        <v>750</v>
      </c>
      <c r="X582" s="1965">
        <f t="shared" si="367"/>
        <v>750</v>
      </c>
      <c r="Y582" s="1965">
        <f t="shared" si="367"/>
        <v>750</v>
      </c>
      <c r="Z582" s="1965">
        <f t="shared" si="367"/>
        <v>750</v>
      </c>
      <c r="AA582" s="1965">
        <f t="shared" si="367"/>
        <v>750</v>
      </c>
      <c r="AB582" s="1965">
        <f t="shared" si="367"/>
        <v>750</v>
      </c>
      <c r="AC582" s="1965">
        <f t="shared" si="367"/>
        <v>750</v>
      </c>
      <c r="AD582" s="1965">
        <f t="shared" si="367"/>
        <v>750</v>
      </c>
      <c r="AE582" s="1965">
        <f t="shared" si="367"/>
        <v>750</v>
      </c>
      <c r="AF582" s="1965">
        <f t="shared" si="367"/>
        <v>750</v>
      </c>
      <c r="AG582" s="1965">
        <f t="shared" si="367"/>
        <v>750</v>
      </c>
      <c r="AH582" s="1293"/>
      <c r="AI582" s="1293"/>
      <c r="AJ582" s="1293"/>
      <c r="AK582" s="1293"/>
      <c r="AL582" s="1293"/>
      <c r="AM582" s="1293"/>
      <c r="AN582" s="1293">
        <v>840</v>
      </c>
      <c r="AO582" s="1293">
        <v>71</v>
      </c>
      <c r="AP582" s="1293"/>
      <c r="AQ582" s="1293"/>
      <c r="AR582" s="1293"/>
      <c r="AS582" s="1293"/>
    </row>
    <row r="583" spans="1:45" ht="15.75">
      <c r="A583" s="1293" t="str">
        <f>A555</f>
        <v>$600m Panama @ 4.5%</v>
      </c>
      <c r="B583" s="1293"/>
      <c r="C583" s="1293"/>
      <c r="D583" s="1293"/>
      <c r="E583" s="1293"/>
      <c r="F583" s="1293"/>
      <c r="G583" s="1965"/>
      <c r="H583" s="1965"/>
      <c r="I583" s="1965"/>
      <c r="J583" s="1965"/>
      <c r="K583" s="1965"/>
      <c r="L583" s="1965"/>
      <c r="M583" s="1965"/>
      <c r="N583" s="1965"/>
      <c r="O583" s="1965"/>
      <c r="P583" s="1965"/>
      <c r="Q583" s="1965"/>
      <c r="R583" s="1965"/>
      <c r="S583" s="1965"/>
      <c r="T583" s="1965"/>
      <c r="U583" s="1965"/>
      <c r="V583" s="1965">
        <f t="shared" ref="V583:AG583" si="368">+U583+V611-V639</f>
        <v>600</v>
      </c>
      <c r="W583" s="1965">
        <f t="shared" si="368"/>
        <v>600</v>
      </c>
      <c r="X583" s="1965">
        <f t="shared" si="368"/>
        <v>600</v>
      </c>
      <c r="Y583" s="1965">
        <f t="shared" si="368"/>
        <v>600</v>
      </c>
      <c r="Z583" s="1965">
        <f t="shared" si="368"/>
        <v>600</v>
      </c>
      <c r="AA583" s="1965">
        <f t="shared" si="368"/>
        <v>600</v>
      </c>
      <c r="AB583" s="1965">
        <f t="shared" si="368"/>
        <v>600</v>
      </c>
      <c r="AC583" s="1965">
        <f t="shared" si="368"/>
        <v>600</v>
      </c>
      <c r="AD583" s="1965">
        <f t="shared" si="368"/>
        <v>600</v>
      </c>
      <c r="AE583" s="1965">
        <f t="shared" si="368"/>
        <v>600</v>
      </c>
      <c r="AF583" s="1965">
        <f t="shared" si="368"/>
        <v>600</v>
      </c>
      <c r="AG583" s="1965">
        <f t="shared" si="368"/>
        <v>600</v>
      </c>
      <c r="AH583" s="1293"/>
      <c r="AI583" s="1293"/>
      <c r="AJ583" s="1293"/>
      <c r="AK583" s="1293"/>
      <c r="AL583" s="1293"/>
      <c r="AM583" s="1293"/>
      <c r="AN583" s="1293">
        <v>1229</v>
      </c>
      <c r="AO583" s="1293">
        <v>1233</v>
      </c>
      <c r="AP583" s="1293"/>
      <c r="AQ583" s="1293"/>
      <c r="AR583" s="1293"/>
      <c r="AS583" s="1293"/>
    </row>
    <row r="584" spans="1:45" ht="15.75">
      <c r="A584" s="1331" t="str">
        <f>A556</f>
        <v>$1500 Guat funding</v>
      </c>
      <c r="B584" s="1331"/>
      <c r="C584" s="1331"/>
      <c r="D584" s="1331"/>
      <c r="E584" s="1331"/>
      <c r="F584" s="1331"/>
      <c r="G584" s="1968"/>
      <c r="H584" s="1968"/>
      <c r="I584" s="1968"/>
      <c r="J584" s="1968"/>
      <c r="K584" s="1968"/>
      <c r="L584" s="1968"/>
      <c r="M584" s="1968"/>
      <c r="N584" s="1968"/>
      <c r="O584" s="1968"/>
      <c r="P584" s="1968"/>
      <c r="Q584" s="1968"/>
      <c r="R584" s="1968"/>
      <c r="S584" s="1968"/>
      <c r="T584" s="1968"/>
      <c r="U584" s="1968"/>
      <c r="V584" s="1968">
        <f>+U584+V612-V640</f>
        <v>0</v>
      </c>
      <c r="W584" s="1968">
        <f>+V584+W612-W640</f>
        <v>0</v>
      </c>
      <c r="X584" s="1969">
        <v>1500</v>
      </c>
      <c r="Y584" s="1968">
        <f t="shared" ref="Y584:AG584" si="369">+X584+Y612-Y640</f>
        <v>1500</v>
      </c>
      <c r="Z584" s="1968">
        <f t="shared" si="369"/>
        <v>1500</v>
      </c>
      <c r="AA584" s="1968">
        <f t="shared" si="369"/>
        <v>1500</v>
      </c>
      <c r="AB584" s="1968">
        <f t="shared" si="369"/>
        <v>1500</v>
      </c>
      <c r="AC584" s="1968">
        <f t="shared" si="369"/>
        <v>1500</v>
      </c>
      <c r="AD584" s="1968">
        <f t="shared" si="369"/>
        <v>1500</v>
      </c>
      <c r="AE584" s="1968">
        <f t="shared" si="369"/>
        <v>1500</v>
      </c>
      <c r="AF584" s="1968">
        <f t="shared" si="369"/>
        <v>1500</v>
      </c>
      <c r="AG584" s="1968">
        <f t="shared" si="369"/>
        <v>1500</v>
      </c>
      <c r="AH584" s="1293"/>
      <c r="AI584" s="1293"/>
      <c r="AJ584" s="1293"/>
      <c r="AK584" s="1293"/>
      <c r="AL584" s="1293"/>
      <c r="AM584" s="1293"/>
      <c r="AN584" s="1293">
        <v>48</v>
      </c>
      <c r="AO584" s="1293"/>
      <c r="AP584" s="1293"/>
      <c r="AQ584" s="1293"/>
      <c r="AR584" s="1293"/>
      <c r="AS584" s="1293"/>
    </row>
    <row r="585" spans="1:45" ht="15.75">
      <c r="A585" s="1293" t="s">
        <v>2324</v>
      </c>
      <c r="B585" s="1293"/>
      <c r="C585" s="1293"/>
      <c r="D585" s="1293"/>
      <c r="E585" s="1293"/>
      <c r="F585" s="1293"/>
      <c r="G585" s="1965">
        <f t="shared" ref="G585:O585" si="370">SUM(G560:G577)</f>
        <v>1114.413</v>
      </c>
      <c r="H585" s="1965">
        <f t="shared" si="370"/>
        <v>1232.623</v>
      </c>
      <c r="I585" s="1965">
        <f t="shared" si="370"/>
        <v>1493.6559999999999</v>
      </c>
      <c r="J585" s="1965">
        <f t="shared" ca="1" si="370"/>
        <v>1834.5250000000001</v>
      </c>
      <c r="K585" s="1965">
        <f t="shared" ca="1" si="370"/>
        <v>2157.9700000000003</v>
      </c>
      <c r="L585" s="1965">
        <f t="shared" ca="1" si="370"/>
        <v>2346</v>
      </c>
      <c r="M585" s="1965">
        <f t="shared" ca="1" si="370"/>
        <v>2352.0360000000001</v>
      </c>
      <c r="N585" s="1965">
        <f t="shared" ca="1" si="370"/>
        <v>2558</v>
      </c>
      <c r="O585" s="1965">
        <f t="shared" ca="1" si="370"/>
        <v>3259</v>
      </c>
      <c r="P585" s="1966">
        <f>3504+423</f>
        <v>3927</v>
      </c>
      <c r="Q585" s="1966">
        <f>4467+362</f>
        <v>4829</v>
      </c>
      <c r="R585" s="1966">
        <f>5134+251</f>
        <v>5385</v>
      </c>
      <c r="S585" s="1966">
        <f>5147+143</f>
        <v>5290</v>
      </c>
      <c r="T585" s="1966">
        <f>4903+265</f>
        <v>5168</v>
      </c>
      <c r="U585" s="1966">
        <f>5347+726</f>
        <v>6073</v>
      </c>
      <c r="V585" s="1966">
        <v>8631</v>
      </c>
      <c r="W585" s="1966">
        <v>7753</v>
      </c>
      <c r="X585" s="1966">
        <f>7166+2084</f>
        <v>9250</v>
      </c>
      <c r="Y585" s="1966">
        <f>7477+343</f>
        <v>7820</v>
      </c>
      <c r="Z585" s="1966">
        <v>7779</v>
      </c>
      <c r="AA585" s="1965">
        <f t="shared" ref="AA585:AG585" ca="1" si="371">SUM(AA560:AA584)</f>
        <v>6758.2260299040427</v>
      </c>
      <c r="AB585" s="1965">
        <f t="shared" ca="1" si="371"/>
        <v>6249.0808649967039</v>
      </c>
      <c r="AC585" s="1965">
        <f t="shared" ca="1" si="371"/>
        <v>6224.0808649967039</v>
      </c>
      <c r="AD585" s="1965">
        <f t="shared" ca="1" si="371"/>
        <v>6199.0808649967039</v>
      </c>
      <c r="AE585" s="1965">
        <f t="shared" ca="1" si="371"/>
        <v>6174.0808649967039</v>
      </c>
      <c r="AF585" s="1965">
        <f t="shared" ca="1" si="371"/>
        <v>6149.0808649967039</v>
      </c>
      <c r="AG585" s="1965">
        <f t="shared" ca="1" si="371"/>
        <v>6124.0808649967039</v>
      </c>
      <c r="AH585" s="1293"/>
      <c r="AI585" s="1293"/>
      <c r="AJ585" s="1293"/>
      <c r="AK585" s="1293"/>
      <c r="AL585" s="1293"/>
      <c r="AM585" s="1293"/>
      <c r="AN585" s="1293">
        <f>SUM(AN576:AN584)</f>
        <v>5815</v>
      </c>
      <c r="AO585" s="1293">
        <f>SUM(AO576:AO584)</f>
        <v>5816</v>
      </c>
      <c r="AP585" s="1293"/>
      <c r="AQ585" s="1293"/>
      <c r="AR585" s="1293"/>
      <c r="AS585" s="1293"/>
    </row>
    <row r="586" spans="1:45" ht="15.75">
      <c r="A586" s="1293"/>
      <c r="B586" s="1293"/>
      <c r="C586" s="1293"/>
      <c r="D586" s="1293"/>
      <c r="E586" s="1293"/>
      <c r="F586" s="1293"/>
      <c r="G586" s="1965"/>
      <c r="H586" s="1965"/>
      <c r="I586" s="1965"/>
      <c r="J586" s="1965"/>
      <c r="K586" s="1965"/>
      <c r="L586" s="1965"/>
      <c r="M586" s="1965"/>
      <c r="N586" s="1965"/>
      <c r="O586" s="1965"/>
      <c r="P586" s="1965"/>
      <c r="Q586" s="1965"/>
      <c r="R586" s="1965"/>
      <c r="S586" s="1965"/>
      <c r="T586" s="1965"/>
      <c r="U586" s="1965"/>
      <c r="V586" s="1965"/>
      <c r="W586" s="1965"/>
      <c r="X586" s="1965"/>
      <c r="Y586" s="1965"/>
      <c r="Z586" s="1965"/>
      <c r="AA586" s="1965"/>
      <c r="AB586" s="1965"/>
      <c r="AC586" s="1965"/>
      <c r="AD586" s="1965"/>
      <c r="AE586" s="1965"/>
      <c r="AF586" s="1965"/>
      <c r="AG586" s="1965"/>
      <c r="AH586" s="1293"/>
      <c r="AI586" s="1293"/>
      <c r="AJ586" s="1293"/>
      <c r="AK586" s="1293"/>
      <c r="AL586" s="1293"/>
      <c r="AM586" s="1293"/>
      <c r="AN586" s="1293"/>
      <c r="AO586" s="1293"/>
      <c r="AP586" s="1293"/>
      <c r="AQ586" s="1293"/>
      <c r="AR586" s="1293"/>
      <c r="AS586" s="1293"/>
    </row>
    <row r="587" spans="1:45" ht="15.75">
      <c r="A587" s="2504" t="s">
        <v>809</v>
      </c>
      <c r="B587" s="1293"/>
      <c r="C587" s="1293"/>
      <c r="D587" s="1293"/>
      <c r="E587" s="1293"/>
      <c r="F587" s="1293"/>
      <c r="G587" s="1965"/>
      <c r="H587" s="1965"/>
      <c r="I587" s="1965"/>
      <c r="J587" s="1965"/>
      <c r="K587" s="1965"/>
      <c r="L587" s="1965"/>
      <c r="M587" s="1965"/>
      <c r="N587" s="1965"/>
      <c r="O587" s="1965"/>
      <c r="P587" s="1965"/>
      <c r="Q587" s="1965"/>
      <c r="R587" s="1965"/>
      <c r="S587" s="1965"/>
      <c r="T587" s="1965"/>
      <c r="U587" s="1965"/>
      <c r="V587" s="1965"/>
      <c r="W587" s="1965"/>
      <c r="X587" s="1965"/>
      <c r="Y587" s="1965"/>
      <c r="Z587" s="1965"/>
      <c r="AA587" s="1965"/>
      <c r="AB587" s="1965"/>
      <c r="AC587" s="1965"/>
      <c r="AD587" s="1965"/>
      <c r="AE587" s="1965"/>
      <c r="AF587" s="1965"/>
      <c r="AG587" s="1965"/>
      <c r="AH587" s="1293"/>
      <c r="AI587" s="1293"/>
      <c r="AJ587" s="1293"/>
      <c r="AK587" s="1293"/>
      <c r="AL587" s="1293"/>
      <c r="AM587" s="1293"/>
      <c r="AN587" s="1293"/>
      <c r="AO587" s="1293"/>
      <c r="AP587" s="1293"/>
      <c r="AQ587" s="1293"/>
      <c r="AR587" s="1293"/>
      <c r="AS587" s="1293"/>
    </row>
    <row r="588" spans="1:45" ht="15.75">
      <c r="A588" s="1293" t="s">
        <v>804</v>
      </c>
      <c r="B588" s="1293"/>
      <c r="C588" s="1293"/>
      <c r="D588" s="1293"/>
      <c r="E588" s="1293"/>
      <c r="F588" s="1293"/>
      <c r="G588" s="1965"/>
      <c r="H588" s="1965">
        <f>+H560-G560</f>
        <v>0.97000000000002728</v>
      </c>
      <c r="I588" s="1965"/>
      <c r="J588" s="1965"/>
      <c r="K588" s="1965"/>
      <c r="L588" s="1965"/>
      <c r="M588" s="1965"/>
      <c r="N588" s="1965"/>
      <c r="O588" s="1965"/>
      <c r="P588" s="1965"/>
      <c r="Q588" s="1965"/>
      <c r="R588" s="1965"/>
      <c r="S588" s="1965"/>
      <c r="T588" s="1965"/>
      <c r="U588" s="1965"/>
      <c r="V588" s="1965"/>
      <c r="W588" s="1965"/>
      <c r="X588" s="1965"/>
      <c r="Y588" s="1965"/>
      <c r="Z588" s="1965"/>
      <c r="AA588" s="1965"/>
      <c r="AB588" s="1965"/>
      <c r="AC588" s="1965"/>
      <c r="AD588" s="1965"/>
      <c r="AE588" s="1965"/>
      <c r="AF588" s="1965"/>
      <c r="AG588" s="1965"/>
      <c r="AH588" s="1293"/>
      <c r="AI588" s="1293"/>
      <c r="AJ588" s="1293"/>
      <c r="AK588" s="1293"/>
      <c r="AL588" s="1293"/>
      <c r="AM588" s="1293"/>
      <c r="AN588" s="1293"/>
      <c r="AO588" s="1293"/>
      <c r="AP588" s="1293"/>
      <c r="AQ588" s="1293"/>
      <c r="AR588" s="1293"/>
      <c r="AS588" s="1293"/>
    </row>
    <row r="589" spans="1:45" ht="15.75">
      <c r="A589" s="1293" t="s">
        <v>805</v>
      </c>
      <c r="B589" s="1293"/>
      <c r="C589" s="1293"/>
      <c r="D589" s="1293"/>
      <c r="E589" s="1293"/>
      <c r="F589" s="1293"/>
      <c r="G589" s="1965"/>
      <c r="H589" s="1965">
        <f>+H561-G561</f>
        <v>163.28399999999999</v>
      </c>
      <c r="I589" s="1965">
        <f>+I561-H561</f>
        <v>7.8850000000000193</v>
      </c>
      <c r="J589" s="1965">
        <f>+J561-I561</f>
        <v>7.8309999999999889</v>
      </c>
      <c r="K589" s="1965">
        <f>+K561-J561</f>
        <v>-179</v>
      </c>
      <c r="L589" s="1965">
        <f>+L561-K561</f>
        <v>0</v>
      </c>
      <c r="M589" s="1965"/>
      <c r="N589" s="1965"/>
      <c r="O589" s="1965"/>
      <c r="P589" s="1965"/>
      <c r="Q589" s="1965"/>
      <c r="R589" s="1965"/>
      <c r="S589" s="1965"/>
      <c r="T589" s="1965"/>
      <c r="U589" s="1965"/>
      <c r="V589" s="1965"/>
      <c r="W589" s="1965"/>
      <c r="X589" s="1965"/>
      <c r="Y589" s="1965"/>
      <c r="Z589" s="1965"/>
      <c r="AA589" s="1965"/>
      <c r="AB589" s="1965"/>
      <c r="AC589" s="1965"/>
      <c r="AD589" s="1965"/>
      <c r="AE589" s="1965"/>
      <c r="AF589" s="1965"/>
      <c r="AG589" s="1965"/>
      <c r="AH589" s="1293"/>
      <c r="AI589" s="1293"/>
      <c r="AJ589" s="1293"/>
      <c r="AK589" s="1293"/>
      <c r="AL589" s="1293"/>
      <c r="AM589" s="1293"/>
      <c r="AN589" s="1293"/>
      <c r="AO589" s="1293"/>
      <c r="AP589" s="1293"/>
      <c r="AQ589" s="1293"/>
      <c r="AR589" s="1293"/>
      <c r="AS589" s="1293"/>
    </row>
    <row r="590" spans="1:45" ht="15.75">
      <c r="A590" s="1293" t="s">
        <v>806</v>
      </c>
      <c r="B590" s="1293"/>
      <c r="C590" s="1293"/>
      <c r="D590" s="1293"/>
      <c r="E590" s="1293"/>
      <c r="F590" s="1293"/>
      <c r="G590" s="1965"/>
      <c r="H590" s="1965"/>
      <c r="I590" s="1965"/>
      <c r="J590" s="1965"/>
      <c r="K590" s="1965"/>
      <c r="L590" s="1965"/>
      <c r="M590" s="1965"/>
      <c r="N590" s="1965"/>
      <c r="O590" s="1965"/>
      <c r="P590" s="1965"/>
      <c r="Q590" s="1965"/>
      <c r="R590" s="1965"/>
      <c r="S590" s="1965"/>
      <c r="T590" s="1965"/>
      <c r="U590" s="1965"/>
      <c r="V590" s="1965"/>
      <c r="W590" s="1965"/>
      <c r="X590" s="1965"/>
      <c r="Y590" s="1965"/>
      <c r="Z590" s="1965"/>
      <c r="AA590" s="1965"/>
      <c r="AB590" s="1965"/>
      <c r="AC590" s="1965"/>
      <c r="AD590" s="1965"/>
      <c r="AE590" s="1965"/>
      <c r="AF590" s="1965"/>
      <c r="AG590" s="1965"/>
      <c r="AH590" s="1293"/>
      <c r="AI590" s="1293"/>
      <c r="AJ590" s="1293"/>
      <c r="AK590" s="1293"/>
      <c r="AL590" s="1293"/>
      <c r="AM590" s="1293"/>
      <c r="AN590" s="1293"/>
      <c r="AO590" s="1293"/>
      <c r="AP590" s="1293"/>
      <c r="AQ590" s="1293"/>
      <c r="AR590" s="1293"/>
      <c r="AS590" s="1293"/>
    </row>
    <row r="591" spans="1:45" ht="15.75">
      <c r="A591" s="1293" t="s">
        <v>807</v>
      </c>
      <c r="B591" s="1293"/>
      <c r="C591" s="1293"/>
      <c r="D591" s="1293"/>
      <c r="E591" s="1293"/>
      <c r="F591" s="1293"/>
      <c r="G591" s="1965"/>
      <c r="H591" s="1965">
        <f>+H563-G563</f>
        <v>3.6030000000000086</v>
      </c>
      <c r="I591" s="1965"/>
      <c r="J591" s="1965"/>
      <c r="K591" s="1965">
        <f>510-310+150</f>
        <v>350</v>
      </c>
      <c r="L591" s="1965"/>
      <c r="M591" s="1965"/>
      <c r="N591" s="1965"/>
      <c r="O591" s="1965"/>
      <c r="P591" s="1965"/>
      <c r="Q591" s="1965"/>
      <c r="R591" s="1966">
        <f>74</f>
        <v>74</v>
      </c>
      <c r="S591" s="1965"/>
      <c r="T591" s="1965"/>
      <c r="U591" s="1965"/>
      <c r="V591" s="1965"/>
      <c r="W591" s="1965"/>
      <c r="X591" s="1965"/>
      <c r="Y591" s="1965"/>
      <c r="Z591" s="1965"/>
      <c r="AA591" s="1965"/>
      <c r="AB591" s="1965"/>
      <c r="AC591" s="1965"/>
      <c r="AD591" s="1965"/>
      <c r="AE591" s="1965"/>
      <c r="AF591" s="1965"/>
      <c r="AG591" s="1965"/>
      <c r="AH591" s="1293"/>
      <c r="AI591" s="1293"/>
      <c r="AJ591" s="1293"/>
      <c r="AK591" s="1293"/>
      <c r="AL591" s="1293"/>
      <c r="AM591" s="1293"/>
      <c r="AN591" s="1293"/>
      <c r="AO591" s="1293"/>
      <c r="AP591" s="1293"/>
      <c r="AQ591" s="1293"/>
      <c r="AR591" s="1293"/>
      <c r="AS591" s="1293"/>
    </row>
    <row r="592" spans="1:45" ht="15.75">
      <c r="A592" s="1293" t="str">
        <f t="shared" ref="A592:A612" si="372">A564</f>
        <v>8.00% notes (El Sal)</v>
      </c>
      <c r="B592" s="1293"/>
      <c r="C592" s="1293"/>
      <c r="D592" s="1293"/>
      <c r="E592" s="1293"/>
      <c r="F592" s="1293"/>
      <c r="G592" s="1965"/>
      <c r="H592" s="1965"/>
      <c r="I592" s="1966">
        <v>0</v>
      </c>
      <c r="J592" s="1965"/>
      <c r="K592" s="1965"/>
      <c r="L592" s="1965"/>
      <c r="M592" s="1966">
        <v>450</v>
      </c>
      <c r="N592" s="1965"/>
      <c r="O592" s="1965"/>
      <c r="P592" s="1965"/>
      <c r="Q592" s="1965"/>
      <c r="R592" s="1965"/>
      <c r="S592" s="1965"/>
      <c r="T592" s="1965"/>
      <c r="U592" s="1965"/>
      <c r="V592" s="1965"/>
      <c r="W592" s="1965"/>
      <c r="X592" s="1965"/>
      <c r="Y592" s="1965"/>
      <c r="Z592" s="1965"/>
      <c r="AA592" s="1965"/>
      <c r="AB592" s="1965"/>
      <c r="AC592" s="1965"/>
      <c r="AD592" s="1965"/>
      <c r="AE592" s="1965"/>
      <c r="AF592" s="1965"/>
      <c r="AG592" s="1965"/>
      <c r="AH592" s="1293"/>
      <c r="AI592" s="1293"/>
      <c r="AJ592" s="1293"/>
      <c r="AK592" s="1293"/>
      <c r="AL592" s="1293"/>
      <c r="AM592" s="1293"/>
      <c r="AN592" s="1293"/>
      <c r="AO592" s="1293"/>
      <c r="AP592" s="1293"/>
      <c r="AQ592" s="1293"/>
      <c r="AR592" s="1293"/>
      <c r="AS592" s="1293"/>
    </row>
    <row r="593" spans="1:45" ht="15.75">
      <c r="A593" s="1293" t="str">
        <f t="shared" si="372"/>
        <v>Towers lease liability</v>
      </c>
      <c r="B593" s="1293"/>
      <c r="C593" s="1293"/>
      <c r="D593" s="1293"/>
      <c r="E593" s="1293"/>
      <c r="F593" s="1293"/>
      <c r="G593" s="1965"/>
      <c r="H593" s="1965"/>
      <c r="I593" s="1965"/>
      <c r="J593" s="1965"/>
      <c r="K593" s="1965"/>
      <c r="L593" s="1965"/>
      <c r="M593" s="1965"/>
      <c r="N593" s="1965"/>
      <c r="O593" s="1965"/>
      <c r="P593" s="1965"/>
      <c r="Q593" s="1965"/>
      <c r="R593" s="1965"/>
      <c r="S593" s="1965"/>
      <c r="T593" s="1965"/>
      <c r="U593" s="1966">
        <f>125*0.7</f>
        <v>87.5</v>
      </c>
      <c r="V593" s="1965"/>
      <c r="W593" s="1965"/>
      <c r="X593" s="1965"/>
      <c r="Y593" s="1965"/>
      <c r="Z593" s="1965"/>
      <c r="AA593" s="1965"/>
      <c r="AB593" s="1965"/>
      <c r="AC593" s="1965"/>
      <c r="AD593" s="1965"/>
      <c r="AE593" s="1965"/>
      <c r="AF593" s="1965"/>
      <c r="AG593" s="1965"/>
      <c r="AH593" s="1293"/>
      <c r="AI593" s="1293"/>
      <c r="AJ593" s="1293"/>
      <c r="AK593" s="1293"/>
      <c r="AL593" s="1293"/>
      <c r="AM593" s="1293"/>
      <c r="AN593" s="1293"/>
      <c r="AO593" s="1293"/>
      <c r="AP593" s="1293"/>
      <c r="AQ593" s="1293"/>
      <c r="AR593" s="1293"/>
      <c r="AS593" s="1293"/>
    </row>
    <row r="594" spans="1:45" ht="15.75">
      <c r="A594" s="1293" t="str">
        <f t="shared" si="372"/>
        <v>SEK1.75bn floating</v>
      </c>
      <c r="B594" s="1293"/>
      <c r="C594" s="1293"/>
      <c r="D594" s="1293"/>
      <c r="E594" s="1293"/>
      <c r="F594" s="1293"/>
      <c r="G594" s="1965"/>
      <c r="H594" s="1965"/>
      <c r="I594" s="1965"/>
      <c r="J594" s="1965"/>
      <c r="K594" s="1965"/>
      <c r="L594" s="1965"/>
      <c r="M594" s="1965"/>
      <c r="N594" s="1965"/>
      <c r="O594" s="1966">
        <f>1750/6.5</f>
        <v>269.23076923076923</v>
      </c>
      <c r="P594" s="1965"/>
      <c r="Q594" s="1965"/>
      <c r="R594" s="1965"/>
      <c r="S594" s="1965"/>
      <c r="T594" s="1965"/>
      <c r="U594" s="1965"/>
      <c r="V594" s="1965"/>
      <c r="W594" s="1965"/>
      <c r="X594" s="1965"/>
      <c r="Y594" s="1965"/>
      <c r="Z594" s="1965"/>
      <c r="AA594" s="1965"/>
      <c r="AB594" s="1965"/>
      <c r="AC594" s="1965"/>
      <c r="AD594" s="1965"/>
      <c r="AE594" s="1965"/>
      <c r="AF594" s="1965"/>
      <c r="AG594" s="1965"/>
      <c r="AH594" s="1293"/>
      <c r="AI594" s="1293"/>
      <c r="AJ594" s="1293"/>
      <c r="AK594" s="1293"/>
      <c r="AL594" s="1293"/>
      <c r="AM594" s="1293"/>
      <c r="AN594" s="1293"/>
      <c r="AO594" s="1293"/>
      <c r="AP594" s="1293"/>
      <c r="AQ594" s="1293"/>
      <c r="AR594" s="1293"/>
      <c r="AS594" s="1293"/>
    </row>
    <row r="595" spans="1:45" ht="15.75">
      <c r="A595" s="1293" t="str">
        <f t="shared" si="372"/>
        <v>SEK0.25bn 5.125%</v>
      </c>
      <c r="B595" s="1293"/>
      <c r="C595" s="1293"/>
      <c r="D595" s="1293"/>
      <c r="E595" s="1293"/>
      <c r="F595" s="1293"/>
      <c r="G595" s="1965"/>
      <c r="H595" s="1965"/>
      <c r="I595" s="1965"/>
      <c r="J595" s="1965"/>
      <c r="K595" s="1965"/>
      <c r="L595" s="1965"/>
      <c r="M595" s="1965"/>
      <c r="N595" s="1965"/>
      <c r="O595" s="1966">
        <f>250/6.5</f>
        <v>38.46153846153846</v>
      </c>
      <c r="P595" s="1965"/>
      <c r="Q595" s="1965"/>
      <c r="R595" s="1965"/>
      <c r="S595" s="1965"/>
      <c r="T595" s="1965"/>
      <c r="U595" s="1965"/>
      <c r="V595" s="1965"/>
      <c r="W595" s="1965"/>
      <c r="X595" s="1965"/>
      <c r="Y595" s="1965"/>
      <c r="Z595" s="1965"/>
      <c r="AA595" s="1965"/>
      <c r="AB595" s="1965"/>
      <c r="AC595" s="1965"/>
      <c r="AD595" s="1965"/>
      <c r="AE595" s="1965"/>
      <c r="AF595" s="1965"/>
      <c r="AG595" s="1965"/>
      <c r="AH595" s="1293"/>
      <c r="AI595" s="1293"/>
      <c r="AJ595" s="1293"/>
      <c r="AK595" s="1293"/>
      <c r="AL595" s="1293"/>
      <c r="AM595" s="1293"/>
      <c r="AN595" s="1293"/>
      <c r="AO595" s="1293"/>
      <c r="AP595" s="1293"/>
      <c r="AQ595" s="1293"/>
      <c r="AR595" s="1293"/>
      <c r="AS595" s="1293"/>
    </row>
    <row r="596" spans="1:45" ht="15.75">
      <c r="A596" s="1293" t="str">
        <f t="shared" si="372"/>
        <v>Bolivia 4.75% (BOL)</v>
      </c>
      <c r="B596" s="1293"/>
      <c r="C596" s="1293"/>
      <c r="D596" s="1293"/>
      <c r="E596" s="1293"/>
      <c r="F596" s="1293"/>
      <c r="G596" s="1965"/>
      <c r="H596" s="1965"/>
      <c r="I596" s="1965"/>
      <c r="J596" s="1965"/>
      <c r="K596" s="1965"/>
      <c r="L596" s="1965"/>
      <c r="M596" s="1965"/>
      <c r="N596" s="1965"/>
      <c r="O596" s="1965"/>
      <c r="P596" s="1965"/>
      <c r="Q596" s="1965"/>
      <c r="R596" s="1965"/>
      <c r="S596" s="1965"/>
      <c r="T596" s="1965"/>
      <c r="U596" s="1965"/>
      <c r="V596" s="1965"/>
      <c r="W596" s="1965"/>
      <c r="X596" s="1965"/>
      <c r="Y596" s="1965"/>
      <c r="Z596" s="1965"/>
      <c r="AA596" s="1965"/>
      <c r="AB596" s="1965"/>
      <c r="AC596" s="1965"/>
      <c r="AD596" s="1965"/>
      <c r="AE596" s="1965"/>
      <c r="AF596" s="1965"/>
      <c r="AG596" s="1965"/>
      <c r="AH596" s="1293"/>
      <c r="AI596" s="1293"/>
      <c r="AJ596" s="1293"/>
      <c r="AK596" s="1293"/>
      <c r="AL596" s="1293"/>
      <c r="AM596" s="1293"/>
      <c r="AN596" s="1293"/>
      <c r="AO596" s="1293"/>
      <c r="AP596" s="1293"/>
      <c r="AQ596" s="1293"/>
      <c r="AR596" s="1293"/>
      <c r="AS596" s="1293"/>
    </row>
    <row r="597" spans="1:45" ht="15.75">
      <c r="A597" s="1293" t="str">
        <f t="shared" si="372"/>
        <v>Paraguay 6.75% 2022</v>
      </c>
      <c r="B597" s="1293"/>
      <c r="C597" s="1293"/>
      <c r="D597" s="1293"/>
      <c r="E597" s="1293"/>
      <c r="F597" s="1293"/>
      <c r="G597" s="1965"/>
      <c r="H597" s="1965"/>
      <c r="I597" s="1965"/>
      <c r="J597" s="1965"/>
      <c r="K597" s="1965"/>
      <c r="L597" s="1965"/>
      <c r="M597" s="1965"/>
      <c r="N597" s="1965"/>
      <c r="O597" s="1966">
        <v>300</v>
      </c>
      <c r="P597" s="1965"/>
      <c r="Q597" s="1965"/>
      <c r="R597" s="1965"/>
      <c r="S597" s="1965"/>
      <c r="T597" s="1965"/>
      <c r="U597" s="1965"/>
      <c r="V597" s="1965"/>
      <c r="W597" s="1965"/>
      <c r="X597" s="1965"/>
      <c r="Y597" s="1965"/>
      <c r="Z597" s="1965"/>
      <c r="AA597" s="1965"/>
      <c r="AB597" s="1965"/>
      <c r="AC597" s="1965"/>
      <c r="AD597" s="1965"/>
      <c r="AE597" s="1965"/>
      <c r="AF597" s="1965"/>
      <c r="AG597" s="1965"/>
      <c r="AH597" s="1293"/>
      <c r="AI597" s="1293"/>
      <c r="AJ597" s="1293"/>
      <c r="AK597" s="1293"/>
      <c r="AL597" s="1293"/>
      <c r="AM597" s="1293"/>
      <c r="AN597" s="1293"/>
      <c r="AO597" s="1293"/>
      <c r="AP597" s="1293"/>
      <c r="AQ597" s="1293"/>
      <c r="AR597" s="1293"/>
      <c r="AS597" s="1293"/>
    </row>
    <row r="598" spans="1:45" ht="15.75">
      <c r="A598" s="1293" t="str">
        <f t="shared" si="372"/>
        <v>$ 4.75% bond</v>
      </c>
      <c r="B598" s="1293"/>
      <c r="C598" s="1293"/>
      <c r="D598" s="1293"/>
      <c r="E598" s="1293"/>
      <c r="F598" s="1293"/>
      <c r="G598" s="1965"/>
      <c r="H598" s="1965"/>
      <c r="I598" s="1965"/>
      <c r="J598" s="1965"/>
      <c r="K598" s="1965"/>
      <c r="L598" s="1965"/>
      <c r="M598" s="1965"/>
      <c r="N598" s="1965"/>
      <c r="O598" s="1965"/>
      <c r="P598" s="1966">
        <v>500</v>
      </c>
      <c r="Q598" s="1965"/>
      <c r="R598" s="1965"/>
      <c r="S598" s="1965"/>
      <c r="T598" s="1965"/>
      <c r="U598" s="1965"/>
      <c r="V598" s="1965"/>
      <c r="W598" s="1965"/>
      <c r="X598" s="1965"/>
      <c r="Y598" s="1965"/>
      <c r="Z598" s="1965"/>
      <c r="AA598" s="1965"/>
      <c r="AB598" s="1965"/>
      <c r="AC598" s="1965"/>
      <c r="AD598" s="1965"/>
      <c r="AE598" s="1965"/>
      <c r="AF598" s="1965"/>
      <c r="AG598" s="1965"/>
      <c r="AH598" s="1293"/>
      <c r="AI598" s="1293"/>
      <c r="AJ598" s="1293"/>
      <c r="AK598" s="1293"/>
      <c r="AL598" s="1293"/>
      <c r="AM598" s="1293"/>
      <c r="AN598" s="1293"/>
      <c r="AO598" s="1293"/>
      <c r="AP598" s="1293"/>
      <c r="AQ598" s="1293"/>
      <c r="AR598" s="1293"/>
      <c r="AS598" s="1293"/>
    </row>
    <row r="599" spans="1:45" ht="15.75">
      <c r="A599" s="1293" t="str">
        <f t="shared" si="372"/>
        <v>$ 6.625% notes</v>
      </c>
      <c r="B599" s="1293"/>
      <c r="C599" s="1293"/>
      <c r="D599" s="1293"/>
      <c r="E599" s="1293"/>
      <c r="F599" s="1293"/>
      <c r="G599" s="1965"/>
      <c r="H599" s="1965"/>
      <c r="I599" s="1965"/>
      <c r="J599" s="1965"/>
      <c r="K599" s="1965"/>
      <c r="L599" s="1965"/>
      <c r="M599" s="1965"/>
      <c r="N599" s="1965"/>
      <c r="O599" s="1965"/>
      <c r="P599" s="1966">
        <v>800</v>
      </c>
      <c r="Q599" s="1965"/>
      <c r="R599" s="1965"/>
      <c r="S599" s="1965"/>
      <c r="T599" s="1965"/>
      <c r="U599" s="1965"/>
      <c r="V599" s="1965"/>
      <c r="W599" s="1965"/>
      <c r="X599" s="1965"/>
      <c r="Y599" s="1965"/>
      <c r="Z599" s="1965"/>
      <c r="AA599" s="1965"/>
      <c r="AB599" s="1965"/>
      <c r="AC599" s="1965"/>
      <c r="AD599" s="1965"/>
      <c r="AE599" s="1965"/>
      <c r="AF599" s="1965"/>
      <c r="AG599" s="1965"/>
      <c r="AH599" s="1293"/>
      <c r="AI599" s="1293"/>
      <c r="AJ599" s="1293"/>
      <c r="AK599" s="1293"/>
      <c r="AL599" s="1293"/>
      <c r="AM599" s="1293"/>
      <c r="AN599" s="1293"/>
      <c r="AO599" s="1293"/>
      <c r="AP599" s="1293"/>
      <c r="AQ599" s="1293"/>
      <c r="AR599" s="1293"/>
      <c r="AS599" s="1293"/>
    </row>
    <row r="600" spans="1:45" ht="15.75">
      <c r="A600" s="1293" t="str">
        <f t="shared" si="372"/>
        <v>UNE bonds, 7.33%-8.76% (COP)</v>
      </c>
      <c r="B600" s="1293"/>
      <c r="C600" s="1293"/>
      <c r="D600" s="1293"/>
      <c r="E600" s="1293"/>
      <c r="F600" s="1293"/>
      <c r="G600" s="1965"/>
      <c r="H600" s="1965"/>
      <c r="I600" s="1965"/>
      <c r="J600" s="1965"/>
      <c r="K600" s="1965"/>
      <c r="L600" s="1965"/>
      <c r="M600" s="1965"/>
      <c r="N600" s="1965"/>
      <c r="O600" s="1965"/>
      <c r="P600" s="1965"/>
      <c r="Q600" s="1965"/>
      <c r="R600" s="1965"/>
      <c r="S600" s="1965"/>
      <c r="T600" s="1965"/>
      <c r="U600" s="1965"/>
      <c r="V600" s="1965"/>
      <c r="W600" s="1965"/>
      <c r="X600" s="1965"/>
      <c r="Y600" s="1965"/>
      <c r="Z600" s="1965"/>
      <c r="AA600" s="1965"/>
      <c r="AB600" s="1965"/>
      <c r="AC600" s="1965"/>
      <c r="AD600" s="1965"/>
      <c r="AE600" s="1965"/>
      <c r="AF600" s="1965"/>
      <c r="AG600" s="1965"/>
      <c r="AH600" s="1293"/>
      <c r="AI600" s="1293"/>
      <c r="AJ600" s="1293"/>
      <c r="AK600" s="1293"/>
      <c r="AL600" s="1293"/>
      <c r="AM600" s="1293"/>
      <c r="AN600" s="1293"/>
      <c r="AO600" s="1293"/>
      <c r="AP600" s="1293"/>
      <c r="AQ600" s="1293"/>
      <c r="AR600" s="1293"/>
      <c r="AS600" s="1293"/>
    </row>
    <row r="601" spans="1:45" ht="15.75">
      <c r="A601" s="1293" t="str">
        <f t="shared" si="372"/>
        <v>Guatemala $ 6.875%</v>
      </c>
      <c r="B601" s="1293"/>
      <c r="C601" s="1293"/>
      <c r="D601" s="1293"/>
      <c r="E601" s="1293"/>
      <c r="F601" s="1293"/>
      <c r="G601" s="1965"/>
      <c r="H601" s="1965"/>
      <c r="I601" s="1965"/>
      <c r="J601" s="1965"/>
      <c r="K601" s="1965"/>
      <c r="L601" s="1965"/>
      <c r="M601" s="1965"/>
      <c r="N601" s="1965"/>
      <c r="O601" s="1965"/>
      <c r="P601" s="1965"/>
      <c r="Q601" s="1966">
        <v>800</v>
      </c>
      <c r="R601" s="1965"/>
      <c r="S601" s="1965"/>
      <c r="T601" s="1965"/>
      <c r="U601" s="1965"/>
      <c r="V601" s="1965"/>
      <c r="W601" s="1965"/>
      <c r="X601" s="1965"/>
      <c r="Y601" s="1965"/>
      <c r="Z601" s="1965"/>
      <c r="AA601" s="1965"/>
      <c r="AB601" s="1965"/>
      <c r="AC601" s="1965"/>
      <c r="AD601" s="1965"/>
      <c r="AE601" s="1965"/>
      <c r="AF601" s="1965"/>
      <c r="AG601" s="1965"/>
      <c r="AH601" s="1293"/>
      <c r="AI601" s="1293"/>
      <c r="AJ601" s="1293"/>
      <c r="AK601" s="1293"/>
      <c r="AL601" s="1293"/>
      <c r="AM601" s="1293"/>
      <c r="AN601" s="1293"/>
      <c r="AO601" s="1293"/>
      <c r="AP601" s="1293"/>
      <c r="AQ601" s="1293"/>
      <c r="AR601" s="1293"/>
      <c r="AS601" s="1293"/>
    </row>
    <row r="602" spans="1:45" ht="15.75">
      <c r="A602" s="1293" t="str">
        <f t="shared" si="372"/>
        <v>$500m 6.0% (Lux), 2025</v>
      </c>
      <c r="B602" s="1293"/>
      <c r="C602" s="1293"/>
      <c r="D602" s="1293"/>
      <c r="E602" s="1293"/>
      <c r="F602" s="1293"/>
      <c r="G602" s="1965"/>
      <c r="H602" s="1965"/>
      <c r="I602" s="1965"/>
      <c r="J602" s="1965"/>
      <c r="K602" s="1965"/>
      <c r="L602" s="1965"/>
      <c r="M602" s="1965"/>
      <c r="N602" s="1965"/>
      <c r="O602" s="1965" t="s">
        <v>1823</v>
      </c>
      <c r="P602" s="1965"/>
      <c r="Q602" s="1965"/>
      <c r="R602" s="1966">
        <v>500</v>
      </c>
      <c r="S602" s="1965"/>
      <c r="T602" s="1965"/>
      <c r="U602" s="1965"/>
      <c r="V602" s="1965"/>
      <c r="W602" s="1965"/>
      <c r="X602" s="1965"/>
      <c r="Y602" s="1965"/>
      <c r="Z602" s="1965"/>
      <c r="AA602" s="1965"/>
      <c r="AB602" s="1965"/>
      <c r="AC602" s="1965"/>
      <c r="AD602" s="1965"/>
      <c r="AE602" s="1965"/>
      <c r="AF602" s="1965"/>
      <c r="AG602" s="1965"/>
      <c r="AH602" s="1293"/>
      <c r="AI602" s="1293"/>
      <c r="AJ602" s="1293"/>
      <c r="AK602" s="1293"/>
      <c r="AL602" s="1293"/>
      <c r="AM602" s="1293"/>
      <c r="AN602" s="1293"/>
      <c r="AO602" s="1293"/>
      <c r="AP602" s="1293"/>
      <c r="AQ602" s="1293"/>
      <c r="AR602" s="1293"/>
      <c r="AS602" s="1293"/>
    </row>
    <row r="603" spans="1:45" ht="15.75">
      <c r="A603" s="1293" t="str">
        <f t="shared" si="372"/>
        <v>Guatemala facility</v>
      </c>
      <c r="B603" s="1293"/>
      <c r="C603" s="1293"/>
      <c r="D603" s="1293"/>
      <c r="E603" s="1293"/>
      <c r="F603" s="1293"/>
      <c r="G603" s="1965"/>
      <c r="H603" s="1965"/>
      <c r="I603" s="1965"/>
      <c r="J603" s="1965"/>
      <c r="K603" s="1965"/>
      <c r="L603" s="1965"/>
      <c r="M603" s="1965"/>
      <c r="N603" s="1965"/>
      <c r="O603" s="1965"/>
      <c r="P603" s="1965"/>
      <c r="Q603" s="1965"/>
      <c r="R603" s="1966">
        <v>180</v>
      </c>
      <c r="S603" s="1965"/>
      <c r="T603" s="1965"/>
      <c r="U603" s="1965"/>
      <c r="V603" s="1965"/>
      <c r="W603" s="1965"/>
      <c r="X603" s="1965"/>
      <c r="Y603" s="1965"/>
      <c r="Z603" s="1965"/>
      <c r="AA603" s="1965"/>
      <c r="AB603" s="1965"/>
      <c r="AC603" s="1965"/>
      <c r="AD603" s="1965"/>
      <c r="AE603" s="1965"/>
      <c r="AF603" s="1965"/>
      <c r="AG603" s="1965"/>
      <c r="AH603" s="1293"/>
      <c r="AI603" s="1293"/>
      <c r="AJ603" s="1293"/>
      <c r="AK603" s="1293"/>
      <c r="AL603" s="1293"/>
      <c r="AM603" s="1293"/>
      <c r="AN603" s="1293"/>
      <c r="AO603" s="1293"/>
      <c r="AP603" s="1293"/>
      <c r="AQ603" s="1293"/>
      <c r="AR603" s="1293"/>
      <c r="AS603" s="1293"/>
    </row>
    <row r="604" spans="1:45" ht="15.75">
      <c r="A604" s="1293" t="str">
        <f t="shared" si="372"/>
        <v>Lux $500m 5.125% 2028</v>
      </c>
      <c r="B604" s="1293"/>
      <c r="C604" s="1293"/>
      <c r="D604" s="1293"/>
      <c r="E604" s="1293"/>
      <c r="F604" s="1293"/>
      <c r="G604" s="1965"/>
      <c r="H604" s="1965"/>
      <c r="I604" s="1965"/>
      <c r="J604" s="1965"/>
      <c r="K604" s="1965"/>
      <c r="L604" s="1965"/>
      <c r="M604" s="1965"/>
      <c r="N604" s="1965"/>
      <c r="O604" s="1965"/>
      <c r="P604" s="1965"/>
      <c r="Q604" s="1965"/>
      <c r="R604" s="1965"/>
      <c r="S604" s="1965"/>
      <c r="T604" s="1966">
        <v>500</v>
      </c>
      <c r="U604" s="1965"/>
      <c r="V604" s="1965"/>
      <c r="W604" s="1965"/>
      <c r="X604" s="1965"/>
      <c r="Y604" s="1965"/>
      <c r="Z604" s="1965"/>
      <c r="AA604" s="1965"/>
      <c r="AB604" s="1965"/>
      <c r="AC604" s="1965"/>
      <c r="AD604" s="1965"/>
      <c r="AE604" s="1965"/>
      <c r="AF604" s="1965"/>
      <c r="AG604" s="1965"/>
      <c r="AH604" s="1293"/>
      <c r="AI604" s="1293"/>
      <c r="AJ604" s="1293"/>
      <c r="AK604" s="1293"/>
      <c r="AL604" s="1293"/>
      <c r="AM604" s="1293"/>
      <c r="AN604" s="1293"/>
      <c r="AO604" s="1293"/>
      <c r="AP604" s="1293"/>
      <c r="AQ604" s="1293"/>
      <c r="AR604" s="1293"/>
      <c r="AS604" s="1293"/>
    </row>
    <row r="605" spans="1:45" ht="15.75">
      <c r="A605" s="1293" t="str">
        <f t="shared" si="372"/>
        <v>$500m 6.625% (Lux), 2026</v>
      </c>
      <c r="B605" s="1293"/>
      <c r="C605" s="1293"/>
      <c r="D605" s="1293"/>
      <c r="E605" s="1293"/>
      <c r="F605" s="1293"/>
      <c r="G605" s="1965"/>
      <c r="H605" s="1965"/>
      <c r="I605" s="1965"/>
      <c r="J605" s="1965"/>
      <c r="K605" s="1965"/>
      <c r="L605" s="1965"/>
      <c r="M605" s="1965"/>
      <c r="N605" s="1965"/>
      <c r="O605" s="1965"/>
      <c r="P605" s="1965"/>
      <c r="Q605" s="1965"/>
      <c r="R605" s="1965"/>
      <c r="S605" s="1965"/>
      <c r="T605" s="1965"/>
      <c r="U605" s="1966">
        <v>500</v>
      </c>
      <c r="V605" s="1965"/>
      <c r="W605" s="1965"/>
      <c r="X605" s="1965"/>
      <c r="Y605" s="1965"/>
      <c r="Z605" s="1965"/>
      <c r="AA605" s="1965"/>
      <c r="AB605" s="1965"/>
      <c r="AC605" s="1965"/>
      <c r="AD605" s="1965"/>
      <c r="AE605" s="1965"/>
      <c r="AF605" s="1965"/>
      <c r="AG605" s="1965"/>
      <c r="AH605" s="1293"/>
      <c r="AI605" s="1293"/>
      <c r="AJ605" s="1293"/>
      <c r="AK605" s="1293"/>
      <c r="AL605" s="1293"/>
      <c r="AM605" s="1293"/>
      <c r="AN605" s="1293"/>
      <c r="AO605" s="1293"/>
      <c r="AP605" s="1293"/>
      <c r="AQ605" s="1293"/>
      <c r="AR605" s="1293"/>
      <c r="AS605" s="1293"/>
    </row>
    <row r="606" spans="1:45" ht="15.75">
      <c r="A606" s="1293" t="str">
        <f t="shared" si="372"/>
        <v>Cable Onda 5.75%, 2025</v>
      </c>
      <c r="B606" s="1293"/>
      <c r="C606" s="1293"/>
      <c r="D606" s="1293"/>
      <c r="E606" s="1293"/>
      <c r="F606" s="1293"/>
      <c r="G606" s="1965"/>
      <c r="H606" s="1965"/>
      <c r="I606" s="1965"/>
      <c r="J606" s="1965"/>
      <c r="K606" s="1965"/>
      <c r="L606" s="1965"/>
      <c r="M606" s="1965"/>
      <c r="N606" s="1965"/>
      <c r="O606" s="1965"/>
      <c r="P606" s="1965"/>
      <c r="Q606" s="1965"/>
      <c r="R606" s="1965"/>
      <c r="S606" s="1965"/>
      <c r="T606" s="1965"/>
      <c r="U606" s="1965"/>
      <c r="V606" s="1965"/>
      <c r="W606" s="1965"/>
      <c r="X606" s="1965"/>
      <c r="Y606" s="1965"/>
      <c r="Z606" s="1965"/>
      <c r="AA606" s="1965"/>
      <c r="AB606" s="1965"/>
      <c r="AC606" s="1965"/>
      <c r="AD606" s="1965"/>
      <c r="AE606" s="1965"/>
      <c r="AF606" s="1965"/>
      <c r="AG606" s="1965"/>
      <c r="AH606" s="1293"/>
      <c r="AI606" s="1293"/>
      <c r="AJ606" s="1293"/>
      <c r="AK606" s="1293"/>
      <c r="AL606" s="1293"/>
      <c r="AM606" s="1293"/>
      <c r="AN606" s="1293"/>
      <c r="AO606" s="1293"/>
      <c r="AP606" s="1293"/>
      <c r="AQ606" s="1293"/>
      <c r="AR606" s="1293"/>
      <c r="AS606" s="1293"/>
    </row>
    <row r="607" spans="1:45" ht="15.75">
      <c r="A607" s="1293" t="str">
        <f t="shared" si="372"/>
        <v>IFRS 16 leases</v>
      </c>
      <c r="B607" s="1293"/>
      <c r="C607" s="1293"/>
      <c r="D607" s="1293"/>
      <c r="E607" s="1293"/>
      <c r="F607" s="1293"/>
      <c r="G607" s="1965"/>
      <c r="H607" s="1965"/>
      <c r="I607" s="1965"/>
      <c r="J607" s="1965"/>
      <c r="K607" s="1965"/>
      <c r="L607" s="1965"/>
      <c r="M607" s="1965"/>
      <c r="N607" s="1965"/>
      <c r="O607" s="1965"/>
      <c r="P607" s="1965"/>
      <c r="Q607" s="1965"/>
      <c r="R607" s="1965"/>
      <c r="S607" s="1965"/>
      <c r="T607" s="1965"/>
      <c r="U607" s="1965"/>
      <c r="V607" s="1965"/>
      <c r="W607" s="1965"/>
      <c r="X607" s="1965"/>
      <c r="Y607" s="1965"/>
      <c r="Z607" s="1965"/>
      <c r="AA607" s="1965"/>
      <c r="AB607" s="1965"/>
      <c r="AC607" s="1965"/>
      <c r="AD607" s="1965"/>
      <c r="AE607" s="1965"/>
      <c r="AF607" s="1965"/>
      <c r="AG607" s="1965"/>
      <c r="AH607" s="1293"/>
      <c r="AI607" s="1293"/>
      <c r="AJ607" s="1293"/>
      <c r="AK607" s="1293"/>
      <c r="AL607" s="1293"/>
      <c r="AM607" s="1293"/>
      <c r="AN607" s="1293"/>
      <c r="AO607" s="1293"/>
      <c r="AP607" s="1293"/>
      <c r="AQ607" s="1293"/>
      <c r="AR607" s="1293"/>
      <c r="AS607" s="1293"/>
    </row>
    <row r="608" spans="1:45" ht="15.75">
      <c r="A608" s="1293" t="str">
        <f t="shared" si="372"/>
        <v>Paraguay 5.875% 2027</v>
      </c>
      <c r="B608" s="1293"/>
      <c r="C608" s="1293"/>
      <c r="D608" s="1293"/>
      <c r="E608" s="1293"/>
      <c r="F608" s="1293"/>
      <c r="G608" s="1965"/>
      <c r="H608" s="1965"/>
      <c r="I608" s="1965"/>
      <c r="J608" s="1965"/>
      <c r="K608" s="1965"/>
      <c r="L608" s="1965"/>
      <c r="M608" s="1965"/>
      <c r="N608" s="1965"/>
      <c r="O608" s="1965"/>
      <c r="P608" s="1965"/>
      <c r="Q608" s="1965"/>
      <c r="R608" s="1965"/>
      <c r="S608" s="1965"/>
      <c r="T608" s="1965"/>
      <c r="U608" s="1965"/>
      <c r="V608" s="1966">
        <v>300</v>
      </c>
      <c r="W608" s="1965"/>
      <c r="X608" s="1965"/>
      <c r="Y608" s="1965"/>
      <c r="Z608" s="1965"/>
      <c r="AA608" s="1965"/>
      <c r="AB608" s="1965"/>
      <c r="AC608" s="1965"/>
      <c r="AD608" s="1965"/>
      <c r="AE608" s="1965"/>
      <c r="AF608" s="1965"/>
      <c r="AG608" s="1965"/>
      <c r="AH608" s="1293"/>
      <c r="AI608" s="1293"/>
      <c r="AJ608" s="1293"/>
      <c r="AK608" s="1293"/>
      <c r="AL608" s="1293"/>
      <c r="AM608" s="1293"/>
      <c r="AN608" s="1293"/>
      <c r="AO608" s="1293"/>
      <c r="AP608" s="1293"/>
      <c r="AQ608" s="1293"/>
      <c r="AR608" s="1293"/>
      <c r="AS608" s="1293"/>
    </row>
    <row r="609" spans="1:45" ht="15.75">
      <c r="A609" s="1293" t="str">
        <f t="shared" si="372"/>
        <v>SEK2 bn sustainability, STIBOR + 2.35%</v>
      </c>
      <c r="B609" s="1293"/>
      <c r="C609" s="1293"/>
      <c r="D609" s="1293"/>
      <c r="E609" s="1293"/>
      <c r="F609" s="1293"/>
      <c r="G609" s="1965"/>
      <c r="H609" s="1965"/>
      <c r="I609" s="1965"/>
      <c r="J609" s="1965"/>
      <c r="K609" s="1965"/>
      <c r="L609" s="1965"/>
      <c r="M609" s="1965"/>
      <c r="N609" s="1965"/>
      <c r="O609" s="1965"/>
      <c r="P609" s="1965"/>
      <c r="Q609" s="1965"/>
      <c r="R609" s="1965"/>
      <c r="S609" s="1965"/>
      <c r="T609" s="1965"/>
      <c r="U609" s="1965"/>
      <c r="V609" s="1966">
        <f>2000/9.88</f>
        <v>202.42914979757083</v>
      </c>
      <c r="W609" s="1965"/>
      <c r="X609" s="1965"/>
      <c r="Y609" s="1965"/>
      <c r="Z609" s="1965"/>
      <c r="AA609" s="1965"/>
      <c r="AB609" s="1965"/>
      <c r="AC609" s="1965"/>
      <c r="AD609" s="1965"/>
      <c r="AE609" s="1965"/>
      <c r="AF609" s="1965"/>
      <c r="AG609" s="1965"/>
      <c r="AH609" s="1293"/>
      <c r="AI609" s="1293"/>
      <c r="AJ609" s="1293"/>
      <c r="AK609" s="1293"/>
      <c r="AL609" s="1293"/>
      <c r="AM609" s="1293"/>
      <c r="AN609" s="1293"/>
      <c r="AO609" s="1293"/>
      <c r="AP609" s="1293"/>
      <c r="AQ609" s="1293"/>
      <c r="AR609" s="1293"/>
      <c r="AS609" s="1293"/>
    </row>
    <row r="610" spans="1:45" ht="15.75">
      <c r="A610" s="1293" t="str">
        <f t="shared" si="372"/>
        <v>$750m 6.25% (Lux), 2029</v>
      </c>
      <c r="B610" s="1293"/>
      <c r="C610" s="1293"/>
      <c r="D610" s="1293"/>
      <c r="E610" s="1293"/>
      <c r="F610" s="1293"/>
      <c r="G610" s="1965"/>
      <c r="H610" s="1965"/>
      <c r="I610" s="1965"/>
      <c r="J610" s="1965"/>
      <c r="K610" s="1965"/>
      <c r="L610" s="1965"/>
      <c r="M610" s="1965"/>
      <c r="N610" s="1965"/>
      <c r="O610" s="1965"/>
      <c r="P610" s="1965"/>
      <c r="Q610" s="1965"/>
      <c r="R610" s="1965"/>
      <c r="S610" s="1965"/>
      <c r="T610" s="1965"/>
      <c r="U610" s="1965"/>
      <c r="V610" s="1966">
        <v>750</v>
      </c>
      <c r="W610" s="1965"/>
      <c r="X610" s="1965"/>
      <c r="Y610" s="1965"/>
      <c r="Z610" s="1965"/>
      <c r="AA610" s="1965"/>
      <c r="AB610" s="1965"/>
      <c r="AC610" s="1965"/>
      <c r="AD610" s="1965"/>
      <c r="AE610" s="1965"/>
      <c r="AF610" s="1965"/>
      <c r="AG610" s="1965"/>
      <c r="AH610" s="1293"/>
      <c r="AI610" s="1293"/>
      <c r="AJ610" s="1293"/>
      <c r="AK610" s="1293"/>
      <c r="AL610" s="1293"/>
      <c r="AM610" s="1293"/>
      <c r="AN610" s="1293"/>
      <c r="AO610" s="1293"/>
      <c r="AP610" s="1293"/>
      <c r="AQ610" s="1293"/>
      <c r="AR610" s="1293"/>
      <c r="AS610" s="1293"/>
    </row>
    <row r="611" spans="1:45" ht="15.75">
      <c r="A611" s="1293" t="str">
        <f t="shared" si="372"/>
        <v>$600m Panama @ 4.5%</v>
      </c>
      <c r="B611" s="1293"/>
      <c r="C611" s="1293"/>
      <c r="D611" s="1293"/>
      <c r="E611" s="1293"/>
      <c r="F611" s="1293"/>
      <c r="G611" s="1965"/>
      <c r="H611" s="1965"/>
      <c r="I611" s="1965"/>
      <c r="J611" s="1965"/>
      <c r="K611" s="1965"/>
      <c r="L611" s="1965"/>
      <c r="M611" s="1965"/>
      <c r="N611" s="1965"/>
      <c r="O611" s="1965"/>
      <c r="P611" s="1965"/>
      <c r="Q611" s="1965"/>
      <c r="R611" s="1965"/>
      <c r="S611" s="1965"/>
      <c r="T611" s="1965"/>
      <c r="U611" s="1965"/>
      <c r="V611" s="1966">
        <v>600</v>
      </c>
      <c r="W611" s="1965"/>
      <c r="X611" s="1965"/>
      <c r="Y611" s="1965"/>
      <c r="Z611" s="1965"/>
      <c r="AA611" s="1965"/>
      <c r="AB611" s="1965"/>
      <c r="AC611" s="1965"/>
      <c r="AD611" s="1965"/>
      <c r="AE611" s="1965"/>
      <c r="AF611" s="1965"/>
      <c r="AG611" s="1965"/>
      <c r="AH611" s="1293"/>
      <c r="AI611" s="1293"/>
      <c r="AJ611" s="1293"/>
      <c r="AK611" s="1293"/>
      <c r="AL611" s="1293"/>
      <c r="AM611" s="1293"/>
      <c r="AN611" s="1293"/>
      <c r="AO611" s="1293"/>
      <c r="AP611" s="1293"/>
      <c r="AQ611" s="1293"/>
      <c r="AR611" s="1293"/>
      <c r="AS611" s="1293"/>
    </row>
    <row r="612" spans="1:45" ht="15.75">
      <c r="A612" s="1331" t="str">
        <f t="shared" si="372"/>
        <v>$1500 Guat funding</v>
      </c>
      <c r="B612" s="1331"/>
      <c r="C612" s="1331"/>
      <c r="D612" s="1331"/>
      <c r="E612" s="1331"/>
      <c r="F612" s="1331"/>
      <c r="G612" s="1968"/>
      <c r="H612" s="1968"/>
      <c r="I612" s="1968"/>
      <c r="J612" s="1968"/>
      <c r="K612" s="1968"/>
      <c r="L612" s="1968"/>
      <c r="M612" s="1968"/>
      <c r="N612" s="1968"/>
      <c r="O612" s="1968"/>
      <c r="P612" s="1968"/>
      <c r="Q612" s="1968"/>
      <c r="R612" s="1968"/>
      <c r="S612" s="1968"/>
      <c r="T612" s="1968"/>
      <c r="U612" s="1968"/>
      <c r="V612" s="1968"/>
      <c r="W612" s="1968"/>
      <c r="X612" s="1968"/>
      <c r="Y612" s="1968"/>
      <c r="Z612" s="1968"/>
      <c r="AA612" s="1968"/>
      <c r="AB612" s="1968"/>
      <c r="AC612" s="1968"/>
      <c r="AD612" s="1968"/>
      <c r="AE612" s="1968"/>
      <c r="AF612" s="1968"/>
      <c r="AG612" s="1968"/>
      <c r="AH612" s="1293"/>
      <c r="AI612" s="1293"/>
      <c r="AJ612" s="1293"/>
      <c r="AK612" s="1293"/>
      <c r="AL612" s="1293"/>
      <c r="AM612" s="1293"/>
      <c r="AN612" s="1293"/>
      <c r="AO612" s="1293"/>
      <c r="AP612" s="1293"/>
      <c r="AQ612" s="1293"/>
      <c r="AR612" s="1293"/>
      <c r="AS612" s="1293"/>
    </row>
    <row r="613" spans="1:45" ht="15.75">
      <c r="A613" s="1293" t="s">
        <v>2324</v>
      </c>
      <c r="B613" s="1293"/>
      <c r="C613" s="1293"/>
      <c r="D613" s="1293"/>
      <c r="E613" s="1293"/>
      <c r="F613" s="1293"/>
      <c r="G613" s="1965">
        <f t="shared" ref="G613:S613" si="373">SUM(G588:G605)</f>
        <v>0</v>
      </c>
      <c r="H613" s="1965">
        <f t="shared" si="373"/>
        <v>167.85700000000003</v>
      </c>
      <c r="I613" s="1965">
        <f t="shared" si="373"/>
        <v>7.8850000000000193</v>
      </c>
      <c r="J613" s="1965">
        <f t="shared" si="373"/>
        <v>7.8309999999999889</v>
      </c>
      <c r="K613" s="1965">
        <f t="shared" si="373"/>
        <v>171</v>
      </c>
      <c r="L613" s="1965">
        <f t="shared" si="373"/>
        <v>0</v>
      </c>
      <c r="M613" s="1965">
        <f t="shared" si="373"/>
        <v>450</v>
      </c>
      <c r="N613" s="1965">
        <f t="shared" si="373"/>
        <v>0</v>
      </c>
      <c r="O613" s="1965">
        <f t="shared" si="373"/>
        <v>607.69230769230762</v>
      </c>
      <c r="P613" s="1965">
        <f t="shared" si="373"/>
        <v>1300</v>
      </c>
      <c r="Q613" s="1965">
        <f t="shared" si="373"/>
        <v>800</v>
      </c>
      <c r="R613" s="1965">
        <f t="shared" si="373"/>
        <v>754</v>
      </c>
      <c r="S613" s="1965">
        <f t="shared" si="373"/>
        <v>0</v>
      </c>
      <c r="T613" s="1965">
        <f t="shared" ref="T613:AG613" si="374">SUM(T588:T612)</f>
        <v>500</v>
      </c>
      <c r="U613" s="1965">
        <f t="shared" si="374"/>
        <v>587.5</v>
      </c>
      <c r="V613" s="1965">
        <f t="shared" si="374"/>
        <v>1852.429149797571</v>
      </c>
      <c r="W613" s="1965">
        <f t="shared" si="374"/>
        <v>0</v>
      </c>
      <c r="X613" s="1965">
        <f t="shared" si="374"/>
        <v>0</v>
      </c>
      <c r="Y613" s="1965">
        <f t="shared" si="374"/>
        <v>0</v>
      </c>
      <c r="Z613" s="1965">
        <f t="shared" si="374"/>
        <v>0</v>
      </c>
      <c r="AA613" s="1965">
        <f t="shared" si="374"/>
        <v>0</v>
      </c>
      <c r="AB613" s="1965">
        <f t="shared" si="374"/>
        <v>0</v>
      </c>
      <c r="AC613" s="1965">
        <f t="shared" si="374"/>
        <v>0</v>
      </c>
      <c r="AD613" s="1965">
        <f t="shared" si="374"/>
        <v>0</v>
      </c>
      <c r="AE613" s="1965">
        <f t="shared" si="374"/>
        <v>0</v>
      </c>
      <c r="AF613" s="1965">
        <f t="shared" si="374"/>
        <v>0</v>
      </c>
      <c r="AG613" s="1965">
        <f t="shared" si="374"/>
        <v>0</v>
      </c>
      <c r="AH613" s="1293"/>
      <c r="AI613" s="1293"/>
      <c r="AJ613" s="1293"/>
      <c r="AK613" s="1293"/>
      <c r="AL613" s="1293"/>
      <c r="AM613" s="1293"/>
      <c r="AN613" s="1293"/>
      <c r="AO613" s="1293"/>
      <c r="AP613" s="1293"/>
      <c r="AQ613" s="1293"/>
      <c r="AR613" s="1293"/>
      <c r="AS613" s="1293"/>
    </row>
    <row r="614" spans="1:45" ht="15.75">
      <c r="A614" s="1293"/>
      <c r="B614" s="1293"/>
      <c r="C614" s="1293"/>
      <c r="D614" s="1293"/>
      <c r="E614" s="1293"/>
      <c r="F614" s="1293"/>
      <c r="G614" s="1965"/>
      <c r="H614" s="1965"/>
      <c r="I614" s="1965"/>
      <c r="J614" s="1965"/>
      <c r="K614" s="1965"/>
      <c r="L614" s="1965"/>
      <c r="M614" s="1965"/>
      <c r="N614" s="1965"/>
      <c r="O614" s="1965"/>
      <c r="P614" s="1965"/>
      <c r="Q614" s="1965"/>
      <c r="R614" s="1965"/>
      <c r="S614" s="1965"/>
      <c r="T614" s="1965"/>
      <c r="U614" s="1965"/>
      <c r="V614" s="1965"/>
      <c r="W614" s="1965"/>
      <c r="X614" s="1965"/>
      <c r="Y614" s="1965"/>
      <c r="Z614" s="1965"/>
      <c r="AA614" s="1965"/>
      <c r="AB614" s="1965"/>
      <c r="AC614" s="1965"/>
      <c r="AD614" s="1965"/>
      <c r="AE614" s="1965"/>
      <c r="AF614" s="1965"/>
      <c r="AG614" s="1965"/>
      <c r="AH614" s="1293"/>
      <c r="AI614" s="1293"/>
      <c r="AJ614" s="1293"/>
      <c r="AK614" s="1293"/>
      <c r="AL614" s="1293"/>
      <c r="AM614" s="1293"/>
      <c r="AN614" s="1293"/>
      <c r="AO614" s="1293"/>
      <c r="AP614" s="1293"/>
      <c r="AQ614" s="1293"/>
      <c r="AR614" s="1293"/>
      <c r="AS614" s="1293"/>
    </row>
    <row r="615" spans="1:45" ht="15.75">
      <c r="A615" s="2504" t="s">
        <v>3920</v>
      </c>
      <c r="B615" s="1293"/>
      <c r="C615" s="1293"/>
      <c r="D615" s="1293"/>
      <c r="E615" s="1293"/>
      <c r="F615" s="1293"/>
      <c r="G615" s="1965"/>
      <c r="H615" s="1965"/>
      <c r="I615" s="1965"/>
      <c r="J615" s="1965"/>
      <c r="K615" s="1965"/>
      <c r="L615" s="1965"/>
      <c r="M615" s="1965"/>
      <c r="N615" s="1965"/>
      <c r="O615" s="1965"/>
      <c r="P615" s="1965"/>
      <c r="Q615" s="1965"/>
      <c r="R615" s="1965"/>
      <c r="S615" s="1965"/>
      <c r="T615" s="1965"/>
      <c r="U615" s="1965"/>
      <c r="V615" s="1965"/>
      <c r="W615" s="1965"/>
      <c r="X615" s="1965"/>
      <c r="Y615" s="1965"/>
      <c r="Z615" s="1965"/>
      <c r="AA615" s="1965"/>
      <c r="AB615" s="1965"/>
      <c r="AC615" s="1965"/>
      <c r="AD615" s="1965"/>
      <c r="AE615" s="1965"/>
      <c r="AF615" s="1965"/>
      <c r="AG615" s="1965"/>
      <c r="AH615" s="1293"/>
      <c r="AI615" s="1293"/>
      <c r="AJ615" s="1293"/>
      <c r="AK615" s="1293"/>
      <c r="AL615" s="1293"/>
      <c r="AM615" s="1293"/>
      <c r="AN615" s="1293"/>
      <c r="AO615" s="1293"/>
      <c r="AP615" s="1293"/>
      <c r="AQ615" s="1293"/>
      <c r="AR615" s="1293"/>
      <c r="AS615" s="1293"/>
    </row>
    <row r="616" spans="1:45" ht="15.75">
      <c r="A616" s="1293" t="s">
        <v>804</v>
      </c>
      <c r="B616" s="1293"/>
      <c r="C616" s="1293"/>
      <c r="D616" s="1293"/>
      <c r="E616" s="1293"/>
      <c r="F616" s="1293"/>
      <c r="G616" s="1965"/>
      <c r="H616" s="1965"/>
      <c r="I616" s="1965"/>
      <c r="J616" s="1965"/>
      <c r="K616" s="1965"/>
      <c r="L616" s="1965"/>
      <c r="M616" s="1966">
        <v>454</v>
      </c>
      <c r="N616" s="1965"/>
      <c r="O616" s="1965"/>
      <c r="P616" s="1965"/>
      <c r="Q616" s="1965"/>
      <c r="R616" s="1965"/>
      <c r="S616" s="1965"/>
      <c r="T616" s="1965"/>
      <c r="U616" s="1965"/>
      <c r="V616" s="1965"/>
      <c r="W616" s="1965"/>
      <c r="X616" s="1965"/>
      <c r="Y616" s="1965"/>
      <c r="Z616" s="1965"/>
      <c r="AA616" s="1965"/>
      <c r="AB616" s="1965"/>
      <c r="AC616" s="1965"/>
      <c r="AD616" s="1965"/>
      <c r="AE616" s="1965"/>
      <c r="AF616" s="1965"/>
      <c r="AG616" s="1965"/>
      <c r="AH616" s="1293"/>
      <c r="AI616" s="1293"/>
      <c r="AJ616" s="1293"/>
      <c r="AK616" s="1293"/>
      <c r="AL616" s="1293"/>
      <c r="AM616" s="1293"/>
      <c r="AN616" s="1293"/>
      <c r="AO616" s="1293"/>
      <c r="AP616" s="1293"/>
      <c r="AQ616" s="1293"/>
      <c r="AR616" s="1293"/>
      <c r="AS616" s="1293"/>
    </row>
    <row r="617" spans="1:45" ht="15.75">
      <c r="A617" s="1293" t="s">
        <v>805</v>
      </c>
      <c r="B617" s="1293"/>
      <c r="C617" s="1293"/>
      <c r="D617" s="1293"/>
      <c r="E617" s="1293"/>
      <c r="F617" s="1293"/>
      <c r="G617" s="1965"/>
      <c r="H617" s="1965"/>
      <c r="I617" s="1965"/>
      <c r="J617" s="1965"/>
      <c r="K617" s="1965"/>
      <c r="L617" s="1965"/>
      <c r="M617" s="1965"/>
      <c r="N617" s="1965"/>
      <c r="O617" s="1965"/>
      <c r="P617" s="1965"/>
      <c r="Q617" s="1965"/>
      <c r="R617" s="1965"/>
      <c r="S617" s="1965"/>
      <c r="T617" s="1965"/>
      <c r="U617" s="1965"/>
      <c r="V617" s="1965"/>
      <c r="W617" s="1965"/>
      <c r="X617" s="1965"/>
      <c r="Y617" s="1965"/>
      <c r="Z617" s="1965"/>
      <c r="AA617" s="1965"/>
      <c r="AB617" s="1965"/>
      <c r="AC617" s="1965"/>
      <c r="AD617" s="1965"/>
      <c r="AE617" s="1965"/>
      <c r="AF617" s="1965"/>
      <c r="AG617" s="1965"/>
      <c r="AH617" s="1293"/>
      <c r="AI617" s="1293"/>
      <c r="AJ617" s="1293"/>
      <c r="AK617" s="1293"/>
      <c r="AL617" s="1293"/>
      <c r="AM617" s="1293"/>
      <c r="AN617" s="1293"/>
      <c r="AO617" s="1293"/>
      <c r="AP617" s="1293"/>
      <c r="AQ617" s="1293"/>
      <c r="AR617" s="1293"/>
      <c r="AS617" s="1293"/>
    </row>
    <row r="618" spans="1:45" ht="15.75">
      <c r="A618" s="1293" t="s">
        <v>806</v>
      </c>
      <c r="B618" s="1293"/>
      <c r="C618" s="1293"/>
      <c r="D618" s="1293"/>
      <c r="E618" s="1293"/>
      <c r="F618" s="1293"/>
      <c r="G618" s="1965"/>
      <c r="H618" s="1965"/>
      <c r="I618" s="1966">
        <f>+H562</f>
        <v>315.35899999999998</v>
      </c>
      <c r="J618" s="1965"/>
      <c r="K618" s="1965"/>
      <c r="L618" s="1965"/>
      <c r="M618" s="1965"/>
      <c r="N618" s="1965"/>
      <c r="O618" s="1965"/>
      <c r="P618" s="1965"/>
      <c r="Q618" s="1965"/>
      <c r="R618" s="1965"/>
      <c r="S618" s="1965"/>
      <c r="T618" s="1965"/>
      <c r="U618" s="1965"/>
      <c r="V618" s="1965"/>
      <c r="W618" s="1965"/>
      <c r="X618" s="1965"/>
      <c r="Y618" s="1965"/>
      <c r="Z618" s="1965"/>
      <c r="AA618" s="1965"/>
      <c r="AB618" s="1965"/>
      <c r="AC618" s="1965"/>
      <c r="AD618" s="1965"/>
      <c r="AE618" s="1965"/>
      <c r="AF618" s="1965"/>
      <c r="AG618" s="1965"/>
      <c r="AH618" s="1293"/>
      <c r="AI618" s="1293"/>
      <c r="AJ618" s="1293"/>
      <c r="AK618" s="1293"/>
      <c r="AL618" s="1293"/>
      <c r="AM618" s="1293"/>
      <c r="AN618" s="1293"/>
      <c r="AO618" s="1293"/>
      <c r="AP618" s="1293"/>
      <c r="AQ618" s="1293"/>
      <c r="AR618" s="1293"/>
      <c r="AS618" s="1293"/>
    </row>
    <row r="619" spans="1:45" ht="15.75">
      <c r="A619" s="1293" t="s">
        <v>807</v>
      </c>
      <c r="B619" s="1293"/>
      <c r="C619" s="1293"/>
      <c r="D619" s="1293"/>
      <c r="E619" s="1293"/>
      <c r="F619" s="1293"/>
      <c r="G619" s="1965"/>
      <c r="H619" s="1965"/>
      <c r="I619" s="1966">
        <f>+H507</f>
        <v>96.34</v>
      </c>
      <c r="J619" s="1966">
        <v>45.8</v>
      </c>
      <c r="K619" s="1966">
        <v>31.6</v>
      </c>
      <c r="L619" s="1966">
        <v>0</v>
      </c>
      <c r="M619" s="1966">
        <f>563</f>
        <v>563</v>
      </c>
      <c r="N619" s="1966">
        <v>100</v>
      </c>
      <c r="O619" s="1966">
        <v>580</v>
      </c>
      <c r="P619" s="1966">
        <v>231</v>
      </c>
      <c r="Q619" s="1966">
        <v>441</v>
      </c>
      <c r="R619" s="1965">
        <f>R641-SUM(R616:R618)-SUM(R620:R633)</f>
        <v>0.49102362204723704</v>
      </c>
      <c r="S619" s="1965">
        <f>S641-SUM(S616:S618)-SUM(S620:S630)</f>
        <v>-75.461538461538453</v>
      </c>
      <c r="T619" s="1965">
        <f>T641-SUM(T616:T618)-SUM(T620:T630)</f>
        <v>-3.6029460997656315</v>
      </c>
      <c r="U619" s="1965">
        <f>U641-SUM(U616:U618)-SUM(U620:U630)</f>
        <v>236.38109452736316</v>
      </c>
      <c r="V619" s="1965">
        <f>V641-SUM(V616:V618)-SUM(V620:V624)-SUM(V626:V640)</f>
        <v>267.08320633953065</v>
      </c>
      <c r="W619" s="1965">
        <f>W641-SUM(W616:W618)-SUM(W620:W624)-SUM(W626:W640)</f>
        <v>209.65743882175971</v>
      </c>
      <c r="X619" s="1965">
        <f>X641-SUM(X616:X618)-SUM(X620:X624)-SUM(X626:X640)</f>
        <v>248.36419354838708</v>
      </c>
      <c r="Y619" s="1965">
        <f>Y641-SUM(Y616:Y618)-SUM(Y620:Y624)-SUM(Y626:Y640)</f>
        <v>328.2731451612903</v>
      </c>
      <c r="Z619" s="1967">
        <v>0</v>
      </c>
      <c r="AA619" s="1965">
        <v>0</v>
      </c>
      <c r="AB619" s="1965">
        <v>0</v>
      </c>
      <c r="AC619" s="1965">
        <v>0</v>
      </c>
      <c r="AD619" s="1965">
        <v>0</v>
      </c>
      <c r="AE619" s="1965">
        <v>0</v>
      </c>
      <c r="AF619" s="1965">
        <v>0</v>
      </c>
      <c r="AG619" s="1965">
        <v>0</v>
      </c>
      <c r="AH619" s="1293"/>
      <c r="AI619" s="1293"/>
      <c r="AJ619" s="1293"/>
      <c r="AK619" s="1293"/>
      <c r="AL619" s="1293"/>
      <c r="AM619" s="1293"/>
      <c r="AN619" s="1293"/>
      <c r="AO619" s="1293"/>
      <c r="AP619" s="1293"/>
      <c r="AQ619" s="1293"/>
      <c r="AR619" s="1293"/>
      <c r="AS619" s="1293"/>
    </row>
    <row r="620" spans="1:45" ht="15.75">
      <c r="A620" s="1293" t="str">
        <f t="shared" ref="A620:A640" si="375">A592</f>
        <v>8.00% notes (El Sal)</v>
      </c>
      <c r="B620" s="1293"/>
      <c r="C620" s="1293"/>
      <c r="D620" s="1293"/>
      <c r="E620" s="1293"/>
      <c r="F620" s="1293"/>
      <c r="G620" s="1965"/>
      <c r="H620" s="1965"/>
      <c r="I620" s="1965"/>
      <c r="J620" s="1965"/>
      <c r="K620" s="1965"/>
      <c r="L620" s="1965"/>
      <c r="M620" s="1965"/>
      <c r="N620" s="1965"/>
      <c r="O620" s="1965"/>
      <c r="P620" s="1965"/>
      <c r="Q620" s="1966">
        <v>139</v>
      </c>
      <c r="R620" s="1966">
        <v>304</v>
      </c>
      <c r="S620" s="1965"/>
      <c r="T620" s="1293"/>
      <c r="U620" s="1293"/>
      <c r="V620" s="1293"/>
      <c r="W620" s="1293"/>
      <c r="X620" s="1293"/>
      <c r="Y620" s="1293"/>
      <c r="Z620" s="1293"/>
      <c r="AA620" s="1293"/>
      <c r="AB620" s="1293"/>
      <c r="AC620" s="1293"/>
      <c r="AD620" s="1293"/>
      <c r="AE620" s="1293"/>
      <c r="AF620" s="1293"/>
      <c r="AG620" s="1293"/>
      <c r="AH620" s="1293"/>
      <c r="AI620" s="1293"/>
      <c r="AJ620" s="1293"/>
      <c r="AK620" s="1293"/>
      <c r="AL620" s="1293"/>
      <c r="AM620" s="1293"/>
      <c r="AN620" s="1293"/>
      <c r="AO620" s="1293"/>
      <c r="AP620" s="1293"/>
      <c r="AQ620" s="1293"/>
      <c r="AR620" s="1293"/>
      <c r="AS620" s="1293"/>
    </row>
    <row r="621" spans="1:45" ht="15.75">
      <c r="A621" s="1293" t="str">
        <f t="shared" si="375"/>
        <v>Towers lease liability</v>
      </c>
      <c r="B621" s="1293"/>
      <c r="C621" s="1293"/>
      <c r="D621" s="1293"/>
      <c r="E621" s="1293"/>
      <c r="F621" s="1293"/>
      <c r="G621" s="1965"/>
      <c r="H621" s="1965"/>
      <c r="I621" s="1965"/>
      <c r="J621" s="1965"/>
      <c r="K621" s="1965"/>
      <c r="L621" s="1965"/>
      <c r="M621" s="1965"/>
      <c r="N621" s="1965"/>
      <c r="O621" s="1965"/>
      <c r="P621" s="1965"/>
      <c r="Q621" s="1965"/>
      <c r="R621" s="1965"/>
      <c r="S621" s="1965"/>
      <c r="T621" s="1965"/>
      <c r="U621" s="1293"/>
      <c r="V621" s="1293"/>
      <c r="W621" s="1293"/>
      <c r="X621" s="1293"/>
      <c r="Y621" s="1293"/>
      <c r="Z621" s="1293"/>
      <c r="AA621" s="1293"/>
      <c r="AB621" s="1293"/>
      <c r="AC621" s="1293"/>
      <c r="AD621" s="1293"/>
      <c r="AE621" s="1293"/>
      <c r="AF621" s="1293"/>
      <c r="AG621" s="1293"/>
      <c r="AH621" s="1293"/>
      <c r="AI621" s="1293"/>
      <c r="AJ621" s="1293"/>
      <c r="AK621" s="1293"/>
      <c r="AL621" s="1293"/>
      <c r="AM621" s="1293"/>
      <c r="AN621" s="1293"/>
      <c r="AO621" s="1293"/>
      <c r="AP621" s="1293"/>
      <c r="AQ621" s="1293"/>
      <c r="AR621" s="1293"/>
      <c r="AS621" s="1293"/>
    </row>
    <row r="622" spans="1:45" ht="15.75">
      <c r="A622" s="1293" t="str">
        <f t="shared" si="375"/>
        <v>SEK1.75bn floating</v>
      </c>
      <c r="B622" s="1293"/>
      <c r="C622" s="1293"/>
      <c r="D622" s="1293"/>
      <c r="E622" s="1293"/>
      <c r="F622" s="1293"/>
      <c r="G622" s="1965"/>
      <c r="H622" s="1965"/>
      <c r="I622" s="1965"/>
      <c r="J622" s="1965"/>
      <c r="K622" s="1965"/>
      <c r="L622" s="1965"/>
      <c r="M622" s="1965"/>
      <c r="N622" s="1965"/>
      <c r="O622" s="1965"/>
      <c r="P622" s="1965"/>
      <c r="Q622" s="1965"/>
      <c r="R622" s="1965"/>
      <c r="S622" s="1966">
        <v>226</v>
      </c>
      <c r="T622" s="1965"/>
      <c r="U622" s="1965"/>
      <c r="V622" s="1965"/>
      <c r="W622" s="1965"/>
      <c r="X622" s="1965"/>
      <c r="Y622" s="1965"/>
      <c r="Z622" s="1965"/>
      <c r="AA622" s="1965"/>
      <c r="AB622" s="1965"/>
      <c r="AC622" s="1965"/>
      <c r="AD622" s="1965"/>
      <c r="AE622" s="1965"/>
      <c r="AF622" s="1965"/>
      <c r="AG622" s="1965"/>
      <c r="AH622" s="1293"/>
      <c r="AI622" s="1293"/>
      <c r="AJ622" s="1293"/>
      <c r="AK622" s="1293"/>
      <c r="AL622" s="1293"/>
      <c r="AM622" s="1293"/>
      <c r="AN622" s="1293"/>
      <c r="AO622" s="1293"/>
      <c r="AP622" s="1293"/>
      <c r="AQ622" s="1293"/>
      <c r="AR622" s="1293"/>
      <c r="AS622" s="1293"/>
    </row>
    <row r="623" spans="1:45" ht="15.75">
      <c r="A623" s="1293" t="str">
        <f t="shared" si="375"/>
        <v>SEK0.25bn 5.125%</v>
      </c>
      <c r="B623" s="1293"/>
      <c r="C623" s="1293"/>
      <c r="D623" s="1293"/>
      <c r="E623" s="1293"/>
      <c r="F623" s="1293"/>
      <c r="G623" s="1965"/>
      <c r="H623" s="1965"/>
      <c r="I623" s="1965"/>
      <c r="J623" s="1965"/>
      <c r="K623" s="1965"/>
      <c r="L623" s="1965"/>
      <c r="M623" s="1965"/>
      <c r="N623" s="1965"/>
      <c r="O623" s="1965"/>
      <c r="P623" s="1965"/>
      <c r="Q623" s="1965"/>
      <c r="R623" s="1965"/>
      <c r="S623" s="1966">
        <v>30</v>
      </c>
      <c r="T623" s="1965"/>
      <c r="U623" s="1965"/>
      <c r="V623" s="1965"/>
      <c r="W623" s="1965"/>
      <c r="X623" s="1965"/>
      <c r="Y623" s="1965"/>
      <c r="Z623" s="1965"/>
      <c r="AA623" s="1965"/>
      <c r="AB623" s="1965"/>
      <c r="AC623" s="1965"/>
      <c r="AD623" s="1965"/>
      <c r="AE623" s="1965"/>
      <c r="AF623" s="1965"/>
      <c r="AG623" s="1965"/>
      <c r="AH623" s="1293"/>
      <c r="AI623" s="1293"/>
      <c r="AJ623" s="1293"/>
      <c r="AK623" s="1293"/>
      <c r="AL623" s="1293"/>
      <c r="AM623" s="1293"/>
      <c r="AN623" s="1293"/>
      <c r="AO623" s="1293"/>
      <c r="AP623" s="1293"/>
      <c r="AQ623" s="1293"/>
      <c r="AR623" s="1293"/>
      <c r="AS623" s="1293"/>
    </row>
    <row r="624" spans="1:45" ht="15.75">
      <c r="A624" s="1293" t="str">
        <f t="shared" si="375"/>
        <v>Bolivia 4.75% (BOL)</v>
      </c>
      <c r="B624" s="1293"/>
      <c r="C624" s="1293"/>
      <c r="D624" s="1293"/>
      <c r="E624" s="1293"/>
      <c r="F624" s="1293"/>
      <c r="G624" s="1965"/>
      <c r="H624" s="1965"/>
      <c r="I624" s="1965"/>
      <c r="J624" s="1965"/>
      <c r="K624" s="1965"/>
      <c r="L624" s="1965"/>
      <c r="M624" s="1965"/>
      <c r="N624" s="1965"/>
      <c r="O624" s="1965"/>
      <c r="P624" s="1965"/>
      <c r="Q624" s="1965"/>
      <c r="R624" s="1966">
        <v>25</v>
      </c>
      <c r="S624" s="1966">
        <v>25</v>
      </c>
      <c r="T624" s="1966">
        <v>25</v>
      </c>
      <c r="U624" s="1966">
        <v>25</v>
      </c>
      <c r="V624" s="1966">
        <v>25</v>
      </c>
      <c r="W624" s="1966">
        <v>25</v>
      </c>
      <c r="X624" s="1966">
        <v>25</v>
      </c>
      <c r="Y624" s="1966">
        <v>25</v>
      </c>
      <c r="Z624" s="1966">
        <v>25</v>
      </c>
      <c r="AA624" s="1966">
        <v>25</v>
      </c>
      <c r="AB624" s="1966">
        <v>25</v>
      </c>
      <c r="AC624" s="1966">
        <v>25</v>
      </c>
      <c r="AD624" s="1966">
        <v>25</v>
      </c>
      <c r="AE624" s="1966">
        <v>25</v>
      </c>
      <c r="AF624" s="1966">
        <v>25</v>
      </c>
      <c r="AG624" s="1966">
        <v>25</v>
      </c>
      <c r="AH624" s="1293"/>
      <c r="AI624" s="1293"/>
      <c r="AJ624" s="1293"/>
      <c r="AK624" s="1293"/>
      <c r="AL624" s="1293"/>
      <c r="AM624" s="1293"/>
      <c r="AN624" s="1293"/>
      <c r="AO624" s="1293"/>
      <c r="AP624" s="1293"/>
      <c r="AQ624" s="1293"/>
      <c r="AR624" s="1293"/>
      <c r="AS624" s="1293"/>
    </row>
    <row r="625" spans="1:45" ht="15.75">
      <c r="A625" s="1293" t="str">
        <f t="shared" si="375"/>
        <v>Paraguay 6.75% 2022</v>
      </c>
      <c r="B625" s="1293"/>
      <c r="C625" s="1293"/>
      <c r="D625" s="1293"/>
      <c r="E625" s="1293"/>
      <c r="F625" s="1293"/>
      <c r="G625" s="1965"/>
      <c r="H625" s="1965"/>
      <c r="I625" s="1965"/>
      <c r="J625" s="1965"/>
      <c r="K625" s="1965"/>
      <c r="L625" s="1965"/>
      <c r="M625" s="1965"/>
      <c r="N625" s="1965"/>
      <c r="O625" s="1965"/>
      <c r="P625" s="1965"/>
      <c r="Q625" s="1965"/>
      <c r="R625" s="1965"/>
      <c r="S625" s="1965"/>
      <c r="T625" s="1965"/>
      <c r="U625" s="1965"/>
      <c r="V625" s="1966">
        <v>297</v>
      </c>
      <c r="W625" s="1965"/>
      <c r="X625" s="1965"/>
      <c r="Y625" s="1965"/>
      <c r="Z625" s="1965"/>
      <c r="AA625" s="1965"/>
      <c r="AB625" s="1965"/>
      <c r="AC625" s="1965"/>
      <c r="AD625" s="1965"/>
      <c r="AE625" s="1965"/>
      <c r="AF625" s="1965"/>
      <c r="AG625" s="1965"/>
      <c r="AH625" s="1293"/>
      <c r="AI625" s="1293"/>
      <c r="AJ625" s="1293"/>
      <c r="AK625" s="1293"/>
      <c r="AL625" s="1293"/>
      <c r="AM625" s="1293"/>
      <c r="AN625" s="1293"/>
      <c r="AO625" s="1293"/>
      <c r="AP625" s="1293"/>
      <c r="AQ625" s="1293"/>
      <c r="AR625" s="1293"/>
      <c r="AS625" s="1293"/>
    </row>
    <row r="626" spans="1:45" ht="15.75">
      <c r="A626" s="1293" t="str">
        <f t="shared" si="375"/>
        <v>$ 4.75% bond</v>
      </c>
      <c r="B626" s="1293"/>
      <c r="C626" s="1293"/>
      <c r="D626" s="1293"/>
      <c r="E626" s="1293"/>
      <c r="F626" s="1293"/>
      <c r="G626" s="1965"/>
      <c r="H626" s="1965"/>
      <c r="I626" s="1965"/>
      <c r="J626" s="1965"/>
      <c r="K626" s="1965"/>
      <c r="L626" s="1965"/>
      <c r="M626" s="1965"/>
      <c r="N626" s="1965"/>
      <c r="O626" s="1965"/>
      <c r="P626" s="1965"/>
      <c r="Q626" s="1965"/>
      <c r="R626" s="1965"/>
      <c r="S626" s="1965"/>
      <c r="T626" s="1966">
        <f>S570</f>
        <v>333</v>
      </c>
      <c r="U626" s="1965"/>
      <c r="V626" s="1965"/>
      <c r="W626" s="1965"/>
      <c r="X626" s="1965"/>
      <c r="Y626" s="1965"/>
      <c r="Z626" s="1965"/>
      <c r="AA626" s="1965"/>
      <c r="AB626" s="1965"/>
      <c r="AC626" s="1965"/>
      <c r="AD626" s="1965"/>
      <c r="AE626" s="1965"/>
      <c r="AF626" s="1965"/>
      <c r="AG626" s="1965"/>
      <c r="AH626" s="1293"/>
      <c r="AI626" s="1293"/>
      <c r="AJ626" s="1293"/>
      <c r="AK626" s="1293"/>
      <c r="AL626" s="1293"/>
      <c r="AM626" s="1293"/>
      <c r="AN626" s="1293"/>
      <c r="AO626" s="1293"/>
      <c r="AP626" s="1293"/>
      <c r="AQ626" s="1293"/>
      <c r="AR626" s="1293"/>
      <c r="AS626" s="1293"/>
    </row>
    <row r="627" spans="1:45" ht="15.75">
      <c r="A627" s="1293" t="str">
        <f t="shared" si="375"/>
        <v>$ 6.625% notes</v>
      </c>
      <c r="B627" s="1293"/>
      <c r="C627" s="1293"/>
      <c r="D627" s="1293"/>
      <c r="E627" s="1293"/>
      <c r="F627" s="1293"/>
      <c r="G627" s="1965"/>
      <c r="H627" s="1965"/>
      <c r="I627" s="1965"/>
      <c r="J627" s="1965"/>
      <c r="K627" s="1965"/>
      <c r="L627" s="1965"/>
      <c r="M627" s="1965"/>
      <c r="N627" s="1965"/>
      <c r="O627" s="1965"/>
      <c r="P627" s="1965"/>
      <c r="Q627" s="1965"/>
      <c r="R627" s="1965"/>
      <c r="S627" s="1965"/>
      <c r="T627" s="1966">
        <f>S571</f>
        <v>652</v>
      </c>
      <c r="U627" s="1965"/>
      <c r="V627" s="1965"/>
      <c r="W627" s="1965"/>
      <c r="X627" s="1965"/>
      <c r="Y627" s="1965"/>
      <c r="Z627" s="1965"/>
      <c r="AA627" s="1965"/>
      <c r="AB627" s="1965"/>
      <c r="AC627" s="1965"/>
      <c r="AD627" s="1965"/>
      <c r="AE627" s="1965"/>
      <c r="AF627" s="1965"/>
      <c r="AG627" s="1965"/>
      <c r="AH627" s="1293"/>
      <c r="AI627" s="1293"/>
      <c r="AJ627" s="1293"/>
      <c r="AK627" s="1293"/>
      <c r="AL627" s="1293"/>
      <c r="AM627" s="1293"/>
      <c r="AN627" s="1293"/>
      <c r="AO627" s="1293"/>
      <c r="AP627" s="1293"/>
      <c r="AQ627" s="1293"/>
      <c r="AR627" s="1293"/>
      <c r="AS627" s="1293"/>
    </row>
    <row r="628" spans="1:45" ht="15.75">
      <c r="A628" s="1293" t="str">
        <f t="shared" si="375"/>
        <v>UNE bonds, 7.33%-8.76% (COP)</v>
      </c>
      <c r="B628" s="1293"/>
      <c r="C628" s="1293"/>
      <c r="D628" s="1293"/>
      <c r="E628" s="1293"/>
      <c r="F628" s="1293"/>
      <c r="G628" s="1965"/>
      <c r="H628" s="1965"/>
      <c r="I628" s="1965"/>
      <c r="J628" s="1965"/>
      <c r="K628" s="1965"/>
      <c r="L628" s="1965"/>
      <c r="M628" s="1965"/>
      <c r="N628" s="1965"/>
      <c r="O628" s="1965"/>
      <c r="P628" s="1965"/>
      <c r="Q628" s="1965"/>
      <c r="R628" s="1966">
        <f>-Colombia!L37*Q572</f>
        <v>63.508976377952742</v>
      </c>
      <c r="S628" s="1966">
        <f>-Colombia!M37*R572</f>
        <v>-5.5384615384615561</v>
      </c>
      <c r="T628" s="1966">
        <f>-Colombia!N37*S572</f>
        <v>-6.3970539002343374</v>
      </c>
      <c r="U628" s="1966">
        <f>-Colombia!O37*T572</f>
        <v>2.618905472636829</v>
      </c>
      <c r="V628" s="1966">
        <f>-Colombia!P37*U572</f>
        <v>20.916793660469381</v>
      </c>
      <c r="W628" s="1966">
        <f>-Colombia!Q37*V572</f>
        <v>36.342561178240295</v>
      </c>
      <c r="X628" s="1966">
        <f>-Colombia!R37*W572</f>
        <v>-8.3641935483870675</v>
      </c>
      <c r="Y628" s="1966">
        <f>-Colombia!S37*X572</f>
        <v>-6.273145161290322</v>
      </c>
      <c r="Z628" s="1966">
        <f>-Colombia!T37*Y572</f>
        <v>-6.4613395161290317</v>
      </c>
      <c r="AA628" s="1966">
        <f>-Colombia!U37*Z572</f>
        <v>-6.6551797016129033</v>
      </c>
      <c r="AB628" s="1966">
        <f>-Colombia!V37*AA572</f>
        <v>-6.8548350926612898</v>
      </c>
      <c r="AC628" s="1966">
        <f>-Colombia!AG37*AB572</f>
        <v>0</v>
      </c>
      <c r="AD628" s="1966">
        <f>-Colombia!AH37*AC572</f>
        <v>0</v>
      </c>
      <c r="AE628" s="1966">
        <f>-Colombia!AI37*AD572</f>
        <v>0</v>
      </c>
      <c r="AF628" s="1966">
        <f>-Colombia!AJ37*AE572</f>
        <v>0</v>
      </c>
      <c r="AG628" s="1966">
        <f>-Colombia!AK37*AF572</f>
        <v>0</v>
      </c>
      <c r="AH628" s="1293"/>
      <c r="AI628" s="1293"/>
      <c r="AJ628" s="1293"/>
      <c r="AK628" s="1293"/>
      <c r="AL628" s="1293"/>
      <c r="AM628" s="1293"/>
      <c r="AN628" s="1293"/>
      <c r="AO628" s="1293"/>
      <c r="AP628" s="1293"/>
      <c r="AQ628" s="1293"/>
      <c r="AR628" s="1293"/>
      <c r="AS628" s="1293"/>
    </row>
    <row r="629" spans="1:45" ht="15.75">
      <c r="A629" s="1293" t="str">
        <f t="shared" si="375"/>
        <v>Guatemala $ 6.875%</v>
      </c>
      <c r="B629" s="1293"/>
      <c r="C629" s="1293"/>
      <c r="D629" s="1293"/>
      <c r="E629" s="1293"/>
      <c r="F629" s="1293"/>
      <c r="G629" s="1965"/>
      <c r="H629" s="1965"/>
      <c r="I629" s="1965"/>
      <c r="J629" s="1965"/>
      <c r="K629" s="1965"/>
      <c r="L629" s="1965"/>
      <c r="M629" s="1965"/>
      <c r="N629" s="1965"/>
      <c r="O629" s="1965"/>
      <c r="P629" s="1965"/>
      <c r="Q629" s="1965"/>
      <c r="R629" s="1965"/>
      <c r="S629" s="1965"/>
      <c r="T629" s="1965"/>
      <c r="U629" s="1965"/>
      <c r="V629" s="1965"/>
      <c r="W629" s="1965"/>
      <c r="X629" s="1965"/>
      <c r="Y629" s="1965"/>
      <c r="Z629" s="1965"/>
      <c r="AA629" s="1966">
        <f>Z573</f>
        <v>800</v>
      </c>
      <c r="AB629" s="1965"/>
      <c r="AC629" s="1965"/>
      <c r="AD629" s="1965"/>
      <c r="AE629" s="1965"/>
      <c r="AF629" s="1965"/>
      <c r="AG629" s="1965"/>
      <c r="AH629" s="1293"/>
      <c r="AI629" s="1293"/>
      <c r="AJ629" s="1293"/>
      <c r="AK629" s="1293"/>
      <c r="AL629" s="1293"/>
      <c r="AM629" s="1293"/>
      <c r="AN629" s="1293"/>
      <c r="AO629" s="1293"/>
      <c r="AP629" s="1293"/>
      <c r="AQ629" s="1293"/>
      <c r="AR629" s="1293"/>
      <c r="AS629" s="1293"/>
    </row>
    <row r="630" spans="1:45" ht="15.75">
      <c r="A630" s="1293" t="str">
        <f t="shared" si="375"/>
        <v>$500m 6.0% (Lux), 2025</v>
      </c>
      <c r="B630" s="1293"/>
      <c r="C630" s="1293"/>
      <c r="D630" s="1293"/>
      <c r="E630" s="1293"/>
      <c r="F630" s="1293"/>
      <c r="G630" s="1965"/>
      <c r="H630" s="1965"/>
      <c r="I630" s="1965"/>
      <c r="J630" s="1965"/>
      <c r="K630" s="1965"/>
      <c r="L630" s="1965"/>
      <c r="M630" s="1965"/>
      <c r="N630" s="1965"/>
      <c r="O630" s="1965"/>
      <c r="P630" s="1965"/>
      <c r="Q630" s="1965"/>
      <c r="R630" s="1965"/>
      <c r="S630" s="1965"/>
      <c r="T630" s="1965"/>
      <c r="U630" s="1965"/>
      <c r="V630" s="1965"/>
      <c r="W630" s="1965"/>
      <c r="X630" s="1965"/>
      <c r="Y630" s="1965"/>
      <c r="Z630" s="1965"/>
      <c r="AA630" s="1965"/>
      <c r="AB630" s="1966">
        <f t="shared" ref="AB630:AG630" si="376">AA574</f>
        <v>491</v>
      </c>
      <c r="AC630" s="1966">
        <f t="shared" si="376"/>
        <v>0</v>
      </c>
      <c r="AD630" s="1966">
        <f t="shared" si="376"/>
        <v>0</v>
      </c>
      <c r="AE630" s="1966">
        <f t="shared" si="376"/>
        <v>0</v>
      </c>
      <c r="AF630" s="1966">
        <f t="shared" si="376"/>
        <v>0</v>
      </c>
      <c r="AG630" s="1966">
        <f t="shared" si="376"/>
        <v>0</v>
      </c>
      <c r="AH630" s="1293"/>
      <c r="AI630" s="1293"/>
      <c r="AJ630" s="1293"/>
      <c r="AK630" s="1293"/>
      <c r="AL630" s="1293"/>
      <c r="AM630" s="1293"/>
      <c r="AN630" s="1293"/>
      <c r="AO630" s="1293"/>
      <c r="AP630" s="1293"/>
      <c r="AQ630" s="1293"/>
      <c r="AR630" s="1293"/>
      <c r="AS630" s="1293"/>
    </row>
    <row r="631" spans="1:45" ht="15.75">
      <c r="A631" s="1293" t="str">
        <f t="shared" si="375"/>
        <v>Guatemala facility</v>
      </c>
      <c r="B631" s="1293"/>
      <c r="C631" s="1293"/>
      <c r="D631" s="1293"/>
      <c r="E631" s="1293"/>
      <c r="F631" s="1293"/>
      <c r="G631" s="1965"/>
      <c r="H631" s="1965"/>
      <c r="I631" s="1965"/>
      <c r="J631" s="1965"/>
      <c r="K631" s="1965"/>
      <c r="L631" s="1965"/>
      <c r="M631" s="1965"/>
      <c r="N631" s="1965"/>
      <c r="O631" s="1965"/>
      <c r="P631" s="1965"/>
      <c r="Q631" s="1965"/>
      <c r="R631" s="1965"/>
      <c r="S631" s="1965"/>
      <c r="T631" s="1965"/>
      <c r="U631" s="1965"/>
      <c r="V631" s="1965"/>
      <c r="W631" s="1965"/>
      <c r="X631" s="1965"/>
      <c r="Y631" s="1965"/>
      <c r="Z631" s="1965"/>
      <c r="AA631" s="1965"/>
      <c r="AB631" s="1965"/>
      <c r="AC631" s="1965"/>
      <c r="AD631" s="1965"/>
      <c r="AE631" s="1965"/>
      <c r="AF631" s="1965"/>
      <c r="AG631" s="1965"/>
      <c r="AH631" s="1293"/>
      <c r="AI631" s="1293"/>
      <c r="AJ631" s="1293"/>
      <c r="AK631" s="1293"/>
      <c r="AL631" s="1293"/>
      <c r="AM631" s="1293"/>
      <c r="AN631" s="1293"/>
      <c r="AO631" s="1293"/>
      <c r="AP631" s="1293"/>
      <c r="AQ631" s="1293"/>
      <c r="AR631" s="1293"/>
      <c r="AS631" s="1293"/>
    </row>
    <row r="632" spans="1:45" ht="15.75">
      <c r="A632" s="1293" t="str">
        <f t="shared" si="375"/>
        <v>Lux $500m 5.125% 2028</v>
      </c>
      <c r="B632" s="1293"/>
      <c r="C632" s="1293"/>
      <c r="D632" s="1293"/>
      <c r="E632" s="1293"/>
      <c r="F632" s="1293"/>
      <c r="G632" s="1965"/>
      <c r="H632" s="1965"/>
      <c r="I632" s="1965"/>
      <c r="J632" s="1965"/>
      <c r="K632" s="1965"/>
      <c r="L632" s="1965"/>
      <c r="M632" s="1965"/>
      <c r="N632" s="1965"/>
      <c r="O632" s="1965"/>
      <c r="P632" s="1965"/>
      <c r="Q632" s="1965"/>
      <c r="R632" s="1965"/>
      <c r="S632" s="1965"/>
      <c r="T632" s="1965"/>
      <c r="U632" s="1965"/>
      <c r="V632" s="1965"/>
      <c r="W632" s="1965"/>
      <c r="X632" s="1965"/>
      <c r="Y632" s="1965"/>
      <c r="Z632" s="1965"/>
      <c r="AA632" s="1965"/>
      <c r="AB632" s="1965"/>
      <c r="AC632" s="1965"/>
      <c r="AD632" s="1965"/>
      <c r="AE632" s="1965"/>
      <c r="AF632" s="1965"/>
      <c r="AG632" s="1965"/>
      <c r="AH632" s="1293"/>
      <c r="AI632" s="1293"/>
      <c r="AJ632" s="1293"/>
      <c r="AK632" s="1293"/>
      <c r="AL632" s="1293"/>
      <c r="AM632" s="1293"/>
      <c r="AN632" s="1293"/>
      <c r="AO632" s="1293"/>
      <c r="AP632" s="1293"/>
      <c r="AQ632" s="1293"/>
      <c r="AR632" s="1293"/>
      <c r="AS632" s="1293"/>
    </row>
    <row r="633" spans="1:45" ht="15.75">
      <c r="A633" s="1293" t="str">
        <f t="shared" si="375"/>
        <v>$500m 6.625% (Lux), 2026</v>
      </c>
      <c r="B633" s="1293"/>
      <c r="C633" s="1293"/>
      <c r="D633" s="1293"/>
      <c r="E633" s="1293"/>
      <c r="F633" s="1293"/>
      <c r="G633" s="1965"/>
      <c r="H633" s="1965"/>
      <c r="I633" s="1965"/>
      <c r="J633" s="1965"/>
      <c r="K633" s="1965"/>
      <c r="L633" s="1965"/>
      <c r="M633" s="1965"/>
      <c r="N633" s="1965"/>
      <c r="O633" s="1965"/>
      <c r="P633" s="1965"/>
      <c r="Q633" s="1965"/>
      <c r="R633" s="1965"/>
      <c r="S633" s="1965"/>
      <c r="T633" s="1965"/>
      <c r="U633" s="1965"/>
      <c r="V633" s="1965"/>
      <c r="W633" s="1965"/>
      <c r="X633" s="1965"/>
      <c r="Y633" s="1965"/>
      <c r="Z633" s="1965"/>
      <c r="AA633" s="1965"/>
      <c r="AB633" s="1965"/>
      <c r="AC633" s="1965"/>
      <c r="AD633" s="1965"/>
      <c r="AE633" s="1965"/>
      <c r="AF633" s="1965"/>
      <c r="AG633" s="1965"/>
      <c r="AH633" s="1293"/>
      <c r="AI633" s="1293"/>
      <c r="AJ633" s="1293"/>
      <c r="AK633" s="1293"/>
      <c r="AL633" s="1293"/>
      <c r="AM633" s="1293"/>
      <c r="AN633" s="1293"/>
      <c r="AO633" s="1293"/>
      <c r="AP633" s="1293"/>
      <c r="AQ633" s="1293"/>
      <c r="AR633" s="1293"/>
      <c r="AS633" s="1293"/>
    </row>
    <row r="634" spans="1:45" ht="15.75">
      <c r="A634" s="1293" t="str">
        <f t="shared" si="375"/>
        <v>Cable Onda 5.75%, 2025</v>
      </c>
      <c r="B634" s="1293"/>
      <c r="C634" s="1293"/>
      <c r="D634" s="1293"/>
      <c r="E634" s="1293"/>
      <c r="F634" s="1293"/>
      <c r="G634" s="1965"/>
      <c r="H634" s="1965"/>
      <c r="I634" s="1965"/>
      <c r="J634" s="1965"/>
      <c r="K634" s="1965"/>
      <c r="L634" s="1965"/>
      <c r="M634" s="1965"/>
      <c r="N634" s="1965"/>
      <c r="O634" s="1965"/>
      <c r="P634" s="1965"/>
      <c r="Q634" s="1965"/>
      <c r="R634" s="1965"/>
      <c r="S634" s="1965"/>
      <c r="T634" s="1965"/>
      <c r="U634" s="1965"/>
      <c r="V634" s="1965"/>
      <c r="W634" s="1965"/>
      <c r="X634" s="1965"/>
      <c r="Y634" s="1965"/>
      <c r="Z634" s="1965"/>
      <c r="AA634" s="1965"/>
      <c r="AB634" s="1965"/>
      <c r="AC634" s="1965"/>
      <c r="AD634" s="1965"/>
      <c r="AE634" s="1965"/>
      <c r="AF634" s="1965"/>
      <c r="AG634" s="1965"/>
      <c r="AH634" s="1293"/>
      <c r="AI634" s="1293"/>
      <c r="AJ634" s="1293"/>
      <c r="AK634" s="1293"/>
      <c r="AL634" s="1293"/>
      <c r="AM634" s="1293"/>
      <c r="AN634" s="1293"/>
      <c r="AO634" s="1293"/>
      <c r="AP634" s="1293"/>
      <c r="AQ634" s="1293"/>
      <c r="AR634" s="1293"/>
      <c r="AS634" s="1293"/>
    </row>
    <row r="635" spans="1:45" ht="15.75">
      <c r="A635" s="1293" t="str">
        <f t="shared" si="375"/>
        <v>IFRS 16 leases</v>
      </c>
      <c r="B635" s="1293"/>
      <c r="C635" s="1293"/>
      <c r="D635" s="1293"/>
      <c r="E635" s="1293"/>
      <c r="F635" s="1293"/>
      <c r="G635" s="1965"/>
      <c r="H635" s="1965"/>
      <c r="I635" s="1965"/>
      <c r="J635" s="1965"/>
      <c r="K635" s="1965"/>
      <c r="L635" s="1965"/>
      <c r="M635" s="1965"/>
      <c r="N635" s="1965"/>
      <c r="O635" s="1965"/>
      <c r="P635" s="1965"/>
      <c r="Q635" s="1965"/>
      <c r="R635" s="1965"/>
      <c r="S635" s="1965"/>
      <c r="T635" s="1965"/>
      <c r="U635" s="1965"/>
      <c r="V635" s="1965"/>
      <c r="W635" s="1965"/>
      <c r="X635" s="1965"/>
      <c r="Y635" s="1965"/>
      <c r="Z635" s="1965"/>
      <c r="AA635" s="1965"/>
      <c r="AB635" s="1965"/>
      <c r="AC635" s="1965"/>
      <c r="AD635" s="1965"/>
      <c r="AE635" s="1965"/>
      <c r="AF635" s="1965"/>
      <c r="AG635" s="1965"/>
      <c r="AH635" s="1293"/>
      <c r="AI635" s="1293"/>
      <c r="AJ635" s="1293"/>
      <c r="AK635" s="1293"/>
      <c r="AL635" s="1293"/>
      <c r="AM635" s="1293"/>
      <c r="AN635" s="1293"/>
      <c r="AO635" s="1293"/>
      <c r="AP635" s="1293"/>
      <c r="AQ635" s="1293"/>
      <c r="AR635" s="1293"/>
      <c r="AS635" s="1293"/>
    </row>
    <row r="636" spans="1:45" ht="15.75">
      <c r="A636" s="1293" t="str">
        <f t="shared" si="375"/>
        <v>Paraguay 5.875% 2027</v>
      </c>
      <c r="B636" s="1293"/>
      <c r="C636" s="1293"/>
      <c r="D636" s="1293"/>
      <c r="E636" s="1293"/>
      <c r="F636" s="1293"/>
      <c r="G636" s="1965"/>
      <c r="H636" s="1965"/>
      <c r="I636" s="1965"/>
      <c r="J636" s="1965"/>
      <c r="K636" s="1965"/>
      <c r="L636" s="1965"/>
      <c r="M636" s="1965"/>
      <c r="N636" s="1965"/>
      <c r="O636" s="1965"/>
      <c r="P636" s="1965"/>
      <c r="Q636" s="1965"/>
      <c r="R636" s="1965"/>
      <c r="S636" s="1965"/>
      <c r="T636" s="1965"/>
      <c r="U636" s="1965"/>
      <c r="V636" s="1965"/>
      <c r="W636" s="1965"/>
      <c r="X636" s="1965"/>
      <c r="Y636" s="1965"/>
      <c r="Z636" s="1965"/>
      <c r="AA636" s="1965"/>
      <c r="AB636" s="1965"/>
      <c r="AC636" s="1965"/>
      <c r="AD636" s="1965"/>
      <c r="AE636" s="1965"/>
      <c r="AF636" s="1965"/>
      <c r="AG636" s="1965"/>
      <c r="AH636" s="1293"/>
      <c r="AI636" s="1293"/>
      <c r="AJ636" s="1293"/>
      <c r="AK636" s="1293"/>
      <c r="AL636" s="1293"/>
      <c r="AM636" s="1293"/>
      <c r="AN636" s="1293"/>
      <c r="AO636" s="1293"/>
      <c r="AP636" s="1293"/>
      <c r="AQ636" s="1293"/>
      <c r="AR636" s="1293"/>
      <c r="AS636" s="1293"/>
    </row>
    <row r="637" spans="1:45" ht="15.75">
      <c r="A637" s="1293" t="str">
        <f t="shared" si="375"/>
        <v>SEK2 bn sustainability, STIBOR + 2.35%</v>
      </c>
      <c r="B637" s="1293"/>
      <c r="C637" s="1293"/>
      <c r="D637" s="1293"/>
      <c r="E637" s="1293"/>
      <c r="F637" s="1293"/>
      <c r="G637" s="1965"/>
      <c r="H637" s="1965"/>
      <c r="I637" s="1965"/>
      <c r="J637" s="1965"/>
      <c r="K637" s="1965"/>
      <c r="L637" s="1965"/>
      <c r="M637" s="1965"/>
      <c r="N637" s="1965"/>
      <c r="O637" s="1965"/>
      <c r="P637" s="1965"/>
      <c r="Q637" s="1965"/>
      <c r="R637" s="1965"/>
      <c r="S637" s="1965"/>
      <c r="T637" s="1965"/>
      <c r="U637" s="1965"/>
      <c r="V637" s="1965"/>
      <c r="W637" s="1965"/>
      <c r="X637" s="1965"/>
      <c r="Y637" s="1965"/>
      <c r="Z637" s="1965"/>
      <c r="AA637" s="1966">
        <f>Z581</f>
        <v>202.42914979757083</v>
      </c>
      <c r="AB637" s="1965"/>
      <c r="AC637" s="1965"/>
      <c r="AD637" s="1965"/>
      <c r="AE637" s="1965"/>
      <c r="AF637" s="1965"/>
      <c r="AG637" s="1965"/>
      <c r="AH637" s="1293"/>
      <c r="AI637" s="1293"/>
      <c r="AJ637" s="1293"/>
      <c r="AK637" s="1293"/>
      <c r="AL637" s="1293"/>
      <c r="AM637" s="1293"/>
      <c r="AN637" s="1293"/>
      <c r="AO637" s="1293"/>
      <c r="AP637" s="1293"/>
      <c r="AQ637" s="1293"/>
      <c r="AR637" s="1293"/>
      <c r="AS637" s="1293"/>
    </row>
    <row r="638" spans="1:45" ht="15.75">
      <c r="A638" s="1293" t="str">
        <f t="shared" si="375"/>
        <v>$750m 6.25% (Lux), 2029</v>
      </c>
      <c r="B638" s="1293"/>
      <c r="C638" s="1293"/>
      <c r="D638" s="1293"/>
      <c r="E638" s="1293"/>
      <c r="F638" s="1293"/>
      <c r="G638" s="1965"/>
      <c r="H638" s="1965"/>
      <c r="I638" s="1965"/>
      <c r="J638" s="1965"/>
      <c r="K638" s="1965"/>
      <c r="L638" s="1965"/>
      <c r="M638" s="1965"/>
      <c r="N638" s="1965"/>
      <c r="O638" s="1965"/>
      <c r="P638" s="1965"/>
      <c r="Q638" s="1965"/>
      <c r="R638" s="1965"/>
      <c r="S638" s="1965"/>
      <c r="T638" s="1965"/>
      <c r="U638" s="1965"/>
      <c r="V638" s="1965"/>
      <c r="W638" s="1965"/>
      <c r="X638" s="1965"/>
      <c r="Y638" s="1965"/>
      <c r="Z638" s="1965"/>
      <c r="AA638" s="1965"/>
      <c r="AB638" s="1965"/>
      <c r="AC638" s="1965"/>
      <c r="AD638" s="1965"/>
      <c r="AE638" s="1965"/>
      <c r="AF638" s="1965"/>
      <c r="AG638" s="1965"/>
      <c r="AH638" s="1293"/>
      <c r="AI638" s="1293"/>
      <c r="AJ638" s="1293"/>
      <c r="AK638" s="1293"/>
      <c r="AL638" s="1293"/>
      <c r="AM638" s="1293"/>
      <c r="AN638" s="1293"/>
      <c r="AO638" s="1293"/>
      <c r="AP638" s="1293"/>
      <c r="AQ638" s="1293"/>
      <c r="AR638" s="1293"/>
      <c r="AS638" s="1293"/>
    </row>
    <row r="639" spans="1:45" ht="15.75">
      <c r="A639" s="1293" t="str">
        <f t="shared" si="375"/>
        <v>$600m Panama @ 4.5%</v>
      </c>
      <c r="B639" s="1293"/>
      <c r="C639" s="1293"/>
      <c r="D639" s="1293"/>
      <c r="E639" s="1293"/>
      <c r="F639" s="1293"/>
      <c r="G639" s="1965"/>
      <c r="H639" s="1965"/>
      <c r="I639" s="1965"/>
      <c r="J639" s="1965"/>
      <c r="K639" s="1965"/>
      <c r="L639" s="1965"/>
      <c r="M639" s="1965"/>
      <c r="N639" s="1965"/>
      <c r="O639" s="1965"/>
      <c r="P639" s="1965"/>
      <c r="Q639" s="1965"/>
      <c r="R639" s="1965"/>
      <c r="S639" s="1965"/>
      <c r="T639" s="1965"/>
      <c r="U639" s="1965"/>
      <c r="V639" s="1965"/>
      <c r="W639" s="1965"/>
      <c r="X639" s="1965"/>
      <c r="Y639" s="1965"/>
      <c r="Z639" s="1965"/>
      <c r="AA639" s="1965"/>
      <c r="AB639" s="1965"/>
      <c r="AC639" s="1965"/>
      <c r="AD639" s="1965"/>
      <c r="AE639" s="1965"/>
      <c r="AF639" s="1965"/>
      <c r="AG639" s="1965"/>
      <c r="AH639" s="1293"/>
      <c r="AI639" s="1293"/>
      <c r="AJ639" s="1293"/>
      <c r="AK639" s="1293"/>
      <c r="AL639" s="1293"/>
      <c r="AM639" s="1293"/>
      <c r="AN639" s="1293"/>
      <c r="AO639" s="1293"/>
      <c r="AP639" s="1293"/>
      <c r="AQ639" s="1293"/>
      <c r="AR639" s="1293"/>
      <c r="AS639" s="1293"/>
    </row>
    <row r="640" spans="1:45" ht="15.75">
      <c r="A640" s="1331" t="str">
        <f t="shared" si="375"/>
        <v>$1500 Guat funding</v>
      </c>
      <c r="B640" s="1331"/>
      <c r="C640" s="1331"/>
      <c r="D640" s="1331"/>
      <c r="E640" s="1331"/>
      <c r="F640" s="1331"/>
      <c r="G640" s="1968"/>
      <c r="H640" s="1968"/>
      <c r="I640" s="1968"/>
      <c r="J640" s="1968"/>
      <c r="K640" s="1968"/>
      <c r="L640" s="1968"/>
      <c r="M640" s="1968"/>
      <c r="N640" s="1968"/>
      <c r="O640" s="1968"/>
      <c r="P640" s="1968"/>
      <c r="Q640" s="1968"/>
      <c r="R640" s="1968"/>
      <c r="S640" s="1968"/>
      <c r="T640" s="1968"/>
      <c r="U640" s="1968"/>
      <c r="V640" s="1968"/>
      <c r="W640" s="1968"/>
      <c r="X640" s="1968"/>
      <c r="Y640" s="1968"/>
      <c r="Z640" s="1968"/>
      <c r="AA640" s="1968"/>
      <c r="AB640" s="1968"/>
      <c r="AC640" s="1968"/>
      <c r="AD640" s="1968"/>
      <c r="AE640" s="1968"/>
      <c r="AF640" s="1968"/>
      <c r="AG640" s="1968"/>
      <c r="AH640" s="1293"/>
      <c r="AI640" s="1293"/>
      <c r="AJ640" s="1293"/>
      <c r="AK640" s="1293"/>
      <c r="AL640" s="1293"/>
      <c r="AM640" s="1293"/>
      <c r="AN640" s="1293"/>
      <c r="AO640" s="1293"/>
      <c r="AP640" s="1293"/>
      <c r="AQ640" s="1293"/>
      <c r="AR640" s="1293"/>
      <c r="AS640" s="1293"/>
    </row>
    <row r="641" spans="1:45" ht="15.75">
      <c r="A641" s="1293" t="s">
        <v>2324</v>
      </c>
      <c r="B641" s="1293"/>
      <c r="C641" s="1293"/>
      <c r="D641" s="1293"/>
      <c r="E641" s="1293"/>
      <c r="F641" s="1293"/>
      <c r="G641" s="1965">
        <f t="shared" ref="G641:Q641" si="377">SUM(G616:G633)</f>
        <v>0</v>
      </c>
      <c r="H641" s="1965">
        <f t="shared" si="377"/>
        <v>0</v>
      </c>
      <c r="I641" s="1965">
        <f t="shared" si="377"/>
        <v>411.69899999999996</v>
      </c>
      <c r="J641" s="1965">
        <f t="shared" si="377"/>
        <v>45.8</v>
      </c>
      <c r="K641" s="1965">
        <f t="shared" si="377"/>
        <v>31.6</v>
      </c>
      <c r="L641" s="1965">
        <f t="shared" si="377"/>
        <v>0</v>
      </c>
      <c r="M641" s="1965">
        <f t="shared" si="377"/>
        <v>1017</v>
      </c>
      <c r="N641" s="1965">
        <f t="shared" si="377"/>
        <v>100</v>
      </c>
      <c r="O641" s="1965">
        <f t="shared" si="377"/>
        <v>580</v>
      </c>
      <c r="P641" s="1965">
        <f t="shared" si="377"/>
        <v>231</v>
      </c>
      <c r="Q641" s="1965">
        <f t="shared" si="377"/>
        <v>580</v>
      </c>
      <c r="R641" s="1966">
        <f>200+131+62</f>
        <v>393</v>
      </c>
      <c r="S641" s="1966">
        <v>200</v>
      </c>
      <c r="T641" s="1966">
        <v>1000</v>
      </c>
      <c r="U641" s="1966">
        <v>264</v>
      </c>
      <c r="V641" s="1966">
        <v>313</v>
      </c>
      <c r="W641" s="1966">
        <v>271</v>
      </c>
      <c r="X641" s="1966">
        <v>265</v>
      </c>
      <c r="Y641" s="1966">
        <v>347</v>
      </c>
      <c r="Z641" s="1966">
        <v>449</v>
      </c>
      <c r="AA641" s="1966">
        <v>1312</v>
      </c>
      <c r="AB641" s="1966">
        <v>705</v>
      </c>
      <c r="AC641" s="1966">
        <v>705</v>
      </c>
      <c r="AD641" s="1966">
        <v>705</v>
      </c>
      <c r="AE641" s="1966">
        <v>705</v>
      </c>
      <c r="AF641" s="1966">
        <v>705</v>
      </c>
      <c r="AG641" s="1966">
        <v>705</v>
      </c>
      <c r="AH641" s="1293"/>
      <c r="AI641" s="1293"/>
      <c r="AJ641" s="1293"/>
      <c r="AK641" s="1293"/>
      <c r="AL641" s="1293"/>
      <c r="AM641" s="1293"/>
      <c r="AN641" s="1293"/>
      <c r="AO641" s="1293"/>
      <c r="AP641" s="1293"/>
      <c r="AQ641" s="1293"/>
      <c r="AR641" s="1293"/>
      <c r="AS641" s="1293"/>
    </row>
    <row r="642" spans="1:45" ht="15.75">
      <c r="A642" s="1293"/>
      <c r="B642" s="1293"/>
      <c r="C642" s="1293"/>
      <c r="D642" s="1293"/>
      <c r="E642" s="1293"/>
      <c r="F642" s="1293"/>
      <c r="G642" s="1965"/>
      <c r="H642" s="1965"/>
      <c r="I642" s="1965"/>
      <c r="J642" s="1965"/>
      <c r="K642" s="1965"/>
      <c r="L642" s="1965"/>
      <c r="M642" s="1965"/>
      <c r="N642" s="1965"/>
      <c r="O642" s="1965"/>
      <c r="P642" s="1965"/>
      <c r="Q642" s="1965"/>
      <c r="R642" s="1965"/>
      <c r="S642" s="1965"/>
      <c r="T642" s="1965"/>
      <c r="U642" s="1965"/>
      <c r="V642" s="1965"/>
      <c r="W642" s="1965"/>
      <c r="X642" s="1965"/>
      <c r="Y642" s="1965"/>
      <c r="Z642" s="1965"/>
      <c r="AA642" s="1965"/>
      <c r="AB642" s="1965"/>
      <c r="AC642" s="1965"/>
      <c r="AD642" s="1965"/>
      <c r="AE642" s="1965"/>
      <c r="AF642" s="1965"/>
      <c r="AG642" s="1965"/>
      <c r="AH642" s="1293"/>
      <c r="AI642" s="1293"/>
      <c r="AJ642" s="1293"/>
      <c r="AK642" s="1293"/>
      <c r="AL642" s="1293"/>
      <c r="AM642" s="1293"/>
      <c r="AN642" s="1293"/>
      <c r="AO642" s="1293"/>
      <c r="AP642" s="1293"/>
      <c r="AQ642" s="1293"/>
      <c r="AR642" s="1293"/>
      <c r="AS642" s="1293"/>
    </row>
    <row r="643" spans="1:45" ht="15.75">
      <c r="A643" s="2504" t="s">
        <v>1382</v>
      </c>
      <c r="B643" s="1293"/>
      <c r="C643" s="1293"/>
      <c r="D643" s="1293"/>
      <c r="E643" s="1293"/>
      <c r="F643" s="1293"/>
      <c r="G643" s="1965"/>
      <c r="H643" s="1965"/>
      <c r="I643" s="1965"/>
      <c r="J643" s="1965"/>
      <c r="K643" s="1965"/>
      <c r="L643" s="1965"/>
      <c r="M643" s="1965"/>
      <c r="N643" s="1965"/>
      <c r="O643" s="1965"/>
      <c r="P643" s="1965"/>
      <c r="Q643" s="1965"/>
      <c r="R643" s="1965"/>
      <c r="S643" s="1965"/>
      <c r="T643" s="1965"/>
      <c r="U643" s="1965"/>
      <c r="V643" s="1965"/>
      <c r="W643" s="1965"/>
      <c r="X643" s="1965"/>
      <c r="Y643" s="1965"/>
      <c r="Z643" s="1965"/>
      <c r="AA643" s="1965"/>
      <c r="AB643" s="1965"/>
      <c r="AC643" s="1965"/>
      <c r="AD643" s="1965"/>
      <c r="AE643" s="1965"/>
      <c r="AF643" s="1965"/>
      <c r="AG643" s="1965"/>
      <c r="AH643" s="1293"/>
      <c r="AI643" s="1293"/>
      <c r="AJ643" s="1293"/>
      <c r="AK643" s="1293"/>
      <c r="AL643" s="1293"/>
      <c r="AM643" s="1293"/>
      <c r="AN643" s="1293"/>
      <c r="AO643" s="1293"/>
      <c r="AP643" s="1293"/>
      <c r="AQ643" s="1293"/>
      <c r="AR643" s="1293"/>
      <c r="AS643" s="1293"/>
    </row>
    <row r="644" spans="1:45" ht="15.75">
      <c r="A644" s="1293" t="s">
        <v>804</v>
      </c>
      <c r="B644" s="1293"/>
      <c r="C644" s="1293"/>
      <c r="D644" s="1293"/>
      <c r="E644" s="1970">
        <v>0.1</v>
      </c>
      <c r="F644" s="1293"/>
      <c r="G644" s="1965">
        <f>+$E644*G560</f>
        <v>53.662900000000008</v>
      </c>
      <c r="H644" s="1965">
        <f>+$E644*G560</f>
        <v>53.662900000000008</v>
      </c>
      <c r="I644" s="1965">
        <f>+E644*AVERAGE(H560:I560)</f>
        <v>53.813600000000001</v>
      </c>
      <c r="J644" s="1965">
        <f>+E644*AVERAGE(I560:J560)</f>
        <v>50.93365</v>
      </c>
      <c r="K644" s="1965">
        <f>+$E644*AVERAGE(J560:K560)</f>
        <v>46.673500000000004</v>
      </c>
      <c r="L644" s="1965">
        <f>+$E644*AVERAGE(K560:L560)</f>
        <v>45.373500000000007</v>
      </c>
      <c r="M644" s="1965">
        <f>+$E644*AVERAGE(L560)</f>
        <v>45.400000000000006</v>
      </c>
      <c r="N644" s="1965">
        <f>+$E644*AVERAGE(N560:N560)</f>
        <v>0</v>
      </c>
      <c r="O644" s="1965">
        <f t="shared" ref="O644:AG644" si="378">+$E644*AVERAGE(N560:O560)</f>
        <v>0</v>
      </c>
      <c r="P644" s="1965">
        <f t="shared" si="378"/>
        <v>0</v>
      </c>
      <c r="Q644" s="1965">
        <f t="shared" si="378"/>
        <v>0</v>
      </c>
      <c r="R644" s="1965">
        <f t="shared" si="378"/>
        <v>0</v>
      </c>
      <c r="S644" s="1965">
        <f t="shared" si="378"/>
        <v>0</v>
      </c>
      <c r="T644" s="1965">
        <f t="shared" si="378"/>
        <v>0</v>
      </c>
      <c r="U644" s="1965">
        <f t="shared" si="378"/>
        <v>0</v>
      </c>
      <c r="V644" s="1965">
        <f t="shared" si="378"/>
        <v>0</v>
      </c>
      <c r="W644" s="1965">
        <f t="shared" si="378"/>
        <v>0</v>
      </c>
      <c r="X644" s="1965">
        <f t="shared" si="378"/>
        <v>0</v>
      </c>
      <c r="Y644" s="1965">
        <f t="shared" si="378"/>
        <v>0</v>
      </c>
      <c r="Z644" s="1965">
        <f t="shared" si="378"/>
        <v>0</v>
      </c>
      <c r="AA644" s="1965">
        <f t="shared" si="378"/>
        <v>0</v>
      </c>
      <c r="AB644" s="1965">
        <f t="shared" si="378"/>
        <v>0</v>
      </c>
      <c r="AC644" s="1965">
        <f t="shared" si="378"/>
        <v>0</v>
      </c>
      <c r="AD644" s="1965">
        <f t="shared" si="378"/>
        <v>0</v>
      </c>
      <c r="AE644" s="1965">
        <f t="shared" si="378"/>
        <v>0</v>
      </c>
      <c r="AF644" s="1965">
        <f t="shared" si="378"/>
        <v>0</v>
      </c>
      <c r="AG644" s="1965">
        <f t="shared" si="378"/>
        <v>0</v>
      </c>
      <c r="AH644" s="1293"/>
      <c r="AI644" s="1293"/>
      <c r="AJ644" s="1293"/>
      <c r="AK644" s="1293"/>
      <c r="AL644" s="1293"/>
      <c r="AM644" s="1293"/>
      <c r="AN644" s="1293"/>
      <c r="AO644" s="1293"/>
      <c r="AP644" s="1293"/>
      <c r="AQ644" s="1293"/>
      <c r="AR644" s="1293"/>
      <c r="AS644" s="1293"/>
    </row>
    <row r="645" spans="1:45" ht="15.75">
      <c r="A645" s="1293" t="s">
        <v>805</v>
      </c>
      <c r="B645" s="1293"/>
      <c r="C645" s="1293"/>
      <c r="D645" s="1293"/>
      <c r="E645" s="1970">
        <v>0.04</v>
      </c>
      <c r="F645" s="1293"/>
      <c r="G645" s="1965">
        <f>+$E645*G561</f>
        <v>0</v>
      </c>
      <c r="H645" s="1965">
        <f>+$E645*200</f>
        <v>8</v>
      </c>
      <c r="I645" s="1965">
        <f>+E645*AVERAGE(H561:I561)</f>
        <v>6.6890599999999996</v>
      </c>
      <c r="J645" s="1965">
        <f>+E645*AVERAGE(I561:J561)</f>
        <v>7.0033799999999999</v>
      </c>
      <c r="K645" s="1966">
        <f>+$E645*AVERAGE(K561)</f>
        <v>0</v>
      </c>
      <c r="L645" s="1965">
        <f t="shared" ref="L645:N646" si="379">+$E645*AVERAGE(K561:L561)</f>
        <v>0</v>
      </c>
      <c r="M645" s="1965">
        <f t="shared" ca="1" si="379"/>
        <v>0</v>
      </c>
      <c r="N645" s="1965">
        <f t="shared" ca="1" si="379"/>
        <v>0</v>
      </c>
      <c r="O645" s="1965">
        <f t="shared" ref="O645:AG645" ca="1" si="380">+$E645*AVERAGE(N561:O561)</f>
        <v>0</v>
      </c>
      <c r="P645" s="1965">
        <f t="shared" si="380"/>
        <v>0</v>
      </c>
      <c r="Q645" s="1965">
        <f t="shared" si="380"/>
        <v>0</v>
      </c>
      <c r="R645" s="1965">
        <f t="shared" si="380"/>
        <v>0</v>
      </c>
      <c r="S645" s="1965">
        <f t="shared" si="380"/>
        <v>0</v>
      </c>
      <c r="T645" s="1965">
        <f t="shared" si="380"/>
        <v>0</v>
      </c>
      <c r="U645" s="1965">
        <f t="shared" si="380"/>
        <v>0</v>
      </c>
      <c r="V645" s="1965">
        <f t="shared" si="380"/>
        <v>0</v>
      </c>
      <c r="W645" s="1965">
        <f t="shared" si="380"/>
        <v>0</v>
      </c>
      <c r="X645" s="1965">
        <f t="shared" si="380"/>
        <v>0</v>
      </c>
      <c r="Y645" s="1965">
        <f t="shared" si="380"/>
        <v>0</v>
      </c>
      <c r="Z645" s="1965">
        <f t="shared" si="380"/>
        <v>0</v>
      </c>
      <c r="AA645" s="1965">
        <f t="shared" si="380"/>
        <v>0</v>
      </c>
      <c r="AB645" s="1965">
        <f t="shared" si="380"/>
        <v>0</v>
      </c>
      <c r="AC645" s="1965">
        <f t="shared" si="380"/>
        <v>0</v>
      </c>
      <c r="AD645" s="1965">
        <f t="shared" si="380"/>
        <v>0</v>
      </c>
      <c r="AE645" s="1965">
        <f t="shared" si="380"/>
        <v>0</v>
      </c>
      <c r="AF645" s="1965">
        <f t="shared" si="380"/>
        <v>0</v>
      </c>
      <c r="AG645" s="1965">
        <f t="shared" si="380"/>
        <v>0</v>
      </c>
      <c r="AH645" s="1293"/>
      <c r="AI645" s="1293"/>
      <c r="AJ645" s="1293"/>
      <c r="AK645" s="1293"/>
      <c r="AL645" s="1293"/>
      <c r="AM645" s="1293"/>
      <c r="AN645" s="1293"/>
      <c r="AO645" s="1293"/>
      <c r="AP645" s="1293"/>
      <c r="AQ645" s="1293"/>
      <c r="AR645" s="1293"/>
      <c r="AS645" s="1293"/>
    </row>
    <row r="646" spans="1:45" ht="15.75">
      <c r="A646" s="1293" t="s">
        <v>806</v>
      </c>
      <c r="B646" s="1293"/>
      <c r="C646" s="1293"/>
      <c r="D646" s="1293"/>
      <c r="E646" s="1970">
        <v>0.05</v>
      </c>
      <c r="F646" s="1293"/>
      <c r="G646" s="1965">
        <f>+$E646*G562</f>
        <v>18.250299999999999</v>
      </c>
      <c r="H646" s="1965">
        <f>+$E646*G562</f>
        <v>18.250299999999999</v>
      </c>
      <c r="I646" s="1965">
        <f>+E646*AVERAGE(H562:I562)</f>
        <v>7.8839749999999995</v>
      </c>
      <c r="J646" s="1965">
        <f ca="1">+E646*AVERAGE(I562:J562)</f>
        <v>0</v>
      </c>
      <c r="K646" s="1965">
        <f ca="1">+$E646*AVERAGE(J562:K562)</f>
        <v>0</v>
      </c>
      <c r="L646" s="1965">
        <f t="shared" ca="1" si="379"/>
        <v>0</v>
      </c>
      <c r="M646" s="1965">
        <f t="shared" ca="1" si="379"/>
        <v>0</v>
      </c>
      <c r="N646" s="1965">
        <f t="shared" ca="1" si="379"/>
        <v>0</v>
      </c>
      <c r="O646" s="1965">
        <f t="shared" ref="O646:AG646" ca="1" si="381">+$E646*AVERAGE(N562:O562)</f>
        <v>0</v>
      </c>
      <c r="P646" s="1965">
        <f t="shared" ca="1" si="381"/>
        <v>0</v>
      </c>
      <c r="Q646" s="1965">
        <f t="shared" ca="1" si="381"/>
        <v>0</v>
      </c>
      <c r="R646" s="1965">
        <f t="shared" ca="1" si="381"/>
        <v>0</v>
      </c>
      <c r="S646" s="1965">
        <f t="shared" ca="1" si="381"/>
        <v>0</v>
      </c>
      <c r="T646" s="1965">
        <f t="shared" ca="1" si="381"/>
        <v>0</v>
      </c>
      <c r="U646" s="1965">
        <f t="shared" ca="1" si="381"/>
        <v>0</v>
      </c>
      <c r="V646" s="1965">
        <f t="shared" ca="1" si="381"/>
        <v>0</v>
      </c>
      <c r="W646" s="1965">
        <f t="shared" ca="1" si="381"/>
        <v>0</v>
      </c>
      <c r="X646" s="1965">
        <f t="shared" ca="1" si="381"/>
        <v>0</v>
      </c>
      <c r="Y646" s="1965">
        <f t="shared" ca="1" si="381"/>
        <v>0</v>
      </c>
      <c r="Z646" s="1965">
        <f t="shared" ca="1" si="381"/>
        <v>0</v>
      </c>
      <c r="AA646" s="1965">
        <f t="shared" ca="1" si="381"/>
        <v>0</v>
      </c>
      <c r="AB646" s="1965">
        <f t="shared" ca="1" si="381"/>
        <v>0</v>
      </c>
      <c r="AC646" s="1965">
        <f t="shared" ca="1" si="381"/>
        <v>0</v>
      </c>
      <c r="AD646" s="1965">
        <f t="shared" ca="1" si="381"/>
        <v>0</v>
      </c>
      <c r="AE646" s="1965">
        <f t="shared" ca="1" si="381"/>
        <v>0</v>
      </c>
      <c r="AF646" s="1965">
        <f t="shared" ca="1" si="381"/>
        <v>0</v>
      </c>
      <c r="AG646" s="1965">
        <f t="shared" ca="1" si="381"/>
        <v>0</v>
      </c>
      <c r="AH646" s="1293"/>
      <c r="AI646" s="1293"/>
      <c r="AJ646" s="1293"/>
      <c r="AK646" s="1293"/>
      <c r="AL646" s="1293"/>
      <c r="AM646" s="1293"/>
      <c r="AN646" s="1293"/>
      <c r="AO646" s="1293"/>
      <c r="AP646" s="1293"/>
      <c r="AQ646" s="1293"/>
      <c r="AR646" s="1293"/>
      <c r="AS646" s="1293"/>
    </row>
    <row r="647" spans="1:45" ht="15.75">
      <c r="A647" s="1293" t="s">
        <v>807</v>
      </c>
      <c r="B647" s="1293"/>
      <c r="C647" s="1293"/>
      <c r="D647" s="1293"/>
      <c r="E647" s="1293"/>
      <c r="F647" s="1293"/>
      <c r="G647" s="1965">
        <f>+G669-G644-G645-G646-G648-G650</f>
        <v>36.620800000000003</v>
      </c>
      <c r="H647" s="1965">
        <f>+H669-H644-H645-H646-H648-H650</f>
        <v>63.826800000000006</v>
      </c>
      <c r="I647" s="1965">
        <f>+I669-I644-I645-I646-I648-I650</f>
        <v>55.582364999999989</v>
      </c>
      <c r="J647" s="1965">
        <f t="shared" ref="J647:Q647" ca="1" si="382">J669-SUM(J644:J646)-SUM(J648:J658)</f>
        <v>105.46297000000001</v>
      </c>
      <c r="K647" s="1965">
        <f t="shared" ca="1" si="382"/>
        <v>132.32650000000001</v>
      </c>
      <c r="L647" s="1965">
        <f t="shared" ca="1" si="382"/>
        <v>152.62649999999999</v>
      </c>
      <c r="M647" s="1965">
        <f t="shared" ca="1" si="382"/>
        <v>149.69</v>
      </c>
      <c r="N647" s="1965">
        <f t="shared" ca="1" si="382"/>
        <v>147.57999999999998</v>
      </c>
      <c r="O647" s="1965">
        <f t="shared" ca="1" si="382"/>
        <v>162.48093076923078</v>
      </c>
      <c r="P647" s="1965">
        <f t="shared" ca="1" si="382"/>
        <v>121.71928076923078</v>
      </c>
      <c r="Q647" s="1965">
        <f t="shared" ca="1" si="382"/>
        <v>144.37372499999998</v>
      </c>
      <c r="R647" s="1965">
        <f ca="1">R669-SUM(R644:R646)-SUM(R648:R661)</f>
        <v>107.39132499999999</v>
      </c>
      <c r="S647" s="1965">
        <f ca="1">S669-SUM(S644:S646)-SUM(S648:S661)</f>
        <v>203.11975000000001</v>
      </c>
      <c r="T647" s="1965">
        <f ca="1">T669-SUM(T644:T646)-SUM(T648:T661)</f>
        <v>246.01602500000001</v>
      </c>
      <c r="U647" s="1965">
        <f ca="1">U669-SUM(U644:U646)-SUM(U648:U661)</f>
        <v>217.95443749999998</v>
      </c>
      <c r="V647" s="1965">
        <f ca="1">V669-SUM(V644:V646)-SUM(V648:V668)</f>
        <v>125.70075798123662</v>
      </c>
      <c r="W647" s="1965">
        <f ca="1">W669-SUM(W644:W646)-SUM(W648:W668)</f>
        <v>279.1721702947242</v>
      </c>
      <c r="X647" s="1965">
        <f ca="1">X669-SUM(X644:X646)-SUM(X648:X668)</f>
        <v>7.4180417787644615</v>
      </c>
      <c r="Y647" s="1965">
        <f ca="1">Y669-SUM(Y644:Y646)-SUM(Y648:Y668)</f>
        <v>52.126202076531285</v>
      </c>
      <c r="Z647" s="1965">
        <f t="shared" ref="Z647:AG647" ca="1" si="383">+Z672*AVERAGE(Y563:Z563)</f>
        <v>140.33676880068887</v>
      </c>
      <c r="AA647" s="1965">
        <f t="shared" ca="1" si="383"/>
        <v>144.20066492167302</v>
      </c>
      <c r="AB647" s="1965">
        <f t="shared" ca="1" si="383"/>
        <v>136.40603438536635</v>
      </c>
      <c r="AC647" s="1965">
        <f t="shared" ca="1" si="383"/>
        <v>136.40603438536635</v>
      </c>
      <c r="AD647" s="1965">
        <f t="shared" ca="1" si="383"/>
        <v>136.40603438536635</v>
      </c>
      <c r="AE647" s="1965">
        <f t="shared" ca="1" si="383"/>
        <v>136.40603438536635</v>
      </c>
      <c r="AF647" s="1965">
        <f t="shared" ca="1" si="383"/>
        <v>136.40603438536635</v>
      </c>
      <c r="AG647" s="1965">
        <f t="shared" ca="1" si="383"/>
        <v>136.40603438536635</v>
      </c>
      <c r="AH647" s="1293"/>
      <c r="AI647" s="1293"/>
      <c r="AJ647" s="1293"/>
      <c r="AK647" s="1293"/>
      <c r="AL647" s="1293"/>
      <c r="AM647" s="1293"/>
      <c r="AN647" s="1293"/>
      <c r="AO647" s="1293"/>
      <c r="AP647" s="1293"/>
      <c r="AQ647" s="1293"/>
      <c r="AR647" s="1293"/>
      <c r="AS647" s="1293"/>
    </row>
    <row r="648" spans="1:45" ht="15.75">
      <c r="A648" s="1293" t="str">
        <f t="shared" ref="A648:A668" si="384">A620</f>
        <v>8.00% notes (El Sal)</v>
      </c>
      <c r="B648" s="1293"/>
      <c r="C648" s="1293"/>
      <c r="D648" s="1293"/>
      <c r="E648" s="1970">
        <v>8.7599999999999997E-2</v>
      </c>
      <c r="F648" s="1293"/>
      <c r="G648" s="1965"/>
      <c r="H648" s="1965"/>
      <c r="I648" s="1965">
        <f t="shared" ref="I648:P648" si="385">+$E648*AVERAGE(H564:I564)</f>
        <v>0</v>
      </c>
      <c r="J648" s="1965">
        <f t="shared" si="385"/>
        <v>0</v>
      </c>
      <c r="K648" s="1965">
        <f t="shared" si="385"/>
        <v>0</v>
      </c>
      <c r="L648" s="1965">
        <f t="shared" si="385"/>
        <v>0</v>
      </c>
      <c r="M648" s="1965">
        <f t="shared" si="385"/>
        <v>19.71</v>
      </c>
      <c r="N648" s="1965">
        <f t="shared" si="385"/>
        <v>39.42</v>
      </c>
      <c r="O648" s="1965">
        <f t="shared" si="385"/>
        <v>39.42</v>
      </c>
      <c r="P648" s="1965">
        <f t="shared" si="385"/>
        <v>39.025799999999997</v>
      </c>
      <c r="Q648" s="1965">
        <f>+$E648*AVERAGE(Q564)</f>
        <v>26.630399999999998</v>
      </c>
      <c r="R648" s="1965">
        <f t="shared" ref="R648:AG648" si="386">+$E648*AVERAGE(Q564:R564)</f>
        <v>13.315199999999999</v>
      </c>
      <c r="S648" s="1965">
        <f t="shared" si="386"/>
        <v>0</v>
      </c>
      <c r="T648" s="1965">
        <f t="shared" si="386"/>
        <v>0</v>
      </c>
      <c r="U648" s="1965">
        <f t="shared" si="386"/>
        <v>0</v>
      </c>
      <c r="V648" s="1965">
        <f t="shared" si="386"/>
        <v>0</v>
      </c>
      <c r="W648" s="1965">
        <f t="shared" si="386"/>
        <v>0</v>
      </c>
      <c r="X648" s="1965">
        <f t="shared" si="386"/>
        <v>0</v>
      </c>
      <c r="Y648" s="1965">
        <f t="shared" si="386"/>
        <v>0</v>
      </c>
      <c r="Z648" s="1965">
        <f t="shared" si="386"/>
        <v>0</v>
      </c>
      <c r="AA648" s="1965">
        <f t="shared" si="386"/>
        <v>0</v>
      </c>
      <c r="AB648" s="1965">
        <f t="shared" si="386"/>
        <v>0</v>
      </c>
      <c r="AC648" s="1965">
        <f t="shared" si="386"/>
        <v>0</v>
      </c>
      <c r="AD648" s="1965">
        <f t="shared" si="386"/>
        <v>0</v>
      </c>
      <c r="AE648" s="1965">
        <f t="shared" si="386"/>
        <v>0</v>
      </c>
      <c r="AF648" s="1965">
        <f t="shared" si="386"/>
        <v>0</v>
      </c>
      <c r="AG648" s="1965">
        <f t="shared" si="386"/>
        <v>0</v>
      </c>
      <c r="AH648" s="1293"/>
      <c r="AI648" s="1293"/>
      <c r="AJ648" s="1293"/>
      <c r="AK648" s="1293"/>
      <c r="AL648" s="1293"/>
      <c r="AM648" s="1293"/>
      <c r="AN648" s="1293"/>
      <c r="AO648" s="1293"/>
      <c r="AP648" s="1293"/>
      <c r="AQ648" s="1293"/>
      <c r="AR648" s="1293"/>
      <c r="AS648" s="1293"/>
    </row>
    <row r="649" spans="1:45" ht="15.75">
      <c r="A649" s="1293" t="str">
        <f t="shared" si="384"/>
        <v>Towers lease liability</v>
      </c>
      <c r="B649" s="1293"/>
      <c r="C649" s="1293"/>
      <c r="D649" s="1293"/>
      <c r="E649" s="1971">
        <v>0.15</v>
      </c>
      <c r="F649" s="1293"/>
      <c r="G649" s="1965"/>
      <c r="H649" s="1965"/>
      <c r="I649" s="1965"/>
      <c r="J649" s="1965"/>
      <c r="K649" s="1965"/>
      <c r="L649" s="1965"/>
      <c r="M649" s="1965"/>
      <c r="N649" s="1965"/>
      <c r="O649" s="1965"/>
      <c r="P649" s="1965">
        <f t="shared" ref="P649:Q655" si="387">+$E649*AVERAGE(O565:P565)</f>
        <v>38.324999999999996</v>
      </c>
      <c r="Q649" s="1965">
        <f t="shared" si="387"/>
        <v>41.324999999999996</v>
      </c>
      <c r="R649" s="1966">
        <v>63</v>
      </c>
      <c r="S649" s="1966">
        <v>66</v>
      </c>
      <c r="T649" s="1965">
        <f t="shared" ref="T649:AG649" si="388">+$E649*AVERAGE(S565:T565)</f>
        <v>44.25</v>
      </c>
      <c r="U649" s="1965">
        <f t="shared" si="388"/>
        <v>50.8125</v>
      </c>
      <c r="V649" s="1965">
        <f t="shared" si="388"/>
        <v>57.375</v>
      </c>
      <c r="W649" s="1965">
        <f t="shared" si="388"/>
        <v>57.375</v>
      </c>
      <c r="X649" s="1965">
        <f t="shared" si="388"/>
        <v>57.375</v>
      </c>
      <c r="Y649" s="1965">
        <f t="shared" si="388"/>
        <v>57.375</v>
      </c>
      <c r="Z649" s="1965">
        <f t="shared" si="388"/>
        <v>57.375</v>
      </c>
      <c r="AA649" s="1965">
        <f t="shared" si="388"/>
        <v>57.375</v>
      </c>
      <c r="AB649" s="1965">
        <f t="shared" si="388"/>
        <v>57.375</v>
      </c>
      <c r="AC649" s="1965">
        <f t="shared" si="388"/>
        <v>57.375</v>
      </c>
      <c r="AD649" s="1965">
        <f t="shared" si="388"/>
        <v>57.375</v>
      </c>
      <c r="AE649" s="1965">
        <f t="shared" si="388"/>
        <v>57.375</v>
      </c>
      <c r="AF649" s="1965">
        <f t="shared" si="388"/>
        <v>57.375</v>
      </c>
      <c r="AG649" s="1965">
        <f t="shared" si="388"/>
        <v>57.375</v>
      </c>
      <c r="AH649" s="1293"/>
      <c r="AI649" s="1293"/>
      <c r="AJ649" s="1293"/>
      <c r="AK649" s="1293"/>
      <c r="AL649" s="1293"/>
      <c r="AM649" s="1293"/>
      <c r="AN649" s="1293"/>
      <c r="AO649" s="1293"/>
      <c r="AP649" s="1293"/>
      <c r="AQ649" s="1293"/>
      <c r="AR649" s="1293"/>
      <c r="AS649" s="1293"/>
    </row>
    <row r="650" spans="1:45" ht="15.75">
      <c r="A650" s="1293" t="str">
        <f t="shared" si="384"/>
        <v>SEK1.75bn floating</v>
      </c>
      <c r="B650" s="1293"/>
      <c r="C650" s="1293"/>
      <c r="D650" s="1293"/>
      <c r="E650" s="1970">
        <v>5.1249999999999997E-2</v>
      </c>
      <c r="F650" s="1293"/>
      <c r="G650" s="1653"/>
      <c r="H650" s="1653"/>
      <c r="I650" s="1965">
        <f t="shared" ref="I650:O650" si="389">+$E650*AVERAGE(H566:I566)</f>
        <v>0</v>
      </c>
      <c r="J650" s="1965">
        <f t="shared" si="389"/>
        <v>0</v>
      </c>
      <c r="K650" s="1965">
        <f t="shared" si="389"/>
        <v>0</v>
      </c>
      <c r="L650" s="1965">
        <f t="shared" si="389"/>
        <v>0</v>
      </c>
      <c r="M650" s="1965">
        <f t="shared" si="389"/>
        <v>0</v>
      </c>
      <c r="N650" s="1965">
        <f t="shared" si="389"/>
        <v>0</v>
      </c>
      <c r="O650" s="1965">
        <f t="shared" si="389"/>
        <v>6.8990384615384608</v>
      </c>
      <c r="P650" s="1965">
        <f t="shared" si="387"/>
        <v>13.894663461538462</v>
      </c>
      <c r="Q650" s="1965">
        <f t="shared" si="387"/>
        <v>12.786874999999998</v>
      </c>
      <c r="R650" s="1965">
        <f t="shared" ref="R650:S659" si="390">+$E650*AVERAGE(Q566:R566)</f>
        <v>11.095625</v>
      </c>
      <c r="S650" s="1965">
        <f t="shared" si="390"/>
        <v>5.3043749999999994</v>
      </c>
      <c r="T650" s="1965">
        <f t="shared" ref="T650:AG650" si="391">+$E650*AVERAGE(S566:T566)</f>
        <v>0</v>
      </c>
      <c r="U650" s="1965">
        <f t="shared" si="391"/>
        <v>0</v>
      </c>
      <c r="V650" s="1965">
        <f t="shared" si="391"/>
        <v>0</v>
      </c>
      <c r="W650" s="1965">
        <f t="shared" si="391"/>
        <v>0</v>
      </c>
      <c r="X650" s="1965">
        <f t="shared" si="391"/>
        <v>0</v>
      </c>
      <c r="Y650" s="1965">
        <f t="shared" si="391"/>
        <v>0</v>
      </c>
      <c r="Z650" s="1965">
        <f t="shared" si="391"/>
        <v>0</v>
      </c>
      <c r="AA650" s="1965">
        <f t="shared" si="391"/>
        <v>0</v>
      </c>
      <c r="AB650" s="1965">
        <f t="shared" si="391"/>
        <v>0</v>
      </c>
      <c r="AC650" s="1965">
        <f t="shared" si="391"/>
        <v>0</v>
      </c>
      <c r="AD650" s="1965">
        <f t="shared" si="391"/>
        <v>0</v>
      </c>
      <c r="AE650" s="1965">
        <f t="shared" si="391"/>
        <v>0</v>
      </c>
      <c r="AF650" s="1965">
        <f t="shared" si="391"/>
        <v>0</v>
      </c>
      <c r="AG650" s="1965">
        <f t="shared" si="391"/>
        <v>0</v>
      </c>
      <c r="AH650" s="1293"/>
      <c r="AI650" s="1293"/>
      <c r="AJ650" s="1293"/>
      <c r="AK650" s="1293"/>
      <c r="AL650" s="1293"/>
      <c r="AM650" s="1293"/>
      <c r="AN650" s="1293"/>
      <c r="AO650" s="1293"/>
      <c r="AP650" s="1293"/>
      <c r="AQ650" s="1293"/>
      <c r="AR650" s="1293"/>
      <c r="AS650" s="1293"/>
    </row>
    <row r="651" spans="1:45" ht="15.75">
      <c r="A651" s="1293" t="str">
        <f t="shared" si="384"/>
        <v>SEK0.25bn 5.125%</v>
      </c>
      <c r="B651" s="1293"/>
      <c r="C651" s="1293"/>
      <c r="D651" s="1293"/>
      <c r="E651" s="1970">
        <v>0.04</v>
      </c>
      <c r="F651" s="1293"/>
      <c r="G651" s="1653"/>
      <c r="H651" s="1653"/>
      <c r="I651" s="1965"/>
      <c r="J651" s="1965">
        <f t="shared" ref="J651:O651" si="392">+$E651*AVERAGE(I567:J567)</f>
        <v>0</v>
      </c>
      <c r="K651" s="1965">
        <f t="shared" si="392"/>
        <v>0</v>
      </c>
      <c r="L651" s="1965">
        <f t="shared" si="392"/>
        <v>0</v>
      </c>
      <c r="M651" s="1965">
        <f t="shared" si="392"/>
        <v>0</v>
      </c>
      <c r="N651" s="1965">
        <f t="shared" si="392"/>
        <v>0</v>
      </c>
      <c r="O651" s="1965">
        <f t="shared" si="392"/>
        <v>0.76923076923076916</v>
      </c>
      <c r="P651" s="1965">
        <f t="shared" si="387"/>
        <v>1.5092307692307692</v>
      </c>
      <c r="Q651" s="1965">
        <f t="shared" si="387"/>
        <v>1.34</v>
      </c>
      <c r="R651" s="1965">
        <f t="shared" si="390"/>
        <v>1.1400000000000001</v>
      </c>
      <c r="S651" s="1965">
        <f t="shared" si="390"/>
        <v>0.54</v>
      </c>
      <c r="T651" s="1965">
        <f t="shared" ref="T651:AG651" si="393">+$E651*AVERAGE(S567:T567)</f>
        <v>0</v>
      </c>
      <c r="U651" s="1965">
        <f t="shared" si="393"/>
        <v>0</v>
      </c>
      <c r="V651" s="1965">
        <f t="shared" si="393"/>
        <v>0</v>
      </c>
      <c r="W651" s="1965">
        <f t="shared" si="393"/>
        <v>0</v>
      </c>
      <c r="X651" s="1965">
        <f t="shared" si="393"/>
        <v>0</v>
      </c>
      <c r="Y651" s="1965">
        <f t="shared" si="393"/>
        <v>0</v>
      </c>
      <c r="Z651" s="1965">
        <f t="shared" si="393"/>
        <v>0</v>
      </c>
      <c r="AA651" s="1965">
        <f t="shared" si="393"/>
        <v>0</v>
      </c>
      <c r="AB651" s="1965">
        <f t="shared" si="393"/>
        <v>0</v>
      </c>
      <c r="AC651" s="1965">
        <f t="shared" si="393"/>
        <v>0</v>
      </c>
      <c r="AD651" s="1965">
        <f t="shared" si="393"/>
        <v>0</v>
      </c>
      <c r="AE651" s="1965">
        <f t="shared" si="393"/>
        <v>0</v>
      </c>
      <c r="AF651" s="1965">
        <f t="shared" si="393"/>
        <v>0</v>
      </c>
      <c r="AG651" s="1965">
        <f t="shared" si="393"/>
        <v>0</v>
      </c>
      <c r="AH651" s="1293"/>
      <c r="AI651" s="1293"/>
      <c r="AJ651" s="1293"/>
      <c r="AK651" s="1293"/>
      <c r="AL651" s="1293"/>
      <c r="AM651" s="1293"/>
      <c r="AN651" s="1293"/>
      <c r="AO651" s="1293"/>
      <c r="AP651" s="1293"/>
      <c r="AQ651" s="1293"/>
      <c r="AR651" s="1293"/>
      <c r="AS651" s="1293"/>
    </row>
    <row r="652" spans="1:45" ht="15.75">
      <c r="A652" s="1293" t="str">
        <f t="shared" si="384"/>
        <v>Bolivia 4.75% (BOL)</v>
      </c>
      <c r="B652" s="1293"/>
      <c r="C652" s="1293"/>
      <c r="D652" s="1293"/>
      <c r="E652" s="1970">
        <v>4.7899999999999998E-2</v>
      </c>
      <c r="F652" s="1293"/>
      <c r="G652" s="1653"/>
      <c r="H652" s="1653"/>
      <c r="I652" s="1965"/>
      <c r="J652" s="1965"/>
      <c r="K652" s="1965"/>
      <c r="L652" s="1965"/>
      <c r="M652" s="1965"/>
      <c r="N652" s="1965"/>
      <c r="O652" s="1965"/>
      <c r="P652" s="1965">
        <f t="shared" si="387"/>
        <v>8.7656999999999989</v>
      </c>
      <c r="Q652" s="1965">
        <f t="shared" si="387"/>
        <v>7.9274499999999994</v>
      </c>
      <c r="R652" s="1965">
        <f t="shared" si="390"/>
        <v>9.3644499999999997</v>
      </c>
      <c r="S652" s="1965">
        <f t="shared" si="390"/>
        <v>12.501899999999999</v>
      </c>
      <c r="T652" s="1965">
        <f t="shared" ref="T652:AG652" si="394">+$E652*AVERAGE(S568:T568)</f>
        <v>14.896899999999999</v>
      </c>
      <c r="U652" s="1965">
        <f t="shared" si="394"/>
        <v>14.7532</v>
      </c>
      <c r="V652" s="1965">
        <f t="shared" si="394"/>
        <v>12.86115</v>
      </c>
      <c r="W652" s="1965">
        <f t="shared" si="394"/>
        <v>11.663649999999999</v>
      </c>
      <c r="X652" s="1965">
        <f t="shared" si="394"/>
        <v>10.466149999999999</v>
      </c>
      <c r="Y652" s="1965">
        <f t="shared" si="394"/>
        <v>9.2686499999999992</v>
      </c>
      <c r="Z652" s="1965">
        <f t="shared" si="394"/>
        <v>8.0711499999999994</v>
      </c>
      <c r="AA652" s="1965">
        <f t="shared" si="394"/>
        <v>6.8736499999999996</v>
      </c>
      <c r="AB652" s="1965">
        <f t="shared" si="394"/>
        <v>5.6761499999999998</v>
      </c>
      <c r="AC652" s="1965">
        <f t="shared" si="394"/>
        <v>4.47865</v>
      </c>
      <c r="AD652" s="1965">
        <f t="shared" si="394"/>
        <v>3.2811499999999998</v>
      </c>
      <c r="AE652" s="1965">
        <f t="shared" si="394"/>
        <v>2.08365</v>
      </c>
      <c r="AF652" s="1965">
        <f t="shared" si="394"/>
        <v>0.88614999999999999</v>
      </c>
      <c r="AG652" s="1965">
        <f t="shared" si="394"/>
        <v>-0.31135000000000002</v>
      </c>
      <c r="AH652" s="1293"/>
      <c r="AI652" s="1293"/>
      <c r="AJ652" s="1293"/>
      <c r="AK652" s="1293"/>
      <c r="AL652" s="1293"/>
      <c r="AM652" s="1293"/>
      <c r="AN652" s="1293"/>
      <c r="AO652" s="1293"/>
      <c r="AP652" s="1293"/>
      <c r="AQ652" s="1293"/>
      <c r="AR652" s="1293"/>
      <c r="AS652" s="1293"/>
    </row>
    <row r="653" spans="1:45" ht="15.75">
      <c r="A653" s="1293" t="str">
        <f t="shared" si="384"/>
        <v>Paraguay 6.75% 2022</v>
      </c>
      <c r="B653" s="1293"/>
      <c r="C653" s="1293"/>
      <c r="D653" s="1293"/>
      <c r="E653" s="1970">
        <v>7.1199999999999999E-2</v>
      </c>
      <c r="F653" s="1293"/>
      <c r="G653" s="1653"/>
      <c r="H653" s="1653"/>
      <c r="I653" s="1965"/>
      <c r="J653" s="1965">
        <f t="shared" ref="J653:O653" si="395">+$E653*AVERAGE(I569:J569)</f>
        <v>0</v>
      </c>
      <c r="K653" s="1965">
        <f t="shared" si="395"/>
        <v>0</v>
      </c>
      <c r="L653" s="1965">
        <f t="shared" si="395"/>
        <v>0</v>
      </c>
      <c r="M653" s="1965">
        <f t="shared" si="395"/>
        <v>0</v>
      </c>
      <c r="N653" s="1965">
        <f t="shared" si="395"/>
        <v>0</v>
      </c>
      <c r="O653" s="1965">
        <f t="shared" si="395"/>
        <v>10.4308</v>
      </c>
      <c r="P653" s="1965">
        <f t="shared" si="387"/>
        <v>20.897200000000002</v>
      </c>
      <c r="Q653" s="1965">
        <f t="shared" si="387"/>
        <v>20.9328</v>
      </c>
      <c r="R653" s="1965">
        <f t="shared" si="390"/>
        <v>20.968399999999999</v>
      </c>
      <c r="S653" s="1965">
        <f t="shared" si="390"/>
        <v>21.0396</v>
      </c>
      <c r="T653" s="1965">
        <f t="shared" ref="T653:AG653" si="396">+$E653*AVERAGE(S569:T569)</f>
        <v>21.075199999999999</v>
      </c>
      <c r="U653" s="1965">
        <f t="shared" si="396"/>
        <v>21.110800000000001</v>
      </c>
      <c r="V653" s="1965">
        <f t="shared" si="396"/>
        <v>10.5732</v>
      </c>
      <c r="W653" s="1965">
        <f t="shared" si="396"/>
        <v>0</v>
      </c>
      <c r="X653" s="1965">
        <f t="shared" si="396"/>
        <v>0</v>
      </c>
      <c r="Y653" s="1965">
        <f t="shared" si="396"/>
        <v>0</v>
      </c>
      <c r="Z653" s="1965">
        <f t="shared" si="396"/>
        <v>0</v>
      </c>
      <c r="AA653" s="1965">
        <f t="shared" si="396"/>
        <v>0</v>
      </c>
      <c r="AB653" s="1965">
        <f t="shared" si="396"/>
        <v>0</v>
      </c>
      <c r="AC653" s="1965">
        <f t="shared" si="396"/>
        <v>0</v>
      </c>
      <c r="AD653" s="1965">
        <f t="shared" si="396"/>
        <v>0</v>
      </c>
      <c r="AE653" s="1965">
        <f t="shared" si="396"/>
        <v>0</v>
      </c>
      <c r="AF653" s="1965">
        <f t="shared" si="396"/>
        <v>0</v>
      </c>
      <c r="AG653" s="1965">
        <f t="shared" si="396"/>
        <v>0</v>
      </c>
      <c r="AH653" s="1293"/>
      <c r="AI653" s="1293"/>
      <c r="AJ653" s="1293"/>
      <c r="AK653" s="1293"/>
      <c r="AL653" s="1293"/>
      <c r="AM653" s="1293"/>
      <c r="AN653" s="1293"/>
      <c r="AO653" s="1293"/>
      <c r="AP653" s="1293"/>
      <c r="AQ653" s="1293"/>
      <c r="AR653" s="1293"/>
      <c r="AS653" s="1293"/>
    </row>
    <row r="654" spans="1:45" ht="15.75">
      <c r="A654" s="1293" t="str">
        <f t="shared" si="384"/>
        <v>$ 4.75% bond</v>
      </c>
      <c r="B654" s="1293"/>
      <c r="C654" s="1293"/>
      <c r="D654" s="1293"/>
      <c r="E654" s="1970">
        <v>4.7500000000000001E-2</v>
      </c>
      <c r="F654" s="1293"/>
      <c r="G654" s="1653"/>
      <c r="H654" s="1653"/>
      <c r="I654" s="1965"/>
      <c r="J654" s="1965"/>
      <c r="K654" s="1965"/>
      <c r="L654" s="1965"/>
      <c r="M654" s="1965"/>
      <c r="N654" s="1965"/>
      <c r="O654" s="1965"/>
      <c r="P654" s="1965">
        <f t="shared" si="387"/>
        <v>11.661250000000001</v>
      </c>
      <c r="Q654" s="1965">
        <f t="shared" si="387"/>
        <v>23.346250000000001</v>
      </c>
      <c r="R654" s="1965">
        <f t="shared" si="390"/>
        <v>23.227499999999999</v>
      </c>
      <c r="S654" s="1965">
        <f t="shared" si="390"/>
        <v>19.451250000000002</v>
      </c>
      <c r="T654" s="1965">
        <f t="shared" ref="T654:AG654" si="397">+$E654*AVERAGE(S570:T570)</f>
        <v>7.9087500000000004</v>
      </c>
      <c r="U654" s="1965">
        <f t="shared" si="397"/>
        <v>0</v>
      </c>
      <c r="V654" s="1965">
        <f t="shared" si="397"/>
        <v>0</v>
      </c>
      <c r="W654" s="1965">
        <f t="shared" si="397"/>
        <v>0</v>
      </c>
      <c r="X654" s="1965">
        <f t="shared" si="397"/>
        <v>0</v>
      </c>
      <c r="Y654" s="1965">
        <f t="shared" si="397"/>
        <v>0</v>
      </c>
      <c r="Z654" s="1965">
        <f t="shared" si="397"/>
        <v>0</v>
      </c>
      <c r="AA654" s="1965">
        <f t="shared" si="397"/>
        <v>0</v>
      </c>
      <c r="AB654" s="1965">
        <f t="shared" si="397"/>
        <v>0</v>
      </c>
      <c r="AC654" s="1965">
        <f t="shared" si="397"/>
        <v>0</v>
      </c>
      <c r="AD654" s="1965">
        <f t="shared" si="397"/>
        <v>0</v>
      </c>
      <c r="AE654" s="1965">
        <f t="shared" si="397"/>
        <v>0</v>
      </c>
      <c r="AF654" s="1965">
        <f t="shared" si="397"/>
        <v>0</v>
      </c>
      <c r="AG654" s="1965">
        <f t="shared" si="397"/>
        <v>0</v>
      </c>
      <c r="AH654" s="1293"/>
      <c r="AI654" s="1293"/>
      <c r="AJ654" s="1293"/>
      <c r="AK654" s="1293"/>
      <c r="AL654" s="1293"/>
      <c r="AM654" s="1293"/>
      <c r="AN654" s="1293"/>
      <c r="AO654" s="1293"/>
      <c r="AP654" s="1293"/>
      <c r="AQ654" s="1293"/>
      <c r="AR654" s="1293"/>
      <c r="AS654" s="1293"/>
    </row>
    <row r="655" spans="1:45" ht="15.75">
      <c r="A655" s="1293" t="str">
        <f t="shared" si="384"/>
        <v>$ 6.625% notes</v>
      </c>
      <c r="B655" s="1293"/>
      <c r="C655" s="1293"/>
      <c r="D655" s="1293"/>
      <c r="E655" s="1970">
        <v>6.6250000000000003E-2</v>
      </c>
      <c r="F655" s="1293"/>
      <c r="G655" s="1653"/>
      <c r="H655" s="1653"/>
      <c r="I655" s="1965"/>
      <c r="J655" s="1965"/>
      <c r="K655" s="1965"/>
      <c r="L655" s="1965"/>
      <c r="M655" s="1965"/>
      <c r="N655" s="1965"/>
      <c r="O655" s="1965"/>
      <c r="P655" s="1965">
        <f t="shared" si="387"/>
        <v>26.201875000000001</v>
      </c>
      <c r="Q655" s="1965">
        <f t="shared" si="387"/>
        <v>52.403750000000002</v>
      </c>
      <c r="R655" s="1965">
        <f t="shared" si="390"/>
        <v>52.403750000000002</v>
      </c>
      <c r="S655" s="1965">
        <f t="shared" si="390"/>
        <v>47.799375000000005</v>
      </c>
      <c r="T655" s="1965">
        <f t="shared" ref="T655:AG655" si="398">+$E655*AVERAGE(S571:T571)</f>
        <v>21.5975</v>
      </c>
      <c r="U655" s="1965">
        <f t="shared" si="398"/>
        <v>0</v>
      </c>
      <c r="V655" s="1965">
        <f t="shared" si="398"/>
        <v>0</v>
      </c>
      <c r="W655" s="1965">
        <f t="shared" si="398"/>
        <v>0</v>
      </c>
      <c r="X655" s="1965">
        <f t="shared" si="398"/>
        <v>0</v>
      </c>
      <c r="Y655" s="1965">
        <f t="shared" si="398"/>
        <v>0</v>
      </c>
      <c r="Z655" s="1965">
        <f t="shared" si="398"/>
        <v>0</v>
      </c>
      <c r="AA655" s="1965">
        <f t="shared" si="398"/>
        <v>0</v>
      </c>
      <c r="AB655" s="1965">
        <f t="shared" si="398"/>
        <v>0</v>
      </c>
      <c r="AC655" s="1965">
        <f t="shared" si="398"/>
        <v>0</v>
      </c>
      <c r="AD655" s="1965">
        <f t="shared" si="398"/>
        <v>0</v>
      </c>
      <c r="AE655" s="1965">
        <f t="shared" si="398"/>
        <v>0</v>
      </c>
      <c r="AF655" s="1965">
        <f t="shared" si="398"/>
        <v>0</v>
      </c>
      <c r="AG655" s="1965">
        <f t="shared" si="398"/>
        <v>0</v>
      </c>
      <c r="AH655" s="1293"/>
      <c r="AI655" s="1293"/>
      <c r="AJ655" s="1293"/>
      <c r="AK655" s="1293"/>
      <c r="AL655" s="1293"/>
      <c r="AM655" s="1293"/>
      <c r="AN655" s="1293"/>
      <c r="AO655" s="1293"/>
      <c r="AP655" s="1293"/>
      <c r="AQ655" s="1293"/>
      <c r="AR655" s="1293"/>
      <c r="AS655" s="1293"/>
    </row>
    <row r="656" spans="1:45" ht="15.75">
      <c r="A656" s="1293" t="str">
        <f t="shared" si="384"/>
        <v>UNE bonds, 7.33%-8.76% (COP)</v>
      </c>
      <c r="B656" s="1293"/>
      <c r="C656" s="1293"/>
      <c r="D656" s="1293"/>
      <c r="E656" s="1970">
        <v>0.08</v>
      </c>
      <c r="F656" s="1293"/>
      <c r="G656" s="1653"/>
      <c r="H656" s="1653"/>
      <c r="I656" s="1965"/>
      <c r="J656" s="1965"/>
      <c r="K656" s="1965"/>
      <c r="L656" s="1965"/>
      <c r="M656" s="1965"/>
      <c r="N656" s="1965"/>
      <c r="O656" s="1965"/>
      <c r="P656" s="1965"/>
      <c r="Q656" s="1965">
        <f>+$E656*AVERAGE(Q572)</f>
        <v>20.240000000000002</v>
      </c>
      <c r="R656" s="1965">
        <f t="shared" si="390"/>
        <v>15.76</v>
      </c>
      <c r="S656" s="1965">
        <f t="shared" si="390"/>
        <v>16.88</v>
      </c>
      <c r="T656" s="1965">
        <f t="shared" ref="T656:AG656" si="399">+$E656*AVERAGE(S572:T572)</f>
        <v>22.52</v>
      </c>
      <c r="U656" s="1965">
        <f t="shared" si="399"/>
        <v>21.6</v>
      </c>
      <c r="V656" s="1965">
        <f t="shared" si="399"/>
        <v>19.803328253581228</v>
      </c>
      <c r="W656" s="1965">
        <f t="shared" si="399"/>
        <v>17.51295406003284</v>
      </c>
      <c r="X656" s="1965">
        <f t="shared" si="399"/>
        <v>16.393819354838712</v>
      </c>
      <c r="Y656" s="1965">
        <f t="shared" si="399"/>
        <v>16.979312903225804</v>
      </c>
      <c r="Z656" s="1965">
        <f t="shared" si="399"/>
        <v>17.488692290322582</v>
      </c>
      <c r="AA656" s="1965">
        <f t="shared" si="399"/>
        <v>18.013353059032259</v>
      </c>
      <c r="AB656" s="1965">
        <f t="shared" si="399"/>
        <v>18.553753650803227</v>
      </c>
      <c r="AC656" s="1965">
        <f t="shared" si="399"/>
        <v>18.827947054509679</v>
      </c>
      <c r="AD656" s="1965">
        <f t="shared" si="399"/>
        <v>18.827947054509679</v>
      </c>
      <c r="AE656" s="1965">
        <f t="shared" si="399"/>
        <v>18.827947054509679</v>
      </c>
      <c r="AF656" s="1965">
        <f t="shared" si="399"/>
        <v>18.827947054509679</v>
      </c>
      <c r="AG656" s="1965">
        <f t="shared" si="399"/>
        <v>18.827947054509679</v>
      </c>
      <c r="AH656" s="1293"/>
      <c r="AI656" s="1293"/>
      <c r="AJ656" s="1293"/>
      <c r="AK656" s="1293"/>
      <c r="AL656" s="1293"/>
      <c r="AM656" s="1293"/>
      <c r="AN656" s="1293"/>
      <c r="AO656" s="1293"/>
      <c r="AP656" s="1293"/>
      <c r="AQ656" s="1293"/>
      <c r="AR656" s="1293"/>
      <c r="AS656" s="1293"/>
    </row>
    <row r="657" spans="1:45" ht="15.75">
      <c r="A657" s="1293" t="str">
        <f t="shared" si="384"/>
        <v>Guatemala $ 6.875%</v>
      </c>
      <c r="B657" s="1293"/>
      <c r="C657" s="1293"/>
      <c r="D657" s="1293"/>
      <c r="E657" s="1970">
        <v>6.8750000000000006E-2</v>
      </c>
      <c r="F657" s="1293"/>
      <c r="G657" s="1653"/>
      <c r="H657" s="1653"/>
      <c r="I657" s="1965"/>
      <c r="J657" s="1965"/>
      <c r="K657" s="1965"/>
      <c r="L657" s="1965"/>
      <c r="M657" s="1965"/>
      <c r="N657" s="1965"/>
      <c r="O657" s="1965"/>
      <c r="P657" s="1965">
        <f>+$E657*AVERAGE(O573:P573)</f>
        <v>0</v>
      </c>
      <c r="Q657" s="1965">
        <f>+$E657*AVERAGE(Q573)</f>
        <v>53.693750000000001</v>
      </c>
      <c r="R657" s="1965">
        <f t="shared" si="390"/>
        <v>53.693750000000001</v>
      </c>
      <c r="S657" s="1965">
        <f t="shared" si="390"/>
        <v>53.693750000000001</v>
      </c>
      <c r="T657" s="1965">
        <f t="shared" ref="T657:AG657" si="400">+$E657*AVERAGE(S573:T573)</f>
        <v>54.346875000000004</v>
      </c>
      <c r="U657" s="1965">
        <f t="shared" si="400"/>
        <v>55.000000000000007</v>
      </c>
      <c r="V657" s="1965">
        <f t="shared" si="400"/>
        <v>55.000000000000007</v>
      </c>
      <c r="W657" s="1965">
        <f t="shared" si="400"/>
        <v>55.000000000000007</v>
      </c>
      <c r="X657" s="1965">
        <f t="shared" si="400"/>
        <v>55.000000000000007</v>
      </c>
      <c r="Y657" s="1965">
        <f t="shared" si="400"/>
        <v>55.000000000000007</v>
      </c>
      <c r="Z657" s="1965">
        <f t="shared" si="400"/>
        <v>55.000000000000007</v>
      </c>
      <c r="AA657" s="1965">
        <f t="shared" si="400"/>
        <v>27.500000000000004</v>
      </c>
      <c r="AB657" s="1965">
        <f t="shared" si="400"/>
        <v>0</v>
      </c>
      <c r="AC657" s="1965">
        <f t="shared" si="400"/>
        <v>0</v>
      </c>
      <c r="AD657" s="1965">
        <f t="shared" si="400"/>
        <v>0</v>
      </c>
      <c r="AE657" s="1965">
        <f t="shared" si="400"/>
        <v>0</v>
      </c>
      <c r="AF657" s="1965">
        <f t="shared" si="400"/>
        <v>0</v>
      </c>
      <c r="AG657" s="1965">
        <f t="shared" si="400"/>
        <v>0</v>
      </c>
      <c r="AH657" s="1293"/>
      <c r="AI657" s="1293"/>
      <c r="AJ657" s="1293"/>
      <c r="AK657" s="1293"/>
      <c r="AL657" s="1293"/>
      <c r="AM657" s="1293"/>
      <c r="AN657" s="1293"/>
      <c r="AO657" s="1293"/>
      <c r="AP657" s="1293"/>
      <c r="AQ657" s="1293"/>
      <c r="AR657" s="1293"/>
      <c r="AS657" s="1293"/>
    </row>
    <row r="658" spans="1:45" ht="15.75">
      <c r="A658" s="1293" t="str">
        <f t="shared" si="384"/>
        <v>$500m 6.0% (Lux), 2025</v>
      </c>
      <c r="B658" s="1293"/>
      <c r="C658" s="1293"/>
      <c r="D658" s="1293"/>
      <c r="E658" s="1970">
        <v>0.06</v>
      </c>
      <c r="F658" s="1293"/>
      <c r="G658" s="1653"/>
      <c r="H658" s="1653"/>
      <c r="I658" s="1965"/>
      <c r="J658" s="1965"/>
      <c r="K658" s="1965"/>
      <c r="L658" s="1965"/>
      <c r="M658" s="1965"/>
      <c r="N658" s="1965"/>
      <c r="O658" s="1965"/>
      <c r="P658" s="1965"/>
      <c r="Q658" s="1965"/>
      <c r="R658" s="1965">
        <f t="shared" si="390"/>
        <v>29.64</v>
      </c>
      <c r="S658" s="1965">
        <f t="shared" si="390"/>
        <v>29.669999999999998</v>
      </c>
      <c r="T658" s="1965">
        <f t="shared" ref="T658:AG658" si="401">+$E658*AVERAGE(S574:T574)</f>
        <v>29.73</v>
      </c>
      <c r="U658" s="1965">
        <f t="shared" si="401"/>
        <v>29.61</v>
      </c>
      <c r="V658" s="1965">
        <f t="shared" si="401"/>
        <v>29.459999999999997</v>
      </c>
      <c r="W658" s="1965">
        <f t="shared" si="401"/>
        <v>29.459999999999997</v>
      </c>
      <c r="X658" s="1965">
        <f t="shared" si="401"/>
        <v>29.459999999999997</v>
      </c>
      <c r="Y658" s="1965">
        <f t="shared" si="401"/>
        <v>29.459999999999997</v>
      </c>
      <c r="Z658" s="1965">
        <f t="shared" si="401"/>
        <v>29.459999999999997</v>
      </c>
      <c r="AA658" s="1965">
        <f t="shared" si="401"/>
        <v>29.459999999999997</v>
      </c>
      <c r="AB658" s="1965">
        <f t="shared" si="401"/>
        <v>14.729999999999999</v>
      </c>
      <c r="AC658" s="1965">
        <f t="shared" si="401"/>
        <v>0</v>
      </c>
      <c r="AD658" s="1965">
        <f t="shared" si="401"/>
        <v>0</v>
      </c>
      <c r="AE658" s="1965">
        <f t="shared" si="401"/>
        <v>0</v>
      </c>
      <c r="AF658" s="1965">
        <f t="shared" si="401"/>
        <v>0</v>
      </c>
      <c r="AG658" s="1965">
        <f t="shared" si="401"/>
        <v>0</v>
      </c>
      <c r="AH658" s="1293"/>
      <c r="AI658" s="1293"/>
      <c r="AJ658" s="1293"/>
      <c r="AK658" s="1293"/>
      <c r="AL658" s="1293"/>
      <c r="AM658" s="1293"/>
      <c r="AN658" s="1293"/>
      <c r="AO658" s="1293"/>
      <c r="AP658" s="1293"/>
      <c r="AQ658" s="1293"/>
      <c r="AR658" s="1293"/>
      <c r="AS658" s="1293"/>
    </row>
    <row r="659" spans="1:45" ht="15.75">
      <c r="A659" s="1293" t="str">
        <f t="shared" si="384"/>
        <v>Guatemala facility</v>
      </c>
      <c r="B659" s="1293"/>
      <c r="C659" s="1293"/>
      <c r="D659" s="1293"/>
      <c r="E659" s="1970">
        <v>0.1</v>
      </c>
      <c r="F659" s="1293"/>
      <c r="G659" s="1653"/>
      <c r="H659" s="1653"/>
      <c r="I659" s="1965"/>
      <c r="J659" s="1965"/>
      <c r="K659" s="1965"/>
      <c r="L659" s="1965"/>
      <c r="M659" s="1965"/>
      <c r="N659" s="1965"/>
      <c r="O659" s="1965"/>
      <c r="P659" s="1965"/>
      <c r="Q659" s="1965"/>
      <c r="R659" s="1965">
        <f t="shared" si="390"/>
        <v>18</v>
      </c>
      <c r="S659" s="1965">
        <f t="shared" si="390"/>
        <v>18</v>
      </c>
      <c r="T659" s="1965">
        <f t="shared" ref="T659:AG659" si="402">+$E659*AVERAGE(S575:T575)</f>
        <v>18</v>
      </c>
      <c r="U659" s="1965">
        <f t="shared" si="402"/>
        <v>18</v>
      </c>
      <c r="V659" s="1965">
        <f t="shared" si="402"/>
        <v>18</v>
      </c>
      <c r="W659" s="1965">
        <f t="shared" si="402"/>
        <v>18</v>
      </c>
      <c r="X659" s="1965">
        <f t="shared" si="402"/>
        <v>18</v>
      </c>
      <c r="Y659" s="1965">
        <f t="shared" si="402"/>
        <v>18</v>
      </c>
      <c r="Z659" s="1965">
        <f t="shared" si="402"/>
        <v>18</v>
      </c>
      <c r="AA659" s="1965">
        <f t="shared" si="402"/>
        <v>18</v>
      </c>
      <c r="AB659" s="1965">
        <f t="shared" si="402"/>
        <v>18</v>
      </c>
      <c r="AC659" s="1965">
        <f t="shared" si="402"/>
        <v>18</v>
      </c>
      <c r="AD659" s="1965">
        <f t="shared" si="402"/>
        <v>18</v>
      </c>
      <c r="AE659" s="1965">
        <f t="shared" si="402"/>
        <v>18</v>
      </c>
      <c r="AF659" s="1965">
        <f t="shared" si="402"/>
        <v>18</v>
      </c>
      <c r="AG659" s="1965">
        <f t="shared" si="402"/>
        <v>18</v>
      </c>
      <c r="AH659" s="1293"/>
      <c r="AI659" s="1293"/>
      <c r="AJ659" s="1293"/>
      <c r="AK659" s="1293"/>
      <c r="AL659" s="1293"/>
      <c r="AM659" s="1293"/>
      <c r="AN659" s="1293"/>
      <c r="AO659" s="1293"/>
      <c r="AP659" s="1293"/>
      <c r="AQ659" s="1293"/>
      <c r="AR659" s="1293"/>
      <c r="AS659" s="1293"/>
    </row>
    <row r="660" spans="1:45" ht="15.75">
      <c r="A660" s="1293" t="str">
        <f t="shared" si="384"/>
        <v>Lux $500m 5.125% 2028</v>
      </c>
      <c r="B660" s="1293"/>
      <c r="C660" s="1293"/>
      <c r="D660" s="1293"/>
      <c r="E660" s="1970">
        <v>5.1249999999999997E-2</v>
      </c>
      <c r="F660" s="1293"/>
      <c r="G660" s="1653"/>
      <c r="H660" s="1653"/>
      <c r="I660" s="1965"/>
      <c r="J660" s="1965"/>
      <c r="K660" s="1965"/>
      <c r="L660" s="1965"/>
      <c r="M660" s="1965"/>
      <c r="N660" s="1965"/>
      <c r="O660" s="1965"/>
      <c r="P660" s="1965"/>
      <c r="Q660" s="1965"/>
      <c r="R660" s="1965"/>
      <c r="S660" s="1965">
        <f>+$E660*AVERAGE(R576:S576)/4*3</f>
        <v>0</v>
      </c>
      <c r="T660" s="1965">
        <f t="shared" ref="T660:AG660" si="403">+$E660*AVERAGE(S576:T576)</f>
        <v>12.65875</v>
      </c>
      <c r="U660" s="1965">
        <f t="shared" si="403"/>
        <v>25.291874999999997</v>
      </c>
      <c r="V660" s="1965">
        <f t="shared" si="403"/>
        <v>25.266249999999999</v>
      </c>
      <c r="W660" s="1965">
        <f t="shared" si="403"/>
        <v>25.266249999999999</v>
      </c>
      <c r="X660" s="1965">
        <f t="shared" si="403"/>
        <v>25.266249999999999</v>
      </c>
      <c r="Y660" s="1965">
        <f t="shared" si="403"/>
        <v>25.266249999999999</v>
      </c>
      <c r="Z660" s="1965">
        <f t="shared" si="403"/>
        <v>25.266249999999999</v>
      </c>
      <c r="AA660" s="1965">
        <f t="shared" si="403"/>
        <v>25.266249999999999</v>
      </c>
      <c r="AB660" s="1965">
        <f t="shared" si="403"/>
        <v>25.266249999999999</v>
      </c>
      <c r="AC660" s="1965">
        <f t="shared" si="403"/>
        <v>25.266249999999999</v>
      </c>
      <c r="AD660" s="1965">
        <f t="shared" si="403"/>
        <v>25.266249999999999</v>
      </c>
      <c r="AE660" s="1965">
        <f t="shared" si="403"/>
        <v>25.266249999999999</v>
      </c>
      <c r="AF660" s="1965">
        <f t="shared" si="403"/>
        <v>25.266249999999999</v>
      </c>
      <c r="AG660" s="1965">
        <f t="shared" si="403"/>
        <v>25.266249999999999</v>
      </c>
      <c r="AH660" s="1293"/>
      <c r="AI660" s="1293"/>
      <c r="AJ660" s="1293"/>
      <c r="AK660" s="1293"/>
      <c r="AL660" s="1293"/>
      <c r="AM660" s="1293"/>
      <c r="AN660" s="1293"/>
      <c r="AO660" s="1293"/>
      <c r="AP660" s="1293"/>
      <c r="AQ660" s="1293"/>
      <c r="AR660" s="1293"/>
      <c r="AS660" s="1293"/>
    </row>
    <row r="661" spans="1:45" ht="15.75">
      <c r="A661" s="1293" t="str">
        <f t="shared" si="384"/>
        <v>$500m 6.625% (Lux), 2026</v>
      </c>
      <c r="B661" s="1293"/>
      <c r="C661" s="1293"/>
      <c r="D661" s="1293"/>
      <c r="E661" s="1970">
        <v>6.25E-2</v>
      </c>
      <c r="F661" s="1293"/>
      <c r="G661" s="1653"/>
      <c r="H661" s="1653"/>
      <c r="I661" s="1965"/>
      <c r="J661" s="1965"/>
      <c r="K661" s="1965"/>
      <c r="L661" s="1965"/>
      <c r="M661" s="1965"/>
      <c r="N661" s="1965"/>
      <c r="O661" s="1965"/>
      <c r="P661" s="1965"/>
      <c r="Q661" s="1965"/>
      <c r="R661" s="1965"/>
      <c r="S661" s="1965">
        <f>+$E661*AVERAGE(R577:S577)/4*3</f>
        <v>0</v>
      </c>
      <c r="T661" s="1965">
        <f>+$E661*AVERAGE(S577:T577)</f>
        <v>0</v>
      </c>
      <c r="U661" s="1965">
        <f>+$E661*AVERAGE(T577:U577)*0.25</f>
        <v>3.8671875</v>
      </c>
      <c r="V661" s="1965">
        <f t="shared" ref="V661:AG661" si="404">+$E661*AVERAGE(U577:V577)</f>
        <v>30.9375</v>
      </c>
      <c r="W661" s="1965">
        <f t="shared" si="404"/>
        <v>30.9375</v>
      </c>
      <c r="X661" s="1965">
        <f t="shared" si="404"/>
        <v>30.9375</v>
      </c>
      <c r="Y661" s="1965">
        <f t="shared" si="404"/>
        <v>30.9375</v>
      </c>
      <c r="Z661" s="1965">
        <f t="shared" si="404"/>
        <v>30.9375</v>
      </c>
      <c r="AA661" s="1965">
        <f t="shared" si="404"/>
        <v>30.9375</v>
      </c>
      <c r="AB661" s="1965">
        <f t="shared" si="404"/>
        <v>30.9375</v>
      </c>
      <c r="AC661" s="1965">
        <f t="shared" si="404"/>
        <v>30.9375</v>
      </c>
      <c r="AD661" s="1965">
        <f t="shared" si="404"/>
        <v>30.9375</v>
      </c>
      <c r="AE661" s="1965">
        <f t="shared" si="404"/>
        <v>30.9375</v>
      </c>
      <c r="AF661" s="1965">
        <f t="shared" si="404"/>
        <v>30.9375</v>
      </c>
      <c r="AG661" s="1965">
        <f t="shared" si="404"/>
        <v>30.9375</v>
      </c>
      <c r="AH661" s="1293"/>
      <c r="AI661" s="1293"/>
      <c r="AJ661" s="1293"/>
      <c r="AK661" s="1293"/>
      <c r="AL661" s="1293"/>
      <c r="AM661" s="1293"/>
      <c r="AN661" s="1293"/>
      <c r="AO661" s="1293"/>
      <c r="AP661" s="1293"/>
      <c r="AQ661" s="1293"/>
      <c r="AR661" s="1293"/>
      <c r="AS661" s="1293"/>
    </row>
    <row r="662" spans="1:45" ht="15.75">
      <c r="A662" s="1293" t="str">
        <f t="shared" si="384"/>
        <v>Cable Onda 5.75%, 2025</v>
      </c>
      <c r="B662" s="1293"/>
      <c r="C662" s="1293"/>
      <c r="D662" s="1293"/>
      <c r="E662" s="1970">
        <v>5.7500000000000002E-2</v>
      </c>
      <c r="F662" s="1293"/>
      <c r="G662" s="1653"/>
      <c r="H662" s="1653"/>
      <c r="I662" s="1965"/>
      <c r="J662" s="1965"/>
      <c r="K662" s="1965"/>
      <c r="L662" s="1965"/>
      <c r="M662" s="1965"/>
      <c r="N662" s="1965"/>
      <c r="O662" s="1965"/>
      <c r="P662" s="1965"/>
      <c r="Q662" s="1965"/>
      <c r="R662" s="1965"/>
      <c r="S662" s="1965"/>
      <c r="T662" s="1965"/>
      <c r="U662" s="1965"/>
      <c r="V662" s="1965">
        <f t="shared" ref="V662:AG662" si="405">+$E662*AVERAGE(U578:V578)</f>
        <v>10.58</v>
      </c>
      <c r="W662" s="1965">
        <f t="shared" si="405"/>
        <v>10.58</v>
      </c>
      <c r="X662" s="1965">
        <f t="shared" si="405"/>
        <v>10.58</v>
      </c>
      <c r="Y662" s="1965">
        <f t="shared" si="405"/>
        <v>10.58</v>
      </c>
      <c r="Z662" s="1965">
        <f t="shared" si="405"/>
        <v>10.58</v>
      </c>
      <c r="AA662" s="1965">
        <f t="shared" si="405"/>
        <v>10.58</v>
      </c>
      <c r="AB662" s="1965">
        <f t="shared" si="405"/>
        <v>10.58</v>
      </c>
      <c r="AC662" s="1965">
        <f t="shared" si="405"/>
        <v>10.58</v>
      </c>
      <c r="AD662" s="1965">
        <f t="shared" si="405"/>
        <v>10.58</v>
      </c>
      <c r="AE662" s="1965">
        <f t="shared" si="405"/>
        <v>10.58</v>
      </c>
      <c r="AF662" s="1965">
        <f t="shared" si="405"/>
        <v>10.58</v>
      </c>
      <c r="AG662" s="1965">
        <f t="shared" si="405"/>
        <v>10.58</v>
      </c>
      <c r="AH662" s="1293"/>
      <c r="AI662" s="1293"/>
      <c r="AJ662" s="1293"/>
      <c r="AK662" s="1293"/>
      <c r="AL662" s="1293"/>
      <c r="AM662" s="1293"/>
      <c r="AN662" s="1293"/>
      <c r="AO662" s="1293"/>
      <c r="AP662" s="1293"/>
      <c r="AQ662" s="1293"/>
      <c r="AR662" s="1293"/>
      <c r="AS662" s="1293"/>
    </row>
    <row r="663" spans="1:45" ht="15.75">
      <c r="A663" s="1293" t="str">
        <f t="shared" si="384"/>
        <v>IFRS 16 leases</v>
      </c>
      <c r="B663" s="1293"/>
      <c r="C663" s="1293"/>
      <c r="D663" s="1293"/>
      <c r="E663" s="1970"/>
      <c r="F663" s="1293"/>
      <c r="G663" s="1653"/>
      <c r="H663" s="1653"/>
      <c r="I663" s="1965"/>
      <c r="J663" s="1965"/>
      <c r="K663" s="1965"/>
      <c r="L663" s="1965"/>
      <c r="M663" s="1965"/>
      <c r="N663" s="1965"/>
      <c r="O663" s="1965"/>
      <c r="P663" s="1965"/>
      <c r="Q663" s="1965"/>
      <c r="R663" s="1965"/>
      <c r="S663" s="1965"/>
      <c r="T663" s="1965"/>
      <c r="U663" s="1965"/>
      <c r="V663" s="1965">
        <f t="shared" ref="V663:AG663" si="406">V437</f>
        <v>91</v>
      </c>
      <c r="W663" s="1965">
        <f t="shared" si="406"/>
        <v>56.3876953125</v>
      </c>
      <c r="X663" s="1965">
        <f t="shared" si="406"/>
        <v>117</v>
      </c>
      <c r="Y663" s="1965">
        <f t="shared" si="406"/>
        <v>196</v>
      </c>
      <c r="Z663" s="1965">
        <f t="shared" si="406"/>
        <v>190</v>
      </c>
      <c r="AA663" s="1965">
        <f t="shared" si="406"/>
        <v>120</v>
      </c>
      <c r="AB663" s="1965">
        <f t="shared" ca="1" si="406"/>
        <v>131.86800000000002</v>
      </c>
      <c r="AC663" s="1965">
        <f t="shared" ca="1" si="406"/>
        <v>134.50536</v>
      </c>
      <c r="AD663" s="1965">
        <f t="shared" ca="1" si="406"/>
        <v>137.19546719999997</v>
      </c>
      <c r="AE663" s="1965">
        <f t="shared" ca="1" si="406"/>
        <v>139.93937654399997</v>
      </c>
      <c r="AF663" s="1965">
        <f t="shared" ca="1" si="406"/>
        <v>142.73816407487996</v>
      </c>
      <c r="AG663" s="1965">
        <f t="shared" ca="1" si="406"/>
        <v>145.59292735637754</v>
      </c>
      <c r="AH663" s="1293"/>
      <c r="AI663" s="1293"/>
      <c r="AJ663" s="1293"/>
      <c r="AK663" s="1293"/>
      <c r="AL663" s="1293"/>
      <c r="AM663" s="1293"/>
      <c r="AN663" s="1293"/>
      <c r="AO663" s="1293"/>
      <c r="AP663" s="1293"/>
      <c r="AQ663" s="1293"/>
      <c r="AR663" s="1293"/>
      <c r="AS663" s="1293"/>
    </row>
    <row r="664" spans="1:45" ht="15.75">
      <c r="A664" s="1293" t="str">
        <f t="shared" si="384"/>
        <v>Paraguay 5.875% 2027</v>
      </c>
      <c r="B664" s="1293"/>
      <c r="C664" s="1293"/>
      <c r="D664" s="1293"/>
      <c r="E664" s="1970">
        <v>5.8749999999999997E-2</v>
      </c>
      <c r="F664" s="1293"/>
      <c r="G664" s="1653"/>
      <c r="H664" s="1653"/>
      <c r="I664" s="1965"/>
      <c r="J664" s="1965"/>
      <c r="K664" s="1965"/>
      <c r="L664" s="1965"/>
      <c r="M664" s="1965"/>
      <c r="N664" s="1965"/>
      <c r="O664" s="1965"/>
      <c r="P664" s="1965"/>
      <c r="Q664" s="1965"/>
      <c r="R664" s="1965"/>
      <c r="S664" s="1965"/>
      <c r="T664" s="1965"/>
      <c r="U664" s="1965"/>
      <c r="V664" s="1965">
        <f>+$E664*AVERAGE(U580:V580)*9/12</f>
        <v>13.21875</v>
      </c>
      <c r="W664" s="1965">
        <f t="shared" ref="W664:AG664" si="407">+$E664*AVERAGE(V580:W580)</f>
        <v>17.625</v>
      </c>
      <c r="X664" s="1965">
        <f t="shared" si="407"/>
        <v>17.625</v>
      </c>
      <c r="Y664" s="1965">
        <f t="shared" si="407"/>
        <v>17.625</v>
      </c>
      <c r="Z664" s="1965">
        <f t="shared" si="407"/>
        <v>17.625</v>
      </c>
      <c r="AA664" s="1965">
        <f t="shared" si="407"/>
        <v>17.625</v>
      </c>
      <c r="AB664" s="1965">
        <f t="shared" si="407"/>
        <v>17.625</v>
      </c>
      <c r="AC664" s="1965">
        <f t="shared" si="407"/>
        <v>17.625</v>
      </c>
      <c r="AD664" s="1965">
        <f t="shared" si="407"/>
        <v>17.625</v>
      </c>
      <c r="AE664" s="1965">
        <f t="shared" si="407"/>
        <v>17.625</v>
      </c>
      <c r="AF664" s="1965">
        <f t="shared" si="407"/>
        <v>17.625</v>
      </c>
      <c r="AG664" s="1965">
        <f t="shared" si="407"/>
        <v>17.625</v>
      </c>
      <c r="AH664" s="1293"/>
      <c r="AI664" s="1293"/>
      <c r="AJ664" s="1293"/>
      <c r="AK664" s="1293"/>
      <c r="AL664" s="1293"/>
      <c r="AM664" s="1293"/>
      <c r="AN664" s="1293"/>
      <c r="AO664" s="1293"/>
      <c r="AP664" s="1293"/>
      <c r="AQ664" s="1293"/>
      <c r="AR664" s="1293"/>
      <c r="AS664" s="1293"/>
    </row>
    <row r="665" spans="1:45" ht="15.75">
      <c r="A665" s="1293" t="str">
        <f t="shared" si="384"/>
        <v>SEK2 bn sustainability, STIBOR + 2.35%</v>
      </c>
      <c r="B665" s="1293"/>
      <c r="C665" s="1293"/>
      <c r="D665" s="1293"/>
      <c r="E665" s="1970">
        <v>2.35E-2</v>
      </c>
      <c r="F665" s="1293"/>
      <c r="G665" s="1653"/>
      <c r="H665" s="1653"/>
      <c r="I665" s="1965"/>
      <c r="J665" s="1965"/>
      <c r="K665" s="1965"/>
      <c r="L665" s="1965"/>
      <c r="M665" s="1965"/>
      <c r="N665" s="1965"/>
      <c r="O665" s="1965"/>
      <c r="P665" s="1965"/>
      <c r="Q665" s="1965"/>
      <c r="R665" s="1965"/>
      <c r="S665" s="1965"/>
      <c r="T665" s="1965"/>
      <c r="U665" s="1965"/>
      <c r="V665" s="1965">
        <f>+$E665*AVERAGE(U581:V581)*9/12</f>
        <v>3.5678137651821857</v>
      </c>
      <c r="W665" s="1965">
        <f t="shared" ref="W665:AG665" si="408">+$E665*AVERAGE(V581:W581)</f>
        <v>4.7570850202429149</v>
      </c>
      <c r="X665" s="1965">
        <f t="shared" si="408"/>
        <v>4.7570850202429149</v>
      </c>
      <c r="Y665" s="1965">
        <f t="shared" si="408"/>
        <v>4.7570850202429149</v>
      </c>
      <c r="Z665" s="1965">
        <f t="shared" si="408"/>
        <v>4.7570850202429149</v>
      </c>
      <c r="AA665" s="1965">
        <f t="shared" si="408"/>
        <v>2.3785425101214575</v>
      </c>
      <c r="AB665" s="1965">
        <f t="shared" si="408"/>
        <v>0</v>
      </c>
      <c r="AC665" s="1965">
        <f t="shared" si="408"/>
        <v>0</v>
      </c>
      <c r="AD665" s="1965">
        <f t="shared" si="408"/>
        <v>0</v>
      </c>
      <c r="AE665" s="1965">
        <f t="shared" si="408"/>
        <v>0</v>
      </c>
      <c r="AF665" s="1965">
        <f t="shared" si="408"/>
        <v>0</v>
      </c>
      <c r="AG665" s="1965">
        <f t="shared" si="408"/>
        <v>0</v>
      </c>
      <c r="AH665" s="1293"/>
      <c r="AI665" s="1293"/>
      <c r="AJ665" s="1293"/>
      <c r="AK665" s="1293"/>
      <c r="AL665" s="1293"/>
      <c r="AM665" s="1293"/>
      <c r="AN665" s="1293"/>
      <c r="AO665" s="1293"/>
      <c r="AP665" s="1293"/>
      <c r="AQ665" s="1293"/>
      <c r="AR665" s="1293"/>
      <c r="AS665" s="1293"/>
    </row>
    <row r="666" spans="1:45" ht="15.75">
      <c r="A666" s="1293" t="str">
        <f t="shared" si="384"/>
        <v>$750m 6.25% (Lux), 2029</v>
      </c>
      <c r="B666" s="1293"/>
      <c r="C666" s="1293"/>
      <c r="D666" s="1293"/>
      <c r="E666" s="1970">
        <v>6.25E-2</v>
      </c>
      <c r="F666" s="1293"/>
      <c r="G666" s="1653"/>
      <c r="H666" s="1653"/>
      <c r="I666" s="1965"/>
      <c r="J666" s="1965"/>
      <c r="K666" s="1965"/>
      <c r="L666" s="1965"/>
      <c r="M666" s="1965"/>
      <c r="N666" s="1965"/>
      <c r="O666" s="1965"/>
      <c r="P666" s="1965"/>
      <c r="Q666" s="1965"/>
      <c r="R666" s="1965"/>
      <c r="S666" s="1965"/>
      <c r="T666" s="1965"/>
      <c r="U666" s="1965"/>
      <c r="V666" s="1965">
        <f>+$E666*AVERAGE(U582:V582)*9/12</f>
        <v>35.15625</v>
      </c>
      <c r="W666" s="1965">
        <f t="shared" ref="W666:AG666" si="409">+$E666*AVERAGE(V582:W582)</f>
        <v>46.875</v>
      </c>
      <c r="X666" s="1965">
        <f t="shared" si="409"/>
        <v>46.875</v>
      </c>
      <c r="Y666" s="1965">
        <f t="shared" si="409"/>
        <v>46.875</v>
      </c>
      <c r="Z666" s="1965">
        <f t="shared" si="409"/>
        <v>46.875</v>
      </c>
      <c r="AA666" s="1965">
        <f t="shared" si="409"/>
        <v>46.875</v>
      </c>
      <c r="AB666" s="1965">
        <f t="shared" si="409"/>
        <v>46.875</v>
      </c>
      <c r="AC666" s="1965">
        <f t="shared" si="409"/>
        <v>46.875</v>
      </c>
      <c r="AD666" s="1965">
        <f t="shared" si="409"/>
        <v>46.875</v>
      </c>
      <c r="AE666" s="1965">
        <f t="shared" si="409"/>
        <v>46.875</v>
      </c>
      <c r="AF666" s="1965">
        <f t="shared" si="409"/>
        <v>46.875</v>
      </c>
      <c r="AG666" s="1965">
        <f t="shared" si="409"/>
        <v>46.875</v>
      </c>
      <c r="AH666" s="1293"/>
      <c r="AI666" s="1293"/>
      <c r="AJ666" s="1293"/>
      <c r="AK666" s="1293"/>
      <c r="AL666" s="1293"/>
      <c r="AM666" s="1293"/>
      <c r="AN666" s="1293"/>
      <c r="AO666" s="1293"/>
      <c r="AP666" s="1293"/>
      <c r="AQ666" s="1293"/>
      <c r="AR666" s="1293"/>
      <c r="AS666" s="1293"/>
    </row>
    <row r="667" spans="1:45" ht="15.75">
      <c r="A667" s="1293" t="str">
        <f t="shared" si="384"/>
        <v>$600m Panama @ 4.5%</v>
      </c>
      <c r="B667" s="1293"/>
      <c r="C667" s="1293"/>
      <c r="D667" s="1293"/>
      <c r="E667" s="1970">
        <v>4.4999999999999998E-2</v>
      </c>
      <c r="F667" s="1293"/>
      <c r="G667" s="1653"/>
      <c r="H667" s="1653"/>
      <c r="I667" s="1965"/>
      <c r="J667" s="1965"/>
      <c r="K667" s="1965"/>
      <c r="L667" s="1965"/>
      <c r="M667" s="1965"/>
      <c r="N667" s="1965"/>
      <c r="O667" s="1965"/>
      <c r="P667" s="1965"/>
      <c r="Q667" s="1965"/>
      <c r="R667" s="1965"/>
      <c r="S667" s="1965"/>
      <c r="T667" s="1965"/>
      <c r="U667" s="1965"/>
      <c r="V667" s="1698">
        <f>+$E667*AVERAGE(U583:V583)*2/12</f>
        <v>4.5</v>
      </c>
      <c r="W667" s="1965">
        <f t="shared" ref="W667:AG667" si="410">+$E667*AVERAGE(V583:W583)</f>
        <v>27</v>
      </c>
      <c r="X667" s="1965">
        <f t="shared" si="410"/>
        <v>27</v>
      </c>
      <c r="Y667" s="1965">
        <f t="shared" si="410"/>
        <v>27</v>
      </c>
      <c r="Z667" s="1965">
        <f t="shared" si="410"/>
        <v>27</v>
      </c>
      <c r="AA667" s="1965">
        <f t="shared" si="410"/>
        <v>27</v>
      </c>
      <c r="AB667" s="1965">
        <f t="shared" si="410"/>
        <v>27</v>
      </c>
      <c r="AC667" s="1965">
        <f t="shared" si="410"/>
        <v>27</v>
      </c>
      <c r="AD667" s="1965">
        <f t="shared" si="410"/>
        <v>27</v>
      </c>
      <c r="AE667" s="1965">
        <f t="shared" si="410"/>
        <v>27</v>
      </c>
      <c r="AF667" s="1965">
        <f t="shared" si="410"/>
        <v>27</v>
      </c>
      <c r="AG667" s="1965">
        <f t="shared" si="410"/>
        <v>27</v>
      </c>
      <c r="AH667" s="1293"/>
      <c r="AI667" s="1293"/>
      <c r="AJ667" s="1293"/>
      <c r="AK667" s="1293"/>
      <c r="AL667" s="1293"/>
      <c r="AM667" s="1293"/>
      <c r="AN667" s="1293"/>
      <c r="AO667" s="1293"/>
      <c r="AP667" s="1293"/>
      <c r="AQ667" s="1293"/>
      <c r="AR667" s="1293"/>
      <c r="AS667" s="1293"/>
    </row>
    <row r="668" spans="1:45" ht="15.75">
      <c r="A668" s="1331" t="str">
        <f t="shared" si="384"/>
        <v>$1500 Guat funding</v>
      </c>
      <c r="B668" s="1331"/>
      <c r="C668" s="1331"/>
      <c r="D668" s="1331"/>
      <c r="E668" s="1972">
        <v>5.3999999999999999E-2</v>
      </c>
      <c r="F668" s="1331"/>
      <c r="G668" s="1672"/>
      <c r="H668" s="1672"/>
      <c r="I668" s="1968"/>
      <c r="J668" s="1968"/>
      <c r="K668" s="1968"/>
      <c r="L668" s="1968"/>
      <c r="M668" s="1968"/>
      <c r="N668" s="1968"/>
      <c r="O668" s="1968"/>
      <c r="P668" s="1968"/>
      <c r="Q668" s="1968"/>
      <c r="R668" s="1968"/>
      <c r="S668" s="1968"/>
      <c r="T668" s="1968"/>
      <c r="U668" s="1968"/>
      <c r="V668" s="1968">
        <f>+$E668*AVERAGE(U584:V584)</f>
        <v>0</v>
      </c>
      <c r="W668" s="1968">
        <f>+$E668*AVERAGE(V584:W584)</f>
        <v>0</v>
      </c>
      <c r="X668" s="1969">
        <f>6/52*X584*0.08</f>
        <v>13.846153846153848</v>
      </c>
      <c r="Y668" s="1969">
        <f>(3/12*Y584*0.08)+(9/12*Y584*0.054)</f>
        <v>90.75</v>
      </c>
      <c r="Z668" s="1973">
        <f t="shared" ref="Z668:AG668" si="411">+$E668*AVERAGE(Y584:Z584)</f>
        <v>81</v>
      </c>
      <c r="AA668" s="1968">
        <f t="shared" si="411"/>
        <v>81</v>
      </c>
      <c r="AB668" s="1968">
        <f t="shared" si="411"/>
        <v>81</v>
      </c>
      <c r="AC668" s="1968">
        <f t="shared" si="411"/>
        <v>81</v>
      </c>
      <c r="AD668" s="1968">
        <f t="shared" si="411"/>
        <v>81</v>
      </c>
      <c r="AE668" s="1968">
        <f t="shared" si="411"/>
        <v>81</v>
      </c>
      <c r="AF668" s="1968">
        <f t="shared" si="411"/>
        <v>81</v>
      </c>
      <c r="AG668" s="1968">
        <f t="shared" si="411"/>
        <v>81</v>
      </c>
      <c r="AH668" s="1293"/>
      <c r="AI668" s="1293"/>
      <c r="AJ668" s="1293"/>
      <c r="AK668" s="1293"/>
      <c r="AL668" s="1293"/>
      <c r="AM668" s="1293"/>
      <c r="AN668" s="1293"/>
      <c r="AO668" s="1293"/>
      <c r="AP668" s="1293"/>
      <c r="AQ668" s="1293"/>
      <c r="AR668" s="1293"/>
      <c r="AS668" s="1293"/>
    </row>
    <row r="669" spans="1:45" ht="15.75">
      <c r="A669" s="1293" t="s">
        <v>2324</v>
      </c>
      <c r="B669" s="1293"/>
      <c r="C669" s="1293"/>
      <c r="D669" s="1293"/>
      <c r="E669" s="1293"/>
      <c r="F669" s="1293"/>
      <c r="G669" s="1966">
        <f t="shared" ref="G669:X669" si="412">-G411</f>
        <v>108.53400000000001</v>
      </c>
      <c r="H669" s="1966">
        <f t="shared" si="412"/>
        <v>143.74</v>
      </c>
      <c r="I669" s="1966">
        <f t="shared" si="412"/>
        <v>123.96899999999999</v>
      </c>
      <c r="J669" s="1966">
        <f t="shared" si="412"/>
        <v>163.4</v>
      </c>
      <c r="K669" s="1966">
        <f t="shared" si="412"/>
        <v>179</v>
      </c>
      <c r="L669" s="1966">
        <f t="shared" si="412"/>
        <v>198</v>
      </c>
      <c r="M669" s="1966">
        <f t="shared" si="412"/>
        <v>214.8</v>
      </c>
      <c r="N669" s="1966">
        <f t="shared" si="412"/>
        <v>187</v>
      </c>
      <c r="O669" s="1966">
        <f t="shared" si="412"/>
        <v>220</v>
      </c>
      <c r="P669" s="1966">
        <f t="shared" si="412"/>
        <v>282</v>
      </c>
      <c r="Q669" s="1965">
        <f t="shared" si="412"/>
        <v>405</v>
      </c>
      <c r="R669" s="1965">
        <f t="shared" si="412"/>
        <v>419</v>
      </c>
      <c r="S669" s="1965">
        <f t="shared" si="412"/>
        <v>494</v>
      </c>
      <c r="T669" s="1965">
        <f t="shared" si="412"/>
        <v>493</v>
      </c>
      <c r="U669" s="1965">
        <f t="shared" si="412"/>
        <v>458</v>
      </c>
      <c r="V669" s="1965">
        <f t="shared" si="412"/>
        <v>543</v>
      </c>
      <c r="W669" s="1965">
        <f t="shared" si="412"/>
        <v>687.6123046875</v>
      </c>
      <c r="X669" s="1965">
        <f t="shared" si="412"/>
        <v>488</v>
      </c>
      <c r="Y669" s="1966">
        <f>688</f>
        <v>688</v>
      </c>
      <c r="Z669" s="1967">
        <f t="shared" ref="Z669:AG669" ca="1" si="413">SUM(Z644:Z668)</f>
        <v>759.77244611125434</v>
      </c>
      <c r="AA669" s="1965">
        <f t="shared" ca="1" si="413"/>
        <v>663.08496049082669</v>
      </c>
      <c r="AB669" s="1965">
        <f t="shared" ca="1" si="413"/>
        <v>621.8926880361696</v>
      </c>
      <c r="AC669" s="1965">
        <f t="shared" ca="1" si="413"/>
        <v>608.87674143987601</v>
      </c>
      <c r="AD669" s="1965">
        <f t="shared" ca="1" si="413"/>
        <v>610.36934863987597</v>
      </c>
      <c r="AE669" s="1965">
        <f t="shared" ca="1" si="413"/>
        <v>611.91575798387601</v>
      </c>
      <c r="AF669" s="1965">
        <f t="shared" ca="1" si="413"/>
        <v>613.51704551475598</v>
      </c>
      <c r="AG669" s="1965">
        <f t="shared" ca="1" si="413"/>
        <v>615.17430879625351</v>
      </c>
      <c r="AH669" s="1293"/>
      <c r="AI669" s="1293"/>
      <c r="AJ669" s="1293"/>
      <c r="AK669" s="1293"/>
      <c r="AL669" s="1293"/>
      <c r="AM669" s="1293"/>
      <c r="AN669" s="1293"/>
      <c r="AO669" s="1293"/>
      <c r="AP669" s="1293"/>
      <c r="AQ669" s="1293"/>
      <c r="AR669" s="1293"/>
      <c r="AS669" s="1293"/>
    </row>
    <row r="670" spans="1:45" ht="15.75">
      <c r="A670" s="1293" t="s">
        <v>811</v>
      </c>
      <c r="B670" s="1293"/>
      <c r="C670" s="1293"/>
      <c r="D670" s="1293"/>
      <c r="E670" s="1293"/>
      <c r="F670" s="1293"/>
      <c r="G670" s="1293"/>
      <c r="H670" s="1709">
        <f t="shared" ref="H670:AG670" si="414">+H669/AVERAGE(G585:H585)</f>
        <v>0.12248640412844115</v>
      </c>
      <c r="I670" s="1709">
        <f t="shared" si="414"/>
        <v>9.0943736866256161E-2</v>
      </c>
      <c r="J670" s="1709">
        <f t="shared" ca="1" si="414"/>
        <v>9.8191775026658712E-2</v>
      </c>
      <c r="K670" s="1709">
        <f t="shared" ca="1" si="414"/>
        <v>8.9668240035366345E-2</v>
      </c>
      <c r="L670" s="1709">
        <f t="shared" ca="1" si="414"/>
        <v>8.7922432875885054E-2</v>
      </c>
      <c r="M670" s="1709">
        <f t="shared" ca="1" si="414"/>
        <v>9.1442466596679983E-2</v>
      </c>
      <c r="N670" s="1709">
        <f t="shared" ca="1" si="414"/>
        <v>7.6170520949337239E-2</v>
      </c>
      <c r="O670" s="1709">
        <f t="shared" ca="1" si="414"/>
        <v>7.5640364449028705E-2</v>
      </c>
      <c r="P670" s="1709">
        <f t="shared" ca="1" si="414"/>
        <v>7.8485944892847201E-2</v>
      </c>
      <c r="Q670" s="1709">
        <f t="shared" si="414"/>
        <v>9.250799451804477E-2</v>
      </c>
      <c r="R670" s="1709">
        <f t="shared" si="414"/>
        <v>8.2044252986097507E-2</v>
      </c>
      <c r="S670" s="1709">
        <f t="shared" si="414"/>
        <v>9.2552693208430917E-2</v>
      </c>
      <c r="T670" s="1709">
        <f t="shared" si="414"/>
        <v>9.4281889462612359E-2</v>
      </c>
      <c r="U670" s="1709">
        <f t="shared" si="414"/>
        <v>8.1487412151943772E-2</v>
      </c>
      <c r="V670" s="1709">
        <f t="shared" si="414"/>
        <v>7.3857453754080524E-2</v>
      </c>
      <c r="W670" s="1709">
        <f t="shared" si="414"/>
        <v>8.393704891204834E-2</v>
      </c>
      <c r="X670" s="1709">
        <f t="shared" si="414"/>
        <v>5.7401635005587252E-2</v>
      </c>
      <c r="Y670" s="1709">
        <f t="shared" si="414"/>
        <v>8.0609256004686589E-2</v>
      </c>
      <c r="Z670" s="1709">
        <f t="shared" ca="1" si="414"/>
        <v>9.7412968281460913E-2</v>
      </c>
      <c r="AA670" s="1709">
        <f t="shared" ca="1" si="414"/>
        <v>9.1225789449351169E-2</v>
      </c>
      <c r="AB670" s="1709">
        <f t="shared" ca="1" si="414"/>
        <v>9.5622051983715414E-2</v>
      </c>
      <c r="AC670" s="1709">
        <f t="shared" ca="1" si="414"/>
        <v>9.7629896031212263E-2</v>
      </c>
      <c r="AD670" s="1709">
        <f t="shared" ca="1" si="414"/>
        <v>9.826312526645338E-2</v>
      </c>
      <c r="AE670" s="1709">
        <f t="shared" ca="1" si="414"/>
        <v>9.8910168853697189E-2</v>
      </c>
      <c r="AF670" s="1709">
        <f t="shared" ca="1" si="414"/>
        <v>9.9571369581479025E-2</v>
      </c>
      <c r="AG670" s="1709">
        <f t="shared" ca="1" si="414"/>
        <v>0.10024707933129859</v>
      </c>
      <c r="AH670" s="1293"/>
      <c r="AI670" s="1293"/>
      <c r="AJ670" s="1293"/>
      <c r="AK670" s="1293"/>
      <c r="AL670" s="1293"/>
      <c r="AM670" s="1293"/>
      <c r="AN670" s="1293"/>
      <c r="AO670" s="1293"/>
      <c r="AP670" s="1293"/>
      <c r="AQ670" s="1293"/>
      <c r="AR670" s="1293"/>
      <c r="AS670" s="1293"/>
    </row>
    <row r="671" spans="1:45" ht="15.75">
      <c r="A671" s="1293"/>
      <c r="B671" s="1293"/>
      <c r="C671" s="1293"/>
      <c r="D671" s="1293"/>
      <c r="E671" s="1293"/>
      <c r="F671" s="1293"/>
      <c r="G671" s="1293"/>
      <c r="H671" s="1293"/>
      <c r="I671" s="1293"/>
      <c r="J671" s="1293"/>
      <c r="K671" s="1293"/>
      <c r="L671" s="1293"/>
      <c r="M671" s="1293"/>
      <c r="N671" s="1965"/>
      <c r="O671" s="1293"/>
      <c r="P671" s="1293"/>
      <c r="Q671" s="1293"/>
      <c r="R671" s="1293"/>
      <c r="S671" s="1293"/>
      <c r="T671" s="1293"/>
      <c r="U671" s="1293"/>
      <c r="V671" s="1293"/>
      <c r="W671" s="1293"/>
      <c r="X671" s="1293"/>
      <c r="Y671" s="1293"/>
      <c r="Z671" s="1293"/>
      <c r="AA671" s="1293"/>
      <c r="AB671" s="1293"/>
      <c r="AC671" s="1293"/>
      <c r="AD671" s="1293"/>
      <c r="AE671" s="1293"/>
      <c r="AF671" s="1293"/>
      <c r="AG671" s="1293"/>
      <c r="AH671" s="1293"/>
      <c r="AI671" s="1293"/>
      <c r="AJ671" s="1293"/>
      <c r="AK671" s="1293"/>
      <c r="AL671" s="1293"/>
      <c r="AM671" s="1293"/>
      <c r="AN671" s="1293"/>
      <c r="AO671" s="1293"/>
      <c r="AP671" s="1293"/>
      <c r="AQ671" s="1293"/>
      <c r="AR671" s="1293"/>
      <c r="AS671" s="1293"/>
    </row>
    <row r="672" spans="1:45" ht="15.75">
      <c r="A672" s="1293" t="s">
        <v>2317</v>
      </c>
      <c r="B672" s="1293"/>
      <c r="C672" s="1293"/>
      <c r="D672" s="1293"/>
      <c r="E672" s="1293"/>
      <c r="F672" s="1293"/>
      <c r="G672" s="1293"/>
      <c r="H672" s="1293"/>
      <c r="I672" s="1293"/>
      <c r="J672" s="1293"/>
      <c r="K672" s="1938"/>
      <c r="L672" s="1938"/>
      <c r="M672" s="1938"/>
      <c r="N672" s="1938"/>
      <c r="O672" s="1709">
        <f t="shared" ref="O672:W672" ca="1" si="415">O647/AVERAGE(N563:O563)</f>
        <v>8.3466781261731182E-2</v>
      </c>
      <c r="P672" s="1709">
        <f t="shared" ca="1" si="415"/>
        <v>8.3047768126590912E-2</v>
      </c>
      <c r="Q672" s="1709">
        <f t="shared" ca="1" si="415"/>
        <v>0.12152670454545453</v>
      </c>
      <c r="R672" s="1709">
        <f t="shared" ca="1" si="415"/>
        <v>8.1295476911430728E-2</v>
      </c>
      <c r="S672" s="1709">
        <f t="shared" ca="1" si="415"/>
        <v>0.13096050934880724</v>
      </c>
      <c r="T672" s="1709">
        <f t="shared" ca="1" si="415"/>
        <v>0.13370436141304348</v>
      </c>
      <c r="U672" s="1709">
        <f t="shared" ca="1" si="415"/>
        <v>0.10375077353326193</v>
      </c>
      <c r="V672" s="1709">
        <f t="shared" ca="1" si="415"/>
        <v>6.1385001695512184E-2</v>
      </c>
      <c r="W672" s="1709">
        <f t="shared" ca="1" si="415"/>
        <v>0.18918475378610536</v>
      </c>
      <c r="X672" s="1938">
        <v>0</v>
      </c>
      <c r="Y672" s="1709">
        <f ca="1">Y647/AVERAGE(X563:Y563)</f>
        <v>6.9820034358953245E-2</v>
      </c>
      <c r="Z672" s="1974">
        <v>0.35</v>
      </c>
      <c r="AA672" s="1938">
        <v>0.37</v>
      </c>
      <c r="AB672" s="1938">
        <v>0.35</v>
      </c>
      <c r="AC672" s="1938">
        <v>0.35</v>
      </c>
      <c r="AD672" s="1938">
        <v>0.35</v>
      </c>
      <c r="AE672" s="1938">
        <v>0.35</v>
      </c>
      <c r="AF672" s="1938">
        <v>0.35</v>
      </c>
      <c r="AG672" s="1938">
        <v>0.35</v>
      </c>
      <c r="AH672" s="1293"/>
      <c r="AI672" s="1293"/>
      <c r="AJ672" s="1293"/>
      <c r="AK672" s="1293"/>
      <c r="AL672" s="1293"/>
      <c r="AM672" s="1293"/>
      <c r="AN672" s="1293"/>
      <c r="AO672" s="1293"/>
      <c r="AP672" s="1293"/>
      <c r="AQ672" s="1293"/>
      <c r="AR672" s="1293"/>
      <c r="AS672" s="1293"/>
    </row>
    <row r="673" spans="1:45" ht="15.75">
      <c r="A673" s="1293"/>
      <c r="B673" s="1293"/>
      <c r="C673" s="1293"/>
      <c r="D673" s="1293"/>
      <c r="E673" s="1293"/>
      <c r="F673" s="1293"/>
      <c r="G673" s="1293"/>
      <c r="H673" s="1293"/>
      <c r="I673" s="1293"/>
      <c r="J673" s="1293"/>
      <c r="K673" s="1293"/>
      <c r="L673" s="1293"/>
      <c r="M673" s="1293"/>
      <c r="N673" s="1293"/>
      <c r="O673" s="1293"/>
      <c r="P673" s="1293"/>
      <c r="Q673" s="1293"/>
      <c r="R673" s="1293"/>
      <c r="S673" s="1293"/>
      <c r="T673" s="1293"/>
      <c r="U673" s="1293"/>
      <c r="V673" s="1293"/>
      <c r="W673" s="1293"/>
      <c r="X673" s="1293"/>
      <c r="Y673" s="1293"/>
      <c r="Z673" s="1293"/>
      <c r="AA673" s="1293"/>
      <c r="AB673" s="1293"/>
      <c r="AC673" s="1293"/>
      <c r="AD673" s="1293"/>
      <c r="AE673" s="1293"/>
      <c r="AF673" s="1293"/>
      <c r="AG673" s="1293"/>
      <c r="AH673" s="1293"/>
      <c r="AI673" s="1293"/>
      <c r="AJ673" s="1293"/>
      <c r="AK673" s="1293"/>
      <c r="AL673" s="1293"/>
      <c r="AM673" s="1293"/>
      <c r="AN673" s="1293"/>
      <c r="AO673" s="1293"/>
      <c r="AP673" s="1293"/>
      <c r="AQ673" s="1293"/>
      <c r="AR673" s="1293"/>
      <c r="AS673" s="1293"/>
    </row>
    <row r="674" spans="1:45" ht="15.75">
      <c r="A674" s="1657" t="s">
        <v>2388</v>
      </c>
      <c r="B674" s="1672"/>
      <c r="C674" s="1672"/>
      <c r="D674" s="1672"/>
      <c r="E674" s="1672"/>
      <c r="F674" s="1672"/>
      <c r="G674" s="1331"/>
      <c r="H674" s="1658"/>
      <c r="I674" s="1658"/>
      <c r="J674" s="1658"/>
      <c r="K674" s="1331"/>
      <c r="L674" s="1324"/>
      <c r="M674" s="1331"/>
      <c r="N674" s="1331"/>
      <c r="O674" s="1331"/>
      <c r="P674" s="1331"/>
      <c r="Q674" s="1331"/>
      <c r="R674" s="1331"/>
      <c r="S674" s="1331"/>
      <c r="T674" s="1331"/>
      <c r="U674" s="1331"/>
      <c r="V674" s="1331"/>
      <c r="W674" s="1331"/>
      <c r="X674" s="1331"/>
      <c r="Y674" s="1331"/>
      <c r="Z674" s="1331"/>
      <c r="AA674" s="1331"/>
      <c r="AB674" s="1331"/>
      <c r="AC674" s="1331"/>
      <c r="AD674" s="1331"/>
      <c r="AE674" s="1331"/>
      <c r="AF674" s="1331"/>
      <c r="AG674" s="1331"/>
      <c r="AH674" s="1293"/>
      <c r="AI674" s="1293"/>
      <c r="AJ674" s="1293"/>
      <c r="AK674" s="1293"/>
      <c r="AL674" s="1293"/>
      <c r="AM674" s="1293"/>
      <c r="AN674" s="1293"/>
      <c r="AO674" s="1293"/>
      <c r="AP674" s="1293"/>
      <c r="AQ674" s="1293"/>
      <c r="AR674" s="1293"/>
      <c r="AS674" s="1293"/>
    </row>
    <row r="675" spans="1:45" ht="15.75">
      <c r="A675" s="1293" t="s">
        <v>2377</v>
      </c>
      <c r="B675" s="1293"/>
      <c r="C675" s="1293"/>
      <c r="D675" s="1293"/>
      <c r="E675" s="1293"/>
      <c r="F675" s="1293"/>
      <c r="G675" s="1293"/>
      <c r="H675" s="1293"/>
      <c r="I675" s="1293"/>
      <c r="J675" s="1293"/>
      <c r="K675" s="1293"/>
      <c r="L675" s="1293"/>
      <c r="M675" s="1293">
        <v>99</v>
      </c>
      <c r="N675" s="1293"/>
      <c r="O675" s="1293">
        <v>198</v>
      </c>
      <c r="P675" s="1293"/>
      <c r="Q675" s="1293">
        <v>163</v>
      </c>
      <c r="R675" s="1293"/>
      <c r="S675" s="1293"/>
      <c r="T675" s="1293"/>
      <c r="U675" s="1293"/>
      <c r="V675" s="1293"/>
      <c r="W675" s="1293"/>
      <c r="X675" s="1293"/>
      <c r="Y675" s="1293"/>
      <c r="Z675" s="1293"/>
      <c r="AA675" s="1293"/>
      <c r="AB675" s="1293"/>
      <c r="AC675" s="1293"/>
      <c r="AD675" s="1293"/>
      <c r="AE675" s="1293"/>
      <c r="AF675" s="1293"/>
      <c r="AG675" s="1293"/>
      <c r="AH675" s="1293"/>
      <c r="AI675" s="1293"/>
      <c r="AJ675" s="1293"/>
      <c r="AK675" s="1293"/>
      <c r="AL675" s="1293"/>
      <c r="AM675" s="1293"/>
      <c r="AN675" s="1293"/>
      <c r="AO675" s="1293"/>
      <c r="AP675" s="1293"/>
      <c r="AQ675" s="1293"/>
      <c r="AR675" s="1293"/>
      <c r="AS675" s="1293"/>
    </row>
    <row r="676" spans="1:45" ht="15.75">
      <c r="A676" s="1293" t="s">
        <v>579</v>
      </c>
      <c r="B676" s="1293"/>
      <c r="C676" s="1293"/>
      <c r="D676" s="1293"/>
      <c r="E676" s="1293"/>
      <c r="F676" s="1293"/>
      <c r="G676" s="1293"/>
      <c r="H676" s="1293"/>
      <c r="I676" s="1293"/>
      <c r="J676" s="1293"/>
      <c r="K676" s="1293"/>
      <c r="L676" s="1293"/>
      <c r="M676" s="1293">
        <v>107</v>
      </c>
      <c r="N676" s="1293"/>
      <c r="O676" s="1293">
        <v>98</v>
      </c>
      <c r="P676" s="1293"/>
      <c r="Q676" s="1293">
        <v>71</v>
      </c>
      <c r="R676" s="1293"/>
      <c r="S676" s="1293"/>
      <c r="T676" s="1293"/>
      <c r="U676" s="1293"/>
      <c r="V676" s="1293"/>
      <c r="W676" s="1293"/>
      <c r="X676" s="1293"/>
      <c r="Y676" s="1293"/>
      <c r="Z676" s="1293"/>
      <c r="AA676" s="1293"/>
      <c r="AB676" s="1293"/>
      <c r="AC676" s="1293"/>
      <c r="AD676" s="1293"/>
      <c r="AE676" s="1293"/>
      <c r="AF676" s="1293"/>
      <c r="AG676" s="1293"/>
      <c r="AH676" s="1293"/>
      <c r="AI676" s="1293"/>
      <c r="AJ676" s="1293"/>
      <c r="AK676" s="1293"/>
      <c r="AL676" s="1293"/>
      <c r="AM676" s="1293"/>
      <c r="AN676" s="1293"/>
      <c r="AO676" s="1293"/>
      <c r="AP676" s="1293"/>
      <c r="AQ676" s="1293"/>
      <c r="AR676" s="1293"/>
      <c r="AS676" s="1293"/>
    </row>
    <row r="677" spans="1:45" ht="15.75">
      <c r="A677" s="1293" t="s">
        <v>1665</v>
      </c>
      <c r="B677" s="1293"/>
      <c r="C677" s="1293"/>
      <c r="D677" s="1293"/>
      <c r="E677" s="1293"/>
      <c r="F677" s="1293"/>
      <c r="G677" s="1293"/>
      <c r="H677" s="1293"/>
      <c r="I677" s="1293"/>
      <c r="J677" s="1293"/>
      <c r="K677" s="1293"/>
      <c r="L677" s="1293"/>
      <c r="M677" s="1293">
        <v>522</v>
      </c>
      <c r="N677" s="1293"/>
      <c r="O677" s="1293">
        <v>547</v>
      </c>
      <c r="P677" s="1293">
        <v>444</v>
      </c>
      <c r="Q677" s="1293">
        <v>848</v>
      </c>
      <c r="R677" s="1293"/>
      <c r="S677" s="1293"/>
      <c r="T677" s="1293"/>
      <c r="U677" s="1293"/>
      <c r="V677" s="1293"/>
      <c r="W677" s="1293"/>
      <c r="X677" s="1293"/>
      <c r="Y677" s="1293"/>
      <c r="Z677" s="1293"/>
      <c r="AA677" s="1293"/>
      <c r="AB677" s="1293"/>
      <c r="AC677" s="1293"/>
      <c r="AD677" s="1293"/>
      <c r="AE677" s="1293"/>
      <c r="AF677" s="1293"/>
      <c r="AG677" s="1293"/>
      <c r="AH677" s="1293"/>
      <c r="AI677" s="1293"/>
      <c r="AJ677" s="1293"/>
      <c r="AK677" s="1293"/>
      <c r="AL677" s="1293"/>
      <c r="AM677" s="1293"/>
      <c r="AN677" s="1293"/>
      <c r="AO677" s="1293"/>
      <c r="AP677" s="1293"/>
      <c r="AQ677" s="1293"/>
      <c r="AR677" s="1293"/>
      <c r="AS677" s="1293"/>
    </row>
    <row r="678" spans="1:45" ht="15.75">
      <c r="A678" s="1293" t="s">
        <v>1961</v>
      </c>
      <c r="B678" s="1293"/>
      <c r="C678" s="1293"/>
      <c r="D678" s="1293"/>
      <c r="E678" s="1293"/>
      <c r="F678" s="1293"/>
      <c r="G678" s="1293"/>
      <c r="H678" s="1293"/>
      <c r="I678" s="1293"/>
      <c r="J678" s="1293"/>
      <c r="K678" s="1293"/>
      <c r="L678" s="1293"/>
      <c r="M678" s="1293">
        <v>94</v>
      </c>
      <c r="N678" s="1293"/>
      <c r="O678" s="1293">
        <v>124</v>
      </c>
      <c r="P678" s="1293"/>
      <c r="Q678" s="1293">
        <v>35</v>
      </c>
      <c r="R678" s="1293"/>
      <c r="S678" s="1293"/>
      <c r="T678" s="1293"/>
      <c r="U678" s="1293"/>
      <c r="V678" s="1293"/>
      <c r="W678" s="1293"/>
      <c r="X678" s="1293"/>
      <c r="Y678" s="1293"/>
      <c r="Z678" s="1293"/>
      <c r="AA678" s="1293"/>
      <c r="AB678" s="1293"/>
      <c r="AC678" s="1293"/>
      <c r="AD678" s="1293"/>
      <c r="AE678" s="1293"/>
      <c r="AF678" s="1293"/>
      <c r="AG678" s="1293"/>
      <c r="AH678" s="1293"/>
      <c r="AI678" s="1293"/>
      <c r="AJ678" s="1293"/>
      <c r="AK678" s="1293"/>
      <c r="AL678" s="1293"/>
      <c r="AM678" s="1293"/>
      <c r="AN678" s="1293"/>
      <c r="AO678" s="1293"/>
      <c r="AP678" s="1293"/>
      <c r="AQ678" s="1293"/>
      <c r="AR678" s="1293"/>
      <c r="AS678" s="1293"/>
    </row>
    <row r="679" spans="1:45" ht="15.75">
      <c r="A679" s="1293" t="s">
        <v>1719</v>
      </c>
      <c r="B679" s="1293"/>
      <c r="C679" s="1293"/>
      <c r="D679" s="1293"/>
      <c r="E679" s="1293"/>
      <c r="F679" s="1293"/>
      <c r="G679" s="1293"/>
      <c r="H679" s="1293"/>
      <c r="I679" s="1293"/>
      <c r="J679" s="1293"/>
      <c r="K679" s="1293"/>
      <c r="L679" s="1293"/>
      <c r="M679" s="1293">
        <v>435</v>
      </c>
      <c r="N679" s="1293"/>
      <c r="O679" s="1293">
        <v>440</v>
      </c>
      <c r="P679" s="1293">
        <v>443</v>
      </c>
      <c r="Q679" s="1293">
        <v>308</v>
      </c>
      <c r="R679" s="1293"/>
      <c r="S679" s="1293"/>
      <c r="T679" s="1293"/>
      <c r="U679" s="1293"/>
      <c r="V679" s="1293"/>
      <c r="W679" s="1293"/>
      <c r="X679" s="1293"/>
      <c r="Y679" s="1293"/>
      <c r="Z679" s="1293"/>
      <c r="AA679" s="1293"/>
      <c r="AB679" s="1293"/>
      <c r="AC679" s="1293"/>
      <c r="AD679" s="1293"/>
      <c r="AE679" s="1293"/>
      <c r="AF679" s="1293"/>
      <c r="AG679" s="1293"/>
      <c r="AH679" s="1293"/>
      <c r="AI679" s="1293"/>
      <c r="AJ679" s="1293"/>
      <c r="AK679" s="1293"/>
      <c r="AL679" s="1293"/>
      <c r="AM679" s="1293"/>
      <c r="AN679" s="1293"/>
      <c r="AO679" s="1293"/>
      <c r="AP679" s="1293"/>
      <c r="AQ679" s="1293"/>
      <c r="AR679" s="1293"/>
      <c r="AS679" s="1293"/>
    </row>
    <row r="680" spans="1:45" ht="15.75">
      <c r="A680" s="1293" t="s">
        <v>2382</v>
      </c>
      <c r="B680" s="1293"/>
      <c r="C680" s="1293"/>
      <c r="D680" s="1293"/>
      <c r="E680" s="1293"/>
      <c r="F680" s="1293"/>
      <c r="G680" s="1293"/>
      <c r="H680" s="1293"/>
      <c r="I680" s="1293"/>
      <c r="J680" s="1293"/>
      <c r="K680" s="1293"/>
      <c r="L680" s="1293"/>
      <c r="M680" s="1293">
        <v>158</v>
      </c>
      <c r="N680" s="1293"/>
      <c r="O680" s="1293">
        <v>76</v>
      </c>
      <c r="P680" s="1293"/>
      <c r="Q680" s="1293">
        <v>50</v>
      </c>
      <c r="R680" s="1293"/>
      <c r="S680" s="1293"/>
      <c r="T680" s="1293"/>
      <c r="U680" s="1293"/>
      <c r="V680" s="1293"/>
      <c r="W680" s="1293"/>
      <c r="X680" s="1293"/>
      <c r="Y680" s="1293"/>
      <c r="Z680" s="1293"/>
      <c r="AA680" s="1293"/>
      <c r="AB680" s="1293"/>
      <c r="AC680" s="1293"/>
      <c r="AD680" s="1293"/>
      <c r="AE680" s="1293"/>
      <c r="AF680" s="1293"/>
      <c r="AG680" s="1293"/>
      <c r="AH680" s="1293"/>
      <c r="AI680" s="1293"/>
      <c r="AJ680" s="1293"/>
      <c r="AK680" s="1293"/>
      <c r="AL680" s="1293"/>
      <c r="AM680" s="1293"/>
      <c r="AN680" s="1293"/>
      <c r="AO680" s="1293"/>
      <c r="AP680" s="1293"/>
      <c r="AQ680" s="1293"/>
      <c r="AR680" s="1293"/>
      <c r="AS680" s="1293"/>
    </row>
    <row r="681" spans="1:45" ht="15.75">
      <c r="A681" s="1293" t="s">
        <v>2380</v>
      </c>
      <c r="B681" s="1293"/>
      <c r="C681" s="1293"/>
      <c r="D681" s="1293"/>
      <c r="E681" s="1293"/>
      <c r="F681" s="1293"/>
      <c r="G681" s="1293"/>
      <c r="H681" s="1666"/>
      <c r="I681" s="1666"/>
      <c r="J681" s="1666"/>
      <c r="K681" s="1293"/>
      <c r="L681" s="1293"/>
      <c r="M681" s="1293">
        <v>207</v>
      </c>
      <c r="N681" s="1293"/>
      <c r="O681" s="1293">
        <v>229</v>
      </c>
      <c r="P681" s="1293"/>
      <c r="Q681" s="1293">
        <v>348</v>
      </c>
      <c r="R681" s="1293"/>
      <c r="S681" s="1293"/>
      <c r="T681" s="1293"/>
      <c r="U681" s="1293"/>
      <c r="V681" s="1293"/>
      <c r="W681" s="1293"/>
      <c r="X681" s="1293"/>
      <c r="Y681" s="1293"/>
      <c r="Z681" s="1293"/>
      <c r="AA681" s="1293"/>
      <c r="AB681" s="1293"/>
      <c r="AC681" s="1293"/>
      <c r="AD681" s="1293"/>
      <c r="AE681" s="1293"/>
      <c r="AF681" s="1293"/>
      <c r="AG681" s="1293"/>
      <c r="AH681" s="1293"/>
      <c r="AI681" s="1293"/>
      <c r="AJ681" s="1293"/>
      <c r="AK681" s="1293"/>
      <c r="AL681" s="1293"/>
      <c r="AM681" s="1293"/>
      <c r="AN681" s="1293"/>
      <c r="AO681" s="1293"/>
      <c r="AP681" s="1293"/>
      <c r="AQ681" s="1293"/>
      <c r="AR681" s="1293"/>
      <c r="AS681" s="1293"/>
    </row>
    <row r="682" spans="1:45" ht="15.75">
      <c r="A682" s="1293" t="s">
        <v>2378</v>
      </c>
      <c r="B682" s="1293"/>
      <c r="C682" s="1293"/>
      <c r="D682" s="1293"/>
      <c r="E682" s="1293"/>
      <c r="F682" s="1293"/>
      <c r="G682" s="1293"/>
      <c r="H682" s="1293"/>
      <c r="I682" s="1293"/>
      <c r="J682" s="1293"/>
      <c r="K682" s="1293"/>
      <c r="L682" s="1293"/>
      <c r="M682" s="1293">
        <v>106</v>
      </c>
      <c r="N682" s="1293"/>
      <c r="O682" s="1293">
        <v>379</v>
      </c>
      <c r="P682" s="1293"/>
      <c r="Q682" s="1293">
        <v>339</v>
      </c>
      <c r="R682" s="1293"/>
      <c r="S682" s="1293"/>
      <c r="T682" s="1293"/>
      <c r="U682" s="1293"/>
      <c r="V682" s="1293"/>
      <c r="W682" s="1293"/>
      <c r="X682" s="1293"/>
      <c r="Y682" s="1293"/>
      <c r="Z682" s="1293"/>
      <c r="AA682" s="1293"/>
      <c r="AB682" s="1293"/>
      <c r="AC682" s="1293"/>
      <c r="AD682" s="1293"/>
      <c r="AE682" s="1293"/>
      <c r="AF682" s="1293"/>
      <c r="AG682" s="1293"/>
      <c r="AH682" s="1293"/>
      <c r="AI682" s="1293"/>
      <c r="AJ682" s="1293"/>
      <c r="AK682" s="1293"/>
      <c r="AL682" s="1293"/>
      <c r="AM682" s="1293"/>
      <c r="AN682" s="1293"/>
      <c r="AO682" s="1293"/>
      <c r="AP682" s="1293"/>
      <c r="AQ682" s="1293"/>
      <c r="AR682" s="1293"/>
      <c r="AS682" s="1293"/>
    </row>
    <row r="683" spans="1:45" ht="15.75">
      <c r="A683" s="1293" t="s">
        <v>2379</v>
      </c>
      <c r="B683" s="1293"/>
      <c r="C683" s="1293"/>
      <c r="D683" s="1293"/>
      <c r="E683" s="1293"/>
      <c r="F683" s="1293"/>
      <c r="G683" s="1293"/>
      <c r="H683" s="1293"/>
      <c r="I683" s="1293"/>
      <c r="J683" s="1293"/>
      <c r="K683" s="1293"/>
      <c r="L683" s="1293"/>
      <c r="M683" s="1293">
        <v>164</v>
      </c>
      <c r="N683" s="1293"/>
      <c r="O683" s="1293">
        <v>198</v>
      </c>
      <c r="P683" s="1293"/>
      <c r="Q683" s="1293">
        <v>781</v>
      </c>
      <c r="R683" s="1293"/>
      <c r="S683" s="1293"/>
      <c r="T683" s="1293"/>
      <c r="U683" s="1293"/>
      <c r="V683" s="1293"/>
      <c r="W683" s="1293"/>
      <c r="X683" s="1293"/>
      <c r="Y683" s="1293"/>
      <c r="Z683" s="1293"/>
      <c r="AA683" s="1293"/>
      <c r="AB683" s="1293"/>
      <c r="AC683" s="1293"/>
      <c r="AD683" s="1293"/>
      <c r="AE683" s="1293"/>
      <c r="AF683" s="1293"/>
      <c r="AG683" s="1293"/>
      <c r="AH683" s="1293"/>
      <c r="AI683" s="1293"/>
      <c r="AJ683" s="1293"/>
      <c r="AK683" s="1293"/>
      <c r="AL683" s="1293"/>
      <c r="AM683" s="1293"/>
      <c r="AN683" s="1293"/>
      <c r="AO683" s="1293"/>
      <c r="AP683" s="1293"/>
      <c r="AQ683" s="1293"/>
      <c r="AR683" s="1293"/>
      <c r="AS683" s="1293"/>
    </row>
    <row r="684" spans="1:45" ht="15.75">
      <c r="A684" s="1293" t="s">
        <v>3312</v>
      </c>
      <c r="B684" s="1293"/>
      <c r="C684" s="1293"/>
      <c r="D684" s="1293"/>
      <c r="E684" s="1293"/>
      <c r="F684" s="1293"/>
      <c r="G684" s="1293"/>
      <c r="H684" s="1293"/>
      <c r="I684" s="1293"/>
      <c r="J684" s="1293"/>
      <c r="K684" s="1293"/>
      <c r="L684" s="1293"/>
      <c r="M684" s="1293"/>
      <c r="N684" s="1293"/>
      <c r="O684" s="1293">
        <v>172</v>
      </c>
      <c r="P684" s="1293"/>
      <c r="Q684" s="1293">
        <v>113</v>
      </c>
      <c r="R684" s="1293"/>
      <c r="S684" s="1293"/>
      <c r="T684" s="1293"/>
      <c r="U684" s="1293"/>
      <c r="V684" s="1293"/>
      <c r="W684" s="1293"/>
      <c r="X684" s="1293"/>
      <c r="Y684" s="1293"/>
      <c r="Z684" s="1293"/>
      <c r="AA684" s="1293"/>
      <c r="AB684" s="1293"/>
      <c r="AC684" s="1293"/>
      <c r="AD684" s="1293"/>
      <c r="AE684" s="1293"/>
      <c r="AF684" s="1293"/>
      <c r="AG684" s="1293"/>
      <c r="AH684" s="1293"/>
      <c r="AI684" s="1293"/>
      <c r="AJ684" s="1293"/>
      <c r="AK684" s="1293"/>
      <c r="AL684" s="1293"/>
      <c r="AM684" s="1293"/>
      <c r="AN684" s="1293"/>
      <c r="AO684" s="1293"/>
      <c r="AP684" s="1293"/>
      <c r="AQ684" s="1293"/>
      <c r="AR684" s="1293"/>
      <c r="AS684" s="1293"/>
    </row>
    <row r="685" spans="1:45" ht="15.75">
      <c r="A685" s="1293" t="s">
        <v>1193</v>
      </c>
      <c r="B685" s="1293"/>
      <c r="C685" s="1293"/>
      <c r="D685" s="1293"/>
      <c r="E685" s="1293"/>
      <c r="F685" s="1293"/>
      <c r="G685" s="1293"/>
      <c r="H685" s="1293"/>
      <c r="I685" s="1293"/>
      <c r="J685" s="1293"/>
      <c r="K685" s="1293"/>
      <c r="L685" s="1293"/>
      <c r="M685" s="1293">
        <v>133</v>
      </c>
      <c r="N685" s="1293"/>
      <c r="O685" s="1293"/>
      <c r="P685" s="1293"/>
      <c r="Q685" s="1293"/>
      <c r="R685" s="1293"/>
      <c r="S685" s="1293"/>
      <c r="T685" s="1293"/>
      <c r="U685" s="1293"/>
      <c r="V685" s="1293"/>
      <c r="W685" s="1293"/>
      <c r="X685" s="1293"/>
      <c r="Y685" s="1293"/>
      <c r="Z685" s="1293"/>
      <c r="AA685" s="1293"/>
      <c r="AB685" s="1293"/>
      <c r="AC685" s="1293"/>
      <c r="AD685" s="1293"/>
      <c r="AE685" s="1293"/>
      <c r="AF685" s="1293"/>
      <c r="AG685" s="1293"/>
      <c r="AH685" s="1293"/>
      <c r="AI685" s="1293"/>
      <c r="AJ685" s="1293"/>
      <c r="AK685" s="1293"/>
      <c r="AL685" s="1293"/>
      <c r="AM685" s="1293"/>
      <c r="AN685" s="1293"/>
      <c r="AO685" s="1293"/>
      <c r="AP685" s="1293"/>
      <c r="AQ685" s="1293"/>
      <c r="AR685" s="1293"/>
      <c r="AS685" s="1293"/>
    </row>
    <row r="686" spans="1:45" ht="15.75">
      <c r="A686" s="1293" t="s">
        <v>578</v>
      </c>
      <c r="B686" s="1293"/>
      <c r="C686" s="1293"/>
      <c r="D686" s="1293"/>
      <c r="E686" s="1293"/>
      <c r="F686" s="1293"/>
      <c r="G686" s="1293"/>
      <c r="H686" s="1293"/>
      <c r="I686" s="1293"/>
      <c r="J686" s="1293"/>
      <c r="K686" s="1293"/>
      <c r="L686" s="1293"/>
      <c r="M686" s="1293">
        <v>207</v>
      </c>
      <c r="N686" s="1293"/>
      <c r="O686" s="1293">
        <v>183</v>
      </c>
      <c r="P686" s="1293"/>
      <c r="Q686" s="1293">
        <v>105</v>
      </c>
      <c r="R686" s="1293"/>
      <c r="S686" s="1293"/>
      <c r="T686" s="1293"/>
      <c r="U686" s="1293"/>
      <c r="V686" s="1293"/>
      <c r="W686" s="1293"/>
      <c r="X686" s="1293"/>
      <c r="Y686" s="1293"/>
      <c r="Z686" s="1293"/>
      <c r="AA686" s="1293"/>
      <c r="AB686" s="1293"/>
      <c r="AC686" s="1293"/>
      <c r="AD686" s="1293"/>
      <c r="AE686" s="1293"/>
      <c r="AF686" s="1293"/>
      <c r="AG686" s="1293"/>
      <c r="AH686" s="1293"/>
      <c r="AI686" s="1293"/>
      <c r="AJ686" s="1293"/>
      <c r="AK686" s="1293"/>
      <c r="AL686" s="1293"/>
      <c r="AM686" s="1293"/>
      <c r="AN686" s="1293"/>
      <c r="AO686" s="1293"/>
      <c r="AP686" s="1293"/>
      <c r="AQ686" s="1293"/>
      <c r="AR686" s="1293"/>
      <c r="AS686" s="1293"/>
    </row>
    <row r="687" spans="1:45" ht="15.75">
      <c r="A687" s="1293" t="s">
        <v>3311</v>
      </c>
      <c r="B687" s="1293"/>
      <c r="C687" s="1293"/>
      <c r="D687" s="1293"/>
      <c r="E687" s="1293"/>
      <c r="F687" s="1293"/>
      <c r="G687" s="1293"/>
      <c r="H687" s="1293"/>
      <c r="I687" s="1293"/>
      <c r="J687" s="1293"/>
      <c r="K687" s="1293"/>
      <c r="L687" s="1293"/>
      <c r="M687" s="1293"/>
      <c r="N687" s="1293"/>
      <c r="O687" s="1293">
        <v>304</v>
      </c>
      <c r="P687" s="1293"/>
      <c r="Q687" s="1293"/>
      <c r="R687" s="1293"/>
      <c r="S687" s="1293"/>
      <c r="T687" s="1293"/>
      <c r="U687" s="1293"/>
      <c r="V687" s="1293"/>
      <c r="W687" s="1293"/>
      <c r="X687" s="1293"/>
      <c r="Y687" s="1293"/>
      <c r="Z687" s="1293"/>
      <c r="AA687" s="1293"/>
      <c r="AB687" s="1293"/>
      <c r="AC687" s="1293"/>
      <c r="AD687" s="1293"/>
      <c r="AE687" s="1293"/>
      <c r="AF687" s="1293"/>
      <c r="AG687" s="1293"/>
      <c r="AH687" s="1293"/>
      <c r="AI687" s="1293"/>
      <c r="AJ687" s="1293"/>
      <c r="AK687" s="1293"/>
      <c r="AL687" s="1293"/>
      <c r="AM687" s="1293"/>
      <c r="AN687" s="1293"/>
      <c r="AO687" s="1293"/>
      <c r="AP687" s="1293"/>
      <c r="AQ687" s="1293"/>
      <c r="AR687" s="1293"/>
      <c r="AS687" s="1293"/>
    </row>
    <row r="688" spans="1:45" ht="15.75">
      <c r="A688" s="1672" t="s">
        <v>3786</v>
      </c>
      <c r="B688" s="1672"/>
      <c r="C688" s="1672"/>
      <c r="D688" s="1672"/>
      <c r="E688" s="1672"/>
      <c r="F688" s="1672"/>
      <c r="G688" s="1331"/>
      <c r="H688" s="1672"/>
      <c r="I688" s="1672"/>
      <c r="J688" s="1672"/>
      <c r="K688" s="1331"/>
      <c r="L688" s="1331"/>
      <c r="M688" s="1975">
        <f ca="1">M689-SUM(M675:M686)</f>
        <v>120.03600000000006</v>
      </c>
      <c r="N688" s="1975"/>
      <c r="O688" s="1975">
        <f ca="1">O689-SUM(O675:O687)</f>
        <v>311</v>
      </c>
      <c r="P688" s="1975">
        <v>1797</v>
      </c>
      <c r="Q688" s="1975">
        <f>Q689-SUM(Q675:Q687)</f>
        <v>1668</v>
      </c>
      <c r="R688" s="1975"/>
      <c r="S688" s="1975"/>
      <c r="T688" s="1975"/>
      <c r="U688" s="1975"/>
      <c r="V688" s="1975"/>
      <c r="W688" s="1975"/>
      <c r="X688" s="1975"/>
      <c r="Y688" s="1975"/>
      <c r="Z688" s="1975"/>
      <c r="AA688" s="1975"/>
      <c r="AB688" s="1975"/>
      <c r="AC688" s="1975"/>
      <c r="AD688" s="1975"/>
      <c r="AE688" s="1975"/>
      <c r="AF688" s="1975"/>
      <c r="AG688" s="1975"/>
      <c r="AH688" s="1293"/>
      <c r="AI688" s="1293"/>
      <c r="AJ688" s="1293"/>
      <c r="AK688" s="1293"/>
      <c r="AL688" s="1293"/>
      <c r="AM688" s="1293"/>
      <c r="AN688" s="1293"/>
      <c r="AO688" s="1293"/>
      <c r="AP688" s="1293"/>
      <c r="AQ688" s="1293"/>
      <c r="AR688" s="1293"/>
      <c r="AS688" s="1293"/>
    </row>
    <row r="689" spans="1:45" ht="15.75">
      <c r="A689" s="1684" t="s">
        <v>2324</v>
      </c>
      <c r="B689" s="1684"/>
      <c r="C689" s="1684"/>
      <c r="D689" s="1684"/>
      <c r="E689" s="1684"/>
      <c r="F689" s="1684"/>
      <c r="G689" s="1293"/>
      <c r="H689" s="1685"/>
      <c r="I689" s="1685"/>
      <c r="J689" s="1684"/>
      <c r="K689" s="1293"/>
      <c r="L689" s="1293"/>
      <c r="M689" s="1976">
        <f ca="1">M585</f>
        <v>2352.0360000000001</v>
      </c>
      <c r="N689" s="1976"/>
      <c r="O689" s="1976">
        <f ca="1">O585</f>
        <v>3259</v>
      </c>
      <c r="P689" s="1976"/>
      <c r="Q689" s="1976">
        <f>Q585</f>
        <v>4829</v>
      </c>
      <c r="R689" s="1976"/>
      <c r="S689" s="1976"/>
      <c r="T689" s="1976"/>
      <c r="U689" s="1976"/>
      <c r="V689" s="1976"/>
      <c r="W689" s="1976"/>
      <c r="X689" s="1976"/>
      <c r="Y689" s="1976"/>
      <c r="Z689" s="1976"/>
      <c r="AA689" s="1976"/>
      <c r="AB689" s="1976"/>
      <c r="AC689" s="1976"/>
      <c r="AD689" s="1976"/>
      <c r="AE689" s="1976"/>
      <c r="AF689" s="1976"/>
      <c r="AG689" s="1976"/>
      <c r="AH689" s="1293"/>
      <c r="AI689" s="1293"/>
      <c r="AJ689" s="1293"/>
      <c r="AK689" s="1293"/>
      <c r="AL689" s="1293"/>
      <c r="AM689" s="1293"/>
      <c r="AN689" s="1293"/>
      <c r="AO689" s="1293"/>
      <c r="AP689" s="1293"/>
      <c r="AQ689" s="1293"/>
      <c r="AR689" s="1293"/>
      <c r="AS689" s="1293"/>
    </row>
    <row r="690" spans="1:45" ht="15.75">
      <c r="A690" s="1293"/>
      <c r="B690" s="1293"/>
      <c r="C690" s="1293"/>
      <c r="D690" s="1293"/>
      <c r="E690" s="1293"/>
      <c r="F690" s="1293"/>
      <c r="G690" s="1293"/>
      <c r="H690" s="1293"/>
      <c r="I690" s="1293"/>
      <c r="J690" s="1293"/>
      <c r="K690" s="1293"/>
      <c r="L690" s="1293"/>
      <c r="M690" s="1293"/>
      <c r="N690" s="1293"/>
      <c r="O690" s="1293"/>
      <c r="P690" s="1293"/>
      <c r="Q690" s="1293"/>
      <c r="R690" s="1293"/>
      <c r="S690" s="1293"/>
      <c r="T690" s="1293"/>
      <c r="U690" s="1293"/>
      <c r="V690" s="1293"/>
      <c r="W690" s="1293"/>
      <c r="X690" s="1293"/>
      <c r="Y690" s="1293"/>
      <c r="Z690" s="1293"/>
      <c r="AA690" s="1293"/>
      <c r="AB690" s="1293"/>
      <c r="AC690" s="1293"/>
      <c r="AD690" s="1293"/>
      <c r="AE690" s="1293"/>
      <c r="AF690" s="1293"/>
      <c r="AG690" s="1293"/>
      <c r="AH690" s="1293"/>
      <c r="AI690" s="1293"/>
      <c r="AJ690" s="1293"/>
      <c r="AK690" s="1293"/>
      <c r="AL690" s="1293"/>
      <c r="AM690" s="1293"/>
      <c r="AN690" s="1293"/>
      <c r="AO690" s="1293"/>
      <c r="AP690" s="1293"/>
      <c r="AQ690" s="1293"/>
      <c r="AR690" s="1293"/>
      <c r="AS690" s="1293"/>
    </row>
    <row r="691" spans="1:45" ht="15.75">
      <c r="A691" s="1334" t="s">
        <v>8934</v>
      </c>
      <c r="B691" s="1293"/>
      <c r="C691" s="1293"/>
      <c r="D691" s="1293"/>
      <c r="E691" s="1293"/>
      <c r="F691" s="1293"/>
      <c r="G691" s="1293"/>
      <c r="H691" s="1293"/>
      <c r="I691" s="1293"/>
      <c r="J691" s="1293"/>
      <c r="K691" s="1293"/>
      <c r="L691" s="1293"/>
      <c r="M691" s="1293"/>
      <c r="N691" s="1293"/>
      <c r="O691" s="1293"/>
      <c r="P691" s="1293"/>
      <c r="Q691" s="1293"/>
      <c r="R691" s="1293"/>
      <c r="S691" s="1293"/>
      <c r="T691" s="1293"/>
      <c r="U691" s="1293"/>
      <c r="V691" s="1293"/>
      <c r="W691" s="1293"/>
      <c r="X691" s="1293"/>
      <c r="Y691" s="1293"/>
      <c r="Z691" s="1293"/>
      <c r="AA691" s="1293"/>
      <c r="AB691" s="1293"/>
      <c r="AC691" s="1293"/>
      <c r="AD691" s="1293"/>
      <c r="AE691" s="1293"/>
      <c r="AF691" s="1293"/>
      <c r="AG691" s="1293"/>
      <c r="AH691" s="1293"/>
      <c r="AI691" s="1293"/>
      <c r="AJ691" s="1293"/>
      <c r="AK691" s="1293"/>
      <c r="AL691" s="1293"/>
      <c r="AM691" s="1293"/>
      <c r="AN691" s="1293"/>
      <c r="AO691" s="1293"/>
      <c r="AP691" s="1293"/>
      <c r="AQ691" s="1293"/>
      <c r="AR691" s="1293"/>
      <c r="AS691" s="1293"/>
    </row>
    <row r="692" spans="1:45" ht="15.75">
      <c r="A692" s="1293" t="str">
        <f t="shared" ref="A692:A706" si="416">A675</f>
        <v>Bolivia</v>
      </c>
      <c r="B692" s="1293"/>
      <c r="C692" s="1293"/>
      <c r="D692" s="1293"/>
      <c r="E692" s="1293"/>
      <c r="F692" s="1293"/>
      <c r="G692" s="1293"/>
      <c r="H692" s="1293"/>
      <c r="I692" s="1293"/>
      <c r="J692" s="1293"/>
      <c r="K692" s="1293"/>
      <c r="L692" s="1293"/>
      <c r="M692" s="1293">
        <v>0</v>
      </c>
      <c r="N692" s="1293"/>
      <c r="O692" s="1293"/>
      <c r="P692" s="1293"/>
      <c r="Q692" s="1293"/>
      <c r="R692" s="1293"/>
      <c r="S692" s="1293"/>
      <c r="T692" s="1293"/>
      <c r="U692" s="1293"/>
      <c r="V692" s="1293"/>
      <c r="W692" s="1293"/>
      <c r="X692" s="1293"/>
      <c r="Y692" s="1293"/>
      <c r="Z692" s="1293"/>
      <c r="AA692" s="1293"/>
      <c r="AB692" s="1293"/>
      <c r="AC692" s="1293"/>
      <c r="AD692" s="1293"/>
      <c r="AE692" s="1293"/>
      <c r="AF692" s="1293"/>
      <c r="AG692" s="1293"/>
      <c r="AH692" s="1293"/>
      <c r="AI692" s="1293"/>
      <c r="AJ692" s="1293"/>
      <c r="AK692" s="1293"/>
      <c r="AL692" s="1293"/>
      <c r="AM692" s="1293"/>
      <c r="AN692" s="1293"/>
      <c r="AO692" s="1293"/>
      <c r="AP692" s="1293"/>
      <c r="AQ692" s="1293"/>
      <c r="AR692" s="1293"/>
      <c r="AS692" s="1293"/>
    </row>
    <row r="693" spans="1:45" ht="15.75">
      <c r="A693" s="1293" t="str">
        <f t="shared" si="416"/>
        <v>Chad</v>
      </c>
      <c r="B693" s="1293"/>
      <c r="C693" s="1293"/>
      <c r="D693" s="1293"/>
      <c r="E693" s="1293"/>
      <c r="F693" s="1293"/>
      <c r="G693" s="1293"/>
      <c r="H693" s="1293"/>
      <c r="I693" s="1293"/>
      <c r="J693" s="1293"/>
      <c r="K693" s="1293"/>
      <c r="L693" s="1293"/>
      <c r="M693" s="1293">
        <v>50</v>
      </c>
      <c r="N693" s="1293"/>
      <c r="O693" s="1293"/>
      <c r="P693" s="1293"/>
      <c r="Q693" s="1293"/>
      <c r="R693" s="1293"/>
      <c r="S693" s="1293"/>
      <c r="T693" s="1293"/>
      <c r="U693" s="1293"/>
      <c r="V693" s="1293"/>
      <c r="W693" s="1293"/>
      <c r="X693" s="1293"/>
      <c r="Y693" s="1293"/>
      <c r="Z693" s="1293"/>
      <c r="AA693" s="1293"/>
      <c r="AB693" s="1293"/>
      <c r="AC693" s="1293"/>
      <c r="AD693" s="1293"/>
      <c r="AE693" s="1293"/>
      <c r="AF693" s="1293"/>
      <c r="AG693" s="1293"/>
      <c r="AH693" s="1293"/>
      <c r="AI693" s="1293"/>
      <c r="AJ693" s="1293"/>
      <c r="AK693" s="1293"/>
      <c r="AL693" s="1293"/>
      <c r="AM693" s="1293"/>
      <c r="AN693" s="1293"/>
      <c r="AO693" s="1293"/>
      <c r="AP693" s="1293"/>
      <c r="AQ693" s="1293"/>
      <c r="AR693" s="1293"/>
      <c r="AS693" s="1293"/>
    </row>
    <row r="694" spans="1:45" ht="15.75">
      <c r="A694" s="1293" t="str">
        <f t="shared" si="416"/>
        <v>Colombia</v>
      </c>
      <c r="B694" s="1293"/>
      <c r="C694" s="1293"/>
      <c r="D694" s="1293"/>
      <c r="E694" s="1293"/>
      <c r="F694" s="1293"/>
      <c r="G694" s="1293"/>
      <c r="H694" s="1293"/>
      <c r="I694" s="1293"/>
      <c r="J694" s="1293"/>
      <c r="K694" s="1293"/>
      <c r="L694" s="1293"/>
      <c r="M694" s="1293">
        <v>500</v>
      </c>
      <c r="N694" s="1293"/>
      <c r="O694" s="1698">
        <f>(391*1000/Colombia!J215-34)+243+68+25</f>
        <v>510.97915553180121</v>
      </c>
      <c r="P694" s="1293"/>
      <c r="Q694" s="1293">
        <v>848</v>
      </c>
      <c r="R694" s="1293"/>
      <c r="S694" s="1293"/>
      <c r="T694" s="1293"/>
      <c r="U694" s="1293"/>
      <c r="V694" s="1293"/>
      <c r="W694" s="1293"/>
      <c r="X694" s="1293"/>
      <c r="Y694" s="1293"/>
      <c r="Z694" s="1293"/>
      <c r="AA694" s="1293"/>
      <c r="AB694" s="1293"/>
      <c r="AC694" s="1293"/>
      <c r="AD694" s="1293"/>
      <c r="AE694" s="1293"/>
      <c r="AF694" s="1293"/>
      <c r="AG694" s="1293"/>
      <c r="AH694" s="1293"/>
      <c r="AI694" s="1293"/>
      <c r="AJ694" s="1293"/>
      <c r="AK694" s="1293"/>
      <c r="AL694" s="1293"/>
      <c r="AM694" s="1293"/>
      <c r="AN694" s="1293"/>
      <c r="AO694" s="1293"/>
      <c r="AP694" s="1293"/>
      <c r="AQ694" s="1293"/>
      <c r="AR694" s="1293"/>
      <c r="AS694" s="1293"/>
    </row>
    <row r="695" spans="1:45" ht="15.75">
      <c r="A695" s="1293" t="str">
        <f t="shared" si="416"/>
        <v>DRC</v>
      </c>
      <c r="B695" s="1293"/>
      <c r="C695" s="1293"/>
      <c r="D695" s="1293"/>
      <c r="E695" s="1293"/>
      <c r="F695" s="1293"/>
      <c r="G695" s="1293"/>
      <c r="H695" s="1293"/>
      <c r="I695" s="1293"/>
      <c r="J695" s="1293"/>
      <c r="K695" s="1293"/>
      <c r="L695" s="1293"/>
      <c r="M695" s="1293">
        <v>0</v>
      </c>
      <c r="N695" s="1293"/>
      <c r="O695" s="1293"/>
      <c r="P695" s="1293"/>
      <c r="Q695" s="1293"/>
      <c r="R695" s="1293"/>
      <c r="S695" s="1293"/>
      <c r="T695" s="1293"/>
      <c r="U695" s="1293"/>
      <c r="V695" s="1293"/>
      <c r="W695" s="1293"/>
      <c r="X695" s="1293"/>
      <c r="Y695" s="1293"/>
      <c r="Z695" s="1293"/>
      <c r="AA695" s="1293"/>
      <c r="AB695" s="1293"/>
      <c r="AC695" s="1293"/>
      <c r="AD695" s="1293"/>
      <c r="AE695" s="1293"/>
      <c r="AF695" s="1293"/>
      <c r="AG695" s="1293"/>
      <c r="AH695" s="1293"/>
      <c r="AI695" s="1293"/>
      <c r="AJ695" s="1293"/>
      <c r="AK695" s="1293"/>
      <c r="AL695" s="1293"/>
      <c r="AM695" s="1293"/>
      <c r="AN695" s="1293"/>
      <c r="AO695" s="1293"/>
      <c r="AP695" s="1293"/>
      <c r="AQ695" s="1293"/>
      <c r="AR695" s="1293"/>
      <c r="AS695" s="1293"/>
    </row>
    <row r="696" spans="1:45" ht="15.75">
      <c r="A696" s="1293" t="str">
        <f t="shared" si="416"/>
        <v>El Sal</v>
      </c>
      <c r="B696" s="1293"/>
      <c r="C696" s="1293"/>
      <c r="D696" s="1293"/>
      <c r="E696" s="1293"/>
      <c r="F696" s="1293"/>
      <c r="G696" s="1293"/>
      <c r="H696" s="1293"/>
      <c r="I696" s="1293"/>
      <c r="J696" s="1293"/>
      <c r="K696" s="1293"/>
      <c r="L696" s="1293"/>
      <c r="M696" s="1293">
        <v>0</v>
      </c>
      <c r="N696" s="1293"/>
      <c r="O696" s="1293"/>
      <c r="P696" s="1293"/>
      <c r="Q696" s="1293"/>
      <c r="R696" s="1293"/>
      <c r="S696" s="1293"/>
      <c r="T696" s="1293"/>
      <c r="U696" s="1293"/>
      <c r="V696" s="1293"/>
      <c r="W696" s="1293"/>
      <c r="X696" s="1293"/>
      <c r="Y696" s="1293"/>
      <c r="Z696" s="1293"/>
      <c r="AA696" s="1293"/>
      <c r="AB696" s="1293"/>
      <c r="AC696" s="1293"/>
      <c r="AD696" s="1293"/>
      <c r="AE696" s="1293"/>
      <c r="AF696" s="1293"/>
      <c r="AG696" s="1293"/>
      <c r="AH696" s="1293"/>
      <c r="AI696" s="1293"/>
      <c r="AJ696" s="1293"/>
      <c r="AK696" s="1293"/>
      <c r="AL696" s="1293"/>
      <c r="AM696" s="1293"/>
      <c r="AN696" s="1293"/>
      <c r="AO696" s="1293"/>
      <c r="AP696" s="1293"/>
      <c r="AQ696" s="1293"/>
      <c r="AR696" s="1293"/>
      <c r="AS696" s="1293"/>
    </row>
    <row r="697" spans="1:45" ht="15.75">
      <c r="A697" s="1293" t="str">
        <f t="shared" si="416"/>
        <v>Ghana</v>
      </c>
      <c r="B697" s="1293"/>
      <c r="C697" s="1293"/>
      <c r="D697" s="1293"/>
      <c r="E697" s="1293"/>
      <c r="F697" s="1293"/>
      <c r="G697" s="1293"/>
      <c r="H697" s="1293"/>
      <c r="I697" s="1293"/>
      <c r="J697" s="1293"/>
      <c r="K697" s="1293"/>
      <c r="L697" s="1293"/>
      <c r="M697" s="1293">
        <v>0</v>
      </c>
      <c r="N697" s="1293"/>
      <c r="O697" s="1293"/>
      <c r="P697" s="1293"/>
      <c r="Q697" s="1293"/>
      <c r="R697" s="1293"/>
      <c r="S697" s="1293"/>
      <c r="T697" s="1293"/>
      <c r="U697" s="1293"/>
      <c r="V697" s="1293"/>
      <c r="W697" s="1293"/>
      <c r="X697" s="1293"/>
      <c r="Y697" s="1293"/>
      <c r="Z697" s="1293"/>
      <c r="AA697" s="1293"/>
      <c r="AB697" s="1293"/>
      <c r="AC697" s="1293"/>
      <c r="AD697" s="1293"/>
      <c r="AE697" s="1293"/>
      <c r="AF697" s="1293"/>
      <c r="AG697" s="1293"/>
      <c r="AH697" s="1293"/>
      <c r="AI697" s="1293"/>
      <c r="AJ697" s="1293"/>
      <c r="AK697" s="1293"/>
      <c r="AL697" s="1293"/>
      <c r="AM697" s="1293"/>
      <c r="AN697" s="1293"/>
      <c r="AO697" s="1293"/>
      <c r="AP697" s="1293"/>
      <c r="AQ697" s="1293"/>
      <c r="AR697" s="1293"/>
      <c r="AS697" s="1293"/>
    </row>
    <row r="698" spans="1:45" ht="15.75">
      <c r="A698" s="1293" t="str">
        <f t="shared" si="416"/>
        <v>Honduras</v>
      </c>
      <c r="B698" s="1293"/>
      <c r="C698" s="1293"/>
      <c r="D698" s="1293"/>
      <c r="E698" s="1293"/>
      <c r="F698" s="1293"/>
      <c r="G698" s="1293"/>
      <c r="H698" s="1293"/>
      <c r="I698" s="1293"/>
      <c r="J698" s="1293"/>
      <c r="K698" s="1293"/>
      <c r="L698" s="1293"/>
      <c r="M698" s="1293">
        <v>50</v>
      </c>
      <c r="N698" s="1293"/>
      <c r="O698" s="1293">
        <v>50</v>
      </c>
      <c r="P698" s="1293"/>
      <c r="Q698" s="1293"/>
      <c r="R698" s="1293"/>
      <c r="S698" s="1293"/>
      <c r="T698" s="1293"/>
      <c r="U698" s="1293"/>
      <c r="V698" s="1293"/>
      <c r="W698" s="1293"/>
      <c r="X698" s="1293"/>
      <c r="Y698" s="1293"/>
      <c r="Z698" s="1293"/>
      <c r="AA698" s="1293"/>
      <c r="AB698" s="1293"/>
      <c r="AC698" s="1293"/>
      <c r="AD698" s="1293"/>
      <c r="AE698" s="1293"/>
      <c r="AF698" s="1293"/>
      <c r="AG698" s="1293"/>
      <c r="AH698" s="1293"/>
      <c r="AI698" s="1293"/>
      <c r="AJ698" s="1293"/>
      <c r="AK698" s="1293"/>
      <c r="AL698" s="1293"/>
      <c r="AM698" s="1293"/>
      <c r="AN698" s="1293"/>
      <c r="AO698" s="1293"/>
      <c r="AP698" s="1293"/>
      <c r="AQ698" s="1293"/>
      <c r="AR698" s="1293"/>
      <c r="AS698" s="1293"/>
    </row>
    <row r="699" spans="1:45" ht="15.75">
      <c r="A699" s="1293" t="str">
        <f t="shared" si="416"/>
        <v>Paraguay</v>
      </c>
      <c r="B699" s="1293"/>
      <c r="C699" s="1293"/>
      <c r="D699" s="1293"/>
      <c r="E699" s="1293"/>
      <c r="F699" s="1293"/>
      <c r="G699" s="1293"/>
      <c r="H699" s="1293"/>
      <c r="I699" s="1293"/>
      <c r="J699" s="1293"/>
      <c r="K699" s="1293"/>
      <c r="L699" s="1293"/>
      <c r="M699" s="1293">
        <v>0</v>
      </c>
      <c r="N699" s="1293"/>
      <c r="O699" s="1293"/>
      <c r="P699" s="1293"/>
      <c r="Q699" s="1293"/>
      <c r="R699" s="1293"/>
      <c r="S699" s="1293"/>
      <c r="T699" s="1293"/>
      <c r="U699" s="1293"/>
      <c r="V699" s="1293"/>
      <c r="W699" s="1293"/>
      <c r="X699" s="1293"/>
      <c r="Y699" s="1293"/>
      <c r="Z699" s="1293"/>
      <c r="AA699" s="1293"/>
      <c r="AB699" s="1293"/>
      <c r="AC699" s="1293"/>
      <c r="AD699" s="1293"/>
      <c r="AE699" s="1293"/>
      <c r="AF699" s="1293"/>
      <c r="AG699" s="1293"/>
      <c r="AH699" s="1293"/>
      <c r="AI699" s="1293"/>
      <c r="AJ699" s="1293"/>
      <c r="AK699" s="1293"/>
      <c r="AL699" s="1293"/>
      <c r="AM699" s="1293"/>
      <c r="AN699" s="1293"/>
      <c r="AO699" s="1293"/>
      <c r="AP699" s="1293"/>
      <c r="AQ699" s="1293"/>
      <c r="AR699" s="1293"/>
      <c r="AS699" s="1293"/>
    </row>
    <row r="700" spans="1:45" ht="15.75">
      <c r="A700" s="1293" t="str">
        <f t="shared" si="416"/>
        <v>Guatemala</v>
      </c>
      <c r="B700" s="1293"/>
      <c r="C700" s="1293"/>
      <c r="D700" s="1293"/>
      <c r="E700" s="1293"/>
      <c r="F700" s="1293"/>
      <c r="G700" s="1293"/>
      <c r="H700" s="1293"/>
      <c r="I700" s="1293"/>
      <c r="J700" s="1293"/>
      <c r="K700" s="1293"/>
      <c r="L700" s="1293"/>
      <c r="M700" s="1293">
        <v>0</v>
      </c>
      <c r="N700" s="1293"/>
      <c r="O700" s="1293"/>
      <c r="P700" s="1293"/>
      <c r="Q700" s="1293"/>
      <c r="R700" s="1293"/>
      <c r="S700" s="1293"/>
      <c r="T700" s="1293"/>
      <c r="U700" s="1293"/>
      <c r="V700" s="1293"/>
      <c r="W700" s="1293"/>
      <c r="X700" s="1293"/>
      <c r="Y700" s="1293"/>
      <c r="Z700" s="1293"/>
      <c r="AA700" s="1293"/>
      <c r="AB700" s="1293"/>
      <c r="AC700" s="1293"/>
      <c r="AD700" s="1293"/>
      <c r="AE700" s="1293"/>
      <c r="AF700" s="1293"/>
      <c r="AG700" s="1293"/>
      <c r="AH700" s="1293"/>
      <c r="AI700" s="1293"/>
      <c r="AJ700" s="1293"/>
      <c r="AK700" s="1293"/>
      <c r="AL700" s="1293"/>
      <c r="AM700" s="1293"/>
      <c r="AN700" s="1293"/>
      <c r="AO700" s="1293"/>
      <c r="AP700" s="1293"/>
      <c r="AQ700" s="1293"/>
      <c r="AR700" s="1293"/>
      <c r="AS700" s="1293"/>
    </row>
    <row r="701" spans="1:45" ht="15.75">
      <c r="A701" s="1293" t="str">
        <f t="shared" si="416"/>
        <v>Other Central America</v>
      </c>
      <c r="B701" s="1293"/>
      <c r="C701" s="1293"/>
      <c r="D701" s="1293"/>
      <c r="E701" s="1293"/>
      <c r="F701" s="1293"/>
      <c r="G701" s="1293"/>
      <c r="H701" s="1293"/>
      <c r="I701" s="1293"/>
      <c r="J701" s="1293"/>
      <c r="K701" s="1293"/>
      <c r="L701" s="1293"/>
      <c r="M701" s="1293">
        <v>0</v>
      </c>
      <c r="N701" s="1293"/>
      <c r="O701" s="1293"/>
      <c r="P701" s="1293"/>
      <c r="Q701" s="1293"/>
      <c r="R701" s="1293"/>
      <c r="S701" s="1293"/>
      <c r="T701" s="1293"/>
      <c r="U701" s="1293"/>
      <c r="V701" s="1293"/>
      <c r="W701" s="1293"/>
      <c r="X701" s="1293"/>
      <c r="Y701" s="1293"/>
      <c r="Z701" s="1293"/>
      <c r="AA701" s="1293"/>
      <c r="AB701" s="1293"/>
      <c r="AC701" s="1293"/>
      <c r="AD701" s="1293"/>
      <c r="AE701" s="1293"/>
      <c r="AF701" s="1293"/>
      <c r="AG701" s="1293"/>
      <c r="AH701" s="1293"/>
      <c r="AI701" s="1293"/>
      <c r="AJ701" s="1293"/>
      <c r="AK701" s="1293"/>
      <c r="AL701" s="1293"/>
      <c r="AM701" s="1293"/>
      <c r="AN701" s="1293"/>
      <c r="AO701" s="1293"/>
      <c r="AP701" s="1293"/>
      <c r="AQ701" s="1293"/>
      <c r="AR701" s="1293"/>
      <c r="AS701" s="1293"/>
    </row>
    <row r="702" spans="1:45" ht="15.75">
      <c r="A702" s="1293" t="str">
        <f t="shared" si="416"/>
        <v>Amnet</v>
      </c>
      <c r="B702" s="1293"/>
      <c r="C702" s="1293"/>
      <c r="D702" s="1293"/>
      <c r="E702" s="1293"/>
      <c r="F702" s="1293"/>
      <c r="G702" s="1293"/>
      <c r="H702" s="1293"/>
      <c r="I702" s="1293"/>
      <c r="J702" s="1293"/>
      <c r="K702" s="1293"/>
      <c r="L702" s="1293"/>
      <c r="M702" s="1293">
        <v>0</v>
      </c>
      <c r="N702" s="1293"/>
      <c r="O702" s="1293"/>
      <c r="P702" s="1293"/>
      <c r="Q702" s="1293"/>
      <c r="R702" s="1293"/>
      <c r="S702" s="1293"/>
      <c r="T702" s="1293"/>
      <c r="U702" s="1293"/>
      <c r="V702" s="1293"/>
      <c r="W702" s="1293"/>
      <c r="X702" s="1293"/>
      <c r="Y702" s="1293"/>
      <c r="Z702" s="1293"/>
      <c r="AA702" s="1293"/>
      <c r="AB702" s="1293"/>
      <c r="AC702" s="1293"/>
      <c r="AD702" s="1293"/>
      <c r="AE702" s="1293"/>
      <c r="AF702" s="1293"/>
      <c r="AG702" s="1293"/>
      <c r="AH702" s="1293"/>
      <c r="AI702" s="1293"/>
      <c r="AJ702" s="1293"/>
      <c r="AK702" s="1293"/>
      <c r="AL702" s="1293"/>
      <c r="AM702" s="1293"/>
      <c r="AN702" s="1293"/>
      <c r="AO702" s="1293"/>
      <c r="AP702" s="1293"/>
      <c r="AQ702" s="1293"/>
      <c r="AR702" s="1293"/>
      <c r="AS702" s="1293"/>
    </row>
    <row r="703" spans="1:45" ht="15.75">
      <c r="A703" s="1293" t="str">
        <f t="shared" si="416"/>
        <v>Tanzania</v>
      </c>
      <c r="B703" s="1293"/>
      <c r="C703" s="1293"/>
      <c r="D703" s="1293"/>
      <c r="E703" s="1293"/>
      <c r="F703" s="1293"/>
      <c r="G703" s="1293"/>
      <c r="H703" s="1293"/>
      <c r="I703" s="1293"/>
      <c r="J703" s="1293"/>
      <c r="K703" s="1293"/>
      <c r="L703" s="1293"/>
      <c r="M703" s="1698">
        <f>95*1000/Africa!K148</f>
        <v>65.908090796317978</v>
      </c>
      <c r="N703" s="1698"/>
      <c r="O703" s="1698">
        <f>95*1000/Africa!M148</f>
        <v>59.899117276166457</v>
      </c>
      <c r="P703" s="1698"/>
      <c r="Q703" s="1698"/>
      <c r="R703" s="1698"/>
      <c r="S703" s="1698"/>
      <c r="T703" s="1698"/>
      <c r="U703" s="1698"/>
      <c r="V703" s="1698"/>
      <c r="W703" s="1698"/>
      <c r="X703" s="1698"/>
      <c r="Y703" s="1698"/>
      <c r="Z703" s="1698"/>
      <c r="AA703" s="1698"/>
      <c r="AB703" s="1698"/>
      <c r="AC703" s="1698"/>
      <c r="AD703" s="1698"/>
      <c r="AE703" s="1698"/>
      <c r="AF703" s="1698"/>
      <c r="AG703" s="1698"/>
      <c r="AH703" s="1293"/>
      <c r="AI703" s="1293"/>
      <c r="AJ703" s="1293"/>
      <c r="AK703" s="1293"/>
      <c r="AL703" s="1293"/>
      <c r="AM703" s="1293"/>
      <c r="AN703" s="1293"/>
      <c r="AO703" s="1293"/>
      <c r="AP703" s="1293"/>
      <c r="AQ703" s="1293"/>
      <c r="AR703" s="1293"/>
      <c r="AS703" s="1293"/>
    </row>
    <row r="704" spans="1:45" ht="15.75">
      <c r="A704" s="1293" t="str">
        <f t="shared" si="416"/>
        <v>Luxembourg</v>
      </c>
      <c r="B704" s="1293"/>
      <c r="C704" s="1293"/>
      <c r="D704" s="1293"/>
      <c r="E704" s="1293"/>
      <c r="F704" s="1293"/>
      <c r="G704" s="1293"/>
      <c r="H704" s="1293"/>
      <c r="I704" s="1293"/>
      <c r="J704" s="1293"/>
      <c r="K704" s="1293"/>
      <c r="L704" s="1293"/>
      <c r="M704" s="1698">
        <v>0</v>
      </c>
      <c r="N704" s="1698"/>
      <c r="O704" s="1698"/>
      <c r="P704" s="1698"/>
      <c r="Q704" s="1698"/>
      <c r="R704" s="1698"/>
      <c r="S704" s="1698"/>
      <c r="T704" s="1698"/>
      <c r="U704" s="1698"/>
      <c r="V704" s="1698"/>
      <c r="W704" s="1698"/>
      <c r="X704" s="1698"/>
      <c r="Y704" s="1698"/>
      <c r="Z704" s="1698"/>
      <c r="AA704" s="1698"/>
      <c r="AB704" s="1698"/>
      <c r="AC704" s="1698"/>
      <c r="AD704" s="1698"/>
      <c r="AE704" s="1698"/>
      <c r="AF704" s="1698"/>
      <c r="AG704" s="1698"/>
      <c r="AH704" s="1293"/>
      <c r="AI704" s="1293"/>
      <c r="AJ704" s="1293"/>
      <c r="AK704" s="1293"/>
      <c r="AL704" s="1293"/>
      <c r="AM704" s="1293"/>
      <c r="AN704" s="1293"/>
      <c r="AO704" s="1293"/>
      <c r="AP704" s="1293"/>
      <c r="AQ704" s="1293"/>
      <c r="AR704" s="1293"/>
      <c r="AS704" s="1293"/>
    </row>
    <row r="705" spans="1:45" ht="15.75">
      <c r="A705" s="1331" t="str">
        <f t="shared" si="416"/>
        <v>MIC SA/other</v>
      </c>
      <c r="B705" s="1331"/>
      <c r="C705" s="1331"/>
      <c r="D705" s="1331"/>
      <c r="E705" s="1331"/>
      <c r="F705" s="1331"/>
      <c r="G705" s="1331"/>
      <c r="H705" s="1331"/>
      <c r="I705" s="1331"/>
      <c r="J705" s="1331"/>
      <c r="K705" s="1331"/>
      <c r="L705" s="1331"/>
      <c r="M705" s="1331">
        <v>0</v>
      </c>
      <c r="N705" s="1331"/>
      <c r="O705" s="1331"/>
      <c r="P705" s="1331"/>
      <c r="Q705" s="1331"/>
      <c r="R705" s="1331"/>
      <c r="S705" s="1331"/>
      <c r="T705" s="1331"/>
      <c r="U705" s="1331"/>
      <c r="V705" s="1331"/>
      <c r="W705" s="1331"/>
      <c r="X705" s="1331"/>
      <c r="Y705" s="1331"/>
      <c r="Z705" s="1331"/>
      <c r="AA705" s="1331"/>
      <c r="AB705" s="1331"/>
      <c r="AC705" s="1331"/>
      <c r="AD705" s="1331"/>
      <c r="AE705" s="1331"/>
      <c r="AF705" s="1331"/>
      <c r="AG705" s="1331"/>
      <c r="AH705" s="1293"/>
      <c r="AI705" s="1293"/>
      <c r="AJ705" s="1293"/>
      <c r="AK705" s="1293"/>
      <c r="AL705" s="1293"/>
      <c r="AM705" s="1293"/>
      <c r="AN705" s="1293"/>
      <c r="AO705" s="1293"/>
      <c r="AP705" s="1293"/>
      <c r="AQ705" s="1293"/>
      <c r="AR705" s="1293"/>
      <c r="AS705" s="1293"/>
    </row>
    <row r="706" spans="1:45" ht="15.75">
      <c r="A706" s="1293" t="str">
        <f t="shared" si="416"/>
        <v>Total</v>
      </c>
      <c r="B706" s="1293"/>
      <c r="C706" s="1293"/>
      <c r="D706" s="1293"/>
      <c r="E706" s="1293"/>
      <c r="F706" s="1293"/>
      <c r="G706" s="1293"/>
      <c r="H706" s="1293"/>
      <c r="I706" s="1293"/>
      <c r="J706" s="1293"/>
      <c r="K706" s="1293"/>
      <c r="L706" s="1293"/>
      <c r="M706" s="1976">
        <f>SUM(M692:M705)</f>
        <v>665.90809079631799</v>
      </c>
      <c r="N706" s="1976"/>
      <c r="O706" s="1976">
        <f>SUM(O692:O705)</f>
        <v>620.87827280796762</v>
      </c>
      <c r="P706" s="1976"/>
      <c r="Q706" s="1976">
        <v>1635</v>
      </c>
      <c r="R706" s="1976"/>
      <c r="S706" s="1976"/>
      <c r="T706" s="1976"/>
      <c r="U706" s="1976"/>
      <c r="V706" s="1976"/>
      <c r="W706" s="1976"/>
      <c r="X706" s="1976"/>
      <c r="Y706" s="1976"/>
      <c r="Z706" s="1976"/>
      <c r="AA706" s="1976"/>
      <c r="AB706" s="1976"/>
      <c r="AC706" s="1976"/>
      <c r="AD706" s="1976"/>
      <c r="AE706" s="1976"/>
      <c r="AF706" s="1976"/>
      <c r="AG706" s="1976"/>
      <c r="AH706" s="1293"/>
      <c r="AI706" s="1293"/>
      <c r="AJ706" s="1293"/>
      <c r="AK706" s="1293"/>
      <c r="AL706" s="1293"/>
      <c r="AM706" s="1293"/>
      <c r="AN706" s="1293"/>
      <c r="AO706" s="1293"/>
      <c r="AP706" s="1293"/>
      <c r="AQ706" s="1293"/>
      <c r="AR706" s="1293"/>
      <c r="AS706" s="1293"/>
    </row>
    <row r="707" spans="1:45" ht="15.75">
      <c r="A707" s="1293"/>
      <c r="B707" s="1293"/>
      <c r="C707" s="1293"/>
      <c r="D707" s="1293"/>
      <c r="E707" s="1293"/>
      <c r="F707" s="1293"/>
      <c r="G707" s="1293"/>
      <c r="H707" s="1293"/>
      <c r="I707" s="1293"/>
      <c r="J707" s="1293"/>
      <c r="K707" s="1293"/>
      <c r="L707" s="1293"/>
      <c r="M707" s="1293"/>
      <c r="N707" s="1293"/>
      <c r="O707" s="1293">
        <f ca="1">O706/O723</f>
        <v>0.23534860670315577</v>
      </c>
      <c r="P707" s="1293"/>
      <c r="Q707" s="1293"/>
      <c r="R707" s="1293"/>
      <c r="S707" s="1293"/>
      <c r="T707" s="1293"/>
      <c r="U707" s="1293"/>
      <c r="V707" s="1293"/>
      <c r="W707" s="1293"/>
      <c r="X707" s="1293"/>
      <c r="Y707" s="1293"/>
      <c r="Z707" s="1293"/>
      <c r="AA707" s="1293"/>
      <c r="AB707" s="1293"/>
      <c r="AC707" s="1293"/>
      <c r="AD707" s="1293"/>
      <c r="AE707" s="1293"/>
      <c r="AF707" s="1293"/>
      <c r="AG707" s="1293"/>
      <c r="AH707" s="1293"/>
      <c r="AI707" s="1293"/>
      <c r="AJ707" s="1293"/>
      <c r="AK707" s="1293"/>
      <c r="AL707" s="1293"/>
      <c r="AM707" s="1293"/>
      <c r="AN707" s="1293"/>
      <c r="AO707" s="1293"/>
      <c r="AP707" s="1293"/>
      <c r="AQ707" s="1293"/>
      <c r="AR707" s="1293"/>
      <c r="AS707" s="1293"/>
    </row>
    <row r="708" spans="1:45" ht="15.75">
      <c r="A708" s="1334" t="s">
        <v>967</v>
      </c>
      <c r="B708" s="1293"/>
      <c r="C708" s="1293"/>
      <c r="D708" s="1293"/>
      <c r="E708" s="1293"/>
      <c r="F708" s="1293"/>
      <c r="G708" s="1293"/>
      <c r="H708" s="1293"/>
      <c r="I708" s="1293"/>
      <c r="J708" s="1293"/>
      <c r="K708" s="1293"/>
      <c r="L708" s="1293"/>
      <c r="M708" s="1293"/>
      <c r="N708" s="1293"/>
      <c r="O708" s="1293"/>
      <c r="P708" s="1293"/>
      <c r="Q708" s="1293"/>
      <c r="R708" s="1293"/>
      <c r="S708" s="1293"/>
      <c r="T708" s="1293"/>
      <c r="U708" s="1293"/>
      <c r="V708" s="1293"/>
      <c r="W708" s="1293"/>
      <c r="X708" s="1293"/>
      <c r="Y708" s="1293"/>
      <c r="Z708" s="1293"/>
      <c r="AA708" s="1293"/>
      <c r="AB708" s="1293"/>
      <c r="AC708" s="1293"/>
      <c r="AD708" s="1293"/>
      <c r="AE708" s="1293"/>
      <c r="AF708" s="1293"/>
      <c r="AG708" s="1293"/>
      <c r="AH708" s="1293"/>
      <c r="AI708" s="1293"/>
      <c r="AJ708" s="1293"/>
      <c r="AK708" s="1293"/>
      <c r="AL708" s="1293"/>
      <c r="AM708" s="1293"/>
      <c r="AN708" s="1293"/>
      <c r="AO708" s="1293"/>
      <c r="AP708" s="1293"/>
      <c r="AQ708" s="1293"/>
      <c r="AR708" s="1293"/>
      <c r="AS708" s="1293"/>
    </row>
    <row r="709" spans="1:45" ht="15.75">
      <c r="A709" s="1293" t="str">
        <f t="shared" ref="A709:A723" si="417">A692</f>
        <v>Bolivia</v>
      </c>
      <c r="B709" s="1293"/>
      <c r="C709" s="1293"/>
      <c r="D709" s="1293"/>
      <c r="E709" s="1293"/>
      <c r="F709" s="1293"/>
      <c r="G709" s="1293"/>
      <c r="H709" s="1293"/>
      <c r="I709" s="1293"/>
      <c r="J709" s="1293"/>
      <c r="K709" s="1293"/>
      <c r="L709" s="1293"/>
      <c r="M709" s="1698">
        <f t="shared" ref="M709:M723" si="418">M675-M692</f>
        <v>99</v>
      </c>
      <c r="N709" s="1698"/>
      <c r="O709" s="1698"/>
      <c r="P709" s="1698"/>
      <c r="Q709" s="1698"/>
      <c r="R709" s="1698"/>
      <c r="S709" s="1698"/>
      <c r="T709" s="1698"/>
      <c r="U709" s="1698"/>
      <c r="V709" s="1698"/>
      <c r="W709" s="1698"/>
      <c r="X709" s="1698"/>
      <c r="Y709" s="1698"/>
      <c r="Z709" s="1698"/>
      <c r="AA709" s="1698"/>
      <c r="AB709" s="1698"/>
      <c r="AC709" s="1698"/>
      <c r="AD709" s="1698"/>
      <c r="AE709" s="1698"/>
      <c r="AF709" s="1698"/>
      <c r="AG709" s="1698"/>
      <c r="AH709" s="1293"/>
      <c r="AI709" s="1293"/>
      <c r="AJ709" s="1293"/>
      <c r="AK709" s="1293"/>
      <c r="AL709" s="1293"/>
      <c r="AM709" s="1293"/>
      <c r="AN709" s="1293"/>
      <c r="AO709" s="1293"/>
      <c r="AP709" s="1293"/>
      <c r="AQ709" s="1293"/>
      <c r="AR709" s="1293"/>
      <c r="AS709" s="1293"/>
    </row>
    <row r="710" spans="1:45" ht="15.75">
      <c r="A710" s="1293" t="str">
        <f t="shared" si="417"/>
        <v>Chad</v>
      </c>
      <c r="B710" s="1293"/>
      <c r="C710" s="1293"/>
      <c r="D710" s="1293"/>
      <c r="E710" s="1293"/>
      <c r="F710" s="1293"/>
      <c r="G710" s="1293"/>
      <c r="H710" s="1293"/>
      <c r="I710" s="1293"/>
      <c r="J710" s="1293"/>
      <c r="K710" s="1293"/>
      <c r="L710" s="1293"/>
      <c r="M710" s="1698">
        <f t="shared" si="418"/>
        <v>57</v>
      </c>
      <c r="N710" s="1698"/>
      <c r="O710" s="1698"/>
      <c r="P710" s="1698"/>
      <c r="Q710" s="1698"/>
      <c r="R710" s="1698"/>
      <c r="S710" s="1698"/>
      <c r="T710" s="1698"/>
      <c r="U710" s="1698"/>
      <c r="V710" s="1698"/>
      <c r="W710" s="1698"/>
      <c r="X710" s="1698"/>
      <c r="Y710" s="1698"/>
      <c r="Z710" s="1698"/>
      <c r="AA710" s="1698"/>
      <c r="AB710" s="1698"/>
      <c r="AC710" s="1698"/>
      <c r="AD710" s="1698"/>
      <c r="AE710" s="1698"/>
      <c r="AF710" s="1698"/>
      <c r="AG710" s="1698"/>
      <c r="AH710" s="1293"/>
      <c r="AI710" s="1293"/>
      <c r="AJ710" s="1293"/>
      <c r="AK710" s="1293"/>
      <c r="AL710" s="1293"/>
      <c r="AM710" s="1293"/>
      <c r="AN710" s="1293"/>
      <c r="AO710" s="1293"/>
      <c r="AP710" s="1293"/>
      <c r="AQ710" s="1293"/>
      <c r="AR710" s="1293"/>
      <c r="AS710" s="1293"/>
    </row>
    <row r="711" spans="1:45" ht="15.75">
      <c r="A711" s="1293" t="str">
        <f t="shared" si="417"/>
        <v>Colombia</v>
      </c>
      <c r="B711" s="1293"/>
      <c r="C711" s="1293"/>
      <c r="D711" s="1293"/>
      <c r="E711" s="1293"/>
      <c r="F711" s="1293"/>
      <c r="G711" s="1293"/>
      <c r="H711" s="1293"/>
      <c r="I711" s="1293"/>
      <c r="J711" s="1293"/>
      <c r="K711" s="1293"/>
      <c r="L711" s="1293"/>
      <c r="M711" s="1698">
        <f t="shared" si="418"/>
        <v>22</v>
      </c>
      <c r="N711" s="1698"/>
      <c r="O711" s="1698"/>
      <c r="P711" s="1698"/>
      <c r="Q711" s="1698"/>
      <c r="R711" s="1698"/>
      <c r="S711" s="1698"/>
      <c r="T711" s="1698"/>
      <c r="U711" s="1698"/>
      <c r="V711" s="1698"/>
      <c r="W711" s="1698"/>
      <c r="X711" s="1698"/>
      <c r="Y711" s="1698"/>
      <c r="Z711" s="1698"/>
      <c r="AA711" s="1698"/>
      <c r="AB711" s="1698"/>
      <c r="AC711" s="1698"/>
      <c r="AD711" s="1698"/>
      <c r="AE711" s="1698"/>
      <c r="AF711" s="1698"/>
      <c r="AG711" s="1698"/>
      <c r="AH711" s="1293"/>
      <c r="AI711" s="1293"/>
      <c r="AJ711" s="1293"/>
      <c r="AK711" s="1293"/>
      <c r="AL711" s="1293"/>
      <c r="AM711" s="1293"/>
      <c r="AN711" s="1293"/>
      <c r="AO711" s="1293"/>
      <c r="AP711" s="1293"/>
      <c r="AQ711" s="1293"/>
      <c r="AR711" s="1293"/>
      <c r="AS711" s="1293"/>
    </row>
    <row r="712" spans="1:45" ht="15.75">
      <c r="A712" s="1293" t="str">
        <f t="shared" si="417"/>
        <v>DRC</v>
      </c>
      <c r="B712" s="1293"/>
      <c r="C712" s="1293"/>
      <c r="D712" s="1293"/>
      <c r="E712" s="1293"/>
      <c r="F712" s="1293"/>
      <c r="G712" s="1293"/>
      <c r="H712" s="1293"/>
      <c r="I712" s="1293"/>
      <c r="J712" s="1293"/>
      <c r="K712" s="1293"/>
      <c r="L712" s="1293"/>
      <c r="M712" s="1698">
        <f t="shared" si="418"/>
        <v>94</v>
      </c>
      <c r="N712" s="1698"/>
      <c r="O712" s="1698"/>
      <c r="P712" s="1698"/>
      <c r="Q712" s="1698"/>
      <c r="R712" s="1698"/>
      <c r="S712" s="1698"/>
      <c r="T712" s="1698"/>
      <c r="U712" s="1698"/>
      <c r="V712" s="1698"/>
      <c r="W712" s="1698"/>
      <c r="X712" s="1698"/>
      <c r="Y712" s="1698"/>
      <c r="Z712" s="1698"/>
      <c r="AA712" s="1698"/>
      <c r="AB712" s="1698"/>
      <c r="AC712" s="1698"/>
      <c r="AD712" s="1698"/>
      <c r="AE712" s="1698"/>
      <c r="AF712" s="1698"/>
      <c r="AG712" s="1698"/>
      <c r="AH712" s="1293"/>
      <c r="AI712" s="1293"/>
      <c r="AJ712" s="1293"/>
      <c r="AK712" s="1293"/>
      <c r="AL712" s="1293"/>
      <c r="AM712" s="1293"/>
      <c r="AN712" s="1293"/>
      <c r="AO712" s="1293"/>
      <c r="AP712" s="1293"/>
      <c r="AQ712" s="1293"/>
      <c r="AR712" s="1293"/>
      <c r="AS712" s="1293"/>
    </row>
    <row r="713" spans="1:45" ht="15.75">
      <c r="A713" s="1293" t="str">
        <f t="shared" si="417"/>
        <v>El Sal</v>
      </c>
      <c r="B713" s="1293"/>
      <c r="C713" s="1293"/>
      <c r="D713" s="1293"/>
      <c r="E713" s="1293"/>
      <c r="F713" s="1293"/>
      <c r="G713" s="1293"/>
      <c r="H713" s="1293"/>
      <c r="I713" s="1293"/>
      <c r="J713" s="1293"/>
      <c r="K713" s="1293"/>
      <c r="L713" s="1293"/>
      <c r="M713" s="1698">
        <f t="shared" si="418"/>
        <v>435</v>
      </c>
      <c r="N713" s="1698"/>
      <c r="O713" s="1698"/>
      <c r="P713" s="1698"/>
      <c r="Q713" s="1698"/>
      <c r="R713" s="1698"/>
      <c r="S713" s="1698"/>
      <c r="T713" s="1698"/>
      <c r="U713" s="1698"/>
      <c r="V713" s="1698"/>
      <c r="W713" s="1698"/>
      <c r="X713" s="1698"/>
      <c r="Y713" s="1698"/>
      <c r="Z713" s="1698"/>
      <c r="AA713" s="1698"/>
      <c r="AB713" s="1698"/>
      <c r="AC713" s="1698"/>
      <c r="AD713" s="1698"/>
      <c r="AE713" s="1698"/>
      <c r="AF713" s="1698"/>
      <c r="AG713" s="1698"/>
      <c r="AH713" s="1293"/>
      <c r="AI713" s="1293"/>
      <c r="AJ713" s="1293"/>
      <c r="AK713" s="1293"/>
      <c r="AL713" s="1293"/>
      <c r="AM713" s="1293"/>
      <c r="AN713" s="1293"/>
      <c r="AO713" s="1293"/>
      <c r="AP713" s="1293"/>
      <c r="AQ713" s="1293"/>
      <c r="AR713" s="1293"/>
      <c r="AS713" s="1293"/>
    </row>
    <row r="714" spans="1:45" ht="15.75">
      <c r="A714" s="1293" t="str">
        <f t="shared" si="417"/>
        <v>Ghana</v>
      </c>
      <c r="B714" s="1293"/>
      <c r="C714" s="1293"/>
      <c r="D714" s="1293"/>
      <c r="E714" s="1293"/>
      <c r="F714" s="1293"/>
      <c r="G714" s="1293"/>
      <c r="H714" s="1293"/>
      <c r="I714" s="1293"/>
      <c r="J714" s="1293"/>
      <c r="K714" s="1293"/>
      <c r="L714" s="1293"/>
      <c r="M714" s="1698">
        <f t="shared" si="418"/>
        <v>158</v>
      </c>
      <c r="N714" s="1698"/>
      <c r="O714" s="1698"/>
      <c r="P714" s="1698"/>
      <c r="Q714" s="1698"/>
      <c r="R714" s="1698"/>
      <c r="S714" s="1698"/>
      <c r="T714" s="1698"/>
      <c r="U714" s="1698"/>
      <c r="V714" s="1698"/>
      <c r="W714" s="1698"/>
      <c r="X714" s="1698"/>
      <c r="Y714" s="1698"/>
      <c r="Z714" s="1698"/>
      <c r="AA714" s="1698"/>
      <c r="AB714" s="1698"/>
      <c r="AC714" s="1698"/>
      <c r="AD714" s="1698"/>
      <c r="AE714" s="1698"/>
      <c r="AF714" s="1698"/>
      <c r="AG714" s="1698"/>
      <c r="AH714" s="1293"/>
      <c r="AI714" s="1293"/>
      <c r="AJ714" s="1293"/>
      <c r="AK714" s="1293"/>
      <c r="AL714" s="1293"/>
      <c r="AM714" s="1293"/>
      <c r="AN714" s="1293"/>
      <c r="AO714" s="1293"/>
      <c r="AP714" s="1293"/>
      <c r="AQ714" s="1293"/>
      <c r="AR714" s="1293"/>
      <c r="AS714" s="1293"/>
    </row>
    <row r="715" spans="1:45" ht="15.75">
      <c r="A715" s="1293" t="str">
        <f t="shared" si="417"/>
        <v>Honduras</v>
      </c>
      <c r="B715" s="1293"/>
      <c r="C715" s="1293"/>
      <c r="D715" s="1293"/>
      <c r="E715" s="1293"/>
      <c r="F715" s="1293"/>
      <c r="G715" s="1293"/>
      <c r="H715" s="1293"/>
      <c r="I715" s="1293"/>
      <c r="J715" s="1293"/>
      <c r="K715" s="1293"/>
      <c r="L715" s="1293"/>
      <c r="M715" s="1698">
        <f t="shared" si="418"/>
        <v>157</v>
      </c>
      <c r="N715" s="1698"/>
      <c r="O715" s="1698"/>
      <c r="P715" s="1698"/>
      <c r="Q715" s="1698"/>
      <c r="R715" s="1698"/>
      <c r="S715" s="1698"/>
      <c r="T715" s="1698"/>
      <c r="U715" s="1698"/>
      <c r="V715" s="1698"/>
      <c r="W715" s="1698"/>
      <c r="X715" s="1698"/>
      <c r="Y715" s="1698"/>
      <c r="Z715" s="1698"/>
      <c r="AA715" s="1698"/>
      <c r="AB715" s="1698"/>
      <c r="AC715" s="1698"/>
      <c r="AD715" s="1698"/>
      <c r="AE715" s="1698"/>
      <c r="AF715" s="1698"/>
      <c r="AG715" s="1698"/>
      <c r="AH715" s="1293"/>
      <c r="AI715" s="1293"/>
      <c r="AJ715" s="1293"/>
      <c r="AK715" s="1293"/>
      <c r="AL715" s="1293"/>
      <c r="AM715" s="1293"/>
      <c r="AN715" s="1293"/>
      <c r="AO715" s="1293"/>
      <c r="AP715" s="1293"/>
      <c r="AQ715" s="1293"/>
      <c r="AR715" s="1293"/>
      <c r="AS715" s="1293"/>
    </row>
    <row r="716" spans="1:45" ht="15.75">
      <c r="A716" s="1293" t="str">
        <f t="shared" si="417"/>
        <v>Paraguay</v>
      </c>
      <c r="B716" s="1293"/>
      <c r="C716" s="1293"/>
      <c r="D716" s="1293"/>
      <c r="E716" s="1293"/>
      <c r="F716" s="1293"/>
      <c r="G716" s="1293"/>
      <c r="H716" s="1293"/>
      <c r="I716" s="1293"/>
      <c r="J716" s="1293"/>
      <c r="K716" s="1293"/>
      <c r="L716" s="1293"/>
      <c r="M716" s="1698">
        <f t="shared" si="418"/>
        <v>106</v>
      </c>
      <c r="N716" s="1698"/>
      <c r="O716" s="1698"/>
      <c r="P716" s="1698"/>
      <c r="Q716" s="1698"/>
      <c r="R716" s="1698"/>
      <c r="S716" s="1698"/>
      <c r="T716" s="1698"/>
      <c r="U716" s="1698"/>
      <c r="V716" s="1698"/>
      <c r="W716" s="1698"/>
      <c r="X716" s="1698"/>
      <c r="Y716" s="1698"/>
      <c r="Z716" s="1698"/>
      <c r="AA716" s="1698"/>
      <c r="AB716" s="1698"/>
      <c r="AC716" s="1698"/>
      <c r="AD716" s="1698"/>
      <c r="AE716" s="1698"/>
      <c r="AF716" s="1698"/>
      <c r="AG716" s="1698"/>
      <c r="AH716" s="1293"/>
      <c r="AI716" s="1293"/>
      <c r="AJ716" s="1293"/>
      <c r="AK716" s="1293"/>
      <c r="AL716" s="1293"/>
      <c r="AM716" s="1293"/>
      <c r="AN716" s="1293"/>
      <c r="AO716" s="1293"/>
      <c r="AP716" s="1293"/>
      <c r="AQ716" s="1293"/>
      <c r="AR716" s="1293"/>
      <c r="AS716" s="1293"/>
    </row>
    <row r="717" spans="1:45" ht="15.75">
      <c r="A717" s="1293" t="str">
        <f t="shared" si="417"/>
        <v>Guatemala</v>
      </c>
      <c r="B717" s="1293"/>
      <c r="C717" s="1293"/>
      <c r="D717" s="1293"/>
      <c r="E717" s="1293"/>
      <c r="F717" s="1293"/>
      <c r="G717" s="1293"/>
      <c r="H717" s="1293"/>
      <c r="I717" s="1293"/>
      <c r="J717" s="1293"/>
      <c r="K717" s="1293"/>
      <c r="L717" s="1293"/>
      <c r="M717" s="1698">
        <f t="shared" si="418"/>
        <v>164</v>
      </c>
      <c r="N717" s="1698"/>
      <c r="O717" s="1698"/>
      <c r="P717" s="1698"/>
      <c r="Q717" s="1698"/>
      <c r="R717" s="1698"/>
      <c r="S717" s="1698"/>
      <c r="T717" s="1698"/>
      <c r="U717" s="1698"/>
      <c r="V717" s="1698"/>
      <c r="W717" s="1698"/>
      <c r="X717" s="1698"/>
      <c r="Y717" s="1698"/>
      <c r="Z717" s="1698"/>
      <c r="AA717" s="1698"/>
      <c r="AB717" s="1698"/>
      <c r="AC717" s="1293"/>
      <c r="AD717" s="1293"/>
      <c r="AE717" s="1293"/>
      <c r="AF717" s="1293"/>
      <c r="AG717" s="1293"/>
      <c r="AH717" s="1293"/>
      <c r="AI717" s="1293"/>
      <c r="AJ717" s="1293"/>
      <c r="AK717" s="1293"/>
      <c r="AL717" s="1293"/>
      <c r="AM717" s="1293"/>
      <c r="AN717" s="1293"/>
      <c r="AO717" s="1293"/>
      <c r="AP717" s="1293"/>
      <c r="AQ717" s="1293"/>
      <c r="AR717" s="1293"/>
      <c r="AS717" s="1293"/>
    </row>
    <row r="718" spans="1:45" ht="15.75">
      <c r="A718" s="1293" t="str">
        <f t="shared" si="417"/>
        <v>Other Central America</v>
      </c>
      <c r="B718" s="1293"/>
      <c r="C718" s="1293"/>
      <c r="D718" s="1293"/>
      <c r="E718" s="1293"/>
      <c r="F718" s="1293"/>
      <c r="G718" s="1293"/>
      <c r="H718" s="1293"/>
      <c r="I718" s="1293"/>
      <c r="J718" s="1293"/>
      <c r="K718" s="1293"/>
      <c r="L718" s="1293"/>
      <c r="M718" s="1698">
        <f t="shared" si="418"/>
        <v>0</v>
      </c>
      <c r="N718" s="1698"/>
      <c r="O718" s="1698"/>
      <c r="P718" s="1698"/>
      <c r="Q718" s="1698"/>
      <c r="R718" s="1698"/>
      <c r="S718" s="1698"/>
      <c r="T718" s="1698"/>
      <c r="U718" s="1698"/>
      <c r="V718" s="1698"/>
      <c r="W718" s="1698"/>
      <c r="X718" s="1698"/>
      <c r="Y718" s="1698"/>
      <c r="Z718" s="1698"/>
      <c r="AA718" s="1698"/>
      <c r="AB718" s="1698"/>
      <c r="AC718" s="1293"/>
      <c r="AD718" s="1293"/>
      <c r="AE718" s="1293"/>
      <c r="AF718" s="1293"/>
      <c r="AG718" s="1293"/>
      <c r="AH718" s="1293"/>
      <c r="AI718" s="1293"/>
      <c r="AJ718" s="1293"/>
      <c r="AK718" s="1293"/>
      <c r="AL718" s="1293"/>
      <c r="AM718" s="1293"/>
      <c r="AN718" s="1293"/>
      <c r="AO718" s="1293"/>
      <c r="AP718" s="1293"/>
      <c r="AQ718" s="1293"/>
      <c r="AR718" s="1293"/>
      <c r="AS718" s="1293"/>
    </row>
    <row r="719" spans="1:45" ht="15.75">
      <c r="A719" s="1293" t="str">
        <f t="shared" si="417"/>
        <v>Amnet</v>
      </c>
      <c r="B719" s="1293"/>
      <c r="C719" s="1293"/>
      <c r="D719" s="1293"/>
      <c r="E719" s="1293"/>
      <c r="F719" s="1293"/>
      <c r="G719" s="1293"/>
      <c r="H719" s="1293"/>
      <c r="I719" s="1293"/>
      <c r="J719" s="1293"/>
      <c r="K719" s="1293"/>
      <c r="L719" s="1293"/>
      <c r="M719" s="1698">
        <f t="shared" si="418"/>
        <v>133</v>
      </c>
      <c r="N719" s="1698"/>
      <c r="O719" s="1698"/>
      <c r="P719" s="1698"/>
      <c r="Q719" s="1698"/>
      <c r="R719" s="1698"/>
      <c r="S719" s="1698"/>
      <c r="T719" s="1698"/>
      <c r="U719" s="1698"/>
      <c r="V719" s="1698"/>
      <c r="W719" s="1698"/>
      <c r="X719" s="1698"/>
      <c r="Y719" s="1698"/>
      <c r="Z719" s="1698"/>
      <c r="AA719" s="1698"/>
      <c r="AB719" s="1698"/>
      <c r="AC719" s="1293"/>
      <c r="AD719" s="1293"/>
      <c r="AE719" s="1293"/>
      <c r="AF719" s="1293"/>
      <c r="AG719" s="1293"/>
      <c r="AH719" s="1293"/>
      <c r="AI719" s="1293"/>
      <c r="AJ719" s="1293"/>
      <c r="AK719" s="1293"/>
      <c r="AL719" s="1293"/>
      <c r="AM719" s="1293"/>
      <c r="AN719" s="1293"/>
      <c r="AO719" s="1293"/>
      <c r="AP719" s="1293"/>
      <c r="AQ719" s="1293"/>
      <c r="AR719" s="1293"/>
      <c r="AS719" s="1293"/>
    </row>
    <row r="720" spans="1:45" ht="15.75">
      <c r="A720" s="1293" t="str">
        <f t="shared" si="417"/>
        <v>Tanzania</v>
      </c>
      <c r="B720" s="1293"/>
      <c r="C720" s="1293"/>
      <c r="D720" s="1293"/>
      <c r="E720" s="1293"/>
      <c r="F720" s="1293"/>
      <c r="G720" s="1293"/>
      <c r="H720" s="1293"/>
      <c r="I720" s="1293"/>
      <c r="J720" s="1293"/>
      <c r="K720" s="1293"/>
      <c r="L720" s="1293"/>
      <c r="M720" s="1698">
        <f t="shared" si="418"/>
        <v>141.09190920368201</v>
      </c>
      <c r="N720" s="1698"/>
      <c r="O720" s="1698"/>
      <c r="P720" s="1698"/>
      <c r="Q720" s="1698"/>
      <c r="R720" s="1698"/>
      <c r="S720" s="1698"/>
      <c r="T720" s="1698"/>
      <c r="U720" s="1698"/>
      <c r="V720" s="1698"/>
      <c r="W720" s="1698"/>
      <c r="X720" s="1698"/>
      <c r="Y720" s="1698"/>
      <c r="Z720" s="1698"/>
      <c r="AA720" s="1698"/>
      <c r="AB720" s="1698"/>
      <c r="AC720" s="1293"/>
      <c r="AD720" s="1293"/>
      <c r="AE720" s="1293"/>
      <c r="AF720" s="1293"/>
      <c r="AG720" s="1293"/>
      <c r="AH720" s="1293"/>
      <c r="AI720" s="1293"/>
      <c r="AJ720" s="1293"/>
      <c r="AK720" s="1293"/>
      <c r="AL720" s="1293"/>
      <c r="AM720" s="1293"/>
      <c r="AN720" s="1293"/>
      <c r="AO720" s="1293"/>
      <c r="AP720" s="1293"/>
      <c r="AQ720" s="1293"/>
      <c r="AR720" s="1293"/>
      <c r="AS720" s="1293"/>
    </row>
    <row r="721" spans="1:45" ht="15.75">
      <c r="A721" s="1293" t="str">
        <f t="shared" si="417"/>
        <v>Luxembourg</v>
      </c>
      <c r="B721" s="1293"/>
      <c r="C721" s="1293"/>
      <c r="D721" s="1293"/>
      <c r="E721" s="1293"/>
      <c r="F721" s="1293"/>
      <c r="G721" s="1293"/>
      <c r="H721" s="1293"/>
      <c r="I721" s="1293"/>
      <c r="J721" s="1293"/>
      <c r="K721" s="1293"/>
      <c r="L721" s="1293"/>
      <c r="M721" s="1698">
        <f t="shared" si="418"/>
        <v>0</v>
      </c>
      <c r="N721" s="1698"/>
      <c r="O721" s="1698"/>
      <c r="P721" s="1698"/>
      <c r="Q721" s="1698"/>
      <c r="R721" s="1698"/>
      <c r="S721" s="1698"/>
      <c r="T721" s="1698"/>
      <c r="U721" s="1698"/>
      <c r="V721" s="1698"/>
      <c r="W721" s="1698"/>
      <c r="X721" s="1698"/>
      <c r="Y721" s="1698"/>
      <c r="Z721" s="1698"/>
      <c r="AA721" s="1698"/>
      <c r="AB721" s="1698"/>
      <c r="AC721" s="1293"/>
      <c r="AD721" s="1293"/>
      <c r="AE721" s="1293"/>
      <c r="AF721" s="1293"/>
      <c r="AG721" s="1293"/>
      <c r="AH721" s="1293"/>
      <c r="AI721" s="1293"/>
      <c r="AJ721" s="1293"/>
      <c r="AK721" s="1293"/>
      <c r="AL721" s="1293"/>
      <c r="AM721" s="1293"/>
      <c r="AN721" s="1293"/>
      <c r="AO721" s="1293"/>
      <c r="AP721" s="1293"/>
      <c r="AQ721" s="1293"/>
      <c r="AR721" s="1293"/>
      <c r="AS721" s="1293"/>
    </row>
    <row r="722" spans="1:45" ht="15.75">
      <c r="A722" s="1331" t="str">
        <f t="shared" si="417"/>
        <v>MIC SA/other</v>
      </c>
      <c r="B722" s="1331"/>
      <c r="C722" s="1331"/>
      <c r="D722" s="1331"/>
      <c r="E722" s="1331"/>
      <c r="F722" s="1331"/>
      <c r="G722" s="1331"/>
      <c r="H722" s="1331"/>
      <c r="I722" s="1331"/>
      <c r="J722" s="1331"/>
      <c r="K722" s="1331"/>
      <c r="L722" s="1331"/>
      <c r="M722" s="1702">
        <f t="shared" ca="1" si="418"/>
        <v>120.03600000000006</v>
      </c>
      <c r="N722" s="1702"/>
      <c r="O722" s="1702"/>
      <c r="P722" s="1702"/>
      <c r="Q722" s="1702"/>
      <c r="R722" s="1702"/>
      <c r="S722" s="1702"/>
      <c r="T722" s="1702"/>
      <c r="U722" s="1702"/>
      <c r="V722" s="1702"/>
      <c r="W722" s="1702"/>
      <c r="X722" s="1702"/>
      <c r="Y722" s="1702"/>
      <c r="Z722" s="1702"/>
      <c r="AA722" s="1702"/>
      <c r="AB722" s="1702"/>
      <c r="AC722" s="1702"/>
      <c r="AD722" s="1702"/>
      <c r="AE722" s="1702"/>
      <c r="AF722" s="1702"/>
      <c r="AG722" s="1702"/>
      <c r="AH722" s="1293"/>
      <c r="AI722" s="1293"/>
      <c r="AJ722" s="1293"/>
      <c r="AK722" s="1293"/>
      <c r="AL722" s="1293"/>
      <c r="AM722" s="1293"/>
      <c r="AN722" s="1293"/>
      <c r="AO722" s="1293"/>
      <c r="AP722" s="1293"/>
      <c r="AQ722" s="1293"/>
      <c r="AR722" s="1293"/>
      <c r="AS722" s="1293"/>
    </row>
    <row r="723" spans="1:45" ht="15.75">
      <c r="A723" s="1334" t="str">
        <f t="shared" si="417"/>
        <v>Total</v>
      </c>
      <c r="B723" s="1334"/>
      <c r="C723" s="1334"/>
      <c r="D723" s="1334"/>
      <c r="E723" s="1334"/>
      <c r="F723" s="1334"/>
      <c r="G723" s="1334"/>
      <c r="H723" s="1334"/>
      <c r="I723" s="1334"/>
      <c r="J723" s="1334"/>
      <c r="K723" s="1334"/>
      <c r="L723" s="1334"/>
      <c r="M723" s="1976">
        <f t="shared" ca="1" si="418"/>
        <v>1686.1279092036821</v>
      </c>
      <c r="N723" s="1976"/>
      <c r="O723" s="1976">
        <f ca="1">O689-O706</f>
        <v>2638.1217271920323</v>
      </c>
      <c r="P723" s="1976"/>
      <c r="Q723" s="1976">
        <f>Q689-Q706</f>
        <v>3194</v>
      </c>
      <c r="R723" s="1976"/>
      <c r="S723" s="1976"/>
      <c r="T723" s="1976"/>
      <c r="U723" s="1976"/>
      <c r="V723" s="1976"/>
      <c r="W723" s="1976"/>
      <c r="X723" s="1976"/>
      <c r="Y723" s="1976"/>
      <c r="Z723" s="1976"/>
      <c r="AA723" s="1976"/>
      <c r="AB723" s="1976"/>
      <c r="AC723" s="1976"/>
      <c r="AD723" s="1976"/>
      <c r="AE723" s="1976"/>
      <c r="AF723" s="1976"/>
      <c r="AG723" s="1976"/>
      <c r="AH723" s="1293"/>
      <c r="AI723" s="1293"/>
      <c r="AJ723" s="1293"/>
      <c r="AK723" s="1293"/>
      <c r="AL723" s="1293"/>
      <c r="AM723" s="1293"/>
      <c r="AN723" s="1293"/>
      <c r="AO723" s="1293"/>
      <c r="AP723" s="1293"/>
      <c r="AQ723" s="1293"/>
      <c r="AR723" s="1293"/>
      <c r="AS723" s="1293"/>
    </row>
    <row r="724" spans="1:45" ht="15.75">
      <c r="A724" s="1293"/>
      <c r="B724" s="1293"/>
      <c r="C724" s="1293"/>
      <c r="D724" s="1293"/>
      <c r="E724" s="1293"/>
      <c r="F724" s="1293"/>
      <c r="G724" s="1293"/>
      <c r="H724" s="1293"/>
      <c r="I724" s="1293"/>
      <c r="J724" s="1293"/>
      <c r="K724" s="1293"/>
      <c r="L724" s="1293"/>
      <c r="M724" s="1293"/>
      <c r="N724" s="1293"/>
      <c r="O724" s="1293"/>
      <c r="P724" s="1293"/>
      <c r="Q724" s="1293"/>
      <c r="R724" s="1293"/>
      <c r="S724" s="1293"/>
      <c r="T724" s="1293"/>
      <c r="U724" s="1293"/>
      <c r="V724" s="1293"/>
      <c r="W724" s="1293"/>
      <c r="X724" s="1293"/>
      <c r="Y724" s="1293"/>
      <c r="Z724" s="1293"/>
      <c r="AA724" s="1293"/>
      <c r="AB724" s="1293"/>
      <c r="AC724" s="1293"/>
      <c r="AD724" s="1293"/>
      <c r="AE724" s="1293"/>
      <c r="AF724" s="1293"/>
      <c r="AG724" s="1293"/>
      <c r="AH724" s="1293"/>
      <c r="AI724" s="1293"/>
      <c r="AJ724" s="1293"/>
      <c r="AK724" s="1293"/>
      <c r="AL724" s="1293"/>
      <c r="AM724" s="1293"/>
      <c r="AN724" s="1293"/>
      <c r="AO724" s="1293"/>
      <c r="AP724" s="1293"/>
      <c r="AQ724" s="1293"/>
      <c r="AR724" s="1293"/>
      <c r="AS724" s="1293"/>
    </row>
    <row r="725" spans="1:45" ht="15.75">
      <c r="A725" s="1293" t="s">
        <v>2387</v>
      </c>
      <c r="B725" s="1293"/>
      <c r="C725" s="1293"/>
      <c r="D725" s="1293"/>
      <c r="E725" s="1293"/>
      <c r="F725" s="1293"/>
      <c r="G725" s="1293"/>
      <c r="H725" s="1293"/>
      <c r="I725" s="1293"/>
      <c r="J725" s="1293"/>
      <c r="K725" s="1293"/>
      <c r="L725" s="1293"/>
      <c r="M725" s="1293">
        <v>571</v>
      </c>
      <c r="N725" s="1293"/>
      <c r="O725" s="1293"/>
      <c r="P725" s="1293"/>
      <c r="Q725" s="1293"/>
      <c r="R725" s="1293"/>
      <c r="S725" s="1293"/>
      <c r="T725" s="1293"/>
      <c r="U725" s="1293"/>
      <c r="V725" s="1293"/>
      <c r="W725" s="1293"/>
      <c r="X725" s="1293"/>
      <c r="Y725" s="1293"/>
      <c r="Z725" s="1293"/>
      <c r="AA725" s="1293"/>
      <c r="AB725" s="1293"/>
      <c r="AC725" s="1293"/>
      <c r="AD725" s="1293"/>
      <c r="AE725" s="1293"/>
      <c r="AF725" s="1293"/>
      <c r="AG725" s="1293"/>
      <c r="AH725" s="1293"/>
      <c r="AI725" s="1293"/>
      <c r="AJ725" s="1293"/>
      <c r="AK725" s="1293"/>
      <c r="AL725" s="1293"/>
      <c r="AM725" s="1293"/>
      <c r="AN725" s="1293"/>
      <c r="AO725" s="1293"/>
      <c r="AP725" s="1293"/>
      <c r="AQ725" s="1293"/>
      <c r="AR725" s="1293"/>
      <c r="AS725" s="1293"/>
    </row>
    <row r="726" spans="1:45" ht="15.75">
      <c r="A726" s="1331" t="s">
        <v>2170</v>
      </c>
      <c r="B726" s="1331"/>
      <c r="C726" s="1331"/>
      <c r="D726" s="1331"/>
      <c r="E726" s="1331"/>
      <c r="F726" s="1331"/>
      <c r="G726" s="1331"/>
      <c r="H726" s="1331"/>
      <c r="I726" s="1331"/>
      <c r="J726" s="1331"/>
      <c r="K726" s="1331"/>
      <c r="L726" s="1331"/>
      <c r="M726" s="1331"/>
      <c r="N726" s="1331"/>
      <c r="O726" s="1331"/>
      <c r="P726" s="1331"/>
      <c r="Q726" s="1331"/>
      <c r="R726" s="1331"/>
      <c r="S726" s="1331"/>
      <c r="T726" s="1331"/>
      <c r="U726" s="1331"/>
      <c r="V726" s="1331"/>
      <c r="W726" s="1331"/>
      <c r="X726" s="1331"/>
      <c r="Y726" s="1331"/>
      <c r="Z726" s="1331"/>
      <c r="AA726" s="1331"/>
      <c r="AB726" s="1331"/>
      <c r="AC726" s="1331"/>
      <c r="AD726" s="1331"/>
      <c r="AE726" s="1331"/>
      <c r="AF726" s="1331"/>
      <c r="AG726" s="1331"/>
      <c r="AH726" s="1293"/>
      <c r="AI726" s="1293"/>
      <c r="AJ726" s="1293"/>
      <c r="AK726" s="1293"/>
      <c r="AL726" s="1293"/>
      <c r="AM726" s="1293"/>
      <c r="AN726" s="1293"/>
      <c r="AO726" s="1293"/>
      <c r="AP726" s="1293"/>
      <c r="AQ726" s="1293"/>
      <c r="AR726" s="1293"/>
      <c r="AS726" s="1293"/>
    </row>
    <row r="727" spans="1:45" ht="15.75">
      <c r="A727" s="1293" t="s">
        <v>2222</v>
      </c>
      <c r="B727" s="1293"/>
      <c r="C727" s="1293"/>
      <c r="D727" s="1293"/>
      <c r="E727" s="1293"/>
      <c r="F727" s="1293"/>
      <c r="G727" s="1293"/>
      <c r="H727" s="1293"/>
      <c r="I727" s="1293"/>
      <c r="J727" s="1293"/>
      <c r="K727" s="1293"/>
      <c r="L727" s="1293"/>
      <c r="M727" s="1293"/>
      <c r="N727" s="1293"/>
      <c r="O727" s="1293"/>
      <c r="P727" s="1293"/>
      <c r="Q727" s="1293"/>
      <c r="R727" s="1293"/>
      <c r="S727" s="1293"/>
      <c r="T727" s="1293"/>
      <c r="U727" s="1293"/>
      <c r="V727" s="1293"/>
      <c r="W727" s="1293"/>
      <c r="X727" s="1293"/>
      <c r="Y727" s="1293"/>
      <c r="Z727" s="1293"/>
      <c r="AA727" s="1293"/>
      <c r="AB727" s="1293"/>
      <c r="AC727" s="1293"/>
      <c r="AD727" s="1293"/>
      <c r="AE727" s="1293"/>
      <c r="AF727" s="1293"/>
      <c r="AG727" s="1293"/>
      <c r="AH727" s="1293"/>
      <c r="AI727" s="1293"/>
      <c r="AJ727" s="1293"/>
      <c r="AK727" s="1293"/>
      <c r="AL727" s="1293"/>
      <c r="AM727" s="1293"/>
      <c r="AN727" s="1293"/>
      <c r="AO727" s="1293"/>
      <c r="AP727" s="1293"/>
      <c r="AQ727" s="1293"/>
      <c r="AR727" s="1293"/>
      <c r="AS727" s="1293"/>
    </row>
    <row r="728" spans="1:45" ht="15.75">
      <c r="A728" s="1293"/>
      <c r="B728" s="1293"/>
      <c r="C728" s="1293"/>
      <c r="D728" s="1293"/>
      <c r="E728" s="1293"/>
      <c r="F728" s="1293"/>
      <c r="G728" s="1293"/>
      <c r="H728" s="1293"/>
      <c r="I728" s="1293"/>
      <c r="J728" s="1293"/>
      <c r="K728" s="1293"/>
      <c r="L728" s="1293"/>
      <c r="M728" s="1293"/>
      <c r="N728" s="1293"/>
      <c r="O728" s="1293"/>
      <c r="P728" s="1293"/>
      <c r="Q728" s="1293"/>
      <c r="R728" s="1293"/>
      <c r="S728" s="1293"/>
      <c r="T728" s="1293"/>
      <c r="U728" s="1293"/>
      <c r="V728" s="1293"/>
      <c r="W728" s="1293"/>
      <c r="X728" s="1293"/>
      <c r="Y728" s="1293"/>
      <c r="Z728" s="1293"/>
      <c r="AA728" s="1293"/>
      <c r="AB728" s="1293"/>
      <c r="AC728" s="1293"/>
      <c r="AD728" s="1293"/>
      <c r="AE728" s="1293"/>
      <c r="AF728" s="1293"/>
      <c r="AG728" s="1293"/>
      <c r="AH728" s="1293"/>
      <c r="AI728" s="1293"/>
      <c r="AJ728" s="1293"/>
      <c r="AK728" s="1293"/>
      <c r="AL728" s="1293"/>
      <c r="AM728" s="1293"/>
      <c r="AN728" s="1293"/>
      <c r="AO728" s="1293"/>
      <c r="AP728" s="1293"/>
      <c r="AQ728" s="1293"/>
      <c r="AR728" s="1293"/>
      <c r="AS728" s="1293"/>
    </row>
    <row r="729" spans="1:45" ht="15.75">
      <c r="A729" s="1293"/>
      <c r="B729" s="1293"/>
      <c r="C729" s="1293"/>
      <c r="D729" s="1293"/>
      <c r="E729" s="1293"/>
      <c r="F729" s="1293"/>
      <c r="G729" s="1293"/>
      <c r="H729" s="1293"/>
      <c r="I729" s="1293"/>
      <c r="J729" s="1293"/>
      <c r="K729" s="1293"/>
      <c r="L729" s="1293"/>
      <c r="M729" s="1293"/>
      <c r="N729" s="1293"/>
      <c r="O729" s="1293"/>
      <c r="P729" s="1293"/>
      <c r="Q729" s="1293"/>
      <c r="R729" s="1293"/>
      <c r="S729" s="1293"/>
      <c r="T729" s="1293"/>
      <c r="U729" s="1293"/>
      <c r="V729" s="1293"/>
      <c r="W729" s="1293"/>
      <c r="X729" s="1293"/>
      <c r="Y729" s="1293"/>
      <c r="Z729" s="1293"/>
      <c r="AA729" s="1293"/>
      <c r="AB729" s="1293"/>
      <c r="AC729" s="1293"/>
      <c r="AD729" s="1293"/>
      <c r="AE729" s="1293"/>
      <c r="AF729" s="1293"/>
      <c r="AG729" s="1293"/>
      <c r="AH729" s="1293"/>
      <c r="AI729" s="1293"/>
      <c r="AJ729" s="1293"/>
      <c r="AK729" s="1293"/>
      <c r="AL729" s="1293"/>
      <c r="AM729" s="1293"/>
      <c r="AN729" s="1293"/>
      <c r="AO729" s="1293"/>
      <c r="AP729" s="1293"/>
      <c r="AQ729" s="1293"/>
      <c r="AR729" s="1293"/>
      <c r="AS729" s="1293"/>
    </row>
    <row r="730" spans="1:45" ht="15.75">
      <c r="A730" s="1293"/>
      <c r="B730" s="1293"/>
      <c r="C730" s="1293"/>
      <c r="D730" s="1293"/>
      <c r="E730" s="1293"/>
      <c r="F730" s="1293"/>
      <c r="G730" s="1293"/>
      <c r="H730" s="1293"/>
      <c r="I730" s="1293"/>
      <c r="J730" s="1293"/>
      <c r="K730" s="1293"/>
      <c r="L730" s="1293"/>
      <c r="M730" s="1293"/>
      <c r="N730" s="1293"/>
      <c r="O730" s="1293"/>
      <c r="P730" s="1293"/>
      <c r="Q730" s="1293"/>
      <c r="R730" s="1293"/>
      <c r="S730" s="1293"/>
      <c r="T730" s="1293"/>
      <c r="U730" s="1293"/>
      <c r="V730" s="1293"/>
      <c r="W730" s="1293"/>
      <c r="X730" s="1293"/>
      <c r="Y730" s="1293"/>
      <c r="Z730" s="1293"/>
      <c r="AA730" s="1293"/>
      <c r="AB730" s="1293"/>
      <c r="AC730" s="1293"/>
      <c r="AD730" s="1293"/>
      <c r="AE730" s="1293"/>
      <c r="AF730" s="1293"/>
      <c r="AG730" s="1293"/>
      <c r="AH730" s="1293"/>
      <c r="AI730" s="1293"/>
      <c r="AJ730" s="1293"/>
      <c r="AK730" s="1293"/>
      <c r="AL730" s="1293"/>
      <c r="AM730" s="1293"/>
      <c r="AN730" s="1293"/>
      <c r="AO730" s="1293"/>
      <c r="AP730" s="1293"/>
      <c r="AQ730" s="1293"/>
      <c r="AR730" s="1293"/>
      <c r="AS730" s="1293"/>
    </row>
    <row r="731" spans="1:45" ht="15.75">
      <c r="A731" s="1293"/>
      <c r="B731" s="1293"/>
      <c r="C731" s="1293"/>
      <c r="D731" s="1293"/>
      <c r="E731" s="1293"/>
      <c r="F731" s="1293"/>
      <c r="G731" s="1293"/>
      <c r="H731" s="1293"/>
      <c r="I731" s="1293"/>
      <c r="J731" s="1293"/>
      <c r="K731" s="1293"/>
      <c r="L731" s="1293"/>
      <c r="M731" s="1293"/>
      <c r="N731" s="1293"/>
      <c r="O731" s="1293"/>
      <c r="P731" s="1293"/>
      <c r="Q731" s="1293"/>
      <c r="R731" s="1293"/>
      <c r="S731" s="1293"/>
      <c r="T731" s="1293"/>
      <c r="U731" s="1293"/>
      <c r="V731" s="1293"/>
      <c r="W731" s="1293"/>
      <c r="X731" s="1293"/>
      <c r="Y731" s="1293"/>
      <c r="Z731" s="1293"/>
      <c r="AA731" s="1293"/>
      <c r="AB731" s="1293"/>
      <c r="AC731" s="1293"/>
      <c r="AD731" s="1293"/>
      <c r="AE731" s="1293"/>
      <c r="AF731" s="1293"/>
      <c r="AG731" s="1293"/>
      <c r="AH731" s="1293"/>
      <c r="AI731" s="1293"/>
      <c r="AJ731" s="1293"/>
      <c r="AK731" s="1293"/>
      <c r="AL731" s="1293"/>
      <c r="AM731" s="1293"/>
      <c r="AN731" s="1293"/>
      <c r="AO731" s="1293"/>
      <c r="AP731" s="1293"/>
      <c r="AQ731" s="1293"/>
      <c r="AR731" s="1293"/>
      <c r="AS731" s="1293"/>
    </row>
    <row r="732" spans="1:45" ht="15.75">
      <c r="A732" s="1293"/>
      <c r="B732" s="1293"/>
      <c r="C732" s="1293"/>
      <c r="D732" s="1293"/>
      <c r="E732" s="1293"/>
      <c r="F732" s="1293"/>
      <c r="G732" s="1293"/>
      <c r="H732" s="1293"/>
      <c r="I732" s="1293"/>
      <c r="J732" s="1293"/>
      <c r="K732" s="1293"/>
      <c r="L732" s="1293"/>
      <c r="M732" s="1293"/>
      <c r="N732" s="1293"/>
      <c r="O732" s="1293"/>
      <c r="P732" s="1293"/>
      <c r="Q732" s="1293"/>
      <c r="R732" s="1293"/>
      <c r="S732" s="1293"/>
      <c r="T732" s="1293"/>
      <c r="U732" s="1293"/>
      <c r="V732" s="1293"/>
      <c r="W732" s="1293"/>
      <c r="X732" s="1293"/>
      <c r="Y732" s="1293"/>
      <c r="Z732" s="1293"/>
      <c r="AA732" s="1293"/>
      <c r="AB732" s="1293"/>
      <c r="AC732" s="1293"/>
      <c r="AD732" s="1293"/>
      <c r="AE732" s="1293"/>
      <c r="AF732" s="1293"/>
      <c r="AG732" s="1293"/>
      <c r="AH732" s="1293"/>
      <c r="AI732" s="1293"/>
      <c r="AJ732" s="1293"/>
      <c r="AK732" s="1293"/>
      <c r="AL732" s="1293"/>
      <c r="AM732" s="1293"/>
      <c r="AN732" s="1293"/>
      <c r="AO732" s="1293"/>
      <c r="AP732" s="1293"/>
      <c r="AQ732" s="1293"/>
      <c r="AR732" s="1293"/>
      <c r="AS732" s="1293"/>
    </row>
    <row r="733" spans="1:45" ht="15.75">
      <c r="A733" s="1293"/>
      <c r="B733" s="1293"/>
      <c r="C733" s="1293"/>
      <c r="D733" s="1293"/>
      <c r="E733" s="1293"/>
      <c r="F733" s="1293"/>
      <c r="G733" s="1293"/>
      <c r="H733" s="1293"/>
      <c r="I733" s="1293"/>
      <c r="J733" s="1293"/>
      <c r="K733" s="1293"/>
      <c r="L733" s="1293"/>
      <c r="M733" s="1293"/>
      <c r="N733" s="1293"/>
      <c r="O733" s="1293"/>
      <c r="P733" s="1293"/>
      <c r="Q733" s="1293"/>
      <c r="R733" s="1293"/>
      <c r="S733" s="1293"/>
      <c r="T733" s="1293"/>
      <c r="U733" s="1293"/>
      <c r="V733" s="1293"/>
      <c r="W733" s="1293"/>
      <c r="X733" s="1293"/>
      <c r="Y733" s="1293"/>
      <c r="Z733" s="1293"/>
      <c r="AA733" s="1293"/>
      <c r="AB733" s="1293"/>
      <c r="AC733" s="1293"/>
      <c r="AD733" s="1293"/>
      <c r="AE733" s="1293"/>
      <c r="AF733" s="1293"/>
      <c r="AG733" s="1293"/>
      <c r="AH733" s="1293"/>
      <c r="AI733" s="1293"/>
      <c r="AJ733" s="1293"/>
      <c r="AK733" s="1293"/>
      <c r="AL733" s="1293"/>
      <c r="AM733" s="1293"/>
      <c r="AN733" s="1293"/>
      <c r="AO733" s="1293"/>
      <c r="AP733" s="1293"/>
      <c r="AQ733" s="1293"/>
      <c r="AR733" s="1293"/>
      <c r="AS733" s="1293"/>
    </row>
    <row r="734" spans="1:45" ht="15.75">
      <c r="A734" s="1293"/>
      <c r="B734" s="1293"/>
      <c r="C734" s="1293"/>
      <c r="D734" s="1293"/>
      <c r="E734" s="1293"/>
      <c r="F734" s="1293"/>
      <c r="G734" s="1293"/>
      <c r="H734" s="1293"/>
      <c r="I734" s="1293"/>
      <c r="J734" s="1293"/>
      <c r="K734" s="1293"/>
      <c r="L734" s="1293"/>
      <c r="M734" s="1293"/>
      <c r="N734" s="1293"/>
      <c r="O734" s="1293"/>
      <c r="P734" s="1293"/>
      <c r="Q734" s="1293"/>
      <c r="R734" s="1293"/>
      <c r="S734" s="1293"/>
      <c r="T734" s="1293"/>
      <c r="U734" s="1293"/>
      <c r="V734" s="1293"/>
      <c r="W734" s="1293"/>
      <c r="X734" s="1293"/>
      <c r="Y734" s="1293"/>
      <c r="Z734" s="1293"/>
      <c r="AA734" s="1293"/>
      <c r="AB734" s="1293"/>
      <c r="AC734" s="1293"/>
      <c r="AD734" s="1293"/>
      <c r="AE734" s="1293"/>
      <c r="AF734" s="1293"/>
      <c r="AG734" s="1293"/>
      <c r="AH734" s="1293"/>
      <c r="AI734" s="1293"/>
      <c r="AJ734" s="1293"/>
      <c r="AK734" s="1293"/>
      <c r="AL734" s="1293"/>
      <c r="AM734" s="1293"/>
      <c r="AN734" s="1293"/>
      <c r="AO734" s="1293"/>
      <c r="AP734" s="1293"/>
      <c r="AQ734" s="1293"/>
      <c r="AR734" s="1293"/>
      <c r="AS734" s="1293"/>
    </row>
    <row r="735" spans="1:45" ht="15.75">
      <c r="A735" s="1293"/>
      <c r="B735" s="1293"/>
      <c r="C735" s="1293"/>
      <c r="D735" s="1293"/>
      <c r="E735" s="1293"/>
      <c r="F735" s="1293"/>
      <c r="G735" s="1293"/>
      <c r="H735" s="1293"/>
      <c r="I735" s="1293"/>
      <c r="J735" s="1293"/>
      <c r="K735" s="1293"/>
      <c r="L735" s="1293"/>
      <c r="M735" s="1293"/>
      <c r="N735" s="1293"/>
      <c r="O735" s="1293"/>
      <c r="P735" s="1293"/>
      <c r="Q735" s="1293"/>
      <c r="R735" s="1293"/>
      <c r="S735" s="1293"/>
      <c r="T735" s="1293"/>
      <c r="U735" s="1293"/>
      <c r="V735" s="1293"/>
      <c r="W735" s="1293"/>
      <c r="X735" s="1293"/>
      <c r="Y735" s="1293"/>
      <c r="Z735" s="1293"/>
      <c r="AA735" s="1293"/>
      <c r="AB735" s="1293"/>
      <c r="AC735" s="1293"/>
      <c r="AD735" s="1293"/>
      <c r="AE735" s="1293"/>
      <c r="AF735" s="1293"/>
      <c r="AG735" s="1293"/>
      <c r="AH735" s="1293"/>
      <c r="AI735" s="1293"/>
      <c r="AJ735" s="1293"/>
      <c r="AK735" s="1293"/>
      <c r="AL735" s="1293"/>
      <c r="AM735" s="1293"/>
      <c r="AN735" s="1293"/>
      <c r="AO735" s="1293"/>
      <c r="AP735" s="1293"/>
      <c r="AQ735" s="1293"/>
      <c r="AR735" s="1293"/>
      <c r="AS735" s="1293"/>
    </row>
    <row r="736" spans="1:45" ht="15.75">
      <c r="A736" s="1293"/>
      <c r="B736" s="1293"/>
      <c r="C736" s="1293"/>
      <c r="D736" s="1293"/>
      <c r="E736" s="1293"/>
      <c r="F736" s="1293"/>
      <c r="G736" s="1293"/>
      <c r="H736" s="1293"/>
      <c r="I736" s="1293"/>
      <c r="J736" s="1293"/>
      <c r="K736" s="1293"/>
      <c r="L736" s="1293"/>
      <c r="M736" s="1293"/>
      <c r="N736" s="1293"/>
      <c r="O736" s="1293"/>
      <c r="P736" s="1293"/>
      <c r="Q736" s="1293"/>
      <c r="R736" s="1293"/>
      <c r="S736" s="1293"/>
      <c r="T736" s="1293"/>
      <c r="U736" s="1293"/>
      <c r="V736" s="1293"/>
      <c r="W736" s="1293"/>
      <c r="X736" s="1293"/>
      <c r="Y736" s="1293"/>
      <c r="Z736" s="1293"/>
      <c r="AA736" s="1293"/>
      <c r="AB736" s="1293"/>
      <c r="AC736" s="1293"/>
      <c r="AD736" s="1293"/>
      <c r="AE736" s="1293"/>
      <c r="AF736" s="1293"/>
      <c r="AG736" s="1293"/>
      <c r="AH736" s="1293"/>
      <c r="AI736" s="1293"/>
      <c r="AJ736" s="1293"/>
      <c r="AK736" s="1293"/>
      <c r="AL736" s="1293"/>
      <c r="AM736" s="1293"/>
      <c r="AN736" s="1293"/>
      <c r="AO736" s="1293"/>
      <c r="AP736" s="1293"/>
      <c r="AQ736" s="1293"/>
      <c r="AR736" s="1293"/>
      <c r="AS736" s="1293"/>
    </row>
    <row r="737" spans="1:45" ht="15.75">
      <c r="A737" s="1293"/>
      <c r="B737" s="1293"/>
      <c r="C737" s="1293"/>
      <c r="D737" s="1293"/>
      <c r="E737" s="1293"/>
      <c r="F737" s="1293"/>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293"/>
      <c r="AH737" s="1293"/>
      <c r="AI737" s="1293"/>
      <c r="AJ737" s="1293"/>
      <c r="AK737" s="1293"/>
      <c r="AL737" s="1293"/>
      <c r="AM737" s="1293"/>
      <c r="AN737" s="1293"/>
      <c r="AO737" s="1293"/>
      <c r="AP737" s="1293"/>
      <c r="AQ737" s="1293"/>
      <c r="AR737" s="1293"/>
      <c r="AS737" s="1293"/>
    </row>
    <row r="738" spans="1:45" ht="15.75">
      <c r="A738" s="1293"/>
      <c r="B738" s="1293"/>
      <c r="C738" s="1293"/>
      <c r="D738" s="1293"/>
      <c r="E738" s="1293"/>
      <c r="F738" s="1293"/>
      <c r="G738" s="1293"/>
      <c r="H738" s="1293"/>
      <c r="I738" s="1293"/>
      <c r="J738" s="1293"/>
      <c r="K738" s="1293"/>
      <c r="L738" s="1293"/>
      <c r="M738" s="1293"/>
      <c r="N738" s="1293"/>
      <c r="O738" s="1293"/>
      <c r="P738" s="1293"/>
      <c r="Q738" s="1293"/>
      <c r="R738" s="1293"/>
      <c r="S738" s="1293"/>
      <c r="T738" s="1293"/>
      <c r="U738" s="1293"/>
      <c r="V738" s="1293"/>
      <c r="W738" s="1293"/>
      <c r="X738" s="1293"/>
      <c r="Y738" s="1293"/>
      <c r="Z738" s="1293"/>
      <c r="AA738" s="1293"/>
      <c r="AB738" s="1293"/>
      <c r="AC738" s="1293"/>
      <c r="AD738" s="1293"/>
      <c r="AE738" s="1293"/>
      <c r="AF738" s="1293"/>
      <c r="AG738" s="1293"/>
      <c r="AH738" s="1293"/>
      <c r="AI738" s="1293"/>
      <c r="AJ738" s="1293"/>
      <c r="AK738" s="1293"/>
      <c r="AL738" s="1293"/>
      <c r="AM738" s="1293"/>
      <c r="AN738" s="1293"/>
      <c r="AO738" s="1293"/>
      <c r="AP738" s="1293"/>
      <c r="AQ738" s="1293"/>
      <c r="AR738" s="1293"/>
      <c r="AS738" s="1293"/>
    </row>
    <row r="739" spans="1:45" ht="15.75">
      <c r="A739" s="1293"/>
      <c r="B739" s="1293"/>
      <c r="C739" s="1293"/>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I739" s="1293"/>
      <c r="AJ739" s="1293"/>
      <c r="AK739" s="1293"/>
      <c r="AL739" s="1293"/>
      <c r="AM739" s="1293"/>
      <c r="AN739" s="1293"/>
      <c r="AO739" s="1293"/>
      <c r="AP739" s="1293"/>
      <c r="AQ739" s="1293"/>
      <c r="AR739" s="1293"/>
      <c r="AS739" s="1293"/>
    </row>
    <row r="740" spans="1:45" ht="15.75">
      <c r="A740" s="1293"/>
      <c r="B740" s="1293"/>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I740" s="1293"/>
      <c r="AJ740" s="1293"/>
      <c r="AK740" s="1293"/>
      <c r="AL740" s="1293"/>
      <c r="AM740" s="1293"/>
      <c r="AN740" s="1293"/>
      <c r="AO740" s="1293"/>
      <c r="AP740" s="1293"/>
      <c r="AQ740" s="1293"/>
      <c r="AR740" s="1293"/>
      <c r="AS740" s="1293"/>
    </row>
    <row r="741" spans="1:45" ht="15.75">
      <c r="A741" s="1293"/>
      <c r="B741" s="1293"/>
      <c r="C741" s="1293"/>
      <c r="D741" s="1293"/>
      <c r="E741" s="1293"/>
      <c r="F741" s="1293"/>
      <c r="G741" s="1293"/>
      <c r="H741" s="1293"/>
      <c r="I741" s="1293"/>
      <c r="J741" s="1293"/>
      <c r="K741" s="1293"/>
      <c r="L741" s="1293"/>
      <c r="M741" s="1293"/>
      <c r="N741" s="1293"/>
      <c r="O741" s="1293"/>
      <c r="P741" s="1293"/>
      <c r="Q741" s="1293"/>
      <c r="R741" s="1293"/>
      <c r="S741" s="1293"/>
      <c r="T741" s="1293"/>
      <c r="U741" s="1293"/>
      <c r="V741" s="1293"/>
      <c r="W741" s="1293"/>
      <c r="X741" s="1293"/>
      <c r="Y741" s="1293"/>
      <c r="Z741" s="1293"/>
      <c r="AA741" s="1293"/>
      <c r="AB741" s="1293"/>
      <c r="AC741" s="1293"/>
      <c r="AD741" s="1293"/>
      <c r="AE741" s="1293"/>
      <c r="AF741" s="1293"/>
      <c r="AG741" s="1293"/>
      <c r="AH741" s="1293"/>
      <c r="AI741" s="1293"/>
      <c r="AJ741" s="1293"/>
      <c r="AK741" s="1293"/>
      <c r="AL741" s="1293"/>
      <c r="AM741" s="1293"/>
      <c r="AN741" s="1293"/>
      <c r="AO741" s="1293"/>
      <c r="AP741" s="1293"/>
      <c r="AQ741" s="1293"/>
      <c r="AR741" s="1293"/>
      <c r="AS741" s="1293"/>
    </row>
    <row r="742" spans="1:45" ht="15.75">
      <c r="A742" s="1293"/>
      <c r="B742" s="1293"/>
      <c r="C742" s="1293"/>
      <c r="D742" s="1293"/>
      <c r="E742" s="1293"/>
      <c r="F742" s="1293"/>
      <c r="G742" s="1293"/>
      <c r="H742" s="1293"/>
      <c r="I742" s="1293"/>
      <c r="J742" s="1293"/>
      <c r="K742" s="1293"/>
      <c r="L742" s="1293"/>
      <c r="M742" s="1293"/>
      <c r="N742" s="1293"/>
      <c r="O742" s="1293"/>
      <c r="P742" s="1293"/>
      <c r="Q742" s="1293"/>
      <c r="R742" s="1293"/>
      <c r="S742" s="1293"/>
      <c r="T742" s="1293"/>
      <c r="U742" s="1293"/>
      <c r="V742" s="1293"/>
      <c r="W742" s="1293"/>
      <c r="X742" s="1293"/>
      <c r="Y742" s="1293"/>
      <c r="Z742" s="1293"/>
      <c r="AA742" s="1293"/>
      <c r="AB742" s="1293"/>
      <c r="AC742" s="1293"/>
      <c r="AD742" s="1293"/>
      <c r="AE742" s="1293"/>
      <c r="AF742" s="1293"/>
      <c r="AG742" s="1293"/>
      <c r="AH742" s="1293"/>
      <c r="AI742" s="1293"/>
      <c r="AJ742" s="1293"/>
      <c r="AK742" s="1293"/>
      <c r="AL742" s="1293"/>
      <c r="AM742" s="1293"/>
      <c r="AN742" s="1293"/>
      <c r="AO742" s="1293"/>
      <c r="AP742" s="1293"/>
      <c r="AQ742" s="1293"/>
      <c r="AR742" s="1293"/>
      <c r="AS742" s="1293"/>
    </row>
    <row r="743" spans="1:45" ht="15.75">
      <c r="A743" s="1293"/>
      <c r="B743" s="1293"/>
      <c r="C743" s="1293"/>
      <c r="D743" s="1293"/>
      <c r="E743" s="1293"/>
      <c r="F743" s="1293"/>
      <c r="G743" s="1293"/>
      <c r="H743" s="1293"/>
      <c r="I743" s="1293"/>
      <c r="J743" s="1293"/>
      <c r="K743" s="1293"/>
      <c r="L743" s="1293"/>
      <c r="M743" s="1293"/>
      <c r="N743" s="1293"/>
      <c r="O743" s="1293"/>
      <c r="P743" s="1293"/>
      <c r="Q743" s="1293"/>
      <c r="R743" s="1293"/>
      <c r="S743" s="1293"/>
      <c r="T743" s="1293"/>
      <c r="U743" s="1293"/>
      <c r="V743" s="1293"/>
      <c r="W743" s="1293"/>
      <c r="X743" s="1293"/>
      <c r="Y743" s="1293"/>
      <c r="Z743" s="1293"/>
      <c r="AA743" s="1293"/>
      <c r="AB743" s="1293"/>
      <c r="AC743" s="1293"/>
      <c r="AD743" s="1293"/>
      <c r="AE743" s="1293"/>
      <c r="AF743" s="1293"/>
      <c r="AG743" s="1293"/>
      <c r="AH743" s="1293"/>
      <c r="AI743" s="1293"/>
      <c r="AJ743" s="1293"/>
      <c r="AK743" s="1293"/>
      <c r="AL743" s="1293"/>
      <c r="AM743" s="1293"/>
      <c r="AN743" s="1293"/>
      <c r="AO743" s="1293"/>
      <c r="AP743" s="1293"/>
      <c r="AQ743" s="1293"/>
      <c r="AR743" s="1293"/>
      <c r="AS743" s="1293"/>
    </row>
  </sheetData>
  <phoneticPr fontId="0" type="noConversion"/>
  <pageMargins left="0.74803149606299213" right="0.74803149606299213" top="0.98425196850393704" bottom="0.98425196850393704" header="0.51181102362204722" footer="0.51181102362204722"/>
  <pageSetup scale="39" fitToHeight="8"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G756"/>
  <sheetViews>
    <sheetView zoomScale="72" zoomScaleNormal="72" workbookViewId="0">
      <pane xSplit="3" ySplit="1" topLeftCell="D377" activePane="bottomRight" state="frozen"/>
      <selection pane="topRight" activeCell="D1" sqref="D1"/>
      <selection pane="bottomLeft" activeCell="A2" sqref="A2"/>
      <selection pane="bottomRight" activeCell="O407" sqref="O407"/>
    </sheetView>
  </sheetViews>
  <sheetFormatPr defaultRowHeight="15" outlineLevelRow="1"/>
  <cols>
    <col min="1" max="1" width="2.42578125" customWidth="1"/>
    <col min="2" max="2" width="7" customWidth="1"/>
    <col min="3" max="3" width="29.28515625" customWidth="1"/>
    <col min="4" max="5" width="9" customWidth="1"/>
    <col min="6" max="7" width="9.140625" customWidth="1"/>
    <col min="8" max="8" width="9.5703125" customWidth="1"/>
    <col min="9" max="20" width="9.140625" customWidth="1"/>
    <col min="39" max="39" width="23.85546875" bestFit="1" customWidth="1"/>
  </cols>
  <sheetData>
    <row r="1" spans="1:85" ht="23.25" customHeight="1">
      <c r="A1" s="1293"/>
      <c r="B1" s="1325"/>
      <c r="C1" s="1325"/>
      <c r="D1" s="1690">
        <v>2014</v>
      </c>
      <c r="E1" s="1690">
        <v>2015</v>
      </c>
      <c r="F1" s="1690">
        <v>2016</v>
      </c>
      <c r="G1" s="1690">
        <v>2017</v>
      </c>
      <c r="H1" s="1690">
        <v>2018</v>
      </c>
      <c r="I1" s="1690">
        <v>2019</v>
      </c>
      <c r="J1" s="1690">
        <v>2020</v>
      </c>
      <c r="K1" s="1690">
        <v>2021</v>
      </c>
      <c r="L1" s="1690">
        <v>2022</v>
      </c>
      <c r="M1" s="1690">
        <v>2023</v>
      </c>
      <c r="N1" s="1690">
        <v>2024</v>
      </c>
      <c r="O1" s="1978">
        <v>2025</v>
      </c>
      <c r="P1" s="1978">
        <v>2026</v>
      </c>
      <c r="Q1" s="1978">
        <v>2027</v>
      </c>
      <c r="R1" s="1978">
        <v>2028</v>
      </c>
      <c r="S1" s="1978">
        <v>2029</v>
      </c>
      <c r="T1" s="1978">
        <v>2030</v>
      </c>
      <c r="U1" s="1293"/>
      <c r="V1" s="1293">
        <f ca="1">SOP!I38</f>
        <v>36.64868071123005</v>
      </c>
      <c r="W1" s="1327">
        <f ca="1">Valuation!O32</f>
        <v>759.62092045878626</v>
      </c>
      <c r="Y1" s="1293"/>
      <c r="Z1" s="1293"/>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row>
    <row r="2" spans="1:85" ht="15.75">
      <c r="A2" s="1293"/>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J2" s="1293"/>
      <c r="AK2" s="1293"/>
      <c r="AL2" s="1293"/>
      <c r="AM2" s="1293"/>
      <c r="AN2" s="1293"/>
      <c r="AO2" s="1293"/>
      <c r="AP2" s="1293"/>
      <c r="AQ2" s="1293"/>
      <c r="AR2" s="1293"/>
      <c r="AS2" s="1293"/>
      <c r="AT2" s="1293"/>
      <c r="AU2" s="1293"/>
      <c r="AV2" s="1293"/>
      <c r="AW2" s="1293"/>
      <c r="AX2" s="1293"/>
      <c r="AY2" s="1293"/>
      <c r="AZ2" s="1293"/>
      <c r="BA2" s="1293"/>
      <c r="BB2" s="1293"/>
      <c r="BC2" s="1293"/>
      <c r="BD2" s="1293"/>
      <c r="BE2" s="1293"/>
      <c r="BF2" s="1293"/>
      <c r="BG2" s="1293"/>
      <c r="BH2" s="1293"/>
      <c r="BI2" s="1293"/>
      <c r="BJ2" s="1293"/>
      <c r="BK2" s="1293"/>
      <c r="BL2" s="1293"/>
      <c r="BM2" s="1293"/>
      <c r="BN2" s="1293"/>
      <c r="BO2" s="1293"/>
      <c r="BP2" s="1293"/>
      <c r="BQ2" s="1293"/>
      <c r="BR2" s="1293"/>
      <c r="BS2" s="1293"/>
      <c r="BT2" s="1293"/>
      <c r="BU2" s="1293"/>
      <c r="BV2" s="1293"/>
      <c r="BW2" s="1293"/>
      <c r="BX2" s="1293"/>
      <c r="BY2" s="1293"/>
      <c r="BZ2" s="1293"/>
      <c r="CA2" s="1293"/>
      <c r="CB2" s="1293"/>
      <c r="CC2" s="1293"/>
      <c r="CD2" s="1293"/>
      <c r="CE2" s="1293"/>
      <c r="CF2" s="1293"/>
      <c r="CG2" s="1293"/>
    </row>
    <row r="3" spans="1:85" ht="15.75">
      <c r="A3" s="1293"/>
      <c r="B3" s="1293"/>
      <c r="C3" s="1979" t="s">
        <v>3671</v>
      </c>
      <c r="D3" s="1293"/>
      <c r="E3" s="1293"/>
      <c r="F3" s="1293"/>
      <c r="G3" s="1328"/>
      <c r="H3" s="1293"/>
      <c r="I3" s="1293"/>
      <c r="J3" s="1293"/>
      <c r="K3" s="1293"/>
      <c r="L3" s="1293"/>
      <c r="M3" s="1293"/>
      <c r="N3" s="1293"/>
      <c r="O3" s="1293"/>
      <c r="P3" s="1293"/>
      <c r="Q3" s="1293"/>
      <c r="R3" s="1293"/>
      <c r="S3" s="1293"/>
      <c r="T3" s="1293"/>
      <c r="U3" s="1293"/>
      <c r="V3" s="1293"/>
      <c r="W3" s="1293"/>
      <c r="X3" s="1293"/>
      <c r="Y3" s="1293"/>
      <c r="Z3" s="1293"/>
      <c r="AA3" s="1293"/>
      <c r="AB3" s="1293"/>
      <c r="AC3" s="1293"/>
      <c r="AD3" s="1293"/>
      <c r="AE3" s="1293"/>
      <c r="AF3" s="1293"/>
      <c r="AG3" s="1293"/>
      <c r="AH3" s="1293"/>
      <c r="AI3" s="1671" t="s">
        <v>3371</v>
      </c>
      <c r="AJ3" s="1671"/>
      <c r="AK3" s="1671"/>
      <c r="AL3" s="1293"/>
      <c r="AM3" s="1293"/>
      <c r="AN3" s="1293"/>
      <c r="AO3" s="1293"/>
      <c r="AP3" s="1293"/>
      <c r="AQ3" s="1293"/>
      <c r="AR3" s="1293"/>
      <c r="AS3" s="1293"/>
      <c r="AT3" s="1293"/>
      <c r="AU3" s="1293"/>
      <c r="AV3" s="1293"/>
      <c r="AW3" s="1293"/>
      <c r="AX3" s="1293"/>
      <c r="AY3" s="1293"/>
      <c r="AZ3" s="1293"/>
      <c r="BA3" s="1293"/>
      <c r="BB3" s="1293"/>
      <c r="BC3" s="1293"/>
      <c r="BD3" s="1293"/>
      <c r="BE3" s="1293"/>
      <c r="BF3" s="1293"/>
      <c r="BG3" s="1293"/>
      <c r="BH3" s="1293"/>
      <c r="BI3" s="1293"/>
      <c r="BJ3" s="1293"/>
      <c r="BK3" s="1293"/>
      <c r="BL3" s="1293"/>
      <c r="BM3" s="1293"/>
      <c r="BN3" s="1293"/>
      <c r="BO3" s="1293"/>
      <c r="BP3" s="1293"/>
      <c r="BQ3" s="1293"/>
      <c r="BR3" s="1293"/>
      <c r="BS3" s="1293"/>
      <c r="BT3" s="1293"/>
      <c r="BU3" s="1293"/>
      <c r="BV3" s="1293"/>
      <c r="BW3" s="1293"/>
      <c r="BX3" s="1293"/>
      <c r="BY3" s="1293"/>
      <c r="BZ3" s="1293"/>
      <c r="CA3" s="1293"/>
      <c r="CB3" s="1293"/>
      <c r="CC3" s="1293"/>
      <c r="CD3" s="1293"/>
      <c r="CE3" s="1293"/>
      <c r="CF3" s="1293"/>
      <c r="CG3" s="1293"/>
    </row>
    <row r="4" spans="1:85" ht="15.75">
      <c r="A4" s="1293"/>
      <c r="B4" s="1293"/>
      <c r="C4" s="1324" t="s">
        <v>4427</v>
      </c>
      <c r="D4" s="1657">
        <f>E4-1</f>
        <v>2014</v>
      </c>
      <c r="E4" s="1657">
        <v>2015</v>
      </c>
      <c r="F4" s="1657">
        <f>E4+1</f>
        <v>2016</v>
      </c>
      <c r="G4" s="1657">
        <f t="shared" ref="G4:T4" si="0">F4+1</f>
        <v>2017</v>
      </c>
      <c r="H4" s="1657">
        <f t="shared" si="0"/>
        <v>2018</v>
      </c>
      <c r="I4" s="1657">
        <f t="shared" si="0"/>
        <v>2019</v>
      </c>
      <c r="J4" s="1657">
        <f t="shared" si="0"/>
        <v>2020</v>
      </c>
      <c r="K4" s="1657">
        <f t="shared" si="0"/>
        <v>2021</v>
      </c>
      <c r="L4" s="1657">
        <f t="shared" si="0"/>
        <v>2022</v>
      </c>
      <c r="M4" s="1657">
        <f t="shared" si="0"/>
        <v>2023</v>
      </c>
      <c r="N4" s="1657">
        <f t="shared" si="0"/>
        <v>2024</v>
      </c>
      <c r="O4" s="1657">
        <f t="shared" si="0"/>
        <v>2025</v>
      </c>
      <c r="P4" s="1657">
        <f t="shared" si="0"/>
        <v>2026</v>
      </c>
      <c r="Q4" s="1657">
        <f t="shared" si="0"/>
        <v>2027</v>
      </c>
      <c r="R4" s="1657">
        <f t="shared" si="0"/>
        <v>2028</v>
      </c>
      <c r="S4" s="1657">
        <f t="shared" si="0"/>
        <v>2029</v>
      </c>
      <c r="T4" s="1657">
        <f t="shared" si="0"/>
        <v>2030</v>
      </c>
      <c r="U4" s="1293"/>
      <c r="V4" s="1293"/>
      <c r="W4" s="1293"/>
      <c r="X4" s="1293"/>
      <c r="Y4" s="1980">
        <f t="shared" ref="Y4:AD4" si="1">Z4-1</f>
        <v>2008</v>
      </c>
      <c r="Z4" s="1980">
        <f t="shared" si="1"/>
        <v>2009</v>
      </c>
      <c r="AA4" s="1980">
        <f t="shared" si="1"/>
        <v>2010</v>
      </c>
      <c r="AB4" s="1980">
        <f t="shared" si="1"/>
        <v>2011</v>
      </c>
      <c r="AC4" s="1980">
        <f t="shared" si="1"/>
        <v>2012</v>
      </c>
      <c r="AD4" s="1980">
        <f t="shared" si="1"/>
        <v>2013</v>
      </c>
      <c r="AE4" s="1980">
        <f t="shared" ref="AE4:AK5" si="2">D4</f>
        <v>2014</v>
      </c>
      <c r="AF4" s="1980">
        <f t="shared" si="2"/>
        <v>2015</v>
      </c>
      <c r="AG4" s="1980">
        <f t="shared" si="2"/>
        <v>2016</v>
      </c>
      <c r="AH4" s="1980">
        <f t="shared" si="2"/>
        <v>2017</v>
      </c>
      <c r="AI4" s="1980">
        <f t="shared" si="2"/>
        <v>2018</v>
      </c>
      <c r="AJ4" s="1980">
        <f t="shared" si="2"/>
        <v>2019</v>
      </c>
      <c r="AK4" s="1980">
        <f t="shared" si="2"/>
        <v>2020</v>
      </c>
      <c r="AL4" s="1293"/>
      <c r="AM4" s="1293"/>
      <c r="AN4" s="1980">
        <f t="shared" ref="AN4:AV4" si="3">AB4</f>
        <v>2011</v>
      </c>
      <c r="AO4" s="1980">
        <f t="shared" si="3"/>
        <v>2012</v>
      </c>
      <c r="AP4" s="1980">
        <f t="shared" si="3"/>
        <v>2013</v>
      </c>
      <c r="AQ4" s="1980">
        <f t="shared" si="3"/>
        <v>2014</v>
      </c>
      <c r="AR4" s="1980">
        <f t="shared" si="3"/>
        <v>2015</v>
      </c>
      <c r="AS4" s="1980">
        <f t="shared" si="3"/>
        <v>2016</v>
      </c>
      <c r="AT4" s="1980">
        <f t="shared" si="3"/>
        <v>2017</v>
      </c>
      <c r="AU4" s="1980">
        <f t="shared" si="3"/>
        <v>2018</v>
      </c>
      <c r="AV4" s="1980">
        <f t="shared" si="3"/>
        <v>2019</v>
      </c>
      <c r="AW4" s="1980">
        <f>AK4</f>
        <v>2020</v>
      </c>
      <c r="AX4" s="1293"/>
      <c r="AY4" s="1293"/>
      <c r="AZ4" s="1293"/>
      <c r="BA4" s="1293"/>
      <c r="BB4" s="1293"/>
      <c r="BC4" s="1293"/>
      <c r="BD4" s="1293"/>
      <c r="BE4" s="1293"/>
      <c r="BF4" s="1293"/>
      <c r="BG4" s="1293"/>
      <c r="BH4" s="1293"/>
      <c r="BI4" s="1293"/>
      <c r="BJ4" s="1293"/>
      <c r="BK4" s="1293"/>
      <c r="BL4" s="1293"/>
      <c r="BM4" s="1293"/>
      <c r="BN4" s="1293"/>
      <c r="BO4" s="1293"/>
      <c r="BP4" s="1293"/>
      <c r="BQ4" s="1293"/>
      <c r="BR4" s="1293"/>
      <c r="BS4" s="1293"/>
      <c r="BT4" s="1293"/>
      <c r="BU4" s="1293"/>
      <c r="BV4" s="1293"/>
      <c r="BW4" s="1293"/>
      <c r="BX4" s="1293"/>
      <c r="BY4" s="1293"/>
      <c r="BZ4" s="1293"/>
      <c r="CA4" s="1293"/>
      <c r="CB4" s="1293"/>
      <c r="CC4" s="1293"/>
      <c r="CD4" s="1293"/>
      <c r="CE4" s="1293"/>
      <c r="CF4" s="1293"/>
      <c r="CG4" s="1293"/>
    </row>
    <row r="5" spans="1:85" ht="15.75">
      <c r="A5" s="1293"/>
      <c r="B5" s="1293"/>
      <c r="C5" s="1293" t="str">
        <f>'New (new) quarts'!B3</f>
        <v>El Salvador</v>
      </c>
      <c r="D5" s="2490">
        <f>'New (new) quarts'!G3</f>
        <v>445.10124733999999</v>
      </c>
      <c r="E5" s="2490">
        <f>'New (new) quarts'!L3</f>
        <v>449.70061549000002</v>
      </c>
      <c r="F5" s="2490">
        <f>'New (new) quarts'!Q3</f>
        <v>425.60976828000099</v>
      </c>
      <c r="G5" s="2490">
        <f>'New (new) quarts'!V3</f>
        <v>423</v>
      </c>
      <c r="H5" s="2490">
        <f>'New (new) quarts'!AA3</f>
        <v>406</v>
      </c>
      <c r="I5" s="2490">
        <f>'New (new) quarts'!AJ3</f>
        <v>386</v>
      </c>
      <c r="J5" s="2490">
        <f>'New (new) quarts'!AO3</f>
        <v>390</v>
      </c>
      <c r="K5" s="2490">
        <f>'New (new) quarts'!AT3</f>
        <v>447</v>
      </c>
      <c r="L5" s="2490">
        <f>'New (new) quarts'!AY3</f>
        <v>475.95</v>
      </c>
      <c r="M5" s="2490">
        <f>'New (new) quarts'!BD3</f>
        <v>489.221</v>
      </c>
      <c r="N5" s="2490">
        <f>'New (new) quarts'!BI3</f>
        <v>495.702</v>
      </c>
      <c r="O5" s="1327">
        <f>O162/O123</f>
        <v>504.66200000000003</v>
      </c>
      <c r="P5" s="1327">
        <f t="shared" ref="O5:T6" si="4">P162/P123</f>
        <v>514.75524000000007</v>
      </c>
      <c r="Q5" s="1327">
        <f t="shared" si="4"/>
        <v>525.05034480000006</v>
      </c>
      <c r="R5" s="1327">
        <f t="shared" si="4"/>
        <v>535.5513516960001</v>
      </c>
      <c r="S5" s="1327">
        <f t="shared" si="4"/>
        <v>546.2623787299201</v>
      </c>
      <c r="T5" s="1327">
        <f t="shared" si="4"/>
        <v>557.18762630451852</v>
      </c>
      <c r="U5" s="1293"/>
      <c r="V5" s="1293"/>
      <c r="W5" s="1293"/>
      <c r="X5" s="1981">
        <v>489.221</v>
      </c>
      <c r="Y5" s="1293"/>
      <c r="Z5" s="1293"/>
      <c r="AA5" s="1293"/>
      <c r="AB5" s="1698">
        <f>'Full div'!H146</f>
        <v>414</v>
      </c>
      <c r="AC5" s="1698">
        <f>'Full div'!I146</f>
        <v>443</v>
      </c>
      <c r="AD5" s="1698">
        <f>'Full div'!J146</f>
        <v>443</v>
      </c>
      <c r="AE5" s="1699">
        <f t="shared" si="2"/>
        <v>445.10124733999999</v>
      </c>
      <c r="AF5" s="1699">
        <f t="shared" si="2"/>
        <v>449.70061549000002</v>
      </c>
      <c r="AG5" s="1699">
        <f t="shared" si="2"/>
        <v>425.60976828000099</v>
      </c>
      <c r="AH5" s="1699">
        <f t="shared" si="2"/>
        <v>423</v>
      </c>
      <c r="AI5" s="1699">
        <f t="shared" si="2"/>
        <v>406</v>
      </c>
      <c r="AJ5" s="1699">
        <f t="shared" si="2"/>
        <v>386</v>
      </c>
      <c r="AK5" s="1699">
        <f t="shared" si="2"/>
        <v>390</v>
      </c>
      <c r="AL5" s="1293"/>
      <c r="AM5" s="1293" t="str">
        <f t="shared" ref="AM5:AM16" si="5">C5</f>
        <v>El Salvador</v>
      </c>
      <c r="AN5" s="1724">
        <f t="shared" ref="AN5:AW7" si="6">AB5/AB$24</f>
        <v>0.14120488009522802</v>
      </c>
      <c r="AO5" s="1724">
        <f t="shared" si="6"/>
        <v>0.13957811490776187</v>
      </c>
      <c r="AP5" s="1724">
        <f t="shared" si="6"/>
        <v>0.13161530302715196</v>
      </c>
      <c r="AQ5" s="1724">
        <f t="shared" si="6"/>
        <v>0.11771071887290023</v>
      </c>
      <c r="AR5" s="1724">
        <f t="shared" si="6"/>
        <v>0.11389710549137479</v>
      </c>
      <c r="AS5" s="1724">
        <f t="shared" si="6"/>
        <v>0.11453265432416039</v>
      </c>
      <c r="AT5" s="1724">
        <f t="shared" si="6"/>
        <v>0.11183671311106998</v>
      </c>
      <c r="AU5" s="1724">
        <f t="shared" si="6"/>
        <v>0.10561172862468036</v>
      </c>
      <c r="AV5" s="1724">
        <f t="shared" si="6"/>
        <v>9.0372094221102595E-2</v>
      </c>
      <c r="AW5" s="1724">
        <f t="shared" si="6"/>
        <v>8.9965605456990672E-2</v>
      </c>
      <c r="AX5" s="1293"/>
      <c r="AY5" s="1293"/>
      <c r="AZ5" s="1293"/>
      <c r="BA5" s="1293"/>
      <c r="BB5" s="1293"/>
      <c r="BC5" s="1293"/>
      <c r="BD5" s="1293"/>
      <c r="BE5" s="1293"/>
      <c r="BF5" s="1293"/>
      <c r="BG5" s="1293"/>
      <c r="BH5" s="1293"/>
      <c r="BI5" s="1293"/>
      <c r="BJ5" s="1293"/>
      <c r="BK5" s="1293"/>
      <c r="BL5" s="1293"/>
      <c r="BM5" s="1293"/>
      <c r="BN5" s="1293"/>
      <c r="BO5" s="1293"/>
      <c r="BP5" s="1293"/>
      <c r="BQ5" s="1293"/>
      <c r="BR5" s="1293"/>
      <c r="BS5" s="1293"/>
      <c r="BT5" s="1293"/>
      <c r="BU5" s="1293"/>
      <c r="BV5" s="1293"/>
      <c r="BW5" s="1293"/>
      <c r="BX5" s="1293"/>
      <c r="BY5" s="1293"/>
      <c r="BZ5" s="1293"/>
      <c r="CA5" s="1293"/>
      <c r="CB5" s="1293"/>
      <c r="CC5" s="1293"/>
      <c r="CD5" s="1293"/>
      <c r="CE5" s="1293"/>
      <c r="CF5" s="1293"/>
      <c r="CG5" s="1293"/>
    </row>
    <row r="6" spans="1:85" ht="15.75">
      <c r="A6" s="1293"/>
      <c r="B6" s="1293"/>
      <c r="C6" s="1293" t="str">
        <f>'New (new) quarts'!B4</f>
        <v>Guatemala</v>
      </c>
      <c r="D6" s="2490">
        <f>'New (new) quarts'!G4</f>
        <v>1247.4242159372479</v>
      </c>
      <c r="E6" s="2490">
        <f>'New (new) quarts'!L4</f>
        <v>1305.7050205101259</v>
      </c>
      <c r="F6" s="2490">
        <f>'New (new) quarts'!Q4</f>
        <v>1284.437421103871</v>
      </c>
      <c r="G6" s="2490">
        <f>'New (new) quarts'!V4</f>
        <v>1327</v>
      </c>
      <c r="H6" s="2490">
        <f>'New (new) quarts'!AA4</f>
        <v>1373</v>
      </c>
      <c r="I6" s="2490">
        <f>'New (new) quarts'!AJ4</f>
        <v>1435</v>
      </c>
      <c r="J6" s="2490">
        <f>'New (new) quarts'!AO4</f>
        <v>1503</v>
      </c>
      <c r="K6" s="2490">
        <f>'New (new) quarts'!AT4</f>
        <v>1600</v>
      </c>
      <c r="L6" s="2490">
        <f>'New (new) quarts'!AY4</f>
        <v>1618.395</v>
      </c>
      <c r="M6" s="2490">
        <f>'New (new) quarts'!BD4</f>
        <v>1564.4625999999998</v>
      </c>
      <c r="N6" s="2490">
        <f>'New (new) quarts'!BI4</f>
        <v>1603.0111999999999</v>
      </c>
      <c r="O6" s="1327">
        <f t="shared" si="4"/>
        <v>1652.3888816467534</v>
      </c>
      <c r="P6" s="1327">
        <f t="shared" si="4"/>
        <v>1675.8686339788608</v>
      </c>
      <c r="Q6" s="1327">
        <f t="shared" si="4"/>
        <v>1699.6865937554721</v>
      </c>
      <c r="R6" s="1327">
        <f t="shared" si="4"/>
        <v>1723.8476798817187</v>
      </c>
      <c r="S6" s="1327">
        <f t="shared" si="4"/>
        <v>1740.9154786924287</v>
      </c>
      <c r="T6" s="1327">
        <f t="shared" si="4"/>
        <v>1758.1522656101756</v>
      </c>
      <c r="U6" s="1293"/>
      <c r="V6" s="1293"/>
      <c r="W6" s="1293"/>
      <c r="X6" s="1981">
        <v>1564.9369999999999</v>
      </c>
      <c r="Y6" s="1293"/>
      <c r="Z6" s="1293"/>
      <c r="AA6" s="1293"/>
      <c r="AB6" s="1698">
        <f>'Full div'!H147</f>
        <v>604</v>
      </c>
      <c r="AC6" s="1698">
        <f>'Full div'!I147</f>
        <v>621</v>
      </c>
      <c r="AD6" s="1698">
        <f>'Full div'!J147</f>
        <v>641.85</v>
      </c>
      <c r="AE6" s="1699">
        <f t="shared" ref="AE6:AK6" si="7">D6*0.55</f>
        <v>686.08331876548641</v>
      </c>
      <c r="AF6" s="1699">
        <f t="shared" si="7"/>
        <v>718.13776128056929</v>
      </c>
      <c r="AG6" s="1699">
        <f t="shared" si="7"/>
        <v>706.44058160712905</v>
      </c>
      <c r="AH6" s="1699">
        <f t="shared" si="7"/>
        <v>729.85</v>
      </c>
      <c r="AI6" s="1699">
        <f t="shared" si="7"/>
        <v>755.15000000000009</v>
      </c>
      <c r="AJ6" s="1699">
        <f t="shared" si="7"/>
        <v>789.25000000000011</v>
      </c>
      <c r="AK6" s="1699">
        <f t="shared" si="7"/>
        <v>826.65000000000009</v>
      </c>
      <c r="AL6" s="1293"/>
      <c r="AM6" s="1293" t="str">
        <f t="shared" si="5"/>
        <v>Guatemala</v>
      </c>
      <c r="AN6" s="1724">
        <f t="shared" si="6"/>
        <v>0.20600905211960804</v>
      </c>
      <c r="AO6" s="1724">
        <f t="shared" si="6"/>
        <v>0.19566142067205444</v>
      </c>
      <c r="AP6" s="1724">
        <f t="shared" si="6"/>
        <v>0.19069363938595371</v>
      </c>
      <c r="AQ6" s="1724">
        <f t="shared" si="6"/>
        <v>0.18144042763578422</v>
      </c>
      <c r="AR6" s="1724">
        <f t="shared" si="6"/>
        <v>0.18188503536911785</v>
      </c>
      <c r="AS6" s="1724">
        <f t="shared" si="6"/>
        <v>0.19010492935993556</v>
      </c>
      <c r="AT6" s="1724">
        <f t="shared" si="6"/>
        <v>0.19296459826031778</v>
      </c>
      <c r="AU6" s="1724">
        <f t="shared" si="6"/>
        <v>0.19643521396780145</v>
      </c>
      <c r="AV6" s="1724">
        <f t="shared" si="6"/>
        <v>0.18478283773058352</v>
      </c>
      <c r="AW6" s="1724">
        <f t="shared" si="6"/>
        <v>0.19069248141287526</v>
      </c>
      <c r="AX6" s="1293"/>
      <c r="AY6" s="1293"/>
      <c r="AZ6" s="1293"/>
      <c r="BA6" s="1293"/>
      <c r="BB6" s="1293"/>
      <c r="BC6" s="1293"/>
      <c r="BD6" s="1293"/>
      <c r="BE6" s="1293"/>
      <c r="BF6" s="1293"/>
      <c r="BG6" s="1293"/>
      <c r="BH6" s="1293"/>
      <c r="BI6" s="1293"/>
      <c r="BJ6" s="1293"/>
      <c r="BK6" s="1293"/>
      <c r="BL6" s="1293"/>
      <c r="BM6" s="1293"/>
      <c r="BN6" s="1293"/>
      <c r="BO6" s="1293"/>
      <c r="BP6" s="1293"/>
      <c r="BQ6" s="1293"/>
      <c r="BR6" s="1293"/>
      <c r="BS6" s="1293"/>
      <c r="BT6" s="1293"/>
      <c r="BU6" s="1293"/>
      <c r="BV6" s="1293"/>
      <c r="BW6" s="1293"/>
      <c r="BX6" s="1293"/>
      <c r="BY6" s="1293"/>
      <c r="BZ6" s="1293"/>
      <c r="CA6" s="1293"/>
      <c r="CB6" s="1293"/>
      <c r="CC6" s="1293"/>
      <c r="CD6" s="1293"/>
      <c r="CE6" s="1293"/>
      <c r="CF6" s="1293"/>
      <c r="CG6" s="1293"/>
    </row>
    <row r="7" spans="1:85" ht="15.75">
      <c r="A7" s="1293"/>
      <c r="B7" s="1293"/>
      <c r="C7" s="1293" t="str">
        <f>'New (new) quarts'!B5</f>
        <v>Honduras (JV)</v>
      </c>
      <c r="D7" s="2490">
        <f>'New (new) quarts'!G5</f>
        <v>630.49200495758703</v>
      </c>
      <c r="E7" s="2490">
        <f>'New (new) quarts'!L5</f>
        <v>649.426080431591</v>
      </c>
      <c r="F7" s="2490">
        <f>'New (new) quarts'!Q5</f>
        <v>609.11726909087099</v>
      </c>
      <c r="G7" s="2490">
        <f>'New (new) quarts'!V5</f>
        <v>585</v>
      </c>
      <c r="H7" s="2490">
        <f>'New (new) quarts'!AA5</f>
        <v>586</v>
      </c>
      <c r="I7" s="2490">
        <f>'New (new) quarts'!AJ5</f>
        <v>594</v>
      </c>
      <c r="J7" s="2490">
        <f>'New (new) quarts'!AO5</f>
        <v>552</v>
      </c>
      <c r="K7" s="2490">
        <f>'New (new) quarts'!AT5</f>
        <v>589</v>
      </c>
      <c r="L7" s="2490">
        <f>'New (new) quarts'!AY5</f>
        <v>585.43000000000006</v>
      </c>
      <c r="M7" s="2490">
        <f>'New (new) quarts'!BD5</f>
        <v>611.50199999999995</v>
      </c>
      <c r="N7" s="2490">
        <f>'New (new) quarts'!BI5</f>
        <v>617.73540000000003</v>
      </c>
      <c r="O7" s="1327">
        <f t="shared" ref="O7:T7" si="8">O164/O125</f>
        <v>614.20666144531231</v>
      </c>
      <c r="P7" s="1327">
        <f t="shared" si="8"/>
        <v>626.04006202274127</v>
      </c>
      <c r="Q7" s="1327">
        <f t="shared" si="8"/>
        <v>638.10452887328745</v>
      </c>
      <c r="R7" s="1327">
        <f t="shared" si="8"/>
        <v>650.40460530443079</v>
      </c>
      <c r="S7" s="1327">
        <f t="shared" si="8"/>
        <v>659.89458956630347</v>
      </c>
      <c r="T7" s="1327">
        <f t="shared" si="8"/>
        <v>669.5238360689533</v>
      </c>
      <c r="U7" s="1293"/>
      <c r="V7" s="1293"/>
      <c r="W7" s="1293"/>
      <c r="X7" s="1981">
        <v>611.50199999999995</v>
      </c>
      <c r="Y7" s="1293"/>
      <c r="Z7" s="1293"/>
      <c r="AA7" s="1293"/>
      <c r="AB7" s="1698">
        <f>'Full div'!H148</f>
        <v>450.91</v>
      </c>
      <c r="AC7" s="1698">
        <f>'Full div'!I148</f>
        <v>472.35</v>
      </c>
      <c r="AD7" s="1698">
        <f>'Full div'!J148</f>
        <v>439.52000000000004</v>
      </c>
      <c r="AE7" s="1699">
        <f t="shared" ref="AE7:AK7" si="9">D7*0.67</f>
        <v>422.42964332158334</v>
      </c>
      <c r="AF7" s="1699">
        <f t="shared" si="9"/>
        <v>435.11547388916603</v>
      </c>
      <c r="AG7" s="1699">
        <f t="shared" si="9"/>
        <v>408.10857029088356</v>
      </c>
      <c r="AH7" s="1699">
        <f t="shared" si="9"/>
        <v>391.95000000000005</v>
      </c>
      <c r="AI7" s="1699">
        <f t="shared" si="9"/>
        <v>392.62</v>
      </c>
      <c r="AJ7" s="1699">
        <f t="shared" si="9"/>
        <v>397.98</v>
      </c>
      <c r="AK7" s="1699">
        <f t="shared" si="9"/>
        <v>369.84000000000003</v>
      </c>
      <c r="AL7" s="1293"/>
      <c r="AM7" s="1293" t="str">
        <f t="shared" si="5"/>
        <v>Honduras (JV)</v>
      </c>
      <c r="AN7" s="1724">
        <f t="shared" si="6"/>
        <v>0.15379394319743786</v>
      </c>
      <c r="AO7" s="1724">
        <f t="shared" si="6"/>
        <v>0.14882555886384047</v>
      </c>
      <c r="AP7" s="1724">
        <f t="shared" si="6"/>
        <v>0.1305813950033721</v>
      </c>
      <c r="AQ7" s="1724">
        <f t="shared" si="6"/>
        <v>0.11171502503254795</v>
      </c>
      <c r="AR7" s="1724">
        <f t="shared" si="6"/>
        <v>0.11020308027927506</v>
      </c>
      <c r="AS7" s="1724">
        <f t="shared" si="6"/>
        <v>0.10982303812421551</v>
      </c>
      <c r="AT7" s="1724">
        <f t="shared" si="6"/>
        <v>0.10362742246781059</v>
      </c>
      <c r="AU7" s="1724">
        <f t="shared" si="6"/>
        <v>0.10213122387345322</v>
      </c>
      <c r="AV7" s="1724">
        <f t="shared" si="6"/>
        <v>9.3176906886306768E-2</v>
      </c>
      <c r="AW7" s="1724">
        <f t="shared" si="6"/>
        <v>8.5315075697983161E-2</v>
      </c>
      <c r="AX7" s="1293"/>
      <c r="AY7" s="1293"/>
      <c r="AZ7" s="1293"/>
      <c r="BA7" s="1293"/>
      <c r="BB7" s="1293"/>
      <c r="BC7" s="1293"/>
      <c r="BD7" s="1293"/>
      <c r="BE7" s="1293"/>
      <c r="BF7" s="1293"/>
      <c r="BG7" s="1293"/>
      <c r="BH7" s="1293"/>
      <c r="BI7" s="1293"/>
      <c r="BJ7" s="1293"/>
      <c r="BK7" s="1293"/>
      <c r="BL7" s="1293"/>
      <c r="BM7" s="1293"/>
      <c r="BN7" s="1293"/>
      <c r="BO7" s="1293"/>
      <c r="BP7" s="1293"/>
      <c r="BQ7" s="1293"/>
      <c r="BR7" s="1293"/>
      <c r="BS7" s="1293"/>
      <c r="BT7" s="1293"/>
      <c r="BU7" s="1293"/>
      <c r="BV7" s="1293"/>
      <c r="BW7" s="1293"/>
      <c r="BX7" s="1293"/>
      <c r="BY7" s="1293"/>
      <c r="BZ7" s="1293"/>
      <c r="CA7" s="1293"/>
      <c r="CB7" s="1293"/>
      <c r="CC7" s="1293"/>
      <c r="CD7" s="1293"/>
      <c r="CE7" s="1293"/>
      <c r="CF7" s="1293"/>
      <c r="CG7" s="1293"/>
    </row>
    <row r="8" spans="1:85" ht="15.75">
      <c r="A8" s="1293"/>
      <c r="B8" s="1293"/>
      <c r="C8" s="1293" t="str">
        <f>'New (new) quarts'!B6</f>
        <v>Panama</v>
      </c>
      <c r="D8" s="2490"/>
      <c r="E8" s="2490"/>
      <c r="F8" s="2490"/>
      <c r="G8" s="2490"/>
      <c r="H8" s="2490"/>
      <c r="I8" s="2490"/>
      <c r="J8" s="2490"/>
      <c r="K8" s="2490"/>
      <c r="L8" s="2490">
        <f>'New (new) quarts'!AY6</f>
        <v>651.27139999999997</v>
      </c>
      <c r="M8" s="2490">
        <f>'New (new) quarts'!BD6</f>
        <v>719.19690000000003</v>
      </c>
      <c r="N8" s="2490">
        <f>'New (new) quarts'!BI6</f>
        <v>755.57830000000013</v>
      </c>
      <c r="O8" s="1327">
        <f t="shared" ref="O8:T8" si="10">O165/O126</f>
        <v>787.07830000000013</v>
      </c>
      <c r="P8" s="1327">
        <f t="shared" si="10"/>
        <v>819.27861600000017</v>
      </c>
      <c r="Q8" s="1327">
        <f t="shared" si="10"/>
        <v>850.91596332000017</v>
      </c>
      <c r="R8" s="1327">
        <f t="shared" si="10"/>
        <v>881.81339783640021</v>
      </c>
      <c r="S8" s="1327">
        <f t="shared" si="10"/>
        <v>911.79216471187817</v>
      </c>
      <c r="T8" s="1327">
        <f t="shared" si="10"/>
        <v>938.54433226005324</v>
      </c>
      <c r="U8" s="1293"/>
      <c r="V8" s="1293"/>
      <c r="W8" s="1293"/>
      <c r="X8" s="1981"/>
      <c r="Y8" s="1293"/>
      <c r="Z8" s="1293"/>
      <c r="AA8" s="1293"/>
      <c r="AB8" s="1698"/>
      <c r="AC8" s="1698"/>
      <c r="AD8" s="1698"/>
      <c r="AE8" s="1699"/>
      <c r="AF8" s="1699"/>
      <c r="AG8" s="1699"/>
      <c r="AH8" s="1699"/>
      <c r="AI8" s="1699"/>
      <c r="AJ8" s="1699"/>
      <c r="AK8" s="1699"/>
      <c r="AL8" s="1293"/>
      <c r="AM8" s="1293"/>
      <c r="AN8" s="1724"/>
      <c r="AO8" s="1724"/>
      <c r="AP8" s="1724"/>
      <c r="AQ8" s="1724"/>
      <c r="AR8" s="1724"/>
      <c r="AS8" s="1724"/>
      <c r="AT8" s="1724"/>
      <c r="AU8" s="1724"/>
      <c r="AV8" s="1724"/>
      <c r="AW8" s="1724"/>
      <c r="AX8" s="1293"/>
      <c r="AY8" s="1293"/>
      <c r="AZ8" s="1293"/>
      <c r="BA8" s="1293"/>
      <c r="BB8" s="1293"/>
      <c r="BC8" s="1293"/>
      <c r="BD8" s="1293"/>
      <c r="BE8" s="1293"/>
      <c r="BF8" s="1293"/>
      <c r="BG8" s="1293"/>
      <c r="BH8" s="1293"/>
      <c r="BI8" s="1293"/>
      <c r="BJ8" s="1293"/>
      <c r="BK8" s="1293"/>
      <c r="BL8" s="1293"/>
      <c r="BM8" s="1293"/>
      <c r="BN8" s="1293"/>
      <c r="BO8" s="1293"/>
      <c r="BP8" s="1293"/>
      <c r="BQ8" s="1293"/>
      <c r="BR8" s="1293"/>
      <c r="BS8" s="1293"/>
      <c r="BT8" s="1293"/>
      <c r="BU8" s="1293"/>
      <c r="BV8" s="1293"/>
      <c r="BW8" s="1293"/>
      <c r="BX8" s="1293"/>
      <c r="BY8" s="1293"/>
      <c r="BZ8" s="1293"/>
      <c r="CA8" s="1293"/>
      <c r="CB8" s="1293"/>
      <c r="CC8" s="1293"/>
      <c r="CD8" s="1293"/>
      <c r="CE8" s="1293"/>
      <c r="CF8" s="1293"/>
      <c r="CG8" s="1293"/>
    </row>
    <row r="9" spans="1:85" ht="15.75">
      <c r="A9" s="1293"/>
      <c r="B9" s="1293"/>
      <c r="C9" s="1293" t="str">
        <f>'New (new) quarts'!B7</f>
        <v>Costa Rica</v>
      </c>
      <c r="D9" s="2490"/>
      <c r="E9" s="2490"/>
      <c r="F9" s="2490"/>
      <c r="G9" s="2490"/>
      <c r="H9" s="2490"/>
      <c r="I9" s="2490"/>
      <c r="J9" s="2490"/>
      <c r="K9" s="2490"/>
      <c r="L9" s="2490">
        <f>'New (new) quarts'!AY7</f>
        <v>137.65430000000001</v>
      </c>
      <c r="M9" s="2490">
        <f>'New (new) quarts'!BD7</f>
        <v>158.07929999999999</v>
      </c>
      <c r="N9" s="2490">
        <f>'New (new) quarts'!BI7</f>
        <v>151.5685</v>
      </c>
      <c r="O9" s="1327">
        <f t="shared" ref="O9:T9" si="11">O166/O127</f>
        <v>149.86214999999999</v>
      </c>
      <c r="P9" s="1327">
        <f t="shared" si="11"/>
        <v>143.25376102941175</v>
      </c>
      <c r="Q9" s="1327">
        <f t="shared" si="11"/>
        <v>139.0425327638408</v>
      </c>
      <c r="R9" s="1327">
        <f t="shared" si="11"/>
        <v>136.31762035670667</v>
      </c>
      <c r="S9" s="1327">
        <f t="shared" si="11"/>
        <v>134.98187898066053</v>
      </c>
      <c r="T9" s="1327">
        <f t="shared" si="11"/>
        <v>133.65923310830112</v>
      </c>
      <c r="U9" s="1293"/>
      <c r="V9" s="1293"/>
      <c r="W9" s="1293"/>
      <c r="X9" s="1981"/>
      <c r="Y9" s="1293"/>
      <c r="Z9" s="1293"/>
      <c r="AA9" s="1293"/>
      <c r="AB9" s="1698"/>
      <c r="AC9" s="1698"/>
      <c r="AD9" s="1698"/>
      <c r="AE9" s="1699"/>
      <c r="AF9" s="1699"/>
      <c r="AG9" s="1699"/>
      <c r="AH9" s="1699"/>
      <c r="AI9" s="1699"/>
      <c r="AJ9" s="1699"/>
      <c r="AK9" s="1699"/>
      <c r="AL9" s="1293"/>
      <c r="AM9" s="1293"/>
      <c r="AN9" s="1724"/>
      <c r="AO9" s="1724"/>
      <c r="AP9" s="1724"/>
      <c r="AQ9" s="1724"/>
      <c r="AR9" s="1724"/>
      <c r="AS9" s="1724"/>
      <c r="AT9" s="1724"/>
      <c r="AU9" s="1724"/>
      <c r="AV9" s="1724"/>
      <c r="AW9" s="1724"/>
      <c r="AX9" s="1293"/>
      <c r="AY9" s="1293"/>
      <c r="AZ9" s="1293"/>
      <c r="BA9" s="1293"/>
      <c r="BB9" s="1293"/>
      <c r="BC9" s="1293"/>
      <c r="BD9" s="1293"/>
      <c r="BE9" s="1293"/>
      <c r="BF9" s="1293"/>
      <c r="BG9" s="1293"/>
      <c r="BH9" s="1293"/>
      <c r="BI9" s="1293"/>
      <c r="BJ9" s="1293"/>
      <c r="BK9" s="1293"/>
      <c r="BL9" s="1293"/>
      <c r="BM9" s="1293"/>
      <c r="BN9" s="1293"/>
      <c r="BO9" s="1293"/>
      <c r="BP9" s="1293"/>
      <c r="BQ9" s="1293"/>
      <c r="BR9" s="1293"/>
      <c r="BS9" s="1293"/>
      <c r="BT9" s="1293"/>
      <c r="BU9" s="1293"/>
      <c r="BV9" s="1293"/>
      <c r="BW9" s="1293"/>
      <c r="BX9" s="1293"/>
      <c r="BY9" s="1293"/>
      <c r="BZ9" s="1293"/>
      <c r="CA9" s="1293"/>
      <c r="CB9" s="1293"/>
      <c r="CC9" s="1293"/>
      <c r="CD9" s="1293"/>
      <c r="CE9" s="1293"/>
      <c r="CF9" s="1293"/>
      <c r="CG9" s="1293"/>
    </row>
    <row r="10" spans="1:85" ht="15.75">
      <c r="A10" s="1293"/>
      <c r="B10" s="1293"/>
      <c r="C10" s="1293" t="str">
        <f>'New (new) quarts'!B8</f>
        <v>Nicaragua</v>
      </c>
      <c r="D10" s="2490"/>
      <c r="E10" s="2490"/>
      <c r="F10" s="2490"/>
      <c r="G10" s="2490"/>
      <c r="H10" s="2490"/>
      <c r="I10" s="2490"/>
      <c r="J10" s="2490"/>
      <c r="K10" s="2490"/>
      <c r="L10" s="2490">
        <f>'New (new) quarts'!AY8</f>
        <v>247.55410000000001</v>
      </c>
      <c r="M10" s="2490">
        <f>'New (new) quarts'!BD8</f>
        <v>255.26609999999999</v>
      </c>
      <c r="N10" s="2490">
        <f>'New (new) quarts'!BI8</f>
        <v>266.9898</v>
      </c>
      <c r="O10" s="1327">
        <f t="shared" ref="O10:T10" si="12">O167/O128</f>
        <v>274.0725409880435</v>
      </c>
      <c r="P10" s="1327">
        <f t="shared" si="12"/>
        <v>276.67799708352521</v>
      </c>
      <c r="Q10" s="1327">
        <f t="shared" si="12"/>
        <v>281.93999664890976</v>
      </c>
      <c r="R10" s="1327">
        <f t="shared" si="12"/>
        <v>285.96387866949789</v>
      </c>
      <c r="S10" s="1327">
        <f t="shared" si="12"/>
        <v>288.68591650695458</v>
      </c>
      <c r="T10" s="1327">
        <f t="shared" si="12"/>
        <v>290.06027874841561</v>
      </c>
      <c r="U10" s="1293"/>
      <c r="V10" s="1293"/>
      <c r="W10" s="1293"/>
      <c r="X10" s="1981"/>
      <c r="Y10" s="1293"/>
      <c r="Z10" s="1293"/>
      <c r="AA10" s="1293"/>
      <c r="AB10" s="1698"/>
      <c r="AC10" s="1698"/>
      <c r="AD10" s="1698"/>
      <c r="AE10" s="1699"/>
      <c r="AF10" s="1699"/>
      <c r="AG10" s="1699"/>
      <c r="AH10" s="1699"/>
      <c r="AI10" s="1699"/>
      <c r="AJ10" s="1699"/>
      <c r="AK10" s="1699"/>
      <c r="AL10" s="1293"/>
      <c r="AM10" s="1293"/>
      <c r="AN10" s="1724"/>
      <c r="AO10" s="1724"/>
      <c r="AP10" s="1724"/>
      <c r="AQ10" s="1724"/>
      <c r="AR10" s="1724"/>
      <c r="AS10" s="1724"/>
      <c r="AT10" s="1724"/>
      <c r="AU10" s="1724"/>
      <c r="AV10" s="1724"/>
      <c r="AW10" s="1724"/>
      <c r="AX10" s="1293"/>
      <c r="AY10" s="1293"/>
      <c r="AZ10" s="1293"/>
      <c r="BA10" s="1293"/>
      <c r="BB10" s="1293"/>
      <c r="BC10" s="1293"/>
      <c r="BD10" s="1293"/>
      <c r="BE10" s="1293"/>
      <c r="BF10" s="1293"/>
      <c r="BG10" s="1293"/>
      <c r="BH10" s="1293"/>
      <c r="BI10" s="1293"/>
      <c r="BJ10" s="1293"/>
      <c r="BK10" s="1293"/>
      <c r="BL10" s="1293"/>
      <c r="BM10" s="1293"/>
      <c r="BN10" s="1293"/>
      <c r="BO10" s="1293"/>
      <c r="BP10" s="1293"/>
      <c r="BQ10" s="1293"/>
      <c r="BR10" s="1293"/>
      <c r="BS10" s="1293"/>
      <c r="BT10" s="1293"/>
      <c r="BU10" s="1293"/>
      <c r="BV10" s="1293"/>
      <c r="BW10" s="1293"/>
      <c r="BX10" s="1293"/>
      <c r="BY10" s="1293"/>
      <c r="BZ10" s="1293"/>
      <c r="CA10" s="1293"/>
      <c r="CB10" s="1293"/>
      <c r="CC10" s="1293"/>
      <c r="CD10" s="1293"/>
      <c r="CE10" s="1293"/>
      <c r="CF10" s="1293"/>
      <c r="CG10" s="1293"/>
    </row>
    <row r="11" spans="1:85" ht="15.75" hidden="1" outlineLevel="1">
      <c r="A11" s="1293"/>
      <c r="B11" s="1293"/>
      <c r="C11" s="1982" t="s">
        <v>5880</v>
      </c>
      <c r="D11" s="1327"/>
      <c r="E11" s="1327"/>
      <c r="F11" s="1327"/>
      <c r="G11" s="1327"/>
      <c r="H11" s="1327">
        <f>'New (new) quarts'!AA6</f>
        <v>17.7</v>
      </c>
      <c r="I11" s="1327">
        <f>'New (new) quarts'!AJ6</f>
        <v>395</v>
      </c>
      <c r="J11" s="1327">
        <f>'New (new) quarts'!AO6</f>
        <v>377</v>
      </c>
      <c r="K11" s="1327">
        <f>'New (new) quarts'!AT6</f>
        <v>413</v>
      </c>
      <c r="L11" s="1327">
        <f>'New (new) quarts'!AY6</f>
        <v>651.27139999999997</v>
      </c>
      <c r="M11" s="1327">
        <f>'New (new) quarts'!BD6</f>
        <v>719.19690000000003</v>
      </c>
      <c r="N11" s="1327">
        <f>'New (new) quarts'!BE6</f>
        <v>209.41380000000001</v>
      </c>
      <c r="O11" s="1327">
        <f>Onda!K19</f>
        <v>522.79804342217176</v>
      </c>
      <c r="P11" s="1327">
        <f>Onda!L19</f>
        <v>530.66615397567546</v>
      </c>
      <c r="Q11" s="1327">
        <f>Onda!M19</f>
        <v>538.65267959300934</v>
      </c>
      <c r="R11" s="1327">
        <f>Onda!N19</f>
        <v>546.75940242088404</v>
      </c>
      <c r="S11" s="1327">
        <f>Onda!O19</f>
        <v>554.98813142731831</v>
      </c>
      <c r="T11" s="1327">
        <f>Onda!P19</f>
        <v>563.34070280529943</v>
      </c>
      <c r="U11" s="1293"/>
      <c r="V11" s="1293"/>
      <c r="W11" s="1293"/>
      <c r="X11" s="1981">
        <v>487.78999999999996</v>
      </c>
      <c r="Y11" s="1293"/>
      <c r="Z11" s="1293"/>
      <c r="AA11" s="1293"/>
      <c r="AB11" s="1293"/>
      <c r="AC11" s="1293"/>
      <c r="AD11" s="1698"/>
      <c r="AE11" s="1699">
        <f t="shared" ref="AE11:AK12" si="13">D11</f>
        <v>0</v>
      </c>
      <c r="AF11" s="1699">
        <f t="shared" si="13"/>
        <v>0</v>
      </c>
      <c r="AG11" s="1699">
        <f t="shared" si="13"/>
        <v>0</v>
      </c>
      <c r="AH11" s="1699">
        <f t="shared" si="13"/>
        <v>0</v>
      </c>
      <c r="AI11" s="1699">
        <f t="shared" si="13"/>
        <v>17.7</v>
      </c>
      <c r="AJ11" s="1699">
        <f t="shared" si="13"/>
        <v>395</v>
      </c>
      <c r="AK11" s="1699">
        <f t="shared" si="13"/>
        <v>377</v>
      </c>
      <c r="AL11" s="1293"/>
      <c r="AM11" s="1293" t="str">
        <f t="shared" si="5"/>
        <v>Panama - Onda</v>
      </c>
      <c r="AN11" s="1724">
        <f t="shared" ref="AN11:AW12" si="14">AB11/AB$24</f>
        <v>0</v>
      </c>
      <c r="AO11" s="1724">
        <f t="shared" si="14"/>
        <v>0</v>
      </c>
      <c r="AP11" s="1724">
        <f t="shared" si="14"/>
        <v>0</v>
      </c>
      <c r="AQ11" s="1724">
        <f t="shared" si="14"/>
        <v>0</v>
      </c>
      <c r="AR11" s="1724">
        <f t="shared" si="14"/>
        <v>0</v>
      </c>
      <c r="AS11" s="1724">
        <f t="shared" si="14"/>
        <v>0</v>
      </c>
      <c r="AT11" s="1724">
        <f t="shared" si="14"/>
        <v>0</v>
      </c>
      <c r="AU11" s="1724">
        <f t="shared" si="14"/>
        <v>4.6042551641794147E-3</v>
      </c>
      <c r="AV11" s="1724">
        <f t="shared" si="14"/>
        <v>9.2479215588952141E-2</v>
      </c>
      <c r="AW11" s="1724">
        <f t="shared" si="14"/>
        <v>8.6966751941757653E-2</v>
      </c>
      <c r="AX11" s="1293"/>
      <c r="AY11" s="1293"/>
      <c r="AZ11" s="1293"/>
      <c r="BA11" s="1293"/>
      <c r="BB11" s="1293"/>
      <c r="BC11" s="1293"/>
      <c r="BD11" s="1293"/>
      <c r="BE11" s="1293"/>
      <c r="BF11" s="1293"/>
      <c r="BG11" s="1293"/>
      <c r="BH11" s="1293"/>
      <c r="BI11" s="1293"/>
      <c r="BJ11" s="1293"/>
      <c r="BK11" s="1293"/>
      <c r="BL11" s="1293"/>
      <c r="BM11" s="1293"/>
      <c r="BN11" s="1293"/>
      <c r="BO11" s="1293"/>
      <c r="BP11" s="1293"/>
      <c r="BQ11" s="1293"/>
      <c r="BR11" s="1293"/>
      <c r="BS11" s="1293"/>
      <c r="BT11" s="1293"/>
      <c r="BU11" s="1293"/>
      <c r="BV11" s="1293"/>
      <c r="BW11" s="1293"/>
      <c r="BX11" s="1293"/>
      <c r="BY11" s="1293"/>
      <c r="BZ11" s="1293"/>
      <c r="CA11" s="1293"/>
      <c r="CB11" s="1293"/>
      <c r="CC11" s="1293"/>
      <c r="CD11" s="1293"/>
      <c r="CE11" s="1293"/>
      <c r="CF11" s="1293"/>
      <c r="CG11" s="1293"/>
    </row>
    <row r="12" spans="1:85" ht="15.75" hidden="1" outlineLevel="1">
      <c r="A12" s="1293"/>
      <c r="B12" s="1293"/>
      <c r="C12" s="1982" t="str">
        <f>'New (new) quarts'!B9</f>
        <v>Costa Rica/old Nicaragua</v>
      </c>
      <c r="D12" s="1327">
        <f>'New (new) quarts'!G9</f>
        <v>137.20097289997477</v>
      </c>
      <c r="E12" s="1327">
        <f>'New (new) quarts'!L9</f>
        <v>150.79952045651305</v>
      </c>
      <c r="F12" s="1327">
        <f>'New (new) quarts'!Q9</f>
        <v>153.23238717029392</v>
      </c>
      <c r="G12" s="1327">
        <f>'New (new) quarts'!V9</f>
        <v>149</v>
      </c>
      <c r="H12" s="1327">
        <f>'New (new) quarts'!AA9</f>
        <v>149.30000000000001</v>
      </c>
      <c r="I12" s="1327">
        <f>'New (new) quarts'!AJ9</f>
        <v>144</v>
      </c>
      <c r="J12" s="1327">
        <f>'New (new) quarts'!AO9</f>
        <v>163</v>
      </c>
      <c r="K12" s="1327">
        <f>'New (new) quarts'!AT9</f>
        <v>180</v>
      </c>
      <c r="L12" s="1327">
        <f>'New (new) quarts'!AY9</f>
        <v>185</v>
      </c>
      <c r="M12" s="1327">
        <f>'New (new) quarts'!BD9</f>
        <v>213.85899999999998</v>
      </c>
      <c r="N12" s="1327">
        <f>'New (new) quarts'!BE9</f>
        <v>54</v>
      </c>
      <c r="O12" s="1327">
        <f t="shared" ref="O12:T12" si="15">O172/O127</f>
        <v>13.474154798121599</v>
      </c>
      <c r="P12" s="1327">
        <f t="shared" si="15"/>
        <v>20.124324593995354</v>
      </c>
      <c r="Q12" s="1327">
        <f t="shared" si="15"/>
        <v>26.711886834161401</v>
      </c>
      <c r="R12" s="1327">
        <f t="shared" si="15"/>
        <v>33.238733705305052</v>
      </c>
      <c r="S12" s="1327">
        <f t="shared" si="15"/>
        <v>39.706726807976153</v>
      </c>
      <c r="T12" s="1327">
        <f t="shared" si="15"/>
        <v>46.117697820195332</v>
      </c>
      <c r="U12" s="1293"/>
      <c r="V12" s="1293"/>
      <c r="W12" s="1293"/>
      <c r="X12" s="1981">
        <v>213.85899999999998</v>
      </c>
      <c r="Y12" s="1293"/>
      <c r="Z12" s="1293"/>
      <c r="AA12" s="1293"/>
      <c r="AB12" s="1698">
        <f>'Full div'!H149</f>
        <v>135</v>
      </c>
      <c r="AC12" s="1698">
        <f>'Full div'!I149</f>
        <v>135</v>
      </c>
      <c r="AD12" s="1698">
        <f>'Full div'!J149</f>
        <v>135</v>
      </c>
      <c r="AE12" s="1699">
        <f t="shared" si="13"/>
        <v>137.20097289997477</v>
      </c>
      <c r="AF12" s="1699">
        <f t="shared" si="13"/>
        <v>150.79952045651305</v>
      </c>
      <c r="AG12" s="1699">
        <f t="shared" si="13"/>
        <v>153.23238717029392</v>
      </c>
      <c r="AH12" s="1699">
        <f t="shared" si="13"/>
        <v>149</v>
      </c>
      <c r="AI12" s="1699">
        <f t="shared" si="13"/>
        <v>149.30000000000001</v>
      </c>
      <c r="AJ12" s="1699">
        <f t="shared" si="13"/>
        <v>144</v>
      </c>
      <c r="AK12" s="1699">
        <f t="shared" si="13"/>
        <v>163</v>
      </c>
      <c r="AL12" s="1293"/>
      <c r="AM12" s="1293" t="str">
        <f t="shared" si="5"/>
        <v>Costa Rica/old Nicaragua</v>
      </c>
      <c r="AN12" s="1724">
        <f t="shared" si="14"/>
        <v>4.6045069596270014E-2</v>
      </c>
      <c r="AO12" s="1724">
        <f t="shared" si="14"/>
        <v>4.2535091450446622E-2</v>
      </c>
      <c r="AP12" s="1724">
        <f t="shared" si="14"/>
        <v>4.0108500922495523E-2</v>
      </c>
      <c r="AQ12" s="1724">
        <f t="shared" si="14"/>
        <v>3.6283935950826025E-2</v>
      </c>
      <c r="AR12" s="1724">
        <f t="shared" si="14"/>
        <v>3.8193474275700946E-2</v>
      </c>
      <c r="AS12" s="1724">
        <f t="shared" si="14"/>
        <v>4.1235219064556995E-2</v>
      </c>
      <c r="AT12" s="1724">
        <f t="shared" si="14"/>
        <v>3.9394019511937182E-2</v>
      </c>
      <c r="AU12" s="1724">
        <f t="shared" si="14"/>
        <v>3.8837022373558572E-2</v>
      </c>
      <c r="AV12" s="1724">
        <f t="shared" si="14"/>
        <v>3.371394188559268E-2</v>
      </c>
      <c r="AW12" s="1724">
        <f t="shared" si="14"/>
        <v>3.7601009460229436E-2</v>
      </c>
      <c r="AX12" s="1293"/>
      <c r="AY12" s="1293"/>
      <c r="AZ12" s="1293"/>
      <c r="BA12" s="1293"/>
      <c r="BB12" s="1293"/>
      <c r="BC12" s="1293"/>
      <c r="BD12" s="1293"/>
      <c r="BE12" s="1293"/>
      <c r="BF12" s="1293"/>
      <c r="BG12" s="1293"/>
      <c r="BH12" s="1293"/>
      <c r="BI12" s="1293"/>
      <c r="BJ12" s="1293"/>
      <c r="BK12" s="1293"/>
      <c r="BL12" s="1293"/>
      <c r="BM12" s="1293"/>
      <c r="BN12" s="1293"/>
      <c r="BO12" s="1293"/>
      <c r="BP12" s="1293"/>
      <c r="BQ12" s="1293"/>
      <c r="BR12" s="1293"/>
      <c r="BS12" s="1293"/>
      <c r="BT12" s="1293"/>
      <c r="BU12" s="1293"/>
      <c r="BV12" s="1293"/>
      <c r="BW12" s="1293"/>
      <c r="BX12" s="1293"/>
      <c r="BY12" s="1293"/>
      <c r="BZ12" s="1293"/>
      <c r="CA12" s="1293"/>
      <c r="CB12" s="1293"/>
      <c r="CC12" s="1293"/>
      <c r="CD12" s="1293"/>
      <c r="CE12" s="1293"/>
      <c r="CF12" s="1293"/>
      <c r="CG12" s="1293"/>
    </row>
    <row r="13" spans="1:85" ht="15.75" hidden="1" outlineLevel="1">
      <c r="A13" s="1293"/>
      <c r="B13" s="1293"/>
      <c r="C13" s="1982" t="s">
        <v>5610</v>
      </c>
      <c r="D13" s="1327"/>
      <c r="E13" s="1327"/>
      <c r="F13" s="1327"/>
      <c r="G13" s="1327"/>
      <c r="H13" s="1327"/>
      <c r="I13" s="1327">
        <f>'New (new) quarts'!AF10+'New (new) quarts'!AH10</f>
        <v>80</v>
      </c>
      <c r="J13" s="1327">
        <f>'New (new) quarts'!AO10</f>
        <v>209</v>
      </c>
      <c r="K13" s="1327">
        <f>'New (new) quarts'!AT10</f>
        <v>220</v>
      </c>
      <c r="L13" s="1327">
        <f>'New (new) quarts'!AY10</f>
        <v>226</v>
      </c>
      <c r="M13" s="1327">
        <f>'New (new) quarts'!BD10</f>
        <v>232</v>
      </c>
      <c r="N13" s="1327">
        <f>'New (new) quarts'!BE10</f>
        <v>58</v>
      </c>
      <c r="O13" s="1327">
        <f t="shared" ref="O13:T13" si="16">O54+O94</f>
        <v>236.95216434991428</v>
      </c>
      <c r="P13" s="1327">
        <f t="shared" si="16"/>
        <v>236.95216434991428</v>
      </c>
      <c r="Q13" s="1327">
        <f t="shared" si="16"/>
        <v>236.95216434991428</v>
      </c>
      <c r="R13" s="1327">
        <f t="shared" si="16"/>
        <v>236.95216434991428</v>
      </c>
      <c r="S13" s="1327">
        <f t="shared" si="16"/>
        <v>236.95216434991428</v>
      </c>
      <c r="T13" s="1327">
        <f t="shared" si="16"/>
        <v>236.95216434991428</v>
      </c>
      <c r="U13" s="1293"/>
      <c r="V13" s="1293"/>
      <c r="W13" s="1293"/>
      <c r="X13" s="1981">
        <v>232</v>
      </c>
      <c r="Y13" s="1293"/>
      <c r="Z13" s="1293"/>
      <c r="AA13" s="1293"/>
      <c r="AB13" s="1293"/>
      <c r="AC13" s="1293"/>
      <c r="AD13" s="1293"/>
      <c r="AE13" s="1724"/>
      <c r="AF13" s="1724"/>
      <c r="AG13" s="1724"/>
      <c r="AH13" s="1724"/>
      <c r="AI13" s="1724"/>
      <c r="AJ13" s="1724"/>
      <c r="AK13" s="1699">
        <f>J13</f>
        <v>209</v>
      </c>
      <c r="AL13" s="1293"/>
      <c r="AM13" s="1293" t="str">
        <f t="shared" si="5"/>
        <v>Panama wireless</v>
      </c>
      <c r="AN13" s="1724"/>
      <c r="AO13" s="1724"/>
      <c r="AP13" s="1724"/>
      <c r="AQ13" s="1724"/>
      <c r="AR13" s="1724"/>
      <c r="AS13" s="1724"/>
      <c r="AT13" s="1724"/>
      <c r="AU13" s="1724"/>
      <c r="AV13" s="1724"/>
      <c r="AW13" s="1724">
        <f>AK13/AK$24</f>
        <v>4.8212337283361668E-2</v>
      </c>
      <c r="AX13" s="1293"/>
      <c r="AY13" s="1293"/>
      <c r="AZ13" s="1293"/>
      <c r="BA13" s="1293"/>
      <c r="BB13" s="1293"/>
      <c r="BC13" s="1293"/>
      <c r="BD13" s="1293"/>
      <c r="BE13" s="1293"/>
      <c r="BF13" s="1293"/>
      <c r="BG13" s="1293"/>
      <c r="BH13" s="1293"/>
      <c r="BI13" s="1293"/>
      <c r="BJ13" s="1293"/>
      <c r="BK13" s="1293"/>
      <c r="BL13" s="1293"/>
      <c r="BM13" s="1293"/>
      <c r="BN13" s="1293"/>
      <c r="BO13" s="1293"/>
      <c r="BP13" s="1293"/>
      <c r="BQ13" s="1293"/>
      <c r="BR13" s="1293"/>
      <c r="BS13" s="1293"/>
      <c r="BT13" s="1293"/>
      <c r="BU13" s="1293"/>
      <c r="BV13" s="1293"/>
      <c r="BW13" s="1293"/>
      <c r="BX13" s="1293"/>
      <c r="BY13" s="1293"/>
      <c r="BZ13" s="1293"/>
      <c r="CA13" s="1293"/>
      <c r="CB13" s="1293"/>
      <c r="CC13" s="1293"/>
      <c r="CD13" s="1293"/>
      <c r="CE13" s="1293"/>
      <c r="CF13" s="1293"/>
      <c r="CG13" s="1293"/>
    </row>
    <row r="14" spans="1:85" ht="15.75" hidden="1" outlineLevel="1">
      <c r="A14" s="1293"/>
      <c r="B14" s="1293"/>
      <c r="C14" s="1982" t="s">
        <v>5612</v>
      </c>
      <c r="D14" s="1327"/>
      <c r="E14" s="1327"/>
      <c r="F14" s="1327"/>
      <c r="G14" s="1327"/>
      <c r="H14" s="1327"/>
      <c r="I14" s="1327"/>
      <c r="J14" s="1327"/>
      <c r="K14" s="1327"/>
      <c r="L14" s="1327"/>
      <c r="M14" s="1327"/>
      <c r="N14" s="1327"/>
      <c r="O14" s="1327"/>
      <c r="P14" s="1327"/>
      <c r="Q14" s="1327"/>
      <c r="R14" s="1327"/>
      <c r="S14" s="1327"/>
      <c r="T14" s="1327"/>
      <c r="U14" s="1293"/>
      <c r="V14" s="1293"/>
      <c r="W14" s="1293"/>
      <c r="X14" s="1981"/>
      <c r="Y14" s="1293"/>
      <c r="Z14" s="1293"/>
      <c r="AA14" s="1293"/>
      <c r="AB14" s="1293"/>
      <c r="AC14" s="1293"/>
      <c r="AD14" s="1293"/>
      <c r="AE14" s="1724"/>
      <c r="AF14" s="1724"/>
      <c r="AG14" s="1724"/>
      <c r="AH14" s="1724"/>
      <c r="AI14" s="1724"/>
      <c r="AJ14" s="1724"/>
      <c r="AK14" s="1699">
        <f>J14</f>
        <v>0</v>
      </c>
      <c r="AL14" s="1293"/>
      <c r="AM14" s="1293" t="str">
        <f t="shared" si="5"/>
        <v>Costa Rica wireless</v>
      </c>
      <c r="AN14" s="1724"/>
      <c r="AO14" s="1724"/>
      <c r="AP14" s="1724"/>
      <c r="AQ14" s="1724"/>
      <c r="AR14" s="1724"/>
      <c r="AS14" s="1724"/>
      <c r="AT14" s="1724"/>
      <c r="AU14" s="1724"/>
      <c r="AV14" s="1724"/>
      <c r="AW14" s="1724">
        <f>AK14/AK$24</f>
        <v>0</v>
      </c>
      <c r="AX14" s="1293"/>
      <c r="AY14" s="1293"/>
      <c r="AZ14" s="1293"/>
      <c r="BA14" s="1293"/>
      <c r="BB14" s="1293"/>
      <c r="BC14" s="1293"/>
      <c r="BD14" s="1293"/>
      <c r="BE14" s="1293"/>
      <c r="BF14" s="1293"/>
      <c r="BG14" s="1293"/>
      <c r="BH14" s="1293"/>
      <c r="BI14" s="1293"/>
      <c r="BJ14" s="1293"/>
      <c r="BK14" s="1293"/>
      <c r="BL14" s="1293"/>
      <c r="BM14" s="1293"/>
      <c r="BN14" s="1293"/>
      <c r="BO14" s="1293"/>
      <c r="BP14" s="1293"/>
      <c r="BQ14" s="1293"/>
      <c r="BR14" s="1293"/>
      <c r="BS14" s="1293"/>
      <c r="BT14" s="1293"/>
      <c r="BU14" s="1293"/>
      <c r="BV14" s="1293"/>
      <c r="BW14" s="1293"/>
      <c r="BX14" s="1293"/>
      <c r="BY14" s="1293"/>
      <c r="BZ14" s="1293"/>
      <c r="CA14" s="1293"/>
      <c r="CB14" s="1293"/>
      <c r="CC14" s="1293"/>
      <c r="CD14" s="1293"/>
      <c r="CE14" s="1293"/>
      <c r="CF14" s="1293"/>
      <c r="CG14" s="1293"/>
    </row>
    <row r="15" spans="1:85" ht="15.75" hidden="1" outlineLevel="1">
      <c r="A15" s="1293"/>
      <c r="B15" s="1293"/>
      <c r="C15" s="1983" t="s">
        <v>5613</v>
      </c>
      <c r="D15" s="1718"/>
      <c r="E15" s="1718"/>
      <c r="F15" s="1718"/>
      <c r="G15" s="1718"/>
      <c r="H15" s="1718"/>
      <c r="I15" s="1718">
        <f>'New (new) quarts'!AD12+'New (new) quarts'!AF12+'New (new) quarts'!AH12</f>
        <v>149</v>
      </c>
      <c r="J15" s="1718">
        <f>'New (new) quarts'!AO12</f>
        <v>199</v>
      </c>
      <c r="K15" s="1718">
        <f>'New (new) quarts'!AT12</f>
        <v>200</v>
      </c>
      <c r="L15" s="1718">
        <f>'New (new) quarts'!AY12</f>
        <v>200</v>
      </c>
      <c r="M15" s="1718">
        <f>'New (new) quarts'!BD12</f>
        <v>200</v>
      </c>
      <c r="N15" s="1718">
        <f>'New (new) quarts'!BE12</f>
        <v>50</v>
      </c>
      <c r="O15" s="1718">
        <f>'New CA'!M130</f>
        <v>208.0219268965192</v>
      </c>
      <c r="P15" s="1718">
        <f>'New CA'!N130</f>
        <v>208.0219268965192</v>
      </c>
      <c r="Q15" s="1718">
        <f>'New CA'!O130</f>
        <v>208.0219268965192</v>
      </c>
      <c r="R15" s="1718">
        <f>'New CA'!P130</f>
        <v>208.0219268965192</v>
      </c>
      <c r="S15" s="1718">
        <f>'New CA'!Q130</f>
        <v>208.0219268965192</v>
      </c>
      <c r="T15" s="1718">
        <f>'New CA'!R130</f>
        <v>208.0219268965192</v>
      </c>
      <c r="U15" s="1293"/>
      <c r="V15" s="1293"/>
      <c r="W15" s="1293"/>
      <c r="X15" s="1981">
        <v>200</v>
      </c>
      <c r="Y15" s="1293"/>
      <c r="Z15" s="1293"/>
      <c r="AA15" s="1293"/>
      <c r="AB15" s="1882"/>
      <c r="AC15" s="1882"/>
      <c r="AD15" s="1882"/>
      <c r="AE15" s="1882"/>
      <c r="AF15" s="1882"/>
      <c r="AG15" s="1882"/>
      <c r="AH15" s="1882"/>
      <c r="AI15" s="1882"/>
      <c r="AJ15" s="1703">
        <f>I15</f>
        <v>149</v>
      </c>
      <c r="AK15" s="1703">
        <f>J15</f>
        <v>199</v>
      </c>
      <c r="AL15" s="1293"/>
      <c r="AM15" s="1293" t="str">
        <f t="shared" si="5"/>
        <v>Nicaragua wireless</v>
      </c>
      <c r="AN15" s="1882"/>
      <c r="AO15" s="1882"/>
      <c r="AP15" s="1882"/>
      <c r="AQ15" s="1882"/>
      <c r="AR15" s="1882"/>
      <c r="AS15" s="1882"/>
      <c r="AT15" s="1882"/>
      <c r="AU15" s="1882"/>
      <c r="AV15" s="1882">
        <f>AJ15/AJ$24</f>
        <v>3.488456486773131E-2</v>
      </c>
      <c r="AW15" s="1882">
        <f>AK15/AK$24</f>
        <v>4.5905526887028578E-2</v>
      </c>
      <c r="AX15" s="1293"/>
      <c r="AY15" s="1293"/>
      <c r="AZ15" s="1293"/>
      <c r="BA15" s="1293"/>
      <c r="BB15" s="1293"/>
      <c r="BC15" s="1293"/>
      <c r="BD15" s="1293"/>
      <c r="BE15" s="1293"/>
      <c r="BF15" s="1293"/>
      <c r="BG15" s="1293"/>
      <c r="BH15" s="1293"/>
      <c r="BI15" s="1293"/>
      <c r="BJ15" s="1293"/>
      <c r="BK15" s="1293"/>
      <c r="BL15" s="1293"/>
      <c r="BM15" s="1293"/>
      <c r="BN15" s="1293"/>
      <c r="BO15" s="1293"/>
      <c r="BP15" s="1293"/>
      <c r="BQ15" s="1293"/>
      <c r="BR15" s="1293"/>
      <c r="BS15" s="1293"/>
      <c r="BT15" s="1293"/>
      <c r="BU15" s="1293"/>
      <c r="BV15" s="1293"/>
      <c r="BW15" s="1293"/>
      <c r="BX15" s="1293"/>
      <c r="BY15" s="1293"/>
      <c r="BZ15" s="1293"/>
      <c r="CA15" s="1293"/>
      <c r="CB15" s="1293"/>
      <c r="CC15" s="1293"/>
      <c r="CD15" s="1293"/>
      <c r="CE15" s="1293"/>
      <c r="CF15" s="1293"/>
      <c r="CG15" s="1293"/>
    </row>
    <row r="16" spans="1:85" ht="15.75" collapsed="1">
      <c r="A16" s="1293"/>
      <c r="B16" s="1293"/>
      <c r="C16" s="1375" t="str">
        <f>'New (new) quarts'!B13</f>
        <v>Central America</v>
      </c>
      <c r="D16" s="1991">
        <f>'New (new) quarts'!G13</f>
        <v>2460.2184411348098</v>
      </c>
      <c r="E16" s="1991">
        <f>'New (new) quarts'!L13</f>
        <v>2555.63123688823</v>
      </c>
      <c r="F16" s="1991">
        <f>'New (new) quarts'!Q13</f>
        <v>2472.3968456450366</v>
      </c>
      <c r="G16" s="1991">
        <f>'New (new) quarts'!V13</f>
        <v>2484</v>
      </c>
      <c r="H16" s="1991">
        <f ca="1">'New (new) quarts'!AA13</f>
        <v>2532</v>
      </c>
      <c r="I16" s="1991">
        <f t="shared" ref="I16:J16" si="17">SUM(I5:I15)</f>
        <v>3183</v>
      </c>
      <c r="J16" s="1991">
        <f t="shared" si="17"/>
        <v>3393</v>
      </c>
      <c r="K16" s="1991">
        <f t="shared" ref="K16" si="18">SUM(K5:K15)</f>
        <v>3649</v>
      </c>
      <c r="L16" s="1991">
        <f>SUM(L5:L10)-L7</f>
        <v>3130.8247999999994</v>
      </c>
      <c r="M16" s="1991">
        <f>SUM(M5:M10)-M7</f>
        <v>3186.2258999999995</v>
      </c>
      <c r="N16" s="1991">
        <f>SUM(N5:N10)-N7</f>
        <v>3272.8498</v>
      </c>
      <c r="O16" s="1991">
        <f t="shared" ref="O16:T16" si="19">SUM(O5:O10)-O7</f>
        <v>3368.063872634797</v>
      </c>
      <c r="P16" s="1991">
        <f t="shared" si="19"/>
        <v>3429.8342480917981</v>
      </c>
      <c r="Q16" s="1991">
        <f t="shared" si="19"/>
        <v>3496.6354312882231</v>
      </c>
      <c r="R16" s="1991">
        <f t="shared" si="19"/>
        <v>3563.493928440324</v>
      </c>
      <c r="S16" s="1991">
        <f t="shared" si="19"/>
        <v>3622.6378176218423</v>
      </c>
      <c r="T16" s="1991">
        <f t="shared" si="19"/>
        <v>3677.6037360314635</v>
      </c>
      <c r="U16" s="1293"/>
      <c r="V16" s="1293"/>
      <c r="W16" s="1293"/>
      <c r="X16" s="1293"/>
      <c r="Y16" s="1293"/>
      <c r="Z16" s="1293"/>
      <c r="AA16" s="1293"/>
      <c r="AB16" s="1699">
        <f t="shared" ref="AB16:AH16" si="20">SUM(AB5:AB15)</f>
        <v>1603.91</v>
      </c>
      <c r="AC16" s="1699">
        <f t="shared" si="20"/>
        <v>1671.35</v>
      </c>
      <c r="AD16" s="1699">
        <f t="shared" si="20"/>
        <v>1659.37</v>
      </c>
      <c r="AE16" s="1699">
        <f t="shared" si="20"/>
        <v>1690.8151823270446</v>
      </c>
      <c r="AF16" s="1699">
        <f t="shared" si="20"/>
        <v>1753.7533711162482</v>
      </c>
      <c r="AG16" s="1699">
        <f t="shared" si="20"/>
        <v>1693.3913073483077</v>
      </c>
      <c r="AH16" s="1699">
        <f t="shared" si="20"/>
        <v>1693.8</v>
      </c>
      <c r="AI16" s="1699">
        <f>SUM(AI5:AI15)</f>
        <v>1720.77</v>
      </c>
      <c r="AJ16" s="1699">
        <f>SUM(AJ5:AJ15)</f>
        <v>2261.23</v>
      </c>
      <c r="AK16" s="1699">
        <f>SUM(AK5:AK15)</f>
        <v>2534.4900000000002</v>
      </c>
      <c r="AL16" s="1293"/>
      <c r="AM16" s="1293" t="str">
        <f t="shared" si="5"/>
        <v>Central America</v>
      </c>
      <c r="AN16" s="1724">
        <f>AB16/AB$24</f>
        <v>0.54705294500854396</v>
      </c>
      <c r="AO16" s="1724">
        <f t="shared" ref="AO16:AW16" si="21">AC16/AC$24</f>
        <v>0.5266001858941034</v>
      </c>
      <c r="AP16" s="1724">
        <f t="shared" si="21"/>
        <v>0.49299883833897329</v>
      </c>
      <c r="AQ16" s="1724">
        <f t="shared" si="21"/>
        <v>0.44715010749205847</v>
      </c>
      <c r="AR16" s="1724">
        <f t="shared" si="21"/>
        <v>0.44417869541546862</v>
      </c>
      <c r="AS16" s="1724">
        <f t="shared" si="21"/>
        <v>0.45569584087286852</v>
      </c>
      <c r="AT16" s="1724">
        <f t="shared" si="21"/>
        <v>0.44782275335113553</v>
      </c>
      <c r="AU16" s="1724">
        <f t="shared" si="21"/>
        <v>0.44761944400367298</v>
      </c>
      <c r="AV16" s="1724">
        <f t="shared" si="21"/>
        <v>0.52940956118026894</v>
      </c>
      <c r="AW16" s="1724">
        <f t="shared" si="21"/>
        <v>0.58465878814022643</v>
      </c>
      <c r="AX16" s="1293"/>
      <c r="AY16" s="1293"/>
      <c r="AZ16" s="1293"/>
      <c r="BA16" s="1293"/>
      <c r="BB16" s="1293"/>
      <c r="BC16" s="1293"/>
      <c r="BD16" s="1293"/>
      <c r="BE16" s="1293"/>
      <c r="BF16" s="1293"/>
      <c r="BG16" s="1293"/>
      <c r="BH16" s="1293"/>
      <c r="BI16" s="1293"/>
      <c r="BJ16" s="1293"/>
      <c r="BK16" s="1293"/>
      <c r="BL16" s="1293"/>
      <c r="BM16" s="1293"/>
      <c r="BN16" s="1293"/>
      <c r="BO16" s="1293"/>
      <c r="BP16" s="1293"/>
      <c r="BQ16" s="1293"/>
      <c r="BR16" s="1293"/>
      <c r="BS16" s="1293"/>
      <c r="BT16" s="1293"/>
      <c r="BU16" s="1293"/>
      <c r="BV16" s="1293"/>
      <c r="BW16" s="1293"/>
      <c r="BX16" s="1293"/>
      <c r="BY16" s="1293"/>
      <c r="BZ16" s="1293"/>
      <c r="CA16" s="1293"/>
      <c r="CB16" s="1293"/>
      <c r="CC16" s="1293"/>
      <c r="CD16" s="1293"/>
      <c r="CE16" s="1293"/>
      <c r="CF16" s="1293"/>
      <c r="CG16" s="1293"/>
    </row>
    <row r="17" spans="1:85" ht="15.75" hidden="1" outlineLevel="1">
      <c r="A17" s="1293"/>
      <c r="B17" s="1293"/>
      <c r="C17" s="1982" t="s">
        <v>5879</v>
      </c>
      <c r="D17" s="1327"/>
      <c r="E17" s="1327"/>
      <c r="F17" s="1327"/>
      <c r="G17" s="1327"/>
      <c r="H17" s="1327">
        <f t="shared" ref="H17:O17" ca="1" si="22">H16-H13-H14-H15-H11</f>
        <v>2514.3000000000002</v>
      </c>
      <c r="I17" s="1327">
        <f t="shared" si="22"/>
        <v>2559</v>
      </c>
      <c r="J17" s="1327">
        <f>J16-J13-J14-J15-J11</f>
        <v>2608</v>
      </c>
      <c r="K17" s="1327">
        <f>K16-K13-K14-K15-K11</f>
        <v>2816</v>
      </c>
      <c r="L17" s="1327">
        <f>L16-L13-L14-L15-L11</f>
        <v>2053.5533999999993</v>
      </c>
      <c r="M17" s="1327">
        <f>M16-M13-M14-M15-M11</f>
        <v>2035.0289999999995</v>
      </c>
      <c r="N17" s="1327">
        <f t="shared" si="22"/>
        <v>2955.4360000000001</v>
      </c>
      <c r="O17" s="1327">
        <f t="shared" si="22"/>
        <v>2400.2917379661917</v>
      </c>
      <c r="P17" s="1327">
        <f>P16-P13-P14-P15-P11</f>
        <v>2454.194002869689</v>
      </c>
      <c r="Q17" s="1327">
        <f>Q16-Q13-Q14-Q15-Q11</f>
        <v>2513.0086604487801</v>
      </c>
      <c r="R17" s="1327">
        <f>R16-R13-R14-R15-R11</f>
        <v>2571.7604347730066</v>
      </c>
      <c r="S17" s="1327">
        <f>S16-S13-S14-S15-S11</f>
        <v>2622.6755949480903</v>
      </c>
      <c r="T17" s="1327">
        <f>T16-T13-T14-T15-T11</f>
        <v>2669.2889419797307</v>
      </c>
      <c r="U17" s="1293"/>
      <c r="V17" s="1293"/>
      <c r="W17" s="1293"/>
      <c r="X17" s="1293"/>
      <c r="Y17" s="1293"/>
      <c r="Z17" s="1293"/>
      <c r="AA17" s="1293"/>
      <c r="AB17" s="1293"/>
      <c r="AC17" s="1293"/>
      <c r="AD17" s="1293"/>
      <c r="AE17" s="1293"/>
      <c r="AF17" s="1293"/>
      <c r="AG17" s="1293"/>
      <c r="AH17" s="1293"/>
      <c r="AI17" s="1293"/>
      <c r="AJ17" s="1293"/>
      <c r="AK17" s="1293"/>
      <c r="AL17" s="1293"/>
      <c r="AM17" s="1293"/>
      <c r="AN17" s="1724"/>
      <c r="AO17" s="1724"/>
      <c r="AP17" s="1724"/>
      <c r="AQ17" s="1724"/>
      <c r="AR17" s="1724"/>
      <c r="AS17" s="1724"/>
      <c r="AT17" s="1724"/>
      <c r="AU17" s="1724"/>
      <c r="AV17" s="1724"/>
      <c r="AW17" s="1724"/>
      <c r="AX17" s="1293"/>
      <c r="AY17" s="1293"/>
      <c r="AZ17" s="1293"/>
      <c r="BA17" s="1293"/>
      <c r="BB17" s="1293"/>
      <c r="BC17" s="1293"/>
      <c r="BD17" s="1293"/>
      <c r="BE17" s="1293"/>
      <c r="BF17" s="1293"/>
      <c r="BG17" s="1293"/>
      <c r="BH17" s="1293"/>
      <c r="BI17" s="1293"/>
      <c r="BJ17" s="1293"/>
      <c r="BK17" s="1293"/>
      <c r="BL17" s="1293"/>
      <c r="BM17" s="1293"/>
      <c r="BN17" s="1293"/>
      <c r="BO17" s="1293"/>
      <c r="BP17" s="1293"/>
      <c r="BQ17" s="1293"/>
      <c r="BR17" s="1293"/>
      <c r="BS17" s="1293"/>
      <c r="BT17" s="1293"/>
      <c r="BU17" s="1293"/>
      <c r="BV17" s="1293"/>
      <c r="BW17" s="1293"/>
      <c r="BX17" s="1293"/>
      <c r="BY17" s="1293"/>
      <c r="BZ17" s="1293"/>
      <c r="CA17" s="1293"/>
      <c r="CB17" s="1293"/>
      <c r="CC17" s="1293"/>
      <c r="CD17" s="1293"/>
      <c r="CE17" s="1293"/>
      <c r="CF17" s="1293"/>
      <c r="CG17" s="1293"/>
    </row>
    <row r="18" spans="1:85" ht="15.75" collapsed="1">
      <c r="A18" s="1293"/>
      <c r="B18" s="1293"/>
      <c r="C18" s="1293"/>
      <c r="D18" s="1327"/>
      <c r="E18" s="1327"/>
      <c r="F18" s="1327"/>
      <c r="G18" s="1327"/>
      <c r="H18" s="1327"/>
      <c r="I18" s="1327"/>
      <c r="J18" s="1327"/>
      <c r="K18" s="1327"/>
      <c r="L18" s="1327"/>
      <c r="M18" s="1327"/>
      <c r="N18" s="1327"/>
      <c r="O18" s="1327"/>
      <c r="P18" s="1327"/>
      <c r="Q18" s="1327"/>
      <c r="R18" s="1327"/>
      <c r="S18" s="1327"/>
      <c r="T18" s="1327"/>
      <c r="U18" s="1293"/>
      <c r="V18" s="1293"/>
      <c r="W18" s="1293"/>
      <c r="X18" s="1293"/>
      <c r="Y18" s="1293"/>
      <c r="Z18" s="1293"/>
      <c r="AA18" s="1293"/>
      <c r="AB18" s="1293"/>
      <c r="AC18" s="1293"/>
      <c r="AD18" s="1293"/>
      <c r="AE18" s="1293"/>
      <c r="AF18" s="1293"/>
      <c r="AG18" s="1293"/>
      <c r="AH18" s="1293"/>
      <c r="AI18" s="1293"/>
      <c r="AJ18" s="1293"/>
      <c r="AK18" s="1293"/>
      <c r="AL18" s="1293"/>
      <c r="AM18" s="1293"/>
      <c r="AN18" s="1724"/>
      <c r="AO18" s="1724"/>
      <c r="AP18" s="1724"/>
      <c r="AQ18" s="1724"/>
      <c r="AR18" s="1724"/>
      <c r="AS18" s="1724"/>
      <c r="AT18" s="1724"/>
      <c r="AU18" s="1724"/>
      <c r="AV18" s="1724"/>
      <c r="AW18" s="1724"/>
      <c r="AX18" s="1293"/>
      <c r="AY18" s="1293"/>
      <c r="AZ18" s="1293"/>
      <c r="BA18" s="1293"/>
      <c r="BB18" s="1293"/>
      <c r="BC18" s="1293"/>
      <c r="BD18" s="1293"/>
      <c r="BE18" s="1293"/>
      <c r="BF18" s="1293"/>
      <c r="BG18" s="1293"/>
      <c r="BH18" s="1293"/>
      <c r="BI18" s="1293"/>
      <c r="BJ18" s="1293"/>
      <c r="BK18" s="1293"/>
      <c r="BL18" s="1293"/>
      <c r="BM18" s="1293"/>
      <c r="BN18" s="1293"/>
      <c r="BO18" s="1293"/>
      <c r="BP18" s="1293"/>
      <c r="BQ18" s="1293"/>
      <c r="BR18" s="1293"/>
      <c r="BS18" s="1293"/>
      <c r="BT18" s="1293"/>
      <c r="BU18" s="1293"/>
      <c r="BV18" s="1293"/>
      <c r="BW18" s="1293"/>
      <c r="BX18" s="1293"/>
      <c r="BY18" s="1293"/>
      <c r="BZ18" s="1293"/>
      <c r="CA18" s="1293"/>
      <c r="CB18" s="1293"/>
      <c r="CC18" s="1293"/>
      <c r="CD18" s="1293"/>
      <c r="CE18" s="1293"/>
      <c r="CF18" s="1293"/>
      <c r="CG18" s="1293"/>
    </row>
    <row r="19" spans="1:85" ht="15.75">
      <c r="A19" s="1293"/>
      <c r="B19" s="1293"/>
      <c r="C19" s="1293" t="str">
        <f>'New (new) quarts'!B15</f>
        <v>Bolivia</v>
      </c>
      <c r="D19" s="2490">
        <f>'New (new) quarts'!G15</f>
        <v>488.18864093342995</v>
      </c>
      <c r="E19" s="2490">
        <f>'New (new) quarts'!L15</f>
        <v>530.66567301447196</v>
      </c>
      <c r="F19" s="2490">
        <f>'New (new) quarts'!Q15</f>
        <v>541.57312559044908</v>
      </c>
      <c r="G19" s="2490">
        <f>'New (new) quarts'!V15</f>
        <v>556</v>
      </c>
      <c r="H19" s="2490">
        <f>'New (new) quarts'!AA15</f>
        <v>614</v>
      </c>
      <c r="I19" s="2490">
        <f>'New (new) quarts'!AJ15</f>
        <v>639</v>
      </c>
      <c r="J19" s="2490">
        <f>'New (new) quarts'!AO15</f>
        <v>584</v>
      </c>
      <c r="K19" s="2490">
        <f>'New (new) quarts'!AT15</f>
        <v>624</v>
      </c>
      <c r="L19" s="2490">
        <f>'New (new) quarts'!AY15</f>
        <v>621.32999999999993</v>
      </c>
      <c r="M19" s="2490">
        <f>'New (new) quarts'!BD15</f>
        <v>612.86900000000003</v>
      </c>
      <c r="N19" s="2490">
        <f>'New (new) quarts'!BI15</f>
        <v>613.51430000000005</v>
      </c>
      <c r="O19" s="1327">
        <f t="shared" ref="O19:T19" si="23">O168/O129</f>
        <v>247.04821788571431</v>
      </c>
      <c r="P19" s="1327">
        <f t="shared" si="23"/>
        <v>252.60089081485717</v>
      </c>
      <c r="Q19" s="1327">
        <f t="shared" si="23"/>
        <v>258.90385265972571</v>
      </c>
      <c r="R19" s="1327">
        <f t="shared" si="23"/>
        <v>265.36414734220591</v>
      </c>
      <c r="S19" s="1327">
        <f t="shared" si="23"/>
        <v>270.67143028905014</v>
      </c>
      <c r="T19" s="1327">
        <f t="shared" si="23"/>
        <v>276.08485889483109</v>
      </c>
      <c r="U19" s="1293"/>
      <c r="V19" s="1293"/>
      <c r="W19" s="1293"/>
      <c r="X19" s="1293"/>
      <c r="Y19" s="1293"/>
      <c r="Z19" s="1293"/>
      <c r="AA19" s="1293"/>
      <c r="AB19" s="1699">
        <f>'Full div'!H152</f>
        <v>357</v>
      </c>
      <c r="AC19" s="1699">
        <f>'Full div'!I152</f>
        <v>429</v>
      </c>
      <c r="AD19" s="1699">
        <f>'Full div'!J152</f>
        <v>438</v>
      </c>
      <c r="AE19" s="1699">
        <f t="shared" ref="AE19:AK19" si="24">D19</f>
        <v>488.18864093342995</v>
      </c>
      <c r="AF19" s="1699">
        <f t="shared" si="24"/>
        <v>530.66567301447196</v>
      </c>
      <c r="AG19" s="1699">
        <f t="shared" si="24"/>
        <v>541.57312559044908</v>
      </c>
      <c r="AH19" s="1699">
        <f t="shared" si="24"/>
        <v>556</v>
      </c>
      <c r="AI19" s="1699">
        <f t="shared" si="24"/>
        <v>614</v>
      </c>
      <c r="AJ19" s="1699">
        <f t="shared" si="24"/>
        <v>639</v>
      </c>
      <c r="AK19" s="1699">
        <f t="shared" si="24"/>
        <v>584</v>
      </c>
      <c r="AL19" s="1293"/>
      <c r="AM19" s="1293" t="str">
        <f>C19</f>
        <v>Bolivia</v>
      </c>
      <c r="AN19" s="1724">
        <f t="shared" ref="AN19:AV21" si="25">AB19/AB$24</f>
        <v>0.12176362848791403</v>
      </c>
      <c r="AO19" s="1724">
        <f t="shared" si="25"/>
        <v>0.13516706838697481</v>
      </c>
      <c r="AP19" s="1724">
        <f t="shared" si="25"/>
        <v>0.13012980299298546</v>
      </c>
      <c r="AQ19" s="1724">
        <f t="shared" si="25"/>
        <v>0.12910553770244174</v>
      </c>
      <c r="AR19" s="1724">
        <f t="shared" si="25"/>
        <v>0.13440338317999198</v>
      </c>
      <c r="AS19" s="1724">
        <f t="shared" si="25"/>
        <v>0.14573868413588437</v>
      </c>
      <c r="AT19" s="1724">
        <f t="shared" si="25"/>
        <v>0.14700050233984613</v>
      </c>
      <c r="AU19" s="1724">
        <f t="shared" si="25"/>
        <v>0.15971822998904864</v>
      </c>
      <c r="AV19" s="1724">
        <f t="shared" si="25"/>
        <v>0.14960561711731751</v>
      </c>
      <c r="AW19" s="1724">
        <f>AK19/AK$24</f>
        <v>0.1347177271458527</v>
      </c>
      <c r="AX19" s="1293"/>
      <c r="AY19" s="1293"/>
      <c r="AZ19" s="1293"/>
      <c r="BA19" s="1293"/>
      <c r="BB19" s="1293"/>
      <c r="BC19" s="1293"/>
      <c r="BD19" s="1293"/>
      <c r="BE19" s="1293"/>
      <c r="BF19" s="1293"/>
      <c r="BG19" s="1293"/>
      <c r="BH19" s="1293"/>
      <c r="BI19" s="1293"/>
      <c r="BJ19" s="1293"/>
      <c r="BK19" s="1293"/>
      <c r="BL19" s="1293"/>
      <c r="BM19" s="1293"/>
      <c r="BN19" s="1293"/>
      <c r="BO19" s="1293"/>
      <c r="BP19" s="1293"/>
      <c r="BQ19" s="1293"/>
      <c r="BR19" s="1293"/>
      <c r="BS19" s="1293"/>
      <c r="BT19" s="1293"/>
      <c r="BU19" s="1293"/>
      <c r="BV19" s="1293"/>
      <c r="BW19" s="1293"/>
      <c r="BX19" s="1293"/>
      <c r="BY19" s="1293"/>
      <c r="BZ19" s="1293"/>
      <c r="CA19" s="1293"/>
      <c r="CB19" s="1293"/>
      <c r="CC19" s="1293"/>
      <c r="CD19" s="1293"/>
      <c r="CE19" s="1293"/>
      <c r="CF19" s="1293"/>
      <c r="CG19" s="1293"/>
    </row>
    <row r="20" spans="1:85" ht="15.75">
      <c r="A20" s="1293"/>
      <c r="B20" s="1293"/>
      <c r="C20" s="1293" t="str">
        <f>'New (new) quarts'!B16</f>
        <v>Colombia</v>
      </c>
      <c r="D20" s="2490">
        <f>'New (new) quarts'!G16</f>
        <v>1671.0528183733481</v>
      </c>
      <c r="E20" s="2490">
        <f>'New (new) quarts'!L16</f>
        <v>1981.8017777506279</v>
      </c>
      <c r="F20" s="2490">
        <f>'New (new) quarts'!Q16</f>
        <v>1716.056388171447</v>
      </c>
      <c r="G20" s="2490">
        <f>'New (new) quarts'!V16</f>
        <v>1739</v>
      </c>
      <c r="H20" s="2490">
        <f>'New (new) quarts'!AA16</f>
        <v>1661</v>
      </c>
      <c r="I20" s="2490">
        <f>'New (new) quarts'!AJ16</f>
        <v>1532</v>
      </c>
      <c r="J20" s="2490">
        <f>'New (new) quarts'!AO16</f>
        <v>1345</v>
      </c>
      <c r="K20" s="2490">
        <f>'New (new) quarts'!AT16</f>
        <v>1413</v>
      </c>
      <c r="L20" s="2490">
        <f>'New (new) quarts'!AY16</f>
        <v>1335.8400000000001</v>
      </c>
      <c r="M20" s="2490">
        <f>'New (new) quarts'!BD16</f>
        <v>1313.3579999999999</v>
      </c>
      <c r="N20" s="2490">
        <f>'New (new) quarts'!BI16</f>
        <v>1380.0451000000003</v>
      </c>
      <c r="O20" s="1327">
        <f t="shared" ref="O20:T21" si="26">O169*1000/O130</f>
        <v>1383.2869383277109</v>
      </c>
      <c r="P20" s="1327">
        <f t="shared" si="26"/>
        <v>1389.8862059865814</v>
      </c>
      <c r="Q20" s="1327">
        <f t="shared" si="26"/>
        <v>1403.1494400068614</v>
      </c>
      <c r="R20" s="1327">
        <f t="shared" si="26"/>
        <v>1423.2393385964021</v>
      </c>
      <c r="S20" s="1327">
        <f t="shared" si="26"/>
        <v>1436.8295641128566</v>
      </c>
      <c r="T20" s="1327">
        <f t="shared" si="26"/>
        <v>1443.6912956236149</v>
      </c>
      <c r="U20" s="1293"/>
      <c r="V20" s="1293"/>
      <c r="W20" s="1293"/>
      <c r="X20" s="1293"/>
      <c r="Y20" s="1293"/>
      <c r="Z20" s="1293"/>
      <c r="AA20" s="1293"/>
      <c r="AB20" s="1699">
        <f>'Full div'!H153</f>
        <v>593</v>
      </c>
      <c r="AC20" s="1699">
        <f>'Full div'!I153</f>
        <v>649</v>
      </c>
      <c r="AD20" s="1699">
        <f>'Full div'!J153</f>
        <v>784</v>
      </c>
      <c r="AE20" s="1699">
        <f t="shared" ref="AE20:AK20" si="27">D20*0.5</f>
        <v>835.52640918667407</v>
      </c>
      <c r="AF20" s="1699">
        <f t="shared" si="27"/>
        <v>990.90088887531397</v>
      </c>
      <c r="AG20" s="1699">
        <f t="shared" si="27"/>
        <v>858.0281940857235</v>
      </c>
      <c r="AH20" s="1699">
        <f t="shared" si="27"/>
        <v>869.5</v>
      </c>
      <c r="AI20" s="1699">
        <f t="shared" si="27"/>
        <v>830.5</v>
      </c>
      <c r="AJ20" s="1699">
        <f t="shared" si="27"/>
        <v>766</v>
      </c>
      <c r="AK20" s="1699">
        <f t="shared" si="27"/>
        <v>672.5</v>
      </c>
      <c r="AL20" s="1293"/>
      <c r="AM20" s="1293" t="str">
        <f>C20</f>
        <v>Colombia</v>
      </c>
      <c r="AN20" s="1724">
        <f t="shared" si="25"/>
        <v>0.20225723163398604</v>
      </c>
      <c r="AO20" s="1724">
        <f t="shared" si="25"/>
        <v>0.20448351371362855</v>
      </c>
      <c r="AP20" s="1724">
        <f t="shared" si="25"/>
        <v>0.23292640535730733</v>
      </c>
      <c r="AQ20" s="1724">
        <f t="shared" si="25"/>
        <v>0.2209618931656899</v>
      </c>
      <c r="AR20" s="1724">
        <f t="shared" si="25"/>
        <v>0.25096862042039692</v>
      </c>
      <c r="AS20" s="1724">
        <f t="shared" si="25"/>
        <v>0.23089753543662145</v>
      </c>
      <c r="AT20" s="1724">
        <f t="shared" si="25"/>
        <v>0.22988657695053274</v>
      </c>
      <c r="AU20" s="1724">
        <f t="shared" si="25"/>
        <v>0.21603581434186464</v>
      </c>
      <c r="AV20" s="1724">
        <f t="shared" si="25"/>
        <v>0.17933944086363882</v>
      </c>
      <c r="AW20" s="1724">
        <f>AK20/AK$24</f>
        <v>0.15513299915340059</v>
      </c>
      <c r="AX20" s="1293"/>
      <c r="AY20" s="1293"/>
      <c r="AZ20" s="1293"/>
      <c r="BA20" s="1293"/>
      <c r="BB20" s="1293"/>
      <c r="BC20" s="1293"/>
      <c r="BD20" s="1293"/>
      <c r="BE20" s="1293"/>
      <c r="BF20" s="1293"/>
      <c r="BG20" s="1293"/>
      <c r="BH20" s="1293"/>
      <c r="BI20" s="1293"/>
      <c r="BJ20" s="1293"/>
      <c r="BK20" s="1293"/>
      <c r="BL20" s="1293"/>
      <c r="BM20" s="1293"/>
      <c r="BN20" s="1293"/>
      <c r="BO20" s="1293"/>
      <c r="BP20" s="1293"/>
      <c r="BQ20" s="1293"/>
      <c r="BR20" s="1293"/>
      <c r="BS20" s="1293"/>
      <c r="BT20" s="1293"/>
      <c r="BU20" s="1293"/>
      <c r="BV20" s="1293"/>
      <c r="BW20" s="1293"/>
      <c r="BX20" s="1293"/>
      <c r="BY20" s="1293"/>
      <c r="BZ20" s="1293"/>
      <c r="CA20" s="1293"/>
      <c r="CB20" s="1293"/>
      <c r="CC20" s="1293"/>
      <c r="CD20" s="1293"/>
      <c r="CE20" s="1293"/>
      <c r="CF20" s="1293"/>
      <c r="CG20" s="1293"/>
    </row>
    <row r="21" spans="1:85" ht="15.75">
      <c r="A21" s="1293"/>
      <c r="B21" s="1293"/>
      <c r="C21" s="1293" t="str">
        <f>'New (new) quarts'!B17</f>
        <v>Paraguay</v>
      </c>
      <c r="D21" s="2490">
        <f>'New (new) quarts'!G17</f>
        <v>766.78426127032003</v>
      </c>
      <c r="E21" s="2490">
        <f>'New (new) quarts'!L17</f>
        <v>672.98598354822798</v>
      </c>
      <c r="F21" s="2490">
        <f>'New (new) quarts'!Q17</f>
        <v>623.06346886763799</v>
      </c>
      <c r="G21" s="2490">
        <f>'New (new) quarts'!V17</f>
        <v>663</v>
      </c>
      <c r="H21" s="2490">
        <f>'New (new) quarts'!AA17</f>
        <v>679</v>
      </c>
      <c r="I21" s="2490">
        <f>'New (new) quarts'!AJ17</f>
        <v>605</v>
      </c>
      <c r="J21" s="2490">
        <f>'New (new) quarts'!AO17</f>
        <v>544</v>
      </c>
      <c r="K21" s="2490">
        <f>'New (new) quarts'!AT17</f>
        <v>554</v>
      </c>
      <c r="L21" s="2490">
        <f>'New (new) quarts'!AY17</f>
        <v>556.63</v>
      </c>
      <c r="M21" s="2490">
        <f>'New (new) quarts'!BD17</f>
        <v>568.44500000000005</v>
      </c>
      <c r="N21" s="2490">
        <f>'New (new) quarts'!BI17</f>
        <v>558.51189999999997</v>
      </c>
      <c r="O21" s="1327">
        <f t="shared" si="26"/>
        <v>545.5556625353164</v>
      </c>
      <c r="P21" s="1327">
        <f t="shared" si="26"/>
        <v>550.73161190240512</v>
      </c>
      <c r="Q21" s="1327">
        <f t="shared" si="26"/>
        <v>558.57165285549502</v>
      </c>
      <c r="R21" s="1327">
        <f t="shared" si="26"/>
        <v>566.52698852848346</v>
      </c>
      <c r="S21" s="1327">
        <f t="shared" si="26"/>
        <v>571.90853913079934</v>
      </c>
      <c r="T21" s="1327">
        <f t="shared" si="26"/>
        <v>574.62569458196845</v>
      </c>
      <c r="U21" s="1293"/>
      <c r="V21" s="1293"/>
      <c r="W21" s="1293"/>
      <c r="X21" s="1293"/>
      <c r="Y21" s="1293"/>
      <c r="Z21" s="1293"/>
      <c r="AA21" s="1293"/>
      <c r="AB21" s="1699">
        <f>'Full div'!H154</f>
        <v>378</v>
      </c>
      <c r="AC21" s="1699">
        <f>'Full div'!I154</f>
        <v>424.5</v>
      </c>
      <c r="AD21" s="1699">
        <f>'Full div'!J154</f>
        <v>484.5</v>
      </c>
      <c r="AE21" s="1699">
        <f t="shared" ref="AE21:AK21" si="28">D21</f>
        <v>766.78426127032003</v>
      </c>
      <c r="AF21" s="1699">
        <f t="shared" si="28"/>
        <v>672.98598354822798</v>
      </c>
      <c r="AG21" s="1699">
        <f t="shared" si="28"/>
        <v>623.06346886763799</v>
      </c>
      <c r="AH21" s="1699">
        <f t="shared" si="28"/>
        <v>663</v>
      </c>
      <c r="AI21" s="1699">
        <f t="shared" si="28"/>
        <v>679</v>
      </c>
      <c r="AJ21" s="1699">
        <f t="shared" si="28"/>
        <v>605</v>
      </c>
      <c r="AK21" s="1699">
        <f t="shared" si="28"/>
        <v>544</v>
      </c>
      <c r="AL21" s="1293"/>
      <c r="AM21" s="1293" t="str">
        <f>C21</f>
        <v>Paraguay</v>
      </c>
      <c r="AN21" s="1724">
        <f t="shared" si="25"/>
        <v>0.12892619486955603</v>
      </c>
      <c r="AO21" s="1724">
        <f t="shared" si="25"/>
        <v>0.13374923200529326</v>
      </c>
      <c r="AP21" s="1724">
        <f t="shared" si="25"/>
        <v>0.14394495331073393</v>
      </c>
      <c r="AQ21" s="1724">
        <f t="shared" si="25"/>
        <v>0.20278246163980998</v>
      </c>
      <c r="AR21" s="1724">
        <f t="shared" si="25"/>
        <v>0.17044930098414249</v>
      </c>
      <c r="AS21" s="1724">
        <f t="shared" si="25"/>
        <v>0.16766793955462569</v>
      </c>
      <c r="AT21" s="1724">
        <f t="shared" si="25"/>
        <v>0.17529016735848557</v>
      </c>
      <c r="AU21" s="1724">
        <f t="shared" si="25"/>
        <v>0.17662651166541371</v>
      </c>
      <c r="AV21" s="1724">
        <f t="shared" si="25"/>
        <v>0.14164538083877479</v>
      </c>
      <c r="AW21" s="1724">
        <f>AK21/AK$24</f>
        <v>0.12549048556052034</v>
      </c>
      <c r="AX21" s="1293"/>
      <c r="AY21" s="1293"/>
      <c r="AZ21" s="1293"/>
      <c r="BA21" s="1293"/>
      <c r="BB21" s="1293"/>
      <c r="BC21" s="1293"/>
      <c r="BD21" s="1293"/>
      <c r="BE21" s="1293"/>
      <c r="BF21" s="1293"/>
      <c r="BG21" s="1293"/>
      <c r="BH21" s="1293"/>
      <c r="BI21" s="1293"/>
      <c r="BJ21" s="1293"/>
      <c r="BK21" s="1293"/>
      <c r="BL21" s="1293"/>
      <c r="BM21" s="1293"/>
      <c r="BN21" s="1293"/>
      <c r="BO21" s="1293"/>
      <c r="BP21" s="1293"/>
      <c r="BQ21" s="1293"/>
      <c r="BR21" s="1293"/>
      <c r="BS21" s="1293"/>
      <c r="BT21" s="1293"/>
      <c r="BU21" s="1293"/>
      <c r="BV21" s="1293"/>
      <c r="BW21" s="1293"/>
      <c r="BX21" s="1293"/>
      <c r="BY21" s="1293"/>
      <c r="BZ21" s="1293"/>
      <c r="CA21" s="1293"/>
      <c r="CB21" s="1293"/>
      <c r="CC21" s="1293"/>
      <c r="CD21" s="1293"/>
      <c r="CE21" s="1293"/>
      <c r="CF21" s="1293"/>
      <c r="CG21" s="1293"/>
    </row>
    <row r="22" spans="1:85" ht="15.75">
      <c r="A22" s="1293"/>
      <c r="B22" s="1293"/>
      <c r="C22" s="1331" t="str">
        <f>'New (new) quarts'!B18</f>
        <v>Others/check</v>
      </c>
      <c r="D22" s="2491">
        <f>'New (new) quarts'!G18</f>
        <v>2.4122073227772489E-9</v>
      </c>
      <c r="E22" s="2491">
        <f>'New (new) quarts'!L18</f>
        <v>9.4931419880595058E-6</v>
      </c>
      <c r="F22" s="2491">
        <f>'New (new) quarts'!Q18</f>
        <v>2.3211157440528041E-9</v>
      </c>
      <c r="G22" s="2491">
        <f>'New (new) quarts'!V18</f>
        <v>0</v>
      </c>
      <c r="H22" s="2491">
        <f>'New (new) quarts'!AA18</f>
        <v>0</v>
      </c>
      <c r="I22" s="2491">
        <f>'New (new) quarts'!AJ18</f>
        <v>0</v>
      </c>
      <c r="J22" s="2491">
        <f>'New (new) quarts'!AO18</f>
        <v>0</v>
      </c>
      <c r="K22" s="2491">
        <f>'New (new) quarts'!AT18</f>
        <v>0</v>
      </c>
      <c r="L22" s="2491">
        <f>'New (new) quarts'!AY18</f>
        <v>0</v>
      </c>
      <c r="M22" s="2491">
        <f>'New (new) quarts'!BD18</f>
        <v>0</v>
      </c>
      <c r="N22" s="2491">
        <f>'New (new) quarts'!BI18</f>
        <v>0</v>
      </c>
      <c r="O22" s="1992">
        <v>0</v>
      </c>
      <c r="P22" s="1992">
        <v>0</v>
      </c>
      <c r="Q22" s="1992">
        <v>0</v>
      </c>
      <c r="R22" s="1992">
        <v>0</v>
      </c>
      <c r="S22" s="1992">
        <v>0</v>
      </c>
      <c r="T22" s="1992">
        <v>0</v>
      </c>
      <c r="U22" s="1293"/>
      <c r="V22" s="1293"/>
      <c r="W22" s="1293"/>
      <c r="X22" s="1293"/>
      <c r="Y22" s="1293"/>
      <c r="Z22" s="1293"/>
      <c r="AA22" s="1293"/>
      <c r="AB22" s="1331">
        <v>0</v>
      </c>
      <c r="AC22" s="1331">
        <v>0</v>
      </c>
      <c r="AD22" s="1331">
        <v>0</v>
      </c>
      <c r="AE22" s="1331">
        <v>0</v>
      </c>
      <c r="AF22" s="1331">
        <v>0</v>
      </c>
      <c r="AG22" s="1331">
        <v>0</v>
      </c>
      <c r="AH22" s="1331">
        <v>0</v>
      </c>
      <c r="AI22" s="1331">
        <v>0</v>
      </c>
      <c r="AJ22" s="1331">
        <v>0</v>
      </c>
      <c r="AK22" s="1331">
        <v>0</v>
      </c>
      <c r="AL22" s="1293"/>
      <c r="AM22" s="1293"/>
      <c r="AN22" s="1882"/>
      <c r="AO22" s="1882"/>
      <c r="AP22" s="1882"/>
      <c r="AQ22" s="1882"/>
      <c r="AR22" s="1882"/>
      <c r="AS22" s="1882"/>
      <c r="AT22" s="1882"/>
      <c r="AU22" s="1882"/>
      <c r="AV22" s="1882"/>
      <c r="AW22" s="1882"/>
      <c r="AX22" s="1293"/>
      <c r="AY22" s="1293"/>
      <c r="AZ22" s="1293"/>
      <c r="BA22" s="1293"/>
      <c r="BB22" s="1293"/>
      <c r="BC22" s="1293"/>
      <c r="BD22" s="1293"/>
      <c r="BE22" s="1293"/>
      <c r="BF22" s="1293"/>
      <c r="BG22" s="1293"/>
      <c r="BH22" s="1293"/>
      <c r="BI22" s="1293"/>
      <c r="BJ22" s="1293"/>
      <c r="BK22" s="1293"/>
      <c r="BL22" s="1293"/>
      <c r="BM22" s="1293"/>
      <c r="BN22" s="1293"/>
      <c r="BO22" s="1293"/>
      <c r="BP22" s="1293"/>
      <c r="BQ22" s="1293"/>
      <c r="BR22" s="1293"/>
      <c r="BS22" s="1293"/>
      <c r="BT22" s="1293"/>
      <c r="BU22" s="1293"/>
      <c r="BV22" s="1293"/>
      <c r="BW22" s="1293"/>
      <c r="BX22" s="1293"/>
      <c r="BY22" s="1293"/>
      <c r="BZ22" s="1293"/>
      <c r="CA22" s="1293"/>
      <c r="CB22" s="1293"/>
      <c r="CC22" s="1293"/>
      <c r="CD22" s="1293"/>
      <c r="CE22" s="1293"/>
      <c r="CF22" s="1293"/>
      <c r="CG22" s="1293"/>
    </row>
    <row r="23" spans="1:85" ht="15.75">
      <c r="A23" s="1293"/>
      <c r="B23" s="1293"/>
      <c r="C23" s="1293" t="str">
        <f>'New (new) quarts'!B19</f>
        <v>South America</v>
      </c>
      <c r="D23" s="1327">
        <f t="shared" ref="D23:I23" si="29">SUM(D19:D22)</f>
        <v>2926.0257205795097</v>
      </c>
      <c r="E23" s="1327">
        <f t="shared" si="29"/>
        <v>3185.4534438064697</v>
      </c>
      <c r="F23" s="1327">
        <f t="shared" si="29"/>
        <v>2880.6929826318556</v>
      </c>
      <c r="G23" s="1327">
        <f t="shared" si="29"/>
        <v>2958</v>
      </c>
      <c r="H23" s="1327">
        <f t="shared" si="29"/>
        <v>2954</v>
      </c>
      <c r="I23" s="1327">
        <f t="shared" si="29"/>
        <v>2776</v>
      </c>
      <c r="J23" s="1327">
        <f>SUM(J19:J22)</f>
        <v>2473</v>
      </c>
      <c r="K23" s="1327">
        <f>SUM(K19:K22)</f>
        <v>2591</v>
      </c>
      <c r="L23" s="1327">
        <f>SUM(L19:L22)</f>
        <v>2513.8000000000002</v>
      </c>
      <c r="M23" s="1327">
        <f>SUM(M19:M22)</f>
        <v>2494.672</v>
      </c>
      <c r="N23" s="1327">
        <f>SUM(N19:N22)</f>
        <v>2552.0713000000005</v>
      </c>
      <c r="O23" s="1327">
        <f t="shared" ref="O23:T23" si="30">SUM(O19:O22)</f>
        <v>2175.8908187487418</v>
      </c>
      <c r="P23" s="1327">
        <f t="shared" si="30"/>
        <v>2193.2187087038437</v>
      </c>
      <c r="Q23" s="1327">
        <f t="shared" si="30"/>
        <v>2220.6249455220823</v>
      </c>
      <c r="R23" s="1327">
        <f t="shared" si="30"/>
        <v>2255.1304744670915</v>
      </c>
      <c r="S23" s="1327">
        <f t="shared" si="30"/>
        <v>2279.4095335327061</v>
      </c>
      <c r="T23" s="1327">
        <f t="shared" si="30"/>
        <v>2294.4018491004144</v>
      </c>
      <c r="U23" s="1293"/>
      <c r="V23" s="1293"/>
      <c r="W23" s="1293"/>
      <c r="X23" s="1293"/>
      <c r="Y23" s="1293"/>
      <c r="Z23" s="1293"/>
      <c r="AA23" s="1293"/>
      <c r="AB23" s="1699">
        <f t="shared" ref="AB23:AH23" si="31">SUM(AB19:AB22)</f>
        <v>1328</v>
      </c>
      <c r="AC23" s="1699">
        <f t="shared" si="31"/>
        <v>1502.5</v>
      </c>
      <c r="AD23" s="1699">
        <f t="shared" si="31"/>
        <v>1706.5</v>
      </c>
      <c r="AE23" s="1699">
        <f t="shared" si="31"/>
        <v>2090.4993113904238</v>
      </c>
      <c r="AF23" s="1699">
        <f t="shared" si="31"/>
        <v>2194.552545438014</v>
      </c>
      <c r="AG23" s="1699">
        <f t="shared" si="31"/>
        <v>2022.6647885438106</v>
      </c>
      <c r="AH23" s="1699">
        <f t="shared" si="31"/>
        <v>2088.5</v>
      </c>
      <c r="AI23" s="1699">
        <f>SUM(AI19:AI22)</f>
        <v>2123.5</v>
      </c>
      <c r="AJ23" s="1699">
        <f>SUM(AJ19:AJ22)</f>
        <v>2010</v>
      </c>
      <c r="AK23" s="1699">
        <f>SUM(AK19:AK22)</f>
        <v>1800.5</v>
      </c>
      <c r="AL23" s="1293"/>
      <c r="AM23" s="1293" t="str">
        <f>C23</f>
        <v>South America</v>
      </c>
      <c r="AN23" s="1724">
        <f t="shared" ref="AN23:AV23" si="32">AB23/AB$24</f>
        <v>0.4529470549914561</v>
      </c>
      <c r="AO23" s="1724">
        <f t="shared" si="32"/>
        <v>0.47339981410589665</v>
      </c>
      <c r="AP23" s="1724">
        <f t="shared" si="32"/>
        <v>0.50700116166102671</v>
      </c>
      <c r="AQ23" s="1724">
        <f t="shared" si="32"/>
        <v>0.55284989250794159</v>
      </c>
      <c r="AR23" s="1724">
        <f t="shared" si="32"/>
        <v>0.55582130458453138</v>
      </c>
      <c r="AS23" s="1724">
        <f t="shared" si="32"/>
        <v>0.54430415912713148</v>
      </c>
      <c r="AT23" s="1724">
        <f t="shared" si="32"/>
        <v>0.55217724664886447</v>
      </c>
      <c r="AU23" s="1724">
        <f t="shared" si="32"/>
        <v>0.55238055599632696</v>
      </c>
      <c r="AV23" s="1724">
        <f t="shared" si="32"/>
        <v>0.47059043881973112</v>
      </c>
      <c r="AW23" s="1724">
        <f>AK23/AK$24</f>
        <v>0.41534121185977363</v>
      </c>
      <c r="AX23" s="1293"/>
      <c r="AY23" s="1293"/>
      <c r="AZ23" s="1293"/>
      <c r="BA23" s="1293"/>
      <c r="BB23" s="1293"/>
      <c r="BC23" s="1293"/>
      <c r="BD23" s="1293"/>
      <c r="BE23" s="1293"/>
      <c r="BF23" s="1293"/>
      <c r="BG23" s="1293"/>
      <c r="BH23" s="1293"/>
      <c r="BI23" s="1293"/>
      <c r="BJ23" s="1293"/>
      <c r="BK23" s="1293"/>
      <c r="BL23" s="1293"/>
      <c r="BM23" s="1293"/>
      <c r="BN23" s="1293"/>
      <c r="BO23" s="1293"/>
      <c r="BP23" s="1293"/>
      <c r="BQ23" s="1293"/>
      <c r="BR23" s="1293"/>
      <c r="BS23" s="1293"/>
      <c r="BT23" s="1293"/>
      <c r="BU23" s="1293"/>
      <c r="BV23" s="1293"/>
      <c r="BW23" s="1293"/>
      <c r="BX23" s="1293"/>
      <c r="BY23" s="1293"/>
      <c r="BZ23" s="1293"/>
      <c r="CA23" s="1293"/>
      <c r="CB23" s="1293"/>
      <c r="CC23" s="1293"/>
      <c r="CD23" s="1293"/>
      <c r="CE23" s="1293"/>
      <c r="CF23" s="1293"/>
      <c r="CG23" s="1293"/>
    </row>
    <row r="24" spans="1:85" ht="15.75">
      <c r="A24" s="1293"/>
      <c r="B24" s="1293"/>
      <c r="C24" s="1293"/>
      <c r="D24" s="1699"/>
      <c r="E24" s="1699"/>
      <c r="F24" s="1699"/>
      <c r="G24" s="1699"/>
      <c r="H24" s="1699"/>
      <c r="I24" s="1293"/>
      <c r="J24" s="1293"/>
      <c r="K24" s="1293"/>
      <c r="L24" s="1293"/>
      <c r="M24" s="1293"/>
      <c r="N24" s="1724"/>
      <c r="O24" s="1293"/>
      <c r="P24" s="1293"/>
      <c r="Q24" s="1293"/>
      <c r="R24" s="1293"/>
      <c r="S24" s="1293"/>
      <c r="T24" s="1293"/>
      <c r="U24" s="1293"/>
      <c r="V24" s="1293"/>
      <c r="W24" s="1293"/>
      <c r="X24" s="1293"/>
      <c r="Y24" s="1293"/>
      <c r="Z24" s="1293"/>
      <c r="AA24" s="1293"/>
      <c r="AB24" s="1699">
        <f t="shared" ref="AB24:AK24" si="33">AB16+AB23</f>
        <v>2931.91</v>
      </c>
      <c r="AC24" s="1699">
        <f t="shared" si="33"/>
        <v>3173.85</v>
      </c>
      <c r="AD24" s="1699">
        <f t="shared" si="33"/>
        <v>3365.87</v>
      </c>
      <c r="AE24" s="1699">
        <f t="shared" si="33"/>
        <v>3781.3144937174684</v>
      </c>
      <c r="AF24" s="1699">
        <f t="shared" si="33"/>
        <v>3948.3059165542622</v>
      </c>
      <c r="AG24" s="1699">
        <f t="shared" si="33"/>
        <v>3716.0560958921183</v>
      </c>
      <c r="AH24" s="1699">
        <f t="shared" si="33"/>
        <v>3782.3</v>
      </c>
      <c r="AI24" s="1699">
        <f t="shared" si="33"/>
        <v>3844.27</v>
      </c>
      <c r="AJ24" s="1699">
        <f t="shared" si="33"/>
        <v>4271.2299999999996</v>
      </c>
      <c r="AK24" s="1699">
        <f t="shared" si="33"/>
        <v>4334.99</v>
      </c>
      <c r="AL24" s="1293"/>
      <c r="AM24" s="1293"/>
      <c r="AN24" s="1293"/>
      <c r="AO24" s="1293"/>
      <c r="AP24" s="1293"/>
      <c r="AQ24" s="1293"/>
      <c r="AR24" s="1293"/>
      <c r="AS24" s="1293"/>
      <c r="AT24" s="1293"/>
      <c r="AU24" s="1293"/>
      <c r="AV24" s="1293"/>
      <c r="AW24" s="1293"/>
      <c r="AX24" s="1293"/>
      <c r="AY24" s="1293"/>
      <c r="AZ24" s="1293"/>
      <c r="BA24" s="1293"/>
      <c r="BB24" s="1293"/>
      <c r="BC24" s="1293"/>
      <c r="BD24" s="1293"/>
      <c r="BE24" s="1293"/>
      <c r="BF24" s="1293"/>
      <c r="BG24" s="1293"/>
      <c r="BH24" s="1293"/>
      <c r="BI24" s="1293"/>
      <c r="BJ24" s="1293"/>
      <c r="BK24" s="1293"/>
      <c r="BL24" s="1293"/>
      <c r="BM24" s="1293"/>
      <c r="BN24" s="1293"/>
      <c r="BO24" s="1293"/>
      <c r="BP24" s="1293"/>
      <c r="BQ24" s="1293"/>
      <c r="BR24" s="1293"/>
      <c r="BS24" s="1293"/>
      <c r="BT24" s="1293"/>
      <c r="BU24" s="1293"/>
      <c r="BV24" s="1293"/>
      <c r="BW24" s="1293"/>
      <c r="BX24" s="1293"/>
      <c r="BY24" s="1293"/>
      <c r="BZ24" s="1293"/>
      <c r="CA24" s="1293"/>
      <c r="CB24" s="1293"/>
      <c r="CC24" s="1293"/>
      <c r="CD24" s="1293"/>
      <c r="CE24" s="1293"/>
      <c r="CF24" s="1293"/>
      <c r="CG24" s="1293"/>
    </row>
    <row r="25" spans="1:85" ht="15.75" hidden="1" outlineLevel="1">
      <c r="A25" s="1293"/>
      <c r="B25" s="1293"/>
      <c r="C25" s="1293" t="str">
        <f>'New (new) quarts'!B23</f>
        <v>Chad</v>
      </c>
      <c r="D25" s="1699">
        <f ca="1">'New (new) quarts'!G23</f>
        <v>180</v>
      </c>
      <c r="E25" s="1699">
        <f>'New (new) quarts'!L23</f>
        <v>152.28571428571428</v>
      </c>
      <c r="F25" s="1699">
        <f ca="1">'New (new) quarts'!Q23</f>
        <v>160.59900995514153</v>
      </c>
      <c r="G25" s="1699">
        <f ca="1">'New (new) quarts'!V23</f>
        <v>147.92783147693837</v>
      </c>
      <c r="H25" s="1699">
        <f ca="1">'New (new) quarts'!AA23</f>
        <v>155.01671276442835</v>
      </c>
      <c r="I25" s="1699"/>
      <c r="J25" s="1699"/>
      <c r="K25" s="1699"/>
      <c r="L25" s="1699"/>
      <c r="M25" s="1699"/>
      <c r="N25" s="1699"/>
      <c r="O25" s="1699"/>
      <c r="P25" s="1699"/>
      <c r="Q25" s="1699"/>
      <c r="R25" s="1699"/>
      <c r="S25" s="1699"/>
      <c r="T25" s="1699"/>
      <c r="U25" s="1293"/>
      <c r="V25" s="1293"/>
      <c r="W25" s="1293"/>
      <c r="X25" s="1293"/>
      <c r="Y25" s="1293"/>
      <c r="Z25" s="1293"/>
      <c r="AA25" s="1293"/>
      <c r="AB25" s="1293"/>
      <c r="AC25" s="1293"/>
      <c r="AD25" s="1293"/>
      <c r="AE25" s="1293"/>
      <c r="AF25" s="1293"/>
      <c r="AG25" s="1293"/>
      <c r="AH25" s="1293"/>
      <c r="AI25" s="1293"/>
      <c r="AJ25" s="1293"/>
      <c r="AK25" s="1293"/>
      <c r="AL25" s="1293"/>
      <c r="AM25" s="1293"/>
      <c r="AN25" s="1293"/>
      <c r="AO25" s="1293"/>
      <c r="AP25" s="1293"/>
      <c r="AQ25" s="1293"/>
      <c r="AR25" s="1293"/>
      <c r="AS25" s="1293"/>
      <c r="AT25" s="1293"/>
      <c r="AU25" s="1293"/>
      <c r="AV25" s="1293"/>
      <c r="AW25" s="1293"/>
      <c r="AX25" s="1293"/>
      <c r="AY25" s="1293"/>
      <c r="AZ25" s="1293"/>
      <c r="BA25" s="1293"/>
      <c r="BB25" s="1293"/>
      <c r="BC25" s="1293"/>
      <c r="BD25" s="1293"/>
      <c r="BE25" s="1293"/>
      <c r="BF25" s="1293"/>
      <c r="BG25" s="1293"/>
      <c r="BH25" s="1293"/>
      <c r="BI25" s="1293"/>
      <c r="BJ25" s="1293"/>
      <c r="BK25" s="1293"/>
      <c r="BL25" s="1293"/>
      <c r="BM25" s="1293"/>
      <c r="BN25" s="1293"/>
      <c r="BO25" s="1293"/>
      <c r="BP25" s="1293"/>
      <c r="BQ25" s="1293"/>
      <c r="BR25" s="1293"/>
      <c r="BS25" s="1293"/>
      <c r="BT25" s="1293"/>
      <c r="BU25" s="1293"/>
      <c r="BV25" s="1293"/>
      <c r="BW25" s="1293"/>
      <c r="BX25" s="1293"/>
      <c r="BY25" s="1293"/>
      <c r="BZ25" s="1293"/>
      <c r="CA25" s="1293"/>
      <c r="CB25" s="1293"/>
      <c r="CC25" s="1293"/>
      <c r="CD25" s="1293"/>
      <c r="CE25" s="1293"/>
      <c r="CF25" s="1293"/>
      <c r="CG25" s="1293"/>
    </row>
    <row r="26" spans="1:85" ht="15.75" hidden="1" outlineLevel="1">
      <c r="A26" s="1293"/>
      <c r="B26" s="1293"/>
      <c r="C26" s="1293" t="str">
        <f>'New (new) quarts'!B24</f>
        <v>DRC</v>
      </c>
      <c r="D26" s="1699">
        <f>'New (new) quarts'!G24</f>
        <v>127.55939280239949</v>
      </c>
      <c r="E26" s="1699">
        <f>'New (new) quarts'!L24</f>
        <v>151.17681667701501</v>
      </c>
      <c r="F26" s="1699"/>
      <c r="G26" s="1699"/>
      <c r="H26" s="1699"/>
      <c r="I26" s="1699"/>
      <c r="J26" s="1699"/>
      <c r="K26" s="1699"/>
      <c r="L26" s="1699"/>
      <c r="M26" s="1699"/>
      <c r="N26" s="1699"/>
      <c r="O26" s="1699"/>
      <c r="P26" s="1699"/>
      <c r="Q26" s="1699"/>
      <c r="R26" s="1699"/>
      <c r="S26" s="1699"/>
      <c r="T26" s="1699"/>
      <c r="U26" s="1293"/>
      <c r="V26" s="1293"/>
      <c r="W26" s="1293"/>
      <c r="X26" s="1293"/>
      <c r="Y26" s="1293"/>
      <c r="Z26" s="1293"/>
      <c r="AA26" s="1293"/>
      <c r="AB26" s="1293"/>
      <c r="AC26" s="1293"/>
      <c r="AD26" s="1293"/>
      <c r="AE26" s="1293"/>
      <c r="AF26" s="1293"/>
      <c r="AG26" s="1293"/>
      <c r="AH26" s="1293"/>
      <c r="AI26" s="1293"/>
      <c r="AJ26" s="1293"/>
      <c r="AK26" s="1293"/>
      <c r="AL26" s="1293"/>
      <c r="AM26" s="1293"/>
      <c r="AN26" s="1293"/>
      <c r="AO26" s="1293"/>
      <c r="AP26" s="1293"/>
      <c r="AQ26" s="1293"/>
      <c r="AR26" s="1293"/>
      <c r="AS26" s="1293"/>
      <c r="AT26" s="1293"/>
      <c r="AU26" s="1293"/>
      <c r="AV26" s="1293"/>
      <c r="AW26" s="1293"/>
      <c r="AX26" s="1293"/>
      <c r="AY26" s="1293"/>
      <c r="AZ26" s="1293"/>
      <c r="BA26" s="1293"/>
      <c r="BB26" s="1293"/>
      <c r="BC26" s="1293"/>
      <c r="BD26" s="1293"/>
      <c r="BE26" s="1293"/>
      <c r="BF26" s="1293"/>
      <c r="BG26" s="1293"/>
      <c r="BH26" s="1293"/>
      <c r="BI26" s="1293"/>
      <c r="BJ26" s="1293"/>
      <c r="BK26" s="1293"/>
      <c r="BL26" s="1293"/>
      <c r="BM26" s="1293"/>
      <c r="BN26" s="1293"/>
      <c r="BO26" s="1293"/>
      <c r="BP26" s="1293"/>
      <c r="BQ26" s="1293"/>
      <c r="BR26" s="1293"/>
      <c r="BS26" s="1293"/>
      <c r="BT26" s="1293"/>
      <c r="BU26" s="1293"/>
      <c r="BV26" s="1293"/>
      <c r="BW26" s="1293"/>
      <c r="BX26" s="1293"/>
      <c r="BY26" s="1293"/>
      <c r="BZ26" s="1293"/>
      <c r="CA26" s="1293"/>
      <c r="CB26" s="1293"/>
      <c r="CC26" s="1293"/>
      <c r="CD26" s="1293"/>
      <c r="CE26" s="1293"/>
      <c r="CF26" s="1293"/>
      <c r="CG26" s="1293"/>
    </row>
    <row r="27" spans="1:85" ht="15.75" hidden="1" outlineLevel="1">
      <c r="A27" s="1293"/>
      <c r="B27" s="1293"/>
      <c r="C27" s="1293" t="str">
        <f>'New (new) quarts'!B25</f>
        <v>Ghana</v>
      </c>
      <c r="D27" s="1699">
        <f>'New (new) quarts'!G25</f>
        <v>146</v>
      </c>
      <c r="E27" s="1699">
        <f>'New (new) quarts'!L25</f>
        <v>139.22824284744019</v>
      </c>
      <c r="F27" s="1699">
        <f>'New (new) quarts'!Q25</f>
        <v>158.08310753025432</v>
      </c>
      <c r="G27" s="1699">
        <f>'New (new) quarts'!R25+'New (new) quarts'!S25</f>
        <v>70.980034129255984</v>
      </c>
      <c r="H27" s="1699"/>
      <c r="I27" s="1699"/>
      <c r="J27" s="1699"/>
      <c r="K27" s="1699"/>
      <c r="L27" s="1699"/>
      <c r="M27" s="1699"/>
      <c r="N27" s="1699"/>
      <c r="O27" s="1699"/>
      <c r="P27" s="1699"/>
      <c r="Q27" s="1699"/>
      <c r="R27" s="1699"/>
      <c r="S27" s="1699"/>
      <c r="T27" s="1699"/>
      <c r="U27" s="1293"/>
      <c r="V27" s="1293"/>
      <c r="W27" s="1293"/>
      <c r="X27" s="1293"/>
      <c r="Y27" s="1293"/>
      <c r="Z27" s="1293"/>
      <c r="AA27" s="1293"/>
      <c r="AB27" s="1293"/>
      <c r="AC27" s="1293"/>
      <c r="AD27" s="1293"/>
      <c r="AE27" s="1293"/>
      <c r="AF27" s="1293"/>
      <c r="AG27" s="1293"/>
      <c r="AH27" s="1293"/>
      <c r="AI27" s="1293"/>
      <c r="AJ27" s="1293"/>
      <c r="AK27" s="1293"/>
      <c r="AL27" s="1293"/>
      <c r="AM27" s="1293"/>
      <c r="AN27" s="1293"/>
      <c r="AO27" s="1293"/>
      <c r="AP27" s="1293"/>
      <c r="AQ27" s="1293"/>
      <c r="AR27" s="1293"/>
      <c r="AS27" s="1293"/>
      <c r="AT27" s="1293"/>
      <c r="AU27" s="1293"/>
      <c r="AV27" s="1293"/>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c r="BQ27" s="1293"/>
      <c r="BR27" s="1293"/>
      <c r="BS27" s="1293"/>
      <c r="BT27" s="1293"/>
      <c r="BU27" s="1293"/>
      <c r="BV27" s="1293"/>
      <c r="BW27" s="1293"/>
      <c r="BX27" s="1293"/>
      <c r="BY27" s="1293"/>
      <c r="BZ27" s="1293"/>
      <c r="CA27" s="1293"/>
      <c r="CB27" s="1293"/>
      <c r="CC27" s="1293"/>
      <c r="CD27" s="1293"/>
      <c r="CE27" s="1293"/>
      <c r="CF27" s="1293"/>
      <c r="CG27" s="1293"/>
    </row>
    <row r="28" spans="1:85" ht="15.75" hidden="1" outlineLevel="1">
      <c r="A28" s="1293"/>
      <c r="B28" s="1293"/>
      <c r="C28" s="1293" t="str">
        <f>'New (new) quarts'!B26</f>
        <v>Rwanda</v>
      </c>
      <c r="D28" s="1699">
        <f>'New (new) quarts'!G26</f>
        <v>63.318580354530283</v>
      </c>
      <c r="E28" s="1699">
        <f>'New (new) quarts'!L26</f>
        <v>63.694865494453467</v>
      </c>
      <c r="F28" s="1699">
        <f>'New (new) quarts'!Q26</f>
        <v>62.799649730353728</v>
      </c>
      <c r="G28" s="1699">
        <f>'New (new) quarts'!V26</f>
        <v>57.667648718882546</v>
      </c>
      <c r="H28" s="1699"/>
      <c r="I28" s="1699"/>
      <c r="J28" s="1699"/>
      <c r="K28" s="1699"/>
      <c r="L28" s="1699"/>
      <c r="M28" s="1699"/>
      <c r="N28" s="1699"/>
      <c r="O28" s="1699"/>
      <c r="P28" s="1699"/>
      <c r="Q28" s="1699"/>
      <c r="R28" s="1699"/>
      <c r="S28" s="1699"/>
      <c r="T28" s="1699"/>
      <c r="U28" s="1293"/>
      <c r="V28" s="1293"/>
      <c r="W28" s="1293"/>
      <c r="X28" s="1293"/>
      <c r="Y28" s="1293"/>
      <c r="Z28" s="1293"/>
      <c r="AA28" s="1293"/>
      <c r="AB28" s="1293"/>
      <c r="AC28" s="1293"/>
      <c r="AD28" s="1293"/>
      <c r="AE28" s="1293"/>
      <c r="AF28" s="1293"/>
      <c r="AG28" s="1293"/>
      <c r="AH28" s="1293"/>
      <c r="AI28" s="1293"/>
      <c r="AJ28" s="1293"/>
      <c r="AK28" s="1293"/>
      <c r="AL28" s="1293"/>
      <c r="AM28" s="1293"/>
      <c r="AN28" s="1293"/>
      <c r="AO28" s="1293"/>
      <c r="AP28" s="1293"/>
      <c r="AQ28" s="1293"/>
      <c r="AR28" s="1293"/>
      <c r="AS28" s="1293"/>
      <c r="AT28" s="1293"/>
      <c r="AU28" s="1293"/>
      <c r="AV28" s="1293"/>
      <c r="AW28" s="1293"/>
      <c r="AX28" s="1293"/>
      <c r="AY28" s="1293"/>
      <c r="AZ28" s="1293"/>
      <c r="BA28" s="1293"/>
      <c r="BB28" s="1293"/>
      <c r="BC28" s="1293"/>
      <c r="BD28" s="1293"/>
      <c r="BE28" s="1293"/>
      <c r="BF28" s="1293"/>
      <c r="BG28" s="1293"/>
      <c r="BH28" s="1293"/>
      <c r="BI28" s="1293"/>
      <c r="BJ28" s="1293"/>
      <c r="BK28" s="1293"/>
      <c r="BL28" s="1293"/>
      <c r="BM28" s="1293"/>
      <c r="BN28" s="1293"/>
      <c r="BO28" s="1293"/>
      <c r="BP28" s="1293"/>
      <c r="BQ28" s="1293"/>
      <c r="BR28" s="1293"/>
      <c r="BS28" s="1293"/>
      <c r="BT28" s="1293"/>
      <c r="BU28" s="1293"/>
      <c r="BV28" s="1293"/>
      <c r="BW28" s="1293"/>
      <c r="BX28" s="1293"/>
      <c r="BY28" s="1293"/>
      <c r="BZ28" s="1293"/>
      <c r="CA28" s="1293"/>
      <c r="CB28" s="1293"/>
      <c r="CC28" s="1293"/>
      <c r="CD28" s="1293"/>
      <c r="CE28" s="1293"/>
      <c r="CF28" s="1293"/>
      <c r="CG28" s="1293"/>
    </row>
    <row r="29" spans="1:85" ht="15.75" hidden="1" outlineLevel="1">
      <c r="A29" s="1293"/>
      <c r="B29" s="1293"/>
      <c r="C29" s="1293" t="str">
        <f>'New (new) quarts'!B27</f>
        <v>Senegal</v>
      </c>
      <c r="D29" s="1699">
        <f ca="1">'New (new) quarts'!G27</f>
        <v>114.94093281724798</v>
      </c>
      <c r="E29" s="1699">
        <f ca="1">'New (new) quarts'!L27</f>
        <v>113.26644024469326</v>
      </c>
      <c r="F29" s="1699">
        <f ca="1">'New (new) quarts'!Q27</f>
        <v>132.28794713804956</v>
      </c>
      <c r="G29" s="1699"/>
      <c r="H29" s="1699"/>
      <c r="I29" s="1699"/>
      <c r="J29" s="1699"/>
      <c r="K29" s="1699"/>
      <c r="L29" s="1699"/>
      <c r="M29" s="1699"/>
      <c r="N29" s="1699"/>
      <c r="O29" s="1699"/>
      <c r="P29" s="1699"/>
      <c r="Q29" s="1699"/>
      <c r="R29" s="1699"/>
      <c r="S29" s="1699"/>
      <c r="T29" s="1699"/>
      <c r="U29" s="1293"/>
      <c r="V29" s="1293"/>
      <c r="W29" s="1293"/>
      <c r="X29" s="1293"/>
      <c r="Y29" s="1293"/>
      <c r="Z29" s="1293"/>
      <c r="AA29" s="1293"/>
      <c r="AB29" s="1293"/>
      <c r="AC29" s="1293"/>
      <c r="AD29" s="1293"/>
      <c r="AE29" s="1293"/>
      <c r="AF29" s="1293"/>
      <c r="AG29" s="1293"/>
      <c r="AH29" s="1293"/>
      <c r="AI29" s="1293"/>
      <c r="AJ29" s="1293"/>
      <c r="AK29" s="1293"/>
      <c r="AL29" s="1293"/>
      <c r="AM29" s="1293"/>
      <c r="AN29" s="1293"/>
      <c r="AO29" s="1293"/>
      <c r="AP29" s="1293"/>
      <c r="AQ29" s="1293"/>
      <c r="AR29" s="1293"/>
      <c r="AS29" s="1293"/>
      <c r="AT29" s="1293"/>
      <c r="AU29" s="1293"/>
      <c r="AV29" s="1293"/>
      <c r="AW29" s="1293"/>
      <c r="AX29" s="1293"/>
      <c r="AY29" s="1293"/>
      <c r="AZ29" s="1293"/>
      <c r="BA29" s="1293"/>
      <c r="BB29" s="1293"/>
      <c r="BC29" s="1293"/>
      <c r="BD29" s="1293"/>
      <c r="BE29" s="1293"/>
      <c r="BF29" s="1293"/>
      <c r="BG29" s="1293"/>
      <c r="BH29" s="1293"/>
      <c r="BI29" s="1293"/>
      <c r="BJ29" s="1293"/>
      <c r="BK29" s="1293"/>
      <c r="BL29" s="1293"/>
      <c r="BM29" s="1293"/>
      <c r="BN29" s="1293"/>
      <c r="BO29" s="1293"/>
      <c r="BP29" s="1293"/>
      <c r="BQ29" s="1293"/>
      <c r="BR29" s="1293"/>
      <c r="BS29" s="1293"/>
      <c r="BT29" s="1293"/>
      <c r="BU29" s="1293"/>
      <c r="BV29" s="1293"/>
      <c r="BW29" s="1293"/>
      <c r="BX29" s="1293"/>
      <c r="BY29" s="1293"/>
      <c r="BZ29" s="1293"/>
      <c r="CA29" s="1293"/>
      <c r="CB29" s="1293"/>
      <c r="CC29" s="1293"/>
      <c r="CD29" s="1293"/>
      <c r="CE29" s="1293"/>
      <c r="CF29" s="1293"/>
      <c r="CG29" s="1293"/>
    </row>
    <row r="30" spans="1:85" ht="15.75" hidden="1" outlineLevel="1">
      <c r="A30" s="1293"/>
      <c r="B30" s="1293"/>
      <c r="C30" s="1293" t="str">
        <f>'New (new) quarts'!B28</f>
        <v>Tanzania</v>
      </c>
      <c r="D30" s="1699">
        <f>'New (new) quarts'!G28</f>
        <v>368</v>
      </c>
      <c r="E30" s="1699">
        <f>'New (new) quarts'!L28</f>
        <v>359</v>
      </c>
      <c r="F30" s="1699">
        <f>'New (new) quarts'!Q28</f>
        <v>347.99786955275687</v>
      </c>
      <c r="G30" s="1699">
        <f>'New (new) quarts'!V28</f>
        <v>338.53537907548105</v>
      </c>
      <c r="H30" s="1699">
        <f>'New (new) quarts'!AA28</f>
        <v>353.59168687196137</v>
      </c>
      <c r="I30" s="1699">
        <f>'New (new) quarts'!AJ28</f>
        <v>359.8</v>
      </c>
      <c r="J30" s="1699">
        <f ca="1">'New (new) quarts'!AO28</f>
        <v>356.4</v>
      </c>
      <c r="K30" s="1699">
        <f>'New (new) quarts'!AT28</f>
        <v>357</v>
      </c>
      <c r="L30" s="1699"/>
      <c r="M30" s="1699"/>
      <c r="N30" s="1699"/>
      <c r="O30" s="1699"/>
      <c r="P30" s="1699"/>
      <c r="Q30" s="1699"/>
      <c r="R30" s="1699"/>
      <c r="S30" s="1699"/>
      <c r="T30" s="1699"/>
      <c r="U30" s="1293"/>
      <c r="V30" s="1293"/>
      <c r="W30" s="1293"/>
      <c r="X30" s="1293"/>
      <c r="Y30" s="1293"/>
      <c r="Z30" s="1293"/>
      <c r="AA30" s="1293"/>
      <c r="AB30" s="1293"/>
      <c r="AC30" s="1293"/>
      <c r="AD30" s="1293"/>
      <c r="AE30" s="1293"/>
      <c r="AF30" s="1293"/>
      <c r="AG30" s="1293"/>
      <c r="AH30" s="1293"/>
      <c r="AI30" s="1293"/>
      <c r="AJ30" s="1293"/>
      <c r="AK30" s="1293"/>
      <c r="AL30" s="1293"/>
      <c r="AM30" s="1293"/>
      <c r="AN30" s="1293"/>
      <c r="AO30" s="1293"/>
      <c r="AP30" s="1293"/>
      <c r="AQ30" s="1293"/>
      <c r="AR30" s="1293"/>
      <c r="AS30" s="1293"/>
      <c r="AT30" s="1293"/>
      <c r="AU30" s="1293"/>
      <c r="AV30" s="1293"/>
      <c r="AW30" s="1293"/>
      <c r="AX30" s="1293"/>
      <c r="AY30" s="1293"/>
      <c r="AZ30" s="1293"/>
      <c r="BA30" s="1293"/>
      <c r="BB30" s="1293"/>
      <c r="BC30" s="1293"/>
      <c r="BD30" s="1293"/>
      <c r="BE30" s="1293"/>
      <c r="BF30" s="1293"/>
      <c r="BG30" s="1293"/>
      <c r="BH30" s="1293"/>
      <c r="BI30" s="1293"/>
      <c r="BJ30" s="1293"/>
      <c r="BK30" s="1293"/>
      <c r="BL30" s="1293"/>
      <c r="BM30" s="1293"/>
      <c r="BN30" s="1293"/>
      <c r="BO30" s="1293"/>
      <c r="BP30" s="1293"/>
      <c r="BQ30" s="1293"/>
      <c r="BR30" s="1293"/>
      <c r="BS30" s="1293"/>
      <c r="BT30" s="1293"/>
      <c r="BU30" s="1293"/>
      <c r="BV30" s="1293"/>
      <c r="BW30" s="1293"/>
      <c r="BX30" s="1293"/>
      <c r="BY30" s="1293"/>
      <c r="BZ30" s="1293"/>
      <c r="CA30" s="1293"/>
      <c r="CB30" s="1293"/>
      <c r="CC30" s="1293"/>
      <c r="CD30" s="1293"/>
      <c r="CE30" s="1293"/>
      <c r="CF30" s="1293"/>
      <c r="CG30" s="1293"/>
    </row>
    <row r="31" spans="1:85" ht="15.75" hidden="1" outlineLevel="1">
      <c r="A31" s="1293"/>
      <c r="B31" s="1293"/>
      <c r="C31" s="1293" t="str">
        <f>'New (new) quarts'!B29</f>
        <v>Zantel</v>
      </c>
      <c r="D31" s="1699">
        <f>'New (new) quarts'!G29</f>
        <v>0</v>
      </c>
      <c r="E31" s="1699">
        <f>'New (new) quarts'!L29</f>
        <v>9</v>
      </c>
      <c r="F31" s="1699">
        <f>'New (new) quarts'!Q29</f>
        <v>33.159055498985666</v>
      </c>
      <c r="G31" s="1699">
        <f ca="1">'New (new) quarts'!V29</f>
        <v>30.26606928048454</v>
      </c>
      <c r="H31" s="1699">
        <f ca="1">'New (new) quarts'!AA29</f>
        <v>17.300141478126186</v>
      </c>
      <c r="I31" s="1699">
        <f>'New (new) quarts'!AJ29</f>
        <v>22</v>
      </c>
      <c r="J31" s="1699">
        <f ca="1">'New (new) quarts'!AO29</f>
        <v>10.400000000000006</v>
      </c>
      <c r="K31" s="1699">
        <f ca="1">'New (new) quarts'!AT29</f>
        <v>0</v>
      </c>
      <c r="L31" s="1699"/>
      <c r="M31" s="1699"/>
      <c r="N31" s="1699"/>
      <c r="O31" s="1699"/>
      <c r="P31" s="1699"/>
      <c r="Q31" s="1699"/>
      <c r="R31" s="1699"/>
      <c r="S31" s="1699"/>
      <c r="T31" s="1699"/>
      <c r="U31" s="1293"/>
      <c r="V31" s="1293"/>
      <c r="W31" s="1293"/>
      <c r="X31" s="1293"/>
      <c r="Y31" s="1293"/>
      <c r="Z31" s="1293"/>
      <c r="AA31" s="1293"/>
      <c r="AB31" s="1293"/>
      <c r="AC31" s="1293"/>
      <c r="AD31" s="1293"/>
      <c r="AE31" s="1293"/>
      <c r="AF31" s="1293"/>
      <c r="AG31" s="1293"/>
      <c r="AH31" s="1293"/>
      <c r="AI31" s="1293"/>
      <c r="AJ31" s="1293"/>
      <c r="AK31" s="1293"/>
      <c r="AL31" s="1293"/>
      <c r="AM31" s="1293"/>
      <c r="AN31" s="1293"/>
      <c r="AO31" s="1293"/>
      <c r="AP31" s="1293"/>
      <c r="AQ31" s="1293"/>
      <c r="AR31" s="1293"/>
      <c r="AS31" s="1293"/>
      <c r="AT31" s="1293"/>
      <c r="AU31" s="1293"/>
      <c r="AV31" s="1293"/>
      <c r="AW31" s="1293"/>
      <c r="AX31" s="1293"/>
      <c r="AY31" s="1293"/>
      <c r="AZ31" s="1293"/>
      <c r="BA31" s="1293"/>
      <c r="BB31" s="1293"/>
      <c r="BC31" s="1293"/>
      <c r="BD31" s="1293"/>
      <c r="BE31" s="1293"/>
      <c r="BF31" s="1293"/>
      <c r="BG31" s="1293"/>
      <c r="BH31" s="1293"/>
      <c r="BI31" s="1293"/>
      <c r="BJ31" s="1293"/>
      <c r="BK31" s="1293"/>
      <c r="BL31" s="1293"/>
      <c r="BM31" s="1293"/>
      <c r="BN31" s="1293"/>
      <c r="BO31" s="1293"/>
      <c r="BP31" s="1293"/>
      <c r="BQ31" s="1293"/>
      <c r="BR31" s="1293"/>
      <c r="BS31" s="1293"/>
      <c r="BT31" s="1293"/>
      <c r="BU31" s="1293"/>
      <c r="BV31" s="1293"/>
      <c r="BW31" s="1293"/>
      <c r="BX31" s="1293"/>
      <c r="BY31" s="1293"/>
      <c r="BZ31" s="1293"/>
      <c r="CA31" s="1293"/>
      <c r="CB31" s="1293"/>
      <c r="CC31" s="1293"/>
      <c r="CD31" s="1293"/>
      <c r="CE31" s="1293"/>
      <c r="CF31" s="1293"/>
      <c r="CG31" s="1293"/>
    </row>
    <row r="32" spans="1:85" ht="15.75" hidden="1" outlineLevel="1">
      <c r="A32" s="1293"/>
      <c r="B32" s="1293"/>
      <c r="C32" s="1331" t="str">
        <f>'New (new) quarts'!B30</f>
        <v>Balancing item</v>
      </c>
      <c r="D32" s="1703">
        <f ca="1">'New (new) quarts'!G30</f>
        <v>-0.17672224924024249</v>
      </c>
      <c r="E32" s="1703">
        <f ca="1">'New (new) quarts'!L30</f>
        <v>8.17775590577412E-2</v>
      </c>
      <c r="F32" s="1703">
        <f ca="1">'New (new) quarts'!Q30</f>
        <v>0.81111341366332079</v>
      </c>
      <c r="G32" s="1703">
        <f>'New (new) quarts'!V30</f>
        <v>0</v>
      </c>
      <c r="H32" s="1703">
        <f>'New (new) quarts'!AA30</f>
        <v>0</v>
      </c>
      <c r="I32" s="1703">
        <f>'New (new) quarts'!AJ30</f>
        <v>0</v>
      </c>
      <c r="J32" s="1703">
        <f>'New (new) quarts'!AO30</f>
        <v>0</v>
      </c>
      <c r="K32" s="1703">
        <f>'New (new) quarts'!AT30</f>
        <v>0</v>
      </c>
      <c r="L32" s="1703"/>
      <c r="M32" s="1703"/>
      <c r="N32" s="1703"/>
      <c r="O32" s="1703"/>
      <c r="P32" s="1703"/>
      <c r="Q32" s="1703"/>
      <c r="R32" s="1703"/>
      <c r="S32" s="1703"/>
      <c r="T32" s="1703"/>
      <c r="U32" s="1293"/>
      <c r="V32" s="1293"/>
      <c r="W32" s="1293"/>
      <c r="X32" s="1293"/>
      <c r="Y32" s="1293"/>
      <c r="Z32" s="1293"/>
      <c r="AA32" s="1293"/>
      <c r="AB32" s="1293"/>
      <c r="AC32" s="1293"/>
      <c r="AD32" s="1293"/>
      <c r="AE32" s="1293"/>
      <c r="AF32" s="1293"/>
      <c r="AG32" s="1293"/>
      <c r="AH32" s="1293"/>
      <c r="AI32" s="1293"/>
      <c r="AJ32" s="1293"/>
      <c r="AK32" s="1293"/>
      <c r="AL32" s="1293"/>
      <c r="AM32" s="1293"/>
      <c r="AN32" s="1293"/>
      <c r="AO32" s="1293"/>
      <c r="AP32" s="1293"/>
      <c r="AQ32" s="1293"/>
      <c r="AR32" s="1293"/>
      <c r="AS32" s="1293"/>
      <c r="AT32" s="1293"/>
      <c r="AU32" s="1293"/>
      <c r="AV32" s="1293"/>
      <c r="AW32" s="1293"/>
      <c r="AX32" s="1293"/>
      <c r="AY32" s="1293"/>
      <c r="AZ32" s="1293"/>
      <c r="BA32" s="1293"/>
      <c r="BB32" s="1293"/>
      <c r="BC32" s="1293"/>
      <c r="BD32" s="1293"/>
      <c r="BE32" s="1293"/>
      <c r="BF32" s="1293"/>
      <c r="BG32" s="1293"/>
      <c r="BH32" s="1293"/>
      <c r="BI32" s="1293"/>
      <c r="BJ32" s="1293"/>
      <c r="BK32" s="1293"/>
      <c r="BL32" s="1293"/>
      <c r="BM32" s="1293"/>
      <c r="BN32" s="1293"/>
      <c r="BO32" s="1293"/>
      <c r="BP32" s="1293"/>
      <c r="BQ32" s="1293"/>
      <c r="BR32" s="1293"/>
      <c r="BS32" s="1293"/>
      <c r="BT32" s="1293"/>
      <c r="BU32" s="1293"/>
      <c r="BV32" s="1293"/>
      <c r="BW32" s="1293"/>
      <c r="BX32" s="1293"/>
      <c r="BY32" s="1293"/>
      <c r="BZ32" s="1293"/>
      <c r="CA32" s="1293"/>
      <c r="CB32" s="1293"/>
      <c r="CC32" s="1293"/>
      <c r="CD32" s="1293"/>
      <c r="CE32" s="1293"/>
      <c r="CF32" s="1293"/>
      <c r="CG32" s="1293"/>
    </row>
    <row r="33" spans="1:85" ht="15.75" hidden="1" outlineLevel="1">
      <c r="A33" s="1293"/>
      <c r="B33" s="1293"/>
      <c r="C33" s="1293" t="s">
        <v>1831</v>
      </c>
      <c r="D33" s="1699">
        <f>'New (new) quarts'!G31</f>
        <v>999.64218372493758</v>
      </c>
      <c r="E33" s="1699">
        <f>'New (new) quarts'!L31</f>
        <v>987.73385710837397</v>
      </c>
      <c r="F33" s="1699">
        <f>'New (new) quarts'!Q31</f>
        <v>895.73775281920507</v>
      </c>
      <c r="G33" s="1699">
        <f>'New (new) quarts'!V31</f>
        <v>646</v>
      </c>
      <c r="H33" s="1699">
        <f>'New (new) quarts'!AA31</f>
        <v>526.5</v>
      </c>
      <c r="I33" s="1699">
        <f>'New (new) quarts'!AJ31</f>
        <v>412</v>
      </c>
      <c r="J33" s="1699">
        <f>'New (new) quarts'!AO31</f>
        <v>366</v>
      </c>
      <c r="K33" s="1699">
        <f>'New (new) quarts'!AT31</f>
        <v>357</v>
      </c>
      <c r="L33" s="1699">
        <f t="shared" ref="L33:T33" si="34">SUM(L25:L32)</f>
        <v>0</v>
      </c>
      <c r="M33" s="1699">
        <f t="shared" si="34"/>
        <v>0</v>
      </c>
      <c r="N33" s="1699">
        <f t="shared" si="34"/>
        <v>0</v>
      </c>
      <c r="O33" s="1699">
        <f t="shared" si="34"/>
        <v>0</v>
      </c>
      <c r="P33" s="1699">
        <f t="shared" si="34"/>
        <v>0</v>
      </c>
      <c r="Q33" s="1699">
        <f t="shared" si="34"/>
        <v>0</v>
      </c>
      <c r="R33" s="1699">
        <f t="shared" si="34"/>
        <v>0</v>
      </c>
      <c r="S33" s="1699">
        <f t="shared" si="34"/>
        <v>0</v>
      </c>
      <c r="T33" s="1699">
        <f t="shared" si="34"/>
        <v>0</v>
      </c>
      <c r="U33" s="1293"/>
      <c r="V33" s="1293"/>
      <c r="W33" s="1293"/>
      <c r="X33" s="1293"/>
      <c r="Y33" s="1293"/>
      <c r="Z33" s="1293"/>
      <c r="AA33" s="1293"/>
      <c r="AB33" s="1293"/>
      <c r="AC33" s="1293"/>
      <c r="AD33" s="1293"/>
      <c r="AE33" s="1293"/>
      <c r="AF33" s="1293"/>
      <c r="AG33" s="1293"/>
      <c r="AH33" s="1293"/>
      <c r="AI33" s="1293"/>
      <c r="AJ33" s="1293"/>
      <c r="AK33" s="1293"/>
      <c r="AL33" s="1293"/>
      <c r="AM33" s="1293"/>
      <c r="AN33" s="1293"/>
      <c r="AO33" s="1293"/>
      <c r="AP33" s="1293"/>
      <c r="AQ33" s="1293"/>
      <c r="AR33" s="1293"/>
      <c r="AS33" s="1293"/>
      <c r="AT33" s="1293"/>
      <c r="AU33" s="1293"/>
      <c r="AV33" s="1293"/>
      <c r="AW33" s="1293"/>
      <c r="AX33" s="1293"/>
      <c r="AY33" s="1293"/>
      <c r="AZ33" s="1293"/>
      <c r="BA33" s="1293"/>
      <c r="BB33" s="1293"/>
      <c r="BC33" s="1293"/>
      <c r="BD33" s="1293"/>
      <c r="BE33" s="1293"/>
      <c r="BF33" s="1293"/>
      <c r="BG33" s="1293"/>
      <c r="BH33" s="1293"/>
      <c r="BI33" s="1293"/>
      <c r="BJ33" s="1293"/>
      <c r="BK33" s="1293"/>
      <c r="BL33" s="1293"/>
      <c r="BM33" s="1293"/>
      <c r="BN33" s="1293"/>
      <c r="BO33" s="1293"/>
      <c r="BP33" s="1293"/>
      <c r="BQ33" s="1293"/>
      <c r="BR33" s="1293"/>
      <c r="BS33" s="1293"/>
      <c r="BT33" s="1293"/>
      <c r="BU33" s="1293"/>
      <c r="BV33" s="1293"/>
      <c r="BW33" s="1293"/>
      <c r="BX33" s="1293"/>
      <c r="BY33" s="1293"/>
      <c r="BZ33" s="1293"/>
      <c r="CA33" s="1293"/>
      <c r="CB33" s="1293"/>
      <c r="CC33" s="1293"/>
      <c r="CD33" s="1293"/>
      <c r="CE33" s="1293"/>
      <c r="CF33" s="1293"/>
      <c r="CG33" s="1293"/>
    </row>
    <row r="34" spans="1:85" ht="15.75" collapsed="1">
      <c r="A34" s="1293"/>
      <c r="B34" s="1293"/>
      <c r="C34" s="1293" t="s">
        <v>4503</v>
      </c>
      <c r="D34" s="2490">
        <f>'New (new) quarts'!G32</f>
        <v>0.12459761371292188</v>
      </c>
      <c r="E34" s="2490">
        <f>'New (new) quarts'!L32</f>
        <v>1.3180071952760954</v>
      </c>
      <c r="F34" s="2490">
        <f>'New (new) quarts'!Q32</f>
        <v>5.433759087316048E-2</v>
      </c>
      <c r="G34" s="2490">
        <f>'New (new) quarts'!V32</f>
        <v>0</v>
      </c>
      <c r="H34" s="2490">
        <f>'New (new) quarts'!AA32</f>
        <v>0</v>
      </c>
      <c r="I34" s="2490">
        <f>'New (new) quarts'!AJ32</f>
        <v>0</v>
      </c>
      <c r="J34" s="2490">
        <f>'New (new) quarts'!AO32</f>
        <v>0</v>
      </c>
      <c r="K34" s="2490">
        <f ca="1">'New (new) quarts'!AT32</f>
        <v>-24</v>
      </c>
      <c r="L34" s="2490">
        <f>'New (new) quarts'!AY32</f>
        <v>-20.094800000000362</v>
      </c>
      <c r="M34" s="2490">
        <f>'New (new) quarts'!BD32</f>
        <v>-19.897899999999879</v>
      </c>
      <c r="N34" s="2490">
        <f>'New (new) quarts'!BI32</f>
        <v>-20.661900000000088</v>
      </c>
      <c r="O34" s="2337">
        <v>-20</v>
      </c>
      <c r="P34" s="2337">
        <v>-20</v>
      </c>
      <c r="Q34" s="2337">
        <v>-20</v>
      </c>
      <c r="R34" s="2337">
        <v>-20</v>
      </c>
      <c r="S34" s="2337">
        <v>-20</v>
      </c>
      <c r="T34" s="2337">
        <v>-20</v>
      </c>
      <c r="U34" s="1293"/>
      <c r="V34" s="1293"/>
      <c r="W34" s="1293"/>
      <c r="X34" s="1293"/>
      <c r="Y34" s="1293"/>
      <c r="Z34" s="1293"/>
      <c r="AA34" s="1293"/>
      <c r="AB34" s="1293"/>
      <c r="AC34" s="1293"/>
      <c r="AD34" s="1293"/>
      <c r="AE34" s="1293"/>
      <c r="AF34" s="1293"/>
      <c r="AG34" s="1293"/>
      <c r="AH34" s="1293"/>
      <c r="AI34" s="1293"/>
      <c r="AJ34" s="1293"/>
      <c r="AK34" s="1293"/>
      <c r="AL34" s="1293"/>
      <c r="AM34" s="1293"/>
      <c r="AN34" s="1293"/>
      <c r="AO34" s="1293"/>
      <c r="AP34" s="1293"/>
      <c r="AQ34" s="1293"/>
      <c r="AR34" s="1293"/>
      <c r="AS34" s="1293"/>
      <c r="AT34" s="1293"/>
      <c r="AU34" s="1293"/>
      <c r="AV34" s="1293"/>
      <c r="AW34" s="1293"/>
      <c r="AX34" s="1293"/>
      <c r="AY34" s="1293"/>
      <c r="AZ34" s="1293"/>
      <c r="BA34" s="1293"/>
      <c r="BB34" s="1293"/>
      <c r="BC34" s="1293"/>
      <c r="BD34" s="1293"/>
      <c r="BE34" s="1293"/>
      <c r="BF34" s="1293"/>
      <c r="BG34" s="1293"/>
      <c r="BH34" s="1293"/>
      <c r="BI34" s="1293"/>
      <c r="BJ34" s="1293"/>
      <c r="BK34" s="1293"/>
      <c r="BL34" s="1293"/>
      <c r="BM34" s="1293"/>
      <c r="BN34" s="1293"/>
      <c r="BO34" s="1293"/>
      <c r="BP34" s="1293"/>
      <c r="BQ34" s="1293"/>
      <c r="BR34" s="1293"/>
      <c r="BS34" s="1293"/>
      <c r="BT34" s="1293"/>
      <c r="BU34" s="1293"/>
      <c r="BV34" s="1293"/>
      <c r="BW34" s="1293"/>
      <c r="BX34" s="1293"/>
      <c r="BY34" s="1293"/>
      <c r="BZ34" s="1293"/>
      <c r="CA34" s="1293"/>
      <c r="CB34" s="1293"/>
      <c r="CC34" s="1293"/>
      <c r="CD34" s="1293"/>
      <c r="CE34" s="1293"/>
      <c r="CF34" s="1293"/>
      <c r="CG34" s="1293"/>
    </row>
    <row r="35" spans="1:85" ht="15.75">
      <c r="A35" s="1293"/>
      <c r="B35" s="1293"/>
      <c r="C35" s="1397" t="str">
        <f>'New (new) quarts'!B34</f>
        <v>Total revenue</v>
      </c>
      <c r="D35" s="2492">
        <f>'New (new) quarts'!G34</f>
        <v>6386.0109430529701</v>
      </c>
      <c r="E35" s="2492">
        <f>'New (new) quarts'!L34</f>
        <v>6730.1365449983496</v>
      </c>
      <c r="F35" s="2492">
        <f>'New (new) quarts'!Q34</f>
        <v>6248.8819186869696</v>
      </c>
      <c r="G35" s="2492">
        <f>'New (new) quarts'!V34</f>
        <v>6089</v>
      </c>
      <c r="H35" s="2492">
        <f>'New (new) quarts'!AA34</f>
        <v>6012</v>
      </c>
      <c r="I35" s="2492">
        <f>'New (new) quarts'!AJ34</f>
        <v>6371</v>
      </c>
      <c r="J35" s="2492">
        <f>'New (new) quarts'!AO34</f>
        <v>6232</v>
      </c>
      <c r="K35" s="2492">
        <f>'New (new) quarts'!AT34</f>
        <v>6572</v>
      </c>
      <c r="L35" s="2492">
        <f>'New (new) quarts'!AY34</f>
        <v>5624.5300000000007</v>
      </c>
      <c r="M35" s="2492">
        <f>'New (new) quarts'!BD34</f>
        <v>5661</v>
      </c>
      <c r="N35" s="2492">
        <f>'New (new) quarts'!BI34</f>
        <v>5804.2592000000004</v>
      </c>
      <c r="O35" s="2338">
        <f t="shared" ref="O35:T35" si="35">O16+O23+O34</f>
        <v>5523.9546913835384</v>
      </c>
      <c r="P35" s="2338">
        <f t="shared" si="35"/>
        <v>5603.0529567956419</v>
      </c>
      <c r="Q35" s="2338">
        <f t="shared" si="35"/>
        <v>5697.2603768103054</v>
      </c>
      <c r="R35" s="2338">
        <f t="shared" si="35"/>
        <v>5798.6244029074151</v>
      </c>
      <c r="S35" s="2338">
        <f t="shared" si="35"/>
        <v>5882.0473511545479</v>
      </c>
      <c r="T35" s="2338">
        <f t="shared" si="35"/>
        <v>5952.0055851318775</v>
      </c>
      <c r="U35" s="1293"/>
      <c r="V35" s="1293"/>
      <c r="W35" s="1293"/>
      <c r="X35" s="1293"/>
      <c r="Y35" s="1293"/>
      <c r="Z35" s="1293"/>
      <c r="AA35" s="1293"/>
      <c r="AB35" s="1293"/>
      <c r="AC35" s="1293"/>
      <c r="AD35" s="1293"/>
      <c r="AE35" s="1293"/>
      <c r="AF35" s="1293"/>
      <c r="AG35" s="1293"/>
      <c r="AH35" s="1293"/>
      <c r="AI35" s="1293"/>
      <c r="AJ35" s="1293"/>
      <c r="AK35" s="1293"/>
      <c r="AL35" s="1293"/>
      <c r="AM35" s="1293"/>
      <c r="AN35" s="1293"/>
      <c r="AO35" s="1293"/>
      <c r="AP35" s="1293"/>
      <c r="AQ35" s="1293"/>
      <c r="AR35" s="1293"/>
      <c r="AS35" s="1293"/>
      <c r="AT35" s="1293"/>
      <c r="AU35" s="1293"/>
      <c r="AV35" s="1293"/>
      <c r="AW35" s="1293"/>
      <c r="AX35" s="1293"/>
      <c r="AY35" s="1293"/>
      <c r="AZ35" s="1293"/>
      <c r="BA35" s="1293"/>
      <c r="BB35" s="1293"/>
      <c r="BC35" s="1293"/>
      <c r="BD35" s="1293"/>
      <c r="BE35" s="1293"/>
      <c r="BF35" s="1293"/>
      <c r="BG35" s="1293"/>
      <c r="BH35" s="1293"/>
      <c r="BI35" s="1293"/>
      <c r="BJ35" s="1293"/>
      <c r="BK35" s="1293"/>
      <c r="BL35" s="1293"/>
      <c r="BM35" s="1293"/>
      <c r="BN35" s="1293"/>
      <c r="BO35" s="1293"/>
      <c r="BP35" s="1293"/>
      <c r="BQ35" s="1293"/>
      <c r="BR35" s="1293"/>
      <c r="BS35" s="1293"/>
      <c r="BT35" s="1293"/>
      <c r="BU35" s="1293"/>
      <c r="BV35" s="1293"/>
      <c r="BW35" s="1293"/>
      <c r="BX35" s="1293"/>
      <c r="BY35" s="1293"/>
      <c r="BZ35" s="1293"/>
      <c r="CA35" s="1293"/>
      <c r="CB35" s="1293"/>
      <c r="CC35" s="1293"/>
      <c r="CD35" s="1293"/>
      <c r="CE35" s="1293"/>
      <c r="CF35" s="1293"/>
      <c r="CG35" s="1293"/>
    </row>
    <row r="36" spans="1:85" ht="15.75">
      <c r="A36" s="1293"/>
      <c r="B36" s="1293"/>
      <c r="C36" s="1334" t="s">
        <v>945</v>
      </c>
      <c r="D36" s="2336"/>
      <c r="E36" s="1335">
        <f>E35/D35-1</f>
        <v>5.388741187794821E-2</v>
      </c>
      <c r="F36" s="1335">
        <f t="shared" ref="F36:T36" si="36">F35/E35-1</f>
        <v>-7.1507408964686658E-2</v>
      </c>
      <c r="G36" s="1335">
        <f t="shared" si="36"/>
        <v>-2.5585684089957095E-2</v>
      </c>
      <c r="H36" s="1335">
        <f t="shared" si="36"/>
        <v>-1.2645754639513895E-2</v>
      </c>
      <c r="I36" s="1335">
        <f t="shared" si="36"/>
        <v>5.9713905522288835E-2</v>
      </c>
      <c r="J36" s="1335">
        <f t="shared" si="36"/>
        <v>-2.1817611050070629E-2</v>
      </c>
      <c r="K36" s="1335">
        <f t="shared" si="36"/>
        <v>5.4557124518613609E-2</v>
      </c>
      <c r="L36" s="1335">
        <f t="shared" si="36"/>
        <v>-0.14416768107121114</v>
      </c>
      <c r="M36" s="1335">
        <f t="shared" si="36"/>
        <v>6.4840973379107769E-3</v>
      </c>
      <c r="N36" s="1335">
        <f t="shared" si="36"/>
        <v>2.5306341635753515E-2</v>
      </c>
      <c r="O36" s="1335">
        <f t="shared" si="36"/>
        <v>-4.829289991330199E-2</v>
      </c>
      <c r="P36" s="1335">
        <f t="shared" si="36"/>
        <v>1.4319137254236391E-2</v>
      </c>
      <c r="Q36" s="1335">
        <f t="shared" si="36"/>
        <v>1.6813587296262256E-2</v>
      </c>
      <c r="R36" s="1335">
        <f t="shared" si="36"/>
        <v>1.7791713805058729E-2</v>
      </c>
      <c r="S36" s="1335">
        <f t="shared" si="36"/>
        <v>1.4386679055347074E-2</v>
      </c>
      <c r="T36" s="1335">
        <f t="shared" si="36"/>
        <v>1.1893517648000174E-2</v>
      </c>
      <c r="U36" s="1293"/>
      <c r="V36" s="1293"/>
      <c r="W36" s="1293"/>
      <c r="X36" s="1293"/>
      <c r="Y36" s="1293"/>
      <c r="Z36" s="1293"/>
      <c r="AA36" s="1293"/>
      <c r="AB36" s="1293"/>
      <c r="AC36" s="1293"/>
      <c r="AD36" s="1293"/>
      <c r="AE36" s="1293"/>
      <c r="AF36" s="1293"/>
      <c r="AG36" s="1293"/>
      <c r="AH36" s="1293"/>
      <c r="AI36" s="1293"/>
      <c r="AJ36" s="1293"/>
      <c r="AK36" s="1293"/>
      <c r="AL36" s="1293"/>
      <c r="AM36" s="1293"/>
      <c r="AN36" s="1293"/>
      <c r="AO36" s="1293"/>
      <c r="AP36" s="1293"/>
      <c r="AQ36" s="1293"/>
      <c r="AR36" s="1293"/>
      <c r="AS36" s="1293"/>
      <c r="AT36" s="1293"/>
      <c r="AU36" s="1293"/>
      <c r="AV36" s="1293"/>
      <c r="AW36" s="1293"/>
      <c r="AX36" s="1293"/>
      <c r="AY36" s="1293"/>
      <c r="AZ36" s="1293"/>
      <c r="BA36" s="1293"/>
      <c r="BB36" s="1293"/>
      <c r="BC36" s="1293"/>
      <c r="BD36" s="1293"/>
      <c r="BE36" s="1293"/>
      <c r="BF36" s="1293"/>
      <c r="BG36" s="1293"/>
      <c r="BH36" s="1293"/>
      <c r="BI36" s="1293"/>
      <c r="BJ36" s="1293"/>
      <c r="BK36" s="1293"/>
      <c r="BL36" s="1293"/>
      <c r="BM36" s="1293"/>
      <c r="BN36" s="1293"/>
      <c r="BO36" s="1293"/>
      <c r="BP36" s="1293"/>
      <c r="BQ36" s="1293"/>
      <c r="BR36" s="1293"/>
      <c r="BS36" s="1293"/>
      <c r="BT36" s="1293"/>
      <c r="BU36" s="1293"/>
      <c r="BV36" s="1293"/>
      <c r="BW36" s="1293"/>
      <c r="BX36" s="1293"/>
      <c r="BY36" s="1293"/>
      <c r="BZ36" s="1293"/>
      <c r="CA36" s="1293"/>
      <c r="CB36" s="1293"/>
      <c r="CC36" s="1293"/>
      <c r="CD36" s="1293"/>
      <c r="CE36" s="1293"/>
      <c r="CF36" s="1293"/>
      <c r="CG36" s="1293"/>
    </row>
    <row r="37" spans="1:85" ht="15.75">
      <c r="A37" s="1293"/>
      <c r="B37" s="1293"/>
      <c r="C37" s="1867"/>
      <c r="D37" s="1987"/>
      <c r="E37" s="1987"/>
      <c r="F37" s="1987"/>
      <c r="G37" s="1987"/>
      <c r="H37" s="1987"/>
      <c r="I37" s="1987"/>
      <c r="J37" s="1987"/>
      <c r="K37" s="1987"/>
      <c r="L37" s="1987"/>
      <c r="M37" s="1987"/>
      <c r="N37" s="1987"/>
      <c r="O37" s="1987"/>
      <c r="P37" s="1987"/>
      <c r="Q37" s="1987"/>
      <c r="R37" s="1987"/>
      <c r="S37" s="1987"/>
      <c r="T37" s="1987"/>
      <c r="U37" s="1293"/>
      <c r="V37" s="1293"/>
      <c r="W37" s="1293"/>
      <c r="X37" s="1293"/>
      <c r="Y37" s="1293"/>
      <c r="Z37" s="1293"/>
      <c r="AA37" s="1293"/>
      <c r="AB37" s="1293"/>
      <c r="AC37" s="1293"/>
      <c r="AD37" s="1293"/>
      <c r="AE37" s="1293"/>
      <c r="AF37" s="1293"/>
      <c r="AG37" s="1293"/>
      <c r="AH37" s="1293"/>
      <c r="AI37" s="1293"/>
      <c r="AJ37" s="1293"/>
      <c r="AK37" s="1293"/>
      <c r="AL37" s="1293"/>
      <c r="AM37" s="1293"/>
      <c r="AN37" s="1293"/>
      <c r="AO37" s="1293"/>
      <c r="AP37" s="1293"/>
      <c r="AQ37" s="1293"/>
      <c r="AR37" s="1293"/>
      <c r="AS37" s="1293"/>
      <c r="AT37" s="1293"/>
      <c r="AU37" s="1293"/>
      <c r="AV37" s="1293"/>
      <c r="AW37" s="1293"/>
      <c r="AX37" s="1293"/>
      <c r="AY37" s="1293"/>
      <c r="AZ37" s="1293"/>
      <c r="BA37" s="1293"/>
      <c r="BB37" s="1293"/>
      <c r="BC37" s="1293"/>
      <c r="BD37" s="1293"/>
      <c r="BE37" s="1293"/>
      <c r="BF37" s="1293"/>
      <c r="BG37" s="1293"/>
      <c r="BH37" s="1293"/>
      <c r="BI37" s="1293"/>
      <c r="BJ37" s="1293"/>
      <c r="BK37" s="1293"/>
      <c r="BL37" s="1293"/>
      <c r="BM37" s="1293"/>
      <c r="BN37" s="1293"/>
      <c r="BO37" s="1293"/>
      <c r="BP37" s="1293"/>
      <c r="BQ37" s="1293"/>
      <c r="BR37" s="1293"/>
      <c r="BS37" s="1293"/>
      <c r="BT37" s="1293"/>
      <c r="BU37" s="1293"/>
      <c r="BV37" s="1293"/>
      <c r="BW37" s="1293"/>
      <c r="BX37" s="1293"/>
      <c r="BY37" s="1293"/>
      <c r="BZ37" s="1293"/>
      <c r="CA37" s="1293"/>
      <c r="CB37" s="1293"/>
      <c r="CC37" s="1293"/>
      <c r="CD37" s="1293"/>
      <c r="CE37" s="1293"/>
      <c r="CF37" s="1293"/>
      <c r="CG37" s="1293"/>
    </row>
    <row r="38" spans="1:85" ht="15.75">
      <c r="A38" s="1293"/>
      <c r="B38" s="1293"/>
      <c r="C38" s="1293" t="s">
        <v>1643</v>
      </c>
      <c r="D38" s="1698"/>
      <c r="E38" s="1698"/>
      <c r="F38" s="1698"/>
      <c r="G38" s="1698"/>
      <c r="H38" s="1698"/>
      <c r="I38" s="1698"/>
      <c r="J38" s="1698"/>
      <c r="K38" s="1698"/>
      <c r="L38" s="1698"/>
      <c r="M38" s="1698"/>
      <c r="N38" s="1698"/>
      <c r="O38" s="2342" cm="1">
        <f t="array" ref="O38">_xll.VAData("TIGO", "FY-2025", "Net revenue - IFRS", "Consensus", "CD", "","","")</f>
        <v>5743.7540084794018</v>
      </c>
      <c r="P38" s="2342" cm="1">
        <f t="array" ref="P38">_xll.VAData("TIGO", "FY-2026", "Net revenue - IFRS", "Consensus", "CD", "","","")</f>
        <v>5897.0866698282989</v>
      </c>
      <c r="Q38" s="2342" cm="1">
        <f t="array" ref="Q38">_xll.VAData("TIGO", "FY-2027", "Net revenue - IFRS", "Consensus", "CD", "","","")</f>
        <v>5989.098822328895</v>
      </c>
      <c r="R38" s="1698"/>
      <c r="S38" s="1698"/>
      <c r="T38" s="1698"/>
      <c r="U38" s="1293"/>
      <c r="V38" s="1293"/>
      <c r="W38" s="1293"/>
      <c r="X38" s="1293"/>
      <c r="Y38" s="1293"/>
      <c r="Z38" s="1293"/>
      <c r="AA38" s="1293"/>
      <c r="AB38" s="1293"/>
      <c r="AC38" s="1293"/>
      <c r="AD38" s="1293"/>
      <c r="AE38" s="1293"/>
      <c r="AF38" s="1293"/>
      <c r="AG38" s="1293"/>
      <c r="AH38" s="1293"/>
      <c r="AI38" s="1293"/>
      <c r="AJ38" s="1293"/>
      <c r="AK38" s="1293"/>
      <c r="AL38" s="1293"/>
      <c r="AM38" s="1293"/>
      <c r="AN38" s="1293"/>
      <c r="AO38" s="1293"/>
      <c r="AP38" s="1293"/>
      <c r="AQ38" s="1293"/>
      <c r="AR38" s="1293"/>
      <c r="AS38" s="1293"/>
      <c r="AT38" s="1293"/>
      <c r="AU38" s="1293"/>
      <c r="AV38" s="1293"/>
      <c r="AW38" s="1293"/>
      <c r="AX38" s="1293"/>
      <c r="AY38" s="1293"/>
      <c r="AZ38" s="1293"/>
      <c r="BA38" s="1293"/>
      <c r="BB38" s="1293"/>
      <c r="BC38" s="1293"/>
      <c r="BD38" s="1293"/>
      <c r="BE38" s="1293"/>
      <c r="BF38" s="1293"/>
      <c r="BG38" s="1293"/>
      <c r="BH38" s="1293"/>
      <c r="BI38" s="1293"/>
      <c r="BJ38" s="1293"/>
      <c r="BK38" s="1293"/>
      <c r="BL38" s="1293"/>
      <c r="BM38" s="1293"/>
      <c r="BN38" s="1293"/>
      <c r="BO38" s="1293"/>
      <c r="BP38" s="1293"/>
      <c r="BQ38" s="1293"/>
      <c r="BR38" s="1293"/>
      <c r="BS38" s="1293"/>
      <c r="BT38" s="1293"/>
      <c r="BU38" s="1293"/>
      <c r="BV38" s="1293"/>
      <c r="BW38" s="1293"/>
      <c r="BX38" s="1293"/>
      <c r="BY38" s="1293"/>
      <c r="BZ38" s="1293"/>
      <c r="CA38" s="1293"/>
      <c r="CB38" s="1293"/>
      <c r="CC38" s="1293"/>
      <c r="CD38" s="1293"/>
      <c r="CE38" s="1293"/>
      <c r="CF38" s="1293"/>
      <c r="CG38" s="1293"/>
    </row>
    <row r="39" spans="1:85" ht="15.75">
      <c r="A39" s="1293"/>
      <c r="B39" s="1293"/>
      <c r="C39" s="1293" t="s">
        <v>9024</v>
      </c>
      <c r="D39" s="1698"/>
      <c r="E39" s="1698"/>
      <c r="F39" s="1698"/>
      <c r="G39" s="1698"/>
      <c r="H39" s="1698"/>
      <c r="I39" s="1698"/>
      <c r="J39" s="1698"/>
      <c r="K39" s="1698"/>
      <c r="L39" s="1698"/>
      <c r="M39" s="1698"/>
      <c r="N39" s="1698"/>
      <c r="O39" s="2343">
        <f t="shared" ref="O39:P39" si="37">O35/O38-1</f>
        <v>-3.8267536661803048E-2</v>
      </c>
      <c r="P39" s="2343">
        <f t="shared" si="37"/>
        <v>-4.9860843073079364E-2</v>
      </c>
      <c r="Q39" s="2343">
        <f t="shared" ref="Q39" si="38">Q35/Q38-1</f>
        <v>-4.8728273514295872E-2</v>
      </c>
      <c r="R39" s="1698"/>
      <c r="S39" s="1698"/>
      <c r="T39" s="1698"/>
      <c r="U39" s="1293"/>
      <c r="V39" s="1293"/>
      <c r="W39" s="1293"/>
      <c r="X39" s="1293"/>
      <c r="Y39" s="1293"/>
      <c r="Z39" s="1293"/>
      <c r="AA39" s="1293"/>
      <c r="AB39" s="1293"/>
      <c r="AC39" s="1293"/>
      <c r="AD39" s="1293"/>
      <c r="AE39" s="1293"/>
      <c r="AF39" s="1293"/>
      <c r="AG39" s="1293"/>
      <c r="AH39" s="1293"/>
      <c r="AI39" s="1293"/>
      <c r="AJ39" s="1293"/>
      <c r="AK39" s="1293"/>
      <c r="AL39" s="1293"/>
      <c r="AM39" s="1293"/>
      <c r="AN39" s="1293"/>
      <c r="AO39" s="1293"/>
      <c r="AP39" s="1293"/>
      <c r="AQ39" s="1293"/>
      <c r="AR39" s="1293"/>
      <c r="AS39" s="1293"/>
      <c r="AT39" s="1293"/>
      <c r="AU39" s="1293"/>
      <c r="AV39" s="1293"/>
      <c r="AW39" s="1293"/>
      <c r="AX39" s="1293"/>
      <c r="AY39" s="1293"/>
      <c r="AZ39" s="1293"/>
      <c r="BA39" s="1293"/>
      <c r="BB39" s="1293"/>
      <c r="BC39" s="1293"/>
      <c r="BD39" s="1293"/>
      <c r="BE39" s="1293"/>
      <c r="BF39" s="1293"/>
      <c r="BG39" s="1293"/>
      <c r="BH39" s="1293"/>
      <c r="BI39" s="1293"/>
      <c r="BJ39" s="1293"/>
      <c r="BK39" s="1293"/>
      <c r="BL39" s="1293"/>
      <c r="BM39" s="1293"/>
      <c r="BN39" s="1293"/>
      <c r="BO39" s="1293"/>
      <c r="BP39" s="1293"/>
      <c r="BQ39" s="1293"/>
      <c r="BR39" s="1293"/>
      <c r="BS39" s="1293"/>
      <c r="BT39" s="1293"/>
      <c r="BU39" s="1293"/>
      <c r="BV39" s="1293"/>
      <c r="BW39" s="1293"/>
      <c r="BX39" s="1293"/>
      <c r="BY39" s="1293"/>
      <c r="BZ39" s="1293"/>
      <c r="CA39" s="1293"/>
      <c r="CB39" s="1293"/>
      <c r="CC39" s="1293"/>
      <c r="CD39" s="1293"/>
      <c r="CE39" s="1293"/>
      <c r="CF39" s="1293"/>
      <c r="CG39" s="1293"/>
    </row>
    <row r="40" spans="1:85" ht="15.75" hidden="1" outlineLevel="1">
      <c r="A40" s="1293"/>
      <c r="B40" s="1293"/>
      <c r="C40" s="1982" t="s">
        <v>5518</v>
      </c>
      <c r="D40" s="1698"/>
      <c r="E40" s="1698"/>
      <c r="F40" s="1698"/>
      <c r="G40" s="1698"/>
      <c r="H40" s="1698">
        <f t="shared" ref="H40:O40" si="39">H35-0.2*H11-0.5*H20-0.33*H7-0.45*H6</f>
        <v>4366.7299999999996</v>
      </c>
      <c r="I40" s="1698">
        <f t="shared" si="39"/>
        <v>4684.2299999999996</v>
      </c>
      <c r="J40" s="1698">
        <f>J35-0.2*J11-0.5*J20-0.33*J7-0.45*J6</f>
        <v>4625.59</v>
      </c>
      <c r="K40" s="1698">
        <f>K35-0.2*K11-0.5*K20-0.33*K7-0.45*K6</f>
        <v>4868.53</v>
      </c>
      <c r="L40" s="1698">
        <f>L35-0.2*L11-0.5*L20-0.33*L7-0.45*L6</f>
        <v>3904.8860700000005</v>
      </c>
      <c r="M40" s="1698">
        <f t="shared" si="39"/>
        <v>3954.6777899999997</v>
      </c>
      <c r="N40" s="1698">
        <f t="shared" si="39"/>
        <v>4147.1461680000002</v>
      </c>
      <c r="O40" s="1698">
        <f t="shared" si="39"/>
        <v>3781.4884185172568</v>
      </c>
      <c r="P40" s="1698">
        <f>P35-0.2*P11-0.5*P20-0.33*P7-0.45*P6</f>
        <v>3841.2425172492244</v>
      </c>
      <c r="Q40" s="1698">
        <f>Q35-0.2*Q11-0.5*Q20-0.33*Q7-0.45*Q6</f>
        <v>3912.5216591701255</v>
      </c>
      <c r="R40" s="1698">
        <f>R35-0.2*R11-0.5*R20-0.33*R7-0.45*R6</f>
        <v>3987.2878774278015</v>
      </c>
      <c r="S40" s="1698">
        <f>S35-0.2*S11-0.5*S20-0.33*S7-0.45*S6</f>
        <v>4051.457762844183</v>
      </c>
      <c r="T40" s="1698">
        <f>T35-0.2*T11-0.5*T20-0.33*T7-0.45*T6</f>
        <v>4105.3804113316764</v>
      </c>
      <c r="U40" s="1293"/>
      <c r="V40" s="1293"/>
      <c r="W40" s="1293"/>
      <c r="X40" s="1293"/>
      <c r="Y40" s="1293"/>
      <c r="Z40" s="1293"/>
      <c r="AA40" s="1293"/>
      <c r="AB40" s="1293"/>
      <c r="AC40" s="1293"/>
      <c r="AD40" s="1293"/>
      <c r="AE40" s="1293"/>
      <c r="AF40" s="1293"/>
      <c r="AG40" s="1293"/>
      <c r="AH40" s="1293"/>
      <c r="AI40" s="1293"/>
      <c r="AJ40" s="1293"/>
      <c r="AK40" s="1293"/>
      <c r="AL40" s="1293"/>
      <c r="AM40" s="1293"/>
      <c r="AN40" s="1293"/>
      <c r="AO40" s="1293"/>
      <c r="AP40" s="1293"/>
      <c r="AQ40" s="1293"/>
      <c r="AR40" s="1293"/>
      <c r="AS40" s="1293"/>
      <c r="AT40" s="1293"/>
      <c r="AU40" s="1293"/>
      <c r="AV40" s="1293"/>
      <c r="AW40" s="1293"/>
      <c r="AX40" s="1293"/>
      <c r="AY40" s="1293"/>
      <c r="AZ40" s="1293"/>
      <c r="BA40" s="1293"/>
      <c r="BB40" s="1293"/>
      <c r="BC40" s="1293"/>
      <c r="BD40" s="1293"/>
      <c r="BE40" s="1293"/>
      <c r="BF40" s="1293"/>
      <c r="BG40" s="1293"/>
      <c r="BH40" s="1293"/>
      <c r="BI40" s="1293"/>
      <c r="BJ40" s="1293"/>
      <c r="BK40" s="1293"/>
      <c r="BL40" s="1293"/>
      <c r="BM40" s="1293"/>
      <c r="BN40" s="1293"/>
      <c r="BO40" s="1293"/>
      <c r="BP40" s="1293"/>
      <c r="BQ40" s="1293"/>
      <c r="BR40" s="1293"/>
      <c r="BS40" s="1293"/>
      <c r="BT40" s="1293"/>
      <c r="BU40" s="1293"/>
      <c r="BV40" s="1293"/>
      <c r="BW40" s="1293"/>
      <c r="BX40" s="1293"/>
      <c r="BY40" s="1293"/>
      <c r="BZ40" s="1293"/>
      <c r="CA40" s="1293"/>
      <c r="CB40" s="1293"/>
      <c r="CC40" s="1293"/>
      <c r="CD40" s="1293"/>
      <c r="CE40" s="1293"/>
      <c r="CF40" s="1293"/>
      <c r="CG40" s="1293"/>
    </row>
    <row r="41" spans="1:85" ht="15.75" hidden="1" outlineLevel="1" collapsed="1">
      <c r="A41" s="1293"/>
      <c r="B41" s="1293"/>
      <c r="C41" s="1293" t="s">
        <v>5957</v>
      </c>
      <c r="D41" s="1698"/>
      <c r="E41" s="1698"/>
      <c r="F41" s="1698"/>
      <c r="G41" s="1988"/>
      <c r="H41" s="1698">
        <f t="shared" ref="H41:T41" si="40">H35-H33</f>
        <v>5485.5</v>
      </c>
      <c r="I41" s="1698">
        <f t="shared" si="40"/>
        <v>5959</v>
      </c>
      <c r="J41" s="1698">
        <f t="shared" si="40"/>
        <v>5866</v>
      </c>
      <c r="K41" s="1698">
        <f t="shared" si="40"/>
        <v>6215</v>
      </c>
      <c r="L41" s="1698">
        <f t="shared" si="40"/>
        <v>5624.5300000000007</v>
      </c>
      <c r="M41" s="1698">
        <f t="shared" si="40"/>
        <v>5661</v>
      </c>
      <c r="N41" s="1698">
        <f t="shared" si="40"/>
        <v>5804.2592000000004</v>
      </c>
      <c r="O41" s="1698">
        <f t="shared" si="40"/>
        <v>5523.9546913835384</v>
      </c>
      <c r="P41" s="1698">
        <f t="shared" si="40"/>
        <v>5603.0529567956419</v>
      </c>
      <c r="Q41" s="1698">
        <f t="shared" si="40"/>
        <v>5697.2603768103054</v>
      </c>
      <c r="R41" s="1698">
        <f t="shared" si="40"/>
        <v>5798.6244029074151</v>
      </c>
      <c r="S41" s="1698">
        <f t="shared" si="40"/>
        <v>5882.0473511545479</v>
      </c>
      <c r="T41" s="1698">
        <f t="shared" si="40"/>
        <v>5952.0055851318775</v>
      </c>
      <c r="U41" s="1293"/>
      <c r="V41" s="1293"/>
      <c r="W41" s="1293"/>
      <c r="X41" s="1293"/>
      <c r="Y41" s="1293"/>
      <c r="Z41" s="1293"/>
      <c r="AA41" s="1293"/>
      <c r="AB41" s="1293"/>
      <c r="AC41" s="1293"/>
      <c r="AD41" s="1293"/>
      <c r="AE41" s="1293"/>
      <c r="AF41" s="1293"/>
      <c r="AG41" s="1293"/>
      <c r="AH41" s="1293"/>
      <c r="AI41" s="1293"/>
      <c r="AJ41" s="1293"/>
      <c r="AK41" s="1293"/>
      <c r="AL41" s="1293"/>
      <c r="AM41" s="1293"/>
      <c r="AN41" s="1293"/>
      <c r="AO41" s="1293"/>
      <c r="AP41" s="1293"/>
      <c r="AQ41" s="1293"/>
      <c r="AR41" s="1293"/>
      <c r="AS41" s="1293"/>
      <c r="AT41" s="1293"/>
      <c r="AU41" s="1293"/>
      <c r="AV41" s="1293"/>
      <c r="AW41" s="1293"/>
      <c r="AX41" s="1293"/>
      <c r="AY41" s="1293"/>
      <c r="AZ41" s="1293"/>
      <c r="BA41" s="1293"/>
      <c r="BB41" s="1293"/>
      <c r="BC41" s="1293"/>
      <c r="BD41" s="1293"/>
      <c r="BE41" s="1293"/>
      <c r="BF41" s="1293"/>
      <c r="BG41" s="1293"/>
      <c r="BH41" s="1293"/>
      <c r="BI41" s="1293"/>
      <c r="BJ41" s="1293"/>
      <c r="BK41" s="1293"/>
      <c r="BL41" s="1293"/>
      <c r="BM41" s="1293"/>
      <c r="BN41" s="1293"/>
      <c r="BO41" s="1293"/>
      <c r="BP41" s="1293"/>
      <c r="BQ41" s="1293"/>
      <c r="BR41" s="1293"/>
      <c r="BS41" s="1293"/>
      <c r="BT41" s="1293"/>
      <c r="BU41" s="1293"/>
      <c r="BV41" s="1293"/>
      <c r="BW41" s="1293"/>
      <c r="BX41" s="1293"/>
      <c r="BY41" s="1293"/>
      <c r="BZ41" s="1293"/>
      <c r="CA41" s="1293"/>
      <c r="CB41" s="1293"/>
      <c r="CC41" s="1293"/>
      <c r="CD41" s="1293"/>
      <c r="CE41" s="1293"/>
      <c r="CF41" s="1293"/>
      <c r="CG41" s="1293"/>
    </row>
    <row r="42" spans="1:85" ht="15.75" collapsed="1">
      <c r="A42" s="1293"/>
      <c r="B42" s="1293"/>
      <c r="C42" s="1293"/>
      <c r="D42" s="1293"/>
      <c r="E42" s="1293"/>
      <c r="F42" s="1293"/>
      <c r="G42" s="1293"/>
      <c r="H42" s="1293"/>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c r="AF42" s="1293"/>
      <c r="AG42" s="1293"/>
      <c r="AH42" s="1293"/>
      <c r="AI42" s="1293"/>
      <c r="AJ42" s="1293"/>
      <c r="AK42" s="1293"/>
      <c r="AL42" s="1293"/>
      <c r="AM42" s="1293"/>
      <c r="AN42" s="1293"/>
      <c r="AO42" s="1293"/>
      <c r="AP42" s="1293"/>
      <c r="AQ42" s="1293"/>
      <c r="AR42" s="1293"/>
      <c r="AS42" s="1293"/>
      <c r="AT42" s="1293"/>
      <c r="AU42" s="1293"/>
      <c r="AV42" s="1293"/>
      <c r="AW42" s="1293"/>
      <c r="AX42" s="1293"/>
      <c r="AY42" s="1293"/>
      <c r="AZ42" s="1293"/>
      <c r="BA42" s="1293"/>
      <c r="BB42" s="1293"/>
      <c r="BC42" s="1293"/>
      <c r="BD42" s="1293"/>
      <c r="BE42" s="1293"/>
      <c r="BF42" s="1293"/>
      <c r="BG42" s="1293"/>
      <c r="BH42" s="1293"/>
      <c r="BI42" s="1293"/>
      <c r="BJ42" s="1293"/>
      <c r="BK42" s="1293"/>
      <c r="BL42" s="1293"/>
      <c r="BM42" s="1293"/>
      <c r="BN42" s="1293"/>
      <c r="BO42" s="1293"/>
      <c r="BP42" s="1293"/>
      <c r="BQ42" s="1293"/>
      <c r="BR42" s="1293"/>
      <c r="BS42" s="1293"/>
      <c r="BT42" s="1293"/>
      <c r="BU42" s="1293"/>
      <c r="BV42" s="1293"/>
      <c r="BW42" s="1293"/>
      <c r="BX42" s="1293"/>
      <c r="BY42" s="1293"/>
      <c r="BZ42" s="1293"/>
      <c r="CA42" s="1293"/>
      <c r="CB42" s="1293"/>
      <c r="CC42" s="1293"/>
      <c r="CD42" s="1293"/>
      <c r="CE42" s="1293"/>
      <c r="CF42" s="1293"/>
      <c r="CG42" s="1293"/>
    </row>
    <row r="43" spans="1:85" ht="15.75">
      <c r="A43" s="1293"/>
      <c r="B43" s="1293"/>
      <c r="C43" s="1334"/>
      <c r="D43" s="1963"/>
      <c r="E43" s="1963"/>
      <c r="F43" s="1963"/>
      <c r="G43" s="1963"/>
      <c r="H43" s="1963"/>
      <c r="I43" s="1963"/>
      <c r="J43" s="1963"/>
      <c r="K43" s="1963"/>
      <c r="L43" s="1963"/>
      <c r="M43" s="1963"/>
      <c r="N43" s="1963"/>
      <c r="O43" s="1963"/>
      <c r="P43" s="1963"/>
      <c r="Q43" s="1963"/>
      <c r="R43" s="1963"/>
      <c r="S43" s="1963"/>
      <c r="T43" s="1963"/>
      <c r="U43" s="1293"/>
      <c r="V43" s="1293"/>
      <c r="W43" s="1293"/>
      <c r="X43" s="1293"/>
      <c r="Y43" s="1293"/>
      <c r="Z43" s="1293"/>
      <c r="AA43" s="1293"/>
      <c r="AB43" s="1293"/>
      <c r="AC43" s="1293"/>
      <c r="AD43" s="1293"/>
      <c r="AE43" s="1293"/>
      <c r="AF43" s="1293"/>
      <c r="AG43" s="1293"/>
      <c r="AH43" s="1293"/>
      <c r="AI43" s="1293"/>
      <c r="AJ43" s="1293"/>
      <c r="AK43" s="1293"/>
      <c r="AL43" s="1293"/>
      <c r="AM43" s="1293"/>
      <c r="AN43" s="1293"/>
      <c r="AO43" s="1293"/>
      <c r="AP43" s="1293"/>
      <c r="AQ43" s="1293"/>
      <c r="AR43" s="1293"/>
      <c r="AS43" s="1293"/>
      <c r="AT43" s="1293"/>
      <c r="AU43" s="1293"/>
      <c r="AV43" s="1293"/>
      <c r="AW43" s="1293"/>
      <c r="AX43" s="1293"/>
      <c r="AY43" s="1293"/>
      <c r="AZ43" s="1293"/>
      <c r="BA43" s="1293"/>
      <c r="BB43" s="1293"/>
      <c r="BC43" s="1293"/>
      <c r="BD43" s="1293"/>
      <c r="BE43" s="1293"/>
      <c r="BF43" s="1293"/>
      <c r="BG43" s="1293"/>
      <c r="BH43" s="1293"/>
      <c r="BI43" s="1293"/>
      <c r="BJ43" s="1293"/>
      <c r="BK43" s="1293"/>
      <c r="BL43" s="1293"/>
      <c r="BM43" s="1293"/>
      <c r="BN43" s="1293"/>
      <c r="BO43" s="1293"/>
      <c r="BP43" s="1293"/>
      <c r="BQ43" s="1293"/>
      <c r="BR43" s="1293"/>
      <c r="BS43" s="1293"/>
      <c r="BT43" s="1293"/>
      <c r="BU43" s="1293"/>
      <c r="BV43" s="1293"/>
      <c r="BW43" s="1293"/>
      <c r="BX43" s="1293"/>
      <c r="BY43" s="1293"/>
      <c r="BZ43" s="1293"/>
      <c r="CA43" s="1293"/>
      <c r="CB43" s="1293"/>
      <c r="CC43" s="1293"/>
      <c r="CD43" s="1293"/>
      <c r="CE43" s="1293"/>
      <c r="CF43" s="1293"/>
      <c r="CG43" s="1293"/>
    </row>
    <row r="44" spans="1:85" ht="15.75">
      <c r="A44" s="1293"/>
      <c r="B44" s="1293"/>
      <c r="C44" s="1293"/>
      <c r="D44" s="1699"/>
      <c r="E44" s="1699"/>
      <c r="F44" s="1699"/>
      <c r="G44" s="1699"/>
      <c r="H44" s="1699"/>
      <c r="I44" s="1989"/>
      <c r="J44" s="1989"/>
      <c r="K44" s="1328"/>
      <c r="L44" s="1328"/>
      <c r="M44" s="1328"/>
      <c r="N44" s="1328"/>
      <c r="O44" s="1328"/>
      <c r="P44" s="1328"/>
      <c r="Q44" s="1328"/>
      <c r="R44" s="1328"/>
      <c r="S44" s="1328"/>
      <c r="T44" s="1328"/>
      <c r="U44" s="1293"/>
      <c r="V44" s="1293"/>
      <c r="W44" s="1293"/>
      <c r="X44" s="1293"/>
      <c r="Y44" s="1293"/>
      <c r="Z44" s="1293"/>
      <c r="AA44" s="1293"/>
      <c r="AB44" s="1293"/>
      <c r="AC44" s="1293"/>
      <c r="AD44" s="1293"/>
      <c r="AE44" s="1293"/>
      <c r="AF44" s="1293"/>
      <c r="AG44" s="1293"/>
      <c r="AH44" s="1293"/>
      <c r="AI44" s="1293"/>
      <c r="AJ44" s="1293"/>
      <c r="AK44" s="1293"/>
      <c r="AL44" s="1293"/>
      <c r="AM44" s="1293"/>
      <c r="AN44" s="1293"/>
      <c r="AO44" s="1293"/>
      <c r="AP44" s="1293"/>
      <c r="AQ44" s="1293"/>
      <c r="AR44" s="1293"/>
      <c r="AS44" s="1293"/>
      <c r="AT44" s="1293"/>
      <c r="AU44" s="1293"/>
      <c r="AV44" s="1293"/>
      <c r="AW44" s="1293"/>
      <c r="AX44" s="1293"/>
      <c r="AY44" s="1293"/>
      <c r="AZ44" s="1293"/>
      <c r="BA44" s="1293"/>
      <c r="BB44" s="1293"/>
      <c r="BC44" s="1293"/>
      <c r="BD44" s="1293"/>
      <c r="BE44" s="1293"/>
      <c r="BF44" s="1293"/>
      <c r="BG44" s="1293"/>
      <c r="BH44" s="1293"/>
      <c r="BI44" s="1293"/>
      <c r="BJ44" s="1293"/>
      <c r="BK44" s="1293"/>
      <c r="BL44" s="1293"/>
      <c r="BM44" s="1293"/>
      <c r="BN44" s="1293"/>
      <c r="BO44" s="1293"/>
      <c r="BP44" s="1293"/>
      <c r="BQ44" s="1293"/>
      <c r="BR44" s="1293"/>
      <c r="BS44" s="1293"/>
      <c r="BT44" s="1293"/>
      <c r="BU44" s="1293"/>
      <c r="BV44" s="1293"/>
      <c r="BW44" s="1293"/>
      <c r="BX44" s="1293"/>
      <c r="BY44" s="1293"/>
      <c r="BZ44" s="1293"/>
      <c r="CA44" s="1293"/>
      <c r="CB44" s="1293"/>
      <c r="CC44" s="1293"/>
      <c r="CD44" s="1293"/>
      <c r="CE44" s="1293"/>
      <c r="CF44" s="1293"/>
      <c r="CG44" s="1293"/>
    </row>
    <row r="45" spans="1:85" ht="15.75">
      <c r="A45" s="1293"/>
      <c r="B45" s="1293"/>
      <c r="C45" s="1324" t="s">
        <v>4516</v>
      </c>
      <c r="D45" s="1657">
        <f t="shared" ref="D45:T45" si="41">D4</f>
        <v>2014</v>
      </c>
      <c r="E45" s="1657">
        <f t="shared" si="41"/>
        <v>2015</v>
      </c>
      <c r="F45" s="1657">
        <f t="shared" si="41"/>
        <v>2016</v>
      </c>
      <c r="G45" s="1657">
        <f t="shared" si="41"/>
        <v>2017</v>
      </c>
      <c r="H45" s="1657">
        <f t="shared" si="41"/>
        <v>2018</v>
      </c>
      <c r="I45" s="1657">
        <f t="shared" si="41"/>
        <v>2019</v>
      </c>
      <c r="J45" s="1657">
        <f t="shared" si="41"/>
        <v>2020</v>
      </c>
      <c r="K45" s="1657">
        <f t="shared" si="41"/>
        <v>2021</v>
      </c>
      <c r="L45" s="1657">
        <f t="shared" si="41"/>
        <v>2022</v>
      </c>
      <c r="M45" s="1657">
        <f t="shared" si="41"/>
        <v>2023</v>
      </c>
      <c r="N45" s="1657">
        <f t="shared" si="41"/>
        <v>2024</v>
      </c>
      <c r="O45" s="1657">
        <f t="shared" si="41"/>
        <v>2025</v>
      </c>
      <c r="P45" s="1657">
        <f t="shared" si="41"/>
        <v>2026</v>
      </c>
      <c r="Q45" s="1657">
        <f t="shared" si="41"/>
        <v>2027</v>
      </c>
      <c r="R45" s="1657">
        <f t="shared" si="41"/>
        <v>2028</v>
      </c>
      <c r="S45" s="1657">
        <f t="shared" si="41"/>
        <v>2029</v>
      </c>
      <c r="T45" s="1657">
        <f t="shared" si="41"/>
        <v>2030</v>
      </c>
      <c r="U45" s="1293"/>
      <c r="V45" s="1293"/>
      <c r="W45" s="1293"/>
      <c r="X45" s="1293"/>
      <c r="Y45" s="1293"/>
      <c r="Z45" s="1293"/>
      <c r="AA45" s="1293"/>
      <c r="AB45" s="1293"/>
      <c r="AC45" s="1293"/>
      <c r="AD45" s="1293"/>
      <c r="AE45" s="1293"/>
      <c r="AF45" s="1293"/>
      <c r="AG45" s="1293"/>
      <c r="AH45" s="1293"/>
      <c r="AI45" s="1293"/>
      <c r="AJ45" s="1293"/>
      <c r="AK45" s="1293"/>
      <c r="AL45" s="1293"/>
      <c r="AM45" s="1293"/>
      <c r="AN45" s="1293"/>
      <c r="AO45" s="1293"/>
      <c r="AP45" s="1293"/>
      <c r="AQ45" s="1293"/>
      <c r="AR45" s="1293"/>
      <c r="AS45" s="1293"/>
      <c r="AT45" s="1293"/>
      <c r="AU45" s="1293"/>
      <c r="AV45" s="1293"/>
      <c r="AW45" s="1293"/>
      <c r="AX45" s="1293"/>
      <c r="AY45" s="1293"/>
      <c r="AZ45" s="1293"/>
      <c r="BA45" s="1293"/>
      <c r="BB45" s="1293"/>
      <c r="BC45" s="1293"/>
      <c r="BD45" s="1293"/>
      <c r="BE45" s="1293"/>
      <c r="BF45" s="1293"/>
      <c r="BG45" s="1293"/>
      <c r="BH45" s="1293"/>
      <c r="BI45" s="1293"/>
      <c r="BJ45" s="1293"/>
      <c r="BK45" s="1293"/>
      <c r="BL45" s="1293"/>
      <c r="BM45" s="1293"/>
      <c r="BN45" s="1293"/>
      <c r="BO45" s="1293"/>
      <c r="BP45" s="1293"/>
      <c r="BQ45" s="1293"/>
      <c r="BR45" s="1293"/>
      <c r="BS45" s="1293"/>
      <c r="BT45" s="1293"/>
      <c r="BU45" s="1293"/>
      <c r="BV45" s="1293"/>
      <c r="BW45" s="1293"/>
      <c r="BX45" s="1293"/>
      <c r="BY45" s="1293"/>
      <c r="BZ45" s="1293"/>
      <c r="CA45" s="1293"/>
      <c r="CB45" s="1293"/>
      <c r="CC45" s="1293"/>
      <c r="CD45" s="1293"/>
      <c r="CE45" s="1293"/>
      <c r="CF45" s="1293"/>
      <c r="CG45" s="1293"/>
    </row>
    <row r="46" spans="1:85" ht="15.75">
      <c r="A46" s="1293"/>
      <c r="B46" s="1293"/>
      <c r="C46" s="1293" t="str">
        <f t="shared" ref="C46:C57" si="42">C5</f>
        <v>El Salvador</v>
      </c>
      <c r="D46" s="2490">
        <f>'New (new) quarts'!G39</f>
        <v>415.01355272000001</v>
      </c>
      <c r="E46" s="2490">
        <f>'New (new) quarts'!L39</f>
        <v>420.10799114000002</v>
      </c>
      <c r="F46" s="2490">
        <f>'New (new) quarts'!Q39</f>
        <v>400.02756790000041</v>
      </c>
      <c r="G46" s="2490">
        <f>'New (new) quarts'!V39</f>
        <v>399</v>
      </c>
      <c r="H46" s="2490">
        <f>'New (new) quarts'!AA39</f>
        <v>371</v>
      </c>
      <c r="I46" s="2490">
        <f>'New (new) quarts'!AJ39</f>
        <v>348</v>
      </c>
      <c r="J46" s="2490">
        <f>'New (new) quarts'!AO39</f>
        <v>347</v>
      </c>
      <c r="K46" s="2490">
        <f>'New (new) quarts'!AT39</f>
        <v>398</v>
      </c>
      <c r="L46" s="2490">
        <f>'New (new) quarts'!AY39</f>
        <v>428.72640000000001</v>
      </c>
      <c r="M46" s="2490">
        <f>'New (new) quarts'!BD39</f>
        <v>443.04190000000006</v>
      </c>
      <c r="N46" s="2490">
        <f>'New (new) quarts'!BI39</f>
        <v>448.09619999999995</v>
      </c>
      <c r="O46" s="1327">
        <f>O184/O123</f>
        <v>456.96000000000004</v>
      </c>
      <c r="P46" s="1327">
        <f t="shared" ref="O46:T51" si="43">P184/P123</f>
        <v>466.09920000000005</v>
      </c>
      <c r="Q46" s="1327">
        <f t="shared" si="43"/>
        <v>475.42118400000004</v>
      </c>
      <c r="R46" s="1327">
        <f t="shared" si="43"/>
        <v>484.92960768000006</v>
      </c>
      <c r="S46" s="1327">
        <f t="shared" si="43"/>
        <v>494.62819983360009</v>
      </c>
      <c r="T46" s="1327">
        <f t="shared" si="43"/>
        <v>504.52076383027213</v>
      </c>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293"/>
      <c r="AV46" s="1293"/>
      <c r="AW46" s="1293"/>
      <c r="AX46" s="1293"/>
      <c r="AY46" s="1293"/>
      <c r="AZ46" s="1293"/>
      <c r="BA46" s="1293"/>
      <c r="BB46" s="1293"/>
      <c r="BC46" s="1293"/>
      <c r="BD46" s="1293"/>
      <c r="BE46" s="1293"/>
      <c r="BF46" s="1293"/>
      <c r="BG46" s="1293"/>
      <c r="BH46" s="1293"/>
      <c r="BI46" s="1293"/>
      <c r="BJ46" s="1293"/>
      <c r="BK46" s="1293"/>
      <c r="BL46" s="1293"/>
      <c r="BM46" s="1293"/>
      <c r="BN46" s="1293"/>
      <c r="BO46" s="1293"/>
      <c r="BP46" s="1293"/>
      <c r="BQ46" s="1293"/>
      <c r="BR46" s="1293"/>
      <c r="BS46" s="1293"/>
      <c r="BT46" s="1293"/>
      <c r="BU46" s="1293"/>
      <c r="BV46" s="1293"/>
      <c r="BW46" s="1293"/>
      <c r="BX46" s="1293"/>
      <c r="BY46" s="1293"/>
      <c r="BZ46" s="1293"/>
      <c r="CA46" s="1293"/>
      <c r="CB46" s="1293"/>
      <c r="CC46" s="1293"/>
      <c r="CD46" s="1293"/>
      <c r="CE46" s="1293"/>
      <c r="CF46" s="1293"/>
      <c r="CG46" s="1293"/>
    </row>
    <row r="47" spans="1:85" ht="15.75">
      <c r="A47" s="1293"/>
      <c r="B47" s="1293"/>
      <c r="C47" s="1293" t="str">
        <f t="shared" si="42"/>
        <v>Guatemala</v>
      </c>
      <c r="D47" s="2490">
        <f>'New (new) quarts'!G40</f>
        <v>1110.3522646667409</v>
      </c>
      <c r="E47" s="2490">
        <f>'New (new) quarts'!L40</f>
        <v>1155.8289201390489</v>
      </c>
      <c r="F47" s="2490">
        <f>'New (new) quarts'!Q40</f>
        <v>1143.2211569080059</v>
      </c>
      <c r="G47" s="2490">
        <f>'New (new) quarts'!V40</f>
        <v>1183</v>
      </c>
      <c r="H47" s="2490">
        <f>'New (new) quarts'!AA40</f>
        <v>1201</v>
      </c>
      <c r="I47" s="2490">
        <f>'New (new) quarts'!AJ40</f>
        <v>1234</v>
      </c>
      <c r="J47" s="2490">
        <f>'New (new) quarts'!AO40</f>
        <v>1272</v>
      </c>
      <c r="K47" s="2490">
        <f>'New (new) quarts'!AT40</f>
        <v>1364</v>
      </c>
      <c r="L47" s="2490">
        <f>'New (new) quarts'!AY40</f>
        <v>1373.2523000000001</v>
      </c>
      <c r="M47" s="2490">
        <f>'New (new) quarts'!BD40</f>
        <v>1339.0893000000001</v>
      </c>
      <c r="N47" s="2490">
        <f>'New (new) quarts'!BI40</f>
        <v>1390.6582999999998</v>
      </c>
      <c r="O47" s="1327">
        <f t="shared" si="43"/>
        <v>1438.1322077922077</v>
      </c>
      <c r="P47" s="1327">
        <f t="shared" si="43"/>
        <v>1459.4906069178346</v>
      </c>
      <c r="Q47" s="1327">
        <f t="shared" si="43"/>
        <v>1481.1662099908715</v>
      </c>
      <c r="R47" s="1327">
        <f t="shared" si="43"/>
        <v>1503.1637279610329</v>
      </c>
      <c r="S47" s="1327">
        <f t="shared" si="43"/>
        <v>1518.0465371487658</v>
      </c>
      <c r="T47" s="1327">
        <f t="shared" si="43"/>
        <v>1533.0767008829121</v>
      </c>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293"/>
      <c r="AV47" s="1293"/>
      <c r="AW47" s="1293"/>
      <c r="AX47" s="1293"/>
      <c r="AY47" s="1293"/>
      <c r="AZ47" s="1293"/>
      <c r="BA47" s="1293"/>
      <c r="BB47" s="1293"/>
      <c r="BC47" s="1293"/>
      <c r="BD47" s="1293"/>
      <c r="BE47" s="1293"/>
      <c r="BF47" s="1293"/>
      <c r="BG47" s="1293"/>
      <c r="BH47" s="1293"/>
      <c r="BI47" s="1293"/>
      <c r="BJ47" s="1293"/>
      <c r="BK47" s="1293"/>
      <c r="BL47" s="1293"/>
      <c r="BM47" s="1293"/>
      <c r="BN47" s="1293"/>
      <c r="BO47" s="1293"/>
      <c r="BP47" s="1293"/>
      <c r="BQ47" s="1293"/>
      <c r="BR47" s="1293"/>
      <c r="BS47" s="1293"/>
      <c r="BT47" s="1293"/>
      <c r="BU47" s="1293"/>
      <c r="BV47" s="1293"/>
      <c r="BW47" s="1293"/>
      <c r="BX47" s="1293"/>
      <c r="BY47" s="1293"/>
      <c r="BZ47" s="1293"/>
      <c r="CA47" s="1293"/>
      <c r="CB47" s="1293"/>
      <c r="CC47" s="1293"/>
      <c r="CD47" s="1293"/>
      <c r="CE47" s="1293"/>
      <c r="CF47" s="1293"/>
      <c r="CG47" s="1293"/>
    </row>
    <row r="48" spans="1:85" ht="15.75">
      <c r="A48" s="1293"/>
      <c r="B48" s="1293"/>
      <c r="C48" s="1293" t="str">
        <f t="shared" si="42"/>
        <v>Honduras (JV)</v>
      </c>
      <c r="D48" s="2490">
        <f>'New (new) quarts'!G41</f>
        <v>604.91453306137305</v>
      </c>
      <c r="E48" s="2490">
        <f>'New (new) quarts'!L41</f>
        <v>617.04496676433996</v>
      </c>
      <c r="F48" s="2490">
        <f>'New (new) quarts'!Q41</f>
        <v>585.42190313321407</v>
      </c>
      <c r="G48" s="2490">
        <f>'New (new) quarts'!V41</f>
        <v>565</v>
      </c>
      <c r="H48" s="2490">
        <f>'New (new) quarts'!AA41</f>
        <v>554</v>
      </c>
      <c r="I48" s="2490">
        <f>'New (new) quarts'!AJ41</f>
        <v>551</v>
      </c>
      <c r="J48" s="2490">
        <f>'New (new) quarts'!AO41</f>
        <v>516</v>
      </c>
      <c r="K48" s="2490">
        <f>'New (new) quarts'!AT41</f>
        <v>548</v>
      </c>
      <c r="L48" s="2490">
        <f>'New (new) quarts'!AY41</f>
        <v>549.00890000000004</v>
      </c>
      <c r="M48" s="2490">
        <f>'New (new) quarts'!BD41</f>
        <v>572.2165</v>
      </c>
      <c r="N48" s="2490">
        <f>'New (new) quarts'!BI41</f>
        <v>583.57600000000002</v>
      </c>
      <c r="O48" s="1327">
        <f t="shared" si="43"/>
        <v>580.96679687499989</v>
      </c>
      <c r="P48" s="1327">
        <f t="shared" si="43"/>
        <v>592.47108988242564</v>
      </c>
      <c r="Q48" s="1327">
        <f t="shared" si="43"/>
        <v>604.20319067217667</v>
      </c>
      <c r="R48" s="1327">
        <f t="shared" si="43"/>
        <v>616.16761028944757</v>
      </c>
      <c r="S48" s="1327">
        <f t="shared" si="43"/>
        <v>625.3186144026572</v>
      </c>
      <c r="T48" s="1327">
        <f t="shared" si="43"/>
        <v>634.60552451754802</v>
      </c>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293"/>
      <c r="AV48" s="1293"/>
      <c r="AW48" s="1293"/>
      <c r="AX48" s="1293"/>
      <c r="AY48" s="1293"/>
      <c r="AZ48" s="1293"/>
      <c r="BA48" s="1293"/>
      <c r="BB48" s="1293"/>
      <c r="BC48" s="1293"/>
      <c r="BD48" s="1293"/>
      <c r="BE48" s="1293"/>
      <c r="BF48" s="1293"/>
      <c r="BG48" s="1293"/>
      <c r="BH48" s="1293"/>
      <c r="BI48" s="1293"/>
      <c r="BJ48" s="1293"/>
      <c r="BK48" s="1293"/>
      <c r="BL48" s="1293"/>
      <c r="BM48" s="1293"/>
      <c r="BN48" s="1293"/>
      <c r="BO48" s="1293"/>
      <c r="BP48" s="1293"/>
      <c r="BQ48" s="1293"/>
      <c r="BR48" s="1293"/>
      <c r="BS48" s="1293"/>
      <c r="BT48" s="1293"/>
      <c r="BU48" s="1293"/>
      <c r="BV48" s="1293"/>
      <c r="BW48" s="1293"/>
      <c r="BX48" s="1293"/>
      <c r="BY48" s="1293"/>
      <c r="BZ48" s="1293"/>
      <c r="CA48" s="1293"/>
      <c r="CB48" s="1293"/>
      <c r="CC48" s="1293"/>
      <c r="CD48" s="1293"/>
      <c r="CE48" s="1293"/>
      <c r="CF48" s="1293"/>
      <c r="CG48" s="1293"/>
    </row>
    <row r="49" spans="1:85" ht="15.75">
      <c r="A49" s="1293"/>
      <c r="B49" s="1293"/>
      <c r="C49" s="1293" t="str">
        <f t="shared" si="42"/>
        <v>Panama</v>
      </c>
      <c r="D49" s="2490"/>
      <c r="E49" s="2490"/>
      <c r="F49" s="2490"/>
      <c r="G49" s="2490"/>
      <c r="H49" s="2490"/>
      <c r="I49" s="2490"/>
      <c r="J49" s="2490"/>
      <c r="K49" s="2490"/>
      <c r="L49" s="2490">
        <f>'New (new) quarts'!AY42</f>
        <v>624.19860000000006</v>
      </c>
      <c r="M49" s="2490">
        <f>'New (new) quarts'!BD42</f>
        <v>669.80100000000004</v>
      </c>
      <c r="N49" s="2490">
        <f>'New (new) quarts'!BI42</f>
        <v>699.90920000000006</v>
      </c>
      <c r="O49" s="1327">
        <f t="shared" si="43"/>
        <v>731.5</v>
      </c>
      <c r="P49" s="1327">
        <f t="shared" si="43"/>
        <v>762.58875</v>
      </c>
      <c r="Q49" s="1327">
        <f t="shared" si="43"/>
        <v>793.09230000000002</v>
      </c>
      <c r="R49" s="1327">
        <f t="shared" si="43"/>
        <v>822.83326125000008</v>
      </c>
      <c r="S49" s="1327">
        <f t="shared" si="43"/>
        <v>851.63242539375005</v>
      </c>
      <c r="T49" s="1327">
        <f t="shared" si="43"/>
        <v>877.18139815556253</v>
      </c>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293"/>
      <c r="AV49" s="1293"/>
      <c r="AW49" s="1293"/>
      <c r="AX49" s="1293"/>
      <c r="AY49" s="1293"/>
      <c r="AZ49" s="1293"/>
      <c r="BA49" s="1293"/>
      <c r="BB49" s="1293"/>
      <c r="BC49" s="1293"/>
      <c r="BD49" s="1293"/>
      <c r="BE49" s="1293"/>
      <c r="BF49" s="1293"/>
      <c r="BG49" s="1293"/>
      <c r="BH49" s="1293"/>
      <c r="BI49" s="1293"/>
      <c r="BJ49" s="1293"/>
      <c r="BK49" s="1293"/>
      <c r="BL49" s="1293"/>
      <c r="BM49" s="1293"/>
      <c r="BN49" s="1293"/>
      <c r="BO49" s="1293"/>
      <c r="BP49" s="1293"/>
      <c r="BQ49" s="1293"/>
      <c r="BR49" s="1293"/>
      <c r="BS49" s="1293"/>
      <c r="BT49" s="1293"/>
      <c r="BU49" s="1293"/>
      <c r="BV49" s="1293"/>
      <c r="BW49" s="1293"/>
      <c r="BX49" s="1293"/>
      <c r="BY49" s="1293"/>
      <c r="BZ49" s="1293"/>
      <c r="CA49" s="1293"/>
      <c r="CB49" s="1293"/>
      <c r="CC49" s="1293"/>
      <c r="CD49" s="1293"/>
      <c r="CE49" s="1293"/>
      <c r="CF49" s="1293"/>
      <c r="CG49" s="1293"/>
    </row>
    <row r="50" spans="1:85" ht="15.75">
      <c r="A50" s="1293"/>
      <c r="B50" s="1293"/>
      <c r="C50" s="1293" t="str">
        <f t="shared" si="42"/>
        <v>Costa Rica</v>
      </c>
      <c r="D50" s="2490"/>
      <c r="E50" s="2490"/>
      <c r="F50" s="2490"/>
      <c r="G50" s="2490"/>
      <c r="H50" s="2490"/>
      <c r="I50" s="2490"/>
      <c r="J50" s="2490"/>
      <c r="K50" s="2490"/>
      <c r="L50" s="2490">
        <f>'New (new) quarts'!AY43</f>
        <v>137.351</v>
      </c>
      <c r="M50" s="2490">
        <f>'New (new) quarts'!BD43</f>
        <v>157.95670000000001</v>
      </c>
      <c r="N50" s="2490">
        <f>'New (new) quarts'!BI43</f>
        <v>151.49979999999999</v>
      </c>
      <c r="O50" s="1327">
        <f t="shared" si="43"/>
        <v>149.79014999999998</v>
      </c>
      <c r="P50" s="1327">
        <f t="shared" si="43"/>
        <v>143.18176102941175</v>
      </c>
      <c r="Q50" s="1327">
        <f t="shared" si="43"/>
        <v>138.97053276384079</v>
      </c>
      <c r="R50" s="1327">
        <f t="shared" si="43"/>
        <v>136.24562035670667</v>
      </c>
      <c r="S50" s="1327">
        <f t="shared" si="43"/>
        <v>134.90987898066055</v>
      </c>
      <c r="T50" s="1327">
        <f t="shared" si="43"/>
        <v>133.58723310830112</v>
      </c>
      <c r="U50" s="1293"/>
      <c r="V50" s="1293"/>
      <c r="W50" s="1293"/>
      <c r="X50" s="1293"/>
      <c r="Y50" s="1293"/>
      <c r="Z50" s="1293"/>
      <c r="AA50" s="1293"/>
      <c r="AB50" s="1293"/>
      <c r="AC50" s="1293"/>
      <c r="AD50" s="1293"/>
      <c r="AE50" s="1293"/>
      <c r="AF50" s="1293"/>
      <c r="AG50" s="1293"/>
      <c r="AH50" s="1293"/>
      <c r="AI50" s="1293"/>
      <c r="AJ50" s="1293"/>
      <c r="AK50" s="1293"/>
      <c r="AL50" s="1293"/>
      <c r="AM50" s="1293"/>
      <c r="AN50" s="1293"/>
      <c r="AO50" s="1293"/>
      <c r="AP50" s="1293"/>
      <c r="AQ50" s="1293"/>
      <c r="AR50" s="1293"/>
      <c r="AS50" s="1293"/>
      <c r="AT50" s="1293"/>
      <c r="AU50" s="1293"/>
      <c r="AV50" s="1293"/>
      <c r="AW50" s="1293"/>
      <c r="AX50" s="1293"/>
      <c r="AY50" s="1293"/>
      <c r="AZ50" s="1293"/>
      <c r="BA50" s="1293"/>
      <c r="BB50" s="1293"/>
      <c r="BC50" s="1293"/>
      <c r="BD50" s="1293"/>
      <c r="BE50" s="1293"/>
      <c r="BF50" s="1293"/>
      <c r="BG50" s="1293"/>
      <c r="BH50" s="1293"/>
      <c r="BI50" s="1293"/>
      <c r="BJ50" s="1293"/>
      <c r="BK50" s="1293"/>
      <c r="BL50" s="1293"/>
      <c r="BM50" s="1293"/>
      <c r="BN50" s="1293"/>
      <c r="BO50" s="1293"/>
      <c r="BP50" s="1293"/>
      <c r="BQ50" s="1293"/>
      <c r="BR50" s="1293"/>
      <c r="BS50" s="1293"/>
      <c r="BT50" s="1293"/>
      <c r="BU50" s="1293"/>
      <c r="BV50" s="1293"/>
      <c r="BW50" s="1293"/>
      <c r="BX50" s="1293"/>
      <c r="BY50" s="1293"/>
      <c r="BZ50" s="1293"/>
      <c r="CA50" s="1293"/>
      <c r="CB50" s="1293"/>
      <c r="CC50" s="1293"/>
      <c r="CD50" s="1293"/>
      <c r="CE50" s="1293"/>
      <c r="CF50" s="1293"/>
      <c r="CG50" s="1293"/>
    </row>
    <row r="51" spans="1:85" ht="15.75">
      <c r="A51" s="1293"/>
      <c r="B51" s="1293"/>
      <c r="C51" s="1293" t="str">
        <f t="shared" si="42"/>
        <v>Nicaragua</v>
      </c>
      <c r="D51" s="2490"/>
      <c r="E51" s="2490"/>
      <c r="F51" s="2490"/>
      <c r="G51" s="2490"/>
      <c r="H51" s="2490"/>
      <c r="I51" s="2490"/>
      <c r="J51" s="2490"/>
      <c r="K51" s="2490"/>
      <c r="L51" s="2490">
        <f>'New (new) quarts'!AY44</f>
        <v>234.89789999999999</v>
      </c>
      <c r="M51" s="2490">
        <f>'New (new) quarts'!BD44</f>
        <v>246.12569999999999</v>
      </c>
      <c r="N51" s="2490">
        <f>'New (new) quarts'!BI44</f>
        <v>258.61360000000002</v>
      </c>
      <c r="O51" s="1327">
        <f t="shared" si="43"/>
        <v>265.75652173913045</v>
      </c>
      <c r="P51" s="1327">
        <f t="shared" si="43"/>
        <v>268.36197783461216</v>
      </c>
      <c r="Q51" s="1327">
        <f t="shared" si="43"/>
        <v>273.6239773999967</v>
      </c>
      <c r="R51" s="1327">
        <f t="shared" si="43"/>
        <v>277.64785942058489</v>
      </c>
      <c r="S51" s="1327">
        <f t="shared" si="43"/>
        <v>280.36989725804159</v>
      </c>
      <c r="T51" s="1327">
        <f t="shared" si="43"/>
        <v>281.74425949950262</v>
      </c>
      <c r="U51" s="1293"/>
      <c r="V51" s="1293"/>
      <c r="W51" s="1293"/>
      <c r="X51" s="1293"/>
      <c r="Y51" s="1293"/>
      <c r="Z51" s="1293"/>
      <c r="AA51" s="1293"/>
      <c r="AB51" s="1293"/>
      <c r="AC51" s="1293"/>
      <c r="AD51" s="1293"/>
      <c r="AE51" s="1293"/>
      <c r="AF51" s="1293"/>
      <c r="AG51" s="1293"/>
      <c r="AH51" s="1293"/>
      <c r="AI51" s="1293"/>
      <c r="AJ51" s="1293"/>
      <c r="AK51" s="1293"/>
      <c r="AL51" s="1293"/>
      <c r="AM51" s="1293"/>
      <c r="AN51" s="1293"/>
      <c r="AO51" s="1293"/>
      <c r="AP51" s="1293"/>
      <c r="AQ51" s="1293"/>
      <c r="AR51" s="1293"/>
      <c r="AS51" s="1293"/>
      <c r="AT51" s="1293"/>
      <c r="AU51" s="1293"/>
      <c r="AV51" s="1293"/>
      <c r="AW51" s="1293"/>
      <c r="AX51" s="1293"/>
      <c r="AY51" s="1293"/>
      <c r="AZ51" s="1293"/>
      <c r="BA51" s="1293"/>
      <c r="BB51" s="1293"/>
      <c r="BC51" s="1293"/>
      <c r="BD51" s="1293"/>
      <c r="BE51" s="1293"/>
      <c r="BF51" s="1293"/>
      <c r="BG51" s="1293"/>
      <c r="BH51" s="1293"/>
      <c r="BI51" s="1293"/>
      <c r="BJ51" s="1293"/>
      <c r="BK51" s="1293"/>
      <c r="BL51" s="1293"/>
      <c r="BM51" s="1293"/>
      <c r="BN51" s="1293"/>
      <c r="BO51" s="1293"/>
      <c r="BP51" s="1293"/>
      <c r="BQ51" s="1293"/>
      <c r="BR51" s="1293"/>
      <c r="BS51" s="1293"/>
      <c r="BT51" s="1293"/>
      <c r="BU51" s="1293"/>
      <c r="BV51" s="1293"/>
      <c r="BW51" s="1293"/>
      <c r="BX51" s="1293"/>
      <c r="BY51" s="1293"/>
      <c r="BZ51" s="1293"/>
      <c r="CA51" s="1293"/>
      <c r="CB51" s="1293"/>
      <c r="CC51" s="1293"/>
      <c r="CD51" s="1293"/>
      <c r="CE51" s="1293"/>
      <c r="CF51" s="1293"/>
      <c r="CG51" s="1293"/>
    </row>
    <row r="52" spans="1:85" ht="15.75" hidden="1" outlineLevel="1">
      <c r="A52" s="1293"/>
      <c r="B52" s="1293"/>
      <c r="C52" s="1982" t="str">
        <f t="shared" si="42"/>
        <v>Panama - Onda</v>
      </c>
      <c r="D52" s="1327"/>
      <c r="E52" s="1327"/>
      <c r="F52" s="1327"/>
      <c r="G52" s="1327"/>
      <c r="H52" s="1327"/>
      <c r="I52" s="1327">
        <f>'New (new) quarts'!AJ42</f>
        <v>394.2</v>
      </c>
      <c r="J52" s="1327">
        <f>'New (new) quarts'!AO42</f>
        <v>360</v>
      </c>
      <c r="K52" s="1327">
        <f>'New (new) quarts'!AT42</f>
        <v>388</v>
      </c>
      <c r="L52" s="1327">
        <f>'New (new) quarts'!AY42</f>
        <v>624.19860000000006</v>
      </c>
      <c r="M52" s="1327">
        <f>'New (new) quarts'!BD42</f>
        <v>669.80100000000004</v>
      </c>
      <c r="N52" s="1327">
        <f>'New (new) quarts'!BE42</f>
        <v>186.87880000000001</v>
      </c>
      <c r="O52" s="1327">
        <f>Onda!K23</f>
        <v>459.24184342217171</v>
      </c>
      <c r="P52" s="1327">
        <f>Onda!L23</f>
        <v>466.15343316567544</v>
      </c>
      <c r="Q52" s="1327">
        <f>Onda!M23</f>
        <v>473.16904233481881</v>
      </c>
      <c r="R52" s="1327">
        <f>Onda!N23</f>
        <v>480.29023642195779</v>
      </c>
      <c r="S52" s="1327">
        <f>Onda!O23</f>
        <v>487.51860448010819</v>
      </c>
      <c r="T52" s="1327">
        <f>Onda!P23</f>
        <v>494.85575947753381</v>
      </c>
      <c r="U52" s="1293"/>
      <c r="V52" s="1293"/>
      <c r="W52" s="1293"/>
      <c r="X52" s="1293"/>
      <c r="Y52" s="1293"/>
      <c r="Z52" s="1293"/>
      <c r="AA52" s="1293"/>
      <c r="AB52" s="1293"/>
      <c r="AC52" s="1293"/>
      <c r="AD52" s="1293"/>
      <c r="AE52" s="1293"/>
      <c r="AF52" s="1293"/>
      <c r="AG52" s="1293"/>
      <c r="AH52" s="1293"/>
      <c r="AI52" s="1293"/>
      <c r="AJ52" s="1293"/>
      <c r="AK52" s="1293"/>
      <c r="AL52" s="1293"/>
      <c r="AM52" s="1293"/>
      <c r="AN52" s="1293"/>
      <c r="AO52" s="1293"/>
      <c r="AP52" s="1293"/>
      <c r="AQ52" s="1293"/>
      <c r="AR52" s="1293"/>
      <c r="AS52" s="1293"/>
      <c r="AT52" s="1293"/>
      <c r="AU52" s="1293"/>
      <c r="AV52" s="1293"/>
      <c r="AW52" s="1293"/>
      <c r="AX52" s="1293"/>
      <c r="AY52" s="1293"/>
      <c r="AZ52" s="1293"/>
      <c r="BA52" s="1293"/>
      <c r="BB52" s="1293"/>
      <c r="BC52" s="1293"/>
      <c r="BD52" s="1293"/>
      <c r="BE52" s="1293"/>
      <c r="BF52" s="1293"/>
      <c r="BG52" s="1293"/>
      <c r="BH52" s="1293"/>
      <c r="BI52" s="1293"/>
      <c r="BJ52" s="1293"/>
      <c r="BK52" s="1293"/>
      <c r="BL52" s="1293"/>
      <c r="BM52" s="1293"/>
      <c r="BN52" s="1293"/>
      <c r="BO52" s="1293"/>
      <c r="BP52" s="1293"/>
      <c r="BQ52" s="1293"/>
      <c r="BR52" s="1293"/>
      <c r="BS52" s="1293"/>
      <c r="BT52" s="1293"/>
      <c r="BU52" s="1293"/>
      <c r="BV52" s="1293"/>
      <c r="BW52" s="1293"/>
      <c r="BX52" s="1293"/>
      <c r="BY52" s="1293"/>
      <c r="BZ52" s="1293"/>
      <c r="CA52" s="1293"/>
      <c r="CB52" s="1293"/>
      <c r="CC52" s="1293"/>
      <c r="CD52" s="1293"/>
      <c r="CE52" s="1293"/>
      <c r="CF52" s="1293"/>
      <c r="CG52" s="1293"/>
    </row>
    <row r="53" spans="1:85" ht="15.75" hidden="1" outlineLevel="1">
      <c r="A53" s="1293"/>
      <c r="B53" s="1293"/>
      <c r="C53" s="1982" t="str">
        <f t="shared" si="42"/>
        <v>Costa Rica/old Nicaragua</v>
      </c>
      <c r="D53" s="1327">
        <f>'New (new) quarts'!G45</f>
        <v>136.70443429537318</v>
      </c>
      <c r="E53" s="1327">
        <f>'New (new) quarts'!L45</f>
        <v>149.12668655265998</v>
      </c>
      <c r="F53" s="1327">
        <f>'New (new) quarts'!Q45</f>
        <v>150.97189146358843</v>
      </c>
      <c r="G53" s="1327">
        <f>'New (new) quarts'!V45</f>
        <v>147</v>
      </c>
      <c r="H53" s="1327">
        <f>'New (new) quarts'!AA45</f>
        <v>145</v>
      </c>
      <c r="I53" s="1327">
        <f>'New (new) quarts'!AJ45</f>
        <v>135.232</v>
      </c>
      <c r="J53" s="1327">
        <f>'New (new) quarts'!AO45</f>
        <v>145</v>
      </c>
      <c r="K53" s="1327">
        <f>'New (new) quarts'!AT45</f>
        <v>164</v>
      </c>
      <c r="L53" s="1327">
        <f>'New (new) quarts'!AY45</f>
        <v>172</v>
      </c>
      <c r="M53" s="1327">
        <f>'New (new) quarts'!BD45</f>
        <v>204.678</v>
      </c>
      <c r="N53" s="1327">
        <f>'New (new) quarts'!BE45</f>
        <v>52</v>
      </c>
      <c r="O53" s="1327">
        <f t="shared" ref="O53:T53" si="44">O195/O127</f>
        <v>235.08854292512157</v>
      </c>
      <c r="P53" s="1327">
        <f t="shared" si="44"/>
        <v>237.39333256164241</v>
      </c>
      <c r="Q53" s="1327">
        <f t="shared" si="44"/>
        <v>239.72071817499182</v>
      </c>
      <c r="R53" s="1327">
        <f t="shared" si="44"/>
        <v>242.07092129435449</v>
      </c>
      <c r="S53" s="1327">
        <f t="shared" si="44"/>
        <v>244.44416562076972</v>
      </c>
      <c r="T53" s="1327">
        <f t="shared" si="44"/>
        <v>246.84067704842434</v>
      </c>
      <c r="U53" s="1293"/>
      <c r="V53" s="1293"/>
      <c r="W53" s="1293"/>
      <c r="X53" s="1293"/>
      <c r="Y53" s="1293"/>
      <c r="Z53" s="1293"/>
      <c r="AA53" s="1293"/>
      <c r="AB53" s="1293"/>
      <c r="AC53" s="1293"/>
      <c r="AD53" s="1293"/>
      <c r="AE53" s="1293"/>
      <c r="AF53" s="1293"/>
      <c r="AG53" s="1293"/>
      <c r="AH53" s="1293"/>
      <c r="AI53" s="1293"/>
      <c r="AJ53" s="1293"/>
      <c r="AK53" s="1293"/>
      <c r="AL53" s="1293"/>
      <c r="AM53" s="1293"/>
      <c r="AN53" s="1293"/>
      <c r="AO53" s="1293"/>
      <c r="AP53" s="1293"/>
      <c r="AQ53" s="1293"/>
      <c r="AR53" s="1293"/>
      <c r="AS53" s="1293"/>
      <c r="AT53" s="1293"/>
      <c r="AU53" s="1293"/>
      <c r="AV53" s="1293"/>
      <c r="AW53" s="1293"/>
      <c r="AX53" s="1293"/>
      <c r="AY53" s="1293"/>
      <c r="AZ53" s="1293"/>
      <c r="BA53" s="1293"/>
      <c r="BB53" s="1293"/>
      <c r="BC53" s="1293"/>
      <c r="BD53" s="1293"/>
      <c r="BE53" s="1293"/>
      <c r="BF53" s="1293"/>
      <c r="BG53" s="1293"/>
      <c r="BH53" s="1293"/>
      <c r="BI53" s="1293"/>
      <c r="BJ53" s="1293"/>
      <c r="BK53" s="1293"/>
      <c r="BL53" s="1293"/>
      <c r="BM53" s="1293"/>
      <c r="BN53" s="1293"/>
      <c r="BO53" s="1293"/>
      <c r="BP53" s="1293"/>
      <c r="BQ53" s="1293"/>
      <c r="BR53" s="1293"/>
      <c r="BS53" s="1293"/>
      <c r="BT53" s="1293"/>
      <c r="BU53" s="1293"/>
      <c r="BV53" s="1293"/>
      <c r="BW53" s="1293"/>
      <c r="BX53" s="1293"/>
      <c r="BY53" s="1293"/>
      <c r="BZ53" s="1293"/>
      <c r="CA53" s="1293"/>
      <c r="CB53" s="1293"/>
      <c r="CC53" s="1293"/>
      <c r="CD53" s="1293"/>
      <c r="CE53" s="1293"/>
      <c r="CF53" s="1293"/>
      <c r="CG53" s="1293"/>
    </row>
    <row r="54" spans="1:85" ht="15.75" hidden="1" outlineLevel="1">
      <c r="A54" s="1293"/>
      <c r="B54" s="1293"/>
      <c r="C54" s="1982" t="str">
        <f t="shared" si="42"/>
        <v>Panama wireless</v>
      </c>
      <c r="D54" s="1327"/>
      <c r="E54" s="1327"/>
      <c r="F54" s="1327"/>
      <c r="G54" s="1327"/>
      <c r="H54" s="1327"/>
      <c r="I54" s="1327">
        <f>'New (new) quarts'!AJ46</f>
        <v>73.800000000000011</v>
      </c>
      <c r="J54" s="1327">
        <f>'New (new) quarts'!AO46</f>
        <v>207</v>
      </c>
      <c r="K54" s="1327">
        <f>'New (new) quarts'!AT46</f>
        <v>220</v>
      </c>
      <c r="L54" s="1327">
        <f>'New (new) quarts'!AY46</f>
        <v>226</v>
      </c>
      <c r="M54" s="1327">
        <f>'New (new) quarts'!BD46</f>
        <v>226</v>
      </c>
      <c r="N54" s="1327">
        <f>'New (new) quarts'!BE46</f>
        <v>57</v>
      </c>
      <c r="O54" s="1327">
        <f>+'New CA'!M5</f>
        <v>232.95216434991428</v>
      </c>
      <c r="P54" s="1327">
        <f>+'New CA'!N5</f>
        <v>232.95216434991428</v>
      </c>
      <c r="Q54" s="1327">
        <f>+'New CA'!O5</f>
        <v>232.95216434991428</v>
      </c>
      <c r="R54" s="1327">
        <f>+'New CA'!P5</f>
        <v>232.95216434991428</v>
      </c>
      <c r="S54" s="1327">
        <f>+'New CA'!Q5</f>
        <v>232.95216434991428</v>
      </c>
      <c r="T54" s="1327">
        <f>+'New CA'!R5</f>
        <v>232.95216434991428</v>
      </c>
      <c r="U54" s="1293"/>
      <c r="V54" s="1293"/>
      <c r="W54" s="1293"/>
      <c r="X54" s="1293"/>
      <c r="Y54" s="1293"/>
      <c r="Z54" s="1293"/>
      <c r="AA54" s="1293"/>
      <c r="AB54" s="1293"/>
      <c r="AC54" s="1293"/>
      <c r="AD54" s="1293"/>
      <c r="AE54" s="1293"/>
      <c r="AF54" s="1293"/>
      <c r="AG54" s="1293"/>
      <c r="AH54" s="1293"/>
      <c r="AI54" s="1293"/>
      <c r="AJ54" s="1293"/>
      <c r="AK54" s="1293"/>
      <c r="AL54" s="1293"/>
      <c r="AM54" s="1293"/>
      <c r="AN54" s="1293"/>
      <c r="AO54" s="1293"/>
      <c r="AP54" s="1293"/>
      <c r="AQ54" s="1293"/>
      <c r="AR54" s="1293"/>
      <c r="AS54" s="1293"/>
      <c r="AT54" s="1293"/>
      <c r="AU54" s="1293"/>
      <c r="AV54" s="1293"/>
      <c r="AW54" s="1293"/>
      <c r="AX54" s="1293"/>
      <c r="AY54" s="1293"/>
      <c r="AZ54" s="1293"/>
      <c r="BA54" s="1293"/>
      <c r="BB54" s="1293"/>
      <c r="BC54" s="1293"/>
      <c r="BD54" s="1293"/>
      <c r="BE54" s="1293"/>
      <c r="BF54" s="1293"/>
      <c r="BG54" s="1293"/>
      <c r="BH54" s="1293"/>
      <c r="BI54" s="1293"/>
      <c r="BJ54" s="1293"/>
      <c r="BK54" s="1293"/>
      <c r="BL54" s="1293"/>
      <c r="BM54" s="1293"/>
      <c r="BN54" s="1293"/>
      <c r="BO54" s="1293"/>
      <c r="BP54" s="1293"/>
      <c r="BQ54" s="1293"/>
      <c r="BR54" s="1293"/>
      <c r="BS54" s="1293"/>
      <c r="BT54" s="1293"/>
      <c r="BU54" s="1293"/>
      <c r="BV54" s="1293"/>
      <c r="BW54" s="1293"/>
      <c r="BX54" s="1293"/>
      <c r="BY54" s="1293"/>
      <c r="BZ54" s="1293"/>
      <c r="CA54" s="1293"/>
      <c r="CB54" s="1293"/>
      <c r="CC54" s="1293"/>
      <c r="CD54" s="1293"/>
      <c r="CE54" s="1293"/>
      <c r="CF54" s="1293"/>
      <c r="CG54" s="1293"/>
    </row>
    <row r="55" spans="1:85" ht="15.75" hidden="1" outlineLevel="1">
      <c r="A55" s="1293"/>
      <c r="B55" s="1293"/>
      <c r="C55" s="1982" t="str">
        <f t="shared" si="42"/>
        <v>Costa Rica wireless</v>
      </c>
      <c r="D55" s="1327"/>
      <c r="E55" s="1327"/>
      <c r="F55" s="1327"/>
      <c r="G55" s="1327"/>
      <c r="H55" s="1327"/>
      <c r="I55" s="1327"/>
      <c r="J55" s="1327"/>
      <c r="K55" s="1327"/>
      <c r="L55" s="1327"/>
      <c r="M55" s="1327"/>
      <c r="N55" s="1327"/>
      <c r="O55" s="1327"/>
      <c r="P55" s="1327"/>
      <c r="Q55" s="1327"/>
      <c r="R55" s="1327"/>
      <c r="S55" s="1327"/>
      <c r="T55" s="1327"/>
      <c r="U55" s="1293"/>
      <c r="V55" s="1293"/>
      <c r="W55" s="1293"/>
      <c r="X55" s="1293"/>
      <c r="Y55" s="1293"/>
      <c r="Z55" s="1293"/>
      <c r="AA55" s="1293"/>
      <c r="AB55" s="1293"/>
      <c r="AC55" s="1293"/>
      <c r="AD55" s="1293"/>
      <c r="AE55" s="1293"/>
      <c r="AF55" s="1293"/>
      <c r="AG55" s="1293"/>
      <c r="AH55" s="1293"/>
      <c r="AI55" s="1293"/>
      <c r="AJ55" s="1293"/>
      <c r="AK55" s="1293"/>
      <c r="AL55" s="1293"/>
      <c r="AM55" s="1293"/>
      <c r="AN55" s="1293"/>
      <c r="AO55" s="1293"/>
      <c r="AP55" s="1293"/>
      <c r="AQ55" s="1293"/>
      <c r="AR55" s="1293"/>
      <c r="AS55" s="1293"/>
      <c r="AT55" s="1293"/>
      <c r="AU55" s="1293"/>
      <c r="AV55" s="1293"/>
      <c r="AW55" s="1293"/>
      <c r="AX55" s="1293"/>
      <c r="AY55" s="1293"/>
      <c r="AZ55" s="1293"/>
      <c r="BA55" s="1293"/>
      <c r="BB55" s="1293"/>
      <c r="BC55" s="1293"/>
      <c r="BD55" s="1293"/>
      <c r="BE55" s="1293"/>
      <c r="BF55" s="1293"/>
      <c r="BG55" s="1293"/>
      <c r="BH55" s="1293"/>
      <c r="BI55" s="1293"/>
      <c r="BJ55" s="1293"/>
      <c r="BK55" s="1293"/>
      <c r="BL55" s="1293"/>
      <c r="BM55" s="1293"/>
      <c r="BN55" s="1293"/>
      <c r="BO55" s="1293"/>
      <c r="BP55" s="1293"/>
      <c r="BQ55" s="1293"/>
      <c r="BR55" s="1293"/>
      <c r="BS55" s="1293"/>
      <c r="BT55" s="1293"/>
      <c r="BU55" s="1293"/>
      <c r="BV55" s="1293"/>
      <c r="BW55" s="1293"/>
      <c r="BX55" s="1293"/>
      <c r="BY55" s="1293"/>
      <c r="BZ55" s="1293"/>
      <c r="CA55" s="1293"/>
      <c r="CB55" s="1293"/>
      <c r="CC55" s="1293"/>
      <c r="CD55" s="1293"/>
      <c r="CE55" s="1293"/>
      <c r="CF55" s="1293"/>
      <c r="CG55" s="1293"/>
    </row>
    <row r="56" spans="1:85" ht="15.75" hidden="1" outlineLevel="1">
      <c r="A56" s="1293"/>
      <c r="B56" s="1293"/>
      <c r="C56" s="1983" t="str">
        <f t="shared" si="42"/>
        <v>Nicaragua wireless</v>
      </c>
      <c r="D56" s="1718"/>
      <c r="E56" s="1718"/>
      <c r="F56" s="1718"/>
      <c r="G56" s="1718"/>
      <c r="H56" s="1718"/>
      <c r="I56" s="1718">
        <f t="shared" ref="I56:T56" si="45">I15</f>
        <v>149</v>
      </c>
      <c r="J56" s="1718">
        <f t="shared" si="45"/>
        <v>199</v>
      </c>
      <c r="K56" s="1718">
        <f t="shared" si="45"/>
        <v>200</v>
      </c>
      <c r="L56" s="1718">
        <f t="shared" si="45"/>
        <v>200</v>
      </c>
      <c r="M56" s="1718">
        <f t="shared" si="45"/>
        <v>200</v>
      </c>
      <c r="N56" s="1718">
        <f t="shared" ref="N56" si="46">N15</f>
        <v>50</v>
      </c>
      <c r="O56" s="1718">
        <f t="shared" si="45"/>
        <v>208.0219268965192</v>
      </c>
      <c r="P56" s="1718">
        <f t="shared" si="45"/>
        <v>208.0219268965192</v>
      </c>
      <c r="Q56" s="1718">
        <f t="shared" si="45"/>
        <v>208.0219268965192</v>
      </c>
      <c r="R56" s="1718">
        <f t="shared" si="45"/>
        <v>208.0219268965192</v>
      </c>
      <c r="S56" s="1718">
        <f t="shared" si="45"/>
        <v>208.0219268965192</v>
      </c>
      <c r="T56" s="1718">
        <f t="shared" si="45"/>
        <v>208.0219268965192</v>
      </c>
      <c r="U56" s="1293"/>
      <c r="V56" s="1293"/>
      <c r="W56" s="1293"/>
      <c r="X56" s="1293"/>
      <c r="Y56" s="1293"/>
      <c r="Z56" s="1293"/>
      <c r="AA56" s="1293"/>
      <c r="AB56" s="1293"/>
      <c r="AC56" s="1293"/>
      <c r="AD56" s="1293"/>
      <c r="AE56" s="1293"/>
      <c r="AF56" s="1293"/>
      <c r="AG56" s="1293"/>
      <c r="AH56" s="1293"/>
      <c r="AI56" s="1293"/>
      <c r="AJ56" s="1293"/>
      <c r="AK56" s="1293"/>
      <c r="AL56" s="1293"/>
      <c r="AM56" s="1293"/>
      <c r="AN56" s="1293"/>
      <c r="AO56" s="1293"/>
      <c r="AP56" s="1293"/>
      <c r="AQ56" s="1293"/>
      <c r="AR56" s="1293"/>
      <c r="AS56" s="1293"/>
      <c r="AT56" s="1293"/>
      <c r="AU56" s="1293"/>
      <c r="AV56" s="1293"/>
      <c r="AW56" s="1293"/>
      <c r="AX56" s="1293"/>
      <c r="AY56" s="1293"/>
      <c r="AZ56" s="1293"/>
      <c r="BA56" s="1293"/>
      <c r="BB56" s="1293"/>
      <c r="BC56" s="1293"/>
      <c r="BD56" s="1293"/>
      <c r="BE56" s="1293"/>
      <c r="BF56" s="1293"/>
      <c r="BG56" s="1293"/>
      <c r="BH56" s="1293"/>
      <c r="BI56" s="1293"/>
      <c r="BJ56" s="1293"/>
      <c r="BK56" s="1293"/>
      <c r="BL56" s="1293"/>
      <c r="BM56" s="1293"/>
      <c r="BN56" s="1293"/>
      <c r="BO56" s="1293"/>
      <c r="BP56" s="1293"/>
      <c r="BQ56" s="1293"/>
      <c r="BR56" s="1293"/>
      <c r="BS56" s="1293"/>
      <c r="BT56" s="1293"/>
      <c r="BU56" s="1293"/>
      <c r="BV56" s="1293"/>
      <c r="BW56" s="1293"/>
      <c r="BX56" s="1293"/>
      <c r="BY56" s="1293"/>
      <c r="BZ56" s="1293"/>
      <c r="CA56" s="1293"/>
      <c r="CB56" s="1293"/>
      <c r="CC56" s="1293"/>
      <c r="CD56" s="1293"/>
      <c r="CE56" s="1293"/>
      <c r="CF56" s="1293"/>
      <c r="CG56" s="1293"/>
    </row>
    <row r="57" spans="1:85" ht="15.75" collapsed="1">
      <c r="A57" s="1293"/>
      <c r="B57" s="1293"/>
      <c r="C57" s="1375" t="str">
        <f t="shared" si="42"/>
        <v>Central America</v>
      </c>
      <c r="D57" s="2493">
        <f>'New (new) quarts'!G49</f>
        <v>2266.9847847434871</v>
      </c>
      <c r="E57" s="2493">
        <f>'New (new) quarts'!L49</f>
        <v>2342.1085645960488</v>
      </c>
      <c r="F57" s="2493">
        <f>'New (new) quarts'!Q49</f>
        <v>2279.6425194048084</v>
      </c>
      <c r="G57" s="2493">
        <f>'New (new) quarts'!V49</f>
        <v>2294</v>
      </c>
      <c r="H57" s="2493">
        <f>'New (new) quarts'!AA49</f>
        <v>2288</v>
      </c>
      <c r="I57" s="1991">
        <f t="shared" ref="I57:J57" si="47">SUM(I46:I56)</f>
        <v>2885.232</v>
      </c>
      <c r="J57" s="1991">
        <f t="shared" si="47"/>
        <v>3046</v>
      </c>
      <c r="K57" s="1991">
        <f t="shared" ref="K57" si="48">SUM(K46:K56)</f>
        <v>3282</v>
      </c>
      <c r="L57" s="1991">
        <f>SUM(L46:L51)-L48</f>
        <v>2798.4262000000008</v>
      </c>
      <c r="M57" s="1991">
        <f>SUM(M46:M51)-M48</f>
        <v>2856.0146000000004</v>
      </c>
      <c r="N57" s="1991">
        <f>SUM(N46:N51)-N48</f>
        <v>2948.7771000000002</v>
      </c>
      <c r="O57" s="1991">
        <f t="shared" ref="O57:T57" si="49">SUM(O46:O51)-O48</f>
        <v>3042.1388795313378</v>
      </c>
      <c r="P57" s="1991">
        <f t="shared" si="49"/>
        <v>3099.7222957818581</v>
      </c>
      <c r="Q57" s="1991">
        <f t="shared" si="49"/>
        <v>3162.2742041547094</v>
      </c>
      <c r="R57" s="1991">
        <f t="shared" si="49"/>
        <v>3224.8200766683244</v>
      </c>
      <c r="S57" s="1991">
        <f t="shared" si="49"/>
        <v>3279.5869386148174</v>
      </c>
      <c r="T57" s="1991">
        <f t="shared" si="49"/>
        <v>3330.1103554765505</v>
      </c>
      <c r="U57" s="1293"/>
      <c r="V57" s="1293"/>
      <c r="W57" s="1293"/>
      <c r="X57" s="1293"/>
      <c r="Y57" s="1293"/>
      <c r="Z57" s="1293"/>
      <c r="AA57" s="1293"/>
      <c r="AB57" s="1293"/>
      <c r="AC57" s="1293"/>
      <c r="AD57" s="1293"/>
      <c r="AE57" s="1293"/>
      <c r="AF57" s="1293"/>
      <c r="AG57" s="1293"/>
      <c r="AH57" s="1293"/>
      <c r="AI57" s="1293"/>
      <c r="AJ57" s="1293"/>
      <c r="AK57" s="1293"/>
      <c r="AL57" s="1293"/>
      <c r="AM57" s="1293"/>
      <c r="AN57" s="1293"/>
      <c r="AO57" s="1293"/>
      <c r="AP57" s="1293"/>
      <c r="AQ57" s="1293"/>
      <c r="AR57" s="1293"/>
      <c r="AS57" s="1293"/>
      <c r="AT57" s="1293"/>
      <c r="AU57" s="1293"/>
      <c r="AV57" s="1293"/>
      <c r="AW57" s="1293"/>
      <c r="AX57" s="1293"/>
      <c r="AY57" s="1293"/>
      <c r="AZ57" s="1293"/>
      <c r="BA57" s="1293"/>
      <c r="BB57" s="1293"/>
      <c r="BC57" s="1293"/>
      <c r="BD57" s="1293"/>
      <c r="BE57" s="1293"/>
      <c r="BF57" s="1293"/>
      <c r="BG57" s="1293"/>
      <c r="BH57" s="1293"/>
      <c r="BI57" s="1293"/>
      <c r="BJ57" s="1293"/>
      <c r="BK57" s="1293"/>
      <c r="BL57" s="1293"/>
      <c r="BM57" s="1293"/>
      <c r="BN57" s="1293"/>
      <c r="BO57" s="1293"/>
      <c r="BP57" s="1293"/>
      <c r="BQ57" s="1293"/>
      <c r="BR57" s="1293"/>
      <c r="BS57" s="1293"/>
      <c r="BT57" s="1293"/>
      <c r="BU57" s="1293"/>
      <c r="BV57" s="1293"/>
      <c r="BW57" s="1293"/>
      <c r="BX57" s="1293"/>
      <c r="BY57" s="1293"/>
      <c r="BZ57" s="1293"/>
      <c r="CA57" s="1293"/>
      <c r="CB57" s="1293"/>
      <c r="CC57" s="1293"/>
      <c r="CD57" s="1293"/>
      <c r="CE57" s="1293"/>
      <c r="CF57" s="1293"/>
      <c r="CG57" s="1293"/>
    </row>
    <row r="58" spans="1:85" ht="15.75">
      <c r="A58" s="1293"/>
      <c r="B58" s="1293"/>
      <c r="C58" s="1293"/>
      <c r="D58" s="1327"/>
      <c r="E58" s="1327"/>
      <c r="F58" s="1327"/>
      <c r="G58" s="1327"/>
      <c r="H58" s="1327"/>
      <c r="I58" s="1327"/>
      <c r="J58" s="1327"/>
      <c r="K58" s="1327"/>
      <c r="L58" s="1327"/>
      <c r="M58" s="1327"/>
      <c r="N58" s="1327"/>
      <c r="O58" s="1327"/>
      <c r="P58" s="1327"/>
      <c r="Q58" s="1327"/>
      <c r="R58" s="1327"/>
      <c r="S58" s="1327"/>
      <c r="T58" s="1327"/>
      <c r="U58" s="1327"/>
      <c r="V58" s="1327"/>
      <c r="W58" s="1327"/>
      <c r="X58" s="1293"/>
      <c r="Y58" s="1293"/>
      <c r="Z58" s="1293"/>
      <c r="AA58" s="1293"/>
      <c r="AB58" s="1293"/>
      <c r="AC58" s="1293"/>
      <c r="AD58" s="1293"/>
      <c r="AE58" s="1293"/>
      <c r="AF58" s="1293"/>
      <c r="AG58" s="1293"/>
      <c r="AH58" s="1293"/>
      <c r="AI58" s="1293"/>
      <c r="AJ58" s="1293"/>
      <c r="AK58" s="1293"/>
      <c r="AL58" s="1293"/>
      <c r="AM58" s="1293"/>
      <c r="AN58" s="1293"/>
      <c r="AO58" s="1293"/>
      <c r="AP58" s="1293"/>
      <c r="AQ58" s="1293"/>
      <c r="AR58" s="1293"/>
      <c r="AS58" s="1293"/>
      <c r="AT58" s="1293"/>
      <c r="AU58" s="1293"/>
      <c r="AV58" s="1293"/>
      <c r="AW58" s="1293"/>
      <c r="AX58" s="1293"/>
      <c r="AY58" s="1293"/>
      <c r="AZ58" s="1293"/>
      <c r="BA58" s="1293"/>
      <c r="BB58" s="1293"/>
      <c r="BC58" s="1293"/>
      <c r="BD58" s="1293"/>
      <c r="BE58" s="1293"/>
      <c r="BF58" s="1293"/>
      <c r="BG58" s="1293"/>
      <c r="BH58" s="1293"/>
      <c r="BI58" s="1293"/>
      <c r="BJ58" s="1293"/>
      <c r="BK58" s="1293"/>
      <c r="BL58" s="1293"/>
      <c r="BM58" s="1293"/>
      <c r="BN58" s="1293"/>
      <c r="BO58" s="1293"/>
      <c r="BP58" s="1293"/>
      <c r="BQ58" s="1293"/>
      <c r="BR58" s="1293"/>
      <c r="BS58" s="1293"/>
      <c r="BT58" s="1293"/>
      <c r="BU58" s="1293"/>
      <c r="BV58" s="1293"/>
      <c r="BW58" s="1293"/>
      <c r="BX58" s="1293"/>
      <c r="BY58" s="1293"/>
      <c r="BZ58" s="1293"/>
      <c r="CA58" s="1293"/>
      <c r="CB58" s="1293"/>
      <c r="CC58" s="1293"/>
      <c r="CD58" s="1293"/>
      <c r="CE58" s="1293"/>
      <c r="CF58" s="1293"/>
      <c r="CG58" s="1293"/>
    </row>
    <row r="59" spans="1:85" ht="15.75">
      <c r="A59" s="1293"/>
      <c r="B59" s="1293"/>
      <c r="C59" s="1293" t="str">
        <f>C19</f>
        <v>Bolivia</v>
      </c>
      <c r="D59" s="2490">
        <f>'New (new) quarts'!G51</f>
        <v>474.81669045151904</v>
      </c>
      <c r="E59" s="2490">
        <f>'New (new) quarts'!L51</f>
        <v>510.93216923154802</v>
      </c>
      <c r="F59" s="2490">
        <f>'New (new) quarts'!Q51</f>
        <v>524.50533272214307</v>
      </c>
      <c r="G59" s="2490">
        <f>'New (new) quarts'!V51</f>
        <v>549</v>
      </c>
      <c r="H59" s="2490">
        <f>'New (new) quarts'!AA51</f>
        <v>597</v>
      </c>
      <c r="I59" s="2490">
        <f>'New (new) quarts'!AJ51</f>
        <v>624</v>
      </c>
      <c r="J59" s="2490">
        <f>'New (new) quarts'!AO51</f>
        <v>576</v>
      </c>
      <c r="K59" s="2490">
        <f>'New (new) quarts'!AT51</f>
        <v>612</v>
      </c>
      <c r="L59" s="2490">
        <f>'New (new) quarts'!AY51</f>
        <v>608.12</v>
      </c>
      <c r="M59" s="2490">
        <f>'New (new) quarts'!BD51</f>
        <v>601.76800000000003</v>
      </c>
      <c r="N59" s="2490">
        <f>'New (new) quarts'!BI51</f>
        <v>607.08040000000005</v>
      </c>
      <c r="O59" s="1327">
        <f t="shared" ref="O59:T59" si="50">O190/O129</f>
        <v>244.68342857142858</v>
      </c>
      <c r="P59" s="1327">
        <f t="shared" si="50"/>
        <v>250.18880571428573</v>
      </c>
      <c r="Q59" s="1327">
        <f t="shared" si="50"/>
        <v>256.44352585714284</v>
      </c>
      <c r="R59" s="1327">
        <f t="shared" si="50"/>
        <v>262.85461400357144</v>
      </c>
      <c r="S59" s="1327">
        <f t="shared" si="50"/>
        <v>268.11170628364289</v>
      </c>
      <c r="T59" s="1327">
        <f t="shared" si="50"/>
        <v>273.47394040931573</v>
      </c>
      <c r="U59" s="1293"/>
      <c r="V59" s="1293"/>
      <c r="W59" s="1293"/>
      <c r="X59" s="1293"/>
      <c r="Y59" s="1293"/>
      <c r="Z59" s="1293"/>
      <c r="AA59" s="1293"/>
      <c r="AB59" s="1293"/>
      <c r="AC59" s="1293"/>
      <c r="AD59" s="1293"/>
      <c r="AE59" s="1293"/>
      <c r="AF59" s="1293"/>
      <c r="AG59" s="1293"/>
      <c r="AH59" s="1293"/>
      <c r="AI59" s="1293"/>
      <c r="AJ59" s="1293"/>
      <c r="AK59" s="1293"/>
      <c r="AL59" s="1293"/>
      <c r="AM59" s="1293"/>
      <c r="AN59" s="1293"/>
      <c r="AO59" s="1293"/>
      <c r="AP59" s="1293"/>
      <c r="AQ59" s="1293"/>
      <c r="AR59" s="1293"/>
      <c r="AS59" s="1293"/>
      <c r="AT59" s="1293"/>
      <c r="AU59" s="1293"/>
      <c r="AV59" s="1293"/>
      <c r="AW59" s="1293"/>
      <c r="AX59" s="1293"/>
      <c r="AY59" s="1293"/>
      <c r="AZ59" s="1293"/>
      <c r="BA59" s="1293"/>
      <c r="BB59" s="1293"/>
      <c r="BC59" s="1293"/>
      <c r="BD59" s="1293"/>
      <c r="BE59" s="1293"/>
      <c r="BF59" s="1293"/>
      <c r="BG59" s="1293"/>
      <c r="BH59" s="1293"/>
      <c r="BI59" s="1293"/>
      <c r="BJ59" s="1293"/>
      <c r="BK59" s="1293"/>
      <c r="BL59" s="1293"/>
      <c r="BM59" s="1293"/>
      <c r="BN59" s="1293"/>
      <c r="BO59" s="1293"/>
      <c r="BP59" s="1293"/>
      <c r="BQ59" s="1293"/>
      <c r="BR59" s="1293"/>
      <c r="BS59" s="1293"/>
      <c r="BT59" s="1293"/>
      <c r="BU59" s="1293"/>
      <c r="BV59" s="1293"/>
      <c r="BW59" s="1293"/>
      <c r="BX59" s="1293"/>
      <c r="BY59" s="1293"/>
      <c r="BZ59" s="1293"/>
      <c r="CA59" s="1293"/>
      <c r="CB59" s="1293"/>
      <c r="CC59" s="1293"/>
      <c r="CD59" s="1293"/>
      <c r="CE59" s="1293"/>
      <c r="CF59" s="1293"/>
      <c r="CG59" s="1293"/>
    </row>
    <row r="60" spans="1:85" ht="15.75">
      <c r="A60" s="1293"/>
      <c r="B60" s="1293"/>
      <c r="C60" s="1293" t="str">
        <f>C20</f>
        <v>Colombia</v>
      </c>
      <c r="D60" s="2490">
        <f>'New (new) quarts'!G52</f>
        <v>1475.4743943236122</v>
      </c>
      <c r="E60" s="2490">
        <f>'New (new) quarts'!L52</f>
        <v>1775.8824947525111</v>
      </c>
      <c r="F60" s="2490">
        <f>'New (new) quarts'!Q52</f>
        <v>1580.5286717639701</v>
      </c>
      <c r="G60" s="2490">
        <f>'New (new) quarts'!V52</f>
        <v>1615</v>
      </c>
      <c r="H60" s="2490">
        <f>'New (new) quarts'!AA52</f>
        <v>1553</v>
      </c>
      <c r="I60" s="2490">
        <f>'New (new) quarts'!AJ52</f>
        <v>1432</v>
      </c>
      <c r="J60" s="2490">
        <f>'New (new) quarts'!AO52</f>
        <v>1258</v>
      </c>
      <c r="K60" s="2490">
        <f>'New (new) quarts'!AT52</f>
        <v>1319</v>
      </c>
      <c r="L60" s="2490">
        <f>'New (new) quarts'!AY52</f>
        <v>1253.06</v>
      </c>
      <c r="M60" s="2490">
        <f>'New (new) quarts'!BD52</f>
        <v>1268.8879999999999</v>
      </c>
      <c r="N60" s="2490">
        <f>'New (new) quarts'!BI52</f>
        <v>1341.4157</v>
      </c>
      <c r="O60" s="1327">
        <f t="shared" ref="O60:T61" si="51">O191*1000/O130</f>
        <v>1346.2506024096385</v>
      </c>
      <c r="P60" s="1327">
        <f t="shared" si="51"/>
        <v>1352.8498700685091</v>
      </c>
      <c r="Q60" s="1327">
        <f t="shared" si="51"/>
        <v>1366.113104088789</v>
      </c>
      <c r="R60" s="1327">
        <f t="shared" si="51"/>
        <v>1386.2030026783298</v>
      </c>
      <c r="S60" s="1327">
        <f t="shared" si="51"/>
        <v>1399.793228194784</v>
      </c>
      <c r="T60" s="1327">
        <f t="shared" si="51"/>
        <v>1406.6549597055423</v>
      </c>
      <c r="U60" s="1293"/>
      <c r="V60" s="1293"/>
      <c r="W60" s="1293"/>
      <c r="X60" s="1293"/>
      <c r="Y60" s="1293"/>
      <c r="Z60" s="1293"/>
      <c r="AA60" s="1293"/>
      <c r="AB60" s="1293"/>
      <c r="AC60" s="1293"/>
      <c r="AD60" s="1293"/>
      <c r="AE60" s="1293"/>
      <c r="AF60" s="1293"/>
      <c r="AG60" s="1293"/>
      <c r="AH60" s="1293"/>
      <c r="AI60" s="1293"/>
      <c r="AJ60" s="1293"/>
      <c r="AK60" s="1293"/>
      <c r="AL60" s="1293"/>
      <c r="AM60" s="1293"/>
      <c r="AN60" s="1293"/>
      <c r="AO60" s="1293"/>
      <c r="AP60" s="1293"/>
      <c r="AQ60" s="1293"/>
      <c r="AR60" s="1293"/>
      <c r="AS60" s="1293"/>
      <c r="AT60" s="1293"/>
      <c r="AU60" s="1293"/>
      <c r="AV60" s="1293"/>
      <c r="AW60" s="1293"/>
      <c r="AX60" s="1293"/>
      <c r="AY60" s="1293"/>
      <c r="AZ60" s="1293"/>
      <c r="BA60" s="1293"/>
      <c r="BB60" s="1293"/>
      <c r="BC60" s="1293"/>
      <c r="BD60" s="1293"/>
      <c r="BE60" s="1293"/>
      <c r="BF60" s="1293"/>
      <c r="BG60" s="1293"/>
      <c r="BH60" s="1293"/>
      <c r="BI60" s="1293"/>
      <c r="BJ60" s="1293"/>
      <c r="BK60" s="1293"/>
      <c r="BL60" s="1293"/>
      <c r="BM60" s="1293"/>
      <c r="BN60" s="1293"/>
      <c r="BO60" s="1293"/>
      <c r="BP60" s="1293"/>
      <c r="BQ60" s="1293"/>
      <c r="BR60" s="1293"/>
      <c r="BS60" s="1293"/>
      <c r="BT60" s="1293"/>
      <c r="BU60" s="1293"/>
      <c r="BV60" s="1293"/>
      <c r="BW60" s="1293"/>
      <c r="BX60" s="1293"/>
      <c r="BY60" s="1293"/>
      <c r="BZ60" s="1293"/>
      <c r="CA60" s="1293"/>
      <c r="CB60" s="1293"/>
      <c r="CC60" s="1293"/>
      <c r="CD60" s="1293"/>
      <c r="CE60" s="1293"/>
      <c r="CF60" s="1293"/>
      <c r="CG60" s="1293"/>
    </row>
    <row r="61" spans="1:85" ht="15.75">
      <c r="A61" s="1293"/>
      <c r="B61" s="1293"/>
      <c r="C61" s="1293" t="str">
        <f>C21</f>
        <v>Paraguay</v>
      </c>
      <c r="D61" s="2490">
        <f>'New (new) quarts'!G53</f>
        <v>704.42538148957692</v>
      </c>
      <c r="E61" s="2490">
        <f>'New (new) quarts'!L53</f>
        <v>609.74895811376791</v>
      </c>
      <c r="F61" s="2490">
        <f>'New (new) quarts'!Q53</f>
        <v>582.98169690987697</v>
      </c>
      <c r="G61" s="2490">
        <f>'New (new) quarts'!V53</f>
        <v>622</v>
      </c>
      <c r="H61" s="2490">
        <f>'New (new) quarts'!AA53</f>
        <v>632</v>
      </c>
      <c r="I61" s="2490">
        <f>'New (new) quarts'!AJ53</f>
        <v>569</v>
      </c>
      <c r="J61" s="2490">
        <f>'New (new) quarts'!AO53</f>
        <v>514</v>
      </c>
      <c r="K61" s="2490">
        <f>'New (new) quarts'!AT53</f>
        <v>525</v>
      </c>
      <c r="L61" s="2490">
        <f>'New (new) quarts'!AY53</f>
        <v>530.65</v>
      </c>
      <c r="M61" s="2490">
        <f>'New (new) quarts'!BD53</f>
        <v>544.17200000000003</v>
      </c>
      <c r="N61" s="2490">
        <f>'New (new) quarts'!BI53</f>
        <v>539.61260000000004</v>
      </c>
      <c r="O61" s="1327">
        <f t="shared" si="51"/>
        <v>527.94683544303791</v>
      </c>
      <c r="P61" s="1327">
        <f t="shared" si="51"/>
        <v>533.12278481012663</v>
      </c>
      <c r="Q61" s="1327">
        <f t="shared" si="51"/>
        <v>540.96282576321664</v>
      </c>
      <c r="R61" s="1327">
        <f t="shared" si="51"/>
        <v>548.91816143620497</v>
      </c>
      <c r="S61" s="1327">
        <f t="shared" si="51"/>
        <v>554.29971203852085</v>
      </c>
      <c r="T61" s="1327">
        <f t="shared" si="51"/>
        <v>557.01686748968996</v>
      </c>
      <c r="U61" s="1293"/>
      <c r="V61" s="1293"/>
      <c r="W61" s="1293"/>
      <c r="X61" s="1293"/>
      <c r="Y61" s="1293"/>
      <c r="Z61" s="1293"/>
      <c r="AA61" s="1293"/>
      <c r="AB61" s="1293"/>
      <c r="AC61" s="1293"/>
      <c r="AD61" s="1293"/>
      <c r="AE61" s="1293"/>
      <c r="AF61" s="1293"/>
      <c r="AG61" s="1293"/>
      <c r="AH61" s="1293"/>
      <c r="AI61" s="1293"/>
      <c r="AJ61" s="1293"/>
      <c r="AK61" s="1293"/>
      <c r="AL61" s="1293"/>
      <c r="AM61" s="1293"/>
      <c r="AN61" s="1293"/>
      <c r="AO61" s="1293"/>
      <c r="AP61" s="1293"/>
      <c r="AQ61" s="1293"/>
      <c r="AR61" s="1293"/>
      <c r="AS61" s="1293"/>
      <c r="AT61" s="1293"/>
      <c r="AU61" s="1293"/>
      <c r="AV61" s="1293"/>
      <c r="AW61" s="1293"/>
      <c r="AX61" s="1293"/>
      <c r="AY61" s="1293"/>
      <c r="AZ61" s="1293"/>
      <c r="BA61" s="1293"/>
      <c r="BB61" s="1293"/>
      <c r="BC61" s="1293"/>
      <c r="BD61" s="1293"/>
      <c r="BE61" s="1293"/>
      <c r="BF61" s="1293"/>
      <c r="BG61" s="1293"/>
      <c r="BH61" s="1293"/>
      <c r="BI61" s="1293"/>
      <c r="BJ61" s="1293"/>
      <c r="BK61" s="1293"/>
      <c r="BL61" s="1293"/>
      <c r="BM61" s="1293"/>
      <c r="BN61" s="1293"/>
      <c r="BO61" s="1293"/>
      <c r="BP61" s="1293"/>
      <c r="BQ61" s="1293"/>
      <c r="BR61" s="1293"/>
      <c r="BS61" s="1293"/>
      <c r="BT61" s="1293"/>
      <c r="BU61" s="1293"/>
      <c r="BV61" s="1293"/>
      <c r="BW61" s="1293"/>
      <c r="BX61" s="1293"/>
      <c r="BY61" s="1293"/>
      <c r="BZ61" s="1293"/>
      <c r="CA61" s="1293"/>
      <c r="CB61" s="1293"/>
      <c r="CC61" s="1293"/>
      <c r="CD61" s="1293"/>
      <c r="CE61" s="1293"/>
      <c r="CF61" s="1293"/>
      <c r="CG61" s="1293"/>
    </row>
    <row r="62" spans="1:85" ht="15.75">
      <c r="A62" s="1293"/>
      <c r="B62" s="1293"/>
      <c r="C62" s="1331" t="str">
        <f>C22</f>
        <v>Others/check</v>
      </c>
      <c r="D62" s="2491">
        <f>'New (new) quarts'!G54</f>
        <v>2.2737367544323206E-12</v>
      </c>
      <c r="E62" s="2491">
        <f>'New (new) quarts'!L54</f>
        <v>-2.4099448107469925</v>
      </c>
      <c r="F62" s="2491">
        <f>'New (new) quarts'!Q54</f>
        <v>-0.44785497130038721</v>
      </c>
      <c r="G62" s="2491">
        <f>'New (new) quarts'!V54</f>
        <v>-1</v>
      </c>
      <c r="H62" s="2491">
        <f>'New (new) quarts'!AA54</f>
        <v>0</v>
      </c>
      <c r="I62" s="2491">
        <f>'New (new) quarts'!AJ54</f>
        <v>0</v>
      </c>
      <c r="J62" s="2491">
        <f>'New (new) quarts'!AO54</f>
        <v>0</v>
      </c>
      <c r="K62" s="2491">
        <f>'New (new) quarts'!AT54</f>
        <v>0</v>
      </c>
      <c r="L62" s="2491">
        <f>'New (new) quarts'!AY54</f>
        <v>0</v>
      </c>
      <c r="M62" s="2491">
        <f>'New (new) quarts'!BD54</f>
        <v>0</v>
      </c>
      <c r="N62" s="2491">
        <f>'New (new) quarts'!BE54</f>
        <v>0</v>
      </c>
      <c r="O62" s="1992">
        <v>0</v>
      </c>
      <c r="P62" s="1992">
        <v>0</v>
      </c>
      <c r="Q62" s="1992">
        <v>0</v>
      </c>
      <c r="R62" s="1992">
        <v>0</v>
      </c>
      <c r="S62" s="1992">
        <v>0</v>
      </c>
      <c r="T62" s="1992">
        <v>0</v>
      </c>
      <c r="U62" s="1293"/>
      <c r="V62" s="1293"/>
      <c r="W62" s="1293"/>
      <c r="X62" s="1293"/>
      <c r="Y62" s="1293"/>
      <c r="Z62" s="1293"/>
      <c r="AA62" s="1293"/>
      <c r="AB62" s="1293"/>
      <c r="AC62" s="1293"/>
      <c r="AD62" s="1293"/>
      <c r="AE62" s="1293"/>
      <c r="AF62" s="1293"/>
      <c r="AG62" s="1293"/>
      <c r="AH62" s="1293"/>
      <c r="AI62" s="1293"/>
      <c r="AJ62" s="1293"/>
      <c r="AK62" s="1293"/>
      <c r="AL62" s="1293"/>
      <c r="AM62" s="1293"/>
      <c r="AN62" s="1293"/>
      <c r="AO62" s="1293"/>
      <c r="AP62" s="1293"/>
      <c r="AQ62" s="1293"/>
      <c r="AR62" s="1293"/>
      <c r="AS62" s="1293"/>
      <c r="AT62" s="1293"/>
      <c r="AU62" s="1293"/>
      <c r="AV62" s="1293"/>
      <c r="AW62" s="1293"/>
      <c r="AX62" s="1293"/>
      <c r="AY62" s="1293"/>
      <c r="AZ62" s="1293"/>
      <c r="BA62" s="1293"/>
      <c r="BB62" s="1293"/>
      <c r="BC62" s="1293"/>
      <c r="BD62" s="1293"/>
      <c r="BE62" s="1293"/>
      <c r="BF62" s="1293"/>
      <c r="BG62" s="1293"/>
      <c r="BH62" s="1293"/>
      <c r="BI62" s="1293"/>
      <c r="BJ62" s="1293"/>
      <c r="BK62" s="1293"/>
      <c r="BL62" s="1293"/>
      <c r="BM62" s="1293"/>
      <c r="BN62" s="1293"/>
      <c r="BO62" s="1293"/>
      <c r="BP62" s="1293"/>
      <c r="BQ62" s="1293"/>
      <c r="BR62" s="1293"/>
      <c r="BS62" s="1293"/>
      <c r="BT62" s="1293"/>
      <c r="BU62" s="1293"/>
      <c r="BV62" s="1293"/>
      <c r="BW62" s="1293"/>
      <c r="BX62" s="1293"/>
      <c r="BY62" s="1293"/>
      <c r="BZ62" s="1293"/>
      <c r="CA62" s="1293"/>
      <c r="CB62" s="1293"/>
      <c r="CC62" s="1293"/>
      <c r="CD62" s="1293"/>
      <c r="CE62" s="1293"/>
      <c r="CF62" s="1293"/>
      <c r="CG62" s="1293"/>
    </row>
    <row r="63" spans="1:85" ht="15.75">
      <c r="A63" s="1293"/>
      <c r="B63" s="1293"/>
      <c r="C63" s="1293" t="str">
        <f>C23</f>
        <v>South America</v>
      </c>
      <c r="D63" s="2490">
        <f>'New (new) quarts'!G55</f>
        <v>2654.7164662647106</v>
      </c>
      <c r="E63" s="2490">
        <f>'New (new) quarts'!L55</f>
        <v>2894.15367728708</v>
      </c>
      <c r="F63" s="2490">
        <f>'New (new) quarts'!Q55</f>
        <v>2687.5678464246898</v>
      </c>
      <c r="G63" s="2490">
        <f>'New (new) quarts'!V55</f>
        <v>2785</v>
      </c>
      <c r="H63" s="2490">
        <f>'New (new) quarts'!AA55</f>
        <v>2782</v>
      </c>
      <c r="I63" s="2490">
        <f>'New (new) quarts'!AJ55</f>
        <v>2625</v>
      </c>
      <c r="J63" s="2490">
        <f>'New (new) quarts'!AO55</f>
        <v>2348</v>
      </c>
      <c r="K63" s="2490">
        <f>'New (new) quarts'!AT55</f>
        <v>2456</v>
      </c>
      <c r="L63" s="1327">
        <f>SUM(L59:L62)</f>
        <v>2391.83</v>
      </c>
      <c r="M63" s="1327">
        <f>SUM(M59:M62)</f>
        <v>2414.828</v>
      </c>
      <c r="N63" s="1327">
        <f>SUM(N59:N62)</f>
        <v>2488.1087000000002</v>
      </c>
      <c r="O63" s="1327">
        <f t="shared" ref="O63:T63" si="52">SUM(O59:O62)</f>
        <v>2118.8808664241051</v>
      </c>
      <c r="P63" s="1327">
        <f t="shared" si="52"/>
        <v>2136.1614605929217</v>
      </c>
      <c r="Q63" s="1327">
        <f t="shared" si="52"/>
        <v>2163.5194557091486</v>
      </c>
      <c r="R63" s="1327">
        <f t="shared" si="52"/>
        <v>2197.9757781181061</v>
      </c>
      <c r="S63" s="1327">
        <f t="shared" si="52"/>
        <v>2222.2046465169478</v>
      </c>
      <c r="T63" s="1327">
        <f t="shared" si="52"/>
        <v>2237.1457676045479</v>
      </c>
      <c r="U63" s="1293"/>
      <c r="V63" s="1293"/>
      <c r="W63" s="1293"/>
      <c r="X63" s="1293"/>
      <c r="Y63" s="1293"/>
      <c r="Z63" s="1293"/>
      <c r="AA63" s="1293"/>
      <c r="AB63" s="1293"/>
      <c r="AC63" s="1293"/>
      <c r="AD63" s="1293"/>
      <c r="AE63" s="1293"/>
      <c r="AF63" s="1293"/>
      <c r="AG63" s="1293"/>
      <c r="AH63" s="1293"/>
      <c r="AI63" s="1293"/>
      <c r="AJ63" s="1293"/>
      <c r="AK63" s="1293"/>
      <c r="AL63" s="1293"/>
      <c r="AM63" s="1293"/>
      <c r="AN63" s="1293"/>
      <c r="AO63" s="1293"/>
      <c r="AP63" s="1293"/>
      <c r="AQ63" s="1293"/>
      <c r="AR63" s="1293"/>
      <c r="AS63" s="1293"/>
      <c r="AT63" s="1293"/>
      <c r="AU63" s="1293"/>
      <c r="AV63" s="1293"/>
      <c r="AW63" s="1293"/>
      <c r="AX63" s="1293"/>
      <c r="AY63" s="1293"/>
      <c r="AZ63" s="1293"/>
      <c r="BA63" s="1293"/>
      <c r="BB63" s="1293"/>
      <c r="BC63" s="1293"/>
      <c r="BD63" s="1293"/>
      <c r="BE63" s="1293"/>
      <c r="BF63" s="1293"/>
      <c r="BG63" s="1293"/>
      <c r="BH63" s="1293"/>
      <c r="BI63" s="1293"/>
      <c r="BJ63" s="1293"/>
      <c r="BK63" s="1293"/>
      <c r="BL63" s="1293"/>
      <c r="BM63" s="1293"/>
      <c r="BN63" s="1293"/>
      <c r="BO63" s="1293"/>
      <c r="BP63" s="1293"/>
      <c r="BQ63" s="1293"/>
      <c r="BR63" s="1293"/>
      <c r="BS63" s="1293"/>
      <c r="BT63" s="1293"/>
      <c r="BU63" s="1293"/>
      <c r="BV63" s="1293"/>
      <c r="BW63" s="1293"/>
      <c r="BX63" s="1293"/>
      <c r="BY63" s="1293"/>
      <c r="BZ63" s="1293"/>
      <c r="CA63" s="1293"/>
      <c r="CB63" s="1293"/>
      <c r="CC63" s="1293"/>
      <c r="CD63" s="1293"/>
      <c r="CE63" s="1293"/>
      <c r="CF63" s="1293"/>
      <c r="CG63" s="1293"/>
    </row>
    <row r="64" spans="1:85" ht="15.75">
      <c r="A64" s="1293"/>
      <c r="B64" s="1293"/>
      <c r="C64" s="1293"/>
      <c r="D64" s="1327"/>
      <c r="E64" s="1327"/>
      <c r="F64" s="1327"/>
      <c r="G64" s="1327"/>
      <c r="H64" s="1327"/>
      <c r="I64" s="1327"/>
      <c r="J64" s="1327"/>
      <c r="K64" s="1327"/>
      <c r="L64" s="1327"/>
      <c r="M64" s="1327"/>
      <c r="N64" s="1327"/>
      <c r="O64" s="1327"/>
      <c r="P64" s="1327"/>
      <c r="Q64" s="1327"/>
      <c r="R64" s="1327"/>
      <c r="S64" s="1327"/>
      <c r="T64" s="1327"/>
      <c r="U64" s="1293"/>
      <c r="V64" s="1293"/>
      <c r="W64" s="1293"/>
      <c r="X64" s="1293"/>
      <c r="Y64" s="1293"/>
      <c r="Z64" s="1293"/>
      <c r="AA64" s="1293"/>
      <c r="AB64" s="1293"/>
      <c r="AC64" s="1293"/>
      <c r="AD64" s="1293"/>
      <c r="AE64" s="1293"/>
      <c r="AF64" s="1293"/>
      <c r="AG64" s="1293"/>
      <c r="AH64" s="1293"/>
      <c r="AI64" s="1293"/>
      <c r="AJ64" s="1293"/>
      <c r="AK64" s="1293"/>
      <c r="AL64" s="1293"/>
      <c r="AM64" s="1293"/>
      <c r="AN64" s="1293"/>
      <c r="AO64" s="1293"/>
      <c r="AP64" s="1293"/>
      <c r="AQ64" s="1293"/>
      <c r="AR64" s="1293"/>
      <c r="AS64" s="1293"/>
      <c r="AT64" s="1293"/>
      <c r="AU64" s="1293"/>
      <c r="AV64" s="1293"/>
      <c r="AW64" s="1293"/>
      <c r="AX64" s="1293"/>
      <c r="AY64" s="1293"/>
      <c r="AZ64" s="1293"/>
      <c r="BA64" s="1293"/>
      <c r="BB64" s="1293"/>
      <c r="BC64" s="1293"/>
      <c r="BD64" s="1293"/>
      <c r="BE64" s="1293"/>
      <c r="BF64" s="1293"/>
      <c r="BG64" s="1293"/>
      <c r="BH64" s="1293"/>
      <c r="BI64" s="1293"/>
      <c r="BJ64" s="1293"/>
      <c r="BK64" s="1293"/>
      <c r="BL64" s="1293"/>
      <c r="BM64" s="1293"/>
      <c r="BN64" s="1293"/>
      <c r="BO64" s="1293"/>
      <c r="BP64" s="1293"/>
      <c r="BQ64" s="1293"/>
      <c r="BR64" s="1293"/>
      <c r="BS64" s="1293"/>
      <c r="BT64" s="1293"/>
      <c r="BU64" s="1293"/>
      <c r="BV64" s="1293"/>
      <c r="BW64" s="1293"/>
      <c r="BX64" s="1293"/>
      <c r="BY64" s="1293"/>
      <c r="BZ64" s="1293"/>
      <c r="CA64" s="1293"/>
      <c r="CB64" s="1293"/>
      <c r="CC64" s="1293"/>
      <c r="CD64" s="1293"/>
      <c r="CE64" s="1293"/>
      <c r="CF64" s="1293"/>
      <c r="CG64" s="1293"/>
    </row>
    <row r="65" spans="1:85" ht="15.75" hidden="1" outlineLevel="1">
      <c r="A65" s="1293"/>
      <c r="B65" s="1293"/>
      <c r="C65" s="1293" t="s">
        <v>5496</v>
      </c>
      <c r="D65" s="1327">
        <f t="shared" ref="D65:I65" si="53">D57+D63</f>
        <v>4921.7012510081977</v>
      </c>
      <c r="E65" s="1327">
        <f t="shared" si="53"/>
        <v>5236.2622418831288</v>
      </c>
      <c r="F65" s="1327">
        <f t="shared" si="53"/>
        <v>4967.2103658294982</v>
      </c>
      <c r="G65" s="1327">
        <f t="shared" si="53"/>
        <v>5079</v>
      </c>
      <c r="H65" s="1327">
        <f t="shared" si="53"/>
        <v>5070</v>
      </c>
      <c r="I65" s="1327">
        <f t="shared" si="53"/>
        <v>5510.232</v>
      </c>
      <c r="J65" s="1327">
        <f t="shared" ref="J65:O65" si="54">J57+J63</f>
        <v>5394</v>
      </c>
      <c r="K65" s="1327">
        <f t="shared" ref="K65:L65" si="55">K57+K63</f>
        <v>5738</v>
      </c>
      <c r="L65" s="1327">
        <f t="shared" si="55"/>
        <v>5190.2562000000007</v>
      </c>
      <c r="M65" s="1327">
        <f t="shared" ref="M65:N65" si="56">M57+M63</f>
        <v>5270.8425999999999</v>
      </c>
      <c r="N65" s="1327">
        <f t="shared" si="56"/>
        <v>5436.8858</v>
      </c>
      <c r="O65" s="1327">
        <f t="shared" si="54"/>
        <v>5161.0197459554429</v>
      </c>
      <c r="P65" s="1327">
        <f>P57+P63</f>
        <v>5235.8837563747802</v>
      </c>
      <c r="Q65" s="1327">
        <f>Q57+Q63</f>
        <v>5325.793659863858</v>
      </c>
      <c r="R65" s="1327">
        <f>R57+R63</f>
        <v>5422.7958547864309</v>
      </c>
      <c r="S65" s="1327">
        <f>S57+S63</f>
        <v>5501.7915851317648</v>
      </c>
      <c r="T65" s="1327">
        <f>T57+T63</f>
        <v>5567.2561230810988</v>
      </c>
      <c r="U65" s="1293"/>
      <c r="V65" s="1293"/>
      <c r="W65" s="1293"/>
      <c r="X65" s="1293"/>
      <c r="Y65" s="1293"/>
      <c r="Z65" s="1293"/>
      <c r="AA65" s="1293"/>
      <c r="AB65" s="1293"/>
      <c r="AC65" s="1293"/>
      <c r="AD65" s="1293"/>
      <c r="AE65" s="1293"/>
      <c r="AF65" s="1293"/>
      <c r="AG65" s="1293"/>
      <c r="AH65" s="1293"/>
      <c r="AI65" s="1293"/>
      <c r="AJ65" s="1293"/>
      <c r="AK65" s="1293"/>
      <c r="AL65" s="1293"/>
      <c r="AM65" s="1293"/>
      <c r="AN65" s="1293"/>
      <c r="AO65" s="1293"/>
      <c r="AP65" s="1293"/>
      <c r="AQ65" s="1293"/>
      <c r="AR65" s="1293"/>
      <c r="AS65" s="1293"/>
      <c r="AT65" s="1293"/>
      <c r="AU65" s="1293"/>
      <c r="AV65" s="1293"/>
      <c r="AW65" s="1293"/>
      <c r="AX65" s="1293"/>
      <c r="AY65" s="1293"/>
      <c r="AZ65" s="1293"/>
      <c r="BA65" s="1293"/>
      <c r="BB65" s="1293"/>
      <c r="BC65" s="1293"/>
      <c r="BD65" s="1293"/>
      <c r="BE65" s="1293"/>
      <c r="BF65" s="1293"/>
      <c r="BG65" s="1293"/>
      <c r="BH65" s="1293"/>
      <c r="BI65" s="1293"/>
      <c r="BJ65" s="1293"/>
      <c r="BK65" s="1293"/>
      <c r="BL65" s="1293"/>
      <c r="BM65" s="1293"/>
      <c r="BN65" s="1293"/>
      <c r="BO65" s="1293"/>
      <c r="BP65" s="1293"/>
      <c r="BQ65" s="1293"/>
      <c r="BR65" s="1293"/>
      <c r="BS65" s="1293"/>
      <c r="BT65" s="1293"/>
      <c r="BU65" s="1293"/>
      <c r="BV65" s="1293"/>
      <c r="BW65" s="1293"/>
      <c r="BX65" s="1293"/>
      <c r="BY65" s="1293"/>
      <c r="BZ65" s="1293"/>
      <c r="CA65" s="1293"/>
      <c r="CB65" s="1293"/>
      <c r="CC65" s="1293"/>
      <c r="CD65" s="1293"/>
      <c r="CE65" s="1293"/>
      <c r="CF65" s="1293"/>
      <c r="CG65" s="1293"/>
    </row>
    <row r="66" spans="1:85" ht="15.75" hidden="1" outlineLevel="1">
      <c r="A66" s="1293"/>
      <c r="B66" s="1293"/>
      <c r="C66" s="1293"/>
      <c r="D66" s="1327"/>
      <c r="E66" s="1327"/>
      <c r="F66" s="1327"/>
      <c r="G66" s="1327"/>
      <c r="H66" s="1327"/>
      <c r="I66" s="1327"/>
      <c r="J66" s="1327"/>
      <c r="K66" s="1327"/>
      <c r="L66" s="1327"/>
      <c r="M66" s="1327"/>
      <c r="N66" s="1327"/>
      <c r="O66" s="1327"/>
      <c r="P66" s="1327"/>
      <c r="Q66" s="1327"/>
      <c r="R66" s="1327"/>
      <c r="S66" s="1327"/>
      <c r="T66" s="1327"/>
      <c r="U66" s="1293"/>
      <c r="V66" s="1293"/>
      <c r="W66" s="1293"/>
      <c r="X66" s="1293"/>
      <c r="Y66" s="1293"/>
      <c r="Z66" s="1293"/>
      <c r="AA66" s="1293"/>
      <c r="AB66" s="1293"/>
      <c r="AC66" s="1293"/>
      <c r="AD66" s="1293"/>
      <c r="AE66" s="1293"/>
      <c r="AF66" s="1293"/>
      <c r="AG66" s="1293"/>
      <c r="AH66" s="1293"/>
      <c r="AI66" s="1293"/>
      <c r="AJ66" s="1293"/>
      <c r="AK66" s="1293"/>
      <c r="AL66" s="1293"/>
      <c r="AM66" s="1293"/>
      <c r="AN66" s="1293"/>
      <c r="AO66" s="1293"/>
      <c r="AP66" s="1293"/>
      <c r="AQ66" s="1293"/>
      <c r="AR66" s="1293"/>
      <c r="AS66" s="1293"/>
      <c r="AT66" s="1293"/>
      <c r="AU66" s="1293"/>
      <c r="AV66" s="1293"/>
      <c r="AW66" s="1293"/>
      <c r="AX66" s="1293"/>
      <c r="AY66" s="1293"/>
      <c r="AZ66" s="1293"/>
      <c r="BA66" s="1293"/>
      <c r="BB66" s="1293"/>
      <c r="BC66" s="1293"/>
      <c r="BD66" s="1293"/>
      <c r="BE66" s="1293"/>
      <c r="BF66" s="1293"/>
      <c r="BG66" s="1293"/>
      <c r="BH66" s="1293"/>
      <c r="BI66" s="1293"/>
      <c r="BJ66" s="1293"/>
      <c r="BK66" s="1293"/>
      <c r="BL66" s="1293"/>
      <c r="BM66" s="1293"/>
      <c r="BN66" s="1293"/>
      <c r="BO66" s="1293"/>
      <c r="BP66" s="1293"/>
      <c r="BQ66" s="1293"/>
      <c r="BR66" s="1293"/>
      <c r="BS66" s="1293"/>
      <c r="BT66" s="1293"/>
      <c r="BU66" s="1293"/>
      <c r="BV66" s="1293"/>
      <c r="BW66" s="1293"/>
      <c r="BX66" s="1293"/>
      <c r="BY66" s="1293"/>
      <c r="BZ66" s="1293"/>
      <c r="CA66" s="1293"/>
      <c r="CB66" s="1293"/>
      <c r="CC66" s="1293"/>
      <c r="CD66" s="1293"/>
      <c r="CE66" s="1293"/>
      <c r="CF66" s="1293"/>
      <c r="CG66" s="1293"/>
    </row>
    <row r="67" spans="1:85" ht="15.75" hidden="1" outlineLevel="1">
      <c r="A67" s="1293"/>
      <c r="B67" s="1293"/>
      <c r="C67" s="1293" t="str">
        <f t="shared" ref="C67:C75" si="57">C25</f>
        <v>Chad</v>
      </c>
      <c r="D67" s="1327">
        <f ca="1">'New (new) quarts'!G60</f>
        <v>177.48930408185262</v>
      </c>
      <c r="E67" s="1327">
        <f>'New (new) quarts'!L60</f>
        <v>149.83541241779523</v>
      </c>
      <c r="F67" s="1327">
        <f ca="1">'New (new) quarts'!Q60</f>
        <v>159.25479085340262</v>
      </c>
      <c r="G67" s="1327">
        <f ca="1">'New (new) quarts'!V60</f>
        <v>147.38876651696256</v>
      </c>
      <c r="H67" s="1327">
        <f ca="1">'New (new) quarts'!AA60</f>
        <v>154.74949478957072</v>
      </c>
      <c r="I67" s="1327"/>
      <c r="J67" s="1327"/>
      <c r="K67" s="1327"/>
      <c r="L67" s="1327"/>
      <c r="M67" s="1327"/>
      <c r="N67" s="1327"/>
      <c r="O67" s="1327"/>
      <c r="P67" s="1327"/>
      <c r="Q67" s="1327"/>
      <c r="R67" s="1327"/>
      <c r="S67" s="1327"/>
      <c r="T67" s="1327"/>
      <c r="U67" s="1293"/>
      <c r="V67" s="1293"/>
      <c r="W67" s="1293"/>
      <c r="X67" s="1293"/>
      <c r="Y67" s="1293"/>
      <c r="Z67" s="1293"/>
      <c r="AA67" s="1293"/>
      <c r="AB67" s="1293"/>
      <c r="AC67" s="1293"/>
      <c r="AD67" s="1293"/>
      <c r="AE67" s="1293"/>
      <c r="AF67" s="1293"/>
      <c r="AG67" s="1293"/>
      <c r="AH67" s="1293"/>
      <c r="AI67" s="1293"/>
      <c r="AJ67" s="1293"/>
      <c r="AK67" s="1293"/>
      <c r="AL67" s="1293"/>
      <c r="AM67" s="1293"/>
      <c r="AN67" s="1293"/>
      <c r="AO67" s="1293"/>
      <c r="AP67" s="1293"/>
      <c r="AQ67" s="1293"/>
      <c r="AR67" s="1293"/>
      <c r="AS67" s="1293"/>
      <c r="AT67" s="1293"/>
      <c r="AU67" s="1293"/>
      <c r="AV67" s="1293"/>
      <c r="AW67" s="1293"/>
      <c r="AX67" s="1293"/>
      <c r="AY67" s="1293"/>
      <c r="AZ67" s="1293"/>
      <c r="BA67" s="1293"/>
      <c r="BB67" s="1293"/>
      <c r="BC67" s="1293"/>
      <c r="BD67" s="1293"/>
      <c r="BE67" s="1293"/>
      <c r="BF67" s="1293"/>
      <c r="BG67" s="1293"/>
      <c r="BH67" s="1293"/>
      <c r="BI67" s="1293"/>
      <c r="BJ67" s="1293"/>
      <c r="BK67" s="1293"/>
      <c r="BL67" s="1293"/>
      <c r="BM67" s="1293"/>
      <c r="BN67" s="1293"/>
      <c r="BO67" s="1293"/>
      <c r="BP67" s="1293"/>
      <c r="BQ67" s="1293"/>
      <c r="BR67" s="1293"/>
      <c r="BS67" s="1293"/>
      <c r="BT67" s="1293"/>
      <c r="BU67" s="1293"/>
      <c r="BV67" s="1293"/>
      <c r="BW67" s="1293"/>
      <c r="BX67" s="1293"/>
      <c r="BY67" s="1293"/>
      <c r="BZ67" s="1293"/>
      <c r="CA67" s="1293"/>
      <c r="CB67" s="1293"/>
      <c r="CC67" s="1293"/>
      <c r="CD67" s="1293"/>
      <c r="CE67" s="1293"/>
      <c r="CF67" s="1293"/>
      <c r="CG67" s="1293"/>
    </row>
    <row r="68" spans="1:85" ht="15.75" hidden="1" outlineLevel="1">
      <c r="A68" s="1293"/>
      <c r="B68" s="1293"/>
      <c r="C68" s="1293" t="str">
        <f t="shared" si="57"/>
        <v>DRC</v>
      </c>
      <c r="D68" s="1327">
        <f>'New (new) quarts'!G61</f>
        <v>125.78015476445313</v>
      </c>
      <c r="E68" s="1327">
        <f>'New (new) quarts'!L61</f>
        <v>148.74435715166021</v>
      </c>
      <c r="F68" s="1327"/>
      <c r="G68" s="1327"/>
      <c r="H68" s="1327"/>
      <c r="I68" s="1327"/>
      <c r="J68" s="1327"/>
      <c r="K68" s="1327"/>
      <c r="L68" s="1327"/>
      <c r="M68" s="1327"/>
      <c r="N68" s="1327"/>
      <c r="O68" s="1327"/>
      <c r="P68" s="1327"/>
      <c r="Q68" s="1327"/>
      <c r="R68" s="1327"/>
      <c r="S68" s="1327"/>
      <c r="T68" s="1327"/>
      <c r="U68" s="1293"/>
      <c r="V68" s="1293"/>
      <c r="W68" s="1293"/>
      <c r="X68" s="1293"/>
      <c r="Y68" s="1293"/>
      <c r="Z68" s="1293"/>
      <c r="AA68" s="1293"/>
      <c r="AB68" s="1293"/>
      <c r="AC68" s="1293"/>
      <c r="AD68" s="1293"/>
      <c r="AE68" s="1293"/>
      <c r="AF68" s="1293"/>
      <c r="AG68" s="1293"/>
      <c r="AH68" s="1293"/>
      <c r="AI68" s="1293"/>
      <c r="AJ68" s="1293"/>
      <c r="AK68" s="1293"/>
      <c r="AL68" s="1293"/>
      <c r="AM68" s="1293"/>
      <c r="AN68" s="1293"/>
      <c r="AO68" s="1293"/>
      <c r="AP68" s="1293"/>
      <c r="AQ68" s="1293"/>
      <c r="AR68" s="1293"/>
      <c r="AS68" s="1293"/>
      <c r="AT68" s="1293"/>
      <c r="AU68" s="1293"/>
      <c r="AV68" s="1293"/>
      <c r="AW68" s="1293"/>
      <c r="AX68" s="1293"/>
      <c r="AY68" s="1293"/>
      <c r="AZ68" s="1293"/>
      <c r="BA68" s="1293"/>
      <c r="BB68" s="1293"/>
      <c r="BC68" s="1293"/>
      <c r="BD68" s="1293"/>
      <c r="BE68" s="1293"/>
      <c r="BF68" s="1293"/>
      <c r="BG68" s="1293"/>
      <c r="BH68" s="1293"/>
      <c r="BI68" s="1293"/>
      <c r="BJ68" s="1293"/>
      <c r="BK68" s="1293"/>
      <c r="BL68" s="1293"/>
      <c r="BM68" s="1293"/>
      <c r="BN68" s="1293"/>
      <c r="BO68" s="1293"/>
      <c r="BP68" s="1293"/>
      <c r="BQ68" s="1293"/>
      <c r="BR68" s="1293"/>
      <c r="BS68" s="1293"/>
      <c r="BT68" s="1293"/>
      <c r="BU68" s="1293"/>
      <c r="BV68" s="1293"/>
      <c r="BW68" s="1293"/>
      <c r="BX68" s="1293"/>
      <c r="BY68" s="1293"/>
      <c r="BZ68" s="1293"/>
      <c r="CA68" s="1293"/>
      <c r="CB68" s="1293"/>
      <c r="CC68" s="1293"/>
      <c r="CD68" s="1293"/>
      <c r="CE68" s="1293"/>
      <c r="CF68" s="1293"/>
      <c r="CG68" s="1293"/>
    </row>
    <row r="69" spans="1:85" ht="15.75" hidden="1" outlineLevel="1">
      <c r="A69" s="1293"/>
      <c r="B69" s="1293"/>
      <c r="C69" s="1293" t="str">
        <f t="shared" si="57"/>
        <v>Ghana</v>
      </c>
      <c r="D69" s="1327">
        <f>'New (new) quarts'!G62</f>
        <v>143.96354664416936</v>
      </c>
      <c r="E69" s="1327">
        <f>'New (new) quarts'!L62</f>
        <v>136.98803781497003</v>
      </c>
      <c r="F69" s="1327">
        <f>'New (new) quarts'!Q62</f>
        <v>156.77361222954247</v>
      </c>
      <c r="G69" s="1327">
        <f>'New (new) quarts'!V62</f>
        <v>70.630579696821258</v>
      </c>
      <c r="H69" s="1327"/>
      <c r="I69" s="1327"/>
      <c r="J69" s="1327"/>
      <c r="K69" s="1327"/>
      <c r="L69" s="1327"/>
      <c r="M69" s="1327"/>
      <c r="N69" s="1327"/>
      <c r="O69" s="1327"/>
      <c r="P69" s="1327"/>
      <c r="Q69" s="1327"/>
      <c r="R69" s="1327"/>
      <c r="S69" s="1327"/>
      <c r="T69" s="1327"/>
      <c r="U69" s="1293"/>
      <c r="V69" s="1293"/>
      <c r="W69" s="1293"/>
      <c r="X69" s="1293"/>
      <c r="Y69" s="1293"/>
      <c r="Z69" s="1293"/>
      <c r="AA69" s="1293"/>
      <c r="AB69" s="1293"/>
      <c r="AC69" s="1293"/>
      <c r="AD69" s="1293"/>
      <c r="AE69" s="1293"/>
      <c r="AF69" s="1293"/>
      <c r="AG69" s="1293"/>
      <c r="AH69" s="1293"/>
      <c r="AI69" s="1293"/>
      <c r="AJ69" s="1293"/>
      <c r="AK69" s="1293"/>
      <c r="AL69" s="1293"/>
      <c r="AM69" s="1293"/>
      <c r="AN69" s="1293"/>
      <c r="AO69" s="1293"/>
      <c r="AP69" s="1293"/>
      <c r="AQ69" s="1293"/>
      <c r="AR69" s="1293"/>
      <c r="AS69" s="1293"/>
      <c r="AT69" s="1293"/>
      <c r="AU69" s="1293"/>
      <c r="AV69" s="1293"/>
      <c r="AW69" s="1293"/>
      <c r="AX69" s="1293"/>
      <c r="AY69" s="1293"/>
      <c r="AZ69" s="1293"/>
      <c r="BA69" s="1293"/>
      <c r="BB69" s="1293"/>
      <c r="BC69" s="1293"/>
      <c r="BD69" s="1293"/>
      <c r="BE69" s="1293"/>
      <c r="BF69" s="1293"/>
      <c r="BG69" s="1293"/>
      <c r="BH69" s="1293"/>
      <c r="BI69" s="1293"/>
      <c r="BJ69" s="1293"/>
      <c r="BK69" s="1293"/>
      <c r="BL69" s="1293"/>
      <c r="BM69" s="1293"/>
      <c r="BN69" s="1293"/>
      <c r="BO69" s="1293"/>
      <c r="BP69" s="1293"/>
      <c r="BQ69" s="1293"/>
      <c r="BR69" s="1293"/>
      <c r="BS69" s="1293"/>
      <c r="BT69" s="1293"/>
      <c r="BU69" s="1293"/>
      <c r="BV69" s="1293"/>
      <c r="BW69" s="1293"/>
      <c r="BX69" s="1293"/>
      <c r="BY69" s="1293"/>
      <c r="BZ69" s="1293"/>
      <c r="CA69" s="1293"/>
      <c r="CB69" s="1293"/>
      <c r="CC69" s="1293"/>
      <c r="CD69" s="1293"/>
      <c r="CE69" s="1293"/>
      <c r="CF69" s="1293"/>
      <c r="CG69" s="1293"/>
    </row>
    <row r="70" spans="1:85" ht="15.75" hidden="1" outlineLevel="1">
      <c r="A70" s="1293"/>
      <c r="B70" s="1293"/>
      <c r="C70" s="1293" t="str">
        <f t="shared" si="57"/>
        <v>Rwanda</v>
      </c>
      <c r="D70" s="1327">
        <f>'New (new) quarts'!G63</f>
        <v>62.435393125424689</v>
      </c>
      <c r="E70" s="1327">
        <f>'New (new) quarts'!L63</f>
        <v>62.670004767168869</v>
      </c>
      <c r="F70" s="1327">
        <f>'New (new) quarts'!Q63</f>
        <v>62.249564963929146</v>
      </c>
      <c r="G70" s="1327">
        <f>'New (new) quarts'!V63</f>
        <v>57.453650967927778</v>
      </c>
      <c r="H70" s="1327"/>
      <c r="I70" s="1327"/>
      <c r="J70" s="1327"/>
      <c r="K70" s="1327"/>
      <c r="L70" s="1327"/>
      <c r="M70" s="1327"/>
      <c r="N70" s="1327"/>
      <c r="O70" s="1327"/>
      <c r="P70" s="1327"/>
      <c r="Q70" s="1327"/>
      <c r="R70" s="1327"/>
      <c r="S70" s="1327"/>
      <c r="T70" s="1327"/>
      <c r="U70" s="1293"/>
      <c r="V70" s="1293"/>
      <c r="W70" s="1293"/>
      <c r="X70" s="1293"/>
      <c r="Y70" s="1293"/>
      <c r="Z70" s="1293"/>
      <c r="AA70" s="1293"/>
      <c r="AB70" s="1293"/>
      <c r="AC70" s="1293"/>
      <c r="AD70" s="1293"/>
      <c r="AE70" s="1293"/>
      <c r="AF70" s="1293"/>
      <c r="AG70" s="1293"/>
      <c r="AH70" s="1293"/>
      <c r="AI70" s="1293"/>
      <c r="AJ70" s="1293"/>
      <c r="AK70" s="1293"/>
      <c r="AL70" s="1293"/>
      <c r="AM70" s="1293"/>
      <c r="AN70" s="1293"/>
      <c r="AO70" s="1293"/>
      <c r="AP70" s="1293"/>
      <c r="AQ70" s="1293"/>
      <c r="AR70" s="1293"/>
      <c r="AS70" s="1293"/>
      <c r="AT70" s="1293"/>
      <c r="AU70" s="1293"/>
      <c r="AV70" s="1293"/>
      <c r="AW70" s="1293"/>
      <c r="AX70" s="1293"/>
      <c r="AY70" s="1293"/>
      <c r="AZ70" s="1293"/>
      <c r="BA70" s="1293"/>
      <c r="BB70" s="1293"/>
      <c r="BC70" s="1293"/>
      <c r="BD70" s="1293"/>
      <c r="BE70" s="1293"/>
      <c r="BF70" s="1293"/>
      <c r="BG70" s="1293"/>
      <c r="BH70" s="1293"/>
      <c r="BI70" s="1293"/>
      <c r="BJ70" s="1293"/>
      <c r="BK70" s="1293"/>
      <c r="BL70" s="1293"/>
      <c r="BM70" s="1293"/>
      <c r="BN70" s="1293"/>
      <c r="BO70" s="1293"/>
      <c r="BP70" s="1293"/>
      <c r="BQ70" s="1293"/>
      <c r="BR70" s="1293"/>
      <c r="BS70" s="1293"/>
      <c r="BT70" s="1293"/>
      <c r="BU70" s="1293"/>
      <c r="BV70" s="1293"/>
      <c r="BW70" s="1293"/>
      <c r="BX70" s="1293"/>
      <c r="BY70" s="1293"/>
      <c r="BZ70" s="1293"/>
      <c r="CA70" s="1293"/>
      <c r="CB70" s="1293"/>
      <c r="CC70" s="1293"/>
      <c r="CD70" s="1293"/>
      <c r="CE70" s="1293"/>
      <c r="CF70" s="1293"/>
      <c r="CG70" s="1293"/>
    </row>
    <row r="71" spans="1:85" ht="15.75" hidden="1" outlineLevel="1">
      <c r="A71" s="1293"/>
      <c r="B71" s="1293"/>
      <c r="C71" s="1293" t="str">
        <f t="shared" si="57"/>
        <v>Senegal</v>
      </c>
      <c r="D71" s="1327">
        <f ca="1">'New (new) quarts'!G64</f>
        <v>113.33770097917956</v>
      </c>
      <c r="E71" s="1327">
        <f ca="1">'New (new) quarts'!L64</f>
        <v>111.44396483125162</v>
      </c>
      <c r="F71" s="1327">
        <f ca="1">'New (new) quarts'!Q64</f>
        <v>131.19194287774937</v>
      </c>
      <c r="G71" s="1327"/>
      <c r="H71" s="1327"/>
      <c r="I71" s="1327"/>
      <c r="J71" s="1327"/>
      <c r="K71" s="1327"/>
      <c r="L71" s="1327"/>
      <c r="M71" s="1327"/>
      <c r="N71" s="1327"/>
      <c r="O71" s="1327"/>
      <c r="P71" s="1327"/>
      <c r="Q71" s="1327"/>
      <c r="R71" s="1327"/>
      <c r="S71" s="1327"/>
      <c r="T71" s="1327"/>
      <c r="U71" s="1293"/>
      <c r="V71" s="1293"/>
      <c r="W71" s="1293"/>
      <c r="X71" s="1293"/>
      <c r="Y71" s="1293"/>
      <c r="Z71" s="1293"/>
      <c r="AA71" s="1293"/>
      <c r="AB71" s="1293"/>
      <c r="AC71" s="1293"/>
      <c r="AD71" s="1293"/>
      <c r="AE71" s="1293"/>
      <c r="AF71" s="1293"/>
      <c r="AG71" s="1293"/>
      <c r="AH71" s="1293"/>
      <c r="AI71" s="1293"/>
      <c r="AJ71" s="1293"/>
      <c r="AK71" s="1293"/>
      <c r="AL71" s="1293"/>
      <c r="AM71" s="1293"/>
      <c r="AN71" s="1293"/>
      <c r="AO71" s="1293"/>
      <c r="AP71" s="1293"/>
      <c r="AQ71" s="1293"/>
      <c r="AR71" s="1293"/>
      <c r="AS71" s="1293"/>
      <c r="AT71" s="1293"/>
      <c r="AU71" s="1293"/>
      <c r="AV71" s="1293"/>
      <c r="AW71" s="1293"/>
      <c r="AX71" s="1293"/>
      <c r="AY71" s="1293"/>
      <c r="AZ71" s="1293"/>
      <c r="BA71" s="1293"/>
      <c r="BB71" s="1293"/>
      <c r="BC71" s="1293"/>
      <c r="BD71" s="1293"/>
      <c r="BE71" s="1293"/>
      <c r="BF71" s="1293"/>
      <c r="BG71" s="1293"/>
      <c r="BH71" s="1293"/>
      <c r="BI71" s="1293"/>
      <c r="BJ71" s="1293"/>
      <c r="BK71" s="1293"/>
      <c r="BL71" s="1293"/>
      <c r="BM71" s="1293"/>
      <c r="BN71" s="1293"/>
      <c r="BO71" s="1293"/>
      <c r="BP71" s="1293"/>
      <c r="BQ71" s="1293"/>
      <c r="BR71" s="1293"/>
      <c r="BS71" s="1293"/>
      <c r="BT71" s="1293"/>
      <c r="BU71" s="1293"/>
      <c r="BV71" s="1293"/>
      <c r="BW71" s="1293"/>
      <c r="BX71" s="1293"/>
      <c r="BY71" s="1293"/>
      <c r="BZ71" s="1293"/>
      <c r="CA71" s="1293"/>
      <c r="CB71" s="1293"/>
      <c r="CC71" s="1293"/>
      <c r="CD71" s="1293"/>
      <c r="CE71" s="1293"/>
      <c r="CF71" s="1293"/>
      <c r="CG71" s="1293"/>
    </row>
    <row r="72" spans="1:85" ht="15.75" hidden="1" outlineLevel="1">
      <c r="A72" s="1293"/>
      <c r="B72" s="1293"/>
      <c r="C72" s="1293" t="str">
        <f t="shared" si="57"/>
        <v>Tanzania</v>
      </c>
      <c r="D72" s="1327">
        <f>'New (new) quarts'!G65</f>
        <v>362.86702167845425</v>
      </c>
      <c r="E72" s="1327">
        <f>'New (new) quarts'!L65</f>
        <v>353.22363171287003</v>
      </c>
      <c r="F72" s="1327">
        <f>'New (new) quarts'!Q65</f>
        <v>345.09561847931604</v>
      </c>
      <c r="G72" s="1327">
        <f>'New (new) quarts'!V65</f>
        <v>337.37347969362884</v>
      </c>
      <c r="H72" s="1327">
        <f>'New (new) quarts'!AA65</f>
        <v>353.00380732727467</v>
      </c>
      <c r="I72" s="1327">
        <f>'New (new) quarts'!AJ65</f>
        <v>359</v>
      </c>
      <c r="J72" s="1327">
        <f>'New (new) quarts'!AO65</f>
        <v>353</v>
      </c>
      <c r="K72" s="1327">
        <f>'New (new) quarts'!AT65</f>
        <v>351</v>
      </c>
      <c r="L72" s="1327"/>
      <c r="M72" s="1327"/>
      <c r="N72" s="1327"/>
      <c r="O72" s="1327"/>
      <c r="P72" s="1327"/>
      <c r="Q72" s="1327"/>
      <c r="R72" s="1327"/>
      <c r="S72" s="1327"/>
      <c r="T72" s="1327"/>
      <c r="U72" s="1293"/>
      <c r="V72" s="1293"/>
      <c r="W72" s="1293"/>
      <c r="X72" s="1293"/>
      <c r="Y72" s="1293"/>
      <c r="Z72" s="1293"/>
      <c r="AA72" s="1293"/>
      <c r="AB72" s="1293"/>
      <c r="AC72" s="1293"/>
      <c r="AD72" s="1293"/>
      <c r="AE72" s="1293"/>
      <c r="AF72" s="1293"/>
      <c r="AG72" s="1293"/>
      <c r="AH72" s="1293"/>
      <c r="AI72" s="1293"/>
      <c r="AJ72" s="1293"/>
      <c r="AK72" s="1293"/>
      <c r="AL72" s="1293"/>
      <c r="AM72" s="1293"/>
      <c r="AN72" s="1293"/>
      <c r="AO72" s="1293"/>
      <c r="AP72" s="1293"/>
      <c r="AQ72" s="1293"/>
      <c r="AR72" s="1293"/>
      <c r="AS72" s="1293"/>
      <c r="AT72" s="1293"/>
      <c r="AU72" s="1293"/>
      <c r="AV72" s="1293"/>
      <c r="AW72" s="1293"/>
      <c r="AX72" s="1293"/>
      <c r="AY72" s="1293"/>
      <c r="AZ72" s="1293"/>
      <c r="BA72" s="1293"/>
      <c r="BB72" s="1293"/>
      <c r="BC72" s="1293"/>
      <c r="BD72" s="1293"/>
      <c r="BE72" s="1293"/>
      <c r="BF72" s="1293"/>
      <c r="BG72" s="1293"/>
      <c r="BH72" s="1293"/>
      <c r="BI72" s="1293"/>
      <c r="BJ72" s="1293"/>
      <c r="BK72" s="1293"/>
      <c r="BL72" s="1293"/>
      <c r="BM72" s="1293"/>
      <c r="BN72" s="1293"/>
      <c r="BO72" s="1293"/>
      <c r="BP72" s="1293"/>
      <c r="BQ72" s="1293"/>
      <c r="BR72" s="1293"/>
      <c r="BS72" s="1293"/>
      <c r="BT72" s="1293"/>
      <c r="BU72" s="1293"/>
      <c r="BV72" s="1293"/>
      <c r="BW72" s="1293"/>
      <c r="BX72" s="1293"/>
      <c r="BY72" s="1293"/>
      <c r="BZ72" s="1293"/>
      <c r="CA72" s="1293"/>
      <c r="CB72" s="1293"/>
      <c r="CC72" s="1293"/>
      <c r="CD72" s="1293"/>
      <c r="CE72" s="1293"/>
      <c r="CF72" s="1293"/>
      <c r="CG72" s="1293"/>
    </row>
    <row r="73" spans="1:85" ht="15.75" hidden="1" outlineLevel="1">
      <c r="A73" s="1293"/>
      <c r="B73" s="1293"/>
      <c r="C73" s="1293" t="str">
        <f t="shared" si="57"/>
        <v>Zantel</v>
      </c>
      <c r="D73" s="1327">
        <f>'New (new) quarts'!G66</f>
        <v>0</v>
      </c>
      <c r="E73" s="1327">
        <f>'New (new) quarts'!L66</f>
        <v>8.8551885387627571</v>
      </c>
      <c r="F73" s="1327">
        <f>'New (new) quarts'!Q66</f>
        <v>32.87612706740137</v>
      </c>
      <c r="G73" s="1327">
        <f ca="1">'New (new) quarts'!V66</f>
        <v>30.153523124659543</v>
      </c>
      <c r="H73" s="1327">
        <f ca="1">'New (new) quarts'!AA66</f>
        <v>17.246697883154667</v>
      </c>
      <c r="I73" s="1327">
        <f>'New (new) quarts'!AJ66</f>
        <v>22</v>
      </c>
      <c r="J73" s="1327">
        <f>'New (new) quarts'!AO66</f>
        <v>13</v>
      </c>
      <c r="K73" s="1327">
        <f>'New (new) quarts'!AT66</f>
        <v>14</v>
      </c>
      <c r="L73" s="1327"/>
      <c r="M73" s="1327"/>
      <c r="N73" s="1327"/>
      <c r="O73" s="1327"/>
      <c r="P73" s="1327"/>
      <c r="Q73" s="1327"/>
      <c r="R73" s="1327"/>
      <c r="S73" s="1327"/>
      <c r="T73" s="1327"/>
      <c r="U73" s="1293"/>
      <c r="V73" s="1293"/>
      <c r="W73" s="1293"/>
      <c r="X73" s="1293"/>
      <c r="Y73" s="1293"/>
      <c r="Z73" s="1293"/>
      <c r="AA73" s="1293"/>
      <c r="AB73" s="1293"/>
      <c r="AC73" s="1293"/>
      <c r="AD73" s="1293"/>
      <c r="AE73" s="1293"/>
      <c r="AF73" s="1293"/>
      <c r="AG73" s="1293"/>
      <c r="AH73" s="1293"/>
      <c r="AI73" s="1293"/>
      <c r="AJ73" s="1293"/>
      <c r="AK73" s="1293"/>
      <c r="AL73" s="1293"/>
      <c r="AM73" s="1293"/>
      <c r="AN73" s="1293"/>
      <c r="AO73" s="1293"/>
      <c r="AP73" s="1293"/>
      <c r="AQ73" s="1293"/>
      <c r="AR73" s="1293"/>
      <c r="AS73" s="1293"/>
      <c r="AT73" s="1293"/>
      <c r="AU73" s="1293"/>
      <c r="AV73" s="1293"/>
      <c r="AW73" s="1293"/>
      <c r="AX73" s="1293"/>
      <c r="AY73" s="1293"/>
      <c r="AZ73" s="1293"/>
      <c r="BA73" s="1293"/>
      <c r="BB73" s="1293"/>
      <c r="BC73" s="1293"/>
      <c r="BD73" s="1293"/>
      <c r="BE73" s="1293"/>
      <c r="BF73" s="1293"/>
      <c r="BG73" s="1293"/>
      <c r="BH73" s="1293"/>
      <c r="BI73" s="1293"/>
      <c r="BJ73" s="1293"/>
      <c r="BK73" s="1293"/>
      <c r="BL73" s="1293"/>
      <c r="BM73" s="1293"/>
      <c r="BN73" s="1293"/>
      <c r="BO73" s="1293"/>
      <c r="BP73" s="1293"/>
      <c r="BQ73" s="1293"/>
      <c r="BR73" s="1293"/>
      <c r="BS73" s="1293"/>
      <c r="BT73" s="1293"/>
      <c r="BU73" s="1293"/>
      <c r="BV73" s="1293"/>
      <c r="BW73" s="1293"/>
      <c r="BX73" s="1293"/>
      <c r="BY73" s="1293"/>
      <c r="BZ73" s="1293"/>
      <c r="CA73" s="1293"/>
      <c r="CB73" s="1293"/>
      <c r="CC73" s="1293"/>
      <c r="CD73" s="1293"/>
      <c r="CE73" s="1293"/>
      <c r="CF73" s="1293"/>
      <c r="CG73" s="1293"/>
    </row>
    <row r="74" spans="1:85" ht="15.75" hidden="1" outlineLevel="1">
      <c r="A74" s="1293"/>
      <c r="B74" s="1293"/>
      <c r="C74" s="1331" t="str">
        <f t="shared" si="57"/>
        <v>Balancing item</v>
      </c>
      <c r="D74" s="1718">
        <f ca="1">'New (new) quarts'!G67</f>
        <v>-0.17425727240788547</v>
      </c>
      <c r="E74" s="1718">
        <f ca="1">'New (new) quarts'!L67</f>
        <v>8.046174485514257E-2</v>
      </c>
      <c r="F74" s="1718">
        <f ca="1">'New (new) quarts'!Q67</f>
        <v>0.8024430813875949</v>
      </c>
      <c r="G74" s="1718">
        <f>'New (new) quarts'!R67</f>
        <v>0</v>
      </c>
      <c r="H74" s="1718">
        <f>'New (new) quarts'!S67</f>
        <v>0</v>
      </c>
      <c r="I74" s="1718">
        <f>'New (new) quarts'!T67</f>
        <v>0</v>
      </c>
      <c r="J74" s="1718">
        <f>'New (new) quarts'!U67</f>
        <v>0</v>
      </c>
      <c r="K74" s="1718">
        <f>'New (new) quarts'!V67</f>
        <v>0</v>
      </c>
      <c r="L74" s="1718"/>
      <c r="M74" s="1718"/>
      <c r="N74" s="1718"/>
      <c r="O74" s="1718"/>
      <c r="P74" s="1718"/>
      <c r="Q74" s="1718"/>
      <c r="R74" s="1718"/>
      <c r="S74" s="1718"/>
      <c r="T74" s="1718"/>
      <c r="U74" s="1293"/>
      <c r="V74" s="1293"/>
      <c r="W74" s="1293"/>
      <c r="X74" s="1293"/>
      <c r="Y74" s="1293"/>
      <c r="Z74" s="1293"/>
      <c r="AA74" s="1293"/>
      <c r="AB74" s="1293"/>
      <c r="AC74" s="1293"/>
      <c r="AD74" s="1293"/>
      <c r="AE74" s="1293"/>
      <c r="AF74" s="1293"/>
      <c r="AG74" s="1293"/>
      <c r="AH74" s="1293"/>
      <c r="AI74" s="1293"/>
      <c r="AJ74" s="1293"/>
      <c r="AK74" s="1293"/>
      <c r="AL74" s="1293"/>
      <c r="AM74" s="1293"/>
      <c r="AN74" s="1293"/>
      <c r="AO74" s="1293"/>
      <c r="AP74" s="1293"/>
      <c r="AQ74" s="1293"/>
      <c r="AR74" s="1293"/>
      <c r="AS74" s="1293"/>
      <c r="AT74" s="1293"/>
      <c r="AU74" s="1293"/>
      <c r="AV74" s="1293"/>
      <c r="AW74" s="1293"/>
      <c r="AX74" s="1293"/>
      <c r="AY74" s="1293"/>
      <c r="AZ74" s="1293"/>
      <c r="BA74" s="1293"/>
      <c r="BB74" s="1293"/>
      <c r="BC74" s="1293"/>
      <c r="BD74" s="1293"/>
      <c r="BE74" s="1293"/>
      <c r="BF74" s="1293"/>
      <c r="BG74" s="1293"/>
      <c r="BH74" s="1293"/>
      <c r="BI74" s="1293"/>
      <c r="BJ74" s="1293"/>
      <c r="BK74" s="1293"/>
      <c r="BL74" s="1293"/>
      <c r="BM74" s="1293"/>
      <c r="BN74" s="1293"/>
      <c r="BO74" s="1293"/>
      <c r="BP74" s="1293"/>
      <c r="BQ74" s="1293"/>
      <c r="BR74" s="1293"/>
      <c r="BS74" s="1293"/>
      <c r="BT74" s="1293"/>
      <c r="BU74" s="1293"/>
      <c r="BV74" s="1293"/>
      <c r="BW74" s="1293"/>
      <c r="BX74" s="1293"/>
      <c r="BY74" s="1293"/>
      <c r="BZ74" s="1293"/>
      <c r="CA74" s="1293"/>
      <c r="CB74" s="1293"/>
      <c r="CC74" s="1293"/>
      <c r="CD74" s="1293"/>
      <c r="CE74" s="1293"/>
      <c r="CF74" s="1293"/>
      <c r="CG74" s="1293"/>
    </row>
    <row r="75" spans="1:85" ht="15.75" hidden="1" outlineLevel="1">
      <c r="A75" s="1293"/>
      <c r="B75" s="1293"/>
      <c r="C75" s="1293" t="str">
        <f t="shared" si="57"/>
        <v>Africa</v>
      </c>
      <c r="D75" s="1327">
        <f>'New (new) quarts'!G68</f>
        <v>985.69886400112568</v>
      </c>
      <c r="E75" s="1327">
        <f>'New (new) quarts'!L68</f>
        <v>971.84105897933387</v>
      </c>
      <c r="F75" s="1327">
        <f ca="1">'New (new) quarts'!Q68</f>
        <v>888.2440995527287</v>
      </c>
      <c r="G75" s="1327">
        <f ca="1">'New (new) quarts'!V68</f>
        <v>642.99999999999989</v>
      </c>
      <c r="H75" s="1327">
        <f ca="1">'New (new) quarts'!AA68</f>
        <v>525</v>
      </c>
      <c r="I75" s="1327">
        <f>'New (new) quarts'!AJ68</f>
        <v>412</v>
      </c>
      <c r="J75" s="1327">
        <f>'New (new) quarts'!AO68</f>
        <v>366</v>
      </c>
      <c r="K75" s="1327">
        <f>'New (new) quarts'!AT68</f>
        <v>357</v>
      </c>
      <c r="L75" s="1327">
        <f>'New (new) quarts'!AY68</f>
        <v>0</v>
      </c>
      <c r="M75" s="1327">
        <f>'New (new) quarts'!BD68</f>
        <v>0</v>
      </c>
      <c r="N75" s="1327">
        <f>'New (new) quarts'!BE68</f>
        <v>0</v>
      </c>
      <c r="O75" s="1327">
        <f t="shared" ref="O75:T75" si="58">SUM(O67:O74)</f>
        <v>0</v>
      </c>
      <c r="P75" s="1327">
        <f t="shared" si="58"/>
        <v>0</v>
      </c>
      <c r="Q75" s="1327">
        <f t="shared" si="58"/>
        <v>0</v>
      </c>
      <c r="R75" s="1327">
        <f t="shared" si="58"/>
        <v>0</v>
      </c>
      <c r="S75" s="1327">
        <f t="shared" si="58"/>
        <v>0</v>
      </c>
      <c r="T75" s="1327">
        <f t="shared" si="58"/>
        <v>0</v>
      </c>
      <c r="U75" s="1293"/>
      <c r="V75" s="1293"/>
      <c r="W75" s="1293"/>
      <c r="X75" s="1293"/>
      <c r="Y75" s="1293"/>
      <c r="Z75" s="1293"/>
      <c r="AA75" s="1293"/>
      <c r="AB75" s="1293"/>
      <c r="AC75" s="1293"/>
      <c r="AD75" s="1293"/>
      <c r="AE75" s="1293"/>
      <c r="AF75" s="1293"/>
      <c r="AG75" s="1293"/>
      <c r="AH75" s="1293"/>
      <c r="AI75" s="1293"/>
      <c r="AJ75" s="1293"/>
      <c r="AK75" s="1293"/>
      <c r="AL75" s="1293"/>
      <c r="AM75" s="1293"/>
      <c r="AN75" s="1293"/>
      <c r="AO75" s="1293"/>
      <c r="AP75" s="1293"/>
      <c r="AQ75" s="1293"/>
      <c r="AR75" s="1293"/>
      <c r="AS75" s="1293"/>
      <c r="AT75" s="1293"/>
      <c r="AU75" s="1293"/>
      <c r="AV75" s="1293"/>
      <c r="AW75" s="1293"/>
      <c r="AX75" s="1293"/>
      <c r="AY75" s="1293"/>
      <c r="AZ75" s="1293"/>
      <c r="BA75" s="1293"/>
      <c r="BB75" s="1293"/>
      <c r="BC75" s="1293"/>
      <c r="BD75" s="1293"/>
      <c r="BE75" s="1293"/>
      <c r="BF75" s="1293"/>
      <c r="BG75" s="1293"/>
      <c r="BH75" s="1293"/>
      <c r="BI75" s="1293"/>
      <c r="BJ75" s="1293"/>
      <c r="BK75" s="1293"/>
      <c r="BL75" s="1293"/>
      <c r="BM75" s="1293"/>
      <c r="BN75" s="1293"/>
      <c r="BO75" s="1293"/>
      <c r="BP75" s="1293"/>
      <c r="BQ75" s="1293"/>
      <c r="BR75" s="1293"/>
      <c r="BS75" s="1293"/>
      <c r="BT75" s="1293"/>
      <c r="BU75" s="1293"/>
      <c r="BV75" s="1293"/>
      <c r="BW75" s="1293"/>
      <c r="BX75" s="1293"/>
      <c r="BY75" s="1293"/>
      <c r="BZ75" s="1293"/>
      <c r="CA75" s="1293"/>
      <c r="CB75" s="1293"/>
      <c r="CC75" s="1293"/>
      <c r="CD75" s="1293"/>
      <c r="CE75" s="1293"/>
      <c r="CF75" s="1293"/>
      <c r="CG75" s="1293"/>
    </row>
    <row r="76" spans="1:85" ht="15.75" collapsed="1">
      <c r="A76" s="1293"/>
      <c r="B76" s="1293"/>
      <c r="C76" s="1331" t="s">
        <v>4503</v>
      </c>
      <c r="D76" s="2491">
        <f>'New (new) quarts'!G69</f>
        <v>2.2586828033126949E-2</v>
      </c>
      <c r="E76" s="2491">
        <f>'New (new) quarts'!L69</f>
        <v>1.3180071952747312</v>
      </c>
      <c r="F76" s="2491">
        <f ca="1">'New (new) quarts'!Q69</f>
        <v>-0.37740064793501915</v>
      </c>
      <c r="G76" s="2491">
        <f ca="1">'New (new) quarts'!V69</f>
        <v>-20</v>
      </c>
      <c r="H76" s="2491">
        <f ca="1">'New (new) quarts'!AA69</f>
        <v>0</v>
      </c>
      <c r="I76" s="2491">
        <f>'New (new) quarts'!AJ69</f>
        <v>0</v>
      </c>
      <c r="J76" s="2491">
        <f>'New (new) quarts'!AO69</f>
        <v>-24</v>
      </c>
      <c r="K76" s="2491">
        <f ca="1">'New (new) quarts'!AT69</f>
        <v>-20</v>
      </c>
      <c r="L76" s="2491">
        <f>'New (new) quarts'!AY69</f>
        <v>-19.508199999999562</v>
      </c>
      <c r="M76" s="2491">
        <f>'New (new) quarts'!BD69</f>
        <v>-20.842600000000175</v>
      </c>
      <c r="N76" s="2491">
        <f>'New (new) quarts'!BI69</f>
        <v>-19.610299999999597</v>
      </c>
      <c r="O76" s="1992">
        <v>-20</v>
      </c>
      <c r="P76" s="1992">
        <v>-20</v>
      </c>
      <c r="Q76" s="1992">
        <v>-20</v>
      </c>
      <c r="R76" s="1992">
        <v>-20</v>
      </c>
      <c r="S76" s="1992">
        <v>-20</v>
      </c>
      <c r="T76" s="1992">
        <v>-20</v>
      </c>
      <c r="U76" s="1293"/>
      <c r="V76" s="1293"/>
      <c r="W76" s="1293"/>
      <c r="X76" s="1293"/>
      <c r="Y76" s="1293"/>
      <c r="Z76" s="1293"/>
      <c r="AA76" s="1293"/>
      <c r="AB76" s="1293"/>
      <c r="AC76" s="1293"/>
      <c r="AD76" s="1293"/>
      <c r="AE76" s="1293"/>
      <c r="AF76" s="1293"/>
      <c r="AG76" s="1293"/>
      <c r="AH76" s="1293"/>
      <c r="AI76" s="1293"/>
      <c r="AJ76" s="1293"/>
      <c r="AK76" s="1293"/>
      <c r="AL76" s="1293"/>
      <c r="AM76" s="1293"/>
      <c r="AN76" s="1293"/>
      <c r="AO76" s="1293"/>
      <c r="AP76" s="1293"/>
      <c r="AQ76" s="1293"/>
      <c r="AR76" s="1293"/>
      <c r="AS76" s="1293"/>
      <c r="AT76" s="1293"/>
      <c r="AU76" s="1293"/>
      <c r="AV76" s="1293"/>
      <c r="AW76" s="1293"/>
      <c r="AX76" s="1293"/>
      <c r="AY76" s="1293"/>
      <c r="AZ76" s="1293"/>
      <c r="BA76" s="1293"/>
      <c r="BB76" s="1293"/>
      <c r="BC76" s="1293"/>
      <c r="BD76" s="1293"/>
      <c r="BE76" s="1293"/>
      <c r="BF76" s="1293"/>
      <c r="BG76" s="1293"/>
      <c r="BH76" s="1293"/>
      <c r="BI76" s="1293"/>
      <c r="BJ76" s="1293"/>
      <c r="BK76" s="1293"/>
      <c r="BL76" s="1293"/>
      <c r="BM76" s="1293"/>
      <c r="BN76" s="1293"/>
      <c r="BO76" s="1293"/>
      <c r="BP76" s="1293"/>
      <c r="BQ76" s="1293"/>
      <c r="BR76" s="1293"/>
      <c r="BS76" s="1293"/>
      <c r="BT76" s="1293"/>
      <c r="BU76" s="1293"/>
      <c r="BV76" s="1293"/>
      <c r="BW76" s="1293"/>
      <c r="BX76" s="1293"/>
      <c r="BY76" s="1293"/>
      <c r="BZ76" s="1293"/>
      <c r="CA76" s="1293"/>
      <c r="CB76" s="1293"/>
      <c r="CC76" s="1293"/>
      <c r="CD76" s="1293"/>
      <c r="CE76" s="1293"/>
      <c r="CF76" s="1293"/>
      <c r="CG76" s="1293"/>
    </row>
    <row r="77" spans="1:85" ht="15.75">
      <c r="A77" s="1293"/>
      <c r="B77" s="1293"/>
      <c r="C77" s="1397" t="s">
        <v>4516</v>
      </c>
      <c r="D77" s="2492">
        <f>'New (new) quarts'!G71</f>
        <v>5907.4227018373567</v>
      </c>
      <c r="E77" s="2492">
        <f>'New (new) quarts'!L71</f>
        <v>6209.4213080577374</v>
      </c>
      <c r="F77" s="2492">
        <f>'New (new) quarts'!Q71</f>
        <v>5854.5088029731069</v>
      </c>
      <c r="G77" s="2492">
        <f>'New (new) quarts'!V71</f>
        <v>5723</v>
      </c>
      <c r="H77" s="2492">
        <f ca="1">'New (new) quarts'!AA71</f>
        <v>5595</v>
      </c>
      <c r="I77" s="2492">
        <f>'New (new) quarts'!AJ71</f>
        <v>5921</v>
      </c>
      <c r="J77" s="2492">
        <f>'New (new) quarts'!AO71</f>
        <v>5736</v>
      </c>
      <c r="K77" s="2492">
        <f>'New (new) quarts'!AT71</f>
        <v>6069</v>
      </c>
      <c r="L77" s="2338">
        <f t="shared" ref="L77:T77" si="59">L57+L63+L76</f>
        <v>5170.7480000000014</v>
      </c>
      <c r="M77" s="2338">
        <f t="shared" si="59"/>
        <v>5250</v>
      </c>
      <c r="N77" s="2338">
        <f t="shared" ref="N77" si="60">N57+N63+N76</f>
        <v>5417.2755000000006</v>
      </c>
      <c r="O77" s="2338">
        <f t="shared" si="59"/>
        <v>5141.0197459554429</v>
      </c>
      <c r="P77" s="2338">
        <f t="shared" si="59"/>
        <v>5215.8837563747802</v>
      </c>
      <c r="Q77" s="2338">
        <f t="shared" si="59"/>
        <v>5305.793659863858</v>
      </c>
      <c r="R77" s="2338">
        <f t="shared" si="59"/>
        <v>5402.7958547864309</v>
      </c>
      <c r="S77" s="2338">
        <f t="shared" si="59"/>
        <v>5481.7915851317648</v>
      </c>
      <c r="T77" s="2338">
        <f t="shared" si="59"/>
        <v>5547.2561230810988</v>
      </c>
      <c r="U77" s="1293"/>
      <c r="V77" s="1293"/>
      <c r="W77" s="1293"/>
      <c r="X77" s="1293"/>
      <c r="Y77" s="1293"/>
      <c r="Z77" s="1293"/>
      <c r="AA77" s="1293"/>
      <c r="AB77" s="1293"/>
      <c r="AC77" s="1293"/>
      <c r="AD77" s="1293"/>
      <c r="AE77" s="1293"/>
      <c r="AF77" s="1293"/>
      <c r="AG77" s="1293"/>
      <c r="AH77" s="1293"/>
      <c r="AI77" s="1293"/>
      <c r="AJ77" s="1293"/>
      <c r="AK77" s="1293"/>
      <c r="AL77" s="1293"/>
      <c r="AM77" s="1293"/>
      <c r="AN77" s="1293"/>
      <c r="AO77" s="1293"/>
      <c r="AP77" s="1293"/>
      <c r="AQ77" s="1293"/>
      <c r="AR77" s="1293"/>
      <c r="AS77" s="1293"/>
      <c r="AT77" s="1293"/>
      <c r="AU77" s="1293"/>
      <c r="AV77" s="1293"/>
      <c r="AW77" s="1293"/>
      <c r="AX77" s="1293"/>
      <c r="AY77" s="1293"/>
      <c r="AZ77" s="1293"/>
      <c r="BA77" s="1293"/>
      <c r="BB77" s="1293"/>
      <c r="BC77" s="1293"/>
      <c r="BD77" s="1293"/>
      <c r="BE77" s="1293"/>
      <c r="BF77" s="1293"/>
      <c r="BG77" s="1293"/>
      <c r="BH77" s="1293"/>
      <c r="BI77" s="1293"/>
      <c r="BJ77" s="1293"/>
      <c r="BK77" s="1293"/>
      <c r="BL77" s="1293"/>
      <c r="BM77" s="1293"/>
      <c r="BN77" s="1293"/>
      <c r="BO77" s="1293"/>
      <c r="BP77" s="1293"/>
      <c r="BQ77" s="1293"/>
      <c r="BR77" s="1293"/>
      <c r="BS77" s="1293"/>
      <c r="BT77" s="1293"/>
      <c r="BU77" s="1293"/>
      <c r="BV77" s="1293"/>
      <c r="BW77" s="1293"/>
      <c r="BX77" s="1293"/>
      <c r="BY77" s="1293"/>
      <c r="BZ77" s="1293"/>
      <c r="CA77" s="1293"/>
      <c r="CB77" s="1293"/>
      <c r="CC77" s="1293"/>
      <c r="CD77" s="1293"/>
      <c r="CE77" s="1293"/>
      <c r="CF77" s="1293"/>
      <c r="CG77" s="1293"/>
    </row>
    <row r="78" spans="1:85" ht="15.75">
      <c r="A78" s="1293"/>
      <c r="B78" s="1293"/>
      <c r="C78" s="1334" t="s">
        <v>945</v>
      </c>
      <c r="D78" s="2336"/>
      <c r="E78" s="1335">
        <f>E77/D77-1</f>
        <v>5.1121888759788847E-2</v>
      </c>
      <c r="F78" s="1335">
        <f t="shared" ref="F78" si="61">F77/E77-1</f>
        <v>-5.7157098460056788E-2</v>
      </c>
      <c r="G78" s="1335">
        <f t="shared" ref="G78" si="62">G77/F77-1</f>
        <v>-2.2462824363048584E-2</v>
      </c>
      <c r="H78" s="1335">
        <f t="shared" ref="H78" ca="1" si="63">H77/G77-1</f>
        <v>-2.2365892014677646E-2</v>
      </c>
      <c r="I78" s="1335">
        <f t="shared" ref="I78" ca="1" si="64">I77/H77-1</f>
        <v>5.8266309204646927E-2</v>
      </c>
      <c r="J78" s="1335">
        <f t="shared" ref="J78" si="65">J77/I77-1</f>
        <v>-3.124472217530827E-2</v>
      </c>
      <c r="K78" s="1335">
        <f t="shared" ref="K78" si="66">K77/J77-1</f>
        <v>5.8054393305439378E-2</v>
      </c>
      <c r="L78" s="1335">
        <f t="shared" ref="L78" si="67">L77/K77-1</f>
        <v>-0.14800659087164258</v>
      </c>
      <c r="M78" s="1335">
        <f t="shared" ref="M78:N78" si="68">M77/L77-1</f>
        <v>1.5326989441372563E-2</v>
      </c>
      <c r="N78" s="1335">
        <f t="shared" si="68"/>
        <v>3.1862000000000057E-2</v>
      </c>
      <c r="O78" s="1335">
        <f t="shared" ref="O78" si="69">O77/N77-1</f>
        <v>-5.0995330410011031E-2</v>
      </c>
      <c r="P78" s="1335">
        <f t="shared" ref="P78" si="70">P77/O77-1</f>
        <v>1.4562093537616727E-2</v>
      </c>
      <c r="Q78" s="1335">
        <f t="shared" ref="Q78" si="71">Q77/P77-1</f>
        <v>1.7237712282063722E-2</v>
      </c>
      <c r="R78" s="1335">
        <f t="shared" ref="R78" si="72">R77/Q77-1</f>
        <v>1.8282315736541932E-2</v>
      </c>
      <c r="S78" s="1335">
        <f t="shared" ref="S78" si="73">S77/R77-1</f>
        <v>1.4621268777969876E-2</v>
      </c>
      <c r="T78" s="1335">
        <f t="shared" ref="T78" si="74">T77/S77-1</f>
        <v>1.1942179291692279E-2</v>
      </c>
      <c r="U78" s="1293"/>
      <c r="V78" s="1293"/>
      <c r="W78" s="1293"/>
      <c r="X78" s="1293"/>
      <c r="Y78" s="1293"/>
      <c r="Z78" s="1293"/>
      <c r="AA78" s="1293"/>
      <c r="AB78" s="1293"/>
      <c r="AC78" s="1293"/>
      <c r="AD78" s="1293"/>
      <c r="AE78" s="1293"/>
      <c r="AF78" s="1293"/>
      <c r="AG78" s="1293"/>
      <c r="AH78" s="1293"/>
      <c r="AI78" s="1293"/>
      <c r="AJ78" s="1293"/>
      <c r="AK78" s="1293"/>
      <c r="AL78" s="1293"/>
      <c r="AM78" s="1293"/>
      <c r="AN78" s="1293"/>
      <c r="AO78" s="1293"/>
      <c r="AP78" s="1293"/>
      <c r="AQ78" s="1293"/>
      <c r="AR78" s="1293"/>
      <c r="AS78" s="1293"/>
      <c r="AT78" s="1293"/>
      <c r="AU78" s="1293"/>
      <c r="AV78" s="1293"/>
      <c r="AW78" s="1293"/>
      <c r="AX78" s="1293"/>
      <c r="AY78" s="1293"/>
      <c r="AZ78" s="1293"/>
      <c r="BA78" s="1293"/>
      <c r="BB78" s="1293"/>
      <c r="BC78" s="1293"/>
      <c r="BD78" s="1293"/>
      <c r="BE78" s="1293"/>
      <c r="BF78" s="1293"/>
      <c r="BG78" s="1293"/>
      <c r="BH78" s="1293"/>
      <c r="BI78" s="1293"/>
      <c r="BJ78" s="1293"/>
      <c r="BK78" s="1293"/>
      <c r="BL78" s="1293"/>
      <c r="BM78" s="1293"/>
      <c r="BN78" s="1293"/>
      <c r="BO78" s="1293"/>
      <c r="BP78" s="1293"/>
      <c r="BQ78" s="1293"/>
      <c r="BR78" s="1293"/>
      <c r="BS78" s="1293"/>
      <c r="BT78" s="1293"/>
      <c r="BU78" s="1293"/>
      <c r="BV78" s="1293"/>
      <c r="BW78" s="1293"/>
      <c r="BX78" s="1293"/>
      <c r="BY78" s="1293"/>
      <c r="BZ78" s="1293"/>
      <c r="CA78" s="1293"/>
      <c r="CB78" s="1293"/>
      <c r="CC78" s="1293"/>
      <c r="CD78" s="1293"/>
      <c r="CE78" s="1293"/>
      <c r="CF78" s="1293"/>
      <c r="CG78" s="1293"/>
    </row>
    <row r="79" spans="1:85" ht="15.75">
      <c r="A79" s="1293"/>
      <c r="B79" s="1293"/>
      <c r="C79" s="1293"/>
      <c r="D79" s="1293"/>
      <c r="E79" s="1293"/>
      <c r="F79" s="1293"/>
      <c r="G79" s="1293"/>
      <c r="H79" s="1293"/>
      <c r="I79" s="1699"/>
      <c r="J79" s="1699"/>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c r="AK79" s="1293"/>
      <c r="AL79" s="1293"/>
      <c r="AM79" s="1293"/>
      <c r="AN79" s="1293"/>
      <c r="AO79" s="1293"/>
      <c r="AP79" s="1293"/>
      <c r="AQ79" s="1293"/>
      <c r="AR79" s="1293"/>
      <c r="AS79" s="1293"/>
      <c r="AT79" s="1293"/>
      <c r="AU79" s="1293"/>
      <c r="AV79" s="1293"/>
      <c r="AW79" s="1293"/>
      <c r="AX79" s="1293"/>
      <c r="AY79" s="1293"/>
      <c r="AZ79" s="1293"/>
      <c r="BA79" s="1293"/>
      <c r="BB79" s="1293"/>
      <c r="BC79" s="1293"/>
      <c r="BD79" s="1293"/>
      <c r="BE79" s="1293"/>
      <c r="BF79" s="1293"/>
      <c r="BG79" s="1293"/>
      <c r="BH79" s="1293"/>
      <c r="BI79" s="1293"/>
      <c r="BJ79" s="1293"/>
      <c r="BK79" s="1293"/>
      <c r="BL79" s="1293"/>
      <c r="BM79" s="1293"/>
      <c r="BN79" s="1293"/>
      <c r="BO79" s="1293"/>
      <c r="BP79" s="1293"/>
      <c r="BQ79" s="1293"/>
      <c r="BR79" s="1293"/>
      <c r="BS79" s="1293"/>
      <c r="BT79" s="1293"/>
      <c r="BU79" s="1293"/>
      <c r="BV79" s="1293"/>
      <c r="BW79" s="1293"/>
      <c r="BX79" s="1293"/>
      <c r="BY79" s="1293"/>
      <c r="BZ79" s="1293"/>
      <c r="CA79" s="1293"/>
      <c r="CB79" s="1293"/>
      <c r="CC79" s="1293"/>
      <c r="CD79" s="1293"/>
      <c r="CE79" s="1293"/>
      <c r="CF79" s="1293"/>
      <c r="CG79" s="1293"/>
    </row>
    <row r="80" spans="1:85" ht="15.75">
      <c r="A80" s="1293"/>
      <c r="B80" s="1293"/>
      <c r="C80" s="1293" t="s">
        <v>1643</v>
      </c>
      <c r="D80" s="1698"/>
      <c r="E80" s="1698"/>
      <c r="F80" s="1698"/>
      <c r="G80" s="1698"/>
      <c r="H80" s="1698"/>
      <c r="I80" s="1698"/>
      <c r="J80" s="1698"/>
      <c r="K80" s="1698"/>
      <c r="L80" s="1698"/>
      <c r="M80" s="1698"/>
      <c r="N80" s="1698"/>
      <c r="O80" s="2342" cm="1">
        <f t="array" ref="O80">_xll.VAData("TIGO", "FY-2025", "Service revenue", "Consensus", "CD", "","","")</f>
        <v>5415.8857114109824</v>
      </c>
      <c r="P80" s="2342" cm="1">
        <f t="array" ref="P80">_xll.VAData("TIGO", "FY-2026", "Service revenue", "Consensus", "CD", "","","")</f>
        <v>5572.0779474327655</v>
      </c>
      <c r="Q80" s="2342" cm="1">
        <f t="array" ref="Q80">_xll.VAData("TIGO", "FY-2027", "Service revenue", "Consensus", "CD", "","","")</f>
        <v>5661.5958121135909</v>
      </c>
      <c r="R80" s="1293"/>
      <c r="S80" s="1293"/>
      <c r="T80" s="1293"/>
      <c r="U80" s="1293"/>
      <c r="V80" s="1293"/>
      <c r="W80" s="1293"/>
      <c r="X80" s="1293"/>
      <c r="Y80" s="1293"/>
      <c r="Z80" s="1293"/>
      <c r="AA80" s="1293"/>
      <c r="AB80" s="1293"/>
      <c r="AC80" s="1293"/>
      <c r="AD80" s="1293"/>
      <c r="AE80" s="1293"/>
      <c r="AF80" s="1293"/>
      <c r="AG80" s="1293"/>
      <c r="AH80" s="1293"/>
      <c r="AI80" s="1293"/>
      <c r="AJ80" s="1293"/>
      <c r="AK80" s="1293"/>
      <c r="AL80" s="1293"/>
      <c r="AM80" s="1293"/>
      <c r="AN80" s="1293"/>
      <c r="AO80" s="1293"/>
      <c r="AP80" s="1293"/>
      <c r="AQ80" s="1293"/>
      <c r="AR80" s="1293"/>
      <c r="AS80" s="1293"/>
      <c r="AT80" s="1293"/>
      <c r="AU80" s="1293"/>
      <c r="AV80" s="1293"/>
      <c r="AW80" s="1293"/>
      <c r="AX80" s="1293"/>
      <c r="AY80" s="1293"/>
      <c r="AZ80" s="1293"/>
      <c r="BA80" s="1293"/>
      <c r="BB80" s="1293"/>
      <c r="BC80" s="1293"/>
      <c r="BD80" s="1293"/>
      <c r="BE80" s="1293"/>
      <c r="BF80" s="1293"/>
      <c r="BG80" s="1293"/>
      <c r="BH80" s="1293"/>
      <c r="BI80" s="1293"/>
      <c r="BJ80" s="1293"/>
      <c r="BK80" s="1293"/>
      <c r="BL80" s="1293"/>
      <c r="BM80" s="1293"/>
      <c r="BN80" s="1293"/>
      <c r="BO80" s="1293"/>
      <c r="BP80" s="1293"/>
      <c r="BQ80" s="1293"/>
      <c r="BR80" s="1293"/>
      <c r="BS80" s="1293"/>
      <c r="BT80" s="1293"/>
      <c r="BU80" s="1293"/>
      <c r="BV80" s="1293"/>
      <c r="BW80" s="1293"/>
      <c r="BX80" s="1293"/>
      <c r="BY80" s="1293"/>
      <c r="BZ80" s="1293"/>
      <c r="CA80" s="1293"/>
      <c r="CB80" s="1293"/>
      <c r="CC80" s="1293"/>
      <c r="CD80" s="1293"/>
      <c r="CE80" s="1293"/>
      <c r="CF80" s="1293"/>
      <c r="CG80" s="1293"/>
    </row>
    <row r="81" spans="1:85" ht="15.75">
      <c r="A81" s="1293"/>
      <c r="B81" s="1293"/>
      <c r="C81" s="1293" t="s">
        <v>9024</v>
      </c>
      <c r="D81" s="1698"/>
      <c r="E81" s="1698"/>
      <c r="F81" s="1698"/>
      <c r="G81" s="1698"/>
      <c r="H81" s="1698"/>
      <c r="I81" s="1698"/>
      <c r="J81" s="1698"/>
      <c r="K81" s="1698"/>
      <c r="L81" s="1698"/>
      <c r="M81" s="1698"/>
      <c r="N81" s="1698"/>
      <c r="O81" s="2343">
        <f t="shared" ref="O81" si="75">O77/O80-1</f>
        <v>-5.075180314023453E-2</v>
      </c>
      <c r="P81" s="2343">
        <f t="shared" ref="P81:Q81" si="76">P77/P80-1</f>
        <v>-6.3924839964253466E-2</v>
      </c>
      <c r="Q81" s="2343">
        <f t="shared" si="76"/>
        <v>-6.2844852239090643E-2</v>
      </c>
      <c r="R81" s="1293"/>
      <c r="S81" s="1293"/>
      <c r="T81" s="1293"/>
      <c r="U81" s="1293"/>
      <c r="V81" s="1293"/>
      <c r="W81" s="1293"/>
      <c r="X81" s="1293"/>
      <c r="Y81" s="1293"/>
      <c r="Z81" s="1293"/>
      <c r="AA81" s="1293"/>
      <c r="AB81" s="1293"/>
      <c r="AC81" s="1293"/>
      <c r="AD81" s="1293"/>
      <c r="AE81" s="1293"/>
      <c r="AF81" s="1293"/>
      <c r="AG81" s="1293"/>
      <c r="AH81" s="1293"/>
      <c r="AI81" s="1293"/>
      <c r="AJ81" s="1293"/>
      <c r="AK81" s="1293"/>
      <c r="AL81" s="1293"/>
      <c r="AM81" s="1293"/>
      <c r="AN81" s="1293"/>
      <c r="AO81" s="1293"/>
      <c r="AP81" s="1293"/>
      <c r="AQ81" s="1293"/>
      <c r="AR81" s="1293"/>
      <c r="AS81" s="1293"/>
      <c r="AT81" s="1293"/>
      <c r="AU81" s="1293"/>
      <c r="AV81" s="1293"/>
      <c r="AW81" s="1293"/>
      <c r="AX81" s="1293"/>
      <c r="AY81" s="1293"/>
      <c r="AZ81" s="1293"/>
      <c r="BA81" s="1293"/>
      <c r="BB81" s="1293"/>
      <c r="BC81" s="1293"/>
      <c r="BD81" s="1293"/>
      <c r="BE81" s="1293"/>
      <c r="BF81" s="1293"/>
      <c r="BG81" s="1293"/>
      <c r="BH81" s="1293"/>
      <c r="BI81" s="1293"/>
      <c r="BJ81" s="1293"/>
      <c r="BK81" s="1293"/>
      <c r="BL81" s="1293"/>
      <c r="BM81" s="1293"/>
      <c r="BN81" s="1293"/>
      <c r="BO81" s="1293"/>
      <c r="BP81" s="1293"/>
      <c r="BQ81" s="1293"/>
      <c r="BR81" s="1293"/>
      <c r="BS81" s="1293"/>
      <c r="BT81" s="1293"/>
      <c r="BU81" s="1293"/>
      <c r="BV81" s="1293"/>
      <c r="BW81" s="1293"/>
      <c r="BX81" s="1293"/>
      <c r="BY81" s="1293"/>
      <c r="BZ81" s="1293"/>
      <c r="CA81" s="1293"/>
      <c r="CB81" s="1293"/>
      <c r="CC81" s="1293"/>
      <c r="CD81" s="1293"/>
      <c r="CE81" s="1293"/>
      <c r="CF81" s="1293"/>
      <c r="CG81" s="1293"/>
    </row>
    <row r="82" spans="1:85" ht="15.75">
      <c r="A82" s="1293"/>
      <c r="B82" s="1293"/>
      <c r="C82" s="1293"/>
      <c r="D82" s="1698"/>
      <c r="E82" s="1698"/>
      <c r="F82" s="1698"/>
      <c r="G82" s="1698"/>
      <c r="H82" s="1698"/>
      <c r="I82" s="1698"/>
      <c r="J82" s="1698"/>
      <c r="K82" s="1698"/>
      <c r="L82" s="1698"/>
      <c r="M82" s="1698"/>
      <c r="N82" s="1328"/>
      <c r="O82" s="1328"/>
      <c r="P82" s="1328"/>
      <c r="Q82" s="1293"/>
      <c r="R82" s="1293"/>
      <c r="S82" s="1293"/>
      <c r="T82" s="1293"/>
      <c r="U82" s="1293"/>
      <c r="V82" s="1293"/>
      <c r="W82" s="1293"/>
      <c r="X82" s="1293"/>
      <c r="Y82" s="1293"/>
      <c r="Z82" s="1293"/>
      <c r="AA82" s="1293"/>
      <c r="AB82" s="1293"/>
      <c r="AC82" s="1293"/>
      <c r="AD82" s="1293"/>
      <c r="AE82" s="1293"/>
      <c r="AF82" s="1293"/>
      <c r="AG82" s="1293"/>
      <c r="AH82" s="1293"/>
      <c r="AI82" s="1293"/>
      <c r="AJ82" s="1293"/>
      <c r="AK82" s="1293"/>
      <c r="AL82" s="1293"/>
      <c r="AM82" s="1293"/>
      <c r="AN82" s="1293"/>
      <c r="AO82" s="1293"/>
      <c r="AP82" s="1293"/>
      <c r="AQ82" s="1293"/>
      <c r="AR82" s="1293"/>
      <c r="AS82" s="1293"/>
      <c r="AT82" s="1293"/>
      <c r="AU82" s="1293"/>
      <c r="AV82" s="1293"/>
      <c r="AW82" s="1293"/>
      <c r="AX82" s="1293"/>
      <c r="AY82" s="1293"/>
      <c r="AZ82" s="1293"/>
      <c r="BA82" s="1293"/>
      <c r="BB82" s="1293"/>
      <c r="BC82" s="1293"/>
      <c r="BD82" s="1293"/>
      <c r="BE82" s="1293"/>
      <c r="BF82" s="1293"/>
      <c r="BG82" s="1293"/>
      <c r="BH82" s="1293"/>
      <c r="BI82" s="1293"/>
      <c r="BJ82" s="1293"/>
      <c r="BK82" s="1293"/>
      <c r="BL82" s="1293"/>
      <c r="BM82" s="1293"/>
      <c r="BN82" s="1293"/>
      <c r="BO82" s="1293"/>
      <c r="BP82" s="1293"/>
      <c r="BQ82" s="1293"/>
      <c r="BR82" s="1293"/>
      <c r="BS82" s="1293"/>
      <c r="BT82" s="1293"/>
      <c r="BU82" s="1293"/>
      <c r="BV82" s="1293"/>
      <c r="BW82" s="1293"/>
      <c r="BX82" s="1293"/>
      <c r="BY82" s="1293"/>
      <c r="BZ82" s="1293"/>
      <c r="CA82" s="1293"/>
      <c r="CB82" s="1293"/>
      <c r="CC82" s="1293"/>
      <c r="CD82" s="1293"/>
      <c r="CE82" s="1293"/>
      <c r="CF82" s="1293"/>
      <c r="CG82" s="1293"/>
    </row>
    <row r="83" spans="1:85" ht="15.75">
      <c r="A83" s="1293"/>
      <c r="B83" s="1293"/>
      <c r="C83" s="1293"/>
      <c r="D83" s="1293"/>
      <c r="E83" s="1293"/>
      <c r="F83" s="1293"/>
      <c r="G83" s="1293"/>
      <c r="H83" s="1293"/>
      <c r="I83" s="1699"/>
      <c r="J83" s="1699"/>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c r="AK83" s="1293"/>
      <c r="AL83" s="1293"/>
      <c r="AM83" s="1293"/>
      <c r="AN83" s="1293"/>
      <c r="AO83" s="1293"/>
      <c r="AP83" s="1293"/>
      <c r="AQ83" s="1293"/>
      <c r="AR83" s="1293"/>
      <c r="AS83" s="1293"/>
      <c r="AT83" s="1293"/>
      <c r="AU83" s="1293"/>
      <c r="AV83" s="1293"/>
      <c r="AW83" s="1293"/>
      <c r="AX83" s="1293"/>
      <c r="AY83" s="1293"/>
      <c r="AZ83" s="1293"/>
      <c r="BA83" s="1293"/>
      <c r="BB83" s="1293"/>
      <c r="BC83" s="1293"/>
      <c r="BD83" s="1293"/>
      <c r="BE83" s="1293"/>
      <c r="BF83" s="1293"/>
      <c r="BG83" s="1293"/>
      <c r="BH83" s="1293"/>
      <c r="BI83" s="1293"/>
      <c r="BJ83" s="1293"/>
      <c r="BK83" s="1293"/>
      <c r="BL83" s="1293"/>
      <c r="BM83" s="1293"/>
      <c r="BN83" s="1293"/>
      <c r="BO83" s="1293"/>
      <c r="BP83" s="1293"/>
      <c r="BQ83" s="1293"/>
      <c r="BR83" s="1293"/>
      <c r="BS83" s="1293"/>
      <c r="BT83" s="1293"/>
      <c r="BU83" s="1293"/>
      <c r="BV83" s="1293"/>
      <c r="BW83" s="1293"/>
      <c r="BX83" s="1293"/>
      <c r="BY83" s="1293"/>
      <c r="BZ83" s="1293"/>
      <c r="CA83" s="1293"/>
      <c r="CB83" s="1293"/>
      <c r="CC83" s="1293"/>
      <c r="CD83" s="1293"/>
      <c r="CE83" s="1293"/>
      <c r="CF83" s="1293"/>
      <c r="CG83" s="1293"/>
    </row>
    <row r="84" spans="1:85" ht="15.75">
      <c r="A84" s="1293"/>
      <c r="B84" s="1293"/>
      <c r="C84" s="1293"/>
      <c r="D84" s="1293"/>
      <c r="E84" s="1293"/>
      <c r="F84" s="1293"/>
      <c r="G84" s="1293"/>
      <c r="H84" s="1293"/>
      <c r="I84" s="1699"/>
      <c r="J84" s="1699"/>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3"/>
      <c r="AG84" s="1293"/>
      <c r="AH84" s="1293"/>
      <c r="AI84" s="1293"/>
      <c r="AJ84" s="1293"/>
      <c r="AK84" s="1293"/>
      <c r="AL84" s="1293"/>
      <c r="AM84" s="1293"/>
      <c r="AN84" s="1293"/>
      <c r="AO84" s="1293"/>
      <c r="AP84" s="1293"/>
      <c r="AQ84" s="1293"/>
      <c r="AR84" s="1293"/>
      <c r="AS84" s="1293"/>
      <c r="AT84" s="1293"/>
      <c r="AU84" s="1293"/>
      <c r="AV84" s="1293"/>
      <c r="AW84" s="1293"/>
      <c r="AX84" s="1293"/>
      <c r="AY84" s="1293"/>
      <c r="AZ84" s="1293"/>
      <c r="BA84" s="1293"/>
      <c r="BB84" s="1293"/>
      <c r="BC84" s="1293"/>
      <c r="BD84" s="1293"/>
      <c r="BE84" s="1293"/>
      <c r="BF84" s="1293"/>
      <c r="BG84" s="1293"/>
      <c r="BH84" s="1293"/>
      <c r="BI84" s="1293"/>
      <c r="BJ84" s="1293"/>
      <c r="BK84" s="1293"/>
      <c r="BL84" s="1293"/>
      <c r="BM84" s="1293"/>
      <c r="BN84" s="1293"/>
      <c r="BO84" s="1293"/>
      <c r="BP84" s="1293"/>
      <c r="BQ84" s="1293"/>
      <c r="BR84" s="1293"/>
      <c r="BS84" s="1293"/>
      <c r="BT84" s="1293"/>
      <c r="BU84" s="1293"/>
      <c r="BV84" s="1293"/>
      <c r="BW84" s="1293"/>
      <c r="BX84" s="1293"/>
      <c r="BY84" s="1293"/>
      <c r="BZ84" s="1293"/>
      <c r="CA84" s="1293"/>
      <c r="CB84" s="1293"/>
      <c r="CC84" s="1293"/>
      <c r="CD84" s="1293"/>
      <c r="CE84" s="1293"/>
      <c r="CF84" s="1293"/>
      <c r="CG84" s="1293"/>
    </row>
    <row r="85" spans="1:85" ht="15.75">
      <c r="A85" s="1293"/>
      <c r="B85" s="1293"/>
      <c r="C85" s="1324" t="s">
        <v>4499</v>
      </c>
      <c r="D85" s="1324">
        <f t="shared" ref="D85:T85" si="77">D45</f>
        <v>2014</v>
      </c>
      <c r="E85" s="1324">
        <f t="shared" si="77"/>
        <v>2015</v>
      </c>
      <c r="F85" s="1324">
        <f t="shared" si="77"/>
        <v>2016</v>
      </c>
      <c r="G85" s="1324">
        <f t="shared" si="77"/>
        <v>2017</v>
      </c>
      <c r="H85" s="1324">
        <f t="shared" si="77"/>
        <v>2018</v>
      </c>
      <c r="I85" s="1324">
        <f t="shared" si="77"/>
        <v>2019</v>
      </c>
      <c r="J85" s="1324">
        <f t="shared" si="77"/>
        <v>2020</v>
      </c>
      <c r="K85" s="1324">
        <f t="shared" si="77"/>
        <v>2021</v>
      </c>
      <c r="L85" s="1324">
        <f t="shared" si="77"/>
        <v>2022</v>
      </c>
      <c r="M85" s="1324">
        <f t="shared" si="77"/>
        <v>2023</v>
      </c>
      <c r="N85" s="1324">
        <f t="shared" si="77"/>
        <v>2024</v>
      </c>
      <c r="O85" s="1324">
        <f t="shared" si="77"/>
        <v>2025</v>
      </c>
      <c r="P85" s="1324">
        <f t="shared" si="77"/>
        <v>2026</v>
      </c>
      <c r="Q85" s="1324">
        <f t="shared" si="77"/>
        <v>2027</v>
      </c>
      <c r="R85" s="1324">
        <f t="shared" si="77"/>
        <v>2028</v>
      </c>
      <c r="S85" s="1324">
        <f t="shared" si="77"/>
        <v>2029</v>
      </c>
      <c r="T85" s="1324">
        <f t="shared" si="77"/>
        <v>2030</v>
      </c>
      <c r="U85" s="1293"/>
      <c r="V85" s="1293"/>
      <c r="W85" s="1293"/>
      <c r="X85" s="1293"/>
      <c r="Y85" s="1293"/>
      <c r="Z85" s="1293"/>
      <c r="AA85" s="1293"/>
      <c r="AB85" s="1293"/>
      <c r="AC85" s="1293"/>
      <c r="AD85" s="1293"/>
      <c r="AE85" s="1293"/>
      <c r="AF85" s="1293"/>
      <c r="AG85" s="1293"/>
      <c r="AH85" s="1293"/>
      <c r="AI85" s="1293"/>
      <c r="AJ85" s="1293"/>
      <c r="AK85" s="1293"/>
      <c r="AL85" s="1293"/>
      <c r="AM85" s="1293"/>
      <c r="AN85" s="1293"/>
      <c r="AO85" s="1293"/>
      <c r="AP85" s="1293"/>
      <c r="AQ85" s="1293"/>
      <c r="AR85" s="1293"/>
      <c r="AS85" s="1293"/>
      <c r="AT85" s="1293"/>
      <c r="AU85" s="1293"/>
      <c r="AV85" s="1293"/>
      <c r="AW85" s="1293"/>
      <c r="AX85" s="1293"/>
      <c r="AY85" s="1293"/>
      <c r="AZ85" s="1293"/>
      <c r="BA85" s="1293"/>
      <c r="BB85" s="1293"/>
      <c r="BC85" s="1293"/>
      <c r="BD85" s="1293"/>
      <c r="BE85" s="1293"/>
      <c r="BF85" s="1293"/>
      <c r="BG85" s="1293"/>
      <c r="BH85" s="1293"/>
      <c r="BI85" s="1293"/>
      <c r="BJ85" s="1293"/>
      <c r="BK85" s="1293"/>
      <c r="BL85" s="1293"/>
      <c r="BM85" s="1293"/>
      <c r="BN85" s="1293"/>
      <c r="BO85" s="1293"/>
      <c r="BP85" s="1293"/>
      <c r="BQ85" s="1293"/>
      <c r="BR85" s="1293"/>
      <c r="BS85" s="1293"/>
      <c r="BT85" s="1293"/>
      <c r="BU85" s="1293"/>
      <c r="BV85" s="1293"/>
      <c r="BW85" s="1293"/>
      <c r="BX85" s="1293"/>
      <c r="BY85" s="1293"/>
      <c r="BZ85" s="1293"/>
      <c r="CA85" s="1293"/>
      <c r="CB85" s="1293"/>
      <c r="CC85" s="1293"/>
      <c r="CD85" s="1293"/>
      <c r="CE85" s="1293"/>
      <c r="CF85" s="1293"/>
      <c r="CG85" s="1293"/>
    </row>
    <row r="86" spans="1:85" ht="15.75">
      <c r="A86" s="1293"/>
      <c r="B86" s="1293"/>
      <c r="C86" s="1293" t="str">
        <f t="shared" ref="C86:C97" si="78">C46</f>
        <v>El Salvador</v>
      </c>
      <c r="D86" s="1699">
        <f t="shared" ref="D86:T86" si="79">D5-D46</f>
        <v>30.087694619999979</v>
      </c>
      <c r="E86" s="1699">
        <f t="shared" si="79"/>
        <v>29.592624349999994</v>
      </c>
      <c r="F86" s="1699">
        <f t="shared" si="79"/>
        <v>25.582200380000586</v>
      </c>
      <c r="G86" s="1699">
        <f t="shared" si="79"/>
        <v>24</v>
      </c>
      <c r="H86" s="1699">
        <f t="shared" si="79"/>
        <v>35</v>
      </c>
      <c r="I86" s="1699">
        <f t="shared" si="79"/>
        <v>38</v>
      </c>
      <c r="J86" s="1699">
        <f t="shared" si="79"/>
        <v>43</v>
      </c>
      <c r="K86" s="1699">
        <f t="shared" si="79"/>
        <v>49</v>
      </c>
      <c r="L86" s="1699">
        <f t="shared" si="79"/>
        <v>47.223599999999976</v>
      </c>
      <c r="M86" s="1699">
        <f t="shared" si="79"/>
        <v>46.179099999999949</v>
      </c>
      <c r="N86" s="1699">
        <f t="shared" si="79"/>
        <v>47.605800000000045</v>
      </c>
      <c r="O86" s="1699">
        <f t="shared" si="79"/>
        <v>47.701999999999998</v>
      </c>
      <c r="P86" s="1699">
        <f t="shared" si="79"/>
        <v>48.656040000000019</v>
      </c>
      <c r="Q86" s="1699">
        <f t="shared" si="79"/>
        <v>49.629160800000022</v>
      </c>
      <c r="R86" s="1699">
        <f t="shared" si="79"/>
        <v>50.621744016000036</v>
      </c>
      <c r="S86" s="1699">
        <f t="shared" si="79"/>
        <v>51.634178896320009</v>
      </c>
      <c r="T86" s="1699">
        <f t="shared" si="79"/>
        <v>52.666862474246386</v>
      </c>
      <c r="U86" s="1293"/>
      <c r="V86" s="1293"/>
      <c r="W86" s="1293"/>
      <c r="X86" s="1699"/>
      <c r="Y86" s="1293"/>
      <c r="Z86" s="1293"/>
      <c r="AA86" s="1293"/>
      <c r="AB86" s="1293"/>
      <c r="AC86" s="1293"/>
      <c r="AD86" s="1293"/>
      <c r="AE86" s="1293"/>
      <c r="AF86" s="1293"/>
      <c r="AG86" s="1293"/>
      <c r="AH86" s="1293"/>
      <c r="AI86" s="1293"/>
      <c r="AJ86" s="1293"/>
      <c r="AK86" s="1293"/>
      <c r="AL86" s="1293"/>
      <c r="AM86" s="1293"/>
      <c r="AN86" s="1293"/>
      <c r="AO86" s="1293"/>
      <c r="AP86" s="1293"/>
      <c r="AQ86" s="1293"/>
      <c r="AR86" s="1293"/>
      <c r="AS86" s="1293"/>
      <c r="AT86" s="1293"/>
      <c r="AU86" s="1293"/>
      <c r="AV86" s="1293"/>
      <c r="AW86" s="1293"/>
      <c r="AX86" s="1293"/>
      <c r="AY86" s="1293"/>
      <c r="AZ86" s="1293"/>
      <c r="BA86" s="1293"/>
      <c r="BB86" s="1293"/>
      <c r="BC86" s="1293"/>
      <c r="BD86" s="1293"/>
      <c r="BE86" s="1293"/>
      <c r="BF86" s="1293"/>
      <c r="BG86" s="1293"/>
      <c r="BH86" s="1293"/>
      <c r="BI86" s="1293"/>
      <c r="BJ86" s="1293"/>
      <c r="BK86" s="1293"/>
      <c r="BL86" s="1293"/>
      <c r="BM86" s="1293"/>
      <c r="BN86" s="1293"/>
      <c r="BO86" s="1293"/>
      <c r="BP86" s="1293"/>
      <c r="BQ86" s="1293"/>
      <c r="BR86" s="1293"/>
      <c r="BS86" s="1293"/>
      <c r="BT86" s="1293"/>
      <c r="BU86" s="1293"/>
      <c r="BV86" s="1293"/>
      <c r="BW86" s="1293"/>
      <c r="BX86" s="1293"/>
      <c r="BY86" s="1293"/>
      <c r="BZ86" s="1293"/>
      <c r="CA86" s="1293"/>
      <c r="CB86" s="1293"/>
      <c r="CC86" s="1293"/>
      <c r="CD86" s="1293"/>
      <c r="CE86" s="1293"/>
      <c r="CF86" s="1293"/>
      <c r="CG86" s="1293"/>
    </row>
    <row r="87" spans="1:85" ht="15.75">
      <c r="A87" s="1293"/>
      <c r="B87" s="1293"/>
      <c r="C87" s="1293" t="str">
        <f t="shared" si="78"/>
        <v>Guatemala</v>
      </c>
      <c r="D87" s="1699">
        <f t="shared" ref="D87:T87" si="80">D6-D47</f>
        <v>137.07195127050704</v>
      </c>
      <c r="E87" s="1699">
        <f t="shared" si="80"/>
        <v>149.87610037107697</v>
      </c>
      <c r="F87" s="1699">
        <f t="shared" si="80"/>
        <v>141.21626419586505</v>
      </c>
      <c r="G87" s="1699">
        <f t="shared" si="80"/>
        <v>144</v>
      </c>
      <c r="H87" s="1699">
        <f t="shared" si="80"/>
        <v>172</v>
      </c>
      <c r="I87" s="1699">
        <f t="shared" si="80"/>
        <v>201</v>
      </c>
      <c r="J87" s="1699">
        <f t="shared" si="80"/>
        <v>231</v>
      </c>
      <c r="K87" s="1699">
        <f t="shared" si="80"/>
        <v>236</v>
      </c>
      <c r="L87" s="1699">
        <f t="shared" si="80"/>
        <v>245.14269999999988</v>
      </c>
      <c r="M87" s="1699">
        <f t="shared" si="80"/>
        <v>225.37329999999974</v>
      </c>
      <c r="N87" s="1699">
        <f t="shared" si="80"/>
        <v>212.35290000000009</v>
      </c>
      <c r="O87" s="1699">
        <f t="shared" si="80"/>
        <v>214.25667385454562</v>
      </c>
      <c r="P87" s="1699">
        <f t="shared" si="80"/>
        <v>216.37802706102616</v>
      </c>
      <c r="Q87" s="1699">
        <f t="shared" si="80"/>
        <v>218.52038376460064</v>
      </c>
      <c r="R87" s="1699">
        <f t="shared" si="80"/>
        <v>220.68395192068579</v>
      </c>
      <c r="S87" s="1699">
        <f t="shared" si="80"/>
        <v>222.86894154366291</v>
      </c>
      <c r="T87" s="1699">
        <f t="shared" si="80"/>
        <v>225.07556472726355</v>
      </c>
      <c r="U87" s="1293"/>
      <c r="V87" s="1293"/>
      <c r="W87" s="1293"/>
      <c r="X87" s="1293"/>
      <c r="Y87" s="1293"/>
      <c r="Z87" s="1293"/>
      <c r="AA87" s="1293"/>
      <c r="AB87" s="1293"/>
      <c r="AC87" s="1293"/>
      <c r="AD87" s="1293"/>
      <c r="AE87" s="1293"/>
      <c r="AF87" s="1293"/>
      <c r="AG87" s="1293"/>
      <c r="AH87" s="1293"/>
      <c r="AI87" s="1293"/>
      <c r="AJ87" s="1293"/>
      <c r="AK87" s="1293"/>
      <c r="AL87" s="1293"/>
      <c r="AM87" s="1293"/>
      <c r="AN87" s="1293"/>
      <c r="AO87" s="1293"/>
      <c r="AP87" s="1293"/>
      <c r="AQ87" s="1293"/>
      <c r="AR87" s="1293"/>
      <c r="AS87" s="1293"/>
      <c r="AT87" s="1293"/>
      <c r="AU87" s="1293"/>
      <c r="AV87" s="1293"/>
      <c r="AW87" s="1293"/>
      <c r="AX87" s="1293"/>
      <c r="AY87" s="1293"/>
      <c r="AZ87" s="1293"/>
      <c r="BA87" s="1293"/>
      <c r="BB87" s="1293"/>
      <c r="BC87" s="1293"/>
      <c r="BD87" s="1293"/>
      <c r="BE87" s="1293"/>
      <c r="BF87" s="1293"/>
      <c r="BG87" s="1293"/>
      <c r="BH87" s="1293"/>
      <c r="BI87" s="1293"/>
      <c r="BJ87" s="1293"/>
      <c r="BK87" s="1293"/>
      <c r="BL87" s="1293"/>
      <c r="BM87" s="1293"/>
      <c r="BN87" s="1293"/>
      <c r="BO87" s="1293"/>
      <c r="BP87" s="1293"/>
      <c r="BQ87" s="1293"/>
      <c r="BR87" s="1293"/>
      <c r="BS87" s="1293"/>
      <c r="BT87" s="1293"/>
      <c r="BU87" s="1293"/>
      <c r="BV87" s="1293"/>
      <c r="BW87" s="1293"/>
      <c r="BX87" s="1293"/>
      <c r="BY87" s="1293"/>
      <c r="BZ87" s="1293"/>
      <c r="CA87" s="1293"/>
      <c r="CB87" s="1293"/>
      <c r="CC87" s="1293"/>
      <c r="CD87" s="1293"/>
      <c r="CE87" s="1293"/>
      <c r="CF87" s="1293"/>
      <c r="CG87" s="1293"/>
    </row>
    <row r="88" spans="1:85" ht="15.75">
      <c r="A88" s="1293"/>
      <c r="B88" s="1293"/>
      <c r="C88" s="1293" t="str">
        <f t="shared" si="78"/>
        <v>Honduras (JV)</v>
      </c>
      <c r="D88" s="1699">
        <f t="shared" ref="D88:M88" si="81">D7-D48</f>
        <v>25.577471896213979</v>
      </c>
      <c r="E88" s="1699">
        <f t="shared" si="81"/>
        <v>32.381113667251043</v>
      </c>
      <c r="F88" s="1699">
        <f t="shared" si="81"/>
        <v>23.695365957656918</v>
      </c>
      <c r="G88" s="1699">
        <f t="shared" si="81"/>
        <v>20</v>
      </c>
      <c r="H88" s="1699">
        <f t="shared" si="81"/>
        <v>32</v>
      </c>
      <c r="I88" s="1699">
        <f t="shared" si="81"/>
        <v>43</v>
      </c>
      <c r="J88" s="1699">
        <f t="shared" si="81"/>
        <v>36</v>
      </c>
      <c r="K88" s="1699">
        <f t="shared" si="81"/>
        <v>41</v>
      </c>
      <c r="L88" s="1699">
        <f t="shared" si="81"/>
        <v>36.421100000000024</v>
      </c>
      <c r="M88" s="1699">
        <f t="shared" si="81"/>
        <v>39.285499999999956</v>
      </c>
      <c r="N88" s="1699">
        <f t="shared" ref="N88:T88" si="82">N7-N48</f>
        <v>34.159400000000005</v>
      </c>
      <c r="O88" s="1699">
        <f t="shared" si="82"/>
        <v>33.23986457031242</v>
      </c>
      <c r="P88" s="1699">
        <f t="shared" si="82"/>
        <v>33.568972140315623</v>
      </c>
      <c r="Q88" s="1699">
        <f t="shared" si="82"/>
        <v>33.901338201110775</v>
      </c>
      <c r="R88" s="1699">
        <f t="shared" si="82"/>
        <v>34.236995014983222</v>
      </c>
      <c r="S88" s="1699">
        <f t="shared" si="82"/>
        <v>34.575975163646262</v>
      </c>
      <c r="T88" s="1699">
        <f t="shared" si="82"/>
        <v>34.918311551405282</v>
      </c>
      <c r="U88" s="1293"/>
      <c r="V88" s="1293"/>
      <c r="W88" s="1293"/>
      <c r="X88" s="1293"/>
      <c r="Y88" s="1293"/>
      <c r="Z88" s="1293"/>
      <c r="AA88" s="1293"/>
      <c r="AB88" s="1293"/>
      <c r="AC88" s="1293"/>
      <c r="AD88" s="1293"/>
      <c r="AE88" s="1293"/>
      <c r="AF88" s="1293"/>
      <c r="AG88" s="1293"/>
      <c r="AH88" s="1293"/>
      <c r="AI88" s="1293"/>
      <c r="AJ88" s="1293"/>
      <c r="AK88" s="1293"/>
      <c r="AL88" s="1293"/>
      <c r="AM88" s="1293"/>
      <c r="AN88" s="1293"/>
      <c r="AO88" s="1293"/>
      <c r="AP88" s="1293"/>
      <c r="AQ88" s="1293"/>
      <c r="AR88" s="1293"/>
      <c r="AS88" s="1293"/>
      <c r="AT88" s="1293"/>
      <c r="AU88" s="1293"/>
      <c r="AV88" s="1293"/>
      <c r="AW88" s="1293"/>
      <c r="AX88" s="1293"/>
      <c r="AY88" s="1293"/>
      <c r="AZ88" s="1293"/>
      <c r="BA88" s="1293"/>
      <c r="BB88" s="1293"/>
      <c r="BC88" s="1293"/>
      <c r="BD88" s="1293"/>
      <c r="BE88" s="1293"/>
      <c r="BF88" s="1293"/>
      <c r="BG88" s="1293"/>
      <c r="BH88" s="1293"/>
      <c r="BI88" s="1293"/>
      <c r="BJ88" s="1293"/>
      <c r="BK88" s="1293"/>
      <c r="BL88" s="1293"/>
      <c r="BM88" s="1293"/>
      <c r="BN88" s="1293"/>
      <c r="BO88" s="1293"/>
      <c r="BP88" s="1293"/>
      <c r="BQ88" s="1293"/>
      <c r="BR88" s="1293"/>
      <c r="BS88" s="1293"/>
      <c r="BT88" s="1293"/>
      <c r="BU88" s="1293"/>
      <c r="BV88" s="1293"/>
      <c r="BW88" s="1293"/>
      <c r="BX88" s="1293"/>
      <c r="BY88" s="1293"/>
      <c r="BZ88" s="1293"/>
      <c r="CA88" s="1293"/>
      <c r="CB88" s="1293"/>
      <c r="CC88" s="1293"/>
      <c r="CD88" s="1293"/>
      <c r="CE88" s="1293"/>
      <c r="CF88" s="1293"/>
      <c r="CG88" s="1293"/>
    </row>
    <row r="89" spans="1:85" ht="15.75">
      <c r="A89" s="1293"/>
      <c r="B89" s="1293"/>
      <c r="C89" s="1293" t="str">
        <f t="shared" si="78"/>
        <v>Panama</v>
      </c>
      <c r="D89" s="1699"/>
      <c r="E89" s="1699"/>
      <c r="F89" s="1699"/>
      <c r="G89" s="1699"/>
      <c r="H89" s="1699"/>
      <c r="I89" s="1699"/>
      <c r="J89" s="1699"/>
      <c r="K89" s="1699"/>
      <c r="L89" s="1699">
        <f>L8-L49</f>
        <v>27.072799999999916</v>
      </c>
      <c r="M89" s="1699">
        <f>M8-M49</f>
        <v>49.395899999999983</v>
      </c>
      <c r="N89" s="1699">
        <f>N8-N49</f>
        <v>55.669100000000071</v>
      </c>
      <c r="O89" s="1699">
        <f t="shared" ref="O89:T89" si="83">O8-O49</f>
        <v>55.578300000000127</v>
      </c>
      <c r="P89" s="1699">
        <f t="shared" si="83"/>
        <v>56.689866000000166</v>
      </c>
      <c r="Q89" s="1699">
        <f t="shared" si="83"/>
        <v>57.823663320000151</v>
      </c>
      <c r="R89" s="1699">
        <f t="shared" si="83"/>
        <v>58.980136586400135</v>
      </c>
      <c r="S89" s="1699">
        <f t="shared" si="83"/>
        <v>60.159739318128118</v>
      </c>
      <c r="T89" s="1699">
        <f t="shared" si="83"/>
        <v>61.362934104490705</v>
      </c>
      <c r="U89" s="1293"/>
      <c r="V89" s="1293"/>
      <c r="W89" s="1293"/>
      <c r="X89" s="1293"/>
      <c r="Y89" s="1293"/>
      <c r="Z89" s="1293"/>
      <c r="AA89" s="1293"/>
      <c r="AB89" s="1293"/>
      <c r="AC89" s="1293"/>
      <c r="AD89" s="1293"/>
      <c r="AE89" s="1293"/>
      <c r="AF89" s="1293"/>
      <c r="AG89" s="1293"/>
      <c r="AH89" s="1293"/>
      <c r="AI89" s="1293"/>
      <c r="AJ89" s="1293"/>
      <c r="AK89" s="1293"/>
      <c r="AL89" s="1293"/>
      <c r="AM89" s="1293"/>
      <c r="AN89" s="1293"/>
      <c r="AO89" s="1293"/>
      <c r="AP89" s="1293"/>
      <c r="AQ89" s="1293"/>
      <c r="AR89" s="1293"/>
      <c r="AS89" s="1293"/>
      <c r="AT89" s="1293"/>
      <c r="AU89" s="1293"/>
      <c r="AV89" s="1293"/>
      <c r="AW89" s="1293"/>
      <c r="AX89" s="1293"/>
      <c r="AY89" s="1293"/>
      <c r="AZ89" s="1293"/>
      <c r="BA89" s="1293"/>
      <c r="BB89" s="1293"/>
      <c r="BC89" s="1293"/>
      <c r="BD89" s="1293"/>
      <c r="BE89" s="1293"/>
      <c r="BF89" s="1293"/>
      <c r="BG89" s="1293"/>
      <c r="BH89" s="1293"/>
      <c r="BI89" s="1293"/>
      <c r="BJ89" s="1293"/>
      <c r="BK89" s="1293"/>
      <c r="BL89" s="1293"/>
      <c r="BM89" s="1293"/>
      <c r="BN89" s="1293"/>
      <c r="BO89" s="1293"/>
      <c r="BP89" s="1293"/>
      <c r="BQ89" s="1293"/>
      <c r="BR89" s="1293"/>
      <c r="BS89" s="1293"/>
      <c r="BT89" s="1293"/>
      <c r="BU89" s="1293"/>
      <c r="BV89" s="1293"/>
      <c r="BW89" s="1293"/>
      <c r="BX89" s="1293"/>
      <c r="BY89" s="1293"/>
      <c r="BZ89" s="1293"/>
      <c r="CA89" s="1293"/>
      <c r="CB89" s="1293"/>
      <c r="CC89" s="1293"/>
      <c r="CD89" s="1293"/>
      <c r="CE89" s="1293"/>
      <c r="CF89" s="1293"/>
      <c r="CG89" s="1293"/>
    </row>
    <row r="90" spans="1:85" ht="15.75">
      <c r="A90" s="1293"/>
      <c r="B90" s="1293"/>
      <c r="C90" s="1293" t="str">
        <f t="shared" si="78"/>
        <v>Costa Rica</v>
      </c>
      <c r="D90" s="1699"/>
      <c r="E90" s="1699"/>
      <c r="F90" s="1699"/>
      <c r="G90" s="1699"/>
      <c r="H90" s="1699"/>
      <c r="I90" s="1699"/>
      <c r="J90" s="1699"/>
      <c r="K90" s="1699"/>
      <c r="L90" s="1699">
        <f>L9-L50</f>
        <v>0.30330000000000723</v>
      </c>
      <c r="M90" s="1699">
        <f>M9-M50</f>
        <v>0.12259999999997717</v>
      </c>
      <c r="N90" s="1699">
        <f t="shared" ref="N90:T90" si="84">N9-N50</f>
        <v>6.8700000000006867E-2</v>
      </c>
      <c r="O90" s="1699">
        <f t="shared" si="84"/>
        <v>7.2000000000002728E-2</v>
      </c>
      <c r="P90" s="1699">
        <f t="shared" si="84"/>
        <v>7.2000000000002728E-2</v>
      </c>
      <c r="Q90" s="1699">
        <f t="shared" si="84"/>
        <v>7.2000000000002728E-2</v>
      </c>
      <c r="R90" s="1699">
        <f t="shared" si="84"/>
        <v>7.2000000000002728E-2</v>
      </c>
      <c r="S90" s="1699">
        <f t="shared" si="84"/>
        <v>7.1999999999974307E-2</v>
      </c>
      <c r="T90" s="1699">
        <f t="shared" si="84"/>
        <v>7.2000000000002728E-2</v>
      </c>
      <c r="U90" s="1293"/>
      <c r="V90" s="1293"/>
      <c r="W90" s="1293"/>
      <c r="X90" s="1293"/>
      <c r="Y90" s="1293"/>
      <c r="Z90" s="1293"/>
      <c r="AA90" s="1293"/>
      <c r="AB90" s="1293"/>
      <c r="AC90" s="1293"/>
      <c r="AD90" s="1293"/>
      <c r="AE90" s="1293"/>
      <c r="AF90" s="1293"/>
      <c r="AG90" s="1293"/>
      <c r="AH90" s="1293"/>
      <c r="AI90" s="1293"/>
      <c r="AJ90" s="1293"/>
      <c r="AK90" s="1293"/>
      <c r="AL90" s="1293"/>
      <c r="AM90" s="1293"/>
      <c r="AN90" s="1293"/>
      <c r="AO90" s="1293"/>
      <c r="AP90" s="1293"/>
      <c r="AQ90" s="1293"/>
      <c r="AR90" s="1293"/>
      <c r="AS90" s="1293"/>
      <c r="AT90" s="1293"/>
      <c r="AU90" s="1293"/>
      <c r="AV90" s="1293"/>
      <c r="AW90" s="1293"/>
      <c r="AX90" s="1293"/>
      <c r="AY90" s="1293"/>
      <c r="AZ90" s="1293"/>
      <c r="BA90" s="1293"/>
      <c r="BB90" s="1293"/>
      <c r="BC90" s="1293"/>
      <c r="BD90" s="1293"/>
      <c r="BE90" s="1293"/>
      <c r="BF90" s="1293"/>
      <c r="BG90" s="1293"/>
      <c r="BH90" s="1293"/>
      <c r="BI90" s="1293"/>
      <c r="BJ90" s="1293"/>
      <c r="BK90" s="1293"/>
      <c r="BL90" s="1293"/>
      <c r="BM90" s="1293"/>
      <c r="BN90" s="1293"/>
      <c r="BO90" s="1293"/>
      <c r="BP90" s="1293"/>
      <c r="BQ90" s="1293"/>
      <c r="BR90" s="1293"/>
      <c r="BS90" s="1293"/>
      <c r="BT90" s="1293"/>
      <c r="BU90" s="1293"/>
      <c r="BV90" s="1293"/>
      <c r="BW90" s="1293"/>
      <c r="BX90" s="1293"/>
      <c r="BY90" s="1293"/>
      <c r="BZ90" s="1293"/>
      <c r="CA90" s="1293"/>
      <c r="CB90" s="1293"/>
      <c r="CC90" s="1293"/>
      <c r="CD90" s="1293"/>
      <c r="CE90" s="1293"/>
      <c r="CF90" s="1293"/>
      <c r="CG90" s="1293"/>
    </row>
    <row r="91" spans="1:85" ht="15.75">
      <c r="A91" s="1293"/>
      <c r="B91" s="1293"/>
      <c r="C91" s="1293" t="str">
        <f t="shared" si="78"/>
        <v>Nicaragua</v>
      </c>
      <c r="D91" s="1699"/>
      <c r="E91" s="1699"/>
      <c r="F91" s="1699"/>
      <c r="G91" s="1699"/>
      <c r="H91" s="1699"/>
      <c r="I91" s="1699"/>
      <c r="J91" s="1699"/>
      <c r="K91" s="1699"/>
      <c r="L91" s="1699">
        <f>L10-L51</f>
        <v>12.656200000000013</v>
      </c>
      <c r="M91" s="1699">
        <f>M10-M51</f>
        <v>9.1403999999999996</v>
      </c>
      <c r="N91" s="1699">
        <f t="shared" ref="N91:T91" si="85">N10-N51</f>
        <v>8.376199999999983</v>
      </c>
      <c r="O91" s="1699">
        <f>O10-O51</f>
        <v>8.3160192489130509</v>
      </c>
      <c r="P91" s="1699">
        <f t="shared" si="85"/>
        <v>8.3160192489130509</v>
      </c>
      <c r="Q91" s="1699">
        <f t="shared" si="85"/>
        <v>8.3160192489130509</v>
      </c>
      <c r="R91" s="1699">
        <f t="shared" si="85"/>
        <v>8.316019248912994</v>
      </c>
      <c r="S91" s="1699">
        <f t="shared" si="85"/>
        <v>8.316019248912994</v>
      </c>
      <c r="T91" s="1699">
        <f t="shared" si="85"/>
        <v>8.316019248912994</v>
      </c>
      <c r="U91" s="1293"/>
      <c r="V91" s="1293"/>
      <c r="W91" s="1293"/>
      <c r="X91" s="1293"/>
      <c r="Y91" s="1293"/>
      <c r="Z91" s="1293"/>
      <c r="AA91" s="1293"/>
      <c r="AB91" s="1293"/>
      <c r="AC91" s="1293"/>
      <c r="AD91" s="1293"/>
      <c r="AE91" s="1293"/>
      <c r="AF91" s="1293"/>
      <c r="AG91" s="1293"/>
      <c r="AH91" s="1293"/>
      <c r="AI91" s="1293"/>
      <c r="AJ91" s="1293"/>
      <c r="AK91" s="1293"/>
      <c r="AL91" s="1293"/>
      <c r="AM91" s="1293"/>
      <c r="AN91" s="1293"/>
      <c r="AO91" s="1293"/>
      <c r="AP91" s="1293"/>
      <c r="AQ91" s="1293"/>
      <c r="AR91" s="1293"/>
      <c r="AS91" s="1293"/>
      <c r="AT91" s="1293"/>
      <c r="AU91" s="1293"/>
      <c r="AV91" s="1293"/>
      <c r="AW91" s="1293"/>
      <c r="AX91" s="1293"/>
      <c r="AY91" s="1293"/>
      <c r="AZ91" s="1293"/>
      <c r="BA91" s="1293"/>
      <c r="BB91" s="1293"/>
      <c r="BC91" s="1293"/>
      <c r="BD91" s="1293"/>
      <c r="BE91" s="1293"/>
      <c r="BF91" s="1293"/>
      <c r="BG91" s="1293"/>
      <c r="BH91" s="1293"/>
      <c r="BI91" s="1293"/>
      <c r="BJ91" s="1293"/>
      <c r="BK91" s="1293"/>
      <c r="BL91" s="1293"/>
      <c r="BM91" s="1293"/>
      <c r="BN91" s="1293"/>
      <c r="BO91" s="1293"/>
      <c r="BP91" s="1293"/>
      <c r="BQ91" s="1293"/>
      <c r="BR91" s="1293"/>
      <c r="BS91" s="1293"/>
      <c r="BT91" s="1293"/>
      <c r="BU91" s="1293"/>
      <c r="BV91" s="1293"/>
      <c r="BW91" s="1293"/>
      <c r="BX91" s="1293"/>
      <c r="BY91" s="1293"/>
      <c r="BZ91" s="1293"/>
      <c r="CA91" s="1293"/>
      <c r="CB91" s="1293"/>
      <c r="CC91" s="1293"/>
      <c r="CD91" s="1293"/>
      <c r="CE91" s="1293"/>
      <c r="CF91" s="1293"/>
      <c r="CG91" s="1293"/>
    </row>
    <row r="92" spans="1:85" ht="15.75" hidden="1" outlineLevel="1">
      <c r="A92" s="1293"/>
      <c r="B92" s="1293"/>
      <c r="C92" s="1982" t="str">
        <f t="shared" si="78"/>
        <v>Panama - Onda</v>
      </c>
      <c r="D92" s="1699"/>
      <c r="E92" s="1699"/>
      <c r="F92" s="1699"/>
      <c r="G92" s="1699"/>
      <c r="H92" s="1699"/>
      <c r="I92" s="1699">
        <f>Onda!E22</f>
        <v>0</v>
      </c>
      <c r="J92" s="1699">
        <f>Onda!F22</f>
        <v>0</v>
      </c>
      <c r="K92" s="1699">
        <f>Onda!G22</f>
        <v>20</v>
      </c>
      <c r="L92" s="1699">
        <f>Onda!H22</f>
        <v>29</v>
      </c>
      <c r="M92" s="1699">
        <f>Onda!I22</f>
        <v>45</v>
      </c>
      <c r="N92" s="1699">
        <f>Onda!J22</f>
        <v>62</v>
      </c>
      <c r="O92" s="1699">
        <f>Onda!K22</f>
        <v>63.556200000000025</v>
      </c>
      <c r="P92" s="1699">
        <f>Onda!L22</f>
        <v>64.512720810000019</v>
      </c>
      <c r="Q92" s="1699">
        <f>Onda!M22</f>
        <v>65.483637258190512</v>
      </c>
      <c r="R92" s="1699">
        <f>Onda!N22</f>
        <v>66.469165998926272</v>
      </c>
      <c r="S92" s="1699">
        <f>Onda!O22</f>
        <v>67.469526947210099</v>
      </c>
      <c r="T92" s="1699">
        <f>Onda!P22</f>
        <v>68.484943327765606</v>
      </c>
      <c r="U92" s="1293"/>
      <c r="V92" s="1293"/>
      <c r="W92" s="1293"/>
      <c r="X92" s="1293"/>
      <c r="Y92" s="1293"/>
      <c r="Z92" s="1293"/>
      <c r="AA92" s="1293"/>
      <c r="AB92" s="1293"/>
      <c r="AC92" s="1293"/>
      <c r="AD92" s="1293"/>
      <c r="AE92" s="1293"/>
      <c r="AF92" s="1293"/>
      <c r="AG92" s="1293"/>
      <c r="AH92" s="1293"/>
      <c r="AI92" s="1293"/>
      <c r="AJ92" s="1293"/>
      <c r="AK92" s="1293"/>
      <c r="AL92" s="1293"/>
      <c r="AM92" s="1293"/>
      <c r="AN92" s="1293"/>
      <c r="AO92" s="1293"/>
      <c r="AP92" s="1293"/>
      <c r="AQ92" s="1293"/>
      <c r="AR92" s="1293"/>
      <c r="AS92" s="1293"/>
      <c r="AT92" s="1293"/>
      <c r="AU92" s="1293"/>
      <c r="AV92" s="1293"/>
      <c r="AW92" s="1293"/>
      <c r="AX92" s="1293"/>
      <c r="AY92" s="1293"/>
      <c r="AZ92" s="1293"/>
      <c r="BA92" s="1293"/>
      <c r="BB92" s="1293"/>
      <c r="BC92" s="1293"/>
      <c r="BD92" s="1293"/>
      <c r="BE92" s="1293"/>
      <c r="BF92" s="1293"/>
      <c r="BG92" s="1293"/>
      <c r="BH92" s="1293"/>
      <c r="BI92" s="1293"/>
      <c r="BJ92" s="1293"/>
      <c r="BK92" s="1293"/>
      <c r="BL92" s="1293"/>
      <c r="BM92" s="1293"/>
      <c r="BN92" s="1293"/>
      <c r="BO92" s="1293"/>
      <c r="BP92" s="1293"/>
      <c r="BQ92" s="1293"/>
      <c r="BR92" s="1293"/>
      <c r="BS92" s="1293"/>
      <c r="BT92" s="1293"/>
      <c r="BU92" s="1293"/>
      <c r="BV92" s="1293"/>
      <c r="BW92" s="1293"/>
      <c r="BX92" s="1293"/>
      <c r="BY92" s="1293"/>
      <c r="BZ92" s="1293"/>
      <c r="CA92" s="1293"/>
      <c r="CB92" s="1293"/>
      <c r="CC92" s="1293"/>
      <c r="CD92" s="1293"/>
      <c r="CE92" s="1293"/>
      <c r="CF92" s="1293"/>
      <c r="CG92" s="1293"/>
    </row>
    <row r="93" spans="1:85" ht="15.75" hidden="1" outlineLevel="1">
      <c r="A93" s="1293"/>
      <c r="B93" s="1293"/>
      <c r="C93" s="1982" t="str">
        <f t="shared" si="78"/>
        <v>Costa Rica/old Nicaragua</v>
      </c>
      <c r="D93" s="1699">
        <f t="shared" ref="D93:T93" si="86">D12-D53</f>
        <v>0.49653860460159649</v>
      </c>
      <c r="E93" s="1699">
        <f t="shared" si="86"/>
        <v>1.6728339038530748</v>
      </c>
      <c r="F93" s="1699">
        <f t="shared" si="86"/>
        <v>2.2604957067054841</v>
      </c>
      <c r="G93" s="1699">
        <f t="shared" si="86"/>
        <v>2</v>
      </c>
      <c r="H93" s="1699">
        <f t="shared" si="86"/>
        <v>4.3000000000000114</v>
      </c>
      <c r="I93" s="1699">
        <f t="shared" si="86"/>
        <v>8.7680000000000007</v>
      </c>
      <c r="J93" s="1699">
        <f t="shared" si="86"/>
        <v>18</v>
      </c>
      <c r="K93" s="1699">
        <f t="shared" si="86"/>
        <v>16</v>
      </c>
      <c r="L93" s="1699">
        <f t="shared" si="86"/>
        <v>13</v>
      </c>
      <c r="M93" s="1699">
        <f t="shared" si="86"/>
        <v>9.1809999999999832</v>
      </c>
      <c r="N93" s="1699">
        <f t="shared" si="86"/>
        <v>2</v>
      </c>
      <c r="O93" s="1699">
        <f t="shared" si="86"/>
        <v>-221.61438812699998</v>
      </c>
      <c r="P93" s="1699">
        <f t="shared" si="86"/>
        <v>-217.26900796764704</v>
      </c>
      <c r="Q93" s="1699">
        <f t="shared" si="86"/>
        <v>-213.00883134083043</v>
      </c>
      <c r="R93" s="1699">
        <f t="shared" si="86"/>
        <v>-208.83218758904945</v>
      </c>
      <c r="S93" s="1699">
        <f t="shared" si="86"/>
        <v>-204.73743881279358</v>
      </c>
      <c r="T93" s="1699">
        <f t="shared" si="86"/>
        <v>-200.72297922822901</v>
      </c>
      <c r="U93" s="1293"/>
      <c r="V93" s="1293"/>
      <c r="W93" s="1293"/>
      <c r="X93" s="1293"/>
      <c r="Y93" s="1293"/>
      <c r="Z93" s="1293"/>
      <c r="AA93" s="1293"/>
      <c r="AB93" s="1293"/>
      <c r="AC93" s="1293"/>
      <c r="AD93" s="1293"/>
      <c r="AE93" s="1293"/>
      <c r="AF93" s="1293"/>
      <c r="AG93" s="1293"/>
      <c r="AH93" s="1293"/>
      <c r="AI93" s="1293"/>
      <c r="AJ93" s="1293"/>
      <c r="AK93" s="1293"/>
      <c r="AL93" s="1293"/>
      <c r="AM93" s="1293"/>
      <c r="AN93" s="1293"/>
      <c r="AO93" s="1293"/>
      <c r="AP93" s="1293"/>
      <c r="AQ93" s="1293"/>
      <c r="AR93" s="1293"/>
      <c r="AS93" s="1293"/>
      <c r="AT93" s="1293"/>
      <c r="AU93" s="1293"/>
      <c r="AV93" s="1293"/>
      <c r="AW93" s="1293"/>
      <c r="AX93" s="1293"/>
      <c r="AY93" s="1293"/>
      <c r="AZ93" s="1293"/>
      <c r="BA93" s="1293"/>
      <c r="BB93" s="1293"/>
      <c r="BC93" s="1293"/>
      <c r="BD93" s="1293"/>
      <c r="BE93" s="1293"/>
      <c r="BF93" s="1293"/>
      <c r="BG93" s="1293"/>
      <c r="BH93" s="1293"/>
      <c r="BI93" s="1293"/>
      <c r="BJ93" s="1293"/>
      <c r="BK93" s="1293"/>
      <c r="BL93" s="1293"/>
      <c r="BM93" s="1293"/>
      <c r="BN93" s="1293"/>
      <c r="BO93" s="1293"/>
      <c r="BP93" s="1293"/>
      <c r="BQ93" s="1293"/>
      <c r="BR93" s="1293"/>
      <c r="BS93" s="1293"/>
      <c r="BT93" s="1293"/>
      <c r="BU93" s="1293"/>
      <c r="BV93" s="1293"/>
      <c r="BW93" s="1293"/>
      <c r="BX93" s="1293"/>
      <c r="BY93" s="1293"/>
      <c r="BZ93" s="1293"/>
      <c r="CA93" s="1293"/>
      <c r="CB93" s="1293"/>
      <c r="CC93" s="1293"/>
      <c r="CD93" s="1293"/>
      <c r="CE93" s="1293"/>
      <c r="CF93" s="1293"/>
      <c r="CG93" s="1293"/>
    </row>
    <row r="94" spans="1:85" ht="15.75" hidden="1" outlineLevel="1">
      <c r="A94" s="1293"/>
      <c r="B94" s="1293"/>
      <c r="C94" s="1982" t="str">
        <f t="shared" si="78"/>
        <v>Panama wireless</v>
      </c>
      <c r="D94" s="1699"/>
      <c r="E94" s="1699"/>
      <c r="F94" s="1699"/>
      <c r="G94" s="1699"/>
      <c r="H94" s="1699"/>
      <c r="I94" s="1699">
        <f t="shared" ref="I94:M97" si="87">I13-I54</f>
        <v>6.1999999999999886</v>
      </c>
      <c r="J94" s="1699">
        <f t="shared" si="87"/>
        <v>2</v>
      </c>
      <c r="K94" s="1699">
        <f t="shared" si="87"/>
        <v>0</v>
      </c>
      <c r="L94" s="1699">
        <f t="shared" si="87"/>
        <v>0</v>
      </c>
      <c r="M94" s="1699">
        <f t="shared" si="87"/>
        <v>6</v>
      </c>
      <c r="N94" s="1994">
        <v>4</v>
      </c>
      <c r="O94" s="1994">
        <v>4</v>
      </c>
      <c r="P94" s="1994">
        <v>4</v>
      </c>
      <c r="Q94" s="1994">
        <v>4</v>
      </c>
      <c r="R94" s="1994">
        <v>4</v>
      </c>
      <c r="S94" s="1994">
        <v>4</v>
      </c>
      <c r="T94" s="1994">
        <v>4</v>
      </c>
      <c r="U94" s="1293"/>
      <c r="V94" s="1293"/>
      <c r="W94" s="1293"/>
      <c r="X94" s="1293"/>
      <c r="Y94" s="1293"/>
      <c r="Z94" s="1293"/>
      <c r="AA94" s="1293"/>
      <c r="AB94" s="1293"/>
      <c r="AC94" s="1293"/>
      <c r="AD94" s="1293"/>
      <c r="AE94" s="1293"/>
      <c r="AF94" s="1293"/>
      <c r="AG94" s="1293"/>
      <c r="AH94" s="1293"/>
      <c r="AI94" s="1293"/>
      <c r="AJ94" s="1293"/>
      <c r="AK94" s="1293"/>
      <c r="AL94" s="1293"/>
      <c r="AM94" s="1293"/>
      <c r="AN94" s="1293"/>
      <c r="AO94" s="1293"/>
      <c r="AP94" s="1293"/>
      <c r="AQ94" s="1293"/>
      <c r="AR94" s="1293"/>
      <c r="AS94" s="1293"/>
      <c r="AT94" s="1293"/>
      <c r="AU94" s="1293"/>
      <c r="AV94" s="1293"/>
      <c r="AW94" s="1293"/>
      <c r="AX94" s="1293"/>
      <c r="AY94" s="1293"/>
      <c r="AZ94" s="1293"/>
      <c r="BA94" s="1293"/>
      <c r="BB94" s="1293"/>
      <c r="BC94" s="1293"/>
      <c r="BD94" s="1293"/>
      <c r="BE94" s="1293"/>
      <c r="BF94" s="1293"/>
      <c r="BG94" s="1293"/>
      <c r="BH94" s="1293"/>
      <c r="BI94" s="1293"/>
      <c r="BJ94" s="1293"/>
      <c r="BK94" s="1293"/>
      <c r="BL94" s="1293"/>
      <c r="BM94" s="1293"/>
      <c r="BN94" s="1293"/>
      <c r="BO94" s="1293"/>
      <c r="BP94" s="1293"/>
      <c r="BQ94" s="1293"/>
      <c r="BR94" s="1293"/>
      <c r="BS94" s="1293"/>
      <c r="BT94" s="1293"/>
      <c r="BU94" s="1293"/>
      <c r="BV94" s="1293"/>
      <c r="BW94" s="1293"/>
      <c r="BX94" s="1293"/>
      <c r="BY94" s="1293"/>
      <c r="BZ94" s="1293"/>
      <c r="CA94" s="1293"/>
      <c r="CB94" s="1293"/>
      <c r="CC94" s="1293"/>
      <c r="CD94" s="1293"/>
      <c r="CE94" s="1293"/>
      <c r="CF94" s="1293"/>
      <c r="CG94" s="1293"/>
    </row>
    <row r="95" spans="1:85" ht="15.75" hidden="1" outlineLevel="1">
      <c r="A95" s="1293"/>
      <c r="B95" s="1293"/>
      <c r="C95" s="1982" t="str">
        <f t="shared" si="78"/>
        <v>Costa Rica wireless</v>
      </c>
      <c r="D95" s="1699"/>
      <c r="E95" s="1699"/>
      <c r="F95" s="1699"/>
      <c r="G95" s="1699"/>
      <c r="H95" s="1699"/>
      <c r="I95" s="1699">
        <f t="shared" si="87"/>
        <v>0</v>
      </c>
      <c r="J95" s="1699">
        <f t="shared" si="87"/>
        <v>0</v>
      </c>
      <c r="K95" s="1699">
        <f t="shared" si="87"/>
        <v>0</v>
      </c>
      <c r="L95" s="1699">
        <f t="shared" si="87"/>
        <v>0</v>
      </c>
      <c r="M95" s="1699">
        <f t="shared" si="87"/>
        <v>0</v>
      </c>
      <c r="N95" s="1699">
        <f t="shared" ref="N95:T97" si="88">N14-N55</f>
        <v>0</v>
      </c>
      <c r="O95" s="1699">
        <f t="shared" si="88"/>
        <v>0</v>
      </c>
      <c r="P95" s="1699">
        <f t="shared" si="88"/>
        <v>0</v>
      </c>
      <c r="Q95" s="1699">
        <f t="shared" si="88"/>
        <v>0</v>
      </c>
      <c r="R95" s="1699">
        <f t="shared" si="88"/>
        <v>0</v>
      </c>
      <c r="S95" s="1699">
        <f t="shared" si="88"/>
        <v>0</v>
      </c>
      <c r="T95" s="1699">
        <f t="shared" si="88"/>
        <v>0</v>
      </c>
      <c r="U95" s="1293"/>
      <c r="V95" s="1293"/>
      <c r="W95" s="1293"/>
      <c r="X95" s="1293"/>
      <c r="Y95" s="1293"/>
      <c r="Z95" s="1293"/>
      <c r="AA95" s="1293"/>
      <c r="AB95" s="1293"/>
      <c r="AC95" s="1293"/>
      <c r="AD95" s="1293"/>
      <c r="AE95" s="1293"/>
      <c r="AF95" s="1293"/>
      <c r="AG95" s="1293"/>
      <c r="AH95" s="1293"/>
      <c r="AI95" s="1293"/>
      <c r="AJ95" s="1293"/>
      <c r="AK95" s="1293"/>
      <c r="AL95" s="1293"/>
      <c r="AM95" s="1293"/>
      <c r="AN95" s="1293"/>
      <c r="AO95" s="1293"/>
      <c r="AP95" s="1293"/>
      <c r="AQ95" s="1293"/>
      <c r="AR95" s="1293"/>
      <c r="AS95" s="1293"/>
      <c r="AT95" s="1293"/>
      <c r="AU95" s="1293"/>
      <c r="AV95" s="1293"/>
      <c r="AW95" s="1293"/>
      <c r="AX95" s="1293"/>
      <c r="AY95" s="1293"/>
      <c r="AZ95" s="1293"/>
      <c r="BA95" s="1293"/>
      <c r="BB95" s="1293"/>
      <c r="BC95" s="1293"/>
      <c r="BD95" s="1293"/>
      <c r="BE95" s="1293"/>
      <c r="BF95" s="1293"/>
      <c r="BG95" s="1293"/>
      <c r="BH95" s="1293"/>
      <c r="BI95" s="1293"/>
      <c r="BJ95" s="1293"/>
      <c r="BK95" s="1293"/>
      <c r="BL95" s="1293"/>
      <c r="BM95" s="1293"/>
      <c r="BN95" s="1293"/>
      <c r="BO95" s="1293"/>
      <c r="BP95" s="1293"/>
      <c r="BQ95" s="1293"/>
      <c r="BR95" s="1293"/>
      <c r="BS95" s="1293"/>
      <c r="BT95" s="1293"/>
      <c r="BU95" s="1293"/>
      <c r="BV95" s="1293"/>
      <c r="BW95" s="1293"/>
      <c r="BX95" s="1293"/>
      <c r="BY95" s="1293"/>
      <c r="BZ95" s="1293"/>
      <c r="CA95" s="1293"/>
      <c r="CB95" s="1293"/>
      <c r="CC95" s="1293"/>
      <c r="CD95" s="1293"/>
      <c r="CE95" s="1293"/>
      <c r="CF95" s="1293"/>
      <c r="CG95" s="1293"/>
    </row>
    <row r="96" spans="1:85" ht="15.75" hidden="1" outlineLevel="1">
      <c r="A96" s="1293"/>
      <c r="B96" s="1293"/>
      <c r="C96" s="1983" t="str">
        <f t="shared" si="78"/>
        <v>Nicaragua wireless</v>
      </c>
      <c r="D96" s="1703"/>
      <c r="E96" s="1703"/>
      <c r="F96" s="1703"/>
      <c r="G96" s="1703"/>
      <c r="H96" s="1703"/>
      <c r="I96" s="1703">
        <f t="shared" si="87"/>
        <v>0</v>
      </c>
      <c r="J96" s="1703">
        <f t="shared" si="87"/>
        <v>0</v>
      </c>
      <c r="K96" s="1703">
        <f t="shared" si="87"/>
        <v>0</v>
      </c>
      <c r="L96" s="1703">
        <f t="shared" si="87"/>
        <v>0</v>
      </c>
      <c r="M96" s="1703">
        <f t="shared" si="87"/>
        <v>0</v>
      </c>
      <c r="N96" s="1703">
        <f t="shared" si="88"/>
        <v>0</v>
      </c>
      <c r="O96" s="1703">
        <f t="shared" si="88"/>
        <v>0</v>
      </c>
      <c r="P96" s="1703">
        <f t="shared" si="88"/>
        <v>0</v>
      </c>
      <c r="Q96" s="1703">
        <f t="shared" si="88"/>
        <v>0</v>
      </c>
      <c r="R96" s="1703">
        <f t="shared" si="88"/>
        <v>0</v>
      </c>
      <c r="S96" s="1703">
        <f t="shared" si="88"/>
        <v>0</v>
      </c>
      <c r="T96" s="1703">
        <f t="shared" si="88"/>
        <v>0</v>
      </c>
      <c r="U96" s="1293"/>
      <c r="V96" s="1293"/>
      <c r="W96" s="1293"/>
      <c r="X96" s="1293"/>
      <c r="Y96" s="1293"/>
      <c r="Z96" s="1293"/>
      <c r="AA96" s="1293"/>
      <c r="AB96" s="1293"/>
      <c r="AC96" s="1293"/>
      <c r="AD96" s="1293"/>
      <c r="AE96" s="1293"/>
      <c r="AF96" s="1293"/>
      <c r="AG96" s="1293"/>
      <c r="AH96" s="1293"/>
      <c r="AI96" s="1293"/>
      <c r="AJ96" s="1293"/>
      <c r="AK96" s="1293"/>
      <c r="AL96" s="1293"/>
      <c r="AM96" s="1293"/>
      <c r="AN96" s="1293"/>
      <c r="AO96" s="1293"/>
      <c r="AP96" s="1293"/>
      <c r="AQ96" s="1293"/>
      <c r="AR96" s="1293"/>
      <c r="AS96" s="1293"/>
      <c r="AT96" s="1293"/>
      <c r="AU96" s="1293"/>
      <c r="AV96" s="1293"/>
      <c r="AW96" s="1293"/>
      <c r="AX96" s="1293"/>
      <c r="AY96" s="1293"/>
      <c r="AZ96" s="1293"/>
      <c r="BA96" s="1293"/>
      <c r="BB96" s="1293"/>
      <c r="BC96" s="1293"/>
      <c r="BD96" s="1293"/>
      <c r="BE96" s="1293"/>
      <c r="BF96" s="1293"/>
      <c r="BG96" s="1293"/>
      <c r="BH96" s="1293"/>
      <c r="BI96" s="1293"/>
      <c r="BJ96" s="1293"/>
      <c r="BK96" s="1293"/>
      <c r="BL96" s="1293"/>
      <c r="BM96" s="1293"/>
      <c r="BN96" s="1293"/>
      <c r="BO96" s="1293"/>
      <c r="BP96" s="1293"/>
      <c r="BQ96" s="1293"/>
      <c r="BR96" s="1293"/>
      <c r="BS96" s="1293"/>
      <c r="BT96" s="1293"/>
      <c r="BU96" s="1293"/>
      <c r="BV96" s="1293"/>
      <c r="BW96" s="1293"/>
      <c r="BX96" s="1293"/>
      <c r="BY96" s="1293"/>
      <c r="BZ96" s="1293"/>
      <c r="CA96" s="1293"/>
      <c r="CB96" s="1293"/>
      <c r="CC96" s="1293"/>
      <c r="CD96" s="1293"/>
      <c r="CE96" s="1293"/>
      <c r="CF96" s="1293"/>
      <c r="CG96" s="1293"/>
    </row>
    <row r="97" spans="1:85" ht="15.75" collapsed="1">
      <c r="A97" s="1293"/>
      <c r="B97" s="1293"/>
      <c r="C97" s="1375" t="str">
        <f t="shared" si="78"/>
        <v>Central America</v>
      </c>
      <c r="D97" s="1984">
        <f>D16-D57</f>
        <v>193.23365639132271</v>
      </c>
      <c r="E97" s="1984">
        <f>E16-E57</f>
        <v>213.52267229218114</v>
      </c>
      <c r="F97" s="1984">
        <f>F16-F57</f>
        <v>192.75432624022824</v>
      </c>
      <c r="G97" s="1984">
        <f>G16-G57</f>
        <v>190</v>
      </c>
      <c r="H97" s="1984">
        <f ca="1">H16-H57</f>
        <v>244</v>
      </c>
      <c r="I97" s="1984">
        <f t="shared" si="87"/>
        <v>297.76800000000003</v>
      </c>
      <c r="J97" s="1984">
        <f t="shared" si="87"/>
        <v>347</v>
      </c>
      <c r="K97" s="1984">
        <f t="shared" si="87"/>
        <v>367</v>
      </c>
      <c r="L97" s="1984">
        <f t="shared" si="87"/>
        <v>332.39859999999862</v>
      </c>
      <c r="M97" s="1984">
        <f t="shared" si="87"/>
        <v>330.21129999999903</v>
      </c>
      <c r="N97" s="1984">
        <f t="shared" si="88"/>
        <v>324.07269999999971</v>
      </c>
      <c r="O97" s="1984">
        <f t="shared" si="88"/>
        <v>325.9249931034592</v>
      </c>
      <c r="P97" s="1984">
        <f t="shared" si="88"/>
        <v>330.11195230994008</v>
      </c>
      <c r="Q97" s="1984">
        <f t="shared" si="88"/>
        <v>334.36122713351369</v>
      </c>
      <c r="R97" s="1984">
        <f t="shared" si="88"/>
        <v>338.67385177199958</v>
      </c>
      <c r="S97" s="1984">
        <f t="shared" si="88"/>
        <v>343.05087900702483</v>
      </c>
      <c r="T97" s="1984">
        <f t="shared" si="88"/>
        <v>347.49338055491307</v>
      </c>
      <c r="U97" s="1293"/>
      <c r="V97" s="1293"/>
      <c r="W97" s="1293"/>
      <c r="X97" s="1293"/>
      <c r="Y97" s="1293"/>
      <c r="Z97" s="1293"/>
      <c r="AA97" s="1293"/>
      <c r="AB97" s="1293"/>
      <c r="AC97" s="1293"/>
      <c r="AD97" s="1293"/>
      <c r="AE97" s="1293"/>
      <c r="AF97" s="1293"/>
      <c r="AG97" s="1293"/>
      <c r="AH97" s="1293"/>
      <c r="AI97" s="1293"/>
      <c r="AJ97" s="1293"/>
      <c r="AK97" s="1293"/>
      <c r="AL97" s="1293"/>
      <c r="AM97" s="1293"/>
      <c r="AN97" s="1293"/>
      <c r="AO97" s="1293"/>
      <c r="AP97" s="1293"/>
      <c r="AQ97" s="1293"/>
      <c r="AR97" s="1293"/>
      <c r="AS97" s="1293"/>
      <c r="AT97" s="1293"/>
      <c r="AU97" s="1293"/>
      <c r="AV97" s="1293"/>
      <c r="AW97" s="1293"/>
      <c r="AX97" s="1293"/>
      <c r="AY97" s="1293"/>
      <c r="AZ97" s="1293"/>
      <c r="BA97" s="1293"/>
      <c r="BB97" s="1293"/>
      <c r="BC97" s="1293"/>
      <c r="BD97" s="1293"/>
      <c r="BE97" s="1293"/>
      <c r="BF97" s="1293"/>
      <c r="BG97" s="1293"/>
      <c r="BH97" s="1293"/>
      <c r="BI97" s="1293"/>
      <c r="BJ97" s="1293"/>
      <c r="BK97" s="1293"/>
      <c r="BL97" s="1293"/>
      <c r="BM97" s="1293"/>
      <c r="BN97" s="1293"/>
      <c r="BO97" s="1293"/>
      <c r="BP97" s="1293"/>
      <c r="BQ97" s="1293"/>
      <c r="BR97" s="1293"/>
      <c r="BS97" s="1293"/>
      <c r="BT97" s="1293"/>
      <c r="BU97" s="1293"/>
      <c r="BV97" s="1293"/>
      <c r="BW97" s="1293"/>
      <c r="BX97" s="1293"/>
      <c r="BY97" s="1293"/>
      <c r="BZ97" s="1293"/>
      <c r="CA97" s="1293"/>
      <c r="CB97" s="1293"/>
      <c r="CC97" s="1293"/>
      <c r="CD97" s="1293"/>
      <c r="CE97" s="1293"/>
      <c r="CF97" s="1293"/>
      <c r="CG97" s="1293"/>
    </row>
    <row r="98" spans="1:85" ht="15.75">
      <c r="A98" s="1293"/>
      <c r="B98" s="1293"/>
      <c r="C98" s="1293"/>
      <c r="D98" s="1699"/>
      <c r="E98" s="1699"/>
      <c r="F98" s="1699"/>
      <c r="G98" s="1699"/>
      <c r="H98" s="1699"/>
      <c r="I98" s="1699"/>
      <c r="J98" s="1699"/>
      <c r="K98" s="1699"/>
      <c r="L98" s="1699"/>
      <c r="M98" s="1699"/>
      <c r="N98" s="1699"/>
      <c r="O98" s="1699"/>
      <c r="P98" s="1699"/>
      <c r="Q98" s="1699"/>
      <c r="R98" s="1699"/>
      <c r="S98" s="1699"/>
      <c r="T98" s="1699"/>
      <c r="U98" s="1293"/>
      <c r="V98" s="1293"/>
      <c r="W98" s="1293"/>
      <c r="X98" s="1293"/>
      <c r="Y98" s="1293"/>
      <c r="Z98" s="1293"/>
      <c r="AA98" s="1293"/>
      <c r="AB98" s="1293"/>
      <c r="AC98" s="1293"/>
      <c r="AD98" s="1293"/>
      <c r="AE98" s="1293"/>
      <c r="AF98" s="1293"/>
      <c r="AG98" s="1293"/>
      <c r="AH98" s="1293"/>
      <c r="AI98" s="1293"/>
      <c r="AJ98" s="1293"/>
      <c r="AK98" s="1293"/>
      <c r="AL98" s="1293"/>
      <c r="AM98" s="1293"/>
      <c r="AN98" s="1293"/>
      <c r="AO98" s="1293"/>
      <c r="AP98" s="1293"/>
      <c r="AQ98" s="1293"/>
      <c r="AR98" s="1293"/>
      <c r="AS98" s="1293"/>
      <c r="AT98" s="1293"/>
      <c r="AU98" s="1293"/>
      <c r="AV98" s="1293"/>
      <c r="AW98" s="1293"/>
      <c r="AX98" s="1293"/>
      <c r="AY98" s="1293"/>
      <c r="AZ98" s="1293"/>
      <c r="BA98" s="1293"/>
      <c r="BB98" s="1293"/>
      <c r="BC98" s="1293"/>
      <c r="BD98" s="1293"/>
      <c r="BE98" s="1293"/>
      <c r="BF98" s="1293"/>
      <c r="BG98" s="1293"/>
      <c r="BH98" s="1293"/>
      <c r="BI98" s="1293"/>
      <c r="BJ98" s="1293"/>
      <c r="BK98" s="1293"/>
      <c r="BL98" s="1293"/>
      <c r="BM98" s="1293"/>
      <c r="BN98" s="1293"/>
      <c r="BO98" s="1293"/>
      <c r="BP98" s="1293"/>
      <c r="BQ98" s="1293"/>
      <c r="BR98" s="1293"/>
      <c r="BS98" s="1293"/>
      <c r="BT98" s="1293"/>
      <c r="BU98" s="1293"/>
      <c r="BV98" s="1293"/>
      <c r="BW98" s="1293"/>
      <c r="BX98" s="1293"/>
      <c r="BY98" s="1293"/>
      <c r="BZ98" s="1293"/>
      <c r="CA98" s="1293"/>
      <c r="CB98" s="1293"/>
      <c r="CC98" s="1293"/>
      <c r="CD98" s="1293"/>
      <c r="CE98" s="1293"/>
      <c r="CF98" s="1293"/>
      <c r="CG98" s="1293"/>
    </row>
    <row r="99" spans="1:85" ht="15.75">
      <c r="A99" s="1293"/>
      <c r="B99" s="1293"/>
      <c r="C99" s="1293" t="str">
        <f>C59</f>
        <v>Bolivia</v>
      </c>
      <c r="D99" s="1699">
        <f t="shared" ref="D99:T99" si="89">D19-D59</f>
        <v>13.371950481910915</v>
      </c>
      <c r="E99" s="1699">
        <f t="shared" si="89"/>
        <v>19.733503782923947</v>
      </c>
      <c r="F99" s="1699">
        <f t="shared" si="89"/>
        <v>17.067792868306014</v>
      </c>
      <c r="G99" s="1699">
        <f t="shared" si="89"/>
        <v>7</v>
      </c>
      <c r="H99" s="1699">
        <f t="shared" si="89"/>
        <v>17</v>
      </c>
      <c r="I99" s="1699">
        <f t="shared" si="89"/>
        <v>15</v>
      </c>
      <c r="J99" s="1699">
        <f t="shared" si="89"/>
        <v>8</v>
      </c>
      <c r="K99" s="1699">
        <f t="shared" si="89"/>
        <v>12</v>
      </c>
      <c r="L99" s="1699">
        <f t="shared" si="89"/>
        <v>13.209999999999923</v>
      </c>
      <c r="M99" s="1699">
        <f t="shared" si="89"/>
        <v>11.100999999999999</v>
      </c>
      <c r="N99" s="1699">
        <f t="shared" si="89"/>
        <v>6.4338999999999942</v>
      </c>
      <c r="O99" s="1699">
        <f t="shared" si="89"/>
        <v>2.3647893142857299</v>
      </c>
      <c r="P99" s="1699">
        <f t="shared" si="89"/>
        <v>2.4120851005714314</v>
      </c>
      <c r="Q99" s="1699">
        <f t="shared" si="89"/>
        <v>2.4603268025828697</v>
      </c>
      <c r="R99" s="1699">
        <f t="shared" si="89"/>
        <v>2.5095333386344691</v>
      </c>
      <c r="S99" s="1699">
        <f t="shared" si="89"/>
        <v>2.5597240054072472</v>
      </c>
      <c r="T99" s="1699">
        <f t="shared" si="89"/>
        <v>2.6109184855153558</v>
      </c>
      <c r="U99" s="1293"/>
      <c r="V99" s="1293"/>
      <c r="W99" s="1293"/>
      <c r="X99" s="1293"/>
      <c r="Y99" s="1293"/>
      <c r="Z99" s="1293"/>
      <c r="AA99" s="1293"/>
      <c r="AB99" s="1293"/>
      <c r="AC99" s="1293"/>
      <c r="AD99" s="1293"/>
      <c r="AE99" s="1293"/>
      <c r="AF99" s="1293"/>
      <c r="AG99" s="1293"/>
      <c r="AH99" s="1293"/>
      <c r="AI99" s="1293"/>
      <c r="AJ99" s="1293"/>
      <c r="AK99" s="1293"/>
      <c r="AL99" s="1293"/>
      <c r="AM99" s="1293"/>
      <c r="AN99" s="1293"/>
      <c r="AO99" s="1293"/>
      <c r="AP99" s="1293"/>
      <c r="AQ99" s="1293"/>
      <c r="AR99" s="1293"/>
      <c r="AS99" s="1293"/>
      <c r="AT99" s="1293"/>
      <c r="AU99" s="1293"/>
      <c r="AV99" s="1293"/>
      <c r="AW99" s="1293"/>
      <c r="AX99" s="1293"/>
      <c r="AY99" s="1293"/>
      <c r="AZ99" s="1293"/>
      <c r="BA99" s="1293"/>
      <c r="BB99" s="1293"/>
      <c r="BC99" s="1293"/>
      <c r="BD99" s="1293"/>
      <c r="BE99" s="1293"/>
      <c r="BF99" s="1293"/>
      <c r="BG99" s="1293"/>
      <c r="BH99" s="1293"/>
      <c r="BI99" s="1293"/>
      <c r="BJ99" s="1293"/>
      <c r="BK99" s="1293"/>
      <c r="BL99" s="1293"/>
      <c r="BM99" s="1293"/>
      <c r="BN99" s="1293"/>
      <c r="BO99" s="1293"/>
      <c r="BP99" s="1293"/>
      <c r="BQ99" s="1293"/>
      <c r="BR99" s="1293"/>
      <c r="BS99" s="1293"/>
      <c r="BT99" s="1293"/>
      <c r="BU99" s="1293"/>
      <c r="BV99" s="1293"/>
      <c r="BW99" s="1293"/>
      <c r="BX99" s="1293"/>
      <c r="BY99" s="1293"/>
      <c r="BZ99" s="1293"/>
      <c r="CA99" s="1293"/>
      <c r="CB99" s="1293"/>
      <c r="CC99" s="1293"/>
      <c r="CD99" s="1293"/>
      <c r="CE99" s="1293"/>
      <c r="CF99" s="1293"/>
      <c r="CG99" s="1293"/>
    </row>
    <row r="100" spans="1:85" ht="15.75">
      <c r="A100" s="1293"/>
      <c r="B100" s="1293"/>
      <c r="C100" s="1293" t="str">
        <f>C60</f>
        <v>Colombia</v>
      </c>
      <c r="D100" s="1699">
        <f t="shared" ref="D100:T100" si="90">D20-D60</f>
        <v>195.57842404973599</v>
      </c>
      <c r="E100" s="1699">
        <f t="shared" si="90"/>
        <v>205.91928299811684</v>
      </c>
      <c r="F100" s="1699">
        <f t="shared" si="90"/>
        <v>135.52771640747687</v>
      </c>
      <c r="G100" s="1699">
        <f t="shared" si="90"/>
        <v>124</v>
      </c>
      <c r="H100" s="1699">
        <f t="shared" si="90"/>
        <v>108</v>
      </c>
      <c r="I100" s="1699">
        <f t="shared" si="90"/>
        <v>100</v>
      </c>
      <c r="J100" s="1699">
        <f t="shared" si="90"/>
        <v>87</v>
      </c>
      <c r="K100" s="1699">
        <f t="shared" si="90"/>
        <v>94</v>
      </c>
      <c r="L100" s="1699">
        <f t="shared" si="90"/>
        <v>82.7800000000002</v>
      </c>
      <c r="M100" s="1699">
        <f t="shared" si="90"/>
        <v>44.470000000000027</v>
      </c>
      <c r="N100" s="1699">
        <f t="shared" si="90"/>
        <v>38.62940000000026</v>
      </c>
      <c r="O100" s="1699">
        <f t="shared" si="90"/>
        <v>37.036335918072382</v>
      </c>
      <c r="P100" s="1699">
        <f t="shared" si="90"/>
        <v>37.036335918072382</v>
      </c>
      <c r="Q100" s="1699">
        <f t="shared" si="90"/>
        <v>37.036335918072382</v>
      </c>
      <c r="R100" s="1699">
        <f t="shared" si="90"/>
        <v>37.036335918072382</v>
      </c>
      <c r="S100" s="1699">
        <f t="shared" si="90"/>
        <v>37.036335918072609</v>
      </c>
      <c r="T100" s="1699">
        <f t="shared" si="90"/>
        <v>37.036335918072609</v>
      </c>
      <c r="U100" s="1293"/>
      <c r="V100" s="1293"/>
      <c r="W100" s="1293"/>
      <c r="X100" s="1293"/>
      <c r="Y100" s="1293"/>
      <c r="Z100" s="1293"/>
      <c r="AA100" s="1293"/>
      <c r="AB100" s="1293"/>
      <c r="AC100" s="1293"/>
      <c r="AD100" s="1293"/>
      <c r="AE100" s="1293"/>
      <c r="AF100" s="1293"/>
      <c r="AG100" s="1293"/>
      <c r="AH100" s="1293"/>
      <c r="AI100" s="1293"/>
      <c r="AJ100" s="1293"/>
      <c r="AK100" s="1293"/>
      <c r="AL100" s="1293"/>
      <c r="AM100" s="1293"/>
      <c r="AN100" s="1293"/>
      <c r="AO100" s="1293"/>
      <c r="AP100" s="1293"/>
      <c r="AQ100" s="1293"/>
      <c r="AR100" s="1293"/>
      <c r="AS100" s="1293"/>
      <c r="AT100" s="1293"/>
      <c r="AU100" s="1293"/>
      <c r="AV100" s="1293"/>
      <c r="AW100" s="1293"/>
      <c r="AX100" s="1293"/>
      <c r="AY100" s="1293"/>
      <c r="AZ100" s="1293"/>
      <c r="BA100" s="1293"/>
      <c r="BB100" s="1293"/>
      <c r="BC100" s="1293"/>
      <c r="BD100" s="1293"/>
      <c r="BE100" s="1293"/>
      <c r="BF100" s="1293"/>
      <c r="BG100" s="1293"/>
      <c r="BH100" s="1293"/>
      <c r="BI100" s="1293"/>
      <c r="BJ100" s="1293"/>
      <c r="BK100" s="1293"/>
      <c r="BL100" s="1293"/>
      <c r="BM100" s="1293"/>
      <c r="BN100" s="1293"/>
      <c r="BO100" s="1293"/>
      <c r="BP100" s="1293"/>
      <c r="BQ100" s="1293"/>
      <c r="BR100" s="1293"/>
      <c r="BS100" s="1293"/>
      <c r="BT100" s="1293"/>
      <c r="BU100" s="1293"/>
      <c r="BV100" s="1293"/>
      <c r="BW100" s="1293"/>
      <c r="BX100" s="1293"/>
      <c r="BY100" s="1293"/>
      <c r="BZ100" s="1293"/>
      <c r="CA100" s="1293"/>
      <c r="CB100" s="1293"/>
      <c r="CC100" s="1293"/>
      <c r="CD100" s="1293"/>
      <c r="CE100" s="1293"/>
      <c r="CF100" s="1293"/>
      <c r="CG100" s="1293"/>
    </row>
    <row r="101" spans="1:85" ht="15.75">
      <c r="A101" s="1293"/>
      <c r="B101" s="1293"/>
      <c r="C101" s="1293" t="str">
        <f>C61</f>
        <v>Paraguay</v>
      </c>
      <c r="D101" s="1699">
        <f t="shared" ref="D101:T101" si="91">D21-D61</f>
        <v>62.358879780743109</v>
      </c>
      <c r="E101" s="1699">
        <f t="shared" si="91"/>
        <v>63.237025434460065</v>
      </c>
      <c r="F101" s="1699">
        <f t="shared" si="91"/>
        <v>40.081771957761021</v>
      </c>
      <c r="G101" s="1699">
        <f t="shared" si="91"/>
        <v>41</v>
      </c>
      <c r="H101" s="1699">
        <f t="shared" si="91"/>
        <v>47</v>
      </c>
      <c r="I101" s="1699">
        <f t="shared" si="91"/>
        <v>36</v>
      </c>
      <c r="J101" s="1699">
        <f t="shared" si="91"/>
        <v>30</v>
      </c>
      <c r="K101" s="1699">
        <f t="shared" si="91"/>
        <v>29</v>
      </c>
      <c r="L101" s="1699">
        <f t="shared" si="91"/>
        <v>25.980000000000018</v>
      </c>
      <c r="M101" s="1699">
        <f t="shared" si="91"/>
        <v>24.273000000000025</v>
      </c>
      <c r="N101" s="1699">
        <f t="shared" si="91"/>
        <v>18.899299999999926</v>
      </c>
      <c r="O101" s="1699">
        <f t="shared" si="91"/>
        <v>17.608827092278489</v>
      </c>
      <c r="P101" s="1699">
        <f t="shared" si="91"/>
        <v>17.608827092278489</v>
      </c>
      <c r="Q101" s="1699">
        <f t="shared" si="91"/>
        <v>17.608827092278375</v>
      </c>
      <c r="R101" s="1699">
        <f t="shared" si="91"/>
        <v>17.608827092278489</v>
      </c>
      <c r="S101" s="1699">
        <f t="shared" si="91"/>
        <v>17.608827092278489</v>
      </c>
      <c r="T101" s="1699">
        <f t="shared" si="91"/>
        <v>17.608827092278489</v>
      </c>
      <c r="U101" s="1293"/>
      <c r="V101" s="1293"/>
      <c r="W101" s="1293"/>
      <c r="X101" s="1293"/>
      <c r="Y101" s="1293"/>
      <c r="Z101" s="1293"/>
      <c r="AA101" s="1293"/>
      <c r="AB101" s="1293"/>
      <c r="AC101" s="1293"/>
      <c r="AD101" s="1293"/>
      <c r="AE101" s="1293"/>
      <c r="AF101" s="1293"/>
      <c r="AG101" s="1293"/>
      <c r="AH101" s="1293"/>
      <c r="AI101" s="1293"/>
      <c r="AJ101" s="1293"/>
      <c r="AK101" s="1293"/>
      <c r="AL101" s="1293"/>
      <c r="AM101" s="1293"/>
      <c r="AN101" s="1293"/>
      <c r="AO101" s="1293"/>
      <c r="AP101" s="1293"/>
      <c r="AQ101" s="1293"/>
      <c r="AR101" s="1293"/>
      <c r="AS101" s="1293"/>
      <c r="AT101" s="1293"/>
      <c r="AU101" s="1293"/>
      <c r="AV101" s="1293"/>
      <c r="AW101" s="1293"/>
      <c r="AX101" s="1293"/>
      <c r="AY101" s="1293"/>
      <c r="AZ101" s="1293"/>
      <c r="BA101" s="1293"/>
      <c r="BB101" s="1293"/>
      <c r="BC101" s="1293"/>
      <c r="BD101" s="1293"/>
      <c r="BE101" s="1293"/>
      <c r="BF101" s="1293"/>
      <c r="BG101" s="1293"/>
      <c r="BH101" s="1293"/>
      <c r="BI101" s="1293"/>
      <c r="BJ101" s="1293"/>
      <c r="BK101" s="1293"/>
      <c r="BL101" s="1293"/>
      <c r="BM101" s="1293"/>
      <c r="BN101" s="1293"/>
      <c r="BO101" s="1293"/>
      <c r="BP101" s="1293"/>
      <c r="BQ101" s="1293"/>
      <c r="BR101" s="1293"/>
      <c r="BS101" s="1293"/>
      <c r="BT101" s="1293"/>
      <c r="BU101" s="1293"/>
      <c r="BV101" s="1293"/>
      <c r="BW101" s="1293"/>
      <c r="BX101" s="1293"/>
      <c r="BY101" s="1293"/>
      <c r="BZ101" s="1293"/>
      <c r="CA101" s="1293"/>
      <c r="CB101" s="1293"/>
      <c r="CC101" s="1293"/>
      <c r="CD101" s="1293"/>
      <c r="CE101" s="1293"/>
      <c r="CF101" s="1293"/>
      <c r="CG101" s="1293"/>
    </row>
    <row r="102" spans="1:85" ht="15.75">
      <c r="A102" s="1293"/>
      <c r="B102" s="1293"/>
      <c r="C102" s="1331" t="str">
        <f>C62</f>
        <v>Others/check</v>
      </c>
      <c r="D102" s="1703">
        <f t="shared" ref="D102:T102" si="92">D22-D62</f>
        <v>2.4099335860228166E-9</v>
      </c>
      <c r="E102" s="1703">
        <f t="shared" si="92"/>
        <v>2.4099543038889806</v>
      </c>
      <c r="F102" s="1703">
        <f t="shared" si="92"/>
        <v>0.44785497362150295</v>
      </c>
      <c r="G102" s="1703">
        <f t="shared" si="92"/>
        <v>1</v>
      </c>
      <c r="H102" s="1703">
        <f t="shared" si="92"/>
        <v>0</v>
      </c>
      <c r="I102" s="1703">
        <f t="shared" si="92"/>
        <v>0</v>
      </c>
      <c r="J102" s="1703">
        <f t="shared" si="92"/>
        <v>0</v>
      </c>
      <c r="K102" s="1703">
        <f t="shared" si="92"/>
        <v>0</v>
      </c>
      <c r="L102" s="1703">
        <f t="shared" si="92"/>
        <v>0</v>
      </c>
      <c r="M102" s="1703">
        <f t="shared" si="92"/>
        <v>0</v>
      </c>
      <c r="N102" s="1703">
        <f t="shared" si="92"/>
        <v>0</v>
      </c>
      <c r="O102" s="1703">
        <f t="shared" si="92"/>
        <v>0</v>
      </c>
      <c r="P102" s="1703">
        <f t="shared" si="92"/>
        <v>0</v>
      </c>
      <c r="Q102" s="1703">
        <f t="shared" si="92"/>
        <v>0</v>
      </c>
      <c r="R102" s="1703">
        <f t="shared" si="92"/>
        <v>0</v>
      </c>
      <c r="S102" s="1703">
        <f t="shared" si="92"/>
        <v>0</v>
      </c>
      <c r="T102" s="1703">
        <f t="shared" si="92"/>
        <v>0</v>
      </c>
      <c r="U102" s="1293"/>
      <c r="V102" s="1293"/>
      <c r="W102" s="1293"/>
      <c r="X102" s="1293"/>
      <c r="Y102" s="1293"/>
      <c r="Z102" s="1293"/>
      <c r="AA102" s="1293"/>
      <c r="AB102" s="1293"/>
      <c r="AC102" s="1293"/>
      <c r="AD102" s="1293"/>
      <c r="AE102" s="1293"/>
      <c r="AF102" s="1293"/>
      <c r="AG102" s="1293"/>
      <c r="AH102" s="1293"/>
      <c r="AI102" s="1293"/>
      <c r="AJ102" s="1293"/>
      <c r="AK102" s="1293"/>
      <c r="AL102" s="1293"/>
      <c r="AM102" s="1293"/>
      <c r="AN102" s="1293"/>
      <c r="AO102" s="1293"/>
      <c r="AP102" s="1293"/>
      <c r="AQ102" s="1293"/>
      <c r="AR102" s="1293"/>
      <c r="AS102" s="1293"/>
      <c r="AT102" s="1293"/>
      <c r="AU102" s="1293"/>
      <c r="AV102" s="1293"/>
      <c r="AW102" s="1293"/>
      <c r="AX102" s="1293"/>
      <c r="AY102" s="1293"/>
      <c r="AZ102" s="1293"/>
      <c r="BA102" s="1293"/>
      <c r="BB102" s="1293"/>
      <c r="BC102" s="1293"/>
      <c r="BD102" s="1293"/>
      <c r="BE102" s="1293"/>
      <c r="BF102" s="1293"/>
      <c r="BG102" s="1293"/>
      <c r="BH102" s="1293"/>
      <c r="BI102" s="1293"/>
      <c r="BJ102" s="1293"/>
      <c r="BK102" s="1293"/>
      <c r="BL102" s="1293"/>
      <c r="BM102" s="1293"/>
      <c r="BN102" s="1293"/>
      <c r="BO102" s="1293"/>
      <c r="BP102" s="1293"/>
      <c r="BQ102" s="1293"/>
      <c r="BR102" s="1293"/>
      <c r="BS102" s="1293"/>
      <c r="BT102" s="1293"/>
      <c r="BU102" s="1293"/>
      <c r="BV102" s="1293"/>
      <c r="BW102" s="1293"/>
      <c r="BX102" s="1293"/>
      <c r="BY102" s="1293"/>
      <c r="BZ102" s="1293"/>
      <c r="CA102" s="1293"/>
      <c r="CB102" s="1293"/>
      <c r="CC102" s="1293"/>
      <c r="CD102" s="1293"/>
      <c r="CE102" s="1293"/>
      <c r="CF102" s="1293"/>
      <c r="CG102" s="1293"/>
    </row>
    <row r="103" spans="1:85" ht="15.75">
      <c r="A103" s="1293"/>
      <c r="B103" s="1293"/>
      <c r="C103" s="1293" t="str">
        <f>C63</f>
        <v>South America</v>
      </c>
      <c r="D103" s="1699">
        <f t="shared" ref="D103:T103" si="93">D23-D63</f>
        <v>271.30925431479909</v>
      </c>
      <c r="E103" s="1699">
        <f t="shared" si="93"/>
        <v>291.29976651938978</v>
      </c>
      <c r="F103" s="1699">
        <f t="shared" si="93"/>
        <v>193.12513620716572</v>
      </c>
      <c r="G103" s="1699">
        <f t="shared" si="93"/>
        <v>173</v>
      </c>
      <c r="H103" s="1699">
        <f t="shared" si="93"/>
        <v>172</v>
      </c>
      <c r="I103" s="1699">
        <f t="shared" si="93"/>
        <v>151</v>
      </c>
      <c r="J103" s="1699">
        <f t="shared" si="93"/>
        <v>125</v>
      </c>
      <c r="K103" s="1699">
        <f t="shared" si="93"/>
        <v>135</v>
      </c>
      <c r="L103" s="1699">
        <f t="shared" si="93"/>
        <v>121.97000000000025</v>
      </c>
      <c r="M103" s="1699">
        <f t="shared" si="93"/>
        <v>79.844000000000051</v>
      </c>
      <c r="N103" s="1699">
        <f t="shared" si="93"/>
        <v>63.962600000000293</v>
      </c>
      <c r="O103" s="1699">
        <f t="shared" si="93"/>
        <v>57.009952324636743</v>
      </c>
      <c r="P103" s="1699">
        <f t="shared" si="93"/>
        <v>57.057248110922046</v>
      </c>
      <c r="Q103" s="1699">
        <f t="shared" si="93"/>
        <v>57.105489812933683</v>
      </c>
      <c r="R103" s="1699">
        <f t="shared" si="93"/>
        <v>57.154696348985453</v>
      </c>
      <c r="S103" s="1699">
        <f t="shared" si="93"/>
        <v>57.204887015758231</v>
      </c>
      <c r="T103" s="1699">
        <f t="shared" si="93"/>
        <v>57.256081495866511</v>
      </c>
      <c r="U103" s="1293"/>
      <c r="V103" s="1293"/>
      <c r="W103" s="1293"/>
      <c r="X103" s="1293"/>
      <c r="Y103" s="1293"/>
      <c r="Z103" s="1293"/>
      <c r="AA103" s="1293"/>
      <c r="AB103" s="1293"/>
      <c r="AC103" s="1293"/>
      <c r="AD103" s="1293"/>
      <c r="AE103" s="1293"/>
      <c r="AF103" s="1293"/>
      <c r="AG103" s="1293"/>
      <c r="AH103" s="1293"/>
      <c r="AI103" s="1293"/>
      <c r="AJ103" s="1293"/>
      <c r="AK103" s="1293"/>
      <c r="AL103" s="1293"/>
      <c r="AM103" s="1293"/>
      <c r="AN103" s="1293"/>
      <c r="AO103" s="1293"/>
      <c r="AP103" s="1293"/>
      <c r="AQ103" s="1293"/>
      <c r="AR103" s="1293"/>
      <c r="AS103" s="1293"/>
      <c r="AT103" s="1293"/>
      <c r="AU103" s="1293"/>
      <c r="AV103" s="1293"/>
      <c r="AW103" s="1293"/>
      <c r="AX103" s="1293"/>
      <c r="AY103" s="1293"/>
      <c r="AZ103" s="1293"/>
      <c r="BA103" s="1293"/>
      <c r="BB103" s="1293"/>
      <c r="BC103" s="1293"/>
      <c r="BD103" s="1293"/>
      <c r="BE103" s="1293"/>
      <c r="BF103" s="1293"/>
      <c r="BG103" s="1293"/>
      <c r="BH103" s="1293"/>
      <c r="BI103" s="1293"/>
      <c r="BJ103" s="1293"/>
      <c r="BK103" s="1293"/>
      <c r="BL103" s="1293"/>
      <c r="BM103" s="1293"/>
      <c r="BN103" s="1293"/>
      <c r="BO103" s="1293"/>
      <c r="BP103" s="1293"/>
      <c r="BQ103" s="1293"/>
      <c r="BR103" s="1293"/>
      <c r="BS103" s="1293"/>
      <c r="BT103" s="1293"/>
      <c r="BU103" s="1293"/>
      <c r="BV103" s="1293"/>
      <c r="BW103" s="1293"/>
      <c r="BX103" s="1293"/>
      <c r="BY103" s="1293"/>
      <c r="BZ103" s="1293"/>
      <c r="CA103" s="1293"/>
      <c r="CB103" s="1293"/>
      <c r="CC103" s="1293"/>
      <c r="CD103" s="1293"/>
      <c r="CE103" s="1293"/>
      <c r="CF103" s="1293"/>
      <c r="CG103" s="1293"/>
    </row>
    <row r="104" spans="1:85" ht="15.75">
      <c r="A104" s="1293"/>
      <c r="B104" s="1293"/>
      <c r="C104" s="1293"/>
      <c r="D104" s="1699"/>
      <c r="E104" s="1699"/>
      <c r="F104" s="1699"/>
      <c r="G104" s="1699"/>
      <c r="H104" s="1699"/>
      <c r="I104" s="1699"/>
      <c r="J104" s="1699"/>
      <c r="K104" s="1699"/>
      <c r="L104" s="1699"/>
      <c r="M104" s="1699"/>
      <c r="N104" s="1699"/>
      <c r="O104" s="1699"/>
      <c r="P104" s="1699"/>
      <c r="Q104" s="1699"/>
      <c r="R104" s="1699"/>
      <c r="S104" s="1699"/>
      <c r="T104" s="1699"/>
      <c r="U104" s="1293"/>
      <c r="V104" s="1293"/>
      <c r="W104" s="1293"/>
      <c r="X104" s="1293"/>
      <c r="Y104" s="1293"/>
      <c r="Z104" s="1293"/>
      <c r="AA104" s="1293"/>
      <c r="AB104" s="1293"/>
      <c r="AC104" s="1293"/>
      <c r="AD104" s="1293"/>
      <c r="AE104" s="1293"/>
      <c r="AF104" s="1293"/>
      <c r="AG104" s="1293"/>
      <c r="AH104" s="1293"/>
      <c r="AI104" s="1293"/>
      <c r="AJ104" s="1293"/>
      <c r="AK104" s="1293"/>
      <c r="AL104" s="1293"/>
      <c r="AM104" s="1293"/>
      <c r="AN104" s="1293"/>
      <c r="AO104" s="1293"/>
      <c r="AP104" s="1293"/>
      <c r="AQ104" s="1293"/>
      <c r="AR104" s="1293"/>
      <c r="AS104" s="1293"/>
      <c r="AT104" s="1293"/>
      <c r="AU104" s="1293"/>
      <c r="AV104" s="1293"/>
      <c r="AW104" s="1293"/>
      <c r="AX104" s="1293"/>
      <c r="AY104" s="1293"/>
      <c r="AZ104" s="1293"/>
      <c r="BA104" s="1293"/>
      <c r="BB104" s="1293"/>
      <c r="BC104" s="1293"/>
      <c r="BD104" s="1293"/>
      <c r="BE104" s="1293"/>
      <c r="BF104" s="1293"/>
      <c r="BG104" s="1293"/>
      <c r="BH104" s="1293"/>
      <c r="BI104" s="1293"/>
      <c r="BJ104" s="1293"/>
      <c r="BK104" s="1293"/>
      <c r="BL104" s="1293"/>
      <c r="BM104" s="1293"/>
      <c r="BN104" s="1293"/>
      <c r="BO104" s="1293"/>
      <c r="BP104" s="1293"/>
      <c r="BQ104" s="1293"/>
      <c r="BR104" s="1293"/>
      <c r="BS104" s="1293"/>
      <c r="BT104" s="1293"/>
      <c r="BU104" s="1293"/>
      <c r="BV104" s="1293"/>
      <c r="BW104" s="1293"/>
      <c r="BX104" s="1293"/>
      <c r="BY104" s="1293"/>
      <c r="BZ104" s="1293"/>
      <c r="CA104" s="1293"/>
      <c r="CB104" s="1293"/>
      <c r="CC104" s="1293"/>
      <c r="CD104" s="1293"/>
      <c r="CE104" s="1293"/>
      <c r="CF104" s="1293"/>
      <c r="CG104" s="1293"/>
    </row>
    <row r="105" spans="1:85" ht="15.75" hidden="1" outlineLevel="1">
      <c r="A105" s="1293"/>
      <c r="B105" s="1293"/>
      <c r="C105" s="1293" t="str">
        <f t="shared" ref="C105:C114" si="94">C67</f>
        <v>Chad</v>
      </c>
      <c r="D105" s="1699">
        <f ca="1">D25-D67</f>
        <v>2.5106959181473769</v>
      </c>
      <c r="E105" s="1699">
        <f>E25-E67</f>
        <v>2.4503018679190518</v>
      </c>
      <c r="F105" s="1699">
        <f ca="1">F25-F67</f>
        <v>1.3442191017389007</v>
      </c>
      <c r="G105" s="1699">
        <f ca="1">G25-G67</f>
        <v>0.5390649599758035</v>
      </c>
      <c r="H105" s="1699">
        <f ca="1">H25-H67</f>
        <v>0.26721797485762977</v>
      </c>
      <c r="I105" s="1699"/>
      <c r="J105" s="1699"/>
      <c r="K105" s="1699"/>
      <c r="L105" s="1699"/>
      <c r="M105" s="1699"/>
      <c r="N105" s="1699"/>
      <c r="O105" s="1699"/>
      <c r="P105" s="1699"/>
      <c r="Q105" s="1699"/>
      <c r="R105" s="1699"/>
      <c r="S105" s="1699"/>
      <c r="T105" s="1699"/>
      <c r="U105" s="1293"/>
      <c r="V105" s="1293"/>
      <c r="W105" s="1293"/>
      <c r="X105" s="1293"/>
      <c r="Y105" s="1293"/>
      <c r="Z105" s="1293"/>
      <c r="AA105" s="1293"/>
      <c r="AB105" s="1293"/>
      <c r="AC105" s="1293"/>
      <c r="AD105" s="1293"/>
      <c r="AE105" s="1293"/>
      <c r="AF105" s="1293"/>
      <c r="AG105" s="1293"/>
      <c r="AH105" s="1293"/>
      <c r="AI105" s="1293"/>
      <c r="AJ105" s="1293"/>
      <c r="AK105" s="1293"/>
      <c r="AL105" s="1293"/>
      <c r="AM105" s="1293"/>
      <c r="AN105" s="1293"/>
      <c r="AO105" s="1293"/>
      <c r="AP105" s="1293"/>
      <c r="AQ105" s="1293"/>
      <c r="AR105" s="1293"/>
      <c r="AS105" s="1293"/>
      <c r="AT105" s="1293"/>
      <c r="AU105" s="1293"/>
      <c r="AV105" s="1293"/>
      <c r="AW105" s="1293"/>
      <c r="AX105" s="1293"/>
      <c r="AY105" s="1293"/>
      <c r="AZ105" s="1293"/>
      <c r="BA105" s="1293"/>
      <c r="BB105" s="1293"/>
      <c r="BC105" s="1293"/>
      <c r="BD105" s="1293"/>
      <c r="BE105" s="1293"/>
      <c r="BF105" s="1293"/>
      <c r="BG105" s="1293"/>
      <c r="BH105" s="1293"/>
      <c r="BI105" s="1293"/>
      <c r="BJ105" s="1293"/>
      <c r="BK105" s="1293"/>
      <c r="BL105" s="1293"/>
      <c r="BM105" s="1293"/>
      <c r="BN105" s="1293"/>
      <c r="BO105" s="1293"/>
      <c r="BP105" s="1293"/>
      <c r="BQ105" s="1293"/>
      <c r="BR105" s="1293"/>
      <c r="BS105" s="1293"/>
      <c r="BT105" s="1293"/>
      <c r="BU105" s="1293"/>
      <c r="BV105" s="1293"/>
      <c r="BW105" s="1293"/>
      <c r="BX105" s="1293"/>
      <c r="BY105" s="1293"/>
      <c r="BZ105" s="1293"/>
      <c r="CA105" s="1293"/>
      <c r="CB105" s="1293"/>
      <c r="CC105" s="1293"/>
      <c r="CD105" s="1293"/>
      <c r="CE105" s="1293"/>
      <c r="CF105" s="1293"/>
      <c r="CG105" s="1293"/>
    </row>
    <row r="106" spans="1:85" ht="15.75" hidden="1" outlineLevel="1">
      <c r="A106" s="1293"/>
      <c r="B106" s="1293"/>
      <c r="C106" s="1293" t="str">
        <f t="shared" si="94"/>
        <v>DRC</v>
      </c>
      <c r="D106" s="1699">
        <f t="shared" ref="D106:E115" si="95">D26-D68</f>
        <v>1.7792380379463566</v>
      </c>
      <c r="E106" s="1699">
        <f t="shared" si="95"/>
        <v>2.4324595253548011</v>
      </c>
      <c r="F106" s="1699"/>
      <c r="G106" s="1699"/>
      <c r="H106" s="1699"/>
      <c r="I106" s="1699"/>
      <c r="J106" s="1699"/>
      <c r="K106" s="1699"/>
      <c r="L106" s="1699"/>
      <c r="M106" s="1699"/>
      <c r="N106" s="1699"/>
      <c r="O106" s="1699"/>
      <c r="P106" s="1699"/>
      <c r="Q106" s="1699"/>
      <c r="R106" s="1699"/>
      <c r="S106" s="1699"/>
      <c r="T106" s="1699"/>
      <c r="U106" s="1293"/>
      <c r="V106" s="1293"/>
      <c r="W106" s="1293"/>
      <c r="X106" s="1293"/>
      <c r="Y106" s="1293"/>
      <c r="Z106" s="1293"/>
      <c r="AA106" s="1293"/>
      <c r="AB106" s="1293"/>
      <c r="AC106" s="1293"/>
      <c r="AD106" s="1293"/>
      <c r="AE106" s="1293"/>
      <c r="AF106" s="1293"/>
      <c r="AG106" s="1293"/>
      <c r="AH106" s="1293"/>
      <c r="AI106" s="1293"/>
      <c r="AJ106" s="1293"/>
      <c r="AK106" s="1293"/>
      <c r="AL106" s="1293"/>
      <c r="AM106" s="1293"/>
      <c r="AN106" s="1293"/>
      <c r="AO106" s="1293"/>
      <c r="AP106" s="1293"/>
      <c r="AQ106" s="1293"/>
      <c r="AR106" s="1293"/>
      <c r="AS106" s="1293"/>
      <c r="AT106" s="1293"/>
      <c r="AU106" s="1293"/>
      <c r="AV106" s="1293"/>
      <c r="AW106" s="1293"/>
      <c r="AX106" s="1293"/>
      <c r="AY106" s="1293"/>
      <c r="AZ106" s="1293"/>
      <c r="BA106" s="1293"/>
      <c r="BB106" s="1293"/>
      <c r="BC106" s="1293"/>
      <c r="BD106" s="1293"/>
      <c r="BE106" s="1293"/>
      <c r="BF106" s="1293"/>
      <c r="BG106" s="1293"/>
      <c r="BH106" s="1293"/>
      <c r="BI106" s="1293"/>
      <c r="BJ106" s="1293"/>
      <c r="BK106" s="1293"/>
      <c r="BL106" s="1293"/>
      <c r="BM106" s="1293"/>
      <c r="BN106" s="1293"/>
      <c r="BO106" s="1293"/>
      <c r="BP106" s="1293"/>
      <c r="BQ106" s="1293"/>
      <c r="BR106" s="1293"/>
      <c r="BS106" s="1293"/>
      <c r="BT106" s="1293"/>
      <c r="BU106" s="1293"/>
      <c r="BV106" s="1293"/>
      <c r="BW106" s="1293"/>
      <c r="BX106" s="1293"/>
      <c r="BY106" s="1293"/>
      <c r="BZ106" s="1293"/>
      <c r="CA106" s="1293"/>
      <c r="CB106" s="1293"/>
      <c r="CC106" s="1293"/>
      <c r="CD106" s="1293"/>
      <c r="CE106" s="1293"/>
      <c r="CF106" s="1293"/>
      <c r="CG106" s="1293"/>
    </row>
    <row r="107" spans="1:85" ht="15.75" hidden="1" outlineLevel="1">
      <c r="A107" s="1293"/>
      <c r="B107" s="1293"/>
      <c r="C107" s="1293" t="str">
        <f t="shared" si="94"/>
        <v>Ghana</v>
      </c>
      <c r="D107" s="1699">
        <f t="shared" si="95"/>
        <v>2.0364533558306448</v>
      </c>
      <c r="E107" s="1699">
        <f t="shared" si="95"/>
        <v>2.2402050324701577</v>
      </c>
      <c r="F107" s="1699">
        <f t="shared" ref="F107:H108" si="96">F27-F69</f>
        <v>1.309495300711859</v>
      </c>
      <c r="G107" s="1699">
        <f t="shared" si="96"/>
        <v>0.34945443243472596</v>
      </c>
      <c r="H107" s="1699">
        <f t="shared" si="96"/>
        <v>0</v>
      </c>
      <c r="I107" s="1699"/>
      <c r="J107" s="1699"/>
      <c r="K107" s="1699"/>
      <c r="L107" s="1699"/>
      <c r="M107" s="1699"/>
      <c r="N107" s="1699"/>
      <c r="O107" s="1699"/>
      <c r="P107" s="1699"/>
      <c r="Q107" s="1699"/>
      <c r="R107" s="1699"/>
      <c r="S107" s="1699"/>
      <c r="T107" s="1699"/>
      <c r="U107" s="1293"/>
      <c r="V107" s="1293"/>
      <c r="W107" s="1293"/>
      <c r="X107" s="1293"/>
      <c r="Y107" s="1293"/>
      <c r="Z107" s="1293"/>
      <c r="AA107" s="1293"/>
      <c r="AB107" s="1293"/>
      <c r="AC107" s="1293"/>
      <c r="AD107" s="1293"/>
      <c r="AE107" s="1293"/>
      <c r="AF107" s="1293"/>
      <c r="AG107" s="1293"/>
      <c r="AH107" s="1293"/>
      <c r="AI107" s="1293"/>
      <c r="AJ107" s="1293"/>
      <c r="AK107" s="1293"/>
      <c r="AL107" s="1293"/>
      <c r="AM107" s="1293"/>
      <c r="AN107" s="1293"/>
      <c r="AO107" s="1293"/>
      <c r="AP107" s="1293"/>
      <c r="AQ107" s="1293"/>
      <c r="AR107" s="1293"/>
      <c r="AS107" s="1293"/>
      <c r="AT107" s="1293"/>
      <c r="AU107" s="1293"/>
      <c r="AV107" s="1293"/>
      <c r="AW107" s="1293"/>
      <c r="AX107" s="1293"/>
      <c r="AY107" s="1293"/>
      <c r="AZ107" s="1293"/>
      <c r="BA107" s="1293"/>
      <c r="BB107" s="1293"/>
      <c r="BC107" s="1293"/>
      <c r="BD107" s="1293"/>
      <c r="BE107" s="1293"/>
      <c r="BF107" s="1293"/>
      <c r="BG107" s="1293"/>
      <c r="BH107" s="1293"/>
      <c r="BI107" s="1293"/>
      <c r="BJ107" s="1293"/>
      <c r="BK107" s="1293"/>
      <c r="BL107" s="1293"/>
      <c r="BM107" s="1293"/>
      <c r="BN107" s="1293"/>
      <c r="BO107" s="1293"/>
      <c r="BP107" s="1293"/>
      <c r="BQ107" s="1293"/>
      <c r="BR107" s="1293"/>
      <c r="BS107" s="1293"/>
      <c r="BT107" s="1293"/>
      <c r="BU107" s="1293"/>
      <c r="BV107" s="1293"/>
      <c r="BW107" s="1293"/>
      <c r="BX107" s="1293"/>
      <c r="BY107" s="1293"/>
      <c r="BZ107" s="1293"/>
      <c r="CA107" s="1293"/>
      <c r="CB107" s="1293"/>
      <c r="CC107" s="1293"/>
      <c r="CD107" s="1293"/>
      <c r="CE107" s="1293"/>
      <c r="CF107" s="1293"/>
      <c r="CG107" s="1293"/>
    </row>
    <row r="108" spans="1:85" ht="15.75" hidden="1" outlineLevel="1">
      <c r="A108" s="1293"/>
      <c r="B108" s="1293"/>
      <c r="C108" s="1293" t="str">
        <f t="shared" si="94"/>
        <v>Rwanda</v>
      </c>
      <c r="D108" s="1699">
        <f t="shared" si="95"/>
        <v>0.88318722910559444</v>
      </c>
      <c r="E108" s="1699">
        <f t="shared" si="95"/>
        <v>1.0248607272845973</v>
      </c>
      <c r="F108" s="1699">
        <f t="shared" si="96"/>
        <v>0.55008476642458248</v>
      </c>
      <c r="G108" s="1699">
        <f t="shared" si="96"/>
        <v>0.2139977509547677</v>
      </c>
      <c r="H108" s="1699">
        <f t="shared" si="96"/>
        <v>0</v>
      </c>
      <c r="I108" s="1699"/>
      <c r="J108" s="1699"/>
      <c r="K108" s="1699"/>
      <c r="L108" s="1699"/>
      <c r="M108" s="1699"/>
      <c r="N108" s="1699"/>
      <c r="O108" s="1699"/>
      <c r="P108" s="1699"/>
      <c r="Q108" s="1699"/>
      <c r="R108" s="1699"/>
      <c r="S108" s="1699"/>
      <c r="T108" s="1699"/>
      <c r="U108" s="1293"/>
      <c r="V108" s="1293"/>
      <c r="W108" s="1293"/>
      <c r="X108" s="1293"/>
      <c r="Y108" s="1293"/>
      <c r="Z108" s="1293"/>
      <c r="AA108" s="1293"/>
      <c r="AB108" s="1293"/>
      <c r="AC108" s="1293"/>
      <c r="AD108" s="1293"/>
      <c r="AE108" s="1293"/>
      <c r="AF108" s="1293"/>
      <c r="AG108" s="1293"/>
      <c r="AH108" s="1293"/>
      <c r="AI108" s="1293"/>
      <c r="AJ108" s="1293"/>
      <c r="AK108" s="1293"/>
      <c r="AL108" s="1293"/>
      <c r="AM108" s="1293"/>
      <c r="AN108" s="1293"/>
      <c r="AO108" s="1293"/>
      <c r="AP108" s="1293"/>
      <c r="AQ108" s="1293"/>
      <c r="AR108" s="1293"/>
      <c r="AS108" s="1293"/>
      <c r="AT108" s="1293"/>
      <c r="AU108" s="1293"/>
      <c r="AV108" s="1293"/>
      <c r="AW108" s="1293"/>
      <c r="AX108" s="1293"/>
      <c r="AY108" s="1293"/>
      <c r="AZ108" s="1293"/>
      <c r="BA108" s="1293"/>
      <c r="BB108" s="1293"/>
      <c r="BC108" s="1293"/>
      <c r="BD108" s="1293"/>
      <c r="BE108" s="1293"/>
      <c r="BF108" s="1293"/>
      <c r="BG108" s="1293"/>
      <c r="BH108" s="1293"/>
      <c r="BI108" s="1293"/>
      <c r="BJ108" s="1293"/>
      <c r="BK108" s="1293"/>
      <c r="BL108" s="1293"/>
      <c r="BM108" s="1293"/>
      <c r="BN108" s="1293"/>
      <c r="BO108" s="1293"/>
      <c r="BP108" s="1293"/>
      <c r="BQ108" s="1293"/>
      <c r="BR108" s="1293"/>
      <c r="BS108" s="1293"/>
      <c r="BT108" s="1293"/>
      <c r="BU108" s="1293"/>
      <c r="BV108" s="1293"/>
      <c r="BW108" s="1293"/>
      <c r="BX108" s="1293"/>
      <c r="BY108" s="1293"/>
      <c r="BZ108" s="1293"/>
      <c r="CA108" s="1293"/>
      <c r="CB108" s="1293"/>
      <c r="CC108" s="1293"/>
      <c r="CD108" s="1293"/>
      <c r="CE108" s="1293"/>
      <c r="CF108" s="1293"/>
      <c r="CG108" s="1293"/>
    </row>
    <row r="109" spans="1:85" ht="15.75" hidden="1" outlineLevel="1">
      <c r="A109" s="1293"/>
      <c r="B109" s="1293"/>
      <c r="C109" s="1293" t="str">
        <f t="shared" si="94"/>
        <v>Senegal</v>
      </c>
      <c r="D109" s="1699">
        <f t="shared" ca="1" si="95"/>
        <v>1.6032318380684245</v>
      </c>
      <c r="E109" s="1699">
        <f t="shared" ca="1" si="95"/>
        <v>1.8224754134416372</v>
      </c>
      <c r="F109" s="1699">
        <f t="shared" ref="F109:F115" ca="1" si="97">F29-F71</f>
        <v>1.0960042603001909</v>
      </c>
      <c r="G109" s="1699"/>
      <c r="H109" s="1699"/>
      <c r="I109" s="1699"/>
      <c r="J109" s="1699"/>
      <c r="K109" s="1699"/>
      <c r="L109" s="1699"/>
      <c r="M109" s="1699"/>
      <c r="N109" s="1699"/>
      <c r="O109" s="1699"/>
      <c r="P109" s="1699"/>
      <c r="Q109" s="1699"/>
      <c r="R109" s="1699"/>
      <c r="S109" s="1699"/>
      <c r="T109" s="1699"/>
      <c r="U109" s="1293"/>
      <c r="V109" s="1293"/>
      <c r="W109" s="1293"/>
      <c r="X109" s="1293"/>
      <c r="Y109" s="1293"/>
      <c r="Z109" s="1293"/>
      <c r="AA109" s="1293"/>
      <c r="AB109" s="1293"/>
      <c r="AC109" s="1293"/>
      <c r="AD109" s="1293"/>
      <c r="AE109" s="1293"/>
      <c r="AF109" s="1293"/>
      <c r="AG109" s="1293"/>
      <c r="AH109" s="1293"/>
      <c r="AI109" s="1293"/>
      <c r="AJ109" s="1293"/>
      <c r="AK109" s="1293"/>
      <c r="AL109" s="1293"/>
      <c r="AM109" s="1293"/>
      <c r="AN109" s="1293"/>
      <c r="AO109" s="1293"/>
      <c r="AP109" s="1293"/>
      <c r="AQ109" s="1293"/>
      <c r="AR109" s="1293"/>
      <c r="AS109" s="1293"/>
      <c r="AT109" s="1293"/>
      <c r="AU109" s="1293"/>
      <c r="AV109" s="1293"/>
      <c r="AW109" s="1293"/>
      <c r="AX109" s="1293"/>
      <c r="AY109" s="1293"/>
      <c r="AZ109" s="1293"/>
      <c r="BA109" s="1293"/>
      <c r="BB109" s="1293"/>
      <c r="BC109" s="1293"/>
      <c r="BD109" s="1293"/>
      <c r="BE109" s="1293"/>
      <c r="BF109" s="1293"/>
      <c r="BG109" s="1293"/>
      <c r="BH109" s="1293"/>
      <c r="BI109" s="1293"/>
      <c r="BJ109" s="1293"/>
      <c r="BK109" s="1293"/>
      <c r="BL109" s="1293"/>
      <c r="BM109" s="1293"/>
      <c r="BN109" s="1293"/>
      <c r="BO109" s="1293"/>
      <c r="BP109" s="1293"/>
      <c r="BQ109" s="1293"/>
      <c r="BR109" s="1293"/>
      <c r="BS109" s="1293"/>
      <c r="BT109" s="1293"/>
      <c r="BU109" s="1293"/>
      <c r="BV109" s="1293"/>
      <c r="BW109" s="1293"/>
      <c r="BX109" s="1293"/>
      <c r="BY109" s="1293"/>
      <c r="BZ109" s="1293"/>
      <c r="CA109" s="1293"/>
      <c r="CB109" s="1293"/>
      <c r="CC109" s="1293"/>
      <c r="CD109" s="1293"/>
      <c r="CE109" s="1293"/>
      <c r="CF109" s="1293"/>
      <c r="CG109" s="1293"/>
    </row>
    <row r="110" spans="1:85" ht="15.75" hidden="1" outlineLevel="1">
      <c r="A110" s="1293"/>
      <c r="B110" s="1293"/>
      <c r="C110" s="1293" t="str">
        <f t="shared" si="94"/>
        <v>Tanzania</v>
      </c>
      <c r="D110" s="1699">
        <f t="shared" si="95"/>
        <v>5.1329783215457496</v>
      </c>
      <c r="E110" s="1699">
        <f t="shared" si="95"/>
        <v>5.7763682871299693</v>
      </c>
      <c r="F110" s="1699">
        <f t="shared" si="97"/>
        <v>2.9022510734408229</v>
      </c>
      <c r="G110" s="1699">
        <f t="shared" ref="G110:T110" si="98">G30-G72</f>
        <v>1.1618993818522085</v>
      </c>
      <c r="H110" s="1699">
        <f t="shared" si="98"/>
        <v>0.58787954468670023</v>
      </c>
      <c r="I110" s="1699">
        <f t="shared" si="98"/>
        <v>0.80000000000001137</v>
      </c>
      <c r="J110" s="1699">
        <f t="shared" ca="1" si="98"/>
        <v>3.3999999999999773</v>
      </c>
      <c r="K110" s="1699">
        <f t="shared" si="98"/>
        <v>6</v>
      </c>
      <c r="L110" s="1699">
        <f t="shared" si="98"/>
        <v>0</v>
      </c>
      <c r="M110" s="1699">
        <f t="shared" si="98"/>
        <v>0</v>
      </c>
      <c r="N110" s="1699">
        <f t="shared" si="98"/>
        <v>0</v>
      </c>
      <c r="O110" s="1699">
        <f t="shared" si="98"/>
        <v>0</v>
      </c>
      <c r="P110" s="1699">
        <f t="shared" si="98"/>
        <v>0</v>
      </c>
      <c r="Q110" s="1699">
        <f t="shared" si="98"/>
        <v>0</v>
      </c>
      <c r="R110" s="1699">
        <f t="shared" si="98"/>
        <v>0</v>
      </c>
      <c r="S110" s="1699">
        <f t="shared" si="98"/>
        <v>0</v>
      </c>
      <c r="T110" s="1699">
        <f t="shared" si="98"/>
        <v>0</v>
      </c>
      <c r="U110" s="1293"/>
      <c r="V110" s="1293"/>
      <c r="W110" s="1293"/>
      <c r="X110" s="1293"/>
      <c r="Y110" s="1293"/>
      <c r="Z110" s="1293"/>
      <c r="AA110" s="1293"/>
      <c r="AB110" s="1293"/>
      <c r="AC110" s="1293"/>
      <c r="AD110" s="1293"/>
      <c r="AE110" s="1293"/>
      <c r="AF110" s="1293"/>
      <c r="AG110" s="1293"/>
      <c r="AH110" s="1293"/>
      <c r="AI110" s="1293"/>
      <c r="AJ110" s="1293"/>
      <c r="AK110" s="1293"/>
      <c r="AL110" s="1293"/>
      <c r="AM110" s="1293"/>
      <c r="AN110" s="1293"/>
      <c r="AO110" s="1293"/>
      <c r="AP110" s="1293"/>
      <c r="AQ110" s="1293"/>
      <c r="AR110" s="1293"/>
      <c r="AS110" s="1293"/>
      <c r="AT110" s="1293"/>
      <c r="AU110" s="1293"/>
      <c r="AV110" s="1293"/>
      <c r="AW110" s="1293"/>
      <c r="AX110" s="1293"/>
      <c r="AY110" s="1293"/>
      <c r="AZ110" s="1293"/>
      <c r="BA110" s="1293"/>
      <c r="BB110" s="1293"/>
      <c r="BC110" s="1293"/>
      <c r="BD110" s="1293"/>
      <c r="BE110" s="1293"/>
      <c r="BF110" s="1293"/>
      <c r="BG110" s="1293"/>
      <c r="BH110" s="1293"/>
      <c r="BI110" s="1293"/>
      <c r="BJ110" s="1293"/>
      <c r="BK110" s="1293"/>
      <c r="BL110" s="1293"/>
      <c r="BM110" s="1293"/>
      <c r="BN110" s="1293"/>
      <c r="BO110" s="1293"/>
      <c r="BP110" s="1293"/>
      <c r="BQ110" s="1293"/>
      <c r="BR110" s="1293"/>
      <c r="BS110" s="1293"/>
      <c r="BT110" s="1293"/>
      <c r="BU110" s="1293"/>
      <c r="BV110" s="1293"/>
      <c r="BW110" s="1293"/>
      <c r="BX110" s="1293"/>
      <c r="BY110" s="1293"/>
      <c r="BZ110" s="1293"/>
      <c r="CA110" s="1293"/>
      <c r="CB110" s="1293"/>
      <c r="CC110" s="1293"/>
      <c r="CD110" s="1293"/>
      <c r="CE110" s="1293"/>
      <c r="CF110" s="1293"/>
      <c r="CG110" s="1293"/>
    </row>
    <row r="111" spans="1:85" ht="15.75" hidden="1" outlineLevel="1">
      <c r="A111" s="1293"/>
      <c r="B111" s="1293"/>
      <c r="C111" s="1293" t="str">
        <f t="shared" si="94"/>
        <v>Zantel</v>
      </c>
      <c r="D111" s="1699">
        <f t="shared" si="95"/>
        <v>0</v>
      </c>
      <c r="E111" s="1699">
        <f t="shared" si="95"/>
        <v>0.14481146123724287</v>
      </c>
      <c r="F111" s="1699">
        <f t="shared" si="97"/>
        <v>0.28292843158429548</v>
      </c>
      <c r="G111" s="1699">
        <f t="shared" ref="G111:T111" ca="1" si="99">G31-G73</f>
        <v>0.11254615582499738</v>
      </c>
      <c r="H111" s="1699">
        <f t="shared" ca="1" si="99"/>
        <v>5.3443594971518849E-2</v>
      </c>
      <c r="I111" s="1699">
        <f t="shared" si="99"/>
        <v>0</v>
      </c>
      <c r="J111" s="1699">
        <f t="shared" ca="1" si="99"/>
        <v>-2.5999999999999943</v>
      </c>
      <c r="K111" s="1699">
        <f t="shared" ca="1" si="99"/>
        <v>-14</v>
      </c>
      <c r="L111" s="1699">
        <f t="shared" si="99"/>
        <v>0</v>
      </c>
      <c r="M111" s="1699">
        <f t="shared" si="99"/>
        <v>0</v>
      </c>
      <c r="N111" s="1699">
        <f t="shared" si="99"/>
        <v>0</v>
      </c>
      <c r="O111" s="1699">
        <f t="shared" si="99"/>
        <v>0</v>
      </c>
      <c r="P111" s="1699">
        <f t="shared" si="99"/>
        <v>0</v>
      </c>
      <c r="Q111" s="1699">
        <f t="shared" si="99"/>
        <v>0</v>
      </c>
      <c r="R111" s="1699">
        <f t="shared" si="99"/>
        <v>0</v>
      </c>
      <c r="S111" s="1699">
        <f t="shared" si="99"/>
        <v>0</v>
      </c>
      <c r="T111" s="1699">
        <f t="shared" si="99"/>
        <v>0</v>
      </c>
      <c r="U111" s="1293"/>
      <c r="V111" s="1293"/>
      <c r="W111" s="1293"/>
      <c r="X111" s="1293"/>
      <c r="Y111" s="1293"/>
      <c r="Z111" s="1293"/>
      <c r="AA111" s="1293"/>
      <c r="AB111" s="1293"/>
      <c r="AC111" s="1293"/>
      <c r="AD111" s="1293"/>
      <c r="AE111" s="1293"/>
      <c r="AF111" s="1293"/>
      <c r="AG111" s="1293"/>
      <c r="AH111" s="1293"/>
      <c r="AI111" s="1293"/>
      <c r="AJ111" s="1293"/>
      <c r="AK111" s="1293"/>
      <c r="AL111" s="1293"/>
      <c r="AM111" s="1293"/>
      <c r="AN111" s="1293"/>
      <c r="AO111" s="1293"/>
      <c r="AP111" s="1293"/>
      <c r="AQ111" s="1293"/>
      <c r="AR111" s="1293"/>
      <c r="AS111" s="1293"/>
      <c r="AT111" s="1293"/>
      <c r="AU111" s="1293"/>
      <c r="AV111" s="1293"/>
      <c r="AW111" s="1293"/>
      <c r="AX111" s="1293"/>
      <c r="AY111" s="1293"/>
      <c r="AZ111" s="1293"/>
      <c r="BA111" s="1293"/>
      <c r="BB111" s="1293"/>
      <c r="BC111" s="1293"/>
      <c r="BD111" s="1293"/>
      <c r="BE111" s="1293"/>
      <c r="BF111" s="1293"/>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c r="BZ111" s="1293"/>
      <c r="CA111" s="1293"/>
      <c r="CB111" s="1293"/>
      <c r="CC111" s="1293"/>
      <c r="CD111" s="1293"/>
      <c r="CE111" s="1293"/>
      <c r="CF111" s="1293"/>
      <c r="CG111" s="1293"/>
    </row>
    <row r="112" spans="1:85" ht="15.75" hidden="1" outlineLevel="1">
      <c r="A112" s="1293"/>
      <c r="B112" s="1293"/>
      <c r="C112" s="1331" t="str">
        <f t="shared" si="94"/>
        <v>Balancing item</v>
      </c>
      <c r="D112" s="1703">
        <f t="shared" ca="1" si="95"/>
        <v>-2.4649768323570243E-3</v>
      </c>
      <c r="E112" s="1703">
        <f t="shared" ca="1" si="95"/>
        <v>1.3158142025986308E-3</v>
      </c>
      <c r="F112" s="1703">
        <f t="shared" ca="1" si="97"/>
        <v>8.6703322757258894E-3</v>
      </c>
      <c r="G112" s="1703">
        <f t="shared" ref="G112:T112" si="100">G32-G74</f>
        <v>0</v>
      </c>
      <c r="H112" s="1703">
        <f t="shared" si="100"/>
        <v>0</v>
      </c>
      <c r="I112" s="1703">
        <f t="shared" si="100"/>
        <v>0</v>
      </c>
      <c r="J112" s="1703">
        <f t="shared" si="100"/>
        <v>0</v>
      </c>
      <c r="K112" s="1703">
        <f t="shared" si="100"/>
        <v>0</v>
      </c>
      <c r="L112" s="1703">
        <f t="shared" si="100"/>
        <v>0</v>
      </c>
      <c r="M112" s="1703">
        <f t="shared" si="100"/>
        <v>0</v>
      </c>
      <c r="N112" s="1703">
        <f t="shared" si="100"/>
        <v>0</v>
      </c>
      <c r="O112" s="1703">
        <f t="shared" si="100"/>
        <v>0</v>
      </c>
      <c r="P112" s="1703">
        <f t="shared" si="100"/>
        <v>0</v>
      </c>
      <c r="Q112" s="1703">
        <f t="shared" si="100"/>
        <v>0</v>
      </c>
      <c r="R112" s="1703">
        <f t="shared" si="100"/>
        <v>0</v>
      </c>
      <c r="S112" s="1703">
        <f t="shared" si="100"/>
        <v>0</v>
      </c>
      <c r="T112" s="1703">
        <f t="shared" si="100"/>
        <v>0</v>
      </c>
      <c r="U112" s="1293"/>
      <c r="V112" s="1293"/>
      <c r="W112" s="1293"/>
      <c r="X112" s="1293"/>
      <c r="Y112" s="1293"/>
      <c r="Z112" s="1293"/>
      <c r="AA112" s="1293"/>
      <c r="AB112" s="1293"/>
      <c r="AC112" s="1293"/>
      <c r="AD112" s="1293"/>
      <c r="AE112" s="1293"/>
      <c r="AF112" s="1293"/>
      <c r="AG112" s="1293"/>
      <c r="AH112" s="1293"/>
      <c r="AI112" s="1293"/>
      <c r="AJ112" s="1293"/>
      <c r="AK112" s="1293"/>
      <c r="AL112" s="1293"/>
      <c r="AM112" s="1293"/>
      <c r="AN112" s="1293"/>
      <c r="AO112" s="1293"/>
      <c r="AP112" s="1293"/>
      <c r="AQ112" s="1293"/>
      <c r="AR112" s="1293"/>
      <c r="AS112" s="1293"/>
      <c r="AT112" s="1293"/>
      <c r="AU112" s="1293"/>
      <c r="AV112" s="1293"/>
      <c r="AW112" s="1293"/>
      <c r="AX112" s="1293"/>
      <c r="AY112" s="1293"/>
      <c r="AZ112" s="1293"/>
      <c r="BA112" s="1293"/>
      <c r="BB112" s="1293"/>
      <c r="BC112" s="1293"/>
      <c r="BD112" s="1293"/>
      <c r="BE112" s="1293"/>
      <c r="BF112" s="1293"/>
      <c r="BG112" s="1293"/>
      <c r="BH112" s="1293"/>
      <c r="BI112" s="1293"/>
      <c r="BJ112" s="1293"/>
      <c r="BK112" s="1293"/>
      <c r="BL112" s="1293"/>
      <c r="BM112" s="1293"/>
      <c r="BN112" s="1293"/>
      <c r="BO112" s="1293"/>
      <c r="BP112" s="1293"/>
      <c r="BQ112" s="1293"/>
      <c r="BR112" s="1293"/>
      <c r="BS112" s="1293"/>
      <c r="BT112" s="1293"/>
      <c r="BU112" s="1293"/>
      <c r="BV112" s="1293"/>
      <c r="BW112" s="1293"/>
      <c r="BX112" s="1293"/>
      <c r="BY112" s="1293"/>
      <c r="BZ112" s="1293"/>
      <c r="CA112" s="1293"/>
      <c r="CB112" s="1293"/>
      <c r="CC112" s="1293"/>
      <c r="CD112" s="1293"/>
      <c r="CE112" s="1293"/>
      <c r="CF112" s="1293"/>
      <c r="CG112" s="1293"/>
    </row>
    <row r="113" spans="1:85" ht="15.75" hidden="1" outlineLevel="1">
      <c r="A113" s="1293"/>
      <c r="B113" s="1293"/>
      <c r="C113" s="1293" t="str">
        <f t="shared" si="94"/>
        <v>Africa</v>
      </c>
      <c r="D113" s="1699">
        <f t="shared" si="95"/>
        <v>13.943319723811896</v>
      </c>
      <c r="E113" s="1699">
        <f t="shared" si="95"/>
        <v>15.892798129040102</v>
      </c>
      <c r="F113" s="1699">
        <f t="shared" ca="1" si="97"/>
        <v>7.4936532664763718</v>
      </c>
      <c r="G113" s="1699">
        <f t="shared" ref="G113:T113" ca="1" si="101">G33-G75</f>
        <v>3.0000000000001137</v>
      </c>
      <c r="H113" s="1699">
        <f t="shared" ca="1" si="101"/>
        <v>1.5</v>
      </c>
      <c r="I113" s="1699">
        <f t="shared" si="101"/>
        <v>0</v>
      </c>
      <c r="J113" s="1699">
        <f t="shared" si="101"/>
        <v>0</v>
      </c>
      <c r="K113" s="1699">
        <f t="shared" si="101"/>
        <v>0</v>
      </c>
      <c r="L113" s="1699">
        <f t="shared" si="101"/>
        <v>0</v>
      </c>
      <c r="M113" s="1699">
        <f t="shared" si="101"/>
        <v>0</v>
      </c>
      <c r="N113" s="1699">
        <f t="shared" si="101"/>
        <v>0</v>
      </c>
      <c r="O113" s="1699">
        <f t="shared" si="101"/>
        <v>0</v>
      </c>
      <c r="P113" s="1699">
        <f t="shared" si="101"/>
        <v>0</v>
      </c>
      <c r="Q113" s="1699">
        <f t="shared" si="101"/>
        <v>0</v>
      </c>
      <c r="R113" s="1699">
        <f t="shared" si="101"/>
        <v>0</v>
      </c>
      <c r="S113" s="1699">
        <f t="shared" si="101"/>
        <v>0</v>
      </c>
      <c r="T113" s="1699">
        <f t="shared" si="101"/>
        <v>0</v>
      </c>
      <c r="U113" s="1293"/>
      <c r="V113" s="1293"/>
      <c r="W113" s="1293"/>
      <c r="X113" s="1293"/>
      <c r="Y113" s="1293"/>
      <c r="Z113" s="1293"/>
      <c r="AA113" s="1293"/>
      <c r="AB113" s="1293"/>
      <c r="AC113" s="1293"/>
      <c r="AD113" s="1293"/>
      <c r="AE113" s="1293"/>
      <c r="AF113" s="1293"/>
      <c r="AG113" s="1293"/>
      <c r="AH113" s="1293"/>
      <c r="AI113" s="1293"/>
      <c r="AJ113" s="1293"/>
      <c r="AK113" s="1293"/>
      <c r="AL113" s="1293"/>
      <c r="AM113" s="1293"/>
      <c r="AN113" s="1293"/>
      <c r="AO113" s="1293"/>
      <c r="AP113" s="1293"/>
      <c r="AQ113" s="1293"/>
      <c r="AR113" s="1293"/>
      <c r="AS113" s="1293"/>
      <c r="AT113" s="1293"/>
      <c r="AU113" s="1293"/>
      <c r="AV113" s="1293"/>
      <c r="AW113" s="1293"/>
      <c r="AX113" s="1293"/>
      <c r="AY113" s="1293"/>
      <c r="AZ113" s="1293"/>
      <c r="BA113" s="1293"/>
      <c r="BB113" s="1293"/>
      <c r="BC113" s="1293"/>
      <c r="BD113" s="1293"/>
      <c r="BE113" s="1293"/>
      <c r="BF113" s="1293"/>
      <c r="BG113" s="1293"/>
      <c r="BH113" s="1293"/>
      <c r="BI113" s="1293"/>
      <c r="BJ113" s="1293"/>
      <c r="BK113" s="1293"/>
      <c r="BL113" s="1293"/>
      <c r="BM113" s="1293"/>
      <c r="BN113" s="1293"/>
      <c r="BO113" s="1293"/>
      <c r="BP113" s="1293"/>
      <c r="BQ113" s="1293"/>
      <c r="BR113" s="1293"/>
      <c r="BS113" s="1293"/>
      <c r="BT113" s="1293"/>
      <c r="BU113" s="1293"/>
      <c r="BV113" s="1293"/>
      <c r="BW113" s="1293"/>
      <c r="BX113" s="1293"/>
      <c r="BY113" s="1293"/>
      <c r="BZ113" s="1293"/>
      <c r="CA113" s="1293"/>
      <c r="CB113" s="1293"/>
      <c r="CC113" s="1293"/>
      <c r="CD113" s="1293"/>
      <c r="CE113" s="1293"/>
      <c r="CF113" s="1293"/>
      <c r="CG113" s="1293"/>
    </row>
    <row r="114" spans="1:85" ht="15.75" collapsed="1">
      <c r="A114" s="1293"/>
      <c r="B114" s="1293"/>
      <c r="C114" s="1331" t="str">
        <f t="shared" si="94"/>
        <v>Unallocated</v>
      </c>
      <c r="D114" s="1703">
        <f t="shared" si="95"/>
        <v>0.10201078567979494</v>
      </c>
      <c r="E114" s="1703">
        <f t="shared" si="95"/>
        <v>1.3642420526593924E-12</v>
      </c>
      <c r="F114" s="1703">
        <f t="shared" ca="1" si="97"/>
        <v>0.43173823880817963</v>
      </c>
      <c r="G114" s="1703">
        <f t="shared" ref="G114:T114" ca="1" si="102">G34-G76</f>
        <v>20</v>
      </c>
      <c r="H114" s="1703">
        <f t="shared" ca="1" si="102"/>
        <v>0</v>
      </c>
      <c r="I114" s="1703">
        <f t="shared" si="102"/>
        <v>0</v>
      </c>
      <c r="J114" s="1703">
        <f t="shared" si="102"/>
        <v>24</v>
      </c>
      <c r="K114" s="1703">
        <f t="shared" ca="1" si="102"/>
        <v>-4</v>
      </c>
      <c r="L114" s="1703">
        <f t="shared" si="102"/>
        <v>-0.58660000000080004</v>
      </c>
      <c r="M114" s="1703">
        <f t="shared" si="102"/>
        <v>0.94470000000029586</v>
      </c>
      <c r="N114" s="1703">
        <f t="shared" si="102"/>
        <v>-1.0516000000004908</v>
      </c>
      <c r="O114" s="1703">
        <f t="shared" si="102"/>
        <v>0</v>
      </c>
      <c r="P114" s="1703">
        <f t="shared" si="102"/>
        <v>0</v>
      </c>
      <c r="Q114" s="1703">
        <f t="shared" si="102"/>
        <v>0</v>
      </c>
      <c r="R114" s="1703">
        <f t="shared" si="102"/>
        <v>0</v>
      </c>
      <c r="S114" s="1703">
        <f t="shared" si="102"/>
        <v>0</v>
      </c>
      <c r="T114" s="1703">
        <f t="shared" si="102"/>
        <v>0</v>
      </c>
      <c r="U114" s="1293"/>
      <c r="V114" s="1293"/>
      <c r="W114" s="1293"/>
      <c r="X114" s="1293"/>
      <c r="Y114" s="1293"/>
      <c r="Z114" s="1293"/>
      <c r="AA114" s="1293"/>
      <c r="AB114" s="1293"/>
      <c r="AC114" s="1293"/>
      <c r="AD114" s="1293"/>
      <c r="AE114" s="1293"/>
      <c r="AF114" s="1293"/>
      <c r="AG114" s="1293"/>
      <c r="AH114" s="1293"/>
      <c r="AI114" s="1293"/>
      <c r="AJ114" s="1293"/>
      <c r="AK114" s="1293"/>
      <c r="AL114" s="1293"/>
      <c r="AM114" s="1293"/>
      <c r="AN114" s="1293"/>
      <c r="AO114" s="1293"/>
      <c r="AP114" s="1293"/>
      <c r="AQ114" s="1293"/>
      <c r="AR114" s="1293"/>
      <c r="AS114" s="1293"/>
      <c r="AT114" s="1293"/>
      <c r="AU114" s="1293"/>
      <c r="AV114" s="1293"/>
      <c r="AW114" s="1293"/>
      <c r="AX114" s="1293"/>
      <c r="AY114" s="1293"/>
      <c r="AZ114" s="1293"/>
      <c r="BA114" s="1293"/>
      <c r="BB114" s="1293"/>
      <c r="BC114" s="1293"/>
      <c r="BD114" s="1293"/>
      <c r="BE114" s="1293"/>
      <c r="BF114" s="1293"/>
      <c r="BG114" s="1293"/>
      <c r="BH114" s="1293"/>
      <c r="BI114" s="1293"/>
      <c r="BJ114" s="1293"/>
      <c r="BK114" s="1293"/>
      <c r="BL114" s="1293"/>
      <c r="BM114" s="1293"/>
      <c r="BN114" s="1293"/>
      <c r="BO114" s="1293"/>
      <c r="BP114" s="1293"/>
      <c r="BQ114" s="1293"/>
      <c r="BR114" s="1293"/>
      <c r="BS114" s="1293"/>
      <c r="BT114" s="1293"/>
      <c r="BU114" s="1293"/>
      <c r="BV114" s="1293"/>
      <c r="BW114" s="1293"/>
      <c r="BX114" s="1293"/>
      <c r="BY114" s="1293"/>
      <c r="BZ114" s="1293"/>
      <c r="CA114" s="1293"/>
      <c r="CB114" s="1293"/>
      <c r="CC114" s="1293"/>
      <c r="CD114" s="1293"/>
      <c r="CE114" s="1293"/>
      <c r="CF114" s="1293"/>
      <c r="CG114" s="1293"/>
    </row>
    <row r="115" spans="1:85" ht="15.75">
      <c r="A115" s="1293"/>
      <c r="B115" s="1293"/>
      <c r="C115" s="1334" t="s">
        <v>4517</v>
      </c>
      <c r="D115" s="1723">
        <f t="shared" si="95"/>
        <v>478.58824121561338</v>
      </c>
      <c r="E115" s="1723">
        <f t="shared" si="95"/>
        <v>520.71523694061216</v>
      </c>
      <c r="F115" s="1723">
        <f t="shared" si="97"/>
        <v>394.37311571386272</v>
      </c>
      <c r="G115" s="1723">
        <f t="shared" ref="G115:T115" si="103">G35-G77</f>
        <v>366</v>
      </c>
      <c r="H115" s="1723">
        <f t="shared" ca="1" si="103"/>
        <v>417</v>
      </c>
      <c r="I115" s="1723">
        <f t="shared" si="103"/>
        <v>450</v>
      </c>
      <c r="J115" s="1723">
        <f t="shared" si="103"/>
        <v>496</v>
      </c>
      <c r="K115" s="1723">
        <f t="shared" si="103"/>
        <v>503</v>
      </c>
      <c r="L115" s="1723">
        <f t="shared" si="103"/>
        <v>453.78199999999924</v>
      </c>
      <c r="M115" s="1723">
        <f t="shared" si="103"/>
        <v>411</v>
      </c>
      <c r="N115" s="1723">
        <f t="shared" si="103"/>
        <v>386.98369999999977</v>
      </c>
      <c r="O115" s="1723">
        <f t="shared" si="103"/>
        <v>382.93494542809549</v>
      </c>
      <c r="P115" s="1723">
        <f t="shared" si="103"/>
        <v>387.16920042086167</v>
      </c>
      <c r="Q115" s="1723">
        <f t="shared" si="103"/>
        <v>391.46671694644738</v>
      </c>
      <c r="R115" s="1723">
        <f t="shared" si="103"/>
        <v>395.82854812098412</v>
      </c>
      <c r="S115" s="1723">
        <f t="shared" si="103"/>
        <v>400.25576602278306</v>
      </c>
      <c r="T115" s="1723">
        <f t="shared" si="103"/>
        <v>404.74946205077867</v>
      </c>
      <c r="U115" s="1293"/>
      <c r="V115" s="1293"/>
      <c r="W115" s="1293"/>
      <c r="X115" s="1293"/>
      <c r="Y115" s="1293"/>
      <c r="Z115" s="1293"/>
      <c r="AA115" s="1293"/>
      <c r="AB115" s="1293"/>
      <c r="AC115" s="1293"/>
      <c r="AD115" s="1293"/>
      <c r="AE115" s="1293"/>
      <c r="AF115" s="1293"/>
      <c r="AG115" s="1293"/>
      <c r="AH115" s="1293"/>
      <c r="AI115" s="1293"/>
      <c r="AJ115" s="1293"/>
      <c r="AK115" s="1293"/>
      <c r="AL115" s="1293"/>
      <c r="AM115" s="1293"/>
      <c r="AN115" s="1293"/>
      <c r="AO115" s="1293"/>
      <c r="AP115" s="1293"/>
      <c r="AQ115" s="1293"/>
      <c r="AR115" s="1293"/>
      <c r="AS115" s="1293"/>
      <c r="AT115" s="1293"/>
      <c r="AU115" s="1293"/>
      <c r="AV115" s="1293"/>
      <c r="AW115" s="1293"/>
      <c r="AX115" s="1293"/>
      <c r="AY115" s="1293"/>
      <c r="AZ115" s="1293"/>
      <c r="BA115" s="1293"/>
      <c r="BB115" s="1293"/>
      <c r="BC115" s="1293"/>
      <c r="BD115" s="1293"/>
      <c r="BE115" s="1293"/>
      <c r="BF115" s="1293"/>
      <c r="BG115" s="1293"/>
      <c r="BH115" s="1293"/>
      <c r="BI115" s="1293"/>
      <c r="BJ115" s="1293"/>
      <c r="BK115" s="1293"/>
      <c r="BL115" s="1293"/>
      <c r="BM115" s="1293"/>
      <c r="BN115" s="1293"/>
      <c r="BO115" s="1293"/>
      <c r="BP115" s="1293"/>
      <c r="BQ115" s="1293"/>
      <c r="BR115" s="1293"/>
      <c r="BS115" s="1293"/>
      <c r="BT115" s="1293"/>
      <c r="BU115" s="1293"/>
      <c r="BV115" s="1293"/>
      <c r="BW115" s="1293"/>
      <c r="BX115" s="1293"/>
      <c r="BY115" s="1293"/>
      <c r="BZ115" s="1293"/>
      <c r="CA115" s="1293"/>
      <c r="CB115" s="1293"/>
      <c r="CC115" s="1293"/>
      <c r="CD115" s="1293"/>
      <c r="CE115" s="1293"/>
      <c r="CF115" s="1293"/>
      <c r="CG115" s="1293"/>
    </row>
    <row r="116" spans="1:85" ht="15.75">
      <c r="A116" s="1293"/>
      <c r="B116" s="1293"/>
      <c r="C116" s="1334" t="s">
        <v>945</v>
      </c>
      <c r="D116" s="2336"/>
      <c r="E116" s="1335">
        <f>E115/D115-1</f>
        <v>8.8023465887912877E-2</v>
      </c>
      <c r="F116" s="2013">
        <f t="shared" ref="F116" si="104">F115/E115-1</f>
        <v>-0.24263188834084148</v>
      </c>
      <c r="G116" s="1335">
        <f t="shared" ref="G116" si="105">G115/F115-1</f>
        <v>-7.1944852687293226E-2</v>
      </c>
      <c r="H116" s="1335">
        <f t="shared" ref="H116" ca="1" si="106">H115/G115-1</f>
        <v>0.13934426229508201</v>
      </c>
      <c r="I116" s="1335">
        <f t="shared" ref="I116" ca="1" si="107">I115/H115-1</f>
        <v>7.9136690647481966E-2</v>
      </c>
      <c r="J116" s="1335">
        <f t="shared" ref="J116" si="108">J115/I115-1</f>
        <v>0.10222222222222221</v>
      </c>
      <c r="K116" s="1335">
        <f t="shared" ref="K116" si="109">K115/J115-1</f>
        <v>1.4112903225806495E-2</v>
      </c>
      <c r="L116" s="1335">
        <f t="shared" ref="L116" si="110">L115/K115-1</f>
        <v>-9.7848906560637716E-2</v>
      </c>
      <c r="M116" s="1335">
        <f t="shared" ref="M116" si="111">M115/L115-1</f>
        <v>-9.4278750589488647E-2</v>
      </c>
      <c r="N116" s="1335">
        <f t="shared" ref="N116" si="112">N115/M115-1</f>
        <v>-5.8433819951338783E-2</v>
      </c>
      <c r="O116" s="1335">
        <f t="shared" ref="O116" si="113">O115/N115-1</f>
        <v>-1.0462338780430014E-2</v>
      </c>
      <c r="P116" s="1335">
        <f t="shared" ref="P116" si="114">P115/O115-1</f>
        <v>1.1057374218047755E-2</v>
      </c>
      <c r="Q116" s="1335">
        <f t="shared" ref="Q116" si="115">Q115/P115-1</f>
        <v>1.1099840898796121E-2</v>
      </c>
      <c r="R116" s="1335">
        <f t="shared" ref="R116" si="116">R115/Q115-1</f>
        <v>1.1142278476597545E-2</v>
      </c>
      <c r="S116" s="1335">
        <f t="shared" ref="S116" si="117">S115/R115-1</f>
        <v>1.1184685699945351E-2</v>
      </c>
      <c r="T116" s="1335">
        <f t="shared" ref="T116" si="118">T115/S115-1</f>
        <v>1.1227061317937048E-2</v>
      </c>
      <c r="U116" s="1293"/>
      <c r="V116" s="1293"/>
      <c r="W116" s="1293"/>
      <c r="X116" s="1293"/>
      <c r="Y116" s="1293"/>
      <c r="Z116" s="1293"/>
      <c r="AA116" s="1293"/>
      <c r="AB116" s="1293"/>
      <c r="AC116" s="1293"/>
      <c r="AD116" s="1293"/>
      <c r="AE116" s="1293"/>
      <c r="AF116" s="1293"/>
      <c r="AG116" s="1293"/>
      <c r="AH116" s="1293"/>
      <c r="AI116" s="1293"/>
      <c r="AJ116" s="1293"/>
      <c r="AK116" s="1293"/>
      <c r="AL116" s="1293"/>
      <c r="AM116" s="1293"/>
      <c r="AN116" s="1293"/>
      <c r="AO116" s="1293"/>
      <c r="AP116" s="1293"/>
      <c r="AQ116" s="1293"/>
      <c r="AR116" s="1293"/>
      <c r="AS116" s="1293"/>
      <c r="AT116" s="1293"/>
      <c r="AU116" s="1293"/>
      <c r="AV116" s="1293"/>
      <c r="AW116" s="1293"/>
      <c r="AX116" s="1293"/>
      <c r="AY116" s="1293"/>
      <c r="AZ116" s="1293"/>
      <c r="BA116" s="1293"/>
      <c r="BB116" s="1293"/>
      <c r="BC116" s="1293"/>
      <c r="BD116" s="1293"/>
      <c r="BE116" s="1293"/>
      <c r="BF116" s="1293"/>
      <c r="BG116" s="1293"/>
      <c r="BH116" s="1293"/>
      <c r="BI116" s="1293"/>
      <c r="BJ116" s="1293"/>
      <c r="BK116" s="1293"/>
      <c r="BL116" s="1293"/>
      <c r="BM116" s="1293"/>
      <c r="BN116" s="1293"/>
      <c r="BO116" s="1293"/>
      <c r="BP116" s="1293"/>
      <c r="BQ116" s="1293"/>
      <c r="BR116" s="1293"/>
      <c r="BS116" s="1293"/>
      <c r="BT116" s="1293"/>
      <c r="BU116" s="1293"/>
      <c r="BV116" s="1293"/>
      <c r="BW116" s="1293"/>
      <c r="BX116" s="1293"/>
      <c r="BY116" s="1293"/>
      <c r="BZ116" s="1293"/>
      <c r="CA116" s="1293"/>
      <c r="CB116" s="1293"/>
      <c r="CC116" s="1293"/>
      <c r="CD116" s="1293"/>
      <c r="CE116" s="1293"/>
      <c r="CF116" s="1293"/>
      <c r="CG116" s="1293"/>
    </row>
    <row r="117" spans="1:85" s="463" customFormat="1" ht="15.75">
      <c r="A117" s="1293"/>
      <c r="B117" s="1293"/>
      <c r="C117" s="1293" t="s">
        <v>1655</v>
      </c>
      <c r="D117" s="1328">
        <f t="shared" ref="D117" si="119">D115/D35</f>
        <v>7.4943222848098345E-2</v>
      </c>
      <c r="E117" s="1328">
        <f>E115/E35</f>
        <v>7.7370679399899139E-2</v>
      </c>
      <c r="F117" s="1328">
        <f t="shared" ref="F117:T117" si="120">F115/F35</f>
        <v>6.3110988628943293E-2</v>
      </c>
      <c r="G117" s="1328">
        <f t="shared" si="120"/>
        <v>6.0108392182624405E-2</v>
      </c>
      <c r="H117" s="1328">
        <f t="shared" ca="1" si="120"/>
        <v>6.9361277445109781E-2</v>
      </c>
      <c r="I117" s="1328">
        <f t="shared" si="120"/>
        <v>7.0632553759221478E-2</v>
      </c>
      <c r="J117" s="1328">
        <f t="shared" si="120"/>
        <v>7.9589216944801033E-2</v>
      </c>
      <c r="K117" s="1328">
        <f t="shared" si="120"/>
        <v>7.6536822884966521E-2</v>
      </c>
      <c r="L117" s="1328">
        <f t="shared" si="120"/>
        <v>8.0679096742305431E-2</v>
      </c>
      <c r="M117" s="1328">
        <f t="shared" si="120"/>
        <v>7.2602013778484367E-2</v>
      </c>
      <c r="N117" s="1328">
        <f t="shared" si="120"/>
        <v>6.6672367078299974E-2</v>
      </c>
      <c r="O117" s="1328">
        <f t="shared" si="120"/>
        <v>6.9322607954299675E-2</v>
      </c>
      <c r="P117" s="1328">
        <f t="shared" si="120"/>
        <v>6.9099686082974635E-2</v>
      </c>
      <c r="Q117" s="1328">
        <f t="shared" si="120"/>
        <v>6.871139654066781E-2</v>
      </c>
      <c r="R117" s="1328">
        <f t="shared" si="120"/>
        <v>6.8262491345795179E-2</v>
      </c>
      <c r="S117" s="1328">
        <f t="shared" si="120"/>
        <v>6.804701528698498E-2</v>
      </c>
      <c r="T117" s="1328">
        <f t="shared" si="120"/>
        <v>6.8002197958591248E-2</v>
      </c>
      <c r="U117" s="1293"/>
      <c r="V117" s="1293"/>
      <c r="W117" s="1293"/>
      <c r="X117" s="1293"/>
      <c r="Y117" s="1293"/>
      <c r="Z117" s="1293"/>
      <c r="AA117" s="1293"/>
      <c r="AB117" s="1293"/>
      <c r="AC117" s="1293"/>
      <c r="AD117" s="1293"/>
      <c r="AE117" s="1293"/>
      <c r="AF117" s="1293"/>
      <c r="AG117" s="1293"/>
      <c r="AH117" s="1293"/>
      <c r="AI117" s="1293"/>
      <c r="AJ117" s="1293"/>
      <c r="AK117" s="1293"/>
      <c r="AL117" s="1293"/>
      <c r="AM117" s="1293"/>
      <c r="AN117" s="1293"/>
      <c r="AO117" s="1293"/>
      <c r="AP117" s="1293"/>
      <c r="AQ117" s="1293"/>
      <c r="AR117" s="1293"/>
      <c r="AS117" s="1293"/>
      <c r="AT117" s="1293"/>
      <c r="AU117" s="1293"/>
      <c r="AV117" s="1293"/>
      <c r="AW117" s="1293"/>
      <c r="AX117" s="1293"/>
      <c r="AY117" s="1293"/>
      <c r="AZ117" s="1293"/>
      <c r="BA117" s="1293"/>
      <c r="BB117" s="1293"/>
      <c r="BC117" s="1293"/>
      <c r="BD117" s="1293"/>
      <c r="BE117" s="1293"/>
      <c r="BF117" s="1293"/>
      <c r="BG117" s="1293"/>
      <c r="BH117" s="1293"/>
      <c r="BI117" s="1293"/>
      <c r="BJ117" s="1293"/>
      <c r="BK117" s="1293"/>
      <c r="BL117" s="1293"/>
      <c r="BM117" s="1293"/>
      <c r="BN117" s="1293"/>
      <c r="BO117" s="1293"/>
      <c r="BP117" s="1293"/>
      <c r="BQ117" s="1293"/>
      <c r="BR117" s="1293"/>
      <c r="BS117" s="1293"/>
      <c r="BT117" s="1293"/>
      <c r="BU117" s="1293"/>
      <c r="BV117" s="1293"/>
      <c r="BW117" s="1293"/>
      <c r="BX117" s="1293"/>
      <c r="BY117" s="1293"/>
      <c r="BZ117" s="1293"/>
      <c r="CA117" s="1293"/>
      <c r="CB117" s="1293"/>
      <c r="CC117" s="1293"/>
      <c r="CD117" s="1293"/>
      <c r="CE117" s="1293"/>
      <c r="CF117" s="1293"/>
      <c r="CG117" s="1293"/>
    </row>
    <row r="118" spans="1:85" ht="15.75">
      <c r="A118" s="1293"/>
      <c r="B118" s="1293"/>
      <c r="C118" s="1293"/>
      <c r="D118" s="1293"/>
      <c r="E118" s="1293"/>
      <c r="F118" s="1293"/>
      <c r="G118" s="1293"/>
      <c r="H118" s="1293"/>
      <c r="I118" s="1293"/>
      <c r="J118" s="1293"/>
      <c r="K118" s="1293"/>
      <c r="L118" s="1293"/>
      <c r="M118" s="1293"/>
      <c r="N118" s="1293"/>
      <c r="O118" s="1293"/>
      <c r="P118" s="1293"/>
      <c r="Q118" s="1293"/>
      <c r="R118" s="1293"/>
      <c r="S118" s="1293"/>
      <c r="T118" s="1293"/>
      <c r="U118" s="1293"/>
      <c r="V118" s="1293"/>
      <c r="W118" s="1293"/>
      <c r="X118" s="1293"/>
      <c r="Y118" s="1293"/>
      <c r="Z118" s="1293"/>
      <c r="AA118" s="1293"/>
      <c r="AB118" s="1293"/>
      <c r="AC118" s="1293"/>
      <c r="AD118" s="1293"/>
      <c r="AE118" s="1293"/>
      <c r="AF118" s="1293"/>
      <c r="AG118" s="1293"/>
      <c r="AH118" s="1293"/>
      <c r="AI118" s="1293"/>
      <c r="AJ118" s="1293"/>
      <c r="AK118" s="1293"/>
      <c r="AL118" s="1293"/>
      <c r="AM118" s="1293"/>
      <c r="AN118" s="1293"/>
      <c r="AO118" s="1293"/>
      <c r="AP118" s="1293"/>
      <c r="AQ118" s="1293"/>
      <c r="AR118" s="1293"/>
      <c r="AS118" s="1293"/>
      <c r="AT118" s="1293"/>
      <c r="AU118" s="1293"/>
      <c r="AV118" s="1293"/>
      <c r="AW118" s="1293"/>
      <c r="AX118" s="1293"/>
      <c r="AY118" s="1293"/>
      <c r="AZ118" s="1293"/>
      <c r="BA118" s="1293"/>
      <c r="BB118" s="1293"/>
      <c r="BC118" s="1293"/>
      <c r="BD118" s="1293"/>
      <c r="BE118" s="1293"/>
      <c r="BF118" s="1293"/>
      <c r="BG118" s="1293"/>
      <c r="BH118" s="1293"/>
      <c r="BI118" s="1293"/>
      <c r="BJ118" s="1293"/>
      <c r="BK118" s="1293"/>
      <c r="BL118" s="1293"/>
      <c r="BM118" s="1293"/>
      <c r="BN118" s="1293"/>
      <c r="BO118" s="1293"/>
      <c r="BP118" s="1293"/>
      <c r="BQ118" s="1293"/>
      <c r="BR118" s="1293"/>
      <c r="BS118" s="1293"/>
      <c r="BT118" s="1293"/>
      <c r="BU118" s="1293"/>
      <c r="BV118" s="1293"/>
      <c r="BW118" s="1293"/>
      <c r="BX118" s="1293"/>
      <c r="BY118" s="1293"/>
      <c r="BZ118" s="1293"/>
      <c r="CA118" s="1293"/>
      <c r="CB118" s="1293"/>
      <c r="CC118" s="1293"/>
      <c r="CD118" s="1293"/>
      <c r="CE118" s="1293"/>
      <c r="CF118" s="1293"/>
      <c r="CG118" s="1293"/>
    </row>
    <row r="119" spans="1:85" ht="15.75">
      <c r="A119" s="1293"/>
      <c r="B119" s="1293"/>
      <c r="C119" s="1293"/>
      <c r="D119" s="1293"/>
      <c r="E119" s="1293"/>
      <c r="F119" s="1293"/>
      <c r="G119" s="1293"/>
      <c r="H119" s="1293"/>
      <c r="I119" s="1293"/>
      <c r="J119" s="1293"/>
      <c r="K119" s="1293"/>
      <c r="L119" s="1293"/>
      <c r="M119" s="1293"/>
      <c r="N119" s="1293"/>
      <c r="O119" s="1293"/>
      <c r="P119" s="1293"/>
      <c r="Q119" s="1293"/>
      <c r="R119" s="1293"/>
      <c r="S119" s="1293"/>
      <c r="T119" s="1293"/>
      <c r="U119" s="1293"/>
      <c r="V119" s="1293"/>
      <c r="W119" s="1293"/>
      <c r="X119" s="1293"/>
      <c r="Y119" s="1293"/>
      <c r="Z119" s="1293"/>
      <c r="AA119" s="1293"/>
      <c r="AB119" s="1293"/>
      <c r="AC119" s="1293"/>
      <c r="AD119" s="1293"/>
      <c r="AE119" s="1293"/>
      <c r="AF119" s="1293"/>
      <c r="AG119" s="1293"/>
      <c r="AH119" s="1293"/>
      <c r="AI119" s="1293"/>
      <c r="AJ119" s="1293"/>
      <c r="AK119" s="1293"/>
      <c r="AL119" s="1293"/>
      <c r="AM119" s="1293"/>
      <c r="AN119" s="1293"/>
      <c r="AO119" s="1293"/>
      <c r="AP119" s="1293"/>
      <c r="AQ119" s="1293"/>
      <c r="AR119" s="1293"/>
      <c r="AS119" s="1293"/>
      <c r="AT119" s="1293"/>
      <c r="AU119" s="1293"/>
      <c r="AV119" s="1293"/>
      <c r="AW119" s="1293"/>
      <c r="AX119" s="1293"/>
      <c r="AY119" s="1293"/>
      <c r="AZ119" s="1293"/>
      <c r="BA119" s="1293"/>
      <c r="BB119" s="1293"/>
      <c r="BC119" s="1293"/>
      <c r="BD119" s="1293"/>
      <c r="BE119" s="1293"/>
      <c r="BF119" s="1293"/>
      <c r="BG119" s="1293"/>
      <c r="BH119" s="1293"/>
      <c r="BI119" s="1293"/>
      <c r="BJ119" s="1293"/>
      <c r="BK119" s="1293"/>
      <c r="BL119" s="1293"/>
      <c r="BM119" s="1293"/>
      <c r="BN119" s="1293"/>
      <c r="BO119" s="1293"/>
      <c r="BP119" s="1293"/>
      <c r="BQ119" s="1293"/>
      <c r="BR119" s="1293"/>
      <c r="BS119" s="1293"/>
      <c r="BT119" s="1293"/>
      <c r="BU119" s="1293"/>
      <c r="BV119" s="1293"/>
      <c r="BW119" s="1293"/>
      <c r="BX119" s="1293"/>
      <c r="BY119" s="1293"/>
      <c r="BZ119" s="1293"/>
      <c r="CA119" s="1293"/>
      <c r="CB119" s="1293"/>
      <c r="CC119" s="1293"/>
      <c r="CD119" s="1293"/>
      <c r="CE119" s="1293"/>
      <c r="CF119" s="1293"/>
      <c r="CG119" s="1293"/>
    </row>
    <row r="120" spans="1:85" ht="15.75">
      <c r="A120" s="1293"/>
      <c r="B120" s="1293"/>
      <c r="C120" s="1293"/>
      <c r="D120" s="1293"/>
      <c r="E120" s="1293"/>
      <c r="F120" s="1293"/>
      <c r="G120" s="1293"/>
      <c r="H120" s="1293"/>
      <c r="I120" s="1293"/>
      <c r="J120" s="1293"/>
      <c r="K120" s="1293"/>
      <c r="L120" s="1293"/>
      <c r="M120" s="1293"/>
      <c r="N120" s="1293"/>
      <c r="O120" s="1293"/>
      <c r="P120" s="1293"/>
      <c r="Q120" s="1293"/>
      <c r="R120" s="1293"/>
      <c r="S120" s="1293"/>
      <c r="T120" s="1293"/>
      <c r="U120" s="1293"/>
      <c r="V120" s="1293"/>
      <c r="W120" s="1293"/>
      <c r="X120" s="1293"/>
      <c r="Y120" s="1293"/>
      <c r="Z120" s="1327"/>
      <c r="AA120" s="1293"/>
      <c r="AB120" s="1293"/>
      <c r="AC120" s="1293"/>
      <c r="AD120" s="1293"/>
      <c r="AE120" s="1293"/>
      <c r="AF120" s="1293"/>
      <c r="AG120" s="1293"/>
      <c r="AH120" s="1293"/>
      <c r="AI120" s="1293"/>
      <c r="AJ120" s="1293"/>
      <c r="AK120" s="1293"/>
      <c r="AL120" s="1293"/>
      <c r="AM120" s="1293"/>
      <c r="AN120" s="1293"/>
      <c r="AO120" s="1293"/>
      <c r="AP120" s="1293"/>
      <c r="AQ120" s="1293"/>
      <c r="AR120" s="1293"/>
      <c r="AS120" s="1293"/>
      <c r="AT120" s="1293"/>
      <c r="AU120" s="1293"/>
      <c r="AV120" s="1293"/>
      <c r="AW120" s="1293"/>
      <c r="AX120" s="1293"/>
      <c r="AY120" s="1293"/>
      <c r="AZ120" s="1293"/>
      <c r="BA120" s="1293"/>
      <c r="BB120" s="1293"/>
      <c r="BC120" s="1293"/>
      <c r="BD120" s="1293"/>
      <c r="BE120" s="1293"/>
      <c r="BF120" s="1293"/>
      <c r="BG120" s="1293"/>
      <c r="BH120" s="1293"/>
      <c r="BI120" s="1293"/>
      <c r="BJ120" s="1293"/>
      <c r="BK120" s="1293"/>
      <c r="BL120" s="1293"/>
      <c r="BM120" s="1293"/>
      <c r="BN120" s="1293"/>
      <c r="BO120" s="1293"/>
      <c r="BP120" s="1293"/>
      <c r="BQ120" s="1293"/>
      <c r="BR120" s="1293"/>
      <c r="BS120" s="1293"/>
      <c r="BT120" s="1293"/>
      <c r="BU120" s="1293"/>
      <c r="BV120" s="1293"/>
      <c r="BW120" s="1293"/>
      <c r="BX120" s="1293"/>
      <c r="BY120" s="1293"/>
      <c r="BZ120" s="1293"/>
      <c r="CA120" s="1293"/>
      <c r="CB120" s="1293"/>
      <c r="CC120" s="1293"/>
      <c r="CD120" s="1293"/>
      <c r="CE120" s="1293"/>
      <c r="CF120" s="1293"/>
      <c r="CG120" s="1293"/>
    </row>
    <row r="121" spans="1:85" ht="15.75">
      <c r="A121" s="1293"/>
      <c r="B121" s="1293"/>
      <c r="C121" s="1979" t="s">
        <v>1034</v>
      </c>
      <c r="D121" s="1293"/>
      <c r="E121" s="1293"/>
      <c r="F121" s="1293"/>
      <c r="G121" s="1293"/>
      <c r="H121" s="1293"/>
      <c r="I121" s="1293"/>
      <c r="J121" s="1293"/>
      <c r="K121" s="1293"/>
      <c r="L121" s="1293"/>
      <c r="M121" s="1293"/>
      <c r="N121" s="1293"/>
      <c r="O121" s="1293"/>
      <c r="P121" s="1293"/>
      <c r="Q121" s="1293"/>
      <c r="R121" s="1293"/>
      <c r="S121" s="1293"/>
      <c r="T121" s="1293"/>
      <c r="U121" s="1293"/>
      <c r="V121" s="1293"/>
      <c r="W121" s="1293"/>
      <c r="X121" s="1293"/>
      <c r="Y121" s="1293"/>
      <c r="Z121" s="1699"/>
      <c r="AA121" s="1699"/>
      <c r="AB121" s="1293"/>
      <c r="AC121" s="1293"/>
      <c r="AD121" s="1293"/>
      <c r="AE121" s="1293"/>
      <c r="AF121" s="1293"/>
      <c r="AG121" s="1293"/>
      <c r="AH121" s="1293"/>
      <c r="AI121" s="1293"/>
      <c r="AJ121" s="1293"/>
      <c r="AK121" s="1293"/>
      <c r="AL121" s="1293"/>
      <c r="AM121" s="1293"/>
      <c r="AN121" s="1293"/>
      <c r="AO121" s="1293"/>
      <c r="AP121" s="1293"/>
      <c r="AQ121" s="1293"/>
      <c r="AR121" s="1293"/>
      <c r="AS121" s="1293"/>
      <c r="AT121" s="1293"/>
      <c r="AU121" s="1293"/>
      <c r="AV121" s="1293"/>
      <c r="AW121" s="1293"/>
      <c r="AX121" s="1293"/>
      <c r="AY121" s="1293"/>
      <c r="AZ121" s="1293"/>
      <c r="BA121" s="1293"/>
      <c r="BB121" s="1293"/>
      <c r="BC121" s="1293"/>
      <c r="BD121" s="1293"/>
      <c r="BE121" s="1293"/>
      <c r="BF121" s="1293"/>
      <c r="BG121" s="1293"/>
      <c r="BH121" s="1293"/>
      <c r="BI121" s="1293"/>
      <c r="BJ121" s="1293"/>
      <c r="BK121" s="1293"/>
      <c r="BL121" s="1293"/>
      <c r="BM121" s="1293"/>
      <c r="BN121" s="1293"/>
      <c r="BO121" s="1293"/>
      <c r="BP121" s="1293"/>
      <c r="BQ121" s="1293"/>
      <c r="BR121" s="1293"/>
      <c r="BS121" s="1293"/>
      <c r="BT121" s="1293"/>
      <c r="BU121" s="1293"/>
      <c r="BV121" s="1293"/>
      <c r="BW121" s="1293"/>
      <c r="BX121" s="1293"/>
      <c r="BY121" s="1293"/>
      <c r="BZ121" s="1293"/>
      <c r="CA121" s="1293"/>
      <c r="CB121" s="1293"/>
      <c r="CC121" s="1293"/>
      <c r="CD121" s="1293"/>
      <c r="CE121" s="1293"/>
      <c r="CF121" s="1293"/>
      <c r="CG121" s="1293"/>
    </row>
    <row r="122" spans="1:85" ht="15.75">
      <c r="A122" s="1293"/>
      <c r="B122" s="1293"/>
      <c r="C122" s="1324" t="s">
        <v>4535</v>
      </c>
      <c r="D122" s="1324">
        <f t="shared" ref="D122:T122" si="121">D85</f>
        <v>2014</v>
      </c>
      <c r="E122" s="1324">
        <f t="shared" si="121"/>
        <v>2015</v>
      </c>
      <c r="F122" s="1324">
        <f t="shared" si="121"/>
        <v>2016</v>
      </c>
      <c r="G122" s="1324">
        <f t="shared" si="121"/>
        <v>2017</v>
      </c>
      <c r="H122" s="1324">
        <f t="shared" si="121"/>
        <v>2018</v>
      </c>
      <c r="I122" s="1324">
        <f t="shared" si="121"/>
        <v>2019</v>
      </c>
      <c r="J122" s="1324">
        <f t="shared" si="121"/>
        <v>2020</v>
      </c>
      <c r="K122" s="1324">
        <f t="shared" si="121"/>
        <v>2021</v>
      </c>
      <c r="L122" s="1324">
        <f t="shared" si="121"/>
        <v>2022</v>
      </c>
      <c r="M122" s="1324">
        <f t="shared" si="121"/>
        <v>2023</v>
      </c>
      <c r="N122" s="1324">
        <f t="shared" si="121"/>
        <v>2024</v>
      </c>
      <c r="O122" s="1324">
        <f t="shared" si="121"/>
        <v>2025</v>
      </c>
      <c r="P122" s="1324">
        <f t="shared" si="121"/>
        <v>2026</v>
      </c>
      <c r="Q122" s="1324">
        <f t="shared" si="121"/>
        <v>2027</v>
      </c>
      <c r="R122" s="1324">
        <f t="shared" si="121"/>
        <v>2028</v>
      </c>
      <c r="S122" s="1324">
        <f t="shared" si="121"/>
        <v>2029</v>
      </c>
      <c r="T122" s="1324">
        <f t="shared" si="121"/>
        <v>2030</v>
      </c>
      <c r="U122" s="1293"/>
      <c r="V122" s="1293"/>
      <c r="W122" s="1293"/>
      <c r="X122" s="1293"/>
      <c r="Y122" s="1293"/>
      <c r="Z122" s="1293"/>
      <c r="AA122" s="468"/>
      <c r="AB122" s="1293"/>
      <c r="AC122" s="1293"/>
      <c r="AD122" s="1293"/>
      <c r="AE122" s="1293"/>
      <c r="AF122" s="1293"/>
      <c r="AG122" s="1293"/>
      <c r="AH122" s="1293"/>
      <c r="AI122" s="1293"/>
      <c r="AJ122" s="1293"/>
      <c r="AK122" s="1293"/>
      <c r="AL122" s="1293"/>
      <c r="AM122" s="1293"/>
      <c r="AN122" s="1293"/>
      <c r="AO122" s="1293"/>
      <c r="AP122" s="1293"/>
      <c r="AQ122" s="1293"/>
      <c r="AR122" s="1293"/>
      <c r="AS122" s="1293"/>
      <c r="AT122" s="1293"/>
      <c r="AU122" s="1293"/>
      <c r="AV122" s="1293"/>
      <c r="AW122" s="1293"/>
      <c r="AX122" s="1293"/>
      <c r="AY122" s="1293"/>
      <c r="AZ122" s="1293"/>
      <c r="BA122" s="1293"/>
      <c r="BB122" s="1293"/>
      <c r="BC122" s="1293"/>
      <c r="BD122" s="1293"/>
      <c r="BE122" s="1293"/>
      <c r="BF122" s="1293"/>
      <c r="BG122" s="1293"/>
      <c r="BH122" s="1293"/>
      <c r="BI122" s="1293"/>
      <c r="BJ122" s="1293"/>
      <c r="BK122" s="1293"/>
      <c r="BL122" s="1293"/>
      <c r="BM122" s="1293"/>
      <c r="BN122" s="1293"/>
      <c r="BO122" s="1293"/>
      <c r="BP122" s="1293"/>
      <c r="BQ122" s="1293"/>
      <c r="BR122" s="1293"/>
      <c r="BS122" s="1293"/>
      <c r="BT122" s="1293"/>
      <c r="BU122" s="1293"/>
      <c r="BV122" s="1293"/>
      <c r="BW122" s="1293"/>
      <c r="BX122" s="1293"/>
      <c r="BY122" s="1293"/>
      <c r="BZ122" s="1293"/>
      <c r="CA122" s="1293"/>
      <c r="CB122" s="1293"/>
      <c r="CC122" s="1293"/>
      <c r="CD122" s="1293"/>
      <c r="CE122" s="1293"/>
      <c r="CF122" s="1293"/>
      <c r="CG122" s="1293"/>
    </row>
    <row r="123" spans="1:85" ht="15.75">
      <c r="A123" s="1293"/>
      <c r="B123" s="1293"/>
      <c r="C123" s="1293" t="str">
        <f>'New (new) quarts'!B251</f>
        <v>El Salvador</v>
      </c>
      <c r="D123" s="1995">
        <v>1</v>
      </c>
      <c r="E123" s="1995">
        <v>1</v>
      </c>
      <c r="F123" s="1995">
        <v>1</v>
      </c>
      <c r="G123" s="1995">
        <v>1</v>
      </c>
      <c r="H123" s="1995">
        <v>1</v>
      </c>
      <c r="I123" s="1995">
        <v>1</v>
      </c>
      <c r="J123" s="1995">
        <v>1</v>
      </c>
      <c r="K123" s="1995">
        <v>1</v>
      </c>
      <c r="L123" s="1995">
        <v>1</v>
      </c>
      <c r="M123" s="1995">
        <v>1</v>
      </c>
      <c r="N123" s="1995">
        <v>1</v>
      </c>
      <c r="O123" s="1994">
        <v>1</v>
      </c>
      <c r="P123" s="1994">
        <v>1</v>
      </c>
      <c r="Q123" s="1994">
        <v>1</v>
      </c>
      <c r="R123" s="1994">
        <v>1</v>
      </c>
      <c r="S123" s="1994">
        <v>1</v>
      </c>
      <c r="T123" s="1994">
        <v>1</v>
      </c>
      <c r="U123" s="1293"/>
      <c r="V123" s="1293"/>
      <c r="W123" s="1293"/>
      <c r="X123" s="1293"/>
      <c r="Y123" s="1293"/>
      <c r="Z123" s="1293"/>
      <c r="AA123" s="1293"/>
      <c r="AB123" s="1293"/>
      <c r="AC123" s="1293"/>
      <c r="AD123" s="1293"/>
      <c r="AE123" s="1293"/>
      <c r="AF123" s="1293"/>
      <c r="AG123" s="1293"/>
      <c r="AH123" s="1293"/>
      <c r="AI123" s="1293"/>
      <c r="AJ123" s="1293"/>
      <c r="AK123" s="1293"/>
      <c r="AL123" s="1293"/>
      <c r="AM123" s="1293"/>
      <c r="AN123" s="1293"/>
      <c r="AO123" s="1293"/>
      <c r="AP123" s="1293"/>
      <c r="AQ123" s="1293"/>
      <c r="AR123" s="1293"/>
      <c r="AS123" s="1293"/>
      <c r="AT123" s="1293"/>
      <c r="AU123" s="1293"/>
      <c r="AV123" s="1293"/>
      <c r="AW123" s="1293"/>
      <c r="AX123" s="1293"/>
      <c r="AY123" s="1293"/>
      <c r="AZ123" s="1293"/>
      <c r="BA123" s="1293"/>
      <c r="BB123" s="1293"/>
      <c r="BC123" s="1293"/>
      <c r="BD123" s="1293"/>
      <c r="BE123" s="1293"/>
      <c r="BF123" s="1293"/>
      <c r="BG123" s="1293"/>
      <c r="BH123" s="1293"/>
      <c r="BI123" s="1293"/>
      <c r="BJ123" s="1293"/>
      <c r="BK123" s="1293"/>
      <c r="BL123" s="1293"/>
      <c r="BM123" s="1293"/>
      <c r="BN123" s="1293"/>
      <c r="BO123" s="1293"/>
      <c r="BP123" s="1293"/>
      <c r="BQ123" s="1293"/>
      <c r="BR123" s="1293"/>
      <c r="BS123" s="1293"/>
      <c r="BT123" s="1293"/>
      <c r="BU123" s="1293"/>
      <c r="BV123" s="1293"/>
      <c r="BW123" s="1293"/>
      <c r="BX123" s="1293"/>
      <c r="BY123" s="1293"/>
      <c r="BZ123" s="1293"/>
      <c r="CA123" s="1293"/>
      <c r="CB123" s="1293"/>
      <c r="CC123" s="1293"/>
      <c r="CD123" s="1293"/>
      <c r="CE123" s="1293"/>
      <c r="CF123" s="1293"/>
      <c r="CG123" s="1293"/>
    </row>
    <row r="124" spans="1:85" ht="15.75">
      <c r="A124" s="1293"/>
      <c r="B124" s="1293"/>
      <c r="C124" s="1293" t="str">
        <f>'New (new) quarts'!B252</f>
        <v>Guatemala</v>
      </c>
      <c r="D124" s="1699">
        <f>'New (new) quarts'!G252</f>
        <v>7.7323323076923076</v>
      </c>
      <c r="E124" s="1699">
        <f>'New (new) quarts'!L252</f>
        <v>7.6530562500000006</v>
      </c>
      <c r="F124" s="1699">
        <f>'New (new) quarts'!Q252</f>
        <v>7.61</v>
      </c>
      <c r="G124" s="1699">
        <v>7.36</v>
      </c>
      <c r="H124" s="1699">
        <v>7.52</v>
      </c>
      <c r="I124" s="1293">
        <v>7.7</v>
      </c>
      <c r="J124" s="1699">
        <v>7.7</v>
      </c>
      <c r="K124" s="1699">
        <v>7.7373284016608395</v>
      </c>
      <c r="L124" s="1995">
        <v>7.75</v>
      </c>
      <c r="M124" s="1995">
        <v>7.84</v>
      </c>
      <c r="N124" s="1995">
        <v>7.76</v>
      </c>
      <c r="O124" s="1994">
        <v>7.7</v>
      </c>
      <c r="P124" s="1994">
        <f>O124*1.01</f>
        <v>7.7770000000000001</v>
      </c>
      <c r="Q124" s="1994">
        <f t="shared" ref="Q124:T124" si="122">P124*1.01</f>
        <v>7.8547700000000003</v>
      </c>
      <c r="R124" s="1994">
        <f t="shared" si="122"/>
        <v>7.9333176999999999</v>
      </c>
      <c r="S124" s="1994">
        <f t="shared" si="122"/>
        <v>8.0126508770000004</v>
      </c>
      <c r="T124" s="1994">
        <f t="shared" si="122"/>
        <v>8.0927773857700007</v>
      </c>
      <c r="U124" s="1293" t="s">
        <v>9093</v>
      </c>
      <c r="V124" s="1293"/>
      <c r="W124" s="1293"/>
      <c r="X124" s="1293"/>
      <c r="Y124" s="1293"/>
      <c r="Z124" s="1293"/>
      <c r="AA124" s="1293"/>
      <c r="AB124" s="1293"/>
      <c r="AC124" s="1293"/>
      <c r="AD124" s="1293"/>
      <c r="AE124" s="1293"/>
      <c r="AF124" s="1293"/>
      <c r="AG124" s="1293"/>
      <c r="AH124" s="1293"/>
      <c r="AI124" s="1293"/>
      <c r="AJ124" s="1293"/>
      <c r="AK124" s="1293"/>
      <c r="AL124" s="1293"/>
      <c r="AM124" s="1293"/>
      <c r="AN124" s="1293"/>
      <c r="AO124" s="1293"/>
      <c r="AP124" s="1293"/>
      <c r="AQ124" s="1293"/>
      <c r="AR124" s="1293"/>
      <c r="AS124" s="1293"/>
      <c r="AT124" s="1293"/>
      <c r="AU124" s="1293"/>
      <c r="AV124" s="1293"/>
      <c r="AW124" s="1293"/>
      <c r="AX124" s="1293"/>
      <c r="AY124" s="1293"/>
      <c r="AZ124" s="1293"/>
      <c r="BA124" s="1293"/>
      <c r="BB124" s="1293"/>
      <c r="BC124" s="1293"/>
      <c r="BD124" s="1293"/>
      <c r="BE124" s="1293"/>
      <c r="BF124" s="1293"/>
      <c r="BG124" s="1293"/>
      <c r="BH124" s="1293"/>
      <c r="BI124" s="1293"/>
      <c r="BJ124" s="1293"/>
      <c r="BK124" s="1293"/>
      <c r="BL124" s="1293"/>
      <c r="BM124" s="1293"/>
      <c r="BN124" s="1293"/>
      <c r="BO124" s="1293"/>
      <c r="BP124" s="1293"/>
      <c r="BQ124" s="1293"/>
      <c r="BR124" s="1293"/>
      <c r="BS124" s="1293"/>
      <c r="BT124" s="1293"/>
      <c r="BU124" s="1293"/>
      <c r="BV124" s="1293"/>
      <c r="BW124" s="1293"/>
      <c r="BX124" s="1293"/>
      <c r="BY124" s="1293"/>
      <c r="BZ124" s="1293"/>
      <c r="CA124" s="1293"/>
      <c r="CB124" s="1293"/>
      <c r="CC124" s="1293"/>
      <c r="CD124" s="1293"/>
      <c r="CE124" s="1293"/>
      <c r="CF124" s="1293"/>
      <c r="CG124" s="1293"/>
    </row>
    <row r="125" spans="1:85" ht="15.75">
      <c r="A125" s="1293"/>
      <c r="B125" s="1293"/>
      <c r="C125" s="1293" t="str">
        <f>'New (new) quarts'!B253</f>
        <v>Honduras (JV)</v>
      </c>
      <c r="D125" s="1699">
        <f>'New (new) quarts'!G253</f>
        <v>21.064584615384611</v>
      </c>
      <c r="E125" s="1699">
        <f>'New (new) quarts'!L253</f>
        <v>22.012806250000001</v>
      </c>
      <c r="F125" s="1699">
        <f>'New (new) quarts'!Q253</f>
        <v>22.92</v>
      </c>
      <c r="G125" s="1699">
        <v>23.57</v>
      </c>
      <c r="H125" s="1699">
        <v>23.87</v>
      </c>
      <c r="I125" s="1293">
        <v>24.57</v>
      </c>
      <c r="J125" s="1699">
        <v>24.73</v>
      </c>
      <c r="K125" s="1699">
        <v>24.077177968385783</v>
      </c>
      <c r="L125" s="1995">
        <v>24.541960192307688</v>
      </c>
      <c r="M125" s="1995">
        <v>24.66</v>
      </c>
      <c r="N125" s="1995">
        <v>24.8</v>
      </c>
      <c r="O125" s="1994">
        <v>25.6</v>
      </c>
      <c r="P125" s="1994">
        <f>O125*1.01</f>
        <v>25.856000000000002</v>
      </c>
      <c r="Q125" s="1994">
        <f t="shared" ref="Q125:T125" si="123">P125*1.01</f>
        <v>26.114560000000001</v>
      </c>
      <c r="R125" s="1994">
        <f t="shared" si="123"/>
        <v>26.3757056</v>
      </c>
      <c r="S125" s="1994">
        <f t="shared" si="123"/>
        <v>26.639462655999999</v>
      </c>
      <c r="T125" s="1994">
        <f t="shared" si="123"/>
        <v>26.90585728256</v>
      </c>
      <c r="U125" s="1293" t="s">
        <v>9094</v>
      </c>
      <c r="V125" s="1293"/>
      <c r="W125" s="1293"/>
      <c r="X125" s="1293"/>
      <c r="Y125" s="1293"/>
      <c r="Z125" s="1293"/>
      <c r="AA125" s="1293"/>
      <c r="AB125" s="1293"/>
      <c r="AC125" s="1293"/>
      <c r="AD125" s="1293"/>
      <c r="AE125" s="1293"/>
      <c r="AF125" s="1293"/>
      <c r="AG125" s="1293"/>
      <c r="AH125" s="1293"/>
      <c r="AI125" s="1293"/>
      <c r="AJ125" s="1293"/>
      <c r="AK125" s="1293"/>
      <c r="AL125" s="1293"/>
      <c r="AM125" s="1293"/>
      <c r="AN125" s="1293"/>
      <c r="AO125" s="1293"/>
      <c r="AP125" s="1293"/>
      <c r="AQ125" s="1293"/>
      <c r="AR125" s="1293"/>
      <c r="AS125" s="1293"/>
      <c r="AT125" s="1293"/>
      <c r="AU125" s="1293"/>
      <c r="AV125" s="1293"/>
      <c r="AW125" s="1293"/>
      <c r="AX125" s="1293"/>
      <c r="AY125" s="1293"/>
      <c r="AZ125" s="1293"/>
      <c r="BA125" s="1293"/>
      <c r="BB125" s="1293"/>
      <c r="BC125" s="1293"/>
      <c r="BD125" s="1293"/>
      <c r="BE125" s="1293"/>
      <c r="BF125" s="1293"/>
      <c r="BG125" s="1293"/>
      <c r="BH125" s="1293"/>
      <c r="BI125" s="1293"/>
      <c r="BJ125" s="1293"/>
      <c r="BK125" s="1293"/>
      <c r="BL125" s="1293"/>
      <c r="BM125" s="1293"/>
      <c r="BN125" s="1293"/>
      <c r="BO125" s="1293"/>
      <c r="BP125" s="1293"/>
      <c r="BQ125" s="1293"/>
      <c r="BR125" s="1293"/>
      <c r="BS125" s="1293"/>
      <c r="BT125" s="1293"/>
      <c r="BU125" s="1293"/>
      <c r="BV125" s="1293"/>
      <c r="BW125" s="1293"/>
      <c r="BX125" s="1293"/>
      <c r="BY125" s="1293"/>
      <c r="BZ125" s="1293"/>
      <c r="CA125" s="1293"/>
      <c r="CB125" s="1293"/>
      <c r="CC125" s="1293"/>
      <c r="CD125" s="1293"/>
      <c r="CE125" s="1293"/>
      <c r="CF125" s="1293"/>
      <c r="CG125" s="1293"/>
    </row>
    <row r="126" spans="1:85" ht="15.75">
      <c r="A126" s="1293"/>
      <c r="B126" s="1293"/>
      <c r="C126" s="1293" t="s">
        <v>2032</v>
      </c>
      <c r="D126" s="1699">
        <v>1</v>
      </c>
      <c r="E126" s="1699">
        <v>1</v>
      </c>
      <c r="F126" s="1699">
        <v>1</v>
      </c>
      <c r="G126" s="1699">
        <v>1</v>
      </c>
      <c r="H126" s="1699">
        <v>1</v>
      </c>
      <c r="I126" s="1699">
        <v>1</v>
      </c>
      <c r="J126" s="1699">
        <v>1</v>
      </c>
      <c r="K126" s="1699">
        <v>1</v>
      </c>
      <c r="L126" s="1995">
        <v>1</v>
      </c>
      <c r="M126" s="1995">
        <v>1</v>
      </c>
      <c r="N126" s="1995">
        <v>1</v>
      </c>
      <c r="O126" s="1994">
        <v>1</v>
      </c>
      <c r="P126" s="1994">
        <v>1</v>
      </c>
      <c r="Q126" s="1994">
        <v>1</v>
      </c>
      <c r="R126" s="1994">
        <v>1</v>
      </c>
      <c r="S126" s="1994">
        <v>1</v>
      </c>
      <c r="T126" s="1994">
        <v>1</v>
      </c>
      <c r="U126" s="1293"/>
      <c r="V126" s="1293"/>
      <c r="W126" s="1293"/>
      <c r="X126" s="1293"/>
      <c r="Y126" s="1293"/>
      <c r="Z126" s="1293"/>
      <c r="AA126" s="1293"/>
      <c r="AB126" s="1293"/>
      <c r="AC126" s="1293"/>
      <c r="AD126" s="1293"/>
      <c r="AE126" s="1293"/>
      <c r="AF126" s="1293"/>
      <c r="AG126" s="1293"/>
      <c r="AH126" s="1293"/>
      <c r="AI126" s="1293"/>
      <c r="AJ126" s="1293"/>
      <c r="AK126" s="1293"/>
      <c r="AL126" s="1293"/>
      <c r="AM126" s="1293"/>
      <c r="AN126" s="1293"/>
      <c r="AO126" s="1293"/>
      <c r="AP126" s="1293"/>
      <c r="AQ126" s="1293"/>
      <c r="AR126" s="1293"/>
      <c r="AS126" s="1293"/>
      <c r="AT126" s="1293"/>
      <c r="AU126" s="1293"/>
      <c r="AV126" s="1293"/>
      <c r="AW126" s="1293"/>
      <c r="AX126" s="1293"/>
      <c r="AY126" s="1293"/>
      <c r="AZ126" s="1293"/>
      <c r="BA126" s="1293"/>
      <c r="BB126" s="1293"/>
      <c r="BC126" s="1293"/>
      <c r="BD126" s="1293"/>
      <c r="BE126" s="1293"/>
      <c r="BF126" s="1293"/>
      <c r="BG126" s="1293"/>
      <c r="BH126" s="1293"/>
      <c r="BI126" s="1293"/>
      <c r="BJ126" s="1293"/>
      <c r="BK126" s="1293"/>
      <c r="BL126" s="1293"/>
      <c r="BM126" s="1293"/>
      <c r="BN126" s="1293"/>
      <c r="BO126" s="1293"/>
      <c r="BP126" s="1293"/>
      <c r="BQ126" s="1293"/>
      <c r="BR126" s="1293"/>
      <c r="BS126" s="1293"/>
      <c r="BT126" s="1293"/>
      <c r="BU126" s="1293"/>
      <c r="BV126" s="1293"/>
      <c r="BW126" s="1293"/>
      <c r="BX126" s="1293"/>
      <c r="BY126" s="1293"/>
      <c r="BZ126" s="1293"/>
      <c r="CA126" s="1293"/>
      <c r="CB126" s="1293"/>
      <c r="CC126" s="1293"/>
      <c r="CD126" s="1293"/>
      <c r="CE126" s="1293"/>
      <c r="CF126" s="1293"/>
      <c r="CG126" s="1293"/>
    </row>
    <row r="127" spans="1:85" ht="15.75">
      <c r="A127" s="1293"/>
      <c r="B127" s="1293"/>
      <c r="C127" s="1293" t="str">
        <f>'New (new) quarts'!B255</f>
        <v>Costa Rica</v>
      </c>
      <c r="D127" s="1699">
        <f>'New (new) quarts'!G255</f>
        <v>543.5315384615385</v>
      </c>
      <c r="E127" s="1699">
        <f>'New (new) quarts'!L255</f>
        <v>540.67750000000001</v>
      </c>
      <c r="F127" s="1699">
        <f>'New (new) quarts'!Q255</f>
        <v>551.47</v>
      </c>
      <c r="G127" s="1699">
        <v>568</v>
      </c>
      <c r="H127" s="1699">
        <v>572</v>
      </c>
      <c r="I127" s="1293">
        <v>588</v>
      </c>
      <c r="J127" s="1699">
        <v>584</v>
      </c>
      <c r="K127" s="1699">
        <v>621.60687374344411</v>
      </c>
      <c r="L127" s="1995">
        <v>664.7465336538462</v>
      </c>
      <c r="M127" s="1995">
        <v>544</v>
      </c>
      <c r="N127" s="1995">
        <v>515</v>
      </c>
      <c r="O127" s="1994">
        <v>500</v>
      </c>
      <c r="P127" s="1994">
        <f t="shared" ref="P127" si="124">O127*1.02</f>
        <v>510</v>
      </c>
      <c r="Q127" s="1994">
        <f t="shared" ref="Q127:Q128" si="125">P127*1.02</f>
        <v>520.20000000000005</v>
      </c>
      <c r="R127" s="1994">
        <f t="shared" ref="R127:R128" si="126">Q127*1.02</f>
        <v>530.60400000000004</v>
      </c>
      <c r="S127" s="1994">
        <f t="shared" ref="S127:S128" si="127">R127*1.02</f>
        <v>541.21608000000003</v>
      </c>
      <c r="T127" s="1994">
        <f t="shared" ref="T127:T128" si="128">S127*1.02</f>
        <v>552.0404016</v>
      </c>
      <c r="U127" s="1293" t="s">
        <v>9095</v>
      </c>
      <c r="V127" s="1293"/>
      <c r="W127" s="1293"/>
      <c r="X127" s="1293"/>
      <c r="Y127" s="1293"/>
      <c r="Z127" s="1293"/>
      <c r="AA127" s="1293"/>
      <c r="AB127" s="1293"/>
      <c r="AC127" s="1293"/>
      <c r="AD127" s="1293"/>
      <c r="AE127" s="1293"/>
      <c r="AF127" s="1293"/>
      <c r="AG127" s="1293"/>
      <c r="AH127" s="1293"/>
      <c r="AI127" s="1293"/>
      <c r="AJ127" s="1293"/>
      <c r="AK127" s="1293"/>
      <c r="AL127" s="1293"/>
      <c r="AM127" s="1293"/>
      <c r="AN127" s="1293"/>
      <c r="AO127" s="1293"/>
      <c r="AP127" s="1293"/>
      <c r="AQ127" s="1293"/>
      <c r="AR127" s="1293"/>
      <c r="AS127" s="1293"/>
      <c r="AT127" s="1293"/>
      <c r="AU127" s="1293"/>
      <c r="AV127" s="1293"/>
      <c r="AW127" s="1293"/>
      <c r="AX127" s="1293"/>
      <c r="AY127" s="1293"/>
      <c r="AZ127" s="1293"/>
      <c r="BA127" s="1293"/>
      <c r="BB127" s="1293"/>
      <c r="BC127" s="1293"/>
      <c r="BD127" s="1293"/>
      <c r="BE127" s="1293"/>
      <c r="BF127" s="1293"/>
      <c r="BG127" s="1293"/>
      <c r="BH127" s="1293"/>
      <c r="BI127" s="1293"/>
      <c r="BJ127" s="1293"/>
      <c r="BK127" s="1293"/>
      <c r="BL127" s="1293"/>
      <c r="BM127" s="1293"/>
      <c r="BN127" s="1293"/>
      <c r="BO127" s="1293"/>
      <c r="BP127" s="1293"/>
      <c r="BQ127" s="1293"/>
      <c r="BR127" s="1293"/>
      <c r="BS127" s="1293"/>
      <c r="BT127" s="1293"/>
      <c r="BU127" s="1293"/>
      <c r="BV127" s="1293"/>
      <c r="BW127" s="1293"/>
      <c r="BX127" s="1293"/>
      <c r="BY127" s="1293"/>
      <c r="BZ127" s="1293"/>
      <c r="CA127" s="1293"/>
      <c r="CB127" s="1293"/>
      <c r="CC127" s="1293"/>
      <c r="CD127" s="1293"/>
      <c r="CE127" s="1293"/>
      <c r="CF127" s="1293"/>
      <c r="CG127" s="1293"/>
    </row>
    <row r="128" spans="1:85" ht="15.75">
      <c r="A128" s="1293"/>
      <c r="B128" s="1293"/>
      <c r="C128" s="1293" t="s">
        <v>2033</v>
      </c>
      <c r="D128" s="1699"/>
      <c r="E128" s="1699"/>
      <c r="F128" s="1699"/>
      <c r="G128" s="1699"/>
      <c r="H128" s="1699"/>
      <c r="I128" s="1293"/>
      <c r="J128" s="1995">
        <v>34.102899999999998</v>
      </c>
      <c r="K128" s="1995">
        <v>34.870600000000003</v>
      </c>
      <c r="L128" s="1995">
        <v>35.869999999999997</v>
      </c>
      <c r="M128" s="1995">
        <v>36.44</v>
      </c>
      <c r="N128" s="1995">
        <v>36.700000000000003</v>
      </c>
      <c r="O128" s="1994">
        <v>36.799999999999997</v>
      </c>
      <c r="P128" s="1994">
        <f>O128*1.02</f>
        <v>37.535999999999994</v>
      </c>
      <c r="Q128" s="1994">
        <f t="shared" si="125"/>
        <v>38.286719999999995</v>
      </c>
      <c r="R128" s="1994">
        <f t="shared" si="126"/>
        <v>39.052454399999995</v>
      </c>
      <c r="S128" s="1994">
        <f t="shared" si="127"/>
        <v>39.833503487999998</v>
      </c>
      <c r="T128" s="1994">
        <f t="shared" si="128"/>
        <v>40.630173557759996</v>
      </c>
      <c r="U128" s="1293" t="s">
        <v>9096</v>
      </c>
      <c r="V128" s="1293"/>
      <c r="W128" s="1293"/>
      <c r="X128" s="1293"/>
      <c r="Y128" s="1293"/>
      <c r="Z128" s="1293"/>
      <c r="AA128" s="1293"/>
      <c r="AB128" s="1293"/>
      <c r="AC128" s="1293"/>
      <c r="AD128" s="1293"/>
      <c r="AE128" s="1293"/>
      <c r="AF128" s="1293"/>
      <c r="AG128" s="1293"/>
      <c r="AH128" s="1293"/>
      <c r="AI128" s="1293"/>
      <c r="AJ128" s="1293"/>
      <c r="AK128" s="1293"/>
      <c r="AL128" s="1293"/>
      <c r="AM128" s="1293"/>
      <c r="AN128" s="1293"/>
      <c r="AO128" s="1293"/>
      <c r="AP128" s="1293"/>
      <c r="AQ128" s="1293"/>
      <c r="AR128" s="1293"/>
      <c r="AS128" s="1293"/>
      <c r="AT128" s="1293"/>
      <c r="AU128" s="1293"/>
      <c r="AV128" s="1293"/>
      <c r="AW128" s="1293"/>
      <c r="AX128" s="1293"/>
      <c r="AY128" s="1293"/>
      <c r="AZ128" s="1293"/>
      <c r="BA128" s="1293"/>
      <c r="BB128" s="1293"/>
      <c r="BC128" s="1293"/>
      <c r="BD128" s="1293"/>
      <c r="BE128" s="1293"/>
      <c r="BF128" s="1293"/>
      <c r="BG128" s="1293"/>
      <c r="BH128" s="1293"/>
      <c r="BI128" s="1293"/>
      <c r="BJ128" s="1293"/>
      <c r="BK128" s="1293"/>
      <c r="BL128" s="1293"/>
      <c r="BM128" s="1293"/>
      <c r="BN128" s="1293"/>
      <c r="BO128" s="1293"/>
      <c r="BP128" s="1293"/>
      <c r="BQ128" s="1293"/>
      <c r="BR128" s="1293"/>
      <c r="BS128" s="1293"/>
      <c r="BT128" s="1293"/>
      <c r="BU128" s="1293"/>
      <c r="BV128" s="1293"/>
      <c r="BW128" s="1293"/>
      <c r="BX128" s="1293"/>
      <c r="BY128" s="1293"/>
      <c r="BZ128" s="1293"/>
      <c r="CA128" s="1293"/>
      <c r="CB128" s="1293"/>
      <c r="CC128" s="1293"/>
      <c r="CD128" s="1293"/>
      <c r="CE128" s="1293"/>
      <c r="CF128" s="1293"/>
      <c r="CG128" s="1293"/>
    </row>
    <row r="129" spans="1:85" ht="15.75">
      <c r="A129" s="1293"/>
      <c r="B129" s="1293"/>
      <c r="C129" s="1293" t="str">
        <f>'New (new) quarts'!B260</f>
        <v>Bolivia</v>
      </c>
      <c r="D129" s="1699">
        <f>'New (new) quarts'!G260</f>
        <v>6.9099999999999975</v>
      </c>
      <c r="E129" s="1699">
        <f>'New (new) quarts'!L260</f>
        <v>6.91</v>
      </c>
      <c r="F129" s="1699">
        <f>'New (new) quarts'!Q260</f>
        <v>6.91</v>
      </c>
      <c r="G129" s="1699">
        <v>6.91</v>
      </c>
      <c r="H129" s="1699">
        <v>6.9</v>
      </c>
      <c r="I129" s="1293">
        <v>6.91</v>
      </c>
      <c r="J129" s="1699">
        <v>6.91</v>
      </c>
      <c r="K129" s="1699">
        <v>6.8995307317161991</v>
      </c>
      <c r="L129" s="1995">
        <v>6.8822097115384615</v>
      </c>
      <c r="M129" s="1995">
        <v>6.91</v>
      </c>
      <c r="N129" s="1995">
        <v>6.89</v>
      </c>
      <c r="O129" s="1994">
        <v>17.5</v>
      </c>
      <c r="P129" s="1994">
        <f>O129</f>
        <v>17.5</v>
      </c>
      <c r="Q129" s="1994">
        <f t="shared" ref="Q129:T129" si="129">P129</f>
        <v>17.5</v>
      </c>
      <c r="R129" s="1994">
        <f t="shared" si="129"/>
        <v>17.5</v>
      </c>
      <c r="S129" s="1994">
        <f t="shared" si="129"/>
        <v>17.5</v>
      </c>
      <c r="T129" s="1994">
        <f t="shared" si="129"/>
        <v>17.5</v>
      </c>
      <c r="U129" s="1293" t="s">
        <v>9097</v>
      </c>
      <c r="V129" s="1293"/>
      <c r="W129" s="1293"/>
      <c r="X129" s="1293"/>
      <c r="Y129" s="1293"/>
      <c r="Z129" s="1293"/>
      <c r="AA129" s="1293"/>
      <c r="AB129" s="1293"/>
      <c r="AC129" s="1293"/>
      <c r="AD129" s="1293"/>
      <c r="AE129" s="1293"/>
      <c r="AF129" s="1293"/>
      <c r="AG129" s="1293"/>
      <c r="AH129" s="1293"/>
      <c r="AI129" s="1293"/>
      <c r="AJ129" s="1293"/>
      <c r="AK129" s="1293"/>
      <c r="AL129" s="1293"/>
      <c r="AM129" s="1293"/>
      <c r="AN129" s="1293"/>
      <c r="AO129" s="1293"/>
      <c r="AP129" s="1293"/>
      <c r="AQ129" s="1293"/>
      <c r="AR129" s="1293"/>
      <c r="AS129" s="1293"/>
      <c r="AT129" s="1293"/>
      <c r="AU129" s="1293"/>
      <c r="AV129" s="1293"/>
      <c r="AW129" s="1293"/>
      <c r="AX129" s="1293"/>
      <c r="AY129" s="1293"/>
      <c r="AZ129" s="1293"/>
      <c r="BA129" s="1293"/>
      <c r="BB129" s="1293"/>
      <c r="BC129" s="1293"/>
      <c r="BD129" s="1293"/>
      <c r="BE129" s="1293"/>
      <c r="BF129" s="1293"/>
      <c r="BG129" s="1293"/>
      <c r="BH129" s="1293"/>
      <c r="BI129" s="1293"/>
      <c r="BJ129" s="1293"/>
      <c r="BK129" s="1293"/>
      <c r="BL129" s="1293"/>
      <c r="BM129" s="1293"/>
      <c r="BN129" s="1293"/>
      <c r="BO129" s="1293"/>
      <c r="BP129" s="1293"/>
      <c r="BQ129" s="1293"/>
      <c r="BR129" s="1293"/>
      <c r="BS129" s="1293"/>
      <c r="BT129" s="1293"/>
      <c r="BU129" s="1293"/>
      <c r="BV129" s="1293"/>
      <c r="BW129" s="1293"/>
      <c r="BX129" s="1293"/>
      <c r="BY129" s="1293"/>
      <c r="BZ129" s="1293"/>
      <c r="CA129" s="1293"/>
      <c r="CB129" s="1293"/>
      <c r="CC129" s="1293"/>
      <c r="CD129" s="1293"/>
      <c r="CE129" s="1293"/>
      <c r="CF129" s="1293"/>
      <c r="CG129" s="1293"/>
    </row>
    <row r="130" spans="1:85" ht="15.75">
      <c r="A130" s="1293"/>
      <c r="B130" s="1293"/>
      <c r="C130" s="1293" t="str">
        <f>'New (new) quarts'!B261</f>
        <v>Colombia</v>
      </c>
      <c r="D130" s="1698">
        <f>'New (new) quarts'!G261</f>
        <v>2010.8446153846151</v>
      </c>
      <c r="E130" s="1698">
        <f>'New (new) quarts'!L261</f>
        <v>2746.9274999999998</v>
      </c>
      <c r="F130" s="1698">
        <f>'New (new) quarts'!Q261</f>
        <v>3048.51</v>
      </c>
      <c r="G130" s="1698">
        <v>2959.3</v>
      </c>
      <c r="H130" s="1698">
        <f>Colombia!O34</f>
        <v>2919</v>
      </c>
      <c r="I130" s="1698">
        <v>3270</v>
      </c>
      <c r="J130" s="1698">
        <f>Colombia!Q34</f>
        <v>3749</v>
      </c>
      <c r="K130" s="1698">
        <v>3746.3086314102566</v>
      </c>
      <c r="L130" s="1996">
        <v>4255</v>
      </c>
      <c r="M130" s="1996">
        <v>4320</v>
      </c>
      <c r="N130" s="1996">
        <v>4081</v>
      </c>
      <c r="O130" s="1869">
        <v>4150</v>
      </c>
      <c r="P130" s="1869">
        <f t="shared" ref="P130:T131" si="130">O130*1.02</f>
        <v>4233</v>
      </c>
      <c r="Q130" s="1869">
        <f t="shared" si="130"/>
        <v>4317.66</v>
      </c>
      <c r="R130" s="1869">
        <f t="shared" si="130"/>
        <v>4404.0132000000003</v>
      </c>
      <c r="S130" s="1869">
        <f t="shared" si="130"/>
        <v>4492.0934640000005</v>
      </c>
      <c r="T130" s="1869">
        <f t="shared" si="130"/>
        <v>4581.935333280001</v>
      </c>
      <c r="U130" s="1293" t="s">
        <v>874</v>
      </c>
      <c r="V130" s="1293"/>
      <c r="W130" s="1293"/>
      <c r="X130" s="1293"/>
      <c r="Y130" s="1293"/>
      <c r="Z130" s="1293"/>
      <c r="AA130" s="1293"/>
      <c r="AB130" s="1293"/>
      <c r="AC130" s="1293"/>
      <c r="AD130" s="1293"/>
      <c r="AE130" s="1293"/>
      <c r="AF130" s="1293"/>
      <c r="AG130" s="1293"/>
      <c r="AH130" s="1293"/>
      <c r="AI130" s="1293"/>
      <c r="AJ130" s="1293"/>
      <c r="AK130" s="1293"/>
      <c r="AL130" s="1293"/>
      <c r="AM130" s="1293"/>
      <c r="AN130" s="1293"/>
      <c r="AO130" s="1293"/>
      <c r="AP130" s="1293"/>
      <c r="AQ130" s="1293"/>
      <c r="AR130" s="1293"/>
      <c r="AS130" s="1293"/>
      <c r="AT130" s="1293"/>
      <c r="AU130" s="1293"/>
      <c r="AV130" s="1293"/>
      <c r="AW130" s="1293"/>
      <c r="AX130" s="1293"/>
      <c r="AY130" s="1293"/>
      <c r="AZ130" s="1293"/>
      <c r="BA130" s="1293"/>
      <c r="BB130" s="1293"/>
      <c r="BC130" s="1293"/>
      <c r="BD130" s="1293"/>
      <c r="BE130" s="1293"/>
      <c r="BF130" s="1293"/>
      <c r="BG130" s="1293"/>
      <c r="BH130" s="1293"/>
      <c r="BI130" s="1293"/>
      <c r="BJ130" s="1293"/>
      <c r="BK130" s="1293"/>
      <c r="BL130" s="1293"/>
      <c r="BM130" s="1293"/>
      <c r="BN130" s="1293"/>
      <c r="BO130" s="1293"/>
      <c r="BP130" s="1293"/>
      <c r="BQ130" s="1293"/>
      <c r="BR130" s="1293"/>
      <c r="BS130" s="1293"/>
      <c r="BT130" s="1293"/>
      <c r="BU130" s="1293"/>
      <c r="BV130" s="1293"/>
      <c r="BW130" s="1293"/>
      <c r="BX130" s="1293"/>
      <c r="BY130" s="1293"/>
      <c r="BZ130" s="1293"/>
      <c r="CA130" s="1293"/>
      <c r="CB130" s="1293"/>
      <c r="CC130" s="1293"/>
      <c r="CD130" s="1293"/>
      <c r="CE130" s="1293"/>
      <c r="CF130" s="1293"/>
      <c r="CG130" s="1293"/>
    </row>
    <row r="131" spans="1:85" ht="15.75">
      <c r="A131" s="1293"/>
      <c r="B131" s="1293"/>
      <c r="C131" s="1293" t="str">
        <f>'New (new) quarts'!B262</f>
        <v>Paraguay</v>
      </c>
      <c r="D131" s="1698">
        <f>'New (new) quarts'!G262</f>
        <v>4484.2307692307695</v>
      </c>
      <c r="E131" s="1698">
        <f>'New (new) quarts'!L262</f>
        <v>5200.7562500000004</v>
      </c>
      <c r="F131" s="1698">
        <f>'New (new) quarts'!Q262</f>
        <v>5685.89</v>
      </c>
      <c r="G131" s="1698">
        <v>5624.55</v>
      </c>
      <c r="H131" s="1698">
        <v>5709</v>
      </c>
      <c r="I131" s="1698">
        <v>6203</v>
      </c>
      <c r="J131" s="1698">
        <v>6770</v>
      </c>
      <c r="K131" s="1698">
        <v>6774.5892795745922</v>
      </c>
      <c r="L131" s="1996">
        <v>6954</v>
      </c>
      <c r="M131" s="1996">
        <v>7292</v>
      </c>
      <c r="N131" s="1996">
        <v>7576</v>
      </c>
      <c r="O131" s="1869">
        <v>7900</v>
      </c>
      <c r="P131" s="1869">
        <f>O131*1.02</f>
        <v>8058</v>
      </c>
      <c r="Q131" s="1869">
        <f t="shared" si="130"/>
        <v>8219.16</v>
      </c>
      <c r="R131" s="1869">
        <f t="shared" si="130"/>
        <v>8383.5432000000001</v>
      </c>
      <c r="S131" s="1869">
        <f t="shared" si="130"/>
        <v>8551.2140639999998</v>
      </c>
      <c r="T131" s="1869">
        <f t="shared" si="130"/>
        <v>8722.2383452800004</v>
      </c>
      <c r="U131" s="1293" t="s">
        <v>9098</v>
      </c>
      <c r="V131" s="1293"/>
      <c r="W131" s="1293"/>
      <c r="X131" s="1293"/>
      <c r="Y131" s="1293"/>
      <c r="Z131" s="1293"/>
      <c r="AA131" s="1293"/>
      <c r="AB131" s="1293"/>
      <c r="AC131" s="1293"/>
      <c r="AD131" s="1293"/>
      <c r="AE131" s="1293"/>
      <c r="AF131" s="1293"/>
      <c r="AG131" s="1293"/>
      <c r="AH131" s="1293"/>
      <c r="AI131" s="1293"/>
      <c r="AJ131" s="1293"/>
      <c r="AK131" s="1293"/>
      <c r="AL131" s="1293"/>
      <c r="AM131" s="1293"/>
      <c r="AN131" s="1293"/>
      <c r="AO131" s="1293"/>
      <c r="AP131" s="1293"/>
      <c r="AQ131" s="1293"/>
      <c r="AR131" s="1293"/>
      <c r="AS131" s="1293"/>
      <c r="AT131" s="1293"/>
      <c r="AU131" s="1293"/>
      <c r="AV131" s="1293"/>
      <c r="AW131" s="1293"/>
      <c r="AX131" s="1293"/>
      <c r="AY131" s="1293"/>
      <c r="AZ131" s="1293"/>
      <c r="BA131" s="1293"/>
      <c r="BB131" s="1293"/>
      <c r="BC131" s="1293"/>
      <c r="BD131" s="1293"/>
      <c r="BE131" s="1293"/>
      <c r="BF131" s="1293"/>
      <c r="BG131" s="1293"/>
      <c r="BH131" s="1293"/>
      <c r="BI131" s="1293"/>
      <c r="BJ131" s="1293"/>
      <c r="BK131" s="1293"/>
      <c r="BL131" s="1293"/>
      <c r="BM131" s="1293"/>
      <c r="BN131" s="1293"/>
      <c r="BO131" s="1293"/>
      <c r="BP131" s="1293"/>
      <c r="BQ131" s="1293"/>
      <c r="BR131" s="1293"/>
      <c r="BS131" s="1293"/>
      <c r="BT131" s="1293"/>
      <c r="BU131" s="1293"/>
      <c r="BV131" s="1293"/>
      <c r="BW131" s="1293"/>
      <c r="BX131" s="1293"/>
      <c r="BY131" s="1293"/>
      <c r="BZ131" s="1293"/>
      <c r="CA131" s="1293"/>
      <c r="CB131" s="1293"/>
      <c r="CC131" s="1293"/>
      <c r="CD131" s="1293"/>
      <c r="CE131" s="1293"/>
      <c r="CF131" s="1293"/>
      <c r="CG131" s="1293"/>
    </row>
    <row r="132" spans="1:85" ht="15.75" hidden="1" outlineLevel="1">
      <c r="A132" s="1293"/>
      <c r="B132" s="1293"/>
      <c r="C132" s="1982" t="str">
        <f>'New (new) quarts'!B264</f>
        <v>Chad</v>
      </c>
      <c r="D132" s="1699">
        <f>'New (new) quarts'!G264</f>
        <v>497.83110769230768</v>
      </c>
      <c r="E132" s="1699">
        <f>'New (new) quarts'!L264</f>
        <v>593.65695625000001</v>
      </c>
      <c r="F132" s="1699">
        <f>'New (new) quarts'!Q264</f>
        <v>600.08000000000004</v>
      </c>
      <c r="G132" s="1699">
        <v>587.97</v>
      </c>
      <c r="H132" s="1699">
        <v>560</v>
      </c>
      <c r="I132" s="1293">
        <v>587</v>
      </c>
      <c r="J132" s="1699">
        <v>596</v>
      </c>
      <c r="K132" s="1699">
        <v>554.80371286840762</v>
      </c>
      <c r="L132" s="1995">
        <v>623.79999999999995</v>
      </c>
      <c r="M132" s="1995">
        <v>606.75</v>
      </c>
      <c r="N132" s="1699"/>
      <c r="O132" s="1699"/>
      <c r="P132" s="1699"/>
      <c r="Q132" s="1699"/>
      <c r="R132" s="1699"/>
      <c r="S132" s="1699"/>
      <c r="T132" s="1699"/>
      <c r="U132" s="1293"/>
      <c r="V132" s="1293"/>
      <c r="W132" s="1293"/>
      <c r="X132" s="1293"/>
      <c r="Y132" s="1293"/>
      <c r="Z132" s="1293"/>
      <c r="AA132" s="1293"/>
      <c r="AB132" s="1293"/>
      <c r="AC132" s="1293"/>
      <c r="AD132" s="1293"/>
      <c r="AE132" s="1293"/>
      <c r="AF132" s="1293"/>
      <c r="AG132" s="1293"/>
      <c r="AH132" s="1293"/>
      <c r="AI132" s="1293"/>
      <c r="AJ132" s="1293"/>
      <c r="AK132" s="1293"/>
      <c r="AL132" s="1293"/>
      <c r="AM132" s="1293"/>
      <c r="AN132" s="1293"/>
      <c r="AO132" s="1293"/>
      <c r="AP132" s="1293"/>
      <c r="AQ132" s="1293"/>
      <c r="AR132" s="1293"/>
      <c r="AS132" s="1293"/>
      <c r="AT132" s="1293"/>
      <c r="AU132" s="1293"/>
      <c r="AV132" s="1293"/>
      <c r="AW132" s="1293"/>
      <c r="AX132" s="1293"/>
      <c r="AY132" s="1293"/>
      <c r="AZ132" s="1293"/>
      <c r="BA132" s="1293"/>
      <c r="BB132" s="1293"/>
      <c r="BC132" s="1293"/>
      <c r="BD132" s="1293"/>
      <c r="BE132" s="1293"/>
      <c r="BF132" s="1293"/>
      <c r="BG132" s="1293"/>
      <c r="BH132" s="1293"/>
      <c r="BI132" s="1293"/>
      <c r="BJ132" s="1293"/>
      <c r="BK132" s="1293"/>
      <c r="BL132" s="1293"/>
      <c r="BM132" s="1293"/>
      <c r="BN132" s="1293"/>
      <c r="BO132" s="1293"/>
      <c r="BP132" s="1293"/>
      <c r="BQ132" s="1293"/>
      <c r="BR132" s="1293"/>
      <c r="BS132" s="1293"/>
      <c r="BT132" s="1293"/>
      <c r="BU132" s="1293"/>
      <c r="BV132" s="1293"/>
      <c r="BW132" s="1293"/>
      <c r="BX132" s="1293"/>
      <c r="BY132" s="1293"/>
      <c r="BZ132" s="1293"/>
      <c r="CA132" s="1293"/>
      <c r="CB132" s="1293"/>
      <c r="CC132" s="1293"/>
      <c r="CD132" s="1293"/>
      <c r="CE132" s="1293"/>
      <c r="CF132" s="1293"/>
      <c r="CG132" s="1293"/>
    </row>
    <row r="133" spans="1:85" ht="15.75" hidden="1" outlineLevel="1">
      <c r="A133" s="1293"/>
      <c r="B133" s="1293"/>
      <c r="C133" s="1982" t="str">
        <f>'New (new) quarts'!B265</f>
        <v>DRC</v>
      </c>
      <c r="D133" s="1699">
        <f>'New (new) quarts'!G265</f>
        <v>922.39267464525074</v>
      </c>
      <c r="E133" s="1699">
        <f>'New (new) quarts'!L265</f>
        <v>921.34378369026808</v>
      </c>
      <c r="F133" s="1699">
        <f>'New (new) quarts'!Q265</f>
        <v>0</v>
      </c>
      <c r="G133" s="1699"/>
      <c r="H133" s="1699"/>
      <c r="I133" s="1293"/>
      <c r="J133" s="1699"/>
      <c r="K133" s="1699"/>
      <c r="L133" s="1699"/>
      <c r="M133" s="1699"/>
      <c r="N133" s="1699"/>
      <c r="O133" s="1699"/>
      <c r="P133" s="1699"/>
      <c r="Q133" s="1699"/>
      <c r="R133" s="1699"/>
      <c r="S133" s="1699"/>
      <c r="T133" s="1699"/>
      <c r="U133" s="1293"/>
      <c r="V133" s="1293"/>
      <c r="W133" s="1293"/>
      <c r="X133" s="1293"/>
      <c r="Y133" s="1293"/>
      <c r="Z133" s="1293"/>
      <c r="AA133" s="1293"/>
      <c r="AB133" s="1293"/>
      <c r="AC133" s="1293"/>
      <c r="AD133" s="1293"/>
      <c r="AE133" s="1293"/>
      <c r="AF133" s="1293"/>
      <c r="AG133" s="1293"/>
      <c r="AH133" s="1293"/>
      <c r="AI133" s="1293"/>
      <c r="AJ133" s="1293"/>
      <c r="AK133" s="1293"/>
      <c r="AL133" s="1293"/>
      <c r="AM133" s="1293"/>
      <c r="AN133" s="1293"/>
      <c r="AO133" s="1293"/>
      <c r="AP133" s="1293"/>
      <c r="AQ133" s="1293"/>
      <c r="AR133" s="1293"/>
      <c r="AS133" s="1293"/>
      <c r="AT133" s="1293"/>
      <c r="AU133" s="1293"/>
      <c r="AV133" s="1293"/>
      <c r="AW133" s="1293"/>
      <c r="AX133" s="1293"/>
      <c r="AY133" s="1293"/>
      <c r="AZ133" s="1293"/>
      <c r="BA133" s="1293"/>
      <c r="BB133" s="1293"/>
      <c r="BC133" s="1293"/>
      <c r="BD133" s="1293"/>
      <c r="BE133" s="1293"/>
      <c r="BF133" s="1293"/>
      <c r="BG133" s="1293"/>
      <c r="BH133" s="1293"/>
      <c r="BI133" s="1293"/>
      <c r="BJ133" s="1293"/>
      <c r="BK133" s="1293"/>
      <c r="BL133" s="1293"/>
      <c r="BM133" s="1293"/>
      <c r="BN133" s="1293"/>
      <c r="BO133" s="1293"/>
      <c r="BP133" s="1293"/>
      <c r="BQ133" s="1293"/>
      <c r="BR133" s="1293"/>
      <c r="BS133" s="1293"/>
      <c r="BT133" s="1293"/>
      <c r="BU133" s="1293"/>
      <c r="BV133" s="1293"/>
      <c r="BW133" s="1293"/>
      <c r="BX133" s="1293"/>
      <c r="BY133" s="1293"/>
      <c r="BZ133" s="1293"/>
      <c r="CA133" s="1293"/>
      <c r="CB133" s="1293"/>
      <c r="CC133" s="1293"/>
      <c r="CD133" s="1293"/>
      <c r="CE133" s="1293"/>
      <c r="CF133" s="1293"/>
      <c r="CG133" s="1293"/>
    </row>
    <row r="134" spans="1:85" ht="15.75" hidden="1" outlineLevel="1">
      <c r="A134" s="1293"/>
      <c r="B134" s="1293"/>
      <c r="C134" s="1982" t="str">
        <f>'New (new) quarts'!B266</f>
        <v>Ghana</v>
      </c>
      <c r="D134" s="1699">
        <f>'New (new) quarts'!G266</f>
        <v>2.8775384615384612</v>
      </c>
      <c r="E134" s="1699">
        <f>'New (new) quarts'!L266</f>
        <v>3.7433062499999998</v>
      </c>
      <c r="F134" s="1699">
        <f>'New (new) quarts'!Q266</f>
        <v>3.92</v>
      </c>
      <c r="G134" s="1699"/>
      <c r="H134" s="1699"/>
      <c r="I134" s="1293"/>
      <c r="J134" s="1699"/>
      <c r="K134" s="1699"/>
      <c r="L134" s="1699"/>
      <c r="M134" s="1699"/>
      <c r="N134" s="1699"/>
      <c r="O134" s="1699"/>
      <c r="P134" s="1699"/>
      <c r="Q134" s="1699"/>
      <c r="R134" s="1699"/>
      <c r="S134" s="1699"/>
      <c r="T134" s="1699"/>
      <c r="U134" s="1293"/>
      <c r="V134" s="1293"/>
      <c r="W134" s="1293"/>
      <c r="X134" s="1293"/>
      <c r="Y134" s="1293"/>
      <c r="Z134" s="1293"/>
      <c r="AA134" s="1293"/>
      <c r="AB134" s="1293"/>
      <c r="AC134" s="1293"/>
      <c r="AD134" s="1293"/>
      <c r="AE134" s="1293"/>
      <c r="AF134" s="1293"/>
      <c r="AG134" s="1293"/>
      <c r="AH134" s="1293"/>
      <c r="AI134" s="1293"/>
      <c r="AJ134" s="1293"/>
      <c r="AK134" s="1293"/>
      <c r="AL134" s="1293"/>
      <c r="AM134" s="1293"/>
      <c r="AN134" s="1293"/>
      <c r="AO134" s="1293"/>
      <c r="AP134" s="1293"/>
      <c r="AQ134" s="1293"/>
      <c r="AR134" s="1293"/>
      <c r="AS134" s="1293"/>
      <c r="AT134" s="1293"/>
      <c r="AU134" s="1293"/>
      <c r="AV134" s="1293"/>
      <c r="AW134" s="1293"/>
      <c r="AX134" s="1293"/>
      <c r="AY134" s="1293"/>
      <c r="AZ134" s="1293"/>
      <c r="BA134" s="1293"/>
      <c r="BB134" s="1293"/>
      <c r="BC134" s="1293"/>
      <c r="BD134" s="1293"/>
      <c r="BE134" s="1293"/>
      <c r="BF134" s="1293"/>
      <c r="BG134" s="1293"/>
      <c r="BH134" s="1293"/>
      <c r="BI134" s="1293"/>
      <c r="BJ134" s="1293"/>
      <c r="BK134" s="1293"/>
      <c r="BL134" s="1293"/>
      <c r="BM134" s="1293"/>
      <c r="BN134" s="1293"/>
      <c r="BO134" s="1293"/>
      <c r="BP134" s="1293"/>
      <c r="BQ134" s="1293"/>
      <c r="BR134" s="1293"/>
      <c r="BS134" s="1293"/>
      <c r="BT134" s="1293"/>
      <c r="BU134" s="1293"/>
      <c r="BV134" s="1293"/>
      <c r="BW134" s="1293"/>
      <c r="BX134" s="1293"/>
      <c r="BY134" s="1293"/>
      <c r="BZ134" s="1293"/>
      <c r="CA134" s="1293"/>
      <c r="CB134" s="1293"/>
      <c r="CC134" s="1293"/>
      <c r="CD134" s="1293"/>
      <c r="CE134" s="1293"/>
      <c r="CF134" s="1293"/>
      <c r="CG134" s="1293"/>
    </row>
    <row r="135" spans="1:85" ht="15.75" hidden="1" outlineLevel="1">
      <c r="A135" s="1293"/>
      <c r="B135" s="1293"/>
      <c r="C135" s="1982" t="str">
        <f>'New (new) quarts'!B267</f>
        <v>Rwanda</v>
      </c>
      <c r="D135" s="1699">
        <f>'New (new) quarts'!G267</f>
        <v>685.8954782307693</v>
      </c>
      <c r="E135" s="1699">
        <f>'New (new) quarts'!L267</f>
        <v>718.57358143750002</v>
      </c>
      <c r="F135" s="1699">
        <f>'New (new) quarts'!Q267</f>
        <v>786.82</v>
      </c>
      <c r="G135" s="1699">
        <v>831.5</v>
      </c>
      <c r="H135" s="1699"/>
      <c r="I135" s="1293"/>
      <c r="J135" s="1699"/>
      <c r="K135" s="1997"/>
      <c r="L135" s="1997"/>
      <c r="M135" s="1997"/>
      <c r="N135" s="1997"/>
      <c r="O135" s="1997"/>
      <c r="P135" s="1997"/>
      <c r="Q135" s="1997"/>
      <c r="R135" s="1997"/>
      <c r="S135" s="1997"/>
      <c r="T135" s="1997"/>
      <c r="U135" s="1293"/>
      <c r="V135" s="1293"/>
      <c r="W135" s="1293"/>
      <c r="X135" s="1293"/>
      <c r="Y135" s="1293"/>
      <c r="Z135" s="1293"/>
      <c r="AA135" s="1293"/>
      <c r="AB135" s="1293"/>
      <c r="AC135" s="1293"/>
      <c r="AD135" s="1293"/>
      <c r="AE135" s="1293"/>
      <c r="AF135" s="1293"/>
      <c r="AG135" s="1293"/>
      <c r="AH135" s="1293"/>
      <c r="AI135" s="1293"/>
      <c r="AJ135" s="1293"/>
      <c r="AK135" s="1293"/>
      <c r="AL135" s="1293"/>
      <c r="AM135" s="1293"/>
      <c r="AN135" s="1293"/>
      <c r="AO135" s="1293"/>
      <c r="AP135" s="1293"/>
      <c r="AQ135" s="1293"/>
      <c r="AR135" s="1293"/>
      <c r="AS135" s="1293"/>
      <c r="AT135" s="1293"/>
      <c r="AU135" s="1293"/>
      <c r="AV135" s="1293"/>
      <c r="AW135" s="1293"/>
      <c r="AX135" s="1293"/>
      <c r="AY135" s="1293"/>
      <c r="AZ135" s="1293"/>
      <c r="BA135" s="1293"/>
      <c r="BB135" s="1293"/>
      <c r="BC135" s="1293"/>
      <c r="BD135" s="1293"/>
      <c r="BE135" s="1293"/>
      <c r="BF135" s="1293"/>
      <c r="BG135" s="1293"/>
      <c r="BH135" s="1293"/>
      <c r="BI135" s="1293"/>
      <c r="BJ135" s="1293"/>
      <c r="BK135" s="1293"/>
      <c r="BL135" s="1293"/>
      <c r="BM135" s="1293"/>
      <c r="BN135" s="1293"/>
      <c r="BO135" s="1293"/>
      <c r="BP135" s="1293"/>
      <c r="BQ135" s="1293"/>
      <c r="BR135" s="1293"/>
      <c r="BS135" s="1293"/>
      <c r="BT135" s="1293"/>
      <c r="BU135" s="1293"/>
      <c r="BV135" s="1293"/>
      <c r="BW135" s="1293"/>
      <c r="BX135" s="1293"/>
      <c r="BY135" s="1293"/>
      <c r="BZ135" s="1293"/>
      <c r="CA135" s="1293"/>
      <c r="CB135" s="1293"/>
      <c r="CC135" s="1293"/>
      <c r="CD135" s="1293"/>
      <c r="CE135" s="1293"/>
      <c r="CF135" s="1293"/>
      <c r="CG135" s="1293"/>
    </row>
    <row r="136" spans="1:85" ht="15.75" hidden="1" outlineLevel="1">
      <c r="A136" s="1293"/>
      <c r="B136" s="1293"/>
      <c r="C136" s="1982" t="str">
        <f>'New (new) quarts'!B268</f>
        <v>Senegal</v>
      </c>
      <c r="D136" s="1699">
        <f>'New (new) quarts'!G268</f>
        <v>497.83110769230768</v>
      </c>
      <c r="E136" s="1699">
        <f>'New (new) quarts'!L268</f>
        <v>593.65695625000001</v>
      </c>
      <c r="F136" s="1699">
        <f>'New (new) quarts'!Q268</f>
        <v>600.08000000000004</v>
      </c>
      <c r="G136" s="1699"/>
      <c r="H136" s="1699"/>
      <c r="I136" s="1293"/>
      <c r="J136" s="1699"/>
      <c r="K136" s="1699"/>
      <c r="L136" s="1699"/>
      <c r="M136" s="1699"/>
      <c r="N136" s="1699"/>
      <c r="O136" s="1699"/>
      <c r="P136" s="1699"/>
      <c r="Q136" s="1699"/>
      <c r="R136" s="1699"/>
      <c r="S136" s="1699"/>
      <c r="T136" s="1699"/>
      <c r="U136" s="1293"/>
      <c r="V136" s="1293"/>
      <c r="W136" s="1293"/>
      <c r="X136" s="1293"/>
      <c r="Y136" s="1293"/>
      <c r="Z136" s="1293"/>
      <c r="AA136" s="1293"/>
      <c r="AB136" s="1293"/>
      <c r="AC136" s="1293"/>
      <c r="AD136" s="1293"/>
      <c r="AE136" s="1293"/>
      <c r="AF136" s="1293"/>
      <c r="AG136" s="1293"/>
      <c r="AH136" s="1293"/>
      <c r="AI136" s="1293"/>
      <c r="AJ136" s="1293"/>
      <c r="AK136" s="1293"/>
      <c r="AL136" s="1293"/>
      <c r="AM136" s="1293"/>
      <c r="AN136" s="1293"/>
      <c r="AO136" s="1293"/>
      <c r="AP136" s="1293"/>
      <c r="AQ136" s="1293"/>
      <c r="AR136" s="1293"/>
      <c r="AS136" s="1293"/>
      <c r="AT136" s="1293"/>
      <c r="AU136" s="1293"/>
      <c r="AV136" s="1293"/>
      <c r="AW136" s="1293"/>
      <c r="AX136" s="1293"/>
      <c r="AY136" s="1293"/>
      <c r="AZ136" s="1293"/>
      <c r="BA136" s="1293"/>
      <c r="BB136" s="1293"/>
      <c r="BC136" s="1293"/>
      <c r="BD136" s="1293"/>
      <c r="BE136" s="1293"/>
      <c r="BF136" s="1293"/>
      <c r="BG136" s="1293"/>
      <c r="BH136" s="1293"/>
      <c r="BI136" s="1293"/>
      <c r="BJ136" s="1293"/>
      <c r="BK136" s="1293"/>
      <c r="BL136" s="1293"/>
      <c r="BM136" s="1293"/>
      <c r="BN136" s="1293"/>
      <c r="BO136" s="1293"/>
      <c r="BP136" s="1293"/>
      <c r="BQ136" s="1293"/>
      <c r="BR136" s="1293"/>
      <c r="BS136" s="1293"/>
      <c r="BT136" s="1293"/>
      <c r="BU136" s="1293"/>
      <c r="BV136" s="1293"/>
      <c r="BW136" s="1293"/>
      <c r="BX136" s="1293"/>
      <c r="BY136" s="1293"/>
      <c r="BZ136" s="1293"/>
      <c r="CA136" s="1293"/>
      <c r="CB136" s="1293"/>
      <c r="CC136" s="1293"/>
      <c r="CD136" s="1293"/>
      <c r="CE136" s="1293"/>
      <c r="CF136" s="1293"/>
      <c r="CG136" s="1293"/>
    </row>
    <row r="137" spans="1:85" ht="15.75" hidden="1" outlineLevel="1">
      <c r="A137" s="1293"/>
      <c r="B137" s="1293"/>
      <c r="C137" s="1982" t="str">
        <f>'New (new) quarts'!B269</f>
        <v>Tanzania</v>
      </c>
      <c r="D137" s="1699">
        <f>'New (new) quarts'!G269</f>
        <v>1663.1115384615384</v>
      </c>
      <c r="E137" s="1699">
        <f>'New (new) quarts'!L269</f>
        <v>1985.2806250000001</v>
      </c>
      <c r="F137" s="1699">
        <f>'New (new) quarts'!Q269</f>
        <v>2183.35</v>
      </c>
      <c r="G137" s="1699">
        <v>2233.42</v>
      </c>
      <c r="H137" s="1699">
        <v>2269</v>
      </c>
      <c r="I137" s="1293">
        <v>2304</v>
      </c>
      <c r="J137" s="1699">
        <v>2302</v>
      </c>
      <c r="K137" s="1699">
        <v>2315</v>
      </c>
      <c r="L137" s="1995">
        <v>2324.1295138221153</v>
      </c>
      <c r="M137" s="1995">
        <v>2418</v>
      </c>
      <c r="N137" s="1997">
        <f t="shared" ref="N137:T137" si="131">M137*1.015</f>
        <v>2454.27</v>
      </c>
      <c r="O137" s="1997">
        <f t="shared" si="131"/>
        <v>2491.0840499999999</v>
      </c>
      <c r="P137" s="1997">
        <f t="shared" si="131"/>
        <v>2528.4503107499995</v>
      </c>
      <c r="Q137" s="1997">
        <f t="shared" si="131"/>
        <v>2566.3770654112491</v>
      </c>
      <c r="R137" s="1997">
        <f t="shared" si="131"/>
        <v>2604.8727213924176</v>
      </c>
      <c r="S137" s="1997">
        <f t="shared" si="131"/>
        <v>2643.9458122133037</v>
      </c>
      <c r="T137" s="1997">
        <f t="shared" si="131"/>
        <v>2683.604999396503</v>
      </c>
      <c r="U137" s="1293"/>
      <c r="V137" s="1293"/>
      <c r="W137" s="1293"/>
      <c r="X137" s="1293"/>
      <c r="Y137" s="1293"/>
      <c r="Z137" s="1293"/>
      <c r="AA137" s="1293"/>
      <c r="AB137" s="1293"/>
      <c r="AC137" s="1293"/>
      <c r="AD137" s="1293"/>
      <c r="AE137" s="1293"/>
      <c r="AF137" s="1293"/>
      <c r="AG137" s="1293"/>
      <c r="AH137" s="1293"/>
      <c r="AI137" s="1293"/>
      <c r="AJ137" s="1293"/>
      <c r="AK137" s="1293"/>
      <c r="AL137" s="1293"/>
      <c r="AM137" s="1293"/>
      <c r="AN137" s="1293"/>
      <c r="AO137" s="1293"/>
      <c r="AP137" s="1293"/>
      <c r="AQ137" s="1293"/>
      <c r="AR137" s="1293"/>
      <c r="AS137" s="1293"/>
      <c r="AT137" s="1293"/>
      <c r="AU137" s="1293"/>
      <c r="AV137" s="1293"/>
      <c r="AW137" s="1293"/>
      <c r="AX137" s="1293"/>
      <c r="AY137" s="1293"/>
      <c r="AZ137" s="1293"/>
      <c r="BA137" s="1293"/>
      <c r="BB137" s="1293"/>
      <c r="BC137" s="1293"/>
      <c r="BD137" s="1293"/>
      <c r="BE137" s="1293"/>
      <c r="BF137" s="1293"/>
      <c r="BG137" s="1293"/>
      <c r="BH137" s="1293"/>
      <c r="BI137" s="1293"/>
      <c r="BJ137" s="1293"/>
      <c r="BK137" s="1293"/>
      <c r="BL137" s="1293"/>
      <c r="BM137" s="1293"/>
      <c r="BN137" s="1293"/>
      <c r="BO137" s="1293"/>
      <c r="BP137" s="1293"/>
      <c r="BQ137" s="1293"/>
      <c r="BR137" s="1293"/>
      <c r="BS137" s="1293"/>
      <c r="BT137" s="1293"/>
      <c r="BU137" s="1293"/>
      <c r="BV137" s="1293"/>
      <c r="BW137" s="1293"/>
      <c r="BX137" s="1293"/>
      <c r="BY137" s="1293"/>
      <c r="BZ137" s="1293"/>
      <c r="CA137" s="1293"/>
      <c r="CB137" s="1293"/>
      <c r="CC137" s="1293"/>
      <c r="CD137" s="1293"/>
      <c r="CE137" s="1293"/>
      <c r="CF137" s="1293"/>
      <c r="CG137" s="1293"/>
    </row>
    <row r="138" spans="1:85" ht="15.75" hidden="1" outlineLevel="1">
      <c r="A138" s="1293"/>
      <c r="B138" s="1293"/>
      <c r="C138" s="1982" t="str">
        <f>'New (new) quarts'!B270</f>
        <v>Zantel</v>
      </c>
      <c r="D138" s="1699">
        <f>D137</f>
        <v>1663.1115384615384</v>
      </c>
      <c r="E138" s="1699">
        <f>E137</f>
        <v>1985.2806250000001</v>
      </c>
      <c r="F138" s="1699">
        <f>F137</f>
        <v>2183.35</v>
      </c>
      <c r="G138" s="1699">
        <f>G137</f>
        <v>2233.42</v>
      </c>
      <c r="H138" s="1699">
        <f t="shared" ref="H138:O138" si="132">H137</f>
        <v>2269</v>
      </c>
      <c r="I138" s="1293">
        <f t="shared" si="132"/>
        <v>2304</v>
      </c>
      <c r="J138" s="1699">
        <f t="shared" si="132"/>
        <v>2302</v>
      </c>
      <c r="K138" s="1699">
        <f t="shared" si="132"/>
        <v>2315</v>
      </c>
      <c r="L138" s="1699">
        <f t="shared" si="132"/>
        <v>2324.1295138221153</v>
      </c>
      <c r="M138" s="1699">
        <f t="shared" si="132"/>
        <v>2418</v>
      </c>
      <c r="N138" s="1699">
        <f t="shared" si="132"/>
        <v>2454.27</v>
      </c>
      <c r="O138" s="1699">
        <f t="shared" si="132"/>
        <v>2491.0840499999999</v>
      </c>
      <c r="P138" s="1699">
        <f>P137</f>
        <v>2528.4503107499995</v>
      </c>
      <c r="Q138" s="1699">
        <f>Q137</f>
        <v>2566.3770654112491</v>
      </c>
      <c r="R138" s="1699">
        <f>R137</f>
        <v>2604.8727213924176</v>
      </c>
      <c r="S138" s="1699">
        <f>S137</f>
        <v>2643.9458122133037</v>
      </c>
      <c r="T138" s="1699">
        <f>T137</f>
        <v>2683.604999396503</v>
      </c>
      <c r="U138" s="1293"/>
      <c r="V138" s="1293"/>
      <c r="W138" s="1293"/>
      <c r="X138" s="1293"/>
      <c r="Y138" s="1293"/>
      <c r="Z138" s="1293"/>
      <c r="AA138" s="1293"/>
      <c r="AB138" s="1293"/>
      <c r="AC138" s="1293"/>
      <c r="AD138" s="1293"/>
      <c r="AE138" s="1293"/>
      <c r="AF138" s="1293"/>
      <c r="AG138" s="1293"/>
      <c r="AH138" s="1293"/>
      <c r="AI138" s="1293"/>
      <c r="AJ138" s="1293"/>
      <c r="AK138" s="1293"/>
      <c r="AL138" s="1293"/>
      <c r="AM138" s="1293"/>
      <c r="AN138" s="1293"/>
      <c r="AO138" s="1293"/>
      <c r="AP138" s="1293"/>
      <c r="AQ138" s="1293"/>
      <c r="AR138" s="1293"/>
      <c r="AS138" s="1293"/>
      <c r="AT138" s="1293"/>
      <c r="AU138" s="1293"/>
      <c r="AV138" s="1293"/>
      <c r="AW138" s="1293"/>
      <c r="AX138" s="1293"/>
      <c r="AY138" s="1293"/>
      <c r="AZ138" s="1293"/>
      <c r="BA138" s="1293"/>
      <c r="BB138" s="1293"/>
      <c r="BC138" s="1293"/>
      <c r="BD138" s="1293"/>
      <c r="BE138" s="1293"/>
      <c r="BF138" s="1293"/>
      <c r="BG138" s="1293"/>
      <c r="BH138" s="1293"/>
      <c r="BI138" s="1293"/>
      <c r="BJ138" s="1293"/>
      <c r="BK138" s="1293"/>
      <c r="BL138" s="1293"/>
      <c r="BM138" s="1293"/>
      <c r="BN138" s="1293"/>
      <c r="BO138" s="1293"/>
      <c r="BP138" s="1293"/>
      <c r="BQ138" s="1293"/>
      <c r="BR138" s="1293"/>
      <c r="BS138" s="1293"/>
      <c r="BT138" s="1293"/>
      <c r="BU138" s="1293"/>
      <c r="BV138" s="1293"/>
      <c r="BW138" s="1293"/>
      <c r="BX138" s="1293"/>
      <c r="BY138" s="1293"/>
      <c r="BZ138" s="1293"/>
      <c r="CA138" s="1293"/>
      <c r="CB138" s="1293"/>
      <c r="CC138" s="1293"/>
      <c r="CD138" s="1293"/>
      <c r="CE138" s="1293"/>
      <c r="CF138" s="1293"/>
      <c r="CG138" s="1293"/>
    </row>
    <row r="139" spans="1:85" ht="15.75" collapsed="1">
      <c r="A139" s="1293"/>
      <c r="B139" s="1293"/>
      <c r="C139" s="1293"/>
      <c r="D139" s="1293"/>
      <c r="E139" s="1293"/>
      <c r="F139" s="1293"/>
      <c r="G139" s="1293"/>
      <c r="H139" s="1293"/>
      <c r="I139" s="1293"/>
      <c r="J139" s="1293"/>
      <c r="K139" s="1293"/>
      <c r="L139" s="1293"/>
      <c r="M139" s="1293"/>
      <c r="N139" s="1293"/>
      <c r="O139" s="1293"/>
      <c r="P139" s="1293"/>
      <c r="Q139" s="1293"/>
      <c r="R139" s="1293"/>
      <c r="S139" s="1293"/>
      <c r="T139" s="1293"/>
      <c r="U139" s="1293"/>
      <c r="V139" s="1293"/>
      <c r="W139" s="1293"/>
      <c r="X139" s="1293"/>
      <c r="Y139" s="1293">
        <v>6.91</v>
      </c>
      <c r="Z139" s="1293">
        <v>17.5</v>
      </c>
      <c r="AA139" s="1293"/>
      <c r="AB139" s="1293"/>
      <c r="AC139" s="1293"/>
      <c r="AD139" s="1293"/>
      <c r="AE139" s="1293"/>
      <c r="AF139" s="1293"/>
      <c r="AG139" s="1293"/>
      <c r="AH139" s="1293"/>
      <c r="AI139" s="1293"/>
      <c r="AJ139" s="1293"/>
      <c r="AK139" s="1293"/>
      <c r="AL139" s="1293"/>
      <c r="AM139" s="1293"/>
      <c r="AN139" s="1293"/>
      <c r="AO139" s="1293"/>
      <c r="AP139" s="1293"/>
      <c r="AQ139" s="1293"/>
      <c r="AR139" s="1293"/>
      <c r="AS139" s="1293"/>
      <c r="AT139" s="1293"/>
      <c r="AU139" s="1293"/>
      <c r="AV139" s="1293"/>
      <c r="AW139" s="1293"/>
      <c r="AX139" s="1293"/>
      <c r="AY139" s="1293"/>
      <c r="AZ139" s="1293"/>
      <c r="BA139" s="1293"/>
      <c r="BB139" s="1293"/>
      <c r="BC139" s="1293"/>
      <c r="BD139" s="1293"/>
      <c r="BE139" s="1293"/>
      <c r="BF139" s="1293"/>
      <c r="BG139" s="1293"/>
      <c r="BH139" s="1293"/>
      <c r="BI139" s="1293"/>
      <c r="BJ139" s="1293"/>
      <c r="BK139" s="1293"/>
      <c r="BL139" s="1293"/>
      <c r="BM139" s="1293"/>
      <c r="BN139" s="1293"/>
      <c r="BO139" s="1293"/>
      <c r="BP139" s="1293"/>
      <c r="BQ139" s="1293"/>
      <c r="BR139" s="1293"/>
      <c r="BS139" s="1293"/>
      <c r="BT139" s="1293"/>
      <c r="BU139" s="1293"/>
      <c r="BV139" s="1293"/>
      <c r="BW139" s="1293"/>
      <c r="BX139" s="1293"/>
      <c r="BY139" s="1293"/>
      <c r="BZ139" s="1293"/>
      <c r="CA139" s="1293"/>
      <c r="CB139" s="1293"/>
      <c r="CC139" s="1293"/>
      <c r="CD139" s="1293"/>
      <c r="CE139" s="1293"/>
      <c r="CF139" s="1293"/>
      <c r="CG139" s="1293"/>
    </row>
    <row r="140" spans="1:85" ht="15.75">
      <c r="A140" s="1293"/>
      <c r="B140" s="1293"/>
      <c r="C140" s="1677" t="s">
        <v>619</v>
      </c>
      <c r="D140" s="1293"/>
      <c r="E140" s="1293"/>
      <c r="F140" s="1293"/>
      <c r="G140" s="1293"/>
      <c r="H140" s="1293"/>
      <c r="I140" s="1293"/>
      <c r="J140" s="1293"/>
      <c r="K140" s="1293"/>
      <c r="L140" s="1293"/>
      <c r="M140" s="1293"/>
      <c r="N140" s="1293"/>
      <c r="O140" s="1293"/>
      <c r="P140" s="1293"/>
      <c r="Q140" s="1293"/>
      <c r="R140" s="1293"/>
      <c r="S140" s="1293"/>
      <c r="T140" s="1293"/>
      <c r="U140" s="1293"/>
      <c r="V140" s="1293"/>
      <c r="W140" s="1293"/>
      <c r="X140" s="1293"/>
      <c r="Y140" s="1293">
        <f>1/Y139</f>
        <v>0.14471780028943559</v>
      </c>
      <c r="Z140" s="1293">
        <f>1/Z139</f>
        <v>5.7142857142857141E-2</v>
      </c>
      <c r="AA140" s="1293"/>
      <c r="AB140" s="1293"/>
      <c r="AC140" s="1293"/>
      <c r="AD140" s="1293"/>
      <c r="AE140" s="1293"/>
      <c r="AF140" s="1293"/>
      <c r="AG140" s="1293"/>
      <c r="AH140" s="1293"/>
      <c r="AI140" s="1293"/>
      <c r="AJ140" s="1293"/>
      <c r="AK140" s="1293"/>
      <c r="AL140" s="1293"/>
      <c r="AM140" s="1293"/>
      <c r="AN140" s="1293"/>
      <c r="AO140" s="1293"/>
      <c r="AP140" s="1293"/>
      <c r="AQ140" s="1293"/>
      <c r="AR140" s="1293"/>
      <c r="AS140" s="1293"/>
      <c r="AT140" s="1293"/>
      <c r="AU140" s="1293"/>
      <c r="AV140" s="1293"/>
      <c r="AW140" s="1293"/>
      <c r="AX140" s="1293"/>
      <c r="AY140" s="1293"/>
      <c r="AZ140" s="1293"/>
      <c r="BA140" s="1293"/>
      <c r="BB140" s="1293"/>
      <c r="BC140" s="1293"/>
      <c r="BD140" s="1293"/>
      <c r="BE140" s="1293"/>
      <c r="BF140" s="1293"/>
      <c r="BG140" s="1293"/>
      <c r="BH140" s="1293"/>
      <c r="BI140" s="1293"/>
      <c r="BJ140" s="1293"/>
      <c r="BK140" s="1293"/>
      <c r="BL140" s="1293"/>
      <c r="BM140" s="1293"/>
      <c r="BN140" s="1293"/>
      <c r="BO140" s="1293"/>
      <c r="BP140" s="1293"/>
      <c r="BQ140" s="1293"/>
      <c r="BR140" s="1293"/>
      <c r="BS140" s="1293"/>
      <c r="BT140" s="1293"/>
      <c r="BU140" s="1293"/>
      <c r="BV140" s="1293"/>
      <c r="BW140" s="1293"/>
      <c r="BX140" s="1293"/>
      <c r="BY140" s="1293"/>
      <c r="BZ140" s="1293"/>
      <c r="CA140" s="1293"/>
      <c r="CB140" s="1293"/>
      <c r="CC140" s="1293"/>
      <c r="CD140" s="1293"/>
      <c r="CE140" s="1293"/>
      <c r="CF140" s="1293"/>
      <c r="CG140" s="1293"/>
    </row>
    <row r="141" spans="1:85" ht="15.75">
      <c r="A141" s="1293"/>
      <c r="B141" s="1293"/>
      <c r="C141" s="1293" t="str">
        <f t="shared" ref="C141:C155" si="133">C123</f>
        <v>El Salvador</v>
      </c>
      <c r="D141" s="1293"/>
      <c r="E141" s="1328">
        <f t="shared" ref="E141:T141" si="134">E123/D123-1</f>
        <v>0</v>
      </c>
      <c r="F141" s="1328">
        <f t="shared" si="134"/>
        <v>0</v>
      </c>
      <c r="G141" s="1328">
        <f t="shared" si="134"/>
        <v>0</v>
      </c>
      <c r="H141" s="1328">
        <f t="shared" si="134"/>
        <v>0</v>
      </c>
      <c r="I141" s="1328">
        <f t="shared" si="134"/>
        <v>0</v>
      </c>
      <c r="J141" s="1328">
        <f t="shared" si="134"/>
        <v>0</v>
      </c>
      <c r="K141" s="1328">
        <f t="shared" si="134"/>
        <v>0</v>
      </c>
      <c r="L141" s="1328">
        <f t="shared" si="134"/>
        <v>0</v>
      </c>
      <c r="M141" s="1328">
        <f t="shared" si="134"/>
        <v>0</v>
      </c>
      <c r="N141" s="1328">
        <f t="shared" si="134"/>
        <v>0</v>
      </c>
      <c r="O141" s="1328">
        <f t="shared" si="134"/>
        <v>0</v>
      </c>
      <c r="P141" s="1328">
        <f t="shared" si="134"/>
        <v>0</v>
      </c>
      <c r="Q141" s="1328">
        <f t="shared" si="134"/>
        <v>0</v>
      </c>
      <c r="R141" s="1328">
        <f t="shared" si="134"/>
        <v>0</v>
      </c>
      <c r="S141" s="1328">
        <f t="shared" si="134"/>
        <v>0</v>
      </c>
      <c r="T141" s="1328">
        <f t="shared" si="134"/>
        <v>0</v>
      </c>
      <c r="U141" s="1293"/>
      <c r="V141" s="1293"/>
      <c r="W141" s="1293"/>
      <c r="X141" s="1293"/>
      <c r="Y141" s="1293"/>
      <c r="Z141" s="2213">
        <f>Z140/Y140-1</f>
        <v>-0.6051428571428572</v>
      </c>
      <c r="AA141" s="1293"/>
      <c r="AB141" s="1293"/>
      <c r="AC141" s="1293"/>
      <c r="AD141" s="1293"/>
      <c r="AE141" s="1293"/>
      <c r="AF141" s="1293"/>
      <c r="AG141" s="1293"/>
      <c r="AH141" s="1293"/>
      <c r="AI141" s="1293"/>
      <c r="AJ141" s="1293"/>
      <c r="AK141" s="1293"/>
      <c r="AL141" s="1293"/>
      <c r="AM141" s="1293"/>
      <c r="AN141" s="1293"/>
      <c r="AO141" s="1293"/>
      <c r="AP141" s="1293"/>
      <c r="AQ141" s="1293"/>
      <c r="AR141" s="1293"/>
      <c r="AS141" s="1293"/>
      <c r="AT141" s="1293"/>
      <c r="AU141" s="1293"/>
      <c r="AV141" s="1293"/>
      <c r="AW141" s="1293"/>
      <c r="AX141" s="1293"/>
      <c r="AY141" s="1293"/>
      <c r="AZ141" s="1293"/>
      <c r="BA141" s="1293"/>
      <c r="BB141" s="1293"/>
      <c r="BC141" s="1293"/>
      <c r="BD141" s="1293"/>
      <c r="BE141" s="1293"/>
      <c r="BF141" s="1293"/>
      <c r="BG141" s="1293"/>
      <c r="BH141" s="1293"/>
      <c r="BI141" s="1293"/>
      <c r="BJ141" s="1293"/>
      <c r="BK141" s="1293"/>
      <c r="BL141" s="1293"/>
      <c r="BM141" s="1293"/>
      <c r="BN141" s="1293"/>
      <c r="BO141" s="1293"/>
      <c r="BP141" s="1293"/>
      <c r="BQ141" s="1293"/>
      <c r="BR141" s="1293"/>
      <c r="BS141" s="1293"/>
      <c r="BT141" s="1293"/>
      <c r="BU141" s="1293"/>
      <c r="BV141" s="1293"/>
      <c r="BW141" s="1293"/>
      <c r="BX141" s="1293"/>
      <c r="BY141" s="1293"/>
      <c r="BZ141" s="1293"/>
      <c r="CA141" s="1293"/>
      <c r="CB141" s="1293"/>
      <c r="CC141" s="1293"/>
      <c r="CD141" s="1293"/>
      <c r="CE141" s="1293"/>
      <c r="CF141" s="1293"/>
      <c r="CG141" s="1293"/>
    </row>
    <row r="142" spans="1:85" ht="15.75">
      <c r="A142" s="1293"/>
      <c r="B142" s="1293"/>
      <c r="C142" s="1293" t="str">
        <f t="shared" si="133"/>
        <v>Guatemala</v>
      </c>
      <c r="D142" s="1293"/>
      <c r="E142" s="1328">
        <f t="shared" ref="E142:T142" si="135">E124/D124-1</f>
        <v>-1.0252541476191035E-2</v>
      </c>
      <c r="F142" s="1328">
        <f t="shared" si="135"/>
        <v>-5.62602032357995E-3</v>
      </c>
      <c r="G142" s="1328">
        <f t="shared" si="135"/>
        <v>-3.2851511169513792E-2</v>
      </c>
      <c r="H142" s="1328">
        <f t="shared" si="135"/>
        <v>2.1739130434782483E-2</v>
      </c>
      <c r="I142" s="1328">
        <f t="shared" si="135"/>
        <v>2.3936170212766061E-2</v>
      </c>
      <c r="J142" s="1328">
        <f t="shared" si="135"/>
        <v>0</v>
      </c>
      <c r="K142" s="1328">
        <f t="shared" si="135"/>
        <v>4.847844371537624E-3</v>
      </c>
      <c r="L142" s="1328">
        <f t="shared" si="135"/>
        <v>1.6377226972090764E-3</v>
      </c>
      <c r="M142" s="1328">
        <f t="shared" si="135"/>
        <v>1.1612903225806326E-2</v>
      </c>
      <c r="N142" s="1328">
        <f t="shared" si="135"/>
        <v>-1.0204081632653073E-2</v>
      </c>
      <c r="O142" s="1328">
        <f t="shared" si="135"/>
        <v>-7.7319587628865705E-3</v>
      </c>
      <c r="P142" s="1328">
        <f t="shared" si="135"/>
        <v>1.0000000000000009E-2</v>
      </c>
      <c r="Q142" s="1328">
        <f t="shared" si="135"/>
        <v>1.0000000000000009E-2</v>
      </c>
      <c r="R142" s="1328">
        <f t="shared" si="135"/>
        <v>1.0000000000000009E-2</v>
      </c>
      <c r="S142" s="1328">
        <f t="shared" si="135"/>
        <v>1.0000000000000009E-2</v>
      </c>
      <c r="T142" s="1328">
        <f t="shared" si="135"/>
        <v>1.0000000000000009E-2</v>
      </c>
      <c r="U142" s="1293"/>
      <c r="V142" s="1293"/>
      <c r="W142" s="1293"/>
      <c r="X142" s="1293"/>
      <c r="Y142" s="1293"/>
      <c r="Z142" s="1293"/>
      <c r="AA142" s="1293"/>
      <c r="AB142" s="1293"/>
      <c r="AC142" s="1293"/>
      <c r="AD142" s="1293"/>
      <c r="AE142" s="1293"/>
      <c r="AF142" s="1293"/>
      <c r="AG142" s="1293"/>
      <c r="AH142" s="1293"/>
      <c r="AI142" s="1293"/>
      <c r="AJ142" s="1293"/>
      <c r="AK142" s="1293"/>
      <c r="AL142" s="1293"/>
      <c r="AM142" s="1293"/>
      <c r="AN142" s="1293"/>
      <c r="AO142" s="1293"/>
      <c r="AP142" s="1293"/>
      <c r="AQ142" s="1293"/>
      <c r="AR142" s="1293"/>
      <c r="AS142" s="1293"/>
      <c r="AT142" s="1293"/>
      <c r="AU142" s="1293"/>
      <c r="AV142" s="1293"/>
      <c r="AW142" s="1293"/>
      <c r="AX142" s="1293"/>
      <c r="AY142" s="1293"/>
      <c r="AZ142" s="1293"/>
      <c r="BA142" s="1293"/>
      <c r="BB142" s="1293"/>
      <c r="BC142" s="1293"/>
      <c r="BD142" s="1293"/>
      <c r="BE142" s="1293"/>
      <c r="BF142" s="1293"/>
      <c r="BG142" s="1293"/>
      <c r="BH142" s="1293"/>
      <c r="BI142" s="1293"/>
      <c r="BJ142" s="1293"/>
      <c r="BK142" s="1293"/>
      <c r="BL142" s="1293"/>
      <c r="BM142" s="1293"/>
      <c r="BN142" s="1293"/>
      <c r="BO142" s="1293"/>
      <c r="BP142" s="1293"/>
      <c r="BQ142" s="1293"/>
      <c r="BR142" s="1293"/>
      <c r="BS142" s="1293"/>
      <c r="BT142" s="1293"/>
      <c r="BU142" s="1293"/>
      <c r="BV142" s="1293"/>
      <c r="BW142" s="1293"/>
      <c r="BX142" s="1293"/>
      <c r="BY142" s="1293"/>
      <c r="BZ142" s="1293"/>
      <c r="CA142" s="1293"/>
      <c r="CB142" s="1293"/>
      <c r="CC142" s="1293"/>
      <c r="CD142" s="1293"/>
      <c r="CE142" s="1293"/>
      <c r="CF142" s="1293"/>
      <c r="CG142" s="1293"/>
    </row>
    <row r="143" spans="1:85" ht="15.75">
      <c r="A143" s="1293"/>
      <c r="B143" s="1293"/>
      <c r="C143" s="1293" t="str">
        <f t="shared" si="133"/>
        <v>Honduras (JV)</v>
      </c>
      <c r="D143" s="1293"/>
      <c r="E143" s="1328">
        <f t="shared" ref="E143:T144" si="136">E125/D125-1</f>
        <v>4.501496952960804E-2</v>
      </c>
      <c r="F143" s="1328">
        <f t="shared" si="136"/>
        <v>4.1212089894263393E-2</v>
      </c>
      <c r="G143" s="1328">
        <f t="shared" si="136"/>
        <v>2.8359511343804433E-2</v>
      </c>
      <c r="H143" s="1328">
        <f t="shared" si="136"/>
        <v>1.2728044123886395E-2</v>
      </c>
      <c r="I143" s="1328">
        <f t="shared" si="136"/>
        <v>2.9325513196480912E-2</v>
      </c>
      <c r="J143" s="1328">
        <f t="shared" si="136"/>
        <v>6.5120065120065629E-3</v>
      </c>
      <c r="K143" s="1328">
        <f t="shared" si="136"/>
        <v>-2.6397979442548181E-2</v>
      </c>
      <c r="L143" s="1328">
        <f t="shared" si="136"/>
        <v>1.9303849667605677E-2</v>
      </c>
      <c r="M143" s="1328">
        <f t="shared" si="136"/>
        <v>4.8097139253493459E-3</v>
      </c>
      <c r="N143" s="1328">
        <f t="shared" si="136"/>
        <v>5.6772100567721306E-3</v>
      </c>
      <c r="O143" s="1328">
        <f t="shared" si="136"/>
        <v>3.2258064516129004E-2</v>
      </c>
      <c r="P143" s="1328">
        <f t="shared" si="136"/>
        <v>1.0000000000000009E-2</v>
      </c>
      <c r="Q143" s="1328">
        <f t="shared" si="136"/>
        <v>1.0000000000000009E-2</v>
      </c>
      <c r="R143" s="1328">
        <f t="shared" si="136"/>
        <v>1.0000000000000009E-2</v>
      </c>
      <c r="S143" s="1328">
        <f t="shared" si="136"/>
        <v>1.0000000000000009E-2</v>
      </c>
      <c r="T143" s="1328">
        <f t="shared" si="136"/>
        <v>1.0000000000000009E-2</v>
      </c>
      <c r="U143" s="1293"/>
      <c r="V143" s="1293"/>
      <c r="W143" s="1293"/>
      <c r="X143" s="1293"/>
      <c r="Y143" s="1293"/>
      <c r="Z143" s="1293"/>
      <c r="AA143" s="1293"/>
      <c r="AB143" s="1293"/>
      <c r="AC143" s="1293"/>
      <c r="AD143" s="1293"/>
      <c r="AE143" s="1293"/>
      <c r="AF143" s="1293"/>
      <c r="AG143" s="1293"/>
      <c r="AH143" s="1293"/>
      <c r="AI143" s="1293"/>
      <c r="AJ143" s="1293"/>
      <c r="AK143" s="1293"/>
      <c r="AL143" s="1293"/>
      <c r="AM143" s="1293"/>
      <c r="AN143" s="1293"/>
      <c r="AO143" s="1293"/>
      <c r="AP143" s="1293"/>
      <c r="AQ143" s="1293"/>
      <c r="AR143" s="1293"/>
      <c r="AS143" s="1293"/>
      <c r="AT143" s="1293"/>
      <c r="AU143" s="1293"/>
      <c r="AV143" s="1293"/>
      <c r="AW143" s="1293"/>
      <c r="AX143" s="1293"/>
      <c r="AY143" s="1293"/>
      <c r="AZ143" s="1293"/>
      <c r="BA143" s="1293"/>
      <c r="BB143" s="1293"/>
      <c r="BC143" s="1293"/>
      <c r="BD143" s="1293"/>
      <c r="BE143" s="1293"/>
      <c r="BF143" s="1293"/>
      <c r="BG143" s="1293"/>
      <c r="BH143" s="1293"/>
      <c r="BI143" s="1293"/>
      <c r="BJ143" s="1293"/>
      <c r="BK143" s="1293"/>
      <c r="BL143" s="1293"/>
      <c r="BM143" s="1293"/>
      <c r="BN143" s="1293"/>
      <c r="BO143" s="1293"/>
      <c r="BP143" s="1293"/>
      <c r="BQ143" s="1293"/>
      <c r="BR143" s="1293"/>
      <c r="BS143" s="1293"/>
      <c r="BT143" s="1293"/>
      <c r="BU143" s="1293"/>
      <c r="BV143" s="1293"/>
      <c r="BW143" s="1293"/>
      <c r="BX143" s="1293"/>
      <c r="BY143" s="1293"/>
      <c r="BZ143" s="1293"/>
      <c r="CA143" s="1293"/>
      <c r="CB143" s="1293"/>
      <c r="CC143" s="1293"/>
      <c r="CD143" s="1293"/>
      <c r="CE143" s="1293"/>
      <c r="CF143" s="1293"/>
      <c r="CG143" s="1293"/>
    </row>
    <row r="144" spans="1:85" ht="15.75">
      <c r="A144" s="1293"/>
      <c r="B144" s="1293"/>
      <c r="C144" s="1293" t="str">
        <f t="shared" si="133"/>
        <v>Panama</v>
      </c>
      <c r="D144" s="1293"/>
      <c r="E144" s="1328">
        <f t="shared" si="136"/>
        <v>0</v>
      </c>
      <c r="F144" s="1328">
        <f t="shared" si="136"/>
        <v>0</v>
      </c>
      <c r="G144" s="1328">
        <f t="shared" si="136"/>
        <v>0</v>
      </c>
      <c r="H144" s="1328">
        <f t="shared" si="136"/>
        <v>0</v>
      </c>
      <c r="I144" s="1328">
        <f t="shared" ref="I144" si="137">I126/H126-1</f>
        <v>0</v>
      </c>
      <c r="J144" s="1328">
        <f t="shared" ref="J144" si="138">J126/I126-1</f>
        <v>0</v>
      </c>
      <c r="K144" s="1328">
        <f t="shared" ref="K144" si="139">K126/J126-1</f>
        <v>0</v>
      </c>
      <c r="L144" s="1328">
        <f t="shared" ref="L144" si="140">L126/K126-1</f>
        <v>0</v>
      </c>
      <c r="M144" s="1328">
        <f t="shared" ref="M144" si="141">M126/L126-1</f>
        <v>0</v>
      </c>
      <c r="N144" s="1328">
        <f t="shared" ref="N144" si="142">N126/M126-1</f>
        <v>0</v>
      </c>
      <c r="O144" s="1328">
        <f t="shared" ref="O144" si="143">O126/N126-1</f>
        <v>0</v>
      </c>
      <c r="P144" s="1328">
        <f t="shared" ref="P144" si="144">P126/O126-1</f>
        <v>0</v>
      </c>
      <c r="Q144" s="1328">
        <f t="shared" ref="Q144" si="145">Q126/P126-1</f>
        <v>0</v>
      </c>
      <c r="R144" s="1328">
        <f t="shared" ref="R144" si="146">R126/Q126-1</f>
        <v>0</v>
      </c>
      <c r="S144" s="1328">
        <f t="shared" ref="S144" si="147">S126/R126-1</f>
        <v>0</v>
      </c>
      <c r="T144" s="1328">
        <f t="shared" ref="T144" si="148">T126/S126-1</f>
        <v>0</v>
      </c>
      <c r="U144" s="1293"/>
      <c r="V144" s="1293"/>
      <c r="W144" s="1293"/>
      <c r="X144" s="1293"/>
      <c r="Y144" s="1293"/>
      <c r="Z144" s="1293"/>
      <c r="AA144" s="1293"/>
      <c r="AB144" s="1293"/>
      <c r="AC144" s="1293"/>
      <c r="AD144" s="1293"/>
      <c r="AE144" s="1293"/>
      <c r="AF144" s="1293"/>
      <c r="AG144" s="1293"/>
      <c r="AH144" s="1293"/>
      <c r="AI144" s="1293"/>
      <c r="AJ144" s="1293"/>
      <c r="AK144" s="1293"/>
      <c r="AL144" s="1293"/>
      <c r="AM144" s="1293"/>
      <c r="AN144" s="1293"/>
      <c r="AO144" s="1293"/>
      <c r="AP144" s="1293"/>
      <c r="AQ144" s="1293"/>
      <c r="AR144" s="1293"/>
      <c r="AS144" s="1293"/>
      <c r="AT144" s="1293"/>
      <c r="AU144" s="1293"/>
      <c r="AV144" s="1293"/>
      <c r="AW144" s="1293"/>
      <c r="AX144" s="1293"/>
      <c r="AY144" s="1293"/>
      <c r="AZ144" s="1293"/>
      <c r="BA144" s="1293"/>
      <c r="BB144" s="1293"/>
      <c r="BC144" s="1293"/>
      <c r="BD144" s="1293"/>
      <c r="BE144" s="1293"/>
      <c r="BF144" s="1293"/>
      <c r="BG144" s="1293"/>
      <c r="BH144" s="1293"/>
      <c r="BI144" s="1293"/>
      <c r="BJ144" s="1293"/>
      <c r="BK144" s="1293"/>
      <c r="BL144" s="1293"/>
      <c r="BM144" s="1293"/>
      <c r="BN144" s="1293"/>
      <c r="BO144" s="1293"/>
      <c r="BP144" s="1293"/>
      <c r="BQ144" s="1293"/>
      <c r="BR144" s="1293"/>
      <c r="BS144" s="1293"/>
      <c r="BT144" s="1293"/>
      <c r="BU144" s="1293"/>
      <c r="BV144" s="1293"/>
      <c r="BW144" s="1293"/>
      <c r="BX144" s="1293"/>
      <c r="BY144" s="1293"/>
      <c r="BZ144" s="1293"/>
      <c r="CA144" s="1293"/>
      <c r="CB144" s="1293"/>
      <c r="CC144" s="1293"/>
      <c r="CD144" s="1293"/>
      <c r="CE144" s="1293"/>
      <c r="CF144" s="1293"/>
      <c r="CG144" s="1293"/>
    </row>
    <row r="145" spans="1:85" ht="15.75">
      <c r="A145" s="1293"/>
      <c r="B145" s="1293"/>
      <c r="C145" s="1293" t="str">
        <f t="shared" si="133"/>
        <v>Costa Rica</v>
      </c>
      <c r="D145" s="1293"/>
      <c r="E145" s="1328">
        <f t="shared" ref="E145:T145" si="149">E127/D127-1</f>
        <v>-5.2509160178944025E-3</v>
      </c>
      <c r="F145" s="1328">
        <f t="shared" si="149"/>
        <v>1.9961067364556495E-2</v>
      </c>
      <c r="G145" s="1328">
        <f t="shared" si="149"/>
        <v>2.9974431972727311E-2</v>
      </c>
      <c r="H145" s="1328">
        <f t="shared" si="149"/>
        <v>7.0422535211267512E-3</v>
      </c>
      <c r="I145" s="1328">
        <f t="shared" si="149"/>
        <v>2.7972027972027913E-2</v>
      </c>
      <c r="J145" s="1328">
        <f t="shared" si="149"/>
        <v>-6.8027210884353817E-3</v>
      </c>
      <c r="K145" s="1328">
        <f t="shared" si="149"/>
        <v>6.4395331752472806E-2</v>
      </c>
      <c r="L145" s="1328">
        <f t="shared" si="149"/>
        <v>6.9400229843994854E-2</v>
      </c>
      <c r="M145" s="1328">
        <f t="shared" si="149"/>
        <v>-0.18164296847123174</v>
      </c>
      <c r="N145" s="1328">
        <f t="shared" si="149"/>
        <v>-5.3308823529411797E-2</v>
      </c>
      <c r="O145" s="1328">
        <f t="shared" si="149"/>
        <v>-2.9126213592232997E-2</v>
      </c>
      <c r="P145" s="1328">
        <f t="shared" si="149"/>
        <v>2.0000000000000018E-2</v>
      </c>
      <c r="Q145" s="1328">
        <f t="shared" si="149"/>
        <v>2.0000000000000018E-2</v>
      </c>
      <c r="R145" s="1328">
        <f t="shared" si="149"/>
        <v>2.0000000000000018E-2</v>
      </c>
      <c r="S145" s="1328">
        <f t="shared" si="149"/>
        <v>2.0000000000000018E-2</v>
      </c>
      <c r="T145" s="1328">
        <f t="shared" si="149"/>
        <v>2.0000000000000018E-2</v>
      </c>
      <c r="U145" s="1293"/>
      <c r="V145" s="1293"/>
      <c r="W145" s="1293"/>
      <c r="X145" s="1293"/>
      <c r="Y145" s="1293"/>
      <c r="Z145" s="1293"/>
      <c r="AA145" s="1293"/>
      <c r="AB145" s="1293"/>
      <c r="AC145" s="1293"/>
      <c r="AD145" s="1293"/>
      <c r="AE145" s="1293"/>
      <c r="AF145" s="1293"/>
      <c r="AG145" s="1293"/>
      <c r="AH145" s="1293"/>
      <c r="AI145" s="1293"/>
      <c r="AJ145" s="1293"/>
      <c r="AK145" s="1293"/>
      <c r="AL145" s="1293"/>
      <c r="AM145" s="1293"/>
      <c r="AN145" s="1293"/>
      <c r="AO145" s="1293"/>
      <c r="AP145" s="1293"/>
      <c r="AQ145" s="1293"/>
      <c r="AR145" s="1293"/>
      <c r="AS145" s="1293"/>
      <c r="AT145" s="1293"/>
      <c r="AU145" s="1293"/>
      <c r="AV145" s="1293"/>
      <c r="AW145" s="1293"/>
      <c r="AX145" s="1293"/>
      <c r="AY145" s="1293"/>
      <c r="AZ145" s="1293"/>
      <c r="BA145" s="1293"/>
      <c r="BB145" s="1293"/>
      <c r="BC145" s="1293"/>
      <c r="BD145" s="1293"/>
      <c r="BE145" s="1293"/>
      <c r="BF145" s="1293"/>
      <c r="BG145" s="1293"/>
      <c r="BH145" s="1293"/>
      <c r="BI145" s="1293"/>
      <c r="BJ145" s="1293"/>
      <c r="BK145" s="1293"/>
      <c r="BL145" s="1293"/>
      <c r="BM145" s="1293"/>
      <c r="BN145" s="1293"/>
      <c r="BO145" s="1293"/>
      <c r="BP145" s="1293"/>
      <c r="BQ145" s="1293"/>
      <c r="BR145" s="1293"/>
      <c r="BS145" s="1293"/>
      <c r="BT145" s="1293"/>
      <c r="BU145" s="1293"/>
      <c r="BV145" s="1293"/>
      <c r="BW145" s="1293"/>
      <c r="BX145" s="1293"/>
      <c r="BY145" s="1293"/>
      <c r="BZ145" s="1293"/>
      <c r="CA145" s="1293"/>
      <c r="CB145" s="1293"/>
      <c r="CC145" s="1293"/>
      <c r="CD145" s="1293"/>
      <c r="CE145" s="1293"/>
      <c r="CF145" s="1293"/>
      <c r="CG145" s="1293"/>
    </row>
    <row r="146" spans="1:85" ht="15.75">
      <c r="A146" s="1293"/>
      <c r="B146" s="1293"/>
      <c r="C146" s="1293" t="str">
        <f t="shared" si="133"/>
        <v>Nicaragua</v>
      </c>
      <c r="D146" s="1293"/>
      <c r="E146" s="1328"/>
      <c r="F146" s="1328"/>
      <c r="G146" s="1328"/>
      <c r="H146" s="1328"/>
      <c r="I146" s="1328"/>
      <c r="J146" s="1328"/>
      <c r="K146" s="1328">
        <f t="shared" ref="K146" si="150">K128/J128-1</f>
        <v>2.2511282031733471E-2</v>
      </c>
      <c r="L146" s="1328">
        <f t="shared" ref="L146" si="151">L128/K128-1</f>
        <v>2.8660246740807249E-2</v>
      </c>
      <c r="M146" s="1328">
        <f>M128/L128-1</f>
        <v>1.5890716476163913E-2</v>
      </c>
      <c r="N146" s="1328">
        <f t="shared" ref="N146" si="152">N128/M128-1</f>
        <v>7.1350164654226944E-3</v>
      </c>
      <c r="O146" s="1328">
        <f t="shared" ref="O146" si="153">O128/N128-1</f>
        <v>2.7247956403269047E-3</v>
      </c>
      <c r="P146" s="1328">
        <f t="shared" ref="P146" si="154">P128/O128-1</f>
        <v>2.0000000000000018E-2</v>
      </c>
      <c r="Q146" s="1328">
        <f t="shared" ref="Q146" si="155">Q128/P128-1</f>
        <v>2.0000000000000018E-2</v>
      </c>
      <c r="R146" s="1328">
        <f t="shared" ref="R146" si="156">R128/Q128-1</f>
        <v>2.0000000000000018E-2</v>
      </c>
      <c r="S146" s="1328">
        <f t="shared" ref="S146" si="157">S128/R128-1</f>
        <v>2.0000000000000018E-2</v>
      </c>
      <c r="T146" s="1328">
        <f t="shared" ref="T146" si="158">T128/S128-1</f>
        <v>2.0000000000000018E-2</v>
      </c>
      <c r="U146" s="1293"/>
      <c r="V146" s="1293"/>
      <c r="W146" s="1293"/>
      <c r="X146" s="1293"/>
      <c r="Y146" s="1293"/>
      <c r="Z146" s="1293"/>
      <c r="AA146" s="1293"/>
      <c r="AB146" s="1293"/>
      <c r="AC146" s="1293"/>
      <c r="AD146" s="1293"/>
      <c r="AE146" s="1293"/>
      <c r="AF146" s="1293"/>
      <c r="AG146" s="1293"/>
      <c r="AH146" s="1293"/>
      <c r="AI146" s="1293"/>
      <c r="AJ146" s="1293"/>
      <c r="AK146" s="1293"/>
      <c r="AL146" s="1293"/>
      <c r="AM146" s="1293"/>
      <c r="AN146" s="1293"/>
      <c r="AO146" s="1293"/>
      <c r="AP146" s="1293"/>
      <c r="AQ146" s="1293"/>
      <c r="AR146" s="1293"/>
      <c r="AS146" s="1293"/>
      <c r="AT146" s="1293"/>
      <c r="AU146" s="1293"/>
      <c r="AV146" s="1293"/>
      <c r="AW146" s="1293"/>
      <c r="AX146" s="1293"/>
      <c r="AY146" s="1293"/>
      <c r="AZ146" s="1293"/>
      <c r="BA146" s="1293"/>
      <c r="BB146" s="1293"/>
      <c r="BC146" s="1293"/>
      <c r="BD146" s="1293"/>
      <c r="BE146" s="1293"/>
      <c r="BF146" s="1293"/>
      <c r="BG146" s="1293"/>
      <c r="BH146" s="1293"/>
      <c r="BI146" s="1293"/>
      <c r="BJ146" s="1293"/>
      <c r="BK146" s="1293"/>
      <c r="BL146" s="1293"/>
      <c r="BM146" s="1293"/>
      <c r="BN146" s="1293"/>
      <c r="BO146" s="1293"/>
      <c r="BP146" s="1293"/>
      <c r="BQ146" s="1293"/>
      <c r="BR146" s="1293"/>
      <c r="BS146" s="1293"/>
      <c r="BT146" s="1293"/>
      <c r="BU146" s="1293"/>
      <c r="BV146" s="1293"/>
      <c r="BW146" s="1293"/>
      <c r="BX146" s="1293"/>
      <c r="BY146" s="1293"/>
      <c r="BZ146" s="1293"/>
      <c r="CA146" s="1293"/>
      <c r="CB146" s="1293"/>
      <c r="CC146" s="1293"/>
      <c r="CD146" s="1293"/>
      <c r="CE146" s="1293"/>
      <c r="CF146" s="1293"/>
      <c r="CG146" s="1293"/>
    </row>
    <row r="147" spans="1:85" ht="15.75">
      <c r="A147" s="1293"/>
      <c r="B147" s="1293"/>
      <c r="C147" s="1293" t="str">
        <f t="shared" si="133"/>
        <v>Bolivia</v>
      </c>
      <c r="D147" s="1293"/>
      <c r="E147" s="1328">
        <f t="shared" ref="E147:F150" si="159">E129/D129-1</f>
        <v>0</v>
      </c>
      <c r="F147" s="1328">
        <f t="shared" si="159"/>
        <v>0</v>
      </c>
      <c r="G147" s="1328">
        <f t="shared" ref="G147:T147" si="160">G129/F129-1</f>
        <v>0</v>
      </c>
      <c r="H147" s="1328">
        <f t="shared" si="160"/>
        <v>-1.4471780028942893E-3</v>
      </c>
      <c r="I147" s="1328">
        <f t="shared" si="160"/>
        <v>1.4492753623187582E-3</v>
      </c>
      <c r="J147" s="1328">
        <f t="shared" si="160"/>
        <v>0</v>
      </c>
      <c r="K147" s="1328">
        <f t="shared" si="160"/>
        <v>-1.5150894766716716E-3</v>
      </c>
      <c r="L147" s="1328">
        <f t="shared" si="160"/>
        <v>-2.5104635157453536E-3</v>
      </c>
      <c r="M147" s="1328">
        <f t="shared" si="160"/>
        <v>4.0379891962527559E-3</v>
      </c>
      <c r="N147" s="1328">
        <f t="shared" si="160"/>
        <v>-2.8943560057888007E-3</v>
      </c>
      <c r="O147" s="1328">
        <f t="shared" si="160"/>
        <v>1.5399129172714079</v>
      </c>
      <c r="P147" s="1328">
        <f t="shared" si="160"/>
        <v>0</v>
      </c>
      <c r="Q147" s="1328">
        <f t="shared" si="160"/>
        <v>0</v>
      </c>
      <c r="R147" s="1328">
        <f t="shared" si="160"/>
        <v>0</v>
      </c>
      <c r="S147" s="1328">
        <f t="shared" si="160"/>
        <v>0</v>
      </c>
      <c r="T147" s="1328">
        <f t="shared" si="160"/>
        <v>0</v>
      </c>
      <c r="U147" s="1293"/>
      <c r="V147" s="1293"/>
      <c r="W147" s="1293"/>
      <c r="X147" s="1293"/>
      <c r="Y147" s="1293"/>
      <c r="Z147" s="1293"/>
      <c r="AA147" s="1293"/>
      <c r="AB147" s="1293"/>
      <c r="AC147" s="1293"/>
      <c r="AD147" s="1293"/>
      <c r="AE147" s="1293"/>
      <c r="AF147" s="1293"/>
      <c r="AG147" s="1293"/>
      <c r="AH147" s="1293"/>
      <c r="AI147" s="1293"/>
      <c r="AJ147" s="1293"/>
      <c r="AK147" s="1293"/>
      <c r="AL147" s="1293"/>
      <c r="AM147" s="1293"/>
      <c r="AN147" s="1293"/>
      <c r="AO147" s="1293"/>
      <c r="AP147" s="1293"/>
      <c r="AQ147" s="1293"/>
      <c r="AR147" s="1293"/>
      <c r="AS147" s="1293"/>
      <c r="AT147" s="1293"/>
      <c r="AU147" s="1293"/>
      <c r="AV147" s="1293"/>
      <c r="AW147" s="1293"/>
      <c r="AX147" s="1293"/>
      <c r="AY147" s="1293"/>
      <c r="AZ147" s="1293"/>
      <c r="BA147" s="1293"/>
      <c r="BB147" s="1293"/>
      <c r="BC147" s="1293"/>
      <c r="BD147" s="1293"/>
      <c r="BE147" s="1293"/>
      <c r="BF147" s="1293"/>
      <c r="BG147" s="1293"/>
      <c r="BH147" s="1293"/>
      <c r="BI147" s="1293"/>
      <c r="BJ147" s="1293"/>
      <c r="BK147" s="1293"/>
      <c r="BL147" s="1293"/>
      <c r="BM147" s="1293"/>
      <c r="BN147" s="1293"/>
      <c r="BO147" s="1293"/>
      <c r="BP147" s="1293"/>
      <c r="BQ147" s="1293"/>
      <c r="BR147" s="1293"/>
      <c r="BS147" s="1293"/>
      <c r="BT147" s="1293"/>
      <c r="BU147" s="1293"/>
      <c r="BV147" s="1293"/>
      <c r="BW147" s="1293"/>
      <c r="BX147" s="1293"/>
      <c r="BY147" s="1293"/>
      <c r="BZ147" s="1293"/>
      <c r="CA147" s="1293"/>
      <c r="CB147" s="1293"/>
      <c r="CC147" s="1293"/>
      <c r="CD147" s="1293"/>
      <c r="CE147" s="1293"/>
      <c r="CF147" s="1293"/>
      <c r="CG147" s="1293"/>
    </row>
    <row r="148" spans="1:85" ht="15.75">
      <c r="A148" s="1293"/>
      <c r="B148" s="1293"/>
      <c r="C148" s="1293" t="str">
        <f t="shared" si="133"/>
        <v>Colombia</v>
      </c>
      <c r="D148" s="1293"/>
      <c r="E148" s="1328">
        <f t="shared" si="159"/>
        <v>0.36605657094722543</v>
      </c>
      <c r="F148" s="1328">
        <f t="shared" si="159"/>
        <v>0.10978902792301604</v>
      </c>
      <c r="G148" s="1328">
        <f t="shared" ref="G148:T148" si="161">G130/F130-1</f>
        <v>-2.926347625561343E-2</v>
      </c>
      <c r="H148" s="1328">
        <f t="shared" si="161"/>
        <v>-1.361808535802389E-2</v>
      </c>
      <c r="I148" s="1328">
        <f t="shared" si="161"/>
        <v>0.12024665981500515</v>
      </c>
      <c r="J148" s="1328">
        <f t="shared" si="161"/>
        <v>0.14648318042813457</v>
      </c>
      <c r="K148" s="1328">
        <f t="shared" si="161"/>
        <v>-7.1788972785902239E-4</v>
      </c>
      <c r="L148" s="1328">
        <f t="shared" si="161"/>
        <v>0.13578469331776666</v>
      </c>
      <c r="M148" s="1328">
        <f t="shared" si="161"/>
        <v>1.5276145710928279E-2</v>
      </c>
      <c r="N148" s="1328">
        <f t="shared" si="161"/>
        <v>-5.5324074074074026E-2</v>
      </c>
      <c r="O148" s="1328">
        <f t="shared" si="161"/>
        <v>1.6907620681205549E-2</v>
      </c>
      <c r="P148" s="1328">
        <f t="shared" si="161"/>
        <v>2.0000000000000018E-2</v>
      </c>
      <c r="Q148" s="1328">
        <f t="shared" si="161"/>
        <v>2.0000000000000018E-2</v>
      </c>
      <c r="R148" s="1328">
        <f t="shared" si="161"/>
        <v>2.0000000000000018E-2</v>
      </c>
      <c r="S148" s="1328">
        <f t="shared" si="161"/>
        <v>2.0000000000000018E-2</v>
      </c>
      <c r="T148" s="1328">
        <f t="shared" si="161"/>
        <v>2.0000000000000018E-2</v>
      </c>
      <c r="U148" s="1293"/>
      <c r="V148" s="1293"/>
      <c r="W148" s="1293"/>
      <c r="X148" s="1293"/>
      <c r="Y148" s="1293"/>
      <c r="Z148" s="1293"/>
      <c r="AA148" s="1293"/>
      <c r="AB148" s="1293"/>
      <c r="AC148" s="1293"/>
      <c r="AD148" s="1293"/>
      <c r="AE148" s="1293"/>
      <c r="AF148" s="1293"/>
      <c r="AG148" s="1293"/>
      <c r="AH148" s="1293"/>
      <c r="AI148" s="1293"/>
      <c r="AJ148" s="1293"/>
      <c r="AK148" s="1293"/>
      <c r="AL148" s="1293"/>
      <c r="AM148" s="1293"/>
      <c r="AN148" s="1293"/>
      <c r="AO148" s="1293"/>
      <c r="AP148" s="1293"/>
      <c r="AQ148" s="1293"/>
      <c r="AR148" s="1293"/>
      <c r="AS148" s="1293"/>
      <c r="AT148" s="1293"/>
      <c r="AU148" s="1293"/>
      <c r="AV148" s="1293"/>
      <c r="AW148" s="1293"/>
      <c r="AX148" s="1293"/>
      <c r="AY148" s="1293"/>
      <c r="AZ148" s="1293"/>
      <c r="BA148" s="1293"/>
      <c r="BB148" s="1293"/>
      <c r="BC148" s="1293"/>
      <c r="BD148" s="1293"/>
      <c r="BE148" s="1293"/>
      <c r="BF148" s="1293"/>
      <c r="BG148" s="1293"/>
      <c r="BH148" s="1293"/>
      <c r="BI148" s="1293"/>
      <c r="BJ148" s="1293"/>
      <c r="BK148" s="1293"/>
      <c r="BL148" s="1293"/>
      <c r="BM148" s="1293"/>
      <c r="BN148" s="1293"/>
      <c r="BO148" s="1293"/>
      <c r="BP148" s="1293"/>
      <c r="BQ148" s="1293"/>
      <c r="BR148" s="1293"/>
      <c r="BS148" s="1293"/>
      <c r="BT148" s="1293"/>
      <c r="BU148" s="1293"/>
      <c r="BV148" s="1293"/>
      <c r="BW148" s="1293"/>
      <c r="BX148" s="1293"/>
      <c r="BY148" s="1293"/>
      <c r="BZ148" s="1293"/>
      <c r="CA148" s="1293"/>
      <c r="CB148" s="1293"/>
      <c r="CC148" s="1293"/>
      <c r="CD148" s="1293"/>
      <c r="CE148" s="1293"/>
      <c r="CF148" s="1293"/>
      <c r="CG148" s="1293"/>
    </row>
    <row r="149" spans="1:85" ht="15.75">
      <c r="A149" s="1293"/>
      <c r="B149" s="1293"/>
      <c r="C149" s="1293" t="str">
        <f t="shared" si="133"/>
        <v>Paraguay</v>
      </c>
      <c r="D149" s="1293"/>
      <c r="E149" s="1328">
        <f t="shared" si="159"/>
        <v>0.15978782485633425</v>
      </c>
      <c r="F149" s="1328">
        <f t="shared" si="159"/>
        <v>9.3281385760003666E-2</v>
      </c>
      <c r="G149" s="1328">
        <f t="shared" ref="G149:T149" si="162">G131/F131-1</f>
        <v>-1.0788108809702601E-2</v>
      </c>
      <c r="H149" s="1328">
        <f t="shared" si="162"/>
        <v>1.5014534496093024E-2</v>
      </c>
      <c r="I149" s="1328">
        <f t="shared" si="162"/>
        <v>8.6530040287265741E-2</v>
      </c>
      <c r="J149" s="1328">
        <f t="shared" si="162"/>
        <v>9.140738352410116E-2</v>
      </c>
      <c r="K149" s="1328">
        <f t="shared" si="162"/>
        <v>6.778847229826912E-4</v>
      </c>
      <c r="L149" s="1328">
        <f t="shared" si="162"/>
        <v>2.648289261849901E-2</v>
      </c>
      <c r="M149" s="1328">
        <f t="shared" si="162"/>
        <v>4.8605119355766391E-2</v>
      </c>
      <c r="N149" s="1328">
        <f t="shared" si="162"/>
        <v>3.8946791003839909E-2</v>
      </c>
      <c r="O149" s="1328">
        <f t="shared" si="162"/>
        <v>4.2766631467793026E-2</v>
      </c>
      <c r="P149" s="1328">
        <f t="shared" si="162"/>
        <v>2.0000000000000018E-2</v>
      </c>
      <c r="Q149" s="1328">
        <f t="shared" si="162"/>
        <v>2.0000000000000018E-2</v>
      </c>
      <c r="R149" s="1328">
        <f t="shared" si="162"/>
        <v>2.0000000000000018E-2</v>
      </c>
      <c r="S149" s="1328">
        <f t="shared" si="162"/>
        <v>2.0000000000000018E-2</v>
      </c>
      <c r="T149" s="1328">
        <f t="shared" si="162"/>
        <v>2.0000000000000018E-2</v>
      </c>
      <c r="U149" s="1293"/>
      <c r="V149" s="1293"/>
      <c r="W149" s="1293"/>
      <c r="X149" s="1293"/>
      <c r="Y149" s="1293"/>
      <c r="Z149" s="1293"/>
      <c r="AA149" s="1293"/>
      <c r="AB149" s="1293"/>
      <c r="AC149" s="1293"/>
      <c r="AD149" s="1293"/>
      <c r="AE149" s="1293"/>
      <c r="AF149" s="1293"/>
      <c r="AG149" s="1293"/>
      <c r="AH149" s="1293"/>
      <c r="AI149" s="1293"/>
      <c r="AJ149" s="1293"/>
      <c r="AK149" s="1293"/>
      <c r="AL149" s="1293"/>
      <c r="AM149" s="1293"/>
      <c r="AN149" s="1293"/>
      <c r="AO149" s="1293"/>
      <c r="AP149" s="1293"/>
      <c r="AQ149" s="1293"/>
      <c r="AR149" s="1293"/>
      <c r="AS149" s="1293"/>
      <c r="AT149" s="1293"/>
      <c r="AU149" s="1293"/>
      <c r="AV149" s="1293"/>
      <c r="AW149" s="1293"/>
      <c r="AX149" s="1293"/>
      <c r="AY149" s="1293"/>
      <c r="AZ149" s="1293"/>
      <c r="BA149" s="1293"/>
      <c r="BB149" s="1293"/>
      <c r="BC149" s="1293"/>
      <c r="BD149" s="1293"/>
      <c r="BE149" s="1293"/>
      <c r="BF149" s="1293"/>
      <c r="BG149" s="1293"/>
      <c r="BH149" s="1293"/>
      <c r="BI149" s="1293"/>
      <c r="BJ149" s="1293"/>
      <c r="BK149" s="1293"/>
      <c r="BL149" s="1293"/>
      <c r="BM149" s="1293"/>
      <c r="BN149" s="1293"/>
      <c r="BO149" s="1293"/>
      <c r="BP149" s="1293"/>
      <c r="BQ149" s="1293"/>
      <c r="BR149" s="1293"/>
      <c r="BS149" s="1293"/>
      <c r="BT149" s="1293"/>
      <c r="BU149" s="1293"/>
      <c r="BV149" s="1293"/>
      <c r="BW149" s="1293"/>
      <c r="BX149" s="1293"/>
      <c r="BY149" s="1293"/>
      <c r="BZ149" s="1293"/>
      <c r="CA149" s="1293"/>
      <c r="CB149" s="1293"/>
      <c r="CC149" s="1293"/>
      <c r="CD149" s="1293"/>
      <c r="CE149" s="1293"/>
      <c r="CF149" s="1293"/>
      <c r="CG149" s="1293"/>
    </row>
    <row r="150" spans="1:85" ht="15.75" hidden="1" outlineLevel="1">
      <c r="A150" s="1293"/>
      <c r="B150" s="1293"/>
      <c r="C150" s="1982" t="str">
        <f t="shared" si="133"/>
        <v>Chad</v>
      </c>
      <c r="D150" s="1293"/>
      <c r="E150" s="1328">
        <f t="shared" si="159"/>
        <v>0.19248666279994509</v>
      </c>
      <c r="F150" s="1328">
        <f t="shared" si="159"/>
        <v>1.081945336002299E-2</v>
      </c>
      <c r="G150" s="1328">
        <f t="shared" ref="G150:M150" si="163">G132/F132-1</f>
        <v>-2.0180642580989172E-2</v>
      </c>
      <c r="H150" s="1328">
        <f t="shared" si="163"/>
        <v>-4.7570454274878049E-2</v>
      </c>
      <c r="I150" s="1328">
        <f t="shared" si="163"/>
        <v>4.8214285714285765E-2</v>
      </c>
      <c r="J150" s="1328">
        <f t="shared" si="163"/>
        <v>1.5332197614991383E-2</v>
      </c>
      <c r="K150" s="1328">
        <f t="shared" si="163"/>
        <v>-6.9121287133544262E-2</v>
      </c>
      <c r="L150" s="1328">
        <f t="shared" si="163"/>
        <v>0.12436161750769936</v>
      </c>
      <c r="M150" s="1328">
        <f t="shared" si="163"/>
        <v>-2.7332478358448098E-2</v>
      </c>
      <c r="N150" s="1328"/>
      <c r="O150" s="1328"/>
      <c r="P150" s="1328"/>
      <c r="Q150" s="1328"/>
      <c r="R150" s="1328"/>
      <c r="S150" s="1328"/>
      <c r="T150" s="1328"/>
      <c r="U150" s="1293"/>
      <c r="V150" s="1293"/>
      <c r="W150" s="1293"/>
      <c r="X150" s="1293"/>
      <c r="Y150" s="1293"/>
      <c r="Z150" s="1293"/>
      <c r="AA150" s="1293"/>
      <c r="AB150" s="1293"/>
      <c r="AC150" s="1293"/>
      <c r="AD150" s="1293"/>
      <c r="AE150" s="1293"/>
      <c r="AF150" s="1293"/>
      <c r="AG150" s="1293"/>
      <c r="AH150" s="1293"/>
      <c r="AI150" s="1293"/>
      <c r="AJ150" s="1293"/>
      <c r="AK150" s="1293"/>
      <c r="AL150" s="1293"/>
      <c r="AM150" s="1293"/>
      <c r="AN150" s="1293"/>
      <c r="AO150" s="1293"/>
      <c r="AP150" s="1293"/>
      <c r="AQ150" s="1293"/>
      <c r="AR150" s="1293"/>
      <c r="AS150" s="1293"/>
      <c r="AT150" s="1293"/>
      <c r="AU150" s="1293"/>
      <c r="AV150" s="1293"/>
      <c r="AW150" s="1293"/>
      <c r="AX150" s="1293"/>
      <c r="AY150" s="1293"/>
      <c r="AZ150" s="1293"/>
      <c r="BA150" s="1293"/>
      <c r="BB150" s="1293"/>
      <c r="BC150" s="1293"/>
      <c r="BD150" s="1293"/>
      <c r="BE150" s="1293"/>
      <c r="BF150" s="1293"/>
      <c r="BG150" s="1293"/>
      <c r="BH150" s="1293"/>
      <c r="BI150" s="1293"/>
      <c r="BJ150" s="1293"/>
      <c r="BK150" s="1293"/>
      <c r="BL150" s="1293"/>
      <c r="BM150" s="1293"/>
      <c r="BN150" s="1293"/>
      <c r="BO150" s="1293"/>
      <c r="BP150" s="1293"/>
      <c r="BQ150" s="1293"/>
      <c r="BR150" s="1293"/>
      <c r="BS150" s="1293"/>
      <c r="BT150" s="1293"/>
      <c r="BU150" s="1293"/>
      <c r="BV150" s="1293"/>
      <c r="BW150" s="1293"/>
      <c r="BX150" s="1293"/>
      <c r="BY150" s="1293"/>
      <c r="BZ150" s="1293"/>
      <c r="CA150" s="1293"/>
      <c r="CB150" s="1293"/>
      <c r="CC150" s="1293"/>
      <c r="CD150" s="1293"/>
      <c r="CE150" s="1293"/>
      <c r="CF150" s="1293"/>
      <c r="CG150" s="1293"/>
    </row>
    <row r="151" spans="1:85" ht="15.75" hidden="1" outlineLevel="1">
      <c r="A151" s="1293"/>
      <c r="B151" s="1293"/>
      <c r="C151" s="1982" t="str">
        <f t="shared" si="133"/>
        <v>DRC</v>
      </c>
      <c r="D151" s="1293"/>
      <c r="E151" s="1328">
        <f>E133/D133-1</f>
        <v>-1.1371414624319343E-3</v>
      </c>
      <c r="F151" s="1328"/>
      <c r="G151" s="1328"/>
      <c r="H151" s="1328"/>
      <c r="I151" s="1328"/>
      <c r="J151" s="1328"/>
      <c r="K151" s="1328"/>
      <c r="L151" s="1328"/>
      <c r="M151" s="1328"/>
      <c r="N151" s="1328"/>
      <c r="O151" s="1328"/>
      <c r="P151" s="1328"/>
      <c r="Q151" s="1328"/>
      <c r="R151" s="1328"/>
      <c r="S151" s="1328"/>
      <c r="T151" s="1328"/>
      <c r="U151" s="1293"/>
      <c r="V151" s="1293"/>
      <c r="W151" s="1293"/>
      <c r="X151" s="1293"/>
      <c r="Y151" s="1293"/>
      <c r="Z151" s="1293"/>
      <c r="AA151" s="1293"/>
      <c r="AB151" s="1293"/>
      <c r="AC151" s="1293"/>
      <c r="AD151" s="1293"/>
      <c r="AE151" s="1293"/>
      <c r="AF151" s="1293"/>
      <c r="AG151" s="1293"/>
      <c r="AH151" s="1293"/>
      <c r="AI151" s="1293"/>
      <c r="AJ151" s="1293"/>
      <c r="AK151" s="1293"/>
      <c r="AL151" s="1293"/>
      <c r="AM151" s="1293"/>
      <c r="AN151" s="1293"/>
      <c r="AO151" s="1293"/>
      <c r="AP151" s="1293"/>
      <c r="AQ151" s="1293"/>
      <c r="AR151" s="1293"/>
      <c r="AS151" s="1293"/>
      <c r="AT151" s="1293"/>
      <c r="AU151" s="1293"/>
      <c r="AV151" s="1293"/>
      <c r="AW151" s="1293"/>
      <c r="AX151" s="1293"/>
      <c r="AY151" s="1293"/>
      <c r="AZ151" s="1293"/>
      <c r="BA151" s="1293"/>
      <c r="BB151" s="1293"/>
      <c r="BC151" s="1293"/>
      <c r="BD151" s="1293"/>
      <c r="BE151" s="1293"/>
      <c r="BF151" s="1293"/>
      <c r="BG151" s="1293"/>
      <c r="BH151" s="1293"/>
      <c r="BI151" s="1293"/>
      <c r="BJ151" s="1293"/>
      <c r="BK151" s="1293"/>
      <c r="BL151" s="1293"/>
      <c r="BM151" s="1293"/>
      <c r="BN151" s="1293"/>
      <c r="BO151" s="1293"/>
      <c r="BP151" s="1293"/>
      <c r="BQ151" s="1293"/>
      <c r="BR151" s="1293"/>
      <c r="BS151" s="1293"/>
      <c r="BT151" s="1293"/>
      <c r="BU151" s="1293"/>
      <c r="BV151" s="1293"/>
      <c r="BW151" s="1293"/>
      <c r="BX151" s="1293"/>
      <c r="BY151" s="1293"/>
      <c r="BZ151" s="1293"/>
      <c r="CA151" s="1293"/>
      <c r="CB151" s="1293"/>
      <c r="CC151" s="1293"/>
      <c r="CD151" s="1293"/>
      <c r="CE151" s="1293"/>
      <c r="CF151" s="1293"/>
      <c r="CG151" s="1293"/>
    </row>
    <row r="152" spans="1:85" ht="15.75" hidden="1" outlineLevel="1">
      <c r="A152" s="1293"/>
      <c r="B152" s="1293"/>
      <c r="C152" s="1982" t="str">
        <f t="shared" si="133"/>
        <v>Ghana</v>
      </c>
      <c r="D152" s="1293"/>
      <c r="E152" s="1328">
        <f>E134/D134-1</f>
        <v>0.30087097011334496</v>
      </c>
      <c r="F152" s="1328">
        <f>F134/E134-1</f>
        <v>4.7202589956405472E-2</v>
      </c>
      <c r="G152" s="1328"/>
      <c r="H152" s="1328"/>
      <c r="I152" s="1328"/>
      <c r="J152" s="1328"/>
      <c r="K152" s="1328"/>
      <c r="L152" s="1328"/>
      <c r="M152" s="1328"/>
      <c r="N152" s="1328"/>
      <c r="O152" s="1328"/>
      <c r="P152" s="1328"/>
      <c r="Q152" s="1328"/>
      <c r="R152" s="1328"/>
      <c r="S152" s="1328"/>
      <c r="T152" s="1328"/>
      <c r="U152" s="1293"/>
      <c r="V152" s="1293"/>
      <c r="W152" s="1293"/>
      <c r="X152" s="1293"/>
      <c r="Y152" s="1293"/>
      <c r="Z152" s="1293"/>
      <c r="AA152" s="1293"/>
      <c r="AB152" s="1293"/>
      <c r="AC152" s="1293"/>
      <c r="AD152" s="1293"/>
      <c r="AE152" s="1293"/>
      <c r="AF152" s="1293"/>
      <c r="AG152" s="1293"/>
      <c r="AH152" s="1293"/>
      <c r="AI152" s="1293"/>
      <c r="AJ152" s="1293"/>
      <c r="AK152" s="1293"/>
      <c r="AL152" s="1293"/>
      <c r="AM152" s="1293"/>
      <c r="AN152" s="1293"/>
      <c r="AO152" s="1293"/>
      <c r="AP152" s="1293"/>
      <c r="AQ152" s="1293"/>
      <c r="AR152" s="1293"/>
      <c r="AS152" s="1293"/>
      <c r="AT152" s="1293"/>
      <c r="AU152" s="1293"/>
      <c r="AV152" s="1293"/>
      <c r="AW152" s="1293"/>
      <c r="AX152" s="1293"/>
      <c r="AY152" s="1293"/>
      <c r="AZ152" s="1293"/>
      <c r="BA152" s="1293"/>
      <c r="BB152" s="1293"/>
      <c r="BC152" s="1293"/>
      <c r="BD152" s="1293"/>
      <c r="BE152" s="1293"/>
      <c r="BF152" s="1293"/>
      <c r="BG152" s="1293"/>
      <c r="BH152" s="1293"/>
      <c r="BI152" s="1293"/>
      <c r="BJ152" s="1293"/>
      <c r="BK152" s="1293"/>
      <c r="BL152" s="1293"/>
      <c r="BM152" s="1293"/>
      <c r="BN152" s="1293"/>
      <c r="BO152" s="1293"/>
      <c r="BP152" s="1293"/>
      <c r="BQ152" s="1293"/>
      <c r="BR152" s="1293"/>
      <c r="BS152" s="1293"/>
      <c r="BT152" s="1293"/>
      <c r="BU152" s="1293"/>
      <c r="BV152" s="1293"/>
      <c r="BW152" s="1293"/>
      <c r="BX152" s="1293"/>
      <c r="BY152" s="1293"/>
      <c r="BZ152" s="1293"/>
      <c r="CA152" s="1293"/>
      <c r="CB152" s="1293"/>
      <c r="CC152" s="1293"/>
      <c r="CD152" s="1293"/>
      <c r="CE152" s="1293"/>
      <c r="CF152" s="1293"/>
      <c r="CG152" s="1293"/>
    </row>
    <row r="153" spans="1:85" ht="15.75" hidden="1" outlineLevel="1">
      <c r="A153" s="1293"/>
      <c r="B153" s="1293"/>
      <c r="C153" s="1982" t="str">
        <f t="shared" si="133"/>
        <v>Rwanda</v>
      </c>
      <c r="D153" s="1293"/>
      <c r="E153" s="1328">
        <f>E135/D135-1</f>
        <v>4.764297803948514E-2</v>
      </c>
      <c r="F153" s="1328">
        <f>F135/E135-1</f>
        <v>9.4974850628342988E-2</v>
      </c>
      <c r="G153" s="1328">
        <f>G135/F135-1</f>
        <v>5.6785541801174233E-2</v>
      </c>
      <c r="H153" s="1328"/>
      <c r="I153" s="1328"/>
      <c r="J153" s="1328"/>
      <c r="K153" s="1328"/>
      <c r="L153" s="1328"/>
      <c r="M153" s="1328"/>
      <c r="N153" s="1328"/>
      <c r="O153" s="1328"/>
      <c r="P153" s="1328"/>
      <c r="Q153" s="1328"/>
      <c r="R153" s="1328"/>
      <c r="S153" s="1328"/>
      <c r="T153" s="1328"/>
      <c r="U153" s="1293"/>
      <c r="V153" s="1293"/>
      <c r="W153" s="1293"/>
      <c r="X153" s="1293"/>
      <c r="Y153" s="1293"/>
      <c r="Z153" s="1293"/>
      <c r="AA153" s="1293"/>
      <c r="AB153" s="1293"/>
      <c r="AC153" s="1293"/>
      <c r="AD153" s="1293"/>
      <c r="AE153" s="1293"/>
      <c r="AF153" s="1293"/>
      <c r="AG153" s="1293"/>
      <c r="AH153" s="1293"/>
      <c r="AI153" s="1293"/>
      <c r="AJ153" s="1293"/>
      <c r="AK153" s="1293"/>
      <c r="AL153" s="1293"/>
      <c r="AM153" s="1293"/>
      <c r="AN153" s="1293"/>
      <c r="AO153" s="1293"/>
      <c r="AP153" s="1293"/>
      <c r="AQ153" s="1293"/>
      <c r="AR153" s="1293"/>
      <c r="AS153" s="1293"/>
      <c r="AT153" s="1293"/>
      <c r="AU153" s="1293"/>
      <c r="AV153" s="1293"/>
      <c r="AW153" s="1293"/>
      <c r="AX153" s="1293"/>
      <c r="AY153" s="1293"/>
      <c r="AZ153" s="1293"/>
      <c r="BA153" s="1293"/>
      <c r="BB153" s="1293"/>
      <c r="BC153" s="1293"/>
      <c r="BD153" s="1293"/>
      <c r="BE153" s="1293"/>
      <c r="BF153" s="1293"/>
      <c r="BG153" s="1293"/>
      <c r="BH153" s="1293"/>
      <c r="BI153" s="1293"/>
      <c r="BJ153" s="1293"/>
      <c r="BK153" s="1293"/>
      <c r="BL153" s="1293"/>
      <c r="BM153" s="1293"/>
      <c r="BN153" s="1293"/>
      <c r="BO153" s="1293"/>
      <c r="BP153" s="1293"/>
      <c r="BQ153" s="1293"/>
      <c r="BR153" s="1293"/>
      <c r="BS153" s="1293"/>
      <c r="BT153" s="1293"/>
      <c r="BU153" s="1293"/>
      <c r="BV153" s="1293"/>
      <c r="BW153" s="1293"/>
      <c r="BX153" s="1293"/>
      <c r="BY153" s="1293"/>
      <c r="BZ153" s="1293"/>
      <c r="CA153" s="1293"/>
      <c r="CB153" s="1293"/>
      <c r="CC153" s="1293"/>
      <c r="CD153" s="1293"/>
      <c r="CE153" s="1293"/>
      <c r="CF153" s="1293"/>
      <c r="CG153" s="1293"/>
    </row>
    <row r="154" spans="1:85" ht="15.75" hidden="1" outlineLevel="1">
      <c r="A154" s="1293"/>
      <c r="B154" s="1293"/>
      <c r="C154" s="1982" t="str">
        <f t="shared" si="133"/>
        <v>Senegal</v>
      </c>
      <c r="D154" s="1293"/>
      <c r="E154" s="1328">
        <f>E136/D136-1</f>
        <v>0.19248666279994509</v>
      </c>
      <c r="F154" s="1328">
        <f>F136/E136-1</f>
        <v>1.081945336002299E-2</v>
      </c>
      <c r="G154" s="1328"/>
      <c r="H154" s="1328"/>
      <c r="I154" s="1328"/>
      <c r="J154" s="1328"/>
      <c r="K154" s="1328"/>
      <c r="L154" s="1328"/>
      <c r="M154" s="1328"/>
      <c r="N154" s="1328"/>
      <c r="O154" s="1328"/>
      <c r="P154" s="1328"/>
      <c r="Q154" s="1328"/>
      <c r="R154" s="1328"/>
      <c r="S154" s="1328"/>
      <c r="T154" s="1328"/>
      <c r="U154" s="1293"/>
      <c r="V154" s="1293"/>
      <c r="W154" s="1293"/>
      <c r="X154" s="1293"/>
      <c r="Y154" s="1293"/>
      <c r="Z154" s="1293"/>
      <c r="AA154" s="1293"/>
      <c r="AB154" s="1293"/>
      <c r="AC154" s="1293"/>
      <c r="AD154" s="1293"/>
      <c r="AE154" s="1293"/>
      <c r="AF154" s="1293"/>
      <c r="AG154" s="1293"/>
      <c r="AH154" s="1293"/>
      <c r="AI154" s="1293"/>
      <c r="AJ154" s="1293"/>
      <c r="AK154" s="1293"/>
      <c r="AL154" s="1293"/>
      <c r="AM154" s="1293"/>
      <c r="AN154" s="1293"/>
      <c r="AO154" s="1293"/>
      <c r="AP154" s="1293"/>
      <c r="AQ154" s="1293"/>
      <c r="AR154" s="1293"/>
      <c r="AS154" s="1293"/>
      <c r="AT154" s="1293"/>
      <c r="AU154" s="1293"/>
      <c r="AV154" s="1293"/>
      <c r="AW154" s="1293"/>
      <c r="AX154" s="1293"/>
      <c r="AY154" s="1293"/>
      <c r="AZ154" s="1293"/>
      <c r="BA154" s="1293"/>
      <c r="BB154" s="1293"/>
      <c r="BC154" s="1293"/>
      <c r="BD154" s="1293"/>
      <c r="BE154" s="1293"/>
      <c r="BF154" s="1293"/>
      <c r="BG154" s="1293"/>
      <c r="BH154" s="1293"/>
      <c r="BI154" s="1293"/>
      <c r="BJ154" s="1293"/>
      <c r="BK154" s="1293"/>
      <c r="BL154" s="1293"/>
      <c r="BM154" s="1293"/>
      <c r="BN154" s="1293"/>
      <c r="BO154" s="1293"/>
      <c r="BP154" s="1293"/>
      <c r="BQ154" s="1293"/>
      <c r="BR154" s="1293"/>
      <c r="BS154" s="1293"/>
      <c r="BT154" s="1293"/>
      <c r="BU154" s="1293"/>
      <c r="BV154" s="1293"/>
      <c r="BW154" s="1293"/>
      <c r="BX154" s="1293"/>
      <c r="BY154" s="1293"/>
      <c r="BZ154" s="1293"/>
      <c r="CA154" s="1293"/>
      <c r="CB154" s="1293"/>
      <c r="CC154" s="1293"/>
      <c r="CD154" s="1293"/>
      <c r="CE154" s="1293"/>
      <c r="CF154" s="1293"/>
      <c r="CG154" s="1293"/>
    </row>
    <row r="155" spans="1:85" ht="15.75" hidden="1" outlineLevel="1">
      <c r="A155" s="1293"/>
      <c r="B155" s="1293"/>
      <c r="C155" s="1982" t="str">
        <f t="shared" si="133"/>
        <v>Tanzania</v>
      </c>
      <c r="D155" s="1293"/>
      <c r="E155" s="1328">
        <f>E137/D137-1</f>
        <v>0.19371466019439931</v>
      </c>
      <c r="F155" s="1328">
        <f>F137/E137-1</f>
        <v>9.976895583716261E-2</v>
      </c>
      <c r="G155" s="1328">
        <f t="shared" ref="G155:T155" si="164">G137/F137-1</f>
        <v>2.2932649369088898E-2</v>
      </c>
      <c r="H155" s="1328">
        <f t="shared" si="164"/>
        <v>1.5930725076340302E-2</v>
      </c>
      <c r="I155" s="1328">
        <f t="shared" si="164"/>
        <v>1.542529748788013E-2</v>
      </c>
      <c r="J155" s="1328">
        <f t="shared" si="164"/>
        <v>-8.6805555555558023E-4</v>
      </c>
      <c r="K155" s="1328">
        <f t="shared" si="164"/>
        <v>5.6472632493484998E-3</v>
      </c>
      <c r="L155" s="1328">
        <f t="shared" si="164"/>
        <v>3.9436344803953638E-3</v>
      </c>
      <c r="M155" s="1328">
        <f t="shared" si="164"/>
        <v>4.0389524602487015E-2</v>
      </c>
      <c r="N155" s="1328">
        <f t="shared" si="164"/>
        <v>1.4999999999999902E-2</v>
      </c>
      <c r="O155" s="1328">
        <f t="shared" si="164"/>
        <v>1.4999999999999902E-2</v>
      </c>
      <c r="P155" s="1328">
        <f t="shared" si="164"/>
        <v>1.4999999999999902E-2</v>
      </c>
      <c r="Q155" s="1328">
        <f t="shared" si="164"/>
        <v>1.4999999999999902E-2</v>
      </c>
      <c r="R155" s="1328">
        <f t="shared" si="164"/>
        <v>1.4999999999999902E-2</v>
      </c>
      <c r="S155" s="1328">
        <f t="shared" si="164"/>
        <v>1.4999999999999902E-2</v>
      </c>
      <c r="T155" s="1328">
        <f t="shared" si="164"/>
        <v>1.4999999999999902E-2</v>
      </c>
      <c r="U155" s="1293"/>
      <c r="V155" s="1293"/>
      <c r="W155" s="1293"/>
      <c r="X155" s="1293"/>
      <c r="Y155" s="1293"/>
      <c r="Z155" s="1293"/>
      <c r="AA155" s="1293"/>
      <c r="AB155" s="1293"/>
      <c r="AC155" s="1293"/>
      <c r="AD155" s="1293"/>
      <c r="AE155" s="1293"/>
      <c r="AF155" s="1293"/>
      <c r="AG155" s="1293"/>
      <c r="AH155" s="1293"/>
      <c r="AI155" s="1293"/>
      <c r="AJ155" s="1293"/>
      <c r="AK155" s="1293"/>
      <c r="AL155" s="1293"/>
      <c r="AM155" s="1293"/>
      <c r="AN155" s="1293"/>
      <c r="AO155" s="1293"/>
      <c r="AP155" s="1293"/>
      <c r="AQ155" s="1293"/>
      <c r="AR155" s="1293"/>
      <c r="AS155" s="1293"/>
      <c r="AT155" s="1293"/>
      <c r="AU155" s="1293"/>
      <c r="AV155" s="1293"/>
      <c r="AW155" s="1293"/>
      <c r="AX155" s="1293"/>
      <c r="AY155" s="1293"/>
      <c r="AZ155" s="1293"/>
      <c r="BA155" s="1293"/>
      <c r="BB155" s="1293"/>
      <c r="BC155" s="1293"/>
      <c r="BD155" s="1293"/>
      <c r="BE155" s="1293"/>
      <c r="BF155" s="1293"/>
      <c r="BG155" s="1293"/>
      <c r="BH155" s="1293"/>
      <c r="BI155" s="1293"/>
      <c r="BJ155" s="1293"/>
      <c r="BK155" s="1293"/>
      <c r="BL155" s="1293"/>
      <c r="BM155" s="1293"/>
      <c r="BN155" s="1293"/>
      <c r="BO155" s="1293"/>
      <c r="BP155" s="1293"/>
      <c r="BQ155" s="1293"/>
      <c r="BR155" s="1293"/>
      <c r="BS155" s="1293"/>
      <c r="BT155" s="1293"/>
      <c r="BU155" s="1293"/>
      <c r="BV155" s="1293"/>
      <c r="BW155" s="1293"/>
      <c r="BX155" s="1293"/>
      <c r="BY155" s="1293"/>
      <c r="BZ155" s="1293"/>
      <c r="CA155" s="1293"/>
      <c r="CB155" s="1293"/>
      <c r="CC155" s="1293"/>
      <c r="CD155" s="1293"/>
      <c r="CE155" s="1293"/>
      <c r="CF155" s="1293"/>
      <c r="CG155" s="1293"/>
    </row>
    <row r="156" spans="1:85" ht="15.75" collapsed="1">
      <c r="A156" s="1293"/>
      <c r="B156" s="1293"/>
      <c r="C156" s="1293"/>
      <c r="D156" s="1293"/>
      <c r="E156" s="1293"/>
      <c r="F156" s="1293"/>
      <c r="G156" s="1293"/>
      <c r="H156" s="1293"/>
      <c r="I156" s="1293"/>
      <c r="J156" s="1293"/>
      <c r="K156" s="1293"/>
      <c r="L156" s="1293"/>
      <c r="M156" s="1293"/>
      <c r="N156" s="1293"/>
      <c r="O156" s="1293"/>
      <c r="P156" s="1293"/>
      <c r="Q156" s="1293"/>
      <c r="R156" s="1293"/>
      <c r="S156" s="1293"/>
      <c r="T156" s="1293"/>
      <c r="U156" s="1293"/>
      <c r="V156" s="1293"/>
      <c r="W156" s="1293"/>
      <c r="X156" s="1293"/>
      <c r="Y156" s="1293"/>
      <c r="Z156" s="1293"/>
      <c r="AA156" s="1293"/>
      <c r="AB156" s="1293"/>
      <c r="AC156" s="1293"/>
      <c r="AD156" s="1293"/>
      <c r="AE156" s="1293"/>
      <c r="AF156" s="1293"/>
      <c r="AG156" s="1293"/>
      <c r="AH156" s="1293"/>
      <c r="AI156" s="1293"/>
      <c r="AJ156" s="1293"/>
      <c r="AK156" s="1293"/>
      <c r="AL156" s="1293"/>
      <c r="AM156" s="1293"/>
      <c r="AN156" s="1293"/>
      <c r="AO156" s="1293"/>
      <c r="AP156" s="1293"/>
      <c r="AQ156" s="1293"/>
      <c r="AR156" s="1293"/>
      <c r="AS156" s="1293"/>
      <c r="AT156" s="1293"/>
      <c r="AU156" s="1293"/>
      <c r="AV156" s="1293"/>
      <c r="AW156" s="1293"/>
      <c r="AX156" s="1293"/>
      <c r="AY156" s="1293"/>
      <c r="AZ156" s="1293"/>
      <c r="BA156" s="1293"/>
      <c r="BB156" s="1293"/>
      <c r="BC156" s="1293"/>
      <c r="BD156" s="1293"/>
      <c r="BE156" s="1293"/>
      <c r="BF156" s="1293"/>
      <c r="BG156" s="1293"/>
      <c r="BH156" s="1293"/>
      <c r="BI156" s="1293"/>
      <c r="BJ156" s="1293"/>
      <c r="BK156" s="1293"/>
      <c r="BL156" s="1293"/>
      <c r="BM156" s="1293"/>
      <c r="BN156" s="1293"/>
      <c r="BO156" s="1293"/>
      <c r="BP156" s="1293"/>
      <c r="BQ156" s="1293"/>
      <c r="BR156" s="1293"/>
      <c r="BS156" s="1293"/>
      <c r="BT156" s="1293"/>
      <c r="BU156" s="1293"/>
      <c r="BV156" s="1293"/>
      <c r="BW156" s="1293"/>
      <c r="BX156" s="1293"/>
      <c r="BY156" s="1293"/>
      <c r="BZ156" s="1293"/>
      <c r="CA156" s="1293"/>
      <c r="CB156" s="1293"/>
      <c r="CC156" s="1293"/>
      <c r="CD156" s="1293"/>
      <c r="CE156" s="1293"/>
      <c r="CF156" s="1293"/>
      <c r="CG156" s="1293"/>
    </row>
    <row r="157" spans="1:85" ht="15.75">
      <c r="A157" s="1293"/>
      <c r="B157" s="1293"/>
      <c r="C157" s="1293"/>
      <c r="D157" s="1293"/>
      <c r="E157" s="1293"/>
      <c r="F157" s="1293"/>
      <c r="G157" s="1293"/>
      <c r="H157" s="1293"/>
      <c r="I157" s="1293"/>
      <c r="J157" s="1293"/>
      <c r="K157" s="1293"/>
      <c r="L157" s="1293"/>
      <c r="M157" s="1293"/>
      <c r="N157" s="1293"/>
      <c r="O157" s="1293"/>
      <c r="P157" s="1293"/>
      <c r="Q157" s="1293"/>
      <c r="R157" s="1293"/>
      <c r="S157" s="1293"/>
      <c r="T157" s="1293"/>
      <c r="U157" s="1293"/>
      <c r="V157" s="1293"/>
      <c r="W157" s="1293"/>
      <c r="X157" s="1293"/>
      <c r="Y157" s="1293"/>
      <c r="Z157" s="1293"/>
      <c r="AA157" s="1293"/>
      <c r="AB157" s="1293"/>
      <c r="AC157" s="1293"/>
      <c r="AD157" s="1293"/>
      <c r="AE157" s="1293"/>
      <c r="AF157" s="1293"/>
      <c r="AG157" s="1293"/>
      <c r="AH157" s="1293"/>
      <c r="AI157" s="1293"/>
      <c r="AJ157" s="1293"/>
      <c r="AK157" s="1293"/>
      <c r="AL157" s="1293"/>
      <c r="AM157" s="1293"/>
      <c r="AN157" s="1293"/>
      <c r="AO157" s="1293"/>
      <c r="AP157" s="1293"/>
      <c r="AQ157" s="1293"/>
      <c r="AR157" s="1293"/>
      <c r="AS157" s="1293"/>
      <c r="AT157" s="1293"/>
      <c r="AU157" s="1293"/>
      <c r="AV157" s="1293"/>
      <c r="AW157" s="1293"/>
      <c r="AX157" s="1293"/>
      <c r="AY157" s="1293"/>
      <c r="AZ157" s="1293"/>
      <c r="BA157" s="1293"/>
      <c r="BB157" s="1293"/>
      <c r="BC157" s="1293"/>
      <c r="BD157" s="1293"/>
      <c r="BE157" s="1293"/>
      <c r="BF157" s="1293"/>
      <c r="BG157" s="1293"/>
      <c r="BH157" s="1293"/>
      <c r="BI157" s="1293"/>
      <c r="BJ157" s="1293"/>
      <c r="BK157" s="1293"/>
      <c r="BL157" s="1293"/>
      <c r="BM157" s="1293"/>
      <c r="BN157" s="1293"/>
      <c r="BO157" s="1293"/>
      <c r="BP157" s="1293"/>
      <c r="BQ157" s="1293"/>
      <c r="BR157" s="1293"/>
      <c r="BS157" s="1293"/>
      <c r="BT157" s="1293"/>
      <c r="BU157" s="1293"/>
      <c r="BV157" s="1293"/>
      <c r="BW157" s="1293"/>
      <c r="BX157" s="1293"/>
      <c r="BY157" s="1293"/>
      <c r="BZ157" s="1293"/>
      <c r="CA157" s="1293"/>
      <c r="CB157" s="1293"/>
      <c r="CC157" s="1293"/>
      <c r="CD157" s="1293"/>
      <c r="CE157" s="1293"/>
      <c r="CF157" s="1293"/>
      <c r="CG157" s="1293"/>
    </row>
    <row r="158" spans="1:85" ht="15.75">
      <c r="A158" s="1293"/>
      <c r="B158" s="1293"/>
      <c r="C158" s="1293"/>
      <c r="D158" s="1293"/>
      <c r="E158" s="1293"/>
      <c r="F158" s="1293"/>
      <c r="G158" s="1293"/>
      <c r="H158" s="1293"/>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c r="AH158" s="1293"/>
      <c r="AI158" s="1293"/>
      <c r="AJ158" s="1293"/>
      <c r="AK158" s="1293"/>
      <c r="AL158" s="1293"/>
      <c r="AM158" s="1293"/>
      <c r="AN158" s="1293"/>
      <c r="AO158" s="1293"/>
      <c r="AP158" s="1293"/>
      <c r="AQ158" s="1293"/>
      <c r="AR158" s="1293"/>
      <c r="AS158" s="1293"/>
      <c r="AT158" s="1293"/>
      <c r="AU158" s="1293"/>
      <c r="AV158" s="1293"/>
      <c r="AW158" s="1293"/>
      <c r="AX158" s="1293"/>
      <c r="AY158" s="1293"/>
      <c r="AZ158" s="1293"/>
      <c r="BA158" s="1293"/>
      <c r="BB158" s="1293"/>
      <c r="BC158" s="1293"/>
      <c r="BD158" s="1293"/>
      <c r="BE158" s="1293"/>
      <c r="BF158" s="1293"/>
      <c r="BG158" s="1293"/>
      <c r="BH158" s="1293"/>
      <c r="BI158" s="1293"/>
      <c r="BJ158" s="1293"/>
      <c r="BK158" s="1293"/>
      <c r="BL158" s="1293"/>
      <c r="BM158" s="1293"/>
      <c r="BN158" s="1293"/>
      <c r="BO158" s="1293"/>
      <c r="BP158" s="1293"/>
      <c r="BQ158" s="1293"/>
      <c r="BR158" s="1293"/>
      <c r="BS158" s="1293"/>
      <c r="BT158" s="1293"/>
      <c r="BU158" s="1293"/>
      <c r="BV158" s="1293"/>
      <c r="BW158" s="1293"/>
      <c r="BX158" s="1293"/>
      <c r="BY158" s="1293"/>
      <c r="BZ158" s="1293"/>
      <c r="CA158" s="1293"/>
      <c r="CB158" s="1293"/>
      <c r="CC158" s="1293"/>
      <c r="CD158" s="1293"/>
      <c r="CE158" s="1293"/>
      <c r="CF158" s="1293"/>
      <c r="CG158" s="1293"/>
    </row>
    <row r="159" spans="1:85" ht="15.75">
      <c r="A159" s="1293"/>
      <c r="B159" s="1293"/>
      <c r="C159" s="1979" t="s">
        <v>3984</v>
      </c>
      <c r="D159" s="1293"/>
      <c r="E159" s="1293"/>
      <c r="F159" s="1293"/>
      <c r="G159" s="1293"/>
      <c r="H159" s="1293"/>
      <c r="I159" s="1293"/>
      <c r="J159" s="1293"/>
      <c r="K159" s="1293"/>
      <c r="L159" s="1293"/>
      <c r="M159" s="1293"/>
      <c r="N159" s="1293"/>
      <c r="O159" s="1293"/>
      <c r="P159" s="1293"/>
      <c r="Q159" s="1293"/>
      <c r="R159" s="1293"/>
      <c r="S159" s="1293"/>
      <c r="T159" s="1293"/>
      <c r="U159" s="1293"/>
      <c r="V159" s="1293"/>
      <c r="W159" s="1293"/>
      <c r="X159" s="1293"/>
      <c r="Y159" s="1293"/>
      <c r="Z159" s="1293"/>
      <c r="AA159" s="1293"/>
      <c r="AB159" s="1293"/>
      <c r="AC159" s="1293"/>
      <c r="AD159" s="1293"/>
      <c r="AE159" s="1293"/>
      <c r="AF159" s="1293"/>
      <c r="AG159" s="1293"/>
      <c r="AH159" s="1293"/>
      <c r="AI159" s="1293"/>
      <c r="AJ159" s="1293"/>
      <c r="AK159" s="1293"/>
      <c r="AL159" s="1293"/>
      <c r="AM159" s="1293"/>
      <c r="AN159" s="1293"/>
      <c r="AO159" s="1293"/>
      <c r="AP159" s="1293"/>
      <c r="AQ159" s="1293"/>
      <c r="AR159" s="1293"/>
      <c r="AS159" s="1293"/>
      <c r="AT159" s="1293"/>
      <c r="AU159" s="1293"/>
      <c r="AV159" s="1293"/>
      <c r="AW159" s="1293"/>
      <c r="AX159" s="1293"/>
      <c r="AY159" s="1293"/>
      <c r="AZ159" s="1293"/>
      <c r="BA159" s="1293"/>
      <c r="BB159" s="1293"/>
      <c r="BC159" s="1293"/>
      <c r="BD159" s="1293"/>
      <c r="BE159" s="1293"/>
      <c r="BF159" s="1293"/>
      <c r="BG159" s="1293"/>
      <c r="BH159" s="1293"/>
      <c r="BI159" s="1293"/>
      <c r="BJ159" s="1293"/>
      <c r="BK159" s="1293"/>
      <c r="BL159" s="1293"/>
      <c r="BM159" s="1293"/>
      <c r="BN159" s="1293"/>
      <c r="BO159" s="1293"/>
      <c r="BP159" s="1293"/>
      <c r="BQ159" s="1293"/>
      <c r="BR159" s="1293"/>
      <c r="BS159" s="1293"/>
      <c r="BT159" s="1293"/>
      <c r="BU159" s="1293"/>
      <c r="BV159" s="1293"/>
      <c r="BW159" s="1293"/>
      <c r="BX159" s="1293"/>
      <c r="BY159" s="1293"/>
      <c r="BZ159" s="1293"/>
      <c r="CA159" s="1293"/>
      <c r="CB159" s="1293"/>
      <c r="CC159" s="1293"/>
      <c r="CD159" s="1293"/>
      <c r="CE159" s="1293"/>
      <c r="CF159" s="1293"/>
      <c r="CG159" s="1293"/>
    </row>
    <row r="160" spans="1:85" ht="15.75">
      <c r="A160" s="1293"/>
      <c r="B160" s="1293"/>
      <c r="C160" s="1293"/>
      <c r="D160" s="1293"/>
      <c r="E160" s="1293"/>
      <c r="F160" s="1293"/>
      <c r="G160" s="1293"/>
      <c r="H160" s="1293"/>
      <c r="I160" s="1293"/>
      <c r="J160" s="1293"/>
      <c r="K160" s="1293"/>
      <c r="L160" s="1293"/>
      <c r="M160" s="1293"/>
      <c r="N160" s="1293"/>
      <c r="O160" s="1293"/>
      <c r="P160" s="1293"/>
      <c r="Q160" s="1293"/>
      <c r="R160" s="1293"/>
      <c r="S160" s="1293"/>
      <c r="T160" s="1293"/>
      <c r="U160" s="1293"/>
      <c r="V160" s="1293"/>
      <c r="W160" s="1293"/>
      <c r="X160" s="1293"/>
      <c r="Y160" s="1293"/>
      <c r="Z160" s="1293"/>
      <c r="AA160" s="1293"/>
      <c r="AB160" s="1293"/>
      <c r="AC160" s="1293"/>
      <c r="AD160" s="1293"/>
      <c r="AE160" s="1293"/>
      <c r="AF160" s="1293"/>
      <c r="AG160" s="1293"/>
      <c r="AH160" s="1293"/>
      <c r="AI160" s="1293"/>
      <c r="AJ160" s="1293"/>
      <c r="AK160" s="1293"/>
      <c r="AL160" s="1293"/>
      <c r="AM160" s="1293"/>
      <c r="AN160" s="1293"/>
      <c r="AO160" s="1293"/>
      <c r="AP160" s="1293"/>
      <c r="AQ160" s="1293"/>
      <c r="AR160" s="1293"/>
      <c r="AS160" s="1293"/>
      <c r="AT160" s="1293"/>
      <c r="AU160" s="1293"/>
      <c r="AV160" s="1293"/>
      <c r="AW160" s="1293"/>
      <c r="AX160" s="1293"/>
      <c r="AY160" s="1293"/>
      <c r="AZ160" s="1293"/>
      <c r="BA160" s="1293"/>
      <c r="BB160" s="1293"/>
      <c r="BC160" s="1293"/>
      <c r="BD160" s="1293"/>
      <c r="BE160" s="1293"/>
      <c r="BF160" s="1293"/>
      <c r="BG160" s="1293"/>
      <c r="BH160" s="1293"/>
      <c r="BI160" s="1293"/>
      <c r="BJ160" s="1293"/>
      <c r="BK160" s="1293"/>
      <c r="BL160" s="1293"/>
      <c r="BM160" s="1293"/>
      <c r="BN160" s="1293"/>
      <c r="BO160" s="1293"/>
      <c r="BP160" s="1293"/>
      <c r="BQ160" s="1293"/>
      <c r="BR160" s="1293"/>
      <c r="BS160" s="1293"/>
      <c r="BT160" s="1293"/>
      <c r="BU160" s="1293"/>
      <c r="BV160" s="1293"/>
      <c r="BW160" s="1293"/>
      <c r="BX160" s="1293"/>
      <c r="BY160" s="1293"/>
      <c r="BZ160" s="1293"/>
      <c r="CA160" s="1293"/>
      <c r="CB160" s="1293"/>
      <c r="CC160" s="1293"/>
      <c r="CD160" s="1293"/>
      <c r="CE160" s="1293"/>
      <c r="CF160" s="1293"/>
      <c r="CG160" s="1293"/>
    </row>
    <row r="161" spans="1:85" ht="15.75">
      <c r="A161" s="1293"/>
      <c r="B161" s="1293"/>
      <c r="C161" s="1324" t="s">
        <v>758</v>
      </c>
      <c r="D161" s="1657">
        <f t="shared" ref="D161:T161" si="165">D4</f>
        <v>2014</v>
      </c>
      <c r="E161" s="1657">
        <f t="shared" si="165"/>
        <v>2015</v>
      </c>
      <c r="F161" s="1657">
        <f t="shared" si="165"/>
        <v>2016</v>
      </c>
      <c r="G161" s="1657">
        <f t="shared" si="165"/>
        <v>2017</v>
      </c>
      <c r="H161" s="1657">
        <f t="shared" si="165"/>
        <v>2018</v>
      </c>
      <c r="I161" s="1657">
        <f t="shared" si="165"/>
        <v>2019</v>
      </c>
      <c r="J161" s="1657">
        <f t="shared" si="165"/>
        <v>2020</v>
      </c>
      <c r="K161" s="1657">
        <f t="shared" si="165"/>
        <v>2021</v>
      </c>
      <c r="L161" s="1657">
        <f t="shared" si="165"/>
        <v>2022</v>
      </c>
      <c r="M161" s="1657">
        <f t="shared" si="165"/>
        <v>2023</v>
      </c>
      <c r="N161" s="1657">
        <f t="shared" si="165"/>
        <v>2024</v>
      </c>
      <c r="O161" s="1657">
        <f t="shared" si="165"/>
        <v>2025</v>
      </c>
      <c r="P161" s="1657">
        <f t="shared" si="165"/>
        <v>2026</v>
      </c>
      <c r="Q161" s="1657">
        <f t="shared" si="165"/>
        <v>2027</v>
      </c>
      <c r="R161" s="1657">
        <f t="shared" si="165"/>
        <v>2028</v>
      </c>
      <c r="S161" s="1657">
        <f t="shared" si="165"/>
        <v>2029</v>
      </c>
      <c r="T161" s="1657">
        <f t="shared" si="165"/>
        <v>2030</v>
      </c>
      <c r="U161" s="1293"/>
      <c r="V161" s="1293"/>
      <c r="W161" s="1293"/>
      <c r="X161" s="1293"/>
      <c r="Y161" s="1293"/>
      <c r="Z161" s="1293"/>
      <c r="AA161" s="1293"/>
      <c r="AB161" s="1293"/>
      <c r="AC161" s="1293"/>
      <c r="AD161" s="1293"/>
      <c r="AE161" s="1293"/>
      <c r="AF161" s="1293"/>
      <c r="AG161" s="1293"/>
      <c r="AH161" s="1293"/>
      <c r="AI161" s="1293"/>
      <c r="AJ161" s="1293"/>
      <c r="AK161" s="1293"/>
      <c r="AL161" s="1293"/>
      <c r="AM161" s="1293"/>
      <c r="AN161" s="1293"/>
      <c r="AO161" s="1293"/>
      <c r="AP161" s="1293"/>
      <c r="AQ161" s="1293"/>
      <c r="AR161" s="1293"/>
      <c r="AS161" s="1293"/>
      <c r="AT161" s="1293"/>
      <c r="AU161" s="1293"/>
      <c r="AV161" s="1293"/>
      <c r="AW161" s="1293"/>
      <c r="AX161" s="1293"/>
      <c r="AY161" s="1293"/>
      <c r="AZ161" s="1293"/>
      <c r="BA161" s="1293"/>
      <c r="BB161" s="1293"/>
      <c r="BC161" s="1293"/>
      <c r="BD161" s="1293"/>
      <c r="BE161" s="1293"/>
      <c r="BF161" s="1293"/>
      <c r="BG161" s="1293"/>
      <c r="BH161" s="1293"/>
      <c r="BI161" s="1293"/>
      <c r="BJ161" s="1293"/>
      <c r="BK161" s="1293"/>
      <c r="BL161" s="1293"/>
      <c r="BM161" s="1293"/>
      <c r="BN161" s="1293"/>
      <c r="BO161" s="1293"/>
      <c r="BP161" s="1293"/>
      <c r="BQ161" s="1293"/>
      <c r="BR161" s="1293"/>
      <c r="BS161" s="1293"/>
      <c r="BT161" s="1293"/>
      <c r="BU161" s="1293"/>
      <c r="BV161" s="1293"/>
      <c r="BW161" s="1293"/>
      <c r="BX161" s="1293"/>
      <c r="BY161" s="1293"/>
      <c r="BZ161" s="1293"/>
      <c r="CA161" s="1293"/>
      <c r="CB161" s="1293"/>
      <c r="CC161" s="1293"/>
      <c r="CD161" s="1293"/>
      <c r="CE161" s="1293"/>
      <c r="CF161" s="1293"/>
      <c r="CG161" s="1293"/>
    </row>
    <row r="162" spans="1:85" ht="15.75">
      <c r="A162" s="1293"/>
      <c r="B162" s="1293"/>
      <c r="C162" s="1293" t="str">
        <f t="shared" ref="C162:C167" si="166">C123</f>
        <v>El Salvador</v>
      </c>
      <c r="D162" s="1327">
        <f>'New (new) quarts'!G276</f>
        <v>445.10124733999999</v>
      </c>
      <c r="E162" s="1327">
        <f>'New (new) quarts'!L276</f>
        <v>449.70061549000002</v>
      </c>
      <c r="F162" s="1327">
        <f>'New (new) quarts'!Q276</f>
        <v>425.60976828000099</v>
      </c>
      <c r="G162" s="1327">
        <f>'New (new) quarts'!V276</f>
        <v>423</v>
      </c>
      <c r="H162" s="1327">
        <f>'New (new) quarts'!AA276</f>
        <v>406</v>
      </c>
      <c r="I162" s="1327">
        <f>'New (new) quarts'!AJ276</f>
        <v>386</v>
      </c>
      <c r="J162" s="1327">
        <f>'New (new) quarts'!AO276</f>
        <v>390</v>
      </c>
      <c r="K162" s="1327">
        <f>'New (new) quarts'!AT276</f>
        <v>447</v>
      </c>
      <c r="L162" s="1327">
        <f>'New (new) quarts'!AY276</f>
        <v>475.95</v>
      </c>
      <c r="M162" s="1327">
        <f>'New (new) quarts'!BD276</f>
        <v>489.221</v>
      </c>
      <c r="N162" s="1327">
        <f>'New (new) quarts'!BI276</f>
        <v>495.702</v>
      </c>
      <c r="O162" s="1327">
        <f t="shared" ref="O162:T170" si="167">O184+O249</f>
        <v>504.66200000000003</v>
      </c>
      <c r="P162" s="1327">
        <f t="shared" si="167"/>
        <v>514.75524000000007</v>
      </c>
      <c r="Q162" s="1327">
        <f t="shared" si="167"/>
        <v>525.05034480000006</v>
      </c>
      <c r="R162" s="1327">
        <f t="shared" si="167"/>
        <v>535.5513516960001</v>
      </c>
      <c r="S162" s="1327">
        <f t="shared" si="167"/>
        <v>546.2623787299201</v>
      </c>
      <c r="T162" s="1327">
        <f t="shared" si="167"/>
        <v>557.18762630451852</v>
      </c>
      <c r="U162" s="1293"/>
      <c r="V162" s="1293"/>
      <c r="W162" s="1293"/>
      <c r="X162" s="1293"/>
      <c r="Y162" s="1293"/>
      <c r="Z162" s="1293"/>
      <c r="AA162" s="1293"/>
      <c r="AB162" s="1293"/>
      <c r="AC162" s="1293"/>
      <c r="AD162" s="1293"/>
      <c r="AE162" s="1293"/>
      <c r="AF162" s="1293"/>
      <c r="AG162" s="1293"/>
      <c r="AH162" s="1293"/>
      <c r="AI162" s="1293"/>
      <c r="AJ162" s="1293"/>
      <c r="AK162" s="1293"/>
      <c r="AL162" s="1293"/>
      <c r="AM162" s="1293"/>
      <c r="AN162" s="1293"/>
      <c r="AO162" s="1293"/>
      <c r="AP162" s="1293"/>
      <c r="AQ162" s="1293"/>
      <c r="AR162" s="1293"/>
      <c r="AS162" s="1293"/>
      <c r="AT162" s="1293"/>
      <c r="AU162" s="1293"/>
      <c r="AV162" s="1293"/>
      <c r="AW162" s="1293"/>
      <c r="AX162" s="1293"/>
      <c r="AY162" s="1293"/>
      <c r="AZ162" s="1293"/>
      <c r="BA162" s="1293"/>
      <c r="BB162" s="1293"/>
      <c r="BC162" s="1293"/>
      <c r="BD162" s="1293"/>
      <c r="BE162" s="1293"/>
      <c r="BF162" s="1293"/>
      <c r="BG162" s="1293"/>
      <c r="BH162" s="1293"/>
      <c r="BI162" s="1293"/>
      <c r="BJ162" s="1293"/>
      <c r="BK162" s="1293"/>
      <c r="BL162" s="1293"/>
      <c r="BM162" s="1293"/>
      <c r="BN162" s="1293"/>
      <c r="BO162" s="1293"/>
      <c r="BP162" s="1293"/>
      <c r="BQ162" s="1293"/>
      <c r="BR162" s="1293"/>
      <c r="BS162" s="1293"/>
      <c r="BT162" s="1293"/>
      <c r="BU162" s="1293"/>
      <c r="BV162" s="1293"/>
      <c r="BW162" s="1293"/>
      <c r="BX162" s="1293"/>
      <c r="BY162" s="1293"/>
      <c r="BZ162" s="1293"/>
      <c r="CA162" s="1293"/>
      <c r="CB162" s="1293"/>
      <c r="CC162" s="1293"/>
      <c r="CD162" s="1293"/>
      <c r="CE162" s="1293"/>
      <c r="CF162" s="1293"/>
      <c r="CG162" s="1293"/>
    </row>
    <row r="163" spans="1:85" ht="15.75">
      <c r="A163" s="1293"/>
      <c r="B163" s="1293"/>
      <c r="C163" s="1293" t="str">
        <f t="shared" si="166"/>
        <v>Guatemala</v>
      </c>
      <c r="D163" s="1327">
        <f>'New (new) quarts'!G277</f>
        <v>9645.4985662893287</v>
      </c>
      <c r="E163" s="1327">
        <f>'New (new) quarts'!L277</f>
        <v>9992.6339678713975</v>
      </c>
      <c r="F163" s="1327">
        <f>'New (new) quarts'!Q277</f>
        <v>9774.5687746004587</v>
      </c>
      <c r="G163" s="1327">
        <f>'New (new) quarts'!V277</f>
        <v>9766.7200000000012</v>
      </c>
      <c r="H163" s="1327">
        <f>'New (new) quarts'!AA277</f>
        <v>10324.959999999999</v>
      </c>
      <c r="I163" s="1327">
        <f>'New (new) quarts'!AJ277</f>
        <v>11049.5</v>
      </c>
      <c r="J163" s="1327">
        <f>'New (new) quarts'!AO277</f>
        <v>11616.22861</v>
      </c>
      <c r="K163" s="1327">
        <f>'New (new) quarts'!AT277</f>
        <v>12380.731400657925</v>
      </c>
      <c r="L163" s="1327">
        <f>'New (new) quarts'!AY277</f>
        <v>12502.811066511402</v>
      </c>
      <c r="M163" s="1327">
        <f>'New (new) quarts'!BD277</f>
        <v>12256.035841600002</v>
      </c>
      <c r="N163" s="1327">
        <f>'New (new) quarts'!BI277</f>
        <v>12442.77638868</v>
      </c>
      <c r="O163" s="1327">
        <f t="shared" si="167"/>
        <v>12723.394388680001</v>
      </c>
      <c r="P163" s="1327">
        <f t="shared" si="167"/>
        <v>13033.230366453601</v>
      </c>
      <c r="Q163" s="1327">
        <f t="shared" si="167"/>
        <v>13350.647266032671</v>
      </c>
      <c r="R163" s="1327">
        <f t="shared" si="167"/>
        <v>13675.831310909572</v>
      </c>
      <c r="S163" s="1327">
        <f t="shared" si="167"/>
        <v>13949.347937127764</v>
      </c>
      <c r="T163" s="1327">
        <f t="shared" si="167"/>
        <v>14228.334895870321</v>
      </c>
      <c r="U163" s="1293"/>
      <c r="V163" s="1293"/>
      <c r="W163" s="1293"/>
      <c r="X163" s="1293"/>
      <c r="Y163" s="1293"/>
      <c r="Z163" s="1293"/>
      <c r="AA163" s="1293"/>
      <c r="AB163" s="1293"/>
      <c r="AC163" s="1293"/>
      <c r="AD163" s="1293"/>
      <c r="AE163" s="1293"/>
      <c r="AF163" s="1293"/>
      <c r="AG163" s="1293"/>
      <c r="AH163" s="1293"/>
      <c r="AI163" s="1293"/>
      <c r="AJ163" s="1293"/>
      <c r="AK163" s="1293"/>
      <c r="AL163" s="1293"/>
      <c r="AM163" s="1293"/>
      <c r="AN163" s="1293"/>
      <c r="AO163" s="1293"/>
      <c r="AP163" s="1293"/>
      <c r="AQ163" s="1293"/>
      <c r="AR163" s="1293"/>
      <c r="AS163" s="1293"/>
      <c r="AT163" s="1293"/>
      <c r="AU163" s="1293"/>
      <c r="AV163" s="1293"/>
      <c r="AW163" s="1293"/>
      <c r="AX163" s="1293"/>
      <c r="AY163" s="1293"/>
      <c r="AZ163" s="1293"/>
      <c r="BA163" s="1293"/>
      <c r="BB163" s="1293"/>
      <c r="BC163" s="1293"/>
      <c r="BD163" s="1293"/>
      <c r="BE163" s="1293"/>
      <c r="BF163" s="1293"/>
      <c r="BG163" s="1293"/>
      <c r="BH163" s="1293"/>
      <c r="BI163" s="1293"/>
      <c r="BJ163" s="1293"/>
      <c r="BK163" s="1293"/>
      <c r="BL163" s="1293"/>
      <c r="BM163" s="1293"/>
      <c r="BN163" s="1293"/>
      <c r="BO163" s="1293"/>
      <c r="BP163" s="1293"/>
      <c r="BQ163" s="1293"/>
      <c r="BR163" s="1293"/>
      <c r="BS163" s="1293"/>
      <c r="BT163" s="1293"/>
      <c r="BU163" s="1293"/>
      <c r="BV163" s="1293"/>
      <c r="BW163" s="1293"/>
      <c r="BX163" s="1293"/>
      <c r="BY163" s="1293"/>
      <c r="BZ163" s="1293"/>
      <c r="CA163" s="1293"/>
      <c r="CB163" s="1293"/>
      <c r="CC163" s="1293"/>
      <c r="CD163" s="1293"/>
      <c r="CE163" s="1293"/>
      <c r="CF163" s="1293"/>
      <c r="CG163" s="1293"/>
    </row>
    <row r="164" spans="1:85" ht="15.75">
      <c r="A164" s="1293"/>
      <c r="B164" s="1293"/>
      <c r="C164" s="1293" t="str">
        <f t="shared" si="166"/>
        <v>Honduras (JV)</v>
      </c>
      <c r="D164" s="1327">
        <f>'New (new) quarts'!G278</f>
        <v>13281.052187752586</v>
      </c>
      <c r="E164" s="1327">
        <f>'New (new) quarts'!L278</f>
        <v>14295.690482237529</v>
      </c>
      <c r="F164" s="1327">
        <f>'New (new) quarts'!Q278</f>
        <v>13960.967807562763</v>
      </c>
      <c r="G164" s="1327">
        <f>'New (new) quarts'!V278</f>
        <v>13788.45</v>
      </c>
      <c r="H164" s="1327">
        <f>'New (new) quarts'!AA278</f>
        <v>13987.82</v>
      </c>
      <c r="I164" s="1327">
        <f>'New (new) quarts'!AJ278</f>
        <v>14594.58</v>
      </c>
      <c r="J164" s="1327">
        <f>'New (new) quarts'!AO278</f>
        <v>13613.2994</v>
      </c>
      <c r="K164" s="1327">
        <f>'New (new) quarts'!AT278</f>
        <v>14181.783966754079</v>
      </c>
      <c r="L164" s="1327">
        <f>'New (new) quarts'!AY278</f>
        <v>14390.005476583216</v>
      </c>
      <c r="M164" s="1327">
        <f>'New (new) quarts'!BD278</f>
        <v>15077.453436000002</v>
      </c>
      <c r="N164" s="1327">
        <f>'New (new) quarts'!BI278</f>
        <v>15360.940532999999</v>
      </c>
      <c r="O164" s="1327">
        <f t="shared" si="167"/>
        <v>15723.690532999997</v>
      </c>
      <c r="P164" s="1327">
        <f t="shared" si="167"/>
        <v>16186.891843659998</v>
      </c>
      <c r="Q164" s="1327">
        <f t="shared" si="167"/>
        <v>16663.819005533198</v>
      </c>
      <c r="R164" s="1327">
        <f t="shared" si="167"/>
        <v>17154.880390393864</v>
      </c>
      <c r="S164" s="1327">
        <f t="shared" si="167"/>
        <v>17579.237275647989</v>
      </c>
      <c r="T164" s="1327">
        <f t="shared" si="167"/>
        <v>18014.112780543353</v>
      </c>
      <c r="U164" s="1293"/>
      <c r="V164" s="1293"/>
      <c r="W164" s="1293"/>
      <c r="X164" s="1293"/>
      <c r="Y164" s="1293"/>
      <c r="Z164" s="1293"/>
      <c r="AA164" s="1293"/>
      <c r="AB164" s="1293"/>
      <c r="AC164" s="1293"/>
      <c r="AD164" s="1293"/>
      <c r="AE164" s="1293"/>
      <c r="AF164" s="1293"/>
      <c r="AG164" s="1293"/>
      <c r="AH164" s="1293"/>
      <c r="AI164" s="1293"/>
      <c r="AJ164" s="1293"/>
      <c r="AK164" s="1293"/>
      <c r="AL164" s="1293"/>
      <c r="AM164" s="1293"/>
      <c r="AN164" s="1293"/>
      <c r="AO164" s="1293"/>
      <c r="AP164" s="1293"/>
      <c r="AQ164" s="1293"/>
      <c r="AR164" s="1293"/>
      <c r="AS164" s="1293"/>
      <c r="AT164" s="1293"/>
      <c r="AU164" s="1293"/>
      <c r="AV164" s="1293"/>
      <c r="AW164" s="1293"/>
      <c r="AX164" s="1293"/>
      <c r="AY164" s="1293"/>
      <c r="AZ164" s="1293"/>
      <c r="BA164" s="1293"/>
      <c r="BB164" s="1293"/>
      <c r="BC164" s="1293"/>
      <c r="BD164" s="1293"/>
      <c r="BE164" s="1293"/>
      <c r="BF164" s="1293"/>
      <c r="BG164" s="1293"/>
      <c r="BH164" s="1293"/>
      <c r="BI164" s="1293"/>
      <c r="BJ164" s="1293"/>
      <c r="BK164" s="1293"/>
      <c r="BL164" s="1293"/>
      <c r="BM164" s="1293"/>
      <c r="BN164" s="1293"/>
      <c r="BO164" s="1293"/>
      <c r="BP164" s="1293"/>
      <c r="BQ164" s="1293"/>
      <c r="BR164" s="1293"/>
      <c r="BS164" s="1293"/>
      <c r="BT164" s="1293"/>
      <c r="BU164" s="1293"/>
      <c r="BV164" s="1293"/>
      <c r="BW164" s="1293"/>
      <c r="BX164" s="1293"/>
      <c r="BY164" s="1293"/>
      <c r="BZ164" s="1293"/>
      <c r="CA164" s="1293"/>
      <c r="CB164" s="1293"/>
      <c r="CC164" s="1293"/>
      <c r="CD164" s="1293"/>
      <c r="CE164" s="1293"/>
      <c r="CF164" s="1293"/>
      <c r="CG164" s="1293"/>
    </row>
    <row r="165" spans="1:85" ht="15.75">
      <c r="A165" s="1293"/>
      <c r="B165" s="1293"/>
      <c r="C165" s="1293" t="str">
        <f t="shared" si="166"/>
        <v>Panama</v>
      </c>
      <c r="D165" s="1327"/>
      <c r="E165" s="1327"/>
      <c r="F165" s="1327"/>
      <c r="G165" s="1327"/>
      <c r="H165" s="1327"/>
      <c r="I165" s="1327"/>
      <c r="J165" s="1327"/>
      <c r="K165" s="1327"/>
      <c r="L165" s="1327">
        <f>'New (new) quarts'!AY279</f>
        <v>651.27139999999997</v>
      </c>
      <c r="M165" s="1327">
        <f>'New (new) quarts'!BD279</f>
        <v>719.19690000000003</v>
      </c>
      <c r="N165" s="1327">
        <f>'New (new) quarts'!BI279</f>
        <v>755.57830000000013</v>
      </c>
      <c r="O165" s="1327">
        <f t="shared" si="167"/>
        <v>787.07830000000013</v>
      </c>
      <c r="P165" s="1327">
        <f t="shared" si="167"/>
        <v>819.27861600000017</v>
      </c>
      <c r="Q165" s="1327">
        <f t="shared" si="167"/>
        <v>850.91596332000017</v>
      </c>
      <c r="R165" s="1327">
        <f t="shared" si="167"/>
        <v>881.81339783640021</v>
      </c>
      <c r="S165" s="1327">
        <f t="shared" si="167"/>
        <v>911.79216471187817</v>
      </c>
      <c r="T165" s="1327">
        <f t="shared" si="167"/>
        <v>938.54433226005324</v>
      </c>
      <c r="U165" s="1293"/>
      <c r="V165" s="1293"/>
      <c r="W165" s="1293"/>
      <c r="X165" s="1293"/>
      <c r="Y165" s="1293"/>
      <c r="Z165" s="1293"/>
      <c r="AA165" s="1293"/>
      <c r="AB165" s="1293"/>
      <c r="AC165" s="1293"/>
      <c r="AD165" s="1293"/>
      <c r="AE165" s="1293"/>
      <c r="AF165" s="1293"/>
      <c r="AG165" s="1293"/>
      <c r="AH165" s="1293"/>
      <c r="AI165" s="1293"/>
      <c r="AJ165" s="1293"/>
      <c r="AK165" s="1293"/>
      <c r="AL165" s="1293"/>
      <c r="AM165" s="1293"/>
      <c r="AN165" s="1293"/>
      <c r="AO165" s="1293"/>
      <c r="AP165" s="1293"/>
      <c r="AQ165" s="1293"/>
      <c r="AR165" s="1293"/>
      <c r="AS165" s="1293"/>
      <c r="AT165" s="1293"/>
      <c r="AU165" s="1293"/>
      <c r="AV165" s="1293"/>
      <c r="AW165" s="1293"/>
      <c r="AX165" s="1293"/>
      <c r="AY165" s="1293"/>
      <c r="AZ165" s="1293"/>
      <c r="BA165" s="1293"/>
      <c r="BB165" s="1293"/>
      <c r="BC165" s="1293"/>
      <c r="BD165" s="1293"/>
      <c r="BE165" s="1293"/>
      <c r="BF165" s="1293"/>
      <c r="BG165" s="1293"/>
      <c r="BH165" s="1293"/>
      <c r="BI165" s="1293"/>
      <c r="BJ165" s="1293"/>
      <c r="BK165" s="1293"/>
      <c r="BL165" s="1293"/>
      <c r="BM165" s="1293"/>
      <c r="BN165" s="1293"/>
      <c r="BO165" s="1293"/>
      <c r="BP165" s="1293"/>
      <c r="BQ165" s="1293"/>
      <c r="BR165" s="1293"/>
      <c r="BS165" s="1293"/>
      <c r="BT165" s="1293"/>
      <c r="BU165" s="1293"/>
      <c r="BV165" s="1293"/>
      <c r="BW165" s="1293"/>
      <c r="BX165" s="1293"/>
      <c r="BY165" s="1293"/>
      <c r="BZ165" s="1293"/>
      <c r="CA165" s="1293"/>
      <c r="CB165" s="1293"/>
      <c r="CC165" s="1293"/>
      <c r="CD165" s="1293"/>
      <c r="CE165" s="1293"/>
      <c r="CF165" s="1293"/>
      <c r="CG165" s="1293"/>
    </row>
    <row r="166" spans="1:85" ht="15.75">
      <c r="A166" s="1293"/>
      <c r="B166" s="1293"/>
      <c r="C166" s="1293" t="str">
        <f t="shared" si="166"/>
        <v>Costa Rica</v>
      </c>
      <c r="D166" s="1327"/>
      <c r="E166" s="1327"/>
      <c r="F166" s="1327"/>
      <c r="G166" s="1327"/>
      <c r="H166" s="1327"/>
      <c r="I166" s="1327"/>
      <c r="J166" s="1327"/>
      <c r="K166" s="1327"/>
      <c r="L166" s="1327">
        <v>89398</v>
      </c>
      <c r="M166" s="1327">
        <v>86683</v>
      </c>
      <c r="N166" s="1327">
        <v>78666</v>
      </c>
      <c r="O166" s="1327">
        <f t="shared" si="167"/>
        <v>74931.074999999997</v>
      </c>
      <c r="P166" s="1327">
        <f t="shared" si="167"/>
        <v>73059.418124999997</v>
      </c>
      <c r="Q166" s="1327">
        <f t="shared" si="167"/>
        <v>72329.925543749996</v>
      </c>
      <c r="R166" s="1327">
        <f t="shared" si="167"/>
        <v>72330.674631749993</v>
      </c>
      <c r="S166" s="1327">
        <f t="shared" si="167"/>
        <v>73054.363412947496</v>
      </c>
      <c r="T166" s="1327">
        <f t="shared" si="167"/>
        <v>73785.296722654573</v>
      </c>
      <c r="U166" s="1293"/>
      <c r="V166" s="1293"/>
      <c r="W166" s="1293"/>
      <c r="X166" s="1293"/>
      <c r="Y166" s="1293"/>
      <c r="Z166" s="1293"/>
      <c r="AA166" s="1293"/>
      <c r="AB166" s="1293"/>
      <c r="AC166" s="1293"/>
      <c r="AD166" s="1293"/>
      <c r="AE166" s="1293"/>
      <c r="AF166" s="1293"/>
      <c r="AG166" s="1293"/>
      <c r="AH166" s="1293"/>
      <c r="AI166" s="1293"/>
      <c r="AJ166" s="1293"/>
      <c r="AK166" s="1293"/>
      <c r="AL166" s="1293"/>
      <c r="AM166" s="1293"/>
      <c r="AN166" s="1293"/>
      <c r="AO166" s="1293"/>
      <c r="AP166" s="1293"/>
      <c r="AQ166" s="1293"/>
      <c r="AR166" s="1293"/>
      <c r="AS166" s="1293"/>
      <c r="AT166" s="1293"/>
      <c r="AU166" s="1293"/>
      <c r="AV166" s="1293"/>
      <c r="AW166" s="1293"/>
      <c r="AX166" s="1293"/>
      <c r="AY166" s="1293"/>
      <c r="AZ166" s="1293"/>
      <c r="BA166" s="1293"/>
      <c r="BB166" s="1293"/>
      <c r="BC166" s="1293"/>
      <c r="BD166" s="1293"/>
      <c r="BE166" s="1293"/>
      <c r="BF166" s="1293"/>
      <c r="BG166" s="1293"/>
      <c r="BH166" s="1293"/>
      <c r="BI166" s="1293"/>
      <c r="BJ166" s="1293"/>
      <c r="BK166" s="1293"/>
      <c r="BL166" s="1293"/>
      <c r="BM166" s="1293"/>
      <c r="BN166" s="1293"/>
      <c r="BO166" s="1293"/>
      <c r="BP166" s="1293"/>
      <c r="BQ166" s="1293"/>
      <c r="BR166" s="1293"/>
      <c r="BS166" s="1293"/>
      <c r="BT166" s="1293"/>
      <c r="BU166" s="1293"/>
      <c r="BV166" s="1293"/>
      <c r="BW166" s="1293"/>
      <c r="BX166" s="1293"/>
      <c r="BY166" s="1293"/>
      <c r="BZ166" s="1293"/>
      <c r="CA166" s="1293"/>
      <c r="CB166" s="1293"/>
      <c r="CC166" s="1293"/>
      <c r="CD166" s="1293"/>
      <c r="CE166" s="1293"/>
      <c r="CF166" s="1293"/>
      <c r="CG166" s="1293"/>
    </row>
    <row r="167" spans="1:85" ht="15.75">
      <c r="A167" s="1293"/>
      <c r="B167" s="1293"/>
      <c r="C167" s="1293" t="str">
        <f t="shared" si="166"/>
        <v>Nicaragua</v>
      </c>
      <c r="D167" s="1327"/>
      <c r="E167" s="1327"/>
      <c r="F167" s="1327"/>
      <c r="G167" s="1327"/>
      <c r="H167" s="1327"/>
      <c r="I167" s="1327"/>
      <c r="J167" s="1327"/>
      <c r="K167" s="1327"/>
      <c r="L167" s="1327">
        <f>'New (new) quarts'!AY281</f>
        <v>8880.7736479999985</v>
      </c>
      <c r="M167" s="1327">
        <f>'New (new) quarts'!BD281</f>
        <v>9302.0749989899996</v>
      </c>
      <c r="N167" s="1327">
        <f>'New (new) quarts'!BI281</f>
        <v>9778.0295083599995</v>
      </c>
      <c r="O167" s="1327">
        <f t="shared" si="167"/>
        <v>10085.86950836</v>
      </c>
      <c r="P167" s="1327">
        <f t="shared" si="167"/>
        <v>10385.385298527201</v>
      </c>
      <c r="Q167" s="1327">
        <f t="shared" si="167"/>
        <v>10794.557708497745</v>
      </c>
      <c r="R167" s="1327">
        <f t="shared" si="167"/>
        <v>11167.591331787698</v>
      </c>
      <c r="S167" s="1327">
        <f t="shared" si="167"/>
        <v>11499.371462116253</v>
      </c>
      <c r="T167" s="1327">
        <f t="shared" si="167"/>
        <v>11785.199467760371</v>
      </c>
      <c r="U167" s="1293"/>
      <c r="V167" s="1293"/>
      <c r="W167" s="1293"/>
      <c r="X167" s="1293"/>
      <c r="Y167" s="1293"/>
      <c r="Z167" s="1293"/>
      <c r="AA167" s="1293"/>
      <c r="AB167" s="1293"/>
      <c r="AC167" s="1293"/>
      <c r="AD167" s="1293"/>
      <c r="AE167" s="1293"/>
      <c r="AF167" s="1293"/>
      <c r="AG167" s="1293"/>
      <c r="AH167" s="1293"/>
      <c r="AI167" s="1293"/>
      <c r="AJ167" s="1293"/>
      <c r="AK167" s="1293"/>
      <c r="AL167" s="1293"/>
      <c r="AM167" s="1293"/>
      <c r="AN167" s="1293"/>
      <c r="AO167" s="1293"/>
      <c r="AP167" s="1293"/>
      <c r="AQ167" s="1293"/>
      <c r="AR167" s="1293"/>
      <c r="AS167" s="1293"/>
      <c r="AT167" s="1293"/>
      <c r="AU167" s="1293"/>
      <c r="AV167" s="1293"/>
      <c r="AW167" s="1293"/>
      <c r="AX167" s="1293"/>
      <c r="AY167" s="1293"/>
      <c r="AZ167" s="1293"/>
      <c r="BA167" s="1293"/>
      <c r="BB167" s="1293"/>
      <c r="BC167" s="1293"/>
      <c r="BD167" s="1293"/>
      <c r="BE167" s="1293"/>
      <c r="BF167" s="1293"/>
      <c r="BG167" s="1293"/>
      <c r="BH167" s="1293"/>
      <c r="BI167" s="1293"/>
      <c r="BJ167" s="1293"/>
      <c r="BK167" s="1293"/>
      <c r="BL167" s="1293"/>
      <c r="BM167" s="1293"/>
      <c r="BN167" s="1293"/>
      <c r="BO167" s="1293"/>
      <c r="BP167" s="1293"/>
      <c r="BQ167" s="1293"/>
      <c r="BR167" s="1293"/>
      <c r="BS167" s="1293"/>
      <c r="BT167" s="1293"/>
      <c r="BU167" s="1293"/>
      <c r="BV167" s="1293"/>
      <c r="BW167" s="1293"/>
      <c r="BX167" s="1293"/>
      <c r="BY167" s="1293"/>
      <c r="BZ167" s="1293"/>
      <c r="CA167" s="1293"/>
      <c r="CB167" s="1293"/>
      <c r="CC167" s="1293"/>
      <c r="CD167" s="1293"/>
      <c r="CE167" s="1293"/>
      <c r="CF167" s="1293"/>
      <c r="CG167" s="1293"/>
    </row>
    <row r="168" spans="1:85" ht="15.75">
      <c r="A168" s="1293"/>
      <c r="B168" s="1293"/>
      <c r="C168" s="1293" t="str">
        <f>C129</f>
        <v>Bolivia</v>
      </c>
      <c r="D168" s="1327">
        <f>'New (new) quarts'!G286</f>
        <v>3373.3835088499995</v>
      </c>
      <c r="E168" s="1327">
        <f>'New (new) quarts'!L286</f>
        <v>3666.8998005300014</v>
      </c>
      <c r="F168" s="1327">
        <f>'New (new) quarts'!Q286</f>
        <v>3742.2702978300031</v>
      </c>
      <c r="G168" s="1327">
        <f>'New (new) quarts'!V286</f>
        <v>3841.96</v>
      </c>
      <c r="H168" s="1327">
        <f>'New (new) quarts'!AA286</f>
        <v>4236.6000000000004</v>
      </c>
      <c r="I168" s="1327">
        <f>'New (new) quarts'!AJ286</f>
        <v>4415.49</v>
      </c>
      <c r="J168" s="1327">
        <f>'New (new) quarts'!AO286</f>
        <v>4035.44</v>
      </c>
      <c r="K168" s="1327">
        <f>'New (new) quarts'!AT286</f>
        <v>4305.3071765909081</v>
      </c>
      <c r="L168" s="1327">
        <f>'New (new) quarts'!AY286</f>
        <v>4273.8842108923072</v>
      </c>
      <c r="M168" s="1327">
        <f>'New (new) quarts'!BD286</f>
        <v>4226.6795758653843</v>
      </c>
      <c r="N168" s="1327">
        <f>'New (new) quarts'!BI286</f>
        <v>4239.3838130000004</v>
      </c>
      <c r="O168" s="1327">
        <f t="shared" si="167"/>
        <v>4323.3438130000004</v>
      </c>
      <c r="P168" s="1327">
        <f t="shared" si="167"/>
        <v>4420.5155892600005</v>
      </c>
      <c r="Q168" s="1327">
        <f t="shared" si="167"/>
        <v>4530.8174215452</v>
      </c>
      <c r="R168" s="1327">
        <f t="shared" si="167"/>
        <v>4643.8725784886037</v>
      </c>
      <c r="S168" s="1327">
        <f t="shared" si="167"/>
        <v>4736.750030058377</v>
      </c>
      <c r="T168" s="1327">
        <f t="shared" si="167"/>
        <v>4831.4850306595436</v>
      </c>
      <c r="U168" s="1293"/>
      <c r="V168" s="1293"/>
      <c r="W168" s="1293"/>
      <c r="X168" s="1293"/>
      <c r="Y168" s="1293"/>
      <c r="Z168" s="1293"/>
      <c r="AA168" s="1293"/>
      <c r="AB168" s="1293"/>
      <c r="AC168" s="1293"/>
      <c r="AD168" s="1293"/>
      <c r="AE168" s="1293"/>
      <c r="AF168" s="1293"/>
      <c r="AG168" s="1293"/>
      <c r="AH168" s="1293"/>
      <c r="AI168" s="1293"/>
      <c r="AJ168" s="1293"/>
      <c r="AK168" s="1293"/>
      <c r="AL168" s="1293"/>
      <c r="AM168" s="1293"/>
      <c r="AN168" s="1293"/>
      <c r="AO168" s="1293"/>
      <c r="AP168" s="1293"/>
      <c r="AQ168" s="1293"/>
      <c r="AR168" s="1293"/>
      <c r="AS168" s="1293"/>
      <c r="AT168" s="1293"/>
      <c r="AU168" s="1293"/>
      <c r="AV168" s="1293"/>
      <c r="AW168" s="1293"/>
      <c r="AX168" s="1293"/>
      <c r="AY168" s="1293"/>
      <c r="AZ168" s="1293"/>
      <c r="BA168" s="1293"/>
      <c r="BB168" s="1293"/>
      <c r="BC168" s="1293"/>
      <c r="BD168" s="1293"/>
      <c r="BE168" s="1293"/>
      <c r="BF168" s="1293"/>
      <c r="BG168" s="1293"/>
      <c r="BH168" s="1293"/>
      <c r="BI168" s="1293"/>
      <c r="BJ168" s="1293"/>
      <c r="BK168" s="1293"/>
      <c r="BL168" s="1293"/>
      <c r="BM168" s="1293"/>
      <c r="BN168" s="1293"/>
      <c r="BO168" s="1293"/>
      <c r="BP168" s="1293"/>
      <c r="BQ168" s="1293"/>
      <c r="BR168" s="1293"/>
      <c r="BS168" s="1293"/>
      <c r="BT168" s="1293"/>
      <c r="BU168" s="1293"/>
      <c r="BV168" s="1293"/>
      <c r="BW168" s="1293"/>
      <c r="BX168" s="1293"/>
      <c r="BY168" s="1293"/>
      <c r="BZ168" s="1293"/>
      <c r="CA168" s="1293"/>
      <c r="CB168" s="1293"/>
      <c r="CC168" s="1293"/>
      <c r="CD168" s="1293"/>
      <c r="CE168" s="1293"/>
      <c r="CF168" s="1293"/>
      <c r="CG168" s="1293"/>
    </row>
    <row r="169" spans="1:85" ht="15.75">
      <c r="A169" s="1293"/>
      <c r="B169" s="1293"/>
      <c r="C169" s="1293" t="str">
        <f>C130</f>
        <v>Colombia</v>
      </c>
      <c r="D169" s="1327">
        <f>'New (new) quarts'!G287</f>
        <v>3360.2275618493322</v>
      </c>
      <c r="E169" s="1327">
        <f>'New (new) quarts'!L287</f>
        <v>5443.8658028520877</v>
      </c>
      <c r="F169" s="1327">
        <f>'New (new) quarts'!Q287</f>
        <v>5231.4150599045379</v>
      </c>
      <c r="G169" s="1327">
        <f>'New (new) quarts'!V287</f>
        <v>5146.2227000000003</v>
      </c>
      <c r="H169" s="1327">
        <f>'New (new) quarts'!AA287</f>
        <v>4848.4589999999998</v>
      </c>
      <c r="I169" s="1327">
        <f>'New (new) quarts'!AJ287</f>
        <v>5009.6400000000003</v>
      </c>
      <c r="J169" s="1327">
        <f>'New (new) quarts'!AO287</f>
        <v>5042.4049999999997</v>
      </c>
      <c r="K169" s="1327">
        <f>'New (new) quarts'!AT287</f>
        <v>5293.5340961826932</v>
      </c>
      <c r="L169" s="1327">
        <f>'New (new) quarts'!AY287</f>
        <v>5649.8938297353852</v>
      </c>
      <c r="M169" s="1327">
        <f>'New (new) quarts'!BD287</f>
        <v>5644.1157482560002</v>
      </c>
      <c r="N169" s="1327">
        <f>'New (new) quarts'!BI287</f>
        <v>5617.7007940600006</v>
      </c>
      <c r="O169" s="1327">
        <f t="shared" si="167"/>
        <v>5740.6407940600002</v>
      </c>
      <c r="P169" s="1327">
        <f t="shared" si="167"/>
        <v>5883.3883099411996</v>
      </c>
      <c r="Q169" s="1327">
        <f t="shared" si="167"/>
        <v>6058.3222111400246</v>
      </c>
      <c r="R169" s="1327">
        <f t="shared" si="167"/>
        <v>6267.9648339378246</v>
      </c>
      <c r="S169" s="1327">
        <f t="shared" si="167"/>
        <v>6454.3726938333321</v>
      </c>
      <c r="T169" s="1327">
        <f t="shared" si="167"/>
        <v>6614.900157766624</v>
      </c>
      <c r="U169" s="1293"/>
      <c r="V169" s="1293"/>
      <c r="W169" s="1293"/>
      <c r="X169" s="1293"/>
      <c r="Y169" s="1293"/>
      <c r="Z169" s="1293"/>
      <c r="AA169" s="1293"/>
      <c r="AB169" s="1293"/>
      <c r="AC169" s="1293"/>
      <c r="AD169" s="1293"/>
      <c r="AE169" s="1293"/>
      <c r="AF169" s="1293"/>
      <c r="AG169" s="1293"/>
      <c r="AH169" s="1293"/>
      <c r="AI169" s="1293"/>
      <c r="AJ169" s="1293"/>
      <c r="AK169" s="1293"/>
      <c r="AL169" s="1293"/>
      <c r="AM169" s="1293"/>
      <c r="AN169" s="1293"/>
      <c r="AO169" s="1293"/>
      <c r="AP169" s="1293"/>
      <c r="AQ169" s="1293"/>
      <c r="AR169" s="1293"/>
      <c r="AS169" s="1293"/>
      <c r="AT169" s="1293"/>
      <c r="AU169" s="1293"/>
      <c r="AV169" s="1293"/>
      <c r="AW169" s="1293"/>
      <c r="AX169" s="1293"/>
      <c r="AY169" s="1293"/>
      <c r="AZ169" s="1293"/>
      <c r="BA169" s="1293"/>
      <c r="BB169" s="1293"/>
      <c r="BC169" s="1293"/>
      <c r="BD169" s="1293"/>
      <c r="BE169" s="1293"/>
      <c r="BF169" s="1293"/>
      <c r="BG169" s="1293"/>
      <c r="BH169" s="1293"/>
      <c r="BI169" s="1293"/>
      <c r="BJ169" s="1293"/>
      <c r="BK169" s="1293"/>
      <c r="BL169" s="1293"/>
      <c r="BM169" s="1293"/>
      <c r="BN169" s="1293"/>
      <c r="BO169" s="1293"/>
      <c r="BP169" s="1293"/>
      <c r="BQ169" s="1293"/>
      <c r="BR169" s="1293"/>
      <c r="BS169" s="1293"/>
      <c r="BT169" s="1293"/>
      <c r="BU169" s="1293"/>
      <c r="BV169" s="1293"/>
      <c r="BW169" s="1293"/>
      <c r="BX169" s="1293"/>
      <c r="BY169" s="1293"/>
      <c r="BZ169" s="1293"/>
      <c r="CA169" s="1293"/>
      <c r="CB169" s="1293"/>
      <c r="CC169" s="1293"/>
      <c r="CD169" s="1293"/>
      <c r="CE169" s="1293"/>
      <c r="CF169" s="1293"/>
      <c r="CG169" s="1293"/>
    </row>
    <row r="170" spans="1:85" ht="15.75">
      <c r="A170" s="1293"/>
      <c r="B170" s="1293"/>
      <c r="C170" s="1293" t="str">
        <f>C131</f>
        <v>Paraguay</v>
      </c>
      <c r="D170" s="1327">
        <f>'New (new) quarts'!G288</f>
        <v>3438.4375777502546</v>
      </c>
      <c r="E170" s="1327">
        <f>'New (new) quarts'!L288</f>
        <v>3500.0360601008442</v>
      </c>
      <c r="F170" s="1327">
        <f>'New (new) quarts'!Q288</f>
        <v>3542.6703469998142</v>
      </c>
      <c r="G170" s="1327">
        <f>'New (new) quarts'!V288</f>
        <v>3729.07665</v>
      </c>
      <c r="H170" s="1327">
        <f>'New (new) quarts'!AA288</f>
        <v>3876.4110000000001</v>
      </c>
      <c r="I170" s="1327">
        <f>'New (new) quarts'!AJ288</f>
        <v>3752.8150000000001</v>
      </c>
      <c r="J170" s="1327">
        <f>'New (new) quarts'!AO288</f>
        <v>3682.88</v>
      </c>
      <c r="K170" s="1327">
        <f>'New (new) quarts'!AT288</f>
        <v>3753.1224608843245</v>
      </c>
      <c r="L170" s="1327">
        <f>'New (new) quarts'!AY288</f>
        <v>3890.263879846153</v>
      </c>
      <c r="M170" s="1327">
        <f>'New (new) quarts'!BD288</f>
        <v>4133.0147371060002</v>
      </c>
      <c r="N170" s="1327">
        <f>'New (new) quarts'!BI288</f>
        <v>4228.1097340289998</v>
      </c>
      <c r="O170" s="1327">
        <f t="shared" si="167"/>
        <v>4309.8897340289996</v>
      </c>
      <c r="P170" s="1327">
        <f t="shared" si="167"/>
        <v>4437.7953287095797</v>
      </c>
      <c r="Q170" s="1327">
        <f t="shared" si="167"/>
        <v>4590.9897862837706</v>
      </c>
      <c r="R170" s="1327">
        <f t="shared" si="167"/>
        <v>4749.5034822944463</v>
      </c>
      <c r="S170" s="1327">
        <f t="shared" si="167"/>
        <v>4890.5123431369857</v>
      </c>
      <c r="T170" s="1327">
        <f t="shared" si="167"/>
        <v>5012.022267465999</v>
      </c>
      <c r="U170" s="1293"/>
      <c r="V170" s="1293"/>
      <c r="W170" s="1293"/>
      <c r="X170" s="1293"/>
      <c r="Y170" s="1293"/>
      <c r="Z170" s="1293"/>
      <c r="AA170" s="1293"/>
      <c r="AB170" s="1293"/>
      <c r="AC170" s="1293"/>
      <c r="AD170" s="1293"/>
      <c r="AE170" s="1293"/>
      <c r="AF170" s="1293"/>
      <c r="AG170" s="1293"/>
      <c r="AH170" s="1293"/>
      <c r="AI170" s="1293"/>
      <c r="AJ170" s="1293"/>
      <c r="AK170" s="1293"/>
      <c r="AL170" s="1293"/>
      <c r="AM170" s="1293"/>
      <c r="AN170" s="1293"/>
      <c r="AO170" s="1293"/>
      <c r="AP170" s="1293"/>
      <c r="AQ170" s="1293"/>
      <c r="AR170" s="1293"/>
      <c r="AS170" s="1293"/>
      <c r="AT170" s="1293"/>
      <c r="AU170" s="1293"/>
      <c r="AV170" s="1293"/>
      <c r="AW170" s="1293"/>
      <c r="AX170" s="1293"/>
      <c r="AY170" s="1293"/>
      <c r="AZ170" s="1293"/>
      <c r="BA170" s="1293"/>
      <c r="BB170" s="1293"/>
      <c r="BC170" s="1293"/>
      <c r="BD170" s="1293"/>
      <c r="BE170" s="1293"/>
      <c r="BF170" s="1293"/>
      <c r="BG170" s="1293"/>
      <c r="BH170" s="1293"/>
      <c r="BI170" s="1293"/>
      <c r="BJ170" s="1293"/>
      <c r="BK170" s="1293"/>
      <c r="BL170" s="1293"/>
      <c r="BM170" s="1293"/>
      <c r="BN170" s="1293"/>
      <c r="BO170" s="1293"/>
      <c r="BP170" s="1293"/>
      <c r="BQ170" s="1293"/>
      <c r="BR170" s="1293"/>
      <c r="BS170" s="1293"/>
      <c r="BT170" s="1293"/>
      <c r="BU170" s="1293"/>
      <c r="BV170" s="1293"/>
      <c r="BW170" s="1293"/>
      <c r="BX170" s="1293"/>
      <c r="BY170" s="1293"/>
      <c r="BZ170" s="1293"/>
      <c r="CA170" s="1293"/>
      <c r="CB170" s="1293"/>
      <c r="CC170" s="1293"/>
      <c r="CD170" s="1293"/>
      <c r="CE170" s="1293"/>
      <c r="CF170" s="1293"/>
      <c r="CG170" s="1293"/>
    </row>
    <row r="171" spans="1:85" ht="15.75" hidden="1" outlineLevel="1">
      <c r="A171" s="1293"/>
      <c r="B171" s="1293"/>
      <c r="C171" s="1293"/>
      <c r="D171" s="1699"/>
      <c r="E171" s="1699"/>
      <c r="F171" s="1699"/>
      <c r="G171" s="1699"/>
      <c r="H171" s="1699"/>
      <c r="I171" s="1699"/>
      <c r="J171" s="1699"/>
      <c r="K171" s="1699"/>
      <c r="L171" s="1699"/>
      <c r="M171" s="1699"/>
      <c r="N171" s="1293"/>
      <c r="O171" s="1293"/>
      <c r="P171" s="1293"/>
      <c r="Q171" s="1293"/>
      <c r="R171" s="1293"/>
      <c r="S171" s="1293"/>
      <c r="T171" s="1293"/>
      <c r="U171" s="1293"/>
      <c r="V171" s="1293"/>
      <c r="W171" s="1293"/>
      <c r="X171" s="1293"/>
      <c r="Y171" s="1293"/>
      <c r="Z171" s="1293"/>
      <c r="AA171" s="1293"/>
      <c r="AB171" s="1293"/>
      <c r="AC171" s="1293"/>
      <c r="AD171" s="1293"/>
      <c r="AE171" s="1293"/>
      <c r="AF171" s="1293"/>
      <c r="AG171" s="1293"/>
      <c r="AH171" s="1293"/>
      <c r="AI171" s="1293"/>
      <c r="AJ171" s="1293"/>
      <c r="AK171" s="1293"/>
      <c r="AL171" s="1293"/>
      <c r="AM171" s="1293"/>
      <c r="AN171" s="1293"/>
      <c r="AO171" s="1293"/>
      <c r="AP171" s="1293"/>
      <c r="AQ171" s="1293"/>
      <c r="AR171" s="1293"/>
      <c r="AS171" s="1293"/>
      <c r="AT171" s="1293"/>
      <c r="AU171" s="1293"/>
      <c r="AV171" s="1293"/>
      <c r="AW171" s="1293"/>
      <c r="AX171" s="1293"/>
      <c r="AY171" s="1293"/>
      <c r="AZ171" s="1293"/>
      <c r="BA171" s="1293"/>
      <c r="BB171" s="1293"/>
      <c r="BC171" s="1293"/>
      <c r="BD171" s="1293"/>
      <c r="BE171" s="1293"/>
      <c r="BF171" s="1293"/>
      <c r="BG171" s="1293"/>
      <c r="BH171" s="1293"/>
      <c r="BI171" s="1293"/>
      <c r="BJ171" s="1293"/>
      <c r="BK171" s="1293"/>
      <c r="BL171" s="1293"/>
      <c r="BM171" s="1293"/>
      <c r="BN171" s="1293"/>
      <c r="BO171" s="1293"/>
      <c r="BP171" s="1293"/>
      <c r="BQ171" s="1293"/>
      <c r="BR171" s="1293"/>
      <c r="BS171" s="1293"/>
      <c r="BT171" s="1293"/>
      <c r="BU171" s="1293"/>
      <c r="BV171" s="1293"/>
      <c r="BW171" s="1293"/>
      <c r="BX171" s="1293"/>
      <c r="BY171" s="1293"/>
      <c r="BZ171" s="1293"/>
      <c r="CA171" s="1293"/>
      <c r="CB171" s="1293"/>
      <c r="CC171" s="1293"/>
      <c r="CD171" s="1293"/>
      <c r="CE171" s="1293"/>
      <c r="CF171" s="1293"/>
      <c r="CG171" s="1293"/>
    </row>
    <row r="172" spans="1:85" ht="15.75" hidden="1" outlineLevel="1">
      <c r="A172" s="1293"/>
      <c r="B172" s="1293"/>
      <c r="C172" s="1982" t="str">
        <f>C127</f>
        <v>Costa Rica</v>
      </c>
      <c r="D172" s="1327">
        <f>'New (new) quarts'!G282</f>
        <v>74573.055878743136</v>
      </c>
      <c r="E172" s="1327">
        <f>'New (new) quarts'!L282</f>
        <v>81533.907721626339</v>
      </c>
      <c r="F172" s="1327">
        <f>'New (new) quarts'!Q282</f>
        <v>84503.064552801996</v>
      </c>
      <c r="G172" s="1327">
        <f>'New (new) quarts'!V282</f>
        <v>84632</v>
      </c>
      <c r="H172" s="1327">
        <f>'New (new) quarts'!AA282</f>
        <v>85399.6</v>
      </c>
      <c r="I172" s="1327">
        <f>'New (new) quarts'!AJ282</f>
        <v>84672</v>
      </c>
      <c r="J172" s="1327">
        <f>'New (new) quarts'!AO282</f>
        <v>95192</v>
      </c>
      <c r="K172" s="1327">
        <f>'New (new) quarts'!AT282</f>
        <v>111889.23727381993</v>
      </c>
      <c r="L172" s="1327">
        <f>'New (new) quarts'!AY282</f>
        <v>0</v>
      </c>
      <c r="M172" s="1327">
        <f>'New (new) quarts'!BD282</f>
        <v>0</v>
      </c>
      <c r="N172" s="1327">
        <f>'New (new) quarts'!BI282</f>
        <v>0</v>
      </c>
      <c r="O172" s="1327">
        <f t="shared" ref="O172:T173" si="168">O195+O260</f>
        <v>6737.0773990607995</v>
      </c>
      <c r="P172" s="1327">
        <f t="shared" si="168"/>
        <v>10263.405542937631</v>
      </c>
      <c r="Q172" s="1327">
        <f t="shared" si="168"/>
        <v>13895.523531130762</v>
      </c>
      <c r="R172" s="1327">
        <f t="shared" si="168"/>
        <v>17636.605058969682</v>
      </c>
      <c r="S172" s="1327">
        <f t="shared" si="168"/>
        <v>21489.919032643767</v>
      </c>
      <c r="T172" s="1327">
        <f t="shared" si="168"/>
        <v>25458.832425528075</v>
      </c>
      <c r="U172" s="1293"/>
      <c r="V172" s="1293"/>
      <c r="W172" s="1293"/>
      <c r="X172" s="1293"/>
      <c r="Y172" s="1293"/>
      <c r="Z172" s="1293"/>
      <c r="AA172" s="1293"/>
      <c r="AB172" s="1293"/>
      <c r="AC172" s="1293"/>
      <c r="AD172" s="1293"/>
      <c r="AE172" s="1293"/>
      <c r="AF172" s="1293"/>
      <c r="AG172" s="1293"/>
      <c r="AH172" s="1293"/>
      <c r="AI172" s="1293"/>
      <c r="AJ172" s="1293"/>
      <c r="AK172" s="1293"/>
      <c r="AL172" s="1293"/>
      <c r="AM172" s="1293"/>
      <c r="AN172" s="1293"/>
      <c r="AO172" s="1293"/>
      <c r="AP172" s="1293"/>
      <c r="AQ172" s="1293"/>
      <c r="AR172" s="1293"/>
      <c r="AS172" s="1293"/>
      <c r="AT172" s="1293"/>
      <c r="AU172" s="1293"/>
      <c r="AV172" s="1293"/>
      <c r="AW172" s="1293"/>
      <c r="AX172" s="1293"/>
      <c r="AY172" s="1293"/>
      <c r="AZ172" s="1293"/>
      <c r="BA172" s="1293"/>
      <c r="BB172" s="1293"/>
      <c r="BC172" s="1293"/>
      <c r="BD172" s="1293"/>
      <c r="BE172" s="1293"/>
      <c r="BF172" s="1293"/>
      <c r="BG172" s="1293"/>
      <c r="BH172" s="1293"/>
      <c r="BI172" s="1293"/>
      <c r="BJ172" s="1293"/>
      <c r="BK172" s="1293"/>
      <c r="BL172" s="1293"/>
      <c r="BM172" s="1293"/>
      <c r="BN172" s="1293"/>
      <c r="BO172" s="1293"/>
      <c r="BP172" s="1293"/>
      <c r="BQ172" s="1293"/>
      <c r="BR172" s="1293"/>
      <c r="BS172" s="1293"/>
      <c r="BT172" s="1293"/>
      <c r="BU172" s="1293"/>
      <c r="BV172" s="1293"/>
      <c r="BW172" s="1293"/>
      <c r="BX172" s="1293"/>
      <c r="BY172" s="1293"/>
      <c r="BZ172" s="1293"/>
      <c r="CA172" s="1293"/>
      <c r="CB172" s="1293"/>
      <c r="CC172" s="1293"/>
      <c r="CD172" s="1293"/>
      <c r="CE172" s="1293"/>
      <c r="CF172" s="1293"/>
      <c r="CG172" s="1293"/>
    </row>
    <row r="173" spans="1:85" ht="15.75" hidden="1" outlineLevel="1">
      <c r="A173" s="1293"/>
      <c r="B173" s="1293"/>
      <c r="C173" s="1293" t="str">
        <f t="shared" ref="C173:C179" si="169">C25</f>
        <v>Chad</v>
      </c>
      <c r="D173" s="1698">
        <f ca="1">'New (new) quarts'!G290</f>
        <v>89609.599384615387</v>
      </c>
      <c r="E173" s="1698">
        <f>'New (new) quarts'!L290</f>
        <v>90405.473623214275</v>
      </c>
      <c r="F173" s="1698">
        <f ca="1">'New (new) quarts'!Q290</f>
        <v>96372.253893881338</v>
      </c>
      <c r="G173" s="1698">
        <f ca="1">'New (new) quarts'!V290</f>
        <v>86977.12707349546</v>
      </c>
      <c r="H173" s="1698">
        <f ca="1">'New (new) quarts'!AA290</f>
        <v>86809.359148079879</v>
      </c>
      <c r="I173" s="1698">
        <f>'New (new) quarts'!AJ290</f>
        <v>0</v>
      </c>
      <c r="J173" s="1698">
        <f>'New (new) quarts'!AO290</f>
        <v>0</v>
      </c>
      <c r="K173" s="1698">
        <f>'New (new) quarts'!AT290</f>
        <v>0</v>
      </c>
      <c r="L173" s="1699">
        <f>'New (new) quarts'!AY290</f>
        <v>0</v>
      </c>
      <c r="M173" s="1699">
        <f>'New (new) quarts'!BD290</f>
        <v>0</v>
      </c>
      <c r="N173" s="1699">
        <f ca="1">'New (new) quarts'!BI290</f>
        <v>0</v>
      </c>
      <c r="O173" s="1699">
        <f t="shared" si="168"/>
        <v>0</v>
      </c>
      <c r="P173" s="1699">
        <f t="shared" si="168"/>
        <v>0</v>
      </c>
      <c r="Q173" s="1699">
        <f t="shared" si="168"/>
        <v>0</v>
      </c>
      <c r="R173" s="1699">
        <f t="shared" si="168"/>
        <v>0</v>
      </c>
      <c r="S173" s="1699">
        <f t="shared" si="168"/>
        <v>0</v>
      </c>
      <c r="T173" s="1699">
        <f t="shared" si="168"/>
        <v>0</v>
      </c>
      <c r="U173" s="1293"/>
      <c r="V173" s="1293"/>
      <c r="W173" s="1293"/>
      <c r="X173" s="1293"/>
      <c r="Y173" s="1293"/>
      <c r="Z173" s="1293"/>
      <c r="AA173" s="1293"/>
      <c r="AB173" s="1293"/>
      <c r="AC173" s="1293"/>
      <c r="AD173" s="1293"/>
      <c r="AE173" s="1293"/>
      <c r="AF173" s="1293"/>
      <c r="AG173" s="1293"/>
      <c r="AH173" s="1293"/>
      <c r="AI173" s="1293"/>
      <c r="AJ173" s="1293"/>
      <c r="AK173" s="1293"/>
      <c r="AL173" s="1293"/>
      <c r="AM173" s="1293"/>
      <c r="AN173" s="1293"/>
      <c r="AO173" s="1293"/>
      <c r="AP173" s="1293"/>
      <c r="AQ173" s="1293"/>
      <c r="AR173" s="1293"/>
      <c r="AS173" s="1293"/>
      <c r="AT173" s="1293"/>
      <c r="AU173" s="1293"/>
      <c r="AV173" s="1293"/>
      <c r="AW173" s="1293"/>
      <c r="AX173" s="1293"/>
      <c r="AY173" s="1293"/>
      <c r="AZ173" s="1293"/>
      <c r="BA173" s="1293"/>
      <c r="BB173" s="1293"/>
      <c r="BC173" s="1293"/>
      <c r="BD173" s="1293"/>
      <c r="BE173" s="1293"/>
      <c r="BF173" s="1293"/>
      <c r="BG173" s="1293"/>
      <c r="BH173" s="1293"/>
      <c r="BI173" s="1293"/>
      <c r="BJ173" s="1293"/>
      <c r="BK173" s="1293"/>
      <c r="BL173" s="1293"/>
      <c r="BM173" s="1293"/>
      <c r="BN173" s="1293"/>
      <c r="BO173" s="1293"/>
      <c r="BP173" s="1293"/>
      <c r="BQ173" s="1293"/>
      <c r="BR173" s="1293"/>
      <c r="BS173" s="1293"/>
      <c r="BT173" s="1293"/>
      <c r="BU173" s="1293"/>
      <c r="BV173" s="1293"/>
      <c r="BW173" s="1293"/>
      <c r="BX173" s="1293"/>
      <c r="BY173" s="1293"/>
      <c r="BZ173" s="1293"/>
      <c r="CA173" s="1293"/>
      <c r="CB173" s="1293"/>
      <c r="CC173" s="1293"/>
      <c r="CD173" s="1293"/>
      <c r="CE173" s="1293"/>
      <c r="CF173" s="1293"/>
      <c r="CG173" s="1293"/>
    </row>
    <row r="174" spans="1:85" ht="15.75" hidden="1" outlineLevel="1">
      <c r="A174" s="1293"/>
      <c r="B174" s="1293"/>
      <c r="C174" s="1293" t="str">
        <f t="shared" si="169"/>
        <v>DRC</v>
      </c>
      <c r="D174" s="1698">
        <f>'New (new) quarts'!G291</f>
        <v>117659.84950312942</v>
      </c>
      <c r="E174" s="1698">
        <f>'New (new) quarts'!L291</f>
        <v>139285.82028345103</v>
      </c>
      <c r="F174" s="1698">
        <f>'New (new) quarts'!Q291</f>
        <v>0</v>
      </c>
      <c r="G174" s="1698">
        <f>'New (new) quarts'!V291</f>
        <v>0</v>
      </c>
      <c r="H174" s="1698">
        <f>'New (new) quarts'!AA291</f>
        <v>0</v>
      </c>
      <c r="I174" s="1698">
        <f>'New (new) quarts'!AJ291</f>
        <v>0</v>
      </c>
      <c r="J174" s="1698">
        <f>'New (new) quarts'!AO291</f>
        <v>0</v>
      </c>
      <c r="K174" s="1698">
        <f>'New (new) quarts'!AT291</f>
        <v>0</v>
      </c>
      <c r="L174" s="1699">
        <f>'New (new) quarts'!AY291</f>
        <v>0</v>
      </c>
      <c r="M174" s="1699">
        <f>'New (new) quarts'!BD291</f>
        <v>0</v>
      </c>
      <c r="N174" s="1699">
        <f>'New (new) quarts'!BI291</f>
        <v>0</v>
      </c>
      <c r="O174" s="1699"/>
      <c r="P174" s="1699"/>
      <c r="Q174" s="1699"/>
      <c r="R174" s="1699"/>
      <c r="S174" s="1699"/>
      <c r="T174" s="1699"/>
      <c r="U174" s="1293"/>
      <c r="V174" s="1293"/>
      <c r="W174" s="1293"/>
      <c r="X174" s="1293"/>
      <c r="Y174" s="1293"/>
      <c r="Z174" s="1293"/>
      <c r="AA174" s="1293"/>
      <c r="AB174" s="1293"/>
      <c r="AC174" s="1293"/>
      <c r="AD174" s="1293"/>
      <c r="AE174" s="1293"/>
      <c r="AF174" s="1293"/>
      <c r="AG174" s="1293"/>
      <c r="AH174" s="1293"/>
      <c r="AI174" s="1293"/>
      <c r="AJ174" s="1293"/>
      <c r="AK174" s="1293"/>
      <c r="AL174" s="1293"/>
      <c r="AM174" s="1293"/>
      <c r="AN174" s="1293"/>
      <c r="AO174" s="1293"/>
      <c r="AP174" s="1293"/>
      <c r="AQ174" s="1293"/>
      <c r="AR174" s="1293"/>
      <c r="AS174" s="1293"/>
      <c r="AT174" s="1293"/>
      <c r="AU174" s="1293"/>
      <c r="AV174" s="1293"/>
      <c r="AW174" s="1293"/>
      <c r="AX174" s="1293"/>
      <c r="AY174" s="1293"/>
      <c r="AZ174" s="1293"/>
      <c r="BA174" s="1293"/>
      <c r="BB174" s="1293"/>
      <c r="BC174" s="1293"/>
      <c r="BD174" s="1293"/>
      <c r="BE174" s="1293"/>
      <c r="BF174" s="1293"/>
      <c r="BG174" s="1293"/>
      <c r="BH174" s="1293"/>
      <c r="BI174" s="1293"/>
      <c r="BJ174" s="1293"/>
      <c r="BK174" s="1293"/>
      <c r="BL174" s="1293"/>
      <c r="BM174" s="1293"/>
      <c r="BN174" s="1293"/>
      <c r="BO174" s="1293"/>
      <c r="BP174" s="1293"/>
      <c r="BQ174" s="1293"/>
      <c r="BR174" s="1293"/>
      <c r="BS174" s="1293"/>
      <c r="BT174" s="1293"/>
      <c r="BU174" s="1293"/>
      <c r="BV174" s="1293"/>
      <c r="BW174" s="1293"/>
      <c r="BX174" s="1293"/>
      <c r="BY174" s="1293"/>
      <c r="BZ174" s="1293"/>
      <c r="CA174" s="1293"/>
      <c r="CB174" s="1293"/>
      <c r="CC174" s="1293"/>
      <c r="CD174" s="1293"/>
      <c r="CE174" s="1293"/>
      <c r="CF174" s="1293"/>
      <c r="CG174" s="1293"/>
    </row>
    <row r="175" spans="1:85" ht="15.75" hidden="1" outlineLevel="1">
      <c r="A175" s="1293"/>
      <c r="B175" s="1293"/>
      <c r="C175" s="1293" t="str">
        <f t="shared" si="169"/>
        <v>Ghana</v>
      </c>
      <c r="D175" s="1698">
        <f>'New (new) quarts'!G292</f>
        <v>420.12061538461535</v>
      </c>
      <c r="E175" s="1698">
        <f>'New (new) quarts'!L292</f>
        <v>521.17395162734067</v>
      </c>
      <c r="F175" s="1698">
        <f>'New (new) quarts'!Q292</f>
        <v>619.68578151859697</v>
      </c>
      <c r="G175" s="1698">
        <f>'New (new) quarts'!V292</f>
        <v>0</v>
      </c>
      <c r="H175" s="1698">
        <f>'New (new) quarts'!AA292</f>
        <v>0</v>
      </c>
      <c r="I175" s="1698">
        <f>'New (new) quarts'!AJ292</f>
        <v>0</v>
      </c>
      <c r="J175" s="1698">
        <f>'New (new) quarts'!AO292</f>
        <v>0</v>
      </c>
      <c r="K175" s="1698">
        <f>'New (new) quarts'!AT292</f>
        <v>0</v>
      </c>
      <c r="L175" s="1699">
        <f>'New (new) quarts'!AY292</f>
        <v>0</v>
      </c>
      <c r="M175" s="1699">
        <f>'New (new) quarts'!BD292</f>
        <v>0</v>
      </c>
      <c r="N175" s="1699">
        <f>'New (new) quarts'!BI292</f>
        <v>0</v>
      </c>
      <c r="O175" s="1699">
        <f t="shared" ref="O175:T179" si="170">O198+O263</f>
        <v>0</v>
      </c>
      <c r="P175" s="1699">
        <f t="shared" si="170"/>
        <v>0</v>
      </c>
      <c r="Q175" s="1699">
        <f t="shared" si="170"/>
        <v>0</v>
      </c>
      <c r="R175" s="1699">
        <f t="shared" si="170"/>
        <v>0</v>
      </c>
      <c r="S175" s="1699">
        <f t="shared" si="170"/>
        <v>0</v>
      </c>
      <c r="T175" s="1699">
        <f t="shared" si="170"/>
        <v>0</v>
      </c>
      <c r="U175" s="1293"/>
      <c r="V175" s="1293"/>
      <c r="W175" s="1293"/>
      <c r="X175" s="1293"/>
      <c r="Y175" s="1293"/>
      <c r="Z175" s="1293"/>
      <c r="AA175" s="1293"/>
      <c r="AB175" s="1293"/>
      <c r="AC175" s="1293"/>
      <c r="AD175" s="1293"/>
      <c r="AE175" s="1293"/>
      <c r="AF175" s="1293"/>
      <c r="AG175" s="1293"/>
      <c r="AH175" s="1293"/>
      <c r="AI175" s="1293"/>
      <c r="AJ175" s="1293"/>
      <c r="AK175" s="1293"/>
      <c r="AL175" s="1293"/>
      <c r="AM175" s="1293"/>
      <c r="AN175" s="1293"/>
      <c r="AO175" s="1293"/>
      <c r="AP175" s="1293"/>
      <c r="AQ175" s="1293"/>
      <c r="AR175" s="1293"/>
      <c r="AS175" s="1293"/>
      <c r="AT175" s="1293"/>
      <c r="AU175" s="1293"/>
      <c r="AV175" s="1293"/>
      <c r="AW175" s="1293"/>
      <c r="AX175" s="1293"/>
      <c r="AY175" s="1293"/>
      <c r="AZ175" s="1293"/>
      <c r="BA175" s="1293"/>
      <c r="BB175" s="1293"/>
      <c r="BC175" s="1293"/>
      <c r="BD175" s="1293"/>
      <c r="BE175" s="1293"/>
      <c r="BF175" s="1293"/>
      <c r="BG175" s="1293"/>
      <c r="BH175" s="1293"/>
      <c r="BI175" s="1293"/>
      <c r="BJ175" s="1293"/>
      <c r="BK175" s="1293"/>
      <c r="BL175" s="1293"/>
      <c r="BM175" s="1293"/>
      <c r="BN175" s="1293"/>
      <c r="BO175" s="1293"/>
      <c r="BP175" s="1293"/>
      <c r="BQ175" s="1293"/>
      <c r="BR175" s="1293"/>
      <c r="BS175" s="1293"/>
      <c r="BT175" s="1293"/>
      <c r="BU175" s="1293"/>
      <c r="BV175" s="1293"/>
      <c r="BW175" s="1293"/>
      <c r="BX175" s="1293"/>
      <c r="BY175" s="1293"/>
      <c r="BZ175" s="1293"/>
      <c r="CA175" s="1293"/>
      <c r="CB175" s="1293"/>
      <c r="CC175" s="1293"/>
      <c r="CD175" s="1293"/>
      <c r="CE175" s="1293"/>
      <c r="CF175" s="1293"/>
      <c r="CG175" s="1293"/>
    </row>
    <row r="176" spans="1:85" ht="15.75" hidden="1" outlineLevel="1">
      <c r="A176" s="1293"/>
      <c r="B176" s="1293"/>
      <c r="C176" s="1293" t="str">
        <f t="shared" si="169"/>
        <v>Rwanda</v>
      </c>
      <c r="D176" s="1698">
        <f>'New (new) quarts'!G293</f>
        <v>43429.92795316394</v>
      </c>
      <c r="E176" s="1698">
        <f>'New (new) quarts'!L293</f>
        <v>45769.447617529266</v>
      </c>
      <c r="F176" s="1698">
        <f>'New (new) quarts'!Q293</f>
        <v>49412.020400836926</v>
      </c>
      <c r="G176" s="1698">
        <f>'New (new) quarts'!V293</f>
        <v>47950.649909750835</v>
      </c>
      <c r="H176" s="1698">
        <f>'New (new) quarts'!AA293</f>
        <v>0</v>
      </c>
      <c r="I176" s="1698">
        <f>'New (new) quarts'!AJ293</f>
        <v>0</v>
      </c>
      <c r="J176" s="1698">
        <f>'New (new) quarts'!AO293</f>
        <v>0</v>
      </c>
      <c r="K176" s="1698">
        <f>'New (new) quarts'!AT293</f>
        <v>0</v>
      </c>
      <c r="L176" s="1699">
        <f>'New (new) quarts'!AY293</f>
        <v>0</v>
      </c>
      <c r="M176" s="1699">
        <f>'New (new) quarts'!BD293</f>
        <v>0</v>
      </c>
      <c r="N176" s="1699">
        <f>'New (new) quarts'!BI293</f>
        <v>0</v>
      </c>
      <c r="O176" s="1699">
        <f t="shared" si="170"/>
        <v>0</v>
      </c>
      <c r="P176" s="1699">
        <f t="shared" si="170"/>
        <v>0</v>
      </c>
      <c r="Q176" s="1699">
        <f t="shared" si="170"/>
        <v>0</v>
      </c>
      <c r="R176" s="1699">
        <f t="shared" si="170"/>
        <v>0</v>
      </c>
      <c r="S176" s="1699">
        <f t="shared" si="170"/>
        <v>0</v>
      </c>
      <c r="T176" s="1699">
        <f t="shared" si="170"/>
        <v>0</v>
      </c>
      <c r="U176" s="1293"/>
      <c r="V176" s="1293"/>
      <c r="W176" s="1293"/>
      <c r="X176" s="1293"/>
      <c r="Y176" s="1293"/>
      <c r="Z176" s="1293"/>
      <c r="AA176" s="1293"/>
      <c r="AB176" s="1293"/>
      <c r="AC176" s="1293"/>
      <c r="AD176" s="1293"/>
      <c r="AE176" s="1293"/>
      <c r="AF176" s="1293"/>
      <c r="AG176" s="1293"/>
      <c r="AH176" s="1293"/>
      <c r="AI176" s="1293"/>
      <c r="AJ176" s="1293"/>
      <c r="AK176" s="1293"/>
      <c r="AL176" s="1293"/>
      <c r="AM176" s="1293"/>
      <c r="AN176" s="1293"/>
      <c r="AO176" s="1293"/>
      <c r="AP176" s="1293"/>
      <c r="AQ176" s="1293"/>
      <c r="AR176" s="1293"/>
      <c r="AS176" s="1293"/>
      <c r="AT176" s="1293"/>
      <c r="AU176" s="1293"/>
      <c r="AV176" s="1293"/>
      <c r="AW176" s="1293"/>
      <c r="AX176" s="1293"/>
      <c r="AY176" s="1293"/>
      <c r="AZ176" s="1293"/>
      <c r="BA176" s="1293"/>
      <c r="BB176" s="1293"/>
      <c r="BC176" s="1293"/>
      <c r="BD176" s="1293"/>
      <c r="BE176" s="1293"/>
      <c r="BF176" s="1293"/>
      <c r="BG176" s="1293"/>
      <c r="BH176" s="1293"/>
      <c r="BI176" s="1293"/>
      <c r="BJ176" s="1293"/>
      <c r="BK176" s="1293"/>
      <c r="BL176" s="1293"/>
      <c r="BM176" s="1293"/>
      <c r="BN176" s="1293"/>
      <c r="BO176" s="1293"/>
      <c r="BP176" s="1293"/>
      <c r="BQ176" s="1293"/>
      <c r="BR176" s="1293"/>
      <c r="BS176" s="1293"/>
      <c r="BT176" s="1293"/>
      <c r="BU176" s="1293"/>
      <c r="BV176" s="1293"/>
      <c r="BW176" s="1293"/>
      <c r="BX176" s="1293"/>
      <c r="BY176" s="1293"/>
      <c r="BZ176" s="1293"/>
      <c r="CA176" s="1293"/>
      <c r="CB176" s="1293"/>
      <c r="CC176" s="1293"/>
      <c r="CD176" s="1293"/>
      <c r="CE176" s="1293"/>
      <c r="CF176" s="1293"/>
      <c r="CG176" s="1293"/>
    </row>
    <row r="177" spans="1:85" ht="15.75" hidden="1" outlineLevel="1">
      <c r="A177" s="1293"/>
      <c r="B177" s="1293"/>
      <c r="C177" s="1293" t="str">
        <f t="shared" si="169"/>
        <v>Senegal</v>
      </c>
      <c r="D177" s="1698">
        <f ca="1">'New (new) quarts'!G294</f>
        <v>57221.171903597686</v>
      </c>
      <c r="E177" s="1698">
        <f ca="1">'New (new) quarts'!L294</f>
        <v>67241.410160937099</v>
      </c>
      <c r="F177" s="1698">
        <f ca="1">'New (new) quarts'!Q294</f>
        <v>79383.351318600791</v>
      </c>
      <c r="G177" s="1698">
        <f>'New (new) quarts'!V294</f>
        <v>0</v>
      </c>
      <c r="H177" s="1698">
        <f>'New (new) quarts'!AA294</f>
        <v>0</v>
      </c>
      <c r="I177" s="1698">
        <f>'New (new) quarts'!AJ294</f>
        <v>0</v>
      </c>
      <c r="J177" s="1698">
        <f>'New (new) quarts'!AO294</f>
        <v>0</v>
      </c>
      <c r="K177" s="1698">
        <f>'New (new) quarts'!AT294</f>
        <v>0</v>
      </c>
      <c r="L177" s="1699">
        <f>'New (new) quarts'!AY294</f>
        <v>0</v>
      </c>
      <c r="M177" s="1699">
        <f>'New (new) quarts'!BD294</f>
        <v>0</v>
      </c>
      <c r="N177" s="1699">
        <f ca="1">'New (new) quarts'!BI294</f>
        <v>0</v>
      </c>
      <c r="O177" s="1699">
        <f t="shared" si="170"/>
        <v>0</v>
      </c>
      <c r="P177" s="1699">
        <f t="shared" si="170"/>
        <v>0</v>
      </c>
      <c r="Q177" s="1699">
        <f t="shared" si="170"/>
        <v>0</v>
      </c>
      <c r="R177" s="1699">
        <f t="shared" si="170"/>
        <v>0</v>
      </c>
      <c r="S177" s="1699">
        <f t="shared" si="170"/>
        <v>0</v>
      </c>
      <c r="T177" s="1699">
        <f t="shared" si="170"/>
        <v>0</v>
      </c>
      <c r="U177" s="1293"/>
      <c r="V177" s="1293"/>
      <c r="W177" s="1293"/>
      <c r="X177" s="1293"/>
      <c r="Y177" s="1293"/>
      <c r="Z177" s="1293"/>
      <c r="AA177" s="1293"/>
      <c r="AB177" s="1293"/>
      <c r="AC177" s="1293"/>
      <c r="AD177" s="1293"/>
      <c r="AE177" s="1293"/>
      <c r="AF177" s="1293"/>
      <c r="AG177" s="1293"/>
      <c r="AH177" s="1293"/>
      <c r="AI177" s="1293"/>
      <c r="AJ177" s="1293"/>
      <c r="AK177" s="1293"/>
      <c r="AL177" s="1293"/>
      <c r="AM177" s="1293"/>
      <c r="AN177" s="1293"/>
      <c r="AO177" s="1293"/>
      <c r="AP177" s="1293"/>
      <c r="AQ177" s="1293"/>
      <c r="AR177" s="1293"/>
      <c r="AS177" s="1293"/>
      <c r="AT177" s="1293"/>
      <c r="AU177" s="1293"/>
      <c r="AV177" s="1293"/>
      <c r="AW177" s="1293"/>
      <c r="AX177" s="1293"/>
      <c r="AY177" s="1293"/>
      <c r="AZ177" s="1293"/>
      <c r="BA177" s="1293"/>
      <c r="BB177" s="1293"/>
      <c r="BC177" s="1293"/>
      <c r="BD177" s="1293"/>
      <c r="BE177" s="1293"/>
      <c r="BF177" s="1293"/>
      <c r="BG177" s="1293"/>
      <c r="BH177" s="1293"/>
      <c r="BI177" s="1293"/>
      <c r="BJ177" s="1293"/>
      <c r="BK177" s="1293"/>
      <c r="BL177" s="1293"/>
      <c r="BM177" s="1293"/>
      <c r="BN177" s="1293"/>
      <c r="BO177" s="1293"/>
      <c r="BP177" s="1293"/>
      <c r="BQ177" s="1293"/>
      <c r="BR177" s="1293"/>
      <c r="BS177" s="1293"/>
      <c r="BT177" s="1293"/>
      <c r="BU177" s="1293"/>
      <c r="BV177" s="1293"/>
      <c r="BW177" s="1293"/>
      <c r="BX177" s="1293"/>
      <c r="BY177" s="1293"/>
      <c r="BZ177" s="1293"/>
      <c r="CA177" s="1293"/>
      <c r="CB177" s="1293"/>
      <c r="CC177" s="1293"/>
      <c r="CD177" s="1293"/>
      <c r="CE177" s="1293"/>
      <c r="CF177" s="1293"/>
      <c r="CG177" s="1293"/>
    </row>
    <row r="178" spans="1:85" ht="15.75" hidden="1" outlineLevel="1">
      <c r="A178" s="1293"/>
      <c r="B178" s="1293"/>
      <c r="C178" s="1293" t="str">
        <f t="shared" si="169"/>
        <v>Tanzania</v>
      </c>
      <c r="D178" s="1698">
        <f>'New (new) quarts'!G295</f>
        <v>612025.0461538462</v>
      </c>
      <c r="E178" s="1698">
        <f>'New (new) quarts'!L295</f>
        <v>712715.74437500001</v>
      </c>
      <c r="F178" s="1698">
        <f>'New (new) quarts'!Q295</f>
        <v>759801.14848801168</v>
      </c>
      <c r="G178" s="1698">
        <f>'New (new) quarts'!V295</f>
        <v>756091.68633476086</v>
      </c>
      <c r="H178" s="1698">
        <f>'New (new) quarts'!AA295</f>
        <v>802299.5375124804</v>
      </c>
      <c r="I178" s="1698">
        <f>'New (new) quarts'!AJ295</f>
        <v>828979.20000000007</v>
      </c>
      <c r="J178" s="1698">
        <f ca="1">'New (new) quarts'!AO295</f>
        <v>820432.79999999993</v>
      </c>
      <c r="K178" s="1698">
        <f>'New (new) quarts'!AT295</f>
        <v>826455</v>
      </c>
      <c r="L178" s="1699">
        <f>'New (new) quarts'!AY295</f>
        <v>0</v>
      </c>
      <c r="M178" s="1699">
        <f>'New (new) quarts'!BD295</f>
        <v>0</v>
      </c>
      <c r="N178" s="1699">
        <f ca="1">'New (new) quarts'!BI295</f>
        <v>0</v>
      </c>
      <c r="O178" s="1698">
        <f t="shared" si="170"/>
        <v>0</v>
      </c>
      <c r="P178" s="1698">
        <f t="shared" si="170"/>
        <v>0</v>
      </c>
      <c r="Q178" s="1698">
        <f t="shared" si="170"/>
        <v>0</v>
      </c>
      <c r="R178" s="1698">
        <f t="shared" si="170"/>
        <v>0</v>
      </c>
      <c r="S178" s="1698">
        <f t="shared" si="170"/>
        <v>0</v>
      </c>
      <c r="T178" s="1698">
        <f t="shared" si="170"/>
        <v>0</v>
      </c>
      <c r="U178" s="1293"/>
      <c r="V178" s="1293"/>
      <c r="W178" s="1293"/>
      <c r="X178" s="1293"/>
      <c r="Y178" s="1293"/>
      <c r="Z178" s="1293"/>
      <c r="AA178" s="1293"/>
      <c r="AB178" s="1293"/>
      <c r="AC178" s="1293"/>
      <c r="AD178" s="1293"/>
      <c r="AE178" s="1293"/>
      <c r="AF178" s="1293"/>
      <c r="AG178" s="1293"/>
      <c r="AH178" s="1293"/>
      <c r="AI178" s="1293"/>
      <c r="AJ178" s="1293"/>
      <c r="AK178" s="1293"/>
      <c r="AL178" s="1293"/>
      <c r="AM178" s="1293"/>
      <c r="AN178" s="1293"/>
      <c r="AO178" s="1293"/>
      <c r="AP178" s="1293"/>
      <c r="AQ178" s="1293"/>
      <c r="AR178" s="1293"/>
      <c r="AS178" s="1293"/>
      <c r="AT178" s="1293"/>
      <c r="AU178" s="1293"/>
      <c r="AV178" s="1293"/>
      <c r="AW178" s="1293"/>
      <c r="AX178" s="1293"/>
      <c r="AY178" s="1293"/>
      <c r="AZ178" s="1293"/>
      <c r="BA178" s="1293"/>
      <c r="BB178" s="1293"/>
      <c r="BC178" s="1293"/>
      <c r="BD178" s="1293"/>
      <c r="BE178" s="1293"/>
      <c r="BF178" s="1293"/>
      <c r="BG178" s="1293"/>
      <c r="BH178" s="1293"/>
      <c r="BI178" s="1293"/>
      <c r="BJ178" s="1293"/>
      <c r="BK178" s="1293"/>
      <c r="BL178" s="1293"/>
      <c r="BM178" s="1293"/>
      <c r="BN178" s="1293"/>
      <c r="BO178" s="1293"/>
      <c r="BP178" s="1293"/>
      <c r="BQ178" s="1293"/>
      <c r="BR178" s="1293"/>
      <c r="BS178" s="1293"/>
      <c r="BT178" s="1293"/>
      <c r="BU178" s="1293"/>
      <c r="BV178" s="1293"/>
      <c r="BW178" s="1293"/>
      <c r="BX178" s="1293"/>
      <c r="BY178" s="1293"/>
      <c r="BZ178" s="1293"/>
      <c r="CA178" s="1293"/>
      <c r="CB178" s="1293"/>
      <c r="CC178" s="1293"/>
      <c r="CD178" s="1293"/>
      <c r="CE178" s="1293"/>
      <c r="CF178" s="1293"/>
      <c r="CG178" s="1293"/>
    </row>
    <row r="179" spans="1:85" ht="15.75" hidden="1" outlineLevel="1">
      <c r="A179" s="1293"/>
      <c r="B179" s="1293"/>
      <c r="C179" s="1293" t="str">
        <f t="shared" si="169"/>
        <v>Zantel</v>
      </c>
      <c r="D179" s="1698">
        <f>'New (new) quarts'!G296</f>
        <v>0</v>
      </c>
      <c r="E179" s="1698">
        <f>'New (new) quarts'!L296</f>
        <v>17867.525625000002</v>
      </c>
      <c r="F179" s="1698">
        <f>'New (new) quarts'!Q296</f>
        <v>72397.823823710351</v>
      </c>
      <c r="G179" s="1698">
        <f ca="1">'New (new) quarts'!V296</f>
        <v>67596.844452419784</v>
      </c>
      <c r="H179" s="1698">
        <f ca="1">'New (new) quarts'!AA296</f>
        <v>39254.021013868318</v>
      </c>
      <c r="I179" s="1698">
        <f>'New (new) quarts'!AJ296</f>
        <v>50688</v>
      </c>
      <c r="J179" s="1698">
        <f ca="1">'New (new) quarts'!AO296</f>
        <v>23940.800000000014</v>
      </c>
      <c r="K179" s="1698">
        <f ca="1">'New (new) quarts'!AT296</f>
        <v>0</v>
      </c>
      <c r="L179" s="1699">
        <f>'New (new) quarts'!AY296</f>
        <v>0</v>
      </c>
      <c r="M179" s="1699">
        <f>'New (new) quarts'!BD296</f>
        <v>0</v>
      </c>
      <c r="N179" s="1699">
        <f ca="1">'New (new) quarts'!BI296</f>
        <v>0</v>
      </c>
      <c r="O179" s="1699">
        <f t="shared" si="170"/>
        <v>0</v>
      </c>
      <c r="P179" s="1699">
        <f t="shared" si="170"/>
        <v>0</v>
      </c>
      <c r="Q179" s="1699">
        <f t="shared" si="170"/>
        <v>0</v>
      </c>
      <c r="R179" s="1699">
        <f t="shared" si="170"/>
        <v>0</v>
      </c>
      <c r="S179" s="1699">
        <f t="shared" si="170"/>
        <v>0</v>
      </c>
      <c r="T179" s="1699">
        <f t="shared" si="170"/>
        <v>0</v>
      </c>
      <c r="U179" s="1293"/>
      <c r="V179" s="1293"/>
      <c r="W179" s="1293"/>
      <c r="X179" s="1293"/>
      <c r="Y179" s="1293"/>
      <c r="Z179" s="1293"/>
      <c r="AA179" s="1293"/>
      <c r="AB179" s="1293"/>
      <c r="AC179" s="1293"/>
      <c r="AD179" s="1293"/>
      <c r="AE179" s="1293"/>
      <c r="AF179" s="1293"/>
      <c r="AG179" s="1293"/>
      <c r="AH179" s="1293"/>
      <c r="AI179" s="1293"/>
      <c r="AJ179" s="1293"/>
      <c r="AK179" s="1293"/>
      <c r="AL179" s="1293"/>
      <c r="AM179" s="1293"/>
      <c r="AN179" s="1293"/>
      <c r="AO179" s="1293"/>
      <c r="AP179" s="1293"/>
      <c r="AQ179" s="1293"/>
      <c r="AR179" s="1293"/>
      <c r="AS179" s="1293"/>
      <c r="AT179" s="1293"/>
      <c r="AU179" s="1293"/>
      <c r="AV179" s="1293"/>
      <c r="AW179" s="1293"/>
      <c r="AX179" s="1293"/>
      <c r="AY179" s="1293"/>
      <c r="AZ179" s="1293"/>
      <c r="BA179" s="1293"/>
      <c r="BB179" s="1293"/>
      <c r="BC179" s="1293"/>
      <c r="BD179" s="1293"/>
      <c r="BE179" s="1293"/>
      <c r="BF179" s="1293"/>
      <c r="BG179" s="1293"/>
      <c r="BH179" s="1293"/>
      <c r="BI179" s="1293"/>
      <c r="BJ179" s="1293"/>
      <c r="BK179" s="1293"/>
      <c r="BL179" s="1293"/>
      <c r="BM179" s="1293"/>
      <c r="BN179" s="1293"/>
      <c r="BO179" s="1293"/>
      <c r="BP179" s="1293"/>
      <c r="BQ179" s="1293"/>
      <c r="BR179" s="1293"/>
      <c r="BS179" s="1293"/>
      <c r="BT179" s="1293"/>
      <c r="BU179" s="1293"/>
      <c r="BV179" s="1293"/>
      <c r="BW179" s="1293"/>
      <c r="BX179" s="1293"/>
      <c r="BY179" s="1293"/>
      <c r="BZ179" s="1293"/>
      <c r="CA179" s="1293"/>
      <c r="CB179" s="1293"/>
      <c r="CC179" s="1293"/>
      <c r="CD179" s="1293"/>
      <c r="CE179" s="1293"/>
      <c r="CF179" s="1293"/>
      <c r="CG179" s="1293"/>
    </row>
    <row r="180" spans="1:85" ht="15.75" collapsed="1">
      <c r="A180" s="1293"/>
      <c r="B180" s="1293"/>
      <c r="C180" s="1293"/>
      <c r="D180" s="1293"/>
      <c r="E180" s="1293"/>
      <c r="F180" s="1293"/>
      <c r="G180" s="1293"/>
      <c r="H180" s="1293"/>
      <c r="I180" s="1293"/>
      <c r="J180" s="1293"/>
      <c r="K180" s="1293"/>
      <c r="L180" s="1293"/>
      <c r="M180" s="1293"/>
      <c r="N180" s="1293"/>
      <c r="O180" s="1293"/>
      <c r="P180" s="1293"/>
      <c r="Q180" s="1293"/>
      <c r="R180" s="1293"/>
      <c r="S180" s="1293"/>
      <c r="T180" s="1293"/>
      <c r="U180" s="1293"/>
      <c r="V180" s="1293"/>
      <c r="W180" s="1293"/>
      <c r="X180" s="1293"/>
      <c r="Y180" s="1293"/>
      <c r="Z180" s="1293"/>
      <c r="AA180" s="1293"/>
      <c r="AB180" s="1293"/>
      <c r="AC180" s="1293"/>
      <c r="AD180" s="1293"/>
      <c r="AE180" s="1293"/>
      <c r="AF180" s="1293"/>
      <c r="AG180" s="1293"/>
      <c r="AH180" s="1293"/>
      <c r="AI180" s="1293"/>
      <c r="AJ180" s="1293"/>
      <c r="AK180" s="1293"/>
      <c r="AL180" s="1293"/>
      <c r="AM180" s="1293"/>
      <c r="AN180" s="1293"/>
      <c r="AO180" s="1293"/>
      <c r="AP180" s="1293"/>
      <c r="AQ180" s="1293"/>
      <c r="AR180" s="1293"/>
      <c r="AS180" s="1293"/>
      <c r="AT180" s="1293"/>
      <c r="AU180" s="1293"/>
      <c r="AV180" s="1293"/>
      <c r="AW180" s="1293"/>
      <c r="AX180" s="1293"/>
      <c r="AY180" s="1293"/>
      <c r="AZ180" s="1293"/>
      <c r="BA180" s="1293"/>
      <c r="BB180" s="1293"/>
      <c r="BC180" s="1293"/>
      <c r="BD180" s="1293"/>
      <c r="BE180" s="1293"/>
      <c r="BF180" s="1293"/>
      <c r="BG180" s="1293"/>
      <c r="BH180" s="1293"/>
      <c r="BI180" s="1293"/>
      <c r="BJ180" s="1293"/>
      <c r="BK180" s="1293"/>
      <c r="BL180" s="1293"/>
      <c r="BM180" s="1293"/>
      <c r="BN180" s="1293"/>
      <c r="BO180" s="1293"/>
      <c r="BP180" s="1293"/>
      <c r="BQ180" s="1293"/>
      <c r="BR180" s="1293"/>
      <c r="BS180" s="1293"/>
      <c r="BT180" s="1293"/>
      <c r="BU180" s="1293"/>
      <c r="BV180" s="1293"/>
      <c r="BW180" s="1293"/>
      <c r="BX180" s="1293"/>
      <c r="BY180" s="1293"/>
      <c r="BZ180" s="1293"/>
      <c r="CA180" s="1293"/>
      <c r="CB180" s="1293"/>
      <c r="CC180" s="1293"/>
      <c r="CD180" s="1293"/>
      <c r="CE180" s="1293"/>
      <c r="CF180" s="1293"/>
      <c r="CG180" s="1293"/>
    </row>
    <row r="181" spans="1:85" ht="15.75">
      <c r="A181" s="1293"/>
      <c r="B181" s="1293"/>
      <c r="C181" s="1293"/>
      <c r="D181" s="1293"/>
      <c r="E181" s="1293"/>
      <c r="F181" s="1293"/>
      <c r="G181" s="1293"/>
      <c r="H181" s="1293"/>
      <c r="I181" s="1293"/>
      <c r="J181" s="1293"/>
      <c r="K181" s="1293"/>
      <c r="L181" s="1293"/>
      <c r="M181" s="1293"/>
      <c r="N181" s="1293"/>
      <c r="O181" s="1293"/>
      <c r="P181" s="1293"/>
      <c r="Q181" s="1293"/>
      <c r="R181" s="1293"/>
      <c r="S181" s="1293"/>
      <c r="T181" s="1293"/>
      <c r="U181" s="1293"/>
      <c r="V181" s="1293"/>
      <c r="W181" s="1293"/>
      <c r="X181" s="1293"/>
      <c r="Y181" s="1293"/>
      <c r="Z181" s="1293"/>
      <c r="AA181" s="1293"/>
      <c r="AB181" s="1293"/>
      <c r="AC181" s="1293"/>
      <c r="AD181" s="1293"/>
      <c r="AE181" s="1293"/>
      <c r="AF181" s="1293"/>
      <c r="AG181" s="1293"/>
      <c r="AH181" s="1293"/>
      <c r="AI181" s="1293"/>
      <c r="AJ181" s="1293"/>
      <c r="AK181" s="1293"/>
      <c r="AL181" s="1293"/>
      <c r="AM181" s="1293"/>
      <c r="AN181" s="1293"/>
      <c r="AO181" s="1293"/>
      <c r="AP181" s="1293"/>
      <c r="AQ181" s="1293"/>
      <c r="AR181" s="1293"/>
      <c r="AS181" s="1293"/>
      <c r="AT181" s="1293"/>
      <c r="AU181" s="1293"/>
      <c r="AV181" s="1293"/>
      <c r="AW181" s="1293"/>
      <c r="AX181" s="1293"/>
      <c r="AY181" s="1293"/>
      <c r="AZ181" s="1293"/>
      <c r="BA181" s="1293"/>
      <c r="BB181" s="1293"/>
      <c r="BC181" s="1293"/>
      <c r="BD181" s="1293"/>
      <c r="BE181" s="1293"/>
      <c r="BF181" s="1293"/>
      <c r="BG181" s="1293"/>
      <c r="BH181" s="1293"/>
      <c r="BI181" s="1293"/>
      <c r="BJ181" s="1293"/>
      <c r="BK181" s="1293"/>
      <c r="BL181" s="1293"/>
      <c r="BM181" s="1293"/>
      <c r="BN181" s="1293"/>
      <c r="BO181" s="1293"/>
      <c r="BP181" s="1293"/>
      <c r="BQ181" s="1293"/>
      <c r="BR181" s="1293"/>
      <c r="BS181" s="1293"/>
      <c r="BT181" s="1293"/>
      <c r="BU181" s="1293"/>
      <c r="BV181" s="1293"/>
      <c r="BW181" s="1293"/>
      <c r="BX181" s="1293"/>
      <c r="BY181" s="1293"/>
      <c r="BZ181" s="1293"/>
      <c r="CA181" s="1293"/>
      <c r="CB181" s="1293"/>
      <c r="CC181" s="1293"/>
      <c r="CD181" s="1293"/>
      <c r="CE181" s="1293"/>
      <c r="CF181" s="1293"/>
      <c r="CG181" s="1293"/>
    </row>
    <row r="182" spans="1:85" ht="15.75">
      <c r="A182" s="1293"/>
      <c r="B182" s="1293"/>
      <c r="C182" s="1293"/>
      <c r="D182" s="1293"/>
      <c r="E182" s="1293"/>
      <c r="F182" s="1293"/>
      <c r="G182" s="1293"/>
      <c r="H182" s="1293"/>
      <c r="I182" s="1293"/>
      <c r="J182" s="1293"/>
      <c r="K182" s="1293"/>
      <c r="L182" s="1293"/>
      <c r="M182" s="1293"/>
      <c r="N182" s="1293"/>
      <c r="O182" s="1293"/>
      <c r="P182" s="1293"/>
      <c r="Q182" s="1293"/>
      <c r="R182" s="1293"/>
      <c r="S182" s="1293"/>
      <c r="T182" s="1293"/>
      <c r="U182" s="1293"/>
      <c r="V182" s="1293"/>
      <c r="W182" s="1293"/>
      <c r="X182" s="1293"/>
      <c r="Y182" s="1293"/>
      <c r="Z182" s="1293"/>
      <c r="AA182" s="1293"/>
      <c r="AB182" s="1293"/>
      <c r="AC182" s="1293"/>
      <c r="AD182" s="1293"/>
      <c r="AE182" s="1293"/>
      <c r="AF182" s="1293"/>
      <c r="AG182" s="1293"/>
      <c r="AH182" s="1293"/>
      <c r="AI182" s="1293"/>
      <c r="AJ182" s="1293"/>
      <c r="AK182" s="1293"/>
      <c r="AL182" s="1293"/>
      <c r="AM182" s="1293"/>
      <c r="AN182" s="1293"/>
      <c r="AO182" s="1293"/>
      <c r="AP182" s="1293"/>
      <c r="AQ182" s="1293"/>
      <c r="AR182" s="1293"/>
      <c r="AS182" s="1293"/>
      <c r="AT182" s="1293"/>
      <c r="AU182" s="1293"/>
      <c r="AV182" s="1293"/>
      <c r="AW182" s="1293"/>
      <c r="AX182" s="1293"/>
      <c r="AY182" s="1293"/>
      <c r="AZ182" s="1293"/>
      <c r="BA182" s="1293"/>
      <c r="BB182" s="1293"/>
      <c r="BC182" s="1293"/>
      <c r="BD182" s="1293"/>
      <c r="BE182" s="1293"/>
      <c r="BF182" s="1293"/>
      <c r="BG182" s="1293"/>
      <c r="BH182" s="1293"/>
      <c r="BI182" s="1293"/>
      <c r="BJ182" s="1293"/>
      <c r="BK182" s="1293"/>
      <c r="BL182" s="1293"/>
      <c r="BM182" s="1293"/>
      <c r="BN182" s="1293"/>
      <c r="BO182" s="1293"/>
      <c r="BP182" s="1293"/>
      <c r="BQ182" s="1293"/>
      <c r="BR182" s="1293"/>
      <c r="BS182" s="1293"/>
      <c r="BT182" s="1293"/>
      <c r="BU182" s="1293"/>
      <c r="BV182" s="1293"/>
      <c r="BW182" s="1293"/>
      <c r="BX182" s="1293"/>
      <c r="BY182" s="1293"/>
      <c r="BZ182" s="1293"/>
      <c r="CA182" s="1293"/>
      <c r="CB182" s="1293"/>
      <c r="CC182" s="1293"/>
      <c r="CD182" s="1293"/>
      <c r="CE182" s="1293"/>
      <c r="CF182" s="1293"/>
      <c r="CG182" s="1293"/>
    </row>
    <row r="183" spans="1:85" ht="15.75">
      <c r="A183" s="1293"/>
      <c r="B183" s="1293"/>
      <c r="C183" s="1324" t="s">
        <v>1531</v>
      </c>
      <c r="D183" s="1324">
        <f t="shared" ref="D183:T183" si="171">D161</f>
        <v>2014</v>
      </c>
      <c r="E183" s="1324">
        <f t="shared" si="171"/>
        <v>2015</v>
      </c>
      <c r="F183" s="1324">
        <f t="shared" si="171"/>
        <v>2016</v>
      </c>
      <c r="G183" s="1324">
        <f t="shared" si="171"/>
        <v>2017</v>
      </c>
      <c r="H183" s="1324">
        <f t="shared" si="171"/>
        <v>2018</v>
      </c>
      <c r="I183" s="1324">
        <f t="shared" si="171"/>
        <v>2019</v>
      </c>
      <c r="J183" s="1324">
        <f t="shared" si="171"/>
        <v>2020</v>
      </c>
      <c r="K183" s="1324">
        <f t="shared" si="171"/>
        <v>2021</v>
      </c>
      <c r="L183" s="1324">
        <f t="shared" si="171"/>
        <v>2022</v>
      </c>
      <c r="M183" s="1324">
        <f t="shared" si="171"/>
        <v>2023</v>
      </c>
      <c r="N183" s="1324">
        <f t="shared" si="171"/>
        <v>2024</v>
      </c>
      <c r="O183" s="1324">
        <f t="shared" si="171"/>
        <v>2025</v>
      </c>
      <c r="P183" s="1324">
        <f t="shared" si="171"/>
        <v>2026</v>
      </c>
      <c r="Q183" s="1324">
        <f t="shared" si="171"/>
        <v>2027</v>
      </c>
      <c r="R183" s="1324">
        <f t="shared" si="171"/>
        <v>2028</v>
      </c>
      <c r="S183" s="1324">
        <f t="shared" si="171"/>
        <v>2029</v>
      </c>
      <c r="T183" s="1324">
        <f t="shared" si="171"/>
        <v>2030</v>
      </c>
      <c r="U183" s="1293"/>
      <c r="V183" s="1293"/>
      <c r="W183" s="1293"/>
      <c r="X183" s="1293"/>
      <c r="Y183" s="1293"/>
      <c r="Z183" s="1293"/>
      <c r="AA183" s="1293"/>
      <c r="AB183" s="1293"/>
      <c r="AC183" s="1293"/>
      <c r="AD183" s="1293"/>
      <c r="AE183" s="1293"/>
      <c r="AF183" s="1293"/>
      <c r="AG183" s="1293"/>
      <c r="AH183" s="1293"/>
      <c r="AI183" s="1293"/>
      <c r="AJ183" s="1293"/>
      <c r="AK183" s="1293"/>
      <c r="AL183" s="1293"/>
      <c r="AM183" s="1293"/>
      <c r="AN183" s="1293"/>
      <c r="AO183" s="1293"/>
      <c r="AP183" s="1293"/>
      <c r="AQ183" s="1293"/>
      <c r="AR183" s="1293"/>
      <c r="AS183" s="1293"/>
      <c r="AT183" s="1293"/>
      <c r="AU183" s="1293"/>
      <c r="AV183" s="1293"/>
      <c r="AW183" s="1293"/>
      <c r="AX183" s="1293"/>
      <c r="AY183" s="1293"/>
      <c r="AZ183" s="1293"/>
      <c r="BA183" s="1293"/>
      <c r="BB183" s="1293"/>
      <c r="BC183" s="1293"/>
      <c r="BD183" s="1293"/>
      <c r="BE183" s="1293"/>
      <c r="BF183" s="1293"/>
      <c r="BG183" s="1293"/>
      <c r="BH183" s="1293"/>
      <c r="BI183" s="1293"/>
      <c r="BJ183" s="1293"/>
      <c r="BK183" s="1293"/>
      <c r="BL183" s="1293"/>
      <c r="BM183" s="1293"/>
      <c r="BN183" s="1293"/>
      <c r="BO183" s="1293"/>
      <c r="BP183" s="1293"/>
      <c r="BQ183" s="1293"/>
      <c r="BR183" s="1293"/>
      <c r="BS183" s="1293"/>
      <c r="BT183" s="1293"/>
      <c r="BU183" s="1293"/>
      <c r="BV183" s="1293"/>
      <c r="BW183" s="1293"/>
      <c r="BX183" s="1293"/>
      <c r="BY183" s="1293"/>
      <c r="BZ183" s="1293"/>
      <c r="CA183" s="1293"/>
      <c r="CB183" s="1293"/>
      <c r="CC183" s="1293"/>
      <c r="CD183" s="1293"/>
      <c r="CE183" s="1293"/>
      <c r="CF183" s="1293"/>
      <c r="CG183" s="1293"/>
    </row>
    <row r="184" spans="1:85" ht="15.75">
      <c r="A184" s="1293"/>
      <c r="B184" s="1293"/>
      <c r="C184" s="1293" t="str">
        <f>C162</f>
        <v>El Salvador</v>
      </c>
      <c r="D184" s="1327">
        <f>'New (new) quarts'!G301</f>
        <v>415.01355272000001</v>
      </c>
      <c r="E184" s="1327">
        <f>'New (new) quarts'!L301</f>
        <v>420.10799114000002</v>
      </c>
      <c r="F184" s="1327">
        <f>'New (new) quarts'!Q301</f>
        <v>400.02756790000041</v>
      </c>
      <c r="G184" s="1327">
        <f>'New (new) quarts'!V301</f>
        <v>399</v>
      </c>
      <c r="H184" s="1327">
        <f>'New (new) quarts'!AA301</f>
        <v>371</v>
      </c>
      <c r="I184" s="1327">
        <f>'New (new) quarts'!AJ301</f>
        <v>348</v>
      </c>
      <c r="J184" s="1327">
        <f>'New (new) quarts'!AO301</f>
        <v>347</v>
      </c>
      <c r="K184" s="1327">
        <f>'New (new) quarts'!AT301</f>
        <v>398</v>
      </c>
      <c r="L184" s="1503">
        <v>429</v>
      </c>
      <c r="M184" s="1503">
        <v>443</v>
      </c>
      <c r="N184" s="1503">
        <v>448</v>
      </c>
      <c r="O184" s="1327">
        <f t="shared" ref="O184:T192" si="172">(1+O208)*N184</f>
        <v>456.96000000000004</v>
      </c>
      <c r="P184" s="1327">
        <f t="shared" si="172"/>
        <v>466.09920000000005</v>
      </c>
      <c r="Q184" s="1327">
        <f t="shared" si="172"/>
        <v>475.42118400000004</v>
      </c>
      <c r="R184" s="1327">
        <f t="shared" si="172"/>
        <v>484.92960768000006</v>
      </c>
      <c r="S184" s="1327">
        <f t="shared" si="172"/>
        <v>494.62819983360009</v>
      </c>
      <c r="T184" s="1327">
        <f t="shared" si="172"/>
        <v>504.52076383027213</v>
      </c>
      <c r="U184" s="1293"/>
      <c r="V184" s="1293"/>
      <c r="W184" s="1293"/>
      <c r="X184" s="1293"/>
      <c r="Y184" s="1293"/>
      <c r="Z184" s="1293"/>
      <c r="AA184" s="1293"/>
      <c r="AB184" s="1293"/>
      <c r="AC184" s="1293"/>
      <c r="AD184" s="1293"/>
      <c r="AE184" s="1293"/>
      <c r="AF184" s="1293"/>
      <c r="AG184" s="1293"/>
      <c r="AH184" s="1293"/>
      <c r="AI184" s="1293"/>
      <c r="AJ184" s="1293"/>
      <c r="AK184" s="1293"/>
      <c r="AL184" s="1293"/>
      <c r="AM184" s="1293"/>
      <c r="AN184" s="1293"/>
      <c r="AO184" s="1293"/>
      <c r="AP184" s="1293"/>
      <c r="AQ184" s="1293"/>
      <c r="AR184" s="1293"/>
      <c r="AS184" s="1293"/>
      <c r="AT184" s="1293"/>
      <c r="AU184" s="1293"/>
      <c r="AV184" s="1293"/>
      <c r="AW184" s="1293"/>
      <c r="AX184" s="1293"/>
      <c r="AY184" s="1293"/>
      <c r="AZ184" s="1293"/>
      <c r="BA184" s="1293"/>
      <c r="BB184" s="1293"/>
      <c r="BC184" s="1293"/>
      <c r="BD184" s="1293"/>
      <c r="BE184" s="1293"/>
      <c r="BF184" s="1293"/>
      <c r="BG184" s="1293"/>
      <c r="BH184" s="1293"/>
      <c r="BI184" s="1293"/>
      <c r="BJ184" s="1293"/>
      <c r="BK184" s="1293"/>
      <c r="BL184" s="1293"/>
      <c r="BM184" s="1293"/>
      <c r="BN184" s="1293"/>
      <c r="BO184" s="1293"/>
      <c r="BP184" s="1293"/>
      <c r="BQ184" s="1293"/>
      <c r="BR184" s="1293"/>
      <c r="BS184" s="1293"/>
      <c r="BT184" s="1293"/>
      <c r="BU184" s="1293"/>
      <c r="BV184" s="1293"/>
      <c r="BW184" s="1293"/>
      <c r="BX184" s="1293"/>
      <c r="BY184" s="1293"/>
      <c r="BZ184" s="1293"/>
      <c r="CA184" s="1293"/>
      <c r="CB184" s="1293"/>
      <c r="CC184" s="1293"/>
      <c r="CD184" s="1293"/>
      <c r="CE184" s="1293"/>
      <c r="CF184" s="1293"/>
      <c r="CG184" s="1293"/>
    </row>
    <row r="185" spans="1:85" ht="15.75">
      <c r="A185" s="1293"/>
      <c r="B185" s="1293"/>
      <c r="C185" s="1293" t="str">
        <f>C163</f>
        <v>Guatemala</v>
      </c>
      <c r="D185" s="1327">
        <f>'New (new) quarts'!G302</f>
        <v>8585.6126890019605</v>
      </c>
      <c r="E185" s="1327">
        <f>'New (new) quarts'!L302</f>
        <v>8845.6237412008995</v>
      </c>
      <c r="F185" s="1327">
        <f>'New (new) quarts'!Q302</f>
        <v>8686.8497176494711</v>
      </c>
      <c r="G185" s="1327">
        <f>'New (new) quarts'!V302</f>
        <v>8699.9900000000016</v>
      </c>
      <c r="H185" s="1327">
        <f>'New (new) quarts'!AA302</f>
        <v>9031.5199999999986</v>
      </c>
      <c r="I185" s="1327">
        <f>'New (new) quarts'!AJ302</f>
        <v>9501.8000000000011</v>
      </c>
      <c r="J185" s="1327">
        <f>'New (new) quarts'!AO302</f>
        <v>9794.4</v>
      </c>
      <c r="K185" s="1327">
        <f>'New (new) quarts'!AT302</f>
        <v>10553.715939865386</v>
      </c>
      <c r="L185" s="1503">
        <v>10643</v>
      </c>
      <c r="M185" s="1503">
        <v>10495</v>
      </c>
      <c r="N185" s="1503">
        <v>10793</v>
      </c>
      <c r="O185" s="1327">
        <f t="shared" si="172"/>
        <v>11073.618</v>
      </c>
      <c r="P185" s="1327">
        <f t="shared" si="172"/>
        <v>11350.45845</v>
      </c>
      <c r="Q185" s="1327">
        <f t="shared" si="172"/>
        <v>11634.219911249998</v>
      </c>
      <c r="R185" s="1327">
        <f t="shared" si="172"/>
        <v>11925.075409031248</v>
      </c>
      <c r="S185" s="1327">
        <f t="shared" si="172"/>
        <v>12163.576917211873</v>
      </c>
      <c r="T185" s="1327">
        <f t="shared" si="172"/>
        <v>12406.84845555611</v>
      </c>
      <c r="U185" s="1293"/>
      <c r="V185" s="1293"/>
      <c r="W185" s="1293"/>
      <c r="X185" s="1293"/>
      <c r="Y185" s="1293"/>
      <c r="Z185" s="1293"/>
      <c r="AA185" s="1293"/>
      <c r="AB185" s="1293"/>
      <c r="AC185" s="1293"/>
      <c r="AD185" s="1293"/>
      <c r="AE185" s="1293"/>
      <c r="AF185" s="1293"/>
      <c r="AG185" s="1293"/>
      <c r="AH185" s="1293"/>
      <c r="AI185" s="1293"/>
      <c r="AJ185" s="1293"/>
      <c r="AK185" s="1293"/>
      <c r="AL185" s="1293"/>
      <c r="AM185" s="1293"/>
      <c r="AN185" s="1293"/>
      <c r="AO185" s="1293"/>
      <c r="AP185" s="1293"/>
      <c r="AQ185" s="1293"/>
      <c r="AR185" s="1293"/>
      <c r="AS185" s="1293"/>
      <c r="AT185" s="1293"/>
      <c r="AU185" s="1293"/>
      <c r="AV185" s="1293"/>
      <c r="AW185" s="1293"/>
      <c r="AX185" s="1293"/>
      <c r="AY185" s="1293"/>
      <c r="AZ185" s="1293"/>
      <c r="BA185" s="1293"/>
      <c r="BB185" s="1293"/>
      <c r="BC185" s="1293"/>
      <c r="BD185" s="1293"/>
      <c r="BE185" s="1293"/>
      <c r="BF185" s="1293"/>
      <c r="BG185" s="1293"/>
      <c r="BH185" s="1293"/>
      <c r="BI185" s="1293"/>
      <c r="BJ185" s="1293"/>
      <c r="BK185" s="1293"/>
      <c r="BL185" s="1293"/>
      <c r="BM185" s="1293"/>
      <c r="BN185" s="1293"/>
      <c r="BO185" s="1293"/>
      <c r="BP185" s="1293"/>
      <c r="BQ185" s="1293"/>
      <c r="BR185" s="1293"/>
      <c r="BS185" s="1293"/>
      <c r="BT185" s="1293"/>
      <c r="BU185" s="1293"/>
      <c r="BV185" s="1293"/>
      <c r="BW185" s="1293"/>
      <c r="BX185" s="1293"/>
      <c r="BY185" s="1293"/>
      <c r="BZ185" s="1293"/>
      <c r="CA185" s="1293"/>
      <c r="CB185" s="1293"/>
      <c r="CC185" s="1293"/>
      <c r="CD185" s="1293"/>
      <c r="CE185" s="1293"/>
      <c r="CF185" s="1293"/>
      <c r="CG185" s="1293"/>
    </row>
    <row r="186" spans="1:85" ht="15.75">
      <c r="A186" s="1293"/>
      <c r="B186" s="1293"/>
      <c r="C186" s="1293" t="str">
        <f>C164</f>
        <v>Honduras (JV)</v>
      </c>
      <c r="D186" s="1327">
        <f>'New (new) quarts'!G303</f>
        <v>12742.273366747164</v>
      </c>
      <c r="E186" s="1327">
        <f>'New (new) quarts'!L303</f>
        <v>13582.891300921105</v>
      </c>
      <c r="F186" s="1327">
        <f>'New (new) quarts'!Q303</f>
        <v>13410.464654501679</v>
      </c>
      <c r="G186" s="1327">
        <f>'New (new) quarts'!V303</f>
        <v>13304.420000000002</v>
      </c>
      <c r="H186" s="1327">
        <f>'New (new) quarts'!AA303</f>
        <v>13223.980000000001</v>
      </c>
      <c r="I186" s="1327">
        <f>'New (new) quarts'!AJ303</f>
        <v>13538.07</v>
      </c>
      <c r="J186" s="1327">
        <f>'New (new) quarts'!AO303</f>
        <v>12760.68</v>
      </c>
      <c r="K186" s="1327">
        <f>'New (new) quarts'!AT303</f>
        <v>13194.293526675408</v>
      </c>
      <c r="L186" s="1503">
        <v>13486</v>
      </c>
      <c r="M186" s="1503">
        <v>14112</v>
      </c>
      <c r="N186" s="1503">
        <v>14510</v>
      </c>
      <c r="O186" s="1327">
        <f t="shared" si="172"/>
        <v>14872.749999999998</v>
      </c>
      <c r="P186" s="1327">
        <f t="shared" si="172"/>
        <v>15318.932499999999</v>
      </c>
      <c r="Q186" s="1327">
        <f t="shared" si="172"/>
        <v>15778.500474999999</v>
      </c>
      <c r="R186" s="1327">
        <f t="shared" si="172"/>
        <v>16251.85548925</v>
      </c>
      <c r="S186" s="1327">
        <f t="shared" si="172"/>
        <v>16658.15187648125</v>
      </c>
      <c r="T186" s="1327">
        <f t="shared" si="172"/>
        <v>17074.605673393278</v>
      </c>
      <c r="U186" s="1293"/>
      <c r="V186" s="1293"/>
      <c r="W186" s="1293"/>
      <c r="X186" s="1293"/>
      <c r="Y186" s="1293"/>
      <c r="Z186" s="1293"/>
      <c r="AA186" s="1293"/>
      <c r="AB186" s="1293"/>
      <c r="AC186" s="1293"/>
      <c r="AD186" s="1293"/>
      <c r="AE186" s="1293"/>
      <c r="AF186" s="1293"/>
      <c r="AG186" s="1293"/>
      <c r="AH186" s="1293"/>
      <c r="AI186" s="1293"/>
      <c r="AJ186" s="1293"/>
      <c r="AK186" s="1293"/>
      <c r="AL186" s="1293"/>
      <c r="AM186" s="1293"/>
      <c r="AN186" s="1293"/>
      <c r="AO186" s="1293"/>
      <c r="AP186" s="1293"/>
      <c r="AQ186" s="1293"/>
      <c r="AR186" s="1293"/>
      <c r="AS186" s="1293"/>
      <c r="AT186" s="1293"/>
      <c r="AU186" s="1293"/>
      <c r="AV186" s="1293"/>
      <c r="AW186" s="1293"/>
      <c r="AX186" s="1293"/>
      <c r="AY186" s="1293"/>
      <c r="AZ186" s="1293"/>
      <c r="BA186" s="1293"/>
      <c r="BB186" s="1293"/>
      <c r="BC186" s="1293"/>
      <c r="BD186" s="1293"/>
      <c r="BE186" s="1293"/>
      <c r="BF186" s="1293"/>
      <c r="BG186" s="1293"/>
      <c r="BH186" s="1293"/>
      <c r="BI186" s="1293"/>
      <c r="BJ186" s="1293"/>
      <c r="BK186" s="1293"/>
      <c r="BL186" s="1293"/>
      <c r="BM186" s="1293"/>
      <c r="BN186" s="1293"/>
      <c r="BO186" s="1293"/>
      <c r="BP186" s="1293"/>
      <c r="BQ186" s="1293"/>
      <c r="BR186" s="1293"/>
      <c r="BS186" s="1293"/>
      <c r="BT186" s="1293"/>
      <c r="BU186" s="1293"/>
      <c r="BV186" s="1293"/>
      <c r="BW186" s="1293"/>
      <c r="BX186" s="1293"/>
      <c r="BY186" s="1293"/>
      <c r="BZ186" s="1293"/>
      <c r="CA186" s="1293"/>
      <c r="CB186" s="1293"/>
      <c r="CC186" s="1293"/>
      <c r="CD186" s="1293"/>
      <c r="CE186" s="1293"/>
      <c r="CF186" s="1293"/>
      <c r="CG186" s="1293"/>
    </row>
    <row r="187" spans="1:85" ht="15.75">
      <c r="A187" s="1293"/>
      <c r="B187" s="1293"/>
      <c r="C187" s="1293" t="s">
        <v>2032</v>
      </c>
      <c r="D187" s="1327"/>
      <c r="E187" s="1327"/>
      <c r="F187" s="1327"/>
      <c r="G187" s="1327"/>
      <c r="H187" s="1327"/>
      <c r="I187" s="1327"/>
      <c r="J187" s="1327"/>
      <c r="K187" s="1327"/>
      <c r="L187" s="1503">
        <v>624.19870000000003</v>
      </c>
      <c r="M187" s="1503">
        <v>669.38059999999996</v>
      </c>
      <c r="N187" s="1503">
        <v>700</v>
      </c>
      <c r="O187" s="1327">
        <f t="shared" si="172"/>
        <v>731.5</v>
      </c>
      <c r="P187" s="1327">
        <f t="shared" si="172"/>
        <v>762.58875</v>
      </c>
      <c r="Q187" s="1327">
        <f t="shared" si="172"/>
        <v>793.09230000000002</v>
      </c>
      <c r="R187" s="1327">
        <f t="shared" si="172"/>
        <v>822.83326125000008</v>
      </c>
      <c r="S187" s="1327">
        <f t="shared" si="172"/>
        <v>851.63242539375005</v>
      </c>
      <c r="T187" s="1327">
        <f t="shared" si="172"/>
        <v>877.18139815556253</v>
      </c>
      <c r="U187" s="1293"/>
      <c r="V187" s="1293"/>
      <c r="W187" s="1293"/>
      <c r="X187" s="1293"/>
      <c r="Y187" s="1293"/>
      <c r="Z187" s="1293"/>
      <c r="AA187" s="1293"/>
      <c r="AB187" s="1293"/>
      <c r="AC187" s="1293"/>
      <c r="AD187" s="1293"/>
      <c r="AE187" s="1293"/>
      <c r="AF187" s="1293"/>
      <c r="AG187" s="1293"/>
      <c r="AH187" s="1293"/>
      <c r="AI187" s="1293"/>
      <c r="AJ187" s="1293"/>
      <c r="AK187" s="1293"/>
      <c r="AL187" s="1293"/>
      <c r="AM187" s="1293"/>
      <c r="AN187" s="1293"/>
      <c r="AO187" s="1293"/>
      <c r="AP187" s="1293"/>
      <c r="AQ187" s="1293"/>
      <c r="AR187" s="1293"/>
      <c r="AS187" s="1293"/>
      <c r="AT187" s="1293"/>
      <c r="AU187" s="1293"/>
      <c r="AV187" s="1293"/>
      <c r="AW187" s="1293"/>
      <c r="AX187" s="1293"/>
      <c r="AY187" s="1293"/>
      <c r="AZ187" s="1293"/>
      <c r="BA187" s="1293"/>
      <c r="BB187" s="1293"/>
      <c r="BC187" s="1293"/>
      <c r="BD187" s="1293"/>
      <c r="BE187" s="1293"/>
      <c r="BF187" s="1293"/>
      <c r="BG187" s="1293"/>
      <c r="BH187" s="1293"/>
      <c r="BI187" s="1293"/>
      <c r="BJ187" s="1293"/>
      <c r="BK187" s="1293"/>
      <c r="BL187" s="1293"/>
      <c r="BM187" s="1293"/>
      <c r="BN187" s="1293"/>
      <c r="BO187" s="1293"/>
      <c r="BP187" s="1293"/>
      <c r="BQ187" s="1293"/>
      <c r="BR187" s="1293"/>
      <c r="BS187" s="1293"/>
      <c r="BT187" s="1293"/>
      <c r="BU187" s="1293"/>
      <c r="BV187" s="1293"/>
      <c r="BW187" s="1293"/>
      <c r="BX187" s="1293"/>
      <c r="BY187" s="1293"/>
      <c r="BZ187" s="1293"/>
      <c r="CA187" s="1293"/>
      <c r="CB187" s="1293"/>
      <c r="CC187" s="1293"/>
      <c r="CD187" s="1293"/>
      <c r="CE187" s="1293"/>
      <c r="CF187" s="1293"/>
      <c r="CG187" s="1293"/>
    </row>
    <row r="188" spans="1:85" ht="15.75">
      <c r="A188" s="1293"/>
      <c r="B188" s="1293"/>
      <c r="C188" s="1293" t="s">
        <v>2172</v>
      </c>
      <c r="D188" s="1327"/>
      <c r="E188" s="1327"/>
      <c r="F188" s="1327"/>
      <c r="G188" s="1327"/>
      <c r="H188" s="1327"/>
      <c r="I188" s="1327"/>
      <c r="J188" s="1327"/>
      <c r="K188" s="1327"/>
      <c r="L188" s="1503">
        <v>89398</v>
      </c>
      <c r="M188" s="1503">
        <v>86616</v>
      </c>
      <c r="N188" s="1503">
        <v>78630</v>
      </c>
      <c r="O188" s="1327">
        <f t="shared" si="172"/>
        <v>74895.074999999997</v>
      </c>
      <c r="P188" s="1327">
        <f t="shared" si="172"/>
        <v>73022.698124999995</v>
      </c>
      <c r="Q188" s="1327">
        <f t="shared" si="172"/>
        <v>72292.471143749994</v>
      </c>
      <c r="R188" s="1327">
        <f t="shared" si="172"/>
        <v>72292.471143749994</v>
      </c>
      <c r="S188" s="1327">
        <f t="shared" si="172"/>
        <v>73015.395855187497</v>
      </c>
      <c r="T188" s="1327">
        <f t="shared" si="172"/>
        <v>73745.549813739373</v>
      </c>
      <c r="U188" s="1293"/>
      <c r="V188" s="1293"/>
      <c r="W188" s="1293"/>
      <c r="X188" s="1293"/>
      <c r="Y188" s="1293"/>
      <c r="Z188" s="1293"/>
      <c r="AA188" s="1293"/>
      <c r="AB188" s="1293"/>
      <c r="AC188" s="1293"/>
      <c r="AD188" s="1293"/>
      <c r="AE188" s="1293"/>
      <c r="AF188" s="1293"/>
      <c r="AG188" s="1293"/>
      <c r="AH188" s="1293"/>
      <c r="AI188" s="1293"/>
      <c r="AJ188" s="1293"/>
      <c r="AK188" s="1293"/>
      <c r="AL188" s="1293"/>
      <c r="AM188" s="1293"/>
      <c r="AN188" s="1293"/>
      <c r="AO188" s="1293"/>
      <c r="AP188" s="1293"/>
      <c r="AQ188" s="1293"/>
      <c r="AR188" s="1293"/>
      <c r="AS188" s="1293"/>
      <c r="AT188" s="1293"/>
      <c r="AU188" s="1293"/>
      <c r="AV188" s="1293"/>
      <c r="AW188" s="1293"/>
      <c r="AX188" s="1293"/>
      <c r="AY188" s="1293"/>
      <c r="AZ188" s="1293"/>
      <c r="BA188" s="1293"/>
      <c r="BB188" s="1293"/>
      <c r="BC188" s="1293"/>
      <c r="BD188" s="1293"/>
      <c r="BE188" s="1293"/>
      <c r="BF188" s="1293"/>
      <c r="BG188" s="1293"/>
      <c r="BH188" s="1293"/>
      <c r="BI188" s="1293"/>
      <c r="BJ188" s="1293"/>
      <c r="BK188" s="1293"/>
      <c r="BL188" s="1293"/>
      <c r="BM188" s="1293"/>
      <c r="BN188" s="1293"/>
      <c r="BO188" s="1293"/>
      <c r="BP188" s="1293"/>
      <c r="BQ188" s="1293"/>
      <c r="BR188" s="1293"/>
      <c r="BS188" s="1293"/>
      <c r="BT188" s="1293"/>
      <c r="BU188" s="1293"/>
      <c r="BV188" s="1293"/>
      <c r="BW188" s="1293"/>
      <c r="BX188" s="1293"/>
      <c r="BY188" s="1293"/>
      <c r="BZ188" s="1293"/>
      <c r="CA188" s="1293"/>
      <c r="CB188" s="1293"/>
      <c r="CC188" s="1293"/>
      <c r="CD188" s="1293"/>
      <c r="CE188" s="1293"/>
      <c r="CF188" s="1293"/>
      <c r="CG188" s="1293"/>
    </row>
    <row r="189" spans="1:85" ht="15.75">
      <c r="A189" s="1293"/>
      <c r="B189" s="1293"/>
      <c r="C189" s="1293" t="s">
        <v>2033</v>
      </c>
      <c r="D189" s="1327"/>
      <c r="E189" s="1327"/>
      <c r="F189" s="1327"/>
      <c r="G189" s="1327"/>
      <c r="H189" s="1327"/>
      <c r="I189" s="1327"/>
      <c r="J189" s="1327"/>
      <c r="K189" s="1327"/>
      <c r="L189" s="1503">
        <v>8427.0995000000003</v>
      </c>
      <c r="M189" s="1503">
        <v>8969.1594000000005</v>
      </c>
      <c r="N189" s="1503">
        <v>9472</v>
      </c>
      <c r="O189" s="1327">
        <f t="shared" si="172"/>
        <v>9779.84</v>
      </c>
      <c r="P189" s="1327">
        <f t="shared" si="172"/>
        <v>10073.235200000001</v>
      </c>
      <c r="Q189" s="1327">
        <f t="shared" si="172"/>
        <v>10476.164608000001</v>
      </c>
      <c r="R189" s="1327">
        <f t="shared" si="172"/>
        <v>10842.83036928</v>
      </c>
      <c r="S189" s="1327">
        <f t="shared" si="172"/>
        <v>11168.115280358401</v>
      </c>
      <c r="T189" s="1327">
        <f t="shared" si="172"/>
        <v>11447.318162367361</v>
      </c>
      <c r="U189" s="1293"/>
      <c r="V189" s="1293"/>
      <c r="W189" s="1293"/>
      <c r="X189" s="1293"/>
      <c r="Y189" s="1293"/>
      <c r="Z189" s="1293"/>
      <c r="AA189" s="1293"/>
      <c r="AB189" s="1293"/>
      <c r="AC189" s="1293"/>
      <c r="AD189" s="1293"/>
      <c r="AE189" s="1293"/>
      <c r="AF189" s="1293"/>
      <c r="AG189" s="1293"/>
      <c r="AH189" s="1293"/>
      <c r="AI189" s="1293"/>
      <c r="AJ189" s="1293"/>
      <c r="AK189" s="1293"/>
      <c r="AL189" s="1293"/>
      <c r="AM189" s="1293"/>
      <c r="AN189" s="1293"/>
      <c r="AO189" s="1293"/>
      <c r="AP189" s="1293"/>
      <c r="AQ189" s="1293"/>
      <c r="AR189" s="1293"/>
      <c r="AS189" s="1293"/>
      <c r="AT189" s="1293"/>
      <c r="AU189" s="1293"/>
      <c r="AV189" s="1293"/>
      <c r="AW189" s="1293"/>
      <c r="AX189" s="1293"/>
      <c r="AY189" s="1293"/>
      <c r="AZ189" s="1293"/>
      <c r="BA189" s="1293"/>
      <c r="BB189" s="1293"/>
      <c r="BC189" s="1293"/>
      <c r="BD189" s="1293"/>
      <c r="BE189" s="1293"/>
      <c r="BF189" s="1293"/>
      <c r="BG189" s="1293"/>
      <c r="BH189" s="1293"/>
      <c r="BI189" s="1293"/>
      <c r="BJ189" s="1293"/>
      <c r="BK189" s="1293"/>
      <c r="BL189" s="1293"/>
      <c r="BM189" s="1293"/>
      <c r="BN189" s="1293"/>
      <c r="BO189" s="1293"/>
      <c r="BP189" s="1293"/>
      <c r="BQ189" s="1293"/>
      <c r="BR189" s="1293"/>
      <c r="BS189" s="1293"/>
      <c r="BT189" s="1293"/>
      <c r="BU189" s="1293"/>
      <c r="BV189" s="1293"/>
      <c r="BW189" s="1293"/>
      <c r="BX189" s="1293"/>
      <c r="BY189" s="1293"/>
      <c r="BZ189" s="1293"/>
      <c r="CA189" s="1293"/>
      <c r="CB189" s="1293"/>
      <c r="CC189" s="1293"/>
      <c r="CD189" s="1293"/>
      <c r="CE189" s="1293"/>
      <c r="CF189" s="1293"/>
      <c r="CG189" s="1293"/>
    </row>
    <row r="190" spans="1:85" ht="15.75">
      <c r="A190" s="1293"/>
      <c r="B190" s="1293"/>
      <c r="C190" s="1293" t="str">
        <f>C168</f>
        <v>Bolivia</v>
      </c>
      <c r="D190" s="1327">
        <f>'New (new) quarts'!G312</f>
        <v>3280.9833310199951</v>
      </c>
      <c r="E190" s="1327">
        <f>'New (new) quarts'!L312</f>
        <v>3530.541289389997</v>
      </c>
      <c r="F190" s="1327">
        <f>'New (new) quarts'!Q312</f>
        <v>3624.3318491100085</v>
      </c>
      <c r="G190" s="1327">
        <f>'New (new) quarts'!V312</f>
        <v>3793.5899999999997</v>
      </c>
      <c r="H190" s="1327">
        <f>'New (new) quarts'!AA312</f>
        <v>4119.3</v>
      </c>
      <c r="I190" s="1327">
        <f>'New (new) quarts'!AJ312</f>
        <v>4311.84</v>
      </c>
      <c r="J190" s="1327">
        <f>'New (new) quarts'!AO312</f>
        <v>3980.16</v>
      </c>
      <c r="K190" s="1327">
        <f>'New (new) quarts'!AT312</f>
        <v>4222.5128078103135</v>
      </c>
      <c r="L190" s="1503">
        <v>4203</v>
      </c>
      <c r="M190" s="1503">
        <v>4156</v>
      </c>
      <c r="N190" s="1503">
        <v>4198</v>
      </c>
      <c r="O190" s="1327">
        <f t="shared" si="172"/>
        <v>4281.96</v>
      </c>
      <c r="P190" s="1327">
        <f t="shared" si="172"/>
        <v>4378.3041000000003</v>
      </c>
      <c r="Q190" s="1327">
        <f t="shared" si="172"/>
        <v>4487.7617025</v>
      </c>
      <c r="R190" s="1327">
        <f t="shared" si="172"/>
        <v>4599.9557450624998</v>
      </c>
      <c r="S190" s="1327">
        <f t="shared" si="172"/>
        <v>4691.9548599637501</v>
      </c>
      <c r="T190" s="1327">
        <f t="shared" si="172"/>
        <v>4785.793957163025</v>
      </c>
      <c r="U190" s="1293"/>
      <c r="V190" s="1293"/>
      <c r="W190" s="1293"/>
      <c r="X190" s="1293"/>
      <c r="Y190" s="1293"/>
      <c r="Z190" s="1293"/>
      <c r="AA190" s="1293"/>
      <c r="AB190" s="1293"/>
      <c r="AC190" s="1293"/>
      <c r="AD190" s="1293"/>
      <c r="AE190" s="1293"/>
      <c r="AF190" s="1293"/>
      <c r="AG190" s="1293"/>
      <c r="AH190" s="1293"/>
      <c r="AI190" s="1293"/>
      <c r="AJ190" s="1293"/>
      <c r="AK190" s="1293"/>
      <c r="AL190" s="1293"/>
      <c r="AM190" s="1293"/>
      <c r="AN190" s="1293"/>
      <c r="AO190" s="1293"/>
      <c r="AP190" s="1293"/>
      <c r="AQ190" s="1293"/>
      <c r="AR190" s="1293"/>
      <c r="AS190" s="1293"/>
      <c r="AT190" s="1293"/>
      <c r="AU190" s="1293"/>
      <c r="AV190" s="1293"/>
      <c r="AW190" s="1293"/>
      <c r="AX190" s="1293"/>
      <c r="AY190" s="1293"/>
      <c r="AZ190" s="1293"/>
      <c r="BA190" s="1293"/>
      <c r="BB190" s="1293"/>
      <c r="BC190" s="1293"/>
      <c r="BD190" s="1293"/>
      <c r="BE190" s="1293"/>
      <c r="BF190" s="1293"/>
      <c r="BG190" s="1293"/>
      <c r="BH190" s="1293"/>
      <c r="BI190" s="1293"/>
      <c r="BJ190" s="1293"/>
      <c r="BK190" s="1293"/>
      <c r="BL190" s="1293"/>
      <c r="BM190" s="1293"/>
      <c r="BN190" s="1293"/>
      <c r="BO190" s="1293"/>
      <c r="BP190" s="1293"/>
      <c r="BQ190" s="1293"/>
      <c r="BR190" s="1293"/>
      <c r="BS190" s="1293"/>
      <c r="BT190" s="1293"/>
      <c r="BU190" s="1293"/>
      <c r="BV190" s="1293"/>
      <c r="BW190" s="1293"/>
      <c r="BX190" s="1293"/>
      <c r="BY190" s="1293"/>
      <c r="BZ190" s="1293"/>
      <c r="CA190" s="1293"/>
      <c r="CB190" s="1293"/>
      <c r="CC190" s="1293"/>
      <c r="CD190" s="1293"/>
      <c r="CE190" s="1293"/>
      <c r="CF190" s="1293"/>
      <c r="CG190" s="1293"/>
    </row>
    <row r="191" spans="1:85" ht="15.75">
      <c r="A191" s="1293"/>
      <c r="B191" s="1293"/>
      <c r="C191" s="1293" t="str">
        <f>C169</f>
        <v>Colombia</v>
      </c>
      <c r="D191" s="1327">
        <f>'New (new) quarts'!G313</f>
        <v>2966.9497409635114</v>
      </c>
      <c r="E191" s="1327">
        <f>'New (new) quarts'!L313</f>
        <v>4878.2204616042773</v>
      </c>
      <c r="F191" s="1327">
        <f>'New (new) quarts'!Q313</f>
        <v>4791.5671604259642</v>
      </c>
      <c r="G191" s="1327">
        <f>'New (new) quarts'!V313</f>
        <v>4779.6083499999995</v>
      </c>
      <c r="H191" s="1327">
        <f>'New (new) quarts'!AA313</f>
        <v>4533.2070000000003</v>
      </c>
      <c r="I191" s="1327">
        <f>'New (new) quarts'!AJ313</f>
        <v>4682.6400000000003</v>
      </c>
      <c r="J191" s="1327">
        <f>'New (new) quarts'!AO313</f>
        <v>4716.2420000000002</v>
      </c>
      <c r="K191" s="1327">
        <f>'New (new) quarts'!AT313</f>
        <v>4941.3810848301282</v>
      </c>
      <c r="L191" s="1503">
        <v>5282</v>
      </c>
      <c r="M191" s="1503">
        <v>5439</v>
      </c>
      <c r="N191" s="1503">
        <v>5464</v>
      </c>
      <c r="O191" s="1327">
        <f t="shared" si="172"/>
        <v>5586.94</v>
      </c>
      <c r="P191" s="1327">
        <f t="shared" si="172"/>
        <v>5726.6134999999995</v>
      </c>
      <c r="Q191" s="1327">
        <f t="shared" si="172"/>
        <v>5898.4119049999999</v>
      </c>
      <c r="R191" s="1327">
        <f t="shared" si="172"/>
        <v>6104.8563216749999</v>
      </c>
      <c r="S191" s="1327">
        <f t="shared" si="172"/>
        <v>6288.0020113252504</v>
      </c>
      <c r="T191" s="1327">
        <f t="shared" si="172"/>
        <v>6445.202061608381</v>
      </c>
      <c r="U191" s="1293"/>
      <c r="V191" s="1293"/>
      <c r="W191" s="1293"/>
      <c r="X191" s="1293"/>
      <c r="Y191" s="1293"/>
      <c r="Z191" s="1293"/>
      <c r="AA191" s="1293"/>
      <c r="AB191" s="1293"/>
      <c r="AC191" s="1293"/>
      <c r="AD191" s="1293"/>
      <c r="AE191" s="1293"/>
      <c r="AF191" s="1293"/>
      <c r="AG191" s="1293"/>
      <c r="AH191" s="1293"/>
      <c r="AI191" s="1293"/>
      <c r="AJ191" s="1293"/>
      <c r="AK191" s="1293"/>
      <c r="AL191" s="1293"/>
      <c r="AM191" s="1293"/>
      <c r="AN191" s="1293"/>
      <c r="AO191" s="1293"/>
      <c r="AP191" s="1293"/>
      <c r="AQ191" s="1293"/>
      <c r="AR191" s="1293"/>
      <c r="AS191" s="1293"/>
      <c r="AT191" s="1293"/>
      <c r="AU191" s="1293"/>
      <c r="AV191" s="1293"/>
      <c r="AW191" s="1293"/>
      <c r="AX191" s="1293"/>
      <c r="AY191" s="1293"/>
      <c r="AZ191" s="1293"/>
      <c r="BA191" s="1293"/>
      <c r="BB191" s="1293"/>
      <c r="BC191" s="1293"/>
      <c r="BD191" s="1293"/>
      <c r="BE191" s="1293"/>
      <c r="BF191" s="1293"/>
      <c r="BG191" s="1293"/>
      <c r="BH191" s="1293"/>
      <c r="BI191" s="1293"/>
      <c r="BJ191" s="1293"/>
      <c r="BK191" s="1293"/>
      <c r="BL191" s="1293"/>
      <c r="BM191" s="1293"/>
      <c r="BN191" s="1293"/>
      <c r="BO191" s="1293"/>
      <c r="BP191" s="1293"/>
      <c r="BQ191" s="1293"/>
      <c r="BR191" s="1293"/>
      <c r="BS191" s="1293"/>
      <c r="BT191" s="1293"/>
      <c r="BU191" s="1293"/>
      <c r="BV191" s="1293"/>
      <c r="BW191" s="1293"/>
      <c r="BX191" s="1293"/>
      <c r="BY191" s="1293"/>
      <c r="BZ191" s="1293"/>
      <c r="CA191" s="1293"/>
      <c r="CB191" s="1293"/>
      <c r="CC191" s="1293"/>
      <c r="CD191" s="1293"/>
      <c r="CE191" s="1293"/>
      <c r="CF191" s="1293"/>
      <c r="CG191" s="1293"/>
    </row>
    <row r="192" spans="1:85" ht="15.75">
      <c r="A192" s="1293"/>
      <c r="B192" s="1293"/>
      <c r="C192" s="1293" t="str">
        <f>C170</f>
        <v>Paraguay</v>
      </c>
      <c r="D192" s="1327">
        <f>'New (new) quarts'!G314</f>
        <v>3158.8059703026838</v>
      </c>
      <c r="E192" s="1327">
        <f>'New (new) quarts'!L314</f>
        <v>3171.1557048411669</v>
      </c>
      <c r="F192" s="1327">
        <f>'New (new) quarts'!Q314</f>
        <v>3307.0166635854421</v>
      </c>
      <c r="G192" s="1327">
        <f>'New (new) quarts'!V314</f>
        <v>3499.0852599999998</v>
      </c>
      <c r="H192" s="1327">
        <f>'New (new) quarts'!AA314</f>
        <v>3608.0880000000002</v>
      </c>
      <c r="I192" s="1327">
        <f>'New (new) quarts'!AJ314</f>
        <v>3529.5070000000001</v>
      </c>
      <c r="J192" s="1327">
        <f>'New (new) quarts'!AO314</f>
        <v>3479.78</v>
      </c>
      <c r="K192" s="1327">
        <f>'New (new) quarts'!AT314</f>
        <v>3556.6593717766609</v>
      </c>
      <c r="L192" s="1503">
        <v>3711</v>
      </c>
      <c r="M192" s="1503">
        <v>3971</v>
      </c>
      <c r="N192" s="1503">
        <v>4089</v>
      </c>
      <c r="O192" s="1327">
        <f t="shared" si="172"/>
        <v>4170.78</v>
      </c>
      <c r="P192" s="1327">
        <f t="shared" si="172"/>
        <v>4295.9034000000001</v>
      </c>
      <c r="Q192" s="1327">
        <f t="shared" si="172"/>
        <v>4446.2600189999994</v>
      </c>
      <c r="R192" s="1327">
        <f t="shared" si="172"/>
        <v>4601.8791196649991</v>
      </c>
      <c r="S192" s="1327">
        <f t="shared" si="172"/>
        <v>4739.9354932549495</v>
      </c>
      <c r="T192" s="1327">
        <f t="shared" si="172"/>
        <v>4858.4338805863226</v>
      </c>
      <c r="U192" s="1293"/>
      <c r="V192" s="1293"/>
      <c r="W192" s="1293"/>
      <c r="X192" s="1293"/>
      <c r="Y192" s="1293"/>
      <c r="Z192" s="1293"/>
      <c r="AA192" s="1293"/>
      <c r="AB192" s="1293"/>
      <c r="AC192" s="1293"/>
      <c r="AD192" s="1293"/>
      <c r="AE192" s="1293"/>
      <c r="AF192" s="1293"/>
      <c r="AG192" s="1293"/>
      <c r="AH192" s="1293"/>
      <c r="AI192" s="1293"/>
      <c r="AJ192" s="1293"/>
      <c r="AK192" s="1293"/>
      <c r="AL192" s="1293"/>
      <c r="AM192" s="1293"/>
      <c r="AN192" s="1293"/>
      <c r="AO192" s="1293"/>
      <c r="AP192" s="1293"/>
      <c r="AQ192" s="1293"/>
      <c r="AR192" s="1293"/>
      <c r="AS192" s="1293"/>
      <c r="AT192" s="1293"/>
      <c r="AU192" s="1293"/>
      <c r="AV192" s="1293"/>
      <c r="AW192" s="1293"/>
      <c r="AX192" s="1293"/>
      <c r="AY192" s="1293"/>
      <c r="AZ192" s="1293"/>
      <c r="BA192" s="1293"/>
      <c r="BB192" s="1293"/>
      <c r="BC192" s="1293"/>
      <c r="BD192" s="1293"/>
      <c r="BE192" s="1293"/>
      <c r="BF192" s="1293"/>
      <c r="BG192" s="1293"/>
      <c r="BH192" s="1293"/>
      <c r="BI192" s="1293"/>
      <c r="BJ192" s="1293"/>
      <c r="BK192" s="1293"/>
      <c r="BL192" s="1293"/>
      <c r="BM192" s="1293"/>
      <c r="BN192" s="1293"/>
      <c r="BO192" s="1293"/>
      <c r="BP192" s="1293"/>
      <c r="BQ192" s="1293"/>
      <c r="BR192" s="1293"/>
      <c r="BS192" s="1293"/>
      <c r="BT192" s="1293"/>
      <c r="BU192" s="1293"/>
      <c r="BV192" s="1293"/>
      <c r="BW192" s="1293"/>
      <c r="BX192" s="1293"/>
      <c r="BY192" s="1293"/>
      <c r="BZ192" s="1293"/>
      <c r="CA192" s="1293"/>
      <c r="CB192" s="1293"/>
      <c r="CC192" s="1293"/>
      <c r="CD192" s="1293"/>
      <c r="CE192" s="1293"/>
      <c r="CF192" s="1293"/>
      <c r="CG192" s="1293"/>
    </row>
    <row r="193" spans="1:85" ht="15.75" hidden="1" outlineLevel="1">
      <c r="A193" s="1293"/>
      <c r="B193" s="1293"/>
      <c r="C193" s="1293"/>
      <c r="D193" s="1699"/>
      <c r="E193" s="1699"/>
      <c r="F193" s="1699"/>
      <c r="G193" s="1699"/>
      <c r="H193" s="1699"/>
      <c r="I193" s="1699"/>
      <c r="J193" s="1699"/>
      <c r="K193" s="1699"/>
      <c r="L193" s="1699"/>
      <c r="M193" s="1699"/>
      <c r="N193" s="1699"/>
      <c r="O193" s="1699"/>
      <c r="P193" s="1699"/>
      <c r="Q193" s="1699"/>
      <c r="R193" s="1699"/>
      <c r="S193" s="1699"/>
      <c r="T193" s="1699"/>
      <c r="U193" s="1293"/>
      <c r="V193" s="1293"/>
      <c r="W193" s="1293"/>
      <c r="X193" s="1293"/>
      <c r="Y193" s="1293"/>
      <c r="Z193" s="1293"/>
      <c r="AA193" s="1293"/>
      <c r="AB193" s="1293"/>
      <c r="AC193" s="1293"/>
      <c r="AD193" s="1293"/>
      <c r="AE193" s="1293"/>
      <c r="AF193" s="1293"/>
      <c r="AG193" s="1293"/>
      <c r="AH193" s="1293"/>
      <c r="AI193" s="1293"/>
      <c r="AJ193" s="1293"/>
      <c r="AK193" s="1293"/>
      <c r="AL193" s="1293"/>
      <c r="AM193" s="1293"/>
      <c r="AN193" s="1293"/>
      <c r="AO193" s="1293"/>
      <c r="AP193" s="1293"/>
      <c r="AQ193" s="1293"/>
      <c r="AR193" s="1293"/>
      <c r="AS193" s="1293"/>
      <c r="AT193" s="1293"/>
      <c r="AU193" s="1293"/>
      <c r="AV193" s="1293"/>
      <c r="AW193" s="1293"/>
      <c r="AX193" s="1293"/>
      <c r="AY193" s="1293"/>
      <c r="AZ193" s="1293"/>
      <c r="BA193" s="1293"/>
      <c r="BB193" s="1293"/>
      <c r="BC193" s="1293"/>
      <c r="BD193" s="1293"/>
      <c r="BE193" s="1293"/>
      <c r="BF193" s="1293"/>
      <c r="BG193" s="1293"/>
      <c r="BH193" s="1293"/>
      <c r="BI193" s="1293"/>
      <c r="BJ193" s="1293"/>
      <c r="BK193" s="1293"/>
      <c r="BL193" s="1293"/>
      <c r="BM193" s="1293"/>
      <c r="BN193" s="1293"/>
      <c r="BO193" s="1293"/>
      <c r="BP193" s="1293"/>
      <c r="BQ193" s="1293"/>
      <c r="BR193" s="1293"/>
      <c r="BS193" s="1293"/>
      <c r="BT193" s="1293"/>
      <c r="BU193" s="1293"/>
      <c r="BV193" s="1293"/>
      <c r="BW193" s="1293"/>
      <c r="BX193" s="1293"/>
      <c r="BY193" s="1293"/>
      <c r="BZ193" s="1293"/>
      <c r="CA193" s="1293"/>
      <c r="CB193" s="1293"/>
      <c r="CC193" s="1293"/>
      <c r="CD193" s="1293"/>
      <c r="CE193" s="1293"/>
      <c r="CF193" s="1293"/>
      <c r="CG193" s="1293"/>
    </row>
    <row r="194" spans="1:85" ht="15.75" hidden="1" outlineLevel="1">
      <c r="A194" s="1293"/>
      <c r="B194" s="1293"/>
      <c r="C194" s="1982" t="s">
        <v>2032</v>
      </c>
      <c r="D194" s="1327"/>
      <c r="E194" s="1327"/>
      <c r="F194" s="1327"/>
      <c r="G194" s="1327"/>
      <c r="H194" s="1327"/>
      <c r="I194" s="1327">
        <f t="shared" ref="I194:T194" si="173">I52</f>
        <v>394.2</v>
      </c>
      <c r="J194" s="1327">
        <f t="shared" si="173"/>
        <v>360</v>
      </c>
      <c r="K194" s="1327">
        <f t="shared" si="173"/>
        <v>388</v>
      </c>
      <c r="L194" s="1327">
        <f t="shared" si="173"/>
        <v>624.19860000000006</v>
      </c>
      <c r="M194" s="1327">
        <f t="shared" si="173"/>
        <v>669.80100000000004</v>
      </c>
      <c r="N194" s="1327">
        <f t="shared" si="173"/>
        <v>186.87880000000001</v>
      </c>
      <c r="O194" s="1327">
        <f t="shared" si="173"/>
        <v>459.24184342217171</v>
      </c>
      <c r="P194" s="1327">
        <f t="shared" si="173"/>
        <v>466.15343316567544</v>
      </c>
      <c r="Q194" s="1327">
        <f t="shared" si="173"/>
        <v>473.16904233481881</v>
      </c>
      <c r="R194" s="1327">
        <f t="shared" si="173"/>
        <v>480.29023642195779</v>
      </c>
      <c r="S194" s="1327">
        <f t="shared" si="173"/>
        <v>487.51860448010819</v>
      </c>
      <c r="T194" s="1327">
        <f t="shared" si="173"/>
        <v>494.85575947753381</v>
      </c>
      <c r="U194" s="1293"/>
      <c r="V194" s="1293"/>
      <c r="W194" s="1293"/>
      <c r="X194" s="1293"/>
      <c r="Y194" s="1293"/>
      <c r="Z194" s="1293"/>
      <c r="AA194" s="1293"/>
      <c r="AB194" s="1293"/>
      <c r="AC194" s="1293"/>
      <c r="AD194" s="1293"/>
      <c r="AE194" s="1293"/>
      <c r="AF194" s="1293"/>
      <c r="AG194" s="1293"/>
      <c r="AH194" s="1293"/>
      <c r="AI194" s="1293"/>
      <c r="AJ194" s="1293"/>
      <c r="AK194" s="1293"/>
      <c r="AL194" s="1293"/>
      <c r="AM194" s="1293"/>
      <c r="AN194" s="1293"/>
      <c r="AO194" s="1293"/>
      <c r="AP194" s="1293"/>
      <c r="AQ194" s="1293"/>
      <c r="AR194" s="1293"/>
      <c r="AS194" s="1293"/>
      <c r="AT194" s="1293"/>
      <c r="AU194" s="1293"/>
      <c r="AV194" s="1293"/>
      <c r="AW194" s="1293"/>
      <c r="AX194" s="1293"/>
      <c r="AY194" s="1293"/>
      <c r="AZ194" s="1293"/>
      <c r="BA194" s="1293"/>
      <c r="BB194" s="1293"/>
      <c r="BC194" s="1293"/>
      <c r="BD194" s="1293"/>
      <c r="BE194" s="1293"/>
      <c r="BF194" s="1293"/>
      <c r="BG194" s="1293"/>
      <c r="BH194" s="1293"/>
      <c r="BI194" s="1293"/>
      <c r="BJ194" s="1293"/>
      <c r="BK194" s="1293"/>
      <c r="BL194" s="1293"/>
      <c r="BM194" s="1293"/>
      <c r="BN194" s="1293"/>
      <c r="BO194" s="1293"/>
      <c r="BP194" s="1293"/>
      <c r="BQ194" s="1293"/>
      <c r="BR194" s="1293"/>
      <c r="BS194" s="1293"/>
      <c r="BT194" s="1293"/>
      <c r="BU194" s="1293"/>
      <c r="BV194" s="1293"/>
      <c r="BW194" s="1293"/>
      <c r="BX194" s="1293"/>
      <c r="BY194" s="1293"/>
      <c r="BZ194" s="1293"/>
      <c r="CA194" s="1293"/>
      <c r="CB194" s="1293"/>
      <c r="CC194" s="1293"/>
      <c r="CD194" s="1293"/>
      <c r="CE194" s="1293"/>
      <c r="CF194" s="1293"/>
      <c r="CG194" s="1293"/>
    </row>
    <row r="195" spans="1:85" ht="15.75" hidden="1" outlineLevel="1">
      <c r="A195" s="1293"/>
      <c r="B195" s="1293"/>
      <c r="C195" s="1982" t="str">
        <f t="shared" ref="C195:C202" si="174">C172</f>
        <v>Costa Rica</v>
      </c>
      <c r="D195" s="1327">
        <f>'New (new) quarts'!G308</f>
        <v>74303.171487078493</v>
      </c>
      <c r="E195" s="1327">
        <f>'New (new) quarts'!L308</f>
        <v>80629.444068575816</v>
      </c>
      <c r="F195" s="1327">
        <f>'New (new) quarts'!Q308</f>
        <v>83361.054974155166</v>
      </c>
      <c r="G195" s="1327">
        <f>'New (new) quarts'!V308</f>
        <v>83945.430000000008</v>
      </c>
      <c r="H195" s="1327">
        <f>'New (new) quarts'!AA308</f>
        <v>82940</v>
      </c>
      <c r="I195" s="1327">
        <f>'New (new) quarts'!AJ308</f>
        <v>79516.415999999997</v>
      </c>
      <c r="J195" s="1327">
        <f>'New (new) quarts'!AO308</f>
        <v>84680</v>
      </c>
      <c r="K195" s="1327">
        <f>'New (new) quarts'!AT308</f>
        <v>101943.52729392484</v>
      </c>
      <c r="L195" s="1327">
        <f>'New (new) quarts'!AY308</f>
        <v>110986.87000000001</v>
      </c>
      <c r="M195" s="1327">
        <f>'New (new) quarts'!BD308</f>
        <v>110807.19406349999</v>
      </c>
      <c r="N195" s="1327">
        <f t="shared" ref="N195:T195" si="175">(1+N219)*M195</f>
        <v>115239.48182603999</v>
      </c>
      <c r="O195" s="1327">
        <f t="shared" si="175"/>
        <v>117544.27146256079</v>
      </c>
      <c r="P195" s="1327">
        <f t="shared" si="175"/>
        <v>121070.59960643762</v>
      </c>
      <c r="Q195" s="1327">
        <f t="shared" si="175"/>
        <v>124702.71759463075</v>
      </c>
      <c r="R195" s="1327">
        <f t="shared" si="175"/>
        <v>128443.79912246967</v>
      </c>
      <c r="S195" s="1327">
        <f t="shared" si="175"/>
        <v>132297.11309614376</v>
      </c>
      <c r="T195" s="1327">
        <f t="shared" si="175"/>
        <v>136266.02648902807</v>
      </c>
      <c r="U195" s="1293"/>
      <c r="V195" s="1293"/>
      <c r="W195" s="1293"/>
      <c r="X195" s="1293"/>
      <c r="Y195" s="1293"/>
      <c r="Z195" s="1293"/>
      <c r="AA195" s="1293"/>
      <c r="AB195" s="1293"/>
      <c r="AC195" s="1293"/>
      <c r="AD195" s="1293"/>
      <c r="AE195" s="1293"/>
      <c r="AF195" s="1293"/>
      <c r="AG195" s="1293"/>
      <c r="AH195" s="1293"/>
      <c r="AI195" s="1293"/>
      <c r="AJ195" s="1293"/>
      <c r="AK195" s="1293"/>
      <c r="AL195" s="1293"/>
      <c r="AM195" s="1293"/>
      <c r="AN195" s="1293"/>
      <c r="AO195" s="1293"/>
      <c r="AP195" s="1293"/>
      <c r="AQ195" s="1293"/>
      <c r="AR195" s="1293"/>
      <c r="AS195" s="1293"/>
      <c r="AT195" s="1293"/>
      <c r="AU195" s="1293"/>
      <c r="AV195" s="1293"/>
      <c r="AW195" s="1293"/>
      <c r="AX195" s="1293"/>
      <c r="AY195" s="1293"/>
      <c r="AZ195" s="1293"/>
      <c r="BA195" s="1293"/>
      <c r="BB195" s="1293"/>
      <c r="BC195" s="1293"/>
      <c r="BD195" s="1293"/>
      <c r="BE195" s="1293"/>
      <c r="BF195" s="1293"/>
      <c r="BG195" s="1293"/>
      <c r="BH195" s="1293"/>
      <c r="BI195" s="1293"/>
      <c r="BJ195" s="1293"/>
      <c r="BK195" s="1293"/>
      <c r="BL195" s="1293"/>
      <c r="BM195" s="1293"/>
      <c r="BN195" s="1293"/>
      <c r="BO195" s="1293"/>
      <c r="BP195" s="1293"/>
      <c r="BQ195" s="1293"/>
      <c r="BR195" s="1293"/>
      <c r="BS195" s="1293"/>
      <c r="BT195" s="1293"/>
      <c r="BU195" s="1293"/>
      <c r="BV195" s="1293"/>
      <c r="BW195" s="1293"/>
      <c r="BX195" s="1293"/>
      <c r="BY195" s="1293"/>
      <c r="BZ195" s="1293"/>
      <c r="CA195" s="1293"/>
      <c r="CB195" s="1293"/>
      <c r="CC195" s="1293"/>
      <c r="CD195" s="1293"/>
      <c r="CE195" s="1293"/>
      <c r="CF195" s="1293"/>
      <c r="CG195" s="1293"/>
    </row>
    <row r="196" spans="1:85" ht="15.75" hidden="1" outlineLevel="1">
      <c r="A196" s="1293"/>
      <c r="B196" s="1293"/>
      <c r="C196" s="1293" t="str">
        <f t="shared" si="174"/>
        <v>Chad</v>
      </c>
      <c r="D196" s="1698">
        <f ca="1">'New (new) quarts'!G316</f>
        <v>88359.696854605514</v>
      </c>
      <c r="E196" s="1698">
        <f>'New (new) quarts'!L316</f>
        <v>88950.834874411768</v>
      </c>
      <c r="F196" s="1698">
        <f ca="1">'New (new) quarts'!Q316</f>
        <v>95643.709181980317</v>
      </c>
      <c r="G196" s="1698">
        <f ca="1">'New (new) quarts'!V316</f>
        <v>86551.2262992943</v>
      </c>
      <c r="H196" s="1698">
        <f ca="1">'New (new) quarts'!AA316</f>
        <v>86551.2262992943</v>
      </c>
      <c r="I196" s="1698"/>
      <c r="J196" s="1699"/>
      <c r="K196" s="1699"/>
      <c r="L196" s="1699"/>
      <c r="M196" s="1699"/>
      <c r="N196" s="1699"/>
      <c r="O196" s="1699"/>
      <c r="P196" s="1699"/>
      <c r="Q196" s="1699"/>
      <c r="R196" s="1699"/>
      <c r="S196" s="1699"/>
      <c r="T196" s="1699"/>
      <c r="U196" s="1293"/>
      <c r="V196" s="1293"/>
      <c r="W196" s="1293"/>
      <c r="X196" s="1293"/>
      <c r="Y196" s="1293"/>
      <c r="Z196" s="1293"/>
      <c r="AA196" s="1293"/>
      <c r="AB196" s="1293"/>
      <c r="AC196" s="1293"/>
      <c r="AD196" s="1293"/>
      <c r="AE196" s="1293"/>
      <c r="AF196" s="1293"/>
      <c r="AG196" s="1293"/>
      <c r="AH196" s="1293"/>
      <c r="AI196" s="1293"/>
      <c r="AJ196" s="1293"/>
      <c r="AK196" s="1293"/>
      <c r="AL196" s="1293"/>
      <c r="AM196" s="1293"/>
      <c r="AN196" s="1293"/>
      <c r="AO196" s="1293"/>
      <c r="AP196" s="1293"/>
      <c r="AQ196" s="1293"/>
      <c r="AR196" s="1293"/>
      <c r="AS196" s="1293"/>
      <c r="AT196" s="1293"/>
      <c r="AU196" s="1293"/>
      <c r="AV196" s="1293"/>
      <c r="AW196" s="1293"/>
      <c r="AX196" s="1293"/>
      <c r="AY196" s="1293"/>
      <c r="AZ196" s="1293"/>
      <c r="BA196" s="1293"/>
      <c r="BB196" s="1293"/>
      <c r="BC196" s="1293"/>
      <c r="BD196" s="1293"/>
      <c r="BE196" s="1293"/>
      <c r="BF196" s="1293"/>
      <c r="BG196" s="1293"/>
      <c r="BH196" s="1293"/>
      <c r="BI196" s="1293"/>
      <c r="BJ196" s="1293"/>
      <c r="BK196" s="1293"/>
      <c r="BL196" s="1293"/>
      <c r="BM196" s="1293"/>
      <c r="BN196" s="1293"/>
      <c r="BO196" s="1293"/>
      <c r="BP196" s="1293"/>
      <c r="BQ196" s="1293"/>
      <c r="BR196" s="1293"/>
      <c r="BS196" s="1293"/>
      <c r="BT196" s="1293"/>
      <c r="BU196" s="1293"/>
      <c r="BV196" s="1293"/>
      <c r="BW196" s="1293"/>
      <c r="BX196" s="1293"/>
      <c r="BY196" s="1293"/>
      <c r="BZ196" s="1293"/>
      <c r="CA196" s="1293"/>
      <c r="CB196" s="1293"/>
      <c r="CC196" s="1293"/>
      <c r="CD196" s="1293"/>
      <c r="CE196" s="1293"/>
      <c r="CF196" s="1293"/>
      <c r="CG196" s="1293"/>
    </row>
    <row r="197" spans="1:85" ht="15.75" hidden="1" outlineLevel="1">
      <c r="A197" s="1293"/>
      <c r="B197" s="1293"/>
      <c r="C197" s="1293" t="str">
        <f t="shared" si="174"/>
        <v>DRC</v>
      </c>
      <c r="D197" s="1698">
        <f>'New (new) quarts'!G317</f>
        <v>116018.6933704775</v>
      </c>
      <c r="E197" s="1698">
        <f>'New (new) quarts'!L317</f>
        <v>137044.68882068721</v>
      </c>
      <c r="F197" s="1698">
        <f>'New (new) quarts'!Q317</f>
        <v>0</v>
      </c>
      <c r="G197" s="1698">
        <f>'New (new) quarts'!V317</f>
        <v>0</v>
      </c>
      <c r="H197" s="1698"/>
      <c r="I197" s="1698"/>
      <c r="J197" s="1699"/>
      <c r="K197" s="1699"/>
      <c r="L197" s="1699"/>
      <c r="M197" s="1699"/>
      <c r="N197" s="1699"/>
      <c r="O197" s="1699"/>
      <c r="P197" s="1699"/>
      <c r="Q197" s="1699"/>
      <c r="R197" s="1699"/>
      <c r="S197" s="1699"/>
      <c r="T197" s="1699"/>
      <c r="U197" s="1293"/>
      <c r="V197" s="1293"/>
      <c r="W197" s="1293"/>
      <c r="X197" s="1293"/>
      <c r="Y197" s="1293"/>
      <c r="Z197" s="1293"/>
      <c r="AA197" s="1293"/>
      <c r="AB197" s="1293"/>
      <c r="AC197" s="1293"/>
      <c r="AD197" s="1293"/>
      <c r="AE197" s="1293"/>
      <c r="AF197" s="1293"/>
      <c r="AG197" s="1293"/>
      <c r="AH197" s="1293"/>
      <c r="AI197" s="1293"/>
      <c r="AJ197" s="1293"/>
      <c r="AK197" s="1293"/>
      <c r="AL197" s="1293"/>
      <c r="AM197" s="1293"/>
      <c r="AN197" s="1293"/>
      <c r="AO197" s="1293"/>
      <c r="AP197" s="1293"/>
      <c r="AQ197" s="1293"/>
      <c r="AR197" s="1293"/>
      <c r="AS197" s="1293"/>
      <c r="AT197" s="1293"/>
      <c r="AU197" s="1293"/>
      <c r="AV197" s="1293"/>
      <c r="AW197" s="1293"/>
      <c r="AX197" s="1293"/>
      <c r="AY197" s="1293"/>
      <c r="AZ197" s="1293"/>
      <c r="BA197" s="1293"/>
      <c r="BB197" s="1293"/>
      <c r="BC197" s="1293"/>
      <c r="BD197" s="1293"/>
      <c r="BE197" s="1293"/>
      <c r="BF197" s="1293"/>
      <c r="BG197" s="1293"/>
      <c r="BH197" s="1293"/>
      <c r="BI197" s="1293"/>
      <c r="BJ197" s="1293"/>
      <c r="BK197" s="1293"/>
      <c r="BL197" s="1293"/>
      <c r="BM197" s="1293"/>
      <c r="BN197" s="1293"/>
      <c r="BO197" s="1293"/>
      <c r="BP197" s="1293"/>
      <c r="BQ197" s="1293"/>
      <c r="BR197" s="1293"/>
      <c r="BS197" s="1293"/>
      <c r="BT197" s="1293"/>
      <c r="BU197" s="1293"/>
      <c r="BV197" s="1293"/>
      <c r="BW197" s="1293"/>
      <c r="BX197" s="1293"/>
      <c r="BY197" s="1293"/>
      <c r="BZ197" s="1293"/>
      <c r="CA197" s="1293"/>
      <c r="CB197" s="1293"/>
      <c r="CC197" s="1293"/>
      <c r="CD197" s="1293"/>
      <c r="CE197" s="1293"/>
      <c r="CF197" s="1293"/>
      <c r="CG197" s="1293"/>
    </row>
    <row r="198" spans="1:85" ht="15.75" hidden="1" outlineLevel="1">
      <c r="A198" s="1293"/>
      <c r="B198" s="1293"/>
      <c r="C198" s="1293" t="str">
        <f t="shared" si="174"/>
        <v>Ghana</v>
      </c>
      <c r="D198" s="1699">
        <f>'New (new) quarts'!G318</f>
        <v>414.26064252808357</v>
      </c>
      <c r="E198" s="1699">
        <f>'New (new) quarts'!L318</f>
        <v>512.78817812801367</v>
      </c>
      <c r="F198" s="1699">
        <f>'New (new) quarts'!Q318</f>
        <v>615.85844609250967</v>
      </c>
      <c r="G198" s="1699">
        <f>'New (new) quarts'!V318</f>
        <v>303.99208154038899</v>
      </c>
      <c r="H198" s="1699"/>
      <c r="I198" s="1699"/>
      <c r="J198" s="1699"/>
      <c r="K198" s="1699"/>
      <c r="L198" s="1699"/>
      <c r="M198" s="1699"/>
      <c r="N198" s="1699"/>
      <c r="O198" s="1699"/>
      <c r="P198" s="1699"/>
      <c r="Q198" s="1699"/>
      <c r="R198" s="1699"/>
      <c r="S198" s="1699"/>
      <c r="T198" s="1699"/>
      <c r="U198" s="1293"/>
      <c r="V198" s="1293"/>
      <c r="W198" s="1293"/>
      <c r="X198" s="1293"/>
      <c r="Y198" s="1293"/>
      <c r="Z198" s="1293"/>
      <c r="AA198" s="1293"/>
      <c r="AB198" s="1293"/>
      <c r="AC198" s="1293"/>
      <c r="AD198" s="1293"/>
      <c r="AE198" s="1293"/>
      <c r="AF198" s="1293"/>
      <c r="AG198" s="1293"/>
      <c r="AH198" s="1293"/>
      <c r="AI198" s="1293"/>
      <c r="AJ198" s="1293"/>
      <c r="AK198" s="1293"/>
      <c r="AL198" s="1293"/>
      <c r="AM198" s="1293"/>
      <c r="AN198" s="1293"/>
      <c r="AO198" s="1293"/>
      <c r="AP198" s="1293"/>
      <c r="AQ198" s="1293"/>
      <c r="AR198" s="1293"/>
      <c r="AS198" s="1293"/>
      <c r="AT198" s="1293"/>
      <c r="AU198" s="1293"/>
      <c r="AV198" s="1293"/>
      <c r="AW198" s="1293"/>
      <c r="AX198" s="1293"/>
      <c r="AY198" s="1293"/>
      <c r="AZ198" s="1293"/>
      <c r="BA198" s="1293"/>
      <c r="BB198" s="1293"/>
      <c r="BC198" s="1293"/>
      <c r="BD198" s="1293"/>
      <c r="BE198" s="1293"/>
      <c r="BF198" s="1293"/>
      <c r="BG198" s="1293"/>
      <c r="BH198" s="1293"/>
      <c r="BI198" s="1293"/>
      <c r="BJ198" s="1293"/>
      <c r="BK198" s="1293"/>
      <c r="BL198" s="1293"/>
      <c r="BM198" s="1293"/>
      <c r="BN198" s="1293"/>
      <c r="BO198" s="1293"/>
      <c r="BP198" s="1293"/>
      <c r="BQ198" s="1293"/>
      <c r="BR198" s="1293"/>
      <c r="BS198" s="1293"/>
      <c r="BT198" s="1293"/>
      <c r="BU198" s="1293"/>
      <c r="BV198" s="1293"/>
      <c r="BW198" s="1293"/>
      <c r="BX198" s="1293"/>
      <c r="BY198" s="1293"/>
      <c r="BZ198" s="1293"/>
      <c r="CA198" s="1293"/>
      <c r="CB198" s="1293"/>
      <c r="CC198" s="1293"/>
      <c r="CD198" s="1293"/>
      <c r="CE198" s="1293"/>
      <c r="CF198" s="1293"/>
      <c r="CG198" s="1293"/>
    </row>
    <row r="199" spans="1:85" ht="15.75" hidden="1" outlineLevel="1">
      <c r="A199" s="1293"/>
      <c r="B199" s="1293"/>
      <c r="C199" s="1293" t="str">
        <f t="shared" si="174"/>
        <v>Rwanda</v>
      </c>
      <c r="D199" s="1699">
        <f>'New (new) quarts'!G319</f>
        <v>42824.15382628925</v>
      </c>
      <c r="E199" s="1699">
        <f>'New (new) quarts'!L319</f>
        <v>45033.009774249731</v>
      </c>
      <c r="F199" s="1699">
        <f>'New (new) quarts'!Q319</f>
        <v>48949.787245400017</v>
      </c>
      <c r="G199" s="1699">
        <f>'New (new) quarts'!V319</f>
        <v>47895.136935331771</v>
      </c>
      <c r="H199" s="1699"/>
      <c r="I199" s="1699"/>
      <c r="J199" s="1699"/>
      <c r="K199" s="1699"/>
      <c r="L199" s="1699"/>
      <c r="M199" s="1699"/>
      <c r="N199" s="1699"/>
      <c r="O199" s="1699"/>
      <c r="P199" s="1699"/>
      <c r="Q199" s="1699"/>
      <c r="R199" s="1699"/>
      <c r="S199" s="1699"/>
      <c r="T199" s="1699"/>
      <c r="U199" s="1293"/>
      <c r="V199" s="1293"/>
      <c r="W199" s="1293"/>
      <c r="X199" s="1293"/>
      <c r="Y199" s="1293"/>
      <c r="Z199" s="1293"/>
      <c r="AA199" s="1293"/>
      <c r="AB199" s="1293"/>
      <c r="AC199" s="1293"/>
      <c r="AD199" s="1293"/>
      <c r="AE199" s="1293"/>
      <c r="AF199" s="1293"/>
      <c r="AG199" s="1293"/>
      <c r="AH199" s="1293"/>
      <c r="AI199" s="1293"/>
      <c r="AJ199" s="1293"/>
      <c r="AK199" s="1293"/>
      <c r="AL199" s="1293"/>
      <c r="AM199" s="1293"/>
      <c r="AN199" s="1293"/>
      <c r="AO199" s="1293"/>
      <c r="AP199" s="1293"/>
      <c r="AQ199" s="1293"/>
      <c r="AR199" s="1293"/>
      <c r="AS199" s="1293"/>
      <c r="AT199" s="1293"/>
      <c r="AU199" s="1293"/>
      <c r="AV199" s="1293"/>
      <c r="AW199" s="1293"/>
      <c r="AX199" s="1293"/>
      <c r="AY199" s="1293"/>
      <c r="AZ199" s="1293"/>
      <c r="BA199" s="1293"/>
      <c r="BB199" s="1293"/>
      <c r="BC199" s="1293"/>
      <c r="BD199" s="1293"/>
      <c r="BE199" s="1293"/>
      <c r="BF199" s="1293"/>
      <c r="BG199" s="1293"/>
      <c r="BH199" s="1293"/>
      <c r="BI199" s="1293"/>
      <c r="BJ199" s="1293"/>
      <c r="BK199" s="1293"/>
      <c r="BL199" s="1293"/>
      <c r="BM199" s="1293"/>
      <c r="BN199" s="1293"/>
      <c r="BO199" s="1293"/>
      <c r="BP199" s="1293"/>
      <c r="BQ199" s="1293"/>
      <c r="BR199" s="1293"/>
      <c r="BS199" s="1293"/>
      <c r="BT199" s="1293"/>
      <c r="BU199" s="1293"/>
      <c r="BV199" s="1293"/>
      <c r="BW199" s="1293"/>
      <c r="BX199" s="1293"/>
      <c r="BY199" s="1293"/>
      <c r="BZ199" s="1293"/>
      <c r="CA199" s="1293"/>
      <c r="CB199" s="1293"/>
      <c r="CC199" s="1293"/>
      <c r="CD199" s="1293"/>
      <c r="CE199" s="1293"/>
      <c r="CF199" s="1293"/>
      <c r="CG199" s="1293"/>
    </row>
    <row r="200" spans="1:85" ht="15.75" hidden="1" outlineLevel="1">
      <c r="A200" s="1293"/>
      <c r="B200" s="1293"/>
      <c r="C200" s="1293" t="str">
        <f t="shared" si="174"/>
        <v>Senegal</v>
      </c>
      <c r="D200" s="1699">
        <f ca="1">'New (new) quarts'!G320</f>
        <v>56423.033221764505</v>
      </c>
      <c r="E200" s="1699">
        <f ca="1">'New (new) quarts'!L320</f>
        <v>66159.484954152882</v>
      </c>
      <c r="F200" s="1699">
        <f ca="1">'New (new) quarts'!Q320</f>
        <v>78797.210878808168</v>
      </c>
      <c r="G200" s="1699">
        <f>'New (new) quarts'!V320</f>
        <v>0</v>
      </c>
      <c r="H200" s="1699"/>
      <c r="I200" s="1699"/>
      <c r="J200" s="1699"/>
      <c r="K200" s="1699"/>
      <c r="L200" s="1699"/>
      <c r="M200" s="1699"/>
      <c r="N200" s="1699"/>
      <c r="O200" s="1699"/>
      <c r="P200" s="1699"/>
      <c r="Q200" s="1699"/>
      <c r="R200" s="1699"/>
      <c r="S200" s="1699"/>
      <c r="T200" s="1699"/>
      <c r="U200" s="1293"/>
      <c r="V200" s="1293"/>
      <c r="W200" s="1293"/>
      <c r="X200" s="1293"/>
      <c r="Y200" s="1293"/>
      <c r="Z200" s="1293"/>
      <c r="AA200" s="1293"/>
      <c r="AB200" s="1293"/>
      <c r="AC200" s="1293"/>
      <c r="AD200" s="1293"/>
      <c r="AE200" s="1293"/>
      <c r="AF200" s="1293"/>
      <c r="AG200" s="1293"/>
      <c r="AH200" s="1293"/>
      <c r="AI200" s="1293"/>
      <c r="AJ200" s="1293"/>
      <c r="AK200" s="1293"/>
      <c r="AL200" s="1293"/>
      <c r="AM200" s="1293"/>
      <c r="AN200" s="1293"/>
      <c r="AO200" s="1293"/>
      <c r="AP200" s="1293"/>
      <c r="AQ200" s="1293"/>
      <c r="AR200" s="1293"/>
      <c r="AS200" s="1293"/>
      <c r="AT200" s="1293"/>
      <c r="AU200" s="1293"/>
      <c r="AV200" s="1293"/>
      <c r="AW200" s="1293"/>
      <c r="AX200" s="1293"/>
      <c r="AY200" s="1293"/>
      <c r="AZ200" s="1293"/>
      <c r="BA200" s="1293"/>
      <c r="BB200" s="1293"/>
      <c r="BC200" s="1293"/>
      <c r="BD200" s="1293"/>
      <c r="BE200" s="1293"/>
      <c r="BF200" s="1293"/>
      <c r="BG200" s="1293"/>
      <c r="BH200" s="1293"/>
      <c r="BI200" s="1293"/>
      <c r="BJ200" s="1293"/>
      <c r="BK200" s="1293"/>
      <c r="BL200" s="1293"/>
      <c r="BM200" s="1293"/>
      <c r="BN200" s="1293"/>
      <c r="BO200" s="1293"/>
      <c r="BP200" s="1293"/>
      <c r="BQ200" s="1293"/>
      <c r="BR200" s="1293"/>
      <c r="BS200" s="1293"/>
      <c r="BT200" s="1293"/>
      <c r="BU200" s="1293"/>
      <c r="BV200" s="1293"/>
      <c r="BW200" s="1293"/>
      <c r="BX200" s="1293"/>
      <c r="BY200" s="1293"/>
      <c r="BZ200" s="1293"/>
      <c r="CA200" s="1293"/>
      <c r="CB200" s="1293"/>
      <c r="CC200" s="1293"/>
      <c r="CD200" s="1293"/>
      <c r="CE200" s="1293"/>
      <c r="CF200" s="1293"/>
      <c r="CG200" s="1293"/>
    </row>
    <row r="201" spans="1:85" ht="15.75" hidden="1" outlineLevel="1">
      <c r="A201" s="1293"/>
      <c r="B201" s="1293"/>
      <c r="C201" s="1293" t="str">
        <f t="shared" si="174"/>
        <v>Tanzania</v>
      </c>
      <c r="D201" s="1698">
        <f>'New (new) quarts'!G321</f>
        <v>603488.3306806105</v>
      </c>
      <c r="E201" s="1698">
        <f>'New (new) quarts'!L321</f>
        <v>701248.03233169648</v>
      </c>
      <c r="F201" s="1698">
        <f>'New (new) quarts'!Q321</f>
        <v>753794.45511032641</v>
      </c>
      <c r="G201" s="1698">
        <f>'New (new) quarts'!V321</f>
        <v>753413.68991305388</v>
      </c>
      <c r="H201" s="1698">
        <f>'New (new) quarts'!AA321</f>
        <v>753413.68991305388</v>
      </c>
      <c r="I201" s="1698">
        <f>'New (new) quarts'!AJ321</f>
        <v>753413.68991305388</v>
      </c>
      <c r="J201" s="1698">
        <f>'New (new) quarts'!AO321</f>
        <v>802274.15453006409</v>
      </c>
      <c r="K201" s="1698">
        <f>'New (new) quarts'!AT321</f>
        <v>1906398.1361824081</v>
      </c>
      <c r="L201" s="1698">
        <f>'New (new) quarts'!AY321</f>
        <v>0</v>
      </c>
      <c r="M201" s="1698">
        <f>'New (new) quarts'!BD321</f>
        <v>0</v>
      </c>
      <c r="N201" s="1698">
        <f t="shared" ref="N201:T202" si="176">(1+N228)*M201</f>
        <v>0</v>
      </c>
      <c r="O201" s="1698">
        <f t="shared" si="176"/>
        <v>0</v>
      </c>
      <c r="P201" s="1698">
        <f t="shared" si="176"/>
        <v>0</v>
      </c>
      <c r="Q201" s="1698">
        <f t="shared" si="176"/>
        <v>0</v>
      </c>
      <c r="R201" s="1698">
        <f t="shared" si="176"/>
        <v>0</v>
      </c>
      <c r="S201" s="1698">
        <f t="shared" si="176"/>
        <v>0</v>
      </c>
      <c r="T201" s="1698">
        <f t="shared" si="176"/>
        <v>0</v>
      </c>
      <c r="U201" s="1293"/>
      <c r="V201" s="1293"/>
      <c r="W201" s="1293"/>
      <c r="X201" s="1293"/>
      <c r="Y201" s="1293"/>
      <c r="Z201" s="1293"/>
      <c r="AA201" s="1293"/>
      <c r="AB201" s="1293"/>
      <c r="AC201" s="1293"/>
      <c r="AD201" s="1293"/>
      <c r="AE201" s="1293"/>
      <c r="AF201" s="1293"/>
      <c r="AG201" s="1293"/>
      <c r="AH201" s="1293"/>
      <c r="AI201" s="1293"/>
      <c r="AJ201" s="1293"/>
      <c r="AK201" s="1293"/>
      <c r="AL201" s="1293"/>
      <c r="AM201" s="1293"/>
      <c r="AN201" s="1293"/>
      <c r="AO201" s="1293"/>
      <c r="AP201" s="1293"/>
      <c r="AQ201" s="1293"/>
      <c r="AR201" s="1293"/>
      <c r="AS201" s="1293"/>
      <c r="AT201" s="1293"/>
      <c r="AU201" s="1293"/>
      <c r="AV201" s="1293"/>
      <c r="AW201" s="1293"/>
      <c r="AX201" s="1293"/>
      <c r="AY201" s="1293"/>
      <c r="AZ201" s="1293"/>
      <c r="BA201" s="1293"/>
      <c r="BB201" s="1293"/>
      <c r="BC201" s="1293"/>
      <c r="BD201" s="1293"/>
      <c r="BE201" s="1293"/>
      <c r="BF201" s="1293"/>
      <c r="BG201" s="1293"/>
      <c r="BH201" s="1293"/>
      <c r="BI201" s="1293"/>
      <c r="BJ201" s="1293"/>
      <c r="BK201" s="1293"/>
      <c r="BL201" s="1293"/>
      <c r="BM201" s="1293"/>
      <c r="BN201" s="1293"/>
      <c r="BO201" s="1293"/>
      <c r="BP201" s="1293"/>
      <c r="BQ201" s="1293"/>
      <c r="BR201" s="1293"/>
      <c r="BS201" s="1293"/>
      <c r="BT201" s="1293"/>
      <c r="BU201" s="1293"/>
      <c r="BV201" s="1293"/>
      <c r="BW201" s="1293"/>
      <c r="BX201" s="1293"/>
      <c r="BY201" s="1293"/>
      <c r="BZ201" s="1293"/>
      <c r="CA201" s="1293"/>
      <c r="CB201" s="1293"/>
      <c r="CC201" s="1293"/>
      <c r="CD201" s="1293"/>
      <c r="CE201" s="1293"/>
      <c r="CF201" s="1293"/>
      <c r="CG201" s="1293"/>
    </row>
    <row r="202" spans="1:85" ht="15.75" hidden="1" outlineLevel="1">
      <c r="A202" s="1293"/>
      <c r="B202" s="1293"/>
      <c r="C202" s="1293" t="str">
        <f t="shared" si="174"/>
        <v>Zantel</v>
      </c>
      <c r="D202" s="1699">
        <f>'New (new) quarts'!G322</f>
        <v>0</v>
      </c>
      <c r="E202" s="1699">
        <f>'New (new) quarts'!L322</f>
        <v>17580.034236727763</v>
      </c>
      <c r="F202" s="1699">
        <f>'New (new) quarts'!Q322</f>
        <v>71804.16141685615</v>
      </c>
      <c r="G202" s="1699">
        <f ca="1">'New (new) quarts'!V322</f>
        <v>67382.343761846307</v>
      </c>
      <c r="H202" s="1699">
        <f ca="1">'New (new) quarts'!AA322</f>
        <v>39132.757496877937</v>
      </c>
      <c r="I202" s="1699">
        <f>'New (new) quarts'!AJ322</f>
        <v>50688</v>
      </c>
      <c r="J202" s="1699">
        <f>'New (new) quarts'!AO322</f>
        <v>29926</v>
      </c>
      <c r="K202" s="1699">
        <f>'New (new) quarts'!AT322</f>
        <v>32410</v>
      </c>
      <c r="L202" s="1699">
        <f>'New (new) quarts'!AY322</f>
        <v>0</v>
      </c>
      <c r="M202" s="1699">
        <f>'New (new) quarts'!BD322</f>
        <v>0</v>
      </c>
      <c r="N202" s="1699">
        <f t="shared" si="176"/>
        <v>0</v>
      </c>
      <c r="O202" s="1699">
        <f t="shared" si="176"/>
        <v>0</v>
      </c>
      <c r="P202" s="1699">
        <f t="shared" si="176"/>
        <v>0</v>
      </c>
      <c r="Q202" s="1699">
        <f t="shared" si="176"/>
        <v>0</v>
      </c>
      <c r="R202" s="1699">
        <f t="shared" si="176"/>
        <v>0</v>
      </c>
      <c r="S202" s="1699">
        <f t="shared" si="176"/>
        <v>0</v>
      </c>
      <c r="T202" s="1699">
        <f t="shared" si="176"/>
        <v>0</v>
      </c>
      <c r="U202" s="1293"/>
      <c r="V202" s="1293"/>
      <c r="W202" s="1293"/>
      <c r="X202" s="1293"/>
      <c r="Y202" s="1293"/>
      <c r="Z202" s="1293"/>
      <c r="AA202" s="1293"/>
      <c r="AB202" s="1293"/>
      <c r="AC202" s="1293"/>
      <c r="AD202" s="1293"/>
      <c r="AE202" s="1293"/>
      <c r="AF202" s="1293"/>
      <c r="AG202" s="1293"/>
      <c r="AH202" s="1293"/>
      <c r="AI202" s="1293"/>
      <c r="AJ202" s="1293"/>
      <c r="AK202" s="1293"/>
      <c r="AL202" s="1293"/>
      <c r="AM202" s="1293"/>
      <c r="AN202" s="1293"/>
      <c r="AO202" s="1293"/>
      <c r="AP202" s="1293"/>
      <c r="AQ202" s="1293"/>
      <c r="AR202" s="1293"/>
      <c r="AS202" s="1293"/>
      <c r="AT202" s="1293"/>
      <c r="AU202" s="1293"/>
      <c r="AV202" s="1293"/>
      <c r="AW202" s="1293"/>
      <c r="AX202" s="1293"/>
      <c r="AY202" s="1293"/>
      <c r="AZ202" s="1293"/>
      <c r="BA202" s="1293"/>
      <c r="BB202" s="1293"/>
      <c r="BC202" s="1293"/>
      <c r="BD202" s="1293"/>
      <c r="BE202" s="1293"/>
      <c r="BF202" s="1293"/>
      <c r="BG202" s="1293"/>
      <c r="BH202" s="1293"/>
      <c r="BI202" s="1293"/>
      <c r="BJ202" s="1293"/>
      <c r="BK202" s="1293"/>
      <c r="BL202" s="1293"/>
      <c r="BM202" s="1293"/>
      <c r="BN202" s="1293"/>
      <c r="BO202" s="1293"/>
      <c r="BP202" s="1293"/>
      <c r="BQ202" s="1293"/>
      <c r="BR202" s="1293"/>
      <c r="BS202" s="1293"/>
      <c r="BT202" s="1293"/>
      <c r="BU202" s="1293"/>
      <c r="BV202" s="1293"/>
      <c r="BW202" s="1293"/>
      <c r="BX202" s="1293"/>
      <c r="BY202" s="1293"/>
      <c r="BZ202" s="1293"/>
      <c r="CA202" s="1293"/>
      <c r="CB202" s="1293"/>
      <c r="CC202" s="1293"/>
      <c r="CD202" s="1293"/>
      <c r="CE202" s="1293"/>
      <c r="CF202" s="1293"/>
      <c r="CG202" s="1293"/>
    </row>
    <row r="203" spans="1:85" ht="15.75" collapsed="1">
      <c r="A203" s="1293"/>
      <c r="B203" s="1293"/>
      <c r="C203" s="1293"/>
      <c r="D203" s="1293"/>
      <c r="E203" s="1293"/>
      <c r="F203" s="1293"/>
      <c r="G203" s="1293"/>
      <c r="H203" s="1293"/>
      <c r="I203" s="1293"/>
      <c r="J203" s="1293"/>
      <c r="K203" s="1293"/>
      <c r="L203" s="1293"/>
      <c r="M203" s="1293"/>
      <c r="N203" s="1293"/>
      <c r="O203" s="1293"/>
      <c r="P203" s="1293"/>
      <c r="Q203" s="1293"/>
      <c r="R203" s="1293"/>
      <c r="S203" s="1293"/>
      <c r="T203" s="1293"/>
      <c r="U203" s="1293"/>
      <c r="V203" s="1293"/>
      <c r="W203" s="1293"/>
      <c r="X203" s="1293"/>
      <c r="Y203" s="1293"/>
      <c r="Z203" s="1293"/>
      <c r="AA203" s="1293"/>
      <c r="AB203" s="1293"/>
      <c r="AC203" s="1293"/>
      <c r="AD203" s="1293"/>
      <c r="AE203" s="1293"/>
      <c r="AF203" s="1293"/>
      <c r="AG203" s="1293"/>
      <c r="AH203" s="1293"/>
      <c r="AI203" s="1293"/>
      <c r="AJ203" s="1293"/>
      <c r="AK203" s="1293"/>
      <c r="AL203" s="1293"/>
      <c r="AM203" s="1293"/>
      <c r="AN203" s="1293"/>
      <c r="AO203" s="1293"/>
      <c r="AP203" s="1293"/>
      <c r="AQ203" s="1293"/>
      <c r="AR203" s="1293"/>
      <c r="AS203" s="1293"/>
      <c r="AT203" s="1293"/>
      <c r="AU203" s="1293"/>
      <c r="AV203" s="1293"/>
      <c r="AW203" s="1293"/>
      <c r="AX203" s="1293"/>
      <c r="AY203" s="1293"/>
      <c r="AZ203" s="1293"/>
      <c r="BA203" s="1293"/>
      <c r="BB203" s="1293"/>
      <c r="BC203" s="1293"/>
      <c r="BD203" s="1293"/>
      <c r="BE203" s="1293"/>
      <c r="BF203" s="1293"/>
      <c r="BG203" s="1293"/>
      <c r="BH203" s="1293"/>
      <c r="BI203" s="1293"/>
      <c r="BJ203" s="1293"/>
      <c r="BK203" s="1293"/>
      <c r="BL203" s="1293"/>
      <c r="BM203" s="1293"/>
      <c r="BN203" s="1293"/>
      <c r="BO203" s="1293"/>
      <c r="BP203" s="1293"/>
      <c r="BQ203" s="1293"/>
      <c r="BR203" s="1293"/>
      <c r="BS203" s="1293"/>
      <c r="BT203" s="1293"/>
      <c r="BU203" s="1293"/>
      <c r="BV203" s="1293"/>
      <c r="BW203" s="1293"/>
      <c r="BX203" s="1293"/>
      <c r="BY203" s="1293"/>
      <c r="BZ203" s="1293"/>
      <c r="CA203" s="1293"/>
      <c r="CB203" s="1293"/>
      <c r="CC203" s="1293"/>
      <c r="CD203" s="1293"/>
      <c r="CE203" s="1293"/>
      <c r="CF203" s="1293"/>
      <c r="CG203" s="1293"/>
    </row>
    <row r="204" spans="1:85" ht="15.75">
      <c r="A204" s="1293"/>
      <c r="B204" s="1293"/>
      <c r="C204" s="1293"/>
      <c r="D204" s="1293"/>
      <c r="E204" s="1293"/>
      <c r="F204" s="1293"/>
      <c r="G204" s="1293"/>
      <c r="H204" s="1293"/>
      <c r="I204" s="1293"/>
      <c r="J204" s="1293"/>
      <c r="K204" s="1293"/>
      <c r="L204" s="1293"/>
      <c r="M204" s="1293"/>
      <c r="N204" s="1293"/>
      <c r="O204" s="1293"/>
      <c r="P204" s="1293"/>
      <c r="Q204" s="1293"/>
      <c r="R204" s="1293"/>
      <c r="S204" s="1293"/>
      <c r="T204" s="1293"/>
      <c r="U204" s="1293"/>
      <c r="V204" s="1293"/>
      <c r="W204" s="1293"/>
      <c r="X204" s="1293"/>
      <c r="Y204" s="1293"/>
      <c r="Z204" s="1293"/>
      <c r="AA204" s="1293"/>
      <c r="AB204" s="1293"/>
      <c r="AC204" s="1293"/>
      <c r="AD204" s="1293"/>
      <c r="AE204" s="1293"/>
      <c r="AF204" s="1293"/>
      <c r="AG204" s="1293"/>
      <c r="AH204" s="1293"/>
      <c r="AI204" s="1293"/>
      <c r="AJ204" s="1293"/>
      <c r="AK204" s="1293"/>
      <c r="AL204" s="1293"/>
      <c r="AM204" s="1293"/>
      <c r="AN204" s="1293"/>
      <c r="AO204" s="1293"/>
      <c r="AP204" s="1293"/>
      <c r="AQ204" s="1293"/>
      <c r="AR204" s="1293"/>
      <c r="AS204" s="1293"/>
      <c r="AT204" s="1293"/>
      <c r="AU204" s="1293"/>
      <c r="AV204" s="1293"/>
      <c r="AW204" s="1293"/>
      <c r="AX204" s="1293"/>
      <c r="AY204" s="1293"/>
      <c r="AZ204" s="1293"/>
      <c r="BA204" s="1293"/>
      <c r="BB204" s="1293"/>
      <c r="BC204" s="1293"/>
      <c r="BD204" s="1293"/>
      <c r="BE204" s="1293"/>
      <c r="BF204" s="1293"/>
      <c r="BG204" s="1293"/>
      <c r="BH204" s="1293"/>
      <c r="BI204" s="1293"/>
      <c r="BJ204" s="1293"/>
      <c r="BK204" s="1293"/>
      <c r="BL204" s="1293"/>
      <c r="BM204" s="1293"/>
      <c r="BN204" s="1293"/>
      <c r="BO204" s="1293"/>
      <c r="BP204" s="1293"/>
      <c r="BQ204" s="1293"/>
      <c r="BR204" s="1293"/>
      <c r="BS204" s="1293"/>
      <c r="BT204" s="1293"/>
      <c r="BU204" s="1293"/>
      <c r="BV204" s="1293"/>
      <c r="BW204" s="1293"/>
      <c r="BX204" s="1293"/>
      <c r="BY204" s="1293"/>
      <c r="BZ204" s="1293"/>
      <c r="CA204" s="1293"/>
      <c r="CB204" s="1293"/>
      <c r="CC204" s="1293"/>
      <c r="CD204" s="1293"/>
      <c r="CE204" s="1293"/>
      <c r="CF204" s="1293"/>
      <c r="CG204" s="1293"/>
    </row>
    <row r="205" spans="1:85" ht="15.75">
      <c r="A205" s="1293"/>
      <c r="B205" s="1293"/>
      <c r="C205" s="1293"/>
      <c r="D205" s="1293"/>
      <c r="E205" s="1293"/>
      <c r="F205" s="1293"/>
      <c r="G205" s="1293"/>
      <c r="H205" s="1293"/>
      <c r="I205" s="1293"/>
      <c r="J205" s="1293"/>
      <c r="K205" s="1293"/>
      <c r="L205" s="1293"/>
      <c r="M205" s="1293"/>
      <c r="N205" s="1293"/>
      <c r="O205" s="1293"/>
      <c r="P205" s="1293"/>
      <c r="Q205" s="1293"/>
      <c r="R205" s="1293"/>
      <c r="S205" s="1293"/>
      <c r="T205" s="1293"/>
      <c r="U205" s="1293"/>
      <c r="V205" s="1293"/>
      <c r="W205" s="1293"/>
      <c r="X205" s="1293"/>
      <c r="Y205" s="1293"/>
      <c r="Z205" s="1293"/>
      <c r="AA205" s="1293"/>
      <c r="AB205" s="1293"/>
      <c r="AC205" s="1293"/>
      <c r="AD205" s="1293"/>
      <c r="AE205" s="1293"/>
      <c r="AF205" s="1293"/>
      <c r="AG205" s="1293"/>
      <c r="AH205" s="1293"/>
      <c r="AI205" s="1293"/>
      <c r="AJ205" s="1293"/>
      <c r="AK205" s="1293"/>
      <c r="AL205" s="1293"/>
      <c r="AM205" s="1293"/>
      <c r="AN205" s="1293"/>
      <c r="AO205" s="1293"/>
      <c r="AP205" s="1293"/>
      <c r="AQ205" s="1293"/>
      <c r="AR205" s="1293"/>
      <c r="AS205" s="1293"/>
      <c r="AT205" s="1293"/>
      <c r="AU205" s="1293"/>
      <c r="AV205" s="1293"/>
      <c r="AW205" s="1293"/>
      <c r="AX205" s="1293"/>
      <c r="AY205" s="1293"/>
      <c r="AZ205" s="1293"/>
      <c r="BA205" s="1293"/>
      <c r="BB205" s="1293"/>
      <c r="BC205" s="1293"/>
      <c r="BD205" s="1293"/>
      <c r="BE205" s="1293"/>
      <c r="BF205" s="1293"/>
      <c r="BG205" s="1293"/>
      <c r="BH205" s="1293"/>
      <c r="BI205" s="1293"/>
      <c r="BJ205" s="1293"/>
      <c r="BK205" s="1293"/>
      <c r="BL205" s="1293"/>
      <c r="BM205" s="1293"/>
      <c r="BN205" s="1293"/>
      <c r="BO205" s="1293"/>
      <c r="BP205" s="1293"/>
      <c r="BQ205" s="1293"/>
      <c r="BR205" s="1293"/>
      <c r="BS205" s="1293"/>
      <c r="BT205" s="1293"/>
      <c r="BU205" s="1293"/>
      <c r="BV205" s="1293"/>
      <c r="BW205" s="1293"/>
      <c r="BX205" s="1293"/>
      <c r="BY205" s="1293"/>
      <c r="BZ205" s="1293"/>
      <c r="CA205" s="1293"/>
      <c r="CB205" s="1293"/>
      <c r="CC205" s="1293"/>
      <c r="CD205" s="1293"/>
      <c r="CE205" s="1293"/>
      <c r="CF205" s="1293"/>
      <c r="CG205" s="1293"/>
    </row>
    <row r="206" spans="1:85" ht="15.75">
      <c r="A206" s="1293"/>
      <c r="B206" s="1293"/>
      <c r="C206" s="1979" t="s">
        <v>4537</v>
      </c>
      <c r="D206" s="1293"/>
      <c r="E206" s="1293"/>
      <c r="F206" s="1293"/>
      <c r="G206" s="1293"/>
      <c r="H206" s="1293"/>
      <c r="I206" s="1293"/>
      <c r="J206" s="1293"/>
      <c r="K206" s="1293"/>
      <c r="L206" s="1293"/>
      <c r="M206" s="1293"/>
      <c r="N206" s="1293"/>
      <c r="O206" s="1293"/>
      <c r="P206" s="1293"/>
      <c r="Q206" s="1293"/>
      <c r="R206" s="1293"/>
      <c r="S206" s="1293"/>
      <c r="T206" s="1293"/>
      <c r="U206" s="1293"/>
      <c r="V206" s="1293"/>
      <c r="W206" s="1293"/>
      <c r="X206" s="1293"/>
      <c r="Y206" s="1293"/>
      <c r="Z206" s="1293"/>
      <c r="AA206" s="1293"/>
      <c r="AB206" s="1293"/>
      <c r="AC206" s="1293"/>
      <c r="AD206" s="1293"/>
      <c r="AE206" s="1293"/>
      <c r="AF206" s="1293"/>
      <c r="AG206" s="1293"/>
      <c r="AH206" s="1293"/>
      <c r="AI206" s="1293"/>
      <c r="AJ206" s="1293"/>
      <c r="AK206" s="1293"/>
      <c r="AL206" s="1293"/>
      <c r="AM206" s="1293"/>
      <c r="AN206" s="1293"/>
      <c r="AO206" s="1293"/>
      <c r="AP206" s="1293"/>
      <c r="AQ206" s="1293"/>
      <c r="AR206" s="1293"/>
      <c r="AS206" s="1293"/>
      <c r="AT206" s="1293"/>
      <c r="AU206" s="1293"/>
      <c r="AV206" s="1293"/>
      <c r="AW206" s="1293"/>
      <c r="AX206" s="1293"/>
      <c r="AY206" s="1293"/>
      <c r="AZ206" s="1293"/>
      <c r="BA206" s="1293"/>
      <c r="BB206" s="1293"/>
      <c r="BC206" s="1293"/>
      <c r="BD206" s="1293"/>
      <c r="BE206" s="1293"/>
      <c r="BF206" s="1293"/>
      <c r="BG206" s="1293"/>
      <c r="BH206" s="1293"/>
      <c r="BI206" s="1293"/>
      <c r="BJ206" s="1293"/>
      <c r="BK206" s="1293"/>
      <c r="BL206" s="1293"/>
      <c r="BM206" s="1293"/>
      <c r="BN206" s="1293"/>
      <c r="BO206" s="1293"/>
      <c r="BP206" s="1293"/>
      <c r="BQ206" s="1293"/>
      <c r="BR206" s="1293"/>
      <c r="BS206" s="1293"/>
      <c r="BT206" s="1293"/>
      <c r="BU206" s="1293"/>
      <c r="BV206" s="1293"/>
      <c r="BW206" s="1293"/>
      <c r="BX206" s="1293"/>
      <c r="BY206" s="1293"/>
      <c r="BZ206" s="1293"/>
      <c r="CA206" s="1293"/>
      <c r="CB206" s="1293"/>
      <c r="CC206" s="1293"/>
      <c r="CD206" s="1293"/>
      <c r="CE206" s="1293"/>
      <c r="CF206" s="1293"/>
      <c r="CG206" s="1293"/>
    </row>
    <row r="207" spans="1:85" ht="15.75">
      <c r="A207" s="1293"/>
      <c r="B207" s="1293"/>
      <c r="C207" s="1293"/>
      <c r="D207" s="1293"/>
      <c r="E207" s="1293"/>
      <c r="F207" s="1293"/>
      <c r="G207" s="1293"/>
      <c r="H207" s="1293"/>
      <c r="I207" s="1293"/>
      <c r="J207" s="1293"/>
      <c r="K207" s="1293"/>
      <c r="L207" s="1293"/>
      <c r="M207" s="1293"/>
      <c r="N207" s="1293"/>
      <c r="O207" s="1293"/>
      <c r="P207" s="1293"/>
      <c r="Q207" s="1293"/>
      <c r="R207" s="1293"/>
      <c r="S207" s="1293"/>
      <c r="T207" s="1293"/>
      <c r="U207" s="1293"/>
      <c r="V207" s="1293"/>
      <c r="W207" s="1293"/>
      <c r="X207" s="1293"/>
      <c r="Y207" s="1293"/>
      <c r="Z207" s="1293"/>
      <c r="AA207" s="1293"/>
      <c r="AB207" s="1293"/>
      <c r="AC207" s="1293"/>
      <c r="AD207" s="1293"/>
      <c r="AE207" s="1293"/>
      <c r="AF207" s="1293"/>
      <c r="AG207" s="1293"/>
      <c r="AH207" s="1293"/>
      <c r="AI207" s="1293"/>
      <c r="AJ207" s="1293"/>
      <c r="AK207" s="1293"/>
      <c r="AL207" s="1293"/>
      <c r="AM207" s="1293"/>
      <c r="AN207" s="1293"/>
      <c r="AO207" s="1293"/>
      <c r="AP207" s="1293"/>
      <c r="AQ207" s="1293"/>
      <c r="AR207" s="1293"/>
      <c r="AS207" s="1293"/>
      <c r="AT207" s="1293"/>
      <c r="AU207" s="1293"/>
      <c r="AV207" s="1293"/>
      <c r="AW207" s="1293"/>
      <c r="AX207" s="1293"/>
      <c r="AY207" s="1293"/>
      <c r="AZ207" s="1293"/>
      <c r="BA207" s="1293"/>
      <c r="BB207" s="1293"/>
      <c r="BC207" s="1293"/>
      <c r="BD207" s="1293"/>
      <c r="BE207" s="1293"/>
      <c r="BF207" s="1293"/>
      <c r="BG207" s="1293"/>
      <c r="BH207" s="1293"/>
      <c r="BI207" s="1293"/>
      <c r="BJ207" s="1293"/>
      <c r="BK207" s="1293"/>
      <c r="BL207" s="1293"/>
      <c r="BM207" s="1293"/>
      <c r="BN207" s="1293"/>
      <c r="BO207" s="1293"/>
      <c r="BP207" s="1293"/>
      <c r="BQ207" s="1293"/>
      <c r="BR207" s="1293"/>
      <c r="BS207" s="1293"/>
      <c r="BT207" s="1293"/>
      <c r="BU207" s="1293"/>
      <c r="BV207" s="1293"/>
      <c r="BW207" s="1293"/>
      <c r="BX207" s="1293"/>
      <c r="BY207" s="1293"/>
      <c r="BZ207" s="1293"/>
      <c r="CA207" s="1293"/>
      <c r="CB207" s="1293"/>
      <c r="CC207" s="1293"/>
      <c r="CD207" s="1293"/>
      <c r="CE207" s="1293"/>
      <c r="CF207" s="1293"/>
      <c r="CG207" s="1293"/>
    </row>
    <row r="208" spans="1:85" ht="15.75">
      <c r="A208" s="1293"/>
      <c r="B208" s="1293"/>
      <c r="C208" s="1293" t="str">
        <f t="shared" ref="C208:C216" si="177">C184</f>
        <v>El Salvador</v>
      </c>
      <c r="D208" s="1293"/>
      <c r="E208" s="1328">
        <f t="shared" ref="E208:N208" si="178">E184/D184-1</f>
        <v>1.2275354350746115E-2</v>
      </c>
      <c r="F208" s="1328">
        <f t="shared" si="178"/>
        <v>-4.7798241555723875E-2</v>
      </c>
      <c r="G208" s="1328">
        <f t="shared" si="178"/>
        <v>-2.5687427128954221E-3</v>
      </c>
      <c r="H208" s="1328">
        <f t="shared" si="178"/>
        <v>-7.0175438596491224E-2</v>
      </c>
      <c r="I208" s="1328">
        <f t="shared" si="178"/>
        <v>-6.1994609164420456E-2</v>
      </c>
      <c r="J208" s="1328">
        <f t="shared" si="178"/>
        <v>-2.8735632183908288E-3</v>
      </c>
      <c r="K208" s="1328">
        <f t="shared" si="178"/>
        <v>0.14697406340057628</v>
      </c>
      <c r="L208" s="1328">
        <f t="shared" si="178"/>
        <v>7.7889447236180853E-2</v>
      </c>
      <c r="M208" s="1328">
        <f t="shared" si="178"/>
        <v>3.2634032634032639E-2</v>
      </c>
      <c r="N208" s="1328">
        <f t="shared" si="178"/>
        <v>1.1286681715575675E-2</v>
      </c>
      <c r="O208" s="2000">
        <v>0.02</v>
      </c>
      <c r="P208" s="2000">
        <v>0.02</v>
      </c>
      <c r="Q208" s="2000">
        <v>0.02</v>
      </c>
      <c r="R208" s="2000">
        <v>0.02</v>
      </c>
      <c r="S208" s="2000">
        <v>0.02</v>
      </c>
      <c r="T208" s="2000">
        <v>0.02</v>
      </c>
      <c r="U208" s="1293"/>
      <c r="V208" s="1293"/>
      <c r="W208" s="1293"/>
      <c r="X208" s="1293"/>
      <c r="Y208" s="1293"/>
      <c r="Z208" s="1293"/>
      <c r="AA208" s="1293"/>
      <c r="AB208" s="1293"/>
      <c r="AC208" s="1293"/>
      <c r="AD208" s="1293"/>
      <c r="AE208" s="1293"/>
      <c r="AF208" s="1293"/>
      <c r="AG208" s="1293"/>
      <c r="AH208" s="1293"/>
      <c r="AI208" s="1293"/>
      <c r="AJ208" s="1293"/>
      <c r="AK208" s="1293"/>
      <c r="AL208" s="1293"/>
      <c r="AM208" s="1293"/>
      <c r="AN208" s="1293"/>
      <c r="AO208" s="1293"/>
      <c r="AP208" s="1293"/>
      <c r="AQ208" s="1293"/>
      <c r="AR208" s="1293"/>
      <c r="AS208" s="1293"/>
      <c r="AT208" s="1293"/>
      <c r="AU208" s="1293"/>
      <c r="AV208" s="1293"/>
      <c r="AW208" s="1293"/>
      <c r="AX208" s="1293"/>
      <c r="AY208" s="1293"/>
      <c r="AZ208" s="1293"/>
      <c r="BA208" s="1293"/>
      <c r="BB208" s="1293"/>
      <c r="BC208" s="1293"/>
      <c r="BD208" s="1293"/>
      <c r="BE208" s="1293"/>
      <c r="BF208" s="1293"/>
      <c r="BG208" s="1293"/>
      <c r="BH208" s="1293"/>
      <c r="BI208" s="1293"/>
      <c r="BJ208" s="1293"/>
      <c r="BK208" s="1293"/>
      <c r="BL208" s="1293"/>
      <c r="BM208" s="1293"/>
      <c r="BN208" s="1293"/>
      <c r="BO208" s="1293"/>
      <c r="BP208" s="1293"/>
      <c r="BQ208" s="1293"/>
      <c r="BR208" s="1293"/>
      <c r="BS208" s="1293"/>
      <c r="BT208" s="1293"/>
      <c r="BU208" s="1293"/>
      <c r="BV208" s="1293"/>
      <c r="BW208" s="1293"/>
      <c r="BX208" s="1293"/>
      <c r="BY208" s="1293"/>
      <c r="BZ208" s="1293"/>
      <c r="CA208" s="1293"/>
      <c r="CB208" s="1293"/>
      <c r="CC208" s="1293"/>
      <c r="CD208" s="1293"/>
      <c r="CE208" s="1293"/>
      <c r="CF208" s="1293"/>
      <c r="CG208" s="1293"/>
    </row>
    <row r="209" spans="1:85" ht="15.75">
      <c r="A209" s="1293"/>
      <c r="B209" s="1293"/>
      <c r="C209" s="1293" t="str">
        <f t="shared" si="177"/>
        <v>Guatemala</v>
      </c>
      <c r="D209" s="1293"/>
      <c r="E209" s="1328">
        <f t="shared" ref="E209:N209" si="179">E185/D185-1</f>
        <v>3.0284507538059557E-2</v>
      </c>
      <c r="F209" s="1328">
        <f t="shared" si="179"/>
        <v>-1.7949443498472051E-2</v>
      </c>
      <c r="G209" s="1328">
        <f t="shared" si="179"/>
        <v>1.5126637132714116E-3</v>
      </c>
      <c r="H209" s="1328">
        <f t="shared" si="179"/>
        <v>3.8106940352804708E-2</v>
      </c>
      <c r="I209" s="1328">
        <f t="shared" si="179"/>
        <v>5.2070969227771435E-2</v>
      </c>
      <c r="J209" s="1328">
        <f t="shared" si="179"/>
        <v>3.0794165316045286E-2</v>
      </c>
      <c r="K209" s="1328">
        <f t="shared" si="179"/>
        <v>7.7525518649982139E-2</v>
      </c>
      <c r="L209" s="1328">
        <f t="shared" si="179"/>
        <v>8.4599643048335338E-3</v>
      </c>
      <c r="M209" s="1328">
        <f t="shared" si="179"/>
        <v>-1.3905853612703134E-2</v>
      </c>
      <c r="N209" s="1328">
        <f t="shared" si="179"/>
        <v>2.8394473558837507E-2</v>
      </c>
      <c r="O209" s="2000">
        <v>2.5999999999999999E-2</v>
      </c>
      <c r="P209" s="2000">
        <v>2.5000000000000001E-2</v>
      </c>
      <c r="Q209" s="2000">
        <v>2.5000000000000001E-2</v>
      </c>
      <c r="R209" s="2000">
        <v>2.5000000000000001E-2</v>
      </c>
      <c r="S209" s="2000">
        <v>0.02</v>
      </c>
      <c r="T209" s="2000">
        <v>0.02</v>
      </c>
      <c r="U209" s="1293"/>
      <c r="V209" s="1293"/>
      <c r="W209" s="1293"/>
      <c r="X209" s="1293"/>
      <c r="Y209" s="1293"/>
      <c r="Z209" s="1293"/>
      <c r="AA209" s="1293"/>
      <c r="AB209" s="1293"/>
      <c r="AC209" s="1293"/>
      <c r="AD209" s="1293"/>
      <c r="AE209" s="1293"/>
      <c r="AF209" s="1293"/>
      <c r="AG209" s="1293"/>
      <c r="AH209" s="1293"/>
      <c r="AI209" s="1293"/>
      <c r="AJ209" s="1293"/>
      <c r="AK209" s="1293"/>
      <c r="AL209" s="1293"/>
      <c r="AM209" s="1293"/>
      <c r="AN209" s="1293"/>
      <c r="AO209" s="1293"/>
      <c r="AP209" s="1293"/>
      <c r="AQ209" s="1293"/>
      <c r="AR209" s="1293"/>
      <c r="AS209" s="1293"/>
      <c r="AT209" s="1293"/>
      <c r="AU209" s="1293"/>
      <c r="AV209" s="1293"/>
      <c r="AW209" s="1293"/>
      <c r="AX209" s="1293"/>
      <c r="AY209" s="1293"/>
      <c r="AZ209" s="1293"/>
      <c r="BA209" s="1293"/>
      <c r="BB209" s="1293"/>
      <c r="BC209" s="1293"/>
      <c r="BD209" s="1293"/>
      <c r="BE209" s="1293"/>
      <c r="BF209" s="1293"/>
      <c r="BG209" s="1293"/>
      <c r="BH209" s="1293"/>
      <c r="BI209" s="1293"/>
      <c r="BJ209" s="1293"/>
      <c r="BK209" s="1293"/>
      <c r="BL209" s="1293"/>
      <c r="BM209" s="1293"/>
      <c r="BN209" s="1293"/>
      <c r="BO209" s="1293"/>
      <c r="BP209" s="1293"/>
      <c r="BQ209" s="1293"/>
      <c r="BR209" s="1293"/>
      <c r="BS209" s="1293"/>
      <c r="BT209" s="1293"/>
      <c r="BU209" s="1293"/>
      <c r="BV209" s="1293"/>
      <c r="BW209" s="1293"/>
      <c r="BX209" s="1293"/>
      <c r="BY209" s="1293"/>
      <c r="BZ209" s="1293"/>
      <c r="CA209" s="1293"/>
      <c r="CB209" s="1293"/>
      <c r="CC209" s="1293"/>
      <c r="CD209" s="1293"/>
      <c r="CE209" s="1293"/>
      <c r="CF209" s="1293"/>
      <c r="CG209" s="1293"/>
    </row>
    <row r="210" spans="1:85" ht="15.75">
      <c r="A210" s="1293"/>
      <c r="B210" s="1293"/>
      <c r="C210" s="1293" t="str">
        <f t="shared" si="177"/>
        <v>Honduras (JV)</v>
      </c>
      <c r="D210" s="1293"/>
      <c r="E210" s="1328">
        <f t="shared" ref="E210:N210" si="180">E186/D186-1</f>
        <v>6.5970797359257372E-2</v>
      </c>
      <c r="F210" s="1328">
        <f t="shared" si="180"/>
        <v>-1.2694399343955109E-2</v>
      </c>
      <c r="G210" s="1328">
        <f t="shared" si="180"/>
        <v>-7.9076047872866928E-3</v>
      </c>
      <c r="H210" s="1328">
        <f t="shared" si="180"/>
        <v>-6.0461109916855049E-3</v>
      </c>
      <c r="I210" s="1328">
        <f t="shared" si="180"/>
        <v>2.3751548323575733E-2</v>
      </c>
      <c r="J210" s="1328">
        <f t="shared" si="180"/>
        <v>-5.7422512957903127E-2</v>
      </c>
      <c r="K210" s="1328">
        <f t="shared" si="180"/>
        <v>3.3980440436983672E-2</v>
      </c>
      <c r="L210" s="1328">
        <f t="shared" si="180"/>
        <v>2.2108532960467997E-2</v>
      </c>
      <c r="M210" s="1328">
        <f t="shared" si="180"/>
        <v>4.6418508082455956E-2</v>
      </c>
      <c r="N210" s="1328">
        <f t="shared" si="180"/>
        <v>2.8202947845805015E-2</v>
      </c>
      <c r="O210" s="2000">
        <v>2.5000000000000001E-2</v>
      </c>
      <c r="P210" s="2000">
        <v>0.03</v>
      </c>
      <c r="Q210" s="2000">
        <v>0.03</v>
      </c>
      <c r="R210" s="2000">
        <v>0.03</v>
      </c>
      <c r="S210" s="2000">
        <v>2.5000000000000001E-2</v>
      </c>
      <c r="T210" s="2000">
        <v>2.5000000000000001E-2</v>
      </c>
      <c r="U210" s="1293"/>
      <c r="V210" s="1293"/>
      <c r="W210" s="1293"/>
      <c r="X210" s="1293"/>
      <c r="Y210" s="1293"/>
      <c r="Z210" s="1293"/>
      <c r="AA210" s="1293"/>
      <c r="AB210" s="1293"/>
      <c r="AC210" s="1293"/>
      <c r="AD210" s="1293"/>
      <c r="AE210" s="1293"/>
      <c r="AF210" s="1293"/>
      <c r="AG210" s="1293"/>
      <c r="AH210" s="1293"/>
      <c r="AI210" s="1293"/>
      <c r="AJ210" s="1293"/>
      <c r="AK210" s="1293"/>
      <c r="AL210" s="1293"/>
      <c r="AM210" s="1293"/>
      <c r="AN210" s="1293"/>
      <c r="AO210" s="1293"/>
      <c r="AP210" s="1293"/>
      <c r="AQ210" s="1293"/>
      <c r="AR210" s="1293"/>
      <c r="AS210" s="1293"/>
      <c r="AT210" s="1293"/>
      <c r="AU210" s="1293"/>
      <c r="AV210" s="1293"/>
      <c r="AW210" s="1293"/>
      <c r="AX210" s="1293"/>
      <c r="AY210" s="1293"/>
      <c r="AZ210" s="1293"/>
      <c r="BA210" s="1293"/>
      <c r="BB210" s="1293"/>
      <c r="BC210" s="1293"/>
      <c r="BD210" s="1293"/>
      <c r="BE210" s="1293"/>
      <c r="BF210" s="1293"/>
      <c r="BG210" s="1293"/>
      <c r="BH210" s="1293"/>
      <c r="BI210" s="1293"/>
      <c r="BJ210" s="1293"/>
      <c r="BK210" s="1293"/>
      <c r="BL210" s="1293"/>
      <c r="BM210" s="1293"/>
      <c r="BN210" s="1293"/>
      <c r="BO210" s="1293"/>
      <c r="BP210" s="1293"/>
      <c r="BQ210" s="1293"/>
      <c r="BR210" s="1293"/>
      <c r="BS210" s="1293"/>
      <c r="BT210" s="1293"/>
      <c r="BU210" s="1293"/>
      <c r="BV210" s="1293"/>
      <c r="BW210" s="1293"/>
      <c r="BX210" s="1293"/>
      <c r="BY210" s="1293"/>
      <c r="BZ210" s="1293"/>
      <c r="CA210" s="1293"/>
      <c r="CB210" s="1293"/>
      <c r="CC210" s="1293"/>
      <c r="CD210" s="1293"/>
      <c r="CE210" s="1293"/>
      <c r="CF210" s="1293"/>
      <c r="CG210" s="1293"/>
    </row>
    <row r="211" spans="1:85" ht="15.75">
      <c r="A211" s="1293"/>
      <c r="B211" s="1293"/>
      <c r="C211" s="1293" t="str">
        <f t="shared" si="177"/>
        <v>Panama</v>
      </c>
      <c r="D211" s="1293"/>
      <c r="E211" s="1328"/>
      <c r="F211" s="1328"/>
      <c r="G211" s="1328"/>
      <c r="H211" s="1328"/>
      <c r="I211" s="1328"/>
      <c r="J211" s="1328"/>
      <c r="K211" s="1328"/>
      <c r="L211" s="2001">
        <v>2.7E-2</v>
      </c>
      <c r="M211" s="1328">
        <f t="shared" ref="M211:N216" si="181">M187/L187-1</f>
        <v>7.2383841875992339E-2</v>
      </c>
      <c r="N211" s="1328">
        <f t="shared" si="181"/>
        <v>4.5742885288279966E-2</v>
      </c>
      <c r="O211" s="2000">
        <v>4.4999999999999998E-2</v>
      </c>
      <c r="P211" s="2000">
        <v>4.2500000000000003E-2</v>
      </c>
      <c r="Q211" s="2000">
        <v>0.04</v>
      </c>
      <c r="R211" s="2000">
        <v>3.7499999999999999E-2</v>
      </c>
      <c r="S211" s="2000">
        <v>3.5000000000000003E-2</v>
      </c>
      <c r="T211" s="2000">
        <v>0.03</v>
      </c>
      <c r="U211" s="1293"/>
      <c r="V211" s="1293"/>
      <c r="W211" s="1293"/>
      <c r="X211" s="1293"/>
      <c r="Y211" s="1293"/>
      <c r="Z211" s="1293"/>
      <c r="AA211" s="1293"/>
      <c r="AB211" s="1293"/>
      <c r="AC211" s="1293"/>
      <c r="AD211" s="1293"/>
      <c r="AE211" s="1293"/>
      <c r="AF211" s="1293"/>
      <c r="AG211" s="1293"/>
      <c r="AH211" s="1293"/>
      <c r="AI211" s="1293"/>
      <c r="AJ211" s="1293"/>
      <c r="AK211" s="1293"/>
      <c r="AL211" s="1293"/>
      <c r="AM211" s="1293"/>
      <c r="AN211" s="1293"/>
      <c r="AO211" s="1293"/>
      <c r="AP211" s="1293"/>
      <c r="AQ211" s="1293"/>
      <c r="AR211" s="1293"/>
      <c r="AS211" s="1293"/>
      <c r="AT211" s="1293"/>
      <c r="AU211" s="1293"/>
      <c r="AV211" s="1293"/>
      <c r="AW211" s="1293"/>
      <c r="AX211" s="1293"/>
      <c r="AY211" s="1293"/>
      <c r="AZ211" s="1293"/>
      <c r="BA211" s="1293"/>
      <c r="BB211" s="1293"/>
      <c r="BC211" s="1293"/>
      <c r="BD211" s="1293"/>
      <c r="BE211" s="1293"/>
      <c r="BF211" s="1293"/>
      <c r="BG211" s="1293"/>
      <c r="BH211" s="1293"/>
      <c r="BI211" s="1293"/>
      <c r="BJ211" s="1293"/>
      <c r="BK211" s="1293"/>
      <c r="BL211" s="1293"/>
      <c r="BM211" s="1293"/>
      <c r="BN211" s="1293"/>
      <c r="BO211" s="1293"/>
      <c r="BP211" s="1293"/>
      <c r="BQ211" s="1293"/>
      <c r="BR211" s="1293"/>
      <c r="BS211" s="1293"/>
      <c r="BT211" s="1293"/>
      <c r="BU211" s="1293"/>
      <c r="BV211" s="1293"/>
      <c r="BW211" s="1293"/>
      <c r="BX211" s="1293"/>
      <c r="BY211" s="1293"/>
      <c r="BZ211" s="1293"/>
      <c r="CA211" s="1293"/>
      <c r="CB211" s="1293"/>
      <c r="CC211" s="1293"/>
      <c r="CD211" s="1293"/>
      <c r="CE211" s="1293"/>
      <c r="CF211" s="1293"/>
      <c r="CG211" s="1293"/>
    </row>
    <row r="212" spans="1:85" ht="15.75">
      <c r="A212" s="1293"/>
      <c r="B212" s="1293"/>
      <c r="C212" s="1293" t="str">
        <f t="shared" si="177"/>
        <v>Costa Rica</v>
      </c>
      <c r="D212" s="1293"/>
      <c r="E212" s="1328"/>
      <c r="F212" s="1328"/>
      <c r="G212" s="1328"/>
      <c r="H212" s="1328"/>
      <c r="I212" s="1328"/>
      <c r="J212" s="1328"/>
      <c r="K212" s="1328"/>
      <c r="L212" s="2001">
        <v>2.8000000000000001E-2</v>
      </c>
      <c r="M212" s="1328">
        <f t="shared" si="181"/>
        <v>-3.111926441307411E-2</v>
      </c>
      <c r="N212" s="1328">
        <f t="shared" si="181"/>
        <v>-9.2200055417013038E-2</v>
      </c>
      <c r="O212" s="2000">
        <v>-4.7500000000000001E-2</v>
      </c>
      <c r="P212" s="2000">
        <v>-2.5000000000000001E-2</v>
      </c>
      <c r="Q212" s="2000">
        <v>-0.01</v>
      </c>
      <c r="R212" s="2000">
        <v>0</v>
      </c>
      <c r="S212" s="2000">
        <v>0.01</v>
      </c>
      <c r="T212" s="2000">
        <v>0.01</v>
      </c>
      <c r="U212" s="1293"/>
      <c r="V212" s="1293"/>
      <c r="W212" s="1293"/>
      <c r="X212" s="1293"/>
      <c r="Y212" s="1293"/>
      <c r="Z212" s="1293"/>
      <c r="AA212" s="1293"/>
      <c r="AB212" s="1293"/>
      <c r="AC212" s="1293"/>
      <c r="AD212" s="1293"/>
      <c r="AE212" s="1293"/>
      <c r="AF212" s="1293"/>
      <c r="AG212" s="1293"/>
      <c r="AH212" s="1293"/>
      <c r="AI212" s="1293"/>
      <c r="AJ212" s="1293"/>
      <c r="AK212" s="1293"/>
      <c r="AL212" s="1293"/>
      <c r="AM212" s="1293"/>
      <c r="AN212" s="1293"/>
      <c r="AO212" s="1293"/>
      <c r="AP212" s="1293"/>
      <c r="AQ212" s="1293"/>
      <c r="AR212" s="1293"/>
      <c r="AS212" s="1293"/>
      <c r="AT212" s="1293"/>
      <c r="AU212" s="1293"/>
      <c r="AV212" s="1293"/>
      <c r="AW212" s="1293"/>
      <c r="AX212" s="1293"/>
      <c r="AY212" s="1293"/>
      <c r="AZ212" s="1293"/>
      <c r="BA212" s="1293"/>
      <c r="BB212" s="1293"/>
      <c r="BC212" s="1293"/>
      <c r="BD212" s="1293"/>
      <c r="BE212" s="1293"/>
      <c r="BF212" s="1293"/>
      <c r="BG212" s="1293"/>
      <c r="BH212" s="1293"/>
      <c r="BI212" s="1293"/>
      <c r="BJ212" s="1293"/>
      <c r="BK212" s="1293"/>
      <c r="BL212" s="1293"/>
      <c r="BM212" s="1293"/>
      <c r="BN212" s="1293"/>
      <c r="BO212" s="1293"/>
      <c r="BP212" s="1293"/>
      <c r="BQ212" s="1293"/>
      <c r="BR212" s="1293"/>
      <c r="BS212" s="1293"/>
      <c r="BT212" s="1293"/>
      <c r="BU212" s="1293"/>
      <c r="BV212" s="1293"/>
      <c r="BW212" s="1293"/>
      <c r="BX212" s="1293"/>
      <c r="BY212" s="1293"/>
      <c r="BZ212" s="1293"/>
      <c r="CA212" s="1293"/>
      <c r="CB212" s="1293"/>
      <c r="CC212" s="1293"/>
      <c r="CD212" s="1293"/>
      <c r="CE212" s="1293"/>
      <c r="CF212" s="1293"/>
      <c r="CG212" s="1293"/>
    </row>
    <row r="213" spans="1:85" ht="15.75">
      <c r="A213" s="1293"/>
      <c r="B213" s="1293"/>
      <c r="C213" s="1293" t="str">
        <f t="shared" si="177"/>
        <v>Nicaragua</v>
      </c>
      <c r="D213" s="1293"/>
      <c r="E213" s="1328"/>
      <c r="F213" s="1328"/>
      <c r="G213" s="1328"/>
      <c r="H213" s="1328"/>
      <c r="I213" s="1328"/>
      <c r="J213" s="1328"/>
      <c r="K213" s="1328"/>
      <c r="L213" s="2001">
        <v>6.7000000000000004E-2</v>
      </c>
      <c r="M213" s="1328">
        <f t="shared" si="181"/>
        <v>6.4323424684851638E-2</v>
      </c>
      <c r="N213" s="1328">
        <f t="shared" si="181"/>
        <v>5.6063291728319475E-2</v>
      </c>
      <c r="O213" s="2000">
        <v>3.2500000000000001E-2</v>
      </c>
      <c r="P213" s="2000">
        <v>0.03</v>
      </c>
      <c r="Q213" s="2000">
        <v>0.04</v>
      </c>
      <c r="R213" s="2000">
        <v>3.5000000000000003E-2</v>
      </c>
      <c r="S213" s="2000">
        <v>0.03</v>
      </c>
      <c r="T213" s="2000">
        <v>2.5000000000000001E-2</v>
      </c>
      <c r="U213" s="1293"/>
      <c r="V213" s="1293"/>
      <c r="W213" s="1293"/>
      <c r="X213" s="1293"/>
      <c r="Y213" s="1293"/>
      <c r="Z213" s="1293"/>
      <c r="AA213" s="1293"/>
      <c r="AB213" s="1293"/>
      <c r="AC213" s="1293"/>
      <c r="AD213" s="1293"/>
      <c r="AE213" s="1293"/>
      <c r="AF213" s="1293"/>
      <c r="AG213" s="1293"/>
      <c r="AH213" s="1293"/>
      <c r="AI213" s="1293"/>
      <c r="AJ213" s="1293"/>
      <c r="AK213" s="1293"/>
      <c r="AL213" s="1293"/>
      <c r="AM213" s="1293"/>
      <c r="AN213" s="1293"/>
      <c r="AO213" s="1293"/>
      <c r="AP213" s="1293"/>
      <c r="AQ213" s="1293"/>
      <c r="AR213" s="1293"/>
      <c r="AS213" s="1293"/>
      <c r="AT213" s="1293"/>
      <c r="AU213" s="1293"/>
      <c r="AV213" s="1293"/>
      <c r="AW213" s="1293"/>
      <c r="AX213" s="1293"/>
      <c r="AY213" s="1293"/>
      <c r="AZ213" s="1293"/>
      <c r="BA213" s="1293"/>
      <c r="BB213" s="1293"/>
      <c r="BC213" s="1293"/>
      <c r="BD213" s="1293"/>
      <c r="BE213" s="1293"/>
      <c r="BF213" s="1293"/>
      <c r="BG213" s="1293"/>
      <c r="BH213" s="1293"/>
      <c r="BI213" s="1293"/>
      <c r="BJ213" s="1293"/>
      <c r="BK213" s="1293"/>
      <c r="BL213" s="1293"/>
      <c r="BM213" s="1293"/>
      <c r="BN213" s="1293"/>
      <c r="BO213" s="1293"/>
      <c r="BP213" s="1293"/>
      <c r="BQ213" s="1293"/>
      <c r="BR213" s="1293"/>
      <c r="BS213" s="1293"/>
      <c r="BT213" s="1293"/>
      <c r="BU213" s="1293"/>
      <c r="BV213" s="1293"/>
      <c r="BW213" s="1293"/>
      <c r="BX213" s="1293"/>
      <c r="BY213" s="1293"/>
      <c r="BZ213" s="1293"/>
      <c r="CA213" s="1293"/>
      <c r="CB213" s="1293"/>
      <c r="CC213" s="1293"/>
      <c r="CD213" s="1293"/>
      <c r="CE213" s="1293"/>
      <c r="CF213" s="1293"/>
      <c r="CG213" s="1293"/>
    </row>
    <row r="214" spans="1:85" ht="15.75">
      <c r="A214" s="1293"/>
      <c r="B214" s="1293"/>
      <c r="C214" s="1293" t="str">
        <f t="shared" si="177"/>
        <v>Bolivia</v>
      </c>
      <c r="D214" s="1293"/>
      <c r="E214" s="1328">
        <f t="shared" ref="E214:L216" si="182">E190/D190-1</f>
        <v>7.6061940336776823E-2</v>
      </c>
      <c r="F214" s="1328">
        <f t="shared" si="182"/>
        <v>2.6565490113901635E-2</v>
      </c>
      <c r="G214" s="1328">
        <f t="shared" si="182"/>
        <v>4.6700511414691226E-2</v>
      </c>
      <c r="H214" s="1328">
        <f t="shared" si="182"/>
        <v>8.5857986761880056E-2</v>
      </c>
      <c r="I214" s="1328">
        <f t="shared" si="182"/>
        <v>4.6740951132473896E-2</v>
      </c>
      <c r="J214" s="1328">
        <f t="shared" si="182"/>
        <v>-7.6923076923076983E-2</v>
      </c>
      <c r="K214" s="1328">
        <f t="shared" si="182"/>
        <v>6.0890217431036397E-2</v>
      </c>
      <c r="L214" s="1328">
        <f t="shared" si="182"/>
        <v>-4.6211364413675238E-3</v>
      </c>
      <c r="M214" s="1328">
        <f t="shared" si="181"/>
        <v>-1.1182488698548654E-2</v>
      </c>
      <c r="N214" s="1328">
        <f t="shared" si="181"/>
        <v>1.0105871029836289E-2</v>
      </c>
      <c r="O214" s="2000">
        <v>0.02</v>
      </c>
      <c r="P214" s="2000">
        <v>2.2499999999999999E-2</v>
      </c>
      <c r="Q214" s="2000">
        <v>2.5000000000000001E-2</v>
      </c>
      <c r="R214" s="2000">
        <v>2.5000000000000001E-2</v>
      </c>
      <c r="S214" s="2000">
        <v>0.02</v>
      </c>
      <c r="T214" s="2000">
        <v>0.02</v>
      </c>
      <c r="U214" s="1293"/>
      <c r="V214" s="1293"/>
      <c r="W214" s="1293"/>
      <c r="X214" s="1293"/>
      <c r="Y214" s="1293"/>
      <c r="Z214" s="1293"/>
      <c r="AA214" s="1293"/>
      <c r="AB214" s="1293"/>
      <c r="AC214" s="1293"/>
      <c r="AD214" s="1293"/>
      <c r="AE214" s="1293"/>
      <c r="AF214" s="1293"/>
      <c r="AG214" s="1293"/>
      <c r="AH214" s="1293"/>
      <c r="AI214" s="1293"/>
      <c r="AJ214" s="1293"/>
      <c r="AK214" s="1293"/>
      <c r="AL214" s="1293"/>
      <c r="AM214" s="1293"/>
      <c r="AN214" s="1293"/>
      <c r="AO214" s="1293"/>
      <c r="AP214" s="1293"/>
      <c r="AQ214" s="1293"/>
      <c r="AR214" s="1293"/>
      <c r="AS214" s="1293"/>
      <c r="AT214" s="1293"/>
      <c r="AU214" s="1293"/>
      <c r="AV214" s="1293"/>
      <c r="AW214" s="1293"/>
      <c r="AX214" s="1293"/>
      <c r="AY214" s="1293"/>
      <c r="AZ214" s="1293"/>
      <c r="BA214" s="1293"/>
      <c r="BB214" s="1293"/>
      <c r="BC214" s="1293"/>
      <c r="BD214" s="1293"/>
      <c r="BE214" s="1293"/>
      <c r="BF214" s="1293"/>
      <c r="BG214" s="1293"/>
      <c r="BH214" s="1293"/>
      <c r="BI214" s="1293"/>
      <c r="BJ214" s="1293"/>
      <c r="BK214" s="1293"/>
      <c r="BL214" s="1293"/>
      <c r="BM214" s="1293"/>
      <c r="BN214" s="1293"/>
      <c r="BO214" s="1293"/>
      <c r="BP214" s="1293"/>
      <c r="BQ214" s="1293"/>
      <c r="BR214" s="1293"/>
      <c r="BS214" s="1293"/>
      <c r="BT214" s="1293"/>
      <c r="BU214" s="1293"/>
      <c r="BV214" s="1293"/>
      <c r="BW214" s="1293"/>
      <c r="BX214" s="1293"/>
      <c r="BY214" s="1293"/>
      <c r="BZ214" s="1293"/>
      <c r="CA214" s="1293"/>
      <c r="CB214" s="1293"/>
      <c r="CC214" s="1293"/>
      <c r="CD214" s="1293"/>
      <c r="CE214" s="1293"/>
      <c r="CF214" s="1293"/>
      <c r="CG214" s="1293"/>
    </row>
    <row r="215" spans="1:85" ht="15.75">
      <c r="A215" s="1293"/>
      <c r="B215" s="1293"/>
      <c r="C215" s="1293" t="str">
        <f t="shared" si="177"/>
        <v>Colombia</v>
      </c>
      <c r="D215" s="1293"/>
      <c r="E215" s="1328">
        <f t="shared" si="182"/>
        <v>0.64418709028083643</v>
      </c>
      <c r="F215" s="1328">
        <f t="shared" si="182"/>
        <v>-1.7763301568747836E-2</v>
      </c>
      <c r="G215" s="1328">
        <f t="shared" si="182"/>
        <v>-2.4958035702251635E-3</v>
      </c>
      <c r="H215" s="1328">
        <f t="shared" si="182"/>
        <v>-5.1552623553350219E-2</v>
      </c>
      <c r="I215" s="1328">
        <f t="shared" si="182"/>
        <v>3.2964080396064022E-2</v>
      </c>
      <c r="J215" s="1328">
        <f t="shared" si="182"/>
        <v>7.175866605162895E-3</v>
      </c>
      <c r="K215" s="1328">
        <f t="shared" si="182"/>
        <v>4.7736966175639051E-2</v>
      </c>
      <c r="L215" s="1328">
        <f t="shared" si="182"/>
        <v>6.893192597825748E-2</v>
      </c>
      <c r="M215" s="1328">
        <f t="shared" si="181"/>
        <v>2.972358954941301E-2</v>
      </c>
      <c r="N215" s="1328">
        <f t="shared" si="181"/>
        <v>4.5964331678618464E-3</v>
      </c>
      <c r="O215" s="2000">
        <v>2.2499999999999999E-2</v>
      </c>
      <c r="P215" s="2000">
        <v>2.5000000000000001E-2</v>
      </c>
      <c r="Q215" s="2000">
        <v>0.03</v>
      </c>
      <c r="R215" s="2000">
        <v>3.5000000000000003E-2</v>
      </c>
      <c r="S215" s="2000">
        <v>0.03</v>
      </c>
      <c r="T215" s="2000">
        <v>2.5000000000000001E-2</v>
      </c>
      <c r="U215" s="1293"/>
      <c r="V215" s="1293"/>
      <c r="W215" s="1293"/>
      <c r="X215" s="1293"/>
      <c r="Y215" s="1293"/>
      <c r="Z215" s="1293"/>
      <c r="AA215" s="1293"/>
      <c r="AB215" s="1293"/>
      <c r="AC215" s="1293"/>
      <c r="AD215" s="1293"/>
      <c r="AE215" s="1293"/>
      <c r="AF215" s="1293"/>
      <c r="AG215" s="1293"/>
      <c r="AH215" s="1293"/>
      <c r="AI215" s="1293"/>
      <c r="AJ215" s="1293"/>
      <c r="AK215" s="1293"/>
      <c r="AL215" s="1293"/>
      <c r="AM215" s="1293"/>
      <c r="AN215" s="1293"/>
      <c r="AO215" s="1293"/>
      <c r="AP215" s="1293"/>
      <c r="AQ215" s="1293"/>
      <c r="AR215" s="1293"/>
      <c r="AS215" s="1293"/>
      <c r="AT215" s="1293"/>
      <c r="AU215" s="1293"/>
      <c r="AV215" s="1293"/>
      <c r="AW215" s="1293"/>
      <c r="AX215" s="1293"/>
      <c r="AY215" s="1293"/>
      <c r="AZ215" s="1293"/>
      <c r="BA215" s="1293"/>
      <c r="BB215" s="1293"/>
      <c r="BC215" s="1293"/>
      <c r="BD215" s="1293"/>
      <c r="BE215" s="1293"/>
      <c r="BF215" s="1293"/>
      <c r="BG215" s="1293"/>
      <c r="BH215" s="1293"/>
      <c r="BI215" s="1293"/>
      <c r="BJ215" s="1293"/>
      <c r="BK215" s="1293"/>
      <c r="BL215" s="1293"/>
      <c r="BM215" s="1293"/>
      <c r="BN215" s="1293"/>
      <c r="BO215" s="1293"/>
      <c r="BP215" s="1293"/>
      <c r="BQ215" s="1293"/>
      <c r="BR215" s="1293"/>
      <c r="BS215" s="1293"/>
      <c r="BT215" s="1293"/>
      <c r="BU215" s="1293"/>
      <c r="BV215" s="1293"/>
      <c r="BW215" s="1293"/>
      <c r="BX215" s="1293"/>
      <c r="BY215" s="1293"/>
      <c r="BZ215" s="1293"/>
      <c r="CA215" s="1293"/>
      <c r="CB215" s="1293"/>
      <c r="CC215" s="1293"/>
      <c r="CD215" s="1293"/>
      <c r="CE215" s="1293"/>
      <c r="CF215" s="1293"/>
      <c r="CG215" s="1293"/>
    </row>
    <row r="216" spans="1:85" ht="15.75">
      <c r="A216" s="1293"/>
      <c r="B216" s="1293"/>
      <c r="C216" s="1293" t="str">
        <f t="shared" si="177"/>
        <v>Paraguay</v>
      </c>
      <c r="D216" s="1293"/>
      <c r="E216" s="1328">
        <f t="shared" si="182"/>
        <v>3.9096211209515008E-3</v>
      </c>
      <c r="F216" s="1328">
        <f t="shared" si="182"/>
        <v>4.2842727191498842E-2</v>
      </c>
      <c r="G216" s="1328">
        <f t="shared" si="182"/>
        <v>5.8079113579766029E-2</v>
      </c>
      <c r="H216" s="1328">
        <f t="shared" si="182"/>
        <v>3.1151781651642452E-2</v>
      </c>
      <c r="I216" s="1328">
        <f t="shared" si="182"/>
        <v>-2.1779125121116794E-2</v>
      </c>
      <c r="J216" s="1328">
        <f t="shared" si="182"/>
        <v>-1.4088936500196714E-2</v>
      </c>
      <c r="K216" s="1328">
        <f t="shared" si="182"/>
        <v>2.2093170193707934E-2</v>
      </c>
      <c r="L216" s="1328">
        <f t="shared" si="182"/>
        <v>4.3394829836133963E-2</v>
      </c>
      <c r="M216" s="1328">
        <f t="shared" si="181"/>
        <v>7.0061977903530082E-2</v>
      </c>
      <c r="N216" s="1328">
        <f t="shared" si="181"/>
        <v>2.9715436917652882E-2</v>
      </c>
      <c r="O216" s="2000">
        <v>0.02</v>
      </c>
      <c r="P216" s="2000">
        <v>0.03</v>
      </c>
      <c r="Q216" s="2000">
        <v>3.5000000000000003E-2</v>
      </c>
      <c r="R216" s="2000">
        <v>3.5000000000000003E-2</v>
      </c>
      <c r="S216" s="2000">
        <v>0.03</v>
      </c>
      <c r="T216" s="2000">
        <v>2.5000000000000001E-2</v>
      </c>
      <c r="U216" s="1293"/>
      <c r="V216" s="1293"/>
      <c r="W216" s="1293"/>
      <c r="X216" s="1293"/>
      <c r="Y216" s="1293"/>
      <c r="Z216" s="1293"/>
      <c r="AA216" s="1293"/>
      <c r="AB216" s="1293"/>
      <c r="AC216" s="1293"/>
      <c r="AD216" s="1293"/>
      <c r="AE216" s="1293"/>
      <c r="AF216" s="1293"/>
      <c r="AG216" s="1293"/>
      <c r="AH216" s="1293"/>
      <c r="AI216" s="1293"/>
      <c r="AJ216" s="1293"/>
      <c r="AK216" s="1293"/>
      <c r="AL216" s="1293"/>
      <c r="AM216" s="1293"/>
      <c r="AN216" s="1293"/>
      <c r="AO216" s="1293"/>
      <c r="AP216" s="1293"/>
      <c r="AQ216" s="1293"/>
      <c r="AR216" s="1293"/>
      <c r="AS216" s="1293"/>
      <c r="AT216" s="1293"/>
      <c r="AU216" s="1293"/>
      <c r="AV216" s="1293"/>
      <c r="AW216" s="1293"/>
      <c r="AX216" s="1293"/>
      <c r="AY216" s="1293"/>
      <c r="AZ216" s="1293"/>
      <c r="BA216" s="1293"/>
      <c r="BB216" s="1293"/>
      <c r="BC216" s="1293"/>
      <c r="BD216" s="1293"/>
      <c r="BE216" s="1293"/>
      <c r="BF216" s="1293"/>
      <c r="BG216" s="1293"/>
      <c r="BH216" s="1293"/>
      <c r="BI216" s="1293"/>
      <c r="BJ216" s="1293"/>
      <c r="BK216" s="1293"/>
      <c r="BL216" s="1293"/>
      <c r="BM216" s="1293"/>
      <c r="BN216" s="1293"/>
      <c r="BO216" s="1293"/>
      <c r="BP216" s="1293"/>
      <c r="BQ216" s="1293"/>
      <c r="BR216" s="1293"/>
      <c r="BS216" s="1293"/>
      <c r="BT216" s="1293"/>
      <c r="BU216" s="1293"/>
      <c r="BV216" s="1293"/>
      <c r="BW216" s="1293"/>
      <c r="BX216" s="1293"/>
      <c r="BY216" s="1293"/>
      <c r="BZ216" s="1293"/>
      <c r="CA216" s="1293"/>
      <c r="CB216" s="1293"/>
      <c r="CC216" s="1293"/>
      <c r="CD216" s="1293"/>
      <c r="CE216" s="1293"/>
      <c r="CF216" s="1293"/>
      <c r="CG216" s="1293"/>
    </row>
    <row r="217" spans="1:85" ht="15.75" hidden="1" outlineLevel="1">
      <c r="A217" s="1293"/>
      <c r="B217" s="1293"/>
      <c r="C217" s="1293"/>
      <c r="D217" s="1293"/>
      <c r="E217" s="1328"/>
      <c r="F217" s="1328"/>
      <c r="G217" s="1328"/>
      <c r="H217" s="1328"/>
      <c r="I217" s="1328"/>
      <c r="J217" s="1328"/>
      <c r="K217" s="1328"/>
      <c r="L217" s="1328"/>
      <c r="M217" s="1328"/>
      <c r="N217" s="1328"/>
      <c r="O217" s="1328"/>
      <c r="P217" s="1328"/>
      <c r="Q217" s="1328"/>
      <c r="R217" s="1328"/>
      <c r="S217" s="1328"/>
      <c r="T217" s="1328"/>
      <c r="U217" s="1293"/>
      <c r="V217" s="1293"/>
      <c r="W217" s="1293"/>
      <c r="X217" s="1293"/>
      <c r="Y217" s="1293"/>
      <c r="Z217" s="1293"/>
      <c r="AA217" s="1293"/>
      <c r="AB217" s="1293"/>
      <c r="AC217" s="1293"/>
      <c r="AD217" s="1293"/>
      <c r="AE217" s="1293"/>
      <c r="AF217" s="1293"/>
      <c r="AG217" s="1293"/>
      <c r="AH217" s="1293"/>
      <c r="AI217" s="1293"/>
      <c r="AJ217" s="1293"/>
      <c r="AK217" s="1293"/>
      <c r="AL217" s="1293"/>
      <c r="AM217" s="1293"/>
      <c r="AN217" s="1293"/>
      <c r="AO217" s="1293"/>
      <c r="AP217" s="1293"/>
      <c r="AQ217" s="1293"/>
      <c r="AR217" s="1293"/>
      <c r="AS217" s="1293"/>
      <c r="AT217" s="1293"/>
      <c r="AU217" s="1293"/>
      <c r="AV217" s="1293"/>
      <c r="AW217" s="1293"/>
      <c r="AX217" s="1293"/>
      <c r="AY217" s="1293"/>
      <c r="AZ217" s="1293"/>
      <c r="BA217" s="1293"/>
      <c r="BB217" s="1293"/>
      <c r="BC217" s="1293"/>
      <c r="BD217" s="1293"/>
      <c r="BE217" s="1293"/>
      <c r="BF217" s="1293"/>
      <c r="BG217" s="1293"/>
      <c r="BH217" s="1293"/>
      <c r="BI217" s="1293"/>
      <c r="BJ217" s="1293"/>
      <c r="BK217" s="1293"/>
      <c r="BL217" s="1293"/>
      <c r="BM217" s="1293"/>
      <c r="BN217" s="1293"/>
      <c r="BO217" s="1293"/>
      <c r="BP217" s="1293"/>
      <c r="BQ217" s="1293"/>
      <c r="BR217" s="1293"/>
      <c r="BS217" s="1293"/>
      <c r="BT217" s="1293"/>
      <c r="BU217" s="1293"/>
      <c r="BV217" s="1293"/>
      <c r="BW217" s="1293"/>
      <c r="BX217" s="1293"/>
      <c r="BY217" s="1293"/>
      <c r="BZ217" s="1293"/>
      <c r="CA217" s="1293"/>
      <c r="CB217" s="1293"/>
      <c r="CC217" s="1293"/>
      <c r="CD217" s="1293"/>
      <c r="CE217" s="1293"/>
      <c r="CF217" s="1293"/>
      <c r="CG217" s="1293"/>
    </row>
    <row r="218" spans="1:85" ht="15.75" hidden="1" outlineLevel="1">
      <c r="A218" s="1293"/>
      <c r="B218" s="1293"/>
      <c r="C218" s="1982" t="s">
        <v>2032</v>
      </c>
      <c r="D218" s="1293"/>
      <c r="E218" s="1328"/>
      <c r="F218" s="1328"/>
      <c r="G218" s="1328"/>
      <c r="H218" s="1328"/>
      <c r="I218" s="1328"/>
      <c r="J218" s="1328"/>
      <c r="K218" s="1328">
        <f t="shared" ref="K218:M219" si="183">K194/J194-1</f>
        <v>7.7777777777777724E-2</v>
      </c>
      <c r="L218" s="1328">
        <f t="shared" si="183"/>
        <v>0.60875927835051558</v>
      </c>
      <c r="M218" s="1328">
        <f t="shared" si="183"/>
        <v>7.305751727094556E-2</v>
      </c>
      <c r="N218" s="1328">
        <f>Onda!J24</f>
        <v>7.6070016172618882E-2</v>
      </c>
      <c r="O218" s="1328">
        <f>Onda!K24</f>
        <v>2.5100000000000344E-2</v>
      </c>
      <c r="P218" s="1328">
        <f>Onda!L24</f>
        <v>1.5050000000000008E-2</v>
      </c>
      <c r="Q218" s="1328">
        <f>Onda!M24</f>
        <v>1.5050000000000008E-2</v>
      </c>
      <c r="R218" s="1328">
        <f>Onda!N24</f>
        <v>1.5050000000000008E-2</v>
      </c>
      <c r="S218" s="1328">
        <f>Onda!O24</f>
        <v>1.5049999999999786E-2</v>
      </c>
      <c r="T218" s="1328">
        <f>Onda!P24</f>
        <v>1.5050000000000008E-2</v>
      </c>
      <c r="U218" s="1293"/>
      <c r="V218" s="1293"/>
      <c r="W218" s="1293"/>
      <c r="X218" s="1293"/>
      <c r="Y218" s="1293"/>
      <c r="Z218" s="1293"/>
      <c r="AA218" s="1293"/>
      <c r="AB218" s="1293"/>
      <c r="AC218" s="1293"/>
      <c r="AD218" s="1293"/>
      <c r="AE218" s="1293"/>
      <c r="AF218" s="1293"/>
      <c r="AG218" s="1293"/>
      <c r="AH218" s="1293"/>
      <c r="AI218" s="1293"/>
      <c r="AJ218" s="1293"/>
      <c r="AK218" s="1293"/>
      <c r="AL218" s="1293"/>
      <c r="AM218" s="1293"/>
      <c r="AN218" s="1293"/>
      <c r="AO218" s="1293"/>
      <c r="AP218" s="1293"/>
      <c r="AQ218" s="1293"/>
      <c r="AR218" s="1293"/>
      <c r="AS218" s="1293"/>
      <c r="AT218" s="1293"/>
      <c r="AU218" s="1293"/>
      <c r="AV218" s="1293"/>
      <c r="AW218" s="1293"/>
      <c r="AX218" s="1293"/>
      <c r="AY218" s="1293"/>
      <c r="AZ218" s="1293"/>
      <c r="BA218" s="1293"/>
      <c r="BB218" s="1293"/>
      <c r="BC218" s="1293"/>
      <c r="BD218" s="1293"/>
      <c r="BE218" s="1293"/>
      <c r="BF218" s="1293"/>
      <c r="BG218" s="1293"/>
      <c r="BH218" s="1293"/>
      <c r="BI218" s="1293"/>
      <c r="BJ218" s="1293"/>
      <c r="BK218" s="1293"/>
      <c r="BL218" s="1293"/>
      <c r="BM218" s="1293"/>
      <c r="BN218" s="1293"/>
      <c r="BO218" s="1293"/>
      <c r="BP218" s="1293"/>
      <c r="BQ218" s="1293"/>
      <c r="BR218" s="1293"/>
      <c r="BS218" s="1293"/>
      <c r="BT218" s="1293"/>
      <c r="BU218" s="1293"/>
      <c r="BV218" s="1293"/>
      <c r="BW218" s="1293"/>
      <c r="BX218" s="1293"/>
      <c r="BY218" s="1293"/>
      <c r="BZ218" s="1293"/>
      <c r="CA218" s="1293"/>
      <c r="CB218" s="1293"/>
      <c r="CC218" s="1293"/>
      <c r="CD218" s="1293"/>
      <c r="CE218" s="1293"/>
      <c r="CF218" s="1293"/>
      <c r="CG218" s="1293"/>
    </row>
    <row r="219" spans="1:85" ht="15.75" hidden="1" outlineLevel="1">
      <c r="A219" s="1293"/>
      <c r="B219" s="1293"/>
      <c r="C219" s="1982" t="str">
        <f>C195</f>
        <v>Costa Rica</v>
      </c>
      <c r="D219" s="1293"/>
      <c r="E219" s="1328">
        <f t="shared" ref="E219:J219" si="184">E195/D195-1</f>
        <v>8.5141353388899166E-2</v>
      </c>
      <c r="F219" s="1328">
        <f t="shared" si="184"/>
        <v>3.387857794549709E-2</v>
      </c>
      <c r="G219" s="1328">
        <f t="shared" si="184"/>
        <v>7.0101683097223422E-3</v>
      </c>
      <c r="H219" s="1328">
        <f t="shared" si="184"/>
        <v>-1.1977185655014266E-2</v>
      </c>
      <c r="I219" s="1328">
        <f t="shared" si="184"/>
        <v>-4.1277839401977379E-2</v>
      </c>
      <c r="J219" s="1328">
        <f t="shared" si="184"/>
        <v>6.493733319167716E-2</v>
      </c>
      <c r="K219" s="1328">
        <f t="shared" si="183"/>
        <v>0.20386782349934851</v>
      </c>
      <c r="L219" s="1328">
        <f t="shared" si="183"/>
        <v>8.870933688611049E-2</v>
      </c>
      <c r="M219" s="1328">
        <f t="shared" si="183"/>
        <v>-1.6188936267867993E-3</v>
      </c>
      <c r="N219" s="2000">
        <v>0.04</v>
      </c>
      <c r="O219" s="2000">
        <v>0.02</v>
      </c>
      <c r="P219" s="2000">
        <v>0.03</v>
      </c>
      <c r="Q219" s="2000">
        <v>0.03</v>
      </c>
      <c r="R219" s="2000">
        <v>0.03</v>
      </c>
      <c r="S219" s="2000">
        <v>0.03</v>
      </c>
      <c r="T219" s="2000">
        <v>0.03</v>
      </c>
      <c r="U219" s="1293"/>
      <c r="V219" s="1293"/>
      <c r="W219" s="1293"/>
      <c r="X219" s="1293"/>
      <c r="Y219" s="1293"/>
      <c r="Z219" s="1293"/>
      <c r="AA219" s="1293"/>
      <c r="AB219" s="1293"/>
      <c r="AC219" s="1293"/>
      <c r="AD219" s="1293"/>
      <c r="AE219" s="1293"/>
      <c r="AF219" s="1293"/>
      <c r="AG219" s="1293"/>
      <c r="AH219" s="1293"/>
      <c r="AI219" s="1293"/>
      <c r="AJ219" s="1293"/>
      <c r="AK219" s="1293"/>
      <c r="AL219" s="1293"/>
      <c r="AM219" s="1293"/>
      <c r="AN219" s="1293"/>
      <c r="AO219" s="1293"/>
      <c r="AP219" s="1293"/>
      <c r="AQ219" s="1293"/>
      <c r="AR219" s="1293"/>
      <c r="AS219" s="1293"/>
      <c r="AT219" s="1293"/>
      <c r="AU219" s="1293"/>
      <c r="AV219" s="1293"/>
      <c r="AW219" s="1293"/>
      <c r="AX219" s="1293"/>
      <c r="AY219" s="1293"/>
      <c r="AZ219" s="1293"/>
      <c r="BA219" s="1293"/>
      <c r="BB219" s="1293"/>
      <c r="BC219" s="1293"/>
      <c r="BD219" s="1293"/>
      <c r="BE219" s="1293"/>
      <c r="BF219" s="1293"/>
      <c r="BG219" s="1293"/>
      <c r="BH219" s="1293"/>
      <c r="BI219" s="1293"/>
      <c r="BJ219" s="1293"/>
      <c r="BK219" s="1293"/>
      <c r="BL219" s="1293"/>
      <c r="BM219" s="1293"/>
      <c r="BN219" s="1293"/>
      <c r="BO219" s="1293"/>
      <c r="BP219" s="1293"/>
      <c r="BQ219" s="1293"/>
      <c r="BR219" s="1293"/>
      <c r="BS219" s="1293"/>
      <c r="BT219" s="1293"/>
      <c r="BU219" s="1293"/>
      <c r="BV219" s="1293"/>
      <c r="BW219" s="1293"/>
      <c r="BX219" s="1293"/>
      <c r="BY219" s="1293"/>
      <c r="BZ219" s="1293"/>
      <c r="CA219" s="1293"/>
      <c r="CB219" s="1293"/>
      <c r="CC219" s="1293"/>
      <c r="CD219" s="1293"/>
      <c r="CE219" s="1293"/>
      <c r="CF219" s="1293"/>
      <c r="CG219" s="1293"/>
    </row>
    <row r="220" spans="1:85" ht="15.75" hidden="1" outlineLevel="1">
      <c r="A220" s="1293"/>
      <c r="B220" s="1293"/>
      <c r="C220" s="1982" t="s">
        <v>5610</v>
      </c>
      <c r="D220" s="1293"/>
      <c r="E220" s="1328"/>
      <c r="F220" s="1328"/>
      <c r="G220" s="1328"/>
      <c r="H220" s="1328"/>
      <c r="I220" s="1328"/>
      <c r="J220" s="1328"/>
      <c r="K220" s="1328">
        <f>'New CA'!I6</f>
        <v>5.0000000000000044E-2</v>
      </c>
      <c r="L220" s="1328">
        <f>'New CA'!J6</f>
        <v>2.9999999999999805E-2</v>
      </c>
      <c r="M220" s="1328">
        <f>'New CA'!K6</f>
        <v>0</v>
      </c>
      <c r="N220" s="1328">
        <f>'New CA'!L6</f>
        <v>2.0000000000000018E-2</v>
      </c>
      <c r="O220" s="1328">
        <f>'New CA'!M6</f>
        <v>1.0000000000000009E-2</v>
      </c>
      <c r="P220" s="1328">
        <f>'New CA'!N6</f>
        <v>0</v>
      </c>
      <c r="Q220" s="1328">
        <f>'New CA'!O6</f>
        <v>0</v>
      </c>
      <c r="R220" s="1328">
        <f>'New CA'!P6</f>
        <v>0</v>
      </c>
      <c r="S220" s="1328">
        <f>'New CA'!Q6</f>
        <v>0</v>
      </c>
      <c r="T220" s="1328">
        <f>'New CA'!R6</f>
        <v>0</v>
      </c>
      <c r="U220" s="1293"/>
      <c r="V220" s="1293"/>
      <c r="W220" s="1293"/>
      <c r="X220" s="1293"/>
      <c r="Y220" s="1293"/>
      <c r="Z220" s="1293"/>
      <c r="AA220" s="1293"/>
      <c r="AB220" s="1293"/>
      <c r="AC220" s="1293"/>
      <c r="AD220" s="1293"/>
      <c r="AE220" s="1293"/>
      <c r="AF220" s="1293"/>
      <c r="AG220" s="1293"/>
      <c r="AH220" s="1293"/>
      <c r="AI220" s="1293"/>
      <c r="AJ220" s="1293"/>
      <c r="AK220" s="1293"/>
      <c r="AL220" s="1293"/>
      <c r="AM220" s="1293"/>
      <c r="AN220" s="1293"/>
      <c r="AO220" s="1293"/>
      <c r="AP220" s="1293"/>
      <c r="AQ220" s="1293"/>
      <c r="AR220" s="1293"/>
      <c r="AS220" s="1293"/>
      <c r="AT220" s="1293"/>
      <c r="AU220" s="1293"/>
      <c r="AV220" s="1293"/>
      <c r="AW220" s="1293"/>
      <c r="AX220" s="1293"/>
      <c r="AY220" s="1293"/>
      <c r="AZ220" s="1293"/>
      <c r="BA220" s="1293"/>
      <c r="BB220" s="1293"/>
      <c r="BC220" s="1293"/>
      <c r="BD220" s="1293"/>
      <c r="BE220" s="1293"/>
      <c r="BF220" s="1293"/>
      <c r="BG220" s="1293"/>
      <c r="BH220" s="1293"/>
      <c r="BI220" s="1293"/>
      <c r="BJ220" s="1293"/>
      <c r="BK220" s="1293"/>
      <c r="BL220" s="1293"/>
      <c r="BM220" s="1293"/>
      <c r="BN220" s="1293"/>
      <c r="BO220" s="1293"/>
      <c r="BP220" s="1293"/>
      <c r="BQ220" s="1293"/>
      <c r="BR220" s="1293"/>
      <c r="BS220" s="1293"/>
      <c r="BT220" s="1293"/>
      <c r="BU220" s="1293"/>
      <c r="BV220" s="1293"/>
      <c r="BW220" s="1293"/>
      <c r="BX220" s="1293"/>
      <c r="BY220" s="1293"/>
      <c r="BZ220" s="1293"/>
      <c r="CA220" s="1293"/>
      <c r="CB220" s="1293"/>
      <c r="CC220" s="1293"/>
      <c r="CD220" s="1293"/>
      <c r="CE220" s="1293"/>
      <c r="CF220" s="1293"/>
      <c r="CG220" s="1293"/>
    </row>
    <row r="221" spans="1:85" ht="15.75" hidden="1" outlineLevel="1">
      <c r="A221" s="1293"/>
      <c r="B221" s="1293"/>
      <c r="C221" s="1982" t="s">
        <v>5613</v>
      </c>
      <c r="D221" s="1293"/>
      <c r="E221" s="1328"/>
      <c r="F221" s="1328"/>
      <c r="G221" s="1328"/>
      <c r="H221" s="1328"/>
      <c r="I221" s="1328"/>
      <c r="J221" s="1328"/>
      <c r="K221" s="1328">
        <f>'New CA'!I131</f>
        <v>-2.0000000000000018E-2</v>
      </c>
      <c r="L221" s="1328">
        <f>'New CA'!J131</f>
        <v>2.4999999999999467E-3</v>
      </c>
      <c r="M221" s="1328">
        <f>'New CA'!K131</f>
        <v>0</v>
      </c>
      <c r="N221" s="1328">
        <f>'New CA'!L131</f>
        <v>3.9999999999999813E-2</v>
      </c>
      <c r="O221" s="1328">
        <f>'New CA'!M131</f>
        <v>0</v>
      </c>
      <c r="P221" s="1328">
        <f>'New CA'!N131</f>
        <v>0</v>
      </c>
      <c r="Q221" s="1328">
        <f>'New CA'!O131</f>
        <v>0</v>
      </c>
      <c r="R221" s="1328">
        <f>'New CA'!P131</f>
        <v>0</v>
      </c>
      <c r="S221" s="1328">
        <f>'New CA'!Q131</f>
        <v>0</v>
      </c>
      <c r="T221" s="1328">
        <f>'New CA'!R131</f>
        <v>0</v>
      </c>
      <c r="U221" s="1293"/>
      <c r="V221" s="1293"/>
      <c r="W221" s="1293"/>
      <c r="X221" s="1293"/>
      <c r="Y221" s="1293"/>
      <c r="Z221" s="1293"/>
      <c r="AA221" s="1293"/>
      <c r="AB221" s="1293"/>
      <c r="AC221" s="1293"/>
      <c r="AD221" s="1293"/>
      <c r="AE221" s="1293"/>
      <c r="AF221" s="1293"/>
      <c r="AG221" s="1293"/>
      <c r="AH221" s="1293"/>
      <c r="AI221" s="1293"/>
      <c r="AJ221" s="1293"/>
      <c r="AK221" s="1293"/>
      <c r="AL221" s="1293"/>
      <c r="AM221" s="1293"/>
      <c r="AN221" s="1293"/>
      <c r="AO221" s="1293"/>
      <c r="AP221" s="1293"/>
      <c r="AQ221" s="1293"/>
      <c r="AR221" s="1293"/>
      <c r="AS221" s="1293"/>
      <c r="AT221" s="1293"/>
      <c r="AU221" s="1293"/>
      <c r="AV221" s="1293"/>
      <c r="AW221" s="1293"/>
      <c r="AX221" s="1293"/>
      <c r="AY221" s="1293"/>
      <c r="AZ221" s="1293"/>
      <c r="BA221" s="1293"/>
      <c r="BB221" s="1293"/>
      <c r="BC221" s="1293"/>
      <c r="BD221" s="1293"/>
      <c r="BE221" s="1293"/>
      <c r="BF221" s="1293"/>
      <c r="BG221" s="1293"/>
      <c r="BH221" s="1293"/>
      <c r="BI221" s="1293"/>
      <c r="BJ221" s="1293"/>
      <c r="BK221" s="1293"/>
      <c r="BL221" s="1293"/>
      <c r="BM221" s="1293"/>
      <c r="BN221" s="1293"/>
      <c r="BO221" s="1293"/>
      <c r="BP221" s="1293"/>
      <c r="BQ221" s="1293"/>
      <c r="BR221" s="1293"/>
      <c r="BS221" s="1293"/>
      <c r="BT221" s="1293"/>
      <c r="BU221" s="1293"/>
      <c r="BV221" s="1293"/>
      <c r="BW221" s="1293"/>
      <c r="BX221" s="1293"/>
      <c r="BY221" s="1293"/>
      <c r="BZ221" s="1293"/>
      <c r="CA221" s="1293"/>
      <c r="CB221" s="1293"/>
      <c r="CC221" s="1293"/>
      <c r="CD221" s="1293"/>
      <c r="CE221" s="1293"/>
      <c r="CF221" s="1293"/>
      <c r="CG221" s="1293"/>
    </row>
    <row r="222" spans="1:85" ht="15.75" hidden="1" outlineLevel="1">
      <c r="A222" s="1293"/>
      <c r="B222" s="1293"/>
      <c r="C222" s="1293"/>
      <c r="D222" s="1293"/>
      <c r="E222" s="1724"/>
      <c r="F222" s="1724"/>
      <c r="G222" s="1724"/>
      <c r="H222" s="1724"/>
      <c r="I222" s="1724"/>
      <c r="J222" s="1724"/>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c r="AK222" s="1293"/>
      <c r="AL222" s="1293"/>
      <c r="AM222" s="1293"/>
      <c r="AN222" s="1293"/>
      <c r="AO222" s="1293"/>
      <c r="AP222" s="1293"/>
      <c r="AQ222" s="1293"/>
      <c r="AR222" s="1293"/>
      <c r="AS222" s="1293"/>
      <c r="AT222" s="1293"/>
      <c r="AU222" s="1293"/>
      <c r="AV222" s="1293"/>
      <c r="AW222" s="1293"/>
      <c r="AX222" s="1293"/>
      <c r="AY222" s="1293"/>
      <c r="AZ222" s="1293"/>
      <c r="BA222" s="1293"/>
      <c r="BB222" s="1293"/>
      <c r="BC222" s="1293"/>
      <c r="BD222" s="1293"/>
      <c r="BE222" s="1293"/>
      <c r="BF222" s="1293"/>
      <c r="BG222" s="1293"/>
      <c r="BH222" s="1293"/>
      <c r="BI222" s="1293"/>
      <c r="BJ222" s="1293"/>
      <c r="BK222" s="1293"/>
      <c r="BL222" s="1293"/>
      <c r="BM222" s="1293"/>
      <c r="BN222" s="1293"/>
      <c r="BO222" s="1293"/>
      <c r="BP222" s="1293"/>
      <c r="BQ222" s="1293"/>
      <c r="BR222" s="1293"/>
      <c r="BS222" s="1293"/>
      <c r="BT222" s="1293"/>
      <c r="BU222" s="1293"/>
      <c r="BV222" s="1293"/>
      <c r="BW222" s="1293"/>
      <c r="BX222" s="1293"/>
      <c r="BY222" s="1293"/>
      <c r="BZ222" s="1293"/>
      <c r="CA222" s="1293"/>
      <c r="CB222" s="1293"/>
      <c r="CC222" s="1293"/>
      <c r="CD222" s="1293"/>
      <c r="CE222" s="1293"/>
      <c r="CF222" s="1293"/>
      <c r="CG222" s="1293"/>
    </row>
    <row r="223" spans="1:85" ht="15.75" hidden="1" outlineLevel="1">
      <c r="A223" s="1293"/>
      <c r="B223" s="1293"/>
      <c r="C223" s="1293" t="str">
        <f t="shared" ref="C223:C229" si="185">C196</f>
        <v>Chad</v>
      </c>
      <c r="D223" s="1293"/>
      <c r="E223" s="1724">
        <f ca="1">E196/D196-1</f>
        <v>6.6901318230976337E-3</v>
      </c>
      <c r="F223" s="1724">
        <f ca="1">F196/E196-1</f>
        <v>7.5242400108083363E-2</v>
      </c>
      <c r="G223" s="1724">
        <f ca="1">G196/F196-1</f>
        <v>-9.5066188466047863E-2</v>
      </c>
      <c r="H223" s="1724"/>
      <c r="I223" s="1724"/>
      <c r="J223" s="1724"/>
      <c r="K223" s="1724"/>
      <c r="L223" s="1724"/>
      <c r="M223" s="1724"/>
      <c r="N223" s="1724"/>
      <c r="O223" s="1724"/>
      <c r="P223" s="1724"/>
      <c r="Q223" s="1724"/>
      <c r="R223" s="1724"/>
      <c r="S223" s="1724"/>
      <c r="T223" s="1724"/>
      <c r="U223" s="1293"/>
      <c r="V223" s="1293"/>
      <c r="W223" s="1293"/>
      <c r="X223" s="1293"/>
      <c r="Y223" s="1293"/>
      <c r="Z223" s="1293"/>
      <c r="AA223" s="1293"/>
      <c r="AB223" s="1293"/>
      <c r="AC223" s="1293"/>
      <c r="AD223" s="1293"/>
      <c r="AE223" s="1293"/>
      <c r="AF223" s="1293"/>
      <c r="AG223" s="1293"/>
      <c r="AH223" s="1293"/>
      <c r="AI223" s="1293"/>
      <c r="AJ223" s="1293"/>
      <c r="AK223" s="1293"/>
      <c r="AL223" s="1293"/>
      <c r="AM223" s="1293"/>
      <c r="AN223" s="1293"/>
      <c r="AO223" s="1293"/>
      <c r="AP223" s="1293"/>
      <c r="AQ223" s="1293"/>
      <c r="AR223" s="1293"/>
      <c r="AS223" s="1293"/>
      <c r="AT223" s="1293"/>
      <c r="AU223" s="1293"/>
      <c r="AV223" s="1293"/>
      <c r="AW223" s="1293"/>
      <c r="AX223" s="1293"/>
      <c r="AY223" s="1293"/>
      <c r="AZ223" s="1293"/>
      <c r="BA223" s="1293"/>
      <c r="BB223" s="1293"/>
      <c r="BC223" s="1293"/>
      <c r="BD223" s="1293"/>
      <c r="BE223" s="1293"/>
      <c r="BF223" s="1293"/>
      <c r="BG223" s="1293"/>
      <c r="BH223" s="1293"/>
      <c r="BI223" s="1293"/>
      <c r="BJ223" s="1293"/>
      <c r="BK223" s="1293"/>
      <c r="BL223" s="1293"/>
      <c r="BM223" s="1293"/>
      <c r="BN223" s="1293"/>
      <c r="BO223" s="1293"/>
      <c r="BP223" s="1293"/>
      <c r="BQ223" s="1293"/>
      <c r="BR223" s="1293"/>
      <c r="BS223" s="1293"/>
      <c r="BT223" s="1293"/>
      <c r="BU223" s="1293"/>
      <c r="BV223" s="1293"/>
      <c r="BW223" s="1293"/>
      <c r="BX223" s="1293"/>
      <c r="BY223" s="1293"/>
      <c r="BZ223" s="1293"/>
      <c r="CA223" s="1293"/>
      <c r="CB223" s="1293"/>
      <c r="CC223" s="1293"/>
      <c r="CD223" s="1293"/>
      <c r="CE223" s="1293"/>
      <c r="CF223" s="1293"/>
      <c r="CG223" s="1293"/>
    </row>
    <row r="224" spans="1:85" ht="15.75" hidden="1" outlineLevel="1">
      <c r="A224" s="1293"/>
      <c r="B224" s="1293"/>
      <c r="C224" s="1293" t="str">
        <f t="shared" si="185"/>
        <v>DRC</v>
      </c>
      <c r="D224" s="1293"/>
      <c r="E224" s="1724">
        <f t="shared" ref="E224:F228" si="186">E197/D197-1</f>
        <v>0.18122937639944192</v>
      </c>
      <c r="F224" s="1724">
        <f t="shared" si="186"/>
        <v>-1</v>
      </c>
      <c r="G224" s="1724"/>
      <c r="H224" s="1724"/>
      <c r="I224" s="1724"/>
      <c r="J224" s="1724"/>
      <c r="K224" s="1724"/>
      <c r="L224" s="1724"/>
      <c r="M224" s="1724"/>
      <c r="N224" s="1724"/>
      <c r="O224" s="1724"/>
      <c r="P224" s="1724"/>
      <c r="Q224" s="1724"/>
      <c r="R224" s="1724"/>
      <c r="S224" s="1724"/>
      <c r="T224" s="1724"/>
      <c r="U224" s="1293"/>
      <c r="V224" s="1293"/>
      <c r="W224" s="1293"/>
      <c r="X224" s="1293"/>
      <c r="Y224" s="1293"/>
      <c r="Z224" s="1293"/>
      <c r="AA224" s="1293"/>
      <c r="AB224" s="1293"/>
      <c r="AC224" s="1293"/>
      <c r="AD224" s="1293"/>
      <c r="AE224" s="1293"/>
      <c r="AF224" s="1293"/>
      <c r="AG224" s="1293"/>
      <c r="AH224" s="1293"/>
      <c r="AI224" s="1293"/>
      <c r="AJ224" s="1293"/>
      <c r="AK224" s="1293"/>
      <c r="AL224" s="1293"/>
      <c r="AM224" s="1293"/>
      <c r="AN224" s="1293"/>
      <c r="AO224" s="1293"/>
      <c r="AP224" s="1293"/>
      <c r="AQ224" s="1293"/>
      <c r="AR224" s="1293"/>
      <c r="AS224" s="1293"/>
      <c r="AT224" s="1293"/>
      <c r="AU224" s="1293"/>
      <c r="AV224" s="1293"/>
      <c r="AW224" s="1293"/>
      <c r="AX224" s="1293"/>
      <c r="AY224" s="1293"/>
      <c r="AZ224" s="1293"/>
      <c r="BA224" s="1293"/>
      <c r="BB224" s="1293"/>
      <c r="BC224" s="1293"/>
      <c r="BD224" s="1293"/>
      <c r="BE224" s="1293"/>
      <c r="BF224" s="1293"/>
      <c r="BG224" s="1293"/>
      <c r="BH224" s="1293"/>
      <c r="BI224" s="1293"/>
      <c r="BJ224" s="1293"/>
      <c r="BK224" s="1293"/>
      <c r="BL224" s="1293"/>
      <c r="BM224" s="1293"/>
      <c r="BN224" s="1293"/>
      <c r="BO224" s="1293"/>
      <c r="BP224" s="1293"/>
      <c r="BQ224" s="1293"/>
      <c r="BR224" s="1293"/>
      <c r="BS224" s="1293"/>
      <c r="BT224" s="1293"/>
      <c r="BU224" s="1293"/>
      <c r="BV224" s="1293"/>
      <c r="BW224" s="1293"/>
      <c r="BX224" s="1293"/>
      <c r="BY224" s="1293"/>
      <c r="BZ224" s="1293"/>
      <c r="CA224" s="1293"/>
      <c r="CB224" s="1293"/>
      <c r="CC224" s="1293"/>
      <c r="CD224" s="1293"/>
      <c r="CE224" s="1293"/>
      <c r="CF224" s="1293"/>
      <c r="CG224" s="1293"/>
    </row>
    <row r="225" spans="1:85" ht="15.75" hidden="1" outlineLevel="1">
      <c r="A225" s="1293"/>
      <c r="B225" s="1293"/>
      <c r="C225" s="1293" t="str">
        <f t="shared" si="185"/>
        <v>Ghana</v>
      </c>
      <c r="D225" s="1293"/>
      <c r="E225" s="1724">
        <f t="shared" si="186"/>
        <v>0.23783947950896822</v>
      </c>
      <c r="F225" s="1724">
        <f t="shared" si="186"/>
        <v>0.2009996960943301</v>
      </c>
      <c r="G225" s="1724">
        <f>G198/F198-1</f>
        <v>-0.50639293254942941</v>
      </c>
      <c r="H225" s="1724"/>
      <c r="I225" s="1724"/>
      <c r="J225" s="1724"/>
      <c r="K225" s="1724"/>
      <c r="L225" s="1724"/>
      <c r="M225" s="1724"/>
      <c r="N225" s="1724"/>
      <c r="O225" s="1724"/>
      <c r="P225" s="1724"/>
      <c r="Q225" s="1724"/>
      <c r="R225" s="1724"/>
      <c r="S225" s="1724"/>
      <c r="T225" s="1724"/>
      <c r="U225" s="1293"/>
      <c r="V225" s="1293"/>
      <c r="W225" s="1293"/>
      <c r="X225" s="1293"/>
      <c r="Y225" s="1293"/>
      <c r="Z225" s="1293"/>
      <c r="AA225" s="1293"/>
      <c r="AB225" s="1293"/>
      <c r="AC225" s="1293"/>
      <c r="AD225" s="1293"/>
      <c r="AE225" s="1293"/>
      <c r="AF225" s="1293"/>
      <c r="AG225" s="1293"/>
      <c r="AH225" s="1293"/>
      <c r="AI225" s="1293"/>
      <c r="AJ225" s="1293"/>
      <c r="AK225" s="1293"/>
      <c r="AL225" s="1293"/>
      <c r="AM225" s="1293"/>
      <c r="AN225" s="1293"/>
      <c r="AO225" s="1293"/>
      <c r="AP225" s="1293"/>
      <c r="AQ225" s="1293"/>
      <c r="AR225" s="1293"/>
      <c r="AS225" s="1293"/>
      <c r="AT225" s="1293"/>
      <c r="AU225" s="1293"/>
      <c r="AV225" s="1293"/>
      <c r="AW225" s="1293"/>
      <c r="AX225" s="1293"/>
      <c r="AY225" s="1293"/>
      <c r="AZ225" s="1293"/>
      <c r="BA225" s="1293"/>
      <c r="BB225" s="1293"/>
      <c r="BC225" s="1293"/>
      <c r="BD225" s="1293"/>
      <c r="BE225" s="1293"/>
      <c r="BF225" s="1293"/>
      <c r="BG225" s="1293"/>
      <c r="BH225" s="1293"/>
      <c r="BI225" s="1293"/>
      <c r="BJ225" s="1293"/>
      <c r="BK225" s="1293"/>
      <c r="BL225" s="1293"/>
      <c r="BM225" s="1293"/>
      <c r="BN225" s="1293"/>
      <c r="BO225" s="1293"/>
      <c r="BP225" s="1293"/>
      <c r="BQ225" s="1293"/>
      <c r="BR225" s="1293"/>
      <c r="BS225" s="1293"/>
      <c r="BT225" s="1293"/>
      <c r="BU225" s="1293"/>
      <c r="BV225" s="1293"/>
      <c r="BW225" s="1293"/>
      <c r="BX225" s="1293"/>
      <c r="BY225" s="1293"/>
      <c r="BZ225" s="1293"/>
      <c r="CA225" s="1293"/>
      <c r="CB225" s="1293"/>
      <c r="CC225" s="1293"/>
      <c r="CD225" s="1293"/>
      <c r="CE225" s="1293"/>
      <c r="CF225" s="1293"/>
      <c r="CG225" s="1293"/>
    </row>
    <row r="226" spans="1:85" ht="15.75" hidden="1" outlineLevel="1">
      <c r="A226" s="1293"/>
      <c r="B226" s="1293"/>
      <c r="C226" s="1293" t="str">
        <f t="shared" si="185"/>
        <v>Rwanda</v>
      </c>
      <c r="D226" s="1293"/>
      <c r="E226" s="1724">
        <f t="shared" si="186"/>
        <v>5.1579675267383607E-2</v>
      </c>
      <c r="F226" s="1724">
        <f t="shared" si="186"/>
        <v>8.69756982885459E-2</v>
      </c>
      <c r="G226" s="1724">
        <f>G199/F199-1</f>
        <v>-2.1545554524700306E-2</v>
      </c>
      <c r="H226" s="1724"/>
      <c r="I226" s="1724"/>
      <c r="J226" s="1724"/>
      <c r="K226" s="1724"/>
      <c r="L226" s="1724"/>
      <c r="M226" s="1724"/>
      <c r="N226" s="1724"/>
      <c r="O226" s="1724"/>
      <c r="P226" s="1724"/>
      <c r="Q226" s="1724"/>
      <c r="R226" s="1724"/>
      <c r="S226" s="1724"/>
      <c r="T226" s="1724"/>
      <c r="U226" s="1293"/>
      <c r="V226" s="1293"/>
      <c r="W226" s="1293"/>
      <c r="X226" s="1293"/>
      <c r="Y226" s="1293"/>
      <c r="Z226" s="1293"/>
      <c r="AA226" s="1293"/>
      <c r="AB226" s="1293"/>
      <c r="AC226" s="1293"/>
      <c r="AD226" s="1293"/>
      <c r="AE226" s="1293"/>
      <c r="AF226" s="1293"/>
      <c r="AG226" s="1293"/>
      <c r="AH226" s="1293"/>
      <c r="AI226" s="1293"/>
      <c r="AJ226" s="1293"/>
      <c r="AK226" s="1293"/>
      <c r="AL226" s="1293"/>
      <c r="AM226" s="1293"/>
      <c r="AN226" s="1293"/>
      <c r="AO226" s="1293"/>
      <c r="AP226" s="1293"/>
      <c r="AQ226" s="1293"/>
      <c r="AR226" s="1293"/>
      <c r="AS226" s="1293"/>
      <c r="AT226" s="1293"/>
      <c r="AU226" s="1293"/>
      <c r="AV226" s="1293"/>
      <c r="AW226" s="1293"/>
      <c r="AX226" s="1293"/>
      <c r="AY226" s="1293"/>
      <c r="AZ226" s="1293"/>
      <c r="BA226" s="1293"/>
      <c r="BB226" s="1293"/>
      <c r="BC226" s="1293"/>
      <c r="BD226" s="1293"/>
      <c r="BE226" s="1293"/>
      <c r="BF226" s="1293"/>
      <c r="BG226" s="1293"/>
      <c r="BH226" s="1293"/>
      <c r="BI226" s="1293"/>
      <c r="BJ226" s="1293"/>
      <c r="BK226" s="1293"/>
      <c r="BL226" s="1293"/>
      <c r="BM226" s="1293"/>
      <c r="BN226" s="1293"/>
      <c r="BO226" s="1293"/>
      <c r="BP226" s="1293"/>
      <c r="BQ226" s="1293"/>
      <c r="BR226" s="1293"/>
      <c r="BS226" s="1293"/>
      <c r="BT226" s="1293"/>
      <c r="BU226" s="1293"/>
      <c r="BV226" s="1293"/>
      <c r="BW226" s="1293"/>
      <c r="BX226" s="1293"/>
      <c r="BY226" s="1293"/>
      <c r="BZ226" s="1293"/>
      <c r="CA226" s="1293"/>
      <c r="CB226" s="1293"/>
      <c r="CC226" s="1293"/>
      <c r="CD226" s="1293"/>
      <c r="CE226" s="1293"/>
      <c r="CF226" s="1293"/>
      <c r="CG226" s="1293"/>
    </row>
    <row r="227" spans="1:85" ht="15.75" hidden="1" outlineLevel="1">
      <c r="A227" s="1293"/>
      <c r="B227" s="1293"/>
      <c r="C227" s="1293" t="str">
        <f t="shared" si="185"/>
        <v>Senegal</v>
      </c>
      <c r="D227" s="1293"/>
      <c r="E227" s="1724">
        <f t="shared" ca="1" si="186"/>
        <v>0.17256165038345816</v>
      </c>
      <c r="F227" s="1724">
        <f t="shared" ca="1" si="186"/>
        <v>0.1910191098587446</v>
      </c>
      <c r="G227" s="1724"/>
      <c r="H227" s="1724"/>
      <c r="I227" s="1724"/>
      <c r="J227" s="1724"/>
      <c r="K227" s="1724"/>
      <c r="L227" s="1724"/>
      <c r="M227" s="1724"/>
      <c r="N227" s="1724"/>
      <c r="O227" s="1724"/>
      <c r="P227" s="1724"/>
      <c r="Q227" s="1724"/>
      <c r="R227" s="1724"/>
      <c r="S227" s="1724"/>
      <c r="T227" s="1724"/>
      <c r="U227" s="1293"/>
      <c r="V227" s="1293"/>
      <c r="W227" s="1293"/>
      <c r="X227" s="1293"/>
      <c r="Y227" s="1293"/>
      <c r="Z227" s="1293"/>
      <c r="AA227" s="1293"/>
      <c r="AB227" s="1293"/>
      <c r="AC227" s="1293"/>
      <c r="AD227" s="1293"/>
      <c r="AE227" s="1293"/>
      <c r="AF227" s="1293"/>
      <c r="AG227" s="1293"/>
      <c r="AH227" s="1293"/>
      <c r="AI227" s="1293"/>
      <c r="AJ227" s="1293"/>
      <c r="AK227" s="1293"/>
      <c r="AL227" s="1293"/>
      <c r="AM227" s="1293"/>
      <c r="AN227" s="1293"/>
      <c r="AO227" s="1293"/>
      <c r="AP227" s="1293"/>
      <c r="AQ227" s="1293"/>
      <c r="AR227" s="1293"/>
      <c r="AS227" s="1293"/>
      <c r="AT227" s="1293"/>
      <c r="AU227" s="1293"/>
      <c r="AV227" s="1293"/>
      <c r="AW227" s="1293"/>
      <c r="AX227" s="1293"/>
      <c r="AY227" s="1293"/>
      <c r="AZ227" s="1293"/>
      <c r="BA227" s="1293"/>
      <c r="BB227" s="1293"/>
      <c r="BC227" s="1293"/>
      <c r="BD227" s="1293"/>
      <c r="BE227" s="1293"/>
      <c r="BF227" s="1293"/>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c r="BZ227" s="1293"/>
      <c r="CA227" s="1293"/>
      <c r="CB227" s="1293"/>
      <c r="CC227" s="1293"/>
      <c r="CD227" s="1293"/>
      <c r="CE227" s="1293"/>
      <c r="CF227" s="1293"/>
      <c r="CG227" s="1293"/>
    </row>
    <row r="228" spans="1:85" ht="15.75" hidden="1" outlineLevel="1">
      <c r="A228" s="1293"/>
      <c r="B228" s="1293"/>
      <c r="C228" s="1293" t="str">
        <f t="shared" si="185"/>
        <v>Tanzania</v>
      </c>
      <c r="D228" s="1293"/>
      <c r="E228" s="1724">
        <f t="shared" si="186"/>
        <v>0.16199103890017752</v>
      </c>
      <c r="F228" s="1724">
        <f t="shared" si="186"/>
        <v>7.4932720458279922E-2</v>
      </c>
      <c r="G228" s="1724">
        <f>G201/F201-1</f>
        <v>-5.0513133214380446E-4</v>
      </c>
      <c r="H228" s="1724">
        <f>H201/G201-1</f>
        <v>0</v>
      </c>
      <c r="I228" s="1724">
        <f>I201/H201-1</f>
        <v>0</v>
      </c>
      <c r="J228" s="1724">
        <f>J201/I201-1</f>
        <v>6.4852106181729763E-2</v>
      </c>
      <c r="K228" s="1724">
        <f>K201/J201-1</f>
        <v>1.3762427412348712</v>
      </c>
      <c r="L228" s="1724"/>
      <c r="M228" s="1724"/>
      <c r="N228" s="2002">
        <v>0.05</v>
      </c>
      <c r="O228" s="2002">
        <v>0.05</v>
      </c>
      <c r="P228" s="2002">
        <v>0.05</v>
      </c>
      <c r="Q228" s="2002">
        <v>0.05</v>
      </c>
      <c r="R228" s="2002">
        <v>0.05</v>
      </c>
      <c r="S228" s="2002">
        <v>0.05</v>
      </c>
      <c r="T228" s="2002">
        <v>0.05</v>
      </c>
      <c r="U228" s="1293"/>
      <c r="V228" s="1293"/>
      <c r="W228" s="1293"/>
      <c r="X228" s="1293"/>
      <c r="Y228" s="1293"/>
      <c r="Z228" s="1293"/>
      <c r="AA228" s="1293"/>
      <c r="AB228" s="1293"/>
      <c r="AC228" s="1293"/>
      <c r="AD228" s="1293"/>
      <c r="AE228" s="1293"/>
      <c r="AF228" s="1293"/>
      <c r="AG228" s="1293"/>
      <c r="AH228" s="1293"/>
      <c r="AI228" s="1293"/>
      <c r="AJ228" s="1293"/>
      <c r="AK228" s="1293"/>
      <c r="AL228" s="1293"/>
      <c r="AM228" s="1293"/>
      <c r="AN228" s="1293"/>
      <c r="AO228" s="1293"/>
      <c r="AP228" s="1293"/>
      <c r="AQ228" s="1293"/>
      <c r="AR228" s="1293"/>
      <c r="AS228" s="1293"/>
      <c r="AT228" s="1293"/>
      <c r="AU228" s="1293"/>
      <c r="AV228" s="1293"/>
      <c r="AW228" s="1293"/>
      <c r="AX228" s="1293"/>
      <c r="AY228" s="1293"/>
      <c r="AZ228" s="1293"/>
      <c r="BA228" s="1293"/>
      <c r="BB228" s="1293"/>
      <c r="BC228" s="1293"/>
      <c r="BD228" s="1293"/>
      <c r="BE228" s="1293"/>
      <c r="BF228" s="1293"/>
      <c r="BG228" s="1293"/>
      <c r="BH228" s="1293"/>
      <c r="BI228" s="1293"/>
      <c r="BJ228" s="1293"/>
      <c r="BK228" s="1293"/>
      <c r="BL228" s="1293"/>
      <c r="BM228" s="1293"/>
      <c r="BN228" s="1293"/>
      <c r="BO228" s="1293"/>
      <c r="BP228" s="1293"/>
      <c r="BQ228" s="1293"/>
      <c r="BR228" s="1293"/>
      <c r="BS228" s="1293"/>
      <c r="BT228" s="1293"/>
      <c r="BU228" s="1293"/>
      <c r="BV228" s="1293"/>
      <c r="BW228" s="1293"/>
      <c r="BX228" s="1293"/>
      <c r="BY228" s="1293"/>
      <c r="BZ228" s="1293"/>
      <c r="CA228" s="1293"/>
      <c r="CB228" s="1293"/>
      <c r="CC228" s="1293"/>
      <c r="CD228" s="1293"/>
      <c r="CE228" s="1293"/>
      <c r="CF228" s="1293"/>
      <c r="CG228" s="1293"/>
    </row>
    <row r="229" spans="1:85" ht="15.75" hidden="1" outlineLevel="1">
      <c r="A229" s="1293"/>
      <c r="B229" s="1293"/>
      <c r="C229" s="1293" t="str">
        <f t="shared" si="185"/>
        <v>Zantel</v>
      </c>
      <c r="D229" s="1293"/>
      <c r="E229" s="1724"/>
      <c r="F229" s="2002">
        <v>3.2</v>
      </c>
      <c r="G229" s="2002">
        <v>-0.4</v>
      </c>
      <c r="H229" s="2002">
        <v>-0.35</v>
      </c>
      <c r="I229" s="2002">
        <v>0.04</v>
      </c>
      <c r="J229" s="2002">
        <v>-0.3</v>
      </c>
      <c r="K229" s="2002">
        <v>0.05</v>
      </c>
      <c r="L229" s="2002">
        <v>0.05</v>
      </c>
      <c r="M229" s="2002">
        <v>0.05</v>
      </c>
      <c r="N229" s="2002">
        <v>0.05</v>
      </c>
      <c r="O229" s="2002">
        <v>0.05</v>
      </c>
      <c r="P229" s="2002">
        <v>0.05</v>
      </c>
      <c r="Q229" s="2002">
        <v>0.05</v>
      </c>
      <c r="R229" s="2002">
        <v>0.05</v>
      </c>
      <c r="S229" s="2002">
        <v>0.05</v>
      </c>
      <c r="T229" s="2002">
        <v>0.05</v>
      </c>
      <c r="U229" s="1293"/>
      <c r="V229" s="1293"/>
      <c r="W229" s="1293"/>
      <c r="X229" s="1293"/>
      <c r="Y229" s="1293"/>
      <c r="Z229" s="1293"/>
      <c r="AA229" s="1293"/>
      <c r="AB229" s="1293"/>
      <c r="AC229" s="1293"/>
      <c r="AD229" s="1293"/>
      <c r="AE229" s="1293"/>
      <c r="AF229" s="1293"/>
      <c r="AG229" s="1293"/>
      <c r="AH229" s="1293"/>
      <c r="AI229" s="1293"/>
      <c r="AJ229" s="1293"/>
      <c r="AK229" s="1293"/>
      <c r="AL229" s="1293"/>
      <c r="AM229" s="1293"/>
      <c r="AN229" s="1293"/>
      <c r="AO229" s="1293"/>
      <c r="AP229" s="1293"/>
      <c r="AQ229" s="1293"/>
      <c r="AR229" s="1293"/>
      <c r="AS229" s="1293"/>
      <c r="AT229" s="1293"/>
      <c r="AU229" s="1293"/>
      <c r="AV229" s="1293"/>
      <c r="AW229" s="1293"/>
      <c r="AX229" s="1293"/>
      <c r="AY229" s="1293"/>
      <c r="AZ229" s="1293"/>
      <c r="BA229" s="1293"/>
      <c r="BB229" s="1293"/>
      <c r="BC229" s="1293"/>
      <c r="BD229" s="1293"/>
      <c r="BE229" s="1293"/>
      <c r="BF229" s="1293"/>
      <c r="BG229" s="1293"/>
      <c r="BH229" s="1293"/>
      <c r="BI229" s="1293"/>
      <c r="BJ229" s="1293"/>
      <c r="BK229" s="1293"/>
      <c r="BL229" s="1293"/>
      <c r="BM229" s="1293"/>
      <c r="BN229" s="1293"/>
      <c r="BO229" s="1293"/>
      <c r="BP229" s="1293"/>
      <c r="BQ229" s="1293"/>
      <c r="BR229" s="1293"/>
      <c r="BS229" s="1293"/>
      <c r="BT229" s="1293"/>
      <c r="BU229" s="1293"/>
      <c r="BV229" s="1293"/>
      <c r="BW229" s="1293"/>
      <c r="BX229" s="1293"/>
      <c r="BY229" s="1293"/>
      <c r="BZ229" s="1293"/>
      <c r="CA229" s="1293"/>
      <c r="CB229" s="1293"/>
      <c r="CC229" s="1293"/>
      <c r="CD229" s="1293"/>
      <c r="CE229" s="1293"/>
      <c r="CF229" s="1293"/>
      <c r="CG229" s="1293"/>
    </row>
    <row r="230" spans="1:85" ht="15.75" collapsed="1">
      <c r="A230" s="1293"/>
      <c r="B230" s="1293"/>
      <c r="C230" s="1293"/>
      <c r="D230" s="1293"/>
      <c r="E230" s="1293"/>
      <c r="F230" s="1293"/>
      <c r="G230" s="1293"/>
      <c r="H230" s="1293"/>
      <c r="I230" s="1293"/>
      <c r="J230" s="1293"/>
      <c r="K230" s="1293"/>
      <c r="L230" s="1293"/>
      <c r="M230" s="1293"/>
      <c r="N230" s="1293"/>
      <c r="O230" s="1293"/>
      <c r="P230" s="1293"/>
      <c r="Q230" s="1293"/>
      <c r="R230" s="1293"/>
      <c r="S230" s="1293"/>
      <c r="T230" s="1293"/>
      <c r="U230" s="1293"/>
      <c r="V230" s="1293"/>
      <c r="W230" s="1293"/>
      <c r="X230" s="1293"/>
      <c r="Y230" s="1293"/>
      <c r="Z230" s="1293"/>
      <c r="AA230" s="1293"/>
      <c r="AB230" s="1293"/>
      <c r="AC230" s="1293"/>
      <c r="AD230" s="1293"/>
      <c r="AE230" s="1293"/>
      <c r="AF230" s="1293"/>
      <c r="AG230" s="1293"/>
      <c r="AH230" s="1293"/>
      <c r="AI230" s="1293"/>
      <c r="AJ230" s="1293"/>
      <c r="AK230" s="1293"/>
      <c r="AL230" s="1293"/>
      <c r="AM230" s="1293"/>
      <c r="AN230" s="1293"/>
      <c r="AO230" s="1293"/>
      <c r="AP230" s="1293"/>
      <c r="AQ230" s="1293"/>
      <c r="AR230" s="1293"/>
      <c r="AS230" s="1293"/>
      <c r="AT230" s="1293"/>
      <c r="AU230" s="1293"/>
      <c r="AV230" s="1293"/>
      <c r="AW230" s="1293"/>
      <c r="AX230" s="1293"/>
      <c r="AY230" s="1293"/>
      <c r="AZ230" s="1293"/>
      <c r="BA230" s="1293"/>
      <c r="BB230" s="1293"/>
      <c r="BC230" s="1293"/>
      <c r="BD230" s="1293"/>
      <c r="BE230" s="1293"/>
      <c r="BF230" s="1293"/>
      <c r="BG230" s="1293"/>
      <c r="BH230" s="1293"/>
      <c r="BI230" s="1293"/>
      <c r="BJ230" s="1293"/>
      <c r="BK230" s="1293"/>
      <c r="BL230" s="1293"/>
      <c r="BM230" s="1293"/>
      <c r="BN230" s="1293"/>
      <c r="BO230" s="1293"/>
      <c r="BP230" s="1293"/>
      <c r="BQ230" s="1293"/>
      <c r="BR230" s="1293"/>
      <c r="BS230" s="1293"/>
      <c r="BT230" s="1293"/>
      <c r="BU230" s="1293"/>
      <c r="BV230" s="1293"/>
      <c r="BW230" s="1293"/>
      <c r="BX230" s="1293"/>
      <c r="BY230" s="1293"/>
      <c r="BZ230" s="1293"/>
      <c r="CA230" s="1293"/>
      <c r="CB230" s="1293"/>
      <c r="CC230" s="1293"/>
      <c r="CD230" s="1293"/>
      <c r="CE230" s="1293"/>
      <c r="CF230" s="1293"/>
      <c r="CG230" s="1293"/>
    </row>
    <row r="231" spans="1:85" ht="15.75">
      <c r="A231" s="1293"/>
      <c r="B231" s="1293"/>
      <c r="C231" s="1293"/>
      <c r="D231" s="1293"/>
      <c r="E231" s="1293"/>
      <c r="F231" s="1293"/>
      <c r="G231" s="1293"/>
      <c r="H231" s="1293"/>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c r="AK231" s="1293"/>
      <c r="AL231" s="1293"/>
      <c r="AM231" s="1293"/>
      <c r="AN231" s="1293"/>
      <c r="AO231" s="1293"/>
      <c r="AP231" s="1293"/>
      <c r="AQ231" s="1293"/>
      <c r="AR231" s="1293"/>
      <c r="AS231" s="1293"/>
      <c r="AT231" s="1293"/>
      <c r="AU231" s="1293"/>
      <c r="AV231" s="1293"/>
      <c r="AW231" s="1293"/>
      <c r="AX231" s="1293"/>
      <c r="AY231" s="1293"/>
      <c r="AZ231" s="1293"/>
      <c r="BA231" s="1293"/>
      <c r="BB231" s="1293"/>
      <c r="BC231" s="1293"/>
      <c r="BD231" s="1293"/>
      <c r="BE231" s="1293"/>
      <c r="BF231" s="1293"/>
      <c r="BG231" s="1293"/>
      <c r="BH231" s="1293"/>
      <c r="BI231" s="1293"/>
      <c r="BJ231" s="1293"/>
      <c r="BK231" s="1293"/>
      <c r="BL231" s="1293"/>
      <c r="BM231" s="1293"/>
      <c r="BN231" s="1293"/>
      <c r="BO231" s="1293"/>
      <c r="BP231" s="1293"/>
      <c r="BQ231" s="1293"/>
      <c r="BR231" s="1293"/>
      <c r="BS231" s="1293"/>
      <c r="BT231" s="1293"/>
      <c r="BU231" s="1293"/>
      <c r="BV231" s="1293"/>
      <c r="BW231" s="1293"/>
      <c r="BX231" s="1293"/>
      <c r="BY231" s="1293"/>
      <c r="BZ231" s="1293"/>
      <c r="CA231" s="1293"/>
      <c r="CB231" s="1293"/>
      <c r="CC231" s="1293"/>
      <c r="CD231" s="1293"/>
      <c r="CE231" s="1293"/>
      <c r="CF231" s="1293"/>
      <c r="CG231" s="1293"/>
    </row>
    <row r="232" spans="1:85" ht="15.75">
      <c r="A232" s="1293"/>
      <c r="B232" s="1293"/>
      <c r="C232" s="1334" t="s">
        <v>4869</v>
      </c>
      <c r="D232" s="1293"/>
      <c r="E232" s="1293"/>
      <c r="F232" s="1293"/>
      <c r="G232" s="1293"/>
      <c r="H232" s="1293"/>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c r="AK232" s="1293"/>
      <c r="AL232" s="1293"/>
      <c r="AM232" s="1293"/>
      <c r="AN232" s="1293"/>
      <c r="AO232" s="1293"/>
      <c r="AP232" s="1293"/>
      <c r="AQ232" s="1293"/>
      <c r="AR232" s="1293"/>
      <c r="AS232" s="1293"/>
      <c r="AT232" s="1293"/>
      <c r="AU232" s="1293"/>
      <c r="AV232" s="1293"/>
      <c r="AW232" s="1293"/>
      <c r="AX232" s="1293"/>
      <c r="AY232" s="1293"/>
      <c r="AZ232" s="1293"/>
      <c r="BA232" s="1293"/>
      <c r="BB232" s="1293"/>
      <c r="BC232" s="1293"/>
      <c r="BD232" s="1293"/>
      <c r="BE232" s="1293"/>
      <c r="BF232" s="1293"/>
      <c r="BG232" s="1293"/>
      <c r="BH232" s="1293"/>
      <c r="BI232" s="1293"/>
      <c r="BJ232" s="1293"/>
      <c r="BK232" s="1293"/>
      <c r="BL232" s="1293"/>
      <c r="BM232" s="1293"/>
      <c r="BN232" s="1293"/>
      <c r="BO232" s="1293"/>
      <c r="BP232" s="1293"/>
      <c r="BQ232" s="1293"/>
      <c r="BR232" s="1293"/>
      <c r="BS232" s="1293"/>
      <c r="BT232" s="1293"/>
      <c r="BU232" s="1293"/>
      <c r="BV232" s="1293"/>
      <c r="BW232" s="1293"/>
      <c r="BX232" s="1293"/>
      <c r="BY232" s="1293"/>
      <c r="BZ232" s="1293"/>
      <c r="CA232" s="1293"/>
      <c r="CB232" s="1293"/>
      <c r="CC232" s="1293"/>
      <c r="CD232" s="1293"/>
      <c r="CE232" s="1293"/>
      <c r="CF232" s="1293"/>
      <c r="CG232" s="1293"/>
    </row>
    <row r="233" spans="1:85" ht="15.75">
      <c r="A233" s="1293"/>
      <c r="B233" s="1293"/>
      <c r="C233" s="1293"/>
      <c r="D233" s="1327"/>
      <c r="E233" s="1327"/>
      <c r="F233" s="1327"/>
      <c r="G233" s="1327"/>
      <c r="H233" s="1327"/>
      <c r="I233" s="1327"/>
      <c r="J233" s="1327"/>
      <c r="K233" s="1327"/>
      <c r="L233" s="1327"/>
      <c r="M233" s="1327"/>
      <c r="N233" s="1327"/>
      <c r="O233" s="1327"/>
      <c r="P233" s="1327"/>
      <c r="Q233" s="1327"/>
      <c r="R233" s="1327"/>
      <c r="S233" s="1327"/>
      <c r="T233" s="1327"/>
      <c r="U233" s="1293"/>
      <c r="V233" s="1293"/>
      <c r="W233" s="1293"/>
      <c r="X233" s="1293"/>
      <c r="Y233" s="1293"/>
      <c r="Z233" s="1293"/>
      <c r="AA233" s="1293"/>
      <c r="AB233" s="1293"/>
      <c r="AC233" s="1293"/>
      <c r="AD233" s="1293"/>
      <c r="AE233" s="1293"/>
      <c r="AF233" s="1293"/>
      <c r="AG233" s="1293"/>
      <c r="AH233" s="1293"/>
      <c r="AI233" s="1293"/>
      <c r="AJ233" s="1293"/>
      <c r="AK233" s="1293"/>
      <c r="AL233" s="1293"/>
      <c r="AM233" s="1293"/>
      <c r="AN233" s="1293"/>
      <c r="AO233" s="1293"/>
      <c r="AP233" s="1293"/>
      <c r="AQ233" s="1293"/>
      <c r="AR233" s="1293"/>
      <c r="AS233" s="1293"/>
      <c r="AT233" s="1293"/>
      <c r="AU233" s="1293"/>
      <c r="AV233" s="1293"/>
      <c r="AW233" s="1293"/>
      <c r="AX233" s="1293"/>
      <c r="AY233" s="1293"/>
      <c r="AZ233" s="1293"/>
      <c r="BA233" s="1293"/>
      <c r="BB233" s="1293"/>
      <c r="BC233" s="1293"/>
      <c r="BD233" s="1293"/>
      <c r="BE233" s="1293"/>
      <c r="BF233" s="1293"/>
      <c r="BG233" s="1293"/>
      <c r="BH233" s="1293"/>
      <c r="BI233" s="1293"/>
      <c r="BJ233" s="1293"/>
      <c r="BK233" s="1293"/>
      <c r="BL233" s="1293"/>
      <c r="BM233" s="1293"/>
      <c r="BN233" s="1293"/>
      <c r="BO233" s="1293"/>
      <c r="BP233" s="1293"/>
      <c r="BQ233" s="1293"/>
      <c r="BR233" s="1293"/>
      <c r="BS233" s="1293"/>
      <c r="BT233" s="1293"/>
      <c r="BU233" s="1293"/>
      <c r="BV233" s="1293"/>
      <c r="BW233" s="1293"/>
      <c r="BX233" s="1293"/>
      <c r="BY233" s="1293"/>
      <c r="BZ233" s="1293"/>
      <c r="CA233" s="1293"/>
      <c r="CB233" s="1293"/>
      <c r="CC233" s="1293"/>
      <c r="CD233" s="1293"/>
      <c r="CE233" s="1293"/>
      <c r="CF233" s="1293"/>
      <c r="CG233" s="1293"/>
    </row>
    <row r="234" spans="1:85" ht="15.75">
      <c r="A234" s="1293"/>
      <c r="B234" s="1293"/>
      <c r="C234" s="1293" t="str">
        <f>C208</f>
        <v>El Salvador</v>
      </c>
      <c r="D234" s="1327"/>
      <c r="E234" s="1327"/>
      <c r="F234" s="1327"/>
      <c r="G234" s="1327">
        <f t="shared" ref="G234:T234" si="187">G184/F123</f>
        <v>399</v>
      </c>
      <c r="H234" s="1327">
        <f t="shared" si="187"/>
        <v>371</v>
      </c>
      <c r="I234" s="1327">
        <f t="shared" si="187"/>
        <v>348</v>
      </c>
      <c r="J234" s="1327">
        <f t="shared" si="187"/>
        <v>347</v>
      </c>
      <c r="K234" s="1327">
        <f t="shared" si="187"/>
        <v>398</v>
      </c>
      <c r="L234" s="1327">
        <f t="shared" si="187"/>
        <v>429</v>
      </c>
      <c r="M234" s="1327">
        <f t="shared" si="187"/>
        <v>443</v>
      </c>
      <c r="N234" s="1327">
        <f t="shared" si="187"/>
        <v>448</v>
      </c>
      <c r="O234" s="1327">
        <f t="shared" si="187"/>
        <v>456.96000000000004</v>
      </c>
      <c r="P234" s="1327">
        <f t="shared" si="187"/>
        <v>466.09920000000005</v>
      </c>
      <c r="Q234" s="1327">
        <f t="shared" si="187"/>
        <v>475.42118400000004</v>
      </c>
      <c r="R234" s="1327">
        <f t="shared" si="187"/>
        <v>484.92960768000006</v>
      </c>
      <c r="S234" s="1327">
        <f t="shared" si="187"/>
        <v>494.62819983360009</v>
      </c>
      <c r="T234" s="1327">
        <f t="shared" si="187"/>
        <v>504.52076383027213</v>
      </c>
      <c r="U234" s="1293"/>
      <c r="V234" s="1293"/>
      <c r="W234" s="1293"/>
      <c r="X234" s="1293"/>
      <c r="Y234" s="1293"/>
      <c r="Z234" s="1293"/>
      <c r="AA234" s="1293"/>
      <c r="AB234" s="1293"/>
      <c r="AC234" s="1293"/>
      <c r="AD234" s="1293"/>
      <c r="AE234" s="1293"/>
      <c r="AF234" s="1293"/>
      <c r="AG234" s="1293"/>
      <c r="AH234" s="1293"/>
      <c r="AI234" s="1293"/>
      <c r="AJ234" s="1293"/>
      <c r="AK234" s="1293"/>
      <c r="AL234" s="1293"/>
      <c r="AM234" s="1293"/>
      <c r="AN234" s="1293"/>
      <c r="AO234" s="1293"/>
      <c r="AP234" s="1293"/>
      <c r="AQ234" s="1293"/>
      <c r="AR234" s="1293"/>
      <c r="AS234" s="1293"/>
      <c r="AT234" s="1293"/>
      <c r="AU234" s="1293"/>
      <c r="AV234" s="1293"/>
      <c r="AW234" s="1293"/>
      <c r="AX234" s="1293"/>
      <c r="AY234" s="1293"/>
      <c r="AZ234" s="1293"/>
      <c r="BA234" s="1293"/>
      <c r="BB234" s="1293"/>
      <c r="BC234" s="1293"/>
      <c r="BD234" s="1293"/>
      <c r="BE234" s="1293"/>
      <c r="BF234" s="1293"/>
      <c r="BG234" s="1293"/>
      <c r="BH234" s="1293"/>
      <c r="BI234" s="1293"/>
      <c r="BJ234" s="1293"/>
      <c r="BK234" s="1293"/>
      <c r="BL234" s="1293"/>
      <c r="BM234" s="1293"/>
      <c r="BN234" s="1293"/>
      <c r="BO234" s="1293"/>
      <c r="BP234" s="1293"/>
      <c r="BQ234" s="1293"/>
      <c r="BR234" s="1293"/>
      <c r="BS234" s="1293"/>
      <c r="BT234" s="1293"/>
      <c r="BU234" s="1293"/>
      <c r="BV234" s="1293"/>
      <c r="BW234" s="1293"/>
      <c r="BX234" s="1293"/>
      <c r="BY234" s="1293"/>
      <c r="BZ234" s="1293"/>
      <c r="CA234" s="1293"/>
      <c r="CB234" s="1293"/>
      <c r="CC234" s="1293"/>
      <c r="CD234" s="1293"/>
      <c r="CE234" s="1293"/>
      <c r="CF234" s="1293"/>
      <c r="CG234" s="1293"/>
    </row>
    <row r="235" spans="1:85" ht="15.75">
      <c r="A235" s="1293"/>
      <c r="B235" s="1293"/>
      <c r="C235" s="1293" t="str">
        <f>C209</f>
        <v>Guatemala</v>
      </c>
      <c r="D235" s="1327"/>
      <c r="E235" s="1327"/>
      <c r="F235" s="1327"/>
      <c r="G235" s="1327">
        <f t="shared" ref="G235:T235" si="188">G185/F124</f>
        <v>1143.2312746386335</v>
      </c>
      <c r="H235" s="1327">
        <f t="shared" si="188"/>
        <v>1227.1086956521738</v>
      </c>
      <c r="I235" s="1327">
        <f t="shared" si="188"/>
        <v>1263.5372340425533</v>
      </c>
      <c r="J235" s="1327">
        <f t="shared" si="188"/>
        <v>1272</v>
      </c>
      <c r="K235" s="1327">
        <f t="shared" si="188"/>
        <v>1370.6124597227774</v>
      </c>
      <c r="L235" s="1327">
        <f t="shared" si="188"/>
        <v>1375.539391311793</v>
      </c>
      <c r="M235" s="1327">
        <f t="shared" si="188"/>
        <v>1354.1935483870968</v>
      </c>
      <c r="N235" s="1327">
        <f t="shared" si="188"/>
        <v>1376.6581632653063</v>
      </c>
      <c r="O235" s="1327">
        <f t="shared" si="188"/>
        <v>1427.0126288659794</v>
      </c>
      <c r="P235" s="1327">
        <f t="shared" si="188"/>
        <v>1474.0855129870129</v>
      </c>
      <c r="Q235" s="1327">
        <f t="shared" si="188"/>
        <v>1495.9778720907802</v>
      </c>
      <c r="R235" s="1327">
        <f t="shared" si="188"/>
        <v>1518.1953652406432</v>
      </c>
      <c r="S235" s="1327">
        <f t="shared" si="188"/>
        <v>1533.2270025202536</v>
      </c>
      <c r="T235" s="1327">
        <f t="shared" si="188"/>
        <v>1548.4074678917411</v>
      </c>
      <c r="U235" s="1293"/>
      <c r="V235" s="1293"/>
      <c r="W235" s="1293"/>
      <c r="X235" s="1293"/>
      <c r="Y235" s="1293"/>
      <c r="Z235" s="1293"/>
      <c r="AA235" s="1293"/>
      <c r="AB235" s="1293"/>
      <c r="AC235" s="1293"/>
      <c r="AD235" s="1293"/>
      <c r="AE235" s="1293"/>
      <c r="AF235" s="1293"/>
      <c r="AG235" s="1293"/>
      <c r="AH235" s="1293"/>
      <c r="AI235" s="1293"/>
      <c r="AJ235" s="1293"/>
      <c r="AK235" s="1293"/>
      <c r="AL235" s="1293"/>
      <c r="AM235" s="1293"/>
      <c r="AN235" s="1293"/>
      <c r="AO235" s="1293"/>
      <c r="AP235" s="1293"/>
      <c r="AQ235" s="1293"/>
      <c r="AR235" s="1293"/>
      <c r="AS235" s="1293"/>
      <c r="AT235" s="1293"/>
      <c r="AU235" s="1293"/>
      <c r="AV235" s="1293"/>
      <c r="AW235" s="1293"/>
      <c r="AX235" s="1293"/>
      <c r="AY235" s="1293"/>
      <c r="AZ235" s="1293"/>
      <c r="BA235" s="1293"/>
      <c r="BB235" s="1293"/>
      <c r="BC235" s="1293"/>
      <c r="BD235" s="1293"/>
      <c r="BE235" s="1293"/>
      <c r="BF235" s="1293"/>
      <c r="BG235" s="1293"/>
      <c r="BH235" s="1293"/>
      <c r="BI235" s="1293"/>
      <c r="BJ235" s="1293"/>
      <c r="BK235" s="1293"/>
      <c r="BL235" s="1293"/>
      <c r="BM235" s="1293"/>
      <c r="BN235" s="1293"/>
      <c r="BO235" s="1293"/>
      <c r="BP235" s="1293"/>
      <c r="BQ235" s="1293"/>
      <c r="BR235" s="1293"/>
      <c r="BS235" s="1293"/>
      <c r="BT235" s="1293"/>
      <c r="BU235" s="1293"/>
      <c r="BV235" s="1293"/>
      <c r="BW235" s="1293"/>
      <c r="BX235" s="1293"/>
      <c r="BY235" s="1293"/>
      <c r="BZ235" s="1293"/>
      <c r="CA235" s="1293"/>
      <c r="CB235" s="1293"/>
      <c r="CC235" s="1293"/>
      <c r="CD235" s="1293"/>
      <c r="CE235" s="1293"/>
      <c r="CF235" s="1293"/>
      <c r="CG235" s="1293"/>
    </row>
    <row r="236" spans="1:85" ht="15.75">
      <c r="A236" s="1293"/>
      <c r="B236" s="1293"/>
      <c r="C236" s="1293" t="str">
        <f>C210</f>
        <v>Honduras (JV)</v>
      </c>
      <c r="D236" s="1327"/>
      <c r="E236" s="1327"/>
      <c r="F236" s="1327"/>
      <c r="G236" s="1327">
        <f t="shared" ref="G236:T236" si="189">G186/F125</f>
        <v>580.4720767888308</v>
      </c>
      <c r="H236" s="1327">
        <f t="shared" si="189"/>
        <v>561.05133644463308</v>
      </c>
      <c r="I236" s="1327">
        <f t="shared" si="189"/>
        <v>567.15835777126097</v>
      </c>
      <c r="J236" s="1327">
        <f t="shared" si="189"/>
        <v>519.36019536019535</v>
      </c>
      <c r="K236" s="1327">
        <f t="shared" si="189"/>
        <v>533.53390726548355</v>
      </c>
      <c r="L236" s="1327">
        <f t="shared" si="189"/>
        <v>560.11547606233637</v>
      </c>
      <c r="M236" s="1327">
        <f t="shared" si="189"/>
        <v>575.01519395436048</v>
      </c>
      <c r="N236" s="1327">
        <f t="shared" si="189"/>
        <v>588.40227088402276</v>
      </c>
      <c r="O236" s="1327">
        <f t="shared" si="189"/>
        <v>599.70766129032245</v>
      </c>
      <c r="P236" s="1327">
        <f t="shared" si="189"/>
        <v>598.39580078124993</v>
      </c>
      <c r="Q236" s="1327">
        <f t="shared" si="189"/>
        <v>610.24522257889839</v>
      </c>
      <c r="R236" s="1327">
        <f t="shared" si="189"/>
        <v>622.32928639234206</v>
      </c>
      <c r="S236" s="1327">
        <f t="shared" si="189"/>
        <v>631.57180054668379</v>
      </c>
      <c r="T236" s="1327">
        <f t="shared" si="189"/>
        <v>640.95157976272355</v>
      </c>
      <c r="U236" s="1293"/>
      <c r="V236" s="1293"/>
      <c r="W236" s="1293"/>
      <c r="X236" s="1293"/>
      <c r="Y236" s="1293"/>
      <c r="Z236" s="1293"/>
      <c r="AA236" s="1293"/>
      <c r="AB236" s="1293"/>
      <c r="AC236" s="1293"/>
      <c r="AD236" s="1293"/>
      <c r="AE236" s="1293"/>
      <c r="AF236" s="1293"/>
      <c r="AG236" s="1293"/>
      <c r="AH236" s="1293"/>
      <c r="AI236" s="1293"/>
      <c r="AJ236" s="1293"/>
      <c r="AK236" s="1293"/>
      <c r="AL236" s="1293"/>
      <c r="AM236" s="1293"/>
      <c r="AN236" s="1293"/>
      <c r="AO236" s="1293"/>
      <c r="AP236" s="1293"/>
      <c r="AQ236" s="1293"/>
      <c r="AR236" s="1293"/>
      <c r="AS236" s="1293"/>
      <c r="AT236" s="1293"/>
      <c r="AU236" s="1293"/>
      <c r="AV236" s="1293"/>
      <c r="AW236" s="1293"/>
      <c r="AX236" s="1293"/>
      <c r="AY236" s="1293"/>
      <c r="AZ236" s="1293"/>
      <c r="BA236" s="1293"/>
      <c r="BB236" s="1293"/>
      <c r="BC236" s="1293"/>
      <c r="BD236" s="1293"/>
      <c r="BE236" s="1293"/>
      <c r="BF236" s="1293"/>
      <c r="BG236" s="1293"/>
      <c r="BH236" s="1293"/>
      <c r="BI236" s="1293"/>
      <c r="BJ236" s="1293"/>
      <c r="BK236" s="1293"/>
      <c r="BL236" s="1293"/>
      <c r="BM236" s="1293"/>
      <c r="BN236" s="1293"/>
      <c r="BO236" s="1293"/>
      <c r="BP236" s="1293"/>
      <c r="BQ236" s="1293"/>
      <c r="BR236" s="1293"/>
      <c r="BS236" s="1293"/>
      <c r="BT236" s="1293"/>
      <c r="BU236" s="1293"/>
      <c r="BV236" s="1293"/>
      <c r="BW236" s="1293"/>
      <c r="BX236" s="1293"/>
      <c r="BY236" s="1293"/>
      <c r="BZ236" s="1293"/>
      <c r="CA236" s="1293"/>
      <c r="CB236" s="1293"/>
      <c r="CC236" s="1293"/>
      <c r="CD236" s="1293"/>
      <c r="CE236" s="1293"/>
      <c r="CF236" s="1293"/>
      <c r="CG236" s="1293"/>
    </row>
    <row r="237" spans="1:85" ht="15.75">
      <c r="A237" s="1293"/>
      <c r="B237" s="1293"/>
      <c r="C237" s="1293" t="s">
        <v>2032</v>
      </c>
      <c r="D237" s="1327"/>
      <c r="E237" s="1327"/>
      <c r="F237" s="1327"/>
      <c r="G237" s="1327"/>
      <c r="H237" s="1327"/>
      <c r="I237" s="1327">
        <f t="shared" ref="I237:K238" si="190">I194/H126</f>
        <v>394.2</v>
      </c>
      <c r="J237" s="1327">
        <f t="shared" si="190"/>
        <v>360</v>
      </c>
      <c r="K237" s="1327">
        <f t="shared" si="190"/>
        <v>388</v>
      </c>
      <c r="L237" s="2339">
        <f t="shared" ref="L237:T237" si="191">L187/K126</f>
        <v>624.19870000000003</v>
      </c>
      <c r="M237" s="1327">
        <f t="shared" si="191"/>
        <v>669.38059999999996</v>
      </c>
      <c r="N237" s="1327">
        <f t="shared" si="191"/>
        <v>700</v>
      </c>
      <c r="O237" s="1327">
        <f t="shared" si="191"/>
        <v>731.5</v>
      </c>
      <c r="P237" s="1327">
        <f t="shared" si="191"/>
        <v>762.58875</v>
      </c>
      <c r="Q237" s="1327">
        <f t="shared" si="191"/>
        <v>793.09230000000002</v>
      </c>
      <c r="R237" s="1327">
        <f t="shared" si="191"/>
        <v>822.83326125000008</v>
      </c>
      <c r="S237" s="1327">
        <f t="shared" si="191"/>
        <v>851.63242539375005</v>
      </c>
      <c r="T237" s="1327">
        <f t="shared" si="191"/>
        <v>877.18139815556253</v>
      </c>
      <c r="U237" s="1293"/>
      <c r="V237" s="1293"/>
      <c r="W237" s="1293"/>
      <c r="X237" s="1293"/>
      <c r="Y237" s="1293"/>
      <c r="Z237" s="1293"/>
      <c r="AA237" s="1293"/>
      <c r="AB237" s="1293"/>
      <c r="AC237" s="1293"/>
      <c r="AD237" s="1293"/>
      <c r="AE237" s="1293"/>
      <c r="AF237" s="1293"/>
      <c r="AG237" s="1293"/>
      <c r="AH237" s="1293"/>
      <c r="AI237" s="1293"/>
      <c r="AJ237" s="1293"/>
      <c r="AK237" s="1293"/>
      <c r="AL237" s="1293"/>
      <c r="AM237" s="1293"/>
      <c r="AN237" s="1293"/>
      <c r="AO237" s="1293"/>
      <c r="AP237" s="1293"/>
      <c r="AQ237" s="1293"/>
      <c r="AR237" s="1293"/>
      <c r="AS237" s="1293"/>
      <c r="AT237" s="1293"/>
      <c r="AU237" s="1293"/>
      <c r="AV237" s="1293"/>
      <c r="AW237" s="1293"/>
      <c r="AX237" s="1293"/>
      <c r="AY237" s="1293"/>
      <c r="AZ237" s="1293"/>
      <c r="BA237" s="1293"/>
      <c r="BB237" s="1293"/>
      <c r="BC237" s="1293"/>
      <c r="BD237" s="1293"/>
      <c r="BE237" s="1293"/>
      <c r="BF237" s="1293"/>
      <c r="BG237" s="1293"/>
      <c r="BH237" s="1293"/>
      <c r="BI237" s="1293"/>
      <c r="BJ237" s="1293"/>
      <c r="BK237" s="1293"/>
      <c r="BL237" s="1293"/>
      <c r="BM237" s="1293"/>
      <c r="BN237" s="1293"/>
      <c r="BO237" s="1293"/>
      <c r="BP237" s="1293"/>
      <c r="BQ237" s="1293"/>
      <c r="BR237" s="1293"/>
      <c r="BS237" s="1293"/>
      <c r="BT237" s="1293"/>
      <c r="BU237" s="1293"/>
      <c r="BV237" s="1293"/>
      <c r="BW237" s="1293"/>
      <c r="BX237" s="1293"/>
      <c r="BY237" s="1293"/>
      <c r="BZ237" s="1293"/>
      <c r="CA237" s="1293"/>
      <c r="CB237" s="1293"/>
      <c r="CC237" s="1293"/>
      <c r="CD237" s="1293"/>
      <c r="CE237" s="1293"/>
      <c r="CF237" s="1293"/>
      <c r="CG237" s="1293"/>
    </row>
    <row r="238" spans="1:85" ht="15.75">
      <c r="A238" s="1293"/>
      <c r="B238" s="1293"/>
      <c r="C238" s="1293" t="str">
        <f>C219</f>
        <v>Costa Rica</v>
      </c>
      <c r="D238" s="1327"/>
      <c r="E238" s="1327"/>
      <c r="F238" s="1327"/>
      <c r="G238" s="1327">
        <f>G195/F127</f>
        <v>152.22120876928935</v>
      </c>
      <c r="H238" s="1327">
        <f>H195/G127</f>
        <v>146.02112676056339</v>
      </c>
      <c r="I238" s="1327">
        <f t="shared" si="190"/>
        <v>139.01471328671329</v>
      </c>
      <c r="J238" s="1327">
        <f t="shared" si="190"/>
        <v>144.01360544217687</v>
      </c>
      <c r="K238" s="1327">
        <f t="shared" si="190"/>
        <v>174.56083440740554</v>
      </c>
      <c r="L238" s="2339">
        <f t="shared" ref="L238:T238" si="192">L188/K127</f>
        <v>143.8175859633387</v>
      </c>
      <c r="M238" s="1327">
        <f t="shared" si="192"/>
        <v>130.29928794649962</v>
      </c>
      <c r="N238" s="1327">
        <f t="shared" si="192"/>
        <v>144.54044117647058</v>
      </c>
      <c r="O238" s="1327">
        <f t="shared" si="192"/>
        <v>145.42733009708738</v>
      </c>
      <c r="P238" s="1327">
        <f t="shared" si="192"/>
        <v>146.04539624999998</v>
      </c>
      <c r="Q238" s="1327">
        <f t="shared" si="192"/>
        <v>141.74994341911764</v>
      </c>
      <c r="R238" s="1327">
        <f t="shared" si="192"/>
        <v>138.97053276384079</v>
      </c>
      <c r="S238" s="1327">
        <f t="shared" si="192"/>
        <v>137.60807656027376</v>
      </c>
      <c r="T238" s="1327">
        <f t="shared" si="192"/>
        <v>136.25897777046714</v>
      </c>
      <c r="U238" s="1293"/>
      <c r="V238" s="1293"/>
      <c r="W238" s="1293"/>
      <c r="X238" s="1293"/>
      <c r="Y238" s="1293"/>
      <c r="Z238" s="1293"/>
      <c r="AA238" s="1293"/>
      <c r="AB238" s="1293"/>
      <c r="AC238" s="1293"/>
      <c r="AD238" s="1293"/>
      <c r="AE238" s="1293"/>
      <c r="AF238" s="1293"/>
      <c r="AG238" s="1293"/>
      <c r="AH238" s="1293"/>
      <c r="AI238" s="1293"/>
      <c r="AJ238" s="1293"/>
      <c r="AK238" s="1293"/>
      <c r="AL238" s="1293"/>
      <c r="AM238" s="1293"/>
      <c r="AN238" s="1293"/>
      <c r="AO238" s="1293"/>
      <c r="AP238" s="1293"/>
      <c r="AQ238" s="1293"/>
      <c r="AR238" s="1293"/>
      <c r="AS238" s="1293"/>
      <c r="AT238" s="1293"/>
      <c r="AU238" s="1293"/>
      <c r="AV238" s="1293"/>
      <c r="AW238" s="1293"/>
      <c r="AX238" s="1293"/>
      <c r="AY238" s="1293"/>
      <c r="AZ238" s="1293"/>
      <c r="BA238" s="1293"/>
      <c r="BB238" s="1293"/>
      <c r="BC238" s="1293"/>
      <c r="BD238" s="1293"/>
      <c r="BE238" s="1293"/>
      <c r="BF238" s="1293"/>
      <c r="BG238" s="1293"/>
      <c r="BH238" s="1293"/>
      <c r="BI238" s="1293"/>
      <c r="BJ238" s="1293"/>
      <c r="BK238" s="1293"/>
      <c r="BL238" s="1293"/>
      <c r="BM238" s="1293"/>
      <c r="BN238" s="1293"/>
      <c r="BO238" s="1293"/>
      <c r="BP238" s="1293"/>
      <c r="BQ238" s="1293"/>
      <c r="BR238" s="1293"/>
      <c r="BS238" s="1293"/>
      <c r="BT238" s="1293"/>
      <c r="BU238" s="1293"/>
      <c r="BV238" s="1293"/>
      <c r="BW238" s="1293"/>
      <c r="BX238" s="1293"/>
      <c r="BY238" s="1293"/>
      <c r="BZ238" s="1293"/>
      <c r="CA238" s="1293"/>
      <c r="CB238" s="1293"/>
      <c r="CC238" s="1293"/>
      <c r="CD238" s="1293"/>
      <c r="CE238" s="1293"/>
      <c r="CF238" s="1293"/>
      <c r="CG238" s="1293"/>
    </row>
    <row r="239" spans="1:85" ht="15.75">
      <c r="A239" s="1293"/>
      <c r="B239" s="1293"/>
      <c r="C239" s="1293" t="str">
        <f>C214</f>
        <v>Bolivia</v>
      </c>
      <c r="D239" s="1327"/>
      <c r="E239" s="1327"/>
      <c r="F239" s="1327"/>
      <c r="G239" s="1327">
        <f t="shared" ref="G239:T239" si="193">G190/F129</f>
        <v>549</v>
      </c>
      <c r="H239" s="1327">
        <f t="shared" si="193"/>
        <v>596.13603473227204</v>
      </c>
      <c r="I239" s="1327">
        <f t="shared" si="193"/>
        <v>624.90434782608691</v>
      </c>
      <c r="J239" s="1327">
        <f t="shared" si="193"/>
        <v>576</v>
      </c>
      <c r="K239" s="1327">
        <f t="shared" si="193"/>
        <v>611.07276524027691</v>
      </c>
      <c r="L239" s="1327">
        <f t="shared" si="193"/>
        <v>609.17186449788301</v>
      </c>
      <c r="M239" s="1327">
        <f t="shared" si="193"/>
        <v>603.87581520978677</v>
      </c>
      <c r="N239" s="1327">
        <f t="shared" si="193"/>
        <v>607.52532561505063</v>
      </c>
      <c r="O239" s="1327">
        <f t="shared" si="193"/>
        <v>621.47460087082732</v>
      </c>
      <c r="P239" s="1327">
        <f t="shared" si="193"/>
        <v>250.18880571428573</v>
      </c>
      <c r="Q239" s="1327">
        <f t="shared" si="193"/>
        <v>256.44352585714284</v>
      </c>
      <c r="R239" s="1327">
        <f t="shared" si="193"/>
        <v>262.85461400357144</v>
      </c>
      <c r="S239" s="1327">
        <f t="shared" si="193"/>
        <v>268.11170628364289</v>
      </c>
      <c r="T239" s="1327">
        <f t="shared" si="193"/>
        <v>273.47394040931573</v>
      </c>
      <c r="U239" s="1293"/>
      <c r="V239" s="1293"/>
      <c r="W239" s="1293"/>
      <c r="X239" s="1293"/>
      <c r="Y239" s="1293"/>
      <c r="Z239" s="1293"/>
      <c r="AA239" s="1293"/>
      <c r="AB239" s="1293"/>
      <c r="AC239" s="1293"/>
      <c r="AD239" s="1293"/>
      <c r="AE239" s="1293"/>
      <c r="AF239" s="1293"/>
      <c r="AG239" s="1293"/>
      <c r="AH239" s="1293"/>
      <c r="AI239" s="1293"/>
      <c r="AJ239" s="1293"/>
      <c r="AK239" s="1293"/>
      <c r="AL239" s="1293"/>
      <c r="AM239" s="1293"/>
      <c r="AN239" s="1293"/>
      <c r="AO239" s="1293"/>
      <c r="AP239" s="1293"/>
      <c r="AQ239" s="1293"/>
      <c r="AR239" s="1293"/>
      <c r="AS239" s="1293"/>
      <c r="AT239" s="1293"/>
      <c r="AU239" s="1293"/>
      <c r="AV239" s="1293"/>
      <c r="AW239" s="1293"/>
      <c r="AX239" s="1293"/>
      <c r="AY239" s="1293"/>
      <c r="AZ239" s="1293"/>
      <c r="BA239" s="1293"/>
      <c r="BB239" s="1293"/>
      <c r="BC239" s="1293"/>
      <c r="BD239" s="1293"/>
      <c r="BE239" s="1293"/>
      <c r="BF239" s="1293"/>
      <c r="BG239" s="1293"/>
      <c r="BH239" s="1293"/>
      <c r="BI239" s="1293"/>
      <c r="BJ239" s="1293"/>
      <c r="BK239" s="1293"/>
      <c r="BL239" s="1293"/>
      <c r="BM239" s="1293"/>
      <c r="BN239" s="1293"/>
      <c r="BO239" s="1293"/>
      <c r="BP239" s="1293"/>
      <c r="BQ239" s="1293"/>
      <c r="BR239" s="1293"/>
      <c r="BS239" s="1293"/>
      <c r="BT239" s="1293"/>
      <c r="BU239" s="1293"/>
      <c r="BV239" s="1293"/>
      <c r="BW239" s="1293"/>
      <c r="BX239" s="1293"/>
      <c r="BY239" s="1293"/>
      <c r="BZ239" s="1293"/>
      <c r="CA239" s="1293"/>
      <c r="CB239" s="1293"/>
      <c r="CC239" s="1293"/>
      <c r="CD239" s="1293"/>
      <c r="CE239" s="1293"/>
      <c r="CF239" s="1293"/>
      <c r="CG239" s="1293"/>
    </row>
    <row r="240" spans="1:85" ht="15.75">
      <c r="A240" s="1293"/>
      <c r="B240" s="1293"/>
      <c r="C240" s="1293" t="str">
        <f>C215</f>
        <v>Colombia</v>
      </c>
      <c r="D240" s="1327"/>
      <c r="E240" s="1327"/>
      <c r="F240" s="1327"/>
      <c r="G240" s="1327">
        <f t="shared" ref="G240:T240" si="194">G191*1000/F130</f>
        <v>1567.8506385086482</v>
      </c>
      <c r="H240" s="1327">
        <f t="shared" si="194"/>
        <v>1531.8511134389889</v>
      </c>
      <c r="I240" s="1327">
        <f t="shared" si="194"/>
        <v>1604.1932168550873</v>
      </c>
      <c r="J240" s="1327">
        <f t="shared" si="194"/>
        <v>1442.2758409785934</v>
      </c>
      <c r="K240" s="1327">
        <f t="shared" si="194"/>
        <v>1318.0531034489541</v>
      </c>
      <c r="L240" s="1327">
        <f t="shared" si="194"/>
        <v>1409.9212103653215</v>
      </c>
      <c r="M240" s="1327">
        <f t="shared" si="194"/>
        <v>1278.2608695652175</v>
      </c>
      <c r="N240" s="1327">
        <f t="shared" si="194"/>
        <v>1264.8148148148148</v>
      </c>
      <c r="O240" s="1327">
        <f t="shared" si="194"/>
        <v>1369.0124969370252</v>
      </c>
      <c r="P240" s="1327">
        <f t="shared" si="194"/>
        <v>1379.9068674698792</v>
      </c>
      <c r="Q240" s="1327">
        <f t="shared" si="194"/>
        <v>1393.4353661705647</v>
      </c>
      <c r="R240" s="1327">
        <f t="shared" si="194"/>
        <v>1413.9270627318965</v>
      </c>
      <c r="S240" s="1327">
        <f t="shared" si="194"/>
        <v>1427.7890927586798</v>
      </c>
      <c r="T240" s="1327">
        <f t="shared" si="194"/>
        <v>1434.7880588996534</v>
      </c>
      <c r="U240" s="1293"/>
      <c r="V240" s="1293"/>
      <c r="W240" s="1293"/>
      <c r="X240" s="1293"/>
      <c r="Y240" s="1293"/>
      <c r="Z240" s="1293"/>
      <c r="AA240" s="1293"/>
      <c r="AB240" s="1293"/>
      <c r="AC240" s="1293"/>
      <c r="AD240" s="1293"/>
      <c r="AE240" s="1293"/>
      <c r="AF240" s="1293"/>
      <c r="AG240" s="1293"/>
      <c r="AH240" s="1293"/>
      <c r="AI240" s="1293"/>
      <c r="AJ240" s="1293"/>
      <c r="AK240" s="1293"/>
      <c r="AL240" s="1293"/>
      <c r="AM240" s="1293"/>
      <c r="AN240" s="1293"/>
      <c r="AO240" s="1293"/>
      <c r="AP240" s="1293"/>
      <c r="AQ240" s="1293"/>
      <c r="AR240" s="1293"/>
      <c r="AS240" s="1293"/>
      <c r="AT240" s="1293"/>
      <c r="AU240" s="1293"/>
      <c r="AV240" s="1293"/>
      <c r="AW240" s="1293"/>
      <c r="AX240" s="1293"/>
      <c r="AY240" s="1293"/>
      <c r="AZ240" s="1293"/>
      <c r="BA240" s="1293"/>
      <c r="BB240" s="1293"/>
      <c r="BC240" s="1293"/>
      <c r="BD240" s="1293"/>
      <c r="BE240" s="1293"/>
      <c r="BF240" s="1293"/>
      <c r="BG240" s="1293"/>
      <c r="BH240" s="1293"/>
      <c r="BI240" s="1293"/>
      <c r="BJ240" s="1293"/>
      <c r="BK240" s="1293"/>
      <c r="BL240" s="1293"/>
      <c r="BM240" s="1293"/>
      <c r="BN240" s="1293"/>
      <c r="BO240" s="1293"/>
      <c r="BP240" s="1293"/>
      <c r="BQ240" s="1293"/>
      <c r="BR240" s="1293"/>
      <c r="BS240" s="1293"/>
      <c r="BT240" s="1293"/>
      <c r="BU240" s="1293"/>
      <c r="BV240" s="1293"/>
      <c r="BW240" s="1293"/>
      <c r="BX240" s="1293"/>
      <c r="BY240" s="1293"/>
      <c r="BZ240" s="1293"/>
      <c r="CA240" s="1293"/>
      <c r="CB240" s="1293"/>
      <c r="CC240" s="1293"/>
      <c r="CD240" s="1293"/>
      <c r="CE240" s="1293"/>
      <c r="CF240" s="1293"/>
      <c r="CG240" s="1293"/>
    </row>
    <row r="241" spans="1:85" ht="15.75">
      <c r="A241" s="1293"/>
      <c r="B241" s="1293"/>
      <c r="C241" s="1331" t="str">
        <f>C216</f>
        <v>Paraguay</v>
      </c>
      <c r="D241" s="1718"/>
      <c r="E241" s="1718"/>
      <c r="F241" s="1718"/>
      <c r="G241" s="1718">
        <f t="shared" ref="G241:T241" si="195">G192*1000/F131</f>
        <v>615.39798694663443</v>
      </c>
      <c r="H241" s="1718">
        <f t="shared" si="195"/>
        <v>641.48918580153077</v>
      </c>
      <c r="I241" s="1718">
        <f t="shared" si="195"/>
        <v>618.23559292345419</v>
      </c>
      <c r="J241" s="1718">
        <f t="shared" si="195"/>
        <v>560.98339513138808</v>
      </c>
      <c r="K241" s="1718">
        <f t="shared" si="195"/>
        <v>525.35588947956592</v>
      </c>
      <c r="L241" s="1718">
        <f t="shared" si="195"/>
        <v>547.78228566397024</v>
      </c>
      <c r="M241" s="1718">
        <f t="shared" si="195"/>
        <v>571.03825136612022</v>
      </c>
      <c r="N241" s="1718">
        <f t="shared" si="195"/>
        <v>560.75150850246848</v>
      </c>
      <c r="O241" s="1718">
        <f t="shared" si="195"/>
        <v>550.52534318901792</v>
      </c>
      <c r="P241" s="1718">
        <f t="shared" si="195"/>
        <v>543.78524050632916</v>
      </c>
      <c r="Q241" s="1718">
        <f t="shared" si="195"/>
        <v>551.78208227848097</v>
      </c>
      <c r="R241" s="1718">
        <f t="shared" si="195"/>
        <v>559.89652466492907</v>
      </c>
      <c r="S241" s="1718">
        <f t="shared" si="195"/>
        <v>565.38570627929118</v>
      </c>
      <c r="T241" s="1718">
        <f t="shared" si="195"/>
        <v>568.15720483948382</v>
      </c>
      <c r="U241" s="1293"/>
      <c r="V241" s="1293"/>
      <c r="W241" s="1293"/>
      <c r="X241" s="1293"/>
      <c r="Y241" s="1293"/>
      <c r="Z241" s="1293"/>
      <c r="AA241" s="1293"/>
      <c r="AB241" s="1293"/>
      <c r="AC241" s="1293"/>
      <c r="AD241" s="1293"/>
      <c r="AE241" s="1293"/>
      <c r="AF241" s="1293"/>
      <c r="AG241" s="1293"/>
      <c r="AH241" s="1293"/>
      <c r="AI241" s="1293"/>
      <c r="AJ241" s="1293"/>
      <c r="AK241" s="1293"/>
      <c r="AL241" s="1293"/>
      <c r="AM241" s="1293"/>
      <c r="AN241" s="1293"/>
      <c r="AO241" s="1293"/>
      <c r="AP241" s="1293"/>
      <c r="AQ241" s="1293"/>
      <c r="AR241" s="1293"/>
      <c r="AS241" s="1293"/>
      <c r="AT241" s="1293"/>
      <c r="AU241" s="1293"/>
      <c r="AV241" s="1293"/>
      <c r="AW241" s="1293"/>
      <c r="AX241" s="1293"/>
      <c r="AY241" s="1293"/>
      <c r="AZ241" s="1293"/>
      <c r="BA241" s="1293"/>
      <c r="BB241" s="1293"/>
      <c r="BC241" s="1293"/>
      <c r="BD241" s="1293"/>
      <c r="BE241" s="1293"/>
      <c r="BF241" s="1293"/>
      <c r="BG241" s="1293"/>
      <c r="BH241" s="1293"/>
      <c r="BI241" s="1293"/>
      <c r="BJ241" s="1293"/>
      <c r="BK241" s="1293"/>
      <c r="BL241" s="1293"/>
      <c r="BM241" s="1293"/>
      <c r="BN241" s="1293"/>
      <c r="BO241" s="1293"/>
      <c r="BP241" s="1293"/>
      <c r="BQ241" s="1293"/>
      <c r="BR241" s="1293"/>
      <c r="BS241" s="1293"/>
      <c r="BT241" s="1293"/>
      <c r="BU241" s="1293"/>
      <c r="BV241" s="1293"/>
      <c r="BW241" s="1293"/>
      <c r="BX241" s="1293"/>
      <c r="BY241" s="1293"/>
      <c r="BZ241" s="1293"/>
      <c r="CA241" s="1293"/>
      <c r="CB241" s="1293"/>
      <c r="CC241" s="1293"/>
      <c r="CD241" s="1293"/>
      <c r="CE241" s="1293"/>
      <c r="CF241" s="1293"/>
      <c r="CG241" s="1293"/>
    </row>
    <row r="242" spans="1:85" ht="15.75">
      <c r="A242" s="1293"/>
      <c r="B242" s="1293"/>
      <c r="C242" s="1334" t="s">
        <v>4690</v>
      </c>
      <c r="D242" s="1958"/>
      <c r="E242" s="1958"/>
      <c r="F242" s="1958"/>
      <c r="G242" s="1958">
        <f>SUM(G234:G241)</f>
        <v>5007.1731856520364</v>
      </c>
      <c r="H242" s="1958">
        <f t="shared" ref="H242:O242" si="196">SUM(H234:H241)</f>
        <v>5074.6574928301616</v>
      </c>
      <c r="I242" s="1958">
        <f>SUM(I234:I241)</f>
        <v>5559.2434627051562</v>
      </c>
      <c r="J242" s="1958">
        <f>SUM(J234:J241)</f>
        <v>5221.6330369123534</v>
      </c>
      <c r="K242" s="1958">
        <f t="shared" si="196"/>
        <v>5319.1889595644643</v>
      </c>
      <c r="L242" s="1958">
        <f t="shared" si="196"/>
        <v>5699.5465138646432</v>
      </c>
      <c r="M242" s="1958">
        <f t="shared" si="196"/>
        <v>5625.0635664290821</v>
      </c>
      <c r="N242" s="1958">
        <f t="shared" si="196"/>
        <v>5690.6925242581337</v>
      </c>
      <c r="O242" s="1958">
        <f t="shared" si="196"/>
        <v>5901.6200612502598</v>
      </c>
      <c r="P242" s="1958">
        <f>SUM(P234:P241)</f>
        <v>5621.095573708757</v>
      </c>
      <c r="Q242" s="1958">
        <f>SUM(Q234:Q241)</f>
        <v>5718.147496394985</v>
      </c>
      <c r="R242" s="1958">
        <f>SUM(R234:R241)</f>
        <v>5823.9362547272231</v>
      </c>
      <c r="S242" s="1958">
        <f>SUM(S234:S241)</f>
        <v>5909.954010176175</v>
      </c>
      <c r="T242" s="1958">
        <f>SUM(T234:T241)</f>
        <v>5983.7393915592193</v>
      </c>
      <c r="U242" s="1293"/>
      <c r="V242" s="1293"/>
      <c r="W242" s="1293"/>
      <c r="X242" s="1293"/>
      <c r="Y242" s="1293"/>
      <c r="Z242" s="1293"/>
      <c r="AA242" s="1293"/>
      <c r="AB242" s="1293"/>
      <c r="AC242" s="1293"/>
      <c r="AD242" s="1293"/>
      <c r="AE242" s="1293"/>
      <c r="AF242" s="1293"/>
      <c r="AG242" s="1293"/>
      <c r="AH242" s="1293"/>
      <c r="AI242" s="1293"/>
      <c r="AJ242" s="1293"/>
      <c r="AK242" s="1293"/>
      <c r="AL242" s="1293"/>
      <c r="AM242" s="1293"/>
      <c r="AN242" s="1293"/>
      <c r="AO242" s="1293"/>
      <c r="AP242" s="1293"/>
      <c r="AQ242" s="1293"/>
      <c r="AR242" s="1293"/>
      <c r="AS242" s="1293"/>
      <c r="AT242" s="1293"/>
      <c r="AU242" s="1293"/>
      <c r="AV242" s="1293"/>
      <c r="AW242" s="1293"/>
      <c r="AX242" s="1293"/>
      <c r="AY242" s="1293"/>
      <c r="AZ242" s="1293"/>
      <c r="BA242" s="1293"/>
      <c r="BB242" s="1293"/>
      <c r="BC242" s="1293"/>
      <c r="BD242" s="1293"/>
      <c r="BE242" s="1293"/>
      <c r="BF242" s="1293"/>
      <c r="BG242" s="1293"/>
      <c r="BH242" s="1293"/>
      <c r="BI242" s="1293"/>
      <c r="BJ242" s="1293"/>
      <c r="BK242" s="1293"/>
      <c r="BL242" s="1293"/>
      <c r="BM242" s="1293"/>
      <c r="BN242" s="1293"/>
      <c r="BO242" s="1293"/>
      <c r="BP242" s="1293"/>
      <c r="BQ242" s="1293"/>
      <c r="BR242" s="1293"/>
      <c r="BS242" s="1293"/>
      <c r="BT242" s="1293"/>
      <c r="BU242" s="1293"/>
      <c r="BV242" s="1293"/>
      <c r="BW242" s="1293"/>
      <c r="BX242" s="1293"/>
      <c r="BY242" s="1293"/>
      <c r="BZ242" s="1293"/>
      <c r="CA242" s="1293"/>
      <c r="CB242" s="1293"/>
      <c r="CC242" s="1293"/>
      <c r="CD242" s="1293"/>
      <c r="CE242" s="1293"/>
      <c r="CF242" s="1293"/>
      <c r="CG242" s="1293"/>
    </row>
    <row r="243" spans="1:85" ht="16.5" thickBot="1">
      <c r="A243" s="1293"/>
      <c r="B243" s="1293"/>
      <c r="C243" s="1334" t="s">
        <v>945</v>
      </c>
      <c r="D243" s="1334"/>
      <c r="E243" s="1334"/>
      <c r="F243" s="1334"/>
      <c r="G243" s="1335">
        <f>G242/(F57+F63)-1</f>
        <v>8.0453246146874324E-3</v>
      </c>
      <c r="H243" s="1335">
        <f>H242/(G57+G63)-1</f>
        <v>-8.5499255165155663E-4</v>
      </c>
      <c r="I243" s="1335">
        <f>I242/(H57+H63+Onda!D23)-1</f>
        <v>1.9156416463661285E-2</v>
      </c>
      <c r="J243" s="1335">
        <f>J242/(I57+I63-I56)-1</f>
        <v>-2.6038597674498454E-2</v>
      </c>
      <c r="K243" s="1335">
        <f>K242/(J57+J63-J56)-1</f>
        <v>2.3905478260724644E-2</v>
      </c>
      <c r="L243" s="1335">
        <f t="shared" ref="L243:T243" si="197">L242/(K57+K63)-1</f>
        <v>-6.7015486468031682E-3</v>
      </c>
      <c r="M243" s="1335">
        <f t="shared" si="197"/>
        <v>8.3773777184463771E-2</v>
      </c>
      <c r="N243" s="1335">
        <f t="shared" si="197"/>
        <v>7.9655181556385957E-2</v>
      </c>
      <c r="O243" s="1335">
        <f t="shared" si="197"/>
        <v>8.5478025168426397E-2</v>
      </c>
      <c r="P243" s="1335">
        <f t="shared" si="197"/>
        <v>8.914436495110567E-2</v>
      </c>
      <c r="Q243" s="1335">
        <f t="shared" si="197"/>
        <v>9.2107419197960727E-2</v>
      </c>
      <c r="R243" s="1335">
        <f t="shared" si="197"/>
        <v>9.3533964452558127E-2</v>
      </c>
      <c r="S243" s="1335">
        <f t="shared" si="197"/>
        <v>8.9835237843179039E-2</v>
      </c>
      <c r="T243" s="1335">
        <f t="shared" si="197"/>
        <v>8.7598339371830702E-2</v>
      </c>
      <c r="U243" s="1293"/>
      <c r="V243" s="1293"/>
      <c r="W243" s="1293"/>
      <c r="X243" s="1293"/>
      <c r="Y243" s="1293"/>
      <c r="Z243" s="1293"/>
      <c r="AA243" s="1293"/>
      <c r="AB243" s="1293"/>
      <c r="AC243" s="1293"/>
      <c r="AD243" s="1293"/>
      <c r="AE243" s="1293"/>
      <c r="AF243" s="1293"/>
      <c r="AG243" s="1293"/>
      <c r="AH243" s="1293"/>
      <c r="AI243" s="1293"/>
      <c r="AJ243" s="1293"/>
      <c r="AK243" s="1293"/>
      <c r="AL243" s="1293"/>
      <c r="AM243" s="1293"/>
      <c r="AN243" s="1293"/>
      <c r="AO243" s="1293"/>
      <c r="AP243" s="1293"/>
      <c r="AQ243" s="1293"/>
      <c r="AR243" s="1293"/>
      <c r="AS243" s="1293"/>
      <c r="AT243" s="1293"/>
      <c r="AU243" s="1293"/>
      <c r="AV243" s="1293"/>
      <c r="AW243" s="1293"/>
      <c r="AX243" s="1293"/>
      <c r="AY243" s="1293"/>
      <c r="AZ243" s="1293"/>
      <c r="BA243" s="1293"/>
      <c r="BB243" s="1293"/>
      <c r="BC243" s="1293"/>
      <c r="BD243" s="1293"/>
      <c r="BE243" s="1293"/>
      <c r="BF243" s="1293"/>
      <c r="BG243" s="1293"/>
      <c r="BH243" s="1293"/>
      <c r="BI243" s="1293"/>
      <c r="BJ243" s="1293"/>
      <c r="BK243" s="1293"/>
      <c r="BL243" s="1293"/>
      <c r="BM243" s="1293"/>
      <c r="BN243" s="1293"/>
      <c r="BO243" s="1293"/>
      <c r="BP243" s="1293"/>
      <c r="BQ243" s="1293"/>
      <c r="BR243" s="1293"/>
      <c r="BS243" s="1293"/>
      <c r="BT243" s="1293"/>
      <c r="BU243" s="1293"/>
      <c r="BV243" s="1293"/>
      <c r="BW243" s="1293"/>
      <c r="BX243" s="1293"/>
      <c r="BY243" s="1293"/>
      <c r="BZ243" s="1293"/>
      <c r="CA243" s="1293"/>
      <c r="CB243" s="1293"/>
      <c r="CC243" s="1293"/>
      <c r="CD243" s="1293"/>
      <c r="CE243" s="1293"/>
      <c r="CF243" s="1293"/>
      <c r="CG243" s="1293"/>
    </row>
    <row r="244" spans="1:85" ht="16.5" thickBot="1">
      <c r="A244" s="1293"/>
      <c r="B244" s="1293"/>
      <c r="C244" s="1334" t="s">
        <v>9035</v>
      </c>
      <c r="D244" s="1334"/>
      <c r="E244" s="1334"/>
      <c r="F244" s="1334"/>
      <c r="G244" s="1335"/>
      <c r="H244" s="2004">
        <f>H243+1.7%</f>
        <v>1.6145007448348445E-2</v>
      </c>
      <c r="I244" s="1335">
        <f>I243</f>
        <v>1.9156416463661285E-2</v>
      </c>
      <c r="J244" s="2005">
        <f>((J208*J46)+(J209*J47)+(J48*J210)+(J218*J52)+(J53*J219)+(J214*J59)+(J60*J215)+(J216*J61)+(J13*J220)+(J15*J221))/J65</f>
        <v>-4.5538036721830509E-3</v>
      </c>
      <c r="K244" s="2006">
        <f>((K208*K46)+(K209*K47)+(K48*K210)+(K218*K52)+(K53*K219)+(K214*K59)+(K60*K215)+(K216*K61)+(K13*K220)+(K15*K221))/K65</f>
        <v>6.3663759614552437E-2</v>
      </c>
      <c r="L244" s="2006">
        <f t="shared" ref="L244:T244" si="198">((L208*L46)+(L209*L47)+(L48*L210)+(L211*L49)+(L50*L212)+(L51*L213)+(L214*L59)+(L60*L215)+(L216*L61))/L65</f>
        <v>3.8568261570298593E-2</v>
      </c>
      <c r="M244" s="2006">
        <f t="shared" si="198"/>
        <v>2.8631063738431464E-2</v>
      </c>
      <c r="N244" s="2006">
        <f>((N208*N46)+(N209*N47)+(N48*N210)+(N211*N49)+(N50*N212)+(N51*N213)+(N214*N59)+(N60*N215)+(N216*N61))/N65</f>
        <v>2.2418169427025559E-2</v>
      </c>
      <c r="O244" s="2006">
        <f t="shared" si="198"/>
        <v>2.7366220813470937E-2</v>
      </c>
      <c r="P244" s="2006">
        <f t="shared" si="198"/>
        <v>2.9776997491299893E-2</v>
      </c>
      <c r="Q244" s="2006">
        <f t="shared" si="198"/>
        <v>3.2346502998673643E-2</v>
      </c>
      <c r="R244" s="2006">
        <f t="shared" si="198"/>
        <v>3.3310721437644249E-2</v>
      </c>
      <c r="S244" s="2006">
        <f t="shared" si="198"/>
        <v>2.8979435255160862E-2</v>
      </c>
      <c r="T244" s="2007">
        <f t="shared" si="198"/>
        <v>2.620200677560636E-2</v>
      </c>
      <c r="U244" s="1293"/>
      <c r="V244" s="1293"/>
      <c r="W244" s="1293"/>
      <c r="X244" s="1293"/>
      <c r="Y244" s="1293"/>
      <c r="Z244" s="1293"/>
      <c r="AA244" s="1293"/>
      <c r="AB244" s="1293"/>
      <c r="AC244" s="1293"/>
      <c r="AD244" s="1293"/>
      <c r="AE244" s="1293"/>
      <c r="AF244" s="1293"/>
      <c r="AG244" s="1293"/>
      <c r="AH244" s="1293"/>
      <c r="AI244" s="1293"/>
      <c r="AJ244" s="1293"/>
      <c r="AK244" s="1293"/>
      <c r="AL244" s="1293"/>
      <c r="AM244" s="1293"/>
      <c r="AN244" s="1293"/>
      <c r="AO244" s="1293"/>
      <c r="AP244" s="1293"/>
      <c r="AQ244" s="1293"/>
      <c r="AR244" s="1293"/>
      <c r="AS244" s="1293"/>
      <c r="AT244" s="1293"/>
      <c r="AU244" s="1293"/>
      <c r="AV244" s="1293"/>
      <c r="AW244" s="1293"/>
      <c r="AX244" s="1293"/>
      <c r="AY244" s="1293"/>
      <c r="AZ244" s="1293"/>
      <c r="BA244" s="1293"/>
      <c r="BB244" s="1293"/>
      <c r="BC244" s="1293"/>
      <c r="BD244" s="1293"/>
      <c r="BE244" s="1293"/>
      <c r="BF244" s="1293"/>
      <c r="BG244" s="1293"/>
      <c r="BH244" s="1293"/>
      <c r="BI244" s="1293"/>
      <c r="BJ244" s="1293"/>
      <c r="BK244" s="1293"/>
      <c r="BL244" s="1293"/>
      <c r="BM244" s="1293"/>
      <c r="BN244" s="1293"/>
      <c r="BO244" s="1293"/>
      <c r="BP244" s="1293"/>
      <c r="BQ244" s="1293"/>
      <c r="BR244" s="1293"/>
      <c r="BS244" s="1293"/>
      <c r="BT244" s="1293"/>
      <c r="BU244" s="1293"/>
      <c r="BV244" s="1293"/>
      <c r="BW244" s="1293"/>
      <c r="BX244" s="1293"/>
      <c r="BY244" s="1293"/>
      <c r="BZ244" s="1293"/>
      <c r="CA244" s="1293"/>
      <c r="CB244" s="1293"/>
      <c r="CC244" s="1293"/>
      <c r="CD244" s="1293"/>
      <c r="CE244" s="1293"/>
      <c r="CF244" s="1293"/>
      <c r="CG244" s="1293"/>
    </row>
    <row r="245" spans="1:85" ht="15.75">
      <c r="A245" s="1293"/>
      <c r="B245" s="1293"/>
      <c r="C245" s="1293"/>
      <c r="D245" s="1293"/>
      <c r="E245" s="1293"/>
      <c r="F245" s="1293"/>
      <c r="G245" s="1293"/>
      <c r="H245" s="1293"/>
      <c r="I245" s="1293"/>
      <c r="J245" s="1293"/>
      <c r="K245" s="1293"/>
      <c r="L245" s="1293"/>
      <c r="M245" s="1293"/>
      <c r="N245" s="1293"/>
      <c r="O245" s="1293"/>
      <c r="P245" s="1293"/>
      <c r="Q245" s="1293"/>
      <c r="R245" s="1293"/>
      <c r="S245" s="1293"/>
      <c r="T245" s="1293"/>
      <c r="U245" s="1293"/>
      <c r="V245" s="1293"/>
      <c r="W245" s="1293"/>
      <c r="X245" s="1293"/>
      <c r="Y245" s="1293"/>
      <c r="Z245" s="1293"/>
      <c r="AA245" s="1293"/>
      <c r="AB245" s="1293"/>
      <c r="AC245" s="1293"/>
      <c r="AD245" s="1293"/>
      <c r="AE245" s="1293"/>
      <c r="AF245" s="1293"/>
      <c r="AG245" s="1293"/>
      <c r="AH245" s="1293"/>
      <c r="AI245" s="1293"/>
      <c r="AJ245" s="1293"/>
      <c r="AK245" s="1293"/>
      <c r="AL245" s="1293"/>
      <c r="AM245" s="1293"/>
      <c r="AN245" s="1293"/>
      <c r="AO245" s="1293"/>
      <c r="AP245" s="1293"/>
      <c r="AQ245" s="1293"/>
      <c r="AR245" s="1293"/>
      <c r="AS245" s="1293"/>
      <c r="AT245" s="1293"/>
      <c r="AU245" s="1293"/>
      <c r="AV245" s="1293"/>
      <c r="AW245" s="1293"/>
      <c r="AX245" s="1293"/>
      <c r="AY245" s="1293"/>
      <c r="AZ245" s="1293"/>
      <c r="BA245" s="1293"/>
      <c r="BB245" s="1293"/>
      <c r="BC245" s="1293"/>
      <c r="BD245" s="1293"/>
      <c r="BE245" s="1293"/>
      <c r="BF245" s="1293"/>
      <c r="BG245" s="1293"/>
      <c r="BH245" s="1293"/>
      <c r="BI245" s="1293"/>
      <c r="BJ245" s="1293"/>
      <c r="BK245" s="1293"/>
      <c r="BL245" s="1293"/>
      <c r="BM245" s="1293"/>
      <c r="BN245" s="1293"/>
      <c r="BO245" s="1293"/>
      <c r="BP245" s="1293"/>
      <c r="BQ245" s="1293"/>
      <c r="BR245" s="1293"/>
      <c r="BS245" s="1293"/>
      <c r="BT245" s="1293"/>
      <c r="BU245" s="1293"/>
      <c r="BV245" s="1293"/>
      <c r="BW245" s="1293"/>
      <c r="BX245" s="1293"/>
      <c r="BY245" s="1293"/>
      <c r="BZ245" s="1293"/>
      <c r="CA245" s="1293"/>
      <c r="CB245" s="1293"/>
      <c r="CC245" s="1293"/>
      <c r="CD245" s="1293"/>
      <c r="CE245" s="1293"/>
      <c r="CF245" s="1293"/>
      <c r="CG245" s="1293"/>
    </row>
    <row r="246" spans="1:85" ht="15.75">
      <c r="A246" s="1293"/>
      <c r="B246" s="1293"/>
      <c r="C246" s="1293"/>
      <c r="D246" s="1293"/>
      <c r="E246" s="1293"/>
      <c r="F246" s="1293"/>
      <c r="G246" s="1293"/>
      <c r="H246" s="1293"/>
      <c r="I246" s="1293"/>
      <c r="J246" s="1293"/>
      <c r="K246" s="1293"/>
      <c r="L246" s="1293"/>
      <c r="M246" s="1293"/>
      <c r="N246" s="1293"/>
      <c r="O246" s="1293"/>
      <c r="P246" s="1293"/>
      <c r="Q246" s="1293"/>
      <c r="R246" s="1293"/>
      <c r="S246" s="1293"/>
      <c r="T246" s="1293"/>
      <c r="U246" s="1293"/>
      <c r="V246" s="1293"/>
      <c r="W246" s="1293"/>
      <c r="X246" s="1293"/>
      <c r="Y246" s="1293"/>
      <c r="Z246" s="1293"/>
      <c r="AA246" s="1293"/>
      <c r="AB246" s="1293"/>
      <c r="AC246" s="1293"/>
      <c r="AD246" s="1293"/>
      <c r="AE246" s="1293"/>
      <c r="AF246" s="1293"/>
      <c r="AG246" s="1293"/>
      <c r="AH246" s="1293"/>
      <c r="AI246" s="1293"/>
      <c r="AJ246" s="1293"/>
      <c r="AK246" s="1293"/>
      <c r="AL246" s="1293"/>
      <c r="AM246" s="1293"/>
      <c r="AN246" s="1293"/>
      <c r="AO246" s="1293"/>
      <c r="AP246" s="1293"/>
      <c r="AQ246" s="1293"/>
      <c r="AR246" s="1293"/>
      <c r="AS246" s="1293"/>
      <c r="AT246" s="1293"/>
      <c r="AU246" s="1293"/>
      <c r="AV246" s="1293"/>
      <c r="AW246" s="1293"/>
      <c r="AX246" s="1293"/>
      <c r="AY246" s="1293"/>
      <c r="AZ246" s="1293"/>
      <c r="BA246" s="1293"/>
      <c r="BB246" s="1293"/>
      <c r="BC246" s="1293"/>
      <c r="BD246" s="1293"/>
      <c r="BE246" s="1293"/>
      <c r="BF246" s="1293"/>
      <c r="BG246" s="1293"/>
      <c r="BH246" s="1293"/>
      <c r="BI246" s="1293"/>
      <c r="BJ246" s="1293"/>
      <c r="BK246" s="1293"/>
      <c r="BL246" s="1293"/>
      <c r="BM246" s="1293"/>
      <c r="BN246" s="1293"/>
      <c r="BO246" s="1293"/>
      <c r="BP246" s="1293"/>
      <c r="BQ246" s="1293"/>
      <c r="BR246" s="1293"/>
      <c r="BS246" s="1293"/>
      <c r="BT246" s="1293"/>
      <c r="BU246" s="1293"/>
      <c r="BV246" s="1293"/>
      <c r="BW246" s="1293"/>
      <c r="BX246" s="1293"/>
      <c r="BY246" s="1293"/>
      <c r="BZ246" s="1293"/>
      <c r="CA246" s="1293"/>
      <c r="CB246" s="1293"/>
      <c r="CC246" s="1293"/>
      <c r="CD246" s="1293"/>
      <c r="CE246" s="1293"/>
      <c r="CF246" s="1293"/>
      <c r="CG246" s="1293"/>
    </row>
    <row r="247" spans="1:85" ht="15.75">
      <c r="A247" s="1293"/>
      <c r="B247" s="1293"/>
      <c r="C247" s="1293"/>
      <c r="D247" s="1293"/>
      <c r="E247" s="1293"/>
      <c r="F247" s="1293"/>
      <c r="G247" s="1293"/>
      <c r="H247" s="1293"/>
      <c r="I247" s="1293"/>
      <c r="J247" s="1293"/>
      <c r="K247" s="1293"/>
      <c r="L247" s="1293"/>
      <c r="M247" s="1293"/>
      <c r="N247" s="1293"/>
      <c r="O247" s="1293"/>
      <c r="P247" s="1293"/>
      <c r="Q247" s="1293"/>
      <c r="R247" s="1293"/>
      <c r="S247" s="1293"/>
      <c r="T247" s="1293"/>
      <c r="U247" s="1293"/>
      <c r="V247" s="1293"/>
      <c r="W247" s="1293"/>
      <c r="X247" s="1293"/>
      <c r="Y247" s="1293"/>
      <c r="Z247" s="1293"/>
      <c r="AA247" s="1293"/>
      <c r="AB247" s="1293"/>
      <c r="AC247" s="1293"/>
      <c r="AD247" s="1293"/>
      <c r="AE247" s="1293"/>
      <c r="AF247" s="1293"/>
      <c r="AG247" s="1293"/>
      <c r="AH247" s="1293"/>
      <c r="AI247" s="1293"/>
      <c r="AJ247" s="1293"/>
      <c r="AK247" s="1293"/>
      <c r="AL247" s="1293"/>
      <c r="AM247" s="1293"/>
      <c r="AN247" s="1293"/>
      <c r="AO247" s="1293"/>
      <c r="AP247" s="1293"/>
      <c r="AQ247" s="1293"/>
      <c r="AR247" s="1293"/>
      <c r="AS247" s="1293"/>
      <c r="AT247" s="1293"/>
      <c r="AU247" s="1293"/>
      <c r="AV247" s="1293"/>
      <c r="AW247" s="1293"/>
      <c r="AX247" s="1293"/>
      <c r="AY247" s="1293"/>
      <c r="AZ247" s="1293"/>
      <c r="BA247" s="1293"/>
      <c r="BB247" s="1293"/>
      <c r="BC247" s="1293"/>
      <c r="BD247" s="1293"/>
      <c r="BE247" s="1293"/>
      <c r="BF247" s="1293"/>
      <c r="BG247" s="1293"/>
      <c r="BH247" s="1293"/>
      <c r="BI247" s="1293"/>
      <c r="BJ247" s="1293"/>
      <c r="BK247" s="1293"/>
      <c r="BL247" s="1293"/>
      <c r="BM247" s="1293"/>
      <c r="BN247" s="1293"/>
      <c r="BO247" s="1293"/>
      <c r="BP247" s="1293"/>
      <c r="BQ247" s="1293"/>
      <c r="BR247" s="1293"/>
      <c r="BS247" s="1293"/>
      <c r="BT247" s="1293"/>
      <c r="BU247" s="1293"/>
      <c r="BV247" s="1293"/>
      <c r="BW247" s="1293"/>
      <c r="BX247" s="1293"/>
      <c r="BY247" s="1293"/>
      <c r="BZ247" s="1293"/>
      <c r="CA247" s="1293"/>
      <c r="CB247" s="1293"/>
      <c r="CC247" s="1293"/>
      <c r="CD247" s="1293"/>
      <c r="CE247" s="1293"/>
      <c r="CF247" s="1293"/>
      <c r="CG247" s="1293"/>
    </row>
    <row r="248" spans="1:85" ht="15.75">
      <c r="A248" s="1293"/>
      <c r="B248" s="1293"/>
      <c r="C248" s="1324" t="s">
        <v>4536</v>
      </c>
      <c r="D248" s="1324">
        <f t="shared" ref="D248:T248" si="199">D183</f>
        <v>2014</v>
      </c>
      <c r="E248" s="1324">
        <f t="shared" si="199"/>
        <v>2015</v>
      </c>
      <c r="F248" s="1324">
        <f t="shared" si="199"/>
        <v>2016</v>
      </c>
      <c r="G248" s="1324">
        <f t="shared" si="199"/>
        <v>2017</v>
      </c>
      <c r="H248" s="1324">
        <f t="shared" si="199"/>
        <v>2018</v>
      </c>
      <c r="I248" s="1324">
        <f t="shared" si="199"/>
        <v>2019</v>
      </c>
      <c r="J248" s="1324">
        <f t="shared" si="199"/>
        <v>2020</v>
      </c>
      <c r="K248" s="1324">
        <f t="shared" si="199"/>
        <v>2021</v>
      </c>
      <c r="L248" s="1324">
        <f t="shared" si="199"/>
        <v>2022</v>
      </c>
      <c r="M248" s="1324">
        <f t="shared" si="199"/>
        <v>2023</v>
      </c>
      <c r="N248" s="1324">
        <f t="shared" si="199"/>
        <v>2024</v>
      </c>
      <c r="O248" s="1324">
        <f t="shared" si="199"/>
        <v>2025</v>
      </c>
      <c r="P248" s="1324">
        <f t="shared" si="199"/>
        <v>2026</v>
      </c>
      <c r="Q248" s="1324">
        <f t="shared" si="199"/>
        <v>2027</v>
      </c>
      <c r="R248" s="1324">
        <f t="shared" si="199"/>
        <v>2028</v>
      </c>
      <c r="S248" s="1324">
        <f t="shared" si="199"/>
        <v>2029</v>
      </c>
      <c r="T248" s="1324">
        <f t="shared" si="199"/>
        <v>2030</v>
      </c>
      <c r="U248" s="1293"/>
      <c r="V248" s="1293"/>
      <c r="W248" s="1293"/>
      <c r="X248" s="1293"/>
      <c r="Y248" s="1293"/>
      <c r="Z248" s="1293"/>
      <c r="AA248" s="1293"/>
      <c r="AB248" s="1293"/>
      <c r="AC248" s="1293"/>
      <c r="AD248" s="1293"/>
      <c r="AE248" s="1293"/>
      <c r="AF248" s="1293"/>
      <c r="AG248" s="1293"/>
      <c r="AH248" s="1293"/>
      <c r="AI248" s="1293"/>
      <c r="AJ248" s="1293"/>
      <c r="AK248" s="1293"/>
      <c r="AL248" s="1293"/>
      <c r="AM248" s="1293"/>
      <c r="AN248" s="1293"/>
      <c r="AO248" s="1293"/>
      <c r="AP248" s="1293"/>
      <c r="AQ248" s="1293"/>
      <c r="AR248" s="1293"/>
      <c r="AS248" s="1293"/>
      <c r="AT248" s="1293"/>
      <c r="AU248" s="1293"/>
      <c r="AV248" s="1293"/>
      <c r="AW248" s="1293"/>
      <c r="AX248" s="1293"/>
      <c r="AY248" s="1293"/>
      <c r="AZ248" s="1293"/>
      <c r="BA248" s="1293"/>
      <c r="BB248" s="1293"/>
      <c r="BC248" s="1293"/>
      <c r="BD248" s="1293"/>
      <c r="BE248" s="1293"/>
      <c r="BF248" s="1293"/>
      <c r="BG248" s="1293"/>
      <c r="BH248" s="1293"/>
      <c r="BI248" s="1293"/>
      <c r="BJ248" s="1293"/>
      <c r="BK248" s="1293"/>
      <c r="BL248" s="1293"/>
      <c r="BM248" s="1293"/>
      <c r="BN248" s="1293"/>
      <c r="BO248" s="1293"/>
      <c r="BP248" s="1293"/>
      <c r="BQ248" s="1293"/>
      <c r="BR248" s="1293"/>
      <c r="BS248" s="1293"/>
      <c r="BT248" s="1293"/>
      <c r="BU248" s="1293"/>
      <c r="BV248" s="1293"/>
      <c r="BW248" s="1293"/>
      <c r="BX248" s="1293"/>
      <c r="BY248" s="1293"/>
      <c r="BZ248" s="1293"/>
      <c r="CA248" s="1293"/>
      <c r="CB248" s="1293"/>
      <c r="CC248" s="1293"/>
      <c r="CD248" s="1293"/>
      <c r="CE248" s="1293"/>
      <c r="CF248" s="1293"/>
      <c r="CG248" s="1293"/>
    </row>
    <row r="249" spans="1:85" ht="15.75">
      <c r="A249" s="1293"/>
      <c r="B249" s="1293"/>
      <c r="C249" s="1293" t="str">
        <f t="shared" ref="C249:C257" si="200">C184</f>
        <v>El Salvador</v>
      </c>
      <c r="D249" s="1327">
        <f t="shared" ref="D249:N249" si="201">D162-D184</f>
        <v>30.087694619999979</v>
      </c>
      <c r="E249" s="1327">
        <f t="shared" si="201"/>
        <v>29.592624349999994</v>
      </c>
      <c r="F249" s="1327">
        <f t="shared" si="201"/>
        <v>25.582200380000586</v>
      </c>
      <c r="G249" s="1327">
        <f t="shared" si="201"/>
        <v>24</v>
      </c>
      <c r="H249" s="1327">
        <f t="shared" si="201"/>
        <v>35</v>
      </c>
      <c r="I249" s="1327">
        <f t="shared" si="201"/>
        <v>38</v>
      </c>
      <c r="J249" s="1327">
        <f t="shared" si="201"/>
        <v>43</v>
      </c>
      <c r="K249" s="1327">
        <f t="shared" si="201"/>
        <v>49</v>
      </c>
      <c r="L249" s="1327">
        <f t="shared" si="201"/>
        <v>46.949999999999989</v>
      </c>
      <c r="M249" s="1327">
        <f t="shared" si="201"/>
        <v>46.221000000000004</v>
      </c>
      <c r="N249" s="1327">
        <f t="shared" si="201"/>
        <v>47.701999999999998</v>
      </c>
      <c r="O249" s="1998">
        <f t="shared" ref="O249:O257" si="202">N249</f>
        <v>47.701999999999998</v>
      </c>
      <c r="P249" s="1998">
        <f>O249*1.02</f>
        <v>48.656039999999997</v>
      </c>
      <c r="Q249" s="1998">
        <f t="shared" ref="Q249:T249" si="203">P249*1.02</f>
        <v>49.629160800000001</v>
      </c>
      <c r="R249" s="1998">
        <f t="shared" si="203"/>
        <v>50.621744016000001</v>
      </c>
      <c r="S249" s="1998">
        <f t="shared" si="203"/>
        <v>51.634178896320002</v>
      </c>
      <c r="T249" s="1998">
        <f t="shared" si="203"/>
        <v>52.6668624742464</v>
      </c>
      <c r="U249" s="1293"/>
      <c r="V249" s="1293"/>
      <c r="W249" s="1293"/>
      <c r="X249" s="1293"/>
      <c r="Y249" s="1293"/>
      <c r="Z249" s="1293"/>
      <c r="AA249" s="1293"/>
      <c r="AB249" s="1293"/>
      <c r="AC249" s="1293"/>
      <c r="AD249" s="1293"/>
      <c r="AE249" s="1293"/>
      <c r="AF249" s="1293"/>
      <c r="AG249" s="1293"/>
      <c r="AH249" s="1293"/>
      <c r="AI249" s="1293"/>
      <c r="AJ249" s="1293"/>
      <c r="AK249" s="1293"/>
      <c r="AL249" s="1293"/>
      <c r="AM249" s="1293"/>
      <c r="AN249" s="1293"/>
      <c r="AO249" s="1293"/>
      <c r="AP249" s="1293"/>
      <c r="AQ249" s="1293"/>
      <c r="AR249" s="1293"/>
      <c r="AS249" s="1293"/>
      <c r="AT249" s="1293"/>
      <c r="AU249" s="1293"/>
      <c r="AV249" s="1293"/>
      <c r="AW249" s="1293"/>
      <c r="AX249" s="1293"/>
      <c r="AY249" s="1293"/>
      <c r="AZ249" s="1293"/>
      <c r="BA249" s="1293"/>
      <c r="BB249" s="1293"/>
      <c r="BC249" s="1293"/>
      <c r="BD249" s="1293"/>
      <c r="BE249" s="1293"/>
      <c r="BF249" s="1293"/>
      <c r="BG249" s="1293"/>
      <c r="BH249" s="1293"/>
      <c r="BI249" s="1293"/>
      <c r="BJ249" s="1293"/>
      <c r="BK249" s="1293"/>
      <c r="BL249" s="1293"/>
      <c r="BM249" s="1293"/>
      <c r="BN249" s="1293"/>
      <c r="BO249" s="1293"/>
      <c r="BP249" s="1293"/>
      <c r="BQ249" s="1293"/>
      <c r="BR249" s="1293"/>
      <c r="BS249" s="1293"/>
      <c r="BT249" s="1293"/>
      <c r="BU249" s="1293"/>
      <c r="BV249" s="1293"/>
      <c r="BW249" s="1293"/>
      <c r="BX249" s="1293"/>
      <c r="BY249" s="1293"/>
      <c r="BZ249" s="1293"/>
      <c r="CA249" s="1293"/>
      <c r="CB249" s="1293"/>
      <c r="CC249" s="1293"/>
      <c r="CD249" s="1293"/>
      <c r="CE249" s="1293"/>
      <c r="CF249" s="1293"/>
      <c r="CG249" s="1293"/>
    </row>
    <row r="250" spans="1:85" ht="15.75">
      <c r="A250" s="1293"/>
      <c r="B250" s="1293"/>
      <c r="C250" s="1293" t="str">
        <f t="shared" si="200"/>
        <v>Guatemala</v>
      </c>
      <c r="D250" s="1327">
        <f t="shared" ref="D250:N250" si="204">D163-D185</f>
        <v>1059.8858772873682</v>
      </c>
      <c r="E250" s="1327">
        <f t="shared" si="204"/>
        <v>1147.010226670498</v>
      </c>
      <c r="F250" s="1327">
        <f t="shared" si="204"/>
        <v>1087.7190569509876</v>
      </c>
      <c r="G250" s="1327">
        <f t="shared" si="204"/>
        <v>1066.7299999999996</v>
      </c>
      <c r="H250" s="1327">
        <f t="shared" si="204"/>
        <v>1293.4400000000005</v>
      </c>
      <c r="I250" s="1327">
        <f t="shared" si="204"/>
        <v>1547.6999999999989</v>
      </c>
      <c r="J250" s="1327">
        <f t="shared" si="204"/>
        <v>1821.8286100000005</v>
      </c>
      <c r="K250" s="1327">
        <f t="shared" si="204"/>
        <v>1827.0154607925397</v>
      </c>
      <c r="L250" s="1327">
        <f t="shared" si="204"/>
        <v>1859.8110665114018</v>
      </c>
      <c r="M250" s="1327">
        <f t="shared" si="204"/>
        <v>1761.0358416000017</v>
      </c>
      <c r="N250" s="1327">
        <f t="shared" si="204"/>
        <v>1649.7763886800003</v>
      </c>
      <c r="O250" s="1998">
        <f t="shared" si="202"/>
        <v>1649.7763886800003</v>
      </c>
      <c r="P250" s="1998">
        <f t="shared" ref="P250:T250" si="205">O250*1.02</f>
        <v>1682.7719164536004</v>
      </c>
      <c r="Q250" s="1998">
        <f t="shared" si="205"/>
        <v>1716.4273547826724</v>
      </c>
      <c r="R250" s="1998">
        <f t="shared" si="205"/>
        <v>1750.7559018783259</v>
      </c>
      <c r="S250" s="1998">
        <f t="shared" si="205"/>
        <v>1785.7710199158923</v>
      </c>
      <c r="T250" s="1998">
        <f t="shared" si="205"/>
        <v>1821.4864403142103</v>
      </c>
      <c r="U250" s="1293"/>
      <c r="V250" s="1293"/>
      <c r="W250" s="1293"/>
      <c r="X250" s="1293"/>
      <c r="Y250" s="1293"/>
      <c r="Z250" s="1293"/>
      <c r="AA250" s="1293"/>
      <c r="AB250" s="1293"/>
      <c r="AC250" s="1293"/>
      <c r="AD250" s="1293"/>
      <c r="AE250" s="1293"/>
      <c r="AF250" s="1293"/>
      <c r="AG250" s="1293"/>
      <c r="AH250" s="1293"/>
      <c r="AI250" s="1293"/>
      <c r="AJ250" s="1293"/>
      <c r="AK250" s="1293"/>
      <c r="AL250" s="1293"/>
      <c r="AM250" s="1293"/>
      <c r="AN250" s="1293"/>
      <c r="AO250" s="1293"/>
      <c r="AP250" s="1293"/>
      <c r="AQ250" s="1293"/>
      <c r="AR250" s="1293"/>
      <c r="AS250" s="1293"/>
      <c r="AT250" s="1293"/>
      <c r="AU250" s="1293"/>
      <c r="AV250" s="1293"/>
      <c r="AW250" s="1293"/>
      <c r="AX250" s="1293"/>
      <c r="AY250" s="1293"/>
      <c r="AZ250" s="1293"/>
      <c r="BA250" s="1293"/>
      <c r="BB250" s="1293"/>
      <c r="BC250" s="1293"/>
      <c r="BD250" s="1293"/>
      <c r="BE250" s="1293"/>
      <c r="BF250" s="1293"/>
      <c r="BG250" s="1293"/>
      <c r="BH250" s="1293"/>
      <c r="BI250" s="1293"/>
      <c r="BJ250" s="1293"/>
      <c r="BK250" s="1293"/>
      <c r="BL250" s="1293"/>
      <c r="BM250" s="1293"/>
      <c r="BN250" s="1293"/>
      <c r="BO250" s="1293"/>
      <c r="BP250" s="1293"/>
      <c r="BQ250" s="1293"/>
      <c r="BR250" s="1293"/>
      <c r="BS250" s="1293"/>
      <c r="BT250" s="1293"/>
      <c r="BU250" s="1293"/>
      <c r="BV250" s="1293"/>
      <c r="BW250" s="1293"/>
      <c r="BX250" s="1293"/>
      <c r="BY250" s="1293"/>
      <c r="BZ250" s="1293"/>
      <c r="CA250" s="1293"/>
      <c r="CB250" s="1293"/>
      <c r="CC250" s="1293"/>
      <c r="CD250" s="1293"/>
      <c r="CE250" s="1293"/>
      <c r="CF250" s="1293"/>
      <c r="CG250" s="1293"/>
    </row>
    <row r="251" spans="1:85" ht="15.75">
      <c r="A251" s="1293"/>
      <c r="B251" s="1293"/>
      <c r="C251" s="1293" t="str">
        <f t="shared" si="200"/>
        <v>Honduras (JV)</v>
      </c>
      <c r="D251" s="1327">
        <f t="shared" ref="D251:N251" si="206">D164-D186</f>
        <v>538.77882100542229</v>
      </c>
      <c r="E251" s="1327">
        <f t="shared" si="206"/>
        <v>712.79918131642444</v>
      </c>
      <c r="F251" s="1327">
        <f t="shared" si="206"/>
        <v>550.50315306108496</v>
      </c>
      <c r="G251" s="1327">
        <f t="shared" si="206"/>
        <v>484.02999999999884</v>
      </c>
      <c r="H251" s="1327">
        <f t="shared" si="206"/>
        <v>763.83999999999833</v>
      </c>
      <c r="I251" s="1327">
        <f t="shared" si="206"/>
        <v>1056.5100000000002</v>
      </c>
      <c r="J251" s="1327">
        <f t="shared" si="206"/>
        <v>852.61939999999959</v>
      </c>
      <c r="K251" s="1327">
        <f t="shared" si="206"/>
        <v>987.49044007867087</v>
      </c>
      <c r="L251" s="1327">
        <f t="shared" si="206"/>
        <v>904.00547658321557</v>
      </c>
      <c r="M251" s="1327">
        <f t="shared" si="206"/>
        <v>965.4534360000016</v>
      </c>
      <c r="N251" s="1327">
        <f t="shared" si="206"/>
        <v>850.94053299999905</v>
      </c>
      <c r="O251" s="1998">
        <f t="shared" si="202"/>
        <v>850.94053299999905</v>
      </c>
      <c r="P251" s="1998">
        <f t="shared" ref="P251:T251" si="207">O251*1.02</f>
        <v>867.95934365999904</v>
      </c>
      <c r="Q251" s="1998">
        <f t="shared" si="207"/>
        <v>885.31853053319901</v>
      </c>
      <c r="R251" s="1998">
        <f t="shared" si="207"/>
        <v>903.02490114386296</v>
      </c>
      <c r="S251" s="1998">
        <f t="shared" si="207"/>
        <v>921.08539916674022</v>
      </c>
      <c r="T251" s="1998">
        <f t="shared" si="207"/>
        <v>939.50710715007506</v>
      </c>
      <c r="U251" s="1293"/>
      <c r="V251" s="1293"/>
      <c r="W251" s="1293"/>
      <c r="X251" s="1293"/>
      <c r="Y251" s="1293"/>
      <c r="Z251" s="1293"/>
      <c r="AA251" s="1293"/>
      <c r="AB251" s="1293"/>
      <c r="AC251" s="1293"/>
      <c r="AD251" s="1293"/>
      <c r="AE251" s="1293"/>
      <c r="AF251" s="1293"/>
      <c r="AG251" s="1293"/>
      <c r="AH251" s="1293"/>
      <c r="AI251" s="1293"/>
      <c r="AJ251" s="1293"/>
      <c r="AK251" s="1293"/>
      <c r="AL251" s="1293"/>
      <c r="AM251" s="1293"/>
      <c r="AN251" s="1293"/>
      <c r="AO251" s="1293"/>
      <c r="AP251" s="1293"/>
      <c r="AQ251" s="1293"/>
      <c r="AR251" s="1293"/>
      <c r="AS251" s="1293"/>
      <c r="AT251" s="1293"/>
      <c r="AU251" s="1293"/>
      <c r="AV251" s="1293"/>
      <c r="AW251" s="1293"/>
      <c r="AX251" s="1293"/>
      <c r="AY251" s="1293"/>
      <c r="AZ251" s="1293"/>
      <c r="BA251" s="1293"/>
      <c r="BB251" s="1293"/>
      <c r="BC251" s="1293"/>
      <c r="BD251" s="1293"/>
      <c r="BE251" s="1293"/>
      <c r="BF251" s="1293"/>
      <c r="BG251" s="1293"/>
      <c r="BH251" s="1293"/>
      <c r="BI251" s="1293"/>
      <c r="BJ251" s="1293"/>
      <c r="BK251" s="1293"/>
      <c r="BL251" s="1293"/>
      <c r="BM251" s="1293"/>
      <c r="BN251" s="1293"/>
      <c r="BO251" s="1293"/>
      <c r="BP251" s="1293"/>
      <c r="BQ251" s="1293"/>
      <c r="BR251" s="1293"/>
      <c r="BS251" s="1293"/>
      <c r="BT251" s="1293"/>
      <c r="BU251" s="1293"/>
      <c r="BV251" s="1293"/>
      <c r="BW251" s="1293"/>
      <c r="BX251" s="1293"/>
      <c r="BY251" s="1293"/>
      <c r="BZ251" s="1293"/>
      <c r="CA251" s="1293"/>
      <c r="CB251" s="1293"/>
      <c r="CC251" s="1293"/>
      <c r="CD251" s="1293"/>
      <c r="CE251" s="1293"/>
      <c r="CF251" s="1293"/>
      <c r="CG251" s="1293"/>
    </row>
    <row r="252" spans="1:85" ht="15.75">
      <c r="A252" s="1293"/>
      <c r="B252" s="1293"/>
      <c r="C252" s="1293" t="str">
        <f t="shared" si="200"/>
        <v>Panama</v>
      </c>
      <c r="D252" s="1327"/>
      <c r="E252" s="1327"/>
      <c r="F252" s="1327"/>
      <c r="G252" s="1327"/>
      <c r="H252" s="1327"/>
      <c r="I252" s="1327"/>
      <c r="J252" s="1327"/>
      <c r="K252" s="1327"/>
      <c r="L252" s="1327">
        <f t="shared" ref="L252:N257" si="208">L165-L187</f>
        <v>27.072699999999941</v>
      </c>
      <c r="M252" s="1327">
        <f t="shared" si="208"/>
        <v>49.816300000000069</v>
      </c>
      <c r="N252" s="1327">
        <f t="shared" si="208"/>
        <v>55.578300000000127</v>
      </c>
      <c r="O252" s="1998">
        <f t="shared" si="202"/>
        <v>55.578300000000127</v>
      </c>
      <c r="P252" s="1998">
        <f t="shared" ref="P252:T252" si="209">O252*1.02</f>
        <v>56.68986600000013</v>
      </c>
      <c r="Q252" s="1998">
        <f t="shared" si="209"/>
        <v>57.823663320000136</v>
      </c>
      <c r="R252" s="1998">
        <f t="shared" si="209"/>
        <v>58.980136586400143</v>
      </c>
      <c r="S252" s="1998">
        <f t="shared" si="209"/>
        <v>60.159739318128146</v>
      </c>
      <c r="T252" s="1998">
        <f t="shared" si="209"/>
        <v>61.362934104490712</v>
      </c>
      <c r="U252" s="1293"/>
      <c r="V252" s="1293"/>
      <c r="W252" s="1293"/>
      <c r="X252" s="1293"/>
      <c r="Y252" s="1293"/>
      <c r="Z252" s="1293"/>
      <c r="AA252" s="1293"/>
      <c r="AB252" s="1293"/>
      <c r="AC252" s="1293"/>
      <c r="AD252" s="1293"/>
      <c r="AE252" s="1293"/>
      <c r="AF252" s="1293"/>
      <c r="AG252" s="1293"/>
      <c r="AH252" s="1293"/>
      <c r="AI252" s="1293"/>
      <c r="AJ252" s="1293"/>
      <c r="AK252" s="1293"/>
      <c r="AL252" s="1293"/>
      <c r="AM252" s="1293"/>
      <c r="AN252" s="1293"/>
      <c r="AO252" s="1293"/>
      <c r="AP252" s="1293"/>
      <c r="AQ252" s="1293"/>
      <c r="AR252" s="1293"/>
      <c r="AS252" s="1293"/>
      <c r="AT252" s="1293"/>
      <c r="AU252" s="1293"/>
      <c r="AV252" s="1293"/>
      <c r="AW252" s="1293"/>
      <c r="AX252" s="1293"/>
      <c r="AY252" s="1293"/>
      <c r="AZ252" s="1293"/>
      <c r="BA252" s="1293"/>
      <c r="BB252" s="1293"/>
      <c r="BC252" s="1293"/>
      <c r="BD252" s="1293"/>
      <c r="BE252" s="1293"/>
      <c r="BF252" s="1293"/>
      <c r="BG252" s="1293"/>
      <c r="BH252" s="1293"/>
      <c r="BI252" s="1293"/>
      <c r="BJ252" s="1293"/>
      <c r="BK252" s="1293"/>
      <c r="BL252" s="1293"/>
      <c r="BM252" s="1293"/>
      <c r="BN252" s="1293"/>
      <c r="BO252" s="1293"/>
      <c r="BP252" s="1293"/>
      <c r="BQ252" s="1293"/>
      <c r="BR252" s="1293"/>
      <c r="BS252" s="1293"/>
      <c r="BT252" s="1293"/>
      <c r="BU252" s="1293"/>
      <c r="BV252" s="1293"/>
      <c r="BW252" s="1293"/>
      <c r="BX252" s="1293"/>
      <c r="BY252" s="1293"/>
      <c r="BZ252" s="1293"/>
      <c r="CA252" s="1293"/>
      <c r="CB252" s="1293"/>
      <c r="CC252" s="1293"/>
      <c r="CD252" s="1293"/>
      <c r="CE252" s="1293"/>
      <c r="CF252" s="1293"/>
      <c r="CG252" s="1293"/>
    </row>
    <row r="253" spans="1:85" ht="15.75">
      <c r="A253" s="1293"/>
      <c r="B253" s="1293"/>
      <c r="C253" s="1293" t="str">
        <f t="shared" si="200"/>
        <v>Costa Rica</v>
      </c>
      <c r="D253" s="1327"/>
      <c r="E253" s="1327"/>
      <c r="F253" s="1327"/>
      <c r="G253" s="1327"/>
      <c r="H253" s="1327"/>
      <c r="I253" s="1327"/>
      <c r="J253" s="1327"/>
      <c r="K253" s="1327"/>
      <c r="L253" s="1327">
        <f t="shared" si="208"/>
        <v>0</v>
      </c>
      <c r="M253" s="1327">
        <f t="shared" si="208"/>
        <v>67</v>
      </c>
      <c r="N253" s="1327">
        <f t="shared" si="208"/>
        <v>36</v>
      </c>
      <c r="O253" s="1998">
        <f t="shared" si="202"/>
        <v>36</v>
      </c>
      <c r="P253" s="1998">
        <f t="shared" ref="P253:T253" si="210">O253*1.02</f>
        <v>36.72</v>
      </c>
      <c r="Q253" s="1998">
        <f t="shared" si="210"/>
        <v>37.4544</v>
      </c>
      <c r="R253" s="1998">
        <f t="shared" si="210"/>
        <v>38.203488</v>
      </c>
      <c r="S253" s="1998">
        <f t="shared" si="210"/>
        <v>38.967557759999998</v>
      </c>
      <c r="T253" s="1998">
        <f t="shared" si="210"/>
        <v>39.746908915200002</v>
      </c>
      <c r="U253" s="1293"/>
      <c r="V253" s="1293"/>
      <c r="W253" s="1293"/>
      <c r="X253" s="1293"/>
      <c r="Y253" s="1293"/>
      <c r="Z253" s="1293"/>
      <c r="AA253" s="1293"/>
      <c r="AB253" s="1293"/>
      <c r="AC253" s="1293"/>
      <c r="AD253" s="1293"/>
      <c r="AE253" s="1293"/>
      <c r="AF253" s="1293"/>
      <c r="AG253" s="1293"/>
      <c r="AH253" s="1293"/>
      <c r="AI253" s="1293"/>
      <c r="AJ253" s="1293"/>
      <c r="AK253" s="1293"/>
      <c r="AL253" s="1293"/>
      <c r="AM253" s="1293"/>
      <c r="AN253" s="1293"/>
      <c r="AO253" s="1293"/>
      <c r="AP253" s="1293"/>
      <c r="AQ253" s="1293"/>
      <c r="AR253" s="1293"/>
      <c r="AS253" s="1293"/>
      <c r="AT253" s="1293"/>
      <c r="AU253" s="1293"/>
      <c r="AV253" s="1293"/>
      <c r="AW253" s="1293"/>
      <c r="AX253" s="1293"/>
      <c r="AY253" s="1293"/>
      <c r="AZ253" s="1293"/>
      <c r="BA253" s="1293"/>
      <c r="BB253" s="1293"/>
      <c r="BC253" s="1293"/>
      <c r="BD253" s="1293"/>
      <c r="BE253" s="1293"/>
      <c r="BF253" s="1293"/>
      <c r="BG253" s="1293"/>
      <c r="BH253" s="1293"/>
      <c r="BI253" s="1293"/>
      <c r="BJ253" s="1293"/>
      <c r="BK253" s="1293"/>
      <c r="BL253" s="1293"/>
      <c r="BM253" s="1293"/>
      <c r="BN253" s="1293"/>
      <c r="BO253" s="1293"/>
      <c r="BP253" s="1293"/>
      <c r="BQ253" s="1293"/>
      <c r="BR253" s="1293"/>
      <c r="BS253" s="1293"/>
      <c r="BT253" s="1293"/>
      <c r="BU253" s="1293"/>
      <c r="BV253" s="1293"/>
      <c r="BW253" s="1293"/>
      <c r="BX253" s="1293"/>
      <c r="BY253" s="1293"/>
      <c r="BZ253" s="1293"/>
      <c r="CA253" s="1293"/>
      <c r="CB253" s="1293"/>
      <c r="CC253" s="1293"/>
      <c r="CD253" s="1293"/>
      <c r="CE253" s="1293"/>
      <c r="CF253" s="1293"/>
      <c r="CG253" s="1293"/>
    </row>
    <row r="254" spans="1:85" ht="15.75">
      <c r="A254" s="1293"/>
      <c r="B254" s="1293"/>
      <c r="C254" s="1293" t="str">
        <f t="shared" si="200"/>
        <v>Nicaragua</v>
      </c>
      <c r="D254" s="1327"/>
      <c r="E254" s="1327"/>
      <c r="F254" s="1327"/>
      <c r="G254" s="1327"/>
      <c r="H254" s="1327"/>
      <c r="I254" s="1327"/>
      <c r="J254" s="1327"/>
      <c r="K254" s="1327"/>
      <c r="L254" s="1327">
        <f t="shared" si="208"/>
        <v>453.67414799999824</v>
      </c>
      <c r="M254" s="1327">
        <f t="shared" si="208"/>
        <v>332.91559898999913</v>
      </c>
      <c r="N254" s="1327">
        <f t="shared" si="208"/>
        <v>306.02950835999945</v>
      </c>
      <c r="O254" s="1998">
        <f t="shared" si="202"/>
        <v>306.02950835999945</v>
      </c>
      <c r="P254" s="1998">
        <f t="shared" ref="P254:T254" si="211">O254*1.02</f>
        <v>312.15009852719948</v>
      </c>
      <c r="Q254" s="1998">
        <f t="shared" si="211"/>
        <v>318.39310049774349</v>
      </c>
      <c r="R254" s="1998">
        <f t="shared" si="211"/>
        <v>324.76096250769837</v>
      </c>
      <c r="S254" s="1998">
        <f t="shared" si="211"/>
        <v>331.25618175785235</v>
      </c>
      <c r="T254" s="1998">
        <f t="shared" si="211"/>
        <v>337.88130539300943</v>
      </c>
      <c r="U254" s="1293"/>
      <c r="V254" s="1293"/>
      <c r="W254" s="1293"/>
      <c r="X254" s="1293"/>
      <c r="Y254" s="1293"/>
      <c r="Z254" s="1293"/>
      <c r="AA254" s="1293"/>
      <c r="AB254" s="1293"/>
      <c r="AC254" s="1293"/>
      <c r="AD254" s="1293"/>
      <c r="AE254" s="1293"/>
      <c r="AF254" s="1293"/>
      <c r="AG254" s="1293"/>
      <c r="AH254" s="1293"/>
      <c r="AI254" s="1293"/>
      <c r="AJ254" s="1293"/>
      <c r="AK254" s="1293"/>
      <c r="AL254" s="1293"/>
      <c r="AM254" s="1293"/>
      <c r="AN254" s="1293"/>
      <c r="AO254" s="1293"/>
      <c r="AP254" s="1293"/>
      <c r="AQ254" s="1293"/>
      <c r="AR254" s="1293"/>
      <c r="AS254" s="1293"/>
      <c r="AT254" s="1293"/>
      <c r="AU254" s="1293"/>
      <c r="AV254" s="1293"/>
      <c r="AW254" s="1293"/>
      <c r="AX254" s="1293"/>
      <c r="AY254" s="1293"/>
      <c r="AZ254" s="1293"/>
      <c r="BA254" s="1293"/>
      <c r="BB254" s="1293"/>
      <c r="BC254" s="1293"/>
      <c r="BD254" s="1293"/>
      <c r="BE254" s="1293"/>
      <c r="BF254" s="1293"/>
      <c r="BG254" s="1293"/>
      <c r="BH254" s="1293"/>
      <c r="BI254" s="1293"/>
      <c r="BJ254" s="1293"/>
      <c r="BK254" s="1293"/>
      <c r="BL254" s="1293"/>
      <c r="BM254" s="1293"/>
      <c r="BN254" s="1293"/>
      <c r="BO254" s="1293"/>
      <c r="BP254" s="1293"/>
      <c r="BQ254" s="1293"/>
      <c r="BR254" s="1293"/>
      <c r="BS254" s="1293"/>
      <c r="BT254" s="1293"/>
      <c r="BU254" s="1293"/>
      <c r="BV254" s="1293"/>
      <c r="BW254" s="1293"/>
      <c r="BX254" s="1293"/>
      <c r="BY254" s="1293"/>
      <c r="BZ254" s="1293"/>
      <c r="CA254" s="1293"/>
      <c r="CB254" s="1293"/>
      <c r="CC254" s="1293"/>
      <c r="CD254" s="1293"/>
      <c r="CE254" s="1293"/>
      <c r="CF254" s="1293"/>
      <c r="CG254" s="1293"/>
    </row>
    <row r="255" spans="1:85" ht="15.75">
      <c r="A255" s="1293"/>
      <c r="B255" s="1293"/>
      <c r="C255" s="1293" t="str">
        <f t="shared" si="200"/>
        <v>Bolivia</v>
      </c>
      <c r="D255" s="1327">
        <f t="shared" ref="D255:K257" si="212">D168-D190</f>
        <v>92.400177830004395</v>
      </c>
      <c r="E255" s="1327">
        <f t="shared" si="212"/>
        <v>136.35851114000434</v>
      </c>
      <c r="F255" s="1327">
        <f t="shared" si="212"/>
        <v>117.93844871999454</v>
      </c>
      <c r="G255" s="1327">
        <f t="shared" si="212"/>
        <v>48.370000000000346</v>
      </c>
      <c r="H255" s="1327">
        <f t="shared" si="212"/>
        <v>117.30000000000018</v>
      </c>
      <c r="I255" s="1327">
        <f t="shared" si="212"/>
        <v>103.64999999999964</v>
      </c>
      <c r="J255" s="1327">
        <f t="shared" si="212"/>
        <v>55.2800000000002</v>
      </c>
      <c r="K255" s="1327">
        <f t="shared" si="212"/>
        <v>82.794368780594596</v>
      </c>
      <c r="L255" s="1327">
        <f t="shared" si="208"/>
        <v>70.884210892307237</v>
      </c>
      <c r="M255" s="1327">
        <f t="shared" si="208"/>
        <v>70.679575865384322</v>
      </c>
      <c r="N255" s="1327">
        <f t="shared" si="208"/>
        <v>41.383813000000373</v>
      </c>
      <c r="O255" s="1998">
        <f t="shared" si="202"/>
        <v>41.383813000000373</v>
      </c>
      <c r="P255" s="1998">
        <f t="shared" ref="P255:T255" si="213">O255*1.02</f>
        <v>42.211489260000384</v>
      </c>
      <c r="Q255" s="1998">
        <f t="shared" si="213"/>
        <v>43.055719045200391</v>
      </c>
      <c r="R255" s="1998">
        <f t="shared" si="213"/>
        <v>43.916833426104397</v>
      </c>
      <c r="S255" s="1998">
        <f t="shared" si="213"/>
        <v>44.795170094626485</v>
      </c>
      <c r="T255" s="1998">
        <f t="shared" si="213"/>
        <v>45.691073496519017</v>
      </c>
      <c r="U255" s="1293"/>
      <c r="V255" s="1293"/>
      <c r="W255" s="1293"/>
      <c r="X255" s="1293"/>
      <c r="Y255" s="1293"/>
      <c r="Z255" s="1293"/>
      <c r="AA255" s="1293"/>
      <c r="AB255" s="1293"/>
      <c r="AC255" s="1293"/>
      <c r="AD255" s="1293"/>
      <c r="AE255" s="1293"/>
      <c r="AF255" s="1293"/>
      <c r="AG255" s="1293"/>
      <c r="AH255" s="1293"/>
      <c r="AI255" s="1293"/>
      <c r="AJ255" s="1293"/>
      <c r="AK255" s="1293"/>
      <c r="AL255" s="1293"/>
      <c r="AM255" s="1293"/>
      <c r="AN255" s="1293"/>
      <c r="AO255" s="1293"/>
      <c r="AP255" s="1293"/>
      <c r="AQ255" s="1293"/>
      <c r="AR255" s="1293"/>
      <c r="AS255" s="1293"/>
      <c r="AT255" s="1293"/>
      <c r="AU255" s="1293"/>
      <c r="AV255" s="1293"/>
      <c r="AW255" s="1293"/>
      <c r="AX255" s="1293"/>
      <c r="AY255" s="1293"/>
      <c r="AZ255" s="1293"/>
      <c r="BA255" s="1293"/>
      <c r="BB255" s="1293"/>
      <c r="BC255" s="1293"/>
      <c r="BD255" s="1293"/>
      <c r="BE255" s="1293"/>
      <c r="BF255" s="1293"/>
      <c r="BG255" s="1293"/>
      <c r="BH255" s="1293"/>
      <c r="BI255" s="1293"/>
      <c r="BJ255" s="1293"/>
      <c r="BK255" s="1293"/>
      <c r="BL255" s="1293"/>
      <c r="BM255" s="1293"/>
      <c r="BN255" s="1293"/>
      <c r="BO255" s="1293"/>
      <c r="BP255" s="1293"/>
      <c r="BQ255" s="1293"/>
      <c r="BR255" s="1293"/>
      <c r="BS255" s="1293"/>
      <c r="BT255" s="1293"/>
      <c r="BU255" s="1293"/>
      <c r="BV255" s="1293"/>
      <c r="BW255" s="1293"/>
      <c r="BX255" s="1293"/>
      <c r="BY255" s="1293"/>
      <c r="BZ255" s="1293"/>
      <c r="CA255" s="1293"/>
      <c r="CB255" s="1293"/>
      <c r="CC255" s="1293"/>
      <c r="CD255" s="1293"/>
      <c r="CE255" s="1293"/>
      <c r="CF255" s="1293"/>
      <c r="CG255" s="1293"/>
    </row>
    <row r="256" spans="1:85" ht="15.75">
      <c r="A256" s="1293"/>
      <c r="B256" s="1293"/>
      <c r="C256" s="1293" t="str">
        <f t="shared" si="200"/>
        <v>Colombia</v>
      </c>
      <c r="D256" s="1327">
        <f t="shared" si="212"/>
        <v>393.2778208858208</v>
      </c>
      <c r="E256" s="1327">
        <f t="shared" si="212"/>
        <v>565.64534124781039</v>
      </c>
      <c r="F256" s="1327">
        <f t="shared" si="212"/>
        <v>439.84789947857371</v>
      </c>
      <c r="G256" s="1327">
        <f t="shared" si="212"/>
        <v>366.61435000000074</v>
      </c>
      <c r="H256" s="1327">
        <f t="shared" si="212"/>
        <v>315.2519999999995</v>
      </c>
      <c r="I256" s="1327">
        <f t="shared" si="212"/>
        <v>327</v>
      </c>
      <c r="J256" s="1327">
        <f t="shared" si="212"/>
        <v>326.16299999999956</v>
      </c>
      <c r="K256" s="1327">
        <f t="shared" si="212"/>
        <v>352.15301135256504</v>
      </c>
      <c r="L256" s="1327">
        <f t="shared" si="208"/>
        <v>367.89382973538522</v>
      </c>
      <c r="M256" s="1327">
        <f t="shared" si="208"/>
        <v>205.11574825600019</v>
      </c>
      <c r="N256" s="1327">
        <f t="shared" si="208"/>
        <v>153.70079406000059</v>
      </c>
      <c r="O256" s="1998">
        <f t="shared" si="202"/>
        <v>153.70079406000059</v>
      </c>
      <c r="P256" s="1998">
        <f t="shared" ref="P256:T256" si="214">O256*1.02</f>
        <v>156.7748099412006</v>
      </c>
      <c r="Q256" s="1998">
        <f t="shared" si="214"/>
        <v>159.9103061400246</v>
      </c>
      <c r="R256" s="1998">
        <f t="shared" si="214"/>
        <v>163.10851226282509</v>
      </c>
      <c r="S256" s="1998">
        <f t="shared" si="214"/>
        <v>166.37068250808159</v>
      </c>
      <c r="T256" s="1998">
        <f t="shared" si="214"/>
        <v>169.69809615824323</v>
      </c>
      <c r="U256" s="1293"/>
      <c r="V256" s="1293"/>
      <c r="W256" s="1293"/>
      <c r="X256" s="1293"/>
      <c r="Y256" s="1293"/>
      <c r="Z256" s="1293"/>
      <c r="AA256" s="1293"/>
      <c r="AB256" s="1293"/>
      <c r="AC256" s="1293"/>
      <c r="AD256" s="1293"/>
      <c r="AE256" s="1293"/>
      <c r="AF256" s="1293"/>
      <c r="AG256" s="1293"/>
      <c r="AH256" s="1293"/>
      <c r="AI256" s="1293"/>
      <c r="AJ256" s="1293"/>
      <c r="AK256" s="1293"/>
      <c r="AL256" s="1293"/>
      <c r="AM256" s="1293"/>
      <c r="AN256" s="1293"/>
      <c r="AO256" s="1293"/>
      <c r="AP256" s="1293"/>
      <c r="AQ256" s="1293"/>
      <c r="AR256" s="1293"/>
      <c r="AS256" s="1293"/>
      <c r="AT256" s="1293"/>
      <c r="AU256" s="1293"/>
      <c r="AV256" s="1293"/>
      <c r="AW256" s="1293"/>
      <c r="AX256" s="1293"/>
      <c r="AY256" s="1293"/>
      <c r="AZ256" s="1293"/>
      <c r="BA256" s="1293"/>
      <c r="BB256" s="1293"/>
      <c r="BC256" s="1293"/>
      <c r="BD256" s="1293"/>
      <c r="BE256" s="1293"/>
      <c r="BF256" s="1293"/>
      <c r="BG256" s="1293"/>
      <c r="BH256" s="1293"/>
      <c r="BI256" s="1293"/>
      <c r="BJ256" s="1293"/>
      <c r="BK256" s="1293"/>
      <c r="BL256" s="1293"/>
      <c r="BM256" s="1293"/>
      <c r="BN256" s="1293"/>
      <c r="BO256" s="1293"/>
      <c r="BP256" s="1293"/>
      <c r="BQ256" s="1293"/>
      <c r="BR256" s="1293"/>
      <c r="BS256" s="1293"/>
      <c r="BT256" s="1293"/>
      <c r="BU256" s="1293"/>
      <c r="BV256" s="1293"/>
      <c r="BW256" s="1293"/>
      <c r="BX256" s="1293"/>
      <c r="BY256" s="1293"/>
      <c r="BZ256" s="1293"/>
      <c r="CA256" s="1293"/>
      <c r="CB256" s="1293"/>
      <c r="CC256" s="1293"/>
      <c r="CD256" s="1293"/>
      <c r="CE256" s="1293"/>
      <c r="CF256" s="1293"/>
      <c r="CG256" s="1293"/>
    </row>
    <row r="257" spans="1:85" ht="15.75">
      <c r="A257" s="1293"/>
      <c r="B257" s="1293"/>
      <c r="C257" s="1293" t="str">
        <f t="shared" si="200"/>
        <v>Paraguay</v>
      </c>
      <c r="D257" s="1327">
        <f t="shared" si="212"/>
        <v>279.63160744757079</v>
      </c>
      <c r="E257" s="1327">
        <f t="shared" si="212"/>
        <v>328.88035525967734</v>
      </c>
      <c r="F257" s="1327">
        <f t="shared" si="212"/>
        <v>235.65368341437215</v>
      </c>
      <c r="G257" s="1327">
        <f t="shared" si="212"/>
        <v>229.99139000000014</v>
      </c>
      <c r="H257" s="1327">
        <f t="shared" si="212"/>
        <v>268.32299999999987</v>
      </c>
      <c r="I257" s="1327">
        <f t="shared" si="212"/>
        <v>223.30799999999999</v>
      </c>
      <c r="J257" s="1327">
        <f t="shared" si="212"/>
        <v>203.09999999999991</v>
      </c>
      <c r="K257" s="1327">
        <f t="shared" si="212"/>
        <v>196.46308910766356</v>
      </c>
      <c r="L257" s="1327">
        <f t="shared" si="208"/>
        <v>179.26387984615303</v>
      </c>
      <c r="M257" s="1327">
        <f t="shared" si="208"/>
        <v>162.01473710600021</v>
      </c>
      <c r="N257" s="1327">
        <f t="shared" si="208"/>
        <v>139.10973402899981</v>
      </c>
      <c r="O257" s="1998">
        <f t="shared" si="202"/>
        <v>139.10973402899981</v>
      </c>
      <c r="P257" s="1998">
        <f t="shared" ref="P257:T257" si="215">O257*1.02</f>
        <v>141.89192870957982</v>
      </c>
      <c r="Q257" s="1998">
        <f t="shared" si="215"/>
        <v>144.72976728377142</v>
      </c>
      <c r="R257" s="1998">
        <f t="shared" si="215"/>
        <v>147.62436262944686</v>
      </c>
      <c r="S257" s="1998">
        <f t="shared" si="215"/>
        <v>150.57684988203582</v>
      </c>
      <c r="T257" s="1998">
        <f t="shared" si="215"/>
        <v>153.58838687967653</v>
      </c>
      <c r="U257" s="1293"/>
      <c r="V257" s="1293"/>
      <c r="W257" s="1293"/>
      <c r="X257" s="1293"/>
      <c r="Y257" s="1293"/>
      <c r="Z257" s="1293"/>
      <c r="AA257" s="1293"/>
      <c r="AB257" s="1293"/>
      <c r="AC257" s="1293"/>
      <c r="AD257" s="1293"/>
      <c r="AE257" s="1293"/>
      <c r="AF257" s="1293"/>
      <c r="AG257" s="1293"/>
      <c r="AH257" s="1293"/>
      <c r="AI257" s="1293"/>
      <c r="AJ257" s="1293"/>
      <c r="AK257" s="1293"/>
      <c r="AL257" s="1293"/>
      <c r="AM257" s="1293"/>
      <c r="AN257" s="1293"/>
      <c r="AO257" s="1293"/>
      <c r="AP257" s="1293"/>
      <c r="AQ257" s="1293"/>
      <c r="AR257" s="1293"/>
      <c r="AS257" s="1293"/>
      <c r="AT257" s="1293"/>
      <c r="AU257" s="1293"/>
      <c r="AV257" s="1293"/>
      <c r="AW257" s="1293"/>
      <c r="AX257" s="1293"/>
      <c r="AY257" s="1293"/>
      <c r="AZ257" s="1293"/>
      <c r="BA257" s="1293"/>
      <c r="BB257" s="1293"/>
      <c r="BC257" s="1293"/>
      <c r="BD257" s="1293"/>
      <c r="BE257" s="1293"/>
      <c r="BF257" s="1293"/>
      <c r="BG257" s="1293"/>
      <c r="BH257" s="1293"/>
      <c r="BI257" s="1293"/>
      <c r="BJ257" s="1293"/>
      <c r="BK257" s="1293"/>
      <c r="BL257" s="1293"/>
      <c r="BM257" s="1293"/>
      <c r="BN257" s="1293"/>
      <c r="BO257" s="1293"/>
      <c r="BP257" s="1293"/>
      <c r="BQ257" s="1293"/>
      <c r="BR257" s="1293"/>
      <c r="BS257" s="1293"/>
      <c r="BT257" s="1293"/>
      <c r="BU257" s="1293"/>
      <c r="BV257" s="1293"/>
      <c r="BW257" s="1293"/>
      <c r="BX257" s="1293"/>
      <c r="BY257" s="1293"/>
      <c r="BZ257" s="1293"/>
      <c r="CA257" s="1293"/>
      <c r="CB257" s="1293"/>
      <c r="CC257" s="1293"/>
      <c r="CD257" s="1293"/>
      <c r="CE257" s="1293"/>
      <c r="CF257" s="1293"/>
      <c r="CG257" s="1293"/>
    </row>
    <row r="258" spans="1:85" ht="15.75" hidden="1" outlineLevel="1">
      <c r="A258" s="1293"/>
      <c r="B258" s="1293"/>
      <c r="C258" s="1293"/>
      <c r="D258" s="1327"/>
      <c r="E258" s="1327"/>
      <c r="F258" s="1327"/>
      <c r="G258" s="1327"/>
      <c r="H258" s="1327"/>
      <c r="I258" s="1327"/>
      <c r="J258" s="1327"/>
      <c r="K258" s="1327"/>
      <c r="L258" s="1327"/>
      <c r="M258" s="1327"/>
      <c r="N258" s="1327"/>
      <c r="O258" s="1327"/>
      <c r="P258" s="1327"/>
      <c r="Q258" s="1327"/>
      <c r="R258" s="1327"/>
      <c r="S258" s="1327"/>
      <c r="T258" s="1327"/>
      <c r="U258" s="1293"/>
      <c r="V258" s="1293"/>
      <c r="W258" s="1293"/>
      <c r="X258" s="1293"/>
      <c r="Y258" s="1293"/>
      <c r="Z258" s="1293"/>
      <c r="AA258" s="1293"/>
      <c r="AB258" s="1293"/>
      <c r="AC258" s="1293"/>
      <c r="AD258" s="1293"/>
      <c r="AE258" s="1293"/>
      <c r="AF258" s="1293"/>
      <c r="AG258" s="1293"/>
      <c r="AH258" s="1293"/>
      <c r="AI258" s="1293"/>
      <c r="AJ258" s="1293"/>
      <c r="AK258" s="1293"/>
      <c r="AL258" s="1293"/>
      <c r="AM258" s="1293"/>
      <c r="AN258" s="1293"/>
      <c r="AO258" s="1293"/>
      <c r="AP258" s="1293"/>
      <c r="AQ258" s="1293"/>
      <c r="AR258" s="1293"/>
      <c r="AS258" s="1293"/>
      <c r="AT258" s="1293"/>
      <c r="AU258" s="1293"/>
      <c r="AV258" s="1293"/>
      <c r="AW258" s="1293"/>
      <c r="AX258" s="1293"/>
      <c r="AY258" s="1293"/>
      <c r="AZ258" s="1293"/>
      <c r="BA258" s="1293"/>
      <c r="BB258" s="1293"/>
      <c r="BC258" s="1293"/>
      <c r="BD258" s="1293"/>
      <c r="BE258" s="1293"/>
      <c r="BF258" s="1293"/>
      <c r="BG258" s="1293"/>
      <c r="BH258" s="1293"/>
      <c r="BI258" s="1293"/>
      <c r="BJ258" s="1293"/>
      <c r="BK258" s="1293"/>
      <c r="BL258" s="1293"/>
      <c r="BM258" s="1293"/>
      <c r="BN258" s="1293"/>
      <c r="BO258" s="1293"/>
      <c r="BP258" s="1293"/>
      <c r="BQ258" s="1293"/>
      <c r="BR258" s="1293"/>
      <c r="BS258" s="1293"/>
      <c r="BT258" s="1293"/>
      <c r="BU258" s="1293"/>
      <c r="BV258" s="1293"/>
      <c r="BW258" s="1293"/>
      <c r="BX258" s="1293"/>
      <c r="BY258" s="1293"/>
      <c r="BZ258" s="1293"/>
      <c r="CA258" s="1293"/>
      <c r="CB258" s="1293"/>
      <c r="CC258" s="1293"/>
      <c r="CD258" s="1293"/>
      <c r="CE258" s="1293"/>
      <c r="CF258" s="1293"/>
      <c r="CG258" s="1293"/>
    </row>
    <row r="259" spans="1:85" ht="15.75" hidden="1" outlineLevel="1">
      <c r="A259" s="1293"/>
      <c r="B259" s="1293"/>
      <c r="C259" s="1982" t="str">
        <f t="shared" ref="C259:C267" si="216">C194</f>
        <v>Panama</v>
      </c>
      <c r="D259" s="1327"/>
      <c r="E259" s="1327"/>
      <c r="F259" s="1327"/>
      <c r="G259" s="1327"/>
      <c r="H259" s="1327"/>
      <c r="I259" s="1327"/>
      <c r="J259" s="1327"/>
      <c r="K259" s="1327"/>
      <c r="L259" s="1327"/>
      <c r="M259" s="1327"/>
      <c r="N259" s="1327">
        <f t="shared" ref="N259:T259" si="217">N92</f>
        <v>62</v>
      </c>
      <c r="O259" s="1327">
        <f t="shared" si="217"/>
        <v>63.556200000000025</v>
      </c>
      <c r="P259" s="1327">
        <f t="shared" si="217"/>
        <v>64.512720810000019</v>
      </c>
      <c r="Q259" s="1327">
        <f t="shared" si="217"/>
        <v>65.483637258190512</v>
      </c>
      <c r="R259" s="1327">
        <f t="shared" si="217"/>
        <v>66.469165998926272</v>
      </c>
      <c r="S259" s="1327">
        <f t="shared" si="217"/>
        <v>67.469526947210099</v>
      </c>
      <c r="T259" s="1327">
        <f t="shared" si="217"/>
        <v>68.484943327765606</v>
      </c>
      <c r="U259" s="1293"/>
      <c r="V259" s="1293"/>
      <c r="W259" s="1293"/>
      <c r="X259" s="1293"/>
      <c r="Y259" s="1293"/>
      <c r="Z259" s="1293"/>
      <c r="AA259" s="1293"/>
      <c r="AB259" s="1293"/>
      <c r="AC259" s="1293"/>
      <c r="AD259" s="1293"/>
      <c r="AE259" s="1293"/>
      <c r="AF259" s="1293"/>
      <c r="AG259" s="1293"/>
      <c r="AH259" s="1293"/>
      <c r="AI259" s="1293"/>
      <c r="AJ259" s="1293"/>
      <c r="AK259" s="1293"/>
      <c r="AL259" s="1293"/>
      <c r="AM259" s="1293"/>
      <c r="AN259" s="1293"/>
      <c r="AO259" s="1293"/>
      <c r="AP259" s="1293"/>
      <c r="AQ259" s="1293"/>
      <c r="AR259" s="1293"/>
      <c r="AS259" s="1293"/>
      <c r="AT259" s="1293"/>
      <c r="AU259" s="1293"/>
      <c r="AV259" s="1293"/>
      <c r="AW259" s="1293"/>
      <c r="AX259" s="1293"/>
      <c r="AY259" s="1293"/>
      <c r="AZ259" s="1293"/>
      <c r="BA259" s="1293"/>
      <c r="BB259" s="1293"/>
      <c r="BC259" s="1293"/>
      <c r="BD259" s="1293"/>
      <c r="BE259" s="1293"/>
      <c r="BF259" s="1293"/>
      <c r="BG259" s="1293"/>
      <c r="BH259" s="1293"/>
      <c r="BI259" s="1293"/>
      <c r="BJ259" s="1293"/>
      <c r="BK259" s="1293"/>
      <c r="BL259" s="1293"/>
      <c r="BM259" s="1293"/>
      <c r="BN259" s="1293"/>
      <c r="BO259" s="1293"/>
      <c r="BP259" s="1293"/>
      <c r="BQ259" s="1293"/>
      <c r="BR259" s="1293"/>
      <c r="BS259" s="1293"/>
      <c r="BT259" s="1293"/>
      <c r="BU259" s="1293"/>
      <c r="BV259" s="1293"/>
      <c r="BW259" s="1293"/>
      <c r="BX259" s="1293"/>
      <c r="BY259" s="1293"/>
      <c r="BZ259" s="1293"/>
      <c r="CA259" s="1293"/>
      <c r="CB259" s="1293"/>
      <c r="CC259" s="1293"/>
      <c r="CD259" s="1293"/>
      <c r="CE259" s="1293"/>
      <c r="CF259" s="1293"/>
      <c r="CG259" s="1293"/>
    </row>
    <row r="260" spans="1:85" ht="15.75" hidden="1" outlineLevel="1">
      <c r="A260" s="1293"/>
      <c r="B260" s="1293"/>
      <c r="C260" s="1982" t="str">
        <f t="shared" si="216"/>
        <v>Costa Rica</v>
      </c>
      <c r="D260" s="1327">
        <f t="shared" ref="D260:M260" si="218">D172-D195</f>
        <v>269.88439166464377</v>
      </c>
      <c r="E260" s="1327">
        <f t="shared" si="218"/>
        <v>904.46365305052313</v>
      </c>
      <c r="F260" s="1327">
        <f t="shared" si="218"/>
        <v>1142.0095786468301</v>
      </c>
      <c r="G260" s="1327">
        <f t="shared" si="218"/>
        <v>686.56999999999243</v>
      </c>
      <c r="H260" s="1327">
        <f t="shared" si="218"/>
        <v>2459.6000000000058</v>
      </c>
      <c r="I260" s="1327">
        <f t="shared" si="218"/>
        <v>5155.5840000000026</v>
      </c>
      <c r="J260" s="1327">
        <f t="shared" si="218"/>
        <v>10512</v>
      </c>
      <c r="K260" s="1327">
        <f t="shared" si="218"/>
        <v>9945.7099798950949</v>
      </c>
      <c r="L260" s="1327">
        <f t="shared" si="218"/>
        <v>-110986.87000000001</v>
      </c>
      <c r="M260" s="1327">
        <f t="shared" si="218"/>
        <v>-110807.19406349999</v>
      </c>
      <c r="N260" s="1998">
        <f t="shared" ref="N260:T260" si="219">M260</f>
        <v>-110807.19406349999</v>
      </c>
      <c r="O260" s="1998">
        <f t="shared" si="219"/>
        <v>-110807.19406349999</v>
      </c>
      <c r="P260" s="1998">
        <f t="shared" si="219"/>
        <v>-110807.19406349999</v>
      </c>
      <c r="Q260" s="1998">
        <f t="shared" si="219"/>
        <v>-110807.19406349999</v>
      </c>
      <c r="R260" s="1998">
        <f t="shared" si="219"/>
        <v>-110807.19406349999</v>
      </c>
      <c r="S260" s="1998">
        <f t="shared" si="219"/>
        <v>-110807.19406349999</v>
      </c>
      <c r="T260" s="1998">
        <f t="shared" si="219"/>
        <v>-110807.19406349999</v>
      </c>
      <c r="U260" s="1293"/>
      <c r="V260" s="1293"/>
      <c r="W260" s="1293"/>
      <c r="X260" s="1293"/>
      <c r="Y260" s="1293"/>
      <c r="Z260" s="1293"/>
      <c r="AA260" s="1293"/>
      <c r="AB260" s="1293"/>
      <c r="AC260" s="1293"/>
      <c r="AD260" s="1293"/>
      <c r="AE260" s="1293"/>
      <c r="AF260" s="1293"/>
      <c r="AG260" s="1293"/>
      <c r="AH260" s="1293"/>
      <c r="AI260" s="1293"/>
      <c r="AJ260" s="1293"/>
      <c r="AK260" s="1293"/>
      <c r="AL260" s="1293"/>
      <c r="AM260" s="1293"/>
      <c r="AN260" s="1293"/>
      <c r="AO260" s="1293"/>
      <c r="AP260" s="1293"/>
      <c r="AQ260" s="1293"/>
      <c r="AR260" s="1293"/>
      <c r="AS260" s="1293"/>
      <c r="AT260" s="1293"/>
      <c r="AU260" s="1293"/>
      <c r="AV260" s="1293"/>
      <c r="AW260" s="1293"/>
      <c r="AX260" s="1293"/>
      <c r="AY260" s="1293"/>
      <c r="AZ260" s="1293"/>
      <c r="BA260" s="1293"/>
      <c r="BB260" s="1293"/>
      <c r="BC260" s="1293"/>
      <c r="BD260" s="1293"/>
      <c r="BE260" s="1293"/>
      <c r="BF260" s="1293"/>
      <c r="BG260" s="1293"/>
      <c r="BH260" s="1293"/>
      <c r="BI260" s="1293"/>
      <c r="BJ260" s="1293"/>
      <c r="BK260" s="1293"/>
      <c r="BL260" s="1293"/>
      <c r="BM260" s="1293"/>
      <c r="BN260" s="1293"/>
      <c r="BO260" s="1293"/>
      <c r="BP260" s="1293"/>
      <c r="BQ260" s="1293"/>
      <c r="BR260" s="1293"/>
      <c r="BS260" s="1293"/>
      <c r="BT260" s="1293"/>
      <c r="BU260" s="1293"/>
      <c r="BV260" s="1293"/>
      <c r="BW260" s="1293"/>
      <c r="BX260" s="1293"/>
      <c r="BY260" s="1293"/>
      <c r="BZ260" s="1293"/>
      <c r="CA260" s="1293"/>
      <c r="CB260" s="1293"/>
      <c r="CC260" s="1293"/>
      <c r="CD260" s="1293"/>
      <c r="CE260" s="1293"/>
      <c r="CF260" s="1293"/>
      <c r="CG260" s="1293"/>
    </row>
    <row r="261" spans="1:85" ht="15.75" hidden="1" outlineLevel="1">
      <c r="A261" s="1293"/>
      <c r="B261" s="1293"/>
      <c r="C261" s="1293" t="str">
        <f t="shared" si="216"/>
        <v>Chad</v>
      </c>
      <c r="D261" s="1327">
        <f t="shared" ref="D261:M261" ca="1" si="220">D173-D196</f>
        <v>1249.9025300098729</v>
      </c>
      <c r="E261" s="1327">
        <f t="shared" si="220"/>
        <v>1454.6387488025066</v>
      </c>
      <c r="F261" s="1327">
        <f t="shared" ca="1" si="220"/>
        <v>728.54471190102049</v>
      </c>
      <c r="G261" s="1327">
        <f t="shared" ca="1" si="220"/>
        <v>425.90077420115995</v>
      </c>
      <c r="H261" s="1327">
        <f t="shared" ca="1" si="220"/>
        <v>258.13284878557897</v>
      </c>
      <c r="I261" s="1327">
        <f t="shared" si="220"/>
        <v>0</v>
      </c>
      <c r="J261" s="1327">
        <f t="shared" si="220"/>
        <v>0</v>
      </c>
      <c r="K261" s="1327">
        <f t="shared" si="220"/>
        <v>0</v>
      </c>
      <c r="L261" s="1327">
        <f t="shared" si="220"/>
        <v>0</v>
      </c>
      <c r="M261" s="1327">
        <f t="shared" si="220"/>
        <v>0</v>
      </c>
      <c r="N261" s="1999">
        <f t="shared" ref="N261:T261" si="221">M261</f>
        <v>0</v>
      </c>
      <c r="O261" s="1999">
        <f t="shared" si="221"/>
        <v>0</v>
      </c>
      <c r="P261" s="1999">
        <f t="shared" si="221"/>
        <v>0</v>
      </c>
      <c r="Q261" s="1999">
        <f t="shared" si="221"/>
        <v>0</v>
      </c>
      <c r="R261" s="1999">
        <f t="shared" si="221"/>
        <v>0</v>
      </c>
      <c r="S261" s="1999">
        <f t="shared" si="221"/>
        <v>0</v>
      </c>
      <c r="T261" s="1999">
        <f t="shared" si="221"/>
        <v>0</v>
      </c>
      <c r="U261" s="1293"/>
      <c r="V261" s="1293"/>
      <c r="W261" s="1293"/>
      <c r="X261" s="1293"/>
      <c r="Y261" s="1293"/>
      <c r="Z261" s="1293"/>
      <c r="AA261" s="1293"/>
      <c r="AB261" s="1293"/>
      <c r="AC261" s="1293"/>
      <c r="AD261" s="1293"/>
      <c r="AE261" s="1293"/>
      <c r="AF261" s="1293"/>
      <c r="AG261" s="1293"/>
      <c r="AH261" s="1293"/>
      <c r="AI261" s="1293"/>
      <c r="AJ261" s="1293"/>
      <c r="AK261" s="1293"/>
      <c r="AL261" s="1293"/>
      <c r="AM261" s="1293"/>
      <c r="AN261" s="1293"/>
      <c r="AO261" s="1293"/>
      <c r="AP261" s="1293"/>
      <c r="AQ261" s="1293"/>
      <c r="AR261" s="1293"/>
      <c r="AS261" s="1293"/>
      <c r="AT261" s="1293"/>
      <c r="AU261" s="1293"/>
      <c r="AV261" s="1293"/>
      <c r="AW261" s="1293"/>
      <c r="AX261" s="1293"/>
      <c r="AY261" s="1293"/>
      <c r="AZ261" s="1293"/>
      <c r="BA261" s="1293"/>
      <c r="BB261" s="1293"/>
      <c r="BC261" s="1293"/>
      <c r="BD261" s="1293"/>
      <c r="BE261" s="1293"/>
      <c r="BF261" s="1293"/>
      <c r="BG261" s="1293"/>
      <c r="BH261" s="1293"/>
      <c r="BI261" s="1293"/>
      <c r="BJ261" s="1293"/>
      <c r="BK261" s="1293"/>
      <c r="BL261" s="1293"/>
      <c r="BM261" s="1293"/>
      <c r="BN261" s="1293"/>
      <c r="BO261" s="1293"/>
      <c r="BP261" s="1293"/>
      <c r="BQ261" s="1293"/>
      <c r="BR261" s="1293"/>
      <c r="BS261" s="1293"/>
      <c r="BT261" s="1293"/>
      <c r="BU261" s="1293"/>
      <c r="BV261" s="1293"/>
      <c r="BW261" s="1293"/>
      <c r="BX261" s="1293"/>
      <c r="BY261" s="1293"/>
      <c r="BZ261" s="1293"/>
      <c r="CA261" s="1293"/>
      <c r="CB261" s="1293"/>
      <c r="CC261" s="1293"/>
      <c r="CD261" s="1293"/>
      <c r="CE261" s="1293"/>
      <c r="CF261" s="1293"/>
      <c r="CG261" s="1293"/>
    </row>
    <row r="262" spans="1:85" ht="15.75" hidden="1" outlineLevel="1">
      <c r="A262" s="1293"/>
      <c r="B262" s="1293"/>
      <c r="C262" s="1293" t="str">
        <f t="shared" si="216"/>
        <v>DRC</v>
      </c>
      <c r="D262" s="1327">
        <f t="shared" ref="D262:M262" si="222">D174-D197</f>
        <v>1641.156132651915</v>
      </c>
      <c r="E262" s="1327">
        <f t="shared" si="222"/>
        <v>2241.1314627638203</v>
      </c>
      <c r="F262" s="1327">
        <f t="shared" si="222"/>
        <v>0</v>
      </c>
      <c r="G262" s="1327">
        <f t="shared" si="222"/>
        <v>0</v>
      </c>
      <c r="H262" s="1327">
        <f t="shared" si="222"/>
        <v>0</v>
      </c>
      <c r="I262" s="1327">
        <f t="shared" si="222"/>
        <v>0</v>
      </c>
      <c r="J262" s="1327">
        <f t="shared" si="222"/>
        <v>0</v>
      </c>
      <c r="K262" s="1327">
        <f t="shared" si="222"/>
        <v>0</v>
      </c>
      <c r="L262" s="1327">
        <f t="shared" si="222"/>
        <v>0</v>
      </c>
      <c r="M262" s="1327">
        <f t="shared" si="222"/>
        <v>0</v>
      </c>
      <c r="N262" s="1999"/>
      <c r="O262" s="1999"/>
      <c r="P262" s="1999"/>
      <c r="Q262" s="1999"/>
      <c r="R262" s="1999"/>
      <c r="S262" s="1999"/>
      <c r="T262" s="1999"/>
      <c r="U262" s="1293"/>
      <c r="V262" s="1293"/>
      <c r="W262" s="1293"/>
      <c r="X262" s="1293"/>
      <c r="Y262" s="1293"/>
      <c r="Z262" s="1293"/>
      <c r="AA262" s="1293"/>
      <c r="AB262" s="1293"/>
      <c r="AC262" s="1293"/>
      <c r="AD262" s="1293"/>
      <c r="AE262" s="1293"/>
      <c r="AF262" s="1293"/>
      <c r="AG262" s="1293"/>
      <c r="AH262" s="1293"/>
      <c r="AI262" s="1293"/>
      <c r="AJ262" s="1293"/>
      <c r="AK262" s="1293"/>
      <c r="AL262" s="1293"/>
      <c r="AM262" s="1293"/>
      <c r="AN262" s="1293"/>
      <c r="AO262" s="1293"/>
      <c r="AP262" s="1293"/>
      <c r="AQ262" s="1293"/>
      <c r="AR262" s="1293"/>
      <c r="AS262" s="1293"/>
      <c r="AT262" s="1293"/>
      <c r="AU262" s="1293"/>
      <c r="AV262" s="1293"/>
      <c r="AW262" s="1293"/>
      <c r="AX262" s="1293"/>
      <c r="AY262" s="1293"/>
      <c r="AZ262" s="1293"/>
      <c r="BA262" s="1293"/>
      <c r="BB262" s="1293"/>
      <c r="BC262" s="1293"/>
      <c r="BD262" s="1293"/>
      <c r="BE262" s="1293"/>
      <c r="BF262" s="1293"/>
      <c r="BG262" s="1293"/>
      <c r="BH262" s="1293"/>
      <c r="BI262" s="1293"/>
      <c r="BJ262" s="1293"/>
      <c r="BK262" s="1293"/>
      <c r="BL262" s="1293"/>
      <c r="BM262" s="1293"/>
      <c r="BN262" s="1293"/>
      <c r="BO262" s="1293"/>
      <c r="BP262" s="1293"/>
      <c r="BQ262" s="1293"/>
      <c r="BR262" s="1293"/>
      <c r="BS262" s="1293"/>
      <c r="BT262" s="1293"/>
      <c r="BU262" s="1293"/>
      <c r="BV262" s="1293"/>
      <c r="BW262" s="1293"/>
      <c r="BX262" s="1293"/>
      <c r="BY262" s="1293"/>
      <c r="BZ262" s="1293"/>
      <c r="CA262" s="1293"/>
      <c r="CB262" s="1293"/>
      <c r="CC262" s="1293"/>
      <c r="CD262" s="1293"/>
      <c r="CE262" s="1293"/>
      <c r="CF262" s="1293"/>
      <c r="CG262" s="1293"/>
    </row>
    <row r="263" spans="1:85" ht="15.75" hidden="1" outlineLevel="1">
      <c r="A263" s="1293"/>
      <c r="B263" s="1293"/>
      <c r="C263" s="1293" t="str">
        <f t="shared" si="216"/>
        <v>Ghana</v>
      </c>
      <c r="D263" s="1327">
        <f t="shared" ref="D263:M263" si="223">D175-D198</f>
        <v>5.8599728565317832</v>
      </c>
      <c r="E263" s="1327">
        <f t="shared" si="223"/>
        <v>8.3857734993270014</v>
      </c>
      <c r="F263" s="1327">
        <f t="shared" si="223"/>
        <v>3.827335426087302</v>
      </c>
      <c r="G263" s="1327">
        <f t="shared" si="223"/>
        <v>-303.99208154038899</v>
      </c>
      <c r="H263" s="1327">
        <f t="shared" si="223"/>
        <v>0</v>
      </c>
      <c r="I263" s="1327">
        <f t="shared" si="223"/>
        <v>0</v>
      </c>
      <c r="J263" s="1327">
        <f t="shared" si="223"/>
        <v>0</v>
      </c>
      <c r="K263" s="1327">
        <f t="shared" si="223"/>
        <v>0</v>
      </c>
      <c r="L263" s="1327">
        <f t="shared" si="223"/>
        <v>0</v>
      </c>
      <c r="M263" s="1327">
        <f t="shared" si="223"/>
        <v>0</v>
      </c>
      <c r="N263" s="1999">
        <f t="shared" ref="N263:T264" si="224">M263</f>
        <v>0</v>
      </c>
      <c r="O263" s="1999">
        <f t="shared" si="224"/>
        <v>0</v>
      </c>
      <c r="P263" s="1999">
        <f t="shared" si="224"/>
        <v>0</v>
      </c>
      <c r="Q263" s="1999">
        <f t="shared" si="224"/>
        <v>0</v>
      </c>
      <c r="R263" s="1999">
        <f t="shared" si="224"/>
        <v>0</v>
      </c>
      <c r="S263" s="1999">
        <f t="shared" si="224"/>
        <v>0</v>
      </c>
      <c r="T263" s="1999">
        <f t="shared" si="224"/>
        <v>0</v>
      </c>
      <c r="U263" s="1293"/>
      <c r="V263" s="1293"/>
      <c r="W263" s="1293"/>
      <c r="X263" s="1293"/>
      <c r="Y263" s="1293"/>
      <c r="Z263" s="1293"/>
      <c r="AA263" s="1293"/>
      <c r="AB263" s="1293"/>
      <c r="AC263" s="1293"/>
      <c r="AD263" s="1293"/>
      <c r="AE263" s="1293"/>
      <c r="AF263" s="1293"/>
      <c r="AG263" s="1293"/>
      <c r="AH263" s="1293"/>
      <c r="AI263" s="1293"/>
      <c r="AJ263" s="1293"/>
      <c r="AK263" s="1293"/>
      <c r="AL263" s="1293"/>
      <c r="AM263" s="1293"/>
      <c r="AN263" s="1293"/>
      <c r="AO263" s="1293"/>
      <c r="AP263" s="1293"/>
      <c r="AQ263" s="1293"/>
      <c r="AR263" s="1293"/>
      <c r="AS263" s="1293"/>
      <c r="AT263" s="1293"/>
      <c r="AU263" s="1293"/>
      <c r="AV263" s="1293"/>
      <c r="AW263" s="1293"/>
      <c r="AX263" s="1293"/>
      <c r="AY263" s="1293"/>
      <c r="AZ263" s="1293"/>
      <c r="BA263" s="1293"/>
      <c r="BB263" s="1293"/>
      <c r="BC263" s="1293"/>
      <c r="BD263" s="1293"/>
      <c r="BE263" s="1293"/>
      <c r="BF263" s="1293"/>
      <c r="BG263" s="1293"/>
      <c r="BH263" s="1293"/>
      <c r="BI263" s="1293"/>
      <c r="BJ263" s="1293"/>
      <c r="BK263" s="1293"/>
      <c r="BL263" s="1293"/>
      <c r="BM263" s="1293"/>
      <c r="BN263" s="1293"/>
      <c r="BO263" s="1293"/>
      <c r="BP263" s="1293"/>
      <c r="BQ263" s="1293"/>
      <c r="BR263" s="1293"/>
      <c r="BS263" s="1293"/>
      <c r="BT263" s="1293"/>
      <c r="BU263" s="1293"/>
      <c r="BV263" s="1293"/>
      <c r="BW263" s="1293"/>
      <c r="BX263" s="1293"/>
      <c r="BY263" s="1293"/>
      <c r="BZ263" s="1293"/>
      <c r="CA263" s="1293"/>
      <c r="CB263" s="1293"/>
      <c r="CC263" s="1293"/>
      <c r="CD263" s="1293"/>
      <c r="CE263" s="1293"/>
      <c r="CF263" s="1293"/>
      <c r="CG263" s="1293"/>
    </row>
    <row r="264" spans="1:85" ht="15.75" hidden="1" outlineLevel="1">
      <c r="A264" s="1293"/>
      <c r="B264" s="1293"/>
      <c r="C264" s="1293" t="str">
        <f t="shared" si="216"/>
        <v>Rwanda</v>
      </c>
      <c r="D264" s="1327">
        <f t="shared" ref="D264:M264" si="225">D176-D199</f>
        <v>605.77412687469041</v>
      </c>
      <c r="E264" s="1327">
        <f t="shared" si="225"/>
        <v>736.43784327953472</v>
      </c>
      <c r="F264" s="1327">
        <f t="shared" si="225"/>
        <v>462.23315543690842</v>
      </c>
      <c r="G264" s="1327">
        <f t="shared" si="225"/>
        <v>55.512974419063539</v>
      </c>
      <c r="H264" s="1327">
        <f t="shared" si="225"/>
        <v>0</v>
      </c>
      <c r="I264" s="1327">
        <f t="shared" si="225"/>
        <v>0</v>
      </c>
      <c r="J264" s="1327">
        <f t="shared" si="225"/>
        <v>0</v>
      </c>
      <c r="K264" s="1327">
        <f t="shared" si="225"/>
        <v>0</v>
      </c>
      <c r="L264" s="1327">
        <f t="shared" si="225"/>
        <v>0</v>
      </c>
      <c r="M264" s="1327">
        <f t="shared" si="225"/>
        <v>0</v>
      </c>
      <c r="N264" s="1999">
        <f t="shared" si="224"/>
        <v>0</v>
      </c>
      <c r="O264" s="1999">
        <f t="shared" si="224"/>
        <v>0</v>
      </c>
      <c r="P264" s="1999">
        <f t="shared" si="224"/>
        <v>0</v>
      </c>
      <c r="Q264" s="1999">
        <f t="shared" si="224"/>
        <v>0</v>
      </c>
      <c r="R264" s="1999">
        <f t="shared" si="224"/>
        <v>0</v>
      </c>
      <c r="S264" s="1999">
        <f t="shared" si="224"/>
        <v>0</v>
      </c>
      <c r="T264" s="1999">
        <f t="shared" si="224"/>
        <v>0</v>
      </c>
      <c r="U264" s="1293"/>
      <c r="V264" s="1293"/>
      <c r="W264" s="1293"/>
      <c r="X264" s="1293"/>
      <c r="Y264" s="1293"/>
      <c r="Z264" s="1293"/>
      <c r="AA264" s="1293"/>
      <c r="AB264" s="1293"/>
      <c r="AC264" s="1293"/>
      <c r="AD264" s="1293"/>
      <c r="AE264" s="1293"/>
      <c r="AF264" s="1293"/>
      <c r="AG264" s="1293"/>
      <c r="AH264" s="1293"/>
      <c r="AI264" s="1293"/>
      <c r="AJ264" s="1293"/>
      <c r="AK264" s="1293"/>
      <c r="AL264" s="1293"/>
      <c r="AM264" s="1293"/>
      <c r="AN264" s="1293"/>
      <c r="AO264" s="1293"/>
      <c r="AP264" s="1293"/>
      <c r="AQ264" s="1293"/>
      <c r="AR264" s="1293"/>
      <c r="AS264" s="1293"/>
      <c r="AT264" s="1293"/>
      <c r="AU264" s="1293"/>
      <c r="AV264" s="1293"/>
      <c r="AW264" s="1293"/>
      <c r="AX264" s="1293"/>
      <c r="AY264" s="1293"/>
      <c r="AZ264" s="1293"/>
      <c r="BA264" s="1293"/>
      <c r="BB264" s="1293"/>
      <c r="BC264" s="1293"/>
      <c r="BD264" s="1293"/>
      <c r="BE264" s="1293"/>
      <c r="BF264" s="1293"/>
      <c r="BG264" s="1293"/>
      <c r="BH264" s="1293"/>
      <c r="BI264" s="1293"/>
      <c r="BJ264" s="1293"/>
      <c r="BK264" s="1293"/>
      <c r="BL264" s="1293"/>
      <c r="BM264" s="1293"/>
      <c r="BN264" s="1293"/>
      <c r="BO264" s="1293"/>
      <c r="BP264" s="1293"/>
      <c r="BQ264" s="1293"/>
      <c r="BR264" s="1293"/>
      <c r="BS264" s="1293"/>
      <c r="BT264" s="1293"/>
      <c r="BU264" s="1293"/>
      <c r="BV264" s="1293"/>
      <c r="BW264" s="1293"/>
      <c r="BX264" s="1293"/>
      <c r="BY264" s="1293"/>
      <c r="BZ264" s="1293"/>
      <c r="CA264" s="1293"/>
      <c r="CB264" s="1293"/>
      <c r="CC264" s="1293"/>
      <c r="CD264" s="1293"/>
      <c r="CE264" s="1293"/>
      <c r="CF264" s="1293"/>
      <c r="CG264" s="1293"/>
    </row>
    <row r="265" spans="1:85" ht="15.75" hidden="1" outlineLevel="1">
      <c r="A265" s="1293"/>
      <c r="B265" s="1293"/>
      <c r="C265" s="1293" t="str">
        <f t="shared" si="216"/>
        <v>Senegal</v>
      </c>
      <c r="D265" s="1327">
        <f t="shared" ref="D265:M265" ca="1" si="226">D177-D200</f>
        <v>798.13868183318118</v>
      </c>
      <c r="E265" s="1327">
        <f t="shared" ca="1" si="226"/>
        <v>1081.9252067842172</v>
      </c>
      <c r="F265" s="1327">
        <f t="shared" ca="1" si="226"/>
        <v>586.14043979262351</v>
      </c>
      <c r="G265" s="1327">
        <f t="shared" si="226"/>
        <v>0</v>
      </c>
      <c r="H265" s="1327">
        <f t="shared" si="226"/>
        <v>0</v>
      </c>
      <c r="I265" s="1327">
        <f t="shared" si="226"/>
        <v>0</v>
      </c>
      <c r="J265" s="1327">
        <f t="shared" si="226"/>
        <v>0</v>
      </c>
      <c r="K265" s="1327">
        <f t="shared" si="226"/>
        <v>0</v>
      </c>
      <c r="L265" s="1327">
        <f t="shared" si="226"/>
        <v>0</v>
      </c>
      <c r="M265" s="1327">
        <f t="shared" si="226"/>
        <v>0</v>
      </c>
      <c r="N265" s="1999"/>
      <c r="O265" s="1999"/>
      <c r="P265" s="1999"/>
      <c r="Q265" s="1999"/>
      <c r="R265" s="1999"/>
      <c r="S265" s="1999"/>
      <c r="T265" s="1999"/>
      <c r="U265" s="1293"/>
      <c r="V265" s="1293"/>
      <c r="W265" s="1293"/>
      <c r="X265" s="1293"/>
      <c r="Y265" s="1293"/>
      <c r="Z265" s="1293"/>
      <c r="AA265" s="1293"/>
      <c r="AB265" s="1293"/>
      <c r="AC265" s="1293"/>
      <c r="AD265" s="1293"/>
      <c r="AE265" s="1293"/>
      <c r="AF265" s="1293"/>
      <c r="AG265" s="1293"/>
      <c r="AH265" s="1293"/>
      <c r="AI265" s="1293"/>
      <c r="AJ265" s="1293"/>
      <c r="AK265" s="1293"/>
      <c r="AL265" s="1293"/>
      <c r="AM265" s="1293"/>
      <c r="AN265" s="1293"/>
      <c r="AO265" s="1293"/>
      <c r="AP265" s="1293"/>
      <c r="AQ265" s="1293"/>
      <c r="AR265" s="1293"/>
      <c r="AS265" s="1293"/>
      <c r="AT265" s="1293"/>
      <c r="AU265" s="1293"/>
      <c r="AV265" s="1293"/>
      <c r="AW265" s="1293"/>
      <c r="AX265" s="1293"/>
      <c r="AY265" s="1293"/>
      <c r="AZ265" s="1293"/>
      <c r="BA265" s="1293"/>
      <c r="BB265" s="1293"/>
      <c r="BC265" s="1293"/>
      <c r="BD265" s="1293"/>
      <c r="BE265" s="1293"/>
      <c r="BF265" s="1293"/>
      <c r="BG265" s="1293"/>
      <c r="BH265" s="1293"/>
      <c r="BI265" s="1293"/>
      <c r="BJ265" s="1293"/>
      <c r="BK265" s="1293"/>
      <c r="BL265" s="1293"/>
      <c r="BM265" s="1293"/>
      <c r="BN265" s="1293"/>
      <c r="BO265" s="1293"/>
      <c r="BP265" s="1293"/>
      <c r="BQ265" s="1293"/>
      <c r="BR265" s="1293"/>
      <c r="BS265" s="1293"/>
      <c r="BT265" s="1293"/>
      <c r="BU265" s="1293"/>
      <c r="BV265" s="1293"/>
      <c r="BW265" s="1293"/>
      <c r="BX265" s="1293"/>
      <c r="BY265" s="1293"/>
      <c r="BZ265" s="1293"/>
      <c r="CA265" s="1293"/>
      <c r="CB265" s="1293"/>
      <c r="CC265" s="1293"/>
      <c r="CD265" s="1293"/>
      <c r="CE265" s="1293"/>
      <c r="CF265" s="1293"/>
      <c r="CG265" s="1293"/>
    </row>
    <row r="266" spans="1:85" ht="15.75" hidden="1" outlineLevel="1">
      <c r="A266" s="1293"/>
      <c r="B266" s="1293"/>
      <c r="C266" s="1293" t="str">
        <f t="shared" si="216"/>
        <v>Tanzania</v>
      </c>
      <c r="D266" s="1327">
        <f t="shared" ref="D266:M266" si="227">D178-D201</f>
        <v>8536.7154732357012</v>
      </c>
      <c r="E266" s="1327">
        <f t="shared" si="227"/>
        <v>11467.712043303531</v>
      </c>
      <c r="F266" s="1327">
        <f t="shared" si="227"/>
        <v>6006.6933776852675</v>
      </c>
      <c r="G266" s="1327">
        <f t="shared" si="227"/>
        <v>2677.9964217069792</v>
      </c>
      <c r="H266" s="1327">
        <f t="shared" si="227"/>
        <v>48885.847599426517</v>
      </c>
      <c r="I266" s="1327">
        <f t="shared" si="227"/>
        <v>75565.510086946189</v>
      </c>
      <c r="J266" s="1327">
        <f t="shared" ca="1" si="227"/>
        <v>18158.645469935844</v>
      </c>
      <c r="K266" s="1327">
        <f t="shared" si="227"/>
        <v>-1079943.1361824081</v>
      </c>
      <c r="L266" s="1327">
        <f t="shared" si="227"/>
        <v>0</v>
      </c>
      <c r="M266" s="1327">
        <f t="shared" si="227"/>
        <v>0</v>
      </c>
      <c r="N266" s="1999"/>
      <c r="O266" s="1999"/>
      <c r="P266" s="1999"/>
      <c r="Q266" s="1999"/>
      <c r="R266" s="1999"/>
      <c r="S266" s="1999"/>
      <c r="T266" s="1999"/>
      <c r="U266" s="1293"/>
      <c r="V266" s="1293"/>
      <c r="W266" s="1293"/>
      <c r="X266" s="1293"/>
      <c r="Y266" s="1293"/>
      <c r="Z266" s="1293"/>
      <c r="AA266" s="1293"/>
      <c r="AB266" s="1293"/>
      <c r="AC266" s="1293"/>
      <c r="AD266" s="1293"/>
      <c r="AE266" s="1293"/>
      <c r="AF266" s="1293"/>
      <c r="AG266" s="1293"/>
      <c r="AH266" s="1293"/>
      <c r="AI266" s="1293"/>
      <c r="AJ266" s="1293"/>
      <c r="AK266" s="1293"/>
      <c r="AL266" s="1293"/>
      <c r="AM266" s="1293"/>
      <c r="AN266" s="1293"/>
      <c r="AO266" s="1293"/>
      <c r="AP266" s="1293"/>
      <c r="AQ266" s="1293"/>
      <c r="AR266" s="1293"/>
      <c r="AS266" s="1293"/>
      <c r="AT266" s="1293"/>
      <c r="AU266" s="1293"/>
      <c r="AV266" s="1293"/>
      <c r="AW266" s="1293"/>
      <c r="AX266" s="1293"/>
      <c r="AY266" s="1293"/>
      <c r="AZ266" s="1293"/>
      <c r="BA266" s="1293"/>
      <c r="BB266" s="1293"/>
      <c r="BC266" s="1293"/>
      <c r="BD266" s="1293"/>
      <c r="BE266" s="1293"/>
      <c r="BF266" s="1293"/>
      <c r="BG266" s="1293"/>
      <c r="BH266" s="1293"/>
      <c r="BI266" s="1293"/>
      <c r="BJ266" s="1293"/>
      <c r="BK266" s="1293"/>
      <c r="BL266" s="1293"/>
      <c r="BM266" s="1293"/>
      <c r="BN266" s="1293"/>
      <c r="BO266" s="1293"/>
      <c r="BP266" s="1293"/>
      <c r="BQ266" s="1293"/>
      <c r="BR266" s="1293"/>
      <c r="BS266" s="1293"/>
      <c r="BT266" s="1293"/>
      <c r="BU266" s="1293"/>
      <c r="BV266" s="1293"/>
      <c r="BW266" s="1293"/>
      <c r="BX266" s="1293"/>
      <c r="BY266" s="1293"/>
      <c r="BZ266" s="1293"/>
      <c r="CA266" s="1293"/>
      <c r="CB266" s="1293"/>
      <c r="CC266" s="1293"/>
      <c r="CD266" s="1293"/>
      <c r="CE266" s="1293"/>
      <c r="CF266" s="1293"/>
      <c r="CG266" s="1293"/>
    </row>
    <row r="267" spans="1:85" ht="15.75" hidden="1" outlineLevel="1">
      <c r="A267" s="1293"/>
      <c r="B267" s="1293"/>
      <c r="C267" s="1293" t="str">
        <f t="shared" si="216"/>
        <v>Zantel</v>
      </c>
      <c r="D267" s="1327">
        <f t="shared" ref="D267:M267" si="228">D179-D202</f>
        <v>0</v>
      </c>
      <c r="E267" s="1327">
        <f t="shared" si="228"/>
        <v>287.49138827223942</v>
      </c>
      <c r="F267" s="1327">
        <f t="shared" si="228"/>
        <v>593.66240685420053</v>
      </c>
      <c r="G267" s="1327">
        <f t="shared" ca="1" si="228"/>
        <v>214.50069057347719</v>
      </c>
      <c r="H267" s="1327">
        <f t="shared" ca="1" si="228"/>
        <v>121.26351699038059</v>
      </c>
      <c r="I267" s="1327">
        <f t="shared" si="228"/>
        <v>0</v>
      </c>
      <c r="J267" s="1327">
        <f t="shared" ca="1" si="228"/>
        <v>-5985.1999999999862</v>
      </c>
      <c r="K267" s="1327">
        <f t="shared" ca="1" si="228"/>
        <v>-32410</v>
      </c>
      <c r="L267" s="1327">
        <f t="shared" si="228"/>
        <v>0</v>
      </c>
      <c r="M267" s="1327">
        <f t="shared" si="228"/>
        <v>0</v>
      </c>
      <c r="N267" s="1999"/>
      <c r="O267" s="1999"/>
      <c r="P267" s="1999"/>
      <c r="Q267" s="1999"/>
      <c r="R267" s="1999"/>
      <c r="S267" s="1999"/>
      <c r="T267" s="1999"/>
      <c r="U267" s="1293"/>
      <c r="V267" s="1293"/>
      <c r="W267" s="1293"/>
      <c r="X267" s="1293"/>
      <c r="Y267" s="1293"/>
      <c r="Z267" s="1293"/>
      <c r="AA267" s="1293"/>
      <c r="AB267" s="1293"/>
      <c r="AC267" s="1293"/>
      <c r="AD267" s="1293"/>
      <c r="AE267" s="1293"/>
      <c r="AF267" s="1293"/>
      <c r="AG267" s="1293"/>
      <c r="AH267" s="1293"/>
      <c r="AI267" s="1293"/>
      <c r="AJ267" s="1293"/>
      <c r="AK267" s="1293"/>
      <c r="AL267" s="1293"/>
      <c r="AM267" s="1293"/>
      <c r="AN267" s="1293"/>
      <c r="AO267" s="1293"/>
      <c r="AP267" s="1293"/>
      <c r="AQ267" s="1293"/>
      <c r="AR267" s="1293"/>
      <c r="AS267" s="1293"/>
      <c r="AT267" s="1293"/>
      <c r="AU267" s="1293"/>
      <c r="AV267" s="1293"/>
      <c r="AW267" s="1293"/>
      <c r="AX267" s="1293"/>
      <c r="AY267" s="1293"/>
      <c r="AZ267" s="1293"/>
      <c r="BA267" s="1293"/>
      <c r="BB267" s="1293"/>
      <c r="BC267" s="1293"/>
      <c r="BD267" s="1293"/>
      <c r="BE267" s="1293"/>
      <c r="BF267" s="1293"/>
      <c r="BG267" s="1293"/>
      <c r="BH267" s="1293"/>
      <c r="BI267" s="1293"/>
      <c r="BJ267" s="1293"/>
      <c r="BK267" s="1293"/>
      <c r="BL267" s="1293"/>
      <c r="BM267" s="1293"/>
      <c r="BN267" s="1293"/>
      <c r="BO267" s="1293"/>
      <c r="BP267" s="1293"/>
      <c r="BQ267" s="1293"/>
      <c r="BR267" s="1293"/>
      <c r="BS267" s="1293"/>
      <c r="BT267" s="1293"/>
      <c r="BU267" s="1293"/>
      <c r="BV267" s="1293"/>
      <c r="BW267" s="1293"/>
      <c r="BX267" s="1293"/>
      <c r="BY267" s="1293"/>
      <c r="BZ267" s="1293"/>
      <c r="CA267" s="1293"/>
      <c r="CB267" s="1293"/>
      <c r="CC267" s="1293"/>
      <c r="CD267" s="1293"/>
      <c r="CE267" s="1293"/>
      <c r="CF267" s="1293"/>
      <c r="CG267" s="1293"/>
    </row>
    <row r="268" spans="1:85" ht="15.75" collapsed="1">
      <c r="A268" s="1293"/>
      <c r="B268" s="1293"/>
      <c r="C268" s="1293"/>
      <c r="D268" s="1293"/>
      <c r="E268" s="1293"/>
      <c r="F268" s="1293"/>
      <c r="G268" s="1293"/>
      <c r="H268" s="1293"/>
      <c r="I268" s="1293"/>
      <c r="J268" s="1293"/>
      <c r="K268" s="1293"/>
      <c r="L268" s="1293"/>
      <c r="M268" s="1293"/>
      <c r="N268" s="1293"/>
      <c r="O268" s="1293"/>
      <c r="P268" s="1293"/>
      <c r="Q268" s="1293"/>
      <c r="R268" s="1293"/>
      <c r="S268" s="1293"/>
      <c r="T268" s="1293"/>
      <c r="U268" s="1293"/>
      <c r="V268" s="1293"/>
      <c r="W268" s="1293"/>
      <c r="X268" s="1293"/>
      <c r="Y268" s="1293"/>
      <c r="Z268" s="1293"/>
      <c r="AA268" s="1293"/>
      <c r="AB268" s="1293"/>
      <c r="AC268" s="1293"/>
      <c r="AD268" s="1293"/>
      <c r="AE268" s="1293"/>
      <c r="AF268" s="1293"/>
      <c r="AG268" s="1293"/>
      <c r="AH268" s="1293"/>
      <c r="AI268" s="1293"/>
      <c r="AJ268" s="1293"/>
      <c r="AK268" s="1293"/>
      <c r="AL268" s="1293"/>
      <c r="AM268" s="1293"/>
      <c r="AN268" s="1293"/>
      <c r="AO268" s="1293"/>
      <c r="AP268" s="1293"/>
      <c r="AQ268" s="1293"/>
      <c r="AR268" s="1293"/>
      <c r="AS268" s="1293"/>
      <c r="AT268" s="1293"/>
      <c r="AU268" s="1293"/>
      <c r="AV268" s="1293"/>
      <c r="AW268" s="1293"/>
      <c r="AX268" s="1293"/>
      <c r="AY268" s="1293"/>
      <c r="AZ268" s="1293"/>
      <c r="BA268" s="1293"/>
      <c r="BB268" s="1293"/>
      <c r="BC268" s="1293"/>
      <c r="BD268" s="1293"/>
      <c r="BE268" s="1293"/>
      <c r="BF268" s="1293"/>
      <c r="BG268" s="1293"/>
      <c r="BH268" s="1293"/>
      <c r="BI268" s="1293"/>
      <c r="BJ268" s="1293"/>
      <c r="BK268" s="1293"/>
      <c r="BL268" s="1293"/>
      <c r="BM268" s="1293"/>
      <c r="BN268" s="1293"/>
      <c r="BO268" s="1293"/>
      <c r="BP268" s="1293"/>
      <c r="BQ268" s="1293"/>
      <c r="BR268" s="1293"/>
      <c r="BS268" s="1293"/>
      <c r="BT268" s="1293"/>
      <c r="BU268" s="1293"/>
      <c r="BV268" s="1293"/>
      <c r="BW268" s="1293"/>
      <c r="BX268" s="1293"/>
      <c r="BY268" s="1293"/>
      <c r="BZ268" s="1293"/>
      <c r="CA268" s="1293"/>
      <c r="CB268" s="1293"/>
      <c r="CC268" s="1293"/>
      <c r="CD268" s="1293"/>
      <c r="CE268" s="1293"/>
      <c r="CF268" s="1293"/>
      <c r="CG268" s="1293"/>
    </row>
    <row r="269" spans="1:85" ht="15.75">
      <c r="A269" s="1293"/>
      <c r="B269" s="1293"/>
      <c r="C269" s="1293"/>
      <c r="D269" s="1293"/>
      <c r="E269" s="1293"/>
      <c r="F269" s="1293"/>
      <c r="G269" s="1293"/>
      <c r="H269" s="1293"/>
      <c r="I269" s="1293"/>
      <c r="J269" s="1293"/>
      <c r="K269" s="1293"/>
      <c r="L269" s="1293"/>
      <c r="M269" s="1293"/>
      <c r="N269" s="1293"/>
      <c r="O269" s="1293"/>
      <c r="P269" s="1293"/>
      <c r="Q269" s="1293"/>
      <c r="R269" s="1293"/>
      <c r="S269" s="1293"/>
      <c r="T269" s="1293"/>
      <c r="U269" s="1293"/>
      <c r="V269" s="1293"/>
      <c r="W269" s="1293"/>
      <c r="X269" s="1293"/>
      <c r="Y269" s="1293"/>
      <c r="Z269" s="1293"/>
      <c r="AA269" s="1293"/>
      <c r="AB269" s="1293"/>
      <c r="AC269" s="1293"/>
      <c r="AD269" s="1293"/>
      <c r="AE269" s="1293"/>
      <c r="AF269" s="1293"/>
      <c r="AG269" s="1293"/>
      <c r="AH269" s="1293"/>
      <c r="AI269" s="1293"/>
      <c r="AJ269" s="1293"/>
      <c r="AK269" s="1293"/>
      <c r="AL269" s="1293"/>
      <c r="AM269" s="1293"/>
      <c r="AN269" s="1293"/>
      <c r="AO269" s="1293"/>
      <c r="AP269" s="1293"/>
      <c r="AQ269" s="1293"/>
      <c r="AR269" s="1293"/>
      <c r="AS269" s="1293"/>
      <c r="AT269" s="1293"/>
      <c r="AU269" s="1293"/>
      <c r="AV269" s="1293"/>
      <c r="AW269" s="1293"/>
      <c r="AX269" s="1293"/>
      <c r="AY269" s="1293"/>
      <c r="AZ269" s="1293"/>
      <c r="BA269" s="1293"/>
      <c r="BB269" s="1293"/>
      <c r="BC269" s="1293"/>
      <c r="BD269" s="1293"/>
      <c r="BE269" s="1293"/>
      <c r="BF269" s="1293"/>
      <c r="BG269" s="1293"/>
      <c r="BH269" s="1293"/>
      <c r="BI269" s="1293"/>
      <c r="BJ269" s="1293"/>
      <c r="BK269" s="1293"/>
      <c r="BL269" s="1293"/>
      <c r="BM269" s="1293"/>
      <c r="BN269" s="1293"/>
      <c r="BO269" s="1293"/>
      <c r="BP269" s="1293"/>
      <c r="BQ269" s="1293"/>
      <c r="BR269" s="1293"/>
      <c r="BS269" s="1293"/>
      <c r="BT269" s="1293"/>
      <c r="BU269" s="1293"/>
      <c r="BV269" s="1293"/>
      <c r="BW269" s="1293"/>
      <c r="BX269" s="1293"/>
      <c r="BY269" s="1293"/>
      <c r="BZ269" s="1293"/>
      <c r="CA269" s="1293"/>
      <c r="CB269" s="1293"/>
      <c r="CC269" s="1293"/>
      <c r="CD269" s="1293"/>
      <c r="CE269" s="1293"/>
      <c r="CF269" s="1293"/>
      <c r="CG269" s="1293"/>
    </row>
    <row r="270" spans="1:85" ht="15.75">
      <c r="A270" s="1293"/>
      <c r="B270" s="1293"/>
      <c r="C270" s="1293"/>
      <c r="D270" s="1293"/>
      <c r="E270" s="1293"/>
      <c r="F270" s="1293"/>
      <c r="G270" s="1293"/>
      <c r="H270" s="1293"/>
      <c r="I270" s="1293"/>
      <c r="J270" s="1293"/>
      <c r="K270" s="1293"/>
      <c r="L270" s="1293"/>
      <c r="M270" s="1293"/>
      <c r="N270" s="1293"/>
      <c r="O270" s="1293"/>
      <c r="P270" s="1293"/>
      <c r="Q270" s="1293"/>
      <c r="R270" s="1293"/>
      <c r="S270" s="1293"/>
      <c r="T270" s="1293"/>
      <c r="U270" s="1293"/>
      <c r="V270" s="1293"/>
      <c r="W270" s="1293"/>
      <c r="X270" s="1293"/>
      <c r="Y270" s="1293"/>
      <c r="Z270" s="1293"/>
      <c r="AA270" s="1293"/>
      <c r="AB270" s="1293"/>
      <c r="AC270" s="1293"/>
      <c r="AD270" s="1293"/>
      <c r="AE270" s="1293"/>
      <c r="AF270" s="1293"/>
      <c r="AG270" s="1293"/>
      <c r="AH270" s="1293"/>
      <c r="AI270" s="1293"/>
      <c r="AJ270" s="1293"/>
      <c r="AK270" s="1293"/>
      <c r="AL270" s="1293"/>
      <c r="AM270" s="1293"/>
      <c r="AN270" s="1293"/>
      <c r="AO270" s="1293"/>
      <c r="AP270" s="1293"/>
      <c r="AQ270" s="1293"/>
      <c r="AR270" s="1293"/>
      <c r="AS270" s="1293"/>
      <c r="AT270" s="1293"/>
      <c r="AU270" s="1293"/>
      <c r="AV270" s="1293"/>
      <c r="AW270" s="1293"/>
      <c r="AX270" s="1293"/>
      <c r="AY270" s="1293"/>
      <c r="AZ270" s="1293"/>
      <c r="BA270" s="1293"/>
      <c r="BB270" s="1293"/>
      <c r="BC270" s="1293"/>
      <c r="BD270" s="1293"/>
      <c r="BE270" s="1293"/>
      <c r="BF270" s="1293"/>
      <c r="BG270" s="1293"/>
      <c r="BH270" s="1293"/>
      <c r="BI270" s="1293"/>
      <c r="BJ270" s="1293"/>
      <c r="BK270" s="1293"/>
      <c r="BL270" s="1293"/>
      <c r="BM270" s="1293"/>
      <c r="BN270" s="1293"/>
      <c r="BO270" s="1293"/>
      <c r="BP270" s="1293"/>
      <c r="BQ270" s="1293"/>
      <c r="BR270" s="1293"/>
      <c r="BS270" s="1293"/>
      <c r="BT270" s="1293"/>
      <c r="BU270" s="1293"/>
      <c r="BV270" s="1293"/>
      <c r="BW270" s="1293"/>
      <c r="BX270" s="1293"/>
      <c r="BY270" s="1293"/>
      <c r="BZ270" s="1293"/>
      <c r="CA270" s="1293"/>
      <c r="CB270" s="1293"/>
      <c r="CC270" s="1293"/>
      <c r="CD270" s="1293"/>
      <c r="CE270" s="1293"/>
      <c r="CF270" s="1293"/>
      <c r="CG270" s="1293"/>
    </row>
    <row r="271" spans="1:85" ht="15.75">
      <c r="A271" s="1293"/>
      <c r="B271" s="1293"/>
      <c r="C271" s="1979" t="s">
        <v>8306</v>
      </c>
      <c r="D271" s="1293"/>
      <c r="E271" s="1293"/>
      <c r="F271" s="1293"/>
      <c r="G271" s="1293"/>
      <c r="H271" s="1724"/>
      <c r="I271" s="1293"/>
      <c r="J271" s="1293"/>
      <c r="K271" s="1293"/>
      <c r="L271" s="1293"/>
      <c r="M271" s="1293"/>
      <c r="N271" s="1699"/>
      <c r="O271" s="1293"/>
      <c r="P271" s="1293"/>
      <c r="Q271" s="1293"/>
      <c r="R271" s="1293"/>
      <c r="S271" s="1293"/>
      <c r="T271" s="1293"/>
      <c r="U271" s="1293"/>
      <c r="V271" s="1293"/>
      <c r="W271" s="1293"/>
      <c r="X271" s="1293"/>
      <c r="Y271" s="1293"/>
      <c r="Z271" s="1293"/>
      <c r="AA271" s="1293"/>
      <c r="AB271" s="1293"/>
      <c r="AC271" s="1293"/>
      <c r="AD271" s="1293"/>
      <c r="AE271" s="1293"/>
      <c r="AF271" s="1293"/>
      <c r="AG271" s="1293"/>
      <c r="AH271" s="1293"/>
      <c r="AI271" s="1293"/>
      <c r="AJ271" s="1293"/>
      <c r="AK271" s="1293" t="s">
        <v>3371</v>
      </c>
      <c r="AL271" s="1293"/>
      <c r="AM271" s="1293"/>
      <c r="AN271" s="1293"/>
      <c r="AO271" s="1293"/>
      <c r="AP271" s="1293"/>
      <c r="AQ271" s="1293"/>
      <c r="AR271" s="1293"/>
      <c r="AS271" s="1293"/>
      <c r="AT271" s="1293"/>
      <c r="AU271" s="1293"/>
      <c r="AV271" s="1293"/>
      <c r="AW271" s="1293"/>
      <c r="AX271" s="1293"/>
      <c r="AY271" s="1293"/>
      <c r="AZ271" s="1293"/>
      <c r="BA271" s="1293"/>
      <c r="BB271" s="1293"/>
      <c r="BC271" s="1293"/>
      <c r="BD271" s="1293"/>
      <c r="BE271" s="1293"/>
      <c r="BF271" s="1293"/>
      <c r="BG271" s="1293"/>
      <c r="BH271" s="1293"/>
      <c r="BI271" s="1293"/>
      <c r="BJ271" s="1293"/>
      <c r="BK271" s="1293"/>
      <c r="BL271" s="1293"/>
      <c r="BM271" s="1293"/>
      <c r="BN271" s="1293"/>
      <c r="BO271" s="1293"/>
      <c r="BP271" s="1293"/>
      <c r="BQ271" s="1293"/>
      <c r="BR271" s="1293"/>
      <c r="BS271" s="1293"/>
      <c r="BT271" s="1293"/>
      <c r="BU271" s="1293"/>
      <c r="BV271" s="1293"/>
      <c r="BW271" s="1293"/>
      <c r="BX271" s="1293"/>
      <c r="BY271" s="1293"/>
      <c r="BZ271" s="1293"/>
      <c r="CA271" s="1293"/>
      <c r="CB271" s="1293"/>
      <c r="CC271" s="1293"/>
      <c r="CD271" s="1293"/>
      <c r="CE271" s="1293"/>
      <c r="CF271" s="1293"/>
      <c r="CG271" s="1293"/>
    </row>
    <row r="272" spans="1:85" ht="15.75">
      <c r="A272" s="1293"/>
      <c r="B272" s="1293"/>
      <c r="C272" s="1331" t="s">
        <v>2602</v>
      </c>
      <c r="D272" s="1331">
        <f t="shared" ref="D272:T272" si="229">D4</f>
        <v>2014</v>
      </c>
      <c r="E272" s="1331">
        <f t="shared" si="229"/>
        <v>2015</v>
      </c>
      <c r="F272" s="1331">
        <f t="shared" si="229"/>
        <v>2016</v>
      </c>
      <c r="G272" s="1331">
        <f t="shared" si="229"/>
        <v>2017</v>
      </c>
      <c r="H272" s="1331">
        <f t="shared" si="229"/>
        <v>2018</v>
      </c>
      <c r="I272" s="1331">
        <f t="shared" si="229"/>
        <v>2019</v>
      </c>
      <c r="J272" s="1331">
        <f t="shared" si="229"/>
        <v>2020</v>
      </c>
      <c r="K272" s="1331">
        <f t="shared" si="229"/>
        <v>2021</v>
      </c>
      <c r="L272" s="1331">
        <f t="shared" si="229"/>
        <v>2022</v>
      </c>
      <c r="M272" s="1331">
        <f t="shared" si="229"/>
        <v>2023</v>
      </c>
      <c r="N272" s="1331">
        <f t="shared" si="229"/>
        <v>2024</v>
      </c>
      <c r="O272" s="1331">
        <f t="shared" si="229"/>
        <v>2025</v>
      </c>
      <c r="P272" s="1331">
        <f t="shared" si="229"/>
        <v>2026</v>
      </c>
      <c r="Q272" s="1331">
        <f t="shared" si="229"/>
        <v>2027</v>
      </c>
      <c r="R272" s="1331">
        <f t="shared" si="229"/>
        <v>2028</v>
      </c>
      <c r="S272" s="1331">
        <f t="shared" si="229"/>
        <v>2029</v>
      </c>
      <c r="T272" s="1331">
        <f t="shared" si="229"/>
        <v>2030</v>
      </c>
      <c r="U272" s="1293"/>
      <c r="V272" s="1293"/>
      <c r="W272" s="1293"/>
      <c r="X272" s="1293" t="s">
        <v>5888</v>
      </c>
      <c r="Y272" s="1293"/>
      <c r="Z272" s="1293"/>
      <c r="AA272" s="1293"/>
      <c r="AB272" s="1293"/>
      <c r="AC272" s="1293"/>
      <c r="AD272" s="1293"/>
      <c r="AE272" s="1980">
        <f t="shared" ref="AE272:AK273" si="230">D272</f>
        <v>2014</v>
      </c>
      <c r="AF272" s="1980">
        <f t="shared" si="230"/>
        <v>2015</v>
      </c>
      <c r="AG272" s="1980">
        <f t="shared" si="230"/>
        <v>2016</v>
      </c>
      <c r="AH272" s="1980">
        <f t="shared" si="230"/>
        <v>2017</v>
      </c>
      <c r="AI272" s="1980">
        <f t="shared" si="230"/>
        <v>2018</v>
      </c>
      <c r="AJ272" s="1980">
        <f t="shared" si="230"/>
        <v>2019</v>
      </c>
      <c r="AK272" s="1980">
        <f t="shared" si="230"/>
        <v>2020</v>
      </c>
      <c r="AL272" s="1293"/>
      <c r="AM272" s="1293"/>
      <c r="AN272" s="1293"/>
      <c r="AO272" s="1293"/>
      <c r="AP272" s="1293"/>
      <c r="AQ272" s="1293"/>
      <c r="AR272" s="1293"/>
      <c r="AS272" s="1293"/>
      <c r="AT272" s="1293"/>
      <c r="AU272" s="1293"/>
      <c r="AV272" s="1293"/>
      <c r="AW272" s="1293"/>
      <c r="AX272" s="1293"/>
      <c r="AY272" s="1293"/>
      <c r="AZ272" s="1293"/>
      <c r="BA272" s="1293"/>
      <c r="BB272" s="1293"/>
      <c r="BC272" s="1293"/>
      <c r="BD272" s="1293"/>
      <c r="BE272" s="1293"/>
      <c r="BF272" s="1293"/>
      <c r="BG272" s="1293"/>
      <c r="BH272" s="1293"/>
      <c r="BI272" s="1293"/>
      <c r="BJ272" s="1293"/>
      <c r="BK272" s="1293"/>
      <c r="BL272" s="1293"/>
      <c r="BM272" s="1293"/>
      <c r="BN272" s="1293"/>
      <c r="BO272" s="1293"/>
      <c r="BP272" s="1293"/>
      <c r="BQ272" s="1293"/>
      <c r="BR272" s="1293"/>
      <c r="BS272" s="1293"/>
      <c r="BT272" s="1293"/>
      <c r="BU272" s="1293"/>
      <c r="BV272" s="1293"/>
      <c r="BW272" s="1293"/>
      <c r="BX272" s="1293"/>
      <c r="BY272" s="1293"/>
      <c r="BZ272" s="1293"/>
      <c r="CA272" s="1293"/>
      <c r="CB272" s="1293"/>
      <c r="CC272" s="1293"/>
      <c r="CD272" s="1293"/>
      <c r="CE272" s="1293"/>
      <c r="CF272" s="1293"/>
      <c r="CG272" s="1293"/>
    </row>
    <row r="273" spans="1:85" ht="15.75">
      <c r="A273" s="1293"/>
      <c r="B273" s="1724">
        <v>1</v>
      </c>
      <c r="C273" s="1293" t="str">
        <f t="shared" ref="C273:C283" si="231">C5</f>
        <v>El Salvador</v>
      </c>
      <c r="D273" s="2515">
        <f>'New (new) quarts'!G103</f>
        <v>164.510936479999</v>
      </c>
      <c r="E273" s="2515">
        <f>'New (new) quarts'!L103</f>
        <v>168.6666859500001</v>
      </c>
      <c r="F273" s="2515">
        <f>'New (new) quarts'!Q103</f>
        <v>148.15417247000019</v>
      </c>
      <c r="G273" s="2515">
        <f>'New (new) quarts'!V103</f>
        <v>155</v>
      </c>
      <c r="H273" s="2515">
        <f>'New (new) quarts'!AA103</f>
        <v>144</v>
      </c>
      <c r="I273" s="2515">
        <f>'New (new) quarts'!AJ103</f>
        <v>140</v>
      </c>
      <c r="J273" s="2515">
        <f>'New (new) quarts'!AO103</f>
        <v>134</v>
      </c>
      <c r="K273" s="2515">
        <f>'New (new) quarts'!AT103</f>
        <v>162</v>
      </c>
      <c r="L273" s="2515">
        <f>'New (new) quarts'!AY103</f>
        <v>175.8176</v>
      </c>
      <c r="M273" s="2515">
        <f>'New (new) quarts'!BD103</f>
        <v>183.8955</v>
      </c>
      <c r="N273" s="2515">
        <f>'New (new) quarts'!BI103</f>
        <v>216.06400000000002</v>
      </c>
      <c r="O273" s="1699">
        <f t="shared" ref="O273:T278" si="232">O349*O5</f>
        <v>219.52797000000001</v>
      </c>
      <c r="P273" s="1699">
        <f t="shared" si="232"/>
        <v>226.49230560000004</v>
      </c>
      <c r="Q273" s="1699">
        <f t="shared" si="232"/>
        <v>233.64740343600002</v>
      </c>
      <c r="R273" s="1699">
        <f t="shared" si="232"/>
        <v>240.99810826320004</v>
      </c>
      <c r="S273" s="1699">
        <f t="shared" si="232"/>
        <v>251.28069421576325</v>
      </c>
      <c r="T273" s="1699">
        <f t="shared" si="232"/>
        <v>261.87818436312369</v>
      </c>
      <c r="U273" s="1293"/>
      <c r="V273" s="1293"/>
      <c r="W273" s="1293"/>
      <c r="X273" s="1724">
        <v>1</v>
      </c>
      <c r="Y273" s="1724">
        <f>J273*X273/Valuation!J$85</f>
        <v>6.8759067629958287E-2</v>
      </c>
      <c r="Z273" s="1293"/>
      <c r="AA273" s="1293"/>
      <c r="AB273" s="1293"/>
      <c r="AC273" s="1293"/>
      <c r="AD273" s="1293"/>
      <c r="AE273" s="1699">
        <f t="shared" si="230"/>
        <v>164.510936479999</v>
      </c>
      <c r="AF273" s="1699">
        <f t="shared" si="230"/>
        <v>168.6666859500001</v>
      </c>
      <c r="AG273" s="1699">
        <f t="shared" si="230"/>
        <v>148.15417247000019</v>
      </c>
      <c r="AH273" s="1699">
        <f t="shared" si="230"/>
        <v>155</v>
      </c>
      <c r="AI273" s="1699">
        <f t="shared" si="230"/>
        <v>144</v>
      </c>
      <c r="AJ273" s="1699">
        <f t="shared" si="230"/>
        <v>140</v>
      </c>
      <c r="AK273" s="1699">
        <f t="shared" si="230"/>
        <v>134</v>
      </c>
      <c r="AL273" s="1328">
        <f>AK273/AK$292</f>
        <v>7.3527797897324471E-2</v>
      </c>
      <c r="AM273" s="1293"/>
      <c r="AN273" s="1293"/>
      <c r="AO273" s="1293"/>
      <c r="AP273" s="1293"/>
      <c r="AQ273" s="1293"/>
      <c r="AR273" s="1293"/>
      <c r="AS273" s="1293"/>
      <c r="AT273" s="1293"/>
      <c r="AU273" s="1293"/>
      <c r="AV273" s="1293"/>
      <c r="AW273" s="1293"/>
      <c r="AX273" s="1293"/>
      <c r="AY273" s="1293"/>
      <c r="AZ273" s="1293"/>
      <c r="BA273" s="1293"/>
      <c r="BB273" s="1293"/>
      <c r="BC273" s="1293"/>
      <c r="BD273" s="1293"/>
      <c r="BE273" s="1293"/>
      <c r="BF273" s="1293"/>
      <c r="BG273" s="1293"/>
      <c r="BH273" s="1293"/>
      <c r="BI273" s="1293"/>
      <c r="BJ273" s="1293"/>
      <c r="BK273" s="1293"/>
      <c r="BL273" s="1293"/>
      <c r="BM273" s="1293"/>
      <c r="BN273" s="1293"/>
      <c r="BO273" s="1293"/>
      <c r="BP273" s="1293"/>
      <c r="BQ273" s="1293"/>
      <c r="BR273" s="1293"/>
      <c r="BS273" s="1293"/>
      <c r="BT273" s="1293"/>
      <c r="BU273" s="1293"/>
      <c r="BV273" s="1293"/>
      <c r="BW273" s="1293"/>
      <c r="BX273" s="1293"/>
      <c r="BY273" s="1293"/>
      <c r="BZ273" s="1293"/>
      <c r="CA273" s="1293"/>
      <c r="CB273" s="1293"/>
      <c r="CC273" s="1293"/>
      <c r="CD273" s="1293"/>
      <c r="CE273" s="1293"/>
      <c r="CF273" s="1293"/>
      <c r="CG273" s="1293"/>
    </row>
    <row r="274" spans="1:85" ht="15.75">
      <c r="A274" s="1293"/>
      <c r="B274" s="1724">
        <v>1</v>
      </c>
      <c r="C274" s="1293" t="str">
        <f t="shared" si="231"/>
        <v>Guatemala</v>
      </c>
      <c r="D274" s="2515">
        <f>'New (new) quarts'!G104</f>
        <v>633.99544221372503</v>
      </c>
      <c r="E274" s="2515">
        <f>'New (new) quarts'!L104</f>
        <v>651.32444383340294</v>
      </c>
      <c r="F274" s="2515">
        <f>'New (new) quarts'!Q104</f>
        <v>631.65724603022602</v>
      </c>
      <c r="G274" s="2515">
        <f>'New (new) quarts'!V104</f>
        <v>665</v>
      </c>
      <c r="H274" s="2515">
        <f>'New (new) quarts'!AA104</f>
        <v>689</v>
      </c>
      <c r="I274" s="2515">
        <f>'New (new) quarts'!AJ104</f>
        <v>749</v>
      </c>
      <c r="J274" s="2515">
        <f>'New (new) quarts'!AO104</f>
        <v>779</v>
      </c>
      <c r="K274" s="2515">
        <f>'New (new) quarts'!AT104</f>
        <v>857</v>
      </c>
      <c r="L274" s="2515">
        <f>'New (new) quarts'!AY104</f>
        <v>856.08</v>
      </c>
      <c r="M274" s="2515">
        <f>'New (new) quarts'!BD104</f>
        <v>810.2650000000001</v>
      </c>
      <c r="N274" s="2515">
        <f>'New (new) quarts'!BI104</f>
        <v>866.86189999999999</v>
      </c>
      <c r="O274" s="1699">
        <f t="shared" si="232"/>
        <v>892.28999608924687</v>
      </c>
      <c r="P274" s="1699">
        <f t="shared" si="232"/>
        <v>909.15873393353195</v>
      </c>
      <c r="Q274" s="1699">
        <f t="shared" si="232"/>
        <v>926.32919359673224</v>
      </c>
      <c r="R274" s="1699">
        <f t="shared" si="232"/>
        <v>943.80660473524074</v>
      </c>
      <c r="S274" s="1699">
        <f t="shared" si="232"/>
        <v>957.50351328083548</v>
      </c>
      <c r="T274" s="1699">
        <f t="shared" si="232"/>
        <v>971.37912674962161</v>
      </c>
      <c r="U274" s="1293"/>
      <c r="V274" s="1293"/>
      <c r="W274" s="1293"/>
      <c r="X274" s="1724">
        <v>0.55000000000000004</v>
      </c>
      <c r="Y274" s="1724">
        <f>J274*X274/Valuation!J$85</f>
        <v>0.21984942183623607</v>
      </c>
      <c r="Z274" s="1293"/>
      <c r="AA274" s="1293"/>
      <c r="AB274" s="1293"/>
      <c r="AC274" s="1293"/>
      <c r="AD274" s="1293"/>
      <c r="AE274" s="1699">
        <f t="shared" ref="AE274:AK274" si="233">D274*0.55</f>
        <v>348.69749321754881</v>
      </c>
      <c r="AF274" s="1699">
        <f t="shared" si="233"/>
        <v>358.22844410837166</v>
      </c>
      <c r="AG274" s="1699">
        <f t="shared" si="233"/>
        <v>347.41148531662435</v>
      </c>
      <c r="AH274" s="1699">
        <f t="shared" si="233"/>
        <v>365.75000000000006</v>
      </c>
      <c r="AI274" s="1699">
        <f t="shared" si="233"/>
        <v>378.95000000000005</v>
      </c>
      <c r="AJ274" s="1699">
        <f t="shared" si="233"/>
        <v>411.95000000000005</v>
      </c>
      <c r="AK274" s="1699">
        <f t="shared" si="233"/>
        <v>428.45000000000005</v>
      </c>
      <c r="AL274" s="1328">
        <f>AK274/AK$292</f>
        <v>0.23509690305304978</v>
      </c>
      <c r="AM274" s="1293"/>
      <c r="AN274" s="1293"/>
      <c r="AO274" s="1293"/>
      <c r="AP274" s="1293"/>
      <c r="AQ274" s="1293"/>
      <c r="AR274" s="1293"/>
      <c r="AS274" s="1293"/>
      <c r="AT274" s="1293"/>
      <c r="AU274" s="1293"/>
      <c r="AV274" s="1293"/>
      <c r="AW274" s="1293"/>
      <c r="AX274" s="1293"/>
      <c r="AY274" s="1293"/>
      <c r="AZ274" s="1293"/>
      <c r="BA274" s="1293"/>
      <c r="BB274" s="1293"/>
      <c r="BC274" s="1293"/>
      <c r="BD274" s="1293"/>
      <c r="BE274" s="1293"/>
      <c r="BF274" s="1293"/>
      <c r="BG274" s="1293"/>
      <c r="BH274" s="1293"/>
      <c r="BI274" s="1293"/>
      <c r="BJ274" s="1293"/>
      <c r="BK274" s="1293"/>
      <c r="BL274" s="1293"/>
      <c r="BM274" s="1293"/>
      <c r="BN274" s="1293"/>
      <c r="BO274" s="1293"/>
      <c r="BP274" s="1293"/>
      <c r="BQ274" s="1293"/>
      <c r="BR274" s="1293"/>
      <c r="BS274" s="1293"/>
      <c r="BT274" s="1293"/>
      <c r="BU274" s="1293"/>
      <c r="BV274" s="1293"/>
      <c r="BW274" s="1293"/>
      <c r="BX274" s="1293"/>
      <c r="BY274" s="1293"/>
      <c r="BZ274" s="1293"/>
      <c r="CA274" s="1293"/>
      <c r="CB274" s="1293"/>
      <c r="CC274" s="1293"/>
      <c r="CD274" s="1293"/>
      <c r="CE274" s="1293"/>
      <c r="CF274" s="1293"/>
      <c r="CG274" s="1293"/>
    </row>
    <row r="275" spans="1:85" ht="15.75">
      <c r="A275" s="1293"/>
      <c r="B275" s="1724">
        <v>0.66</v>
      </c>
      <c r="C275" s="1293" t="str">
        <f t="shared" si="231"/>
        <v>Honduras (JV)</v>
      </c>
      <c r="D275" s="2515">
        <f>'New (new) quarts'!G105</f>
        <v>286.50864634760188</v>
      </c>
      <c r="E275" s="2515">
        <f>'New (new) quarts'!L105</f>
        <v>273.9659302439689</v>
      </c>
      <c r="F275" s="2515">
        <f>'New (new) quarts'!Q105</f>
        <v>256.00385843590391</v>
      </c>
      <c r="G275" s="2515">
        <f>'New (new) quarts'!V105</f>
        <v>265</v>
      </c>
      <c r="H275" s="2515">
        <f>'New (new) quarts'!AA105</f>
        <v>255</v>
      </c>
      <c r="I275" s="2515">
        <f>'New (new) quarts'!AJ105</f>
        <v>280</v>
      </c>
      <c r="J275" s="2515">
        <f>'New (new) quarts'!AO105</f>
        <v>247</v>
      </c>
      <c r="K275" s="2515">
        <f>'New (new) quarts'!AT105</f>
        <v>259</v>
      </c>
      <c r="L275" s="2515">
        <f>'New (new) quarts'!AY105</f>
        <v>261.84000000000003</v>
      </c>
      <c r="M275" s="2515">
        <f>'New (new) quarts'!BD105</f>
        <v>275.30399999999997</v>
      </c>
      <c r="N275" s="2515">
        <f>'New (new) quarts'!BI105</f>
        <v>302.0249</v>
      </c>
      <c r="O275" s="1699">
        <f t="shared" si="232"/>
        <v>301.83513604138722</v>
      </c>
      <c r="P275" s="1699">
        <f t="shared" si="232"/>
        <v>309.21543863126584</v>
      </c>
      <c r="Q275" s="1699">
        <f t="shared" si="232"/>
        <v>316.76961478230305</v>
      </c>
      <c r="R275" s="1699">
        <f t="shared" si="232"/>
        <v>325.20230265221539</v>
      </c>
      <c r="S275" s="1699">
        <f t="shared" si="232"/>
        <v>333.24676773098327</v>
      </c>
      <c r="T275" s="1699">
        <f t="shared" si="232"/>
        <v>341.45715639516618</v>
      </c>
      <c r="U275" s="1293"/>
      <c r="V275" s="1293"/>
      <c r="W275" s="1293"/>
      <c r="X275" s="1724">
        <v>0.66</v>
      </c>
      <c r="Y275" s="1724">
        <f>J275*X275/Valuation!J$85</f>
        <v>8.3650023918177621E-2</v>
      </c>
      <c r="Z275" s="1293"/>
      <c r="AA275" s="1293"/>
      <c r="AB275" s="1293"/>
      <c r="AC275" s="1293"/>
      <c r="AD275" s="1293"/>
      <c r="AE275" s="1699">
        <f t="shared" ref="AE275:AK275" si="234">D275*0.67</f>
        <v>191.96079305289328</v>
      </c>
      <c r="AF275" s="1699">
        <f t="shared" si="234"/>
        <v>183.55717326345916</v>
      </c>
      <c r="AG275" s="1699">
        <f t="shared" si="234"/>
        <v>171.52258515205563</v>
      </c>
      <c r="AH275" s="1699">
        <f t="shared" si="234"/>
        <v>177.55</v>
      </c>
      <c r="AI275" s="1699">
        <f t="shared" si="234"/>
        <v>170.85000000000002</v>
      </c>
      <c r="AJ275" s="1699">
        <f t="shared" si="234"/>
        <v>187.60000000000002</v>
      </c>
      <c r="AK275" s="1699">
        <f t="shared" si="234"/>
        <v>165.49</v>
      </c>
      <c r="AL275" s="1328">
        <f>AK275/AK$292</f>
        <v>9.0806830403195718E-2</v>
      </c>
      <c r="AM275" s="1293"/>
      <c r="AN275" s="1293"/>
      <c r="AO275" s="1293"/>
      <c r="AP275" s="1293"/>
      <c r="AQ275" s="1293"/>
      <c r="AR275" s="1293"/>
      <c r="AS275" s="1293"/>
      <c r="AT275" s="1293"/>
      <c r="AU275" s="1293"/>
      <c r="AV275" s="1293"/>
      <c r="AW275" s="1293"/>
      <c r="AX275" s="1293"/>
      <c r="AY275" s="1293"/>
      <c r="AZ275" s="1293"/>
      <c r="BA275" s="1293"/>
      <c r="BB275" s="1293"/>
      <c r="BC275" s="1293"/>
      <c r="BD275" s="1293"/>
      <c r="BE275" s="1293"/>
      <c r="BF275" s="1293"/>
      <c r="BG275" s="1293"/>
      <c r="BH275" s="1293"/>
      <c r="BI275" s="1293"/>
      <c r="BJ275" s="1293"/>
      <c r="BK275" s="1293"/>
      <c r="BL275" s="1293"/>
      <c r="BM275" s="1293"/>
      <c r="BN275" s="1293"/>
      <c r="BO275" s="1293"/>
      <c r="BP275" s="1293"/>
      <c r="BQ275" s="1293"/>
      <c r="BR275" s="1293"/>
      <c r="BS275" s="1293"/>
      <c r="BT275" s="1293"/>
      <c r="BU275" s="1293"/>
      <c r="BV275" s="1293"/>
      <c r="BW275" s="1293"/>
      <c r="BX275" s="1293"/>
      <c r="BY275" s="1293"/>
      <c r="BZ275" s="1293"/>
      <c r="CA275" s="1293"/>
      <c r="CB275" s="1293"/>
      <c r="CC275" s="1293"/>
      <c r="CD275" s="1293"/>
      <c r="CE275" s="1293"/>
      <c r="CF275" s="1293"/>
      <c r="CG275" s="1293"/>
    </row>
    <row r="276" spans="1:85" ht="15.75">
      <c r="A276" s="1293"/>
      <c r="B276" s="1724"/>
      <c r="C276" s="1293" t="str">
        <f t="shared" si="231"/>
        <v>Panama</v>
      </c>
      <c r="D276" s="2515"/>
      <c r="E276" s="2515"/>
      <c r="F276" s="2515"/>
      <c r="G276" s="2515"/>
      <c r="H276" s="2515"/>
      <c r="I276" s="2515"/>
      <c r="J276" s="2515"/>
      <c r="K276" s="2515"/>
      <c r="L276" s="2515">
        <f>'New (new) quarts'!AY106</f>
        <v>298.423</v>
      </c>
      <c r="M276" s="2515">
        <f>'New (new) quarts'!BD106</f>
        <v>304.18920000000003</v>
      </c>
      <c r="N276" s="2515">
        <f>'New (new) quarts'!BI106</f>
        <v>353.94280000000003</v>
      </c>
      <c r="O276" s="1699">
        <f t="shared" si="232"/>
        <v>369.92680100000001</v>
      </c>
      <c r="P276" s="1699">
        <f t="shared" si="232"/>
        <v>387.10914606000006</v>
      </c>
      <c r="Q276" s="1699">
        <f t="shared" si="232"/>
        <v>404.18508257700006</v>
      </c>
      <c r="R276" s="1699">
        <f t="shared" si="232"/>
        <v>423.27043096147207</v>
      </c>
      <c r="S276" s="1699">
        <f t="shared" si="232"/>
        <v>442.21919988526088</v>
      </c>
      <c r="T276" s="1699">
        <f t="shared" si="232"/>
        <v>459.88672280742605</v>
      </c>
      <c r="U276" s="1293"/>
      <c r="V276" s="1293"/>
      <c r="W276" s="1293"/>
      <c r="X276" s="1724"/>
      <c r="Y276" s="1724"/>
      <c r="Z276" s="1293"/>
      <c r="AA276" s="1293"/>
      <c r="AB276" s="1293"/>
      <c r="AC276" s="1293"/>
      <c r="AD276" s="1293"/>
      <c r="AE276" s="1699"/>
      <c r="AF276" s="1699"/>
      <c r="AG276" s="1699"/>
      <c r="AH276" s="1699"/>
      <c r="AI276" s="1699"/>
      <c r="AJ276" s="1699"/>
      <c r="AK276" s="1699"/>
      <c r="AL276" s="1328"/>
      <c r="AM276" s="1293"/>
      <c r="AN276" s="1293"/>
      <c r="AO276" s="1293"/>
      <c r="AP276" s="1293"/>
      <c r="AQ276" s="1293"/>
      <c r="AR276" s="1293"/>
      <c r="AS276" s="1293"/>
      <c r="AT276" s="1293"/>
      <c r="AU276" s="1293"/>
      <c r="AV276" s="1293"/>
      <c r="AW276" s="1293"/>
      <c r="AX276" s="1293"/>
      <c r="AY276" s="1293"/>
      <c r="AZ276" s="1293"/>
      <c r="BA276" s="1293"/>
      <c r="BB276" s="1293"/>
      <c r="BC276" s="1293"/>
      <c r="BD276" s="1293"/>
      <c r="BE276" s="1293"/>
      <c r="BF276" s="1293"/>
      <c r="BG276" s="1293"/>
      <c r="BH276" s="1293"/>
      <c r="BI276" s="1293"/>
      <c r="BJ276" s="1293"/>
      <c r="BK276" s="1293"/>
      <c r="BL276" s="1293"/>
      <c r="BM276" s="1293"/>
      <c r="BN276" s="1293"/>
      <c r="BO276" s="1293"/>
      <c r="BP276" s="1293"/>
      <c r="BQ276" s="1293"/>
      <c r="BR276" s="1293"/>
      <c r="BS276" s="1293"/>
      <c r="BT276" s="1293"/>
      <c r="BU276" s="1293"/>
      <c r="BV276" s="1293"/>
      <c r="BW276" s="1293"/>
      <c r="BX276" s="1293"/>
      <c r="BY276" s="1293"/>
      <c r="BZ276" s="1293"/>
      <c r="CA276" s="1293"/>
      <c r="CB276" s="1293"/>
      <c r="CC276" s="1293"/>
      <c r="CD276" s="1293"/>
      <c r="CE276" s="1293"/>
      <c r="CF276" s="1293"/>
      <c r="CG276" s="1293"/>
    </row>
    <row r="277" spans="1:85" ht="15.75">
      <c r="A277" s="1293"/>
      <c r="B277" s="1724"/>
      <c r="C277" s="1293" t="str">
        <f t="shared" si="231"/>
        <v>Costa Rica</v>
      </c>
      <c r="D277" s="2515"/>
      <c r="E277" s="2515"/>
      <c r="F277" s="2515"/>
      <c r="G277" s="2515"/>
      <c r="H277" s="2515"/>
      <c r="I277" s="2515"/>
      <c r="J277" s="2515"/>
      <c r="K277" s="2515"/>
      <c r="L277" s="2515">
        <f>'New (new) quarts'!AY107</f>
        <v>44.858599999999996</v>
      </c>
      <c r="M277" s="2515">
        <f>'New (new) quarts'!BD107</f>
        <v>57.028500000000001</v>
      </c>
      <c r="N277" s="2515">
        <f>'New (new) quarts'!BI107</f>
        <v>49.843800000000002</v>
      </c>
      <c r="O277" s="1699">
        <f t="shared" si="232"/>
        <v>49.4545095</v>
      </c>
      <c r="P277" s="1699">
        <f t="shared" si="232"/>
        <v>47.273741139705876</v>
      </c>
      <c r="Q277" s="1699">
        <f t="shared" si="232"/>
        <v>45.884035812067467</v>
      </c>
      <c r="R277" s="1699">
        <f t="shared" si="232"/>
        <v>44.984814717713206</v>
      </c>
      <c r="S277" s="1699">
        <f t="shared" si="232"/>
        <v>44.544020063617978</v>
      </c>
      <c r="T277" s="1699">
        <f t="shared" si="232"/>
        <v>44.107546925739371</v>
      </c>
      <c r="U277" s="1293"/>
      <c r="V277" s="1293"/>
      <c r="W277" s="1293"/>
      <c r="X277" s="1724"/>
      <c r="Y277" s="1724"/>
      <c r="Z277" s="1293"/>
      <c r="AA277" s="1293"/>
      <c r="AB277" s="1293"/>
      <c r="AC277" s="1293"/>
      <c r="AD277" s="1293"/>
      <c r="AE277" s="1699"/>
      <c r="AF277" s="1699"/>
      <c r="AG277" s="1699"/>
      <c r="AH277" s="1699"/>
      <c r="AI277" s="1699"/>
      <c r="AJ277" s="1699"/>
      <c r="AK277" s="1699"/>
      <c r="AL277" s="1328"/>
      <c r="AM277" s="1293"/>
      <c r="AN277" s="1293"/>
      <c r="AO277" s="1293"/>
      <c r="AP277" s="1293"/>
      <c r="AQ277" s="1293"/>
      <c r="AR277" s="1293"/>
      <c r="AS277" s="1293"/>
      <c r="AT277" s="1293"/>
      <c r="AU277" s="1293"/>
      <c r="AV277" s="1293"/>
      <c r="AW277" s="1293"/>
      <c r="AX277" s="1293"/>
      <c r="AY277" s="1293"/>
      <c r="AZ277" s="1293"/>
      <c r="BA277" s="1293"/>
      <c r="BB277" s="1293"/>
      <c r="BC277" s="1293"/>
      <c r="BD277" s="1293"/>
      <c r="BE277" s="1293"/>
      <c r="BF277" s="1293"/>
      <c r="BG277" s="1293"/>
      <c r="BH277" s="1293"/>
      <c r="BI277" s="1293"/>
      <c r="BJ277" s="1293"/>
      <c r="BK277" s="1293"/>
      <c r="BL277" s="1293"/>
      <c r="BM277" s="1293"/>
      <c r="BN277" s="1293"/>
      <c r="BO277" s="1293"/>
      <c r="BP277" s="1293"/>
      <c r="BQ277" s="1293"/>
      <c r="BR277" s="1293"/>
      <c r="BS277" s="1293"/>
      <c r="BT277" s="1293"/>
      <c r="BU277" s="1293"/>
      <c r="BV277" s="1293"/>
      <c r="BW277" s="1293"/>
      <c r="BX277" s="1293"/>
      <c r="BY277" s="1293"/>
      <c r="BZ277" s="1293"/>
      <c r="CA277" s="1293"/>
      <c r="CB277" s="1293"/>
      <c r="CC277" s="1293"/>
      <c r="CD277" s="1293"/>
      <c r="CE277" s="1293"/>
      <c r="CF277" s="1293"/>
      <c r="CG277" s="1293"/>
    </row>
    <row r="278" spans="1:85" ht="15.75">
      <c r="A278" s="1293"/>
      <c r="B278" s="1724"/>
      <c r="C278" s="1293" t="str">
        <f t="shared" si="231"/>
        <v>Nicaragua</v>
      </c>
      <c r="D278" s="2515"/>
      <c r="E278" s="2515"/>
      <c r="F278" s="2515"/>
      <c r="G278" s="2515"/>
      <c r="H278" s="2515"/>
      <c r="I278" s="2515"/>
      <c r="J278" s="2515"/>
      <c r="K278" s="2515"/>
      <c r="L278" s="2515">
        <f>'New (new) quarts'!AY108</f>
        <v>109.27529999999999</v>
      </c>
      <c r="M278" s="2515">
        <f>'New (new) quarts'!BD108</f>
        <v>114.45850000000002</v>
      </c>
      <c r="N278" s="2515">
        <f>'New (new) quarts'!BI108</f>
        <v>125.4268</v>
      </c>
      <c r="O278" s="1699">
        <f t="shared" si="232"/>
        <v>128.81409426438043</v>
      </c>
      <c r="P278" s="1699">
        <f t="shared" si="232"/>
        <v>130.73035362196566</v>
      </c>
      <c r="Q278" s="1699">
        <f t="shared" si="232"/>
        <v>133.92149840823214</v>
      </c>
      <c r="R278" s="1699">
        <f t="shared" si="232"/>
        <v>136.54775206468523</v>
      </c>
      <c r="S278" s="1699">
        <f t="shared" si="232"/>
        <v>140.01266950587296</v>
      </c>
      <c r="T278" s="1699">
        <f t="shared" si="232"/>
        <v>142.12953658672365</v>
      </c>
      <c r="U278" s="1293"/>
      <c r="V278" s="1293"/>
      <c r="W278" s="1293"/>
      <c r="X278" s="1724"/>
      <c r="Y278" s="1724"/>
      <c r="Z278" s="1293"/>
      <c r="AA278" s="1293"/>
      <c r="AB278" s="1293"/>
      <c r="AC278" s="1293"/>
      <c r="AD278" s="1293"/>
      <c r="AE278" s="1699"/>
      <c r="AF278" s="1699"/>
      <c r="AG278" s="1699"/>
      <c r="AH278" s="1699"/>
      <c r="AI278" s="1699"/>
      <c r="AJ278" s="1699"/>
      <c r="AK278" s="1699"/>
      <c r="AL278" s="1328"/>
      <c r="AM278" s="1293"/>
      <c r="AN278" s="1293"/>
      <c r="AO278" s="1293"/>
      <c r="AP278" s="1293"/>
      <c r="AQ278" s="1293"/>
      <c r="AR278" s="1293"/>
      <c r="AS278" s="1293"/>
      <c r="AT278" s="1293"/>
      <c r="AU278" s="1293"/>
      <c r="AV278" s="1293"/>
      <c r="AW278" s="1293"/>
      <c r="AX278" s="1293"/>
      <c r="AY278" s="1293"/>
      <c r="AZ278" s="1293"/>
      <c r="BA278" s="1293"/>
      <c r="BB278" s="1293"/>
      <c r="BC278" s="1293"/>
      <c r="BD278" s="1293"/>
      <c r="BE278" s="1293"/>
      <c r="BF278" s="1293"/>
      <c r="BG278" s="1293"/>
      <c r="BH278" s="1293"/>
      <c r="BI278" s="1293"/>
      <c r="BJ278" s="1293"/>
      <c r="BK278" s="1293"/>
      <c r="BL278" s="1293"/>
      <c r="BM278" s="1293"/>
      <c r="BN278" s="1293"/>
      <c r="BO278" s="1293"/>
      <c r="BP278" s="1293"/>
      <c r="BQ278" s="1293"/>
      <c r="BR278" s="1293"/>
      <c r="BS278" s="1293"/>
      <c r="BT278" s="1293"/>
      <c r="BU278" s="1293"/>
      <c r="BV278" s="1293"/>
      <c r="BW278" s="1293"/>
      <c r="BX278" s="1293"/>
      <c r="BY278" s="1293"/>
      <c r="BZ278" s="1293"/>
      <c r="CA278" s="1293"/>
      <c r="CB278" s="1293"/>
      <c r="CC278" s="1293"/>
      <c r="CD278" s="1293"/>
      <c r="CE278" s="1293"/>
      <c r="CF278" s="1293"/>
      <c r="CG278" s="1293"/>
    </row>
    <row r="279" spans="1:85" ht="15.75" hidden="1" outlineLevel="1">
      <c r="A279" s="1293"/>
      <c r="B279" s="1724">
        <v>0.8</v>
      </c>
      <c r="C279" s="1982" t="str">
        <f t="shared" si="231"/>
        <v>Panama - Onda</v>
      </c>
      <c r="D279" s="1699"/>
      <c r="E279" s="1699"/>
      <c r="F279" s="1699"/>
      <c r="G279" s="1699"/>
      <c r="H279" s="1699">
        <f>'New (new) quarts'!Z106</f>
        <v>7</v>
      </c>
      <c r="I279" s="1699">
        <f>'New (new) quarts'!AJ106</f>
        <v>185.1</v>
      </c>
      <c r="J279" s="1699">
        <f>'New (new) quarts'!AO106</f>
        <v>152</v>
      </c>
      <c r="K279" s="1699">
        <f>'New (new) quarts'!AT106</f>
        <v>179</v>
      </c>
      <c r="L279" s="1699">
        <f>'New (new) quarts'!AY106</f>
        <v>298.423</v>
      </c>
      <c r="M279" s="1699">
        <f>'New (new) quarts'!BD106</f>
        <v>304.18920000000003</v>
      </c>
      <c r="N279" s="1699">
        <f>'New (new) quarts'!BE106</f>
        <v>89.616600000000005</v>
      </c>
      <c r="O279" s="1699">
        <f>Onda!K29</f>
        <v>214.34719780309041</v>
      </c>
      <c r="P279" s="1699">
        <f>Onda!L29</f>
        <v>222.87978466978367</v>
      </c>
      <c r="Q279" s="1699">
        <f>Onda!M29</f>
        <v>231.62065222499402</v>
      </c>
      <c r="R279" s="1699">
        <f>Onda!N29</f>
        <v>240.57413706518898</v>
      </c>
      <c r="S279" s="1699">
        <f>Onda!O29</f>
        <v>244.19477782802005</v>
      </c>
      <c r="T279" s="1699">
        <f>Onda!P29</f>
        <v>247.86990923433174</v>
      </c>
      <c r="U279" s="1293"/>
      <c r="V279" s="1293"/>
      <c r="W279" s="1293"/>
      <c r="X279" s="1724">
        <v>1</v>
      </c>
      <c r="Y279" s="1724">
        <f>J279*X279/Valuation!J$85</f>
        <v>7.7995360296669106E-2</v>
      </c>
      <c r="Z279" s="1293"/>
      <c r="AA279" s="1293"/>
      <c r="AB279" s="1293"/>
      <c r="AC279" s="1293"/>
      <c r="AD279" s="1293"/>
      <c r="AE279" s="1699"/>
      <c r="AF279" s="1699"/>
      <c r="AG279" s="1699"/>
      <c r="AH279" s="1699"/>
      <c r="AI279" s="1699">
        <f t="shared" ref="AI279:AK280" si="235">H279</f>
        <v>7</v>
      </c>
      <c r="AJ279" s="1699">
        <f t="shared" si="235"/>
        <v>185.1</v>
      </c>
      <c r="AK279" s="1699">
        <f t="shared" si="235"/>
        <v>152</v>
      </c>
      <c r="AL279" s="1328">
        <f t="shared" ref="AL279:AL284" si="236">AK279/AK$292</f>
        <v>8.3404666271591932E-2</v>
      </c>
      <c r="AM279" s="1293"/>
      <c r="AN279" s="1293"/>
      <c r="AO279" s="1293"/>
      <c r="AP279" s="1293"/>
      <c r="AQ279" s="1293"/>
      <c r="AR279" s="1293"/>
      <c r="AS279" s="1293"/>
      <c r="AT279" s="1293"/>
      <c r="AU279" s="1293"/>
      <c r="AV279" s="1293"/>
      <c r="AW279" s="1293"/>
      <c r="AX279" s="1293"/>
      <c r="AY279" s="1293"/>
      <c r="AZ279" s="1293"/>
      <c r="BA279" s="1293"/>
      <c r="BB279" s="1293"/>
      <c r="BC279" s="1293"/>
      <c r="BD279" s="1293"/>
      <c r="BE279" s="1293"/>
      <c r="BF279" s="1293"/>
      <c r="BG279" s="1293"/>
      <c r="BH279" s="1293"/>
      <c r="BI279" s="1293"/>
      <c r="BJ279" s="1293"/>
      <c r="BK279" s="1293"/>
      <c r="BL279" s="1293"/>
      <c r="BM279" s="1293"/>
      <c r="BN279" s="1293"/>
      <c r="BO279" s="1293"/>
      <c r="BP279" s="1293"/>
      <c r="BQ279" s="1293"/>
      <c r="BR279" s="1293"/>
      <c r="BS279" s="1293"/>
      <c r="BT279" s="1293"/>
      <c r="BU279" s="1293"/>
      <c r="BV279" s="1293"/>
      <c r="BW279" s="1293"/>
      <c r="BX279" s="1293"/>
      <c r="BY279" s="1293"/>
      <c r="BZ279" s="1293"/>
      <c r="CA279" s="1293"/>
      <c r="CB279" s="1293"/>
      <c r="CC279" s="1293"/>
      <c r="CD279" s="1293"/>
      <c r="CE279" s="1293"/>
      <c r="CF279" s="1293"/>
      <c r="CG279" s="1293"/>
    </row>
    <row r="280" spans="1:85" ht="15.75" hidden="1" outlineLevel="1">
      <c r="A280" s="1293"/>
      <c r="B280" s="1724">
        <v>1</v>
      </c>
      <c r="C280" s="1982" t="str">
        <f t="shared" si="231"/>
        <v>Costa Rica/old Nicaragua</v>
      </c>
      <c r="D280" s="1699">
        <f>'New (new) quarts'!G109</f>
        <v>67.996040601718306</v>
      </c>
      <c r="E280" s="1699">
        <f>'New (new) quarts'!L109</f>
        <v>62.832759488976023</v>
      </c>
      <c r="F280" s="1699">
        <f>'New (new) quarts'!Q109</f>
        <v>62.635315854833891</v>
      </c>
      <c r="G280" s="1699">
        <f>'New (new) quarts'!V109</f>
        <v>61</v>
      </c>
      <c r="H280" s="1699">
        <f>'New (new) quarts'!AA109</f>
        <v>60.634</v>
      </c>
      <c r="I280" s="1699">
        <f>'New (new) quarts'!AJ109</f>
        <v>57.224999999999994</v>
      </c>
      <c r="J280" s="1699">
        <f>'New (new) quarts'!AO109</f>
        <v>62</v>
      </c>
      <c r="K280" s="1699">
        <f>'New (new) quarts'!AT109</f>
        <v>81</v>
      </c>
      <c r="L280" s="1699">
        <f>'New (new) quarts'!AY109</f>
        <v>83.1</v>
      </c>
      <c r="M280" s="1699">
        <f>'New (new) quarts'!BD109</f>
        <v>98.724999999999994</v>
      </c>
      <c r="N280" s="1699">
        <f>'New (new) quarts'!BE109</f>
        <v>28</v>
      </c>
      <c r="O280" s="1699">
        <f t="shared" ref="O280:T280" si="237">O356*O12</f>
        <v>7.0065604950232316</v>
      </c>
      <c r="P280" s="1699">
        <f t="shared" si="237"/>
        <v>10.56527041184756</v>
      </c>
      <c r="Q280" s="1699">
        <f t="shared" si="237"/>
        <v>14.157300022105543</v>
      </c>
      <c r="R280" s="1699">
        <f t="shared" si="237"/>
        <v>17.616528863811677</v>
      </c>
      <c r="S280" s="1699">
        <f t="shared" si="237"/>
        <v>21.044565208227361</v>
      </c>
      <c r="T280" s="1699">
        <f t="shared" si="237"/>
        <v>24.442379844703527</v>
      </c>
      <c r="U280" s="1293"/>
      <c r="V280" s="1293"/>
      <c r="W280" s="1293"/>
      <c r="X280" s="1724">
        <v>1</v>
      </c>
      <c r="Y280" s="1724">
        <f>J280*X280/Valuation!J$85</f>
        <v>3.1813896963115026E-2</v>
      </c>
      <c r="Z280" s="1293"/>
      <c r="AA280" s="1293"/>
      <c r="AB280" s="1293"/>
      <c r="AC280" s="1293"/>
      <c r="AD280" s="1293"/>
      <c r="AE280" s="1699">
        <f>D280</f>
        <v>67.996040601718306</v>
      </c>
      <c r="AF280" s="1699">
        <f>E280</f>
        <v>62.832759488976023</v>
      </c>
      <c r="AG280" s="1699">
        <f>F280</f>
        <v>62.635315854833891</v>
      </c>
      <c r="AH280" s="1699">
        <f>G280</f>
        <v>61</v>
      </c>
      <c r="AI280" s="1699">
        <f t="shared" si="235"/>
        <v>60.634</v>
      </c>
      <c r="AJ280" s="1699">
        <f t="shared" si="235"/>
        <v>57.224999999999994</v>
      </c>
      <c r="AK280" s="1699">
        <f t="shared" si="235"/>
        <v>62</v>
      </c>
      <c r="AL280" s="1328">
        <f t="shared" si="236"/>
        <v>3.4020324400254605E-2</v>
      </c>
      <c r="AM280" s="1293"/>
      <c r="AN280" s="1293"/>
      <c r="AO280" s="1293"/>
      <c r="AP280" s="1293"/>
      <c r="AQ280" s="1293"/>
      <c r="AR280" s="1293"/>
      <c r="AS280" s="1293"/>
      <c r="AT280" s="1293"/>
      <c r="AU280" s="1293"/>
      <c r="AV280" s="1293"/>
      <c r="AW280" s="1293"/>
      <c r="AX280" s="1293"/>
      <c r="AY280" s="1293"/>
      <c r="AZ280" s="1293"/>
      <c r="BA280" s="1293"/>
      <c r="BB280" s="1293"/>
      <c r="BC280" s="1293"/>
      <c r="BD280" s="1293"/>
      <c r="BE280" s="1293"/>
      <c r="BF280" s="1293"/>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c r="BZ280" s="1293"/>
      <c r="CA280" s="1293"/>
      <c r="CB280" s="1293"/>
      <c r="CC280" s="1293"/>
      <c r="CD280" s="1293"/>
      <c r="CE280" s="1293"/>
      <c r="CF280" s="1293"/>
      <c r="CG280" s="1293"/>
    </row>
    <row r="281" spans="1:85" ht="15.75" hidden="1" outlineLevel="1">
      <c r="A281" s="1293"/>
      <c r="B281" s="1724"/>
      <c r="C281" s="1982" t="str">
        <f t="shared" si="231"/>
        <v>Panama wireless</v>
      </c>
      <c r="D281" s="1699"/>
      <c r="E281" s="1699"/>
      <c r="F281" s="1699"/>
      <c r="G281" s="1699"/>
      <c r="H281" s="1699"/>
      <c r="I281" s="1699">
        <f>'New (new) quarts'!AJ110</f>
        <v>37.900000000000006</v>
      </c>
      <c r="J281" s="1699">
        <f>'New (new) quarts'!AO110</f>
        <v>104</v>
      </c>
      <c r="K281" s="1699">
        <f>'New (new) quarts'!AT110</f>
        <v>102</v>
      </c>
      <c r="L281" s="1699">
        <f>'New (new) quarts'!AY110</f>
        <v>107.5</v>
      </c>
      <c r="M281" s="1699">
        <f>'New (new) quarts'!BD110</f>
        <v>112</v>
      </c>
      <c r="N281" s="1699">
        <f>'New (new) quarts'!BE110</f>
        <v>30</v>
      </c>
      <c r="O281" s="1699">
        <f>+'New CA'!M14</f>
        <v>111.81703888795886</v>
      </c>
      <c r="P281" s="1699">
        <f>+'New CA'!N14</f>
        <v>111.81703888795886</v>
      </c>
      <c r="Q281" s="1699">
        <f>+'New CA'!O14</f>
        <v>111.81703888795886</v>
      </c>
      <c r="R281" s="1699">
        <f>+'New CA'!P14</f>
        <v>111.81703888795886</v>
      </c>
      <c r="S281" s="1699">
        <f>+'New CA'!Q14</f>
        <v>111.81703888795886</v>
      </c>
      <c r="T281" s="1699">
        <f>+'New CA'!R14</f>
        <v>111.81703888795886</v>
      </c>
      <c r="U281" s="1293"/>
      <c r="V281" s="1293"/>
      <c r="W281" s="1293"/>
      <c r="X281" s="1724">
        <v>1</v>
      </c>
      <c r="Y281" s="1724">
        <f>J281*X281/Valuation!J$85</f>
        <v>5.3365246518773599E-2</v>
      </c>
      <c r="Z281" s="1293"/>
      <c r="AA281" s="1293"/>
      <c r="AB281" s="1293"/>
      <c r="AC281" s="1293"/>
      <c r="AD281" s="1293"/>
      <c r="AE281" s="1699"/>
      <c r="AF281" s="1699"/>
      <c r="AG281" s="1699"/>
      <c r="AH281" s="1699"/>
      <c r="AI281" s="1699"/>
      <c r="AJ281" s="1699"/>
      <c r="AK281" s="1699">
        <f>J281</f>
        <v>104</v>
      </c>
      <c r="AL281" s="1328">
        <f t="shared" si="236"/>
        <v>5.7066350606878688E-2</v>
      </c>
      <c r="AM281" s="1293"/>
      <c r="AN281" s="1293"/>
      <c r="AO281" s="1293"/>
      <c r="AP281" s="1293"/>
      <c r="AQ281" s="1293"/>
      <c r="AR281" s="1293"/>
      <c r="AS281" s="1293"/>
      <c r="AT281" s="1293"/>
      <c r="AU281" s="1293"/>
      <c r="AV281" s="1293"/>
      <c r="AW281" s="1293"/>
      <c r="AX281" s="1293"/>
      <c r="AY281" s="1293"/>
      <c r="AZ281" s="1293"/>
      <c r="BA281" s="1293"/>
      <c r="BB281" s="1293"/>
      <c r="BC281" s="1293"/>
      <c r="BD281" s="1293"/>
      <c r="BE281" s="1293"/>
      <c r="BF281" s="1293"/>
      <c r="BG281" s="1293"/>
      <c r="BH281" s="1293"/>
      <c r="BI281" s="1293"/>
      <c r="BJ281" s="1293"/>
      <c r="BK281" s="1293"/>
      <c r="BL281" s="1293"/>
      <c r="BM281" s="1293"/>
      <c r="BN281" s="1293"/>
      <c r="BO281" s="1293"/>
      <c r="BP281" s="1293"/>
      <c r="BQ281" s="1293"/>
      <c r="BR281" s="1293"/>
      <c r="BS281" s="1293"/>
      <c r="BT281" s="1293"/>
      <c r="BU281" s="1293"/>
      <c r="BV281" s="1293"/>
      <c r="BW281" s="1293"/>
      <c r="BX281" s="1293"/>
      <c r="BY281" s="1293"/>
      <c r="BZ281" s="1293"/>
      <c r="CA281" s="1293"/>
      <c r="CB281" s="1293"/>
      <c r="CC281" s="1293"/>
      <c r="CD281" s="1293"/>
      <c r="CE281" s="1293"/>
      <c r="CF281" s="1293"/>
      <c r="CG281" s="1293"/>
    </row>
    <row r="282" spans="1:85" ht="15.75" hidden="1" outlineLevel="1">
      <c r="A282" s="1293"/>
      <c r="B282" s="1724"/>
      <c r="C282" s="1982" t="str">
        <f t="shared" si="231"/>
        <v>Costa Rica wireless</v>
      </c>
      <c r="D282" s="1699"/>
      <c r="E282" s="1699"/>
      <c r="F282" s="1699"/>
      <c r="G282" s="1699"/>
      <c r="H282" s="1699"/>
      <c r="I282" s="1699"/>
      <c r="J282" s="1699"/>
      <c r="K282" s="1699"/>
      <c r="L282" s="1699"/>
      <c r="M282" s="1699"/>
      <c r="N282" s="1699"/>
      <c r="O282" s="1699"/>
      <c r="P282" s="1699"/>
      <c r="Q282" s="1699"/>
      <c r="R282" s="1699"/>
      <c r="S282" s="1699"/>
      <c r="T282" s="1699"/>
      <c r="U282" s="1293"/>
      <c r="V282" s="1293"/>
      <c r="W282" s="1293"/>
      <c r="X282" s="1724">
        <v>1</v>
      </c>
      <c r="Y282" s="1724">
        <f>J282*X282/Valuation!J$85</f>
        <v>0</v>
      </c>
      <c r="Z282" s="1293"/>
      <c r="AA282" s="1293"/>
      <c r="AB282" s="1293"/>
      <c r="AC282" s="1293"/>
      <c r="AD282" s="1293"/>
      <c r="AE282" s="1699"/>
      <c r="AF282" s="1699"/>
      <c r="AG282" s="1699"/>
      <c r="AH282" s="1699"/>
      <c r="AI282" s="1699"/>
      <c r="AJ282" s="1699"/>
      <c r="AK282" s="1699">
        <f>J282</f>
        <v>0</v>
      </c>
      <c r="AL282" s="1328">
        <f t="shared" si="236"/>
        <v>0</v>
      </c>
      <c r="AM282" s="1293"/>
      <c r="AN282" s="1293"/>
      <c r="AO282" s="1293"/>
      <c r="AP282" s="1293"/>
      <c r="AQ282" s="1293"/>
      <c r="AR282" s="1293"/>
      <c r="AS282" s="1293"/>
      <c r="AT282" s="1293"/>
      <c r="AU282" s="1293"/>
      <c r="AV282" s="1293"/>
      <c r="AW282" s="1293"/>
      <c r="AX282" s="1293"/>
      <c r="AY282" s="1293"/>
      <c r="AZ282" s="1293"/>
      <c r="BA282" s="1293"/>
      <c r="BB282" s="1293"/>
      <c r="BC282" s="1293"/>
      <c r="BD282" s="1293"/>
      <c r="BE282" s="1293"/>
      <c r="BF282" s="1293"/>
      <c r="BG282" s="1293"/>
      <c r="BH282" s="1293"/>
      <c r="BI282" s="1293"/>
      <c r="BJ282" s="1293"/>
      <c r="BK282" s="1293"/>
      <c r="BL282" s="1293"/>
      <c r="BM282" s="1293"/>
      <c r="BN282" s="1293"/>
      <c r="BO282" s="1293"/>
      <c r="BP282" s="1293"/>
      <c r="BQ282" s="1293"/>
      <c r="BR282" s="1293"/>
      <c r="BS282" s="1293"/>
      <c r="BT282" s="1293"/>
      <c r="BU282" s="1293"/>
      <c r="BV282" s="1293"/>
      <c r="BW282" s="1293"/>
      <c r="BX282" s="1293"/>
      <c r="BY282" s="1293"/>
      <c r="BZ282" s="1293"/>
      <c r="CA282" s="1293"/>
      <c r="CB282" s="1293"/>
      <c r="CC282" s="1293"/>
      <c r="CD282" s="1293"/>
      <c r="CE282" s="1293"/>
      <c r="CF282" s="1293"/>
      <c r="CG282" s="1293"/>
    </row>
    <row r="283" spans="1:85" ht="15.75" hidden="1" outlineLevel="1">
      <c r="A283" s="1293"/>
      <c r="B283" s="1724"/>
      <c r="C283" s="1983" t="str">
        <f t="shared" si="231"/>
        <v>Nicaragua wireless</v>
      </c>
      <c r="D283" s="1703"/>
      <c r="E283" s="1703"/>
      <c r="F283" s="1703"/>
      <c r="G283" s="1703"/>
      <c r="H283" s="1703"/>
      <c r="I283" s="1703">
        <f>'New (new) quarts'!AJ112</f>
        <v>68</v>
      </c>
      <c r="J283" s="1703">
        <f>'New (new) quarts'!AO112</f>
        <v>69</v>
      </c>
      <c r="K283" s="1703">
        <f>'New (new) quarts'!AT112</f>
        <v>68</v>
      </c>
      <c r="L283" s="1703">
        <f>'New (new) quarts'!AY112</f>
        <v>71.900000000000006</v>
      </c>
      <c r="M283" s="1703">
        <f>'New (new) quarts'!BD112</f>
        <v>72</v>
      </c>
      <c r="N283" s="1703">
        <f>'New (new) quarts'!BE112</f>
        <v>18</v>
      </c>
      <c r="O283" s="1703">
        <f>'New CA'!M139</f>
        <v>79.048332220677295</v>
      </c>
      <c r="P283" s="1703">
        <f>'New CA'!N139</f>
        <v>79.048332220677295</v>
      </c>
      <c r="Q283" s="1703">
        <f>'New CA'!O139</f>
        <v>79.048332220677295</v>
      </c>
      <c r="R283" s="1703">
        <f>'New CA'!P139</f>
        <v>79.048332220677295</v>
      </c>
      <c r="S283" s="1703">
        <f>'New CA'!Q139</f>
        <v>79.048332220677295</v>
      </c>
      <c r="T283" s="1703">
        <f>'New CA'!R139</f>
        <v>79.048332220677295</v>
      </c>
      <c r="U283" s="1293"/>
      <c r="V283" s="1293"/>
      <c r="W283" s="1293"/>
      <c r="X283" s="1724">
        <v>1</v>
      </c>
      <c r="Y283" s="1724">
        <f>J283*X283/Valuation!J$85</f>
        <v>3.5405788555724793E-2</v>
      </c>
      <c r="Z283" s="1293"/>
      <c r="AA283" s="1293"/>
      <c r="AB283" s="1293"/>
      <c r="AC283" s="1293"/>
      <c r="AD283" s="1293"/>
      <c r="AE283" s="1703"/>
      <c r="AF283" s="1703"/>
      <c r="AG283" s="1703"/>
      <c r="AH283" s="1703"/>
      <c r="AI283" s="1703"/>
      <c r="AJ283" s="1703">
        <f>I283</f>
        <v>68</v>
      </c>
      <c r="AK283" s="1703">
        <f>J283</f>
        <v>69</v>
      </c>
      <c r="AL283" s="1337">
        <f t="shared" si="236"/>
        <v>3.7861328768025282E-2</v>
      </c>
      <c r="AM283" s="1293"/>
      <c r="AN283" s="1293"/>
      <c r="AO283" s="1293"/>
      <c r="AP283" s="1293"/>
      <c r="AQ283" s="1293"/>
      <c r="AR283" s="1293"/>
      <c r="AS283" s="1293"/>
      <c r="AT283" s="1293"/>
      <c r="AU283" s="1293"/>
      <c r="AV283" s="1293"/>
      <c r="AW283" s="1293"/>
      <c r="AX283" s="1293"/>
      <c r="AY283" s="1293"/>
      <c r="AZ283" s="1293"/>
      <c r="BA283" s="1293"/>
      <c r="BB283" s="1293"/>
      <c r="BC283" s="1293"/>
      <c r="BD283" s="1293"/>
      <c r="BE283" s="1293"/>
      <c r="BF283" s="1293"/>
      <c r="BG283" s="1293"/>
      <c r="BH283" s="1293"/>
      <c r="BI283" s="1293"/>
      <c r="BJ283" s="1293"/>
      <c r="BK283" s="1293"/>
      <c r="BL283" s="1293"/>
      <c r="BM283" s="1293"/>
      <c r="BN283" s="1293"/>
      <c r="BO283" s="1293"/>
      <c r="BP283" s="1293"/>
      <c r="BQ283" s="1293"/>
      <c r="BR283" s="1293"/>
      <c r="BS283" s="1293"/>
      <c r="BT283" s="1293"/>
      <c r="BU283" s="1293"/>
      <c r="BV283" s="1293"/>
      <c r="BW283" s="1293"/>
      <c r="BX283" s="1293"/>
      <c r="BY283" s="1293"/>
      <c r="BZ283" s="1293"/>
      <c r="CA283" s="1293"/>
      <c r="CB283" s="1293"/>
      <c r="CC283" s="1293"/>
      <c r="CD283" s="1293"/>
      <c r="CE283" s="1293"/>
      <c r="CF283" s="1293"/>
      <c r="CG283" s="1293"/>
    </row>
    <row r="284" spans="1:85" ht="15.75" collapsed="1">
      <c r="A284" s="1293"/>
      <c r="B284" s="1724">
        <f>((B273*K273)+(B274*K274)+(B280*K280))/(K273+K274+K280)</f>
        <v>1</v>
      </c>
      <c r="C284" s="1375" t="str">
        <f>'New (new) quarts'!B113</f>
        <v>Central America</v>
      </c>
      <c r="D284" s="1984">
        <f>'New (new) quarts'!G113</f>
        <v>1153.0110656430443</v>
      </c>
      <c r="E284" s="1984">
        <f>'New (new) quarts'!L113</f>
        <v>1156.789819516348</v>
      </c>
      <c r="F284" s="1984">
        <f>'New (new) quarts'!Q113</f>
        <v>1098.450592790964</v>
      </c>
      <c r="G284" s="1984">
        <f>'New (new) quarts'!V113</f>
        <v>1146</v>
      </c>
      <c r="H284" s="1984">
        <f>'New (new) quarts'!AA113</f>
        <v>1155.634</v>
      </c>
      <c r="I284" s="1984">
        <f t="shared" ref="I284:K284" si="238">SUM(I273:I283)</f>
        <v>1517.2249999999999</v>
      </c>
      <c r="J284" s="1984">
        <f t="shared" si="238"/>
        <v>1547</v>
      </c>
      <c r="K284" s="1984">
        <f t="shared" si="238"/>
        <v>1708</v>
      </c>
      <c r="L284" s="1984">
        <f>SUM(L273:L278)</f>
        <v>1746.2945</v>
      </c>
      <c r="M284" s="1984">
        <f>SUM(M273:M278)</f>
        <v>1745.1406999999999</v>
      </c>
      <c r="N284" s="1984">
        <f>SUM(N273:N278)</f>
        <v>1914.1642000000002</v>
      </c>
      <c r="O284" s="1984">
        <f t="shared" ref="O284:T284" si="239">SUM(O273:O278)</f>
        <v>1961.8485068950147</v>
      </c>
      <c r="P284" s="1984">
        <f t="shared" si="239"/>
        <v>2009.9797189864694</v>
      </c>
      <c r="Q284" s="1984">
        <f t="shared" si="239"/>
        <v>2060.7368286123351</v>
      </c>
      <c r="R284" s="1984">
        <f t="shared" si="239"/>
        <v>2114.8100133945263</v>
      </c>
      <c r="S284" s="1984">
        <f t="shared" si="239"/>
        <v>2168.806864682334</v>
      </c>
      <c r="T284" s="1984">
        <f t="shared" si="239"/>
        <v>2220.8382738278005</v>
      </c>
      <c r="U284" s="1293"/>
      <c r="V284" s="1293"/>
      <c r="W284" s="1293"/>
      <c r="X284" s="1293"/>
      <c r="Y284" s="1724"/>
      <c r="Z284" s="1293"/>
      <c r="AA284" s="1293"/>
      <c r="AB284" s="1293"/>
      <c r="AC284" s="1293"/>
      <c r="AD284" s="1293"/>
      <c r="AE284" s="1699">
        <f t="shared" ref="AE284:AJ284" si="240">SUM(AE273:AE283)</f>
        <v>773.1652633521594</v>
      </c>
      <c r="AF284" s="1699">
        <f t="shared" si="240"/>
        <v>773.28506281080695</v>
      </c>
      <c r="AG284" s="1699">
        <f t="shared" si="240"/>
        <v>729.72355879351403</v>
      </c>
      <c r="AH284" s="1699">
        <f t="shared" si="240"/>
        <v>759.3</v>
      </c>
      <c r="AI284" s="1699">
        <f t="shared" si="240"/>
        <v>761.43400000000008</v>
      </c>
      <c r="AJ284" s="1699">
        <f t="shared" si="240"/>
        <v>1049.875</v>
      </c>
      <c r="AK284" s="1699">
        <f>SUM(AK273:AK283)</f>
        <v>1114.94</v>
      </c>
      <c r="AL284" s="1328">
        <f t="shared" si="236"/>
        <v>0.61178420140032042</v>
      </c>
      <c r="AM284" s="1293"/>
      <c r="AN284" s="1293"/>
      <c r="AO284" s="1293"/>
      <c r="AP284" s="1293"/>
      <c r="AQ284" s="1293"/>
      <c r="AR284" s="1293"/>
      <c r="AS284" s="1293"/>
      <c r="AT284" s="1293"/>
      <c r="AU284" s="1293"/>
      <c r="AV284" s="1293"/>
      <c r="AW284" s="1293"/>
      <c r="AX284" s="1293"/>
      <c r="AY284" s="1293"/>
      <c r="AZ284" s="1293"/>
      <c r="BA284" s="1293"/>
      <c r="BB284" s="1293"/>
      <c r="BC284" s="1293"/>
      <c r="BD284" s="1293"/>
      <c r="BE284" s="1293"/>
      <c r="BF284" s="1293"/>
      <c r="BG284" s="1293"/>
      <c r="BH284" s="1293"/>
      <c r="BI284" s="1293"/>
      <c r="BJ284" s="1293"/>
      <c r="BK284" s="1293"/>
      <c r="BL284" s="1293"/>
      <c r="BM284" s="1293"/>
      <c r="BN284" s="1293"/>
      <c r="BO284" s="1293"/>
      <c r="BP284" s="1293"/>
      <c r="BQ284" s="1293"/>
      <c r="BR284" s="1293"/>
      <c r="BS284" s="1293"/>
      <c r="BT284" s="1293"/>
      <c r="BU284" s="1293"/>
      <c r="BV284" s="1293"/>
      <c r="BW284" s="1293"/>
      <c r="BX284" s="1293"/>
      <c r="BY284" s="1293"/>
      <c r="BZ284" s="1293"/>
      <c r="CA284" s="1293"/>
      <c r="CB284" s="1293"/>
      <c r="CC284" s="1293"/>
      <c r="CD284" s="1293"/>
      <c r="CE284" s="1293"/>
      <c r="CF284" s="1293"/>
      <c r="CG284" s="1293"/>
    </row>
    <row r="285" spans="1:85" ht="15.75" hidden="1" outlineLevel="1">
      <c r="A285" s="1293"/>
      <c r="B285" s="1724"/>
      <c r="C285" s="1982" t="s">
        <v>5879</v>
      </c>
      <c r="D285" s="1699"/>
      <c r="E285" s="1699"/>
      <c r="F285" s="1699"/>
      <c r="G285" s="1699"/>
      <c r="H285" s="1699">
        <f t="shared" ref="H285:K285" si="241">H284-H283-H282-H281-H279</f>
        <v>1148.634</v>
      </c>
      <c r="I285" s="1699">
        <f t="shared" si="241"/>
        <v>1226.2249999999999</v>
      </c>
      <c r="J285" s="1699">
        <f t="shared" si="241"/>
        <v>1222</v>
      </c>
      <c r="K285" s="1699">
        <f t="shared" si="241"/>
        <v>1359</v>
      </c>
      <c r="L285" s="1699">
        <f t="shared" ref="L285:M285" si="242">L284-L283-L282-L281-L279</f>
        <v>1268.4714999999999</v>
      </c>
      <c r="M285" s="1699">
        <f t="shared" si="242"/>
        <v>1256.9514999999999</v>
      </c>
      <c r="N285" s="1699">
        <f t="shared" ref="N285" si="243">N284-N283-N282-N281-N279</f>
        <v>1776.5476000000001</v>
      </c>
      <c r="O285" s="1699">
        <f>O284-O283-O282-O281-O279</f>
        <v>1556.6359379832879</v>
      </c>
      <c r="P285" s="1699">
        <f t="shared" ref="P285:T285" si="244">P284-P283-P282-P281-P279</f>
        <v>1596.2345632080494</v>
      </c>
      <c r="Q285" s="1699">
        <f t="shared" si="244"/>
        <v>1638.2508052787048</v>
      </c>
      <c r="R285" s="1699">
        <f t="shared" si="244"/>
        <v>1683.370505220701</v>
      </c>
      <c r="S285" s="1699">
        <f t="shared" si="244"/>
        <v>1733.7467157456776</v>
      </c>
      <c r="T285" s="1699">
        <f t="shared" si="244"/>
        <v>1782.1029934848325</v>
      </c>
      <c r="U285" s="1293"/>
      <c r="V285" s="1293"/>
      <c r="W285" s="1293"/>
      <c r="X285" s="1293"/>
      <c r="Y285" s="1724"/>
      <c r="Z285" s="1293"/>
      <c r="AA285" s="1293"/>
      <c r="AB285" s="1293"/>
      <c r="AC285" s="1293"/>
      <c r="AD285" s="1293"/>
      <c r="AE285" s="1293"/>
      <c r="AF285" s="1293"/>
      <c r="AG285" s="1293"/>
      <c r="AH285" s="1293"/>
      <c r="AI285" s="1293"/>
      <c r="AJ285" s="1293"/>
      <c r="AK285" s="1293"/>
      <c r="AL285" s="1293"/>
      <c r="AM285" s="1293"/>
      <c r="AN285" s="1293"/>
      <c r="AO285" s="1293"/>
      <c r="AP285" s="1293"/>
      <c r="AQ285" s="1293"/>
      <c r="AR285" s="1293"/>
      <c r="AS285" s="1293"/>
      <c r="AT285" s="1293"/>
      <c r="AU285" s="1293"/>
      <c r="AV285" s="1293"/>
      <c r="AW285" s="1293"/>
      <c r="AX285" s="1293"/>
      <c r="AY285" s="1293"/>
      <c r="AZ285" s="1293"/>
      <c r="BA285" s="1293"/>
      <c r="BB285" s="1293"/>
      <c r="BC285" s="1293"/>
      <c r="BD285" s="1293"/>
      <c r="BE285" s="1293"/>
      <c r="BF285" s="1293"/>
      <c r="BG285" s="1293"/>
      <c r="BH285" s="1293"/>
      <c r="BI285" s="1293"/>
      <c r="BJ285" s="1293"/>
      <c r="BK285" s="1293"/>
      <c r="BL285" s="1293"/>
      <c r="BM285" s="1293"/>
      <c r="BN285" s="1293"/>
      <c r="BO285" s="1293"/>
      <c r="BP285" s="1293"/>
      <c r="BQ285" s="1293"/>
      <c r="BR285" s="1293"/>
      <c r="BS285" s="1293"/>
      <c r="BT285" s="1293"/>
      <c r="BU285" s="1293"/>
      <c r="BV285" s="1293"/>
      <c r="BW285" s="1293"/>
      <c r="BX285" s="1293"/>
      <c r="BY285" s="1293"/>
      <c r="BZ285" s="1293"/>
      <c r="CA285" s="1293"/>
      <c r="CB285" s="1293"/>
      <c r="CC285" s="1293"/>
      <c r="CD285" s="1293"/>
      <c r="CE285" s="1293"/>
      <c r="CF285" s="1293"/>
      <c r="CG285" s="1293"/>
    </row>
    <row r="286" spans="1:85" ht="15.75" collapsed="1">
      <c r="A286" s="1293"/>
      <c r="B286" s="1293"/>
      <c r="C286" s="1293"/>
      <c r="D286" s="1699"/>
      <c r="E286" s="1699"/>
      <c r="F286" s="1699"/>
      <c r="G286" s="1293"/>
      <c r="H286" s="1293"/>
      <c r="I286" s="1293"/>
      <c r="J286" s="1293"/>
      <c r="K286" s="1293"/>
      <c r="L286" s="1293"/>
      <c r="M286" s="1293"/>
      <c r="N286" s="1293"/>
      <c r="O286" s="1699">
        <f t="shared" ref="O286:Q286" si="245">O284-O275+O291+O304</f>
        <v>2430.435419914671</v>
      </c>
      <c r="P286" s="1699">
        <f t="shared" si="245"/>
        <v>2493.6990022089599</v>
      </c>
      <c r="Q286" s="1699">
        <f t="shared" si="245"/>
        <v>2558.5081072440548</v>
      </c>
      <c r="R286" s="1293"/>
      <c r="S286" s="1293"/>
      <c r="T286" s="1293"/>
      <c r="U286" s="1293"/>
      <c r="V286" s="1293"/>
      <c r="W286" s="1293"/>
      <c r="X286" s="1293"/>
      <c r="Y286" s="1724"/>
      <c r="Z286" s="1293"/>
      <c r="AA286" s="1293"/>
      <c r="AB286" s="1293"/>
      <c r="AC286" s="1293"/>
      <c r="AD286" s="1293"/>
      <c r="AE286" s="1293"/>
      <c r="AF286" s="1293"/>
      <c r="AG286" s="1293"/>
      <c r="AH286" s="1293"/>
      <c r="AI286" s="1293"/>
      <c r="AJ286" s="1293"/>
      <c r="AK286" s="1293"/>
      <c r="AL286" s="1293"/>
      <c r="AM286" s="1293"/>
      <c r="AN286" s="1293"/>
      <c r="AO286" s="1293"/>
      <c r="AP286" s="1293"/>
      <c r="AQ286" s="1293"/>
      <c r="AR286" s="1293"/>
      <c r="AS286" s="1293"/>
      <c r="AT286" s="1293"/>
      <c r="AU286" s="1293"/>
      <c r="AV286" s="1293"/>
      <c r="AW286" s="1293"/>
      <c r="AX286" s="1293"/>
      <c r="AY286" s="1293"/>
      <c r="AZ286" s="1293"/>
      <c r="BA286" s="1293"/>
      <c r="BB286" s="1293"/>
      <c r="BC286" s="1293"/>
      <c r="BD286" s="1293"/>
      <c r="BE286" s="1293"/>
      <c r="BF286" s="1293"/>
      <c r="BG286" s="1293"/>
      <c r="BH286" s="1293"/>
      <c r="BI286" s="1293"/>
      <c r="BJ286" s="1293"/>
      <c r="BK286" s="1293"/>
      <c r="BL286" s="1293"/>
      <c r="BM286" s="1293"/>
      <c r="BN286" s="1293"/>
      <c r="BO286" s="1293"/>
      <c r="BP286" s="1293"/>
      <c r="BQ286" s="1293"/>
      <c r="BR286" s="1293"/>
      <c r="BS286" s="1293"/>
      <c r="BT286" s="1293"/>
      <c r="BU286" s="1293"/>
      <c r="BV286" s="1293"/>
      <c r="BW286" s="1293"/>
      <c r="BX286" s="1293"/>
      <c r="BY286" s="1293"/>
      <c r="BZ286" s="1293"/>
      <c r="CA286" s="1293"/>
      <c r="CB286" s="1293"/>
      <c r="CC286" s="1293"/>
      <c r="CD286" s="1293"/>
      <c r="CE286" s="1293"/>
      <c r="CF286" s="1293"/>
      <c r="CG286" s="1293"/>
    </row>
    <row r="287" spans="1:85" ht="15.75">
      <c r="A287" s="1293"/>
      <c r="B287" s="1293"/>
      <c r="C287" s="1293" t="str">
        <f>'New (new) quarts'!B115</f>
        <v>Bolivia</v>
      </c>
      <c r="D287" s="2515">
        <f>'New (new) quarts'!G115</f>
        <v>175.20605897684482</v>
      </c>
      <c r="E287" s="2515">
        <f>'New (new) quarts'!L115</f>
        <v>196.52689484370478</v>
      </c>
      <c r="F287" s="2515">
        <f>'New (new) quarts'!Q115</f>
        <v>214.4912470115772</v>
      </c>
      <c r="G287" s="2515">
        <f ca="1">G361*G19</f>
        <v>220.2050428710196</v>
      </c>
      <c r="H287" s="2515">
        <f>'New (new) quarts'!AA115</f>
        <v>238</v>
      </c>
      <c r="I287" s="2515">
        <f>'New (new) quarts'!AJ115</f>
        <v>257</v>
      </c>
      <c r="J287" s="2515">
        <f>'New (new) quarts'!AO115</f>
        <v>227</v>
      </c>
      <c r="K287" s="2515">
        <f>'New (new) quarts'!AT115</f>
        <v>249</v>
      </c>
      <c r="L287" s="2515">
        <f>'New (new) quarts'!AY115</f>
        <v>241.59</v>
      </c>
      <c r="M287" s="2515">
        <f>'New (new) quarts'!BD115</f>
        <v>228.05799999999999</v>
      </c>
      <c r="N287" s="2515">
        <f>'New (new) quarts'!BI115</f>
        <v>266.29340000000002</v>
      </c>
      <c r="O287" s="1699">
        <f>O361*O19</f>
        <v>105.24254081931429</v>
      </c>
      <c r="P287" s="1699">
        <f t="shared" ref="O287:T289" si="246">P361*P19</f>
        <v>107.3553785963143</v>
      </c>
      <c r="Q287" s="1699">
        <f t="shared" si="246"/>
        <v>111.32865664368205</v>
      </c>
      <c r="R287" s="1699">
        <f t="shared" si="246"/>
        <v>115.43340409385956</v>
      </c>
      <c r="S287" s="1699">
        <f t="shared" si="246"/>
        <v>119.09542932718206</v>
      </c>
      <c r="T287" s="1699">
        <f t="shared" si="246"/>
        <v>124.238186502674</v>
      </c>
      <c r="U287" s="1293"/>
      <c r="V287" s="1293"/>
      <c r="W287" s="1293"/>
      <c r="X287" s="1724">
        <v>1</v>
      </c>
      <c r="Y287" s="1724">
        <f>J287*X287/Valuation!J$85</f>
        <v>0.11647991307463083</v>
      </c>
      <c r="Z287" s="1293"/>
      <c r="AA287" s="1293"/>
      <c r="AB287" s="1293"/>
      <c r="AC287" s="1293"/>
      <c r="AD287" s="1293"/>
      <c r="AE287" s="1699">
        <f t="shared" ref="AE287:AK287" si="247">D287</f>
        <v>175.20605897684482</v>
      </c>
      <c r="AF287" s="1699">
        <f t="shared" si="247"/>
        <v>196.52689484370478</v>
      </c>
      <c r="AG287" s="1699">
        <f t="shared" si="247"/>
        <v>214.4912470115772</v>
      </c>
      <c r="AH287" s="1699">
        <f t="shared" ca="1" si="247"/>
        <v>220.2050428710196</v>
      </c>
      <c r="AI287" s="1699">
        <f t="shared" si="247"/>
        <v>238</v>
      </c>
      <c r="AJ287" s="1699">
        <f t="shared" si="247"/>
        <v>257</v>
      </c>
      <c r="AK287" s="1699">
        <f t="shared" si="247"/>
        <v>227</v>
      </c>
      <c r="AL287" s="1328">
        <f>AK287/AK$292</f>
        <v>0.12455828449770637</v>
      </c>
      <c r="AM287" s="1293"/>
      <c r="AN287" s="1293"/>
      <c r="AO287" s="1293"/>
      <c r="AP287" s="1293"/>
      <c r="AQ287" s="1293"/>
      <c r="AR287" s="1293"/>
      <c r="AS287" s="1293"/>
      <c r="AT287" s="1293"/>
      <c r="AU287" s="1293"/>
      <c r="AV287" s="1293"/>
      <c r="AW287" s="1293"/>
      <c r="AX287" s="1293"/>
      <c r="AY287" s="1293"/>
      <c r="AZ287" s="1293"/>
      <c r="BA287" s="1293"/>
      <c r="BB287" s="1293"/>
      <c r="BC287" s="1293"/>
      <c r="BD287" s="1293"/>
      <c r="BE287" s="1293"/>
      <c r="BF287" s="1293"/>
      <c r="BG287" s="1293"/>
      <c r="BH287" s="1293"/>
      <c r="BI287" s="1293"/>
      <c r="BJ287" s="1293"/>
      <c r="BK287" s="1293"/>
      <c r="BL287" s="1293"/>
      <c r="BM287" s="1293"/>
      <c r="BN287" s="1293"/>
      <c r="BO287" s="1293"/>
      <c r="BP287" s="1293"/>
      <c r="BQ287" s="1293"/>
      <c r="BR287" s="1293"/>
      <c r="BS287" s="1293"/>
      <c r="BT287" s="1293"/>
      <c r="BU287" s="1293"/>
      <c r="BV287" s="1293"/>
      <c r="BW287" s="1293"/>
      <c r="BX287" s="1293"/>
      <c r="BY287" s="1293"/>
      <c r="BZ287" s="1293"/>
      <c r="CA287" s="1293"/>
      <c r="CB287" s="1293"/>
      <c r="CC287" s="1293"/>
      <c r="CD287" s="1293"/>
      <c r="CE287" s="1293"/>
      <c r="CF287" s="1293"/>
      <c r="CG287" s="1293"/>
    </row>
    <row r="288" spans="1:85" ht="15.75">
      <c r="A288" s="1293"/>
      <c r="B288" s="1293"/>
      <c r="C288" s="1293" t="str">
        <f>'New (new) quarts'!B116</f>
        <v>Colombia</v>
      </c>
      <c r="D288" s="2515">
        <f>'New (new) quarts'!G116</f>
        <v>438.79690930310005</v>
      </c>
      <c r="E288" s="2515">
        <f>'New (new) quarts'!L116</f>
        <v>545.09815569666091</v>
      </c>
      <c r="F288" s="2515">
        <f>'New (new) quarts'!Q116</f>
        <v>461.07297567371</v>
      </c>
      <c r="G288" s="2515">
        <f>'New (new) quarts'!V116</f>
        <v>469</v>
      </c>
      <c r="H288" s="2515">
        <f>'New (new) quarts'!AA116</f>
        <v>494</v>
      </c>
      <c r="I288" s="2515">
        <f>'New (new) quarts'!AJ116</f>
        <v>513</v>
      </c>
      <c r="J288" s="2515">
        <f>'New (new) quarts'!AO116</f>
        <v>457</v>
      </c>
      <c r="K288" s="2515">
        <f>'New (new) quarts'!AT116</f>
        <v>441</v>
      </c>
      <c r="L288" s="2515">
        <f>'New (new) quarts'!AY116</f>
        <v>403.09000000000003</v>
      </c>
      <c r="M288" s="2515">
        <f>'New (new) quarts'!BD116</f>
        <v>456.71199999999999</v>
      </c>
      <c r="N288" s="2515">
        <f>'New (new) quarts'!BI116</f>
        <v>525.32209999999998</v>
      </c>
      <c r="O288" s="1699">
        <f t="shared" si="246"/>
        <v>553.31477533108443</v>
      </c>
      <c r="P288" s="1699">
        <f t="shared" si="246"/>
        <v>569.85334445449837</v>
      </c>
      <c r="Q288" s="1699">
        <f t="shared" si="246"/>
        <v>582.3070176028474</v>
      </c>
      <c r="R288" s="1699">
        <f t="shared" si="246"/>
        <v>597.76052221048883</v>
      </c>
      <c r="S288" s="1699">
        <f t="shared" si="246"/>
        <v>617.83671256852836</v>
      </c>
      <c r="T288" s="1699">
        <f t="shared" si="246"/>
        <v>635.2241700743906</v>
      </c>
      <c r="U288" s="1293"/>
      <c r="V288" s="1293"/>
      <c r="W288" s="1293"/>
      <c r="X288" s="1724">
        <v>0.5</v>
      </c>
      <c r="Y288" s="1724">
        <f>J288*X288/Valuation!J$85</f>
        <v>0.11724960413019007</v>
      </c>
      <c r="Z288" s="1293"/>
      <c r="AA288" s="1293"/>
      <c r="AB288" s="1293"/>
      <c r="AC288" s="1293"/>
      <c r="AD288" s="1293"/>
      <c r="AE288" s="1699">
        <f t="shared" ref="AE288:AK288" si="248">D288*0.5</f>
        <v>219.39845465155003</v>
      </c>
      <c r="AF288" s="1699">
        <f t="shared" si="248"/>
        <v>272.54907784833046</v>
      </c>
      <c r="AG288" s="1699">
        <f t="shared" si="248"/>
        <v>230.536487836855</v>
      </c>
      <c r="AH288" s="1699">
        <f t="shared" si="248"/>
        <v>234.5</v>
      </c>
      <c r="AI288" s="1699">
        <f t="shared" si="248"/>
        <v>247</v>
      </c>
      <c r="AJ288" s="1699">
        <f t="shared" si="248"/>
        <v>256.5</v>
      </c>
      <c r="AK288" s="1699">
        <f t="shared" si="248"/>
        <v>228.5</v>
      </c>
      <c r="AL288" s="1328">
        <f>AK288/AK$292</f>
        <v>0.12538135686222865</v>
      </c>
      <c r="AM288" s="1293"/>
      <c r="AN288" s="1293"/>
      <c r="AO288" s="1293"/>
      <c r="AP288" s="1293"/>
      <c r="AQ288" s="1293"/>
      <c r="AR288" s="1293"/>
      <c r="AS288" s="1293"/>
      <c r="AT288" s="1293"/>
      <c r="AU288" s="1293"/>
      <c r="AV288" s="1293"/>
      <c r="AW288" s="1293"/>
      <c r="AX288" s="1293"/>
      <c r="AY288" s="1293"/>
      <c r="AZ288" s="1293"/>
      <c r="BA288" s="1293"/>
      <c r="BB288" s="1293"/>
      <c r="BC288" s="1293"/>
      <c r="BD288" s="1293"/>
      <c r="BE288" s="1293"/>
      <c r="BF288" s="1293"/>
      <c r="BG288" s="1293"/>
      <c r="BH288" s="1293"/>
      <c r="BI288" s="1293"/>
      <c r="BJ288" s="1293"/>
      <c r="BK288" s="1293"/>
      <c r="BL288" s="1293"/>
      <c r="BM288" s="1293"/>
      <c r="BN288" s="1293"/>
      <c r="BO288" s="1293"/>
      <c r="BP288" s="1293"/>
      <c r="BQ288" s="1293"/>
      <c r="BR288" s="1293"/>
      <c r="BS288" s="1293"/>
      <c r="BT288" s="1293"/>
      <c r="BU288" s="1293"/>
      <c r="BV288" s="1293"/>
      <c r="BW288" s="1293"/>
      <c r="BX288" s="1293"/>
      <c r="BY288" s="1293"/>
      <c r="BZ288" s="1293"/>
      <c r="CA288" s="1293"/>
      <c r="CB288" s="1293"/>
      <c r="CC288" s="1293"/>
      <c r="CD288" s="1293"/>
      <c r="CE288" s="1293"/>
      <c r="CF288" s="1293"/>
      <c r="CG288" s="1293"/>
    </row>
    <row r="289" spans="1:85" ht="15.75">
      <c r="A289" s="1293"/>
      <c r="B289" s="1293"/>
      <c r="C289" s="1293" t="str">
        <f>'New (new) quarts'!B117</f>
        <v>Paraguay</v>
      </c>
      <c r="D289" s="2515">
        <f>'New (new) quarts'!G117</f>
        <v>365.92438933069781</v>
      </c>
      <c r="E289" s="2515">
        <f>'New (new) quarts'!L117</f>
        <v>305.1544512246287</v>
      </c>
      <c r="F289" s="2515">
        <f>'New (new) quarts'!Q117</f>
        <v>288.84248151651127</v>
      </c>
      <c r="G289" s="2515">
        <f>'New (new) quarts'!V117</f>
        <v>312</v>
      </c>
      <c r="H289" s="2515">
        <f>'New (new) quarts'!AA117</f>
        <v>331</v>
      </c>
      <c r="I289" s="2515">
        <f>'New (new) quarts'!AJ117</f>
        <v>287</v>
      </c>
      <c r="J289" s="2515">
        <f>'New (new) quarts'!AO117</f>
        <v>252</v>
      </c>
      <c r="K289" s="2515">
        <f>'New (new) quarts'!AT117</f>
        <v>242</v>
      </c>
      <c r="L289" s="2515">
        <f>'New (new) quarts'!AY117</f>
        <v>245.07</v>
      </c>
      <c r="M289" s="2515">
        <f>'New (new) quarts'!BD117</f>
        <v>254.7</v>
      </c>
      <c r="N289" s="2515">
        <f>'New (new) quarts'!BI117</f>
        <v>266.68740000000003</v>
      </c>
      <c r="O289" s="1699">
        <f t="shared" si="246"/>
        <v>261.86473291064499</v>
      </c>
      <c r="P289" s="1699">
        <f t="shared" si="246"/>
        <v>265.72599880294382</v>
      </c>
      <c r="Q289" s="1699">
        <f t="shared" si="246"/>
        <v>270.90521916749321</v>
      </c>
      <c r="R289" s="1699">
        <f t="shared" si="246"/>
        <v>276.17984549323717</v>
      </c>
      <c r="S289" s="1699">
        <f t="shared" si="246"/>
        <v>280.23518417409167</v>
      </c>
      <c r="T289" s="1699">
        <f t="shared" si="246"/>
        <v>284.43971881807437</v>
      </c>
      <c r="U289" s="1293"/>
      <c r="V289" s="1293"/>
      <c r="W289" s="1293"/>
      <c r="X289" s="1724">
        <v>1</v>
      </c>
      <c r="Y289" s="1724">
        <f>J289*X289/Valuation!J$85</f>
        <v>0.12930809733395141</v>
      </c>
      <c r="Z289" s="1293"/>
      <c r="AA289" s="1293"/>
      <c r="AB289" s="1293"/>
      <c r="AC289" s="1293"/>
      <c r="AD289" s="1293"/>
      <c r="AE289" s="1699">
        <f t="shared" ref="AE289:AK289" si="249">D289</f>
        <v>365.92438933069781</v>
      </c>
      <c r="AF289" s="1699">
        <f t="shared" si="249"/>
        <v>305.1544512246287</v>
      </c>
      <c r="AG289" s="1699">
        <f t="shared" si="249"/>
        <v>288.84248151651127</v>
      </c>
      <c r="AH289" s="1699">
        <f t="shared" si="249"/>
        <v>312</v>
      </c>
      <c r="AI289" s="1699">
        <f t="shared" si="249"/>
        <v>331</v>
      </c>
      <c r="AJ289" s="1699">
        <f t="shared" si="249"/>
        <v>287</v>
      </c>
      <c r="AK289" s="1699">
        <f t="shared" si="249"/>
        <v>252</v>
      </c>
      <c r="AL289" s="1328">
        <f>AK289/AK$292</f>
        <v>0.13827615723974451</v>
      </c>
      <c r="AM289" s="1293"/>
      <c r="AN289" s="1293"/>
      <c r="AO289" s="1293"/>
      <c r="AP289" s="1293"/>
      <c r="AQ289" s="1293"/>
      <c r="AR289" s="1293"/>
      <c r="AS289" s="1293"/>
      <c r="AT289" s="1293"/>
      <c r="AU289" s="1293"/>
      <c r="AV289" s="1293"/>
      <c r="AW289" s="1293"/>
      <c r="AX289" s="1293"/>
      <c r="AY289" s="1293"/>
      <c r="AZ289" s="1293"/>
      <c r="BA289" s="1293"/>
      <c r="BB289" s="1293"/>
      <c r="BC289" s="1293"/>
      <c r="BD289" s="1293"/>
      <c r="BE289" s="1293"/>
      <c r="BF289" s="1293"/>
      <c r="BG289" s="1293"/>
      <c r="BH289" s="1293"/>
      <c r="BI289" s="1293"/>
      <c r="BJ289" s="1293"/>
      <c r="BK289" s="1293"/>
      <c r="BL289" s="1293"/>
      <c r="BM289" s="1293"/>
      <c r="BN289" s="1293"/>
      <c r="BO289" s="1293"/>
      <c r="BP289" s="1293"/>
      <c r="BQ289" s="1293"/>
      <c r="BR289" s="1293"/>
      <c r="BS289" s="1293"/>
      <c r="BT289" s="1293"/>
      <c r="BU289" s="1293"/>
      <c r="BV289" s="1293"/>
      <c r="BW289" s="1293"/>
      <c r="BX289" s="1293"/>
      <c r="BY289" s="1293"/>
      <c r="BZ289" s="1293"/>
      <c r="CA289" s="1293"/>
      <c r="CB289" s="1293"/>
      <c r="CC289" s="1293"/>
      <c r="CD289" s="1293"/>
      <c r="CE289" s="1293"/>
      <c r="CF289" s="1293"/>
      <c r="CG289" s="1293"/>
    </row>
    <row r="290" spans="1:85" ht="15.75">
      <c r="A290" s="1293"/>
      <c r="B290" s="1293"/>
      <c r="C290" s="1331" t="str">
        <f>'New (new) quarts'!B118</f>
        <v>Others/check</v>
      </c>
      <c r="D290" s="2516">
        <f>'New (new) quarts'!G118</f>
        <v>-4.1699758520508112E-4</v>
      </c>
      <c r="E290" s="2516">
        <f>'New (new) quarts'!L118</f>
        <v>2.2458640387412743E-5</v>
      </c>
      <c r="F290" s="2516">
        <f>'New (new) quarts'!Q118</f>
        <v>7.5870488558393845E-8</v>
      </c>
      <c r="G290" s="2516">
        <f>'New (new) quarts'!V118</f>
        <v>0</v>
      </c>
      <c r="H290" s="2516">
        <f>'New (new) quarts'!AA118</f>
        <v>0</v>
      </c>
      <c r="I290" s="2516">
        <f>'New (new) quarts'!AJ118</f>
        <v>0</v>
      </c>
      <c r="J290" s="2516">
        <f>'New (new) quarts'!AO118</f>
        <v>0</v>
      </c>
      <c r="K290" s="2516">
        <f>'New (new) quarts'!AT118</f>
        <v>0</v>
      </c>
      <c r="L290" s="2516">
        <f>'New (new) quarts'!AY118</f>
        <v>0</v>
      </c>
      <c r="M290" s="2516">
        <f>'New (new) quarts'!BD118</f>
        <v>0</v>
      </c>
      <c r="N290" s="2516">
        <f>'New (new) quarts'!BI118</f>
        <v>0</v>
      </c>
      <c r="O290" s="1703">
        <f t="shared" ref="O290:T290" si="250">N290</f>
        <v>0</v>
      </c>
      <c r="P290" s="1703">
        <f t="shared" si="250"/>
        <v>0</v>
      </c>
      <c r="Q290" s="1703">
        <f t="shared" si="250"/>
        <v>0</v>
      </c>
      <c r="R290" s="1703">
        <f t="shared" si="250"/>
        <v>0</v>
      </c>
      <c r="S290" s="1703">
        <f t="shared" si="250"/>
        <v>0</v>
      </c>
      <c r="T290" s="1703">
        <f t="shared" si="250"/>
        <v>0</v>
      </c>
      <c r="U290" s="1699"/>
      <c r="V290" s="1699"/>
      <c r="W290" s="1699"/>
      <c r="X290" s="1724">
        <v>1</v>
      </c>
      <c r="Y290" s="1724">
        <f>J290*X290/Valuation!J$85</f>
        <v>0</v>
      </c>
      <c r="Z290" s="1293"/>
      <c r="AA290" s="1293"/>
      <c r="AB290" s="1293"/>
      <c r="AC290" s="1293"/>
      <c r="AD290" s="1293"/>
      <c r="AE290" s="1331"/>
      <c r="AF290" s="1331"/>
      <c r="AG290" s="1331"/>
      <c r="AH290" s="1331"/>
      <c r="AI290" s="1331"/>
      <c r="AJ290" s="1331"/>
      <c r="AK290" s="1331"/>
      <c r="AL290" s="1331"/>
      <c r="AM290" s="1293"/>
      <c r="AN290" s="1293"/>
      <c r="AO290" s="1293"/>
      <c r="AP290" s="1293"/>
      <c r="AQ290" s="1293"/>
      <c r="AR290" s="1293"/>
      <c r="AS290" s="1293"/>
      <c r="AT290" s="1293"/>
      <c r="AU290" s="1293"/>
      <c r="AV290" s="1293"/>
      <c r="AW290" s="1293"/>
      <c r="AX290" s="1293"/>
      <c r="AY290" s="1293"/>
      <c r="AZ290" s="1293"/>
      <c r="BA290" s="1293"/>
      <c r="BB290" s="1293"/>
      <c r="BC290" s="1293"/>
      <c r="BD290" s="1293"/>
      <c r="BE290" s="1293"/>
      <c r="BF290" s="1293"/>
      <c r="BG290" s="1293"/>
      <c r="BH290" s="1293"/>
      <c r="BI290" s="1293"/>
      <c r="BJ290" s="1293"/>
      <c r="BK290" s="1293"/>
      <c r="BL290" s="1293"/>
      <c r="BM290" s="1293"/>
      <c r="BN290" s="1293"/>
      <c r="BO290" s="1293"/>
      <c r="BP290" s="1293"/>
      <c r="BQ290" s="1293"/>
      <c r="BR290" s="1293"/>
      <c r="BS290" s="1293"/>
      <c r="BT290" s="1293"/>
      <c r="BU290" s="1293"/>
      <c r="BV290" s="1293"/>
      <c r="BW290" s="1293"/>
      <c r="BX290" s="1293"/>
      <c r="BY290" s="1293"/>
      <c r="BZ290" s="1293"/>
      <c r="CA290" s="1293"/>
      <c r="CB290" s="1293"/>
      <c r="CC290" s="1293"/>
      <c r="CD290" s="1293"/>
      <c r="CE290" s="1293"/>
      <c r="CF290" s="1293"/>
      <c r="CG290" s="1293"/>
    </row>
    <row r="291" spans="1:85" ht="15.75">
      <c r="A291" s="1293"/>
      <c r="B291" s="1293"/>
      <c r="C291" s="1293" t="str">
        <f>'New (new) quarts'!B119</f>
        <v>South America</v>
      </c>
      <c r="D291" s="2515">
        <f>'New (new) quarts'!G119</f>
        <v>979.92694061305747</v>
      </c>
      <c r="E291" s="2515">
        <f>'New (new) quarts'!L119</f>
        <v>1046.7795242236348</v>
      </c>
      <c r="F291" s="2515">
        <f>'New (new) quarts'!Q119</f>
        <v>964.40670427766895</v>
      </c>
      <c r="G291" s="2515">
        <f>'New (new) quarts'!V119</f>
        <v>998</v>
      </c>
      <c r="H291" s="2515">
        <f>'New (new) quarts'!AA119</f>
        <v>1063</v>
      </c>
      <c r="I291" s="2515">
        <f>'New (new) quarts'!AJ119</f>
        <v>1057</v>
      </c>
      <c r="J291" s="2515">
        <f>'New (new) quarts'!AO119</f>
        <v>936</v>
      </c>
      <c r="K291" s="2515">
        <f>'New (new) quarts'!AT119</f>
        <v>932</v>
      </c>
      <c r="L291" s="2515">
        <f>'New (new) quarts'!AY119</f>
        <v>889.75</v>
      </c>
      <c r="M291" s="2515">
        <f>'New (new) quarts'!BD119</f>
        <v>939.47</v>
      </c>
      <c r="N291" s="2515">
        <f>'New (new) quarts'!BI119</f>
        <v>1058.3029000000001</v>
      </c>
      <c r="O291" s="1699">
        <f t="shared" ref="O291:T291" si="251">SUM(O287:O290)</f>
        <v>920.42204906104371</v>
      </c>
      <c r="P291" s="1699">
        <f t="shared" si="251"/>
        <v>942.9347218537564</v>
      </c>
      <c r="Q291" s="1699">
        <f t="shared" si="251"/>
        <v>964.54089341402266</v>
      </c>
      <c r="R291" s="1699">
        <f t="shared" si="251"/>
        <v>989.37377179758562</v>
      </c>
      <c r="S291" s="1699">
        <f t="shared" si="251"/>
        <v>1017.1673260698021</v>
      </c>
      <c r="T291" s="1699">
        <f t="shared" si="251"/>
        <v>1043.902075395139</v>
      </c>
      <c r="U291" s="1293"/>
      <c r="V291" s="1293"/>
      <c r="W291" s="1293"/>
      <c r="X291" s="1293"/>
      <c r="Y291" s="1724"/>
      <c r="Z291" s="1293"/>
      <c r="AA291" s="1293"/>
      <c r="AB291" s="1293"/>
      <c r="AC291" s="1293"/>
      <c r="AD291" s="1293"/>
      <c r="AE291" s="1699">
        <f t="shared" ref="AE291:AJ291" si="252">SUM(AE287:AE290)</f>
        <v>760.52890295909265</v>
      </c>
      <c r="AF291" s="1699">
        <f t="shared" si="252"/>
        <v>774.23042391666399</v>
      </c>
      <c r="AG291" s="1699">
        <f t="shared" si="252"/>
        <v>733.87021636494342</v>
      </c>
      <c r="AH291" s="1699">
        <f t="shared" ca="1" si="252"/>
        <v>766.7050428710196</v>
      </c>
      <c r="AI291" s="1699">
        <f t="shared" si="252"/>
        <v>816</v>
      </c>
      <c r="AJ291" s="1699">
        <f t="shared" si="252"/>
        <v>800.5</v>
      </c>
      <c r="AK291" s="1699">
        <f>SUM(AK287:AK290)</f>
        <v>707.5</v>
      </c>
      <c r="AL291" s="1328">
        <f>AK291/AK$292</f>
        <v>0.38821579859967953</v>
      </c>
      <c r="AM291" s="1293"/>
      <c r="AN291" s="1293"/>
      <c r="AO291" s="1293"/>
      <c r="AP291" s="1293"/>
      <c r="AQ291" s="1293"/>
      <c r="AR291" s="1293"/>
      <c r="AS291" s="1293"/>
      <c r="AT291" s="1293"/>
      <c r="AU291" s="1293"/>
      <c r="AV291" s="1293"/>
      <c r="AW291" s="1293"/>
      <c r="AX291" s="1293"/>
      <c r="AY291" s="1293"/>
      <c r="AZ291" s="1293"/>
      <c r="BA291" s="1293"/>
      <c r="BB291" s="1293"/>
      <c r="BC291" s="1293"/>
      <c r="BD291" s="1293"/>
      <c r="BE291" s="1293"/>
      <c r="BF291" s="1293"/>
      <c r="BG291" s="1293"/>
      <c r="BH291" s="1293"/>
      <c r="BI291" s="1293"/>
      <c r="BJ291" s="1293"/>
      <c r="BK291" s="1293"/>
      <c r="BL291" s="1293"/>
      <c r="BM291" s="1293"/>
      <c r="BN291" s="1293"/>
      <c r="BO291" s="1293"/>
      <c r="BP291" s="1293"/>
      <c r="BQ291" s="1293"/>
      <c r="BR291" s="1293"/>
      <c r="BS291" s="1293"/>
      <c r="BT291" s="1293"/>
      <c r="BU291" s="1293"/>
      <c r="BV291" s="1293"/>
      <c r="BW291" s="1293"/>
      <c r="BX291" s="1293"/>
      <c r="BY291" s="1293"/>
      <c r="BZ291" s="1293"/>
      <c r="CA291" s="1293"/>
      <c r="CB291" s="1293"/>
      <c r="CC291" s="1293"/>
      <c r="CD291" s="1293"/>
      <c r="CE291" s="1293"/>
      <c r="CF291" s="1293"/>
      <c r="CG291" s="1293"/>
    </row>
    <row r="292" spans="1:85" ht="15.75">
      <c r="A292" s="1293"/>
      <c r="B292" s="1293"/>
      <c r="C292" s="1293"/>
      <c r="D292" s="1699"/>
      <c r="E292" s="1699"/>
      <c r="F292" s="1699"/>
      <c r="G292" s="1293"/>
      <c r="H292" s="1293"/>
      <c r="I292" s="1293"/>
      <c r="J292" s="1293"/>
      <c r="K292" s="1293"/>
      <c r="L292" s="1293"/>
      <c r="M292" s="1293"/>
      <c r="N292" s="1293"/>
      <c r="O292" s="1698">
        <f t="shared" ref="O292:Q292" si="253">O286-O305</f>
        <v>48.75</v>
      </c>
      <c r="P292" s="1698">
        <f t="shared" si="253"/>
        <v>97.5</v>
      </c>
      <c r="Q292" s="1698">
        <f t="shared" si="253"/>
        <v>97.5</v>
      </c>
      <c r="R292" s="1293"/>
      <c r="S292" s="1293"/>
      <c r="T292" s="1293"/>
      <c r="U292" s="1293"/>
      <c r="V292" s="1293"/>
      <c r="W292" s="1293"/>
      <c r="X292" s="1293"/>
      <c r="Y292" s="1724"/>
      <c r="Z292" s="1293"/>
      <c r="AA292" s="1293"/>
      <c r="AB292" s="1293"/>
      <c r="AC292" s="1293"/>
      <c r="AD292" s="1293"/>
      <c r="AE292" s="1699">
        <f t="shared" ref="AE292:AK292" si="254">AE284+AE291</f>
        <v>1533.694166311252</v>
      </c>
      <c r="AF292" s="1699">
        <f t="shared" si="254"/>
        <v>1547.5154867274709</v>
      </c>
      <c r="AG292" s="1699">
        <f t="shared" si="254"/>
        <v>1463.5937751584574</v>
      </c>
      <c r="AH292" s="1699">
        <f t="shared" ca="1" si="254"/>
        <v>1526.0050428710197</v>
      </c>
      <c r="AI292" s="1699">
        <f t="shared" si="254"/>
        <v>1577.4340000000002</v>
      </c>
      <c r="AJ292" s="1699">
        <f t="shared" si="254"/>
        <v>1850.375</v>
      </c>
      <c r="AK292" s="1699">
        <f t="shared" si="254"/>
        <v>1822.44</v>
      </c>
      <c r="AL292" s="1328">
        <f>AK292/AK$292</f>
        <v>1</v>
      </c>
      <c r="AM292" s="1293"/>
      <c r="AN292" s="1293"/>
      <c r="AO292" s="1293"/>
      <c r="AP292" s="1293"/>
      <c r="AQ292" s="1293"/>
      <c r="AR292" s="1293"/>
      <c r="AS292" s="1293"/>
      <c r="AT292" s="1293"/>
      <c r="AU292" s="1293"/>
      <c r="AV292" s="1293"/>
      <c r="AW292" s="1293"/>
      <c r="AX292" s="1293"/>
      <c r="AY292" s="1293"/>
      <c r="AZ292" s="1293"/>
      <c r="BA292" s="1293"/>
      <c r="BB292" s="1293"/>
      <c r="BC292" s="1293"/>
      <c r="BD292" s="1293"/>
      <c r="BE292" s="1293"/>
      <c r="BF292" s="1293"/>
      <c r="BG292" s="1293"/>
      <c r="BH292" s="1293"/>
      <c r="BI292" s="1293"/>
      <c r="BJ292" s="1293"/>
      <c r="BK292" s="1293"/>
      <c r="BL292" s="1293"/>
      <c r="BM292" s="1293"/>
      <c r="BN292" s="1293"/>
      <c r="BO292" s="1293"/>
      <c r="BP292" s="1293"/>
      <c r="BQ292" s="1293"/>
      <c r="BR292" s="1293"/>
      <c r="BS292" s="1293"/>
      <c r="BT292" s="1293"/>
      <c r="BU292" s="1293"/>
      <c r="BV292" s="1293"/>
      <c r="BW292" s="1293"/>
      <c r="BX292" s="1293"/>
      <c r="BY292" s="1293"/>
      <c r="BZ292" s="1293"/>
      <c r="CA292" s="1293"/>
      <c r="CB292" s="1293"/>
      <c r="CC292" s="1293"/>
      <c r="CD292" s="1293"/>
      <c r="CE292" s="1293"/>
      <c r="CF292" s="1293"/>
      <c r="CG292" s="1293"/>
    </row>
    <row r="293" spans="1:85" ht="15.75" hidden="1" outlineLevel="1">
      <c r="A293" s="1293"/>
      <c r="B293" s="1293"/>
      <c r="C293" s="1293" t="str">
        <f>'New (new) quarts'!B121</f>
        <v>Chad</v>
      </c>
      <c r="D293" s="1699"/>
      <c r="E293" s="1699"/>
      <c r="F293" s="1699"/>
      <c r="G293" s="1293"/>
      <c r="H293" s="1293"/>
      <c r="I293" s="1293"/>
      <c r="J293" s="1293"/>
      <c r="K293" s="1293"/>
      <c r="L293" s="1293"/>
      <c r="M293" s="1293"/>
      <c r="N293" s="1293"/>
      <c r="O293" s="1293"/>
      <c r="P293" s="1293"/>
      <c r="Q293" s="1293"/>
      <c r="R293" s="1293"/>
      <c r="S293" s="1293"/>
      <c r="T293" s="1293"/>
      <c r="U293" s="1293"/>
      <c r="V293" s="1293"/>
      <c r="W293" s="1293"/>
      <c r="X293" s="1293"/>
      <c r="Y293" s="1724"/>
      <c r="Z293" s="1293"/>
      <c r="AA293" s="1293"/>
      <c r="AB293" s="1293"/>
      <c r="AC293" s="1293"/>
      <c r="AD293" s="1293"/>
      <c r="AE293" s="1293"/>
      <c r="AF293" s="1293"/>
      <c r="AG293" s="1293"/>
      <c r="AH293" s="1293"/>
      <c r="AI293" s="1293"/>
      <c r="AJ293" s="1293"/>
      <c r="AK293" s="1293"/>
      <c r="AL293" s="1293"/>
      <c r="AM293" s="1293"/>
      <c r="AN293" s="1293"/>
      <c r="AO293" s="1293"/>
      <c r="AP293" s="1293"/>
      <c r="AQ293" s="1293"/>
      <c r="AR293" s="1293"/>
      <c r="AS293" s="1293"/>
      <c r="AT293" s="1293"/>
      <c r="AU293" s="1293"/>
      <c r="AV293" s="1293"/>
      <c r="AW293" s="1293"/>
      <c r="AX293" s="1293"/>
      <c r="AY293" s="1293"/>
      <c r="AZ293" s="1293"/>
      <c r="BA293" s="1293"/>
      <c r="BB293" s="1293"/>
      <c r="BC293" s="1293"/>
      <c r="BD293" s="1293"/>
      <c r="BE293" s="1293"/>
      <c r="BF293" s="1293"/>
      <c r="BG293" s="1293"/>
      <c r="BH293" s="1293"/>
      <c r="BI293" s="1293"/>
      <c r="BJ293" s="1293"/>
      <c r="BK293" s="1293"/>
      <c r="BL293" s="1293"/>
      <c r="BM293" s="1293"/>
      <c r="BN293" s="1293"/>
      <c r="BO293" s="1293"/>
      <c r="BP293" s="1293"/>
      <c r="BQ293" s="1293"/>
      <c r="BR293" s="1293"/>
      <c r="BS293" s="1293"/>
      <c r="BT293" s="1293"/>
      <c r="BU293" s="1293"/>
      <c r="BV293" s="1293"/>
      <c r="BW293" s="1293"/>
      <c r="BX293" s="1293"/>
      <c r="BY293" s="1293"/>
      <c r="BZ293" s="1293"/>
      <c r="CA293" s="1293"/>
      <c r="CB293" s="1293"/>
      <c r="CC293" s="1293"/>
      <c r="CD293" s="1293"/>
      <c r="CE293" s="1293"/>
      <c r="CF293" s="1293"/>
      <c r="CG293" s="1293"/>
    </row>
    <row r="294" spans="1:85" ht="15.75" hidden="1" outlineLevel="1">
      <c r="A294" s="1293"/>
      <c r="B294" s="1293"/>
      <c r="C294" s="1293" t="str">
        <f>'New (new) quarts'!B122</f>
        <v>DRC</v>
      </c>
      <c r="D294" s="1699"/>
      <c r="E294" s="1699"/>
      <c r="F294" s="1699"/>
      <c r="G294" s="1293"/>
      <c r="H294" s="1293"/>
      <c r="I294" s="1293"/>
      <c r="J294" s="1293"/>
      <c r="K294" s="1293"/>
      <c r="L294" s="1293"/>
      <c r="M294" s="1293"/>
      <c r="N294" s="1293"/>
      <c r="O294" s="1293"/>
      <c r="P294" s="1293"/>
      <c r="Q294" s="1293"/>
      <c r="R294" s="1293"/>
      <c r="S294" s="1293"/>
      <c r="T294" s="1293"/>
      <c r="U294" s="1293"/>
      <c r="V294" s="1293"/>
      <c r="W294" s="1293"/>
      <c r="X294" s="1293"/>
      <c r="Y294" s="1724"/>
      <c r="Z294" s="1293"/>
      <c r="AA294" s="1293"/>
      <c r="AB294" s="1293"/>
      <c r="AC294" s="1293"/>
      <c r="AD294" s="1293"/>
      <c r="AE294" s="1293"/>
      <c r="AF294" s="1293"/>
      <c r="AG294" s="1293"/>
      <c r="AH294" s="1293"/>
      <c r="AI294" s="1293"/>
      <c r="AJ294" s="1293"/>
      <c r="AK294" s="1293"/>
      <c r="AL294" s="1293"/>
      <c r="AM294" s="1293"/>
      <c r="AN294" s="1293"/>
      <c r="AO294" s="1293"/>
      <c r="AP294" s="1293"/>
      <c r="AQ294" s="1293"/>
      <c r="AR294" s="1293"/>
      <c r="AS294" s="1293"/>
      <c r="AT294" s="1293"/>
      <c r="AU294" s="1293"/>
      <c r="AV294" s="1293"/>
      <c r="AW294" s="1293"/>
      <c r="AX294" s="1293"/>
      <c r="AY294" s="1293"/>
      <c r="AZ294" s="1293"/>
      <c r="BA294" s="1293"/>
      <c r="BB294" s="1293"/>
      <c r="BC294" s="1293"/>
      <c r="BD294" s="1293"/>
      <c r="BE294" s="1293"/>
      <c r="BF294" s="1293"/>
      <c r="BG294" s="1293"/>
      <c r="BH294" s="1293"/>
      <c r="BI294" s="1293"/>
      <c r="BJ294" s="1293"/>
      <c r="BK294" s="1293"/>
      <c r="BL294" s="1293"/>
      <c r="BM294" s="1293"/>
      <c r="BN294" s="1293"/>
      <c r="BO294" s="1293"/>
      <c r="BP294" s="1293"/>
      <c r="BQ294" s="1293"/>
      <c r="BR294" s="1293"/>
      <c r="BS294" s="1293"/>
      <c r="BT294" s="1293"/>
      <c r="BU294" s="1293"/>
      <c r="BV294" s="1293"/>
      <c r="BW294" s="1293"/>
      <c r="BX294" s="1293"/>
      <c r="BY294" s="1293"/>
      <c r="BZ294" s="1293"/>
      <c r="CA294" s="1293"/>
      <c r="CB294" s="1293"/>
      <c r="CC294" s="1293"/>
      <c r="CD294" s="1293"/>
      <c r="CE294" s="1293"/>
      <c r="CF294" s="1293"/>
      <c r="CG294" s="1293"/>
    </row>
    <row r="295" spans="1:85" ht="15.75" hidden="1" outlineLevel="1">
      <c r="A295" s="1293"/>
      <c r="B295" s="1293"/>
      <c r="C295" s="1293" t="str">
        <f>'New (new) quarts'!B123</f>
        <v>Ghana</v>
      </c>
      <c r="D295" s="1699"/>
      <c r="E295" s="1699"/>
      <c r="F295" s="1699"/>
      <c r="G295" s="1293"/>
      <c r="H295" s="1293"/>
      <c r="I295" s="1293"/>
      <c r="J295" s="1293"/>
      <c r="K295" s="1293"/>
      <c r="L295" s="1293"/>
      <c r="M295" s="1293"/>
      <c r="N295" s="1293"/>
      <c r="O295" s="1699"/>
      <c r="P295" s="1699"/>
      <c r="Q295" s="1699"/>
      <c r="R295" s="1699"/>
      <c r="S295" s="1699"/>
      <c r="T295" s="1699"/>
      <c r="U295" s="1293"/>
      <c r="V295" s="1293"/>
      <c r="W295" s="1293"/>
      <c r="X295" s="1293"/>
      <c r="Y295" s="1724"/>
      <c r="Z295" s="1293"/>
      <c r="AA295" s="1293"/>
      <c r="AB295" s="1293"/>
      <c r="AC295" s="1293"/>
      <c r="AD295" s="1293"/>
      <c r="AE295" s="1293"/>
      <c r="AF295" s="1293"/>
      <c r="AG295" s="1293"/>
      <c r="AH295" s="1293"/>
      <c r="AI295" s="1293"/>
      <c r="AJ295" s="1293"/>
      <c r="AK295" s="1293"/>
      <c r="AL295" s="1293"/>
      <c r="AM295" s="1293"/>
      <c r="AN295" s="1293"/>
      <c r="AO295" s="1293"/>
      <c r="AP295" s="1293"/>
      <c r="AQ295" s="1293"/>
      <c r="AR295" s="1293"/>
      <c r="AS295" s="1293"/>
      <c r="AT295" s="1293"/>
      <c r="AU295" s="1293"/>
      <c r="AV295" s="1293"/>
      <c r="AW295" s="1293"/>
      <c r="AX295" s="1293"/>
      <c r="AY295" s="1293"/>
      <c r="AZ295" s="1293"/>
      <c r="BA295" s="1293"/>
      <c r="BB295" s="1293"/>
      <c r="BC295" s="1293"/>
      <c r="BD295" s="1293"/>
      <c r="BE295" s="1293"/>
      <c r="BF295" s="1293"/>
      <c r="BG295" s="1293"/>
      <c r="BH295" s="1293"/>
      <c r="BI295" s="1293"/>
      <c r="BJ295" s="1293"/>
      <c r="BK295" s="1293"/>
      <c r="BL295" s="1293"/>
      <c r="BM295" s="1293"/>
      <c r="BN295" s="1293"/>
      <c r="BO295" s="1293"/>
      <c r="BP295" s="1293"/>
      <c r="BQ295" s="1293"/>
      <c r="BR295" s="1293"/>
      <c r="BS295" s="1293"/>
      <c r="BT295" s="1293"/>
      <c r="BU295" s="1293"/>
      <c r="BV295" s="1293"/>
      <c r="BW295" s="1293"/>
      <c r="BX295" s="1293"/>
      <c r="BY295" s="1293"/>
      <c r="BZ295" s="1293"/>
      <c r="CA295" s="1293"/>
      <c r="CB295" s="1293"/>
      <c r="CC295" s="1293"/>
      <c r="CD295" s="1293"/>
      <c r="CE295" s="1293"/>
      <c r="CF295" s="1293"/>
      <c r="CG295" s="1293"/>
    </row>
    <row r="296" spans="1:85" ht="15.75" hidden="1" outlineLevel="1">
      <c r="A296" s="1293"/>
      <c r="B296" s="1293"/>
      <c r="C296" s="1293" t="str">
        <f>'New (new) quarts'!B124</f>
        <v>Rwanda</v>
      </c>
      <c r="D296" s="1699"/>
      <c r="E296" s="1699"/>
      <c r="F296" s="1699"/>
      <c r="G296" s="1293"/>
      <c r="H296" s="1293"/>
      <c r="I296" s="1293"/>
      <c r="J296" s="1293"/>
      <c r="K296" s="1293"/>
      <c r="L296" s="1293"/>
      <c r="M296" s="1293"/>
      <c r="N296" s="1293"/>
      <c r="O296" s="1293"/>
      <c r="P296" s="1293"/>
      <c r="Q296" s="1293"/>
      <c r="R296" s="1293"/>
      <c r="S296" s="1293"/>
      <c r="T296" s="1293"/>
      <c r="U296" s="1293"/>
      <c r="V296" s="1293"/>
      <c r="W296" s="1293"/>
      <c r="X296" s="1293"/>
      <c r="Y296" s="1724"/>
      <c r="Z296" s="1293"/>
      <c r="AA296" s="1293"/>
      <c r="AB296" s="1293"/>
      <c r="AC296" s="1293"/>
      <c r="AD296" s="1293"/>
      <c r="AE296" s="1293"/>
      <c r="AF296" s="1293"/>
      <c r="AG296" s="1293"/>
      <c r="AH296" s="1293"/>
      <c r="AI296" s="1293"/>
      <c r="AJ296" s="1293"/>
      <c r="AK296" s="1293"/>
      <c r="AL296" s="1293"/>
      <c r="AM296" s="1293"/>
      <c r="AN296" s="1293"/>
      <c r="AO296" s="1293"/>
      <c r="AP296" s="1293"/>
      <c r="AQ296" s="1293"/>
      <c r="AR296" s="1293"/>
      <c r="AS296" s="1293"/>
      <c r="AT296" s="1293"/>
      <c r="AU296" s="1293"/>
      <c r="AV296" s="1293"/>
      <c r="AW296" s="1293"/>
      <c r="AX296" s="1293"/>
      <c r="AY296" s="1293"/>
      <c r="AZ296" s="1293"/>
      <c r="BA296" s="1293"/>
      <c r="BB296" s="1293"/>
      <c r="BC296" s="1293"/>
      <c r="BD296" s="1293"/>
      <c r="BE296" s="1293"/>
      <c r="BF296" s="1293"/>
      <c r="BG296" s="1293"/>
      <c r="BH296" s="1293"/>
      <c r="BI296" s="1293"/>
      <c r="BJ296" s="1293"/>
      <c r="BK296" s="1293"/>
      <c r="BL296" s="1293"/>
      <c r="BM296" s="1293"/>
      <c r="BN296" s="1293"/>
      <c r="BO296" s="1293"/>
      <c r="BP296" s="1293"/>
      <c r="BQ296" s="1293"/>
      <c r="BR296" s="1293"/>
      <c r="BS296" s="1293"/>
      <c r="BT296" s="1293"/>
      <c r="BU296" s="1293"/>
      <c r="BV296" s="1293"/>
      <c r="BW296" s="1293"/>
      <c r="BX296" s="1293"/>
      <c r="BY296" s="1293"/>
      <c r="BZ296" s="1293"/>
      <c r="CA296" s="1293"/>
      <c r="CB296" s="1293"/>
      <c r="CC296" s="1293"/>
      <c r="CD296" s="1293"/>
      <c r="CE296" s="1293"/>
      <c r="CF296" s="1293"/>
      <c r="CG296" s="1293"/>
    </row>
    <row r="297" spans="1:85" ht="15.75" hidden="1" outlineLevel="1">
      <c r="A297" s="1293"/>
      <c r="B297" s="1293"/>
      <c r="C297" s="1293" t="str">
        <f>'New (new) quarts'!B125</f>
        <v>Senegal</v>
      </c>
      <c r="D297" s="1699"/>
      <c r="E297" s="1699"/>
      <c r="F297" s="1699"/>
      <c r="G297" s="1293"/>
      <c r="H297" s="1293"/>
      <c r="I297" s="1293"/>
      <c r="J297" s="1293"/>
      <c r="K297" s="1293"/>
      <c r="L297" s="1293"/>
      <c r="M297" s="1293"/>
      <c r="N297" s="1293"/>
      <c r="O297" s="1293"/>
      <c r="P297" s="1293"/>
      <c r="Q297" s="1293"/>
      <c r="R297" s="1293"/>
      <c r="S297" s="1293"/>
      <c r="T297" s="1293"/>
      <c r="U297" s="1293"/>
      <c r="V297" s="1293"/>
      <c r="W297" s="1293"/>
      <c r="X297" s="1293"/>
      <c r="Y297" s="1724"/>
      <c r="Z297" s="1293"/>
      <c r="AA297" s="1293"/>
      <c r="AB297" s="1293"/>
      <c r="AC297" s="1293"/>
      <c r="AD297" s="1293"/>
      <c r="AE297" s="1293"/>
      <c r="AF297" s="1293"/>
      <c r="AG297" s="1293"/>
      <c r="AH297" s="1293"/>
      <c r="AI297" s="1293"/>
      <c r="AJ297" s="1293"/>
      <c r="AK297" s="1293"/>
      <c r="AL297" s="1293"/>
      <c r="AM297" s="1293"/>
      <c r="AN297" s="1293"/>
      <c r="AO297" s="1293"/>
      <c r="AP297" s="1293"/>
      <c r="AQ297" s="1293"/>
      <c r="AR297" s="1293"/>
      <c r="AS297" s="1293"/>
      <c r="AT297" s="1293"/>
      <c r="AU297" s="1293"/>
      <c r="AV297" s="1293"/>
      <c r="AW297" s="1293"/>
      <c r="AX297" s="1293"/>
      <c r="AY297" s="1293"/>
      <c r="AZ297" s="1293"/>
      <c r="BA297" s="1293"/>
      <c r="BB297" s="1293"/>
      <c r="BC297" s="1293"/>
      <c r="BD297" s="1293"/>
      <c r="BE297" s="1293"/>
      <c r="BF297" s="1293"/>
      <c r="BG297" s="1293"/>
      <c r="BH297" s="1293"/>
      <c r="BI297" s="1293"/>
      <c r="BJ297" s="1293"/>
      <c r="BK297" s="1293"/>
      <c r="BL297" s="1293"/>
      <c r="BM297" s="1293"/>
      <c r="BN297" s="1293"/>
      <c r="BO297" s="1293"/>
      <c r="BP297" s="1293"/>
      <c r="BQ297" s="1293"/>
      <c r="BR297" s="1293"/>
      <c r="BS297" s="1293"/>
      <c r="BT297" s="1293"/>
      <c r="BU297" s="1293"/>
      <c r="BV297" s="1293"/>
      <c r="BW297" s="1293"/>
      <c r="BX297" s="1293"/>
      <c r="BY297" s="1293"/>
      <c r="BZ297" s="1293"/>
      <c r="CA297" s="1293"/>
      <c r="CB297" s="1293"/>
      <c r="CC297" s="1293"/>
      <c r="CD297" s="1293"/>
      <c r="CE297" s="1293"/>
      <c r="CF297" s="1293"/>
      <c r="CG297" s="1293"/>
    </row>
    <row r="298" spans="1:85" ht="15.75" hidden="1" outlineLevel="1">
      <c r="A298" s="1293"/>
      <c r="B298" s="1293"/>
      <c r="C298" s="1293" t="str">
        <f>'New (new) quarts'!B126</f>
        <v>Tanzania</v>
      </c>
      <c r="D298" s="1699"/>
      <c r="E298" s="1698">
        <f>Africa!P164-E299</f>
        <v>124.16999999999999</v>
      </c>
      <c r="F298" s="1698">
        <f>Africa!Q164-F299</f>
        <v>114.9696244064944</v>
      </c>
      <c r="G298" s="1698">
        <f ca="1">Africa!R164-G299</f>
        <v>122.61105414355558</v>
      </c>
      <c r="H298" s="1698">
        <f ca="1">Africa!S164-H299</f>
        <v>71.121427742982959</v>
      </c>
      <c r="I298" s="1698">
        <f ca="1">Africa!T164-I299</f>
        <v>74.044899818464444</v>
      </c>
      <c r="J298" s="1698">
        <f ca="1">Africa!U164-J299</f>
        <v>78.483735202506011</v>
      </c>
      <c r="K298" s="1988">
        <f ca="1">J298*1.025</f>
        <v>80.445828582568652</v>
      </c>
      <c r="L298" s="1988"/>
      <c r="M298" s="1988"/>
      <c r="N298" s="1988"/>
      <c r="O298" s="1988"/>
      <c r="P298" s="1988"/>
      <c r="Q298" s="1988"/>
      <c r="R298" s="1988"/>
      <c r="S298" s="1988"/>
      <c r="T298" s="1988"/>
      <c r="U298" s="1293"/>
      <c r="V298" s="1293"/>
      <c r="W298" s="1293"/>
      <c r="X298" s="1293"/>
      <c r="Y298" s="1724"/>
      <c r="Z298" s="1293"/>
      <c r="AA298" s="1293"/>
      <c r="AB298" s="1293"/>
      <c r="AC298" s="1293"/>
      <c r="AD298" s="1293"/>
      <c r="AE298" s="1293"/>
      <c r="AF298" s="1293"/>
      <c r="AG298" s="1293"/>
      <c r="AH298" s="1293"/>
      <c r="AI298" s="1293"/>
      <c r="AJ298" s="1293"/>
      <c r="AK298" s="1293"/>
      <c r="AL298" s="1293"/>
      <c r="AM298" s="1293"/>
      <c r="AN298" s="1293"/>
      <c r="AO298" s="1293"/>
      <c r="AP298" s="1293"/>
      <c r="AQ298" s="1293"/>
      <c r="AR298" s="1293"/>
      <c r="AS298" s="1293"/>
      <c r="AT298" s="1293"/>
      <c r="AU298" s="1293"/>
      <c r="AV298" s="1293"/>
      <c r="AW298" s="1293"/>
      <c r="AX298" s="1293"/>
      <c r="AY298" s="1293"/>
      <c r="AZ298" s="1293"/>
      <c r="BA298" s="1293"/>
      <c r="BB298" s="1293"/>
      <c r="BC298" s="1293"/>
      <c r="BD298" s="1293"/>
      <c r="BE298" s="1293"/>
      <c r="BF298" s="1293"/>
      <c r="BG298" s="1293"/>
      <c r="BH298" s="1293"/>
      <c r="BI298" s="1293"/>
      <c r="BJ298" s="1293"/>
      <c r="BK298" s="1293"/>
      <c r="BL298" s="1293"/>
      <c r="BM298" s="1293"/>
      <c r="BN298" s="1293"/>
      <c r="BO298" s="1293"/>
      <c r="BP298" s="1293"/>
      <c r="BQ298" s="1293"/>
      <c r="BR298" s="1293"/>
      <c r="BS298" s="1293"/>
      <c r="BT298" s="1293"/>
      <c r="BU298" s="1293"/>
      <c r="BV298" s="1293"/>
      <c r="BW298" s="1293"/>
      <c r="BX298" s="1293"/>
      <c r="BY298" s="1293"/>
      <c r="BZ298" s="1293"/>
      <c r="CA298" s="1293"/>
      <c r="CB298" s="1293"/>
      <c r="CC298" s="1293"/>
      <c r="CD298" s="1293"/>
      <c r="CE298" s="1293"/>
      <c r="CF298" s="1293"/>
      <c r="CG298" s="1293"/>
    </row>
    <row r="299" spans="1:85" ht="15.75" hidden="1" outlineLevel="1">
      <c r="A299" s="1293"/>
      <c r="B299" s="1293"/>
      <c r="C299" s="1293" t="str">
        <f>'New (new) quarts'!B127</f>
        <v>Zantel</v>
      </c>
      <c r="D299" s="1699"/>
      <c r="E299" s="1698">
        <v>2</v>
      </c>
      <c r="F299" s="1698">
        <v>2</v>
      </c>
      <c r="G299" s="1698">
        <v>2</v>
      </c>
      <c r="H299" s="1698">
        <v>2</v>
      </c>
      <c r="I299" s="1698">
        <v>2</v>
      </c>
      <c r="J299" s="1698">
        <v>2</v>
      </c>
      <c r="K299" s="1698">
        <v>2</v>
      </c>
      <c r="L299" s="1698"/>
      <c r="M299" s="1698"/>
      <c r="N299" s="1698"/>
      <c r="O299" s="1698"/>
      <c r="P299" s="1698"/>
      <c r="Q299" s="1698"/>
      <c r="R299" s="1698"/>
      <c r="S299" s="1698"/>
      <c r="T299" s="1698"/>
      <c r="U299" s="1293"/>
      <c r="V299" s="1293"/>
      <c r="W299" s="1293"/>
      <c r="X299" s="1293"/>
      <c r="Y299" s="1724"/>
      <c r="Z299" s="1293"/>
      <c r="AA299" s="1293"/>
      <c r="AB299" s="1293"/>
      <c r="AC299" s="1293"/>
      <c r="AD299" s="1293"/>
      <c r="AE299" s="1293"/>
      <c r="AF299" s="1293"/>
      <c r="AG299" s="1293"/>
      <c r="AH299" s="1293"/>
      <c r="AI299" s="1293"/>
      <c r="AJ299" s="1293"/>
      <c r="AK299" s="1293"/>
      <c r="AL299" s="1293"/>
      <c r="AM299" s="1293"/>
      <c r="AN299" s="1293"/>
      <c r="AO299" s="1293"/>
      <c r="AP299" s="1293"/>
      <c r="AQ299" s="1293"/>
      <c r="AR299" s="1293"/>
      <c r="AS299" s="1293"/>
      <c r="AT299" s="1293"/>
      <c r="AU299" s="1293"/>
      <c r="AV299" s="1293"/>
      <c r="AW299" s="1293"/>
      <c r="AX299" s="1293"/>
      <c r="AY299" s="1293"/>
      <c r="AZ299" s="1293"/>
      <c r="BA299" s="1293"/>
      <c r="BB299" s="1293"/>
      <c r="BC299" s="1293"/>
      <c r="BD299" s="1293"/>
      <c r="BE299" s="1293"/>
      <c r="BF299" s="1293"/>
      <c r="BG299" s="1293"/>
      <c r="BH299" s="1293"/>
      <c r="BI299" s="1293"/>
      <c r="BJ299" s="1293"/>
      <c r="BK299" s="1293"/>
      <c r="BL299" s="1293"/>
      <c r="BM299" s="1293"/>
      <c r="BN299" s="1293"/>
      <c r="BO299" s="1293"/>
      <c r="BP299" s="1293"/>
      <c r="BQ299" s="1293"/>
      <c r="BR299" s="1293"/>
      <c r="BS299" s="1293"/>
      <c r="BT299" s="1293"/>
      <c r="BU299" s="1293"/>
      <c r="BV299" s="1293"/>
      <c r="BW299" s="1293"/>
      <c r="BX299" s="1293"/>
      <c r="BY299" s="1293"/>
      <c r="BZ299" s="1293"/>
      <c r="CA299" s="1293"/>
      <c r="CB299" s="1293"/>
      <c r="CC299" s="1293"/>
      <c r="CD299" s="1293"/>
      <c r="CE299" s="1293"/>
      <c r="CF299" s="1293"/>
      <c r="CG299" s="1293"/>
    </row>
    <row r="300" spans="1:85" ht="15.75" hidden="1" outlineLevel="1">
      <c r="A300" s="1293"/>
      <c r="B300" s="1293"/>
      <c r="C300" s="1331" t="str">
        <f>'New (new) quarts'!B128</f>
        <v>Balancing item</v>
      </c>
      <c r="D300" s="1703"/>
      <c r="E300" s="1703"/>
      <c r="F300" s="1703"/>
      <c r="G300" s="1331"/>
      <c r="H300" s="1331"/>
      <c r="I300" s="1331"/>
      <c r="J300" s="1331"/>
      <c r="K300" s="1331"/>
      <c r="L300" s="1331"/>
      <c r="M300" s="1331"/>
      <c r="N300" s="1331"/>
      <c r="O300" s="1331"/>
      <c r="P300" s="1331"/>
      <c r="Q300" s="1331"/>
      <c r="R300" s="1331"/>
      <c r="S300" s="1331"/>
      <c r="T300" s="1331"/>
      <c r="U300" s="1293"/>
      <c r="V300" s="1293"/>
      <c r="W300" s="1293"/>
      <c r="X300" s="1293"/>
      <c r="Y300" s="1724"/>
      <c r="Z300" s="1293"/>
      <c r="AA300" s="1293"/>
      <c r="AB300" s="1293"/>
      <c r="AC300" s="1293"/>
      <c r="AD300" s="1293"/>
      <c r="AE300" s="1293"/>
      <c r="AF300" s="1293"/>
      <c r="AG300" s="1293"/>
      <c r="AH300" s="1293"/>
      <c r="AI300" s="1293"/>
      <c r="AJ300" s="1293"/>
      <c r="AK300" s="1293"/>
      <c r="AL300" s="1293"/>
      <c r="AM300" s="1293"/>
      <c r="AN300" s="1293"/>
      <c r="AO300" s="1293"/>
      <c r="AP300" s="1293"/>
      <c r="AQ300" s="1293"/>
      <c r="AR300" s="1293"/>
      <c r="AS300" s="1293"/>
      <c r="AT300" s="1293"/>
      <c r="AU300" s="1293"/>
      <c r="AV300" s="1293"/>
      <c r="AW300" s="1293"/>
      <c r="AX300" s="1293"/>
      <c r="AY300" s="1293"/>
      <c r="AZ300" s="1293"/>
      <c r="BA300" s="1293"/>
      <c r="BB300" s="1293"/>
      <c r="BC300" s="1293"/>
      <c r="BD300" s="1293"/>
      <c r="BE300" s="1293"/>
      <c r="BF300" s="1293"/>
      <c r="BG300" s="1293"/>
      <c r="BH300" s="1293"/>
      <c r="BI300" s="1293"/>
      <c r="BJ300" s="1293"/>
      <c r="BK300" s="1293"/>
      <c r="BL300" s="1293"/>
      <c r="BM300" s="1293"/>
      <c r="BN300" s="1293"/>
      <c r="BO300" s="1293"/>
      <c r="BP300" s="1293"/>
      <c r="BQ300" s="1293"/>
      <c r="BR300" s="1293"/>
      <c r="BS300" s="1293"/>
      <c r="BT300" s="1293"/>
      <c r="BU300" s="1293"/>
      <c r="BV300" s="1293"/>
      <c r="BW300" s="1293"/>
      <c r="BX300" s="1293"/>
      <c r="BY300" s="1293"/>
      <c r="BZ300" s="1293"/>
      <c r="CA300" s="1293"/>
      <c r="CB300" s="1293"/>
      <c r="CC300" s="1293"/>
      <c r="CD300" s="1293"/>
      <c r="CE300" s="1293"/>
      <c r="CF300" s="1293"/>
      <c r="CG300" s="1293"/>
    </row>
    <row r="301" spans="1:85" ht="15.75" hidden="1" outlineLevel="1">
      <c r="A301" s="1293"/>
      <c r="B301" s="1293"/>
      <c r="C301" s="1293" t="str">
        <f>'New (new) quarts'!B129</f>
        <v>Africa</v>
      </c>
      <c r="D301" s="1699">
        <f>'New (new) quarts'!G129</f>
        <v>218.47980047364024</v>
      </c>
      <c r="E301" s="1699">
        <f>'New (new) quarts'!L129</f>
        <v>173.37915834064006</v>
      </c>
      <c r="F301" s="1699">
        <f>'New (new) quarts'!Q129</f>
        <v>257.2143048366446</v>
      </c>
      <c r="G301" s="1699">
        <f>'New (new) quarts'!V129</f>
        <v>191</v>
      </c>
      <c r="H301" s="1699">
        <f>'New (new) quarts'!AA129</f>
        <v>160</v>
      </c>
      <c r="I301" s="1699">
        <f>'New (new) quarts'!AJ129</f>
        <v>168.5</v>
      </c>
      <c r="J301" s="1699">
        <f>'New (new) quarts'!AO129</f>
        <v>141</v>
      </c>
      <c r="K301" s="1699">
        <f>'New (new) quarts'!AT129</f>
        <v>128</v>
      </c>
      <c r="L301" s="1699"/>
      <c r="M301" s="1699"/>
      <c r="N301" s="1699"/>
      <c r="O301" s="1699"/>
      <c r="P301" s="1699"/>
      <c r="Q301" s="1699"/>
      <c r="R301" s="1699"/>
      <c r="S301" s="1699"/>
      <c r="T301" s="1699"/>
      <c r="U301" s="1293"/>
      <c r="V301" s="1293"/>
      <c r="W301" s="1293"/>
      <c r="X301" s="1293"/>
      <c r="Y301" s="1724"/>
      <c r="Z301" s="1293"/>
      <c r="AA301" s="1293"/>
      <c r="AB301" s="1293"/>
      <c r="AC301" s="1293"/>
      <c r="AD301" s="1293"/>
      <c r="AE301" s="1293"/>
      <c r="AF301" s="1293"/>
      <c r="AG301" s="1293"/>
      <c r="AH301" s="1293"/>
      <c r="AI301" s="1293"/>
      <c r="AJ301" s="1293"/>
      <c r="AK301" s="1293"/>
      <c r="AL301" s="1293"/>
      <c r="AM301" s="1293"/>
      <c r="AN301" s="1293"/>
      <c r="AO301" s="1293"/>
      <c r="AP301" s="1293"/>
      <c r="AQ301" s="1293"/>
      <c r="AR301" s="1293"/>
      <c r="AS301" s="1293"/>
      <c r="AT301" s="1293"/>
      <c r="AU301" s="1293"/>
      <c r="AV301" s="1293"/>
      <c r="AW301" s="1293"/>
      <c r="AX301" s="1293"/>
      <c r="AY301" s="1293"/>
      <c r="AZ301" s="1293"/>
      <c r="BA301" s="1293"/>
      <c r="BB301" s="1293"/>
      <c r="BC301" s="1293"/>
      <c r="BD301" s="1293"/>
      <c r="BE301" s="1293"/>
      <c r="BF301" s="1293"/>
      <c r="BG301" s="1293"/>
      <c r="BH301" s="1293"/>
      <c r="BI301" s="1293"/>
      <c r="BJ301" s="1293"/>
      <c r="BK301" s="1293"/>
      <c r="BL301" s="1293"/>
      <c r="BM301" s="1293"/>
      <c r="BN301" s="1293"/>
      <c r="BO301" s="1293"/>
      <c r="BP301" s="1293"/>
      <c r="BQ301" s="1293"/>
      <c r="BR301" s="1293"/>
      <c r="BS301" s="1293"/>
      <c r="BT301" s="1293"/>
      <c r="BU301" s="1293"/>
      <c r="BV301" s="1293"/>
      <c r="BW301" s="1293"/>
      <c r="BX301" s="1293"/>
      <c r="BY301" s="1293"/>
      <c r="BZ301" s="1293"/>
      <c r="CA301" s="1293"/>
      <c r="CB301" s="1293"/>
      <c r="CC301" s="1293"/>
      <c r="CD301" s="1293"/>
      <c r="CE301" s="1293"/>
      <c r="CF301" s="1293"/>
      <c r="CG301" s="1293"/>
    </row>
    <row r="302" spans="1:85" ht="15.75" hidden="1" outlineLevel="1">
      <c r="A302" s="1293"/>
      <c r="B302" s="1293"/>
      <c r="C302" s="1293"/>
      <c r="D302" s="1699"/>
      <c r="E302" s="1699"/>
      <c r="F302" s="1699"/>
      <c r="G302" s="1293"/>
      <c r="H302" s="1293"/>
      <c r="I302" s="1293"/>
      <c r="J302" s="1293"/>
      <c r="K302" s="1293"/>
      <c r="L302" s="1293"/>
      <c r="M302" s="1293"/>
      <c r="N302" s="1293"/>
      <c r="O302" s="1293"/>
      <c r="P302" s="1293"/>
      <c r="Q302" s="1293"/>
      <c r="R302" s="1293"/>
      <c r="S302" s="1293"/>
      <c r="T302" s="1293"/>
      <c r="U302" s="1293"/>
      <c r="V302" s="1293"/>
      <c r="W302" s="1293"/>
      <c r="X302" s="1293"/>
      <c r="Y302" s="1293"/>
      <c r="Z302" s="1293"/>
      <c r="AA302" s="1293"/>
      <c r="AB302" s="1293"/>
      <c r="AC302" s="1293"/>
      <c r="AD302" s="1293"/>
      <c r="AE302" s="1293"/>
      <c r="AF302" s="1293"/>
      <c r="AG302" s="1293"/>
      <c r="AH302" s="1293"/>
      <c r="AI302" s="1293"/>
      <c r="AJ302" s="1293"/>
      <c r="AK302" s="1293"/>
      <c r="AL302" s="1293"/>
      <c r="AM302" s="1293"/>
      <c r="AN302" s="1293"/>
      <c r="AO302" s="1293"/>
      <c r="AP302" s="1293"/>
      <c r="AQ302" s="1293"/>
      <c r="AR302" s="1293"/>
      <c r="AS302" s="1293"/>
      <c r="AT302" s="1293"/>
      <c r="AU302" s="1293"/>
      <c r="AV302" s="1293"/>
      <c r="AW302" s="1293"/>
      <c r="AX302" s="1293"/>
      <c r="AY302" s="1293"/>
      <c r="AZ302" s="1293"/>
      <c r="BA302" s="1293"/>
      <c r="BB302" s="1293"/>
      <c r="BC302" s="1293"/>
      <c r="BD302" s="1293"/>
      <c r="BE302" s="1293"/>
      <c r="BF302" s="1293"/>
      <c r="BG302" s="1293"/>
      <c r="BH302" s="1293"/>
      <c r="BI302" s="1293"/>
      <c r="BJ302" s="1293"/>
      <c r="BK302" s="1293"/>
      <c r="BL302" s="1293"/>
      <c r="BM302" s="1293"/>
      <c r="BN302" s="1293"/>
      <c r="BO302" s="1293"/>
      <c r="BP302" s="1293"/>
      <c r="BQ302" s="1293"/>
      <c r="BR302" s="1293"/>
      <c r="BS302" s="1293"/>
      <c r="BT302" s="1293"/>
      <c r="BU302" s="1293"/>
      <c r="BV302" s="1293"/>
      <c r="BW302" s="1293"/>
      <c r="BX302" s="1293"/>
      <c r="BY302" s="1293"/>
      <c r="BZ302" s="1293"/>
      <c r="CA302" s="1293"/>
      <c r="CB302" s="1293"/>
      <c r="CC302" s="1293"/>
      <c r="CD302" s="1293"/>
      <c r="CE302" s="1293"/>
      <c r="CF302" s="1293"/>
      <c r="CG302" s="1293"/>
    </row>
    <row r="303" spans="1:85" ht="15.75" collapsed="1">
      <c r="A303" s="1293"/>
      <c r="B303" s="1293"/>
      <c r="C303" s="1293" t="str">
        <f>'New (new) quarts'!B131</f>
        <v>Unallocated</v>
      </c>
      <c r="D303" s="2515">
        <f>'New (new) quarts'!G131</f>
        <v>-9.6694951017980202E-2</v>
      </c>
      <c r="E303" s="2515">
        <f>'New (new) quarts'!L131</f>
        <v>5.1981718232773346</v>
      </c>
      <c r="F303" s="2515">
        <f>'New (new) quarts'!Q131</f>
        <v>16.387847460263401</v>
      </c>
      <c r="G303" s="2515">
        <f>'New (new) quarts'!V131</f>
        <v>12.676000000000045</v>
      </c>
      <c r="H303" s="2515">
        <f>'New (new) quarts'!AA131</f>
        <v>-46</v>
      </c>
      <c r="I303" s="2515">
        <f>'New (new) quarts'!AJ131</f>
        <v>-42</v>
      </c>
      <c r="J303" s="2515">
        <f>'New (new) quarts'!AO131</f>
        <v>0</v>
      </c>
      <c r="K303" s="2515">
        <f>'New (new) quarts'!AT131</f>
        <v>0</v>
      </c>
      <c r="L303" s="2515">
        <f>'New (new) quarts'!AY131</f>
        <v>0</v>
      </c>
      <c r="M303" s="2515">
        <f>'New (new) quarts'!BD131</f>
        <v>0</v>
      </c>
      <c r="N303" s="2515">
        <f>'New (new) quarts'!BI131</f>
        <v>0</v>
      </c>
      <c r="O303" s="1986">
        <f>-97.5/2</f>
        <v>-48.75</v>
      </c>
      <c r="P303" s="1986">
        <v>-97.5</v>
      </c>
      <c r="Q303" s="1986">
        <v>-97.5</v>
      </c>
      <c r="R303" s="1986">
        <v>-97.5</v>
      </c>
      <c r="S303" s="1986">
        <v>-97.5</v>
      </c>
      <c r="T303" s="1986">
        <v>-97.5</v>
      </c>
      <c r="U303" s="1293"/>
      <c r="V303" s="1293"/>
      <c r="W303" s="1293"/>
      <c r="X303" s="1293"/>
      <c r="Y303" s="1986">
        <f>J303*X303*Valuation!J$85</f>
        <v>0</v>
      </c>
      <c r="Z303" s="1293"/>
      <c r="AA303" s="1293"/>
      <c r="AB303" s="1293"/>
      <c r="AC303" s="1293"/>
      <c r="AD303" s="1293"/>
      <c r="AE303" s="1293"/>
      <c r="AF303" s="1293"/>
      <c r="AG303" s="1293"/>
      <c r="AH303" s="1293"/>
      <c r="AI303" s="1293"/>
      <c r="AJ303" s="1293"/>
      <c r="AK303" s="1293"/>
      <c r="AL303" s="1293"/>
      <c r="AM303" s="1293"/>
      <c r="AN303" s="1955"/>
      <c r="AO303" s="1293"/>
      <c r="AP303" s="1293"/>
      <c r="AQ303" s="1293"/>
      <c r="AR303" s="1293"/>
      <c r="AS303" s="1293"/>
      <c r="AT303" s="1293"/>
      <c r="AU303" s="1955"/>
      <c r="AV303" s="1293"/>
      <c r="AW303" s="1293"/>
      <c r="AX303" s="1293"/>
      <c r="AY303" s="1293"/>
      <c r="AZ303" s="1293"/>
      <c r="BA303" s="1293"/>
      <c r="BB303" s="1293"/>
      <c r="BC303" s="1293"/>
      <c r="BD303" s="1293"/>
      <c r="BE303" s="1293"/>
      <c r="BF303" s="1293"/>
      <c r="BG303" s="1293"/>
      <c r="BH303" s="1293"/>
      <c r="BI303" s="1293"/>
      <c r="BJ303" s="1293"/>
      <c r="BK303" s="1293"/>
      <c r="BL303" s="1293"/>
      <c r="BM303" s="1293"/>
      <c r="BN303" s="1293"/>
      <c r="BO303" s="1293"/>
      <c r="BP303" s="1293"/>
      <c r="BQ303" s="1293"/>
      <c r="BR303" s="1293"/>
      <c r="BS303" s="1293"/>
      <c r="BT303" s="1293"/>
      <c r="BU303" s="1293"/>
      <c r="BV303" s="1293"/>
      <c r="BW303" s="1293"/>
      <c r="BX303" s="1293"/>
      <c r="BY303" s="1293"/>
      <c r="BZ303" s="1293"/>
      <c r="CA303" s="1293"/>
      <c r="CB303" s="1293"/>
      <c r="CC303" s="1293"/>
      <c r="CD303" s="1293"/>
      <c r="CE303" s="1293"/>
      <c r="CF303" s="1293"/>
      <c r="CG303" s="1293"/>
    </row>
    <row r="304" spans="1:85" ht="15.75">
      <c r="A304" s="1293"/>
      <c r="B304" s="1293"/>
      <c r="C304" s="1293" t="str">
        <f>'New (new) quarts'!B134</f>
        <v>Corporate costs</v>
      </c>
      <c r="D304" s="2515">
        <f>'New (new) quarts'!G134</f>
        <v>-258</v>
      </c>
      <c r="E304" s="2515">
        <f>'New (new) quarts'!L134</f>
        <v>-204</v>
      </c>
      <c r="F304" s="2515">
        <f>'New (new) quarts'!Q134</f>
        <v>-165</v>
      </c>
      <c r="G304" s="2515">
        <f>'New (new) quarts'!V134</f>
        <v>-147.67599999999999</v>
      </c>
      <c r="H304" s="2515">
        <f>'New (new) quarts'!AA134</f>
        <v>-150.63400000000001</v>
      </c>
      <c r="I304" s="2515">
        <f>'New (new) quarts'!AJ134</f>
        <v>-150.72500000000002</v>
      </c>
      <c r="J304" s="2515">
        <f>'New (new) quarts'!AO134</f>
        <v>-139</v>
      </c>
      <c r="K304" s="2515">
        <f>'New (new) quarts'!AT134</f>
        <v>-155</v>
      </c>
      <c r="L304" s="2515">
        <f>'New (new) quarts'!AY134</f>
        <v>-147.66770000000002</v>
      </c>
      <c r="M304" s="2515">
        <f>'New (new) quarts'!BD134</f>
        <v>-225.49399999999997</v>
      </c>
      <c r="N304" s="2515">
        <f ca="1">'New (new) quarts'!BI134</f>
        <v>-225.49399999999997</v>
      </c>
      <c r="O304" s="1699">
        <f>Master!AB288</f>
        <v>-150</v>
      </c>
      <c r="P304" s="1699">
        <f>Master!AC288</f>
        <v>-150</v>
      </c>
      <c r="Q304" s="1699">
        <f>Master!AD288</f>
        <v>-150</v>
      </c>
      <c r="R304" s="1699">
        <f>Master!AE288</f>
        <v>-150</v>
      </c>
      <c r="S304" s="1699">
        <f>Master!AF288</f>
        <v>-150</v>
      </c>
      <c r="T304" s="1699">
        <f>Master!AG288</f>
        <v>-150</v>
      </c>
      <c r="U304" s="1293"/>
      <c r="V304" s="1293"/>
      <c r="W304" s="1293"/>
      <c r="X304" s="1293"/>
      <c r="Y304" s="1699">
        <f>J304*X304*Valuation!J$85</f>
        <v>0</v>
      </c>
      <c r="Z304" s="1293"/>
      <c r="AA304" s="1293"/>
      <c r="AB304" s="1293"/>
      <c r="AC304" s="1293"/>
      <c r="AD304" s="1293"/>
      <c r="AE304" s="1293"/>
      <c r="AF304" s="1293"/>
      <c r="AG304" s="1293"/>
      <c r="AH304" s="1293"/>
      <c r="AI304" s="1293"/>
      <c r="AJ304" s="1293"/>
      <c r="AK304" s="1293"/>
      <c r="AL304" s="1293"/>
      <c r="AM304" s="1293"/>
      <c r="AN304" s="1955"/>
      <c r="AO304" s="1293"/>
      <c r="AP304" s="1293"/>
      <c r="AQ304" s="1293"/>
      <c r="AR304" s="1293"/>
      <c r="AS304" s="1293"/>
      <c r="AT304" s="1293"/>
      <c r="AU304" s="1293"/>
      <c r="AV304" s="1293"/>
      <c r="AW304" s="1293"/>
      <c r="AX304" s="1293"/>
      <c r="AY304" s="1293"/>
      <c r="AZ304" s="1293"/>
      <c r="BA304" s="1293"/>
      <c r="BB304" s="1293"/>
      <c r="BC304" s="1293"/>
      <c r="BD304" s="1293"/>
      <c r="BE304" s="1293"/>
      <c r="BF304" s="1293"/>
      <c r="BG304" s="1293"/>
      <c r="BH304" s="1293"/>
      <c r="BI304" s="1293"/>
      <c r="BJ304" s="1293"/>
      <c r="BK304" s="1293"/>
      <c r="BL304" s="1293"/>
      <c r="BM304" s="1293"/>
      <c r="BN304" s="1293"/>
      <c r="BO304" s="1293"/>
      <c r="BP304" s="1293"/>
      <c r="BQ304" s="1293"/>
      <c r="BR304" s="1293"/>
      <c r="BS304" s="1293"/>
      <c r="BT304" s="1293"/>
      <c r="BU304" s="1293"/>
      <c r="BV304" s="1293"/>
      <c r="BW304" s="1293"/>
      <c r="BX304" s="1293"/>
      <c r="BY304" s="1293"/>
      <c r="BZ304" s="1293"/>
      <c r="CA304" s="1293"/>
      <c r="CB304" s="1293"/>
      <c r="CC304" s="1293"/>
      <c r="CD304" s="1293"/>
      <c r="CE304" s="1293"/>
      <c r="CF304" s="1293"/>
      <c r="CG304" s="1293"/>
    </row>
    <row r="305" spans="1:85" ht="15.75">
      <c r="A305" s="1293"/>
      <c r="B305" s="1293"/>
      <c r="C305" s="1397" t="str">
        <f>'New (new) quarts'!B137</f>
        <v>Reported EBITDA</v>
      </c>
      <c r="D305" s="2517">
        <f>'New (new) quarts'!G137</f>
        <v>2093.3211117787241</v>
      </c>
      <c r="E305" s="2517">
        <f>'New (new) quarts'!L137</f>
        <v>2178.1466739039001</v>
      </c>
      <c r="F305" s="2517">
        <f>'New (new) quarts'!Q137</f>
        <v>2171.4594493655409</v>
      </c>
      <c r="G305" s="2517">
        <f>'New (new) quarts'!V137</f>
        <v>2200</v>
      </c>
      <c r="H305" s="2517">
        <f>'New (new) quarts'!AA137</f>
        <v>2182</v>
      </c>
      <c r="I305" s="2517">
        <f>'New (new) quarts'!AJ137</f>
        <v>2550</v>
      </c>
      <c r="J305" s="2517">
        <f>'New (new) quarts'!AO137</f>
        <v>2485</v>
      </c>
      <c r="K305" s="2517">
        <f t="shared" ref="K305" si="255">K284+K291+K301+K303+K304</f>
        <v>2613</v>
      </c>
      <c r="L305" s="2517">
        <f>'New (new) quarts'!AY137</f>
        <v>2228.1349999999998</v>
      </c>
      <c r="M305" s="2517">
        <f>'New (new) quarts'!BD137</f>
        <v>2111.2855</v>
      </c>
      <c r="N305" s="2517">
        <f>'New (new) quarts'!BI137</f>
        <v>2468.6458000000002</v>
      </c>
      <c r="O305" s="2008">
        <f t="shared" ref="O305:T305" si="256">O308-O307</f>
        <v>2381.685419914671</v>
      </c>
      <c r="P305" s="2008">
        <f t="shared" si="256"/>
        <v>2396.1990022089599</v>
      </c>
      <c r="Q305" s="2008">
        <f t="shared" si="256"/>
        <v>2461.0081072440548</v>
      </c>
      <c r="R305" s="2008">
        <f t="shared" si="256"/>
        <v>2531.4814825398967</v>
      </c>
      <c r="S305" s="2008">
        <f t="shared" si="256"/>
        <v>2605.2274230211528</v>
      </c>
      <c r="T305" s="2008">
        <f t="shared" si="256"/>
        <v>2675.7831928277733</v>
      </c>
      <c r="U305" s="1293"/>
      <c r="V305" s="1293"/>
      <c r="W305" s="1293"/>
      <c r="X305" s="1293"/>
      <c r="Y305" s="1963">
        <f>J305*X305*Valuation!J$85</f>
        <v>0</v>
      </c>
      <c r="Z305" s="1293"/>
      <c r="AA305" s="1293"/>
      <c r="AB305" s="1293"/>
      <c r="AC305" s="1293"/>
      <c r="AD305" s="1293"/>
      <c r="AE305" s="1293"/>
      <c r="AF305" s="1293"/>
      <c r="AG305" s="1293"/>
      <c r="AH305" s="1293"/>
      <c r="AI305" s="1293"/>
      <c r="AJ305" s="1293"/>
      <c r="AK305" s="1293"/>
      <c r="AL305" s="1293"/>
      <c r="AM305" s="1293"/>
      <c r="AN305" s="1955"/>
      <c r="AO305" s="1293"/>
      <c r="AP305" s="1293"/>
      <c r="AQ305" s="1293"/>
      <c r="AR305" s="1293"/>
      <c r="AS305" s="1293"/>
      <c r="AT305" s="1293"/>
      <c r="AU305" s="1293"/>
      <c r="AV305" s="1293"/>
      <c r="AW305" s="1293"/>
      <c r="AX305" s="1293"/>
      <c r="AY305" s="1293"/>
      <c r="AZ305" s="1293"/>
      <c r="BA305" s="1293"/>
      <c r="BB305" s="1293"/>
      <c r="BC305" s="1293"/>
      <c r="BD305" s="1293"/>
      <c r="BE305" s="1293"/>
      <c r="BF305" s="1293"/>
      <c r="BG305" s="1293"/>
      <c r="BH305" s="1293"/>
      <c r="BI305" s="1293"/>
      <c r="BJ305" s="1293"/>
      <c r="BK305" s="1293"/>
      <c r="BL305" s="1293"/>
      <c r="BM305" s="1293"/>
      <c r="BN305" s="1293"/>
      <c r="BO305" s="1293"/>
      <c r="BP305" s="1293"/>
      <c r="BQ305" s="1293"/>
      <c r="BR305" s="1293"/>
      <c r="BS305" s="1293"/>
      <c r="BT305" s="1293"/>
      <c r="BU305" s="1293"/>
      <c r="BV305" s="1293"/>
      <c r="BW305" s="1293"/>
      <c r="BX305" s="1293"/>
      <c r="BY305" s="1293"/>
      <c r="BZ305" s="1293"/>
      <c r="CA305" s="1293"/>
      <c r="CB305" s="1293"/>
      <c r="CC305" s="1293"/>
      <c r="CD305" s="1293"/>
      <c r="CE305" s="1293"/>
      <c r="CF305" s="1293"/>
      <c r="CG305" s="1293"/>
    </row>
    <row r="306" spans="1:85" ht="15.75">
      <c r="A306" s="1293"/>
      <c r="B306" s="1293"/>
      <c r="C306" s="1293"/>
      <c r="D306" s="1699"/>
      <c r="E306" s="1699"/>
      <c r="F306" s="1699"/>
      <c r="G306" s="1293"/>
      <c r="H306" s="1293"/>
      <c r="I306" s="1293"/>
      <c r="J306" s="1293"/>
      <c r="K306" s="1293"/>
      <c r="L306" s="1293"/>
      <c r="M306" s="1293"/>
      <c r="N306" s="1293"/>
      <c r="O306" s="1293"/>
      <c r="P306" s="1293"/>
      <c r="Q306" s="1293"/>
      <c r="R306" s="1293"/>
      <c r="S306" s="1293"/>
      <c r="T306" s="1293"/>
      <c r="U306" s="1293"/>
      <c r="V306" s="1293"/>
      <c r="W306" s="1293"/>
      <c r="X306" s="1293"/>
      <c r="Y306" s="1293"/>
      <c r="Z306" s="1293"/>
      <c r="AA306" s="1293"/>
      <c r="AB306" s="1293"/>
      <c r="AC306" s="1293"/>
      <c r="AD306" s="1293"/>
      <c r="AE306" s="1293"/>
      <c r="AF306" s="1293"/>
      <c r="AG306" s="1293"/>
      <c r="AH306" s="1293"/>
      <c r="AI306" s="1293"/>
      <c r="AJ306" s="1293"/>
      <c r="AK306" s="1293"/>
      <c r="AL306" s="1293"/>
      <c r="AM306" s="1293"/>
      <c r="AN306" s="1724"/>
      <c r="AO306" s="1293"/>
      <c r="AP306" s="1293"/>
      <c r="AQ306" s="1293"/>
      <c r="AR306" s="1293"/>
      <c r="AS306" s="1293"/>
      <c r="AT306" s="1293"/>
      <c r="AU306" s="1293"/>
      <c r="AV306" s="1293"/>
      <c r="AW306" s="1293"/>
      <c r="AX306" s="1293"/>
      <c r="AY306" s="1293"/>
      <c r="AZ306" s="1293"/>
      <c r="BA306" s="1293"/>
      <c r="BB306" s="1293"/>
      <c r="BC306" s="1293"/>
      <c r="BD306" s="1293"/>
      <c r="BE306" s="1293"/>
      <c r="BF306" s="1293"/>
      <c r="BG306" s="1293"/>
      <c r="BH306" s="1293"/>
      <c r="BI306" s="1293"/>
      <c r="BJ306" s="1293"/>
      <c r="BK306" s="1293"/>
      <c r="BL306" s="1293"/>
      <c r="BM306" s="1293"/>
      <c r="BN306" s="1293"/>
      <c r="BO306" s="1293"/>
      <c r="BP306" s="1293"/>
      <c r="BQ306" s="1293"/>
      <c r="BR306" s="1293"/>
      <c r="BS306" s="1293"/>
      <c r="BT306" s="1293"/>
      <c r="BU306" s="1293"/>
      <c r="BV306" s="1293"/>
      <c r="BW306" s="1293"/>
      <c r="BX306" s="1293"/>
      <c r="BY306" s="1293"/>
      <c r="BZ306" s="1293"/>
      <c r="CA306" s="1293"/>
      <c r="CB306" s="1293"/>
      <c r="CC306" s="1293"/>
      <c r="CD306" s="1293"/>
      <c r="CE306" s="1293"/>
      <c r="CF306" s="1293"/>
      <c r="CG306" s="1293"/>
    </row>
    <row r="307" spans="1:85" ht="15.75">
      <c r="A307" s="1293"/>
      <c r="B307" s="1293"/>
      <c r="C307" s="1331" t="str">
        <f>'New (new) quarts'!B139</f>
        <v>Restructuring charges / other</v>
      </c>
      <c r="D307" s="2516">
        <f>'New (new) quarts'!G139</f>
        <v>16.199999999999818</v>
      </c>
      <c r="E307" s="2516">
        <f>'New (new) quarts'!L139</f>
        <v>87.484270327639479</v>
      </c>
      <c r="F307" s="2516">
        <f>'New (new) quarts'!Q139</f>
        <v>54.040550634459009</v>
      </c>
      <c r="G307" s="2516">
        <f>'New (new) quarts'!V139</f>
        <v>-19</v>
      </c>
      <c r="H307" s="2516">
        <f>'New (new) quarts'!AA139</f>
        <v>0</v>
      </c>
      <c r="I307" s="2516">
        <f>'New (new) quarts'!AJ139</f>
        <v>0</v>
      </c>
      <c r="J307" s="2516">
        <f>'New (new) quarts'!AO139</f>
        <v>156</v>
      </c>
      <c r="K307" s="2516">
        <f>'New (new) quarts'!AT139</f>
        <v>0</v>
      </c>
      <c r="L307" s="2516">
        <f>'New (new) quarts'!AU139</f>
        <v>0</v>
      </c>
      <c r="M307" s="2516">
        <f>'New (new) quarts'!BD139</f>
        <v>104</v>
      </c>
      <c r="N307" s="2516">
        <f>'New (new) quarts'!BI139</f>
        <v>156</v>
      </c>
      <c r="O307" s="1985">
        <v>0</v>
      </c>
      <c r="P307" s="1985">
        <v>0</v>
      </c>
      <c r="Q307" s="1985">
        <v>0</v>
      </c>
      <c r="R307" s="1985">
        <v>0</v>
      </c>
      <c r="S307" s="1985">
        <v>0</v>
      </c>
      <c r="T307" s="1985">
        <v>0</v>
      </c>
      <c r="U307" s="1293"/>
      <c r="V307" s="1293"/>
      <c r="W307" s="1293"/>
      <c r="X307" s="1293"/>
      <c r="Y307" s="1293"/>
      <c r="Z307" s="1293"/>
      <c r="AA307" s="1293"/>
      <c r="AB307" s="1293"/>
      <c r="AC307" s="1293"/>
      <c r="AD307" s="1293"/>
      <c r="AE307" s="1293"/>
      <c r="AF307" s="1293"/>
      <c r="AG307" s="1293"/>
      <c r="AH307" s="1293"/>
      <c r="AI307" s="1293"/>
      <c r="AJ307" s="1293"/>
      <c r="AK307" s="1293"/>
      <c r="AL307" s="1955"/>
      <c r="AM307" s="1955"/>
      <c r="AN307" s="1955"/>
      <c r="AO307" s="1293"/>
      <c r="AP307" s="1293"/>
      <c r="AQ307" s="1293"/>
      <c r="AR307" s="1293"/>
      <c r="AS307" s="1293"/>
      <c r="AT307" s="1293"/>
      <c r="AU307" s="1293"/>
      <c r="AV307" s="1293"/>
      <c r="AW307" s="1293"/>
      <c r="AX307" s="1293"/>
      <c r="AY307" s="1293"/>
      <c r="AZ307" s="1293"/>
      <c r="BA307" s="1293"/>
      <c r="BB307" s="1293"/>
      <c r="BC307" s="1293"/>
      <c r="BD307" s="1293"/>
      <c r="BE307" s="1293"/>
      <c r="BF307" s="1293"/>
      <c r="BG307" s="1293"/>
      <c r="BH307" s="1293"/>
      <c r="BI307" s="1293"/>
      <c r="BJ307" s="1293"/>
      <c r="BK307" s="1293"/>
      <c r="BL307" s="1293"/>
      <c r="BM307" s="1293"/>
      <c r="BN307" s="1293"/>
      <c r="BO307" s="1293"/>
      <c r="BP307" s="1293"/>
      <c r="BQ307" s="1293"/>
      <c r="BR307" s="1293"/>
      <c r="BS307" s="1293"/>
      <c r="BT307" s="1293"/>
      <c r="BU307" s="1293"/>
      <c r="BV307" s="1293"/>
      <c r="BW307" s="1293"/>
      <c r="BX307" s="1293"/>
      <c r="BY307" s="1293"/>
      <c r="BZ307" s="1293"/>
      <c r="CA307" s="1293"/>
      <c r="CB307" s="1293"/>
      <c r="CC307" s="1293"/>
      <c r="CD307" s="1293"/>
      <c r="CE307" s="1293"/>
      <c r="CF307" s="1293"/>
      <c r="CG307" s="1293"/>
    </row>
    <row r="308" spans="1:85" ht="15.75">
      <c r="A308" s="1293"/>
      <c r="B308" s="1293"/>
      <c r="C308" s="1334" t="str">
        <f>'New (new) quarts'!B140</f>
        <v>Adjusted EBITDA</v>
      </c>
      <c r="D308" s="2518">
        <f>'New (new) quarts'!G140</f>
        <v>2109.5211117787239</v>
      </c>
      <c r="E308" s="2518">
        <f>'New (new) quarts'!L140</f>
        <v>2265.6309442315396</v>
      </c>
      <c r="F308" s="2518">
        <f>'New (new) quarts'!Q140</f>
        <v>2225.5</v>
      </c>
      <c r="G308" s="2518">
        <f>'New (new) quarts'!V140</f>
        <v>2181</v>
      </c>
      <c r="H308" s="2518">
        <f>'New (new) quarts'!AA140</f>
        <v>2182</v>
      </c>
      <c r="I308" s="2518">
        <f>'New (new) quarts'!AJ140</f>
        <v>2550</v>
      </c>
      <c r="J308" s="2518">
        <f>'New (new) quarts'!AO140</f>
        <v>2641</v>
      </c>
      <c r="K308" s="2518">
        <f>'New (new) quarts'!AT140</f>
        <v>2613</v>
      </c>
      <c r="L308" s="2518">
        <f>'New (new) quarts'!AY140</f>
        <v>2228.1349999999998</v>
      </c>
      <c r="M308" s="2518">
        <f>'New (new) quarts'!BD140</f>
        <v>2215.2855</v>
      </c>
      <c r="N308" s="2518">
        <f>'New (new) quarts'!BI140</f>
        <v>2624.6458000000002</v>
      </c>
      <c r="O308" s="1963">
        <f>O284-O275+O291+O303+O304</f>
        <v>2381.685419914671</v>
      </c>
      <c r="P308" s="1963">
        <f t="shared" ref="P308:T308" si="257">P284-P275+P291+P303+P304</f>
        <v>2396.1990022089599</v>
      </c>
      <c r="Q308" s="1963">
        <f t="shared" si="257"/>
        <v>2461.0081072440548</v>
      </c>
      <c r="R308" s="1963">
        <f t="shared" si="257"/>
        <v>2531.4814825398967</v>
      </c>
      <c r="S308" s="1963">
        <f t="shared" si="257"/>
        <v>2605.2274230211528</v>
      </c>
      <c r="T308" s="1963">
        <f t="shared" si="257"/>
        <v>2675.7831928277733</v>
      </c>
      <c r="U308" s="1293"/>
      <c r="V308" s="1293"/>
      <c r="W308" s="1293"/>
      <c r="X308" s="1293"/>
      <c r="Y308" s="1293"/>
      <c r="Z308" s="1293"/>
      <c r="AA308" s="1293"/>
      <c r="AB308" s="1293"/>
      <c r="AC308" s="1293"/>
      <c r="AD308" s="1293"/>
      <c r="AE308" s="1293"/>
      <c r="AF308" s="1293"/>
      <c r="AG308" s="1293"/>
      <c r="AH308" s="1293"/>
      <c r="AI308" s="1293"/>
      <c r="AJ308" s="1293"/>
      <c r="AK308" s="1293"/>
      <c r="AL308" s="1293"/>
      <c r="AM308" s="1293"/>
      <c r="AN308" s="1955"/>
      <c r="AO308" s="1293"/>
      <c r="AP308" s="1293"/>
      <c r="AQ308" s="1293"/>
      <c r="AR308" s="1293"/>
      <c r="AS308" s="1293"/>
      <c r="AT308" s="1293"/>
      <c r="AU308" s="1293"/>
      <c r="AV308" s="1293"/>
      <c r="AW308" s="1293"/>
      <c r="AX308" s="1293"/>
      <c r="AY308" s="1293"/>
      <c r="AZ308" s="1293"/>
      <c r="BA308" s="1293"/>
      <c r="BB308" s="1293"/>
      <c r="BC308" s="1293"/>
      <c r="BD308" s="1293"/>
      <c r="BE308" s="1293"/>
      <c r="BF308" s="1293"/>
      <c r="BG308" s="1293"/>
      <c r="BH308" s="1293"/>
      <c r="BI308" s="1293"/>
      <c r="BJ308" s="1293"/>
      <c r="BK308" s="1293"/>
      <c r="BL308" s="1293"/>
      <c r="BM308" s="1293"/>
      <c r="BN308" s="1293"/>
      <c r="BO308" s="1293"/>
      <c r="BP308" s="1293"/>
      <c r="BQ308" s="1293"/>
      <c r="BR308" s="1293"/>
      <c r="BS308" s="1293"/>
      <c r="BT308" s="1293"/>
      <c r="BU308" s="1293"/>
      <c r="BV308" s="1293"/>
      <c r="BW308" s="1293"/>
      <c r="BX308" s="1293"/>
      <c r="BY308" s="1293"/>
      <c r="BZ308" s="1293"/>
      <c r="CA308" s="1293"/>
      <c r="CB308" s="1293"/>
      <c r="CC308" s="1293"/>
      <c r="CD308" s="1293"/>
      <c r="CE308" s="1293"/>
      <c r="CF308" s="1293"/>
      <c r="CG308" s="1293"/>
    </row>
    <row r="309" spans="1:85" ht="15.75">
      <c r="A309" s="1293"/>
      <c r="B309" s="1293"/>
      <c r="C309" s="1293"/>
      <c r="D309" s="1699"/>
      <c r="E309" s="1699"/>
      <c r="F309" s="2009"/>
      <c r="G309" s="2009"/>
      <c r="H309" s="2009"/>
      <c r="I309" s="2009"/>
      <c r="J309" s="1699"/>
      <c r="K309" s="1699"/>
      <c r="L309" s="1699"/>
      <c r="M309" s="1699"/>
      <c r="N309" s="1699"/>
      <c r="O309" s="1699"/>
      <c r="P309" s="1699"/>
      <c r="Q309" s="1699"/>
      <c r="R309" s="1699"/>
      <c r="S309" s="1699"/>
      <c r="T309" s="1699"/>
      <c r="U309" s="1293"/>
      <c r="V309" s="1293"/>
      <c r="W309" s="1293"/>
      <c r="X309" s="1293"/>
      <c r="Y309" s="1293"/>
      <c r="Z309" s="1293"/>
      <c r="AA309" s="1293"/>
      <c r="AB309" s="1293"/>
      <c r="AC309" s="1293"/>
      <c r="AD309" s="1293"/>
      <c r="AE309" s="1293"/>
      <c r="AF309" s="1293"/>
      <c r="AG309" s="1293"/>
      <c r="AH309" s="1293"/>
      <c r="AI309" s="1293"/>
      <c r="AJ309" s="1293"/>
      <c r="AK309" s="1293"/>
      <c r="AL309" s="1293"/>
      <c r="AM309" s="1293"/>
      <c r="AN309" s="1955"/>
      <c r="AO309" s="1293"/>
      <c r="AP309" s="1293"/>
      <c r="AQ309" s="1293"/>
      <c r="AR309" s="1293"/>
      <c r="AS309" s="1293"/>
      <c r="AT309" s="1293"/>
      <c r="AU309" s="1293"/>
      <c r="AV309" s="1331"/>
      <c r="AW309" s="1331"/>
      <c r="AX309" s="1331"/>
      <c r="AY309" s="1331"/>
      <c r="AZ309" s="1331"/>
      <c r="BA309" s="1293"/>
      <c r="BB309" s="1293"/>
      <c r="BC309" s="1293"/>
      <c r="BD309" s="1293"/>
      <c r="BE309" s="1293"/>
      <c r="BF309" s="1293"/>
      <c r="BG309" s="1293"/>
      <c r="BH309" s="1293"/>
      <c r="BI309" s="1293"/>
      <c r="BJ309" s="1293"/>
      <c r="BK309" s="1293"/>
      <c r="BL309" s="1293"/>
      <c r="BM309" s="1293"/>
      <c r="BN309" s="1293"/>
      <c r="BO309" s="1293"/>
      <c r="BP309" s="1293"/>
      <c r="BQ309" s="1293"/>
      <c r="BR309" s="1293"/>
      <c r="BS309" s="1293"/>
      <c r="BT309" s="1293"/>
      <c r="BU309" s="1293"/>
      <c r="BV309" s="1293"/>
      <c r="BW309" s="1293"/>
      <c r="BX309" s="1293"/>
      <c r="BY309" s="1293"/>
      <c r="BZ309" s="1293"/>
      <c r="CA309" s="1293"/>
      <c r="CB309" s="1293"/>
      <c r="CC309" s="1293"/>
      <c r="CD309" s="1293"/>
      <c r="CE309" s="1293"/>
      <c r="CF309" s="1293"/>
      <c r="CG309" s="1293"/>
    </row>
    <row r="310" spans="1:85" ht="15.75">
      <c r="A310" s="1293"/>
      <c r="B310" s="1293"/>
      <c r="C310" s="1293" t="s">
        <v>1643</v>
      </c>
      <c r="D310" s="1699"/>
      <c r="E310" s="1699"/>
      <c r="F310" s="2009"/>
      <c r="G310" s="2009"/>
      <c r="H310" s="2009"/>
      <c r="I310" s="2009"/>
      <c r="J310" s="1699"/>
      <c r="K310" s="1699"/>
      <c r="L310" s="1699"/>
      <c r="M310" s="1699"/>
      <c r="N310" s="1699"/>
      <c r="O310" s="2340" cm="1">
        <f t="array" ref="O310">_xll.VAData("TIGO", "FY-2025", "EBITDA - IFRS", "Consensus", "CD", "","","")</f>
        <v>2570.2996546017216</v>
      </c>
      <c r="P310" s="2340" cm="1">
        <f t="array" ref="P310">_xll.VAData("TIGO", "FY-2026", "EBITDA - IFRS", "Consensus", "CD", "","","")</f>
        <v>2651.2342438327055</v>
      </c>
      <c r="Q310" s="2340" cm="1">
        <f t="array" ref="Q310">_xll.VAData("TIGO", "FY-2027", "EBITDA - IFRS", "Consensus", "CD", "","","")</f>
        <v>2719.7703226418298</v>
      </c>
      <c r="R310" s="1699"/>
      <c r="S310" s="1699"/>
      <c r="T310" s="1699"/>
      <c r="U310" s="1293"/>
      <c r="V310" s="1293"/>
      <c r="W310" s="1293"/>
      <c r="X310" s="1293"/>
      <c r="Y310" s="1293"/>
      <c r="Z310" s="1293"/>
      <c r="AA310" s="1293"/>
      <c r="AB310" s="1293"/>
      <c r="AC310" s="1293"/>
      <c r="AD310" s="1293"/>
      <c r="AE310" s="1293"/>
      <c r="AF310" s="1293"/>
      <c r="AG310" s="1293"/>
      <c r="AH310" s="1293"/>
      <c r="AI310" s="1293"/>
      <c r="AJ310" s="1293"/>
      <c r="AK310" s="1293"/>
      <c r="AL310" s="1293"/>
      <c r="AM310" s="1293"/>
      <c r="AN310" s="1955"/>
      <c r="AO310" s="1293"/>
      <c r="AP310" s="1293"/>
      <c r="AQ310" s="1293"/>
      <c r="AR310" s="1293"/>
      <c r="AS310" s="1293"/>
      <c r="AT310" s="1293"/>
      <c r="AU310" s="1293"/>
      <c r="AV310" s="1293"/>
      <c r="AW310" s="1293"/>
      <c r="AX310" s="1293"/>
      <c r="AY310" s="1293"/>
      <c r="AZ310" s="1293"/>
      <c r="BA310" s="1293"/>
      <c r="BB310" s="1293"/>
      <c r="BC310" s="1293"/>
      <c r="BD310" s="1293"/>
      <c r="BE310" s="1293"/>
      <c r="BF310" s="1293"/>
      <c r="BG310" s="1293"/>
      <c r="BH310" s="1293"/>
      <c r="BI310" s="1293"/>
      <c r="BJ310" s="1293"/>
      <c r="BK310" s="1293"/>
      <c r="BL310" s="1293"/>
      <c r="BM310" s="1293"/>
      <c r="BN310" s="1293"/>
      <c r="BO310" s="1293"/>
      <c r="BP310" s="1293"/>
      <c r="BQ310" s="1293"/>
      <c r="BR310" s="1293"/>
      <c r="BS310" s="1293"/>
      <c r="BT310" s="1293"/>
      <c r="BU310" s="1293"/>
      <c r="BV310" s="1293"/>
      <c r="BW310" s="1293"/>
      <c r="BX310" s="1293"/>
      <c r="BY310" s="1293"/>
      <c r="BZ310" s="1293"/>
      <c r="CA310" s="1293"/>
      <c r="CB310" s="1293"/>
      <c r="CC310" s="1293"/>
      <c r="CD310" s="1293"/>
      <c r="CE310" s="1293"/>
      <c r="CF310" s="1293"/>
      <c r="CG310" s="1293"/>
    </row>
    <row r="311" spans="1:85" ht="15.75">
      <c r="A311" s="1293"/>
      <c r="B311" s="1293"/>
      <c r="C311" s="1293" t="s">
        <v>9024</v>
      </c>
      <c r="D311" s="1699"/>
      <c r="E311" s="1699"/>
      <c r="F311" s="2009"/>
      <c r="G311" s="2009"/>
      <c r="H311" s="2009"/>
      <c r="I311" s="2009"/>
      <c r="J311" s="1699"/>
      <c r="K311" s="1699"/>
      <c r="L311" s="1699"/>
      <c r="M311" s="1699"/>
      <c r="N311" s="1699"/>
      <c r="O311" s="2341">
        <f t="shared" ref="O311:P311" si="258">O305/O310-1</f>
        <v>-7.3382196643634989E-2</v>
      </c>
      <c r="P311" s="2341">
        <f t="shared" si="258"/>
        <v>-9.6194910810694312E-2</v>
      </c>
      <c r="Q311" s="2341">
        <f t="shared" ref="Q311" si="259">Q305/Q310-1</f>
        <v>-9.5141201168203127E-2</v>
      </c>
      <c r="R311" s="1699"/>
      <c r="S311" s="1699"/>
      <c r="T311" s="1699"/>
      <c r="U311" s="1293"/>
      <c r="V311" s="1293"/>
      <c r="W311" s="1293"/>
      <c r="X311" s="1293"/>
      <c r="Y311" s="1293"/>
      <c r="Z311" s="1293"/>
      <c r="AA311" s="1293"/>
      <c r="AB311" s="1293"/>
      <c r="AC311" s="1293"/>
      <c r="AD311" s="1293"/>
      <c r="AE311" s="1293"/>
      <c r="AF311" s="1293"/>
      <c r="AG311" s="1293"/>
      <c r="AH311" s="1293"/>
      <c r="AI311" s="1293"/>
      <c r="AJ311" s="1293"/>
      <c r="AK311" s="1293"/>
      <c r="AL311" s="1293"/>
      <c r="AM311" s="1293"/>
      <c r="AN311" s="1955"/>
      <c r="AO311" s="1293"/>
      <c r="AP311" s="1293"/>
      <c r="AQ311" s="1293"/>
      <c r="AR311" s="1293"/>
      <c r="AS311" s="1293"/>
      <c r="AT311" s="1293"/>
      <c r="AU311" s="1293"/>
      <c r="AV311" s="1293"/>
      <c r="AW311" s="1293"/>
      <c r="AX311" s="1293"/>
      <c r="AY311" s="1293"/>
      <c r="AZ311" s="1293"/>
      <c r="BA311" s="1293"/>
      <c r="BB311" s="1293"/>
      <c r="BC311" s="1293"/>
      <c r="BD311" s="1293"/>
      <c r="BE311" s="1293"/>
      <c r="BF311" s="1293"/>
      <c r="BG311" s="1293"/>
      <c r="BH311" s="1293"/>
      <c r="BI311" s="1293"/>
      <c r="BJ311" s="1293"/>
      <c r="BK311" s="1293"/>
      <c r="BL311" s="1293"/>
      <c r="BM311" s="1293"/>
      <c r="BN311" s="1293"/>
      <c r="BO311" s="1293"/>
      <c r="BP311" s="1293"/>
      <c r="BQ311" s="1293"/>
      <c r="BR311" s="1293"/>
      <c r="BS311" s="1293"/>
      <c r="BT311" s="1293"/>
      <c r="BU311" s="1293"/>
      <c r="BV311" s="1293"/>
      <c r="BW311" s="1293"/>
      <c r="BX311" s="1293"/>
      <c r="BY311" s="1293"/>
      <c r="BZ311" s="1293"/>
      <c r="CA311" s="1293"/>
      <c r="CB311" s="1293"/>
      <c r="CC311" s="1293"/>
      <c r="CD311" s="1293"/>
      <c r="CE311" s="1293"/>
      <c r="CF311" s="1293"/>
      <c r="CG311" s="1293"/>
    </row>
    <row r="312" spans="1:85" ht="15.75">
      <c r="A312" s="1293"/>
      <c r="B312" s="1293"/>
      <c r="C312" s="2009"/>
      <c r="D312" s="1699"/>
      <c r="E312" s="1699"/>
      <c r="F312" s="2009"/>
      <c r="G312" s="2009"/>
      <c r="H312" s="2009"/>
      <c r="I312" s="2009"/>
      <c r="J312" s="1699"/>
      <c r="K312" s="1699"/>
      <c r="L312" s="1699"/>
      <c r="M312" s="1699"/>
      <c r="N312" s="1699"/>
      <c r="O312" s="1699"/>
      <c r="P312" s="1699"/>
      <c r="Q312" s="1699"/>
      <c r="R312" s="1699"/>
      <c r="S312" s="1699"/>
      <c r="T312" s="1699"/>
      <c r="U312" s="1293"/>
      <c r="V312" s="1293"/>
      <c r="W312" s="1293"/>
      <c r="X312" s="1293"/>
      <c r="Y312" s="1293"/>
      <c r="Z312" s="1293"/>
      <c r="AA312" s="1293"/>
      <c r="AB312" s="1293"/>
      <c r="AC312" s="1293"/>
      <c r="AD312" s="1293"/>
      <c r="AE312" s="1293"/>
      <c r="AF312" s="1293"/>
      <c r="AG312" s="1293"/>
      <c r="AH312" s="1293"/>
      <c r="AI312" s="1293"/>
      <c r="AJ312" s="1293"/>
      <c r="AK312" s="1293"/>
      <c r="AL312" s="1293"/>
      <c r="AM312" s="1293"/>
      <c r="AN312" s="1955"/>
      <c r="AO312" s="1293"/>
      <c r="AP312" s="1293"/>
      <c r="AQ312" s="1293"/>
      <c r="AR312" s="1293"/>
      <c r="AS312" s="1293"/>
      <c r="AT312" s="1293"/>
      <c r="AU312" s="1293"/>
      <c r="AV312" s="1293"/>
      <c r="AW312" s="1293"/>
      <c r="AX312" s="1293"/>
      <c r="AY312" s="1293"/>
      <c r="AZ312" s="1293"/>
      <c r="BA312" s="1293"/>
      <c r="BB312" s="1293"/>
      <c r="BC312" s="1293"/>
      <c r="BD312" s="1293"/>
      <c r="BE312" s="1293"/>
      <c r="BF312" s="1293"/>
      <c r="BG312" s="1293"/>
      <c r="BH312" s="1293"/>
      <c r="BI312" s="1293"/>
      <c r="BJ312" s="1293"/>
      <c r="BK312" s="1293"/>
      <c r="BL312" s="1293"/>
      <c r="BM312" s="1293"/>
      <c r="BN312" s="1293"/>
      <c r="BO312" s="1293"/>
      <c r="BP312" s="1293"/>
      <c r="BQ312" s="1293"/>
      <c r="BR312" s="1293"/>
      <c r="BS312" s="1293"/>
      <c r="BT312" s="1293"/>
      <c r="BU312" s="1293"/>
      <c r="BV312" s="1293"/>
      <c r="BW312" s="1293"/>
      <c r="BX312" s="1293"/>
      <c r="BY312" s="1293"/>
      <c r="BZ312" s="1293"/>
      <c r="CA312" s="1293"/>
      <c r="CB312" s="1293"/>
      <c r="CC312" s="1293"/>
      <c r="CD312" s="1293"/>
      <c r="CE312" s="1293"/>
      <c r="CF312" s="1293"/>
      <c r="CG312" s="1293"/>
    </row>
    <row r="313" spans="1:85" ht="15.75">
      <c r="A313" s="1293"/>
      <c r="B313" s="1293"/>
      <c r="C313" s="2009"/>
      <c r="D313" s="1699"/>
      <c r="E313" s="1699"/>
      <c r="F313" s="2009"/>
      <c r="G313" s="2009"/>
      <c r="H313" s="2009"/>
      <c r="I313" s="2009"/>
      <c r="J313" s="1699"/>
      <c r="K313" s="1699"/>
      <c r="L313" s="1699"/>
      <c r="M313" s="1699"/>
      <c r="N313" s="1699"/>
      <c r="O313" s="1699"/>
      <c r="P313" s="1699"/>
      <c r="Q313" s="1699"/>
      <c r="R313" s="1699"/>
      <c r="S313" s="1699"/>
      <c r="T313" s="1699"/>
      <c r="U313" s="1293"/>
      <c r="V313" s="1293"/>
      <c r="W313" s="1293"/>
      <c r="X313" s="1293"/>
      <c r="Y313" s="1293"/>
      <c r="Z313" s="1293"/>
      <c r="AA313" s="1293"/>
      <c r="AB313" s="1293"/>
      <c r="AC313" s="1293"/>
      <c r="AD313" s="1293"/>
      <c r="AE313" s="1293"/>
      <c r="AF313" s="1293"/>
      <c r="AG313" s="1293"/>
      <c r="AH313" s="1293"/>
      <c r="AI313" s="1293"/>
      <c r="AJ313" s="1293"/>
      <c r="AK313" s="1293"/>
      <c r="AL313" s="1293"/>
      <c r="AM313" s="1293"/>
      <c r="AN313" s="1955"/>
      <c r="AO313" s="1293"/>
      <c r="AP313" s="1293"/>
      <c r="AQ313" s="1293"/>
      <c r="AR313" s="1293"/>
      <c r="AS313" s="1293"/>
      <c r="AT313" s="1293"/>
      <c r="AU313" s="1293"/>
      <c r="AV313" s="1293"/>
      <c r="AW313" s="1293"/>
      <c r="AX313" s="1293"/>
      <c r="AY313" s="1293"/>
      <c r="AZ313" s="1293"/>
      <c r="BA313" s="1293"/>
      <c r="BB313" s="1293"/>
      <c r="BC313" s="1293"/>
      <c r="BD313" s="1293"/>
      <c r="BE313" s="1293"/>
      <c r="BF313" s="1293"/>
      <c r="BG313" s="1293"/>
      <c r="BH313" s="1293"/>
      <c r="BI313" s="1293"/>
      <c r="BJ313" s="1293"/>
      <c r="BK313" s="1293"/>
      <c r="BL313" s="1293"/>
      <c r="BM313" s="1293"/>
      <c r="BN313" s="1293"/>
      <c r="BO313" s="1293"/>
      <c r="BP313" s="1293"/>
      <c r="BQ313" s="1293"/>
      <c r="BR313" s="1293"/>
      <c r="BS313" s="1293"/>
      <c r="BT313" s="1293"/>
      <c r="BU313" s="1293"/>
      <c r="BV313" s="1293"/>
      <c r="BW313" s="1293"/>
      <c r="BX313" s="1293"/>
      <c r="BY313" s="1293"/>
      <c r="BZ313" s="1293"/>
      <c r="CA313" s="1293"/>
      <c r="CB313" s="1293"/>
      <c r="CC313" s="1293"/>
      <c r="CD313" s="1293"/>
      <c r="CE313" s="1293"/>
      <c r="CF313" s="1293"/>
      <c r="CG313" s="1293"/>
    </row>
    <row r="314" spans="1:85" ht="15.75">
      <c r="A314" s="1293"/>
      <c r="B314" s="1293"/>
      <c r="C314" s="1334" t="s">
        <v>5802</v>
      </c>
      <c r="D314" s="1723"/>
      <c r="E314" s="1723"/>
      <c r="F314" s="2010"/>
      <c r="G314" s="2010"/>
      <c r="H314" s="2010"/>
      <c r="I314" s="2010"/>
      <c r="J314" s="1723"/>
      <c r="K314" s="1699"/>
      <c r="L314" s="1723"/>
      <c r="M314" s="1723"/>
      <c r="N314" s="1723"/>
      <c r="O314" s="1723"/>
      <c r="P314" s="1723"/>
      <c r="Q314" s="1723"/>
      <c r="R314" s="1723"/>
      <c r="S314" s="1723"/>
      <c r="T314" s="1723"/>
      <c r="U314" s="1293"/>
      <c r="V314" s="1293"/>
      <c r="W314" s="1293"/>
      <c r="X314" s="1293"/>
      <c r="Y314" s="1293"/>
      <c r="Z314" s="1293"/>
      <c r="AA314" s="1293"/>
      <c r="AB314" s="1293"/>
      <c r="AC314" s="1293"/>
      <c r="AD314" s="1293"/>
      <c r="AE314" s="1293"/>
      <c r="AF314" s="1293"/>
      <c r="AG314" s="1293"/>
      <c r="AH314" s="1293"/>
      <c r="AI314" s="1293"/>
      <c r="AJ314" s="1293"/>
      <c r="AK314" s="1293"/>
      <c r="AL314" s="1293"/>
      <c r="AM314" s="1293"/>
      <c r="AN314" s="1955"/>
      <c r="AO314" s="1293"/>
      <c r="AP314" s="1293"/>
      <c r="AQ314" s="1293"/>
      <c r="AR314" s="1293"/>
      <c r="AS314" s="1293"/>
      <c r="AT314" s="1293"/>
      <c r="AU314" s="1293"/>
      <c r="AV314" s="1293"/>
      <c r="AW314" s="1293"/>
      <c r="AX314" s="1293"/>
      <c r="AY314" s="1293"/>
      <c r="AZ314" s="1293"/>
      <c r="BA314" s="1293"/>
      <c r="BB314" s="1293"/>
      <c r="BC314" s="1293"/>
      <c r="BD314" s="1293"/>
      <c r="BE314" s="1293"/>
      <c r="BF314" s="1293"/>
      <c r="BG314" s="1293"/>
      <c r="BH314" s="1293"/>
      <c r="BI314" s="1293"/>
      <c r="BJ314" s="1293"/>
      <c r="BK314" s="1293"/>
      <c r="BL314" s="1293"/>
      <c r="BM314" s="1293"/>
      <c r="BN314" s="1293"/>
      <c r="BO314" s="1293"/>
      <c r="BP314" s="1293"/>
      <c r="BQ314" s="1293"/>
      <c r="BR314" s="1293"/>
      <c r="BS314" s="1293"/>
      <c r="BT314" s="1293"/>
      <c r="BU314" s="1293"/>
      <c r="BV314" s="1293"/>
      <c r="BW314" s="1293"/>
      <c r="BX314" s="1293"/>
      <c r="BY314" s="1293"/>
      <c r="BZ314" s="1293"/>
      <c r="CA314" s="1293"/>
      <c r="CB314" s="1293"/>
      <c r="CC314" s="1293"/>
      <c r="CD314" s="1293"/>
      <c r="CE314" s="1293"/>
      <c r="CF314" s="1293"/>
      <c r="CG314" s="1293"/>
    </row>
    <row r="315" spans="1:85" ht="15.75">
      <c r="A315" s="1293"/>
      <c r="B315" s="1293"/>
      <c r="C315" s="1293" t="s">
        <v>5524</v>
      </c>
      <c r="D315" s="1723"/>
      <c r="E315" s="1723"/>
      <c r="F315" s="2010"/>
      <c r="G315" s="2010"/>
      <c r="H315" s="1698">
        <f t="shared" ref="H315:T315" si="260">H304-H316</f>
        <v>-134.63400000000001</v>
      </c>
      <c r="I315" s="1698">
        <f t="shared" si="260"/>
        <v>-133.22500000000002</v>
      </c>
      <c r="J315" s="1698">
        <f t="shared" si="260"/>
        <v>-123</v>
      </c>
      <c r="K315" s="1698">
        <f t="shared" si="260"/>
        <v>-139</v>
      </c>
      <c r="L315" s="1698">
        <f t="shared" si="260"/>
        <v>-147.66770000000002</v>
      </c>
      <c r="M315" s="1698">
        <f t="shared" si="260"/>
        <v>-225.49399999999997</v>
      </c>
      <c r="N315" s="1698">
        <f t="shared" ref="N315" ca="1" si="261">N304-N316</f>
        <v>-225.49399999999997</v>
      </c>
      <c r="O315" s="1698">
        <f t="shared" si="260"/>
        <v>-150</v>
      </c>
      <c r="P315" s="1698">
        <f t="shared" si="260"/>
        <v>-150</v>
      </c>
      <c r="Q315" s="1698">
        <f t="shared" si="260"/>
        <v>-150</v>
      </c>
      <c r="R315" s="1698">
        <f t="shared" si="260"/>
        <v>-150</v>
      </c>
      <c r="S315" s="1698">
        <f t="shared" si="260"/>
        <v>-150</v>
      </c>
      <c r="T315" s="1698">
        <f t="shared" si="260"/>
        <v>-150</v>
      </c>
      <c r="U315" s="1293"/>
      <c r="V315" s="1293"/>
      <c r="W315" s="1293"/>
      <c r="X315" s="1293"/>
      <c r="Y315" s="1293"/>
      <c r="Z315" s="1293"/>
      <c r="AA315" s="1293"/>
      <c r="AB315" s="1293"/>
      <c r="AC315" s="1293"/>
      <c r="AD315" s="1293"/>
      <c r="AE315" s="1293"/>
      <c r="AF315" s="1293"/>
      <c r="AG315" s="1293"/>
      <c r="AH315" s="1293"/>
      <c r="AI315" s="1293"/>
      <c r="AJ315" s="1293"/>
      <c r="AK315" s="1293"/>
      <c r="AL315" s="1293"/>
      <c r="AM315" s="1293"/>
      <c r="AN315" s="1955"/>
      <c r="AO315" s="1293"/>
      <c r="AP315" s="1293"/>
      <c r="AQ315" s="1293"/>
      <c r="AR315" s="1293"/>
      <c r="AS315" s="1293"/>
      <c r="AT315" s="1293"/>
      <c r="AU315" s="1293"/>
      <c r="AV315" s="1293"/>
      <c r="AW315" s="1293"/>
      <c r="AX315" s="1293"/>
      <c r="AY315" s="1293"/>
      <c r="AZ315" s="1293"/>
      <c r="BA315" s="1293"/>
      <c r="BB315" s="1293"/>
      <c r="BC315" s="1293"/>
      <c r="BD315" s="1293"/>
      <c r="BE315" s="1293"/>
      <c r="BF315" s="1293"/>
      <c r="BG315" s="1293"/>
      <c r="BH315" s="1293"/>
      <c r="BI315" s="1293"/>
      <c r="BJ315" s="1293"/>
      <c r="BK315" s="1293"/>
      <c r="BL315" s="1293"/>
      <c r="BM315" s="1293"/>
      <c r="BN315" s="1293"/>
      <c r="BO315" s="1293"/>
      <c r="BP315" s="1293"/>
      <c r="BQ315" s="1293"/>
      <c r="BR315" s="1293"/>
      <c r="BS315" s="1293"/>
      <c r="BT315" s="1293"/>
      <c r="BU315" s="1293"/>
      <c r="BV315" s="1293"/>
      <c r="BW315" s="1293"/>
      <c r="BX315" s="1293"/>
      <c r="BY315" s="1293"/>
      <c r="BZ315" s="1293"/>
      <c r="CA315" s="1293"/>
      <c r="CB315" s="1293"/>
      <c r="CC315" s="1293"/>
      <c r="CD315" s="1293"/>
      <c r="CE315" s="1293"/>
      <c r="CF315" s="1293"/>
      <c r="CG315" s="1293"/>
    </row>
    <row r="316" spans="1:85" ht="15.75">
      <c r="A316" s="1293"/>
      <c r="B316" s="1293"/>
      <c r="C316" s="1331" t="s">
        <v>1831</v>
      </c>
      <c r="D316" s="2011"/>
      <c r="E316" s="2011"/>
      <c r="F316" s="1331"/>
      <c r="G316" s="1331"/>
      <c r="H316" s="1702">
        <f>'New (new) quarts'!W133+'New (new) quarts'!X133+'New (new) quarts'!Y133+'New (new) quarts'!Z133</f>
        <v>-16</v>
      </c>
      <c r="I316" s="1702">
        <f>'New (new) quarts'!AJ133</f>
        <v>-17.5</v>
      </c>
      <c r="J316" s="1702">
        <f>'New (new) quarts'!AO133</f>
        <v>-16</v>
      </c>
      <c r="K316" s="1702">
        <f>J316</f>
        <v>-16</v>
      </c>
      <c r="L316" s="1702">
        <v>0</v>
      </c>
      <c r="M316" s="1702">
        <v>0</v>
      </c>
      <c r="N316" s="1702">
        <v>0</v>
      </c>
      <c r="O316" s="2012">
        <f t="shared" ref="O316:T316" si="262">N316</f>
        <v>0</v>
      </c>
      <c r="P316" s="2012">
        <f t="shared" si="262"/>
        <v>0</v>
      </c>
      <c r="Q316" s="2012">
        <f t="shared" si="262"/>
        <v>0</v>
      </c>
      <c r="R316" s="2012">
        <f t="shared" si="262"/>
        <v>0</v>
      </c>
      <c r="S316" s="2012">
        <f t="shared" si="262"/>
        <v>0</v>
      </c>
      <c r="T316" s="2012">
        <f t="shared" si="262"/>
        <v>0</v>
      </c>
      <c r="U316" s="1293"/>
      <c r="V316" s="1293"/>
      <c r="W316" s="1293"/>
      <c r="X316" s="1293"/>
      <c r="Y316" s="1293"/>
      <c r="Z316" s="1293"/>
      <c r="AA316" s="1293"/>
      <c r="AB316" s="1293"/>
      <c r="AC316" s="1293"/>
      <c r="AD316" s="1293"/>
      <c r="AE316" s="1293"/>
      <c r="AF316" s="1293"/>
      <c r="AG316" s="1293"/>
      <c r="AH316" s="1293"/>
      <c r="AI316" s="1293"/>
      <c r="AJ316" s="1293"/>
      <c r="AK316" s="1293"/>
      <c r="AL316" s="1293"/>
      <c r="AM316" s="1293"/>
      <c r="AN316" s="1955"/>
      <c r="AO316" s="1293"/>
      <c r="AP316" s="1293"/>
      <c r="AQ316" s="1293"/>
      <c r="AR316" s="1293"/>
      <c r="AS316" s="1293"/>
      <c r="AT316" s="1293"/>
      <c r="AU316" s="1293"/>
      <c r="AV316" s="1293"/>
      <c r="AW316" s="1293"/>
      <c r="AX316" s="1293"/>
      <c r="AY316" s="1293"/>
      <c r="AZ316" s="1293"/>
      <c r="BA316" s="1293"/>
      <c r="BB316" s="1293"/>
      <c r="BC316" s="1293"/>
      <c r="BD316" s="1293"/>
      <c r="BE316" s="1293"/>
      <c r="BF316" s="1293"/>
      <c r="BG316" s="1293"/>
      <c r="BH316" s="1293"/>
      <c r="BI316" s="1293"/>
      <c r="BJ316" s="1293"/>
      <c r="BK316" s="1293"/>
      <c r="BL316" s="1293"/>
      <c r="BM316" s="1293"/>
      <c r="BN316" s="1293"/>
      <c r="BO316" s="1293"/>
      <c r="BP316" s="1293"/>
      <c r="BQ316" s="1293"/>
      <c r="BR316" s="1293"/>
      <c r="BS316" s="1293"/>
      <c r="BT316" s="1293"/>
      <c r="BU316" s="1293"/>
      <c r="BV316" s="1293"/>
      <c r="BW316" s="1293"/>
      <c r="BX316" s="1293"/>
      <c r="BY316" s="1293"/>
      <c r="BZ316" s="1293"/>
      <c r="CA316" s="1293"/>
      <c r="CB316" s="1293"/>
      <c r="CC316" s="1293"/>
      <c r="CD316" s="1293"/>
      <c r="CE316" s="1293"/>
      <c r="CF316" s="1293"/>
      <c r="CG316" s="1293"/>
    </row>
    <row r="317" spans="1:85" ht="15.75">
      <c r="A317" s="1293"/>
      <c r="B317" s="1293"/>
      <c r="C317" s="1293" t="s">
        <v>2324</v>
      </c>
      <c r="D317" s="1723"/>
      <c r="E317" s="1723"/>
      <c r="F317" s="2010"/>
      <c r="G317" s="2010"/>
      <c r="H317" s="1698">
        <f>H315+H316</f>
        <v>-150.63400000000001</v>
      </c>
      <c r="I317" s="1698">
        <f t="shared" ref="I317:O317" si="263">I315+I316</f>
        <v>-150.72500000000002</v>
      </c>
      <c r="J317" s="1698">
        <f t="shared" si="263"/>
        <v>-139</v>
      </c>
      <c r="K317" s="1698">
        <f t="shared" si="263"/>
        <v>-155</v>
      </c>
      <c r="L317" s="1698">
        <f t="shared" si="263"/>
        <v>-147.66770000000002</v>
      </c>
      <c r="M317" s="1698">
        <f t="shared" si="263"/>
        <v>-225.49399999999997</v>
      </c>
      <c r="N317" s="1698">
        <f t="shared" ca="1" si="263"/>
        <v>-225.49399999999997</v>
      </c>
      <c r="O317" s="1698">
        <f t="shared" si="263"/>
        <v>-150</v>
      </c>
      <c r="P317" s="1698">
        <f>P315+P316</f>
        <v>-150</v>
      </c>
      <c r="Q317" s="1698">
        <f>Q315+Q316</f>
        <v>-150</v>
      </c>
      <c r="R317" s="1698">
        <f>R315+R316</f>
        <v>-150</v>
      </c>
      <c r="S317" s="1698">
        <f>S315+S316</f>
        <v>-150</v>
      </c>
      <c r="T317" s="1698">
        <f>T315+T316</f>
        <v>-150</v>
      </c>
      <c r="U317" s="1293"/>
      <c r="V317" s="1293"/>
      <c r="W317" s="1293"/>
      <c r="X317" s="1293"/>
      <c r="Y317" s="1293"/>
      <c r="Z317" s="1293"/>
      <c r="AA317" s="1293"/>
      <c r="AB317" s="1293"/>
      <c r="AC317" s="1293"/>
      <c r="AD317" s="1293"/>
      <c r="AE317" s="1293"/>
      <c r="AF317" s="1293"/>
      <c r="AG317" s="1293"/>
      <c r="AH317" s="1293"/>
      <c r="AI317" s="1293"/>
      <c r="AJ317" s="1293"/>
      <c r="AK317" s="1293"/>
      <c r="AL317" s="1293"/>
      <c r="AM317" s="1293"/>
      <c r="AN317" s="1955"/>
      <c r="AO317" s="1293"/>
      <c r="AP317" s="1293"/>
      <c r="AQ317" s="1293"/>
      <c r="AR317" s="1293"/>
      <c r="AS317" s="1293"/>
      <c r="AT317" s="1293"/>
      <c r="AU317" s="1293"/>
      <c r="AV317" s="1293"/>
      <c r="AW317" s="1293"/>
      <c r="AX317" s="1293"/>
      <c r="AY317" s="1293"/>
      <c r="AZ317" s="1293"/>
      <c r="BA317" s="1293"/>
      <c r="BB317" s="1293"/>
      <c r="BC317" s="1293"/>
      <c r="BD317" s="1293"/>
      <c r="BE317" s="1293"/>
      <c r="BF317" s="1293"/>
      <c r="BG317" s="1293"/>
      <c r="BH317" s="1293"/>
      <c r="BI317" s="1293"/>
      <c r="BJ317" s="1293"/>
      <c r="BK317" s="1293"/>
      <c r="BL317" s="1293"/>
      <c r="BM317" s="1293"/>
      <c r="BN317" s="1293"/>
      <c r="BO317" s="1293"/>
      <c r="BP317" s="1293"/>
      <c r="BQ317" s="1293"/>
      <c r="BR317" s="1293"/>
      <c r="BS317" s="1293"/>
      <c r="BT317" s="1293"/>
      <c r="BU317" s="1293"/>
      <c r="BV317" s="1293"/>
      <c r="BW317" s="1293"/>
      <c r="BX317" s="1293"/>
      <c r="BY317" s="1293"/>
      <c r="BZ317" s="1293"/>
      <c r="CA317" s="1293"/>
      <c r="CB317" s="1293"/>
      <c r="CC317" s="1293"/>
      <c r="CD317" s="1293"/>
      <c r="CE317" s="1293"/>
      <c r="CF317" s="1293"/>
      <c r="CG317" s="1293"/>
    </row>
    <row r="318" spans="1:85" ht="15.75">
      <c r="A318" s="1293"/>
      <c r="B318" s="1293"/>
      <c r="C318" s="1334"/>
      <c r="D318" s="1723"/>
      <c r="E318" s="1723"/>
      <c r="F318" s="1723"/>
      <c r="G318" s="1723"/>
      <c r="H318" s="1723"/>
      <c r="I318" s="1723"/>
      <c r="J318" s="2013"/>
      <c r="K318" s="1723"/>
      <c r="L318" s="1723"/>
      <c r="M318" s="1723"/>
      <c r="N318" s="1723"/>
      <c r="O318" s="1723"/>
      <c r="P318" s="1723"/>
      <c r="Q318" s="1723"/>
      <c r="R318" s="1723"/>
      <c r="S318" s="1723"/>
      <c r="T318" s="1723"/>
      <c r="U318" s="1293"/>
      <c r="V318" s="1293"/>
      <c r="W318" s="1293"/>
      <c r="X318" s="1293"/>
      <c r="Y318" s="1293"/>
      <c r="Z318" s="1293"/>
      <c r="AA318" s="1293"/>
      <c r="AB318" s="1293"/>
      <c r="AC318" s="1293"/>
      <c r="AD318" s="1293"/>
      <c r="AE318" s="1293"/>
      <c r="AF318" s="1293"/>
      <c r="AG318" s="1293"/>
      <c r="AH318" s="1293"/>
      <c r="AI318" s="1293"/>
      <c r="AJ318" s="1293"/>
      <c r="AK318" s="1293"/>
      <c r="AL318" s="1293"/>
      <c r="AM318" s="1293"/>
      <c r="AN318" s="1293"/>
      <c r="AO318" s="1293"/>
      <c r="AP318" s="1293"/>
      <c r="AQ318" s="1293"/>
      <c r="AR318" s="1293"/>
      <c r="AS318" s="1293"/>
      <c r="AT318" s="1293"/>
      <c r="AU318" s="1293"/>
      <c r="AV318" s="1293">
        <f>SUM(AV303:AV309)</f>
        <v>0</v>
      </c>
      <c r="AW318" s="1293">
        <f>SUM(AW303:AW309)</f>
        <v>0</v>
      </c>
      <c r="AX318" s="1293">
        <f>SUM(AX303:AX309)</f>
        <v>0</v>
      </c>
      <c r="AY318" s="1293">
        <f>SUM(AY303:AY309)</f>
        <v>0</v>
      </c>
      <c r="AZ318" s="1293">
        <f>SUM(AZ303:AZ309)</f>
        <v>0</v>
      </c>
      <c r="BA318" s="1293"/>
      <c r="BB318" s="1293"/>
      <c r="BC318" s="1293"/>
      <c r="BD318" s="1293"/>
      <c r="BE318" s="1293"/>
      <c r="BF318" s="1293"/>
      <c r="BG318" s="1293"/>
      <c r="BH318" s="1293"/>
      <c r="BI318" s="1293"/>
      <c r="BJ318" s="1293"/>
      <c r="BK318" s="1293"/>
      <c r="BL318" s="1293"/>
      <c r="BM318" s="1293"/>
      <c r="BN318" s="1293"/>
      <c r="BO318" s="1293"/>
      <c r="BP318" s="1293"/>
      <c r="BQ318" s="1293"/>
      <c r="BR318" s="1293"/>
      <c r="BS318" s="1293"/>
      <c r="BT318" s="1293"/>
      <c r="BU318" s="1293"/>
      <c r="BV318" s="1293"/>
      <c r="BW318" s="1293"/>
      <c r="BX318" s="1293"/>
      <c r="BY318" s="1293"/>
      <c r="BZ318" s="1293"/>
      <c r="CA318" s="1293"/>
      <c r="CB318" s="1293"/>
      <c r="CC318" s="1293"/>
      <c r="CD318" s="1293"/>
      <c r="CE318" s="1293"/>
      <c r="CF318" s="1293"/>
      <c r="CG318" s="1293"/>
    </row>
    <row r="319" spans="1:85" ht="15.75">
      <c r="A319" s="1293"/>
      <c r="B319" s="1293"/>
      <c r="C319" s="1334" t="s">
        <v>5497</v>
      </c>
      <c r="D319" s="1723"/>
      <c r="E319" s="1723"/>
      <c r="F319" s="1723"/>
      <c r="G319" s="1723"/>
      <c r="H319" s="1963">
        <f t="shared" ref="H319:T319" si="264">H284+H291+H315</f>
        <v>2084</v>
      </c>
      <c r="I319" s="1963">
        <f t="shared" si="264"/>
        <v>2441</v>
      </c>
      <c r="J319" s="1963">
        <f t="shared" si="264"/>
        <v>2360</v>
      </c>
      <c r="K319" s="1963">
        <f t="shared" si="264"/>
        <v>2501</v>
      </c>
      <c r="L319" s="1963">
        <f t="shared" si="264"/>
        <v>2488.3768</v>
      </c>
      <c r="M319" s="1963">
        <f t="shared" si="264"/>
        <v>2459.1167</v>
      </c>
      <c r="N319" s="1963">
        <f t="shared" ca="1" si="264"/>
        <v>2746.9731000000002</v>
      </c>
      <c r="O319" s="1963">
        <f t="shared" si="264"/>
        <v>2732.2705559560582</v>
      </c>
      <c r="P319" s="1963">
        <f t="shared" si="264"/>
        <v>2802.9144408402258</v>
      </c>
      <c r="Q319" s="1963">
        <f t="shared" si="264"/>
        <v>2875.2777220263579</v>
      </c>
      <c r="R319" s="1963">
        <f t="shared" si="264"/>
        <v>2954.1837851921118</v>
      </c>
      <c r="S319" s="1963">
        <f t="shared" si="264"/>
        <v>3035.9741907521361</v>
      </c>
      <c r="T319" s="1963">
        <f t="shared" si="264"/>
        <v>3114.7403492229396</v>
      </c>
      <c r="U319" s="1293"/>
      <c r="V319" s="1293"/>
      <c r="W319" s="1293"/>
      <c r="X319" s="1293"/>
      <c r="Y319" s="1293"/>
      <c r="Z319" s="1293"/>
      <c r="AA319" s="1293"/>
      <c r="AB319" s="1293"/>
      <c r="AC319" s="1293"/>
      <c r="AD319" s="1293"/>
      <c r="AE319" s="1293"/>
      <c r="AF319" s="1293"/>
      <c r="AG319" s="1293"/>
      <c r="AH319" s="1293"/>
      <c r="AI319" s="1293"/>
      <c r="AJ319" s="1293"/>
      <c r="AK319" s="1293"/>
      <c r="AL319" s="1293"/>
      <c r="AM319" s="1293"/>
      <c r="AN319" s="1293"/>
      <c r="AO319" s="1293"/>
      <c r="AP319" s="1293"/>
      <c r="AQ319" s="1293"/>
      <c r="AR319" s="1293"/>
      <c r="AS319" s="1293"/>
      <c r="AT319" s="1293"/>
      <c r="AU319" s="1293"/>
      <c r="AV319" s="1293"/>
      <c r="AW319" s="1293"/>
      <c r="AX319" s="1293"/>
      <c r="AY319" s="1293"/>
      <c r="AZ319" s="1293"/>
      <c r="BA319" s="1293"/>
      <c r="BB319" s="1293"/>
      <c r="BC319" s="1293"/>
      <c r="BD319" s="1293"/>
      <c r="BE319" s="1293"/>
      <c r="BF319" s="1293"/>
      <c r="BG319" s="1293"/>
      <c r="BH319" s="1293"/>
      <c r="BI319" s="1293"/>
      <c r="BJ319" s="1293"/>
      <c r="BK319" s="1293"/>
      <c r="BL319" s="1293"/>
      <c r="BM319" s="1293"/>
      <c r="BN319" s="1293"/>
      <c r="BO319" s="1293"/>
      <c r="BP319" s="1293"/>
      <c r="BQ319" s="1293"/>
      <c r="BR319" s="1293"/>
      <c r="BS319" s="1293"/>
      <c r="BT319" s="1293"/>
      <c r="BU319" s="1293"/>
      <c r="BV319" s="1293"/>
      <c r="BW319" s="1293"/>
      <c r="BX319" s="1293"/>
      <c r="BY319" s="1293"/>
      <c r="BZ319" s="1293"/>
      <c r="CA319" s="1293"/>
      <c r="CB319" s="1293"/>
      <c r="CC319" s="1293"/>
      <c r="CD319" s="1293"/>
      <c r="CE319" s="1293"/>
      <c r="CF319" s="1293"/>
      <c r="CG319" s="1293"/>
    </row>
    <row r="320" spans="1:85" ht="15.75">
      <c r="A320" s="1293"/>
      <c r="B320" s="1293"/>
      <c r="C320" s="2010"/>
      <c r="D320" s="1723"/>
      <c r="E320" s="1723"/>
      <c r="F320" s="1723"/>
      <c r="G320" s="1723"/>
      <c r="H320" s="1963"/>
      <c r="I320" s="2013"/>
      <c r="J320" s="1989"/>
      <c r="K320" s="1963"/>
      <c r="L320" s="1963"/>
      <c r="M320" s="1963"/>
      <c r="N320" s="1963"/>
      <c r="O320" s="1963"/>
      <c r="P320" s="1963"/>
      <c r="Q320" s="1963"/>
      <c r="R320" s="1963"/>
      <c r="S320" s="1963"/>
      <c r="T320" s="1963"/>
      <c r="U320" s="1293"/>
      <c r="V320" s="1293"/>
      <c r="W320" s="1293"/>
      <c r="X320" s="1293"/>
      <c r="Y320" s="1293"/>
      <c r="Z320" s="1293"/>
      <c r="AA320" s="1293"/>
      <c r="AB320" s="1293"/>
      <c r="AC320" s="1293"/>
      <c r="AD320" s="1293"/>
      <c r="AE320" s="1293"/>
      <c r="AF320" s="1293"/>
      <c r="AG320" s="1293"/>
      <c r="AH320" s="1293"/>
      <c r="AI320" s="1293"/>
      <c r="AJ320" s="1293"/>
      <c r="AK320" s="1293"/>
      <c r="AL320" s="1293"/>
      <c r="AM320" s="1293"/>
      <c r="AN320" s="1293"/>
      <c r="AO320" s="1293"/>
      <c r="AP320" s="1293"/>
      <c r="AQ320" s="1293"/>
      <c r="AR320" s="1293"/>
      <c r="AS320" s="1293"/>
      <c r="AT320" s="1293"/>
      <c r="AU320" s="1293"/>
      <c r="AV320" s="1293"/>
      <c r="AW320" s="1293"/>
      <c r="AX320" s="1293"/>
      <c r="AY320" s="1293"/>
      <c r="AZ320" s="1293"/>
      <c r="BA320" s="1293"/>
      <c r="BB320" s="1293"/>
      <c r="BC320" s="1293"/>
      <c r="BD320" s="1293"/>
      <c r="BE320" s="1293"/>
      <c r="BF320" s="1293"/>
      <c r="BG320" s="1293"/>
      <c r="BH320" s="1293"/>
      <c r="BI320" s="1293"/>
      <c r="BJ320" s="1293"/>
      <c r="BK320" s="1293"/>
      <c r="BL320" s="1293"/>
      <c r="BM320" s="1293"/>
      <c r="BN320" s="1293"/>
      <c r="BO320" s="1293"/>
      <c r="BP320" s="1293"/>
      <c r="BQ320" s="1293"/>
      <c r="BR320" s="1293"/>
      <c r="BS320" s="1293"/>
      <c r="BT320" s="1293"/>
      <c r="BU320" s="1293"/>
      <c r="BV320" s="1293"/>
      <c r="BW320" s="1293"/>
      <c r="BX320" s="1293"/>
      <c r="BY320" s="1293"/>
      <c r="BZ320" s="1293"/>
      <c r="CA320" s="1293"/>
      <c r="CB320" s="1293"/>
      <c r="CC320" s="1293"/>
      <c r="CD320" s="1293"/>
      <c r="CE320" s="1293"/>
      <c r="CF320" s="1293"/>
      <c r="CG320" s="1293"/>
    </row>
    <row r="321" spans="1:85" ht="15.75">
      <c r="A321" s="1293"/>
      <c r="B321" s="1293"/>
      <c r="C321" s="1334" t="s">
        <v>1434</v>
      </c>
      <c r="D321" s="1723"/>
      <c r="E321" s="1723"/>
      <c r="F321" s="1723"/>
      <c r="G321" s="1723"/>
      <c r="H321" s="1335">
        <f t="shared" ref="H321:T321" si="265">H319/H41</f>
        <v>0.37991067359402059</v>
      </c>
      <c r="I321" s="1335">
        <f t="shared" si="265"/>
        <v>0.40963248867259605</v>
      </c>
      <c r="J321" s="1335">
        <f t="shared" si="265"/>
        <v>0.40231844527787247</v>
      </c>
      <c r="K321" s="1335">
        <f t="shared" si="265"/>
        <v>0.402413515687852</v>
      </c>
      <c r="L321" s="1335">
        <f t="shared" si="265"/>
        <v>0.44241506401423758</v>
      </c>
      <c r="M321" s="1335">
        <f t="shared" si="265"/>
        <v>0.43439616675499026</v>
      </c>
      <c r="N321" s="1335">
        <f t="shared" ca="1" si="265"/>
        <v>0.47326850944216964</v>
      </c>
      <c r="O321" s="1335">
        <f t="shared" si="265"/>
        <v>0.49462218801648594</v>
      </c>
      <c r="P321" s="1335">
        <f t="shared" si="265"/>
        <v>0.50024771538893298</v>
      </c>
      <c r="Q321" s="1335">
        <f t="shared" si="265"/>
        <v>0.50467725395343865</v>
      </c>
      <c r="R321" s="1335">
        <f t="shared" si="265"/>
        <v>0.50946286221106019</v>
      </c>
      <c r="S321" s="1335">
        <f t="shared" si="265"/>
        <v>0.51614242618366968</v>
      </c>
      <c r="T321" s="1335">
        <f t="shared" si="265"/>
        <v>0.52330937944741984</v>
      </c>
      <c r="U321" s="1293"/>
      <c r="V321" s="1293"/>
      <c r="W321" s="1293"/>
      <c r="X321" s="1293"/>
      <c r="Y321" s="1293"/>
      <c r="Z321" s="1293"/>
      <c r="AA321" s="1293"/>
      <c r="AB321" s="1293"/>
      <c r="AC321" s="1293"/>
      <c r="AD321" s="1293"/>
      <c r="AE321" s="1293"/>
      <c r="AF321" s="1293"/>
      <c r="AG321" s="1293"/>
      <c r="AH321" s="1293"/>
      <c r="AI321" s="1293"/>
      <c r="AJ321" s="1293"/>
      <c r="AK321" s="1293"/>
      <c r="AL321" s="1293"/>
      <c r="AM321" s="1293"/>
      <c r="AN321" s="1293"/>
      <c r="AO321" s="1293"/>
      <c r="AP321" s="1293"/>
      <c r="AQ321" s="1293"/>
      <c r="AR321" s="1293"/>
      <c r="AS321" s="1293"/>
      <c r="AT321" s="1293"/>
      <c r="AU321" s="1293"/>
      <c r="AV321" s="1293"/>
      <c r="AW321" s="1293"/>
      <c r="AX321" s="1293"/>
      <c r="AY321" s="1293"/>
      <c r="AZ321" s="1293"/>
      <c r="BA321" s="1293"/>
      <c r="BB321" s="1293"/>
      <c r="BC321" s="1293"/>
      <c r="BD321" s="1293"/>
      <c r="BE321" s="1293"/>
      <c r="BF321" s="1293"/>
      <c r="BG321" s="1293"/>
      <c r="BH321" s="1293"/>
      <c r="BI321" s="1293"/>
      <c r="BJ321" s="1293"/>
      <c r="BK321" s="1293"/>
      <c r="BL321" s="1293"/>
      <c r="BM321" s="1293"/>
      <c r="BN321" s="1293"/>
      <c r="BO321" s="1293"/>
      <c r="BP321" s="1293"/>
      <c r="BQ321" s="1293"/>
      <c r="BR321" s="1293"/>
      <c r="BS321" s="1293"/>
      <c r="BT321" s="1293"/>
      <c r="BU321" s="1293"/>
      <c r="BV321" s="1293"/>
      <c r="BW321" s="1293"/>
      <c r="BX321" s="1293"/>
      <c r="BY321" s="1293"/>
      <c r="BZ321" s="1293"/>
      <c r="CA321" s="1293"/>
      <c r="CB321" s="1293"/>
      <c r="CC321" s="1293"/>
      <c r="CD321" s="1293"/>
      <c r="CE321" s="1293"/>
      <c r="CF321" s="1293"/>
      <c r="CG321" s="1293"/>
    </row>
    <row r="322" spans="1:85" ht="15.75">
      <c r="A322" s="1293"/>
      <c r="B322" s="1293"/>
      <c r="C322" s="1334" t="s">
        <v>6707</v>
      </c>
      <c r="D322" s="1723"/>
      <c r="E322" s="1723"/>
      <c r="F322" s="1723"/>
      <c r="G322" s="1723"/>
      <c r="H322" s="1335"/>
      <c r="I322" s="1963">
        <f>I41-I319</f>
        <v>3518</v>
      </c>
      <c r="J322" s="1963">
        <f>J41-J319</f>
        <v>3506</v>
      </c>
      <c r="K322" s="1335"/>
      <c r="L322" s="1335"/>
      <c r="M322" s="1335"/>
      <c r="N322" s="1335"/>
      <c r="O322" s="1335"/>
      <c r="P322" s="1335"/>
      <c r="Q322" s="1335"/>
      <c r="R322" s="1335"/>
      <c r="S322" s="1335"/>
      <c r="T322" s="1335"/>
      <c r="U322" s="1293"/>
      <c r="V322" s="1293"/>
      <c r="W322" s="1293"/>
      <c r="X322" s="1293"/>
      <c r="Y322" s="1293"/>
      <c r="Z322" s="1293"/>
      <c r="AA322" s="1293"/>
      <c r="AB322" s="1293"/>
      <c r="AC322" s="1293"/>
      <c r="AD322" s="1293"/>
      <c r="AE322" s="1293"/>
      <c r="AF322" s="1293"/>
      <c r="AG322" s="1293"/>
      <c r="AH322" s="1293"/>
      <c r="AI322" s="1293"/>
      <c r="AJ322" s="1293"/>
      <c r="AK322" s="1293"/>
      <c r="AL322" s="1293"/>
      <c r="AM322" s="1293"/>
      <c r="AN322" s="1293"/>
      <c r="AO322" s="1293"/>
      <c r="AP322" s="1293"/>
      <c r="AQ322" s="1293"/>
      <c r="AR322" s="1293"/>
      <c r="AS322" s="1293"/>
      <c r="AT322" s="1293"/>
      <c r="AU322" s="1293"/>
      <c r="AV322" s="1293"/>
      <c r="AW322" s="1293"/>
      <c r="AX322" s="1293"/>
      <c r="AY322" s="1293"/>
      <c r="AZ322" s="1293"/>
      <c r="BA322" s="1293"/>
      <c r="BB322" s="1293"/>
      <c r="BC322" s="1293"/>
      <c r="BD322" s="1293"/>
      <c r="BE322" s="1293"/>
      <c r="BF322" s="1293"/>
      <c r="BG322" s="1293"/>
      <c r="BH322" s="1293"/>
      <c r="BI322" s="1293"/>
      <c r="BJ322" s="1293"/>
      <c r="BK322" s="1293"/>
      <c r="BL322" s="1293"/>
      <c r="BM322" s="1293"/>
      <c r="BN322" s="1293"/>
      <c r="BO322" s="1293"/>
      <c r="BP322" s="1293"/>
      <c r="BQ322" s="1293"/>
      <c r="BR322" s="1293"/>
      <c r="BS322" s="1293"/>
      <c r="BT322" s="1293"/>
      <c r="BU322" s="1293"/>
      <c r="BV322" s="1293"/>
      <c r="BW322" s="1293"/>
      <c r="BX322" s="1293"/>
      <c r="BY322" s="1293"/>
      <c r="BZ322" s="1293"/>
      <c r="CA322" s="1293"/>
      <c r="CB322" s="1293"/>
      <c r="CC322" s="1293"/>
      <c r="CD322" s="1293"/>
      <c r="CE322" s="1293"/>
      <c r="CF322" s="1293"/>
      <c r="CG322" s="1293"/>
    </row>
    <row r="323" spans="1:85" ht="15.75">
      <c r="A323" s="1293"/>
      <c r="B323" s="1293"/>
      <c r="C323" s="1334"/>
      <c r="D323" s="1723"/>
      <c r="E323" s="1723"/>
      <c r="F323" s="1723"/>
      <c r="G323" s="1723"/>
      <c r="H323" s="1335"/>
      <c r="I323" s="1335"/>
      <c r="J323" s="1335"/>
      <c r="K323" s="1335"/>
      <c r="L323" s="1335"/>
      <c r="M323" s="1335"/>
      <c r="N323" s="1335"/>
      <c r="O323" s="1335"/>
      <c r="P323" s="1335"/>
      <c r="Q323" s="1335"/>
      <c r="R323" s="1335"/>
      <c r="S323" s="1335"/>
      <c r="T323" s="1335"/>
      <c r="U323" s="1293"/>
      <c r="V323" s="1293"/>
      <c r="W323" s="1293"/>
      <c r="X323" s="1293"/>
      <c r="Y323" s="1293"/>
      <c r="Z323" s="1293"/>
      <c r="AA323" s="1293"/>
      <c r="AB323" s="1293"/>
      <c r="AC323" s="1293"/>
      <c r="AD323" s="1293"/>
      <c r="AE323" s="1293"/>
      <c r="AF323" s="1293"/>
      <c r="AG323" s="1293"/>
      <c r="AH323" s="1293"/>
      <c r="AI323" s="1293"/>
      <c r="AJ323" s="1293"/>
      <c r="AK323" s="1293"/>
      <c r="AL323" s="1293"/>
      <c r="AM323" s="1293"/>
      <c r="AN323" s="1293"/>
      <c r="AO323" s="1293"/>
      <c r="AP323" s="1293"/>
      <c r="AQ323" s="1293"/>
      <c r="AR323" s="1293"/>
      <c r="AS323" s="1293"/>
      <c r="AT323" s="1293"/>
      <c r="AU323" s="1293"/>
      <c r="AV323" s="1293"/>
      <c r="AW323" s="1293"/>
      <c r="AX323" s="1293"/>
      <c r="AY323" s="1293"/>
      <c r="AZ323" s="1293"/>
      <c r="BA323" s="1293"/>
      <c r="BB323" s="1293"/>
      <c r="BC323" s="1293"/>
      <c r="BD323" s="1293"/>
      <c r="BE323" s="1293"/>
      <c r="BF323" s="1293"/>
      <c r="BG323" s="1293"/>
      <c r="BH323" s="1293"/>
      <c r="BI323" s="1293"/>
      <c r="BJ323" s="1293"/>
      <c r="BK323" s="1293"/>
      <c r="BL323" s="1293"/>
      <c r="BM323" s="1293"/>
      <c r="BN323" s="1293"/>
      <c r="BO323" s="1293"/>
      <c r="BP323" s="1293"/>
      <c r="BQ323" s="1293"/>
      <c r="BR323" s="1293"/>
      <c r="BS323" s="1293"/>
      <c r="BT323" s="1293"/>
      <c r="BU323" s="1293"/>
      <c r="BV323" s="1293"/>
      <c r="BW323" s="1293"/>
      <c r="BX323" s="1293"/>
      <c r="BY323" s="1293"/>
      <c r="BZ323" s="1293"/>
      <c r="CA323" s="1293"/>
      <c r="CB323" s="1293"/>
      <c r="CC323" s="1293"/>
      <c r="CD323" s="1293"/>
      <c r="CE323" s="1293"/>
      <c r="CF323" s="1293"/>
      <c r="CG323" s="1293"/>
    </row>
    <row r="324" spans="1:85" ht="15.75">
      <c r="A324" s="1293"/>
      <c r="B324" s="1293"/>
      <c r="C324" s="1334"/>
      <c r="D324" s="1723"/>
      <c r="E324" s="1723"/>
      <c r="F324" s="1723"/>
      <c r="G324" s="1723"/>
      <c r="H324" s="1723"/>
      <c r="I324" s="1723"/>
      <c r="J324" s="1723"/>
      <c r="K324" s="1723"/>
      <c r="L324" s="1723"/>
      <c r="M324" s="1723"/>
      <c r="N324" s="1723"/>
      <c r="O324" s="1723"/>
      <c r="P324" s="1723"/>
      <c r="Q324" s="1723"/>
      <c r="R324" s="1723"/>
      <c r="S324" s="1723"/>
      <c r="T324" s="1723"/>
      <c r="U324" s="1293"/>
      <c r="V324" s="1293"/>
      <c r="W324" s="1293"/>
      <c r="X324" s="1293"/>
      <c r="Y324" s="1293"/>
      <c r="Z324" s="1293"/>
      <c r="AA324" s="1293"/>
      <c r="AB324" s="1293"/>
      <c r="AC324" s="1293"/>
      <c r="AD324" s="1293"/>
      <c r="AE324" s="1293"/>
      <c r="AF324" s="1293"/>
      <c r="AG324" s="1293"/>
      <c r="AH324" s="1293"/>
      <c r="AI324" s="1293"/>
      <c r="AJ324" s="1293"/>
      <c r="AK324" s="1293"/>
      <c r="AL324" s="1293"/>
      <c r="AM324" s="1293"/>
      <c r="AN324" s="1293"/>
      <c r="AO324" s="1293"/>
      <c r="AP324" s="1293"/>
      <c r="AQ324" s="1293"/>
      <c r="AR324" s="1293"/>
      <c r="AS324" s="1293"/>
      <c r="AT324" s="1293"/>
      <c r="AU324" s="1293"/>
      <c r="AV324" s="1293"/>
      <c r="AW324" s="1293"/>
      <c r="AX324" s="1293"/>
      <c r="AY324" s="1293"/>
      <c r="AZ324" s="1293"/>
      <c r="BA324" s="1293"/>
      <c r="BB324" s="1293"/>
      <c r="BC324" s="1293"/>
      <c r="BD324" s="1293"/>
      <c r="BE324" s="1293"/>
      <c r="BF324" s="1293"/>
      <c r="BG324" s="1293"/>
      <c r="BH324" s="1293"/>
      <c r="BI324" s="1293"/>
      <c r="BJ324" s="1293"/>
      <c r="BK324" s="1293"/>
      <c r="BL324" s="1293"/>
      <c r="BM324" s="1293"/>
      <c r="BN324" s="1293"/>
      <c r="BO324" s="1293"/>
      <c r="BP324" s="1293"/>
      <c r="BQ324" s="1293"/>
      <c r="BR324" s="1293"/>
      <c r="BS324" s="1293"/>
      <c r="BT324" s="1293"/>
      <c r="BU324" s="1293"/>
      <c r="BV324" s="1293"/>
      <c r="BW324" s="1293"/>
      <c r="BX324" s="1293"/>
      <c r="BY324" s="1293"/>
      <c r="BZ324" s="1293"/>
      <c r="CA324" s="1293"/>
      <c r="CB324" s="1293"/>
      <c r="CC324" s="1293"/>
      <c r="CD324" s="1293"/>
      <c r="CE324" s="1293"/>
      <c r="CF324" s="1293"/>
      <c r="CG324" s="1293"/>
    </row>
    <row r="325" spans="1:85" ht="15.75">
      <c r="A325" s="1293"/>
      <c r="B325" s="1293"/>
      <c r="C325" s="1334" t="s">
        <v>4870</v>
      </c>
      <c r="D325" s="1723"/>
      <c r="E325" s="1723"/>
      <c r="F325" s="1723"/>
      <c r="G325" s="1723"/>
      <c r="H325" s="1723"/>
      <c r="I325" s="2013"/>
      <c r="J325" s="1723"/>
      <c r="K325" s="1723"/>
      <c r="L325" s="1723"/>
      <c r="M325" s="1723"/>
      <c r="N325" s="1723"/>
      <c r="O325" s="1723"/>
      <c r="P325" s="1723"/>
      <c r="Q325" s="1723"/>
      <c r="R325" s="1723"/>
      <c r="S325" s="1723"/>
      <c r="T325" s="1723"/>
      <c r="U325" s="1293"/>
      <c r="V325" s="1293"/>
      <c r="W325" s="1293"/>
      <c r="X325" s="1293"/>
      <c r="Y325" s="1293"/>
      <c r="Z325" s="1293"/>
      <c r="AA325" s="1293"/>
      <c r="AB325" s="1293"/>
      <c r="AC325" s="1293"/>
      <c r="AD325" s="1293"/>
      <c r="AE325" s="1293"/>
      <c r="AF325" s="1293"/>
      <c r="AG325" s="1293"/>
      <c r="AH325" s="1293"/>
      <c r="AI325" s="1293"/>
      <c r="AJ325" s="1293"/>
      <c r="AK325" s="1293"/>
      <c r="AL325" s="1293"/>
      <c r="AM325" s="1293"/>
      <c r="AN325" s="1293"/>
      <c r="AO325" s="1293"/>
      <c r="AP325" s="1293"/>
      <c r="AQ325" s="1293"/>
      <c r="AR325" s="1293"/>
      <c r="AS325" s="1293"/>
      <c r="AT325" s="1293"/>
      <c r="AU325" s="1293"/>
      <c r="AV325" s="1293"/>
      <c r="AW325" s="1293"/>
      <c r="AX325" s="1293"/>
      <c r="AY325" s="1293"/>
      <c r="AZ325" s="1293"/>
      <c r="BA325" s="1293"/>
      <c r="BB325" s="1293"/>
      <c r="BC325" s="1293"/>
      <c r="BD325" s="1293"/>
      <c r="BE325" s="1293"/>
      <c r="BF325" s="1293"/>
      <c r="BG325" s="1293"/>
      <c r="BH325" s="1293"/>
      <c r="BI325" s="1293"/>
      <c r="BJ325" s="1293"/>
      <c r="BK325" s="1293"/>
      <c r="BL325" s="1293"/>
      <c r="BM325" s="1293"/>
      <c r="BN325" s="1293"/>
      <c r="BO325" s="1293"/>
      <c r="BP325" s="1293"/>
      <c r="BQ325" s="1293"/>
      <c r="BR325" s="1293"/>
      <c r="BS325" s="1293"/>
      <c r="BT325" s="1293"/>
      <c r="BU325" s="1293"/>
      <c r="BV325" s="1293"/>
      <c r="BW325" s="1293"/>
      <c r="BX325" s="1293"/>
      <c r="BY325" s="1293"/>
      <c r="BZ325" s="1293"/>
      <c r="CA325" s="1293"/>
      <c r="CB325" s="1293"/>
      <c r="CC325" s="1293"/>
      <c r="CD325" s="1293"/>
      <c r="CE325" s="1293"/>
      <c r="CF325" s="1293"/>
      <c r="CG325" s="1293"/>
    </row>
    <row r="326" spans="1:85" ht="15.75">
      <c r="A326" s="1293"/>
      <c r="B326" s="1293"/>
      <c r="C326" s="1293" t="str">
        <f>C273</f>
        <v>El Salvador</v>
      </c>
      <c r="D326" s="1723"/>
      <c r="E326" s="1698">
        <f t="shared" ref="E326:T326" si="266">E273*(E123/D123)</f>
        <v>168.6666859500001</v>
      </c>
      <c r="F326" s="1698">
        <f t="shared" si="266"/>
        <v>148.15417247000019</v>
      </c>
      <c r="G326" s="1698">
        <f t="shared" si="266"/>
        <v>155</v>
      </c>
      <c r="H326" s="1698">
        <f t="shared" si="266"/>
        <v>144</v>
      </c>
      <c r="I326" s="1698">
        <f t="shared" si="266"/>
        <v>140</v>
      </c>
      <c r="J326" s="1698">
        <f t="shared" si="266"/>
        <v>134</v>
      </c>
      <c r="K326" s="1698">
        <f t="shared" si="266"/>
        <v>162</v>
      </c>
      <c r="L326" s="1698">
        <f t="shared" si="266"/>
        <v>175.8176</v>
      </c>
      <c r="M326" s="1698">
        <f t="shared" si="266"/>
        <v>183.8955</v>
      </c>
      <c r="N326" s="1698">
        <f t="shared" si="266"/>
        <v>216.06400000000002</v>
      </c>
      <c r="O326" s="1698">
        <f t="shared" si="266"/>
        <v>219.52797000000001</v>
      </c>
      <c r="P326" s="1698">
        <f t="shared" si="266"/>
        <v>226.49230560000004</v>
      </c>
      <c r="Q326" s="1698">
        <f t="shared" si="266"/>
        <v>233.64740343600002</v>
      </c>
      <c r="R326" s="1698">
        <f t="shared" si="266"/>
        <v>240.99810826320004</v>
      </c>
      <c r="S326" s="1698">
        <f t="shared" si="266"/>
        <v>251.28069421576325</v>
      </c>
      <c r="T326" s="1698">
        <f t="shared" si="266"/>
        <v>261.87818436312369</v>
      </c>
      <c r="U326" s="1293"/>
      <c r="V326" s="1293"/>
      <c r="W326" s="1293"/>
      <c r="X326" s="1293"/>
      <c r="Y326" s="1293"/>
      <c r="Z326" s="1293"/>
      <c r="AA326" s="1293"/>
      <c r="AB326" s="1293"/>
      <c r="AC326" s="1293"/>
      <c r="AD326" s="1293"/>
      <c r="AE326" s="1293"/>
      <c r="AF326" s="1293"/>
      <c r="AG326" s="1293"/>
      <c r="AH326" s="1293"/>
      <c r="AI326" s="1293"/>
      <c r="AJ326" s="1293"/>
      <c r="AK326" s="1293"/>
      <c r="AL326" s="1293"/>
      <c r="AM326" s="1293"/>
      <c r="AN326" s="1293"/>
      <c r="AO326" s="1293"/>
      <c r="AP326" s="1293"/>
      <c r="AQ326" s="1293"/>
      <c r="AR326" s="1293"/>
      <c r="AS326" s="1293"/>
      <c r="AT326" s="1293"/>
      <c r="AU326" s="1293"/>
      <c r="AV326" s="1293"/>
      <c r="AW326" s="1293"/>
      <c r="AX326" s="1293"/>
      <c r="AY326" s="1293"/>
      <c r="AZ326" s="1293"/>
      <c r="BA326" s="1293"/>
      <c r="BB326" s="1293"/>
      <c r="BC326" s="1293"/>
      <c r="BD326" s="1293"/>
      <c r="BE326" s="1293"/>
      <c r="BF326" s="1293"/>
      <c r="BG326" s="1293"/>
      <c r="BH326" s="1293"/>
      <c r="BI326" s="1293"/>
      <c r="BJ326" s="1293"/>
      <c r="BK326" s="1293"/>
      <c r="BL326" s="1293"/>
      <c r="BM326" s="1293"/>
      <c r="BN326" s="1293"/>
      <c r="BO326" s="1293"/>
      <c r="BP326" s="1293"/>
      <c r="BQ326" s="1293"/>
      <c r="BR326" s="1293"/>
      <c r="BS326" s="1293"/>
      <c r="BT326" s="1293"/>
      <c r="BU326" s="1293"/>
      <c r="BV326" s="1293"/>
      <c r="BW326" s="1293"/>
      <c r="BX326" s="1293"/>
      <c r="BY326" s="1293"/>
      <c r="BZ326" s="1293"/>
      <c r="CA326" s="1293"/>
      <c r="CB326" s="1293"/>
      <c r="CC326" s="1293"/>
      <c r="CD326" s="1293"/>
      <c r="CE326" s="1293"/>
      <c r="CF326" s="1293"/>
      <c r="CG326" s="1293"/>
    </row>
    <row r="327" spans="1:85" ht="15.75">
      <c r="A327" s="1293"/>
      <c r="B327" s="1293"/>
      <c r="C327" s="1293" t="str">
        <f>C274</f>
        <v>Guatemala</v>
      </c>
      <c r="D327" s="1723"/>
      <c r="E327" s="1698">
        <f t="shared" ref="E327:T327" si="267">E274*(E124/D124)</f>
        <v>644.64671295854396</v>
      </c>
      <c r="F327" s="1698">
        <f t="shared" si="267"/>
        <v>628.1035295265234</v>
      </c>
      <c r="G327" s="1698">
        <f t="shared" si="267"/>
        <v>643.1537450722733</v>
      </c>
      <c r="H327" s="1698">
        <f t="shared" si="267"/>
        <v>703.97826086956513</v>
      </c>
      <c r="I327" s="1698">
        <f t="shared" si="267"/>
        <v>766.92819148936178</v>
      </c>
      <c r="J327" s="1698">
        <f t="shared" si="267"/>
        <v>779</v>
      </c>
      <c r="K327" s="1698">
        <f t="shared" si="267"/>
        <v>861.15460262640772</v>
      </c>
      <c r="L327" s="1698">
        <f t="shared" si="267"/>
        <v>857.48202164662678</v>
      </c>
      <c r="M327" s="1698">
        <f t="shared" si="267"/>
        <v>819.67452903225808</v>
      </c>
      <c r="N327" s="1698">
        <f t="shared" si="267"/>
        <v>858.0163704081632</v>
      </c>
      <c r="O327" s="1698">
        <f t="shared" si="267"/>
        <v>885.39084663494862</v>
      </c>
      <c r="P327" s="1698">
        <f t="shared" si="267"/>
        <v>918.25032127286727</v>
      </c>
      <c r="Q327" s="1698">
        <f t="shared" si="267"/>
        <v>935.59248553269958</v>
      </c>
      <c r="R327" s="1698">
        <f t="shared" si="267"/>
        <v>953.24467078259318</v>
      </c>
      <c r="S327" s="1698">
        <f t="shared" si="267"/>
        <v>967.07854841364383</v>
      </c>
      <c r="T327" s="1698">
        <f t="shared" si="267"/>
        <v>981.09291801711788</v>
      </c>
      <c r="U327" s="1293"/>
      <c r="V327" s="1293"/>
      <c r="W327" s="1293"/>
      <c r="X327" s="1293"/>
      <c r="Y327" s="1293"/>
      <c r="Z327" s="1293"/>
      <c r="AA327" s="1293"/>
      <c r="AB327" s="1293"/>
      <c r="AC327" s="1293"/>
      <c r="AD327" s="1293"/>
      <c r="AE327" s="1293"/>
      <c r="AF327" s="1293"/>
      <c r="AG327" s="1293"/>
      <c r="AH327" s="1293"/>
      <c r="AI327" s="1293"/>
      <c r="AJ327" s="1293"/>
      <c r="AK327" s="1293"/>
      <c r="AL327" s="1293"/>
      <c r="AM327" s="1293"/>
      <c r="AN327" s="1293"/>
      <c r="AO327" s="1293"/>
      <c r="AP327" s="1293"/>
      <c r="AQ327" s="1293"/>
      <c r="AR327" s="1293"/>
      <c r="AS327" s="1293"/>
      <c r="AT327" s="1293"/>
      <c r="AU327" s="1293"/>
      <c r="AV327" s="1293"/>
      <c r="AW327" s="1293"/>
      <c r="AX327" s="1293"/>
      <c r="AY327" s="1293"/>
      <c r="AZ327" s="1293"/>
      <c r="BA327" s="1293"/>
      <c r="BB327" s="1293"/>
      <c r="BC327" s="1293"/>
      <c r="BD327" s="1293"/>
      <c r="BE327" s="1293"/>
      <c r="BF327" s="1293"/>
      <c r="BG327" s="1293"/>
      <c r="BH327" s="1293"/>
      <c r="BI327" s="1293"/>
      <c r="BJ327" s="1293"/>
      <c r="BK327" s="1293"/>
      <c r="BL327" s="1293"/>
      <c r="BM327" s="1293"/>
      <c r="BN327" s="1293"/>
      <c r="BO327" s="1293"/>
      <c r="BP327" s="1293"/>
      <c r="BQ327" s="1293"/>
      <c r="BR327" s="1293"/>
      <c r="BS327" s="1293"/>
      <c r="BT327" s="1293"/>
      <c r="BU327" s="1293"/>
      <c r="BV327" s="1293"/>
      <c r="BW327" s="1293"/>
      <c r="BX327" s="1293"/>
      <c r="BY327" s="1293"/>
      <c r="BZ327" s="1293"/>
      <c r="CA327" s="1293"/>
      <c r="CB327" s="1293"/>
      <c r="CC327" s="1293"/>
      <c r="CD327" s="1293"/>
      <c r="CE327" s="1293"/>
      <c r="CF327" s="1293"/>
      <c r="CG327" s="1293"/>
    </row>
    <row r="328" spans="1:85" ht="15.75">
      <c r="A328" s="1293"/>
      <c r="B328" s="1293"/>
      <c r="C328" s="1293" t="str">
        <f>C275</f>
        <v>Honduras (JV)</v>
      </c>
      <c r="D328" s="1723"/>
      <c r="E328" s="1698">
        <f t="shared" ref="E328:T328" si="268">E275*(E125/D125)</f>
        <v>286.29849824605191</v>
      </c>
      <c r="F328" s="1698">
        <f t="shared" si="268"/>
        <v>266.55431246304266</v>
      </c>
      <c r="G328" s="1698">
        <f t="shared" si="268"/>
        <v>272.51527050610815</v>
      </c>
      <c r="H328" s="1698">
        <f t="shared" si="268"/>
        <v>258.24565125159103</v>
      </c>
      <c r="I328" s="1698">
        <f t="shared" si="268"/>
        <v>288.21114369501464</v>
      </c>
      <c r="J328" s="1698">
        <f t="shared" si="268"/>
        <v>248.60846560846562</v>
      </c>
      <c r="K328" s="1698">
        <f t="shared" si="268"/>
        <v>252.16292332438002</v>
      </c>
      <c r="L328" s="1698">
        <f t="shared" si="268"/>
        <v>266.89451999696593</v>
      </c>
      <c r="M328" s="1698">
        <f t="shared" si="268"/>
        <v>276.62813348250432</v>
      </c>
      <c r="N328" s="1698">
        <f t="shared" si="268"/>
        <v>303.73955879967559</v>
      </c>
      <c r="O328" s="1698">
        <f t="shared" si="268"/>
        <v>311.57175333304485</v>
      </c>
      <c r="P328" s="1698">
        <f t="shared" si="268"/>
        <v>312.30759301757848</v>
      </c>
      <c r="Q328" s="1698">
        <f t="shared" si="268"/>
        <v>319.9373109301261</v>
      </c>
      <c r="R328" s="1698">
        <f t="shared" si="268"/>
        <v>328.45432567873758</v>
      </c>
      <c r="S328" s="1698">
        <f t="shared" si="268"/>
        <v>336.57923540829307</v>
      </c>
      <c r="T328" s="1698">
        <f t="shared" si="268"/>
        <v>344.87172795911783</v>
      </c>
      <c r="U328" s="1293"/>
      <c r="V328" s="1293"/>
      <c r="W328" s="1293"/>
      <c r="X328" s="1293"/>
      <c r="Y328" s="1293"/>
      <c r="Z328" s="1293"/>
      <c r="AA328" s="1293"/>
      <c r="AB328" s="1293"/>
      <c r="AC328" s="1293"/>
      <c r="AD328" s="1293"/>
      <c r="AE328" s="1293"/>
      <c r="AF328" s="1293"/>
      <c r="AG328" s="1293"/>
      <c r="AH328" s="1293"/>
      <c r="AI328" s="1293"/>
      <c r="AJ328" s="1293"/>
      <c r="AK328" s="1293"/>
      <c r="AL328" s="1293"/>
      <c r="AM328" s="1293"/>
      <c r="AN328" s="1293"/>
      <c r="AO328" s="1293"/>
      <c r="AP328" s="1293"/>
      <c r="AQ328" s="1293"/>
      <c r="AR328" s="1293"/>
      <c r="AS328" s="1293"/>
      <c r="AT328" s="1293"/>
      <c r="AU328" s="1293"/>
      <c r="AV328" s="1293"/>
      <c r="AW328" s="1293"/>
      <c r="AX328" s="1293"/>
      <c r="AY328" s="1293"/>
      <c r="AZ328" s="1293"/>
      <c r="BA328" s="1293"/>
      <c r="BB328" s="1293"/>
      <c r="BC328" s="1293"/>
      <c r="BD328" s="1293"/>
      <c r="BE328" s="1293"/>
      <c r="BF328" s="1293"/>
      <c r="BG328" s="1293"/>
      <c r="BH328" s="1293"/>
      <c r="BI328" s="1293"/>
      <c r="BJ328" s="1293"/>
      <c r="BK328" s="1293"/>
      <c r="BL328" s="1293"/>
      <c r="BM328" s="1293"/>
      <c r="BN328" s="1293"/>
      <c r="BO328" s="1293"/>
      <c r="BP328" s="1293"/>
      <c r="BQ328" s="1293"/>
      <c r="BR328" s="1293"/>
      <c r="BS328" s="1293"/>
      <c r="BT328" s="1293"/>
      <c r="BU328" s="1293"/>
      <c r="BV328" s="1293"/>
      <c r="BW328" s="1293"/>
      <c r="BX328" s="1293"/>
      <c r="BY328" s="1293"/>
      <c r="BZ328" s="1293"/>
      <c r="CA328" s="1293"/>
      <c r="CB328" s="1293"/>
      <c r="CC328" s="1293"/>
      <c r="CD328" s="1293"/>
      <c r="CE328" s="1293"/>
      <c r="CF328" s="1293"/>
      <c r="CG328" s="1293"/>
    </row>
    <row r="329" spans="1:85" ht="15.75">
      <c r="A329" s="1293"/>
      <c r="B329" s="1293"/>
      <c r="C329" s="1293" t="str">
        <f t="shared" ref="C329:C331" si="269">C276</f>
        <v>Panama</v>
      </c>
      <c r="D329" s="1723"/>
      <c r="E329" s="1698"/>
      <c r="F329" s="1698"/>
      <c r="G329" s="1698"/>
      <c r="H329" s="1698"/>
      <c r="I329" s="1698"/>
      <c r="J329" s="1698"/>
      <c r="K329" s="1698"/>
      <c r="L329" s="1698">
        <f t="shared" ref="L329:T329" si="270">L276*(L126/K126)</f>
        <v>298.423</v>
      </c>
      <c r="M329" s="1698">
        <f t="shared" si="270"/>
        <v>304.18920000000003</v>
      </c>
      <c r="N329" s="1698">
        <f t="shared" si="270"/>
        <v>353.94280000000003</v>
      </c>
      <c r="O329" s="1698">
        <f t="shared" si="270"/>
        <v>369.92680100000001</v>
      </c>
      <c r="P329" s="1698">
        <f t="shared" si="270"/>
        <v>387.10914606000006</v>
      </c>
      <c r="Q329" s="1698">
        <f t="shared" si="270"/>
        <v>404.18508257700006</v>
      </c>
      <c r="R329" s="1698">
        <f t="shared" si="270"/>
        <v>423.27043096147207</v>
      </c>
      <c r="S329" s="1698">
        <f t="shared" si="270"/>
        <v>442.21919988526088</v>
      </c>
      <c r="T329" s="1698">
        <f t="shared" si="270"/>
        <v>459.88672280742605</v>
      </c>
      <c r="U329" s="1293"/>
      <c r="V329" s="1293"/>
      <c r="W329" s="1293"/>
      <c r="X329" s="1293"/>
      <c r="Y329" s="1293"/>
      <c r="Z329" s="1293"/>
      <c r="AA329" s="1293"/>
      <c r="AB329" s="1293"/>
      <c r="AC329" s="1293"/>
      <c r="AD329" s="1293"/>
      <c r="AE329" s="1293"/>
      <c r="AF329" s="1293"/>
      <c r="AG329" s="1293"/>
      <c r="AH329" s="1293"/>
      <c r="AI329" s="1293"/>
      <c r="AJ329" s="1293"/>
      <c r="AK329" s="1293"/>
      <c r="AL329" s="1293"/>
      <c r="AM329" s="1293"/>
      <c r="AN329" s="1293"/>
      <c r="AO329" s="1293"/>
      <c r="AP329" s="1293"/>
      <c r="AQ329" s="1293"/>
      <c r="AR329" s="1293"/>
      <c r="AS329" s="1293"/>
      <c r="AT329" s="1293"/>
      <c r="AU329" s="1293"/>
      <c r="AV329" s="1293"/>
      <c r="AW329" s="1293"/>
      <c r="AX329" s="1293"/>
      <c r="AY329" s="1293"/>
      <c r="AZ329" s="1293"/>
      <c r="BA329" s="1293"/>
      <c r="BB329" s="1293"/>
      <c r="BC329" s="1293"/>
      <c r="BD329" s="1293"/>
      <c r="BE329" s="1293"/>
      <c r="BF329" s="1293"/>
      <c r="BG329" s="1293"/>
      <c r="BH329" s="1293"/>
      <c r="BI329" s="1293"/>
      <c r="BJ329" s="1293"/>
      <c r="BK329" s="1293"/>
      <c r="BL329" s="1293"/>
      <c r="BM329" s="1293"/>
      <c r="BN329" s="1293"/>
      <c r="BO329" s="1293"/>
      <c r="BP329" s="1293"/>
      <c r="BQ329" s="1293"/>
      <c r="BR329" s="1293"/>
      <c r="BS329" s="1293"/>
      <c r="BT329" s="1293"/>
      <c r="BU329" s="1293"/>
      <c r="BV329" s="1293"/>
      <c r="BW329" s="1293"/>
      <c r="BX329" s="1293"/>
      <c r="BY329" s="1293"/>
      <c r="BZ329" s="1293"/>
      <c r="CA329" s="1293"/>
      <c r="CB329" s="1293"/>
      <c r="CC329" s="1293"/>
      <c r="CD329" s="1293"/>
      <c r="CE329" s="1293"/>
      <c r="CF329" s="1293"/>
      <c r="CG329" s="1293"/>
    </row>
    <row r="330" spans="1:85" ht="15.75">
      <c r="A330" s="1293"/>
      <c r="B330" s="1293"/>
      <c r="C330" s="1293" t="str">
        <f t="shared" si="269"/>
        <v>Costa Rica</v>
      </c>
      <c r="D330" s="1723"/>
      <c r="E330" s="1698"/>
      <c r="F330" s="1698"/>
      <c r="G330" s="1698"/>
      <c r="H330" s="1698"/>
      <c r="I330" s="1698"/>
      <c r="J330" s="1698"/>
      <c r="K330" s="1698"/>
      <c r="L330" s="1698">
        <f t="shared" ref="L330:T330" si="271">L277*(L127/K127)</f>
        <v>47.971797150479823</v>
      </c>
      <c r="M330" s="1698">
        <f t="shared" si="271"/>
        <v>46.669673972538362</v>
      </c>
      <c r="N330" s="1698">
        <f t="shared" si="271"/>
        <v>47.186685661764706</v>
      </c>
      <c r="O330" s="1698">
        <f t="shared" si="271"/>
        <v>48.014086893203881</v>
      </c>
      <c r="P330" s="1698">
        <f t="shared" si="271"/>
        <v>48.219215962499995</v>
      </c>
      <c r="Q330" s="1698">
        <f t="shared" si="271"/>
        <v>46.801716528308816</v>
      </c>
      <c r="R330" s="1698">
        <f t="shared" si="271"/>
        <v>45.88451101206747</v>
      </c>
      <c r="S330" s="1698">
        <f t="shared" si="271"/>
        <v>45.43490046489034</v>
      </c>
      <c r="T330" s="1698">
        <f t="shared" si="271"/>
        <v>44.989697864254161</v>
      </c>
      <c r="U330" s="1293"/>
      <c r="V330" s="1293"/>
      <c r="W330" s="1293"/>
      <c r="X330" s="1293"/>
      <c r="Y330" s="1293"/>
      <c r="Z330" s="1293"/>
      <c r="AA330" s="1293"/>
      <c r="AB330" s="1293"/>
      <c r="AC330" s="1293"/>
      <c r="AD330" s="1293"/>
      <c r="AE330" s="1293"/>
      <c r="AF330" s="1293"/>
      <c r="AG330" s="1293"/>
      <c r="AH330" s="1293"/>
      <c r="AI330" s="1293"/>
      <c r="AJ330" s="1293"/>
      <c r="AK330" s="1293"/>
      <c r="AL330" s="1293"/>
      <c r="AM330" s="1293"/>
      <c r="AN330" s="1293"/>
      <c r="AO330" s="1293"/>
      <c r="AP330" s="1293"/>
      <c r="AQ330" s="1293"/>
      <c r="AR330" s="1293"/>
      <c r="AS330" s="1293"/>
      <c r="AT330" s="1293"/>
      <c r="AU330" s="1293"/>
      <c r="AV330" s="1293"/>
      <c r="AW330" s="1293"/>
      <c r="AX330" s="1293"/>
      <c r="AY330" s="1293"/>
      <c r="AZ330" s="1293"/>
      <c r="BA330" s="1293"/>
      <c r="BB330" s="1293"/>
      <c r="BC330" s="1293"/>
      <c r="BD330" s="1293"/>
      <c r="BE330" s="1293"/>
      <c r="BF330" s="1293"/>
      <c r="BG330" s="1293"/>
      <c r="BH330" s="1293"/>
      <c r="BI330" s="1293"/>
      <c r="BJ330" s="1293"/>
      <c r="BK330" s="1293"/>
      <c r="BL330" s="1293"/>
      <c r="BM330" s="1293"/>
      <c r="BN330" s="1293"/>
      <c r="BO330" s="1293"/>
      <c r="BP330" s="1293"/>
      <c r="BQ330" s="1293"/>
      <c r="BR330" s="1293"/>
      <c r="BS330" s="1293"/>
      <c r="BT330" s="1293"/>
      <c r="BU330" s="1293"/>
      <c r="BV330" s="1293"/>
      <c r="BW330" s="1293"/>
      <c r="BX330" s="1293"/>
      <c r="BY330" s="1293"/>
      <c r="BZ330" s="1293"/>
      <c r="CA330" s="1293"/>
      <c r="CB330" s="1293"/>
      <c r="CC330" s="1293"/>
      <c r="CD330" s="1293"/>
      <c r="CE330" s="1293"/>
      <c r="CF330" s="1293"/>
      <c r="CG330" s="1293"/>
    </row>
    <row r="331" spans="1:85" ht="15.75">
      <c r="A331" s="1293"/>
      <c r="B331" s="1293"/>
      <c r="C331" s="1293" t="str">
        <f t="shared" si="269"/>
        <v>Nicaragua</v>
      </c>
      <c r="D331" s="1723"/>
      <c r="E331" s="1698"/>
      <c r="F331" s="1698"/>
      <c r="G331" s="1698"/>
      <c r="H331" s="1698"/>
      <c r="I331" s="1698"/>
      <c r="J331" s="1698"/>
      <c r="K331" s="1698"/>
      <c r="L331" s="1698">
        <f t="shared" ref="L331:T331" si="272">L278*(L128/K128)</f>
        <v>112.40715706067571</v>
      </c>
      <c r="M331" s="1698">
        <f t="shared" si="272"/>
        <v>116.27732757178703</v>
      </c>
      <c r="N331" s="1698">
        <f t="shared" si="272"/>
        <v>126.32172228320528</v>
      </c>
      <c r="O331" s="1698">
        <f t="shared" si="272"/>
        <v>129.16508634684467</v>
      </c>
      <c r="P331" s="1698">
        <f t="shared" si="272"/>
        <v>133.34496069440499</v>
      </c>
      <c r="Q331" s="1698">
        <f t="shared" si="272"/>
        <v>136.59992837639678</v>
      </c>
      <c r="R331" s="1698">
        <f t="shared" si="272"/>
        <v>139.27870710597892</v>
      </c>
      <c r="S331" s="1698">
        <f t="shared" si="272"/>
        <v>142.81292289599043</v>
      </c>
      <c r="T331" s="1698">
        <f t="shared" si="272"/>
        <v>144.97212731845812</v>
      </c>
      <c r="U331" s="1293"/>
      <c r="V331" s="1293"/>
      <c r="W331" s="1293"/>
      <c r="X331" s="1293"/>
      <c r="Y331" s="1293"/>
      <c r="Z331" s="1293"/>
      <c r="AA331" s="1293"/>
      <c r="AB331" s="1293"/>
      <c r="AC331" s="1293"/>
      <c r="AD331" s="1293"/>
      <c r="AE331" s="1293"/>
      <c r="AF331" s="1293"/>
      <c r="AG331" s="1293"/>
      <c r="AH331" s="1293"/>
      <c r="AI331" s="1293"/>
      <c r="AJ331" s="1293"/>
      <c r="AK331" s="1293"/>
      <c r="AL331" s="1293"/>
      <c r="AM331" s="1293"/>
      <c r="AN331" s="1293"/>
      <c r="AO331" s="1293"/>
      <c r="AP331" s="1293"/>
      <c r="AQ331" s="1293"/>
      <c r="AR331" s="1293"/>
      <c r="AS331" s="1293"/>
      <c r="AT331" s="1293"/>
      <c r="AU331" s="1293"/>
      <c r="AV331" s="1293"/>
      <c r="AW331" s="1293"/>
      <c r="AX331" s="1293"/>
      <c r="AY331" s="1293"/>
      <c r="AZ331" s="1293"/>
      <c r="BA331" s="1293"/>
      <c r="BB331" s="1293"/>
      <c r="BC331" s="1293"/>
      <c r="BD331" s="1293"/>
      <c r="BE331" s="1293"/>
      <c r="BF331" s="1293"/>
      <c r="BG331" s="1293"/>
      <c r="BH331" s="1293"/>
      <c r="BI331" s="1293"/>
      <c r="BJ331" s="1293"/>
      <c r="BK331" s="1293"/>
      <c r="BL331" s="1293"/>
      <c r="BM331" s="1293"/>
      <c r="BN331" s="1293"/>
      <c r="BO331" s="1293"/>
      <c r="BP331" s="1293"/>
      <c r="BQ331" s="1293"/>
      <c r="BR331" s="1293"/>
      <c r="BS331" s="1293"/>
      <c r="BT331" s="1293"/>
      <c r="BU331" s="1293"/>
      <c r="BV331" s="1293"/>
      <c r="BW331" s="1293"/>
      <c r="BX331" s="1293"/>
      <c r="BY331" s="1293"/>
      <c r="BZ331" s="1293"/>
      <c r="CA331" s="1293"/>
      <c r="CB331" s="1293"/>
      <c r="CC331" s="1293"/>
      <c r="CD331" s="1293"/>
      <c r="CE331" s="1293"/>
      <c r="CF331" s="1293"/>
      <c r="CG331" s="1293"/>
    </row>
    <row r="332" spans="1:85" ht="15.75" hidden="1" outlineLevel="1">
      <c r="A332" s="1293"/>
      <c r="B332" s="1293"/>
      <c r="C332" s="1982" t="s">
        <v>2032</v>
      </c>
      <c r="D332" s="1723"/>
      <c r="E332" s="1698"/>
      <c r="F332" s="1698"/>
      <c r="G332" s="1698"/>
      <c r="H332" s="1698"/>
      <c r="I332" s="1698">
        <f t="shared" ref="I332:T332" si="273">I279*(I126/H126)</f>
        <v>185.1</v>
      </c>
      <c r="J332" s="1698">
        <f t="shared" si="273"/>
        <v>152</v>
      </c>
      <c r="K332" s="1698">
        <f t="shared" si="273"/>
        <v>179</v>
      </c>
      <c r="L332" s="1698">
        <f t="shared" si="273"/>
        <v>298.423</v>
      </c>
      <c r="M332" s="1698">
        <f t="shared" si="273"/>
        <v>304.18920000000003</v>
      </c>
      <c r="N332" s="1698">
        <f t="shared" si="273"/>
        <v>89.616600000000005</v>
      </c>
      <c r="O332" s="1698">
        <f t="shared" si="273"/>
        <v>214.34719780309041</v>
      </c>
      <c r="P332" s="1698">
        <f t="shared" si="273"/>
        <v>222.87978466978367</v>
      </c>
      <c r="Q332" s="1698">
        <f t="shared" si="273"/>
        <v>231.62065222499402</v>
      </c>
      <c r="R332" s="1698">
        <f t="shared" si="273"/>
        <v>240.57413706518898</v>
      </c>
      <c r="S332" s="1698">
        <f t="shared" si="273"/>
        <v>244.19477782802005</v>
      </c>
      <c r="T332" s="1698">
        <f t="shared" si="273"/>
        <v>247.86990923433174</v>
      </c>
      <c r="U332" s="1293"/>
      <c r="V332" s="1293"/>
      <c r="W332" s="1293"/>
      <c r="X332" s="1293"/>
      <c r="Y332" s="1293"/>
      <c r="Z332" s="1293"/>
      <c r="AA332" s="1293"/>
      <c r="AB332" s="1293"/>
      <c r="AC332" s="1293"/>
      <c r="AD332" s="1293"/>
      <c r="AE332" s="1293"/>
      <c r="AF332" s="1293"/>
      <c r="AG332" s="1293"/>
      <c r="AH332" s="1293"/>
      <c r="AI332" s="1293"/>
      <c r="AJ332" s="1293"/>
      <c r="AK332" s="1293"/>
      <c r="AL332" s="1293"/>
      <c r="AM332" s="1293"/>
      <c r="AN332" s="1293"/>
      <c r="AO332" s="1293"/>
      <c r="AP332" s="1293"/>
      <c r="AQ332" s="1293"/>
      <c r="AR332" s="1293"/>
      <c r="AS332" s="1293"/>
      <c r="AT332" s="1293"/>
      <c r="AU332" s="1293"/>
      <c r="AV332" s="1293"/>
      <c r="AW332" s="1293"/>
      <c r="AX332" s="1293"/>
      <c r="AY332" s="1293"/>
      <c r="AZ332" s="1293"/>
      <c r="BA332" s="1293"/>
      <c r="BB332" s="1293"/>
      <c r="BC332" s="1293"/>
      <c r="BD332" s="1293"/>
      <c r="BE332" s="1293"/>
      <c r="BF332" s="1293"/>
      <c r="BG332" s="1293"/>
      <c r="BH332" s="1293"/>
      <c r="BI332" s="1293"/>
      <c r="BJ332" s="1293"/>
      <c r="BK332" s="1293"/>
      <c r="BL332" s="1293"/>
      <c r="BM332" s="1293"/>
      <c r="BN332" s="1293"/>
      <c r="BO332" s="1293"/>
      <c r="BP332" s="1293"/>
      <c r="BQ332" s="1293"/>
      <c r="BR332" s="1293"/>
      <c r="BS332" s="1293"/>
      <c r="BT332" s="1293"/>
      <c r="BU332" s="1293"/>
      <c r="BV332" s="1293"/>
      <c r="BW332" s="1293"/>
      <c r="BX332" s="1293"/>
      <c r="BY332" s="1293"/>
      <c r="BZ332" s="1293"/>
      <c r="CA332" s="1293"/>
      <c r="CB332" s="1293"/>
      <c r="CC332" s="1293"/>
      <c r="CD332" s="1293"/>
      <c r="CE332" s="1293"/>
      <c r="CF332" s="1293"/>
      <c r="CG332" s="1293"/>
    </row>
    <row r="333" spans="1:85" ht="15.75" hidden="1" outlineLevel="1">
      <c r="A333" s="1293"/>
      <c r="B333" s="1293"/>
      <c r="C333" s="1982" t="str">
        <f>C280</f>
        <v>Costa Rica/old Nicaragua</v>
      </c>
      <c r="D333" s="1723"/>
      <c r="E333" s="1698">
        <f>E280*(E127/D127)</f>
        <v>62.502829945726852</v>
      </c>
      <c r="F333" s="1698">
        <f>F280*(F127/E127)</f>
        <v>63.885583614012504</v>
      </c>
      <c r="G333" s="1698">
        <f>G280*(G127/F127)</f>
        <v>62.828440350336365</v>
      </c>
      <c r="H333" s="1698">
        <f>H280*(H127/G127)</f>
        <v>61.061</v>
      </c>
      <c r="I333" s="1698">
        <f t="shared" ref="I333:T333" si="274">I280*(I127/H127)</f>
        <v>58.825699300699291</v>
      </c>
      <c r="J333" s="1698">
        <f t="shared" si="274"/>
        <v>61.578231292517003</v>
      </c>
      <c r="K333" s="1698">
        <f t="shared" si="274"/>
        <v>86.216021871950304</v>
      </c>
      <c r="L333" s="1698">
        <f t="shared" si="274"/>
        <v>88.867159100035963</v>
      </c>
      <c r="M333" s="1698">
        <f t="shared" si="274"/>
        <v>80.792297937677645</v>
      </c>
      <c r="N333" s="1698">
        <f t="shared" si="274"/>
        <v>26.507352941176471</v>
      </c>
      <c r="O333" s="1698">
        <f t="shared" si="274"/>
        <v>6.8024859174982835</v>
      </c>
      <c r="P333" s="1698">
        <f t="shared" si="274"/>
        <v>10.776575820084512</v>
      </c>
      <c r="Q333" s="1698">
        <f t="shared" si="274"/>
        <v>14.440446022547654</v>
      </c>
      <c r="R333" s="1698">
        <f t="shared" si="274"/>
        <v>17.968859441087911</v>
      </c>
      <c r="S333" s="1698">
        <f t="shared" si="274"/>
        <v>21.46545651239191</v>
      </c>
      <c r="T333" s="1698">
        <f t="shared" si="274"/>
        <v>24.931227441597599</v>
      </c>
      <c r="U333" s="1293"/>
      <c r="V333" s="1293"/>
      <c r="W333" s="1293"/>
      <c r="X333" s="1293"/>
      <c r="Y333" s="1293"/>
      <c r="Z333" s="1293"/>
      <c r="AA333" s="1293"/>
      <c r="AB333" s="1293"/>
      <c r="AC333" s="1293"/>
      <c r="AD333" s="1293"/>
      <c r="AE333" s="1293"/>
      <c r="AF333" s="1293"/>
      <c r="AG333" s="1293"/>
      <c r="AH333" s="1293"/>
      <c r="AI333" s="1293"/>
      <c r="AJ333" s="1293"/>
      <c r="AK333" s="1293"/>
      <c r="AL333" s="1293"/>
      <c r="AM333" s="1293"/>
      <c r="AN333" s="1293"/>
      <c r="AO333" s="1293"/>
      <c r="AP333" s="1293"/>
      <c r="AQ333" s="1293"/>
      <c r="AR333" s="1293"/>
      <c r="AS333" s="1293"/>
      <c r="AT333" s="1293"/>
      <c r="AU333" s="1293"/>
      <c r="AV333" s="1293"/>
      <c r="AW333" s="1293"/>
      <c r="AX333" s="1293"/>
      <c r="AY333" s="1293"/>
      <c r="AZ333" s="1293"/>
      <c r="BA333" s="1293"/>
      <c r="BB333" s="1293"/>
      <c r="BC333" s="1293"/>
      <c r="BD333" s="1293"/>
      <c r="BE333" s="1293"/>
      <c r="BF333" s="1293"/>
      <c r="BG333" s="1293"/>
      <c r="BH333" s="1293"/>
      <c r="BI333" s="1293"/>
      <c r="BJ333" s="1293"/>
      <c r="BK333" s="1293"/>
      <c r="BL333" s="1293"/>
      <c r="BM333" s="1293"/>
      <c r="BN333" s="1293"/>
      <c r="BO333" s="1293"/>
      <c r="BP333" s="1293"/>
      <c r="BQ333" s="1293"/>
      <c r="BR333" s="1293"/>
      <c r="BS333" s="1293"/>
      <c r="BT333" s="1293"/>
      <c r="BU333" s="1293"/>
      <c r="BV333" s="1293"/>
      <c r="BW333" s="1293"/>
      <c r="BX333" s="1293"/>
      <c r="BY333" s="1293"/>
      <c r="BZ333" s="1293"/>
      <c r="CA333" s="1293"/>
      <c r="CB333" s="1293"/>
      <c r="CC333" s="1293"/>
      <c r="CD333" s="1293"/>
      <c r="CE333" s="1293"/>
      <c r="CF333" s="1293"/>
      <c r="CG333" s="1293"/>
    </row>
    <row r="334" spans="1:85" ht="15.75" hidden="1" outlineLevel="1">
      <c r="A334" s="1293"/>
      <c r="B334" s="1293"/>
      <c r="C334" s="1982" t="str">
        <f>C281</f>
        <v>Panama wireless</v>
      </c>
      <c r="D334" s="1723"/>
      <c r="E334" s="1698"/>
      <c r="F334" s="1698"/>
      <c r="G334" s="1698"/>
      <c r="H334" s="1698"/>
      <c r="I334" s="1698"/>
      <c r="J334" s="1698">
        <f t="shared" ref="J334:T334" si="275">J281*(J126/I126)</f>
        <v>104</v>
      </c>
      <c r="K334" s="1698">
        <f t="shared" si="275"/>
        <v>102</v>
      </c>
      <c r="L334" s="1698">
        <f t="shared" si="275"/>
        <v>107.5</v>
      </c>
      <c r="M334" s="1698">
        <f t="shared" si="275"/>
        <v>112</v>
      </c>
      <c r="N334" s="1698">
        <f t="shared" si="275"/>
        <v>30</v>
      </c>
      <c r="O334" s="1698">
        <f t="shared" si="275"/>
        <v>111.81703888795886</v>
      </c>
      <c r="P334" s="1698">
        <f t="shared" si="275"/>
        <v>111.81703888795886</v>
      </c>
      <c r="Q334" s="1698">
        <f t="shared" si="275"/>
        <v>111.81703888795886</v>
      </c>
      <c r="R334" s="1698">
        <f t="shared" si="275"/>
        <v>111.81703888795886</v>
      </c>
      <c r="S334" s="1698">
        <f t="shared" si="275"/>
        <v>111.81703888795886</v>
      </c>
      <c r="T334" s="1698">
        <f t="shared" si="275"/>
        <v>111.81703888795886</v>
      </c>
      <c r="U334" s="1293"/>
      <c r="V334" s="1293"/>
      <c r="W334" s="1293"/>
      <c r="X334" s="1293"/>
      <c r="Y334" s="1293"/>
      <c r="Z334" s="1293"/>
      <c r="AA334" s="1293"/>
      <c r="AB334" s="1293"/>
      <c r="AC334" s="1293"/>
      <c r="AD334" s="1293"/>
      <c r="AE334" s="1293"/>
      <c r="AF334" s="1293"/>
      <c r="AG334" s="1293"/>
      <c r="AH334" s="1293"/>
      <c r="AI334" s="1293"/>
      <c r="AJ334" s="1293"/>
      <c r="AK334" s="1293"/>
      <c r="AL334" s="1293"/>
      <c r="AM334" s="1293"/>
      <c r="AN334" s="1293"/>
      <c r="AO334" s="1293"/>
      <c r="AP334" s="1293"/>
      <c r="AQ334" s="1293"/>
      <c r="AR334" s="1293"/>
      <c r="AS334" s="1293"/>
      <c r="AT334" s="1293"/>
      <c r="AU334" s="1293"/>
      <c r="AV334" s="1293"/>
      <c r="AW334" s="1293"/>
      <c r="AX334" s="1293"/>
      <c r="AY334" s="1293"/>
      <c r="AZ334" s="1293"/>
      <c r="BA334" s="1293"/>
      <c r="BB334" s="1293"/>
      <c r="BC334" s="1293"/>
      <c r="BD334" s="1293"/>
      <c r="BE334" s="1293"/>
      <c r="BF334" s="1293"/>
      <c r="BG334" s="1293"/>
      <c r="BH334" s="1293"/>
      <c r="BI334" s="1293"/>
      <c r="BJ334" s="1293"/>
      <c r="BK334" s="1293"/>
      <c r="BL334" s="1293"/>
      <c r="BM334" s="1293"/>
      <c r="BN334" s="1293"/>
      <c r="BO334" s="1293"/>
      <c r="BP334" s="1293"/>
      <c r="BQ334" s="1293"/>
      <c r="BR334" s="1293"/>
      <c r="BS334" s="1293"/>
      <c r="BT334" s="1293"/>
      <c r="BU334" s="1293"/>
      <c r="BV334" s="1293"/>
      <c r="BW334" s="1293"/>
      <c r="BX334" s="1293"/>
      <c r="BY334" s="1293"/>
      <c r="BZ334" s="1293"/>
      <c r="CA334" s="1293"/>
      <c r="CB334" s="1293"/>
      <c r="CC334" s="1293"/>
      <c r="CD334" s="1293"/>
      <c r="CE334" s="1293"/>
      <c r="CF334" s="1293"/>
      <c r="CG334" s="1293"/>
    </row>
    <row r="335" spans="1:85" ht="15.75" hidden="1" outlineLevel="1">
      <c r="A335" s="1293"/>
      <c r="B335" s="1293"/>
      <c r="C335" s="1982" t="str">
        <f>C282</f>
        <v>Costa Rica wireless</v>
      </c>
      <c r="D335" s="1723"/>
      <c r="E335" s="1698"/>
      <c r="F335" s="1698"/>
      <c r="G335" s="1698"/>
      <c r="H335" s="1698"/>
      <c r="I335" s="1698"/>
      <c r="J335" s="1698">
        <f t="shared" ref="J335:T335" si="276">J282*(J127/I127)</f>
        <v>0</v>
      </c>
      <c r="K335" s="1698">
        <f t="shared" si="276"/>
        <v>0</v>
      </c>
      <c r="L335" s="1698">
        <f t="shared" si="276"/>
        <v>0</v>
      </c>
      <c r="M335" s="1698">
        <f t="shared" si="276"/>
        <v>0</v>
      </c>
      <c r="N335" s="1698">
        <f t="shared" si="276"/>
        <v>0</v>
      </c>
      <c r="O335" s="1698">
        <f t="shared" si="276"/>
        <v>0</v>
      </c>
      <c r="P335" s="1698">
        <f t="shared" si="276"/>
        <v>0</v>
      </c>
      <c r="Q335" s="1698">
        <f t="shared" si="276"/>
        <v>0</v>
      </c>
      <c r="R335" s="1698">
        <f t="shared" si="276"/>
        <v>0</v>
      </c>
      <c r="S335" s="1698">
        <f t="shared" si="276"/>
        <v>0</v>
      </c>
      <c r="T335" s="1698">
        <f t="shared" si="276"/>
        <v>0</v>
      </c>
      <c r="U335" s="1293"/>
      <c r="V335" s="1293"/>
      <c r="W335" s="1293"/>
      <c r="X335" s="1293"/>
      <c r="Y335" s="1293"/>
      <c r="Z335" s="1293"/>
      <c r="AA335" s="1293"/>
      <c r="AB335" s="1293"/>
      <c r="AC335" s="1293"/>
      <c r="AD335" s="1293"/>
      <c r="AE335" s="1293"/>
      <c r="AF335" s="1293"/>
      <c r="AG335" s="1293"/>
      <c r="AH335" s="1293"/>
      <c r="AI335" s="1293"/>
      <c r="AJ335" s="1293"/>
      <c r="AK335" s="1293"/>
      <c r="AL335" s="1293"/>
      <c r="AM335" s="1293"/>
      <c r="AN335" s="1293"/>
      <c r="AO335" s="1293"/>
      <c r="AP335" s="1293"/>
      <c r="AQ335" s="1293"/>
      <c r="AR335" s="1293"/>
      <c r="AS335" s="1293"/>
      <c r="AT335" s="1293"/>
      <c r="AU335" s="1293"/>
      <c r="AV335" s="1293"/>
      <c r="AW335" s="1293"/>
      <c r="AX335" s="1293"/>
      <c r="AY335" s="1293"/>
      <c r="AZ335" s="1293"/>
      <c r="BA335" s="1293"/>
      <c r="BB335" s="1293"/>
      <c r="BC335" s="1293"/>
      <c r="BD335" s="1293"/>
      <c r="BE335" s="1293"/>
      <c r="BF335" s="1293"/>
      <c r="BG335" s="1293"/>
      <c r="BH335" s="1293"/>
      <c r="BI335" s="1293"/>
      <c r="BJ335" s="1293"/>
      <c r="BK335" s="1293"/>
      <c r="BL335" s="1293"/>
      <c r="BM335" s="1293"/>
      <c r="BN335" s="1293"/>
      <c r="BO335" s="1293"/>
      <c r="BP335" s="1293"/>
      <c r="BQ335" s="1293"/>
      <c r="BR335" s="1293"/>
      <c r="BS335" s="1293"/>
      <c r="BT335" s="1293"/>
      <c r="BU335" s="1293"/>
      <c r="BV335" s="1293"/>
      <c r="BW335" s="1293"/>
      <c r="BX335" s="1293"/>
      <c r="BY335" s="1293"/>
      <c r="BZ335" s="1293"/>
      <c r="CA335" s="1293"/>
      <c r="CB335" s="1293"/>
      <c r="CC335" s="1293"/>
      <c r="CD335" s="1293"/>
      <c r="CE335" s="1293"/>
      <c r="CF335" s="1293"/>
      <c r="CG335" s="1293"/>
    </row>
    <row r="336" spans="1:85" ht="15.75" hidden="1" outlineLevel="1">
      <c r="A336" s="1293"/>
      <c r="B336" s="1293"/>
      <c r="C336" s="1982" t="str">
        <f>C283</f>
        <v>Nicaragua wireless</v>
      </c>
      <c r="D336" s="1723"/>
      <c r="E336" s="1698"/>
      <c r="F336" s="1698"/>
      <c r="G336" s="1698"/>
      <c r="H336" s="1698"/>
      <c r="I336" s="1698"/>
      <c r="J336" s="1698">
        <f t="shared" ref="J336:T336" si="277">J283*(J123/I123)</f>
        <v>69</v>
      </c>
      <c r="K336" s="1698">
        <f t="shared" si="277"/>
        <v>68</v>
      </c>
      <c r="L336" s="1698">
        <f t="shared" si="277"/>
        <v>71.900000000000006</v>
      </c>
      <c r="M336" s="1698">
        <f t="shared" si="277"/>
        <v>72</v>
      </c>
      <c r="N336" s="1698">
        <f t="shared" si="277"/>
        <v>18</v>
      </c>
      <c r="O336" s="1698">
        <f t="shared" si="277"/>
        <v>79.048332220677295</v>
      </c>
      <c r="P336" s="1698">
        <f t="shared" si="277"/>
        <v>79.048332220677295</v>
      </c>
      <c r="Q336" s="1698">
        <f t="shared" si="277"/>
        <v>79.048332220677295</v>
      </c>
      <c r="R336" s="1698">
        <f t="shared" si="277"/>
        <v>79.048332220677295</v>
      </c>
      <c r="S336" s="1698">
        <f t="shared" si="277"/>
        <v>79.048332220677295</v>
      </c>
      <c r="T336" s="1698">
        <f t="shared" si="277"/>
        <v>79.048332220677295</v>
      </c>
      <c r="U336" s="1293"/>
      <c r="V336" s="1293"/>
      <c r="W336" s="1293"/>
      <c r="X336" s="1293"/>
      <c r="Y336" s="1293"/>
      <c r="Z336" s="1293"/>
      <c r="AA336" s="1293"/>
      <c r="AB336" s="1293"/>
      <c r="AC336" s="1293"/>
      <c r="AD336" s="1293"/>
      <c r="AE336" s="1293"/>
      <c r="AF336" s="1293"/>
      <c r="AG336" s="1293"/>
      <c r="AH336" s="1293"/>
      <c r="AI336" s="1293"/>
      <c r="AJ336" s="1293"/>
      <c r="AK336" s="1293"/>
      <c r="AL336" s="1293"/>
      <c r="AM336" s="1293"/>
      <c r="AN336" s="1293"/>
      <c r="AO336" s="1293"/>
      <c r="AP336" s="1293"/>
      <c r="AQ336" s="1293"/>
      <c r="AR336" s="1293"/>
      <c r="AS336" s="1293"/>
      <c r="AT336" s="1293"/>
      <c r="AU336" s="1293"/>
      <c r="AV336" s="1293"/>
      <c r="AW336" s="1293"/>
      <c r="AX336" s="1293"/>
      <c r="AY336" s="1293"/>
      <c r="AZ336" s="1293"/>
      <c r="BA336" s="1293"/>
      <c r="BB336" s="1293"/>
      <c r="BC336" s="1293"/>
      <c r="BD336" s="1293"/>
      <c r="BE336" s="1293"/>
      <c r="BF336" s="1293"/>
      <c r="BG336" s="1293"/>
      <c r="BH336" s="1293"/>
      <c r="BI336" s="1293"/>
      <c r="BJ336" s="1293"/>
      <c r="BK336" s="1293"/>
      <c r="BL336" s="1293"/>
      <c r="BM336" s="1293"/>
      <c r="BN336" s="1293"/>
      <c r="BO336" s="1293"/>
      <c r="BP336" s="1293"/>
      <c r="BQ336" s="1293"/>
      <c r="BR336" s="1293"/>
      <c r="BS336" s="1293"/>
      <c r="BT336" s="1293"/>
      <c r="BU336" s="1293"/>
      <c r="BV336" s="1293"/>
      <c r="BW336" s="1293"/>
      <c r="BX336" s="1293"/>
      <c r="BY336" s="1293"/>
      <c r="BZ336" s="1293"/>
      <c r="CA336" s="1293"/>
      <c r="CB336" s="1293"/>
      <c r="CC336" s="1293"/>
      <c r="CD336" s="1293"/>
      <c r="CE336" s="1293"/>
      <c r="CF336" s="1293"/>
      <c r="CG336" s="1293"/>
    </row>
    <row r="337" spans="1:85" ht="15.75" collapsed="1">
      <c r="A337" s="1293"/>
      <c r="B337" s="1293"/>
      <c r="C337" s="1293" t="str">
        <f>C287</f>
        <v>Bolivia</v>
      </c>
      <c r="D337" s="1723"/>
      <c r="E337" s="1698">
        <f t="shared" ref="E337:T337" si="278">E287*(E129/D129)</f>
        <v>196.52689484370487</v>
      </c>
      <c r="F337" s="1698">
        <f t="shared" si="278"/>
        <v>214.4912470115772</v>
      </c>
      <c r="G337" s="1698">
        <f t="shared" ca="1" si="278"/>
        <v>220.2050428710196</v>
      </c>
      <c r="H337" s="1698">
        <f t="shared" si="278"/>
        <v>237.65557163531116</v>
      </c>
      <c r="I337" s="1698">
        <f t="shared" si="278"/>
        <v>257.37246376811595</v>
      </c>
      <c r="J337" s="1698">
        <f t="shared" si="278"/>
        <v>227</v>
      </c>
      <c r="K337" s="1698">
        <f t="shared" si="278"/>
        <v>248.62274272030876</v>
      </c>
      <c r="L337" s="1698">
        <f t="shared" si="278"/>
        <v>240.98349711923109</v>
      </c>
      <c r="M337" s="1698">
        <f t="shared" si="278"/>
        <v>228.97889574011901</v>
      </c>
      <c r="N337" s="1698">
        <f t="shared" si="278"/>
        <v>265.52265209840812</v>
      </c>
      <c r="O337" s="1698">
        <f t="shared" si="278"/>
        <v>267.30688887343979</v>
      </c>
      <c r="P337" s="1698">
        <f t="shared" si="278"/>
        <v>107.3553785963143</v>
      </c>
      <c r="Q337" s="1698">
        <f t="shared" si="278"/>
        <v>111.32865664368205</v>
      </c>
      <c r="R337" s="1698">
        <f t="shared" si="278"/>
        <v>115.43340409385956</v>
      </c>
      <c r="S337" s="1698">
        <f t="shared" si="278"/>
        <v>119.09542932718206</v>
      </c>
      <c r="T337" s="1698">
        <f t="shared" si="278"/>
        <v>124.238186502674</v>
      </c>
      <c r="U337" s="1293"/>
      <c r="V337" s="1293"/>
      <c r="W337" s="1293"/>
      <c r="X337" s="1293"/>
      <c r="Y337" s="1293"/>
      <c r="Z337" s="1293"/>
      <c r="AA337" s="1293"/>
      <c r="AB337" s="1293"/>
      <c r="AC337" s="1293"/>
      <c r="AD337" s="1293"/>
      <c r="AE337" s="1293"/>
      <c r="AF337" s="1293"/>
      <c r="AG337" s="1293"/>
      <c r="AH337" s="1293"/>
      <c r="AI337" s="1293"/>
      <c r="AJ337" s="1293"/>
      <c r="AK337" s="1293"/>
      <c r="AL337" s="1293"/>
      <c r="AM337" s="1293"/>
      <c r="AN337" s="1293"/>
      <c r="AO337" s="1293"/>
      <c r="AP337" s="1293"/>
      <c r="AQ337" s="1293"/>
      <c r="AR337" s="1293"/>
      <c r="AS337" s="1293"/>
      <c r="AT337" s="1293"/>
      <c r="AU337" s="1293"/>
      <c r="AV337" s="1293"/>
      <c r="AW337" s="1293"/>
      <c r="AX337" s="1293"/>
      <c r="AY337" s="1293"/>
      <c r="AZ337" s="1293"/>
      <c r="BA337" s="1293"/>
      <c r="BB337" s="1293"/>
      <c r="BC337" s="1293"/>
      <c r="BD337" s="1293"/>
      <c r="BE337" s="1293"/>
      <c r="BF337" s="1293"/>
      <c r="BG337" s="1293"/>
      <c r="BH337" s="1293"/>
      <c r="BI337" s="1293"/>
      <c r="BJ337" s="1293"/>
      <c r="BK337" s="1293"/>
      <c r="BL337" s="1293"/>
      <c r="BM337" s="1293"/>
      <c r="BN337" s="1293"/>
      <c r="BO337" s="1293"/>
      <c r="BP337" s="1293"/>
      <c r="BQ337" s="1293"/>
      <c r="BR337" s="1293"/>
      <c r="BS337" s="1293"/>
      <c r="BT337" s="1293"/>
      <c r="BU337" s="1293"/>
      <c r="BV337" s="1293"/>
      <c r="BW337" s="1293"/>
      <c r="BX337" s="1293"/>
      <c r="BY337" s="1293"/>
      <c r="BZ337" s="1293"/>
      <c r="CA337" s="1293"/>
      <c r="CB337" s="1293"/>
      <c r="CC337" s="1293"/>
      <c r="CD337" s="1293"/>
      <c r="CE337" s="1293"/>
      <c r="CF337" s="1293"/>
      <c r="CG337" s="1293"/>
    </row>
    <row r="338" spans="1:85" ht="15.75">
      <c r="A338" s="1293"/>
      <c r="B338" s="1293"/>
      <c r="C338" s="1293" t="str">
        <f>C288</f>
        <v>Colombia</v>
      </c>
      <c r="D338" s="1723"/>
      <c r="E338" s="1698">
        <f t="shared" ref="E338:T338" si="279">E288*(E130/D130)</f>
        <v>744.63491740063739</v>
      </c>
      <c r="F338" s="1698">
        <f t="shared" si="279"/>
        <v>511.69372947449904</v>
      </c>
      <c r="G338" s="1698">
        <f t="shared" si="279"/>
        <v>455.27542963611728</v>
      </c>
      <c r="H338" s="1698">
        <f t="shared" si="279"/>
        <v>487.27266583313622</v>
      </c>
      <c r="I338" s="1698">
        <f t="shared" si="279"/>
        <v>574.68653648509769</v>
      </c>
      <c r="J338" s="1698">
        <f t="shared" si="279"/>
        <v>523.94281345565753</v>
      </c>
      <c r="K338" s="1698">
        <f t="shared" si="279"/>
        <v>440.68341063001418</v>
      </c>
      <c r="L338" s="1698">
        <f t="shared" si="279"/>
        <v>457.82345202945862</v>
      </c>
      <c r="M338" s="1698">
        <f t="shared" si="279"/>
        <v>463.68879905992947</v>
      </c>
      <c r="N338" s="1698">
        <f t="shared" si="279"/>
        <v>496.25914122685185</v>
      </c>
      <c r="O338" s="1698">
        <f t="shared" si="279"/>
        <v>562.67001166968885</v>
      </c>
      <c r="P338" s="1698">
        <f t="shared" si="279"/>
        <v>581.25041134358833</v>
      </c>
      <c r="Q338" s="1698">
        <f t="shared" si="279"/>
        <v>593.95315795490433</v>
      </c>
      <c r="R338" s="1698">
        <f t="shared" si="279"/>
        <v>609.71573265469863</v>
      </c>
      <c r="S338" s="1698">
        <f t="shared" si="279"/>
        <v>630.1934468198989</v>
      </c>
      <c r="T338" s="1698">
        <f t="shared" si="279"/>
        <v>647.92865347587838</v>
      </c>
      <c r="U338" s="1293"/>
      <c r="V338" s="1293"/>
      <c r="W338" s="1293"/>
      <c r="X338" s="1293"/>
      <c r="Y338" s="1293"/>
      <c r="Z338" s="1293"/>
      <c r="AA338" s="1293"/>
      <c r="AB338" s="1293"/>
      <c r="AC338" s="1293"/>
      <c r="AD338" s="1293"/>
      <c r="AE338" s="1293"/>
      <c r="AF338" s="1293"/>
      <c r="AG338" s="1293"/>
      <c r="AH338" s="1293"/>
      <c r="AI338" s="1293"/>
      <c r="AJ338" s="1293"/>
      <c r="AK338" s="1293"/>
      <c r="AL338" s="1293"/>
      <c r="AM338" s="1293"/>
      <c r="AN338" s="1293"/>
      <c r="AO338" s="1293"/>
      <c r="AP338" s="1293"/>
      <c r="AQ338" s="1293"/>
      <c r="AR338" s="1293"/>
      <c r="AS338" s="1293"/>
      <c r="AT338" s="1293"/>
      <c r="AU338" s="1293"/>
      <c r="AV338" s="1293"/>
      <c r="AW338" s="1293"/>
      <c r="AX338" s="1293"/>
      <c r="AY338" s="1293"/>
      <c r="AZ338" s="1293"/>
      <c r="BA338" s="1293"/>
      <c r="BB338" s="1293"/>
      <c r="BC338" s="1293"/>
      <c r="BD338" s="1293"/>
      <c r="BE338" s="1293"/>
      <c r="BF338" s="1293"/>
      <c r="BG338" s="1293"/>
      <c r="BH338" s="1293"/>
      <c r="BI338" s="1293"/>
      <c r="BJ338" s="1293"/>
      <c r="BK338" s="1293"/>
      <c r="BL338" s="1293"/>
      <c r="BM338" s="1293"/>
      <c r="BN338" s="1293"/>
      <c r="BO338" s="1293"/>
      <c r="BP338" s="1293"/>
      <c r="BQ338" s="1293"/>
      <c r="BR338" s="1293"/>
      <c r="BS338" s="1293"/>
      <c r="BT338" s="1293"/>
      <c r="BU338" s="1293"/>
      <c r="BV338" s="1293"/>
      <c r="BW338" s="1293"/>
      <c r="BX338" s="1293"/>
      <c r="BY338" s="1293"/>
      <c r="BZ338" s="1293"/>
      <c r="CA338" s="1293"/>
      <c r="CB338" s="1293"/>
      <c r="CC338" s="1293"/>
      <c r="CD338" s="1293"/>
      <c r="CE338" s="1293"/>
      <c r="CF338" s="1293"/>
      <c r="CG338" s="1293"/>
    </row>
    <row r="339" spans="1:85" ht="15.75">
      <c r="A339" s="1293"/>
      <c r="B339" s="1293"/>
      <c r="C339" s="1293" t="str">
        <f>C289</f>
        <v>Paraguay</v>
      </c>
      <c r="D339" s="1293"/>
      <c r="E339" s="1698">
        <f t="shared" ref="E339:T339" si="280">E289*(E131/D131)</f>
        <v>353.91441723104049</v>
      </c>
      <c r="F339" s="1698">
        <f t="shared" si="280"/>
        <v>315.7861084587297</v>
      </c>
      <c r="G339" s="1698">
        <f t="shared" si="280"/>
        <v>308.63411005137277</v>
      </c>
      <c r="H339" s="1698">
        <f t="shared" si="280"/>
        <v>335.9698109182068</v>
      </c>
      <c r="I339" s="1698">
        <f t="shared" si="280"/>
        <v>311.83412156244526</v>
      </c>
      <c r="J339" s="1698">
        <f t="shared" si="280"/>
        <v>275.0346606480735</v>
      </c>
      <c r="K339" s="1698">
        <f t="shared" si="280"/>
        <v>242.1640481029618</v>
      </c>
      <c r="L339" s="1698">
        <f t="shared" si="280"/>
        <v>251.56016249401554</v>
      </c>
      <c r="M339" s="1698">
        <f t="shared" si="280"/>
        <v>267.07972389991369</v>
      </c>
      <c r="N339" s="1698">
        <f t="shared" si="280"/>
        <v>277.07401843115747</v>
      </c>
      <c r="O339" s="1698">
        <f t="shared" si="280"/>
        <v>273.0638054374466</v>
      </c>
      <c r="P339" s="1698">
        <f t="shared" si="280"/>
        <v>271.0405187790027</v>
      </c>
      <c r="Q339" s="1698">
        <f t="shared" si="280"/>
        <v>276.3233235508431</v>
      </c>
      <c r="R339" s="1698">
        <f t="shared" si="280"/>
        <v>281.70344240310192</v>
      </c>
      <c r="S339" s="1698">
        <f t="shared" si="280"/>
        <v>285.8398878575735</v>
      </c>
      <c r="T339" s="1698">
        <f t="shared" si="280"/>
        <v>290.12851319443587</v>
      </c>
      <c r="U339" s="1293"/>
      <c r="V339" s="1293"/>
      <c r="W339" s="1293"/>
      <c r="X339" s="1293"/>
      <c r="Y339" s="1293"/>
      <c r="Z339" s="1293"/>
      <c r="AA339" s="1293"/>
      <c r="AB339" s="1293"/>
      <c r="AC339" s="1293"/>
      <c r="AD339" s="1293"/>
      <c r="AE339" s="1293"/>
      <c r="AF339" s="1293"/>
      <c r="AG339" s="1293"/>
      <c r="AH339" s="1293"/>
      <c r="AI339" s="1293"/>
      <c r="AJ339" s="1293"/>
      <c r="AK339" s="1293"/>
      <c r="AL339" s="1293"/>
      <c r="AM339" s="1293"/>
      <c r="AN339" s="1293"/>
      <c r="AO339" s="1293"/>
      <c r="AP339" s="1293"/>
      <c r="AQ339" s="1293"/>
      <c r="AR339" s="1293"/>
      <c r="AS339" s="1293"/>
      <c r="AT339" s="1293"/>
      <c r="AU339" s="1293"/>
      <c r="AV339" s="1293"/>
      <c r="AW339" s="1293"/>
      <c r="AX339" s="1293"/>
      <c r="AY339" s="1293"/>
      <c r="AZ339" s="1293"/>
      <c r="BA339" s="1293"/>
      <c r="BB339" s="1293"/>
      <c r="BC339" s="1293"/>
      <c r="BD339" s="1293"/>
      <c r="BE339" s="1293"/>
      <c r="BF339" s="1293"/>
      <c r="BG339" s="1293"/>
      <c r="BH339" s="1293"/>
      <c r="BI339" s="1293"/>
      <c r="BJ339" s="1293"/>
      <c r="BK339" s="1293"/>
      <c r="BL339" s="1293"/>
      <c r="BM339" s="1293"/>
      <c r="BN339" s="1293"/>
      <c r="BO339" s="1293"/>
      <c r="BP339" s="1293"/>
      <c r="BQ339" s="1293"/>
      <c r="BR339" s="1293"/>
      <c r="BS339" s="1293"/>
      <c r="BT339" s="1293"/>
      <c r="BU339" s="1293"/>
      <c r="BV339" s="1293"/>
      <c r="BW339" s="1293"/>
      <c r="BX339" s="1293"/>
      <c r="BY339" s="1293"/>
      <c r="BZ339" s="1293"/>
      <c r="CA339" s="1293"/>
      <c r="CB339" s="1293"/>
      <c r="CC339" s="1293"/>
      <c r="CD339" s="1293"/>
      <c r="CE339" s="1293"/>
      <c r="CF339" s="1293"/>
      <c r="CG339" s="1293"/>
    </row>
    <row r="340" spans="1:85" ht="15.75">
      <c r="A340" s="1293"/>
      <c r="B340" s="1293"/>
      <c r="C340" s="1331" t="s">
        <v>5801</v>
      </c>
      <c r="D340" s="2011"/>
      <c r="E340" s="1702"/>
      <c r="F340" s="1702"/>
      <c r="G340" s="1702"/>
      <c r="H340" s="1702">
        <f>H315</f>
        <v>-134.63400000000001</v>
      </c>
      <c r="I340" s="1702">
        <f t="shared" ref="I340:O340" si="281">I315</f>
        <v>-133.22500000000002</v>
      </c>
      <c r="J340" s="1702">
        <f t="shared" si="281"/>
        <v>-123</v>
      </c>
      <c r="K340" s="1702">
        <f t="shared" si="281"/>
        <v>-139</v>
      </c>
      <c r="L340" s="1702">
        <f>L315</f>
        <v>-147.66770000000002</v>
      </c>
      <c r="M340" s="1702">
        <f t="shared" si="281"/>
        <v>-225.49399999999997</v>
      </c>
      <c r="N340" s="1702">
        <f t="shared" ca="1" si="281"/>
        <v>-225.49399999999997</v>
      </c>
      <c r="O340" s="1702">
        <f t="shared" si="281"/>
        <v>-150</v>
      </c>
      <c r="P340" s="1702">
        <f>P315</f>
        <v>-150</v>
      </c>
      <c r="Q340" s="1702">
        <f>Q315</f>
        <v>-150</v>
      </c>
      <c r="R340" s="1702">
        <f>R315</f>
        <v>-150</v>
      </c>
      <c r="S340" s="1702">
        <f>S315</f>
        <v>-150</v>
      </c>
      <c r="T340" s="1702">
        <f>T315</f>
        <v>-150</v>
      </c>
      <c r="U340" s="1293"/>
      <c r="V340" s="1293"/>
      <c r="W340" s="1293"/>
      <c r="X340" s="1293"/>
      <c r="Y340" s="1293"/>
      <c r="Z340" s="1293"/>
      <c r="AA340" s="1293"/>
      <c r="AB340" s="1293"/>
      <c r="AC340" s="1293"/>
      <c r="AD340" s="1293"/>
      <c r="AE340" s="1293"/>
      <c r="AF340" s="1293"/>
      <c r="AG340" s="1293"/>
      <c r="AH340" s="1293"/>
      <c r="AI340" s="1293"/>
      <c r="AJ340" s="1293"/>
      <c r="AK340" s="1293"/>
      <c r="AL340" s="1293"/>
      <c r="AM340" s="1293"/>
      <c r="AN340" s="1293"/>
      <c r="AO340" s="1293"/>
      <c r="AP340" s="1293"/>
      <c r="AQ340" s="1293"/>
      <c r="AR340" s="1293"/>
      <c r="AS340" s="1293"/>
      <c r="AT340" s="1293"/>
      <c r="AU340" s="1293"/>
      <c r="AV340" s="1293"/>
      <c r="AW340" s="1293"/>
      <c r="AX340" s="1293"/>
      <c r="AY340" s="1293"/>
      <c r="AZ340" s="1293"/>
      <c r="BA340" s="1293"/>
      <c r="BB340" s="1293"/>
      <c r="BC340" s="1293"/>
      <c r="BD340" s="1293"/>
      <c r="BE340" s="1293"/>
      <c r="BF340" s="1293"/>
      <c r="BG340" s="1293"/>
      <c r="BH340" s="1293"/>
      <c r="BI340" s="1293"/>
      <c r="BJ340" s="1293"/>
      <c r="BK340" s="1293"/>
      <c r="BL340" s="1293"/>
      <c r="BM340" s="1293"/>
      <c r="BN340" s="1293"/>
      <c r="BO340" s="1293"/>
      <c r="BP340" s="1293"/>
      <c r="BQ340" s="1293"/>
      <c r="BR340" s="1293"/>
      <c r="BS340" s="1293"/>
      <c r="BT340" s="1293"/>
      <c r="BU340" s="1293"/>
      <c r="BV340" s="1293"/>
      <c r="BW340" s="1293"/>
      <c r="BX340" s="1293"/>
      <c r="BY340" s="1293"/>
      <c r="BZ340" s="1293"/>
      <c r="CA340" s="1293"/>
      <c r="CB340" s="1293"/>
      <c r="CC340" s="1293"/>
      <c r="CD340" s="1293"/>
      <c r="CE340" s="1293"/>
      <c r="CF340" s="1293"/>
      <c r="CG340" s="1293"/>
    </row>
    <row r="341" spans="1:85" ht="15.75">
      <c r="A341" s="1293"/>
      <c r="B341" s="1293"/>
      <c r="C341" s="1334" t="s">
        <v>2324</v>
      </c>
      <c r="D341" s="1723"/>
      <c r="E341" s="1698"/>
      <c r="F341" s="1698"/>
      <c r="G341" s="1698"/>
      <c r="H341" s="1963">
        <f>SUM(H326:H340)</f>
        <v>2093.5489605078101</v>
      </c>
      <c r="I341" s="1963">
        <f t="shared" ref="I341:K341" si="282">SUM(I326:I340)</f>
        <v>2449.7331563007351</v>
      </c>
      <c r="J341" s="1963">
        <f t="shared" si="282"/>
        <v>2451.1641710047138</v>
      </c>
      <c r="K341" s="1963">
        <f t="shared" si="282"/>
        <v>2503.0037492760225</v>
      </c>
      <c r="L341" s="1963">
        <f t="shared" ref="L341:T341" si="283">SUM(L326:L331)+SUM(L337:L340)</f>
        <v>2561.6955074974535</v>
      </c>
      <c r="M341" s="1963">
        <f t="shared" si="283"/>
        <v>2481.5877827590498</v>
      </c>
      <c r="N341" s="1963">
        <f t="shared" ca="1" si="283"/>
        <v>2718.6329489092263</v>
      </c>
      <c r="O341" s="1963">
        <f t="shared" si="283"/>
        <v>2916.6372501886171</v>
      </c>
      <c r="P341" s="1963">
        <f t="shared" si="283"/>
        <v>2835.3698513262561</v>
      </c>
      <c r="Q341" s="1963">
        <f t="shared" si="283"/>
        <v>2908.3690655299611</v>
      </c>
      <c r="R341" s="1963">
        <f t="shared" si="283"/>
        <v>2987.9833329557096</v>
      </c>
      <c r="S341" s="1963">
        <f t="shared" si="283"/>
        <v>3070.534265288496</v>
      </c>
      <c r="T341" s="1963">
        <f t="shared" si="283"/>
        <v>3149.9867315024858</v>
      </c>
      <c r="U341" s="1293"/>
      <c r="V341" s="1293"/>
      <c r="W341" s="1293"/>
      <c r="X341" s="1293"/>
      <c r="Y341" s="1293"/>
      <c r="Z341" s="1293"/>
      <c r="AA341" s="1293"/>
      <c r="AB341" s="1293"/>
      <c r="AC341" s="1293"/>
      <c r="AD341" s="1293"/>
      <c r="AE341" s="1293"/>
      <c r="AF341" s="1293"/>
      <c r="AG341" s="1293"/>
      <c r="AH341" s="1293"/>
      <c r="AI341" s="1293"/>
      <c r="AJ341" s="1293"/>
      <c r="AK341" s="1293"/>
      <c r="AL341" s="1293"/>
      <c r="AM341" s="1293"/>
      <c r="AN341" s="1293"/>
      <c r="AO341" s="1293"/>
      <c r="AP341" s="1293"/>
      <c r="AQ341" s="1293"/>
      <c r="AR341" s="1293"/>
      <c r="AS341" s="1293"/>
      <c r="AT341" s="1293"/>
      <c r="AU341" s="1293"/>
      <c r="AV341" s="1293"/>
      <c r="AW341" s="1293"/>
      <c r="AX341" s="1293"/>
      <c r="AY341" s="1293"/>
      <c r="AZ341" s="1293"/>
      <c r="BA341" s="1293"/>
      <c r="BB341" s="1293"/>
      <c r="BC341" s="1293"/>
      <c r="BD341" s="1293"/>
      <c r="BE341" s="1293"/>
      <c r="BF341" s="1293"/>
      <c r="BG341" s="1293"/>
      <c r="BH341" s="1293"/>
      <c r="BI341" s="1293"/>
      <c r="BJ341" s="1293"/>
      <c r="BK341" s="1293"/>
      <c r="BL341" s="1293"/>
      <c r="BM341" s="1293"/>
      <c r="BN341" s="1293"/>
      <c r="BO341" s="1293"/>
      <c r="BP341" s="1293"/>
      <c r="BQ341" s="1293"/>
      <c r="BR341" s="1293"/>
      <c r="BS341" s="1293"/>
      <c r="BT341" s="1293"/>
      <c r="BU341" s="1293"/>
      <c r="BV341" s="1293"/>
      <c r="BW341" s="1293"/>
      <c r="BX341" s="1293"/>
      <c r="BY341" s="1293"/>
      <c r="BZ341" s="1293"/>
      <c r="CA341" s="1293"/>
      <c r="CB341" s="1293"/>
      <c r="CC341" s="1293"/>
      <c r="CD341" s="1293"/>
      <c r="CE341" s="1293"/>
      <c r="CF341" s="1293"/>
      <c r="CG341" s="1293"/>
    </row>
    <row r="342" spans="1:85" ht="15.75">
      <c r="A342" s="1293"/>
      <c r="B342" s="1293"/>
      <c r="C342" s="1334" t="s">
        <v>5186</v>
      </c>
      <c r="D342" s="1723"/>
      <c r="E342" s="1698"/>
      <c r="F342" s="1335"/>
      <c r="G342" s="1335"/>
      <c r="H342" s="1335"/>
      <c r="I342" s="1335">
        <f>(I341-I332-'New (new) quarts'!AJ138)/(H319-H279)-1</f>
        <v>9.0338544198717008E-2</v>
      </c>
      <c r="J342" s="1335">
        <f>(J341-J334-J335-J336)/(I319-I281-I282-I283)-1</f>
        <v>-2.438260845158069E-2</v>
      </c>
      <c r="K342" s="1335">
        <f t="shared" ref="K342:T342" si="284">(K341)/(J319)-1</f>
        <v>6.0594809015263706E-2</v>
      </c>
      <c r="L342" s="1335">
        <f>(L341)/(K319-K275)-1</f>
        <v>0.1425938927285697</v>
      </c>
      <c r="M342" s="1335">
        <f t="shared" si="284"/>
        <v>-2.7282914874267039E-3</v>
      </c>
      <c r="N342" s="1335">
        <f t="shared" ca="1" si="284"/>
        <v>0.10553230308639949</v>
      </c>
      <c r="O342" s="1335">
        <f t="shared" ca="1" si="284"/>
        <v>6.1764037728879506E-2</v>
      </c>
      <c r="P342" s="1335">
        <f t="shared" si="284"/>
        <v>3.7733926146315433E-2</v>
      </c>
      <c r="Q342" s="1335">
        <f t="shared" si="284"/>
        <v>3.7623205030162588E-2</v>
      </c>
      <c r="R342" s="1335">
        <f t="shared" si="284"/>
        <v>3.9198165125392537E-2</v>
      </c>
      <c r="S342" s="1335">
        <f t="shared" si="284"/>
        <v>3.9384983655923023E-2</v>
      </c>
      <c r="T342" s="1335">
        <f t="shared" si="284"/>
        <v>3.7553857044517303E-2</v>
      </c>
      <c r="U342" s="1293"/>
      <c r="V342" s="1293"/>
      <c r="W342" s="1293"/>
      <c r="X342" s="1293"/>
      <c r="Y342" s="1293"/>
      <c r="Z342" s="1293"/>
      <c r="AA342" s="1293"/>
      <c r="AB342" s="1293"/>
      <c r="AC342" s="1293"/>
      <c r="AD342" s="1293"/>
      <c r="AE342" s="1293"/>
      <c r="AF342" s="1293"/>
      <c r="AG342" s="1293"/>
      <c r="AH342" s="1293"/>
      <c r="AI342" s="1293"/>
      <c r="AJ342" s="1293"/>
      <c r="AK342" s="1293"/>
      <c r="AL342" s="1293"/>
      <c r="AM342" s="1293"/>
      <c r="AN342" s="1293"/>
      <c r="AO342" s="1293"/>
      <c r="AP342" s="1293"/>
      <c r="AQ342" s="1293"/>
      <c r="AR342" s="1293"/>
      <c r="AS342" s="1293"/>
      <c r="AT342" s="1293"/>
      <c r="AU342" s="1293"/>
      <c r="AV342" s="1293"/>
      <c r="AW342" s="1293"/>
      <c r="AX342" s="1293"/>
      <c r="AY342" s="1293"/>
      <c r="AZ342" s="1293"/>
      <c r="BA342" s="1293"/>
      <c r="BB342" s="1293"/>
      <c r="BC342" s="1293"/>
      <c r="BD342" s="1293"/>
      <c r="BE342" s="1293"/>
      <c r="BF342" s="1293"/>
      <c r="BG342" s="1293"/>
      <c r="BH342" s="1293"/>
      <c r="BI342" s="1293"/>
      <c r="BJ342" s="1293"/>
      <c r="BK342" s="1293"/>
      <c r="BL342" s="1293"/>
      <c r="BM342" s="1293"/>
      <c r="BN342" s="1293"/>
      <c r="BO342" s="1293"/>
      <c r="BP342" s="1293"/>
      <c r="BQ342" s="1293"/>
      <c r="BR342" s="1293"/>
      <c r="BS342" s="1293"/>
      <c r="BT342" s="1293"/>
      <c r="BU342" s="1293"/>
      <c r="BV342" s="1293"/>
      <c r="BW342" s="1293"/>
      <c r="BX342" s="1293"/>
      <c r="BY342" s="1293"/>
      <c r="BZ342" s="1293"/>
      <c r="CA342" s="1293"/>
      <c r="CB342" s="1293"/>
      <c r="CC342" s="1293"/>
      <c r="CD342" s="1293"/>
      <c r="CE342" s="1293"/>
      <c r="CF342" s="1293"/>
      <c r="CG342" s="1293"/>
    </row>
    <row r="343" spans="1:85" ht="15.75">
      <c r="A343" s="1293"/>
      <c r="B343" s="1293"/>
      <c r="C343" s="1334" t="s">
        <v>6096</v>
      </c>
      <c r="D343" s="1723"/>
      <c r="E343" s="1698"/>
      <c r="F343" s="1698"/>
      <c r="G343" s="1698"/>
      <c r="H343" s="1698"/>
      <c r="I343" s="1698"/>
      <c r="J343" s="1963">
        <f>J342*I341</f>
        <v>-59.73088436093574</v>
      </c>
      <c r="K343" s="1698"/>
      <c r="L343" s="1698"/>
      <c r="M343" s="1698"/>
      <c r="N343" s="1698"/>
      <c r="O343" s="1698"/>
      <c r="P343" s="1698"/>
      <c r="Q343" s="1698"/>
      <c r="R343" s="1698"/>
      <c r="S343" s="1698"/>
      <c r="T343" s="1698"/>
      <c r="U343" s="1293"/>
      <c r="V343" s="1293"/>
      <c r="W343" s="1293"/>
      <c r="X343" s="1293"/>
      <c r="Y343" s="1293"/>
      <c r="Z343" s="1293"/>
      <c r="AA343" s="1293"/>
      <c r="AB343" s="1293"/>
      <c r="AC343" s="1293"/>
      <c r="AD343" s="1293"/>
      <c r="AE343" s="1293"/>
      <c r="AF343" s="1293"/>
      <c r="AG343" s="1293"/>
      <c r="AH343" s="1293"/>
      <c r="AI343" s="1293"/>
      <c r="AJ343" s="1293"/>
      <c r="AK343" s="1293"/>
      <c r="AL343" s="1293"/>
      <c r="AM343" s="1293"/>
      <c r="AN343" s="1293"/>
      <c r="AO343" s="1293"/>
      <c r="AP343" s="1293"/>
      <c r="AQ343" s="1293"/>
      <c r="AR343" s="1293"/>
      <c r="AS343" s="1293"/>
      <c r="AT343" s="1293"/>
      <c r="AU343" s="1293"/>
      <c r="AV343" s="1293"/>
      <c r="AW343" s="1293"/>
      <c r="AX343" s="1293"/>
      <c r="AY343" s="1293"/>
      <c r="AZ343" s="1293"/>
      <c r="BA343" s="1293"/>
      <c r="BB343" s="1293"/>
      <c r="BC343" s="1293"/>
      <c r="BD343" s="1293"/>
      <c r="BE343" s="1293"/>
      <c r="BF343" s="1293"/>
      <c r="BG343" s="1293"/>
      <c r="BH343" s="1293"/>
      <c r="BI343" s="1293"/>
      <c r="BJ343" s="1293"/>
      <c r="BK343" s="1293"/>
      <c r="BL343" s="1293"/>
      <c r="BM343" s="1293"/>
      <c r="BN343" s="1293"/>
      <c r="BO343" s="1293"/>
      <c r="BP343" s="1293"/>
      <c r="BQ343" s="1293"/>
      <c r="BR343" s="1293"/>
      <c r="BS343" s="1293"/>
      <c r="BT343" s="1293"/>
      <c r="BU343" s="1293"/>
      <c r="BV343" s="1293"/>
      <c r="BW343" s="1293"/>
      <c r="BX343" s="1293"/>
      <c r="BY343" s="1293"/>
      <c r="BZ343" s="1293"/>
      <c r="CA343" s="1293"/>
      <c r="CB343" s="1293"/>
      <c r="CC343" s="1293"/>
      <c r="CD343" s="1293"/>
      <c r="CE343" s="1293"/>
      <c r="CF343" s="1293"/>
      <c r="CG343" s="1293"/>
    </row>
    <row r="344" spans="1:85" ht="15.75">
      <c r="A344" s="1293"/>
      <c r="B344" s="1293"/>
      <c r="C344" s="1293"/>
      <c r="D344" s="1723"/>
      <c r="E344" s="1698"/>
      <c r="F344" s="1698"/>
      <c r="G344" s="1698"/>
      <c r="H344" s="1698"/>
      <c r="I344" s="1698"/>
      <c r="J344" s="1698"/>
      <c r="K344" s="1698"/>
      <c r="L344" s="1698"/>
      <c r="M344" s="1698"/>
      <c r="N344" s="1698"/>
      <c r="O344" s="1698"/>
      <c r="P344" s="1698"/>
      <c r="Q344" s="1698"/>
      <c r="R344" s="1698"/>
      <c r="S344" s="1698"/>
      <c r="T344" s="1698"/>
      <c r="U344" s="1293"/>
      <c r="V344" s="1293"/>
      <c r="W344" s="1293"/>
      <c r="X344" s="1293"/>
      <c r="Y344" s="1293"/>
      <c r="Z344" s="1293"/>
      <c r="AA344" s="1293"/>
      <c r="AB344" s="1293"/>
      <c r="AC344" s="1293"/>
      <c r="AD344" s="1293"/>
      <c r="AE344" s="1293"/>
      <c r="AF344" s="1293"/>
      <c r="AG344" s="1293"/>
      <c r="AH344" s="1293"/>
      <c r="AI344" s="1293"/>
      <c r="AJ344" s="1293"/>
      <c r="AK344" s="1293"/>
      <c r="AL344" s="1293"/>
      <c r="AM344" s="1293"/>
      <c r="AN344" s="1293"/>
      <c r="AO344" s="1293"/>
      <c r="AP344" s="1293"/>
      <c r="AQ344" s="1293"/>
      <c r="AR344" s="1293"/>
      <c r="AS344" s="1293"/>
      <c r="AT344" s="1293"/>
      <c r="AU344" s="1293"/>
      <c r="AV344" s="1293"/>
      <c r="AW344" s="1293"/>
      <c r="AX344" s="1293"/>
      <c r="AY344" s="1293"/>
      <c r="AZ344" s="1293"/>
      <c r="BA344" s="1293"/>
      <c r="BB344" s="1293"/>
      <c r="BC344" s="1293"/>
      <c r="BD344" s="1293"/>
      <c r="BE344" s="1293"/>
      <c r="BF344" s="1293"/>
      <c r="BG344" s="1293"/>
      <c r="BH344" s="1293"/>
      <c r="BI344" s="1293"/>
      <c r="BJ344" s="1293"/>
      <c r="BK344" s="1293"/>
      <c r="BL344" s="1293"/>
      <c r="BM344" s="1293"/>
      <c r="BN344" s="1293"/>
      <c r="BO344" s="1293"/>
      <c r="BP344" s="1293"/>
      <c r="BQ344" s="1293"/>
      <c r="BR344" s="1293"/>
      <c r="BS344" s="1293"/>
      <c r="BT344" s="1293"/>
      <c r="BU344" s="1293"/>
      <c r="BV344" s="1293"/>
      <c r="BW344" s="1293"/>
      <c r="BX344" s="1293"/>
      <c r="BY344" s="1293"/>
      <c r="BZ344" s="1293"/>
      <c r="CA344" s="1293"/>
      <c r="CB344" s="1293"/>
      <c r="CC344" s="1293"/>
      <c r="CD344" s="1293"/>
      <c r="CE344" s="1293"/>
      <c r="CF344" s="1293"/>
      <c r="CG344" s="1293"/>
    </row>
    <row r="345" spans="1:85" ht="15.75">
      <c r="A345" s="1293"/>
      <c r="B345" s="1293"/>
      <c r="C345" s="1293"/>
      <c r="D345" s="1723"/>
      <c r="E345" s="1698"/>
      <c r="F345" s="1698"/>
      <c r="G345" s="1698"/>
      <c r="H345" s="1698"/>
      <c r="I345" s="1698"/>
      <c r="J345" s="1698"/>
      <c r="K345" s="1698"/>
      <c r="L345" s="1698"/>
      <c r="M345" s="1698"/>
      <c r="N345" s="1698"/>
      <c r="O345" s="1698"/>
      <c r="P345" s="1698"/>
      <c r="Q345" s="1698"/>
      <c r="R345" s="1698"/>
      <c r="S345" s="1698"/>
      <c r="T345" s="1698"/>
      <c r="U345" s="1293"/>
      <c r="V345" s="1293"/>
      <c r="W345" s="1293"/>
      <c r="X345" s="1293"/>
      <c r="Y345" s="1293"/>
      <c r="Z345" s="1293"/>
      <c r="AA345" s="1293"/>
      <c r="AB345" s="1293"/>
      <c r="AC345" s="1293"/>
      <c r="AD345" s="1293"/>
      <c r="AE345" s="1293"/>
      <c r="AF345" s="1293"/>
      <c r="AG345" s="1293"/>
      <c r="AH345" s="1293"/>
      <c r="AI345" s="1293"/>
      <c r="AJ345" s="1293"/>
      <c r="AK345" s="1293"/>
      <c r="AL345" s="1293"/>
      <c r="AM345" s="1293"/>
      <c r="AN345" s="1293"/>
      <c r="AO345" s="1293"/>
      <c r="AP345" s="1293"/>
      <c r="AQ345" s="1293"/>
      <c r="AR345" s="1293"/>
      <c r="AS345" s="1293"/>
      <c r="AT345" s="1293"/>
      <c r="AU345" s="1293"/>
      <c r="AV345" s="1293"/>
      <c r="AW345" s="1293"/>
      <c r="AX345" s="1293"/>
      <c r="AY345" s="1293"/>
      <c r="AZ345" s="1293"/>
      <c r="BA345" s="1293"/>
      <c r="BB345" s="1293"/>
      <c r="BC345" s="1293"/>
      <c r="BD345" s="1293"/>
      <c r="BE345" s="1293"/>
      <c r="BF345" s="1293"/>
      <c r="BG345" s="1293"/>
      <c r="BH345" s="1293"/>
      <c r="BI345" s="1293"/>
      <c r="BJ345" s="1293"/>
      <c r="BK345" s="1293"/>
      <c r="BL345" s="1293"/>
      <c r="BM345" s="1293"/>
      <c r="BN345" s="1293"/>
      <c r="BO345" s="1293"/>
      <c r="BP345" s="1293"/>
      <c r="BQ345" s="1293"/>
      <c r="BR345" s="1293"/>
      <c r="BS345" s="1293"/>
      <c r="BT345" s="1293"/>
      <c r="BU345" s="1293"/>
      <c r="BV345" s="1293"/>
      <c r="BW345" s="1293"/>
      <c r="BX345" s="1293"/>
      <c r="BY345" s="1293"/>
      <c r="BZ345" s="1293"/>
      <c r="CA345" s="1293"/>
      <c r="CB345" s="1293"/>
      <c r="CC345" s="1293"/>
      <c r="CD345" s="1293"/>
      <c r="CE345" s="1293"/>
      <c r="CF345" s="1293"/>
      <c r="CG345" s="1293"/>
    </row>
    <row r="346" spans="1:85" ht="15.75">
      <c r="A346" s="1293"/>
      <c r="B346" s="1293"/>
      <c r="C346" s="1293"/>
      <c r="D346" s="1293"/>
      <c r="E346" s="1293"/>
      <c r="F346" s="1293"/>
      <c r="G346" s="1293"/>
      <c r="H346" s="1293"/>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c r="AK346" s="1293"/>
      <c r="AL346" s="1293"/>
      <c r="AM346" s="1293"/>
      <c r="AN346" s="1293"/>
      <c r="AO346" s="1293"/>
      <c r="AP346" s="1293"/>
      <c r="AQ346" s="1293"/>
      <c r="AR346" s="1293"/>
      <c r="AS346" s="1293"/>
      <c r="AT346" s="1293"/>
      <c r="AU346" s="1293"/>
      <c r="AV346" s="1293"/>
      <c r="AW346" s="1293"/>
      <c r="AX346" s="1293"/>
      <c r="AY346" s="1293"/>
      <c r="AZ346" s="1293"/>
      <c r="BA346" s="1293"/>
      <c r="BB346" s="1293"/>
      <c r="BC346" s="1293"/>
      <c r="BD346" s="1293"/>
      <c r="BE346" s="1293"/>
      <c r="BF346" s="1293"/>
      <c r="BG346" s="1293"/>
      <c r="BH346" s="1293"/>
      <c r="BI346" s="1293"/>
      <c r="BJ346" s="1293"/>
      <c r="BK346" s="1293"/>
      <c r="BL346" s="1293"/>
      <c r="BM346" s="1293"/>
      <c r="BN346" s="1293"/>
      <c r="BO346" s="1293"/>
      <c r="BP346" s="1293"/>
      <c r="BQ346" s="1293"/>
      <c r="BR346" s="1293"/>
      <c r="BS346" s="1293"/>
      <c r="BT346" s="1293"/>
      <c r="BU346" s="1293"/>
      <c r="BV346" s="1293"/>
      <c r="BW346" s="1293"/>
      <c r="BX346" s="1293"/>
      <c r="BY346" s="1293"/>
      <c r="BZ346" s="1293"/>
      <c r="CA346" s="1293"/>
      <c r="CB346" s="1293"/>
      <c r="CC346" s="1293"/>
      <c r="CD346" s="1293"/>
      <c r="CE346" s="1293"/>
      <c r="CF346" s="1293"/>
      <c r="CG346" s="1293"/>
    </row>
    <row r="347" spans="1:85" ht="15.75">
      <c r="A347" s="1293"/>
      <c r="B347" s="1293"/>
      <c r="C347" s="1979" t="s">
        <v>9027</v>
      </c>
      <c r="D347" s="1293"/>
      <c r="E347" s="1293"/>
      <c r="F347" s="1293"/>
      <c r="G347" s="1293"/>
      <c r="H347" s="1293"/>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c r="AH347" s="1293"/>
      <c r="AI347" s="1293"/>
      <c r="AJ347" s="1293"/>
      <c r="AK347" s="1293"/>
      <c r="AL347" s="1293"/>
      <c r="AM347" s="1293"/>
      <c r="AN347" s="1293"/>
      <c r="AO347" s="1293"/>
      <c r="AP347" s="1293"/>
      <c r="AQ347" s="1293"/>
      <c r="AR347" s="1293"/>
      <c r="AS347" s="1293"/>
      <c r="AT347" s="1293"/>
      <c r="AU347" s="1293"/>
      <c r="AV347" s="1293"/>
      <c r="AW347" s="1293"/>
      <c r="AX347" s="1293"/>
      <c r="AY347" s="1293"/>
      <c r="AZ347" s="1293"/>
      <c r="BA347" s="1293"/>
      <c r="BB347" s="1293"/>
      <c r="BC347" s="1293"/>
      <c r="BD347" s="1293"/>
      <c r="BE347" s="1293"/>
      <c r="BF347" s="1293"/>
      <c r="BG347" s="1293"/>
      <c r="BH347" s="1293"/>
      <c r="BI347" s="1293"/>
      <c r="BJ347" s="1293"/>
      <c r="BK347" s="1293"/>
      <c r="BL347" s="1293"/>
      <c r="BM347" s="1293"/>
      <c r="BN347" s="1293"/>
      <c r="BO347" s="1293"/>
      <c r="BP347" s="1293"/>
      <c r="BQ347" s="1293"/>
      <c r="BR347" s="1293"/>
      <c r="BS347" s="1293"/>
      <c r="BT347" s="1293"/>
      <c r="BU347" s="1293"/>
      <c r="BV347" s="1293"/>
      <c r="BW347" s="1293"/>
      <c r="BX347" s="1293"/>
      <c r="BY347" s="1293"/>
      <c r="BZ347" s="1293"/>
      <c r="CA347" s="1293"/>
      <c r="CB347" s="1293"/>
      <c r="CC347" s="1293"/>
      <c r="CD347" s="1293"/>
      <c r="CE347" s="1293"/>
      <c r="CF347" s="1293"/>
      <c r="CG347" s="1293"/>
    </row>
    <row r="348" spans="1:85" ht="15.75">
      <c r="A348" s="1293"/>
      <c r="B348" s="1293"/>
      <c r="C348" s="1331"/>
      <c r="D348" s="1331">
        <f t="shared" ref="D348:T348" si="285">D272</f>
        <v>2014</v>
      </c>
      <c r="E348" s="1331">
        <f t="shared" si="285"/>
        <v>2015</v>
      </c>
      <c r="F348" s="1331">
        <f t="shared" si="285"/>
        <v>2016</v>
      </c>
      <c r="G348" s="1331">
        <f t="shared" si="285"/>
        <v>2017</v>
      </c>
      <c r="H348" s="1331">
        <f t="shared" si="285"/>
        <v>2018</v>
      </c>
      <c r="I348" s="1331">
        <f t="shared" si="285"/>
        <v>2019</v>
      </c>
      <c r="J348" s="1331">
        <f t="shared" si="285"/>
        <v>2020</v>
      </c>
      <c r="K348" s="1331">
        <f t="shared" si="285"/>
        <v>2021</v>
      </c>
      <c r="L348" s="1331">
        <f t="shared" si="285"/>
        <v>2022</v>
      </c>
      <c r="M348" s="1331">
        <f t="shared" si="285"/>
        <v>2023</v>
      </c>
      <c r="N348" s="1331">
        <f t="shared" si="285"/>
        <v>2024</v>
      </c>
      <c r="O348" s="1331">
        <f t="shared" si="285"/>
        <v>2025</v>
      </c>
      <c r="P348" s="1331">
        <f t="shared" si="285"/>
        <v>2026</v>
      </c>
      <c r="Q348" s="1331">
        <f t="shared" si="285"/>
        <v>2027</v>
      </c>
      <c r="R348" s="1331">
        <f t="shared" si="285"/>
        <v>2028</v>
      </c>
      <c r="S348" s="1331">
        <f t="shared" si="285"/>
        <v>2029</v>
      </c>
      <c r="T348" s="1331">
        <f t="shared" si="285"/>
        <v>2030</v>
      </c>
      <c r="U348" s="1293"/>
      <c r="V348" s="1293"/>
      <c r="W348" s="1293"/>
      <c r="X348" s="1293"/>
      <c r="Y348" s="1293"/>
      <c r="Z348" s="1293"/>
      <c r="AA348" s="1293"/>
      <c r="AB348" s="1293"/>
      <c r="AC348" s="1293"/>
      <c r="AD348" s="1293"/>
      <c r="AE348" s="1293"/>
      <c r="AF348" s="1293"/>
      <c r="AG348" s="1293"/>
      <c r="AH348" s="1293"/>
      <c r="AI348" s="1293"/>
      <c r="AJ348" s="1293"/>
      <c r="AK348" s="1293"/>
      <c r="AL348" s="1293"/>
      <c r="AM348" s="1293"/>
      <c r="AN348" s="1293"/>
      <c r="AO348" s="1293"/>
      <c r="AP348" s="1293"/>
      <c r="AQ348" s="1293"/>
      <c r="AR348" s="1293"/>
      <c r="AS348" s="1293"/>
      <c r="AT348" s="1293"/>
      <c r="AU348" s="1293"/>
      <c r="AV348" s="1293"/>
      <c r="AW348" s="1293"/>
      <c r="AX348" s="1293"/>
      <c r="AY348" s="1293"/>
      <c r="AZ348" s="1293"/>
      <c r="BA348" s="1293"/>
      <c r="BB348" s="1293"/>
      <c r="BC348" s="1293"/>
      <c r="BD348" s="1293"/>
      <c r="BE348" s="1293"/>
      <c r="BF348" s="1293"/>
      <c r="BG348" s="1293"/>
      <c r="BH348" s="1293"/>
      <c r="BI348" s="1293"/>
      <c r="BJ348" s="1293"/>
      <c r="BK348" s="1293"/>
      <c r="BL348" s="1293"/>
      <c r="BM348" s="1293"/>
      <c r="BN348" s="1293"/>
      <c r="BO348" s="1293"/>
      <c r="BP348" s="1293"/>
      <c r="BQ348" s="1293"/>
      <c r="BR348" s="1293"/>
      <c r="BS348" s="1293"/>
      <c r="BT348" s="1293"/>
      <c r="BU348" s="1293"/>
      <c r="BV348" s="1293"/>
      <c r="BW348" s="1293"/>
      <c r="BX348" s="1293"/>
      <c r="BY348" s="1293"/>
      <c r="BZ348" s="1293"/>
      <c r="CA348" s="1293"/>
      <c r="CB348" s="1293"/>
      <c r="CC348" s="1293"/>
      <c r="CD348" s="1293"/>
      <c r="CE348" s="1293"/>
      <c r="CF348" s="1293"/>
      <c r="CG348" s="1293"/>
    </row>
    <row r="349" spans="1:85" ht="15.75">
      <c r="A349" s="1293"/>
      <c r="B349" s="1293"/>
      <c r="C349" s="1293" t="str">
        <f t="shared" ref="C349:C356" si="286">C273</f>
        <v>El Salvador</v>
      </c>
      <c r="D349" s="1328">
        <f t="shared" ref="D349:N349" si="287">D273/D5</f>
        <v>0.36960340476047654</v>
      </c>
      <c r="E349" s="1328">
        <f t="shared" si="287"/>
        <v>0.37506438759533062</v>
      </c>
      <c r="F349" s="1328">
        <f t="shared" si="287"/>
        <v>0.34809861876227483</v>
      </c>
      <c r="G349" s="1328">
        <f t="shared" si="287"/>
        <v>0.3664302600472813</v>
      </c>
      <c r="H349" s="1328">
        <f t="shared" si="287"/>
        <v>0.35467980295566504</v>
      </c>
      <c r="I349" s="1328">
        <f t="shared" si="287"/>
        <v>0.36269430051813473</v>
      </c>
      <c r="J349" s="1328">
        <f t="shared" si="287"/>
        <v>0.34358974358974359</v>
      </c>
      <c r="K349" s="1328">
        <f t="shared" si="287"/>
        <v>0.36241610738255031</v>
      </c>
      <c r="L349" s="1328">
        <f t="shared" si="287"/>
        <v>0.36940350877192984</v>
      </c>
      <c r="M349" s="1328">
        <f t="shared" si="287"/>
        <v>0.37589453437199138</v>
      </c>
      <c r="N349" s="1328">
        <f t="shared" si="287"/>
        <v>0.43587477960548882</v>
      </c>
      <c r="O349" s="2014">
        <v>0.435</v>
      </c>
      <c r="P349" s="2014">
        <f>O349+0.5%</f>
        <v>0.44</v>
      </c>
      <c r="Q349" s="2014">
        <f t="shared" ref="Q349:R349" si="288">P349+0.5%</f>
        <v>0.44500000000000001</v>
      </c>
      <c r="R349" s="2014">
        <f t="shared" si="288"/>
        <v>0.45</v>
      </c>
      <c r="S349" s="2014">
        <v>0.46</v>
      </c>
      <c r="T349" s="2014">
        <v>0.47</v>
      </c>
      <c r="U349" s="1293"/>
      <c r="V349" s="1293"/>
      <c r="W349" s="1293"/>
      <c r="X349" s="1293"/>
      <c r="Y349" s="1293"/>
      <c r="Z349" s="1293"/>
      <c r="AA349" s="1293"/>
      <c r="AB349" s="1293"/>
      <c r="AC349" s="1293"/>
      <c r="AD349" s="1293"/>
      <c r="AE349" s="1293"/>
      <c r="AF349" s="1293"/>
      <c r="AG349" s="1293"/>
      <c r="AH349" s="1293"/>
      <c r="AI349" s="1293"/>
      <c r="AJ349" s="1293"/>
      <c r="AK349" s="1293"/>
      <c r="AL349" s="1293"/>
      <c r="AM349" s="1293"/>
      <c r="AN349" s="1293"/>
      <c r="AO349" s="1293"/>
      <c r="AP349" s="1293"/>
      <c r="AQ349" s="1293"/>
      <c r="AR349" s="1293"/>
      <c r="AS349" s="1293"/>
      <c r="AT349" s="1293"/>
      <c r="AU349" s="1293"/>
      <c r="AV349" s="1293"/>
      <c r="AW349" s="1293"/>
      <c r="AX349" s="1293"/>
      <c r="AY349" s="1293"/>
      <c r="AZ349" s="1293"/>
      <c r="BA349" s="1293"/>
      <c r="BB349" s="1293"/>
      <c r="BC349" s="1293"/>
      <c r="BD349" s="1293"/>
      <c r="BE349" s="1293"/>
      <c r="BF349" s="1293"/>
      <c r="BG349" s="1293"/>
      <c r="BH349" s="1293"/>
      <c r="BI349" s="1293"/>
      <c r="BJ349" s="1293"/>
      <c r="BK349" s="1293"/>
      <c r="BL349" s="1293"/>
      <c r="BM349" s="1293"/>
      <c r="BN349" s="1293"/>
      <c r="BO349" s="1293"/>
      <c r="BP349" s="1293"/>
      <c r="BQ349" s="1293"/>
      <c r="BR349" s="1293"/>
      <c r="BS349" s="1293"/>
      <c r="BT349" s="1293"/>
      <c r="BU349" s="1293"/>
      <c r="BV349" s="1293"/>
      <c r="BW349" s="1293"/>
      <c r="BX349" s="1293"/>
      <c r="BY349" s="1293"/>
      <c r="BZ349" s="1293"/>
      <c r="CA349" s="1293"/>
      <c r="CB349" s="1293"/>
      <c r="CC349" s="1293"/>
      <c r="CD349" s="1293"/>
      <c r="CE349" s="1293"/>
      <c r="CF349" s="1293"/>
      <c r="CG349" s="1293"/>
    </row>
    <row r="350" spans="1:85" ht="15.75">
      <c r="A350" s="1293"/>
      <c r="B350" s="1293"/>
      <c r="C350" s="1293" t="str">
        <f t="shared" si="286"/>
        <v>Guatemala</v>
      </c>
      <c r="D350" s="1328">
        <f t="shared" ref="D350:N350" si="289">D274/D6</f>
        <v>0.50824365449517483</v>
      </c>
      <c r="E350" s="1328">
        <f t="shared" si="289"/>
        <v>0.49882970012548239</v>
      </c>
      <c r="F350" s="1328">
        <f t="shared" si="289"/>
        <v>0.49177736155286356</v>
      </c>
      <c r="G350" s="1328">
        <f t="shared" si="289"/>
        <v>0.50113036925395626</v>
      </c>
      <c r="H350" s="1328">
        <f t="shared" si="289"/>
        <v>0.50182083029861613</v>
      </c>
      <c r="I350" s="1328">
        <f t="shared" si="289"/>
        <v>0.52195121951219514</v>
      </c>
      <c r="J350" s="1328">
        <f t="shared" si="289"/>
        <v>0.51829673985362612</v>
      </c>
      <c r="K350" s="1328">
        <f t="shared" si="289"/>
        <v>0.53562500000000002</v>
      </c>
      <c r="L350" s="1328">
        <f t="shared" si="289"/>
        <v>0.52896851510292608</v>
      </c>
      <c r="M350" s="1328">
        <f t="shared" si="289"/>
        <v>0.51791906051317571</v>
      </c>
      <c r="N350" s="1328">
        <f t="shared" si="289"/>
        <v>0.5407709565597546</v>
      </c>
      <c r="O350" s="2014">
        <v>0.54</v>
      </c>
      <c r="P350" s="2014">
        <f t="shared" ref="P350:Q350" si="290">O350+0.25%</f>
        <v>0.54249999999999998</v>
      </c>
      <c r="Q350" s="2014">
        <f t="shared" si="290"/>
        <v>0.54499999999999993</v>
      </c>
      <c r="R350" s="2014">
        <f t="shared" ref="R350" si="291">Q350+0.25%</f>
        <v>0.54749999999999988</v>
      </c>
      <c r="S350" s="2014">
        <f t="shared" ref="S350" si="292">R350+0.25%</f>
        <v>0.54999999999999982</v>
      </c>
      <c r="T350" s="2014">
        <f t="shared" ref="T350" si="293">S350+0.25%</f>
        <v>0.55249999999999977</v>
      </c>
      <c r="U350" s="1293"/>
      <c r="V350" s="1293"/>
      <c r="W350" s="1293"/>
      <c r="X350" s="1293"/>
      <c r="Y350" s="1293"/>
      <c r="Z350" s="1293"/>
      <c r="AA350" s="1293"/>
      <c r="AB350" s="1293"/>
      <c r="AC350" s="1293"/>
      <c r="AD350" s="1293"/>
      <c r="AE350" s="1293"/>
      <c r="AF350" s="1293"/>
      <c r="AG350" s="1293"/>
      <c r="AH350" s="1293"/>
      <c r="AI350" s="1293"/>
      <c r="AJ350" s="1293"/>
      <c r="AK350" s="1293"/>
      <c r="AL350" s="1293"/>
      <c r="AM350" s="1293"/>
      <c r="AN350" s="1293"/>
      <c r="AO350" s="1293"/>
      <c r="AP350" s="1293"/>
      <c r="AQ350" s="1293"/>
      <c r="AR350" s="1293"/>
      <c r="AS350" s="1293"/>
      <c r="AT350" s="1293"/>
      <c r="AU350" s="1293"/>
      <c r="AV350" s="1293"/>
      <c r="AW350" s="1293"/>
      <c r="AX350" s="1293"/>
      <c r="AY350" s="1293"/>
      <c r="AZ350" s="1293"/>
      <c r="BA350" s="1293"/>
      <c r="BB350" s="1293"/>
      <c r="BC350" s="1293"/>
      <c r="BD350" s="1293"/>
      <c r="BE350" s="1293"/>
      <c r="BF350" s="1293"/>
      <c r="BG350" s="1293"/>
      <c r="BH350" s="1293"/>
      <c r="BI350" s="1293"/>
      <c r="BJ350" s="1293"/>
      <c r="BK350" s="1293"/>
      <c r="BL350" s="1293"/>
      <c r="BM350" s="1293"/>
      <c r="BN350" s="1293"/>
      <c r="BO350" s="1293"/>
      <c r="BP350" s="1293"/>
      <c r="BQ350" s="1293"/>
      <c r="BR350" s="1293"/>
      <c r="BS350" s="1293"/>
      <c r="BT350" s="1293"/>
      <c r="BU350" s="1293"/>
      <c r="BV350" s="1293"/>
      <c r="BW350" s="1293"/>
      <c r="BX350" s="1293"/>
      <c r="BY350" s="1293"/>
      <c r="BZ350" s="1293"/>
      <c r="CA350" s="1293"/>
      <c r="CB350" s="1293"/>
      <c r="CC350" s="1293"/>
      <c r="CD350" s="1293"/>
      <c r="CE350" s="1293"/>
      <c r="CF350" s="1293"/>
      <c r="CG350" s="1293"/>
    </row>
    <row r="351" spans="1:85" ht="15.75">
      <c r="A351" s="1293"/>
      <c r="B351" s="1293"/>
      <c r="C351" s="1293" t="str">
        <f t="shared" si="286"/>
        <v>Honduras (JV)</v>
      </c>
      <c r="D351" s="1328">
        <f t="shared" ref="D351:N351" si="294">D275/D7</f>
        <v>0.45442074458481868</v>
      </c>
      <c r="E351" s="1328">
        <f t="shared" si="294"/>
        <v>0.42185852785878042</v>
      </c>
      <c r="F351" s="1328">
        <f t="shared" si="294"/>
        <v>0.42028665320554565</v>
      </c>
      <c r="G351" s="1328">
        <f t="shared" si="294"/>
        <v>0.45299145299145299</v>
      </c>
      <c r="H351" s="1328">
        <f t="shared" si="294"/>
        <v>0.43515358361774742</v>
      </c>
      <c r="I351" s="1328">
        <f t="shared" si="294"/>
        <v>0.4713804713804714</v>
      </c>
      <c r="J351" s="1328">
        <f t="shared" si="294"/>
        <v>0.44746376811594202</v>
      </c>
      <c r="K351" s="1328">
        <f t="shared" si="294"/>
        <v>0.43972835314091679</v>
      </c>
      <c r="L351" s="1328">
        <f t="shared" si="294"/>
        <v>0.44726098765010336</v>
      </c>
      <c r="M351" s="1328">
        <f t="shared" si="294"/>
        <v>0.45020948418811385</v>
      </c>
      <c r="N351" s="1328">
        <f t="shared" si="294"/>
        <v>0.48892276531343354</v>
      </c>
      <c r="O351" s="2014">
        <f>N351+0.25%</f>
        <v>0.49142276531343354</v>
      </c>
      <c r="P351" s="2014">
        <f t="shared" ref="P351:Q351" si="295">O351+0.25%</f>
        <v>0.49392276531343354</v>
      </c>
      <c r="Q351" s="2014">
        <f t="shared" si="295"/>
        <v>0.49642276531343354</v>
      </c>
      <c r="R351" s="2014">
        <v>0.5</v>
      </c>
      <c r="S351" s="2014">
        <v>0.505</v>
      </c>
      <c r="T351" s="2014">
        <v>0.51</v>
      </c>
      <c r="U351" s="1293"/>
      <c r="V351" s="1293"/>
      <c r="W351" s="1293"/>
      <c r="X351" s="1699"/>
      <c r="Y351" s="1293"/>
      <c r="Z351" s="1293"/>
      <c r="AA351" s="1293"/>
      <c r="AB351" s="1293"/>
      <c r="AC351" s="1293"/>
      <c r="AD351" s="1293"/>
      <c r="AE351" s="1293"/>
      <c r="AF351" s="1293"/>
      <c r="AG351" s="1293"/>
      <c r="AH351" s="1293"/>
      <c r="AI351" s="1293"/>
      <c r="AJ351" s="1293"/>
      <c r="AK351" s="1293"/>
      <c r="AL351" s="1293"/>
      <c r="AM351" s="1293"/>
      <c r="AN351" s="1293"/>
      <c r="AO351" s="1293"/>
      <c r="AP351" s="1293"/>
      <c r="AQ351" s="1293"/>
      <c r="AR351" s="1293"/>
      <c r="AS351" s="1293"/>
      <c r="AT351" s="1293"/>
      <c r="AU351" s="1293"/>
      <c r="AV351" s="1293"/>
      <c r="AW351" s="1293"/>
      <c r="AX351" s="1293"/>
      <c r="AY351" s="1293"/>
      <c r="AZ351" s="1293"/>
      <c r="BA351" s="1293"/>
      <c r="BB351" s="1293"/>
      <c r="BC351" s="1293"/>
      <c r="BD351" s="1293"/>
      <c r="BE351" s="1293"/>
      <c r="BF351" s="1293"/>
      <c r="BG351" s="1293"/>
      <c r="BH351" s="1293"/>
      <c r="BI351" s="1293"/>
      <c r="BJ351" s="1293"/>
      <c r="BK351" s="1293"/>
      <c r="BL351" s="1293"/>
      <c r="BM351" s="1293"/>
      <c r="BN351" s="1293"/>
      <c r="BO351" s="1293"/>
      <c r="BP351" s="1293"/>
      <c r="BQ351" s="1293"/>
      <c r="BR351" s="1293"/>
      <c r="BS351" s="1293"/>
      <c r="BT351" s="1293"/>
      <c r="BU351" s="1293"/>
      <c r="BV351" s="1293"/>
      <c r="BW351" s="1293"/>
      <c r="BX351" s="1293"/>
      <c r="BY351" s="1293"/>
      <c r="BZ351" s="1293"/>
      <c r="CA351" s="1293"/>
      <c r="CB351" s="1293"/>
      <c r="CC351" s="1293"/>
      <c r="CD351" s="1293"/>
      <c r="CE351" s="1293"/>
      <c r="CF351" s="1293"/>
      <c r="CG351" s="1293"/>
    </row>
    <row r="352" spans="1:85" ht="15.75">
      <c r="A352" s="1293"/>
      <c r="B352" s="1293"/>
      <c r="C352" s="1293" t="str">
        <f t="shared" si="286"/>
        <v>Panama</v>
      </c>
      <c r="D352" s="1328"/>
      <c r="E352" s="1328"/>
      <c r="F352" s="1328"/>
      <c r="G352" s="1328"/>
      <c r="H352" s="1328"/>
      <c r="I352" s="1328"/>
      <c r="J352" s="1328"/>
      <c r="K352" s="1328"/>
      <c r="L352" s="1328">
        <f t="shared" ref="L352:N356" si="296">L276/L8</f>
        <v>0.4582160371236938</v>
      </c>
      <c r="M352" s="1328">
        <f t="shared" si="296"/>
        <v>0.4229567730339216</v>
      </c>
      <c r="N352" s="1328">
        <f t="shared" si="296"/>
        <v>0.46843960447249472</v>
      </c>
      <c r="O352" s="2014">
        <v>0.47</v>
      </c>
      <c r="P352" s="2014">
        <f t="shared" ref="P352:Q352" si="297">O352+0.25%</f>
        <v>0.47249999999999998</v>
      </c>
      <c r="Q352" s="2014">
        <f t="shared" si="297"/>
        <v>0.47499999999999998</v>
      </c>
      <c r="R352" s="2014">
        <v>0.48</v>
      </c>
      <c r="S352" s="2014">
        <v>0.48499999999999999</v>
      </c>
      <c r="T352" s="2014">
        <v>0.49</v>
      </c>
      <c r="U352" s="1293"/>
      <c r="V352" s="1293"/>
      <c r="W352" s="1293"/>
      <c r="X352" s="1699"/>
      <c r="Y352" s="1293"/>
      <c r="Z352" s="1293"/>
      <c r="AA352" s="1293"/>
      <c r="AB352" s="1293"/>
      <c r="AC352" s="1293"/>
      <c r="AD352" s="1293"/>
      <c r="AE352" s="1293"/>
      <c r="AF352" s="1293"/>
      <c r="AG352" s="1293"/>
      <c r="AH352" s="1293"/>
      <c r="AI352" s="1293"/>
      <c r="AJ352" s="1293"/>
      <c r="AK352" s="1293"/>
      <c r="AL352" s="1293"/>
      <c r="AM352" s="1293"/>
      <c r="AN352" s="1293"/>
      <c r="AO352" s="1293"/>
      <c r="AP352" s="1293"/>
      <c r="AQ352" s="1293"/>
      <c r="AR352" s="1293"/>
      <c r="AS352" s="1293"/>
      <c r="AT352" s="1293"/>
      <c r="AU352" s="1293"/>
      <c r="AV352" s="1293"/>
      <c r="AW352" s="1293"/>
      <c r="AX352" s="1293"/>
      <c r="AY352" s="1293"/>
      <c r="AZ352" s="1293"/>
      <c r="BA352" s="1293"/>
      <c r="BB352" s="1293"/>
      <c r="BC352" s="1293"/>
      <c r="BD352" s="1293"/>
      <c r="BE352" s="1293"/>
      <c r="BF352" s="1293"/>
      <c r="BG352" s="1293"/>
      <c r="BH352" s="1293"/>
      <c r="BI352" s="1293"/>
      <c r="BJ352" s="1293"/>
      <c r="BK352" s="1293"/>
      <c r="BL352" s="1293"/>
      <c r="BM352" s="1293"/>
      <c r="BN352" s="1293"/>
      <c r="BO352" s="1293"/>
      <c r="BP352" s="1293"/>
      <c r="BQ352" s="1293"/>
      <c r="BR352" s="1293"/>
      <c r="BS352" s="1293"/>
      <c r="BT352" s="1293"/>
      <c r="BU352" s="1293"/>
      <c r="BV352" s="1293"/>
      <c r="BW352" s="1293"/>
      <c r="BX352" s="1293"/>
      <c r="BY352" s="1293"/>
      <c r="BZ352" s="1293"/>
      <c r="CA352" s="1293"/>
      <c r="CB352" s="1293"/>
      <c r="CC352" s="1293"/>
      <c r="CD352" s="1293"/>
      <c r="CE352" s="1293"/>
      <c r="CF352" s="1293"/>
      <c r="CG352" s="1293"/>
    </row>
    <row r="353" spans="1:85" ht="15.75">
      <c r="A353" s="1293"/>
      <c r="B353" s="1293"/>
      <c r="C353" s="1293" t="str">
        <f t="shared" si="286"/>
        <v>Costa Rica</v>
      </c>
      <c r="D353" s="1328"/>
      <c r="E353" s="1328"/>
      <c r="F353" s="1328"/>
      <c r="G353" s="1328"/>
      <c r="H353" s="1328"/>
      <c r="I353" s="1328"/>
      <c r="J353" s="1328"/>
      <c r="K353" s="1328"/>
      <c r="L353" s="1328">
        <f t="shared" si="296"/>
        <v>0.32587866851961755</v>
      </c>
      <c r="M353" s="1328">
        <f t="shared" si="296"/>
        <v>0.36075880902812707</v>
      </c>
      <c r="N353" s="1328">
        <f t="shared" si="296"/>
        <v>0.32885329075632469</v>
      </c>
      <c r="O353" s="2014">
        <v>0.33</v>
      </c>
      <c r="P353" s="2014">
        <v>0.33</v>
      </c>
      <c r="Q353" s="2014">
        <v>0.33</v>
      </c>
      <c r="R353" s="2014">
        <v>0.33</v>
      </c>
      <c r="S353" s="2014">
        <v>0.33</v>
      </c>
      <c r="T353" s="2014">
        <v>0.33</v>
      </c>
      <c r="U353" s="1293"/>
      <c r="V353" s="1293"/>
      <c r="W353" s="1293"/>
      <c r="X353" s="1699"/>
      <c r="Y353" s="1293"/>
      <c r="Z353" s="1293"/>
      <c r="AA353" s="1293"/>
      <c r="AB353" s="1293"/>
      <c r="AC353" s="1293"/>
      <c r="AD353" s="1293"/>
      <c r="AE353" s="1293"/>
      <c r="AF353" s="1293"/>
      <c r="AG353" s="1293"/>
      <c r="AH353" s="1293"/>
      <c r="AI353" s="1293"/>
      <c r="AJ353" s="1293"/>
      <c r="AK353" s="1293"/>
      <c r="AL353" s="1293"/>
      <c r="AM353" s="1293"/>
      <c r="AN353" s="1293"/>
      <c r="AO353" s="1293"/>
      <c r="AP353" s="1293"/>
      <c r="AQ353" s="1293"/>
      <c r="AR353" s="1293"/>
      <c r="AS353" s="1293"/>
      <c r="AT353" s="1293"/>
      <c r="AU353" s="1293"/>
      <c r="AV353" s="1293"/>
      <c r="AW353" s="1293"/>
      <c r="AX353" s="1293"/>
      <c r="AY353" s="1293"/>
      <c r="AZ353" s="1293"/>
      <c r="BA353" s="1293"/>
      <c r="BB353" s="1293"/>
      <c r="BC353" s="1293"/>
      <c r="BD353" s="1293"/>
      <c r="BE353" s="1293"/>
      <c r="BF353" s="1293"/>
      <c r="BG353" s="1293"/>
      <c r="BH353" s="1293"/>
      <c r="BI353" s="1293"/>
      <c r="BJ353" s="1293"/>
      <c r="BK353" s="1293"/>
      <c r="BL353" s="1293"/>
      <c r="BM353" s="1293"/>
      <c r="BN353" s="1293"/>
      <c r="BO353" s="1293"/>
      <c r="BP353" s="1293"/>
      <c r="BQ353" s="1293"/>
      <c r="BR353" s="1293"/>
      <c r="BS353" s="1293"/>
      <c r="BT353" s="1293"/>
      <c r="BU353" s="1293"/>
      <c r="BV353" s="1293"/>
      <c r="BW353" s="1293"/>
      <c r="BX353" s="1293"/>
      <c r="BY353" s="1293"/>
      <c r="BZ353" s="1293"/>
      <c r="CA353" s="1293"/>
      <c r="CB353" s="1293"/>
      <c r="CC353" s="1293"/>
      <c r="CD353" s="1293"/>
      <c r="CE353" s="1293"/>
      <c r="CF353" s="1293"/>
      <c r="CG353" s="1293"/>
    </row>
    <row r="354" spans="1:85" ht="15.75">
      <c r="A354" s="1293"/>
      <c r="B354" s="1293"/>
      <c r="C354" s="1293" t="str">
        <f t="shared" si="286"/>
        <v>Nicaragua</v>
      </c>
      <c r="D354" s="1328"/>
      <c r="E354" s="1328"/>
      <c r="F354" s="1328"/>
      <c r="G354" s="1328"/>
      <c r="H354" s="1328"/>
      <c r="I354" s="1328"/>
      <c r="J354" s="1328"/>
      <c r="K354" s="1328"/>
      <c r="L354" s="1328">
        <f t="shared" si="296"/>
        <v>0.4414198754938819</v>
      </c>
      <c r="M354" s="1328">
        <f t="shared" si="296"/>
        <v>0.44838895568193354</v>
      </c>
      <c r="N354" s="1328">
        <f t="shared" si="296"/>
        <v>0.46978124257930454</v>
      </c>
      <c r="O354" s="2014">
        <v>0.47</v>
      </c>
      <c r="P354" s="2014">
        <f t="shared" ref="P354:R354" si="298">O354+0.25%</f>
        <v>0.47249999999999998</v>
      </c>
      <c r="Q354" s="2014">
        <f t="shared" si="298"/>
        <v>0.47499999999999998</v>
      </c>
      <c r="R354" s="2014">
        <f t="shared" si="298"/>
        <v>0.47749999999999998</v>
      </c>
      <c r="S354" s="2014">
        <v>0.48499999999999999</v>
      </c>
      <c r="T354" s="2014">
        <v>0.49</v>
      </c>
      <c r="U354" s="1293"/>
      <c r="V354" s="1293"/>
      <c r="W354" s="1293"/>
      <c r="X354" s="1293"/>
      <c r="Y354" s="1293"/>
      <c r="Z354" s="1293"/>
      <c r="AA354" s="1293"/>
      <c r="AB354" s="1293"/>
      <c r="AC354" s="1293"/>
      <c r="AD354" s="1293"/>
      <c r="AE354" s="1293"/>
      <c r="AF354" s="1293"/>
      <c r="AG354" s="1293"/>
      <c r="AH354" s="1293"/>
      <c r="AI354" s="1293"/>
      <c r="AJ354" s="1293"/>
      <c r="AK354" s="1293"/>
      <c r="AL354" s="1293"/>
      <c r="AM354" s="1293"/>
      <c r="AN354" s="1293"/>
      <c r="AO354" s="1293"/>
      <c r="AP354" s="1293"/>
      <c r="AQ354" s="1293"/>
      <c r="AR354" s="1293"/>
      <c r="AS354" s="1293"/>
      <c r="AT354" s="1293"/>
      <c r="AU354" s="1293"/>
      <c r="AV354" s="1293"/>
      <c r="AW354" s="1293"/>
      <c r="AX354" s="1293"/>
      <c r="AY354" s="1293"/>
      <c r="AZ354" s="1293"/>
      <c r="BA354" s="1293"/>
      <c r="BB354" s="1293"/>
      <c r="BC354" s="1293"/>
      <c r="BD354" s="1293"/>
      <c r="BE354" s="1293"/>
      <c r="BF354" s="1293"/>
      <c r="BG354" s="1293"/>
      <c r="BH354" s="1293"/>
      <c r="BI354" s="1293"/>
      <c r="BJ354" s="1293"/>
      <c r="BK354" s="1293"/>
      <c r="BL354" s="1293"/>
      <c r="BM354" s="1293"/>
      <c r="BN354" s="1293"/>
      <c r="BO354" s="1293"/>
      <c r="BP354" s="1293"/>
      <c r="BQ354" s="1293"/>
      <c r="BR354" s="1293"/>
      <c r="BS354" s="1293"/>
      <c r="BT354" s="1293"/>
      <c r="BU354" s="1293"/>
      <c r="BV354" s="1293"/>
      <c r="BW354" s="1293"/>
      <c r="BX354" s="1293"/>
      <c r="BY354" s="1293"/>
      <c r="BZ354" s="1293"/>
      <c r="CA354" s="1293"/>
      <c r="CB354" s="1293"/>
      <c r="CC354" s="1293"/>
      <c r="CD354" s="1293"/>
      <c r="CE354" s="1293"/>
      <c r="CF354" s="1293"/>
      <c r="CG354" s="1293"/>
    </row>
    <row r="355" spans="1:85" ht="15.75" hidden="1" outlineLevel="1">
      <c r="A355" s="1293"/>
      <c r="B355" s="1293"/>
      <c r="C355" s="1982" t="str">
        <f t="shared" si="286"/>
        <v>Panama - Onda</v>
      </c>
      <c r="D355" s="1328"/>
      <c r="E355" s="1328"/>
      <c r="F355" s="1328"/>
      <c r="G355" s="1328"/>
      <c r="H355" s="1328"/>
      <c r="I355" s="1328"/>
      <c r="J355" s="1328"/>
      <c r="K355" s="1328"/>
      <c r="L355" s="1328">
        <f t="shared" si="296"/>
        <v>0.4582160371236938</v>
      </c>
      <c r="M355" s="1328">
        <f t="shared" si="296"/>
        <v>0.4229567730339216</v>
      </c>
      <c r="N355" s="1328">
        <f t="shared" si="296"/>
        <v>0.42794027900740067</v>
      </c>
      <c r="O355" s="1328">
        <f t="shared" ref="O355:T355" si="299">O279/O11</f>
        <v>0.41</v>
      </c>
      <c r="P355" s="1328">
        <f t="shared" si="299"/>
        <v>0.42</v>
      </c>
      <c r="Q355" s="1328">
        <f t="shared" si="299"/>
        <v>0.43</v>
      </c>
      <c r="R355" s="1328">
        <f t="shared" si="299"/>
        <v>0.44</v>
      </c>
      <c r="S355" s="1328">
        <f t="shared" si="299"/>
        <v>0.44</v>
      </c>
      <c r="T355" s="1328">
        <f t="shared" si="299"/>
        <v>0.44</v>
      </c>
      <c r="U355" s="1293"/>
      <c r="V355" s="1293"/>
      <c r="W355" s="1293"/>
      <c r="X355" s="1293"/>
      <c r="Y355" s="1293"/>
      <c r="Z355" s="1293"/>
      <c r="AA355" s="1293"/>
      <c r="AB355" s="1293"/>
      <c r="AC355" s="1293"/>
      <c r="AD355" s="1293"/>
      <c r="AE355" s="1293"/>
      <c r="AF355" s="1293"/>
      <c r="AG355" s="1293"/>
      <c r="AH355" s="1293"/>
      <c r="AI355" s="1293"/>
      <c r="AJ355" s="1293"/>
      <c r="AK355" s="1293"/>
      <c r="AL355" s="1293"/>
      <c r="AM355" s="1293"/>
      <c r="AN355" s="1293"/>
      <c r="AO355" s="1293"/>
      <c r="AP355" s="1293"/>
      <c r="AQ355" s="1293"/>
      <c r="AR355" s="1293"/>
      <c r="AS355" s="1293"/>
      <c r="AT355" s="1293"/>
      <c r="AU355" s="1293"/>
      <c r="AV355" s="1293"/>
      <c r="AW355" s="1293"/>
      <c r="AX355" s="1293"/>
      <c r="AY355" s="1293"/>
      <c r="AZ355" s="1293"/>
      <c r="BA355" s="1293"/>
      <c r="BB355" s="1293"/>
      <c r="BC355" s="1293"/>
      <c r="BD355" s="1293"/>
      <c r="BE355" s="1293"/>
      <c r="BF355" s="1293"/>
      <c r="BG355" s="1293"/>
      <c r="BH355" s="1293"/>
      <c r="BI355" s="1293"/>
      <c r="BJ355" s="1293"/>
      <c r="BK355" s="1293"/>
      <c r="BL355" s="1293"/>
      <c r="BM355" s="1293"/>
      <c r="BN355" s="1293"/>
      <c r="BO355" s="1293"/>
      <c r="BP355" s="1293"/>
      <c r="BQ355" s="1293"/>
      <c r="BR355" s="1293"/>
      <c r="BS355" s="1293"/>
      <c r="BT355" s="1293"/>
      <c r="BU355" s="1293"/>
      <c r="BV355" s="1293"/>
      <c r="BW355" s="1293"/>
      <c r="BX355" s="1293"/>
      <c r="BY355" s="1293"/>
      <c r="BZ355" s="1293"/>
      <c r="CA355" s="1293"/>
      <c r="CB355" s="1293"/>
      <c r="CC355" s="1293"/>
      <c r="CD355" s="1293"/>
      <c r="CE355" s="1293"/>
      <c r="CF355" s="1293"/>
      <c r="CG355" s="1293"/>
    </row>
    <row r="356" spans="1:85" ht="15.75" hidden="1" outlineLevel="1">
      <c r="A356" s="1293"/>
      <c r="B356" s="1293"/>
      <c r="C356" s="1982" t="str">
        <f t="shared" si="286"/>
        <v>Costa Rica/old Nicaragua</v>
      </c>
      <c r="D356" s="1328">
        <f t="shared" ref="D356:K356" si="300">D280/D12</f>
        <v>0.49559444925576623</v>
      </c>
      <c r="E356" s="1328">
        <f t="shared" si="300"/>
        <v>0.41666418632342717</v>
      </c>
      <c r="F356" s="1328">
        <f t="shared" si="300"/>
        <v>0.40876029546694004</v>
      </c>
      <c r="G356" s="1328">
        <f t="shared" si="300"/>
        <v>0.40939597315436244</v>
      </c>
      <c r="H356" s="1328">
        <f t="shared" si="300"/>
        <v>0.4061219022103148</v>
      </c>
      <c r="I356" s="1328">
        <f t="shared" si="300"/>
        <v>0.39739583333333328</v>
      </c>
      <c r="J356" s="1328">
        <f t="shared" si="300"/>
        <v>0.38036809815950923</v>
      </c>
      <c r="K356" s="1328">
        <f t="shared" si="300"/>
        <v>0.45</v>
      </c>
      <c r="L356" s="1328">
        <f t="shared" si="296"/>
        <v>0.44918918918918915</v>
      </c>
      <c r="M356" s="1328">
        <f t="shared" si="296"/>
        <v>0.46163593769726785</v>
      </c>
      <c r="N356" s="1328">
        <f t="shared" si="296"/>
        <v>0.51851851851851849</v>
      </c>
      <c r="O356" s="2014">
        <v>0.52</v>
      </c>
      <c r="P356" s="2014">
        <v>0.52500000000000002</v>
      </c>
      <c r="Q356" s="2014">
        <v>0.53</v>
      </c>
      <c r="R356" s="2014">
        <v>0.53</v>
      </c>
      <c r="S356" s="2014">
        <v>0.53</v>
      </c>
      <c r="T356" s="2014">
        <v>0.53</v>
      </c>
      <c r="U356" s="1293"/>
      <c r="V356" s="1293"/>
      <c r="W356" s="1293"/>
      <c r="X356" s="1293"/>
      <c r="Y356" s="1293"/>
      <c r="Z356" s="1293"/>
      <c r="AA356" s="1293"/>
      <c r="AB356" s="1293"/>
      <c r="AC356" s="1293"/>
      <c r="AD356" s="1293"/>
      <c r="AE356" s="1293"/>
      <c r="AF356" s="1293"/>
      <c r="AG356" s="1293"/>
      <c r="AH356" s="1293"/>
      <c r="AI356" s="1293"/>
      <c r="AJ356" s="1293"/>
      <c r="AK356" s="1293"/>
      <c r="AL356" s="1293"/>
      <c r="AM356" s="1293"/>
      <c r="AN356" s="1293"/>
      <c r="AO356" s="1293"/>
      <c r="AP356" s="1293"/>
      <c r="AQ356" s="1293"/>
      <c r="AR356" s="1293"/>
      <c r="AS356" s="1293"/>
      <c r="AT356" s="1293"/>
      <c r="AU356" s="1293"/>
      <c r="AV356" s="1293"/>
      <c r="AW356" s="1293"/>
      <c r="AX356" s="1293"/>
      <c r="AY356" s="1293"/>
      <c r="AZ356" s="1293"/>
      <c r="BA356" s="1293"/>
      <c r="BB356" s="1293"/>
      <c r="BC356" s="1293"/>
      <c r="BD356" s="1293"/>
      <c r="BE356" s="1293"/>
      <c r="BF356" s="1293"/>
      <c r="BG356" s="1293"/>
      <c r="BH356" s="1293"/>
      <c r="BI356" s="1293"/>
      <c r="BJ356" s="1293"/>
      <c r="BK356" s="1293"/>
      <c r="BL356" s="1293"/>
      <c r="BM356" s="1293"/>
      <c r="BN356" s="1293"/>
      <c r="BO356" s="1293"/>
      <c r="BP356" s="1293"/>
      <c r="BQ356" s="1293"/>
      <c r="BR356" s="1293"/>
      <c r="BS356" s="1293"/>
      <c r="BT356" s="1293"/>
      <c r="BU356" s="1293"/>
      <c r="BV356" s="1293"/>
      <c r="BW356" s="1293"/>
      <c r="BX356" s="1293"/>
      <c r="BY356" s="1293"/>
      <c r="BZ356" s="1293"/>
      <c r="CA356" s="1293"/>
      <c r="CB356" s="1293"/>
      <c r="CC356" s="1293"/>
      <c r="CD356" s="1293"/>
      <c r="CE356" s="1293"/>
      <c r="CF356" s="1293"/>
      <c r="CG356" s="1293"/>
    </row>
    <row r="357" spans="1:85" ht="15.75" hidden="1" outlineLevel="1">
      <c r="A357" s="1293"/>
      <c r="B357" s="1293"/>
      <c r="C357" s="1982" t="str">
        <f>C282</f>
        <v>Costa Rica wireless</v>
      </c>
      <c r="D357" s="1328"/>
      <c r="E357" s="1328"/>
      <c r="F357" s="1328"/>
      <c r="G357" s="1328"/>
      <c r="H357" s="1328"/>
      <c r="I357" s="1328"/>
      <c r="J357" s="1328"/>
      <c r="K357" s="1328"/>
      <c r="L357" s="1328"/>
      <c r="M357" s="1328"/>
      <c r="N357" s="1328"/>
      <c r="O357" s="1328"/>
      <c r="P357" s="1328"/>
      <c r="Q357" s="1328"/>
      <c r="R357" s="1328"/>
      <c r="S357" s="1328"/>
      <c r="T357" s="1328"/>
      <c r="U357" s="1293"/>
      <c r="V357" s="1293"/>
      <c r="W357" s="1293"/>
      <c r="X357" s="1293"/>
      <c r="Y357" s="1293"/>
      <c r="Z357" s="1293"/>
      <c r="AA357" s="1293"/>
      <c r="AB357" s="1293"/>
      <c r="AC357" s="1293"/>
      <c r="AD357" s="1293"/>
      <c r="AE357" s="1293"/>
      <c r="AF357" s="1293"/>
      <c r="AG357" s="1293"/>
      <c r="AH357" s="1293"/>
      <c r="AI357" s="1293"/>
      <c r="AJ357" s="1293"/>
      <c r="AK357" s="1293"/>
      <c r="AL357" s="1293"/>
      <c r="AM357" s="1293"/>
      <c r="AN357" s="1293"/>
      <c r="AO357" s="1293"/>
      <c r="AP357" s="1293"/>
      <c r="AQ357" s="1293"/>
      <c r="AR357" s="1293"/>
      <c r="AS357" s="1293"/>
      <c r="AT357" s="1293"/>
      <c r="AU357" s="1293"/>
      <c r="AV357" s="1293"/>
      <c r="AW357" s="1293"/>
      <c r="AX357" s="1293"/>
      <c r="AY357" s="1293"/>
      <c r="AZ357" s="1293"/>
      <c r="BA357" s="1293"/>
      <c r="BB357" s="1293"/>
      <c r="BC357" s="1293"/>
      <c r="BD357" s="1293"/>
      <c r="BE357" s="1293"/>
      <c r="BF357" s="1293"/>
      <c r="BG357" s="1293"/>
      <c r="BH357" s="1293"/>
      <c r="BI357" s="1293"/>
      <c r="BJ357" s="1293"/>
      <c r="BK357" s="1293"/>
      <c r="BL357" s="1293"/>
      <c r="BM357" s="1293"/>
      <c r="BN357" s="1293"/>
      <c r="BO357" s="1293"/>
      <c r="BP357" s="1293"/>
      <c r="BQ357" s="1293"/>
      <c r="BR357" s="1293"/>
      <c r="BS357" s="1293"/>
      <c r="BT357" s="1293"/>
      <c r="BU357" s="1293"/>
      <c r="BV357" s="1293"/>
      <c r="BW357" s="1293"/>
      <c r="BX357" s="1293"/>
      <c r="BY357" s="1293"/>
      <c r="BZ357" s="1293"/>
      <c r="CA357" s="1293"/>
      <c r="CB357" s="1293"/>
      <c r="CC357" s="1293"/>
      <c r="CD357" s="1293"/>
      <c r="CE357" s="1293"/>
      <c r="CF357" s="1293"/>
      <c r="CG357" s="1293"/>
    </row>
    <row r="358" spans="1:85" ht="15.75" hidden="1" outlineLevel="1">
      <c r="A358" s="1293"/>
      <c r="B358" s="1293"/>
      <c r="C358" s="1983" t="str">
        <f>C283</f>
        <v>Nicaragua wireless</v>
      </c>
      <c r="D358" s="1337"/>
      <c r="E358" s="1337"/>
      <c r="F358" s="1337"/>
      <c r="G358" s="1337"/>
      <c r="H358" s="1337"/>
      <c r="I358" s="1337"/>
      <c r="J358" s="1337"/>
      <c r="K358" s="1337"/>
      <c r="L358" s="1337"/>
      <c r="M358" s="1337"/>
      <c r="N358" s="1337"/>
      <c r="O358" s="1337">
        <f t="shared" ref="O358:T359" si="301">O283/O15</f>
        <v>0.38</v>
      </c>
      <c r="P358" s="1337">
        <f t="shared" si="301"/>
        <v>0.38</v>
      </c>
      <c r="Q358" s="1337">
        <f t="shared" si="301"/>
        <v>0.38</v>
      </c>
      <c r="R358" s="1337">
        <f t="shared" si="301"/>
        <v>0.38</v>
      </c>
      <c r="S358" s="1337">
        <f t="shared" si="301"/>
        <v>0.38</v>
      </c>
      <c r="T358" s="1337">
        <f t="shared" si="301"/>
        <v>0.38</v>
      </c>
      <c r="U358" s="1293"/>
      <c r="V358" s="1293"/>
      <c r="W358" s="1293"/>
      <c r="X358" s="1293"/>
      <c r="Y358" s="1293"/>
      <c r="Z358" s="1293"/>
      <c r="AA358" s="1293"/>
      <c r="AB358" s="1293"/>
      <c r="AC358" s="1293"/>
      <c r="AD358" s="1293"/>
      <c r="AE358" s="1293"/>
      <c r="AF358" s="1293"/>
      <c r="AG358" s="1293"/>
      <c r="AH358" s="1293"/>
      <c r="AI358" s="1293"/>
      <c r="AJ358" s="1293"/>
      <c r="AK358" s="1293"/>
      <c r="AL358" s="1293"/>
      <c r="AM358" s="1293"/>
      <c r="AN358" s="1293"/>
      <c r="AO358" s="1293"/>
      <c r="AP358" s="1293"/>
      <c r="AQ358" s="1293"/>
      <c r="AR358" s="1293"/>
      <c r="AS358" s="1293"/>
      <c r="AT358" s="1293"/>
      <c r="AU358" s="1293"/>
      <c r="AV358" s="1293"/>
      <c r="AW358" s="1293"/>
      <c r="AX358" s="1293"/>
      <c r="AY358" s="1293"/>
      <c r="AZ358" s="1293"/>
      <c r="BA358" s="1293"/>
      <c r="BB358" s="1293"/>
      <c r="BC358" s="1293"/>
      <c r="BD358" s="1293"/>
      <c r="BE358" s="1293"/>
      <c r="BF358" s="1293"/>
      <c r="BG358" s="1293"/>
      <c r="BH358" s="1293"/>
      <c r="BI358" s="1293"/>
      <c r="BJ358" s="1293"/>
      <c r="BK358" s="1293"/>
      <c r="BL358" s="1293"/>
      <c r="BM358" s="1293"/>
      <c r="BN358" s="1293"/>
      <c r="BO358" s="1293"/>
      <c r="BP358" s="1293"/>
      <c r="BQ358" s="1293"/>
      <c r="BR358" s="1293"/>
      <c r="BS358" s="1293"/>
      <c r="BT358" s="1293"/>
      <c r="BU358" s="1293"/>
      <c r="BV358" s="1293"/>
      <c r="BW358" s="1293"/>
      <c r="BX358" s="1293"/>
      <c r="BY358" s="1293"/>
      <c r="BZ358" s="1293"/>
      <c r="CA358" s="1293"/>
      <c r="CB358" s="1293"/>
      <c r="CC358" s="1293"/>
      <c r="CD358" s="1293"/>
      <c r="CE358" s="1293"/>
      <c r="CF358" s="1293"/>
      <c r="CG358" s="1293"/>
    </row>
    <row r="359" spans="1:85" ht="15.75" collapsed="1">
      <c r="A359" s="1293"/>
      <c r="B359" s="1293"/>
      <c r="C359" s="1293" t="str">
        <f>C284</f>
        <v>Central America</v>
      </c>
      <c r="D359" s="1328">
        <f t="shared" ref="D359:N359" si="302">D284/D16</f>
        <v>0.4686620693369008</v>
      </c>
      <c r="E359" s="1328">
        <f t="shared" si="302"/>
        <v>0.45264348111696678</v>
      </c>
      <c r="F359" s="1328">
        <f t="shared" si="302"/>
        <v>0.44428571195025268</v>
      </c>
      <c r="G359" s="1328">
        <f t="shared" si="302"/>
        <v>0.46135265700483091</v>
      </c>
      <c r="H359" s="1328">
        <f t="shared" ca="1" si="302"/>
        <v>0.45641153238546606</v>
      </c>
      <c r="I359" s="1328">
        <f t="shared" si="302"/>
        <v>0.47666509582155198</v>
      </c>
      <c r="J359" s="1328">
        <f t="shared" si="302"/>
        <v>0.45593869731800768</v>
      </c>
      <c r="K359" s="1328">
        <f t="shared" si="302"/>
        <v>0.46807344477939161</v>
      </c>
      <c r="L359" s="1328">
        <f t="shared" si="302"/>
        <v>0.55777458387323375</v>
      </c>
      <c r="M359" s="1328">
        <f t="shared" si="302"/>
        <v>0.54771405254097028</v>
      </c>
      <c r="N359" s="1328">
        <f t="shared" si="302"/>
        <v>0.58486160898676143</v>
      </c>
      <c r="O359" s="1328">
        <f t="shared" si="301"/>
        <v>0.58248554097647898</v>
      </c>
      <c r="P359" s="1328">
        <f t="shared" si="301"/>
        <v>0.5860282374008976</v>
      </c>
      <c r="Q359" s="1328">
        <f t="shared" si="301"/>
        <v>0.58934849489102237</v>
      </c>
      <c r="R359" s="1328">
        <f t="shared" si="301"/>
        <v>0.59346530564179745</v>
      </c>
      <c r="S359" s="1328">
        <f t="shared" si="301"/>
        <v>0.59868167171790121</v>
      </c>
      <c r="T359" s="1328">
        <f t="shared" si="301"/>
        <v>0.6038818843011966</v>
      </c>
      <c r="U359" s="1293"/>
      <c r="V359" s="1293"/>
      <c r="W359" s="1293"/>
      <c r="X359" s="1293"/>
      <c r="Y359" s="1293"/>
      <c r="Z359" s="1293"/>
      <c r="AA359" s="1293"/>
      <c r="AB359" s="1293"/>
      <c r="AC359" s="1293"/>
      <c r="AD359" s="1293"/>
      <c r="AE359" s="1293"/>
      <c r="AF359" s="1293"/>
      <c r="AG359" s="1293"/>
      <c r="AH359" s="1293"/>
      <c r="AI359" s="1293"/>
      <c r="AJ359" s="1293"/>
      <c r="AK359" s="1293"/>
      <c r="AL359" s="1293"/>
      <c r="AM359" s="1293"/>
      <c r="AN359" s="1293"/>
      <c r="AO359" s="1293"/>
      <c r="AP359" s="1293"/>
      <c r="AQ359" s="1293"/>
      <c r="AR359" s="1293"/>
      <c r="AS359" s="1293"/>
      <c r="AT359" s="1293"/>
      <c r="AU359" s="1293"/>
      <c r="AV359" s="1293"/>
      <c r="AW359" s="1293"/>
      <c r="AX359" s="1293"/>
      <c r="AY359" s="1293"/>
      <c r="AZ359" s="1293"/>
      <c r="BA359" s="1293"/>
      <c r="BB359" s="1293"/>
      <c r="BC359" s="1293"/>
      <c r="BD359" s="1293"/>
      <c r="BE359" s="1293"/>
      <c r="BF359" s="1293"/>
      <c r="BG359" s="1293"/>
      <c r="BH359" s="1293"/>
      <c r="BI359" s="1293"/>
      <c r="BJ359" s="1293"/>
      <c r="BK359" s="1293"/>
      <c r="BL359" s="1293"/>
      <c r="BM359" s="1293"/>
      <c r="BN359" s="1293"/>
      <c r="BO359" s="1293"/>
      <c r="BP359" s="1293"/>
      <c r="BQ359" s="1293"/>
      <c r="BR359" s="1293"/>
      <c r="BS359" s="1293"/>
      <c r="BT359" s="1293"/>
      <c r="BU359" s="1293"/>
      <c r="BV359" s="1293"/>
      <c r="BW359" s="1293"/>
      <c r="BX359" s="1293"/>
      <c r="BY359" s="1293"/>
      <c r="BZ359" s="1293"/>
      <c r="CA359" s="1293"/>
      <c r="CB359" s="1293"/>
      <c r="CC359" s="1293"/>
      <c r="CD359" s="1293"/>
      <c r="CE359" s="1293"/>
      <c r="CF359" s="1293"/>
      <c r="CG359" s="1293"/>
    </row>
    <row r="360" spans="1:85" ht="15.75">
      <c r="A360" s="1293"/>
      <c r="B360" s="1293"/>
      <c r="C360" s="1293"/>
      <c r="D360" s="1328"/>
      <c r="E360" s="1328"/>
      <c r="F360" s="1328"/>
      <c r="G360" s="1328"/>
      <c r="H360" s="1328"/>
      <c r="I360" s="1328"/>
      <c r="J360" s="1328"/>
      <c r="K360" s="1328"/>
      <c r="L360" s="1328"/>
      <c r="M360" s="1328"/>
      <c r="N360" s="1328"/>
      <c r="O360" s="1293"/>
      <c r="P360" s="1293"/>
      <c r="Q360" s="1293"/>
      <c r="R360" s="1293"/>
      <c r="S360" s="1293"/>
      <c r="T360" s="1293"/>
      <c r="U360" s="1293"/>
      <c r="V360" s="1293"/>
      <c r="W360" s="1293"/>
      <c r="X360" s="1293"/>
      <c r="Y360" s="1293"/>
      <c r="Z360" s="1293"/>
      <c r="AA360" s="1293"/>
      <c r="AB360" s="1293"/>
      <c r="AC360" s="1293"/>
      <c r="AD360" s="1293"/>
      <c r="AE360" s="1293"/>
      <c r="AF360" s="1293"/>
      <c r="AG360" s="1293"/>
      <c r="AH360" s="1293"/>
      <c r="AI360" s="1293"/>
      <c r="AJ360" s="1293"/>
      <c r="AK360" s="1293"/>
      <c r="AL360" s="1293"/>
      <c r="AM360" s="1293"/>
      <c r="AN360" s="1293"/>
      <c r="AO360" s="1293"/>
      <c r="AP360" s="1293"/>
      <c r="AQ360" s="1293"/>
      <c r="AR360" s="1293"/>
      <c r="AS360" s="1293"/>
      <c r="AT360" s="1293"/>
      <c r="AU360" s="1293"/>
      <c r="AV360" s="1293"/>
      <c r="AW360" s="1293"/>
      <c r="AX360" s="1293"/>
      <c r="AY360" s="1293"/>
      <c r="AZ360" s="1293"/>
      <c r="BA360" s="1293"/>
      <c r="BB360" s="1293"/>
      <c r="BC360" s="1293"/>
      <c r="BD360" s="1293"/>
      <c r="BE360" s="1293"/>
      <c r="BF360" s="1293"/>
      <c r="BG360" s="1293"/>
      <c r="BH360" s="1293"/>
      <c r="BI360" s="1293"/>
      <c r="BJ360" s="1293"/>
      <c r="BK360" s="1293"/>
      <c r="BL360" s="1293"/>
      <c r="BM360" s="1293"/>
      <c r="BN360" s="1293"/>
      <c r="BO360" s="1293"/>
      <c r="BP360" s="1293"/>
      <c r="BQ360" s="1293"/>
      <c r="BR360" s="1293"/>
      <c r="BS360" s="1293"/>
      <c r="BT360" s="1293"/>
      <c r="BU360" s="1293"/>
      <c r="BV360" s="1293"/>
      <c r="BW360" s="1293"/>
      <c r="BX360" s="1293"/>
      <c r="BY360" s="1293"/>
      <c r="BZ360" s="1293"/>
      <c r="CA360" s="1293"/>
      <c r="CB360" s="1293"/>
      <c r="CC360" s="1293"/>
      <c r="CD360" s="1293"/>
      <c r="CE360" s="1293"/>
      <c r="CF360" s="1293"/>
      <c r="CG360" s="1293"/>
    </row>
    <row r="361" spans="1:85" ht="15.75">
      <c r="A361" s="1293"/>
      <c r="B361" s="1293"/>
      <c r="C361" s="1293" t="str">
        <f>C287</f>
        <v>Bolivia</v>
      </c>
      <c r="D361" s="1328">
        <f t="shared" ref="D361:N361" si="303">D287/D19</f>
        <v>0.35889007708546039</v>
      </c>
      <c r="E361" s="1328">
        <f t="shared" si="303"/>
        <v>0.37034031940925116</v>
      </c>
      <c r="F361" s="1328">
        <f t="shared" si="303"/>
        <v>0.39605223537953166</v>
      </c>
      <c r="G361" s="1328">
        <f t="shared" ca="1" si="303"/>
        <v>0.39605223537953166</v>
      </c>
      <c r="H361" s="1328">
        <f t="shared" si="303"/>
        <v>0.38762214983713356</v>
      </c>
      <c r="I361" s="1328">
        <f t="shared" si="303"/>
        <v>0.40219092331768386</v>
      </c>
      <c r="J361" s="1328">
        <f t="shared" si="303"/>
        <v>0.3886986301369863</v>
      </c>
      <c r="K361" s="1328">
        <f t="shared" si="303"/>
        <v>0.39903846153846156</v>
      </c>
      <c r="L361" s="1328">
        <f t="shared" si="303"/>
        <v>0.38882719327893395</v>
      </c>
      <c r="M361" s="1328">
        <f t="shared" si="303"/>
        <v>0.37211541128691444</v>
      </c>
      <c r="N361" s="1328">
        <f t="shared" si="303"/>
        <v>0.43404595459307144</v>
      </c>
      <c r="O361" s="2014">
        <v>0.42599999999999999</v>
      </c>
      <c r="P361" s="2014">
        <v>0.42499999999999999</v>
      </c>
      <c r="Q361" s="2014">
        <v>0.43</v>
      </c>
      <c r="R361" s="2014">
        <v>0.435</v>
      </c>
      <c r="S361" s="2014">
        <v>0.44</v>
      </c>
      <c r="T361" s="2014">
        <v>0.45</v>
      </c>
      <c r="U361" s="1699"/>
      <c r="V361" s="1293"/>
      <c r="W361" s="1293"/>
      <c r="X361" s="1293"/>
      <c r="Y361" s="1293"/>
      <c r="Z361" s="1293"/>
      <c r="AA361" s="1293"/>
      <c r="AB361" s="1293"/>
      <c r="AC361" s="1293"/>
      <c r="AD361" s="1293"/>
      <c r="AE361" s="1293"/>
      <c r="AF361" s="1293"/>
      <c r="AG361" s="1293"/>
      <c r="AH361" s="1293"/>
      <c r="AI361" s="1293"/>
      <c r="AJ361" s="1293"/>
      <c r="AK361" s="1293"/>
      <c r="AL361" s="1293"/>
      <c r="AM361" s="1293"/>
      <c r="AN361" s="1293"/>
      <c r="AO361" s="1293"/>
      <c r="AP361" s="1293"/>
      <c r="AQ361" s="1293"/>
      <c r="AR361" s="1293"/>
      <c r="AS361" s="1293"/>
      <c r="AT361" s="1293"/>
      <c r="AU361" s="1293"/>
      <c r="AV361" s="1293"/>
      <c r="AW361" s="1293"/>
      <c r="AX361" s="1293"/>
      <c r="AY361" s="1293"/>
      <c r="AZ361" s="1293"/>
      <c r="BA361" s="1293"/>
      <c r="BB361" s="1293"/>
      <c r="BC361" s="1293"/>
      <c r="BD361" s="1293"/>
      <c r="BE361" s="1293"/>
      <c r="BF361" s="1293"/>
      <c r="BG361" s="1293"/>
      <c r="BH361" s="1293"/>
      <c r="BI361" s="1293"/>
      <c r="BJ361" s="1293"/>
      <c r="BK361" s="1293"/>
      <c r="BL361" s="1293"/>
      <c r="BM361" s="1293"/>
      <c r="BN361" s="1293"/>
      <c r="BO361" s="1293"/>
      <c r="BP361" s="1293"/>
      <c r="BQ361" s="1293"/>
      <c r="BR361" s="1293"/>
      <c r="BS361" s="1293"/>
      <c r="BT361" s="1293"/>
      <c r="BU361" s="1293"/>
      <c r="BV361" s="1293"/>
      <c r="BW361" s="1293"/>
      <c r="BX361" s="1293"/>
      <c r="BY361" s="1293"/>
      <c r="BZ361" s="1293"/>
      <c r="CA361" s="1293"/>
      <c r="CB361" s="1293"/>
      <c r="CC361" s="1293"/>
      <c r="CD361" s="1293"/>
      <c r="CE361" s="1293"/>
      <c r="CF361" s="1293"/>
      <c r="CG361" s="1293"/>
    </row>
    <row r="362" spans="1:85" ht="15.75">
      <c r="A362" s="1293"/>
      <c r="B362" s="1293"/>
      <c r="C362" s="1293" t="str">
        <f>C288</f>
        <v>Colombia</v>
      </c>
      <c r="D362" s="1328">
        <f t="shared" ref="D362:N362" si="304">D288/D20</f>
        <v>0.26258709747441605</v>
      </c>
      <c r="E362" s="1328">
        <f t="shared" si="304"/>
        <v>0.27505180478511565</v>
      </c>
      <c r="F362" s="1328">
        <f t="shared" si="304"/>
        <v>0.26868171631877946</v>
      </c>
      <c r="G362" s="1328">
        <f t="shared" si="304"/>
        <v>0.26969522714203564</v>
      </c>
      <c r="H362" s="1328">
        <f t="shared" si="304"/>
        <v>0.29741119807344973</v>
      </c>
      <c r="I362" s="1328">
        <f t="shared" si="304"/>
        <v>0.33485639686684071</v>
      </c>
      <c r="J362" s="1328">
        <f t="shared" si="304"/>
        <v>0.33977695167286243</v>
      </c>
      <c r="K362" s="1328">
        <f t="shared" si="304"/>
        <v>0.31210191082802546</v>
      </c>
      <c r="L362" s="1328">
        <f t="shared" si="304"/>
        <v>0.30175020960594084</v>
      </c>
      <c r="M362" s="1328">
        <f t="shared" si="304"/>
        <v>0.34774372257982972</v>
      </c>
      <c r="N362" s="1328">
        <f t="shared" si="304"/>
        <v>0.38065574813460795</v>
      </c>
      <c r="O362" s="2014">
        <v>0.4</v>
      </c>
      <c r="P362" s="2014">
        <v>0.41</v>
      </c>
      <c r="Q362" s="2014">
        <v>0.41499999999999998</v>
      </c>
      <c r="R362" s="2014">
        <v>0.42</v>
      </c>
      <c r="S362" s="2014">
        <v>0.43</v>
      </c>
      <c r="T362" s="2014">
        <v>0.44</v>
      </c>
      <c r="U362" s="1293"/>
      <c r="V362" s="1293"/>
      <c r="W362" s="1293"/>
      <c r="X362" s="1293"/>
      <c r="Y362" s="1293"/>
      <c r="Z362" s="1293"/>
      <c r="AA362" s="1293"/>
      <c r="AB362" s="1293"/>
      <c r="AC362" s="1293"/>
      <c r="AD362" s="1293"/>
      <c r="AE362" s="1293"/>
      <c r="AF362" s="1293"/>
      <c r="AG362" s="1293"/>
      <c r="AH362" s="1293"/>
      <c r="AI362" s="1293"/>
      <c r="AJ362" s="1293"/>
      <c r="AK362" s="1293"/>
      <c r="AL362" s="1293"/>
      <c r="AM362" s="1293"/>
      <c r="AN362" s="1293"/>
      <c r="AO362" s="1293"/>
      <c r="AP362" s="1293"/>
      <c r="AQ362" s="1293"/>
      <c r="AR362" s="1293"/>
      <c r="AS362" s="1293"/>
      <c r="AT362" s="1293"/>
      <c r="AU362" s="1293"/>
      <c r="AV362" s="1293"/>
      <c r="AW362" s="1293"/>
      <c r="AX362" s="1293"/>
      <c r="AY362" s="1293"/>
      <c r="AZ362" s="1293"/>
      <c r="BA362" s="1293"/>
      <c r="BB362" s="1293"/>
      <c r="BC362" s="1293"/>
      <c r="BD362" s="1293"/>
      <c r="BE362" s="1293"/>
      <c r="BF362" s="1293"/>
      <c r="BG362" s="1293"/>
      <c r="BH362" s="1293"/>
      <c r="BI362" s="1293"/>
      <c r="BJ362" s="1293"/>
      <c r="BK362" s="1293"/>
      <c r="BL362" s="1293"/>
      <c r="BM362" s="1293"/>
      <c r="BN362" s="1293"/>
      <c r="BO362" s="1293"/>
      <c r="BP362" s="1293"/>
      <c r="BQ362" s="1293"/>
      <c r="BR362" s="1293"/>
      <c r="BS362" s="1293"/>
      <c r="BT362" s="1293"/>
      <c r="BU362" s="1293"/>
      <c r="BV362" s="1293"/>
      <c r="BW362" s="1293"/>
      <c r="BX362" s="1293"/>
      <c r="BY362" s="1293"/>
      <c r="BZ362" s="1293"/>
      <c r="CA362" s="1293"/>
      <c r="CB362" s="1293"/>
      <c r="CC362" s="1293"/>
      <c r="CD362" s="1293"/>
      <c r="CE362" s="1293"/>
      <c r="CF362" s="1293"/>
      <c r="CG362" s="1293"/>
    </row>
    <row r="363" spans="1:85" ht="15.75">
      <c r="A363" s="1293"/>
      <c r="B363" s="1293"/>
      <c r="C363" s="1331" t="str">
        <f>C289</f>
        <v>Paraguay</v>
      </c>
      <c r="D363" s="1337">
        <f t="shared" ref="D363:N363" si="305">D289/D21</f>
        <v>0.47721948377562723</v>
      </c>
      <c r="E363" s="1337">
        <f t="shared" si="305"/>
        <v>0.45343359101736852</v>
      </c>
      <c r="F363" s="1337">
        <f t="shared" si="305"/>
        <v>0.46358436330965863</v>
      </c>
      <c r="G363" s="1337">
        <f t="shared" si="305"/>
        <v>0.47058823529411764</v>
      </c>
      <c r="H363" s="1337">
        <f t="shared" si="305"/>
        <v>0.48748159057437407</v>
      </c>
      <c r="I363" s="1337">
        <f t="shared" si="305"/>
        <v>0.47438016528925619</v>
      </c>
      <c r="J363" s="1337">
        <f t="shared" si="305"/>
        <v>0.46323529411764708</v>
      </c>
      <c r="K363" s="1337">
        <f t="shared" si="305"/>
        <v>0.43682310469314078</v>
      </c>
      <c r="L363" s="1337">
        <f t="shared" si="305"/>
        <v>0.44027450909940175</v>
      </c>
      <c r="M363" s="1337">
        <f t="shared" si="305"/>
        <v>0.4480644565437289</v>
      </c>
      <c r="N363" s="1337">
        <f t="shared" si="305"/>
        <v>0.47749636131298195</v>
      </c>
      <c r="O363" s="2015">
        <f>N363+0.25%</f>
        <v>0.47999636131298196</v>
      </c>
      <c r="P363" s="2015">
        <f t="shared" ref="P363:R363" si="306">O363+0.25%</f>
        <v>0.48249636131298196</v>
      </c>
      <c r="Q363" s="2015">
        <f t="shared" si="306"/>
        <v>0.48499636131298196</v>
      </c>
      <c r="R363" s="2015">
        <f t="shared" si="306"/>
        <v>0.48749636131298196</v>
      </c>
      <c r="S363" s="2015">
        <v>0.49</v>
      </c>
      <c r="T363" s="2015">
        <v>0.495</v>
      </c>
      <c r="U363" s="1293"/>
      <c r="V363" s="1293"/>
      <c r="W363" s="1293"/>
      <c r="X363" s="1293"/>
      <c r="Y363" s="1293"/>
      <c r="Z363" s="1293"/>
      <c r="AA363" s="1293"/>
      <c r="AB363" s="1293"/>
      <c r="AC363" s="1293"/>
      <c r="AD363" s="1293"/>
      <c r="AE363" s="1293"/>
      <c r="AF363" s="1293"/>
      <c r="AG363" s="1293"/>
      <c r="AH363" s="1293"/>
      <c r="AI363" s="1293"/>
      <c r="AJ363" s="1293"/>
      <c r="AK363" s="1293"/>
      <c r="AL363" s="1293"/>
      <c r="AM363" s="1293"/>
      <c r="AN363" s="1293"/>
      <c r="AO363" s="1293"/>
      <c r="AP363" s="1293"/>
      <c r="AQ363" s="1293"/>
      <c r="AR363" s="1293"/>
      <c r="AS363" s="1293"/>
      <c r="AT363" s="1293"/>
      <c r="AU363" s="1293"/>
      <c r="AV363" s="1293"/>
      <c r="AW363" s="1293"/>
      <c r="AX363" s="1293"/>
      <c r="AY363" s="1293"/>
      <c r="AZ363" s="1293"/>
      <c r="BA363" s="1293"/>
      <c r="BB363" s="1293"/>
      <c r="BC363" s="1293"/>
      <c r="BD363" s="1293"/>
      <c r="BE363" s="1293"/>
      <c r="BF363" s="1293"/>
      <c r="BG363" s="1293"/>
      <c r="BH363" s="1293"/>
      <c r="BI363" s="1293"/>
      <c r="BJ363" s="1293"/>
      <c r="BK363" s="1293"/>
      <c r="BL363" s="1293"/>
      <c r="BM363" s="1293"/>
      <c r="BN363" s="1293"/>
      <c r="BO363" s="1293"/>
      <c r="BP363" s="1293"/>
      <c r="BQ363" s="1293"/>
      <c r="BR363" s="1293"/>
      <c r="BS363" s="1293"/>
      <c r="BT363" s="1293"/>
      <c r="BU363" s="1293"/>
      <c r="BV363" s="1293"/>
      <c r="BW363" s="1293"/>
      <c r="BX363" s="1293"/>
      <c r="BY363" s="1293"/>
      <c r="BZ363" s="1293"/>
      <c r="CA363" s="1293"/>
      <c r="CB363" s="1293"/>
      <c r="CC363" s="1293"/>
      <c r="CD363" s="1293"/>
      <c r="CE363" s="1293"/>
      <c r="CF363" s="1293"/>
      <c r="CG363" s="1293"/>
    </row>
    <row r="364" spans="1:85" ht="15.75">
      <c r="A364" s="1293"/>
      <c r="B364" s="1293"/>
      <c r="C364" s="1293" t="str">
        <f>C291</f>
        <v>South America</v>
      </c>
      <c r="D364" s="1328">
        <f t="shared" ref="D364:T364" si="307">D291/D23</f>
        <v>0.33490031674054443</v>
      </c>
      <c r="E364" s="1328">
        <f t="shared" si="307"/>
        <v>0.32861240720968804</v>
      </c>
      <c r="F364" s="1328">
        <f t="shared" si="307"/>
        <v>0.33478288387281341</v>
      </c>
      <c r="G364" s="1328">
        <f t="shared" si="307"/>
        <v>0.33739012846517918</v>
      </c>
      <c r="H364" s="1328">
        <f t="shared" si="307"/>
        <v>0.35985104942450913</v>
      </c>
      <c r="I364" s="1328">
        <f t="shared" si="307"/>
        <v>0.38076368876080691</v>
      </c>
      <c r="J364" s="1328">
        <f t="shared" si="307"/>
        <v>0.37848766680145574</v>
      </c>
      <c r="K364" s="1328">
        <f t="shared" si="307"/>
        <v>0.35970667695870323</v>
      </c>
      <c r="L364" s="1328">
        <f t="shared" si="307"/>
        <v>0.35394621688280686</v>
      </c>
      <c r="M364" s="1328">
        <f t="shared" si="307"/>
        <v>0.37659058986512056</v>
      </c>
      <c r="N364" s="1328">
        <f t="shared" si="307"/>
        <v>0.41468390793000176</v>
      </c>
      <c r="O364" s="1328">
        <f t="shared" si="307"/>
        <v>0.42300929859630437</v>
      </c>
      <c r="P364" s="1328">
        <f t="shared" si="307"/>
        <v>0.42993191609742165</v>
      </c>
      <c r="Q364" s="1328">
        <f t="shared" si="307"/>
        <v>0.4343556057762169</v>
      </c>
      <c r="R364" s="1328">
        <f t="shared" si="307"/>
        <v>0.43872129927710013</v>
      </c>
      <c r="S364" s="1328">
        <f t="shared" si="307"/>
        <v>0.44624158629948424</v>
      </c>
      <c r="T364" s="1328">
        <f t="shared" si="307"/>
        <v>0.45497787399553857</v>
      </c>
      <c r="U364" s="1293"/>
      <c r="V364" s="1293"/>
      <c r="W364" s="1293"/>
      <c r="X364" s="1293"/>
      <c r="Y364" s="1293"/>
      <c r="Z364" s="1293"/>
      <c r="AA364" s="1293"/>
      <c r="AB364" s="1293"/>
      <c r="AC364" s="1293"/>
      <c r="AD364" s="1293"/>
      <c r="AE364" s="1293"/>
      <c r="AF364" s="1293"/>
      <c r="AG364" s="1293"/>
      <c r="AH364" s="1293"/>
      <c r="AI364" s="1293"/>
      <c r="AJ364" s="1293"/>
      <c r="AK364" s="1293"/>
      <c r="AL364" s="1293"/>
      <c r="AM364" s="1293"/>
      <c r="AN364" s="1293"/>
      <c r="AO364" s="1293"/>
      <c r="AP364" s="1293"/>
      <c r="AQ364" s="1293"/>
      <c r="AR364" s="1293"/>
      <c r="AS364" s="1293"/>
      <c r="AT364" s="1293"/>
      <c r="AU364" s="1293"/>
      <c r="AV364" s="1293"/>
      <c r="AW364" s="1293"/>
      <c r="AX364" s="1293"/>
      <c r="AY364" s="1293"/>
      <c r="AZ364" s="1293"/>
      <c r="BA364" s="1293"/>
      <c r="BB364" s="1293"/>
      <c r="BC364" s="1293"/>
      <c r="BD364" s="1293"/>
      <c r="BE364" s="1293"/>
      <c r="BF364" s="1293"/>
      <c r="BG364" s="1293"/>
      <c r="BH364" s="1293"/>
      <c r="BI364" s="1293"/>
      <c r="BJ364" s="1293"/>
      <c r="BK364" s="1293"/>
      <c r="BL364" s="1293"/>
      <c r="BM364" s="1293"/>
      <c r="BN364" s="1293"/>
      <c r="BO364" s="1293"/>
      <c r="BP364" s="1293"/>
      <c r="BQ364" s="1293"/>
      <c r="BR364" s="1293"/>
      <c r="BS364" s="1293"/>
      <c r="BT364" s="1293"/>
      <c r="BU364" s="1293"/>
      <c r="BV364" s="1293"/>
      <c r="BW364" s="1293"/>
      <c r="BX364" s="1293"/>
      <c r="BY364" s="1293"/>
      <c r="BZ364" s="1293"/>
      <c r="CA364" s="1293"/>
      <c r="CB364" s="1293"/>
      <c r="CC364" s="1293"/>
      <c r="CD364" s="1293"/>
      <c r="CE364" s="1293"/>
      <c r="CF364" s="1293"/>
      <c r="CG364" s="1293"/>
    </row>
    <row r="365" spans="1:85" ht="15.75" hidden="1" outlineLevel="1">
      <c r="A365" s="1293"/>
      <c r="B365" s="1293"/>
      <c r="C365" s="1293"/>
      <c r="D365" s="1328"/>
      <c r="E365" s="1328"/>
      <c r="F365" s="1328"/>
      <c r="G365" s="1328"/>
      <c r="H365" s="1328"/>
      <c r="I365" s="1328"/>
      <c r="J365" s="1328"/>
      <c r="K365" s="1293"/>
      <c r="L365" s="1293"/>
      <c r="M365" s="1293"/>
      <c r="N365" s="1293"/>
      <c r="O365" s="1293"/>
      <c r="P365" s="1293"/>
      <c r="Q365" s="1293"/>
      <c r="R365" s="1293"/>
      <c r="S365" s="1293"/>
      <c r="T365" s="1293"/>
      <c r="U365" s="1293"/>
      <c r="V365" s="1293"/>
      <c r="W365" s="1293"/>
      <c r="X365" s="1293"/>
      <c r="Y365" s="1293"/>
      <c r="Z365" s="1293"/>
      <c r="AA365" s="1293"/>
      <c r="AB365" s="1293"/>
      <c r="AC365" s="1293"/>
      <c r="AD365" s="1293"/>
      <c r="AE365" s="1293"/>
      <c r="AF365" s="1293"/>
      <c r="AG365" s="1293"/>
      <c r="AH365" s="1293"/>
      <c r="AI365" s="1293"/>
      <c r="AJ365" s="1293"/>
      <c r="AK365" s="1293"/>
      <c r="AL365" s="1293"/>
      <c r="AM365" s="1293"/>
      <c r="AN365" s="1293"/>
      <c r="AO365" s="1293"/>
      <c r="AP365" s="1293"/>
      <c r="AQ365" s="1293"/>
      <c r="AR365" s="1293"/>
      <c r="AS365" s="1293"/>
      <c r="AT365" s="1293"/>
      <c r="AU365" s="1293"/>
      <c r="AV365" s="1293"/>
      <c r="AW365" s="1293"/>
      <c r="AX365" s="1293"/>
      <c r="AY365" s="1293"/>
      <c r="AZ365" s="1293"/>
      <c r="BA365" s="1293"/>
      <c r="BB365" s="1293"/>
      <c r="BC365" s="1293"/>
      <c r="BD365" s="1293"/>
      <c r="BE365" s="1293"/>
      <c r="BF365" s="1293"/>
      <c r="BG365" s="1293"/>
      <c r="BH365" s="1293"/>
      <c r="BI365" s="1293"/>
      <c r="BJ365" s="1293"/>
      <c r="BK365" s="1293"/>
      <c r="BL365" s="1293"/>
      <c r="BM365" s="1293"/>
      <c r="BN365" s="1293"/>
      <c r="BO365" s="1293"/>
      <c r="BP365" s="1293"/>
      <c r="BQ365" s="1293"/>
      <c r="BR365" s="1293"/>
      <c r="BS365" s="1293"/>
      <c r="BT365" s="1293"/>
      <c r="BU365" s="1293"/>
      <c r="BV365" s="1293"/>
      <c r="BW365" s="1293"/>
      <c r="BX365" s="1293"/>
      <c r="BY365" s="1293"/>
      <c r="BZ365" s="1293"/>
      <c r="CA365" s="1293"/>
      <c r="CB365" s="1293"/>
      <c r="CC365" s="1293"/>
      <c r="CD365" s="1293"/>
      <c r="CE365" s="1293"/>
      <c r="CF365" s="1293"/>
      <c r="CG365" s="1293"/>
    </row>
    <row r="366" spans="1:85" ht="15.75" hidden="1" outlineLevel="1">
      <c r="A366" s="1293"/>
      <c r="B366" s="1293"/>
      <c r="C366" s="1293" t="str">
        <f t="shared" ref="C366:C372" si="308">C293</f>
        <v>Chad</v>
      </c>
      <c r="D366" s="1328"/>
      <c r="E366" s="1328"/>
      <c r="F366" s="1328"/>
      <c r="G366" s="1328"/>
      <c r="H366" s="1328"/>
      <c r="I366" s="1328"/>
      <c r="J366" s="1328"/>
      <c r="K366" s="1293"/>
      <c r="L366" s="1293"/>
      <c r="M366" s="1293"/>
      <c r="N366" s="1293"/>
      <c r="O366" s="1293"/>
      <c r="P366" s="1293"/>
      <c r="Q366" s="1293"/>
      <c r="R366" s="1293"/>
      <c r="S366" s="1293"/>
      <c r="T366" s="1293"/>
      <c r="U366" s="1293"/>
      <c r="V366" s="1293"/>
      <c r="W366" s="1293"/>
      <c r="X366" s="1293"/>
      <c r="Y366" s="1293"/>
      <c r="Z366" s="1293"/>
      <c r="AA366" s="1293"/>
      <c r="AB366" s="1293"/>
      <c r="AC366" s="1293"/>
      <c r="AD366" s="1293"/>
      <c r="AE366" s="1293"/>
      <c r="AF366" s="1293"/>
      <c r="AG366" s="1293"/>
      <c r="AH366" s="1293"/>
      <c r="AI366" s="1293"/>
      <c r="AJ366" s="1293"/>
      <c r="AK366" s="1293"/>
      <c r="AL366" s="1293"/>
      <c r="AM366" s="1293"/>
      <c r="AN366" s="1293"/>
      <c r="AO366" s="1293"/>
      <c r="AP366" s="1293"/>
      <c r="AQ366" s="1293"/>
      <c r="AR366" s="1293"/>
      <c r="AS366" s="1293"/>
      <c r="AT366" s="1293"/>
      <c r="AU366" s="1293"/>
      <c r="AV366" s="1293"/>
      <c r="AW366" s="1293"/>
      <c r="AX366" s="1293"/>
      <c r="AY366" s="1293"/>
      <c r="AZ366" s="1293"/>
      <c r="BA366" s="1293"/>
      <c r="BB366" s="1293"/>
      <c r="BC366" s="1293"/>
      <c r="BD366" s="1293"/>
      <c r="BE366" s="1293"/>
      <c r="BF366" s="1293"/>
      <c r="BG366" s="1293"/>
      <c r="BH366" s="1293"/>
      <c r="BI366" s="1293"/>
      <c r="BJ366" s="1293"/>
      <c r="BK366" s="1293"/>
      <c r="BL366" s="1293"/>
      <c r="BM366" s="1293"/>
      <c r="BN366" s="1293"/>
      <c r="BO366" s="1293"/>
      <c r="BP366" s="1293"/>
      <c r="BQ366" s="1293"/>
      <c r="BR366" s="1293"/>
      <c r="BS366" s="1293"/>
      <c r="BT366" s="1293"/>
      <c r="BU366" s="1293"/>
      <c r="BV366" s="1293"/>
      <c r="BW366" s="1293"/>
      <c r="BX366" s="1293"/>
      <c r="BY366" s="1293"/>
      <c r="BZ366" s="1293"/>
      <c r="CA366" s="1293"/>
      <c r="CB366" s="1293"/>
      <c r="CC366" s="1293"/>
      <c r="CD366" s="1293"/>
      <c r="CE366" s="1293"/>
      <c r="CF366" s="1293"/>
      <c r="CG366" s="1293"/>
    </row>
    <row r="367" spans="1:85" ht="15.75" hidden="1" outlineLevel="1">
      <c r="A367" s="1293"/>
      <c r="B367" s="1293"/>
      <c r="C367" s="1293" t="str">
        <f t="shared" si="308"/>
        <v>DRC</v>
      </c>
      <c r="D367" s="1328"/>
      <c r="E367" s="1328"/>
      <c r="F367" s="1328"/>
      <c r="G367" s="1328"/>
      <c r="H367" s="1328"/>
      <c r="I367" s="1328"/>
      <c r="J367" s="1328"/>
      <c r="K367" s="1293"/>
      <c r="L367" s="1293"/>
      <c r="M367" s="1293"/>
      <c r="N367" s="1293"/>
      <c r="O367" s="1293"/>
      <c r="P367" s="1293"/>
      <c r="Q367" s="1293"/>
      <c r="R367" s="1293"/>
      <c r="S367" s="1293"/>
      <c r="T367" s="1293"/>
      <c r="U367" s="1293"/>
      <c r="V367" s="1293"/>
      <c r="W367" s="1293"/>
      <c r="X367" s="1293"/>
      <c r="Y367" s="1293"/>
      <c r="Z367" s="1293"/>
      <c r="AA367" s="1293"/>
      <c r="AB367" s="1293"/>
      <c r="AC367" s="1293"/>
      <c r="AD367" s="1293"/>
      <c r="AE367" s="1293"/>
      <c r="AF367" s="1293"/>
      <c r="AG367" s="1293"/>
      <c r="AH367" s="1293"/>
      <c r="AI367" s="1293"/>
      <c r="AJ367" s="1293"/>
      <c r="AK367" s="1293"/>
      <c r="AL367" s="1293"/>
      <c r="AM367" s="1293"/>
      <c r="AN367" s="1293"/>
      <c r="AO367" s="1293"/>
      <c r="AP367" s="1293"/>
      <c r="AQ367" s="1293"/>
      <c r="AR367" s="1293"/>
      <c r="AS367" s="1293"/>
      <c r="AT367" s="1293"/>
      <c r="AU367" s="1293"/>
      <c r="AV367" s="1293"/>
      <c r="AW367" s="1293"/>
      <c r="AX367" s="1293"/>
      <c r="AY367" s="1293"/>
      <c r="AZ367" s="1293"/>
      <c r="BA367" s="1293"/>
      <c r="BB367" s="1293"/>
      <c r="BC367" s="1293"/>
      <c r="BD367" s="1293"/>
      <c r="BE367" s="1293"/>
      <c r="BF367" s="1293"/>
      <c r="BG367" s="1293"/>
      <c r="BH367" s="1293"/>
      <c r="BI367" s="1293"/>
      <c r="BJ367" s="1293"/>
      <c r="BK367" s="1293"/>
      <c r="BL367" s="1293"/>
      <c r="BM367" s="1293"/>
      <c r="BN367" s="1293"/>
      <c r="BO367" s="1293"/>
      <c r="BP367" s="1293"/>
      <c r="BQ367" s="1293"/>
      <c r="BR367" s="1293"/>
      <c r="BS367" s="1293"/>
      <c r="BT367" s="1293"/>
      <c r="BU367" s="1293"/>
      <c r="BV367" s="1293"/>
      <c r="BW367" s="1293"/>
      <c r="BX367" s="1293"/>
      <c r="BY367" s="1293"/>
      <c r="BZ367" s="1293"/>
      <c r="CA367" s="1293"/>
      <c r="CB367" s="1293"/>
      <c r="CC367" s="1293"/>
      <c r="CD367" s="1293"/>
      <c r="CE367" s="1293"/>
      <c r="CF367" s="1293"/>
      <c r="CG367" s="1293"/>
    </row>
    <row r="368" spans="1:85" ht="15.75" hidden="1" outlineLevel="1">
      <c r="A368" s="1293"/>
      <c r="B368" s="1293"/>
      <c r="C368" s="1293" t="str">
        <f t="shared" si="308"/>
        <v>Ghana</v>
      </c>
      <c r="D368" s="1328"/>
      <c r="E368" s="1328"/>
      <c r="F368" s="1328"/>
      <c r="G368" s="1328"/>
      <c r="H368" s="1328"/>
      <c r="I368" s="1328"/>
      <c r="J368" s="1328"/>
      <c r="K368" s="1293"/>
      <c r="L368" s="1293"/>
      <c r="M368" s="1293"/>
      <c r="N368" s="1293"/>
      <c r="O368" s="1293"/>
      <c r="P368" s="1293"/>
      <c r="Q368" s="1293"/>
      <c r="R368" s="1293"/>
      <c r="S368" s="1293"/>
      <c r="T368" s="1293"/>
      <c r="U368" s="1293"/>
      <c r="V368" s="1293"/>
      <c r="W368" s="1293"/>
      <c r="X368" s="1293"/>
      <c r="Y368" s="1293"/>
      <c r="Z368" s="1293"/>
      <c r="AA368" s="1293"/>
      <c r="AB368" s="1293"/>
      <c r="AC368" s="1293"/>
      <c r="AD368" s="1293"/>
      <c r="AE368" s="1293"/>
      <c r="AF368" s="1293"/>
      <c r="AG368" s="1293"/>
      <c r="AH368" s="1293"/>
      <c r="AI368" s="1293"/>
      <c r="AJ368" s="1293"/>
      <c r="AK368" s="1293"/>
      <c r="AL368" s="1293"/>
      <c r="AM368" s="1293"/>
      <c r="AN368" s="1293"/>
      <c r="AO368" s="1293"/>
      <c r="AP368" s="1293"/>
      <c r="AQ368" s="1293"/>
      <c r="AR368" s="1293"/>
      <c r="AS368" s="1293"/>
      <c r="AT368" s="1293"/>
      <c r="AU368" s="1293"/>
      <c r="AV368" s="1293"/>
      <c r="AW368" s="1293"/>
      <c r="AX368" s="1293"/>
      <c r="AY368" s="1293"/>
      <c r="AZ368" s="1293"/>
      <c r="BA368" s="1293"/>
      <c r="BB368" s="1293"/>
      <c r="BC368" s="1293"/>
      <c r="BD368" s="1293"/>
      <c r="BE368" s="1293"/>
      <c r="BF368" s="1293"/>
      <c r="BG368" s="1293"/>
      <c r="BH368" s="1293"/>
      <c r="BI368" s="1293"/>
      <c r="BJ368" s="1293"/>
      <c r="BK368" s="1293"/>
      <c r="BL368" s="1293"/>
      <c r="BM368" s="1293"/>
      <c r="BN368" s="1293"/>
      <c r="BO368" s="1293"/>
      <c r="BP368" s="1293"/>
      <c r="BQ368" s="1293"/>
      <c r="BR368" s="1293"/>
      <c r="BS368" s="1293"/>
      <c r="BT368" s="1293"/>
      <c r="BU368" s="1293"/>
      <c r="BV368" s="1293"/>
      <c r="BW368" s="1293"/>
      <c r="BX368" s="1293"/>
      <c r="BY368" s="1293"/>
      <c r="BZ368" s="1293"/>
      <c r="CA368" s="1293"/>
      <c r="CB368" s="1293"/>
      <c r="CC368" s="1293"/>
      <c r="CD368" s="1293"/>
      <c r="CE368" s="1293"/>
      <c r="CF368" s="1293"/>
      <c r="CG368" s="1293"/>
    </row>
    <row r="369" spans="1:85" ht="15.75" hidden="1" outlineLevel="1">
      <c r="A369" s="1293"/>
      <c r="B369" s="1293"/>
      <c r="C369" s="1293" t="str">
        <f t="shared" si="308"/>
        <v>Rwanda</v>
      </c>
      <c r="D369" s="1328"/>
      <c r="E369" s="1328"/>
      <c r="F369" s="1328"/>
      <c r="G369" s="1328"/>
      <c r="H369" s="1328"/>
      <c r="I369" s="1328"/>
      <c r="J369" s="1328"/>
      <c r="K369" s="1293"/>
      <c r="L369" s="1293"/>
      <c r="M369" s="1293"/>
      <c r="N369" s="1293"/>
      <c r="O369" s="1293"/>
      <c r="P369" s="1293"/>
      <c r="Q369" s="1293"/>
      <c r="R369" s="1293"/>
      <c r="S369" s="1293"/>
      <c r="T369" s="1293"/>
      <c r="U369" s="1293"/>
      <c r="V369" s="1293"/>
      <c r="W369" s="1293"/>
      <c r="X369" s="1293"/>
      <c r="Y369" s="1293"/>
      <c r="Z369" s="1293"/>
      <c r="AA369" s="1293"/>
      <c r="AB369" s="1293"/>
      <c r="AC369" s="1293"/>
      <c r="AD369" s="1293"/>
      <c r="AE369" s="1293"/>
      <c r="AF369" s="1293"/>
      <c r="AG369" s="1293"/>
      <c r="AH369" s="1293"/>
      <c r="AI369" s="1293"/>
      <c r="AJ369" s="1293"/>
      <c r="AK369" s="1293"/>
      <c r="AL369" s="1293"/>
      <c r="AM369" s="1293"/>
      <c r="AN369" s="1293"/>
      <c r="AO369" s="1293"/>
      <c r="AP369" s="1293"/>
      <c r="AQ369" s="1293"/>
      <c r="AR369" s="1293"/>
      <c r="AS369" s="1293"/>
      <c r="AT369" s="1293"/>
      <c r="AU369" s="1293"/>
      <c r="AV369" s="1293"/>
      <c r="AW369" s="1293"/>
      <c r="AX369" s="1293"/>
      <c r="AY369" s="1293"/>
      <c r="AZ369" s="1293"/>
      <c r="BA369" s="1293"/>
      <c r="BB369" s="1293"/>
      <c r="BC369" s="1293"/>
      <c r="BD369" s="1293"/>
      <c r="BE369" s="1293"/>
      <c r="BF369" s="1293"/>
      <c r="BG369" s="1293"/>
      <c r="BH369" s="1293"/>
      <c r="BI369" s="1293"/>
      <c r="BJ369" s="1293"/>
      <c r="BK369" s="1293"/>
      <c r="BL369" s="1293"/>
      <c r="BM369" s="1293"/>
      <c r="BN369" s="1293"/>
      <c r="BO369" s="1293"/>
      <c r="BP369" s="1293"/>
      <c r="BQ369" s="1293"/>
      <c r="BR369" s="1293"/>
      <c r="BS369" s="1293"/>
      <c r="BT369" s="1293"/>
      <c r="BU369" s="1293"/>
      <c r="BV369" s="1293"/>
      <c r="BW369" s="1293"/>
      <c r="BX369" s="1293"/>
      <c r="BY369" s="1293"/>
      <c r="BZ369" s="1293"/>
      <c r="CA369" s="1293"/>
      <c r="CB369" s="1293"/>
      <c r="CC369" s="1293"/>
      <c r="CD369" s="1293"/>
      <c r="CE369" s="1293"/>
      <c r="CF369" s="1293"/>
      <c r="CG369" s="1293"/>
    </row>
    <row r="370" spans="1:85" ht="15.75" hidden="1" outlineLevel="1">
      <c r="A370" s="1293"/>
      <c r="B370" s="1293"/>
      <c r="C370" s="1293" t="str">
        <f t="shared" si="308"/>
        <v>Senegal</v>
      </c>
      <c r="D370" s="1328"/>
      <c r="E370" s="1328"/>
      <c r="F370" s="1328"/>
      <c r="G370" s="1328"/>
      <c r="H370" s="1328"/>
      <c r="I370" s="1328"/>
      <c r="J370" s="1328"/>
      <c r="K370" s="1293"/>
      <c r="L370" s="1293"/>
      <c r="M370" s="1293"/>
      <c r="N370" s="1293"/>
      <c r="O370" s="1293"/>
      <c r="P370" s="1293"/>
      <c r="Q370" s="1293"/>
      <c r="R370" s="1293"/>
      <c r="S370" s="1293"/>
      <c r="T370" s="1293"/>
      <c r="U370" s="1293"/>
      <c r="V370" s="1293"/>
      <c r="W370" s="1293"/>
      <c r="X370" s="1293"/>
      <c r="Y370" s="1293"/>
      <c r="Z370" s="1293"/>
      <c r="AA370" s="1293"/>
      <c r="AB370" s="1293"/>
      <c r="AC370" s="1293"/>
      <c r="AD370" s="1293"/>
      <c r="AE370" s="1293"/>
      <c r="AF370" s="1293"/>
      <c r="AG370" s="1293"/>
      <c r="AH370" s="1293"/>
      <c r="AI370" s="1293"/>
      <c r="AJ370" s="1293"/>
      <c r="AK370" s="1293"/>
      <c r="AL370" s="1293"/>
      <c r="AM370" s="1293"/>
      <c r="AN370" s="1293"/>
      <c r="AO370" s="1293"/>
      <c r="AP370" s="1293"/>
      <c r="AQ370" s="1293"/>
      <c r="AR370" s="1293"/>
      <c r="AS370" s="1293"/>
      <c r="AT370" s="1293"/>
      <c r="AU370" s="1293"/>
      <c r="AV370" s="1293"/>
      <c r="AW370" s="1293"/>
      <c r="AX370" s="1293"/>
      <c r="AY370" s="1293"/>
      <c r="AZ370" s="1293"/>
      <c r="BA370" s="1293"/>
      <c r="BB370" s="1293"/>
      <c r="BC370" s="1293"/>
      <c r="BD370" s="1293"/>
      <c r="BE370" s="1293"/>
      <c r="BF370" s="1293"/>
      <c r="BG370" s="1293"/>
      <c r="BH370" s="1293"/>
      <c r="BI370" s="1293"/>
      <c r="BJ370" s="1293"/>
      <c r="BK370" s="1293"/>
      <c r="BL370" s="1293"/>
      <c r="BM370" s="1293"/>
      <c r="BN370" s="1293"/>
      <c r="BO370" s="1293"/>
      <c r="BP370" s="1293"/>
      <c r="BQ370" s="1293"/>
      <c r="BR370" s="1293"/>
      <c r="BS370" s="1293"/>
      <c r="BT370" s="1293"/>
      <c r="BU370" s="1293"/>
      <c r="BV370" s="1293"/>
      <c r="BW370" s="1293"/>
      <c r="BX370" s="1293"/>
      <c r="BY370" s="1293"/>
      <c r="BZ370" s="1293"/>
      <c r="CA370" s="1293"/>
      <c r="CB370" s="1293"/>
      <c r="CC370" s="1293"/>
      <c r="CD370" s="1293"/>
      <c r="CE370" s="1293"/>
      <c r="CF370" s="1293"/>
      <c r="CG370" s="1293"/>
    </row>
    <row r="371" spans="1:85" ht="15.75" hidden="1" outlineLevel="1">
      <c r="A371" s="1293"/>
      <c r="B371" s="1293"/>
      <c r="C371" s="1293" t="str">
        <f t="shared" si="308"/>
        <v>Tanzania</v>
      </c>
      <c r="D371" s="1328"/>
      <c r="E371" s="1328">
        <f t="shared" ref="E371:K371" si="309">E298/E30</f>
        <v>0.34587743732590526</v>
      </c>
      <c r="F371" s="1328">
        <f t="shared" si="309"/>
        <v>0.33037450647112332</v>
      </c>
      <c r="G371" s="1328">
        <f t="shared" ca="1" si="309"/>
        <v>0.36218091733395397</v>
      </c>
      <c r="H371" s="1328">
        <f t="shared" ca="1" si="309"/>
        <v>0.2011399882507324</v>
      </c>
      <c r="I371" s="1328">
        <f t="shared" ca="1" si="309"/>
        <v>0.20579460761107404</v>
      </c>
      <c r="J371" s="1328">
        <f t="shared" ca="1" si="309"/>
        <v>0.22021250056819869</v>
      </c>
      <c r="K371" s="1328">
        <f t="shared" ca="1" si="309"/>
        <v>0.22533845541335756</v>
      </c>
      <c r="L371" s="1328"/>
      <c r="M371" s="1328"/>
      <c r="N371" s="1328"/>
      <c r="O371" s="1328"/>
      <c r="P371" s="1328"/>
      <c r="Q371" s="1328"/>
      <c r="R371" s="1328"/>
      <c r="S371" s="1328"/>
      <c r="T371" s="1328"/>
      <c r="U371" s="1293"/>
      <c r="V371" s="1293"/>
      <c r="W371" s="1293"/>
      <c r="X371" s="1293"/>
      <c r="Y371" s="1293"/>
      <c r="Z371" s="1293"/>
      <c r="AA371" s="1293"/>
      <c r="AB371" s="1293"/>
      <c r="AC371" s="1293"/>
      <c r="AD371" s="1293"/>
      <c r="AE371" s="1293"/>
      <c r="AF371" s="1293"/>
      <c r="AG371" s="1293"/>
      <c r="AH371" s="1293"/>
      <c r="AI371" s="1293"/>
      <c r="AJ371" s="1293"/>
      <c r="AK371" s="1293"/>
      <c r="AL371" s="1293"/>
      <c r="AM371" s="1293"/>
      <c r="AN371" s="1293"/>
      <c r="AO371" s="1293"/>
      <c r="AP371" s="1293"/>
      <c r="AQ371" s="1293"/>
      <c r="AR371" s="1293"/>
      <c r="AS371" s="1293"/>
      <c r="AT371" s="1293"/>
      <c r="AU371" s="1293"/>
      <c r="AV371" s="1293"/>
      <c r="AW371" s="1293"/>
      <c r="AX371" s="1293"/>
      <c r="AY371" s="1293"/>
      <c r="AZ371" s="1293"/>
      <c r="BA371" s="1293"/>
      <c r="BB371" s="1293"/>
      <c r="BC371" s="1293"/>
      <c r="BD371" s="1293"/>
      <c r="BE371" s="1293"/>
      <c r="BF371" s="1293"/>
      <c r="BG371" s="1293"/>
      <c r="BH371" s="1293"/>
      <c r="BI371" s="1293"/>
      <c r="BJ371" s="1293"/>
      <c r="BK371" s="1293"/>
      <c r="BL371" s="1293"/>
      <c r="BM371" s="1293"/>
      <c r="BN371" s="1293"/>
      <c r="BO371" s="1293"/>
      <c r="BP371" s="1293"/>
      <c r="BQ371" s="1293"/>
      <c r="BR371" s="1293"/>
      <c r="BS371" s="1293"/>
      <c r="BT371" s="1293"/>
      <c r="BU371" s="1293"/>
      <c r="BV371" s="1293"/>
      <c r="BW371" s="1293"/>
      <c r="BX371" s="1293"/>
      <c r="BY371" s="1293"/>
      <c r="BZ371" s="1293"/>
      <c r="CA371" s="1293"/>
      <c r="CB371" s="1293"/>
      <c r="CC371" s="1293"/>
      <c r="CD371" s="1293"/>
      <c r="CE371" s="1293"/>
      <c r="CF371" s="1293"/>
      <c r="CG371" s="1293"/>
    </row>
    <row r="372" spans="1:85" ht="15.75" hidden="1" outlineLevel="1">
      <c r="A372" s="1293"/>
      <c r="B372" s="1293"/>
      <c r="C372" s="1331" t="str">
        <f t="shared" si="308"/>
        <v>Zantel</v>
      </c>
      <c r="D372" s="1337"/>
      <c r="E372" s="1337"/>
      <c r="F372" s="1337"/>
      <c r="G372" s="1337"/>
      <c r="H372" s="1337"/>
      <c r="I372" s="1337"/>
      <c r="J372" s="1337"/>
      <c r="K372" s="1331"/>
      <c r="L372" s="1331"/>
      <c r="M372" s="1331"/>
      <c r="N372" s="1331"/>
      <c r="O372" s="1331"/>
      <c r="P372" s="1331"/>
      <c r="Q372" s="1331"/>
      <c r="R372" s="1331"/>
      <c r="S372" s="1331"/>
      <c r="T372" s="1331"/>
      <c r="U372" s="1293"/>
      <c r="V372" s="1293"/>
      <c r="W372" s="1293"/>
      <c r="X372" s="1293"/>
      <c r="Y372" s="1293"/>
      <c r="Z372" s="1293"/>
      <c r="AA372" s="1293"/>
      <c r="AB372" s="1293"/>
      <c r="AC372" s="1293"/>
      <c r="AD372" s="1293"/>
      <c r="AE372" s="1293"/>
      <c r="AF372" s="1293"/>
      <c r="AG372" s="1293"/>
      <c r="AH372" s="1293"/>
      <c r="AI372" s="1293"/>
      <c r="AJ372" s="1293"/>
      <c r="AK372" s="1293"/>
      <c r="AL372" s="1293"/>
      <c r="AM372" s="1293"/>
      <c r="AN372" s="1293"/>
      <c r="AO372" s="1293"/>
      <c r="AP372" s="1293"/>
      <c r="AQ372" s="1293"/>
      <c r="AR372" s="1293"/>
      <c r="AS372" s="1293"/>
      <c r="AT372" s="1293"/>
      <c r="AU372" s="1293"/>
      <c r="AV372" s="1293"/>
      <c r="AW372" s="1293"/>
      <c r="AX372" s="1293"/>
      <c r="AY372" s="1293"/>
      <c r="AZ372" s="1293"/>
      <c r="BA372" s="1293"/>
      <c r="BB372" s="1293"/>
      <c r="BC372" s="1293"/>
      <c r="BD372" s="1293"/>
      <c r="BE372" s="1293"/>
      <c r="BF372" s="1293"/>
      <c r="BG372" s="1293"/>
      <c r="BH372" s="1293"/>
      <c r="BI372" s="1293"/>
      <c r="BJ372" s="1293"/>
      <c r="BK372" s="1293"/>
      <c r="BL372" s="1293"/>
      <c r="BM372" s="1293"/>
      <c r="BN372" s="1293"/>
      <c r="BO372" s="1293"/>
      <c r="BP372" s="1293"/>
      <c r="BQ372" s="1293"/>
      <c r="BR372" s="1293"/>
      <c r="BS372" s="1293"/>
      <c r="BT372" s="1293"/>
      <c r="BU372" s="1293"/>
      <c r="BV372" s="1293"/>
      <c r="BW372" s="1293"/>
      <c r="BX372" s="1293"/>
      <c r="BY372" s="1293"/>
      <c r="BZ372" s="1293"/>
      <c r="CA372" s="1293"/>
      <c r="CB372" s="1293"/>
      <c r="CC372" s="1293"/>
      <c r="CD372" s="1293"/>
      <c r="CE372" s="1293"/>
      <c r="CF372" s="1293"/>
      <c r="CG372" s="1293"/>
    </row>
    <row r="373" spans="1:85" ht="15.75" hidden="1" outlineLevel="1">
      <c r="A373" s="1293"/>
      <c r="B373" s="1293"/>
      <c r="C373" s="1293" t="str">
        <f>C301</f>
        <v>Africa</v>
      </c>
      <c r="D373" s="1328">
        <f t="shared" ref="D373:K373" si="310">D301/D33</f>
        <v>0.21855800408454684</v>
      </c>
      <c r="E373" s="1328">
        <f t="shared" si="310"/>
        <v>0.17553226215026557</v>
      </c>
      <c r="F373" s="1328">
        <f t="shared" si="310"/>
        <v>0.28715358264972057</v>
      </c>
      <c r="G373" s="1328">
        <f t="shared" si="310"/>
        <v>0.29566563467492263</v>
      </c>
      <c r="H373" s="1328">
        <f t="shared" si="310"/>
        <v>0.30389363722697055</v>
      </c>
      <c r="I373" s="1328">
        <f t="shared" si="310"/>
        <v>0.40898058252427183</v>
      </c>
      <c r="J373" s="1328">
        <f t="shared" si="310"/>
        <v>0.38524590163934425</v>
      </c>
      <c r="K373" s="1328">
        <f t="shared" si="310"/>
        <v>0.35854341736694678</v>
      </c>
      <c r="L373" s="1328"/>
      <c r="M373" s="2016"/>
      <c r="N373" s="2016"/>
      <c r="O373" s="2016"/>
      <c r="P373" s="2016"/>
      <c r="Q373" s="2016"/>
      <c r="R373" s="2016"/>
      <c r="S373" s="2016"/>
      <c r="T373" s="2016"/>
      <c r="U373" s="1293"/>
      <c r="V373" s="1293"/>
      <c r="W373" s="1293"/>
      <c r="X373" s="1293"/>
      <c r="Y373" s="1293"/>
      <c r="Z373" s="1293"/>
      <c r="AA373" s="1293"/>
      <c r="AB373" s="1293"/>
      <c r="AC373" s="1293"/>
      <c r="AD373" s="1293"/>
      <c r="AE373" s="1293"/>
      <c r="AF373" s="1293"/>
      <c r="AG373" s="1293"/>
      <c r="AH373" s="1293"/>
      <c r="AI373" s="1293"/>
      <c r="AJ373" s="1293"/>
      <c r="AK373" s="1293"/>
      <c r="AL373" s="1293"/>
      <c r="AM373" s="1293"/>
      <c r="AN373" s="1293"/>
      <c r="AO373" s="1293"/>
      <c r="AP373" s="1293"/>
      <c r="AQ373" s="1293"/>
      <c r="AR373" s="1293"/>
      <c r="AS373" s="1293"/>
      <c r="AT373" s="1293"/>
      <c r="AU373" s="1293"/>
      <c r="AV373" s="1293"/>
      <c r="AW373" s="1293"/>
      <c r="AX373" s="1293"/>
      <c r="AY373" s="1293"/>
      <c r="AZ373" s="1293"/>
      <c r="BA373" s="1293"/>
      <c r="BB373" s="1293"/>
      <c r="BC373" s="1293"/>
      <c r="BD373" s="1293"/>
      <c r="BE373" s="1293"/>
      <c r="BF373" s="1293"/>
      <c r="BG373" s="1293"/>
      <c r="BH373" s="1293"/>
      <c r="BI373" s="1293"/>
      <c r="BJ373" s="1293"/>
      <c r="BK373" s="1293"/>
      <c r="BL373" s="1293"/>
      <c r="BM373" s="1293"/>
      <c r="BN373" s="1293"/>
      <c r="BO373" s="1293"/>
      <c r="BP373" s="1293"/>
      <c r="BQ373" s="1293"/>
      <c r="BR373" s="1293"/>
      <c r="BS373" s="1293"/>
      <c r="BT373" s="1293"/>
      <c r="BU373" s="1293"/>
      <c r="BV373" s="1293"/>
      <c r="BW373" s="1293"/>
      <c r="BX373" s="1293"/>
      <c r="BY373" s="1293"/>
      <c r="BZ373" s="1293"/>
      <c r="CA373" s="1293"/>
      <c r="CB373" s="1293"/>
      <c r="CC373" s="1293"/>
      <c r="CD373" s="1293"/>
      <c r="CE373" s="1293"/>
      <c r="CF373" s="1293"/>
      <c r="CG373" s="1293"/>
    </row>
    <row r="374" spans="1:85" ht="15.75" collapsed="1">
      <c r="A374" s="1293"/>
      <c r="B374" s="1293"/>
      <c r="C374" s="1293"/>
      <c r="D374" s="1293"/>
      <c r="E374" s="1293"/>
      <c r="F374" s="1293"/>
      <c r="G374" s="1293"/>
      <c r="H374" s="1293"/>
      <c r="I374" s="1293"/>
      <c r="J374" s="1293"/>
      <c r="K374" s="1293"/>
      <c r="L374" s="1293"/>
      <c r="M374" s="1293"/>
      <c r="N374" s="1293"/>
      <c r="O374" s="1293"/>
      <c r="P374" s="1293"/>
      <c r="Q374" s="1293"/>
      <c r="R374" s="1293"/>
      <c r="S374" s="1293"/>
      <c r="T374" s="1293"/>
      <c r="U374" s="1293"/>
      <c r="V374" s="1293"/>
      <c r="W374" s="1293"/>
      <c r="X374" s="1293"/>
      <c r="Y374" s="1293"/>
      <c r="Z374" s="1293"/>
      <c r="AA374" s="1293"/>
      <c r="AB374" s="1293"/>
      <c r="AC374" s="1293"/>
      <c r="AD374" s="1293"/>
      <c r="AE374" s="1293"/>
      <c r="AF374" s="1293"/>
      <c r="AG374" s="1293"/>
      <c r="AH374" s="1293"/>
      <c r="AI374" s="1293"/>
      <c r="AJ374" s="1293"/>
      <c r="AK374" s="1293"/>
      <c r="AL374" s="1293"/>
      <c r="AM374" s="1293"/>
      <c r="AN374" s="1293"/>
      <c r="AO374" s="1293"/>
      <c r="AP374" s="1293"/>
      <c r="AQ374" s="1293"/>
      <c r="AR374" s="1293"/>
      <c r="AS374" s="1293"/>
      <c r="AT374" s="1293"/>
      <c r="AU374" s="1293"/>
      <c r="AV374" s="1293"/>
      <c r="AW374" s="1293"/>
      <c r="AX374" s="1293"/>
      <c r="AY374" s="1293"/>
      <c r="AZ374" s="1293"/>
      <c r="BA374" s="1293"/>
      <c r="BB374" s="1293"/>
      <c r="BC374" s="1293"/>
      <c r="BD374" s="1293"/>
      <c r="BE374" s="1293"/>
      <c r="BF374" s="1293"/>
      <c r="BG374" s="1293"/>
      <c r="BH374" s="1293"/>
      <c r="BI374" s="1293"/>
      <c r="BJ374" s="1293"/>
      <c r="BK374" s="1293"/>
      <c r="BL374" s="1293"/>
      <c r="BM374" s="1293"/>
      <c r="BN374" s="1293"/>
      <c r="BO374" s="1293"/>
      <c r="BP374" s="1293"/>
      <c r="BQ374" s="1293"/>
      <c r="BR374" s="1293"/>
      <c r="BS374" s="1293"/>
      <c r="BT374" s="1293"/>
      <c r="BU374" s="1293"/>
      <c r="BV374" s="1293"/>
      <c r="BW374" s="1293"/>
      <c r="BX374" s="1293"/>
      <c r="BY374" s="1293"/>
      <c r="BZ374" s="1293"/>
      <c r="CA374" s="1293"/>
      <c r="CB374" s="1293"/>
      <c r="CC374" s="1293"/>
      <c r="CD374" s="1293"/>
      <c r="CE374" s="1293"/>
      <c r="CF374" s="1293"/>
      <c r="CG374" s="1293"/>
    </row>
    <row r="375" spans="1:85" ht="15.75">
      <c r="A375" s="1293"/>
      <c r="B375" s="1293"/>
      <c r="C375" s="1334" t="str">
        <f>C305</f>
        <v>Reported EBITDA</v>
      </c>
      <c r="D375" s="1335">
        <f t="shared" ref="D375:T375" si="311">D305/D35</f>
        <v>0.32779792118207157</v>
      </c>
      <c r="E375" s="1335">
        <f t="shared" si="311"/>
        <v>0.32364078489947401</v>
      </c>
      <c r="F375" s="1335">
        <f t="shared" si="311"/>
        <v>0.34749567644603746</v>
      </c>
      <c r="G375" s="1335">
        <f t="shared" si="311"/>
        <v>0.36130727541468222</v>
      </c>
      <c r="H375" s="1335">
        <f t="shared" si="311"/>
        <v>0.36294078509647371</v>
      </c>
      <c r="I375" s="1335">
        <f t="shared" si="311"/>
        <v>0.4002511379689217</v>
      </c>
      <c r="J375" s="1335">
        <f t="shared" si="311"/>
        <v>0.39874839537869061</v>
      </c>
      <c r="K375" s="1335">
        <f t="shared" si="311"/>
        <v>0.39759586122945828</v>
      </c>
      <c r="L375" s="1335">
        <f t="shared" si="311"/>
        <v>0.39614598908708809</v>
      </c>
      <c r="M375" s="1335">
        <f t="shared" si="311"/>
        <v>0.37295274686451158</v>
      </c>
      <c r="N375" s="1335">
        <f t="shared" si="311"/>
        <v>0.42531625741317686</v>
      </c>
      <c r="O375" s="1335">
        <f t="shared" si="311"/>
        <v>0.43115585716691501</v>
      </c>
      <c r="P375" s="1335">
        <f t="shared" si="311"/>
        <v>0.42765953145289104</v>
      </c>
      <c r="Q375" s="1335">
        <f t="shared" si="311"/>
        <v>0.43196342530897036</v>
      </c>
      <c r="R375" s="1335">
        <f t="shared" si="311"/>
        <v>0.43656586573715972</v>
      </c>
      <c r="S375" s="1335">
        <f t="shared" si="311"/>
        <v>0.4429116713094447</v>
      </c>
      <c r="T375" s="1335">
        <f t="shared" si="311"/>
        <v>0.44955992640730802</v>
      </c>
      <c r="U375" s="1293"/>
      <c r="V375" s="1293"/>
      <c r="W375" s="1293"/>
      <c r="X375" s="1293"/>
      <c r="Y375" s="1293"/>
      <c r="Z375" s="1293"/>
      <c r="AA375" s="1293"/>
      <c r="AB375" s="1293"/>
      <c r="AC375" s="1293"/>
      <c r="AD375" s="1293"/>
      <c r="AE375" s="1293"/>
      <c r="AF375" s="1293"/>
      <c r="AG375" s="1293"/>
      <c r="AH375" s="1293"/>
      <c r="AI375" s="1293"/>
      <c r="AJ375" s="1293"/>
      <c r="AK375" s="1293"/>
      <c r="AL375" s="1293"/>
      <c r="AM375" s="1293"/>
      <c r="AN375" s="1293"/>
      <c r="AO375" s="1293"/>
      <c r="AP375" s="1293"/>
      <c r="AQ375" s="1293"/>
      <c r="AR375" s="1293"/>
      <c r="AS375" s="1293"/>
      <c r="AT375" s="1293"/>
      <c r="AU375" s="1293"/>
      <c r="AV375" s="1293"/>
      <c r="AW375" s="1293"/>
      <c r="AX375" s="1293"/>
      <c r="AY375" s="1293"/>
      <c r="AZ375" s="1293"/>
      <c r="BA375" s="1293"/>
      <c r="BB375" s="1293"/>
      <c r="BC375" s="1293"/>
      <c r="BD375" s="1293"/>
      <c r="BE375" s="1293"/>
      <c r="BF375" s="1293"/>
      <c r="BG375" s="1293"/>
      <c r="BH375" s="1293"/>
      <c r="BI375" s="1293"/>
      <c r="BJ375" s="1293"/>
      <c r="BK375" s="1293"/>
      <c r="BL375" s="1293"/>
      <c r="BM375" s="1293"/>
      <c r="BN375" s="1293"/>
      <c r="BO375" s="1293"/>
      <c r="BP375" s="1293"/>
      <c r="BQ375" s="1293"/>
      <c r="BR375" s="1293"/>
      <c r="BS375" s="1293"/>
      <c r="BT375" s="1293"/>
      <c r="BU375" s="1293"/>
      <c r="BV375" s="1293"/>
      <c r="BW375" s="1293"/>
      <c r="BX375" s="1293"/>
      <c r="BY375" s="1293"/>
      <c r="BZ375" s="1293"/>
      <c r="CA375" s="1293"/>
      <c r="CB375" s="1293"/>
      <c r="CC375" s="1293"/>
      <c r="CD375" s="1293"/>
      <c r="CE375" s="1293"/>
      <c r="CF375" s="1293"/>
      <c r="CG375" s="1293"/>
    </row>
    <row r="376" spans="1:85" ht="15.75">
      <c r="A376" s="1293"/>
      <c r="B376" s="1293"/>
      <c r="C376" s="1293"/>
      <c r="D376" s="1328"/>
      <c r="E376" s="1328"/>
      <c r="F376" s="1328"/>
      <c r="G376" s="1328"/>
      <c r="H376" s="1328"/>
      <c r="I376" s="1328"/>
      <c r="J376" s="1328"/>
      <c r="K376" s="1328"/>
      <c r="L376" s="1328"/>
      <c r="M376" s="1328"/>
      <c r="N376" s="1328"/>
      <c r="O376" s="1328"/>
      <c r="P376" s="1328"/>
      <c r="Q376" s="1328"/>
      <c r="R376" s="1328"/>
      <c r="S376" s="1328"/>
      <c r="T376" s="1328"/>
      <c r="U376" s="1293"/>
      <c r="V376" s="1293"/>
      <c r="W376" s="1293"/>
      <c r="X376" s="1293"/>
      <c r="Y376" s="1293"/>
      <c r="Z376" s="1293"/>
      <c r="AA376" s="1293"/>
      <c r="AB376" s="1293"/>
      <c r="AC376" s="1293"/>
      <c r="AD376" s="1293"/>
      <c r="AE376" s="1293"/>
      <c r="AF376" s="1293"/>
      <c r="AG376" s="1293"/>
      <c r="AH376" s="1293"/>
      <c r="AI376" s="1293"/>
      <c r="AJ376" s="1293"/>
      <c r="AK376" s="1293"/>
      <c r="AL376" s="1293"/>
      <c r="AM376" s="1293"/>
      <c r="AN376" s="1293"/>
      <c r="AO376" s="1293"/>
      <c r="AP376" s="1293"/>
      <c r="AQ376" s="1293"/>
      <c r="AR376" s="1293"/>
      <c r="AS376" s="1293"/>
      <c r="AT376" s="1293"/>
      <c r="AU376" s="1293"/>
      <c r="AV376" s="1293"/>
      <c r="AW376" s="1293"/>
      <c r="AX376" s="1293"/>
      <c r="AY376" s="1293"/>
      <c r="AZ376" s="1293"/>
      <c r="BA376" s="1293"/>
      <c r="BB376" s="1293"/>
      <c r="BC376" s="1293"/>
      <c r="BD376" s="1293"/>
      <c r="BE376" s="1293"/>
      <c r="BF376" s="1293"/>
      <c r="BG376" s="1293"/>
      <c r="BH376" s="1293"/>
      <c r="BI376" s="1293"/>
      <c r="BJ376" s="1293"/>
      <c r="BK376" s="1293"/>
      <c r="BL376" s="1293"/>
      <c r="BM376" s="1293"/>
      <c r="BN376" s="1293"/>
      <c r="BO376" s="1293"/>
      <c r="BP376" s="1293"/>
      <c r="BQ376" s="1293"/>
      <c r="BR376" s="1293"/>
      <c r="BS376" s="1293"/>
      <c r="BT376" s="1293"/>
      <c r="BU376" s="1293"/>
      <c r="BV376" s="1293"/>
      <c r="BW376" s="1293"/>
      <c r="BX376" s="1293"/>
      <c r="BY376" s="1293"/>
      <c r="BZ376" s="1293"/>
      <c r="CA376" s="1293"/>
      <c r="CB376" s="1293"/>
      <c r="CC376" s="1293"/>
      <c r="CD376" s="1293"/>
      <c r="CE376" s="1293"/>
      <c r="CF376" s="1293"/>
      <c r="CG376" s="1293"/>
    </row>
    <row r="377" spans="1:85" ht="15.75">
      <c r="A377" s="1293"/>
      <c r="B377" s="1293"/>
      <c r="C377" s="1334" t="s">
        <v>575</v>
      </c>
      <c r="D377" s="1335">
        <f t="shared" ref="D377:T377" si="312">D308/D35</f>
        <v>0.33033471608337422</v>
      </c>
      <c r="E377" s="1335">
        <f t="shared" si="312"/>
        <v>0.336639669802137</v>
      </c>
      <c r="F377" s="1335">
        <f t="shared" si="312"/>
        <v>0.35614371162059461</v>
      </c>
      <c r="G377" s="1335">
        <f t="shared" si="312"/>
        <v>0.35818689439973722</v>
      </c>
      <c r="H377" s="1335">
        <f t="shared" si="312"/>
        <v>0.36294078509647371</v>
      </c>
      <c r="I377" s="1335">
        <f t="shared" si="312"/>
        <v>0.4002511379689217</v>
      </c>
      <c r="J377" s="1335">
        <f t="shared" si="312"/>
        <v>0.42378048780487804</v>
      </c>
      <c r="K377" s="1335">
        <f t="shared" si="312"/>
        <v>0.39759586122945828</v>
      </c>
      <c r="L377" s="1335">
        <f t="shared" si="312"/>
        <v>0.39614598908708809</v>
      </c>
      <c r="M377" s="1335">
        <f t="shared" si="312"/>
        <v>0.39132405935347109</v>
      </c>
      <c r="N377" s="1335">
        <f t="shared" si="312"/>
        <v>0.45219307228732997</v>
      </c>
      <c r="O377" s="1335">
        <f t="shared" si="312"/>
        <v>0.43115585716691501</v>
      </c>
      <c r="P377" s="1335">
        <f t="shared" si="312"/>
        <v>0.42765953145289104</v>
      </c>
      <c r="Q377" s="1335">
        <f t="shared" si="312"/>
        <v>0.43196342530897036</v>
      </c>
      <c r="R377" s="1335">
        <f t="shared" si="312"/>
        <v>0.43656586573715972</v>
      </c>
      <c r="S377" s="1335">
        <f t="shared" si="312"/>
        <v>0.4429116713094447</v>
      </c>
      <c r="T377" s="1335">
        <f t="shared" si="312"/>
        <v>0.44955992640730802</v>
      </c>
      <c r="U377" s="1293"/>
      <c r="V377" s="1293"/>
      <c r="W377" s="1293"/>
      <c r="X377" s="1293"/>
      <c r="Y377" s="1293"/>
      <c r="Z377" s="1293"/>
      <c r="AA377" s="1293"/>
      <c r="AB377" s="1293"/>
      <c r="AC377" s="1293"/>
      <c r="AD377" s="1293"/>
      <c r="AE377" s="1293"/>
      <c r="AF377" s="1293"/>
      <c r="AG377" s="1293"/>
      <c r="AH377" s="1293"/>
      <c r="AI377" s="1293"/>
      <c r="AJ377" s="1293"/>
      <c r="AK377" s="1293"/>
      <c r="AL377" s="1293"/>
      <c r="AM377" s="1293"/>
      <c r="AN377" s="1293"/>
      <c r="AO377" s="1293"/>
      <c r="AP377" s="1293"/>
      <c r="AQ377" s="1293"/>
      <c r="AR377" s="1293"/>
      <c r="AS377" s="1293"/>
      <c r="AT377" s="1293"/>
      <c r="AU377" s="1293"/>
      <c r="AV377" s="1293"/>
      <c r="AW377" s="1293"/>
      <c r="AX377" s="1293"/>
      <c r="AY377" s="1293"/>
      <c r="AZ377" s="1293"/>
      <c r="BA377" s="1293"/>
      <c r="BB377" s="1293"/>
      <c r="BC377" s="1293"/>
      <c r="BD377" s="1293"/>
      <c r="BE377" s="1293"/>
      <c r="BF377" s="1293"/>
      <c r="BG377" s="1293"/>
      <c r="BH377" s="1293"/>
      <c r="BI377" s="1293"/>
      <c r="BJ377" s="1293"/>
      <c r="BK377" s="1293"/>
      <c r="BL377" s="1293"/>
      <c r="BM377" s="1293"/>
      <c r="BN377" s="1293"/>
      <c r="BO377" s="1293"/>
      <c r="BP377" s="1293"/>
      <c r="BQ377" s="1293"/>
      <c r="BR377" s="1293"/>
      <c r="BS377" s="1293"/>
      <c r="BT377" s="1293"/>
      <c r="BU377" s="1293"/>
      <c r="BV377" s="1293"/>
      <c r="BW377" s="1293"/>
      <c r="BX377" s="1293"/>
      <c r="BY377" s="1293"/>
      <c r="BZ377" s="1293"/>
      <c r="CA377" s="1293"/>
      <c r="CB377" s="1293"/>
      <c r="CC377" s="1293"/>
      <c r="CD377" s="1293"/>
      <c r="CE377" s="1293"/>
      <c r="CF377" s="1293"/>
      <c r="CG377" s="1293"/>
    </row>
    <row r="378" spans="1:85" ht="15.75">
      <c r="A378" s="1293"/>
      <c r="B378" s="1293"/>
      <c r="C378" s="1293"/>
      <c r="D378" s="1328"/>
      <c r="E378" s="1328"/>
      <c r="F378" s="1293"/>
      <c r="G378" s="1293"/>
      <c r="H378" s="1293"/>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93"/>
      <c r="AF378" s="1293"/>
      <c r="AG378" s="1293"/>
      <c r="AH378" s="1293"/>
      <c r="AI378" s="1293"/>
      <c r="AJ378" s="1293"/>
      <c r="AK378" s="1293"/>
      <c r="AL378" s="1293"/>
      <c r="AM378" s="1293"/>
      <c r="AN378" s="1293"/>
      <c r="AO378" s="1293"/>
      <c r="AP378" s="1293"/>
      <c r="AQ378" s="1293"/>
      <c r="AR378" s="1293"/>
      <c r="AS378" s="1293"/>
      <c r="AT378" s="1293"/>
      <c r="AU378" s="1293"/>
      <c r="AV378" s="1293"/>
      <c r="AW378" s="1293"/>
      <c r="AX378" s="1293"/>
      <c r="AY378" s="1293"/>
      <c r="AZ378" s="1293"/>
      <c r="BA378" s="1293"/>
      <c r="BB378" s="1293"/>
      <c r="BC378" s="1293"/>
      <c r="BD378" s="1293"/>
      <c r="BE378" s="1293"/>
      <c r="BF378" s="1293"/>
      <c r="BG378" s="1293"/>
      <c r="BH378" s="1293"/>
      <c r="BI378" s="1293"/>
      <c r="BJ378" s="1293"/>
      <c r="BK378" s="1293"/>
      <c r="BL378" s="1293"/>
      <c r="BM378" s="1293"/>
      <c r="BN378" s="1293"/>
      <c r="BO378" s="1293"/>
      <c r="BP378" s="1293"/>
      <c r="BQ378" s="1293"/>
      <c r="BR378" s="1293"/>
      <c r="BS378" s="1293"/>
      <c r="BT378" s="1293"/>
      <c r="BU378" s="1293"/>
      <c r="BV378" s="1293"/>
      <c r="BW378" s="1293"/>
      <c r="BX378" s="1293"/>
      <c r="BY378" s="1293"/>
      <c r="BZ378" s="1293"/>
      <c r="CA378" s="1293"/>
      <c r="CB378" s="1293"/>
      <c r="CC378" s="1293"/>
      <c r="CD378" s="1293"/>
      <c r="CE378" s="1293"/>
      <c r="CF378" s="1293"/>
      <c r="CG378" s="1293"/>
    </row>
    <row r="379" spans="1:85" ht="15.75">
      <c r="A379" s="1293"/>
      <c r="B379" s="1293"/>
      <c r="C379" s="1293"/>
      <c r="D379" s="1328"/>
      <c r="E379" s="1328"/>
      <c r="F379" s="1293"/>
      <c r="G379" s="1293"/>
      <c r="H379" s="1293"/>
      <c r="I379" s="1293"/>
      <c r="J379" s="1293"/>
      <c r="K379" s="1293"/>
      <c r="L379" s="1293"/>
      <c r="M379" s="1293"/>
      <c r="N379" s="1293"/>
      <c r="O379" s="1293"/>
      <c r="P379" s="1293"/>
      <c r="Q379" s="1293"/>
      <c r="R379" s="1293"/>
      <c r="S379" s="1293"/>
      <c r="T379" s="1293"/>
      <c r="U379" s="1293"/>
      <c r="V379" s="1293"/>
      <c r="W379" s="1293"/>
      <c r="X379" s="1293"/>
      <c r="Y379" s="1293"/>
      <c r="Z379" s="1293"/>
      <c r="AA379" s="1293"/>
      <c r="AB379" s="1293"/>
      <c r="AC379" s="1293"/>
      <c r="AD379" s="1293"/>
      <c r="AE379" s="1293"/>
      <c r="AF379" s="1293"/>
      <c r="AG379" s="1293"/>
      <c r="AH379" s="1293"/>
      <c r="AI379" s="1293"/>
      <c r="AJ379" s="1293"/>
      <c r="AK379" s="1293"/>
      <c r="AL379" s="1293"/>
      <c r="AM379" s="1293"/>
      <c r="AN379" s="1293"/>
      <c r="AO379" s="1293"/>
      <c r="AP379" s="1293"/>
      <c r="AQ379" s="1293"/>
      <c r="AR379" s="1293"/>
      <c r="AS379" s="1293"/>
      <c r="AT379" s="1293"/>
      <c r="AU379" s="1293"/>
      <c r="AV379" s="1293"/>
      <c r="AW379" s="1293"/>
      <c r="AX379" s="1293"/>
      <c r="AY379" s="1293"/>
      <c r="AZ379" s="1293"/>
      <c r="BA379" s="1293"/>
      <c r="BB379" s="1293"/>
      <c r="BC379" s="1293"/>
      <c r="BD379" s="1293"/>
      <c r="BE379" s="1293"/>
      <c r="BF379" s="1293"/>
      <c r="BG379" s="1293"/>
      <c r="BH379" s="1293"/>
      <c r="BI379" s="1293"/>
      <c r="BJ379" s="1293"/>
      <c r="BK379" s="1293"/>
      <c r="BL379" s="1293"/>
      <c r="BM379" s="1293"/>
      <c r="BN379" s="1293"/>
      <c r="BO379" s="1293"/>
      <c r="BP379" s="1293"/>
      <c r="BQ379" s="1293"/>
      <c r="BR379" s="1293"/>
      <c r="BS379" s="1293"/>
      <c r="BT379" s="1293"/>
      <c r="BU379" s="1293"/>
      <c r="BV379" s="1293"/>
      <c r="BW379" s="1293"/>
      <c r="BX379" s="1293"/>
      <c r="BY379" s="1293"/>
      <c r="BZ379" s="1293"/>
      <c r="CA379" s="1293"/>
      <c r="CB379" s="1293"/>
      <c r="CC379" s="1293"/>
      <c r="CD379" s="1293"/>
      <c r="CE379" s="1293"/>
      <c r="CF379" s="1293"/>
      <c r="CG379" s="1293"/>
    </row>
    <row r="380" spans="1:85" ht="15.75">
      <c r="A380" s="1293"/>
      <c r="B380" s="1293"/>
      <c r="C380" s="1293"/>
      <c r="D380" s="1328"/>
      <c r="E380" s="1328"/>
      <c r="F380" s="1293"/>
      <c r="G380" s="1293"/>
      <c r="H380" s="1293"/>
      <c r="I380" s="1293"/>
      <c r="J380" s="1293"/>
      <c r="K380" s="1293"/>
      <c r="L380" s="1293"/>
      <c r="M380" s="1293"/>
      <c r="N380" s="1293"/>
      <c r="O380" s="1293"/>
      <c r="P380" s="1293"/>
      <c r="Q380" s="1293"/>
      <c r="R380" s="1293"/>
      <c r="S380" s="1293"/>
      <c r="T380" s="1293"/>
      <c r="U380" s="1293"/>
      <c r="V380" s="1293"/>
      <c r="W380" s="1293"/>
      <c r="X380" s="1293"/>
      <c r="Y380" s="1293"/>
      <c r="Z380" s="1293"/>
      <c r="AA380" s="1293"/>
      <c r="AB380" s="1293"/>
      <c r="AC380" s="1293"/>
      <c r="AD380" s="1293"/>
      <c r="AE380" s="1293"/>
      <c r="AF380" s="1293"/>
      <c r="AG380" s="1293"/>
      <c r="AH380" s="1293"/>
      <c r="AI380" s="1293"/>
      <c r="AJ380" s="1293"/>
      <c r="AK380" s="1293"/>
      <c r="AL380" s="1293"/>
      <c r="AM380" s="1293"/>
      <c r="AN380" s="1293"/>
      <c r="AO380" s="1293"/>
      <c r="AP380" s="1293"/>
      <c r="AQ380" s="1293"/>
      <c r="AR380" s="1293"/>
      <c r="AS380" s="1293"/>
      <c r="AT380" s="1293"/>
      <c r="AU380" s="1293"/>
      <c r="AV380" s="1293"/>
      <c r="AW380" s="1293"/>
      <c r="AX380" s="1293"/>
      <c r="AY380" s="1293"/>
      <c r="AZ380" s="1293"/>
      <c r="BA380" s="1293"/>
      <c r="BB380" s="1293"/>
      <c r="BC380" s="1293"/>
      <c r="BD380" s="1293"/>
      <c r="BE380" s="1293"/>
      <c r="BF380" s="1293"/>
      <c r="BG380" s="1293"/>
      <c r="BH380" s="1293"/>
      <c r="BI380" s="1293"/>
      <c r="BJ380" s="1293"/>
      <c r="BK380" s="1293"/>
      <c r="BL380" s="1293"/>
      <c r="BM380" s="1293"/>
      <c r="BN380" s="1293"/>
      <c r="BO380" s="1293"/>
      <c r="BP380" s="1293"/>
      <c r="BQ380" s="1293"/>
      <c r="BR380" s="1293"/>
      <c r="BS380" s="1293"/>
      <c r="BT380" s="1293"/>
      <c r="BU380" s="1293"/>
      <c r="BV380" s="1293"/>
      <c r="BW380" s="1293"/>
      <c r="BX380" s="1293"/>
      <c r="BY380" s="1293"/>
      <c r="BZ380" s="1293"/>
      <c r="CA380" s="1293"/>
      <c r="CB380" s="1293"/>
      <c r="CC380" s="1293"/>
      <c r="CD380" s="1293"/>
      <c r="CE380" s="1293"/>
      <c r="CF380" s="1293"/>
      <c r="CG380" s="1293"/>
    </row>
    <row r="381" spans="1:85" ht="15.75">
      <c r="A381" s="1293"/>
      <c r="B381" s="1293"/>
      <c r="C381" s="1979" t="s">
        <v>1545</v>
      </c>
      <c r="D381" s="1293"/>
      <c r="E381" s="1293"/>
      <c r="F381" s="1293"/>
      <c r="G381" s="1293"/>
      <c r="H381" s="1293"/>
      <c r="I381" s="1293"/>
      <c r="J381" s="1293"/>
      <c r="K381" s="1293"/>
      <c r="L381" s="1293"/>
      <c r="M381" s="1293"/>
      <c r="N381" s="1293"/>
      <c r="O381" s="1293"/>
      <c r="P381" s="1293"/>
      <c r="Q381" s="1293"/>
      <c r="R381" s="1293"/>
      <c r="S381" s="1293"/>
      <c r="T381" s="1293"/>
      <c r="U381" s="1293"/>
      <c r="V381" s="1293"/>
      <c r="W381" s="1293"/>
      <c r="X381" s="1293"/>
      <c r="Y381" s="1293"/>
      <c r="Z381" s="1293"/>
      <c r="AA381" s="1293"/>
      <c r="AB381" s="1293"/>
      <c r="AC381" s="1293"/>
      <c r="AD381" s="1293"/>
      <c r="AE381" s="1293"/>
      <c r="AF381" s="1293"/>
      <c r="AG381" s="1293"/>
      <c r="AH381" s="1293"/>
      <c r="AI381" s="1293"/>
      <c r="AJ381" s="1293"/>
      <c r="AK381" s="1293"/>
      <c r="AL381" s="1293"/>
      <c r="AM381" s="1293"/>
      <c r="AN381" s="1293"/>
      <c r="AO381" s="1293"/>
      <c r="AP381" s="1293"/>
      <c r="AQ381" s="1293"/>
      <c r="AR381" s="1293"/>
      <c r="AS381" s="1293"/>
      <c r="AT381" s="1293"/>
      <c r="AU381" s="1293"/>
      <c r="AV381" s="1293"/>
      <c r="AW381" s="1293"/>
      <c r="AX381" s="1293"/>
      <c r="AY381" s="1293"/>
      <c r="AZ381" s="1293"/>
      <c r="BA381" s="1293"/>
      <c r="BB381" s="1293"/>
      <c r="BC381" s="1293"/>
      <c r="BD381" s="1293"/>
      <c r="BE381" s="1293"/>
      <c r="BF381" s="1293"/>
      <c r="BG381" s="1293"/>
      <c r="BH381" s="1293"/>
      <c r="BI381" s="1293"/>
      <c r="BJ381" s="1293"/>
      <c r="BK381" s="1293"/>
      <c r="BL381" s="1293"/>
      <c r="BM381" s="1293"/>
      <c r="BN381" s="1293"/>
      <c r="BO381" s="1293"/>
      <c r="BP381" s="1293"/>
      <c r="BQ381" s="1293"/>
      <c r="BR381" s="1293"/>
      <c r="BS381" s="1293"/>
      <c r="BT381" s="1293"/>
      <c r="BU381" s="1293"/>
      <c r="BV381" s="1293"/>
      <c r="BW381" s="1293"/>
      <c r="BX381" s="1293"/>
      <c r="BY381" s="1293"/>
      <c r="BZ381" s="1293"/>
      <c r="CA381" s="1293"/>
      <c r="CB381" s="1293"/>
      <c r="CC381" s="1293"/>
      <c r="CD381" s="1293"/>
      <c r="CE381" s="1293"/>
      <c r="CF381" s="1293"/>
      <c r="CG381" s="1293"/>
    </row>
    <row r="382" spans="1:85" ht="15.75">
      <c r="A382" s="1293"/>
      <c r="B382" s="1293"/>
      <c r="C382" s="1331"/>
      <c r="D382" s="1331">
        <f t="shared" ref="D382:O382" si="313">D348</f>
        <v>2014</v>
      </c>
      <c r="E382" s="1331">
        <f t="shared" si="313"/>
        <v>2015</v>
      </c>
      <c r="F382" s="1331">
        <f t="shared" si="313"/>
        <v>2016</v>
      </c>
      <c r="G382" s="1331">
        <f t="shared" si="313"/>
        <v>2017</v>
      </c>
      <c r="H382" s="1331">
        <f t="shared" si="313"/>
        <v>2018</v>
      </c>
      <c r="I382" s="1331">
        <f t="shared" si="313"/>
        <v>2019</v>
      </c>
      <c r="J382" s="1331">
        <f t="shared" si="313"/>
        <v>2020</v>
      </c>
      <c r="K382" s="1331">
        <f t="shared" si="313"/>
        <v>2021</v>
      </c>
      <c r="L382" s="1331">
        <f t="shared" si="313"/>
        <v>2022</v>
      </c>
      <c r="M382" s="1331">
        <f t="shared" si="313"/>
        <v>2023</v>
      </c>
      <c r="N382" s="1331">
        <f t="shared" si="313"/>
        <v>2024</v>
      </c>
      <c r="O382" s="1331">
        <f t="shared" si="313"/>
        <v>2025</v>
      </c>
      <c r="P382" s="1331">
        <f>P348</f>
        <v>2026</v>
      </c>
      <c r="Q382" s="1331">
        <f>Q348</f>
        <v>2027</v>
      </c>
      <c r="R382" s="1331">
        <f>R348</f>
        <v>2028</v>
      </c>
      <c r="S382" s="1331">
        <f>S348</f>
        <v>2029</v>
      </c>
      <c r="T382" s="1331">
        <f>T348</f>
        <v>2030</v>
      </c>
      <c r="U382" s="1293"/>
      <c r="V382" s="1293"/>
      <c r="W382" s="1293"/>
      <c r="X382" s="1293"/>
      <c r="Y382" s="1293"/>
      <c r="Z382" s="1293"/>
      <c r="AA382" s="1293"/>
      <c r="AB382" s="1293"/>
      <c r="AC382" s="1293"/>
      <c r="AD382" s="1293"/>
      <c r="AE382" s="1293"/>
      <c r="AF382" s="1293"/>
      <c r="AG382" s="1293"/>
      <c r="AH382" s="1293"/>
      <c r="AI382" s="1293"/>
      <c r="AJ382" s="1293"/>
      <c r="AK382" s="1293"/>
      <c r="AL382" s="1293"/>
      <c r="AM382" s="1293"/>
      <c r="AN382" s="1293"/>
      <c r="AO382" s="1293"/>
      <c r="AP382" s="1293"/>
      <c r="AQ382" s="1293"/>
      <c r="AR382" s="1293"/>
      <c r="AS382" s="1293"/>
      <c r="AT382" s="1293"/>
      <c r="AU382" s="1293"/>
      <c r="AV382" s="1293"/>
      <c r="AW382" s="1293"/>
      <c r="AX382" s="1293"/>
      <c r="AY382" s="1293"/>
      <c r="AZ382" s="1293"/>
      <c r="BA382" s="1293"/>
      <c r="BB382" s="1293"/>
      <c r="BC382" s="1293"/>
      <c r="BD382" s="1293"/>
      <c r="BE382" s="1293"/>
      <c r="BF382" s="1293"/>
      <c r="BG382" s="1293"/>
      <c r="BH382" s="1293"/>
      <c r="BI382" s="1293"/>
      <c r="BJ382" s="1293"/>
      <c r="BK382" s="1293"/>
      <c r="BL382" s="1293"/>
      <c r="BM382" s="1293"/>
      <c r="BN382" s="1293"/>
      <c r="BO382" s="1293"/>
      <c r="BP382" s="1293"/>
      <c r="BQ382" s="1293"/>
      <c r="BR382" s="1293"/>
      <c r="BS382" s="1293"/>
      <c r="BT382" s="1293"/>
      <c r="BU382" s="1293"/>
      <c r="BV382" s="1293"/>
      <c r="BW382" s="1293"/>
      <c r="BX382" s="1293"/>
      <c r="BY382" s="1293"/>
      <c r="BZ382" s="1293"/>
      <c r="CA382" s="1293"/>
      <c r="CB382" s="1293"/>
      <c r="CC382" s="1293"/>
      <c r="CD382" s="1293"/>
      <c r="CE382" s="1293"/>
      <c r="CF382" s="1293"/>
      <c r="CG382" s="1293"/>
    </row>
    <row r="383" spans="1:85" ht="15.75">
      <c r="A383" s="1293"/>
      <c r="B383" s="1293"/>
      <c r="C383" s="1293" t="str">
        <f t="shared" ref="C383:C388" si="314">C5</f>
        <v>El Salvador</v>
      </c>
      <c r="D383" s="1293"/>
      <c r="E383" s="1293"/>
      <c r="F383" s="1293"/>
      <c r="G383" s="1293"/>
      <c r="H383" s="1293"/>
      <c r="I383" s="1293"/>
      <c r="J383" s="1293"/>
      <c r="K383" s="1293"/>
      <c r="L383" s="1885">
        <f>L5/(L$5+L$9+L$10)*L$389</f>
        <v>76.270637318291264</v>
      </c>
      <c r="M383" s="1885">
        <f>M5/(M$5+M$9+M$10)*M$389</f>
        <v>80.220921142200737</v>
      </c>
      <c r="N383" s="1885">
        <f>N5/(N$5+N$9+N$10)*N$389</f>
        <v>71.568965643591895</v>
      </c>
      <c r="O383" s="1698">
        <f t="shared" ref="O383:T388" si="315">O411*O5</f>
        <v>73.175989999999999</v>
      </c>
      <c r="P383" s="1698">
        <f t="shared" si="315"/>
        <v>74.639509799999999</v>
      </c>
      <c r="Q383" s="1698">
        <f t="shared" si="315"/>
        <v>74.819674133999996</v>
      </c>
      <c r="R383" s="1698">
        <f t="shared" si="315"/>
        <v>74.977189237440015</v>
      </c>
      <c r="S383" s="1698">
        <f t="shared" si="315"/>
        <v>73.74542112853922</v>
      </c>
      <c r="T383" s="1698">
        <f t="shared" si="315"/>
        <v>69.648453288064815</v>
      </c>
      <c r="U383" s="1293"/>
      <c r="V383" s="1293"/>
      <c r="W383" s="1293"/>
      <c r="X383" s="1293"/>
      <c r="Y383" s="1293"/>
      <c r="Z383" s="1293"/>
      <c r="AA383" s="1293"/>
      <c r="AB383" s="1293"/>
      <c r="AC383" s="1293"/>
      <c r="AD383" s="1293"/>
      <c r="AE383" s="1293"/>
      <c r="AF383" s="1293"/>
      <c r="AG383" s="1293"/>
      <c r="AH383" s="1293"/>
      <c r="AI383" s="1293"/>
      <c r="AJ383" s="1293"/>
      <c r="AK383" s="1293"/>
      <c r="AL383" s="1293"/>
      <c r="AM383" s="1293"/>
      <c r="AN383" s="1293"/>
      <c r="AO383" s="1293"/>
      <c r="AP383" s="1293"/>
      <c r="AQ383" s="1293"/>
      <c r="AR383" s="1293"/>
      <c r="AS383" s="1293"/>
      <c r="AT383" s="1293"/>
      <c r="AU383" s="1293"/>
      <c r="AV383" s="1293"/>
      <c r="AW383" s="1293"/>
      <c r="AX383" s="1293"/>
      <c r="AY383" s="1293"/>
      <c r="AZ383" s="1293"/>
      <c r="BA383" s="1293"/>
      <c r="BB383" s="1293"/>
      <c r="BC383" s="1293"/>
      <c r="BD383" s="1293"/>
      <c r="BE383" s="1293"/>
      <c r="BF383" s="1293"/>
      <c r="BG383" s="1293"/>
      <c r="BH383" s="1293"/>
      <c r="BI383" s="1293"/>
      <c r="BJ383" s="1293"/>
      <c r="BK383" s="1293"/>
      <c r="BL383" s="1293"/>
      <c r="BM383" s="1293"/>
      <c r="BN383" s="1293"/>
      <c r="BO383" s="1293"/>
      <c r="BP383" s="1293"/>
      <c r="BQ383" s="1293"/>
      <c r="BR383" s="1293"/>
      <c r="BS383" s="1293"/>
      <c r="BT383" s="1293"/>
      <c r="BU383" s="1293"/>
      <c r="BV383" s="1293"/>
      <c r="BW383" s="1293"/>
      <c r="BX383" s="1293"/>
      <c r="BY383" s="1293"/>
      <c r="BZ383" s="1293"/>
      <c r="CA383" s="1293"/>
      <c r="CB383" s="1293"/>
      <c r="CC383" s="1293"/>
      <c r="CD383" s="1293"/>
      <c r="CE383" s="1293"/>
      <c r="CF383" s="1293"/>
      <c r="CG383" s="1293"/>
    </row>
    <row r="384" spans="1:85" ht="15.75">
      <c r="A384" s="1293"/>
      <c r="B384" s="1293"/>
      <c r="C384" s="1293" t="str">
        <f t="shared" si="314"/>
        <v>Guatemala</v>
      </c>
      <c r="D384" s="1293"/>
      <c r="E384" s="1293"/>
      <c r="F384" s="1293"/>
      <c r="G384" s="1293"/>
      <c r="H384" s="1293"/>
      <c r="I384" s="1293"/>
      <c r="J384" s="1293"/>
      <c r="K384" s="1293"/>
      <c r="L384" s="2017">
        <v>197</v>
      </c>
      <c r="M384" s="2017">
        <v>183</v>
      </c>
      <c r="N384" s="2017">
        <v>175</v>
      </c>
      <c r="O384" s="1698">
        <f t="shared" si="315"/>
        <v>190.02472138937665</v>
      </c>
      <c r="P384" s="1698">
        <f t="shared" si="315"/>
        <v>184.34554973767467</v>
      </c>
      <c r="Q384" s="1698">
        <f t="shared" si="315"/>
        <v>186.96552531310195</v>
      </c>
      <c r="R384" s="1698">
        <f t="shared" si="315"/>
        <v>189.62324478698906</v>
      </c>
      <c r="S384" s="1698">
        <f t="shared" si="315"/>
        <v>191.50070265616716</v>
      </c>
      <c r="T384" s="1698">
        <f t="shared" si="315"/>
        <v>193.39674921711932</v>
      </c>
      <c r="U384" s="1293"/>
      <c r="V384" s="1293"/>
      <c r="W384" s="1293"/>
      <c r="X384" s="1293"/>
      <c r="Y384" s="1293"/>
      <c r="Z384" s="1293"/>
      <c r="AA384" s="1293"/>
      <c r="AB384" s="1293"/>
      <c r="AC384" s="1293"/>
      <c r="AD384" s="1293"/>
      <c r="AE384" s="1293"/>
      <c r="AF384" s="1293"/>
      <c r="AG384" s="1293"/>
      <c r="AH384" s="1293"/>
      <c r="AI384" s="1293"/>
      <c r="AJ384" s="1293"/>
      <c r="AK384" s="1293"/>
      <c r="AL384" s="1293"/>
      <c r="AM384" s="1293"/>
      <c r="AN384" s="1293"/>
      <c r="AO384" s="1293"/>
      <c r="AP384" s="1293"/>
      <c r="AQ384" s="1293"/>
      <c r="AR384" s="1293"/>
      <c r="AS384" s="1293"/>
      <c r="AT384" s="1293"/>
      <c r="AU384" s="1293"/>
      <c r="AV384" s="1293"/>
      <c r="AW384" s="1293"/>
      <c r="AX384" s="1293"/>
      <c r="AY384" s="1293"/>
      <c r="AZ384" s="1293"/>
      <c r="BA384" s="1293"/>
      <c r="BB384" s="1293"/>
      <c r="BC384" s="1293"/>
      <c r="BD384" s="1293"/>
      <c r="BE384" s="1293"/>
      <c r="BF384" s="1293"/>
      <c r="BG384" s="1293"/>
      <c r="BH384" s="1293"/>
      <c r="BI384" s="1293"/>
      <c r="BJ384" s="1293"/>
      <c r="BK384" s="1293"/>
      <c r="BL384" s="1293"/>
      <c r="BM384" s="1293"/>
      <c r="BN384" s="1293"/>
      <c r="BO384" s="1293"/>
      <c r="BP384" s="1293"/>
      <c r="BQ384" s="1293"/>
      <c r="BR384" s="1293"/>
      <c r="BS384" s="1293"/>
      <c r="BT384" s="1293"/>
      <c r="BU384" s="1293"/>
      <c r="BV384" s="1293"/>
      <c r="BW384" s="1293"/>
      <c r="BX384" s="1293"/>
      <c r="BY384" s="1293"/>
      <c r="BZ384" s="1293"/>
      <c r="CA384" s="1293"/>
      <c r="CB384" s="1293"/>
      <c r="CC384" s="1293"/>
      <c r="CD384" s="1293"/>
      <c r="CE384" s="1293"/>
      <c r="CF384" s="1293"/>
      <c r="CG384" s="1293"/>
    </row>
    <row r="385" spans="1:85" ht="15.75">
      <c r="A385" s="1293"/>
      <c r="B385" s="1293"/>
      <c r="C385" s="1293" t="str">
        <f t="shared" si="314"/>
        <v>Honduras (JV)</v>
      </c>
      <c r="D385" s="1293"/>
      <c r="E385" s="1293"/>
      <c r="F385" s="1293"/>
      <c r="G385" s="1293"/>
      <c r="H385" s="1293"/>
      <c r="I385" s="1293"/>
      <c r="J385" s="1293"/>
      <c r="K385" s="1293"/>
      <c r="L385" s="2017">
        <v>78</v>
      </c>
      <c r="M385" s="2017">
        <v>103</v>
      </c>
      <c r="N385" s="2017">
        <v>75</v>
      </c>
      <c r="O385" s="1698">
        <f t="shared" si="315"/>
        <v>92.130999216796837</v>
      </c>
      <c r="P385" s="1698">
        <f t="shared" si="315"/>
        <v>93.906009303411182</v>
      </c>
      <c r="Q385" s="1698">
        <f t="shared" si="315"/>
        <v>92.525156686626673</v>
      </c>
      <c r="R385" s="1698">
        <f t="shared" si="315"/>
        <v>91.056644742620321</v>
      </c>
      <c r="S385" s="1698">
        <f t="shared" si="315"/>
        <v>89.085769591450969</v>
      </c>
      <c r="T385" s="1698">
        <f t="shared" si="315"/>
        <v>87.038098688963927</v>
      </c>
      <c r="U385" s="1293"/>
      <c r="V385" s="1293"/>
      <c r="W385" s="1293"/>
      <c r="X385" s="1293"/>
      <c r="Y385" s="1293"/>
      <c r="Z385" s="1293"/>
      <c r="AA385" s="1293"/>
      <c r="AB385" s="1293"/>
      <c r="AC385" s="1293"/>
      <c r="AD385" s="1293">
        <v>1.2</v>
      </c>
      <c r="AE385" s="1293"/>
      <c r="AF385" s="1293"/>
      <c r="AG385" s="1293"/>
      <c r="AH385" s="1293"/>
      <c r="AI385" s="1293"/>
      <c r="AJ385" s="1293"/>
      <c r="AK385" s="1293"/>
      <c r="AL385" s="1293"/>
      <c r="AM385" s="1293"/>
      <c r="AN385" s="1293"/>
      <c r="AO385" s="1293"/>
      <c r="AP385" s="1293"/>
      <c r="AQ385" s="1293"/>
      <c r="AR385" s="1293"/>
      <c r="AS385" s="1293"/>
      <c r="AT385" s="1293"/>
      <c r="AU385" s="1293"/>
      <c r="AV385" s="1293"/>
      <c r="AW385" s="1293"/>
      <c r="AX385" s="1293"/>
      <c r="AY385" s="1293"/>
      <c r="AZ385" s="1293"/>
      <c r="BA385" s="1293"/>
      <c r="BB385" s="1293"/>
      <c r="BC385" s="1293"/>
      <c r="BD385" s="1293"/>
      <c r="BE385" s="1293"/>
      <c r="BF385" s="1293"/>
      <c r="BG385" s="1293"/>
      <c r="BH385" s="1293"/>
      <c r="BI385" s="1293"/>
      <c r="BJ385" s="1293"/>
      <c r="BK385" s="1293"/>
      <c r="BL385" s="1293"/>
      <c r="BM385" s="1293"/>
      <c r="BN385" s="1293"/>
      <c r="BO385" s="1293"/>
      <c r="BP385" s="1293"/>
      <c r="BQ385" s="1293"/>
      <c r="BR385" s="1293"/>
      <c r="BS385" s="1293"/>
      <c r="BT385" s="1293"/>
      <c r="BU385" s="1293"/>
      <c r="BV385" s="1293"/>
      <c r="BW385" s="1293"/>
      <c r="BX385" s="1293"/>
      <c r="BY385" s="1293"/>
      <c r="BZ385" s="1293"/>
      <c r="CA385" s="1293"/>
      <c r="CB385" s="1293"/>
      <c r="CC385" s="1293"/>
      <c r="CD385" s="1293"/>
      <c r="CE385" s="1293"/>
      <c r="CF385" s="1293"/>
      <c r="CG385" s="1293"/>
    </row>
    <row r="386" spans="1:85" ht="15.75">
      <c r="A386" s="1293"/>
      <c r="B386" s="1293"/>
      <c r="C386" s="1293" t="str">
        <f t="shared" si="314"/>
        <v>Panama</v>
      </c>
      <c r="D386" s="1293"/>
      <c r="E386" s="1293"/>
      <c r="F386" s="1293"/>
      <c r="G386" s="1293"/>
      <c r="H386" s="1293"/>
      <c r="I386" s="1293"/>
      <c r="J386" s="1293"/>
      <c r="K386" s="1293"/>
      <c r="L386" s="2017">
        <v>106</v>
      </c>
      <c r="M386" s="2017">
        <v>100</v>
      </c>
      <c r="N386" s="2017">
        <v>96</v>
      </c>
      <c r="O386" s="1698">
        <f t="shared" si="315"/>
        <v>102.32017900000002</v>
      </c>
      <c r="P386" s="1698">
        <f t="shared" si="315"/>
        <v>98.313433920000023</v>
      </c>
      <c r="Q386" s="1698">
        <f t="shared" si="315"/>
        <v>97.855335781800022</v>
      </c>
      <c r="R386" s="1698">
        <f t="shared" si="315"/>
        <v>101.40854075118602</v>
      </c>
      <c r="S386" s="1698">
        <f t="shared" si="315"/>
        <v>104.85609894186599</v>
      </c>
      <c r="T386" s="1698">
        <f t="shared" si="315"/>
        <v>107.93259820990613</v>
      </c>
      <c r="U386" s="1293"/>
      <c r="V386" s="1293"/>
      <c r="W386" s="1293"/>
      <c r="X386" s="1293"/>
      <c r="Y386" s="1293"/>
      <c r="Z386" s="1293"/>
      <c r="AA386" s="1293"/>
      <c r="AB386" s="1293"/>
      <c r="AC386" s="1293"/>
      <c r="AD386" s="1293">
        <v>600</v>
      </c>
      <c r="AE386" s="1293"/>
      <c r="AF386" s="1293"/>
      <c r="AG386" s="1293"/>
      <c r="AH386" s="1293"/>
      <c r="AI386" s="1293"/>
      <c r="AJ386" s="1293"/>
      <c r="AK386" s="1293"/>
      <c r="AL386" s="1293"/>
      <c r="AM386" s="1293"/>
      <c r="AN386" s="1293"/>
      <c r="AO386" s="1293"/>
      <c r="AP386" s="1293"/>
      <c r="AQ386" s="1293"/>
      <c r="AR386" s="1293"/>
      <c r="AS386" s="1293"/>
      <c r="AT386" s="1293"/>
      <c r="AU386" s="1293"/>
      <c r="AV386" s="1293"/>
      <c r="AW386" s="1293"/>
      <c r="AX386" s="1293"/>
      <c r="AY386" s="1293"/>
      <c r="AZ386" s="1293"/>
      <c r="BA386" s="1293"/>
      <c r="BB386" s="1293"/>
      <c r="BC386" s="1293"/>
      <c r="BD386" s="1293"/>
      <c r="BE386" s="1293"/>
      <c r="BF386" s="1293"/>
      <c r="BG386" s="1293"/>
      <c r="BH386" s="1293"/>
      <c r="BI386" s="1293"/>
      <c r="BJ386" s="1293"/>
      <c r="BK386" s="1293"/>
      <c r="BL386" s="1293"/>
      <c r="BM386" s="1293"/>
      <c r="BN386" s="1293"/>
      <c r="BO386" s="1293"/>
      <c r="BP386" s="1293"/>
      <c r="BQ386" s="1293"/>
      <c r="BR386" s="1293"/>
      <c r="BS386" s="1293"/>
      <c r="BT386" s="1293"/>
      <c r="BU386" s="1293"/>
      <c r="BV386" s="1293"/>
      <c r="BW386" s="1293"/>
      <c r="BX386" s="1293"/>
      <c r="BY386" s="1293"/>
      <c r="BZ386" s="1293"/>
      <c r="CA386" s="1293"/>
      <c r="CB386" s="1293"/>
      <c r="CC386" s="1293"/>
      <c r="CD386" s="1293"/>
      <c r="CE386" s="1293"/>
      <c r="CF386" s="1293"/>
      <c r="CG386" s="1293"/>
    </row>
    <row r="387" spans="1:85" ht="15.75">
      <c r="A387" s="1293"/>
      <c r="B387" s="1293"/>
      <c r="C387" s="1293" t="str">
        <f t="shared" si="314"/>
        <v>Costa Rica</v>
      </c>
      <c r="D387" s="1293"/>
      <c r="E387" s="1293"/>
      <c r="F387" s="1293"/>
      <c r="G387" s="1293"/>
      <c r="H387" s="1293"/>
      <c r="I387" s="1293"/>
      <c r="J387" s="1293"/>
      <c r="K387" s="1293"/>
      <c r="L387" s="1885">
        <f t="shared" ref="L387:N388" si="316">L9/(L$5+L$9+L$10)*L$389</f>
        <v>22.059000295416034</v>
      </c>
      <c r="M387" s="1885">
        <f t="shared" si="316"/>
        <v>25.921346507027074</v>
      </c>
      <c r="N387" s="1885">
        <f t="shared" si="316"/>
        <v>21.883310475145866</v>
      </c>
      <c r="O387" s="1698">
        <f t="shared" si="315"/>
        <v>21.636949345826348</v>
      </c>
      <c r="P387" s="1698">
        <f t="shared" si="315"/>
        <v>19.339257738970588</v>
      </c>
      <c r="Q387" s="1698">
        <f t="shared" si="315"/>
        <v>18.423135591208908</v>
      </c>
      <c r="R387" s="1698">
        <f t="shared" si="315"/>
        <v>17.721290646371866</v>
      </c>
      <c r="S387" s="1698">
        <f t="shared" si="315"/>
        <v>16.872734872582566</v>
      </c>
      <c r="T387" s="1698">
        <f t="shared" si="315"/>
        <v>16.039107972996135</v>
      </c>
      <c r="U387" s="1293"/>
      <c r="V387" s="1293"/>
      <c r="W387" s="1293"/>
      <c r="X387" s="1293"/>
      <c r="Y387" s="1293"/>
      <c r="Z387" s="1293"/>
      <c r="AA387" s="1293"/>
      <c r="AB387" s="1293"/>
      <c r="AC387" s="1293"/>
      <c r="AD387" s="1293">
        <f>AD385*AD386</f>
        <v>720</v>
      </c>
      <c r="AE387" s="1293"/>
      <c r="AF387" s="1293"/>
      <c r="AG387" s="1293"/>
      <c r="AH387" s="1293"/>
      <c r="AI387" s="1293"/>
      <c r="AJ387" s="1293"/>
      <c r="AK387" s="1293"/>
      <c r="AL387" s="1293"/>
      <c r="AM387" s="1293"/>
      <c r="AN387" s="1293"/>
      <c r="AO387" s="1293"/>
      <c r="AP387" s="1293"/>
      <c r="AQ387" s="1293"/>
      <c r="AR387" s="1293"/>
      <c r="AS387" s="1293"/>
      <c r="AT387" s="1293"/>
      <c r="AU387" s="1293"/>
      <c r="AV387" s="1293"/>
      <c r="AW387" s="1293"/>
      <c r="AX387" s="1293"/>
      <c r="AY387" s="1293"/>
      <c r="AZ387" s="1293"/>
      <c r="BA387" s="1293"/>
      <c r="BB387" s="1293"/>
      <c r="BC387" s="1293"/>
      <c r="BD387" s="1293"/>
      <c r="BE387" s="1293"/>
      <c r="BF387" s="1293"/>
      <c r="BG387" s="1293"/>
      <c r="BH387" s="1293"/>
      <c r="BI387" s="1293"/>
      <c r="BJ387" s="1293"/>
      <c r="BK387" s="1293"/>
      <c r="BL387" s="1293"/>
      <c r="BM387" s="1293"/>
      <c r="BN387" s="1293"/>
      <c r="BO387" s="1293"/>
      <c r="BP387" s="1293"/>
      <c r="BQ387" s="1293"/>
      <c r="BR387" s="1293"/>
      <c r="BS387" s="1293"/>
      <c r="BT387" s="1293"/>
      <c r="BU387" s="1293"/>
      <c r="BV387" s="1293"/>
      <c r="BW387" s="1293"/>
      <c r="BX387" s="1293"/>
      <c r="BY387" s="1293"/>
      <c r="BZ387" s="1293"/>
      <c r="CA387" s="1293"/>
      <c r="CB387" s="1293"/>
      <c r="CC387" s="1293"/>
      <c r="CD387" s="1293"/>
      <c r="CE387" s="1293"/>
      <c r="CF387" s="1293"/>
      <c r="CG387" s="1293"/>
    </row>
    <row r="388" spans="1:85" ht="15.75">
      <c r="A388" s="1293"/>
      <c r="B388" s="1293"/>
      <c r="C388" s="1293" t="str">
        <f t="shared" si="314"/>
        <v>Nicaragua</v>
      </c>
      <c r="D388" s="1293"/>
      <c r="E388" s="1293"/>
      <c r="F388" s="1293"/>
      <c r="G388" s="1293"/>
      <c r="H388" s="1293"/>
      <c r="I388" s="1293"/>
      <c r="J388" s="1293"/>
      <c r="K388" s="1293"/>
      <c r="L388" s="1885">
        <f t="shared" si="316"/>
        <v>39.670362386292702</v>
      </c>
      <c r="M388" s="1885">
        <f t="shared" si="316"/>
        <v>41.857732350772203</v>
      </c>
      <c r="N388" s="1885">
        <f t="shared" si="316"/>
        <v>38.547723881262264</v>
      </c>
      <c r="O388" s="1698">
        <f t="shared" si="315"/>
        <v>39.57032303647194</v>
      </c>
      <c r="P388" s="1698">
        <f t="shared" si="315"/>
        <v>37.351529606275903</v>
      </c>
      <c r="Q388" s="1698">
        <f t="shared" si="315"/>
        <v>37.357049555980545</v>
      </c>
      <c r="R388" s="1698">
        <f t="shared" si="315"/>
        <v>37.175304227034729</v>
      </c>
      <c r="S388" s="1698">
        <f t="shared" si="315"/>
        <v>36.085739563369323</v>
      </c>
      <c r="T388" s="1698">
        <f t="shared" si="315"/>
        <v>34.807233449809871</v>
      </c>
      <c r="U388" s="1293"/>
      <c r="V388" s="1293"/>
      <c r="W388" s="1293"/>
      <c r="X388" s="1293"/>
      <c r="Y388" s="1293"/>
      <c r="Z388" s="1293"/>
      <c r="AA388" s="1293"/>
      <c r="AB388" s="1293"/>
      <c r="AC388" s="1293"/>
      <c r="AD388" s="1293"/>
      <c r="AE388" s="1293"/>
      <c r="AF388" s="1293"/>
      <c r="AG388" s="1293"/>
      <c r="AH388" s="1293"/>
      <c r="AI388" s="1293"/>
      <c r="AJ388" s="1293"/>
      <c r="AK388" s="1293"/>
      <c r="AL388" s="1293"/>
      <c r="AM388" s="1293"/>
      <c r="AN388" s="1293"/>
      <c r="AO388" s="1293"/>
      <c r="AP388" s="1293"/>
      <c r="AQ388" s="1293"/>
      <c r="AR388" s="1293"/>
      <c r="AS388" s="1293"/>
      <c r="AT388" s="1293"/>
      <c r="AU388" s="1293"/>
      <c r="AV388" s="1293"/>
      <c r="AW388" s="1293"/>
      <c r="AX388" s="1293"/>
      <c r="AY388" s="1293"/>
      <c r="AZ388" s="1293"/>
      <c r="BA388" s="1293"/>
      <c r="BB388" s="1293"/>
      <c r="BC388" s="1293"/>
      <c r="BD388" s="1293"/>
      <c r="BE388" s="1293"/>
      <c r="BF388" s="1293"/>
      <c r="BG388" s="1293"/>
      <c r="BH388" s="1293"/>
      <c r="BI388" s="1293"/>
      <c r="BJ388" s="1293"/>
      <c r="BK388" s="1293"/>
      <c r="BL388" s="1293"/>
      <c r="BM388" s="1293"/>
      <c r="BN388" s="1293"/>
      <c r="BO388" s="1293"/>
      <c r="BP388" s="1293"/>
      <c r="BQ388" s="1293"/>
      <c r="BR388" s="1293"/>
      <c r="BS388" s="1293"/>
      <c r="BT388" s="1293"/>
      <c r="BU388" s="1293"/>
      <c r="BV388" s="1293"/>
      <c r="BW388" s="1293"/>
      <c r="BX388" s="1293"/>
      <c r="BY388" s="1293"/>
      <c r="BZ388" s="1293"/>
      <c r="CA388" s="1293"/>
      <c r="CB388" s="1293"/>
      <c r="CC388" s="1293"/>
      <c r="CD388" s="1293"/>
      <c r="CE388" s="1293"/>
      <c r="CF388" s="1293"/>
      <c r="CG388" s="1293"/>
    </row>
    <row r="389" spans="1:85" ht="15.75">
      <c r="A389" s="1293"/>
      <c r="B389" s="1293"/>
      <c r="C389" s="1293" t="s">
        <v>9028</v>
      </c>
      <c r="D389" s="1293"/>
      <c r="E389" s="1293"/>
      <c r="F389" s="1293"/>
      <c r="G389" s="1293"/>
      <c r="H389" s="1293"/>
      <c r="I389" s="1293"/>
      <c r="J389" s="1293"/>
      <c r="K389" s="1293"/>
      <c r="L389" s="2017">
        <v>138</v>
      </c>
      <c r="M389" s="2017">
        <v>148</v>
      </c>
      <c r="N389" s="2017">
        <v>132</v>
      </c>
      <c r="O389" s="1698">
        <f t="shared" ref="O389:T389" si="317">O383+O387+O388</f>
        <v>134.38326238229828</v>
      </c>
      <c r="P389" s="1698">
        <f t="shared" si="317"/>
        <v>131.3302971452465</v>
      </c>
      <c r="Q389" s="1698">
        <f t="shared" si="317"/>
        <v>130.59985928118945</v>
      </c>
      <c r="R389" s="1698">
        <f t="shared" si="317"/>
        <v>129.8737841108466</v>
      </c>
      <c r="S389" s="1698">
        <f t="shared" si="317"/>
        <v>126.70389556449112</v>
      </c>
      <c r="T389" s="1698">
        <f t="shared" si="317"/>
        <v>120.49479471087082</v>
      </c>
      <c r="U389" s="1293"/>
      <c r="V389" s="1293"/>
      <c r="W389" s="1293"/>
      <c r="X389" s="1293"/>
      <c r="Y389" s="1293"/>
      <c r="Z389" s="1293"/>
      <c r="AA389" s="1293"/>
      <c r="AB389" s="1293"/>
      <c r="AC389" s="1293"/>
      <c r="AD389" s="1293"/>
      <c r="AE389" s="1293"/>
      <c r="AF389" s="1293"/>
      <c r="AG389" s="1293"/>
      <c r="AH389" s="1293"/>
      <c r="AI389" s="1293"/>
      <c r="AJ389" s="1293"/>
      <c r="AK389" s="1293"/>
      <c r="AL389" s="1293"/>
      <c r="AM389" s="1293"/>
      <c r="AN389" s="1293"/>
      <c r="AO389" s="1293"/>
      <c r="AP389" s="1293"/>
      <c r="AQ389" s="1293"/>
      <c r="AR389" s="1293"/>
      <c r="AS389" s="1293"/>
      <c r="AT389" s="1293"/>
      <c r="AU389" s="1293"/>
      <c r="AV389" s="1293"/>
      <c r="AW389" s="1293"/>
      <c r="AX389" s="1293"/>
      <c r="AY389" s="1293"/>
      <c r="AZ389" s="1293"/>
      <c r="BA389" s="1293"/>
      <c r="BB389" s="1293"/>
      <c r="BC389" s="1293"/>
      <c r="BD389" s="1293"/>
      <c r="BE389" s="1293"/>
      <c r="BF389" s="1293"/>
      <c r="BG389" s="1293"/>
      <c r="BH389" s="1293"/>
      <c r="BI389" s="1293"/>
      <c r="BJ389" s="1293"/>
      <c r="BK389" s="1293"/>
      <c r="BL389" s="1293"/>
      <c r="BM389" s="1293"/>
      <c r="BN389" s="1293"/>
      <c r="BO389" s="1293"/>
      <c r="BP389" s="1293"/>
      <c r="BQ389" s="1293"/>
      <c r="BR389" s="1293"/>
      <c r="BS389" s="1293"/>
      <c r="BT389" s="1293"/>
      <c r="BU389" s="1293"/>
      <c r="BV389" s="1293"/>
      <c r="BW389" s="1293"/>
      <c r="BX389" s="1293"/>
      <c r="BY389" s="1293"/>
      <c r="BZ389" s="1293"/>
      <c r="CA389" s="1293"/>
      <c r="CB389" s="1293"/>
      <c r="CC389" s="1293"/>
      <c r="CD389" s="1293"/>
      <c r="CE389" s="1293"/>
      <c r="CF389" s="1293"/>
      <c r="CG389" s="1293"/>
    </row>
    <row r="390" spans="1:85" ht="15.75">
      <c r="A390" s="1293"/>
      <c r="B390" s="1293"/>
      <c r="C390" s="1375" t="str">
        <f>C16</f>
        <v>Central America</v>
      </c>
      <c r="D390" s="1375"/>
      <c r="E390" s="1375"/>
      <c r="F390" s="1375"/>
      <c r="G390" s="1375"/>
      <c r="H390" s="1375"/>
      <c r="I390" s="1375"/>
      <c r="J390" s="1375"/>
      <c r="K390" s="1375"/>
      <c r="L390" s="2018">
        <f>SUM(L383:L388)</f>
        <v>519</v>
      </c>
      <c r="M390" s="2018">
        <f>SUM(M383:M388)</f>
        <v>534</v>
      </c>
      <c r="N390" s="2018">
        <f t="shared" ref="N390:T390" si="318">SUM(N383:N388)</f>
        <v>478.00000000000006</v>
      </c>
      <c r="O390" s="2018">
        <f t="shared" si="318"/>
        <v>518.85916198847178</v>
      </c>
      <c r="P390" s="2018">
        <f t="shared" si="318"/>
        <v>507.89529010633237</v>
      </c>
      <c r="Q390" s="2018">
        <f t="shared" si="318"/>
        <v>507.94587706271813</v>
      </c>
      <c r="R390" s="2018">
        <f t="shared" si="318"/>
        <v>511.96221439164208</v>
      </c>
      <c r="S390" s="2018">
        <f t="shared" si="318"/>
        <v>512.14646675397523</v>
      </c>
      <c r="T390" s="2018">
        <f t="shared" si="318"/>
        <v>508.86224082686022</v>
      </c>
      <c r="U390" s="1293"/>
      <c r="V390" s="1293"/>
      <c r="W390" s="1293"/>
      <c r="X390" s="1293"/>
      <c r="Y390" s="1293"/>
      <c r="Z390" s="1293"/>
      <c r="AA390" s="1293"/>
      <c r="AB390" s="1293"/>
      <c r="AC390" s="1293"/>
      <c r="AD390" s="1293"/>
      <c r="AE390" s="1293"/>
      <c r="AF390" s="1293"/>
      <c r="AG390" s="1293"/>
      <c r="AH390" s="1293"/>
      <c r="AI390" s="1293"/>
      <c r="AJ390" s="1293"/>
      <c r="AK390" s="1293"/>
      <c r="AL390" s="1293"/>
      <c r="AM390" s="1293"/>
      <c r="AN390" s="1293"/>
      <c r="AO390" s="1293"/>
      <c r="AP390" s="1293"/>
      <c r="AQ390" s="1293"/>
      <c r="AR390" s="1293"/>
      <c r="AS390" s="1293"/>
      <c r="AT390" s="1293"/>
      <c r="AU390" s="1293"/>
      <c r="AV390" s="1293"/>
      <c r="AW390" s="1293"/>
      <c r="AX390" s="1293"/>
      <c r="AY390" s="1293"/>
      <c r="AZ390" s="1293"/>
      <c r="BA390" s="1293"/>
      <c r="BB390" s="1293"/>
      <c r="BC390" s="1293"/>
      <c r="BD390" s="1293"/>
      <c r="BE390" s="1293"/>
      <c r="BF390" s="1293"/>
      <c r="BG390" s="1293"/>
      <c r="BH390" s="1293"/>
      <c r="BI390" s="1293"/>
      <c r="BJ390" s="1293"/>
      <c r="BK390" s="1293"/>
      <c r="BL390" s="1293"/>
      <c r="BM390" s="1293"/>
      <c r="BN390" s="1293"/>
      <c r="BO390" s="1293"/>
      <c r="BP390" s="1293"/>
      <c r="BQ390" s="1293"/>
      <c r="BR390" s="1293"/>
      <c r="BS390" s="1293"/>
      <c r="BT390" s="1293"/>
      <c r="BU390" s="1293"/>
      <c r="BV390" s="1293"/>
      <c r="BW390" s="1293"/>
      <c r="BX390" s="1293"/>
      <c r="BY390" s="1293"/>
      <c r="BZ390" s="1293"/>
      <c r="CA390" s="1293"/>
      <c r="CB390" s="1293"/>
      <c r="CC390" s="1293"/>
      <c r="CD390" s="1293"/>
      <c r="CE390" s="1293"/>
      <c r="CF390" s="1293"/>
      <c r="CG390" s="1293"/>
    </row>
    <row r="391" spans="1:85" ht="15.75">
      <c r="A391" s="1293"/>
      <c r="B391" s="1293"/>
      <c r="C391" s="1293"/>
      <c r="D391" s="1293"/>
      <c r="E391" s="1293"/>
      <c r="F391" s="1293"/>
      <c r="G391" s="1293"/>
      <c r="H391" s="1293"/>
      <c r="I391" s="1293"/>
      <c r="J391" s="1293"/>
      <c r="K391" s="1293"/>
      <c r="L391" s="1293"/>
      <c r="M391" s="1293"/>
      <c r="N391" s="1293"/>
      <c r="O391" s="1293"/>
      <c r="P391" s="1293"/>
      <c r="Q391" s="1293"/>
      <c r="R391" s="1293"/>
      <c r="S391" s="1293"/>
      <c r="T391" s="1293"/>
      <c r="U391" s="1293"/>
      <c r="V391" s="1293"/>
      <c r="W391" s="1293"/>
      <c r="X391" s="1293"/>
      <c r="Y391" s="1293"/>
      <c r="Z391" s="1293"/>
      <c r="AA391" s="1293"/>
      <c r="AB391" s="1293"/>
      <c r="AC391" s="1293"/>
      <c r="AD391" s="1293"/>
      <c r="AE391" s="1293"/>
      <c r="AF391" s="1293"/>
      <c r="AG391" s="1293"/>
      <c r="AH391" s="1293"/>
      <c r="AI391" s="1293"/>
      <c r="AJ391" s="1293"/>
      <c r="AK391" s="1293"/>
      <c r="AL391" s="1293"/>
      <c r="AM391" s="1293"/>
      <c r="AN391" s="1293"/>
      <c r="AO391" s="1293"/>
      <c r="AP391" s="1293"/>
      <c r="AQ391" s="1293"/>
      <c r="AR391" s="1293"/>
      <c r="AS391" s="1293"/>
      <c r="AT391" s="1293"/>
      <c r="AU391" s="1293"/>
      <c r="AV391" s="1293"/>
      <c r="AW391" s="1293"/>
      <c r="AX391" s="1293"/>
      <c r="AY391" s="1293"/>
      <c r="AZ391" s="1293"/>
      <c r="BA391" s="1293"/>
      <c r="BB391" s="1293"/>
      <c r="BC391" s="1293"/>
      <c r="BD391" s="1293"/>
      <c r="BE391" s="1293"/>
      <c r="BF391" s="1293"/>
      <c r="BG391" s="1293"/>
      <c r="BH391" s="1293"/>
      <c r="BI391" s="1293"/>
      <c r="BJ391" s="1293"/>
      <c r="BK391" s="1293"/>
      <c r="BL391" s="1293"/>
      <c r="BM391" s="1293"/>
      <c r="BN391" s="1293"/>
      <c r="BO391" s="1293"/>
      <c r="BP391" s="1293"/>
      <c r="BQ391" s="1293"/>
      <c r="BR391" s="1293"/>
      <c r="BS391" s="1293"/>
      <c r="BT391" s="1293"/>
      <c r="BU391" s="1293"/>
      <c r="BV391" s="1293"/>
      <c r="BW391" s="1293"/>
      <c r="BX391" s="1293"/>
      <c r="BY391" s="1293"/>
      <c r="BZ391" s="1293"/>
      <c r="CA391" s="1293"/>
      <c r="CB391" s="1293"/>
      <c r="CC391" s="1293"/>
      <c r="CD391" s="1293"/>
      <c r="CE391" s="1293"/>
      <c r="CF391" s="1293"/>
      <c r="CG391" s="1293"/>
    </row>
    <row r="392" spans="1:85" ht="15.75">
      <c r="A392" s="1293"/>
      <c r="B392" s="1293"/>
      <c r="C392" s="1293" t="str">
        <f>C19</f>
        <v>Bolivia</v>
      </c>
      <c r="D392" s="1293"/>
      <c r="E392" s="1293"/>
      <c r="F392" s="1293"/>
      <c r="G392" s="1293"/>
      <c r="H392" s="1293"/>
      <c r="I392" s="1293"/>
      <c r="J392" s="1293"/>
      <c r="K392" s="1293"/>
      <c r="L392" s="2017">
        <v>124</v>
      </c>
      <c r="M392" s="2017">
        <v>92</v>
      </c>
      <c r="N392" s="2017">
        <v>73</v>
      </c>
      <c r="O392" s="1698">
        <f t="shared" ref="O392:T394" si="319">O420*O19</f>
        <v>34.586750504000008</v>
      </c>
      <c r="P392" s="1698">
        <f t="shared" si="319"/>
        <v>30.312106897782858</v>
      </c>
      <c r="Q392" s="1698">
        <f t="shared" si="319"/>
        <v>31.068462319167086</v>
      </c>
      <c r="R392" s="1698">
        <f t="shared" si="319"/>
        <v>31.843697681064707</v>
      </c>
      <c r="S392" s="1698">
        <f t="shared" si="319"/>
        <v>32.480571634686015</v>
      </c>
      <c r="T392" s="1698">
        <f t="shared" si="319"/>
        <v>33.130183067379733</v>
      </c>
      <c r="U392" s="1293"/>
      <c r="V392" s="1293"/>
      <c r="W392" s="1293"/>
      <c r="X392" s="1293"/>
      <c r="Y392" s="1293"/>
      <c r="Z392" s="1293"/>
      <c r="AA392" s="1293"/>
      <c r="AB392" s="1293"/>
      <c r="AC392" s="1293"/>
      <c r="AD392" s="1293"/>
      <c r="AE392" s="1293"/>
      <c r="AF392" s="1293"/>
      <c r="AG392" s="1293"/>
      <c r="AH392" s="1293"/>
      <c r="AI392" s="1293"/>
      <c r="AJ392" s="1293"/>
      <c r="AK392" s="1293"/>
      <c r="AL392" s="1293"/>
      <c r="AM392" s="1293"/>
      <c r="AN392" s="1293"/>
      <c r="AO392" s="1293"/>
      <c r="AP392" s="1293"/>
      <c r="AQ392" s="1293"/>
      <c r="AR392" s="1293"/>
      <c r="AS392" s="1293"/>
      <c r="AT392" s="1293"/>
      <c r="AU392" s="1293"/>
      <c r="AV392" s="1293"/>
      <c r="AW392" s="1293"/>
      <c r="AX392" s="1293"/>
      <c r="AY392" s="1293"/>
      <c r="AZ392" s="1293"/>
      <c r="BA392" s="1293"/>
      <c r="BB392" s="1293"/>
      <c r="BC392" s="1293"/>
      <c r="BD392" s="1293"/>
      <c r="BE392" s="1293"/>
      <c r="BF392" s="1293"/>
      <c r="BG392" s="1293"/>
      <c r="BH392" s="1293"/>
      <c r="BI392" s="1293"/>
      <c r="BJ392" s="1293"/>
      <c r="BK392" s="1293"/>
      <c r="BL392" s="1293"/>
      <c r="BM392" s="1293"/>
      <c r="BN392" s="1293"/>
      <c r="BO392" s="1293"/>
      <c r="BP392" s="1293"/>
      <c r="BQ392" s="1293"/>
      <c r="BR392" s="1293"/>
      <c r="BS392" s="1293"/>
      <c r="BT392" s="1293"/>
      <c r="BU392" s="1293"/>
      <c r="BV392" s="1293"/>
      <c r="BW392" s="1293"/>
      <c r="BX392" s="1293"/>
      <c r="BY392" s="1293"/>
      <c r="BZ392" s="1293"/>
      <c r="CA392" s="1293"/>
      <c r="CB392" s="1293"/>
      <c r="CC392" s="1293"/>
      <c r="CD392" s="1293"/>
      <c r="CE392" s="1293"/>
      <c r="CF392" s="1293"/>
      <c r="CG392" s="1293"/>
    </row>
    <row r="393" spans="1:85" ht="15.75">
      <c r="A393" s="1293"/>
      <c r="B393" s="1293"/>
      <c r="C393" s="1293" t="str">
        <f>C20</f>
        <v>Colombia</v>
      </c>
      <c r="D393" s="1293"/>
      <c r="E393" s="1293"/>
      <c r="F393" s="1293"/>
      <c r="G393" s="1293"/>
      <c r="H393" s="1293"/>
      <c r="I393" s="1293"/>
      <c r="J393" s="1293"/>
      <c r="K393" s="1293"/>
      <c r="L393" s="2017">
        <v>277</v>
      </c>
      <c r="M393" s="2017">
        <v>161</v>
      </c>
      <c r="N393" s="2017">
        <v>144</v>
      </c>
      <c r="O393" s="1698">
        <f t="shared" si="319"/>
        <v>159.07799790768675</v>
      </c>
      <c r="P393" s="1698">
        <f t="shared" si="319"/>
        <v>152.88748265852396</v>
      </c>
      <c r="Q393" s="1698">
        <f t="shared" si="319"/>
        <v>147.33069120072045</v>
      </c>
      <c r="R393" s="1698">
        <f t="shared" si="319"/>
        <v>149.44013055262221</v>
      </c>
      <c r="S393" s="1698">
        <f t="shared" si="319"/>
        <v>150.86710423184994</v>
      </c>
      <c r="T393" s="1698">
        <f t="shared" si="319"/>
        <v>151.58758604047955</v>
      </c>
      <c r="U393" s="1293"/>
      <c r="V393" s="1293"/>
      <c r="W393" s="1293"/>
      <c r="X393" s="1293"/>
      <c r="Y393" s="1293"/>
      <c r="Z393" s="1293"/>
      <c r="AA393" s="1293"/>
      <c r="AB393" s="1293"/>
      <c r="AC393" s="1293"/>
      <c r="AD393" s="1293"/>
      <c r="AE393" s="1293"/>
      <c r="AF393" s="1293"/>
      <c r="AG393" s="1293"/>
      <c r="AH393" s="1293"/>
      <c r="AI393" s="1293"/>
      <c r="AJ393" s="1293"/>
      <c r="AK393" s="1293"/>
      <c r="AL393" s="1293"/>
      <c r="AM393" s="1293"/>
      <c r="AN393" s="1293"/>
      <c r="AO393" s="1293"/>
      <c r="AP393" s="1293"/>
      <c r="AQ393" s="1293"/>
      <c r="AR393" s="1293"/>
      <c r="AS393" s="1293"/>
      <c r="AT393" s="1293"/>
      <c r="AU393" s="1293"/>
      <c r="AV393" s="1293"/>
      <c r="AW393" s="1293"/>
      <c r="AX393" s="1293"/>
      <c r="AY393" s="1293"/>
      <c r="AZ393" s="1293"/>
      <c r="BA393" s="1293"/>
      <c r="BB393" s="1293"/>
      <c r="BC393" s="1293"/>
      <c r="BD393" s="1293"/>
      <c r="BE393" s="1293"/>
      <c r="BF393" s="1293"/>
      <c r="BG393" s="1293"/>
      <c r="BH393" s="1293"/>
      <c r="BI393" s="1293"/>
      <c r="BJ393" s="1293"/>
      <c r="BK393" s="1293"/>
      <c r="BL393" s="1293"/>
      <c r="BM393" s="1293"/>
      <c r="BN393" s="1293"/>
      <c r="BO393" s="1293"/>
      <c r="BP393" s="1293"/>
      <c r="BQ393" s="1293"/>
      <c r="BR393" s="1293"/>
      <c r="BS393" s="1293"/>
      <c r="BT393" s="1293"/>
      <c r="BU393" s="1293"/>
      <c r="BV393" s="1293"/>
      <c r="BW393" s="1293"/>
      <c r="BX393" s="1293"/>
      <c r="BY393" s="1293"/>
      <c r="BZ393" s="1293"/>
      <c r="CA393" s="1293"/>
      <c r="CB393" s="1293"/>
      <c r="CC393" s="1293"/>
      <c r="CD393" s="1293"/>
      <c r="CE393" s="1293"/>
      <c r="CF393" s="1293"/>
      <c r="CG393" s="1293"/>
    </row>
    <row r="394" spans="1:85" ht="15.75">
      <c r="A394" s="1293"/>
      <c r="B394" s="1293"/>
      <c r="C394" s="1293" t="str">
        <f>C21</f>
        <v>Paraguay</v>
      </c>
      <c r="D394" s="1293"/>
      <c r="E394" s="1293"/>
      <c r="F394" s="1293"/>
      <c r="G394" s="1293"/>
      <c r="H394" s="1293"/>
      <c r="I394" s="1293"/>
      <c r="J394" s="1293"/>
      <c r="K394" s="1293"/>
      <c r="L394" s="2017">
        <v>107</v>
      </c>
      <c r="M394" s="2017">
        <v>97</v>
      </c>
      <c r="N394" s="2017">
        <v>72</v>
      </c>
      <c r="O394" s="1698">
        <f t="shared" si="319"/>
        <v>73.650014442267718</v>
      </c>
      <c r="P394" s="1698">
        <f t="shared" si="319"/>
        <v>74.348767606824694</v>
      </c>
      <c r="Q394" s="1698">
        <f t="shared" si="319"/>
        <v>74.010744003353096</v>
      </c>
      <c r="R394" s="1698">
        <f t="shared" si="319"/>
        <v>73.648508508702847</v>
      </c>
      <c r="S394" s="1698">
        <f t="shared" si="319"/>
        <v>71.488567391349918</v>
      </c>
      <c r="T394" s="1698">
        <f t="shared" si="319"/>
        <v>68.955083349836215</v>
      </c>
      <c r="U394" s="1293"/>
      <c r="V394" s="1293"/>
      <c r="W394" s="1293"/>
      <c r="X394" s="1293"/>
      <c r="Y394" s="1293"/>
      <c r="Z394" s="1293"/>
      <c r="AA394" s="1293"/>
      <c r="AB394" s="1293"/>
      <c r="AC394" s="1293"/>
      <c r="AD394" s="1293"/>
      <c r="AE394" s="1293"/>
      <c r="AF394" s="1293"/>
      <c r="AG394" s="1293"/>
      <c r="AH394" s="1293"/>
      <c r="AI394" s="1293"/>
      <c r="AJ394" s="1293"/>
      <c r="AK394" s="1293"/>
      <c r="AL394" s="1293"/>
      <c r="AM394" s="1293"/>
      <c r="AN394" s="1293"/>
      <c r="AO394" s="1293"/>
      <c r="AP394" s="1293"/>
      <c r="AQ394" s="1293"/>
      <c r="AR394" s="1293"/>
      <c r="AS394" s="1293"/>
      <c r="AT394" s="1293"/>
      <c r="AU394" s="1293"/>
      <c r="AV394" s="1293"/>
      <c r="AW394" s="1293"/>
      <c r="AX394" s="1293"/>
      <c r="AY394" s="1293"/>
      <c r="AZ394" s="1293"/>
      <c r="BA394" s="1293"/>
      <c r="BB394" s="1293"/>
      <c r="BC394" s="1293"/>
      <c r="BD394" s="1293"/>
      <c r="BE394" s="1293"/>
      <c r="BF394" s="1293"/>
      <c r="BG394" s="1293"/>
      <c r="BH394" s="1293"/>
      <c r="BI394" s="1293"/>
      <c r="BJ394" s="1293"/>
      <c r="BK394" s="1293"/>
      <c r="BL394" s="1293"/>
      <c r="BM394" s="1293"/>
      <c r="BN394" s="1293"/>
      <c r="BO394" s="1293"/>
      <c r="BP394" s="1293"/>
      <c r="BQ394" s="1293"/>
      <c r="BR394" s="1293"/>
      <c r="BS394" s="1293"/>
      <c r="BT394" s="1293"/>
      <c r="BU394" s="1293"/>
      <c r="BV394" s="1293"/>
      <c r="BW394" s="1293"/>
      <c r="BX394" s="1293"/>
      <c r="BY394" s="1293"/>
      <c r="BZ394" s="1293"/>
      <c r="CA394" s="1293"/>
      <c r="CB394" s="1293"/>
      <c r="CC394" s="1293"/>
      <c r="CD394" s="1293"/>
      <c r="CE394" s="1293"/>
      <c r="CF394" s="1293"/>
      <c r="CG394" s="1293"/>
    </row>
    <row r="395" spans="1:85" ht="15.75">
      <c r="A395" s="1293"/>
      <c r="B395" s="1293"/>
      <c r="C395" s="1375" t="str">
        <f>C23</f>
        <v>South America</v>
      </c>
      <c r="D395" s="1375"/>
      <c r="E395" s="1375"/>
      <c r="F395" s="1375"/>
      <c r="G395" s="1375"/>
      <c r="H395" s="1375"/>
      <c r="I395" s="1375"/>
      <c r="J395" s="1375"/>
      <c r="K395" s="1375"/>
      <c r="L395" s="1375">
        <f>SUM(L392:L394)</f>
        <v>508</v>
      </c>
      <c r="M395" s="1375">
        <f>SUM(M392:M394)</f>
        <v>350</v>
      </c>
      <c r="N395" s="1375">
        <f t="shared" ref="N395:T395" si="320">SUM(N392:N394)</f>
        <v>289</v>
      </c>
      <c r="O395" s="2018">
        <f t="shared" si="320"/>
        <v>267.31476285395445</v>
      </c>
      <c r="P395" s="2018">
        <f t="shared" si="320"/>
        <v>257.54835716313153</v>
      </c>
      <c r="Q395" s="2018">
        <f t="shared" si="320"/>
        <v>252.40989752324063</v>
      </c>
      <c r="R395" s="2018">
        <f t="shared" si="320"/>
        <v>254.93233674238974</v>
      </c>
      <c r="S395" s="2018">
        <f t="shared" si="320"/>
        <v>254.83624325788588</v>
      </c>
      <c r="T395" s="2018">
        <f t="shared" si="320"/>
        <v>253.67285245769551</v>
      </c>
      <c r="U395" s="1293"/>
      <c r="V395" s="1293"/>
      <c r="W395" s="1293"/>
      <c r="X395" s="1293"/>
      <c r="Y395" s="1293"/>
      <c r="Z395" s="1293"/>
      <c r="AA395" s="1293"/>
      <c r="AB395" s="1293"/>
      <c r="AC395" s="1293"/>
      <c r="AD395" s="1293"/>
      <c r="AE395" s="1293"/>
      <c r="AF395" s="1293"/>
      <c r="AG395" s="1293"/>
      <c r="AH395" s="1293"/>
      <c r="AI395" s="1293"/>
      <c r="AJ395" s="1293"/>
      <c r="AK395" s="1293"/>
      <c r="AL395" s="1293"/>
      <c r="AM395" s="1293"/>
      <c r="AN395" s="1293"/>
      <c r="AO395" s="1293"/>
      <c r="AP395" s="1293"/>
      <c r="AQ395" s="1293"/>
      <c r="AR395" s="1293"/>
      <c r="AS395" s="1293"/>
      <c r="AT395" s="1293"/>
      <c r="AU395" s="1293"/>
      <c r="AV395" s="1293"/>
      <c r="AW395" s="1293"/>
      <c r="AX395" s="1293"/>
      <c r="AY395" s="1293"/>
      <c r="AZ395" s="1293"/>
      <c r="BA395" s="1293"/>
      <c r="BB395" s="1293"/>
      <c r="BC395" s="1293"/>
      <c r="BD395" s="1293"/>
      <c r="BE395" s="1293"/>
      <c r="BF395" s="1293"/>
      <c r="BG395" s="1293"/>
      <c r="BH395" s="1293"/>
      <c r="BI395" s="1293"/>
      <c r="BJ395" s="1293"/>
      <c r="BK395" s="1293"/>
      <c r="BL395" s="1293"/>
      <c r="BM395" s="1293"/>
      <c r="BN395" s="1293"/>
      <c r="BO395" s="1293"/>
      <c r="BP395" s="1293"/>
      <c r="BQ395" s="1293"/>
      <c r="BR395" s="1293"/>
      <c r="BS395" s="1293"/>
      <c r="BT395" s="1293"/>
      <c r="BU395" s="1293"/>
      <c r="BV395" s="1293"/>
      <c r="BW395" s="1293"/>
      <c r="BX395" s="1293"/>
      <c r="BY395" s="1293"/>
      <c r="BZ395" s="1293"/>
      <c r="CA395" s="1293"/>
      <c r="CB395" s="1293"/>
      <c r="CC395" s="1293"/>
      <c r="CD395" s="1293"/>
      <c r="CE395" s="1293"/>
      <c r="CF395" s="1293"/>
      <c r="CG395" s="1293"/>
    </row>
    <row r="396" spans="1:85" ht="15.75">
      <c r="A396" s="1293"/>
      <c r="B396" s="1293"/>
      <c r="C396" s="1293"/>
      <c r="D396" s="1293"/>
      <c r="E396" s="1293"/>
      <c r="F396" s="1293"/>
      <c r="G396" s="1293"/>
      <c r="H396" s="1293"/>
      <c r="I396" s="1293"/>
      <c r="J396" s="1293"/>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c r="AK396" s="1293"/>
      <c r="AL396" s="1293"/>
      <c r="AM396" s="1293"/>
      <c r="AN396" s="1293"/>
      <c r="AO396" s="1293"/>
      <c r="AP396" s="1293"/>
      <c r="AQ396" s="1293"/>
      <c r="AR396" s="1293"/>
      <c r="AS396" s="1293"/>
      <c r="AT396" s="1293"/>
      <c r="AU396" s="1293"/>
      <c r="AV396" s="1293"/>
      <c r="AW396" s="1293"/>
      <c r="AX396" s="1293"/>
      <c r="AY396" s="1293"/>
      <c r="AZ396" s="1293"/>
      <c r="BA396" s="1293"/>
      <c r="BB396" s="1293"/>
      <c r="BC396" s="1293"/>
      <c r="BD396" s="1293"/>
      <c r="BE396" s="1293"/>
      <c r="BF396" s="1293"/>
      <c r="BG396" s="1293"/>
      <c r="BH396" s="1293"/>
      <c r="BI396" s="1293"/>
      <c r="BJ396" s="1293"/>
      <c r="BK396" s="1293"/>
      <c r="BL396" s="1293"/>
      <c r="BM396" s="1293"/>
      <c r="BN396" s="1293"/>
      <c r="BO396" s="1293"/>
      <c r="BP396" s="1293"/>
      <c r="BQ396" s="1293"/>
      <c r="BR396" s="1293"/>
      <c r="BS396" s="1293"/>
      <c r="BT396" s="1293"/>
      <c r="BU396" s="1293"/>
      <c r="BV396" s="1293"/>
      <c r="BW396" s="1293"/>
      <c r="BX396" s="1293"/>
      <c r="BY396" s="1293"/>
      <c r="BZ396" s="1293"/>
      <c r="CA396" s="1293"/>
      <c r="CB396" s="1293"/>
      <c r="CC396" s="1293"/>
      <c r="CD396" s="1293"/>
      <c r="CE396" s="1293"/>
      <c r="CF396" s="1293"/>
      <c r="CG396" s="1293"/>
    </row>
    <row r="397" spans="1:85" ht="15.75">
      <c r="A397" s="1293"/>
      <c r="B397" s="1293"/>
      <c r="C397" s="1293" t="s">
        <v>9029</v>
      </c>
      <c r="D397" s="1293"/>
      <c r="E397" s="1293"/>
      <c r="F397" s="1293"/>
      <c r="G397" s="1293"/>
      <c r="H397" s="1293"/>
      <c r="I397" s="1293"/>
      <c r="J397" s="1293"/>
      <c r="K397" s="1293"/>
      <c r="L397" s="1698">
        <f>L399-L390+L385-L395</f>
        <v>24</v>
      </c>
      <c r="M397" s="1698">
        <f>M399-M390+M385-M395</f>
        <v>28</v>
      </c>
      <c r="N397" s="1698">
        <f>N399-N390+N385-N395</f>
        <v>-15.000000000000057</v>
      </c>
      <c r="O397" s="1869">
        <f t="shared" ref="O397:T397" si="321">N397/N395*O395</f>
        <v>-13.874468660239904</v>
      </c>
      <c r="P397" s="1869">
        <f t="shared" si="321"/>
        <v>-13.367561790474007</v>
      </c>
      <c r="Q397" s="1869">
        <f t="shared" si="321"/>
        <v>-13.10085973304022</v>
      </c>
      <c r="R397" s="1869">
        <f t="shared" si="321"/>
        <v>-13.231782183861108</v>
      </c>
      <c r="S397" s="1869">
        <f t="shared" si="321"/>
        <v>-13.226794632762292</v>
      </c>
      <c r="T397" s="1869">
        <f t="shared" si="321"/>
        <v>-13.166411027216078</v>
      </c>
      <c r="U397" s="1293"/>
      <c r="V397" s="1293"/>
      <c r="W397" s="1293"/>
      <c r="X397" s="1293"/>
      <c r="Y397" s="1293"/>
      <c r="Z397" s="1293"/>
      <c r="AA397" s="1293"/>
      <c r="AB397" s="1293"/>
      <c r="AC397" s="1293"/>
      <c r="AD397" s="1293"/>
      <c r="AE397" s="1293"/>
      <c r="AF397" s="1293"/>
      <c r="AG397" s="1293"/>
      <c r="AH397" s="1293"/>
      <c r="AI397" s="1293"/>
      <c r="AJ397" s="1293"/>
      <c r="AK397" s="1293"/>
      <c r="AL397" s="1293"/>
      <c r="AM397" s="1293"/>
      <c r="AN397" s="1293"/>
      <c r="AO397" s="1293"/>
      <c r="AP397" s="1293"/>
      <c r="AQ397" s="1293"/>
      <c r="AR397" s="1293"/>
      <c r="AS397" s="1293"/>
      <c r="AT397" s="1293"/>
      <c r="AU397" s="1293"/>
      <c r="AV397" s="1293"/>
      <c r="AW397" s="1293"/>
      <c r="AX397" s="1293"/>
      <c r="AY397" s="1293"/>
      <c r="AZ397" s="1293"/>
      <c r="BA397" s="1293"/>
      <c r="BB397" s="1293"/>
      <c r="BC397" s="1293"/>
      <c r="BD397" s="1293"/>
      <c r="BE397" s="1293"/>
      <c r="BF397" s="1293"/>
      <c r="BG397" s="1293"/>
      <c r="BH397" s="1293"/>
      <c r="BI397" s="1293"/>
      <c r="BJ397" s="1293"/>
      <c r="BK397" s="1293"/>
      <c r="BL397" s="1293"/>
      <c r="BM397" s="1293"/>
      <c r="BN397" s="1293"/>
      <c r="BO397" s="1293"/>
      <c r="BP397" s="1293"/>
      <c r="BQ397" s="1293"/>
      <c r="BR397" s="1293"/>
      <c r="BS397" s="1293"/>
      <c r="BT397" s="1293"/>
      <c r="BU397" s="1293"/>
      <c r="BV397" s="1293"/>
      <c r="BW397" s="1293"/>
      <c r="BX397" s="1293"/>
      <c r="BY397" s="1293"/>
      <c r="BZ397" s="1293"/>
      <c r="CA397" s="1293"/>
      <c r="CB397" s="1293"/>
      <c r="CC397" s="1293"/>
      <c r="CD397" s="1293"/>
      <c r="CE397" s="1293"/>
      <c r="CF397" s="1293"/>
      <c r="CG397" s="1293"/>
    </row>
    <row r="398" spans="1:85" ht="15.75">
      <c r="A398" s="1293"/>
      <c r="B398" s="1293"/>
      <c r="C398" s="1397" t="s">
        <v>2324</v>
      </c>
      <c r="D398" s="1397"/>
      <c r="E398" s="1397"/>
      <c r="F398" s="1397"/>
      <c r="G398" s="1397"/>
      <c r="H398" s="1397"/>
      <c r="I398" s="1397"/>
      <c r="J398" s="1397"/>
      <c r="K398" s="1397"/>
      <c r="L398" s="2008">
        <f t="shared" ref="L398:T398" si="322">L390-L385+L395+L397</f>
        <v>973</v>
      </c>
      <c r="M398" s="2008">
        <f t="shared" si="322"/>
        <v>809</v>
      </c>
      <c r="N398" s="2008">
        <f t="shared" si="322"/>
        <v>677</v>
      </c>
      <c r="O398" s="2008">
        <f t="shared" si="322"/>
        <v>680.1684569653894</v>
      </c>
      <c r="P398" s="2008">
        <f t="shared" si="322"/>
        <v>658.17007617557863</v>
      </c>
      <c r="Q398" s="2008">
        <f t="shared" si="322"/>
        <v>654.72975816629184</v>
      </c>
      <c r="R398" s="2008">
        <f t="shared" si="322"/>
        <v>662.60612420755035</v>
      </c>
      <c r="S398" s="2008">
        <f t="shared" si="322"/>
        <v>664.67014578764781</v>
      </c>
      <c r="T398" s="2008">
        <f t="shared" si="322"/>
        <v>662.33058356837569</v>
      </c>
      <c r="U398" s="1293"/>
      <c r="V398" s="1293"/>
      <c r="W398" s="1293"/>
      <c r="X398" s="1293"/>
      <c r="Y398" s="1293"/>
      <c r="Z398" s="1293"/>
      <c r="AA398" s="1293"/>
      <c r="AB398" s="1293"/>
      <c r="AC398" s="1293"/>
      <c r="AD398" s="1293"/>
      <c r="AE398" s="1293"/>
      <c r="AF398" s="1293"/>
      <c r="AG398" s="1293"/>
      <c r="AH398" s="1293"/>
      <c r="AI398" s="1293"/>
      <c r="AJ398" s="1293"/>
      <c r="AK398" s="1293"/>
      <c r="AL398" s="1293"/>
      <c r="AM398" s="1293"/>
      <c r="AN398" s="1293"/>
      <c r="AO398" s="1293"/>
      <c r="AP398" s="1293"/>
      <c r="AQ398" s="1293"/>
      <c r="AR398" s="1293"/>
      <c r="AS398" s="1293"/>
      <c r="AT398" s="1293"/>
      <c r="AU398" s="1293"/>
      <c r="AV398" s="1293"/>
      <c r="AW398" s="1293"/>
      <c r="AX398" s="1293"/>
      <c r="AY398" s="1293"/>
      <c r="AZ398" s="1293"/>
      <c r="BA398" s="1293"/>
      <c r="BB398" s="1293"/>
      <c r="BC398" s="1293"/>
      <c r="BD398" s="1293"/>
      <c r="BE398" s="1293"/>
      <c r="BF398" s="1293"/>
      <c r="BG398" s="1293"/>
      <c r="BH398" s="1293"/>
      <c r="BI398" s="1293"/>
      <c r="BJ398" s="1293"/>
      <c r="BK398" s="1293"/>
      <c r="BL398" s="1293"/>
      <c r="BM398" s="1293"/>
      <c r="BN398" s="1293"/>
      <c r="BO398" s="1293"/>
      <c r="BP398" s="1293"/>
      <c r="BQ398" s="1293"/>
      <c r="BR398" s="1293"/>
      <c r="BS398" s="1293"/>
      <c r="BT398" s="1293"/>
      <c r="BU398" s="1293"/>
      <c r="BV398" s="1293"/>
      <c r="BW398" s="1293"/>
      <c r="BX398" s="1293"/>
      <c r="BY398" s="1293"/>
      <c r="BZ398" s="1293"/>
      <c r="CA398" s="1293"/>
      <c r="CB398" s="1293"/>
      <c r="CC398" s="1293"/>
      <c r="CD398" s="1293"/>
      <c r="CE398" s="1293"/>
      <c r="CF398" s="1293"/>
      <c r="CG398" s="1293"/>
    </row>
    <row r="399" spans="1:85" ht="15.75">
      <c r="A399" s="1293"/>
      <c r="B399" s="1293"/>
      <c r="C399" s="1334" t="s">
        <v>9180</v>
      </c>
      <c r="D399" s="1334"/>
      <c r="E399" s="1334"/>
      <c r="F399" s="1334"/>
      <c r="G399" s="1334"/>
      <c r="H399" s="1334"/>
      <c r="I399" s="1334"/>
      <c r="J399" s="1334"/>
      <c r="K399" s="1334"/>
      <c r="L399" s="2019">
        <v>973</v>
      </c>
      <c r="M399" s="2019">
        <v>809</v>
      </c>
      <c r="N399" s="2019">
        <v>677</v>
      </c>
      <c r="O399" s="1963">
        <f t="shared" ref="O399:T399" si="323">O398</f>
        <v>680.1684569653894</v>
      </c>
      <c r="P399" s="1963">
        <f t="shared" si="323"/>
        <v>658.17007617557863</v>
      </c>
      <c r="Q399" s="1963">
        <f t="shared" si="323"/>
        <v>654.72975816629184</v>
      </c>
      <c r="R399" s="1963">
        <f t="shared" si="323"/>
        <v>662.60612420755035</v>
      </c>
      <c r="S399" s="1963">
        <f t="shared" si="323"/>
        <v>664.67014578764781</v>
      </c>
      <c r="T399" s="1963">
        <f t="shared" si="323"/>
        <v>662.33058356837569</v>
      </c>
      <c r="U399" s="1293"/>
      <c r="V399" s="1293"/>
      <c r="W399" s="1293"/>
      <c r="X399" s="1293"/>
      <c r="Y399" s="1293"/>
      <c r="Z399" s="1293"/>
      <c r="AA399" s="1293"/>
      <c r="AB399" s="1293"/>
      <c r="AC399" s="1293"/>
      <c r="AD399" s="1293"/>
      <c r="AE399" s="1293"/>
      <c r="AF399" s="1293"/>
      <c r="AG399" s="1293"/>
      <c r="AH399" s="1293"/>
      <c r="AI399" s="1293"/>
      <c r="AJ399" s="1293"/>
      <c r="AK399" s="1293"/>
      <c r="AL399" s="1293"/>
      <c r="AM399" s="1293"/>
      <c r="AN399" s="1293"/>
      <c r="AO399" s="1293"/>
      <c r="AP399" s="1293"/>
      <c r="AQ399" s="1293"/>
      <c r="AR399" s="1293"/>
      <c r="AS399" s="1293"/>
      <c r="AT399" s="1293"/>
      <c r="AU399" s="1293"/>
      <c r="AV399" s="1293"/>
      <c r="AW399" s="1293"/>
      <c r="AX399" s="1293"/>
      <c r="AY399" s="1293"/>
      <c r="AZ399" s="1293"/>
      <c r="BA399" s="1293"/>
      <c r="BB399" s="1293"/>
      <c r="BC399" s="1293"/>
      <c r="BD399" s="1293"/>
      <c r="BE399" s="1293"/>
      <c r="BF399" s="1293"/>
      <c r="BG399" s="1293"/>
      <c r="BH399" s="1293"/>
      <c r="BI399" s="1293"/>
      <c r="BJ399" s="1293"/>
      <c r="BK399" s="1293"/>
      <c r="BL399" s="1293"/>
      <c r="BM399" s="1293"/>
      <c r="BN399" s="1293"/>
      <c r="BO399" s="1293"/>
      <c r="BP399" s="1293"/>
      <c r="BQ399" s="1293"/>
      <c r="BR399" s="1293"/>
      <c r="BS399" s="1293"/>
      <c r="BT399" s="1293"/>
      <c r="BU399" s="1293"/>
      <c r="BV399" s="1293"/>
      <c r="BW399" s="1293"/>
      <c r="BX399" s="1293"/>
      <c r="BY399" s="1293"/>
      <c r="BZ399" s="1293"/>
      <c r="CA399" s="1293"/>
      <c r="CB399" s="1293"/>
      <c r="CC399" s="1293"/>
      <c r="CD399" s="1293"/>
      <c r="CE399" s="1293"/>
      <c r="CF399" s="1293"/>
      <c r="CG399" s="1293"/>
    </row>
    <row r="400" spans="1:85" ht="15.75">
      <c r="A400" s="1293"/>
      <c r="B400" s="1293"/>
      <c r="C400" s="1293"/>
      <c r="D400" s="1293"/>
      <c r="E400" s="1293"/>
      <c r="F400" s="1293"/>
      <c r="G400" s="1293"/>
      <c r="H400" s="1293"/>
      <c r="I400" s="1293"/>
      <c r="J400" s="1293"/>
      <c r="K400" s="1293"/>
      <c r="L400" s="1293"/>
      <c r="M400" s="1293"/>
      <c r="N400" s="1293"/>
      <c r="O400" s="2514" t="s">
        <v>9155</v>
      </c>
      <c r="P400" s="1876"/>
      <c r="Q400" s="1876"/>
      <c r="R400" s="1876"/>
      <c r="S400" s="1876"/>
      <c r="T400" s="1876"/>
      <c r="U400" s="1293"/>
      <c r="V400" s="1293"/>
      <c r="W400" s="1293"/>
      <c r="X400" s="1293"/>
      <c r="Y400" s="1293"/>
      <c r="Z400" s="1293"/>
      <c r="AA400" s="1293"/>
      <c r="AB400" s="1293"/>
      <c r="AC400" s="1293"/>
      <c r="AD400" s="1293"/>
      <c r="AE400" s="1293"/>
      <c r="AF400" s="1293"/>
      <c r="AG400" s="1293"/>
      <c r="AH400" s="1293"/>
      <c r="AI400" s="1293"/>
      <c r="AJ400" s="1293"/>
      <c r="AK400" s="1293"/>
      <c r="AL400" s="1293"/>
      <c r="AM400" s="1293"/>
      <c r="AN400" s="1293"/>
      <c r="AO400" s="1293"/>
      <c r="AP400" s="1293"/>
      <c r="AQ400" s="1293"/>
      <c r="AR400" s="1293"/>
      <c r="AS400" s="1293"/>
      <c r="AT400" s="1293"/>
      <c r="AU400" s="1293"/>
      <c r="AV400" s="1293"/>
      <c r="AW400" s="1293"/>
      <c r="AX400" s="1293"/>
      <c r="AY400" s="1293"/>
      <c r="AZ400" s="1293"/>
      <c r="BA400" s="1293"/>
      <c r="BB400" s="1293"/>
      <c r="BC400" s="1293"/>
      <c r="BD400" s="1293"/>
      <c r="BE400" s="1293"/>
      <c r="BF400" s="1293"/>
      <c r="BG400" s="1293"/>
      <c r="BH400" s="1293"/>
      <c r="BI400" s="1293"/>
      <c r="BJ400" s="1293"/>
      <c r="BK400" s="1293"/>
      <c r="BL400" s="1293"/>
      <c r="BM400" s="1293"/>
      <c r="BN400" s="1293"/>
      <c r="BO400" s="1293"/>
      <c r="BP400" s="1293"/>
      <c r="BQ400" s="1293"/>
      <c r="BR400" s="1293"/>
      <c r="BS400" s="1293"/>
      <c r="BT400" s="1293"/>
      <c r="BU400" s="1293"/>
      <c r="BV400" s="1293"/>
      <c r="BW400" s="1293"/>
      <c r="BX400" s="1293"/>
      <c r="BY400" s="1293"/>
      <c r="BZ400" s="1293"/>
      <c r="CA400" s="1293"/>
      <c r="CB400" s="1293"/>
      <c r="CC400" s="1293"/>
      <c r="CD400" s="1293"/>
      <c r="CE400" s="1293"/>
      <c r="CF400" s="1293"/>
      <c r="CG400" s="1293"/>
    </row>
    <row r="401" spans="1:85" ht="15.75">
      <c r="A401" s="1293"/>
      <c r="B401" s="1293"/>
      <c r="C401" s="1293"/>
      <c r="D401" s="1293"/>
      <c r="E401" s="1293"/>
      <c r="F401" s="1293"/>
      <c r="G401" s="1293"/>
      <c r="H401" s="1293"/>
      <c r="I401" s="1293"/>
      <c r="J401" s="1293"/>
      <c r="K401" s="1293"/>
      <c r="L401" s="1698"/>
      <c r="M401" s="1698"/>
      <c r="N401" s="1698"/>
      <c r="O401" s="2514" t="s">
        <v>9156</v>
      </c>
      <c r="P401" s="1876"/>
      <c r="Q401" s="1876"/>
      <c r="R401" s="1876"/>
      <c r="S401" s="1876"/>
      <c r="T401" s="1876"/>
      <c r="U401" s="1293"/>
      <c r="V401" s="1293"/>
      <c r="W401" s="1293"/>
      <c r="X401" s="1293"/>
      <c r="Y401" s="1293"/>
      <c r="Z401" s="1293"/>
      <c r="AA401" s="1293"/>
      <c r="AB401" s="1293"/>
      <c r="AC401" s="1293"/>
      <c r="AD401" s="1293"/>
      <c r="AE401" s="1293"/>
      <c r="AF401" s="1293"/>
      <c r="AG401" s="1293"/>
      <c r="AH401" s="1293"/>
      <c r="AI401" s="1293"/>
      <c r="AJ401" s="1293"/>
      <c r="AK401" s="1293"/>
      <c r="AL401" s="1293"/>
      <c r="AM401" s="1293"/>
      <c r="AN401" s="1293"/>
      <c r="AO401" s="1293"/>
      <c r="AP401" s="1293"/>
      <c r="AQ401" s="1293"/>
      <c r="AR401" s="1293"/>
      <c r="AS401" s="1293"/>
      <c r="AT401" s="1293"/>
      <c r="AU401" s="1293"/>
      <c r="AV401" s="1293"/>
      <c r="AW401" s="1293"/>
      <c r="AX401" s="1293"/>
      <c r="AY401" s="1293"/>
      <c r="AZ401" s="1293"/>
      <c r="BA401" s="1293"/>
      <c r="BB401" s="1293"/>
      <c r="BC401" s="1293"/>
      <c r="BD401" s="1293"/>
      <c r="BE401" s="1293"/>
      <c r="BF401" s="1293"/>
      <c r="BG401" s="1293"/>
      <c r="BH401" s="1293"/>
      <c r="BI401" s="1293"/>
      <c r="BJ401" s="1293"/>
      <c r="BK401" s="1293"/>
      <c r="BL401" s="1293"/>
      <c r="BM401" s="1293"/>
      <c r="BN401" s="1293"/>
      <c r="BO401" s="1293"/>
      <c r="BP401" s="1293"/>
      <c r="BQ401" s="1293"/>
      <c r="BR401" s="1293"/>
      <c r="BS401" s="1293"/>
      <c r="BT401" s="1293"/>
      <c r="BU401" s="1293"/>
      <c r="BV401" s="1293"/>
      <c r="BW401" s="1293"/>
      <c r="BX401" s="1293"/>
      <c r="BY401" s="1293"/>
      <c r="BZ401" s="1293"/>
      <c r="CA401" s="1293"/>
      <c r="CB401" s="1293"/>
      <c r="CC401" s="1293"/>
      <c r="CD401" s="1293"/>
      <c r="CE401" s="1293"/>
      <c r="CF401" s="1293"/>
      <c r="CG401" s="1293"/>
    </row>
    <row r="402" spans="1:85" ht="15.75">
      <c r="A402" s="1293"/>
      <c r="B402" s="1293"/>
      <c r="C402" s="1293" t="s">
        <v>9181</v>
      </c>
      <c r="D402" s="1293"/>
      <c r="E402" s="1293"/>
      <c r="F402" s="1293"/>
      <c r="G402" s="1293"/>
      <c r="H402" s="1293"/>
      <c r="I402" s="1293"/>
      <c r="J402" s="1293"/>
      <c r="K402" s="1293"/>
      <c r="L402" s="2017">
        <v>195</v>
      </c>
      <c r="M402" s="2017">
        <v>406</v>
      </c>
      <c r="N402" s="2017">
        <v>123</v>
      </c>
      <c r="O402" s="1327">
        <f>O406</f>
        <v>100</v>
      </c>
      <c r="P402" s="1327">
        <f t="shared" ref="P402:T402" si="324">P406</f>
        <v>100</v>
      </c>
      <c r="Q402" s="1327">
        <f t="shared" si="324"/>
        <v>100</v>
      </c>
      <c r="R402" s="1327">
        <f t="shared" si="324"/>
        <v>100</v>
      </c>
      <c r="S402" s="1327">
        <f t="shared" si="324"/>
        <v>100</v>
      </c>
      <c r="T402" s="1327">
        <f t="shared" si="324"/>
        <v>100</v>
      </c>
      <c r="U402" s="1293"/>
      <c r="V402" s="1293"/>
      <c r="W402" s="1293"/>
      <c r="X402" s="1293"/>
      <c r="Y402" s="1293"/>
      <c r="Z402" s="1293"/>
      <c r="AA402" s="1293"/>
      <c r="AB402" s="1293"/>
      <c r="AC402" s="1293"/>
      <c r="AD402" s="1293"/>
      <c r="AE402" s="1293"/>
      <c r="AF402" s="1293"/>
      <c r="AG402" s="1293"/>
      <c r="AH402" s="1293"/>
      <c r="AI402" s="1293"/>
      <c r="AJ402" s="1293"/>
      <c r="AK402" s="1293"/>
      <c r="AL402" s="1293"/>
      <c r="AM402" s="1293"/>
      <c r="AN402" s="1293"/>
      <c r="AO402" s="1293"/>
      <c r="AP402" s="1293"/>
      <c r="AQ402" s="1293"/>
      <c r="AR402" s="1293"/>
      <c r="AS402" s="1293"/>
      <c r="AT402" s="1293"/>
      <c r="AU402" s="1293"/>
      <c r="AV402" s="1293"/>
      <c r="AW402" s="1293"/>
      <c r="AX402" s="1293"/>
      <c r="AY402" s="1293"/>
      <c r="AZ402" s="1293"/>
      <c r="BA402" s="1293"/>
      <c r="BB402" s="1293"/>
      <c r="BC402" s="1293"/>
      <c r="BD402" s="1293"/>
      <c r="BE402" s="1293"/>
      <c r="BF402" s="1293"/>
      <c r="BG402" s="1293"/>
      <c r="BH402" s="1293"/>
      <c r="BI402" s="1293"/>
      <c r="BJ402" s="1293"/>
      <c r="BK402" s="1293"/>
      <c r="BL402" s="1293"/>
      <c r="BM402" s="1293"/>
      <c r="BN402" s="1293"/>
      <c r="BO402" s="1293"/>
      <c r="BP402" s="1293"/>
      <c r="BQ402" s="1293"/>
      <c r="BR402" s="1293"/>
      <c r="BS402" s="1293"/>
      <c r="BT402" s="1293"/>
      <c r="BU402" s="1293"/>
      <c r="BV402" s="1293"/>
      <c r="BW402" s="1293"/>
      <c r="BX402" s="1293"/>
      <c r="BY402" s="1293"/>
      <c r="BZ402" s="1293"/>
      <c r="CA402" s="1293"/>
      <c r="CB402" s="1293"/>
      <c r="CC402" s="1293"/>
      <c r="CD402" s="1293"/>
      <c r="CE402" s="1293"/>
      <c r="CF402" s="1293"/>
      <c r="CG402" s="1293"/>
    </row>
    <row r="403" spans="1:85" ht="15.75">
      <c r="A403" s="1293"/>
      <c r="B403" s="1293"/>
      <c r="C403" s="1334" t="s">
        <v>9182</v>
      </c>
      <c r="D403" s="1334"/>
      <c r="E403" s="1334"/>
      <c r="F403" s="1334"/>
      <c r="G403" s="1334"/>
      <c r="H403" s="1334"/>
      <c r="I403" s="1334"/>
      <c r="J403" s="1334"/>
      <c r="K403" s="1334"/>
      <c r="L403" s="1963">
        <f>L399+L402</f>
        <v>1168</v>
      </c>
      <c r="M403" s="1963">
        <f t="shared" ref="M403:N403" si="325">M399+M402</f>
        <v>1215</v>
      </c>
      <c r="N403" s="1963">
        <f t="shared" si="325"/>
        <v>800</v>
      </c>
      <c r="O403" s="1963">
        <f t="shared" ref="O403" si="326">O399+O402</f>
        <v>780.1684569653894</v>
      </c>
      <c r="P403" s="1963">
        <f t="shared" ref="P403" si="327">P399+P402</f>
        <v>758.17007617557863</v>
      </c>
      <c r="Q403" s="1963">
        <f t="shared" ref="Q403" si="328">Q399+Q402</f>
        <v>754.72975816629184</v>
      </c>
      <c r="R403" s="1963">
        <f t="shared" ref="R403" si="329">R399+R402</f>
        <v>762.60612420755035</v>
      </c>
      <c r="S403" s="1963">
        <f t="shared" ref="S403" si="330">S399+S402</f>
        <v>764.67014578764781</v>
      </c>
      <c r="T403" s="1963">
        <f t="shared" ref="T403" si="331">T399+T402</f>
        <v>762.33058356837569</v>
      </c>
      <c r="U403" s="1293"/>
      <c r="V403" s="1293"/>
      <c r="W403" s="1293"/>
      <c r="X403" s="1293"/>
      <c r="Y403" s="1293"/>
      <c r="Z403" s="1293"/>
      <c r="AA403" s="1293"/>
      <c r="AB403" s="1293"/>
      <c r="AC403" s="1293"/>
      <c r="AD403" s="1293"/>
      <c r="AE403" s="1293"/>
      <c r="AF403" s="1293"/>
      <c r="AG403" s="1293"/>
      <c r="AH403" s="1293"/>
      <c r="AI403" s="1293"/>
      <c r="AJ403" s="1293"/>
      <c r="AK403" s="1293"/>
      <c r="AL403" s="1293"/>
      <c r="AM403" s="1293"/>
      <c r="AN403" s="1293"/>
      <c r="AO403" s="1293"/>
      <c r="AP403" s="1293"/>
      <c r="AQ403" s="1293"/>
      <c r="AR403" s="1293"/>
      <c r="AS403" s="1293"/>
      <c r="AT403" s="1293"/>
      <c r="AU403" s="1293"/>
      <c r="AV403" s="1293"/>
      <c r="AW403" s="1293"/>
      <c r="AX403" s="1293"/>
      <c r="AY403" s="1293"/>
      <c r="AZ403" s="1293"/>
      <c r="BA403" s="1293"/>
      <c r="BB403" s="1293"/>
      <c r="BC403" s="1293"/>
      <c r="BD403" s="1293"/>
      <c r="BE403" s="1293"/>
      <c r="BF403" s="1293"/>
      <c r="BG403" s="1293"/>
      <c r="BH403" s="1293"/>
      <c r="BI403" s="1293"/>
      <c r="BJ403" s="1293"/>
      <c r="BK403" s="1293"/>
      <c r="BL403" s="1293"/>
      <c r="BM403" s="1293"/>
      <c r="BN403" s="1293"/>
      <c r="BO403" s="1293"/>
      <c r="BP403" s="1293"/>
      <c r="BQ403" s="1293"/>
      <c r="BR403" s="1293"/>
      <c r="BS403" s="1293"/>
      <c r="BT403" s="1293"/>
      <c r="BU403" s="1293"/>
      <c r="BV403" s="1293"/>
      <c r="BW403" s="1293"/>
      <c r="BX403" s="1293"/>
      <c r="BY403" s="1293"/>
      <c r="BZ403" s="1293"/>
      <c r="CA403" s="1293"/>
      <c r="CB403" s="1293"/>
      <c r="CC403" s="1293"/>
      <c r="CD403" s="1293"/>
      <c r="CE403" s="1293"/>
      <c r="CF403" s="1293"/>
      <c r="CG403" s="1293"/>
    </row>
    <row r="404" spans="1:85" ht="15.75">
      <c r="A404" s="1293"/>
      <c r="B404" s="1293"/>
      <c r="C404" s="1293"/>
      <c r="D404" s="1293"/>
      <c r="E404" s="1293"/>
      <c r="F404" s="1293"/>
      <c r="G404" s="1293"/>
      <c r="H404" s="1293"/>
      <c r="I404" s="1293"/>
      <c r="J404" s="1293"/>
      <c r="K404" s="1293"/>
      <c r="L404" s="1698"/>
      <c r="M404" s="1698"/>
      <c r="N404" s="1698"/>
      <c r="O404" s="1738"/>
      <c r="P404" s="1293"/>
      <c r="Q404" s="1293"/>
      <c r="R404" s="1293"/>
      <c r="S404" s="1293"/>
      <c r="T404" s="1293"/>
      <c r="U404" s="1293"/>
      <c r="V404" s="1293"/>
      <c r="W404" s="1293"/>
      <c r="X404" s="1293"/>
      <c r="Y404" s="1293"/>
      <c r="Z404" s="1293"/>
      <c r="AA404" s="1293"/>
      <c r="AB404" s="1293"/>
      <c r="AC404" s="1293"/>
      <c r="AD404" s="1293"/>
      <c r="AE404" s="1293"/>
      <c r="AF404" s="1293"/>
      <c r="AG404" s="1293"/>
      <c r="AH404" s="1293"/>
      <c r="AI404" s="1293"/>
      <c r="AJ404" s="1293"/>
      <c r="AK404" s="1293"/>
      <c r="AL404" s="1293"/>
      <c r="AM404" s="1293"/>
      <c r="AN404" s="1293"/>
      <c r="AO404" s="1293"/>
      <c r="AP404" s="1293"/>
      <c r="AQ404" s="1293"/>
      <c r="AR404" s="1293"/>
      <c r="AS404" s="1293"/>
      <c r="AT404" s="1293"/>
      <c r="AU404" s="1293"/>
      <c r="AV404" s="1293"/>
      <c r="AW404" s="1293"/>
      <c r="AX404" s="1293"/>
      <c r="AY404" s="1293"/>
      <c r="AZ404" s="1293"/>
      <c r="BA404" s="1293"/>
      <c r="BB404" s="1293"/>
      <c r="BC404" s="1293"/>
      <c r="BD404" s="1293"/>
      <c r="BE404" s="1293"/>
      <c r="BF404" s="1293"/>
      <c r="BG404" s="1293"/>
      <c r="BH404" s="1293"/>
      <c r="BI404" s="1293"/>
      <c r="BJ404" s="1293"/>
      <c r="BK404" s="1293"/>
      <c r="BL404" s="1293"/>
      <c r="BM404" s="1293"/>
      <c r="BN404" s="1293"/>
      <c r="BO404" s="1293"/>
      <c r="BP404" s="1293"/>
      <c r="BQ404" s="1293"/>
      <c r="BR404" s="1293"/>
      <c r="BS404" s="1293"/>
      <c r="BT404" s="1293"/>
      <c r="BU404" s="1293"/>
      <c r="BV404" s="1293"/>
      <c r="BW404" s="1293"/>
      <c r="BX404" s="1293"/>
      <c r="BY404" s="1293"/>
      <c r="BZ404" s="1293"/>
      <c r="CA404" s="1293"/>
      <c r="CB404" s="1293"/>
      <c r="CC404" s="1293"/>
      <c r="CD404" s="1293"/>
      <c r="CE404" s="1293"/>
      <c r="CF404" s="1293"/>
      <c r="CG404" s="1293"/>
    </row>
    <row r="405" spans="1:85" ht="15.75">
      <c r="A405" s="1293"/>
      <c r="B405" s="1293"/>
      <c r="C405" s="1293" t="s">
        <v>4088</v>
      </c>
      <c r="D405" s="1293"/>
      <c r="E405" s="1293"/>
      <c r="F405" s="1293"/>
      <c r="G405" s="1293"/>
      <c r="H405" s="1293"/>
      <c r="I405" s="1293"/>
      <c r="J405" s="1293"/>
      <c r="K405" s="1293"/>
      <c r="L405" s="2017">
        <v>957</v>
      </c>
      <c r="M405" s="2017">
        <v>931</v>
      </c>
      <c r="N405" s="2017">
        <v>575</v>
      </c>
      <c r="O405" s="1869">
        <f>O399-O406</f>
        <v>580.1684569653894</v>
      </c>
      <c r="P405" s="1869">
        <f t="shared" ref="P405:T405" si="332">P399-P406</f>
        <v>558.17007617557863</v>
      </c>
      <c r="Q405" s="1869">
        <f t="shared" si="332"/>
        <v>554.72975816629184</v>
      </c>
      <c r="R405" s="1869">
        <f t="shared" si="332"/>
        <v>562.60612420755035</v>
      </c>
      <c r="S405" s="1869">
        <f t="shared" si="332"/>
        <v>564.67014578764781</v>
      </c>
      <c r="T405" s="1869">
        <f t="shared" si="332"/>
        <v>562.33058356837569</v>
      </c>
      <c r="U405" s="1293"/>
      <c r="V405" s="1293"/>
      <c r="W405" s="1293"/>
      <c r="X405" s="1293"/>
      <c r="Y405" s="1293"/>
      <c r="Z405" s="1293"/>
      <c r="AA405" s="1293"/>
      <c r="AB405" s="1293"/>
      <c r="AC405" s="1293"/>
      <c r="AD405" s="1293"/>
      <c r="AE405" s="1293"/>
      <c r="AF405" s="1293"/>
      <c r="AG405" s="1293"/>
      <c r="AH405" s="1293"/>
      <c r="AI405" s="1293"/>
      <c r="AJ405" s="1293"/>
      <c r="AK405" s="1293"/>
      <c r="AL405" s="1293"/>
      <c r="AM405" s="1293"/>
      <c r="AN405" s="1293"/>
      <c r="AO405" s="1293"/>
      <c r="AP405" s="1293"/>
      <c r="AQ405" s="1293"/>
      <c r="AR405" s="1293"/>
      <c r="AS405" s="1293"/>
      <c r="AT405" s="1293"/>
      <c r="AU405" s="1293"/>
      <c r="AV405" s="1293"/>
      <c r="AW405" s="1293"/>
      <c r="AX405" s="1293"/>
      <c r="AY405" s="1293"/>
      <c r="AZ405" s="1293"/>
      <c r="BA405" s="1293"/>
      <c r="BB405" s="1293"/>
      <c r="BC405" s="1293"/>
      <c r="BD405" s="1293"/>
      <c r="BE405" s="1293"/>
      <c r="BF405" s="1293"/>
      <c r="BG405" s="1293"/>
      <c r="BH405" s="1293"/>
      <c r="BI405" s="1293"/>
      <c r="BJ405" s="1293"/>
      <c r="BK405" s="1293"/>
      <c r="BL405" s="1293"/>
      <c r="BM405" s="1293"/>
      <c r="BN405" s="1293"/>
      <c r="BO405" s="1293"/>
      <c r="BP405" s="1293"/>
      <c r="BQ405" s="1293"/>
      <c r="BR405" s="1293"/>
      <c r="BS405" s="1293"/>
      <c r="BT405" s="1293"/>
      <c r="BU405" s="1293"/>
      <c r="BV405" s="1293"/>
      <c r="BW405" s="1293"/>
      <c r="BX405" s="1293"/>
      <c r="BY405" s="1293"/>
      <c r="BZ405" s="1293"/>
      <c r="CA405" s="1293"/>
      <c r="CB405" s="1293"/>
      <c r="CC405" s="1293"/>
      <c r="CD405" s="1293"/>
      <c r="CE405" s="1293"/>
      <c r="CF405" s="1293"/>
      <c r="CG405" s="1293"/>
    </row>
    <row r="406" spans="1:85" ht="15.75">
      <c r="A406" s="1293"/>
      <c r="B406" s="1293"/>
      <c r="C406" s="1293" t="s">
        <v>8424</v>
      </c>
      <c r="D406" s="1293"/>
      <c r="E406" s="1293"/>
      <c r="F406" s="1293"/>
      <c r="G406" s="1293"/>
      <c r="H406" s="1293"/>
      <c r="I406" s="1293"/>
      <c r="J406" s="1293"/>
      <c r="K406" s="1293"/>
      <c r="L406" s="2017">
        <v>93</v>
      </c>
      <c r="M406" s="2017">
        <v>236</v>
      </c>
      <c r="N406" s="2017">
        <v>135</v>
      </c>
      <c r="O406" s="1327">
        <f>Master!AB211</f>
        <v>100</v>
      </c>
      <c r="P406" s="1327">
        <f>Master!AC211</f>
        <v>100</v>
      </c>
      <c r="Q406" s="1327">
        <f>Master!AD211</f>
        <v>100</v>
      </c>
      <c r="R406" s="1327">
        <f>Master!AE211</f>
        <v>100</v>
      </c>
      <c r="S406" s="1327">
        <f>Master!AF211</f>
        <v>100</v>
      </c>
      <c r="T406" s="1327">
        <f>Master!AG211</f>
        <v>100</v>
      </c>
      <c r="U406" s="1293"/>
      <c r="V406" s="1293"/>
      <c r="W406" s="1293"/>
      <c r="X406" s="1293"/>
      <c r="Y406" s="1293"/>
      <c r="Z406" s="1293"/>
      <c r="AA406" s="1293"/>
      <c r="AB406" s="1293"/>
      <c r="AC406" s="1293"/>
      <c r="AD406" s="1293"/>
      <c r="AE406" s="1293"/>
      <c r="AF406" s="1293"/>
      <c r="AG406" s="1293"/>
      <c r="AH406" s="1293"/>
      <c r="AI406" s="1293"/>
      <c r="AJ406" s="1293"/>
      <c r="AK406" s="1293"/>
      <c r="AL406" s="1293"/>
      <c r="AM406" s="1293"/>
      <c r="AN406" s="1293"/>
      <c r="AO406" s="1293"/>
      <c r="AP406" s="1293"/>
      <c r="AQ406" s="1293"/>
      <c r="AR406" s="1293"/>
      <c r="AS406" s="1293"/>
      <c r="AT406" s="1293"/>
      <c r="AU406" s="1293"/>
      <c r="AV406" s="1293"/>
      <c r="AW406" s="1293"/>
      <c r="AX406" s="1293"/>
      <c r="AY406" s="1293"/>
      <c r="AZ406" s="1293"/>
      <c r="BA406" s="1293"/>
      <c r="BB406" s="1293"/>
      <c r="BC406" s="1293"/>
      <c r="BD406" s="1293"/>
      <c r="BE406" s="1293"/>
      <c r="BF406" s="1293"/>
      <c r="BG406" s="1293"/>
      <c r="BH406" s="1293"/>
      <c r="BI406" s="1293"/>
      <c r="BJ406" s="1293"/>
      <c r="BK406" s="1293"/>
      <c r="BL406" s="1293"/>
      <c r="BM406" s="1293"/>
      <c r="BN406" s="1293"/>
      <c r="BO406" s="1293"/>
      <c r="BP406" s="1293"/>
      <c r="BQ406" s="1293"/>
      <c r="BR406" s="1293"/>
      <c r="BS406" s="1293"/>
      <c r="BT406" s="1293"/>
      <c r="BU406" s="1293"/>
      <c r="BV406" s="1293"/>
      <c r="BW406" s="1293"/>
      <c r="BX406" s="1293"/>
      <c r="BY406" s="1293"/>
      <c r="BZ406" s="1293"/>
      <c r="CA406" s="1293"/>
      <c r="CB406" s="1293"/>
      <c r="CC406" s="1293"/>
      <c r="CD406" s="1293"/>
      <c r="CE406" s="1293"/>
      <c r="CF406" s="1293"/>
      <c r="CG406" s="1293"/>
    </row>
    <row r="407" spans="1:85" ht="15.75">
      <c r="A407" s="1293"/>
      <c r="B407" s="1293"/>
      <c r="C407" s="1334" t="s">
        <v>9183</v>
      </c>
      <c r="D407" s="1334"/>
      <c r="E407" s="1334"/>
      <c r="F407" s="1334"/>
      <c r="G407" s="1334"/>
      <c r="H407" s="1334"/>
      <c r="I407" s="1334"/>
      <c r="J407" s="1334"/>
      <c r="K407" s="1334"/>
      <c r="L407" s="1334">
        <f t="shared" ref="L407:M407" si="333">L405+L406</f>
        <v>1050</v>
      </c>
      <c r="M407" s="1334">
        <f t="shared" si="333"/>
        <v>1167</v>
      </c>
      <c r="N407" s="1334">
        <f>N405+N406</f>
        <v>710</v>
      </c>
      <c r="O407" s="1963">
        <f t="shared" ref="O407:T407" si="334">O405+O406</f>
        <v>680.1684569653894</v>
      </c>
      <c r="P407" s="1963">
        <f t="shared" si="334"/>
        <v>658.17007617557863</v>
      </c>
      <c r="Q407" s="1963">
        <f t="shared" si="334"/>
        <v>654.72975816629184</v>
      </c>
      <c r="R407" s="1963">
        <f t="shared" si="334"/>
        <v>662.60612420755035</v>
      </c>
      <c r="S407" s="1963">
        <f t="shared" si="334"/>
        <v>664.67014578764781</v>
      </c>
      <c r="T407" s="1963">
        <f t="shared" si="334"/>
        <v>662.33058356837569</v>
      </c>
      <c r="U407" s="1293"/>
      <c r="V407" s="1293"/>
      <c r="W407" s="1293"/>
      <c r="X407" s="1293"/>
      <c r="Y407" s="1293"/>
      <c r="Z407" s="1293"/>
      <c r="AA407" s="1293"/>
      <c r="AB407" s="1293"/>
      <c r="AC407" s="1293"/>
      <c r="AD407" s="1293"/>
      <c r="AE407" s="1293"/>
      <c r="AF407" s="1293"/>
      <c r="AG407" s="1293"/>
      <c r="AH407" s="1293"/>
      <c r="AI407" s="1293"/>
      <c r="AJ407" s="1293"/>
      <c r="AK407" s="1293"/>
      <c r="AL407" s="1293"/>
      <c r="AM407" s="1293"/>
      <c r="AN407" s="1293"/>
      <c r="AO407" s="1293"/>
      <c r="AP407" s="1293"/>
      <c r="AQ407" s="1293"/>
      <c r="AR407" s="1293"/>
      <c r="AS407" s="1293"/>
      <c r="AT407" s="1293"/>
      <c r="AU407" s="1293"/>
      <c r="AV407" s="1293"/>
      <c r="AW407" s="1293"/>
      <c r="AX407" s="1293"/>
      <c r="AY407" s="1293"/>
      <c r="AZ407" s="1293"/>
      <c r="BA407" s="1293"/>
      <c r="BB407" s="1293"/>
      <c r="BC407" s="1293"/>
      <c r="BD407" s="1293"/>
      <c r="BE407" s="1293"/>
      <c r="BF407" s="1293"/>
      <c r="BG407" s="1293"/>
      <c r="BH407" s="1293"/>
      <c r="BI407" s="1293"/>
      <c r="BJ407" s="1293"/>
      <c r="BK407" s="1293"/>
      <c r="BL407" s="1293"/>
      <c r="BM407" s="1293"/>
      <c r="BN407" s="1293"/>
      <c r="BO407" s="1293"/>
      <c r="BP407" s="1293"/>
      <c r="BQ407" s="1293"/>
      <c r="BR407" s="1293"/>
      <c r="BS407" s="1293"/>
      <c r="BT407" s="1293"/>
      <c r="BU407" s="1293"/>
      <c r="BV407" s="1293"/>
      <c r="BW407" s="1293"/>
      <c r="BX407" s="1293"/>
      <c r="BY407" s="1293"/>
      <c r="BZ407" s="1293"/>
      <c r="CA407" s="1293"/>
      <c r="CB407" s="1293"/>
      <c r="CC407" s="1293"/>
      <c r="CD407" s="1293"/>
      <c r="CE407" s="1293"/>
      <c r="CF407" s="1293"/>
      <c r="CG407" s="1293"/>
    </row>
    <row r="408" spans="1:85" ht="15.75">
      <c r="A408" s="1293"/>
      <c r="B408" s="1293"/>
      <c r="C408" s="1293"/>
      <c r="D408" s="1293"/>
      <c r="E408" s="1293"/>
      <c r="F408" s="1293"/>
      <c r="G408" s="1293"/>
      <c r="H408" s="1293"/>
      <c r="I408" s="1293"/>
      <c r="J408" s="1293"/>
      <c r="K408" s="1293"/>
      <c r="L408" s="1293"/>
      <c r="M408" s="1293"/>
      <c r="N408" s="1293"/>
      <c r="O408" s="1293"/>
      <c r="P408" s="1293"/>
      <c r="Q408" s="1293"/>
      <c r="R408" s="1293"/>
      <c r="S408" s="1293"/>
      <c r="T408" s="1293"/>
      <c r="U408" s="1293"/>
      <c r="V408" s="1293"/>
      <c r="W408" s="1293"/>
      <c r="X408" s="1293"/>
      <c r="Y408" s="1293"/>
      <c r="Z408" s="1293"/>
      <c r="AA408" s="1293"/>
      <c r="AB408" s="1293"/>
      <c r="AC408" s="1293"/>
      <c r="AD408" s="1293"/>
      <c r="AE408" s="1293"/>
      <c r="AF408" s="1293"/>
      <c r="AG408" s="1293"/>
      <c r="AH408" s="1293"/>
      <c r="AI408" s="1293"/>
      <c r="AJ408" s="1293"/>
      <c r="AK408" s="1293"/>
      <c r="AL408" s="1293"/>
      <c r="AM408" s="1293"/>
      <c r="AN408" s="1293"/>
      <c r="AO408" s="1293"/>
      <c r="AP408" s="1293"/>
      <c r="AQ408" s="1293"/>
      <c r="AR408" s="1293"/>
      <c r="AS408" s="1293"/>
      <c r="AT408" s="1293"/>
      <c r="AU408" s="1293"/>
      <c r="AV408" s="1293"/>
      <c r="AW408" s="1293"/>
      <c r="AX408" s="1293"/>
      <c r="AY408" s="1293"/>
      <c r="AZ408" s="1293"/>
      <c r="BA408" s="1293"/>
      <c r="BB408" s="1293"/>
      <c r="BC408" s="1293"/>
      <c r="BD408" s="1293"/>
      <c r="BE408" s="1293"/>
      <c r="BF408" s="1293"/>
      <c r="BG408" s="1293"/>
      <c r="BH408" s="1293"/>
      <c r="BI408" s="1293"/>
      <c r="BJ408" s="1293"/>
      <c r="BK408" s="1293"/>
      <c r="BL408" s="1293"/>
      <c r="BM408" s="1293"/>
      <c r="BN408" s="1293"/>
      <c r="BO408" s="1293"/>
      <c r="BP408" s="1293"/>
      <c r="BQ408" s="1293"/>
      <c r="BR408" s="1293"/>
      <c r="BS408" s="1293"/>
      <c r="BT408" s="1293"/>
      <c r="BU408" s="1293"/>
      <c r="BV408" s="1293"/>
      <c r="BW408" s="1293"/>
      <c r="BX408" s="1293"/>
      <c r="BY408" s="1293"/>
      <c r="BZ408" s="1293"/>
      <c r="CA408" s="1293"/>
      <c r="CB408" s="1293"/>
      <c r="CC408" s="1293"/>
      <c r="CD408" s="1293"/>
      <c r="CE408" s="1293"/>
      <c r="CF408" s="1293"/>
      <c r="CG408" s="1293"/>
    </row>
    <row r="409" spans="1:85" ht="15.75">
      <c r="A409" s="1293"/>
      <c r="B409" s="1293"/>
      <c r="C409" s="1293"/>
      <c r="D409" s="1293"/>
      <c r="E409" s="1293"/>
      <c r="F409" s="1293"/>
      <c r="G409" s="1293"/>
      <c r="H409" s="1293"/>
      <c r="I409" s="1293"/>
      <c r="J409" s="1293"/>
      <c r="K409" s="1293"/>
      <c r="L409" s="1293"/>
      <c r="M409" s="1293"/>
      <c r="N409" s="1293"/>
      <c r="O409" s="1293"/>
      <c r="P409" s="1293"/>
      <c r="Q409" s="1293"/>
      <c r="R409" s="1293"/>
      <c r="S409" s="1293"/>
      <c r="T409" s="1293"/>
      <c r="U409" s="1293"/>
      <c r="V409" s="1293"/>
      <c r="W409" s="1293"/>
      <c r="X409" s="1293"/>
      <c r="Y409" s="1293"/>
      <c r="Z409" s="1293"/>
      <c r="AA409" s="1293"/>
      <c r="AB409" s="1293"/>
      <c r="AC409" s="1293"/>
      <c r="AD409" s="1293"/>
      <c r="AE409" s="1293"/>
      <c r="AF409" s="1293"/>
      <c r="AG409" s="1293"/>
      <c r="AH409" s="1293"/>
      <c r="AI409" s="1293"/>
      <c r="AJ409" s="1293"/>
      <c r="AK409" s="1293"/>
      <c r="AL409" s="1293"/>
      <c r="AM409" s="1293"/>
      <c r="AN409" s="1293"/>
      <c r="AO409" s="1293"/>
      <c r="AP409" s="1293"/>
      <c r="AQ409" s="1293"/>
      <c r="AR409" s="1293"/>
      <c r="AS409" s="1293"/>
      <c r="AT409" s="1293"/>
      <c r="AU409" s="1293"/>
      <c r="AV409" s="1293"/>
      <c r="AW409" s="1293"/>
      <c r="AX409" s="1293"/>
      <c r="AY409" s="1293"/>
      <c r="AZ409" s="1293"/>
      <c r="BA409" s="1293"/>
      <c r="BB409" s="1293"/>
      <c r="BC409" s="1293"/>
      <c r="BD409" s="1293"/>
      <c r="BE409" s="1293"/>
      <c r="BF409" s="1293"/>
      <c r="BG409" s="1293"/>
      <c r="BH409" s="1293"/>
      <c r="BI409" s="1293"/>
      <c r="BJ409" s="1293"/>
      <c r="BK409" s="1293"/>
      <c r="BL409" s="1293"/>
      <c r="BM409" s="1293"/>
      <c r="BN409" s="1293"/>
      <c r="BO409" s="1293"/>
      <c r="BP409" s="1293"/>
      <c r="BQ409" s="1293"/>
      <c r="BR409" s="1293"/>
      <c r="BS409" s="1293"/>
      <c r="BT409" s="1293"/>
      <c r="BU409" s="1293"/>
      <c r="BV409" s="1293"/>
      <c r="BW409" s="1293"/>
      <c r="BX409" s="1293"/>
      <c r="BY409" s="1293"/>
      <c r="BZ409" s="1293"/>
      <c r="CA409" s="1293"/>
      <c r="CB409" s="1293"/>
      <c r="CC409" s="1293"/>
      <c r="CD409" s="1293"/>
      <c r="CE409" s="1293"/>
      <c r="CF409" s="1293"/>
      <c r="CG409" s="1293"/>
    </row>
    <row r="410" spans="1:85" ht="15.75">
      <c r="A410" s="1293"/>
      <c r="B410" s="1293"/>
      <c r="C410" s="1334" t="s">
        <v>9036</v>
      </c>
      <c r="D410" s="1293"/>
      <c r="E410" s="1293"/>
      <c r="F410" s="1293"/>
      <c r="G410" s="1293"/>
      <c r="H410" s="1293"/>
      <c r="I410" s="1293"/>
      <c r="J410" s="1293"/>
      <c r="K410" s="1293"/>
      <c r="L410" s="1293"/>
      <c r="M410" s="1293"/>
      <c r="N410" s="1293"/>
      <c r="O410" s="1293"/>
      <c r="P410" s="1293"/>
      <c r="Q410" s="1293"/>
      <c r="R410" s="1293"/>
      <c r="S410" s="1293"/>
      <c r="T410" s="1293"/>
      <c r="U410" s="1293"/>
      <c r="V410" s="1293"/>
      <c r="W410" s="1293"/>
      <c r="X410" s="1293"/>
      <c r="Y410" s="1293"/>
      <c r="Z410" s="1293"/>
      <c r="AA410" s="1293"/>
      <c r="AB410" s="1293"/>
      <c r="AC410" s="1293"/>
      <c r="AD410" s="1293"/>
      <c r="AE410" s="1293"/>
      <c r="AF410" s="1293"/>
      <c r="AG410" s="1293"/>
      <c r="AH410" s="1293"/>
      <c r="AI410" s="1293"/>
      <c r="AJ410" s="1293"/>
      <c r="AK410" s="1293"/>
      <c r="AL410" s="1293"/>
      <c r="AM410" s="1293"/>
      <c r="AN410" s="1293"/>
      <c r="AO410" s="1293"/>
      <c r="AP410" s="1293"/>
      <c r="AQ410" s="1293"/>
      <c r="AR410" s="1293"/>
      <c r="AS410" s="1293"/>
      <c r="AT410" s="1293"/>
      <c r="AU410" s="1293"/>
      <c r="AV410" s="1293"/>
      <c r="AW410" s="1293"/>
      <c r="AX410" s="1293"/>
      <c r="AY410" s="1293"/>
      <c r="AZ410" s="1293"/>
      <c r="BA410" s="1293"/>
      <c r="BB410" s="1293"/>
      <c r="BC410" s="1293"/>
      <c r="BD410" s="1293"/>
      <c r="BE410" s="1293"/>
      <c r="BF410" s="1293"/>
      <c r="BG410" s="1293"/>
      <c r="BH410" s="1293"/>
      <c r="BI410" s="1293"/>
      <c r="BJ410" s="1293"/>
      <c r="BK410" s="1293"/>
      <c r="BL410" s="1293"/>
      <c r="BM410" s="1293"/>
      <c r="BN410" s="1293"/>
      <c r="BO410" s="1293"/>
      <c r="BP410" s="1293"/>
      <c r="BQ410" s="1293"/>
      <c r="BR410" s="1293"/>
      <c r="BS410" s="1293"/>
      <c r="BT410" s="1293"/>
      <c r="BU410" s="1293"/>
      <c r="BV410" s="1293"/>
      <c r="BW410" s="1293"/>
      <c r="BX410" s="1293"/>
      <c r="BY410" s="1293"/>
      <c r="BZ410" s="1293"/>
      <c r="CA410" s="1293"/>
      <c r="CB410" s="1293"/>
      <c r="CC410" s="1293"/>
      <c r="CD410" s="1293"/>
      <c r="CE410" s="1293"/>
      <c r="CF410" s="1293"/>
      <c r="CG410" s="1293"/>
    </row>
    <row r="411" spans="1:85" ht="15.75">
      <c r="A411" s="1293"/>
      <c r="B411" s="1293"/>
      <c r="C411" s="1293" t="str">
        <f t="shared" ref="C411:C418" si="335">C383</f>
        <v>El Salvador</v>
      </c>
      <c r="D411" s="1293"/>
      <c r="E411" s="1293"/>
      <c r="F411" s="1293"/>
      <c r="G411" s="1293"/>
      <c r="H411" s="1293"/>
      <c r="I411" s="1293"/>
      <c r="J411" s="1293"/>
      <c r="K411" s="1293"/>
      <c r="L411" s="1328">
        <f t="shared" ref="L411:M416" si="336">L383/L5</f>
        <v>0.16024926424685632</v>
      </c>
      <c r="M411" s="1328">
        <f t="shared" si="336"/>
        <v>0.163976855331641</v>
      </c>
      <c r="N411" s="1328">
        <f t="shared" ref="N411" si="337">N383/N5</f>
        <v>0.14437901328538497</v>
      </c>
      <c r="O411" s="2014">
        <v>0.14499999999999999</v>
      </c>
      <c r="P411" s="2014">
        <f t="shared" ref="P411:T412" si="338">O411</f>
        <v>0.14499999999999999</v>
      </c>
      <c r="Q411" s="2014">
        <v>0.14249999999999999</v>
      </c>
      <c r="R411" s="2014">
        <v>0.14000000000000001</v>
      </c>
      <c r="S411" s="2014">
        <v>0.13500000000000001</v>
      </c>
      <c r="T411" s="2014">
        <v>0.125</v>
      </c>
      <c r="U411" s="1293"/>
      <c r="V411" s="1293"/>
      <c r="W411" s="1293"/>
      <c r="X411" s="1293"/>
      <c r="Y411" s="1293"/>
      <c r="Z411" s="1293"/>
      <c r="AA411" s="1293"/>
      <c r="AB411" s="1293"/>
      <c r="AC411" s="1293"/>
      <c r="AD411" s="1293"/>
      <c r="AE411" s="1293"/>
      <c r="AF411" s="1293"/>
      <c r="AG411" s="1293"/>
      <c r="AH411" s="1293"/>
      <c r="AI411" s="1293"/>
      <c r="AJ411" s="1293"/>
      <c r="AK411" s="1293"/>
      <c r="AL411" s="1293"/>
      <c r="AM411" s="1293"/>
      <c r="AN411" s="1293"/>
      <c r="AO411" s="1293"/>
      <c r="AP411" s="1293"/>
      <c r="AQ411" s="1293"/>
      <c r="AR411" s="1293"/>
      <c r="AS411" s="1293"/>
      <c r="AT411" s="1293"/>
      <c r="AU411" s="1293"/>
      <c r="AV411" s="1293"/>
      <c r="AW411" s="1293"/>
      <c r="AX411" s="1293"/>
      <c r="AY411" s="1293"/>
      <c r="AZ411" s="1293"/>
      <c r="BA411" s="1293"/>
      <c r="BB411" s="1293"/>
      <c r="BC411" s="1293"/>
      <c r="BD411" s="1293"/>
      <c r="BE411" s="1293"/>
      <c r="BF411" s="1293"/>
      <c r="BG411" s="1293"/>
      <c r="BH411" s="1293"/>
      <c r="BI411" s="1293"/>
      <c r="BJ411" s="1293"/>
      <c r="BK411" s="1293"/>
      <c r="BL411" s="1293"/>
      <c r="BM411" s="1293"/>
      <c r="BN411" s="1293"/>
      <c r="BO411" s="1293"/>
      <c r="BP411" s="1293"/>
      <c r="BQ411" s="1293"/>
      <c r="BR411" s="1293"/>
      <c r="BS411" s="1293"/>
      <c r="BT411" s="1293"/>
      <c r="BU411" s="1293"/>
      <c r="BV411" s="1293"/>
      <c r="BW411" s="1293"/>
      <c r="BX411" s="1293"/>
      <c r="BY411" s="1293"/>
      <c r="BZ411" s="1293"/>
      <c r="CA411" s="1293"/>
      <c r="CB411" s="1293"/>
      <c r="CC411" s="1293"/>
      <c r="CD411" s="1293"/>
      <c r="CE411" s="1293"/>
      <c r="CF411" s="1293"/>
      <c r="CG411" s="1293"/>
    </row>
    <row r="412" spans="1:85" ht="15.75">
      <c r="A412" s="1293"/>
      <c r="B412" s="1293"/>
      <c r="C412" s="1293" t="str">
        <f t="shared" si="335"/>
        <v>Guatemala</v>
      </c>
      <c r="D412" s="1293"/>
      <c r="E412" s="1293"/>
      <c r="F412" s="1293"/>
      <c r="G412" s="1293"/>
      <c r="H412" s="1293"/>
      <c r="I412" s="1293"/>
      <c r="J412" s="1293"/>
      <c r="K412" s="1293"/>
      <c r="L412" s="1328">
        <f t="shared" si="336"/>
        <v>0.121725536720022</v>
      </c>
      <c r="M412" s="1328">
        <f t="shared" si="336"/>
        <v>0.11697307433236181</v>
      </c>
      <c r="N412" s="1328">
        <f t="shared" ref="N412" si="339">N384/N6</f>
        <v>0.10916954292022414</v>
      </c>
      <c r="O412" s="2014">
        <v>0.115</v>
      </c>
      <c r="P412" s="2014">
        <v>0.11</v>
      </c>
      <c r="Q412" s="2014">
        <f>P412</f>
        <v>0.11</v>
      </c>
      <c r="R412" s="2014">
        <f>Q412</f>
        <v>0.11</v>
      </c>
      <c r="S412" s="2014">
        <f t="shared" si="338"/>
        <v>0.11</v>
      </c>
      <c r="T412" s="2014">
        <f t="shared" si="338"/>
        <v>0.11</v>
      </c>
      <c r="U412" s="1293"/>
      <c r="V412" s="1293"/>
      <c r="W412" s="1293"/>
      <c r="X412" s="1293"/>
      <c r="Y412" s="1293"/>
      <c r="Z412" s="1293"/>
      <c r="AA412" s="1293"/>
      <c r="AB412" s="1293"/>
      <c r="AC412" s="1293"/>
      <c r="AD412" s="1293"/>
      <c r="AE412" s="1293"/>
      <c r="AF412" s="1293"/>
      <c r="AG412" s="1293"/>
      <c r="AH412" s="1293"/>
      <c r="AI412" s="1293"/>
      <c r="AJ412" s="1293"/>
      <c r="AK412" s="1293"/>
      <c r="AL412" s="1293"/>
      <c r="AM412" s="1293"/>
      <c r="AN412" s="1293"/>
      <c r="AO412" s="1293"/>
      <c r="AP412" s="1293"/>
      <c r="AQ412" s="1293"/>
      <c r="AR412" s="1293"/>
      <c r="AS412" s="1293"/>
      <c r="AT412" s="1293"/>
      <c r="AU412" s="1293"/>
      <c r="AV412" s="1293"/>
      <c r="AW412" s="1293"/>
      <c r="AX412" s="1293"/>
      <c r="AY412" s="1293"/>
      <c r="AZ412" s="1293"/>
      <c r="BA412" s="1293"/>
      <c r="BB412" s="1293"/>
      <c r="BC412" s="1293"/>
      <c r="BD412" s="1293"/>
      <c r="BE412" s="1293"/>
      <c r="BF412" s="1293"/>
      <c r="BG412" s="1293"/>
      <c r="BH412" s="1293"/>
      <c r="BI412" s="1293"/>
      <c r="BJ412" s="1293"/>
      <c r="BK412" s="1293"/>
      <c r="BL412" s="1293"/>
      <c r="BM412" s="1293"/>
      <c r="BN412" s="1293"/>
      <c r="BO412" s="1293"/>
      <c r="BP412" s="1293"/>
      <c r="BQ412" s="1293"/>
      <c r="BR412" s="1293"/>
      <c r="BS412" s="1293"/>
      <c r="BT412" s="1293"/>
      <c r="BU412" s="1293"/>
      <c r="BV412" s="1293"/>
      <c r="BW412" s="1293"/>
      <c r="BX412" s="1293"/>
      <c r="BY412" s="1293"/>
      <c r="BZ412" s="1293"/>
      <c r="CA412" s="1293"/>
      <c r="CB412" s="1293"/>
      <c r="CC412" s="1293"/>
      <c r="CD412" s="1293"/>
      <c r="CE412" s="1293"/>
      <c r="CF412" s="1293"/>
      <c r="CG412" s="1293"/>
    </row>
    <row r="413" spans="1:85" ht="15.75">
      <c r="A413" s="1293"/>
      <c r="B413" s="1293"/>
      <c r="C413" s="1293" t="str">
        <f t="shared" si="335"/>
        <v>Honduras (JV)</v>
      </c>
      <c r="D413" s="1293"/>
      <c r="E413" s="1293"/>
      <c r="F413" s="1293"/>
      <c r="G413" s="1293"/>
      <c r="H413" s="1293"/>
      <c r="I413" s="1293"/>
      <c r="J413" s="1293"/>
      <c r="K413" s="1293"/>
      <c r="L413" s="1328">
        <f t="shared" si="336"/>
        <v>0.13323539962079153</v>
      </c>
      <c r="M413" s="1328">
        <f t="shared" si="336"/>
        <v>0.16843771565751217</v>
      </c>
      <c r="N413" s="1328">
        <f t="shared" ref="N413" si="340">N385/N7</f>
        <v>0.12141120615719934</v>
      </c>
      <c r="O413" s="2014">
        <v>0.15</v>
      </c>
      <c r="P413" s="2014">
        <v>0.15</v>
      </c>
      <c r="Q413" s="2014">
        <v>0.14499999999999999</v>
      </c>
      <c r="R413" s="2014">
        <v>0.14000000000000001</v>
      </c>
      <c r="S413" s="2014">
        <v>0.13500000000000001</v>
      </c>
      <c r="T413" s="2014">
        <v>0.13</v>
      </c>
      <c r="U413" s="1293"/>
      <c r="V413" s="1293"/>
      <c r="W413" s="1293"/>
      <c r="X413" s="1293"/>
      <c r="Y413" s="1293"/>
      <c r="Z413" s="1293"/>
      <c r="AA413" s="1293"/>
      <c r="AB413" s="1293"/>
      <c r="AC413" s="1293"/>
      <c r="AD413" s="1293"/>
      <c r="AE413" s="1293"/>
      <c r="AF413" s="1293"/>
      <c r="AG413" s="1293"/>
      <c r="AH413" s="1293"/>
      <c r="AI413" s="1293"/>
      <c r="AJ413" s="1293"/>
      <c r="AK413" s="1293"/>
      <c r="AL413" s="1293"/>
      <c r="AM413" s="1293"/>
      <c r="AN413" s="1293"/>
      <c r="AO413" s="1293"/>
      <c r="AP413" s="1293"/>
      <c r="AQ413" s="1293"/>
      <c r="AR413" s="1293"/>
      <c r="AS413" s="1293"/>
      <c r="AT413" s="1293"/>
      <c r="AU413" s="1293"/>
      <c r="AV413" s="1293"/>
      <c r="AW413" s="1293"/>
      <c r="AX413" s="1293"/>
      <c r="AY413" s="1293"/>
      <c r="AZ413" s="1293"/>
      <c r="BA413" s="1293"/>
      <c r="BB413" s="1293"/>
      <c r="BC413" s="1293"/>
      <c r="BD413" s="1293"/>
      <c r="BE413" s="1293"/>
      <c r="BF413" s="1293"/>
      <c r="BG413" s="1293"/>
      <c r="BH413" s="1293"/>
      <c r="BI413" s="1293"/>
      <c r="BJ413" s="1293"/>
      <c r="BK413" s="1293"/>
      <c r="BL413" s="1293"/>
      <c r="BM413" s="1293"/>
      <c r="BN413" s="1293"/>
      <c r="BO413" s="1293"/>
      <c r="BP413" s="1293"/>
      <c r="BQ413" s="1293"/>
      <c r="BR413" s="1293"/>
      <c r="BS413" s="1293"/>
      <c r="BT413" s="1293"/>
      <c r="BU413" s="1293"/>
      <c r="BV413" s="1293"/>
      <c r="BW413" s="1293"/>
      <c r="BX413" s="1293"/>
      <c r="BY413" s="1293"/>
      <c r="BZ413" s="1293"/>
      <c r="CA413" s="1293"/>
      <c r="CB413" s="1293"/>
      <c r="CC413" s="1293"/>
      <c r="CD413" s="1293"/>
      <c r="CE413" s="1293"/>
      <c r="CF413" s="1293"/>
      <c r="CG413" s="1293"/>
    </row>
    <row r="414" spans="1:85" ht="15.75">
      <c r="A414" s="1293"/>
      <c r="B414" s="1293"/>
      <c r="C414" s="1293" t="str">
        <f t="shared" si="335"/>
        <v>Panama</v>
      </c>
      <c r="D414" s="1293"/>
      <c r="E414" s="1293"/>
      <c r="F414" s="1293"/>
      <c r="G414" s="1293"/>
      <c r="H414" s="1293"/>
      <c r="I414" s="1293"/>
      <c r="J414" s="1293"/>
      <c r="K414" s="1293"/>
      <c r="L414" s="1328">
        <f t="shared" si="336"/>
        <v>0.16275856731924665</v>
      </c>
      <c r="M414" s="1328">
        <f t="shared" si="336"/>
        <v>0.13904398086254263</v>
      </c>
      <c r="N414" s="1328">
        <f t="shared" ref="N414" si="341">N386/N8</f>
        <v>0.1270549988002567</v>
      </c>
      <c r="O414" s="2014">
        <v>0.13</v>
      </c>
      <c r="P414" s="2014">
        <v>0.12</v>
      </c>
      <c r="Q414" s="2014">
        <v>0.115</v>
      </c>
      <c r="R414" s="2014">
        <v>0.115</v>
      </c>
      <c r="S414" s="2014">
        <v>0.115</v>
      </c>
      <c r="T414" s="2014">
        <v>0.115</v>
      </c>
      <c r="U414" s="1293"/>
      <c r="V414" s="1293"/>
      <c r="W414" s="1293"/>
      <c r="X414" s="1293"/>
      <c r="Y414" s="1293"/>
      <c r="Z414" s="1293"/>
      <c r="AA414" s="1293"/>
      <c r="AB414" s="1293"/>
      <c r="AC414" s="1293"/>
      <c r="AD414" s="1293"/>
      <c r="AE414" s="1293"/>
      <c r="AF414" s="1293"/>
      <c r="AG414" s="1293"/>
      <c r="AH414" s="1293"/>
      <c r="AI414" s="1293"/>
      <c r="AJ414" s="1293"/>
      <c r="AK414" s="1293"/>
      <c r="AL414" s="1293"/>
      <c r="AM414" s="1293"/>
      <c r="AN414" s="1293"/>
      <c r="AO414" s="1293"/>
      <c r="AP414" s="1293"/>
      <c r="AQ414" s="1293"/>
      <c r="AR414" s="1293"/>
      <c r="AS414" s="1293"/>
      <c r="AT414" s="1293"/>
      <c r="AU414" s="1293"/>
      <c r="AV414" s="1293"/>
      <c r="AW414" s="1293"/>
      <c r="AX414" s="1293"/>
      <c r="AY414" s="1293"/>
      <c r="AZ414" s="1293"/>
      <c r="BA414" s="1293"/>
      <c r="BB414" s="1293"/>
      <c r="BC414" s="1293"/>
      <c r="BD414" s="1293"/>
      <c r="BE414" s="1293"/>
      <c r="BF414" s="1293"/>
      <c r="BG414" s="1293"/>
      <c r="BH414" s="1293"/>
      <c r="BI414" s="1293"/>
      <c r="BJ414" s="1293"/>
      <c r="BK414" s="1293"/>
      <c r="BL414" s="1293"/>
      <c r="BM414" s="1293"/>
      <c r="BN414" s="1293"/>
      <c r="BO414" s="1293"/>
      <c r="BP414" s="1293"/>
      <c r="BQ414" s="1293"/>
      <c r="BR414" s="1293"/>
      <c r="BS414" s="1293"/>
      <c r="BT414" s="1293"/>
      <c r="BU414" s="1293"/>
      <c r="BV414" s="1293"/>
      <c r="BW414" s="1293"/>
      <c r="BX414" s="1293"/>
      <c r="BY414" s="1293"/>
      <c r="BZ414" s="1293"/>
      <c r="CA414" s="1293"/>
      <c r="CB414" s="1293"/>
      <c r="CC414" s="1293"/>
      <c r="CD414" s="1293"/>
      <c r="CE414" s="1293"/>
      <c r="CF414" s="1293"/>
      <c r="CG414" s="1293"/>
    </row>
    <row r="415" spans="1:85" ht="15.75">
      <c r="A415" s="1293"/>
      <c r="B415" s="1293"/>
      <c r="C415" s="1293" t="str">
        <f t="shared" si="335"/>
        <v>Costa Rica</v>
      </c>
      <c r="D415" s="1293"/>
      <c r="E415" s="1293"/>
      <c r="F415" s="1293"/>
      <c r="G415" s="1293"/>
      <c r="H415" s="1293"/>
      <c r="I415" s="1293"/>
      <c r="J415" s="1293"/>
      <c r="K415" s="1293"/>
      <c r="L415" s="1328">
        <f t="shared" si="336"/>
        <v>0.16024926424685632</v>
      </c>
      <c r="M415" s="1328">
        <f t="shared" si="336"/>
        <v>0.163976855331641</v>
      </c>
      <c r="N415" s="1328">
        <f t="shared" ref="N415" si="342">N387/N9</f>
        <v>0.14437901328538494</v>
      </c>
      <c r="O415" s="2014">
        <f t="shared" ref="O415:O416" si="343">N415</f>
        <v>0.14437901328538494</v>
      </c>
      <c r="P415" s="2014">
        <v>0.13500000000000001</v>
      </c>
      <c r="Q415" s="2014">
        <v>0.13250000000000001</v>
      </c>
      <c r="R415" s="2014">
        <v>0.13</v>
      </c>
      <c r="S415" s="2014">
        <v>0.125</v>
      </c>
      <c r="T415" s="2014">
        <v>0.12</v>
      </c>
      <c r="U415" s="1293"/>
      <c r="V415" s="1293"/>
      <c r="W415" s="1293"/>
      <c r="X415" s="1293"/>
      <c r="Y415" s="1293"/>
      <c r="Z415" s="1293"/>
      <c r="AA415" s="1293"/>
      <c r="AB415" s="1293"/>
      <c r="AC415" s="1293"/>
      <c r="AD415" s="1293"/>
      <c r="AE415" s="1293"/>
      <c r="AF415" s="1293"/>
      <c r="AG415" s="1293"/>
      <c r="AH415" s="1293"/>
      <c r="AI415" s="1293"/>
      <c r="AJ415" s="1293"/>
      <c r="AK415" s="1293"/>
      <c r="AL415" s="1293"/>
      <c r="AM415" s="1293"/>
      <c r="AN415" s="1293"/>
      <c r="AO415" s="1293"/>
      <c r="AP415" s="1293"/>
      <c r="AQ415" s="1293"/>
      <c r="AR415" s="1293"/>
      <c r="AS415" s="1293"/>
      <c r="AT415" s="1293"/>
      <c r="AU415" s="1293"/>
      <c r="AV415" s="1293"/>
      <c r="AW415" s="1293"/>
      <c r="AX415" s="1293"/>
      <c r="AY415" s="1293"/>
      <c r="AZ415" s="1293"/>
      <c r="BA415" s="1293"/>
      <c r="BB415" s="1293"/>
      <c r="BC415" s="1293"/>
      <c r="BD415" s="1293"/>
      <c r="BE415" s="1293"/>
      <c r="BF415" s="1293"/>
      <c r="BG415" s="1293"/>
      <c r="BH415" s="1293"/>
      <c r="BI415" s="1293"/>
      <c r="BJ415" s="1293"/>
      <c r="BK415" s="1293"/>
      <c r="BL415" s="1293"/>
      <c r="BM415" s="1293"/>
      <c r="BN415" s="1293"/>
      <c r="BO415" s="1293"/>
      <c r="BP415" s="1293"/>
      <c r="BQ415" s="1293"/>
      <c r="BR415" s="1293"/>
      <c r="BS415" s="1293"/>
      <c r="BT415" s="1293"/>
      <c r="BU415" s="1293"/>
      <c r="BV415" s="1293"/>
      <c r="BW415" s="1293"/>
      <c r="BX415" s="1293"/>
      <c r="BY415" s="1293"/>
      <c r="BZ415" s="1293"/>
      <c r="CA415" s="1293"/>
      <c r="CB415" s="1293"/>
      <c r="CC415" s="1293"/>
      <c r="CD415" s="1293"/>
      <c r="CE415" s="1293"/>
      <c r="CF415" s="1293"/>
      <c r="CG415" s="1293"/>
    </row>
    <row r="416" spans="1:85" ht="15.75">
      <c r="A416" s="1293"/>
      <c r="B416" s="1293"/>
      <c r="C416" s="1293" t="str">
        <f t="shared" si="335"/>
        <v>Nicaragua</v>
      </c>
      <c r="D416" s="1293"/>
      <c r="E416" s="1293"/>
      <c r="F416" s="1293"/>
      <c r="G416" s="1293"/>
      <c r="H416" s="1293"/>
      <c r="I416" s="1293"/>
      <c r="J416" s="1293"/>
      <c r="K416" s="1293"/>
      <c r="L416" s="1328">
        <f t="shared" si="336"/>
        <v>0.16024926424685634</v>
      </c>
      <c r="M416" s="1328">
        <f t="shared" si="336"/>
        <v>0.163976855331641</v>
      </c>
      <c r="N416" s="1328">
        <f t="shared" ref="N416" si="344">N388/N10</f>
        <v>0.14437901328538494</v>
      </c>
      <c r="O416" s="2014">
        <f t="shared" si="343"/>
        <v>0.14437901328538494</v>
      </c>
      <c r="P416" s="2014">
        <v>0.13500000000000001</v>
      </c>
      <c r="Q416" s="2014">
        <v>0.13250000000000001</v>
      </c>
      <c r="R416" s="2014">
        <v>0.13</v>
      </c>
      <c r="S416" s="2014">
        <v>0.125</v>
      </c>
      <c r="T416" s="2014">
        <v>0.12</v>
      </c>
      <c r="U416" s="1293"/>
      <c r="V416" s="1293"/>
      <c r="W416" s="1293"/>
      <c r="X416" s="1293"/>
      <c r="Y416" s="1293"/>
      <c r="Z416" s="1293"/>
      <c r="AA416" s="1293"/>
      <c r="AB416" s="1293"/>
      <c r="AC416" s="1293"/>
      <c r="AD416" s="1293"/>
      <c r="AE416" s="1293"/>
      <c r="AF416" s="1293"/>
      <c r="AG416" s="1293"/>
      <c r="AH416" s="1293"/>
      <c r="AI416" s="1293"/>
      <c r="AJ416" s="1293"/>
      <c r="AK416" s="1293"/>
      <c r="AL416" s="1293"/>
      <c r="AM416" s="1293"/>
      <c r="AN416" s="1293"/>
      <c r="AO416" s="1293"/>
      <c r="AP416" s="1293"/>
      <c r="AQ416" s="1293"/>
      <c r="AR416" s="1293"/>
      <c r="AS416" s="1293"/>
      <c r="AT416" s="1293"/>
      <c r="AU416" s="1293"/>
      <c r="AV416" s="1293"/>
      <c r="AW416" s="1293"/>
      <c r="AX416" s="1293"/>
      <c r="AY416" s="1293"/>
      <c r="AZ416" s="1293"/>
      <c r="BA416" s="1293"/>
      <c r="BB416" s="1293"/>
      <c r="BC416" s="1293"/>
      <c r="BD416" s="1293"/>
      <c r="BE416" s="1293"/>
      <c r="BF416" s="1293"/>
      <c r="BG416" s="1293"/>
      <c r="BH416" s="1293"/>
      <c r="BI416" s="1293"/>
      <c r="BJ416" s="1293"/>
      <c r="BK416" s="1293"/>
      <c r="BL416" s="1293"/>
      <c r="BM416" s="1293"/>
      <c r="BN416" s="1293"/>
      <c r="BO416" s="1293"/>
      <c r="BP416" s="1293"/>
      <c r="BQ416" s="1293"/>
      <c r="BR416" s="1293"/>
      <c r="BS416" s="1293"/>
      <c r="BT416" s="1293"/>
      <c r="BU416" s="1293"/>
      <c r="BV416" s="1293"/>
      <c r="BW416" s="1293"/>
      <c r="BX416" s="1293"/>
      <c r="BY416" s="1293"/>
      <c r="BZ416" s="1293"/>
      <c r="CA416" s="1293"/>
      <c r="CB416" s="1293"/>
      <c r="CC416" s="1293"/>
      <c r="CD416" s="1293"/>
      <c r="CE416" s="1293"/>
      <c r="CF416" s="1293"/>
      <c r="CG416" s="1293"/>
    </row>
    <row r="417" spans="1:85" ht="15.75">
      <c r="A417" s="1293"/>
      <c r="B417" s="1293"/>
      <c r="C417" s="1293" t="str">
        <f t="shared" si="335"/>
        <v>El Salvador/Nicaragua/Costa Rica</v>
      </c>
      <c r="D417" s="1293"/>
      <c r="E417" s="1293"/>
      <c r="F417" s="1293"/>
      <c r="G417" s="1293"/>
      <c r="H417" s="1293"/>
      <c r="I417" s="1293"/>
      <c r="J417" s="1293"/>
      <c r="K417" s="1293"/>
      <c r="L417" s="1328">
        <f t="shared" ref="L417:T417" si="345">L389/(L5+L9+L10)</f>
        <v>0.16024926424685632</v>
      </c>
      <c r="M417" s="1328">
        <f t="shared" si="345"/>
        <v>0.163976855331641</v>
      </c>
      <c r="N417" s="1328">
        <f t="shared" ref="N417" si="346">N389/(N5+N9+N10)</f>
        <v>0.14437901328538494</v>
      </c>
      <c r="O417" s="1328">
        <f t="shared" si="345"/>
        <v>0.1447164993010174</v>
      </c>
      <c r="P417" s="1328">
        <f t="shared" si="345"/>
        <v>0.140507247250034</v>
      </c>
      <c r="Q417" s="1328">
        <f t="shared" si="345"/>
        <v>0.13805002219385795</v>
      </c>
      <c r="R417" s="1328">
        <f t="shared" si="345"/>
        <v>0.13559128193705397</v>
      </c>
      <c r="S417" s="1328">
        <f t="shared" si="345"/>
        <v>0.13063197633448823</v>
      </c>
      <c r="T417" s="1328">
        <f t="shared" si="345"/>
        <v>0.12284016500965116</v>
      </c>
      <c r="U417" s="1293"/>
      <c r="V417" s="1293"/>
      <c r="W417" s="1293"/>
      <c r="X417" s="1293"/>
      <c r="Y417" s="1293"/>
      <c r="Z417" s="1293"/>
      <c r="AA417" s="1293"/>
      <c r="AB417" s="1293"/>
      <c r="AC417" s="1293"/>
      <c r="AD417" s="1293"/>
      <c r="AE417" s="1293"/>
      <c r="AF417" s="1293"/>
      <c r="AG417" s="1293"/>
      <c r="AH417" s="1293"/>
      <c r="AI417" s="1293"/>
      <c r="AJ417" s="1293"/>
      <c r="AK417" s="1293"/>
      <c r="AL417" s="1293"/>
      <c r="AM417" s="1293"/>
      <c r="AN417" s="1293"/>
      <c r="AO417" s="1293"/>
      <c r="AP417" s="1293"/>
      <c r="AQ417" s="1293"/>
      <c r="AR417" s="1293"/>
      <c r="AS417" s="1293"/>
      <c r="AT417" s="1293"/>
      <c r="AU417" s="1293"/>
      <c r="AV417" s="1293"/>
      <c r="AW417" s="1293"/>
      <c r="AX417" s="1293"/>
      <c r="AY417" s="1293"/>
      <c r="AZ417" s="1293"/>
      <c r="BA417" s="1293"/>
      <c r="BB417" s="1293"/>
      <c r="BC417" s="1293"/>
      <c r="BD417" s="1293"/>
      <c r="BE417" s="1293"/>
      <c r="BF417" s="1293"/>
      <c r="BG417" s="1293"/>
      <c r="BH417" s="1293"/>
      <c r="BI417" s="1293"/>
      <c r="BJ417" s="1293"/>
      <c r="BK417" s="1293"/>
      <c r="BL417" s="1293"/>
      <c r="BM417" s="1293"/>
      <c r="BN417" s="1293"/>
      <c r="BO417" s="1293"/>
      <c r="BP417" s="1293"/>
      <c r="BQ417" s="1293"/>
      <c r="BR417" s="1293"/>
      <c r="BS417" s="1293"/>
      <c r="BT417" s="1293"/>
      <c r="BU417" s="1293"/>
      <c r="BV417" s="1293"/>
      <c r="BW417" s="1293"/>
      <c r="BX417" s="1293"/>
      <c r="BY417" s="1293"/>
      <c r="BZ417" s="1293"/>
      <c r="CA417" s="1293"/>
      <c r="CB417" s="1293"/>
      <c r="CC417" s="1293"/>
      <c r="CD417" s="1293"/>
      <c r="CE417" s="1293"/>
      <c r="CF417" s="1293"/>
      <c r="CG417" s="1293"/>
    </row>
    <row r="418" spans="1:85" ht="15.75">
      <c r="A418" s="1293"/>
      <c r="B418" s="1293"/>
      <c r="C418" s="1375" t="str">
        <f t="shared" si="335"/>
        <v>Central America</v>
      </c>
      <c r="D418" s="1375"/>
      <c r="E418" s="1375"/>
      <c r="F418" s="1375"/>
      <c r="G418" s="1375"/>
      <c r="H418" s="1375"/>
      <c r="I418" s="1375"/>
      <c r="J418" s="1375"/>
      <c r="K418" s="1375"/>
      <c r="L418" s="2020">
        <f t="shared" ref="L418:T418" si="347">L390/L16</f>
        <v>0.16577101344029219</v>
      </c>
      <c r="M418" s="2020">
        <f t="shared" si="347"/>
        <v>0.16759640300457043</v>
      </c>
      <c r="N418" s="2020">
        <f t="shared" ref="N418" si="348">N390/N16</f>
        <v>0.14605008760255361</v>
      </c>
      <c r="O418" s="2020">
        <f t="shared" si="347"/>
        <v>0.15405264912110303</v>
      </c>
      <c r="P418" s="2020">
        <f t="shared" si="347"/>
        <v>0.14808158452231385</v>
      </c>
      <c r="Q418" s="2020">
        <f t="shared" si="347"/>
        <v>0.145267039428123</v>
      </c>
      <c r="R418" s="2020">
        <f t="shared" si="347"/>
        <v>0.14366860858262176</v>
      </c>
      <c r="S418" s="2020">
        <f t="shared" si="347"/>
        <v>0.14137390833350949</v>
      </c>
      <c r="T418" s="2020">
        <f t="shared" si="347"/>
        <v>0.13836788228194977</v>
      </c>
      <c r="U418" s="1293"/>
      <c r="V418" s="1293"/>
      <c r="W418" s="1293"/>
      <c r="X418" s="1293"/>
      <c r="Y418" s="1293"/>
      <c r="Z418" s="1293"/>
      <c r="AA418" s="1293"/>
      <c r="AB418" s="1293"/>
      <c r="AC418" s="1293"/>
      <c r="AD418" s="1293"/>
      <c r="AE418" s="1293"/>
      <c r="AF418" s="1293"/>
      <c r="AG418" s="1293"/>
      <c r="AH418" s="1293"/>
      <c r="AI418" s="1293"/>
      <c r="AJ418" s="1293"/>
      <c r="AK418" s="1293"/>
      <c r="AL418" s="1293"/>
      <c r="AM418" s="1293"/>
      <c r="AN418" s="1293"/>
      <c r="AO418" s="1293"/>
      <c r="AP418" s="1293"/>
      <c r="AQ418" s="1293"/>
      <c r="AR418" s="1293"/>
      <c r="AS418" s="1293"/>
      <c r="AT418" s="1293"/>
      <c r="AU418" s="1293"/>
      <c r="AV418" s="1293"/>
      <c r="AW418" s="1293"/>
      <c r="AX418" s="1293"/>
      <c r="AY418" s="1293"/>
      <c r="AZ418" s="1293"/>
      <c r="BA418" s="1293"/>
      <c r="BB418" s="1293"/>
      <c r="BC418" s="1293"/>
      <c r="BD418" s="1293"/>
      <c r="BE418" s="1293"/>
      <c r="BF418" s="1293"/>
      <c r="BG418" s="1293"/>
      <c r="BH418" s="1293"/>
      <c r="BI418" s="1293"/>
      <c r="BJ418" s="1293"/>
      <c r="BK418" s="1293"/>
      <c r="BL418" s="1293"/>
      <c r="BM418" s="1293"/>
      <c r="BN418" s="1293"/>
      <c r="BO418" s="1293"/>
      <c r="BP418" s="1293"/>
      <c r="BQ418" s="1293"/>
      <c r="BR418" s="1293"/>
      <c r="BS418" s="1293"/>
      <c r="BT418" s="1293"/>
      <c r="BU418" s="1293"/>
      <c r="BV418" s="1293"/>
      <c r="BW418" s="1293"/>
      <c r="BX418" s="1293"/>
      <c r="BY418" s="1293"/>
      <c r="BZ418" s="1293"/>
      <c r="CA418" s="1293"/>
      <c r="CB418" s="1293"/>
      <c r="CC418" s="1293"/>
      <c r="CD418" s="1293"/>
      <c r="CE418" s="1293"/>
      <c r="CF418" s="1293"/>
      <c r="CG418" s="1293"/>
    </row>
    <row r="419" spans="1:85" ht="15.75">
      <c r="A419" s="1293"/>
      <c r="B419" s="1293"/>
      <c r="C419" s="1293"/>
      <c r="D419" s="1293"/>
      <c r="E419" s="1293"/>
      <c r="F419" s="1293"/>
      <c r="G419" s="1293"/>
      <c r="H419" s="1293"/>
      <c r="I419" s="1293"/>
      <c r="J419" s="1293"/>
      <c r="K419" s="1293"/>
      <c r="L419" s="1328"/>
      <c r="M419" s="1328"/>
      <c r="N419" s="1328"/>
      <c r="O419" s="1328"/>
      <c r="P419" s="1328"/>
      <c r="Q419" s="1328"/>
      <c r="R419" s="1328"/>
      <c r="S419" s="1328"/>
      <c r="T419" s="1328"/>
      <c r="U419" s="1293"/>
      <c r="V419" s="1293"/>
      <c r="W419" s="1293"/>
      <c r="X419" s="1293"/>
      <c r="Y419" s="1293"/>
      <c r="Z419" s="1293"/>
      <c r="AA419" s="1293"/>
      <c r="AB419" s="1293"/>
      <c r="AC419" s="1293"/>
      <c r="AD419" s="1293"/>
      <c r="AE419" s="1293"/>
      <c r="AF419" s="1293"/>
      <c r="AG419" s="1293"/>
      <c r="AH419" s="1293"/>
      <c r="AI419" s="1293"/>
      <c r="AJ419" s="1293"/>
      <c r="AK419" s="1293"/>
      <c r="AL419" s="1293"/>
      <c r="AM419" s="1293"/>
      <c r="AN419" s="1293"/>
      <c r="AO419" s="1293"/>
      <c r="AP419" s="1293"/>
      <c r="AQ419" s="1293"/>
      <c r="AR419" s="1293"/>
      <c r="AS419" s="1293"/>
      <c r="AT419" s="1293"/>
      <c r="AU419" s="1293"/>
      <c r="AV419" s="1293"/>
      <c r="AW419" s="1293"/>
      <c r="AX419" s="1293"/>
      <c r="AY419" s="1293"/>
      <c r="AZ419" s="1293"/>
      <c r="BA419" s="1293"/>
      <c r="BB419" s="1293"/>
      <c r="BC419" s="1293"/>
      <c r="BD419" s="1293"/>
      <c r="BE419" s="1293"/>
      <c r="BF419" s="1293"/>
      <c r="BG419" s="1293"/>
      <c r="BH419" s="1293"/>
      <c r="BI419" s="1293"/>
      <c r="BJ419" s="1293"/>
      <c r="BK419" s="1293"/>
      <c r="BL419" s="1293"/>
      <c r="BM419" s="1293"/>
      <c r="BN419" s="1293"/>
      <c r="BO419" s="1293"/>
      <c r="BP419" s="1293"/>
      <c r="BQ419" s="1293"/>
      <c r="BR419" s="1293"/>
      <c r="BS419" s="1293"/>
      <c r="BT419" s="1293"/>
      <c r="BU419" s="1293"/>
      <c r="BV419" s="1293"/>
      <c r="BW419" s="1293"/>
      <c r="BX419" s="1293"/>
      <c r="BY419" s="1293"/>
      <c r="BZ419" s="1293"/>
      <c r="CA419" s="1293"/>
      <c r="CB419" s="1293"/>
      <c r="CC419" s="1293"/>
      <c r="CD419" s="1293"/>
      <c r="CE419" s="1293"/>
      <c r="CF419" s="1293"/>
      <c r="CG419" s="1293"/>
    </row>
    <row r="420" spans="1:85" ht="15.75">
      <c r="A420" s="1293"/>
      <c r="B420" s="1293"/>
      <c r="C420" s="1293" t="str">
        <f>C392</f>
        <v>Bolivia</v>
      </c>
      <c r="D420" s="1293"/>
      <c r="E420" s="1293"/>
      <c r="F420" s="1293"/>
      <c r="G420" s="1293"/>
      <c r="H420" s="1293"/>
      <c r="I420" s="1293"/>
      <c r="J420" s="1293"/>
      <c r="K420" s="1293"/>
      <c r="L420" s="1328">
        <f t="shared" ref="L420:M422" si="349">L392/L19</f>
        <v>0.19957188611526888</v>
      </c>
      <c r="M420" s="1328">
        <f t="shared" si="349"/>
        <v>0.15011364581990605</v>
      </c>
      <c r="N420" s="1328">
        <f t="shared" ref="N420" si="350">N392/N19</f>
        <v>0.11898663160744581</v>
      </c>
      <c r="O420" s="2014">
        <v>0.14000000000000001</v>
      </c>
      <c r="P420" s="2014">
        <v>0.12</v>
      </c>
      <c r="Q420" s="2014">
        <v>0.12</v>
      </c>
      <c r="R420" s="2014">
        <v>0.12</v>
      </c>
      <c r="S420" s="2014">
        <v>0.12</v>
      </c>
      <c r="T420" s="2014">
        <v>0.12</v>
      </c>
      <c r="U420" s="1293"/>
      <c r="V420" s="1293"/>
      <c r="W420" s="1293"/>
      <c r="X420" s="1293"/>
      <c r="Y420" s="1293"/>
      <c r="Z420" s="1293"/>
      <c r="AA420" s="1293"/>
      <c r="AB420" s="1293"/>
      <c r="AC420" s="1293"/>
      <c r="AD420" s="1293"/>
      <c r="AE420" s="1293"/>
      <c r="AF420" s="1293"/>
      <c r="AG420" s="1293"/>
      <c r="AH420" s="1293"/>
      <c r="AI420" s="1293"/>
      <c r="AJ420" s="1293"/>
      <c r="AK420" s="1293"/>
      <c r="AL420" s="1293"/>
      <c r="AM420" s="1293"/>
      <c r="AN420" s="1293"/>
      <c r="AO420" s="1293"/>
      <c r="AP420" s="1293"/>
      <c r="AQ420" s="1293"/>
      <c r="AR420" s="1293"/>
      <c r="AS420" s="1293"/>
      <c r="AT420" s="1293"/>
      <c r="AU420" s="1293"/>
      <c r="AV420" s="1293"/>
      <c r="AW420" s="1293"/>
      <c r="AX420" s="1293"/>
      <c r="AY420" s="1293"/>
      <c r="AZ420" s="1293"/>
      <c r="BA420" s="1293"/>
      <c r="BB420" s="1293"/>
      <c r="BC420" s="1293"/>
      <c r="BD420" s="1293"/>
      <c r="BE420" s="1293"/>
      <c r="BF420" s="1293"/>
      <c r="BG420" s="1293"/>
      <c r="BH420" s="1293"/>
      <c r="BI420" s="1293"/>
      <c r="BJ420" s="1293"/>
      <c r="BK420" s="1293"/>
      <c r="BL420" s="1293"/>
      <c r="BM420" s="1293"/>
      <c r="BN420" s="1293"/>
      <c r="BO420" s="1293"/>
      <c r="BP420" s="1293"/>
      <c r="BQ420" s="1293"/>
      <c r="BR420" s="1293"/>
      <c r="BS420" s="1293"/>
      <c r="BT420" s="1293"/>
      <c r="BU420" s="1293"/>
      <c r="BV420" s="1293"/>
      <c r="BW420" s="1293"/>
      <c r="BX420" s="1293"/>
      <c r="BY420" s="1293"/>
      <c r="BZ420" s="1293"/>
      <c r="CA420" s="1293"/>
      <c r="CB420" s="1293"/>
      <c r="CC420" s="1293"/>
      <c r="CD420" s="1293"/>
      <c r="CE420" s="1293"/>
      <c r="CF420" s="1293"/>
      <c r="CG420" s="1293"/>
    </row>
    <row r="421" spans="1:85" ht="15.75">
      <c r="A421" s="1293"/>
      <c r="B421" s="1293"/>
      <c r="C421" s="1293" t="str">
        <f>C393</f>
        <v>Colombia</v>
      </c>
      <c r="D421" s="1293"/>
      <c r="E421" s="1293"/>
      <c r="F421" s="1293"/>
      <c r="G421" s="1293"/>
      <c r="H421" s="1293"/>
      <c r="I421" s="1293"/>
      <c r="J421" s="1293"/>
      <c r="K421" s="1293"/>
      <c r="L421" s="1328">
        <f t="shared" si="349"/>
        <v>0.20736016289375972</v>
      </c>
      <c r="M421" s="1328">
        <f t="shared" si="349"/>
        <v>0.12258653010070369</v>
      </c>
      <c r="N421" s="1328">
        <f t="shared" ref="N421" si="351">N393/N20</f>
        <v>0.1043444159904629</v>
      </c>
      <c r="O421" s="2014">
        <v>0.115</v>
      </c>
      <c r="P421" s="2014">
        <v>0.11</v>
      </c>
      <c r="Q421" s="2014">
        <v>0.105</v>
      </c>
      <c r="R421" s="2014">
        <v>0.105</v>
      </c>
      <c r="S421" s="2014">
        <v>0.105</v>
      </c>
      <c r="T421" s="2014">
        <v>0.105</v>
      </c>
      <c r="U421" s="1293"/>
      <c r="V421" s="1293"/>
      <c r="W421" s="1293"/>
      <c r="X421" s="1293"/>
      <c r="Y421" s="1293"/>
      <c r="Z421" s="1293"/>
      <c r="AA421" s="1293"/>
      <c r="AB421" s="1293"/>
      <c r="AC421" s="1293"/>
      <c r="AD421" s="1293"/>
      <c r="AE421" s="1293"/>
      <c r="AF421" s="1293"/>
      <c r="AG421" s="1293"/>
      <c r="AH421" s="1293"/>
      <c r="AI421" s="1293"/>
      <c r="AJ421" s="1293"/>
      <c r="AK421" s="1293"/>
      <c r="AL421" s="1293"/>
      <c r="AM421" s="1293"/>
      <c r="AN421" s="1293"/>
      <c r="AO421" s="1293"/>
      <c r="AP421" s="1293"/>
      <c r="AQ421" s="1293"/>
      <c r="AR421" s="1293"/>
      <c r="AS421" s="1293"/>
      <c r="AT421" s="1293"/>
      <c r="AU421" s="1293"/>
      <c r="AV421" s="1293"/>
      <c r="AW421" s="1293"/>
      <c r="AX421" s="1293"/>
      <c r="AY421" s="1293"/>
      <c r="AZ421" s="1293"/>
      <c r="BA421" s="1293"/>
      <c r="BB421" s="1293"/>
      <c r="BC421" s="1293"/>
      <c r="BD421" s="1293"/>
      <c r="BE421" s="1293"/>
      <c r="BF421" s="1293"/>
      <c r="BG421" s="1293"/>
      <c r="BH421" s="1293"/>
      <c r="BI421" s="1293"/>
      <c r="BJ421" s="1293"/>
      <c r="BK421" s="1293"/>
      <c r="BL421" s="1293"/>
      <c r="BM421" s="1293"/>
      <c r="BN421" s="1293"/>
      <c r="BO421" s="1293"/>
      <c r="BP421" s="1293"/>
      <c r="BQ421" s="1293"/>
      <c r="BR421" s="1293"/>
      <c r="BS421" s="1293"/>
      <c r="BT421" s="1293"/>
      <c r="BU421" s="1293"/>
      <c r="BV421" s="1293"/>
      <c r="BW421" s="1293"/>
      <c r="BX421" s="1293"/>
      <c r="BY421" s="1293"/>
      <c r="BZ421" s="1293"/>
      <c r="CA421" s="1293"/>
      <c r="CB421" s="1293"/>
      <c r="CC421" s="1293"/>
      <c r="CD421" s="1293"/>
      <c r="CE421" s="1293"/>
      <c r="CF421" s="1293"/>
      <c r="CG421" s="1293"/>
    </row>
    <row r="422" spans="1:85" ht="15.75">
      <c r="A422" s="1293"/>
      <c r="B422" s="1293"/>
      <c r="C422" s="1293" t="str">
        <f>C394</f>
        <v>Paraguay</v>
      </c>
      <c r="D422" s="1293"/>
      <c r="E422" s="1293"/>
      <c r="F422" s="1293"/>
      <c r="G422" s="1293"/>
      <c r="H422" s="1293"/>
      <c r="I422" s="1293"/>
      <c r="J422" s="1293"/>
      <c r="K422" s="1293"/>
      <c r="L422" s="1328">
        <f t="shared" si="349"/>
        <v>0.19222823060201571</v>
      </c>
      <c r="M422" s="1328">
        <f t="shared" si="349"/>
        <v>0.17064095910774127</v>
      </c>
      <c r="N422" s="1328">
        <f t="shared" ref="N422" si="352">N394/N21</f>
        <v>0.1289139944914334</v>
      </c>
      <c r="O422" s="2014">
        <v>0.13500000000000001</v>
      </c>
      <c r="P422" s="2014">
        <v>0.13500000000000001</v>
      </c>
      <c r="Q422" s="2014">
        <v>0.13250000000000001</v>
      </c>
      <c r="R422" s="2014">
        <v>0.13</v>
      </c>
      <c r="S422" s="2014">
        <v>0.125</v>
      </c>
      <c r="T422" s="2014">
        <v>0.12</v>
      </c>
      <c r="U422" s="1293"/>
      <c r="V422" s="1293"/>
      <c r="W422" s="1293"/>
      <c r="X422" s="1293"/>
      <c r="Y422" s="1293"/>
      <c r="Z422" s="1293"/>
      <c r="AA422" s="1293"/>
      <c r="AB422" s="1293"/>
      <c r="AC422" s="1293"/>
      <c r="AD422" s="1293"/>
      <c r="AE422" s="1293"/>
      <c r="AF422" s="1293"/>
      <c r="AG422" s="1293"/>
      <c r="AH422" s="1293"/>
      <c r="AI422" s="1293"/>
      <c r="AJ422" s="1293"/>
      <c r="AK422" s="1293"/>
      <c r="AL422" s="1293"/>
      <c r="AM422" s="1293"/>
      <c r="AN422" s="1293"/>
      <c r="AO422" s="1293"/>
      <c r="AP422" s="1293"/>
      <c r="AQ422" s="1293"/>
      <c r="AR422" s="1293"/>
      <c r="AS422" s="1293"/>
      <c r="AT422" s="1293"/>
      <c r="AU422" s="1293"/>
      <c r="AV422" s="1293"/>
      <c r="AW422" s="1293"/>
      <c r="AX422" s="1293"/>
      <c r="AY422" s="1293"/>
      <c r="AZ422" s="1293"/>
      <c r="BA422" s="1293"/>
      <c r="BB422" s="1293"/>
      <c r="BC422" s="1293"/>
      <c r="BD422" s="1293"/>
      <c r="BE422" s="1293"/>
      <c r="BF422" s="1293"/>
      <c r="BG422" s="1293"/>
      <c r="BH422" s="1293"/>
      <c r="BI422" s="1293"/>
      <c r="BJ422" s="1293"/>
      <c r="BK422" s="1293"/>
      <c r="BL422" s="1293"/>
      <c r="BM422" s="1293"/>
      <c r="BN422" s="1293"/>
      <c r="BO422" s="1293"/>
      <c r="BP422" s="1293"/>
      <c r="BQ422" s="1293"/>
      <c r="BR422" s="1293"/>
      <c r="BS422" s="1293"/>
      <c r="BT422" s="1293"/>
      <c r="BU422" s="1293"/>
      <c r="BV422" s="1293"/>
      <c r="BW422" s="1293"/>
      <c r="BX422" s="1293"/>
      <c r="BY422" s="1293"/>
      <c r="BZ422" s="1293"/>
      <c r="CA422" s="1293"/>
      <c r="CB422" s="1293"/>
      <c r="CC422" s="1293"/>
      <c r="CD422" s="1293"/>
      <c r="CE422" s="1293"/>
      <c r="CF422" s="1293"/>
      <c r="CG422" s="1293"/>
    </row>
    <row r="423" spans="1:85" ht="15.75">
      <c r="A423" s="1293"/>
      <c r="B423" s="1293"/>
      <c r="C423" s="1375" t="str">
        <f>C395</f>
        <v>South America</v>
      </c>
      <c r="D423" s="1375"/>
      <c r="E423" s="1375"/>
      <c r="F423" s="1375"/>
      <c r="G423" s="1375"/>
      <c r="H423" s="1375"/>
      <c r="I423" s="1375"/>
      <c r="J423" s="1375"/>
      <c r="K423" s="1375"/>
      <c r="L423" s="2020">
        <f t="shared" ref="L423:T423" si="353">L395/L23</f>
        <v>0.20208449359535363</v>
      </c>
      <c r="M423" s="2020">
        <f t="shared" si="353"/>
        <v>0.14029900523996741</v>
      </c>
      <c r="N423" s="2020">
        <f t="shared" ref="N423" si="354">N395/N23</f>
        <v>0.11324135027105235</v>
      </c>
      <c r="O423" s="2020">
        <f t="shared" si="353"/>
        <v>0.12285302210506835</v>
      </c>
      <c r="P423" s="2020">
        <f t="shared" si="353"/>
        <v>0.11742940005985011</v>
      </c>
      <c r="Q423" s="2020">
        <f t="shared" si="353"/>
        <v>0.11366615422033707</v>
      </c>
      <c r="R423" s="2020">
        <f t="shared" si="353"/>
        <v>0.11304549321148818</v>
      </c>
      <c r="S423" s="2020">
        <f t="shared" si="353"/>
        <v>0.11179923550768521</v>
      </c>
      <c r="T423" s="2020">
        <f t="shared" si="353"/>
        <v>0.11056164924080547</v>
      </c>
      <c r="U423" s="1293"/>
      <c r="V423" s="1293"/>
      <c r="W423" s="1293"/>
      <c r="X423" s="1293"/>
      <c r="Y423" s="1293"/>
      <c r="Z423" s="1293"/>
      <c r="AA423" s="1293"/>
      <c r="AB423" s="1293"/>
      <c r="AC423" s="1293"/>
      <c r="AD423" s="1293"/>
      <c r="AE423" s="1293"/>
      <c r="AF423" s="1293"/>
      <c r="AG423" s="1293"/>
      <c r="AH423" s="1293"/>
      <c r="AI423" s="1293"/>
      <c r="AJ423" s="1293"/>
      <c r="AK423" s="1293"/>
      <c r="AL423" s="1293"/>
      <c r="AM423" s="1293"/>
      <c r="AN423" s="1293"/>
      <c r="AO423" s="1293"/>
      <c r="AP423" s="1293"/>
      <c r="AQ423" s="1293"/>
      <c r="AR423" s="1293"/>
      <c r="AS423" s="1293"/>
      <c r="AT423" s="1293"/>
      <c r="AU423" s="1293"/>
      <c r="AV423" s="1293"/>
      <c r="AW423" s="1293"/>
      <c r="AX423" s="1293"/>
      <c r="AY423" s="1293"/>
      <c r="AZ423" s="1293"/>
      <c r="BA423" s="1293"/>
      <c r="BB423" s="1293"/>
      <c r="BC423" s="1293"/>
      <c r="BD423" s="1293"/>
      <c r="BE423" s="1293"/>
      <c r="BF423" s="1293"/>
      <c r="BG423" s="1293"/>
      <c r="BH423" s="1293"/>
      <c r="BI423" s="1293"/>
      <c r="BJ423" s="1293"/>
      <c r="BK423" s="1293"/>
      <c r="BL423" s="1293"/>
      <c r="BM423" s="1293"/>
      <c r="BN423" s="1293"/>
      <c r="BO423" s="1293"/>
      <c r="BP423" s="1293"/>
      <c r="BQ423" s="1293"/>
      <c r="BR423" s="1293"/>
      <c r="BS423" s="1293"/>
      <c r="BT423" s="1293"/>
      <c r="BU423" s="1293"/>
      <c r="BV423" s="1293"/>
      <c r="BW423" s="1293"/>
      <c r="BX423" s="1293"/>
      <c r="BY423" s="1293"/>
      <c r="BZ423" s="1293"/>
      <c r="CA423" s="1293"/>
      <c r="CB423" s="1293"/>
      <c r="CC423" s="1293"/>
      <c r="CD423" s="1293"/>
      <c r="CE423" s="1293"/>
      <c r="CF423" s="1293"/>
      <c r="CG423" s="1293"/>
    </row>
    <row r="424" spans="1:85" ht="15.75">
      <c r="A424" s="1293"/>
      <c r="B424" s="1293"/>
      <c r="C424" s="1293"/>
      <c r="D424" s="1293"/>
      <c r="E424" s="1293"/>
      <c r="F424" s="1293"/>
      <c r="G424" s="1293"/>
      <c r="H424" s="1293"/>
      <c r="I424" s="1293"/>
      <c r="J424" s="1293"/>
      <c r="K424" s="1293"/>
      <c r="L424" s="1293"/>
      <c r="M424" s="1293"/>
      <c r="N424" s="1293"/>
      <c r="O424" s="1293"/>
      <c r="P424" s="1293"/>
      <c r="Q424" s="1293"/>
      <c r="R424" s="1293"/>
      <c r="S424" s="1293"/>
      <c r="T424" s="1293"/>
      <c r="U424" s="1293"/>
      <c r="V424" s="1293"/>
      <c r="W424" s="1293"/>
      <c r="X424" s="1293"/>
      <c r="Y424" s="1293"/>
      <c r="Z424" s="1293"/>
      <c r="AA424" s="1293"/>
      <c r="AB424" s="1293"/>
      <c r="AC424" s="1293"/>
      <c r="AD424" s="1293"/>
      <c r="AE424" s="1293"/>
      <c r="AF424" s="1293"/>
      <c r="AG424" s="1293"/>
      <c r="AH424" s="1293"/>
      <c r="AI424" s="1293"/>
      <c r="AJ424" s="1293"/>
      <c r="AK424" s="1293"/>
      <c r="AL424" s="1293"/>
      <c r="AM424" s="1293"/>
      <c r="AN424" s="1293"/>
      <c r="AO424" s="1293"/>
      <c r="AP424" s="1293"/>
      <c r="AQ424" s="1293"/>
      <c r="AR424" s="1293"/>
      <c r="AS424" s="1293"/>
      <c r="AT424" s="1293"/>
      <c r="AU424" s="1293"/>
      <c r="AV424" s="1293"/>
      <c r="AW424" s="1293"/>
      <c r="AX424" s="1293"/>
      <c r="AY424" s="1293"/>
      <c r="AZ424" s="1293"/>
      <c r="BA424" s="1293"/>
      <c r="BB424" s="1293"/>
      <c r="BC424" s="1293"/>
      <c r="BD424" s="1293"/>
      <c r="BE424" s="1293"/>
      <c r="BF424" s="1293"/>
      <c r="BG424" s="1293"/>
      <c r="BH424" s="1293"/>
      <c r="BI424" s="1293"/>
      <c r="BJ424" s="1293"/>
      <c r="BK424" s="1293"/>
      <c r="BL424" s="1293"/>
      <c r="BM424" s="1293"/>
      <c r="BN424" s="1293"/>
      <c r="BO424" s="1293"/>
      <c r="BP424" s="1293"/>
      <c r="BQ424" s="1293"/>
      <c r="BR424" s="1293"/>
      <c r="BS424" s="1293"/>
      <c r="BT424" s="1293"/>
      <c r="BU424" s="1293"/>
      <c r="BV424" s="1293"/>
      <c r="BW424" s="1293"/>
      <c r="BX424" s="1293"/>
      <c r="BY424" s="1293"/>
      <c r="BZ424" s="1293"/>
      <c r="CA424" s="1293"/>
      <c r="CB424" s="1293"/>
      <c r="CC424" s="1293"/>
      <c r="CD424" s="1293"/>
      <c r="CE424" s="1293"/>
      <c r="CF424" s="1293"/>
      <c r="CG424" s="1293"/>
    </row>
    <row r="425" spans="1:85" ht="15.75">
      <c r="A425" s="1293"/>
      <c r="B425" s="1293"/>
      <c r="C425" s="1334" t="s">
        <v>2324</v>
      </c>
      <c r="D425" s="1334"/>
      <c r="E425" s="1334"/>
      <c r="F425" s="1334"/>
      <c r="G425" s="1334"/>
      <c r="H425" s="1334"/>
      <c r="I425" s="1334"/>
      <c r="J425" s="1334"/>
      <c r="K425" s="1334"/>
      <c r="L425" s="1716">
        <f t="shared" ref="L425:T425" si="355">L398/L35</f>
        <v>0.17299223223984936</v>
      </c>
      <c r="M425" s="1716">
        <f t="shared" si="355"/>
        <v>0.1429076134958488</v>
      </c>
      <c r="N425" s="1716">
        <f t="shared" ref="N425" si="356">N398/N35</f>
        <v>0.11663848506283109</v>
      </c>
      <c r="O425" s="1716">
        <f t="shared" si="355"/>
        <v>0.12313070887897405</v>
      </c>
      <c r="P425" s="1716">
        <f t="shared" si="355"/>
        <v>0.11746633152508749</v>
      </c>
      <c r="Q425" s="1716">
        <f t="shared" si="355"/>
        <v>0.11492010455257654</v>
      </c>
      <c r="R425" s="1716">
        <f t="shared" si="355"/>
        <v>0.11426953673276741</v>
      </c>
      <c r="S425" s="1716">
        <f t="shared" si="355"/>
        <v>0.11299979515757964</v>
      </c>
      <c r="T425" s="1716">
        <f t="shared" si="355"/>
        <v>0.11127855545412775</v>
      </c>
      <c r="U425" s="1293"/>
      <c r="V425" s="1293"/>
      <c r="W425" s="1293"/>
      <c r="X425" s="1293"/>
      <c r="Y425" s="1293"/>
      <c r="Z425" s="1293"/>
      <c r="AA425" s="1293"/>
      <c r="AB425" s="1293"/>
      <c r="AC425" s="1293"/>
      <c r="AD425" s="1293"/>
      <c r="AE425" s="1293"/>
      <c r="AF425" s="1293"/>
      <c r="AG425" s="1293"/>
      <c r="AH425" s="1293"/>
      <c r="AI425" s="1293"/>
      <c r="AJ425" s="1293"/>
      <c r="AK425" s="1293"/>
      <c r="AL425" s="1293"/>
      <c r="AM425" s="1293"/>
      <c r="AN425" s="1293"/>
      <c r="AO425" s="1293"/>
      <c r="AP425" s="1293"/>
      <c r="AQ425" s="1293"/>
      <c r="AR425" s="1293"/>
      <c r="AS425" s="1293"/>
      <c r="AT425" s="1293"/>
      <c r="AU425" s="1293"/>
      <c r="AV425" s="1293"/>
      <c r="AW425" s="1293"/>
      <c r="AX425" s="1293"/>
      <c r="AY425" s="1293"/>
      <c r="AZ425" s="1293"/>
      <c r="BA425" s="1293"/>
      <c r="BB425" s="1293"/>
      <c r="BC425" s="1293"/>
      <c r="BD425" s="1293"/>
      <c r="BE425" s="1293"/>
      <c r="BF425" s="1293"/>
      <c r="BG425" s="1293"/>
      <c r="BH425" s="1293"/>
      <c r="BI425" s="1293"/>
      <c r="BJ425" s="1293"/>
      <c r="BK425" s="1293"/>
      <c r="BL425" s="1293"/>
      <c r="BM425" s="1293"/>
      <c r="BN425" s="1293"/>
      <c r="BO425" s="1293"/>
      <c r="BP425" s="1293"/>
      <c r="BQ425" s="1293"/>
      <c r="BR425" s="1293"/>
      <c r="BS425" s="1293"/>
      <c r="BT425" s="1293"/>
      <c r="BU425" s="1293"/>
      <c r="BV425" s="1293"/>
      <c r="BW425" s="1293"/>
      <c r="BX425" s="1293"/>
      <c r="BY425" s="1293"/>
      <c r="BZ425" s="1293"/>
      <c r="CA425" s="1293"/>
      <c r="CB425" s="1293"/>
      <c r="CC425" s="1293"/>
      <c r="CD425" s="1293"/>
      <c r="CE425" s="1293"/>
      <c r="CF425" s="1293"/>
      <c r="CG425" s="1293"/>
    </row>
    <row r="426" spans="1:85" ht="15.75">
      <c r="A426" s="1293"/>
      <c r="B426" s="1293"/>
      <c r="C426" s="1334" t="s">
        <v>9188</v>
      </c>
      <c r="D426" s="1334"/>
      <c r="E426" s="1334"/>
      <c r="F426" s="1334"/>
      <c r="G426" s="1334"/>
      <c r="H426" s="1334"/>
      <c r="I426" s="1334"/>
      <c r="J426" s="1334"/>
      <c r="K426" s="1334"/>
      <c r="L426" s="1716">
        <f t="shared" ref="L426:M426" si="357">L403/L35</f>
        <v>0.20766179574115523</v>
      </c>
      <c r="M426" s="1716">
        <f t="shared" si="357"/>
        <v>0.21462639109697934</v>
      </c>
      <c r="N426" s="1716">
        <f>N403/N35</f>
        <v>0.1378298198674518</v>
      </c>
      <c r="O426" s="1716">
        <f t="shared" ref="O426:T426" si="358">O403/O35</f>
        <v>0.14123368140262338</v>
      </c>
      <c r="P426" s="1716">
        <f t="shared" si="358"/>
        <v>0.13531374449281885</v>
      </c>
      <c r="Q426" s="1716">
        <f t="shared" si="358"/>
        <v>0.13247240046080505</v>
      </c>
      <c r="R426" s="1716">
        <f t="shared" si="358"/>
        <v>0.13151500618408421</v>
      </c>
      <c r="S426" s="1716">
        <f t="shared" si="358"/>
        <v>0.13000067835862555</v>
      </c>
      <c r="T426" s="1716">
        <f t="shared" si="358"/>
        <v>0.12807961495746562</v>
      </c>
      <c r="U426" s="1293"/>
      <c r="V426" s="1293"/>
      <c r="W426" s="1293"/>
      <c r="X426" s="1293"/>
      <c r="Y426" s="1293"/>
      <c r="Z426" s="1293"/>
      <c r="AA426" s="1293"/>
      <c r="AB426" s="1293"/>
      <c r="AC426" s="1293"/>
      <c r="AD426" s="1293"/>
      <c r="AE426" s="1293"/>
      <c r="AF426" s="1293"/>
      <c r="AG426" s="1293"/>
      <c r="AH426" s="1293"/>
      <c r="AI426" s="1293"/>
      <c r="AJ426" s="1293"/>
      <c r="AK426" s="1293"/>
      <c r="AL426" s="1293"/>
      <c r="AM426" s="1293"/>
      <c r="AN426" s="1293"/>
      <c r="AO426" s="1293"/>
      <c r="AP426" s="1293"/>
      <c r="AQ426" s="1293"/>
      <c r="AR426" s="1293"/>
      <c r="AS426" s="1293"/>
      <c r="AT426" s="1293"/>
      <c r="AU426" s="1293"/>
      <c r="AV426" s="1293"/>
      <c r="AW426" s="1293"/>
      <c r="AX426" s="1293"/>
      <c r="AY426" s="1293"/>
      <c r="AZ426" s="1293"/>
      <c r="BA426" s="1293"/>
      <c r="BB426" s="1293"/>
      <c r="BC426" s="1293"/>
      <c r="BD426" s="1293"/>
      <c r="BE426" s="1293"/>
      <c r="BF426" s="1293"/>
      <c r="BG426" s="1293"/>
      <c r="BH426" s="1293"/>
      <c r="BI426" s="1293"/>
      <c r="BJ426" s="1293"/>
      <c r="BK426" s="1293"/>
      <c r="BL426" s="1293"/>
      <c r="BM426" s="1293"/>
      <c r="BN426" s="1293"/>
      <c r="BO426" s="1293"/>
      <c r="BP426" s="1293"/>
      <c r="BQ426" s="1293"/>
      <c r="BR426" s="1293"/>
      <c r="BS426" s="1293"/>
      <c r="BT426" s="1293"/>
      <c r="BU426" s="1293"/>
      <c r="BV426" s="1293"/>
      <c r="BW426" s="1293"/>
      <c r="BX426" s="1293"/>
      <c r="BY426" s="1293"/>
      <c r="BZ426" s="1293"/>
      <c r="CA426" s="1293"/>
      <c r="CB426" s="1293"/>
      <c r="CC426" s="1293"/>
      <c r="CD426" s="1293"/>
      <c r="CE426" s="1293"/>
      <c r="CF426" s="1293"/>
      <c r="CG426" s="1293"/>
    </row>
    <row r="427" spans="1:85" ht="15.75">
      <c r="A427" s="1293"/>
      <c r="B427" s="1293"/>
      <c r="C427" s="1293"/>
      <c r="D427" s="1293"/>
      <c r="E427" s="1293"/>
      <c r="F427" s="1293"/>
      <c r="G427" s="1293"/>
      <c r="H427" s="1293"/>
      <c r="I427" s="1293"/>
      <c r="J427" s="1293"/>
      <c r="K427" s="1293"/>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c r="AH427" s="1293"/>
      <c r="AI427" s="1293"/>
      <c r="AJ427" s="1293"/>
      <c r="AK427" s="1293"/>
      <c r="AL427" s="1293"/>
      <c r="AM427" s="1293"/>
      <c r="AN427" s="1293"/>
      <c r="AO427" s="1293"/>
      <c r="AP427" s="1293"/>
      <c r="AQ427" s="1293"/>
      <c r="AR427" s="1293"/>
      <c r="AS427" s="1293"/>
      <c r="AT427" s="1293"/>
      <c r="AU427" s="1293"/>
      <c r="AV427" s="1293"/>
      <c r="AW427" s="1293"/>
      <c r="AX427" s="1293"/>
      <c r="AY427" s="1293"/>
      <c r="AZ427" s="1293"/>
      <c r="BA427" s="1293"/>
      <c r="BB427" s="1293"/>
      <c r="BC427" s="1293"/>
      <c r="BD427" s="1293"/>
      <c r="BE427" s="1293"/>
      <c r="BF427" s="1293"/>
      <c r="BG427" s="1293"/>
      <c r="BH427" s="1293"/>
      <c r="BI427" s="1293"/>
      <c r="BJ427" s="1293"/>
      <c r="BK427" s="1293"/>
      <c r="BL427" s="1293"/>
      <c r="BM427" s="1293"/>
      <c r="BN427" s="1293"/>
      <c r="BO427" s="1293"/>
      <c r="BP427" s="1293"/>
      <c r="BQ427" s="1293"/>
      <c r="BR427" s="1293"/>
      <c r="BS427" s="1293"/>
      <c r="BT427" s="1293"/>
      <c r="BU427" s="1293"/>
      <c r="BV427" s="1293"/>
      <c r="BW427" s="1293"/>
      <c r="BX427" s="1293"/>
      <c r="BY427" s="1293"/>
      <c r="BZ427" s="1293"/>
      <c r="CA427" s="1293"/>
      <c r="CB427" s="1293"/>
      <c r="CC427" s="1293"/>
      <c r="CD427" s="1293"/>
      <c r="CE427" s="1293"/>
      <c r="CF427" s="1293"/>
      <c r="CG427" s="1293"/>
    </row>
    <row r="428" spans="1:85" ht="15.75">
      <c r="A428" s="1293"/>
      <c r="B428" s="1293"/>
      <c r="C428" s="1293"/>
      <c r="D428" s="1293"/>
      <c r="E428" s="1293"/>
      <c r="F428" s="1293"/>
      <c r="G428" s="1293"/>
      <c r="H428" s="1293"/>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c r="AI428" s="1293"/>
      <c r="AJ428" s="1293"/>
      <c r="AK428" s="1293"/>
      <c r="AL428" s="1293"/>
      <c r="AM428" s="1293"/>
      <c r="AN428" s="1293"/>
      <c r="AO428" s="1293"/>
      <c r="AP428" s="1293"/>
      <c r="AQ428" s="1293"/>
      <c r="AR428" s="1293"/>
      <c r="AS428" s="1293"/>
      <c r="AT428" s="1293"/>
      <c r="AU428" s="1293"/>
      <c r="AV428" s="1293"/>
      <c r="AW428" s="1293"/>
      <c r="AX428" s="1293"/>
      <c r="AY428" s="1293"/>
      <c r="AZ428" s="1293"/>
      <c r="BA428" s="1293"/>
      <c r="BB428" s="1293"/>
      <c r="BC428" s="1293"/>
      <c r="BD428" s="1293"/>
      <c r="BE428" s="1293"/>
      <c r="BF428" s="1293"/>
      <c r="BG428" s="1293"/>
      <c r="BH428" s="1293"/>
      <c r="BI428" s="1293"/>
      <c r="BJ428" s="1293"/>
      <c r="BK428" s="1293"/>
      <c r="BL428" s="1293"/>
      <c r="BM428" s="1293"/>
      <c r="BN428" s="1293"/>
      <c r="BO428" s="1293"/>
      <c r="BP428" s="1293"/>
      <c r="BQ428" s="1293"/>
      <c r="BR428" s="1293"/>
      <c r="BS428" s="1293"/>
      <c r="BT428" s="1293"/>
      <c r="BU428" s="1293"/>
      <c r="BV428" s="1293"/>
      <c r="BW428" s="1293"/>
      <c r="BX428" s="1293"/>
      <c r="BY428" s="1293"/>
      <c r="BZ428" s="1293"/>
      <c r="CA428" s="1293"/>
      <c r="CB428" s="1293"/>
      <c r="CC428" s="1293"/>
      <c r="CD428" s="1293"/>
      <c r="CE428" s="1293"/>
      <c r="CF428" s="1293"/>
      <c r="CG428" s="1293"/>
    </row>
    <row r="429" spans="1:85" ht="15.75">
      <c r="A429" s="1293"/>
      <c r="B429" s="1293"/>
      <c r="C429" s="1293"/>
      <c r="D429" s="1293"/>
      <c r="E429" s="1293"/>
      <c r="F429" s="1293"/>
      <c r="G429" s="1293"/>
      <c r="H429" s="1293"/>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c r="AH429" s="1293"/>
      <c r="AI429" s="1293"/>
      <c r="AJ429" s="1293"/>
      <c r="AK429" s="1293"/>
      <c r="AL429" s="1293"/>
      <c r="AM429" s="1293"/>
      <c r="AN429" s="1293"/>
      <c r="AO429" s="1293"/>
      <c r="AP429" s="1293"/>
      <c r="AQ429" s="1293"/>
      <c r="AR429" s="1293"/>
      <c r="AS429" s="1293"/>
      <c r="AT429" s="1293"/>
      <c r="AU429" s="1293"/>
      <c r="AV429" s="1293"/>
      <c r="AW429" s="1293"/>
      <c r="AX429" s="1293"/>
      <c r="AY429" s="1293"/>
      <c r="AZ429" s="1293"/>
      <c r="BA429" s="1293"/>
      <c r="BB429" s="1293"/>
      <c r="BC429" s="1293"/>
      <c r="BD429" s="1293"/>
      <c r="BE429" s="1293"/>
      <c r="BF429" s="1293"/>
      <c r="BG429" s="1293"/>
      <c r="BH429" s="1293"/>
      <c r="BI429" s="1293"/>
      <c r="BJ429" s="1293"/>
      <c r="BK429" s="1293"/>
      <c r="BL429" s="1293"/>
      <c r="BM429" s="1293"/>
      <c r="BN429" s="1293"/>
      <c r="BO429" s="1293"/>
      <c r="BP429" s="1293"/>
      <c r="BQ429" s="1293"/>
      <c r="BR429" s="1293"/>
      <c r="BS429" s="1293"/>
      <c r="BT429" s="1293"/>
      <c r="BU429" s="1293"/>
      <c r="BV429" s="1293"/>
      <c r="BW429" s="1293"/>
      <c r="BX429" s="1293"/>
      <c r="BY429" s="1293"/>
      <c r="BZ429" s="1293"/>
      <c r="CA429" s="1293"/>
      <c r="CB429" s="1293"/>
      <c r="CC429" s="1293"/>
      <c r="CD429" s="1293"/>
      <c r="CE429" s="1293"/>
      <c r="CF429" s="1293"/>
      <c r="CG429" s="1293"/>
    </row>
    <row r="430" spans="1:85" ht="15.75" outlineLevel="1">
      <c r="A430" s="1293"/>
      <c r="B430" s="1293"/>
      <c r="C430" s="1982" t="s">
        <v>5881</v>
      </c>
      <c r="D430" s="1698">
        <f>'New (new) quarts'!G409</f>
        <v>394.13894637922505</v>
      </c>
      <c r="E430" s="1698">
        <f>'New (new) quarts'!L409</f>
        <v>367.03691282025505</v>
      </c>
      <c r="F430" s="1698">
        <f>'New (new) quarts'!Q409</f>
        <v>344.88905752316475</v>
      </c>
      <c r="G430" s="1698">
        <f>'New (new) quarts'!V409</f>
        <v>312</v>
      </c>
      <c r="H430" s="1698">
        <f>'New (new) quarts'!AA409</f>
        <v>295</v>
      </c>
      <c r="I430" s="1698">
        <f>'New (new) quarts'!AJ409-I434-I435</f>
        <v>327.57717671663835</v>
      </c>
      <c r="J430" s="1698">
        <f>'New (new) quarts'!AO409-J434-J435</f>
        <v>278.84251915717573</v>
      </c>
      <c r="K430" s="1698">
        <f>'New (new) quarts'!AT409-K434-K435</f>
        <v>-202.68377278580493</v>
      </c>
      <c r="L430" s="1885">
        <v>350</v>
      </c>
      <c r="M430" s="1885">
        <v>272</v>
      </c>
      <c r="N430" s="1698">
        <f t="shared" ref="N430:T430" si="359">N442*N17</f>
        <v>295.54360000000003</v>
      </c>
      <c r="O430" s="1698">
        <f t="shared" si="359"/>
        <v>240.02917379661918</v>
      </c>
      <c r="P430" s="1698">
        <f t="shared" si="359"/>
        <v>257.69037030131733</v>
      </c>
      <c r="Q430" s="1698">
        <f t="shared" si="359"/>
        <v>276.43095264936579</v>
      </c>
      <c r="R430" s="1698">
        <f t="shared" si="359"/>
        <v>308.61125217276077</v>
      </c>
      <c r="S430" s="1698">
        <f t="shared" si="359"/>
        <v>314.72107139377084</v>
      </c>
      <c r="T430" s="1698">
        <f t="shared" si="359"/>
        <v>320.31467303756767</v>
      </c>
      <c r="U430" s="1293"/>
      <c r="V430" s="1293"/>
      <c r="W430" s="1293"/>
      <c r="X430" s="1293"/>
      <c r="Y430" s="1293"/>
      <c r="Z430" s="1293"/>
      <c r="AA430" s="1293"/>
      <c r="AB430" s="1293"/>
      <c r="AC430" s="1293"/>
      <c r="AD430" s="1293"/>
      <c r="AE430" s="1293"/>
      <c r="AF430" s="1293"/>
      <c r="AG430" s="1293"/>
      <c r="AH430" s="1293"/>
      <c r="AI430" s="1293"/>
      <c r="AJ430" s="1293"/>
      <c r="AK430" s="1293"/>
      <c r="AL430" s="1293"/>
      <c r="AM430" s="1293"/>
      <c r="AN430" s="1293"/>
      <c r="AO430" s="1293"/>
      <c r="AP430" s="1293"/>
      <c r="AQ430" s="1293"/>
      <c r="AR430" s="1293"/>
      <c r="AS430" s="1293"/>
      <c r="AT430" s="1293"/>
      <c r="AU430" s="1293"/>
      <c r="AV430" s="1293"/>
      <c r="AW430" s="1293"/>
      <c r="AX430" s="1293"/>
      <c r="AY430" s="1293"/>
      <c r="AZ430" s="1293"/>
      <c r="BA430" s="1293"/>
      <c r="BB430" s="1293"/>
      <c r="BC430" s="1293"/>
      <c r="BD430" s="1293"/>
      <c r="BE430" s="1293"/>
      <c r="BF430" s="1293"/>
      <c r="BG430" s="1293"/>
      <c r="BH430" s="1293"/>
      <c r="BI430" s="1293"/>
      <c r="BJ430" s="1293"/>
      <c r="BK430" s="1293"/>
      <c r="BL430" s="1293"/>
      <c r="BM430" s="1293"/>
      <c r="BN430" s="1293"/>
      <c r="BO430" s="1293"/>
      <c r="BP430" s="1293"/>
      <c r="BQ430" s="1293"/>
      <c r="BR430" s="1293"/>
      <c r="BS430" s="1293"/>
      <c r="BT430" s="1293"/>
      <c r="BU430" s="1293"/>
      <c r="BV430" s="1293"/>
      <c r="BW430" s="1293"/>
      <c r="BX430" s="1293"/>
      <c r="BY430" s="1293"/>
      <c r="BZ430" s="1293"/>
      <c r="CA430" s="1293"/>
      <c r="CB430" s="1293"/>
      <c r="CC430" s="1293"/>
      <c r="CD430" s="1293"/>
      <c r="CE430" s="1293"/>
      <c r="CF430" s="1293"/>
      <c r="CG430" s="1293"/>
    </row>
    <row r="431" spans="1:85" ht="15.75" outlineLevel="1">
      <c r="A431" s="1293"/>
      <c r="B431" s="1293"/>
      <c r="C431" s="1982" t="s">
        <v>870</v>
      </c>
      <c r="D431" s="1698">
        <f>'New (new) quarts'!G410-D432</f>
        <v>176.52001498254458</v>
      </c>
      <c r="E431" s="1698">
        <f ca="1">'New (new) quarts'!L410-E432</f>
        <v>246.76474064351493</v>
      </c>
      <c r="F431" s="1698">
        <f ca="1">'New (new) quarts'!Q410-F432</f>
        <v>195.08916653307875</v>
      </c>
      <c r="G431" s="1698">
        <f>'New (new) quarts'!V410-G432</f>
        <v>298.49034225686211</v>
      </c>
      <c r="H431" s="1698">
        <f>'New (new) quarts'!AA410-H432</f>
        <v>349.41781431997259</v>
      </c>
      <c r="I431" s="1698">
        <f ca="1">'New (new) quarts'!AJ410-I432</f>
        <v>280.10283883935449</v>
      </c>
      <c r="J431" s="1698">
        <f ca="1">'New (new) quarts'!AO410-J432</f>
        <v>251.80398090943339</v>
      </c>
      <c r="K431" s="1698">
        <f ca="1">'New (new) quarts'!AT410-K432</f>
        <v>848.66005466998524</v>
      </c>
      <c r="L431" s="1698">
        <f>L437-L430-L432-L433-L434-L435</f>
        <v>148.08883847349387</v>
      </c>
      <c r="M431" s="1698">
        <f t="shared" ref="M431:T431" si="360">M443*(M23-M20)</f>
        <v>153.57082000000003</v>
      </c>
      <c r="N431" s="1698">
        <f t="shared" si="360"/>
        <v>117.20262000000002</v>
      </c>
      <c r="O431" s="1698">
        <f t="shared" si="360"/>
        <v>79.260388042103102</v>
      </c>
      <c r="P431" s="1698">
        <f t="shared" si="360"/>
        <v>84.34991278531254</v>
      </c>
      <c r="Q431" s="1698">
        <f t="shared" si="360"/>
        <v>94.009683134250409</v>
      </c>
      <c r="R431" s="1698">
        <f t="shared" si="360"/>
        <v>99.826936304482714</v>
      </c>
      <c r="S431" s="1698">
        <f t="shared" si="360"/>
        <v>101.10959633038193</v>
      </c>
      <c r="T431" s="1698">
        <f t="shared" si="360"/>
        <v>102.08526641721593</v>
      </c>
      <c r="U431" s="1293"/>
      <c r="V431" s="1293"/>
      <c r="W431" s="1293"/>
      <c r="X431" s="1293"/>
      <c r="Y431" s="1293"/>
      <c r="Z431" s="1293"/>
      <c r="AA431" s="1293"/>
      <c r="AB431" s="1293"/>
      <c r="AC431" s="1293"/>
      <c r="AD431" s="1293"/>
      <c r="AE431" s="1293"/>
      <c r="AF431" s="1293"/>
      <c r="AG431" s="1293"/>
      <c r="AH431" s="1293"/>
      <c r="AI431" s="1293"/>
      <c r="AJ431" s="1293"/>
      <c r="AK431" s="1293"/>
      <c r="AL431" s="1293"/>
      <c r="AM431" s="1293"/>
      <c r="AN431" s="1293"/>
      <c r="AO431" s="1293"/>
      <c r="AP431" s="1293"/>
      <c r="AQ431" s="1293"/>
      <c r="AR431" s="1293"/>
      <c r="AS431" s="1293"/>
      <c r="AT431" s="1293"/>
      <c r="AU431" s="1293"/>
      <c r="AV431" s="1293"/>
      <c r="AW431" s="1293"/>
      <c r="AX431" s="1293"/>
      <c r="AY431" s="1293"/>
      <c r="AZ431" s="1293"/>
      <c r="BA431" s="1293"/>
      <c r="BB431" s="1293"/>
      <c r="BC431" s="1293"/>
      <c r="BD431" s="1293"/>
      <c r="BE431" s="1293"/>
      <c r="BF431" s="1293"/>
      <c r="BG431" s="1293"/>
      <c r="BH431" s="1293"/>
      <c r="BI431" s="1293"/>
      <c r="BJ431" s="1293"/>
      <c r="BK431" s="1293"/>
      <c r="BL431" s="1293"/>
      <c r="BM431" s="1293"/>
      <c r="BN431" s="1293"/>
      <c r="BO431" s="1293"/>
      <c r="BP431" s="1293"/>
      <c r="BQ431" s="1293"/>
      <c r="BR431" s="1293"/>
      <c r="BS431" s="1293"/>
      <c r="BT431" s="1293"/>
      <c r="BU431" s="1293"/>
      <c r="BV431" s="1293"/>
      <c r="BW431" s="1293"/>
      <c r="BX431" s="1293"/>
      <c r="BY431" s="1293"/>
      <c r="BZ431" s="1293"/>
      <c r="CA431" s="1293"/>
      <c r="CB431" s="1293"/>
      <c r="CC431" s="1293"/>
      <c r="CD431" s="1293"/>
      <c r="CE431" s="1293"/>
      <c r="CF431" s="1293"/>
      <c r="CG431" s="1293"/>
    </row>
    <row r="432" spans="1:85" ht="15.75" outlineLevel="1">
      <c r="A432" s="1293"/>
      <c r="B432" s="1293"/>
      <c r="C432" s="1982" t="s">
        <v>1665</v>
      </c>
      <c r="D432" s="2021">
        <v>322</v>
      </c>
      <c r="E432" s="2021">
        <f ca="1">Colombia!L285</f>
        <v>430.64914054758805</v>
      </c>
      <c r="F432" s="2021">
        <f ca="1">Colombia!M285</f>
        <v>326.55639154550062</v>
      </c>
      <c r="G432" s="2021">
        <f>Colombia!N285</f>
        <v>296.50965774313789</v>
      </c>
      <c r="H432" s="2021">
        <f>Colombia!O285</f>
        <v>307.98218568002738</v>
      </c>
      <c r="I432" s="2021">
        <f ca="1">Colombia!P285</f>
        <v>285.89716116064551</v>
      </c>
      <c r="J432" s="2021">
        <f ca="1">Colombia!Q285</f>
        <v>230.19601909056661</v>
      </c>
      <c r="K432" s="2021">
        <f ca="1">Colombia!R285</f>
        <v>262.33994533001476</v>
      </c>
      <c r="L432" s="2021">
        <v>270</v>
      </c>
      <c r="M432" s="2021">
        <v>199</v>
      </c>
      <c r="N432" s="2021">
        <v>155</v>
      </c>
      <c r="O432" s="2021">
        <v>150</v>
      </c>
      <c r="P432" s="2021">
        <v>150</v>
      </c>
      <c r="Q432" s="2021">
        <v>150</v>
      </c>
      <c r="R432" s="2021">
        <v>150</v>
      </c>
      <c r="S432" s="2021">
        <v>150</v>
      </c>
      <c r="T432" s="2021">
        <v>150</v>
      </c>
      <c r="U432" s="1293"/>
      <c r="V432" s="1293"/>
      <c r="W432" s="1293"/>
      <c r="X432" s="1293"/>
      <c r="Y432" s="1293"/>
      <c r="Z432" s="1293"/>
      <c r="AA432" s="1293"/>
      <c r="AB432" s="1293"/>
      <c r="AC432" s="1293"/>
      <c r="AD432" s="1293"/>
      <c r="AE432" s="1293"/>
      <c r="AF432" s="1293"/>
      <c r="AG432" s="1293"/>
      <c r="AH432" s="1293"/>
      <c r="AI432" s="1293"/>
      <c r="AJ432" s="1293"/>
      <c r="AK432" s="1293"/>
      <c r="AL432" s="1293"/>
      <c r="AM432" s="1293"/>
      <c r="AN432" s="1293"/>
      <c r="AO432" s="1293"/>
      <c r="AP432" s="1293"/>
      <c r="AQ432" s="1293"/>
      <c r="AR432" s="1293"/>
      <c r="AS432" s="1293"/>
      <c r="AT432" s="1293"/>
      <c r="AU432" s="1293"/>
      <c r="AV432" s="1293"/>
      <c r="AW432" s="1293"/>
      <c r="AX432" s="1293"/>
      <c r="AY432" s="1293"/>
      <c r="AZ432" s="1293"/>
      <c r="BA432" s="1293"/>
      <c r="BB432" s="1293"/>
      <c r="BC432" s="1293"/>
      <c r="BD432" s="1293"/>
      <c r="BE432" s="1293"/>
      <c r="BF432" s="1293"/>
      <c r="BG432" s="1293"/>
      <c r="BH432" s="1293"/>
      <c r="BI432" s="1293"/>
      <c r="BJ432" s="1293"/>
      <c r="BK432" s="1293"/>
      <c r="BL432" s="1293"/>
      <c r="BM432" s="1293"/>
      <c r="BN432" s="1293"/>
      <c r="BO432" s="1293"/>
      <c r="BP432" s="1293"/>
      <c r="BQ432" s="1293"/>
      <c r="BR432" s="1293"/>
      <c r="BS432" s="1293"/>
      <c r="BT432" s="1293"/>
      <c r="BU432" s="1293"/>
      <c r="BV432" s="1293"/>
      <c r="BW432" s="1293"/>
      <c r="BX432" s="1293"/>
      <c r="BY432" s="1293"/>
      <c r="BZ432" s="1293"/>
      <c r="CA432" s="1293"/>
      <c r="CB432" s="1293"/>
      <c r="CC432" s="1293"/>
      <c r="CD432" s="1293"/>
      <c r="CE432" s="1293"/>
      <c r="CF432" s="1293"/>
      <c r="CG432" s="1293"/>
    </row>
    <row r="433" spans="1:85" ht="15.75" outlineLevel="1">
      <c r="A433" s="1293"/>
      <c r="B433" s="1293"/>
      <c r="C433" s="1982" t="s">
        <v>1831</v>
      </c>
      <c r="D433" s="1698">
        <f>'New (new) quarts'!G411</f>
        <v>313.14163520964644</v>
      </c>
      <c r="E433" s="1698">
        <f>'New (new) quarts'!L411</f>
        <v>241.78884684581101</v>
      </c>
      <c r="F433" s="1698">
        <f>'New (new) quarts'!Q411</f>
        <v>160.3744063974942</v>
      </c>
      <c r="G433" s="1698">
        <f>'New (new) quarts'!V411</f>
        <v>81</v>
      </c>
      <c r="H433" s="1698">
        <f>'New (new) quarts'!AA411</f>
        <v>41</v>
      </c>
      <c r="I433" s="1698">
        <f>'New (new) quarts'!AJ411</f>
        <v>43</v>
      </c>
      <c r="J433" s="1698">
        <f>'New (new) quarts'!AO411</f>
        <v>41</v>
      </c>
      <c r="K433" s="1698">
        <f>'New (new) quarts'!AT411</f>
        <v>0</v>
      </c>
      <c r="L433" s="1293">
        <v>0</v>
      </c>
      <c r="M433" s="1293">
        <v>0</v>
      </c>
      <c r="N433" s="1293">
        <v>0</v>
      </c>
      <c r="O433" s="1293">
        <v>0</v>
      </c>
      <c r="P433" s="1293">
        <v>0</v>
      </c>
      <c r="Q433" s="1293">
        <v>0</v>
      </c>
      <c r="R433" s="1293">
        <v>0</v>
      </c>
      <c r="S433" s="1293">
        <v>0</v>
      </c>
      <c r="T433" s="1293">
        <v>0</v>
      </c>
      <c r="U433" s="1293"/>
      <c r="V433" s="1293"/>
      <c r="W433" s="1293"/>
      <c r="X433" s="1293"/>
      <c r="Y433" s="1293"/>
      <c r="Z433" s="1293"/>
      <c r="AA433" s="1293"/>
      <c r="AB433" s="1293"/>
      <c r="AC433" s="1293"/>
      <c r="AD433" s="1293"/>
      <c r="AE433" s="1293"/>
      <c r="AF433" s="1293"/>
      <c r="AG433" s="1293"/>
      <c r="AH433" s="1293"/>
      <c r="AI433" s="1293"/>
      <c r="AJ433" s="1293"/>
      <c r="AK433" s="1293"/>
      <c r="AL433" s="1293"/>
      <c r="AM433" s="1293"/>
      <c r="AN433" s="1293"/>
      <c r="AO433" s="1293"/>
      <c r="AP433" s="1293"/>
      <c r="AQ433" s="1293"/>
      <c r="AR433" s="1293"/>
      <c r="AS433" s="1293"/>
      <c r="AT433" s="1293"/>
      <c r="AU433" s="1293"/>
      <c r="AV433" s="1293"/>
      <c r="AW433" s="1293"/>
      <c r="AX433" s="1293"/>
      <c r="AY433" s="1293"/>
      <c r="AZ433" s="1293"/>
      <c r="BA433" s="1293"/>
      <c r="BB433" s="1293"/>
      <c r="BC433" s="1293"/>
      <c r="BD433" s="1293"/>
      <c r="BE433" s="1293"/>
      <c r="BF433" s="1293"/>
      <c r="BG433" s="1293"/>
      <c r="BH433" s="1293"/>
      <c r="BI433" s="1293"/>
      <c r="BJ433" s="1293"/>
      <c r="BK433" s="1293"/>
      <c r="BL433" s="1293"/>
      <c r="BM433" s="1293"/>
      <c r="BN433" s="1293"/>
      <c r="BO433" s="1293"/>
      <c r="BP433" s="1293"/>
      <c r="BQ433" s="1293"/>
      <c r="BR433" s="1293"/>
      <c r="BS433" s="1293"/>
      <c r="BT433" s="1293"/>
      <c r="BU433" s="1293"/>
      <c r="BV433" s="1293"/>
      <c r="BW433" s="1293"/>
      <c r="BX433" s="1293"/>
      <c r="BY433" s="1293"/>
      <c r="BZ433" s="1293"/>
      <c r="CA433" s="1293"/>
      <c r="CB433" s="1293"/>
      <c r="CC433" s="1293"/>
      <c r="CD433" s="1293"/>
      <c r="CE433" s="1293"/>
      <c r="CF433" s="1293"/>
      <c r="CG433" s="1293"/>
    </row>
    <row r="434" spans="1:85" ht="15.75" outlineLevel="1">
      <c r="A434" s="1293"/>
      <c r="B434" s="1293"/>
      <c r="C434" s="1982" t="s">
        <v>5390</v>
      </c>
      <c r="D434" s="1698"/>
      <c r="E434" s="1698"/>
      <c r="F434" s="1698"/>
      <c r="G434" s="1698"/>
      <c r="H434" s="1698"/>
      <c r="I434" s="1698">
        <f>Onda!E51</f>
        <v>90.850000000000009</v>
      </c>
      <c r="J434" s="1698">
        <f>Onda!F51</f>
        <v>89.345787775639437</v>
      </c>
      <c r="K434" s="1698">
        <f>Onda!G51</f>
        <v>97.837926212138399</v>
      </c>
      <c r="L434" s="1698">
        <f>Onda!H51</f>
        <v>99.601271386000548</v>
      </c>
      <c r="M434" s="1698">
        <f>Onda!I51</f>
        <v>83.038879101526703</v>
      </c>
      <c r="N434" s="1698">
        <f>Onda!J51</f>
        <v>76.499567372281476</v>
      </c>
      <c r="O434" s="1698">
        <f>Onda!K51</f>
        <v>73.191726079104058</v>
      </c>
      <c r="P434" s="1698">
        <f>Onda!L51</f>
        <v>68.986600016837812</v>
      </c>
      <c r="Q434" s="1698">
        <f>Onda!M51</f>
        <v>70.024848347091222</v>
      </c>
      <c r="R434" s="1698">
        <f>Onda!N51</f>
        <v>71.078722314714923</v>
      </c>
      <c r="S434" s="1698">
        <f>Onda!O51</f>
        <v>72.148457085551385</v>
      </c>
      <c r="T434" s="1698">
        <f>Onda!P51</f>
        <v>73.234291364688929</v>
      </c>
      <c r="U434" s="1293"/>
      <c r="V434" s="1293"/>
      <c r="W434" s="1293"/>
      <c r="X434" s="1293"/>
      <c r="Y434" s="1293"/>
      <c r="Z434" s="1293"/>
      <c r="AA434" s="1293"/>
      <c r="AB434" s="1293"/>
      <c r="AC434" s="1293"/>
      <c r="AD434" s="1293"/>
      <c r="AE434" s="1293"/>
      <c r="AF434" s="1293"/>
      <c r="AG434" s="1293"/>
      <c r="AH434" s="1293"/>
      <c r="AI434" s="1293"/>
      <c r="AJ434" s="1293"/>
      <c r="AK434" s="1293"/>
      <c r="AL434" s="1293"/>
      <c r="AM434" s="1293"/>
      <c r="AN434" s="1293"/>
      <c r="AO434" s="1293"/>
      <c r="AP434" s="1293"/>
      <c r="AQ434" s="1293"/>
      <c r="AR434" s="1293"/>
      <c r="AS434" s="1293"/>
      <c r="AT434" s="1293"/>
      <c r="AU434" s="1293"/>
      <c r="AV434" s="1293"/>
      <c r="AW434" s="1293"/>
      <c r="AX434" s="1293"/>
      <c r="AY434" s="1293"/>
      <c r="AZ434" s="1293"/>
      <c r="BA434" s="1293"/>
      <c r="BB434" s="1293"/>
      <c r="BC434" s="1293"/>
      <c r="BD434" s="1293"/>
      <c r="BE434" s="1293"/>
      <c r="BF434" s="1293"/>
      <c r="BG434" s="1293"/>
      <c r="BH434" s="1293"/>
      <c r="BI434" s="1293"/>
      <c r="BJ434" s="1293"/>
      <c r="BK434" s="1293"/>
      <c r="BL434" s="1293"/>
      <c r="BM434" s="1293"/>
      <c r="BN434" s="1293"/>
      <c r="BO434" s="1293"/>
      <c r="BP434" s="1293"/>
      <c r="BQ434" s="1293"/>
      <c r="BR434" s="1293"/>
      <c r="BS434" s="1293"/>
      <c r="BT434" s="1293"/>
      <c r="BU434" s="1293"/>
      <c r="BV434" s="1293"/>
      <c r="BW434" s="1293"/>
      <c r="BX434" s="1293"/>
      <c r="BY434" s="1293"/>
      <c r="BZ434" s="1293"/>
      <c r="CA434" s="1293"/>
      <c r="CB434" s="1293"/>
      <c r="CC434" s="1293"/>
      <c r="CD434" s="1293"/>
      <c r="CE434" s="1293"/>
      <c r="CF434" s="1293"/>
      <c r="CG434" s="1293"/>
    </row>
    <row r="435" spans="1:85" ht="15.75" outlineLevel="1">
      <c r="A435" s="1293"/>
      <c r="B435" s="1293"/>
      <c r="C435" s="1982" t="s">
        <v>5611</v>
      </c>
      <c r="D435" s="1698"/>
      <c r="E435" s="1698"/>
      <c r="F435" s="1698"/>
      <c r="G435" s="1698"/>
      <c r="H435" s="1698"/>
      <c r="I435" s="2021">
        <f>'New CA'!G172*2/10</f>
        <v>16.572823283361604</v>
      </c>
      <c r="J435" s="1698">
        <f>'New CA'!H172</f>
        <v>91.811693067184819</v>
      </c>
      <c r="K435" s="1698">
        <f>'New CA'!I172</f>
        <v>104.84584657366653</v>
      </c>
      <c r="L435" s="1698">
        <f>'New CA'!J172</f>
        <v>105.30989014050559</v>
      </c>
      <c r="M435" s="1698">
        <f>'New CA'!K172</f>
        <v>101.77434177687638</v>
      </c>
      <c r="N435" s="1698">
        <f>'New CA'!L172</f>
        <v>99.190207647231389</v>
      </c>
      <c r="O435" s="1698">
        <f>'New CA'!M172</f>
        <v>100.27519510453563</v>
      </c>
      <c r="P435" s="1698">
        <f>'New CA'!N172</f>
        <v>101.048534545181</v>
      </c>
      <c r="Q435" s="1698">
        <f>'New CA'!O172</f>
        <v>101.83327887047936</v>
      </c>
      <c r="R435" s="1698">
        <f>'New CA'!P172</f>
        <v>102.62957884417973</v>
      </c>
      <c r="S435" s="1698">
        <f>'New CA'!Q172</f>
        <v>103.43758710481762</v>
      </c>
      <c r="T435" s="1698">
        <f>'New CA'!R172</f>
        <v>104.25745818813441</v>
      </c>
      <c r="U435" s="1293"/>
      <c r="V435" s="1293"/>
      <c r="W435" s="1293"/>
      <c r="X435" s="1293"/>
      <c r="Y435" s="1293"/>
      <c r="Z435" s="1293"/>
      <c r="AA435" s="1293"/>
      <c r="AB435" s="1293"/>
      <c r="AC435" s="1293"/>
      <c r="AD435" s="1293"/>
      <c r="AE435" s="1293"/>
      <c r="AF435" s="1293"/>
      <c r="AG435" s="1293"/>
      <c r="AH435" s="1293"/>
      <c r="AI435" s="1293"/>
      <c r="AJ435" s="1293"/>
      <c r="AK435" s="1293"/>
      <c r="AL435" s="1293"/>
      <c r="AM435" s="1293"/>
      <c r="AN435" s="1293"/>
      <c r="AO435" s="1293"/>
      <c r="AP435" s="1293"/>
      <c r="AQ435" s="1293"/>
      <c r="AR435" s="1293"/>
      <c r="AS435" s="1293"/>
      <c r="AT435" s="1293"/>
      <c r="AU435" s="1293"/>
      <c r="AV435" s="1293"/>
      <c r="AW435" s="1293"/>
      <c r="AX435" s="1293"/>
      <c r="AY435" s="1293"/>
      <c r="AZ435" s="1293"/>
      <c r="BA435" s="1293"/>
      <c r="BB435" s="1293"/>
      <c r="BC435" s="1293"/>
      <c r="BD435" s="1293"/>
      <c r="BE435" s="1293"/>
      <c r="BF435" s="1293"/>
      <c r="BG435" s="1293"/>
      <c r="BH435" s="1293"/>
      <c r="BI435" s="1293"/>
      <c r="BJ435" s="1293"/>
      <c r="BK435" s="1293"/>
      <c r="BL435" s="1293"/>
      <c r="BM435" s="1293"/>
      <c r="BN435" s="1293"/>
      <c r="BO435" s="1293"/>
      <c r="BP435" s="1293"/>
      <c r="BQ435" s="1293"/>
      <c r="BR435" s="1293"/>
      <c r="BS435" s="1293"/>
      <c r="BT435" s="1293"/>
      <c r="BU435" s="1293"/>
      <c r="BV435" s="1293"/>
      <c r="BW435" s="1293"/>
      <c r="BX435" s="1293"/>
      <c r="BY435" s="1293"/>
      <c r="BZ435" s="1293"/>
      <c r="CA435" s="1293"/>
      <c r="CB435" s="1293"/>
      <c r="CC435" s="1293"/>
      <c r="CD435" s="1293"/>
      <c r="CE435" s="1293"/>
      <c r="CF435" s="1293"/>
      <c r="CG435" s="1293"/>
    </row>
    <row r="436" spans="1:85" ht="15.75" outlineLevel="1">
      <c r="A436" s="1293"/>
      <c r="B436" s="1293"/>
      <c r="C436" s="1983" t="s">
        <v>4503</v>
      </c>
      <c r="D436" s="1702">
        <f>'New (new) quarts'!G413</f>
        <v>0.60719443423408848</v>
      </c>
      <c r="E436" s="1702">
        <f>'New (new) quarts'!L413</f>
        <v>-13.331668624628946</v>
      </c>
      <c r="F436" s="1702">
        <f>'New (new) quarts'!Q413</f>
        <v>3.9757205164197558</v>
      </c>
      <c r="G436" s="1702">
        <f>'New (new) quarts'!V413</f>
        <v>6</v>
      </c>
      <c r="H436" s="1702">
        <f>'New (new) quarts'!AA413</f>
        <v>4.5999999999999943</v>
      </c>
      <c r="I436" s="1702">
        <f>'New (new) quarts'!AJ413</f>
        <v>12</v>
      </c>
      <c r="J436" s="1702">
        <f>'New (new) quarts'!AO413</f>
        <v>7</v>
      </c>
      <c r="K436" s="1702">
        <f>'New (new) quarts'!AT413</f>
        <v>0</v>
      </c>
      <c r="L436" s="1702">
        <f>'New (new) quarts'!AY413</f>
        <v>0</v>
      </c>
      <c r="M436" s="2022">
        <f t="shared" ref="M436:T436" si="361">L436</f>
        <v>0</v>
      </c>
      <c r="N436" s="2022">
        <f t="shared" si="361"/>
        <v>0</v>
      </c>
      <c r="O436" s="2022">
        <f t="shared" si="361"/>
        <v>0</v>
      </c>
      <c r="P436" s="2022">
        <f t="shared" si="361"/>
        <v>0</v>
      </c>
      <c r="Q436" s="2022">
        <f t="shared" si="361"/>
        <v>0</v>
      </c>
      <c r="R436" s="2022">
        <f t="shared" si="361"/>
        <v>0</v>
      </c>
      <c r="S436" s="2022">
        <f t="shared" si="361"/>
        <v>0</v>
      </c>
      <c r="T436" s="2022">
        <f t="shared" si="361"/>
        <v>0</v>
      </c>
      <c r="U436" s="1293"/>
      <c r="V436" s="1293"/>
      <c r="W436" s="1293"/>
      <c r="X436" s="1293"/>
      <c r="Y436" s="1293"/>
      <c r="Z436" s="1293"/>
      <c r="AA436" s="1293"/>
      <c r="AB436" s="1293"/>
      <c r="AC436" s="1293"/>
      <c r="AD436" s="1293"/>
      <c r="AE436" s="1293"/>
      <c r="AF436" s="1293"/>
      <c r="AG436" s="1293"/>
      <c r="AH436" s="1293"/>
      <c r="AI436" s="1293"/>
      <c r="AJ436" s="1293"/>
      <c r="AK436" s="1293"/>
      <c r="AL436" s="1293"/>
      <c r="AM436" s="1293"/>
      <c r="AN436" s="1293"/>
      <c r="AO436" s="1293"/>
      <c r="AP436" s="1293"/>
      <c r="AQ436" s="1293"/>
      <c r="AR436" s="1293"/>
      <c r="AS436" s="1293"/>
      <c r="AT436" s="1293"/>
      <c r="AU436" s="1293"/>
      <c r="AV436" s="1293"/>
      <c r="AW436" s="1293"/>
      <c r="AX436" s="1293"/>
      <c r="AY436" s="1293"/>
      <c r="AZ436" s="1293"/>
      <c r="BA436" s="1293"/>
      <c r="BB436" s="1293"/>
      <c r="BC436" s="1293"/>
      <c r="BD436" s="1293"/>
      <c r="BE436" s="1293"/>
      <c r="BF436" s="1293"/>
      <c r="BG436" s="1293"/>
      <c r="BH436" s="1293"/>
      <c r="BI436" s="1293"/>
      <c r="BJ436" s="1293"/>
      <c r="BK436" s="1293"/>
      <c r="BL436" s="1293"/>
      <c r="BM436" s="1293"/>
      <c r="BN436" s="1293"/>
      <c r="BO436" s="1293"/>
      <c r="BP436" s="1293"/>
      <c r="BQ436" s="1293"/>
      <c r="BR436" s="1293"/>
      <c r="BS436" s="1293"/>
      <c r="BT436" s="1293"/>
      <c r="BU436" s="1293"/>
      <c r="BV436" s="1293"/>
      <c r="BW436" s="1293"/>
      <c r="BX436" s="1293"/>
      <c r="BY436" s="1293"/>
      <c r="BZ436" s="1293"/>
      <c r="CA436" s="1293"/>
      <c r="CB436" s="1293"/>
      <c r="CC436" s="1293"/>
      <c r="CD436" s="1293"/>
      <c r="CE436" s="1293"/>
      <c r="CF436" s="1293"/>
      <c r="CG436" s="1293"/>
    </row>
    <row r="437" spans="1:85" ht="15.75" outlineLevel="1">
      <c r="A437" s="1293"/>
      <c r="B437" s="1293"/>
      <c r="C437" s="2003" t="s">
        <v>2324</v>
      </c>
      <c r="D437" s="1963">
        <f t="shared" ref="D437:O437" si="362">SUM(D430:D436)</f>
        <v>1206.4077910056501</v>
      </c>
      <c r="E437" s="1963">
        <f t="shared" ca="1" si="362"/>
        <v>1272.90797223254</v>
      </c>
      <c r="F437" s="1963">
        <f t="shared" ca="1" si="362"/>
        <v>1030.8847425156582</v>
      </c>
      <c r="G437" s="1963">
        <f t="shared" si="362"/>
        <v>994</v>
      </c>
      <c r="H437" s="1963">
        <f t="shared" si="362"/>
        <v>998.00000000000011</v>
      </c>
      <c r="I437" s="1963">
        <f t="shared" ca="1" si="362"/>
        <v>1056</v>
      </c>
      <c r="J437" s="1963">
        <f t="shared" ca="1" si="362"/>
        <v>990</v>
      </c>
      <c r="K437" s="1963">
        <f t="shared" ref="K437" ca="1" si="363">SUM(K430:K436)</f>
        <v>1111</v>
      </c>
      <c r="L437" s="2019">
        <v>973</v>
      </c>
      <c r="M437" s="2019">
        <v>809</v>
      </c>
      <c r="N437" s="1963">
        <f t="shared" si="362"/>
        <v>743.43599501951292</v>
      </c>
      <c r="O437" s="1963">
        <f t="shared" si="362"/>
        <v>642.75648302236209</v>
      </c>
      <c r="P437" s="1963">
        <f>SUM(P430:P436)</f>
        <v>662.07541764864868</v>
      </c>
      <c r="Q437" s="1963">
        <f>SUM(Q430:Q436)</f>
        <v>692.29876300118679</v>
      </c>
      <c r="R437" s="1963">
        <f>SUM(R430:R436)</f>
        <v>732.1464896361382</v>
      </c>
      <c r="S437" s="1963">
        <f>SUM(S430:S436)</f>
        <v>741.41671191452178</v>
      </c>
      <c r="T437" s="1963">
        <f>SUM(T430:T436)</f>
        <v>749.89168900760694</v>
      </c>
      <c r="U437" s="1293"/>
      <c r="V437" s="1293"/>
      <c r="W437" s="1293"/>
      <c r="X437" s="1293"/>
      <c r="Y437" s="1293"/>
      <c r="Z437" s="1293"/>
      <c r="AA437" s="1293"/>
      <c r="AB437" s="1293"/>
      <c r="AC437" s="1293"/>
      <c r="AD437" s="1293"/>
      <c r="AE437" s="1293"/>
      <c r="AF437" s="1293"/>
      <c r="AG437" s="1293"/>
      <c r="AH437" s="1293"/>
      <c r="AI437" s="1293"/>
      <c r="AJ437" s="1293"/>
      <c r="AK437" s="1293"/>
      <c r="AL437" s="1293"/>
      <c r="AM437" s="1293"/>
      <c r="AN437" s="1293"/>
      <c r="AO437" s="1293"/>
      <c r="AP437" s="1293"/>
      <c r="AQ437" s="1293"/>
      <c r="AR437" s="1293"/>
      <c r="AS437" s="1293"/>
      <c r="AT437" s="1293"/>
      <c r="AU437" s="1293"/>
      <c r="AV437" s="1293"/>
      <c r="AW437" s="1293"/>
      <c r="AX437" s="1293"/>
      <c r="AY437" s="1293"/>
      <c r="AZ437" s="1293"/>
      <c r="BA437" s="1293"/>
      <c r="BB437" s="1293"/>
      <c r="BC437" s="1293"/>
      <c r="BD437" s="1293"/>
      <c r="BE437" s="1293"/>
      <c r="BF437" s="1293"/>
      <c r="BG437" s="1293"/>
      <c r="BH437" s="1293"/>
      <c r="BI437" s="1293"/>
      <c r="BJ437" s="1293"/>
      <c r="BK437" s="1293"/>
      <c r="BL437" s="1293"/>
      <c r="BM437" s="1293"/>
      <c r="BN437" s="1293"/>
      <c r="BO437" s="1293"/>
      <c r="BP437" s="1293"/>
      <c r="BQ437" s="1293"/>
      <c r="BR437" s="1293"/>
      <c r="BS437" s="1293"/>
      <c r="BT437" s="1293"/>
      <c r="BU437" s="1293"/>
      <c r="BV437" s="1293"/>
      <c r="BW437" s="1293"/>
      <c r="BX437" s="1293"/>
      <c r="BY437" s="1293"/>
      <c r="BZ437" s="1293"/>
      <c r="CA437" s="1293"/>
      <c r="CB437" s="1293"/>
      <c r="CC437" s="1293"/>
      <c r="CD437" s="1293"/>
      <c r="CE437" s="1293"/>
      <c r="CF437" s="1293"/>
      <c r="CG437" s="1293"/>
    </row>
    <row r="438" spans="1:85" ht="15.75" outlineLevel="1">
      <c r="A438" s="1293"/>
      <c r="B438" s="1293"/>
      <c r="C438" s="2003" t="s">
        <v>5519</v>
      </c>
      <c r="D438" s="1963"/>
      <c r="E438" s="1963"/>
      <c r="F438" s="1963"/>
      <c r="G438" s="1963">
        <f>G430*SOP!$C$15+0.5*G432+G431+G433+G436</f>
        <v>845.74517112843114</v>
      </c>
      <c r="H438" s="1963">
        <f>H430*SOP!$C$15+0.5*H432+H431+H433+H436</f>
        <v>844.00890715998628</v>
      </c>
      <c r="I438" s="1963">
        <f ca="1">I430*SOP!$C$15+0.5*I432+I431+I433+I436</f>
        <v>805.62859613631554</v>
      </c>
      <c r="J438" s="1963">
        <f ca="1">J430*SOP!$C$15+0.5*J432+J431+J433+J436</f>
        <v>693.74450961189245</v>
      </c>
      <c r="K438" s="1963">
        <f ca="1">K430*SOP!$C$15+0.5*K432+K431+K433+K436</f>
        <v>777.14625454918769</v>
      </c>
      <c r="L438" s="1963">
        <f>L430*SOP!$C$15+0.5*L432+L431+L433+L436</f>
        <v>633.08883847349387</v>
      </c>
      <c r="M438" s="1963">
        <f>M430*SOP!$C$15+0.5*M432+M431+M433+M436</f>
        <v>525.07082000000003</v>
      </c>
      <c r="N438" s="1963">
        <f>N430*SOP!$C$15+0.5*N432+N431+N433+N436</f>
        <v>490.24622000000005</v>
      </c>
      <c r="O438" s="1963">
        <f>O430*SOP!$C$15+0.5*O432+O431+O433+O436</f>
        <v>394.28956183872225</v>
      </c>
      <c r="P438" s="1963">
        <f>P430*SOP!$C$15+0.5*P432+P431+P433+P436</f>
        <v>417.04028308662987</v>
      </c>
      <c r="Q438" s="1963">
        <f>Q430*SOP!$C$15+0.5*Q432+Q431+Q433+Q436</f>
        <v>445.44063578361619</v>
      </c>
      <c r="R438" s="1963">
        <f>R430*SOP!$C$15+0.5*R432+R431+R433+R436</f>
        <v>483.4381884772435</v>
      </c>
      <c r="S438" s="1963">
        <f>S430*SOP!$C$15+0.5*S432+S431+S433+S436</f>
        <v>490.83066772415276</v>
      </c>
      <c r="T438" s="1963">
        <f>T430*SOP!$C$15+0.5*T432+T431+T433+T436</f>
        <v>497.39993945478363</v>
      </c>
      <c r="U438" s="1293"/>
      <c r="V438" s="1293"/>
      <c r="W438" s="1293"/>
      <c r="X438" s="1293"/>
      <c r="Y438" s="1293"/>
      <c r="Z438" s="1293"/>
      <c r="AA438" s="1293"/>
      <c r="AB438" s="1293"/>
      <c r="AC438" s="1293"/>
      <c r="AD438" s="1293"/>
      <c r="AE438" s="1293"/>
      <c r="AF438" s="1293"/>
      <c r="AG438" s="1293"/>
      <c r="AH438" s="1293"/>
      <c r="AI438" s="1293"/>
      <c r="AJ438" s="1293"/>
      <c r="AK438" s="1293"/>
      <c r="AL438" s="1293"/>
      <c r="AM438" s="1293"/>
      <c r="AN438" s="1293"/>
      <c r="AO438" s="1293"/>
      <c r="AP438" s="1293"/>
      <c r="AQ438" s="1293"/>
      <c r="AR438" s="1293"/>
      <c r="AS438" s="1293"/>
      <c r="AT438" s="1293"/>
      <c r="AU438" s="1293"/>
      <c r="AV438" s="1293"/>
      <c r="AW438" s="1293"/>
      <c r="AX438" s="1293"/>
      <c r="AY438" s="1293"/>
      <c r="AZ438" s="1293"/>
      <c r="BA438" s="1293"/>
      <c r="BB438" s="1293"/>
      <c r="BC438" s="1293"/>
      <c r="BD438" s="1293"/>
      <c r="BE438" s="1293"/>
      <c r="BF438" s="1293"/>
      <c r="BG438" s="1293"/>
      <c r="BH438" s="1293"/>
      <c r="BI438" s="1293"/>
      <c r="BJ438" s="1293"/>
      <c r="BK438" s="1293"/>
      <c r="BL438" s="1293"/>
      <c r="BM438" s="1293"/>
      <c r="BN438" s="1293"/>
      <c r="BO438" s="1293"/>
      <c r="BP438" s="1293"/>
      <c r="BQ438" s="1293"/>
      <c r="BR438" s="1293"/>
      <c r="BS438" s="1293"/>
      <c r="BT438" s="1293"/>
      <c r="BU438" s="1293"/>
      <c r="BV438" s="1293"/>
      <c r="BW438" s="1293"/>
      <c r="BX438" s="1293"/>
      <c r="BY438" s="1293"/>
      <c r="BZ438" s="1293"/>
      <c r="CA438" s="1293"/>
      <c r="CB438" s="1293"/>
      <c r="CC438" s="1293"/>
      <c r="CD438" s="1293"/>
      <c r="CE438" s="1293"/>
      <c r="CF438" s="1293"/>
      <c r="CG438" s="1293"/>
    </row>
    <row r="439" spans="1:85" ht="15.75" outlineLevel="1">
      <c r="A439" s="1293"/>
      <c r="B439" s="1293"/>
      <c r="C439" s="2003" t="s">
        <v>5514</v>
      </c>
      <c r="D439" s="1963"/>
      <c r="E439" s="1963"/>
      <c r="F439" s="1963"/>
      <c r="G439" s="1963">
        <f>G437-G433</f>
        <v>913</v>
      </c>
      <c r="H439" s="1963">
        <f t="shared" ref="H439:O439" si="364">H437-H433</f>
        <v>957.00000000000011</v>
      </c>
      <c r="I439" s="1963">
        <f t="shared" ca="1" si="364"/>
        <v>1013</v>
      </c>
      <c r="J439" s="1963">
        <f t="shared" ca="1" si="364"/>
        <v>949</v>
      </c>
      <c r="K439" s="1963">
        <f t="shared" ref="K439" ca="1" si="365">K437-K433</f>
        <v>1111</v>
      </c>
      <c r="L439" s="1963">
        <f t="shared" si="364"/>
        <v>973</v>
      </c>
      <c r="M439" s="1963">
        <f t="shared" si="364"/>
        <v>809</v>
      </c>
      <c r="N439" s="1963">
        <f t="shared" si="364"/>
        <v>743.43599501951292</v>
      </c>
      <c r="O439" s="1963">
        <f t="shared" si="364"/>
        <v>642.75648302236209</v>
      </c>
      <c r="P439" s="1963">
        <f>P437-P433</f>
        <v>662.07541764864868</v>
      </c>
      <c r="Q439" s="1963">
        <f>Q437-Q433</f>
        <v>692.29876300118679</v>
      </c>
      <c r="R439" s="1963">
        <f>R437-R433</f>
        <v>732.1464896361382</v>
      </c>
      <c r="S439" s="1963">
        <f>S437-S433</f>
        <v>741.41671191452178</v>
      </c>
      <c r="T439" s="1963">
        <f>T437-T433</f>
        <v>749.89168900760694</v>
      </c>
      <c r="U439" s="1293"/>
      <c r="V439" s="1293"/>
      <c r="W439" s="1293"/>
      <c r="X439" s="1293"/>
      <c r="Y439" s="1293"/>
      <c r="Z439" s="1293"/>
      <c r="AA439" s="1293"/>
      <c r="AB439" s="1293"/>
      <c r="AC439" s="1293"/>
      <c r="AD439" s="1293"/>
      <c r="AE439" s="1293"/>
      <c r="AF439" s="1293"/>
      <c r="AG439" s="1293"/>
      <c r="AH439" s="1293"/>
      <c r="AI439" s="1293"/>
      <c r="AJ439" s="1293"/>
      <c r="AK439" s="1293"/>
      <c r="AL439" s="1293"/>
      <c r="AM439" s="1293"/>
      <c r="AN439" s="1293"/>
      <c r="AO439" s="1293"/>
      <c r="AP439" s="1293"/>
      <c r="AQ439" s="1293"/>
      <c r="AR439" s="1293"/>
      <c r="AS439" s="1293"/>
      <c r="AT439" s="1293"/>
      <c r="AU439" s="1293"/>
      <c r="AV439" s="1293"/>
      <c r="AW439" s="1293"/>
      <c r="AX439" s="1293"/>
      <c r="AY439" s="1293"/>
      <c r="AZ439" s="1293"/>
      <c r="BA439" s="1293"/>
      <c r="BB439" s="1293"/>
      <c r="BC439" s="1293"/>
      <c r="BD439" s="1293"/>
      <c r="BE439" s="1293"/>
      <c r="BF439" s="1293"/>
      <c r="BG439" s="1293"/>
      <c r="BH439" s="1293"/>
      <c r="BI439" s="1293"/>
      <c r="BJ439" s="1293"/>
      <c r="BK439" s="1293"/>
      <c r="BL439" s="1293"/>
      <c r="BM439" s="1293"/>
      <c r="BN439" s="1293"/>
      <c r="BO439" s="1293"/>
      <c r="BP439" s="1293"/>
      <c r="BQ439" s="1293"/>
      <c r="BR439" s="1293"/>
      <c r="BS439" s="1293"/>
      <c r="BT439" s="1293"/>
      <c r="BU439" s="1293"/>
      <c r="BV439" s="1293"/>
      <c r="BW439" s="1293"/>
      <c r="BX439" s="1293"/>
      <c r="BY439" s="1293"/>
      <c r="BZ439" s="1293"/>
      <c r="CA439" s="1293"/>
      <c r="CB439" s="1293"/>
      <c r="CC439" s="1293"/>
      <c r="CD439" s="1293"/>
      <c r="CE439" s="1293"/>
      <c r="CF439" s="1293"/>
      <c r="CG439" s="1293"/>
    </row>
    <row r="440" spans="1:85" ht="15.75" outlineLevel="1">
      <c r="A440" s="1293"/>
      <c r="B440" s="1293"/>
      <c r="C440" s="1982"/>
      <c r="D440" s="1293"/>
      <c r="E440" s="1293"/>
      <c r="F440" s="1293"/>
      <c r="G440" s="1293"/>
      <c r="H440" s="1293"/>
      <c r="I440" s="1293"/>
      <c r="J440" s="1293"/>
      <c r="K440" s="1698">
        <f>450+'New (new) quarts'!AP417+'New (new) quarts'!AQ417+'New (new) quarts'!AR417</f>
        <v>1176</v>
      </c>
      <c r="L440" s="1698">
        <f>0.165*L35</f>
        <v>928.04745000000014</v>
      </c>
      <c r="M440" s="1293"/>
      <c r="N440" s="2023" t="s">
        <v>9009</v>
      </c>
      <c r="O440" s="1293"/>
      <c r="P440" s="1293"/>
      <c r="Q440" s="1293"/>
      <c r="R440" s="1293"/>
      <c r="S440" s="1293"/>
      <c r="T440" s="1293"/>
      <c r="U440" s="1293"/>
      <c r="V440" s="1293"/>
      <c r="W440" s="1293"/>
      <c r="X440" s="1293"/>
      <c r="Y440" s="1293"/>
      <c r="Z440" s="1293"/>
      <c r="AA440" s="1293"/>
      <c r="AB440" s="1293"/>
      <c r="AC440" s="1293"/>
      <c r="AD440" s="1293"/>
      <c r="AE440" s="1293"/>
      <c r="AF440" s="1293"/>
      <c r="AG440" s="1293"/>
      <c r="AH440" s="1293"/>
      <c r="AI440" s="1293"/>
      <c r="AJ440" s="1293"/>
      <c r="AK440" s="1293"/>
      <c r="AL440" s="1293"/>
      <c r="AM440" s="1293"/>
      <c r="AN440" s="1293"/>
      <c r="AO440" s="1293"/>
      <c r="AP440" s="1293"/>
      <c r="AQ440" s="1293"/>
      <c r="AR440" s="1293"/>
      <c r="AS440" s="1293"/>
      <c r="AT440" s="1293"/>
      <c r="AU440" s="1293"/>
      <c r="AV440" s="1293"/>
      <c r="AW440" s="1293"/>
      <c r="AX440" s="1293"/>
      <c r="AY440" s="1293"/>
      <c r="AZ440" s="1293"/>
      <c r="BA440" s="1293"/>
      <c r="BB440" s="1293"/>
      <c r="BC440" s="1293"/>
      <c r="BD440" s="1293"/>
      <c r="BE440" s="1293"/>
      <c r="BF440" s="1293"/>
      <c r="BG440" s="1293"/>
      <c r="BH440" s="1293"/>
      <c r="BI440" s="1293"/>
      <c r="BJ440" s="1293"/>
      <c r="BK440" s="1293"/>
      <c r="BL440" s="1293"/>
      <c r="BM440" s="1293"/>
      <c r="BN440" s="1293"/>
      <c r="BO440" s="1293"/>
      <c r="BP440" s="1293"/>
      <c r="BQ440" s="1293"/>
      <c r="BR440" s="1293"/>
      <c r="BS440" s="1293"/>
      <c r="BT440" s="1293"/>
      <c r="BU440" s="1293"/>
      <c r="BV440" s="1293"/>
      <c r="BW440" s="1293"/>
      <c r="BX440" s="1293"/>
      <c r="BY440" s="1293"/>
      <c r="BZ440" s="1293"/>
      <c r="CA440" s="1293"/>
      <c r="CB440" s="1293"/>
      <c r="CC440" s="1293"/>
      <c r="CD440" s="1293"/>
      <c r="CE440" s="1293"/>
      <c r="CF440" s="1293"/>
      <c r="CG440" s="1293"/>
    </row>
    <row r="441" spans="1:85" ht="15.75" outlineLevel="1">
      <c r="A441" s="1293"/>
      <c r="B441" s="1293"/>
      <c r="C441" s="1982" t="s">
        <v>1431</v>
      </c>
      <c r="D441" s="1293"/>
      <c r="E441" s="1293"/>
      <c r="F441" s="1293"/>
      <c r="G441" s="1293"/>
      <c r="H441" s="1293"/>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3"/>
      <c r="AG441" s="1293"/>
      <c r="AH441" s="1293"/>
      <c r="AI441" s="1293"/>
      <c r="AJ441" s="1293"/>
      <c r="AK441" s="1293"/>
      <c r="AL441" s="1293"/>
      <c r="AM441" s="1293"/>
      <c r="AN441" s="1293"/>
      <c r="AO441" s="1293"/>
      <c r="AP441" s="1293"/>
      <c r="AQ441" s="1293"/>
      <c r="AR441" s="1293"/>
      <c r="AS441" s="1293"/>
      <c r="AT441" s="1293"/>
      <c r="AU441" s="1293"/>
      <c r="AV441" s="1293"/>
      <c r="AW441" s="1293"/>
      <c r="AX441" s="1293"/>
      <c r="AY441" s="1293"/>
      <c r="AZ441" s="1293"/>
      <c r="BA441" s="1293"/>
      <c r="BB441" s="1293"/>
      <c r="BC441" s="1293"/>
      <c r="BD441" s="1293"/>
      <c r="BE441" s="1293"/>
      <c r="BF441" s="1293"/>
      <c r="BG441" s="1293"/>
      <c r="BH441" s="1293"/>
      <c r="BI441" s="1293"/>
      <c r="BJ441" s="1293"/>
      <c r="BK441" s="1293"/>
      <c r="BL441" s="1293"/>
      <c r="BM441" s="1293"/>
      <c r="BN441" s="1293"/>
      <c r="BO441" s="1293"/>
      <c r="BP441" s="1293"/>
      <c r="BQ441" s="1293"/>
      <c r="BR441" s="1293"/>
      <c r="BS441" s="1293"/>
      <c r="BT441" s="1293"/>
      <c r="BU441" s="1293"/>
      <c r="BV441" s="1293"/>
      <c r="BW441" s="1293"/>
      <c r="BX441" s="1293"/>
      <c r="BY441" s="1293"/>
      <c r="BZ441" s="1293"/>
      <c r="CA441" s="1293"/>
      <c r="CB441" s="1293"/>
      <c r="CC441" s="1293"/>
      <c r="CD441" s="1293"/>
      <c r="CE441" s="1293"/>
      <c r="CF441" s="1293"/>
      <c r="CG441" s="1293"/>
    </row>
    <row r="442" spans="1:85" ht="15.75" outlineLevel="1">
      <c r="A442" s="1293"/>
      <c r="B442" s="1293"/>
      <c r="C442" s="1982" t="str">
        <f>C430</f>
        <v>Old Central America</v>
      </c>
      <c r="D442" s="1328">
        <f>D430/D16</f>
        <v>0.16020485814967836</v>
      </c>
      <c r="E442" s="1328">
        <f>E430/E16</f>
        <v>0.1436188866071163</v>
      </c>
      <c r="F442" s="1328">
        <f>F430/F16</f>
        <v>0.13949583301348406</v>
      </c>
      <c r="G442" s="1328">
        <f>G430/G16</f>
        <v>0.12560386473429952</v>
      </c>
      <c r="H442" s="1328">
        <f ca="1">H430/H16</f>
        <v>0.11650868878357031</v>
      </c>
      <c r="I442" s="1328">
        <f>I430/I17</f>
        <v>0.12800983849810019</v>
      </c>
      <c r="J442" s="1328">
        <f>J430/J17</f>
        <v>0.10691814384861033</v>
      </c>
      <c r="K442" s="1328">
        <f>K430/K17</f>
        <v>-7.1975771585868223E-2</v>
      </c>
      <c r="L442" s="1328">
        <f>L430/L17</f>
        <v>0.17043627889101892</v>
      </c>
      <c r="M442" s="1328">
        <f>M430/M17</f>
        <v>0.13365902893767118</v>
      </c>
      <c r="N442" s="2014">
        <v>0.1</v>
      </c>
      <c r="O442" s="2014">
        <v>0.1</v>
      </c>
      <c r="P442" s="2014">
        <v>0.105</v>
      </c>
      <c r="Q442" s="2014">
        <v>0.11</v>
      </c>
      <c r="R442" s="2014">
        <v>0.12</v>
      </c>
      <c r="S442" s="2014">
        <v>0.12</v>
      </c>
      <c r="T442" s="2014">
        <v>0.12</v>
      </c>
      <c r="U442" s="1293"/>
      <c r="V442" s="1293"/>
      <c r="W442" s="1293"/>
      <c r="X442" s="1293"/>
      <c r="Y442" s="1293"/>
      <c r="Z442" s="1293"/>
      <c r="AA442" s="1293"/>
      <c r="AB442" s="1293"/>
      <c r="AC442" s="1293"/>
      <c r="AD442" s="1293"/>
      <c r="AE442" s="1293"/>
      <c r="AF442" s="1293"/>
      <c r="AG442" s="1293"/>
      <c r="AH442" s="1293"/>
      <c r="AI442" s="1293"/>
      <c r="AJ442" s="1293"/>
      <c r="AK442" s="1293"/>
      <c r="AL442" s="1293"/>
      <c r="AM442" s="1293"/>
      <c r="AN442" s="1293"/>
      <c r="AO442" s="1293"/>
      <c r="AP442" s="1293"/>
      <c r="AQ442" s="1293"/>
      <c r="AR442" s="1293"/>
      <c r="AS442" s="1293"/>
      <c r="AT442" s="1293"/>
      <c r="AU442" s="1293"/>
      <c r="AV442" s="1293"/>
      <c r="AW442" s="1293"/>
      <c r="AX442" s="1293"/>
      <c r="AY442" s="1293"/>
      <c r="AZ442" s="1293"/>
      <c r="BA442" s="1293"/>
      <c r="BB442" s="1293"/>
      <c r="BC442" s="1293"/>
      <c r="BD442" s="1293"/>
      <c r="BE442" s="1293"/>
      <c r="BF442" s="1293"/>
      <c r="BG442" s="1293"/>
      <c r="BH442" s="1293"/>
      <c r="BI442" s="1293"/>
      <c r="BJ442" s="1293"/>
      <c r="BK442" s="1293"/>
      <c r="BL442" s="1293"/>
      <c r="BM442" s="1293"/>
      <c r="BN442" s="1293"/>
      <c r="BO442" s="1293"/>
      <c r="BP442" s="1293"/>
      <c r="BQ442" s="1293"/>
      <c r="BR442" s="1293"/>
      <c r="BS442" s="1293"/>
      <c r="BT442" s="1293"/>
      <c r="BU442" s="1293"/>
      <c r="BV442" s="1293"/>
      <c r="BW442" s="1293"/>
      <c r="BX442" s="1293"/>
      <c r="BY442" s="1293"/>
      <c r="BZ442" s="1293"/>
      <c r="CA442" s="1293"/>
      <c r="CB442" s="1293"/>
      <c r="CC442" s="1293"/>
      <c r="CD442" s="1293"/>
      <c r="CE442" s="1293"/>
      <c r="CF442" s="1293"/>
      <c r="CG442" s="1293"/>
    </row>
    <row r="443" spans="1:85" ht="15.75" outlineLevel="1">
      <c r="A443" s="1293"/>
      <c r="B443" s="1293"/>
      <c r="C443" s="1982" t="str">
        <f>C431</f>
        <v>South America ex Colombia</v>
      </c>
      <c r="D443" s="1328">
        <f>D431/D23</f>
        <v>6.0327567779405636E-2</v>
      </c>
      <c r="E443" s="1328">
        <f ca="1">E431/E23</f>
        <v>7.7466126878515118E-2</v>
      </c>
      <c r="F443" s="1328">
        <f ca="1">F431/F23</f>
        <v>6.7722998496994147E-2</v>
      </c>
      <c r="G443" s="1328">
        <f t="shared" ref="G443:L443" si="366">G431/(G23-G20)</f>
        <v>0.24486492391867276</v>
      </c>
      <c r="H443" s="1328">
        <f t="shared" si="366"/>
        <v>0.27023806211908169</v>
      </c>
      <c r="I443" s="1328">
        <f t="shared" ca="1" si="366"/>
        <v>0.22516305372938464</v>
      </c>
      <c r="J443" s="1328">
        <f t="shared" ca="1" si="366"/>
        <v>0.22323047952963954</v>
      </c>
      <c r="K443" s="1328">
        <f t="shared" ca="1" si="366"/>
        <v>0.72042449462647307</v>
      </c>
      <c r="L443" s="1328">
        <f t="shared" si="366"/>
        <v>0.12571635579603199</v>
      </c>
      <c r="M443" s="2024">
        <v>0.13</v>
      </c>
      <c r="N443" s="2014">
        <v>0.1</v>
      </c>
      <c r="O443" s="2014">
        <v>0.1</v>
      </c>
      <c r="P443" s="2014">
        <v>0.105</v>
      </c>
      <c r="Q443" s="2014">
        <v>0.115</v>
      </c>
      <c r="R443" s="2014">
        <v>0.12</v>
      </c>
      <c r="S443" s="2014">
        <v>0.12</v>
      </c>
      <c r="T443" s="2014">
        <v>0.12</v>
      </c>
      <c r="U443" s="1293"/>
      <c r="V443" s="1293"/>
      <c r="W443" s="1293"/>
      <c r="X443" s="1293"/>
      <c r="Y443" s="1293"/>
      <c r="Z443" s="1293"/>
      <c r="AA443" s="1293"/>
      <c r="AB443" s="1293"/>
      <c r="AC443" s="1293"/>
      <c r="AD443" s="1293"/>
      <c r="AE443" s="1293"/>
      <c r="AF443" s="1293"/>
      <c r="AG443" s="1293"/>
      <c r="AH443" s="1293"/>
      <c r="AI443" s="1293"/>
      <c r="AJ443" s="1293"/>
      <c r="AK443" s="1293"/>
      <c r="AL443" s="1293"/>
      <c r="AM443" s="1293"/>
      <c r="AN443" s="1293"/>
      <c r="AO443" s="1293"/>
      <c r="AP443" s="1293"/>
      <c r="AQ443" s="1293"/>
      <c r="AR443" s="1293"/>
      <c r="AS443" s="1293"/>
      <c r="AT443" s="1293"/>
      <c r="AU443" s="1293"/>
      <c r="AV443" s="1293"/>
      <c r="AW443" s="1293"/>
      <c r="AX443" s="1293"/>
      <c r="AY443" s="1293"/>
      <c r="AZ443" s="1293"/>
      <c r="BA443" s="1293"/>
      <c r="BB443" s="1293"/>
      <c r="BC443" s="1293"/>
      <c r="BD443" s="1293"/>
      <c r="BE443" s="1293"/>
      <c r="BF443" s="1293"/>
      <c r="BG443" s="1293"/>
      <c r="BH443" s="1293"/>
      <c r="BI443" s="1293"/>
      <c r="BJ443" s="1293"/>
      <c r="BK443" s="1293"/>
      <c r="BL443" s="1293"/>
      <c r="BM443" s="1293"/>
      <c r="BN443" s="1293"/>
      <c r="BO443" s="1293"/>
      <c r="BP443" s="1293"/>
      <c r="BQ443" s="1293"/>
      <c r="BR443" s="1293"/>
      <c r="BS443" s="1293"/>
      <c r="BT443" s="1293"/>
      <c r="BU443" s="1293"/>
      <c r="BV443" s="1293"/>
      <c r="BW443" s="1293"/>
      <c r="BX443" s="1293"/>
      <c r="BY443" s="1293"/>
      <c r="BZ443" s="1293"/>
      <c r="CA443" s="1293"/>
      <c r="CB443" s="1293"/>
      <c r="CC443" s="1293"/>
      <c r="CD443" s="1293"/>
      <c r="CE443" s="1293"/>
      <c r="CF443" s="1293"/>
      <c r="CG443" s="1293"/>
    </row>
    <row r="444" spans="1:85" ht="15.75" outlineLevel="1">
      <c r="A444" s="1293"/>
      <c r="B444" s="1293"/>
      <c r="C444" s="1982" t="str">
        <f>C432</f>
        <v>Colombia</v>
      </c>
      <c r="D444" s="1328">
        <f t="shared" ref="D444:T444" si="367">D432/D20</f>
        <v>0.19269289184613819</v>
      </c>
      <c r="E444" s="1328">
        <f t="shared" ca="1" si="367"/>
        <v>0.21730182371537718</v>
      </c>
      <c r="F444" s="1328">
        <f t="shared" ca="1" si="367"/>
        <v>0.19029467434544184</v>
      </c>
      <c r="G444" s="1328">
        <f t="shared" si="367"/>
        <v>0.17050584114038983</v>
      </c>
      <c r="H444" s="1328">
        <f t="shared" si="367"/>
        <v>0.18541973851898097</v>
      </c>
      <c r="I444" s="1328">
        <f t="shared" ca="1" si="367"/>
        <v>0.18661694592731431</v>
      </c>
      <c r="J444" s="1328">
        <f t="shared" ca="1" si="367"/>
        <v>0.17114945657291197</v>
      </c>
      <c r="K444" s="1328">
        <f t="shared" ca="1" si="367"/>
        <v>0.18566167397736361</v>
      </c>
      <c r="L444" s="1328">
        <f t="shared" si="367"/>
        <v>0.20212001437297877</v>
      </c>
      <c r="M444" s="2025">
        <f t="shared" si="367"/>
        <v>0.1515199968325468</v>
      </c>
      <c r="N444" s="1328">
        <f t="shared" si="367"/>
        <v>0.11231516998973437</v>
      </c>
      <c r="O444" s="1328">
        <f t="shared" si="367"/>
        <v>0.1084373717728721</v>
      </c>
      <c r="P444" s="1328">
        <f t="shared" si="367"/>
        <v>0.10792250426971153</v>
      </c>
      <c r="Q444" s="1328">
        <f t="shared" si="367"/>
        <v>0.10690236957174462</v>
      </c>
      <c r="R444" s="1328">
        <f t="shared" si="367"/>
        <v>0.10539337687779901</v>
      </c>
      <c r="S444" s="1328">
        <f t="shared" si="367"/>
        <v>0.10439651559690358</v>
      </c>
      <c r="T444" s="1328">
        <f t="shared" si="367"/>
        <v>0.10390032859151251</v>
      </c>
      <c r="U444" s="1293"/>
      <c r="V444" s="1293"/>
      <c r="W444" s="1293"/>
      <c r="X444" s="1293"/>
      <c r="Y444" s="1293"/>
      <c r="Z444" s="1293"/>
      <c r="AA444" s="1293"/>
      <c r="AB444" s="1293"/>
      <c r="AC444" s="1293"/>
      <c r="AD444" s="1293"/>
      <c r="AE444" s="1293"/>
      <c r="AF444" s="1293"/>
      <c r="AG444" s="1293"/>
      <c r="AH444" s="1293"/>
      <c r="AI444" s="1293"/>
      <c r="AJ444" s="1293"/>
      <c r="AK444" s="1293"/>
      <c r="AL444" s="1293"/>
      <c r="AM444" s="1293"/>
      <c r="AN444" s="1293"/>
      <c r="AO444" s="1293"/>
      <c r="AP444" s="1293"/>
      <c r="AQ444" s="1293"/>
      <c r="AR444" s="1293"/>
      <c r="AS444" s="1293"/>
      <c r="AT444" s="1293"/>
      <c r="AU444" s="1293"/>
      <c r="AV444" s="1293"/>
      <c r="AW444" s="1293"/>
      <c r="AX444" s="1293"/>
      <c r="AY444" s="1293"/>
      <c r="AZ444" s="1293"/>
      <c r="BA444" s="1293"/>
      <c r="BB444" s="1293"/>
      <c r="BC444" s="1293"/>
      <c r="BD444" s="1293"/>
      <c r="BE444" s="1293"/>
      <c r="BF444" s="1293"/>
      <c r="BG444" s="1293"/>
      <c r="BH444" s="1293"/>
      <c r="BI444" s="1293"/>
      <c r="BJ444" s="1293"/>
      <c r="BK444" s="1293"/>
      <c r="BL444" s="1293"/>
      <c r="BM444" s="1293"/>
      <c r="BN444" s="1293"/>
      <c r="BO444" s="1293"/>
      <c r="BP444" s="1293"/>
      <c r="BQ444" s="1293"/>
      <c r="BR444" s="1293"/>
      <c r="BS444" s="1293"/>
      <c r="BT444" s="1293"/>
      <c r="BU444" s="1293"/>
      <c r="BV444" s="1293"/>
      <c r="BW444" s="1293"/>
      <c r="BX444" s="1293"/>
      <c r="BY444" s="1293"/>
      <c r="BZ444" s="1293"/>
      <c r="CA444" s="1293"/>
      <c r="CB444" s="1293"/>
      <c r="CC444" s="1293"/>
      <c r="CD444" s="1293"/>
      <c r="CE444" s="1293"/>
      <c r="CF444" s="1293"/>
      <c r="CG444" s="1293"/>
    </row>
    <row r="445" spans="1:85" ht="15.75" outlineLevel="1">
      <c r="A445" s="1293"/>
      <c r="B445" s="1293"/>
      <c r="C445" s="1982" t="str">
        <f>C433</f>
        <v>Africa</v>
      </c>
      <c r="D445" s="1328">
        <f t="shared" ref="D445:K445" si="368">D433/D33</f>
        <v>0.31325372248977718</v>
      </c>
      <c r="E445" s="1328">
        <f t="shared" si="368"/>
        <v>0.24479149429346936</v>
      </c>
      <c r="F445" s="1328">
        <f t="shared" si="368"/>
        <v>0.17904169595703534</v>
      </c>
      <c r="G445" s="1328">
        <f t="shared" si="368"/>
        <v>0.12538699690402477</v>
      </c>
      <c r="H445" s="1328">
        <f t="shared" si="368"/>
        <v>7.7872744539411204E-2</v>
      </c>
      <c r="I445" s="1328">
        <f t="shared" si="368"/>
        <v>0.10436893203883495</v>
      </c>
      <c r="J445" s="1328">
        <f t="shared" si="368"/>
        <v>0.11202185792349727</v>
      </c>
      <c r="K445" s="1328">
        <f t="shared" si="368"/>
        <v>0</v>
      </c>
      <c r="L445" s="1328"/>
      <c r="M445" s="1328"/>
      <c r="N445" s="1328"/>
      <c r="O445" s="1328"/>
      <c r="P445" s="1328"/>
      <c r="Q445" s="1328"/>
      <c r="R445" s="1328"/>
      <c r="S445" s="1328"/>
      <c r="T445" s="1328"/>
      <c r="U445" s="1293"/>
      <c r="V445" s="1293"/>
      <c r="W445" s="1293"/>
      <c r="X445" s="1293"/>
      <c r="Y445" s="1293"/>
      <c r="Z445" s="1293"/>
      <c r="AA445" s="1293"/>
      <c r="AB445" s="1293"/>
      <c r="AC445" s="1293"/>
      <c r="AD445" s="1293"/>
      <c r="AE445" s="1293"/>
      <c r="AF445" s="1293"/>
      <c r="AG445" s="1293"/>
      <c r="AH445" s="1293"/>
      <c r="AI445" s="1293"/>
      <c r="AJ445" s="1293"/>
      <c r="AK445" s="1293"/>
      <c r="AL445" s="1293"/>
      <c r="AM445" s="1293"/>
      <c r="AN445" s="1293"/>
      <c r="AO445" s="1293"/>
      <c r="AP445" s="1293"/>
      <c r="AQ445" s="1293"/>
      <c r="AR445" s="1293"/>
      <c r="AS445" s="1293"/>
      <c r="AT445" s="1293"/>
      <c r="AU445" s="1293"/>
      <c r="AV445" s="1293"/>
      <c r="AW445" s="1293"/>
      <c r="AX445" s="1293"/>
      <c r="AY445" s="1293"/>
      <c r="AZ445" s="1293"/>
      <c r="BA445" s="1293"/>
      <c r="BB445" s="1293"/>
      <c r="BC445" s="1293"/>
      <c r="BD445" s="1293"/>
      <c r="BE445" s="1293"/>
      <c r="BF445" s="1293"/>
      <c r="BG445" s="1293"/>
      <c r="BH445" s="1293"/>
      <c r="BI445" s="1293"/>
      <c r="BJ445" s="1293"/>
      <c r="BK445" s="1293"/>
      <c r="BL445" s="1293"/>
      <c r="BM445" s="1293"/>
      <c r="BN445" s="1293"/>
      <c r="BO445" s="1293"/>
      <c r="BP445" s="1293"/>
      <c r="BQ445" s="1293"/>
      <c r="BR445" s="1293"/>
      <c r="BS445" s="1293"/>
      <c r="BT445" s="1293"/>
      <c r="BU445" s="1293"/>
      <c r="BV445" s="1293"/>
      <c r="BW445" s="1293"/>
      <c r="BX445" s="1293"/>
      <c r="BY445" s="1293"/>
      <c r="BZ445" s="1293"/>
      <c r="CA445" s="1293"/>
      <c r="CB445" s="1293"/>
      <c r="CC445" s="1293"/>
      <c r="CD445" s="1293"/>
      <c r="CE445" s="1293"/>
      <c r="CF445" s="1293"/>
      <c r="CG445" s="1293"/>
    </row>
    <row r="446" spans="1:85" ht="15.75" outlineLevel="1">
      <c r="A446" s="1293"/>
      <c r="B446" s="1293"/>
      <c r="C446" s="1983" t="str">
        <f>C435</f>
        <v>New CA</v>
      </c>
      <c r="D446" s="1337"/>
      <c r="E446" s="1337"/>
      <c r="F446" s="1337"/>
      <c r="G446" s="1337"/>
      <c r="H446" s="1337"/>
      <c r="I446" s="2026"/>
      <c r="J446" s="2026"/>
      <c r="K446" s="2027">
        <f>'New CA'!I173</f>
        <v>0.14938386371007242</v>
      </c>
      <c r="L446" s="2027">
        <f>'New CA'!J173</f>
        <v>0.14628198485045207</v>
      </c>
      <c r="M446" s="2027">
        <f>'New CA'!K173</f>
        <v>0.13999999999999999</v>
      </c>
      <c r="N446" s="2027">
        <f>'New CA'!L173</f>
        <v>0.13309483703595729</v>
      </c>
      <c r="O446" s="2027">
        <f>'New CA'!M173</f>
        <v>0.13309189577194913</v>
      </c>
      <c r="P446" s="2027">
        <f>'New CA'!N173</f>
        <v>0.13306767465307315</v>
      </c>
      <c r="Q446" s="2027">
        <f>'New CA'!O173</f>
        <v>0.13304348119201248</v>
      </c>
      <c r="R446" s="2027">
        <f>'New CA'!P173</f>
        <v>0.13301931845411585</v>
      </c>
      <c r="S446" s="2027">
        <f>'New CA'!Q173</f>
        <v>0.13299518947645922</v>
      </c>
      <c r="T446" s="2027">
        <f>'New CA'!R173</f>
        <v>0.13297109726657005</v>
      </c>
      <c r="U446" s="1293"/>
      <c r="V446" s="1293"/>
      <c r="W446" s="1293"/>
      <c r="X446" s="1293"/>
      <c r="Y446" s="1293"/>
      <c r="Z446" s="1293"/>
      <c r="AA446" s="1293"/>
      <c r="AB446" s="1293"/>
      <c r="AC446" s="1293"/>
      <c r="AD446" s="1293"/>
      <c r="AE446" s="1293"/>
      <c r="AF446" s="1293"/>
      <c r="AG446" s="1293"/>
      <c r="AH446" s="1293"/>
      <c r="AI446" s="1293"/>
      <c r="AJ446" s="1293"/>
      <c r="AK446" s="1293"/>
      <c r="AL446" s="1293"/>
      <c r="AM446" s="1293"/>
      <c r="AN446" s="1293"/>
      <c r="AO446" s="1293"/>
      <c r="AP446" s="1293"/>
      <c r="AQ446" s="1293"/>
      <c r="AR446" s="1293"/>
      <c r="AS446" s="1293"/>
      <c r="AT446" s="1293"/>
      <c r="AU446" s="1293"/>
      <c r="AV446" s="1293"/>
      <c r="AW446" s="1293"/>
      <c r="AX446" s="1293"/>
      <c r="AY446" s="1293"/>
      <c r="AZ446" s="1293"/>
      <c r="BA446" s="1293"/>
      <c r="BB446" s="1293"/>
      <c r="BC446" s="1293"/>
      <c r="BD446" s="1293"/>
      <c r="BE446" s="1293"/>
      <c r="BF446" s="1293"/>
      <c r="BG446" s="1293"/>
      <c r="BH446" s="1293"/>
      <c r="BI446" s="1293"/>
      <c r="BJ446" s="1293"/>
      <c r="BK446" s="1293"/>
      <c r="BL446" s="1293"/>
      <c r="BM446" s="1293"/>
      <c r="BN446" s="1293"/>
      <c r="BO446" s="1293"/>
      <c r="BP446" s="1293"/>
      <c r="BQ446" s="1293"/>
      <c r="BR446" s="1293"/>
      <c r="BS446" s="1293"/>
      <c r="BT446" s="1293"/>
      <c r="BU446" s="1293"/>
      <c r="BV446" s="1293"/>
      <c r="BW446" s="1293"/>
      <c r="BX446" s="1293"/>
      <c r="BY446" s="1293"/>
      <c r="BZ446" s="1293"/>
      <c r="CA446" s="1293"/>
      <c r="CB446" s="1293"/>
      <c r="CC446" s="1293"/>
      <c r="CD446" s="1293"/>
      <c r="CE446" s="1293"/>
      <c r="CF446" s="1293"/>
      <c r="CG446" s="1293"/>
    </row>
    <row r="447" spans="1:85" ht="15.75" outlineLevel="1">
      <c r="A447" s="1293"/>
      <c r="B447" s="1293"/>
      <c r="C447" s="1982" t="s">
        <v>2324</v>
      </c>
      <c r="D447" s="1328">
        <f t="shared" ref="D447:T447" si="369">D437/D35</f>
        <v>0.18891414401944337</v>
      </c>
      <c r="E447" s="1328">
        <f t="shared" ca="1" si="369"/>
        <v>0.18913553443110004</v>
      </c>
      <c r="F447" s="1328">
        <f t="shared" ca="1" si="369"/>
        <v>0.16497107097396876</v>
      </c>
      <c r="G447" s="1328">
        <f t="shared" si="369"/>
        <v>0.16324519625554279</v>
      </c>
      <c r="H447" s="1328">
        <f t="shared" si="369"/>
        <v>0.16600133067198938</v>
      </c>
      <c r="I447" s="1328">
        <f t="shared" ca="1" si="369"/>
        <v>0.1657510594883064</v>
      </c>
      <c r="J447" s="1328">
        <f t="shared" ca="1" si="369"/>
        <v>0.15885750962772785</v>
      </c>
      <c r="K447" s="1328">
        <f t="shared" ca="1" si="369"/>
        <v>0.16905051734631771</v>
      </c>
      <c r="L447" s="1328">
        <f t="shared" si="369"/>
        <v>0.17299223223984936</v>
      </c>
      <c r="M447" s="1328">
        <f t="shared" si="369"/>
        <v>0.1429076134958488</v>
      </c>
      <c r="N447" s="1328">
        <f t="shared" si="369"/>
        <v>0.12808456159564907</v>
      </c>
      <c r="O447" s="1328">
        <f t="shared" si="369"/>
        <v>0.11635802951551297</v>
      </c>
      <c r="P447" s="1328">
        <f t="shared" si="369"/>
        <v>0.1181633339455864</v>
      </c>
      <c r="Q447" s="1328">
        <f t="shared" si="369"/>
        <v>0.12151432745097397</v>
      </c>
      <c r="R447" s="1328">
        <f t="shared" si="369"/>
        <v>0.1262620992090886</v>
      </c>
      <c r="S447" s="1328">
        <f t="shared" si="369"/>
        <v>0.12604738922562295</v>
      </c>
      <c r="T447" s="1328">
        <f t="shared" si="369"/>
        <v>0.1259897488807534</v>
      </c>
      <c r="U447" s="1293"/>
      <c r="V447" s="1293"/>
      <c r="W447" s="1293"/>
      <c r="X447" s="1293"/>
      <c r="Y447" s="1293"/>
      <c r="Z447" s="1293"/>
      <c r="AA447" s="1293"/>
      <c r="AB447" s="1293"/>
      <c r="AC447" s="1293"/>
      <c r="AD447" s="1293"/>
      <c r="AE447" s="1293"/>
      <c r="AF447" s="1293"/>
      <c r="AG447" s="1293"/>
      <c r="AH447" s="1293"/>
      <c r="AI447" s="1293"/>
      <c r="AJ447" s="1293"/>
      <c r="AK447" s="1293"/>
      <c r="AL447" s="1293"/>
      <c r="AM447" s="1293"/>
      <c r="AN447" s="1293"/>
      <c r="AO447" s="1293"/>
      <c r="AP447" s="1293"/>
      <c r="AQ447" s="1293"/>
      <c r="AR447" s="1293"/>
      <c r="AS447" s="1293"/>
      <c r="AT447" s="1293"/>
      <c r="AU447" s="1293"/>
      <c r="AV447" s="1293"/>
      <c r="AW447" s="1293"/>
      <c r="AX447" s="1293"/>
      <c r="AY447" s="1293"/>
      <c r="AZ447" s="1293"/>
      <c r="BA447" s="1293"/>
      <c r="BB447" s="1293"/>
      <c r="BC447" s="1293"/>
      <c r="BD447" s="1293"/>
      <c r="BE447" s="1293"/>
      <c r="BF447" s="1293"/>
      <c r="BG447" s="1293"/>
      <c r="BH447" s="1293"/>
      <c r="BI447" s="1293"/>
      <c r="BJ447" s="1293"/>
      <c r="BK447" s="1293"/>
      <c r="BL447" s="1293"/>
      <c r="BM447" s="1293"/>
      <c r="BN447" s="1293"/>
      <c r="BO447" s="1293"/>
      <c r="BP447" s="1293"/>
      <c r="BQ447" s="1293"/>
      <c r="BR447" s="1293"/>
      <c r="BS447" s="1293"/>
      <c r="BT447" s="1293"/>
      <c r="BU447" s="1293"/>
      <c r="BV447" s="1293"/>
      <c r="BW447" s="1293"/>
      <c r="BX447" s="1293"/>
      <c r="BY447" s="1293"/>
      <c r="BZ447" s="1293"/>
      <c r="CA447" s="1293"/>
      <c r="CB447" s="1293"/>
      <c r="CC447" s="1293"/>
      <c r="CD447" s="1293"/>
      <c r="CE447" s="1293"/>
      <c r="CF447" s="1293"/>
      <c r="CG447" s="1293"/>
    </row>
    <row r="448" spans="1:85" ht="15.75">
      <c r="A448" s="1293"/>
      <c r="B448" s="1293"/>
      <c r="C448" s="1293"/>
      <c r="D448" s="1293"/>
      <c r="E448" s="1293"/>
      <c r="F448" s="1293"/>
      <c r="G448" s="1293"/>
      <c r="H448" s="1293"/>
      <c r="I448" s="1293"/>
      <c r="J448" s="1293"/>
      <c r="K448" s="1293"/>
      <c r="L448" s="1293"/>
      <c r="M448" s="1293"/>
      <c r="N448" s="1293"/>
      <c r="O448" s="1293"/>
      <c r="P448" s="1293"/>
      <c r="Q448" s="1293"/>
      <c r="R448" s="1293"/>
      <c r="S448" s="1293"/>
      <c r="T448" s="1293"/>
      <c r="U448" s="1293"/>
      <c r="V448" s="1293"/>
      <c r="W448" s="1293"/>
      <c r="X448" s="1293"/>
      <c r="Y448" s="1293"/>
      <c r="Z448" s="1293"/>
      <c r="AA448" s="1293"/>
      <c r="AB448" s="1293"/>
      <c r="AC448" s="1293"/>
      <c r="AD448" s="1293"/>
      <c r="AE448" s="1293"/>
      <c r="AF448" s="1293"/>
      <c r="AG448" s="1293"/>
      <c r="AH448" s="1293"/>
      <c r="AI448" s="1293"/>
      <c r="AJ448" s="1293"/>
      <c r="AK448" s="1293"/>
      <c r="AL448" s="1293"/>
      <c r="AM448" s="1293"/>
      <c r="AN448" s="1293"/>
      <c r="AO448" s="1293"/>
      <c r="AP448" s="1293"/>
      <c r="AQ448" s="1293"/>
      <c r="AR448" s="1293"/>
      <c r="AS448" s="1293"/>
      <c r="AT448" s="1293"/>
      <c r="AU448" s="1293"/>
      <c r="AV448" s="1293"/>
      <c r="AW448" s="1293"/>
      <c r="AX448" s="1293"/>
      <c r="AY448" s="1293"/>
      <c r="AZ448" s="1293"/>
      <c r="BA448" s="1293"/>
      <c r="BB448" s="1293"/>
      <c r="BC448" s="1293"/>
      <c r="BD448" s="1293"/>
      <c r="BE448" s="1293"/>
      <c r="BF448" s="1293"/>
      <c r="BG448" s="1293"/>
      <c r="BH448" s="1293"/>
      <c r="BI448" s="1293"/>
      <c r="BJ448" s="1293"/>
      <c r="BK448" s="1293"/>
      <c r="BL448" s="1293"/>
      <c r="BM448" s="1293"/>
      <c r="BN448" s="1293"/>
      <c r="BO448" s="1293"/>
      <c r="BP448" s="1293"/>
      <c r="BQ448" s="1293"/>
      <c r="BR448" s="1293"/>
      <c r="BS448" s="1293"/>
      <c r="BT448" s="1293"/>
      <c r="BU448" s="1293"/>
      <c r="BV448" s="1293"/>
      <c r="BW448" s="1293"/>
      <c r="BX448" s="1293"/>
      <c r="BY448" s="1293"/>
      <c r="BZ448" s="1293"/>
      <c r="CA448" s="1293"/>
      <c r="CB448" s="1293"/>
      <c r="CC448" s="1293"/>
      <c r="CD448" s="1293"/>
      <c r="CE448" s="1293"/>
      <c r="CF448" s="1293"/>
      <c r="CG448" s="1293"/>
    </row>
    <row r="449" spans="1:85" ht="15.75">
      <c r="A449" s="1293"/>
      <c r="B449" s="1293"/>
      <c r="C449" s="1293"/>
      <c r="D449" s="1293"/>
      <c r="E449" s="1293"/>
      <c r="F449" s="1293"/>
      <c r="G449" s="1293"/>
      <c r="H449" s="1293"/>
      <c r="I449" s="1293"/>
      <c r="J449" s="1293"/>
      <c r="K449" s="1293"/>
      <c r="L449" s="1293"/>
      <c r="M449" s="1293"/>
      <c r="N449" s="1293"/>
      <c r="O449" s="1293"/>
      <c r="P449" s="1293"/>
      <c r="Q449" s="1293"/>
      <c r="R449" s="1293"/>
      <c r="S449" s="1293"/>
      <c r="T449" s="1293"/>
      <c r="U449" s="1293"/>
      <c r="V449" s="1293"/>
      <c r="W449" s="1293"/>
      <c r="X449" s="1293"/>
      <c r="Y449" s="1293"/>
      <c r="Z449" s="1293"/>
      <c r="AA449" s="1293"/>
      <c r="AB449" s="1293"/>
      <c r="AC449" s="1293"/>
      <c r="AD449" s="1293"/>
      <c r="AE449" s="1293"/>
      <c r="AF449" s="1293"/>
      <c r="AG449" s="1293"/>
      <c r="AH449" s="1293"/>
      <c r="AI449" s="1293"/>
      <c r="AJ449" s="1293"/>
      <c r="AK449" s="1293"/>
      <c r="AL449" s="1293"/>
      <c r="AM449" s="1293"/>
      <c r="AN449" s="1293"/>
      <c r="AO449" s="1293"/>
      <c r="AP449" s="1293"/>
      <c r="AQ449" s="1293"/>
      <c r="AR449" s="1293"/>
      <c r="AS449" s="1293"/>
      <c r="AT449" s="1293"/>
      <c r="AU449" s="1293"/>
      <c r="AV449" s="1293"/>
      <c r="AW449" s="1293"/>
      <c r="AX449" s="1293"/>
      <c r="AY449" s="1293"/>
      <c r="AZ449" s="1293"/>
      <c r="BA449" s="1293"/>
      <c r="BB449" s="1293"/>
      <c r="BC449" s="1293"/>
      <c r="BD449" s="1293"/>
      <c r="BE449" s="1293"/>
      <c r="BF449" s="1293"/>
      <c r="BG449" s="1293"/>
      <c r="BH449" s="1293"/>
      <c r="BI449" s="1293"/>
      <c r="BJ449" s="1293"/>
      <c r="BK449" s="1293"/>
      <c r="BL449" s="1293"/>
      <c r="BM449" s="1293"/>
      <c r="BN449" s="1293"/>
      <c r="BO449" s="1293"/>
      <c r="BP449" s="1293"/>
      <c r="BQ449" s="1293"/>
      <c r="BR449" s="1293"/>
      <c r="BS449" s="1293"/>
      <c r="BT449" s="1293"/>
      <c r="BU449" s="1293"/>
      <c r="BV449" s="1293"/>
      <c r="BW449" s="1293"/>
      <c r="BX449" s="1293"/>
      <c r="BY449" s="1293"/>
      <c r="BZ449" s="1293"/>
      <c r="CA449" s="1293"/>
      <c r="CB449" s="1293"/>
      <c r="CC449" s="1293"/>
      <c r="CD449" s="1293"/>
      <c r="CE449" s="1293"/>
      <c r="CF449" s="1293"/>
      <c r="CG449" s="1293"/>
    </row>
    <row r="450" spans="1:85" ht="15.75">
      <c r="A450" s="1293"/>
      <c r="B450" s="1293"/>
      <c r="C450" s="1293"/>
      <c r="D450" s="1293"/>
      <c r="E450" s="1293"/>
      <c r="F450" s="1293"/>
      <c r="G450" s="1293"/>
      <c r="H450" s="1293"/>
      <c r="I450" s="1293"/>
      <c r="J450" s="1293"/>
      <c r="K450" s="1293"/>
      <c r="L450" s="1293"/>
      <c r="M450" s="1293"/>
      <c r="N450" s="1293"/>
      <c r="O450" s="1293"/>
      <c r="P450" s="1293"/>
      <c r="Q450" s="1293"/>
      <c r="R450" s="1293"/>
      <c r="S450" s="1293"/>
      <c r="T450" s="1293"/>
      <c r="U450" s="1293"/>
      <c r="V450" s="1293"/>
      <c r="W450" s="1293"/>
      <c r="X450" s="1293"/>
      <c r="Y450" s="1293"/>
      <c r="Z450" s="1293"/>
      <c r="AA450" s="1293"/>
      <c r="AB450" s="1293"/>
      <c r="AC450" s="1293"/>
      <c r="AD450" s="1293"/>
      <c r="AE450" s="1293"/>
      <c r="AF450" s="1293"/>
      <c r="AG450" s="1293"/>
      <c r="AH450" s="1293"/>
      <c r="AI450" s="1293"/>
      <c r="AJ450" s="1293"/>
      <c r="AK450" s="1293"/>
      <c r="AL450" s="1293"/>
      <c r="AM450" s="1293"/>
      <c r="AN450" s="1293"/>
      <c r="AO450" s="1293"/>
      <c r="AP450" s="1293"/>
      <c r="AQ450" s="1293"/>
      <c r="AR450" s="1293"/>
      <c r="AS450" s="1293"/>
      <c r="AT450" s="1293"/>
      <c r="AU450" s="1293"/>
      <c r="AV450" s="1293"/>
      <c r="AW450" s="1293"/>
      <c r="AX450" s="1293"/>
      <c r="AY450" s="1293"/>
      <c r="AZ450" s="1293"/>
      <c r="BA450" s="1293"/>
      <c r="BB450" s="1293"/>
      <c r="BC450" s="1293"/>
      <c r="BD450" s="1293"/>
      <c r="BE450" s="1293"/>
      <c r="BF450" s="1293"/>
      <c r="BG450" s="1293"/>
      <c r="BH450" s="1293"/>
      <c r="BI450" s="1293"/>
      <c r="BJ450" s="1293"/>
      <c r="BK450" s="1293"/>
      <c r="BL450" s="1293"/>
      <c r="BM450" s="1293"/>
      <c r="BN450" s="1293"/>
      <c r="BO450" s="1293"/>
      <c r="BP450" s="1293"/>
      <c r="BQ450" s="1293"/>
      <c r="BR450" s="1293"/>
      <c r="BS450" s="1293"/>
      <c r="BT450" s="1293"/>
      <c r="BU450" s="1293"/>
      <c r="BV450" s="1293"/>
      <c r="BW450" s="1293"/>
      <c r="BX450" s="1293"/>
      <c r="BY450" s="1293"/>
      <c r="BZ450" s="1293"/>
      <c r="CA450" s="1293"/>
      <c r="CB450" s="1293"/>
      <c r="CC450" s="1293"/>
      <c r="CD450" s="1293"/>
      <c r="CE450" s="1293"/>
      <c r="CF450" s="1293"/>
      <c r="CG450" s="1293"/>
    </row>
    <row r="451" spans="1:85" ht="15.75">
      <c r="A451" s="1293"/>
      <c r="B451" s="1293"/>
      <c r="C451" s="1979" t="s">
        <v>3940</v>
      </c>
      <c r="D451" s="1293"/>
      <c r="E451" s="1293"/>
      <c r="F451" s="1293"/>
      <c r="G451" s="1293"/>
      <c r="H451" s="1293"/>
      <c r="I451" s="1293"/>
      <c r="J451" s="1293"/>
      <c r="K451" s="1293"/>
      <c r="L451" s="1293"/>
      <c r="M451" s="1293"/>
      <c r="N451" s="1293"/>
      <c r="O451" s="1293"/>
      <c r="P451" s="1293"/>
      <c r="Q451" s="1293"/>
      <c r="R451" s="1293"/>
      <c r="S451" s="1293"/>
      <c r="T451" s="1293"/>
      <c r="U451" s="1293"/>
      <c r="V451" s="1293"/>
      <c r="W451" s="1293"/>
      <c r="X451" s="1293"/>
      <c r="Y451" s="1293"/>
      <c r="Z451" s="1293"/>
      <c r="AA451" s="1293"/>
      <c r="AB451" s="1293"/>
      <c r="AC451" s="1293"/>
      <c r="AD451" s="1293"/>
      <c r="AE451" s="1293"/>
      <c r="AF451" s="1293"/>
      <c r="AG451" s="1293"/>
      <c r="AH451" s="1293"/>
      <c r="AI451" s="1293"/>
      <c r="AJ451" s="1293"/>
      <c r="AK451" s="1293"/>
      <c r="AL451" s="1293"/>
      <c r="AM451" s="1293"/>
      <c r="AN451" s="1293"/>
      <c r="AO451" s="1293"/>
      <c r="AP451" s="1293"/>
      <c r="AQ451" s="1293"/>
      <c r="AR451" s="1293"/>
      <c r="AS451" s="1293"/>
      <c r="AT451" s="1293"/>
      <c r="AU451" s="1293"/>
      <c r="AV451" s="1293"/>
      <c r="AW451" s="1293"/>
      <c r="AX451" s="1293"/>
      <c r="AY451" s="1293"/>
      <c r="AZ451" s="1293"/>
      <c r="BA451" s="1293"/>
      <c r="BB451" s="1293"/>
      <c r="BC451" s="1293"/>
      <c r="BD451" s="1293"/>
      <c r="BE451" s="1293"/>
      <c r="BF451" s="1293"/>
      <c r="BG451" s="1293"/>
      <c r="BH451" s="1293"/>
      <c r="BI451" s="1293"/>
      <c r="BJ451" s="1293"/>
      <c r="BK451" s="1293"/>
      <c r="BL451" s="1293"/>
      <c r="BM451" s="1293"/>
      <c r="BN451" s="1293"/>
      <c r="BO451" s="1293"/>
      <c r="BP451" s="1293"/>
      <c r="BQ451" s="1293"/>
      <c r="BR451" s="1293"/>
      <c r="BS451" s="1293"/>
      <c r="BT451" s="1293"/>
      <c r="BU451" s="1293"/>
      <c r="BV451" s="1293"/>
      <c r="BW451" s="1293"/>
      <c r="BX451" s="1293"/>
      <c r="BY451" s="1293"/>
      <c r="BZ451" s="1293"/>
      <c r="CA451" s="1293"/>
      <c r="CB451" s="1293"/>
      <c r="CC451" s="1293"/>
      <c r="CD451" s="1293"/>
      <c r="CE451" s="1293"/>
      <c r="CF451" s="1293"/>
      <c r="CG451" s="1293"/>
    </row>
    <row r="452" spans="1:85" ht="15.75">
      <c r="A452" s="1293"/>
      <c r="B452" s="1293"/>
      <c r="C452" s="1331"/>
      <c r="D452" s="1331">
        <f t="shared" ref="D452:T452" si="370">D382</f>
        <v>2014</v>
      </c>
      <c r="E452" s="1331">
        <f t="shared" si="370"/>
        <v>2015</v>
      </c>
      <c r="F452" s="1331">
        <f t="shared" si="370"/>
        <v>2016</v>
      </c>
      <c r="G452" s="1331">
        <f t="shared" si="370"/>
        <v>2017</v>
      </c>
      <c r="H452" s="1331">
        <f t="shared" si="370"/>
        <v>2018</v>
      </c>
      <c r="I452" s="1331">
        <f t="shared" si="370"/>
        <v>2019</v>
      </c>
      <c r="J452" s="1331">
        <f t="shared" si="370"/>
        <v>2020</v>
      </c>
      <c r="K452" s="1331">
        <f t="shared" si="370"/>
        <v>2021</v>
      </c>
      <c r="L452" s="1331">
        <f t="shared" si="370"/>
        <v>2022</v>
      </c>
      <c r="M452" s="1331">
        <f t="shared" si="370"/>
        <v>2023</v>
      </c>
      <c r="N452" s="1331">
        <f t="shared" si="370"/>
        <v>2024</v>
      </c>
      <c r="O452" s="1331">
        <f t="shared" si="370"/>
        <v>2025</v>
      </c>
      <c r="P452" s="1331">
        <f t="shared" si="370"/>
        <v>2026</v>
      </c>
      <c r="Q452" s="1331">
        <f t="shared" si="370"/>
        <v>2027</v>
      </c>
      <c r="R452" s="1331">
        <f t="shared" si="370"/>
        <v>2028</v>
      </c>
      <c r="S452" s="1331">
        <f t="shared" si="370"/>
        <v>2029</v>
      </c>
      <c r="T452" s="1331">
        <f t="shared" si="370"/>
        <v>2030</v>
      </c>
      <c r="U452" s="1293"/>
      <c r="V452" s="1293"/>
      <c r="W452" s="1293"/>
      <c r="X452" s="1293"/>
      <c r="Y452" s="1293"/>
      <c r="Z452" s="1293"/>
      <c r="AA452" s="1293"/>
      <c r="AB452" s="1293"/>
      <c r="AC452" s="1293"/>
      <c r="AD452" s="1293"/>
      <c r="AE452" s="1293"/>
      <c r="AF452" s="1293"/>
      <c r="AG452" s="1293"/>
      <c r="AH452" s="1293"/>
      <c r="AI452" s="1293"/>
      <c r="AJ452" s="1293"/>
      <c r="AK452" s="1293"/>
      <c r="AL452" s="1293"/>
      <c r="AM452" s="1293"/>
      <c r="AN452" s="1293"/>
      <c r="AO452" s="1293"/>
      <c r="AP452" s="1293"/>
      <c r="AQ452" s="1293"/>
      <c r="AR452" s="1293"/>
      <c r="AS452" s="1293"/>
      <c r="AT452" s="1293"/>
      <c r="AU452" s="1293"/>
      <c r="AV452" s="1293"/>
      <c r="AW452" s="1293"/>
      <c r="AX452" s="1293"/>
      <c r="AY452" s="1293"/>
      <c r="AZ452" s="1293"/>
      <c r="BA452" s="1293"/>
      <c r="BB452" s="1293"/>
      <c r="BC452" s="1293"/>
      <c r="BD452" s="1293"/>
      <c r="BE452" s="1293"/>
      <c r="BF452" s="1293"/>
      <c r="BG452" s="1293"/>
      <c r="BH452" s="1293"/>
      <c r="BI452" s="1293"/>
      <c r="BJ452" s="1293"/>
      <c r="BK452" s="1293"/>
      <c r="BL452" s="1293"/>
      <c r="BM452" s="1293"/>
      <c r="BN452" s="1293"/>
      <c r="BO452" s="1293"/>
      <c r="BP452" s="1293"/>
      <c r="BQ452" s="1293"/>
      <c r="BR452" s="1293"/>
      <c r="BS452" s="1293"/>
      <c r="BT452" s="1293"/>
      <c r="BU452" s="1293"/>
      <c r="BV452" s="1293"/>
      <c r="BW452" s="1293"/>
      <c r="BX452" s="1293"/>
      <c r="BY452" s="1293"/>
      <c r="BZ452" s="1293"/>
      <c r="CA452" s="1293"/>
      <c r="CB452" s="1293"/>
      <c r="CC452" s="1293"/>
      <c r="CD452" s="1293"/>
      <c r="CE452" s="1293"/>
      <c r="CF452" s="1293"/>
      <c r="CG452" s="1293"/>
    </row>
    <row r="453" spans="1:85" ht="15.75">
      <c r="A453" s="1293"/>
      <c r="B453" s="1293"/>
      <c r="C453" s="1293"/>
      <c r="D453" s="1327"/>
      <c r="E453" s="1327"/>
      <c r="F453" s="1327"/>
      <c r="G453" s="1327"/>
      <c r="H453" s="1327"/>
      <c r="I453" s="1327"/>
      <c r="J453" s="1327"/>
      <c r="K453" s="1327"/>
      <c r="L453" s="1327"/>
      <c r="M453" s="1327"/>
      <c r="N453" s="1327"/>
      <c r="O453" s="1327"/>
      <c r="P453" s="1327"/>
      <c r="Q453" s="1327"/>
      <c r="R453" s="1327"/>
      <c r="S453" s="1327"/>
      <c r="T453" s="1327"/>
      <c r="U453" s="1293"/>
      <c r="V453" s="1293"/>
      <c r="W453" s="1293"/>
      <c r="X453" s="1293"/>
      <c r="Y453" s="1293"/>
      <c r="Z453" s="1293"/>
      <c r="AA453" s="1293"/>
      <c r="AB453" s="1293"/>
      <c r="AC453" s="1293"/>
      <c r="AD453" s="1293"/>
      <c r="AE453" s="1293"/>
      <c r="AF453" s="1293"/>
      <c r="AG453" s="1293"/>
      <c r="AH453" s="1293"/>
      <c r="AI453" s="1293"/>
      <c r="AJ453" s="1293"/>
      <c r="AK453" s="1293"/>
      <c r="AL453" s="1293"/>
      <c r="AM453" s="1293"/>
      <c r="AN453" s="1293"/>
      <c r="AO453" s="1293"/>
      <c r="AP453" s="1293"/>
      <c r="AQ453" s="1293"/>
      <c r="AR453" s="1293"/>
      <c r="AS453" s="1293"/>
      <c r="AT453" s="1293"/>
      <c r="AU453" s="1293"/>
      <c r="AV453" s="1293"/>
      <c r="AW453" s="1293"/>
      <c r="AX453" s="1293"/>
      <c r="AY453" s="1293"/>
      <c r="AZ453" s="1293"/>
      <c r="BA453" s="1293"/>
      <c r="BB453" s="1293"/>
      <c r="BC453" s="1293"/>
      <c r="BD453" s="1293"/>
      <c r="BE453" s="1293"/>
      <c r="BF453" s="1293"/>
      <c r="BG453" s="1293"/>
      <c r="BH453" s="1293"/>
      <c r="BI453" s="1293"/>
      <c r="BJ453" s="1293"/>
      <c r="BK453" s="1293"/>
      <c r="BL453" s="1293"/>
      <c r="BM453" s="1293"/>
      <c r="BN453" s="1293"/>
      <c r="BO453" s="1293"/>
      <c r="BP453" s="1293"/>
      <c r="BQ453" s="1293"/>
      <c r="BR453" s="1293"/>
      <c r="BS453" s="1293"/>
      <c r="BT453" s="1293"/>
      <c r="BU453" s="1293"/>
      <c r="BV453" s="1293"/>
      <c r="BW453" s="1293"/>
      <c r="BX453" s="1293"/>
      <c r="BY453" s="1293"/>
      <c r="BZ453" s="1293"/>
      <c r="CA453" s="1293"/>
      <c r="CB453" s="1293"/>
      <c r="CC453" s="1293"/>
      <c r="CD453" s="1293"/>
      <c r="CE453" s="1293"/>
      <c r="CF453" s="1293"/>
      <c r="CG453" s="1293"/>
    </row>
    <row r="454" spans="1:85" ht="15.75">
      <c r="A454" s="1293"/>
      <c r="B454" s="1293"/>
      <c r="C454" s="1293" t="str">
        <f t="shared" ref="C454:C459" si="371">C5</f>
        <v>El Salvador</v>
      </c>
      <c r="D454" s="1327"/>
      <c r="E454" s="1327"/>
      <c r="F454" s="1327"/>
      <c r="G454" s="1327"/>
      <c r="H454" s="1327"/>
      <c r="I454" s="1327"/>
      <c r="J454" s="1327"/>
      <c r="K454" s="1327"/>
      <c r="L454" s="1327">
        <f t="shared" ref="L454:T454" si="372">L273-L383</f>
        <v>99.546962681708735</v>
      </c>
      <c r="M454" s="1327">
        <f t="shared" si="372"/>
        <v>103.67457885779926</v>
      </c>
      <c r="N454" s="1327">
        <f t="shared" si="372"/>
        <v>144.49503435640813</v>
      </c>
      <c r="O454" s="1327">
        <f t="shared" si="372"/>
        <v>146.35198000000003</v>
      </c>
      <c r="P454" s="1327">
        <f t="shared" si="372"/>
        <v>151.85279580000002</v>
      </c>
      <c r="Q454" s="1327">
        <f t="shared" si="372"/>
        <v>158.82772930200002</v>
      </c>
      <c r="R454" s="1327">
        <f t="shared" si="372"/>
        <v>166.02091902576001</v>
      </c>
      <c r="S454" s="1327">
        <f t="shared" si="372"/>
        <v>177.53527308722403</v>
      </c>
      <c r="T454" s="1327">
        <f t="shared" si="372"/>
        <v>192.22973107505888</v>
      </c>
      <c r="U454" s="1293"/>
      <c r="V454" s="1293"/>
      <c r="W454" s="1293"/>
      <c r="X454" s="1293"/>
      <c r="Y454" s="1293"/>
      <c r="Z454" s="1293"/>
      <c r="AA454" s="1293"/>
      <c r="AB454" s="1293"/>
      <c r="AC454" s="1293"/>
      <c r="AD454" s="1293"/>
      <c r="AE454" s="1293"/>
      <c r="AF454" s="1293"/>
      <c r="AG454" s="1293"/>
      <c r="AH454" s="1293"/>
      <c r="AI454" s="1293"/>
      <c r="AJ454" s="1293"/>
      <c r="AK454" s="1293"/>
      <c r="AL454" s="1293"/>
      <c r="AM454" s="1293"/>
      <c r="AN454" s="1293"/>
      <c r="AO454" s="1293"/>
      <c r="AP454" s="1293"/>
      <c r="AQ454" s="1293"/>
      <c r="AR454" s="1293"/>
      <c r="AS454" s="1293"/>
      <c r="AT454" s="1293"/>
      <c r="AU454" s="1293"/>
      <c r="AV454" s="1293"/>
      <c r="AW454" s="1293"/>
      <c r="AX454" s="1293"/>
      <c r="AY454" s="1293"/>
      <c r="AZ454" s="1293"/>
      <c r="BA454" s="1293"/>
      <c r="BB454" s="1293"/>
      <c r="BC454" s="1293"/>
      <c r="BD454" s="1293"/>
      <c r="BE454" s="1293"/>
      <c r="BF454" s="1293"/>
      <c r="BG454" s="1293"/>
      <c r="BH454" s="1293"/>
      <c r="BI454" s="1293"/>
      <c r="BJ454" s="1293"/>
      <c r="BK454" s="1293"/>
      <c r="BL454" s="1293"/>
      <c r="BM454" s="1293"/>
      <c r="BN454" s="1293"/>
      <c r="BO454" s="1293"/>
      <c r="BP454" s="1293"/>
      <c r="BQ454" s="1293"/>
      <c r="BR454" s="1293"/>
      <c r="BS454" s="1293"/>
      <c r="BT454" s="1293"/>
      <c r="BU454" s="1293"/>
      <c r="BV454" s="1293"/>
      <c r="BW454" s="1293"/>
      <c r="BX454" s="1293"/>
      <c r="BY454" s="1293"/>
      <c r="BZ454" s="1293"/>
      <c r="CA454" s="1293"/>
      <c r="CB454" s="1293"/>
      <c r="CC454" s="1293"/>
      <c r="CD454" s="1293"/>
      <c r="CE454" s="1293"/>
      <c r="CF454" s="1293"/>
      <c r="CG454" s="1293"/>
    </row>
    <row r="455" spans="1:85" ht="15.75">
      <c r="A455" s="1293"/>
      <c r="B455" s="1293"/>
      <c r="C455" s="1293" t="str">
        <f t="shared" si="371"/>
        <v>Guatemala</v>
      </c>
      <c r="D455" s="1327"/>
      <c r="E455" s="1327"/>
      <c r="F455" s="1327"/>
      <c r="G455" s="1327"/>
      <c r="H455" s="1327"/>
      <c r="I455" s="1327"/>
      <c r="J455" s="1327"/>
      <c r="K455" s="1327"/>
      <c r="L455" s="1327">
        <f t="shared" ref="L455:T455" si="373">L274-L384</f>
        <v>659.08</v>
      </c>
      <c r="M455" s="1327">
        <f t="shared" si="373"/>
        <v>627.2650000000001</v>
      </c>
      <c r="N455" s="1327">
        <f t="shared" si="373"/>
        <v>691.86189999999999</v>
      </c>
      <c r="O455" s="1327">
        <f t="shared" si="373"/>
        <v>702.26527469987025</v>
      </c>
      <c r="P455" s="1327">
        <f t="shared" si="373"/>
        <v>724.81318419585727</v>
      </c>
      <c r="Q455" s="1327">
        <f t="shared" si="373"/>
        <v>739.36366828363032</v>
      </c>
      <c r="R455" s="1327">
        <f>R274-R384</f>
        <v>754.18335994825168</v>
      </c>
      <c r="S455" s="1327">
        <f t="shared" si="373"/>
        <v>766.00281062466831</v>
      </c>
      <c r="T455" s="1327">
        <f t="shared" si="373"/>
        <v>777.98237753250226</v>
      </c>
      <c r="U455" s="1293"/>
      <c r="V455" s="1293"/>
      <c r="W455" s="1293"/>
      <c r="X455" s="1293"/>
      <c r="Y455" s="1293"/>
      <c r="Z455" s="1293"/>
      <c r="AA455" s="1293"/>
      <c r="AB455" s="1293"/>
      <c r="AC455" s="1293"/>
      <c r="AD455" s="1293"/>
      <c r="AE455" s="1293"/>
      <c r="AF455" s="1293"/>
      <c r="AG455" s="1293"/>
      <c r="AH455" s="1293"/>
      <c r="AI455" s="1293"/>
      <c r="AJ455" s="1293"/>
      <c r="AK455" s="1293"/>
      <c r="AL455" s="1293"/>
      <c r="AM455" s="1293"/>
      <c r="AN455" s="1293"/>
      <c r="AO455" s="1293"/>
      <c r="AP455" s="1293"/>
      <c r="AQ455" s="1293"/>
      <c r="AR455" s="1293"/>
      <c r="AS455" s="1293"/>
      <c r="AT455" s="1293"/>
      <c r="AU455" s="1293"/>
      <c r="AV455" s="1293"/>
      <c r="AW455" s="1293"/>
      <c r="AX455" s="1293"/>
      <c r="AY455" s="1293"/>
      <c r="AZ455" s="1293"/>
      <c r="BA455" s="1293"/>
      <c r="BB455" s="1293"/>
      <c r="BC455" s="1293"/>
      <c r="BD455" s="1293"/>
      <c r="BE455" s="1293"/>
      <c r="BF455" s="1293"/>
      <c r="BG455" s="1293"/>
      <c r="BH455" s="1293"/>
      <c r="BI455" s="1293"/>
      <c r="BJ455" s="1293"/>
      <c r="BK455" s="1293"/>
      <c r="BL455" s="1293"/>
      <c r="BM455" s="1293"/>
      <c r="BN455" s="1293"/>
      <c r="BO455" s="1293"/>
      <c r="BP455" s="1293"/>
      <c r="BQ455" s="1293"/>
      <c r="BR455" s="1293"/>
      <c r="BS455" s="1293"/>
      <c r="BT455" s="1293"/>
      <c r="BU455" s="1293"/>
      <c r="BV455" s="1293"/>
      <c r="BW455" s="1293"/>
      <c r="BX455" s="1293"/>
      <c r="BY455" s="1293"/>
      <c r="BZ455" s="1293"/>
      <c r="CA455" s="1293"/>
      <c r="CB455" s="1293"/>
      <c r="CC455" s="1293"/>
      <c r="CD455" s="1293"/>
      <c r="CE455" s="1293"/>
      <c r="CF455" s="1293"/>
      <c r="CG455" s="1293"/>
    </row>
    <row r="456" spans="1:85" ht="15.75">
      <c r="A456" s="1293"/>
      <c r="B456" s="1293"/>
      <c r="C456" s="1293" t="str">
        <f t="shared" si="371"/>
        <v>Honduras (JV)</v>
      </c>
      <c r="D456" s="1327"/>
      <c r="E456" s="1327"/>
      <c r="F456" s="1327"/>
      <c r="G456" s="1327"/>
      <c r="H456" s="1327"/>
      <c r="I456" s="1327"/>
      <c r="J456" s="1327"/>
      <c r="K456" s="1327"/>
      <c r="L456" s="1327">
        <f t="shared" ref="L456:T456" si="374">L275-L385</f>
        <v>183.84000000000003</v>
      </c>
      <c r="M456" s="1327">
        <f t="shared" si="374"/>
        <v>172.30399999999997</v>
      </c>
      <c r="N456" s="1327">
        <f t="shared" si="374"/>
        <v>227.0249</v>
      </c>
      <c r="O456" s="1327">
        <f t="shared" si="374"/>
        <v>209.70413682459036</v>
      </c>
      <c r="P456" s="1327">
        <f t="shared" si="374"/>
        <v>215.30942932785467</v>
      </c>
      <c r="Q456" s="1327">
        <f t="shared" si="374"/>
        <v>224.24445809567638</v>
      </c>
      <c r="R456" s="1327">
        <f t="shared" si="374"/>
        <v>234.14565790959506</v>
      </c>
      <c r="S456" s="1327">
        <f t="shared" si="374"/>
        <v>244.1609981395323</v>
      </c>
      <c r="T456" s="1327">
        <f t="shared" si="374"/>
        <v>254.41905770620224</v>
      </c>
      <c r="U456" s="1293"/>
      <c r="V456" s="1293"/>
      <c r="W456" s="1293"/>
      <c r="X456" s="1293"/>
      <c r="Y456" s="1293"/>
      <c r="Z456" s="1293"/>
      <c r="AA456" s="1293"/>
      <c r="AB456" s="1293"/>
      <c r="AC456" s="1293"/>
      <c r="AD456" s="1293"/>
      <c r="AE456" s="1293"/>
      <c r="AF456" s="1293"/>
      <c r="AG456" s="1293"/>
      <c r="AH456" s="1293"/>
      <c r="AI456" s="1293"/>
      <c r="AJ456" s="1293"/>
      <c r="AK456" s="1293"/>
      <c r="AL456" s="1293"/>
      <c r="AM456" s="1293"/>
      <c r="AN456" s="1293"/>
      <c r="AO456" s="1293"/>
      <c r="AP456" s="1293"/>
      <c r="AQ456" s="1293"/>
      <c r="AR456" s="1293"/>
      <c r="AS456" s="1293"/>
      <c r="AT456" s="1293"/>
      <c r="AU456" s="1293"/>
      <c r="AV456" s="1293"/>
      <c r="AW456" s="1293"/>
      <c r="AX456" s="1293"/>
      <c r="AY456" s="1293"/>
      <c r="AZ456" s="1293"/>
      <c r="BA456" s="1293"/>
      <c r="BB456" s="1293"/>
      <c r="BC456" s="1293"/>
      <c r="BD456" s="1293"/>
      <c r="BE456" s="1293"/>
      <c r="BF456" s="1293"/>
      <c r="BG456" s="1293"/>
      <c r="BH456" s="1293"/>
      <c r="BI456" s="1293"/>
      <c r="BJ456" s="1293"/>
      <c r="BK456" s="1293"/>
      <c r="BL456" s="1293"/>
      <c r="BM456" s="1293"/>
      <c r="BN456" s="1293"/>
      <c r="BO456" s="1293"/>
      <c r="BP456" s="1293"/>
      <c r="BQ456" s="1293"/>
      <c r="BR456" s="1293"/>
      <c r="BS456" s="1293"/>
      <c r="BT456" s="1293"/>
      <c r="BU456" s="1293"/>
      <c r="BV456" s="1293"/>
      <c r="BW456" s="1293"/>
      <c r="BX456" s="1293"/>
      <c r="BY456" s="1293"/>
      <c r="BZ456" s="1293"/>
      <c r="CA456" s="1293"/>
      <c r="CB456" s="1293"/>
      <c r="CC456" s="1293"/>
      <c r="CD456" s="1293"/>
      <c r="CE456" s="1293"/>
      <c r="CF456" s="1293"/>
      <c r="CG456" s="1293"/>
    </row>
    <row r="457" spans="1:85" ht="15.75">
      <c r="A457" s="1293"/>
      <c r="B457" s="1293"/>
      <c r="C457" s="1293" t="str">
        <f t="shared" si="371"/>
        <v>Panama</v>
      </c>
      <c r="D457" s="1327"/>
      <c r="E457" s="1327"/>
      <c r="F457" s="1327"/>
      <c r="G457" s="1327"/>
      <c r="H457" s="1327"/>
      <c r="I457" s="1327"/>
      <c r="J457" s="1327"/>
      <c r="K457" s="1327"/>
      <c r="L457" s="1327">
        <f t="shared" ref="L457:T457" si="375">L276-L386</f>
        <v>192.423</v>
      </c>
      <c r="M457" s="1327">
        <f t="shared" si="375"/>
        <v>204.18920000000003</v>
      </c>
      <c r="N457" s="1327">
        <f t="shared" si="375"/>
        <v>257.94280000000003</v>
      </c>
      <c r="O457" s="1327">
        <f t="shared" si="375"/>
        <v>267.60662200000002</v>
      </c>
      <c r="P457" s="1327">
        <f t="shared" si="375"/>
        <v>288.79571214000003</v>
      </c>
      <c r="Q457" s="1327">
        <f t="shared" si="375"/>
        <v>306.32974679520004</v>
      </c>
      <c r="R457" s="1327">
        <f t="shared" si="375"/>
        <v>321.86189021028605</v>
      </c>
      <c r="S457" s="1327">
        <f t="shared" si="375"/>
        <v>337.3631009433949</v>
      </c>
      <c r="T457" s="1327">
        <f t="shared" si="375"/>
        <v>351.95412459751992</v>
      </c>
      <c r="U457" s="1293"/>
      <c r="V457" s="1293"/>
      <c r="W457" s="1293"/>
      <c r="X457" s="1293"/>
      <c r="Y457" s="1293"/>
      <c r="Z457" s="1293"/>
      <c r="AA457" s="1293"/>
      <c r="AB457" s="1293"/>
      <c r="AC457" s="1293"/>
      <c r="AD457" s="1293"/>
      <c r="AE457" s="1293"/>
      <c r="AF457" s="1293"/>
      <c r="AG457" s="1293"/>
      <c r="AH457" s="1293"/>
      <c r="AI457" s="1293"/>
      <c r="AJ457" s="1293"/>
      <c r="AK457" s="1293"/>
      <c r="AL457" s="1293"/>
      <c r="AM457" s="1293"/>
      <c r="AN457" s="1293"/>
      <c r="AO457" s="1293"/>
      <c r="AP457" s="1293"/>
      <c r="AQ457" s="1293"/>
      <c r="AR457" s="1293"/>
      <c r="AS457" s="1293"/>
      <c r="AT457" s="1293"/>
      <c r="AU457" s="1293"/>
      <c r="AV457" s="1293"/>
      <c r="AW457" s="1293"/>
      <c r="AX457" s="1293"/>
      <c r="AY457" s="1293"/>
      <c r="AZ457" s="1293"/>
      <c r="BA457" s="1293"/>
      <c r="BB457" s="1293"/>
      <c r="BC457" s="1293"/>
      <c r="BD457" s="1293"/>
      <c r="BE457" s="1293"/>
      <c r="BF457" s="1293"/>
      <c r="BG457" s="1293"/>
      <c r="BH457" s="1293"/>
      <c r="BI457" s="1293"/>
      <c r="BJ457" s="1293"/>
      <c r="BK457" s="1293"/>
      <c r="BL457" s="1293"/>
      <c r="BM457" s="1293"/>
      <c r="BN457" s="1293"/>
      <c r="BO457" s="1293"/>
      <c r="BP457" s="1293"/>
      <c r="BQ457" s="1293"/>
      <c r="BR457" s="1293"/>
      <c r="BS457" s="1293"/>
      <c r="BT457" s="1293"/>
      <c r="BU457" s="1293"/>
      <c r="BV457" s="1293"/>
      <c r="BW457" s="1293"/>
      <c r="BX457" s="1293"/>
      <c r="BY457" s="1293"/>
      <c r="BZ457" s="1293"/>
      <c r="CA457" s="1293"/>
      <c r="CB457" s="1293"/>
      <c r="CC457" s="1293"/>
      <c r="CD457" s="1293"/>
      <c r="CE457" s="1293"/>
      <c r="CF457" s="1293"/>
      <c r="CG457" s="1293"/>
    </row>
    <row r="458" spans="1:85" ht="15.75">
      <c r="A458" s="1293"/>
      <c r="B458" s="1293"/>
      <c r="C458" s="1293" t="str">
        <f t="shared" si="371"/>
        <v>Costa Rica</v>
      </c>
      <c r="D458" s="1327"/>
      <c r="E458" s="1327"/>
      <c r="F458" s="1327"/>
      <c r="G458" s="1327"/>
      <c r="H458" s="1327"/>
      <c r="I458" s="1327"/>
      <c r="J458" s="1327"/>
      <c r="K458" s="1327"/>
      <c r="L458" s="1327">
        <f t="shared" ref="L458:T458" si="376">L277-L387</f>
        <v>22.799599704583962</v>
      </c>
      <c r="M458" s="1327">
        <f t="shared" si="376"/>
        <v>31.107153492972927</v>
      </c>
      <c r="N458" s="1327">
        <f t="shared" si="376"/>
        <v>27.960489524854136</v>
      </c>
      <c r="O458" s="1327">
        <f t="shared" si="376"/>
        <v>27.817560154173652</v>
      </c>
      <c r="P458" s="1327">
        <f t="shared" si="376"/>
        <v>27.934483400735289</v>
      </c>
      <c r="Q458" s="1327">
        <f t="shared" si="376"/>
        <v>27.460900220858559</v>
      </c>
      <c r="R458" s="1327">
        <f t="shared" si="376"/>
        <v>27.26352407134134</v>
      </c>
      <c r="S458" s="1327">
        <f t="shared" si="376"/>
        <v>27.671285191035413</v>
      </c>
      <c r="T458" s="1327">
        <f t="shared" si="376"/>
        <v>28.068438952743236</v>
      </c>
      <c r="U458" s="1293"/>
      <c r="V458" s="1293"/>
      <c r="W458" s="1293"/>
      <c r="X458" s="1293"/>
      <c r="Y458" s="1293"/>
      <c r="Z458" s="1293"/>
      <c r="AA458" s="1293"/>
      <c r="AB458" s="1293"/>
      <c r="AC458" s="1293"/>
      <c r="AD458" s="1293"/>
      <c r="AE458" s="1293"/>
      <c r="AF458" s="1293"/>
      <c r="AG458" s="1293"/>
      <c r="AH458" s="1293"/>
      <c r="AI458" s="1293"/>
      <c r="AJ458" s="1293"/>
      <c r="AK458" s="1293"/>
      <c r="AL458" s="1293"/>
      <c r="AM458" s="1293"/>
      <c r="AN458" s="1293"/>
      <c r="AO458" s="1293"/>
      <c r="AP458" s="1293"/>
      <c r="AQ458" s="1293"/>
      <c r="AR458" s="1293"/>
      <c r="AS458" s="1293"/>
      <c r="AT458" s="1293"/>
      <c r="AU458" s="1293"/>
      <c r="AV458" s="1293"/>
      <c r="AW458" s="1293"/>
      <c r="AX458" s="1293"/>
      <c r="AY458" s="1293"/>
      <c r="AZ458" s="1293"/>
      <c r="BA458" s="1293"/>
      <c r="BB458" s="1293"/>
      <c r="BC458" s="1293"/>
      <c r="BD458" s="1293"/>
      <c r="BE458" s="1293"/>
      <c r="BF458" s="1293"/>
      <c r="BG458" s="1293"/>
      <c r="BH458" s="1293"/>
      <c r="BI458" s="1293"/>
      <c r="BJ458" s="1293"/>
      <c r="BK458" s="1293"/>
      <c r="BL458" s="1293"/>
      <c r="BM458" s="1293"/>
      <c r="BN458" s="1293"/>
      <c r="BO458" s="1293"/>
      <c r="BP458" s="1293"/>
      <c r="BQ458" s="1293"/>
      <c r="BR458" s="1293"/>
      <c r="BS458" s="1293"/>
      <c r="BT458" s="1293"/>
      <c r="BU458" s="1293"/>
      <c r="BV458" s="1293"/>
      <c r="BW458" s="1293"/>
      <c r="BX458" s="1293"/>
      <c r="BY458" s="1293"/>
      <c r="BZ458" s="1293"/>
      <c r="CA458" s="1293"/>
      <c r="CB458" s="1293"/>
      <c r="CC458" s="1293"/>
      <c r="CD458" s="1293"/>
      <c r="CE458" s="1293"/>
      <c r="CF458" s="1293"/>
      <c r="CG458" s="1293"/>
    </row>
    <row r="459" spans="1:85" ht="15.75">
      <c r="A459" s="1293"/>
      <c r="B459" s="1293"/>
      <c r="C459" s="1293" t="str">
        <f t="shared" si="371"/>
        <v>Nicaragua</v>
      </c>
      <c r="D459" s="1327"/>
      <c r="E459" s="1327"/>
      <c r="F459" s="1327"/>
      <c r="G459" s="1327"/>
      <c r="H459" s="1327"/>
      <c r="I459" s="1327"/>
      <c r="J459" s="1327"/>
      <c r="K459" s="1327"/>
      <c r="L459" s="1327">
        <f t="shared" ref="L459:T459" si="377">L278-L388</f>
        <v>69.604937613707278</v>
      </c>
      <c r="M459" s="1327">
        <f t="shared" si="377"/>
        <v>72.600767649227805</v>
      </c>
      <c r="N459" s="1327">
        <f t="shared" si="377"/>
        <v>86.879076118737743</v>
      </c>
      <c r="O459" s="1327">
        <f t="shared" si="377"/>
        <v>89.243771227908496</v>
      </c>
      <c r="P459" s="1327">
        <f t="shared" si="377"/>
        <v>93.378824015689759</v>
      </c>
      <c r="Q459" s="1327">
        <f t="shared" si="377"/>
        <v>96.564448852251587</v>
      </c>
      <c r="R459" s="1327">
        <f t="shared" si="377"/>
        <v>99.372447837650498</v>
      </c>
      <c r="S459" s="1327">
        <f t="shared" si="377"/>
        <v>103.92692994250365</v>
      </c>
      <c r="T459" s="1327">
        <f t="shared" si="377"/>
        <v>107.32230313691377</v>
      </c>
      <c r="U459" s="1293"/>
      <c r="V459" s="1293"/>
      <c r="W459" s="1293"/>
      <c r="X459" s="1293"/>
      <c r="Y459" s="1293"/>
      <c r="Z459" s="1293"/>
      <c r="AA459" s="1293"/>
      <c r="AB459" s="1293"/>
      <c r="AC459" s="1293"/>
      <c r="AD459" s="1293"/>
      <c r="AE459" s="1293"/>
      <c r="AF459" s="1293"/>
      <c r="AG459" s="1293"/>
      <c r="AH459" s="1293"/>
      <c r="AI459" s="1293"/>
      <c r="AJ459" s="1293"/>
      <c r="AK459" s="1293"/>
      <c r="AL459" s="1293"/>
      <c r="AM459" s="1293"/>
      <c r="AN459" s="1293"/>
      <c r="AO459" s="1293"/>
      <c r="AP459" s="1293"/>
      <c r="AQ459" s="1293"/>
      <c r="AR459" s="1293"/>
      <c r="AS459" s="1293"/>
      <c r="AT459" s="1293"/>
      <c r="AU459" s="1293"/>
      <c r="AV459" s="1293"/>
      <c r="AW459" s="1293"/>
      <c r="AX459" s="1293"/>
      <c r="AY459" s="1293"/>
      <c r="AZ459" s="1293"/>
      <c r="BA459" s="1293"/>
      <c r="BB459" s="1293"/>
      <c r="BC459" s="1293"/>
      <c r="BD459" s="1293"/>
      <c r="BE459" s="1293"/>
      <c r="BF459" s="1293"/>
      <c r="BG459" s="1293"/>
      <c r="BH459" s="1293"/>
      <c r="BI459" s="1293"/>
      <c r="BJ459" s="1293"/>
      <c r="BK459" s="1293"/>
      <c r="BL459" s="1293"/>
      <c r="BM459" s="1293"/>
      <c r="BN459" s="1293"/>
      <c r="BO459" s="1293"/>
      <c r="BP459" s="1293"/>
      <c r="BQ459" s="1293"/>
      <c r="BR459" s="1293"/>
      <c r="BS459" s="1293"/>
      <c r="BT459" s="1293"/>
      <c r="BU459" s="1293"/>
      <c r="BV459" s="1293"/>
      <c r="BW459" s="1293"/>
      <c r="BX459" s="1293"/>
      <c r="BY459" s="1293"/>
      <c r="BZ459" s="1293"/>
      <c r="CA459" s="1293"/>
      <c r="CB459" s="1293"/>
      <c r="CC459" s="1293"/>
      <c r="CD459" s="1293"/>
      <c r="CE459" s="1293"/>
      <c r="CF459" s="1293"/>
      <c r="CG459" s="1293"/>
    </row>
    <row r="460" spans="1:85" ht="15.75">
      <c r="A460" s="1293"/>
      <c r="B460" s="1293"/>
      <c r="C460" s="1375" t="str">
        <f>C16</f>
        <v>Central America</v>
      </c>
      <c r="D460" s="1991"/>
      <c r="E460" s="1991"/>
      <c r="F460" s="1991"/>
      <c r="G460" s="1991"/>
      <c r="H460" s="1991"/>
      <c r="I460" s="1991"/>
      <c r="J460" s="1991"/>
      <c r="K460" s="1991"/>
      <c r="L460" s="1991">
        <f>SUM(L454:L459)</f>
        <v>1227.2945</v>
      </c>
      <c r="M460" s="1991">
        <f t="shared" ref="M460:T460" si="378">SUM(M454:M459)</f>
        <v>1211.1406999999999</v>
      </c>
      <c r="N460" s="1991">
        <f t="shared" si="378"/>
        <v>1436.1641999999999</v>
      </c>
      <c r="O460" s="1991">
        <f t="shared" si="378"/>
        <v>1442.9893449065426</v>
      </c>
      <c r="P460" s="1991">
        <f t="shared" si="378"/>
        <v>1502.084428880137</v>
      </c>
      <c r="Q460" s="1991">
        <f t="shared" si="378"/>
        <v>1552.7909515496169</v>
      </c>
      <c r="R460" s="1991">
        <f t="shared" si="378"/>
        <v>1602.8477990028846</v>
      </c>
      <c r="S460" s="1991">
        <f t="shared" si="378"/>
        <v>1656.6603979283584</v>
      </c>
      <c r="T460" s="1991">
        <f t="shared" si="378"/>
        <v>1711.9760330009403</v>
      </c>
      <c r="U460" s="1293"/>
      <c r="V460" s="1293"/>
      <c r="W460" s="1293"/>
      <c r="X460" s="1293"/>
      <c r="Y460" s="1293"/>
      <c r="Z460" s="1293"/>
      <c r="AA460" s="1293"/>
      <c r="AB460" s="1293"/>
      <c r="AC460" s="1293"/>
      <c r="AD460" s="1293"/>
      <c r="AE460" s="1293"/>
      <c r="AF460" s="1293"/>
      <c r="AG460" s="1293"/>
      <c r="AH460" s="1293"/>
      <c r="AI460" s="1293"/>
      <c r="AJ460" s="1293"/>
      <c r="AK460" s="1293"/>
      <c r="AL460" s="1293"/>
      <c r="AM460" s="1293"/>
      <c r="AN460" s="1293"/>
      <c r="AO460" s="1293"/>
      <c r="AP460" s="1293"/>
      <c r="AQ460" s="1293"/>
      <c r="AR460" s="1293"/>
      <c r="AS460" s="1293"/>
      <c r="AT460" s="1293"/>
      <c r="AU460" s="1293"/>
      <c r="AV460" s="1293"/>
      <c r="AW460" s="1293"/>
      <c r="AX460" s="1293"/>
      <c r="AY460" s="1293"/>
      <c r="AZ460" s="1293"/>
      <c r="BA460" s="1293"/>
      <c r="BB460" s="1293"/>
      <c r="BC460" s="1293"/>
      <c r="BD460" s="1293"/>
      <c r="BE460" s="1293"/>
      <c r="BF460" s="1293"/>
      <c r="BG460" s="1293"/>
      <c r="BH460" s="1293"/>
      <c r="BI460" s="1293"/>
      <c r="BJ460" s="1293"/>
      <c r="BK460" s="1293"/>
      <c r="BL460" s="1293"/>
      <c r="BM460" s="1293"/>
      <c r="BN460" s="1293"/>
      <c r="BO460" s="1293"/>
      <c r="BP460" s="1293"/>
      <c r="BQ460" s="1293"/>
      <c r="BR460" s="1293"/>
      <c r="BS460" s="1293"/>
      <c r="BT460" s="1293"/>
      <c r="BU460" s="1293"/>
      <c r="BV460" s="1293"/>
      <c r="BW460" s="1293"/>
      <c r="BX460" s="1293"/>
      <c r="BY460" s="1293"/>
      <c r="BZ460" s="1293"/>
      <c r="CA460" s="1293"/>
      <c r="CB460" s="1293"/>
      <c r="CC460" s="1293"/>
      <c r="CD460" s="1293"/>
      <c r="CE460" s="1293"/>
      <c r="CF460" s="1293"/>
      <c r="CG460" s="1293"/>
    </row>
    <row r="461" spans="1:85" ht="15.75">
      <c r="A461" s="1293"/>
      <c r="B461" s="1293"/>
      <c r="C461" s="1293"/>
      <c r="D461" s="1327"/>
      <c r="E461" s="1327"/>
      <c r="F461" s="1327"/>
      <c r="G461" s="1327"/>
      <c r="H461" s="1327"/>
      <c r="I461" s="1327"/>
      <c r="J461" s="1327"/>
      <c r="K461" s="1327"/>
      <c r="L461" s="1327"/>
      <c r="M461" s="1327"/>
      <c r="N461" s="1327"/>
      <c r="O461" s="1327"/>
      <c r="P461" s="1327"/>
      <c r="Q461" s="1327"/>
      <c r="R461" s="1327"/>
      <c r="S461" s="1327"/>
      <c r="T461" s="1327"/>
      <c r="U461" s="1293"/>
      <c r="V461" s="1293"/>
      <c r="W461" s="1293"/>
      <c r="X461" s="1293"/>
      <c r="Y461" s="1293"/>
      <c r="Z461" s="1293"/>
      <c r="AA461" s="1293"/>
      <c r="AB461" s="1293"/>
      <c r="AC461" s="1293"/>
      <c r="AD461" s="1293"/>
      <c r="AE461" s="1293"/>
      <c r="AF461" s="1293"/>
      <c r="AG461" s="1293"/>
      <c r="AH461" s="1293"/>
      <c r="AI461" s="1293"/>
      <c r="AJ461" s="1293"/>
      <c r="AK461" s="1293"/>
      <c r="AL461" s="1293"/>
      <c r="AM461" s="1293"/>
      <c r="AN461" s="1293"/>
      <c r="AO461" s="1293"/>
      <c r="AP461" s="1293"/>
      <c r="AQ461" s="1293"/>
      <c r="AR461" s="1293"/>
      <c r="AS461" s="1293"/>
      <c r="AT461" s="1293"/>
      <c r="AU461" s="1293"/>
      <c r="AV461" s="1293"/>
      <c r="AW461" s="1293"/>
      <c r="AX461" s="1293"/>
      <c r="AY461" s="1293"/>
      <c r="AZ461" s="1293"/>
      <c r="BA461" s="1293"/>
      <c r="BB461" s="1293"/>
      <c r="BC461" s="1293"/>
      <c r="BD461" s="1293"/>
      <c r="BE461" s="1293"/>
      <c r="BF461" s="1293"/>
      <c r="BG461" s="1293"/>
      <c r="BH461" s="1293"/>
      <c r="BI461" s="1293"/>
      <c r="BJ461" s="1293"/>
      <c r="BK461" s="1293"/>
      <c r="BL461" s="1293"/>
      <c r="BM461" s="1293"/>
      <c r="BN461" s="1293"/>
      <c r="BO461" s="1293"/>
      <c r="BP461" s="1293"/>
      <c r="BQ461" s="1293"/>
      <c r="BR461" s="1293"/>
      <c r="BS461" s="1293"/>
      <c r="BT461" s="1293"/>
      <c r="BU461" s="1293"/>
      <c r="BV461" s="1293"/>
      <c r="BW461" s="1293"/>
      <c r="BX461" s="1293"/>
      <c r="BY461" s="1293"/>
      <c r="BZ461" s="1293"/>
      <c r="CA461" s="1293"/>
      <c r="CB461" s="1293"/>
      <c r="CC461" s="1293"/>
      <c r="CD461" s="1293"/>
      <c r="CE461" s="1293"/>
      <c r="CF461" s="1293"/>
      <c r="CG461" s="1293"/>
    </row>
    <row r="462" spans="1:85" ht="15.75">
      <c r="A462" s="1293"/>
      <c r="B462" s="1293"/>
      <c r="C462" s="1293" t="str">
        <f>C19</f>
        <v>Bolivia</v>
      </c>
      <c r="D462" s="1327"/>
      <c r="E462" s="1327"/>
      <c r="F462" s="1327"/>
      <c r="G462" s="1327"/>
      <c r="H462" s="1327"/>
      <c r="I462" s="1327"/>
      <c r="J462" s="1327"/>
      <c r="K462" s="1327"/>
      <c r="L462" s="1327">
        <f t="shared" ref="L462:T462" si="379">L287-L392</f>
        <v>117.59</v>
      </c>
      <c r="M462" s="1327">
        <f t="shared" si="379"/>
        <v>136.05799999999999</v>
      </c>
      <c r="N462" s="1327">
        <f t="shared" si="379"/>
        <v>193.29340000000002</v>
      </c>
      <c r="O462" s="1327">
        <f t="shared" si="379"/>
        <v>70.655790315314277</v>
      </c>
      <c r="P462" s="1327">
        <f t="shared" si="379"/>
        <v>77.043271698531441</v>
      </c>
      <c r="Q462" s="1327">
        <f t="shared" si="379"/>
        <v>80.26019432451497</v>
      </c>
      <c r="R462" s="1327">
        <f t="shared" si="379"/>
        <v>83.589706412794854</v>
      </c>
      <c r="S462" s="1327">
        <f t="shared" si="379"/>
        <v>86.614857692496045</v>
      </c>
      <c r="T462" s="1327">
        <f t="shared" si="379"/>
        <v>91.108003435294265</v>
      </c>
      <c r="U462" s="1293"/>
      <c r="V462" s="1293"/>
      <c r="W462" s="1293"/>
      <c r="X462" s="1293"/>
      <c r="Y462" s="1293"/>
      <c r="Z462" s="1293"/>
      <c r="AA462" s="1293"/>
      <c r="AB462" s="1293"/>
      <c r="AC462" s="1293"/>
      <c r="AD462" s="1293"/>
      <c r="AE462" s="1293"/>
      <c r="AF462" s="1293"/>
      <c r="AG462" s="1293"/>
      <c r="AH462" s="1293"/>
      <c r="AI462" s="1293"/>
      <c r="AJ462" s="1293"/>
      <c r="AK462" s="1293"/>
      <c r="AL462" s="1293"/>
      <c r="AM462" s="1293"/>
      <c r="AN462" s="1293"/>
      <c r="AO462" s="1293"/>
      <c r="AP462" s="1293"/>
      <c r="AQ462" s="1293"/>
      <c r="AR462" s="1293"/>
      <c r="AS462" s="1293"/>
      <c r="AT462" s="1293"/>
      <c r="AU462" s="1293"/>
      <c r="AV462" s="1293"/>
      <c r="AW462" s="1293"/>
      <c r="AX462" s="1293"/>
      <c r="AY462" s="1293"/>
      <c r="AZ462" s="1293"/>
      <c r="BA462" s="1293"/>
      <c r="BB462" s="1293"/>
      <c r="BC462" s="1293"/>
      <c r="BD462" s="1293"/>
      <c r="BE462" s="1293"/>
      <c r="BF462" s="1293"/>
      <c r="BG462" s="1293"/>
      <c r="BH462" s="1293"/>
      <c r="BI462" s="1293"/>
      <c r="BJ462" s="1293"/>
      <c r="BK462" s="1293"/>
      <c r="BL462" s="1293"/>
      <c r="BM462" s="1293"/>
      <c r="BN462" s="1293"/>
      <c r="BO462" s="1293"/>
      <c r="BP462" s="1293"/>
      <c r="BQ462" s="1293"/>
      <c r="BR462" s="1293"/>
      <c r="BS462" s="1293"/>
      <c r="BT462" s="1293"/>
      <c r="BU462" s="1293"/>
      <c r="BV462" s="1293"/>
      <c r="BW462" s="1293"/>
      <c r="BX462" s="1293"/>
      <c r="BY462" s="1293"/>
      <c r="BZ462" s="1293"/>
      <c r="CA462" s="1293"/>
      <c r="CB462" s="1293"/>
      <c r="CC462" s="1293"/>
      <c r="CD462" s="1293"/>
      <c r="CE462" s="1293"/>
      <c r="CF462" s="1293"/>
      <c r="CG462" s="1293"/>
    </row>
    <row r="463" spans="1:85" ht="15.75">
      <c r="A463" s="1293"/>
      <c r="B463" s="1293"/>
      <c r="C463" s="1293" t="str">
        <f>C20</f>
        <v>Colombia</v>
      </c>
      <c r="D463" s="1327"/>
      <c r="E463" s="1327"/>
      <c r="F463" s="1327"/>
      <c r="G463" s="1327"/>
      <c r="H463" s="1327"/>
      <c r="I463" s="1327"/>
      <c r="J463" s="1327"/>
      <c r="K463" s="1327"/>
      <c r="L463" s="1327">
        <f t="shared" ref="L463:T463" si="380">L288-L393</f>
        <v>126.09000000000003</v>
      </c>
      <c r="M463" s="1327">
        <f t="shared" si="380"/>
        <v>295.71199999999999</v>
      </c>
      <c r="N463" s="1327">
        <f t="shared" si="380"/>
        <v>381.32209999999998</v>
      </c>
      <c r="O463" s="1327">
        <f t="shared" si="380"/>
        <v>394.23677742339771</v>
      </c>
      <c r="P463" s="1327">
        <f t="shared" si="380"/>
        <v>416.96586179597443</v>
      </c>
      <c r="Q463" s="1327">
        <f t="shared" si="380"/>
        <v>434.97632640212692</v>
      </c>
      <c r="R463" s="1327">
        <f t="shared" si="380"/>
        <v>448.32039165786659</v>
      </c>
      <c r="S463" s="1327">
        <f t="shared" si="380"/>
        <v>466.96960833667845</v>
      </c>
      <c r="T463" s="1327">
        <f t="shared" si="380"/>
        <v>483.63658403391105</v>
      </c>
      <c r="U463" s="1293"/>
      <c r="V463" s="1293"/>
      <c r="W463" s="1293"/>
      <c r="X463" s="1293"/>
      <c r="Y463" s="1293"/>
      <c r="Z463" s="1293"/>
      <c r="AA463" s="1293"/>
      <c r="AB463" s="1293"/>
      <c r="AC463" s="1293"/>
      <c r="AD463" s="1293"/>
      <c r="AE463" s="1293"/>
      <c r="AF463" s="1293"/>
      <c r="AG463" s="1293"/>
      <c r="AH463" s="1293"/>
      <c r="AI463" s="1293"/>
      <c r="AJ463" s="1293"/>
      <c r="AK463" s="1293"/>
      <c r="AL463" s="1293"/>
      <c r="AM463" s="1293"/>
      <c r="AN463" s="1293"/>
      <c r="AO463" s="1293"/>
      <c r="AP463" s="1293"/>
      <c r="AQ463" s="1293"/>
      <c r="AR463" s="1293"/>
      <c r="AS463" s="1293"/>
      <c r="AT463" s="1293"/>
      <c r="AU463" s="1293"/>
      <c r="AV463" s="1293"/>
      <c r="AW463" s="1293"/>
      <c r="AX463" s="1293"/>
      <c r="AY463" s="1293"/>
      <c r="AZ463" s="1293"/>
      <c r="BA463" s="1293"/>
      <c r="BB463" s="1293"/>
      <c r="BC463" s="1293"/>
      <c r="BD463" s="1293"/>
      <c r="BE463" s="1293"/>
      <c r="BF463" s="1293"/>
      <c r="BG463" s="1293"/>
      <c r="BH463" s="1293"/>
      <c r="BI463" s="1293"/>
      <c r="BJ463" s="1293"/>
      <c r="BK463" s="1293"/>
      <c r="BL463" s="1293"/>
      <c r="BM463" s="1293"/>
      <c r="BN463" s="1293"/>
      <c r="BO463" s="1293"/>
      <c r="BP463" s="1293"/>
      <c r="BQ463" s="1293"/>
      <c r="BR463" s="1293"/>
      <c r="BS463" s="1293"/>
      <c r="BT463" s="1293"/>
      <c r="BU463" s="1293"/>
      <c r="BV463" s="1293"/>
      <c r="BW463" s="1293"/>
      <c r="BX463" s="1293"/>
      <c r="BY463" s="1293"/>
      <c r="BZ463" s="1293"/>
      <c r="CA463" s="1293"/>
      <c r="CB463" s="1293"/>
      <c r="CC463" s="1293"/>
      <c r="CD463" s="1293"/>
      <c r="CE463" s="1293"/>
      <c r="CF463" s="1293"/>
      <c r="CG463" s="1293"/>
    </row>
    <row r="464" spans="1:85" ht="15.75">
      <c r="A464" s="1293"/>
      <c r="B464" s="1293"/>
      <c r="C464" s="1293" t="str">
        <f>C21</f>
        <v>Paraguay</v>
      </c>
      <c r="D464" s="1327"/>
      <c r="E464" s="1327"/>
      <c r="F464" s="1327"/>
      <c r="G464" s="1327"/>
      <c r="H464" s="1327"/>
      <c r="I464" s="1327"/>
      <c r="J464" s="1327"/>
      <c r="K464" s="1327"/>
      <c r="L464" s="1327">
        <f t="shared" ref="L464:T464" si="381">L289-L394</f>
        <v>138.07</v>
      </c>
      <c r="M464" s="1327">
        <f t="shared" si="381"/>
        <v>157.69999999999999</v>
      </c>
      <c r="N464" s="1327">
        <f t="shared" si="381"/>
        <v>194.68740000000003</v>
      </c>
      <c r="O464" s="1327">
        <f t="shared" si="381"/>
        <v>188.21471846837727</v>
      </c>
      <c r="P464" s="1327">
        <f t="shared" si="381"/>
        <v>191.37723119611911</v>
      </c>
      <c r="Q464" s="1327">
        <f t="shared" si="381"/>
        <v>196.89447516414012</v>
      </c>
      <c r="R464" s="1327">
        <f t="shared" si="381"/>
        <v>202.53133698453433</v>
      </c>
      <c r="S464" s="1327">
        <f t="shared" si="381"/>
        <v>208.74661678274174</v>
      </c>
      <c r="T464" s="1327">
        <f t="shared" si="381"/>
        <v>215.48463546823814</v>
      </c>
      <c r="U464" s="1293"/>
      <c r="V464" s="1293"/>
      <c r="W464" s="1293"/>
      <c r="X464" s="1293"/>
      <c r="Y464" s="1293"/>
      <c r="Z464" s="1293"/>
      <c r="AA464" s="1293"/>
      <c r="AB464" s="1293"/>
      <c r="AC464" s="1293"/>
      <c r="AD464" s="1293"/>
      <c r="AE464" s="1293"/>
      <c r="AF464" s="1293"/>
      <c r="AG464" s="1293"/>
      <c r="AH464" s="1293"/>
      <c r="AI464" s="1293"/>
      <c r="AJ464" s="1293"/>
      <c r="AK464" s="1293"/>
      <c r="AL464" s="1293"/>
      <c r="AM464" s="1293"/>
      <c r="AN464" s="1293"/>
      <c r="AO464" s="1293"/>
      <c r="AP464" s="1293"/>
      <c r="AQ464" s="1293"/>
      <c r="AR464" s="1293"/>
      <c r="AS464" s="1293"/>
      <c r="AT464" s="1293"/>
      <c r="AU464" s="1293"/>
      <c r="AV464" s="1293"/>
      <c r="AW464" s="1293"/>
      <c r="AX464" s="1293"/>
      <c r="AY464" s="1293"/>
      <c r="AZ464" s="1293"/>
      <c r="BA464" s="1293"/>
      <c r="BB464" s="1293"/>
      <c r="BC464" s="1293"/>
      <c r="BD464" s="1293"/>
      <c r="BE464" s="1293"/>
      <c r="BF464" s="1293"/>
      <c r="BG464" s="1293"/>
      <c r="BH464" s="1293"/>
      <c r="BI464" s="1293"/>
      <c r="BJ464" s="1293"/>
      <c r="BK464" s="1293"/>
      <c r="BL464" s="1293"/>
      <c r="BM464" s="1293"/>
      <c r="BN464" s="1293"/>
      <c r="BO464" s="1293"/>
      <c r="BP464" s="1293"/>
      <c r="BQ464" s="1293"/>
      <c r="BR464" s="1293"/>
      <c r="BS464" s="1293"/>
      <c r="BT464" s="1293"/>
      <c r="BU464" s="1293"/>
      <c r="BV464" s="1293"/>
      <c r="BW464" s="1293"/>
      <c r="BX464" s="1293"/>
      <c r="BY464" s="1293"/>
      <c r="BZ464" s="1293"/>
      <c r="CA464" s="1293"/>
      <c r="CB464" s="1293"/>
      <c r="CC464" s="1293"/>
      <c r="CD464" s="1293"/>
      <c r="CE464" s="1293"/>
      <c r="CF464" s="1293"/>
      <c r="CG464" s="1293"/>
    </row>
    <row r="465" spans="1:85" ht="15.75">
      <c r="A465" s="1293"/>
      <c r="B465" s="1293"/>
      <c r="C465" s="1375" t="str">
        <f>C23</f>
        <v>South America</v>
      </c>
      <c r="D465" s="1991"/>
      <c r="E465" s="1991"/>
      <c r="F465" s="1991"/>
      <c r="G465" s="1991"/>
      <c r="H465" s="1991"/>
      <c r="I465" s="1991"/>
      <c r="J465" s="1991"/>
      <c r="K465" s="1991"/>
      <c r="L465" s="1991">
        <f>SUM(L462:L464)</f>
        <v>381.75</v>
      </c>
      <c r="M465" s="1991">
        <f t="shared" ref="M465:T465" si="382">SUM(M462:M464)</f>
        <v>589.47</v>
      </c>
      <c r="N465" s="1991">
        <f t="shared" si="382"/>
        <v>769.30290000000002</v>
      </c>
      <c r="O465" s="1991">
        <f t="shared" si="382"/>
        <v>653.10728620708926</v>
      </c>
      <c r="P465" s="1991">
        <f t="shared" si="382"/>
        <v>685.38636469062499</v>
      </c>
      <c r="Q465" s="1991">
        <f t="shared" si="382"/>
        <v>712.13099589078195</v>
      </c>
      <c r="R465" s="1991">
        <f t="shared" si="382"/>
        <v>734.44143505519583</v>
      </c>
      <c r="S465" s="1991">
        <f t="shared" si="382"/>
        <v>762.33108281191619</v>
      </c>
      <c r="T465" s="1991">
        <f t="shared" si="382"/>
        <v>790.22922293744341</v>
      </c>
      <c r="U465" s="1293"/>
      <c r="V465" s="1293"/>
      <c r="W465" s="1293"/>
      <c r="X465" s="1293"/>
      <c r="Y465" s="1293"/>
      <c r="Z465" s="1293"/>
      <c r="AA465" s="1293"/>
      <c r="AB465" s="1293"/>
      <c r="AC465" s="1293"/>
      <c r="AD465" s="1293"/>
      <c r="AE465" s="1293"/>
      <c r="AF465" s="1293"/>
      <c r="AG465" s="1293"/>
      <c r="AH465" s="1293"/>
      <c r="AI465" s="1293"/>
      <c r="AJ465" s="1293"/>
      <c r="AK465" s="1293"/>
      <c r="AL465" s="1293"/>
      <c r="AM465" s="1293"/>
      <c r="AN465" s="1293"/>
      <c r="AO465" s="1293"/>
      <c r="AP465" s="1293"/>
      <c r="AQ465" s="1293"/>
      <c r="AR465" s="1293"/>
      <c r="AS465" s="1293"/>
      <c r="AT465" s="1293"/>
      <c r="AU465" s="1293"/>
      <c r="AV465" s="1293"/>
      <c r="AW465" s="1293"/>
      <c r="AX465" s="1293"/>
      <c r="AY465" s="1293"/>
      <c r="AZ465" s="1293"/>
      <c r="BA465" s="1293"/>
      <c r="BB465" s="1293"/>
      <c r="BC465" s="1293"/>
      <c r="BD465" s="1293"/>
      <c r="BE465" s="1293"/>
      <c r="BF465" s="1293"/>
      <c r="BG465" s="1293"/>
      <c r="BH465" s="1293"/>
      <c r="BI465" s="1293"/>
      <c r="BJ465" s="1293"/>
      <c r="BK465" s="1293"/>
      <c r="BL465" s="1293"/>
      <c r="BM465" s="1293"/>
      <c r="BN465" s="1293"/>
      <c r="BO465" s="1293"/>
      <c r="BP465" s="1293"/>
      <c r="BQ465" s="1293"/>
      <c r="BR465" s="1293"/>
      <c r="BS465" s="1293"/>
      <c r="BT465" s="1293"/>
      <c r="BU465" s="1293"/>
      <c r="BV465" s="1293"/>
      <c r="BW465" s="1293"/>
      <c r="BX465" s="1293"/>
      <c r="BY465" s="1293"/>
      <c r="BZ465" s="1293"/>
      <c r="CA465" s="1293"/>
      <c r="CB465" s="1293"/>
      <c r="CC465" s="1293"/>
      <c r="CD465" s="1293"/>
      <c r="CE465" s="1293"/>
      <c r="CF465" s="1293"/>
      <c r="CG465" s="1293"/>
    </row>
    <row r="466" spans="1:85" ht="15.75">
      <c r="A466" s="1293"/>
      <c r="B466" s="1293"/>
      <c r="C466" s="1293"/>
      <c r="D466" s="1327"/>
      <c r="E466" s="1327"/>
      <c r="F466" s="1327"/>
      <c r="G466" s="1327"/>
      <c r="H466" s="1327"/>
      <c r="I466" s="1327"/>
      <c r="J466" s="1327"/>
      <c r="K466" s="1327"/>
      <c r="L466" s="1327"/>
      <c r="M466" s="1327"/>
      <c r="N466" s="1327"/>
      <c r="O466" s="1327"/>
      <c r="P466" s="1327"/>
      <c r="Q466" s="1327"/>
      <c r="R466" s="1327"/>
      <c r="S466" s="1327"/>
      <c r="T466" s="1327"/>
      <c r="U466" s="1293"/>
      <c r="V466" s="1293"/>
      <c r="W466" s="1293"/>
      <c r="X466" s="1293"/>
      <c r="Y466" s="1293"/>
      <c r="Z466" s="1293"/>
      <c r="AA466" s="1293"/>
      <c r="AB466" s="1293"/>
      <c r="AC466" s="1293"/>
      <c r="AD466" s="1293"/>
      <c r="AE466" s="1293"/>
      <c r="AF466" s="1293"/>
      <c r="AG466" s="1293"/>
      <c r="AH466" s="1293"/>
      <c r="AI466" s="1293"/>
      <c r="AJ466" s="1293"/>
      <c r="AK466" s="1293"/>
      <c r="AL466" s="1293"/>
      <c r="AM466" s="1293"/>
      <c r="AN466" s="1293"/>
      <c r="AO466" s="1293"/>
      <c r="AP466" s="1293"/>
      <c r="AQ466" s="1293"/>
      <c r="AR466" s="1293"/>
      <c r="AS466" s="1293"/>
      <c r="AT466" s="1293"/>
      <c r="AU466" s="1293"/>
      <c r="AV466" s="1293"/>
      <c r="AW466" s="1293"/>
      <c r="AX466" s="1293"/>
      <c r="AY466" s="1293"/>
      <c r="AZ466" s="1293"/>
      <c r="BA466" s="1293"/>
      <c r="BB466" s="1293"/>
      <c r="BC466" s="1293"/>
      <c r="BD466" s="1293"/>
      <c r="BE466" s="1293"/>
      <c r="BF466" s="1293"/>
      <c r="BG466" s="1293"/>
      <c r="BH466" s="1293"/>
      <c r="BI466" s="1293"/>
      <c r="BJ466" s="1293"/>
      <c r="BK466" s="1293"/>
      <c r="BL466" s="1293"/>
      <c r="BM466" s="1293"/>
      <c r="BN466" s="1293"/>
      <c r="BO466" s="1293"/>
      <c r="BP466" s="1293"/>
      <c r="BQ466" s="1293"/>
      <c r="BR466" s="1293"/>
      <c r="BS466" s="1293"/>
      <c r="BT466" s="1293"/>
      <c r="BU466" s="1293"/>
      <c r="BV466" s="1293"/>
      <c r="BW466" s="1293"/>
      <c r="BX466" s="1293"/>
      <c r="BY466" s="1293"/>
      <c r="BZ466" s="1293"/>
      <c r="CA466" s="1293"/>
      <c r="CB466" s="1293"/>
      <c r="CC466" s="1293"/>
      <c r="CD466" s="1293"/>
      <c r="CE466" s="1293"/>
      <c r="CF466" s="1293"/>
      <c r="CG466" s="1293"/>
    </row>
    <row r="467" spans="1:85" ht="15.75">
      <c r="A467" s="1293"/>
      <c r="B467" s="1293"/>
      <c r="C467" s="1293" t="s">
        <v>9029</v>
      </c>
      <c r="D467" s="1327"/>
      <c r="E467" s="1327"/>
      <c r="F467" s="1327"/>
      <c r="G467" s="1327"/>
      <c r="H467" s="1327"/>
      <c r="I467" s="1327"/>
      <c r="J467" s="1327"/>
      <c r="K467" s="1327"/>
      <c r="L467" s="1327">
        <f>L468-L460-L465+L456</f>
        <v>-170.06950000000018</v>
      </c>
      <c r="M467" s="1327">
        <f t="shared" ref="M467:T467" si="383">M468-M460-M465+M456</f>
        <v>-326.02120000000002</v>
      </c>
      <c r="N467" s="1327">
        <f t="shared" si="383"/>
        <v>-30.796399999999721</v>
      </c>
      <c r="O467" s="1327">
        <f t="shared" si="383"/>
        <v>-184.87553133975985</v>
      </c>
      <c r="P467" s="1327">
        <f t="shared" si="383"/>
        <v>-234.13243820952619</v>
      </c>
      <c r="Q467" s="1327">
        <f t="shared" si="383"/>
        <v>-234.39914026695962</v>
      </c>
      <c r="R467" s="1327">
        <f t="shared" si="383"/>
        <v>-234.26821781613893</v>
      </c>
      <c r="S467" s="1327">
        <f t="shared" si="383"/>
        <v>-234.27320536723738</v>
      </c>
      <c r="T467" s="1327">
        <f t="shared" si="383"/>
        <v>-234.3335889727839</v>
      </c>
      <c r="U467" s="1293"/>
      <c r="V467" s="1293"/>
      <c r="W467" s="1293"/>
      <c r="X467" s="1293"/>
      <c r="Y467" s="1293"/>
      <c r="Z467" s="1293"/>
      <c r="AA467" s="1293"/>
      <c r="AB467" s="1293"/>
      <c r="AC467" s="1293"/>
      <c r="AD467" s="1293"/>
      <c r="AE467" s="1293"/>
      <c r="AF467" s="1293"/>
      <c r="AG467" s="1293"/>
      <c r="AH467" s="1293"/>
      <c r="AI467" s="1293"/>
      <c r="AJ467" s="1293"/>
      <c r="AK467" s="1293"/>
      <c r="AL467" s="1293"/>
      <c r="AM467" s="1293"/>
      <c r="AN467" s="1293"/>
      <c r="AO467" s="1293"/>
      <c r="AP467" s="1293"/>
      <c r="AQ467" s="1293"/>
      <c r="AR467" s="1293"/>
      <c r="AS467" s="1293"/>
      <c r="AT467" s="1293"/>
      <c r="AU467" s="1293"/>
      <c r="AV467" s="1293"/>
      <c r="AW467" s="1293"/>
      <c r="AX467" s="1293"/>
      <c r="AY467" s="1293"/>
      <c r="AZ467" s="1293"/>
      <c r="BA467" s="1293"/>
      <c r="BB467" s="1293"/>
      <c r="BC467" s="1293"/>
      <c r="BD467" s="1293"/>
      <c r="BE467" s="1293"/>
      <c r="BF467" s="1293"/>
      <c r="BG467" s="1293"/>
      <c r="BH467" s="1293"/>
      <c r="BI467" s="1293"/>
      <c r="BJ467" s="1293"/>
      <c r="BK467" s="1293"/>
      <c r="BL467" s="1293"/>
      <c r="BM467" s="1293"/>
      <c r="BN467" s="1293"/>
      <c r="BO467" s="1293"/>
      <c r="BP467" s="1293"/>
      <c r="BQ467" s="1293"/>
      <c r="BR467" s="1293"/>
      <c r="BS467" s="1293"/>
      <c r="BT467" s="1293"/>
      <c r="BU467" s="1293"/>
      <c r="BV467" s="1293"/>
      <c r="BW467" s="1293"/>
      <c r="BX467" s="1293"/>
      <c r="BY467" s="1293"/>
      <c r="BZ467" s="1293"/>
      <c r="CA467" s="1293"/>
      <c r="CB467" s="1293"/>
      <c r="CC467" s="1293"/>
      <c r="CD467" s="1293"/>
      <c r="CE467" s="1293"/>
      <c r="CF467" s="1293"/>
      <c r="CG467" s="1293"/>
    </row>
    <row r="468" spans="1:85" ht="15.75">
      <c r="A468" s="1293"/>
      <c r="B468" s="1293"/>
      <c r="C468" s="1397" t="s">
        <v>2324</v>
      </c>
      <c r="D468" s="2338"/>
      <c r="E468" s="2338"/>
      <c r="F468" s="2338"/>
      <c r="G468" s="2338"/>
      <c r="H468" s="2338"/>
      <c r="I468" s="2338"/>
      <c r="J468" s="2338"/>
      <c r="K468" s="2338"/>
      <c r="L468" s="2338">
        <f>L305-L399</f>
        <v>1255.1349999999998</v>
      </c>
      <c r="M468" s="2338">
        <f>M305-M399</f>
        <v>1302.2855</v>
      </c>
      <c r="N468" s="2338">
        <f t="shared" ref="N468:T468" si="384">N308-N399</f>
        <v>1947.6458000000002</v>
      </c>
      <c r="O468" s="2338">
        <f>O308-O399</f>
        <v>1701.5169629492816</v>
      </c>
      <c r="P468" s="2338">
        <f>P308-P399</f>
        <v>1738.0289260333811</v>
      </c>
      <c r="Q468" s="2338">
        <f t="shared" si="384"/>
        <v>1806.2783490777629</v>
      </c>
      <c r="R468" s="2338">
        <f t="shared" si="384"/>
        <v>1868.8753583323464</v>
      </c>
      <c r="S468" s="2338">
        <f t="shared" si="384"/>
        <v>1940.5572772335049</v>
      </c>
      <c r="T468" s="2338">
        <f t="shared" si="384"/>
        <v>2013.4526092593976</v>
      </c>
      <c r="U468" s="1293"/>
      <c r="V468" s="1293"/>
      <c r="W468" s="1293"/>
      <c r="X468" s="1293"/>
      <c r="Y468" s="1293"/>
      <c r="Z468" s="1293"/>
      <c r="AA468" s="1293"/>
      <c r="AB468" s="1293"/>
      <c r="AC468" s="1293"/>
      <c r="AD468" s="1293"/>
      <c r="AE468" s="1293"/>
      <c r="AF468" s="1293"/>
      <c r="AG468" s="1293"/>
      <c r="AH468" s="1293"/>
      <c r="AI468" s="1293"/>
      <c r="AJ468" s="1293"/>
      <c r="AK468" s="1293"/>
      <c r="AL468" s="1293"/>
      <c r="AM468" s="1293"/>
      <c r="AN468" s="1293"/>
      <c r="AO468" s="1293"/>
      <c r="AP468" s="1293"/>
      <c r="AQ468" s="1293"/>
      <c r="AR468" s="1293"/>
      <c r="AS468" s="1293"/>
      <c r="AT468" s="1293"/>
      <c r="AU468" s="1293"/>
      <c r="AV468" s="1293"/>
      <c r="AW468" s="1293"/>
      <c r="AX468" s="1293"/>
      <c r="AY468" s="1293"/>
      <c r="AZ468" s="1293"/>
      <c r="BA468" s="1293"/>
      <c r="BB468" s="1293"/>
      <c r="BC468" s="1293"/>
      <c r="BD468" s="1293"/>
      <c r="BE468" s="1293"/>
      <c r="BF468" s="1293"/>
      <c r="BG468" s="1293"/>
      <c r="BH468" s="1293"/>
      <c r="BI468" s="1293"/>
      <c r="BJ468" s="1293"/>
      <c r="BK468" s="1293"/>
      <c r="BL468" s="1293"/>
      <c r="BM468" s="1293"/>
      <c r="BN468" s="1293"/>
      <c r="BO468" s="1293"/>
      <c r="BP468" s="1293"/>
      <c r="BQ468" s="1293"/>
      <c r="BR468" s="1293"/>
      <c r="BS468" s="1293"/>
      <c r="BT468" s="1293"/>
      <c r="BU468" s="1293"/>
      <c r="BV468" s="1293"/>
      <c r="BW468" s="1293"/>
      <c r="BX468" s="1293"/>
      <c r="BY468" s="1293"/>
      <c r="BZ468" s="1293"/>
      <c r="CA468" s="1293"/>
      <c r="CB468" s="1293"/>
      <c r="CC468" s="1293"/>
      <c r="CD468" s="1293"/>
      <c r="CE468" s="1293"/>
      <c r="CF468" s="1293"/>
      <c r="CG468" s="1293"/>
    </row>
    <row r="469" spans="1:85" ht="15.75">
      <c r="A469" s="1293"/>
      <c r="B469" s="1293"/>
      <c r="C469" s="1293"/>
      <c r="D469" s="1327"/>
      <c r="E469" s="1327"/>
      <c r="F469" s="1327"/>
      <c r="G469" s="1327"/>
      <c r="H469" s="1327"/>
      <c r="I469" s="1327"/>
      <c r="J469" s="1327"/>
      <c r="K469" s="1327"/>
      <c r="L469" s="1327"/>
      <c r="M469" s="1327"/>
      <c r="N469" s="1327"/>
      <c r="O469" s="1327"/>
      <c r="P469" s="1327"/>
      <c r="Q469" s="1327"/>
      <c r="R469" s="1327"/>
      <c r="S469" s="1327"/>
      <c r="T469" s="1327"/>
      <c r="U469" s="1293"/>
      <c r="V469" s="1293"/>
      <c r="W469" s="1293"/>
      <c r="X469" s="1293"/>
      <c r="Y469" s="1293"/>
      <c r="Z469" s="1293"/>
      <c r="AA469" s="1293"/>
      <c r="AB469" s="1293"/>
      <c r="AC469" s="1293"/>
      <c r="AD469" s="1293"/>
      <c r="AE469" s="1293"/>
      <c r="AF469" s="1293"/>
      <c r="AG469" s="1293"/>
      <c r="AH469" s="1293"/>
      <c r="AI469" s="1293"/>
      <c r="AJ469" s="1293"/>
      <c r="AK469" s="1293"/>
      <c r="AL469" s="1293"/>
      <c r="AM469" s="1293"/>
      <c r="AN469" s="1293"/>
      <c r="AO469" s="1293"/>
      <c r="AP469" s="1293"/>
      <c r="AQ469" s="1293"/>
      <c r="AR469" s="1293"/>
      <c r="AS469" s="1293"/>
      <c r="AT469" s="1293"/>
      <c r="AU469" s="1293"/>
      <c r="AV469" s="1293"/>
      <c r="AW469" s="1293"/>
      <c r="AX469" s="1293"/>
      <c r="AY469" s="1293"/>
      <c r="AZ469" s="1293"/>
      <c r="BA469" s="1293"/>
      <c r="BB469" s="1293"/>
      <c r="BC469" s="1293"/>
      <c r="BD469" s="1293"/>
      <c r="BE469" s="1293"/>
      <c r="BF469" s="1293"/>
      <c r="BG469" s="1293"/>
      <c r="BH469" s="1293"/>
      <c r="BI469" s="1293"/>
      <c r="BJ469" s="1293"/>
      <c r="BK469" s="1293"/>
      <c r="BL469" s="1293"/>
      <c r="BM469" s="1293"/>
      <c r="BN469" s="1293"/>
      <c r="BO469" s="1293"/>
      <c r="BP469" s="1293"/>
      <c r="BQ469" s="1293"/>
      <c r="BR469" s="1293"/>
      <c r="BS469" s="1293"/>
      <c r="BT469" s="1293"/>
      <c r="BU469" s="1293"/>
      <c r="BV469" s="1293"/>
      <c r="BW469" s="1293"/>
      <c r="BX469" s="1293"/>
      <c r="BY469" s="1293"/>
      <c r="BZ469" s="1293"/>
      <c r="CA469" s="1293"/>
      <c r="CB469" s="1293"/>
      <c r="CC469" s="1293"/>
      <c r="CD469" s="1293"/>
      <c r="CE469" s="1293"/>
      <c r="CF469" s="1293"/>
      <c r="CG469" s="1293"/>
    </row>
    <row r="470" spans="1:85" ht="15.75">
      <c r="A470" s="1293"/>
      <c r="B470" s="1293"/>
      <c r="C470" s="1293"/>
      <c r="D470" s="1293"/>
      <c r="E470" s="1293"/>
      <c r="F470" s="1293"/>
      <c r="G470" s="1293"/>
      <c r="H470" s="1293"/>
      <c r="I470" s="1293"/>
      <c r="J470" s="1293"/>
      <c r="K470" s="1293"/>
      <c r="L470" s="1293"/>
      <c r="M470" s="1293"/>
      <c r="N470" s="1293"/>
      <c r="O470" s="1293"/>
      <c r="P470" s="1293"/>
      <c r="Q470" s="1293"/>
      <c r="R470" s="1293"/>
      <c r="S470" s="1293"/>
      <c r="T470" s="1293"/>
      <c r="U470" s="1293"/>
      <c r="V470" s="1293"/>
      <c r="W470" s="1293"/>
      <c r="X470" s="1293"/>
      <c r="Y470" s="1293"/>
      <c r="Z470" s="1293"/>
      <c r="AA470" s="1293"/>
      <c r="AB470" s="1293"/>
      <c r="AC470" s="1293"/>
      <c r="AD470" s="1293"/>
      <c r="AE470" s="1293"/>
      <c r="AF470" s="1293"/>
      <c r="AG470" s="1293"/>
      <c r="AH470" s="1293"/>
      <c r="AI470" s="1293"/>
      <c r="AJ470" s="1293"/>
      <c r="AK470" s="1293"/>
      <c r="AL470" s="1293"/>
      <c r="AM470" s="1293"/>
      <c r="AN470" s="1293"/>
      <c r="AO470" s="1293"/>
      <c r="AP470" s="1293"/>
      <c r="AQ470" s="1293"/>
      <c r="AR470" s="1293"/>
      <c r="AS470" s="1293"/>
      <c r="AT470" s="1293"/>
      <c r="AU470" s="1293"/>
      <c r="AV470" s="1293"/>
      <c r="AW470" s="1293"/>
      <c r="AX470" s="1293"/>
      <c r="AY470" s="1293"/>
      <c r="AZ470" s="1293"/>
      <c r="BA470" s="1293"/>
      <c r="BB470" s="1293"/>
      <c r="BC470" s="1293"/>
      <c r="BD470" s="1293"/>
      <c r="BE470" s="1293"/>
      <c r="BF470" s="1293"/>
      <c r="BG470" s="1293"/>
      <c r="BH470" s="1293"/>
      <c r="BI470" s="1293"/>
      <c r="BJ470" s="1293"/>
      <c r="BK470" s="1293"/>
      <c r="BL470" s="1293"/>
      <c r="BM470" s="1293"/>
      <c r="BN470" s="1293"/>
      <c r="BO470" s="1293"/>
      <c r="BP470" s="1293"/>
      <c r="BQ470" s="1293"/>
      <c r="BR470" s="1293"/>
      <c r="BS470" s="1293"/>
      <c r="BT470" s="1293"/>
      <c r="BU470" s="1293"/>
      <c r="BV470" s="1293"/>
      <c r="BW470" s="1293"/>
      <c r="BX470" s="1293"/>
      <c r="BY470" s="1293"/>
      <c r="BZ470" s="1293"/>
      <c r="CA470" s="1293"/>
      <c r="CB470" s="1293"/>
      <c r="CC470" s="1293"/>
      <c r="CD470" s="1293"/>
      <c r="CE470" s="1293"/>
      <c r="CF470" s="1293"/>
      <c r="CG470" s="1293"/>
    </row>
    <row r="471" spans="1:85" ht="15.75">
      <c r="A471" s="1293"/>
      <c r="B471" s="1293"/>
      <c r="C471" s="1293"/>
      <c r="D471" s="1293"/>
      <c r="E471" s="1293"/>
      <c r="F471" s="1293"/>
      <c r="G471" s="1293"/>
      <c r="H471" s="1293"/>
      <c r="I471" s="1293"/>
      <c r="J471" s="1293"/>
      <c r="K471" s="1293"/>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c r="AH471" s="1293"/>
      <c r="AI471" s="1293"/>
      <c r="AJ471" s="1293"/>
      <c r="AK471" s="1293"/>
      <c r="AL471" s="1293"/>
      <c r="AM471" s="1293"/>
      <c r="AN471" s="1293"/>
      <c r="AO471" s="1293"/>
      <c r="AP471" s="1293"/>
      <c r="AQ471" s="1293"/>
      <c r="AR471" s="1293"/>
      <c r="AS471" s="1293"/>
      <c r="AT471" s="1293"/>
      <c r="AU471" s="1293"/>
      <c r="AV471" s="1293"/>
      <c r="AW471" s="1293"/>
      <c r="AX471" s="1293"/>
      <c r="AY471" s="1293"/>
      <c r="AZ471" s="1293"/>
      <c r="BA471" s="1293"/>
      <c r="BB471" s="1293"/>
      <c r="BC471" s="1293"/>
      <c r="BD471" s="1293"/>
      <c r="BE471" s="1293"/>
      <c r="BF471" s="1293"/>
      <c r="BG471" s="1293"/>
      <c r="BH471" s="1293"/>
      <c r="BI471" s="1293"/>
      <c r="BJ471" s="1293"/>
      <c r="BK471" s="1293"/>
      <c r="BL471" s="1293"/>
      <c r="BM471" s="1293"/>
      <c r="BN471" s="1293"/>
      <c r="BO471" s="1293"/>
      <c r="BP471" s="1293"/>
      <c r="BQ471" s="1293"/>
      <c r="BR471" s="1293"/>
      <c r="BS471" s="1293"/>
      <c r="BT471" s="1293"/>
      <c r="BU471" s="1293"/>
      <c r="BV471" s="1293"/>
      <c r="BW471" s="1293"/>
      <c r="BX471" s="1293"/>
      <c r="BY471" s="1293"/>
      <c r="BZ471" s="1293"/>
      <c r="CA471" s="1293"/>
      <c r="CB471" s="1293"/>
      <c r="CC471" s="1293"/>
      <c r="CD471" s="1293"/>
      <c r="CE471" s="1293"/>
      <c r="CF471" s="1293"/>
      <c r="CG471" s="1293"/>
    </row>
    <row r="472" spans="1:85" ht="15.75">
      <c r="A472" s="1293"/>
      <c r="B472" s="1293"/>
      <c r="C472" s="1293"/>
      <c r="D472" s="1293"/>
      <c r="E472" s="1293"/>
      <c r="F472" s="1293"/>
      <c r="G472" s="1293"/>
      <c r="H472" s="1293"/>
      <c r="I472" s="1293"/>
      <c r="J472" s="1293"/>
      <c r="K472" s="1293"/>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c r="AH472" s="1293"/>
      <c r="AI472" s="1293"/>
      <c r="AJ472" s="1293"/>
      <c r="AK472" s="1293"/>
      <c r="AL472" s="1293"/>
      <c r="AM472" s="1293"/>
      <c r="AN472" s="1293"/>
      <c r="AO472" s="1293"/>
      <c r="AP472" s="1293"/>
      <c r="AQ472" s="1293"/>
      <c r="AR472" s="1293"/>
      <c r="AS472" s="1293"/>
      <c r="AT472" s="1293"/>
      <c r="AU472" s="1293"/>
      <c r="AV472" s="1293"/>
      <c r="AW472" s="1293"/>
      <c r="AX472" s="1293"/>
      <c r="AY472" s="1293"/>
      <c r="AZ472" s="1293"/>
      <c r="BA472" s="1293"/>
      <c r="BB472" s="1293"/>
      <c r="BC472" s="1293"/>
      <c r="BD472" s="1293"/>
      <c r="BE472" s="1293"/>
      <c r="BF472" s="1293"/>
      <c r="BG472" s="1293"/>
      <c r="BH472" s="1293"/>
      <c r="BI472" s="1293"/>
      <c r="BJ472" s="1293"/>
      <c r="BK472" s="1293"/>
      <c r="BL472" s="1293"/>
      <c r="BM472" s="1293"/>
      <c r="BN472" s="1293"/>
      <c r="BO472" s="1293"/>
      <c r="BP472" s="1293"/>
      <c r="BQ472" s="1293"/>
      <c r="BR472" s="1293"/>
      <c r="BS472" s="1293"/>
      <c r="BT472" s="1293"/>
      <c r="BU472" s="1293"/>
      <c r="BV472" s="1293"/>
      <c r="BW472" s="1293"/>
      <c r="BX472" s="1293"/>
      <c r="BY472" s="1293"/>
      <c r="BZ472" s="1293"/>
      <c r="CA472" s="1293"/>
      <c r="CB472" s="1293"/>
      <c r="CC472" s="1293"/>
      <c r="CD472" s="1293"/>
      <c r="CE472" s="1293"/>
      <c r="CF472" s="1293"/>
      <c r="CG472" s="1293"/>
    </row>
    <row r="473" spans="1:85" ht="15.75">
      <c r="A473" s="1293"/>
      <c r="B473" s="1293"/>
      <c r="C473" s="1293"/>
      <c r="D473" s="1293"/>
      <c r="E473" s="1293"/>
      <c r="F473" s="1293"/>
      <c r="G473" s="1293"/>
      <c r="H473" s="1293"/>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c r="AK473" s="1293"/>
      <c r="AL473" s="1293"/>
      <c r="AM473" s="1293"/>
      <c r="AN473" s="1293"/>
      <c r="AO473" s="1293"/>
      <c r="AP473" s="1293"/>
      <c r="AQ473" s="1293"/>
      <c r="AR473" s="1293"/>
      <c r="AS473" s="1293"/>
      <c r="AT473" s="1293"/>
      <c r="AU473" s="1293"/>
      <c r="AV473" s="1293"/>
      <c r="AW473" s="1293"/>
      <c r="AX473" s="1293"/>
      <c r="AY473" s="1293"/>
      <c r="AZ473" s="1293"/>
      <c r="BA473" s="1293"/>
      <c r="BB473" s="1293"/>
      <c r="BC473" s="1293"/>
      <c r="BD473" s="1293"/>
      <c r="BE473" s="1293"/>
      <c r="BF473" s="1293"/>
      <c r="BG473" s="1293"/>
      <c r="BH473" s="1293"/>
      <c r="BI473" s="1293"/>
      <c r="BJ473" s="1293"/>
      <c r="BK473" s="1293"/>
      <c r="BL473" s="1293"/>
      <c r="BM473" s="1293"/>
      <c r="BN473" s="1293"/>
      <c r="BO473" s="1293"/>
      <c r="BP473" s="1293"/>
      <c r="BQ473" s="1293"/>
      <c r="BR473" s="1293"/>
      <c r="BS473" s="1293"/>
      <c r="BT473" s="1293"/>
      <c r="BU473" s="1293"/>
      <c r="BV473" s="1293"/>
      <c r="BW473" s="1293"/>
      <c r="BX473" s="1293"/>
      <c r="BY473" s="1293"/>
      <c r="BZ473" s="1293"/>
      <c r="CA473" s="1293"/>
      <c r="CB473" s="1293"/>
      <c r="CC473" s="1293"/>
      <c r="CD473" s="1293"/>
      <c r="CE473" s="1293"/>
      <c r="CF473" s="1293"/>
      <c r="CG473" s="1293"/>
    </row>
    <row r="474" spans="1:85" ht="15.75">
      <c r="A474" s="1293"/>
      <c r="B474" s="1293"/>
      <c r="C474" s="1293"/>
      <c r="D474" s="1293"/>
      <c r="E474" s="1293"/>
      <c r="F474" s="1293"/>
      <c r="G474" s="1293"/>
      <c r="H474" s="1293"/>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c r="AK474" s="1293"/>
      <c r="AL474" s="1293"/>
      <c r="AM474" s="1293"/>
      <c r="AN474" s="1293"/>
      <c r="AO474" s="1293"/>
      <c r="AP474" s="1293"/>
      <c r="AQ474" s="1293"/>
      <c r="AR474" s="1293"/>
      <c r="AS474" s="1293"/>
      <c r="AT474" s="1293"/>
      <c r="AU474" s="1293"/>
      <c r="AV474" s="1293"/>
      <c r="AW474" s="1293"/>
      <c r="AX474" s="1293"/>
      <c r="AY474" s="1293"/>
      <c r="AZ474" s="1293"/>
      <c r="BA474" s="1293"/>
      <c r="BB474" s="1293"/>
      <c r="BC474" s="1293"/>
      <c r="BD474" s="1293"/>
      <c r="BE474" s="1293"/>
      <c r="BF474" s="1293"/>
      <c r="BG474" s="1293"/>
      <c r="BH474" s="1293"/>
      <c r="BI474" s="1293"/>
      <c r="BJ474" s="1293"/>
      <c r="BK474" s="1293"/>
      <c r="BL474" s="1293"/>
      <c r="BM474" s="1293"/>
      <c r="BN474" s="1293"/>
      <c r="BO474" s="1293"/>
      <c r="BP474" s="1293"/>
      <c r="BQ474" s="1293"/>
      <c r="BR474" s="1293"/>
      <c r="BS474" s="1293"/>
      <c r="BT474" s="1293"/>
      <c r="BU474" s="1293"/>
      <c r="BV474" s="1293"/>
      <c r="BW474" s="1293"/>
      <c r="BX474" s="1293"/>
      <c r="BY474" s="1293"/>
      <c r="BZ474" s="1293"/>
      <c r="CA474" s="1293"/>
      <c r="CB474" s="1293"/>
      <c r="CC474" s="1293"/>
      <c r="CD474" s="1293"/>
      <c r="CE474" s="1293"/>
      <c r="CF474" s="1293"/>
      <c r="CG474" s="1293"/>
    </row>
    <row r="475" spans="1:85" ht="15.75">
      <c r="A475" s="1293"/>
      <c r="B475" s="1293"/>
      <c r="C475" s="1293"/>
      <c r="D475" s="1293"/>
      <c r="E475" s="1293"/>
      <c r="F475" s="1293"/>
      <c r="G475" s="1293"/>
      <c r="H475" s="1293"/>
      <c r="I475" s="1293"/>
      <c r="J475" s="1293"/>
      <c r="K475" s="1293"/>
      <c r="L475" s="1293"/>
      <c r="M475" s="1293"/>
      <c r="N475" s="1293"/>
      <c r="O475" s="1293"/>
      <c r="P475" s="1293"/>
      <c r="Q475" s="1293"/>
      <c r="R475" s="1293"/>
      <c r="S475" s="1293"/>
      <c r="T475" s="1293"/>
      <c r="U475" s="1293"/>
      <c r="V475" s="1293"/>
      <c r="W475" s="1293"/>
      <c r="X475" s="1293"/>
      <c r="Y475" s="1293"/>
      <c r="Z475" s="1293"/>
      <c r="AA475" s="1293"/>
      <c r="AB475" s="1293"/>
      <c r="AC475" s="1293"/>
      <c r="AD475" s="1293"/>
      <c r="AE475" s="1293"/>
      <c r="AF475" s="1293"/>
      <c r="AG475" s="1293"/>
      <c r="AH475" s="1293"/>
      <c r="AI475" s="1293"/>
      <c r="AJ475" s="1293"/>
      <c r="AK475" s="1293"/>
      <c r="AL475" s="1293"/>
      <c r="AM475" s="1293"/>
      <c r="AN475" s="1293"/>
      <c r="AO475" s="1293"/>
      <c r="AP475" s="1293"/>
      <c r="AQ475" s="1293"/>
      <c r="AR475" s="1293"/>
      <c r="AS475" s="1293"/>
      <c r="AT475" s="1293"/>
      <c r="AU475" s="1293"/>
      <c r="AV475" s="1293"/>
      <c r="AW475" s="1293"/>
      <c r="AX475" s="1293"/>
      <c r="AY475" s="1293"/>
      <c r="AZ475" s="1293"/>
      <c r="BA475" s="1293"/>
      <c r="BB475" s="1293"/>
      <c r="BC475" s="1293"/>
      <c r="BD475" s="1293"/>
      <c r="BE475" s="1293"/>
      <c r="BF475" s="1293"/>
      <c r="BG475" s="1293"/>
      <c r="BH475" s="1293"/>
      <c r="BI475" s="1293"/>
      <c r="BJ475" s="1293"/>
      <c r="BK475" s="1293"/>
      <c r="BL475" s="1293"/>
      <c r="BM475" s="1293"/>
      <c r="BN475" s="1293"/>
      <c r="BO475" s="1293"/>
      <c r="BP475" s="1293"/>
      <c r="BQ475" s="1293"/>
      <c r="BR475" s="1293"/>
      <c r="BS475" s="1293"/>
      <c r="BT475" s="1293"/>
      <c r="BU475" s="1293"/>
      <c r="BV475" s="1293"/>
      <c r="BW475" s="1293"/>
      <c r="BX475" s="1293"/>
      <c r="BY475" s="1293"/>
      <c r="BZ475" s="1293"/>
      <c r="CA475" s="1293"/>
      <c r="CB475" s="1293"/>
      <c r="CC475" s="1293"/>
      <c r="CD475" s="1293"/>
      <c r="CE475" s="1293"/>
      <c r="CF475" s="1293"/>
      <c r="CG475" s="1293"/>
    </row>
    <row r="476" spans="1:85" ht="15.75">
      <c r="A476" s="1293"/>
      <c r="B476" s="1293"/>
      <c r="C476" s="1293"/>
      <c r="D476" s="1293"/>
      <c r="E476" s="1293"/>
      <c r="F476" s="1293"/>
      <c r="G476" s="1293"/>
      <c r="H476" s="1293"/>
      <c r="I476" s="1293"/>
      <c r="J476" s="1293"/>
      <c r="K476" s="1293"/>
      <c r="L476" s="1293"/>
      <c r="M476" s="1293"/>
      <c r="N476" s="1293"/>
      <c r="O476" s="1293"/>
      <c r="P476" s="1293"/>
      <c r="Q476" s="1293"/>
      <c r="R476" s="1293"/>
      <c r="S476" s="1293"/>
      <c r="T476" s="1293"/>
      <c r="U476" s="1293"/>
      <c r="V476" s="1293"/>
      <c r="W476" s="1293"/>
      <c r="X476" s="1293"/>
      <c r="Y476" s="1293"/>
      <c r="Z476" s="1293"/>
      <c r="AA476" s="1293"/>
      <c r="AB476" s="1293"/>
      <c r="AC476" s="1293"/>
      <c r="AD476" s="1293"/>
      <c r="AE476" s="1293"/>
      <c r="AF476" s="1293"/>
      <c r="AG476" s="1293"/>
      <c r="AH476" s="1293"/>
      <c r="AI476" s="1293"/>
      <c r="AJ476" s="1293"/>
      <c r="AK476" s="1293"/>
      <c r="AL476" s="1293"/>
      <c r="AM476" s="1293"/>
      <c r="AN476" s="1293"/>
      <c r="AO476" s="1293"/>
      <c r="AP476" s="1293"/>
      <c r="AQ476" s="1293"/>
      <c r="AR476" s="1293"/>
      <c r="AS476" s="1293"/>
      <c r="AT476" s="1293"/>
      <c r="AU476" s="1293"/>
      <c r="AV476" s="1293"/>
      <c r="AW476" s="1293"/>
      <c r="AX476" s="1293"/>
      <c r="AY476" s="1293"/>
      <c r="AZ476" s="1293"/>
      <c r="BA476" s="1293"/>
      <c r="BB476" s="1293"/>
      <c r="BC476" s="1293"/>
      <c r="BD476" s="1293"/>
      <c r="BE476" s="1293"/>
      <c r="BF476" s="1293"/>
      <c r="BG476" s="1293"/>
      <c r="BH476" s="1293"/>
      <c r="BI476" s="1293"/>
      <c r="BJ476" s="1293"/>
      <c r="BK476" s="1293"/>
      <c r="BL476" s="1293"/>
      <c r="BM476" s="1293"/>
      <c r="BN476" s="1293"/>
      <c r="BO476" s="1293"/>
      <c r="BP476" s="1293"/>
      <c r="BQ476" s="1293"/>
      <c r="BR476" s="1293"/>
      <c r="BS476" s="1293"/>
      <c r="BT476" s="1293"/>
      <c r="BU476" s="1293"/>
      <c r="BV476" s="1293"/>
      <c r="BW476" s="1293"/>
      <c r="BX476" s="1293"/>
      <c r="BY476" s="1293"/>
      <c r="BZ476" s="1293"/>
      <c r="CA476" s="1293"/>
      <c r="CB476" s="1293"/>
      <c r="CC476" s="1293"/>
      <c r="CD476" s="1293"/>
      <c r="CE476" s="1293"/>
      <c r="CF476" s="1293"/>
      <c r="CG476" s="1293"/>
    </row>
    <row r="477" spans="1:85" ht="15.75">
      <c r="A477" s="1293"/>
      <c r="B477" s="1293"/>
      <c r="C477" s="1293"/>
      <c r="D477" s="1293"/>
      <c r="E477" s="1293"/>
      <c r="F477" s="1293"/>
      <c r="G477" s="1293"/>
      <c r="H477" s="1293"/>
      <c r="I477" s="1293"/>
      <c r="J477" s="1293"/>
      <c r="K477" s="1293"/>
      <c r="L477" s="1293"/>
      <c r="M477" s="1293"/>
      <c r="N477" s="1293"/>
      <c r="O477" s="1293"/>
      <c r="P477" s="1293"/>
      <c r="Q477" s="1293"/>
      <c r="R477" s="1293"/>
      <c r="S477" s="1293"/>
      <c r="T477" s="1293"/>
      <c r="U477" s="1293"/>
      <c r="V477" s="1293"/>
      <c r="W477" s="1293"/>
      <c r="X477" s="1293"/>
      <c r="Y477" s="1293"/>
      <c r="Z477" s="1293"/>
      <c r="AA477" s="1293"/>
      <c r="AB477" s="1293"/>
      <c r="AC477" s="1293"/>
      <c r="AD477" s="1293"/>
      <c r="AE477" s="1293"/>
      <c r="AF477" s="1293"/>
      <c r="AG477" s="1293"/>
      <c r="AH477" s="1293"/>
      <c r="AI477" s="1293"/>
      <c r="AJ477" s="1293"/>
      <c r="AK477" s="1293"/>
      <c r="AL477" s="1293"/>
      <c r="AM477" s="1293"/>
      <c r="AN477" s="1293"/>
      <c r="AO477" s="1293"/>
      <c r="AP477" s="1293"/>
      <c r="AQ477" s="1293"/>
      <c r="AR477" s="1293"/>
      <c r="AS477" s="1293"/>
      <c r="AT477" s="1293"/>
      <c r="AU477" s="1293"/>
      <c r="AV477" s="1293"/>
      <c r="AW477" s="1293"/>
      <c r="AX477" s="1293"/>
      <c r="AY477" s="1293"/>
      <c r="AZ477" s="1293"/>
      <c r="BA477" s="1293"/>
      <c r="BB477" s="1293"/>
      <c r="BC477" s="1293"/>
      <c r="BD477" s="1293"/>
      <c r="BE477" s="1293"/>
      <c r="BF477" s="1293"/>
      <c r="BG477" s="1293"/>
      <c r="BH477" s="1293"/>
      <c r="BI477" s="1293"/>
      <c r="BJ477" s="1293"/>
      <c r="BK477" s="1293"/>
      <c r="BL477" s="1293"/>
      <c r="BM477" s="1293"/>
      <c r="BN477" s="1293"/>
      <c r="BO477" s="1293"/>
      <c r="BP477" s="1293"/>
      <c r="BQ477" s="1293"/>
      <c r="BR477" s="1293"/>
      <c r="BS477" s="1293"/>
      <c r="BT477" s="1293"/>
      <c r="BU477" s="1293"/>
      <c r="BV477" s="1293"/>
      <c r="BW477" s="1293"/>
      <c r="BX477" s="1293"/>
      <c r="BY477" s="1293"/>
      <c r="BZ477" s="1293"/>
      <c r="CA477" s="1293"/>
      <c r="CB477" s="1293"/>
      <c r="CC477" s="1293"/>
      <c r="CD477" s="1293"/>
      <c r="CE477" s="1293"/>
      <c r="CF477" s="1293"/>
      <c r="CG477" s="1293"/>
    </row>
    <row r="478" spans="1:85" ht="15.75">
      <c r="A478" s="1293"/>
      <c r="B478" s="1293"/>
      <c r="C478" s="1293"/>
      <c r="D478" s="1293"/>
      <c r="E478" s="1293"/>
      <c r="F478" s="1293"/>
      <c r="G478" s="1293"/>
      <c r="H478" s="1293"/>
      <c r="I478" s="1293"/>
      <c r="J478" s="1293"/>
      <c r="K478" s="1293"/>
      <c r="L478" s="1293"/>
      <c r="M478" s="1293"/>
      <c r="N478" s="1293"/>
      <c r="O478" s="1293"/>
      <c r="P478" s="1293"/>
      <c r="Q478" s="1293"/>
      <c r="R478" s="1293"/>
      <c r="S478" s="1293"/>
      <c r="T478" s="1293"/>
      <c r="U478" s="1293"/>
      <c r="V478" s="1293"/>
      <c r="W478" s="1293"/>
      <c r="X478" s="1293"/>
      <c r="Y478" s="1293"/>
      <c r="Z478" s="1293"/>
      <c r="AA478" s="1293"/>
      <c r="AB478" s="1293"/>
      <c r="AC478" s="1293"/>
      <c r="AD478" s="1293"/>
      <c r="AE478" s="1293"/>
      <c r="AF478" s="1293"/>
      <c r="AG478" s="1293"/>
      <c r="AH478" s="1293"/>
      <c r="AI478" s="1293"/>
      <c r="AJ478" s="1293"/>
      <c r="AK478" s="1293"/>
      <c r="AL478" s="1293"/>
      <c r="AM478" s="1293"/>
      <c r="AN478" s="1293"/>
      <c r="AO478" s="1293"/>
      <c r="AP478" s="1293"/>
      <c r="AQ478" s="1293"/>
      <c r="AR478" s="1293"/>
      <c r="AS478" s="1293"/>
      <c r="AT478" s="1293"/>
      <c r="AU478" s="1293"/>
      <c r="AV478" s="1293"/>
      <c r="AW478" s="1293"/>
      <c r="AX478" s="1293"/>
      <c r="AY478" s="1293"/>
      <c r="AZ478" s="1293"/>
      <c r="BA478" s="1293"/>
      <c r="BB478" s="1293"/>
      <c r="BC478" s="1293"/>
      <c r="BD478" s="1293"/>
      <c r="BE478" s="1293"/>
      <c r="BF478" s="1293"/>
      <c r="BG478" s="1293"/>
      <c r="BH478" s="1293"/>
      <c r="BI478" s="1293"/>
      <c r="BJ478" s="1293"/>
      <c r="BK478" s="1293"/>
      <c r="BL478" s="1293"/>
      <c r="BM478" s="1293"/>
      <c r="BN478" s="1293"/>
      <c r="BO478" s="1293"/>
      <c r="BP478" s="1293"/>
      <c r="BQ478" s="1293"/>
      <c r="BR478" s="1293"/>
      <c r="BS478" s="1293"/>
      <c r="BT478" s="1293"/>
      <c r="BU478" s="1293"/>
      <c r="BV478" s="1293"/>
      <c r="BW478" s="1293"/>
      <c r="BX478" s="1293"/>
      <c r="BY478" s="1293"/>
      <c r="BZ478" s="1293"/>
      <c r="CA478" s="1293"/>
      <c r="CB478" s="1293"/>
      <c r="CC478" s="1293"/>
      <c r="CD478" s="1293"/>
      <c r="CE478" s="1293"/>
      <c r="CF478" s="1293"/>
      <c r="CG478" s="1293"/>
    </row>
    <row r="479" spans="1:85" ht="15.75" hidden="1" outlineLevel="1">
      <c r="A479" s="1293"/>
      <c r="B479" s="1293"/>
      <c r="C479" s="1982" t="str">
        <f>C430</f>
        <v>Old Central America</v>
      </c>
      <c r="D479" s="1699">
        <f t="shared" ref="D479:I479" si="385">D284-D430</f>
        <v>758.87211926381929</v>
      </c>
      <c r="E479" s="1699">
        <f t="shared" si="385"/>
        <v>789.75290669609285</v>
      </c>
      <c r="F479" s="1699">
        <f t="shared" si="385"/>
        <v>753.56153526779929</v>
      </c>
      <c r="G479" s="1699">
        <f t="shared" si="385"/>
        <v>834</v>
      </c>
      <c r="H479" s="1699">
        <f t="shared" si="385"/>
        <v>860.63400000000001</v>
      </c>
      <c r="I479" s="1699">
        <f t="shared" si="385"/>
        <v>1189.6478232833615</v>
      </c>
      <c r="J479" s="1699">
        <f t="shared" ref="J479:T479" si="386">J285-J430</f>
        <v>943.15748084282427</v>
      </c>
      <c r="K479" s="1699">
        <f t="shared" si="386"/>
        <v>1561.6837727858049</v>
      </c>
      <c r="L479" s="1699">
        <f t="shared" si="386"/>
        <v>918.47149999999988</v>
      </c>
      <c r="M479" s="1699">
        <f t="shared" si="386"/>
        <v>984.9514999999999</v>
      </c>
      <c r="N479" s="1699">
        <f t="shared" si="386"/>
        <v>1481.0040000000001</v>
      </c>
      <c r="O479" s="1699">
        <f t="shared" si="386"/>
        <v>1316.6067641866687</v>
      </c>
      <c r="P479" s="1699">
        <f t="shared" si="386"/>
        <v>1338.544192906732</v>
      </c>
      <c r="Q479" s="1699">
        <f t="shared" si="386"/>
        <v>1361.819852629339</v>
      </c>
      <c r="R479" s="1699">
        <f t="shared" si="386"/>
        <v>1374.7592530479403</v>
      </c>
      <c r="S479" s="1699">
        <f t="shared" si="386"/>
        <v>1419.0256443519067</v>
      </c>
      <c r="T479" s="1699">
        <f t="shared" si="386"/>
        <v>1461.7883204472648</v>
      </c>
      <c r="U479" s="1293"/>
      <c r="V479" s="1293"/>
      <c r="W479" s="1293"/>
      <c r="X479" s="1293"/>
      <c r="Y479" s="1293"/>
      <c r="Z479" s="1293"/>
      <c r="AA479" s="1293"/>
      <c r="AB479" s="1293"/>
      <c r="AC479" s="1293"/>
      <c r="AD479" s="1293"/>
      <c r="AE479" s="1293"/>
      <c r="AF479" s="1293"/>
      <c r="AG479" s="1293"/>
      <c r="AH479" s="1293"/>
      <c r="AI479" s="1293"/>
      <c r="AJ479" s="1293"/>
      <c r="AK479" s="1293"/>
      <c r="AL479" s="1293"/>
      <c r="AM479" s="1293"/>
      <c r="AN479" s="1293"/>
      <c r="AO479" s="1293"/>
      <c r="AP479" s="1293"/>
      <c r="AQ479" s="1293"/>
      <c r="AR479" s="1293"/>
      <c r="AS479" s="1293"/>
      <c r="AT479" s="1293"/>
      <c r="AU479" s="1293"/>
      <c r="AV479" s="1293"/>
      <c r="AW479" s="1293"/>
      <c r="AX479" s="1293"/>
      <c r="AY479" s="1293"/>
      <c r="AZ479" s="1293"/>
      <c r="BA479" s="1293"/>
      <c r="BB479" s="1293"/>
      <c r="BC479" s="1293"/>
      <c r="BD479" s="1293"/>
      <c r="BE479" s="1293"/>
      <c r="BF479" s="1293"/>
      <c r="BG479" s="1293"/>
      <c r="BH479" s="1293"/>
      <c r="BI479" s="1293"/>
      <c r="BJ479" s="1293"/>
      <c r="BK479" s="1293"/>
      <c r="BL479" s="1293"/>
      <c r="BM479" s="1293"/>
      <c r="BN479" s="1293"/>
      <c r="BO479" s="1293"/>
      <c r="BP479" s="1293"/>
      <c r="BQ479" s="1293"/>
      <c r="BR479" s="1293"/>
      <c r="BS479" s="1293"/>
      <c r="BT479" s="1293"/>
      <c r="BU479" s="1293"/>
      <c r="BV479" s="1293"/>
      <c r="BW479" s="1293"/>
      <c r="BX479" s="1293"/>
      <c r="BY479" s="1293"/>
      <c r="BZ479" s="1293"/>
      <c r="CA479" s="1293"/>
      <c r="CB479" s="1293"/>
      <c r="CC479" s="1293"/>
      <c r="CD479" s="1293"/>
      <c r="CE479" s="1293"/>
      <c r="CF479" s="1293"/>
      <c r="CG479" s="1293"/>
    </row>
    <row r="480" spans="1:85" ht="15.75" hidden="1" outlineLevel="1">
      <c r="A480" s="1293"/>
      <c r="B480" s="1293"/>
      <c r="C480" s="1982" t="str">
        <f>C431</f>
        <v>South America ex Colombia</v>
      </c>
      <c r="D480" s="1699">
        <f t="shared" ref="D480:T480" si="387">(D291-D288)-D431</f>
        <v>364.61001632741284</v>
      </c>
      <c r="E480" s="1699">
        <f t="shared" ca="1" si="387"/>
        <v>254.91662788345894</v>
      </c>
      <c r="F480" s="1699">
        <f t="shared" ca="1" si="387"/>
        <v>308.24456207088019</v>
      </c>
      <c r="G480" s="1699">
        <f t="shared" si="387"/>
        <v>230.50965774313789</v>
      </c>
      <c r="H480" s="1699">
        <f t="shared" si="387"/>
        <v>219.58218568002741</v>
      </c>
      <c r="I480" s="1699">
        <f t="shared" ca="1" si="387"/>
        <v>263.89716116064551</v>
      </c>
      <c r="J480" s="1699">
        <f t="shared" ca="1" si="387"/>
        <v>227.19601909056661</v>
      </c>
      <c r="K480" s="1699">
        <f t="shared" ca="1" si="387"/>
        <v>-357.66005466998524</v>
      </c>
      <c r="L480" s="1699">
        <f t="shared" si="387"/>
        <v>338.5711615265061</v>
      </c>
      <c r="M480" s="1699">
        <f t="shared" si="387"/>
        <v>329.18718000000001</v>
      </c>
      <c r="N480" s="1699">
        <f t="shared" si="387"/>
        <v>415.77818000000013</v>
      </c>
      <c r="O480" s="1699">
        <f t="shared" si="387"/>
        <v>287.84688568785617</v>
      </c>
      <c r="P480" s="1699">
        <f t="shared" si="387"/>
        <v>288.73146461394549</v>
      </c>
      <c r="Q480" s="1699">
        <f t="shared" si="387"/>
        <v>288.22419267692487</v>
      </c>
      <c r="R480" s="1699">
        <f t="shared" si="387"/>
        <v>291.78631328261406</v>
      </c>
      <c r="S480" s="1699">
        <f t="shared" si="387"/>
        <v>298.22101717089186</v>
      </c>
      <c r="T480" s="1699">
        <f t="shared" si="387"/>
        <v>306.59263890353247</v>
      </c>
      <c r="U480" s="1293"/>
      <c r="V480" s="1293"/>
      <c r="W480" s="1293"/>
      <c r="X480" s="1293"/>
      <c r="Y480" s="1293"/>
      <c r="Z480" s="1293"/>
      <c r="AA480" s="1293"/>
      <c r="AB480" s="1293"/>
      <c r="AC480" s="1293"/>
      <c r="AD480" s="1293"/>
      <c r="AE480" s="1293"/>
      <c r="AF480" s="1293"/>
      <c r="AG480" s="1293"/>
      <c r="AH480" s="1293"/>
      <c r="AI480" s="1293"/>
      <c r="AJ480" s="1293"/>
      <c r="AK480" s="1293"/>
      <c r="AL480" s="1293"/>
      <c r="AM480" s="1293"/>
      <c r="AN480" s="1293"/>
      <c r="AO480" s="1293"/>
      <c r="AP480" s="1293"/>
      <c r="AQ480" s="1293"/>
      <c r="AR480" s="1293"/>
      <c r="AS480" s="1293"/>
      <c r="AT480" s="1293"/>
      <c r="AU480" s="1293"/>
      <c r="AV480" s="1293"/>
      <c r="AW480" s="1293"/>
      <c r="AX480" s="1293"/>
      <c r="AY480" s="1293"/>
      <c r="AZ480" s="1293"/>
      <c r="BA480" s="1293"/>
      <c r="BB480" s="1293"/>
      <c r="BC480" s="1293"/>
      <c r="BD480" s="1293"/>
      <c r="BE480" s="1293"/>
      <c r="BF480" s="1293"/>
      <c r="BG480" s="1293"/>
      <c r="BH480" s="1293"/>
      <c r="BI480" s="1293"/>
      <c r="BJ480" s="1293"/>
      <c r="BK480" s="1293"/>
      <c r="BL480" s="1293"/>
      <c r="BM480" s="1293"/>
      <c r="BN480" s="1293"/>
      <c r="BO480" s="1293"/>
      <c r="BP480" s="1293"/>
      <c r="BQ480" s="1293"/>
      <c r="BR480" s="1293"/>
      <c r="BS480" s="1293"/>
      <c r="BT480" s="1293"/>
      <c r="BU480" s="1293"/>
      <c r="BV480" s="1293"/>
      <c r="BW480" s="1293"/>
      <c r="BX480" s="1293"/>
      <c r="BY480" s="1293"/>
      <c r="BZ480" s="1293"/>
      <c r="CA480" s="1293"/>
      <c r="CB480" s="1293"/>
      <c r="CC480" s="1293"/>
      <c r="CD480" s="1293"/>
      <c r="CE480" s="1293"/>
      <c r="CF480" s="1293"/>
      <c r="CG480" s="1293"/>
    </row>
    <row r="481" spans="1:85" ht="15.75" hidden="1" outlineLevel="1">
      <c r="A481" s="1293"/>
      <c r="B481" s="1293"/>
      <c r="C481" s="1982" t="str">
        <f>C432</f>
        <v>Colombia</v>
      </c>
      <c r="D481" s="1699">
        <f t="shared" ref="D481:T481" si="388">D288-D432</f>
        <v>116.79690930310005</v>
      </c>
      <c r="E481" s="1699">
        <f t="shared" ca="1" si="388"/>
        <v>114.44901514907286</v>
      </c>
      <c r="F481" s="1699">
        <f t="shared" ca="1" si="388"/>
        <v>134.51658412820939</v>
      </c>
      <c r="G481" s="1699">
        <f t="shared" si="388"/>
        <v>172.49034225686211</v>
      </c>
      <c r="H481" s="1699">
        <f t="shared" si="388"/>
        <v>186.01781431997262</v>
      </c>
      <c r="I481" s="1699">
        <f t="shared" ca="1" si="388"/>
        <v>227.10283883935449</v>
      </c>
      <c r="J481" s="1699">
        <f t="shared" ca="1" si="388"/>
        <v>226.80398090943339</v>
      </c>
      <c r="K481" s="1699">
        <f t="shared" ca="1" si="388"/>
        <v>178.66005466998524</v>
      </c>
      <c r="L481" s="1699">
        <f t="shared" si="388"/>
        <v>133.09000000000003</v>
      </c>
      <c r="M481" s="1699">
        <f t="shared" si="388"/>
        <v>257.71199999999999</v>
      </c>
      <c r="N481" s="1699">
        <f t="shared" si="388"/>
        <v>370.32209999999998</v>
      </c>
      <c r="O481" s="1699">
        <f t="shared" si="388"/>
        <v>403.31477533108443</v>
      </c>
      <c r="P481" s="1699">
        <f t="shared" si="388"/>
        <v>419.85334445449837</v>
      </c>
      <c r="Q481" s="1699">
        <f t="shared" si="388"/>
        <v>432.3070176028474</v>
      </c>
      <c r="R481" s="1699">
        <f t="shared" si="388"/>
        <v>447.76052221048883</v>
      </c>
      <c r="S481" s="1699">
        <f t="shared" si="388"/>
        <v>467.83671256852836</v>
      </c>
      <c r="T481" s="1699">
        <f t="shared" si="388"/>
        <v>485.2241700743906</v>
      </c>
      <c r="U481" s="1293"/>
      <c r="V481" s="1293"/>
      <c r="W481" s="1293"/>
      <c r="X481" s="1293"/>
      <c r="Y481" s="1293"/>
      <c r="Z481" s="1293"/>
      <c r="AA481" s="1293"/>
      <c r="AB481" s="1293"/>
      <c r="AC481" s="1293"/>
      <c r="AD481" s="1293"/>
      <c r="AE481" s="1293"/>
      <c r="AF481" s="1293"/>
      <c r="AG481" s="1293"/>
      <c r="AH481" s="1293"/>
      <c r="AI481" s="1293"/>
      <c r="AJ481" s="1293"/>
      <c r="AK481" s="1293"/>
      <c r="AL481" s="1293"/>
      <c r="AM481" s="1293"/>
      <c r="AN481" s="1293"/>
      <c r="AO481" s="1293"/>
      <c r="AP481" s="1293"/>
      <c r="AQ481" s="1293"/>
      <c r="AR481" s="1293"/>
      <c r="AS481" s="1293"/>
      <c r="AT481" s="1293"/>
      <c r="AU481" s="1293"/>
      <c r="AV481" s="1293"/>
      <c r="AW481" s="1293"/>
      <c r="AX481" s="1293"/>
      <c r="AY481" s="1293"/>
      <c r="AZ481" s="1293"/>
      <c r="BA481" s="1293"/>
      <c r="BB481" s="1293"/>
      <c r="BC481" s="1293"/>
      <c r="BD481" s="1293"/>
      <c r="BE481" s="1293"/>
      <c r="BF481" s="1293"/>
      <c r="BG481" s="1293"/>
      <c r="BH481" s="1293"/>
      <c r="BI481" s="1293"/>
      <c r="BJ481" s="1293"/>
      <c r="BK481" s="1293"/>
      <c r="BL481" s="1293"/>
      <c r="BM481" s="1293"/>
      <c r="BN481" s="1293"/>
      <c r="BO481" s="1293"/>
      <c r="BP481" s="1293"/>
      <c r="BQ481" s="1293"/>
      <c r="BR481" s="1293"/>
      <c r="BS481" s="1293"/>
      <c r="BT481" s="1293"/>
      <c r="BU481" s="1293"/>
      <c r="BV481" s="1293"/>
      <c r="BW481" s="1293"/>
      <c r="BX481" s="1293"/>
      <c r="BY481" s="1293"/>
      <c r="BZ481" s="1293"/>
      <c r="CA481" s="1293"/>
      <c r="CB481" s="1293"/>
      <c r="CC481" s="1293"/>
      <c r="CD481" s="1293"/>
      <c r="CE481" s="1293"/>
      <c r="CF481" s="1293"/>
      <c r="CG481" s="1293"/>
    </row>
    <row r="482" spans="1:85" ht="15.75" hidden="1" outlineLevel="1">
      <c r="A482" s="1293"/>
      <c r="B482" s="1293"/>
      <c r="C482" s="1982" t="str">
        <f>C433</f>
        <v>Africa</v>
      </c>
      <c r="D482" s="1699">
        <f t="shared" ref="D482:T482" si="389">D301-D433</f>
        <v>-94.661834736006199</v>
      </c>
      <c r="E482" s="1699">
        <f t="shared" si="389"/>
        <v>-68.409688505170948</v>
      </c>
      <c r="F482" s="1699">
        <f t="shared" si="389"/>
        <v>96.839898439150403</v>
      </c>
      <c r="G482" s="1699">
        <f t="shared" si="389"/>
        <v>110</v>
      </c>
      <c r="H482" s="1699">
        <f t="shared" si="389"/>
        <v>119</v>
      </c>
      <c r="I482" s="1699">
        <f t="shared" si="389"/>
        <v>125.5</v>
      </c>
      <c r="J482" s="1699">
        <f t="shared" si="389"/>
        <v>100</v>
      </c>
      <c r="K482" s="1699">
        <f t="shared" si="389"/>
        <v>128</v>
      </c>
      <c r="L482" s="1699">
        <f t="shared" si="389"/>
        <v>0</v>
      </c>
      <c r="M482" s="1699">
        <f t="shared" si="389"/>
        <v>0</v>
      </c>
      <c r="N482" s="1699">
        <f t="shared" si="389"/>
        <v>0</v>
      </c>
      <c r="O482" s="1699">
        <f t="shared" si="389"/>
        <v>0</v>
      </c>
      <c r="P482" s="1699">
        <f t="shared" si="389"/>
        <v>0</v>
      </c>
      <c r="Q482" s="1699">
        <f t="shared" si="389"/>
        <v>0</v>
      </c>
      <c r="R482" s="1699">
        <f t="shared" si="389"/>
        <v>0</v>
      </c>
      <c r="S482" s="1699">
        <f t="shared" si="389"/>
        <v>0</v>
      </c>
      <c r="T482" s="1699">
        <f t="shared" si="389"/>
        <v>0</v>
      </c>
      <c r="U482" s="1293"/>
      <c r="V482" s="1293"/>
      <c r="W482" s="1293"/>
      <c r="X482" s="1293"/>
      <c r="Y482" s="1293"/>
      <c r="Z482" s="1293"/>
      <c r="AA482" s="1293"/>
      <c r="AB482" s="1293"/>
      <c r="AC482" s="1293"/>
      <c r="AD482" s="1293"/>
      <c r="AE482" s="1293"/>
      <c r="AF482" s="1293"/>
      <c r="AG482" s="1293"/>
      <c r="AH482" s="1293"/>
      <c r="AI482" s="1293"/>
      <c r="AJ482" s="1293"/>
      <c r="AK482" s="1293"/>
      <c r="AL482" s="1293"/>
      <c r="AM482" s="1293"/>
      <c r="AN482" s="1293"/>
      <c r="AO482" s="1293"/>
      <c r="AP482" s="1293"/>
      <c r="AQ482" s="1293"/>
      <c r="AR482" s="1293"/>
      <c r="AS482" s="1293"/>
      <c r="AT482" s="1293"/>
      <c r="AU482" s="1293"/>
      <c r="AV482" s="1293"/>
      <c r="AW482" s="1293"/>
      <c r="AX482" s="1293"/>
      <c r="AY482" s="1293"/>
      <c r="AZ482" s="1293"/>
      <c r="BA482" s="1293"/>
      <c r="BB482" s="1293"/>
      <c r="BC482" s="1293"/>
      <c r="BD482" s="1293"/>
      <c r="BE482" s="1293"/>
      <c r="BF482" s="1293"/>
      <c r="BG482" s="1293"/>
      <c r="BH482" s="1293"/>
      <c r="BI482" s="1293"/>
      <c r="BJ482" s="1293"/>
      <c r="BK482" s="1293"/>
      <c r="BL482" s="1293"/>
      <c r="BM482" s="1293"/>
      <c r="BN482" s="1293"/>
      <c r="BO482" s="1293"/>
      <c r="BP482" s="1293"/>
      <c r="BQ482" s="1293"/>
      <c r="BR482" s="1293"/>
      <c r="BS482" s="1293"/>
      <c r="BT482" s="1293"/>
      <c r="BU482" s="1293"/>
      <c r="BV482" s="1293"/>
      <c r="BW482" s="1293"/>
      <c r="BX482" s="1293"/>
      <c r="BY482" s="1293"/>
      <c r="BZ482" s="1293"/>
      <c r="CA482" s="1293"/>
      <c r="CB482" s="1293"/>
      <c r="CC482" s="1293"/>
      <c r="CD482" s="1293"/>
      <c r="CE482" s="1293"/>
      <c r="CF482" s="1293"/>
      <c r="CG482" s="1293"/>
    </row>
    <row r="483" spans="1:85" ht="15.75" hidden="1" outlineLevel="1">
      <c r="A483" s="1293"/>
      <c r="B483" s="1293"/>
      <c r="C483" s="1982" t="str">
        <f>C435</f>
        <v>New CA</v>
      </c>
      <c r="D483" s="1699"/>
      <c r="E483" s="1699"/>
      <c r="F483" s="1699"/>
      <c r="G483" s="1699"/>
      <c r="H483" s="1699"/>
      <c r="I483" s="1699"/>
      <c r="J483" s="1699">
        <f>'New CA'!H174</f>
        <v>186.8880530890504</v>
      </c>
      <c r="K483" s="1699">
        <f>'New CA'!I174</f>
        <v>169.87681895098959</v>
      </c>
      <c r="L483" s="1699">
        <f>'New CA'!J174</f>
        <v>184.6122298708373</v>
      </c>
      <c r="M483" s="1699">
        <f>'New CA'!K174</f>
        <v>194.80996699041094</v>
      </c>
      <c r="N483" s="1699">
        <f>'New CA'!L174</f>
        <v>211.13430470924459</v>
      </c>
      <c r="O483" s="1699">
        <f>'New CA'!M174</f>
        <v>207.59428928436273</v>
      </c>
      <c r="P483" s="1699">
        <f>'New CA'!N174</f>
        <v>209.04857245506901</v>
      </c>
      <c r="Q483" s="1699">
        <f>'New CA'!O174</f>
        <v>210.52430278202121</v>
      </c>
      <c r="R483" s="1699">
        <f>'New CA'!P174</f>
        <v>212.02176378002736</v>
      </c>
      <c r="S483" s="1699">
        <f>'New CA'!Q174</f>
        <v>213.54124248947568</v>
      </c>
      <c r="T483" s="1699">
        <f>'New CA'!R174</f>
        <v>215.08302951849527</v>
      </c>
      <c r="U483" s="1293"/>
      <c r="V483" s="1293"/>
      <c r="W483" s="1293"/>
      <c r="X483" s="1293"/>
      <c r="Y483" s="1293"/>
      <c r="Z483" s="1293"/>
      <c r="AA483" s="1293"/>
      <c r="AB483" s="1293"/>
      <c r="AC483" s="1293"/>
      <c r="AD483" s="1293"/>
      <c r="AE483" s="1293"/>
      <c r="AF483" s="1293"/>
      <c r="AG483" s="1293"/>
      <c r="AH483" s="1293"/>
      <c r="AI483" s="1293"/>
      <c r="AJ483" s="1293"/>
      <c r="AK483" s="1293"/>
      <c r="AL483" s="1293"/>
      <c r="AM483" s="1293"/>
      <c r="AN483" s="1293"/>
      <c r="AO483" s="1293"/>
      <c r="AP483" s="1293"/>
      <c r="AQ483" s="1293"/>
      <c r="AR483" s="1293"/>
      <c r="AS483" s="1293"/>
      <c r="AT483" s="1293"/>
      <c r="AU483" s="1293"/>
      <c r="AV483" s="1293"/>
      <c r="AW483" s="1293"/>
      <c r="AX483" s="1293"/>
      <c r="AY483" s="1293"/>
      <c r="AZ483" s="1293"/>
      <c r="BA483" s="1293"/>
      <c r="BB483" s="1293"/>
      <c r="BC483" s="1293"/>
      <c r="BD483" s="1293"/>
      <c r="BE483" s="1293"/>
      <c r="BF483" s="1293"/>
      <c r="BG483" s="1293"/>
      <c r="BH483" s="1293"/>
      <c r="BI483" s="1293"/>
      <c r="BJ483" s="1293"/>
      <c r="BK483" s="1293"/>
      <c r="BL483" s="1293"/>
      <c r="BM483" s="1293"/>
      <c r="BN483" s="1293"/>
      <c r="BO483" s="1293"/>
      <c r="BP483" s="1293"/>
      <c r="BQ483" s="1293"/>
      <c r="BR483" s="1293"/>
      <c r="BS483" s="1293"/>
      <c r="BT483" s="1293"/>
      <c r="BU483" s="1293"/>
      <c r="BV483" s="1293"/>
      <c r="BW483" s="1293"/>
      <c r="BX483" s="1293"/>
      <c r="BY483" s="1293"/>
      <c r="BZ483" s="1293"/>
      <c r="CA483" s="1293"/>
      <c r="CB483" s="1293"/>
      <c r="CC483" s="1293"/>
      <c r="CD483" s="1293"/>
      <c r="CE483" s="1293"/>
      <c r="CF483" s="1293"/>
      <c r="CG483" s="1293"/>
    </row>
    <row r="484" spans="1:85" ht="15.75" hidden="1" outlineLevel="1">
      <c r="A484" s="1293"/>
      <c r="B484" s="1293"/>
      <c r="C484" s="1983" t="str">
        <f>C436</f>
        <v>Unallocated</v>
      </c>
      <c r="D484" s="1703">
        <f t="shared" ref="D484:T484" si="390">D303-D436</f>
        <v>-0.70388938525206868</v>
      </c>
      <c r="E484" s="1703">
        <f t="shared" si="390"/>
        <v>18.529840447906281</v>
      </c>
      <c r="F484" s="1703">
        <f t="shared" si="390"/>
        <v>12.412126943843646</v>
      </c>
      <c r="G484" s="1703">
        <f t="shared" si="390"/>
        <v>6.6760000000000446</v>
      </c>
      <c r="H484" s="1703">
        <f t="shared" si="390"/>
        <v>-50.599999999999994</v>
      </c>
      <c r="I484" s="1703">
        <f t="shared" si="390"/>
        <v>-54</v>
      </c>
      <c r="J484" s="1703">
        <f t="shared" si="390"/>
        <v>-7</v>
      </c>
      <c r="K484" s="1703">
        <f t="shared" si="390"/>
        <v>0</v>
      </c>
      <c r="L484" s="1703">
        <f t="shared" si="390"/>
        <v>0</v>
      </c>
      <c r="M484" s="1703">
        <f t="shared" si="390"/>
        <v>0</v>
      </c>
      <c r="N484" s="1703">
        <f t="shared" si="390"/>
        <v>0</v>
      </c>
      <c r="O484" s="1703">
        <f t="shared" si="390"/>
        <v>-48.75</v>
      </c>
      <c r="P484" s="1703">
        <f t="shared" si="390"/>
        <v>-97.5</v>
      </c>
      <c r="Q484" s="1703">
        <f t="shared" si="390"/>
        <v>-97.5</v>
      </c>
      <c r="R484" s="1703">
        <f t="shared" si="390"/>
        <v>-97.5</v>
      </c>
      <c r="S484" s="1703">
        <f t="shared" si="390"/>
        <v>-97.5</v>
      </c>
      <c r="T484" s="1703">
        <f t="shared" si="390"/>
        <v>-97.5</v>
      </c>
      <c r="U484" s="1293"/>
      <c r="V484" s="1293"/>
      <c r="W484" s="1293"/>
      <c r="X484" s="1293"/>
      <c r="Y484" s="1293"/>
      <c r="Z484" s="1293"/>
      <c r="AA484" s="1293"/>
      <c r="AB484" s="1293"/>
      <c r="AC484" s="1293"/>
      <c r="AD484" s="1293"/>
      <c r="AE484" s="1293"/>
      <c r="AF484" s="1293"/>
      <c r="AG484" s="1293"/>
      <c r="AH484" s="1293"/>
      <c r="AI484" s="1293"/>
      <c r="AJ484" s="1293"/>
      <c r="AK484" s="1293"/>
      <c r="AL484" s="1293"/>
      <c r="AM484" s="1293"/>
      <c r="AN484" s="1293"/>
      <c r="AO484" s="1293"/>
      <c r="AP484" s="1293"/>
      <c r="AQ484" s="1293"/>
      <c r="AR484" s="1293"/>
      <c r="AS484" s="1293"/>
      <c r="AT484" s="1293"/>
      <c r="AU484" s="1293"/>
      <c r="AV484" s="1293"/>
      <c r="AW484" s="1293"/>
      <c r="AX484" s="1293"/>
      <c r="AY484" s="1293"/>
      <c r="AZ484" s="1293"/>
      <c r="BA484" s="1293"/>
      <c r="BB484" s="1293"/>
      <c r="BC484" s="1293"/>
      <c r="BD484" s="1293"/>
      <c r="BE484" s="1293"/>
      <c r="BF484" s="1293"/>
      <c r="BG484" s="1293"/>
      <c r="BH484" s="1293"/>
      <c r="BI484" s="1293"/>
      <c r="BJ484" s="1293"/>
      <c r="BK484" s="1293"/>
      <c r="BL484" s="1293"/>
      <c r="BM484" s="1293"/>
      <c r="BN484" s="1293"/>
      <c r="BO484" s="1293"/>
      <c r="BP484" s="1293"/>
      <c r="BQ484" s="1293"/>
      <c r="BR484" s="1293"/>
      <c r="BS484" s="1293"/>
      <c r="BT484" s="1293"/>
      <c r="BU484" s="1293"/>
      <c r="BV484" s="1293"/>
      <c r="BW484" s="1293"/>
      <c r="BX484" s="1293"/>
      <c r="BY484" s="1293"/>
      <c r="BZ484" s="1293"/>
      <c r="CA484" s="1293"/>
      <c r="CB484" s="1293"/>
      <c r="CC484" s="1293"/>
      <c r="CD484" s="1293"/>
      <c r="CE484" s="1293"/>
      <c r="CF484" s="1293"/>
      <c r="CG484" s="1293"/>
    </row>
    <row r="485" spans="1:85" ht="15.75" hidden="1" outlineLevel="1">
      <c r="A485" s="1293"/>
      <c r="B485" s="1293"/>
      <c r="C485" s="2003" t="str">
        <f>C437</f>
        <v>Total</v>
      </c>
      <c r="D485" s="1723">
        <f>SUM(D479:D484)</f>
        <v>1144.913320773074</v>
      </c>
      <c r="E485" s="1723">
        <f t="shared" ref="E485:O485" ca="1" si="391">SUM(E479:E484)</f>
        <v>1109.2387016713601</v>
      </c>
      <c r="F485" s="1723">
        <f ca="1">SUM(F479:F484)</f>
        <v>1305.5747068498831</v>
      </c>
      <c r="G485" s="1723">
        <f>SUM(G479:G484)</f>
        <v>1353.6759999999999</v>
      </c>
      <c r="H485" s="1723">
        <f t="shared" si="391"/>
        <v>1334.634</v>
      </c>
      <c r="I485" s="1723">
        <f t="shared" ca="1" si="391"/>
        <v>1752.1478232833615</v>
      </c>
      <c r="J485" s="1723">
        <f t="shared" ca="1" si="391"/>
        <v>1677.0455339318746</v>
      </c>
      <c r="K485" s="1723">
        <f t="shared" ca="1" si="391"/>
        <v>1680.5605917367943</v>
      </c>
      <c r="L485" s="1723">
        <f t="shared" ref="L485" si="392">SUM(L479:L484)</f>
        <v>1574.7448913973435</v>
      </c>
      <c r="M485" s="1723">
        <f t="shared" si="391"/>
        <v>1766.6606469904109</v>
      </c>
      <c r="N485" s="1723">
        <f t="shared" si="391"/>
        <v>2478.2385847092446</v>
      </c>
      <c r="O485" s="1723">
        <f t="shared" si="391"/>
        <v>2166.6127144899719</v>
      </c>
      <c r="P485" s="1723">
        <f>SUM(P479:P484)</f>
        <v>2158.6775744302449</v>
      </c>
      <c r="Q485" s="1723">
        <f>SUM(Q479:Q484)</f>
        <v>2195.3753656911322</v>
      </c>
      <c r="R485" s="1723">
        <f>SUM(R479:R484)</f>
        <v>2228.8278523210706</v>
      </c>
      <c r="S485" s="1723">
        <f>SUM(S479:S484)</f>
        <v>2301.1246165808025</v>
      </c>
      <c r="T485" s="1723">
        <f>SUM(T479:T484)</f>
        <v>2371.188158943683</v>
      </c>
      <c r="U485" s="1293"/>
      <c r="V485" s="1293"/>
      <c r="W485" s="1293"/>
      <c r="X485" s="1293"/>
      <c r="Y485" s="1293"/>
      <c r="Z485" s="1293"/>
      <c r="AA485" s="1293"/>
      <c r="AB485" s="1293"/>
      <c r="AC485" s="1293"/>
      <c r="AD485" s="1293"/>
      <c r="AE485" s="1293"/>
      <c r="AF485" s="1293"/>
      <c r="AG485" s="1293"/>
      <c r="AH485" s="1293"/>
      <c r="AI485" s="1293"/>
      <c r="AJ485" s="1293"/>
      <c r="AK485" s="1293"/>
      <c r="AL485" s="1293"/>
      <c r="AM485" s="1293"/>
      <c r="AN485" s="1293"/>
      <c r="AO485" s="1293"/>
      <c r="AP485" s="1293"/>
      <c r="AQ485" s="1293"/>
      <c r="AR485" s="1293"/>
      <c r="AS485" s="1293"/>
      <c r="AT485" s="1293"/>
      <c r="AU485" s="1293"/>
      <c r="AV485" s="1293"/>
      <c r="AW485" s="1293"/>
      <c r="AX485" s="1293"/>
      <c r="AY485" s="1293"/>
      <c r="AZ485" s="1293"/>
      <c r="BA485" s="1293"/>
      <c r="BB485" s="1293"/>
      <c r="BC485" s="1293"/>
      <c r="BD485" s="1293"/>
      <c r="BE485" s="1293"/>
      <c r="BF485" s="1293"/>
      <c r="BG485" s="1293"/>
      <c r="BH485" s="1293"/>
      <c r="BI485" s="1293"/>
      <c r="BJ485" s="1293"/>
      <c r="BK485" s="1293"/>
      <c r="BL485" s="1293"/>
      <c r="BM485" s="1293"/>
      <c r="BN485" s="1293"/>
      <c r="BO485" s="1293"/>
      <c r="BP485" s="1293"/>
      <c r="BQ485" s="1293"/>
      <c r="BR485" s="1293"/>
      <c r="BS485" s="1293"/>
      <c r="BT485" s="1293"/>
      <c r="BU485" s="1293"/>
      <c r="BV485" s="1293"/>
      <c r="BW485" s="1293"/>
      <c r="BX485" s="1293"/>
      <c r="BY485" s="1293"/>
      <c r="BZ485" s="1293"/>
      <c r="CA485" s="1293"/>
      <c r="CB485" s="1293"/>
      <c r="CC485" s="1293"/>
      <c r="CD485" s="1293"/>
      <c r="CE485" s="1293"/>
      <c r="CF485" s="1293"/>
      <c r="CG485" s="1293"/>
    </row>
    <row r="486" spans="1:85" ht="15.75" hidden="1" outlineLevel="1">
      <c r="A486" s="1293"/>
      <c r="B486" s="1293"/>
      <c r="C486" s="2003" t="s">
        <v>6094</v>
      </c>
      <c r="D486" s="1723"/>
      <c r="E486" s="1723"/>
      <c r="F486" s="1723"/>
      <c r="G486" s="1723"/>
      <c r="H486" s="1723">
        <f t="shared" ref="H486:T486" si="393">H319-H439</f>
        <v>1127</v>
      </c>
      <c r="I486" s="1723">
        <f t="shared" ca="1" si="393"/>
        <v>1428</v>
      </c>
      <c r="J486" s="1723">
        <f t="shared" ca="1" si="393"/>
        <v>1411</v>
      </c>
      <c r="K486" s="1723">
        <f t="shared" ca="1" si="393"/>
        <v>1390</v>
      </c>
      <c r="L486" s="1723">
        <f t="shared" si="393"/>
        <v>1515.3768</v>
      </c>
      <c r="M486" s="1723">
        <f t="shared" si="393"/>
        <v>1650.1167</v>
      </c>
      <c r="N486" s="1723">
        <f t="shared" ca="1" si="393"/>
        <v>2003.5371049804871</v>
      </c>
      <c r="O486" s="1723">
        <f t="shared" si="393"/>
        <v>2089.5140729336963</v>
      </c>
      <c r="P486" s="1723">
        <f t="shared" si="393"/>
        <v>2140.8390231915773</v>
      </c>
      <c r="Q486" s="1723">
        <f t="shared" si="393"/>
        <v>2182.9789590251712</v>
      </c>
      <c r="R486" s="1723">
        <f t="shared" si="393"/>
        <v>2222.0372955559737</v>
      </c>
      <c r="S486" s="1723">
        <f t="shared" si="393"/>
        <v>2294.5574788376143</v>
      </c>
      <c r="T486" s="1723">
        <f t="shared" si="393"/>
        <v>2364.8486602153325</v>
      </c>
      <c r="U486" s="1293"/>
      <c r="V486" s="1293"/>
      <c r="W486" s="1293"/>
      <c r="X486" s="1293"/>
      <c r="Y486" s="1698">
        <f>(CA!V195-CA!V211)</f>
        <v>649</v>
      </c>
      <c r="Z486" s="1293"/>
      <c r="AA486" s="1293"/>
      <c r="AB486" s="1293"/>
      <c r="AC486" s="1293"/>
      <c r="AD486" s="1293"/>
      <c r="AE486" s="1293"/>
      <c r="AF486" s="1293"/>
      <c r="AG486" s="1293"/>
      <c r="AH486" s="1293"/>
      <c r="AI486" s="1293"/>
      <c r="AJ486" s="1293"/>
      <c r="AK486" s="1293"/>
      <c r="AL486" s="1293"/>
      <c r="AM486" s="1293"/>
      <c r="AN486" s="1293"/>
      <c r="AO486" s="1293"/>
      <c r="AP486" s="1293"/>
      <c r="AQ486" s="1293"/>
      <c r="AR486" s="1293"/>
      <c r="AS486" s="1293"/>
      <c r="AT486" s="1293"/>
      <c r="AU486" s="1293"/>
      <c r="AV486" s="1293"/>
      <c r="AW486" s="1293"/>
      <c r="AX486" s="1293"/>
      <c r="AY486" s="1293"/>
      <c r="AZ486" s="1293"/>
      <c r="BA486" s="1293"/>
      <c r="BB486" s="1293"/>
      <c r="BC486" s="1293"/>
      <c r="BD486" s="1293"/>
      <c r="BE486" s="1293"/>
      <c r="BF486" s="1293"/>
      <c r="BG486" s="1293"/>
      <c r="BH486" s="1293"/>
      <c r="BI486" s="1293"/>
      <c r="BJ486" s="1293"/>
      <c r="BK486" s="1293"/>
      <c r="BL486" s="1293"/>
      <c r="BM486" s="1293"/>
      <c r="BN486" s="1293"/>
      <c r="BO486" s="1293"/>
      <c r="BP486" s="1293"/>
      <c r="BQ486" s="1293"/>
      <c r="BR486" s="1293"/>
      <c r="BS486" s="1293"/>
      <c r="BT486" s="1293"/>
      <c r="BU486" s="1293"/>
      <c r="BV486" s="1293"/>
      <c r="BW486" s="1293"/>
      <c r="BX486" s="1293"/>
      <c r="BY486" s="1293"/>
      <c r="BZ486" s="1293"/>
      <c r="CA486" s="1293"/>
      <c r="CB486" s="1293"/>
      <c r="CC486" s="1293"/>
      <c r="CD486" s="1293"/>
      <c r="CE486" s="1293"/>
      <c r="CF486" s="1293"/>
      <c r="CG486" s="1293"/>
    </row>
    <row r="487" spans="1:85" ht="15.75" hidden="1" outlineLevel="1">
      <c r="A487" s="1293"/>
      <c r="B487" s="1293"/>
      <c r="C487" s="1334" t="s">
        <v>6095</v>
      </c>
      <c r="D487" s="1723"/>
      <c r="E487" s="1723"/>
      <c r="F487" s="1723"/>
      <c r="G487" s="1723"/>
      <c r="H487" s="1723"/>
      <c r="I487" s="1723"/>
      <c r="J487" s="1335">
        <f ca="1">J343/I486</f>
        <v>-4.1828350392812144E-2</v>
      </c>
      <c r="K487" s="1723"/>
      <c r="L487" s="1723"/>
      <c r="M487" s="1723">
        <f>M341-M437</f>
        <v>1672.5877827590498</v>
      </c>
      <c r="N487" s="1723"/>
      <c r="O487" s="1723"/>
      <c r="P487" s="1723"/>
      <c r="Q487" s="1723"/>
      <c r="R487" s="1723"/>
      <c r="S487" s="1723"/>
      <c r="T487" s="1723"/>
      <c r="U487" s="1293"/>
      <c r="V487" s="1293"/>
      <c r="W487" s="1293"/>
      <c r="X487" s="1293"/>
      <c r="Y487" s="1724">
        <f ca="1">Y486/K485</f>
        <v>0.38618066090035091</v>
      </c>
      <c r="Z487" s="1293"/>
      <c r="AA487" s="1293"/>
      <c r="AB487" s="1293"/>
      <c r="AC487" s="1293"/>
      <c r="AD487" s="1293"/>
      <c r="AE487" s="1293"/>
      <c r="AF487" s="1293"/>
      <c r="AG487" s="1293"/>
      <c r="AH487" s="1293"/>
      <c r="AI487" s="1293"/>
      <c r="AJ487" s="1293"/>
      <c r="AK487" s="1293"/>
      <c r="AL487" s="1293"/>
      <c r="AM487" s="1293"/>
      <c r="AN487" s="1293"/>
      <c r="AO487" s="1293"/>
      <c r="AP487" s="1293"/>
      <c r="AQ487" s="1293"/>
      <c r="AR487" s="1293"/>
      <c r="AS487" s="1293"/>
      <c r="AT487" s="1293"/>
      <c r="AU487" s="1293"/>
      <c r="AV487" s="1293"/>
      <c r="AW487" s="1293"/>
      <c r="AX487" s="1293"/>
      <c r="AY487" s="1293"/>
      <c r="AZ487" s="1293"/>
      <c r="BA487" s="1293"/>
      <c r="BB487" s="1293"/>
      <c r="BC487" s="1293"/>
      <c r="BD487" s="1293"/>
      <c r="BE487" s="1293"/>
      <c r="BF487" s="1293"/>
      <c r="BG487" s="1293"/>
      <c r="BH487" s="1293"/>
      <c r="BI487" s="1293"/>
      <c r="BJ487" s="1293"/>
      <c r="BK487" s="1293"/>
      <c r="BL487" s="1293"/>
      <c r="BM487" s="1293"/>
      <c r="BN487" s="1293"/>
      <c r="BO487" s="1293"/>
      <c r="BP487" s="1293"/>
      <c r="BQ487" s="1293"/>
      <c r="BR487" s="1293"/>
      <c r="BS487" s="1293"/>
      <c r="BT487" s="1293"/>
      <c r="BU487" s="1293"/>
      <c r="BV487" s="1293"/>
      <c r="BW487" s="1293"/>
      <c r="BX487" s="1293"/>
      <c r="BY487" s="1293"/>
      <c r="BZ487" s="1293"/>
      <c r="CA487" s="1293"/>
      <c r="CB487" s="1293"/>
      <c r="CC487" s="1293"/>
      <c r="CD487" s="1293"/>
      <c r="CE487" s="1293"/>
      <c r="CF487" s="1293"/>
      <c r="CG487" s="1293"/>
    </row>
    <row r="488" spans="1:85" ht="15.75" hidden="1" outlineLevel="1">
      <c r="A488" s="1293"/>
      <c r="B488" s="1293"/>
      <c r="C488" s="1293" t="s">
        <v>7030</v>
      </c>
      <c r="D488" s="1293"/>
      <c r="E488" s="1293"/>
      <c r="F488" s="1293"/>
      <c r="G488" s="1293"/>
      <c r="H488" s="1293"/>
      <c r="I488" s="1293"/>
      <c r="J488" s="1293"/>
      <c r="K488" s="1698"/>
      <c r="L488" s="1293"/>
      <c r="M488" s="1293"/>
      <c r="N488" s="1293"/>
      <c r="O488" s="1293"/>
      <c r="P488" s="1293"/>
      <c r="Q488" s="1293"/>
      <c r="R488" s="1293"/>
      <c r="S488" s="1293"/>
      <c r="T488" s="1293"/>
      <c r="U488" s="1293"/>
      <c r="V488" s="1293"/>
      <c r="W488" s="1293"/>
      <c r="X488" s="1293"/>
      <c r="Y488" s="1293"/>
      <c r="Z488" s="1293"/>
      <c r="AA488" s="1293"/>
      <c r="AB488" s="1293"/>
      <c r="AC488" s="1293"/>
      <c r="AD488" s="1293"/>
      <c r="AE488" s="1293"/>
      <c r="AF488" s="1293"/>
      <c r="AG488" s="1293"/>
      <c r="AH488" s="1293"/>
      <c r="AI488" s="1293"/>
      <c r="AJ488" s="1293"/>
      <c r="AK488" s="1293"/>
      <c r="AL488" s="1293"/>
      <c r="AM488" s="1293"/>
      <c r="AN488" s="1293"/>
      <c r="AO488" s="1293"/>
      <c r="AP488" s="1293"/>
      <c r="AQ488" s="1293"/>
      <c r="AR488" s="1293"/>
      <c r="AS488" s="1293"/>
      <c r="AT488" s="1293"/>
      <c r="AU488" s="1293"/>
      <c r="AV488" s="1293"/>
      <c r="AW488" s="1293"/>
      <c r="AX488" s="1293"/>
      <c r="AY488" s="1293"/>
      <c r="AZ488" s="1293"/>
      <c r="BA488" s="1293"/>
      <c r="BB488" s="1293"/>
      <c r="BC488" s="1293"/>
      <c r="BD488" s="1293"/>
      <c r="BE488" s="1293"/>
      <c r="BF488" s="1293"/>
      <c r="BG488" s="1293"/>
      <c r="BH488" s="1293"/>
      <c r="BI488" s="1293"/>
      <c r="BJ488" s="1293"/>
      <c r="BK488" s="1293"/>
      <c r="BL488" s="1293"/>
      <c r="BM488" s="1293"/>
      <c r="BN488" s="1293"/>
      <c r="BO488" s="1293"/>
      <c r="BP488" s="1293"/>
      <c r="BQ488" s="1293"/>
      <c r="BR488" s="1293"/>
      <c r="BS488" s="1293"/>
      <c r="BT488" s="1293"/>
      <c r="BU488" s="1293"/>
      <c r="BV488" s="1293"/>
      <c r="BW488" s="1293"/>
      <c r="BX488" s="1293"/>
      <c r="BY488" s="1293"/>
      <c r="BZ488" s="1293"/>
      <c r="CA488" s="1293"/>
      <c r="CB488" s="1293"/>
      <c r="CC488" s="1293"/>
      <c r="CD488" s="1293"/>
      <c r="CE488" s="1293"/>
      <c r="CF488" s="1293"/>
      <c r="CG488" s="1293"/>
    </row>
    <row r="489" spans="1:85" ht="15.75" hidden="1" outlineLevel="1">
      <c r="A489" s="1293"/>
      <c r="B489" s="1293"/>
      <c r="C489" s="1293" t="s">
        <v>4549</v>
      </c>
      <c r="D489" s="1698">
        <f t="shared" ref="D489:T489" si="394">D485+D304</f>
        <v>886.91332077307402</v>
      </c>
      <c r="E489" s="1698">
        <f t="shared" ca="1" si="394"/>
        <v>905.2387016713601</v>
      </c>
      <c r="F489" s="1698">
        <f t="shared" ca="1" si="394"/>
        <v>1140.5747068498831</v>
      </c>
      <c r="G489" s="1698">
        <f t="shared" si="394"/>
        <v>1206</v>
      </c>
      <c r="H489" s="1698">
        <f t="shared" si="394"/>
        <v>1184</v>
      </c>
      <c r="I489" s="1698">
        <f t="shared" ca="1" si="394"/>
        <v>1601.4228232833616</v>
      </c>
      <c r="J489" s="1698">
        <f t="shared" ca="1" si="394"/>
        <v>1538.0455339318746</v>
      </c>
      <c r="K489" s="1698">
        <f t="shared" ca="1" si="394"/>
        <v>1525.5605917367943</v>
      </c>
      <c r="L489" s="1698">
        <f t="shared" si="394"/>
        <v>1427.0771913973435</v>
      </c>
      <c r="M489" s="1698">
        <f t="shared" si="394"/>
        <v>1541.166646990411</v>
      </c>
      <c r="N489" s="1698">
        <f t="shared" ca="1" si="394"/>
        <v>2252.7445847092445</v>
      </c>
      <c r="O489" s="1698">
        <f t="shared" si="394"/>
        <v>2016.6127144899719</v>
      </c>
      <c r="P489" s="1698">
        <f t="shared" si="394"/>
        <v>2008.6775744302449</v>
      </c>
      <c r="Q489" s="1698">
        <f t="shared" si="394"/>
        <v>2045.3753656911322</v>
      </c>
      <c r="R489" s="1698">
        <f t="shared" si="394"/>
        <v>2078.8278523210706</v>
      </c>
      <c r="S489" s="1698">
        <f t="shared" si="394"/>
        <v>2151.1246165808025</v>
      </c>
      <c r="T489" s="1698">
        <f t="shared" si="394"/>
        <v>2221.188158943683</v>
      </c>
      <c r="U489" s="1293"/>
      <c r="V489" s="1293"/>
      <c r="W489" s="1293"/>
      <c r="X489" s="1293"/>
      <c r="Y489" s="1293"/>
      <c r="Z489" s="1293"/>
      <c r="AA489" s="1293"/>
      <c r="AB489" s="1293"/>
      <c r="AC489" s="1293"/>
      <c r="AD489" s="1293"/>
      <c r="AE489" s="1293"/>
      <c r="AF489" s="1293"/>
      <c r="AG489" s="1293"/>
      <c r="AH489" s="1293"/>
      <c r="AI489" s="1293"/>
      <c r="AJ489" s="1293"/>
      <c r="AK489" s="1293"/>
      <c r="AL489" s="1293"/>
      <c r="AM489" s="1293"/>
      <c r="AN489" s="1293"/>
      <c r="AO489" s="1293"/>
      <c r="AP489" s="1293"/>
      <c r="AQ489" s="1293"/>
      <c r="AR489" s="1293"/>
      <c r="AS489" s="1293"/>
      <c r="AT489" s="1293"/>
      <c r="AU489" s="1293"/>
      <c r="AV489" s="1293"/>
      <c r="AW489" s="1293"/>
      <c r="AX489" s="1293"/>
      <c r="AY489" s="1293"/>
      <c r="AZ489" s="1293"/>
      <c r="BA489" s="1293"/>
      <c r="BB489" s="1293"/>
      <c r="BC489" s="1293"/>
      <c r="BD489" s="1293"/>
      <c r="BE489" s="1293"/>
      <c r="BF489" s="1293"/>
      <c r="BG489" s="1293"/>
      <c r="BH489" s="1293"/>
      <c r="BI489" s="1293"/>
      <c r="BJ489" s="1293"/>
      <c r="BK489" s="1293"/>
      <c r="BL489" s="1293"/>
      <c r="BM489" s="1293"/>
      <c r="BN489" s="1293"/>
      <c r="BO489" s="1293"/>
      <c r="BP489" s="1293"/>
      <c r="BQ489" s="1293"/>
      <c r="BR489" s="1293"/>
      <c r="BS489" s="1293"/>
      <c r="BT489" s="1293"/>
      <c r="BU489" s="1293"/>
      <c r="BV489" s="1293"/>
      <c r="BW489" s="1293"/>
      <c r="BX489" s="1293"/>
      <c r="BY489" s="1293"/>
      <c r="BZ489" s="1293"/>
      <c r="CA489" s="1293"/>
      <c r="CB489" s="1293"/>
      <c r="CC489" s="1293"/>
      <c r="CD489" s="1293"/>
      <c r="CE489" s="1293"/>
      <c r="CF489" s="1293"/>
      <c r="CG489" s="1293"/>
    </row>
    <row r="490" spans="1:85" ht="15.75" hidden="1" outlineLevel="1">
      <c r="A490" s="1293"/>
      <c r="B490" s="1293"/>
      <c r="C490" s="1293"/>
      <c r="D490" s="1293"/>
      <c r="E490" s="1293"/>
      <c r="F490" s="1293"/>
      <c r="G490" s="1293"/>
      <c r="H490" s="1293"/>
      <c r="I490" s="1293"/>
      <c r="J490" s="1293"/>
      <c r="K490" s="1293"/>
      <c r="L490" s="1293"/>
      <c r="M490" s="1293"/>
      <c r="N490" s="1293"/>
      <c r="O490" s="1293"/>
      <c r="P490" s="1293"/>
      <c r="Q490" s="1293"/>
      <c r="R490" s="1293"/>
      <c r="S490" s="1293"/>
      <c r="T490" s="1293"/>
      <c r="U490" s="1293"/>
      <c r="V490" s="1293"/>
      <c r="W490" s="1293"/>
      <c r="X490" s="1293"/>
      <c r="Y490" s="1293"/>
      <c r="Z490" s="1293"/>
      <c r="AA490" s="1293"/>
      <c r="AB490" s="1293"/>
      <c r="AC490" s="1293"/>
      <c r="AD490" s="1293"/>
      <c r="AE490" s="1293"/>
      <c r="AF490" s="1293"/>
      <c r="AG490" s="1293"/>
      <c r="AH490" s="1293"/>
      <c r="AI490" s="1293"/>
      <c r="AJ490" s="1293"/>
      <c r="AK490" s="1293"/>
      <c r="AL490" s="1293"/>
      <c r="AM490" s="1293"/>
      <c r="AN490" s="1293"/>
      <c r="AO490" s="1293"/>
      <c r="AP490" s="1293"/>
      <c r="AQ490" s="1293"/>
      <c r="AR490" s="1293"/>
      <c r="AS490" s="1293"/>
      <c r="AT490" s="1293"/>
      <c r="AU490" s="1293"/>
      <c r="AV490" s="1293"/>
      <c r="AW490" s="1293"/>
      <c r="AX490" s="1293"/>
      <c r="AY490" s="1293"/>
      <c r="AZ490" s="1293"/>
      <c r="BA490" s="1293"/>
      <c r="BB490" s="1293"/>
      <c r="BC490" s="1293"/>
      <c r="BD490" s="1293"/>
      <c r="BE490" s="1293"/>
      <c r="BF490" s="1293"/>
      <c r="BG490" s="1293"/>
      <c r="BH490" s="1293"/>
      <c r="BI490" s="1293"/>
      <c r="BJ490" s="1293"/>
      <c r="BK490" s="1293"/>
      <c r="BL490" s="1293"/>
      <c r="BM490" s="1293"/>
      <c r="BN490" s="1293"/>
      <c r="BO490" s="1293"/>
      <c r="BP490" s="1293"/>
      <c r="BQ490" s="1293"/>
      <c r="BR490" s="1293"/>
      <c r="BS490" s="1293"/>
      <c r="BT490" s="1293"/>
      <c r="BU490" s="1293"/>
      <c r="BV490" s="1293"/>
      <c r="BW490" s="1293"/>
      <c r="BX490" s="1293"/>
      <c r="BY490" s="1293"/>
      <c r="BZ490" s="1293"/>
      <c r="CA490" s="1293"/>
      <c r="CB490" s="1293"/>
      <c r="CC490" s="1293"/>
      <c r="CD490" s="1293"/>
      <c r="CE490" s="1293"/>
      <c r="CF490" s="1293"/>
      <c r="CG490" s="1293"/>
    </row>
    <row r="491" spans="1:85" ht="15.75" hidden="1" outlineLevel="1">
      <c r="A491" s="1293"/>
      <c r="B491" s="1293"/>
      <c r="C491" s="1293" t="s">
        <v>7035</v>
      </c>
      <c r="D491" s="1293"/>
      <c r="E491" s="1293"/>
      <c r="F491" s="1293"/>
      <c r="G491" s="1293"/>
      <c r="H491" s="1698">
        <f t="shared" ref="H491:T491" si="395">H308-H437</f>
        <v>1184</v>
      </c>
      <c r="I491" s="1698">
        <f t="shared" ca="1" si="395"/>
        <v>1494</v>
      </c>
      <c r="J491" s="1698">
        <f t="shared" ca="1" si="395"/>
        <v>1651</v>
      </c>
      <c r="K491" s="1698">
        <f t="shared" ca="1" si="395"/>
        <v>1502</v>
      </c>
      <c r="L491" s="1698">
        <f t="shared" si="395"/>
        <v>1255.1349999999998</v>
      </c>
      <c r="M491" s="1698">
        <f t="shared" si="395"/>
        <v>1406.2855</v>
      </c>
      <c r="N491" s="1698">
        <f t="shared" si="395"/>
        <v>1881.2098049804872</v>
      </c>
      <c r="O491" s="1698">
        <f t="shared" si="395"/>
        <v>1738.9289368923089</v>
      </c>
      <c r="P491" s="1698">
        <f t="shared" si="395"/>
        <v>1734.1235845603112</v>
      </c>
      <c r="Q491" s="1698">
        <f t="shared" si="395"/>
        <v>1768.7093442428682</v>
      </c>
      <c r="R491" s="1698">
        <f t="shared" si="395"/>
        <v>1799.3349929037586</v>
      </c>
      <c r="S491" s="1698">
        <f t="shared" si="395"/>
        <v>1863.8107111066311</v>
      </c>
      <c r="T491" s="1698">
        <f t="shared" si="395"/>
        <v>1925.8915038201662</v>
      </c>
      <c r="U491" s="1293"/>
      <c r="V491" s="1293"/>
      <c r="W491" s="1293"/>
      <c r="X491" s="1293"/>
      <c r="Y491" s="1293"/>
      <c r="Z491" s="1293"/>
      <c r="AA491" s="1293"/>
      <c r="AB491" s="1293"/>
      <c r="AC491" s="1293"/>
      <c r="AD491" s="1293"/>
      <c r="AE491" s="1293"/>
      <c r="AF491" s="1293"/>
      <c r="AG491" s="1293"/>
      <c r="AH491" s="1293"/>
      <c r="AI491" s="1293"/>
      <c r="AJ491" s="1293"/>
      <c r="AK491" s="1293"/>
      <c r="AL491" s="1293"/>
      <c r="AM491" s="1293"/>
      <c r="AN491" s="1293"/>
      <c r="AO491" s="1293"/>
      <c r="AP491" s="1293"/>
      <c r="AQ491" s="1293"/>
      <c r="AR491" s="1293"/>
      <c r="AS491" s="1293"/>
      <c r="AT491" s="1293"/>
      <c r="AU491" s="1293"/>
      <c r="AV491" s="1293"/>
      <c r="AW491" s="1293"/>
      <c r="AX491" s="1293"/>
      <c r="AY491" s="1293"/>
      <c r="AZ491" s="1293"/>
      <c r="BA491" s="1293"/>
      <c r="BB491" s="1293"/>
      <c r="BC491" s="1293"/>
      <c r="BD491" s="1293"/>
      <c r="BE491" s="1293"/>
      <c r="BF491" s="1293"/>
      <c r="BG491" s="1293"/>
      <c r="BH491" s="1293"/>
      <c r="BI491" s="1293"/>
      <c r="BJ491" s="1293"/>
      <c r="BK491" s="1293"/>
      <c r="BL491" s="1293"/>
      <c r="BM491" s="1293"/>
      <c r="BN491" s="1293"/>
      <c r="BO491" s="1293"/>
      <c r="BP491" s="1293"/>
      <c r="BQ491" s="1293"/>
      <c r="BR491" s="1293"/>
      <c r="BS491" s="1293"/>
      <c r="BT491" s="1293"/>
      <c r="BU491" s="1293"/>
      <c r="BV491" s="1293"/>
      <c r="BW491" s="1293"/>
      <c r="BX491" s="1293"/>
      <c r="BY491" s="1293"/>
      <c r="BZ491" s="1293"/>
      <c r="CA491" s="1293"/>
      <c r="CB491" s="1293"/>
      <c r="CC491" s="1293"/>
      <c r="CD491" s="1293"/>
      <c r="CE491" s="1293"/>
      <c r="CF491" s="1293"/>
      <c r="CG491" s="1293"/>
    </row>
    <row r="492" spans="1:85" ht="15.75" hidden="1" outlineLevel="1">
      <c r="A492" s="1293"/>
      <c r="B492" s="1293"/>
      <c r="C492" s="1293"/>
      <c r="D492" s="1293"/>
      <c r="E492" s="1293"/>
      <c r="F492" s="1293"/>
      <c r="G492" s="1293"/>
      <c r="H492" s="1293"/>
      <c r="I492" s="1293"/>
      <c r="J492" s="1293"/>
      <c r="K492" s="1293">
        <v>1225</v>
      </c>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c r="AH492" s="1293"/>
      <c r="AI492" s="1293"/>
      <c r="AJ492" s="1293"/>
      <c r="AK492" s="1293"/>
      <c r="AL492" s="1293"/>
      <c r="AM492" s="1293"/>
      <c r="AN492" s="1293"/>
      <c r="AO492" s="1293"/>
      <c r="AP492" s="1293"/>
      <c r="AQ492" s="1293"/>
      <c r="AR492" s="1293"/>
      <c r="AS492" s="1293"/>
      <c r="AT492" s="1293"/>
      <c r="AU492" s="1293"/>
      <c r="AV492" s="1293"/>
      <c r="AW492" s="1293"/>
      <c r="AX492" s="1293"/>
      <c r="AY492" s="1293"/>
      <c r="AZ492" s="1293"/>
      <c r="BA492" s="1293"/>
      <c r="BB492" s="1293"/>
      <c r="BC492" s="1293"/>
      <c r="BD492" s="1293"/>
      <c r="BE492" s="1293"/>
      <c r="BF492" s="1293"/>
      <c r="BG492" s="1293"/>
      <c r="BH492" s="1293"/>
      <c r="BI492" s="1293"/>
      <c r="BJ492" s="1293"/>
      <c r="BK492" s="1293"/>
      <c r="BL492" s="1293"/>
      <c r="BM492" s="1293"/>
      <c r="BN492" s="1293"/>
      <c r="BO492" s="1293"/>
      <c r="BP492" s="1293"/>
      <c r="BQ492" s="1293"/>
      <c r="BR492" s="1293"/>
      <c r="BS492" s="1293"/>
      <c r="BT492" s="1293"/>
      <c r="BU492" s="1293"/>
      <c r="BV492" s="1293"/>
      <c r="BW492" s="1293"/>
      <c r="BX492" s="1293"/>
      <c r="BY492" s="1293"/>
      <c r="BZ492" s="1293"/>
      <c r="CA492" s="1293"/>
      <c r="CB492" s="1293"/>
      <c r="CC492" s="1293"/>
      <c r="CD492" s="1293"/>
      <c r="CE492" s="1293"/>
      <c r="CF492" s="1293"/>
      <c r="CG492" s="1293"/>
    </row>
    <row r="493" spans="1:85" ht="15.75" hidden="1" outlineLevel="1">
      <c r="A493" s="1293"/>
      <c r="B493" s="1293"/>
      <c r="C493" s="1293"/>
      <c r="D493" s="1293"/>
      <c r="E493" s="1293"/>
      <c r="F493" s="1293"/>
      <c r="G493" s="1293"/>
      <c r="H493" s="1293"/>
      <c r="I493" s="1293"/>
      <c r="J493" s="1293"/>
      <c r="K493" s="1293"/>
      <c r="L493" s="2028">
        <f>L491/K492-1</f>
        <v>2.4599999999999733E-2</v>
      </c>
      <c r="M493" s="2028">
        <f>M491/L491-1</f>
        <v>0.12042569126030278</v>
      </c>
      <c r="N493" s="2028">
        <f>N491/M491-1</f>
        <v>0.33771542477006777</v>
      </c>
      <c r="O493" s="2028"/>
      <c r="P493" s="1293"/>
      <c r="Q493" s="1293"/>
      <c r="R493" s="1293"/>
      <c r="S493" s="1293"/>
      <c r="T493" s="1293"/>
      <c r="U493" s="1293"/>
      <c r="V493" s="1293"/>
      <c r="W493" s="1293"/>
      <c r="X493" s="1293"/>
      <c r="Y493" s="1293"/>
      <c r="Z493" s="1293"/>
      <c r="AA493" s="1293"/>
      <c r="AB493" s="1293"/>
      <c r="AC493" s="1293"/>
      <c r="AD493" s="1293"/>
      <c r="AE493" s="1293"/>
      <c r="AF493" s="1293"/>
      <c r="AG493" s="1293"/>
      <c r="AH493" s="1293"/>
      <c r="AI493" s="1293"/>
      <c r="AJ493" s="1293"/>
      <c r="AK493" s="1293"/>
      <c r="AL493" s="1293"/>
      <c r="AM493" s="1293"/>
      <c r="AN493" s="1293"/>
      <c r="AO493" s="1293"/>
      <c r="AP493" s="1293"/>
      <c r="AQ493" s="1293"/>
      <c r="AR493" s="1293"/>
      <c r="AS493" s="1293"/>
      <c r="AT493" s="1293"/>
      <c r="AU493" s="1293"/>
      <c r="AV493" s="1293"/>
      <c r="AW493" s="1293"/>
      <c r="AX493" s="1293"/>
      <c r="AY493" s="1293"/>
      <c r="AZ493" s="1293"/>
      <c r="BA493" s="1293"/>
      <c r="BB493" s="1293"/>
      <c r="BC493" s="1293"/>
      <c r="BD493" s="1293"/>
      <c r="BE493" s="1293"/>
      <c r="BF493" s="1293"/>
      <c r="BG493" s="1293"/>
      <c r="BH493" s="1293"/>
      <c r="BI493" s="1293"/>
      <c r="BJ493" s="1293"/>
      <c r="BK493" s="1293"/>
      <c r="BL493" s="1293"/>
      <c r="BM493" s="1293"/>
      <c r="BN493" s="1293"/>
      <c r="BO493" s="1293"/>
      <c r="BP493" s="1293"/>
      <c r="BQ493" s="1293"/>
      <c r="BR493" s="1293"/>
      <c r="BS493" s="1293"/>
      <c r="BT493" s="1293"/>
      <c r="BU493" s="1293"/>
      <c r="BV493" s="1293"/>
      <c r="BW493" s="1293"/>
      <c r="BX493" s="1293"/>
      <c r="BY493" s="1293"/>
      <c r="BZ493" s="1293"/>
      <c r="CA493" s="1293"/>
      <c r="CB493" s="1293"/>
      <c r="CC493" s="1293"/>
      <c r="CD493" s="1293"/>
      <c r="CE493" s="1293"/>
      <c r="CF493" s="1293"/>
      <c r="CG493" s="1293"/>
    </row>
    <row r="494" spans="1:85" ht="15.75" hidden="1" outlineLevel="1">
      <c r="A494" s="1293"/>
      <c r="B494" s="1293"/>
      <c r="C494" s="1293"/>
      <c r="D494" s="1293"/>
      <c r="E494" s="1293"/>
      <c r="F494" s="1293"/>
      <c r="G494" s="1293"/>
      <c r="H494" s="1293"/>
      <c r="I494" s="1293"/>
      <c r="J494" s="1293"/>
      <c r="K494" s="1293"/>
      <c r="L494" s="2028"/>
      <c r="M494" s="2028"/>
      <c r="N494" s="2028"/>
      <c r="O494" s="2028"/>
      <c r="P494" s="1293"/>
      <c r="Q494" s="1293"/>
      <c r="R494" s="1293"/>
      <c r="S494" s="1293"/>
      <c r="T494" s="1293"/>
      <c r="U494" s="1293"/>
      <c r="V494" s="1293"/>
      <c r="W494" s="1293"/>
      <c r="X494" s="1293"/>
      <c r="Y494" s="1293"/>
      <c r="Z494" s="1293"/>
      <c r="AA494" s="1293"/>
      <c r="AB494" s="1293"/>
      <c r="AC494" s="1293"/>
      <c r="AD494" s="1293"/>
      <c r="AE494" s="1293"/>
      <c r="AF494" s="1293"/>
      <c r="AG494" s="1293"/>
      <c r="AH494" s="1293"/>
      <c r="AI494" s="1293"/>
      <c r="AJ494" s="1293"/>
      <c r="AK494" s="1293"/>
      <c r="AL494" s="1293"/>
      <c r="AM494" s="1293"/>
      <c r="AN494" s="1293"/>
      <c r="AO494" s="1293"/>
      <c r="AP494" s="1293"/>
      <c r="AQ494" s="1293"/>
      <c r="AR494" s="1293"/>
      <c r="AS494" s="1293"/>
      <c r="AT494" s="1293"/>
      <c r="AU494" s="1293"/>
      <c r="AV494" s="1293"/>
      <c r="AW494" s="1293"/>
      <c r="AX494" s="1293"/>
      <c r="AY494" s="1293"/>
      <c r="AZ494" s="1293"/>
      <c r="BA494" s="1293"/>
      <c r="BB494" s="1293"/>
      <c r="BC494" s="1293"/>
      <c r="BD494" s="1293"/>
      <c r="BE494" s="1293"/>
      <c r="BF494" s="1293"/>
      <c r="BG494" s="1293"/>
      <c r="BH494" s="1293"/>
      <c r="BI494" s="1293"/>
      <c r="BJ494" s="1293"/>
      <c r="BK494" s="1293"/>
      <c r="BL494" s="1293"/>
      <c r="BM494" s="1293"/>
      <c r="BN494" s="1293"/>
      <c r="BO494" s="1293"/>
      <c r="BP494" s="1293"/>
      <c r="BQ494" s="1293"/>
      <c r="BR494" s="1293"/>
      <c r="BS494" s="1293"/>
      <c r="BT494" s="1293"/>
      <c r="BU494" s="1293"/>
      <c r="BV494" s="1293"/>
      <c r="BW494" s="1293"/>
      <c r="BX494" s="1293"/>
      <c r="BY494" s="1293"/>
      <c r="BZ494" s="1293"/>
      <c r="CA494" s="1293"/>
      <c r="CB494" s="1293"/>
      <c r="CC494" s="1293"/>
      <c r="CD494" s="1293"/>
      <c r="CE494" s="1293"/>
      <c r="CF494" s="1293"/>
      <c r="CG494" s="1293"/>
    </row>
    <row r="495" spans="1:85" ht="15.75" hidden="1" outlineLevel="1">
      <c r="A495" s="1293"/>
      <c r="B495" s="1293"/>
      <c r="C495" s="1324" t="s">
        <v>8723</v>
      </c>
      <c r="D495" s="1331"/>
      <c r="E495" s="1331"/>
      <c r="F495" s="1331"/>
      <c r="G495" s="1331"/>
      <c r="H495" s="1331"/>
      <c r="I495" s="1331"/>
      <c r="J495" s="1331"/>
      <c r="K495" s="1331"/>
      <c r="L495" s="1324">
        <f>L4</f>
        <v>2022</v>
      </c>
      <c r="M495" s="1324">
        <f>M4</f>
        <v>2023</v>
      </c>
      <c r="N495" s="1331"/>
      <c r="O495" s="1331"/>
      <c r="P495" s="1331"/>
      <c r="Q495" s="1331"/>
      <c r="R495" s="1331"/>
      <c r="S495" s="1331"/>
      <c r="T495" s="1331"/>
      <c r="U495" s="1293"/>
      <c r="V495" s="1293"/>
      <c r="W495" s="1293"/>
      <c r="X495" s="1293"/>
      <c r="Y495" s="1293"/>
      <c r="Z495" s="1293"/>
      <c r="AA495" s="1293"/>
      <c r="AB495" s="1293"/>
      <c r="AC495" s="1293"/>
      <c r="AD495" s="1293"/>
      <c r="AE495" s="1293"/>
      <c r="AF495" s="1293"/>
      <c r="AG495" s="1293"/>
      <c r="AH495" s="1293"/>
      <c r="AI495" s="1293"/>
      <c r="AJ495" s="1293"/>
      <c r="AK495" s="1293"/>
      <c r="AL495" s="1293"/>
      <c r="AM495" s="1293"/>
      <c r="AN495" s="1293"/>
      <c r="AO495" s="1293"/>
      <c r="AP495" s="1293"/>
      <c r="AQ495" s="1293"/>
      <c r="AR495" s="1293"/>
      <c r="AS495" s="1293"/>
      <c r="AT495" s="1293"/>
      <c r="AU495" s="1293"/>
      <c r="AV495" s="1293"/>
      <c r="AW495" s="1293"/>
      <c r="AX495" s="1293"/>
      <c r="AY495" s="1293"/>
      <c r="AZ495" s="1293"/>
      <c r="BA495" s="1293"/>
      <c r="BB495" s="1293"/>
      <c r="BC495" s="1293"/>
      <c r="BD495" s="1293"/>
      <c r="BE495" s="1293"/>
      <c r="BF495" s="1293"/>
      <c r="BG495" s="1293"/>
      <c r="BH495" s="1293"/>
      <c r="BI495" s="1293"/>
      <c r="BJ495" s="1293"/>
      <c r="BK495" s="1293"/>
      <c r="BL495" s="1293"/>
      <c r="BM495" s="1293"/>
      <c r="BN495" s="1293"/>
      <c r="BO495" s="1293"/>
      <c r="BP495" s="1293"/>
      <c r="BQ495" s="1293"/>
      <c r="BR495" s="1293"/>
      <c r="BS495" s="1293"/>
      <c r="BT495" s="1293"/>
      <c r="BU495" s="1293"/>
      <c r="BV495" s="1293"/>
      <c r="BW495" s="1293"/>
      <c r="BX495" s="1293"/>
      <c r="BY495" s="1293"/>
      <c r="BZ495" s="1293"/>
      <c r="CA495" s="1293"/>
      <c r="CB495" s="1293"/>
      <c r="CC495" s="1293"/>
      <c r="CD495" s="1293"/>
      <c r="CE495" s="1293"/>
      <c r="CF495" s="1293"/>
      <c r="CG495" s="1293"/>
    </row>
    <row r="496" spans="1:85" ht="15.75" hidden="1" outlineLevel="1">
      <c r="A496" s="1293"/>
      <c r="B496" s="1293"/>
      <c r="C496" s="1293" t="str">
        <f>C274</f>
        <v>Guatemala</v>
      </c>
      <c r="D496" s="1293"/>
      <c r="E496" s="1293"/>
      <c r="F496" s="1293"/>
      <c r="G496" s="1293"/>
      <c r="H496" s="1293"/>
      <c r="I496" s="1293"/>
      <c r="J496" s="1293"/>
      <c r="K496" s="1293"/>
      <c r="L496" s="1293"/>
      <c r="M496" s="1293">
        <v>183</v>
      </c>
      <c r="N496" s="1293"/>
      <c r="O496" s="1293"/>
      <c r="P496" s="1293"/>
      <c r="Q496" s="1293"/>
      <c r="R496" s="1293"/>
      <c r="S496" s="1293"/>
      <c r="T496" s="1293"/>
      <c r="U496" s="1293"/>
      <c r="V496" s="1293"/>
      <c r="W496" s="1293"/>
      <c r="X496" s="1293"/>
      <c r="Y496" s="1293"/>
      <c r="Z496" s="1293"/>
      <c r="AA496" s="1293"/>
      <c r="AB496" s="1293"/>
      <c r="AC496" s="1293"/>
      <c r="AD496" s="1293"/>
      <c r="AE496" s="1293"/>
      <c r="AF496" s="1293"/>
      <c r="AG496" s="1293"/>
      <c r="AH496" s="1293"/>
      <c r="AI496" s="1293"/>
      <c r="AJ496" s="1293"/>
      <c r="AK496" s="1293"/>
      <c r="AL496" s="1293"/>
      <c r="AM496" s="1293"/>
      <c r="AN496" s="1293"/>
      <c r="AO496" s="1293"/>
      <c r="AP496" s="1293"/>
      <c r="AQ496" s="1293"/>
      <c r="AR496" s="1293"/>
      <c r="AS496" s="1293"/>
      <c r="AT496" s="1293"/>
      <c r="AU496" s="1293"/>
      <c r="AV496" s="1293"/>
      <c r="AW496" s="1293"/>
      <c r="AX496" s="1293"/>
      <c r="AY496" s="1293"/>
      <c r="AZ496" s="1293"/>
      <c r="BA496" s="1293"/>
      <c r="BB496" s="1293"/>
      <c r="BC496" s="1293"/>
      <c r="BD496" s="1293"/>
      <c r="BE496" s="1293"/>
      <c r="BF496" s="1293"/>
      <c r="BG496" s="1293"/>
      <c r="BH496" s="1293"/>
      <c r="BI496" s="1293"/>
      <c r="BJ496" s="1293"/>
      <c r="BK496" s="1293"/>
      <c r="BL496" s="1293"/>
      <c r="BM496" s="1293"/>
      <c r="BN496" s="1293"/>
      <c r="BO496" s="1293"/>
      <c r="BP496" s="1293"/>
      <c r="BQ496" s="1293"/>
      <c r="BR496" s="1293"/>
      <c r="BS496" s="1293"/>
      <c r="BT496" s="1293"/>
      <c r="BU496" s="1293"/>
      <c r="BV496" s="1293"/>
      <c r="BW496" s="1293"/>
      <c r="BX496" s="1293"/>
      <c r="BY496" s="1293"/>
      <c r="BZ496" s="1293"/>
      <c r="CA496" s="1293"/>
      <c r="CB496" s="1293"/>
      <c r="CC496" s="1293"/>
      <c r="CD496" s="1293"/>
      <c r="CE496" s="1293"/>
      <c r="CF496" s="1293"/>
      <c r="CG496" s="1293"/>
    </row>
    <row r="497" spans="1:85" ht="15.75" hidden="1" outlineLevel="1">
      <c r="A497" s="1293"/>
      <c r="B497" s="1293"/>
      <c r="C497" s="1293" t="s">
        <v>2032</v>
      </c>
      <c r="D497" s="1293"/>
      <c r="E497" s="1293"/>
      <c r="F497" s="1293"/>
      <c r="G497" s="1293"/>
      <c r="H497" s="1293"/>
      <c r="I497" s="1293"/>
      <c r="J497" s="1293"/>
      <c r="K497" s="1293"/>
      <c r="L497" s="1293"/>
      <c r="M497" s="1293">
        <v>100</v>
      </c>
      <c r="N497" s="1293"/>
      <c r="O497" s="1293"/>
      <c r="P497" s="1293"/>
      <c r="Q497" s="1293"/>
      <c r="R497" s="1293"/>
      <c r="S497" s="1293"/>
      <c r="T497" s="1293"/>
      <c r="U497" s="1293"/>
      <c r="V497" s="1293"/>
      <c r="W497" s="1293"/>
      <c r="X497" s="1293"/>
      <c r="Y497" s="1293"/>
      <c r="Z497" s="1293"/>
      <c r="AA497" s="1293"/>
      <c r="AB497" s="1293"/>
      <c r="AC497" s="1293"/>
      <c r="AD497" s="1293"/>
      <c r="AE497" s="1293"/>
      <c r="AF497" s="1293"/>
      <c r="AG497" s="1293"/>
      <c r="AH497" s="1293"/>
      <c r="AI497" s="1293"/>
      <c r="AJ497" s="1293"/>
      <c r="AK497" s="1293"/>
      <c r="AL497" s="1293"/>
      <c r="AM497" s="1293"/>
      <c r="AN497" s="1293"/>
      <c r="AO497" s="1293"/>
      <c r="AP497" s="1293"/>
      <c r="AQ497" s="1293"/>
      <c r="AR497" s="1293"/>
      <c r="AS497" s="1293"/>
      <c r="AT497" s="1293"/>
      <c r="AU497" s="1293"/>
      <c r="AV497" s="1293"/>
      <c r="AW497" s="1293"/>
      <c r="AX497" s="1293"/>
      <c r="AY497" s="1293"/>
      <c r="AZ497" s="1293"/>
      <c r="BA497" s="1293"/>
      <c r="BB497" s="1293"/>
      <c r="BC497" s="1293"/>
      <c r="BD497" s="1293"/>
      <c r="BE497" s="1293"/>
      <c r="BF497" s="1293"/>
      <c r="BG497" s="1293"/>
      <c r="BH497" s="1293"/>
      <c r="BI497" s="1293"/>
      <c r="BJ497" s="1293"/>
      <c r="BK497" s="1293"/>
      <c r="BL497" s="1293"/>
      <c r="BM497" s="1293"/>
      <c r="BN497" s="1293"/>
      <c r="BO497" s="1293"/>
      <c r="BP497" s="1293"/>
      <c r="BQ497" s="1293"/>
      <c r="BR497" s="1293"/>
      <c r="BS497" s="1293"/>
      <c r="BT497" s="1293"/>
      <c r="BU497" s="1293"/>
      <c r="BV497" s="1293"/>
      <c r="BW497" s="1293"/>
      <c r="BX497" s="1293"/>
      <c r="BY497" s="1293"/>
      <c r="BZ497" s="1293"/>
      <c r="CA497" s="1293"/>
      <c r="CB497" s="1293"/>
      <c r="CC497" s="1293"/>
      <c r="CD497" s="1293"/>
      <c r="CE497" s="1293"/>
      <c r="CF497" s="1293"/>
      <c r="CG497" s="1293"/>
    </row>
    <row r="498" spans="1:85" ht="15.75" hidden="1" outlineLevel="1">
      <c r="A498" s="1293"/>
      <c r="B498" s="1293"/>
      <c r="C498" s="1293" t="s">
        <v>1665</v>
      </c>
      <c r="D498" s="1293"/>
      <c r="E498" s="1293"/>
      <c r="F498" s="1293"/>
      <c r="G498" s="1293"/>
      <c r="H498" s="1293"/>
      <c r="I498" s="1293"/>
      <c r="J498" s="1293"/>
      <c r="K498" s="1293"/>
      <c r="L498" s="1293"/>
      <c r="M498" s="1293">
        <v>161</v>
      </c>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3"/>
      <c r="AJ498" s="1293"/>
      <c r="AK498" s="1293"/>
      <c r="AL498" s="1293"/>
      <c r="AM498" s="1293"/>
      <c r="AN498" s="1293"/>
      <c r="AO498" s="1293"/>
      <c r="AP498" s="1293"/>
      <c r="AQ498" s="1293"/>
      <c r="AR498" s="1293"/>
      <c r="AS498" s="1293"/>
      <c r="AT498" s="1293"/>
      <c r="AU498" s="1293"/>
      <c r="AV498" s="1293"/>
      <c r="AW498" s="1293"/>
      <c r="AX498" s="1293"/>
      <c r="AY498" s="1293"/>
      <c r="AZ498" s="1293"/>
      <c r="BA498" s="1293"/>
      <c r="BB498" s="1293"/>
      <c r="BC498" s="1293"/>
      <c r="BD498" s="1293"/>
      <c r="BE498" s="1293"/>
      <c r="BF498" s="1293"/>
      <c r="BG498" s="1293"/>
      <c r="BH498" s="1293"/>
      <c r="BI498" s="1293"/>
      <c r="BJ498" s="1293"/>
      <c r="BK498" s="1293"/>
      <c r="BL498" s="1293"/>
      <c r="BM498" s="1293"/>
      <c r="BN498" s="1293"/>
      <c r="BO498" s="1293"/>
      <c r="BP498" s="1293"/>
      <c r="BQ498" s="1293"/>
      <c r="BR498" s="1293"/>
      <c r="BS498" s="1293"/>
      <c r="BT498" s="1293"/>
      <c r="BU498" s="1293"/>
      <c r="BV498" s="1293"/>
      <c r="BW498" s="1293"/>
      <c r="BX498" s="1293"/>
      <c r="BY498" s="1293"/>
      <c r="BZ498" s="1293"/>
      <c r="CA498" s="1293"/>
      <c r="CB498" s="1293"/>
      <c r="CC498" s="1293"/>
      <c r="CD498" s="1293"/>
      <c r="CE498" s="1293"/>
      <c r="CF498" s="1293"/>
      <c r="CG498" s="1293"/>
    </row>
    <row r="499" spans="1:85" ht="15.75" hidden="1" outlineLevel="1">
      <c r="A499" s="1293"/>
      <c r="B499" s="1293"/>
      <c r="C499" s="1293" t="s">
        <v>2378</v>
      </c>
      <c r="D499" s="1293"/>
      <c r="E499" s="1293"/>
      <c r="F499" s="1293"/>
      <c r="G499" s="1293"/>
      <c r="H499" s="1293"/>
      <c r="I499" s="1293"/>
      <c r="J499" s="1293"/>
      <c r="K499" s="1293"/>
      <c r="L499" s="1293"/>
      <c r="M499" s="1293">
        <v>97</v>
      </c>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c r="AH499" s="1293"/>
      <c r="AI499" s="1293"/>
      <c r="AJ499" s="1293"/>
      <c r="AK499" s="1293"/>
      <c r="AL499" s="1293"/>
      <c r="AM499" s="1293"/>
      <c r="AN499" s="1293"/>
      <c r="AO499" s="1293"/>
      <c r="AP499" s="1293"/>
      <c r="AQ499" s="1293"/>
      <c r="AR499" s="1293"/>
      <c r="AS499" s="1293"/>
      <c r="AT499" s="1293"/>
      <c r="AU499" s="1293"/>
      <c r="AV499" s="1293"/>
      <c r="AW499" s="1293"/>
      <c r="AX499" s="1293"/>
      <c r="AY499" s="1293"/>
      <c r="AZ499" s="1293"/>
      <c r="BA499" s="1293"/>
      <c r="BB499" s="1293"/>
      <c r="BC499" s="1293"/>
      <c r="BD499" s="1293"/>
      <c r="BE499" s="1293"/>
      <c r="BF499" s="1293"/>
      <c r="BG499" s="1293"/>
      <c r="BH499" s="1293"/>
      <c r="BI499" s="1293"/>
      <c r="BJ499" s="1293"/>
      <c r="BK499" s="1293"/>
      <c r="BL499" s="1293"/>
      <c r="BM499" s="1293"/>
      <c r="BN499" s="1293"/>
      <c r="BO499" s="1293"/>
      <c r="BP499" s="1293"/>
      <c r="BQ499" s="1293"/>
      <c r="BR499" s="1293"/>
      <c r="BS499" s="1293"/>
      <c r="BT499" s="1293"/>
      <c r="BU499" s="1293"/>
      <c r="BV499" s="1293"/>
      <c r="BW499" s="1293"/>
      <c r="BX499" s="1293"/>
      <c r="BY499" s="1293"/>
      <c r="BZ499" s="1293"/>
      <c r="CA499" s="1293"/>
      <c r="CB499" s="1293"/>
      <c r="CC499" s="1293"/>
      <c r="CD499" s="1293"/>
      <c r="CE499" s="1293"/>
      <c r="CF499" s="1293"/>
      <c r="CG499" s="1293"/>
    </row>
    <row r="500" spans="1:85" ht="15.75" hidden="1" outlineLevel="1">
      <c r="A500" s="1293"/>
      <c r="B500" s="1293"/>
      <c r="C500" s="1293" t="s">
        <v>2377</v>
      </c>
      <c r="D500" s="1293"/>
      <c r="E500" s="1293"/>
      <c r="F500" s="1293"/>
      <c r="G500" s="1293"/>
      <c r="H500" s="1293"/>
      <c r="I500" s="1293"/>
      <c r="J500" s="1293"/>
      <c r="K500" s="1293"/>
      <c r="L500" s="1293"/>
      <c r="M500" s="1293">
        <v>92</v>
      </c>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c r="AH500" s="1293"/>
      <c r="AI500" s="1293"/>
      <c r="AJ500" s="1293"/>
      <c r="AK500" s="1293"/>
      <c r="AL500" s="1293"/>
      <c r="AM500" s="1293"/>
      <c r="AN500" s="1293"/>
      <c r="AO500" s="1293"/>
      <c r="AP500" s="1293"/>
      <c r="AQ500" s="1293"/>
      <c r="AR500" s="1293"/>
      <c r="AS500" s="1293"/>
      <c r="AT500" s="1293"/>
      <c r="AU500" s="1293"/>
      <c r="AV500" s="1293"/>
      <c r="AW500" s="1293"/>
      <c r="AX500" s="1293"/>
      <c r="AY500" s="1293"/>
      <c r="AZ500" s="1293"/>
      <c r="BA500" s="1293"/>
      <c r="BB500" s="1293"/>
      <c r="BC500" s="1293"/>
      <c r="BD500" s="1293"/>
      <c r="BE500" s="1293"/>
      <c r="BF500" s="1293"/>
      <c r="BG500" s="1293"/>
      <c r="BH500" s="1293"/>
      <c r="BI500" s="1293"/>
      <c r="BJ500" s="1293"/>
      <c r="BK500" s="1293"/>
      <c r="BL500" s="1293"/>
      <c r="BM500" s="1293"/>
      <c r="BN500" s="1293"/>
      <c r="BO500" s="1293"/>
      <c r="BP500" s="1293"/>
      <c r="BQ500" s="1293"/>
      <c r="BR500" s="1293"/>
      <c r="BS500" s="1293"/>
      <c r="BT500" s="1293"/>
      <c r="BU500" s="1293"/>
      <c r="BV500" s="1293"/>
      <c r="BW500" s="1293"/>
      <c r="BX500" s="1293"/>
      <c r="BY500" s="1293"/>
      <c r="BZ500" s="1293"/>
      <c r="CA500" s="1293"/>
      <c r="CB500" s="1293"/>
      <c r="CC500" s="1293"/>
      <c r="CD500" s="1293"/>
      <c r="CE500" s="1293"/>
      <c r="CF500" s="1293"/>
      <c r="CG500" s="1293"/>
    </row>
    <row r="501" spans="1:85" ht="15.75" hidden="1" outlineLevel="1">
      <c r="A501" s="1293"/>
      <c r="B501" s="1293"/>
      <c r="C501" s="1331" t="s">
        <v>1540</v>
      </c>
      <c r="D501" s="1331"/>
      <c r="E501" s="1331"/>
      <c r="F501" s="1331"/>
      <c r="G501" s="1331"/>
      <c r="H501" s="1331"/>
      <c r="I501" s="1331"/>
      <c r="J501" s="1331"/>
      <c r="K501" s="1331"/>
      <c r="L501" s="1331"/>
      <c r="M501" s="1702">
        <f>M502-M496-M497-M499-M500-M498</f>
        <v>176</v>
      </c>
      <c r="N501" s="1331"/>
      <c r="O501" s="1331"/>
      <c r="P501" s="1331"/>
      <c r="Q501" s="1331"/>
      <c r="R501" s="1331"/>
      <c r="S501" s="1331"/>
      <c r="T501" s="1331"/>
      <c r="U501" s="1293"/>
      <c r="V501" s="1293"/>
      <c r="W501" s="1293"/>
      <c r="X501" s="1293"/>
      <c r="Y501" s="1293"/>
      <c r="Z501" s="1293"/>
      <c r="AA501" s="1293"/>
      <c r="AB501" s="1293"/>
      <c r="AC501" s="1293"/>
      <c r="AD501" s="1293"/>
      <c r="AE501" s="1293"/>
      <c r="AF501" s="1293"/>
      <c r="AG501" s="1293"/>
      <c r="AH501" s="1293"/>
      <c r="AI501" s="1293"/>
      <c r="AJ501" s="1293"/>
      <c r="AK501" s="1293"/>
      <c r="AL501" s="1293"/>
      <c r="AM501" s="1293"/>
      <c r="AN501" s="1293"/>
      <c r="AO501" s="1293"/>
      <c r="AP501" s="1293"/>
      <c r="AQ501" s="1293"/>
      <c r="AR501" s="1293"/>
      <c r="AS501" s="1293"/>
      <c r="AT501" s="1293"/>
      <c r="AU501" s="1293"/>
      <c r="AV501" s="1293"/>
      <c r="AW501" s="1293"/>
      <c r="AX501" s="1293"/>
      <c r="AY501" s="1293"/>
      <c r="AZ501" s="1293"/>
      <c r="BA501" s="1293"/>
      <c r="BB501" s="1293"/>
      <c r="BC501" s="1293"/>
      <c r="BD501" s="1293"/>
      <c r="BE501" s="1293"/>
      <c r="BF501" s="1293"/>
      <c r="BG501" s="1293"/>
      <c r="BH501" s="1293"/>
      <c r="BI501" s="1293"/>
      <c r="BJ501" s="1293"/>
      <c r="BK501" s="1293"/>
      <c r="BL501" s="1293"/>
      <c r="BM501" s="1293"/>
      <c r="BN501" s="1293"/>
      <c r="BO501" s="1293"/>
      <c r="BP501" s="1293"/>
      <c r="BQ501" s="1293"/>
      <c r="BR501" s="1293"/>
      <c r="BS501" s="1293"/>
      <c r="BT501" s="1293"/>
      <c r="BU501" s="1293"/>
      <c r="BV501" s="1293"/>
      <c r="BW501" s="1293"/>
      <c r="BX501" s="1293"/>
      <c r="BY501" s="1293"/>
      <c r="BZ501" s="1293"/>
      <c r="CA501" s="1293"/>
      <c r="CB501" s="1293"/>
      <c r="CC501" s="1293"/>
      <c r="CD501" s="1293"/>
      <c r="CE501" s="1293"/>
      <c r="CF501" s="1293"/>
      <c r="CG501" s="1293"/>
    </row>
    <row r="502" spans="1:85" ht="15.75" hidden="1" outlineLevel="1">
      <c r="A502" s="1293"/>
      <c r="B502" s="1293"/>
      <c r="C502" s="1293" t="s">
        <v>884</v>
      </c>
      <c r="D502" s="1293"/>
      <c r="E502" s="1293"/>
      <c r="F502" s="1293"/>
      <c r="G502" s="1293"/>
      <c r="H502" s="1293"/>
      <c r="I502" s="1293"/>
      <c r="J502" s="1293"/>
      <c r="K502" s="1293"/>
      <c r="L502" s="1293"/>
      <c r="M502" s="1698">
        <f>M437</f>
        <v>809</v>
      </c>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c r="AH502" s="1293"/>
      <c r="AI502" s="1293"/>
      <c r="AJ502" s="1293"/>
      <c r="AK502" s="1293"/>
      <c r="AL502" s="1293"/>
      <c r="AM502" s="1293"/>
      <c r="AN502" s="1293"/>
      <c r="AO502" s="1293"/>
      <c r="AP502" s="1293"/>
      <c r="AQ502" s="1293"/>
      <c r="AR502" s="1293"/>
      <c r="AS502" s="1293"/>
      <c r="AT502" s="1293"/>
      <c r="AU502" s="1293"/>
      <c r="AV502" s="1293"/>
      <c r="AW502" s="1293"/>
      <c r="AX502" s="1293"/>
      <c r="AY502" s="1293"/>
      <c r="AZ502" s="1293"/>
      <c r="BA502" s="1293"/>
      <c r="BB502" s="1293"/>
      <c r="BC502" s="1293"/>
      <c r="BD502" s="1293"/>
      <c r="BE502" s="1293"/>
      <c r="BF502" s="1293"/>
      <c r="BG502" s="1293"/>
      <c r="BH502" s="1293"/>
      <c r="BI502" s="1293"/>
      <c r="BJ502" s="1293"/>
      <c r="BK502" s="1293"/>
      <c r="BL502" s="1293"/>
      <c r="BM502" s="1293"/>
      <c r="BN502" s="1293"/>
      <c r="BO502" s="1293"/>
      <c r="BP502" s="1293"/>
      <c r="BQ502" s="1293"/>
      <c r="BR502" s="1293"/>
      <c r="BS502" s="1293"/>
      <c r="BT502" s="1293"/>
      <c r="BU502" s="1293"/>
      <c r="BV502" s="1293"/>
      <c r="BW502" s="1293"/>
      <c r="BX502" s="1293"/>
      <c r="BY502" s="1293"/>
      <c r="BZ502" s="1293"/>
      <c r="CA502" s="1293"/>
      <c r="CB502" s="1293"/>
      <c r="CC502" s="1293"/>
      <c r="CD502" s="1293"/>
      <c r="CE502" s="1293"/>
      <c r="CF502" s="1293"/>
      <c r="CG502" s="1293"/>
    </row>
    <row r="503" spans="1:85" ht="15.75" hidden="1" outlineLevel="1">
      <c r="A503" s="1293"/>
      <c r="B503" s="1293"/>
      <c r="C503" s="1293" t="str">
        <f>C275</f>
        <v>Honduras (JV)</v>
      </c>
      <c r="D503" s="1293"/>
      <c r="E503" s="1293"/>
      <c r="F503" s="1293"/>
      <c r="G503" s="1293"/>
      <c r="H503" s="1293"/>
      <c r="I503" s="1293"/>
      <c r="J503" s="1293"/>
      <c r="K503" s="1293"/>
      <c r="L503" s="1293"/>
      <c r="M503" s="1293">
        <v>103</v>
      </c>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c r="AH503" s="1293"/>
      <c r="AI503" s="1293"/>
      <c r="AJ503" s="1293"/>
      <c r="AK503" s="1293"/>
      <c r="AL503" s="1293"/>
      <c r="AM503" s="1293"/>
      <c r="AN503" s="1293"/>
      <c r="AO503" s="1293"/>
      <c r="AP503" s="1293"/>
      <c r="AQ503" s="1293"/>
      <c r="AR503" s="1293"/>
      <c r="AS503" s="1293"/>
      <c r="AT503" s="1293"/>
      <c r="AU503" s="1293"/>
      <c r="AV503" s="1293"/>
      <c r="AW503" s="1293"/>
      <c r="AX503" s="1293"/>
      <c r="AY503" s="1293"/>
      <c r="AZ503" s="1293"/>
      <c r="BA503" s="1293"/>
      <c r="BB503" s="1293"/>
      <c r="BC503" s="1293"/>
      <c r="BD503" s="1293"/>
      <c r="BE503" s="1293"/>
      <c r="BF503" s="1293"/>
      <c r="BG503" s="1293"/>
      <c r="BH503" s="1293"/>
      <c r="BI503" s="1293"/>
      <c r="BJ503" s="1293"/>
      <c r="BK503" s="1293"/>
      <c r="BL503" s="1293"/>
      <c r="BM503" s="1293"/>
      <c r="BN503" s="1293"/>
      <c r="BO503" s="1293"/>
      <c r="BP503" s="1293"/>
      <c r="BQ503" s="1293"/>
      <c r="BR503" s="1293"/>
      <c r="BS503" s="1293"/>
      <c r="BT503" s="1293"/>
      <c r="BU503" s="1293"/>
      <c r="BV503" s="1293"/>
      <c r="BW503" s="1293"/>
      <c r="BX503" s="1293"/>
      <c r="BY503" s="1293"/>
      <c r="BZ503" s="1293"/>
      <c r="CA503" s="1293"/>
      <c r="CB503" s="1293"/>
      <c r="CC503" s="1293"/>
      <c r="CD503" s="1293"/>
      <c r="CE503" s="1293"/>
      <c r="CF503" s="1293"/>
      <c r="CG503" s="1293"/>
    </row>
    <row r="504" spans="1:85" ht="15.75" hidden="1" outlineLevel="1">
      <c r="A504" s="1293"/>
      <c r="B504" s="1293"/>
      <c r="C504" s="1293"/>
      <c r="D504" s="1293"/>
      <c r="E504" s="1293"/>
      <c r="F504" s="1293"/>
      <c r="G504" s="1293"/>
      <c r="H504" s="1293"/>
      <c r="I504" s="1293"/>
      <c r="J504" s="1293"/>
      <c r="K504" s="1293"/>
      <c r="L504" s="1293"/>
      <c r="M504" s="1293"/>
      <c r="N504" s="1293"/>
      <c r="O504" s="1293"/>
      <c r="P504" s="1293"/>
      <c r="Q504" s="1293"/>
      <c r="R504" s="1293"/>
      <c r="S504" s="1293"/>
      <c r="T504" s="1293"/>
      <c r="U504" s="1293"/>
      <c r="V504" s="1293"/>
      <c r="W504" s="1293"/>
      <c r="X504" s="1293"/>
      <c r="Y504" s="1293"/>
      <c r="Z504" s="1293"/>
      <c r="AA504" s="1293"/>
      <c r="AB504" s="1293"/>
      <c r="AC504" s="1293"/>
      <c r="AD504" s="1293"/>
      <c r="AE504" s="1293"/>
      <c r="AF504" s="1293"/>
      <c r="AG504" s="1293"/>
      <c r="AH504" s="1293"/>
      <c r="AI504" s="1293"/>
      <c r="AJ504" s="1293"/>
      <c r="AK504" s="1293"/>
      <c r="AL504" s="1293"/>
      <c r="AM504" s="1293"/>
      <c r="AN504" s="1293"/>
      <c r="AO504" s="1293"/>
      <c r="AP504" s="1293"/>
      <c r="AQ504" s="1293"/>
      <c r="AR504" s="1293"/>
      <c r="AS504" s="1293"/>
      <c r="AT504" s="1293"/>
      <c r="AU504" s="1293"/>
      <c r="AV504" s="1293"/>
      <c r="AW504" s="1293"/>
      <c r="AX504" s="1293"/>
      <c r="AY504" s="1293"/>
      <c r="AZ504" s="1293"/>
      <c r="BA504" s="1293"/>
      <c r="BB504" s="1293"/>
      <c r="BC504" s="1293"/>
      <c r="BD504" s="1293"/>
      <c r="BE504" s="1293"/>
      <c r="BF504" s="1293"/>
      <c r="BG504" s="1293"/>
      <c r="BH504" s="1293"/>
      <c r="BI504" s="1293"/>
      <c r="BJ504" s="1293"/>
      <c r="BK504" s="1293"/>
      <c r="BL504" s="1293"/>
      <c r="BM504" s="1293"/>
      <c r="BN504" s="1293"/>
      <c r="BO504" s="1293"/>
      <c r="BP504" s="1293"/>
      <c r="BQ504" s="1293"/>
      <c r="BR504" s="1293"/>
      <c r="BS504" s="1293"/>
      <c r="BT504" s="1293"/>
      <c r="BU504" s="1293"/>
      <c r="BV504" s="1293"/>
      <c r="BW504" s="1293"/>
      <c r="BX504" s="1293"/>
      <c r="BY504" s="1293"/>
      <c r="BZ504" s="1293"/>
      <c r="CA504" s="1293"/>
      <c r="CB504" s="1293"/>
      <c r="CC504" s="1293"/>
      <c r="CD504" s="1293"/>
      <c r="CE504" s="1293"/>
      <c r="CF504" s="1293"/>
      <c r="CG504" s="1293"/>
    </row>
    <row r="505" spans="1:85" ht="15.75" hidden="1" outlineLevel="1">
      <c r="A505" s="1293"/>
      <c r="B505" s="1293"/>
      <c r="C505" s="1334" t="s">
        <v>8724</v>
      </c>
      <c r="D505" s="1293"/>
      <c r="E505" s="1293"/>
      <c r="F505" s="1293"/>
      <c r="G505" s="1293"/>
      <c r="H505" s="1293"/>
      <c r="I505" s="1293"/>
      <c r="J505" s="1293"/>
      <c r="K505" s="1293"/>
      <c r="L505" s="1293"/>
      <c r="M505" s="1293"/>
      <c r="N505" s="1293"/>
      <c r="O505" s="1293"/>
      <c r="P505" s="1293"/>
      <c r="Q505" s="1293"/>
      <c r="R505" s="1293"/>
      <c r="S505" s="1293"/>
      <c r="T505" s="1293"/>
      <c r="U505" s="1293"/>
      <c r="V505" s="1293"/>
      <c r="W505" s="1293"/>
      <c r="X505" s="1293"/>
      <c r="Y505" s="1293"/>
      <c r="Z505" s="1293"/>
      <c r="AA505" s="1293"/>
      <c r="AB505" s="1293"/>
      <c r="AC505" s="1293"/>
      <c r="AD505" s="1293"/>
      <c r="AE505" s="1293"/>
      <c r="AF505" s="1293"/>
      <c r="AG505" s="1293"/>
      <c r="AH505" s="1293"/>
      <c r="AI505" s="1293"/>
      <c r="AJ505" s="1293"/>
      <c r="AK505" s="1293"/>
      <c r="AL505" s="1293"/>
      <c r="AM505" s="1293"/>
      <c r="AN505" s="1293"/>
      <c r="AO505" s="1293"/>
      <c r="AP505" s="1293"/>
      <c r="AQ505" s="1293"/>
      <c r="AR505" s="1293"/>
      <c r="AS505" s="1293"/>
      <c r="AT505" s="1293"/>
      <c r="AU505" s="1293"/>
      <c r="AV505" s="1293"/>
      <c r="AW505" s="1293"/>
      <c r="AX505" s="1293"/>
      <c r="AY505" s="1293"/>
      <c r="AZ505" s="1293"/>
      <c r="BA505" s="1293"/>
      <c r="BB505" s="1293"/>
      <c r="BC505" s="1293"/>
      <c r="BD505" s="1293"/>
      <c r="BE505" s="1293"/>
      <c r="BF505" s="1293"/>
      <c r="BG505" s="1293"/>
      <c r="BH505" s="1293"/>
      <c r="BI505" s="1293"/>
      <c r="BJ505" s="1293"/>
      <c r="BK505" s="1293"/>
      <c r="BL505" s="1293"/>
      <c r="BM505" s="1293"/>
      <c r="BN505" s="1293"/>
      <c r="BO505" s="1293"/>
      <c r="BP505" s="1293"/>
      <c r="BQ505" s="1293"/>
      <c r="BR505" s="1293"/>
      <c r="BS505" s="1293"/>
      <c r="BT505" s="1293"/>
      <c r="BU505" s="1293"/>
      <c r="BV505" s="1293"/>
      <c r="BW505" s="1293"/>
      <c r="BX505" s="1293"/>
      <c r="BY505" s="1293"/>
      <c r="BZ505" s="1293"/>
      <c r="CA505" s="1293"/>
      <c r="CB505" s="1293"/>
      <c r="CC505" s="1293"/>
      <c r="CD505" s="1293"/>
      <c r="CE505" s="1293"/>
      <c r="CF505" s="1293"/>
      <c r="CG505" s="1293"/>
    </row>
    <row r="506" spans="1:85" ht="15.75" hidden="1" outlineLevel="1">
      <c r="A506" s="1293"/>
      <c r="B506" s="1293"/>
      <c r="C506" s="1293" t="str">
        <f>C496</f>
        <v>Guatemala</v>
      </c>
      <c r="D506" s="1293"/>
      <c r="E506" s="1293"/>
      <c r="F506" s="1293"/>
      <c r="G506" s="1293"/>
      <c r="H506" s="1293"/>
      <c r="I506" s="1293"/>
      <c r="J506" s="1293"/>
      <c r="K506" s="1293"/>
      <c r="L506" s="1293"/>
      <c r="M506" s="1698">
        <f>M274-M496</f>
        <v>627.2650000000001</v>
      </c>
      <c r="N506" s="1293"/>
      <c r="O506" s="1293"/>
      <c r="P506" s="1293"/>
      <c r="Q506" s="1293"/>
      <c r="R506" s="1293"/>
      <c r="S506" s="1293"/>
      <c r="T506" s="1293"/>
      <c r="U506" s="1293"/>
      <c r="V506" s="1293"/>
      <c r="W506" s="1293"/>
      <c r="X506" s="1293"/>
      <c r="Y506" s="1293"/>
      <c r="Z506" s="1293"/>
      <c r="AA506" s="1293"/>
      <c r="AB506" s="1293"/>
      <c r="AC506" s="1293"/>
      <c r="AD506" s="1293"/>
      <c r="AE506" s="1293"/>
      <c r="AF506" s="1293"/>
      <c r="AG506" s="1293"/>
      <c r="AH506" s="1293"/>
      <c r="AI506" s="1293"/>
      <c r="AJ506" s="1293"/>
      <c r="AK506" s="1293"/>
      <c r="AL506" s="1293"/>
      <c r="AM506" s="1293"/>
      <c r="AN506" s="1293"/>
      <c r="AO506" s="1293"/>
      <c r="AP506" s="1293"/>
      <c r="AQ506" s="1293"/>
      <c r="AR506" s="1293"/>
      <c r="AS506" s="1293"/>
      <c r="AT506" s="1293"/>
      <c r="AU506" s="1293"/>
      <c r="AV506" s="1293"/>
      <c r="AW506" s="1293"/>
      <c r="AX506" s="1293"/>
      <c r="AY506" s="1293"/>
      <c r="AZ506" s="1293"/>
      <c r="BA506" s="1293"/>
      <c r="BB506" s="1293"/>
      <c r="BC506" s="1293"/>
      <c r="BD506" s="1293"/>
      <c r="BE506" s="1293"/>
      <c r="BF506" s="1293"/>
      <c r="BG506" s="1293"/>
      <c r="BH506" s="1293"/>
      <c r="BI506" s="1293"/>
      <c r="BJ506" s="1293"/>
      <c r="BK506" s="1293"/>
      <c r="BL506" s="1293"/>
      <c r="BM506" s="1293"/>
      <c r="BN506" s="1293"/>
      <c r="BO506" s="1293"/>
      <c r="BP506" s="1293"/>
      <c r="BQ506" s="1293"/>
      <c r="BR506" s="1293"/>
      <c r="BS506" s="1293"/>
      <c r="BT506" s="1293"/>
      <c r="BU506" s="1293"/>
      <c r="BV506" s="1293"/>
      <c r="BW506" s="1293"/>
      <c r="BX506" s="1293"/>
      <c r="BY506" s="1293"/>
      <c r="BZ506" s="1293"/>
      <c r="CA506" s="1293"/>
      <c r="CB506" s="1293"/>
      <c r="CC506" s="1293"/>
      <c r="CD506" s="1293"/>
      <c r="CE506" s="1293"/>
      <c r="CF506" s="1293"/>
      <c r="CG506" s="1293"/>
    </row>
    <row r="507" spans="1:85" ht="15.75" hidden="1" outlineLevel="1">
      <c r="A507" s="1293"/>
      <c r="B507" s="1293"/>
      <c r="C507" s="1293" t="str">
        <f t="shared" ref="C507:C511" si="396">C497</f>
        <v>Panama</v>
      </c>
      <c r="D507" s="1293"/>
      <c r="E507" s="1293"/>
      <c r="F507" s="1293"/>
      <c r="G507" s="1293"/>
      <c r="H507" s="1293"/>
      <c r="I507" s="1293"/>
      <c r="J507" s="1293"/>
      <c r="K507" s="1293"/>
      <c r="L507" s="1293"/>
      <c r="M507" s="1698">
        <f>M332+M334-M497</f>
        <v>316.18920000000003</v>
      </c>
      <c r="N507" s="1293"/>
      <c r="O507" s="1293"/>
      <c r="P507" s="1293"/>
      <c r="Q507" s="1293"/>
      <c r="R507" s="1293"/>
      <c r="S507" s="1293"/>
      <c r="T507" s="1293"/>
      <c r="U507" s="1293"/>
      <c r="V507" s="1293"/>
      <c r="W507" s="1293"/>
      <c r="X507" s="1293"/>
      <c r="Y507" s="1293"/>
      <c r="Z507" s="1293"/>
      <c r="AA507" s="1293"/>
      <c r="AB507" s="1293"/>
      <c r="AC507" s="1293"/>
      <c r="AD507" s="1293"/>
      <c r="AE507" s="1293"/>
      <c r="AF507" s="1293"/>
      <c r="AG507" s="1293"/>
      <c r="AH507" s="1293"/>
      <c r="AI507" s="1293"/>
      <c r="AJ507" s="1293"/>
      <c r="AK507" s="1293"/>
      <c r="AL507" s="1293"/>
      <c r="AM507" s="1293"/>
      <c r="AN507" s="1293"/>
      <c r="AO507" s="1293"/>
      <c r="AP507" s="1293"/>
      <c r="AQ507" s="1293"/>
      <c r="AR507" s="1293"/>
      <c r="AS507" s="1293"/>
      <c r="AT507" s="1293"/>
      <c r="AU507" s="1293"/>
      <c r="AV507" s="1293"/>
      <c r="AW507" s="1293"/>
      <c r="AX507" s="1293"/>
      <c r="AY507" s="1293"/>
      <c r="AZ507" s="1293"/>
      <c r="BA507" s="1293"/>
      <c r="BB507" s="1293"/>
      <c r="BC507" s="1293"/>
      <c r="BD507" s="1293"/>
      <c r="BE507" s="1293"/>
      <c r="BF507" s="1293"/>
      <c r="BG507" s="1293"/>
      <c r="BH507" s="1293"/>
      <c r="BI507" s="1293"/>
      <c r="BJ507" s="1293"/>
      <c r="BK507" s="1293"/>
      <c r="BL507" s="1293"/>
      <c r="BM507" s="1293"/>
      <c r="BN507" s="1293"/>
      <c r="BO507" s="1293"/>
      <c r="BP507" s="1293"/>
      <c r="BQ507" s="1293"/>
      <c r="BR507" s="1293"/>
      <c r="BS507" s="1293"/>
      <c r="BT507" s="1293"/>
      <c r="BU507" s="1293"/>
      <c r="BV507" s="1293"/>
      <c r="BW507" s="1293"/>
      <c r="BX507" s="1293"/>
      <c r="BY507" s="1293"/>
      <c r="BZ507" s="1293"/>
      <c r="CA507" s="1293"/>
      <c r="CB507" s="1293"/>
      <c r="CC507" s="1293"/>
      <c r="CD507" s="1293"/>
      <c r="CE507" s="1293"/>
      <c r="CF507" s="1293"/>
      <c r="CG507" s="1293"/>
    </row>
    <row r="508" spans="1:85" ht="15.75" hidden="1" outlineLevel="1">
      <c r="A508" s="1293"/>
      <c r="B508" s="1293"/>
      <c r="C508" s="1293" t="str">
        <f t="shared" si="396"/>
        <v>Colombia</v>
      </c>
      <c r="D508" s="1293"/>
      <c r="E508" s="1293"/>
      <c r="F508" s="1293"/>
      <c r="G508" s="1293"/>
      <c r="H508" s="1293"/>
      <c r="I508" s="1293"/>
      <c r="J508" s="1293"/>
      <c r="K508" s="1293"/>
      <c r="L508" s="1293"/>
      <c r="M508" s="1698">
        <f>M338-M498</f>
        <v>302.68879905992947</v>
      </c>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c r="AH508" s="1293"/>
      <c r="AI508" s="1293"/>
      <c r="AJ508" s="1293"/>
      <c r="AK508" s="1293"/>
      <c r="AL508" s="1293"/>
      <c r="AM508" s="1293"/>
      <c r="AN508" s="1293"/>
      <c r="AO508" s="1293"/>
      <c r="AP508" s="1293"/>
      <c r="AQ508" s="1293"/>
      <c r="AR508" s="1293"/>
      <c r="AS508" s="1293"/>
      <c r="AT508" s="1293"/>
      <c r="AU508" s="1293"/>
      <c r="AV508" s="1293"/>
      <c r="AW508" s="1293"/>
      <c r="AX508" s="1293"/>
      <c r="AY508" s="1293"/>
      <c r="AZ508" s="1293"/>
      <c r="BA508" s="1293"/>
      <c r="BB508" s="1293"/>
      <c r="BC508" s="1293"/>
      <c r="BD508" s="1293"/>
      <c r="BE508" s="1293"/>
      <c r="BF508" s="1293"/>
      <c r="BG508" s="1293"/>
      <c r="BH508" s="1293"/>
      <c r="BI508" s="1293"/>
      <c r="BJ508" s="1293"/>
      <c r="BK508" s="1293"/>
      <c r="BL508" s="1293"/>
      <c r="BM508" s="1293"/>
      <c r="BN508" s="1293"/>
      <c r="BO508" s="1293"/>
      <c r="BP508" s="1293"/>
      <c r="BQ508" s="1293"/>
      <c r="BR508" s="1293"/>
      <c r="BS508" s="1293"/>
      <c r="BT508" s="1293"/>
      <c r="BU508" s="1293"/>
      <c r="BV508" s="1293"/>
      <c r="BW508" s="1293"/>
      <c r="BX508" s="1293"/>
      <c r="BY508" s="1293"/>
      <c r="BZ508" s="1293"/>
      <c r="CA508" s="1293"/>
      <c r="CB508" s="1293"/>
      <c r="CC508" s="1293"/>
      <c r="CD508" s="1293"/>
      <c r="CE508" s="1293"/>
      <c r="CF508" s="1293"/>
      <c r="CG508" s="1293"/>
    </row>
    <row r="509" spans="1:85" ht="15.75" hidden="1" outlineLevel="1">
      <c r="A509" s="1293"/>
      <c r="B509" s="1293"/>
      <c r="C509" s="1293" t="str">
        <f t="shared" si="396"/>
        <v>Paraguay</v>
      </c>
      <c r="D509" s="1293"/>
      <c r="E509" s="1293"/>
      <c r="F509" s="1293"/>
      <c r="G509" s="1293"/>
      <c r="H509" s="1293"/>
      <c r="I509" s="1293"/>
      <c r="J509" s="1293"/>
      <c r="K509" s="1293"/>
      <c r="L509" s="1293"/>
      <c r="M509" s="1698">
        <f>M286-M499</f>
        <v>-97</v>
      </c>
      <c r="N509" s="1293"/>
      <c r="O509" s="1293"/>
      <c r="P509" s="1293"/>
      <c r="Q509" s="1293"/>
      <c r="R509" s="1293"/>
      <c r="S509" s="1293"/>
      <c r="T509" s="1293"/>
      <c r="U509" s="1293"/>
      <c r="V509" s="1293"/>
      <c r="W509" s="1293"/>
      <c r="X509" s="1293"/>
      <c r="Y509" s="1293"/>
      <c r="Z509" s="1293"/>
      <c r="AA509" s="1293"/>
      <c r="AB509" s="1293"/>
      <c r="AC509" s="1293"/>
      <c r="AD509" s="1293"/>
      <c r="AE509" s="1293"/>
      <c r="AF509" s="1293"/>
      <c r="AG509" s="1293"/>
      <c r="AH509" s="1293"/>
      <c r="AI509" s="1293"/>
      <c r="AJ509" s="1293"/>
      <c r="AK509" s="1293"/>
      <c r="AL509" s="1293"/>
      <c r="AM509" s="1293"/>
      <c r="AN509" s="1293"/>
      <c r="AO509" s="1293"/>
      <c r="AP509" s="1293"/>
      <c r="AQ509" s="1293"/>
      <c r="AR509" s="1293"/>
      <c r="AS509" s="1293"/>
      <c r="AT509" s="1293"/>
      <c r="AU509" s="1293"/>
      <c r="AV509" s="1293"/>
      <c r="AW509" s="1293"/>
      <c r="AX509" s="1293"/>
      <c r="AY509" s="1293"/>
      <c r="AZ509" s="1293"/>
      <c r="BA509" s="1293"/>
      <c r="BB509" s="1293"/>
      <c r="BC509" s="1293"/>
      <c r="BD509" s="1293"/>
      <c r="BE509" s="1293"/>
      <c r="BF509" s="1293"/>
      <c r="BG509" s="1293"/>
      <c r="BH509" s="1293"/>
      <c r="BI509" s="1293"/>
      <c r="BJ509" s="1293"/>
      <c r="BK509" s="1293"/>
      <c r="BL509" s="1293"/>
      <c r="BM509" s="1293"/>
      <c r="BN509" s="1293"/>
      <c r="BO509" s="1293"/>
      <c r="BP509" s="1293"/>
      <c r="BQ509" s="1293"/>
      <c r="BR509" s="1293"/>
      <c r="BS509" s="1293"/>
      <c r="BT509" s="1293"/>
      <c r="BU509" s="1293"/>
      <c r="BV509" s="1293"/>
      <c r="BW509" s="1293"/>
      <c r="BX509" s="1293"/>
      <c r="BY509" s="1293"/>
      <c r="BZ509" s="1293"/>
      <c r="CA509" s="1293"/>
      <c r="CB509" s="1293"/>
      <c r="CC509" s="1293"/>
      <c r="CD509" s="1293"/>
      <c r="CE509" s="1293"/>
      <c r="CF509" s="1293"/>
      <c r="CG509" s="1293"/>
    </row>
    <row r="510" spans="1:85" ht="15.75" hidden="1" outlineLevel="1">
      <c r="A510" s="1293"/>
      <c r="B510" s="1293"/>
      <c r="C510" s="1293" t="str">
        <f t="shared" si="396"/>
        <v>Bolivia</v>
      </c>
      <c r="D510" s="1293"/>
      <c r="E510" s="1293"/>
      <c r="F510" s="1293"/>
      <c r="G510" s="1293"/>
      <c r="H510" s="1293"/>
      <c r="I510" s="1293"/>
      <c r="J510" s="1293"/>
      <c r="K510" s="1293"/>
      <c r="L510" s="1293"/>
      <c r="M510" s="1698">
        <f>M287-M500</f>
        <v>136.05799999999999</v>
      </c>
      <c r="N510" s="1724"/>
      <c r="O510" s="1293"/>
      <c r="P510" s="1293"/>
      <c r="Q510" s="1293"/>
      <c r="R510" s="1293"/>
      <c r="S510" s="1293"/>
      <c r="T510" s="1293"/>
      <c r="U510" s="1293"/>
      <c r="V510" s="1293"/>
      <c r="W510" s="1293"/>
      <c r="X510" s="1293"/>
      <c r="Y510" s="1293"/>
      <c r="Z510" s="1293"/>
      <c r="AA510" s="1293"/>
      <c r="AB510" s="1293"/>
      <c r="AC510" s="1293"/>
      <c r="AD510" s="1293"/>
      <c r="AE510" s="1293"/>
      <c r="AF510" s="1293"/>
      <c r="AG510" s="1293"/>
      <c r="AH510" s="1293"/>
      <c r="AI510" s="1293"/>
      <c r="AJ510" s="1293"/>
      <c r="AK510" s="1293"/>
      <c r="AL510" s="1293"/>
      <c r="AM510" s="1293"/>
      <c r="AN510" s="1293"/>
      <c r="AO510" s="1293"/>
      <c r="AP510" s="1293"/>
      <c r="AQ510" s="1293"/>
      <c r="AR510" s="1293"/>
      <c r="AS510" s="1293"/>
      <c r="AT510" s="1293"/>
      <c r="AU510" s="1293"/>
      <c r="AV510" s="1293"/>
      <c r="AW510" s="1293"/>
      <c r="AX510" s="1293"/>
      <c r="AY510" s="1293"/>
      <c r="AZ510" s="1293"/>
      <c r="BA510" s="1293"/>
      <c r="BB510" s="1293"/>
      <c r="BC510" s="1293"/>
      <c r="BD510" s="1293"/>
      <c r="BE510" s="1293"/>
      <c r="BF510" s="1293"/>
      <c r="BG510" s="1293"/>
      <c r="BH510" s="1293"/>
      <c r="BI510" s="1293"/>
      <c r="BJ510" s="1293"/>
      <c r="BK510" s="1293"/>
      <c r="BL510" s="1293"/>
      <c r="BM510" s="1293"/>
      <c r="BN510" s="1293"/>
      <c r="BO510" s="1293"/>
      <c r="BP510" s="1293"/>
      <c r="BQ510" s="1293"/>
      <c r="BR510" s="1293"/>
      <c r="BS510" s="1293"/>
      <c r="BT510" s="1293"/>
      <c r="BU510" s="1293"/>
      <c r="BV510" s="1293"/>
      <c r="BW510" s="1293"/>
      <c r="BX510" s="1293"/>
      <c r="BY510" s="1293"/>
      <c r="BZ510" s="1293"/>
      <c r="CA510" s="1293"/>
      <c r="CB510" s="1293"/>
      <c r="CC510" s="1293"/>
      <c r="CD510" s="1293"/>
      <c r="CE510" s="1293"/>
      <c r="CF510" s="1293"/>
      <c r="CG510" s="1293"/>
    </row>
    <row r="511" spans="1:85" ht="15.75" hidden="1" outlineLevel="1">
      <c r="A511" s="1293"/>
      <c r="B511" s="1293"/>
      <c r="C511" s="1331" t="str">
        <f t="shared" si="396"/>
        <v>Other</v>
      </c>
      <c r="D511" s="1331"/>
      <c r="E511" s="1331"/>
      <c r="F511" s="1331"/>
      <c r="G511" s="1331"/>
      <c r="H511" s="1331"/>
      <c r="I511" s="1331"/>
      <c r="J511" s="1331"/>
      <c r="K511" s="1331"/>
      <c r="L511" s="1331"/>
      <c r="M511" s="1702"/>
      <c r="N511" s="1331"/>
      <c r="O511" s="1331"/>
      <c r="P511" s="1331"/>
      <c r="Q511" s="1331"/>
      <c r="R511" s="1331"/>
      <c r="S511" s="1331"/>
      <c r="T511" s="1331"/>
      <c r="U511" s="1293"/>
      <c r="V511" s="1293"/>
      <c r="W511" s="1293"/>
      <c r="X511" s="1293"/>
      <c r="Y511" s="1293"/>
      <c r="Z511" s="1293"/>
      <c r="AA511" s="1293"/>
      <c r="AB511" s="1293"/>
      <c r="AC511" s="1293"/>
      <c r="AD511" s="1293"/>
      <c r="AE511" s="1293"/>
      <c r="AF511" s="1293"/>
      <c r="AG511" s="1293"/>
      <c r="AH511" s="1293"/>
      <c r="AI511" s="1293"/>
      <c r="AJ511" s="1293"/>
      <c r="AK511" s="1293"/>
      <c r="AL511" s="1293"/>
      <c r="AM511" s="1293"/>
      <c r="AN511" s="1293"/>
      <c r="AO511" s="1293"/>
      <c r="AP511" s="1293"/>
      <c r="AQ511" s="1293"/>
      <c r="AR511" s="1293"/>
      <c r="AS511" s="1293"/>
      <c r="AT511" s="1293"/>
      <c r="AU511" s="1293"/>
      <c r="AV511" s="1293"/>
      <c r="AW511" s="1293"/>
      <c r="AX511" s="1293"/>
      <c r="AY511" s="1293"/>
      <c r="AZ511" s="1293"/>
      <c r="BA511" s="1293"/>
      <c r="BB511" s="1293"/>
      <c r="BC511" s="1293"/>
      <c r="BD511" s="1293"/>
      <c r="BE511" s="1293"/>
      <c r="BF511" s="1293"/>
      <c r="BG511" s="1293"/>
      <c r="BH511" s="1293"/>
      <c r="BI511" s="1293"/>
      <c r="BJ511" s="1293"/>
      <c r="BK511" s="1293"/>
      <c r="BL511" s="1293"/>
      <c r="BM511" s="1293"/>
      <c r="BN511" s="1293"/>
      <c r="BO511" s="1293"/>
      <c r="BP511" s="1293"/>
      <c r="BQ511" s="1293"/>
      <c r="BR511" s="1293"/>
      <c r="BS511" s="1293"/>
      <c r="BT511" s="1293"/>
      <c r="BU511" s="1293"/>
      <c r="BV511" s="1293"/>
      <c r="BW511" s="1293"/>
      <c r="BX511" s="1293"/>
      <c r="BY511" s="1293"/>
      <c r="BZ511" s="1293"/>
      <c r="CA511" s="1293"/>
      <c r="CB511" s="1293"/>
      <c r="CC511" s="1293"/>
      <c r="CD511" s="1293"/>
      <c r="CE511" s="1293"/>
      <c r="CF511" s="1293"/>
      <c r="CG511" s="1293"/>
    </row>
    <row r="512" spans="1:85" ht="15.75" hidden="1" outlineLevel="1">
      <c r="A512" s="1293"/>
      <c r="B512" s="1293"/>
      <c r="C512" s="1293" t="s">
        <v>884</v>
      </c>
      <c r="D512" s="1293"/>
      <c r="E512" s="1293"/>
      <c r="F512" s="1293"/>
      <c r="G512" s="1293"/>
      <c r="H512" s="1293"/>
      <c r="I512" s="1293"/>
      <c r="J512" s="1293"/>
      <c r="K512" s="1293"/>
      <c r="L512" s="1293"/>
      <c r="M512" s="1698">
        <f>M487</f>
        <v>1672.5877827590498</v>
      </c>
      <c r="N512" s="1293"/>
      <c r="O512" s="1293"/>
      <c r="P512" s="1293"/>
      <c r="Q512" s="1293"/>
      <c r="R512" s="1293"/>
      <c r="S512" s="1293"/>
      <c r="T512" s="1293"/>
      <c r="U512" s="1293"/>
      <c r="V512" s="1293"/>
      <c r="W512" s="1293"/>
      <c r="X512" s="1293"/>
      <c r="Y512" s="1293"/>
      <c r="Z512" s="1293"/>
      <c r="AA512" s="1293"/>
      <c r="AB512" s="1293"/>
      <c r="AC512" s="1293"/>
      <c r="AD512" s="1293"/>
      <c r="AE512" s="1293"/>
      <c r="AF512" s="1293"/>
      <c r="AG512" s="1293"/>
      <c r="AH512" s="1293"/>
      <c r="AI512" s="1293"/>
      <c r="AJ512" s="1293"/>
      <c r="AK512" s="1293"/>
      <c r="AL512" s="1293"/>
      <c r="AM512" s="1293"/>
      <c r="AN512" s="1293"/>
      <c r="AO512" s="1293"/>
      <c r="AP512" s="1293"/>
      <c r="AQ512" s="1293"/>
      <c r="AR512" s="1293"/>
      <c r="AS512" s="1293"/>
      <c r="AT512" s="1293"/>
      <c r="AU512" s="1293"/>
      <c r="AV512" s="1293"/>
      <c r="AW512" s="1293"/>
      <c r="AX512" s="1293"/>
      <c r="AY512" s="1293"/>
      <c r="AZ512" s="1293"/>
      <c r="BA512" s="1293"/>
      <c r="BB512" s="1293"/>
      <c r="BC512" s="1293"/>
      <c r="BD512" s="1293"/>
      <c r="BE512" s="1293"/>
      <c r="BF512" s="1293"/>
      <c r="BG512" s="1293"/>
      <c r="BH512" s="1293"/>
      <c r="BI512" s="1293"/>
      <c r="BJ512" s="1293"/>
      <c r="BK512" s="1293"/>
      <c r="BL512" s="1293"/>
      <c r="BM512" s="1293"/>
      <c r="BN512" s="1293"/>
      <c r="BO512" s="1293"/>
      <c r="BP512" s="1293"/>
      <c r="BQ512" s="1293"/>
      <c r="BR512" s="1293"/>
      <c r="BS512" s="1293"/>
      <c r="BT512" s="1293"/>
      <c r="BU512" s="1293"/>
      <c r="BV512" s="1293"/>
      <c r="BW512" s="1293"/>
      <c r="BX512" s="1293"/>
      <c r="BY512" s="1293"/>
      <c r="BZ512" s="1293"/>
      <c r="CA512" s="1293"/>
      <c r="CB512" s="1293"/>
      <c r="CC512" s="1293"/>
      <c r="CD512" s="1293"/>
      <c r="CE512" s="1293"/>
      <c r="CF512" s="1293"/>
      <c r="CG512" s="1293"/>
    </row>
    <row r="513" spans="1:85" ht="15.75" hidden="1" outlineLevel="1">
      <c r="A513" s="1293"/>
      <c r="B513" s="1293"/>
      <c r="C513" s="1293" t="s">
        <v>2380</v>
      </c>
      <c r="D513" s="1293"/>
      <c r="E513" s="1293"/>
      <c r="F513" s="1293"/>
      <c r="G513" s="1293"/>
      <c r="H513" s="1293"/>
      <c r="I513" s="1293"/>
      <c r="J513" s="1293"/>
      <c r="K513" s="1293"/>
      <c r="L513" s="1293"/>
      <c r="M513" s="1698">
        <f>'New (new) quarts'!BD105-M503</f>
        <v>172.30399999999997</v>
      </c>
      <c r="N513" s="1293"/>
      <c r="O513" s="1293"/>
      <c r="P513" s="1293"/>
      <c r="Q513" s="1293"/>
      <c r="R513" s="1293"/>
      <c r="S513" s="1293"/>
      <c r="T513" s="1293"/>
      <c r="U513" s="1293"/>
      <c r="V513" s="1293"/>
      <c r="W513" s="1293"/>
      <c r="X513" s="1293"/>
      <c r="Y513" s="1293"/>
      <c r="Z513" s="1293"/>
      <c r="AA513" s="1293"/>
      <c r="AB513" s="1293"/>
      <c r="AC513" s="1293"/>
      <c r="AD513" s="1293"/>
      <c r="AE513" s="1293"/>
      <c r="AF513" s="1293"/>
      <c r="AG513" s="1293"/>
      <c r="AH513" s="1293"/>
      <c r="AI513" s="1293"/>
      <c r="AJ513" s="1293"/>
      <c r="AK513" s="1293"/>
      <c r="AL513" s="1293"/>
      <c r="AM513" s="1293"/>
      <c r="AN513" s="1293"/>
      <c r="AO513" s="1293"/>
      <c r="AP513" s="1293"/>
      <c r="AQ513" s="1293"/>
      <c r="AR513" s="1293"/>
      <c r="AS513" s="1293"/>
      <c r="AT513" s="1293"/>
      <c r="AU513" s="1293"/>
      <c r="AV513" s="1293"/>
      <c r="AW513" s="1293"/>
      <c r="AX513" s="1293"/>
      <c r="AY513" s="1293"/>
      <c r="AZ513" s="1293"/>
      <c r="BA513" s="1293"/>
      <c r="BB513" s="1293"/>
      <c r="BC513" s="1293"/>
      <c r="BD513" s="1293"/>
      <c r="BE513" s="1293"/>
      <c r="BF513" s="1293"/>
      <c r="BG513" s="1293"/>
      <c r="BH513" s="1293"/>
      <c r="BI513" s="1293"/>
      <c r="BJ513" s="1293"/>
      <c r="BK513" s="1293"/>
      <c r="BL513" s="1293"/>
      <c r="BM513" s="1293"/>
      <c r="BN513" s="1293"/>
      <c r="BO513" s="1293"/>
      <c r="BP513" s="1293"/>
      <c r="BQ513" s="1293"/>
      <c r="BR513" s="1293"/>
      <c r="BS513" s="1293"/>
      <c r="BT513" s="1293"/>
      <c r="BU513" s="1293"/>
      <c r="BV513" s="1293"/>
      <c r="BW513" s="1293"/>
      <c r="BX513" s="1293"/>
      <c r="BY513" s="1293"/>
      <c r="BZ513" s="1293"/>
      <c r="CA513" s="1293"/>
      <c r="CB513" s="1293"/>
      <c r="CC513" s="1293"/>
      <c r="CD513" s="1293"/>
      <c r="CE513" s="1293"/>
      <c r="CF513" s="1293"/>
      <c r="CG513" s="1293"/>
    </row>
    <row r="514" spans="1:85" ht="15.75" collapsed="1">
      <c r="A514" s="1293"/>
      <c r="B514" s="1293"/>
      <c r="C514" s="1293"/>
      <c r="D514" s="1293"/>
      <c r="E514" s="1293"/>
      <c r="F514" s="1293"/>
      <c r="G514" s="1293"/>
      <c r="H514" s="1293"/>
      <c r="I514" s="1293"/>
      <c r="J514" s="1293"/>
      <c r="K514" s="1293"/>
      <c r="L514" s="1293"/>
      <c r="M514" s="1293"/>
      <c r="N514" s="1293"/>
      <c r="O514" s="1293"/>
      <c r="P514" s="1293"/>
      <c r="Q514" s="1293"/>
      <c r="R514" s="1293"/>
      <c r="S514" s="1293"/>
      <c r="T514" s="1293"/>
      <c r="U514" s="1293"/>
      <c r="V514" s="1293"/>
      <c r="W514" s="1293"/>
      <c r="X514" s="1293"/>
      <c r="Y514" s="1293"/>
      <c r="Z514" s="1293"/>
      <c r="AA514" s="1293"/>
      <c r="AB514" s="1293"/>
      <c r="AC514" s="1293"/>
      <c r="AD514" s="1293"/>
      <c r="AE514" s="1293"/>
      <c r="AF514" s="1293"/>
      <c r="AG514" s="1293"/>
      <c r="AH514" s="1293"/>
      <c r="AI514" s="1293"/>
      <c r="AJ514" s="1293"/>
      <c r="AK514" s="1293"/>
      <c r="AL514" s="1293"/>
      <c r="AM514" s="1293"/>
      <c r="AN514" s="1293"/>
      <c r="AO514" s="1293"/>
      <c r="AP514" s="1293"/>
      <c r="AQ514" s="1293"/>
      <c r="AR514" s="1293"/>
      <c r="AS514" s="1293"/>
      <c r="AT514" s="1293"/>
      <c r="AU514" s="1293"/>
      <c r="AV514" s="1293"/>
      <c r="AW514" s="1293"/>
      <c r="AX514" s="1293"/>
      <c r="AY514" s="1293"/>
      <c r="AZ514" s="1293"/>
      <c r="BA514" s="1293"/>
      <c r="BB514" s="1293"/>
      <c r="BC514" s="1293"/>
      <c r="BD514" s="1293"/>
      <c r="BE514" s="1293"/>
      <c r="BF514" s="1293"/>
      <c r="BG514" s="1293"/>
      <c r="BH514" s="1293"/>
      <c r="BI514" s="1293"/>
      <c r="BJ514" s="1293"/>
      <c r="BK514" s="1293"/>
      <c r="BL514" s="1293"/>
      <c r="BM514" s="1293"/>
      <c r="BN514" s="1293"/>
      <c r="BO514" s="1293"/>
      <c r="BP514" s="1293"/>
      <c r="BQ514" s="1293"/>
      <c r="BR514" s="1293"/>
      <c r="BS514" s="1293"/>
      <c r="BT514" s="1293"/>
      <c r="BU514" s="1293"/>
      <c r="BV514" s="1293"/>
      <c r="BW514" s="1293"/>
      <c r="BX514" s="1293"/>
      <c r="BY514" s="1293"/>
      <c r="BZ514" s="1293"/>
      <c r="CA514" s="1293"/>
      <c r="CB514" s="1293"/>
      <c r="CC514" s="1293"/>
      <c r="CD514" s="1293"/>
      <c r="CE514" s="1293"/>
      <c r="CF514" s="1293"/>
      <c r="CG514" s="1293"/>
    </row>
    <row r="515" spans="1:85" ht="15.75">
      <c r="A515" s="1293"/>
      <c r="B515" s="1293"/>
      <c r="C515" s="1293"/>
      <c r="D515" s="1293"/>
      <c r="E515" s="1293"/>
      <c r="F515" s="1293"/>
      <c r="G515" s="1293"/>
      <c r="H515" s="1293"/>
      <c r="I515" s="1293"/>
      <c r="J515" s="1293"/>
      <c r="K515" s="1293"/>
      <c r="L515" s="1293"/>
      <c r="M515" s="1293"/>
      <c r="N515" s="1293"/>
      <c r="O515" s="1293"/>
      <c r="P515" s="1293"/>
      <c r="Q515" s="1293"/>
      <c r="R515" s="1293"/>
      <c r="S515" s="1293"/>
      <c r="T515" s="1293"/>
      <c r="U515" s="1293"/>
      <c r="V515" s="1293"/>
      <c r="W515" s="1293"/>
      <c r="X515" s="1293"/>
      <c r="Y515" s="1293"/>
      <c r="Z515" s="1293"/>
      <c r="AA515" s="1293"/>
      <c r="AB515" s="1293"/>
      <c r="AC515" s="1293"/>
      <c r="AD515" s="1293"/>
      <c r="AE515" s="1293"/>
      <c r="AF515" s="1293"/>
      <c r="AG515" s="1293"/>
      <c r="AH515" s="1293"/>
      <c r="AI515" s="1293"/>
      <c r="AJ515" s="1293"/>
      <c r="AK515" s="1293"/>
      <c r="AL515" s="1293"/>
      <c r="AM515" s="1293"/>
      <c r="AN515" s="1293"/>
      <c r="AO515" s="1293"/>
      <c r="AP515" s="1293"/>
      <c r="AQ515" s="1293"/>
      <c r="AR515" s="1293"/>
      <c r="AS515" s="1293"/>
      <c r="AT515" s="1293"/>
      <c r="AU515" s="1293"/>
      <c r="AV515" s="1293"/>
      <c r="AW515" s="1293"/>
      <c r="AX515" s="1293"/>
      <c r="AY515" s="1293"/>
      <c r="AZ515" s="1293"/>
      <c r="BA515" s="1293"/>
      <c r="BB515" s="1293"/>
      <c r="BC515" s="1293"/>
      <c r="BD515" s="1293"/>
      <c r="BE515" s="1293"/>
      <c r="BF515" s="1293"/>
      <c r="BG515" s="1293"/>
      <c r="BH515" s="1293"/>
      <c r="BI515" s="1293"/>
      <c r="BJ515" s="1293"/>
      <c r="BK515" s="1293"/>
      <c r="BL515" s="1293"/>
      <c r="BM515" s="1293"/>
      <c r="BN515" s="1293"/>
      <c r="BO515" s="1293"/>
      <c r="BP515" s="1293"/>
      <c r="BQ515" s="1293"/>
      <c r="BR515" s="1293"/>
      <c r="BS515" s="1293"/>
      <c r="BT515" s="1293"/>
      <c r="BU515" s="1293"/>
      <c r="BV515" s="1293"/>
      <c r="BW515" s="1293"/>
      <c r="BX515" s="1293"/>
      <c r="BY515" s="1293"/>
      <c r="BZ515" s="1293"/>
      <c r="CA515" s="1293"/>
      <c r="CB515" s="1293"/>
      <c r="CC515" s="1293"/>
      <c r="CD515" s="1293"/>
      <c r="CE515" s="1293"/>
      <c r="CF515" s="1293"/>
      <c r="CG515" s="1293"/>
    </row>
    <row r="516" spans="1:85" ht="15.75">
      <c r="A516" s="1293"/>
      <c r="B516" s="1293"/>
      <c r="C516" s="1293"/>
      <c r="D516" s="1293"/>
      <c r="E516" s="1293"/>
      <c r="F516" s="1293"/>
      <c r="G516" s="1293"/>
      <c r="H516" s="1293"/>
      <c r="I516" s="1293"/>
      <c r="J516" s="1293"/>
      <c r="K516" s="1293"/>
      <c r="L516" s="1293"/>
      <c r="M516" s="1293"/>
      <c r="N516" s="1293"/>
      <c r="O516" s="1293"/>
      <c r="P516" s="1293"/>
      <c r="Q516" s="1293"/>
      <c r="R516" s="1293"/>
      <c r="S516" s="1293"/>
      <c r="T516" s="1293"/>
      <c r="U516" s="1293"/>
      <c r="V516" s="1293"/>
      <c r="W516" s="1293"/>
      <c r="X516" s="1293"/>
      <c r="Y516" s="1293"/>
      <c r="Z516" s="1293"/>
      <c r="AA516" s="1293"/>
      <c r="AB516" s="1293"/>
      <c r="AC516" s="1293"/>
      <c r="AD516" s="1293"/>
      <c r="AE516" s="1293"/>
      <c r="AF516" s="1293"/>
      <c r="AG516" s="1293"/>
      <c r="AH516" s="1293"/>
      <c r="AI516" s="1293"/>
      <c r="AJ516" s="1293"/>
      <c r="AK516" s="1293"/>
      <c r="AL516" s="1293"/>
      <c r="AM516" s="1293"/>
      <c r="AN516" s="1293"/>
      <c r="AO516" s="1293"/>
      <c r="AP516" s="1293"/>
      <c r="AQ516" s="1293"/>
      <c r="AR516" s="1293"/>
      <c r="AS516" s="1293"/>
      <c r="AT516" s="1293"/>
      <c r="AU516" s="1293"/>
      <c r="AV516" s="1293"/>
      <c r="AW516" s="1293"/>
      <c r="AX516" s="1293"/>
      <c r="AY516" s="1293"/>
      <c r="AZ516" s="1293"/>
      <c r="BA516" s="1293"/>
      <c r="BB516" s="1293"/>
      <c r="BC516" s="1293"/>
      <c r="BD516" s="1293"/>
      <c r="BE516" s="1293"/>
      <c r="BF516" s="1293"/>
      <c r="BG516" s="1293"/>
      <c r="BH516" s="1293"/>
      <c r="BI516" s="1293"/>
      <c r="BJ516" s="1293"/>
      <c r="BK516" s="1293"/>
      <c r="BL516" s="1293"/>
      <c r="BM516" s="1293"/>
      <c r="BN516" s="1293"/>
      <c r="BO516" s="1293"/>
      <c r="BP516" s="1293"/>
      <c r="BQ516" s="1293"/>
      <c r="BR516" s="1293"/>
      <c r="BS516" s="1293"/>
      <c r="BT516" s="1293"/>
      <c r="BU516" s="1293"/>
      <c r="BV516" s="1293"/>
      <c r="BW516" s="1293"/>
      <c r="BX516" s="1293"/>
      <c r="BY516" s="1293"/>
      <c r="BZ516" s="1293"/>
      <c r="CA516" s="1293"/>
      <c r="CB516" s="1293"/>
      <c r="CC516" s="1293"/>
      <c r="CD516" s="1293"/>
      <c r="CE516" s="1293"/>
      <c r="CF516" s="1293"/>
      <c r="CG516" s="1293"/>
    </row>
    <row r="517" spans="1:85" ht="15.75">
      <c r="A517" s="1293"/>
      <c r="B517" s="1293"/>
      <c r="C517" s="1293"/>
      <c r="D517" s="1293"/>
      <c r="E517" s="1293"/>
      <c r="F517" s="1293"/>
      <c r="G517" s="1293"/>
      <c r="H517" s="1293"/>
      <c r="I517" s="1293"/>
      <c r="J517" s="1293"/>
      <c r="K517" s="1293"/>
      <c r="L517" s="1293"/>
      <c r="M517" s="1293"/>
      <c r="N517" s="1293"/>
      <c r="O517" s="1293"/>
      <c r="P517" s="1293"/>
      <c r="Q517" s="1293"/>
      <c r="R517" s="1293"/>
      <c r="S517" s="1293"/>
      <c r="T517" s="1293"/>
      <c r="U517" s="1293"/>
      <c r="V517" s="1293"/>
      <c r="W517" s="1293"/>
      <c r="X517" s="1293"/>
      <c r="Y517" s="1293"/>
      <c r="Z517" s="1293"/>
      <c r="AA517" s="1293"/>
      <c r="AB517" s="1293"/>
      <c r="AC517" s="1293"/>
      <c r="AD517" s="1293"/>
      <c r="AE517" s="1293"/>
      <c r="AF517" s="1293"/>
      <c r="AG517" s="1293"/>
      <c r="AH517" s="1293"/>
      <c r="AI517" s="1293"/>
      <c r="AJ517" s="1293"/>
      <c r="AK517" s="1293"/>
      <c r="AL517" s="1293"/>
      <c r="AM517" s="1293"/>
      <c r="AN517" s="1293"/>
      <c r="AO517" s="1293"/>
      <c r="AP517" s="1293"/>
      <c r="AQ517" s="1293"/>
      <c r="AR517" s="1293"/>
      <c r="AS517" s="1293"/>
      <c r="AT517" s="1293"/>
      <c r="AU517" s="1293"/>
      <c r="AV517" s="1293"/>
      <c r="AW517" s="1293"/>
      <c r="AX517" s="1293"/>
      <c r="AY517" s="1293"/>
      <c r="AZ517" s="1293"/>
      <c r="BA517" s="1293"/>
      <c r="BB517" s="1293"/>
      <c r="BC517" s="1293"/>
      <c r="BD517" s="1293"/>
      <c r="BE517" s="1293"/>
      <c r="BF517" s="1293"/>
      <c r="BG517" s="1293"/>
      <c r="BH517" s="1293"/>
      <c r="BI517" s="1293"/>
      <c r="BJ517" s="1293"/>
      <c r="BK517" s="1293"/>
      <c r="BL517" s="1293"/>
      <c r="BM517" s="1293"/>
      <c r="BN517" s="1293"/>
      <c r="BO517" s="1293"/>
      <c r="BP517" s="1293"/>
      <c r="BQ517" s="1293"/>
      <c r="BR517" s="1293"/>
      <c r="BS517" s="1293"/>
      <c r="BT517" s="1293"/>
      <c r="BU517" s="1293"/>
      <c r="BV517" s="1293"/>
      <c r="BW517" s="1293"/>
      <c r="BX517" s="1293"/>
      <c r="BY517" s="1293"/>
      <c r="BZ517" s="1293"/>
      <c r="CA517" s="1293"/>
      <c r="CB517" s="1293"/>
      <c r="CC517" s="1293"/>
      <c r="CD517" s="1293"/>
      <c r="CE517" s="1293"/>
      <c r="CF517" s="1293"/>
      <c r="CG517" s="1293"/>
    </row>
    <row r="518" spans="1:85" ht="15.75">
      <c r="A518" s="1293"/>
      <c r="B518" s="1293"/>
      <c r="C518" s="1293"/>
      <c r="D518" s="1293"/>
      <c r="E518" s="1293"/>
      <c r="F518" s="1293"/>
      <c r="G518" s="1293"/>
      <c r="H518" s="1293"/>
      <c r="I518" s="1293"/>
      <c r="J518" s="1293"/>
      <c r="K518" s="1293"/>
      <c r="L518" s="1293"/>
      <c r="M518" s="1293"/>
      <c r="N518" s="1293"/>
      <c r="O518" s="1293"/>
      <c r="P518" s="1293"/>
      <c r="Q518" s="1293"/>
      <c r="R518" s="1293"/>
      <c r="S518" s="1293"/>
      <c r="T518" s="1293"/>
      <c r="U518" s="1293"/>
      <c r="V518" s="1293"/>
      <c r="W518" s="1293"/>
      <c r="X518" s="1293"/>
      <c r="Y518" s="1293"/>
      <c r="Z518" s="1293"/>
      <c r="AA518" s="1293"/>
      <c r="AB518" s="1293"/>
      <c r="AC518" s="1293"/>
      <c r="AD518" s="1293"/>
      <c r="AE518" s="1293"/>
      <c r="AF518" s="1293"/>
      <c r="AG518" s="1293"/>
      <c r="AH518" s="1293"/>
      <c r="AI518" s="1293"/>
      <c r="AJ518" s="1293"/>
      <c r="AK518" s="1293"/>
      <c r="AL518" s="1293"/>
      <c r="AM518" s="1293"/>
      <c r="AN518" s="1293"/>
      <c r="AO518" s="1293"/>
      <c r="AP518" s="1293"/>
      <c r="AQ518" s="1293"/>
      <c r="AR518" s="1293"/>
      <c r="AS518" s="1293"/>
      <c r="AT518" s="1293"/>
      <c r="AU518" s="1293"/>
      <c r="AV518" s="1293"/>
      <c r="AW518" s="1293"/>
      <c r="AX518" s="1293"/>
      <c r="AY518" s="1293"/>
      <c r="AZ518" s="1293"/>
      <c r="BA518" s="1293"/>
      <c r="BB518" s="1293"/>
      <c r="BC518" s="1293"/>
      <c r="BD518" s="1293"/>
      <c r="BE518" s="1293"/>
      <c r="BF518" s="1293"/>
      <c r="BG518" s="1293"/>
      <c r="BH518" s="1293"/>
      <c r="BI518" s="1293"/>
      <c r="BJ518" s="1293"/>
      <c r="BK518" s="1293"/>
      <c r="BL518" s="1293"/>
      <c r="BM518" s="1293"/>
      <c r="BN518" s="1293"/>
      <c r="BO518" s="1293"/>
      <c r="BP518" s="1293"/>
      <c r="BQ518" s="1293"/>
      <c r="BR518" s="1293"/>
      <c r="BS518" s="1293"/>
      <c r="BT518" s="1293"/>
      <c r="BU518" s="1293"/>
      <c r="BV518" s="1293"/>
      <c r="BW518" s="1293"/>
      <c r="BX518" s="1293"/>
      <c r="BY518" s="1293"/>
      <c r="BZ518" s="1293"/>
      <c r="CA518" s="1293"/>
      <c r="CB518" s="1293"/>
      <c r="CC518" s="1293"/>
      <c r="CD518" s="1293"/>
      <c r="CE518" s="1293"/>
      <c r="CF518" s="1293"/>
      <c r="CG518" s="1293"/>
    </row>
    <row r="519" spans="1:85" ht="15.75">
      <c r="A519" s="1293"/>
      <c r="B519" s="1293"/>
      <c r="C519" s="1293"/>
      <c r="D519" s="1293"/>
      <c r="E519" s="1293"/>
      <c r="F519" s="1293"/>
      <c r="G519" s="1293"/>
      <c r="H519" s="1293"/>
      <c r="I519" s="1293"/>
      <c r="J519" s="1293"/>
      <c r="K519" s="1293"/>
      <c r="L519" s="1293"/>
      <c r="M519" s="1293"/>
      <c r="N519" s="1293"/>
      <c r="O519" s="1293"/>
      <c r="P519" s="1293"/>
      <c r="Q519" s="1293"/>
      <c r="R519" s="1293"/>
      <c r="S519" s="1293"/>
      <c r="T519" s="1293"/>
      <c r="U519" s="1293"/>
      <c r="V519" s="1293"/>
      <c r="W519" s="1293"/>
      <c r="X519" s="1293"/>
      <c r="Y519" s="1293"/>
      <c r="Z519" s="1293"/>
      <c r="AA519" s="1293"/>
      <c r="AB519" s="1293"/>
      <c r="AC519" s="1293"/>
      <c r="AD519" s="1293"/>
      <c r="AE519" s="1293"/>
      <c r="AF519" s="1293"/>
      <c r="AG519" s="1293"/>
      <c r="AH519" s="1293"/>
      <c r="AI519" s="1293"/>
      <c r="AJ519" s="1293"/>
      <c r="AK519" s="1293"/>
      <c r="AL519" s="1293"/>
      <c r="AM519" s="1293"/>
      <c r="AN519" s="1293"/>
      <c r="AO519" s="1293"/>
      <c r="AP519" s="1293"/>
      <c r="AQ519" s="1293"/>
      <c r="AR519" s="1293"/>
      <c r="AS519" s="1293"/>
      <c r="AT519" s="1293"/>
      <c r="AU519" s="1293"/>
      <c r="AV519" s="1293"/>
      <c r="AW519" s="1293"/>
      <c r="AX519" s="1293"/>
      <c r="AY519" s="1293"/>
      <c r="AZ519" s="1293"/>
      <c r="BA519" s="1293"/>
      <c r="BB519" s="1293"/>
      <c r="BC519" s="1293"/>
      <c r="BD519" s="1293"/>
      <c r="BE519" s="1293"/>
      <c r="BF519" s="1293"/>
      <c r="BG519" s="1293"/>
      <c r="BH519" s="1293"/>
      <c r="BI519" s="1293"/>
      <c r="BJ519" s="1293"/>
      <c r="BK519" s="1293"/>
      <c r="BL519" s="1293"/>
      <c r="BM519" s="1293"/>
      <c r="BN519" s="1293"/>
      <c r="BO519" s="1293"/>
      <c r="BP519" s="1293"/>
      <c r="BQ519" s="1293"/>
      <c r="BR519" s="1293"/>
      <c r="BS519" s="1293"/>
      <c r="BT519" s="1293"/>
      <c r="BU519" s="1293"/>
      <c r="BV519" s="1293"/>
      <c r="BW519" s="1293"/>
      <c r="BX519" s="1293"/>
      <c r="BY519" s="1293"/>
      <c r="BZ519" s="1293"/>
      <c r="CA519" s="1293"/>
      <c r="CB519" s="1293"/>
      <c r="CC519" s="1293"/>
      <c r="CD519" s="1293"/>
      <c r="CE519" s="1293"/>
      <c r="CF519" s="1293"/>
      <c r="CG519" s="1293"/>
    </row>
    <row r="520" spans="1:85" ht="15.75">
      <c r="A520" s="1293"/>
      <c r="B520" s="1293"/>
      <c r="C520" s="1293"/>
      <c r="D520" s="1293"/>
      <c r="E520" s="1293"/>
      <c r="F520" s="1293"/>
      <c r="G520" s="1293"/>
      <c r="H520" s="1293"/>
      <c r="I520" s="1293"/>
      <c r="J520" s="1293"/>
      <c r="K520" s="1293"/>
      <c r="L520" s="1293"/>
      <c r="M520" s="1293"/>
      <c r="N520" s="1293"/>
      <c r="O520" s="1293"/>
      <c r="P520" s="1293"/>
      <c r="Q520" s="1293"/>
      <c r="R520" s="1293"/>
      <c r="S520" s="1293"/>
      <c r="T520" s="1293"/>
      <c r="U520" s="1293"/>
      <c r="V520" s="1293"/>
      <c r="W520" s="1293"/>
      <c r="X520" s="1293"/>
      <c r="Y520" s="1293"/>
      <c r="Z520" s="1293"/>
      <c r="AA520" s="1293"/>
      <c r="AB520" s="1293"/>
      <c r="AC520" s="1293"/>
      <c r="AD520" s="1293"/>
      <c r="AE520" s="1293"/>
      <c r="AF520" s="1293"/>
      <c r="AG520" s="1293"/>
      <c r="AH520" s="1293"/>
      <c r="AI520" s="1293"/>
      <c r="AJ520" s="1293"/>
      <c r="AK520" s="1293"/>
      <c r="AL520" s="1293"/>
      <c r="AM520" s="1293"/>
      <c r="AN520" s="1293"/>
      <c r="AO520" s="1293"/>
      <c r="AP520" s="1293"/>
      <c r="AQ520" s="1293"/>
      <c r="AR520" s="1293"/>
      <c r="AS520" s="1293"/>
      <c r="AT520" s="1293"/>
      <c r="AU520" s="1293"/>
      <c r="AV520" s="1293"/>
      <c r="AW520" s="1293"/>
      <c r="AX520" s="1293"/>
      <c r="AY520" s="1293"/>
      <c r="AZ520" s="1293"/>
      <c r="BA520" s="1293"/>
      <c r="BB520" s="1293"/>
      <c r="BC520" s="1293"/>
      <c r="BD520" s="1293"/>
      <c r="BE520" s="1293"/>
      <c r="BF520" s="1293"/>
      <c r="BG520" s="1293"/>
      <c r="BH520" s="1293"/>
      <c r="BI520" s="1293"/>
      <c r="BJ520" s="1293"/>
      <c r="BK520" s="1293"/>
      <c r="BL520" s="1293"/>
      <c r="BM520" s="1293"/>
      <c r="BN520" s="1293"/>
      <c r="BO520" s="1293"/>
      <c r="BP520" s="1293"/>
      <c r="BQ520" s="1293"/>
      <c r="BR520" s="1293"/>
      <c r="BS520" s="1293"/>
      <c r="BT520" s="1293"/>
      <c r="BU520" s="1293"/>
      <c r="BV520" s="1293"/>
      <c r="BW520" s="1293"/>
      <c r="BX520" s="1293"/>
      <c r="BY520" s="1293"/>
      <c r="BZ520" s="1293"/>
      <c r="CA520" s="1293"/>
      <c r="CB520" s="1293"/>
      <c r="CC520" s="1293"/>
      <c r="CD520" s="1293"/>
      <c r="CE520" s="1293"/>
      <c r="CF520" s="1293"/>
      <c r="CG520" s="1293"/>
    </row>
    <row r="521" spans="1:85" ht="15.75">
      <c r="A521" s="1293"/>
      <c r="B521" s="1293"/>
      <c r="C521" s="1293"/>
      <c r="D521" s="1293"/>
      <c r="E521" s="1293"/>
      <c r="F521" s="1293"/>
      <c r="G521" s="1293"/>
      <c r="H521" s="1293"/>
      <c r="I521" s="1293"/>
      <c r="J521" s="1293"/>
      <c r="K521" s="1293"/>
      <c r="L521" s="1293"/>
      <c r="M521" s="1293"/>
      <c r="N521" s="1293"/>
      <c r="O521" s="1293"/>
      <c r="P521" s="1293"/>
      <c r="Q521" s="1293"/>
      <c r="R521" s="1293"/>
      <c r="S521" s="1293"/>
      <c r="T521" s="1293"/>
      <c r="U521" s="1293"/>
      <c r="V521" s="1293"/>
      <c r="W521" s="1293"/>
      <c r="X521" s="1293"/>
      <c r="Y521" s="1293"/>
      <c r="Z521" s="1293"/>
      <c r="AA521" s="1293"/>
      <c r="AB521" s="1293"/>
      <c r="AC521" s="1293"/>
      <c r="AD521" s="1293"/>
      <c r="AE521" s="1293"/>
      <c r="AF521" s="1293"/>
      <c r="AG521" s="1293"/>
      <c r="AH521" s="1293"/>
      <c r="AI521" s="1293"/>
      <c r="AJ521" s="1293"/>
      <c r="AK521" s="1293"/>
      <c r="AL521" s="1293"/>
      <c r="AM521" s="1293"/>
      <c r="AN521" s="1293"/>
      <c r="AO521" s="1293"/>
      <c r="AP521" s="1293"/>
      <c r="AQ521" s="1293"/>
      <c r="AR521" s="1293"/>
      <c r="AS521" s="1293"/>
      <c r="AT521" s="1293"/>
      <c r="AU521" s="1293"/>
      <c r="AV521" s="1293"/>
      <c r="AW521" s="1293"/>
      <c r="AX521" s="1293"/>
      <c r="AY521" s="1293"/>
      <c r="AZ521" s="1293"/>
      <c r="BA521" s="1293"/>
      <c r="BB521" s="1293"/>
      <c r="BC521" s="1293"/>
      <c r="BD521" s="1293"/>
      <c r="BE521" s="1293"/>
      <c r="BF521" s="1293"/>
      <c r="BG521" s="1293"/>
      <c r="BH521" s="1293"/>
      <c r="BI521" s="1293"/>
      <c r="BJ521" s="1293"/>
      <c r="BK521" s="1293"/>
      <c r="BL521" s="1293"/>
      <c r="BM521" s="1293"/>
      <c r="BN521" s="1293"/>
      <c r="BO521" s="1293"/>
      <c r="BP521" s="1293"/>
      <c r="BQ521" s="1293"/>
      <c r="BR521" s="1293"/>
      <c r="BS521" s="1293"/>
      <c r="BT521" s="1293"/>
      <c r="BU521" s="1293"/>
      <c r="BV521" s="1293"/>
      <c r="BW521" s="1293"/>
      <c r="BX521" s="1293"/>
      <c r="BY521" s="1293"/>
      <c r="BZ521" s="1293"/>
      <c r="CA521" s="1293"/>
      <c r="CB521" s="1293"/>
      <c r="CC521" s="1293"/>
      <c r="CD521" s="1293"/>
      <c r="CE521" s="1293"/>
      <c r="CF521" s="1293"/>
      <c r="CG521" s="1293"/>
    </row>
    <row r="522" spans="1:85" ht="15.75">
      <c r="A522" s="1293"/>
      <c r="B522" s="1293"/>
      <c r="C522" s="1293"/>
      <c r="D522" s="1293"/>
      <c r="E522" s="1293"/>
      <c r="F522" s="1293"/>
      <c r="G522" s="1293"/>
      <c r="H522" s="1293"/>
      <c r="I522" s="1293"/>
      <c r="J522" s="1293"/>
      <c r="K522" s="1293"/>
      <c r="L522" s="1293"/>
      <c r="M522" s="1293"/>
      <c r="N522" s="1293"/>
      <c r="O522" s="1293"/>
      <c r="P522" s="1293"/>
      <c r="Q522" s="1293"/>
      <c r="R522" s="1293"/>
      <c r="S522" s="1293"/>
      <c r="T522" s="1293"/>
      <c r="U522" s="1293"/>
      <c r="V522" s="1293"/>
      <c r="W522" s="1293"/>
      <c r="X522" s="1293"/>
      <c r="Y522" s="1293"/>
      <c r="Z522" s="1293"/>
      <c r="AA522" s="1293"/>
      <c r="AB522" s="1293"/>
      <c r="AC522" s="1293"/>
      <c r="AD522" s="1293"/>
      <c r="AE522" s="1293"/>
      <c r="AF522" s="1293"/>
      <c r="AG522" s="1293"/>
      <c r="AH522" s="1293"/>
      <c r="AI522" s="1293"/>
      <c r="AJ522" s="1293"/>
      <c r="AK522" s="1293"/>
      <c r="AL522" s="1293"/>
      <c r="AM522" s="1293"/>
      <c r="AN522" s="1293"/>
      <c r="AO522" s="1293"/>
      <c r="AP522" s="1293"/>
      <c r="AQ522" s="1293"/>
      <c r="AR522" s="1293"/>
      <c r="AS522" s="1293"/>
      <c r="AT522" s="1293"/>
      <c r="AU522" s="1293"/>
      <c r="AV522" s="1293"/>
      <c r="AW522" s="1293"/>
      <c r="AX522" s="1293"/>
      <c r="AY522" s="1293"/>
      <c r="AZ522" s="1293"/>
      <c r="BA522" s="1293"/>
      <c r="BB522" s="1293"/>
      <c r="BC522" s="1293"/>
      <c r="BD522" s="1293"/>
      <c r="BE522" s="1293"/>
      <c r="BF522" s="1293"/>
      <c r="BG522" s="1293"/>
      <c r="BH522" s="1293"/>
      <c r="BI522" s="1293"/>
      <c r="BJ522" s="1293"/>
      <c r="BK522" s="1293"/>
      <c r="BL522" s="1293"/>
      <c r="BM522" s="1293"/>
      <c r="BN522" s="1293"/>
      <c r="BO522" s="1293"/>
      <c r="BP522" s="1293"/>
      <c r="BQ522" s="1293"/>
      <c r="BR522" s="1293"/>
      <c r="BS522" s="1293"/>
      <c r="BT522" s="1293"/>
      <c r="BU522" s="1293"/>
      <c r="BV522" s="1293"/>
      <c r="BW522" s="1293"/>
      <c r="BX522" s="1293"/>
      <c r="BY522" s="1293"/>
      <c r="BZ522" s="1293"/>
      <c r="CA522" s="1293"/>
      <c r="CB522" s="1293"/>
      <c r="CC522" s="1293"/>
      <c r="CD522" s="1293"/>
      <c r="CE522" s="1293"/>
      <c r="CF522" s="1293"/>
      <c r="CG522" s="1293"/>
    </row>
    <row r="523" spans="1:85" ht="15.75">
      <c r="A523" s="1293"/>
      <c r="B523" s="1293"/>
      <c r="C523" s="1293"/>
      <c r="D523" s="1293"/>
      <c r="E523" s="1293"/>
      <c r="F523" s="1293"/>
      <c r="G523" s="1293"/>
      <c r="H523" s="1293"/>
      <c r="I523" s="1293"/>
      <c r="J523" s="1293"/>
      <c r="K523" s="1293"/>
      <c r="L523" s="1293"/>
      <c r="M523" s="1293"/>
      <c r="N523" s="1293"/>
      <c r="O523" s="1293"/>
      <c r="P523" s="1293"/>
      <c r="Q523" s="1293"/>
      <c r="R523" s="1293"/>
      <c r="S523" s="1293"/>
      <c r="T523" s="1293"/>
      <c r="U523" s="1293"/>
      <c r="V523" s="1293"/>
      <c r="W523" s="1293"/>
      <c r="X523" s="1293"/>
      <c r="Y523" s="1293"/>
      <c r="Z523" s="1293"/>
      <c r="AA523" s="1293"/>
      <c r="AB523" s="1293"/>
      <c r="AC523" s="1293"/>
      <c r="AD523" s="1293"/>
      <c r="AE523" s="1293"/>
      <c r="AF523" s="1293"/>
      <c r="AG523" s="1293"/>
      <c r="AH523" s="1293"/>
      <c r="AI523" s="1293"/>
      <c r="AJ523" s="1293"/>
      <c r="AK523" s="1293"/>
      <c r="AL523" s="1293"/>
      <c r="AM523" s="1293"/>
      <c r="AN523" s="1293"/>
      <c r="AO523" s="1293"/>
      <c r="AP523" s="1293"/>
      <c r="AQ523" s="1293"/>
      <c r="AR523" s="1293"/>
      <c r="AS523" s="1293"/>
      <c r="AT523" s="1293"/>
      <c r="AU523" s="1293"/>
      <c r="AV523" s="1293"/>
      <c r="AW523" s="1293"/>
      <c r="AX523" s="1293"/>
      <c r="AY523" s="1293"/>
      <c r="AZ523" s="1293"/>
      <c r="BA523" s="1293"/>
      <c r="BB523" s="1293"/>
      <c r="BC523" s="1293"/>
      <c r="BD523" s="1293"/>
      <c r="BE523" s="1293"/>
      <c r="BF523" s="1293"/>
      <c r="BG523" s="1293"/>
      <c r="BH523" s="1293"/>
      <c r="BI523" s="1293"/>
      <c r="BJ523" s="1293"/>
      <c r="BK523" s="1293"/>
      <c r="BL523" s="1293"/>
      <c r="BM523" s="1293"/>
      <c r="BN523" s="1293"/>
      <c r="BO523" s="1293"/>
      <c r="BP523" s="1293"/>
      <c r="BQ523" s="1293"/>
      <c r="BR523" s="1293"/>
      <c r="BS523" s="1293"/>
      <c r="BT523" s="1293"/>
      <c r="BU523" s="1293"/>
      <c r="BV523" s="1293"/>
      <c r="BW523" s="1293"/>
      <c r="BX523" s="1293"/>
      <c r="BY523" s="1293"/>
      <c r="BZ523" s="1293"/>
      <c r="CA523" s="1293"/>
      <c r="CB523" s="1293"/>
      <c r="CC523" s="1293"/>
      <c r="CD523" s="1293"/>
      <c r="CE523" s="1293"/>
      <c r="CF523" s="1293"/>
      <c r="CG523" s="1293"/>
    </row>
    <row r="524" spans="1:85" ht="15.75">
      <c r="A524" s="1293"/>
      <c r="B524" s="1293"/>
      <c r="C524" s="1293"/>
      <c r="D524" s="1293"/>
      <c r="E524" s="1293"/>
      <c r="F524" s="1293"/>
      <c r="G524" s="1293"/>
      <c r="H524" s="1293"/>
      <c r="I524" s="1293"/>
      <c r="J524" s="1293"/>
      <c r="K524" s="1293"/>
      <c r="L524" s="1293"/>
      <c r="M524" s="1293"/>
      <c r="N524" s="1293"/>
      <c r="O524" s="1293"/>
      <c r="P524" s="1293"/>
      <c r="Q524" s="1293"/>
      <c r="R524" s="1293"/>
      <c r="S524" s="1293"/>
      <c r="T524" s="1293"/>
      <c r="U524" s="1293"/>
      <c r="V524" s="1293"/>
      <c r="W524" s="1293"/>
      <c r="X524" s="1293"/>
      <c r="Y524" s="1293"/>
      <c r="Z524" s="1293"/>
      <c r="AA524" s="1293"/>
      <c r="AB524" s="1293"/>
      <c r="AC524" s="1293"/>
      <c r="AD524" s="1293"/>
      <c r="AE524" s="1293"/>
      <c r="AF524" s="1293"/>
      <c r="AG524" s="1293"/>
      <c r="AH524" s="1293"/>
      <c r="AI524" s="1293"/>
      <c r="AJ524" s="1293"/>
      <c r="AK524" s="1293"/>
      <c r="AL524" s="1293"/>
      <c r="AM524" s="1293"/>
      <c r="AN524" s="1293"/>
      <c r="AO524" s="1293"/>
      <c r="AP524" s="1293"/>
      <c r="AQ524" s="1293"/>
      <c r="AR524" s="1293"/>
      <c r="AS524" s="1293"/>
      <c r="AT524" s="1293"/>
      <c r="AU524" s="1293"/>
      <c r="AV524" s="1293"/>
      <c r="AW524" s="1293"/>
      <c r="AX524" s="1293"/>
      <c r="AY524" s="1293"/>
      <c r="AZ524" s="1293"/>
      <c r="BA524" s="1293"/>
      <c r="BB524" s="1293"/>
      <c r="BC524" s="1293"/>
      <c r="BD524" s="1293"/>
      <c r="BE524" s="1293"/>
      <c r="BF524" s="1293"/>
      <c r="BG524" s="1293"/>
      <c r="BH524" s="1293"/>
      <c r="BI524" s="1293"/>
      <c r="BJ524" s="1293"/>
      <c r="BK524" s="1293"/>
      <c r="BL524" s="1293"/>
      <c r="BM524" s="1293"/>
      <c r="BN524" s="1293"/>
      <c r="BO524" s="1293"/>
      <c r="BP524" s="1293"/>
      <c r="BQ524" s="1293"/>
      <c r="BR524" s="1293"/>
      <c r="BS524" s="1293"/>
      <c r="BT524" s="1293"/>
      <c r="BU524" s="1293"/>
      <c r="BV524" s="1293"/>
      <c r="BW524" s="1293"/>
      <c r="BX524" s="1293"/>
      <c r="BY524" s="1293"/>
      <c r="BZ524" s="1293"/>
      <c r="CA524" s="1293"/>
      <c r="CB524" s="1293"/>
      <c r="CC524" s="1293"/>
      <c r="CD524" s="1293"/>
      <c r="CE524" s="1293"/>
      <c r="CF524" s="1293"/>
      <c r="CG524" s="1293"/>
    </row>
    <row r="525" spans="1:85" ht="15.75">
      <c r="A525" s="1293"/>
      <c r="B525" s="1293"/>
      <c r="C525" s="1293"/>
      <c r="D525" s="1293"/>
      <c r="E525" s="1293"/>
      <c r="F525" s="1293"/>
      <c r="G525" s="1293"/>
      <c r="H525" s="1293"/>
      <c r="I525" s="1293"/>
      <c r="J525" s="1293"/>
      <c r="K525" s="1293"/>
      <c r="L525" s="1293"/>
      <c r="M525" s="1293"/>
      <c r="N525" s="1293"/>
      <c r="O525" s="1293"/>
      <c r="P525" s="1293"/>
      <c r="Q525" s="1293"/>
      <c r="R525" s="1293"/>
      <c r="S525" s="1293"/>
      <c r="T525" s="1293"/>
      <c r="U525" s="1293"/>
      <c r="V525" s="1293"/>
      <c r="W525" s="1293"/>
      <c r="X525" s="1293"/>
      <c r="Y525" s="1293"/>
      <c r="Z525" s="1293"/>
      <c r="AA525" s="1293"/>
      <c r="AB525" s="1293"/>
      <c r="AC525" s="1293"/>
      <c r="AD525" s="1293"/>
      <c r="AE525" s="1293"/>
      <c r="AF525" s="1293"/>
      <c r="AG525" s="1293"/>
      <c r="AH525" s="1293"/>
      <c r="AI525" s="1293"/>
      <c r="AJ525" s="1293"/>
      <c r="AK525" s="1293"/>
      <c r="AL525" s="1293"/>
      <c r="AM525" s="1293"/>
      <c r="AN525" s="1293"/>
      <c r="AO525" s="1293"/>
      <c r="AP525" s="1293"/>
      <c r="AQ525" s="1293"/>
      <c r="AR525" s="1293"/>
      <c r="AS525" s="1293"/>
      <c r="AT525" s="1293"/>
      <c r="AU525" s="1293"/>
      <c r="AV525" s="1293"/>
      <c r="AW525" s="1293"/>
      <c r="AX525" s="1293"/>
      <c r="AY525" s="1293"/>
      <c r="AZ525" s="1293"/>
      <c r="BA525" s="1293"/>
      <c r="BB525" s="1293"/>
      <c r="BC525" s="1293"/>
      <c r="BD525" s="1293"/>
      <c r="BE525" s="1293"/>
      <c r="BF525" s="1293"/>
      <c r="BG525" s="1293"/>
      <c r="BH525" s="1293"/>
      <c r="BI525" s="1293"/>
      <c r="BJ525" s="1293"/>
      <c r="BK525" s="1293"/>
      <c r="BL525" s="1293"/>
      <c r="BM525" s="1293"/>
      <c r="BN525" s="1293"/>
      <c r="BO525" s="1293"/>
      <c r="BP525" s="1293"/>
      <c r="BQ525" s="1293"/>
      <c r="BR525" s="1293"/>
      <c r="BS525" s="1293"/>
      <c r="BT525" s="1293"/>
      <c r="BU525" s="1293"/>
      <c r="BV525" s="1293"/>
      <c r="BW525" s="1293"/>
      <c r="BX525" s="1293"/>
      <c r="BY525" s="1293"/>
      <c r="BZ525" s="1293"/>
      <c r="CA525" s="1293"/>
      <c r="CB525" s="1293"/>
      <c r="CC525" s="1293"/>
      <c r="CD525" s="1293"/>
      <c r="CE525" s="1293"/>
      <c r="CF525" s="1293"/>
      <c r="CG525" s="1293"/>
    </row>
    <row r="526" spans="1:85" ht="15.75">
      <c r="A526" s="1293"/>
      <c r="B526" s="1293"/>
      <c r="C526" s="1293"/>
      <c r="D526" s="1293"/>
      <c r="E526" s="1293"/>
      <c r="F526" s="1293"/>
      <c r="G526" s="1293"/>
      <c r="H526" s="1293"/>
      <c r="I526" s="1293"/>
      <c r="J526" s="1293"/>
      <c r="K526" s="1293"/>
      <c r="L526" s="1293"/>
      <c r="M526" s="1293"/>
      <c r="N526" s="1293"/>
      <c r="O526" s="1293"/>
      <c r="P526" s="1293"/>
      <c r="Q526" s="1293"/>
      <c r="R526" s="1293"/>
      <c r="S526" s="1293"/>
      <c r="T526" s="1293"/>
      <c r="U526" s="1293"/>
      <c r="V526" s="1293"/>
      <c r="W526" s="1293"/>
      <c r="X526" s="1293"/>
      <c r="Y526" s="1293"/>
      <c r="Z526" s="1293"/>
      <c r="AA526" s="1293"/>
      <c r="AB526" s="1293"/>
      <c r="AC526" s="1293"/>
      <c r="AD526" s="1293"/>
      <c r="AE526" s="1293"/>
      <c r="AF526" s="1293"/>
      <c r="AG526" s="1293"/>
      <c r="AH526" s="1293"/>
      <c r="AI526" s="1293"/>
      <c r="AJ526" s="1293"/>
      <c r="AK526" s="1293"/>
      <c r="AL526" s="1293"/>
      <c r="AM526" s="1293"/>
      <c r="AN526" s="1293"/>
      <c r="AO526" s="1293"/>
      <c r="AP526" s="1293"/>
      <c r="AQ526" s="1293"/>
      <c r="AR526" s="1293"/>
      <c r="AS526" s="1293"/>
      <c r="AT526" s="1293"/>
      <c r="AU526" s="1293"/>
      <c r="AV526" s="1293"/>
      <c r="AW526" s="1293"/>
      <c r="AX526" s="1293"/>
      <c r="AY526" s="1293"/>
      <c r="AZ526" s="1293"/>
      <c r="BA526" s="1293"/>
      <c r="BB526" s="1293"/>
      <c r="BC526" s="1293"/>
      <c r="BD526" s="1293"/>
      <c r="BE526" s="1293"/>
      <c r="BF526" s="1293"/>
      <c r="BG526" s="1293"/>
      <c r="BH526" s="1293"/>
      <c r="BI526" s="1293"/>
      <c r="BJ526" s="1293"/>
      <c r="BK526" s="1293"/>
      <c r="BL526" s="1293"/>
      <c r="BM526" s="1293"/>
      <c r="BN526" s="1293"/>
      <c r="BO526" s="1293"/>
      <c r="BP526" s="1293"/>
      <c r="BQ526" s="1293"/>
      <c r="BR526" s="1293"/>
      <c r="BS526" s="1293"/>
      <c r="BT526" s="1293"/>
      <c r="BU526" s="1293"/>
      <c r="BV526" s="1293"/>
      <c r="BW526" s="1293"/>
      <c r="BX526" s="1293"/>
      <c r="BY526" s="1293"/>
      <c r="BZ526" s="1293"/>
      <c r="CA526" s="1293"/>
      <c r="CB526" s="1293"/>
      <c r="CC526" s="1293"/>
      <c r="CD526" s="1293"/>
      <c r="CE526" s="1293"/>
      <c r="CF526" s="1293"/>
      <c r="CG526" s="1293"/>
    </row>
    <row r="527" spans="1:85" ht="15.75">
      <c r="A527" s="1293"/>
      <c r="B527" s="1293"/>
      <c r="C527" s="1293"/>
      <c r="D527" s="1293"/>
      <c r="E527" s="1293"/>
      <c r="F527" s="1293"/>
      <c r="G527" s="1293"/>
      <c r="H527" s="1293"/>
      <c r="I527" s="1293"/>
      <c r="J527" s="1293"/>
      <c r="K527" s="1293"/>
      <c r="L527" s="1293"/>
      <c r="M527" s="1293"/>
      <c r="N527" s="1293"/>
      <c r="O527" s="1293"/>
      <c r="P527" s="1293"/>
      <c r="Q527" s="1293"/>
      <c r="R527" s="1293"/>
      <c r="S527" s="1293"/>
      <c r="T527" s="1293"/>
      <c r="U527" s="1293"/>
      <c r="V527" s="1293"/>
      <c r="W527" s="1293"/>
      <c r="X527" s="1293"/>
      <c r="Y527" s="1293"/>
      <c r="Z527" s="1293"/>
      <c r="AA527" s="1293"/>
      <c r="AB527" s="1293"/>
      <c r="AC527" s="1293"/>
      <c r="AD527" s="1293"/>
      <c r="AE527" s="1293"/>
      <c r="AF527" s="1293"/>
      <c r="AG527" s="1293"/>
      <c r="AH527" s="1293"/>
      <c r="AI527" s="1293"/>
      <c r="AJ527" s="1293"/>
      <c r="AK527" s="1293"/>
      <c r="AL527" s="1293"/>
      <c r="AM527" s="1293"/>
      <c r="AN527" s="1293"/>
      <c r="AO527" s="1293"/>
      <c r="AP527" s="1293"/>
      <c r="AQ527" s="1293"/>
      <c r="AR527" s="1293"/>
      <c r="AS527" s="1293"/>
      <c r="AT527" s="1293"/>
      <c r="AU527" s="1293"/>
      <c r="AV527" s="1293"/>
      <c r="AW527" s="1293"/>
      <c r="AX527" s="1293"/>
      <c r="AY527" s="1293"/>
      <c r="AZ527" s="1293"/>
      <c r="BA527" s="1293"/>
      <c r="BB527" s="1293"/>
      <c r="BC527" s="1293"/>
      <c r="BD527" s="1293"/>
      <c r="BE527" s="1293"/>
      <c r="BF527" s="1293"/>
      <c r="BG527" s="1293"/>
      <c r="BH527" s="1293"/>
      <c r="BI527" s="1293"/>
      <c r="BJ527" s="1293"/>
      <c r="BK527" s="1293"/>
      <c r="BL527" s="1293"/>
      <c r="BM527" s="1293"/>
      <c r="BN527" s="1293"/>
      <c r="BO527" s="1293"/>
      <c r="BP527" s="1293"/>
      <c r="BQ527" s="1293"/>
      <c r="BR527" s="1293"/>
      <c r="BS527" s="1293"/>
      <c r="BT527" s="1293"/>
      <c r="BU527" s="1293"/>
      <c r="BV527" s="1293"/>
      <c r="BW527" s="1293"/>
      <c r="BX527" s="1293"/>
      <c r="BY527" s="1293"/>
      <c r="BZ527" s="1293"/>
      <c r="CA527" s="1293"/>
      <c r="CB527" s="1293"/>
      <c r="CC527" s="1293"/>
      <c r="CD527" s="1293"/>
      <c r="CE527" s="1293"/>
      <c r="CF527" s="1293"/>
      <c r="CG527" s="1293"/>
    </row>
    <row r="528" spans="1:85" ht="15.75">
      <c r="A528" s="1293"/>
      <c r="B528" s="1293"/>
      <c r="C528" s="1293"/>
      <c r="D528" s="1293"/>
      <c r="E528" s="1293"/>
      <c r="F528" s="1293"/>
      <c r="G528" s="1293"/>
      <c r="H528" s="1293"/>
      <c r="I528" s="1293"/>
      <c r="J528" s="1293"/>
      <c r="K528" s="1293"/>
      <c r="L528" s="1293"/>
      <c r="M528" s="1293"/>
      <c r="N528" s="1293"/>
      <c r="O528" s="1293"/>
      <c r="P528" s="1293"/>
      <c r="Q528" s="1293"/>
      <c r="R528" s="1293"/>
      <c r="S528" s="1293"/>
      <c r="T528" s="1293"/>
      <c r="U528" s="1293"/>
      <c r="V528" s="1293"/>
      <c r="W528" s="1293"/>
      <c r="X528" s="1293"/>
      <c r="Y528" s="1293"/>
      <c r="Z528" s="1293"/>
      <c r="AA528" s="1293"/>
      <c r="AB528" s="1293"/>
      <c r="AC528" s="1293"/>
      <c r="AD528" s="1293"/>
      <c r="AE528" s="1293"/>
      <c r="AF528" s="1293"/>
      <c r="AG528" s="1293"/>
      <c r="AH528" s="1293"/>
      <c r="AI528" s="1293"/>
      <c r="AJ528" s="1293"/>
      <c r="AK528" s="1293"/>
      <c r="AL528" s="1293"/>
      <c r="AM528" s="1293"/>
      <c r="AN528" s="1293"/>
      <c r="AO528" s="1293"/>
      <c r="AP528" s="1293"/>
      <c r="AQ528" s="1293"/>
      <c r="AR528" s="1293"/>
      <c r="AS528" s="1293"/>
      <c r="AT528" s="1293"/>
      <c r="AU528" s="1293"/>
      <c r="AV528" s="1293"/>
      <c r="AW528" s="1293"/>
      <c r="AX528" s="1293"/>
      <c r="AY528" s="1293"/>
      <c r="AZ528" s="1293"/>
      <c r="BA528" s="1293"/>
      <c r="BB528" s="1293"/>
      <c r="BC528" s="1293"/>
      <c r="BD528" s="1293"/>
      <c r="BE528" s="1293"/>
      <c r="BF528" s="1293"/>
      <c r="BG528" s="1293"/>
      <c r="BH528" s="1293"/>
      <c r="BI528" s="1293"/>
      <c r="BJ528" s="1293"/>
      <c r="BK528" s="1293"/>
      <c r="BL528" s="1293"/>
      <c r="BM528" s="1293"/>
      <c r="BN528" s="1293"/>
      <c r="BO528" s="1293"/>
      <c r="BP528" s="1293"/>
      <c r="BQ528" s="1293"/>
      <c r="BR528" s="1293"/>
      <c r="BS528" s="1293"/>
      <c r="BT528" s="1293"/>
      <c r="BU528" s="1293"/>
      <c r="BV528" s="1293"/>
      <c r="BW528" s="1293"/>
      <c r="BX528" s="1293"/>
      <c r="BY528" s="1293"/>
      <c r="BZ528" s="1293"/>
      <c r="CA528" s="1293"/>
      <c r="CB528" s="1293"/>
      <c r="CC528" s="1293"/>
      <c r="CD528" s="1293"/>
      <c r="CE528" s="1293"/>
      <c r="CF528" s="1293"/>
      <c r="CG528" s="1293"/>
    </row>
    <row r="529" spans="1:85" ht="15.75">
      <c r="A529" s="1293"/>
      <c r="B529" s="1293"/>
      <c r="C529" s="1293"/>
      <c r="D529" s="1293"/>
      <c r="E529" s="1293"/>
      <c r="F529" s="1293"/>
      <c r="G529" s="1293"/>
      <c r="H529" s="1293"/>
      <c r="I529" s="1293"/>
      <c r="J529" s="1293"/>
      <c r="K529" s="1293"/>
      <c r="L529" s="1293"/>
      <c r="M529" s="1293"/>
      <c r="N529" s="1293"/>
      <c r="O529" s="1293"/>
      <c r="P529" s="1293"/>
      <c r="Q529" s="1293"/>
      <c r="R529" s="1293"/>
      <c r="S529" s="1293"/>
      <c r="T529" s="1293"/>
      <c r="U529" s="1293"/>
      <c r="V529" s="1293"/>
      <c r="W529" s="1293"/>
      <c r="X529" s="1293"/>
      <c r="Y529" s="1293"/>
      <c r="Z529" s="1293"/>
      <c r="AA529" s="1293"/>
      <c r="AB529" s="1293"/>
      <c r="AC529" s="1293"/>
      <c r="AD529" s="1293"/>
      <c r="AE529" s="1293"/>
      <c r="AF529" s="1293"/>
      <c r="AG529" s="1293"/>
      <c r="AH529" s="1293"/>
      <c r="AI529" s="1293"/>
      <c r="AJ529" s="1293"/>
      <c r="AK529" s="1293"/>
      <c r="AL529" s="1293"/>
      <c r="AM529" s="1293"/>
      <c r="AN529" s="1293"/>
      <c r="AO529" s="1293"/>
      <c r="AP529" s="1293"/>
      <c r="AQ529" s="1293"/>
      <c r="AR529" s="1293"/>
      <c r="AS529" s="1293"/>
      <c r="AT529" s="1293"/>
      <c r="AU529" s="1293"/>
      <c r="AV529" s="1293"/>
      <c r="AW529" s="1293"/>
      <c r="AX529" s="1293"/>
      <c r="AY529" s="1293"/>
      <c r="AZ529" s="1293"/>
      <c r="BA529" s="1293"/>
      <c r="BB529" s="1293"/>
      <c r="BC529" s="1293"/>
      <c r="BD529" s="1293"/>
      <c r="BE529" s="1293"/>
      <c r="BF529" s="1293"/>
      <c r="BG529" s="1293"/>
      <c r="BH529" s="1293"/>
      <c r="BI529" s="1293"/>
      <c r="BJ529" s="1293"/>
      <c r="BK529" s="1293"/>
      <c r="BL529" s="1293"/>
      <c r="BM529" s="1293"/>
      <c r="BN529" s="1293"/>
      <c r="BO529" s="1293"/>
      <c r="BP529" s="1293"/>
      <c r="BQ529" s="1293"/>
      <c r="BR529" s="1293"/>
      <c r="BS529" s="1293"/>
      <c r="BT529" s="1293"/>
      <c r="BU529" s="1293"/>
      <c r="BV529" s="1293"/>
      <c r="BW529" s="1293"/>
      <c r="BX529" s="1293"/>
      <c r="BY529" s="1293"/>
      <c r="BZ529" s="1293"/>
      <c r="CA529" s="1293"/>
      <c r="CB529" s="1293"/>
      <c r="CC529" s="1293"/>
      <c r="CD529" s="1293"/>
      <c r="CE529" s="1293"/>
      <c r="CF529" s="1293"/>
      <c r="CG529" s="1293"/>
    </row>
    <row r="530" spans="1:85" ht="15.75">
      <c r="A530" s="1293"/>
      <c r="B530" s="1293"/>
      <c r="C530" s="1293"/>
      <c r="D530" s="1293"/>
      <c r="E530" s="1293"/>
      <c r="F530" s="1293"/>
      <c r="G530" s="1293"/>
      <c r="H530" s="1293"/>
      <c r="I530" s="1293"/>
      <c r="J530" s="1293"/>
      <c r="K530" s="1293"/>
      <c r="L530" s="1293"/>
      <c r="M530" s="1293"/>
      <c r="N530" s="1293"/>
      <c r="O530" s="1293"/>
      <c r="P530" s="1293"/>
      <c r="Q530" s="1293"/>
      <c r="R530" s="1293"/>
      <c r="S530" s="1293"/>
      <c r="T530" s="1293"/>
      <c r="U530" s="1293"/>
      <c r="V530" s="1293"/>
      <c r="W530" s="1293"/>
      <c r="X530" s="1293"/>
      <c r="Y530" s="1293"/>
      <c r="Z530" s="1293"/>
      <c r="AA530" s="1293"/>
      <c r="AB530" s="1293"/>
      <c r="AC530" s="1293"/>
      <c r="AD530" s="1293"/>
      <c r="AE530" s="1293"/>
      <c r="AF530" s="1293"/>
      <c r="AG530" s="1293"/>
      <c r="AH530" s="1293"/>
      <c r="AI530" s="1293"/>
      <c r="AJ530" s="1293"/>
      <c r="AK530" s="1293"/>
      <c r="AL530" s="1293"/>
      <c r="AM530" s="1293"/>
      <c r="AN530" s="1293"/>
      <c r="AO530" s="1293"/>
      <c r="AP530" s="1293"/>
      <c r="AQ530" s="1293"/>
      <c r="AR530" s="1293"/>
      <c r="AS530" s="1293"/>
      <c r="AT530" s="1293"/>
      <c r="AU530" s="1293"/>
      <c r="AV530" s="1293"/>
      <c r="AW530" s="1293"/>
      <c r="AX530" s="1293"/>
      <c r="AY530" s="1293"/>
      <c r="AZ530" s="1293"/>
      <c r="BA530" s="1293"/>
      <c r="BB530" s="1293"/>
      <c r="BC530" s="1293"/>
      <c r="BD530" s="1293"/>
      <c r="BE530" s="1293"/>
      <c r="BF530" s="1293"/>
      <c r="BG530" s="1293"/>
      <c r="BH530" s="1293"/>
      <c r="BI530" s="1293"/>
      <c r="BJ530" s="1293"/>
      <c r="BK530" s="1293"/>
      <c r="BL530" s="1293"/>
      <c r="BM530" s="1293"/>
      <c r="BN530" s="1293"/>
      <c r="BO530" s="1293"/>
      <c r="BP530" s="1293"/>
      <c r="BQ530" s="1293"/>
      <c r="BR530" s="1293"/>
      <c r="BS530" s="1293"/>
      <c r="BT530" s="1293"/>
      <c r="BU530" s="1293"/>
      <c r="BV530" s="1293"/>
      <c r="BW530" s="1293"/>
      <c r="BX530" s="1293"/>
      <c r="BY530" s="1293"/>
      <c r="BZ530" s="1293"/>
      <c r="CA530" s="1293"/>
      <c r="CB530" s="1293"/>
      <c r="CC530" s="1293"/>
      <c r="CD530" s="1293"/>
      <c r="CE530" s="1293"/>
      <c r="CF530" s="1293"/>
      <c r="CG530" s="1293"/>
    </row>
    <row r="531" spans="1:85" ht="15.75">
      <c r="A531" s="1293"/>
      <c r="B531" s="1293"/>
      <c r="C531" s="1293"/>
      <c r="D531" s="1293"/>
      <c r="E531" s="1293"/>
      <c r="F531" s="1293"/>
      <c r="G531" s="1293"/>
      <c r="H531" s="1293"/>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3"/>
      <c r="AI531" s="1293"/>
      <c r="AJ531" s="1293"/>
      <c r="AK531" s="1293"/>
      <c r="AL531" s="1293"/>
      <c r="AM531" s="1293"/>
      <c r="AN531" s="1293"/>
      <c r="AO531" s="1293"/>
      <c r="AP531" s="1293"/>
      <c r="AQ531" s="1293"/>
      <c r="AR531" s="1293"/>
      <c r="AS531" s="1293"/>
      <c r="AT531" s="1293"/>
      <c r="AU531" s="1293"/>
      <c r="AV531" s="1293"/>
      <c r="AW531" s="1293"/>
      <c r="AX531" s="1293"/>
      <c r="AY531" s="1293"/>
      <c r="AZ531" s="1293"/>
      <c r="BA531" s="1293"/>
      <c r="BB531" s="1293"/>
      <c r="BC531" s="1293"/>
      <c r="BD531" s="1293"/>
      <c r="BE531" s="1293"/>
      <c r="BF531" s="1293"/>
      <c r="BG531" s="1293"/>
      <c r="BH531" s="1293"/>
      <c r="BI531" s="1293"/>
      <c r="BJ531" s="1293"/>
      <c r="BK531" s="1293"/>
      <c r="BL531" s="1293"/>
      <c r="BM531" s="1293"/>
      <c r="BN531" s="1293"/>
      <c r="BO531" s="1293"/>
      <c r="BP531" s="1293"/>
      <c r="BQ531" s="1293"/>
      <c r="BR531" s="1293"/>
      <c r="BS531" s="1293"/>
      <c r="BT531" s="1293"/>
      <c r="BU531" s="1293"/>
      <c r="BV531" s="1293"/>
      <c r="BW531" s="1293"/>
      <c r="BX531" s="1293"/>
      <c r="BY531" s="1293"/>
      <c r="BZ531" s="1293"/>
      <c r="CA531" s="1293"/>
      <c r="CB531" s="1293"/>
      <c r="CC531" s="1293"/>
      <c r="CD531" s="1293"/>
      <c r="CE531" s="1293"/>
      <c r="CF531" s="1293"/>
      <c r="CG531" s="1293"/>
    </row>
    <row r="532" spans="1:85" ht="15.75">
      <c r="A532" s="1293"/>
      <c r="B532" s="1293"/>
      <c r="C532" s="1293"/>
      <c r="D532" s="1293"/>
      <c r="E532" s="129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1293"/>
      <c r="AN532" s="1293"/>
      <c r="AO532" s="1293"/>
      <c r="AP532" s="1293"/>
      <c r="AQ532" s="1293"/>
      <c r="AR532" s="1293"/>
      <c r="AS532" s="1293"/>
      <c r="AT532" s="1293"/>
      <c r="AU532" s="1293"/>
      <c r="AV532" s="1293"/>
      <c r="AW532" s="1293"/>
      <c r="AX532" s="1293"/>
      <c r="AY532" s="1293"/>
      <c r="AZ532" s="1293"/>
      <c r="BA532" s="1293"/>
      <c r="BB532" s="1293"/>
      <c r="BC532" s="1293"/>
      <c r="BD532" s="1293"/>
      <c r="BE532" s="1293"/>
      <c r="BF532" s="1293"/>
      <c r="BG532" s="1293"/>
      <c r="BH532" s="1293"/>
      <c r="BI532" s="1293"/>
      <c r="BJ532" s="1293"/>
      <c r="BK532" s="1293"/>
      <c r="BL532" s="1293"/>
      <c r="BM532" s="1293"/>
      <c r="BN532" s="1293"/>
      <c r="BO532" s="1293"/>
      <c r="BP532" s="1293"/>
      <c r="BQ532" s="1293"/>
      <c r="BR532" s="1293"/>
      <c r="BS532" s="1293"/>
      <c r="BT532" s="1293"/>
      <c r="BU532" s="1293"/>
      <c r="BV532" s="1293"/>
      <c r="BW532" s="1293"/>
      <c r="BX532" s="1293"/>
      <c r="BY532" s="1293"/>
      <c r="BZ532" s="1293"/>
      <c r="CA532" s="1293"/>
      <c r="CB532" s="1293"/>
      <c r="CC532" s="1293"/>
      <c r="CD532" s="1293"/>
      <c r="CE532" s="1293"/>
      <c r="CF532" s="1293"/>
      <c r="CG532" s="1293"/>
    </row>
    <row r="533" spans="1:85" ht="15.75">
      <c r="A533" s="1293"/>
      <c r="B533" s="1293"/>
      <c r="C533" s="1293"/>
      <c r="D533" s="1293"/>
      <c r="E533" s="1293"/>
      <c r="F533" s="1293"/>
      <c r="G533" s="1293"/>
      <c r="H533" s="1293"/>
      <c r="I533" s="1293"/>
      <c r="J533" s="1293"/>
      <c r="K533" s="1293"/>
      <c r="L533" s="1293"/>
      <c r="M533" s="1293"/>
      <c r="N533" s="1293"/>
      <c r="O533" s="1293"/>
      <c r="P533" s="1293"/>
      <c r="Q533" s="1293"/>
      <c r="R533" s="1293"/>
      <c r="S533" s="1293"/>
      <c r="T533" s="1293"/>
      <c r="U533" s="1293"/>
      <c r="V533" s="1293"/>
      <c r="W533" s="1293"/>
      <c r="X533" s="1293"/>
      <c r="Y533" s="1293"/>
      <c r="Z533" s="1293"/>
      <c r="AA533" s="1293"/>
      <c r="AB533" s="1293"/>
      <c r="AC533" s="1293"/>
      <c r="AD533" s="1293"/>
      <c r="AE533" s="1293"/>
      <c r="AF533" s="1293"/>
      <c r="AG533" s="1293"/>
      <c r="AH533" s="1293"/>
      <c r="AI533" s="1293"/>
      <c r="AJ533" s="1293"/>
      <c r="AK533" s="1293"/>
      <c r="AL533" s="1293"/>
      <c r="AM533" s="1293"/>
      <c r="AN533" s="1293"/>
      <c r="AO533" s="1293"/>
      <c r="AP533" s="1293"/>
      <c r="AQ533" s="1293"/>
      <c r="AR533" s="1293"/>
      <c r="AS533" s="1293"/>
      <c r="AT533" s="1293"/>
      <c r="AU533" s="1293"/>
      <c r="AV533" s="1293"/>
      <c r="AW533" s="1293"/>
      <c r="AX533" s="1293"/>
      <c r="AY533" s="1293"/>
      <c r="AZ533" s="1293"/>
      <c r="BA533" s="1293"/>
      <c r="BB533" s="1293"/>
      <c r="BC533" s="1293"/>
      <c r="BD533" s="1293"/>
      <c r="BE533" s="1293"/>
      <c r="BF533" s="1293"/>
      <c r="BG533" s="1293"/>
      <c r="BH533" s="1293"/>
      <c r="BI533" s="1293"/>
      <c r="BJ533" s="1293"/>
      <c r="BK533" s="1293"/>
      <c r="BL533" s="1293"/>
      <c r="BM533" s="1293"/>
      <c r="BN533" s="1293"/>
      <c r="BO533" s="1293"/>
      <c r="BP533" s="1293"/>
      <c r="BQ533" s="1293"/>
      <c r="BR533" s="1293"/>
      <c r="BS533" s="1293"/>
      <c r="BT533" s="1293"/>
      <c r="BU533" s="1293"/>
      <c r="BV533" s="1293"/>
      <c r="BW533" s="1293"/>
      <c r="BX533" s="1293"/>
      <c r="BY533" s="1293"/>
      <c r="BZ533" s="1293"/>
      <c r="CA533" s="1293"/>
      <c r="CB533" s="1293"/>
      <c r="CC533" s="1293"/>
      <c r="CD533" s="1293"/>
      <c r="CE533" s="1293"/>
      <c r="CF533" s="1293"/>
      <c r="CG533" s="1293"/>
    </row>
    <row r="534" spans="1:85" ht="15.75">
      <c r="A534" s="1293"/>
      <c r="B534" s="1293"/>
      <c r="C534" s="1293"/>
      <c r="D534" s="1293"/>
      <c r="E534" s="1293"/>
      <c r="F534" s="1293"/>
      <c r="G534" s="1293"/>
      <c r="H534" s="1293"/>
      <c r="I534" s="1293"/>
      <c r="J534" s="1293"/>
      <c r="K534" s="1293"/>
      <c r="L534" s="1293"/>
      <c r="M534" s="1293"/>
      <c r="N534" s="1293"/>
      <c r="O534" s="1293"/>
      <c r="P534" s="1293"/>
      <c r="Q534" s="1293"/>
      <c r="R534" s="1293"/>
      <c r="S534" s="1293"/>
      <c r="T534" s="1293"/>
      <c r="U534" s="1293"/>
      <c r="V534" s="1293"/>
      <c r="W534" s="1293"/>
      <c r="X534" s="1293"/>
      <c r="Y534" s="1293"/>
      <c r="Z534" s="1293"/>
      <c r="AA534" s="1293"/>
      <c r="AB534" s="1293"/>
      <c r="AC534" s="1293"/>
      <c r="AD534" s="1293"/>
      <c r="AE534" s="1293"/>
      <c r="AF534" s="1293"/>
      <c r="AG534" s="1293"/>
      <c r="AH534" s="1293"/>
      <c r="AI534" s="1293"/>
      <c r="AJ534" s="1293"/>
      <c r="AK534" s="1293"/>
      <c r="AL534" s="1293"/>
      <c r="AM534" s="1293"/>
      <c r="AN534" s="1293"/>
      <c r="AO534" s="1293"/>
      <c r="AP534" s="1293"/>
      <c r="AQ534" s="1293"/>
      <c r="AR534" s="1293"/>
      <c r="AS534" s="1293"/>
      <c r="AT534" s="1293"/>
      <c r="AU534" s="1293"/>
      <c r="AV534" s="1293"/>
      <c r="AW534" s="1293"/>
      <c r="AX534" s="1293"/>
      <c r="AY534" s="1293"/>
      <c r="AZ534" s="1293"/>
      <c r="BA534" s="1293"/>
      <c r="BB534" s="1293"/>
      <c r="BC534" s="1293"/>
      <c r="BD534" s="1293"/>
      <c r="BE534" s="1293"/>
      <c r="BF534" s="1293"/>
      <c r="BG534" s="1293"/>
      <c r="BH534" s="1293"/>
      <c r="BI534" s="1293"/>
      <c r="BJ534" s="1293"/>
      <c r="BK534" s="1293"/>
      <c r="BL534" s="1293"/>
      <c r="BM534" s="1293"/>
      <c r="BN534" s="1293"/>
      <c r="BO534" s="1293"/>
      <c r="BP534" s="1293"/>
      <c r="BQ534" s="1293"/>
      <c r="BR534" s="1293"/>
      <c r="BS534" s="1293"/>
      <c r="BT534" s="1293"/>
      <c r="BU534" s="1293"/>
      <c r="BV534" s="1293"/>
      <c r="BW534" s="1293"/>
      <c r="BX534" s="1293"/>
      <c r="BY534" s="1293"/>
      <c r="BZ534" s="1293"/>
      <c r="CA534" s="1293"/>
      <c r="CB534" s="1293"/>
      <c r="CC534" s="1293"/>
      <c r="CD534" s="1293"/>
      <c r="CE534" s="1293"/>
      <c r="CF534" s="1293"/>
      <c r="CG534" s="1293"/>
    </row>
    <row r="535" spans="1:85" ht="15.75">
      <c r="A535" s="1293"/>
      <c r="B535" s="1293"/>
      <c r="C535" s="1293"/>
      <c r="D535" s="1293"/>
      <c r="E535" s="1293"/>
      <c r="F535" s="1293"/>
      <c r="G535" s="1293"/>
      <c r="H535" s="1293"/>
      <c r="I535" s="1293"/>
      <c r="J535" s="1293"/>
      <c r="K535" s="1293"/>
      <c r="L535" s="1293"/>
      <c r="M535" s="1293"/>
      <c r="N535" s="1293"/>
      <c r="O535" s="1293"/>
      <c r="P535" s="1293"/>
      <c r="Q535" s="1293"/>
      <c r="R535" s="1293"/>
      <c r="S535" s="1293"/>
      <c r="T535" s="1293"/>
      <c r="U535" s="1293"/>
      <c r="V535" s="1293"/>
      <c r="W535" s="1293"/>
      <c r="X535" s="1293"/>
      <c r="Y535" s="1293"/>
      <c r="Z535" s="1293"/>
      <c r="AA535" s="1293"/>
      <c r="AB535" s="1293"/>
      <c r="AC535" s="1293"/>
      <c r="AD535" s="1293"/>
      <c r="AE535" s="1293"/>
      <c r="AF535" s="1293"/>
      <c r="AG535" s="1293"/>
      <c r="AH535" s="1293"/>
      <c r="AI535" s="1293"/>
      <c r="AJ535" s="1293"/>
      <c r="AK535" s="1293"/>
      <c r="AL535" s="1293"/>
      <c r="AM535" s="1293"/>
      <c r="AN535" s="1293"/>
      <c r="AO535" s="1293"/>
      <c r="AP535" s="1293"/>
      <c r="AQ535" s="1293"/>
      <c r="AR535" s="1293"/>
      <c r="AS535" s="1293"/>
      <c r="AT535" s="1293"/>
      <c r="AU535" s="1293"/>
      <c r="AV535" s="1293"/>
      <c r="AW535" s="1293"/>
      <c r="AX535" s="1293"/>
      <c r="AY535" s="1293"/>
      <c r="AZ535" s="1293"/>
      <c r="BA535" s="1293"/>
      <c r="BB535" s="1293"/>
      <c r="BC535" s="1293"/>
      <c r="BD535" s="1293"/>
      <c r="BE535" s="1293"/>
      <c r="BF535" s="1293"/>
      <c r="BG535" s="1293"/>
      <c r="BH535" s="1293"/>
      <c r="BI535" s="1293"/>
      <c r="BJ535" s="1293"/>
      <c r="BK535" s="1293"/>
      <c r="BL535" s="1293"/>
      <c r="BM535" s="1293"/>
      <c r="BN535" s="1293"/>
      <c r="BO535" s="1293"/>
      <c r="BP535" s="1293"/>
      <c r="BQ535" s="1293"/>
      <c r="BR535" s="1293"/>
      <c r="BS535" s="1293"/>
      <c r="BT535" s="1293"/>
      <c r="BU535" s="1293"/>
      <c r="BV535" s="1293"/>
      <c r="BW535" s="1293"/>
      <c r="BX535" s="1293"/>
      <c r="BY535" s="1293"/>
      <c r="BZ535" s="1293"/>
      <c r="CA535" s="1293"/>
      <c r="CB535" s="1293"/>
      <c r="CC535" s="1293"/>
      <c r="CD535" s="1293"/>
      <c r="CE535" s="1293"/>
      <c r="CF535" s="1293"/>
      <c r="CG535" s="1293"/>
    </row>
    <row r="536" spans="1:85" ht="15.75">
      <c r="A536" s="1293"/>
      <c r="B536" s="1293"/>
      <c r="C536" s="1293"/>
      <c r="D536" s="1293"/>
      <c r="E536" s="1293"/>
      <c r="F536" s="1293"/>
      <c r="G536" s="1293"/>
      <c r="H536" s="1293"/>
      <c r="I536" s="1293"/>
      <c r="J536" s="1293"/>
      <c r="K536" s="1293"/>
      <c r="L536" s="1293"/>
      <c r="M536" s="1293"/>
      <c r="N536" s="1293"/>
      <c r="O536" s="1293"/>
      <c r="P536" s="1293"/>
      <c r="Q536" s="1293"/>
      <c r="R536" s="1293"/>
      <c r="S536" s="1293"/>
      <c r="T536" s="1293"/>
      <c r="U536" s="1293"/>
      <c r="V536" s="1293"/>
      <c r="W536" s="1293"/>
      <c r="X536" s="1293"/>
      <c r="Y536" s="1293"/>
      <c r="Z536" s="1293"/>
      <c r="AA536" s="1293"/>
      <c r="AB536" s="1293"/>
      <c r="AC536" s="1293"/>
      <c r="AD536" s="1293"/>
      <c r="AE536" s="1293"/>
      <c r="AF536" s="1293"/>
      <c r="AG536" s="1293"/>
      <c r="AH536" s="1293"/>
      <c r="AI536" s="1293"/>
      <c r="AJ536" s="1293"/>
      <c r="AK536" s="1293"/>
      <c r="AL536" s="1293"/>
      <c r="AM536" s="1293"/>
      <c r="AN536" s="1293"/>
      <c r="AO536" s="1293"/>
      <c r="AP536" s="1293"/>
      <c r="AQ536" s="1293"/>
      <c r="AR536" s="1293"/>
      <c r="AS536" s="1293"/>
      <c r="AT536" s="1293"/>
      <c r="AU536" s="1293"/>
      <c r="AV536" s="1293"/>
      <c r="AW536" s="1293"/>
      <c r="AX536" s="1293"/>
      <c r="AY536" s="1293"/>
      <c r="AZ536" s="1293"/>
      <c r="BA536" s="1293"/>
      <c r="BB536" s="1293"/>
      <c r="BC536" s="1293"/>
      <c r="BD536" s="1293"/>
      <c r="BE536" s="1293"/>
      <c r="BF536" s="1293"/>
      <c r="BG536" s="1293"/>
      <c r="BH536" s="1293"/>
      <c r="BI536" s="1293"/>
      <c r="BJ536" s="1293"/>
      <c r="BK536" s="1293"/>
      <c r="BL536" s="1293"/>
      <c r="BM536" s="1293"/>
      <c r="BN536" s="1293"/>
      <c r="BO536" s="1293"/>
      <c r="BP536" s="1293"/>
      <c r="BQ536" s="1293"/>
      <c r="BR536" s="1293"/>
      <c r="BS536" s="1293"/>
      <c r="BT536" s="1293"/>
      <c r="BU536" s="1293"/>
      <c r="BV536" s="1293"/>
      <c r="BW536" s="1293"/>
      <c r="BX536" s="1293"/>
      <c r="BY536" s="1293"/>
      <c r="BZ536" s="1293"/>
      <c r="CA536" s="1293"/>
      <c r="CB536" s="1293"/>
      <c r="CC536" s="1293"/>
      <c r="CD536" s="1293"/>
      <c r="CE536" s="1293"/>
      <c r="CF536" s="1293"/>
      <c r="CG536" s="1293"/>
    </row>
    <row r="537" spans="1:85" ht="15.75">
      <c r="A537" s="1293"/>
      <c r="B537" s="1293"/>
      <c r="C537" s="1293"/>
      <c r="D537" s="1293"/>
      <c r="E537" s="1293"/>
      <c r="F537" s="1293"/>
      <c r="G537" s="1293"/>
      <c r="H537" s="1293"/>
      <c r="I537" s="1293"/>
      <c r="J537" s="1293"/>
      <c r="K537" s="1293"/>
      <c r="L537" s="1293"/>
      <c r="M537" s="1293"/>
      <c r="N537" s="1293"/>
      <c r="O537" s="1293"/>
      <c r="P537" s="1293"/>
      <c r="Q537" s="1293"/>
      <c r="R537" s="1293"/>
      <c r="S537" s="1293"/>
      <c r="T537" s="1293"/>
      <c r="U537" s="1293"/>
      <c r="V537" s="1293"/>
      <c r="W537" s="1293"/>
      <c r="X537" s="1293"/>
      <c r="Y537" s="1293"/>
      <c r="Z537" s="1293"/>
      <c r="AA537" s="1293"/>
      <c r="AB537" s="1293"/>
      <c r="AC537" s="1293"/>
      <c r="AD537" s="1293"/>
      <c r="AE537" s="1293"/>
      <c r="AF537" s="1293"/>
      <c r="AG537" s="1293"/>
      <c r="AH537" s="1293"/>
      <c r="AI537" s="1293"/>
      <c r="AJ537" s="1293"/>
      <c r="AK537" s="1293"/>
      <c r="AL537" s="1293"/>
      <c r="AM537" s="1293"/>
      <c r="AN537" s="1293"/>
      <c r="AO537" s="1293"/>
      <c r="AP537" s="1293"/>
      <c r="AQ537" s="1293"/>
      <c r="AR537" s="1293"/>
      <c r="AS537" s="1293"/>
      <c r="AT537" s="1293"/>
      <c r="AU537" s="1293"/>
      <c r="AV537" s="1293"/>
      <c r="AW537" s="1293"/>
      <c r="AX537" s="1293"/>
      <c r="AY537" s="1293"/>
      <c r="AZ537" s="1293"/>
      <c r="BA537" s="1293"/>
      <c r="BB537" s="1293"/>
      <c r="BC537" s="1293"/>
      <c r="BD537" s="1293"/>
      <c r="BE537" s="1293"/>
      <c r="BF537" s="1293"/>
      <c r="BG537" s="1293"/>
      <c r="BH537" s="1293"/>
      <c r="BI537" s="1293"/>
      <c r="BJ537" s="1293"/>
      <c r="BK537" s="1293"/>
      <c r="BL537" s="1293"/>
      <c r="BM537" s="1293"/>
      <c r="BN537" s="1293"/>
      <c r="BO537" s="1293"/>
      <c r="BP537" s="1293"/>
      <c r="BQ537" s="1293"/>
      <c r="BR537" s="1293"/>
      <c r="BS537" s="1293"/>
      <c r="BT537" s="1293"/>
      <c r="BU537" s="1293"/>
      <c r="BV537" s="1293"/>
      <c r="BW537" s="1293"/>
      <c r="BX537" s="1293"/>
      <c r="BY537" s="1293"/>
      <c r="BZ537" s="1293"/>
      <c r="CA537" s="1293"/>
      <c r="CB537" s="1293"/>
      <c r="CC537" s="1293"/>
      <c r="CD537" s="1293"/>
      <c r="CE537" s="1293"/>
      <c r="CF537" s="1293"/>
      <c r="CG537" s="1293"/>
    </row>
    <row r="538" spans="1:85" ht="15.75">
      <c r="A538" s="1293"/>
      <c r="B538" s="1293"/>
      <c r="C538" s="1293"/>
      <c r="D538" s="1293"/>
      <c r="E538" s="1293"/>
      <c r="F538" s="1293"/>
      <c r="G538" s="1293"/>
      <c r="H538" s="1293"/>
      <c r="I538" s="1293"/>
      <c r="J538" s="1293"/>
      <c r="K538" s="1293"/>
      <c r="L538" s="1293"/>
      <c r="M538" s="1293"/>
      <c r="N538" s="1293"/>
      <c r="O538" s="1293"/>
      <c r="P538" s="1293"/>
      <c r="Q538" s="1293"/>
      <c r="R538" s="1293"/>
      <c r="S538" s="1293"/>
      <c r="T538" s="1293"/>
      <c r="U538" s="1293"/>
      <c r="V538" s="1293"/>
      <c r="W538" s="1293"/>
      <c r="X538" s="1293"/>
      <c r="Y538" s="1293"/>
      <c r="Z538" s="1293"/>
      <c r="AA538" s="1293"/>
      <c r="AB538" s="1293"/>
      <c r="AC538" s="1293"/>
      <c r="AD538" s="1293"/>
      <c r="AE538" s="1293"/>
      <c r="AF538" s="1293"/>
      <c r="AG538" s="1293"/>
      <c r="AH538" s="1293"/>
      <c r="AI538" s="1293"/>
      <c r="AJ538" s="1293"/>
      <c r="AK538" s="1293"/>
      <c r="AL538" s="1293"/>
      <c r="AM538" s="1293"/>
      <c r="AN538" s="1293"/>
      <c r="AO538" s="1293"/>
      <c r="AP538" s="1293"/>
      <c r="AQ538" s="1293"/>
      <c r="AR538" s="1293"/>
      <c r="AS538" s="1293"/>
      <c r="AT538" s="1293"/>
      <c r="AU538" s="1293"/>
      <c r="AV538" s="1293"/>
      <c r="AW538" s="1293"/>
      <c r="AX538" s="1293"/>
      <c r="AY538" s="1293"/>
      <c r="AZ538" s="1293"/>
      <c r="BA538" s="1293"/>
      <c r="BB538" s="1293"/>
      <c r="BC538" s="1293"/>
      <c r="BD538" s="1293"/>
      <c r="BE538" s="1293"/>
      <c r="BF538" s="1293"/>
      <c r="BG538" s="1293"/>
      <c r="BH538" s="1293"/>
      <c r="BI538" s="1293"/>
      <c r="BJ538" s="1293"/>
      <c r="BK538" s="1293"/>
      <c r="BL538" s="1293"/>
      <c r="BM538" s="1293"/>
      <c r="BN538" s="1293"/>
      <c r="BO538" s="1293"/>
      <c r="BP538" s="1293"/>
      <c r="BQ538" s="1293"/>
      <c r="BR538" s="1293"/>
      <c r="BS538" s="1293"/>
      <c r="BT538" s="1293"/>
      <c r="BU538" s="1293"/>
      <c r="BV538" s="1293"/>
      <c r="BW538" s="1293"/>
      <c r="BX538" s="1293"/>
      <c r="BY538" s="1293"/>
      <c r="BZ538" s="1293"/>
      <c r="CA538" s="1293"/>
      <c r="CB538" s="1293"/>
      <c r="CC538" s="1293"/>
      <c r="CD538" s="1293"/>
      <c r="CE538" s="1293"/>
      <c r="CF538" s="1293"/>
      <c r="CG538" s="1293"/>
    </row>
    <row r="539" spans="1:85" ht="15.75">
      <c r="A539" s="1293"/>
      <c r="B539" s="1293"/>
      <c r="C539" s="1293"/>
      <c r="D539" s="1293"/>
      <c r="E539" s="1293"/>
      <c r="F539" s="1293"/>
      <c r="G539" s="1293"/>
      <c r="H539" s="1293"/>
      <c r="I539" s="1293"/>
      <c r="J539" s="1293"/>
      <c r="K539" s="1293"/>
      <c r="L539" s="1293"/>
      <c r="M539" s="1293"/>
      <c r="N539" s="1293"/>
      <c r="O539" s="1293"/>
      <c r="P539" s="1293"/>
      <c r="Q539" s="1293"/>
      <c r="R539" s="1293"/>
      <c r="S539" s="1293"/>
      <c r="T539" s="1293"/>
      <c r="U539" s="1293"/>
      <c r="V539" s="1293"/>
      <c r="W539" s="1293"/>
      <c r="X539" s="1293"/>
      <c r="Y539" s="1293"/>
      <c r="Z539" s="1293"/>
      <c r="AA539" s="1293"/>
      <c r="AB539" s="1293"/>
      <c r="AC539" s="1293"/>
      <c r="AD539" s="1293"/>
      <c r="AE539" s="1293"/>
      <c r="AF539" s="1293"/>
      <c r="AG539" s="1293"/>
      <c r="AH539" s="1293"/>
      <c r="AI539" s="1293"/>
      <c r="AJ539" s="1293"/>
      <c r="AK539" s="1293"/>
      <c r="AL539" s="1293"/>
      <c r="AM539" s="1293"/>
      <c r="AN539" s="1293"/>
      <c r="AO539" s="1293"/>
      <c r="AP539" s="1293"/>
      <c r="AQ539" s="1293"/>
      <c r="AR539" s="1293"/>
      <c r="AS539" s="1293"/>
      <c r="AT539" s="1293"/>
      <c r="AU539" s="1293"/>
      <c r="AV539" s="1293"/>
      <c r="AW539" s="1293"/>
      <c r="AX539" s="1293"/>
      <c r="AY539" s="1293"/>
      <c r="AZ539" s="1293"/>
      <c r="BA539" s="1293"/>
      <c r="BB539" s="1293"/>
      <c r="BC539" s="1293"/>
      <c r="BD539" s="1293"/>
      <c r="BE539" s="1293"/>
      <c r="BF539" s="1293"/>
      <c r="BG539" s="1293"/>
      <c r="BH539" s="1293"/>
      <c r="BI539" s="1293"/>
      <c r="BJ539" s="1293"/>
      <c r="BK539" s="1293"/>
      <c r="BL539" s="1293"/>
      <c r="BM539" s="1293"/>
      <c r="BN539" s="1293"/>
      <c r="BO539" s="1293"/>
      <c r="BP539" s="1293"/>
      <c r="BQ539" s="1293"/>
      <c r="BR539" s="1293"/>
      <c r="BS539" s="1293"/>
      <c r="BT539" s="1293"/>
      <c r="BU539" s="1293"/>
      <c r="BV539" s="1293"/>
      <c r="BW539" s="1293"/>
      <c r="BX539" s="1293"/>
      <c r="BY539" s="1293"/>
      <c r="BZ539" s="1293"/>
      <c r="CA539" s="1293"/>
      <c r="CB539" s="1293"/>
      <c r="CC539" s="1293"/>
      <c r="CD539" s="1293"/>
      <c r="CE539" s="1293"/>
      <c r="CF539" s="1293"/>
      <c r="CG539" s="1293"/>
    </row>
    <row r="540" spans="1:85" ht="15.75">
      <c r="A540" s="1293"/>
      <c r="B540" s="1293"/>
      <c r="C540" s="1293"/>
      <c r="D540" s="1293"/>
      <c r="E540" s="1293"/>
      <c r="F540" s="1293"/>
      <c r="G540" s="1293"/>
      <c r="H540" s="1293"/>
      <c r="I540" s="1293"/>
      <c r="J540" s="1293"/>
      <c r="K540" s="1293"/>
      <c r="L540" s="1293"/>
      <c r="M540" s="1293"/>
      <c r="N540" s="1293"/>
      <c r="O540" s="1293"/>
      <c r="P540" s="1293"/>
      <c r="Q540" s="1293"/>
      <c r="R540" s="1293"/>
      <c r="S540" s="1293"/>
      <c r="T540" s="1293"/>
      <c r="U540" s="1293"/>
      <c r="V540" s="1293"/>
      <c r="W540" s="1293"/>
      <c r="X540" s="1293"/>
      <c r="Y540" s="1293"/>
      <c r="Z540" s="1293"/>
      <c r="AA540" s="1293"/>
      <c r="AB540" s="1293"/>
      <c r="AC540" s="1293"/>
      <c r="AD540" s="1293"/>
      <c r="AE540" s="1293"/>
      <c r="AF540" s="1293"/>
      <c r="AG540" s="1293"/>
      <c r="AH540" s="1293"/>
      <c r="AI540" s="1293"/>
      <c r="AJ540" s="1293"/>
      <c r="AK540" s="1293"/>
      <c r="AL540" s="1293"/>
      <c r="AM540" s="1293"/>
      <c r="AN540" s="1293"/>
      <c r="AO540" s="1293"/>
      <c r="AP540" s="1293"/>
      <c r="AQ540" s="1293"/>
      <c r="AR540" s="1293"/>
      <c r="AS540" s="1293"/>
      <c r="AT540" s="1293"/>
      <c r="AU540" s="1293"/>
      <c r="AV540" s="1293"/>
      <c r="AW540" s="1293"/>
      <c r="AX540" s="1293"/>
      <c r="AY540" s="1293"/>
      <c r="AZ540" s="1293"/>
      <c r="BA540" s="1293"/>
      <c r="BB540" s="1293"/>
      <c r="BC540" s="1293"/>
      <c r="BD540" s="1293"/>
      <c r="BE540" s="1293"/>
      <c r="BF540" s="1293"/>
      <c r="BG540" s="1293"/>
      <c r="BH540" s="1293"/>
      <c r="BI540" s="1293"/>
      <c r="BJ540" s="1293"/>
      <c r="BK540" s="1293"/>
      <c r="BL540" s="1293"/>
      <c r="BM540" s="1293"/>
      <c r="BN540" s="1293"/>
      <c r="BO540" s="1293"/>
      <c r="BP540" s="1293"/>
      <c r="BQ540" s="1293"/>
      <c r="BR540" s="1293"/>
      <c r="BS540" s="1293"/>
      <c r="BT540" s="1293"/>
      <c r="BU540" s="1293"/>
      <c r="BV540" s="1293"/>
      <c r="BW540" s="1293"/>
      <c r="BX540" s="1293"/>
      <c r="BY540" s="1293"/>
      <c r="BZ540" s="1293"/>
      <c r="CA540" s="1293"/>
      <c r="CB540" s="1293"/>
      <c r="CC540" s="1293"/>
      <c r="CD540" s="1293"/>
      <c r="CE540" s="1293"/>
      <c r="CF540" s="1293"/>
      <c r="CG540" s="1293"/>
    </row>
    <row r="541" spans="1:85" ht="15.75">
      <c r="A541" s="1293"/>
      <c r="B541" s="1293"/>
      <c r="C541" s="1293"/>
      <c r="D541" s="1293"/>
      <c r="E541" s="1293"/>
      <c r="F541" s="1293"/>
      <c r="G541" s="1293"/>
      <c r="H541" s="1293"/>
      <c r="I541" s="1293"/>
      <c r="J541" s="1293"/>
      <c r="K541" s="1293"/>
      <c r="L541" s="1293"/>
      <c r="M541" s="1293"/>
      <c r="N541" s="1293"/>
      <c r="O541" s="1293"/>
      <c r="P541" s="1293"/>
      <c r="Q541" s="1293"/>
      <c r="R541" s="1293"/>
      <c r="S541" s="1293"/>
      <c r="T541" s="1293"/>
      <c r="U541" s="1293"/>
      <c r="V541" s="1293"/>
      <c r="W541" s="1293"/>
      <c r="X541" s="1293"/>
      <c r="Y541" s="1293"/>
      <c r="Z541" s="1293"/>
      <c r="AA541" s="1293"/>
      <c r="AB541" s="1293"/>
      <c r="AC541" s="1293"/>
      <c r="AD541" s="1293"/>
      <c r="AE541" s="1293"/>
      <c r="AF541" s="1293"/>
      <c r="AG541" s="1293"/>
      <c r="AH541" s="1293"/>
      <c r="AI541" s="1293"/>
      <c r="AJ541" s="1293"/>
      <c r="AK541" s="1293"/>
      <c r="AL541" s="1293"/>
      <c r="AM541" s="1293"/>
      <c r="AN541" s="1293"/>
      <c r="AO541" s="1293"/>
      <c r="AP541" s="1293"/>
      <c r="AQ541" s="1293"/>
      <c r="AR541" s="1293"/>
      <c r="AS541" s="1293"/>
      <c r="AT541" s="1293"/>
      <c r="AU541" s="1293"/>
      <c r="AV541" s="1293"/>
      <c r="AW541" s="1293"/>
      <c r="AX541" s="1293"/>
      <c r="AY541" s="1293"/>
      <c r="AZ541" s="1293"/>
      <c r="BA541" s="1293"/>
      <c r="BB541" s="1293"/>
      <c r="BC541" s="1293"/>
      <c r="BD541" s="1293"/>
      <c r="BE541" s="1293"/>
      <c r="BF541" s="1293"/>
      <c r="BG541" s="1293"/>
      <c r="BH541" s="1293"/>
      <c r="BI541" s="1293"/>
      <c r="BJ541" s="1293"/>
      <c r="BK541" s="1293"/>
      <c r="BL541" s="1293"/>
      <c r="BM541" s="1293"/>
      <c r="BN541" s="1293"/>
      <c r="BO541" s="1293"/>
      <c r="BP541" s="1293"/>
      <c r="BQ541" s="1293"/>
      <c r="BR541" s="1293"/>
      <c r="BS541" s="1293"/>
      <c r="BT541" s="1293"/>
      <c r="BU541" s="1293"/>
      <c r="BV541" s="1293"/>
      <c r="BW541" s="1293"/>
      <c r="BX541" s="1293"/>
      <c r="BY541" s="1293"/>
      <c r="BZ541" s="1293"/>
      <c r="CA541" s="1293"/>
      <c r="CB541" s="1293"/>
      <c r="CC541" s="1293"/>
      <c r="CD541" s="1293"/>
      <c r="CE541" s="1293"/>
      <c r="CF541" s="1293"/>
      <c r="CG541" s="1293"/>
    </row>
    <row r="542" spans="1:85" ht="15.75">
      <c r="A542" s="1293"/>
      <c r="B542" s="1293"/>
      <c r="C542" s="1293"/>
      <c r="D542" s="1293"/>
      <c r="E542" s="1293"/>
      <c r="F542" s="1293"/>
      <c r="G542" s="1293"/>
      <c r="H542" s="1293"/>
      <c r="I542" s="1293"/>
      <c r="J542" s="1293"/>
      <c r="K542" s="1293"/>
      <c r="L542" s="1293"/>
      <c r="M542" s="1293"/>
      <c r="N542" s="1293"/>
      <c r="O542" s="1293"/>
      <c r="P542" s="1293"/>
      <c r="Q542" s="1293"/>
      <c r="R542" s="1293"/>
      <c r="S542" s="1293"/>
      <c r="T542" s="1293"/>
      <c r="U542" s="1293"/>
      <c r="V542" s="1293"/>
      <c r="W542" s="1293"/>
      <c r="X542" s="1293"/>
      <c r="Y542" s="1293"/>
      <c r="Z542" s="1293"/>
      <c r="AA542" s="1293"/>
      <c r="AB542" s="1293"/>
      <c r="AC542" s="1293"/>
      <c r="AD542" s="1293"/>
      <c r="AE542" s="1293"/>
      <c r="AF542" s="1293"/>
      <c r="AG542" s="1293"/>
      <c r="AH542" s="1293"/>
      <c r="AI542" s="1293"/>
      <c r="AJ542" s="1293"/>
      <c r="AK542" s="1293"/>
      <c r="AL542" s="1293"/>
      <c r="AM542" s="1293"/>
      <c r="AN542" s="1293"/>
      <c r="AO542" s="1293"/>
      <c r="AP542" s="1293"/>
      <c r="AQ542" s="1293"/>
      <c r="AR542" s="1293"/>
      <c r="AS542" s="1293"/>
      <c r="AT542" s="1293"/>
      <c r="AU542" s="1293"/>
      <c r="AV542" s="1293"/>
      <c r="AW542" s="1293"/>
      <c r="AX542" s="1293"/>
      <c r="AY542" s="1293"/>
      <c r="AZ542" s="1293"/>
      <c r="BA542" s="1293"/>
      <c r="BB542" s="1293"/>
      <c r="BC542" s="1293"/>
      <c r="BD542" s="1293"/>
      <c r="BE542" s="1293"/>
      <c r="BF542" s="1293"/>
      <c r="BG542" s="1293"/>
      <c r="BH542" s="1293"/>
      <c r="BI542" s="1293"/>
      <c r="BJ542" s="1293"/>
      <c r="BK542" s="1293"/>
      <c r="BL542" s="1293"/>
      <c r="BM542" s="1293"/>
      <c r="BN542" s="1293"/>
      <c r="BO542" s="1293"/>
      <c r="BP542" s="1293"/>
      <c r="BQ542" s="1293"/>
      <c r="BR542" s="1293"/>
      <c r="BS542" s="1293"/>
      <c r="BT542" s="1293"/>
      <c r="BU542" s="1293"/>
      <c r="BV542" s="1293"/>
      <c r="BW542" s="1293"/>
      <c r="BX542" s="1293"/>
      <c r="BY542" s="1293"/>
      <c r="BZ542" s="1293"/>
      <c r="CA542" s="1293"/>
      <c r="CB542" s="1293"/>
      <c r="CC542" s="1293"/>
      <c r="CD542" s="1293"/>
      <c r="CE542" s="1293"/>
      <c r="CF542" s="1293"/>
      <c r="CG542" s="1293"/>
    </row>
    <row r="543" spans="1:85" ht="15.75">
      <c r="A543" s="1293"/>
      <c r="B543" s="1293"/>
      <c r="C543" s="1293"/>
      <c r="D543" s="1293"/>
      <c r="E543" s="1293"/>
      <c r="F543" s="1293"/>
      <c r="G543" s="1293"/>
      <c r="H543" s="1293"/>
      <c r="I543" s="1293"/>
      <c r="J543" s="1293"/>
      <c r="K543" s="1293"/>
      <c r="L543" s="1293"/>
      <c r="M543" s="1293"/>
      <c r="N543" s="1293"/>
      <c r="O543" s="1293"/>
      <c r="P543" s="1293"/>
      <c r="Q543" s="1293"/>
      <c r="R543" s="1293"/>
      <c r="S543" s="1293"/>
      <c r="T543" s="1293"/>
      <c r="U543" s="1293"/>
      <c r="V543" s="1293"/>
      <c r="W543" s="1293"/>
      <c r="X543" s="1293"/>
      <c r="Y543" s="1293"/>
      <c r="Z543" s="1293"/>
      <c r="AA543" s="1293"/>
      <c r="AB543" s="1293"/>
      <c r="AC543" s="1293"/>
      <c r="AD543" s="1293"/>
      <c r="AE543" s="1293"/>
      <c r="AF543" s="1293"/>
      <c r="AG543" s="1293"/>
      <c r="AH543" s="1293"/>
      <c r="AI543" s="1293"/>
      <c r="AJ543" s="1293"/>
      <c r="AK543" s="1293"/>
      <c r="AL543" s="1293"/>
      <c r="AM543" s="1293"/>
      <c r="AN543" s="1293"/>
      <c r="AO543" s="1293"/>
      <c r="AP543" s="1293"/>
      <c r="AQ543" s="1293"/>
      <c r="AR543" s="1293"/>
      <c r="AS543" s="1293"/>
      <c r="AT543" s="1293"/>
      <c r="AU543" s="1293"/>
      <c r="AV543" s="1293"/>
      <c r="AW543" s="1293"/>
      <c r="AX543" s="1293"/>
      <c r="AY543" s="1293"/>
      <c r="AZ543" s="1293"/>
      <c r="BA543" s="1293"/>
      <c r="BB543" s="1293"/>
      <c r="BC543" s="1293"/>
      <c r="BD543" s="1293"/>
      <c r="BE543" s="1293"/>
      <c r="BF543" s="1293"/>
      <c r="BG543" s="1293"/>
      <c r="BH543" s="1293"/>
      <c r="BI543" s="1293"/>
      <c r="BJ543" s="1293"/>
      <c r="BK543" s="1293"/>
      <c r="BL543" s="1293"/>
      <c r="BM543" s="1293"/>
      <c r="BN543" s="1293"/>
      <c r="BO543" s="1293"/>
      <c r="BP543" s="1293"/>
      <c r="BQ543" s="1293"/>
      <c r="BR543" s="1293"/>
      <c r="BS543" s="1293"/>
      <c r="BT543" s="1293"/>
      <c r="BU543" s="1293"/>
      <c r="BV543" s="1293"/>
      <c r="BW543" s="1293"/>
      <c r="BX543" s="1293"/>
      <c r="BY543" s="1293"/>
      <c r="BZ543" s="1293"/>
      <c r="CA543" s="1293"/>
      <c r="CB543" s="1293"/>
      <c r="CC543" s="1293"/>
      <c r="CD543" s="1293"/>
      <c r="CE543" s="1293"/>
      <c r="CF543" s="1293"/>
      <c r="CG543" s="1293"/>
    </row>
    <row r="544" spans="1:85" ht="15.75">
      <c r="A544" s="1293"/>
      <c r="B544" s="1293"/>
      <c r="C544" s="1293"/>
      <c r="D544" s="1293"/>
      <c r="E544" s="1293"/>
      <c r="F544" s="1293"/>
      <c r="G544" s="1293"/>
      <c r="H544" s="1293"/>
      <c r="I544" s="1293"/>
      <c r="J544" s="1293"/>
      <c r="K544" s="1293"/>
      <c r="L544" s="1293"/>
      <c r="M544" s="1293"/>
      <c r="N544" s="1293"/>
      <c r="O544" s="1293"/>
      <c r="P544" s="1293"/>
      <c r="Q544" s="1293"/>
      <c r="R544" s="1293"/>
      <c r="S544" s="1293"/>
      <c r="T544" s="1293"/>
      <c r="U544" s="1293"/>
      <c r="V544" s="1293"/>
      <c r="W544" s="1293"/>
      <c r="X544" s="1293"/>
      <c r="Y544" s="1293"/>
      <c r="Z544" s="1293"/>
      <c r="AA544" s="1293"/>
      <c r="AB544" s="1293"/>
      <c r="AC544" s="1293"/>
      <c r="AD544" s="1293"/>
      <c r="AE544" s="1293"/>
      <c r="AF544" s="1293"/>
      <c r="AG544" s="1293"/>
      <c r="AH544" s="1293"/>
      <c r="AI544" s="1293"/>
      <c r="AJ544" s="1293"/>
      <c r="AK544" s="1293"/>
      <c r="AL544" s="1293"/>
      <c r="AM544" s="1293"/>
      <c r="AN544" s="1293"/>
      <c r="AO544" s="1293"/>
      <c r="AP544" s="1293"/>
      <c r="AQ544" s="1293"/>
      <c r="AR544" s="1293"/>
      <c r="AS544" s="1293"/>
      <c r="AT544" s="1293"/>
      <c r="AU544" s="1293"/>
      <c r="AV544" s="1293"/>
      <c r="AW544" s="1293"/>
      <c r="AX544" s="1293"/>
      <c r="AY544" s="1293"/>
      <c r="AZ544" s="1293"/>
      <c r="BA544" s="1293"/>
      <c r="BB544" s="1293"/>
      <c r="BC544" s="1293"/>
      <c r="BD544" s="1293"/>
      <c r="BE544" s="1293"/>
      <c r="BF544" s="1293"/>
      <c r="BG544" s="1293"/>
      <c r="BH544" s="1293"/>
      <c r="BI544" s="1293"/>
      <c r="BJ544" s="1293"/>
      <c r="BK544" s="1293"/>
      <c r="BL544" s="1293"/>
      <c r="BM544" s="1293"/>
      <c r="BN544" s="1293"/>
      <c r="BO544" s="1293"/>
      <c r="BP544" s="1293"/>
      <c r="BQ544" s="1293"/>
      <c r="BR544" s="1293"/>
      <c r="BS544" s="1293"/>
      <c r="BT544" s="1293"/>
      <c r="BU544" s="1293"/>
      <c r="BV544" s="1293"/>
      <c r="BW544" s="1293"/>
      <c r="BX544" s="1293"/>
      <c r="BY544" s="1293"/>
      <c r="BZ544" s="1293"/>
      <c r="CA544" s="1293"/>
      <c r="CB544" s="1293"/>
      <c r="CC544" s="1293"/>
      <c r="CD544" s="1293"/>
      <c r="CE544" s="1293"/>
      <c r="CF544" s="1293"/>
      <c r="CG544" s="1293"/>
    </row>
    <row r="545" spans="1:85" ht="15.75">
      <c r="A545" s="1293"/>
      <c r="B545" s="1293"/>
      <c r="C545" s="1293"/>
      <c r="D545" s="1293"/>
      <c r="E545" s="1293"/>
      <c r="F545" s="1293"/>
      <c r="G545" s="1293"/>
      <c r="H545" s="1293"/>
      <c r="I545" s="1293"/>
      <c r="J545" s="1293"/>
      <c r="K545" s="1293"/>
      <c r="L545" s="1293"/>
      <c r="M545" s="1293"/>
      <c r="N545" s="1293"/>
      <c r="O545" s="1293"/>
      <c r="P545" s="1293"/>
      <c r="Q545" s="1293"/>
      <c r="R545" s="1293"/>
      <c r="S545" s="1293"/>
      <c r="T545" s="1293"/>
      <c r="U545" s="1293"/>
      <c r="V545" s="1293"/>
      <c r="W545" s="1293"/>
      <c r="X545" s="1293"/>
      <c r="Y545" s="1293"/>
      <c r="Z545" s="1293"/>
      <c r="AA545" s="1293"/>
      <c r="AB545" s="1293"/>
      <c r="AC545" s="1293"/>
      <c r="AD545" s="1293"/>
      <c r="AE545" s="1293"/>
      <c r="AF545" s="1293"/>
      <c r="AG545" s="1293"/>
      <c r="AH545" s="1293"/>
      <c r="AI545" s="1293"/>
      <c r="AJ545" s="1293"/>
      <c r="AK545" s="1293"/>
      <c r="AL545" s="1293"/>
      <c r="AM545" s="1293"/>
      <c r="AN545" s="1293"/>
      <c r="AO545" s="1293"/>
      <c r="AP545" s="1293"/>
      <c r="AQ545" s="1293"/>
      <c r="AR545" s="1293"/>
      <c r="AS545" s="1293"/>
      <c r="AT545" s="1293"/>
      <c r="AU545" s="1293"/>
      <c r="AV545" s="1293"/>
      <c r="AW545" s="1293"/>
      <c r="AX545" s="1293"/>
      <c r="AY545" s="1293"/>
      <c r="AZ545" s="1293"/>
      <c r="BA545" s="1293"/>
      <c r="BB545" s="1293"/>
      <c r="BC545" s="1293"/>
      <c r="BD545" s="1293"/>
      <c r="BE545" s="1293"/>
      <c r="BF545" s="1293"/>
      <c r="BG545" s="1293"/>
      <c r="BH545" s="1293"/>
      <c r="BI545" s="1293"/>
      <c r="BJ545" s="1293"/>
      <c r="BK545" s="1293"/>
      <c r="BL545" s="1293"/>
      <c r="BM545" s="1293"/>
      <c r="BN545" s="1293"/>
      <c r="BO545" s="1293"/>
      <c r="BP545" s="1293"/>
      <c r="BQ545" s="1293"/>
      <c r="BR545" s="1293"/>
      <c r="BS545" s="1293"/>
      <c r="BT545" s="1293"/>
      <c r="BU545" s="1293"/>
      <c r="BV545" s="1293"/>
      <c r="BW545" s="1293"/>
      <c r="BX545" s="1293"/>
      <c r="BY545" s="1293"/>
      <c r="BZ545" s="1293"/>
      <c r="CA545" s="1293"/>
      <c r="CB545" s="1293"/>
      <c r="CC545" s="1293"/>
      <c r="CD545" s="1293"/>
      <c r="CE545" s="1293"/>
      <c r="CF545" s="1293"/>
      <c r="CG545" s="1293"/>
    </row>
    <row r="546" spans="1:85" ht="15.75">
      <c r="A546" s="1293"/>
      <c r="B546" s="1293"/>
      <c r="C546" s="1293"/>
      <c r="D546" s="1293"/>
      <c r="E546" s="1293"/>
      <c r="F546" s="1293"/>
      <c r="G546" s="1293"/>
      <c r="H546" s="1293"/>
      <c r="I546" s="1293"/>
      <c r="J546" s="1293"/>
      <c r="K546" s="1293"/>
      <c r="L546" s="1293"/>
      <c r="M546" s="1293"/>
      <c r="N546" s="1293"/>
      <c r="O546" s="1293"/>
      <c r="P546" s="1293"/>
      <c r="Q546" s="1293"/>
      <c r="R546" s="1293"/>
      <c r="S546" s="1293"/>
      <c r="T546" s="1293"/>
      <c r="U546" s="1293"/>
      <c r="V546" s="1293"/>
      <c r="W546" s="1293"/>
      <c r="X546" s="1293"/>
      <c r="Y546" s="1293"/>
      <c r="Z546" s="1293"/>
      <c r="AA546" s="1293"/>
      <c r="AB546" s="1293"/>
      <c r="AC546" s="1293"/>
      <c r="AD546" s="1293"/>
      <c r="AE546" s="1293"/>
      <c r="AF546" s="1293"/>
      <c r="AG546" s="1293"/>
      <c r="AH546" s="1293"/>
      <c r="AI546" s="1293"/>
      <c r="AJ546" s="1293"/>
      <c r="AK546" s="1293"/>
      <c r="AL546" s="1293"/>
      <c r="AM546" s="1293"/>
      <c r="AN546" s="1293"/>
      <c r="AO546" s="1293"/>
      <c r="AP546" s="1293"/>
      <c r="AQ546" s="1293"/>
      <c r="AR546" s="1293"/>
      <c r="AS546" s="1293"/>
      <c r="AT546" s="1293"/>
      <c r="AU546" s="1293"/>
      <c r="AV546" s="1293"/>
      <c r="AW546" s="1293"/>
      <c r="AX546" s="1293"/>
      <c r="AY546" s="1293"/>
      <c r="AZ546" s="1293"/>
      <c r="BA546" s="1293"/>
      <c r="BB546" s="1293"/>
      <c r="BC546" s="1293"/>
      <c r="BD546" s="1293"/>
      <c r="BE546" s="1293"/>
      <c r="BF546" s="1293"/>
      <c r="BG546" s="1293"/>
      <c r="BH546" s="1293"/>
      <c r="BI546" s="1293"/>
      <c r="BJ546" s="1293"/>
      <c r="BK546" s="1293"/>
      <c r="BL546" s="1293"/>
      <c r="BM546" s="1293"/>
      <c r="BN546" s="1293"/>
      <c r="BO546" s="1293"/>
      <c r="BP546" s="1293"/>
      <c r="BQ546" s="1293"/>
      <c r="BR546" s="1293"/>
      <c r="BS546" s="1293"/>
      <c r="BT546" s="1293"/>
      <c r="BU546" s="1293"/>
      <c r="BV546" s="1293"/>
      <c r="BW546" s="1293"/>
      <c r="BX546" s="1293"/>
      <c r="BY546" s="1293"/>
      <c r="BZ546" s="1293"/>
      <c r="CA546" s="1293"/>
      <c r="CB546" s="1293"/>
      <c r="CC546" s="1293"/>
      <c r="CD546" s="1293"/>
      <c r="CE546" s="1293"/>
      <c r="CF546" s="1293"/>
      <c r="CG546" s="1293"/>
    </row>
    <row r="547" spans="1:85" ht="15.75">
      <c r="A547" s="1293"/>
      <c r="B547" s="1293"/>
      <c r="C547" s="1293"/>
      <c r="D547" s="1293"/>
      <c r="E547" s="1293"/>
      <c r="F547" s="1293"/>
      <c r="G547" s="1293"/>
      <c r="H547" s="1293"/>
      <c r="I547" s="1293"/>
      <c r="J547" s="1293"/>
      <c r="K547" s="1293"/>
      <c r="L547" s="1293"/>
      <c r="M547" s="1293"/>
      <c r="N547" s="1293"/>
      <c r="O547" s="1293"/>
      <c r="P547" s="1293"/>
      <c r="Q547" s="1293"/>
      <c r="R547" s="1293"/>
      <c r="S547" s="1293"/>
      <c r="T547" s="1293"/>
      <c r="U547" s="1293"/>
      <c r="V547" s="1293"/>
      <c r="W547" s="1293"/>
      <c r="X547" s="1293"/>
      <c r="Y547" s="1293"/>
      <c r="Z547" s="1293"/>
      <c r="AA547" s="1293"/>
      <c r="AB547" s="1293"/>
      <c r="AC547" s="1293"/>
      <c r="AD547" s="1293"/>
      <c r="AE547" s="1293"/>
      <c r="AF547" s="1293"/>
      <c r="AG547" s="1293"/>
      <c r="AH547" s="1293"/>
      <c r="AI547" s="1293"/>
      <c r="AJ547" s="1293"/>
      <c r="AK547" s="1293"/>
      <c r="AL547" s="1293"/>
      <c r="AM547" s="1293"/>
      <c r="AN547" s="1293"/>
      <c r="AO547" s="1293"/>
      <c r="AP547" s="1293"/>
      <c r="AQ547" s="1293"/>
      <c r="AR547" s="1293"/>
      <c r="AS547" s="1293"/>
      <c r="AT547" s="1293"/>
      <c r="AU547" s="1293"/>
      <c r="AV547" s="1293"/>
      <c r="AW547" s="1293"/>
      <c r="AX547" s="1293"/>
      <c r="AY547" s="1293"/>
      <c r="AZ547" s="1293"/>
      <c r="BA547" s="1293"/>
      <c r="BB547" s="1293"/>
      <c r="BC547" s="1293"/>
      <c r="BD547" s="1293"/>
      <c r="BE547" s="1293"/>
      <c r="BF547" s="1293"/>
      <c r="BG547" s="1293"/>
      <c r="BH547" s="1293"/>
      <c r="BI547" s="1293"/>
      <c r="BJ547" s="1293"/>
      <c r="BK547" s="1293"/>
      <c r="BL547" s="1293"/>
      <c r="BM547" s="1293"/>
      <c r="BN547" s="1293"/>
      <c r="BO547" s="1293"/>
      <c r="BP547" s="1293"/>
      <c r="BQ547" s="1293"/>
      <c r="BR547" s="1293"/>
      <c r="BS547" s="1293"/>
      <c r="BT547" s="1293"/>
      <c r="BU547" s="1293"/>
      <c r="BV547" s="1293"/>
      <c r="BW547" s="1293"/>
      <c r="BX547" s="1293"/>
      <c r="BY547" s="1293"/>
      <c r="BZ547" s="1293"/>
      <c r="CA547" s="1293"/>
      <c r="CB547" s="1293"/>
      <c r="CC547" s="1293"/>
      <c r="CD547" s="1293"/>
      <c r="CE547" s="1293"/>
      <c r="CF547" s="1293"/>
      <c r="CG547" s="1293"/>
    </row>
    <row r="548" spans="1:85" ht="15.75">
      <c r="A548" s="1293"/>
      <c r="B548" s="1293"/>
      <c r="C548" s="1293"/>
      <c r="D548" s="1293"/>
      <c r="E548" s="1293"/>
      <c r="F548" s="1293"/>
      <c r="G548" s="1293"/>
      <c r="H548" s="1293"/>
      <c r="I548" s="1293"/>
      <c r="J548" s="1293"/>
      <c r="K548" s="1293"/>
      <c r="L548" s="1293"/>
      <c r="M548" s="1293"/>
      <c r="N548" s="1293"/>
      <c r="O548" s="1293"/>
      <c r="P548" s="1293"/>
      <c r="Q548" s="1293"/>
      <c r="R548" s="1293"/>
      <c r="S548" s="1293"/>
      <c r="T548" s="1293"/>
      <c r="U548" s="1293"/>
      <c r="V548" s="1293"/>
      <c r="W548" s="1293"/>
      <c r="X548" s="1293"/>
      <c r="Y548" s="1293"/>
      <c r="Z548" s="1293"/>
      <c r="AA548" s="1293"/>
      <c r="AB548" s="1293"/>
      <c r="AC548" s="1293"/>
      <c r="AD548" s="1293"/>
      <c r="AE548" s="1293"/>
      <c r="AF548" s="1293"/>
      <c r="AG548" s="1293"/>
      <c r="AH548" s="1293"/>
      <c r="AI548" s="1293"/>
      <c r="AJ548" s="1293"/>
      <c r="AK548" s="1293"/>
      <c r="AL548" s="1293"/>
      <c r="AM548" s="1293"/>
      <c r="AN548" s="1293"/>
      <c r="AO548" s="1293"/>
      <c r="AP548" s="1293"/>
      <c r="AQ548" s="1293"/>
      <c r="AR548" s="1293"/>
      <c r="AS548" s="1293"/>
      <c r="AT548" s="1293"/>
      <c r="AU548" s="1293"/>
      <c r="AV548" s="1293"/>
      <c r="AW548" s="1293"/>
      <c r="AX548" s="1293"/>
      <c r="AY548" s="1293"/>
      <c r="AZ548" s="1293"/>
      <c r="BA548" s="1293"/>
      <c r="BB548" s="1293"/>
      <c r="BC548" s="1293"/>
      <c r="BD548" s="1293"/>
      <c r="BE548" s="1293"/>
      <c r="BF548" s="1293"/>
      <c r="BG548" s="1293"/>
      <c r="BH548" s="1293"/>
      <c r="BI548" s="1293"/>
      <c r="BJ548" s="1293"/>
      <c r="BK548" s="1293"/>
      <c r="BL548" s="1293"/>
      <c r="BM548" s="1293"/>
      <c r="BN548" s="1293"/>
      <c r="BO548" s="1293"/>
      <c r="BP548" s="1293"/>
      <c r="BQ548" s="1293"/>
      <c r="BR548" s="1293"/>
      <c r="BS548" s="1293"/>
      <c r="BT548" s="1293"/>
      <c r="BU548" s="1293"/>
      <c r="BV548" s="1293"/>
      <c r="BW548" s="1293"/>
      <c r="BX548" s="1293"/>
      <c r="BY548" s="1293"/>
      <c r="BZ548" s="1293"/>
      <c r="CA548" s="1293"/>
      <c r="CB548" s="1293"/>
      <c r="CC548" s="1293"/>
      <c r="CD548" s="1293"/>
      <c r="CE548" s="1293"/>
      <c r="CF548" s="1293"/>
      <c r="CG548" s="1293"/>
    </row>
    <row r="549" spans="1:85" ht="15.75">
      <c r="A549" s="1293"/>
      <c r="B549" s="1293"/>
      <c r="C549" s="1293"/>
      <c r="D549" s="1293"/>
      <c r="E549" s="1293"/>
      <c r="F549" s="1293"/>
      <c r="G549" s="1293"/>
      <c r="H549" s="1293"/>
      <c r="I549" s="1293"/>
      <c r="J549" s="1293"/>
      <c r="K549" s="1293"/>
      <c r="L549" s="1293"/>
      <c r="M549" s="1293"/>
      <c r="N549" s="1293"/>
      <c r="O549" s="1293"/>
      <c r="P549" s="1293"/>
      <c r="Q549" s="1293"/>
      <c r="R549" s="1293"/>
      <c r="S549" s="1293"/>
      <c r="T549" s="1293"/>
      <c r="U549" s="1293"/>
      <c r="V549" s="1293"/>
      <c r="W549" s="1293"/>
      <c r="X549" s="1293"/>
      <c r="Y549" s="1293"/>
      <c r="Z549" s="1293"/>
      <c r="AA549" s="1293"/>
      <c r="AB549" s="1293"/>
      <c r="AC549" s="1293"/>
      <c r="AD549" s="1293"/>
      <c r="AE549" s="1293"/>
      <c r="AF549" s="1293"/>
      <c r="AG549" s="1293"/>
      <c r="AH549" s="1293"/>
      <c r="AI549" s="1293"/>
      <c r="AJ549" s="1293"/>
      <c r="AK549" s="1293"/>
      <c r="AL549" s="1293"/>
      <c r="AM549" s="1293"/>
      <c r="AN549" s="1293"/>
      <c r="AO549" s="1293"/>
      <c r="AP549" s="1293"/>
      <c r="AQ549" s="1293"/>
      <c r="AR549" s="1293"/>
      <c r="AS549" s="1293"/>
      <c r="AT549" s="1293"/>
      <c r="AU549" s="1293"/>
      <c r="AV549" s="1293"/>
      <c r="AW549" s="1293"/>
      <c r="AX549" s="1293"/>
      <c r="AY549" s="1293"/>
      <c r="AZ549" s="1293"/>
      <c r="BA549" s="1293"/>
      <c r="BB549" s="1293"/>
      <c r="BC549" s="1293"/>
      <c r="BD549" s="1293"/>
      <c r="BE549" s="1293"/>
      <c r="BF549" s="1293"/>
      <c r="BG549" s="1293"/>
      <c r="BH549" s="1293"/>
      <c r="BI549" s="1293"/>
      <c r="BJ549" s="1293"/>
      <c r="BK549" s="1293"/>
      <c r="BL549" s="1293"/>
      <c r="BM549" s="1293"/>
      <c r="BN549" s="1293"/>
      <c r="BO549" s="1293"/>
      <c r="BP549" s="1293"/>
      <c r="BQ549" s="1293"/>
      <c r="BR549" s="1293"/>
      <c r="BS549" s="1293"/>
      <c r="BT549" s="1293"/>
      <c r="BU549" s="1293"/>
      <c r="BV549" s="1293"/>
      <c r="BW549" s="1293"/>
      <c r="BX549" s="1293"/>
      <c r="BY549" s="1293"/>
      <c r="BZ549" s="1293"/>
      <c r="CA549" s="1293"/>
      <c r="CB549" s="1293"/>
      <c r="CC549" s="1293"/>
      <c r="CD549" s="1293"/>
      <c r="CE549" s="1293"/>
      <c r="CF549" s="1293"/>
      <c r="CG549" s="1293"/>
    </row>
    <row r="550" spans="1:85" ht="15.75">
      <c r="A550" s="1293"/>
      <c r="B550" s="1293"/>
      <c r="C550" s="1293"/>
      <c r="D550" s="1293"/>
      <c r="E550" s="1293"/>
      <c r="F550" s="1293"/>
      <c r="G550" s="1293"/>
      <c r="H550" s="1293"/>
      <c r="I550" s="1293"/>
      <c r="J550" s="1293"/>
      <c r="K550" s="1293"/>
      <c r="L550" s="1293"/>
      <c r="M550" s="1293"/>
      <c r="N550" s="1293"/>
      <c r="O550" s="1293"/>
      <c r="P550" s="1293"/>
      <c r="Q550" s="1293"/>
      <c r="R550" s="1293"/>
      <c r="S550" s="1293"/>
      <c r="T550" s="1293"/>
      <c r="U550" s="1293"/>
      <c r="V550" s="1293"/>
      <c r="W550" s="1293"/>
      <c r="X550" s="1293"/>
      <c r="Y550" s="1293"/>
      <c r="Z550" s="1293"/>
      <c r="AA550" s="1293"/>
      <c r="AB550" s="1293"/>
      <c r="AC550" s="1293"/>
      <c r="AD550" s="1293"/>
      <c r="AE550" s="1293"/>
      <c r="AF550" s="1293"/>
      <c r="AG550" s="1293"/>
      <c r="AH550" s="1293"/>
      <c r="AI550" s="1293"/>
      <c r="AJ550" s="1293"/>
      <c r="AK550" s="1293"/>
      <c r="AL550" s="1293"/>
      <c r="AM550" s="1293"/>
      <c r="AN550" s="1293"/>
      <c r="AO550" s="1293"/>
      <c r="AP550" s="1293"/>
      <c r="AQ550" s="1293"/>
      <c r="AR550" s="1293"/>
      <c r="AS550" s="1293"/>
      <c r="AT550" s="1293"/>
      <c r="AU550" s="1293"/>
      <c r="AV550" s="1293"/>
      <c r="AW550" s="1293"/>
      <c r="AX550" s="1293"/>
      <c r="AY550" s="1293"/>
      <c r="AZ550" s="1293"/>
      <c r="BA550" s="1293"/>
      <c r="BB550" s="1293"/>
      <c r="BC550" s="1293"/>
      <c r="BD550" s="1293"/>
      <c r="BE550" s="1293"/>
      <c r="BF550" s="1293"/>
      <c r="BG550" s="1293"/>
      <c r="BH550" s="1293"/>
      <c r="BI550" s="1293"/>
      <c r="BJ550" s="1293"/>
      <c r="BK550" s="1293"/>
      <c r="BL550" s="1293"/>
      <c r="BM550" s="1293"/>
      <c r="BN550" s="1293"/>
      <c r="BO550" s="1293"/>
      <c r="BP550" s="1293"/>
      <c r="BQ550" s="1293"/>
      <c r="BR550" s="1293"/>
      <c r="BS550" s="1293"/>
      <c r="BT550" s="1293"/>
      <c r="BU550" s="1293"/>
      <c r="BV550" s="1293"/>
      <c r="BW550" s="1293"/>
      <c r="BX550" s="1293"/>
      <c r="BY550" s="1293"/>
      <c r="BZ550" s="1293"/>
      <c r="CA550" s="1293"/>
      <c r="CB550" s="1293"/>
      <c r="CC550" s="1293"/>
      <c r="CD550" s="1293"/>
      <c r="CE550" s="1293"/>
      <c r="CF550" s="1293"/>
      <c r="CG550" s="1293"/>
    </row>
    <row r="551" spans="1:85" ht="15.75">
      <c r="A551" s="1293"/>
      <c r="B551" s="1293"/>
      <c r="C551" s="1293"/>
      <c r="D551" s="1293"/>
      <c r="E551" s="1293"/>
      <c r="F551" s="1293"/>
      <c r="G551" s="1293"/>
      <c r="H551" s="1293"/>
      <c r="I551" s="1293"/>
      <c r="J551" s="1293"/>
      <c r="K551" s="1293"/>
      <c r="L551" s="1293"/>
      <c r="M551" s="1293"/>
      <c r="N551" s="1293"/>
      <c r="O551" s="1293"/>
      <c r="P551" s="1293"/>
      <c r="Q551" s="1293"/>
      <c r="R551" s="1293"/>
      <c r="S551" s="1293"/>
      <c r="T551" s="1293"/>
      <c r="U551" s="1293"/>
      <c r="V551" s="1293"/>
      <c r="W551" s="1293"/>
      <c r="X551" s="1293"/>
      <c r="Y551" s="1293"/>
      <c r="Z551" s="1293"/>
      <c r="AA551" s="1293"/>
      <c r="AB551" s="1293"/>
      <c r="AC551" s="1293"/>
      <c r="AD551" s="1293"/>
      <c r="AE551" s="1293"/>
      <c r="AF551" s="1293"/>
      <c r="AG551" s="1293"/>
      <c r="AH551" s="1293"/>
      <c r="AI551" s="1293"/>
      <c r="AJ551" s="1293"/>
      <c r="AK551" s="1293"/>
      <c r="AL551" s="1293"/>
      <c r="AM551" s="1293"/>
      <c r="AN551" s="1293"/>
      <c r="AO551" s="1293"/>
      <c r="AP551" s="1293"/>
      <c r="AQ551" s="1293"/>
      <c r="AR551" s="1293"/>
      <c r="AS551" s="1293"/>
      <c r="AT551" s="1293"/>
      <c r="AU551" s="1293"/>
      <c r="AV551" s="1293"/>
      <c r="AW551" s="1293"/>
      <c r="AX551" s="1293"/>
      <c r="AY551" s="1293"/>
      <c r="AZ551" s="1293"/>
      <c r="BA551" s="1293"/>
      <c r="BB551" s="1293"/>
      <c r="BC551" s="1293"/>
      <c r="BD551" s="1293"/>
      <c r="BE551" s="1293"/>
      <c r="BF551" s="1293"/>
      <c r="BG551" s="1293"/>
      <c r="BH551" s="1293"/>
      <c r="BI551" s="1293"/>
      <c r="BJ551" s="1293"/>
      <c r="BK551" s="1293"/>
      <c r="BL551" s="1293"/>
      <c r="BM551" s="1293"/>
      <c r="BN551" s="1293"/>
      <c r="BO551" s="1293"/>
      <c r="BP551" s="1293"/>
      <c r="BQ551" s="1293"/>
      <c r="BR551" s="1293"/>
      <c r="BS551" s="1293"/>
      <c r="BT551" s="1293"/>
      <c r="BU551" s="1293"/>
      <c r="BV551" s="1293"/>
      <c r="BW551" s="1293"/>
      <c r="BX551" s="1293"/>
      <c r="BY551" s="1293"/>
      <c r="BZ551" s="1293"/>
      <c r="CA551" s="1293"/>
      <c r="CB551" s="1293"/>
      <c r="CC551" s="1293"/>
      <c r="CD551" s="1293"/>
      <c r="CE551" s="1293"/>
      <c r="CF551" s="1293"/>
      <c r="CG551" s="1293"/>
    </row>
    <row r="552" spans="1:85" ht="15.75">
      <c r="A552" s="1293"/>
      <c r="B552" s="1293"/>
      <c r="C552" s="1293"/>
      <c r="D552" s="1293"/>
      <c r="E552" s="1293"/>
      <c r="F552" s="1293"/>
      <c r="G552" s="1293"/>
      <c r="H552" s="1293"/>
      <c r="I552" s="1293"/>
      <c r="J552" s="1293"/>
      <c r="K552" s="1293"/>
      <c r="L552" s="1293"/>
      <c r="M552" s="1293"/>
      <c r="N552" s="1293"/>
      <c r="O552" s="1293"/>
      <c r="P552" s="1293"/>
      <c r="Q552" s="1293"/>
      <c r="R552" s="1293"/>
      <c r="S552" s="1293"/>
      <c r="T552" s="1293"/>
      <c r="U552" s="1293"/>
      <c r="V552" s="1293"/>
      <c r="W552" s="1293"/>
      <c r="X552" s="1293"/>
      <c r="Y552" s="1293"/>
      <c r="Z552" s="1293"/>
      <c r="AA552" s="1293"/>
      <c r="AB552" s="1293"/>
      <c r="AC552" s="1293"/>
      <c r="AD552" s="1293"/>
      <c r="AE552" s="1293"/>
      <c r="AF552" s="1293"/>
      <c r="AG552" s="1293"/>
      <c r="AH552" s="1293"/>
      <c r="AI552" s="1293"/>
      <c r="AJ552" s="1293"/>
      <c r="AK552" s="1293"/>
      <c r="AL552" s="1293"/>
      <c r="AM552" s="1293"/>
      <c r="AN552" s="1293"/>
      <c r="AO552" s="1293"/>
      <c r="AP552" s="1293"/>
      <c r="AQ552" s="1293"/>
      <c r="AR552" s="1293"/>
      <c r="AS552" s="1293"/>
      <c r="AT552" s="1293"/>
      <c r="AU552" s="1293"/>
      <c r="AV552" s="1293"/>
      <c r="AW552" s="1293"/>
      <c r="AX552" s="1293"/>
      <c r="AY552" s="1293"/>
      <c r="AZ552" s="1293"/>
      <c r="BA552" s="1293"/>
      <c r="BB552" s="1293"/>
      <c r="BC552" s="1293"/>
      <c r="BD552" s="1293"/>
      <c r="BE552" s="1293"/>
      <c r="BF552" s="1293"/>
      <c r="BG552" s="1293"/>
      <c r="BH552" s="1293"/>
      <c r="BI552" s="1293"/>
      <c r="BJ552" s="1293"/>
      <c r="BK552" s="1293"/>
      <c r="BL552" s="1293"/>
      <c r="BM552" s="1293"/>
      <c r="BN552" s="1293"/>
      <c r="BO552" s="1293"/>
      <c r="BP552" s="1293"/>
      <c r="BQ552" s="1293"/>
      <c r="BR552" s="1293"/>
      <c r="BS552" s="1293"/>
      <c r="BT552" s="1293"/>
      <c r="BU552" s="1293"/>
      <c r="BV552" s="1293"/>
      <c r="BW552" s="1293"/>
      <c r="BX552" s="1293"/>
      <c r="BY552" s="1293"/>
      <c r="BZ552" s="1293"/>
      <c r="CA552" s="1293"/>
      <c r="CB552" s="1293"/>
      <c r="CC552" s="1293"/>
      <c r="CD552" s="1293"/>
      <c r="CE552" s="1293"/>
      <c r="CF552" s="1293"/>
      <c r="CG552" s="1293"/>
    </row>
    <row r="553" spans="1:85" ht="15.75">
      <c r="A553" s="1293"/>
      <c r="B553" s="1293"/>
      <c r="C553" s="1293"/>
      <c r="D553" s="1293"/>
      <c r="E553" s="1293"/>
      <c r="F553" s="1293"/>
      <c r="G553" s="1293"/>
      <c r="H553" s="1293"/>
      <c r="I553" s="1293"/>
      <c r="J553" s="1293"/>
      <c r="K553" s="1293"/>
      <c r="L553" s="1293"/>
      <c r="M553" s="1293"/>
      <c r="N553" s="1293"/>
      <c r="O553" s="1293"/>
      <c r="P553" s="1293"/>
      <c r="Q553" s="1293"/>
      <c r="R553" s="1293"/>
      <c r="S553" s="1293"/>
      <c r="T553" s="1293"/>
      <c r="U553" s="1293"/>
      <c r="V553" s="1293"/>
      <c r="W553" s="1293"/>
      <c r="X553" s="1293"/>
      <c r="Y553" s="1293"/>
      <c r="Z553" s="1293"/>
      <c r="AA553" s="1293"/>
      <c r="AB553" s="1293"/>
      <c r="AC553" s="1293"/>
      <c r="AD553" s="1293"/>
      <c r="AE553" s="1293"/>
      <c r="AF553" s="1293"/>
      <c r="AG553" s="1293"/>
      <c r="AH553" s="1293"/>
      <c r="AI553" s="1293"/>
      <c r="AJ553" s="1293"/>
      <c r="AK553" s="1293"/>
      <c r="AL553" s="1293"/>
      <c r="AM553" s="1293"/>
      <c r="AN553" s="1293"/>
      <c r="AO553" s="1293"/>
      <c r="AP553" s="1293"/>
      <c r="AQ553" s="1293"/>
      <c r="AR553" s="1293"/>
      <c r="AS553" s="1293"/>
      <c r="AT553" s="1293"/>
      <c r="AU553" s="1293"/>
      <c r="AV553" s="1293"/>
      <c r="AW553" s="1293"/>
      <c r="AX553" s="1293"/>
      <c r="AY553" s="1293"/>
      <c r="AZ553" s="1293"/>
      <c r="BA553" s="1293"/>
      <c r="BB553" s="1293"/>
      <c r="BC553" s="1293"/>
      <c r="BD553" s="1293"/>
      <c r="BE553" s="1293"/>
      <c r="BF553" s="1293"/>
      <c r="BG553" s="1293"/>
      <c r="BH553" s="1293"/>
      <c r="BI553" s="1293"/>
      <c r="BJ553" s="1293"/>
      <c r="BK553" s="1293"/>
      <c r="BL553" s="1293"/>
      <c r="BM553" s="1293"/>
      <c r="BN553" s="1293"/>
      <c r="BO553" s="1293"/>
      <c r="BP553" s="1293"/>
      <c r="BQ553" s="1293"/>
      <c r="BR553" s="1293"/>
      <c r="BS553" s="1293"/>
      <c r="BT553" s="1293"/>
      <c r="BU553" s="1293"/>
      <c r="BV553" s="1293"/>
      <c r="BW553" s="1293"/>
      <c r="BX553" s="1293"/>
      <c r="BY553" s="1293"/>
      <c r="BZ553" s="1293"/>
      <c r="CA553" s="1293"/>
      <c r="CB553" s="1293"/>
      <c r="CC553" s="1293"/>
      <c r="CD553" s="1293"/>
      <c r="CE553" s="1293"/>
      <c r="CF553" s="1293"/>
      <c r="CG553" s="1293"/>
    </row>
    <row r="554" spans="1:85" ht="15.75">
      <c r="A554" s="1293"/>
      <c r="B554" s="1293"/>
      <c r="C554" s="1293"/>
      <c r="D554" s="1293"/>
      <c r="E554" s="1293"/>
      <c r="F554" s="1293"/>
      <c r="G554" s="1293"/>
      <c r="H554" s="1293"/>
      <c r="I554" s="1293"/>
      <c r="J554" s="1293"/>
      <c r="K554" s="1293"/>
      <c r="L554" s="1293"/>
      <c r="M554" s="1293"/>
      <c r="N554" s="1293"/>
      <c r="O554" s="1293"/>
      <c r="P554" s="1293"/>
      <c r="Q554" s="1293"/>
      <c r="R554" s="1293"/>
      <c r="S554" s="1293"/>
      <c r="T554" s="1293"/>
      <c r="U554" s="1293"/>
      <c r="V554" s="1293"/>
      <c r="W554" s="1293"/>
      <c r="X554" s="1293"/>
      <c r="Y554" s="1293"/>
      <c r="Z554" s="1293"/>
      <c r="AA554" s="1293"/>
      <c r="AB554" s="1293"/>
      <c r="AC554" s="1293"/>
      <c r="AD554" s="1293"/>
      <c r="AE554" s="1293"/>
      <c r="AF554" s="1293"/>
      <c r="AG554" s="1293"/>
      <c r="AH554" s="1293"/>
      <c r="AI554" s="1293"/>
      <c r="AJ554" s="1293"/>
      <c r="AK554" s="1293"/>
      <c r="AL554" s="1293"/>
      <c r="AM554" s="1293"/>
      <c r="AN554" s="1293"/>
      <c r="AO554" s="1293"/>
      <c r="AP554" s="1293"/>
      <c r="AQ554" s="1293"/>
      <c r="AR554" s="1293"/>
      <c r="AS554" s="1293"/>
      <c r="AT554" s="1293"/>
      <c r="AU554" s="1293"/>
      <c r="AV554" s="1293"/>
      <c r="AW554" s="1293"/>
      <c r="AX554" s="1293"/>
      <c r="AY554" s="1293"/>
      <c r="AZ554" s="1293"/>
      <c r="BA554" s="1293"/>
      <c r="BB554" s="1293"/>
      <c r="BC554" s="1293"/>
      <c r="BD554" s="1293"/>
      <c r="BE554" s="1293"/>
      <c r="BF554" s="1293"/>
      <c r="BG554" s="1293"/>
      <c r="BH554" s="1293"/>
      <c r="BI554" s="1293"/>
      <c r="BJ554" s="1293"/>
      <c r="BK554" s="1293"/>
      <c r="BL554" s="1293"/>
      <c r="BM554" s="1293"/>
      <c r="BN554" s="1293"/>
      <c r="BO554" s="1293"/>
      <c r="BP554" s="1293"/>
      <c r="BQ554" s="1293"/>
      <c r="BR554" s="1293"/>
      <c r="BS554" s="1293"/>
      <c r="BT554" s="1293"/>
      <c r="BU554" s="1293"/>
      <c r="BV554" s="1293"/>
      <c r="BW554" s="1293"/>
      <c r="BX554" s="1293"/>
      <c r="BY554" s="1293"/>
      <c r="BZ554" s="1293"/>
      <c r="CA554" s="1293"/>
      <c r="CB554" s="1293"/>
      <c r="CC554" s="1293"/>
      <c r="CD554" s="1293"/>
      <c r="CE554" s="1293"/>
      <c r="CF554" s="1293"/>
      <c r="CG554" s="1293"/>
    </row>
    <row r="555" spans="1:85" ht="15.75">
      <c r="A555" s="1293"/>
      <c r="B555" s="1293"/>
      <c r="C555" s="1293"/>
      <c r="D555" s="1293"/>
      <c r="E555" s="1293"/>
      <c r="F555" s="1293"/>
      <c r="G555" s="1293"/>
      <c r="H555" s="1293"/>
      <c r="I555" s="1293"/>
      <c r="J555" s="1293"/>
      <c r="K555" s="1293"/>
      <c r="L555" s="1293"/>
      <c r="M555" s="1293"/>
      <c r="N555" s="1293"/>
      <c r="O555" s="1293"/>
      <c r="P555" s="1293"/>
      <c r="Q555" s="1293"/>
      <c r="R555" s="1293"/>
      <c r="S555" s="1293"/>
      <c r="T555" s="1293"/>
      <c r="U555" s="1293"/>
      <c r="V555" s="1293"/>
      <c r="W555" s="1293"/>
      <c r="X555" s="1293"/>
      <c r="Y555" s="1293"/>
      <c r="Z555" s="1293"/>
      <c r="AA555" s="1293"/>
      <c r="AB555" s="1293"/>
      <c r="AC555" s="1293"/>
      <c r="AD555" s="1293"/>
      <c r="AE555" s="1293"/>
      <c r="AF555" s="1293"/>
      <c r="AG555" s="1293"/>
      <c r="AH555" s="1293"/>
      <c r="AI555" s="1293"/>
      <c r="AJ555" s="1293"/>
      <c r="AK555" s="1293"/>
      <c r="AL555" s="1293"/>
      <c r="AM555" s="1293"/>
      <c r="AN555" s="1293"/>
      <c r="AO555" s="1293"/>
      <c r="AP555" s="1293"/>
      <c r="AQ555" s="1293"/>
      <c r="AR555" s="1293"/>
      <c r="AS555" s="1293"/>
      <c r="AT555" s="1293"/>
      <c r="AU555" s="1293"/>
      <c r="AV555" s="1293"/>
      <c r="AW555" s="1293"/>
      <c r="AX555" s="1293"/>
      <c r="AY555" s="1293"/>
      <c r="AZ555" s="1293"/>
      <c r="BA555" s="1293"/>
      <c r="BB555" s="1293"/>
      <c r="BC555" s="1293"/>
      <c r="BD555" s="1293"/>
      <c r="BE555" s="1293"/>
      <c r="BF555" s="1293"/>
      <c r="BG555" s="1293"/>
      <c r="BH555" s="1293"/>
      <c r="BI555" s="1293"/>
      <c r="BJ555" s="1293"/>
      <c r="BK555" s="1293"/>
      <c r="BL555" s="1293"/>
      <c r="BM555" s="1293"/>
      <c r="BN555" s="1293"/>
      <c r="BO555" s="1293"/>
      <c r="BP555" s="1293"/>
      <c r="BQ555" s="1293"/>
      <c r="BR555" s="1293"/>
      <c r="BS555" s="1293"/>
      <c r="BT555" s="1293"/>
      <c r="BU555" s="1293"/>
      <c r="BV555" s="1293"/>
      <c r="BW555" s="1293"/>
      <c r="BX555" s="1293"/>
      <c r="BY555" s="1293"/>
      <c r="BZ555" s="1293"/>
      <c r="CA555" s="1293"/>
      <c r="CB555" s="1293"/>
      <c r="CC555" s="1293"/>
      <c r="CD555" s="1293"/>
      <c r="CE555" s="1293"/>
      <c r="CF555" s="1293"/>
      <c r="CG555" s="1293"/>
    </row>
    <row r="556" spans="1:85" ht="15.75">
      <c r="A556" s="1293"/>
      <c r="B556" s="1293"/>
      <c r="C556" s="1293"/>
      <c r="D556" s="1293"/>
      <c r="E556" s="1293"/>
      <c r="F556" s="1293"/>
      <c r="G556" s="1293"/>
      <c r="H556" s="1293"/>
      <c r="I556" s="1293"/>
      <c r="J556" s="1293"/>
      <c r="K556" s="1293"/>
      <c r="L556" s="1293"/>
      <c r="M556" s="1293"/>
      <c r="N556" s="1293"/>
      <c r="O556" s="1293"/>
      <c r="P556" s="1293"/>
      <c r="Q556" s="1293"/>
      <c r="R556" s="1293"/>
      <c r="S556" s="1293"/>
      <c r="T556" s="1293"/>
      <c r="U556" s="1293"/>
      <c r="V556" s="1293"/>
      <c r="W556" s="1293"/>
      <c r="X556" s="1293"/>
      <c r="Y556" s="1293"/>
      <c r="Z556" s="1293"/>
      <c r="AA556" s="1293"/>
      <c r="AB556" s="1293"/>
      <c r="AC556" s="1293"/>
      <c r="AD556" s="1293"/>
      <c r="AE556" s="1293"/>
      <c r="AF556" s="1293"/>
      <c r="AG556" s="1293"/>
      <c r="AH556" s="1293"/>
      <c r="AI556" s="1293"/>
      <c r="AJ556" s="1293"/>
      <c r="AK556" s="1293"/>
      <c r="AL556" s="1293"/>
      <c r="AM556" s="1293"/>
      <c r="AN556" s="1293"/>
      <c r="AO556" s="1293"/>
      <c r="AP556" s="1293"/>
      <c r="AQ556" s="1293"/>
      <c r="AR556" s="1293"/>
      <c r="AS556" s="1293"/>
      <c r="AT556" s="1293"/>
      <c r="AU556" s="1293"/>
      <c r="AV556" s="1293"/>
      <c r="AW556" s="1293"/>
      <c r="AX556" s="1293"/>
      <c r="AY556" s="1293"/>
      <c r="AZ556" s="1293"/>
      <c r="BA556" s="1293"/>
      <c r="BB556" s="1293"/>
      <c r="BC556" s="1293"/>
      <c r="BD556" s="1293"/>
      <c r="BE556" s="1293"/>
      <c r="BF556" s="1293"/>
      <c r="BG556" s="1293"/>
      <c r="BH556" s="1293"/>
      <c r="BI556" s="1293"/>
      <c r="BJ556" s="1293"/>
      <c r="BK556" s="1293"/>
      <c r="BL556" s="1293"/>
      <c r="BM556" s="1293"/>
      <c r="BN556" s="1293"/>
      <c r="BO556" s="1293"/>
      <c r="BP556" s="1293"/>
      <c r="BQ556" s="1293"/>
      <c r="BR556" s="1293"/>
      <c r="BS556" s="1293"/>
      <c r="BT556" s="1293"/>
      <c r="BU556" s="1293"/>
      <c r="BV556" s="1293"/>
      <c r="BW556" s="1293"/>
      <c r="BX556" s="1293"/>
      <c r="BY556" s="1293"/>
      <c r="BZ556" s="1293"/>
      <c r="CA556" s="1293"/>
      <c r="CB556" s="1293"/>
      <c r="CC556" s="1293"/>
      <c r="CD556" s="1293"/>
      <c r="CE556" s="1293"/>
      <c r="CF556" s="1293"/>
      <c r="CG556" s="1293"/>
    </row>
    <row r="557" spans="1:85" ht="15.75">
      <c r="A557" s="1293"/>
      <c r="B557" s="1293"/>
      <c r="C557" s="1293"/>
      <c r="D557" s="1293"/>
      <c r="E557" s="1293"/>
      <c r="F557" s="1293"/>
      <c r="G557" s="1293"/>
      <c r="H557" s="1293"/>
      <c r="I557" s="1293"/>
      <c r="J557" s="1293"/>
      <c r="K557" s="1293"/>
      <c r="L557" s="1293"/>
      <c r="M557" s="1293"/>
      <c r="N557" s="1293"/>
      <c r="O557" s="1293"/>
      <c r="P557" s="1293"/>
      <c r="Q557" s="1293"/>
      <c r="R557" s="1293"/>
      <c r="S557" s="1293"/>
      <c r="T557" s="1293"/>
      <c r="U557" s="1293"/>
      <c r="V557" s="1293"/>
      <c r="W557" s="1293"/>
      <c r="X557" s="1293"/>
      <c r="Y557" s="1293"/>
      <c r="Z557" s="1293"/>
      <c r="AA557" s="1293"/>
      <c r="AB557" s="1293"/>
      <c r="AC557" s="1293"/>
      <c r="AD557" s="1293"/>
      <c r="AE557" s="1293"/>
      <c r="AF557" s="1293"/>
      <c r="AG557" s="1293"/>
      <c r="AH557" s="1293"/>
      <c r="AI557" s="1293"/>
      <c r="AJ557" s="1293"/>
      <c r="AK557" s="1293"/>
      <c r="AL557" s="1293"/>
      <c r="AM557" s="1293"/>
      <c r="AN557" s="1293"/>
      <c r="AO557" s="1293"/>
      <c r="AP557" s="1293"/>
      <c r="AQ557" s="1293"/>
      <c r="AR557" s="1293"/>
      <c r="AS557" s="1293"/>
      <c r="AT557" s="1293"/>
      <c r="AU557" s="1293"/>
      <c r="AV557" s="1293"/>
      <c r="AW557" s="1293"/>
      <c r="AX557" s="1293"/>
      <c r="AY557" s="1293"/>
      <c r="AZ557" s="1293"/>
      <c r="BA557" s="1293"/>
      <c r="BB557" s="1293"/>
      <c r="BC557" s="1293"/>
      <c r="BD557" s="1293"/>
      <c r="BE557" s="1293"/>
      <c r="BF557" s="1293"/>
      <c r="BG557" s="1293"/>
      <c r="BH557" s="1293"/>
      <c r="BI557" s="1293"/>
      <c r="BJ557" s="1293"/>
      <c r="BK557" s="1293"/>
      <c r="BL557" s="1293"/>
      <c r="BM557" s="1293"/>
      <c r="BN557" s="1293"/>
      <c r="BO557" s="1293"/>
      <c r="BP557" s="1293"/>
      <c r="BQ557" s="1293"/>
      <c r="BR557" s="1293"/>
      <c r="BS557" s="1293"/>
      <c r="BT557" s="1293"/>
      <c r="BU557" s="1293"/>
      <c r="BV557" s="1293"/>
      <c r="BW557" s="1293"/>
      <c r="BX557" s="1293"/>
      <c r="BY557" s="1293"/>
      <c r="BZ557" s="1293"/>
      <c r="CA557" s="1293"/>
      <c r="CB557" s="1293"/>
      <c r="CC557" s="1293"/>
      <c r="CD557" s="1293"/>
      <c r="CE557" s="1293"/>
      <c r="CF557" s="1293"/>
      <c r="CG557" s="1293"/>
    </row>
    <row r="558" spans="1:85" ht="15.75">
      <c r="A558" s="1293"/>
      <c r="B558" s="1293"/>
      <c r="C558" s="1293"/>
      <c r="D558" s="1293"/>
      <c r="E558" s="1293"/>
      <c r="F558" s="1293"/>
      <c r="G558" s="1293"/>
      <c r="H558" s="1293"/>
      <c r="I558" s="1293"/>
      <c r="J558" s="1293"/>
      <c r="K558" s="1293"/>
      <c r="L558" s="1293"/>
      <c r="M558" s="1293"/>
      <c r="N558" s="1293"/>
      <c r="O558" s="1293"/>
      <c r="P558" s="1293"/>
      <c r="Q558" s="1293"/>
      <c r="R558" s="1293"/>
      <c r="S558" s="1293"/>
      <c r="T558" s="1293"/>
      <c r="U558" s="1293"/>
      <c r="V558" s="1293"/>
      <c r="W558" s="1293"/>
      <c r="X558" s="1293"/>
      <c r="Y558" s="1293"/>
      <c r="Z558" s="1293"/>
      <c r="AA558" s="1293"/>
      <c r="AB558" s="1293"/>
      <c r="AC558" s="1293"/>
      <c r="AD558" s="1293"/>
      <c r="AE558" s="1293"/>
      <c r="AF558" s="1293"/>
      <c r="AG558" s="1293"/>
      <c r="AH558" s="1293"/>
      <c r="AI558" s="1293"/>
      <c r="AJ558" s="1293"/>
      <c r="AK558" s="1293"/>
      <c r="AL558" s="1293"/>
      <c r="AM558" s="1293"/>
      <c r="AN558" s="1293"/>
      <c r="AO558" s="1293"/>
      <c r="AP558" s="1293"/>
      <c r="AQ558" s="1293"/>
      <c r="AR558" s="1293"/>
      <c r="AS558" s="1293"/>
      <c r="AT558" s="1293"/>
      <c r="AU558" s="1293"/>
      <c r="AV558" s="1293"/>
      <c r="AW558" s="1293"/>
      <c r="AX558" s="1293"/>
      <c r="AY558" s="1293"/>
      <c r="AZ558" s="1293"/>
      <c r="BA558" s="1293"/>
      <c r="BB558" s="1293"/>
      <c r="BC558" s="1293"/>
      <c r="BD558" s="1293"/>
      <c r="BE558" s="1293"/>
      <c r="BF558" s="1293"/>
      <c r="BG558" s="1293"/>
      <c r="BH558" s="1293"/>
      <c r="BI558" s="1293"/>
      <c r="BJ558" s="1293"/>
      <c r="BK558" s="1293"/>
      <c r="BL558" s="1293"/>
      <c r="BM558" s="1293"/>
      <c r="BN558" s="1293"/>
      <c r="BO558" s="1293"/>
      <c r="BP558" s="1293"/>
      <c r="BQ558" s="1293"/>
      <c r="BR558" s="1293"/>
      <c r="BS558" s="1293"/>
      <c r="BT558" s="1293"/>
      <c r="BU558" s="1293"/>
      <c r="BV558" s="1293"/>
      <c r="BW558" s="1293"/>
      <c r="BX558" s="1293"/>
      <c r="BY558" s="1293"/>
      <c r="BZ558" s="1293"/>
      <c r="CA558" s="1293"/>
      <c r="CB558" s="1293"/>
      <c r="CC558" s="1293"/>
      <c r="CD558" s="1293"/>
      <c r="CE558" s="1293"/>
      <c r="CF558" s="1293"/>
      <c r="CG558" s="1293"/>
    </row>
    <row r="559" spans="1:85" ht="15.75">
      <c r="A559" s="1293"/>
      <c r="B559" s="1293"/>
      <c r="C559" s="1293"/>
      <c r="D559" s="1293"/>
      <c r="E559" s="1293"/>
      <c r="F559" s="1293"/>
      <c r="G559" s="1293"/>
      <c r="H559" s="1293"/>
      <c r="I559" s="1293"/>
      <c r="J559" s="1293"/>
      <c r="K559" s="1293"/>
      <c r="L559" s="1293"/>
      <c r="M559" s="1293"/>
      <c r="N559" s="1293"/>
      <c r="O559" s="1293"/>
      <c r="P559" s="1293"/>
      <c r="Q559" s="1293"/>
      <c r="R559" s="1293"/>
      <c r="S559" s="1293"/>
      <c r="T559" s="1293"/>
      <c r="U559" s="1293"/>
      <c r="V559" s="1293"/>
      <c r="W559" s="1293"/>
      <c r="X559" s="1293"/>
      <c r="Y559" s="1293"/>
      <c r="Z559" s="1293"/>
      <c r="AA559" s="1293"/>
      <c r="AB559" s="1293"/>
      <c r="AC559" s="1293"/>
      <c r="AD559" s="1293"/>
      <c r="AE559" s="1293"/>
      <c r="AF559" s="1293"/>
      <c r="AG559" s="1293"/>
      <c r="AH559" s="1293"/>
      <c r="AI559" s="1293"/>
      <c r="AJ559" s="1293"/>
      <c r="AK559" s="1293"/>
      <c r="AL559" s="1293"/>
      <c r="AM559" s="1293"/>
      <c r="AN559" s="1293"/>
      <c r="AO559" s="1293"/>
      <c r="AP559" s="1293"/>
      <c r="AQ559" s="1293"/>
      <c r="AR559" s="1293"/>
      <c r="AS559" s="1293"/>
      <c r="AT559" s="1293"/>
      <c r="AU559" s="1293"/>
      <c r="AV559" s="1293"/>
      <c r="AW559" s="1293"/>
      <c r="AX559" s="1293"/>
      <c r="AY559" s="1293"/>
      <c r="AZ559" s="1293"/>
      <c r="BA559" s="1293"/>
      <c r="BB559" s="1293"/>
      <c r="BC559" s="1293"/>
      <c r="BD559" s="1293"/>
      <c r="BE559" s="1293"/>
      <c r="BF559" s="1293"/>
      <c r="BG559" s="1293"/>
      <c r="BH559" s="1293"/>
      <c r="BI559" s="1293"/>
      <c r="BJ559" s="1293"/>
      <c r="BK559" s="1293"/>
      <c r="BL559" s="1293"/>
      <c r="BM559" s="1293"/>
      <c r="BN559" s="1293"/>
      <c r="BO559" s="1293"/>
      <c r="BP559" s="1293"/>
      <c r="BQ559" s="1293"/>
      <c r="BR559" s="1293"/>
      <c r="BS559" s="1293"/>
      <c r="BT559" s="1293"/>
      <c r="BU559" s="1293"/>
      <c r="BV559" s="1293"/>
      <c r="BW559" s="1293"/>
      <c r="BX559" s="1293"/>
      <c r="BY559" s="1293"/>
      <c r="BZ559" s="1293"/>
      <c r="CA559" s="1293"/>
      <c r="CB559" s="1293"/>
      <c r="CC559" s="1293"/>
      <c r="CD559" s="1293"/>
      <c r="CE559" s="1293"/>
      <c r="CF559" s="1293"/>
      <c r="CG559" s="1293"/>
    </row>
    <row r="560" spans="1:85" ht="15.75">
      <c r="A560" s="1293"/>
      <c r="B560" s="1293"/>
      <c r="C560" s="1293"/>
      <c r="D560" s="1293"/>
      <c r="E560" s="1293"/>
      <c r="F560" s="1293"/>
      <c r="G560" s="1293"/>
      <c r="H560" s="1293"/>
      <c r="I560" s="1293"/>
      <c r="J560" s="1293"/>
      <c r="K560" s="1293"/>
      <c r="L560" s="1293"/>
      <c r="M560" s="1293"/>
      <c r="N560" s="1293"/>
      <c r="O560" s="1293"/>
      <c r="P560" s="1293"/>
      <c r="Q560" s="1293"/>
      <c r="R560" s="1293"/>
      <c r="S560" s="1293"/>
      <c r="T560" s="1293"/>
      <c r="U560" s="1293"/>
      <c r="V560" s="1293"/>
      <c r="W560" s="1293"/>
      <c r="X560" s="1293"/>
      <c r="Y560" s="1293"/>
      <c r="Z560" s="1293"/>
      <c r="AA560" s="1293"/>
      <c r="AB560" s="1293"/>
      <c r="AC560" s="1293"/>
      <c r="AD560" s="1293"/>
      <c r="AE560" s="1293"/>
      <c r="AF560" s="1293"/>
      <c r="AG560" s="1293"/>
      <c r="AH560" s="1293"/>
      <c r="AI560" s="1293"/>
      <c r="AJ560" s="1293"/>
      <c r="AK560" s="1293"/>
      <c r="AL560" s="1293"/>
      <c r="AM560" s="1293"/>
      <c r="AN560" s="1293"/>
      <c r="AO560" s="1293"/>
      <c r="AP560" s="1293"/>
      <c r="AQ560" s="1293"/>
      <c r="AR560" s="1293"/>
      <c r="AS560" s="1293"/>
      <c r="AT560" s="1293"/>
      <c r="AU560" s="1293"/>
      <c r="AV560" s="1293"/>
      <c r="AW560" s="1293"/>
      <c r="AX560" s="1293"/>
      <c r="AY560" s="1293"/>
      <c r="AZ560" s="1293"/>
      <c r="BA560" s="1293"/>
      <c r="BB560" s="1293"/>
      <c r="BC560" s="1293"/>
      <c r="BD560" s="1293"/>
      <c r="BE560" s="1293"/>
      <c r="BF560" s="1293"/>
      <c r="BG560" s="1293"/>
      <c r="BH560" s="1293"/>
      <c r="BI560" s="1293"/>
      <c r="BJ560" s="1293"/>
      <c r="BK560" s="1293"/>
      <c r="BL560" s="1293"/>
      <c r="BM560" s="1293"/>
      <c r="BN560" s="1293"/>
      <c r="BO560" s="1293"/>
      <c r="BP560" s="1293"/>
      <c r="BQ560" s="1293"/>
      <c r="BR560" s="1293"/>
      <c r="BS560" s="1293"/>
      <c r="BT560" s="1293"/>
      <c r="BU560" s="1293"/>
      <c r="BV560" s="1293"/>
      <c r="BW560" s="1293"/>
      <c r="BX560" s="1293"/>
      <c r="BY560" s="1293"/>
      <c r="BZ560" s="1293"/>
      <c r="CA560" s="1293"/>
      <c r="CB560" s="1293"/>
      <c r="CC560" s="1293"/>
      <c r="CD560" s="1293"/>
      <c r="CE560" s="1293"/>
      <c r="CF560" s="1293"/>
      <c r="CG560" s="1293"/>
    </row>
    <row r="561" spans="1:85" ht="15.75">
      <c r="A561" s="1293"/>
      <c r="B561" s="1293"/>
      <c r="C561" s="1293"/>
      <c r="D561" s="1293"/>
      <c r="E561" s="1293"/>
      <c r="F561" s="1293"/>
      <c r="G561" s="1293"/>
      <c r="H561" s="1293"/>
      <c r="I561" s="1293"/>
      <c r="J561" s="1293"/>
      <c r="K561" s="1293"/>
      <c r="L561" s="1293"/>
      <c r="M561" s="1293"/>
      <c r="N561" s="1293"/>
      <c r="O561" s="1293"/>
      <c r="P561" s="1293"/>
      <c r="Q561" s="1293"/>
      <c r="R561" s="1293"/>
      <c r="S561" s="1293"/>
      <c r="T561" s="1293"/>
      <c r="U561" s="1293"/>
      <c r="V561" s="1293"/>
      <c r="W561" s="1293"/>
      <c r="X561" s="1293"/>
      <c r="Y561" s="1293"/>
      <c r="Z561" s="1293"/>
      <c r="AA561" s="1293"/>
      <c r="AB561" s="1293"/>
      <c r="AC561" s="1293"/>
      <c r="AD561" s="1293"/>
      <c r="AE561" s="1293"/>
      <c r="AF561" s="1293"/>
      <c r="AG561" s="1293"/>
      <c r="AH561" s="1293"/>
      <c r="AI561" s="1293"/>
      <c r="AJ561" s="1293"/>
      <c r="AK561" s="1293"/>
      <c r="AL561" s="1293"/>
      <c r="AM561" s="1293"/>
      <c r="AN561" s="1293"/>
      <c r="AO561" s="1293"/>
      <c r="AP561" s="1293"/>
      <c r="AQ561" s="1293"/>
      <c r="AR561" s="1293"/>
      <c r="AS561" s="1293"/>
      <c r="AT561" s="1293"/>
      <c r="AU561" s="1293"/>
      <c r="AV561" s="1293"/>
      <c r="AW561" s="1293"/>
      <c r="AX561" s="1293"/>
      <c r="AY561" s="1293"/>
      <c r="AZ561" s="1293"/>
      <c r="BA561" s="1293"/>
      <c r="BB561" s="1293"/>
      <c r="BC561" s="1293"/>
      <c r="BD561" s="1293"/>
      <c r="BE561" s="1293"/>
      <c r="BF561" s="1293"/>
      <c r="BG561" s="1293"/>
      <c r="BH561" s="1293"/>
      <c r="BI561" s="1293"/>
      <c r="BJ561" s="1293"/>
      <c r="BK561" s="1293"/>
      <c r="BL561" s="1293"/>
      <c r="BM561" s="1293"/>
      <c r="BN561" s="1293"/>
      <c r="BO561" s="1293"/>
      <c r="BP561" s="1293"/>
      <c r="BQ561" s="1293"/>
      <c r="BR561" s="1293"/>
      <c r="BS561" s="1293"/>
      <c r="BT561" s="1293"/>
      <c r="BU561" s="1293"/>
      <c r="BV561" s="1293"/>
      <c r="BW561" s="1293"/>
      <c r="BX561" s="1293"/>
      <c r="BY561" s="1293"/>
      <c r="BZ561" s="1293"/>
      <c r="CA561" s="1293"/>
      <c r="CB561" s="1293"/>
      <c r="CC561" s="1293"/>
      <c r="CD561" s="1293"/>
      <c r="CE561" s="1293"/>
      <c r="CF561" s="1293"/>
      <c r="CG561" s="1293"/>
    </row>
    <row r="562" spans="1:85" ht="15.75">
      <c r="A562" s="1293"/>
      <c r="B562" s="1293"/>
      <c r="C562" s="1293"/>
      <c r="D562" s="1293"/>
      <c r="E562" s="1293"/>
      <c r="F562" s="1293"/>
      <c r="G562" s="1293"/>
      <c r="H562" s="1293"/>
      <c r="I562" s="1293"/>
      <c r="J562" s="1293"/>
      <c r="K562" s="1293"/>
      <c r="L562" s="1293"/>
      <c r="M562" s="1293"/>
      <c r="N562" s="1293"/>
      <c r="O562" s="1293"/>
      <c r="P562" s="1293"/>
      <c r="Q562" s="1293"/>
      <c r="R562" s="1293"/>
      <c r="S562" s="1293"/>
      <c r="T562" s="1293"/>
      <c r="U562" s="1293"/>
      <c r="V562" s="1293"/>
      <c r="W562" s="1293"/>
      <c r="X562" s="1293"/>
      <c r="Y562" s="1293"/>
      <c r="Z562" s="1293"/>
      <c r="AA562" s="1293"/>
      <c r="AB562" s="1293"/>
      <c r="AC562" s="1293"/>
      <c r="AD562" s="1293"/>
      <c r="AE562" s="1293"/>
      <c r="AF562" s="1293"/>
      <c r="AG562" s="1293"/>
      <c r="AH562" s="1293"/>
      <c r="AI562" s="1293"/>
      <c r="AJ562" s="1293"/>
      <c r="AK562" s="1293"/>
      <c r="AL562" s="1293"/>
      <c r="AM562" s="1293"/>
      <c r="AN562" s="1293"/>
      <c r="AO562" s="1293"/>
      <c r="AP562" s="1293"/>
      <c r="AQ562" s="1293"/>
      <c r="AR562" s="1293"/>
      <c r="AS562" s="1293"/>
      <c r="AT562" s="1293"/>
      <c r="AU562" s="1293"/>
      <c r="AV562" s="1293"/>
      <c r="AW562" s="1293"/>
      <c r="AX562" s="1293"/>
      <c r="AY562" s="1293"/>
      <c r="AZ562" s="1293"/>
      <c r="BA562" s="1293"/>
      <c r="BB562" s="1293"/>
      <c r="BC562" s="1293"/>
      <c r="BD562" s="1293"/>
      <c r="BE562" s="1293"/>
      <c r="BF562" s="1293"/>
      <c r="BG562" s="1293"/>
      <c r="BH562" s="1293"/>
      <c r="BI562" s="1293"/>
      <c r="BJ562" s="1293"/>
      <c r="BK562" s="1293"/>
      <c r="BL562" s="1293"/>
      <c r="BM562" s="1293"/>
      <c r="BN562" s="1293"/>
      <c r="BO562" s="1293"/>
      <c r="BP562" s="1293"/>
      <c r="BQ562" s="1293"/>
      <c r="BR562" s="1293"/>
      <c r="BS562" s="1293"/>
      <c r="BT562" s="1293"/>
      <c r="BU562" s="1293"/>
      <c r="BV562" s="1293"/>
      <c r="BW562" s="1293"/>
      <c r="BX562" s="1293"/>
      <c r="BY562" s="1293"/>
      <c r="BZ562" s="1293"/>
      <c r="CA562" s="1293"/>
      <c r="CB562" s="1293"/>
      <c r="CC562" s="1293"/>
      <c r="CD562" s="1293"/>
      <c r="CE562" s="1293"/>
      <c r="CF562" s="1293"/>
      <c r="CG562" s="1293"/>
    </row>
    <row r="563" spans="1:85" ht="15.75">
      <c r="A563" s="1293"/>
      <c r="B563" s="1293"/>
      <c r="C563" s="1293"/>
      <c r="D563" s="1293"/>
      <c r="E563" s="1293"/>
      <c r="F563" s="1293"/>
      <c r="G563" s="1293"/>
      <c r="H563" s="1293"/>
      <c r="I563" s="1293"/>
      <c r="J563" s="1293"/>
      <c r="K563" s="1293"/>
      <c r="L563" s="1293"/>
      <c r="M563" s="1293"/>
      <c r="N563" s="1293"/>
      <c r="O563" s="1293"/>
      <c r="P563" s="1293"/>
      <c r="Q563" s="1293"/>
      <c r="R563" s="1293"/>
      <c r="S563" s="1293"/>
      <c r="T563" s="1293"/>
      <c r="U563" s="1293"/>
      <c r="V563" s="1293"/>
      <c r="W563" s="1293"/>
      <c r="X563" s="1293"/>
      <c r="Y563" s="1293"/>
      <c r="Z563" s="1293"/>
      <c r="AA563" s="1293"/>
      <c r="AB563" s="1293"/>
      <c r="AC563" s="1293"/>
      <c r="AD563" s="1293"/>
      <c r="AE563" s="1293"/>
      <c r="AF563" s="1293"/>
      <c r="AG563" s="1293"/>
      <c r="AH563" s="1293"/>
      <c r="AI563" s="1293"/>
      <c r="AJ563" s="1293"/>
      <c r="AK563" s="1293"/>
      <c r="AL563" s="1293"/>
      <c r="AM563" s="1293"/>
      <c r="AN563" s="1293"/>
      <c r="AO563" s="1293"/>
      <c r="AP563" s="1293"/>
      <c r="AQ563" s="1293"/>
      <c r="AR563" s="1293"/>
      <c r="AS563" s="1293"/>
      <c r="AT563" s="1293"/>
      <c r="AU563" s="1293"/>
      <c r="AV563" s="1293"/>
      <c r="AW563" s="1293"/>
      <c r="AX563" s="1293"/>
      <c r="AY563" s="1293"/>
      <c r="AZ563" s="1293"/>
      <c r="BA563" s="1293"/>
      <c r="BB563" s="1293"/>
      <c r="BC563" s="1293"/>
      <c r="BD563" s="1293"/>
      <c r="BE563" s="1293"/>
      <c r="BF563" s="1293"/>
      <c r="BG563" s="1293"/>
      <c r="BH563" s="1293"/>
      <c r="BI563" s="1293"/>
      <c r="BJ563" s="1293"/>
      <c r="BK563" s="1293"/>
      <c r="BL563" s="1293"/>
      <c r="BM563" s="1293"/>
      <c r="BN563" s="1293"/>
      <c r="BO563" s="1293"/>
      <c r="BP563" s="1293"/>
      <c r="BQ563" s="1293"/>
      <c r="BR563" s="1293"/>
      <c r="BS563" s="1293"/>
      <c r="BT563" s="1293"/>
      <c r="BU563" s="1293"/>
      <c r="BV563" s="1293"/>
      <c r="BW563" s="1293"/>
      <c r="BX563" s="1293"/>
      <c r="BY563" s="1293"/>
      <c r="BZ563" s="1293"/>
      <c r="CA563" s="1293"/>
      <c r="CB563" s="1293"/>
      <c r="CC563" s="1293"/>
      <c r="CD563" s="1293"/>
      <c r="CE563" s="1293"/>
      <c r="CF563" s="1293"/>
      <c r="CG563" s="1293"/>
    </row>
    <row r="564" spans="1:85" ht="15.75">
      <c r="A564" s="1293"/>
      <c r="B564" s="1293"/>
      <c r="C564" s="1293"/>
      <c r="D564" s="1293"/>
      <c r="E564" s="1293"/>
      <c r="F564" s="1293"/>
      <c r="G564" s="1293"/>
      <c r="H564" s="1293"/>
      <c r="I564" s="1293"/>
      <c r="J564" s="1293"/>
      <c r="K564" s="1293"/>
      <c r="L564" s="1293"/>
      <c r="M564" s="1293"/>
      <c r="N564" s="1293"/>
      <c r="O564" s="1293"/>
      <c r="P564" s="1293"/>
      <c r="Q564" s="1293"/>
      <c r="R564" s="1293"/>
      <c r="S564" s="1293"/>
      <c r="T564" s="1293"/>
      <c r="U564" s="1293"/>
      <c r="V564" s="1293"/>
      <c r="W564" s="1293"/>
      <c r="X564" s="1293"/>
      <c r="Y564" s="1293"/>
      <c r="Z564" s="1293"/>
      <c r="AA564" s="1293"/>
      <c r="AB564" s="1293"/>
      <c r="AC564" s="1293"/>
      <c r="AD564" s="1293"/>
      <c r="AE564" s="1293"/>
      <c r="AF564" s="1293"/>
      <c r="AG564" s="1293"/>
      <c r="AH564" s="1293"/>
      <c r="AI564" s="1293"/>
      <c r="AJ564" s="1293"/>
      <c r="AK564" s="1293"/>
      <c r="AL564" s="1293"/>
      <c r="AM564" s="1293"/>
      <c r="AN564" s="1293"/>
      <c r="AO564" s="1293"/>
      <c r="AP564" s="1293"/>
      <c r="AQ564" s="1293"/>
      <c r="AR564" s="1293"/>
      <c r="AS564" s="1293"/>
      <c r="AT564" s="1293"/>
      <c r="AU564" s="1293"/>
      <c r="AV564" s="1293"/>
      <c r="AW564" s="1293"/>
      <c r="AX564" s="1293"/>
      <c r="AY564" s="1293"/>
      <c r="AZ564" s="1293"/>
      <c r="BA564" s="1293"/>
      <c r="BB564" s="1293"/>
      <c r="BC564" s="1293"/>
      <c r="BD564" s="1293"/>
      <c r="BE564" s="1293"/>
      <c r="BF564" s="1293"/>
      <c r="BG564" s="1293"/>
      <c r="BH564" s="1293"/>
      <c r="BI564" s="1293"/>
      <c r="BJ564" s="1293"/>
      <c r="BK564" s="1293"/>
      <c r="BL564" s="1293"/>
      <c r="BM564" s="1293"/>
      <c r="BN564" s="1293"/>
      <c r="BO564" s="1293"/>
      <c r="BP564" s="1293"/>
      <c r="BQ564" s="1293"/>
      <c r="BR564" s="1293"/>
      <c r="BS564" s="1293"/>
      <c r="BT564" s="1293"/>
      <c r="BU564" s="1293"/>
      <c r="BV564" s="1293"/>
      <c r="BW564" s="1293"/>
      <c r="BX564" s="1293"/>
      <c r="BY564" s="1293"/>
      <c r="BZ564" s="1293"/>
      <c r="CA564" s="1293"/>
      <c r="CB564" s="1293"/>
      <c r="CC564" s="1293"/>
      <c r="CD564" s="1293"/>
      <c r="CE564" s="1293"/>
      <c r="CF564" s="1293"/>
      <c r="CG564" s="1293"/>
    </row>
    <row r="565" spans="1:85" ht="15.75">
      <c r="A565" s="1293"/>
      <c r="B565" s="1293"/>
      <c r="C565" s="1293"/>
      <c r="D565" s="1293"/>
      <c r="E565" s="1293"/>
      <c r="F565" s="1293"/>
      <c r="G565" s="1293"/>
      <c r="H565" s="1293"/>
      <c r="I565" s="1293"/>
      <c r="J565" s="1293"/>
      <c r="K565" s="1293"/>
      <c r="L565" s="1293"/>
      <c r="M565" s="1293"/>
      <c r="N565" s="1293"/>
      <c r="O565" s="1293"/>
      <c r="P565" s="1293"/>
      <c r="Q565" s="1293"/>
      <c r="R565" s="1293"/>
      <c r="S565" s="1293"/>
      <c r="T565" s="1293"/>
      <c r="U565" s="1293"/>
      <c r="V565" s="1293"/>
      <c r="W565" s="1293"/>
      <c r="X565" s="1293"/>
      <c r="Y565" s="1293"/>
      <c r="Z565" s="1293"/>
      <c r="AA565" s="1293"/>
      <c r="AB565" s="1293"/>
      <c r="AC565" s="1293"/>
      <c r="AD565" s="1293"/>
      <c r="AE565" s="1293"/>
      <c r="AF565" s="1293"/>
      <c r="AG565" s="1293"/>
      <c r="AH565" s="1293"/>
      <c r="AI565" s="1293"/>
      <c r="AJ565" s="1293"/>
      <c r="AK565" s="1293"/>
      <c r="AL565" s="1293"/>
      <c r="AM565" s="1293"/>
      <c r="AN565" s="1293"/>
      <c r="AO565" s="1293"/>
      <c r="AP565" s="1293"/>
      <c r="AQ565" s="1293"/>
      <c r="AR565" s="1293"/>
      <c r="AS565" s="1293"/>
      <c r="AT565" s="1293"/>
      <c r="AU565" s="1293"/>
      <c r="AV565" s="1293"/>
      <c r="AW565" s="1293"/>
      <c r="AX565" s="1293"/>
      <c r="AY565" s="1293"/>
      <c r="AZ565" s="1293"/>
      <c r="BA565" s="1293"/>
      <c r="BB565" s="1293"/>
      <c r="BC565" s="1293"/>
      <c r="BD565" s="1293"/>
      <c r="BE565" s="1293"/>
      <c r="BF565" s="1293"/>
      <c r="BG565" s="1293"/>
      <c r="BH565" s="1293"/>
      <c r="BI565" s="1293"/>
      <c r="BJ565" s="1293"/>
      <c r="BK565" s="1293"/>
      <c r="BL565" s="1293"/>
      <c r="BM565" s="1293"/>
      <c r="BN565" s="1293"/>
      <c r="BO565" s="1293"/>
      <c r="BP565" s="1293"/>
      <c r="BQ565" s="1293"/>
      <c r="BR565" s="1293"/>
      <c r="BS565" s="1293"/>
      <c r="BT565" s="1293"/>
      <c r="BU565" s="1293"/>
      <c r="BV565" s="1293"/>
      <c r="BW565" s="1293"/>
      <c r="BX565" s="1293"/>
      <c r="BY565" s="1293"/>
      <c r="BZ565" s="1293"/>
      <c r="CA565" s="1293"/>
      <c r="CB565" s="1293"/>
      <c r="CC565" s="1293"/>
      <c r="CD565" s="1293"/>
      <c r="CE565" s="1293"/>
      <c r="CF565" s="1293"/>
      <c r="CG565" s="1293"/>
    </row>
    <row r="566" spans="1:85" ht="15.75">
      <c r="A566" s="1293"/>
      <c r="B566" s="1293"/>
      <c r="C566" s="1293"/>
      <c r="D566" s="1293"/>
      <c r="E566" s="1293"/>
      <c r="F566" s="1293"/>
      <c r="G566" s="1293"/>
      <c r="H566" s="1293"/>
      <c r="I566" s="1293"/>
      <c r="J566" s="1293"/>
      <c r="K566" s="1293"/>
      <c r="L566" s="1293"/>
      <c r="M566" s="1293"/>
      <c r="N566" s="1293"/>
      <c r="O566" s="1293"/>
      <c r="P566" s="1293"/>
      <c r="Q566" s="1293"/>
      <c r="R566" s="1293"/>
      <c r="S566" s="1293"/>
      <c r="T566" s="1293"/>
      <c r="U566" s="1293"/>
      <c r="V566" s="1293"/>
      <c r="W566" s="1293"/>
      <c r="X566" s="1293"/>
      <c r="Y566" s="1293"/>
      <c r="Z566" s="1293"/>
      <c r="AA566" s="1293"/>
      <c r="AB566" s="1293"/>
      <c r="AC566" s="1293"/>
      <c r="AD566" s="1293"/>
      <c r="AE566" s="1293"/>
      <c r="AF566" s="1293"/>
      <c r="AG566" s="1293"/>
      <c r="AH566" s="1293"/>
      <c r="AI566" s="1293"/>
      <c r="AJ566" s="1293"/>
      <c r="AK566" s="1293"/>
      <c r="AL566" s="1293"/>
      <c r="AM566" s="1293"/>
      <c r="AN566" s="1293"/>
      <c r="AO566" s="1293"/>
      <c r="AP566" s="1293"/>
      <c r="AQ566" s="1293"/>
      <c r="AR566" s="1293"/>
      <c r="AS566" s="1293"/>
      <c r="AT566" s="1293"/>
      <c r="AU566" s="1293"/>
      <c r="AV566" s="1293"/>
      <c r="AW566" s="1293"/>
      <c r="AX566" s="1293"/>
      <c r="AY566" s="1293"/>
      <c r="AZ566" s="1293"/>
      <c r="BA566" s="1293"/>
      <c r="BB566" s="1293"/>
      <c r="BC566" s="1293"/>
      <c r="BD566" s="1293"/>
      <c r="BE566" s="1293"/>
      <c r="BF566" s="1293"/>
      <c r="BG566" s="1293"/>
      <c r="BH566" s="1293"/>
      <c r="BI566" s="1293"/>
      <c r="BJ566" s="1293"/>
      <c r="BK566" s="1293"/>
      <c r="BL566" s="1293"/>
      <c r="BM566" s="1293"/>
      <c r="BN566" s="1293"/>
      <c r="BO566" s="1293"/>
      <c r="BP566" s="1293"/>
      <c r="BQ566" s="1293"/>
      <c r="BR566" s="1293"/>
      <c r="BS566" s="1293"/>
      <c r="BT566" s="1293"/>
      <c r="BU566" s="1293"/>
      <c r="BV566" s="1293"/>
      <c r="BW566" s="1293"/>
      <c r="BX566" s="1293"/>
      <c r="BY566" s="1293"/>
      <c r="BZ566" s="1293"/>
      <c r="CA566" s="1293"/>
      <c r="CB566" s="1293"/>
      <c r="CC566" s="1293"/>
      <c r="CD566" s="1293"/>
      <c r="CE566" s="1293"/>
      <c r="CF566" s="1293"/>
      <c r="CG566" s="1293"/>
    </row>
    <row r="567" spans="1:85" ht="15.75">
      <c r="A567" s="1293"/>
      <c r="B567" s="1293"/>
      <c r="C567" s="1293"/>
      <c r="D567" s="1293"/>
      <c r="E567" s="1293"/>
      <c r="F567" s="1293"/>
      <c r="G567" s="1293"/>
      <c r="H567" s="1293"/>
      <c r="I567" s="1293"/>
      <c r="J567" s="1293"/>
      <c r="K567" s="1293"/>
      <c r="L567" s="1293"/>
      <c r="M567" s="1293"/>
      <c r="N567" s="1293"/>
      <c r="O567" s="1293"/>
      <c r="P567" s="1293"/>
      <c r="Q567" s="1293"/>
      <c r="R567" s="1293"/>
      <c r="S567" s="1293"/>
      <c r="T567" s="1293"/>
      <c r="U567" s="1293"/>
      <c r="V567" s="1293"/>
      <c r="W567" s="1293"/>
      <c r="X567" s="1293"/>
      <c r="Y567" s="1293"/>
      <c r="Z567" s="1293"/>
      <c r="AA567" s="1293"/>
      <c r="AB567" s="1293"/>
      <c r="AC567" s="1293"/>
      <c r="AD567" s="1293"/>
      <c r="AE567" s="1293"/>
      <c r="AF567" s="1293"/>
      <c r="AG567" s="1293"/>
      <c r="AH567" s="1293"/>
      <c r="AI567" s="1293"/>
      <c r="AJ567" s="1293"/>
      <c r="AK567" s="1293"/>
      <c r="AL567" s="1293"/>
      <c r="AM567" s="1293"/>
      <c r="AN567" s="1293"/>
      <c r="AO567" s="1293"/>
      <c r="AP567" s="1293"/>
      <c r="AQ567" s="1293"/>
      <c r="AR567" s="1293"/>
      <c r="AS567" s="1293"/>
      <c r="AT567" s="1293"/>
      <c r="AU567" s="1293"/>
      <c r="AV567" s="1293"/>
      <c r="AW567" s="1293"/>
      <c r="AX567" s="1293"/>
      <c r="AY567" s="1293"/>
      <c r="AZ567" s="1293"/>
      <c r="BA567" s="1293"/>
      <c r="BB567" s="1293"/>
      <c r="BC567" s="1293"/>
      <c r="BD567" s="1293"/>
      <c r="BE567" s="1293"/>
      <c r="BF567" s="1293"/>
      <c r="BG567" s="1293"/>
      <c r="BH567" s="1293"/>
      <c r="BI567" s="1293"/>
      <c r="BJ567" s="1293"/>
      <c r="BK567" s="1293"/>
      <c r="BL567" s="1293"/>
      <c r="BM567" s="1293"/>
      <c r="BN567" s="1293"/>
      <c r="BO567" s="1293"/>
      <c r="BP567" s="1293"/>
      <c r="BQ567" s="1293"/>
      <c r="BR567" s="1293"/>
      <c r="BS567" s="1293"/>
      <c r="BT567" s="1293"/>
      <c r="BU567" s="1293"/>
      <c r="BV567" s="1293"/>
      <c r="BW567" s="1293"/>
      <c r="BX567" s="1293"/>
      <c r="BY567" s="1293"/>
      <c r="BZ567" s="1293"/>
      <c r="CA567" s="1293"/>
      <c r="CB567" s="1293"/>
      <c r="CC567" s="1293"/>
      <c r="CD567" s="1293"/>
      <c r="CE567" s="1293"/>
      <c r="CF567" s="1293"/>
      <c r="CG567" s="1293"/>
    </row>
    <row r="568" spans="1:85" ht="15.75">
      <c r="A568" s="1293"/>
      <c r="B568" s="1293"/>
      <c r="C568" s="1293"/>
      <c r="D568" s="1293"/>
      <c r="E568" s="1293"/>
      <c r="F568" s="1293"/>
      <c r="G568" s="1293"/>
      <c r="H568" s="1293"/>
      <c r="I568" s="1293"/>
      <c r="J568" s="1293"/>
      <c r="K568" s="1293"/>
      <c r="L568" s="1293"/>
      <c r="M568" s="1293"/>
      <c r="N568" s="1293"/>
      <c r="O568" s="1293"/>
      <c r="P568" s="1293"/>
      <c r="Q568" s="1293"/>
      <c r="R568" s="1293"/>
      <c r="S568" s="1293"/>
      <c r="T568" s="1293"/>
      <c r="U568" s="1293"/>
      <c r="V568" s="1293"/>
      <c r="W568" s="1293"/>
      <c r="X568" s="1293"/>
      <c r="Y568" s="1293"/>
      <c r="Z568" s="1293"/>
      <c r="AA568" s="1293"/>
      <c r="AB568" s="1293"/>
      <c r="AC568" s="1293"/>
      <c r="AD568" s="1293"/>
      <c r="AE568" s="1293"/>
      <c r="AF568" s="1293"/>
      <c r="AG568" s="1293"/>
      <c r="AH568" s="1293"/>
      <c r="AI568" s="1293"/>
      <c r="AJ568" s="1293"/>
      <c r="AK568" s="1293"/>
      <c r="AL568" s="1293"/>
      <c r="AM568" s="1293"/>
      <c r="AN568" s="1293"/>
      <c r="AO568" s="1293"/>
      <c r="AP568" s="1293"/>
      <c r="AQ568" s="1293"/>
      <c r="AR568" s="1293"/>
      <c r="AS568" s="1293"/>
      <c r="AT568" s="1293"/>
      <c r="AU568" s="1293"/>
      <c r="AV568" s="1293"/>
      <c r="AW568" s="1293"/>
      <c r="AX568" s="1293"/>
      <c r="AY568" s="1293"/>
      <c r="AZ568" s="1293"/>
      <c r="BA568" s="1293"/>
      <c r="BB568" s="1293"/>
      <c r="BC568" s="1293"/>
      <c r="BD568" s="1293"/>
      <c r="BE568" s="1293"/>
      <c r="BF568" s="1293"/>
      <c r="BG568" s="1293"/>
      <c r="BH568" s="1293"/>
      <c r="BI568" s="1293"/>
      <c r="BJ568" s="1293"/>
      <c r="BK568" s="1293"/>
      <c r="BL568" s="1293"/>
      <c r="BM568" s="1293"/>
      <c r="BN568" s="1293"/>
      <c r="BO568" s="1293"/>
      <c r="BP568" s="1293"/>
      <c r="BQ568" s="1293"/>
      <c r="BR568" s="1293"/>
      <c r="BS568" s="1293"/>
      <c r="BT568" s="1293"/>
      <c r="BU568" s="1293"/>
      <c r="BV568" s="1293"/>
      <c r="BW568" s="1293"/>
      <c r="BX568" s="1293"/>
      <c r="BY568" s="1293"/>
      <c r="BZ568" s="1293"/>
      <c r="CA568" s="1293"/>
      <c r="CB568" s="1293"/>
      <c r="CC568" s="1293"/>
      <c r="CD568" s="1293"/>
      <c r="CE568" s="1293"/>
      <c r="CF568" s="1293"/>
      <c r="CG568" s="1293"/>
    </row>
    <row r="569" spans="1:85" ht="15.75">
      <c r="A569" s="1293"/>
      <c r="B569" s="1293"/>
      <c r="C569" s="1293"/>
      <c r="D569" s="1293"/>
      <c r="E569" s="1293"/>
      <c r="F569" s="1293"/>
      <c r="G569" s="1293"/>
      <c r="H569" s="1293"/>
      <c r="I569" s="1293"/>
      <c r="J569" s="1293"/>
      <c r="K569" s="1293"/>
      <c r="L569" s="1293"/>
      <c r="M569" s="1293"/>
      <c r="N569" s="1293"/>
      <c r="O569" s="1293"/>
      <c r="P569" s="1293"/>
      <c r="Q569" s="1293"/>
      <c r="R569" s="1293"/>
      <c r="S569" s="1293"/>
      <c r="T569" s="1293"/>
      <c r="U569" s="1293"/>
      <c r="V569" s="1293"/>
      <c r="W569" s="1293"/>
      <c r="X569" s="1293"/>
      <c r="Y569" s="1293"/>
      <c r="Z569" s="1293"/>
      <c r="AA569" s="1293"/>
      <c r="AB569" s="1293"/>
      <c r="AC569" s="1293"/>
      <c r="AD569" s="1293"/>
      <c r="AE569" s="1293"/>
      <c r="AF569" s="1293"/>
      <c r="AG569" s="1293"/>
      <c r="AH569" s="1293"/>
      <c r="AI569" s="1293"/>
      <c r="AJ569" s="1293"/>
      <c r="AK569" s="1293"/>
      <c r="AL569" s="1293"/>
      <c r="AM569" s="1293"/>
      <c r="AN569" s="1293"/>
      <c r="AO569" s="1293"/>
      <c r="AP569" s="1293"/>
      <c r="AQ569" s="1293"/>
      <c r="AR569" s="1293"/>
      <c r="AS569" s="1293"/>
      <c r="AT569" s="1293"/>
      <c r="AU569" s="1293"/>
      <c r="AV569" s="1293"/>
      <c r="AW569" s="1293"/>
      <c r="AX569" s="1293"/>
      <c r="AY569" s="1293"/>
      <c r="AZ569" s="1293"/>
      <c r="BA569" s="1293"/>
      <c r="BB569" s="1293"/>
      <c r="BC569" s="1293"/>
      <c r="BD569" s="1293"/>
      <c r="BE569" s="1293"/>
      <c r="BF569" s="1293"/>
      <c r="BG569" s="1293"/>
      <c r="BH569" s="1293"/>
      <c r="BI569" s="1293"/>
      <c r="BJ569" s="1293"/>
      <c r="BK569" s="1293"/>
      <c r="BL569" s="1293"/>
      <c r="BM569" s="1293"/>
      <c r="BN569" s="1293"/>
      <c r="BO569" s="1293"/>
      <c r="BP569" s="1293"/>
      <c r="BQ569" s="1293"/>
      <c r="BR569" s="1293"/>
      <c r="BS569" s="1293"/>
      <c r="BT569" s="1293"/>
      <c r="BU569" s="1293"/>
      <c r="BV569" s="1293"/>
      <c r="BW569" s="1293"/>
      <c r="BX569" s="1293"/>
      <c r="BY569" s="1293"/>
      <c r="BZ569" s="1293"/>
      <c r="CA569" s="1293"/>
      <c r="CB569" s="1293"/>
      <c r="CC569" s="1293"/>
      <c r="CD569" s="1293"/>
      <c r="CE569" s="1293"/>
      <c r="CF569" s="1293"/>
      <c r="CG569" s="1293"/>
    </row>
    <row r="570" spans="1:85" ht="15.75">
      <c r="A570" s="1293"/>
      <c r="B570" s="1293"/>
      <c r="C570" s="1293"/>
      <c r="D570" s="1293"/>
      <c r="E570" s="1293"/>
      <c r="F570" s="1293"/>
      <c r="G570" s="1293"/>
      <c r="H570" s="1293"/>
      <c r="I570" s="1293"/>
      <c r="J570" s="1293"/>
      <c r="K570" s="1293"/>
      <c r="L570" s="1293"/>
      <c r="M570" s="1293"/>
      <c r="N570" s="1293"/>
      <c r="O570" s="1293"/>
      <c r="P570" s="1293"/>
      <c r="Q570" s="1293"/>
      <c r="R570" s="1293"/>
      <c r="S570" s="1293"/>
      <c r="T570" s="1293"/>
      <c r="U570" s="1293"/>
      <c r="V570" s="1293"/>
      <c r="W570" s="1293"/>
      <c r="X570" s="1293"/>
      <c r="Y570" s="1293"/>
      <c r="Z570" s="1293"/>
      <c r="AA570" s="1293"/>
      <c r="AB570" s="1293"/>
      <c r="AC570" s="1293"/>
      <c r="AD570" s="1293"/>
      <c r="AE570" s="1293"/>
      <c r="AF570" s="1293"/>
      <c r="AG570" s="1293"/>
      <c r="AH570" s="1293"/>
      <c r="AI570" s="1293"/>
      <c r="AJ570" s="1293"/>
      <c r="AK570" s="1293"/>
      <c r="AL570" s="1293"/>
      <c r="AM570" s="1293"/>
      <c r="AN570" s="1293"/>
      <c r="AO570" s="1293"/>
      <c r="AP570" s="1293"/>
      <c r="AQ570" s="1293"/>
      <c r="AR570" s="1293"/>
      <c r="AS570" s="1293"/>
      <c r="AT570" s="1293"/>
      <c r="AU570" s="1293"/>
      <c r="AV570" s="1293"/>
      <c r="AW570" s="1293"/>
      <c r="AX570" s="1293"/>
      <c r="AY570" s="1293"/>
      <c r="AZ570" s="1293"/>
      <c r="BA570" s="1293"/>
      <c r="BB570" s="1293"/>
      <c r="BC570" s="1293"/>
      <c r="BD570" s="1293"/>
      <c r="BE570" s="1293"/>
      <c r="BF570" s="1293"/>
      <c r="BG570" s="1293"/>
      <c r="BH570" s="1293"/>
      <c r="BI570" s="1293"/>
      <c r="BJ570" s="1293"/>
      <c r="BK570" s="1293"/>
      <c r="BL570" s="1293"/>
      <c r="BM570" s="1293"/>
      <c r="BN570" s="1293"/>
      <c r="BO570" s="1293"/>
      <c r="BP570" s="1293"/>
      <c r="BQ570" s="1293"/>
      <c r="BR570" s="1293"/>
      <c r="BS570" s="1293"/>
      <c r="BT570" s="1293"/>
      <c r="BU570" s="1293"/>
      <c r="BV570" s="1293"/>
      <c r="BW570" s="1293"/>
      <c r="BX570" s="1293"/>
      <c r="BY570" s="1293"/>
      <c r="BZ570" s="1293"/>
      <c r="CA570" s="1293"/>
      <c r="CB570" s="1293"/>
      <c r="CC570" s="1293"/>
      <c r="CD570" s="1293"/>
      <c r="CE570" s="1293"/>
      <c r="CF570" s="1293"/>
      <c r="CG570" s="1293"/>
    </row>
    <row r="571" spans="1:85" ht="15.75">
      <c r="A571" s="1293"/>
      <c r="B571" s="1293"/>
      <c r="C571" s="1293"/>
      <c r="D571" s="1293"/>
      <c r="E571" s="1293"/>
      <c r="F571" s="1293"/>
      <c r="G571" s="1293"/>
      <c r="H571" s="1293"/>
      <c r="I571" s="1293"/>
      <c r="J571" s="1293"/>
      <c r="K571" s="1293"/>
      <c r="L571" s="1293"/>
      <c r="M571" s="1293"/>
      <c r="N571" s="1293"/>
      <c r="O571" s="1293"/>
      <c r="P571" s="1293"/>
      <c r="Q571" s="1293"/>
      <c r="R571" s="1293"/>
      <c r="S571" s="1293"/>
      <c r="T571" s="1293"/>
      <c r="U571" s="1293"/>
      <c r="V571" s="1293"/>
      <c r="W571" s="1293"/>
      <c r="X571" s="1293"/>
      <c r="Y571" s="1293"/>
      <c r="Z571" s="1293"/>
      <c r="AA571" s="1293"/>
      <c r="AB571" s="1293"/>
      <c r="AC571" s="1293"/>
      <c r="AD571" s="1293"/>
      <c r="AE571" s="1293"/>
      <c r="AF571" s="1293"/>
      <c r="AG571" s="1293"/>
      <c r="AH571" s="1293"/>
      <c r="AI571" s="1293"/>
      <c r="AJ571" s="1293"/>
      <c r="AK571" s="1293"/>
      <c r="AL571" s="1293"/>
      <c r="AM571" s="1293"/>
      <c r="AN571" s="1293"/>
      <c r="AO571" s="1293"/>
      <c r="AP571" s="1293"/>
      <c r="AQ571" s="1293"/>
      <c r="AR571" s="1293"/>
      <c r="AS571" s="1293"/>
      <c r="AT571" s="1293"/>
      <c r="AU571" s="1293"/>
      <c r="AV571" s="1293"/>
      <c r="AW571" s="1293"/>
      <c r="AX571" s="1293"/>
      <c r="AY571" s="1293"/>
      <c r="AZ571" s="1293"/>
      <c r="BA571" s="1293"/>
      <c r="BB571" s="1293"/>
      <c r="BC571" s="1293"/>
      <c r="BD571" s="1293"/>
      <c r="BE571" s="1293"/>
      <c r="BF571" s="1293"/>
      <c r="BG571" s="1293"/>
      <c r="BH571" s="1293"/>
      <c r="BI571" s="1293"/>
      <c r="BJ571" s="1293"/>
      <c r="BK571" s="1293"/>
      <c r="BL571" s="1293"/>
      <c r="BM571" s="1293"/>
      <c r="BN571" s="1293"/>
      <c r="BO571" s="1293"/>
      <c r="BP571" s="1293"/>
      <c r="BQ571" s="1293"/>
      <c r="BR571" s="1293"/>
      <c r="BS571" s="1293"/>
      <c r="BT571" s="1293"/>
      <c r="BU571" s="1293"/>
      <c r="BV571" s="1293"/>
      <c r="BW571" s="1293"/>
      <c r="BX571" s="1293"/>
      <c r="BY571" s="1293"/>
      <c r="BZ571" s="1293"/>
      <c r="CA571" s="1293"/>
      <c r="CB571" s="1293"/>
      <c r="CC571" s="1293"/>
      <c r="CD571" s="1293"/>
      <c r="CE571" s="1293"/>
      <c r="CF571" s="1293"/>
      <c r="CG571" s="1293"/>
    </row>
    <row r="572" spans="1:85" ht="15.75">
      <c r="A572" s="1293"/>
      <c r="B572" s="1293"/>
      <c r="C572" s="1293"/>
      <c r="D572" s="1293"/>
      <c r="E572" s="1293"/>
      <c r="F572" s="1293"/>
      <c r="G572" s="1293"/>
      <c r="H572" s="1293"/>
      <c r="I572" s="1293"/>
      <c r="J572" s="1293"/>
      <c r="K572" s="1293"/>
      <c r="L572" s="1293"/>
      <c r="M572" s="1293"/>
      <c r="N572" s="1293"/>
      <c r="O572" s="1293"/>
      <c r="P572" s="1293"/>
      <c r="Q572" s="1293"/>
      <c r="R572" s="1293"/>
      <c r="S572" s="1293"/>
      <c r="T572" s="1293"/>
      <c r="U572" s="1293"/>
      <c r="V572" s="1293"/>
      <c r="W572" s="1293"/>
      <c r="X572" s="1293"/>
      <c r="Y572" s="1293"/>
      <c r="Z572" s="1293"/>
      <c r="AA572" s="1293"/>
      <c r="AB572" s="1293"/>
      <c r="AC572" s="1293"/>
      <c r="AD572" s="1293"/>
      <c r="AE572" s="1293"/>
      <c r="AF572" s="1293"/>
      <c r="AG572" s="1293"/>
      <c r="AH572" s="1293"/>
      <c r="AI572" s="1293"/>
      <c r="AJ572" s="1293"/>
      <c r="AK572" s="1293"/>
      <c r="AL572" s="1293"/>
      <c r="AM572" s="1293"/>
      <c r="AN572" s="1293"/>
      <c r="AO572" s="1293"/>
      <c r="AP572" s="1293"/>
      <c r="AQ572" s="1293"/>
      <c r="AR572" s="1293"/>
      <c r="AS572" s="1293"/>
      <c r="AT572" s="1293"/>
      <c r="AU572" s="1293"/>
      <c r="AV572" s="1293"/>
      <c r="AW572" s="1293"/>
      <c r="AX572" s="1293"/>
      <c r="AY572" s="1293"/>
      <c r="AZ572" s="1293"/>
      <c r="BA572" s="1293"/>
      <c r="BB572" s="1293"/>
      <c r="BC572" s="1293"/>
      <c r="BD572" s="1293"/>
      <c r="BE572" s="1293"/>
      <c r="BF572" s="1293"/>
      <c r="BG572" s="1293"/>
      <c r="BH572" s="1293"/>
      <c r="BI572" s="1293"/>
      <c r="BJ572" s="1293"/>
      <c r="BK572" s="1293"/>
      <c r="BL572" s="1293"/>
      <c r="BM572" s="1293"/>
      <c r="BN572" s="1293"/>
      <c r="BO572" s="1293"/>
      <c r="BP572" s="1293"/>
      <c r="BQ572" s="1293"/>
      <c r="BR572" s="1293"/>
      <c r="BS572" s="1293"/>
      <c r="BT572" s="1293"/>
      <c r="BU572" s="1293"/>
      <c r="BV572" s="1293"/>
      <c r="BW572" s="1293"/>
      <c r="BX572" s="1293"/>
      <c r="BY572" s="1293"/>
      <c r="BZ572" s="1293"/>
      <c r="CA572" s="1293"/>
      <c r="CB572" s="1293"/>
      <c r="CC572" s="1293"/>
      <c r="CD572" s="1293"/>
      <c r="CE572" s="1293"/>
      <c r="CF572" s="1293"/>
      <c r="CG572" s="1293"/>
    </row>
    <row r="573" spans="1:85" ht="15.75">
      <c r="A573" s="1293"/>
      <c r="B573" s="1293"/>
      <c r="C573" s="1293"/>
      <c r="D573" s="1293"/>
      <c r="E573" s="1293"/>
      <c r="F573" s="1293"/>
      <c r="G573" s="1293"/>
      <c r="H573" s="1293"/>
      <c r="I573" s="1293"/>
      <c r="J573" s="1293"/>
      <c r="K573" s="1293"/>
      <c r="L573" s="1293"/>
      <c r="M573" s="1293"/>
      <c r="N573" s="1293"/>
      <c r="O573" s="1293"/>
      <c r="P573" s="1293"/>
      <c r="Q573" s="1293"/>
      <c r="R573" s="1293"/>
      <c r="S573" s="1293"/>
      <c r="T573" s="1293"/>
      <c r="U573" s="1293"/>
      <c r="V573" s="1293"/>
      <c r="W573" s="1293"/>
      <c r="X573" s="1293"/>
      <c r="Y573" s="1293"/>
      <c r="Z573" s="1293"/>
      <c r="AA573" s="1293"/>
      <c r="AB573" s="1293"/>
      <c r="AC573" s="1293"/>
      <c r="AD573" s="1293"/>
      <c r="AE573" s="1293"/>
      <c r="AF573" s="1293"/>
      <c r="AG573" s="1293"/>
      <c r="AH573" s="1293"/>
      <c r="AI573" s="1293"/>
      <c r="AJ573" s="1293"/>
      <c r="AK573" s="1293"/>
      <c r="AL573" s="1293"/>
      <c r="AM573" s="1293"/>
      <c r="AN573" s="1293"/>
      <c r="AO573" s="1293"/>
      <c r="AP573" s="1293"/>
      <c r="AQ573" s="1293"/>
      <c r="AR573" s="1293"/>
      <c r="AS573" s="1293"/>
      <c r="AT573" s="1293"/>
      <c r="AU573" s="1293"/>
      <c r="AV573" s="1293"/>
      <c r="AW573" s="1293"/>
      <c r="AX573" s="1293"/>
      <c r="AY573" s="1293"/>
      <c r="AZ573" s="1293"/>
      <c r="BA573" s="1293"/>
      <c r="BB573" s="1293"/>
      <c r="BC573" s="1293"/>
      <c r="BD573" s="1293"/>
      <c r="BE573" s="1293"/>
      <c r="BF573" s="1293"/>
      <c r="BG573" s="1293"/>
      <c r="BH573" s="1293"/>
      <c r="BI573" s="1293"/>
      <c r="BJ573" s="1293"/>
      <c r="BK573" s="1293"/>
      <c r="BL573" s="1293"/>
      <c r="BM573" s="1293"/>
      <c r="BN573" s="1293"/>
      <c r="BO573" s="1293"/>
      <c r="BP573" s="1293"/>
      <c r="BQ573" s="1293"/>
      <c r="BR573" s="1293"/>
      <c r="BS573" s="1293"/>
      <c r="BT573" s="1293"/>
      <c r="BU573" s="1293"/>
      <c r="BV573" s="1293"/>
      <c r="BW573" s="1293"/>
      <c r="BX573" s="1293"/>
      <c r="BY573" s="1293"/>
      <c r="BZ573" s="1293"/>
      <c r="CA573" s="1293"/>
      <c r="CB573" s="1293"/>
      <c r="CC573" s="1293"/>
      <c r="CD573" s="1293"/>
      <c r="CE573" s="1293"/>
      <c r="CF573" s="1293"/>
      <c r="CG573" s="1293"/>
    </row>
    <row r="574" spans="1:85" ht="15.75">
      <c r="A574" s="1293"/>
      <c r="B574" s="1293"/>
      <c r="C574" s="1293"/>
      <c r="D574" s="1293"/>
      <c r="E574" s="1293"/>
      <c r="F574" s="1293"/>
      <c r="G574" s="1293"/>
      <c r="H574" s="1293"/>
      <c r="I574" s="1293"/>
      <c r="J574" s="1293"/>
      <c r="K574" s="1293"/>
      <c r="L574" s="1293"/>
      <c r="M574" s="1293"/>
      <c r="N574" s="1293"/>
      <c r="O574" s="1293"/>
      <c r="P574" s="1293"/>
      <c r="Q574" s="1293"/>
      <c r="R574" s="1293"/>
      <c r="S574" s="1293"/>
      <c r="T574" s="1293"/>
      <c r="U574" s="1293"/>
      <c r="V574" s="1293"/>
      <c r="W574" s="1293"/>
      <c r="X574" s="1293"/>
      <c r="Y574" s="1293"/>
      <c r="Z574" s="1293"/>
      <c r="AA574" s="1293"/>
      <c r="AB574" s="1293"/>
      <c r="AC574" s="1293"/>
      <c r="AD574" s="1293"/>
      <c r="AE574" s="1293"/>
      <c r="AF574" s="1293"/>
      <c r="AG574" s="1293"/>
      <c r="AH574" s="1293"/>
      <c r="AI574" s="1293"/>
      <c r="AJ574" s="1293"/>
      <c r="AK574" s="1293"/>
      <c r="AL574" s="1293"/>
      <c r="AM574" s="1293"/>
      <c r="AN574" s="1293"/>
      <c r="AO574" s="1293"/>
      <c r="AP574" s="1293"/>
      <c r="AQ574" s="1293"/>
      <c r="AR574" s="1293"/>
      <c r="AS574" s="1293"/>
      <c r="AT574" s="1293"/>
      <c r="AU574" s="1293"/>
      <c r="AV574" s="1293"/>
      <c r="AW574" s="1293"/>
      <c r="AX574" s="1293"/>
      <c r="AY574" s="1293"/>
      <c r="AZ574" s="1293"/>
      <c r="BA574" s="1293"/>
      <c r="BB574" s="1293"/>
      <c r="BC574" s="1293"/>
      <c r="BD574" s="1293"/>
      <c r="BE574" s="1293"/>
      <c r="BF574" s="1293"/>
      <c r="BG574" s="1293"/>
      <c r="BH574" s="1293"/>
      <c r="BI574" s="1293"/>
      <c r="BJ574" s="1293"/>
      <c r="BK574" s="1293"/>
      <c r="BL574" s="1293"/>
      <c r="BM574" s="1293"/>
      <c r="BN574" s="1293"/>
      <c r="BO574" s="1293"/>
      <c r="BP574" s="1293"/>
      <c r="BQ574" s="1293"/>
      <c r="BR574" s="1293"/>
      <c r="BS574" s="1293"/>
      <c r="BT574" s="1293"/>
      <c r="BU574" s="1293"/>
      <c r="BV574" s="1293"/>
      <c r="BW574" s="1293"/>
      <c r="BX574" s="1293"/>
      <c r="BY574" s="1293"/>
      <c r="BZ574" s="1293"/>
      <c r="CA574" s="1293"/>
      <c r="CB574" s="1293"/>
      <c r="CC574" s="1293"/>
      <c r="CD574" s="1293"/>
      <c r="CE574" s="1293"/>
      <c r="CF574" s="1293"/>
      <c r="CG574" s="1293"/>
    </row>
    <row r="575" spans="1:85" ht="15.75">
      <c r="A575" s="1293"/>
      <c r="B575" s="1293"/>
      <c r="C575" s="1293"/>
      <c r="D575" s="1293"/>
      <c r="E575" s="1293"/>
      <c r="F575" s="1293"/>
      <c r="G575" s="1293"/>
      <c r="H575" s="1293"/>
      <c r="I575" s="1293"/>
      <c r="J575" s="1293"/>
      <c r="K575" s="1293"/>
      <c r="L575" s="1293"/>
      <c r="M575" s="1293"/>
      <c r="N575" s="1293"/>
      <c r="O575" s="1293"/>
      <c r="P575" s="1293"/>
      <c r="Q575" s="1293"/>
      <c r="R575" s="1293"/>
      <c r="S575" s="1293"/>
      <c r="T575" s="1293"/>
      <c r="U575" s="1293"/>
      <c r="V575" s="1293"/>
      <c r="W575" s="1293"/>
      <c r="X575" s="1293"/>
      <c r="Y575" s="1293"/>
      <c r="Z575" s="1293"/>
      <c r="AA575" s="1293"/>
      <c r="AB575" s="1293"/>
      <c r="AC575" s="1293"/>
      <c r="AD575" s="1293"/>
      <c r="AE575" s="1293"/>
      <c r="AF575" s="1293"/>
      <c r="AG575" s="1293"/>
      <c r="AH575" s="1293"/>
      <c r="AI575" s="1293"/>
      <c r="AJ575" s="1293"/>
      <c r="AK575" s="1293"/>
      <c r="AL575" s="1293"/>
      <c r="AM575" s="1293"/>
      <c r="AN575" s="1293"/>
      <c r="AO575" s="1293"/>
      <c r="AP575" s="1293"/>
      <c r="AQ575" s="1293"/>
      <c r="AR575" s="1293"/>
      <c r="AS575" s="1293"/>
      <c r="AT575" s="1293"/>
      <c r="AU575" s="1293"/>
      <c r="AV575" s="1293"/>
      <c r="AW575" s="1293"/>
      <c r="AX575" s="1293"/>
      <c r="AY575" s="1293"/>
      <c r="AZ575" s="1293"/>
      <c r="BA575" s="1293"/>
      <c r="BB575" s="1293"/>
      <c r="BC575" s="1293"/>
      <c r="BD575" s="1293"/>
      <c r="BE575" s="1293"/>
      <c r="BF575" s="1293"/>
      <c r="BG575" s="1293"/>
      <c r="BH575" s="1293"/>
      <c r="BI575" s="1293"/>
      <c r="BJ575" s="1293"/>
      <c r="BK575" s="1293"/>
      <c r="BL575" s="1293"/>
      <c r="BM575" s="1293"/>
      <c r="BN575" s="1293"/>
      <c r="BO575" s="1293"/>
      <c r="BP575" s="1293"/>
      <c r="BQ575" s="1293"/>
      <c r="BR575" s="1293"/>
      <c r="BS575" s="1293"/>
      <c r="BT575" s="1293"/>
      <c r="BU575" s="1293"/>
      <c r="BV575" s="1293"/>
      <c r="BW575" s="1293"/>
      <c r="BX575" s="1293"/>
      <c r="BY575" s="1293"/>
      <c r="BZ575" s="1293"/>
      <c r="CA575" s="1293"/>
      <c r="CB575" s="1293"/>
      <c r="CC575" s="1293"/>
      <c r="CD575" s="1293"/>
      <c r="CE575" s="1293"/>
      <c r="CF575" s="1293"/>
      <c r="CG575" s="1293"/>
    </row>
    <row r="576" spans="1:85" ht="15.75">
      <c r="A576" s="1293"/>
      <c r="B576" s="1293"/>
      <c r="C576" s="1293"/>
      <c r="D576" s="1293"/>
      <c r="E576" s="1293"/>
      <c r="F576" s="1293"/>
      <c r="G576" s="1293"/>
      <c r="H576" s="1293"/>
      <c r="I576" s="1293"/>
      <c r="J576" s="1293"/>
      <c r="K576" s="1293"/>
      <c r="L576" s="1293"/>
      <c r="M576" s="1293"/>
      <c r="N576" s="1293"/>
      <c r="O576" s="1293"/>
      <c r="P576" s="1293"/>
      <c r="Q576" s="1293"/>
      <c r="R576" s="1293"/>
      <c r="S576" s="1293"/>
      <c r="T576" s="1293"/>
      <c r="U576" s="1293"/>
      <c r="V576" s="1293"/>
      <c r="W576" s="1293"/>
      <c r="X576" s="1293"/>
      <c r="Y576" s="1293"/>
      <c r="Z576" s="1293"/>
      <c r="AA576" s="1293"/>
      <c r="AB576" s="1293"/>
      <c r="AC576" s="1293"/>
      <c r="AD576" s="1293"/>
      <c r="AE576" s="1293"/>
      <c r="AF576" s="1293"/>
      <c r="AG576" s="1293"/>
      <c r="AH576" s="1293"/>
      <c r="AI576" s="1293"/>
      <c r="AJ576" s="1293"/>
      <c r="AK576" s="1293"/>
      <c r="AL576" s="1293"/>
      <c r="AM576" s="1293"/>
      <c r="AN576" s="1293"/>
      <c r="AO576" s="1293"/>
      <c r="AP576" s="1293"/>
      <c r="AQ576" s="1293"/>
      <c r="AR576" s="1293"/>
      <c r="AS576" s="1293"/>
      <c r="AT576" s="1293"/>
      <c r="AU576" s="1293"/>
      <c r="AV576" s="1293"/>
      <c r="AW576" s="1293"/>
      <c r="AX576" s="1293"/>
      <c r="AY576" s="1293"/>
      <c r="AZ576" s="1293"/>
      <c r="BA576" s="1293"/>
      <c r="BB576" s="1293"/>
      <c r="BC576" s="1293"/>
      <c r="BD576" s="1293"/>
      <c r="BE576" s="1293"/>
      <c r="BF576" s="1293"/>
      <c r="BG576" s="1293"/>
      <c r="BH576" s="1293"/>
      <c r="BI576" s="1293"/>
      <c r="BJ576" s="1293"/>
      <c r="BK576" s="1293"/>
      <c r="BL576" s="1293"/>
      <c r="BM576" s="1293"/>
      <c r="BN576" s="1293"/>
      <c r="BO576" s="1293"/>
      <c r="BP576" s="1293"/>
      <c r="BQ576" s="1293"/>
      <c r="BR576" s="1293"/>
      <c r="BS576" s="1293"/>
      <c r="BT576" s="1293"/>
      <c r="BU576" s="1293"/>
      <c r="BV576" s="1293"/>
      <c r="BW576" s="1293"/>
      <c r="BX576" s="1293"/>
      <c r="BY576" s="1293"/>
      <c r="BZ576" s="1293"/>
      <c r="CA576" s="1293"/>
      <c r="CB576" s="1293"/>
      <c r="CC576" s="1293"/>
      <c r="CD576" s="1293"/>
      <c r="CE576" s="1293"/>
      <c r="CF576" s="1293"/>
      <c r="CG576" s="1293"/>
    </row>
    <row r="577" spans="1:85" ht="15.75">
      <c r="A577" s="1293"/>
      <c r="B577" s="1293"/>
      <c r="C577" s="1293"/>
      <c r="D577" s="1293"/>
      <c r="E577" s="1293"/>
      <c r="F577" s="1293"/>
      <c r="G577" s="1293"/>
      <c r="H577" s="1293"/>
      <c r="I577" s="1293"/>
      <c r="J577" s="1293"/>
      <c r="K577" s="1293"/>
      <c r="L577" s="1293"/>
      <c r="M577" s="1293"/>
      <c r="N577" s="1293"/>
      <c r="O577" s="1293"/>
      <c r="P577" s="1293"/>
      <c r="Q577" s="1293"/>
      <c r="R577" s="1293"/>
      <c r="S577" s="1293"/>
      <c r="T577" s="1293"/>
      <c r="U577" s="1293"/>
      <c r="V577" s="1293"/>
      <c r="W577" s="1293"/>
      <c r="X577" s="1293"/>
      <c r="Y577" s="1293"/>
      <c r="Z577" s="1293"/>
      <c r="AA577" s="1293"/>
      <c r="AB577" s="1293"/>
      <c r="AC577" s="1293"/>
      <c r="AD577" s="1293"/>
      <c r="AE577" s="1293"/>
      <c r="AF577" s="1293"/>
      <c r="AG577" s="1293"/>
      <c r="AH577" s="1293"/>
      <c r="AI577" s="1293"/>
      <c r="AJ577" s="1293"/>
      <c r="AK577" s="1293"/>
      <c r="AL577" s="1293"/>
      <c r="AM577" s="1293"/>
      <c r="AN577" s="1293"/>
      <c r="AO577" s="1293"/>
      <c r="AP577" s="1293"/>
      <c r="AQ577" s="1293"/>
      <c r="AR577" s="1293"/>
      <c r="AS577" s="1293"/>
      <c r="AT577" s="1293"/>
      <c r="AU577" s="1293"/>
      <c r="AV577" s="1293"/>
      <c r="AW577" s="1293"/>
      <c r="AX577" s="1293"/>
      <c r="AY577" s="1293"/>
      <c r="AZ577" s="1293"/>
      <c r="BA577" s="1293"/>
      <c r="BB577" s="1293"/>
      <c r="BC577" s="1293"/>
      <c r="BD577" s="1293"/>
      <c r="BE577" s="1293"/>
      <c r="BF577" s="1293"/>
      <c r="BG577" s="1293"/>
      <c r="BH577" s="1293"/>
      <c r="BI577" s="1293"/>
      <c r="BJ577" s="1293"/>
      <c r="BK577" s="1293"/>
      <c r="BL577" s="1293"/>
      <c r="BM577" s="1293"/>
      <c r="BN577" s="1293"/>
      <c r="BO577" s="1293"/>
      <c r="BP577" s="1293"/>
      <c r="BQ577" s="1293"/>
      <c r="BR577" s="1293"/>
      <c r="BS577" s="1293"/>
      <c r="BT577" s="1293"/>
      <c r="BU577" s="1293"/>
      <c r="BV577" s="1293"/>
      <c r="BW577" s="1293"/>
      <c r="BX577" s="1293"/>
      <c r="BY577" s="1293"/>
      <c r="BZ577" s="1293"/>
      <c r="CA577" s="1293"/>
      <c r="CB577" s="1293"/>
      <c r="CC577" s="1293"/>
      <c r="CD577" s="1293"/>
      <c r="CE577" s="1293"/>
      <c r="CF577" s="1293"/>
      <c r="CG577" s="1293"/>
    </row>
    <row r="578" spans="1:85" ht="15.75">
      <c r="A578" s="1293"/>
      <c r="B578" s="1293"/>
      <c r="C578" s="1293"/>
      <c r="D578" s="1293"/>
      <c r="E578" s="1293"/>
      <c r="F578" s="1293"/>
      <c r="G578" s="1293"/>
      <c r="H578" s="1293"/>
      <c r="I578" s="1293"/>
      <c r="J578" s="1293"/>
      <c r="K578" s="1293"/>
      <c r="L578" s="1293"/>
      <c r="M578" s="1293"/>
      <c r="N578" s="1293"/>
      <c r="O578" s="1293"/>
      <c r="P578" s="1293"/>
      <c r="Q578" s="1293"/>
      <c r="R578" s="1293"/>
      <c r="S578" s="1293"/>
      <c r="T578" s="1293"/>
      <c r="U578" s="1293"/>
      <c r="V578" s="1293"/>
      <c r="W578" s="1293"/>
      <c r="X578" s="1293"/>
      <c r="Y578" s="1293"/>
      <c r="Z578" s="1293"/>
      <c r="AA578" s="1293"/>
      <c r="AB578" s="1293"/>
      <c r="AC578" s="1293"/>
      <c r="AD578" s="1293"/>
      <c r="AE578" s="1293"/>
      <c r="AF578" s="1293"/>
      <c r="AG578" s="1293"/>
      <c r="AH578" s="1293"/>
      <c r="AI578" s="1293"/>
      <c r="AJ578" s="1293"/>
      <c r="AK578" s="1293"/>
      <c r="AL578" s="1293"/>
      <c r="AM578" s="1293"/>
      <c r="AN578" s="1293"/>
      <c r="AO578" s="1293"/>
      <c r="AP578" s="1293"/>
      <c r="AQ578" s="1293"/>
      <c r="AR578" s="1293"/>
      <c r="AS578" s="1293"/>
      <c r="AT578" s="1293"/>
      <c r="AU578" s="1293"/>
      <c r="AV578" s="1293"/>
      <c r="AW578" s="1293"/>
      <c r="AX578" s="1293"/>
      <c r="AY578" s="1293"/>
      <c r="AZ578" s="1293"/>
      <c r="BA578" s="1293"/>
      <c r="BB578" s="1293"/>
      <c r="BC578" s="1293"/>
      <c r="BD578" s="1293"/>
      <c r="BE578" s="1293"/>
      <c r="BF578" s="1293"/>
      <c r="BG578" s="1293"/>
      <c r="BH578" s="1293"/>
      <c r="BI578" s="1293"/>
      <c r="BJ578" s="1293"/>
      <c r="BK578" s="1293"/>
      <c r="BL578" s="1293"/>
      <c r="BM578" s="1293"/>
      <c r="BN578" s="1293"/>
      <c r="BO578" s="1293"/>
      <c r="BP578" s="1293"/>
      <c r="BQ578" s="1293"/>
      <c r="BR578" s="1293"/>
      <c r="BS578" s="1293"/>
      <c r="BT578" s="1293"/>
      <c r="BU578" s="1293"/>
      <c r="BV578" s="1293"/>
      <c r="BW578" s="1293"/>
      <c r="BX578" s="1293"/>
      <c r="BY578" s="1293"/>
      <c r="BZ578" s="1293"/>
      <c r="CA578" s="1293"/>
      <c r="CB578" s="1293"/>
      <c r="CC578" s="1293"/>
      <c r="CD578" s="1293"/>
      <c r="CE578" s="1293"/>
      <c r="CF578" s="1293"/>
      <c r="CG578" s="1293"/>
    </row>
    <row r="579" spans="1:85" ht="15.75">
      <c r="A579" s="1293"/>
      <c r="B579" s="1293"/>
      <c r="C579" s="1293"/>
      <c r="D579" s="1293"/>
      <c r="E579" s="1293"/>
      <c r="F579" s="1293"/>
      <c r="G579" s="1293"/>
      <c r="H579" s="1293"/>
      <c r="I579" s="1293"/>
      <c r="J579" s="1293"/>
      <c r="K579" s="1293"/>
      <c r="L579" s="1293"/>
      <c r="M579" s="1293"/>
      <c r="N579" s="1293"/>
      <c r="O579" s="1293"/>
      <c r="P579" s="1293"/>
      <c r="Q579" s="1293"/>
      <c r="R579" s="1293"/>
      <c r="S579" s="1293"/>
      <c r="T579" s="1293"/>
      <c r="U579" s="1293"/>
      <c r="V579" s="1293"/>
      <c r="W579" s="1293"/>
      <c r="X579" s="1293"/>
      <c r="Y579" s="1293"/>
      <c r="Z579" s="1293"/>
      <c r="AA579" s="1293"/>
      <c r="AB579" s="1293"/>
      <c r="AC579" s="1293"/>
      <c r="AD579" s="1293"/>
      <c r="AE579" s="1293"/>
      <c r="AF579" s="1293"/>
      <c r="AG579" s="1293"/>
      <c r="AH579" s="1293"/>
      <c r="AI579" s="1293"/>
      <c r="AJ579" s="1293"/>
      <c r="AK579" s="1293"/>
      <c r="AL579" s="1293"/>
      <c r="AM579" s="1293"/>
      <c r="AN579" s="1293"/>
      <c r="AO579" s="1293"/>
      <c r="AP579" s="1293"/>
      <c r="AQ579" s="1293"/>
      <c r="AR579" s="1293"/>
      <c r="AS579" s="1293"/>
      <c r="AT579" s="1293"/>
      <c r="AU579" s="1293"/>
      <c r="AV579" s="1293"/>
      <c r="AW579" s="1293"/>
      <c r="AX579" s="1293"/>
      <c r="AY579" s="1293"/>
      <c r="AZ579" s="1293"/>
      <c r="BA579" s="1293"/>
      <c r="BB579" s="1293"/>
      <c r="BC579" s="1293"/>
      <c r="BD579" s="1293"/>
      <c r="BE579" s="1293"/>
      <c r="BF579" s="1293"/>
      <c r="BG579" s="1293"/>
      <c r="BH579" s="1293"/>
      <c r="BI579" s="1293"/>
      <c r="BJ579" s="1293"/>
      <c r="BK579" s="1293"/>
      <c r="BL579" s="1293"/>
      <c r="BM579" s="1293"/>
      <c r="BN579" s="1293"/>
      <c r="BO579" s="1293"/>
      <c r="BP579" s="1293"/>
      <c r="BQ579" s="1293"/>
      <c r="BR579" s="1293"/>
      <c r="BS579" s="1293"/>
      <c r="BT579" s="1293"/>
      <c r="BU579" s="1293"/>
      <c r="BV579" s="1293"/>
      <c r="BW579" s="1293"/>
      <c r="BX579" s="1293"/>
      <c r="BY579" s="1293"/>
      <c r="BZ579" s="1293"/>
      <c r="CA579" s="1293"/>
      <c r="CB579" s="1293"/>
      <c r="CC579" s="1293"/>
      <c r="CD579" s="1293"/>
      <c r="CE579" s="1293"/>
      <c r="CF579" s="1293"/>
      <c r="CG579" s="1293"/>
    </row>
    <row r="580" spans="1:85" ht="15.75">
      <c r="A580" s="1293"/>
      <c r="B580" s="1293"/>
      <c r="C580" s="1293"/>
      <c r="D580" s="1293"/>
      <c r="E580" s="1293"/>
      <c r="F580" s="1293"/>
      <c r="G580" s="1293"/>
      <c r="H580" s="1293"/>
      <c r="I580" s="1293"/>
      <c r="J580" s="1293"/>
      <c r="K580" s="1293"/>
      <c r="L580" s="1293"/>
      <c r="M580" s="1293"/>
      <c r="N580" s="1293"/>
      <c r="O580" s="1293"/>
      <c r="P580" s="1293"/>
      <c r="Q580" s="1293"/>
      <c r="R580" s="1293"/>
      <c r="S580" s="1293"/>
      <c r="T580" s="1293"/>
      <c r="U580" s="1293"/>
      <c r="V580" s="1293"/>
      <c r="W580" s="1293"/>
      <c r="X580" s="1293"/>
      <c r="Y580" s="1293"/>
      <c r="Z580" s="1293"/>
      <c r="AA580" s="1293"/>
      <c r="AB580" s="1293"/>
      <c r="AC580" s="1293"/>
      <c r="AD580" s="1293"/>
      <c r="AE580" s="1293"/>
      <c r="AF580" s="1293"/>
      <c r="AG580" s="1293"/>
      <c r="AH580" s="1293"/>
      <c r="AI580" s="1293"/>
      <c r="AJ580" s="1293"/>
      <c r="AK580" s="1293"/>
      <c r="AL580" s="1293"/>
      <c r="AM580" s="1293"/>
      <c r="AN580" s="1293"/>
      <c r="AO580" s="1293"/>
      <c r="AP580" s="1293"/>
      <c r="AQ580" s="1293"/>
      <c r="AR580" s="1293"/>
      <c r="AS580" s="1293"/>
      <c r="AT580" s="1293"/>
      <c r="AU580" s="1293"/>
      <c r="AV580" s="1293"/>
      <c r="AW580" s="1293"/>
      <c r="AX580" s="1293"/>
      <c r="AY580" s="1293"/>
      <c r="AZ580" s="1293"/>
      <c r="BA580" s="1293"/>
      <c r="BB580" s="1293"/>
      <c r="BC580" s="1293"/>
      <c r="BD580" s="1293"/>
      <c r="BE580" s="1293"/>
      <c r="BF580" s="1293"/>
      <c r="BG580" s="1293"/>
      <c r="BH580" s="1293"/>
      <c r="BI580" s="1293"/>
      <c r="BJ580" s="1293"/>
      <c r="BK580" s="1293"/>
      <c r="BL580" s="1293"/>
      <c r="BM580" s="1293"/>
      <c r="BN580" s="1293"/>
      <c r="BO580" s="1293"/>
      <c r="BP580" s="1293"/>
      <c r="BQ580" s="1293"/>
      <c r="BR580" s="1293"/>
      <c r="BS580" s="1293"/>
      <c r="BT580" s="1293"/>
      <c r="BU580" s="1293"/>
      <c r="BV580" s="1293"/>
      <c r="BW580" s="1293"/>
      <c r="BX580" s="1293"/>
      <c r="BY580" s="1293"/>
      <c r="BZ580" s="1293"/>
      <c r="CA580" s="1293"/>
      <c r="CB580" s="1293"/>
      <c r="CC580" s="1293"/>
      <c r="CD580" s="1293"/>
      <c r="CE580" s="1293"/>
      <c r="CF580" s="1293"/>
      <c r="CG580" s="1293"/>
    </row>
    <row r="581" spans="1:85" ht="15.75">
      <c r="A581" s="1293"/>
      <c r="B581" s="1293"/>
      <c r="C581" s="1293"/>
      <c r="D581" s="1293"/>
      <c r="E581" s="1293"/>
      <c r="F581" s="1293"/>
      <c r="G581" s="1293"/>
      <c r="H581" s="1293"/>
      <c r="I581" s="1293"/>
      <c r="J581" s="1293"/>
      <c r="K581" s="1293"/>
      <c r="L581" s="1293"/>
      <c r="M581" s="1293"/>
      <c r="N581" s="1293"/>
      <c r="O581" s="1293"/>
      <c r="P581" s="1293"/>
      <c r="Q581" s="1293"/>
      <c r="R581" s="1293"/>
      <c r="S581" s="1293"/>
      <c r="T581" s="1293"/>
      <c r="U581" s="1293"/>
      <c r="V581" s="1293"/>
      <c r="W581" s="1293"/>
      <c r="X581" s="1293"/>
      <c r="Y581" s="1293"/>
      <c r="Z581" s="1293"/>
      <c r="AA581" s="1293"/>
      <c r="AB581" s="1293"/>
      <c r="AC581" s="1293"/>
      <c r="AD581" s="1293"/>
      <c r="AE581" s="1293"/>
      <c r="AF581" s="1293"/>
      <c r="AG581" s="1293"/>
      <c r="AH581" s="1293"/>
      <c r="AI581" s="1293"/>
      <c r="AJ581" s="1293"/>
      <c r="AK581" s="1293"/>
      <c r="AL581" s="1293"/>
      <c r="AM581" s="1293"/>
      <c r="AN581" s="1293"/>
      <c r="AO581" s="1293"/>
      <c r="AP581" s="1293"/>
      <c r="AQ581" s="1293"/>
      <c r="AR581" s="1293"/>
      <c r="AS581" s="1293"/>
      <c r="AT581" s="1293"/>
      <c r="AU581" s="1293"/>
      <c r="AV581" s="1293"/>
      <c r="AW581" s="1293"/>
      <c r="AX581" s="1293"/>
      <c r="AY581" s="1293"/>
      <c r="AZ581" s="1293"/>
      <c r="BA581" s="1293"/>
      <c r="BB581" s="1293"/>
      <c r="BC581" s="1293"/>
      <c r="BD581" s="1293"/>
      <c r="BE581" s="1293"/>
      <c r="BF581" s="1293"/>
      <c r="BG581" s="1293"/>
      <c r="BH581" s="1293"/>
      <c r="BI581" s="1293"/>
      <c r="BJ581" s="1293"/>
      <c r="BK581" s="1293"/>
      <c r="BL581" s="1293"/>
      <c r="BM581" s="1293"/>
      <c r="BN581" s="1293"/>
      <c r="BO581" s="1293"/>
      <c r="BP581" s="1293"/>
      <c r="BQ581" s="1293"/>
      <c r="BR581" s="1293"/>
      <c r="BS581" s="1293"/>
      <c r="BT581" s="1293"/>
      <c r="BU581" s="1293"/>
      <c r="BV581" s="1293"/>
      <c r="BW581" s="1293"/>
      <c r="BX581" s="1293"/>
      <c r="BY581" s="1293"/>
      <c r="BZ581" s="1293"/>
      <c r="CA581" s="1293"/>
      <c r="CB581" s="1293"/>
      <c r="CC581" s="1293"/>
      <c r="CD581" s="1293"/>
      <c r="CE581" s="1293"/>
      <c r="CF581" s="1293"/>
      <c r="CG581" s="1293"/>
    </row>
    <row r="582" spans="1:85" ht="15.75">
      <c r="A582" s="1293"/>
      <c r="B582" s="1293"/>
      <c r="C582" s="1293"/>
      <c r="D582" s="1293"/>
      <c r="E582" s="1293"/>
      <c r="F582" s="1293"/>
      <c r="G582" s="1293"/>
      <c r="H582" s="1293"/>
      <c r="I582" s="1293"/>
      <c r="J582" s="1293"/>
      <c r="K582" s="1293"/>
      <c r="L582" s="1293"/>
      <c r="M582" s="1293"/>
      <c r="N582" s="1293"/>
      <c r="O582" s="1293"/>
      <c r="P582" s="1293"/>
      <c r="Q582" s="1293"/>
      <c r="R582" s="1293"/>
      <c r="S582" s="1293"/>
      <c r="T582" s="1293"/>
      <c r="U582" s="1293"/>
      <c r="V582" s="1293"/>
      <c r="W582" s="1293"/>
      <c r="X582" s="1293"/>
      <c r="Y582" s="1293"/>
      <c r="Z582" s="1293"/>
      <c r="AA582" s="1293"/>
      <c r="AB582" s="1293"/>
      <c r="AC582" s="1293"/>
      <c r="AD582" s="1293"/>
      <c r="AE582" s="1293"/>
      <c r="AF582" s="1293"/>
      <c r="AG582" s="1293"/>
      <c r="AH582" s="1293"/>
      <c r="AI582" s="1293"/>
      <c r="AJ582" s="1293"/>
      <c r="AK582" s="1293"/>
      <c r="AL582" s="1293"/>
      <c r="AM582" s="1293"/>
      <c r="AN582" s="1293"/>
      <c r="AO582" s="1293"/>
      <c r="AP582" s="1293"/>
      <c r="AQ582" s="1293"/>
      <c r="AR582" s="1293"/>
      <c r="AS582" s="1293"/>
      <c r="AT582" s="1293"/>
      <c r="AU582" s="1293"/>
      <c r="AV582" s="1293"/>
      <c r="AW582" s="1293"/>
      <c r="AX582" s="1293"/>
      <c r="AY582" s="1293"/>
      <c r="AZ582" s="1293"/>
      <c r="BA582" s="1293"/>
      <c r="BB582" s="1293"/>
      <c r="BC582" s="1293"/>
      <c r="BD582" s="1293"/>
      <c r="BE582" s="1293"/>
      <c r="BF582" s="1293"/>
      <c r="BG582" s="1293"/>
      <c r="BH582" s="1293"/>
      <c r="BI582" s="1293"/>
      <c r="BJ582" s="1293"/>
      <c r="BK582" s="1293"/>
      <c r="BL582" s="1293"/>
      <c r="BM582" s="1293"/>
      <c r="BN582" s="1293"/>
      <c r="BO582" s="1293"/>
      <c r="BP582" s="1293"/>
      <c r="BQ582" s="1293"/>
      <c r="BR582" s="1293"/>
      <c r="BS582" s="1293"/>
      <c r="BT582" s="1293"/>
      <c r="BU582" s="1293"/>
      <c r="BV582" s="1293"/>
      <c r="BW582" s="1293"/>
      <c r="BX582" s="1293"/>
      <c r="BY582" s="1293"/>
      <c r="BZ582" s="1293"/>
      <c r="CA582" s="1293"/>
      <c r="CB582" s="1293"/>
      <c r="CC582" s="1293"/>
      <c r="CD582" s="1293"/>
      <c r="CE582" s="1293"/>
      <c r="CF582" s="1293"/>
      <c r="CG582" s="1293"/>
    </row>
    <row r="583" spans="1:85" ht="15.75">
      <c r="A583" s="1293"/>
      <c r="B583" s="1293"/>
      <c r="C583" s="1293"/>
      <c r="D583" s="1293"/>
      <c r="E583" s="1293"/>
      <c r="F583" s="1293"/>
      <c r="G583" s="1293"/>
      <c r="H583" s="1293"/>
      <c r="I583" s="1293"/>
      <c r="J583" s="1293"/>
      <c r="K583" s="1293"/>
      <c r="L583" s="1293"/>
      <c r="M583" s="1293"/>
      <c r="N583" s="1293"/>
      <c r="O583" s="1293"/>
      <c r="P583" s="1293"/>
      <c r="Q583" s="1293"/>
      <c r="R583" s="1293"/>
      <c r="S583" s="1293"/>
      <c r="T583" s="1293"/>
      <c r="U583" s="1293"/>
      <c r="V583" s="1293"/>
      <c r="W583" s="1293"/>
      <c r="X583" s="1293"/>
      <c r="Y583" s="1293"/>
      <c r="Z583" s="1293"/>
      <c r="AA583" s="1293"/>
      <c r="AB583" s="1293"/>
      <c r="AC583" s="1293"/>
      <c r="AD583" s="1293"/>
      <c r="AE583" s="1293"/>
      <c r="AF583" s="1293"/>
      <c r="AG583" s="1293"/>
      <c r="AH583" s="1293"/>
      <c r="AI583" s="1293"/>
      <c r="AJ583" s="1293"/>
      <c r="AK583" s="1293"/>
      <c r="AL583" s="1293"/>
      <c r="AM583" s="1293"/>
      <c r="AN583" s="1293"/>
      <c r="AO583" s="1293"/>
      <c r="AP583" s="1293"/>
      <c r="AQ583" s="1293"/>
      <c r="AR583" s="1293"/>
      <c r="AS583" s="1293"/>
      <c r="AT583" s="1293"/>
      <c r="AU583" s="1293"/>
      <c r="AV583" s="1293"/>
      <c r="AW583" s="1293"/>
      <c r="AX583" s="1293"/>
      <c r="AY583" s="1293"/>
      <c r="AZ583" s="1293"/>
      <c r="BA583" s="1293"/>
      <c r="BB583" s="1293"/>
      <c r="BC583" s="1293"/>
      <c r="BD583" s="1293"/>
      <c r="BE583" s="1293"/>
      <c r="BF583" s="1293"/>
      <c r="BG583" s="1293"/>
      <c r="BH583" s="1293"/>
      <c r="BI583" s="1293"/>
      <c r="BJ583" s="1293"/>
      <c r="BK583" s="1293"/>
      <c r="BL583" s="1293"/>
      <c r="BM583" s="1293"/>
      <c r="BN583" s="1293"/>
      <c r="BO583" s="1293"/>
      <c r="BP583" s="1293"/>
      <c r="BQ583" s="1293"/>
      <c r="BR583" s="1293"/>
      <c r="BS583" s="1293"/>
      <c r="BT583" s="1293"/>
      <c r="BU583" s="1293"/>
      <c r="BV583" s="1293"/>
      <c r="BW583" s="1293"/>
      <c r="BX583" s="1293"/>
      <c r="BY583" s="1293"/>
      <c r="BZ583" s="1293"/>
      <c r="CA583" s="1293"/>
      <c r="CB583" s="1293"/>
      <c r="CC583" s="1293"/>
      <c r="CD583" s="1293"/>
      <c r="CE583" s="1293"/>
      <c r="CF583" s="1293"/>
      <c r="CG583" s="1293"/>
    </row>
    <row r="584" spans="1:85" ht="15.75">
      <c r="A584" s="1293"/>
      <c r="B584" s="1293"/>
      <c r="C584" s="1293"/>
      <c r="D584" s="1293"/>
      <c r="E584" s="1293"/>
      <c r="F584" s="1293"/>
      <c r="G584" s="1293"/>
      <c r="H584" s="1293"/>
      <c r="I584" s="1293"/>
      <c r="J584" s="1293"/>
      <c r="K584" s="1293"/>
      <c r="L584" s="1293"/>
      <c r="M584" s="1293"/>
      <c r="N584" s="1293"/>
      <c r="O584" s="1293"/>
      <c r="P584" s="1293"/>
      <c r="Q584" s="1293"/>
      <c r="R584" s="1293"/>
      <c r="S584" s="1293"/>
      <c r="T584" s="1293"/>
      <c r="U584" s="1293"/>
      <c r="V584" s="1293"/>
      <c r="W584" s="1293"/>
      <c r="X584" s="1293"/>
      <c r="Y584" s="1293"/>
      <c r="Z584" s="1293"/>
      <c r="AA584" s="1293"/>
      <c r="AB584" s="1293"/>
      <c r="AC584" s="1293"/>
      <c r="AD584" s="1293"/>
      <c r="AE584" s="1293"/>
      <c r="AF584" s="1293"/>
      <c r="AG584" s="1293"/>
      <c r="AH584" s="1293"/>
      <c r="AI584" s="1293"/>
      <c r="AJ584" s="1293"/>
      <c r="AK584" s="1293"/>
      <c r="AL584" s="1293"/>
      <c r="AM584" s="1293"/>
      <c r="AN584" s="1293"/>
      <c r="AO584" s="1293"/>
      <c r="AP584" s="1293"/>
      <c r="AQ584" s="1293"/>
      <c r="AR584" s="1293"/>
      <c r="AS584" s="1293"/>
      <c r="AT584" s="1293"/>
      <c r="AU584" s="1293"/>
      <c r="AV584" s="1293"/>
      <c r="AW584" s="1293"/>
      <c r="AX584" s="1293"/>
      <c r="AY584" s="1293"/>
      <c r="AZ584" s="1293"/>
      <c r="BA584" s="1293"/>
      <c r="BB584" s="1293"/>
      <c r="BC584" s="1293"/>
      <c r="BD584" s="1293"/>
      <c r="BE584" s="1293"/>
      <c r="BF584" s="1293"/>
      <c r="BG584" s="1293"/>
      <c r="BH584" s="1293"/>
      <c r="BI584" s="1293"/>
      <c r="BJ584" s="1293"/>
      <c r="BK584" s="1293"/>
      <c r="BL584" s="1293"/>
      <c r="BM584" s="1293"/>
      <c r="BN584" s="1293"/>
      <c r="BO584" s="1293"/>
      <c r="BP584" s="1293"/>
      <c r="BQ584" s="1293"/>
      <c r="BR584" s="1293"/>
      <c r="BS584" s="1293"/>
      <c r="BT584" s="1293"/>
      <c r="BU584" s="1293"/>
      <c r="BV584" s="1293"/>
      <c r="BW584" s="1293"/>
      <c r="BX584" s="1293"/>
      <c r="BY584" s="1293"/>
      <c r="BZ584" s="1293"/>
      <c r="CA584" s="1293"/>
      <c r="CB584" s="1293"/>
      <c r="CC584" s="1293"/>
      <c r="CD584" s="1293"/>
      <c r="CE584" s="1293"/>
      <c r="CF584" s="1293"/>
      <c r="CG584" s="1293"/>
    </row>
    <row r="585" spans="1:85" ht="15.75">
      <c r="A585" s="1293"/>
      <c r="B585" s="1293"/>
      <c r="C585" s="1293"/>
      <c r="D585" s="1293"/>
      <c r="E585" s="1293"/>
      <c r="F585" s="1293"/>
      <c r="G585" s="1293"/>
      <c r="H585" s="1293"/>
      <c r="I585" s="1293"/>
      <c r="J585" s="1293"/>
      <c r="K585" s="1293"/>
      <c r="L585" s="1293"/>
      <c r="M585" s="1293"/>
      <c r="N585" s="1293"/>
      <c r="O585" s="1293"/>
      <c r="P585" s="1293"/>
      <c r="Q585" s="1293"/>
      <c r="R585" s="1293"/>
      <c r="S585" s="1293"/>
      <c r="T585" s="1293"/>
      <c r="U585" s="1293"/>
      <c r="V585" s="1293"/>
      <c r="W585" s="1293"/>
      <c r="X585" s="1293"/>
      <c r="Y585" s="1293"/>
      <c r="Z585" s="1293"/>
      <c r="AA585" s="1293"/>
      <c r="AB585" s="1293"/>
      <c r="AC585" s="1293"/>
      <c r="AD585" s="1293"/>
      <c r="AE585" s="1293"/>
      <c r="AF585" s="1293"/>
      <c r="AG585" s="1293"/>
      <c r="AH585" s="1293"/>
      <c r="AI585" s="1293"/>
      <c r="AJ585" s="1293"/>
      <c r="AK585" s="1293"/>
      <c r="AL585" s="1293"/>
      <c r="AM585" s="1293"/>
      <c r="AN585" s="1293"/>
      <c r="AO585" s="1293"/>
      <c r="AP585" s="1293"/>
      <c r="AQ585" s="1293"/>
      <c r="AR585" s="1293"/>
      <c r="AS585" s="1293"/>
      <c r="AT585" s="1293"/>
      <c r="AU585" s="1293"/>
      <c r="AV585" s="1293"/>
      <c r="AW585" s="1293"/>
      <c r="AX585" s="1293"/>
      <c r="AY585" s="1293"/>
      <c r="AZ585" s="1293"/>
      <c r="BA585" s="1293"/>
      <c r="BB585" s="1293"/>
      <c r="BC585" s="1293"/>
      <c r="BD585" s="1293"/>
      <c r="BE585" s="1293"/>
      <c r="BF585" s="1293"/>
      <c r="BG585" s="1293"/>
      <c r="BH585" s="1293"/>
      <c r="BI585" s="1293"/>
      <c r="BJ585" s="1293"/>
      <c r="BK585" s="1293"/>
      <c r="BL585" s="1293"/>
      <c r="BM585" s="1293"/>
      <c r="BN585" s="1293"/>
      <c r="BO585" s="1293"/>
      <c r="BP585" s="1293"/>
      <c r="BQ585" s="1293"/>
      <c r="BR585" s="1293"/>
      <c r="BS585" s="1293"/>
      <c r="BT585" s="1293"/>
      <c r="BU585" s="1293"/>
      <c r="BV585" s="1293"/>
      <c r="BW585" s="1293"/>
      <c r="BX585" s="1293"/>
      <c r="BY585" s="1293"/>
      <c r="BZ585" s="1293"/>
      <c r="CA585" s="1293"/>
      <c r="CB585" s="1293"/>
      <c r="CC585" s="1293"/>
      <c r="CD585" s="1293"/>
      <c r="CE585" s="1293"/>
      <c r="CF585" s="1293"/>
      <c r="CG585" s="1293"/>
    </row>
    <row r="586" spans="1:85" ht="15.75">
      <c r="A586" s="1293"/>
      <c r="B586" s="1293"/>
      <c r="C586" s="1293"/>
      <c r="D586" s="1293"/>
      <c r="E586" s="1293"/>
      <c r="F586" s="1293"/>
      <c r="G586" s="1293"/>
      <c r="H586" s="1293"/>
      <c r="I586" s="1293"/>
      <c r="J586" s="1293"/>
      <c r="K586" s="1293"/>
      <c r="L586" s="1293"/>
      <c r="M586" s="1293"/>
      <c r="N586" s="1293"/>
      <c r="O586" s="1293"/>
      <c r="P586" s="1293"/>
      <c r="Q586" s="1293"/>
      <c r="R586" s="1293"/>
      <c r="S586" s="1293"/>
      <c r="T586" s="1293"/>
      <c r="U586" s="1293"/>
      <c r="V586" s="1293"/>
      <c r="W586" s="1293"/>
      <c r="X586" s="1293"/>
      <c r="Y586" s="1293"/>
      <c r="Z586" s="1293"/>
      <c r="AA586" s="1293"/>
      <c r="AB586" s="1293"/>
      <c r="AC586" s="1293"/>
      <c r="AD586" s="1293"/>
      <c r="AE586" s="1293"/>
      <c r="AF586" s="1293"/>
      <c r="AG586" s="1293"/>
      <c r="AH586" s="1293"/>
      <c r="AI586" s="1293"/>
      <c r="AJ586" s="1293"/>
      <c r="AK586" s="1293"/>
      <c r="AL586" s="1293"/>
      <c r="AM586" s="1293"/>
      <c r="AN586" s="1293"/>
      <c r="AO586" s="1293"/>
      <c r="AP586" s="1293"/>
      <c r="AQ586" s="1293"/>
      <c r="AR586" s="1293"/>
      <c r="AS586" s="1293"/>
      <c r="AT586" s="1293"/>
      <c r="AU586" s="1293"/>
      <c r="AV586" s="1293"/>
      <c r="AW586" s="1293"/>
      <c r="AX586" s="1293"/>
      <c r="AY586" s="1293"/>
      <c r="AZ586" s="1293"/>
      <c r="BA586" s="1293"/>
      <c r="BB586" s="1293"/>
      <c r="BC586" s="1293"/>
      <c r="BD586" s="1293"/>
      <c r="BE586" s="1293"/>
      <c r="BF586" s="1293"/>
      <c r="BG586" s="1293"/>
      <c r="BH586" s="1293"/>
      <c r="BI586" s="1293"/>
      <c r="BJ586" s="1293"/>
      <c r="BK586" s="1293"/>
      <c r="BL586" s="1293"/>
      <c r="BM586" s="1293"/>
      <c r="BN586" s="1293"/>
      <c r="BO586" s="1293"/>
      <c r="BP586" s="1293"/>
      <c r="BQ586" s="1293"/>
      <c r="BR586" s="1293"/>
      <c r="BS586" s="1293"/>
      <c r="BT586" s="1293"/>
      <c r="BU586" s="1293"/>
      <c r="BV586" s="1293"/>
      <c r="BW586" s="1293"/>
      <c r="BX586" s="1293"/>
      <c r="BY586" s="1293"/>
      <c r="BZ586" s="1293"/>
      <c r="CA586" s="1293"/>
      <c r="CB586" s="1293"/>
      <c r="CC586" s="1293"/>
      <c r="CD586" s="1293"/>
      <c r="CE586" s="1293"/>
      <c r="CF586" s="1293"/>
      <c r="CG586" s="1293"/>
    </row>
    <row r="587" spans="1:85" ht="15.75">
      <c r="A587" s="1293"/>
      <c r="B587" s="1293"/>
      <c r="C587" s="1293"/>
      <c r="D587" s="1293"/>
      <c r="E587" s="1293"/>
      <c r="F587" s="1293"/>
      <c r="G587" s="1293"/>
      <c r="H587" s="1293"/>
      <c r="I587" s="1293"/>
      <c r="J587" s="1293"/>
      <c r="K587" s="1293"/>
      <c r="L587" s="1293"/>
      <c r="M587" s="1293"/>
      <c r="N587" s="1293"/>
      <c r="O587" s="1293"/>
      <c r="P587" s="1293"/>
      <c r="Q587" s="1293"/>
      <c r="R587" s="1293"/>
      <c r="S587" s="1293"/>
      <c r="T587" s="1293"/>
      <c r="U587" s="1293"/>
      <c r="V587" s="1293"/>
      <c r="W587" s="1293"/>
      <c r="X587" s="1293"/>
      <c r="Y587" s="1293"/>
      <c r="Z587" s="1293"/>
      <c r="AA587" s="1293"/>
      <c r="AB587" s="1293"/>
      <c r="AC587" s="1293"/>
      <c r="AD587" s="1293"/>
      <c r="AE587" s="1293"/>
      <c r="AF587" s="1293"/>
      <c r="AG587" s="1293"/>
      <c r="AH587" s="1293"/>
      <c r="AI587" s="1293"/>
      <c r="AJ587" s="1293"/>
      <c r="AK587" s="1293"/>
      <c r="AL587" s="1293"/>
      <c r="AM587" s="1293"/>
      <c r="AN587" s="1293"/>
      <c r="AO587" s="1293"/>
      <c r="AP587" s="1293"/>
      <c r="AQ587" s="1293"/>
      <c r="AR587" s="1293"/>
      <c r="AS587" s="1293"/>
      <c r="AT587" s="1293"/>
      <c r="AU587" s="1293"/>
      <c r="AV587" s="1293"/>
      <c r="AW587" s="1293"/>
      <c r="AX587" s="1293"/>
      <c r="AY587" s="1293"/>
      <c r="AZ587" s="1293"/>
      <c r="BA587" s="1293"/>
      <c r="BB587" s="1293"/>
      <c r="BC587" s="1293"/>
      <c r="BD587" s="1293"/>
      <c r="BE587" s="1293"/>
      <c r="BF587" s="1293"/>
      <c r="BG587" s="1293"/>
      <c r="BH587" s="1293"/>
      <c r="BI587" s="1293"/>
      <c r="BJ587" s="1293"/>
      <c r="BK587" s="1293"/>
      <c r="BL587" s="1293"/>
      <c r="BM587" s="1293"/>
      <c r="BN587" s="1293"/>
      <c r="BO587" s="1293"/>
      <c r="BP587" s="1293"/>
      <c r="BQ587" s="1293"/>
      <c r="BR587" s="1293"/>
      <c r="BS587" s="1293"/>
      <c r="BT587" s="1293"/>
      <c r="BU587" s="1293"/>
      <c r="BV587" s="1293"/>
      <c r="BW587" s="1293"/>
      <c r="BX587" s="1293"/>
      <c r="BY587" s="1293"/>
      <c r="BZ587" s="1293"/>
      <c r="CA587" s="1293"/>
      <c r="CB587" s="1293"/>
      <c r="CC587" s="1293"/>
      <c r="CD587" s="1293"/>
      <c r="CE587" s="1293"/>
      <c r="CF587" s="1293"/>
      <c r="CG587" s="1293"/>
    </row>
    <row r="588" spans="1:85" ht="15.75">
      <c r="A588" s="1293"/>
      <c r="B588" s="1293"/>
      <c r="C588" s="1293"/>
      <c r="D588" s="1293"/>
      <c r="E588" s="1293"/>
      <c r="F588" s="1293"/>
      <c r="G588" s="1293"/>
      <c r="H588" s="1293"/>
      <c r="I588" s="1293"/>
      <c r="J588" s="1293"/>
      <c r="K588" s="1293"/>
      <c r="L588" s="1293"/>
      <c r="M588" s="1293"/>
      <c r="N588" s="1293"/>
      <c r="O588" s="1293"/>
      <c r="P588" s="1293"/>
      <c r="Q588" s="1293"/>
      <c r="R588" s="1293"/>
      <c r="S588" s="1293"/>
      <c r="T588" s="1293"/>
      <c r="U588" s="1293"/>
      <c r="V588" s="1293"/>
      <c r="W588" s="1293"/>
      <c r="X588" s="1293"/>
      <c r="Y588" s="1293"/>
      <c r="Z588" s="1293"/>
      <c r="AA588" s="1293"/>
      <c r="AB588" s="1293"/>
      <c r="AC588" s="1293"/>
      <c r="AD588" s="1293"/>
      <c r="AE588" s="1293"/>
      <c r="AF588" s="1293"/>
      <c r="AG588" s="1293"/>
      <c r="AH588" s="1293"/>
      <c r="AI588" s="1293"/>
      <c r="AJ588" s="1293"/>
      <c r="AK588" s="1293"/>
      <c r="AL588" s="1293"/>
      <c r="AM588" s="1293"/>
      <c r="AN588" s="1293"/>
      <c r="AO588" s="1293"/>
      <c r="AP588" s="1293"/>
      <c r="AQ588" s="1293"/>
      <c r="AR588" s="1293"/>
      <c r="AS588" s="1293"/>
      <c r="AT588" s="1293"/>
      <c r="AU588" s="1293"/>
      <c r="AV588" s="1293"/>
      <c r="AW588" s="1293"/>
      <c r="AX588" s="1293"/>
      <c r="AY588" s="1293"/>
      <c r="AZ588" s="1293"/>
      <c r="BA588" s="1293"/>
      <c r="BB588" s="1293"/>
      <c r="BC588" s="1293"/>
      <c r="BD588" s="1293"/>
      <c r="BE588" s="1293"/>
      <c r="BF588" s="1293"/>
      <c r="BG588" s="1293"/>
      <c r="BH588" s="1293"/>
      <c r="BI588" s="1293"/>
      <c r="BJ588" s="1293"/>
      <c r="BK588" s="1293"/>
      <c r="BL588" s="1293"/>
      <c r="BM588" s="1293"/>
      <c r="BN588" s="1293"/>
      <c r="BO588" s="1293"/>
      <c r="BP588" s="1293"/>
      <c r="BQ588" s="1293"/>
      <c r="BR588" s="1293"/>
      <c r="BS588" s="1293"/>
      <c r="BT588" s="1293"/>
      <c r="BU588" s="1293"/>
      <c r="BV588" s="1293"/>
      <c r="BW588" s="1293"/>
      <c r="BX588" s="1293"/>
      <c r="BY588" s="1293"/>
      <c r="BZ588" s="1293"/>
      <c r="CA588" s="1293"/>
      <c r="CB588" s="1293"/>
      <c r="CC588" s="1293"/>
      <c r="CD588" s="1293"/>
      <c r="CE588" s="1293"/>
      <c r="CF588" s="1293"/>
      <c r="CG588" s="1293"/>
    </row>
    <row r="589" spans="1:85" ht="15.75">
      <c r="A589" s="1293"/>
      <c r="B589" s="1293"/>
      <c r="C589" s="1293"/>
      <c r="D589" s="1293"/>
      <c r="E589" s="1293"/>
      <c r="F589" s="1293"/>
      <c r="G589" s="1293"/>
      <c r="H589" s="1293"/>
      <c r="I589" s="1293"/>
      <c r="J589" s="1293"/>
      <c r="K589" s="1293"/>
      <c r="L589" s="1293"/>
      <c r="M589" s="1293"/>
      <c r="N589" s="1293"/>
      <c r="O589" s="1293"/>
      <c r="P589" s="1293"/>
      <c r="Q589" s="1293"/>
      <c r="R589" s="1293"/>
      <c r="S589" s="1293"/>
      <c r="T589" s="1293"/>
      <c r="U589" s="1293"/>
      <c r="V589" s="1293"/>
      <c r="W589" s="1293"/>
      <c r="X589" s="1293"/>
      <c r="Y589" s="1293"/>
      <c r="Z589" s="1293"/>
      <c r="AA589" s="1293"/>
      <c r="AB589" s="1293"/>
      <c r="AC589" s="1293"/>
      <c r="AD589" s="1293"/>
      <c r="AE589" s="1293"/>
      <c r="AF589" s="1293"/>
      <c r="AG589" s="1293"/>
      <c r="AH589" s="1293"/>
      <c r="AI589" s="1293"/>
      <c r="AJ589" s="1293"/>
      <c r="AK589" s="1293"/>
      <c r="AL589" s="1293"/>
      <c r="AM589" s="1293"/>
      <c r="AN589" s="1293"/>
      <c r="AO589" s="1293"/>
      <c r="AP589" s="1293"/>
      <c r="AQ589" s="1293"/>
      <c r="AR589" s="1293"/>
      <c r="AS589" s="1293"/>
      <c r="AT589" s="1293"/>
      <c r="AU589" s="1293"/>
      <c r="AV589" s="1293"/>
      <c r="AW589" s="1293"/>
      <c r="AX589" s="1293"/>
      <c r="AY589" s="1293"/>
      <c r="AZ589" s="1293"/>
      <c r="BA589" s="1293"/>
      <c r="BB589" s="1293"/>
      <c r="BC589" s="1293"/>
      <c r="BD589" s="1293"/>
      <c r="BE589" s="1293"/>
      <c r="BF589" s="1293"/>
      <c r="BG589" s="1293"/>
      <c r="BH589" s="1293"/>
      <c r="BI589" s="1293"/>
      <c r="BJ589" s="1293"/>
      <c r="BK589" s="1293"/>
      <c r="BL589" s="1293"/>
      <c r="BM589" s="1293"/>
      <c r="BN589" s="1293"/>
      <c r="BO589" s="1293"/>
      <c r="BP589" s="1293"/>
      <c r="BQ589" s="1293"/>
      <c r="BR589" s="1293"/>
      <c r="BS589" s="1293"/>
      <c r="BT589" s="1293"/>
      <c r="BU589" s="1293"/>
      <c r="BV589" s="1293"/>
      <c r="BW589" s="1293"/>
      <c r="BX589" s="1293"/>
      <c r="BY589" s="1293"/>
      <c r="BZ589" s="1293"/>
      <c r="CA589" s="1293"/>
      <c r="CB589" s="1293"/>
      <c r="CC589" s="1293"/>
      <c r="CD589" s="1293"/>
      <c r="CE589" s="1293"/>
      <c r="CF589" s="1293"/>
      <c r="CG589" s="1293"/>
    </row>
    <row r="590" spans="1:85" ht="15.75">
      <c r="A590" s="1293"/>
      <c r="B590" s="1293"/>
      <c r="C590" s="1293"/>
      <c r="D590" s="1293"/>
      <c r="E590" s="1293"/>
      <c r="F590" s="1293"/>
      <c r="G590" s="1293"/>
      <c r="H590" s="1293"/>
      <c r="I590" s="1293"/>
      <c r="J590" s="1293"/>
      <c r="K590" s="1293"/>
      <c r="L590" s="1293"/>
      <c r="M590" s="1293"/>
      <c r="N590" s="1293"/>
      <c r="O590" s="1293"/>
      <c r="P590" s="1293"/>
      <c r="Q590" s="1293"/>
      <c r="R590" s="1293"/>
      <c r="S590" s="1293"/>
      <c r="T590" s="1293"/>
      <c r="U590" s="1293"/>
      <c r="V590" s="1293"/>
      <c r="W590" s="1293"/>
      <c r="X590" s="1293"/>
      <c r="Y590" s="1293"/>
      <c r="Z590" s="1293"/>
      <c r="AA590" s="1293"/>
      <c r="AB590" s="1293"/>
      <c r="AC590" s="1293"/>
      <c r="AD590" s="1293"/>
      <c r="AE590" s="1293"/>
      <c r="AF590" s="1293"/>
      <c r="AG590" s="1293"/>
      <c r="AH590" s="1293"/>
      <c r="AI590" s="1293"/>
      <c r="AJ590" s="1293"/>
      <c r="AK590" s="1293"/>
      <c r="AL590" s="1293"/>
      <c r="AM590" s="1293"/>
      <c r="AN590" s="1293"/>
      <c r="AO590" s="1293"/>
      <c r="AP590" s="1293"/>
      <c r="AQ590" s="1293"/>
      <c r="AR590" s="1293"/>
      <c r="AS590" s="1293"/>
      <c r="AT590" s="1293"/>
      <c r="AU590" s="1293"/>
      <c r="AV590" s="1293"/>
      <c r="AW590" s="1293"/>
      <c r="AX590" s="1293"/>
      <c r="AY590" s="1293"/>
      <c r="AZ590" s="1293"/>
      <c r="BA590" s="1293"/>
      <c r="BB590" s="1293"/>
      <c r="BC590" s="1293"/>
      <c r="BD590" s="1293"/>
      <c r="BE590" s="1293"/>
      <c r="BF590" s="1293"/>
      <c r="BG590" s="1293"/>
      <c r="BH590" s="1293"/>
      <c r="BI590" s="1293"/>
      <c r="BJ590" s="1293"/>
      <c r="BK590" s="1293"/>
      <c r="BL590" s="1293"/>
      <c r="BM590" s="1293"/>
      <c r="BN590" s="1293"/>
      <c r="BO590" s="1293"/>
      <c r="BP590" s="1293"/>
      <c r="BQ590" s="1293"/>
      <c r="BR590" s="1293"/>
      <c r="BS590" s="1293"/>
      <c r="BT590" s="1293"/>
      <c r="BU590" s="1293"/>
      <c r="BV590" s="1293"/>
      <c r="BW590" s="1293"/>
      <c r="BX590" s="1293"/>
      <c r="BY590" s="1293"/>
      <c r="BZ590" s="1293"/>
      <c r="CA590" s="1293"/>
      <c r="CB590" s="1293"/>
      <c r="CC590" s="1293"/>
      <c r="CD590" s="1293"/>
      <c r="CE590" s="1293"/>
      <c r="CF590" s="1293"/>
      <c r="CG590" s="1293"/>
    </row>
    <row r="591" spans="1:85" ht="15.75">
      <c r="A591" s="1293"/>
      <c r="B591" s="1293"/>
      <c r="C591" s="1293"/>
      <c r="D591" s="1293"/>
      <c r="E591" s="1293"/>
      <c r="F591" s="1293"/>
      <c r="G591" s="1293"/>
      <c r="H591" s="1293"/>
      <c r="I591" s="1293"/>
      <c r="J591" s="1293"/>
      <c r="K591" s="1293"/>
      <c r="L591" s="1293"/>
      <c r="M591" s="1293"/>
      <c r="N591" s="1293"/>
      <c r="O591" s="1293"/>
      <c r="P591" s="1293"/>
      <c r="Q591" s="1293"/>
      <c r="R591" s="1293"/>
      <c r="S591" s="1293"/>
      <c r="T591" s="1293"/>
      <c r="U591" s="1293"/>
      <c r="V591" s="1293"/>
      <c r="W591" s="1293"/>
      <c r="X591" s="1293"/>
      <c r="Y591" s="1293"/>
      <c r="Z591" s="1293"/>
      <c r="AA591" s="1293"/>
      <c r="AB591" s="1293"/>
      <c r="AC591" s="1293"/>
      <c r="AD591" s="1293"/>
      <c r="AE591" s="1293"/>
      <c r="AF591" s="1293"/>
      <c r="AG591" s="1293"/>
      <c r="AH591" s="1293"/>
      <c r="AI591" s="1293"/>
      <c r="AJ591" s="1293"/>
      <c r="AK591" s="1293"/>
      <c r="AL591" s="1293"/>
      <c r="AM591" s="1293"/>
      <c r="AN591" s="1293"/>
      <c r="AO591" s="1293"/>
      <c r="AP591" s="1293"/>
      <c r="AQ591" s="1293"/>
      <c r="AR591" s="1293"/>
      <c r="AS591" s="1293"/>
      <c r="AT591" s="1293"/>
      <c r="AU591" s="1293"/>
      <c r="AV591" s="1293"/>
      <c r="AW591" s="1293"/>
      <c r="AX591" s="1293"/>
      <c r="AY591" s="1293"/>
      <c r="AZ591" s="1293"/>
      <c r="BA591" s="1293"/>
      <c r="BB591" s="1293"/>
      <c r="BC591" s="1293"/>
      <c r="BD591" s="1293"/>
      <c r="BE591" s="1293"/>
      <c r="BF591" s="1293"/>
      <c r="BG591" s="1293"/>
      <c r="BH591" s="1293"/>
      <c r="BI591" s="1293"/>
      <c r="BJ591" s="1293"/>
      <c r="BK591" s="1293"/>
      <c r="BL591" s="1293"/>
      <c r="BM591" s="1293"/>
      <c r="BN591" s="1293"/>
      <c r="BO591" s="1293"/>
      <c r="BP591" s="1293"/>
      <c r="BQ591" s="1293"/>
      <c r="BR591" s="1293"/>
      <c r="BS591" s="1293"/>
      <c r="BT591" s="1293"/>
      <c r="BU591" s="1293"/>
      <c r="BV591" s="1293"/>
      <c r="BW591" s="1293"/>
      <c r="BX591" s="1293"/>
      <c r="BY591" s="1293"/>
      <c r="BZ591" s="1293"/>
      <c r="CA591" s="1293"/>
      <c r="CB591" s="1293"/>
      <c r="CC591" s="1293"/>
      <c r="CD591" s="1293"/>
      <c r="CE591" s="1293"/>
      <c r="CF591" s="1293"/>
      <c r="CG591" s="1293"/>
    </row>
    <row r="592" spans="1:85" ht="15.75">
      <c r="A592" s="1293"/>
      <c r="B592" s="1293"/>
      <c r="C592" s="1293"/>
      <c r="D592" s="1293"/>
      <c r="E592" s="1293"/>
      <c r="F592" s="1293"/>
      <c r="G592" s="1293"/>
      <c r="H592" s="1293"/>
      <c r="I592" s="1293"/>
      <c r="J592" s="1293"/>
      <c r="K592" s="1293"/>
      <c r="L592" s="1293"/>
      <c r="M592" s="1293"/>
      <c r="N592" s="1293"/>
      <c r="O592" s="1293"/>
      <c r="P592" s="1293"/>
      <c r="Q592" s="1293"/>
      <c r="R592" s="1293"/>
      <c r="S592" s="1293"/>
      <c r="T592" s="1293"/>
      <c r="U592" s="1293"/>
      <c r="V592" s="1293"/>
      <c r="W592" s="1293"/>
      <c r="X592" s="1293"/>
      <c r="Y592" s="1293"/>
      <c r="Z592" s="1293"/>
      <c r="AA592" s="1293"/>
      <c r="AB592" s="1293"/>
      <c r="AC592" s="1293"/>
      <c r="AD592" s="1293"/>
      <c r="AE592" s="1293"/>
      <c r="AF592" s="1293"/>
      <c r="AG592" s="1293"/>
      <c r="AH592" s="1293"/>
      <c r="AI592" s="1293"/>
      <c r="AJ592" s="1293"/>
      <c r="AK592" s="1293"/>
      <c r="AL592" s="1293"/>
      <c r="AM592" s="1293"/>
      <c r="AN592" s="1293"/>
      <c r="AO592" s="1293"/>
      <c r="AP592" s="1293"/>
      <c r="AQ592" s="1293"/>
      <c r="AR592" s="1293"/>
      <c r="AS592" s="1293"/>
      <c r="AT592" s="1293"/>
      <c r="AU592" s="1293"/>
      <c r="AV592" s="1293"/>
      <c r="AW592" s="1293"/>
      <c r="AX592" s="1293"/>
      <c r="AY592" s="1293"/>
      <c r="AZ592" s="1293"/>
      <c r="BA592" s="1293"/>
      <c r="BB592" s="1293"/>
      <c r="BC592" s="1293"/>
      <c r="BD592" s="1293"/>
      <c r="BE592" s="1293"/>
      <c r="BF592" s="1293"/>
      <c r="BG592" s="1293"/>
      <c r="BH592" s="1293"/>
      <c r="BI592" s="1293"/>
      <c r="BJ592" s="1293"/>
      <c r="BK592" s="1293"/>
      <c r="BL592" s="1293"/>
      <c r="BM592" s="1293"/>
      <c r="BN592" s="1293"/>
      <c r="BO592" s="1293"/>
      <c r="BP592" s="1293"/>
      <c r="BQ592" s="1293"/>
      <c r="BR592" s="1293"/>
      <c r="BS592" s="1293"/>
      <c r="BT592" s="1293"/>
      <c r="BU592" s="1293"/>
      <c r="BV592" s="1293"/>
      <c r="BW592" s="1293"/>
      <c r="BX592" s="1293"/>
      <c r="BY592" s="1293"/>
      <c r="BZ592" s="1293"/>
      <c r="CA592" s="1293"/>
      <c r="CB592" s="1293"/>
      <c r="CC592" s="1293"/>
      <c r="CD592" s="1293"/>
      <c r="CE592" s="1293"/>
      <c r="CF592" s="1293"/>
      <c r="CG592" s="1293"/>
    </row>
    <row r="593" spans="1:85" ht="15.75">
      <c r="A593" s="1293"/>
      <c r="B593" s="1293"/>
      <c r="C593" s="1293"/>
      <c r="D593" s="1293"/>
      <c r="E593" s="1293"/>
      <c r="F593" s="1293"/>
      <c r="G593" s="1293"/>
      <c r="H593" s="1293"/>
      <c r="I593" s="1293"/>
      <c r="J593" s="1293"/>
      <c r="K593" s="1293"/>
      <c r="L593" s="1293"/>
      <c r="M593" s="1293"/>
      <c r="N593" s="1293"/>
      <c r="O593" s="1293"/>
      <c r="P593" s="1293"/>
      <c r="Q593" s="1293"/>
      <c r="R593" s="1293"/>
      <c r="S593" s="1293"/>
      <c r="T593" s="1293"/>
      <c r="U593" s="1293"/>
      <c r="V593" s="1293"/>
      <c r="W593" s="1293"/>
      <c r="X593" s="1293"/>
      <c r="Y593" s="1293"/>
      <c r="Z593" s="1293"/>
      <c r="AA593" s="1293"/>
      <c r="AB593" s="1293"/>
      <c r="AC593" s="1293"/>
      <c r="AD593" s="1293"/>
      <c r="AE593" s="1293"/>
      <c r="AF593" s="1293"/>
      <c r="AG593" s="1293"/>
      <c r="AH593" s="1293"/>
      <c r="AI593" s="1293"/>
      <c r="AJ593" s="1293"/>
      <c r="AK593" s="1293"/>
      <c r="AL593" s="1293"/>
      <c r="AM593" s="1293"/>
      <c r="AN593" s="1293"/>
      <c r="AO593" s="1293"/>
      <c r="AP593" s="1293"/>
      <c r="AQ593" s="1293"/>
      <c r="AR593" s="1293"/>
      <c r="AS593" s="1293"/>
      <c r="AT593" s="1293"/>
      <c r="AU593" s="1293"/>
      <c r="AV593" s="1293"/>
      <c r="AW593" s="1293"/>
      <c r="AX593" s="1293"/>
      <c r="AY593" s="1293"/>
      <c r="AZ593" s="1293"/>
      <c r="BA593" s="1293"/>
      <c r="BB593" s="1293"/>
      <c r="BC593" s="1293"/>
      <c r="BD593" s="1293"/>
      <c r="BE593" s="1293"/>
      <c r="BF593" s="1293"/>
      <c r="BG593" s="1293"/>
      <c r="BH593" s="1293"/>
      <c r="BI593" s="1293"/>
      <c r="BJ593" s="1293"/>
      <c r="BK593" s="1293"/>
      <c r="BL593" s="1293"/>
      <c r="BM593" s="1293"/>
      <c r="BN593" s="1293"/>
      <c r="BO593" s="1293"/>
      <c r="BP593" s="1293"/>
      <c r="BQ593" s="1293"/>
      <c r="BR593" s="1293"/>
      <c r="BS593" s="1293"/>
      <c r="BT593" s="1293"/>
      <c r="BU593" s="1293"/>
      <c r="BV593" s="1293"/>
      <c r="BW593" s="1293"/>
      <c r="BX593" s="1293"/>
      <c r="BY593" s="1293"/>
      <c r="BZ593" s="1293"/>
      <c r="CA593" s="1293"/>
      <c r="CB593" s="1293"/>
      <c r="CC593" s="1293"/>
      <c r="CD593" s="1293"/>
      <c r="CE593" s="1293"/>
      <c r="CF593" s="1293"/>
      <c r="CG593" s="1293"/>
    </row>
    <row r="594" spans="1:85" ht="15.75">
      <c r="A594" s="1293"/>
      <c r="B594" s="1293"/>
      <c r="C594" s="1293"/>
      <c r="D594" s="1293"/>
      <c r="E594" s="1293"/>
      <c r="F594" s="1293"/>
      <c r="G594" s="1293"/>
      <c r="H594" s="1293"/>
      <c r="I594" s="1293"/>
      <c r="J594" s="1293"/>
      <c r="K594" s="1293"/>
      <c r="L594" s="1293"/>
      <c r="M594" s="1293"/>
      <c r="N594" s="1293"/>
      <c r="O594" s="1293"/>
      <c r="P594" s="1293"/>
      <c r="Q594" s="1293"/>
      <c r="R594" s="1293"/>
      <c r="S594" s="1293"/>
      <c r="T594" s="1293"/>
      <c r="U594" s="1293"/>
      <c r="V594" s="1293"/>
      <c r="W594" s="1293"/>
      <c r="X594" s="1293"/>
      <c r="Y594" s="1293"/>
      <c r="Z594" s="1293"/>
      <c r="AA594" s="1293"/>
      <c r="AB594" s="1293"/>
      <c r="AC594" s="1293"/>
      <c r="AD594" s="1293"/>
      <c r="AE594" s="1293"/>
      <c r="AF594" s="1293"/>
      <c r="AG594" s="1293"/>
      <c r="AH594" s="1293"/>
      <c r="AI594" s="1293"/>
      <c r="AJ594" s="1293"/>
      <c r="AK594" s="1293"/>
      <c r="AL594" s="1293"/>
      <c r="AM594" s="1293"/>
      <c r="AN594" s="1293"/>
      <c r="AO594" s="1293"/>
      <c r="AP594" s="1293"/>
      <c r="AQ594" s="1293"/>
      <c r="AR594" s="1293"/>
      <c r="AS594" s="1293"/>
      <c r="AT594" s="1293"/>
      <c r="AU594" s="1293"/>
      <c r="AV594" s="1293"/>
      <c r="AW594" s="1293"/>
      <c r="AX594" s="1293"/>
      <c r="AY594" s="1293"/>
      <c r="AZ594" s="1293"/>
      <c r="BA594" s="1293"/>
      <c r="BB594" s="1293"/>
      <c r="BC594" s="1293"/>
      <c r="BD594" s="1293"/>
      <c r="BE594" s="1293"/>
      <c r="BF594" s="1293"/>
      <c r="BG594" s="1293"/>
      <c r="BH594" s="1293"/>
      <c r="BI594" s="1293"/>
      <c r="BJ594" s="1293"/>
      <c r="BK594" s="1293"/>
      <c r="BL594" s="1293"/>
      <c r="BM594" s="1293"/>
      <c r="BN594" s="1293"/>
      <c r="BO594" s="1293"/>
      <c r="BP594" s="1293"/>
      <c r="BQ594" s="1293"/>
      <c r="BR594" s="1293"/>
      <c r="BS594" s="1293"/>
      <c r="BT594" s="1293"/>
      <c r="BU594" s="1293"/>
      <c r="BV594" s="1293"/>
      <c r="BW594" s="1293"/>
      <c r="BX594" s="1293"/>
      <c r="BY594" s="1293"/>
      <c r="BZ594" s="1293"/>
      <c r="CA594" s="1293"/>
      <c r="CB594" s="1293"/>
      <c r="CC594" s="1293"/>
      <c r="CD594" s="1293"/>
      <c r="CE594" s="1293"/>
      <c r="CF594" s="1293"/>
      <c r="CG594" s="1293"/>
    </row>
    <row r="595" spans="1:85" ht="15.75">
      <c r="A595" s="1293"/>
      <c r="B595" s="1293"/>
      <c r="C595" s="1293"/>
      <c r="D595" s="1293"/>
      <c r="E595" s="1293"/>
      <c r="F595" s="1293"/>
      <c r="G595" s="1293"/>
      <c r="H595" s="1293"/>
      <c r="I595" s="1293"/>
      <c r="J595" s="1293"/>
      <c r="K595" s="1293"/>
      <c r="L595" s="1293"/>
      <c r="M595" s="1293"/>
      <c r="N595" s="1293"/>
      <c r="O595" s="1293"/>
      <c r="P595" s="1293"/>
      <c r="Q595" s="1293"/>
      <c r="R595" s="1293"/>
      <c r="S595" s="1293"/>
      <c r="T595" s="1293"/>
      <c r="U595" s="1293"/>
      <c r="V595" s="1293"/>
      <c r="W595" s="1293"/>
      <c r="X595" s="1293"/>
      <c r="Y595" s="1293"/>
      <c r="Z595" s="1293"/>
      <c r="AA595" s="1293"/>
      <c r="AB595" s="1293"/>
      <c r="AC595" s="1293"/>
      <c r="AD595" s="1293"/>
      <c r="AE595" s="1293"/>
      <c r="AF595" s="1293"/>
      <c r="AG595" s="1293"/>
      <c r="AH595" s="1293"/>
      <c r="AI595" s="1293"/>
      <c r="AJ595" s="1293"/>
      <c r="AK595" s="1293"/>
      <c r="AL595" s="1293"/>
      <c r="AM595" s="1293"/>
      <c r="AN595" s="1293"/>
      <c r="AO595" s="1293"/>
      <c r="AP595" s="1293"/>
      <c r="AQ595" s="1293"/>
      <c r="AR595" s="1293"/>
      <c r="AS595" s="1293"/>
      <c r="AT595" s="1293"/>
      <c r="AU595" s="1293"/>
      <c r="AV595" s="1293"/>
      <c r="AW595" s="1293"/>
      <c r="AX595" s="1293"/>
      <c r="AY595" s="1293"/>
      <c r="AZ595" s="1293"/>
      <c r="BA595" s="1293"/>
      <c r="BB595" s="1293"/>
      <c r="BC595" s="1293"/>
      <c r="BD595" s="1293"/>
      <c r="BE595" s="1293"/>
      <c r="BF595" s="1293"/>
      <c r="BG595" s="1293"/>
      <c r="BH595" s="1293"/>
      <c r="BI595" s="1293"/>
      <c r="BJ595" s="1293"/>
      <c r="BK595" s="1293"/>
      <c r="BL595" s="1293"/>
      <c r="BM595" s="1293"/>
      <c r="BN595" s="1293"/>
      <c r="BO595" s="1293"/>
      <c r="BP595" s="1293"/>
      <c r="BQ595" s="1293"/>
      <c r="BR595" s="1293"/>
      <c r="BS595" s="1293"/>
      <c r="BT595" s="1293"/>
      <c r="BU595" s="1293"/>
      <c r="BV595" s="1293"/>
      <c r="BW595" s="1293"/>
      <c r="BX595" s="1293"/>
      <c r="BY595" s="1293"/>
      <c r="BZ595" s="1293"/>
      <c r="CA595" s="1293"/>
      <c r="CB595" s="1293"/>
      <c r="CC595" s="1293"/>
      <c r="CD595" s="1293"/>
      <c r="CE595" s="1293"/>
      <c r="CF595" s="1293"/>
      <c r="CG595" s="1293"/>
    </row>
    <row r="596" spans="1:85" ht="15.75">
      <c r="A596" s="1293"/>
      <c r="B596" s="1293"/>
      <c r="C596" s="1293"/>
      <c r="D596" s="1293"/>
      <c r="E596" s="1293"/>
      <c r="F596" s="1293"/>
      <c r="G596" s="1293"/>
      <c r="H596" s="1293"/>
      <c r="I596" s="1293"/>
      <c r="J596" s="1293"/>
      <c r="K596" s="1293"/>
      <c r="L596" s="1293"/>
      <c r="M596" s="1293"/>
      <c r="N596" s="1293"/>
      <c r="O596" s="1293"/>
      <c r="P596" s="1293"/>
      <c r="Q596" s="1293"/>
      <c r="R596" s="1293"/>
      <c r="S596" s="1293"/>
      <c r="T596" s="1293"/>
      <c r="U596" s="1293"/>
      <c r="V596" s="1293"/>
      <c r="W596" s="1293"/>
      <c r="X596" s="1293"/>
      <c r="Y596" s="1293"/>
      <c r="Z596" s="1293"/>
      <c r="AA596" s="1293"/>
      <c r="AB596" s="1293"/>
      <c r="AC596" s="1293"/>
      <c r="AD596" s="1293"/>
      <c r="AE596" s="1293"/>
      <c r="AF596" s="1293"/>
      <c r="AG596" s="1293"/>
      <c r="AH596" s="1293"/>
      <c r="AI596" s="1293"/>
      <c r="AJ596" s="1293"/>
      <c r="AK596" s="1293"/>
      <c r="AL596" s="1293"/>
      <c r="AM596" s="1293"/>
      <c r="AN596" s="1293"/>
      <c r="AO596" s="1293"/>
      <c r="AP596" s="1293"/>
      <c r="AQ596" s="1293"/>
      <c r="AR596" s="1293"/>
      <c r="AS596" s="1293"/>
      <c r="AT596" s="1293"/>
      <c r="AU596" s="1293"/>
      <c r="AV596" s="1293"/>
      <c r="AW596" s="1293"/>
      <c r="AX596" s="1293"/>
      <c r="AY596" s="1293"/>
      <c r="AZ596" s="1293"/>
      <c r="BA596" s="1293"/>
      <c r="BB596" s="1293"/>
      <c r="BC596" s="1293"/>
      <c r="BD596" s="1293"/>
      <c r="BE596" s="1293"/>
      <c r="BF596" s="1293"/>
      <c r="BG596" s="1293"/>
      <c r="BH596" s="1293"/>
      <c r="BI596" s="1293"/>
      <c r="BJ596" s="1293"/>
      <c r="BK596" s="1293"/>
      <c r="BL596" s="1293"/>
      <c r="BM596" s="1293"/>
      <c r="BN596" s="1293"/>
      <c r="BO596" s="1293"/>
      <c r="BP596" s="1293"/>
      <c r="BQ596" s="1293"/>
      <c r="BR596" s="1293"/>
      <c r="BS596" s="1293"/>
      <c r="BT596" s="1293"/>
      <c r="BU596" s="1293"/>
      <c r="BV596" s="1293"/>
      <c r="BW596" s="1293"/>
      <c r="BX596" s="1293"/>
      <c r="BY596" s="1293"/>
      <c r="BZ596" s="1293"/>
      <c r="CA596" s="1293"/>
      <c r="CB596" s="1293"/>
      <c r="CC596" s="1293"/>
      <c r="CD596" s="1293"/>
      <c r="CE596" s="1293"/>
      <c r="CF596" s="1293"/>
      <c r="CG596" s="1293"/>
    </row>
    <row r="597" spans="1:85" ht="15.75">
      <c r="A597" s="1293"/>
      <c r="B597" s="1293"/>
      <c r="C597" s="1293"/>
      <c r="D597" s="1293"/>
      <c r="E597" s="1293"/>
      <c r="F597" s="1293"/>
      <c r="G597" s="1293"/>
      <c r="H597" s="1293"/>
      <c r="I597" s="1293"/>
      <c r="J597" s="1293"/>
      <c r="K597" s="1293"/>
      <c r="L597" s="1293"/>
      <c r="M597" s="1293"/>
      <c r="N597" s="1293"/>
      <c r="O597" s="1293"/>
      <c r="P597" s="1293"/>
      <c r="Q597" s="1293"/>
      <c r="R597" s="1293"/>
      <c r="S597" s="1293"/>
      <c r="T597" s="1293"/>
      <c r="U597" s="1293"/>
      <c r="V597" s="1293"/>
      <c r="W597" s="1293"/>
      <c r="X597" s="1293"/>
      <c r="Y597" s="1293"/>
      <c r="Z597" s="1293"/>
      <c r="AA597" s="1293"/>
      <c r="AB597" s="1293"/>
      <c r="AC597" s="1293"/>
      <c r="AD597" s="1293"/>
      <c r="AE597" s="1293"/>
      <c r="AF597" s="1293"/>
      <c r="AG597" s="1293"/>
      <c r="AH597" s="1293"/>
      <c r="AI597" s="1293"/>
      <c r="AJ597" s="1293"/>
      <c r="AK597" s="1293"/>
      <c r="AL597" s="1293"/>
      <c r="AM597" s="1293"/>
      <c r="AN597" s="1293"/>
      <c r="AO597" s="1293"/>
      <c r="AP597" s="1293"/>
      <c r="AQ597" s="1293"/>
      <c r="AR597" s="1293"/>
      <c r="AS597" s="1293"/>
      <c r="AT597" s="1293"/>
      <c r="AU597" s="1293"/>
      <c r="AV597" s="1293"/>
      <c r="AW597" s="1293"/>
      <c r="AX597" s="1293"/>
      <c r="AY597" s="1293"/>
      <c r="AZ597" s="1293"/>
      <c r="BA597" s="1293"/>
      <c r="BB597" s="1293"/>
      <c r="BC597" s="1293"/>
      <c r="BD597" s="1293"/>
      <c r="BE597" s="1293"/>
      <c r="BF597" s="1293"/>
      <c r="BG597" s="1293"/>
      <c r="BH597" s="1293"/>
      <c r="BI597" s="1293"/>
      <c r="BJ597" s="1293"/>
      <c r="BK597" s="1293"/>
      <c r="BL597" s="1293"/>
      <c r="BM597" s="1293"/>
      <c r="BN597" s="1293"/>
      <c r="BO597" s="1293"/>
      <c r="BP597" s="1293"/>
      <c r="BQ597" s="1293"/>
      <c r="BR597" s="1293"/>
      <c r="BS597" s="1293"/>
      <c r="BT597" s="1293"/>
      <c r="BU597" s="1293"/>
      <c r="BV597" s="1293"/>
      <c r="BW597" s="1293"/>
      <c r="BX597" s="1293"/>
      <c r="BY597" s="1293"/>
      <c r="BZ597" s="1293"/>
      <c r="CA597" s="1293"/>
      <c r="CB597" s="1293"/>
      <c r="CC597" s="1293"/>
      <c r="CD597" s="1293"/>
      <c r="CE597" s="1293"/>
      <c r="CF597" s="1293"/>
      <c r="CG597" s="1293"/>
    </row>
    <row r="598" spans="1:85" ht="15.75">
      <c r="A598" s="1293"/>
      <c r="B598" s="1293"/>
      <c r="C598" s="1293"/>
      <c r="D598" s="1293"/>
      <c r="E598" s="1293"/>
      <c r="F598" s="1293"/>
      <c r="G598" s="1293"/>
      <c r="H598" s="1293"/>
      <c r="I598" s="1293"/>
      <c r="J598" s="1293"/>
      <c r="K598" s="1293"/>
      <c r="L598" s="1293"/>
      <c r="M598" s="1293"/>
      <c r="N598" s="1293"/>
      <c r="O598" s="1293"/>
      <c r="P598" s="1293"/>
      <c r="Q598" s="1293"/>
      <c r="R598" s="1293"/>
      <c r="S598" s="1293"/>
      <c r="T598" s="1293"/>
      <c r="U598" s="1293"/>
      <c r="V598" s="1293"/>
      <c r="W598" s="1293"/>
      <c r="X598" s="1293"/>
      <c r="Y598" s="1293"/>
      <c r="Z598" s="1293"/>
      <c r="AA598" s="1293"/>
      <c r="AB598" s="1293"/>
      <c r="AC598" s="1293"/>
      <c r="AD598" s="1293"/>
      <c r="AE598" s="1293"/>
      <c r="AF598" s="1293"/>
      <c r="AG598" s="1293"/>
      <c r="AH598" s="1293"/>
      <c r="AI598" s="1293"/>
      <c r="AJ598" s="1293"/>
      <c r="AK598" s="1293"/>
      <c r="AL598" s="1293"/>
      <c r="AM598" s="1293"/>
      <c r="AN598" s="1293"/>
      <c r="AO598" s="1293"/>
      <c r="AP598" s="1293"/>
      <c r="AQ598" s="1293"/>
      <c r="AR598" s="1293"/>
      <c r="AS598" s="1293"/>
      <c r="AT598" s="1293"/>
      <c r="AU598" s="1293"/>
      <c r="AV598" s="1293"/>
      <c r="AW598" s="1293"/>
      <c r="AX598" s="1293"/>
      <c r="AY598" s="1293"/>
      <c r="AZ598" s="1293"/>
      <c r="BA598" s="1293"/>
      <c r="BB598" s="1293"/>
      <c r="BC598" s="1293"/>
      <c r="BD598" s="1293"/>
      <c r="BE598" s="1293"/>
      <c r="BF598" s="1293"/>
      <c r="BG598" s="1293"/>
      <c r="BH598" s="1293"/>
      <c r="BI598" s="1293"/>
      <c r="BJ598" s="1293"/>
      <c r="BK598" s="1293"/>
      <c r="BL598" s="1293"/>
      <c r="BM598" s="1293"/>
      <c r="BN598" s="1293"/>
      <c r="BO598" s="1293"/>
      <c r="BP598" s="1293"/>
      <c r="BQ598" s="1293"/>
      <c r="BR598" s="1293"/>
      <c r="BS598" s="1293"/>
      <c r="BT598" s="1293"/>
      <c r="BU598" s="1293"/>
      <c r="BV598" s="1293"/>
      <c r="BW598" s="1293"/>
      <c r="BX598" s="1293"/>
      <c r="BY598" s="1293"/>
      <c r="BZ598" s="1293"/>
      <c r="CA598" s="1293"/>
      <c r="CB598" s="1293"/>
      <c r="CC598" s="1293"/>
      <c r="CD598" s="1293"/>
      <c r="CE598" s="1293"/>
      <c r="CF598" s="1293"/>
      <c r="CG598" s="1293"/>
    </row>
    <row r="599" spans="1:85" ht="15.75">
      <c r="A599" s="1293"/>
      <c r="B599" s="1293"/>
      <c r="C599" s="1293"/>
      <c r="D599" s="1293"/>
      <c r="E599" s="1293"/>
      <c r="F599" s="1293"/>
      <c r="G599" s="1293"/>
      <c r="H599" s="1293"/>
      <c r="I599" s="1293"/>
      <c r="J599" s="1293"/>
      <c r="K599" s="1293"/>
      <c r="L599" s="1293"/>
      <c r="M599" s="1293"/>
      <c r="N599" s="1293"/>
      <c r="O599" s="1293"/>
      <c r="P599" s="1293"/>
      <c r="Q599" s="1293"/>
      <c r="R599" s="1293"/>
      <c r="S599" s="1293"/>
      <c r="T599" s="1293"/>
      <c r="U599" s="1293"/>
      <c r="V599" s="1293"/>
      <c r="W599" s="1293"/>
      <c r="X599" s="1293"/>
      <c r="Y599" s="1293"/>
      <c r="Z599" s="1293"/>
      <c r="AA599" s="1293"/>
      <c r="AB599" s="1293"/>
      <c r="AC599" s="1293"/>
      <c r="AD599" s="1293"/>
      <c r="AE599" s="1293"/>
      <c r="AF599" s="1293"/>
      <c r="AG599" s="1293"/>
      <c r="AH599" s="1293"/>
      <c r="AI599" s="1293"/>
      <c r="AJ599" s="1293"/>
      <c r="AK599" s="1293"/>
      <c r="AL599" s="1293"/>
      <c r="AM599" s="1293"/>
      <c r="AN599" s="1293"/>
      <c r="AO599" s="1293"/>
      <c r="AP599" s="1293"/>
      <c r="AQ599" s="1293"/>
      <c r="AR599" s="1293"/>
      <c r="AS599" s="1293"/>
      <c r="AT599" s="1293"/>
      <c r="AU599" s="1293"/>
      <c r="AV599" s="1293"/>
      <c r="AW599" s="1293"/>
      <c r="AX599" s="1293"/>
      <c r="AY599" s="1293"/>
      <c r="AZ599" s="1293"/>
      <c r="BA599" s="1293"/>
      <c r="BB599" s="1293"/>
      <c r="BC599" s="1293"/>
      <c r="BD599" s="1293"/>
      <c r="BE599" s="1293"/>
      <c r="BF599" s="1293"/>
      <c r="BG599" s="1293"/>
      <c r="BH599" s="1293"/>
      <c r="BI599" s="1293"/>
      <c r="BJ599" s="1293"/>
      <c r="BK599" s="1293"/>
      <c r="BL599" s="1293"/>
      <c r="BM599" s="1293"/>
      <c r="BN599" s="1293"/>
      <c r="BO599" s="1293"/>
      <c r="BP599" s="1293"/>
      <c r="BQ599" s="1293"/>
      <c r="BR599" s="1293"/>
      <c r="BS599" s="1293"/>
      <c r="BT599" s="1293"/>
      <c r="BU599" s="1293"/>
      <c r="BV599" s="1293"/>
      <c r="BW599" s="1293"/>
      <c r="BX599" s="1293"/>
      <c r="BY599" s="1293"/>
      <c r="BZ599" s="1293"/>
      <c r="CA599" s="1293"/>
      <c r="CB599" s="1293"/>
      <c r="CC599" s="1293"/>
      <c r="CD599" s="1293"/>
      <c r="CE599" s="1293"/>
      <c r="CF599" s="1293"/>
      <c r="CG599" s="1293"/>
    </row>
    <row r="600" spans="1:85" ht="15.75">
      <c r="A600" s="1293"/>
      <c r="B600" s="1293"/>
      <c r="C600" s="1293"/>
      <c r="D600" s="1293"/>
      <c r="E600" s="1293"/>
      <c r="F600" s="1293"/>
      <c r="G600" s="1293"/>
      <c r="H600" s="1293"/>
      <c r="I600" s="1293"/>
      <c r="J600" s="1293"/>
      <c r="K600" s="1293"/>
      <c r="L600" s="1293"/>
      <c r="M600" s="1293"/>
      <c r="N600" s="1293"/>
      <c r="O600" s="1293"/>
      <c r="P600" s="1293"/>
      <c r="Q600" s="1293"/>
      <c r="R600" s="1293"/>
      <c r="S600" s="1293"/>
      <c r="T600" s="1293"/>
      <c r="U600" s="1293"/>
      <c r="V600" s="1293"/>
      <c r="W600" s="1293"/>
      <c r="X600" s="1293"/>
      <c r="Y600" s="1293"/>
      <c r="Z600" s="1293"/>
      <c r="AA600" s="1293"/>
      <c r="AB600" s="1293"/>
      <c r="AC600" s="1293"/>
      <c r="AD600" s="1293"/>
      <c r="AE600" s="1293"/>
      <c r="AF600" s="1293"/>
      <c r="AG600" s="1293"/>
      <c r="AH600" s="1293"/>
      <c r="AI600" s="1293"/>
      <c r="AJ600" s="1293"/>
      <c r="AK600" s="1293"/>
      <c r="AL600" s="1293"/>
      <c r="AM600" s="1293"/>
      <c r="AN600" s="1293"/>
      <c r="AO600" s="1293"/>
      <c r="AP600" s="1293"/>
      <c r="AQ600" s="1293"/>
      <c r="AR600" s="1293"/>
      <c r="AS600" s="1293"/>
      <c r="AT600" s="1293"/>
      <c r="AU600" s="1293"/>
      <c r="AV600" s="1293"/>
      <c r="AW600" s="1293"/>
      <c r="AX600" s="1293"/>
      <c r="AY600" s="1293"/>
      <c r="AZ600" s="1293"/>
      <c r="BA600" s="1293"/>
      <c r="BB600" s="1293"/>
      <c r="BC600" s="1293"/>
      <c r="BD600" s="1293"/>
      <c r="BE600" s="1293"/>
      <c r="BF600" s="1293"/>
      <c r="BG600" s="1293"/>
      <c r="BH600" s="1293"/>
      <c r="BI600" s="1293"/>
      <c r="BJ600" s="1293"/>
      <c r="BK600" s="1293"/>
      <c r="BL600" s="1293"/>
      <c r="BM600" s="1293"/>
      <c r="BN600" s="1293"/>
      <c r="BO600" s="1293"/>
      <c r="BP600" s="1293"/>
      <c r="BQ600" s="1293"/>
      <c r="BR600" s="1293"/>
      <c r="BS600" s="1293"/>
      <c r="BT600" s="1293"/>
      <c r="BU600" s="1293"/>
      <c r="BV600" s="1293"/>
      <c r="BW600" s="1293"/>
      <c r="BX600" s="1293"/>
      <c r="BY600" s="1293"/>
      <c r="BZ600" s="1293"/>
      <c r="CA600" s="1293"/>
      <c r="CB600" s="1293"/>
      <c r="CC600" s="1293"/>
      <c r="CD600" s="1293"/>
      <c r="CE600" s="1293"/>
      <c r="CF600" s="1293"/>
      <c r="CG600" s="1293"/>
    </row>
    <row r="601" spans="1:85" ht="15.75">
      <c r="A601" s="1293"/>
      <c r="B601" s="1293"/>
      <c r="C601" s="1293"/>
      <c r="D601" s="1293"/>
      <c r="E601" s="1293"/>
      <c r="F601" s="1293"/>
      <c r="G601" s="1293"/>
      <c r="H601" s="1293"/>
      <c r="I601" s="1293"/>
      <c r="J601" s="1293"/>
      <c r="K601" s="1293"/>
      <c r="L601" s="1293"/>
      <c r="M601" s="1293"/>
      <c r="N601" s="1293"/>
      <c r="O601" s="1293"/>
      <c r="P601" s="1293"/>
      <c r="Q601" s="1293"/>
      <c r="R601" s="1293"/>
      <c r="S601" s="1293"/>
      <c r="T601" s="1293"/>
      <c r="U601" s="1293"/>
      <c r="V601" s="1293"/>
      <c r="W601" s="1293"/>
      <c r="X601" s="1293"/>
      <c r="Y601" s="1293"/>
      <c r="Z601" s="1293"/>
      <c r="AA601" s="1293"/>
      <c r="AB601" s="1293"/>
      <c r="AC601" s="1293"/>
      <c r="AD601" s="1293"/>
      <c r="AE601" s="1293"/>
      <c r="AF601" s="1293"/>
      <c r="AG601" s="1293"/>
      <c r="AH601" s="1293"/>
      <c r="AI601" s="1293"/>
      <c r="AJ601" s="1293"/>
      <c r="AK601" s="1293"/>
      <c r="AL601" s="1293"/>
      <c r="AM601" s="1293"/>
      <c r="AN601" s="1293"/>
      <c r="AO601" s="1293"/>
      <c r="AP601" s="1293"/>
      <c r="AQ601" s="1293"/>
      <c r="AR601" s="1293"/>
      <c r="AS601" s="1293"/>
      <c r="AT601" s="1293"/>
      <c r="AU601" s="1293"/>
      <c r="AV601" s="1293"/>
      <c r="AW601" s="1293"/>
      <c r="AX601" s="1293"/>
      <c r="AY601" s="1293"/>
      <c r="AZ601" s="1293"/>
      <c r="BA601" s="1293"/>
      <c r="BB601" s="1293"/>
      <c r="BC601" s="1293"/>
      <c r="BD601" s="1293"/>
      <c r="BE601" s="1293"/>
      <c r="BF601" s="1293"/>
      <c r="BG601" s="1293"/>
      <c r="BH601" s="1293"/>
      <c r="BI601" s="1293"/>
      <c r="BJ601" s="1293"/>
      <c r="BK601" s="1293"/>
      <c r="BL601" s="1293"/>
      <c r="BM601" s="1293"/>
      <c r="BN601" s="1293"/>
      <c r="BO601" s="1293"/>
      <c r="BP601" s="1293"/>
      <c r="BQ601" s="1293"/>
      <c r="BR601" s="1293"/>
      <c r="BS601" s="1293"/>
      <c r="BT601" s="1293"/>
      <c r="BU601" s="1293"/>
      <c r="BV601" s="1293"/>
      <c r="BW601" s="1293"/>
      <c r="BX601" s="1293"/>
      <c r="BY601" s="1293"/>
      <c r="BZ601" s="1293"/>
      <c r="CA601" s="1293"/>
      <c r="CB601" s="1293"/>
      <c r="CC601" s="1293"/>
      <c r="CD601" s="1293"/>
      <c r="CE601" s="1293"/>
      <c r="CF601" s="1293"/>
      <c r="CG601" s="1293"/>
    </row>
    <row r="602" spans="1:85" ht="15.75">
      <c r="A602" s="1293"/>
      <c r="B602" s="1293"/>
      <c r="C602" s="1293"/>
      <c r="D602" s="1293"/>
      <c r="E602" s="1293"/>
      <c r="F602" s="1293"/>
      <c r="G602" s="1293"/>
      <c r="H602" s="1293"/>
      <c r="I602" s="1293"/>
      <c r="J602" s="1293"/>
      <c r="K602" s="1293"/>
      <c r="L602" s="1293"/>
      <c r="M602" s="1293"/>
      <c r="N602" s="1293"/>
      <c r="O602" s="1293"/>
      <c r="P602" s="1293"/>
      <c r="Q602" s="1293"/>
      <c r="R602" s="1293"/>
      <c r="S602" s="1293"/>
      <c r="T602" s="1293"/>
      <c r="U602" s="1293"/>
      <c r="V602" s="1293"/>
      <c r="W602" s="1293"/>
      <c r="X602" s="1293"/>
      <c r="Y602" s="1293"/>
      <c r="Z602" s="1293"/>
      <c r="AA602" s="1293"/>
      <c r="AB602" s="1293"/>
      <c r="AC602" s="1293"/>
      <c r="AD602" s="1293"/>
      <c r="AE602" s="1293"/>
      <c r="AF602" s="1293"/>
      <c r="AG602" s="1293"/>
      <c r="AH602" s="1293"/>
      <c r="AI602" s="1293"/>
      <c r="AJ602" s="1293"/>
      <c r="AK602" s="1293"/>
      <c r="AL602" s="1293"/>
      <c r="AM602" s="1293"/>
      <c r="AN602" s="1293"/>
      <c r="AO602" s="1293"/>
      <c r="AP602" s="1293"/>
      <c r="AQ602" s="1293"/>
      <c r="AR602" s="1293"/>
      <c r="AS602" s="1293"/>
      <c r="AT602" s="1293"/>
      <c r="AU602" s="1293"/>
      <c r="AV602" s="1293"/>
      <c r="AW602" s="1293"/>
      <c r="AX602" s="1293"/>
      <c r="AY602" s="1293"/>
      <c r="AZ602" s="1293"/>
      <c r="BA602" s="1293"/>
      <c r="BB602" s="1293"/>
      <c r="BC602" s="1293"/>
      <c r="BD602" s="1293"/>
      <c r="BE602" s="1293"/>
      <c r="BF602" s="1293"/>
      <c r="BG602" s="1293"/>
      <c r="BH602" s="1293"/>
      <c r="BI602" s="1293"/>
      <c r="BJ602" s="1293"/>
      <c r="BK602" s="1293"/>
      <c r="BL602" s="1293"/>
      <c r="BM602" s="1293"/>
      <c r="BN602" s="1293"/>
      <c r="BO602" s="1293"/>
      <c r="BP602" s="1293"/>
      <c r="BQ602" s="1293"/>
      <c r="BR602" s="1293"/>
      <c r="BS602" s="1293"/>
      <c r="BT602" s="1293"/>
      <c r="BU602" s="1293"/>
      <c r="BV602" s="1293"/>
      <c r="BW602" s="1293"/>
      <c r="BX602" s="1293"/>
      <c r="BY602" s="1293"/>
      <c r="BZ602" s="1293"/>
      <c r="CA602" s="1293"/>
      <c r="CB602" s="1293"/>
      <c r="CC602" s="1293"/>
      <c r="CD602" s="1293"/>
      <c r="CE602" s="1293"/>
      <c r="CF602" s="1293"/>
      <c r="CG602" s="1293"/>
    </row>
    <row r="603" spans="1:85" ht="15.75">
      <c r="A603" s="1293"/>
      <c r="B603" s="1293"/>
      <c r="C603" s="1293"/>
      <c r="D603" s="1293"/>
      <c r="E603" s="1293"/>
      <c r="F603" s="1293"/>
      <c r="G603" s="1293"/>
      <c r="H603" s="1293"/>
      <c r="I603" s="1293"/>
      <c r="J603" s="1293"/>
      <c r="K603" s="1293"/>
      <c r="L603" s="1293"/>
      <c r="M603" s="1293"/>
      <c r="N603" s="1293"/>
      <c r="O603" s="1293"/>
      <c r="P603" s="1293"/>
      <c r="Q603" s="1293"/>
      <c r="R603" s="1293"/>
      <c r="S603" s="1293"/>
      <c r="T603" s="1293"/>
      <c r="U603" s="1293"/>
      <c r="V603" s="1293"/>
      <c r="W603" s="1293"/>
      <c r="X603" s="1293"/>
      <c r="Y603" s="1293"/>
      <c r="Z603" s="1293"/>
      <c r="AA603" s="1293"/>
      <c r="AB603" s="1293"/>
      <c r="AC603" s="1293"/>
      <c r="AD603" s="1293"/>
      <c r="AE603" s="1293"/>
      <c r="AF603" s="1293"/>
      <c r="AG603" s="1293"/>
      <c r="AH603" s="1293"/>
      <c r="AI603" s="1293"/>
      <c r="AJ603" s="1293"/>
      <c r="AK603" s="1293"/>
      <c r="AL603" s="1293"/>
      <c r="AM603" s="1293"/>
      <c r="AN603" s="1293"/>
      <c r="AO603" s="1293"/>
      <c r="AP603" s="1293"/>
      <c r="AQ603" s="1293"/>
      <c r="AR603" s="1293"/>
      <c r="AS603" s="1293"/>
      <c r="AT603" s="1293"/>
      <c r="AU603" s="1293"/>
      <c r="AV603" s="1293"/>
      <c r="AW603" s="1293"/>
      <c r="AX603" s="1293"/>
      <c r="AY603" s="1293"/>
      <c r="AZ603" s="1293"/>
      <c r="BA603" s="1293"/>
      <c r="BB603" s="1293"/>
      <c r="BC603" s="1293"/>
      <c r="BD603" s="1293"/>
      <c r="BE603" s="1293"/>
      <c r="BF603" s="1293"/>
      <c r="BG603" s="1293"/>
      <c r="BH603" s="1293"/>
      <c r="BI603" s="1293"/>
      <c r="BJ603" s="1293"/>
      <c r="BK603" s="1293"/>
      <c r="BL603" s="1293"/>
      <c r="BM603" s="1293"/>
      <c r="BN603" s="1293"/>
      <c r="BO603" s="1293"/>
      <c r="BP603" s="1293"/>
      <c r="BQ603" s="1293"/>
      <c r="BR603" s="1293"/>
      <c r="BS603" s="1293"/>
      <c r="BT603" s="1293"/>
      <c r="BU603" s="1293"/>
      <c r="BV603" s="1293"/>
      <c r="BW603" s="1293"/>
      <c r="BX603" s="1293"/>
      <c r="BY603" s="1293"/>
      <c r="BZ603" s="1293"/>
      <c r="CA603" s="1293"/>
      <c r="CB603" s="1293"/>
      <c r="CC603" s="1293"/>
      <c r="CD603" s="1293"/>
      <c r="CE603" s="1293"/>
      <c r="CF603" s="1293"/>
      <c r="CG603" s="1293"/>
    </row>
    <row r="604" spans="1:85" ht="15.75">
      <c r="A604" s="1293"/>
      <c r="B604" s="1293"/>
      <c r="C604" s="1293"/>
      <c r="D604" s="1293"/>
      <c r="E604" s="1293"/>
      <c r="F604" s="1293"/>
      <c r="G604" s="1293"/>
      <c r="H604" s="1293"/>
      <c r="I604" s="1293"/>
      <c r="J604" s="1293"/>
      <c r="K604" s="1293"/>
      <c r="L604" s="1293"/>
      <c r="M604" s="1293"/>
      <c r="N604" s="1293"/>
      <c r="O604" s="1293"/>
      <c r="P604" s="1293"/>
      <c r="Q604" s="1293"/>
      <c r="R604" s="1293"/>
      <c r="S604" s="1293"/>
      <c r="T604" s="1293"/>
      <c r="U604" s="1293"/>
      <c r="V604" s="1293"/>
      <c r="W604" s="1293"/>
      <c r="X604" s="1293"/>
      <c r="Y604" s="1293"/>
      <c r="Z604" s="1293"/>
      <c r="AA604" s="1293"/>
      <c r="AB604" s="1293"/>
      <c r="AC604" s="1293"/>
      <c r="AD604" s="1293"/>
      <c r="AE604" s="1293"/>
      <c r="AF604" s="1293"/>
      <c r="AG604" s="1293"/>
      <c r="AH604" s="1293"/>
      <c r="AI604" s="1293"/>
      <c r="AJ604" s="1293"/>
      <c r="AK604" s="1293"/>
      <c r="AL604" s="1293"/>
      <c r="AM604" s="1293"/>
      <c r="AN604" s="1293"/>
      <c r="AO604" s="1293"/>
      <c r="AP604" s="1293"/>
      <c r="AQ604" s="1293"/>
      <c r="AR604" s="1293"/>
      <c r="AS604" s="1293"/>
      <c r="AT604" s="1293"/>
      <c r="AU604" s="1293"/>
      <c r="AV604" s="1293"/>
      <c r="AW604" s="1293"/>
      <c r="AX604" s="1293"/>
      <c r="AY604" s="1293"/>
      <c r="AZ604" s="1293"/>
      <c r="BA604" s="1293"/>
      <c r="BB604" s="1293"/>
      <c r="BC604" s="1293"/>
      <c r="BD604" s="1293"/>
      <c r="BE604" s="1293"/>
      <c r="BF604" s="1293"/>
      <c r="BG604" s="1293"/>
      <c r="BH604" s="1293"/>
      <c r="BI604" s="1293"/>
      <c r="BJ604" s="1293"/>
      <c r="BK604" s="1293"/>
      <c r="BL604" s="1293"/>
      <c r="BM604" s="1293"/>
      <c r="BN604" s="1293"/>
      <c r="BO604" s="1293"/>
      <c r="BP604" s="1293"/>
      <c r="BQ604" s="1293"/>
      <c r="BR604" s="1293"/>
      <c r="BS604" s="1293"/>
      <c r="BT604" s="1293"/>
      <c r="BU604" s="1293"/>
      <c r="BV604" s="1293"/>
      <c r="BW604" s="1293"/>
      <c r="BX604" s="1293"/>
      <c r="BY604" s="1293"/>
      <c r="BZ604" s="1293"/>
      <c r="CA604" s="1293"/>
      <c r="CB604" s="1293"/>
      <c r="CC604" s="1293"/>
      <c r="CD604" s="1293"/>
      <c r="CE604" s="1293"/>
      <c r="CF604" s="1293"/>
      <c r="CG604" s="1293"/>
    </row>
    <row r="605" spans="1:85" ht="15.75">
      <c r="A605" s="1293"/>
      <c r="B605" s="1293"/>
      <c r="C605" s="1293"/>
      <c r="D605" s="1293"/>
      <c r="E605" s="1293"/>
      <c r="F605" s="1293"/>
      <c r="G605" s="1293"/>
      <c r="H605" s="1293"/>
      <c r="I605" s="1293"/>
      <c r="J605" s="1293"/>
      <c r="K605" s="1293"/>
      <c r="L605" s="1293"/>
      <c r="M605" s="1293"/>
      <c r="N605" s="1293"/>
      <c r="O605" s="1293"/>
      <c r="P605" s="1293"/>
      <c r="Q605" s="1293"/>
      <c r="R605" s="1293"/>
      <c r="S605" s="1293"/>
      <c r="T605" s="1293"/>
      <c r="U605" s="1293"/>
      <c r="V605" s="1293"/>
      <c r="W605" s="1293"/>
      <c r="X605" s="1293"/>
      <c r="Y605" s="1293"/>
      <c r="Z605" s="1293"/>
      <c r="AA605" s="1293"/>
      <c r="AB605" s="1293"/>
      <c r="AC605" s="1293"/>
      <c r="AD605" s="1293"/>
      <c r="AE605" s="1293"/>
      <c r="AF605" s="1293"/>
      <c r="AG605" s="1293"/>
      <c r="AH605" s="1293"/>
      <c r="AI605" s="1293"/>
      <c r="AJ605" s="1293"/>
      <c r="AK605" s="1293"/>
      <c r="AL605" s="1293"/>
      <c r="AM605" s="1293"/>
      <c r="AN605" s="1293"/>
      <c r="AO605" s="1293"/>
      <c r="AP605" s="1293"/>
      <c r="AQ605" s="1293"/>
      <c r="AR605" s="1293"/>
      <c r="AS605" s="1293"/>
      <c r="AT605" s="1293"/>
      <c r="AU605" s="1293"/>
      <c r="AV605" s="1293"/>
      <c r="AW605" s="1293"/>
      <c r="AX605" s="1293"/>
      <c r="AY605" s="1293"/>
      <c r="AZ605" s="1293"/>
      <c r="BA605" s="1293"/>
      <c r="BB605" s="1293"/>
      <c r="BC605" s="1293"/>
      <c r="BD605" s="1293"/>
      <c r="BE605" s="1293"/>
      <c r="BF605" s="1293"/>
      <c r="BG605" s="1293"/>
      <c r="BH605" s="1293"/>
      <c r="BI605" s="1293"/>
      <c r="BJ605" s="1293"/>
      <c r="BK605" s="1293"/>
      <c r="BL605" s="1293"/>
      <c r="BM605" s="1293"/>
      <c r="BN605" s="1293"/>
      <c r="BO605" s="1293"/>
      <c r="BP605" s="1293"/>
      <c r="BQ605" s="1293"/>
      <c r="BR605" s="1293"/>
      <c r="BS605" s="1293"/>
      <c r="BT605" s="1293"/>
      <c r="BU605" s="1293"/>
      <c r="BV605" s="1293"/>
      <c r="BW605" s="1293"/>
      <c r="BX605" s="1293"/>
      <c r="BY605" s="1293"/>
      <c r="BZ605" s="1293"/>
      <c r="CA605" s="1293"/>
      <c r="CB605" s="1293"/>
      <c r="CC605" s="1293"/>
      <c r="CD605" s="1293"/>
      <c r="CE605" s="1293"/>
      <c r="CF605" s="1293"/>
      <c r="CG605" s="1293"/>
    </row>
    <row r="606" spans="1:85" ht="15.75">
      <c r="A606" s="1293"/>
      <c r="B606" s="1293"/>
      <c r="C606" s="1293"/>
      <c r="D606" s="1293"/>
      <c r="E606" s="1293"/>
      <c r="F606" s="1293"/>
      <c r="G606" s="1293"/>
      <c r="H606" s="1293"/>
      <c r="I606" s="1293"/>
      <c r="J606" s="1293"/>
      <c r="K606" s="1293"/>
      <c r="L606" s="1293"/>
      <c r="M606" s="1293"/>
      <c r="N606" s="1293"/>
      <c r="O606" s="1293"/>
      <c r="P606" s="1293"/>
      <c r="Q606" s="1293"/>
      <c r="R606" s="1293"/>
      <c r="S606" s="1293"/>
      <c r="T606" s="1293"/>
      <c r="U606" s="1293"/>
      <c r="V606" s="1293"/>
      <c r="W606" s="1293"/>
      <c r="X606" s="1293"/>
      <c r="Y606" s="1293"/>
      <c r="Z606" s="1293"/>
      <c r="AA606" s="1293"/>
      <c r="AB606" s="1293"/>
      <c r="AC606" s="1293"/>
      <c r="AD606" s="1293"/>
      <c r="AE606" s="1293"/>
      <c r="AF606" s="1293"/>
      <c r="AG606" s="1293"/>
      <c r="AH606" s="1293"/>
      <c r="AI606" s="1293"/>
      <c r="AJ606" s="1293"/>
      <c r="AK606" s="1293"/>
      <c r="AL606" s="1293"/>
      <c r="AM606" s="1293"/>
      <c r="AN606" s="1293"/>
      <c r="AO606" s="1293"/>
      <c r="AP606" s="1293"/>
      <c r="AQ606" s="1293"/>
      <c r="AR606" s="1293"/>
      <c r="AS606" s="1293"/>
      <c r="AT606" s="1293"/>
      <c r="AU606" s="1293"/>
      <c r="AV606" s="1293"/>
      <c r="AW606" s="1293"/>
      <c r="AX606" s="1293"/>
      <c r="AY606" s="1293"/>
      <c r="AZ606" s="1293"/>
      <c r="BA606" s="1293"/>
      <c r="BB606" s="1293"/>
      <c r="BC606" s="1293"/>
      <c r="BD606" s="1293"/>
      <c r="BE606" s="1293"/>
      <c r="BF606" s="1293"/>
      <c r="BG606" s="1293"/>
      <c r="BH606" s="1293"/>
      <c r="BI606" s="1293"/>
      <c r="BJ606" s="1293"/>
      <c r="BK606" s="1293"/>
      <c r="BL606" s="1293"/>
      <c r="BM606" s="1293"/>
      <c r="BN606" s="1293"/>
      <c r="BO606" s="1293"/>
      <c r="BP606" s="1293"/>
      <c r="BQ606" s="1293"/>
      <c r="BR606" s="1293"/>
      <c r="BS606" s="1293"/>
      <c r="BT606" s="1293"/>
      <c r="BU606" s="1293"/>
      <c r="BV606" s="1293"/>
      <c r="BW606" s="1293"/>
      <c r="BX606" s="1293"/>
      <c r="BY606" s="1293"/>
      <c r="BZ606" s="1293"/>
      <c r="CA606" s="1293"/>
      <c r="CB606" s="1293"/>
      <c r="CC606" s="1293"/>
      <c r="CD606" s="1293"/>
      <c r="CE606" s="1293"/>
      <c r="CF606" s="1293"/>
      <c r="CG606" s="1293"/>
    </row>
    <row r="607" spans="1:85" ht="15.75">
      <c r="A607" s="1293"/>
      <c r="B607" s="1293"/>
      <c r="C607" s="1293"/>
      <c r="D607" s="1293"/>
      <c r="E607" s="1293"/>
      <c r="F607" s="1293"/>
      <c r="G607" s="1293"/>
      <c r="H607" s="1293"/>
      <c r="I607" s="1293"/>
      <c r="J607" s="1293"/>
      <c r="K607" s="1293"/>
      <c r="L607" s="1293"/>
      <c r="M607" s="1293"/>
      <c r="N607" s="1293"/>
      <c r="O607" s="1293"/>
      <c r="P607" s="1293"/>
      <c r="Q607" s="1293"/>
      <c r="R607" s="1293"/>
      <c r="S607" s="1293"/>
      <c r="T607" s="1293"/>
      <c r="U607" s="1293"/>
      <c r="V607" s="1293"/>
      <c r="W607" s="1293"/>
      <c r="X607" s="1293"/>
      <c r="Y607" s="1293"/>
      <c r="Z607" s="1293"/>
      <c r="AA607" s="1293"/>
      <c r="AB607" s="1293"/>
      <c r="AC607" s="1293"/>
      <c r="AD607" s="1293"/>
      <c r="AE607" s="1293"/>
      <c r="AF607" s="1293"/>
      <c r="AG607" s="1293"/>
      <c r="AH607" s="1293"/>
      <c r="AI607" s="1293"/>
      <c r="AJ607" s="1293"/>
      <c r="AK607" s="1293"/>
      <c r="AL607" s="1293"/>
      <c r="AM607" s="1293"/>
      <c r="AN607" s="1293"/>
      <c r="AO607" s="1293"/>
      <c r="AP607" s="1293"/>
      <c r="AQ607" s="1293"/>
      <c r="AR607" s="1293"/>
      <c r="AS607" s="1293"/>
      <c r="AT607" s="1293"/>
      <c r="AU607" s="1293"/>
      <c r="AV607" s="1293"/>
      <c r="AW607" s="1293"/>
      <c r="AX607" s="1293"/>
      <c r="AY607" s="1293"/>
      <c r="AZ607" s="1293"/>
      <c r="BA607" s="1293"/>
      <c r="BB607" s="1293"/>
      <c r="BC607" s="1293"/>
      <c r="BD607" s="1293"/>
      <c r="BE607" s="1293"/>
      <c r="BF607" s="1293"/>
      <c r="BG607" s="1293"/>
      <c r="BH607" s="1293"/>
      <c r="BI607" s="1293"/>
      <c r="BJ607" s="1293"/>
      <c r="BK607" s="1293"/>
      <c r="BL607" s="1293"/>
      <c r="BM607" s="1293"/>
      <c r="BN607" s="1293"/>
      <c r="BO607" s="1293"/>
      <c r="BP607" s="1293"/>
      <c r="BQ607" s="1293"/>
      <c r="BR607" s="1293"/>
      <c r="BS607" s="1293"/>
      <c r="BT607" s="1293"/>
      <c r="BU607" s="1293"/>
      <c r="BV607" s="1293"/>
      <c r="BW607" s="1293"/>
      <c r="BX607" s="1293"/>
      <c r="BY607" s="1293"/>
      <c r="BZ607" s="1293"/>
      <c r="CA607" s="1293"/>
      <c r="CB607" s="1293"/>
      <c r="CC607" s="1293"/>
      <c r="CD607" s="1293"/>
      <c r="CE607" s="1293"/>
      <c r="CF607" s="1293"/>
      <c r="CG607" s="1293"/>
    </row>
    <row r="608" spans="1:85" ht="15.75">
      <c r="A608" s="1293"/>
      <c r="B608" s="1293"/>
      <c r="C608" s="1293"/>
      <c r="D608" s="1293"/>
      <c r="E608" s="1293"/>
      <c r="F608" s="1293"/>
      <c r="G608" s="1293"/>
      <c r="H608" s="1293"/>
      <c r="I608" s="1293"/>
      <c r="J608" s="1293"/>
      <c r="K608" s="1293"/>
      <c r="L608" s="1293"/>
      <c r="M608" s="1293"/>
      <c r="N608" s="1293"/>
      <c r="O608" s="1293"/>
      <c r="P608" s="1293"/>
      <c r="Q608" s="1293"/>
      <c r="R608" s="1293"/>
      <c r="S608" s="1293"/>
      <c r="T608" s="1293"/>
      <c r="U608" s="1293"/>
      <c r="V608" s="1293"/>
      <c r="W608" s="1293"/>
      <c r="X608" s="1293"/>
      <c r="Y608" s="1293"/>
      <c r="Z608" s="1293"/>
      <c r="AA608" s="1293"/>
      <c r="AB608" s="1293"/>
      <c r="AC608" s="1293"/>
      <c r="AD608" s="1293"/>
      <c r="AE608" s="1293"/>
      <c r="AF608" s="1293"/>
      <c r="AG608" s="1293"/>
      <c r="AH608" s="1293"/>
      <c r="AI608" s="1293"/>
      <c r="AJ608" s="1293"/>
      <c r="AK608" s="1293"/>
      <c r="AL608" s="1293"/>
      <c r="AM608" s="1293"/>
      <c r="AN608" s="1293"/>
      <c r="AO608" s="1293"/>
      <c r="AP608" s="1293"/>
      <c r="AQ608" s="1293"/>
      <c r="AR608" s="1293"/>
      <c r="AS608" s="1293"/>
      <c r="AT608" s="1293"/>
      <c r="AU608" s="1293"/>
      <c r="AV608" s="1293"/>
      <c r="AW608" s="1293"/>
      <c r="AX608" s="1293"/>
      <c r="AY608" s="1293"/>
      <c r="AZ608" s="1293"/>
      <c r="BA608" s="1293"/>
      <c r="BB608" s="1293"/>
      <c r="BC608" s="1293"/>
      <c r="BD608" s="1293"/>
      <c r="BE608" s="1293"/>
      <c r="BF608" s="1293"/>
      <c r="BG608" s="1293"/>
      <c r="BH608" s="1293"/>
      <c r="BI608" s="1293"/>
      <c r="BJ608" s="1293"/>
      <c r="BK608" s="1293"/>
      <c r="BL608" s="1293"/>
      <c r="BM608" s="1293"/>
      <c r="BN608" s="1293"/>
      <c r="BO608" s="1293"/>
      <c r="BP608" s="1293"/>
      <c r="BQ608" s="1293"/>
      <c r="BR608" s="1293"/>
      <c r="BS608" s="1293"/>
      <c r="BT608" s="1293"/>
      <c r="BU608" s="1293"/>
      <c r="BV608" s="1293"/>
      <c r="BW608" s="1293"/>
      <c r="BX608" s="1293"/>
      <c r="BY608" s="1293"/>
      <c r="BZ608" s="1293"/>
      <c r="CA608" s="1293"/>
      <c r="CB608" s="1293"/>
      <c r="CC608" s="1293"/>
      <c r="CD608" s="1293"/>
      <c r="CE608" s="1293"/>
      <c r="CF608" s="1293"/>
      <c r="CG608" s="1293"/>
    </row>
    <row r="609" spans="1:85" ht="15.75">
      <c r="A609" s="1293"/>
      <c r="B609" s="1293"/>
      <c r="C609" s="1293"/>
      <c r="D609" s="1293"/>
      <c r="E609" s="1293"/>
      <c r="F609" s="1293"/>
      <c r="G609" s="1293"/>
      <c r="H609" s="1293"/>
      <c r="I609" s="1293"/>
      <c r="J609" s="1293"/>
      <c r="K609" s="1293"/>
      <c r="L609" s="1293"/>
      <c r="M609" s="1293"/>
      <c r="N609" s="1293"/>
      <c r="O609" s="1293"/>
      <c r="P609" s="1293"/>
      <c r="Q609" s="1293"/>
      <c r="R609" s="1293"/>
      <c r="S609" s="1293"/>
      <c r="T609" s="1293"/>
      <c r="U609" s="1293"/>
      <c r="V609" s="1293"/>
      <c r="W609" s="1293"/>
      <c r="X609" s="1293"/>
      <c r="Y609" s="1293"/>
      <c r="Z609" s="1293"/>
      <c r="AA609" s="1293"/>
      <c r="AB609" s="1293"/>
      <c r="AC609" s="1293"/>
      <c r="AD609" s="1293"/>
      <c r="AE609" s="1293"/>
      <c r="AF609" s="1293"/>
      <c r="AG609" s="1293"/>
      <c r="AH609" s="1293"/>
      <c r="AI609" s="1293"/>
      <c r="AJ609" s="1293"/>
      <c r="AK609" s="1293"/>
      <c r="AL609" s="1293"/>
      <c r="AM609" s="1293"/>
      <c r="AN609" s="1293"/>
      <c r="AO609" s="1293"/>
      <c r="AP609" s="1293"/>
      <c r="AQ609" s="1293"/>
      <c r="AR609" s="1293"/>
      <c r="AS609" s="1293"/>
      <c r="AT609" s="1293"/>
      <c r="AU609" s="1293"/>
      <c r="AV609" s="1293"/>
      <c r="AW609" s="1293"/>
      <c r="AX609" s="1293"/>
      <c r="AY609" s="1293"/>
      <c r="AZ609" s="1293"/>
      <c r="BA609" s="1293"/>
      <c r="BB609" s="1293"/>
      <c r="BC609" s="1293"/>
      <c r="BD609" s="1293"/>
      <c r="BE609" s="1293"/>
      <c r="BF609" s="1293"/>
      <c r="BG609" s="1293"/>
      <c r="BH609" s="1293"/>
      <c r="BI609" s="1293"/>
      <c r="BJ609" s="1293"/>
      <c r="BK609" s="1293"/>
      <c r="BL609" s="1293"/>
      <c r="BM609" s="1293"/>
      <c r="BN609" s="1293"/>
      <c r="BO609" s="1293"/>
      <c r="BP609" s="1293"/>
      <c r="BQ609" s="1293"/>
      <c r="BR609" s="1293"/>
      <c r="BS609" s="1293"/>
      <c r="BT609" s="1293"/>
      <c r="BU609" s="1293"/>
      <c r="BV609" s="1293"/>
      <c r="BW609" s="1293"/>
      <c r="BX609" s="1293"/>
      <c r="BY609" s="1293"/>
      <c r="BZ609" s="1293"/>
      <c r="CA609" s="1293"/>
      <c r="CB609" s="1293"/>
      <c r="CC609" s="1293"/>
      <c r="CD609" s="1293"/>
      <c r="CE609" s="1293"/>
      <c r="CF609" s="1293"/>
      <c r="CG609" s="1293"/>
    </row>
    <row r="610" spans="1:85" ht="15.75">
      <c r="A610" s="1293"/>
      <c r="B610" s="1293"/>
      <c r="C610" s="1293"/>
      <c r="D610" s="1293"/>
      <c r="E610" s="1293"/>
      <c r="F610" s="1293"/>
      <c r="G610" s="1293"/>
      <c r="H610" s="1293"/>
      <c r="I610" s="1293"/>
      <c r="J610" s="1293"/>
      <c r="K610" s="1293"/>
      <c r="L610" s="1293"/>
      <c r="M610" s="1293"/>
      <c r="N610" s="1293"/>
      <c r="O610" s="1293"/>
      <c r="P610" s="1293"/>
      <c r="Q610" s="1293"/>
      <c r="R610" s="1293"/>
      <c r="S610" s="1293"/>
      <c r="T610" s="1293"/>
      <c r="U610" s="1293"/>
      <c r="V610" s="1293"/>
      <c r="W610" s="1293"/>
      <c r="X610" s="1293"/>
      <c r="Y610" s="1293"/>
      <c r="Z610" s="1293"/>
      <c r="AA610" s="1293"/>
      <c r="AB610" s="1293"/>
      <c r="AC610" s="1293"/>
      <c r="AD610" s="1293"/>
      <c r="AE610" s="1293"/>
      <c r="AF610" s="1293"/>
      <c r="AG610" s="1293"/>
      <c r="AH610" s="1293"/>
      <c r="AI610" s="1293"/>
      <c r="AJ610" s="1293"/>
      <c r="AK610" s="1293"/>
      <c r="AL610" s="1293"/>
      <c r="AM610" s="1293"/>
      <c r="AN610" s="1293"/>
      <c r="AO610" s="1293"/>
      <c r="AP610" s="1293"/>
      <c r="AQ610" s="1293"/>
      <c r="AR610" s="1293"/>
      <c r="AS610" s="1293"/>
      <c r="AT610" s="1293"/>
      <c r="AU610" s="1293"/>
      <c r="AV610" s="1293"/>
      <c r="AW610" s="1293"/>
      <c r="AX610" s="1293"/>
      <c r="AY610" s="1293"/>
      <c r="AZ610" s="1293"/>
      <c r="BA610" s="1293"/>
      <c r="BB610" s="1293"/>
      <c r="BC610" s="1293"/>
      <c r="BD610" s="1293"/>
      <c r="BE610" s="1293"/>
      <c r="BF610" s="1293"/>
      <c r="BG610" s="1293"/>
      <c r="BH610" s="1293"/>
      <c r="BI610" s="1293"/>
      <c r="BJ610" s="1293"/>
      <c r="BK610" s="1293"/>
      <c r="BL610" s="1293"/>
      <c r="BM610" s="1293"/>
      <c r="BN610" s="1293"/>
      <c r="BO610" s="1293"/>
      <c r="BP610" s="1293"/>
      <c r="BQ610" s="1293"/>
      <c r="BR610" s="1293"/>
      <c r="BS610" s="1293"/>
      <c r="BT610" s="1293"/>
      <c r="BU610" s="1293"/>
      <c r="BV610" s="1293"/>
      <c r="BW610" s="1293"/>
      <c r="BX610" s="1293"/>
      <c r="BY610" s="1293"/>
      <c r="BZ610" s="1293"/>
      <c r="CA610" s="1293"/>
      <c r="CB610" s="1293"/>
      <c r="CC610" s="1293"/>
      <c r="CD610" s="1293"/>
      <c r="CE610" s="1293"/>
      <c r="CF610" s="1293"/>
      <c r="CG610" s="1293"/>
    </row>
    <row r="611" spans="1:85" ht="15.75">
      <c r="A611" s="1293"/>
      <c r="B611" s="1293"/>
      <c r="C611" s="1293"/>
      <c r="D611" s="1293"/>
      <c r="E611" s="1293"/>
      <c r="F611" s="1293"/>
      <c r="G611" s="1293"/>
      <c r="H611" s="1293"/>
      <c r="I611" s="1293"/>
      <c r="J611" s="1293"/>
      <c r="K611" s="1293"/>
      <c r="L611" s="1293"/>
      <c r="M611" s="1293"/>
      <c r="N611" s="1293"/>
      <c r="O611" s="1293"/>
      <c r="P611" s="1293"/>
      <c r="Q611" s="1293"/>
      <c r="R611" s="1293"/>
      <c r="S611" s="1293"/>
      <c r="T611" s="1293"/>
      <c r="U611" s="1293"/>
      <c r="V611" s="1293"/>
      <c r="W611" s="1293"/>
      <c r="X611" s="1293"/>
      <c r="Y611" s="1293"/>
      <c r="Z611" s="1293"/>
      <c r="AA611" s="1293"/>
      <c r="AB611" s="1293"/>
      <c r="AC611" s="1293"/>
      <c r="AD611" s="1293"/>
      <c r="AE611" s="1293"/>
      <c r="AF611" s="1293"/>
      <c r="AG611" s="1293"/>
      <c r="AH611" s="1293"/>
      <c r="AI611" s="1293"/>
      <c r="AJ611" s="1293"/>
      <c r="AK611" s="1293"/>
      <c r="AL611" s="1293"/>
      <c r="AM611" s="1293"/>
      <c r="AN611" s="1293"/>
      <c r="AO611" s="1293"/>
      <c r="AP611" s="1293"/>
      <c r="AQ611" s="1293"/>
      <c r="AR611" s="1293"/>
      <c r="AS611" s="1293"/>
      <c r="AT611" s="1293"/>
      <c r="AU611" s="1293"/>
      <c r="AV611" s="1293"/>
      <c r="AW611" s="1293"/>
      <c r="AX611" s="1293"/>
      <c r="AY611" s="1293"/>
      <c r="AZ611" s="1293"/>
      <c r="BA611" s="1293"/>
      <c r="BB611" s="1293"/>
      <c r="BC611" s="1293"/>
      <c r="BD611" s="1293"/>
      <c r="BE611" s="1293"/>
      <c r="BF611" s="1293"/>
      <c r="BG611" s="1293"/>
      <c r="BH611" s="1293"/>
      <c r="BI611" s="1293"/>
      <c r="BJ611" s="1293"/>
      <c r="BK611" s="1293"/>
      <c r="BL611" s="1293"/>
      <c r="BM611" s="1293"/>
      <c r="BN611" s="1293"/>
      <c r="BO611" s="1293"/>
      <c r="BP611" s="1293"/>
      <c r="BQ611" s="1293"/>
      <c r="BR611" s="1293"/>
      <c r="BS611" s="1293"/>
      <c r="BT611" s="1293"/>
      <c r="BU611" s="1293"/>
      <c r="BV611" s="1293"/>
      <c r="BW611" s="1293"/>
      <c r="BX611" s="1293"/>
      <c r="BY611" s="1293"/>
      <c r="BZ611" s="1293"/>
      <c r="CA611" s="1293"/>
      <c r="CB611" s="1293"/>
      <c r="CC611" s="1293"/>
      <c r="CD611" s="1293"/>
      <c r="CE611" s="1293"/>
      <c r="CF611" s="1293"/>
      <c r="CG611" s="1293"/>
    </row>
    <row r="612" spans="1:85" ht="15.75">
      <c r="A612" s="1293"/>
      <c r="B612" s="1293"/>
      <c r="C612" s="1293"/>
      <c r="D612" s="1293"/>
      <c r="E612" s="1293"/>
      <c r="F612" s="1293"/>
      <c r="G612" s="1293"/>
      <c r="H612" s="1293"/>
      <c r="I612" s="1293"/>
      <c r="J612" s="1293"/>
      <c r="K612" s="1293"/>
      <c r="L612" s="1293"/>
      <c r="M612" s="1293"/>
      <c r="N612" s="1293"/>
      <c r="O612" s="1293"/>
      <c r="P612" s="1293"/>
      <c r="Q612" s="1293"/>
      <c r="R612" s="1293"/>
      <c r="S612" s="1293"/>
      <c r="T612" s="1293"/>
      <c r="U612" s="1293"/>
      <c r="V612" s="1293"/>
      <c r="W612" s="1293"/>
      <c r="X612" s="1293"/>
      <c r="Y612" s="1293"/>
      <c r="Z612" s="1293"/>
      <c r="AA612" s="1293"/>
      <c r="AB612" s="1293"/>
      <c r="AC612" s="1293"/>
      <c r="AD612" s="1293"/>
      <c r="AE612" s="1293"/>
      <c r="AF612" s="1293"/>
      <c r="AG612" s="1293"/>
      <c r="AH612" s="1293"/>
      <c r="AI612" s="1293"/>
      <c r="AJ612" s="1293"/>
      <c r="AK612" s="1293"/>
      <c r="AL612" s="1293"/>
      <c r="AM612" s="1293"/>
      <c r="AN612" s="1293"/>
      <c r="AO612" s="1293"/>
      <c r="AP612" s="1293"/>
      <c r="AQ612" s="1293"/>
      <c r="AR612" s="1293"/>
      <c r="AS612" s="1293"/>
      <c r="AT612" s="1293"/>
      <c r="AU612" s="1293"/>
      <c r="AV612" s="1293"/>
      <c r="AW612" s="1293"/>
      <c r="AX612" s="1293"/>
      <c r="AY612" s="1293"/>
      <c r="AZ612" s="1293"/>
      <c r="BA612" s="1293"/>
      <c r="BB612" s="1293"/>
      <c r="BC612" s="1293"/>
      <c r="BD612" s="1293"/>
      <c r="BE612" s="1293"/>
      <c r="BF612" s="1293"/>
      <c r="BG612" s="1293"/>
      <c r="BH612" s="1293"/>
      <c r="BI612" s="1293"/>
      <c r="BJ612" s="1293"/>
      <c r="BK612" s="1293"/>
      <c r="BL612" s="1293"/>
      <c r="BM612" s="1293"/>
      <c r="BN612" s="1293"/>
      <c r="BO612" s="1293"/>
      <c r="BP612" s="1293"/>
      <c r="BQ612" s="1293"/>
      <c r="BR612" s="1293"/>
      <c r="BS612" s="1293"/>
      <c r="BT612" s="1293"/>
      <c r="BU612" s="1293"/>
      <c r="BV612" s="1293"/>
      <c r="BW612" s="1293"/>
      <c r="BX612" s="1293"/>
      <c r="BY612" s="1293"/>
      <c r="BZ612" s="1293"/>
      <c r="CA612" s="1293"/>
      <c r="CB612" s="1293"/>
      <c r="CC612" s="1293"/>
      <c r="CD612" s="1293"/>
      <c r="CE612" s="1293"/>
      <c r="CF612" s="1293"/>
      <c r="CG612" s="1293"/>
    </row>
    <row r="613" spans="1:85" ht="15.75">
      <c r="A613" s="1293"/>
      <c r="B613" s="1293"/>
      <c r="C613" s="1293"/>
      <c r="D613" s="1293"/>
      <c r="E613" s="1293"/>
      <c r="F613" s="1293"/>
      <c r="G613" s="1293"/>
      <c r="H613" s="1293"/>
      <c r="I613" s="1293"/>
      <c r="J613" s="1293"/>
      <c r="K613" s="1293"/>
      <c r="L613" s="1293"/>
      <c r="M613" s="1293"/>
      <c r="N613" s="1293"/>
      <c r="O613" s="1293"/>
      <c r="P613" s="1293"/>
      <c r="Q613" s="1293"/>
      <c r="R613" s="1293"/>
      <c r="S613" s="1293"/>
      <c r="T613" s="1293"/>
      <c r="U613" s="1293"/>
      <c r="V613" s="1293"/>
      <c r="W613" s="1293"/>
      <c r="X613" s="1293"/>
      <c r="Y613" s="1293"/>
      <c r="Z613" s="1293"/>
      <c r="AA613" s="1293"/>
      <c r="AB613" s="1293"/>
      <c r="AC613" s="1293"/>
      <c r="AD613" s="1293"/>
      <c r="AE613" s="1293"/>
      <c r="AF613" s="1293"/>
      <c r="AG613" s="1293"/>
      <c r="AH613" s="1293"/>
      <c r="AI613" s="1293"/>
      <c r="AJ613" s="1293"/>
      <c r="AK613" s="1293"/>
      <c r="AL613" s="1293"/>
      <c r="AM613" s="1293"/>
      <c r="AN613" s="1293"/>
      <c r="AO613" s="1293"/>
      <c r="AP613" s="1293"/>
      <c r="AQ613" s="1293"/>
      <c r="AR613" s="1293"/>
      <c r="AS613" s="1293"/>
      <c r="AT613" s="1293"/>
      <c r="AU613" s="1293"/>
      <c r="AV613" s="1293"/>
      <c r="AW613" s="1293"/>
      <c r="AX613" s="1293"/>
      <c r="AY613" s="1293"/>
      <c r="AZ613" s="1293"/>
      <c r="BA613" s="1293"/>
      <c r="BB613" s="1293"/>
      <c r="BC613" s="1293"/>
      <c r="BD613" s="1293"/>
      <c r="BE613" s="1293"/>
      <c r="BF613" s="1293"/>
      <c r="BG613" s="1293"/>
      <c r="BH613" s="1293"/>
      <c r="BI613" s="1293"/>
      <c r="BJ613" s="1293"/>
      <c r="BK613" s="1293"/>
      <c r="BL613" s="1293"/>
      <c r="BM613" s="1293"/>
      <c r="BN613" s="1293"/>
      <c r="BO613" s="1293"/>
      <c r="BP613" s="1293"/>
      <c r="BQ613" s="1293"/>
      <c r="BR613" s="1293"/>
      <c r="BS613" s="1293"/>
      <c r="BT613" s="1293"/>
      <c r="BU613" s="1293"/>
      <c r="BV613" s="1293"/>
      <c r="BW613" s="1293"/>
      <c r="BX613" s="1293"/>
      <c r="BY613" s="1293"/>
      <c r="BZ613" s="1293"/>
      <c r="CA613" s="1293"/>
      <c r="CB613" s="1293"/>
      <c r="CC613" s="1293"/>
      <c r="CD613" s="1293"/>
      <c r="CE613" s="1293"/>
      <c r="CF613" s="1293"/>
      <c r="CG613" s="1293"/>
    </row>
    <row r="614" spans="1:85" ht="15.75">
      <c r="A614" s="1293"/>
      <c r="B614" s="1293"/>
      <c r="C614" s="1293"/>
      <c r="D614" s="1293"/>
      <c r="E614" s="1293"/>
      <c r="F614" s="1293"/>
      <c r="G614" s="1293"/>
      <c r="H614" s="1293"/>
      <c r="I614" s="1293"/>
      <c r="J614" s="1293"/>
      <c r="K614" s="1293"/>
      <c r="L614" s="1293"/>
      <c r="M614" s="1293"/>
      <c r="N614" s="1293"/>
      <c r="O614" s="1293"/>
      <c r="P614" s="1293"/>
      <c r="Q614" s="1293"/>
      <c r="R614" s="1293"/>
      <c r="S614" s="1293"/>
      <c r="T614" s="1293"/>
      <c r="U614" s="1293"/>
      <c r="V614" s="1293"/>
      <c r="W614" s="1293"/>
      <c r="X614" s="1293"/>
      <c r="Y614" s="1293"/>
      <c r="Z614" s="1293"/>
      <c r="AA614" s="1293"/>
      <c r="AB614" s="1293"/>
      <c r="AC614" s="1293"/>
      <c r="AD614" s="1293"/>
      <c r="AE614" s="1293"/>
      <c r="AF614" s="1293"/>
      <c r="AG614" s="1293"/>
      <c r="AH614" s="1293"/>
      <c r="AI614" s="1293"/>
      <c r="AJ614" s="1293"/>
      <c r="AK614" s="1293"/>
      <c r="AL614" s="1293"/>
      <c r="AM614" s="1293"/>
      <c r="AN614" s="1293"/>
      <c r="AO614" s="1293"/>
      <c r="AP614" s="1293"/>
      <c r="AQ614" s="1293"/>
      <c r="AR614" s="1293"/>
      <c r="AS614" s="1293"/>
      <c r="AT614" s="1293"/>
      <c r="AU614" s="1293"/>
      <c r="AV614" s="1293"/>
      <c r="AW614" s="1293"/>
      <c r="AX614" s="1293"/>
      <c r="AY614" s="1293"/>
      <c r="AZ614" s="1293"/>
      <c r="BA614" s="1293"/>
      <c r="BB614" s="1293"/>
      <c r="BC614" s="1293"/>
      <c r="BD614" s="1293"/>
      <c r="BE614" s="1293"/>
      <c r="BF614" s="1293"/>
      <c r="BG614" s="1293"/>
      <c r="BH614" s="1293"/>
      <c r="BI614" s="1293"/>
      <c r="BJ614" s="1293"/>
      <c r="BK614" s="1293"/>
      <c r="BL614" s="1293"/>
      <c r="BM614" s="1293"/>
      <c r="BN614" s="1293"/>
      <c r="BO614" s="1293"/>
      <c r="BP614" s="1293"/>
      <c r="BQ614" s="1293"/>
      <c r="BR614" s="1293"/>
      <c r="BS614" s="1293"/>
      <c r="BT614" s="1293"/>
      <c r="BU614" s="1293"/>
      <c r="BV614" s="1293"/>
      <c r="BW614" s="1293"/>
      <c r="BX614" s="1293"/>
      <c r="BY614" s="1293"/>
      <c r="BZ614" s="1293"/>
      <c r="CA614" s="1293"/>
      <c r="CB614" s="1293"/>
      <c r="CC614" s="1293"/>
      <c r="CD614" s="1293"/>
      <c r="CE614" s="1293"/>
      <c r="CF614" s="1293"/>
      <c r="CG614" s="1293"/>
    </row>
    <row r="615" spans="1:85" ht="15.75">
      <c r="A615" s="1293"/>
      <c r="B615" s="1293"/>
      <c r="C615" s="1293"/>
      <c r="D615" s="1293"/>
      <c r="E615" s="1293"/>
      <c r="F615" s="1293"/>
      <c r="G615" s="1293"/>
      <c r="H615" s="1293"/>
      <c r="I615" s="1293"/>
      <c r="J615" s="1293"/>
      <c r="K615" s="1293"/>
      <c r="L615" s="1293"/>
      <c r="M615" s="1293"/>
      <c r="N615" s="1293"/>
      <c r="O615" s="1293"/>
      <c r="P615" s="1293"/>
      <c r="Q615" s="1293"/>
      <c r="R615" s="1293"/>
      <c r="S615" s="1293"/>
      <c r="T615" s="1293"/>
      <c r="U615" s="1293"/>
      <c r="V615" s="1293"/>
      <c r="W615" s="1293"/>
      <c r="X615" s="1293"/>
      <c r="Y615" s="1293"/>
      <c r="Z615" s="1293"/>
      <c r="AA615" s="1293"/>
      <c r="AB615" s="1293"/>
      <c r="AC615" s="1293"/>
      <c r="AD615" s="1293"/>
      <c r="AE615" s="1293"/>
      <c r="AF615" s="1293"/>
      <c r="AG615" s="1293"/>
      <c r="AH615" s="1293"/>
      <c r="AI615" s="1293"/>
      <c r="AJ615" s="1293"/>
      <c r="AK615" s="1293"/>
      <c r="AL615" s="1293"/>
      <c r="AM615" s="1293"/>
      <c r="AN615" s="1293"/>
      <c r="AO615" s="1293"/>
      <c r="AP615" s="1293"/>
      <c r="AQ615" s="1293"/>
      <c r="AR615" s="1293"/>
      <c r="AS615" s="1293"/>
      <c r="AT615" s="1293"/>
      <c r="AU615" s="1293"/>
      <c r="AV615" s="1293"/>
      <c r="AW615" s="1293"/>
      <c r="AX615" s="1293"/>
      <c r="AY615" s="1293"/>
      <c r="AZ615" s="1293"/>
      <c r="BA615" s="1293"/>
      <c r="BB615" s="1293"/>
      <c r="BC615" s="1293"/>
      <c r="BD615" s="1293"/>
      <c r="BE615" s="1293"/>
      <c r="BF615" s="1293"/>
      <c r="BG615" s="1293"/>
      <c r="BH615" s="1293"/>
      <c r="BI615" s="1293"/>
      <c r="BJ615" s="1293"/>
      <c r="BK615" s="1293"/>
      <c r="BL615" s="1293"/>
      <c r="BM615" s="1293"/>
      <c r="BN615" s="1293"/>
      <c r="BO615" s="1293"/>
      <c r="BP615" s="1293"/>
      <c r="BQ615" s="1293"/>
      <c r="BR615" s="1293"/>
      <c r="BS615" s="1293"/>
      <c r="BT615" s="1293"/>
      <c r="BU615" s="1293"/>
      <c r="BV615" s="1293"/>
      <c r="BW615" s="1293"/>
      <c r="BX615" s="1293"/>
      <c r="BY615" s="1293"/>
      <c r="BZ615" s="1293"/>
      <c r="CA615" s="1293"/>
      <c r="CB615" s="1293"/>
      <c r="CC615" s="1293"/>
      <c r="CD615" s="1293"/>
      <c r="CE615" s="1293"/>
      <c r="CF615" s="1293"/>
      <c r="CG615" s="1293"/>
    </row>
    <row r="616" spans="1:85" ht="15.75">
      <c r="A616" s="1293"/>
      <c r="B616" s="1293"/>
      <c r="C616" s="1293"/>
      <c r="D616" s="1293"/>
      <c r="E616" s="1293"/>
      <c r="F616" s="1293"/>
      <c r="G616" s="1293"/>
      <c r="H616" s="1293"/>
      <c r="I616" s="1293"/>
      <c r="J616" s="1293"/>
      <c r="K616" s="1293"/>
      <c r="L616" s="1293"/>
      <c r="M616" s="1293"/>
      <c r="N616" s="1293"/>
      <c r="O616" s="1293"/>
      <c r="P616" s="1293"/>
      <c r="Q616" s="1293"/>
      <c r="R616" s="1293"/>
      <c r="S616" s="1293"/>
      <c r="T616" s="1293"/>
      <c r="U616" s="1293"/>
      <c r="V616" s="1293"/>
      <c r="W616" s="1293"/>
      <c r="X616" s="1293"/>
      <c r="Y616" s="1293"/>
      <c r="Z616" s="1293"/>
      <c r="AA616" s="1293"/>
      <c r="AB616" s="1293"/>
      <c r="AC616" s="1293"/>
      <c r="AD616" s="1293"/>
      <c r="AE616" s="1293"/>
      <c r="AF616" s="1293"/>
      <c r="AG616" s="1293"/>
      <c r="AH616" s="1293"/>
      <c r="AI616" s="1293"/>
      <c r="AJ616" s="1293"/>
      <c r="AK616" s="1293"/>
      <c r="AL616" s="1293"/>
      <c r="AM616" s="1293"/>
      <c r="AN616" s="1293"/>
      <c r="AO616" s="1293"/>
      <c r="AP616" s="1293"/>
      <c r="AQ616" s="1293"/>
      <c r="AR616" s="1293"/>
      <c r="AS616" s="1293"/>
      <c r="AT616" s="1293"/>
      <c r="AU616" s="1293"/>
      <c r="AV616" s="1293"/>
      <c r="AW616" s="1293"/>
      <c r="AX616" s="1293"/>
      <c r="AY616" s="1293"/>
      <c r="AZ616" s="1293"/>
      <c r="BA616" s="1293"/>
      <c r="BB616" s="1293"/>
      <c r="BC616" s="1293"/>
      <c r="BD616" s="1293"/>
      <c r="BE616" s="1293"/>
      <c r="BF616" s="1293"/>
      <c r="BG616" s="1293"/>
      <c r="BH616" s="1293"/>
      <c r="BI616" s="1293"/>
      <c r="BJ616" s="1293"/>
      <c r="BK616" s="1293"/>
      <c r="BL616" s="1293"/>
      <c r="BM616" s="1293"/>
      <c r="BN616" s="1293"/>
      <c r="BO616" s="1293"/>
      <c r="BP616" s="1293"/>
      <c r="BQ616" s="1293"/>
      <c r="BR616" s="1293"/>
      <c r="BS616" s="1293"/>
      <c r="BT616" s="1293"/>
      <c r="BU616" s="1293"/>
      <c r="BV616" s="1293"/>
      <c r="BW616" s="1293"/>
      <c r="BX616" s="1293"/>
      <c r="BY616" s="1293"/>
      <c r="BZ616" s="1293"/>
      <c r="CA616" s="1293"/>
      <c r="CB616" s="1293"/>
      <c r="CC616" s="1293"/>
      <c r="CD616" s="1293"/>
      <c r="CE616" s="1293"/>
      <c r="CF616" s="1293"/>
      <c r="CG616" s="1293"/>
    </row>
    <row r="617" spans="1:85" ht="15.75">
      <c r="A617" s="1293"/>
      <c r="B617" s="1293"/>
      <c r="C617" s="1293"/>
      <c r="D617" s="1293"/>
      <c r="E617" s="1293"/>
      <c r="F617" s="1293"/>
      <c r="G617" s="1293"/>
      <c r="H617" s="1293"/>
      <c r="I617" s="1293"/>
      <c r="J617" s="1293"/>
      <c r="K617" s="1293"/>
      <c r="L617" s="1293"/>
      <c r="M617" s="1293"/>
      <c r="N617" s="1293"/>
      <c r="O617" s="1293"/>
      <c r="P617" s="1293"/>
      <c r="Q617" s="1293"/>
      <c r="R617" s="1293"/>
      <c r="S617" s="1293"/>
      <c r="T617" s="1293"/>
      <c r="U617" s="1293"/>
      <c r="V617" s="1293"/>
      <c r="W617" s="1293"/>
      <c r="X617" s="1293"/>
      <c r="Y617" s="1293"/>
      <c r="Z617" s="1293"/>
      <c r="AA617" s="1293"/>
      <c r="AB617" s="1293"/>
      <c r="AC617" s="1293"/>
      <c r="AD617" s="1293"/>
      <c r="AE617" s="1293"/>
      <c r="AF617" s="1293"/>
      <c r="AG617" s="1293"/>
      <c r="AH617" s="1293"/>
      <c r="AI617" s="1293"/>
      <c r="AJ617" s="1293"/>
      <c r="AK617" s="1293"/>
      <c r="AL617" s="1293"/>
      <c r="AM617" s="1293"/>
      <c r="AN617" s="1293"/>
      <c r="AO617" s="1293"/>
      <c r="AP617" s="1293"/>
      <c r="AQ617" s="1293"/>
      <c r="AR617" s="1293"/>
      <c r="AS617" s="1293"/>
      <c r="AT617" s="1293"/>
      <c r="AU617" s="1293"/>
      <c r="AV617" s="1293"/>
      <c r="AW617" s="1293"/>
      <c r="AX617" s="1293"/>
      <c r="AY617" s="1293"/>
      <c r="AZ617" s="1293"/>
      <c r="BA617" s="1293"/>
      <c r="BB617" s="1293"/>
      <c r="BC617" s="1293"/>
      <c r="BD617" s="1293"/>
      <c r="BE617" s="1293"/>
      <c r="BF617" s="1293"/>
      <c r="BG617" s="1293"/>
      <c r="BH617" s="1293"/>
      <c r="BI617" s="1293"/>
      <c r="BJ617" s="1293"/>
      <c r="BK617" s="1293"/>
      <c r="BL617" s="1293"/>
      <c r="BM617" s="1293"/>
      <c r="BN617" s="1293"/>
      <c r="BO617" s="1293"/>
      <c r="BP617" s="1293"/>
      <c r="BQ617" s="1293"/>
      <c r="BR617" s="1293"/>
      <c r="BS617" s="1293"/>
      <c r="BT617" s="1293"/>
      <c r="BU617" s="1293"/>
      <c r="BV617" s="1293"/>
      <c r="BW617" s="1293"/>
      <c r="BX617" s="1293"/>
      <c r="BY617" s="1293"/>
      <c r="BZ617" s="1293"/>
      <c r="CA617" s="1293"/>
      <c r="CB617" s="1293"/>
      <c r="CC617" s="1293"/>
      <c r="CD617" s="1293"/>
      <c r="CE617" s="1293"/>
      <c r="CF617" s="1293"/>
      <c r="CG617" s="1293"/>
    </row>
    <row r="618" spans="1:85" ht="15.75">
      <c r="A618" s="1293"/>
      <c r="B618" s="1293"/>
      <c r="C618" s="1293"/>
      <c r="D618" s="1293"/>
      <c r="E618" s="1293"/>
      <c r="F618" s="1293"/>
      <c r="G618" s="1293"/>
      <c r="H618" s="1293"/>
      <c r="I618" s="1293"/>
      <c r="J618" s="1293"/>
      <c r="K618" s="1293"/>
      <c r="L618" s="1293"/>
      <c r="M618" s="1293"/>
      <c r="N618" s="1293"/>
      <c r="O618" s="1293"/>
      <c r="P618" s="1293"/>
      <c r="Q618" s="1293"/>
      <c r="R618" s="1293"/>
      <c r="S618" s="1293"/>
      <c r="T618" s="1293"/>
      <c r="U618" s="1293"/>
      <c r="V618" s="1293"/>
      <c r="W618" s="1293"/>
      <c r="X618" s="1293"/>
      <c r="Y618" s="1293"/>
      <c r="Z618" s="1293"/>
      <c r="AA618" s="1293"/>
      <c r="AB618" s="1293"/>
      <c r="AC618" s="1293"/>
      <c r="AD618" s="1293"/>
      <c r="AE618" s="1293"/>
      <c r="AF618" s="1293"/>
      <c r="AG618" s="1293"/>
      <c r="AH618" s="1293"/>
      <c r="AI618" s="1293"/>
      <c r="AJ618" s="1293"/>
      <c r="AK618" s="1293"/>
      <c r="AL618" s="1293"/>
      <c r="AM618" s="1293"/>
      <c r="AN618" s="1293"/>
      <c r="AO618" s="1293"/>
      <c r="AP618" s="1293"/>
      <c r="AQ618" s="1293"/>
      <c r="AR618" s="1293"/>
      <c r="AS618" s="1293"/>
      <c r="AT618" s="1293"/>
      <c r="AU618" s="1293"/>
      <c r="AV618" s="1293"/>
      <c r="AW618" s="1293"/>
      <c r="AX618" s="1293"/>
      <c r="AY618" s="1293"/>
      <c r="AZ618" s="1293"/>
      <c r="BA618" s="1293"/>
      <c r="BB618" s="1293"/>
      <c r="BC618" s="1293"/>
      <c r="BD618" s="1293"/>
      <c r="BE618" s="1293"/>
      <c r="BF618" s="1293"/>
      <c r="BG618" s="1293"/>
      <c r="BH618" s="1293"/>
      <c r="BI618" s="1293"/>
      <c r="BJ618" s="1293"/>
      <c r="BK618" s="1293"/>
      <c r="BL618" s="1293"/>
      <c r="BM618" s="1293"/>
      <c r="BN618" s="1293"/>
      <c r="BO618" s="1293"/>
      <c r="BP618" s="1293"/>
      <c r="BQ618" s="1293"/>
      <c r="BR618" s="1293"/>
      <c r="BS618" s="1293"/>
      <c r="BT618" s="1293"/>
      <c r="BU618" s="1293"/>
      <c r="BV618" s="1293"/>
      <c r="BW618" s="1293"/>
      <c r="BX618" s="1293"/>
      <c r="BY618" s="1293"/>
      <c r="BZ618" s="1293"/>
      <c r="CA618" s="1293"/>
      <c r="CB618" s="1293"/>
      <c r="CC618" s="1293"/>
      <c r="CD618" s="1293"/>
      <c r="CE618" s="1293"/>
      <c r="CF618" s="1293"/>
      <c r="CG618" s="1293"/>
    </row>
    <row r="619" spans="1:85" ht="15.75">
      <c r="A619" s="1293"/>
      <c r="B619" s="1293"/>
      <c r="C619" s="1293"/>
      <c r="D619" s="1293"/>
      <c r="E619" s="1293"/>
      <c r="F619" s="1293"/>
      <c r="G619" s="1293"/>
      <c r="H619" s="1293"/>
      <c r="I619" s="1293"/>
      <c r="J619" s="1293"/>
      <c r="K619" s="1293"/>
      <c r="L619" s="1293"/>
      <c r="M619" s="1293"/>
      <c r="N619" s="1293"/>
      <c r="O619" s="1293"/>
      <c r="P619" s="1293"/>
      <c r="Q619" s="1293"/>
      <c r="R619" s="1293"/>
      <c r="S619" s="1293"/>
      <c r="T619" s="1293"/>
      <c r="U619" s="1293"/>
      <c r="V619" s="1293"/>
      <c r="W619" s="1293"/>
      <c r="X619" s="1293"/>
      <c r="Y619" s="1293"/>
      <c r="Z619" s="1293"/>
      <c r="AA619" s="1293"/>
      <c r="AB619" s="1293"/>
      <c r="AC619" s="1293"/>
      <c r="AD619" s="1293"/>
      <c r="AE619" s="1293"/>
      <c r="AF619" s="1293"/>
      <c r="AG619" s="1293"/>
      <c r="AH619" s="1293"/>
      <c r="AI619" s="1293"/>
      <c r="AJ619" s="1293"/>
      <c r="AK619" s="1293"/>
      <c r="AL619" s="1293"/>
      <c r="AM619" s="1293"/>
      <c r="AN619" s="1293"/>
      <c r="AO619" s="1293"/>
      <c r="AP619" s="1293"/>
      <c r="AQ619" s="1293"/>
      <c r="AR619" s="1293"/>
      <c r="AS619" s="1293"/>
      <c r="AT619" s="1293"/>
      <c r="AU619" s="1293"/>
      <c r="AV619" s="1293"/>
      <c r="AW619" s="1293"/>
      <c r="AX619" s="1293"/>
      <c r="AY619" s="1293"/>
      <c r="AZ619" s="1293"/>
      <c r="BA619" s="1293"/>
      <c r="BB619" s="1293"/>
      <c r="BC619" s="1293"/>
      <c r="BD619" s="1293"/>
      <c r="BE619" s="1293"/>
      <c r="BF619" s="1293"/>
      <c r="BG619" s="1293"/>
      <c r="BH619" s="1293"/>
      <c r="BI619" s="1293"/>
      <c r="BJ619" s="1293"/>
      <c r="BK619" s="1293"/>
      <c r="BL619" s="1293"/>
      <c r="BM619" s="1293"/>
      <c r="BN619" s="1293"/>
      <c r="BO619" s="1293"/>
      <c r="BP619" s="1293"/>
      <c r="BQ619" s="1293"/>
      <c r="BR619" s="1293"/>
      <c r="BS619" s="1293"/>
      <c r="BT619" s="1293"/>
      <c r="BU619" s="1293"/>
      <c r="BV619" s="1293"/>
      <c r="BW619" s="1293"/>
      <c r="BX619" s="1293"/>
      <c r="BY619" s="1293"/>
      <c r="BZ619" s="1293"/>
      <c r="CA619" s="1293"/>
      <c r="CB619" s="1293"/>
      <c r="CC619" s="1293"/>
      <c r="CD619" s="1293"/>
      <c r="CE619" s="1293"/>
      <c r="CF619" s="1293"/>
      <c r="CG619" s="1293"/>
    </row>
    <row r="620" spans="1:85" ht="15.75">
      <c r="A620" s="1293"/>
      <c r="B620" s="1293"/>
      <c r="C620" s="1293"/>
      <c r="D620" s="1293"/>
      <c r="E620" s="1293"/>
      <c r="F620" s="1293"/>
      <c r="G620" s="1293"/>
      <c r="H620" s="1293"/>
      <c r="I620" s="1293"/>
      <c r="J620" s="1293"/>
      <c r="K620" s="1293"/>
      <c r="L620" s="1293"/>
      <c r="M620" s="1293"/>
      <c r="N620" s="1293"/>
      <c r="O620" s="1293"/>
      <c r="P620" s="1293"/>
      <c r="Q620" s="1293"/>
      <c r="R620" s="1293"/>
      <c r="S620" s="1293"/>
      <c r="T620" s="1293"/>
      <c r="U620" s="1293"/>
      <c r="V620" s="1293"/>
      <c r="W620" s="1293"/>
      <c r="X620" s="1293"/>
      <c r="Y620" s="1293"/>
      <c r="Z620" s="1293"/>
      <c r="AA620" s="1293"/>
      <c r="AB620" s="1293"/>
      <c r="AC620" s="1293"/>
      <c r="AD620" s="1293"/>
      <c r="AE620" s="1293"/>
      <c r="AF620" s="1293"/>
      <c r="AG620" s="1293"/>
      <c r="AH620" s="1293"/>
      <c r="AI620" s="1293"/>
      <c r="AJ620" s="1293"/>
      <c r="AK620" s="1293"/>
      <c r="AL620" s="1293"/>
      <c r="AM620" s="1293"/>
      <c r="AN620" s="1293"/>
      <c r="AO620" s="1293"/>
      <c r="AP620" s="1293"/>
      <c r="AQ620" s="1293"/>
      <c r="AR620" s="1293"/>
      <c r="AS620" s="1293"/>
      <c r="AT620" s="1293"/>
      <c r="AU620" s="1293"/>
      <c r="AV620" s="1293"/>
      <c r="AW620" s="1293"/>
      <c r="AX620" s="1293"/>
      <c r="AY620" s="1293"/>
      <c r="AZ620" s="1293"/>
      <c r="BA620" s="1293"/>
      <c r="BB620" s="1293"/>
      <c r="BC620" s="1293"/>
      <c r="BD620" s="1293"/>
      <c r="BE620" s="1293"/>
      <c r="BF620" s="1293"/>
      <c r="BG620" s="1293"/>
      <c r="BH620" s="1293"/>
      <c r="BI620" s="1293"/>
      <c r="BJ620" s="1293"/>
      <c r="BK620" s="1293"/>
      <c r="BL620" s="1293"/>
      <c r="BM620" s="1293"/>
      <c r="BN620" s="1293"/>
      <c r="BO620" s="1293"/>
      <c r="BP620" s="1293"/>
      <c r="BQ620" s="1293"/>
      <c r="BR620" s="1293"/>
      <c r="BS620" s="1293"/>
      <c r="BT620" s="1293"/>
      <c r="BU620" s="1293"/>
      <c r="BV620" s="1293"/>
      <c r="BW620" s="1293"/>
      <c r="BX620" s="1293"/>
      <c r="BY620" s="1293"/>
      <c r="BZ620" s="1293"/>
      <c r="CA620" s="1293"/>
      <c r="CB620" s="1293"/>
      <c r="CC620" s="1293"/>
      <c r="CD620" s="1293"/>
      <c r="CE620" s="1293"/>
      <c r="CF620" s="1293"/>
      <c r="CG620" s="1293"/>
    </row>
    <row r="621" spans="1:85" ht="15.75">
      <c r="A621" s="1293"/>
      <c r="B621" s="1293"/>
      <c r="C621" s="1293"/>
      <c r="D621" s="1293"/>
      <c r="E621" s="1293"/>
      <c r="F621" s="1293"/>
      <c r="G621" s="1293"/>
      <c r="H621" s="1293"/>
      <c r="I621" s="1293"/>
      <c r="J621" s="1293"/>
      <c r="K621" s="1293"/>
      <c r="L621" s="1293"/>
      <c r="M621" s="1293"/>
      <c r="N621" s="1293"/>
      <c r="O621" s="1293"/>
      <c r="P621" s="1293"/>
      <c r="Q621" s="1293"/>
      <c r="R621" s="1293"/>
      <c r="S621" s="1293"/>
      <c r="T621" s="1293"/>
      <c r="U621" s="1293"/>
      <c r="V621" s="1293"/>
      <c r="W621" s="1293"/>
      <c r="X621" s="1293"/>
      <c r="Y621" s="1293"/>
      <c r="Z621" s="1293"/>
      <c r="AA621" s="1293"/>
      <c r="AB621" s="1293"/>
      <c r="AC621" s="1293"/>
      <c r="AD621" s="1293"/>
      <c r="AE621" s="1293"/>
      <c r="AF621" s="1293"/>
      <c r="AG621" s="1293"/>
      <c r="AH621" s="1293"/>
      <c r="AI621" s="1293"/>
      <c r="AJ621" s="1293"/>
      <c r="AK621" s="1293"/>
      <c r="AL621" s="1293"/>
      <c r="AM621" s="1293"/>
      <c r="AN621" s="1293"/>
      <c r="AO621" s="1293"/>
      <c r="AP621" s="1293"/>
      <c r="AQ621" s="1293"/>
      <c r="AR621" s="1293"/>
      <c r="AS621" s="1293"/>
      <c r="AT621" s="1293"/>
      <c r="AU621" s="1293"/>
      <c r="AV621" s="1293"/>
      <c r="AW621" s="1293"/>
      <c r="AX621" s="1293"/>
      <c r="AY621" s="1293"/>
      <c r="AZ621" s="1293"/>
      <c r="BA621" s="1293"/>
      <c r="BB621" s="1293"/>
      <c r="BC621" s="1293"/>
      <c r="BD621" s="1293"/>
      <c r="BE621" s="1293"/>
      <c r="BF621" s="1293"/>
      <c r="BG621" s="1293"/>
      <c r="BH621" s="1293"/>
      <c r="BI621" s="1293"/>
      <c r="BJ621" s="1293"/>
      <c r="BK621" s="1293"/>
      <c r="BL621" s="1293"/>
      <c r="BM621" s="1293"/>
      <c r="BN621" s="1293"/>
      <c r="BO621" s="1293"/>
      <c r="BP621" s="1293"/>
      <c r="BQ621" s="1293"/>
      <c r="BR621" s="1293"/>
      <c r="BS621" s="1293"/>
      <c r="BT621" s="1293"/>
      <c r="BU621" s="1293"/>
      <c r="BV621" s="1293"/>
      <c r="BW621" s="1293"/>
      <c r="BX621" s="1293"/>
      <c r="BY621" s="1293"/>
      <c r="BZ621" s="1293"/>
      <c r="CA621" s="1293"/>
      <c r="CB621" s="1293"/>
      <c r="CC621" s="1293"/>
      <c r="CD621" s="1293"/>
      <c r="CE621" s="1293"/>
      <c r="CF621" s="1293"/>
      <c r="CG621" s="1293"/>
    </row>
    <row r="622" spans="1:85" ht="15.75">
      <c r="A622" s="1293"/>
      <c r="B622" s="1293"/>
      <c r="C622" s="1293"/>
      <c r="D622" s="1293"/>
      <c r="E622" s="1293"/>
      <c r="F622" s="1293"/>
      <c r="G622" s="1293"/>
      <c r="H622" s="1293"/>
      <c r="I622" s="1293"/>
      <c r="J622" s="1293"/>
      <c r="K622" s="1293"/>
      <c r="L622" s="1293"/>
      <c r="M622" s="1293"/>
      <c r="N622" s="1293"/>
      <c r="O622" s="1293"/>
      <c r="P622" s="1293"/>
      <c r="Q622" s="1293"/>
      <c r="R622" s="1293"/>
      <c r="S622" s="1293"/>
      <c r="T622" s="1293"/>
      <c r="U622" s="1293"/>
      <c r="V622" s="1293"/>
      <c r="W622" s="1293"/>
      <c r="X622" s="1293"/>
      <c r="Y622" s="1293"/>
      <c r="Z622" s="1293"/>
      <c r="AA622" s="1293"/>
      <c r="AB622" s="1293"/>
      <c r="AC622" s="1293"/>
      <c r="AD622" s="1293"/>
      <c r="AE622" s="1293"/>
      <c r="AF622" s="1293"/>
      <c r="AG622" s="1293"/>
      <c r="AH622" s="1293"/>
      <c r="AI622" s="1293"/>
      <c r="AJ622" s="1293"/>
      <c r="AK622" s="1293"/>
      <c r="AL622" s="1293"/>
      <c r="AM622" s="1293"/>
      <c r="AN622" s="1293"/>
      <c r="AO622" s="1293"/>
      <c r="AP622" s="1293"/>
      <c r="AQ622" s="1293"/>
      <c r="AR622" s="1293"/>
      <c r="AS622" s="1293"/>
      <c r="AT622" s="1293"/>
      <c r="AU622" s="1293"/>
      <c r="AV622" s="1293"/>
      <c r="AW622" s="1293"/>
      <c r="AX622" s="1293"/>
      <c r="AY622" s="1293"/>
      <c r="AZ622" s="1293"/>
      <c r="BA622" s="1293"/>
      <c r="BB622" s="1293"/>
      <c r="BC622" s="1293"/>
      <c r="BD622" s="1293"/>
      <c r="BE622" s="1293"/>
      <c r="BF622" s="1293"/>
      <c r="BG622" s="1293"/>
      <c r="BH622" s="1293"/>
      <c r="BI622" s="1293"/>
      <c r="BJ622" s="1293"/>
      <c r="BK622" s="1293"/>
      <c r="BL622" s="1293"/>
      <c r="BM622" s="1293"/>
      <c r="BN622" s="1293"/>
      <c r="BO622" s="1293"/>
      <c r="BP622" s="1293"/>
      <c r="BQ622" s="1293"/>
      <c r="BR622" s="1293"/>
      <c r="BS622" s="1293"/>
      <c r="BT622" s="1293"/>
      <c r="BU622" s="1293"/>
      <c r="BV622" s="1293"/>
      <c r="BW622" s="1293"/>
      <c r="BX622" s="1293"/>
      <c r="BY622" s="1293"/>
      <c r="BZ622" s="1293"/>
      <c r="CA622" s="1293"/>
      <c r="CB622" s="1293"/>
      <c r="CC622" s="1293"/>
      <c r="CD622" s="1293"/>
      <c r="CE622" s="1293"/>
      <c r="CF622" s="1293"/>
      <c r="CG622" s="1293"/>
    </row>
    <row r="623" spans="1:85" ht="15.75">
      <c r="A623" s="1293"/>
      <c r="B623" s="1293"/>
      <c r="C623" s="1293"/>
      <c r="D623" s="1293"/>
      <c r="E623" s="1293"/>
      <c r="F623" s="1293"/>
      <c r="G623" s="1293"/>
      <c r="H623" s="1293"/>
      <c r="I623" s="1293"/>
      <c r="J623" s="1293"/>
      <c r="K623" s="1293"/>
      <c r="L623" s="1293"/>
      <c r="M623" s="1293"/>
      <c r="N623" s="1293"/>
      <c r="O623" s="1293"/>
      <c r="P623" s="1293"/>
      <c r="Q623" s="1293"/>
      <c r="R623" s="1293"/>
      <c r="S623" s="1293"/>
      <c r="T623" s="1293"/>
      <c r="U623" s="1293"/>
      <c r="V623" s="1293"/>
      <c r="W623" s="1293"/>
      <c r="X623" s="1293"/>
      <c r="Y623" s="1293"/>
      <c r="Z623" s="1293"/>
      <c r="AA623" s="1293"/>
      <c r="AB623" s="1293"/>
      <c r="AC623" s="1293"/>
      <c r="AD623" s="1293"/>
      <c r="AE623" s="1293"/>
      <c r="AF623" s="1293"/>
      <c r="AG623" s="1293"/>
      <c r="AH623" s="1293"/>
      <c r="AI623" s="1293"/>
      <c r="AJ623" s="1293"/>
      <c r="AK623" s="1293"/>
      <c r="AL623" s="1293"/>
      <c r="AM623" s="1293"/>
      <c r="AN623" s="1293"/>
      <c r="AO623" s="1293"/>
      <c r="AP623" s="1293"/>
      <c r="AQ623" s="1293"/>
      <c r="AR623" s="1293"/>
      <c r="AS623" s="1293"/>
      <c r="AT623" s="1293"/>
      <c r="AU623" s="1293"/>
      <c r="AV623" s="1293"/>
      <c r="AW623" s="1293"/>
      <c r="AX623" s="1293"/>
      <c r="AY623" s="1293"/>
      <c r="AZ623" s="1293"/>
      <c r="BA623" s="1293"/>
      <c r="BB623" s="1293"/>
      <c r="BC623" s="1293"/>
      <c r="BD623" s="1293"/>
      <c r="BE623" s="1293"/>
      <c r="BF623" s="1293"/>
      <c r="BG623" s="1293"/>
      <c r="BH623" s="1293"/>
      <c r="BI623" s="1293"/>
      <c r="BJ623" s="1293"/>
      <c r="BK623" s="1293"/>
      <c r="BL623" s="1293"/>
      <c r="BM623" s="1293"/>
      <c r="BN623" s="1293"/>
      <c r="BO623" s="1293"/>
      <c r="BP623" s="1293"/>
      <c r="BQ623" s="1293"/>
      <c r="BR623" s="1293"/>
      <c r="BS623" s="1293"/>
      <c r="BT623" s="1293"/>
      <c r="BU623" s="1293"/>
      <c r="BV623" s="1293"/>
      <c r="BW623" s="1293"/>
      <c r="BX623" s="1293"/>
      <c r="BY623" s="1293"/>
      <c r="BZ623" s="1293"/>
      <c r="CA623" s="1293"/>
      <c r="CB623" s="1293"/>
      <c r="CC623" s="1293"/>
      <c r="CD623" s="1293"/>
      <c r="CE623" s="1293"/>
      <c r="CF623" s="1293"/>
      <c r="CG623" s="1293"/>
    </row>
    <row r="624" spans="1:85" ht="15.75">
      <c r="A624" s="1293"/>
      <c r="B624" s="1293"/>
      <c r="C624" s="1293"/>
      <c r="D624" s="1293"/>
      <c r="E624" s="1293"/>
      <c r="F624" s="1293"/>
      <c r="G624" s="1293"/>
      <c r="H624" s="1293"/>
      <c r="I624" s="1293"/>
      <c r="J624" s="1293"/>
      <c r="K624" s="1293"/>
      <c r="L624" s="1293"/>
      <c r="M624" s="1293"/>
      <c r="N624" s="1293"/>
      <c r="O624" s="1293"/>
      <c r="P624" s="1293"/>
      <c r="Q624" s="1293"/>
      <c r="R624" s="1293"/>
      <c r="S624" s="1293"/>
      <c r="T624" s="1293"/>
      <c r="U624" s="1293"/>
      <c r="V624" s="1293"/>
      <c r="W624" s="1293"/>
      <c r="X624" s="1293"/>
      <c r="Y624" s="1293"/>
      <c r="Z624" s="1293"/>
      <c r="AA624" s="1293"/>
      <c r="AB624" s="1293"/>
      <c r="AC624" s="1293"/>
      <c r="AD624" s="1293"/>
      <c r="AE624" s="1293"/>
      <c r="AF624" s="1293"/>
      <c r="AG624" s="1293"/>
      <c r="AH624" s="1293"/>
      <c r="AI624" s="1293"/>
      <c r="AJ624" s="1293"/>
      <c r="AK624" s="1293"/>
      <c r="AL624" s="1293"/>
      <c r="AM624" s="1293"/>
      <c r="AN624" s="1293"/>
      <c r="AO624" s="1293"/>
      <c r="AP624" s="1293"/>
      <c r="AQ624" s="1293"/>
      <c r="AR624" s="1293"/>
      <c r="AS624" s="1293"/>
      <c r="AT624" s="1293"/>
      <c r="AU624" s="1293"/>
      <c r="AV624" s="1293"/>
      <c r="AW624" s="1293"/>
      <c r="AX624" s="1293"/>
      <c r="AY624" s="1293"/>
      <c r="AZ624" s="1293"/>
      <c r="BA624" s="1293"/>
      <c r="BB624" s="1293"/>
      <c r="BC624" s="1293"/>
      <c r="BD624" s="1293"/>
      <c r="BE624" s="1293"/>
      <c r="BF624" s="1293"/>
      <c r="BG624" s="1293"/>
      <c r="BH624" s="1293"/>
      <c r="BI624" s="1293"/>
      <c r="BJ624" s="1293"/>
      <c r="BK624" s="1293"/>
      <c r="BL624" s="1293"/>
      <c r="BM624" s="1293"/>
      <c r="BN624" s="1293"/>
      <c r="BO624" s="1293"/>
      <c r="BP624" s="1293"/>
      <c r="BQ624" s="1293"/>
      <c r="BR624" s="1293"/>
      <c r="BS624" s="1293"/>
      <c r="BT624" s="1293"/>
      <c r="BU624" s="1293"/>
      <c r="BV624" s="1293"/>
      <c r="BW624" s="1293"/>
      <c r="BX624" s="1293"/>
      <c r="BY624" s="1293"/>
      <c r="BZ624" s="1293"/>
      <c r="CA624" s="1293"/>
      <c r="CB624" s="1293"/>
      <c r="CC624" s="1293"/>
      <c r="CD624" s="1293"/>
      <c r="CE624" s="1293"/>
      <c r="CF624" s="1293"/>
      <c r="CG624" s="1293"/>
    </row>
    <row r="625" spans="1:85" ht="15.75">
      <c r="A625" s="1293"/>
      <c r="B625" s="1293"/>
      <c r="C625" s="1293"/>
      <c r="D625" s="1293"/>
      <c r="E625" s="1293"/>
      <c r="F625" s="1293"/>
      <c r="G625" s="1293"/>
      <c r="H625" s="1293"/>
      <c r="I625" s="1293"/>
      <c r="J625" s="1293"/>
      <c r="K625" s="1293"/>
      <c r="L625" s="1293"/>
      <c r="M625" s="1293"/>
      <c r="N625" s="1293"/>
      <c r="O625" s="1293"/>
      <c r="P625" s="1293"/>
      <c r="Q625" s="1293"/>
      <c r="R625" s="1293"/>
      <c r="S625" s="1293"/>
      <c r="T625" s="1293"/>
      <c r="U625" s="1293"/>
      <c r="V625" s="1293"/>
      <c r="W625" s="1293"/>
      <c r="X625" s="1293"/>
      <c r="Y625" s="1293"/>
      <c r="Z625" s="1293"/>
      <c r="AA625" s="1293"/>
      <c r="AB625" s="1293"/>
      <c r="AC625" s="1293"/>
      <c r="AD625" s="1293"/>
      <c r="AE625" s="1293"/>
      <c r="AF625" s="1293"/>
      <c r="AG625" s="1293"/>
      <c r="AH625" s="1293"/>
      <c r="AI625" s="1293"/>
      <c r="AJ625" s="1293"/>
      <c r="AK625" s="1293"/>
      <c r="AL625" s="1293"/>
      <c r="AM625" s="1293"/>
      <c r="AN625" s="1293"/>
      <c r="AO625" s="1293"/>
      <c r="AP625" s="1293"/>
      <c r="AQ625" s="1293"/>
      <c r="AR625" s="1293"/>
      <c r="AS625" s="1293"/>
      <c r="AT625" s="1293"/>
      <c r="AU625" s="1293"/>
      <c r="AV625" s="1293"/>
      <c r="AW625" s="1293"/>
      <c r="AX625" s="1293"/>
      <c r="AY625" s="1293"/>
      <c r="AZ625" s="1293"/>
      <c r="BA625" s="1293"/>
      <c r="BB625" s="1293"/>
      <c r="BC625" s="1293"/>
      <c r="BD625" s="1293"/>
      <c r="BE625" s="1293"/>
      <c r="BF625" s="1293"/>
      <c r="BG625" s="1293"/>
      <c r="BH625" s="1293"/>
      <c r="BI625" s="1293"/>
      <c r="BJ625" s="1293"/>
      <c r="BK625" s="1293"/>
      <c r="BL625" s="1293"/>
      <c r="BM625" s="1293"/>
      <c r="BN625" s="1293"/>
      <c r="BO625" s="1293"/>
      <c r="BP625" s="1293"/>
      <c r="BQ625" s="1293"/>
      <c r="BR625" s="1293"/>
      <c r="BS625" s="1293"/>
      <c r="BT625" s="1293"/>
      <c r="BU625" s="1293"/>
      <c r="BV625" s="1293"/>
      <c r="BW625" s="1293"/>
      <c r="BX625" s="1293"/>
      <c r="BY625" s="1293"/>
      <c r="BZ625" s="1293"/>
      <c r="CA625" s="1293"/>
      <c r="CB625" s="1293"/>
      <c r="CC625" s="1293"/>
      <c r="CD625" s="1293"/>
      <c r="CE625" s="1293"/>
      <c r="CF625" s="1293"/>
      <c r="CG625" s="1293"/>
    </row>
    <row r="626" spans="1:85" ht="15.75">
      <c r="A626" s="1293"/>
      <c r="B626" s="1293"/>
      <c r="C626" s="1293"/>
      <c r="D626" s="1293"/>
      <c r="E626" s="1293"/>
      <c r="F626" s="1293"/>
      <c r="G626" s="1293"/>
      <c r="H626" s="1293"/>
      <c r="I626" s="1293"/>
      <c r="J626" s="1293"/>
      <c r="K626" s="1293"/>
      <c r="L626" s="1293"/>
      <c r="M626" s="1293"/>
      <c r="N626" s="1293"/>
      <c r="O626" s="1293"/>
      <c r="P626" s="1293"/>
      <c r="Q626" s="1293"/>
      <c r="R626" s="1293"/>
      <c r="S626" s="1293"/>
      <c r="T626" s="1293"/>
      <c r="U626" s="1293"/>
      <c r="V626" s="1293"/>
      <c r="W626" s="1293"/>
      <c r="X626" s="1293"/>
      <c r="Y626" s="1293"/>
      <c r="Z626" s="1293"/>
      <c r="AA626" s="1293"/>
      <c r="AB626" s="1293"/>
      <c r="AC626" s="1293"/>
      <c r="AD626" s="1293"/>
      <c r="AE626" s="1293"/>
      <c r="AF626" s="1293"/>
      <c r="AG626" s="1293"/>
      <c r="AH626" s="1293"/>
      <c r="AI626" s="1293"/>
      <c r="AJ626" s="1293"/>
      <c r="AK626" s="1293"/>
      <c r="AL626" s="1293"/>
      <c r="AM626" s="1293"/>
      <c r="AN626" s="1293"/>
      <c r="AO626" s="1293"/>
      <c r="AP626" s="1293"/>
      <c r="AQ626" s="1293"/>
      <c r="AR626" s="1293"/>
      <c r="AS626" s="1293"/>
      <c r="AT626" s="1293"/>
      <c r="AU626" s="1293"/>
      <c r="AV626" s="1293"/>
      <c r="AW626" s="1293"/>
      <c r="AX626" s="1293"/>
      <c r="AY626" s="1293"/>
      <c r="AZ626" s="1293"/>
      <c r="BA626" s="1293"/>
      <c r="BB626" s="1293"/>
      <c r="BC626" s="1293"/>
      <c r="BD626" s="1293"/>
      <c r="BE626" s="1293"/>
      <c r="BF626" s="1293"/>
      <c r="BG626" s="1293"/>
      <c r="BH626" s="1293"/>
      <c r="BI626" s="1293"/>
      <c r="BJ626" s="1293"/>
      <c r="BK626" s="1293"/>
      <c r="BL626" s="1293"/>
      <c r="BM626" s="1293"/>
      <c r="BN626" s="1293"/>
      <c r="BO626" s="1293"/>
      <c r="BP626" s="1293"/>
      <c r="BQ626" s="1293"/>
      <c r="BR626" s="1293"/>
      <c r="BS626" s="1293"/>
      <c r="BT626" s="1293"/>
      <c r="BU626" s="1293"/>
      <c r="BV626" s="1293"/>
      <c r="BW626" s="1293"/>
      <c r="BX626" s="1293"/>
      <c r="BY626" s="1293"/>
      <c r="BZ626" s="1293"/>
      <c r="CA626" s="1293"/>
      <c r="CB626" s="1293"/>
      <c r="CC626" s="1293"/>
      <c r="CD626" s="1293"/>
      <c r="CE626" s="1293"/>
      <c r="CF626" s="1293"/>
      <c r="CG626" s="1293"/>
    </row>
    <row r="627" spans="1:85" ht="15.75">
      <c r="A627" s="1293"/>
      <c r="B627" s="1293"/>
      <c r="C627" s="1293"/>
      <c r="D627" s="1293"/>
      <c r="E627" s="1293"/>
      <c r="F627" s="1293"/>
      <c r="G627" s="1293"/>
      <c r="H627" s="1293"/>
      <c r="I627" s="1293"/>
      <c r="J627" s="1293"/>
      <c r="K627" s="1293"/>
      <c r="L627" s="1293"/>
      <c r="M627" s="1293"/>
      <c r="N627" s="1293"/>
      <c r="O627" s="1293"/>
      <c r="P627" s="1293"/>
      <c r="Q627" s="1293"/>
      <c r="R627" s="1293"/>
      <c r="S627" s="1293"/>
      <c r="T627" s="1293"/>
      <c r="U627" s="1293"/>
      <c r="V627" s="1293"/>
      <c r="W627" s="1293"/>
      <c r="X627" s="1293"/>
      <c r="Y627" s="1293"/>
      <c r="Z627" s="1293"/>
      <c r="AA627" s="1293"/>
      <c r="AB627" s="1293"/>
      <c r="AC627" s="1293"/>
      <c r="AD627" s="1293"/>
      <c r="AE627" s="1293"/>
      <c r="AF627" s="1293"/>
      <c r="AG627" s="1293"/>
      <c r="AH627" s="1293"/>
      <c r="AI627" s="1293"/>
      <c r="AJ627" s="1293"/>
      <c r="AK627" s="1293"/>
      <c r="AL627" s="1293"/>
      <c r="AM627" s="1293"/>
      <c r="AN627" s="1293"/>
      <c r="AO627" s="1293"/>
      <c r="AP627" s="1293"/>
      <c r="AQ627" s="1293"/>
      <c r="AR627" s="1293"/>
      <c r="AS627" s="1293"/>
      <c r="AT627" s="1293"/>
      <c r="AU627" s="1293"/>
      <c r="AV627" s="1293"/>
      <c r="AW627" s="1293"/>
      <c r="AX627" s="1293"/>
      <c r="AY627" s="1293"/>
      <c r="AZ627" s="1293"/>
      <c r="BA627" s="1293"/>
      <c r="BB627" s="1293"/>
      <c r="BC627" s="1293"/>
      <c r="BD627" s="1293"/>
      <c r="BE627" s="1293"/>
      <c r="BF627" s="1293"/>
      <c r="BG627" s="1293"/>
      <c r="BH627" s="1293"/>
      <c r="BI627" s="1293"/>
      <c r="BJ627" s="1293"/>
      <c r="BK627" s="1293"/>
      <c r="BL627" s="1293"/>
      <c r="BM627" s="1293"/>
      <c r="BN627" s="1293"/>
      <c r="BO627" s="1293"/>
      <c r="BP627" s="1293"/>
      <c r="BQ627" s="1293"/>
      <c r="BR627" s="1293"/>
      <c r="BS627" s="1293"/>
      <c r="BT627" s="1293"/>
      <c r="BU627" s="1293"/>
      <c r="BV627" s="1293"/>
      <c r="BW627" s="1293"/>
      <c r="BX627" s="1293"/>
      <c r="BY627" s="1293"/>
      <c r="BZ627" s="1293"/>
      <c r="CA627" s="1293"/>
      <c r="CB627" s="1293"/>
      <c r="CC627" s="1293"/>
      <c r="CD627" s="1293"/>
      <c r="CE627" s="1293"/>
      <c r="CF627" s="1293"/>
      <c r="CG627" s="1293"/>
    </row>
    <row r="628" spans="1:85" ht="15.75">
      <c r="A628" s="1293"/>
      <c r="B628" s="1293"/>
      <c r="C628" s="1293"/>
      <c r="D628" s="1293"/>
      <c r="E628" s="1293"/>
      <c r="F628" s="1293"/>
      <c r="G628" s="1293"/>
      <c r="H628" s="1293"/>
      <c r="I628" s="1293"/>
      <c r="J628" s="1293"/>
      <c r="K628" s="1293"/>
      <c r="L628" s="1293"/>
      <c r="M628" s="1293"/>
      <c r="N628" s="1293"/>
      <c r="O628" s="1293"/>
      <c r="P628" s="1293"/>
      <c r="Q628" s="1293"/>
      <c r="R628" s="1293"/>
      <c r="S628" s="1293"/>
      <c r="T628" s="1293"/>
      <c r="U628" s="1293"/>
      <c r="V628" s="1293"/>
      <c r="W628" s="1293"/>
      <c r="X628" s="1293"/>
      <c r="Y628" s="1293"/>
      <c r="Z628" s="1293"/>
      <c r="AA628" s="1293"/>
      <c r="AB628" s="1293"/>
      <c r="AC628" s="1293"/>
      <c r="AD628" s="1293"/>
      <c r="AE628" s="1293"/>
      <c r="AF628" s="1293"/>
      <c r="AG628" s="1293"/>
      <c r="AH628" s="1293"/>
      <c r="AI628" s="1293"/>
      <c r="AJ628" s="1293"/>
      <c r="AK628" s="1293"/>
      <c r="AL628" s="1293"/>
      <c r="AM628" s="1293"/>
      <c r="AN628" s="1293"/>
      <c r="AO628" s="1293"/>
      <c r="AP628" s="1293"/>
      <c r="AQ628" s="1293"/>
      <c r="AR628" s="1293"/>
      <c r="AS628" s="1293"/>
      <c r="AT628" s="1293"/>
      <c r="AU628" s="1293"/>
      <c r="AV628" s="1293"/>
      <c r="AW628" s="1293"/>
      <c r="AX628" s="1293"/>
      <c r="AY628" s="1293"/>
      <c r="AZ628" s="1293"/>
      <c r="BA628" s="1293"/>
      <c r="BB628" s="1293"/>
      <c r="BC628" s="1293"/>
      <c r="BD628" s="1293"/>
      <c r="BE628" s="1293"/>
      <c r="BF628" s="1293"/>
      <c r="BG628" s="1293"/>
      <c r="BH628" s="1293"/>
      <c r="BI628" s="1293"/>
      <c r="BJ628" s="1293"/>
      <c r="BK628" s="1293"/>
      <c r="BL628" s="1293"/>
      <c r="BM628" s="1293"/>
      <c r="BN628" s="1293"/>
      <c r="BO628" s="1293"/>
      <c r="BP628" s="1293"/>
      <c r="BQ628" s="1293"/>
      <c r="BR628" s="1293"/>
      <c r="BS628" s="1293"/>
      <c r="BT628" s="1293"/>
      <c r="BU628" s="1293"/>
      <c r="BV628" s="1293"/>
      <c r="BW628" s="1293"/>
      <c r="BX628" s="1293"/>
      <c r="BY628" s="1293"/>
      <c r="BZ628" s="1293"/>
      <c r="CA628" s="1293"/>
      <c r="CB628" s="1293"/>
      <c r="CC628" s="1293"/>
      <c r="CD628" s="1293"/>
      <c r="CE628" s="1293"/>
      <c r="CF628" s="1293"/>
      <c r="CG628" s="1293"/>
    </row>
    <row r="629" spans="1:85" ht="15.75">
      <c r="A629" s="1293"/>
      <c r="B629" s="1293"/>
      <c r="C629" s="1293"/>
      <c r="D629" s="1293"/>
      <c r="E629" s="1293"/>
      <c r="F629" s="1293"/>
      <c r="G629" s="1293"/>
      <c r="H629" s="1293"/>
      <c r="I629" s="1293"/>
      <c r="J629" s="1293"/>
      <c r="K629" s="1293"/>
      <c r="L629" s="1293"/>
      <c r="M629" s="1293"/>
      <c r="N629" s="1293"/>
      <c r="O629" s="1293"/>
      <c r="P629" s="1293"/>
      <c r="Q629" s="1293"/>
      <c r="R629" s="1293"/>
      <c r="S629" s="1293"/>
      <c r="T629" s="1293"/>
      <c r="U629" s="1293"/>
      <c r="V629" s="1293"/>
      <c r="W629" s="1293"/>
      <c r="X629" s="1293"/>
      <c r="Y629" s="1293"/>
      <c r="Z629" s="1293"/>
      <c r="AA629" s="1293"/>
      <c r="AB629" s="1293"/>
      <c r="AC629" s="1293"/>
      <c r="AD629" s="1293"/>
      <c r="AE629" s="1293"/>
      <c r="AF629" s="1293"/>
      <c r="AG629" s="1293"/>
      <c r="AH629" s="1293"/>
      <c r="AI629" s="1293"/>
      <c r="AJ629" s="1293"/>
      <c r="AK629" s="1293"/>
      <c r="AL629" s="1293"/>
      <c r="AM629" s="1293"/>
      <c r="AN629" s="1293"/>
      <c r="AO629" s="1293"/>
      <c r="AP629" s="1293"/>
      <c r="AQ629" s="1293"/>
      <c r="AR629" s="1293"/>
      <c r="AS629" s="1293"/>
      <c r="AT629" s="1293"/>
      <c r="AU629" s="1293"/>
      <c r="AV629" s="1293"/>
      <c r="AW629" s="1293"/>
      <c r="AX629" s="1293"/>
      <c r="AY629" s="1293"/>
      <c r="AZ629" s="1293"/>
      <c r="BA629" s="1293"/>
      <c r="BB629" s="1293"/>
      <c r="BC629" s="1293"/>
      <c r="BD629" s="1293"/>
      <c r="BE629" s="1293"/>
      <c r="BF629" s="1293"/>
      <c r="BG629" s="1293"/>
      <c r="BH629" s="1293"/>
      <c r="BI629" s="1293"/>
      <c r="BJ629" s="1293"/>
      <c r="BK629" s="1293"/>
      <c r="BL629" s="1293"/>
      <c r="BM629" s="1293"/>
      <c r="BN629" s="1293"/>
      <c r="BO629" s="1293"/>
      <c r="BP629" s="1293"/>
      <c r="BQ629" s="1293"/>
      <c r="BR629" s="1293"/>
      <c r="BS629" s="1293"/>
      <c r="BT629" s="1293"/>
      <c r="BU629" s="1293"/>
      <c r="BV629" s="1293"/>
      <c r="BW629" s="1293"/>
      <c r="BX629" s="1293"/>
      <c r="BY629" s="1293"/>
      <c r="BZ629" s="1293"/>
      <c r="CA629" s="1293"/>
      <c r="CB629" s="1293"/>
      <c r="CC629" s="1293"/>
      <c r="CD629" s="1293"/>
      <c r="CE629" s="1293"/>
      <c r="CF629" s="1293"/>
      <c r="CG629" s="1293"/>
    </row>
    <row r="630" spans="1:85" ht="15.75">
      <c r="A630" s="1293"/>
      <c r="B630" s="1293"/>
      <c r="C630" s="1293"/>
      <c r="D630" s="1293"/>
      <c r="E630" s="1293"/>
      <c r="F630" s="1293"/>
      <c r="G630" s="1293"/>
      <c r="H630" s="1293"/>
      <c r="I630" s="1293"/>
      <c r="J630" s="1293"/>
      <c r="K630" s="1293"/>
      <c r="L630" s="1293"/>
      <c r="M630" s="1293"/>
      <c r="N630" s="1293"/>
      <c r="O630" s="1293"/>
      <c r="P630" s="1293"/>
      <c r="Q630" s="1293"/>
      <c r="R630" s="1293"/>
      <c r="S630" s="1293"/>
      <c r="T630" s="1293"/>
      <c r="U630" s="1293"/>
      <c r="V630" s="1293"/>
      <c r="W630" s="1293"/>
      <c r="X630" s="1293"/>
      <c r="Y630" s="1293"/>
      <c r="Z630" s="1293"/>
      <c r="AA630" s="1293"/>
      <c r="AB630" s="1293"/>
      <c r="AC630" s="1293"/>
      <c r="AD630" s="1293"/>
      <c r="AE630" s="1293"/>
      <c r="AF630" s="1293"/>
      <c r="AG630" s="1293"/>
      <c r="AH630" s="1293"/>
      <c r="AI630" s="1293"/>
      <c r="AJ630" s="1293"/>
      <c r="AK630" s="1293"/>
      <c r="AL630" s="1293"/>
      <c r="AM630" s="1293"/>
      <c r="AN630" s="1293"/>
      <c r="AO630" s="1293"/>
      <c r="AP630" s="1293"/>
      <c r="AQ630" s="1293"/>
      <c r="AR630" s="1293"/>
      <c r="AS630" s="1293"/>
      <c r="AT630" s="1293"/>
      <c r="AU630" s="1293"/>
      <c r="AV630" s="1293"/>
      <c r="AW630" s="1293"/>
      <c r="AX630" s="1293"/>
      <c r="AY630" s="1293"/>
      <c r="AZ630" s="1293"/>
      <c r="BA630" s="1293"/>
      <c r="BB630" s="1293"/>
      <c r="BC630" s="1293"/>
      <c r="BD630" s="1293"/>
      <c r="BE630" s="1293"/>
      <c r="BF630" s="1293"/>
      <c r="BG630" s="1293"/>
      <c r="BH630" s="1293"/>
      <c r="BI630" s="1293"/>
      <c r="BJ630" s="1293"/>
      <c r="BK630" s="1293"/>
      <c r="BL630" s="1293"/>
      <c r="BM630" s="1293"/>
      <c r="BN630" s="1293"/>
      <c r="BO630" s="1293"/>
      <c r="BP630" s="1293"/>
      <c r="BQ630" s="1293"/>
      <c r="BR630" s="1293"/>
      <c r="BS630" s="1293"/>
      <c r="BT630" s="1293"/>
      <c r="BU630" s="1293"/>
      <c r="BV630" s="1293"/>
      <c r="BW630" s="1293"/>
      <c r="BX630" s="1293"/>
      <c r="BY630" s="1293"/>
      <c r="BZ630" s="1293"/>
      <c r="CA630" s="1293"/>
      <c r="CB630" s="1293"/>
      <c r="CC630" s="1293"/>
      <c r="CD630" s="1293"/>
      <c r="CE630" s="1293"/>
      <c r="CF630" s="1293"/>
      <c r="CG630" s="1293"/>
    </row>
    <row r="631" spans="1:85" ht="15.75">
      <c r="A631" s="1293"/>
      <c r="B631" s="1293"/>
      <c r="C631" s="1293"/>
      <c r="D631" s="1293"/>
      <c r="E631" s="1293"/>
      <c r="F631" s="1293"/>
      <c r="G631" s="1293"/>
      <c r="H631" s="1293"/>
      <c r="I631" s="1293"/>
      <c r="J631" s="1293"/>
      <c r="K631" s="1293"/>
      <c r="L631" s="1293"/>
      <c r="M631" s="1293"/>
      <c r="N631" s="1293"/>
      <c r="O631" s="1293"/>
      <c r="P631" s="1293"/>
      <c r="Q631" s="1293"/>
      <c r="R631" s="1293"/>
      <c r="S631" s="1293"/>
      <c r="T631" s="1293"/>
      <c r="U631" s="1293"/>
      <c r="V631" s="1293"/>
      <c r="W631" s="1293"/>
      <c r="X631" s="1293"/>
      <c r="Y631" s="1293"/>
      <c r="Z631" s="1293"/>
      <c r="AA631" s="1293"/>
      <c r="AB631" s="1293"/>
      <c r="AC631" s="1293"/>
      <c r="AD631" s="1293"/>
      <c r="AE631" s="1293"/>
      <c r="AF631" s="1293"/>
      <c r="AG631" s="1293"/>
      <c r="AH631" s="1293"/>
      <c r="AI631" s="1293"/>
      <c r="AJ631" s="1293"/>
      <c r="AK631" s="1293"/>
      <c r="AL631" s="1293"/>
      <c r="AM631" s="1293"/>
      <c r="AN631" s="1293"/>
      <c r="AO631" s="1293"/>
      <c r="AP631" s="1293"/>
      <c r="AQ631" s="1293"/>
      <c r="AR631" s="1293"/>
      <c r="AS631" s="1293"/>
      <c r="AT631" s="1293"/>
      <c r="AU631" s="1293"/>
      <c r="AV631" s="1293"/>
      <c r="AW631" s="1293"/>
      <c r="AX631" s="1293"/>
      <c r="AY631" s="1293"/>
      <c r="AZ631" s="1293"/>
      <c r="BA631" s="1293"/>
      <c r="BB631" s="1293"/>
      <c r="BC631" s="1293"/>
      <c r="BD631" s="1293"/>
      <c r="BE631" s="1293"/>
      <c r="BF631" s="1293"/>
      <c r="BG631" s="1293"/>
      <c r="BH631" s="1293"/>
      <c r="BI631" s="1293"/>
      <c r="BJ631" s="1293"/>
      <c r="BK631" s="1293"/>
      <c r="BL631" s="1293"/>
      <c r="BM631" s="1293"/>
      <c r="BN631" s="1293"/>
      <c r="BO631" s="1293"/>
      <c r="BP631" s="1293"/>
      <c r="BQ631" s="1293"/>
      <c r="BR631" s="1293"/>
      <c r="BS631" s="1293"/>
      <c r="BT631" s="1293"/>
      <c r="BU631" s="1293"/>
      <c r="BV631" s="1293"/>
      <c r="BW631" s="1293"/>
      <c r="BX631" s="1293"/>
      <c r="BY631" s="1293"/>
      <c r="BZ631" s="1293"/>
      <c r="CA631" s="1293"/>
      <c r="CB631" s="1293"/>
      <c r="CC631" s="1293"/>
      <c r="CD631" s="1293"/>
      <c r="CE631" s="1293"/>
      <c r="CF631" s="1293"/>
      <c r="CG631" s="1293"/>
    </row>
    <row r="632" spans="1:85" ht="15.75">
      <c r="A632" s="1293"/>
      <c r="B632" s="1293"/>
      <c r="C632" s="1293"/>
      <c r="D632" s="1293"/>
      <c r="E632" s="1293"/>
      <c r="F632" s="1293"/>
      <c r="G632" s="1293"/>
      <c r="H632" s="1293"/>
      <c r="I632" s="1293"/>
      <c r="J632" s="1293"/>
      <c r="K632" s="1293"/>
      <c r="L632" s="1293"/>
      <c r="M632" s="1293"/>
      <c r="N632" s="1293"/>
      <c r="O632" s="1293"/>
      <c r="P632" s="1293"/>
      <c r="Q632" s="1293"/>
      <c r="R632" s="1293"/>
      <c r="S632" s="1293"/>
      <c r="T632" s="1293"/>
      <c r="U632" s="1293"/>
      <c r="V632" s="1293"/>
      <c r="W632" s="1293"/>
      <c r="X632" s="1293"/>
      <c r="Y632" s="1293"/>
      <c r="Z632" s="1293"/>
      <c r="AA632" s="1293"/>
      <c r="AB632" s="1293"/>
      <c r="AC632" s="1293"/>
      <c r="AD632" s="1293"/>
      <c r="AE632" s="1293"/>
      <c r="AF632" s="1293"/>
      <c r="AG632" s="1293"/>
      <c r="AH632" s="1293"/>
      <c r="AI632" s="1293"/>
      <c r="AJ632" s="1293"/>
      <c r="AK632" s="1293"/>
      <c r="AL632" s="1293"/>
      <c r="AM632" s="1293"/>
      <c r="AN632" s="1293"/>
      <c r="AO632" s="1293"/>
      <c r="AP632" s="1293"/>
      <c r="AQ632" s="1293"/>
      <c r="AR632" s="1293"/>
      <c r="AS632" s="1293"/>
      <c r="AT632" s="1293"/>
      <c r="AU632" s="1293"/>
      <c r="AV632" s="1293"/>
      <c r="AW632" s="1293"/>
      <c r="AX632" s="1293"/>
      <c r="AY632" s="1293"/>
      <c r="AZ632" s="1293"/>
      <c r="BA632" s="1293"/>
      <c r="BB632" s="1293"/>
      <c r="BC632" s="1293"/>
      <c r="BD632" s="1293"/>
      <c r="BE632" s="1293"/>
      <c r="BF632" s="1293"/>
      <c r="BG632" s="1293"/>
      <c r="BH632" s="1293"/>
      <c r="BI632" s="1293"/>
      <c r="BJ632" s="1293"/>
      <c r="BK632" s="1293"/>
      <c r="BL632" s="1293"/>
      <c r="BM632" s="1293"/>
      <c r="BN632" s="1293"/>
      <c r="BO632" s="1293"/>
      <c r="BP632" s="1293"/>
      <c r="BQ632" s="1293"/>
      <c r="BR632" s="1293"/>
      <c r="BS632" s="1293"/>
      <c r="BT632" s="1293"/>
      <c r="BU632" s="1293"/>
      <c r="BV632" s="1293"/>
      <c r="BW632" s="1293"/>
      <c r="BX632" s="1293"/>
      <c r="BY632" s="1293"/>
      <c r="BZ632" s="1293"/>
      <c r="CA632" s="1293"/>
      <c r="CB632" s="1293"/>
      <c r="CC632" s="1293"/>
      <c r="CD632" s="1293"/>
      <c r="CE632" s="1293"/>
      <c r="CF632" s="1293"/>
      <c r="CG632" s="1293"/>
    </row>
    <row r="633" spans="1:85" ht="15.75">
      <c r="A633" s="1293"/>
      <c r="B633" s="1293"/>
      <c r="C633" s="1293"/>
      <c r="D633" s="1293"/>
      <c r="E633" s="1293"/>
      <c r="F633" s="1293"/>
      <c r="G633" s="1293"/>
      <c r="H633" s="1293"/>
      <c r="I633" s="1293"/>
      <c r="J633" s="1293"/>
      <c r="K633" s="1293"/>
      <c r="L633" s="1293"/>
      <c r="M633" s="1293"/>
      <c r="N633" s="1293"/>
      <c r="O633" s="1293"/>
      <c r="P633" s="1293"/>
      <c r="Q633" s="1293"/>
      <c r="R633" s="1293"/>
      <c r="S633" s="1293"/>
      <c r="T633" s="1293"/>
      <c r="U633" s="1293"/>
      <c r="V633" s="1293"/>
      <c r="W633" s="1293"/>
      <c r="X633" s="1293"/>
      <c r="Y633" s="1293"/>
      <c r="Z633" s="1293"/>
      <c r="AA633" s="1293"/>
      <c r="AB633" s="1293"/>
      <c r="AC633" s="1293"/>
      <c r="AD633" s="1293"/>
      <c r="AE633" s="1293"/>
      <c r="AF633" s="1293"/>
      <c r="AG633" s="1293"/>
      <c r="AH633" s="1293"/>
      <c r="AI633" s="1293"/>
      <c r="AJ633" s="1293"/>
      <c r="AK633" s="1293"/>
      <c r="AL633" s="1293"/>
      <c r="AM633" s="1293"/>
      <c r="AN633" s="1293"/>
      <c r="AO633" s="1293"/>
      <c r="AP633" s="1293"/>
      <c r="AQ633" s="1293"/>
      <c r="AR633" s="1293"/>
      <c r="AS633" s="1293"/>
      <c r="AT633" s="1293"/>
      <c r="AU633" s="1293"/>
      <c r="AV633" s="1293"/>
      <c r="AW633" s="1293"/>
      <c r="AX633" s="1293"/>
      <c r="AY633" s="1293"/>
      <c r="AZ633" s="1293"/>
      <c r="BA633" s="1293"/>
      <c r="BB633" s="1293"/>
      <c r="BC633" s="1293"/>
      <c r="BD633" s="1293"/>
      <c r="BE633" s="1293"/>
      <c r="BF633" s="1293"/>
      <c r="BG633" s="1293"/>
      <c r="BH633" s="1293"/>
      <c r="BI633" s="1293"/>
      <c r="BJ633" s="1293"/>
      <c r="BK633" s="1293"/>
      <c r="BL633" s="1293"/>
      <c r="BM633" s="1293"/>
      <c r="BN633" s="1293"/>
      <c r="BO633" s="1293"/>
      <c r="BP633" s="1293"/>
      <c r="BQ633" s="1293"/>
      <c r="BR633" s="1293"/>
      <c r="BS633" s="1293"/>
      <c r="BT633" s="1293"/>
      <c r="BU633" s="1293"/>
      <c r="BV633" s="1293"/>
      <c r="BW633" s="1293"/>
      <c r="BX633" s="1293"/>
      <c r="BY633" s="1293"/>
      <c r="BZ633" s="1293"/>
      <c r="CA633" s="1293"/>
      <c r="CB633" s="1293"/>
      <c r="CC633" s="1293"/>
      <c r="CD633" s="1293"/>
      <c r="CE633" s="1293"/>
      <c r="CF633" s="1293"/>
      <c r="CG633" s="1293"/>
    </row>
    <row r="634" spans="1:85" ht="15.75">
      <c r="A634" s="1293"/>
      <c r="B634" s="1293"/>
      <c r="C634" s="1293"/>
      <c r="D634" s="1293"/>
      <c r="E634" s="1293"/>
      <c r="F634" s="1293"/>
      <c r="G634" s="1293"/>
      <c r="H634" s="1293"/>
      <c r="I634" s="1293"/>
      <c r="J634" s="1293"/>
      <c r="K634" s="1293"/>
      <c r="L634" s="1293"/>
      <c r="M634" s="1293"/>
      <c r="N634" s="1293"/>
      <c r="O634" s="1293"/>
      <c r="P634" s="1293"/>
      <c r="Q634" s="1293"/>
      <c r="R634" s="1293"/>
      <c r="S634" s="1293"/>
      <c r="T634" s="1293"/>
      <c r="U634" s="1293"/>
      <c r="V634" s="1293"/>
      <c r="W634" s="1293"/>
      <c r="X634" s="1293"/>
      <c r="Y634" s="1293"/>
      <c r="Z634" s="1293"/>
      <c r="AA634" s="1293"/>
      <c r="AB634" s="1293"/>
      <c r="AC634" s="1293"/>
      <c r="AD634" s="1293"/>
      <c r="AE634" s="1293"/>
      <c r="AF634" s="1293"/>
      <c r="AG634" s="1293"/>
      <c r="AH634" s="1293"/>
      <c r="AI634" s="1293"/>
      <c r="AJ634" s="1293"/>
      <c r="AK634" s="1293"/>
      <c r="AL634" s="1293"/>
      <c r="AM634" s="1293"/>
      <c r="AN634" s="1293"/>
      <c r="AO634" s="1293"/>
      <c r="AP634" s="1293"/>
      <c r="AQ634" s="1293"/>
      <c r="AR634" s="1293"/>
      <c r="AS634" s="1293"/>
      <c r="AT634" s="1293"/>
      <c r="AU634" s="1293"/>
      <c r="AV634" s="1293"/>
      <c r="AW634" s="1293"/>
      <c r="AX634" s="1293"/>
      <c r="AY634" s="1293"/>
      <c r="AZ634" s="1293"/>
      <c r="BA634" s="1293"/>
      <c r="BB634" s="1293"/>
      <c r="BC634" s="1293"/>
      <c r="BD634" s="1293"/>
      <c r="BE634" s="1293"/>
      <c r="BF634" s="1293"/>
      <c r="BG634" s="1293"/>
      <c r="BH634" s="1293"/>
      <c r="BI634" s="1293"/>
      <c r="BJ634" s="1293"/>
      <c r="BK634" s="1293"/>
      <c r="BL634" s="1293"/>
      <c r="BM634" s="1293"/>
      <c r="BN634" s="1293"/>
      <c r="BO634" s="1293"/>
      <c r="BP634" s="1293"/>
      <c r="BQ634" s="1293"/>
      <c r="BR634" s="1293"/>
      <c r="BS634" s="1293"/>
      <c r="BT634" s="1293"/>
      <c r="BU634" s="1293"/>
      <c r="BV634" s="1293"/>
      <c r="BW634" s="1293"/>
      <c r="BX634" s="1293"/>
      <c r="BY634" s="1293"/>
      <c r="BZ634" s="1293"/>
      <c r="CA634" s="1293"/>
      <c r="CB634" s="1293"/>
      <c r="CC634" s="1293"/>
      <c r="CD634" s="1293"/>
      <c r="CE634" s="1293"/>
      <c r="CF634" s="1293"/>
      <c r="CG634" s="1293"/>
    </row>
    <row r="635" spans="1:85" ht="15.75">
      <c r="A635" s="1293"/>
      <c r="B635" s="1293"/>
      <c r="C635" s="1293"/>
      <c r="D635" s="1293"/>
      <c r="E635" s="1293"/>
      <c r="F635" s="1293"/>
      <c r="G635" s="1293"/>
      <c r="H635" s="1293"/>
      <c r="I635" s="1293"/>
      <c r="J635" s="1293"/>
      <c r="K635" s="1293"/>
      <c r="L635" s="1293"/>
      <c r="M635" s="1293"/>
      <c r="N635" s="1293"/>
      <c r="O635" s="1293"/>
      <c r="P635" s="1293"/>
      <c r="Q635" s="1293"/>
      <c r="R635" s="1293"/>
      <c r="S635" s="1293"/>
      <c r="T635" s="1293"/>
      <c r="U635" s="1293"/>
      <c r="V635" s="1293"/>
      <c r="W635" s="1293"/>
      <c r="X635" s="1293"/>
      <c r="Y635" s="1293"/>
      <c r="Z635" s="1293"/>
      <c r="AA635" s="1293"/>
      <c r="AB635" s="1293"/>
      <c r="AC635" s="1293"/>
      <c r="AD635" s="1293"/>
      <c r="AE635" s="1293"/>
      <c r="AF635" s="1293"/>
      <c r="AG635" s="1293"/>
      <c r="AH635" s="1293"/>
      <c r="AI635" s="1293"/>
      <c r="AJ635" s="1293"/>
      <c r="AK635" s="1293"/>
      <c r="AL635" s="1293"/>
      <c r="AM635" s="1293"/>
      <c r="AN635" s="1293"/>
      <c r="AO635" s="1293"/>
      <c r="AP635" s="1293"/>
      <c r="AQ635" s="1293"/>
      <c r="AR635" s="1293"/>
      <c r="AS635" s="1293"/>
      <c r="AT635" s="1293"/>
      <c r="AU635" s="1293"/>
      <c r="AV635" s="1293"/>
      <c r="AW635" s="1293"/>
      <c r="AX635" s="1293"/>
      <c r="AY635" s="1293"/>
      <c r="AZ635" s="1293"/>
      <c r="BA635" s="1293"/>
      <c r="BB635" s="1293"/>
      <c r="BC635" s="1293"/>
      <c r="BD635" s="1293"/>
      <c r="BE635" s="1293"/>
      <c r="BF635" s="1293"/>
      <c r="BG635" s="1293"/>
      <c r="BH635" s="1293"/>
      <c r="BI635" s="1293"/>
      <c r="BJ635" s="1293"/>
      <c r="BK635" s="1293"/>
      <c r="BL635" s="1293"/>
      <c r="BM635" s="1293"/>
      <c r="BN635" s="1293"/>
      <c r="BO635" s="1293"/>
      <c r="BP635" s="1293"/>
      <c r="BQ635" s="1293"/>
      <c r="BR635" s="1293"/>
      <c r="BS635" s="1293"/>
      <c r="BT635" s="1293"/>
      <c r="BU635" s="1293"/>
      <c r="BV635" s="1293"/>
      <c r="BW635" s="1293"/>
      <c r="BX635" s="1293"/>
      <c r="BY635" s="1293"/>
      <c r="BZ635" s="1293"/>
      <c r="CA635" s="1293"/>
      <c r="CB635" s="1293"/>
      <c r="CC635" s="1293"/>
      <c r="CD635" s="1293"/>
      <c r="CE635" s="1293"/>
      <c r="CF635" s="1293"/>
      <c r="CG635" s="1293"/>
    </row>
    <row r="636" spans="1:85" ht="15.75">
      <c r="A636" s="1293"/>
      <c r="B636" s="1293"/>
      <c r="C636" s="1293"/>
      <c r="D636" s="1293"/>
      <c r="E636" s="1293"/>
      <c r="F636" s="1293"/>
      <c r="G636" s="1293"/>
      <c r="H636" s="1293"/>
      <c r="I636" s="1293"/>
      <c r="J636" s="1293"/>
      <c r="K636" s="1293"/>
      <c r="L636" s="1293"/>
      <c r="M636" s="1293"/>
      <c r="N636" s="1293"/>
      <c r="O636" s="1293"/>
      <c r="P636" s="1293"/>
      <c r="Q636" s="1293"/>
      <c r="R636" s="1293"/>
      <c r="S636" s="1293"/>
      <c r="T636" s="1293"/>
      <c r="U636" s="1293"/>
      <c r="V636" s="1293"/>
      <c r="W636" s="1293"/>
      <c r="X636" s="1293"/>
      <c r="Y636" s="1293"/>
      <c r="Z636" s="1293"/>
      <c r="AA636" s="1293"/>
      <c r="AB636" s="1293"/>
      <c r="AC636" s="1293"/>
      <c r="AD636" s="1293"/>
      <c r="AE636" s="1293"/>
      <c r="AF636" s="1293"/>
      <c r="AG636" s="1293"/>
      <c r="AH636" s="1293"/>
      <c r="AI636" s="1293"/>
      <c r="AJ636" s="1293"/>
      <c r="AK636" s="1293"/>
      <c r="AL636" s="1293"/>
      <c r="AM636" s="1293"/>
      <c r="AN636" s="1293"/>
      <c r="AO636" s="1293"/>
      <c r="AP636" s="1293"/>
      <c r="AQ636" s="1293"/>
      <c r="AR636" s="1293"/>
      <c r="AS636" s="1293"/>
      <c r="AT636" s="1293"/>
      <c r="AU636" s="1293"/>
      <c r="AV636" s="1293"/>
      <c r="AW636" s="1293"/>
      <c r="AX636" s="1293"/>
      <c r="AY636" s="1293"/>
      <c r="AZ636" s="1293"/>
      <c r="BA636" s="1293"/>
      <c r="BB636" s="1293"/>
      <c r="BC636" s="1293"/>
      <c r="BD636" s="1293"/>
      <c r="BE636" s="1293"/>
      <c r="BF636" s="1293"/>
      <c r="BG636" s="1293"/>
      <c r="BH636" s="1293"/>
      <c r="BI636" s="1293"/>
      <c r="BJ636" s="1293"/>
      <c r="BK636" s="1293"/>
      <c r="BL636" s="1293"/>
      <c r="BM636" s="1293"/>
      <c r="BN636" s="1293"/>
      <c r="BO636" s="1293"/>
      <c r="BP636" s="1293"/>
      <c r="BQ636" s="1293"/>
      <c r="BR636" s="1293"/>
      <c r="BS636" s="1293"/>
      <c r="BT636" s="1293"/>
      <c r="BU636" s="1293"/>
      <c r="BV636" s="1293"/>
      <c r="BW636" s="1293"/>
      <c r="BX636" s="1293"/>
      <c r="BY636" s="1293"/>
      <c r="BZ636" s="1293"/>
      <c r="CA636" s="1293"/>
      <c r="CB636" s="1293"/>
      <c r="CC636" s="1293"/>
      <c r="CD636" s="1293"/>
      <c r="CE636" s="1293"/>
      <c r="CF636" s="1293"/>
      <c r="CG636" s="1293"/>
    </row>
    <row r="637" spans="1:85" ht="15.75">
      <c r="A637" s="1293"/>
      <c r="B637" s="1293"/>
      <c r="C637" s="1293"/>
      <c r="D637" s="1293"/>
      <c r="E637" s="1293"/>
      <c r="F637" s="1293"/>
      <c r="G637" s="1293"/>
      <c r="H637" s="1293"/>
      <c r="I637" s="1293"/>
      <c r="J637" s="1293"/>
      <c r="K637" s="1293"/>
      <c r="L637" s="1293"/>
      <c r="M637" s="1293"/>
      <c r="N637" s="1293"/>
      <c r="O637" s="1293"/>
      <c r="P637" s="1293"/>
      <c r="Q637" s="1293"/>
      <c r="R637" s="1293"/>
      <c r="S637" s="1293"/>
      <c r="T637" s="1293"/>
      <c r="U637" s="1293"/>
      <c r="V637" s="1293"/>
      <c r="W637" s="1293"/>
      <c r="X637" s="1293"/>
      <c r="Y637" s="1293"/>
      <c r="Z637" s="1293"/>
      <c r="AA637" s="1293"/>
      <c r="AB637" s="1293"/>
      <c r="AC637" s="1293"/>
      <c r="AD637" s="1293"/>
      <c r="AE637" s="1293"/>
      <c r="AF637" s="1293"/>
      <c r="AG637" s="1293"/>
      <c r="AH637" s="1293"/>
      <c r="AI637" s="1293"/>
      <c r="AJ637" s="1293"/>
      <c r="AK637" s="1293"/>
      <c r="AL637" s="1293"/>
      <c r="AM637" s="1293"/>
      <c r="AN637" s="1293"/>
      <c r="AO637" s="1293"/>
      <c r="AP637" s="1293"/>
      <c r="AQ637" s="1293"/>
      <c r="AR637" s="1293"/>
      <c r="AS637" s="1293"/>
      <c r="AT637" s="1293"/>
      <c r="AU637" s="1293"/>
      <c r="AV637" s="1293"/>
      <c r="AW637" s="1293"/>
      <c r="AX637" s="1293"/>
      <c r="AY637" s="1293"/>
      <c r="AZ637" s="1293"/>
      <c r="BA637" s="1293"/>
      <c r="BB637" s="1293"/>
      <c r="BC637" s="1293"/>
      <c r="BD637" s="1293"/>
      <c r="BE637" s="1293"/>
      <c r="BF637" s="1293"/>
      <c r="BG637" s="1293"/>
      <c r="BH637" s="1293"/>
      <c r="BI637" s="1293"/>
      <c r="BJ637" s="1293"/>
      <c r="BK637" s="1293"/>
      <c r="BL637" s="1293"/>
      <c r="BM637" s="1293"/>
      <c r="BN637" s="1293"/>
      <c r="BO637" s="1293"/>
      <c r="BP637" s="1293"/>
      <c r="BQ637" s="1293"/>
      <c r="BR637" s="1293"/>
      <c r="BS637" s="1293"/>
      <c r="BT637" s="1293"/>
      <c r="BU637" s="1293"/>
      <c r="BV637" s="1293"/>
      <c r="BW637" s="1293"/>
      <c r="BX637" s="1293"/>
      <c r="BY637" s="1293"/>
      <c r="BZ637" s="1293"/>
      <c r="CA637" s="1293"/>
      <c r="CB637" s="1293"/>
      <c r="CC637" s="1293"/>
      <c r="CD637" s="1293"/>
      <c r="CE637" s="1293"/>
      <c r="CF637" s="1293"/>
      <c r="CG637" s="1293"/>
    </row>
    <row r="638" spans="1:85" ht="15.75">
      <c r="A638" s="1293"/>
      <c r="B638" s="1293"/>
      <c r="C638" s="1293"/>
      <c r="D638" s="1293"/>
      <c r="E638" s="1293"/>
      <c r="F638" s="1293"/>
      <c r="G638" s="1293"/>
      <c r="H638" s="1293"/>
      <c r="I638" s="1293"/>
      <c r="J638" s="1293"/>
      <c r="K638" s="1293"/>
      <c r="L638" s="1293"/>
      <c r="M638" s="1293"/>
      <c r="N638" s="1293"/>
      <c r="O638" s="1293"/>
      <c r="P638" s="1293"/>
      <c r="Q638" s="1293"/>
      <c r="R638" s="1293"/>
      <c r="S638" s="1293"/>
      <c r="T638" s="1293"/>
      <c r="U638" s="1293"/>
      <c r="V638" s="1293"/>
      <c r="W638" s="1293"/>
      <c r="X638" s="1293"/>
      <c r="Y638" s="1293"/>
      <c r="Z638" s="1293"/>
      <c r="AA638" s="1293"/>
      <c r="AB638" s="1293"/>
      <c r="AC638" s="1293"/>
      <c r="AD638" s="1293"/>
      <c r="AE638" s="1293"/>
      <c r="AF638" s="1293"/>
      <c r="AG638" s="1293"/>
      <c r="AH638" s="1293"/>
      <c r="AI638" s="1293"/>
      <c r="AJ638" s="1293"/>
      <c r="AK638" s="1293"/>
      <c r="AL638" s="1293"/>
      <c r="AM638" s="1293"/>
      <c r="AN638" s="1293"/>
      <c r="AO638" s="1293"/>
      <c r="AP638" s="1293"/>
      <c r="AQ638" s="1293"/>
      <c r="AR638" s="1293"/>
      <c r="AS638" s="1293"/>
      <c r="AT638" s="1293"/>
      <c r="AU638" s="1293"/>
      <c r="AV638" s="1293"/>
      <c r="AW638" s="1293"/>
      <c r="AX638" s="1293"/>
      <c r="AY638" s="1293"/>
      <c r="AZ638" s="1293"/>
      <c r="BA638" s="1293"/>
      <c r="BB638" s="1293"/>
      <c r="BC638" s="1293"/>
      <c r="BD638" s="1293"/>
      <c r="BE638" s="1293"/>
      <c r="BF638" s="1293"/>
      <c r="BG638" s="1293"/>
      <c r="BH638" s="1293"/>
      <c r="BI638" s="1293"/>
      <c r="BJ638" s="1293"/>
      <c r="BK638" s="1293"/>
      <c r="BL638" s="1293"/>
      <c r="BM638" s="1293"/>
      <c r="BN638" s="1293"/>
      <c r="BO638" s="1293"/>
      <c r="BP638" s="1293"/>
      <c r="BQ638" s="1293"/>
      <c r="BR638" s="1293"/>
      <c r="BS638" s="1293"/>
      <c r="BT638" s="1293"/>
      <c r="BU638" s="1293"/>
      <c r="BV638" s="1293"/>
      <c r="BW638" s="1293"/>
      <c r="BX638" s="1293"/>
      <c r="BY638" s="1293"/>
      <c r="BZ638" s="1293"/>
      <c r="CA638" s="1293"/>
      <c r="CB638" s="1293"/>
      <c r="CC638" s="1293"/>
      <c r="CD638" s="1293"/>
      <c r="CE638" s="1293"/>
      <c r="CF638" s="1293"/>
      <c r="CG638" s="1293"/>
    </row>
    <row r="639" spans="1:85" ht="15.75">
      <c r="A639" s="1293"/>
      <c r="B639" s="1293"/>
      <c r="C639" s="1293"/>
      <c r="D639" s="1293"/>
      <c r="E639" s="1293"/>
      <c r="F639" s="1293"/>
      <c r="G639" s="1293"/>
      <c r="H639" s="1293"/>
      <c r="I639" s="1293"/>
      <c r="J639" s="1293"/>
      <c r="K639" s="1293"/>
      <c r="L639" s="1293"/>
      <c r="M639" s="1293"/>
      <c r="N639" s="1293"/>
      <c r="O639" s="1293"/>
      <c r="P639" s="1293"/>
      <c r="Q639" s="1293"/>
      <c r="R639" s="1293"/>
      <c r="S639" s="1293"/>
      <c r="T639" s="1293"/>
      <c r="U639" s="1293"/>
      <c r="V639" s="1293"/>
      <c r="W639" s="1293"/>
      <c r="X639" s="1293"/>
      <c r="Y639" s="1293"/>
      <c r="Z639" s="1293"/>
      <c r="AA639" s="1293"/>
      <c r="AB639" s="1293"/>
      <c r="AC639" s="1293"/>
      <c r="AD639" s="1293"/>
      <c r="AE639" s="1293"/>
      <c r="AF639" s="1293"/>
      <c r="AG639" s="1293"/>
      <c r="AH639" s="1293"/>
      <c r="AI639" s="1293"/>
      <c r="AJ639" s="1293"/>
      <c r="AK639" s="1293"/>
      <c r="AL639" s="1293"/>
      <c r="AM639" s="1293"/>
      <c r="AN639" s="1293"/>
      <c r="AO639" s="1293"/>
      <c r="AP639" s="1293"/>
      <c r="AQ639" s="1293"/>
      <c r="AR639" s="1293"/>
      <c r="AS639" s="1293"/>
      <c r="AT639" s="1293"/>
      <c r="AU639" s="1293"/>
      <c r="AV639" s="1293"/>
      <c r="AW639" s="1293"/>
      <c r="AX639" s="1293"/>
      <c r="AY639" s="1293"/>
      <c r="AZ639" s="1293"/>
      <c r="BA639" s="1293"/>
      <c r="BB639" s="1293"/>
      <c r="BC639" s="1293"/>
      <c r="BD639" s="1293"/>
      <c r="BE639" s="1293"/>
      <c r="BF639" s="1293"/>
      <c r="BG639" s="1293"/>
      <c r="BH639" s="1293"/>
      <c r="BI639" s="1293"/>
      <c r="BJ639" s="1293"/>
      <c r="BK639" s="1293"/>
      <c r="BL639" s="1293"/>
      <c r="BM639" s="1293"/>
      <c r="BN639" s="1293"/>
      <c r="BO639" s="1293"/>
      <c r="BP639" s="1293"/>
      <c r="BQ639" s="1293"/>
      <c r="BR639" s="1293"/>
      <c r="BS639" s="1293"/>
      <c r="BT639" s="1293"/>
      <c r="BU639" s="1293"/>
      <c r="BV639" s="1293"/>
      <c r="BW639" s="1293"/>
      <c r="BX639" s="1293"/>
      <c r="BY639" s="1293"/>
      <c r="BZ639" s="1293"/>
      <c r="CA639" s="1293"/>
      <c r="CB639" s="1293"/>
      <c r="CC639" s="1293"/>
      <c r="CD639" s="1293"/>
      <c r="CE639" s="1293"/>
      <c r="CF639" s="1293"/>
      <c r="CG639" s="1293"/>
    </row>
    <row r="640" spans="1:85" ht="15.75">
      <c r="A640" s="1293"/>
      <c r="B640" s="1293"/>
      <c r="C640" s="1293"/>
      <c r="D640" s="1293"/>
      <c r="E640" s="1293"/>
      <c r="F640" s="1293"/>
      <c r="G640" s="1293"/>
      <c r="H640" s="1293"/>
      <c r="I640" s="1293"/>
      <c r="J640" s="1293"/>
      <c r="K640" s="1293"/>
      <c r="L640" s="1293"/>
      <c r="M640" s="1293"/>
      <c r="N640" s="1293"/>
      <c r="O640" s="1293"/>
      <c r="P640" s="1293"/>
      <c r="Q640" s="1293"/>
      <c r="R640" s="1293"/>
      <c r="S640" s="1293"/>
      <c r="T640" s="1293"/>
      <c r="U640" s="1293"/>
      <c r="V640" s="1293"/>
      <c r="W640" s="1293"/>
      <c r="X640" s="1293"/>
      <c r="Y640" s="1293"/>
      <c r="Z640" s="1293"/>
      <c r="AA640" s="1293"/>
      <c r="AB640" s="1293"/>
      <c r="AC640" s="1293"/>
      <c r="AD640" s="1293"/>
      <c r="AE640" s="1293"/>
      <c r="AF640" s="1293"/>
      <c r="AG640" s="1293"/>
      <c r="AH640" s="1293"/>
      <c r="AI640" s="1293"/>
      <c r="AJ640" s="1293"/>
      <c r="AK640" s="1293"/>
      <c r="AL640" s="1293"/>
      <c r="AM640" s="1293"/>
      <c r="AN640" s="1293"/>
      <c r="AO640" s="1293"/>
      <c r="AP640" s="1293"/>
      <c r="AQ640" s="1293"/>
      <c r="AR640" s="1293"/>
      <c r="AS640" s="1293"/>
      <c r="AT640" s="1293"/>
      <c r="AU640" s="1293"/>
      <c r="AV640" s="1293"/>
      <c r="AW640" s="1293"/>
      <c r="AX640" s="1293"/>
      <c r="AY640" s="1293"/>
      <c r="AZ640" s="1293"/>
      <c r="BA640" s="1293"/>
      <c r="BB640" s="1293"/>
      <c r="BC640" s="1293"/>
      <c r="BD640" s="1293"/>
      <c r="BE640" s="1293"/>
      <c r="BF640" s="1293"/>
      <c r="BG640" s="1293"/>
      <c r="BH640" s="1293"/>
      <c r="BI640" s="1293"/>
      <c r="BJ640" s="1293"/>
      <c r="BK640" s="1293"/>
      <c r="BL640" s="1293"/>
      <c r="BM640" s="1293"/>
      <c r="BN640" s="1293"/>
      <c r="BO640" s="1293"/>
      <c r="BP640" s="1293"/>
      <c r="BQ640" s="1293"/>
      <c r="BR640" s="1293"/>
      <c r="BS640" s="1293"/>
      <c r="BT640" s="1293"/>
      <c r="BU640" s="1293"/>
      <c r="BV640" s="1293"/>
      <c r="BW640" s="1293"/>
      <c r="BX640" s="1293"/>
      <c r="BY640" s="1293"/>
      <c r="BZ640" s="1293"/>
      <c r="CA640" s="1293"/>
      <c r="CB640" s="1293"/>
      <c r="CC640" s="1293"/>
      <c r="CD640" s="1293"/>
      <c r="CE640" s="1293"/>
      <c r="CF640" s="1293"/>
      <c r="CG640" s="1293"/>
    </row>
    <row r="641" spans="1:85" ht="15.75">
      <c r="A641" s="1293"/>
      <c r="B641" s="1293"/>
      <c r="C641" s="1293"/>
      <c r="D641" s="1293"/>
      <c r="E641" s="1293"/>
      <c r="F641" s="1293"/>
      <c r="G641" s="1293"/>
      <c r="H641" s="1293"/>
      <c r="I641" s="1293"/>
      <c r="J641" s="1293"/>
      <c r="K641" s="1293"/>
      <c r="L641" s="1293"/>
      <c r="M641" s="1293"/>
      <c r="N641" s="1293"/>
      <c r="O641" s="1293"/>
      <c r="P641" s="1293"/>
      <c r="Q641" s="1293"/>
      <c r="R641" s="1293"/>
      <c r="S641" s="1293"/>
      <c r="T641" s="1293"/>
      <c r="U641" s="1293"/>
      <c r="V641" s="1293"/>
      <c r="W641" s="1293"/>
      <c r="X641" s="1293"/>
      <c r="Y641" s="1293"/>
      <c r="Z641" s="1293"/>
      <c r="AA641" s="1293"/>
      <c r="AB641" s="1293"/>
      <c r="AC641" s="1293"/>
      <c r="AD641" s="1293"/>
      <c r="AE641" s="1293"/>
      <c r="AF641" s="1293"/>
      <c r="AG641" s="1293"/>
      <c r="AH641" s="1293"/>
      <c r="AI641" s="1293"/>
      <c r="AJ641" s="1293"/>
      <c r="AK641" s="1293"/>
      <c r="AL641" s="1293"/>
      <c r="AM641" s="1293"/>
      <c r="AN641" s="1293"/>
      <c r="AO641" s="1293"/>
      <c r="AP641" s="1293"/>
      <c r="AQ641" s="1293"/>
      <c r="AR641" s="1293"/>
      <c r="AS641" s="1293"/>
      <c r="AT641" s="1293"/>
      <c r="AU641" s="1293"/>
      <c r="AV641" s="1293"/>
      <c r="AW641" s="1293"/>
      <c r="AX641" s="1293"/>
      <c r="AY641" s="1293"/>
      <c r="AZ641" s="1293"/>
      <c r="BA641" s="1293"/>
      <c r="BB641" s="1293"/>
      <c r="BC641" s="1293"/>
      <c r="BD641" s="1293"/>
      <c r="BE641" s="1293"/>
      <c r="BF641" s="1293"/>
      <c r="BG641" s="1293"/>
      <c r="BH641" s="1293"/>
      <c r="BI641" s="1293"/>
      <c r="BJ641" s="1293"/>
      <c r="BK641" s="1293"/>
      <c r="BL641" s="1293"/>
      <c r="BM641" s="1293"/>
      <c r="BN641" s="1293"/>
      <c r="BO641" s="1293"/>
      <c r="BP641" s="1293"/>
      <c r="BQ641" s="1293"/>
      <c r="BR641" s="1293"/>
      <c r="BS641" s="1293"/>
      <c r="BT641" s="1293"/>
      <c r="BU641" s="1293"/>
      <c r="BV641" s="1293"/>
      <c r="BW641" s="1293"/>
      <c r="BX641" s="1293"/>
      <c r="BY641" s="1293"/>
      <c r="BZ641" s="1293"/>
      <c r="CA641" s="1293"/>
      <c r="CB641" s="1293"/>
      <c r="CC641" s="1293"/>
      <c r="CD641" s="1293"/>
      <c r="CE641" s="1293"/>
      <c r="CF641" s="1293"/>
      <c r="CG641" s="1293"/>
    </row>
    <row r="642" spans="1:85" ht="15.75">
      <c r="A642" s="1293"/>
      <c r="B642" s="1293"/>
      <c r="C642" s="1293"/>
      <c r="D642" s="1293"/>
      <c r="E642" s="1293"/>
      <c r="F642" s="1293"/>
      <c r="G642" s="1293"/>
      <c r="H642" s="1293"/>
      <c r="I642" s="1293"/>
      <c r="J642" s="1293"/>
      <c r="K642" s="1293"/>
      <c r="L642" s="1293"/>
      <c r="M642" s="1293"/>
      <c r="N642" s="1293"/>
      <c r="O642" s="1293"/>
      <c r="P642" s="1293"/>
      <c r="Q642" s="1293"/>
      <c r="R642" s="1293"/>
      <c r="S642" s="1293"/>
      <c r="T642" s="1293"/>
      <c r="U642" s="1293"/>
      <c r="V642" s="1293"/>
      <c r="W642" s="1293"/>
      <c r="X642" s="1293"/>
      <c r="Y642" s="1293"/>
      <c r="Z642" s="1293"/>
      <c r="AA642" s="1293"/>
      <c r="AB642" s="1293"/>
      <c r="AC642" s="1293"/>
      <c r="AD642" s="1293"/>
      <c r="AE642" s="1293"/>
      <c r="AF642" s="1293"/>
      <c r="AG642" s="1293"/>
      <c r="AH642" s="1293"/>
      <c r="AI642" s="1293"/>
      <c r="AJ642" s="1293"/>
      <c r="AK642" s="1293"/>
      <c r="AL642" s="1293"/>
      <c r="AM642" s="1293"/>
      <c r="AN642" s="1293"/>
      <c r="AO642" s="1293"/>
      <c r="AP642" s="1293"/>
      <c r="AQ642" s="1293"/>
      <c r="AR642" s="1293"/>
      <c r="AS642" s="1293"/>
      <c r="AT642" s="1293"/>
      <c r="AU642" s="1293"/>
      <c r="AV642" s="1293"/>
      <c r="AW642" s="1293"/>
      <c r="AX642" s="1293"/>
      <c r="AY642" s="1293"/>
      <c r="AZ642" s="1293"/>
      <c r="BA642" s="1293"/>
      <c r="BB642" s="1293"/>
      <c r="BC642" s="1293"/>
      <c r="BD642" s="1293"/>
      <c r="BE642" s="1293"/>
      <c r="BF642" s="1293"/>
      <c r="BG642" s="1293"/>
      <c r="BH642" s="1293"/>
      <c r="BI642" s="1293"/>
      <c r="BJ642" s="1293"/>
      <c r="BK642" s="1293"/>
      <c r="BL642" s="1293"/>
      <c r="BM642" s="1293"/>
      <c r="BN642" s="1293"/>
      <c r="BO642" s="1293"/>
      <c r="BP642" s="1293"/>
      <c r="BQ642" s="1293"/>
      <c r="BR642" s="1293"/>
      <c r="BS642" s="1293"/>
      <c r="BT642" s="1293"/>
      <c r="BU642" s="1293"/>
      <c r="BV642" s="1293"/>
      <c r="BW642" s="1293"/>
      <c r="BX642" s="1293"/>
      <c r="BY642" s="1293"/>
      <c r="BZ642" s="1293"/>
      <c r="CA642" s="1293"/>
      <c r="CB642" s="1293"/>
      <c r="CC642" s="1293"/>
      <c r="CD642" s="1293"/>
      <c r="CE642" s="1293"/>
      <c r="CF642" s="1293"/>
      <c r="CG642" s="1293"/>
    </row>
    <row r="643" spans="1:85" ht="15.75">
      <c r="A643" s="1293"/>
      <c r="B643" s="1293"/>
      <c r="C643" s="1293"/>
      <c r="D643" s="1293"/>
      <c r="E643" s="1293"/>
      <c r="F643" s="1293"/>
      <c r="G643" s="1293"/>
      <c r="H643" s="1293"/>
      <c r="I643" s="1293"/>
      <c r="J643" s="1293"/>
      <c r="K643" s="1293"/>
      <c r="L643" s="1293"/>
      <c r="M643" s="1293"/>
      <c r="N643" s="1293"/>
      <c r="O643" s="1293"/>
      <c r="P643" s="1293"/>
      <c r="Q643" s="1293"/>
      <c r="R643" s="1293"/>
      <c r="S643" s="1293"/>
      <c r="T643" s="1293"/>
      <c r="U643" s="1293"/>
      <c r="V643" s="1293"/>
      <c r="W643" s="1293"/>
      <c r="X643" s="1293"/>
      <c r="Y643" s="1293"/>
      <c r="Z643" s="1293"/>
      <c r="AA643" s="1293"/>
      <c r="AB643" s="1293"/>
      <c r="AC643" s="1293"/>
      <c r="AD643" s="1293"/>
      <c r="AE643" s="1293"/>
      <c r="AF643" s="1293"/>
      <c r="AG643" s="1293"/>
      <c r="AH643" s="1293"/>
      <c r="AI643" s="1293"/>
      <c r="AJ643" s="1293"/>
      <c r="AK643" s="1293"/>
      <c r="AL643" s="1293"/>
      <c r="AM643" s="1293"/>
      <c r="AN643" s="1293"/>
      <c r="AO643" s="1293"/>
      <c r="AP643" s="1293"/>
      <c r="AQ643" s="1293"/>
      <c r="AR643" s="1293"/>
      <c r="AS643" s="1293"/>
      <c r="AT643" s="1293"/>
      <c r="AU643" s="1293"/>
      <c r="AV643" s="1293"/>
      <c r="AW643" s="1293"/>
      <c r="AX643" s="1293"/>
      <c r="AY643" s="1293"/>
      <c r="AZ643" s="1293"/>
      <c r="BA643" s="1293"/>
      <c r="BB643" s="1293"/>
      <c r="BC643" s="1293"/>
      <c r="BD643" s="1293"/>
      <c r="BE643" s="1293"/>
      <c r="BF643" s="1293"/>
      <c r="BG643" s="1293"/>
      <c r="BH643" s="1293"/>
      <c r="BI643" s="1293"/>
      <c r="BJ643" s="1293"/>
      <c r="BK643" s="1293"/>
      <c r="BL643" s="1293"/>
      <c r="BM643" s="1293"/>
      <c r="BN643" s="1293"/>
      <c r="BO643" s="1293"/>
      <c r="BP643" s="1293"/>
      <c r="BQ643" s="1293"/>
      <c r="BR643" s="1293"/>
      <c r="BS643" s="1293"/>
      <c r="BT643" s="1293"/>
      <c r="BU643" s="1293"/>
      <c r="BV643" s="1293"/>
      <c r="BW643" s="1293"/>
      <c r="BX643" s="1293"/>
      <c r="BY643" s="1293"/>
      <c r="BZ643" s="1293"/>
      <c r="CA643" s="1293"/>
      <c r="CB643" s="1293"/>
      <c r="CC643" s="1293"/>
      <c r="CD643" s="1293"/>
      <c r="CE643" s="1293"/>
      <c r="CF643" s="1293"/>
      <c r="CG643" s="1293"/>
    </row>
    <row r="644" spans="1:85" ht="15.75">
      <c r="A644" s="1293"/>
      <c r="B644" s="1293"/>
      <c r="C644" s="1293"/>
      <c r="D644" s="1293"/>
      <c r="E644" s="1293"/>
      <c r="F644" s="1293"/>
      <c r="G644" s="1293"/>
      <c r="H644" s="1293"/>
      <c r="I644" s="1293"/>
      <c r="J644" s="1293"/>
      <c r="K644" s="1293"/>
      <c r="L644" s="1293"/>
      <c r="M644" s="1293"/>
      <c r="N644" s="1293"/>
      <c r="O644" s="1293"/>
      <c r="P644" s="1293"/>
      <c r="Q644" s="1293"/>
      <c r="R644" s="1293"/>
      <c r="S644" s="1293"/>
      <c r="T644" s="1293"/>
      <c r="U644" s="1293"/>
      <c r="V644" s="1293"/>
      <c r="W644" s="1293"/>
      <c r="X644" s="1293"/>
      <c r="Y644" s="1293"/>
      <c r="Z644" s="1293"/>
      <c r="AA644" s="1293"/>
      <c r="AB644" s="1293"/>
      <c r="AC644" s="1293"/>
      <c r="AD644" s="1293"/>
      <c r="AE644" s="1293"/>
      <c r="AF644" s="1293"/>
      <c r="AG644" s="1293"/>
      <c r="AH644" s="1293"/>
      <c r="AI644" s="1293"/>
      <c r="AJ644" s="1293"/>
      <c r="AK644" s="1293"/>
      <c r="AL644" s="1293"/>
      <c r="AM644" s="1293"/>
      <c r="AN644" s="1293"/>
      <c r="AO644" s="1293"/>
      <c r="AP644" s="1293"/>
      <c r="AQ644" s="1293"/>
      <c r="AR644" s="1293"/>
      <c r="AS644" s="1293"/>
      <c r="AT644" s="1293"/>
      <c r="AU644" s="1293"/>
      <c r="AV644" s="1293"/>
      <c r="AW644" s="1293"/>
      <c r="AX644" s="1293"/>
      <c r="AY644" s="1293"/>
      <c r="AZ644" s="1293"/>
      <c r="BA644" s="1293"/>
      <c r="BB644" s="1293"/>
      <c r="BC644" s="1293"/>
      <c r="BD644" s="1293"/>
      <c r="BE644" s="1293"/>
      <c r="BF644" s="1293"/>
      <c r="BG644" s="1293"/>
      <c r="BH644" s="1293"/>
      <c r="BI644" s="1293"/>
      <c r="BJ644" s="1293"/>
      <c r="BK644" s="1293"/>
      <c r="BL644" s="1293"/>
      <c r="BM644" s="1293"/>
      <c r="BN644" s="1293"/>
      <c r="BO644" s="1293"/>
      <c r="BP644" s="1293"/>
      <c r="BQ644" s="1293"/>
      <c r="BR644" s="1293"/>
      <c r="BS644" s="1293"/>
      <c r="BT644" s="1293"/>
      <c r="BU644" s="1293"/>
      <c r="BV644" s="1293"/>
      <c r="BW644" s="1293"/>
      <c r="BX644" s="1293"/>
      <c r="BY644" s="1293"/>
      <c r="BZ644" s="1293"/>
      <c r="CA644" s="1293"/>
      <c r="CB644" s="1293"/>
      <c r="CC644" s="1293"/>
      <c r="CD644" s="1293"/>
      <c r="CE644" s="1293"/>
      <c r="CF644" s="1293"/>
      <c r="CG644" s="1293"/>
    </row>
    <row r="645" spans="1:85" ht="15.75">
      <c r="A645" s="1293"/>
      <c r="B645" s="1293"/>
      <c r="C645" s="1293"/>
      <c r="D645" s="1293"/>
      <c r="E645" s="1293"/>
      <c r="F645" s="1293"/>
      <c r="G645" s="1293"/>
      <c r="H645" s="1293"/>
      <c r="I645" s="1293"/>
      <c r="J645" s="1293"/>
      <c r="K645" s="1293"/>
      <c r="L645" s="1293"/>
      <c r="M645" s="1293"/>
      <c r="N645" s="1293"/>
      <c r="O645" s="1293"/>
      <c r="P645" s="1293"/>
      <c r="Q645" s="1293"/>
      <c r="R645" s="1293"/>
      <c r="S645" s="1293"/>
      <c r="T645" s="1293"/>
      <c r="U645" s="1293"/>
      <c r="V645" s="1293"/>
      <c r="W645" s="1293"/>
      <c r="X645" s="1293"/>
      <c r="Y645" s="1293"/>
      <c r="Z645" s="1293"/>
      <c r="AA645" s="1293"/>
      <c r="AB645" s="1293"/>
      <c r="AC645" s="1293"/>
      <c r="AD645" s="1293"/>
      <c r="AE645" s="1293"/>
      <c r="AF645" s="1293"/>
      <c r="AG645" s="1293"/>
      <c r="AH645" s="1293"/>
      <c r="AI645" s="1293"/>
      <c r="AJ645" s="1293"/>
      <c r="AK645" s="1293"/>
      <c r="AL645" s="1293"/>
      <c r="AM645" s="1293"/>
      <c r="AN645" s="1293"/>
      <c r="AO645" s="1293"/>
      <c r="AP645" s="1293"/>
      <c r="AQ645" s="1293"/>
      <c r="AR645" s="1293"/>
      <c r="AS645" s="1293"/>
      <c r="AT645" s="1293"/>
      <c r="AU645" s="1293"/>
      <c r="AV645" s="1293"/>
      <c r="AW645" s="1293"/>
      <c r="AX645" s="1293"/>
      <c r="AY645" s="1293"/>
      <c r="AZ645" s="1293"/>
      <c r="BA645" s="1293"/>
      <c r="BB645" s="1293"/>
      <c r="BC645" s="1293"/>
      <c r="BD645" s="1293"/>
      <c r="BE645" s="1293"/>
      <c r="BF645" s="1293"/>
      <c r="BG645" s="1293"/>
      <c r="BH645" s="1293"/>
      <c r="BI645" s="1293"/>
      <c r="BJ645" s="1293"/>
      <c r="BK645" s="1293"/>
      <c r="BL645" s="1293"/>
      <c r="BM645" s="1293"/>
      <c r="BN645" s="1293"/>
      <c r="BO645" s="1293"/>
      <c r="BP645" s="1293"/>
      <c r="BQ645" s="1293"/>
      <c r="BR645" s="1293"/>
      <c r="BS645" s="1293"/>
      <c r="BT645" s="1293"/>
      <c r="BU645" s="1293"/>
      <c r="BV645" s="1293"/>
      <c r="BW645" s="1293"/>
      <c r="BX645" s="1293"/>
      <c r="BY645" s="1293"/>
      <c r="BZ645" s="1293"/>
      <c r="CA645" s="1293"/>
      <c r="CB645" s="1293"/>
      <c r="CC645" s="1293"/>
      <c r="CD645" s="1293"/>
      <c r="CE645" s="1293"/>
      <c r="CF645" s="1293"/>
      <c r="CG645" s="1293"/>
    </row>
    <row r="646" spans="1:85" ht="15.75">
      <c r="A646" s="1293"/>
      <c r="B646" s="1293"/>
      <c r="C646" s="1293"/>
      <c r="D646" s="1293"/>
      <c r="E646" s="1293"/>
      <c r="F646" s="1293"/>
      <c r="G646" s="1293"/>
      <c r="H646" s="1293"/>
      <c r="I646" s="1293"/>
      <c r="J646" s="1293"/>
      <c r="K646" s="1293"/>
      <c r="L646" s="1293"/>
      <c r="M646" s="1293"/>
      <c r="N646" s="1293"/>
      <c r="O646" s="1293"/>
      <c r="P646" s="1293"/>
      <c r="Q646" s="1293"/>
      <c r="R646" s="1293"/>
      <c r="S646" s="1293"/>
      <c r="T646" s="1293"/>
      <c r="U646" s="1293"/>
      <c r="V646" s="1293"/>
      <c r="W646" s="1293"/>
      <c r="X646" s="1293"/>
      <c r="Y646" s="1293"/>
      <c r="Z646" s="1293"/>
      <c r="AA646" s="1293"/>
      <c r="AB646" s="1293"/>
      <c r="AC646" s="1293"/>
      <c r="AD646" s="1293"/>
      <c r="AE646" s="1293"/>
      <c r="AF646" s="1293"/>
      <c r="AG646" s="1293"/>
      <c r="AH646" s="1293"/>
      <c r="AI646" s="1293"/>
      <c r="AJ646" s="1293"/>
      <c r="AK646" s="1293"/>
      <c r="AL646" s="1293"/>
      <c r="AM646" s="1293"/>
      <c r="AN646" s="1293"/>
      <c r="AO646" s="1293"/>
      <c r="AP646" s="1293"/>
      <c r="AQ646" s="1293"/>
      <c r="AR646" s="1293"/>
      <c r="AS646" s="1293"/>
      <c r="AT646" s="1293"/>
      <c r="AU646" s="1293"/>
      <c r="AV646" s="1293"/>
      <c r="AW646" s="1293"/>
      <c r="AX646" s="1293"/>
      <c r="AY646" s="1293"/>
      <c r="AZ646" s="1293"/>
      <c r="BA646" s="1293"/>
      <c r="BB646" s="1293"/>
      <c r="BC646" s="1293"/>
      <c r="BD646" s="1293"/>
      <c r="BE646" s="1293"/>
      <c r="BF646" s="1293"/>
      <c r="BG646" s="1293"/>
      <c r="BH646" s="1293"/>
      <c r="BI646" s="1293"/>
      <c r="BJ646" s="1293"/>
      <c r="BK646" s="1293"/>
      <c r="BL646" s="1293"/>
      <c r="BM646" s="1293"/>
      <c r="BN646" s="1293"/>
      <c r="BO646" s="1293"/>
      <c r="BP646" s="1293"/>
      <c r="BQ646" s="1293"/>
      <c r="BR646" s="1293"/>
      <c r="BS646" s="1293"/>
      <c r="BT646" s="1293"/>
      <c r="BU646" s="1293"/>
      <c r="BV646" s="1293"/>
      <c r="BW646" s="1293"/>
      <c r="BX646" s="1293"/>
      <c r="BY646" s="1293"/>
      <c r="BZ646" s="1293"/>
      <c r="CA646" s="1293"/>
      <c r="CB646" s="1293"/>
      <c r="CC646" s="1293"/>
      <c r="CD646" s="1293"/>
      <c r="CE646" s="1293"/>
      <c r="CF646" s="1293"/>
      <c r="CG646" s="1293"/>
    </row>
    <row r="647" spans="1:85" ht="15.75">
      <c r="A647" s="1293"/>
      <c r="B647" s="1293"/>
      <c r="C647" s="1293"/>
      <c r="D647" s="1293"/>
      <c r="E647" s="1293"/>
      <c r="F647" s="1293"/>
      <c r="G647" s="1293"/>
      <c r="H647" s="1293"/>
      <c r="I647" s="1293"/>
      <c r="J647" s="1293"/>
      <c r="K647" s="1293"/>
      <c r="L647" s="1293"/>
      <c r="M647" s="1293"/>
      <c r="N647" s="1293"/>
      <c r="O647" s="1293"/>
      <c r="P647" s="1293"/>
      <c r="Q647" s="1293"/>
      <c r="R647" s="1293"/>
      <c r="S647" s="1293"/>
      <c r="T647" s="1293"/>
      <c r="U647" s="1293"/>
      <c r="V647" s="1293"/>
      <c r="W647" s="1293"/>
      <c r="X647" s="1293"/>
      <c r="Y647" s="1293"/>
      <c r="Z647" s="1293"/>
      <c r="AA647" s="1293"/>
      <c r="AB647" s="1293"/>
      <c r="AC647" s="1293"/>
      <c r="AD647" s="1293"/>
      <c r="AE647" s="1293"/>
      <c r="AF647" s="1293"/>
      <c r="AG647" s="1293"/>
      <c r="AH647" s="1293"/>
      <c r="AI647" s="1293"/>
      <c r="AJ647" s="1293"/>
      <c r="AK647" s="1293"/>
      <c r="AL647" s="1293"/>
      <c r="AM647" s="1293"/>
      <c r="AN647" s="1293"/>
      <c r="AO647" s="1293"/>
      <c r="AP647" s="1293"/>
      <c r="AQ647" s="1293"/>
      <c r="AR647" s="1293"/>
      <c r="AS647" s="1293"/>
      <c r="AT647" s="1293"/>
      <c r="AU647" s="1293"/>
      <c r="AV647" s="1293"/>
      <c r="AW647" s="1293"/>
      <c r="AX647" s="1293"/>
      <c r="AY647" s="1293"/>
      <c r="AZ647" s="1293"/>
      <c r="BA647" s="1293"/>
      <c r="BB647" s="1293"/>
      <c r="BC647" s="1293"/>
      <c r="BD647" s="1293"/>
      <c r="BE647" s="1293"/>
      <c r="BF647" s="1293"/>
      <c r="BG647" s="1293"/>
      <c r="BH647" s="1293"/>
      <c r="BI647" s="1293"/>
      <c r="BJ647" s="1293"/>
      <c r="BK647" s="1293"/>
      <c r="BL647" s="1293"/>
      <c r="BM647" s="1293"/>
      <c r="BN647" s="1293"/>
      <c r="BO647" s="1293"/>
      <c r="BP647" s="1293"/>
      <c r="BQ647" s="1293"/>
      <c r="BR647" s="1293"/>
      <c r="BS647" s="1293"/>
      <c r="BT647" s="1293"/>
      <c r="BU647" s="1293"/>
      <c r="BV647" s="1293"/>
      <c r="BW647" s="1293"/>
      <c r="BX647" s="1293"/>
      <c r="BY647" s="1293"/>
      <c r="BZ647" s="1293"/>
      <c r="CA647" s="1293"/>
      <c r="CB647" s="1293"/>
      <c r="CC647" s="1293"/>
      <c r="CD647" s="1293"/>
      <c r="CE647" s="1293"/>
      <c r="CF647" s="1293"/>
      <c r="CG647" s="1293"/>
    </row>
    <row r="648" spans="1:85" ht="15.75">
      <c r="A648" s="1293"/>
      <c r="B648" s="1293"/>
      <c r="C648" s="1293"/>
      <c r="D648" s="1293"/>
      <c r="E648" s="1293"/>
      <c r="F648" s="1293"/>
      <c r="G648" s="1293"/>
      <c r="H648" s="1293"/>
      <c r="I648" s="1293"/>
      <c r="J648" s="1293"/>
      <c r="K648" s="1293"/>
      <c r="L648" s="1293"/>
      <c r="M648" s="1293"/>
      <c r="N648" s="1293"/>
      <c r="O648" s="1293"/>
      <c r="P648" s="1293"/>
      <c r="Q648" s="1293"/>
      <c r="R648" s="1293"/>
      <c r="S648" s="1293"/>
      <c r="T648" s="1293"/>
      <c r="U648" s="1293"/>
      <c r="V648" s="1293"/>
      <c r="W648" s="1293"/>
      <c r="X648" s="1293"/>
      <c r="Y648" s="1293"/>
      <c r="Z648" s="1293"/>
      <c r="AA648" s="1293"/>
      <c r="AB648" s="1293"/>
      <c r="AC648" s="1293"/>
      <c r="AD648" s="1293"/>
      <c r="AE648" s="1293"/>
      <c r="AF648" s="1293"/>
      <c r="AG648" s="1293"/>
      <c r="AH648" s="1293"/>
      <c r="AI648" s="1293"/>
      <c r="AJ648" s="1293"/>
      <c r="AK648" s="1293"/>
      <c r="AL648" s="1293"/>
      <c r="AM648" s="1293"/>
      <c r="AN648" s="1293"/>
      <c r="AO648" s="1293"/>
      <c r="AP648" s="1293"/>
      <c r="AQ648" s="1293"/>
      <c r="AR648" s="1293"/>
      <c r="AS648" s="1293"/>
      <c r="AT648" s="1293"/>
      <c r="AU648" s="1293"/>
      <c r="AV648" s="1293"/>
      <c r="AW648" s="1293"/>
      <c r="AX648" s="1293"/>
      <c r="AY648" s="1293"/>
      <c r="AZ648" s="1293"/>
      <c r="BA648" s="1293"/>
      <c r="BB648" s="1293"/>
      <c r="BC648" s="1293"/>
      <c r="BD648" s="1293"/>
      <c r="BE648" s="1293"/>
      <c r="BF648" s="1293"/>
      <c r="BG648" s="1293"/>
      <c r="BH648" s="1293"/>
      <c r="BI648" s="1293"/>
      <c r="BJ648" s="1293"/>
      <c r="BK648" s="1293"/>
      <c r="BL648" s="1293"/>
      <c r="BM648" s="1293"/>
      <c r="BN648" s="1293"/>
      <c r="BO648" s="1293"/>
      <c r="BP648" s="1293"/>
      <c r="BQ648" s="1293"/>
      <c r="BR648" s="1293"/>
      <c r="BS648" s="1293"/>
      <c r="BT648" s="1293"/>
      <c r="BU648" s="1293"/>
      <c r="BV648" s="1293"/>
      <c r="BW648" s="1293"/>
      <c r="BX648" s="1293"/>
      <c r="BY648" s="1293"/>
      <c r="BZ648" s="1293"/>
      <c r="CA648" s="1293"/>
      <c r="CB648" s="1293"/>
      <c r="CC648" s="1293"/>
      <c r="CD648" s="1293"/>
      <c r="CE648" s="1293"/>
      <c r="CF648" s="1293"/>
      <c r="CG648" s="1293"/>
    </row>
    <row r="649" spans="1:85" ht="15.75">
      <c r="A649" s="1293"/>
      <c r="B649" s="1293"/>
      <c r="C649" s="1293"/>
      <c r="D649" s="1293"/>
      <c r="E649" s="1293"/>
      <c r="F649" s="1293"/>
      <c r="G649" s="1293"/>
      <c r="H649" s="1293"/>
      <c r="I649" s="1293"/>
      <c r="J649" s="1293"/>
      <c r="K649" s="1293"/>
      <c r="L649" s="1293"/>
      <c r="M649" s="1293"/>
      <c r="N649" s="1293"/>
      <c r="O649" s="1293"/>
      <c r="P649" s="1293"/>
      <c r="Q649" s="1293"/>
      <c r="R649" s="1293"/>
      <c r="S649" s="1293"/>
      <c r="T649" s="1293"/>
      <c r="U649" s="1293"/>
      <c r="V649" s="1293"/>
      <c r="W649" s="1293"/>
      <c r="X649" s="1293"/>
      <c r="Y649" s="1293"/>
      <c r="Z649" s="1293"/>
      <c r="AA649" s="1293"/>
      <c r="AB649" s="1293"/>
      <c r="AC649" s="1293"/>
      <c r="AD649" s="1293"/>
      <c r="AE649" s="1293"/>
      <c r="AF649" s="1293"/>
      <c r="AG649" s="1293"/>
      <c r="AH649" s="1293"/>
      <c r="AI649" s="1293"/>
      <c r="AJ649" s="1293"/>
      <c r="AK649" s="1293"/>
      <c r="AL649" s="1293"/>
      <c r="AM649" s="1293"/>
      <c r="AN649" s="1293"/>
      <c r="AO649" s="1293"/>
      <c r="AP649" s="1293"/>
      <c r="AQ649" s="1293"/>
      <c r="AR649" s="1293"/>
      <c r="AS649" s="1293"/>
      <c r="AT649" s="1293"/>
      <c r="AU649" s="1293"/>
      <c r="AV649" s="1293"/>
      <c r="AW649" s="1293"/>
      <c r="AX649" s="1293"/>
      <c r="AY649" s="1293"/>
      <c r="AZ649" s="1293"/>
      <c r="BA649" s="1293"/>
      <c r="BB649" s="1293"/>
      <c r="BC649" s="1293"/>
      <c r="BD649" s="1293"/>
      <c r="BE649" s="1293"/>
      <c r="BF649" s="1293"/>
      <c r="BG649" s="1293"/>
      <c r="BH649" s="1293"/>
      <c r="BI649" s="1293"/>
      <c r="BJ649" s="1293"/>
      <c r="BK649" s="1293"/>
      <c r="BL649" s="1293"/>
      <c r="BM649" s="1293"/>
      <c r="BN649" s="1293"/>
      <c r="BO649" s="1293"/>
      <c r="BP649" s="1293"/>
      <c r="BQ649" s="1293"/>
      <c r="BR649" s="1293"/>
      <c r="BS649" s="1293"/>
      <c r="BT649" s="1293"/>
      <c r="BU649" s="1293"/>
      <c r="BV649" s="1293"/>
      <c r="BW649" s="1293"/>
      <c r="BX649" s="1293"/>
      <c r="BY649" s="1293"/>
      <c r="BZ649" s="1293"/>
      <c r="CA649" s="1293"/>
      <c r="CB649" s="1293"/>
      <c r="CC649" s="1293"/>
      <c r="CD649" s="1293"/>
      <c r="CE649" s="1293"/>
      <c r="CF649" s="1293"/>
      <c r="CG649" s="1293"/>
    </row>
    <row r="650" spans="1:85" ht="15.75">
      <c r="A650" s="1293"/>
      <c r="B650" s="1293"/>
      <c r="C650" s="1293"/>
      <c r="D650" s="1293"/>
      <c r="E650" s="1293"/>
      <c r="F650" s="1293"/>
      <c r="G650" s="1293"/>
      <c r="H650" s="1293"/>
      <c r="I650" s="1293"/>
      <c r="J650" s="1293"/>
      <c r="K650" s="1293"/>
      <c r="L650" s="1293"/>
      <c r="M650" s="1293"/>
      <c r="N650" s="1293"/>
      <c r="O650" s="1293"/>
      <c r="P650" s="1293"/>
      <c r="Q650" s="1293"/>
      <c r="R650" s="1293"/>
      <c r="S650" s="1293"/>
      <c r="T650" s="1293"/>
      <c r="U650" s="1293"/>
      <c r="V650" s="1293"/>
      <c r="W650" s="1293"/>
      <c r="X650" s="1293"/>
      <c r="Y650" s="1293"/>
      <c r="Z650" s="1293"/>
      <c r="AA650" s="1293"/>
      <c r="AB650" s="1293"/>
      <c r="AC650" s="1293"/>
      <c r="AD650" s="1293"/>
      <c r="AE650" s="1293"/>
      <c r="AF650" s="1293"/>
      <c r="AG650" s="1293"/>
      <c r="AH650" s="1293"/>
      <c r="AI650" s="1293"/>
      <c r="AJ650" s="1293"/>
      <c r="AK650" s="1293"/>
      <c r="AL650" s="1293"/>
      <c r="AM650" s="1293"/>
      <c r="AN650" s="1293"/>
      <c r="AO650" s="1293"/>
      <c r="AP650" s="1293"/>
      <c r="AQ650" s="1293"/>
      <c r="AR650" s="1293"/>
      <c r="AS650" s="1293"/>
      <c r="AT650" s="1293"/>
      <c r="AU650" s="1293"/>
      <c r="AV650" s="1293"/>
      <c r="AW650" s="1293"/>
      <c r="AX650" s="1293"/>
      <c r="AY650" s="1293"/>
      <c r="AZ650" s="1293"/>
      <c r="BA650" s="1293"/>
      <c r="BB650" s="1293"/>
      <c r="BC650" s="1293"/>
      <c r="BD650" s="1293"/>
      <c r="BE650" s="1293"/>
      <c r="BF650" s="1293"/>
      <c r="BG650" s="1293"/>
      <c r="BH650" s="1293"/>
      <c r="BI650" s="1293"/>
      <c r="BJ650" s="1293"/>
      <c r="BK650" s="1293"/>
      <c r="BL650" s="1293"/>
      <c r="BM650" s="1293"/>
      <c r="BN650" s="1293"/>
      <c r="BO650" s="1293"/>
      <c r="BP650" s="1293"/>
      <c r="BQ650" s="1293"/>
      <c r="BR650" s="1293"/>
      <c r="BS650" s="1293"/>
      <c r="BT650" s="1293"/>
      <c r="BU650" s="1293"/>
      <c r="BV650" s="1293"/>
      <c r="BW650" s="1293"/>
      <c r="BX650" s="1293"/>
      <c r="BY650" s="1293"/>
      <c r="BZ650" s="1293"/>
      <c r="CA650" s="1293"/>
      <c r="CB650" s="1293"/>
      <c r="CC650" s="1293"/>
      <c r="CD650" s="1293"/>
      <c r="CE650" s="1293"/>
      <c r="CF650" s="1293"/>
      <c r="CG650" s="1293"/>
    </row>
    <row r="651" spans="1:85" ht="15.75">
      <c r="A651" s="1293"/>
      <c r="B651" s="1293"/>
      <c r="C651" s="1293"/>
      <c r="D651" s="1293"/>
      <c r="E651" s="1293"/>
      <c r="F651" s="1293"/>
      <c r="G651" s="1293"/>
      <c r="H651" s="1293"/>
      <c r="I651" s="1293"/>
      <c r="J651" s="1293"/>
      <c r="K651" s="1293"/>
      <c r="L651" s="1293"/>
      <c r="M651" s="1293"/>
      <c r="N651" s="1293"/>
      <c r="O651" s="1293"/>
      <c r="P651" s="1293"/>
      <c r="Q651" s="1293"/>
      <c r="R651" s="1293"/>
      <c r="S651" s="1293"/>
      <c r="T651" s="1293"/>
      <c r="U651" s="1293"/>
      <c r="V651" s="1293"/>
      <c r="W651" s="1293"/>
      <c r="X651" s="1293"/>
      <c r="Y651" s="1293"/>
      <c r="Z651" s="1293"/>
      <c r="AA651" s="1293"/>
      <c r="AB651" s="1293"/>
      <c r="AC651" s="1293"/>
      <c r="AD651" s="1293"/>
      <c r="AE651" s="1293"/>
      <c r="AF651" s="1293"/>
      <c r="AG651" s="1293"/>
      <c r="AH651" s="1293"/>
      <c r="AI651" s="1293"/>
      <c r="AJ651" s="1293"/>
      <c r="AK651" s="1293"/>
      <c r="AL651" s="1293"/>
      <c r="AM651" s="1293"/>
      <c r="AN651" s="1293"/>
      <c r="AO651" s="1293"/>
      <c r="AP651" s="1293"/>
      <c r="AQ651" s="1293"/>
      <c r="AR651" s="1293"/>
      <c r="AS651" s="1293"/>
      <c r="AT651" s="1293"/>
      <c r="AU651" s="1293"/>
      <c r="AV651" s="1293"/>
      <c r="AW651" s="1293"/>
      <c r="AX651" s="1293"/>
      <c r="AY651" s="1293"/>
      <c r="AZ651" s="1293"/>
      <c r="BA651" s="1293"/>
      <c r="BB651" s="1293"/>
      <c r="BC651" s="1293"/>
      <c r="BD651" s="1293"/>
      <c r="BE651" s="1293"/>
      <c r="BF651" s="1293"/>
      <c r="BG651" s="1293"/>
      <c r="BH651" s="1293"/>
      <c r="BI651" s="1293"/>
      <c r="BJ651" s="1293"/>
      <c r="BK651" s="1293"/>
      <c r="BL651" s="1293"/>
      <c r="BM651" s="1293"/>
      <c r="BN651" s="1293"/>
      <c r="BO651" s="1293"/>
      <c r="BP651" s="1293"/>
      <c r="BQ651" s="1293"/>
      <c r="BR651" s="1293"/>
      <c r="BS651" s="1293"/>
      <c r="BT651" s="1293"/>
      <c r="BU651" s="1293"/>
      <c r="BV651" s="1293"/>
      <c r="BW651" s="1293"/>
      <c r="BX651" s="1293"/>
      <c r="BY651" s="1293"/>
      <c r="BZ651" s="1293"/>
      <c r="CA651" s="1293"/>
      <c r="CB651" s="1293"/>
      <c r="CC651" s="1293"/>
      <c r="CD651" s="1293"/>
      <c r="CE651" s="1293"/>
      <c r="CF651" s="1293"/>
      <c r="CG651" s="1293"/>
    </row>
    <row r="652" spans="1:85" ht="15.75">
      <c r="A652" s="1293"/>
      <c r="B652" s="1293"/>
      <c r="C652" s="1293"/>
      <c r="D652" s="1293"/>
      <c r="E652" s="1293"/>
      <c r="F652" s="1293"/>
      <c r="G652" s="1293"/>
      <c r="H652" s="1293"/>
      <c r="I652" s="1293"/>
      <c r="J652" s="1293"/>
      <c r="K652" s="1293"/>
      <c r="L652" s="1293"/>
      <c r="M652" s="1293"/>
      <c r="N652" s="1293"/>
      <c r="O652" s="1293"/>
      <c r="P652" s="1293"/>
      <c r="Q652" s="1293"/>
      <c r="R652" s="1293"/>
      <c r="S652" s="1293"/>
      <c r="T652" s="1293"/>
      <c r="U652" s="1293"/>
      <c r="V652" s="1293"/>
      <c r="W652" s="1293"/>
      <c r="X652" s="1293"/>
      <c r="Y652" s="1293"/>
      <c r="Z652" s="1293"/>
      <c r="AA652" s="1293"/>
      <c r="AB652" s="1293"/>
      <c r="AC652" s="1293"/>
      <c r="AD652" s="1293"/>
      <c r="AE652" s="1293"/>
      <c r="AF652" s="1293"/>
      <c r="AG652" s="1293"/>
      <c r="AH652" s="1293"/>
      <c r="AI652" s="1293"/>
      <c r="AJ652" s="1293"/>
      <c r="AK652" s="1293"/>
      <c r="AL652" s="1293"/>
      <c r="AM652" s="1293"/>
      <c r="AN652" s="1293"/>
      <c r="AO652" s="1293"/>
      <c r="AP652" s="1293"/>
      <c r="AQ652" s="1293"/>
      <c r="AR652" s="1293"/>
      <c r="AS652" s="1293"/>
      <c r="AT652" s="1293"/>
      <c r="AU652" s="1293"/>
      <c r="AV652" s="1293"/>
      <c r="AW652" s="1293"/>
      <c r="AX652" s="1293"/>
      <c r="AY652" s="1293"/>
      <c r="AZ652" s="1293"/>
      <c r="BA652" s="1293"/>
      <c r="BB652" s="1293"/>
      <c r="BC652" s="1293"/>
      <c r="BD652" s="1293"/>
      <c r="BE652" s="1293"/>
      <c r="BF652" s="1293"/>
      <c r="BG652" s="1293"/>
      <c r="BH652" s="1293"/>
      <c r="BI652" s="1293"/>
      <c r="BJ652" s="1293"/>
      <c r="BK652" s="1293"/>
      <c r="BL652" s="1293"/>
      <c r="BM652" s="1293"/>
      <c r="BN652" s="1293"/>
      <c r="BO652" s="1293"/>
      <c r="BP652" s="1293"/>
      <c r="BQ652" s="1293"/>
      <c r="BR652" s="1293"/>
      <c r="BS652" s="1293"/>
      <c r="BT652" s="1293"/>
      <c r="BU652" s="1293"/>
      <c r="BV652" s="1293"/>
      <c r="BW652" s="1293"/>
      <c r="BX652" s="1293"/>
      <c r="BY652" s="1293"/>
      <c r="BZ652" s="1293"/>
      <c r="CA652" s="1293"/>
      <c r="CB652" s="1293"/>
      <c r="CC652" s="1293"/>
      <c r="CD652" s="1293"/>
      <c r="CE652" s="1293"/>
      <c r="CF652" s="1293"/>
      <c r="CG652" s="1293"/>
    </row>
    <row r="653" spans="1:85" ht="15.75">
      <c r="A653" s="1293"/>
      <c r="B653" s="1293"/>
      <c r="C653" s="1293"/>
      <c r="D653" s="1293"/>
      <c r="E653" s="1293"/>
      <c r="F653" s="1293"/>
      <c r="G653" s="1293"/>
      <c r="H653" s="1293"/>
      <c r="I653" s="1293"/>
      <c r="J653" s="1293"/>
      <c r="K653" s="1293"/>
      <c r="L653" s="1293"/>
      <c r="M653" s="1293"/>
      <c r="N653" s="1293"/>
      <c r="O653" s="1293"/>
      <c r="P653" s="1293"/>
      <c r="Q653" s="1293"/>
      <c r="R653" s="1293"/>
      <c r="S653" s="1293"/>
      <c r="T653" s="1293"/>
      <c r="U653" s="1293"/>
      <c r="V653" s="1293"/>
      <c r="W653" s="1293"/>
      <c r="X653" s="1293"/>
      <c r="Y653" s="1293"/>
      <c r="Z653" s="1293"/>
      <c r="AA653" s="1293"/>
      <c r="AB653" s="1293"/>
      <c r="AC653" s="1293"/>
      <c r="AD653" s="1293"/>
      <c r="AE653" s="1293"/>
      <c r="AF653" s="1293"/>
      <c r="AG653" s="1293"/>
      <c r="AH653" s="1293"/>
      <c r="AI653" s="1293"/>
      <c r="AJ653" s="1293"/>
      <c r="AK653" s="1293"/>
      <c r="AL653" s="1293"/>
      <c r="AM653" s="1293"/>
      <c r="AN653" s="1293"/>
      <c r="AO653" s="1293"/>
      <c r="AP653" s="1293"/>
      <c r="AQ653" s="1293"/>
      <c r="AR653" s="1293"/>
      <c r="AS653" s="1293"/>
      <c r="AT653" s="1293"/>
      <c r="AU653" s="1293"/>
      <c r="AV653" s="1293"/>
      <c r="AW653" s="1293"/>
      <c r="AX653" s="1293"/>
      <c r="AY653" s="1293"/>
      <c r="AZ653" s="1293"/>
      <c r="BA653" s="1293"/>
      <c r="BB653" s="1293"/>
      <c r="BC653" s="1293"/>
      <c r="BD653" s="1293"/>
      <c r="BE653" s="1293"/>
      <c r="BF653" s="1293"/>
      <c r="BG653" s="1293"/>
      <c r="BH653" s="1293"/>
      <c r="BI653" s="1293"/>
      <c r="BJ653" s="1293"/>
      <c r="BK653" s="1293"/>
      <c r="BL653" s="1293"/>
      <c r="BM653" s="1293"/>
      <c r="BN653" s="1293"/>
      <c r="BO653" s="1293"/>
      <c r="BP653" s="1293"/>
      <c r="BQ653" s="1293"/>
      <c r="BR653" s="1293"/>
      <c r="BS653" s="1293"/>
      <c r="BT653" s="1293"/>
      <c r="BU653" s="1293"/>
      <c r="BV653" s="1293"/>
      <c r="BW653" s="1293"/>
      <c r="BX653" s="1293"/>
      <c r="BY653" s="1293"/>
      <c r="BZ653" s="1293"/>
      <c r="CA653" s="1293"/>
      <c r="CB653" s="1293"/>
      <c r="CC653" s="1293"/>
      <c r="CD653" s="1293"/>
      <c r="CE653" s="1293"/>
      <c r="CF653" s="1293"/>
      <c r="CG653" s="1293"/>
    </row>
    <row r="654" spans="1:85" ht="15.75">
      <c r="A654" s="1293"/>
      <c r="B654" s="1293"/>
      <c r="C654" s="1293"/>
      <c r="D654" s="1293"/>
      <c r="E654" s="1293"/>
      <c r="F654" s="1293"/>
      <c r="G654" s="1293"/>
      <c r="H654" s="1293"/>
      <c r="I654" s="1293"/>
      <c r="J654" s="1293"/>
      <c r="K654" s="1293"/>
      <c r="L654" s="1293"/>
      <c r="M654" s="1293"/>
      <c r="N654" s="1293"/>
      <c r="O654" s="1293"/>
      <c r="P654" s="1293"/>
      <c r="Q654" s="1293"/>
      <c r="R654" s="1293"/>
      <c r="S654" s="1293"/>
      <c r="T654" s="1293"/>
      <c r="U654" s="1293"/>
      <c r="V654" s="1293"/>
      <c r="W654" s="1293"/>
      <c r="X654" s="1293"/>
      <c r="Y654" s="1293"/>
      <c r="Z654" s="1293"/>
      <c r="AA654" s="1293"/>
      <c r="AB654" s="1293"/>
      <c r="AC654" s="1293"/>
      <c r="AD654" s="1293"/>
      <c r="AE654" s="1293"/>
      <c r="AF654" s="1293"/>
      <c r="AG654" s="1293"/>
      <c r="AH654" s="1293"/>
      <c r="AI654" s="1293"/>
      <c r="AJ654" s="1293"/>
      <c r="AK654" s="1293"/>
      <c r="AL654" s="1293"/>
      <c r="AM654" s="1293"/>
      <c r="AN654" s="1293"/>
      <c r="AO654" s="1293"/>
      <c r="AP654" s="1293"/>
      <c r="AQ654" s="1293"/>
      <c r="AR654" s="1293"/>
      <c r="AS654" s="1293"/>
      <c r="AT654" s="1293"/>
      <c r="AU654" s="1293"/>
      <c r="AV654" s="1293"/>
      <c r="AW654" s="1293"/>
      <c r="AX654" s="1293"/>
      <c r="AY654" s="1293"/>
      <c r="AZ654" s="1293"/>
      <c r="BA654" s="1293"/>
      <c r="BB654" s="1293"/>
      <c r="BC654" s="1293"/>
      <c r="BD654" s="1293"/>
      <c r="BE654" s="1293"/>
      <c r="BF654" s="1293"/>
      <c r="BG654" s="1293"/>
      <c r="BH654" s="1293"/>
      <c r="BI654" s="1293"/>
      <c r="BJ654" s="1293"/>
      <c r="BK654" s="1293"/>
      <c r="BL654" s="1293"/>
      <c r="BM654" s="1293"/>
      <c r="BN654" s="1293"/>
      <c r="BO654" s="1293"/>
      <c r="BP654" s="1293"/>
      <c r="BQ654" s="1293"/>
      <c r="BR654" s="1293"/>
      <c r="BS654" s="1293"/>
      <c r="BT654" s="1293"/>
      <c r="BU654" s="1293"/>
      <c r="BV654" s="1293"/>
      <c r="BW654" s="1293"/>
      <c r="BX654" s="1293"/>
      <c r="BY654" s="1293"/>
      <c r="BZ654" s="1293"/>
      <c r="CA654" s="1293"/>
      <c r="CB654" s="1293"/>
      <c r="CC654" s="1293"/>
      <c r="CD654" s="1293"/>
      <c r="CE654" s="1293"/>
      <c r="CF654" s="1293"/>
      <c r="CG654" s="1293"/>
    </row>
    <row r="655" spans="1:85" ht="15.75">
      <c r="A655" s="1293"/>
      <c r="B655" s="1293"/>
      <c r="C655" s="1293"/>
      <c r="D655" s="1293"/>
      <c r="E655" s="1293"/>
      <c r="F655" s="1293"/>
      <c r="G655" s="1293"/>
      <c r="H655" s="1293"/>
      <c r="I655" s="1293"/>
      <c r="J655" s="1293"/>
      <c r="K655" s="1293"/>
      <c r="L655" s="1293"/>
      <c r="M655" s="1293"/>
      <c r="N655" s="1293"/>
      <c r="O655" s="1293"/>
      <c r="P655" s="1293"/>
      <c r="Q655" s="1293"/>
      <c r="R655" s="1293"/>
      <c r="S655" s="1293"/>
      <c r="T655" s="1293"/>
      <c r="U655" s="1293"/>
      <c r="V655" s="1293"/>
      <c r="W655" s="1293"/>
      <c r="X655" s="1293"/>
      <c r="Y655" s="1293"/>
      <c r="Z655" s="1293"/>
      <c r="AA655" s="1293"/>
      <c r="AB655" s="1293"/>
      <c r="AC655" s="1293"/>
      <c r="AD655" s="1293"/>
      <c r="AE655" s="1293"/>
      <c r="AF655" s="1293"/>
      <c r="AG655" s="1293"/>
      <c r="AH655" s="1293"/>
      <c r="AI655" s="1293"/>
      <c r="AJ655" s="1293"/>
      <c r="AK655" s="1293"/>
      <c r="AL655" s="1293"/>
      <c r="AM655" s="1293"/>
      <c r="AN655" s="1293"/>
      <c r="AO655" s="1293"/>
      <c r="AP655" s="1293"/>
      <c r="AQ655" s="1293"/>
      <c r="AR655" s="1293"/>
      <c r="AS655" s="1293"/>
      <c r="AT655" s="1293"/>
      <c r="AU655" s="1293"/>
      <c r="AV655" s="1293"/>
      <c r="AW655" s="1293"/>
      <c r="AX655" s="1293"/>
      <c r="AY655" s="1293"/>
      <c r="AZ655" s="1293"/>
      <c r="BA655" s="1293"/>
      <c r="BB655" s="1293"/>
      <c r="BC655" s="1293"/>
      <c r="BD655" s="1293"/>
      <c r="BE655" s="1293"/>
      <c r="BF655" s="1293"/>
      <c r="BG655" s="1293"/>
      <c r="BH655" s="1293"/>
      <c r="BI655" s="1293"/>
      <c r="BJ655" s="1293"/>
      <c r="BK655" s="1293"/>
      <c r="BL655" s="1293"/>
      <c r="BM655" s="1293"/>
      <c r="BN655" s="1293"/>
      <c r="BO655" s="1293"/>
      <c r="BP655" s="1293"/>
      <c r="BQ655" s="1293"/>
      <c r="BR655" s="1293"/>
      <c r="BS655" s="1293"/>
      <c r="BT655" s="1293"/>
      <c r="BU655" s="1293"/>
      <c r="BV655" s="1293"/>
      <c r="BW655" s="1293"/>
      <c r="BX655" s="1293"/>
      <c r="BY655" s="1293"/>
      <c r="BZ655" s="1293"/>
      <c r="CA655" s="1293"/>
      <c r="CB655" s="1293"/>
      <c r="CC655" s="1293"/>
      <c r="CD655" s="1293"/>
      <c r="CE655" s="1293"/>
      <c r="CF655" s="1293"/>
      <c r="CG655" s="1293"/>
    </row>
    <row r="656" spans="1:85" ht="15.75">
      <c r="A656" s="1293"/>
      <c r="B656" s="1293"/>
      <c r="C656" s="1293"/>
      <c r="D656" s="1293"/>
      <c r="E656" s="1293"/>
      <c r="F656" s="1293"/>
      <c r="G656" s="1293"/>
      <c r="H656" s="1293"/>
      <c r="I656" s="1293"/>
      <c r="J656" s="1293"/>
      <c r="K656" s="1293"/>
      <c r="L656" s="1293"/>
      <c r="M656" s="1293"/>
      <c r="N656" s="1293"/>
      <c r="O656" s="1293"/>
      <c r="P656" s="1293"/>
      <c r="Q656" s="1293"/>
      <c r="R656" s="1293"/>
      <c r="S656" s="1293"/>
      <c r="T656" s="1293"/>
      <c r="U656" s="1293"/>
      <c r="V656" s="1293"/>
      <c r="W656" s="1293"/>
      <c r="X656" s="1293"/>
      <c r="Y656" s="1293"/>
      <c r="Z656" s="1293"/>
      <c r="AA656" s="1293"/>
      <c r="AB656" s="1293"/>
      <c r="AC656" s="1293"/>
      <c r="AD656" s="1293"/>
      <c r="AE656" s="1293"/>
      <c r="AF656" s="1293"/>
      <c r="AG656" s="1293"/>
      <c r="AH656" s="1293"/>
      <c r="AI656" s="1293"/>
      <c r="AJ656" s="1293"/>
      <c r="AK656" s="1293"/>
      <c r="AL656" s="1293"/>
      <c r="AM656" s="1293"/>
      <c r="AN656" s="1293"/>
      <c r="AO656" s="1293"/>
      <c r="AP656" s="1293"/>
      <c r="AQ656" s="1293"/>
      <c r="AR656" s="1293"/>
      <c r="AS656" s="1293"/>
      <c r="AT656" s="1293"/>
      <c r="AU656" s="1293"/>
      <c r="AV656" s="1293"/>
      <c r="AW656" s="1293"/>
      <c r="AX656" s="1293"/>
      <c r="AY656" s="1293"/>
      <c r="AZ656" s="1293"/>
      <c r="BA656" s="1293"/>
      <c r="BB656" s="1293"/>
      <c r="BC656" s="1293"/>
      <c r="BD656" s="1293"/>
      <c r="BE656" s="1293"/>
      <c r="BF656" s="1293"/>
      <c r="BG656" s="1293"/>
      <c r="BH656" s="1293"/>
      <c r="BI656" s="1293"/>
      <c r="BJ656" s="1293"/>
      <c r="BK656" s="1293"/>
      <c r="BL656" s="1293"/>
      <c r="BM656" s="1293"/>
      <c r="BN656" s="1293"/>
      <c r="BO656" s="1293"/>
      <c r="BP656" s="1293"/>
      <c r="BQ656" s="1293"/>
      <c r="BR656" s="1293"/>
      <c r="BS656" s="1293"/>
      <c r="BT656" s="1293"/>
      <c r="BU656" s="1293"/>
      <c r="BV656" s="1293"/>
      <c r="BW656" s="1293"/>
      <c r="BX656" s="1293"/>
      <c r="BY656" s="1293"/>
      <c r="BZ656" s="1293"/>
      <c r="CA656" s="1293"/>
      <c r="CB656" s="1293"/>
      <c r="CC656" s="1293"/>
      <c r="CD656" s="1293"/>
      <c r="CE656" s="1293"/>
      <c r="CF656" s="1293"/>
      <c r="CG656" s="1293"/>
    </row>
    <row r="657" spans="1:85" ht="15.75">
      <c r="A657" s="1293"/>
      <c r="B657" s="1293"/>
      <c r="C657" s="1293"/>
      <c r="D657" s="1293"/>
      <c r="E657" s="1293"/>
      <c r="F657" s="1293"/>
      <c r="G657" s="1293"/>
      <c r="H657" s="1293"/>
      <c r="I657" s="1293"/>
      <c r="J657" s="1293"/>
      <c r="K657" s="1293"/>
      <c r="L657" s="1293"/>
      <c r="M657" s="1293"/>
      <c r="N657" s="1293"/>
      <c r="O657" s="1293"/>
      <c r="P657" s="1293"/>
      <c r="Q657" s="1293"/>
      <c r="R657" s="1293"/>
      <c r="S657" s="1293"/>
      <c r="T657" s="1293"/>
      <c r="U657" s="1293"/>
      <c r="V657" s="1293"/>
      <c r="W657" s="1293"/>
      <c r="X657" s="1293"/>
      <c r="Y657" s="1293"/>
      <c r="Z657" s="1293"/>
      <c r="AA657" s="1293"/>
      <c r="AB657" s="1293"/>
      <c r="AC657" s="1293"/>
      <c r="AD657" s="1293"/>
      <c r="AE657" s="1293"/>
      <c r="AF657" s="1293"/>
      <c r="AG657" s="1293"/>
      <c r="AH657" s="1293"/>
      <c r="AI657" s="1293"/>
      <c r="AJ657" s="1293"/>
      <c r="AK657" s="1293"/>
      <c r="AL657" s="1293"/>
      <c r="AM657" s="1293"/>
      <c r="AN657" s="1293"/>
      <c r="AO657" s="1293"/>
      <c r="AP657" s="1293"/>
      <c r="AQ657" s="1293"/>
      <c r="AR657" s="1293"/>
      <c r="AS657" s="1293"/>
      <c r="AT657" s="1293"/>
      <c r="AU657" s="1293"/>
      <c r="AV657" s="1293"/>
      <c r="AW657" s="1293"/>
      <c r="AX657" s="1293"/>
      <c r="AY657" s="1293"/>
      <c r="AZ657" s="1293"/>
      <c r="BA657" s="1293"/>
      <c r="BB657" s="1293"/>
      <c r="BC657" s="1293"/>
      <c r="BD657" s="1293"/>
      <c r="BE657" s="1293"/>
      <c r="BF657" s="1293"/>
      <c r="BG657" s="1293"/>
      <c r="BH657" s="1293"/>
      <c r="BI657" s="1293"/>
      <c r="BJ657" s="1293"/>
      <c r="BK657" s="1293"/>
      <c r="BL657" s="1293"/>
      <c r="BM657" s="1293"/>
      <c r="BN657" s="1293"/>
      <c r="BO657" s="1293"/>
      <c r="BP657" s="1293"/>
      <c r="BQ657" s="1293"/>
      <c r="BR657" s="1293"/>
      <c r="BS657" s="1293"/>
      <c r="BT657" s="1293"/>
      <c r="BU657" s="1293"/>
      <c r="BV657" s="1293"/>
      <c r="BW657" s="1293"/>
      <c r="BX657" s="1293"/>
      <c r="BY657" s="1293"/>
      <c r="BZ657" s="1293"/>
      <c r="CA657" s="1293"/>
      <c r="CB657" s="1293"/>
      <c r="CC657" s="1293"/>
      <c r="CD657" s="1293"/>
      <c r="CE657" s="1293"/>
      <c r="CF657" s="1293"/>
      <c r="CG657" s="1293"/>
    </row>
    <row r="658" spans="1:85" ht="15.75">
      <c r="A658" s="1293"/>
      <c r="B658" s="1293"/>
      <c r="C658" s="1293"/>
      <c r="D658" s="1293"/>
      <c r="E658" s="1293"/>
      <c r="F658" s="1293"/>
      <c r="G658" s="1293"/>
      <c r="H658" s="1293"/>
      <c r="I658" s="1293"/>
      <c r="J658" s="1293"/>
      <c r="K658" s="1293"/>
      <c r="L658" s="1293"/>
      <c r="M658" s="1293"/>
      <c r="N658" s="1293"/>
      <c r="O658" s="1293"/>
      <c r="P658" s="1293"/>
      <c r="Q658" s="1293"/>
      <c r="R658" s="1293"/>
      <c r="S658" s="1293"/>
      <c r="T658" s="1293"/>
      <c r="U658" s="1293"/>
      <c r="V658" s="1293"/>
      <c r="W658" s="1293"/>
      <c r="X658" s="1293"/>
      <c r="Y658" s="1293"/>
      <c r="Z658" s="1293"/>
      <c r="AA658" s="1293"/>
      <c r="AB658" s="1293"/>
      <c r="AC658" s="1293"/>
      <c r="AD658" s="1293"/>
      <c r="AE658" s="1293"/>
      <c r="AF658" s="1293"/>
      <c r="AG658" s="1293"/>
      <c r="AH658" s="1293"/>
      <c r="AI658" s="1293"/>
      <c r="AJ658" s="1293"/>
      <c r="AK658" s="1293"/>
      <c r="AL658" s="1293"/>
      <c r="AM658" s="1293"/>
      <c r="AN658" s="1293"/>
      <c r="AO658" s="1293"/>
      <c r="AP658" s="1293"/>
      <c r="AQ658" s="1293"/>
      <c r="AR658" s="1293"/>
      <c r="AS658" s="1293"/>
      <c r="AT658" s="1293"/>
      <c r="AU658" s="1293"/>
      <c r="AV658" s="1293"/>
      <c r="AW658" s="1293"/>
      <c r="AX658" s="1293"/>
      <c r="AY658" s="1293"/>
      <c r="AZ658" s="1293"/>
      <c r="BA658" s="1293"/>
      <c r="BB658" s="1293"/>
      <c r="BC658" s="1293"/>
      <c r="BD658" s="1293"/>
      <c r="BE658" s="1293"/>
      <c r="BF658" s="1293"/>
      <c r="BG658" s="1293"/>
      <c r="BH658" s="1293"/>
      <c r="BI658" s="1293"/>
      <c r="BJ658" s="1293"/>
      <c r="BK658" s="1293"/>
      <c r="BL658" s="1293"/>
      <c r="BM658" s="1293"/>
      <c r="BN658" s="1293"/>
      <c r="BO658" s="1293"/>
      <c r="BP658" s="1293"/>
      <c r="BQ658" s="1293"/>
      <c r="BR658" s="1293"/>
      <c r="BS658" s="1293"/>
      <c r="BT658" s="1293"/>
      <c r="BU658" s="1293"/>
      <c r="BV658" s="1293"/>
      <c r="BW658" s="1293"/>
      <c r="BX658" s="1293"/>
      <c r="BY658" s="1293"/>
      <c r="BZ658" s="1293"/>
      <c r="CA658" s="1293"/>
      <c r="CB658" s="1293"/>
      <c r="CC658" s="1293"/>
      <c r="CD658" s="1293"/>
      <c r="CE658" s="1293"/>
      <c r="CF658" s="1293"/>
      <c r="CG658" s="1293"/>
    </row>
    <row r="659" spans="1:85" ht="15.75">
      <c r="A659" s="1293"/>
      <c r="B659" s="1293"/>
      <c r="C659" s="1293"/>
      <c r="D659" s="1293"/>
      <c r="E659" s="1293"/>
      <c r="F659" s="1293"/>
      <c r="G659" s="1293"/>
      <c r="H659" s="1293"/>
      <c r="I659" s="1293"/>
      <c r="J659" s="1293"/>
      <c r="K659" s="1293"/>
      <c r="L659" s="1293"/>
      <c r="M659" s="1293"/>
      <c r="N659" s="1293"/>
      <c r="O659" s="1293"/>
      <c r="P659" s="1293"/>
      <c r="Q659" s="1293"/>
      <c r="R659" s="1293"/>
      <c r="S659" s="1293"/>
      <c r="T659" s="1293"/>
      <c r="U659" s="1293"/>
      <c r="V659" s="1293"/>
      <c r="W659" s="1293"/>
      <c r="X659" s="1293"/>
      <c r="Y659" s="1293"/>
      <c r="Z659" s="1293"/>
      <c r="AA659" s="1293"/>
      <c r="AB659" s="1293"/>
      <c r="AC659" s="1293"/>
      <c r="AD659" s="1293"/>
      <c r="AE659" s="1293"/>
      <c r="AF659" s="1293"/>
      <c r="AG659" s="1293"/>
      <c r="AH659" s="1293"/>
      <c r="AI659" s="1293"/>
      <c r="AJ659" s="1293"/>
      <c r="AK659" s="1293"/>
      <c r="AL659" s="1293"/>
      <c r="AM659" s="1293"/>
      <c r="AN659" s="1293"/>
      <c r="AO659" s="1293"/>
      <c r="AP659" s="1293"/>
      <c r="AQ659" s="1293"/>
      <c r="AR659" s="1293"/>
      <c r="AS659" s="1293"/>
      <c r="AT659" s="1293"/>
      <c r="AU659" s="1293"/>
      <c r="AV659" s="1293"/>
      <c r="AW659" s="1293"/>
      <c r="AX659" s="1293"/>
      <c r="AY659" s="1293"/>
      <c r="AZ659" s="1293"/>
      <c r="BA659" s="1293"/>
      <c r="BB659" s="1293"/>
      <c r="BC659" s="1293"/>
      <c r="BD659" s="1293"/>
      <c r="BE659" s="1293"/>
      <c r="BF659" s="1293"/>
      <c r="BG659" s="1293"/>
      <c r="BH659" s="1293"/>
      <c r="BI659" s="1293"/>
      <c r="BJ659" s="1293"/>
      <c r="BK659" s="1293"/>
      <c r="BL659" s="1293"/>
      <c r="BM659" s="1293"/>
      <c r="BN659" s="1293"/>
      <c r="BO659" s="1293"/>
      <c r="BP659" s="1293"/>
      <c r="BQ659" s="1293"/>
      <c r="BR659" s="1293"/>
      <c r="BS659" s="1293"/>
      <c r="BT659" s="1293"/>
      <c r="BU659" s="1293"/>
      <c r="BV659" s="1293"/>
      <c r="BW659" s="1293"/>
      <c r="BX659" s="1293"/>
      <c r="BY659" s="1293"/>
      <c r="BZ659" s="1293"/>
      <c r="CA659" s="1293"/>
      <c r="CB659" s="1293"/>
      <c r="CC659" s="1293"/>
      <c r="CD659" s="1293"/>
      <c r="CE659" s="1293"/>
      <c r="CF659" s="1293"/>
      <c r="CG659" s="1293"/>
    </row>
    <row r="660" spans="1:85" ht="15.75">
      <c r="A660" s="1293"/>
      <c r="B660" s="1293"/>
      <c r="C660" s="1293"/>
      <c r="D660" s="1293"/>
      <c r="E660" s="1293"/>
      <c r="F660" s="1293"/>
      <c r="G660" s="1293"/>
      <c r="H660" s="1293"/>
      <c r="I660" s="1293"/>
      <c r="J660" s="1293"/>
      <c r="K660" s="1293"/>
      <c r="L660" s="1293"/>
      <c r="M660" s="1293"/>
      <c r="N660" s="1293"/>
      <c r="O660" s="1293"/>
      <c r="P660" s="1293"/>
      <c r="Q660" s="1293"/>
      <c r="R660" s="1293"/>
      <c r="S660" s="1293"/>
      <c r="T660" s="1293"/>
      <c r="U660" s="1293"/>
      <c r="V660" s="1293"/>
      <c r="W660" s="1293"/>
      <c r="X660" s="1293"/>
      <c r="Y660" s="1293"/>
      <c r="Z660" s="1293"/>
      <c r="AA660" s="1293"/>
      <c r="AB660" s="1293"/>
      <c r="AC660" s="1293"/>
      <c r="AD660" s="1293"/>
      <c r="AE660" s="1293"/>
      <c r="AF660" s="1293"/>
      <c r="AG660" s="1293"/>
      <c r="AH660" s="1293"/>
      <c r="AI660" s="1293"/>
      <c r="AJ660" s="1293"/>
      <c r="AK660" s="1293"/>
      <c r="AL660" s="1293"/>
      <c r="AM660" s="1293"/>
      <c r="AN660" s="1293"/>
      <c r="AO660" s="1293"/>
      <c r="AP660" s="1293"/>
      <c r="AQ660" s="1293"/>
      <c r="AR660" s="1293"/>
      <c r="AS660" s="1293"/>
      <c r="AT660" s="1293"/>
      <c r="AU660" s="1293"/>
      <c r="AV660" s="1293"/>
      <c r="AW660" s="1293"/>
      <c r="AX660" s="1293"/>
      <c r="AY660" s="1293"/>
      <c r="AZ660" s="1293"/>
      <c r="BA660" s="1293"/>
      <c r="BB660" s="1293"/>
      <c r="BC660" s="1293"/>
      <c r="BD660" s="1293"/>
      <c r="BE660" s="1293"/>
      <c r="BF660" s="1293"/>
      <c r="BG660" s="1293"/>
      <c r="BH660" s="1293"/>
      <c r="BI660" s="1293"/>
      <c r="BJ660" s="1293"/>
      <c r="BK660" s="1293"/>
      <c r="BL660" s="1293"/>
      <c r="BM660" s="1293"/>
      <c r="BN660" s="1293"/>
      <c r="BO660" s="1293"/>
      <c r="BP660" s="1293"/>
      <c r="BQ660" s="1293"/>
      <c r="BR660" s="1293"/>
      <c r="BS660" s="1293"/>
      <c r="BT660" s="1293"/>
      <c r="BU660" s="1293"/>
      <c r="BV660" s="1293"/>
      <c r="BW660" s="1293"/>
      <c r="BX660" s="1293"/>
      <c r="BY660" s="1293"/>
      <c r="BZ660" s="1293"/>
      <c r="CA660" s="1293"/>
      <c r="CB660" s="1293"/>
      <c r="CC660" s="1293"/>
      <c r="CD660" s="1293"/>
      <c r="CE660" s="1293"/>
      <c r="CF660" s="1293"/>
      <c r="CG660" s="1293"/>
    </row>
    <row r="661" spans="1:85" ht="15.75">
      <c r="A661" s="1293"/>
      <c r="B661" s="1293"/>
      <c r="C661" s="1293"/>
      <c r="D661" s="1293"/>
      <c r="E661" s="1293"/>
      <c r="F661" s="1293"/>
      <c r="G661" s="1293"/>
      <c r="H661" s="1293"/>
      <c r="I661" s="1293"/>
      <c r="J661" s="1293"/>
      <c r="K661" s="1293"/>
      <c r="L661" s="1293"/>
      <c r="M661" s="1293"/>
      <c r="N661" s="1293"/>
      <c r="O661" s="1293"/>
      <c r="P661" s="1293"/>
      <c r="Q661" s="1293"/>
      <c r="R661" s="1293"/>
      <c r="S661" s="1293"/>
      <c r="T661" s="1293"/>
      <c r="U661" s="1293"/>
      <c r="V661" s="1293"/>
      <c r="W661" s="1293"/>
      <c r="X661" s="1293"/>
      <c r="Y661" s="1293"/>
      <c r="Z661" s="1293"/>
      <c r="AA661" s="1293"/>
      <c r="AB661" s="1293"/>
      <c r="AC661" s="1293"/>
      <c r="AD661" s="1293"/>
      <c r="AE661" s="1293"/>
      <c r="AF661" s="1293"/>
      <c r="AG661" s="1293"/>
      <c r="AH661" s="1293"/>
      <c r="AI661" s="1293"/>
      <c r="AJ661" s="1293"/>
      <c r="AK661" s="1293"/>
      <c r="AL661" s="1293"/>
      <c r="AM661" s="1293"/>
      <c r="AN661" s="1293"/>
      <c r="AO661" s="1293"/>
      <c r="AP661" s="1293"/>
      <c r="AQ661" s="1293"/>
      <c r="AR661" s="1293"/>
      <c r="AS661" s="1293"/>
      <c r="AT661" s="1293"/>
      <c r="AU661" s="1293"/>
      <c r="AV661" s="1293"/>
      <c r="AW661" s="1293"/>
      <c r="AX661" s="1293"/>
      <c r="AY661" s="1293"/>
      <c r="AZ661" s="1293"/>
      <c r="BA661" s="1293"/>
      <c r="BB661" s="1293"/>
      <c r="BC661" s="1293"/>
      <c r="BD661" s="1293"/>
      <c r="BE661" s="1293"/>
      <c r="BF661" s="1293"/>
      <c r="BG661" s="1293"/>
      <c r="BH661" s="1293"/>
      <c r="BI661" s="1293"/>
      <c r="BJ661" s="1293"/>
      <c r="BK661" s="1293"/>
      <c r="BL661" s="1293"/>
      <c r="BM661" s="1293"/>
      <c r="BN661" s="1293"/>
      <c r="BO661" s="1293"/>
      <c r="BP661" s="1293"/>
      <c r="BQ661" s="1293"/>
      <c r="BR661" s="1293"/>
      <c r="BS661" s="1293"/>
      <c r="BT661" s="1293"/>
      <c r="BU661" s="1293"/>
      <c r="BV661" s="1293"/>
      <c r="BW661" s="1293"/>
      <c r="BX661" s="1293"/>
      <c r="BY661" s="1293"/>
      <c r="BZ661" s="1293"/>
      <c r="CA661" s="1293"/>
      <c r="CB661" s="1293"/>
      <c r="CC661" s="1293"/>
      <c r="CD661" s="1293"/>
      <c r="CE661" s="1293"/>
      <c r="CF661" s="1293"/>
      <c r="CG661" s="1293"/>
    </row>
    <row r="662" spans="1:85" ht="15.75">
      <c r="A662" s="1293"/>
      <c r="B662" s="1293"/>
      <c r="C662" s="1293"/>
      <c r="D662" s="1293"/>
      <c r="E662" s="1293"/>
      <c r="F662" s="1293"/>
      <c r="G662" s="1293"/>
      <c r="H662" s="1293"/>
      <c r="I662" s="1293"/>
      <c r="J662" s="1293"/>
      <c r="K662" s="1293"/>
      <c r="L662" s="1293"/>
      <c r="M662" s="1293"/>
      <c r="N662" s="1293"/>
      <c r="O662" s="1293"/>
      <c r="P662" s="1293"/>
      <c r="Q662" s="1293"/>
      <c r="R662" s="1293"/>
      <c r="S662" s="1293"/>
      <c r="T662" s="1293"/>
      <c r="U662" s="1293"/>
      <c r="V662" s="1293"/>
      <c r="W662" s="1293"/>
      <c r="X662" s="1293"/>
      <c r="Y662" s="1293"/>
      <c r="Z662" s="1293"/>
      <c r="AA662" s="1293"/>
      <c r="AB662" s="1293"/>
      <c r="AC662" s="1293"/>
      <c r="AD662" s="1293"/>
      <c r="AE662" s="1293"/>
      <c r="AF662" s="1293"/>
      <c r="AG662" s="1293"/>
      <c r="AH662" s="1293"/>
      <c r="AI662" s="1293"/>
      <c r="AJ662" s="1293"/>
      <c r="AK662" s="1293"/>
      <c r="AL662" s="1293"/>
      <c r="AM662" s="1293"/>
      <c r="AN662" s="1293"/>
      <c r="AO662" s="1293"/>
      <c r="AP662" s="1293"/>
      <c r="AQ662" s="1293"/>
      <c r="AR662" s="1293"/>
      <c r="AS662" s="1293"/>
      <c r="AT662" s="1293"/>
      <c r="AU662" s="1293"/>
      <c r="AV662" s="1293"/>
      <c r="AW662" s="1293"/>
      <c r="AX662" s="1293"/>
      <c r="AY662" s="1293"/>
      <c r="AZ662" s="1293"/>
      <c r="BA662" s="1293"/>
      <c r="BB662" s="1293"/>
      <c r="BC662" s="1293"/>
      <c r="BD662" s="1293"/>
      <c r="BE662" s="1293"/>
      <c r="BF662" s="1293"/>
      <c r="BG662" s="1293"/>
      <c r="BH662" s="1293"/>
      <c r="BI662" s="1293"/>
      <c r="BJ662" s="1293"/>
      <c r="BK662" s="1293"/>
      <c r="BL662" s="1293"/>
      <c r="BM662" s="1293"/>
      <c r="BN662" s="1293"/>
      <c r="BO662" s="1293"/>
      <c r="BP662" s="1293"/>
      <c r="BQ662" s="1293"/>
      <c r="BR662" s="1293"/>
      <c r="BS662" s="1293"/>
      <c r="BT662" s="1293"/>
      <c r="BU662" s="1293"/>
      <c r="BV662" s="1293"/>
      <c r="BW662" s="1293"/>
      <c r="BX662" s="1293"/>
      <c r="BY662" s="1293"/>
      <c r="BZ662" s="1293"/>
      <c r="CA662" s="1293"/>
      <c r="CB662" s="1293"/>
      <c r="CC662" s="1293"/>
      <c r="CD662" s="1293"/>
      <c r="CE662" s="1293"/>
      <c r="CF662" s="1293"/>
      <c r="CG662" s="1293"/>
    </row>
    <row r="663" spans="1:85" ht="15.75">
      <c r="A663" s="1293"/>
      <c r="B663" s="1293"/>
      <c r="C663" s="1293"/>
      <c r="D663" s="1293"/>
      <c r="E663" s="1293"/>
      <c r="F663" s="1293"/>
      <c r="G663" s="1293"/>
      <c r="H663" s="1293"/>
      <c r="I663" s="1293"/>
      <c r="J663" s="1293"/>
      <c r="K663" s="1293"/>
      <c r="L663" s="1293"/>
      <c r="M663" s="1293"/>
      <c r="N663" s="1293"/>
      <c r="O663" s="1293"/>
      <c r="P663" s="1293"/>
      <c r="Q663" s="1293"/>
      <c r="R663" s="1293"/>
      <c r="S663" s="1293"/>
      <c r="T663" s="1293"/>
      <c r="U663" s="1293"/>
      <c r="V663" s="1293"/>
      <c r="W663" s="1293"/>
      <c r="X663" s="1293"/>
      <c r="Y663" s="1293"/>
      <c r="Z663" s="1293"/>
      <c r="AA663" s="1293"/>
      <c r="AB663" s="1293"/>
      <c r="AC663" s="1293"/>
      <c r="AD663" s="1293"/>
      <c r="AE663" s="1293"/>
      <c r="AF663" s="1293"/>
      <c r="AG663" s="1293"/>
      <c r="AH663" s="1293"/>
      <c r="AI663" s="1293"/>
      <c r="AJ663" s="1293"/>
      <c r="AK663" s="1293"/>
      <c r="AL663" s="1293"/>
      <c r="AM663" s="1293"/>
      <c r="AN663" s="1293"/>
      <c r="AO663" s="1293"/>
      <c r="AP663" s="1293"/>
      <c r="AQ663" s="1293"/>
      <c r="AR663" s="1293"/>
      <c r="AS663" s="1293"/>
      <c r="AT663" s="1293"/>
      <c r="AU663" s="1293"/>
      <c r="AV663" s="1293"/>
      <c r="AW663" s="1293"/>
      <c r="AX663" s="1293"/>
      <c r="AY663" s="1293"/>
      <c r="AZ663" s="1293"/>
      <c r="BA663" s="1293"/>
      <c r="BB663" s="1293"/>
      <c r="BC663" s="1293"/>
      <c r="BD663" s="1293"/>
      <c r="BE663" s="1293"/>
      <c r="BF663" s="1293"/>
      <c r="BG663" s="1293"/>
      <c r="BH663" s="1293"/>
      <c r="BI663" s="1293"/>
      <c r="BJ663" s="1293"/>
      <c r="BK663" s="1293"/>
      <c r="BL663" s="1293"/>
      <c r="BM663" s="1293"/>
      <c r="BN663" s="1293"/>
      <c r="BO663" s="1293"/>
      <c r="BP663" s="1293"/>
      <c r="BQ663" s="1293"/>
      <c r="BR663" s="1293"/>
      <c r="BS663" s="1293"/>
      <c r="BT663" s="1293"/>
      <c r="BU663" s="1293"/>
      <c r="BV663" s="1293"/>
      <c r="BW663" s="1293"/>
      <c r="BX663" s="1293"/>
      <c r="BY663" s="1293"/>
      <c r="BZ663" s="1293"/>
      <c r="CA663" s="1293"/>
      <c r="CB663" s="1293"/>
      <c r="CC663" s="1293"/>
      <c r="CD663" s="1293"/>
      <c r="CE663" s="1293"/>
      <c r="CF663" s="1293"/>
      <c r="CG663" s="1293"/>
    </row>
    <row r="664" spans="1:85" ht="15.75">
      <c r="A664" s="1293"/>
      <c r="B664" s="1293"/>
      <c r="C664" s="1293"/>
      <c r="D664" s="1293"/>
      <c r="E664" s="1293"/>
      <c r="F664" s="1293"/>
      <c r="G664" s="1293"/>
      <c r="H664" s="1293"/>
      <c r="I664" s="1293"/>
      <c r="J664" s="1293"/>
      <c r="K664" s="1293"/>
      <c r="L664" s="1293"/>
      <c r="M664" s="1293"/>
      <c r="N664" s="1293"/>
      <c r="O664" s="1293"/>
      <c r="P664" s="1293"/>
      <c r="Q664" s="1293"/>
      <c r="R664" s="1293"/>
      <c r="S664" s="1293"/>
      <c r="T664" s="1293"/>
      <c r="U664" s="1293"/>
      <c r="V664" s="1293"/>
      <c r="W664" s="1293"/>
      <c r="X664" s="1293"/>
      <c r="Y664" s="1293"/>
      <c r="Z664" s="1293"/>
      <c r="AA664" s="1293"/>
      <c r="AB664" s="1293"/>
      <c r="AC664" s="1293"/>
      <c r="AD664" s="1293"/>
      <c r="AE664" s="1293"/>
      <c r="AF664" s="1293"/>
      <c r="AG664" s="1293"/>
      <c r="AH664" s="1293"/>
      <c r="AI664" s="1293"/>
      <c r="AJ664" s="1293"/>
      <c r="AK664" s="1293"/>
      <c r="AL664" s="1293"/>
      <c r="AM664" s="1293"/>
      <c r="AN664" s="1293"/>
      <c r="AO664" s="1293"/>
      <c r="AP664" s="1293"/>
      <c r="AQ664" s="1293"/>
      <c r="AR664" s="1293"/>
      <c r="AS664" s="1293"/>
      <c r="AT664" s="1293"/>
      <c r="AU664" s="1293"/>
      <c r="AV664" s="1293"/>
      <c r="AW664" s="1293"/>
      <c r="AX664" s="1293"/>
      <c r="AY664" s="1293"/>
      <c r="AZ664" s="1293"/>
      <c r="BA664" s="1293"/>
      <c r="BB664" s="1293"/>
      <c r="BC664" s="1293"/>
      <c r="BD664" s="1293"/>
      <c r="BE664" s="1293"/>
      <c r="BF664" s="1293"/>
      <c r="BG664" s="1293"/>
      <c r="BH664" s="1293"/>
      <c r="BI664" s="1293"/>
      <c r="BJ664" s="1293"/>
      <c r="BK664" s="1293"/>
      <c r="BL664" s="1293"/>
      <c r="BM664" s="1293"/>
      <c r="BN664" s="1293"/>
      <c r="BO664" s="1293"/>
      <c r="BP664" s="1293"/>
      <c r="BQ664" s="1293"/>
      <c r="BR664" s="1293"/>
      <c r="BS664" s="1293"/>
      <c r="BT664" s="1293"/>
      <c r="BU664" s="1293"/>
      <c r="BV664" s="1293"/>
      <c r="BW664" s="1293"/>
      <c r="BX664" s="1293"/>
      <c r="BY664" s="1293"/>
      <c r="BZ664" s="1293"/>
      <c r="CA664" s="1293"/>
      <c r="CB664" s="1293"/>
      <c r="CC664" s="1293"/>
      <c r="CD664" s="1293"/>
      <c r="CE664" s="1293"/>
      <c r="CF664" s="1293"/>
      <c r="CG664" s="1293"/>
    </row>
    <row r="665" spans="1:85" ht="15.75">
      <c r="A665" s="1293"/>
      <c r="B665" s="1293"/>
      <c r="C665" s="1293"/>
      <c r="D665" s="1293"/>
      <c r="E665" s="1293"/>
      <c r="F665" s="1293"/>
      <c r="G665" s="1293"/>
      <c r="H665" s="1293"/>
      <c r="I665" s="1293"/>
      <c r="J665" s="1293"/>
      <c r="K665" s="1293"/>
      <c r="L665" s="1293"/>
      <c r="M665" s="1293"/>
      <c r="N665" s="1293"/>
      <c r="O665" s="1293"/>
      <c r="P665" s="1293"/>
      <c r="Q665" s="1293"/>
      <c r="R665" s="1293"/>
      <c r="S665" s="1293"/>
      <c r="T665" s="1293"/>
      <c r="U665" s="1293"/>
      <c r="V665" s="1293"/>
      <c r="W665" s="1293"/>
      <c r="X665" s="1293"/>
      <c r="Y665" s="1293"/>
      <c r="Z665" s="1293"/>
      <c r="AA665" s="1293"/>
      <c r="AB665" s="1293"/>
      <c r="AC665" s="1293"/>
      <c r="AD665" s="1293"/>
      <c r="AE665" s="1293"/>
      <c r="AF665" s="1293"/>
      <c r="AG665" s="1293"/>
      <c r="AH665" s="1293"/>
      <c r="AI665" s="1293"/>
      <c r="AJ665" s="1293"/>
      <c r="AK665" s="1293"/>
      <c r="AL665" s="1293"/>
      <c r="AM665" s="1293"/>
      <c r="AN665" s="1293"/>
      <c r="AO665" s="1293"/>
      <c r="AP665" s="1293"/>
      <c r="AQ665" s="1293"/>
      <c r="AR665" s="1293"/>
      <c r="AS665" s="1293"/>
      <c r="AT665" s="1293"/>
      <c r="AU665" s="1293"/>
      <c r="AV665" s="1293"/>
      <c r="AW665" s="1293"/>
      <c r="AX665" s="1293"/>
      <c r="AY665" s="1293"/>
      <c r="AZ665" s="1293"/>
      <c r="BA665" s="1293"/>
      <c r="BB665" s="1293"/>
      <c r="BC665" s="1293"/>
      <c r="BD665" s="1293"/>
      <c r="BE665" s="1293"/>
      <c r="BF665" s="1293"/>
      <c r="BG665" s="1293"/>
      <c r="BH665" s="1293"/>
      <c r="BI665" s="1293"/>
      <c r="BJ665" s="1293"/>
      <c r="BK665" s="1293"/>
      <c r="BL665" s="1293"/>
      <c r="BM665" s="1293"/>
      <c r="BN665" s="1293"/>
      <c r="BO665" s="1293"/>
      <c r="BP665" s="1293"/>
      <c r="BQ665" s="1293"/>
      <c r="BR665" s="1293"/>
      <c r="BS665" s="1293"/>
      <c r="BT665" s="1293"/>
      <c r="BU665" s="1293"/>
      <c r="BV665" s="1293"/>
      <c r="BW665" s="1293"/>
      <c r="BX665" s="1293"/>
      <c r="BY665" s="1293"/>
      <c r="BZ665" s="1293"/>
      <c r="CA665" s="1293"/>
      <c r="CB665" s="1293"/>
      <c r="CC665" s="1293"/>
      <c r="CD665" s="1293"/>
      <c r="CE665" s="1293"/>
      <c r="CF665" s="1293"/>
      <c r="CG665" s="1293"/>
    </row>
    <row r="666" spans="1:85" ht="15.75">
      <c r="A666" s="1293"/>
      <c r="B666" s="1293"/>
      <c r="C666" s="1293"/>
      <c r="D666" s="1293"/>
      <c r="E666" s="1293"/>
      <c r="F666" s="1293"/>
      <c r="G666" s="1293"/>
      <c r="H666" s="1293"/>
      <c r="I666" s="1293"/>
      <c r="J666" s="1293"/>
      <c r="K666" s="1293"/>
      <c r="L666" s="1293"/>
      <c r="M666" s="1293"/>
      <c r="N666" s="1293"/>
      <c r="O666" s="1293"/>
      <c r="P666" s="1293"/>
      <c r="Q666" s="1293"/>
      <c r="R666" s="1293"/>
      <c r="S666" s="1293"/>
      <c r="T666" s="1293"/>
      <c r="U666" s="1293"/>
      <c r="V666" s="1293"/>
      <c r="W666" s="1293"/>
      <c r="X666" s="1293"/>
      <c r="Y666" s="1293"/>
      <c r="Z666" s="1293"/>
      <c r="AA666" s="1293"/>
      <c r="AB666" s="1293"/>
      <c r="AC666" s="1293"/>
      <c r="AD666" s="1293"/>
      <c r="AE666" s="1293"/>
      <c r="AF666" s="1293"/>
      <c r="AG666" s="1293"/>
      <c r="AH666" s="1293"/>
      <c r="AI666" s="1293"/>
      <c r="AJ666" s="1293"/>
      <c r="AK666" s="1293"/>
      <c r="AL666" s="1293"/>
      <c r="AM666" s="1293"/>
      <c r="AN666" s="1293"/>
      <c r="AO666" s="1293"/>
      <c r="AP666" s="1293"/>
      <c r="AQ666" s="1293"/>
      <c r="AR666" s="1293"/>
      <c r="AS666" s="1293"/>
      <c r="AT666" s="1293"/>
      <c r="AU666" s="1293"/>
      <c r="AV666" s="1293"/>
      <c r="AW666" s="1293"/>
      <c r="AX666" s="1293"/>
      <c r="AY666" s="1293"/>
      <c r="AZ666" s="1293"/>
      <c r="BA666" s="1293"/>
      <c r="BB666" s="1293"/>
      <c r="BC666" s="1293"/>
      <c r="BD666" s="1293"/>
      <c r="BE666" s="1293"/>
      <c r="BF666" s="1293"/>
      <c r="BG666" s="1293"/>
      <c r="BH666" s="1293"/>
      <c r="BI666" s="1293"/>
      <c r="BJ666" s="1293"/>
      <c r="BK666" s="1293"/>
      <c r="BL666" s="1293"/>
      <c r="BM666" s="1293"/>
      <c r="BN666" s="1293"/>
      <c r="BO666" s="1293"/>
      <c r="BP666" s="1293"/>
      <c r="BQ666" s="1293"/>
      <c r="BR666" s="1293"/>
      <c r="BS666" s="1293"/>
      <c r="BT666" s="1293"/>
      <c r="BU666" s="1293"/>
      <c r="BV666" s="1293"/>
      <c r="BW666" s="1293"/>
      <c r="BX666" s="1293"/>
      <c r="BY666" s="1293"/>
      <c r="BZ666" s="1293"/>
      <c r="CA666" s="1293"/>
      <c r="CB666" s="1293"/>
      <c r="CC666" s="1293"/>
      <c r="CD666" s="1293"/>
      <c r="CE666" s="1293"/>
      <c r="CF666" s="1293"/>
      <c r="CG666" s="1293"/>
    </row>
    <row r="667" spans="1:85" ht="15.75">
      <c r="A667" s="1293"/>
      <c r="B667" s="1293"/>
      <c r="C667" s="1293"/>
      <c r="D667" s="1293"/>
      <c r="E667" s="1293"/>
      <c r="F667" s="1293"/>
      <c r="G667" s="1293"/>
      <c r="H667" s="1293"/>
      <c r="I667" s="1293"/>
      <c r="J667" s="1293"/>
      <c r="K667" s="1293"/>
      <c r="L667" s="1293"/>
      <c r="M667" s="1293"/>
      <c r="N667" s="1293"/>
      <c r="O667" s="1293"/>
      <c r="P667" s="1293"/>
      <c r="Q667" s="1293"/>
      <c r="R667" s="1293"/>
      <c r="S667" s="1293"/>
      <c r="T667" s="1293"/>
      <c r="U667" s="1293"/>
      <c r="V667" s="1293"/>
      <c r="W667" s="1293"/>
      <c r="X667" s="1293"/>
      <c r="Y667" s="1293"/>
      <c r="Z667" s="1293"/>
      <c r="AA667" s="1293"/>
      <c r="AB667" s="1293"/>
      <c r="AC667" s="1293"/>
      <c r="AD667" s="1293"/>
      <c r="AE667" s="1293"/>
      <c r="AF667" s="1293"/>
      <c r="AG667" s="1293"/>
      <c r="AH667" s="1293"/>
      <c r="AI667" s="1293"/>
      <c r="AJ667" s="1293"/>
      <c r="AK667" s="1293"/>
      <c r="AL667" s="1293"/>
      <c r="AM667" s="1293"/>
      <c r="AN667" s="1293"/>
      <c r="AO667" s="1293"/>
      <c r="AP667" s="1293"/>
      <c r="AQ667" s="1293"/>
      <c r="AR667" s="1293"/>
      <c r="AS667" s="1293"/>
      <c r="AT667" s="1293"/>
      <c r="AU667" s="1293"/>
      <c r="AV667" s="1293"/>
      <c r="AW667" s="1293"/>
      <c r="AX667" s="1293"/>
      <c r="AY667" s="1293"/>
      <c r="AZ667" s="1293"/>
      <c r="BA667" s="1293"/>
      <c r="BB667" s="1293"/>
      <c r="BC667" s="1293"/>
      <c r="BD667" s="1293"/>
      <c r="BE667" s="1293"/>
      <c r="BF667" s="1293"/>
      <c r="BG667" s="1293"/>
      <c r="BH667" s="1293"/>
      <c r="BI667" s="1293"/>
      <c r="BJ667" s="1293"/>
      <c r="BK667" s="1293"/>
      <c r="BL667" s="1293"/>
      <c r="BM667" s="1293"/>
      <c r="BN667" s="1293"/>
      <c r="BO667" s="1293"/>
      <c r="BP667" s="1293"/>
      <c r="BQ667" s="1293"/>
      <c r="BR667" s="1293"/>
      <c r="BS667" s="1293"/>
      <c r="BT667" s="1293"/>
      <c r="BU667" s="1293"/>
      <c r="BV667" s="1293"/>
      <c r="BW667" s="1293"/>
      <c r="BX667" s="1293"/>
      <c r="BY667" s="1293"/>
      <c r="BZ667" s="1293"/>
      <c r="CA667" s="1293"/>
      <c r="CB667" s="1293"/>
      <c r="CC667" s="1293"/>
      <c r="CD667" s="1293"/>
      <c r="CE667" s="1293"/>
      <c r="CF667" s="1293"/>
      <c r="CG667" s="1293"/>
    </row>
    <row r="668" spans="1:85" ht="15.75">
      <c r="A668" s="1293"/>
      <c r="B668" s="1293"/>
      <c r="C668" s="1293"/>
      <c r="D668" s="1293"/>
      <c r="E668" s="1293"/>
      <c r="F668" s="1293"/>
      <c r="G668" s="1293"/>
      <c r="H668" s="1293"/>
      <c r="I668" s="1293"/>
      <c r="J668" s="1293"/>
      <c r="K668" s="1293"/>
      <c r="L668" s="1293"/>
      <c r="M668" s="1293"/>
      <c r="N668" s="1293"/>
      <c r="O668" s="1293"/>
      <c r="P668" s="1293"/>
      <c r="Q668" s="1293"/>
      <c r="R668" s="1293"/>
      <c r="S668" s="1293"/>
      <c r="T668" s="1293"/>
      <c r="U668" s="1293"/>
      <c r="V668" s="1293"/>
      <c r="W668" s="1293"/>
      <c r="X668" s="1293"/>
      <c r="Y668" s="1293"/>
      <c r="Z668" s="1293"/>
      <c r="AA668" s="1293"/>
      <c r="AB668" s="1293"/>
      <c r="AC668" s="1293"/>
      <c r="AD668" s="1293"/>
      <c r="AE668" s="1293"/>
      <c r="AF668" s="1293"/>
      <c r="AG668" s="1293"/>
      <c r="AH668" s="1293"/>
      <c r="AI668" s="1293"/>
      <c r="AJ668" s="1293"/>
      <c r="AK668" s="1293"/>
      <c r="AL668" s="1293"/>
      <c r="AM668" s="1293"/>
      <c r="AN668" s="1293"/>
      <c r="AO668" s="1293"/>
      <c r="AP668" s="1293"/>
      <c r="AQ668" s="1293"/>
      <c r="AR668" s="1293"/>
      <c r="AS668" s="1293"/>
      <c r="AT668" s="1293"/>
      <c r="AU668" s="1293"/>
      <c r="AV668" s="1293"/>
      <c r="AW668" s="1293"/>
      <c r="AX668" s="1293"/>
      <c r="AY668" s="1293"/>
      <c r="AZ668" s="1293"/>
      <c r="BA668" s="1293"/>
      <c r="BB668" s="1293"/>
      <c r="BC668" s="1293"/>
      <c r="BD668" s="1293"/>
      <c r="BE668" s="1293"/>
      <c r="BF668" s="1293"/>
      <c r="BG668" s="1293"/>
      <c r="BH668" s="1293"/>
      <c r="BI668" s="1293"/>
      <c r="BJ668" s="1293"/>
      <c r="BK668" s="1293"/>
      <c r="BL668" s="1293"/>
      <c r="BM668" s="1293"/>
      <c r="BN668" s="1293"/>
      <c r="BO668" s="1293"/>
      <c r="BP668" s="1293"/>
      <c r="BQ668" s="1293"/>
      <c r="BR668" s="1293"/>
      <c r="BS668" s="1293"/>
      <c r="BT668" s="1293"/>
      <c r="BU668" s="1293"/>
      <c r="BV668" s="1293"/>
      <c r="BW668" s="1293"/>
      <c r="BX668" s="1293"/>
      <c r="BY668" s="1293"/>
      <c r="BZ668" s="1293"/>
      <c r="CA668" s="1293"/>
      <c r="CB668" s="1293"/>
      <c r="CC668" s="1293"/>
      <c r="CD668" s="1293"/>
      <c r="CE668" s="1293"/>
      <c r="CF668" s="1293"/>
      <c r="CG668" s="1293"/>
    </row>
    <row r="669" spans="1:85" ht="15.75">
      <c r="A669" s="1293"/>
      <c r="B669" s="1293"/>
      <c r="C669" s="1293"/>
      <c r="D669" s="1293"/>
      <c r="E669" s="1293"/>
      <c r="F669" s="1293"/>
      <c r="G669" s="1293"/>
      <c r="H669" s="1293"/>
      <c r="I669" s="1293"/>
      <c r="J669" s="1293"/>
      <c r="K669" s="1293"/>
      <c r="L669" s="1293"/>
      <c r="M669" s="1293"/>
      <c r="N669" s="1293"/>
      <c r="O669" s="1293"/>
      <c r="P669" s="1293"/>
      <c r="Q669" s="1293"/>
      <c r="R669" s="1293"/>
      <c r="S669" s="1293"/>
      <c r="T669" s="1293"/>
      <c r="U669" s="1293"/>
      <c r="V669" s="1293"/>
      <c r="W669" s="1293"/>
      <c r="X669" s="1293"/>
      <c r="Y669" s="1293"/>
      <c r="Z669" s="1293"/>
      <c r="AA669" s="1293"/>
      <c r="AB669" s="1293"/>
      <c r="AC669" s="1293"/>
      <c r="AD669" s="1293"/>
      <c r="AE669" s="1293"/>
      <c r="AF669" s="1293"/>
      <c r="AG669" s="1293"/>
      <c r="AH669" s="1293"/>
      <c r="AI669" s="1293"/>
      <c r="AJ669" s="1293"/>
      <c r="AK669" s="1293"/>
      <c r="AL669" s="1293"/>
      <c r="AM669" s="1293"/>
      <c r="AN669" s="1293"/>
      <c r="AO669" s="1293"/>
      <c r="AP669" s="1293"/>
      <c r="AQ669" s="1293"/>
      <c r="AR669" s="1293"/>
      <c r="AS669" s="1293"/>
      <c r="AT669" s="1293"/>
      <c r="AU669" s="1293"/>
      <c r="AV669" s="1293"/>
      <c r="AW669" s="1293"/>
      <c r="AX669" s="1293"/>
      <c r="AY669" s="1293"/>
      <c r="AZ669" s="1293"/>
      <c r="BA669" s="1293"/>
      <c r="BB669" s="1293"/>
      <c r="BC669" s="1293"/>
      <c r="BD669" s="1293"/>
      <c r="BE669" s="1293"/>
      <c r="BF669" s="1293"/>
      <c r="BG669" s="1293"/>
      <c r="BH669" s="1293"/>
      <c r="BI669" s="1293"/>
      <c r="BJ669" s="1293"/>
      <c r="BK669" s="1293"/>
      <c r="BL669" s="1293"/>
      <c r="BM669" s="1293"/>
      <c r="BN669" s="1293"/>
      <c r="BO669" s="1293"/>
      <c r="BP669" s="1293"/>
      <c r="BQ669" s="1293"/>
      <c r="BR669" s="1293"/>
      <c r="BS669" s="1293"/>
      <c r="BT669" s="1293"/>
      <c r="BU669" s="1293"/>
      <c r="BV669" s="1293"/>
      <c r="BW669" s="1293"/>
      <c r="BX669" s="1293"/>
      <c r="BY669" s="1293"/>
      <c r="BZ669" s="1293"/>
      <c r="CA669" s="1293"/>
      <c r="CB669" s="1293"/>
      <c r="CC669" s="1293"/>
      <c r="CD669" s="1293"/>
      <c r="CE669" s="1293"/>
      <c r="CF669" s="1293"/>
      <c r="CG669" s="1293"/>
    </row>
    <row r="670" spans="1:85" ht="15.75">
      <c r="A670" s="1293"/>
      <c r="B670" s="1293"/>
      <c r="C670" s="1293"/>
      <c r="D670" s="1293"/>
      <c r="E670" s="1293"/>
      <c r="F670" s="1293"/>
      <c r="G670" s="1293"/>
      <c r="H670" s="1293"/>
      <c r="I670" s="1293"/>
      <c r="J670" s="1293"/>
      <c r="K670" s="1293"/>
      <c r="L670" s="1293"/>
      <c r="M670" s="1293"/>
      <c r="N670" s="1293"/>
      <c r="O670" s="1293"/>
      <c r="P670" s="1293"/>
      <c r="Q670" s="1293"/>
      <c r="R670" s="1293"/>
      <c r="S670" s="1293"/>
      <c r="T670" s="1293"/>
      <c r="U670" s="1293"/>
      <c r="V670" s="1293"/>
      <c r="W670" s="1293"/>
      <c r="X670" s="1293"/>
      <c r="Y670" s="1293"/>
      <c r="Z670" s="1293"/>
      <c r="AA670" s="1293"/>
      <c r="AB670" s="1293"/>
      <c r="AC670" s="1293"/>
      <c r="AD670" s="1293"/>
      <c r="AE670" s="1293"/>
      <c r="AF670" s="1293"/>
      <c r="AG670" s="1293"/>
      <c r="AH670" s="1293"/>
      <c r="AI670" s="1293"/>
      <c r="AJ670" s="1293"/>
      <c r="AK670" s="1293"/>
      <c r="AL670" s="1293"/>
      <c r="AM670" s="1293"/>
      <c r="AN670" s="1293"/>
      <c r="AO670" s="1293"/>
      <c r="AP670" s="1293"/>
      <c r="AQ670" s="1293"/>
      <c r="AR670" s="1293"/>
      <c r="AS670" s="1293"/>
      <c r="AT670" s="1293"/>
      <c r="AU670" s="1293"/>
      <c r="AV670" s="1293"/>
      <c r="AW670" s="1293"/>
      <c r="AX670" s="1293"/>
      <c r="AY670" s="1293"/>
      <c r="AZ670" s="1293"/>
      <c r="BA670" s="1293"/>
      <c r="BB670" s="1293"/>
      <c r="BC670" s="1293"/>
      <c r="BD670" s="1293"/>
      <c r="BE670" s="1293"/>
      <c r="BF670" s="1293"/>
      <c r="BG670" s="1293"/>
      <c r="BH670" s="1293"/>
      <c r="BI670" s="1293"/>
      <c r="BJ670" s="1293"/>
      <c r="BK670" s="1293"/>
      <c r="BL670" s="1293"/>
      <c r="BM670" s="1293"/>
      <c r="BN670" s="1293"/>
      <c r="BO670" s="1293"/>
      <c r="BP670" s="1293"/>
      <c r="BQ670" s="1293"/>
      <c r="BR670" s="1293"/>
      <c r="BS670" s="1293"/>
      <c r="BT670" s="1293"/>
      <c r="BU670" s="1293"/>
      <c r="BV670" s="1293"/>
      <c r="BW670" s="1293"/>
      <c r="BX670" s="1293"/>
      <c r="BY670" s="1293"/>
      <c r="BZ670" s="1293"/>
      <c r="CA670" s="1293"/>
      <c r="CB670" s="1293"/>
      <c r="CC670" s="1293"/>
      <c r="CD670" s="1293"/>
      <c r="CE670" s="1293"/>
      <c r="CF670" s="1293"/>
      <c r="CG670" s="1293"/>
    </row>
    <row r="671" spans="1:85" ht="15.75">
      <c r="A671" s="1293"/>
      <c r="B671" s="1293"/>
      <c r="C671" s="1293"/>
      <c r="D671" s="1293"/>
      <c r="E671" s="1293"/>
      <c r="F671" s="1293"/>
      <c r="G671" s="1293"/>
      <c r="H671" s="1293"/>
      <c r="I671" s="1293"/>
      <c r="J671" s="1293"/>
      <c r="K671" s="1293"/>
      <c r="L671" s="1293"/>
      <c r="M671" s="1293"/>
      <c r="N671" s="1293"/>
      <c r="O671" s="1293"/>
      <c r="P671" s="1293"/>
      <c r="Q671" s="1293"/>
      <c r="R671" s="1293"/>
      <c r="S671" s="1293"/>
      <c r="T671" s="1293"/>
      <c r="U671" s="1293"/>
      <c r="V671" s="1293"/>
      <c r="W671" s="1293"/>
      <c r="X671" s="1293"/>
      <c r="Y671" s="1293"/>
      <c r="Z671" s="1293"/>
      <c r="AA671" s="1293"/>
      <c r="AB671" s="1293"/>
      <c r="AC671" s="1293"/>
      <c r="AD671" s="1293"/>
      <c r="AE671" s="1293"/>
      <c r="AF671" s="1293"/>
      <c r="AG671" s="1293"/>
      <c r="AH671" s="1293"/>
      <c r="AI671" s="1293"/>
      <c r="AJ671" s="1293"/>
      <c r="AK671" s="1293"/>
      <c r="AL671" s="1293"/>
      <c r="AM671" s="1293"/>
      <c r="AN671" s="1293"/>
      <c r="AO671" s="1293"/>
      <c r="AP671" s="1293"/>
      <c r="AQ671" s="1293"/>
      <c r="AR671" s="1293"/>
      <c r="AS671" s="1293"/>
      <c r="AT671" s="1293"/>
      <c r="AU671" s="1293"/>
      <c r="AV671" s="1293"/>
      <c r="AW671" s="1293"/>
      <c r="AX671" s="1293"/>
      <c r="AY671" s="1293"/>
      <c r="AZ671" s="1293"/>
      <c r="BA671" s="1293"/>
      <c r="BB671" s="1293"/>
      <c r="BC671" s="1293"/>
      <c r="BD671" s="1293"/>
      <c r="BE671" s="1293"/>
      <c r="BF671" s="1293"/>
      <c r="BG671" s="1293"/>
      <c r="BH671" s="1293"/>
      <c r="BI671" s="1293"/>
      <c r="BJ671" s="1293"/>
      <c r="BK671" s="1293"/>
      <c r="BL671" s="1293"/>
      <c r="BM671" s="1293"/>
      <c r="BN671" s="1293"/>
      <c r="BO671" s="1293"/>
      <c r="BP671" s="1293"/>
      <c r="BQ671" s="1293"/>
      <c r="BR671" s="1293"/>
      <c r="BS671" s="1293"/>
      <c r="BT671" s="1293"/>
      <c r="BU671" s="1293"/>
      <c r="BV671" s="1293"/>
      <c r="BW671" s="1293"/>
      <c r="BX671" s="1293"/>
      <c r="BY671" s="1293"/>
      <c r="BZ671" s="1293"/>
      <c r="CA671" s="1293"/>
      <c r="CB671" s="1293"/>
      <c r="CC671" s="1293"/>
      <c r="CD671" s="1293"/>
      <c r="CE671" s="1293"/>
      <c r="CF671" s="1293"/>
      <c r="CG671" s="1293"/>
    </row>
    <row r="672" spans="1:85" ht="15.75">
      <c r="A672" s="1293"/>
      <c r="B672" s="1293"/>
      <c r="C672" s="1293"/>
      <c r="D672" s="1293"/>
      <c r="E672" s="1293"/>
      <c r="F672" s="1293"/>
      <c r="G672" s="1293"/>
      <c r="H672" s="1293"/>
      <c r="I672" s="1293"/>
      <c r="J672" s="1293"/>
      <c r="K672" s="1293"/>
      <c r="L672" s="1293"/>
      <c r="M672" s="1293"/>
      <c r="N672" s="1293"/>
      <c r="O672" s="1293"/>
      <c r="P672" s="1293"/>
      <c r="Q672" s="1293"/>
      <c r="R672" s="1293"/>
      <c r="S672" s="1293"/>
      <c r="T672" s="1293"/>
      <c r="U672" s="1293"/>
      <c r="V672" s="1293"/>
      <c r="W672" s="1293"/>
      <c r="X672" s="1293"/>
      <c r="Y672" s="1293"/>
      <c r="Z672" s="1293"/>
      <c r="AA672" s="1293"/>
      <c r="AB672" s="1293"/>
      <c r="AC672" s="1293"/>
      <c r="AD672" s="1293"/>
      <c r="AE672" s="1293"/>
      <c r="AF672" s="1293"/>
      <c r="AG672" s="1293"/>
      <c r="AH672" s="1293"/>
      <c r="AI672" s="1293"/>
      <c r="AJ672" s="1293"/>
      <c r="AK672" s="1293"/>
      <c r="AL672" s="1293"/>
      <c r="AM672" s="1293"/>
      <c r="AN672" s="1293"/>
      <c r="AO672" s="1293"/>
      <c r="AP672" s="1293"/>
      <c r="AQ672" s="1293"/>
      <c r="AR672" s="1293"/>
      <c r="AS672" s="1293"/>
      <c r="AT672" s="1293"/>
      <c r="AU672" s="1293"/>
      <c r="AV672" s="1293"/>
      <c r="AW672" s="1293"/>
      <c r="AX672" s="1293"/>
      <c r="AY672" s="1293"/>
      <c r="AZ672" s="1293"/>
      <c r="BA672" s="1293"/>
      <c r="BB672" s="1293"/>
      <c r="BC672" s="1293"/>
      <c r="BD672" s="1293"/>
      <c r="BE672" s="1293"/>
      <c r="BF672" s="1293"/>
      <c r="BG672" s="1293"/>
      <c r="BH672" s="1293"/>
      <c r="BI672" s="1293"/>
      <c r="BJ672" s="1293"/>
      <c r="BK672" s="1293"/>
      <c r="BL672" s="1293"/>
      <c r="BM672" s="1293"/>
      <c r="BN672" s="1293"/>
      <c r="BO672" s="1293"/>
      <c r="BP672" s="1293"/>
      <c r="BQ672" s="1293"/>
      <c r="BR672" s="1293"/>
      <c r="BS672" s="1293"/>
      <c r="BT672" s="1293"/>
      <c r="BU672" s="1293"/>
      <c r="BV672" s="1293"/>
      <c r="BW672" s="1293"/>
      <c r="BX672" s="1293"/>
      <c r="BY672" s="1293"/>
      <c r="BZ672" s="1293"/>
      <c r="CA672" s="1293"/>
      <c r="CB672" s="1293"/>
      <c r="CC672" s="1293"/>
      <c r="CD672" s="1293"/>
      <c r="CE672" s="1293"/>
      <c r="CF672" s="1293"/>
      <c r="CG672" s="1293"/>
    </row>
    <row r="673" spans="1:85" ht="15.75">
      <c r="A673" s="1293"/>
      <c r="B673" s="1293"/>
      <c r="C673" s="1293"/>
      <c r="D673" s="1293"/>
      <c r="E673" s="1293"/>
      <c r="F673" s="1293"/>
      <c r="G673" s="1293"/>
      <c r="H673" s="1293"/>
      <c r="I673" s="1293"/>
      <c r="J673" s="1293"/>
      <c r="K673" s="1293"/>
      <c r="L673" s="1293"/>
      <c r="M673" s="1293"/>
      <c r="N673" s="1293"/>
      <c r="O673" s="1293"/>
      <c r="P673" s="1293"/>
      <c r="Q673" s="1293"/>
      <c r="R673" s="1293"/>
      <c r="S673" s="1293"/>
      <c r="T673" s="1293"/>
      <c r="U673" s="1293"/>
      <c r="V673" s="1293"/>
      <c r="W673" s="1293"/>
      <c r="X673" s="1293"/>
      <c r="Y673" s="1293"/>
      <c r="Z673" s="1293"/>
      <c r="AA673" s="1293"/>
      <c r="AB673" s="1293"/>
      <c r="AC673" s="1293"/>
      <c r="AD673" s="1293"/>
      <c r="AE673" s="1293"/>
      <c r="AF673" s="1293"/>
      <c r="AG673" s="1293"/>
      <c r="AH673" s="1293"/>
      <c r="AI673" s="1293"/>
      <c r="AJ673" s="1293"/>
      <c r="AK673" s="1293"/>
      <c r="AL673" s="1293"/>
      <c r="AM673" s="1293"/>
      <c r="AN673" s="1293"/>
      <c r="AO673" s="1293"/>
      <c r="AP673" s="1293"/>
      <c r="AQ673" s="1293"/>
      <c r="AR673" s="1293"/>
      <c r="AS673" s="1293"/>
      <c r="AT673" s="1293"/>
      <c r="AU673" s="1293"/>
      <c r="AV673" s="1293"/>
      <c r="AW673" s="1293"/>
      <c r="AX673" s="1293"/>
      <c r="AY673" s="1293"/>
      <c r="AZ673" s="1293"/>
      <c r="BA673" s="1293"/>
      <c r="BB673" s="1293"/>
      <c r="BC673" s="1293"/>
      <c r="BD673" s="1293"/>
      <c r="BE673" s="1293"/>
      <c r="BF673" s="1293"/>
      <c r="BG673" s="1293"/>
      <c r="BH673" s="1293"/>
      <c r="BI673" s="1293"/>
      <c r="BJ673" s="1293"/>
      <c r="BK673" s="1293"/>
      <c r="BL673" s="1293"/>
      <c r="BM673" s="1293"/>
      <c r="BN673" s="1293"/>
      <c r="BO673" s="1293"/>
      <c r="BP673" s="1293"/>
      <c r="BQ673" s="1293"/>
      <c r="BR673" s="1293"/>
      <c r="BS673" s="1293"/>
      <c r="BT673" s="1293"/>
      <c r="BU673" s="1293"/>
      <c r="BV673" s="1293"/>
      <c r="BW673" s="1293"/>
      <c r="BX673" s="1293"/>
      <c r="BY673" s="1293"/>
      <c r="BZ673" s="1293"/>
      <c r="CA673" s="1293"/>
      <c r="CB673" s="1293"/>
      <c r="CC673" s="1293"/>
      <c r="CD673" s="1293"/>
      <c r="CE673" s="1293"/>
      <c r="CF673" s="1293"/>
      <c r="CG673" s="1293"/>
    </row>
    <row r="674" spans="1:85" ht="15.75">
      <c r="A674" s="1293"/>
      <c r="B674" s="1293"/>
      <c r="C674" s="1293"/>
      <c r="D674" s="1293"/>
      <c r="E674" s="1293"/>
      <c r="F674" s="1293"/>
      <c r="G674" s="1293"/>
      <c r="H674" s="1293"/>
      <c r="I674" s="1293"/>
      <c r="J674" s="1293"/>
      <c r="K674" s="1293"/>
      <c r="L674" s="1293"/>
      <c r="M674" s="1293"/>
      <c r="N674" s="1293"/>
      <c r="O674" s="1293"/>
      <c r="P674" s="1293"/>
      <c r="Q674" s="1293"/>
      <c r="R674" s="1293"/>
      <c r="S674" s="1293"/>
      <c r="T674" s="1293"/>
      <c r="U674" s="1293"/>
      <c r="V674" s="1293"/>
      <c r="W674" s="1293"/>
      <c r="X674" s="1293"/>
      <c r="Y674" s="1293"/>
      <c r="Z674" s="1293"/>
      <c r="AA674" s="1293"/>
      <c r="AB674" s="1293"/>
      <c r="AC674" s="1293"/>
      <c r="AD674" s="1293"/>
      <c r="AE674" s="1293"/>
      <c r="AF674" s="1293"/>
      <c r="AG674" s="1293"/>
      <c r="AH674" s="1293"/>
      <c r="AI674" s="1293"/>
      <c r="AJ674" s="1293"/>
      <c r="AK674" s="1293"/>
      <c r="AL674" s="1293"/>
      <c r="AM674" s="1293"/>
      <c r="AN674" s="1293"/>
      <c r="AO674" s="1293"/>
      <c r="AP674" s="1293"/>
      <c r="AQ674" s="1293"/>
      <c r="AR674" s="1293"/>
      <c r="AS674" s="1293"/>
      <c r="AT674" s="1293"/>
      <c r="AU674" s="1293"/>
      <c r="AV674" s="1293"/>
      <c r="AW674" s="1293"/>
      <c r="AX674" s="1293"/>
      <c r="AY674" s="1293"/>
      <c r="AZ674" s="1293"/>
      <c r="BA674" s="1293"/>
      <c r="BB674" s="1293"/>
      <c r="BC674" s="1293"/>
      <c r="BD674" s="1293"/>
      <c r="BE674" s="1293"/>
      <c r="BF674" s="1293"/>
      <c r="BG674" s="1293"/>
      <c r="BH674" s="1293"/>
      <c r="BI674" s="1293"/>
      <c r="BJ674" s="1293"/>
      <c r="BK674" s="1293"/>
      <c r="BL674" s="1293"/>
      <c r="BM674" s="1293"/>
      <c r="BN674" s="1293"/>
      <c r="BO674" s="1293"/>
      <c r="BP674" s="1293"/>
      <c r="BQ674" s="1293"/>
      <c r="BR674" s="1293"/>
      <c r="BS674" s="1293"/>
      <c r="BT674" s="1293"/>
      <c r="BU674" s="1293"/>
      <c r="BV674" s="1293"/>
      <c r="BW674" s="1293"/>
      <c r="BX674" s="1293"/>
      <c r="BY674" s="1293"/>
      <c r="BZ674" s="1293"/>
      <c r="CA674" s="1293"/>
      <c r="CB674" s="1293"/>
      <c r="CC674" s="1293"/>
      <c r="CD674" s="1293"/>
      <c r="CE674" s="1293"/>
      <c r="CF674" s="1293"/>
      <c r="CG674" s="1293"/>
    </row>
    <row r="675" spans="1:85" ht="15.75">
      <c r="A675" s="1293"/>
      <c r="B675" s="1293"/>
      <c r="C675" s="1293"/>
      <c r="D675" s="1293"/>
      <c r="E675" s="1293"/>
      <c r="F675" s="1293"/>
      <c r="G675" s="1293"/>
      <c r="H675" s="1293"/>
      <c r="I675" s="1293"/>
      <c r="J675" s="1293"/>
      <c r="K675" s="1293"/>
      <c r="L675" s="1293"/>
      <c r="M675" s="1293"/>
      <c r="N675" s="1293"/>
      <c r="O675" s="1293"/>
      <c r="P675" s="1293"/>
      <c r="Q675" s="1293"/>
      <c r="R675" s="1293"/>
      <c r="S675" s="1293"/>
      <c r="T675" s="1293"/>
      <c r="U675" s="1293"/>
      <c r="V675" s="1293"/>
      <c r="W675" s="1293"/>
      <c r="X675" s="1293"/>
      <c r="Y675" s="1293"/>
      <c r="Z675" s="1293"/>
      <c r="AA675" s="1293"/>
      <c r="AB675" s="1293"/>
      <c r="AC675" s="1293"/>
      <c r="AD675" s="1293"/>
      <c r="AE675" s="1293"/>
      <c r="AF675" s="1293"/>
      <c r="AG675" s="1293"/>
      <c r="AH675" s="1293"/>
      <c r="AI675" s="1293"/>
      <c r="AJ675" s="1293"/>
      <c r="AK675" s="1293"/>
      <c r="AL675" s="1293"/>
      <c r="AM675" s="1293"/>
      <c r="AN675" s="1293"/>
      <c r="AO675" s="1293"/>
      <c r="AP675" s="1293"/>
      <c r="AQ675" s="1293"/>
      <c r="AR675" s="1293"/>
      <c r="AS675" s="1293"/>
      <c r="AT675" s="1293"/>
      <c r="AU675" s="1293"/>
      <c r="AV675" s="1293"/>
      <c r="AW675" s="1293"/>
      <c r="AX675" s="1293"/>
      <c r="AY675" s="1293"/>
      <c r="AZ675" s="1293"/>
      <c r="BA675" s="1293"/>
      <c r="BB675" s="1293"/>
      <c r="BC675" s="1293"/>
      <c r="BD675" s="1293"/>
      <c r="BE675" s="1293"/>
      <c r="BF675" s="1293"/>
      <c r="BG675" s="1293"/>
      <c r="BH675" s="1293"/>
      <c r="BI675" s="1293"/>
      <c r="BJ675" s="1293"/>
      <c r="BK675" s="1293"/>
      <c r="BL675" s="1293"/>
      <c r="BM675" s="1293"/>
      <c r="BN675" s="1293"/>
      <c r="BO675" s="1293"/>
      <c r="BP675" s="1293"/>
      <c r="BQ675" s="1293"/>
      <c r="BR675" s="1293"/>
      <c r="BS675" s="1293"/>
      <c r="BT675" s="1293"/>
      <c r="BU675" s="1293"/>
      <c r="BV675" s="1293"/>
      <c r="BW675" s="1293"/>
      <c r="BX675" s="1293"/>
      <c r="BY675" s="1293"/>
      <c r="BZ675" s="1293"/>
      <c r="CA675" s="1293"/>
      <c r="CB675" s="1293"/>
      <c r="CC675" s="1293"/>
      <c r="CD675" s="1293"/>
      <c r="CE675" s="1293"/>
      <c r="CF675" s="1293"/>
      <c r="CG675" s="1293"/>
    </row>
    <row r="676" spans="1:85" ht="15.75">
      <c r="A676" s="1293"/>
      <c r="B676" s="1293"/>
      <c r="C676" s="1293"/>
      <c r="D676" s="1293"/>
      <c r="E676" s="1293"/>
      <c r="F676" s="1293"/>
      <c r="G676" s="1293"/>
      <c r="H676" s="1293"/>
      <c r="I676" s="1293"/>
      <c r="J676" s="1293"/>
      <c r="K676" s="1293"/>
      <c r="L676" s="1293"/>
      <c r="M676" s="1293"/>
      <c r="N676" s="1293"/>
      <c r="O676" s="1293"/>
      <c r="P676" s="1293"/>
      <c r="Q676" s="1293"/>
      <c r="R676" s="1293"/>
      <c r="S676" s="1293"/>
      <c r="T676" s="1293"/>
      <c r="U676" s="1293"/>
      <c r="V676" s="1293"/>
      <c r="W676" s="1293"/>
      <c r="X676" s="1293"/>
      <c r="Y676" s="1293"/>
      <c r="Z676" s="1293"/>
      <c r="AA676" s="1293"/>
      <c r="AB676" s="1293"/>
      <c r="AC676" s="1293"/>
      <c r="AD676" s="1293"/>
      <c r="AE676" s="1293"/>
      <c r="AF676" s="1293"/>
      <c r="AG676" s="1293"/>
      <c r="AH676" s="1293"/>
      <c r="AI676" s="1293"/>
      <c r="AJ676" s="1293"/>
      <c r="AK676" s="1293"/>
      <c r="AL676" s="1293"/>
      <c r="AM676" s="1293"/>
      <c r="AN676" s="1293"/>
      <c r="AO676" s="1293"/>
      <c r="AP676" s="1293"/>
      <c r="AQ676" s="1293"/>
      <c r="AR676" s="1293"/>
      <c r="AS676" s="1293"/>
      <c r="AT676" s="1293"/>
      <c r="AU676" s="1293"/>
      <c r="AV676" s="1293"/>
      <c r="AW676" s="1293"/>
      <c r="AX676" s="1293"/>
      <c r="AY676" s="1293"/>
      <c r="AZ676" s="1293"/>
      <c r="BA676" s="1293"/>
      <c r="BB676" s="1293"/>
      <c r="BC676" s="1293"/>
      <c r="BD676" s="1293"/>
      <c r="BE676" s="1293"/>
      <c r="BF676" s="1293"/>
      <c r="BG676" s="1293"/>
      <c r="BH676" s="1293"/>
      <c r="BI676" s="1293"/>
      <c r="BJ676" s="1293"/>
      <c r="BK676" s="1293"/>
      <c r="BL676" s="1293"/>
      <c r="BM676" s="1293"/>
      <c r="BN676" s="1293"/>
      <c r="BO676" s="1293"/>
      <c r="BP676" s="1293"/>
      <c r="BQ676" s="1293"/>
      <c r="BR676" s="1293"/>
      <c r="BS676" s="1293"/>
      <c r="BT676" s="1293"/>
      <c r="BU676" s="1293"/>
      <c r="BV676" s="1293"/>
      <c r="BW676" s="1293"/>
      <c r="BX676" s="1293"/>
      <c r="BY676" s="1293"/>
      <c r="BZ676" s="1293"/>
      <c r="CA676" s="1293"/>
      <c r="CB676" s="1293"/>
      <c r="CC676" s="1293"/>
      <c r="CD676" s="1293"/>
      <c r="CE676" s="1293"/>
      <c r="CF676" s="1293"/>
      <c r="CG676" s="1293"/>
    </row>
    <row r="677" spans="1:85" ht="15.75">
      <c r="A677" s="1293"/>
      <c r="B677" s="1293"/>
      <c r="C677" s="1293"/>
      <c r="D677" s="1293"/>
      <c r="E677" s="1293"/>
      <c r="F677" s="1293"/>
      <c r="G677" s="1293"/>
      <c r="H677" s="1293"/>
      <c r="I677" s="1293"/>
      <c r="J677" s="1293"/>
      <c r="K677" s="1293"/>
      <c r="L677" s="1293"/>
      <c r="M677" s="1293"/>
      <c r="N677" s="1293"/>
      <c r="O677" s="1293"/>
      <c r="P677" s="1293"/>
      <c r="Q677" s="1293"/>
      <c r="R677" s="1293"/>
      <c r="S677" s="1293"/>
      <c r="T677" s="1293"/>
      <c r="U677" s="1293"/>
      <c r="V677" s="1293"/>
      <c r="W677" s="1293"/>
      <c r="X677" s="1293"/>
      <c r="Y677" s="1293"/>
      <c r="Z677" s="1293"/>
      <c r="AA677" s="1293"/>
      <c r="AB677" s="1293"/>
      <c r="AC677" s="1293"/>
      <c r="AD677" s="1293"/>
      <c r="AE677" s="1293"/>
      <c r="AF677" s="1293"/>
      <c r="AG677" s="1293"/>
      <c r="AH677" s="1293"/>
      <c r="AI677" s="1293"/>
      <c r="AJ677" s="1293"/>
      <c r="AK677" s="1293"/>
      <c r="AL677" s="1293"/>
      <c r="AM677" s="1293"/>
      <c r="AN677" s="1293"/>
      <c r="AO677" s="1293"/>
      <c r="AP677" s="1293"/>
      <c r="AQ677" s="1293"/>
      <c r="AR677" s="1293"/>
      <c r="AS677" s="1293"/>
      <c r="AT677" s="1293"/>
      <c r="AU677" s="1293"/>
      <c r="AV677" s="1293"/>
      <c r="AW677" s="1293"/>
      <c r="AX677" s="1293"/>
      <c r="AY677" s="1293"/>
      <c r="AZ677" s="1293"/>
      <c r="BA677" s="1293"/>
      <c r="BB677" s="1293"/>
      <c r="BC677" s="1293"/>
      <c r="BD677" s="1293"/>
      <c r="BE677" s="1293"/>
      <c r="BF677" s="1293"/>
      <c r="BG677" s="1293"/>
      <c r="BH677" s="1293"/>
      <c r="BI677" s="1293"/>
      <c r="BJ677" s="1293"/>
      <c r="BK677" s="1293"/>
      <c r="BL677" s="1293"/>
      <c r="BM677" s="1293"/>
      <c r="BN677" s="1293"/>
      <c r="BO677" s="1293"/>
      <c r="BP677" s="1293"/>
      <c r="BQ677" s="1293"/>
      <c r="BR677" s="1293"/>
      <c r="BS677" s="1293"/>
      <c r="BT677" s="1293"/>
      <c r="BU677" s="1293"/>
      <c r="BV677" s="1293"/>
      <c r="BW677" s="1293"/>
      <c r="BX677" s="1293"/>
      <c r="BY677" s="1293"/>
      <c r="BZ677" s="1293"/>
      <c r="CA677" s="1293"/>
      <c r="CB677" s="1293"/>
      <c r="CC677" s="1293"/>
      <c r="CD677" s="1293"/>
      <c r="CE677" s="1293"/>
      <c r="CF677" s="1293"/>
      <c r="CG677" s="1293"/>
    </row>
    <row r="678" spans="1:85" ht="15.75">
      <c r="A678" s="1293"/>
      <c r="B678" s="1293"/>
      <c r="C678" s="1293"/>
      <c r="D678" s="1293"/>
      <c r="E678" s="1293"/>
      <c r="F678" s="1293"/>
      <c r="G678" s="1293"/>
      <c r="H678" s="1293"/>
      <c r="I678" s="1293"/>
      <c r="J678" s="1293"/>
      <c r="K678" s="1293"/>
      <c r="L678" s="1293"/>
      <c r="M678" s="1293"/>
      <c r="N678" s="1293"/>
      <c r="O678" s="1293"/>
      <c r="P678" s="1293"/>
      <c r="Q678" s="1293"/>
      <c r="R678" s="1293"/>
      <c r="S678" s="1293"/>
      <c r="T678" s="1293"/>
      <c r="U678" s="1293"/>
      <c r="V678" s="1293"/>
      <c r="W678" s="1293"/>
      <c r="X678" s="1293"/>
      <c r="Y678" s="1293"/>
      <c r="Z678" s="1293"/>
      <c r="AA678" s="1293"/>
      <c r="AB678" s="1293"/>
      <c r="AC678" s="1293"/>
      <c r="AD678" s="1293"/>
      <c r="AE678" s="1293"/>
      <c r="AF678" s="1293"/>
      <c r="AG678" s="1293"/>
      <c r="AH678" s="1293"/>
      <c r="AI678" s="1293"/>
      <c r="AJ678" s="1293"/>
      <c r="AK678" s="1293"/>
      <c r="AL678" s="1293"/>
      <c r="AM678" s="1293"/>
      <c r="AN678" s="1293"/>
      <c r="AO678" s="1293"/>
      <c r="AP678" s="1293"/>
      <c r="AQ678" s="1293"/>
      <c r="AR678" s="1293"/>
      <c r="AS678" s="1293"/>
      <c r="AT678" s="1293"/>
      <c r="AU678" s="1293"/>
      <c r="AV678" s="1293"/>
      <c r="AW678" s="1293"/>
      <c r="AX678" s="1293"/>
      <c r="AY678" s="1293"/>
      <c r="AZ678" s="1293"/>
      <c r="BA678" s="1293"/>
      <c r="BB678" s="1293"/>
      <c r="BC678" s="1293"/>
      <c r="BD678" s="1293"/>
      <c r="BE678" s="1293"/>
      <c r="BF678" s="1293"/>
      <c r="BG678" s="1293"/>
      <c r="BH678" s="1293"/>
      <c r="BI678" s="1293"/>
      <c r="BJ678" s="1293"/>
      <c r="BK678" s="1293"/>
      <c r="BL678" s="1293"/>
      <c r="BM678" s="1293"/>
      <c r="BN678" s="1293"/>
      <c r="BO678" s="1293"/>
      <c r="BP678" s="1293"/>
      <c r="BQ678" s="1293"/>
      <c r="BR678" s="1293"/>
      <c r="BS678" s="1293"/>
      <c r="BT678" s="1293"/>
      <c r="BU678" s="1293"/>
      <c r="BV678" s="1293"/>
      <c r="BW678" s="1293"/>
      <c r="BX678" s="1293"/>
      <c r="BY678" s="1293"/>
      <c r="BZ678" s="1293"/>
      <c r="CA678" s="1293"/>
      <c r="CB678" s="1293"/>
      <c r="CC678" s="1293"/>
      <c r="CD678" s="1293"/>
      <c r="CE678" s="1293"/>
      <c r="CF678" s="1293"/>
      <c r="CG678" s="1293"/>
    </row>
    <row r="679" spans="1:85" ht="15.75">
      <c r="A679" s="1293"/>
      <c r="B679" s="1293"/>
      <c r="C679" s="1293"/>
      <c r="D679" s="1293"/>
      <c r="E679" s="1293"/>
      <c r="F679" s="1293"/>
      <c r="G679" s="1293"/>
      <c r="H679" s="1293"/>
      <c r="I679" s="1293"/>
      <c r="J679" s="1293"/>
      <c r="K679" s="1293"/>
      <c r="L679" s="1293"/>
      <c r="M679" s="1293"/>
      <c r="N679" s="1293"/>
      <c r="O679" s="1293"/>
      <c r="P679" s="1293"/>
      <c r="Q679" s="1293"/>
      <c r="R679" s="1293"/>
      <c r="S679" s="1293"/>
      <c r="T679" s="1293"/>
      <c r="U679" s="1293"/>
      <c r="V679" s="1293"/>
      <c r="W679" s="1293"/>
      <c r="X679" s="1293"/>
      <c r="Y679" s="1293"/>
      <c r="Z679" s="1293"/>
      <c r="AA679" s="1293"/>
      <c r="AB679" s="1293"/>
      <c r="AC679" s="1293"/>
      <c r="AD679" s="1293"/>
      <c r="AE679" s="1293"/>
      <c r="AF679" s="1293"/>
      <c r="AG679" s="1293"/>
      <c r="AH679" s="1293"/>
      <c r="AI679" s="1293"/>
      <c r="AJ679" s="1293"/>
      <c r="AK679" s="1293"/>
      <c r="AL679" s="1293"/>
      <c r="AM679" s="1293"/>
      <c r="AN679" s="1293"/>
      <c r="AO679" s="1293"/>
      <c r="AP679" s="1293"/>
      <c r="AQ679" s="1293"/>
      <c r="AR679" s="1293"/>
      <c r="AS679" s="1293"/>
      <c r="AT679" s="1293"/>
      <c r="AU679" s="1293"/>
      <c r="AV679" s="1293"/>
      <c r="AW679" s="1293"/>
      <c r="AX679" s="1293"/>
      <c r="AY679" s="1293"/>
      <c r="AZ679" s="1293"/>
      <c r="BA679" s="1293"/>
      <c r="BB679" s="1293"/>
      <c r="BC679" s="1293"/>
      <c r="BD679" s="1293"/>
      <c r="BE679" s="1293"/>
      <c r="BF679" s="1293"/>
      <c r="BG679" s="1293"/>
      <c r="BH679" s="1293"/>
      <c r="BI679" s="1293"/>
      <c r="BJ679" s="1293"/>
      <c r="BK679" s="1293"/>
      <c r="BL679" s="1293"/>
      <c r="BM679" s="1293"/>
      <c r="BN679" s="1293"/>
      <c r="BO679" s="1293"/>
      <c r="BP679" s="1293"/>
      <c r="BQ679" s="1293"/>
      <c r="BR679" s="1293"/>
      <c r="BS679" s="1293"/>
      <c r="BT679" s="1293"/>
      <c r="BU679" s="1293"/>
      <c r="BV679" s="1293"/>
      <c r="BW679" s="1293"/>
      <c r="BX679" s="1293"/>
      <c r="BY679" s="1293"/>
      <c r="BZ679" s="1293"/>
      <c r="CA679" s="1293"/>
      <c r="CB679" s="1293"/>
      <c r="CC679" s="1293"/>
      <c r="CD679" s="1293"/>
      <c r="CE679" s="1293"/>
      <c r="CF679" s="1293"/>
      <c r="CG679" s="1293"/>
    </row>
    <row r="680" spans="1:85" ht="15.75">
      <c r="A680" s="1293"/>
      <c r="B680" s="1293"/>
      <c r="C680" s="1293"/>
      <c r="D680" s="1293"/>
      <c r="E680" s="1293"/>
      <c r="F680" s="1293"/>
      <c r="G680" s="1293"/>
      <c r="H680" s="1293"/>
      <c r="I680" s="1293"/>
      <c r="J680" s="1293"/>
      <c r="K680" s="1293"/>
      <c r="L680" s="1293"/>
      <c r="M680" s="1293"/>
      <c r="N680" s="1293"/>
      <c r="O680" s="1293"/>
      <c r="P680" s="1293"/>
      <c r="Q680" s="1293"/>
      <c r="R680" s="1293"/>
      <c r="S680" s="1293"/>
      <c r="T680" s="1293"/>
      <c r="U680" s="1293"/>
      <c r="V680" s="1293"/>
      <c r="W680" s="1293"/>
      <c r="X680" s="1293"/>
      <c r="Y680" s="1293"/>
      <c r="Z680" s="1293"/>
      <c r="AA680" s="1293"/>
      <c r="AB680" s="1293"/>
      <c r="AC680" s="1293"/>
      <c r="AD680" s="1293"/>
      <c r="AE680" s="1293"/>
      <c r="AF680" s="1293"/>
      <c r="AG680" s="1293"/>
      <c r="AH680" s="1293"/>
      <c r="AI680" s="1293"/>
      <c r="AJ680" s="1293"/>
      <c r="AK680" s="1293"/>
      <c r="AL680" s="1293"/>
      <c r="AM680" s="1293"/>
      <c r="AN680" s="1293">
        <v>9639</v>
      </c>
      <c r="AO680" s="1293"/>
      <c r="AP680" s="1293"/>
      <c r="AQ680" s="1293"/>
      <c r="AR680" s="1293"/>
      <c r="AS680" s="1293"/>
      <c r="AT680" s="1293"/>
      <c r="AU680" s="1293"/>
      <c r="AV680" s="1293"/>
      <c r="AW680" s="1293"/>
      <c r="AX680" s="1293"/>
      <c r="AY680" s="1293"/>
      <c r="AZ680" s="1293"/>
      <c r="BA680" s="1293"/>
      <c r="BB680" s="1293"/>
      <c r="BC680" s="1293"/>
      <c r="BD680" s="1293"/>
      <c r="BE680" s="1293"/>
      <c r="BF680" s="1293"/>
      <c r="BG680" s="1293"/>
      <c r="BH680" s="1293"/>
      <c r="BI680" s="1293"/>
      <c r="BJ680" s="1293"/>
      <c r="BK680" s="1293"/>
      <c r="BL680" s="1293"/>
      <c r="BM680" s="1293"/>
      <c r="BN680" s="1293"/>
      <c r="BO680" s="1293"/>
      <c r="BP680" s="1293"/>
      <c r="BQ680" s="1293"/>
      <c r="BR680" s="1293"/>
      <c r="BS680" s="1293"/>
      <c r="BT680" s="1293"/>
      <c r="BU680" s="1293"/>
      <c r="BV680" s="1293"/>
      <c r="BW680" s="1293"/>
      <c r="BX680" s="1293"/>
      <c r="BY680" s="1293"/>
      <c r="BZ680" s="1293"/>
      <c r="CA680" s="1293"/>
      <c r="CB680" s="1293"/>
      <c r="CC680" s="1293"/>
      <c r="CD680" s="1293"/>
      <c r="CE680" s="1293"/>
      <c r="CF680" s="1293"/>
      <c r="CG680" s="1293"/>
    </row>
    <row r="681" spans="1:85" ht="15.75">
      <c r="A681" s="1293"/>
      <c r="B681" s="1293"/>
      <c r="C681" s="1293"/>
      <c r="D681" s="1293"/>
      <c r="E681" s="1293"/>
      <c r="F681" s="1293"/>
      <c r="G681" s="1293"/>
      <c r="H681" s="1293"/>
      <c r="I681" s="1293"/>
      <c r="J681" s="1293"/>
      <c r="K681" s="1293"/>
      <c r="L681" s="1293"/>
      <c r="M681" s="1293"/>
      <c r="N681" s="1293"/>
      <c r="O681" s="1293"/>
      <c r="P681" s="1293"/>
      <c r="Q681" s="1293"/>
      <c r="R681" s="1293"/>
      <c r="S681" s="1293"/>
      <c r="T681" s="1293"/>
      <c r="U681" s="1293"/>
      <c r="V681" s="1293"/>
      <c r="W681" s="1293"/>
      <c r="X681" s="1293"/>
      <c r="Y681" s="1293"/>
      <c r="Z681" s="1293"/>
      <c r="AA681" s="1293"/>
      <c r="AB681" s="1293"/>
      <c r="AC681" s="1293"/>
      <c r="AD681" s="1293"/>
      <c r="AE681" s="1293"/>
      <c r="AF681" s="1293"/>
      <c r="AG681" s="1293"/>
      <c r="AH681" s="1293"/>
      <c r="AI681" s="1293"/>
      <c r="AJ681" s="1293"/>
      <c r="AK681" s="1293"/>
      <c r="AL681" s="1293"/>
      <c r="AM681" s="1293"/>
      <c r="AN681" s="1293">
        <v>3533</v>
      </c>
      <c r="AO681" s="1293"/>
      <c r="AP681" s="1293"/>
      <c r="AQ681" s="1293"/>
      <c r="AR681" s="1293"/>
      <c r="AS681" s="1293"/>
      <c r="AT681" s="1293"/>
      <c r="AU681" s="1293"/>
      <c r="AV681" s="1293"/>
      <c r="AW681" s="1293"/>
      <c r="AX681" s="1293"/>
      <c r="AY681" s="1293"/>
      <c r="AZ681" s="1293"/>
      <c r="BA681" s="1293"/>
      <c r="BB681" s="1293"/>
      <c r="BC681" s="1293"/>
      <c r="BD681" s="1293"/>
      <c r="BE681" s="1293"/>
      <c r="BF681" s="1293"/>
      <c r="BG681" s="1293"/>
      <c r="BH681" s="1293"/>
      <c r="BI681" s="1293"/>
      <c r="BJ681" s="1293"/>
      <c r="BK681" s="1293"/>
      <c r="BL681" s="1293"/>
      <c r="BM681" s="1293"/>
      <c r="BN681" s="1293"/>
      <c r="BO681" s="1293"/>
      <c r="BP681" s="1293"/>
      <c r="BQ681" s="1293"/>
      <c r="BR681" s="1293"/>
      <c r="BS681" s="1293"/>
      <c r="BT681" s="1293"/>
      <c r="BU681" s="1293"/>
      <c r="BV681" s="1293"/>
      <c r="BW681" s="1293"/>
      <c r="BX681" s="1293"/>
      <c r="BY681" s="1293"/>
      <c r="BZ681" s="1293"/>
      <c r="CA681" s="1293"/>
      <c r="CB681" s="1293"/>
      <c r="CC681" s="1293"/>
      <c r="CD681" s="1293"/>
      <c r="CE681" s="1293"/>
      <c r="CF681" s="1293"/>
      <c r="CG681" s="1293"/>
    </row>
    <row r="682" spans="1:85" ht="15.75">
      <c r="A682" s="1293"/>
      <c r="B682" s="1293"/>
      <c r="C682" s="1293"/>
      <c r="D682" s="1293"/>
      <c r="E682" s="1293"/>
      <c r="F682" s="1293"/>
      <c r="G682" s="1293"/>
      <c r="H682" s="1293"/>
      <c r="I682" s="1293"/>
      <c r="J682" s="1293"/>
      <c r="K682" s="1293"/>
      <c r="L682" s="1293"/>
      <c r="M682" s="1293"/>
      <c r="N682" s="1293"/>
      <c r="O682" s="1293"/>
      <c r="P682" s="1293"/>
      <c r="Q682" s="1293"/>
      <c r="R682" s="1293"/>
      <c r="S682" s="1293"/>
      <c r="T682" s="1293"/>
      <c r="U682" s="1293"/>
      <c r="V682" s="1293"/>
      <c r="W682" s="1293"/>
      <c r="X682" s="1293"/>
      <c r="Y682" s="1293"/>
      <c r="Z682" s="1293"/>
      <c r="AA682" s="1293"/>
      <c r="AB682" s="1293"/>
      <c r="AC682" s="1293"/>
      <c r="AD682" s="1293"/>
      <c r="AE682" s="1293"/>
      <c r="AF682" s="1293"/>
      <c r="AG682" s="1293"/>
      <c r="AH682" s="1293"/>
      <c r="AI682" s="1293"/>
      <c r="AJ682" s="1293"/>
      <c r="AK682" s="1293"/>
      <c r="AL682" s="1293"/>
      <c r="AM682" s="1293"/>
      <c r="AN682" s="1293">
        <v>6508</v>
      </c>
      <c r="AO682" s="1293"/>
      <c r="AP682" s="1293"/>
      <c r="AQ682" s="1293"/>
      <c r="AR682" s="1293"/>
      <c r="AS682" s="1293"/>
      <c r="AT682" s="1293"/>
      <c r="AU682" s="1293"/>
      <c r="AV682" s="1293"/>
      <c r="AW682" s="1293"/>
      <c r="AX682" s="1293"/>
      <c r="AY682" s="1293"/>
      <c r="AZ682" s="1293"/>
      <c r="BA682" s="1293"/>
      <c r="BB682" s="1293"/>
      <c r="BC682" s="1293"/>
      <c r="BD682" s="1293"/>
      <c r="BE682" s="1293"/>
      <c r="BF682" s="1293"/>
      <c r="BG682" s="1293"/>
      <c r="BH682" s="1293"/>
      <c r="BI682" s="1293"/>
      <c r="BJ682" s="1293"/>
      <c r="BK682" s="1293"/>
      <c r="BL682" s="1293"/>
      <c r="BM682" s="1293"/>
      <c r="BN682" s="1293"/>
      <c r="BO682" s="1293"/>
      <c r="BP682" s="1293"/>
      <c r="BQ682" s="1293"/>
      <c r="BR682" s="1293"/>
      <c r="BS682" s="1293"/>
      <c r="BT682" s="1293"/>
      <c r="BU682" s="1293"/>
      <c r="BV682" s="1293"/>
      <c r="BW682" s="1293"/>
      <c r="BX682" s="1293"/>
      <c r="BY682" s="1293"/>
      <c r="BZ682" s="1293"/>
      <c r="CA682" s="1293"/>
      <c r="CB682" s="1293"/>
      <c r="CC682" s="1293"/>
      <c r="CD682" s="1293"/>
      <c r="CE682" s="1293"/>
      <c r="CF682" s="1293"/>
      <c r="CG682" s="1293"/>
    </row>
    <row r="683" spans="1:85" ht="15.75">
      <c r="A683" s="1293"/>
      <c r="B683" s="1293"/>
      <c r="C683" s="1293"/>
      <c r="D683" s="1293"/>
      <c r="E683" s="1293"/>
      <c r="F683" s="1293"/>
      <c r="G683" s="1293"/>
      <c r="H683" s="1293"/>
      <c r="I683" s="1293"/>
      <c r="J683" s="1293"/>
      <c r="K683" s="1293"/>
      <c r="L683" s="1293"/>
      <c r="M683" s="1293"/>
      <c r="N683" s="1293"/>
      <c r="O683" s="1293"/>
      <c r="P683" s="1293"/>
      <c r="Q683" s="1293"/>
      <c r="R683" s="1293"/>
      <c r="S683" s="1293"/>
      <c r="T683" s="1293"/>
      <c r="U683" s="1293"/>
      <c r="V683" s="1293"/>
      <c r="W683" s="1293"/>
      <c r="X683" s="1293"/>
      <c r="Y683" s="1293"/>
      <c r="Z683" s="1293"/>
      <c r="AA683" s="1293"/>
      <c r="AB683" s="1293"/>
      <c r="AC683" s="1293"/>
      <c r="AD683" s="1293"/>
      <c r="AE683" s="1293"/>
      <c r="AF683" s="1293"/>
      <c r="AG683" s="1293"/>
      <c r="AH683" s="1293"/>
      <c r="AI683" s="1293"/>
      <c r="AJ683" s="1293"/>
      <c r="AK683" s="1293"/>
      <c r="AL683" s="1293"/>
      <c r="AM683" s="1293"/>
      <c r="AN683" s="1293">
        <v>29.6</v>
      </c>
      <c r="AO683" s="1293"/>
      <c r="AP683" s="1293"/>
      <c r="AQ683" s="1293"/>
      <c r="AR683" s="1293"/>
      <c r="AS683" s="1293"/>
      <c r="AT683" s="1293"/>
      <c r="AU683" s="1293"/>
      <c r="AV683" s="1293"/>
      <c r="AW683" s="1293"/>
      <c r="AX683" s="1293"/>
      <c r="AY683" s="1293"/>
      <c r="AZ683" s="1293"/>
      <c r="BA683" s="1293"/>
      <c r="BB683" s="1293"/>
      <c r="BC683" s="1293"/>
      <c r="BD683" s="1293"/>
      <c r="BE683" s="1293"/>
      <c r="BF683" s="1293"/>
      <c r="BG683" s="1293"/>
      <c r="BH683" s="1293"/>
      <c r="BI683" s="1293"/>
      <c r="BJ683" s="1293"/>
      <c r="BK683" s="1293"/>
      <c r="BL683" s="1293"/>
      <c r="BM683" s="1293"/>
      <c r="BN683" s="1293"/>
      <c r="BO683" s="1293"/>
      <c r="BP683" s="1293"/>
      <c r="BQ683" s="1293"/>
      <c r="BR683" s="1293"/>
      <c r="BS683" s="1293"/>
      <c r="BT683" s="1293"/>
      <c r="BU683" s="1293"/>
      <c r="BV683" s="1293"/>
      <c r="BW683" s="1293"/>
      <c r="BX683" s="1293"/>
      <c r="BY683" s="1293"/>
      <c r="BZ683" s="1293"/>
      <c r="CA683" s="1293"/>
      <c r="CB683" s="1293"/>
      <c r="CC683" s="1293"/>
      <c r="CD683" s="1293"/>
      <c r="CE683" s="1293"/>
      <c r="CF683" s="1293"/>
      <c r="CG683" s="1293"/>
    </row>
    <row r="684" spans="1:85" ht="15.75">
      <c r="A684" s="1293"/>
      <c r="B684" s="1293"/>
      <c r="C684" s="1293"/>
      <c r="D684" s="1293"/>
      <c r="E684" s="1293"/>
      <c r="F684" s="1293"/>
      <c r="G684" s="1293"/>
      <c r="H684" s="1293"/>
      <c r="I684" s="1293"/>
      <c r="J684" s="1293"/>
      <c r="K684" s="1293"/>
      <c r="L684" s="1293"/>
      <c r="M684" s="1293"/>
      <c r="N684" s="1293"/>
      <c r="O684" s="1293"/>
      <c r="P684" s="1293"/>
      <c r="Q684" s="1293"/>
      <c r="R684" s="1293"/>
      <c r="S684" s="1293"/>
      <c r="T684" s="1293"/>
      <c r="U684" s="1293"/>
      <c r="V684" s="1293"/>
      <c r="W684" s="1293"/>
      <c r="X684" s="1293"/>
      <c r="Y684" s="1293"/>
      <c r="Z684" s="1293"/>
      <c r="AA684" s="1293"/>
      <c r="AB684" s="1293"/>
      <c r="AC684" s="1293"/>
      <c r="AD684" s="1293"/>
      <c r="AE684" s="1293"/>
      <c r="AF684" s="1293"/>
      <c r="AG684" s="1293"/>
      <c r="AH684" s="1293"/>
      <c r="AI684" s="1293"/>
      <c r="AJ684" s="1293"/>
      <c r="AK684" s="1293"/>
      <c r="AL684" s="1293"/>
      <c r="AM684" s="1293"/>
      <c r="AN684" s="1293"/>
      <c r="AO684" s="1293"/>
      <c r="AP684" s="1293"/>
      <c r="AQ684" s="1293"/>
      <c r="AR684" s="1293"/>
      <c r="AS684" s="1293"/>
      <c r="AT684" s="1293"/>
      <c r="AU684" s="1293"/>
      <c r="AV684" s="1293"/>
      <c r="AW684" s="1293"/>
      <c r="AX684" s="1293"/>
      <c r="AY684" s="1293"/>
      <c r="AZ684" s="1293"/>
      <c r="BA684" s="1293"/>
      <c r="BB684" s="1293"/>
      <c r="BC684" s="1293"/>
      <c r="BD684" s="1293"/>
      <c r="BE684" s="1293"/>
      <c r="BF684" s="1293"/>
      <c r="BG684" s="1293"/>
      <c r="BH684" s="1293"/>
      <c r="BI684" s="1293"/>
      <c r="BJ684" s="1293"/>
      <c r="BK684" s="1293"/>
      <c r="BL684" s="1293"/>
      <c r="BM684" s="1293"/>
      <c r="BN684" s="1293"/>
      <c r="BO684" s="1293"/>
      <c r="BP684" s="1293"/>
      <c r="BQ684" s="1293"/>
      <c r="BR684" s="1293"/>
      <c r="BS684" s="1293"/>
      <c r="BT684" s="1293"/>
      <c r="BU684" s="1293"/>
      <c r="BV684" s="1293"/>
      <c r="BW684" s="1293"/>
      <c r="BX684" s="1293"/>
      <c r="BY684" s="1293"/>
      <c r="BZ684" s="1293"/>
      <c r="CA684" s="1293"/>
      <c r="CB684" s="1293"/>
      <c r="CC684" s="1293"/>
      <c r="CD684" s="1293"/>
      <c r="CE684" s="1293"/>
      <c r="CF684" s="1293"/>
      <c r="CG684" s="1293"/>
    </row>
    <row r="685" spans="1:85" ht="15.75">
      <c r="A685" s="1293"/>
      <c r="B685" s="1293"/>
      <c r="C685" s="1293"/>
      <c r="D685" s="1293"/>
      <c r="E685" s="1293"/>
      <c r="F685" s="1293"/>
      <c r="G685" s="1293"/>
      <c r="H685" s="1293"/>
      <c r="I685" s="1293"/>
      <c r="J685" s="1293"/>
      <c r="K685" s="1293"/>
      <c r="L685" s="1293"/>
      <c r="M685" s="1293"/>
      <c r="N685" s="1293"/>
      <c r="O685" s="1293"/>
      <c r="P685" s="1293"/>
      <c r="Q685" s="1293"/>
      <c r="R685" s="1293"/>
      <c r="S685" s="1293"/>
      <c r="T685" s="1293"/>
      <c r="U685" s="1293"/>
      <c r="V685" s="1293"/>
      <c r="W685" s="1293"/>
      <c r="X685" s="1293"/>
      <c r="Y685" s="1293"/>
      <c r="Z685" s="1293"/>
      <c r="AA685" s="1293"/>
      <c r="AB685" s="1293"/>
      <c r="AC685" s="1293"/>
      <c r="AD685" s="1293"/>
      <c r="AE685" s="1293"/>
      <c r="AF685" s="1293"/>
      <c r="AG685" s="1293"/>
      <c r="AH685" s="1293"/>
      <c r="AI685" s="1293"/>
      <c r="AJ685" s="1293"/>
      <c r="AK685" s="1293"/>
      <c r="AL685" s="1293"/>
      <c r="AM685" s="1293"/>
      <c r="AN685" s="1293"/>
      <c r="AO685" s="1293"/>
      <c r="AP685" s="1293"/>
      <c r="AQ685" s="1293"/>
      <c r="AR685" s="1293"/>
      <c r="AS685" s="1293"/>
      <c r="AT685" s="1293"/>
      <c r="AU685" s="1293"/>
      <c r="AV685" s="1293"/>
      <c r="AW685" s="1293"/>
      <c r="AX685" s="1293"/>
      <c r="AY685" s="1293"/>
      <c r="AZ685" s="1293"/>
      <c r="BA685" s="1293"/>
      <c r="BB685" s="1293"/>
      <c r="BC685" s="1293"/>
      <c r="BD685" s="1293"/>
      <c r="BE685" s="1293"/>
      <c r="BF685" s="1293"/>
      <c r="BG685" s="1293"/>
      <c r="BH685" s="1293"/>
      <c r="BI685" s="1293"/>
      <c r="BJ685" s="1293"/>
      <c r="BK685" s="1293"/>
      <c r="BL685" s="1293"/>
      <c r="BM685" s="1293"/>
      <c r="BN685" s="1293"/>
      <c r="BO685" s="1293"/>
      <c r="BP685" s="1293"/>
      <c r="BQ685" s="1293"/>
      <c r="BR685" s="1293"/>
      <c r="BS685" s="1293"/>
      <c r="BT685" s="1293"/>
      <c r="BU685" s="1293"/>
      <c r="BV685" s="1293"/>
      <c r="BW685" s="1293"/>
      <c r="BX685" s="1293"/>
      <c r="BY685" s="1293"/>
      <c r="BZ685" s="1293"/>
      <c r="CA685" s="1293"/>
      <c r="CB685" s="1293"/>
      <c r="CC685" s="1293"/>
      <c r="CD685" s="1293"/>
      <c r="CE685" s="1293"/>
      <c r="CF685" s="1293"/>
      <c r="CG685" s="1293"/>
    </row>
    <row r="686" spans="1:85" ht="15.75">
      <c r="A686" s="1293"/>
      <c r="B686" s="1293"/>
      <c r="C686" s="1293"/>
      <c r="D686" s="1293"/>
      <c r="E686" s="1293"/>
      <c r="F686" s="1293"/>
      <c r="G686" s="1293"/>
      <c r="H686" s="1293"/>
      <c r="I686" s="1293"/>
      <c r="J686" s="1293"/>
      <c r="K686" s="1293"/>
      <c r="L686" s="1293"/>
      <c r="M686" s="1293"/>
      <c r="N686" s="1293"/>
      <c r="O686" s="1293"/>
      <c r="P686" s="1293"/>
      <c r="Q686" s="1293"/>
      <c r="R686" s="1293"/>
      <c r="S686" s="1293"/>
      <c r="T686" s="1293"/>
      <c r="U686" s="1293"/>
      <c r="V686" s="1293"/>
      <c r="W686" s="1293"/>
      <c r="X686" s="1293"/>
      <c r="Y686" s="1293"/>
      <c r="Z686" s="1293"/>
      <c r="AA686" s="1293"/>
      <c r="AB686" s="1293"/>
      <c r="AC686" s="1293"/>
      <c r="AD686" s="1293"/>
      <c r="AE686" s="1293"/>
      <c r="AF686" s="1293"/>
      <c r="AG686" s="1293"/>
      <c r="AH686" s="1293"/>
      <c r="AI686" s="1293"/>
      <c r="AJ686" s="1293"/>
      <c r="AK686" s="1293"/>
      <c r="AL686" s="1293"/>
      <c r="AM686" s="1293"/>
      <c r="AN686" s="1293">
        <v>9076</v>
      </c>
      <c r="AO686" s="1293"/>
      <c r="AP686" s="1293"/>
      <c r="AQ686" s="1293"/>
      <c r="AR686" s="1293"/>
      <c r="AS686" s="1293"/>
      <c r="AT686" s="1293"/>
      <c r="AU686" s="1293"/>
      <c r="AV686" s="1293"/>
      <c r="AW686" s="1293"/>
      <c r="AX686" s="1293"/>
      <c r="AY686" s="1293"/>
      <c r="AZ686" s="1293"/>
      <c r="BA686" s="1293"/>
      <c r="BB686" s="1293"/>
      <c r="BC686" s="1293"/>
      <c r="BD686" s="1293"/>
      <c r="BE686" s="1293"/>
      <c r="BF686" s="1293"/>
      <c r="BG686" s="1293"/>
      <c r="BH686" s="1293"/>
      <c r="BI686" s="1293"/>
      <c r="BJ686" s="1293"/>
      <c r="BK686" s="1293"/>
      <c r="BL686" s="1293"/>
      <c r="BM686" s="1293"/>
      <c r="BN686" s="1293"/>
      <c r="BO686" s="1293"/>
      <c r="BP686" s="1293"/>
      <c r="BQ686" s="1293"/>
      <c r="BR686" s="1293"/>
      <c r="BS686" s="1293"/>
      <c r="BT686" s="1293"/>
      <c r="BU686" s="1293"/>
      <c r="BV686" s="1293"/>
      <c r="BW686" s="1293"/>
      <c r="BX686" s="1293"/>
      <c r="BY686" s="1293"/>
      <c r="BZ686" s="1293"/>
      <c r="CA686" s="1293"/>
      <c r="CB686" s="1293"/>
      <c r="CC686" s="1293"/>
      <c r="CD686" s="1293"/>
      <c r="CE686" s="1293"/>
      <c r="CF686" s="1293"/>
      <c r="CG686" s="1293"/>
    </row>
    <row r="687" spans="1:85" ht="15.75">
      <c r="A687" s="1293"/>
      <c r="B687" s="1293"/>
      <c r="C687" s="1293"/>
      <c r="D687" s="1293"/>
      <c r="E687" s="1293"/>
      <c r="F687" s="1293"/>
      <c r="G687" s="1293"/>
      <c r="H687" s="1293"/>
      <c r="I687" s="1293"/>
      <c r="J687" s="1293"/>
      <c r="K687" s="1293"/>
      <c r="L687" s="1293"/>
      <c r="M687" s="1293"/>
      <c r="N687" s="1293"/>
      <c r="O687" s="1293"/>
      <c r="P687" s="1293"/>
      <c r="Q687" s="1293"/>
      <c r="R687" s="1293"/>
      <c r="S687" s="1293"/>
      <c r="T687" s="1293"/>
      <c r="U687" s="1293"/>
      <c r="V687" s="1293"/>
      <c r="W687" s="1293"/>
      <c r="X687" s="1293"/>
      <c r="Y687" s="1293"/>
      <c r="Z687" s="1293"/>
      <c r="AA687" s="1293"/>
      <c r="AB687" s="1293"/>
      <c r="AC687" s="1293"/>
      <c r="AD687" s="1293"/>
      <c r="AE687" s="1293"/>
      <c r="AF687" s="1293"/>
      <c r="AG687" s="1293"/>
      <c r="AH687" s="1293"/>
      <c r="AI687" s="1293"/>
      <c r="AJ687" s="1293"/>
      <c r="AK687" s="1293"/>
      <c r="AL687" s="1293"/>
      <c r="AM687" s="1293"/>
      <c r="AN687" s="1293">
        <v>2560</v>
      </c>
      <c r="AO687" s="1293"/>
      <c r="AP687" s="1293"/>
      <c r="AQ687" s="1293"/>
      <c r="AR687" s="1293"/>
      <c r="AS687" s="1293"/>
      <c r="AT687" s="1293"/>
      <c r="AU687" s="1293"/>
      <c r="AV687" s="1293"/>
      <c r="AW687" s="1293"/>
      <c r="AX687" s="1293"/>
      <c r="AY687" s="1293"/>
      <c r="AZ687" s="1293"/>
      <c r="BA687" s="1293"/>
      <c r="BB687" s="1293"/>
      <c r="BC687" s="1293"/>
      <c r="BD687" s="1293"/>
      <c r="BE687" s="1293"/>
      <c r="BF687" s="1293"/>
      <c r="BG687" s="1293"/>
      <c r="BH687" s="1293"/>
      <c r="BI687" s="1293"/>
      <c r="BJ687" s="1293"/>
      <c r="BK687" s="1293"/>
      <c r="BL687" s="1293"/>
      <c r="BM687" s="1293"/>
      <c r="BN687" s="1293"/>
      <c r="BO687" s="1293"/>
      <c r="BP687" s="1293"/>
      <c r="BQ687" s="1293"/>
      <c r="BR687" s="1293"/>
      <c r="BS687" s="1293"/>
      <c r="BT687" s="1293"/>
      <c r="BU687" s="1293"/>
      <c r="BV687" s="1293"/>
      <c r="BW687" s="1293"/>
      <c r="BX687" s="1293"/>
      <c r="BY687" s="1293"/>
      <c r="BZ687" s="1293"/>
      <c r="CA687" s="1293"/>
      <c r="CB687" s="1293"/>
      <c r="CC687" s="1293"/>
      <c r="CD687" s="1293"/>
      <c r="CE687" s="1293"/>
      <c r="CF687" s="1293"/>
      <c r="CG687" s="1293"/>
    </row>
    <row r="688" spans="1:85" ht="15.75">
      <c r="A688" s="1293"/>
      <c r="B688" s="1293"/>
      <c r="C688" s="1293"/>
      <c r="D688" s="1293"/>
      <c r="E688" s="1293"/>
      <c r="F688" s="1293"/>
      <c r="G688" s="1293"/>
      <c r="H688" s="1293"/>
      <c r="I688" s="1293"/>
      <c r="J688" s="1293"/>
      <c r="K688" s="1293"/>
      <c r="L688" s="1293"/>
      <c r="M688" s="1293"/>
      <c r="N688" s="1293"/>
      <c r="O688" s="1293"/>
      <c r="P688" s="1293"/>
      <c r="Q688" s="1293"/>
      <c r="R688" s="1293"/>
      <c r="S688" s="1293"/>
      <c r="T688" s="1293"/>
      <c r="U688" s="1293"/>
      <c r="V688" s="1293"/>
      <c r="W688" s="1293"/>
      <c r="X688" s="1293"/>
      <c r="Y688" s="1293"/>
      <c r="Z688" s="1293"/>
      <c r="AA688" s="1293"/>
      <c r="AB688" s="1293"/>
      <c r="AC688" s="1293"/>
      <c r="AD688" s="1293"/>
      <c r="AE688" s="1293"/>
      <c r="AF688" s="1293"/>
      <c r="AG688" s="1293"/>
      <c r="AH688" s="1293"/>
      <c r="AI688" s="1293"/>
      <c r="AJ688" s="1293"/>
      <c r="AK688" s="1293"/>
      <c r="AL688" s="1293"/>
      <c r="AM688" s="1293"/>
      <c r="AN688" s="1293">
        <v>4843</v>
      </c>
      <c r="AO688" s="1293"/>
      <c r="AP688" s="1293"/>
      <c r="AQ688" s="1293"/>
      <c r="AR688" s="1293"/>
      <c r="AS688" s="1293"/>
      <c r="AT688" s="1293"/>
      <c r="AU688" s="1293"/>
      <c r="AV688" s="1293"/>
      <c r="AW688" s="1293"/>
      <c r="AX688" s="1293"/>
      <c r="AY688" s="1293"/>
      <c r="AZ688" s="1293"/>
      <c r="BA688" s="1293"/>
      <c r="BB688" s="1293"/>
      <c r="BC688" s="1293"/>
      <c r="BD688" s="1293"/>
      <c r="BE688" s="1293"/>
      <c r="BF688" s="1293"/>
      <c r="BG688" s="1293"/>
      <c r="BH688" s="1293"/>
      <c r="BI688" s="1293"/>
      <c r="BJ688" s="1293"/>
      <c r="BK688" s="1293"/>
      <c r="BL688" s="1293"/>
      <c r="BM688" s="1293"/>
      <c r="BN688" s="1293"/>
      <c r="BO688" s="1293"/>
      <c r="BP688" s="1293"/>
      <c r="BQ688" s="1293"/>
      <c r="BR688" s="1293"/>
      <c r="BS688" s="1293"/>
      <c r="BT688" s="1293"/>
      <c r="BU688" s="1293"/>
      <c r="BV688" s="1293"/>
      <c r="BW688" s="1293"/>
      <c r="BX688" s="1293"/>
      <c r="BY688" s="1293"/>
      <c r="BZ688" s="1293"/>
      <c r="CA688" s="1293"/>
      <c r="CB688" s="1293"/>
      <c r="CC688" s="1293"/>
      <c r="CD688" s="1293"/>
      <c r="CE688" s="1293"/>
      <c r="CF688" s="1293"/>
      <c r="CG688" s="1293"/>
    </row>
    <row r="689" spans="1:85" ht="15.75">
      <c r="A689" s="1293"/>
      <c r="B689" s="1293"/>
      <c r="C689" s="1293"/>
      <c r="D689" s="1293"/>
      <c r="E689" s="1293"/>
      <c r="F689" s="1293"/>
      <c r="G689" s="1293"/>
      <c r="H689" s="1293"/>
      <c r="I689" s="1293"/>
      <c r="J689" s="1293"/>
      <c r="K689" s="1293"/>
      <c r="L689" s="1293"/>
      <c r="M689" s="1293"/>
      <c r="N689" s="1293"/>
      <c r="O689" s="1293"/>
      <c r="P689" s="1293"/>
      <c r="Q689" s="1293"/>
      <c r="R689" s="1293"/>
      <c r="S689" s="1293"/>
      <c r="T689" s="1293"/>
      <c r="U689" s="1293"/>
      <c r="V689" s="1293"/>
      <c r="W689" s="1293"/>
      <c r="X689" s="1293"/>
      <c r="Y689" s="1293"/>
      <c r="Z689" s="1293"/>
      <c r="AA689" s="1293"/>
      <c r="AB689" s="1293"/>
      <c r="AC689" s="1293"/>
      <c r="AD689" s="1293"/>
      <c r="AE689" s="1293"/>
      <c r="AF689" s="1293"/>
      <c r="AG689" s="1293"/>
      <c r="AH689" s="1293"/>
      <c r="AI689" s="1293"/>
      <c r="AJ689" s="1293"/>
      <c r="AK689" s="1293"/>
      <c r="AL689" s="1293"/>
      <c r="AM689" s="1293"/>
      <c r="AN689" s="1293">
        <v>1.89</v>
      </c>
      <c r="AO689" s="1293"/>
      <c r="AP689" s="1293"/>
      <c r="AQ689" s="1293"/>
      <c r="AR689" s="1293"/>
      <c r="AS689" s="1293"/>
      <c r="AT689" s="1293"/>
      <c r="AU689" s="1293"/>
      <c r="AV689" s="1293"/>
      <c r="AW689" s="1293"/>
      <c r="AX689" s="1293"/>
      <c r="AY689" s="1293"/>
      <c r="AZ689" s="1293"/>
      <c r="BA689" s="1293"/>
      <c r="BB689" s="1293"/>
      <c r="BC689" s="1293"/>
      <c r="BD689" s="1293"/>
      <c r="BE689" s="1293"/>
      <c r="BF689" s="1293"/>
      <c r="BG689" s="1293"/>
      <c r="BH689" s="1293"/>
      <c r="BI689" s="1293"/>
      <c r="BJ689" s="1293"/>
      <c r="BK689" s="1293"/>
      <c r="BL689" s="1293"/>
      <c r="BM689" s="1293"/>
      <c r="BN689" s="1293"/>
      <c r="BO689" s="1293"/>
      <c r="BP689" s="1293"/>
      <c r="BQ689" s="1293"/>
      <c r="BR689" s="1293"/>
      <c r="BS689" s="1293"/>
      <c r="BT689" s="1293"/>
      <c r="BU689" s="1293"/>
      <c r="BV689" s="1293"/>
      <c r="BW689" s="1293"/>
      <c r="BX689" s="1293"/>
      <c r="BY689" s="1293"/>
      <c r="BZ689" s="1293"/>
      <c r="CA689" s="1293"/>
      <c r="CB689" s="1293"/>
      <c r="CC689" s="1293"/>
      <c r="CD689" s="1293"/>
      <c r="CE689" s="1293"/>
      <c r="CF689" s="1293"/>
      <c r="CG689" s="1293"/>
    </row>
    <row r="690" spans="1:85" ht="15.75">
      <c r="A690" s="1293"/>
      <c r="B690" s="1293"/>
      <c r="C690" s="1293"/>
      <c r="D690" s="1293"/>
      <c r="E690" s="1293"/>
      <c r="F690" s="1293"/>
      <c r="G690" s="1293"/>
      <c r="H690" s="1293"/>
      <c r="I690" s="1293"/>
      <c r="J690" s="1293"/>
      <c r="K690" s="1293"/>
      <c r="L690" s="1293"/>
      <c r="M690" s="1293"/>
      <c r="N690" s="1293"/>
      <c r="O690" s="1293"/>
      <c r="P690" s="1293"/>
      <c r="Q690" s="1293"/>
      <c r="R690" s="1293"/>
      <c r="S690" s="1293"/>
      <c r="T690" s="1293"/>
      <c r="U690" s="1293"/>
      <c r="V690" s="1293"/>
      <c r="W690" s="1293"/>
      <c r="X690" s="1293"/>
      <c r="Y690" s="1293"/>
      <c r="Z690" s="1293"/>
      <c r="AA690" s="1293"/>
      <c r="AB690" s="1293"/>
      <c r="AC690" s="1293"/>
      <c r="AD690" s="1293"/>
      <c r="AE690" s="1293"/>
      <c r="AF690" s="1293"/>
      <c r="AG690" s="1293"/>
      <c r="AH690" s="1293"/>
      <c r="AI690" s="1293"/>
      <c r="AJ690" s="1293"/>
      <c r="AK690" s="1293"/>
      <c r="AL690" s="1293"/>
      <c r="AM690" s="1293"/>
      <c r="AN690" s="1293"/>
      <c r="AO690" s="1293"/>
      <c r="AP690" s="1293"/>
      <c r="AQ690" s="1293"/>
      <c r="AR690" s="1293"/>
      <c r="AS690" s="1293"/>
      <c r="AT690" s="1293"/>
      <c r="AU690" s="1293"/>
      <c r="AV690" s="1293"/>
      <c r="AW690" s="1293"/>
      <c r="AX690" s="1293"/>
      <c r="AY690" s="1293"/>
      <c r="AZ690" s="1293"/>
      <c r="BA690" s="1293"/>
      <c r="BB690" s="1293"/>
      <c r="BC690" s="1293"/>
      <c r="BD690" s="1293"/>
      <c r="BE690" s="1293"/>
      <c r="BF690" s="1293"/>
      <c r="BG690" s="1293"/>
      <c r="BH690" s="1293"/>
      <c r="BI690" s="1293"/>
      <c r="BJ690" s="1293"/>
      <c r="BK690" s="1293"/>
      <c r="BL690" s="1293"/>
      <c r="BM690" s="1293"/>
      <c r="BN690" s="1293"/>
      <c r="BO690" s="1293"/>
      <c r="BP690" s="1293"/>
      <c r="BQ690" s="1293"/>
      <c r="BR690" s="1293"/>
      <c r="BS690" s="1293"/>
      <c r="BT690" s="1293"/>
      <c r="BU690" s="1293"/>
      <c r="BV690" s="1293"/>
      <c r="BW690" s="1293"/>
      <c r="BX690" s="1293"/>
      <c r="BY690" s="1293"/>
      <c r="BZ690" s="1293"/>
      <c r="CA690" s="1293"/>
      <c r="CB690" s="1293"/>
      <c r="CC690" s="1293"/>
      <c r="CD690" s="1293"/>
      <c r="CE690" s="1293"/>
      <c r="CF690" s="1293"/>
      <c r="CG690" s="1293"/>
    </row>
    <row r="691" spans="1:85" ht="15.75">
      <c r="A691" s="1293"/>
      <c r="B691" s="1293"/>
      <c r="C691" s="1293"/>
      <c r="D691" s="1293"/>
      <c r="E691" s="1293"/>
      <c r="F691" s="1293"/>
      <c r="G691" s="1293"/>
      <c r="H691" s="1293"/>
      <c r="I691" s="1293"/>
      <c r="J691" s="1293"/>
      <c r="K691" s="1293"/>
      <c r="L691" s="1293"/>
      <c r="M691" s="1293"/>
      <c r="N691" s="1293"/>
      <c r="O691" s="1293"/>
      <c r="P691" s="1293"/>
      <c r="Q691" s="1293"/>
      <c r="R691" s="1293"/>
      <c r="S691" s="1293"/>
      <c r="T691" s="1293"/>
      <c r="U691" s="1293"/>
      <c r="V691" s="1293"/>
      <c r="W691" s="1293"/>
      <c r="X691" s="1293"/>
      <c r="Y691" s="1293"/>
      <c r="Z691" s="1293"/>
      <c r="AA691" s="1293"/>
      <c r="AB691" s="1293"/>
      <c r="AC691" s="1293"/>
      <c r="AD691" s="1293"/>
      <c r="AE691" s="1293"/>
      <c r="AF691" s="1293"/>
      <c r="AG691" s="1293"/>
      <c r="AH691" s="1293"/>
      <c r="AI691" s="1293"/>
      <c r="AJ691" s="1293"/>
      <c r="AK691" s="1293"/>
      <c r="AL691" s="1293"/>
      <c r="AM691" s="1293"/>
      <c r="AN691" s="1293"/>
      <c r="AO691" s="1293"/>
      <c r="AP691" s="1293"/>
      <c r="AQ691" s="1293"/>
      <c r="AR691" s="1293"/>
      <c r="AS691" s="1293"/>
      <c r="AT691" s="1293"/>
      <c r="AU691" s="1293"/>
      <c r="AV691" s="1293"/>
      <c r="AW691" s="1293"/>
      <c r="AX691" s="1293"/>
      <c r="AY691" s="1293"/>
      <c r="AZ691" s="1293"/>
      <c r="BA691" s="1293"/>
      <c r="BB691" s="1293"/>
      <c r="BC691" s="1293"/>
      <c r="BD691" s="1293"/>
      <c r="BE691" s="1293"/>
      <c r="BF691" s="1293"/>
      <c r="BG691" s="1293"/>
      <c r="BH691" s="1293"/>
      <c r="BI691" s="1293"/>
      <c r="BJ691" s="1293"/>
      <c r="BK691" s="1293"/>
      <c r="BL691" s="1293"/>
      <c r="BM691" s="1293"/>
      <c r="BN691" s="1293"/>
      <c r="BO691" s="1293"/>
      <c r="BP691" s="1293"/>
      <c r="BQ691" s="1293"/>
      <c r="BR691" s="1293"/>
      <c r="BS691" s="1293"/>
      <c r="BT691" s="1293"/>
      <c r="BU691" s="1293"/>
      <c r="BV691" s="1293"/>
      <c r="BW691" s="1293"/>
      <c r="BX691" s="1293"/>
      <c r="BY691" s="1293"/>
      <c r="BZ691" s="1293"/>
      <c r="CA691" s="1293"/>
      <c r="CB691" s="1293"/>
      <c r="CC691" s="1293"/>
      <c r="CD691" s="1293"/>
      <c r="CE691" s="1293"/>
      <c r="CF691" s="1293"/>
      <c r="CG691" s="1293"/>
    </row>
    <row r="692" spans="1:85" ht="15.75">
      <c r="A692" s="1293"/>
      <c r="B692" s="1293"/>
      <c r="C692" s="1293"/>
      <c r="D692" s="1293"/>
      <c r="E692" s="1293"/>
      <c r="F692" s="1293"/>
      <c r="G692" s="1293"/>
      <c r="H692" s="1293"/>
      <c r="I692" s="1293"/>
      <c r="J692" s="1293"/>
      <c r="K692" s="1293"/>
      <c r="L692" s="1293"/>
      <c r="M692" s="1293"/>
      <c r="N692" s="1293"/>
      <c r="O692" s="1293"/>
      <c r="P692" s="1293"/>
      <c r="Q692" s="1293"/>
      <c r="R692" s="1293"/>
      <c r="S692" s="1293"/>
      <c r="T692" s="1293"/>
      <c r="U692" s="1293"/>
      <c r="V692" s="1293"/>
      <c r="W692" s="1293"/>
      <c r="X692" s="1293"/>
      <c r="Y692" s="1293"/>
      <c r="Z692" s="1293"/>
      <c r="AA692" s="1293"/>
      <c r="AB692" s="1293"/>
      <c r="AC692" s="1293"/>
      <c r="AD692" s="1293"/>
      <c r="AE692" s="1293"/>
      <c r="AF692" s="1293"/>
      <c r="AG692" s="1293"/>
      <c r="AH692" s="1293"/>
      <c r="AI692" s="1293"/>
      <c r="AJ692" s="1293"/>
      <c r="AK692" s="1293"/>
      <c r="AL692" s="1293"/>
      <c r="AM692" s="1293"/>
      <c r="AN692" s="1293"/>
      <c r="AO692" s="1293"/>
      <c r="AP692" s="1293"/>
      <c r="AQ692" s="1293"/>
      <c r="AR692" s="1293"/>
      <c r="AS692" s="1293"/>
      <c r="AT692" s="1293"/>
      <c r="AU692" s="1293"/>
      <c r="AV692" s="1293"/>
      <c r="AW692" s="1293"/>
      <c r="AX692" s="1293"/>
      <c r="AY692" s="1293"/>
      <c r="AZ692" s="1293"/>
      <c r="BA692" s="1293"/>
      <c r="BB692" s="1293"/>
      <c r="BC692" s="1293"/>
      <c r="BD692" s="1293"/>
      <c r="BE692" s="1293"/>
      <c r="BF692" s="1293"/>
      <c r="BG692" s="1293"/>
      <c r="BH692" s="1293"/>
      <c r="BI692" s="1293"/>
      <c r="BJ692" s="1293"/>
      <c r="BK692" s="1293"/>
      <c r="BL692" s="1293"/>
      <c r="BM692" s="1293"/>
      <c r="BN692" s="1293"/>
      <c r="BO692" s="1293"/>
      <c r="BP692" s="1293"/>
      <c r="BQ692" s="1293"/>
      <c r="BR692" s="1293"/>
      <c r="BS692" s="1293"/>
      <c r="BT692" s="1293"/>
      <c r="BU692" s="1293"/>
      <c r="BV692" s="1293"/>
      <c r="BW692" s="1293"/>
      <c r="BX692" s="1293"/>
      <c r="BY692" s="1293"/>
      <c r="BZ692" s="1293"/>
      <c r="CA692" s="1293"/>
      <c r="CB692" s="1293"/>
      <c r="CC692" s="1293"/>
      <c r="CD692" s="1293"/>
      <c r="CE692" s="1293"/>
      <c r="CF692" s="1293"/>
      <c r="CG692" s="1293"/>
    </row>
    <row r="693" spans="1:85" ht="15.75">
      <c r="A693" s="1293"/>
      <c r="B693" s="1293"/>
      <c r="C693" s="1293"/>
      <c r="D693" s="1293"/>
      <c r="E693" s="1293"/>
      <c r="F693" s="1293"/>
      <c r="G693" s="1293"/>
      <c r="H693" s="1293"/>
      <c r="I693" s="1293"/>
      <c r="J693" s="1293"/>
      <c r="K693" s="1293"/>
      <c r="L693" s="1293"/>
      <c r="M693" s="1293"/>
      <c r="N693" s="1293"/>
      <c r="O693" s="1293"/>
      <c r="P693" s="1293"/>
      <c r="Q693" s="1293"/>
      <c r="R693" s="1293"/>
      <c r="S693" s="1293"/>
      <c r="T693" s="1293"/>
      <c r="U693" s="1293"/>
      <c r="V693" s="1293"/>
      <c r="W693" s="1293"/>
      <c r="X693" s="1293"/>
      <c r="Y693" s="1293"/>
      <c r="Z693" s="1293"/>
      <c r="AA693" s="1293"/>
      <c r="AB693" s="1293"/>
      <c r="AC693" s="1293"/>
      <c r="AD693" s="1293"/>
      <c r="AE693" s="1293"/>
      <c r="AF693" s="1293"/>
      <c r="AG693" s="1293"/>
      <c r="AH693" s="1293"/>
      <c r="AI693" s="1293"/>
      <c r="AJ693" s="1293"/>
      <c r="AK693" s="1293"/>
      <c r="AL693" s="1293"/>
      <c r="AM693" s="1293"/>
      <c r="AN693" s="1293"/>
      <c r="AO693" s="1293"/>
      <c r="AP693" s="1293"/>
      <c r="AQ693" s="1293"/>
      <c r="AR693" s="1293"/>
      <c r="AS693" s="1293"/>
      <c r="AT693" s="1293"/>
      <c r="AU693" s="1293"/>
      <c r="AV693" s="1293"/>
      <c r="AW693" s="1293"/>
      <c r="AX693" s="1293"/>
      <c r="AY693" s="1293"/>
      <c r="AZ693" s="1293"/>
      <c r="BA693" s="1293"/>
      <c r="BB693" s="1293"/>
      <c r="BC693" s="1293"/>
      <c r="BD693" s="1293"/>
      <c r="BE693" s="1293"/>
      <c r="BF693" s="1293"/>
      <c r="BG693" s="1293"/>
      <c r="BH693" s="1293"/>
      <c r="BI693" s="1293"/>
      <c r="BJ693" s="1293"/>
      <c r="BK693" s="1293"/>
      <c r="BL693" s="1293"/>
      <c r="BM693" s="1293"/>
      <c r="BN693" s="1293"/>
      <c r="BO693" s="1293"/>
      <c r="BP693" s="1293"/>
      <c r="BQ693" s="1293"/>
      <c r="BR693" s="1293"/>
      <c r="BS693" s="1293"/>
      <c r="BT693" s="1293"/>
      <c r="BU693" s="1293"/>
      <c r="BV693" s="1293"/>
      <c r="BW693" s="1293"/>
      <c r="BX693" s="1293"/>
      <c r="BY693" s="1293"/>
      <c r="BZ693" s="1293"/>
      <c r="CA693" s="1293"/>
      <c r="CB693" s="1293"/>
      <c r="CC693" s="1293"/>
      <c r="CD693" s="1293"/>
      <c r="CE693" s="1293"/>
      <c r="CF693" s="1293"/>
      <c r="CG693" s="1293"/>
    </row>
    <row r="694" spans="1:85" ht="15.75">
      <c r="A694" s="1293"/>
      <c r="B694" s="1293"/>
      <c r="C694" s="1293"/>
      <c r="D694" s="1293"/>
      <c r="E694" s="1293"/>
      <c r="F694" s="1293"/>
      <c r="G694" s="1293"/>
      <c r="H694" s="1293"/>
      <c r="I694" s="1293"/>
      <c r="J694" s="1293"/>
      <c r="K694" s="1293"/>
      <c r="L694" s="1293"/>
      <c r="M694" s="1293"/>
      <c r="N694" s="1293"/>
      <c r="O694" s="1293"/>
      <c r="P694" s="1293"/>
      <c r="Q694" s="1293"/>
      <c r="R694" s="1293"/>
      <c r="S694" s="1293"/>
      <c r="T694" s="1293"/>
      <c r="U694" s="1293"/>
      <c r="V694" s="1293"/>
      <c r="W694" s="1293"/>
      <c r="X694" s="1293"/>
      <c r="Y694" s="1293"/>
      <c r="Z694" s="1293"/>
      <c r="AA694" s="1293"/>
      <c r="AB694" s="1293"/>
      <c r="AC694" s="1293"/>
      <c r="AD694" s="1293"/>
      <c r="AE694" s="1293"/>
      <c r="AF694" s="1293"/>
      <c r="AG694" s="1293"/>
      <c r="AH694" s="1293"/>
      <c r="AI694" s="1293"/>
      <c r="AJ694" s="1293"/>
      <c r="AK694" s="1293"/>
      <c r="AL694" s="1293"/>
      <c r="AM694" s="1293"/>
      <c r="AN694" s="1293"/>
      <c r="AO694" s="1293"/>
      <c r="AP694" s="1293"/>
      <c r="AQ694" s="1293"/>
      <c r="AR694" s="1293"/>
      <c r="AS694" s="1293"/>
      <c r="AT694" s="1293"/>
      <c r="AU694" s="1293"/>
      <c r="AV694" s="1293"/>
      <c r="AW694" s="1293"/>
      <c r="AX694" s="1293"/>
      <c r="AY694" s="1293"/>
      <c r="AZ694" s="1293"/>
      <c r="BA694" s="1293"/>
      <c r="BB694" s="1293"/>
      <c r="BC694" s="1293"/>
      <c r="BD694" s="1293"/>
      <c r="BE694" s="1293"/>
      <c r="BF694" s="1293"/>
      <c r="BG694" s="1293"/>
      <c r="BH694" s="1293"/>
      <c r="BI694" s="1293"/>
      <c r="BJ694" s="1293"/>
      <c r="BK694" s="1293"/>
      <c r="BL694" s="1293"/>
      <c r="BM694" s="1293"/>
      <c r="BN694" s="1293"/>
      <c r="BO694" s="1293"/>
      <c r="BP694" s="1293"/>
      <c r="BQ694" s="1293"/>
      <c r="BR694" s="1293"/>
      <c r="BS694" s="1293"/>
      <c r="BT694" s="1293"/>
      <c r="BU694" s="1293"/>
      <c r="BV694" s="1293"/>
      <c r="BW694" s="1293"/>
      <c r="BX694" s="1293"/>
      <c r="BY694" s="1293"/>
      <c r="BZ694" s="1293"/>
      <c r="CA694" s="1293"/>
      <c r="CB694" s="1293"/>
      <c r="CC694" s="1293"/>
      <c r="CD694" s="1293"/>
      <c r="CE694" s="1293"/>
      <c r="CF694" s="1293"/>
      <c r="CG694" s="1293"/>
    </row>
    <row r="695" spans="1:85" ht="15.75">
      <c r="A695" s="1293"/>
      <c r="B695" s="1293"/>
      <c r="C695" s="1293"/>
      <c r="D695" s="1293"/>
      <c r="E695" s="1293"/>
      <c r="F695" s="1293"/>
      <c r="G695" s="1293"/>
      <c r="H695" s="1293"/>
      <c r="I695" s="1293"/>
      <c r="J695" s="1293"/>
      <c r="K695" s="1293"/>
      <c r="L695" s="1293"/>
      <c r="M695" s="1293"/>
      <c r="N695" s="1293"/>
      <c r="O695" s="1293"/>
      <c r="P695" s="1293"/>
      <c r="Q695" s="1293"/>
      <c r="R695" s="1293"/>
      <c r="S695" s="1293"/>
      <c r="T695" s="1293"/>
      <c r="U695" s="1293"/>
      <c r="V695" s="1293"/>
      <c r="W695" s="1293"/>
      <c r="X695" s="1293"/>
      <c r="Y695" s="1293"/>
      <c r="Z695" s="1293"/>
      <c r="AA695" s="1293"/>
      <c r="AB695" s="1293"/>
      <c r="AC695" s="1293"/>
      <c r="AD695" s="1293"/>
      <c r="AE695" s="1293"/>
      <c r="AF695" s="1293"/>
      <c r="AG695" s="1293"/>
      <c r="AH695" s="1293"/>
      <c r="AI695" s="1293"/>
      <c r="AJ695" s="1293"/>
      <c r="AK695" s="1293"/>
      <c r="AL695" s="1293"/>
      <c r="AM695" s="1293"/>
      <c r="AN695" s="1293"/>
      <c r="AO695" s="1293"/>
      <c r="AP695" s="1293"/>
      <c r="AQ695" s="1293"/>
      <c r="AR695" s="1293"/>
      <c r="AS695" s="1293"/>
      <c r="AT695" s="1293"/>
      <c r="AU695" s="1293"/>
      <c r="AV695" s="1293"/>
      <c r="AW695" s="1293"/>
      <c r="AX695" s="1293"/>
      <c r="AY695" s="1293"/>
      <c r="AZ695" s="1293"/>
      <c r="BA695" s="1293"/>
      <c r="BB695" s="1293"/>
      <c r="BC695" s="1293"/>
      <c r="BD695" s="1293"/>
      <c r="BE695" s="1293"/>
      <c r="BF695" s="1293"/>
      <c r="BG695" s="1293"/>
      <c r="BH695" s="1293"/>
      <c r="BI695" s="1293"/>
      <c r="BJ695" s="1293"/>
      <c r="BK695" s="1293"/>
      <c r="BL695" s="1293"/>
      <c r="BM695" s="1293"/>
      <c r="BN695" s="1293"/>
      <c r="BO695" s="1293"/>
      <c r="BP695" s="1293"/>
      <c r="BQ695" s="1293"/>
      <c r="BR695" s="1293"/>
      <c r="BS695" s="1293"/>
      <c r="BT695" s="1293"/>
      <c r="BU695" s="1293"/>
      <c r="BV695" s="1293"/>
      <c r="BW695" s="1293"/>
      <c r="BX695" s="1293"/>
      <c r="BY695" s="1293"/>
      <c r="BZ695" s="1293"/>
      <c r="CA695" s="1293"/>
      <c r="CB695" s="1293"/>
      <c r="CC695" s="1293"/>
      <c r="CD695" s="1293"/>
      <c r="CE695" s="1293"/>
      <c r="CF695" s="1293"/>
      <c r="CG695" s="1293"/>
    </row>
    <row r="696" spans="1:85" ht="15.75">
      <c r="A696" s="1293"/>
      <c r="B696" s="1293"/>
      <c r="C696" s="1293"/>
      <c r="D696" s="1293"/>
      <c r="E696" s="1293"/>
      <c r="F696" s="1293"/>
      <c r="G696" s="1293"/>
      <c r="H696" s="1293"/>
      <c r="I696" s="1293"/>
      <c r="J696" s="1293"/>
      <c r="K696" s="1293"/>
      <c r="L696" s="1293"/>
      <c r="M696" s="1293"/>
      <c r="N696" s="1293"/>
      <c r="O696" s="1293"/>
      <c r="P696" s="1293"/>
      <c r="Q696" s="1293"/>
      <c r="R696" s="1293"/>
      <c r="S696" s="1293"/>
      <c r="T696" s="1293"/>
      <c r="U696" s="1293"/>
      <c r="V696" s="1293"/>
      <c r="W696" s="1293"/>
      <c r="X696" s="1293"/>
      <c r="Y696" s="1293"/>
      <c r="Z696" s="1293"/>
      <c r="AA696" s="1293"/>
      <c r="AB696" s="1293"/>
      <c r="AC696" s="1293"/>
      <c r="AD696" s="1293"/>
      <c r="AE696" s="1293"/>
      <c r="AF696" s="1293"/>
      <c r="AG696" s="1293"/>
      <c r="AH696" s="1293"/>
      <c r="AI696" s="1293"/>
      <c r="AJ696" s="1293"/>
      <c r="AK696" s="1293"/>
      <c r="AL696" s="1293"/>
      <c r="AM696" s="1293"/>
      <c r="AN696" s="1293"/>
      <c r="AO696" s="1293"/>
      <c r="AP696" s="1293"/>
      <c r="AQ696" s="1293"/>
      <c r="AR696" s="1293"/>
      <c r="AS696" s="1293"/>
      <c r="AT696" s="1293"/>
      <c r="AU696" s="1293"/>
      <c r="AV696" s="1293"/>
      <c r="AW696" s="1293"/>
      <c r="AX696" s="1293"/>
      <c r="AY696" s="1293"/>
      <c r="AZ696" s="1293"/>
      <c r="BA696" s="1293"/>
      <c r="BB696" s="1293"/>
      <c r="BC696" s="1293"/>
      <c r="BD696" s="1293"/>
      <c r="BE696" s="1293"/>
      <c r="BF696" s="1293"/>
      <c r="BG696" s="1293"/>
      <c r="BH696" s="1293"/>
      <c r="BI696" s="1293"/>
      <c r="BJ696" s="1293"/>
      <c r="BK696" s="1293"/>
      <c r="BL696" s="1293"/>
      <c r="BM696" s="1293"/>
      <c r="BN696" s="1293"/>
      <c r="BO696" s="1293"/>
      <c r="BP696" s="1293"/>
      <c r="BQ696" s="1293"/>
      <c r="BR696" s="1293"/>
      <c r="BS696" s="1293"/>
      <c r="BT696" s="1293"/>
      <c r="BU696" s="1293"/>
      <c r="BV696" s="1293"/>
      <c r="BW696" s="1293"/>
      <c r="BX696" s="1293"/>
      <c r="BY696" s="1293"/>
      <c r="BZ696" s="1293"/>
      <c r="CA696" s="1293"/>
      <c r="CB696" s="1293"/>
      <c r="CC696" s="1293"/>
      <c r="CD696" s="1293"/>
      <c r="CE696" s="1293"/>
      <c r="CF696" s="1293"/>
      <c r="CG696" s="1293"/>
    </row>
    <row r="697" spans="1:85" ht="15.75">
      <c r="A697" s="1293"/>
      <c r="B697" s="1293"/>
      <c r="C697" s="1293"/>
      <c r="D697" s="1293"/>
      <c r="E697" s="1293"/>
      <c r="F697" s="1293"/>
      <c r="G697" s="1293"/>
      <c r="H697" s="1293"/>
      <c r="I697" s="1293"/>
      <c r="J697" s="1293"/>
      <c r="K697" s="1293"/>
      <c r="L697" s="1293"/>
      <c r="M697" s="1293"/>
      <c r="N697" s="1293"/>
      <c r="O697" s="1293"/>
      <c r="P697" s="1293"/>
      <c r="Q697" s="1293"/>
      <c r="R697" s="1293"/>
      <c r="S697" s="1293"/>
      <c r="T697" s="1293"/>
      <c r="U697" s="1293"/>
      <c r="V697" s="1293"/>
      <c r="W697" s="1293"/>
      <c r="X697" s="1293"/>
      <c r="Y697" s="1293"/>
      <c r="Z697" s="1293"/>
      <c r="AA697" s="1293"/>
      <c r="AB697" s="1293"/>
      <c r="AC697" s="1293"/>
      <c r="AD697" s="1293"/>
      <c r="AE697" s="1293"/>
      <c r="AF697" s="1293"/>
      <c r="AG697" s="1293"/>
      <c r="AH697" s="1293"/>
      <c r="AI697" s="1293"/>
      <c r="AJ697" s="1293"/>
      <c r="AK697" s="1293"/>
      <c r="AL697" s="1293"/>
      <c r="AM697" s="1293"/>
      <c r="AN697" s="1293"/>
      <c r="AO697" s="1293"/>
      <c r="AP697" s="1293"/>
      <c r="AQ697" s="1293"/>
      <c r="AR697" s="1293"/>
      <c r="AS697" s="1293"/>
      <c r="AT697" s="1293"/>
      <c r="AU697" s="1293"/>
      <c r="AV697" s="1293"/>
      <c r="AW697" s="1293"/>
      <c r="AX697" s="1293"/>
      <c r="AY697" s="1293"/>
      <c r="AZ697" s="1293"/>
      <c r="BA697" s="1293"/>
      <c r="BB697" s="1293"/>
      <c r="BC697" s="1293"/>
      <c r="BD697" s="1293"/>
      <c r="BE697" s="1293"/>
      <c r="BF697" s="1293"/>
      <c r="BG697" s="1293"/>
      <c r="BH697" s="1293"/>
      <c r="BI697" s="1293"/>
      <c r="BJ697" s="1293"/>
      <c r="BK697" s="1293"/>
      <c r="BL697" s="1293"/>
      <c r="BM697" s="1293"/>
      <c r="BN697" s="1293"/>
      <c r="BO697" s="1293"/>
      <c r="BP697" s="1293"/>
      <c r="BQ697" s="1293"/>
      <c r="BR697" s="1293"/>
      <c r="BS697" s="1293"/>
      <c r="BT697" s="1293"/>
      <c r="BU697" s="1293"/>
      <c r="BV697" s="1293"/>
      <c r="BW697" s="1293"/>
      <c r="BX697" s="1293"/>
      <c r="BY697" s="1293"/>
      <c r="BZ697" s="1293"/>
      <c r="CA697" s="1293"/>
      <c r="CB697" s="1293"/>
      <c r="CC697" s="1293"/>
      <c r="CD697" s="1293"/>
      <c r="CE697" s="1293"/>
      <c r="CF697" s="1293"/>
      <c r="CG697" s="1293"/>
    </row>
    <row r="698" spans="1:85" ht="15.75">
      <c r="A698" s="1293"/>
      <c r="B698" s="1293"/>
      <c r="C698" s="1293"/>
      <c r="D698" s="1293"/>
      <c r="E698" s="1293"/>
      <c r="F698" s="1293"/>
      <c r="G698" s="1293"/>
      <c r="H698" s="1293"/>
      <c r="I698" s="1293"/>
      <c r="J698" s="1293"/>
      <c r="K698" s="1293"/>
      <c r="L698" s="1293"/>
      <c r="M698" s="1293"/>
      <c r="N698" s="1293"/>
      <c r="O698" s="1293"/>
      <c r="P698" s="1293"/>
      <c r="Q698" s="1293"/>
      <c r="R698" s="1293"/>
      <c r="S698" s="1293"/>
      <c r="T698" s="1293"/>
      <c r="U698" s="1293"/>
      <c r="V698" s="1293"/>
      <c r="W698" s="1293"/>
      <c r="X698" s="1293"/>
      <c r="Y698" s="1293"/>
      <c r="Z698" s="1293"/>
      <c r="AA698" s="1293"/>
      <c r="AB698" s="1293"/>
      <c r="AC698" s="1293"/>
      <c r="AD698" s="1293"/>
      <c r="AE698" s="1293"/>
      <c r="AF698" s="1293"/>
      <c r="AG698" s="1293"/>
      <c r="AH698" s="1293"/>
      <c r="AI698" s="1293"/>
      <c r="AJ698" s="1293"/>
      <c r="AK698" s="1293"/>
      <c r="AL698" s="1293"/>
      <c r="AM698" s="1293"/>
      <c r="AN698" s="1293"/>
      <c r="AO698" s="1293"/>
      <c r="AP698" s="1293"/>
      <c r="AQ698" s="1293"/>
      <c r="AR698" s="1293"/>
      <c r="AS698" s="1293"/>
      <c r="AT698" s="1293"/>
      <c r="AU698" s="1293"/>
      <c r="AV698" s="1293"/>
      <c r="AW698" s="1293"/>
      <c r="AX698" s="1293"/>
      <c r="AY698" s="1293"/>
      <c r="AZ698" s="1293"/>
      <c r="BA698" s="1293"/>
      <c r="BB698" s="1293"/>
      <c r="BC698" s="1293"/>
      <c r="BD698" s="1293"/>
      <c r="BE698" s="1293"/>
      <c r="BF698" s="1293"/>
      <c r="BG698" s="1293"/>
      <c r="BH698" s="1293"/>
      <c r="BI698" s="1293"/>
      <c r="BJ698" s="1293"/>
      <c r="BK698" s="1293"/>
      <c r="BL698" s="1293"/>
      <c r="BM698" s="1293"/>
      <c r="BN698" s="1293"/>
      <c r="BO698" s="1293"/>
      <c r="BP698" s="1293"/>
      <c r="BQ698" s="1293"/>
      <c r="BR698" s="1293"/>
      <c r="BS698" s="1293"/>
      <c r="BT698" s="1293"/>
      <c r="BU698" s="1293"/>
      <c r="BV698" s="1293"/>
      <c r="BW698" s="1293"/>
      <c r="BX698" s="1293"/>
      <c r="BY698" s="1293"/>
      <c r="BZ698" s="1293"/>
      <c r="CA698" s="1293"/>
      <c r="CB698" s="1293"/>
      <c r="CC698" s="1293"/>
      <c r="CD698" s="1293"/>
      <c r="CE698" s="1293"/>
      <c r="CF698" s="1293"/>
      <c r="CG698" s="1293"/>
    </row>
    <row r="699" spans="1:85" ht="15.75">
      <c r="A699" s="1293"/>
      <c r="B699" s="1293"/>
      <c r="C699" s="1293"/>
      <c r="D699" s="1293"/>
      <c r="E699" s="1293"/>
      <c r="F699" s="1293"/>
      <c r="G699" s="1293"/>
      <c r="H699" s="1293"/>
      <c r="I699" s="1293"/>
      <c r="J699" s="1293"/>
      <c r="K699" s="1293"/>
      <c r="L699" s="1293"/>
      <c r="M699" s="1293"/>
      <c r="N699" s="1293"/>
      <c r="O699" s="1293"/>
      <c r="P699" s="1293"/>
      <c r="Q699" s="1293"/>
      <c r="R699" s="1293"/>
      <c r="S699" s="1293"/>
      <c r="T699" s="1293"/>
      <c r="U699" s="1293"/>
      <c r="V699" s="1293"/>
      <c r="W699" s="1293"/>
      <c r="X699" s="1293"/>
      <c r="Y699" s="1293"/>
      <c r="Z699" s="1293"/>
      <c r="AA699" s="1293"/>
      <c r="AB699" s="1293"/>
      <c r="AC699" s="1293"/>
      <c r="AD699" s="1293"/>
      <c r="AE699" s="1293"/>
      <c r="AF699" s="1293"/>
      <c r="AG699" s="1293"/>
      <c r="AH699" s="1293"/>
      <c r="AI699" s="1293"/>
      <c r="AJ699" s="1293"/>
      <c r="AK699" s="1293"/>
      <c r="AL699" s="1293"/>
      <c r="AM699" s="1293"/>
      <c r="AN699" s="1293"/>
      <c r="AO699" s="1293"/>
      <c r="AP699" s="1293"/>
      <c r="AQ699" s="1293"/>
      <c r="AR699" s="1293"/>
      <c r="AS699" s="1293"/>
      <c r="AT699" s="1293"/>
      <c r="AU699" s="1293"/>
      <c r="AV699" s="1293"/>
      <c r="AW699" s="1293"/>
      <c r="AX699" s="1293"/>
      <c r="AY699" s="1293"/>
      <c r="AZ699" s="1293"/>
      <c r="BA699" s="1293"/>
      <c r="BB699" s="1293"/>
      <c r="BC699" s="1293"/>
      <c r="BD699" s="1293"/>
      <c r="BE699" s="1293"/>
      <c r="BF699" s="1293"/>
      <c r="BG699" s="1293"/>
      <c r="BH699" s="1293"/>
      <c r="BI699" s="1293"/>
      <c r="BJ699" s="1293"/>
      <c r="BK699" s="1293"/>
      <c r="BL699" s="1293"/>
      <c r="BM699" s="1293"/>
      <c r="BN699" s="1293"/>
      <c r="BO699" s="1293"/>
      <c r="BP699" s="1293"/>
      <c r="BQ699" s="1293"/>
      <c r="BR699" s="1293"/>
      <c r="BS699" s="1293"/>
      <c r="BT699" s="1293"/>
      <c r="BU699" s="1293"/>
      <c r="BV699" s="1293"/>
      <c r="BW699" s="1293"/>
      <c r="BX699" s="1293"/>
      <c r="BY699" s="1293"/>
      <c r="BZ699" s="1293"/>
      <c r="CA699" s="1293"/>
      <c r="CB699" s="1293"/>
      <c r="CC699" s="1293"/>
      <c r="CD699" s="1293"/>
      <c r="CE699" s="1293"/>
      <c r="CF699" s="1293"/>
      <c r="CG699" s="1293"/>
    </row>
    <row r="700" spans="1:85" ht="15.75">
      <c r="A700" s="1293"/>
      <c r="B700" s="1293"/>
      <c r="C700" s="1293"/>
      <c r="D700" s="1293"/>
      <c r="E700" s="1293"/>
      <c r="F700" s="1293"/>
      <c r="G700" s="1293"/>
      <c r="H700" s="1293"/>
      <c r="I700" s="1293"/>
      <c r="J700" s="1293"/>
      <c r="K700" s="1293"/>
      <c r="L700" s="1293"/>
      <c r="M700" s="1293"/>
      <c r="N700" s="1293"/>
      <c r="O700" s="1293"/>
      <c r="P700" s="1293"/>
      <c r="Q700" s="1293"/>
      <c r="R700" s="1293"/>
      <c r="S700" s="1293"/>
      <c r="T700" s="1293"/>
      <c r="U700" s="1293"/>
      <c r="V700" s="1293"/>
      <c r="W700" s="1293"/>
      <c r="X700" s="1293"/>
      <c r="Y700" s="1293"/>
      <c r="Z700" s="1293"/>
      <c r="AA700" s="1293"/>
      <c r="AB700" s="1293"/>
      <c r="AC700" s="1293"/>
      <c r="AD700" s="1293"/>
      <c r="AE700" s="1293"/>
      <c r="AF700" s="1293"/>
      <c r="AG700" s="1293"/>
      <c r="AH700" s="1293"/>
      <c r="AI700" s="1293"/>
      <c r="AJ700" s="1293"/>
      <c r="AK700" s="1293"/>
      <c r="AL700" s="1293"/>
      <c r="AM700" s="1293"/>
      <c r="AN700" s="1293"/>
      <c r="AO700" s="1293"/>
      <c r="AP700" s="1293"/>
      <c r="AQ700" s="1293"/>
      <c r="AR700" s="1293"/>
      <c r="AS700" s="1293"/>
      <c r="AT700" s="1293"/>
      <c r="AU700" s="1293"/>
      <c r="AV700" s="1293"/>
      <c r="AW700" s="1293"/>
      <c r="AX700" s="1293"/>
      <c r="AY700" s="1293"/>
      <c r="AZ700" s="1293"/>
      <c r="BA700" s="1293"/>
      <c r="BB700" s="1293"/>
      <c r="BC700" s="1293"/>
      <c r="BD700" s="1293"/>
      <c r="BE700" s="1293"/>
      <c r="BF700" s="1293"/>
      <c r="BG700" s="1293"/>
      <c r="BH700" s="1293"/>
      <c r="BI700" s="1293"/>
      <c r="BJ700" s="1293"/>
      <c r="BK700" s="1293"/>
      <c r="BL700" s="1293"/>
      <c r="BM700" s="1293"/>
      <c r="BN700" s="1293"/>
      <c r="BO700" s="1293"/>
      <c r="BP700" s="1293"/>
      <c r="BQ700" s="1293"/>
      <c r="BR700" s="1293"/>
      <c r="BS700" s="1293"/>
      <c r="BT700" s="1293"/>
      <c r="BU700" s="1293"/>
      <c r="BV700" s="1293"/>
      <c r="BW700" s="1293"/>
      <c r="BX700" s="1293"/>
      <c r="BY700" s="1293"/>
      <c r="BZ700" s="1293"/>
      <c r="CA700" s="1293"/>
      <c r="CB700" s="1293"/>
      <c r="CC700" s="1293"/>
      <c r="CD700" s="1293"/>
      <c r="CE700" s="1293"/>
      <c r="CF700" s="1293"/>
      <c r="CG700" s="1293"/>
    </row>
    <row r="701" spans="1:85" ht="15.75">
      <c r="A701" s="1293"/>
      <c r="B701" s="1293"/>
      <c r="C701" s="1293"/>
      <c r="D701" s="1293"/>
      <c r="E701" s="1293"/>
      <c r="F701" s="1293"/>
      <c r="G701" s="1293"/>
      <c r="H701" s="1293"/>
      <c r="I701" s="1293"/>
      <c r="J701" s="1293"/>
      <c r="K701" s="1293"/>
      <c r="L701" s="1293"/>
      <c r="M701" s="1293"/>
      <c r="N701" s="1293"/>
      <c r="O701" s="1293"/>
      <c r="P701" s="1293"/>
      <c r="Q701" s="1293"/>
      <c r="R701" s="1293"/>
      <c r="S701" s="1293"/>
      <c r="T701" s="1293"/>
      <c r="U701" s="1293"/>
      <c r="V701" s="1293"/>
      <c r="W701" s="1293"/>
      <c r="X701" s="1293"/>
      <c r="Y701" s="1293"/>
      <c r="Z701" s="1293"/>
      <c r="AA701" s="1293"/>
      <c r="AB701" s="1293"/>
      <c r="AC701" s="1293"/>
      <c r="AD701" s="1293"/>
      <c r="AE701" s="1293"/>
      <c r="AF701" s="1293"/>
      <c r="AG701" s="1293"/>
      <c r="AH701" s="1293"/>
      <c r="AI701" s="1293"/>
      <c r="AJ701" s="1293"/>
      <c r="AK701" s="1293"/>
      <c r="AL701" s="1293"/>
      <c r="AM701" s="1293"/>
      <c r="AN701" s="1293"/>
      <c r="AO701" s="1293"/>
      <c r="AP701" s="1293"/>
      <c r="AQ701" s="1293"/>
      <c r="AR701" s="1293"/>
      <c r="AS701" s="1293"/>
      <c r="AT701" s="1293"/>
      <c r="AU701" s="1293"/>
      <c r="AV701" s="1293"/>
      <c r="AW701" s="1293"/>
      <c r="AX701" s="1293"/>
      <c r="AY701" s="1293"/>
      <c r="AZ701" s="1293"/>
      <c r="BA701" s="1293"/>
      <c r="BB701" s="1293"/>
      <c r="BC701" s="1293"/>
      <c r="BD701" s="1293"/>
      <c r="BE701" s="1293"/>
      <c r="BF701" s="1293"/>
      <c r="BG701" s="1293"/>
      <c r="BH701" s="1293"/>
      <c r="BI701" s="1293"/>
      <c r="BJ701" s="1293"/>
      <c r="BK701" s="1293"/>
      <c r="BL701" s="1293"/>
      <c r="BM701" s="1293"/>
      <c r="BN701" s="1293"/>
      <c r="BO701" s="1293"/>
      <c r="BP701" s="1293"/>
      <c r="BQ701" s="1293"/>
      <c r="BR701" s="1293"/>
      <c r="BS701" s="1293"/>
      <c r="BT701" s="1293"/>
      <c r="BU701" s="1293"/>
      <c r="BV701" s="1293"/>
      <c r="BW701" s="1293"/>
      <c r="BX701" s="1293"/>
      <c r="BY701" s="1293"/>
      <c r="BZ701" s="1293"/>
      <c r="CA701" s="1293"/>
      <c r="CB701" s="1293"/>
      <c r="CC701" s="1293"/>
      <c r="CD701" s="1293"/>
      <c r="CE701" s="1293"/>
      <c r="CF701" s="1293"/>
      <c r="CG701" s="1293"/>
    </row>
    <row r="702" spans="1:85" ht="15.75">
      <c r="A702" s="1293"/>
      <c r="B702" s="1293"/>
      <c r="C702" s="1293"/>
      <c r="D702" s="1293"/>
      <c r="E702" s="1293"/>
      <c r="F702" s="1293"/>
      <c r="G702" s="1293"/>
      <c r="H702" s="1293"/>
      <c r="I702" s="1293"/>
      <c r="J702" s="1293"/>
      <c r="K702" s="1293"/>
      <c r="L702" s="1293"/>
      <c r="M702" s="1293"/>
      <c r="N702" s="1293"/>
      <c r="O702" s="1293"/>
      <c r="P702" s="1293"/>
      <c r="Q702" s="1293"/>
      <c r="R702" s="1293"/>
      <c r="S702" s="1293"/>
      <c r="T702" s="1293"/>
      <c r="U702" s="1293"/>
      <c r="V702" s="1293"/>
      <c r="W702" s="1293"/>
      <c r="X702" s="1293"/>
      <c r="Y702" s="1293"/>
      <c r="Z702" s="1293"/>
      <c r="AA702" s="1293"/>
      <c r="AB702" s="1293"/>
      <c r="AC702" s="1293"/>
      <c r="AD702" s="1293"/>
      <c r="AE702" s="1293"/>
      <c r="AF702" s="1293"/>
      <c r="AG702" s="1293"/>
      <c r="AH702" s="1293"/>
      <c r="AI702" s="1293"/>
      <c r="AJ702" s="1293"/>
      <c r="AK702" s="1293"/>
      <c r="AL702" s="1293"/>
      <c r="AM702" s="1293"/>
      <c r="AN702" s="1293"/>
      <c r="AO702" s="1293"/>
      <c r="AP702" s="1293"/>
      <c r="AQ702" s="1293"/>
      <c r="AR702" s="1293"/>
      <c r="AS702" s="1293"/>
      <c r="AT702" s="1293"/>
      <c r="AU702" s="1293"/>
      <c r="AV702" s="1293"/>
      <c r="AW702" s="1293"/>
      <c r="AX702" s="1293"/>
      <c r="AY702" s="1293"/>
      <c r="AZ702" s="1293"/>
      <c r="BA702" s="1293"/>
      <c r="BB702" s="1293"/>
      <c r="BC702" s="1293"/>
      <c r="BD702" s="1293"/>
      <c r="BE702" s="1293"/>
      <c r="BF702" s="1293"/>
      <c r="BG702" s="1293"/>
      <c r="BH702" s="1293"/>
      <c r="BI702" s="1293"/>
      <c r="BJ702" s="1293"/>
      <c r="BK702" s="1293"/>
      <c r="BL702" s="1293"/>
      <c r="BM702" s="1293"/>
      <c r="BN702" s="1293"/>
      <c r="BO702" s="1293"/>
      <c r="BP702" s="1293"/>
      <c r="BQ702" s="1293"/>
      <c r="BR702" s="1293"/>
      <c r="BS702" s="1293"/>
      <c r="BT702" s="1293"/>
      <c r="BU702" s="1293"/>
      <c r="BV702" s="1293"/>
      <c r="BW702" s="1293"/>
      <c r="BX702" s="1293"/>
      <c r="BY702" s="1293"/>
      <c r="BZ702" s="1293"/>
      <c r="CA702" s="1293"/>
      <c r="CB702" s="1293"/>
      <c r="CC702" s="1293"/>
      <c r="CD702" s="1293"/>
      <c r="CE702" s="1293"/>
      <c r="CF702" s="1293"/>
      <c r="CG702" s="1293"/>
    </row>
    <row r="703" spans="1:85" ht="15.75">
      <c r="A703" s="1293"/>
      <c r="B703" s="1293"/>
      <c r="C703" s="1293"/>
      <c r="D703" s="1293"/>
      <c r="E703" s="1293"/>
      <c r="F703" s="1293"/>
      <c r="G703" s="1293"/>
      <c r="H703" s="1293"/>
      <c r="I703" s="1293"/>
      <c r="J703" s="1293"/>
      <c r="K703" s="1293"/>
      <c r="L703" s="1293"/>
      <c r="M703" s="1293"/>
      <c r="N703" s="1293"/>
      <c r="O703" s="1293"/>
      <c r="P703" s="1293"/>
      <c r="Q703" s="1293"/>
      <c r="R703" s="1293"/>
      <c r="S703" s="1293"/>
      <c r="T703" s="1293"/>
      <c r="U703" s="1293"/>
      <c r="V703" s="1293"/>
      <c r="W703" s="1293"/>
      <c r="X703" s="1293"/>
      <c r="Y703" s="1293"/>
      <c r="Z703" s="1293"/>
      <c r="AA703" s="1293"/>
      <c r="AB703" s="1293"/>
      <c r="AC703" s="1293"/>
      <c r="AD703" s="1293"/>
      <c r="AE703" s="1293"/>
      <c r="AF703" s="1293"/>
      <c r="AG703" s="1293"/>
      <c r="AH703" s="1293"/>
      <c r="AI703" s="1293"/>
      <c r="AJ703" s="1293"/>
      <c r="AK703" s="1293"/>
      <c r="AL703" s="1293"/>
      <c r="AM703" s="1293"/>
      <c r="AN703" s="1293"/>
      <c r="AO703" s="1293"/>
      <c r="AP703" s="1293"/>
      <c r="AQ703" s="1293"/>
      <c r="AR703" s="1293"/>
      <c r="AS703" s="1293"/>
      <c r="AT703" s="1293"/>
      <c r="AU703" s="1293"/>
      <c r="AV703" s="1293"/>
      <c r="AW703" s="1293"/>
      <c r="AX703" s="1293"/>
      <c r="AY703" s="1293"/>
      <c r="AZ703" s="1293"/>
      <c r="BA703" s="1293"/>
      <c r="BB703" s="1293"/>
      <c r="BC703" s="1293"/>
      <c r="BD703" s="1293"/>
      <c r="BE703" s="1293"/>
      <c r="BF703" s="1293"/>
      <c r="BG703" s="1293"/>
      <c r="BH703" s="1293"/>
      <c r="BI703" s="1293"/>
      <c r="BJ703" s="1293"/>
      <c r="BK703" s="1293"/>
      <c r="BL703" s="1293"/>
      <c r="BM703" s="1293"/>
      <c r="BN703" s="1293"/>
      <c r="BO703" s="1293"/>
      <c r="BP703" s="1293"/>
      <c r="BQ703" s="1293"/>
      <c r="BR703" s="1293"/>
      <c r="BS703" s="1293"/>
      <c r="BT703" s="1293"/>
      <c r="BU703" s="1293"/>
      <c r="BV703" s="1293"/>
      <c r="BW703" s="1293"/>
      <c r="BX703" s="1293"/>
      <c r="BY703" s="1293"/>
      <c r="BZ703" s="1293"/>
      <c r="CA703" s="1293"/>
      <c r="CB703" s="1293"/>
      <c r="CC703" s="1293"/>
      <c r="CD703" s="1293"/>
      <c r="CE703" s="1293"/>
      <c r="CF703" s="1293"/>
      <c r="CG703" s="1293"/>
    </row>
    <row r="704" spans="1:85" ht="15.75">
      <c r="A704" s="1293"/>
      <c r="B704" s="1293"/>
      <c r="C704" s="1293"/>
      <c r="D704" s="1293"/>
      <c r="E704" s="1293"/>
      <c r="F704" s="1293"/>
      <c r="G704" s="1293"/>
      <c r="H704" s="1293"/>
      <c r="I704" s="1293"/>
      <c r="J704" s="1293"/>
      <c r="K704" s="1293"/>
      <c r="L704" s="1293"/>
      <c r="M704" s="1293"/>
      <c r="N704" s="1293"/>
      <c r="O704" s="1293"/>
      <c r="P704" s="1293"/>
      <c r="Q704" s="1293"/>
      <c r="R704" s="1293"/>
      <c r="S704" s="1293"/>
      <c r="T704" s="1293"/>
      <c r="U704" s="1293"/>
      <c r="V704" s="1293"/>
      <c r="W704" s="1293"/>
      <c r="X704" s="1293"/>
      <c r="Y704" s="1293"/>
      <c r="Z704" s="1293"/>
      <c r="AA704" s="1293"/>
      <c r="AB704" s="1293"/>
      <c r="AC704" s="1293"/>
      <c r="AD704" s="1293"/>
      <c r="AE704" s="1293"/>
      <c r="AF704" s="1293"/>
      <c r="AG704" s="1293"/>
      <c r="AH704" s="1293"/>
      <c r="AI704" s="1293"/>
      <c r="AJ704" s="1293"/>
      <c r="AK704" s="1293"/>
      <c r="AL704" s="1293"/>
      <c r="AM704" s="1293"/>
      <c r="AN704" s="1293"/>
      <c r="AO704" s="1293"/>
      <c r="AP704" s="1293"/>
      <c r="AQ704" s="1293"/>
      <c r="AR704" s="1293"/>
      <c r="AS704" s="1293"/>
      <c r="AT704" s="1293"/>
      <c r="AU704" s="1293"/>
      <c r="AV704" s="1293"/>
      <c r="AW704" s="1293"/>
      <c r="AX704" s="1293"/>
      <c r="AY704" s="1293"/>
      <c r="AZ704" s="1293"/>
      <c r="BA704" s="1293"/>
      <c r="BB704" s="1293"/>
      <c r="BC704" s="1293"/>
      <c r="BD704" s="1293"/>
      <c r="BE704" s="1293"/>
      <c r="BF704" s="1293"/>
      <c r="BG704" s="1293"/>
      <c r="BH704" s="1293"/>
      <c r="BI704" s="1293"/>
      <c r="BJ704" s="1293"/>
      <c r="BK704" s="1293"/>
      <c r="BL704" s="1293"/>
      <c r="BM704" s="1293"/>
      <c r="BN704" s="1293"/>
      <c r="BO704" s="1293"/>
      <c r="BP704" s="1293"/>
      <c r="BQ704" s="1293"/>
      <c r="BR704" s="1293"/>
      <c r="BS704" s="1293"/>
      <c r="BT704" s="1293"/>
      <c r="BU704" s="1293"/>
      <c r="BV704" s="1293"/>
      <c r="BW704" s="1293"/>
      <c r="BX704" s="1293"/>
      <c r="BY704" s="1293"/>
      <c r="BZ704" s="1293"/>
      <c r="CA704" s="1293"/>
      <c r="CB704" s="1293"/>
      <c r="CC704" s="1293"/>
      <c r="CD704" s="1293"/>
      <c r="CE704" s="1293"/>
      <c r="CF704" s="1293"/>
      <c r="CG704" s="1293"/>
    </row>
    <row r="705" spans="1:85" ht="15.75">
      <c r="A705" s="1293"/>
      <c r="B705" s="1293"/>
      <c r="C705" s="1293"/>
      <c r="D705" s="1293"/>
      <c r="E705" s="1293"/>
      <c r="F705" s="1293"/>
      <c r="G705" s="1293"/>
      <c r="H705" s="1293"/>
      <c r="I705" s="1293"/>
      <c r="J705" s="1293"/>
      <c r="K705" s="1293"/>
      <c r="L705" s="1293"/>
      <c r="M705" s="1293"/>
      <c r="N705" s="1293"/>
      <c r="O705" s="1293"/>
      <c r="P705" s="1293"/>
      <c r="Q705" s="1293"/>
      <c r="R705" s="1293"/>
      <c r="S705" s="1293"/>
      <c r="T705" s="1293"/>
      <c r="U705" s="1293"/>
      <c r="V705" s="1293"/>
      <c r="W705" s="1293"/>
      <c r="X705" s="1293"/>
      <c r="Y705" s="1293"/>
      <c r="Z705" s="1293"/>
      <c r="AA705" s="1293"/>
      <c r="AB705" s="1293"/>
      <c r="AC705" s="1293"/>
      <c r="AD705" s="1293"/>
      <c r="AE705" s="1293"/>
      <c r="AF705" s="1293"/>
      <c r="AG705" s="1293"/>
      <c r="AH705" s="1293"/>
      <c r="AI705" s="1293"/>
      <c r="AJ705" s="1293"/>
      <c r="AK705" s="1293"/>
      <c r="AL705" s="1293"/>
      <c r="AM705" s="1293"/>
      <c r="AN705" s="1293"/>
      <c r="AO705" s="1293"/>
      <c r="AP705" s="1293"/>
      <c r="AQ705" s="1293"/>
      <c r="AR705" s="1293"/>
      <c r="AS705" s="1293"/>
      <c r="AT705" s="1293"/>
      <c r="AU705" s="1293"/>
      <c r="AV705" s="1293"/>
      <c r="AW705" s="1293"/>
      <c r="AX705" s="1293"/>
      <c r="AY705" s="1293"/>
      <c r="AZ705" s="1293"/>
      <c r="BA705" s="1293"/>
      <c r="BB705" s="1293"/>
      <c r="BC705" s="1293"/>
      <c r="BD705" s="1293"/>
      <c r="BE705" s="1293"/>
      <c r="BF705" s="1293"/>
      <c r="BG705" s="1293"/>
      <c r="BH705" s="1293"/>
      <c r="BI705" s="1293"/>
      <c r="BJ705" s="1293"/>
      <c r="BK705" s="1293"/>
      <c r="BL705" s="1293"/>
      <c r="BM705" s="1293"/>
      <c r="BN705" s="1293"/>
      <c r="BO705" s="1293"/>
      <c r="BP705" s="1293"/>
      <c r="BQ705" s="1293"/>
      <c r="BR705" s="1293"/>
      <c r="BS705" s="1293"/>
      <c r="BT705" s="1293"/>
      <c r="BU705" s="1293"/>
      <c r="BV705" s="1293"/>
      <c r="BW705" s="1293"/>
      <c r="BX705" s="1293"/>
      <c r="BY705" s="1293"/>
      <c r="BZ705" s="1293"/>
      <c r="CA705" s="1293"/>
      <c r="CB705" s="1293"/>
      <c r="CC705" s="1293"/>
      <c r="CD705" s="1293"/>
      <c r="CE705" s="1293"/>
      <c r="CF705" s="1293"/>
      <c r="CG705" s="1293"/>
    </row>
    <row r="706" spans="1:85" ht="15.75">
      <c r="A706" s="1293"/>
      <c r="B706" s="1293"/>
      <c r="C706" s="1293"/>
      <c r="D706" s="1293"/>
      <c r="E706" s="1293"/>
      <c r="F706" s="1293"/>
      <c r="G706" s="1293"/>
      <c r="H706" s="1293"/>
      <c r="I706" s="1293"/>
      <c r="J706" s="1293"/>
      <c r="K706" s="1293"/>
      <c r="L706" s="1293"/>
      <c r="M706" s="1293"/>
      <c r="N706" s="1293"/>
      <c r="O706" s="1293"/>
      <c r="P706" s="1293"/>
      <c r="Q706" s="1293"/>
      <c r="R706" s="1293"/>
      <c r="S706" s="1293"/>
      <c r="T706" s="1293"/>
      <c r="U706" s="1293"/>
      <c r="V706" s="1293"/>
      <c r="W706" s="1293"/>
      <c r="X706" s="1293"/>
      <c r="Y706" s="1293"/>
      <c r="Z706" s="1293"/>
      <c r="AA706" s="1293"/>
      <c r="AB706" s="1293"/>
      <c r="AC706" s="1293"/>
      <c r="AD706" s="1293"/>
      <c r="AE706" s="1293"/>
      <c r="AF706" s="1293"/>
      <c r="AG706" s="1293"/>
      <c r="AH706" s="1293"/>
      <c r="AI706" s="1293"/>
      <c r="AJ706" s="1293"/>
      <c r="AK706" s="1293"/>
      <c r="AL706" s="1293"/>
      <c r="AM706" s="1293"/>
      <c r="AN706" s="1293"/>
      <c r="AO706" s="1293"/>
      <c r="AP706" s="1293"/>
      <c r="AQ706" s="1293"/>
      <c r="AR706" s="1293"/>
      <c r="AS706" s="1293"/>
      <c r="AT706" s="1293"/>
      <c r="AU706" s="1293"/>
      <c r="AV706" s="1293"/>
      <c r="AW706" s="1293"/>
      <c r="AX706" s="1293"/>
      <c r="AY706" s="1293"/>
      <c r="AZ706" s="1293"/>
      <c r="BA706" s="1293"/>
      <c r="BB706" s="1293"/>
      <c r="BC706" s="1293"/>
      <c r="BD706" s="1293"/>
      <c r="BE706" s="1293"/>
      <c r="BF706" s="1293"/>
      <c r="BG706" s="1293"/>
      <c r="BH706" s="1293"/>
      <c r="BI706" s="1293"/>
      <c r="BJ706" s="1293"/>
      <c r="BK706" s="1293"/>
      <c r="BL706" s="1293"/>
      <c r="BM706" s="1293"/>
      <c r="BN706" s="1293"/>
      <c r="BO706" s="1293"/>
      <c r="BP706" s="1293"/>
      <c r="BQ706" s="1293"/>
      <c r="BR706" s="1293"/>
      <c r="BS706" s="1293"/>
      <c r="BT706" s="1293"/>
      <c r="BU706" s="1293"/>
      <c r="BV706" s="1293"/>
      <c r="BW706" s="1293"/>
      <c r="BX706" s="1293"/>
      <c r="BY706" s="1293"/>
      <c r="BZ706" s="1293"/>
      <c r="CA706" s="1293"/>
      <c r="CB706" s="1293"/>
      <c r="CC706" s="1293"/>
      <c r="CD706" s="1293"/>
      <c r="CE706" s="1293"/>
      <c r="CF706" s="1293"/>
      <c r="CG706" s="1293"/>
    </row>
    <row r="707" spans="1:85" ht="15.75">
      <c r="A707" s="1293"/>
      <c r="B707" s="1293"/>
      <c r="C707" s="1293"/>
      <c r="D707" s="1293"/>
      <c r="E707" s="1293"/>
      <c r="F707" s="1293"/>
      <c r="G707" s="1293"/>
      <c r="H707" s="1293"/>
      <c r="I707" s="1293"/>
      <c r="J707" s="1293"/>
      <c r="K707" s="1293"/>
      <c r="L707" s="1293"/>
      <c r="M707" s="1293"/>
      <c r="N707" s="1293"/>
      <c r="O707" s="1293"/>
      <c r="P707" s="1293"/>
      <c r="Q707" s="1293"/>
      <c r="R707" s="1293"/>
      <c r="S707" s="1293"/>
      <c r="T707" s="1293"/>
      <c r="U707" s="1293"/>
      <c r="V707" s="1293"/>
      <c r="W707" s="1293"/>
      <c r="X707" s="1293"/>
      <c r="Y707" s="1293"/>
      <c r="Z707" s="1293"/>
      <c r="AA707" s="1293"/>
      <c r="AB707" s="1293"/>
      <c r="AC707" s="1293"/>
      <c r="AD707" s="1293"/>
      <c r="AE707" s="1293"/>
      <c r="AF707" s="1293"/>
      <c r="AG707" s="1293"/>
      <c r="AH707" s="1293"/>
      <c r="AI707" s="1293"/>
      <c r="AJ707" s="1293"/>
      <c r="AK707" s="1293"/>
      <c r="AL707" s="1293"/>
      <c r="AM707" s="1293"/>
      <c r="AN707" s="1293"/>
      <c r="AO707" s="1293"/>
      <c r="AP707" s="1293"/>
      <c r="AQ707" s="1293"/>
      <c r="AR707" s="1293"/>
      <c r="AS707" s="1293"/>
      <c r="AT707" s="1293"/>
      <c r="AU707" s="1293"/>
      <c r="AV707" s="1293"/>
      <c r="AW707" s="1293"/>
      <c r="AX707" s="1293"/>
      <c r="AY707" s="1293"/>
      <c r="AZ707" s="1293"/>
      <c r="BA707" s="1293"/>
      <c r="BB707" s="1293"/>
      <c r="BC707" s="1293"/>
      <c r="BD707" s="1293"/>
      <c r="BE707" s="1293"/>
      <c r="BF707" s="1293"/>
      <c r="BG707" s="1293"/>
      <c r="BH707" s="1293"/>
      <c r="BI707" s="1293"/>
      <c r="BJ707" s="1293"/>
      <c r="BK707" s="1293"/>
      <c r="BL707" s="1293"/>
      <c r="BM707" s="1293"/>
      <c r="BN707" s="1293"/>
      <c r="BO707" s="1293"/>
      <c r="BP707" s="1293"/>
      <c r="BQ707" s="1293"/>
      <c r="BR707" s="1293"/>
      <c r="BS707" s="1293"/>
      <c r="BT707" s="1293"/>
      <c r="BU707" s="1293"/>
      <c r="BV707" s="1293"/>
      <c r="BW707" s="1293"/>
      <c r="BX707" s="1293"/>
      <c r="BY707" s="1293"/>
      <c r="BZ707" s="1293"/>
      <c r="CA707" s="1293"/>
      <c r="CB707" s="1293"/>
      <c r="CC707" s="1293"/>
      <c r="CD707" s="1293"/>
      <c r="CE707" s="1293"/>
      <c r="CF707" s="1293"/>
      <c r="CG707" s="1293"/>
    </row>
    <row r="708" spans="1:85" ht="15.75">
      <c r="A708" s="1293"/>
      <c r="B708" s="1293"/>
      <c r="C708" s="1293"/>
      <c r="D708" s="1293"/>
      <c r="E708" s="1293"/>
      <c r="F708" s="1293"/>
      <c r="G708" s="1293"/>
      <c r="H708" s="1293"/>
      <c r="I708" s="1293"/>
      <c r="J708" s="1293"/>
      <c r="K708" s="1293"/>
      <c r="L708" s="1293"/>
      <c r="M708" s="1293"/>
      <c r="N708" s="1293"/>
      <c r="O708" s="1293"/>
      <c r="P708" s="1293"/>
      <c r="Q708" s="1293"/>
      <c r="R708" s="1293"/>
      <c r="S708" s="1293"/>
      <c r="T708" s="1293"/>
      <c r="U708" s="1293"/>
      <c r="V708" s="1293"/>
      <c r="W708" s="1293"/>
      <c r="X708" s="1293"/>
      <c r="Y708" s="1293"/>
      <c r="Z708" s="1293"/>
      <c r="AA708" s="1293"/>
      <c r="AB708" s="1293"/>
      <c r="AC708" s="1293"/>
      <c r="AD708" s="1293"/>
      <c r="AE708" s="1293"/>
      <c r="AF708" s="1293"/>
      <c r="AG708" s="1293"/>
      <c r="AH708" s="1293"/>
      <c r="AI708" s="1293"/>
      <c r="AJ708" s="1293"/>
      <c r="AK708" s="1293"/>
      <c r="AL708" s="1293"/>
      <c r="AM708" s="1293"/>
      <c r="AN708" s="1293"/>
      <c r="AO708" s="1293"/>
      <c r="AP708" s="1293"/>
      <c r="AQ708" s="1293"/>
      <c r="AR708" s="1293"/>
      <c r="AS708" s="1293"/>
      <c r="AT708" s="1293"/>
      <c r="AU708" s="1293"/>
      <c r="AV708" s="1293"/>
      <c r="AW708" s="1293"/>
      <c r="AX708" s="1293"/>
      <c r="AY708" s="1293"/>
      <c r="AZ708" s="1293"/>
      <c r="BA708" s="1293"/>
      <c r="BB708" s="1293"/>
      <c r="BC708" s="1293"/>
      <c r="BD708" s="1293"/>
      <c r="BE708" s="1293"/>
      <c r="BF708" s="1293"/>
      <c r="BG708" s="1293"/>
      <c r="BH708" s="1293"/>
      <c r="BI708" s="1293"/>
      <c r="BJ708" s="1293"/>
      <c r="BK708" s="1293"/>
      <c r="BL708" s="1293"/>
      <c r="BM708" s="1293"/>
      <c r="BN708" s="1293"/>
      <c r="BO708" s="1293"/>
      <c r="BP708" s="1293"/>
      <c r="BQ708" s="1293"/>
      <c r="BR708" s="1293"/>
      <c r="BS708" s="1293"/>
      <c r="BT708" s="1293"/>
      <c r="BU708" s="1293"/>
      <c r="BV708" s="1293"/>
      <c r="BW708" s="1293"/>
      <c r="BX708" s="1293"/>
      <c r="BY708" s="1293"/>
      <c r="BZ708" s="1293"/>
      <c r="CA708" s="1293"/>
      <c r="CB708" s="1293"/>
      <c r="CC708" s="1293"/>
      <c r="CD708" s="1293"/>
      <c r="CE708" s="1293"/>
      <c r="CF708" s="1293"/>
      <c r="CG708" s="1293"/>
    </row>
    <row r="709" spans="1:85" ht="15.75">
      <c r="A709" s="1293"/>
      <c r="B709" s="1293"/>
      <c r="C709" s="1293"/>
      <c r="D709" s="1293"/>
      <c r="E709" s="1293"/>
      <c r="F709" s="1293"/>
      <c r="G709" s="1293"/>
      <c r="H709" s="1293"/>
      <c r="I709" s="1293"/>
      <c r="J709" s="1293"/>
      <c r="K709" s="1293"/>
      <c r="L709" s="1293"/>
      <c r="M709" s="1293"/>
      <c r="N709" s="1293"/>
      <c r="O709" s="1293"/>
      <c r="P709" s="1293"/>
      <c r="Q709" s="1293"/>
      <c r="R709" s="1293"/>
      <c r="S709" s="1293"/>
      <c r="T709" s="1293"/>
      <c r="U709" s="1293"/>
      <c r="V709" s="1293"/>
      <c r="W709" s="1293"/>
      <c r="X709" s="1293"/>
      <c r="Y709" s="1293"/>
      <c r="Z709" s="1293"/>
      <c r="AA709" s="1293"/>
      <c r="AB709" s="1293"/>
      <c r="AC709" s="1293"/>
      <c r="AD709" s="1293"/>
      <c r="AE709" s="1293"/>
      <c r="AF709" s="1293"/>
      <c r="AG709" s="1293"/>
      <c r="AH709" s="1293"/>
      <c r="AI709" s="1293"/>
      <c r="AJ709" s="1293"/>
      <c r="AK709" s="1293"/>
      <c r="AL709" s="1293"/>
      <c r="AM709" s="1293"/>
      <c r="AN709" s="1293"/>
      <c r="AO709" s="1293"/>
      <c r="AP709" s="1293"/>
      <c r="AQ709" s="1293"/>
      <c r="AR709" s="1293"/>
      <c r="AS709" s="1293"/>
      <c r="AT709" s="1293"/>
      <c r="AU709" s="1293"/>
      <c r="AV709" s="1293"/>
      <c r="AW709" s="1293"/>
      <c r="AX709" s="1293"/>
      <c r="AY709" s="1293"/>
      <c r="AZ709" s="1293"/>
      <c r="BA709" s="1293"/>
      <c r="BB709" s="1293"/>
      <c r="BC709" s="1293"/>
      <c r="BD709" s="1293"/>
      <c r="BE709" s="1293"/>
      <c r="BF709" s="1293"/>
      <c r="BG709" s="1293"/>
      <c r="BH709" s="1293"/>
      <c r="BI709" s="1293"/>
      <c r="BJ709" s="1293"/>
      <c r="BK709" s="1293"/>
      <c r="BL709" s="1293"/>
      <c r="BM709" s="1293"/>
      <c r="BN709" s="1293"/>
      <c r="BO709" s="1293"/>
      <c r="BP709" s="1293"/>
      <c r="BQ709" s="1293"/>
      <c r="BR709" s="1293"/>
      <c r="BS709" s="1293"/>
      <c r="BT709" s="1293"/>
      <c r="BU709" s="1293"/>
      <c r="BV709" s="1293"/>
      <c r="BW709" s="1293"/>
      <c r="BX709" s="1293"/>
      <c r="BY709" s="1293"/>
      <c r="BZ709" s="1293"/>
      <c r="CA709" s="1293"/>
      <c r="CB709" s="1293"/>
      <c r="CC709" s="1293"/>
      <c r="CD709" s="1293"/>
      <c r="CE709" s="1293"/>
      <c r="CF709" s="1293"/>
      <c r="CG709" s="1293"/>
    </row>
    <row r="710" spans="1:85" ht="15.75">
      <c r="A710" s="1293"/>
      <c r="B710" s="1293"/>
      <c r="C710" s="1293"/>
      <c r="D710" s="1293"/>
      <c r="E710" s="1293"/>
      <c r="F710" s="1293"/>
      <c r="G710" s="1293"/>
      <c r="H710" s="1293"/>
      <c r="I710" s="1293"/>
      <c r="J710" s="1293"/>
      <c r="K710" s="1293"/>
      <c r="L710" s="1293"/>
      <c r="M710" s="1293"/>
      <c r="N710" s="1293"/>
      <c r="O710" s="1293"/>
      <c r="P710" s="1293"/>
      <c r="Q710" s="1293"/>
      <c r="R710" s="1293"/>
      <c r="S710" s="1293"/>
      <c r="T710" s="1293"/>
      <c r="U710" s="1293"/>
      <c r="V710" s="1293"/>
      <c r="W710" s="1293"/>
      <c r="X710" s="1293"/>
      <c r="Y710" s="1293"/>
      <c r="Z710" s="1293"/>
      <c r="AA710" s="1293"/>
      <c r="AB710" s="1293"/>
      <c r="AC710" s="1293"/>
      <c r="AD710" s="1293"/>
      <c r="AE710" s="1293"/>
      <c r="AF710" s="1293"/>
      <c r="AG710" s="1293"/>
      <c r="AH710" s="1293"/>
      <c r="AI710" s="1293"/>
      <c r="AJ710" s="1293"/>
      <c r="AK710" s="1293"/>
      <c r="AL710" s="1293"/>
      <c r="AM710" s="1293"/>
      <c r="AN710" s="1293"/>
      <c r="AO710" s="1293"/>
      <c r="AP710" s="1293"/>
      <c r="AQ710" s="1293"/>
      <c r="AR710" s="1293"/>
      <c r="AS710" s="1293"/>
      <c r="AT710" s="1293"/>
      <c r="AU710" s="1293"/>
      <c r="AV710" s="1293"/>
      <c r="AW710" s="1293"/>
      <c r="AX710" s="1293"/>
      <c r="AY710" s="1293"/>
      <c r="AZ710" s="1293"/>
      <c r="BA710" s="1293"/>
      <c r="BB710" s="1293"/>
      <c r="BC710" s="1293"/>
      <c r="BD710" s="1293"/>
      <c r="BE710" s="1293"/>
      <c r="BF710" s="1293"/>
      <c r="BG710" s="1293"/>
      <c r="BH710" s="1293"/>
      <c r="BI710" s="1293"/>
      <c r="BJ710" s="1293"/>
      <c r="BK710" s="1293"/>
      <c r="BL710" s="1293"/>
      <c r="BM710" s="1293"/>
      <c r="BN710" s="1293"/>
      <c r="BO710" s="1293"/>
      <c r="BP710" s="1293"/>
      <c r="BQ710" s="1293"/>
      <c r="BR710" s="1293"/>
      <c r="BS710" s="1293"/>
      <c r="BT710" s="1293"/>
      <c r="BU710" s="1293"/>
      <c r="BV710" s="1293"/>
      <c r="BW710" s="1293"/>
      <c r="BX710" s="1293"/>
      <c r="BY710" s="1293"/>
      <c r="BZ710" s="1293"/>
      <c r="CA710" s="1293"/>
      <c r="CB710" s="1293"/>
      <c r="CC710" s="1293"/>
      <c r="CD710" s="1293"/>
      <c r="CE710" s="1293"/>
      <c r="CF710" s="1293"/>
      <c r="CG710" s="1293"/>
    </row>
    <row r="711" spans="1:85" ht="15.75">
      <c r="A711" s="1293"/>
      <c r="B711" s="1293"/>
      <c r="C711" s="1293"/>
      <c r="D711" s="1293"/>
      <c r="E711" s="1293"/>
      <c r="F711" s="1293"/>
      <c r="G711" s="1293"/>
      <c r="H711" s="1293"/>
      <c r="I711" s="1293"/>
      <c r="J711" s="1293"/>
      <c r="K711" s="1293"/>
      <c r="L711" s="1293"/>
      <c r="M711" s="1293"/>
      <c r="N711" s="1293"/>
      <c r="O711" s="1293"/>
      <c r="P711" s="1293"/>
      <c r="Q711" s="1293"/>
      <c r="R711" s="1293"/>
      <c r="S711" s="1293"/>
      <c r="T711" s="1293"/>
      <c r="U711" s="1293"/>
      <c r="V711" s="1293"/>
      <c r="W711" s="1293"/>
      <c r="X711" s="1293"/>
      <c r="Y711" s="1293"/>
      <c r="Z711" s="1293"/>
      <c r="AA711" s="1293"/>
      <c r="AB711" s="1293"/>
      <c r="AC711" s="1293"/>
      <c r="AD711" s="1293"/>
      <c r="AE711" s="1293"/>
      <c r="AF711" s="1293"/>
      <c r="AG711" s="1293"/>
      <c r="AH711" s="1293"/>
      <c r="AI711" s="1293"/>
      <c r="AJ711" s="1293"/>
      <c r="AK711" s="1293"/>
      <c r="AL711" s="1293"/>
      <c r="AM711" s="1293"/>
      <c r="AN711" s="1293"/>
      <c r="AO711" s="1293"/>
      <c r="AP711" s="1293"/>
      <c r="AQ711" s="1293"/>
      <c r="AR711" s="1293"/>
      <c r="AS711" s="1293"/>
      <c r="AT711" s="1293"/>
      <c r="AU711" s="1293"/>
      <c r="AV711" s="1293"/>
      <c r="AW711" s="1293"/>
      <c r="AX711" s="1293"/>
      <c r="AY711" s="1293"/>
      <c r="AZ711" s="1293"/>
      <c r="BA711" s="1293"/>
      <c r="BB711" s="1293"/>
      <c r="BC711" s="1293"/>
      <c r="BD711" s="1293"/>
      <c r="BE711" s="1293"/>
      <c r="BF711" s="1293"/>
      <c r="BG711" s="1293"/>
      <c r="BH711" s="1293"/>
      <c r="BI711" s="1293"/>
      <c r="BJ711" s="1293"/>
      <c r="BK711" s="1293"/>
      <c r="BL711" s="1293"/>
      <c r="BM711" s="1293"/>
      <c r="BN711" s="1293"/>
      <c r="BO711" s="1293"/>
      <c r="BP711" s="1293"/>
      <c r="BQ711" s="1293"/>
      <c r="BR711" s="1293"/>
      <c r="BS711" s="1293"/>
      <c r="BT711" s="1293"/>
      <c r="BU711" s="1293"/>
      <c r="BV711" s="1293"/>
      <c r="BW711" s="1293"/>
      <c r="BX711" s="1293"/>
      <c r="BY711" s="1293"/>
      <c r="BZ711" s="1293"/>
      <c r="CA711" s="1293"/>
      <c r="CB711" s="1293"/>
      <c r="CC711" s="1293"/>
      <c r="CD711" s="1293"/>
      <c r="CE711" s="1293"/>
      <c r="CF711" s="1293"/>
      <c r="CG711" s="1293"/>
    </row>
    <row r="712" spans="1:85" ht="15.75">
      <c r="A712" s="1293"/>
      <c r="B712" s="1293"/>
      <c r="C712" s="1293"/>
      <c r="D712" s="1293"/>
      <c r="E712" s="1293"/>
      <c r="F712" s="1293"/>
      <c r="G712" s="1293"/>
      <c r="H712" s="1293"/>
      <c r="I712" s="1293"/>
      <c r="J712" s="1293"/>
      <c r="K712" s="1293"/>
      <c r="L712" s="1293"/>
      <c r="M712" s="1293"/>
      <c r="N712" s="1293"/>
      <c r="O712" s="1293"/>
      <c r="P712" s="1293"/>
      <c r="Q712" s="1293"/>
      <c r="R712" s="1293"/>
      <c r="S712" s="1293"/>
      <c r="T712" s="1293"/>
      <c r="U712" s="1293"/>
      <c r="V712" s="1293"/>
      <c r="W712" s="1293"/>
      <c r="X712" s="1293"/>
      <c r="Y712" s="1293"/>
      <c r="Z712" s="1293"/>
      <c r="AA712" s="1293"/>
      <c r="AB712" s="1293"/>
      <c r="AC712" s="1293"/>
      <c r="AD712" s="1293"/>
      <c r="AE712" s="1293"/>
      <c r="AF712" s="1293"/>
      <c r="AG712" s="1293"/>
      <c r="AH712" s="1293"/>
      <c r="AI712" s="1293"/>
      <c r="AJ712" s="1293"/>
      <c r="AK712" s="1293"/>
      <c r="AL712" s="1293"/>
      <c r="AM712" s="1293"/>
      <c r="AN712" s="1293"/>
      <c r="AO712" s="1293"/>
      <c r="AP712" s="1293"/>
      <c r="AQ712" s="1293"/>
      <c r="AR712" s="1293"/>
      <c r="AS712" s="1293"/>
      <c r="AT712" s="1293"/>
      <c r="AU712" s="1293"/>
      <c r="AV712" s="1293"/>
      <c r="AW712" s="1293"/>
      <c r="AX712" s="1293"/>
      <c r="AY712" s="1293"/>
      <c r="AZ712" s="1293"/>
      <c r="BA712" s="1293"/>
      <c r="BB712" s="1293"/>
      <c r="BC712" s="1293"/>
      <c r="BD712" s="1293"/>
      <c r="BE712" s="1293"/>
      <c r="BF712" s="1293"/>
      <c r="BG712" s="1293"/>
      <c r="BH712" s="1293"/>
      <c r="BI712" s="1293"/>
      <c r="BJ712" s="1293"/>
      <c r="BK712" s="1293"/>
      <c r="BL712" s="1293"/>
      <c r="BM712" s="1293"/>
      <c r="BN712" s="1293"/>
      <c r="BO712" s="1293"/>
      <c r="BP712" s="1293"/>
      <c r="BQ712" s="1293"/>
      <c r="BR712" s="1293"/>
      <c r="BS712" s="1293"/>
      <c r="BT712" s="1293"/>
      <c r="BU712" s="1293"/>
      <c r="BV712" s="1293"/>
      <c r="BW712" s="1293"/>
      <c r="BX712" s="1293"/>
      <c r="BY712" s="1293"/>
      <c r="BZ712" s="1293"/>
      <c r="CA712" s="1293"/>
      <c r="CB712" s="1293"/>
      <c r="CC712" s="1293"/>
      <c r="CD712" s="1293"/>
      <c r="CE712" s="1293"/>
      <c r="CF712" s="1293"/>
      <c r="CG712" s="1293"/>
    </row>
    <row r="713" spans="1:85" ht="15.75">
      <c r="A713" s="1293"/>
      <c r="B713" s="1293"/>
      <c r="C713" s="1293"/>
      <c r="D713" s="1293"/>
      <c r="E713" s="1293"/>
      <c r="F713" s="1293"/>
      <c r="G713" s="1293"/>
      <c r="H713" s="1293"/>
      <c r="I713" s="1293"/>
      <c r="J713" s="1293"/>
      <c r="K713" s="1293"/>
      <c r="L713" s="1293"/>
      <c r="M713" s="1293"/>
      <c r="N713" s="1293"/>
      <c r="O713" s="1293"/>
      <c r="P713" s="1293"/>
      <c r="Q713" s="1293"/>
      <c r="R713" s="1293"/>
      <c r="S713" s="1293"/>
      <c r="T713" s="1293"/>
      <c r="U713" s="1293"/>
      <c r="V713" s="1293"/>
      <c r="W713" s="1293"/>
      <c r="X713" s="1293"/>
      <c r="Y713" s="1293"/>
      <c r="Z713" s="1293"/>
      <c r="AA713" s="1293"/>
      <c r="AB713" s="1293"/>
      <c r="AC713" s="1293"/>
      <c r="AD713" s="1293"/>
      <c r="AE713" s="1293"/>
      <c r="AF713" s="1293"/>
      <c r="AG713" s="1293"/>
      <c r="AH713" s="1293"/>
      <c r="AI713" s="1293"/>
      <c r="AJ713" s="1293"/>
      <c r="AK713" s="1293"/>
      <c r="AL713" s="1293"/>
      <c r="AM713" s="1293"/>
      <c r="AN713" s="1293"/>
      <c r="AO713" s="1293"/>
      <c r="AP713" s="1293"/>
      <c r="AQ713" s="1293"/>
      <c r="AR713" s="1293"/>
      <c r="AS713" s="1293"/>
      <c r="AT713" s="1293"/>
      <c r="AU713" s="1293"/>
      <c r="AV713" s="1293"/>
      <c r="AW713" s="1293"/>
      <c r="AX713" s="1293"/>
      <c r="AY713" s="1293"/>
      <c r="AZ713" s="1293"/>
      <c r="BA713" s="1293"/>
      <c r="BB713" s="1293"/>
      <c r="BC713" s="1293"/>
      <c r="BD713" s="1293"/>
      <c r="BE713" s="1293"/>
      <c r="BF713" s="1293"/>
      <c r="BG713" s="1293"/>
      <c r="BH713" s="1293"/>
      <c r="BI713" s="1293"/>
      <c r="BJ713" s="1293"/>
      <c r="BK713" s="1293"/>
      <c r="BL713" s="1293"/>
      <c r="BM713" s="1293"/>
      <c r="BN713" s="1293"/>
      <c r="BO713" s="1293"/>
      <c r="BP713" s="1293"/>
      <c r="BQ713" s="1293"/>
      <c r="BR713" s="1293"/>
      <c r="BS713" s="1293"/>
      <c r="BT713" s="1293"/>
      <c r="BU713" s="1293"/>
      <c r="BV713" s="1293"/>
      <c r="BW713" s="1293"/>
      <c r="BX713" s="1293"/>
      <c r="BY713" s="1293"/>
      <c r="BZ713" s="1293"/>
      <c r="CA713" s="1293"/>
      <c r="CB713" s="1293"/>
      <c r="CC713" s="1293"/>
      <c r="CD713" s="1293"/>
      <c r="CE713" s="1293"/>
      <c r="CF713" s="1293"/>
      <c r="CG713" s="1293"/>
    </row>
    <row r="714" spans="1:85" ht="15.75">
      <c r="A714" s="1293"/>
      <c r="B714" s="1293"/>
      <c r="C714" s="1293"/>
      <c r="D714" s="1293"/>
      <c r="E714" s="1293"/>
      <c r="F714" s="1293"/>
      <c r="G714" s="1293"/>
      <c r="H714" s="1293"/>
      <c r="I714" s="1293"/>
      <c r="J714" s="1293"/>
      <c r="K714" s="1293"/>
      <c r="L714" s="1293"/>
      <c r="M714" s="1293"/>
      <c r="N714" s="1293"/>
      <c r="O714" s="1293"/>
      <c r="P714" s="1293"/>
      <c r="Q714" s="1293"/>
      <c r="R714" s="1293"/>
      <c r="S714" s="1293"/>
      <c r="T714" s="1293"/>
      <c r="U714" s="1293"/>
      <c r="V714" s="1293"/>
      <c r="W714" s="1293"/>
      <c r="X714" s="1293"/>
      <c r="Y714" s="1293"/>
      <c r="Z714" s="1293"/>
      <c r="AA714" s="1293"/>
      <c r="AB714" s="1293"/>
      <c r="AC714" s="1293"/>
      <c r="AD714" s="1293"/>
      <c r="AE714" s="1293"/>
      <c r="AF714" s="1293"/>
      <c r="AG714" s="1293"/>
      <c r="AH714" s="1293"/>
      <c r="AI714" s="1293"/>
      <c r="AJ714" s="1293"/>
      <c r="AK714" s="1293"/>
      <c r="AL714" s="1293"/>
      <c r="AM714" s="1293"/>
      <c r="AN714" s="1293"/>
      <c r="AO714" s="1293"/>
      <c r="AP714" s="1293"/>
      <c r="AQ714" s="1293"/>
      <c r="AR714" s="1293"/>
      <c r="AS714" s="1293"/>
      <c r="AT714" s="1293"/>
      <c r="AU714" s="1293"/>
      <c r="AV714" s="1293"/>
      <c r="AW714" s="1293"/>
      <c r="AX714" s="1293"/>
      <c r="AY714" s="1293"/>
      <c r="AZ714" s="1293"/>
      <c r="BA714" s="1293"/>
      <c r="BB714" s="1293"/>
      <c r="BC714" s="1293"/>
      <c r="BD714" s="1293"/>
      <c r="BE714" s="1293"/>
      <c r="BF714" s="1293"/>
      <c r="BG714" s="1293"/>
      <c r="BH714" s="1293"/>
      <c r="BI714" s="1293"/>
      <c r="BJ714" s="1293"/>
      <c r="BK714" s="1293"/>
      <c r="BL714" s="1293"/>
      <c r="BM714" s="1293"/>
      <c r="BN714" s="1293"/>
      <c r="BO714" s="1293"/>
      <c r="BP714" s="1293"/>
      <c r="BQ714" s="1293"/>
      <c r="BR714" s="1293"/>
      <c r="BS714" s="1293"/>
      <c r="BT714" s="1293"/>
      <c r="BU714" s="1293"/>
      <c r="BV714" s="1293"/>
      <c r="BW714" s="1293"/>
      <c r="BX714" s="1293"/>
      <c r="BY714" s="1293"/>
      <c r="BZ714" s="1293"/>
      <c r="CA714" s="1293"/>
      <c r="CB714" s="1293"/>
      <c r="CC714" s="1293"/>
      <c r="CD714" s="1293"/>
      <c r="CE714" s="1293"/>
      <c r="CF714" s="1293"/>
      <c r="CG714" s="1293"/>
    </row>
    <row r="715" spans="1:85" ht="15.75">
      <c r="A715" s="1293"/>
      <c r="B715" s="1293"/>
      <c r="C715" s="1293"/>
      <c r="D715" s="1293"/>
      <c r="E715" s="1293"/>
      <c r="F715" s="1293"/>
      <c r="G715" s="1293"/>
      <c r="H715" s="1293"/>
      <c r="I715" s="1293"/>
      <c r="J715" s="1293"/>
      <c r="K715" s="1293"/>
      <c r="L715" s="1293"/>
      <c r="M715" s="1293"/>
      <c r="N715" s="1293"/>
      <c r="O715" s="1293"/>
      <c r="P715" s="1293"/>
      <c r="Q715" s="1293"/>
      <c r="R715" s="1293"/>
      <c r="S715" s="1293"/>
      <c r="T715" s="1293"/>
      <c r="U715" s="1293"/>
      <c r="V715" s="1293"/>
      <c r="W715" s="1293"/>
      <c r="X715" s="1293"/>
      <c r="Y715" s="1293"/>
      <c r="Z715" s="1293"/>
      <c r="AA715" s="1293"/>
      <c r="AB715" s="1293"/>
      <c r="AC715" s="1293"/>
      <c r="AD715" s="1293"/>
      <c r="AE715" s="1293"/>
      <c r="AF715" s="1293"/>
      <c r="AG715" s="1293"/>
      <c r="AH715" s="1293"/>
      <c r="AI715" s="1293"/>
      <c r="AJ715" s="1293"/>
      <c r="AK715" s="1293"/>
      <c r="AL715" s="1293"/>
      <c r="AM715" s="1293"/>
      <c r="AN715" s="1293"/>
      <c r="AO715" s="1293"/>
      <c r="AP715" s="1293"/>
      <c r="AQ715" s="1293"/>
      <c r="AR715" s="1293"/>
      <c r="AS715" s="1293"/>
      <c r="AT715" s="1293"/>
      <c r="AU715" s="1293"/>
      <c r="AV715" s="1293"/>
      <c r="AW715" s="1293"/>
      <c r="AX715" s="1293"/>
      <c r="AY715" s="1293"/>
      <c r="AZ715" s="1293"/>
      <c r="BA715" s="1293"/>
      <c r="BB715" s="1293"/>
      <c r="BC715" s="1293"/>
      <c r="BD715" s="1293"/>
      <c r="BE715" s="1293"/>
      <c r="BF715" s="1293"/>
      <c r="BG715" s="1293"/>
      <c r="BH715" s="1293"/>
      <c r="BI715" s="1293"/>
      <c r="BJ715" s="1293"/>
      <c r="BK715" s="1293"/>
      <c r="BL715" s="1293"/>
      <c r="BM715" s="1293"/>
      <c r="BN715" s="1293"/>
      <c r="BO715" s="1293"/>
      <c r="BP715" s="1293"/>
      <c r="BQ715" s="1293"/>
      <c r="BR715" s="1293"/>
      <c r="BS715" s="1293"/>
      <c r="BT715" s="1293"/>
      <c r="BU715" s="1293"/>
      <c r="BV715" s="1293"/>
      <c r="BW715" s="1293"/>
      <c r="BX715" s="1293"/>
      <c r="BY715" s="1293"/>
      <c r="BZ715" s="1293"/>
      <c r="CA715" s="1293"/>
      <c r="CB715" s="1293"/>
      <c r="CC715" s="1293"/>
      <c r="CD715" s="1293"/>
      <c r="CE715" s="1293"/>
      <c r="CF715" s="1293"/>
      <c r="CG715" s="1293"/>
    </row>
    <row r="716" spans="1:85" ht="15.75">
      <c r="A716" s="1293"/>
      <c r="B716" s="1293"/>
      <c r="C716" s="1293"/>
      <c r="D716" s="1293"/>
      <c r="E716" s="1293"/>
      <c r="F716" s="1293"/>
      <c r="G716" s="1293"/>
      <c r="H716" s="1293"/>
      <c r="I716" s="1293"/>
      <c r="J716" s="1293"/>
      <c r="K716" s="1293"/>
      <c r="L716" s="1293"/>
      <c r="M716" s="1293"/>
      <c r="N716" s="1293"/>
      <c r="O716" s="1293"/>
      <c r="P716" s="1293"/>
      <c r="Q716" s="1293"/>
      <c r="R716" s="1293"/>
      <c r="S716" s="1293"/>
      <c r="T716" s="1293"/>
      <c r="U716" s="1293"/>
      <c r="V716" s="1293"/>
      <c r="W716" s="1293"/>
      <c r="X716" s="1293"/>
      <c r="Y716" s="1293"/>
      <c r="Z716" s="1293"/>
      <c r="AA716" s="1293"/>
      <c r="AB716" s="1293"/>
      <c r="AC716" s="1293"/>
      <c r="AD716" s="1293"/>
      <c r="AE716" s="1293"/>
      <c r="AF716" s="1293"/>
      <c r="AG716" s="1293"/>
      <c r="AH716" s="1293"/>
      <c r="AI716" s="1293"/>
      <c r="AJ716" s="1293"/>
      <c r="AK716" s="1293"/>
      <c r="AL716" s="1293"/>
      <c r="AM716" s="1293"/>
      <c r="AN716" s="1293"/>
      <c r="AO716" s="1293"/>
      <c r="AP716" s="1293"/>
      <c r="AQ716" s="1293"/>
      <c r="AR716" s="1293"/>
      <c r="AS716" s="1293"/>
      <c r="AT716" s="1293"/>
      <c r="AU716" s="1293"/>
      <c r="AV716" s="1293"/>
      <c r="AW716" s="1293"/>
      <c r="AX716" s="1293"/>
      <c r="AY716" s="1293"/>
      <c r="AZ716" s="1293"/>
      <c r="BA716" s="1293"/>
      <c r="BB716" s="1293"/>
      <c r="BC716" s="1293"/>
      <c r="BD716" s="1293"/>
      <c r="BE716" s="1293"/>
      <c r="BF716" s="1293"/>
      <c r="BG716" s="1293"/>
      <c r="BH716" s="1293"/>
      <c r="BI716" s="1293"/>
      <c r="BJ716" s="1293"/>
      <c r="BK716" s="1293"/>
      <c r="BL716" s="1293"/>
      <c r="BM716" s="1293"/>
      <c r="BN716" s="1293"/>
      <c r="BO716" s="1293"/>
      <c r="BP716" s="1293"/>
      <c r="BQ716" s="1293"/>
      <c r="BR716" s="1293"/>
      <c r="BS716" s="1293"/>
      <c r="BT716" s="1293"/>
      <c r="BU716" s="1293"/>
      <c r="BV716" s="1293"/>
      <c r="BW716" s="1293"/>
      <c r="BX716" s="1293"/>
      <c r="BY716" s="1293"/>
      <c r="BZ716" s="1293"/>
      <c r="CA716" s="1293"/>
      <c r="CB716" s="1293"/>
      <c r="CC716" s="1293"/>
      <c r="CD716" s="1293"/>
      <c r="CE716" s="1293"/>
      <c r="CF716" s="1293"/>
      <c r="CG716" s="1293"/>
    </row>
    <row r="717" spans="1:85" ht="15.75">
      <c r="A717" s="1293"/>
      <c r="B717" s="1293"/>
      <c r="C717" s="1293"/>
      <c r="D717" s="1293"/>
      <c r="E717" s="1293"/>
      <c r="F717" s="1293"/>
      <c r="G717" s="1293"/>
      <c r="H717" s="1293"/>
      <c r="I717" s="1293"/>
      <c r="J717" s="1293"/>
      <c r="K717" s="1293"/>
      <c r="L717" s="1293"/>
      <c r="M717" s="1293"/>
      <c r="N717" s="1293"/>
      <c r="O717" s="1293"/>
      <c r="P717" s="1293"/>
      <c r="Q717" s="1293"/>
      <c r="R717" s="1293"/>
      <c r="S717" s="1293"/>
      <c r="T717" s="1293"/>
      <c r="U717" s="1293"/>
      <c r="V717" s="1293"/>
      <c r="W717" s="1293"/>
      <c r="X717" s="1293"/>
      <c r="Y717" s="1293"/>
      <c r="Z717" s="1293"/>
      <c r="AA717" s="1293"/>
      <c r="AB717" s="1293"/>
      <c r="AC717" s="1293"/>
      <c r="AD717" s="1293"/>
      <c r="AE717" s="1293"/>
      <c r="AF717" s="1293"/>
      <c r="AG717" s="1293"/>
      <c r="AH717" s="1293"/>
      <c r="AI717" s="1293"/>
      <c r="AJ717" s="1293"/>
      <c r="AK717" s="1293"/>
      <c r="AL717" s="1293"/>
      <c r="AM717" s="1293"/>
      <c r="AN717" s="1293"/>
      <c r="AO717" s="1293"/>
      <c r="AP717" s="1293"/>
      <c r="AQ717" s="1293"/>
      <c r="AR717" s="1293"/>
      <c r="AS717" s="1293"/>
      <c r="AT717" s="1293"/>
      <c r="AU717" s="1293"/>
      <c r="AV717" s="1293"/>
      <c r="AW717" s="1293"/>
      <c r="AX717" s="1293"/>
      <c r="AY717" s="1293"/>
      <c r="AZ717" s="1293"/>
      <c r="BA717" s="1293"/>
      <c r="BB717" s="1293"/>
      <c r="BC717" s="1293"/>
      <c r="BD717" s="1293"/>
      <c r="BE717" s="1293"/>
      <c r="BF717" s="1293"/>
      <c r="BG717" s="1293"/>
      <c r="BH717" s="1293"/>
      <c r="BI717" s="1293"/>
      <c r="BJ717" s="1293"/>
      <c r="BK717" s="1293"/>
      <c r="BL717" s="1293"/>
      <c r="BM717" s="1293"/>
      <c r="BN717" s="1293"/>
      <c r="BO717" s="1293"/>
      <c r="BP717" s="1293"/>
      <c r="BQ717" s="1293"/>
      <c r="BR717" s="1293"/>
      <c r="BS717" s="1293"/>
      <c r="BT717" s="1293"/>
      <c r="BU717" s="1293"/>
      <c r="BV717" s="1293"/>
      <c r="BW717" s="1293"/>
      <c r="BX717" s="1293"/>
      <c r="BY717" s="1293"/>
      <c r="BZ717" s="1293"/>
      <c r="CA717" s="1293"/>
      <c r="CB717" s="1293"/>
      <c r="CC717" s="1293"/>
      <c r="CD717" s="1293"/>
      <c r="CE717" s="1293"/>
      <c r="CF717" s="1293"/>
      <c r="CG717" s="1293"/>
    </row>
    <row r="718" spans="1:85" ht="15.75">
      <c r="A718" s="1293"/>
      <c r="B718" s="1293"/>
      <c r="C718" s="1293"/>
      <c r="D718" s="1293"/>
      <c r="E718" s="1293"/>
      <c r="F718" s="1293"/>
      <c r="G718" s="1293"/>
      <c r="H718" s="1293"/>
      <c r="I718" s="1293"/>
      <c r="J718" s="1293"/>
      <c r="K718" s="1293"/>
      <c r="L718" s="1293"/>
      <c r="M718" s="1293"/>
      <c r="N718" s="1293"/>
      <c r="O718" s="1293"/>
      <c r="P718" s="1293"/>
      <c r="Q718" s="1293"/>
      <c r="R718" s="1293"/>
      <c r="S718" s="1293"/>
      <c r="T718" s="1293"/>
      <c r="U718" s="1293"/>
      <c r="V718" s="1293"/>
      <c r="W718" s="1293"/>
      <c r="X718" s="1293"/>
      <c r="Y718" s="1293"/>
      <c r="Z718" s="1293"/>
      <c r="AA718" s="1293"/>
      <c r="AB718" s="1293"/>
      <c r="AC718" s="1293"/>
      <c r="AD718" s="1293"/>
      <c r="AE718" s="1293"/>
      <c r="AF718" s="1293"/>
      <c r="AG718" s="1293"/>
      <c r="AH718" s="1293"/>
      <c r="AI718" s="1293"/>
      <c r="AJ718" s="1293"/>
      <c r="AK718" s="1293"/>
      <c r="AL718" s="1293"/>
      <c r="AM718" s="1293"/>
      <c r="AN718" s="1293"/>
      <c r="AO718" s="1293"/>
      <c r="AP718" s="1293"/>
      <c r="AQ718" s="1293"/>
      <c r="AR718" s="1293"/>
      <c r="AS718" s="1293"/>
      <c r="AT718" s="1293"/>
      <c r="AU718" s="1293"/>
      <c r="AV718" s="1293"/>
      <c r="AW718" s="1293"/>
      <c r="AX718" s="1293"/>
      <c r="AY718" s="1293"/>
      <c r="AZ718" s="1293"/>
      <c r="BA718" s="1293"/>
      <c r="BB718" s="1293"/>
      <c r="BC718" s="1293"/>
      <c r="BD718" s="1293"/>
      <c r="BE718" s="1293"/>
      <c r="BF718" s="1293"/>
      <c r="BG718" s="1293"/>
      <c r="BH718" s="1293"/>
      <c r="BI718" s="1293"/>
      <c r="BJ718" s="1293"/>
      <c r="BK718" s="1293"/>
      <c r="BL718" s="1293"/>
      <c r="BM718" s="1293"/>
      <c r="BN718" s="1293"/>
      <c r="BO718" s="1293"/>
      <c r="BP718" s="1293"/>
      <c r="BQ718" s="1293"/>
      <c r="BR718" s="1293"/>
      <c r="BS718" s="1293"/>
      <c r="BT718" s="1293"/>
      <c r="BU718" s="1293"/>
      <c r="BV718" s="1293"/>
      <c r="BW718" s="1293"/>
      <c r="BX718" s="1293"/>
      <c r="BY718" s="1293"/>
      <c r="BZ718" s="1293"/>
      <c r="CA718" s="1293"/>
      <c r="CB718" s="1293"/>
      <c r="CC718" s="1293"/>
      <c r="CD718" s="1293"/>
      <c r="CE718" s="1293"/>
      <c r="CF718" s="1293"/>
      <c r="CG718" s="1293"/>
    </row>
    <row r="719" spans="1:85" ht="15.75">
      <c r="A719" s="1293"/>
      <c r="B719" s="1293"/>
      <c r="C719" s="1293"/>
      <c r="D719" s="1293"/>
      <c r="E719" s="1293"/>
      <c r="F719" s="1293"/>
      <c r="G719" s="1293"/>
      <c r="H719" s="1293"/>
      <c r="I719" s="1293"/>
      <c r="J719" s="1293"/>
      <c r="K719" s="1293"/>
      <c r="L719" s="1293"/>
      <c r="M719" s="1293"/>
      <c r="N719" s="1293"/>
      <c r="O719" s="1293"/>
      <c r="P719" s="1293"/>
      <c r="Q719" s="1293"/>
      <c r="R719" s="1293"/>
      <c r="S719" s="1293"/>
      <c r="T719" s="1293"/>
      <c r="U719" s="1293"/>
      <c r="V719" s="1293"/>
      <c r="W719" s="1293"/>
      <c r="X719" s="1293"/>
      <c r="Y719" s="1293"/>
      <c r="Z719" s="1293"/>
      <c r="AA719" s="1293"/>
      <c r="AB719" s="1293"/>
      <c r="AC719" s="1293"/>
      <c r="AD719" s="1293"/>
      <c r="AE719" s="1293"/>
      <c r="AF719" s="1293"/>
      <c r="AG719" s="1293"/>
      <c r="AH719" s="1293"/>
      <c r="AI719" s="1293"/>
      <c r="AJ719" s="1293"/>
      <c r="AK719" s="1293"/>
      <c r="AL719" s="1293"/>
      <c r="AM719" s="1293"/>
      <c r="AN719" s="1293"/>
      <c r="AO719" s="1293"/>
      <c r="AP719" s="1293"/>
      <c r="AQ719" s="1293"/>
      <c r="AR719" s="1293"/>
      <c r="AS719" s="1293"/>
      <c r="AT719" s="1293"/>
      <c r="AU719" s="1293"/>
      <c r="AV719" s="1293"/>
      <c r="AW719" s="1293"/>
      <c r="AX719" s="1293"/>
      <c r="AY719" s="1293"/>
      <c r="AZ719" s="1293"/>
      <c r="BA719" s="1293"/>
      <c r="BB719" s="1293"/>
      <c r="BC719" s="1293"/>
      <c r="BD719" s="1293"/>
      <c r="BE719" s="1293"/>
      <c r="BF719" s="1293"/>
      <c r="BG719" s="1293"/>
      <c r="BH719" s="1293"/>
      <c r="BI719" s="1293"/>
      <c r="BJ719" s="1293"/>
      <c r="BK719" s="1293"/>
      <c r="BL719" s="1293"/>
      <c r="BM719" s="1293"/>
      <c r="BN719" s="1293"/>
      <c r="BO719" s="1293"/>
      <c r="BP719" s="1293"/>
      <c r="BQ719" s="1293"/>
      <c r="BR719" s="1293"/>
      <c r="BS719" s="1293"/>
      <c r="BT719" s="1293"/>
      <c r="BU719" s="1293"/>
      <c r="BV719" s="1293"/>
      <c r="BW719" s="1293"/>
      <c r="BX719" s="1293"/>
      <c r="BY719" s="1293"/>
      <c r="BZ719" s="1293"/>
      <c r="CA719" s="1293"/>
      <c r="CB719" s="1293"/>
      <c r="CC719" s="1293"/>
      <c r="CD719" s="1293"/>
      <c r="CE719" s="1293"/>
      <c r="CF719" s="1293"/>
      <c r="CG719" s="1293"/>
    </row>
    <row r="720" spans="1:85" ht="15.75">
      <c r="A720" s="1293"/>
      <c r="B720" s="1293"/>
      <c r="C720" s="1293"/>
      <c r="D720" s="1293"/>
      <c r="E720" s="1293"/>
      <c r="F720" s="1293"/>
      <c r="G720" s="1293"/>
      <c r="H720" s="1293"/>
      <c r="I720" s="1293"/>
      <c r="J720" s="1293"/>
      <c r="K720" s="1293"/>
      <c r="L720" s="1293"/>
      <c r="M720" s="1293"/>
      <c r="N720" s="1293"/>
      <c r="O720" s="1293"/>
      <c r="P720" s="1293"/>
      <c r="Q720" s="1293"/>
      <c r="R720" s="1293"/>
      <c r="S720" s="1293"/>
      <c r="T720" s="1293"/>
      <c r="U720" s="1293"/>
      <c r="V720" s="1293"/>
      <c r="W720" s="1293"/>
      <c r="X720" s="1293"/>
      <c r="Y720" s="1293"/>
      <c r="Z720" s="1293"/>
      <c r="AA720" s="1293"/>
      <c r="AB720" s="1293"/>
      <c r="AC720" s="1293"/>
      <c r="AD720" s="1293"/>
      <c r="AE720" s="1293"/>
      <c r="AF720" s="1293"/>
      <c r="AG720" s="1293"/>
      <c r="AH720" s="1293"/>
      <c r="AI720" s="1293"/>
      <c r="AJ720" s="1293"/>
      <c r="AK720" s="1293"/>
      <c r="AL720" s="1293"/>
      <c r="AM720" s="1293"/>
      <c r="AN720" s="1293"/>
      <c r="AO720" s="1293"/>
      <c r="AP720" s="1293"/>
      <c r="AQ720" s="1293"/>
      <c r="AR720" s="1293"/>
      <c r="AS720" s="1293"/>
      <c r="AT720" s="1293"/>
      <c r="AU720" s="1293"/>
      <c r="AV720" s="1293"/>
      <c r="AW720" s="1293"/>
      <c r="AX720" s="1293"/>
      <c r="AY720" s="1293"/>
      <c r="AZ720" s="1293"/>
      <c r="BA720" s="1293"/>
      <c r="BB720" s="1293"/>
      <c r="BC720" s="1293"/>
      <c r="BD720" s="1293"/>
      <c r="BE720" s="1293"/>
      <c r="BF720" s="1293"/>
      <c r="BG720" s="1293"/>
      <c r="BH720" s="1293"/>
      <c r="BI720" s="1293"/>
      <c r="BJ720" s="1293"/>
      <c r="BK720" s="1293"/>
      <c r="BL720" s="1293"/>
      <c r="BM720" s="1293"/>
      <c r="BN720" s="1293"/>
      <c r="BO720" s="1293"/>
      <c r="BP720" s="1293"/>
      <c r="BQ720" s="1293"/>
      <c r="BR720" s="1293"/>
      <c r="BS720" s="1293"/>
      <c r="BT720" s="1293"/>
      <c r="BU720" s="1293"/>
      <c r="BV720" s="1293"/>
      <c r="BW720" s="1293"/>
      <c r="BX720" s="1293"/>
      <c r="BY720" s="1293"/>
      <c r="BZ720" s="1293"/>
      <c r="CA720" s="1293"/>
      <c r="CB720" s="1293"/>
      <c r="CC720" s="1293"/>
      <c r="CD720" s="1293"/>
      <c r="CE720" s="1293"/>
      <c r="CF720" s="1293"/>
      <c r="CG720" s="1293"/>
    </row>
    <row r="721" spans="1:85" ht="15.75">
      <c r="A721" s="1293"/>
      <c r="B721" s="1293"/>
      <c r="C721" s="1293"/>
      <c r="D721" s="1293"/>
      <c r="E721" s="1293"/>
      <c r="F721" s="1293"/>
      <c r="G721" s="1293"/>
      <c r="H721" s="1293"/>
      <c r="I721" s="1293"/>
      <c r="J721" s="1293"/>
      <c r="K721" s="1293"/>
      <c r="L721" s="1293"/>
      <c r="M721" s="1293"/>
      <c r="N721" s="1293"/>
      <c r="O721" s="1293"/>
      <c r="P721" s="1293"/>
      <c r="Q721" s="1293"/>
      <c r="R721" s="1293"/>
      <c r="S721" s="1293"/>
      <c r="T721" s="1293"/>
      <c r="U721" s="1293"/>
      <c r="V721" s="1293"/>
      <c r="W721" s="1293"/>
      <c r="X721" s="1293"/>
      <c r="Y721" s="1293"/>
      <c r="Z721" s="1293"/>
      <c r="AA721" s="1293"/>
      <c r="AB721" s="1293"/>
      <c r="AC721" s="1293"/>
      <c r="AD721" s="1293"/>
      <c r="AE721" s="1293"/>
      <c r="AF721" s="1293"/>
      <c r="AG721" s="1293"/>
      <c r="AH721" s="1293"/>
      <c r="AI721" s="1293"/>
      <c r="AJ721" s="1293"/>
      <c r="AK721" s="1293"/>
      <c r="AL721" s="1293"/>
      <c r="AM721" s="1293"/>
      <c r="AN721" s="1293"/>
      <c r="AO721" s="1293"/>
      <c r="AP721" s="1293"/>
      <c r="AQ721" s="1293"/>
      <c r="AR721" s="1293"/>
      <c r="AS721" s="1293"/>
      <c r="AT721" s="1293"/>
      <c r="AU721" s="1293"/>
      <c r="AV721" s="1293"/>
      <c r="AW721" s="1293"/>
      <c r="AX721" s="1293"/>
      <c r="AY721" s="1293"/>
      <c r="AZ721" s="1293"/>
      <c r="BA721" s="1293"/>
      <c r="BB721" s="1293"/>
      <c r="BC721" s="1293"/>
      <c r="BD721" s="1293"/>
      <c r="BE721" s="1293"/>
      <c r="BF721" s="1293"/>
      <c r="BG721" s="1293"/>
      <c r="BH721" s="1293"/>
      <c r="BI721" s="1293"/>
      <c r="BJ721" s="1293"/>
      <c r="BK721" s="1293"/>
      <c r="BL721" s="1293"/>
      <c r="BM721" s="1293"/>
      <c r="BN721" s="1293"/>
      <c r="BO721" s="1293"/>
      <c r="BP721" s="1293"/>
      <c r="BQ721" s="1293"/>
      <c r="BR721" s="1293"/>
      <c r="BS721" s="1293"/>
      <c r="BT721" s="1293"/>
      <c r="BU721" s="1293"/>
      <c r="BV721" s="1293"/>
      <c r="BW721" s="1293"/>
      <c r="BX721" s="1293"/>
      <c r="BY721" s="1293"/>
      <c r="BZ721" s="1293"/>
      <c r="CA721" s="1293"/>
      <c r="CB721" s="1293"/>
      <c r="CC721" s="1293"/>
      <c r="CD721" s="1293"/>
      <c r="CE721" s="1293"/>
      <c r="CF721" s="1293"/>
      <c r="CG721" s="1293"/>
    </row>
    <row r="722" spans="1:85" ht="15.75">
      <c r="A722" s="1293"/>
      <c r="B722" s="1293"/>
      <c r="C722" s="1293"/>
      <c r="D722" s="1293"/>
      <c r="E722" s="1293"/>
      <c r="F722" s="1293"/>
      <c r="G722" s="1293"/>
      <c r="H722" s="1293"/>
      <c r="I722" s="1293"/>
      <c r="J722" s="1293"/>
      <c r="K722" s="1293"/>
      <c r="L722" s="1293"/>
      <c r="M722" s="1293"/>
      <c r="N722" s="1293"/>
      <c r="O722" s="1293"/>
      <c r="P722" s="1293"/>
      <c r="Q722" s="1293"/>
      <c r="R722" s="1293"/>
      <c r="S722" s="1293"/>
      <c r="T722" s="1293"/>
      <c r="U722" s="1293"/>
      <c r="V722" s="1293"/>
      <c r="W722" s="1293"/>
      <c r="X722" s="1293"/>
      <c r="Y722" s="1293"/>
      <c r="Z722" s="1293"/>
      <c r="AA722" s="1293"/>
      <c r="AB722" s="1293"/>
      <c r="AC722" s="1293"/>
      <c r="AD722" s="1293"/>
      <c r="AE722" s="1293"/>
      <c r="AF722" s="1293"/>
      <c r="AG722" s="1293"/>
      <c r="AH722" s="1293"/>
      <c r="AI722" s="1293"/>
      <c r="AJ722" s="1293"/>
      <c r="AK722" s="1293"/>
      <c r="AL722" s="1293"/>
      <c r="AM722" s="1293"/>
      <c r="AN722" s="1293"/>
      <c r="AO722" s="1293"/>
      <c r="AP722" s="1293"/>
      <c r="AQ722" s="1293"/>
      <c r="AR722" s="1293"/>
      <c r="AS722" s="1293"/>
      <c r="AT722" s="1293"/>
      <c r="AU722" s="1293"/>
      <c r="AV722" s="1293"/>
      <c r="AW722" s="1293"/>
      <c r="AX722" s="1293"/>
      <c r="AY722" s="1293"/>
      <c r="AZ722" s="1293"/>
      <c r="BA722" s="1293"/>
      <c r="BB722" s="1293"/>
      <c r="BC722" s="1293"/>
      <c r="BD722" s="1293"/>
      <c r="BE722" s="1293"/>
      <c r="BF722" s="1293"/>
      <c r="BG722" s="1293"/>
      <c r="BH722" s="1293"/>
      <c r="BI722" s="1293"/>
      <c r="BJ722" s="1293"/>
      <c r="BK722" s="1293"/>
      <c r="BL722" s="1293"/>
      <c r="BM722" s="1293"/>
      <c r="BN722" s="1293"/>
      <c r="BO722" s="1293"/>
      <c r="BP722" s="1293"/>
      <c r="BQ722" s="1293"/>
      <c r="BR722" s="1293"/>
      <c r="BS722" s="1293"/>
      <c r="BT722" s="1293"/>
      <c r="BU722" s="1293"/>
      <c r="BV722" s="1293"/>
      <c r="BW722" s="1293"/>
      <c r="BX722" s="1293"/>
      <c r="BY722" s="1293"/>
      <c r="BZ722" s="1293"/>
      <c r="CA722" s="1293"/>
      <c r="CB722" s="1293"/>
      <c r="CC722" s="1293"/>
      <c r="CD722" s="1293"/>
      <c r="CE722" s="1293"/>
      <c r="CF722" s="1293"/>
      <c r="CG722" s="1293"/>
    </row>
    <row r="723" spans="1:85" ht="15.75">
      <c r="A723" s="1293"/>
      <c r="B723" s="1293"/>
      <c r="C723" s="1293"/>
      <c r="D723" s="1293"/>
      <c r="E723" s="1293"/>
      <c r="F723" s="1293"/>
      <c r="G723" s="1293"/>
      <c r="H723" s="1293"/>
      <c r="I723" s="1293"/>
      <c r="J723" s="1293"/>
      <c r="K723" s="1293"/>
      <c r="L723" s="1293"/>
      <c r="M723" s="1293"/>
      <c r="N723" s="1293"/>
      <c r="O723" s="1293"/>
      <c r="P723" s="1293"/>
      <c r="Q723" s="1293"/>
      <c r="R723" s="1293"/>
      <c r="S723" s="1293"/>
      <c r="T723" s="1293"/>
      <c r="U723" s="1293"/>
      <c r="V723" s="1293"/>
      <c r="W723" s="1293"/>
      <c r="X723" s="1293"/>
      <c r="Y723" s="1293"/>
      <c r="Z723" s="1293"/>
      <c r="AA723" s="1293"/>
      <c r="AB723" s="1293"/>
      <c r="AC723" s="1293"/>
      <c r="AD723" s="1293"/>
      <c r="AE723" s="1293"/>
      <c r="AF723" s="1293"/>
      <c r="AG723" s="1293"/>
      <c r="AH723" s="1293"/>
      <c r="AI723" s="1293"/>
      <c r="AJ723" s="1293"/>
      <c r="AK723" s="1293"/>
      <c r="AL723" s="1293"/>
      <c r="AM723" s="1293"/>
      <c r="AN723" s="1293"/>
      <c r="AO723" s="1293"/>
      <c r="AP723" s="1293"/>
      <c r="AQ723" s="1293"/>
      <c r="AR723" s="1293"/>
      <c r="AS723" s="1293"/>
      <c r="AT723" s="1293"/>
      <c r="AU723" s="1293"/>
      <c r="AV723" s="1293"/>
      <c r="AW723" s="1293"/>
      <c r="AX723" s="1293"/>
      <c r="AY723" s="1293"/>
      <c r="AZ723" s="1293"/>
      <c r="BA723" s="1293"/>
      <c r="BB723" s="1293"/>
      <c r="BC723" s="1293"/>
      <c r="BD723" s="1293"/>
      <c r="BE723" s="1293"/>
      <c r="BF723" s="1293"/>
      <c r="BG723" s="1293"/>
      <c r="BH723" s="1293"/>
      <c r="BI723" s="1293"/>
      <c r="BJ723" s="1293"/>
      <c r="BK723" s="1293"/>
      <c r="BL723" s="1293"/>
      <c r="BM723" s="1293"/>
      <c r="BN723" s="1293"/>
      <c r="BO723" s="1293"/>
      <c r="BP723" s="1293"/>
      <c r="BQ723" s="1293"/>
      <c r="BR723" s="1293"/>
      <c r="BS723" s="1293"/>
      <c r="BT723" s="1293"/>
      <c r="BU723" s="1293"/>
      <c r="BV723" s="1293"/>
      <c r="BW723" s="1293"/>
      <c r="BX723" s="1293"/>
      <c r="BY723" s="1293"/>
      <c r="BZ723" s="1293"/>
      <c r="CA723" s="1293"/>
      <c r="CB723" s="1293"/>
      <c r="CC723" s="1293"/>
      <c r="CD723" s="1293"/>
      <c r="CE723" s="1293"/>
      <c r="CF723" s="1293"/>
      <c r="CG723" s="1293"/>
    </row>
    <row r="724" spans="1:85" ht="15.75">
      <c r="A724" s="1293"/>
      <c r="B724" s="1293"/>
      <c r="C724" s="1293"/>
      <c r="D724" s="1293"/>
      <c r="E724" s="1293"/>
      <c r="F724" s="1293"/>
      <c r="G724" s="1293"/>
      <c r="H724" s="1293"/>
      <c r="I724" s="1293"/>
      <c r="J724" s="1293"/>
      <c r="K724" s="1293"/>
      <c r="L724" s="1293"/>
      <c r="M724" s="1293"/>
      <c r="N724" s="1293"/>
      <c r="O724" s="1293"/>
      <c r="P724" s="1293"/>
      <c r="Q724" s="1293"/>
      <c r="R724" s="1293"/>
      <c r="S724" s="1293"/>
      <c r="T724" s="1293"/>
      <c r="U724" s="1293"/>
      <c r="V724" s="1293"/>
      <c r="W724" s="1293"/>
      <c r="X724" s="1293"/>
      <c r="Y724" s="1293"/>
      <c r="Z724" s="1293"/>
      <c r="AA724" s="1293"/>
      <c r="AB724" s="1293"/>
      <c r="AC724" s="1293"/>
      <c r="AD724" s="1293"/>
      <c r="AE724" s="1293"/>
      <c r="AF724" s="1293"/>
      <c r="AG724" s="1293"/>
      <c r="AH724" s="1293"/>
      <c r="AI724" s="1293"/>
      <c r="AJ724" s="1293"/>
      <c r="AK724" s="1293"/>
      <c r="AL724" s="1293"/>
      <c r="AM724" s="1293"/>
      <c r="AN724" s="1293"/>
      <c r="AO724" s="1293"/>
      <c r="AP724" s="1293"/>
      <c r="AQ724" s="1293"/>
      <c r="AR724" s="1293"/>
      <c r="AS724" s="1293"/>
      <c r="AT724" s="1293"/>
      <c r="AU724" s="1293"/>
      <c r="AV724" s="1293"/>
      <c r="AW724" s="1293"/>
      <c r="AX724" s="1293"/>
      <c r="AY724" s="1293"/>
      <c r="AZ724" s="1293"/>
      <c r="BA724" s="1293"/>
      <c r="BB724" s="1293"/>
      <c r="BC724" s="1293"/>
      <c r="BD724" s="1293"/>
      <c r="BE724" s="1293"/>
      <c r="BF724" s="1293"/>
      <c r="BG724" s="1293"/>
      <c r="BH724" s="1293"/>
      <c r="BI724" s="1293"/>
      <c r="BJ724" s="1293"/>
      <c r="BK724" s="1293"/>
      <c r="BL724" s="1293"/>
      <c r="BM724" s="1293"/>
      <c r="BN724" s="1293"/>
      <c r="BO724" s="1293"/>
      <c r="BP724" s="1293"/>
      <c r="BQ724" s="1293"/>
      <c r="BR724" s="1293"/>
      <c r="BS724" s="1293"/>
      <c r="BT724" s="1293"/>
      <c r="BU724" s="1293"/>
      <c r="BV724" s="1293"/>
      <c r="BW724" s="1293"/>
      <c r="BX724" s="1293"/>
      <c r="BY724" s="1293"/>
      <c r="BZ724" s="1293"/>
      <c r="CA724" s="1293"/>
      <c r="CB724" s="1293"/>
      <c r="CC724" s="1293"/>
      <c r="CD724" s="1293"/>
      <c r="CE724" s="1293"/>
      <c r="CF724" s="1293"/>
      <c r="CG724" s="1293"/>
    </row>
    <row r="725" spans="1:85" ht="15.75">
      <c r="A725" s="1293"/>
      <c r="B725" s="1293"/>
      <c r="C725" s="1293"/>
      <c r="D725" s="1293"/>
      <c r="E725" s="1293"/>
      <c r="F725" s="1293"/>
      <c r="G725" s="1293"/>
      <c r="H725" s="1293"/>
      <c r="I725" s="1293"/>
      <c r="J725" s="1293"/>
      <c r="K725" s="1293"/>
      <c r="L725" s="1293"/>
      <c r="M725" s="1293"/>
      <c r="N725" s="1293"/>
      <c r="O725" s="1293"/>
      <c r="P725" s="1293"/>
      <c r="Q725" s="1293"/>
      <c r="R725" s="1293"/>
      <c r="S725" s="1293"/>
      <c r="T725" s="1293"/>
      <c r="U725" s="1293"/>
      <c r="V725" s="1293"/>
      <c r="W725" s="1293"/>
      <c r="X725" s="1293"/>
      <c r="Y725" s="1293"/>
      <c r="Z725" s="1293"/>
      <c r="AA725" s="1293"/>
      <c r="AB725" s="1293"/>
      <c r="AC725" s="1293"/>
      <c r="AD725" s="1293"/>
      <c r="AE725" s="1293"/>
      <c r="AF725" s="1293"/>
      <c r="AG725" s="1293"/>
      <c r="AH725" s="1293"/>
      <c r="AI725" s="1293"/>
      <c r="AJ725" s="1293"/>
      <c r="AK725" s="1293"/>
      <c r="AL725" s="1293"/>
      <c r="AM725" s="1293"/>
      <c r="AN725" s="1293"/>
      <c r="AO725" s="1293"/>
      <c r="AP725" s="1293"/>
      <c r="AQ725" s="1293"/>
      <c r="AR725" s="1293"/>
      <c r="AS725" s="1293"/>
      <c r="AT725" s="1293"/>
      <c r="AU725" s="1293"/>
      <c r="AV725" s="1293"/>
      <c r="AW725" s="1293"/>
      <c r="AX725" s="1293"/>
      <c r="AY725" s="1293"/>
      <c r="AZ725" s="1293"/>
      <c r="BA725" s="1293"/>
      <c r="BB725" s="1293"/>
      <c r="BC725" s="1293"/>
      <c r="BD725" s="1293"/>
      <c r="BE725" s="1293"/>
      <c r="BF725" s="1293"/>
      <c r="BG725" s="1293"/>
      <c r="BH725" s="1293"/>
      <c r="BI725" s="1293"/>
      <c r="BJ725" s="1293"/>
      <c r="BK725" s="1293"/>
      <c r="BL725" s="1293"/>
      <c r="BM725" s="1293"/>
      <c r="BN725" s="1293"/>
      <c r="BO725" s="1293"/>
      <c r="BP725" s="1293"/>
      <c r="BQ725" s="1293"/>
      <c r="BR725" s="1293"/>
      <c r="BS725" s="1293"/>
      <c r="BT725" s="1293"/>
      <c r="BU725" s="1293"/>
      <c r="BV725" s="1293"/>
      <c r="BW725" s="1293"/>
      <c r="BX725" s="1293"/>
      <c r="BY725" s="1293"/>
      <c r="BZ725" s="1293"/>
      <c r="CA725" s="1293"/>
      <c r="CB725" s="1293"/>
      <c r="CC725" s="1293"/>
      <c r="CD725" s="1293"/>
      <c r="CE725" s="1293"/>
      <c r="CF725" s="1293"/>
      <c r="CG725" s="1293"/>
    </row>
    <row r="726" spans="1:85" ht="15.75">
      <c r="A726" s="1293"/>
      <c r="B726" s="1293"/>
      <c r="C726" s="1293"/>
      <c r="D726" s="1293"/>
      <c r="E726" s="1293"/>
      <c r="F726" s="1293"/>
      <c r="G726" s="1293"/>
      <c r="H726" s="1293"/>
      <c r="I726" s="1293"/>
      <c r="J726" s="1293"/>
      <c r="K726" s="1293"/>
      <c r="L726" s="1293"/>
      <c r="M726" s="1293"/>
      <c r="N726" s="1293"/>
      <c r="O726" s="1293"/>
      <c r="P726" s="1293"/>
      <c r="Q726" s="1293"/>
      <c r="R726" s="1293"/>
      <c r="S726" s="1293"/>
      <c r="T726" s="1293"/>
      <c r="U726" s="1293"/>
      <c r="V726" s="1293"/>
      <c r="W726" s="1293"/>
      <c r="X726" s="1293"/>
      <c r="Y726" s="1293"/>
      <c r="Z726" s="1293"/>
      <c r="AA726" s="1293"/>
      <c r="AB726" s="1293"/>
      <c r="AC726" s="1293"/>
      <c r="AD726" s="1293"/>
      <c r="AE726" s="1293"/>
      <c r="AF726" s="1293"/>
      <c r="AG726" s="1293"/>
      <c r="AH726" s="1293"/>
      <c r="AI726" s="1293"/>
      <c r="AJ726" s="1293"/>
      <c r="AK726" s="1293"/>
      <c r="AL726" s="1293"/>
      <c r="AM726" s="1293"/>
      <c r="AN726" s="1293"/>
      <c r="AO726" s="1293"/>
      <c r="AP726" s="1293"/>
      <c r="AQ726" s="1293"/>
      <c r="AR726" s="1293"/>
      <c r="AS726" s="1293"/>
      <c r="AT726" s="1293"/>
      <c r="AU726" s="1293"/>
      <c r="AV726" s="1293"/>
      <c r="AW726" s="1293"/>
      <c r="AX726" s="1293"/>
      <c r="AY726" s="1293"/>
      <c r="AZ726" s="1293"/>
      <c r="BA726" s="1293"/>
      <c r="BB726" s="1293"/>
      <c r="BC726" s="1293"/>
      <c r="BD726" s="1293"/>
      <c r="BE726" s="1293"/>
      <c r="BF726" s="1293"/>
      <c r="BG726" s="1293"/>
      <c r="BH726" s="1293"/>
      <c r="BI726" s="1293"/>
      <c r="BJ726" s="1293"/>
      <c r="BK726" s="1293"/>
      <c r="BL726" s="1293"/>
      <c r="BM726" s="1293"/>
      <c r="BN726" s="1293"/>
      <c r="BO726" s="1293"/>
      <c r="BP726" s="1293"/>
      <c r="BQ726" s="1293"/>
      <c r="BR726" s="1293"/>
      <c r="BS726" s="1293"/>
      <c r="BT726" s="1293"/>
      <c r="BU726" s="1293"/>
      <c r="BV726" s="1293"/>
      <c r="BW726" s="1293"/>
      <c r="BX726" s="1293"/>
      <c r="BY726" s="1293"/>
      <c r="BZ726" s="1293"/>
      <c r="CA726" s="1293"/>
      <c r="CB726" s="1293"/>
      <c r="CC726" s="1293"/>
      <c r="CD726" s="1293"/>
      <c r="CE726" s="1293"/>
      <c r="CF726" s="1293"/>
      <c r="CG726" s="1293"/>
    </row>
    <row r="727" spans="1:85" ht="15.75">
      <c r="A727" s="1293"/>
      <c r="B727" s="1293"/>
      <c r="C727" s="1293"/>
      <c r="D727" s="1293"/>
      <c r="E727" s="1293"/>
      <c r="F727" s="1293"/>
      <c r="G727" s="1293"/>
      <c r="H727" s="1293"/>
      <c r="I727" s="1293"/>
      <c r="J727" s="1293"/>
      <c r="K727" s="1293"/>
      <c r="L727" s="1293"/>
      <c r="M727" s="1293"/>
      <c r="N727" s="1293"/>
      <c r="O727" s="1293"/>
      <c r="P727" s="1293"/>
      <c r="Q727" s="1293"/>
      <c r="R727" s="1293"/>
      <c r="S727" s="1293"/>
      <c r="T727" s="1293"/>
      <c r="U727" s="1293"/>
      <c r="V727" s="1293"/>
      <c r="W727" s="1293"/>
      <c r="X727" s="1293"/>
      <c r="Y727" s="1293"/>
      <c r="Z727" s="1293"/>
      <c r="AA727" s="1293"/>
      <c r="AB727" s="1293"/>
      <c r="AC727" s="1293"/>
      <c r="AD727" s="1293"/>
      <c r="AE727" s="1293"/>
      <c r="AF727" s="1293"/>
      <c r="AG727" s="1293"/>
      <c r="AH727" s="1293"/>
      <c r="AI727" s="1293"/>
      <c r="AJ727" s="1293"/>
      <c r="AK727" s="1293"/>
      <c r="AL727" s="1293"/>
      <c r="AM727" s="1293"/>
      <c r="AN727" s="1293"/>
      <c r="AO727" s="1293"/>
      <c r="AP727" s="1293"/>
      <c r="AQ727" s="1293"/>
      <c r="AR727" s="1293"/>
      <c r="AS727" s="1293"/>
      <c r="AT727" s="1293"/>
      <c r="AU727" s="1293"/>
      <c r="AV727" s="1293"/>
      <c r="AW727" s="1293"/>
      <c r="AX727" s="1293"/>
      <c r="AY727" s="1293"/>
      <c r="AZ727" s="1293"/>
      <c r="BA727" s="1293"/>
      <c r="BB727" s="1293"/>
      <c r="BC727" s="1293"/>
      <c r="BD727" s="1293"/>
      <c r="BE727" s="1293"/>
      <c r="BF727" s="1293"/>
      <c r="BG727" s="1293"/>
      <c r="BH727" s="1293"/>
      <c r="BI727" s="1293"/>
      <c r="BJ727" s="1293"/>
      <c r="BK727" s="1293"/>
      <c r="BL727" s="1293"/>
      <c r="BM727" s="1293"/>
      <c r="BN727" s="1293"/>
      <c r="BO727" s="1293"/>
      <c r="BP727" s="1293"/>
      <c r="BQ727" s="1293"/>
      <c r="BR727" s="1293"/>
      <c r="BS727" s="1293"/>
      <c r="BT727" s="1293"/>
      <c r="BU727" s="1293"/>
      <c r="BV727" s="1293"/>
      <c r="BW727" s="1293"/>
      <c r="BX727" s="1293"/>
      <c r="BY727" s="1293"/>
      <c r="BZ727" s="1293"/>
      <c r="CA727" s="1293"/>
      <c r="CB727" s="1293"/>
      <c r="CC727" s="1293"/>
      <c r="CD727" s="1293"/>
      <c r="CE727" s="1293"/>
      <c r="CF727" s="1293"/>
      <c r="CG727" s="1293"/>
    </row>
    <row r="728" spans="1:85" ht="15.75">
      <c r="A728" s="1293"/>
      <c r="B728" s="1293"/>
      <c r="C728" s="1293"/>
      <c r="D728" s="1293"/>
      <c r="E728" s="1293"/>
      <c r="F728" s="1293"/>
      <c r="G728" s="1293"/>
      <c r="H728" s="1293"/>
      <c r="I728" s="1293"/>
      <c r="J728" s="1293"/>
      <c r="K728" s="1293"/>
      <c r="L728" s="1293"/>
      <c r="M728" s="1293"/>
      <c r="N728" s="1293"/>
      <c r="O728" s="1293"/>
      <c r="P728" s="1293"/>
      <c r="Q728" s="1293"/>
      <c r="R728" s="1293"/>
      <c r="S728" s="1293"/>
      <c r="T728" s="1293"/>
      <c r="U728" s="1293"/>
      <c r="V728" s="1293"/>
      <c r="W728" s="1293"/>
      <c r="X728" s="1293"/>
      <c r="Y728" s="1293"/>
      <c r="Z728" s="1293"/>
      <c r="AA728" s="1293"/>
      <c r="AB728" s="1293"/>
      <c r="AC728" s="1293"/>
      <c r="AD728" s="1293"/>
      <c r="AE728" s="1293"/>
      <c r="AF728" s="1293"/>
      <c r="AG728" s="1293"/>
      <c r="AH728" s="1293"/>
      <c r="AI728" s="1293"/>
      <c r="AJ728" s="1293"/>
      <c r="AK728" s="1293"/>
      <c r="AL728" s="1293"/>
      <c r="AM728" s="1293"/>
      <c r="AN728" s="1293"/>
      <c r="AO728" s="1293"/>
      <c r="AP728" s="1293"/>
      <c r="AQ728" s="1293"/>
      <c r="AR728" s="1293"/>
      <c r="AS728" s="1293"/>
      <c r="AT728" s="1293"/>
      <c r="AU728" s="1293"/>
      <c r="AV728" s="1293"/>
      <c r="AW728" s="1293"/>
      <c r="AX728" s="1293"/>
      <c r="AY728" s="1293"/>
      <c r="AZ728" s="1293"/>
      <c r="BA728" s="1293"/>
      <c r="BB728" s="1293"/>
      <c r="BC728" s="1293"/>
      <c r="BD728" s="1293"/>
      <c r="BE728" s="1293"/>
      <c r="BF728" s="1293"/>
      <c r="BG728" s="1293"/>
      <c r="BH728" s="1293"/>
      <c r="BI728" s="1293"/>
      <c r="BJ728" s="1293"/>
      <c r="BK728" s="1293"/>
      <c r="BL728" s="1293"/>
      <c r="BM728" s="1293"/>
      <c r="BN728" s="1293"/>
      <c r="BO728" s="1293"/>
      <c r="BP728" s="1293"/>
      <c r="BQ728" s="1293"/>
      <c r="BR728" s="1293"/>
      <c r="BS728" s="1293"/>
      <c r="BT728" s="1293"/>
      <c r="BU728" s="1293"/>
      <c r="BV728" s="1293"/>
      <c r="BW728" s="1293"/>
      <c r="BX728" s="1293"/>
      <c r="BY728" s="1293"/>
      <c r="BZ728" s="1293"/>
      <c r="CA728" s="1293"/>
      <c r="CB728" s="1293"/>
      <c r="CC728" s="1293"/>
      <c r="CD728" s="1293"/>
      <c r="CE728" s="1293"/>
      <c r="CF728" s="1293"/>
      <c r="CG728" s="1293"/>
    </row>
    <row r="729" spans="1:85" ht="15.75">
      <c r="A729" s="1293"/>
      <c r="B729" s="1293"/>
      <c r="C729" s="1293"/>
      <c r="D729" s="1293"/>
      <c r="E729" s="1293"/>
      <c r="F729" s="1293"/>
      <c r="G729" s="1293"/>
      <c r="H729" s="1293"/>
      <c r="I729" s="1293"/>
      <c r="J729" s="1293"/>
      <c r="K729" s="1293"/>
      <c r="L729" s="1293"/>
      <c r="M729" s="1293"/>
      <c r="N729" s="1293"/>
      <c r="O729" s="1293"/>
      <c r="P729" s="1293"/>
      <c r="Q729" s="1293"/>
      <c r="R729" s="1293"/>
      <c r="S729" s="1293"/>
      <c r="T729" s="1293"/>
      <c r="U729" s="1293"/>
      <c r="V729" s="1293"/>
      <c r="W729" s="1293"/>
      <c r="X729" s="1293"/>
      <c r="Y729" s="1293"/>
      <c r="Z729" s="1293"/>
      <c r="AA729" s="1293"/>
      <c r="AB729" s="1293"/>
      <c r="AC729" s="1293"/>
      <c r="AD729" s="1293"/>
      <c r="AE729" s="1293"/>
      <c r="AF729" s="1293"/>
      <c r="AG729" s="1293"/>
      <c r="AH729" s="1293"/>
      <c r="AI729" s="1293"/>
      <c r="AJ729" s="1293"/>
      <c r="AK729" s="1293"/>
      <c r="AL729" s="1293"/>
      <c r="AM729" s="1293"/>
      <c r="AN729" s="1293"/>
      <c r="AO729" s="1293"/>
      <c r="AP729" s="1293"/>
      <c r="AQ729" s="1293"/>
      <c r="AR729" s="1293"/>
      <c r="AS729" s="1293"/>
      <c r="AT729" s="1293"/>
      <c r="AU729" s="1293"/>
      <c r="AV729" s="1293"/>
      <c r="AW729" s="1293"/>
      <c r="AX729" s="1293"/>
      <c r="AY729" s="1293"/>
      <c r="AZ729" s="1293"/>
      <c r="BA729" s="1293"/>
      <c r="BB729" s="1293"/>
      <c r="BC729" s="1293"/>
      <c r="BD729" s="1293"/>
      <c r="BE729" s="1293"/>
      <c r="BF729" s="1293"/>
      <c r="BG729" s="1293"/>
      <c r="BH729" s="1293"/>
      <c r="BI729" s="1293"/>
      <c r="BJ729" s="1293"/>
      <c r="BK729" s="1293"/>
      <c r="BL729" s="1293"/>
      <c r="BM729" s="1293"/>
      <c r="BN729" s="1293"/>
      <c r="BO729" s="1293"/>
      <c r="BP729" s="1293"/>
      <c r="BQ729" s="1293"/>
      <c r="BR729" s="1293"/>
      <c r="BS729" s="1293"/>
      <c r="BT729" s="1293"/>
      <c r="BU729" s="1293"/>
      <c r="BV729" s="1293"/>
      <c r="BW729" s="1293"/>
      <c r="BX729" s="1293"/>
      <c r="BY729" s="1293"/>
      <c r="BZ729" s="1293"/>
      <c r="CA729" s="1293"/>
      <c r="CB729" s="1293"/>
      <c r="CC729" s="1293"/>
      <c r="CD729" s="1293"/>
      <c r="CE729" s="1293"/>
      <c r="CF729" s="1293"/>
      <c r="CG729" s="1293"/>
    </row>
    <row r="730" spans="1:85" ht="15.75">
      <c r="A730" s="1293"/>
      <c r="B730" s="1293"/>
      <c r="C730" s="1293"/>
      <c r="D730" s="1293"/>
      <c r="E730" s="1293"/>
      <c r="F730" s="1293"/>
      <c r="G730" s="1293"/>
      <c r="H730" s="1293"/>
      <c r="I730" s="1293"/>
      <c r="J730" s="1293"/>
      <c r="K730" s="1293"/>
      <c r="L730" s="1293"/>
      <c r="M730" s="1293"/>
      <c r="N730" s="1293"/>
      <c r="O730" s="1293"/>
      <c r="P730" s="1293"/>
      <c r="Q730" s="1293"/>
      <c r="R730" s="1293"/>
      <c r="S730" s="1293"/>
      <c r="T730" s="1293"/>
      <c r="U730" s="1293"/>
      <c r="V730" s="1293"/>
      <c r="W730" s="1293"/>
      <c r="X730" s="1293"/>
      <c r="Y730" s="1293"/>
      <c r="Z730" s="1293"/>
      <c r="AA730" s="1293"/>
      <c r="AB730" s="1293"/>
      <c r="AC730" s="1293"/>
      <c r="AD730" s="1293"/>
      <c r="AE730" s="1293"/>
      <c r="AF730" s="1293"/>
      <c r="AG730" s="1293"/>
      <c r="AH730" s="1293"/>
      <c r="AI730" s="1293"/>
      <c r="AJ730" s="1293"/>
      <c r="AK730" s="1293"/>
      <c r="AL730" s="1293"/>
      <c r="AM730" s="1293"/>
      <c r="AN730" s="1293"/>
      <c r="AO730" s="1293"/>
      <c r="AP730" s="1293"/>
      <c r="AQ730" s="1293"/>
      <c r="AR730" s="1293"/>
      <c r="AS730" s="1293"/>
      <c r="AT730" s="1293"/>
      <c r="AU730" s="1293"/>
      <c r="AV730" s="1293"/>
      <c r="AW730" s="1293"/>
      <c r="AX730" s="1293"/>
      <c r="AY730" s="1293"/>
      <c r="AZ730" s="1293"/>
      <c r="BA730" s="1293"/>
      <c r="BB730" s="1293"/>
      <c r="BC730" s="1293"/>
      <c r="BD730" s="1293"/>
      <c r="BE730" s="1293"/>
      <c r="BF730" s="1293"/>
      <c r="BG730" s="1293"/>
      <c r="BH730" s="1293"/>
      <c r="BI730" s="1293"/>
      <c r="BJ730" s="1293"/>
      <c r="BK730" s="1293"/>
      <c r="BL730" s="1293"/>
      <c r="BM730" s="1293"/>
      <c r="BN730" s="1293"/>
      <c r="BO730" s="1293"/>
      <c r="BP730" s="1293"/>
      <c r="BQ730" s="1293"/>
      <c r="BR730" s="1293"/>
      <c r="BS730" s="1293"/>
      <c r="BT730" s="1293"/>
      <c r="BU730" s="1293"/>
      <c r="BV730" s="1293"/>
      <c r="BW730" s="1293"/>
      <c r="BX730" s="1293"/>
      <c r="BY730" s="1293"/>
      <c r="BZ730" s="1293"/>
      <c r="CA730" s="1293"/>
      <c r="CB730" s="1293"/>
      <c r="CC730" s="1293"/>
      <c r="CD730" s="1293"/>
      <c r="CE730" s="1293"/>
      <c r="CF730" s="1293"/>
      <c r="CG730" s="1293"/>
    </row>
    <row r="731" spans="1:85" ht="15.75">
      <c r="A731" s="1293"/>
      <c r="B731" s="1293"/>
      <c r="C731" s="1293"/>
      <c r="D731" s="1293"/>
      <c r="E731" s="1293"/>
      <c r="F731" s="1293"/>
      <c r="G731" s="1293"/>
      <c r="H731" s="1293"/>
      <c r="I731" s="1293"/>
      <c r="J731" s="1293"/>
      <c r="K731" s="1293"/>
      <c r="L731" s="1293"/>
      <c r="M731" s="1293"/>
      <c r="N731" s="1293"/>
      <c r="O731" s="1293"/>
      <c r="P731" s="1293"/>
      <c r="Q731" s="1293"/>
      <c r="R731" s="1293"/>
      <c r="S731" s="1293"/>
      <c r="T731" s="1293"/>
      <c r="U731" s="1293"/>
      <c r="V731" s="1293"/>
      <c r="W731" s="1293"/>
      <c r="X731" s="1293"/>
      <c r="Y731" s="1293"/>
      <c r="Z731" s="1293"/>
      <c r="AA731" s="1293"/>
      <c r="AB731" s="1293"/>
      <c r="AC731" s="1293"/>
      <c r="AD731" s="1293"/>
      <c r="AE731" s="1293"/>
      <c r="AF731" s="1293"/>
      <c r="AG731" s="1293"/>
      <c r="AH731" s="1293"/>
      <c r="AI731" s="1293"/>
      <c r="AJ731" s="1293"/>
      <c r="AK731" s="1293"/>
      <c r="AL731" s="1293"/>
      <c r="AM731" s="1293"/>
      <c r="AN731" s="1293"/>
      <c r="AO731" s="1293"/>
      <c r="AP731" s="1293"/>
      <c r="AQ731" s="1293"/>
      <c r="AR731" s="1293"/>
      <c r="AS731" s="1293"/>
      <c r="AT731" s="1293"/>
      <c r="AU731" s="1293"/>
      <c r="AV731" s="1293"/>
      <c r="AW731" s="1293"/>
      <c r="AX731" s="1293"/>
      <c r="AY731" s="1293"/>
      <c r="AZ731" s="1293"/>
      <c r="BA731" s="1293"/>
      <c r="BB731" s="1293"/>
      <c r="BC731" s="1293"/>
      <c r="BD731" s="1293"/>
      <c r="BE731" s="1293"/>
      <c r="BF731" s="1293"/>
      <c r="BG731" s="1293"/>
      <c r="BH731" s="1293"/>
      <c r="BI731" s="1293"/>
      <c r="BJ731" s="1293"/>
      <c r="BK731" s="1293"/>
      <c r="BL731" s="1293"/>
      <c r="BM731" s="1293"/>
      <c r="BN731" s="1293"/>
      <c r="BO731" s="1293"/>
      <c r="BP731" s="1293"/>
      <c r="BQ731" s="1293"/>
      <c r="BR731" s="1293"/>
      <c r="BS731" s="1293"/>
      <c r="BT731" s="1293"/>
      <c r="BU731" s="1293"/>
      <c r="BV731" s="1293"/>
      <c r="BW731" s="1293"/>
      <c r="BX731" s="1293"/>
      <c r="BY731" s="1293"/>
      <c r="BZ731" s="1293"/>
      <c r="CA731" s="1293"/>
      <c r="CB731" s="1293"/>
      <c r="CC731" s="1293"/>
      <c r="CD731" s="1293"/>
      <c r="CE731" s="1293"/>
      <c r="CF731" s="1293"/>
      <c r="CG731" s="1293"/>
    </row>
    <row r="732" spans="1:85" ht="15.75">
      <c r="A732" s="1293"/>
      <c r="B732" s="1293"/>
      <c r="C732" s="1293"/>
      <c r="D732" s="1293"/>
      <c r="E732" s="1293"/>
      <c r="F732" s="1293"/>
      <c r="G732" s="1293"/>
      <c r="H732" s="1293"/>
      <c r="I732" s="1293"/>
      <c r="J732" s="1293"/>
      <c r="K732" s="1293"/>
      <c r="L732" s="1293"/>
      <c r="M732" s="1293"/>
      <c r="N732" s="1293"/>
      <c r="O732" s="1293"/>
      <c r="P732" s="1293"/>
      <c r="Q732" s="1293"/>
      <c r="R732" s="1293"/>
      <c r="S732" s="1293"/>
      <c r="T732" s="1293"/>
      <c r="U732" s="1293"/>
      <c r="V732" s="1293"/>
      <c r="W732" s="1293"/>
      <c r="X732" s="1293"/>
      <c r="Y732" s="1293"/>
      <c r="Z732" s="1293"/>
      <c r="AA732" s="1293"/>
      <c r="AB732" s="1293"/>
      <c r="AC732" s="1293"/>
      <c r="AD732" s="1293"/>
      <c r="AE732" s="1293"/>
      <c r="AF732" s="1293"/>
      <c r="AG732" s="1293"/>
      <c r="AH732" s="1293"/>
      <c r="AI732" s="1293"/>
      <c r="AJ732" s="1293"/>
      <c r="AK732" s="1293"/>
      <c r="AL732" s="1293"/>
      <c r="AM732" s="1293"/>
      <c r="AN732" s="1293"/>
      <c r="AO732" s="1293"/>
      <c r="AP732" s="1293"/>
      <c r="AQ732" s="1293"/>
      <c r="AR732" s="1293"/>
      <c r="AS732" s="1293"/>
      <c r="AT732" s="1293"/>
      <c r="AU732" s="1293"/>
      <c r="AV732" s="1293"/>
      <c r="AW732" s="1293"/>
      <c r="AX732" s="1293"/>
      <c r="AY732" s="1293"/>
      <c r="AZ732" s="1293"/>
      <c r="BA732" s="1293"/>
      <c r="BB732" s="1293"/>
      <c r="BC732" s="1293"/>
      <c r="BD732" s="1293"/>
      <c r="BE732" s="1293"/>
      <c r="BF732" s="1293"/>
      <c r="BG732" s="1293"/>
      <c r="BH732" s="1293"/>
      <c r="BI732" s="1293"/>
      <c r="BJ732" s="1293"/>
      <c r="BK732" s="1293"/>
      <c r="BL732" s="1293"/>
      <c r="BM732" s="1293"/>
      <c r="BN732" s="1293"/>
      <c r="BO732" s="1293"/>
      <c r="BP732" s="1293"/>
      <c r="BQ732" s="1293"/>
      <c r="BR732" s="1293"/>
      <c r="BS732" s="1293"/>
      <c r="BT732" s="1293"/>
      <c r="BU732" s="1293"/>
      <c r="BV732" s="1293"/>
      <c r="BW732" s="1293"/>
      <c r="BX732" s="1293"/>
      <c r="BY732" s="1293"/>
      <c r="BZ732" s="1293"/>
      <c r="CA732" s="1293"/>
      <c r="CB732" s="1293"/>
      <c r="CC732" s="1293"/>
      <c r="CD732" s="1293"/>
      <c r="CE732" s="1293"/>
      <c r="CF732" s="1293"/>
      <c r="CG732" s="1293"/>
    </row>
    <row r="733" spans="1:85" ht="15.75">
      <c r="A733" s="1293"/>
      <c r="B733" s="1293"/>
      <c r="C733" s="1293"/>
      <c r="D733" s="1293"/>
      <c r="E733" s="1293"/>
      <c r="F733" s="1293"/>
      <c r="G733" s="1293"/>
      <c r="H733" s="1293"/>
      <c r="I733" s="1293"/>
      <c r="J733" s="1293"/>
      <c r="K733" s="1293"/>
      <c r="L733" s="1293"/>
      <c r="M733" s="1293"/>
      <c r="N733" s="1293"/>
      <c r="O733" s="1293"/>
      <c r="P733" s="1293"/>
      <c r="Q733" s="1293"/>
      <c r="R733" s="1293"/>
      <c r="S733" s="1293"/>
      <c r="T733" s="1293"/>
      <c r="U733" s="1293"/>
      <c r="V733" s="1293"/>
      <c r="W733" s="1293"/>
      <c r="X733" s="1293"/>
      <c r="Y733" s="1293"/>
      <c r="Z733" s="1293"/>
      <c r="AA733" s="1293"/>
      <c r="AB733" s="1293"/>
      <c r="AC733" s="1293"/>
      <c r="AD733" s="1293"/>
      <c r="AE733" s="1293"/>
      <c r="AF733" s="1293"/>
      <c r="AG733" s="1293"/>
      <c r="AH733" s="1293"/>
      <c r="AI733" s="1293"/>
      <c r="AJ733" s="1293"/>
      <c r="AK733" s="1293"/>
      <c r="AL733" s="1293"/>
      <c r="AM733" s="1293"/>
      <c r="AN733" s="1293"/>
      <c r="AO733" s="1293"/>
      <c r="AP733" s="1293"/>
      <c r="AQ733" s="1293"/>
      <c r="AR733" s="1293"/>
      <c r="AS733" s="1293"/>
      <c r="AT733" s="1293"/>
      <c r="AU733" s="1293"/>
      <c r="AV733" s="1293"/>
      <c r="AW733" s="1293"/>
      <c r="AX733" s="1293"/>
      <c r="AY733" s="1293"/>
      <c r="AZ733" s="1293"/>
      <c r="BA733" s="1293"/>
      <c r="BB733" s="1293"/>
      <c r="BC733" s="1293"/>
      <c r="BD733" s="1293"/>
      <c r="BE733" s="1293"/>
      <c r="BF733" s="1293"/>
      <c r="BG733" s="1293"/>
      <c r="BH733" s="1293"/>
      <c r="BI733" s="1293"/>
      <c r="BJ733" s="1293"/>
      <c r="BK733" s="1293"/>
      <c r="BL733" s="1293"/>
      <c r="BM733" s="1293"/>
      <c r="BN733" s="1293"/>
      <c r="BO733" s="1293"/>
      <c r="BP733" s="1293"/>
      <c r="BQ733" s="1293"/>
      <c r="BR733" s="1293"/>
      <c r="BS733" s="1293"/>
      <c r="BT733" s="1293"/>
      <c r="BU733" s="1293"/>
      <c r="BV733" s="1293"/>
      <c r="BW733" s="1293"/>
      <c r="BX733" s="1293"/>
      <c r="BY733" s="1293"/>
      <c r="BZ733" s="1293"/>
      <c r="CA733" s="1293"/>
      <c r="CB733" s="1293"/>
      <c r="CC733" s="1293"/>
      <c r="CD733" s="1293"/>
      <c r="CE733" s="1293"/>
      <c r="CF733" s="1293"/>
      <c r="CG733" s="1293"/>
    </row>
    <row r="734" spans="1:85" ht="15.75">
      <c r="A734" s="1293"/>
      <c r="B734" s="1293"/>
      <c r="C734" s="1293"/>
      <c r="D734" s="1293"/>
      <c r="E734" s="1293"/>
      <c r="F734" s="1293"/>
      <c r="G734" s="1293"/>
      <c r="H734" s="1293"/>
      <c r="I734" s="1293"/>
      <c r="J734" s="1293"/>
      <c r="K734" s="1293"/>
      <c r="L734" s="1293"/>
      <c r="M734" s="1293"/>
      <c r="N734" s="1293"/>
      <c r="O734" s="1293"/>
      <c r="P734" s="1293"/>
      <c r="Q734" s="1293"/>
      <c r="R734" s="1293"/>
      <c r="S734" s="1293"/>
      <c r="T734" s="1293"/>
      <c r="U734" s="1293"/>
      <c r="V734" s="1293"/>
      <c r="W734" s="1293"/>
      <c r="X734" s="1293"/>
      <c r="Y734" s="1293"/>
      <c r="Z734" s="1293"/>
      <c r="AA734" s="1293"/>
      <c r="AB734" s="1293"/>
      <c r="AC734" s="1293"/>
      <c r="AD734" s="1293"/>
      <c r="AE734" s="1293"/>
      <c r="AF734" s="1293"/>
      <c r="AG734" s="1293"/>
      <c r="AH734" s="1293"/>
      <c r="AI734" s="1293"/>
      <c r="AJ734" s="1293"/>
      <c r="AK734" s="1293"/>
      <c r="AL734" s="1293"/>
      <c r="AM734" s="1293"/>
      <c r="AN734" s="1293"/>
      <c r="AO734" s="1293"/>
      <c r="AP734" s="1293"/>
      <c r="AQ734" s="1293"/>
      <c r="AR734" s="1293"/>
      <c r="AS734" s="1293"/>
      <c r="AT734" s="1293"/>
      <c r="AU734" s="1293"/>
      <c r="AV734" s="1293"/>
      <c r="AW734" s="1293"/>
      <c r="AX734" s="1293"/>
      <c r="AY734" s="1293"/>
      <c r="AZ734" s="1293"/>
      <c r="BA734" s="1293"/>
      <c r="BB734" s="1293"/>
      <c r="BC734" s="1293"/>
      <c r="BD734" s="1293"/>
      <c r="BE734" s="1293"/>
      <c r="BF734" s="1293"/>
      <c r="BG734" s="1293"/>
      <c r="BH734" s="1293"/>
      <c r="BI734" s="1293"/>
      <c r="BJ734" s="1293"/>
      <c r="BK734" s="1293"/>
      <c r="BL734" s="1293"/>
      <c r="BM734" s="1293"/>
      <c r="BN734" s="1293"/>
      <c r="BO734" s="1293"/>
      <c r="BP734" s="1293"/>
      <c r="BQ734" s="1293"/>
      <c r="BR734" s="1293"/>
      <c r="BS734" s="1293"/>
      <c r="BT734" s="1293"/>
      <c r="BU734" s="1293"/>
      <c r="BV734" s="1293"/>
      <c r="BW734" s="1293"/>
      <c r="BX734" s="1293"/>
      <c r="BY734" s="1293"/>
      <c r="BZ734" s="1293"/>
      <c r="CA734" s="1293"/>
      <c r="CB734" s="1293"/>
      <c r="CC734" s="1293"/>
      <c r="CD734" s="1293"/>
      <c r="CE734" s="1293"/>
      <c r="CF734" s="1293"/>
      <c r="CG734" s="1293"/>
    </row>
    <row r="735" spans="1:85" ht="15.75">
      <c r="A735" s="1293"/>
      <c r="B735" s="1293"/>
      <c r="C735" s="1293"/>
      <c r="D735" s="1293"/>
      <c r="E735" s="1293"/>
      <c r="F735" s="1293"/>
      <c r="G735" s="1293"/>
      <c r="H735" s="1293"/>
      <c r="I735" s="1293"/>
      <c r="J735" s="1293"/>
      <c r="K735" s="1293"/>
      <c r="L735" s="1293"/>
      <c r="M735" s="1293"/>
      <c r="N735" s="1293"/>
      <c r="O735" s="1293"/>
      <c r="P735" s="1293"/>
      <c r="Q735" s="1293"/>
      <c r="R735" s="1293"/>
      <c r="S735" s="1293"/>
      <c r="T735" s="1293"/>
      <c r="U735" s="1293"/>
      <c r="V735" s="1293"/>
      <c r="W735" s="1293"/>
      <c r="X735" s="1293"/>
      <c r="Y735" s="1293"/>
      <c r="Z735" s="1293"/>
      <c r="AA735" s="1293"/>
      <c r="AB735" s="1293"/>
      <c r="AC735" s="1293"/>
      <c r="AD735" s="1293"/>
      <c r="AE735" s="1293"/>
      <c r="AF735" s="1293"/>
      <c r="AG735" s="1293"/>
      <c r="AH735" s="1293"/>
      <c r="AI735" s="1293"/>
      <c r="AJ735" s="1293"/>
      <c r="AK735" s="1293"/>
      <c r="AL735" s="1293"/>
      <c r="AM735" s="1293"/>
      <c r="AN735" s="1293"/>
      <c r="AO735" s="1293"/>
      <c r="AP735" s="1293"/>
      <c r="AQ735" s="1293"/>
      <c r="AR735" s="1293"/>
      <c r="AS735" s="1293"/>
      <c r="AT735" s="1293"/>
      <c r="AU735" s="1293"/>
      <c r="AV735" s="1293"/>
      <c r="AW735" s="1293"/>
      <c r="AX735" s="1293"/>
      <c r="AY735" s="1293"/>
      <c r="AZ735" s="1293"/>
      <c r="BA735" s="1293"/>
      <c r="BB735" s="1293"/>
      <c r="BC735" s="1293"/>
      <c r="BD735" s="1293"/>
      <c r="BE735" s="1293"/>
      <c r="BF735" s="1293"/>
      <c r="BG735" s="1293"/>
      <c r="BH735" s="1293"/>
      <c r="BI735" s="1293"/>
      <c r="BJ735" s="1293"/>
      <c r="BK735" s="1293"/>
      <c r="BL735" s="1293"/>
      <c r="BM735" s="1293"/>
      <c r="BN735" s="1293"/>
      <c r="BO735" s="1293"/>
      <c r="BP735" s="1293"/>
      <c r="BQ735" s="1293"/>
      <c r="BR735" s="1293"/>
      <c r="BS735" s="1293"/>
      <c r="BT735" s="1293"/>
      <c r="BU735" s="1293"/>
      <c r="BV735" s="1293"/>
      <c r="BW735" s="1293"/>
      <c r="BX735" s="1293"/>
      <c r="BY735" s="1293"/>
      <c r="BZ735" s="1293"/>
      <c r="CA735" s="1293"/>
      <c r="CB735" s="1293"/>
      <c r="CC735" s="1293"/>
      <c r="CD735" s="1293"/>
      <c r="CE735" s="1293"/>
      <c r="CF735" s="1293"/>
      <c r="CG735" s="1293"/>
    </row>
    <row r="736" spans="1:85" ht="15.75">
      <c r="A736" s="1293"/>
      <c r="B736" s="1293"/>
      <c r="C736" s="1293"/>
      <c r="D736" s="1293"/>
      <c r="E736" s="1293"/>
      <c r="F736" s="1293"/>
      <c r="G736" s="1293"/>
      <c r="H736" s="1293"/>
      <c r="I736" s="1293"/>
      <c r="J736" s="1293"/>
      <c r="K736" s="1293"/>
      <c r="L736" s="1293"/>
      <c r="M736" s="1293"/>
      <c r="N736" s="1293"/>
      <c r="O736" s="1293"/>
      <c r="P736" s="1293"/>
      <c r="Q736" s="1293"/>
      <c r="R736" s="1293"/>
      <c r="S736" s="1293"/>
      <c r="T736" s="1293"/>
      <c r="U736" s="1293"/>
      <c r="V736" s="1293"/>
      <c r="W736" s="1293"/>
      <c r="X736" s="1293"/>
      <c r="Y736" s="1293"/>
      <c r="Z736" s="1293"/>
      <c r="AA736" s="1293"/>
      <c r="AB736" s="1293"/>
      <c r="AC736" s="1293"/>
      <c r="AD736" s="1293"/>
      <c r="AE736" s="1293"/>
      <c r="AF736" s="1293"/>
      <c r="AG736" s="1293"/>
      <c r="AH736" s="1293"/>
      <c r="AI736" s="1293"/>
      <c r="AJ736" s="1293"/>
      <c r="AK736" s="1293"/>
      <c r="AL736" s="1293"/>
      <c r="AM736" s="1293"/>
      <c r="AN736" s="1293"/>
      <c r="AO736" s="1293"/>
      <c r="AP736" s="1293"/>
      <c r="AQ736" s="1293"/>
      <c r="AR736" s="1293"/>
      <c r="AS736" s="1293"/>
      <c r="AT736" s="1293"/>
      <c r="AU736" s="1293"/>
      <c r="AV736" s="1293"/>
      <c r="AW736" s="1293"/>
      <c r="AX736" s="1293"/>
      <c r="AY736" s="1293"/>
      <c r="AZ736" s="1293"/>
      <c r="BA736" s="1293"/>
      <c r="BB736" s="1293"/>
      <c r="BC736" s="1293"/>
      <c r="BD736" s="1293"/>
      <c r="BE736" s="1293"/>
      <c r="BF736" s="1293"/>
      <c r="BG736" s="1293"/>
      <c r="BH736" s="1293"/>
      <c r="BI736" s="1293"/>
      <c r="BJ736" s="1293"/>
      <c r="BK736" s="1293"/>
      <c r="BL736" s="1293"/>
      <c r="BM736" s="1293"/>
      <c r="BN736" s="1293"/>
      <c r="BO736" s="1293"/>
      <c r="BP736" s="1293"/>
      <c r="BQ736" s="1293"/>
      <c r="BR736" s="1293"/>
      <c r="BS736" s="1293"/>
      <c r="BT736" s="1293"/>
      <c r="BU736" s="1293"/>
      <c r="BV736" s="1293"/>
      <c r="BW736" s="1293"/>
      <c r="BX736" s="1293"/>
      <c r="BY736" s="1293"/>
      <c r="BZ736" s="1293"/>
      <c r="CA736" s="1293"/>
      <c r="CB736" s="1293"/>
      <c r="CC736" s="1293"/>
      <c r="CD736" s="1293"/>
      <c r="CE736" s="1293"/>
      <c r="CF736" s="1293"/>
      <c r="CG736" s="1293"/>
    </row>
    <row r="737" spans="1:85" ht="15.75">
      <c r="A737" s="1293"/>
      <c r="B737" s="1293"/>
      <c r="C737" s="1293"/>
      <c r="D737" s="1293"/>
      <c r="E737" s="1293"/>
      <c r="F737" s="1293"/>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293"/>
      <c r="AH737" s="1293"/>
      <c r="AI737" s="1293"/>
      <c r="AJ737" s="1293"/>
      <c r="AK737" s="1293"/>
      <c r="AL737" s="1293"/>
      <c r="AM737" s="1293"/>
      <c r="AN737" s="1293"/>
      <c r="AO737" s="1293"/>
      <c r="AP737" s="1293"/>
      <c r="AQ737" s="1293"/>
      <c r="AR737" s="1293"/>
      <c r="AS737" s="1293"/>
      <c r="AT737" s="1293"/>
      <c r="AU737" s="1293"/>
      <c r="AV737" s="1293"/>
      <c r="AW737" s="1293"/>
      <c r="AX737" s="1293"/>
      <c r="AY737" s="1293"/>
      <c r="AZ737" s="1293"/>
      <c r="BA737" s="1293"/>
      <c r="BB737" s="1293"/>
      <c r="BC737" s="1293"/>
      <c r="BD737" s="1293"/>
      <c r="BE737" s="1293"/>
      <c r="BF737" s="1293"/>
      <c r="BG737" s="1293"/>
      <c r="BH737" s="1293"/>
      <c r="BI737" s="1293"/>
      <c r="BJ737" s="1293"/>
      <c r="BK737" s="1293"/>
      <c r="BL737" s="1293"/>
      <c r="BM737" s="1293"/>
      <c r="BN737" s="1293"/>
      <c r="BO737" s="1293"/>
      <c r="BP737" s="1293"/>
      <c r="BQ737" s="1293"/>
      <c r="BR737" s="1293"/>
      <c r="BS737" s="1293"/>
      <c r="BT737" s="1293"/>
      <c r="BU737" s="1293"/>
      <c r="BV737" s="1293"/>
      <c r="BW737" s="1293"/>
      <c r="BX737" s="1293"/>
      <c r="BY737" s="1293"/>
      <c r="BZ737" s="1293"/>
      <c r="CA737" s="1293"/>
      <c r="CB737" s="1293"/>
      <c r="CC737" s="1293"/>
      <c r="CD737" s="1293"/>
      <c r="CE737" s="1293"/>
      <c r="CF737" s="1293"/>
      <c r="CG737" s="1293"/>
    </row>
    <row r="748" spans="1:85">
      <c r="AN748">
        <f>AN2</f>
        <v>0</v>
      </c>
    </row>
    <row r="749" spans="1:85">
      <c r="AN749">
        <v>282</v>
      </c>
    </row>
    <row r="750" spans="1:85">
      <c r="AN750">
        <v>459</v>
      </c>
    </row>
    <row r="751" spans="1:85">
      <c r="AN751">
        <v>163</v>
      </c>
    </row>
    <row r="752" spans="1:85">
      <c r="AN752">
        <v>329</v>
      </c>
    </row>
    <row r="753" spans="40:40">
      <c r="AN753">
        <v>1646</v>
      </c>
    </row>
    <row r="754" spans="40:40">
      <c r="AN754">
        <v>1166</v>
      </c>
    </row>
    <row r="756" spans="40:40">
      <c r="AN756">
        <v>397</v>
      </c>
    </row>
  </sheetData>
  <pageMargins left="0.70866141732283472" right="0.70866141732283472" top="0.74803149606299213" bottom="0.74803149606299213" header="0.31496062992125984" footer="0.31496062992125984"/>
  <pageSetup paperSize="9" scale="21" fitToHeight="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pageSetUpPr fitToPage="1"/>
  </sheetPr>
  <dimension ref="A1:DL962"/>
  <sheetViews>
    <sheetView zoomScale="72" zoomScaleNormal="72" workbookViewId="0">
      <pane xSplit="2" ySplit="2" topLeftCell="BE550" activePane="bottomRight" state="frozen"/>
      <selection pane="topRight" activeCell="C1" sqref="C1"/>
      <selection pane="bottomLeft" activeCell="A3" sqref="A3"/>
      <selection pane="bottomRight" activeCell="A568" sqref="A568:XFD568"/>
    </sheetView>
  </sheetViews>
  <sheetFormatPr defaultRowHeight="15" outlineLevelRow="1" outlineLevelCol="1"/>
  <cols>
    <col min="2" max="2" width="32.140625" customWidth="1"/>
    <col min="3" max="17" width="9.7109375" customWidth="1" outlineLevel="1"/>
    <col min="18" max="18" width="9.7109375" customWidth="1" outlineLevel="1" collapsed="1"/>
    <col min="19" max="36" width="9.7109375" customWidth="1" outlineLevel="1"/>
    <col min="37" max="37" width="9.7109375" customWidth="1" outlineLevel="1" collapsed="1"/>
    <col min="38" max="41" width="9.7109375" customWidth="1" outlineLevel="1"/>
    <col min="42" max="66" width="9.7109375" customWidth="1"/>
    <col min="68" max="87" width="9.28515625" bestFit="1" customWidth="1"/>
    <col min="89" max="92" width="9.28515625" bestFit="1" customWidth="1"/>
    <col min="94" max="97" width="9.28515625" bestFit="1" customWidth="1"/>
    <col min="99" max="102" width="9.28515625" bestFit="1" customWidth="1"/>
    <col min="103" max="103" width="9.42578125" customWidth="1"/>
    <col min="104" max="104" width="9.28515625" bestFit="1" customWidth="1"/>
    <col min="105" max="105" width="9.42578125" customWidth="1"/>
    <col min="106" max="106" width="9.7109375" customWidth="1"/>
    <col min="116" max="116" width="9.85546875" bestFit="1" customWidth="1"/>
  </cols>
  <sheetData>
    <row r="1" spans="1:116" ht="15.75">
      <c r="A1" s="1293"/>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2029" t="s">
        <v>5648</v>
      </c>
      <c r="AC1" s="2029" t="s">
        <v>5647</v>
      </c>
      <c r="AD1" s="2029" t="s">
        <v>5648</v>
      </c>
      <c r="AE1" s="2029" t="s">
        <v>5647</v>
      </c>
      <c r="AF1" s="2029" t="s">
        <v>5648</v>
      </c>
      <c r="AG1" s="2029" t="s">
        <v>5647</v>
      </c>
      <c r="AH1" s="2029" t="s">
        <v>5648</v>
      </c>
      <c r="AI1" s="2029" t="s">
        <v>5647</v>
      </c>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2030" t="s">
        <v>6093</v>
      </c>
      <c r="CZ1" s="1293"/>
      <c r="DA1" s="2031"/>
      <c r="DB1" s="2032"/>
      <c r="DC1" s="1293"/>
      <c r="DD1" s="1293"/>
      <c r="DE1" s="1293"/>
      <c r="DF1" s="1293"/>
      <c r="DG1" s="1293"/>
      <c r="DH1" s="1293"/>
      <c r="DI1" s="1293"/>
      <c r="DJ1" s="1293"/>
      <c r="DK1" s="1293"/>
      <c r="DL1" s="1293"/>
    </row>
    <row r="2" spans="1:116" ht="15.75">
      <c r="A2" s="1293"/>
      <c r="B2" s="2033" t="s">
        <v>4427</v>
      </c>
      <c r="C2" s="1883" t="s">
        <v>3503</v>
      </c>
      <c r="D2" s="1883" t="s">
        <v>3591</v>
      </c>
      <c r="E2" s="1883" t="s">
        <v>3608</v>
      </c>
      <c r="F2" s="1883" t="s">
        <v>3662</v>
      </c>
      <c r="G2" s="2034" t="s">
        <v>3463</v>
      </c>
      <c r="H2" s="1883" t="s">
        <v>3699</v>
      </c>
      <c r="I2" s="1883" t="s">
        <v>3790</v>
      </c>
      <c r="J2" s="1883" t="s">
        <v>3814</v>
      </c>
      <c r="K2" s="1883" t="s">
        <v>3866</v>
      </c>
      <c r="L2" s="2034" t="s">
        <v>3690</v>
      </c>
      <c r="M2" s="1883" t="s">
        <v>4082</v>
      </c>
      <c r="N2" s="1883" t="s">
        <v>4254</v>
      </c>
      <c r="O2" s="1883" t="s">
        <v>4387</v>
      </c>
      <c r="P2" s="1883" t="s">
        <v>4571</v>
      </c>
      <c r="Q2" s="2034">
        <v>2016</v>
      </c>
      <c r="R2" s="1883" t="s">
        <v>4689</v>
      </c>
      <c r="S2" s="1883" t="s">
        <v>4761</v>
      </c>
      <c r="T2" s="1883" t="s">
        <v>4862</v>
      </c>
      <c r="U2" s="1883" t="s">
        <v>5039</v>
      </c>
      <c r="V2" s="2034">
        <v>2017</v>
      </c>
      <c r="W2" s="1883" t="s">
        <v>5040</v>
      </c>
      <c r="X2" s="1883" t="s">
        <v>5041</v>
      </c>
      <c r="Y2" s="1883" t="s">
        <v>5042</v>
      </c>
      <c r="Z2" s="1883" t="s">
        <v>5043</v>
      </c>
      <c r="AA2" s="2034">
        <v>2018</v>
      </c>
      <c r="AB2" s="1883" t="s">
        <v>5617</v>
      </c>
      <c r="AC2" s="1883" t="s">
        <v>5617</v>
      </c>
      <c r="AD2" s="1883" t="s">
        <v>5618</v>
      </c>
      <c r="AE2" s="1883" t="s">
        <v>5618</v>
      </c>
      <c r="AF2" s="1883" t="s">
        <v>5619</v>
      </c>
      <c r="AG2" s="1883" t="s">
        <v>5619</v>
      </c>
      <c r="AH2" s="1883" t="s">
        <v>5620</v>
      </c>
      <c r="AI2" s="1883" t="s">
        <v>5620</v>
      </c>
      <c r="AJ2" s="2034">
        <v>2019</v>
      </c>
      <c r="AK2" s="1883" t="s">
        <v>5797</v>
      </c>
      <c r="AL2" s="1883" t="s">
        <v>5798</v>
      </c>
      <c r="AM2" s="1883" t="s">
        <v>5799</v>
      </c>
      <c r="AN2" s="1883" t="s">
        <v>5800</v>
      </c>
      <c r="AO2" s="2034">
        <v>2020</v>
      </c>
      <c r="AP2" s="1883" t="s">
        <v>7045</v>
      </c>
      <c r="AQ2" s="1883" t="s">
        <v>7046</v>
      </c>
      <c r="AR2" s="1883" t="s">
        <v>7047</v>
      </c>
      <c r="AS2" s="1883" t="s">
        <v>7048</v>
      </c>
      <c r="AT2" s="2034">
        <v>2021</v>
      </c>
      <c r="AU2" s="1883" t="s">
        <v>7410</v>
      </c>
      <c r="AV2" s="1883" t="s">
        <v>7293</v>
      </c>
      <c r="AW2" s="1883" t="s">
        <v>7411</v>
      </c>
      <c r="AX2" s="1883" t="s">
        <v>7412</v>
      </c>
      <c r="AY2" s="2034">
        <v>2022</v>
      </c>
      <c r="AZ2" s="1883" t="s">
        <v>7993</v>
      </c>
      <c r="BA2" s="1883" t="s">
        <v>8245</v>
      </c>
      <c r="BB2" s="1883" t="s">
        <v>8510</v>
      </c>
      <c r="BC2" s="1883" t="s">
        <v>8529</v>
      </c>
      <c r="BD2" s="2034">
        <v>2023</v>
      </c>
      <c r="BE2" s="1883" t="s">
        <v>8649</v>
      </c>
      <c r="BF2" s="1883" t="s">
        <v>8887</v>
      </c>
      <c r="BG2" s="1883" t="s">
        <v>9020</v>
      </c>
      <c r="BH2" s="1883" t="s">
        <v>9124</v>
      </c>
      <c r="BI2" s="2034">
        <v>2024</v>
      </c>
      <c r="BJ2" s="1883" t="s">
        <v>9157</v>
      </c>
      <c r="BK2" s="1732" t="s">
        <v>9158</v>
      </c>
      <c r="BL2" s="1732" t="s">
        <v>9159</v>
      </c>
      <c r="BM2" s="1732" t="s">
        <v>9160</v>
      </c>
      <c r="BN2" s="2034">
        <v>2025</v>
      </c>
      <c r="BO2" s="1323"/>
      <c r="BP2" s="1323"/>
      <c r="BQ2" s="2035"/>
      <c r="BR2" s="1293"/>
      <c r="BS2" s="1293"/>
      <c r="BT2" s="1293"/>
      <c r="BU2" s="1293"/>
      <c r="BV2" s="1293"/>
      <c r="BW2" s="1293"/>
      <c r="BX2" s="1293"/>
      <c r="BY2" s="1293"/>
      <c r="BZ2" s="1293"/>
      <c r="CA2" s="1293"/>
      <c r="CB2" s="1293"/>
      <c r="CC2" s="1293"/>
      <c r="CD2" s="1293"/>
      <c r="CE2" s="1293"/>
      <c r="CF2" s="1293"/>
      <c r="CG2" s="1293"/>
      <c r="CH2" s="1293"/>
      <c r="CI2" s="1293"/>
      <c r="CJ2" s="1293"/>
      <c r="CK2" s="1293"/>
      <c r="CL2" s="1293"/>
      <c r="CM2" s="1293"/>
      <c r="CN2" s="1293"/>
      <c r="CO2" s="1293"/>
      <c r="CP2" s="1293"/>
      <c r="CQ2" s="1293"/>
      <c r="CR2" s="1293"/>
      <c r="CS2" s="1293"/>
      <c r="CT2" s="1293"/>
      <c r="CU2" s="1293"/>
      <c r="CV2" s="1293"/>
      <c r="CW2" s="1293"/>
      <c r="CX2" s="1293"/>
      <c r="CY2" s="2036" t="s">
        <v>7795</v>
      </c>
      <c r="CZ2" s="1883" t="s">
        <v>7794</v>
      </c>
      <c r="DA2" s="2037" t="s">
        <v>8571</v>
      </c>
      <c r="DB2" s="2038" t="s">
        <v>8572</v>
      </c>
      <c r="DC2" s="1293"/>
      <c r="DD2" s="1293"/>
      <c r="DE2" s="1293"/>
      <c r="DF2" s="1293"/>
      <c r="DG2" s="1293"/>
      <c r="DH2" s="1293"/>
      <c r="DI2" s="1293"/>
      <c r="DJ2" s="1293"/>
      <c r="DK2" s="1293"/>
      <c r="DL2" s="1293"/>
    </row>
    <row r="3" spans="1:116" ht="15.75">
      <c r="A3" s="1293"/>
      <c r="B3" s="1293" t="s">
        <v>2376</v>
      </c>
      <c r="C3" s="1699">
        <v>109.98287406</v>
      </c>
      <c r="D3" s="1699">
        <v>111.18726886</v>
      </c>
      <c r="E3" s="1699">
        <v>109.14958732000001</v>
      </c>
      <c r="F3" s="1699">
        <v>114.7815171</v>
      </c>
      <c r="G3" s="2039">
        <v>445.10124733999999</v>
      </c>
      <c r="H3" s="1699">
        <v>111.32269108999999</v>
      </c>
      <c r="I3" s="1699">
        <v>112.37097544</v>
      </c>
      <c r="J3" s="1699">
        <v>111.31777834</v>
      </c>
      <c r="K3" s="1699">
        <v>114.68917062</v>
      </c>
      <c r="L3" s="2039">
        <v>449.70061549000002</v>
      </c>
      <c r="M3" s="1699">
        <v>107.92572611</v>
      </c>
      <c r="N3" s="1699">
        <v>106.51036797</v>
      </c>
      <c r="O3" s="1699">
        <v>105.173674200001</v>
      </c>
      <c r="P3" s="1699">
        <v>106</v>
      </c>
      <c r="Q3" s="2039">
        <f>SUM(M3:P3)</f>
        <v>425.60976828000099</v>
      </c>
      <c r="R3" s="1699">
        <v>102</v>
      </c>
      <c r="S3" s="1699">
        <v>106</v>
      </c>
      <c r="T3" s="1699">
        <v>105</v>
      </c>
      <c r="U3" s="1699">
        <v>110</v>
      </c>
      <c r="V3" s="2039">
        <f>SUM(R3:U3)</f>
        <v>423</v>
      </c>
      <c r="W3" s="1699">
        <v>104</v>
      </c>
      <c r="X3" s="1699">
        <v>103</v>
      </c>
      <c r="Y3" s="1699">
        <v>98</v>
      </c>
      <c r="Z3" s="1699">
        <v>101</v>
      </c>
      <c r="AA3" s="2039">
        <f>SUM(W3:Z3)</f>
        <v>406</v>
      </c>
      <c r="AB3" s="1699">
        <f>AC3</f>
        <v>96</v>
      </c>
      <c r="AC3" s="1699">
        <v>96</v>
      </c>
      <c r="AD3" s="1699">
        <f>AE3</f>
        <v>97</v>
      </c>
      <c r="AE3" s="1699">
        <v>97</v>
      </c>
      <c r="AF3" s="1699">
        <f>AG3</f>
        <v>95</v>
      </c>
      <c r="AG3" s="1699">
        <v>95</v>
      </c>
      <c r="AH3" s="1699">
        <f>AI3</f>
        <v>98</v>
      </c>
      <c r="AI3" s="1699">
        <v>98</v>
      </c>
      <c r="AJ3" s="2039">
        <f>AB3+AD3+AF3+AH3</f>
        <v>386</v>
      </c>
      <c r="AK3" s="1995">
        <v>96</v>
      </c>
      <c r="AL3" s="1995">
        <v>88</v>
      </c>
      <c r="AM3" s="1995">
        <v>96</v>
      </c>
      <c r="AN3" s="1995">
        <v>110</v>
      </c>
      <c r="AO3" s="2039">
        <f t="shared" ref="AO3:AO10" si="0">AK3+AL3+AM3+AN3</f>
        <v>390</v>
      </c>
      <c r="AP3" s="1503">
        <v>107</v>
      </c>
      <c r="AQ3" s="1503">
        <v>109</v>
      </c>
      <c r="AR3" s="1503">
        <v>111</v>
      </c>
      <c r="AS3" s="1503">
        <v>120</v>
      </c>
      <c r="AT3" s="2161">
        <f t="shared" ref="AT3:AT10" si="1">AP3+AQ3+AR3+AS3</f>
        <v>447</v>
      </c>
      <c r="AU3" s="1503">
        <v>117</v>
      </c>
      <c r="AV3" s="1503">
        <v>117.07</v>
      </c>
      <c r="AW3" s="1503">
        <v>115.88</v>
      </c>
      <c r="AX3" s="1503">
        <v>126</v>
      </c>
      <c r="AY3" s="2161">
        <f t="shared" ref="AY3:AY10" si="2">AU3+AV3+AW3+AX3</f>
        <v>475.95</v>
      </c>
      <c r="AZ3" s="1503">
        <v>119</v>
      </c>
      <c r="BA3" s="1503">
        <v>122</v>
      </c>
      <c r="BB3" s="1503">
        <v>122.901</v>
      </c>
      <c r="BC3" s="1503">
        <v>125.32</v>
      </c>
      <c r="BD3" s="2161">
        <f t="shared" ref="BD3:BD10" si="3">AZ3+BA3+BB3+BC3</f>
        <v>489.221</v>
      </c>
      <c r="BE3" s="1503">
        <v>126.58929999999999</v>
      </c>
      <c r="BF3" s="1503">
        <v>123.5446</v>
      </c>
      <c r="BG3" s="1503">
        <v>125.0155</v>
      </c>
      <c r="BH3" s="1503">
        <v>120.5526</v>
      </c>
      <c r="BI3" s="2161">
        <f t="shared" ref="BI3:BI10" si="4">BE3+BF3+BG3+BH3</f>
        <v>495.702</v>
      </c>
      <c r="BJ3" s="1327">
        <f>BJ39+BJ76</f>
        <v>125.31633349999998</v>
      </c>
      <c r="BK3" s="1327">
        <f>BK39+BK76</f>
        <v>126.758337</v>
      </c>
      <c r="BL3" s="1327">
        <f>BL39+BL76</f>
        <v>126.95471250099999</v>
      </c>
      <c r="BM3" s="1327">
        <f>BN3-BJ3-BK3-BL3</f>
        <v>125.63261699900008</v>
      </c>
      <c r="BN3" s="2161">
        <f>'New split'!O5</f>
        <v>504.66200000000003</v>
      </c>
      <c r="BO3" s="1699"/>
      <c r="BP3" s="1699"/>
      <c r="BQ3" s="2040"/>
      <c r="BR3" s="1293"/>
      <c r="BS3" s="1293"/>
      <c r="BT3" s="1293"/>
      <c r="BU3" s="1293"/>
      <c r="BV3" s="1293"/>
      <c r="BW3" s="1293"/>
      <c r="BX3" s="1293"/>
      <c r="BY3" s="1293"/>
      <c r="BZ3" s="1293"/>
      <c r="CA3" s="1293"/>
      <c r="CB3" s="1293"/>
      <c r="CC3" s="1293"/>
      <c r="CD3" s="1293"/>
      <c r="CE3" s="1293"/>
      <c r="CF3" s="1293"/>
      <c r="CG3" s="1293"/>
      <c r="CH3" s="1293"/>
      <c r="CI3" s="1293"/>
      <c r="CJ3" s="1293"/>
      <c r="CK3" s="1293"/>
      <c r="CL3" s="1293"/>
      <c r="CM3" s="1293"/>
      <c r="CN3" s="1293"/>
      <c r="CO3" s="1293"/>
      <c r="CP3" s="1293"/>
      <c r="CQ3" s="1293"/>
      <c r="CR3" s="1293"/>
      <c r="CS3" s="1293"/>
      <c r="CT3" s="1293"/>
      <c r="CU3" s="1293"/>
      <c r="CV3" s="1293"/>
      <c r="CW3" s="1293"/>
      <c r="CX3" s="1293"/>
      <c r="CY3" s="2041">
        <v>129.21139999999997</v>
      </c>
      <c r="CZ3" s="1699">
        <f>CZ39+CZ76</f>
        <v>122.02677000000001</v>
      </c>
      <c r="DA3" s="2042">
        <v>124.2</v>
      </c>
      <c r="DB3" s="2041">
        <v>125.1078</v>
      </c>
      <c r="DC3" s="1293"/>
      <c r="DD3" s="1293"/>
      <c r="DE3" s="1293"/>
      <c r="DF3" s="1293"/>
      <c r="DG3" s="1293"/>
      <c r="DH3" s="1293"/>
      <c r="DI3" s="1293"/>
      <c r="DJ3" s="1293"/>
      <c r="DK3" s="1293"/>
      <c r="DL3" s="1293"/>
    </row>
    <row r="4" spans="1:116" ht="15.75">
      <c r="A4" s="1293"/>
      <c r="B4" s="1293" t="s">
        <v>2379</v>
      </c>
      <c r="C4" s="1699">
        <v>302.15271071883501</v>
      </c>
      <c r="D4" s="1699">
        <v>309.70306733400298</v>
      </c>
      <c r="E4" s="1699">
        <v>306.72242897248401</v>
      </c>
      <c r="F4" s="1699">
        <v>328.84600891192599</v>
      </c>
      <c r="G4" s="2039">
        <v>1247.4242159372479</v>
      </c>
      <c r="H4" s="1699">
        <v>317.46706765357499</v>
      </c>
      <c r="I4" s="1699">
        <v>321.848891169686</v>
      </c>
      <c r="J4" s="1699">
        <v>325.914808585294</v>
      </c>
      <c r="K4" s="1699">
        <v>340.47425310157098</v>
      </c>
      <c r="L4" s="2039">
        <v>1305.7050205101259</v>
      </c>
      <c r="M4" s="1699">
        <v>320.02120937574102</v>
      </c>
      <c r="N4" s="1699">
        <v>322.33297129244897</v>
      </c>
      <c r="O4" s="1699">
        <v>312.08324043568103</v>
      </c>
      <c r="P4" s="1699">
        <v>330</v>
      </c>
      <c r="Q4" s="2039">
        <f>SUM(M4:P4)</f>
        <v>1284.437421103871</v>
      </c>
      <c r="R4" s="1699">
        <v>320</v>
      </c>
      <c r="S4" s="1699">
        <v>325</v>
      </c>
      <c r="T4" s="1699">
        <v>333</v>
      </c>
      <c r="U4" s="1699">
        <v>349</v>
      </c>
      <c r="V4" s="2039">
        <f>SUM(R4:U4)</f>
        <v>1327</v>
      </c>
      <c r="W4" s="1699">
        <v>335</v>
      </c>
      <c r="X4" s="1699">
        <v>339</v>
      </c>
      <c r="Y4" s="1699">
        <v>341</v>
      </c>
      <c r="Z4" s="1699">
        <v>358</v>
      </c>
      <c r="AA4" s="2039">
        <f>SUM(W4:Z4)</f>
        <v>1373</v>
      </c>
      <c r="AB4" s="1699">
        <f>AC4</f>
        <v>343</v>
      </c>
      <c r="AC4" s="1699">
        <v>343</v>
      </c>
      <c r="AD4" s="1699">
        <f>AE4</f>
        <v>355</v>
      </c>
      <c r="AE4" s="1699">
        <v>355</v>
      </c>
      <c r="AF4" s="1699">
        <f>AG4</f>
        <v>359</v>
      </c>
      <c r="AG4" s="1699">
        <v>359</v>
      </c>
      <c r="AH4" s="1699">
        <f>AI4</f>
        <v>378</v>
      </c>
      <c r="AI4" s="1699">
        <v>378</v>
      </c>
      <c r="AJ4" s="2039">
        <f>AB4+AD4+AF4+AH4</f>
        <v>1435</v>
      </c>
      <c r="AK4" s="1995">
        <v>369</v>
      </c>
      <c r="AL4" s="1995">
        <v>357</v>
      </c>
      <c r="AM4" s="1995">
        <v>380</v>
      </c>
      <c r="AN4" s="1995">
        <v>397</v>
      </c>
      <c r="AO4" s="2039">
        <f t="shared" si="0"/>
        <v>1503</v>
      </c>
      <c r="AP4" s="1503">
        <v>389</v>
      </c>
      <c r="AQ4" s="1503">
        <v>401</v>
      </c>
      <c r="AR4" s="1503">
        <v>400</v>
      </c>
      <c r="AS4" s="1503">
        <v>410</v>
      </c>
      <c r="AT4" s="2161">
        <f t="shared" si="1"/>
        <v>1600</v>
      </c>
      <c r="AU4" s="1503">
        <v>393.67439999999999</v>
      </c>
      <c r="AV4" s="1503">
        <v>420.57589999999999</v>
      </c>
      <c r="AW4" s="1503">
        <v>399.6234</v>
      </c>
      <c r="AX4" s="1503">
        <v>404.5213</v>
      </c>
      <c r="AY4" s="2161">
        <f t="shared" si="2"/>
        <v>1618.395</v>
      </c>
      <c r="AZ4" s="1503">
        <v>395.60410000000002</v>
      </c>
      <c r="BA4" s="1503">
        <v>392.92219999999998</v>
      </c>
      <c r="BB4" s="1503">
        <v>382.65350000000001</v>
      </c>
      <c r="BC4" s="1503">
        <v>393.28280000000001</v>
      </c>
      <c r="BD4" s="2161">
        <f t="shared" si="3"/>
        <v>1564.4625999999998</v>
      </c>
      <c r="BE4" s="1503">
        <v>398.44310000000002</v>
      </c>
      <c r="BF4" s="1503">
        <v>399.29969999999997</v>
      </c>
      <c r="BG4" s="1503">
        <v>399.66340000000002</v>
      </c>
      <c r="BH4" s="1503">
        <v>405.60500000000002</v>
      </c>
      <c r="BI4" s="2161">
        <f t="shared" si="4"/>
        <v>1603.0111999999999</v>
      </c>
      <c r="BJ4" s="1327">
        <f t="shared" ref="BJ4:BK8" si="5">BJ40+BJ77</f>
        <v>407.67073335963636</v>
      </c>
      <c r="BK4" s="1327">
        <f t="shared" si="5"/>
        <v>412.81182096633631</v>
      </c>
      <c r="BL4" s="1327">
        <f t="shared" ref="BL4" si="6">BL40+BL77</f>
        <v>413.60742916337665</v>
      </c>
      <c r="BM4" s="1327">
        <f t="shared" ref="BM4:BM8" si="7">BN4-BJ4-BK4-BL4</f>
        <v>418.29889815740398</v>
      </c>
      <c r="BN4" s="2161">
        <f>'New split'!O6</f>
        <v>1652.3888816467534</v>
      </c>
      <c r="BO4" s="1699"/>
      <c r="BP4" s="1699"/>
      <c r="BQ4" s="2040"/>
      <c r="BR4" s="1293"/>
      <c r="BS4" s="1293"/>
      <c r="BT4" s="1293"/>
      <c r="BU4" s="1293"/>
      <c r="BV4" s="1293"/>
      <c r="BW4" s="1293"/>
      <c r="BX4" s="1293"/>
      <c r="BY4" s="1293"/>
      <c r="BZ4" s="1293"/>
      <c r="CA4" s="1293"/>
      <c r="CB4" s="1293"/>
      <c r="CC4" s="1293"/>
      <c r="CD4" s="1293"/>
      <c r="CE4" s="1293"/>
      <c r="CF4" s="1293"/>
      <c r="CG4" s="1293"/>
      <c r="CH4" s="1293"/>
      <c r="CI4" s="1293"/>
      <c r="CJ4" s="1293"/>
      <c r="CK4" s="1293"/>
      <c r="CL4" s="1293"/>
      <c r="CM4" s="1293"/>
      <c r="CN4" s="1293"/>
      <c r="CO4" s="1293"/>
      <c r="CP4" s="1293"/>
      <c r="CQ4" s="1293"/>
      <c r="CR4" s="1293"/>
      <c r="CS4" s="1293"/>
      <c r="CT4" s="1293"/>
      <c r="CU4" s="1293"/>
      <c r="CV4" s="1293"/>
      <c r="CW4" s="1293"/>
      <c r="CX4" s="1293"/>
      <c r="CY4" s="2041">
        <v>388.76293811758131</v>
      </c>
      <c r="CZ4" s="1699">
        <f>CZ40+CZ77</f>
        <v>398.8311107927816</v>
      </c>
      <c r="DA4" s="2042">
        <v>401.32378135364712</v>
      </c>
      <c r="DB4" s="2041">
        <v>401.77691448421058</v>
      </c>
      <c r="DC4" s="1293"/>
      <c r="DD4" s="1293"/>
      <c r="DE4" s="1293"/>
      <c r="DF4" s="1293"/>
      <c r="DG4" s="1293"/>
      <c r="DH4" s="1293"/>
      <c r="DI4" s="1293"/>
      <c r="DJ4" s="1293"/>
      <c r="DK4" s="1293"/>
      <c r="DL4" s="1293"/>
    </row>
    <row r="5" spans="1:116" ht="15.75">
      <c r="A5" s="1293"/>
      <c r="B5" s="1293" t="s">
        <v>9023</v>
      </c>
      <c r="C5" s="1699">
        <v>154.51392923959</v>
      </c>
      <c r="D5" s="1699">
        <v>155.90710360632701</v>
      </c>
      <c r="E5" s="1699">
        <v>155.04381585116201</v>
      </c>
      <c r="F5" s="1699">
        <v>165.02715626050801</v>
      </c>
      <c r="G5" s="2039">
        <v>630.49200495758703</v>
      </c>
      <c r="H5" s="1699">
        <v>165.36983895109</v>
      </c>
      <c r="I5" s="1699">
        <v>162.880878757841</v>
      </c>
      <c r="J5" s="1699">
        <v>160.16588956408901</v>
      </c>
      <c r="K5" s="1699">
        <v>161.00947315857098</v>
      </c>
      <c r="L5" s="2039">
        <v>649.426080431591</v>
      </c>
      <c r="M5" s="1699">
        <v>156.435777384191</v>
      </c>
      <c r="N5" s="1699">
        <v>154.140844545373</v>
      </c>
      <c r="O5" s="1699">
        <v>148.54064716130699</v>
      </c>
      <c r="P5" s="1699">
        <v>150</v>
      </c>
      <c r="Q5" s="2039">
        <f>SUM(M5:P5)</f>
        <v>609.11726909087099</v>
      </c>
      <c r="R5" s="1699">
        <v>147</v>
      </c>
      <c r="S5" s="1699">
        <v>148</v>
      </c>
      <c r="T5" s="1699">
        <v>143</v>
      </c>
      <c r="U5" s="1699">
        <v>147</v>
      </c>
      <c r="V5" s="2039">
        <f>SUM(R5:U5)</f>
        <v>585</v>
      </c>
      <c r="W5" s="1699">
        <v>145</v>
      </c>
      <c r="X5" s="1699">
        <v>146</v>
      </c>
      <c r="Y5" s="1699">
        <v>144</v>
      </c>
      <c r="Z5" s="1699">
        <v>151</v>
      </c>
      <c r="AA5" s="2039">
        <f>SUM(W5:Z5)</f>
        <v>586</v>
      </c>
      <c r="AB5" s="1699">
        <f>AC5</f>
        <v>147</v>
      </c>
      <c r="AC5" s="1699">
        <v>147</v>
      </c>
      <c r="AD5" s="1699">
        <f>AE5</f>
        <v>148</v>
      </c>
      <c r="AE5" s="1699">
        <v>148</v>
      </c>
      <c r="AF5" s="1699">
        <f>AG5</f>
        <v>147</v>
      </c>
      <c r="AG5" s="1699">
        <v>147</v>
      </c>
      <c r="AH5" s="1699">
        <f>AI5</f>
        <v>152</v>
      </c>
      <c r="AI5" s="1699">
        <v>152</v>
      </c>
      <c r="AJ5" s="2039">
        <f>AB5+AD5+AF5+AH5</f>
        <v>594</v>
      </c>
      <c r="AK5" s="1995">
        <v>141</v>
      </c>
      <c r="AL5" s="1995">
        <v>124</v>
      </c>
      <c r="AM5" s="1995">
        <v>137</v>
      </c>
      <c r="AN5" s="1995">
        <v>150</v>
      </c>
      <c r="AO5" s="2039">
        <f t="shared" si="0"/>
        <v>552</v>
      </c>
      <c r="AP5" s="1503">
        <v>146</v>
      </c>
      <c r="AQ5" s="1503">
        <v>148</v>
      </c>
      <c r="AR5" s="1503">
        <v>146</v>
      </c>
      <c r="AS5" s="1503">
        <v>149</v>
      </c>
      <c r="AT5" s="2161">
        <f t="shared" si="1"/>
        <v>589</v>
      </c>
      <c r="AU5" s="1503">
        <v>142</v>
      </c>
      <c r="AV5" s="1503">
        <v>145.43</v>
      </c>
      <c r="AW5" s="1503">
        <v>146</v>
      </c>
      <c r="AX5" s="1503">
        <v>152</v>
      </c>
      <c r="AY5" s="2161">
        <f t="shared" si="2"/>
        <v>585.43000000000006</v>
      </c>
      <c r="AZ5" s="1503">
        <v>150</v>
      </c>
      <c r="BA5" s="1503">
        <v>152</v>
      </c>
      <c r="BB5" s="1503">
        <v>154</v>
      </c>
      <c r="BC5" s="1503">
        <v>155.50200000000001</v>
      </c>
      <c r="BD5" s="2161">
        <f t="shared" si="3"/>
        <v>611.50199999999995</v>
      </c>
      <c r="BE5" s="1503">
        <v>153</v>
      </c>
      <c r="BF5" s="1503">
        <v>154</v>
      </c>
      <c r="BG5" s="1503">
        <v>152.8075</v>
      </c>
      <c r="BH5" s="1503">
        <v>157.92789999999999</v>
      </c>
      <c r="BI5" s="2161">
        <f t="shared" si="4"/>
        <v>617.73540000000003</v>
      </c>
      <c r="BJ5" s="1327">
        <f t="shared" si="5"/>
        <v>151.79536574996874</v>
      </c>
      <c r="BK5" s="1327">
        <f t="shared" si="5"/>
        <v>151.88306028892183</v>
      </c>
      <c r="BL5" s="1327">
        <f t="shared" ref="BL5" si="8">BL41+BL78</f>
        <v>153.55168328678707</v>
      </c>
      <c r="BM5" s="1327">
        <f t="shared" si="7"/>
        <v>156.97655211963473</v>
      </c>
      <c r="BN5" s="2161">
        <f>'New split'!O7</f>
        <v>614.20666144531231</v>
      </c>
      <c r="BO5" s="1699"/>
      <c r="BP5" s="1699"/>
      <c r="BQ5" s="2040"/>
      <c r="BR5" s="1293"/>
      <c r="BS5" s="1293"/>
      <c r="BT5" s="1293"/>
      <c r="BU5" s="1293"/>
      <c r="BV5" s="1293"/>
      <c r="BW5" s="1293"/>
      <c r="BX5" s="1293"/>
      <c r="BY5" s="1293"/>
      <c r="BZ5" s="1293"/>
      <c r="CA5" s="1293"/>
      <c r="CB5" s="1293"/>
      <c r="CC5" s="1293"/>
      <c r="CD5" s="1293"/>
      <c r="CE5" s="1293"/>
      <c r="CF5" s="1293"/>
      <c r="CG5" s="1293"/>
      <c r="CH5" s="1293"/>
      <c r="CI5" s="1293"/>
      <c r="CJ5" s="1293"/>
      <c r="CK5" s="1293"/>
      <c r="CL5" s="1293"/>
      <c r="CM5" s="1293"/>
      <c r="CN5" s="1293"/>
      <c r="CO5" s="1293"/>
      <c r="CP5" s="1293"/>
      <c r="CQ5" s="1293"/>
      <c r="CR5" s="1293"/>
      <c r="CS5" s="1293"/>
      <c r="CT5" s="1293"/>
      <c r="CU5" s="1293"/>
      <c r="CV5" s="1293"/>
      <c r="CW5" s="1293"/>
      <c r="CX5" s="1293"/>
      <c r="CY5" s="2043">
        <v>159.93091301774919</v>
      </c>
      <c r="CZ5" s="2044">
        <f>CZ41+CZ78</f>
        <v>148.42041256699324</v>
      </c>
      <c r="DA5" s="2045">
        <v>154.94822159843488</v>
      </c>
      <c r="DB5" s="2041">
        <v>158.71740596072016</v>
      </c>
      <c r="DC5" s="1293"/>
      <c r="DD5" s="1293"/>
      <c r="DE5" s="1293"/>
      <c r="DF5" s="1293"/>
      <c r="DG5" s="1293"/>
      <c r="DH5" s="1293"/>
      <c r="DI5" s="1293"/>
      <c r="DJ5" s="1293"/>
      <c r="DK5" s="1293"/>
      <c r="DL5" s="1293"/>
    </row>
    <row r="6" spans="1:116" ht="15.75">
      <c r="A6" s="1293"/>
      <c r="B6" s="1293" t="s">
        <v>2032</v>
      </c>
      <c r="C6" s="1699"/>
      <c r="D6" s="1699"/>
      <c r="E6" s="1699"/>
      <c r="F6" s="1699"/>
      <c r="G6" s="2039"/>
      <c r="H6" s="1699"/>
      <c r="I6" s="1699"/>
      <c r="J6" s="1699"/>
      <c r="K6" s="1699"/>
      <c r="L6" s="2039"/>
      <c r="M6" s="1699"/>
      <c r="N6" s="1699"/>
      <c r="O6" s="1699"/>
      <c r="P6" s="1699"/>
      <c r="Q6" s="2039"/>
      <c r="R6" s="2046">
        <v>88.9</v>
      </c>
      <c r="S6" s="2046">
        <v>93</v>
      </c>
      <c r="T6" s="2046">
        <v>95</v>
      </c>
      <c r="U6" s="2046">
        <v>97.2</v>
      </c>
      <c r="V6" s="2047"/>
      <c r="W6" s="2046">
        <v>94.9</v>
      </c>
      <c r="X6" s="2046">
        <v>100.2</v>
      </c>
      <c r="Y6" s="2046">
        <v>100.9</v>
      </c>
      <c r="Z6" s="2046">
        <v>17.7</v>
      </c>
      <c r="AA6" s="2039">
        <f>Z6</f>
        <v>17.7</v>
      </c>
      <c r="AB6" s="1699">
        <f>AC6</f>
        <v>100</v>
      </c>
      <c r="AC6" s="1699">
        <v>100</v>
      </c>
      <c r="AD6" s="1699">
        <f>AE6</f>
        <v>99</v>
      </c>
      <c r="AE6" s="1699">
        <v>99</v>
      </c>
      <c r="AF6" s="1699">
        <f>AG6</f>
        <v>98</v>
      </c>
      <c r="AG6" s="1699">
        <f>116-AG10</f>
        <v>98</v>
      </c>
      <c r="AH6" s="1699">
        <f>AI6</f>
        <v>98</v>
      </c>
      <c r="AI6" s="1699">
        <v>98</v>
      </c>
      <c r="AJ6" s="2039">
        <f>AB6+AD6+AF6+AH6</f>
        <v>395</v>
      </c>
      <c r="AK6" s="1995">
        <f>152-AK10</f>
        <v>97</v>
      </c>
      <c r="AL6" s="1995">
        <f>139-AL10</f>
        <v>89</v>
      </c>
      <c r="AM6" s="1995">
        <f>144-AM10</f>
        <v>94</v>
      </c>
      <c r="AN6" s="1995">
        <f>151-AN10</f>
        <v>97</v>
      </c>
      <c r="AO6" s="2039">
        <f t="shared" si="0"/>
        <v>377</v>
      </c>
      <c r="AP6" s="1503">
        <f>152-AP10</f>
        <v>97</v>
      </c>
      <c r="AQ6" s="1503">
        <f>158-AQ10</f>
        <v>103</v>
      </c>
      <c r="AR6" s="1503">
        <f>158-AR10</f>
        <v>103</v>
      </c>
      <c r="AS6" s="1503">
        <f>165-AS10</f>
        <v>110</v>
      </c>
      <c r="AT6" s="2161">
        <f t="shared" si="1"/>
        <v>413</v>
      </c>
      <c r="AU6" s="1503">
        <v>157.5342</v>
      </c>
      <c r="AV6" s="1503">
        <v>162.0547</v>
      </c>
      <c r="AW6" s="1503">
        <v>166.11770000000001</v>
      </c>
      <c r="AX6" s="1503">
        <v>165.56479999999999</v>
      </c>
      <c r="AY6" s="2161">
        <f t="shared" si="2"/>
        <v>651.27139999999997</v>
      </c>
      <c r="AZ6" s="1503">
        <v>166.89400000000001</v>
      </c>
      <c r="BA6" s="1503">
        <v>169.98089999999999</v>
      </c>
      <c r="BB6" s="1503">
        <v>178.53229999999999</v>
      </c>
      <c r="BC6" s="1503">
        <v>203.78970000000001</v>
      </c>
      <c r="BD6" s="2161">
        <f t="shared" si="3"/>
        <v>719.19690000000003</v>
      </c>
      <c r="BE6" s="1503">
        <v>209.41380000000001</v>
      </c>
      <c r="BF6" s="1503">
        <v>187.81399999999999</v>
      </c>
      <c r="BG6" s="1503">
        <v>177.85980000000001</v>
      </c>
      <c r="BH6" s="1503">
        <v>180.4907</v>
      </c>
      <c r="BI6" s="2161">
        <f t="shared" si="4"/>
        <v>755.57830000000013</v>
      </c>
      <c r="BJ6" s="1327">
        <f t="shared" si="5"/>
        <v>187.69185900000002</v>
      </c>
      <c r="BK6" s="1327">
        <f t="shared" si="5"/>
        <v>191.87913500000005</v>
      </c>
      <c r="BL6" s="1327">
        <f t="shared" ref="BL6" si="9">BL42+BL79</f>
        <v>191.94738000000004</v>
      </c>
      <c r="BM6" s="1327">
        <f t="shared" si="7"/>
        <v>215.55992600000005</v>
      </c>
      <c r="BN6" s="2161">
        <f>'New split'!O8</f>
        <v>787.07830000000013</v>
      </c>
      <c r="BO6" s="1699"/>
      <c r="BP6" s="1699"/>
      <c r="BQ6" s="2040"/>
      <c r="BR6" s="1293"/>
      <c r="BS6" s="1293"/>
      <c r="BT6" s="1293"/>
      <c r="BU6" s="1293"/>
      <c r="BV6" s="1293"/>
      <c r="BW6" s="1293"/>
      <c r="BX6" s="1293"/>
      <c r="BY6" s="1293"/>
      <c r="BZ6" s="1293"/>
      <c r="CA6" s="1293"/>
      <c r="CB6" s="1293"/>
      <c r="CC6" s="1293"/>
      <c r="CD6" s="1293"/>
      <c r="CE6" s="1293"/>
      <c r="CF6" s="1293"/>
      <c r="CG6" s="1293"/>
      <c r="CH6" s="1293"/>
      <c r="CI6" s="1293"/>
      <c r="CJ6" s="1293"/>
      <c r="CK6" s="1293"/>
      <c r="CL6" s="1293"/>
      <c r="CM6" s="1293"/>
      <c r="CN6" s="1293"/>
      <c r="CO6" s="1293"/>
      <c r="CP6" s="1293"/>
      <c r="CQ6" s="1293"/>
      <c r="CR6" s="1293"/>
      <c r="CS6" s="1293"/>
      <c r="CT6" s="1293"/>
      <c r="CU6" s="1293"/>
      <c r="CV6" s="1293"/>
      <c r="CW6" s="1293"/>
      <c r="CX6" s="1293"/>
      <c r="CY6" s="2041">
        <v>119.32710611959283</v>
      </c>
      <c r="CZ6" s="1699">
        <f>CZ42+CZ79</f>
        <v>174.716375</v>
      </c>
      <c r="DA6" s="2042">
        <v>124.35000000000001</v>
      </c>
      <c r="DB6" s="2041">
        <v>125.12563999999999</v>
      </c>
      <c r="DC6" s="1293"/>
      <c r="DD6" s="1293"/>
      <c r="DE6" s="1293"/>
      <c r="DF6" s="1293"/>
      <c r="DG6" s="1293"/>
      <c r="DH6" s="1293"/>
      <c r="DI6" s="1293"/>
      <c r="DJ6" s="1293"/>
      <c r="DK6" s="1293"/>
      <c r="DL6" s="1293"/>
    </row>
    <row r="7" spans="1:116" ht="15.75">
      <c r="A7" s="1293"/>
      <c r="B7" s="1293" t="s">
        <v>2172</v>
      </c>
      <c r="C7" s="1699"/>
      <c r="D7" s="1699"/>
      <c r="E7" s="1699"/>
      <c r="F7" s="1699"/>
      <c r="G7" s="2039"/>
      <c r="H7" s="1699"/>
      <c r="I7" s="1699"/>
      <c r="J7" s="1699"/>
      <c r="K7" s="1699"/>
      <c r="L7" s="2039"/>
      <c r="M7" s="1699"/>
      <c r="N7" s="1699"/>
      <c r="O7" s="1699"/>
      <c r="P7" s="1699"/>
      <c r="Q7" s="2039"/>
      <c r="R7" s="2046"/>
      <c r="S7" s="2046"/>
      <c r="T7" s="2046"/>
      <c r="U7" s="2046"/>
      <c r="V7" s="2047"/>
      <c r="W7" s="2046"/>
      <c r="X7" s="2046"/>
      <c r="Y7" s="2046"/>
      <c r="Z7" s="2046"/>
      <c r="AA7" s="2039"/>
      <c r="AB7" s="1699"/>
      <c r="AC7" s="1699"/>
      <c r="AD7" s="1699"/>
      <c r="AE7" s="1699"/>
      <c r="AF7" s="1699"/>
      <c r="AG7" s="1699"/>
      <c r="AH7" s="1699"/>
      <c r="AI7" s="1699"/>
      <c r="AJ7" s="2039"/>
      <c r="AK7" s="1995"/>
      <c r="AL7" s="1995"/>
      <c r="AM7" s="1995"/>
      <c r="AN7" s="1995"/>
      <c r="AO7" s="2039"/>
      <c r="AP7" s="1503"/>
      <c r="AQ7" s="1503"/>
      <c r="AR7" s="1503"/>
      <c r="AS7" s="1503"/>
      <c r="AT7" s="2161"/>
      <c r="AU7" s="1503">
        <v>34.399000000000001</v>
      </c>
      <c r="AV7" s="1503">
        <v>33.166499999999999</v>
      </c>
      <c r="AW7" s="1503">
        <v>33.717799999999997</v>
      </c>
      <c r="AX7" s="1503">
        <v>36.371000000000002</v>
      </c>
      <c r="AY7" s="2161">
        <f t="shared" si="2"/>
        <v>137.65430000000001</v>
      </c>
      <c r="AZ7" s="1503">
        <v>38.899799999999999</v>
      </c>
      <c r="BA7" s="1503">
        <v>39.805900000000001</v>
      </c>
      <c r="BB7" s="1503">
        <v>39.951900000000002</v>
      </c>
      <c r="BC7" s="1503">
        <v>39.421700000000001</v>
      </c>
      <c r="BD7" s="2161">
        <f t="shared" si="3"/>
        <v>158.07929999999999</v>
      </c>
      <c r="BE7" s="1503">
        <v>39.6584</v>
      </c>
      <c r="BF7" s="1503">
        <v>39.224299999999999</v>
      </c>
      <c r="BG7" s="1503">
        <v>36.982500000000002</v>
      </c>
      <c r="BH7" s="1503">
        <v>35.703299999999999</v>
      </c>
      <c r="BI7" s="2161">
        <f t="shared" si="4"/>
        <v>151.5685</v>
      </c>
      <c r="BJ7" s="1327">
        <f t="shared" si="5"/>
        <v>37.760666282879995</v>
      </c>
      <c r="BK7" s="1327">
        <f t="shared" si="5"/>
        <v>37.615015086375003</v>
      </c>
      <c r="BL7" s="1327">
        <f t="shared" ref="BL7" si="10">BL43+BL80</f>
        <v>37.322124134399992</v>
      </c>
      <c r="BM7" s="1327">
        <f t="shared" si="7"/>
        <v>37.164344496344988</v>
      </c>
      <c r="BN7" s="2161">
        <f>'New split'!O9</f>
        <v>149.86214999999999</v>
      </c>
      <c r="BO7" s="1699"/>
      <c r="BP7" s="1699"/>
      <c r="BQ7" s="2040"/>
      <c r="BR7" s="1293"/>
      <c r="BS7" s="1293"/>
      <c r="BT7" s="1293"/>
      <c r="BU7" s="1293"/>
      <c r="BV7" s="1293"/>
      <c r="BW7" s="1293"/>
      <c r="BX7" s="1293"/>
      <c r="BY7" s="1293"/>
      <c r="BZ7" s="1293"/>
      <c r="CA7" s="1293"/>
      <c r="CB7" s="1293"/>
      <c r="CC7" s="1293"/>
      <c r="CD7" s="1293"/>
      <c r="CE7" s="1293"/>
      <c r="CF7" s="1293"/>
      <c r="CG7" s="1293"/>
      <c r="CH7" s="1293"/>
      <c r="CI7" s="1293"/>
      <c r="CJ7" s="1293"/>
      <c r="CK7" s="1293"/>
      <c r="CL7" s="1293"/>
      <c r="CM7" s="1293"/>
      <c r="CN7" s="1293"/>
      <c r="CO7" s="1293"/>
      <c r="CP7" s="1293"/>
      <c r="CQ7" s="1293"/>
      <c r="CR7" s="1293"/>
      <c r="CS7" s="1293"/>
      <c r="CT7" s="1293"/>
      <c r="CU7" s="1293"/>
      <c r="CV7" s="1293"/>
      <c r="CW7" s="1293"/>
      <c r="CX7" s="1293"/>
      <c r="CY7" s="2041"/>
      <c r="CZ7" s="1699"/>
      <c r="DA7" s="2042"/>
      <c r="DB7" s="2041"/>
      <c r="DC7" s="1293"/>
      <c r="DD7" s="1293"/>
      <c r="DE7" s="1293"/>
      <c r="DF7" s="1293"/>
      <c r="DG7" s="1293"/>
      <c r="DH7" s="1293"/>
      <c r="DI7" s="1293"/>
      <c r="DJ7" s="1293"/>
      <c r="DK7" s="1293"/>
      <c r="DL7" s="1293"/>
    </row>
    <row r="8" spans="1:116" ht="15.75">
      <c r="A8" s="1293"/>
      <c r="B8" s="1293" t="s">
        <v>2033</v>
      </c>
      <c r="C8" s="1699"/>
      <c r="D8" s="1699"/>
      <c r="E8" s="1699"/>
      <c r="F8" s="1699"/>
      <c r="G8" s="2039"/>
      <c r="H8" s="1699"/>
      <c r="I8" s="1699"/>
      <c r="J8" s="1699"/>
      <c r="K8" s="1699"/>
      <c r="L8" s="2039"/>
      <c r="M8" s="1699"/>
      <c r="N8" s="1699"/>
      <c r="O8" s="1699"/>
      <c r="P8" s="1699"/>
      <c r="Q8" s="2039"/>
      <c r="R8" s="2046"/>
      <c r="S8" s="2046"/>
      <c r="T8" s="2046"/>
      <c r="U8" s="2046"/>
      <c r="V8" s="2047"/>
      <c r="W8" s="2046"/>
      <c r="X8" s="2046"/>
      <c r="Y8" s="2046"/>
      <c r="Z8" s="2046"/>
      <c r="AA8" s="2039"/>
      <c r="AB8" s="1699"/>
      <c r="AC8" s="1699"/>
      <c r="AD8" s="1699"/>
      <c r="AE8" s="1699"/>
      <c r="AF8" s="1699"/>
      <c r="AG8" s="1699"/>
      <c r="AH8" s="1699"/>
      <c r="AI8" s="1699"/>
      <c r="AJ8" s="2039"/>
      <c r="AK8" s="1995"/>
      <c r="AL8" s="1995"/>
      <c r="AM8" s="1995"/>
      <c r="AN8" s="1995"/>
      <c r="AO8" s="2039"/>
      <c r="AP8" s="1503"/>
      <c r="AQ8" s="1503"/>
      <c r="AR8" s="1503"/>
      <c r="AS8" s="1503"/>
      <c r="AT8" s="2161"/>
      <c r="AU8" s="1503">
        <v>61.847799999999999</v>
      </c>
      <c r="AV8" s="1503">
        <v>61.978999999999999</v>
      </c>
      <c r="AW8" s="1503">
        <v>60.970999999999997</v>
      </c>
      <c r="AX8" s="1503">
        <v>62.756300000000003</v>
      </c>
      <c r="AY8" s="2161">
        <f t="shared" si="2"/>
        <v>247.55410000000001</v>
      </c>
      <c r="AZ8" s="1503">
        <v>63.057299999999998</v>
      </c>
      <c r="BA8" s="1503">
        <v>64.191500000000005</v>
      </c>
      <c r="BB8" s="1503">
        <v>63.580300000000001</v>
      </c>
      <c r="BC8" s="1503">
        <v>64.436999999999998</v>
      </c>
      <c r="BD8" s="2161">
        <f t="shared" si="3"/>
        <v>255.26609999999999</v>
      </c>
      <c r="BE8" s="1503">
        <v>68.951800000000006</v>
      </c>
      <c r="BF8" s="1503">
        <v>66.291799999999995</v>
      </c>
      <c r="BG8" s="1503">
        <v>65.461600000000004</v>
      </c>
      <c r="BH8" s="1503">
        <v>66.284599999999998</v>
      </c>
      <c r="BI8" s="2161">
        <f t="shared" si="4"/>
        <v>266.9898</v>
      </c>
      <c r="BJ8" s="1327">
        <f t="shared" si="5"/>
        <v>66.640744818309784</v>
      </c>
      <c r="BK8" s="1327">
        <f t="shared" si="5"/>
        <v>68.31719149786305</v>
      </c>
      <c r="BL8" s="1327">
        <f t="shared" ref="BL8" si="11">BL44+BL81</f>
        <v>68.816950772054355</v>
      </c>
      <c r="BM8" s="1327">
        <f t="shared" si="7"/>
        <v>70.297653899816311</v>
      </c>
      <c r="BN8" s="2161">
        <f>'New split'!O10</f>
        <v>274.0725409880435</v>
      </c>
      <c r="BO8" s="1699"/>
      <c r="BP8" s="1699"/>
      <c r="BQ8" s="2040"/>
      <c r="BR8" s="1293"/>
      <c r="BS8" s="1293"/>
      <c r="BT8" s="1293"/>
      <c r="BU8" s="1293"/>
      <c r="BV8" s="1293"/>
      <c r="BW8" s="1293"/>
      <c r="BX8" s="1293"/>
      <c r="BY8" s="1293"/>
      <c r="BZ8" s="1293"/>
      <c r="CA8" s="1293"/>
      <c r="CB8" s="1293"/>
      <c r="CC8" s="1293"/>
      <c r="CD8" s="1293"/>
      <c r="CE8" s="1293"/>
      <c r="CF8" s="1293"/>
      <c r="CG8" s="1293"/>
      <c r="CH8" s="1293"/>
      <c r="CI8" s="1293"/>
      <c r="CJ8" s="1293"/>
      <c r="CK8" s="1293"/>
      <c r="CL8" s="1293"/>
      <c r="CM8" s="1293"/>
      <c r="CN8" s="1293"/>
      <c r="CO8" s="1293"/>
      <c r="CP8" s="1293"/>
      <c r="CQ8" s="1293"/>
      <c r="CR8" s="1293"/>
      <c r="CS8" s="1293"/>
      <c r="CT8" s="1293"/>
      <c r="CU8" s="1293"/>
      <c r="CV8" s="1293"/>
      <c r="CW8" s="1293"/>
      <c r="CX8" s="1293"/>
      <c r="CY8" s="2041"/>
      <c r="CZ8" s="1699"/>
      <c r="DA8" s="2042"/>
      <c r="DB8" s="2041"/>
      <c r="DC8" s="1293"/>
      <c r="DD8" s="1293"/>
      <c r="DE8" s="1293"/>
      <c r="DF8" s="1293"/>
      <c r="DG8" s="1293"/>
      <c r="DH8" s="1293"/>
      <c r="DI8" s="1293"/>
      <c r="DJ8" s="1293"/>
      <c r="DK8" s="1293"/>
      <c r="DL8" s="1293"/>
    </row>
    <row r="9" spans="1:116" ht="15.75" hidden="1" outlineLevel="1">
      <c r="A9" s="1293"/>
      <c r="B9" s="1982" t="s">
        <v>5609</v>
      </c>
      <c r="C9" s="1699">
        <f t="shared" ref="C9:P9" si="12">C13-C3-C4-C5</f>
        <v>34.520220128845011</v>
      </c>
      <c r="D9" s="1699">
        <f t="shared" si="12"/>
        <v>33.400080674209022</v>
      </c>
      <c r="E9" s="1699">
        <f t="shared" si="12"/>
        <v>34.848995862396038</v>
      </c>
      <c r="F9" s="1699">
        <f t="shared" si="12"/>
        <v>34.431676234529078</v>
      </c>
      <c r="G9" s="2039">
        <f t="shared" si="12"/>
        <v>137.20097289997477</v>
      </c>
      <c r="H9" s="1699">
        <f t="shared" si="12"/>
        <v>34.805797371950973</v>
      </c>
      <c r="I9" s="1699">
        <f t="shared" si="12"/>
        <v>35.877667491121031</v>
      </c>
      <c r="J9" s="1699">
        <f t="shared" si="12"/>
        <v>38.30134240632708</v>
      </c>
      <c r="K9" s="1699">
        <f t="shared" si="12"/>
        <v>41.814713187117889</v>
      </c>
      <c r="L9" s="2039">
        <f t="shared" si="12"/>
        <v>150.79952045651305</v>
      </c>
      <c r="M9" s="1699">
        <f t="shared" si="12"/>
        <v>38.732765222047021</v>
      </c>
      <c r="N9" s="1699">
        <f t="shared" si="12"/>
        <v>38.051867612646959</v>
      </c>
      <c r="O9" s="1699">
        <f t="shared" si="12"/>
        <v>38.447754335599939</v>
      </c>
      <c r="P9" s="1699">
        <f t="shared" si="12"/>
        <v>38</v>
      </c>
      <c r="Q9" s="2039">
        <f>SUM(M9:P9)</f>
        <v>153.23238717029392</v>
      </c>
      <c r="R9" s="1699">
        <f>R13-R3-R4-R5</f>
        <v>38</v>
      </c>
      <c r="S9" s="1699">
        <f>S13-S3-S4-S5</f>
        <v>38</v>
      </c>
      <c r="T9" s="1699">
        <f>T13-T3-T4-T5</f>
        <v>38</v>
      </c>
      <c r="U9" s="1699">
        <f>U13-U3-U4-U5</f>
        <v>35</v>
      </c>
      <c r="V9" s="2039">
        <f>SUM(R9:U9)</f>
        <v>149</v>
      </c>
      <c r="W9" s="1699">
        <f>W13-W3-W4-W5</f>
        <v>37</v>
      </c>
      <c r="X9" s="1699">
        <f>X13-X3-X4-X5</f>
        <v>39</v>
      </c>
      <c r="Y9" s="1699">
        <f>Y13-Y3-Y4-Y5</f>
        <v>37</v>
      </c>
      <c r="Z9" s="1699">
        <f>Z13-Z3-Z4-Z5-Z6</f>
        <v>36.299999999999997</v>
      </c>
      <c r="AA9" s="2039">
        <f>SUM(W9:Z9)</f>
        <v>149.30000000000001</v>
      </c>
      <c r="AB9" s="1699">
        <f>AC9</f>
        <v>37</v>
      </c>
      <c r="AC9" s="1699">
        <f>AC13-AC3-AC4-AC5-AC6</f>
        <v>37</v>
      </c>
      <c r="AD9" s="1699">
        <f>AE9</f>
        <v>33</v>
      </c>
      <c r="AE9" s="1699">
        <f>AE13-AE3-AE4-AE5-AE6-AE12</f>
        <v>33</v>
      </c>
      <c r="AF9" s="1699">
        <f>AF13-AF3-AF4-AF5-AF6-AF12-AF10</f>
        <v>38</v>
      </c>
      <c r="AG9" s="1699">
        <f>AG13-AG3-AG4-AG5-AG6-AG12-AG10</f>
        <v>38</v>
      </c>
      <c r="AH9" s="1699">
        <f>AH13-AH3-AH4-AH5-AH6-AH12-AH10</f>
        <v>36</v>
      </c>
      <c r="AI9" s="1699">
        <f>AI13-AI3-AI4-AI5-AI6-AI12-AI10</f>
        <v>36</v>
      </c>
      <c r="AJ9" s="2039">
        <f>AB9+AD9+AF9+AH9</f>
        <v>144</v>
      </c>
      <c r="AK9" s="1995">
        <f>96-AK12</f>
        <v>45</v>
      </c>
      <c r="AL9" s="1995">
        <f>90-AL12</f>
        <v>41</v>
      </c>
      <c r="AM9" s="1995">
        <f>86-AM12</f>
        <v>37</v>
      </c>
      <c r="AN9" s="1995">
        <f>90-AN12</f>
        <v>40</v>
      </c>
      <c r="AO9" s="2039">
        <f t="shared" si="0"/>
        <v>163</v>
      </c>
      <c r="AP9" s="1503">
        <f>92-AP12</f>
        <v>42</v>
      </c>
      <c r="AQ9" s="1503">
        <f>95-AQ12</f>
        <v>45</v>
      </c>
      <c r="AR9" s="1503">
        <f>95-AR12</f>
        <v>45</v>
      </c>
      <c r="AS9" s="1503">
        <f>98-AS12</f>
        <v>48</v>
      </c>
      <c r="AT9" s="2161">
        <f t="shared" si="1"/>
        <v>180</v>
      </c>
      <c r="AU9" s="2463">
        <f>34+62-AU12</f>
        <v>46</v>
      </c>
      <c r="AV9" s="2463">
        <f>33+62-AV12</f>
        <v>45</v>
      </c>
      <c r="AW9" s="2463">
        <f>34+61-AW12</f>
        <v>45</v>
      </c>
      <c r="AX9" s="2463">
        <f>36+63-AX12</f>
        <v>49</v>
      </c>
      <c r="AY9" s="2161">
        <f t="shared" si="2"/>
        <v>185</v>
      </c>
      <c r="AZ9" s="2463">
        <f>39+63-AZ12</f>
        <v>52</v>
      </c>
      <c r="BA9" s="2463">
        <f>40+64-BA12</f>
        <v>54</v>
      </c>
      <c r="BB9" s="2463">
        <f>40+64-BB12</f>
        <v>54</v>
      </c>
      <c r="BC9" s="2463">
        <f>39.422+64.437-BC12</f>
        <v>53.858999999999995</v>
      </c>
      <c r="BD9" s="2161">
        <f t="shared" si="3"/>
        <v>213.85899999999998</v>
      </c>
      <c r="BE9" s="1998">
        <v>54</v>
      </c>
      <c r="BF9" s="1998">
        <f>BE9</f>
        <v>54</v>
      </c>
      <c r="BG9" s="1998">
        <f>BF9</f>
        <v>54</v>
      </c>
      <c r="BH9" s="1327">
        <f ca="1">BH45+BH82</f>
        <v>74.39917485077595</v>
      </c>
      <c r="BI9" s="2161">
        <f t="shared" ca="1" si="4"/>
        <v>236.39917485077595</v>
      </c>
      <c r="BJ9" s="1998"/>
      <c r="BK9" s="1998"/>
      <c r="BL9" s="1998"/>
      <c r="BM9" s="1998"/>
      <c r="BN9" s="2161"/>
      <c r="BO9" s="1699"/>
      <c r="BP9" s="1699"/>
      <c r="BQ9" s="2040"/>
      <c r="BR9" s="1293"/>
      <c r="BS9" s="1293"/>
      <c r="BT9" s="1293"/>
      <c r="BU9" s="1293"/>
      <c r="BV9" s="1293"/>
      <c r="BW9" s="1293"/>
      <c r="BX9" s="1293"/>
      <c r="BY9" s="1293"/>
      <c r="BZ9" s="1293"/>
      <c r="CA9" s="1293"/>
      <c r="CB9" s="1293"/>
      <c r="CC9" s="1293"/>
      <c r="CD9" s="1293"/>
      <c r="CE9" s="1293"/>
      <c r="CF9" s="1293"/>
      <c r="CG9" s="1293"/>
      <c r="CH9" s="1293"/>
      <c r="CI9" s="1293"/>
      <c r="CJ9" s="1293"/>
      <c r="CK9" s="1293"/>
      <c r="CL9" s="1293"/>
      <c r="CM9" s="1293"/>
      <c r="CN9" s="1293"/>
      <c r="CO9" s="1293"/>
      <c r="CP9" s="1293"/>
      <c r="CQ9" s="1293"/>
      <c r="CR9" s="1293"/>
      <c r="CS9" s="1293"/>
      <c r="CT9" s="1293"/>
      <c r="CU9" s="1293"/>
      <c r="CV9" s="1293"/>
      <c r="CW9" s="1293"/>
      <c r="CX9" s="1293"/>
      <c r="CY9" s="2041">
        <v>57.798927518442561</v>
      </c>
      <c r="CZ9" s="1699">
        <f>CZ45+CZ82</f>
        <v>55.413249999999998</v>
      </c>
      <c r="DA9" s="2042">
        <v>59.526730504564931</v>
      </c>
      <c r="DB9" s="2041">
        <v>59.195502676513094</v>
      </c>
      <c r="DC9" s="1293"/>
      <c r="DD9" s="1293"/>
      <c r="DE9" s="1293"/>
      <c r="DF9" s="1293"/>
      <c r="DG9" s="1293"/>
      <c r="DH9" s="1293"/>
      <c r="DI9" s="1293"/>
      <c r="DJ9" s="1293"/>
      <c r="DK9" s="1293"/>
      <c r="DL9" s="1293"/>
    </row>
    <row r="10" spans="1:116" ht="15.75" hidden="1" outlineLevel="1">
      <c r="A10" s="1293"/>
      <c r="B10" s="1982" t="s">
        <v>5610</v>
      </c>
      <c r="C10" s="1699"/>
      <c r="D10" s="1699"/>
      <c r="E10" s="1699"/>
      <c r="F10" s="1699"/>
      <c r="G10" s="2039"/>
      <c r="H10" s="1699"/>
      <c r="I10" s="1699"/>
      <c r="J10" s="1699"/>
      <c r="K10" s="1699"/>
      <c r="L10" s="2039"/>
      <c r="M10" s="1699"/>
      <c r="N10" s="1699"/>
      <c r="O10" s="1699"/>
      <c r="P10" s="1699"/>
      <c r="Q10" s="2039"/>
      <c r="R10" s="1699"/>
      <c r="S10" s="1699"/>
      <c r="T10" s="1699"/>
      <c r="U10" s="1699"/>
      <c r="V10" s="2039"/>
      <c r="W10" s="1699"/>
      <c r="X10" s="1699"/>
      <c r="Y10" s="1699"/>
      <c r="Z10" s="1699"/>
      <c r="AA10" s="2039"/>
      <c r="AB10" s="1699"/>
      <c r="AC10" s="1699"/>
      <c r="AD10" s="1699"/>
      <c r="AE10" s="1699"/>
      <c r="AF10" s="1699">
        <f>116-AF6</f>
        <v>18</v>
      </c>
      <c r="AG10" s="1699">
        <v>18</v>
      </c>
      <c r="AH10" s="1699">
        <f>AI10</f>
        <v>62</v>
      </c>
      <c r="AI10" s="1699">
        <f>160-AI6</f>
        <v>62</v>
      </c>
      <c r="AJ10" s="2039">
        <f>AF10+AH10</f>
        <v>80</v>
      </c>
      <c r="AK10" s="1986">
        <v>55</v>
      </c>
      <c r="AL10" s="1986">
        <v>50</v>
      </c>
      <c r="AM10" s="1986">
        <f>AL10</f>
        <v>50</v>
      </c>
      <c r="AN10" s="1986">
        <v>54</v>
      </c>
      <c r="AO10" s="2039">
        <f t="shared" si="0"/>
        <v>209</v>
      </c>
      <c r="AP10" s="2337">
        <v>55</v>
      </c>
      <c r="AQ10" s="2337">
        <f>AP10</f>
        <v>55</v>
      </c>
      <c r="AR10" s="2337">
        <f>AQ10</f>
        <v>55</v>
      </c>
      <c r="AS10" s="2337">
        <f>AR10</f>
        <v>55</v>
      </c>
      <c r="AT10" s="2161">
        <f t="shared" si="1"/>
        <v>220</v>
      </c>
      <c r="AU10" s="2337">
        <v>56</v>
      </c>
      <c r="AV10" s="2337">
        <v>56</v>
      </c>
      <c r="AW10" s="2337">
        <v>56</v>
      </c>
      <c r="AX10" s="2337">
        <v>58</v>
      </c>
      <c r="AY10" s="2161">
        <f t="shared" si="2"/>
        <v>226</v>
      </c>
      <c r="AZ10" s="2337">
        <f>AX10</f>
        <v>58</v>
      </c>
      <c r="BA10" s="2337">
        <f>AZ10</f>
        <v>58</v>
      </c>
      <c r="BB10" s="2337">
        <f>BA10</f>
        <v>58</v>
      </c>
      <c r="BC10" s="2337">
        <f>BB10</f>
        <v>58</v>
      </c>
      <c r="BD10" s="2161">
        <f t="shared" si="3"/>
        <v>232</v>
      </c>
      <c r="BE10" s="2337">
        <f>BC10</f>
        <v>58</v>
      </c>
      <c r="BF10" s="2337">
        <f>BE10</f>
        <v>58</v>
      </c>
      <c r="BG10" s="2337">
        <f>BF10</f>
        <v>58</v>
      </c>
      <c r="BH10" s="1327">
        <f ca="1">BH46+BH83</f>
        <v>59.645707277142861</v>
      </c>
      <c r="BI10" s="2161">
        <f t="shared" ca="1" si="4"/>
        <v>233.64570727714286</v>
      </c>
      <c r="BJ10" s="2337"/>
      <c r="BK10" s="2337"/>
      <c r="BL10" s="2337"/>
      <c r="BM10" s="2337"/>
      <c r="BN10" s="2161"/>
      <c r="BO10" s="1699"/>
      <c r="BP10" s="1699"/>
      <c r="BQ10" s="2040"/>
      <c r="BR10" s="1293"/>
      <c r="BS10" s="1293"/>
      <c r="BT10" s="1293"/>
      <c r="BU10" s="1293"/>
      <c r="BV10" s="1293"/>
      <c r="BW10" s="1293"/>
      <c r="BX10" s="1293"/>
      <c r="BY10" s="1293"/>
      <c r="BZ10" s="1293"/>
      <c r="CA10" s="1293"/>
      <c r="CB10" s="1293"/>
      <c r="CC10" s="1293"/>
      <c r="CD10" s="1293"/>
      <c r="CE10" s="1293"/>
      <c r="CF10" s="1293"/>
      <c r="CG10" s="1293"/>
      <c r="CH10" s="1293"/>
      <c r="CI10" s="1293"/>
      <c r="CJ10" s="1293"/>
      <c r="CK10" s="1293"/>
      <c r="CL10" s="1293"/>
      <c r="CM10" s="1293"/>
      <c r="CN10" s="1293"/>
      <c r="CO10" s="1293"/>
      <c r="CP10" s="1293"/>
      <c r="CQ10" s="1293"/>
      <c r="CR10" s="1293"/>
      <c r="CS10" s="1293"/>
      <c r="CT10" s="1293"/>
      <c r="CU10" s="1293"/>
      <c r="CV10" s="1293"/>
      <c r="CW10" s="1293"/>
      <c r="CX10" s="1293"/>
      <c r="CY10" s="2041">
        <v>58.123242428571416</v>
      </c>
      <c r="CZ10" s="1699">
        <f>CZ46+CZ83</f>
        <v>56</v>
      </c>
      <c r="DA10" s="2042">
        <v>58</v>
      </c>
      <c r="DB10" s="2041">
        <v>59</v>
      </c>
      <c r="DC10" s="1293"/>
      <c r="DD10" s="1293"/>
      <c r="DE10" s="1293"/>
      <c r="DF10" s="1293"/>
      <c r="DG10" s="1293"/>
      <c r="DH10" s="1293"/>
      <c r="DI10" s="1293"/>
      <c r="DJ10" s="1293"/>
      <c r="DK10" s="1293"/>
      <c r="DL10" s="1293"/>
    </row>
    <row r="11" spans="1:116" ht="15.75" hidden="1" outlineLevel="1">
      <c r="A11" s="1293"/>
      <c r="B11" s="1982" t="s">
        <v>5612</v>
      </c>
      <c r="C11" s="1699"/>
      <c r="D11" s="1699"/>
      <c r="E11" s="1699"/>
      <c r="F11" s="1699"/>
      <c r="G11" s="2039"/>
      <c r="H11" s="1699"/>
      <c r="I11" s="1699"/>
      <c r="J11" s="1699"/>
      <c r="K11" s="1699"/>
      <c r="L11" s="2039"/>
      <c r="M11" s="1699"/>
      <c r="N11" s="1699"/>
      <c r="O11" s="1699"/>
      <c r="P11" s="1699"/>
      <c r="Q11" s="2039"/>
      <c r="R11" s="1699"/>
      <c r="S11" s="1699"/>
      <c r="T11" s="1699"/>
      <c r="U11" s="1699"/>
      <c r="V11" s="2039"/>
      <c r="W11" s="1699"/>
      <c r="X11" s="1699"/>
      <c r="Y11" s="1699"/>
      <c r="Z11" s="1699"/>
      <c r="AA11" s="2039"/>
      <c r="AB11" s="1699"/>
      <c r="AC11" s="1699"/>
      <c r="AD11" s="1699"/>
      <c r="AE11" s="1699"/>
      <c r="AF11" s="1699"/>
      <c r="AG11" s="1699"/>
      <c r="AH11" s="1699"/>
      <c r="AI11" s="1699"/>
      <c r="AJ11" s="2039"/>
      <c r="AK11" s="1699"/>
      <c r="AL11" s="1699"/>
      <c r="AM11" s="1699"/>
      <c r="AN11" s="1699"/>
      <c r="AO11" s="2039">
        <f>'New split'!J14</f>
        <v>0</v>
      </c>
      <c r="AP11" s="1327"/>
      <c r="AQ11" s="1327"/>
      <c r="AR11" s="1327"/>
      <c r="AS11" s="1327"/>
      <c r="AT11" s="2161"/>
      <c r="AU11" s="1327"/>
      <c r="AV11" s="1327"/>
      <c r="AW11" s="1327"/>
      <c r="AX11" s="1327"/>
      <c r="AY11" s="2161"/>
      <c r="AZ11" s="1327"/>
      <c r="BA11" s="1327"/>
      <c r="BB11" s="1327"/>
      <c r="BC11" s="1327"/>
      <c r="BD11" s="2161"/>
      <c r="BE11" s="1327"/>
      <c r="BF11" s="1327"/>
      <c r="BG11" s="1327"/>
      <c r="BH11" s="1327"/>
      <c r="BI11" s="2161"/>
      <c r="BJ11" s="1327"/>
      <c r="BK11" s="1327"/>
      <c r="BL11" s="1327"/>
      <c r="BM11" s="1327"/>
      <c r="BN11" s="2161"/>
      <c r="BO11" s="1699"/>
      <c r="BP11" s="1699"/>
      <c r="BQ11" s="2040"/>
      <c r="BR11" s="1293"/>
      <c r="BS11" s="1293"/>
      <c r="BT11" s="1293"/>
      <c r="BU11" s="1293"/>
      <c r="BV11" s="1293"/>
      <c r="BW11" s="1293"/>
      <c r="BX11" s="1293"/>
      <c r="BY11" s="1293"/>
      <c r="BZ11" s="1293"/>
      <c r="CA11" s="1293"/>
      <c r="CB11" s="1293"/>
      <c r="CC11" s="1293"/>
      <c r="CD11" s="1293"/>
      <c r="CE11" s="1293"/>
      <c r="CF11" s="1293"/>
      <c r="CG11" s="1293"/>
      <c r="CH11" s="1293"/>
      <c r="CI11" s="1293"/>
      <c r="CJ11" s="1293"/>
      <c r="CK11" s="1293"/>
      <c r="CL11" s="1293"/>
      <c r="CM11" s="1293"/>
      <c r="CN11" s="1293"/>
      <c r="CO11" s="1293"/>
      <c r="CP11" s="1293"/>
      <c r="CQ11" s="1293"/>
      <c r="CR11" s="1293"/>
      <c r="CS11" s="1293"/>
      <c r="CT11" s="1293"/>
      <c r="CU11" s="1293"/>
      <c r="CV11" s="1293"/>
      <c r="CW11" s="1293"/>
      <c r="CX11" s="1293"/>
      <c r="CY11" s="2041"/>
      <c r="CZ11" s="1699"/>
      <c r="DA11" s="2042"/>
      <c r="DB11" s="2041"/>
      <c r="DC11" s="1293"/>
      <c r="DD11" s="1293"/>
      <c r="DE11" s="1293"/>
      <c r="DF11" s="1293"/>
      <c r="DG11" s="1293"/>
      <c r="DH11" s="1293"/>
      <c r="DI11" s="1293"/>
      <c r="DJ11" s="1293"/>
      <c r="DK11" s="1293"/>
      <c r="DL11" s="1293"/>
    </row>
    <row r="12" spans="1:116" ht="15.75" hidden="1" outlineLevel="1">
      <c r="A12" s="1293"/>
      <c r="B12" s="1983" t="s">
        <v>5613</v>
      </c>
      <c r="C12" s="1703"/>
      <c r="D12" s="1703"/>
      <c r="E12" s="1703"/>
      <c r="F12" s="1703"/>
      <c r="G12" s="2048"/>
      <c r="H12" s="1703"/>
      <c r="I12" s="1703"/>
      <c r="J12" s="1703"/>
      <c r="K12" s="1703"/>
      <c r="L12" s="2048"/>
      <c r="M12" s="1703"/>
      <c r="N12" s="1703"/>
      <c r="O12" s="1703"/>
      <c r="P12" s="1703"/>
      <c r="Q12" s="2048"/>
      <c r="R12" s="1703"/>
      <c r="S12" s="1703"/>
      <c r="T12" s="1703"/>
      <c r="U12" s="1703"/>
      <c r="V12" s="2048"/>
      <c r="W12" s="1703"/>
      <c r="X12" s="1703"/>
      <c r="Y12" s="1703"/>
      <c r="Z12" s="1703"/>
      <c r="AA12" s="2048"/>
      <c r="AB12" s="1703"/>
      <c r="AC12" s="1703"/>
      <c r="AD12" s="1703">
        <f>AE12</f>
        <v>39</v>
      </c>
      <c r="AE12" s="1703">
        <v>39</v>
      </c>
      <c r="AF12" s="1703">
        <f>AG12</f>
        <v>54</v>
      </c>
      <c r="AG12" s="1703">
        <v>54</v>
      </c>
      <c r="AH12" s="1703">
        <v>56</v>
      </c>
      <c r="AI12" s="1703">
        <v>56</v>
      </c>
      <c r="AJ12" s="2048">
        <f>AD12+AF12+AH12</f>
        <v>149</v>
      </c>
      <c r="AK12" s="1703">
        <v>51</v>
      </c>
      <c r="AL12" s="1985">
        <v>49</v>
      </c>
      <c r="AM12" s="1985">
        <f>AL12</f>
        <v>49</v>
      </c>
      <c r="AN12" s="1985">
        <v>50</v>
      </c>
      <c r="AO12" s="2048">
        <f>AK12+AL12+AM12+AN12</f>
        <v>199</v>
      </c>
      <c r="AP12" s="1992">
        <v>50</v>
      </c>
      <c r="AQ12" s="1992">
        <v>50</v>
      </c>
      <c r="AR12" s="1992">
        <v>50</v>
      </c>
      <c r="AS12" s="1992">
        <v>50</v>
      </c>
      <c r="AT12" s="2464">
        <f>AP12+AQ12+AR12+AS12</f>
        <v>200</v>
      </c>
      <c r="AU12" s="1992">
        <v>50</v>
      </c>
      <c r="AV12" s="1992">
        <v>50</v>
      </c>
      <c r="AW12" s="1992">
        <v>50</v>
      </c>
      <c r="AX12" s="1992">
        <v>50</v>
      </c>
      <c r="AY12" s="2464">
        <f>AU12+AV12+AW12+AX12</f>
        <v>200</v>
      </c>
      <c r="AZ12" s="1992">
        <f>AX12</f>
        <v>50</v>
      </c>
      <c r="BA12" s="1992">
        <f>AZ12</f>
        <v>50</v>
      </c>
      <c r="BB12" s="1992">
        <f t="shared" ref="BB12:BC12" si="13">BA12</f>
        <v>50</v>
      </c>
      <c r="BC12" s="1992">
        <f t="shared" si="13"/>
        <v>50</v>
      </c>
      <c r="BD12" s="2464">
        <f>AZ12+BA12+BB12+BC12</f>
        <v>200</v>
      </c>
      <c r="BE12" s="1992">
        <f>BC12</f>
        <v>50</v>
      </c>
      <c r="BF12" s="1992">
        <v>50</v>
      </c>
      <c r="BG12" s="1992">
        <v>50</v>
      </c>
      <c r="BH12" s="1718">
        <f ca="1">BH48+BH85</f>
        <v>44</v>
      </c>
      <c r="BI12" s="2464">
        <f ca="1">BE12+BF12+BG12+BH12</f>
        <v>194</v>
      </c>
      <c r="BJ12" s="1992"/>
      <c r="BK12" s="1992"/>
      <c r="BL12" s="1992"/>
      <c r="BM12" s="2487"/>
      <c r="BN12" s="2464"/>
      <c r="BO12" s="1699"/>
      <c r="BP12" s="1699"/>
      <c r="BQ12" s="2040"/>
      <c r="BR12" s="1293"/>
      <c r="BS12" s="1293"/>
      <c r="BT12" s="1293"/>
      <c r="BU12" s="1293"/>
      <c r="BV12" s="1293"/>
      <c r="BW12" s="1293"/>
      <c r="BX12" s="1293"/>
      <c r="BY12" s="1293"/>
      <c r="BZ12" s="1293"/>
      <c r="CA12" s="1293"/>
      <c r="CB12" s="1293"/>
      <c r="CC12" s="1293"/>
      <c r="CD12" s="1293"/>
      <c r="CE12" s="1293"/>
      <c r="CF12" s="1293"/>
      <c r="CG12" s="1293"/>
      <c r="CH12" s="1293"/>
      <c r="CI12" s="1293"/>
      <c r="CJ12" s="1293"/>
      <c r="CK12" s="1293"/>
      <c r="CL12" s="1293"/>
      <c r="CM12" s="1293"/>
      <c r="CN12" s="1293"/>
      <c r="CO12" s="1293"/>
      <c r="CP12" s="1293"/>
      <c r="CQ12" s="1293"/>
      <c r="CR12" s="1293"/>
      <c r="CS12" s="1293"/>
      <c r="CT12" s="1293"/>
      <c r="CU12" s="1293"/>
      <c r="CV12" s="1293"/>
      <c r="CW12" s="1293"/>
      <c r="CX12" s="1293"/>
      <c r="CY12" s="2049">
        <v>50.02108355434541</v>
      </c>
      <c r="CZ12" s="1703">
        <f>CZ48+CZ85</f>
        <v>50</v>
      </c>
      <c r="DA12" s="2050">
        <v>52</v>
      </c>
      <c r="DB12" s="2051">
        <v>52</v>
      </c>
      <c r="DC12" s="1293"/>
      <c r="DD12" s="1293"/>
      <c r="DE12" s="1293"/>
      <c r="DF12" s="1293"/>
      <c r="DG12" s="1293"/>
      <c r="DH12" s="1293"/>
      <c r="DI12" s="1293"/>
      <c r="DJ12" s="1293"/>
      <c r="DK12" s="1293"/>
      <c r="DL12" s="1293"/>
    </row>
    <row r="13" spans="1:116" ht="15.75" collapsed="1">
      <c r="A13" s="1293"/>
      <c r="B13" s="1375" t="s">
        <v>1828</v>
      </c>
      <c r="C13" s="1984">
        <v>601.16973414726999</v>
      </c>
      <c r="D13" s="1984">
        <v>610.19752047453903</v>
      </c>
      <c r="E13" s="1984">
        <v>605.76482800604208</v>
      </c>
      <c r="F13" s="1984">
        <v>643.08635850696305</v>
      </c>
      <c r="G13" s="2052">
        <v>2460.2184411348098</v>
      </c>
      <c r="H13" s="1984">
        <v>628.965395066616</v>
      </c>
      <c r="I13" s="1984">
        <v>632.97841285864797</v>
      </c>
      <c r="J13" s="1984">
        <v>635.69981889571011</v>
      </c>
      <c r="K13" s="1984">
        <v>657.98761006725988</v>
      </c>
      <c r="L13" s="2052">
        <v>2555.63123688823</v>
      </c>
      <c r="M13" s="1984">
        <v>623.11547809197907</v>
      </c>
      <c r="N13" s="1984">
        <v>621.03605142046899</v>
      </c>
      <c r="O13" s="1984">
        <v>604.24531613258898</v>
      </c>
      <c r="P13" s="1984">
        <v>624</v>
      </c>
      <c r="Q13" s="2052">
        <f>SUM(Q3:Q9)</f>
        <v>2472.3968456450366</v>
      </c>
      <c r="R13" s="1984">
        <v>607</v>
      </c>
      <c r="S13" s="1984">
        <f>1345-S19</f>
        <v>617</v>
      </c>
      <c r="T13" s="1984">
        <f>1360-T19</f>
        <v>619</v>
      </c>
      <c r="U13" s="1984">
        <f>1407-U19</f>
        <v>641</v>
      </c>
      <c r="V13" s="2052">
        <f>SUM(V3:V9)</f>
        <v>2484</v>
      </c>
      <c r="W13" s="1984">
        <f>1353-W19</f>
        <v>621</v>
      </c>
      <c r="X13" s="1984">
        <f>1384-X19</f>
        <v>627</v>
      </c>
      <c r="Y13" s="1984">
        <f>1368-Y19</f>
        <v>620</v>
      </c>
      <c r="Z13" s="1984">
        <f>1381-Z19</f>
        <v>664</v>
      </c>
      <c r="AA13" s="2052">
        <f ca="1">'New split'!H16</f>
        <v>2532</v>
      </c>
      <c r="AB13" s="1984">
        <f>AC13</f>
        <v>723</v>
      </c>
      <c r="AC13" s="1984">
        <f>1426-AC19</f>
        <v>723</v>
      </c>
      <c r="AD13" s="1984">
        <f>AE13</f>
        <v>771</v>
      </c>
      <c r="AE13" s="1984">
        <f>1461-AE19</f>
        <v>771</v>
      </c>
      <c r="AF13" s="1984">
        <f>AG13</f>
        <v>809</v>
      </c>
      <c r="AG13" s="1375">
        <f>1500-5-AG19</f>
        <v>809</v>
      </c>
      <c r="AH13" s="1984">
        <f>AH21-AH19</f>
        <v>880</v>
      </c>
      <c r="AI13" s="1984">
        <f>AI21-AI19</f>
        <v>880</v>
      </c>
      <c r="AJ13" s="2052">
        <f>'New split'!I16</f>
        <v>3183</v>
      </c>
      <c r="AK13" s="1984">
        <f>SUM(AK3:AK12)</f>
        <v>854</v>
      </c>
      <c r="AL13" s="1984">
        <f>SUM(AL3:AL12)</f>
        <v>798</v>
      </c>
      <c r="AM13" s="1984">
        <f>SUM(AM3:AM12)</f>
        <v>843</v>
      </c>
      <c r="AN13" s="1984">
        <f>SUM(AN3:AN12)</f>
        <v>898</v>
      </c>
      <c r="AO13" s="2052">
        <f>'New split'!J16</f>
        <v>3393</v>
      </c>
      <c r="AP13" s="1991">
        <f>SUM(AP3:AP12)</f>
        <v>886</v>
      </c>
      <c r="AQ13" s="1991">
        <f>SUM(AQ3:AQ12)</f>
        <v>911</v>
      </c>
      <c r="AR13" s="1991">
        <f>SUM(AR3:AR12)</f>
        <v>910</v>
      </c>
      <c r="AS13" s="1991">
        <f>SUM(AS3:AS12)</f>
        <v>942</v>
      </c>
      <c r="AT13" s="2465">
        <f>'New split'!K16</f>
        <v>3649</v>
      </c>
      <c r="AU13" s="1991">
        <f>SUM(AU3:AU8)</f>
        <v>906.45539999999994</v>
      </c>
      <c r="AV13" s="1991">
        <f t="shared" ref="AV13:AX13" si="14">SUM(AV3:AV8)</f>
        <v>940.27610000000016</v>
      </c>
      <c r="AW13" s="1991">
        <f t="shared" si="14"/>
        <v>922.30990000000008</v>
      </c>
      <c r="AX13" s="1991">
        <f t="shared" si="14"/>
        <v>947.21339999999998</v>
      </c>
      <c r="AY13" s="2465">
        <f>SUM(AY3:AY8)</f>
        <v>3716.2547999999997</v>
      </c>
      <c r="AZ13" s="1991">
        <f>SUM(AZ3:AZ8)</f>
        <v>933.4552000000001</v>
      </c>
      <c r="BA13" s="1991">
        <f t="shared" ref="BA13:BC13" si="15">SUM(BA3:BA8)</f>
        <v>940.90049999999997</v>
      </c>
      <c r="BB13" s="1991">
        <f t="shared" si="15"/>
        <v>941.61899999999991</v>
      </c>
      <c r="BC13" s="1991">
        <f t="shared" si="15"/>
        <v>981.75320000000011</v>
      </c>
      <c r="BD13" s="2465">
        <f>SUM(BD3:BD8)</f>
        <v>3797.7278999999994</v>
      </c>
      <c r="BE13" s="1991">
        <f>SUM(BE3:BE8)</f>
        <v>996.05640000000017</v>
      </c>
      <c r="BF13" s="1991">
        <f t="shared" ref="BF13:BH13" si="16">SUM(BF3:BF8)</f>
        <v>970.17439999999988</v>
      </c>
      <c r="BG13" s="1991">
        <f t="shared" si="16"/>
        <v>957.79029999999989</v>
      </c>
      <c r="BH13" s="1991">
        <f t="shared" si="16"/>
        <v>966.56409999999994</v>
      </c>
      <c r="BI13" s="2465">
        <f>SUM(BI3:BI8)</f>
        <v>3890.5852</v>
      </c>
      <c r="BJ13" s="1991">
        <f>SUM(BJ3:BJ8)</f>
        <v>976.87570271079494</v>
      </c>
      <c r="BK13" s="1991">
        <f>SUM(BK3:BK8)</f>
        <v>989.2645598394962</v>
      </c>
      <c r="BL13" s="1991">
        <f>SUM(BL3:BL8)</f>
        <v>992.20027985761817</v>
      </c>
      <c r="BM13" s="1991">
        <f t="shared" ref="BM13" si="17">SUM(BM3:BM8)</f>
        <v>1023.9299916722</v>
      </c>
      <c r="BN13" s="2465">
        <f>SUM(BN3:BN8)</f>
        <v>3982.2705340801094</v>
      </c>
      <c r="BO13" s="1699"/>
      <c r="BP13" s="1699"/>
      <c r="BQ13" s="2053"/>
      <c r="BR13" s="1293"/>
      <c r="BS13" s="1293"/>
      <c r="BT13" s="1293"/>
      <c r="BU13" s="1293"/>
      <c r="BV13" s="1293"/>
      <c r="BW13" s="1293"/>
      <c r="BX13" s="1293"/>
      <c r="BY13" s="1293"/>
      <c r="BZ13" s="1293"/>
      <c r="CA13" s="1293"/>
      <c r="CB13" s="1293"/>
      <c r="CC13" s="1293"/>
      <c r="CD13" s="1293"/>
      <c r="CE13" s="1293"/>
      <c r="CF13" s="1293"/>
      <c r="CG13" s="1293"/>
      <c r="CH13" s="1293"/>
      <c r="CI13" s="1293"/>
      <c r="CJ13" s="1293"/>
      <c r="CK13" s="1293"/>
      <c r="CL13" s="1293"/>
      <c r="CM13" s="1293"/>
      <c r="CN13" s="1293"/>
      <c r="CO13" s="1293"/>
      <c r="CP13" s="1293"/>
      <c r="CQ13" s="1293"/>
      <c r="CR13" s="1293"/>
      <c r="CS13" s="1293"/>
      <c r="CT13" s="1293"/>
      <c r="CU13" s="1293"/>
      <c r="CV13" s="1293"/>
      <c r="CW13" s="1293"/>
      <c r="CX13" s="1293"/>
      <c r="CY13" s="2041">
        <v>963.17561075628259</v>
      </c>
      <c r="CZ13" s="1699">
        <f>SUM(CZ5:CZ12)+SUM(CZ3:CZ4)</f>
        <v>1005.4079183597748</v>
      </c>
      <c r="DA13" s="2042">
        <v>974.34873345664687</v>
      </c>
      <c r="DB13" s="2041">
        <v>980.92326312144382</v>
      </c>
      <c r="DC13" s="1293"/>
      <c r="DD13" s="1293"/>
      <c r="DE13" s="1293"/>
      <c r="DF13" s="1293"/>
      <c r="DG13" s="1293"/>
      <c r="DH13" s="1293"/>
      <c r="DI13" s="1293"/>
      <c r="DJ13" s="1293"/>
      <c r="DK13" s="1293"/>
      <c r="DL13" s="1293"/>
    </row>
    <row r="14" spans="1:116" ht="15.75">
      <c r="A14" s="1293"/>
      <c r="B14" s="1293"/>
      <c r="C14" s="1699"/>
      <c r="D14" s="1699"/>
      <c r="E14" s="1699"/>
      <c r="F14" s="1699"/>
      <c r="G14" s="2039"/>
      <c r="H14" s="1699"/>
      <c r="I14" s="1699"/>
      <c r="J14" s="1699"/>
      <c r="K14" s="1699"/>
      <c r="L14" s="2039"/>
      <c r="M14" s="1699"/>
      <c r="N14" s="1699"/>
      <c r="O14" s="1699"/>
      <c r="P14" s="1699"/>
      <c r="Q14" s="2039"/>
      <c r="R14" s="1699"/>
      <c r="S14" s="1699"/>
      <c r="T14" s="1699"/>
      <c r="U14" s="1699"/>
      <c r="V14" s="2039"/>
      <c r="W14" s="1699"/>
      <c r="X14" s="1699"/>
      <c r="Y14" s="1699"/>
      <c r="Z14" s="1699"/>
      <c r="AA14" s="2039"/>
      <c r="AB14" s="1699"/>
      <c r="AC14" s="1699"/>
      <c r="AD14" s="1699"/>
      <c r="AE14" s="1699"/>
      <c r="AF14" s="1699"/>
      <c r="AG14" s="1699"/>
      <c r="AH14" s="1699"/>
      <c r="AI14" s="1699"/>
      <c r="AJ14" s="2039"/>
      <c r="AK14" s="1699"/>
      <c r="AL14" s="1699"/>
      <c r="AM14" s="1699"/>
      <c r="AN14" s="1699"/>
      <c r="AO14" s="2039"/>
      <c r="AP14" s="1327"/>
      <c r="AQ14" s="1327"/>
      <c r="AR14" s="1327"/>
      <c r="AS14" s="1327"/>
      <c r="AT14" s="2161"/>
      <c r="AU14" s="1327"/>
      <c r="AV14" s="1327"/>
      <c r="AW14" s="1327"/>
      <c r="AX14" s="1327"/>
      <c r="AY14" s="2161"/>
      <c r="AZ14" s="1327"/>
      <c r="BA14" s="1327"/>
      <c r="BB14" s="1327"/>
      <c r="BC14" s="1327"/>
      <c r="BD14" s="2161"/>
      <c r="BE14" s="1327"/>
      <c r="BF14" s="1327"/>
      <c r="BG14" s="1327"/>
      <c r="BH14" s="1327"/>
      <c r="BI14" s="2161"/>
      <c r="BJ14" s="1327"/>
      <c r="BK14" s="1327"/>
      <c r="BL14" s="1327"/>
      <c r="BM14" s="1327"/>
      <c r="BN14" s="2161"/>
      <c r="BO14" s="1699"/>
      <c r="BP14" s="1699"/>
      <c r="BQ14" s="2040"/>
      <c r="BR14" s="1293"/>
      <c r="BS14" s="1293"/>
      <c r="BT14" s="1293"/>
      <c r="BU14" s="1293"/>
      <c r="BV14" s="1293"/>
      <c r="BW14" s="1293"/>
      <c r="BX14" s="1293"/>
      <c r="BY14" s="1293"/>
      <c r="BZ14" s="1293"/>
      <c r="CA14" s="1293"/>
      <c r="CB14" s="1293"/>
      <c r="CC14" s="1293"/>
      <c r="CD14" s="1293"/>
      <c r="CE14" s="1293"/>
      <c r="CF14" s="1293"/>
      <c r="CG14" s="1293"/>
      <c r="CH14" s="1293"/>
      <c r="CI14" s="1293"/>
      <c r="CJ14" s="1293"/>
      <c r="CK14" s="1293"/>
      <c r="CL14" s="1293"/>
      <c r="CM14" s="1293"/>
      <c r="CN14" s="1293"/>
      <c r="CO14" s="1293"/>
      <c r="CP14" s="1293"/>
      <c r="CQ14" s="1293"/>
      <c r="CR14" s="1293"/>
      <c r="CS14" s="1293"/>
      <c r="CT14" s="1293"/>
      <c r="CU14" s="1293"/>
      <c r="CV14" s="1293"/>
      <c r="CW14" s="1293"/>
      <c r="CX14" s="1293"/>
      <c r="CY14" s="2041"/>
      <c r="CZ14" s="1699"/>
      <c r="DA14" s="2042"/>
      <c r="DB14" s="2041"/>
      <c r="DC14" s="1293"/>
      <c r="DD14" s="1293"/>
      <c r="DE14" s="1293"/>
      <c r="DF14" s="1293"/>
      <c r="DG14" s="1293"/>
      <c r="DH14" s="1293"/>
      <c r="DI14" s="1293"/>
      <c r="DJ14" s="1293"/>
      <c r="DK14" s="1293"/>
      <c r="DL14" s="1293"/>
    </row>
    <row r="15" spans="1:116" ht="15.75">
      <c r="A15" s="1293"/>
      <c r="B15" s="1293" t="s">
        <v>2377</v>
      </c>
      <c r="C15" s="1699">
        <v>117.688976942113</v>
      </c>
      <c r="D15" s="1699">
        <v>117.75413998987</v>
      </c>
      <c r="E15" s="1699">
        <v>123.56688250217101</v>
      </c>
      <c r="F15" s="1699">
        <v>129.17864149927598</v>
      </c>
      <c r="G15" s="2039">
        <v>488.18864093342995</v>
      </c>
      <c r="H15" s="1699">
        <v>129.42436216497799</v>
      </c>
      <c r="I15" s="1699">
        <v>128.23587358755401</v>
      </c>
      <c r="J15" s="1699">
        <v>132.97088623444299</v>
      </c>
      <c r="K15" s="1699">
        <v>140.03455102749697</v>
      </c>
      <c r="L15" s="2039">
        <v>530.66567301447196</v>
      </c>
      <c r="M15" s="1699">
        <v>135.616044059334</v>
      </c>
      <c r="N15" s="1699">
        <v>132.59040926772801</v>
      </c>
      <c r="O15" s="1699">
        <v>135.36667226338702</v>
      </c>
      <c r="P15" s="1699">
        <v>138</v>
      </c>
      <c r="Q15" s="2039">
        <f>SUM(M15:P15)</f>
        <v>541.57312559044908</v>
      </c>
      <c r="R15" s="1699">
        <v>134</v>
      </c>
      <c r="S15" s="1699">
        <v>133</v>
      </c>
      <c r="T15" s="1699">
        <v>141</v>
      </c>
      <c r="U15" s="1699">
        <v>148</v>
      </c>
      <c r="V15" s="2039">
        <f>SUM(R15:U15)</f>
        <v>556</v>
      </c>
      <c r="W15" s="1699">
        <v>142</v>
      </c>
      <c r="X15" s="1699">
        <v>153</v>
      </c>
      <c r="Y15" s="1699">
        <v>159</v>
      </c>
      <c r="Z15" s="1699">
        <v>160</v>
      </c>
      <c r="AA15" s="2039">
        <f>SUM(W15:Z15)</f>
        <v>614</v>
      </c>
      <c r="AB15" s="1699">
        <f>AC15</f>
        <v>158</v>
      </c>
      <c r="AC15" s="1699">
        <v>158</v>
      </c>
      <c r="AD15" s="1699">
        <f>AE15</f>
        <v>161</v>
      </c>
      <c r="AE15" s="1699">
        <v>161</v>
      </c>
      <c r="AF15" s="1699">
        <f>AG15</f>
        <v>161</v>
      </c>
      <c r="AG15" s="1699">
        <v>161</v>
      </c>
      <c r="AH15" s="1699">
        <f>AI15</f>
        <v>159</v>
      </c>
      <c r="AI15" s="1699">
        <v>159</v>
      </c>
      <c r="AJ15" s="2039">
        <f>AB15+AD15+AF15+AH15</f>
        <v>639</v>
      </c>
      <c r="AK15" s="1995">
        <v>158</v>
      </c>
      <c r="AL15" s="1995">
        <v>132</v>
      </c>
      <c r="AM15" s="1995">
        <v>143</v>
      </c>
      <c r="AN15" s="1995">
        <v>151</v>
      </c>
      <c r="AO15" s="2039">
        <f>AK15+AL15+AM15+AN15</f>
        <v>584</v>
      </c>
      <c r="AP15" s="1503">
        <v>155</v>
      </c>
      <c r="AQ15" s="1503">
        <v>154</v>
      </c>
      <c r="AR15" s="1503">
        <v>155</v>
      </c>
      <c r="AS15" s="1503">
        <v>160</v>
      </c>
      <c r="AT15" s="2161">
        <f>AP15+AQ15+AR15+AS15</f>
        <v>624</v>
      </c>
      <c r="AU15" s="1503">
        <v>155</v>
      </c>
      <c r="AV15" s="1503">
        <v>158.52000000000001</v>
      </c>
      <c r="AW15" s="1503">
        <v>154.81</v>
      </c>
      <c r="AX15" s="1503">
        <v>153</v>
      </c>
      <c r="AY15" s="2161">
        <f>AU15+AV15+AW15+AX15</f>
        <v>621.32999999999993</v>
      </c>
      <c r="AZ15" s="1503">
        <v>153</v>
      </c>
      <c r="BA15" s="1503">
        <v>153</v>
      </c>
      <c r="BB15" s="1503">
        <v>153.44499999999999</v>
      </c>
      <c r="BC15" s="1503">
        <v>153.42400000000001</v>
      </c>
      <c r="BD15" s="2161">
        <f>AZ15+BA15+BB15+BC15</f>
        <v>612.86900000000003</v>
      </c>
      <c r="BE15" s="1503">
        <v>152</v>
      </c>
      <c r="BF15" s="1503">
        <v>151</v>
      </c>
      <c r="BG15" s="1503">
        <v>153.51730000000001</v>
      </c>
      <c r="BH15" s="1503">
        <v>156.99700000000001</v>
      </c>
      <c r="BI15" s="2161">
        <f>BE15+BF15+BG15+BH15</f>
        <v>613.51430000000005</v>
      </c>
      <c r="BJ15" s="1327">
        <f>BJ51+BJ86</f>
        <v>61.300483042857138</v>
      </c>
      <c r="BK15" s="1327">
        <f>BK51+BK86</f>
        <v>61.300483042857138</v>
      </c>
      <c r="BL15" s="1327">
        <f>BL51+BL86</f>
        <v>61.874512971485714</v>
      </c>
      <c r="BM15" s="1327">
        <f t="shared" ref="BM15:BM17" si="18">BN15-BJ15-BK15-BL15</f>
        <v>62.572738828514318</v>
      </c>
      <c r="BN15" s="2161">
        <f>'New split'!O19</f>
        <v>247.04821788571431</v>
      </c>
      <c r="BO15" s="1699"/>
      <c r="BP15" s="1699"/>
      <c r="BQ15" s="2040"/>
      <c r="BR15" s="1293"/>
      <c r="BS15" s="1293"/>
      <c r="BT15" s="1293"/>
      <c r="BU15" s="1293"/>
      <c r="BV15" s="1293"/>
      <c r="BW15" s="1293"/>
      <c r="BX15" s="1293"/>
      <c r="BY15" s="1293"/>
      <c r="BZ15" s="1293"/>
      <c r="CA15" s="1293"/>
      <c r="CB15" s="1293"/>
      <c r="CC15" s="1293"/>
      <c r="CD15" s="1293"/>
      <c r="CE15" s="1293"/>
      <c r="CF15" s="1293"/>
      <c r="CG15" s="1293"/>
      <c r="CH15" s="1293"/>
      <c r="CI15" s="1293"/>
      <c r="CJ15" s="1293"/>
      <c r="CK15" s="1293"/>
      <c r="CL15" s="1293"/>
      <c r="CM15" s="1293"/>
      <c r="CN15" s="1293"/>
      <c r="CO15" s="1293"/>
      <c r="CP15" s="1293"/>
      <c r="CQ15" s="1293"/>
      <c r="CR15" s="1293"/>
      <c r="CS15" s="1293"/>
      <c r="CT15" s="1293"/>
      <c r="CU15" s="1293"/>
      <c r="CV15" s="1293"/>
      <c r="CW15" s="1293"/>
      <c r="CX15" s="1293"/>
      <c r="CY15" s="2041">
        <v>151.00083525751191</v>
      </c>
      <c r="CZ15" s="1699">
        <f>CZ51+CZ86</f>
        <v>152.67192851926848</v>
      </c>
      <c r="DA15" s="2042">
        <v>151.4485473749026</v>
      </c>
      <c r="DB15" s="2041">
        <v>156.83945454680534</v>
      </c>
      <c r="DC15" s="1293"/>
      <c r="DD15" s="1293"/>
      <c r="DE15" s="1293"/>
      <c r="DF15" s="1293"/>
      <c r="DG15" s="1293"/>
      <c r="DH15" s="1293"/>
      <c r="DI15" s="1293"/>
      <c r="DJ15" s="1293"/>
      <c r="DK15" s="1293"/>
      <c r="DL15" s="1293"/>
    </row>
    <row r="16" spans="1:116" ht="15.75">
      <c r="A16" s="1293"/>
      <c r="B16" s="1293" t="s">
        <v>1665</v>
      </c>
      <c r="C16" s="1699">
        <v>257.50213012324798</v>
      </c>
      <c r="D16" s="1699">
        <v>285.16484328884496</v>
      </c>
      <c r="E16" s="1699">
        <v>494.69213045912898</v>
      </c>
      <c r="F16" s="1699">
        <v>633.693714502126</v>
      </c>
      <c r="G16" s="2039">
        <v>1671.0528183733481</v>
      </c>
      <c r="H16" s="1699">
        <v>524.83581518865901</v>
      </c>
      <c r="I16" s="1699">
        <v>532.918043227986</v>
      </c>
      <c r="J16" s="1699">
        <v>464.841252481026</v>
      </c>
      <c r="K16" s="1699">
        <v>459.20666685295697</v>
      </c>
      <c r="L16" s="2039">
        <v>1981.8017777506279</v>
      </c>
      <c r="M16" s="1699">
        <v>397.10702266732801</v>
      </c>
      <c r="N16" s="1699">
        <v>433.70786736963896</v>
      </c>
      <c r="O16" s="1699">
        <v>428.24149813447997</v>
      </c>
      <c r="P16" s="1699">
        <v>457</v>
      </c>
      <c r="Q16" s="2039">
        <f>SUM(M16:P16)</f>
        <v>1716.056388171447</v>
      </c>
      <c r="R16" s="1699">
        <v>430</v>
      </c>
      <c r="S16" s="1699">
        <v>430</v>
      </c>
      <c r="T16" s="1699">
        <v>432</v>
      </c>
      <c r="U16" s="1699">
        <v>447</v>
      </c>
      <c r="V16" s="2039">
        <f>SUM(R16:U16)</f>
        <v>1739</v>
      </c>
      <c r="W16" s="1699">
        <v>417</v>
      </c>
      <c r="X16" s="1699">
        <v>432</v>
      </c>
      <c r="Y16" s="1699">
        <v>418</v>
      </c>
      <c r="Z16" s="1699">
        <v>394</v>
      </c>
      <c r="AA16" s="2039">
        <f>SUM(W16:Z16)</f>
        <v>1661</v>
      </c>
      <c r="AB16" s="1699">
        <f>AC16</f>
        <v>391</v>
      </c>
      <c r="AC16" s="1699">
        <v>391</v>
      </c>
      <c r="AD16" s="1699">
        <f>AE16</f>
        <v>378</v>
      </c>
      <c r="AE16" s="1699">
        <v>378</v>
      </c>
      <c r="AF16" s="1699">
        <f>AG16</f>
        <v>375</v>
      </c>
      <c r="AG16" s="1699">
        <v>375</v>
      </c>
      <c r="AH16" s="1699">
        <f>AI16</f>
        <v>388</v>
      </c>
      <c r="AI16" s="1699">
        <v>388</v>
      </c>
      <c r="AJ16" s="2039">
        <f>AB16+AD16+AF16+AH16</f>
        <v>1532</v>
      </c>
      <c r="AK16" s="1995">
        <v>356</v>
      </c>
      <c r="AL16" s="1995">
        <v>301</v>
      </c>
      <c r="AM16" s="1995">
        <v>332</v>
      </c>
      <c r="AN16" s="1995">
        <v>356</v>
      </c>
      <c r="AO16" s="2039">
        <f>AK16+AL16+AM16+AN16</f>
        <v>1345</v>
      </c>
      <c r="AP16" s="1503">
        <v>357</v>
      </c>
      <c r="AQ16" s="1503">
        <v>348</v>
      </c>
      <c r="AR16" s="1503">
        <v>349</v>
      </c>
      <c r="AS16" s="1503">
        <v>359</v>
      </c>
      <c r="AT16" s="2161">
        <f>AP16+AQ16+AR16+AS16</f>
        <v>1413</v>
      </c>
      <c r="AU16" s="1503">
        <v>357</v>
      </c>
      <c r="AV16" s="1503">
        <v>359.46</v>
      </c>
      <c r="AW16" s="1503">
        <v>320.38</v>
      </c>
      <c r="AX16" s="1503">
        <v>299</v>
      </c>
      <c r="AY16" s="2161">
        <f>AU16+AV16+AW16+AX16</f>
        <v>1335.8400000000001</v>
      </c>
      <c r="AZ16" s="1503">
        <v>298</v>
      </c>
      <c r="BA16" s="1503">
        <v>314</v>
      </c>
      <c r="BB16" s="1503">
        <v>344.15600000000001</v>
      </c>
      <c r="BC16" s="1503">
        <v>357.202</v>
      </c>
      <c r="BD16" s="2161">
        <f>AZ16+BA16+BB16+BC16</f>
        <v>1313.3579999999999</v>
      </c>
      <c r="BE16" s="1503">
        <v>355</v>
      </c>
      <c r="BF16" s="1503">
        <v>357</v>
      </c>
      <c r="BG16" s="1503">
        <v>340.11540000000002</v>
      </c>
      <c r="BH16" s="1503">
        <v>327.92970000000003</v>
      </c>
      <c r="BI16" s="2161">
        <f>BE16+BF16+BG16+BH16</f>
        <v>1380.0451000000003</v>
      </c>
      <c r="BJ16" s="1327">
        <f t="shared" ref="BJ16:BK17" si="19">BJ52+BJ87</f>
        <v>339.29264718433734</v>
      </c>
      <c r="BK16" s="1327">
        <f t="shared" si="19"/>
        <v>344.82192217228919</v>
      </c>
      <c r="BL16" s="1327">
        <f t="shared" ref="BL16" si="20">BL52+BL87</f>
        <v>347.43264129070849</v>
      </c>
      <c r="BM16" s="1327">
        <f t="shared" si="18"/>
        <v>351.73972768037595</v>
      </c>
      <c r="BN16" s="2161">
        <f>'New split'!O20</f>
        <v>1383.2869383277109</v>
      </c>
      <c r="BO16" s="1699"/>
      <c r="BP16" s="1699"/>
      <c r="BQ16" s="2040"/>
      <c r="BR16" s="1293"/>
      <c r="BS16" s="1293"/>
      <c r="BT16" s="1293"/>
      <c r="BU16" s="1293"/>
      <c r="BV16" s="1293"/>
      <c r="BW16" s="1293"/>
      <c r="BX16" s="1293"/>
      <c r="BY16" s="1293"/>
      <c r="BZ16" s="1293"/>
      <c r="CA16" s="1293"/>
      <c r="CB16" s="1293"/>
      <c r="CC16" s="1293"/>
      <c r="CD16" s="1293"/>
      <c r="CE16" s="1293"/>
      <c r="CF16" s="1293"/>
      <c r="CG16" s="1293"/>
      <c r="CH16" s="1293"/>
      <c r="CI16" s="1293"/>
      <c r="CJ16" s="1293"/>
      <c r="CK16" s="1293"/>
      <c r="CL16" s="1293"/>
      <c r="CM16" s="1293"/>
      <c r="CN16" s="1293"/>
      <c r="CO16" s="1293"/>
      <c r="CP16" s="1293"/>
      <c r="CQ16" s="1293"/>
      <c r="CR16" s="1293"/>
      <c r="CS16" s="1293"/>
      <c r="CT16" s="1293"/>
      <c r="CU16" s="1293"/>
      <c r="CV16" s="1293"/>
      <c r="CW16" s="1293"/>
      <c r="CX16" s="1293"/>
      <c r="CY16" s="2041">
        <v>357.41587955675777</v>
      </c>
      <c r="CZ16" s="1699">
        <f>CZ52+CZ87</f>
        <v>353.19885074626865</v>
      </c>
      <c r="DA16" s="2042">
        <v>358.63444680144147</v>
      </c>
      <c r="DB16" s="2041">
        <v>343.65678647067494</v>
      </c>
      <c r="DC16" s="1293"/>
      <c r="DD16" s="1293"/>
      <c r="DE16" s="1293"/>
      <c r="DF16" s="1293"/>
      <c r="DG16" s="1293"/>
      <c r="DH16" s="1293"/>
      <c r="DI16" s="1293"/>
      <c r="DJ16" s="1293"/>
      <c r="DK16" s="1293"/>
      <c r="DL16" s="1293"/>
    </row>
    <row r="17" spans="1:116" ht="15.75">
      <c r="A17" s="1293"/>
      <c r="B17" s="1293" t="s">
        <v>2378</v>
      </c>
      <c r="C17" s="1699">
        <v>184.44599025743699</v>
      </c>
      <c r="D17" s="1699">
        <v>189.82688684072801</v>
      </c>
      <c r="E17" s="1699">
        <v>195.775128984291</v>
      </c>
      <c r="F17" s="1699">
        <v>196.736255187864</v>
      </c>
      <c r="G17" s="2039">
        <v>766.78426127032003</v>
      </c>
      <c r="H17" s="1699">
        <v>177.34711915640301</v>
      </c>
      <c r="I17" s="1699">
        <v>170.082349480852</v>
      </c>
      <c r="J17" s="1699">
        <v>166.06197465051201</v>
      </c>
      <c r="K17" s="1699">
        <v>159.49454026046101</v>
      </c>
      <c r="L17" s="2039">
        <v>672.98598354822798</v>
      </c>
      <c r="M17" s="1699">
        <v>152.89204994729798</v>
      </c>
      <c r="N17" s="1699">
        <v>162.01955139680399</v>
      </c>
      <c r="O17" s="1699">
        <v>162.151867523536</v>
      </c>
      <c r="P17" s="1699">
        <v>146</v>
      </c>
      <c r="Q17" s="2039">
        <f>SUM(M17:P17)</f>
        <v>623.06346886763799</v>
      </c>
      <c r="R17" s="1699">
        <v>159</v>
      </c>
      <c r="S17" s="1699">
        <v>165</v>
      </c>
      <c r="T17" s="1699">
        <v>168</v>
      </c>
      <c r="U17" s="1699">
        <v>171</v>
      </c>
      <c r="V17" s="2039">
        <f>SUM(R17:U17)</f>
        <v>663</v>
      </c>
      <c r="W17" s="1699">
        <v>173</v>
      </c>
      <c r="X17" s="1699">
        <v>172</v>
      </c>
      <c r="Y17" s="1699">
        <v>171</v>
      </c>
      <c r="Z17" s="1699">
        <v>163</v>
      </c>
      <c r="AA17" s="2039">
        <f>SUM(W17:Z17)</f>
        <v>679</v>
      </c>
      <c r="AB17" s="1699">
        <f>AC17</f>
        <v>154</v>
      </c>
      <c r="AC17" s="1699">
        <v>154</v>
      </c>
      <c r="AD17" s="1699">
        <f>AE17</f>
        <v>151</v>
      </c>
      <c r="AE17" s="1699">
        <v>151</v>
      </c>
      <c r="AF17" s="1699">
        <f>AG17</f>
        <v>150</v>
      </c>
      <c r="AG17" s="1293">
        <f>155-5</f>
        <v>150</v>
      </c>
      <c r="AH17" s="1699">
        <f>AI17</f>
        <v>150</v>
      </c>
      <c r="AI17" s="1293">
        <v>150</v>
      </c>
      <c r="AJ17" s="2039">
        <f>AB17+AD17+AF17+AH17</f>
        <v>605</v>
      </c>
      <c r="AK17" s="1995">
        <v>142</v>
      </c>
      <c r="AL17" s="1995">
        <v>135</v>
      </c>
      <c r="AM17" s="1995">
        <v>132</v>
      </c>
      <c r="AN17" s="1995">
        <v>135</v>
      </c>
      <c r="AO17" s="2039">
        <f>AK17+AL17+AM17+AN17</f>
        <v>544</v>
      </c>
      <c r="AP17" s="1503">
        <v>137</v>
      </c>
      <c r="AQ17" s="1503">
        <v>137</v>
      </c>
      <c r="AR17" s="1503">
        <v>139</v>
      </c>
      <c r="AS17" s="1503">
        <v>141</v>
      </c>
      <c r="AT17" s="2161">
        <f>AP17+AQ17+AR17+AS17</f>
        <v>554</v>
      </c>
      <c r="AU17" s="1503">
        <v>137</v>
      </c>
      <c r="AV17" s="1503">
        <v>138.86000000000001</v>
      </c>
      <c r="AW17" s="1503">
        <v>140.77000000000001</v>
      </c>
      <c r="AX17" s="1503">
        <v>140</v>
      </c>
      <c r="AY17" s="2161">
        <f>AU17+AV17+AW17+AX17</f>
        <v>556.63</v>
      </c>
      <c r="AZ17" s="1503">
        <v>139</v>
      </c>
      <c r="BA17" s="1503">
        <v>143</v>
      </c>
      <c r="BB17" s="1503">
        <v>143.03800000000001</v>
      </c>
      <c r="BC17" s="1503">
        <v>143.40700000000001</v>
      </c>
      <c r="BD17" s="2161">
        <f>AZ17+BA17+BB17+BC17</f>
        <v>568.44500000000005</v>
      </c>
      <c r="BE17" s="1503">
        <v>142</v>
      </c>
      <c r="BF17" s="1503">
        <v>139</v>
      </c>
      <c r="BG17" s="1503">
        <v>136.90029999999999</v>
      </c>
      <c r="BH17" s="1503">
        <v>140.61160000000001</v>
      </c>
      <c r="BI17" s="2161">
        <f>BE17+BF17+BG17+BH17</f>
        <v>558.51189999999997</v>
      </c>
      <c r="BJ17" s="1327">
        <f t="shared" si="19"/>
        <v>135.07493417496838</v>
      </c>
      <c r="BK17" s="1327">
        <f t="shared" si="19"/>
        <v>134.65703610851264</v>
      </c>
      <c r="BL17" s="1327">
        <f t="shared" ref="BL17" si="21">BL53+BL88</f>
        <v>135.83892334197151</v>
      </c>
      <c r="BM17" s="1327">
        <f t="shared" si="18"/>
        <v>139.98476890986387</v>
      </c>
      <c r="BN17" s="2161">
        <f>'New split'!O21</f>
        <v>545.5556625353164</v>
      </c>
      <c r="BO17" s="1699"/>
      <c r="BP17" s="1699"/>
      <c r="BQ17" s="2040"/>
      <c r="BR17" s="1293"/>
      <c r="BS17" s="1293"/>
      <c r="BT17" s="1293"/>
      <c r="BU17" s="1293"/>
      <c r="BV17" s="1293"/>
      <c r="BW17" s="1293"/>
      <c r="BX17" s="1293"/>
      <c r="BY17" s="1293"/>
      <c r="BZ17" s="1293"/>
      <c r="CA17" s="1293"/>
      <c r="CB17" s="1293"/>
      <c r="CC17" s="1293"/>
      <c r="CD17" s="1293"/>
      <c r="CE17" s="1293"/>
      <c r="CF17" s="1293"/>
      <c r="CG17" s="1293"/>
      <c r="CH17" s="1293"/>
      <c r="CI17" s="1293"/>
      <c r="CJ17" s="1293"/>
      <c r="CK17" s="1293"/>
      <c r="CL17" s="1293"/>
      <c r="CM17" s="1293"/>
      <c r="CN17" s="1293"/>
      <c r="CO17" s="1293"/>
      <c r="CP17" s="1293"/>
      <c r="CQ17" s="1293"/>
      <c r="CR17" s="1293"/>
      <c r="CS17" s="1293"/>
      <c r="CT17" s="1293"/>
      <c r="CU17" s="1293"/>
      <c r="CV17" s="1293"/>
      <c r="CW17" s="1293"/>
      <c r="CX17" s="1293"/>
      <c r="CY17" s="2041">
        <v>147.37667908494251</v>
      </c>
      <c r="CZ17" s="1699">
        <f>CZ53+CZ88</f>
        <v>147.38028925619835</v>
      </c>
      <c r="DA17" s="2042">
        <v>147.19217748562039</v>
      </c>
      <c r="DB17" s="2041">
        <v>142.88410096058783</v>
      </c>
      <c r="DC17" s="1293"/>
      <c r="DD17" s="1293"/>
      <c r="DE17" s="1293"/>
      <c r="DF17" s="1293"/>
      <c r="DG17" s="1293"/>
      <c r="DH17" s="1293"/>
      <c r="DI17" s="1293"/>
      <c r="DJ17" s="1293"/>
      <c r="DK17" s="1293"/>
      <c r="DL17" s="1293"/>
    </row>
    <row r="18" spans="1:116" ht="15.75" hidden="1">
      <c r="A18" s="1293"/>
      <c r="B18" s="1293" t="s">
        <v>4514</v>
      </c>
      <c r="C18" s="1699">
        <f t="shared" ref="C18:P18" si="22">C19-C15-C16-C17</f>
        <v>-8.8107299234252423E-13</v>
      </c>
      <c r="D18" s="1699">
        <f t="shared" si="22"/>
        <v>5.3003645916760433E-10</v>
      </c>
      <c r="E18" s="1699">
        <f t="shared" si="22"/>
        <v>1.9130936834699241E-9</v>
      </c>
      <c r="F18" s="1699">
        <f t="shared" si="22"/>
        <v>-2.7966962079517543E-11</v>
      </c>
      <c r="G18" s="2039">
        <f t="shared" si="22"/>
        <v>2.4122073227772489E-9</v>
      </c>
      <c r="H18" s="1699">
        <f t="shared" si="22"/>
        <v>1.0774098768706608E-7</v>
      </c>
      <c r="I18" s="1699">
        <f t="shared" si="22"/>
        <v>9.3853970213331195E-6</v>
      </c>
      <c r="J18" s="1699">
        <f t="shared" si="22"/>
        <v>-9.6633812063373625E-13</v>
      </c>
      <c r="K18" s="1699">
        <f t="shared" si="22"/>
        <v>4.9453774408902973E-12</v>
      </c>
      <c r="L18" s="2039">
        <f t="shared" si="22"/>
        <v>9.4931419880595058E-6</v>
      </c>
      <c r="M18" s="1699">
        <f t="shared" si="22"/>
        <v>2.3229915768752107E-9</v>
      </c>
      <c r="N18" s="1699">
        <f t="shared" si="22"/>
        <v>-9.0949470177292824E-13</v>
      </c>
      <c r="O18" s="1699">
        <f t="shared" si="22"/>
        <v>-9.6633812063373625E-13</v>
      </c>
      <c r="P18" s="1699">
        <f t="shared" si="22"/>
        <v>0</v>
      </c>
      <c r="Q18" s="2039">
        <f>SUM(M18:P18)</f>
        <v>2.3211157440528041E-9</v>
      </c>
      <c r="R18" s="1699">
        <f>R19-R15-R16-R17</f>
        <v>0</v>
      </c>
      <c r="S18" s="1699">
        <v>0</v>
      </c>
      <c r="T18" s="1699">
        <v>0</v>
      </c>
      <c r="U18" s="1699">
        <v>0</v>
      </c>
      <c r="V18" s="2039">
        <f>SUM(R18:U18)</f>
        <v>0</v>
      </c>
      <c r="W18" s="1699">
        <v>0</v>
      </c>
      <c r="X18" s="1699">
        <v>0</v>
      </c>
      <c r="Y18" s="1699">
        <v>0</v>
      </c>
      <c r="Z18" s="1699">
        <v>0</v>
      </c>
      <c r="AA18" s="2039">
        <f>SUM(W18:Z18)</f>
        <v>0</v>
      </c>
      <c r="AB18" s="1699">
        <f>AC18</f>
        <v>0</v>
      </c>
      <c r="AC18" s="1699">
        <f>AC54+AC89</f>
        <v>0</v>
      </c>
      <c r="AD18" s="1699">
        <f>AE18</f>
        <v>0</v>
      </c>
      <c r="AE18" s="1699">
        <f>AE54+AE89</f>
        <v>0</v>
      </c>
      <c r="AF18" s="1699">
        <v>0</v>
      </c>
      <c r="AG18" s="1699">
        <v>0</v>
      </c>
      <c r="AH18" s="1699">
        <v>0</v>
      </c>
      <c r="AI18" s="1699">
        <v>0</v>
      </c>
      <c r="AJ18" s="2039">
        <f>AB18+AD18+AF18+AH18</f>
        <v>0</v>
      </c>
      <c r="AK18" s="1699">
        <v>0</v>
      </c>
      <c r="AL18" s="1699">
        <v>0</v>
      </c>
      <c r="AM18" s="1699">
        <v>0</v>
      </c>
      <c r="AN18" s="1699">
        <v>0</v>
      </c>
      <c r="AO18" s="2039">
        <f>AK18+AL18+AM18+AN18</f>
        <v>0</v>
      </c>
      <c r="AP18" s="1327"/>
      <c r="AQ18" s="1327"/>
      <c r="AR18" s="1327"/>
      <c r="AS18" s="1327"/>
      <c r="AT18" s="2161">
        <f>AP18+AQ18+AR18+AS18</f>
        <v>0</v>
      </c>
      <c r="AU18" s="1327"/>
      <c r="AV18" s="1327"/>
      <c r="AW18" s="1327"/>
      <c r="AX18" s="1327"/>
      <c r="AY18" s="2161"/>
      <c r="AZ18" s="1327"/>
      <c r="BA18" s="1327"/>
      <c r="BB18" s="1327"/>
      <c r="BC18" s="1327"/>
      <c r="BD18" s="2161"/>
      <c r="BE18" s="1327"/>
      <c r="BF18" s="1327"/>
      <c r="BG18" s="1327"/>
      <c r="BH18" s="1327"/>
      <c r="BI18" s="2161"/>
      <c r="BJ18" s="1327"/>
      <c r="BK18" s="1327"/>
      <c r="BL18" s="1327"/>
      <c r="BM18" s="1327"/>
      <c r="BN18" s="2161"/>
      <c r="BO18" s="1699"/>
      <c r="BP18" s="1699"/>
      <c r="BQ18" s="2040"/>
      <c r="BR18" s="1293"/>
      <c r="BS18" s="1293"/>
      <c r="BT18" s="1293"/>
      <c r="BU18" s="1293"/>
      <c r="BV18" s="1293"/>
      <c r="BW18" s="1293"/>
      <c r="BX18" s="1293"/>
      <c r="BY18" s="1293"/>
      <c r="BZ18" s="1293"/>
      <c r="CA18" s="1293"/>
      <c r="CB18" s="1293"/>
      <c r="CC18" s="1293"/>
      <c r="CD18" s="1293"/>
      <c r="CE18" s="1293"/>
      <c r="CF18" s="1293"/>
      <c r="CG18" s="1293"/>
      <c r="CH18" s="1293"/>
      <c r="CI18" s="1293"/>
      <c r="CJ18" s="1293"/>
      <c r="CK18" s="1293"/>
      <c r="CL18" s="1293"/>
      <c r="CM18" s="1293"/>
      <c r="CN18" s="1293"/>
      <c r="CO18" s="1293"/>
      <c r="CP18" s="1293"/>
      <c r="CQ18" s="1293"/>
      <c r="CR18" s="1293"/>
      <c r="CS18" s="1293"/>
      <c r="CT18" s="1293"/>
      <c r="CU18" s="1293"/>
      <c r="CV18" s="1293"/>
      <c r="CW18" s="1293"/>
      <c r="CX18" s="1293"/>
      <c r="CY18" s="2049"/>
      <c r="CZ18" s="1703"/>
      <c r="DA18" s="2050"/>
      <c r="DB18" s="2051"/>
      <c r="DC18" s="1293"/>
      <c r="DD18" s="1293"/>
      <c r="DE18" s="1293"/>
      <c r="DF18" s="1293"/>
      <c r="DG18" s="1293"/>
      <c r="DH18" s="1293"/>
      <c r="DI18" s="1293"/>
      <c r="DJ18" s="1293"/>
      <c r="DK18" s="1293"/>
      <c r="DL18" s="1293"/>
    </row>
    <row r="19" spans="1:116" ht="15.75">
      <c r="A19" s="1293"/>
      <c r="B19" s="1375" t="s">
        <v>1697</v>
      </c>
      <c r="C19" s="1984">
        <v>559.6370973227971</v>
      </c>
      <c r="D19" s="1984">
        <v>592.74587011997301</v>
      </c>
      <c r="E19" s="1984">
        <v>814.03414194750405</v>
      </c>
      <c r="F19" s="1984">
        <v>959.60861118923799</v>
      </c>
      <c r="G19" s="2052">
        <v>2926.0257205795101</v>
      </c>
      <c r="H19" s="1984">
        <v>831.607296617781</v>
      </c>
      <c r="I19" s="1984">
        <v>831.23627568178904</v>
      </c>
      <c r="J19" s="1984">
        <v>763.87411336598007</v>
      </c>
      <c r="K19" s="1984">
        <v>758.73575814091987</v>
      </c>
      <c r="L19" s="2052">
        <v>3185.4534438064697</v>
      </c>
      <c r="M19" s="1984">
        <v>685.61511667628292</v>
      </c>
      <c r="N19" s="1984">
        <v>728.31782803417002</v>
      </c>
      <c r="O19" s="1984">
        <v>725.76003792140204</v>
      </c>
      <c r="P19" s="1984">
        <v>741</v>
      </c>
      <c r="Q19" s="2052">
        <f>SUM(Q15:Q18)</f>
        <v>2880.6929826318556</v>
      </c>
      <c r="R19" s="1984">
        <v>723</v>
      </c>
      <c r="S19" s="1984">
        <f t="shared" ref="S19:AA19" si="23">SUM(S15:S18)</f>
        <v>728</v>
      </c>
      <c r="T19" s="1984">
        <f t="shared" si="23"/>
        <v>741</v>
      </c>
      <c r="U19" s="1984">
        <f t="shared" si="23"/>
        <v>766</v>
      </c>
      <c r="V19" s="2052">
        <f t="shared" si="23"/>
        <v>2958</v>
      </c>
      <c r="W19" s="1984">
        <f t="shared" si="23"/>
        <v>732</v>
      </c>
      <c r="X19" s="1984">
        <f t="shared" si="23"/>
        <v>757</v>
      </c>
      <c r="Y19" s="1984">
        <f t="shared" si="23"/>
        <v>748</v>
      </c>
      <c r="Z19" s="1984">
        <f t="shared" si="23"/>
        <v>717</v>
      </c>
      <c r="AA19" s="2052">
        <f t="shared" si="23"/>
        <v>2954</v>
      </c>
      <c r="AB19" s="1984">
        <f>AC19</f>
        <v>703</v>
      </c>
      <c r="AC19" s="1984">
        <f>SUM(AC15:AC18)</f>
        <v>703</v>
      </c>
      <c r="AD19" s="1984">
        <f>AE19</f>
        <v>690</v>
      </c>
      <c r="AE19" s="1984">
        <f t="shared" ref="AE19:AU19" si="24">SUM(AE15:AE18)</f>
        <v>690</v>
      </c>
      <c r="AF19" s="1984">
        <f t="shared" si="24"/>
        <v>686</v>
      </c>
      <c r="AG19" s="1984">
        <f t="shared" si="24"/>
        <v>686</v>
      </c>
      <c r="AH19" s="1984">
        <f t="shared" si="24"/>
        <v>697</v>
      </c>
      <c r="AI19" s="1984">
        <f t="shared" si="24"/>
        <v>697</v>
      </c>
      <c r="AJ19" s="2052">
        <f t="shared" si="24"/>
        <v>2776</v>
      </c>
      <c r="AK19" s="1984">
        <f t="shared" si="24"/>
        <v>656</v>
      </c>
      <c r="AL19" s="1984">
        <f t="shared" si="24"/>
        <v>568</v>
      </c>
      <c r="AM19" s="1984">
        <f t="shared" si="24"/>
        <v>607</v>
      </c>
      <c r="AN19" s="1984">
        <f t="shared" si="24"/>
        <v>642</v>
      </c>
      <c r="AO19" s="2052">
        <f t="shared" si="24"/>
        <v>2473</v>
      </c>
      <c r="AP19" s="1991">
        <f t="shared" si="24"/>
        <v>649</v>
      </c>
      <c r="AQ19" s="1991">
        <f t="shared" si="24"/>
        <v>639</v>
      </c>
      <c r="AR19" s="1991">
        <f t="shared" si="24"/>
        <v>643</v>
      </c>
      <c r="AS19" s="1991">
        <f t="shared" si="24"/>
        <v>660</v>
      </c>
      <c r="AT19" s="2465">
        <f t="shared" si="24"/>
        <v>2591</v>
      </c>
      <c r="AU19" s="1991">
        <f t="shared" si="24"/>
        <v>649</v>
      </c>
      <c r="AV19" s="1991">
        <f t="shared" ref="AV19:AW19" si="25">SUM(AV15:AV18)</f>
        <v>656.84</v>
      </c>
      <c r="AW19" s="1991">
        <f t="shared" si="25"/>
        <v>615.96</v>
      </c>
      <c r="AX19" s="1991">
        <f t="shared" ref="AX19:AZ19" si="26">SUM(AX15:AX18)</f>
        <v>592</v>
      </c>
      <c r="AY19" s="2465">
        <f t="shared" si="26"/>
        <v>2513.8000000000002</v>
      </c>
      <c r="AZ19" s="1991">
        <f t="shared" si="26"/>
        <v>590</v>
      </c>
      <c r="BA19" s="1991">
        <f t="shared" ref="BA19:BB19" si="27">SUM(BA15:BA18)</f>
        <v>610</v>
      </c>
      <c r="BB19" s="1991">
        <f t="shared" si="27"/>
        <v>640.63900000000001</v>
      </c>
      <c r="BC19" s="1991">
        <f t="shared" ref="BC19:BE19" si="28">SUM(BC15:BC18)</f>
        <v>654.03300000000002</v>
      </c>
      <c r="BD19" s="2465">
        <f t="shared" si="28"/>
        <v>2494.672</v>
      </c>
      <c r="BE19" s="1991">
        <f t="shared" si="28"/>
        <v>649</v>
      </c>
      <c r="BF19" s="1991">
        <f>SUM(BF15:BF18)</f>
        <v>647</v>
      </c>
      <c r="BG19" s="1991">
        <f t="shared" ref="BG19" si="29">SUM(BG15:BG18)</f>
        <v>630.53300000000002</v>
      </c>
      <c r="BH19" s="1991">
        <f>SUM(BH15:BH18)</f>
        <v>625.53830000000005</v>
      </c>
      <c r="BI19" s="2465">
        <f t="shared" ref="BI19:BM19" si="30">SUM(BI15:BI18)</f>
        <v>2552.0713000000005</v>
      </c>
      <c r="BJ19" s="1991">
        <f t="shared" si="30"/>
        <v>535.66806440216283</v>
      </c>
      <c r="BK19" s="1991">
        <f t="shared" ref="BK19:BL19" si="31">SUM(BK15:BK18)</f>
        <v>540.77944132365894</v>
      </c>
      <c r="BL19" s="1991">
        <f t="shared" si="31"/>
        <v>545.14607760416573</v>
      </c>
      <c r="BM19" s="1991">
        <f t="shared" si="30"/>
        <v>554.2972354187541</v>
      </c>
      <c r="BN19" s="2465">
        <f t="shared" ref="BN19" si="32">SUM(BN15:BN18)</f>
        <v>2175.8908187487418</v>
      </c>
      <c r="BO19" s="1699"/>
      <c r="BP19" s="1699"/>
      <c r="BQ19" s="2053"/>
      <c r="BR19" s="1293"/>
      <c r="BS19" s="1293"/>
      <c r="BT19" s="1293"/>
      <c r="BU19" s="1293"/>
      <c r="BV19" s="1293"/>
      <c r="BW19" s="1293"/>
      <c r="BX19" s="1293"/>
      <c r="BY19" s="1293"/>
      <c r="BZ19" s="1293"/>
      <c r="CA19" s="1293"/>
      <c r="CB19" s="1293"/>
      <c r="CC19" s="1293"/>
      <c r="CD19" s="1293"/>
      <c r="CE19" s="1293"/>
      <c r="CF19" s="1293"/>
      <c r="CG19" s="1293"/>
      <c r="CH19" s="1293"/>
      <c r="CI19" s="1293"/>
      <c r="CJ19" s="1293"/>
      <c r="CK19" s="1293"/>
      <c r="CL19" s="1293"/>
      <c r="CM19" s="1293"/>
      <c r="CN19" s="1293"/>
      <c r="CO19" s="1293"/>
      <c r="CP19" s="1293"/>
      <c r="CQ19" s="1293"/>
      <c r="CR19" s="1293"/>
      <c r="CS19" s="1293"/>
      <c r="CT19" s="1293"/>
      <c r="CU19" s="1293"/>
      <c r="CV19" s="1293"/>
      <c r="CW19" s="1293"/>
      <c r="CX19" s="1293"/>
      <c r="CY19" s="2041">
        <v>655.79339389921211</v>
      </c>
      <c r="CZ19" s="1699">
        <f>SUM(CZ15:CZ18)</f>
        <v>653.25106852173553</v>
      </c>
      <c r="DA19" s="2042">
        <v>657.27517166196446</v>
      </c>
      <c r="DB19" s="2041">
        <v>643.38034197806815</v>
      </c>
      <c r="DC19" s="1293"/>
      <c r="DD19" s="1293"/>
      <c r="DE19" s="1293"/>
      <c r="DF19" s="1293"/>
      <c r="DG19" s="1293"/>
      <c r="DH19" s="1293"/>
      <c r="DI19" s="1293"/>
      <c r="DJ19" s="1293"/>
      <c r="DK19" s="1293"/>
      <c r="DL19" s="1293"/>
    </row>
    <row r="20" spans="1:116" ht="15.75">
      <c r="A20" s="1293"/>
      <c r="B20" s="1293"/>
      <c r="C20" s="1699"/>
      <c r="D20" s="1699"/>
      <c r="E20" s="1699"/>
      <c r="F20" s="1699"/>
      <c r="G20" s="2039"/>
      <c r="H20" s="1699"/>
      <c r="I20" s="1699"/>
      <c r="J20" s="1699"/>
      <c r="K20" s="1699"/>
      <c r="L20" s="2039"/>
      <c r="M20" s="1699"/>
      <c r="N20" s="1699"/>
      <c r="O20" s="1699"/>
      <c r="P20" s="1699"/>
      <c r="Q20" s="2039"/>
      <c r="R20" s="1699"/>
      <c r="S20" s="1699"/>
      <c r="T20" s="1699"/>
      <c r="U20" s="1699"/>
      <c r="V20" s="2039"/>
      <c r="W20" s="1699"/>
      <c r="X20" s="1699"/>
      <c r="Y20" s="1699"/>
      <c r="Z20" s="1699"/>
      <c r="AA20" s="2039"/>
      <c r="AB20" s="1699"/>
      <c r="AC20" s="1699"/>
      <c r="AD20" s="1699"/>
      <c r="AE20" s="1699"/>
      <c r="AF20" s="1699"/>
      <c r="AG20" s="1699"/>
      <c r="AH20" s="1699"/>
      <c r="AI20" s="1699"/>
      <c r="AJ20" s="2039"/>
      <c r="AK20" s="1699"/>
      <c r="AL20" s="1699"/>
      <c r="AM20" s="1699"/>
      <c r="AN20" s="1699"/>
      <c r="AO20" s="2039"/>
      <c r="AP20" s="1327"/>
      <c r="AQ20" s="1327"/>
      <c r="AR20" s="1327"/>
      <c r="AS20" s="1327"/>
      <c r="AT20" s="2161"/>
      <c r="AU20" s="1327"/>
      <c r="AV20" s="1327"/>
      <c r="AW20" s="1327"/>
      <c r="AX20" s="1327"/>
      <c r="AY20" s="2161"/>
      <c r="AZ20" s="1327"/>
      <c r="BA20" s="1327"/>
      <c r="BB20" s="1327"/>
      <c r="BC20" s="1327"/>
      <c r="BD20" s="2161"/>
      <c r="BE20" s="1327"/>
      <c r="BF20" s="1327"/>
      <c r="BG20" s="1327"/>
      <c r="BH20" s="1327"/>
      <c r="BI20" s="2161"/>
      <c r="BJ20" s="1327"/>
      <c r="BK20" s="1327"/>
      <c r="BL20" s="1327"/>
      <c r="BM20" s="1327"/>
      <c r="BN20" s="2161"/>
      <c r="BO20" s="1699"/>
      <c r="BP20" s="1699"/>
      <c r="BQ20" s="2053"/>
      <c r="BR20" s="1293"/>
      <c r="BS20" s="1293"/>
      <c r="BT20" s="1293"/>
      <c r="BU20" s="1293"/>
      <c r="BV20" s="1293"/>
      <c r="BW20" s="1293"/>
      <c r="BX20" s="1293"/>
      <c r="BY20" s="1293"/>
      <c r="BZ20" s="1293"/>
      <c r="CA20" s="1293"/>
      <c r="CB20" s="1293"/>
      <c r="CC20" s="1293"/>
      <c r="CD20" s="1293"/>
      <c r="CE20" s="1293"/>
      <c r="CF20" s="1293"/>
      <c r="CG20" s="1293"/>
      <c r="CH20" s="1293"/>
      <c r="CI20" s="1293"/>
      <c r="CJ20" s="1293"/>
      <c r="CK20" s="1293"/>
      <c r="CL20" s="1293"/>
      <c r="CM20" s="1293"/>
      <c r="CN20" s="1293"/>
      <c r="CO20" s="1293"/>
      <c r="CP20" s="1293"/>
      <c r="CQ20" s="1293"/>
      <c r="CR20" s="1293"/>
      <c r="CS20" s="1293"/>
      <c r="CT20" s="1293"/>
      <c r="CU20" s="1293"/>
      <c r="CV20" s="1293"/>
      <c r="CW20" s="1293"/>
      <c r="CX20" s="1293"/>
      <c r="CY20" s="2041"/>
      <c r="CZ20" s="1699"/>
      <c r="DA20" s="2042"/>
      <c r="DB20" s="2041"/>
      <c r="DC20" s="1293"/>
      <c r="DD20" s="1293"/>
      <c r="DE20" s="1293"/>
      <c r="DF20" s="1293"/>
      <c r="DG20" s="1293"/>
      <c r="DH20" s="1293"/>
      <c r="DI20" s="1293"/>
      <c r="DJ20" s="1293"/>
      <c r="DK20" s="1293"/>
      <c r="DL20" s="1293"/>
    </row>
    <row r="21" spans="1:116" ht="15.75">
      <c r="A21" s="1293"/>
      <c r="B21" s="1293" t="s">
        <v>6330</v>
      </c>
      <c r="C21" s="1699"/>
      <c r="D21" s="1699"/>
      <c r="E21" s="1699"/>
      <c r="F21" s="1699"/>
      <c r="G21" s="2039"/>
      <c r="H21" s="1699"/>
      <c r="I21" s="1699"/>
      <c r="J21" s="1699"/>
      <c r="K21" s="1699"/>
      <c r="L21" s="2039"/>
      <c r="M21" s="1699"/>
      <c r="N21" s="1699"/>
      <c r="O21" s="1699"/>
      <c r="P21" s="1699"/>
      <c r="Q21" s="2039"/>
      <c r="R21" s="1699"/>
      <c r="S21" s="1699"/>
      <c r="T21" s="1699"/>
      <c r="U21" s="1699"/>
      <c r="V21" s="2039"/>
      <c r="W21" s="1699">
        <f>W19+W13</f>
        <v>1353</v>
      </c>
      <c r="X21" s="1699">
        <f>X19+X13</f>
        <v>1384</v>
      </c>
      <c r="Y21" s="1699">
        <f>Y19+Y13</f>
        <v>1368</v>
      </c>
      <c r="Z21" s="1699">
        <f>Z19+Z13</f>
        <v>1381</v>
      </c>
      <c r="AA21" s="2039"/>
      <c r="AB21" s="1699">
        <f t="shared" ref="AB21:AG21" si="33">AB19+AB13</f>
        <v>1426</v>
      </c>
      <c r="AC21" s="1699">
        <f t="shared" si="33"/>
        <v>1426</v>
      </c>
      <c r="AD21" s="1699">
        <f t="shared" si="33"/>
        <v>1461</v>
      </c>
      <c r="AE21" s="1699">
        <f t="shared" si="33"/>
        <v>1461</v>
      </c>
      <c r="AF21" s="1699">
        <f t="shared" si="33"/>
        <v>1495</v>
      </c>
      <c r="AG21" s="1699">
        <f t="shared" si="33"/>
        <v>1495</v>
      </c>
      <c r="AH21" s="1699">
        <f>AI21</f>
        <v>1577</v>
      </c>
      <c r="AI21" s="1699">
        <v>1577</v>
      </c>
      <c r="AJ21" s="2039"/>
      <c r="AK21" s="1699">
        <f>AK13+AK19</f>
        <v>1510</v>
      </c>
      <c r="AL21" s="1699">
        <f>AL13+AL19</f>
        <v>1366</v>
      </c>
      <c r="AM21" s="1699">
        <f>AM13+AM19</f>
        <v>1450</v>
      </c>
      <c r="AN21" s="1699">
        <f>AN13+AN19</f>
        <v>1540</v>
      </c>
      <c r="AO21" s="2039"/>
      <c r="AP21" s="1327">
        <f>AP13+AP19</f>
        <v>1535</v>
      </c>
      <c r="AQ21" s="1327">
        <f>AQ13+AQ19</f>
        <v>1550</v>
      </c>
      <c r="AR21" s="1327">
        <f>AR13+AR19</f>
        <v>1553</v>
      </c>
      <c r="AS21" s="1327">
        <f>AS13+AS19</f>
        <v>1602</v>
      </c>
      <c r="AT21" s="2161"/>
      <c r="AU21" s="1327">
        <f t="shared" ref="AU21:BH21" si="34">AU13+AU19</f>
        <v>1555.4553999999998</v>
      </c>
      <c r="AV21" s="1327">
        <f t="shared" si="34"/>
        <v>1597.1161000000002</v>
      </c>
      <c r="AW21" s="1327">
        <f t="shared" si="34"/>
        <v>1538.2699000000002</v>
      </c>
      <c r="AX21" s="1327">
        <f t="shared" si="34"/>
        <v>1539.2134000000001</v>
      </c>
      <c r="AY21" s="2161">
        <f t="shared" si="34"/>
        <v>6230.0547999999999</v>
      </c>
      <c r="AZ21" s="1327">
        <f t="shared" si="34"/>
        <v>1523.4552000000001</v>
      </c>
      <c r="BA21" s="1327">
        <f t="shared" si="34"/>
        <v>1550.9005</v>
      </c>
      <c r="BB21" s="1327">
        <f t="shared" si="34"/>
        <v>1582.2579999999998</v>
      </c>
      <c r="BC21" s="1327">
        <f t="shared" si="34"/>
        <v>1635.7862</v>
      </c>
      <c r="BD21" s="2161">
        <f t="shared" si="34"/>
        <v>6292.3998999999994</v>
      </c>
      <c r="BE21" s="1327">
        <f t="shared" si="34"/>
        <v>1645.0564000000002</v>
      </c>
      <c r="BF21" s="1327">
        <f t="shared" si="34"/>
        <v>1617.1743999999999</v>
      </c>
      <c r="BG21" s="1327">
        <f t="shared" si="34"/>
        <v>1588.3233</v>
      </c>
      <c r="BH21" s="1327">
        <f t="shared" si="34"/>
        <v>1592.1024</v>
      </c>
      <c r="BI21" s="2161">
        <f t="shared" ref="BI21:BJ21" si="35">BI13+BI19</f>
        <v>6442.656500000001</v>
      </c>
      <c r="BJ21" s="1327">
        <f t="shared" si="35"/>
        <v>1512.5437671129578</v>
      </c>
      <c r="BK21" s="1327">
        <f t="shared" ref="BK21:BL21" si="36">BK13+BK19</f>
        <v>1530.0440011631551</v>
      </c>
      <c r="BL21" s="1327">
        <f t="shared" si="36"/>
        <v>1537.346357461784</v>
      </c>
      <c r="BM21" s="1327">
        <f t="shared" ref="BM21:BN21" si="37">BM13+BM19</f>
        <v>1578.2272270909541</v>
      </c>
      <c r="BN21" s="2161">
        <f t="shared" si="37"/>
        <v>6158.1613528288508</v>
      </c>
      <c r="BO21" s="1699"/>
      <c r="BP21" s="1699"/>
      <c r="BQ21" s="2054"/>
      <c r="BR21" s="1293"/>
      <c r="BS21" s="1293"/>
      <c r="BT21" s="1293"/>
      <c r="BU21" s="1293"/>
      <c r="BV21" s="1293"/>
      <c r="BW21" s="1293"/>
      <c r="BX21" s="1293"/>
      <c r="BY21" s="1293"/>
      <c r="BZ21" s="1293"/>
      <c r="CA21" s="1293"/>
      <c r="CB21" s="1293"/>
      <c r="CC21" s="1293"/>
      <c r="CD21" s="1293"/>
      <c r="CE21" s="1293"/>
      <c r="CF21" s="1293"/>
      <c r="CG21" s="1293"/>
      <c r="CH21" s="1293"/>
      <c r="CI21" s="1293"/>
      <c r="CJ21" s="1293"/>
      <c r="CK21" s="1293"/>
      <c r="CL21" s="1293"/>
      <c r="CM21" s="1293"/>
      <c r="CN21" s="1293"/>
      <c r="CO21" s="1293"/>
      <c r="CP21" s="1293"/>
      <c r="CQ21" s="1293"/>
      <c r="CR21" s="1293"/>
      <c r="CS21" s="1293"/>
      <c r="CT21" s="1293"/>
      <c r="CU21" s="1293"/>
      <c r="CV21" s="1293"/>
      <c r="CW21" s="1293"/>
      <c r="CX21" s="1293"/>
      <c r="CY21" s="2055">
        <v>1618.9690046554947</v>
      </c>
      <c r="CZ21" s="1723">
        <f>CZ13+CZ19</f>
        <v>1658.6589868815104</v>
      </c>
      <c r="DA21" s="2056">
        <v>1631.6239051186112</v>
      </c>
      <c r="DB21" s="2055">
        <v>1624.303605099512</v>
      </c>
      <c r="DC21" s="1293"/>
      <c r="DD21" s="1293"/>
      <c r="DE21" s="1293"/>
      <c r="DF21" s="1293"/>
      <c r="DG21" s="1293"/>
      <c r="DH21" s="1293"/>
      <c r="DI21" s="1293"/>
      <c r="DJ21" s="1293"/>
      <c r="DK21" s="1293"/>
      <c r="DL21" s="1293"/>
    </row>
    <row r="22" spans="1:116" ht="15.75" hidden="1" outlineLevel="1">
      <c r="A22" s="1293"/>
      <c r="B22" s="1293"/>
      <c r="C22" s="1699"/>
      <c r="D22" s="1699"/>
      <c r="E22" s="1699"/>
      <c r="F22" s="1699"/>
      <c r="G22" s="2039"/>
      <c r="H22" s="1699"/>
      <c r="I22" s="1699"/>
      <c r="J22" s="1699"/>
      <c r="K22" s="1699"/>
      <c r="L22" s="2039"/>
      <c r="M22" s="1699"/>
      <c r="N22" s="1699"/>
      <c r="O22" s="1699"/>
      <c r="P22" s="1699"/>
      <c r="Q22" s="2039"/>
      <c r="R22" s="1699"/>
      <c r="S22" s="1699"/>
      <c r="T22" s="1699"/>
      <c r="U22" s="1699"/>
      <c r="V22" s="2039"/>
      <c r="W22" s="1723"/>
      <c r="X22" s="1723"/>
      <c r="Y22" s="1723"/>
      <c r="Z22" s="1723"/>
      <c r="AA22" s="2039"/>
      <c r="AB22" s="1723"/>
      <c r="AC22" s="1699"/>
      <c r="AD22" s="1723"/>
      <c r="AE22" s="1699"/>
      <c r="AF22" s="1723"/>
      <c r="AG22" s="1699"/>
      <c r="AH22" s="1699"/>
      <c r="AI22" s="1699"/>
      <c r="AJ22" s="2039"/>
      <c r="AK22" s="1723"/>
      <c r="AL22" s="2057"/>
      <c r="AM22" s="2057"/>
      <c r="AN22" s="2057"/>
      <c r="AO22" s="2039"/>
      <c r="AP22" s="2466"/>
      <c r="AQ22" s="2466"/>
      <c r="AR22" s="2466"/>
      <c r="AS22" s="2466"/>
      <c r="AT22" s="2161"/>
      <c r="AU22" s="2466"/>
      <c r="AV22" s="2466"/>
      <c r="AW22" s="2466"/>
      <c r="AX22" s="2466"/>
      <c r="AY22" s="2161"/>
      <c r="AZ22" s="2466"/>
      <c r="BA22" s="2466"/>
      <c r="BB22" s="2466"/>
      <c r="BC22" s="1958"/>
      <c r="BD22" s="2161"/>
      <c r="BE22" s="2466"/>
      <c r="BF22" s="2466"/>
      <c r="BG22" s="2466"/>
      <c r="BH22" s="1958"/>
      <c r="BI22" s="2161"/>
      <c r="BJ22" s="2466"/>
      <c r="BK22" s="2466"/>
      <c r="BL22" s="2466"/>
      <c r="BM22" s="2466"/>
      <c r="BN22" s="2161"/>
      <c r="BO22" s="1699"/>
      <c r="BP22" s="1699"/>
      <c r="BQ22" s="2040"/>
      <c r="BR22" s="1293"/>
      <c r="BS22" s="1293"/>
      <c r="BT22" s="1293"/>
      <c r="BU22" s="1293"/>
      <c r="BV22" s="1293"/>
      <c r="BW22" s="1293"/>
      <c r="BX22" s="1293"/>
      <c r="BY22" s="1293"/>
      <c r="BZ22" s="1293"/>
      <c r="CA22" s="1293"/>
      <c r="CB22" s="1293"/>
      <c r="CC22" s="1293"/>
      <c r="CD22" s="1293"/>
      <c r="CE22" s="1293"/>
      <c r="CF22" s="1293"/>
      <c r="CG22" s="1293"/>
      <c r="CH22" s="1293"/>
      <c r="CI22" s="1293"/>
      <c r="CJ22" s="1293"/>
      <c r="CK22" s="1293"/>
      <c r="CL22" s="1293"/>
      <c r="CM22" s="1293"/>
      <c r="CN22" s="1293"/>
      <c r="CO22" s="1293"/>
      <c r="CP22" s="1293"/>
      <c r="CQ22" s="1293"/>
      <c r="CR22" s="1293"/>
      <c r="CS22" s="1293"/>
      <c r="CT22" s="1293"/>
      <c r="CU22" s="1293"/>
      <c r="CV22" s="1293"/>
      <c r="CW22" s="1293"/>
      <c r="CX22" s="1293"/>
      <c r="CY22" s="2055"/>
      <c r="CZ22" s="1723"/>
      <c r="DA22" s="2059"/>
      <c r="DB22" s="2060"/>
      <c r="DC22" s="1293"/>
      <c r="DD22" s="1293"/>
      <c r="DE22" s="1293"/>
      <c r="DF22" s="1293"/>
      <c r="DG22" s="1293"/>
      <c r="DH22" s="1293"/>
      <c r="DI22" s="1293"/>
      <c r="DJ22" s="1293"/>
      <c r="DK22" s="1293"/>
      <c r="DL22" s="1293"/>
    </row>
    <row r="23" spans="1:116" ht="15.75" hidden="1" outlineLevel="1">
      <c r="A23" s="1293"/>
      <c r="B23" s="1293" t="s">
        <v>579</v>
      </c>
      <c r="C23" s="1987">
        <f ca="1">'Country quarts'!C16</f>
        <v>43.730521988187405</v>
      </c>
      <c r="D23" s="1987">
        <f ca="1">'Country quarts'!D16</f>
        <v>47.170157827023459</v>
      </c>
      <c r="E23" s="1987">
        <f>'Country quarts'!E16</f>
        <v>47.180691602898996</v>
      </c>
      <c r="F23" s="1987">
        <f ca="1">'Country quarts'!F16</f>
        <v>41.91862858189014</v>
      </c>
      <c r="G23" s="2061">
        <f ca="1">'Country quarts'!G16</f>
        <v>180</v>
      </c>
      <c r="H23" s="1987">
        <f>'Country quarts'!H16</f>
        <v>36</v>
      </c>
      <c r="I23" s="1987">
        <f>'Country quarts'!I16</f>
        <v>37</v>
      </c>
      <c r="J23" s="1987">
        <f>'Country quarts'!J16</f>
        <v>39.285714285714292</v>
      </c>
      <c r="K23" s="1987">
        <f>'Country quarts'!K16</f>
        <v>40</v>
      </c>
      <c r="L23" s="2061">
        <f>'Country quarts'!L16</f>
        <v>152.28571428571428</v>
      </c>
      <c r="M23" s="1987">
        <f ca="1">'Country quarts'!M16</f>
        <v>39.322864193791595</v>
      </c>
      <c r="N23" s="1987">
        <f ca="1">'Country quarts'!N16</f>
        <v>40.480868266421616</v>
      </c>
      <c r="O23" s="1987">
        <f>'Country quarts'!O16</f>
        <v>40</v>
      </c>
      <c r="P23" s="1987">
        <f>P$31/O$31*O23</f>
        <v>40.795277494928314</v>
      </c>
      <c r="Q23" s="2062">
        <f ca="1">SUM(M23:P23)</f>
        <v>160.59900995514153</v>
      </c>
      <c r="R23" s="1987">
        <f ca="1">R60+R90</f>
        <v>34.062267898340203</v>
      </c>
      <c r="S23" s="1987">
        <f ca="1">S60+S90</f>
        <v>36.315101323018943</v>
      </c>
      <c r="T23" s="1987">
        <f>T60+T90</f>
        <v>38.529469757476321</v>
      </c>
      <c r="U23" s="1987">
        <f>U60+U90</f>
        <v>39.020992498102906</v>
      </c>
      <c r="V23" s="2062">
        <f ca="1">SUM(R23:U23)</f>
        <v>147.92783147693837</v>
      </c>
      <c r="W23" s="1987">
        <f ca="1">W60+W90</f>
        <v>38.713985766422113</v>
      </c>
      <c r="X23" s="1987">
        <f ca="1">X60+X90</f>
        <v>38.877915410854094</v>
      </c>
      <c r="Y23" s="1987">
        <f>Y60+Y90</f>
        <v>38.528285551034188</v>
      </c>
      <c r="Z23" s="1987">
        <f>Z60+Z90</f>
        <v>38.896526036117933</v>
      </c>
      <c r="AA23" s="2039">
        <f ca="1">SUM(W23:Z23)</f>
        <v>155.01671276442835</v>
      </c>
      <c r="AB23" s="1699"/>
      <c r="AC23" s="1987">
        <f>AC60+AC90</f>
        <v>31</v>
      </c>
      <c r="AD23" s="1987"/>
      <c r="AE23" s="1987"/>
      <c r="AF23" s="1987"/>
      <c r="AG23" s="1987"/>
      <c r="AH23" s="1987"/>
      <c r="AI23" s="1987"/>
      <c r="AJ23" s="2062">
        <v>0</v>
      </c>
      <c r="AK23" s="1987"/>
      <c r="AL23" s="2058"/>
      <c r="AM23" s="2058"/>
      <c r="AN23" s="2058"/>
      <c r="AO23" s="2062"/>
      <c r="AP23" s="2466"/>
      <c r="AQ23" s="2466"/>
      <c r="AR23" s="2466"/>
      <c r="AS23" s="2466"/>
      <c r="AT23" s="2467"/>
      <c r="AU23" s="2466"/>
      <c r="AV23" s="2466"/>
      <c r="AW23" s="2466"/>
      <c r="AX23" s="2466"/>
      <c r="AY23" s="2467"/>
      <c r="AZ23" s="2466"/>
      <c r="BA23" s="2466"/>
      <c r="BB23" s="2466"/>
      <c r="BC23" s="2468"/>
      <c r="BD23" s="2467"/>
      <c r="BE23" s="2466"/>
      <c r="BF23" s="2466"/>
      <c r="BG23" s="2466"/>
      <c r="BH23" s="2468"/>
      <c r="BI23" s="2467"/>
      <c r="BJ23" s="2466"/>
      <c r="BK23" s="2466"/>
      <c r="BL23" s="2466"/>
      <c r="BM23" s="2466"/>
      <c r="BN23" s="2467"/>
      <c r="BO23" s="2063"/>
      <c r="BP23" s="2063"/>
      <c r="BQ23" s="2040"/>
      <c r="BR23" s="1293"/>
      <c r="BS23" s="1293"/>
      <c r="BT23" s="1293"/>
      <c r="BU23" s="1293"/>
      <c r="BV23" s="1293"/>
      <c r="BW23" s="1293"/>
      <c r="BX23" s="1293"/>
      <c r="BY23" s="1293"/>
      <c r="BZ23" s="1293"/>
      <c r="CA23" s="1293"/>
      <c r="CB23" s="1293"/>
      <c r="CC23" s="1293"/>
      <c r="CD23" s="1293"/>
      <c r="CE23" s="1293"/>
      <c r="CF23" s="1293"/>
      <c r="CG23" s="1293"/>
      <c r="CH23" s="1293"/>
      <c r="CI23" s="1293"/>
      <c r="CJ23" s="1293"/>
      <c r="CK23" s="1293"/>
      <c r="CL23" s="1293"/>
      <c r="CM23" s="1293"/>
      <c r="CN23" s="1293"/>
      <c r="CO23" s="1293"/>
      <c r="CP23" s="1293"/>
      <c r="CQ23" s="1293"/>
      <c r="CR23" s="1293"/>
      <c r="CS23" s="1293"/>
      <c r="CT23" s="1293"/>
      <c r="CU23" s="1293"/>
      <c r="CV23" s="1293"/>
      <c r="CW23" s="1293"/>
      <c r="CX23" s="1293"/>
      <c r="CY23" s="2064"/>
      <c r="CZ23" s="1987"/>
      <c r="DA23" s="2059"/>
      <c r="DB23" s="2060"/>
      <c r="DC23" s="1293"/>
      <c r="DD23" s="1293"/>
      <c r="DE23" s="1293"/>
      <c r="DF23" s="1293"/>
      <c r="DG23" s="1293"/>
      <c r="DH23" s="1293"/>
      <c r="DI23" s="1293"/>
      <c r="DJ23" s="1293"/>
      <c r="DK23" s="1293"/>
      <c r="DL23" s="1293"/>
    </row>
    <row r="24" spans="1:116" ht="15.75" hidden="1" outlineLevel="1">
      <c r="A24" s="1293"/>
      <c r="B24" s="1293" t="s">
        <v>1961</v>
      </c>
      <c r="C24" s="1987">
        <f>'Country quarts'!C5</f>
        <v>30.761171340809366</v>
      </c>
      <c r="D24" s="1987">
        <f>'Country quarts'!D5</f>
        <v>30.277405195388251</v>
      </c>
      <c r="E24" s="1987">
        <f>'Country quarts'!E5</f>
        <v>31.805393038180064</v>
      </c>
      <c r="F24" s="1987">
        <f>'Country quarts'!F5</f>
        <v>34.715423228021812</v>
      </c>
      <c r="G24" s="2061">
        <f>'Country quarts'!G5</f>
        <v>127.55939280239949</v>
      </c>
      <c r="H24" s="1987">
        <f>'Country quarts'!H5</f>
        <v>37</v>
      </c>
      <c r="I24" s="1987">
        <f>'Country quarts'!I5</f>
        <v>37</v>
      </c>
      <c r="J24" s="1987">
        <f>'Country quarts'!J5</f>
        <v>37</v>
      </c>
      <c r="K24" s="1987">
        <f>'Country quarts'!K5</f>
        <v>40.176816677015012</v>
      </c>
      <c r="L24" s="2061">
        <f>'Country quarts'!L5</f>
        <v>151.17681667701501</v>
      </c>
      <c r="M24" s="1987"/>
      <c r="N24" s="1987"/>
      <c r="O24" s="1987"/>
      <c r="P24" s="1987"/>
      <c r="Q24" s="2061"/>
      <c r="R24" s="1987"/>
      <c r="S24" s="1987"/>
      <c r="T24" s="1987"/>
      <c r="U24" s="1987"/>
      <c r="V24" s="2061"/>
      <c r="W24" s="1987"/>
      <c r="X24" s="1987"/>
      <c r="Y24" s="1987"/>
      <c r="Z24" s="1987"/>
      <c r="AA24" s="2061"/>
      <c r="AB24" s="1699"/>
      <c r="AC24" s="1987"/>
      <c r="AD24" s="1987"/>
      <c r="AE24" s="1987"/>
      <c r="AF24" s="1987"/>
      <c r="AG24" s="1987"/>
      <c r="AH24" s="1987"/>
      <c r="AI24" s="1987"/>
      <c r="AJ24" s="2062">
        <f>'New split'!I26</f>
        <v>0</v>
      </c>
      <c r="AK24" s="1987"/>
      <c r="AL24" s="1987"/>
      <c r="AM24" s="1987"/>
      <c r="AN24" s="1987"/>
      <c r="AO24" s="2062"/>
      <c r="AP24" s="2468"/>
      <c r="AQ24" s="2468"/>
      <c r="AR24" s="2468"/>
      <c r="AS24" s="2468"/>
      <c r="AT24" s="2467"/>
      <c r="AU24" s="2468"/>
      <c r="AV24" s="2468"/>
      <c r="AW24" s="2468"/>
      <c r="AX24" s="2468"/>
      <c r="AY24" s="2467"/>
      <c r="AZ24" s="2468"/>
      <c r="BA24" s="2468"/>
      <c r="BB24" s="2468"/>
      <c r="BC24" s="2468"/>
      <c r="BD24" s="2467"/>
      <c r="BE24" s="2468"/>
      <c r="BF24" s="2468"/>
      <c r="BG24" s="2468"/>
      <c r="BH24" s="2468"/>
      <c r="BI24" s="2467"/>
      <c r="BJ24" s="2468"/>
      <c r="BK24" s="2468"/>
      <c r="BL24" s="2468"/>
      <c r="BM24" s="2468"/>
      <c r="BN24" s="2467"/>
      <c r="BO24" s="2063"/>
      <c r="BP24" s="2063"/>
      <c r="BQ24" s="2040"/>
      <c r="BR24" s="1293"/>
      <c r="BS24" s="1293"/>
      <c r="BT24" s="1293"/>
      <c r="BU24" s="1293"/>
      <c r="BV24" s="1293"/>
      <c r="BW24" s="1293"/>
      <c r="BX24" s="1293"/>
      <c r="BY24" s="1293"/>
      <c r="BZ24" s="1293"/>
      <c r="CA24" s="1293"/>
      <c r="CB24" s="1293"/>
      <c r="CC24" s="1293"/>
      <c r="CD24" s="1293"/>
      <c r="CE24" s="1293"/>
      <c r="CF24" s="1293"/>
      <c r="CG24" s="1293"/>
      <c r="CH24" s="1293"/>
      <c r="CI24" s="1293"/>
      <c r="CJ24" s="1293"/>
      <c r="CK24" s="1293"/>
      <c r="CL24" s="1293"/>
      <c r="CM24" s="1293"/>
      <c r="CN24" s="1293"/>
      <c r="CO24" s="1293"/>
      <c r="CP24" s="1293"/>
      <c r="CQ24" s="1293"/>
      <c r="CR24" s="1293"/>
      <c r="CS24" s="1293"/>
      <c r="CT24" s="1293"/>
      <c r="CU24" s="1293"/>
      <c r="CV24" s="1293"/>
      <c r="CW24" s="1293"/>
      <c r="CX24" s="1293"/>
      <c r="CY24" s="2064"/>
      <c r="CZ24" s="1987"/>
      <c r="DA24" s="2065"/>
      <c r="DB24" s="2064"/>
      <c r="DC24" s="1293"/>
      <c r="DD24" s="1293"/>
      <c r="DE24" s="1293"/>
      <c r="DF24" s="1293"/>
      <c r="DG24" s="1293"/>
      <c r="DH24" s="1293"/>
      <c r="DI24" s="1293"/>
      <c r="DJ24" s="1293"/>
      <c r="DK24" s="1293"/>
      <c r="DL24" s="1293"/>
    </row>
    <row r="25" spans="1:116" ht="15.75" hidden="1" outlineLevel="1">
      <c r="A25" s="1293"/>
      <c r="B25" s="1293" t="s">
        <v>2382</v>
      </c>
      <c r="C25" s="1987">
        <f>'Country quarts'!C3</f>
        <v>39.647610174291238</v>
      </c>
      <c r="D25" s="1987">
        <f>'Country quarts'!D3</f>
        <v>38.744358117510167</v>
      </c>
      <c r="E25" s="1987">
        <f>'Country quarts'!E3</f>
        <v>31.293141666971902</v>
      </c>
      <c r="F25" s="1987">
        <f>'Country quarts'!F3</f>
        <v>36.314890041226704</v>
      </c>
      <c r="G25" s="2061">
        <f>'Country quarts'!G3</f>
        <v>146</v>
      </c>
      <c r="H25" s="1987">
        <f>'Country quarts'!H3</f>
        <v>35</v>
      </c>
      <c r="I25" s="1987">
        <f>'Country quarts'!I3</f>
        <v>34</v>
      </c>
      <c r="J25" s="1987">
        <f>'Country quarts'!J3</f>
        <v>35</v>
      </c>
      <c r="K25" s="1987">
        <f>'Country quarts'!K3</f>
        <v>35.228242847440185</v>
      </c>
      <c r="L25" s="2061">
        <f>'Country quarts'!L3</f>
        <v>139.22824284744019</v>
      </c>
      <c r="M25" s="1987">
        <f>'Country quarts'!M3</f>
        <v>36.445587158203132</v>
      </c>
      <c r="N25" s="1987">
        <f>'Country quarts'!N3</f>
        <v>40.842242877122878</v>
      </c>
      <c r="O25" s="1987">
        <f>'Country quarts'!O3</f>
        <v>40</v>
      </c>
      <c r="P25" s="1987">
        <f t="shared" ref="P25:P30" si="38">P$31/O$31*O25</f>
        <v>40.795277494928314</v>
      </c>
      <c r="Q25" s="2062">
        <f t="shared" ref="Q25:Q32" si="39">SUM(M25:P25)</f>
        <v>158.08310753025432</v>
      </c>
      <c r="R25" s="1987">
        <f>R62+R92</f>
        <v>33.062296585104107</v>
      </c>
      <c r="S25" s="1987">
        <f>S62+S92</f>
        <v>37.917737544151876</v>
      </c>
      <c r="T25" s="1987"/>
      <c r="U25" s="1987"/>
      <c r="V25" s="2062">
        <f t="shared" ref="V25:V32" si="40">SUM(R25:U25)</f>
        <v>70.980034129255984</v>
      </c>
      <c r="W25" s="1987"/>
      <c r="X25" s="1987"/>
      <c r="Y25" s="1987"/>
      <c r="Z25" s="1987"/>
      <c r="AA25" s="2061"/>
      <c r="AB25" s="1699"/>
      <c r="AC25" s="1987"/>
      <c r="AD25" s="1987"/>
      <c r="AE25" s="1987"/>
      <c r="AF25" s="1987"/>
      <c r="AG25" s="1987"/>
      <c r="AH25" s="1987"/>
      <c r="AI25" s="1987"/>
      <c r="AJ25" s="2062">
        <f>'New split'!I27</f>
        <v>0</v>
      </c>
      <c r="AK25" s="1987"/>
      <c r="AL25" s="1987"/>
      <c r="AM25" s="1987"/>
      <c r="AN25" s="1987"/>
      <c r="AO25" s="2062"/>
      <c r="AP25" s="2468"/>
      <c r="AQ25" s="2468"/>
      <c r="AR25" s="2468"/>
      <c r="AS25" s="2468"/>
      <c r="AT25" s="2467"/>
      <c r="AU25" s="2468"/>
      <c r="AV25" s="2468"/>
      <c r="AW25" s="2468"/>
      <c r="AX25" s="2468"/>
      <c r="AY25" s="2467"/>
      <c r="AZ25" s="2468"/>
      <c r="BA25" s="2468"/>
      <c r="BB25" s="2468"/>
      <c r="BC25" s="2468"/>
      <c r="BD25" s="2467"/>
      <c r="BE25" s="2468"/>
      <c r="BF25" s="2468"/>
      <c r="BG25" s="2468"/>
      <c r="BH25" s="2468"/>
      <c r="BI25" s="2467"/>
      <c r="BJ25" s="2468"/>
      <c r="BK25" s="2468"/>
      <c r="BL25" s="2468"/>
      <c r="BM25" s="2468"/>
      <c r="BN25" s="2467"/>
      <c r="BO25" s="2063"/>
      <c r="BP25" s="2063"/>
      <c r="BQ25" s="2040"/>
      <c r="BR25" s="1293"/>
      <c r="BS25" s="1293"/>
      <c r="BT25" s="1293"/>
      <c r="BU25" s="1293"/>
      <c r="BV25" s="1293"/>
      <c r="BW25" s="1293"/>
      <c r="BX25" s="1293"/>
      <c r="BY25" s="1293"/>
      <c r="BZ25" s="1293"/>
      <c r="CA25" s="1293"/>
      <c r="CB25" s="1293"/>
      <c r="CC25" s="1293"/>
      <c r="CD25" s="1293"/>
      <c r="CE25" s="1293"/>
      <c r="CF25" s="1293"/>
      <c r="CG25" s="1293"/>
      <c r="CH25" s="1293"/>
      <c r="CI25" s="1293"/>
      <c r="CJ25" s="1293"/>
      <c r="CK25" s="1293"/>
      <c r="CL25" s="1293"/>
      <c r="CM25" s="1293"/>
      <c r="CN25" s="1293"/>
      <c r="CO25" s="1293"/>
      <c r="CP25" s="1293"/>
      <c r="CQ25" s="1293"/>
      <c r="CR25" s="1293"/>
      <c r="CS25" s="1293"/>
      <c r="CT25" s="1293"/>
      <c r="CU25" s="1293"/>
      <c r="CV25" s="1293"/>
      <c r="CW25" s="1293"/>
      <c r="CX25" s="1293"/>
      <c r="CY25" s="2064"/>
      <c r="CZ25" s="1987"/>
      <c r="DA25" s="2065"/>
      <c r="DB25" s="2064"/>
      <c r="DC25" s="1293"/>
      <c r="DD25" s="1293"/>
      <c r="DE25" s="1293"/>
      <c r="DF25" s="1293"/>
      <c r="DG25" s="1293"/>
      <c r="DH25" s="1293"/>
      <c r="DI25" s="1293"/>
      <c r="DJ25" s="1293"/>
      <c r="DK25" s="1293"/>
      <c r="DL25" s="1293"/>
    </row>
    <row r="26" spans="1:116" ht="15.75" hidden="1" outlineLevel="1">
      <c r="A26" s="1293"/>
      <c r="B26" s="1293" t="s">
        <v>2227</v>
      </c>
      <c r="C26" s="1987">
        <f>'Country quarts'!C10</f>
        <v>20.473563284088801</v>
      </c>
      <c r="D26" s="1987">
        <f>'Country quarts'!D10</f>
        <v>12.22847410031722</v>
      </c>
      <c r="E26" s="1987">
        <f>'Country quarts'!E10</f>
        <v>13.54533566961687</v>
      </c>
      <c r="F26" s="1987">
        <f>'Country quarts'!F10</f>
        <v>17.071207300507396</v>
      </c>
      <c r="G26" s="2061">
        <f>'Country quarts'!G10</f>
        <v>63.318580354530283</v>
      </c>
      <c r="H26" s="1987">
        <f>'Country quarts'!H10</f>
        <v>20</v>
      </c>
      <c r="I26" s="1987">
        <f>'Country quarts'!I10</f>
        <v>13</v>
      </c>
      <c r="J26" s="1987">
        <f>'Country quarts'!J10</f>
        <v>13.714285714285722</v>
      </c>
      <c r="K26" s="1987">
        <f>'Country quarts'!K10</f>
        <v>16.980579780167748</v>
      </c>
      <c r="L26" s="2061">
        <f>'Country quarts'!L10</f>
        <v>63.694865494453467</v>
      </c>
      <c r="M26" s="1987">
        <f>'Country quarts'!M10</f>
        <v>19.837049737796836</v>
      </c>
      <c r="N26" s="1987">
        <f>'Country quarts'!N10</f>
        <v>12.664370931958773</v>
      </c>
      <c r="O26" s="1987">
        <f>'Country quarts'!O10</f>
        <v>15</v>
      </c>
      <c r="P26" s="1987">
        <f t="shared" si="38"/>
        <v>15.298229060598116</v>
      </c>
      <c r="Q26" s="2062">
        <f t="shared" si="39"/>
        <v>62.799649730353728</v>
      </c>
      <c r="R26" s="1987">
        <f>R63+R93</f>
        <v>18.126877128219594</v>
      </c>
      <c r="S26" s="1987">
        <f>S63+S93</f>
        <v>11.667234572354765</v>
      </c>
      <c r="T26" s="1987">
        <f>T63+T93</f>
        <v>14.029012318178312</v>
      </c>
      <c r="U26" s="1987">
        <f>U63+U93</f>
        <v>13.844524700129874</v>
      </c>
      <c r="V26" s="2062">
        <f t="shared" si="40"/>
        <v>57.667648718882546</v>
      </c>
      <c r="W26" s="1987"/>
      <c r="X26" s="1987"/>
      <c r="Y26" s="1987"/>
      <c r="Z26" s="1987"/>
      <c r="AA26" s="2061"/>
      <c r="AB26" s="1699"/>
      <c r="AC26" s="1987"/>
      <c r="AD26" s="1987"/>
      <c r="AE26" s="1987"/>
      <c r="AF26" s="1987"/>
      <c r="AG26" s="1987"/>
      <c r="AH26" s="1987"/>
      <c r="AI26" s="1987"/>
      <c r="AJ26" s="2062">
        <f>'New split'!I28</f>
        <v>0</v>
      </c>
      <c r="AK26" s="1987"/>
      <c r="AL26" s="1987"/>
      <c r="AM26" s="1987"/>
      <c r="AN26" s="1987"/>
      <c r="AO26" s="2062"/>
      <c r="AP26" s="2468"/>
      <c r="AQ26" s="2468"/>
      <c r="AR26" s="2468"/>
      <c r="AS26" s="2468"/>
      <c r="AT26" s="2467"/>
      <c r="AU26" s="2468"/>
      <c r="AV26" s="2468"/>
      <c r="AW26" s="2468"/>
      <c r="AX26" s="2468"/>
      <c r="AY26" s="2467"/>
      <c r="AZ26" s="2468"/>
      <c r="BA26" s="2468"/>
      <c r="BB26" s="2468"/>
      <c r="BC26" s="2468"/>
      <c r="BD26" s="2467"/>
      <c r="BE26" s="2468"/>
      <c r="BF26" s="2468"/>
      <c r="BG26" s="2468"/>
      <c r="BH26" s="2468"/>
      <c r="BI26" s="2467"/>
      <c r="BJ26" s="2468"/>
      <c r="BK26" s="2468"/>
      <c r="BL26" s="2468"/>
      <c r="BM26" s="2468"/>
      <c r="BN26" s="2467"/>
      <c r="BO26" s="2063"/>
      <c r="BP26" s="2063"/>
      <c r="BQ26" s="2040"/>
      <c r="BR26" s="1293"/>
      <c r="BS26" s="1293"/>
      <c r="BT26" s="1293"/>
      <c r="BU26" s="1293"/>
      <c r="BV26" s="1293"/>
      <c r="BW26" s="1293"/>
      <c r="BX26" s="1293"/>
      <c r="BY26" s="1293"/>
      <c r="BZ26" s="1293"/>
      <c r="CA26" s="1293"/>
      <c r="CB26" s="1293"/>
      <c r="CC26" s="1293"/>
      <c r="CD26" s="1293"/>
      <c r="CE26" s="1293"/>
      <c r="CF26" s="1293"/>
      <c r="CG26" s="1293"/>
      <c r="CH26" s="1293"/>
      <c r="CI26" s="1293"/>
      <c r="CJ26" s="1293"/>
      <c r="CK26" s="1293"/>
      <c r="CL26" s="1293"/>
      <c r="CM26" s="1293"/>
      <c r="CN26" s="1293"/>
      <c r="CO26" s="1293"/>
      <c r="CP26" s="1293"/>
      <c r="CQ26" s="1293"/>
      <c r="CR26" s="1293"/>
      <c r="CS26" s="1293"/>
      <c r="CT26" s="1293"/>
      <c r="CU26" s="1293"/>
      <c r="CV26" s="1293"/>
      <c r="CW26" s="1293"/>
      <c r="CX26" s="1293"/>
      <c r="CY26" s="2064"/>
      <c r="CZ26" s="1987"/>
      <c r="DA26" s="2065"/>
      <c r="DB26" s="2064"/>
      <c r="DC26" s="1293"/>
      <c r="DD26" s="1293"/>
      <c r="DE26" s="1293"/>
      <c r="DF26" s="1293"/>
      <c r="DG26" s="1293"/>
      <c r="DH26" s="1293"/>
      <c r="DI26" s="1293"/>
      <c r="DJ26" s="1293"/>
      <c r="DK26" s="1293"/>
      <c r="DL26" s="1293"/>
    </row>
    <row r="27" spans="1:116" ht="15.75" hidden="1" outlineLevel="1">
      <c r="A27" s="1293"/>
      <c r="B27" s="1293" t="s">
        <v>2384</v>
      </c>
      <c r="C27" s="1987">
        <f ca="1">'Country quarts'!C4</f>
        <v>29.070622404303116</v>
      </c>
      <c r="D27" s="1987">
        <f ca="1">'Country quarts'!D4</f>
        <v>28.381512773193563</v>
      </c>
      <c r="E27" s="1987">
        <f>'Country quarts'!E4</f>
        <v>28.453586320517548</v>
      </c>
      <c r="F27" s="1987">
        <f ca="1">'Country quarts'!F4</f>
        <v>29.035211319233749</v>
      </c>
      <c r="G27" s="2061">
        <f ca="1">'Country quarts'!G4</f>
        <v>114.94093281724798</v>
      </c>
      <c r="H27" s="1987">
        <f>'Country quarts'!H4</f>
        <v>28</v>
      </c>
      <c r="I27" s="1987">
        <f>'Country quarts'!I4</f>
        <v>28</v>
      </c>
      <c r="J27" s="1987">
        <f>'Country quarts'!J4</f>
        <v>28</v>
      </c>
      <c r="K27" s="1987">
        <f ca="1">'Country quarts'!K4</f>
        <v>29.26644024469325</v>
      </c>
      <c r="L27" s="2061">
        <f ca="1">'Country quarts'!L4</f>
        <v>113.26644024469326</v>
      </c>
      <c r="M27" s="1987">
        <f ca="1">'Country quarts'!M4</f>
        <v>30.992242594217959</v>
      </c>
      <c r="N27" s="1987">
        <f ca="1">'Country quarts'!N4</f>
        <v>32.619718673142543</v>
      </c>
      <c r="O27" s="1987">
        <f>'Country quarts'!O4</f>
        <v>34</v>
      </c>
      <c r="P27" s="1987">
        <f t="shared" si="38"/>
        <v>34.675985870689061</v>
      </c>
      <c r="Q27" s="2062">
        <f t="shared" ca="1" si="39"/>
        <v>132.28794713804956</v>
      </c>
      <c r="R27" s="1987"/>
      <c r="S27" s="1987"/>
      <c r="T27" s="1987"/>
      <c r="U27" s="1987"/>
      <c r="V27" s="2062">
        <f t="shared" si="40"/>
        <v>0</v>
      </c>
      <c r="W27" s="1987"/>
      <c r="X27" s="1987"/>
      <c r="Y27" s="1987"/>
      <c r="Z27" s="1987"/>
      <c r="AA27" s="2061"/>
      <c r="AB27" s="1699"/>
      <c r="AC27" s="1987"/>
      <c r="AD27" s="1987"/>
      <c r="AE27" s="1987"/>
      <c r="AF27" s="1987"/>
      <c r="AG27" s="1987"/>
      <c r="AH27" s="1987"/>
      <c r="AI27" s="1987"/>
      <c r="AJ27" s="2062">
        <f>'New split'!I29</f>
        <v>0</v>
      </c>
      <c r="AK27" s="1987"/>
      <c r="AL27" s="1987"/>
      <c r="AM27" s="1987"/>
      <c r="AN27" s="1987"/>
      <c r="AO27" s="2062"/>
      <c r="AP27" s="2468"/>
      <c r="AQ27" s="2468"/>
      <c r="AR27" s="2468"/>
      <c r="AS27" s="2468"/>
      <c r="AT27" s="2467"/>
      <c r="AU27" s="2468"/>
      <c r="AV27" s="2468"/>
      <c r="AW27" s="2468"/>
      <c r="AX27" s="2468"/>
      <c r="AY27" s="2467"/>
      <c r="AZ27" s="2468"/>
      <c r="BA27" s="2468"/>
      <c r="BB27" s="2468"/>
      <c r="BC27" s="2468"/>
      <c r="BD27" s="2467"/>
      <c r="BE27" s="2468"/>
      <c r="BF27" s="2468"/>
      <c r="BG27" s="2468"/>
      <c r="BH27" s="2468"/>
      <c r="BI27" s="2467"/>
      <c r="BJ27" s="2468"/>
      <c r="BK27" s="2468"/>
      <c r="BL27" s="2468"/>
      <c r="BM27" s="2468"/>
      <c r="BN27" s="2467"/>
      <c r="BO27" s="2063"/>
      <c r="BP27" s="2063"/>
      <c r="BQ27" s="2040"/>
      <c r="BR27" s="1293"/>
      <c r="BS27" s="1293"/>
      <c r="BT27" s="1293"/>
      <c r="BU27" s="1293"/>
      <c r="BV27" s="1293"/>
      <c r="BW27" s="1293"/>
      <c r="BX27" s="1293"/>
      <c r="BY27" s="1293"/>
      <c r="BZ27" s="1293"/>
      <c r="CA27" s="1293"/>
      <c r="CB27" s="1293"/>
      <c r="CC27" s="1293"/>
      <c r="CD27" s="1293"/>
      <c r="CE27" s="1293"/>
      <c r="CF27" s="1293"/>
      <c r="CG27" s="1293"/>
      <c r="CH27" s="1293"/>
      <c r="CI27" s="1293"/>
      <c r="CJ27" s="1293"/>
      <c r="CK27" s="1293"/>
      <c r="CL27" s="1293"/>
      <c r="CM27" s="1293"/>
      <c r="CN27" s="1293"/>
      <c r="CO27" s="1293"/>
      <c r="CP27" s="1293"/>
      <c r="CQ27" s="1293"/>
      <c r="CR27" s="1293"/>
      <c r="CS27" s="1293"/>
      <c r="CT27" s="1293"/>
      <c r="CU27" s="1293"/>
      <c r="CV27" s="1293"/>
      <c r="CW27" s="1293"/>
      <c r="CX27" s="1293"/>
      <c r="CY27" s="2064"/>
      <c r="CZ27" s="1987"/>
      <c r="DA27" s="2065"/>
      <c r="DB27" s="2064"/>
      <c r="DC27" s="1293"/>
      <c r="DD27" s="1293"/>
      <c r="DE27" s="1293"/>
      <c r="DF27" s="1293"/>
      <c r="DG27" s="1293"/>
      <c r="DH27" s="1293"/>
      <c r="DI27" s="1293"/>
      <c r="DJ27" s="1293"/>
      <c r="DK27" s="1293"/>
      <c r="DL27" s="1293"/>
    </row>
    <row r="28" spans="1:116" ht="15.75" hidden="1" outlineLevel="1">
      <c r="A28" s="1293"/>
      <c r="B28" s="1293" t="s">
        <v>578</v>
      </c>
      <c r="C28" s="1987">
        <f>'Country quarts'!C6</f>
        <v>85.185185185185176</v>
      </c>
      <c r="D28" s="1987">
        <f>'Country quarts'!D6</f>
        <v>87.5</v>
      </c>
      <c r="E28" s="1987">
        <f>'Country quarts'!E6</f>
        <v>97.777777777777771</v>
      </c>
      <c r="F28" s="1987">
        <f>'Country quarts'!F6</f>
        <v>97.777777777777771</v>
      </c>
      <c r="G28" s="2061">
        <f>'Country quarts'!G6</f>
        <v>368</v>
      </c>
      <c r="H28" s="1987">
        <f>'Country quarts'!H6</f>
        <v>92</v>
      </c>
      <c r="I28" s="1987">
        <f>'Country quarts'!I6</f>
        <v>91</v>
      </c>
      <c r="J28" s="1987">
        <f>'Country quarts'!J6</f>
        <v>88</v>
      </c>
      <c r="K28" s="1987">
        <f>'Country quarts'!K6</f>
        <v>88</v>
      </c>
      <c r="L28" s="2061">
        <f>'Country quarts'!L6</f>
        <v>359</v>
      </c>
      <c r="M28" s="1987">
        <f>'Country quarts'!M6</f>
        <v>84.199008264462805</v>
      </c>
      <c r="N28" s="1987">
        <f>'Country quarts'!N6</f>
        <v>86.049250799451812</v>
      </c>
      <c r="O28" s="1987">
        <f>'Country quarts'!O6</f>
        <v>88</v>
      </c>
      <c r="P28" s="1987">
        <f t="shared" si="38"/>
        <v>89.749610488842279</v>
      </c>
      <c r="Q28" s="2062">
        <f t="shared" si="39"/>
        <v>347.99786955275687</v>
      </c>
      <c r="R28" s="1987">
        <f t="shared" ref="R28:U29" si="41">R65+R95</f>
        <v>82.703277850491915</v>
      </c>
      <c r="S28" s="1987">
        <f t="shared" si="41"/>
        <v>85.721442447301769</v>
      </c>
      <c r="T28" s="1987">
        <f t="shared" si="41"/>
        <v>87.428366459843346</v>
      </c>
      <c r="U28" s="1987">
        <f t="shared" si="41"/>
        <v>82.682292317844002</v>
      </c>
      <c r="V28" s="2062">
        <f t="shared" si="40"/>
        <v>338.53537907548105</v>
      </c>
      <c r="W28" s="1987">
        <f t="shared" ref="W28:Z29" si="42">W65+W95</f>
        <v>87.857524750575053</v>
      </c>
      <c r="X28" s="1987">
        <f t="shared" si="42"/>
        <v>89.052143376893639</v>
      </c>
      <c r="Y28" s="1987">
        <f t="shared" si="42"/>
        <v>90.709961785833968</v>
      </c>
      <c r="Z28" s="1987">
        <f t="shared" si="42"/>
        <v>85.972056958658698</v>
      </c>
      <c r="AA28" s="2039">
        <f>SUM(W28:Z28)</f>
        <v>353.59168687196137</v>
      </c>
      <c r="AB28" s="1987">
        <f t="shared" ref="AB28:AI29" si="43">AB65+AB95</f>
        <v>88.2</v>
      </c>
      <c r="AC28" s="1987">
        <f t="shared" si="43"/>
        <v>88.2</v>
      </c>
      <c r="AD28" s="1987">
        <f t="shared" si="43"/>
        <v>87.2</v>
      </c>
      <c r="AE28" s="1987">
        <f t="shared" si="43"/>
        <v>87.2</v>
      </c>
      <c r="AF28" s="1987">
        <f t="shared" si="43"/>
        <v>92.2</v>
      </c>
      <c r="AG28" s="1987">
        <f t="shared" si="43"/>
        <v>92.2</v>
      </c>
      <c r="AH28" s="1987">
        <f t="shared" si="43"/>
        <v>92.2</v>
      </c>
      <c r="AI28" s="1987">
        <f t="shared" si="43"/>
        <v>92.2</v>
      </c>
      <c r="AJ28" s="2062">
        <f>AB28+AD28+AF28+AH28</f>
        <v>359.8</v>
      </c>
      <c r="AK28" s="1987">
        <f t="shared" ref="AK28:AN29" ca="1" si="44">AK65+AK95</f>
        <v>85.2</v>
      </c>
      <c r="AL28" s="1987">
        <f t="shared" ca="1" si="44"/>
        <v>83.2</v>
      </c>
      <c r="AM28" s="1987">
        <f t="shared" ca="1" si="44"/>
        <v>94</v>
      </c>
      <c r="AN28" s="1987">
        <f t="shared" ca="1" si="44"/>
        <v>94</v>
      </c>
      <c r="AO28" s="2062">
        <f ca="1">AK28+AL28+AM28+AN28</f>
        <v>356.4</v>
      </c>
      <c r="AP28" s="2468">
        <v>89</v>
      </c>
      <c r="AQ28" s="2468">
        <v>89</v>
      </c>
      <c r="AR28" s="2468">
        <v>87</v>
      </c>
      <c r="AS28" s="2468">
        <v>92</v>
      </c>
      <c r="AT28" s="2467">
        <f>AP28+AQ28+AR28+AS28</f>
        <v>357</v>
      </c>
      <c r="AU28" s="2468"/>
      <c r="AV28" s="2468"/>
      <c r="AW28" s="2468"/>
      <c r="AX28" s="2468"/>
      <c r="AY28" s="2467"/>
      <c r="AZ28" s="2468"/>
      <c r="BA28" s="2468"/>
      <c r="BB28" s="2468"/>
      <c r="BC28" s="2468"/>
      <c r="BD28" s="2467"/>
      <c r="BE28" s="2468"/>
      <c r="BF28" s="2468"/>
      <c r="BG28" s="2468"/>
      <c r="BH28" s="2468"/>
      <c r="BI28" s="2467"/>
      <c r="BJ28" s="2468"/>
      <c r="BK28" s="2468"/>
      <c r="BL28" s="2468"/>
      <c r="BM28" s="2468"/>
      <c r="BN28" s="2467"/>
      <c r="BO28" s="2063"/>
      <c r="BP28" s="2063"/>
      <c r="BQ28" s="2040"/>
      <c r="BR28" s="1293"/>
      <c r="BS28" s="1293"/>
      <c r="BT28" s="1293"/>
      <c r="BU28" s="1293"/>
      <c r="BV28" s="1293"/>
      <c r="BW28" s="1293"/>
      <c r="BX28" s="1293"/>
      <c r="BY28" s="1293"/>
      <c r="BZ28" s="1293"/>
      <c r="CA28" s="1293"/>
      <c r="CB28" s="1293"/>
      <c r="CC28" s="1293"/>
      <c r="CD28" s="1293"/>
      <c r="CE28" s="1293"/>
      <c r="CF28" s="1293"/>
      <c r="CG28" s="1293"/>
      <c r="CH28" s="1293"/>
      <c r="CI28" s="1293"/>
      <c r="CJ28" s="1293"/>
      <c r="CK28" s="1293"/>
      <c r="CL28" s="1293"/>
      <c r="CM28" s="1293"/>
      <c r="CN28" s="1293"/>
      <c r="CO28" s="1293"/>
      <c r="CP28" s="1293"/>
      <c r="CQ28" s="1293"/>
      <c r="CR28" s="1293"/>
      <c r="CS28" s="1293"/>
      <c r="CT28" s="1293"/>
      <c r="CU28" s="1293"/>
      <c r="CV28" s="1293"/>
      <c r="CW28" s="1293"/>
      <c r="CX28" s="1293"/>
      <c r="CY28" s="2064"/>
      <c r="CZ28" s="1987"/>
      <c r="DA28" s="2065"/>
      <c r="DB28" s="2064"/>
      <c r="DC28" s="1293"/>
      <c r="DD28" s="1293"/>
      <c r="DE28" s="1293"/>
      <c r="DF28" s="1293"/>
      <c r="DG28" s="1293"/>
      <c r="DH28" s="1293"/>
      <c r="DI28" s="1293"/>
      <c r="DJ28" s="1293"/>
      <c r="DK28" s="1293"/>
      <c r="DL28" s="1293"/>
    </row>
    <row r="29" spans="1:116" ht="15.75" hidden="1" outlineLevel="1">
      <c r="A29" s="1293"/>
      <c r="B29" s="1293" t="s">
        <v>781</v>
      </c>
      <c r="C29" s="1987">
        <f>'Country quarts'!C17</f>
        <v>0</v>
      </c>
      <c r="D29" s="1987">
        <f>'Country quarts'!D17</f>
        <v>0</v>
      </c>
      <c r="E29" s="1987">
        <f>'Country quarts'!E17</f>
        <v>0</v>
      </c>
      <c r="F29" s="1987">
        <f>'Country quarts'!F17</f>
        <v>0</v>
      </c>
      <c r="G29" s="2061">
        <f>'Country quarts'!G17</f>
        <v>0</v>
      </c>
      <c r="H29" s="1987">
        <f>'Country quarts'!H17</f>
        <v>0</v>
      </c>
      <c r="I29" s="1987">
        <f>'Country quarts'!I17</f>
        <v>0</v>
      </c>
      <c r="J29" s="1987">
        <f>'Country quarts'!J17</f>
        <v>0</v>
      </c>
      <c r="K29" s="1987">
        <f>'Country quarts'!K17</f>
        <v>9</v>
      </c>
      <c r="L29" s="2061">
        <f>'Country quarts'!L17</f>
        <v>9</v>
      </c>
      <c r="M29" s="1987">
        <f>'Country quarts'!M17</f>
        <v>9</v>
      </c>
      <c r="N29" s="1987">
        <f>'Country quarts'!N17</f>
        <v>8</v>
      </c>
      <c r="O29" s="1987">
        <f>'Country quarts'!O17</f>
        <v>8</v>
      </c>
      <c r="P29" s="1987">
        <f t="shared" si="38"/>
        <v>8.1590554989856621</v>
      </c>
      <c r="Q29" s="2062">
        <f t="shared" si="39"/>
        <v>33.159055498985666</v>
      </c>
      <c r="R29" s="1987">
        <f t="shared" ca="1" si="41"/>
        <v>6.9042432969133767</v>
      </c>
      <c r="S29" s="1987">
        <f t="shared" ca="1" si="41"/>
        <v>0.22398546508761782</v>
      </c>
      <c r="T29" s="1987">
        <f t="shared" si="41"/>
        <v>8.6856500345603411</v>
      </c>
      <c r="U29" s="1987">
        <f t="shared" si="41"/>
        <v>14.452190483923204</v>
      </c>
      <c r="V29" s="2062">
        <f t="shared" ca="1" si="40"/>
        <v>30.26606928048454</v>
      </c>
      <c r="W29" s="1987">
        <f t="shared" ca="1" si="42"/>
        <v>7.428489483002835</v>
      </c>
      <c r="X29" s="1987">
        <f t="shared" ca="1" si="42"/>
        <v>1.0699412122522745</v>
      </c>
      <c r="Y29" s="1987">
        <f t="shared" si="42"/>
        <v>1.0645997013037993</v>
      </c>
      <c r="Z29" s="1987">
        <f t="shared" si="42"/>
        <v>7.7371110815672797</v>
      </c>
      <c r="AA29" s="2039">
        <f ca="1">SUM(W29:Z29)</f>
        <v>17.300141478126186</v>
      </c>
      <c r="AB29" s="2063">
        <f t="shared" si="43"/>
        <v>5</v>
      </c>
      <c r="AC29" s="2063">
        <f t="shared" si="43"/>
        <v>5</v>
      </c>
      <c r="AD29" s="2063">
        <f t="shared" si="43"/>
        <v>5</v>
      </c>
      <c r="AE29" s="2063">
        <f t="shared" si="43"/>
        <v>5</v>
      </c>
      <c r="AF29" s="2063">
        <f t="shared" si="43"/>
        <v>6</v>
      </c>
      <c r="AG29" s="2063">
        <f t="shared" si="43"/>
        <v>6</v>
      </c>
      <c r="AH29" s="2063">
        <f t="shared" si="43"/>
        <v>6</v>
      </c>
      <c r="AI29" s="2063">
        <f t="shared" si="43"/>
        <v>6</v>
      </c>
      <c r="AJ29" s="2062">
        <f>AB29+AD29+AF29+AH29</f>
        <v>22</v>
      </c>
      <c r="AK29" s="2063">
        <f t="shared" ca="1" si="44"/>
        <v>4.2000000000000028</v>
      </c>
      <c r="AL29" s="2063">
        <f t="shared" ca="1" si="44"/>
        <v>3.2000000000000028</v>
      </c>
      <c r="AM29" s="2063">
        <f t="shared" ca="1" si="44"/>
        <v>0</v>
      </c>
      <c r="AN29" s="2063">
        <f t="shared" ca="1" si="44"/>
        <v>3</v>
      </c>
      <c r="AO29" s="2062">
        <f ca="1">AK29+AL29+AM29+AN29</f>
        <v>10.400000000000006</v>
      </c>
      <c r="AP29" s="2468">
        <f ca="1">AP66+AP96</f>
        <v>0</v>
      </c>
      <c r="AQ29" s="2468">
        <f ca="1">AQ66+AQ96</f>
        <v>0</v>
      </c>
      <c r="AR29" s="2468">
        <f ca="1">AR66+AR96</f>
        <v>0</v>
      </c>
      <c r="AS29" s="2468">
        <f ca="1">AS66+AS96</f>
        <v>0</v>
      </c>
      <c r="AT29" s="2467">
        <f ca="1">AP29+AQ29+AR29+AS29</f>
        <v>0</v>
      </c>
      <c r="AU29" s="2468"/>
      <c r="AV29" s="2468"/>
      <c r="AW29" s="2468"/>
      <c r="AX29" s="2468"/>
      <c r="AY29" s="2467"/>
      <c r="AZ29" s="2468"/>
      <c r="BA29" s="2468"/>
      <c r="BB29" s="2468"/>
      <c r="BC29" s="2468"/>
      <c r="BD29" s="2467"/>
      <c r="BE29" s="2468"/>
      <c r="BF29" s="2468"/>
      <c r="BG29" s="2468"/>
      <c r="BH29" s="2468"/>
      <c r="BI29" s="2467"/>
      <c r="BJ29" s="2468"/>
      <c r="BK29" s="2468"/>
      <c r="BL29" s="2468"/>
      <c r="BM29" s="2468"/>
      <c r="BN29" s="2467"/>
      <c r="BO29" s="2063"/>
      <c r="BP29" s="2063"/>
      <c r="BQ29" s="2040"/>
      <c r="BR29" s="1293"/>
      <c r="BS29" s="1293"/>
      <c r="BT29" s="1293"/>
      <c r="BU29" s="1293"/>
      <c r="BV29" s="1293"/>
      <c r="BW29" s="1293"/>
      <c r="BX29" s="1293"/>
      <c r="BY29" s="1293"/>
      <c r="BZ29" s="1293"/>
      <c r="CA29" s="1293"/>
      <c r="CB29" s="1293"/>
      <c r="CC29" s="1293"/>
      <c r="CD29" s="1293"/>
      <c r="CE29" s="1293"/>
      <c r="CF29" s="1293"/>
      <c r="CG29" s="1293"/>
      <c r="CH29" s="1293"/>
      <c r="CI29" s="1293"/>
      <c r="CJ29" s="1293"/>
      <c r="CK29" s="1293"/>
      <c r="CL29" s="1293"/>
      <c r="CM29" s="1293"/>
      <c r="CN29" s="1293"/>
      <c r="CO29" s="1293"/>
      <c r="CP29" s="1293"/>
      <c r="CQ29" s="1293"/>
      <c r="CR29" s="1293"/>
      <c r="CS29" s="1293"/>
      <c r="CT29" s="1293"/>
      <c r="CU29" s="1293"/>
      <c r="CV29" s="1293"/>
      <c r="CW29" s="1293"/>
      <c r="CX29" s="1293"/>
      <c r="CY29" s="2043"/>
      <c r="CZ29" s="2063"/>
      <c r="DA29" s="2045"/>
      <c r="DB29" s="2043"/>
      <c r="DC29" s="1293"/>
      <c r="DD29" s="1293"/>
      <c r="DE29" s="1293"/>
      <c r="DF29" s="1293"/>
      <c r="DG29" s="1293"/>
      <c r="DH29" s="1293"/>
      <c r="DI29" s="1293"/>
      <c r="DJ29" s="1293"/>
      <c r="DK29" s="1293"/>
      <c r="DL29" s="1293"/>
    </row>
    <row r="30" spans="1:116" ht="15.75" hidden="1" outlineLevel="1">
      <c r="A30" s="1293"/>
      <c r="B30" s="1331" t="s">
        <v>4505</v>
      </c>
      <c r="C30" s="2066">
        <f t="shared" ref="C30:O30" ca="1" si="45">C31-SUM(C23:C29)</f>
        <v>-4.8686743768651013</v>
      </c>
      <c r="D30" s="2066">
        <f t="shared" ca="1" si="45"/>
        <v>1.4233589978260852E-2</v>
      </c>
      <c r="E30" s="2066">
        <f t="shared" si="45"/>
        <v>4.6615665069599572</v>
      </c>
      <c r="F30" s="2066">
        <f t="shared" ca="1" si="45"/>
        <v>-0.34021565581832647</v>
      </c>
      <c r="G30" s="2067">
        <f t="shared" ca="1" si="45"/>
        <v>-0.17672224924024249</v>
      </c>
      <c r="H30" s="2066">
        <f t="shared" si="45"/>
        <v>7.7614344350990905E-2</v>
      </c>
      <c r="I30" s="2066">
        <f t="shared" si="45"/>
        <v>3.9519782170003737E-2</v>
      </c>
      <c r="J30" s="2066">
        <f t="shared" si="45"/>
        <v>0.20763346316994102</v>
      </c>
      <c r="K30" s="2066">
        <f t="shared" ca="1" si="45"/>
        <v>-0.24299003063322289</v>
      </c>
      <c r="L30" s="2067">
        <f t="shared" ca="1" si="45"/>
        <v>8.17775590577412E-2</v>
      </c>
      <c r="M30" s="2066">
        <f t="shared" ca="1" si="45"/>
        <v>8.4810034806821477E-3</v>
      </c>
      <c r="N30" s="2066">
        <f t="shared" ca="1" si="45"/>
        <v>1.7402749019194061</v>
      </c>
      <c r="O30" s="2066">
        <f t="shared" si="45"/>
        <v>-0.46420658276500149</v>
      </c>
      <c r="P30" s="2066">
        <f t="shared" si="38"/>
        <v>-0.47343590897176602</v>
      </c>
      <c r="Q30" s="2068">
        <f t="shared" ca="1" si="39"/>
        <v>0.81111341366332079</v>
      </c>
      <c r="R30" s="2066">
        <v>0</v>
      </c>
      <c r="S30" s="2066">
        <v>0</v>
      </c>
      <c r="T30" s="2066">
        <v>0</v>
      </c>
      <c r="U30" s="2066">
        <v>0</v>
      </c>
      <c r="V30" s="2068">
        <f t="shared" si="40"/>
        <v>0</v>
      </c>
      <c r="W30" s="2066">
        <v>0</v>
      </c>
      <c r="X30" s="2066">
        <v>0</v>
      </c>
      <c r="Y30" s="2066">
        <v>0</v>
      </c>
      <c r="Z30" s="2066">
        <v>0</v>
      </c>
      <c r="AA30" s="2048">
        <f>SUM(W30:Z30)</f>
        <v>0</v>
      </c>
      <c r="AB30" s="2069">
        <v>0</v>
      </c>
      <c r="AC30" s="2069">
        <v>0</v>
      </c>
      <c r="AD30" s="2069">
        <v>0</v>
      </c>
      <c r="AE30" s="2069">
        <v>0</v>
      </c>
      <c r="AF30" s="2069">
        <v>0</v>
      </c>
      <c r="AG30" s="2069">
        <v>0</v>
      </c>
      <c r="AH30" s="2069">
        <v>0</v>
      </c>
      <c r="AI30" s="2069">
        <v>0</v>
      </c>
      <c r="AJ30" s="2068">
        <f>AB30+AD30+AF30+AH30</f>
        <v>0</v>
      </c>
      <c r="AK30" s="2069">
        <v>0</v>
      </c>
      <c r="AL30" s="2069">
        <v>0</v>
      </c>
      <c r="AM30" s="2069">
        <v>0</v>
      </c>
      <c r="AN30" s="2069">
        <v>0</v>
      </c>
      <c r="AO30" s="2068">
        <f>AK30+AL30+AM30+AN30</f>
        <v>0</v>
      </c>
      <c r="AP30" s="2469">
        <v>0</v>
      </c>
      <c r="AQ30" s="2469">
        <v>0</v>
      </c>
      <c r="AR30" s="2469">
        <v>0</v>
      </c>
      <c r="AS30" s="2469">
        <v>0</v>
      </c>
      <c r="AT30" s="2470">
        <f>AP30+AQ30+AR30+AS30</f>
        <v>0</v>
      </c>
      <c r="AU30" s="2469"/>
      <c r="AV30" s="2469"/>
      <c r="AW30" s="2469"/>
      <c r="AX30" s="2469"/>
      <c r="AY30" s="2470"/>
      <c r="AZ30" s="2469"/>
      <c r="BA30" s="2469"/>
      <c r="BB30" s="2469"/>
      <c r="BC30" s="2469"/>
      <c r="BD30" s="2470"/>
      <c r="BE30" s="2469"/>
      <c r="BF30" s="2469"/>
      <c r="BG30" s="2469"/>
      <c r="BH30" s="2469"/>
      <c r="BI30" s="2470"/>
      <c r="BJ30" s="2469"/>
      <c r="BK30" s="2469"/>
      <c r="BL30" s="2469"/>
      <c r="BM30" s="2469"/>
      <c r="BN30" s="2470"/>
      <c r="BO30" s="2063"/>
      <c r="BP30" s="2063"/>
      <c r="BQ30" s="2040"/>
      <c r="BR30" s="1293"/>
      <c r="BS30" s="1293"/>
      <c r="BT30" s="1293"/>
      <c r="BU30" s="1293"/>
      <c r="BV30" s="1293"/>
      <c r="BW30" s="1293"/>
      <c r="BX30" s="1293"/>
      <c r="BY30" s="1293"/>
      <c r="BZ30" s="1293"/>
      <c r="CA30" s="1293"/>
      <c r="CB30" s="1293"/>
      <c r="CC30" s="1293"/>
      <c r="CD30" s="1293"/>
      <c r="CE30" s="1293"/>
      <c r="CF30" s="1293"/>
      <c r="CG30" s="1293"/>
      <c r="CH30" s="1293"/>
      <c r="CI30" s="1293"/>
      <c r="CJ30" s="1293"/>
      <c r="CK30" s="1293"/>
      <c r="CL30" s="1293"/>
      <c r="CM30" s="1293"/>
      <c r="CN30" s="1293"/>
      <c r="CO30" s="1293"/>
      <c r="CP30" s="1293"/>
      <c r="CQ30" s="1293"/>
      <c r="CR30" s="1293"/>
      <c r="CS30" s="1293"/>
      <c r="CT30" s="1293"/>
      <c r="CU30" s="1293"/>
      <c r="CV30" s="1293"/>
      <c r="CW30" s="1293"/>
      <c r="CX30" s="1293"/>
      <c r="CY30" s="2070"/>
      <c r="CZ30" s="2069"/>
      <c r="DA30" s="2071"/>
      <c r="DB30" s="2072"/>
      <c r="DC30" s="1293"/>
      <c r="DD30" s="1293"/>
      <c r="DE30" s="1293"/>
      <c r="DF30" s="1293"/>
      <c r="DG30" s="1293"/>
      <c r="DH30" s="1293"/>
      <c r="DI30" s="1293"/>
      <c r="DJ30" s="1293"/>
      <c r="DK30" s="1293"/>
      <c r="DL30" s="1293"/>
    </row>
    <row r="31" spans="1:116" ht="15.75" hidden="1" outlineLevel="1">
      <c r="A31" s="1293"/>
      <c r="B31" s="1293" t="s">
        <v>3871</v>
      </c>
      <c r="C31" s="1699">
        <v>244</v>
      </c>
      <c r="D31" s="1699">
        <v>244.3161416034109</v>
      </c>
      <c r="E31" s="1699">
        <v>254.71749258292311</v>
      </c>
      <c r="F31" s="1699">
        <v>256.49292259283925</v>
      </c>
      <c r="G31" s="2039">
        <v>999.64218372493758</v>
      </c>
      <c r="H31" s="1699">
        <v>248.07761434435099</v>
      </c>
      <c r="I31" s="1699">
        <v>240.03951978217</v>
      </c>
      <c r="J31" s="1699">
        <v>241.20763346316994</v>
      </c>
      <c r="K31" s="1699">
        <v>258.409089518683</v>
      </c>
      <c r="L31" s="2039">
        <v>987.73385710837397</v>
      </c>
      <c r="M31" s="1699">
        <v>219.805232951953</v>
      </c>
      <c r="N31" s="1699">
        <v>222.39672645001701</v>
      </c>
      <c r="O31" s="1699">
        <v>224.535793417235</v>
      </c>
      <c r="P31" s="1699">
        <v>229</v>
      </c>
      <c r="Q31" s="2039">
        <f t="shared" si="39"/>
        <v>895.73775281920507</v>
      </c>
      <c r="R31" s="1699">
        <v>175</v>
      </c>
      <c r="S31" s="1699">
        <v>172</v>
      </c>
      <c r="T31" s="1699">
        <v>149</v>
      </c>
      <c r="U31" s="1699">
        <v>150</v>
      </c>
      <c r="V31" s="2039">
        <f t="shared" si="40"/>
        <v>646</v>
      </c>
      <c r="W31" s="1699">
        <v>134</v>
      </c>
      <c r="X31" s="1699">
        <v>129</v>
      </c>
      <c r="Y31" s="1699">
        <v>130.5</v>
      </c>
      <c r="Z31" s="1699">
        <v>133</v>
      </c>
      <c r="AA31" s="2039">
        <f>SUM(W31:Z31)</f>
        <v>526.5</v>
      </c>
      <c r="AB31" s="1984">
        <f>AC31</f>
        <v>124</v>
      </c>
      <c r="AC31" s="1699">
        <v>124</v>
      </c>
      <c r="AD31" s="1699">
        <f>AE31</f>
        <v>92</v>
      </c>
      <c r="AE31" s="1699">
        <v>92</v>
      </c>
      <c r="AF31" s="1699">
        <f>AG31</f>
        <v>98</v>
      </c>
      <c r="AG31" s="1699">
        <v>98</v>
      </c>
      <c r="AH31" s="1699">
        <v>98</v>
      </c>
      <c r="AI31" s="1699">
        <v>98</v>
      </c>
      <c r="AJ31" s="2062">
        <f>AB31+AD31+AF31+AH31</f>
        <v>412</v>
      </c>
      <c r="AK31" s="1699">
        <v>89</v>
      </c>
      <c r="AL31" s="1699">
        <v>86</v>
      </c>
      <c r="AM31" s="1699">
        <v>94</v>
      </c>
      <c r="AN31" s="1699">
        <v>97</v>
      </c>
      <c r="AO31" s="2062">
        <f>AK31+AL31+AM31+AN31</f>
        <v>366</v>
      </c>
      <c r="AP31" s="1327">
        <v>89</v>
      </c>
      <c r="AQ31" s="1327">
        <v>89</v>
      </c>
      <c r="AR31" s="1327">
        <v>87</v>
      </c>
      <c r="AS31" s="1327">
        <v>92</v>
      </c>
      <c r="AT31" s="2161">
        <f>AP31+AQ31+AR31+AS31</f>
        <v>357</v>
      </c>
      <c r="AU31" s="1327"/>
      <c r="AV31" s="1327"/>
      <c r="AW31" s="1327"/>
      <c r="AX31" s="1327"/>
      <c r="AY31" s="2467"/>
      <c r="AZ31" s="1327"/>
      <c r="BA31" s="1327"/>
      <c r="BB31" s="1327"/>
      <c r="BC31" s="1327"/>
      <c r="BD31" s="2467"/>
      <c r="BE31" s="1327"/>
      <c r="BF31" s="1327"/>
      <c r="BG31" s="1327"/>
      <c r="BH31" s="1327"/>
      <c r="BI31" s="2467"/>
      <c r="BJ31" s="1327"/>
      <c r="BK31" s="1327"/>
      <c r="BL31" s="1327"/>
      <c r="BM31" s="1327"/>
      <c r="BN31" s="2467"/>
      <c r="BO31" s="2063"/>
      <c r="BP31" s="2063"/>
      <c r="BQ31" s="2040"/>
      <c r="BR31" s="1293"/>
      <c r="BS31" s="1293"/>
      <c r="BT31" s="1293"/>
      <c r="BU31" s="1293"/>
      <c r="BV31" s="1293"/>
      <c r="BW31" s="1293"/>
      <c r="BX31" s="1293"/>
      <c r="BY31" s="1293"/>
      <c r="BZ31" s="1293"/>
      <c r="CA31" s="1293"/>
      <c r="CB31" s="1293"/>
      <c r="CC31" s="1293"/>
      <c r="CD31" s="1293"/>
      <c r="CE31" s="1293"/>
      <c r="CF31" s="1293"/>
      <c r="CG31" s="1293"/>
      <c r="CH31" s="1293"/>
      <c r="CI31" s="1293"/>
      <c r="CJ31" s="1293"/>
      <c r="CK31" s="1293"/>
      <c r="CL31" s="1293"/>
      <c r="CM31" s="1293"/>
      <c r="CN31" s="1293"/>
      <c r="CO31" s="1293"/>
      <c r="CP31" s="1293"/>
      <c r="CQ31" s="1293"/>
      <c r="CR31" s="1293"/>
      <c r="CS31" s="1293"/>
      <c r="CT31" s="1293"/>
      <c r="CU31" s="1293"/>
      <c r="CV31" s="1293"/>
      <c r="CW31" s="1293"/>
      <c r="CX31" s="1293"/>
      <c r="CY31" s="2041"/>
      <c r="CZ31" s="1699"/>
      <c r="DA31" s="2042"/>
      <c r="DB31" s="2041"/>
      <c r="DC31" s="1293"/>
      <c r="DD31" s="1293"/>
      <c r="DE31" s="1293"/>
      <c r="DF31" s="1293"/>
      <c r="DG31" s="1293"/>
      <c r="DH31" s="1293"/>
      <c r="DI31" s="1293"/>
      <c r="DJ31" s="1293"/>
      <c r="DK31" s="1293"/>
      <c r="DL31" s="1293"/>
    </row>
    <row r="32" spans="1:116" ht="15.75" collapsed="1">
      <c r="A32" s="1293"/>
      <c r="B32" s="1293" t="s">
        <v>4503</v>
      </c>
      <c r="C32" s="1699">
        <f t="shared" ref="C32:P32" si="46">C34-C31-C13-C19</f>
        <v>6.1818316162884912E-2</v>
      </c>
      <c r="D32" s="1699">
        <f t="shared" si="46"/>
        <v>-0.10300331330267909</v>
      </c>
      <c r="E32" s="1699">
        <f t="shared" si="46"/>
        <v>-0.12247945074921063</v>
      </c>
      <c r="F32" s="1699">
        <f t="shared" si="46"/>
        <v>0.40388900735979405</v>
      </c>
      <c r="G32" s="2039">
        <f t="shared" si="46"/>
        <v>0.12459761371292188</v>
      </c>
      <c r="H32" s="1699">
        <f t="shared" si="46"/>
        <v>3.2371288942044885E-2</v>
      </c>
      <c r="I32" s="1699">
        <f t="shared" si="46"/>
        <v>-0.15010603437690406</v>
      </c>
      <c r="J32" s="1699">
        <f t="shared" si="46"/>
        <v>-9.1364656580594783E-2</v>
      </c>
      <c r="K32" s="1699">
        <f t="shared" si="46"/>
        <v>1.5271065972773386</v>
      </c>
      <c r="L32" s="2039">
        <f t="shared" si="46"/>
        <v>1.3180071952760954</v>
      </c>
      <c r="M32" s="1699">
        <f t="shared" si="46"/>
        <v>-0.37740064793490546</v>
      </c>
      <c r="N32" s="1699">
        <f t="shared" si="46"/>
        <v>2.1941924144016411E-2</v>
      </c>
      <c r="O32" s="1699">
        <f t="shared" si="46"/>
        <v>0.40979631466404953</v>
      </c>
      <c r="P32" s="1699">
        <f t="shared" si="46"/>
        <v>0</v>
      </c>
      <c r="Q32" s="2039">
        <f t="shared" si="39"/>
        <v>5.433759087316048E-2</v>
      </c>
      <c r="R32" s="1699">
        <f>R34-R31-R13-R19</f>
        <v>0</v>
      </c>
      <c r="S32" s="1699">
        <v>0</v>
      </c>
      <c r="T32" s="1699">
        <v>0</v>
      </c>
      <c r="U32" s="1699">
        <v>0</v>
      </c>
      <c r="V32" s="2039">
        <f t="shared" si="40"/>
        <v>0</v>
      </c>
      <c r="W32" s="1699">
        <v>0</v>
      </c>
      <c r="X32" s="1699">
        <v>0</v>
      </c>
      <c r="Y32" s="1699">
        <v>0</v>
      </c>
      <c r="Z32" s="1699">
        <v>0</v>
      </c>
      <c r="AA32" s="2039">
        <f>SUM(W32:Z32)</f>
        <v>0</v>
      </c>
      <c r="AB32" s="1699"/>
      <c r="AC32" s="1699"/>
      <c r="AD32" s="1699"/>
      <c r="AE32" s="1699"/>
      <c r="AF32" s="1699"/>
      <c r="AG32" s="1699"/>
      <c r="AH32" s="1699"/>
      <c r="AI32" s="1699"/>
      <c r="AJ32" s="2039"/>
      <c r="AK32" s="1699"/>
      <c r="AL32" s="1699"/>
      <c r="AM32" s="1699"/>
      <c r="AN32" s="1699"/>
      <c r="AO32" s="2039"/>
      <c r="AP32" s="1327">
        <f>AP34-AP31-AP13-AP19</f>
        <v>-6</v>
      </c>
      <c r="AQ32" s="1327">
        <f>AQ34-AQ31-AQ13-AQ19</f>
        <v>-6</v>
      </c>
      <c r="AR32" s="1327">
        <f>AR34-AR31-AR13-AR19</f>
        <v>-6</v>
      </c>
      <c r="AS32" s="1327">
        <f>AS34-AS31-AS13-AS19</f>
        <v>-7</v>
      </c>
      <c r="AT32" s="2161">
        <f ca="1">'New split'!K34</f>
        <v>-24</v>
      </c>
      <c r="AU32" s="1327">
        <f>AU34-AU21+AU5</f>
        <v>-5.4553999999998268</v>
      </c>
      <c r="AV32" s="1327">
        <f t="shared" ref="AV32:AX32" si="47">AV34-AV21+AV5</f>
        <v>-4.42610000000019</v>
      </c>
      <c r="AW32" s="1327">
        <f t="shared" si="47"/>
        <v>-4.2699000000002343</v>
      </c>
      <c r="AX32" s="1327">
        <f t="shared" si="47"/>
        <v>-5.9434000000001106</v>
      </c>
      <c r="AY32" s="2161">
        <f>SUM(AU32:AX32)</f>
        <v>-20.094800000000362</v>
      </c>
      <c r="AZ32" s="1327">
        <f>AZ34-AZ21+AZ5</f>
        <v>-4.4552000000001044</v>
      </c>
      <c r="BA32" s="1327">
        <f t="shared" ref="BA32" si="48">BA34-BA21+BA5</f>
        <v>-5.9004999999999654</v>
      </c>
      <c r="BB32" s="1327">
        <f t="shared" ref="BB32" si="49">BB34-BB21+BB5</f>
        <v>-4.2579999999998108</v>
      </c>
      <c r="BC32" s="1327">
        <f t="shared" ref="BC32" si="50">BC34-BC21+BC5</f>
        <v>-5.2841999999999985</v>
      </c>
      <c r="BD32" s="2161">
        <f>SUM(AZ32:BC32)</f>
        <v>-19.897899999999879</v>
      </c>
      <c r="BE32" s="1327">
        <f>BE34-BE21+BE5</f>
        <v>-5.056400000000167</v>
      </c>
      <c r="BF32" s="1327">
        <f t="shared" ref="BF32" si="51">BF34-BF21+BF5</f>
        <v>-5.1743999999998778</v>
      </c>
      <c r="BG32" s="1327">
        <f t="shared" ref="BG32" si="52">BG34-BG21+BG5</f>
        <v>-4.5158000000000129</v>
      </c>
      <c r="BH32" s="1327">
        <f>BH34-BH21+BH5</f>
        <v>-5.9153000000000304</v>
      </c>
      <c r="BI32" s="2161">
        <f>SUM(BE32:BH32)</f>
        <v>-20.661900000000088</v>
      </c>
      <c r="BJ32" s="2484">
        <v>-5</v>
      </c>
      <c r="BK32" s="2484">
        <v>-5</v>
      </c>
      <c r="BL32" s="2484">
        <v>-5</v>
      </c>
      <c r="BM32" s="2484">
        <f>BN32-BJ32-BK32-BL32</f>
        <v>-5</v>
      </c>
      <c r="BN32" s="2161">
        <f>'New split'!O34</f>
        <v>-20</v>
      </c>
      <c r="BO32" s="1699"/>
      <c r="BP32" s="1699"/>
      <c r="BQ32" s="2040"/>
      <c r="BR32" s="1293"/>
      <c r="BS32" s="1293"/>
      <c r="BT32" s="1293"/>
      <c r="BU32" s="1293"/>
      <c r="BV32" s="1293"/>
      <c r="BW32" s="1293"/>
      <c r="BX32" s="1293"/>
      <c r="BY32" s="1293"/>
      <c r="BZ32" s="1293"/>
      <c r="CA32" s="1293"/>
      <c r="CB32" s="1293"/>
      <c r="CC32" s="1293"/>
      <c r="CD32" s="1293"/>
      <c r="CE32" s="1293"/>
      <c r="CF32" s="1293"/>
      <c r="CG32" s="1293"/>
      <c r="CH32" s="1293"/>
      <c r="CI32" s="1293"/>
      <c r="CJ32" s="1293"/>
      <c r="CK32" s="1293"/>
      <c r="CL32" s="1293"/>
      <c r="CM32" s="1293"/>
      <c r="CN32" s="1293"/>
      <c r="CO32" s="1293"/>
      <c r="CP32" s="1293"/>
      <c r="CQ32" s="1293"/>
      <c r="CR32" s="1293"/>
      <c r="CS32" s="1293"/>
      <c r="CT32" s="1293"/>
      <c r="CU32" s="1293"/>
      <c r="CV32" s="1293"/>
      <c r="CW32" s="1293"/>
      <c r="CX32" s="1293"/>
      <c r="CY32" s="2073">
        <v>-3.8059999999999263</v>
      </c>
      <c r="CZ32" s="2074">
        <v>-4.5</v>
      </c>
      <c r="DA32" s="2075">
        <v>-5</v>
      </c>
      <c r="DB32" s="2073">
        <v>-5</v>
      </c>
      <c r="DC32" s="1293"/>
      <c r="DD32" s="1293"/>
      <c r="DE32" s="1293"/>
      <c r="DF32" s="1293"/>
      <c r="DG32" s="1293"/>
      <c r="DH32" s="1293"/>
      <c r="DI32" s="1293"/>
      <c r="DJ32" s="1293"/>
      <c r="DK32" s="1293"/>
      <c r="DL32" s="1293"/>
    </row>
    <row r="33" spans="1:116" ht="15.75">
      <c r="A33" s="1293"/>
      <c r="B33" s="1293"/>
      <c r="C33" s="1699"/>
      <c r="D33" s="1699"/>
      <c r="E33" s="1699"/>
      <c r="F33" s="1699"/>
      <c r="G33" s="2039"/>
      <c r="H33" s="1699"/>
      <c r="I33" s="1699"/>
      <c r="J33" s="1699"/>
      <c r="K33" s="1699"/>
      <c r="L33" s="2039"/>
      <c r="M33" s="1699"/>
      <c r="N33" s="1699"/>
      <c r="O33" s="1699"/>
      <c r="P33" s="1699"/>
      <c r="Q33" s="2039"/>
      <c r="R33" s="1699"/>
      <c r="S33" s="1699"/>
      <c r="T33" s="1699"/>
      <c r="U33" s="1699"/>
      <c r="V33" s="2039"/>
      <c r="W33" s="1699"/>
      <c r="X33" s="1699"/>
      <c r="Y33" s="1699"/>
      <c r="Z33" s="1699"/>
      <c r="AA33" s="2039"/>
      <c r="AB33" s="1699"/>
      <c r="AC33" s="1699"/>
      <c r="AD33" s="1699"/>
      <c r="AE33" s="1699"/>
      <c r="AF33" s="1699"/>
      <c r="AG33" s="1699"/>
      <c r="AH33" s="1699"/>
      <c r="AI33" s="1699"/>
      <c r="AJ33" s="2039"/>
      <c r="AK33" s="1699"/>
      <c r="AL33" s="1699"/>
      <c r="AM33" s="1699"/>
      <c r="AN33" s="1699"/>
      <c r="AO33" s="2039"/>
      <c r="AP33" s="1327"/>
      <c r="AQ33" s="1327"/>
      <c r="AR33" s="1327"/>
      <c r="AS33" s="1327"/>
      <c r="AT33" s="2161"/>
      <c r="AU33" s="1327"/>
      <c r="AV33" s="1327"/>
      <c r="AW33" s="1327"/>
      <c r="AX33" s="1327"/>
      <c r="AY33" s="2161"/>
      <c r="AZ33" s="1327"/>
      <c r="BA33" s="1327"/>
      <c r="BB33" s="1327"/>
      <c r="BC33" s="1327"/>
      <c r="BD33" s="2161"/>
      <c r="BE33" s="1327"/>
      <c r="BF33" s="1327"/>
      <c r="BG33" s="1327"/>
      <c r="BH33" s="1327"/>
      <c r="BI33" s="2161"/>
      <c r="BJ33" s="1327"/>
      <c r="BK33" s="1327"/>
      <c r="BL33" s="1327"/>
      <c r="BM33" s="1327"/>
      <c r="BN33" s="2161"/>
      <c r="BO33" s="1699"/>
      <c r="BP33" s="1699"/>
      <c r="BQ33" s="2040"/>
      <c r="BR33" s="1293"/>
      <c r="BS33" s="1293"/>
      <c r="BT33" s="1293"/>
      <c r="BU33" s="1293"/>
      <c r="BV33" s="1293"/>
      <c r="BW33" s="1293"/>
      <c r="BX33" s="1293"/>
      <c r="BY33" s="1293"/>
      <c r="BZ33" s="1293"/>
      <c r="CA33" s="1293"/>
      <c r="CB33" s="1293"/>
      <c r="CC33" s="1293"/>
      <c r="CD33" s="1293"/>
      <c r="CE33" s="1293"/>
      <c r="CF33" s="1293"/>
      <c r="CG33" s="1293"/>
      <c r="CH33" s="1293"/>
      <c r="CI33" s="1293"/>
      <c r="CJ33" s="1293"/>
      <c r="CK33" s="1293"/>
      <c r="CL33" s="1293"/>
      <c r="CM33" s="1293"/>
      <c r="CN33" s="1293"/>
      <c r="CO33" s="1293"/>
      <c r="CP33" s="1293"/>
      <c r="CQ33" s="1293"/>
      <c r="CR33" s="1293"/>
      <c r="CS33" s="1293"/>
      <c r="CT33" s="1293"/>
      <c r="CU33" s="1293"/>
      <c r="CV33" s="1293"/>
      <c r="CW33" s="1293"/>
      <c r="CX33" s="1293"/>
      <c r="CY33" s="2041"/>
      <c r="CZ33" s="2053"/>
      <c r="DA33" s="2042"/>
      <c r="DB33" s="2041"/>
      <c r="DC33" s="1293"/>
      <c r="DD33" s="1293"/>
      <c r="DE33" s="1293"/>
      <c r="DF33" s="1293"/>
      <c r="DG33" s="1293"/>
      <c r="DH33" s="1293"/>
      <c r="DI33" s="1293"/>
      <c r="DJ33" s="1293"/>
      <c r="DK33" s="1293"/>
      <c r="DL33" s="1293"/>
    </row>
    <row r="34" spans="1:116" ht="15.75">
      <c r="A34" s="1293"/>
      <c r="B34" s="1397" t="s">
        <v>523</v>
      </c>
      <c r="C34" s="2076">
        <v>1404.86864978623</v>
      </c>
      <c r="D34" s="2076">
        <v>1447.1565288846202</v>
      </c>
      <c r="E34" s="2076">
        <v>1674.39398308572</v>
      </c>
      <c r="F34" s="2076">
        <v>1859.5917812964001</v>
      </c>
      <c r="G34" s="2077">
        <v>6386.0109430529701</v>
      </c>
      <c r="H34" s="2076">
        <v>1708.6826773176901</v>
      </c>
      <c r="I34" s="2076">
        <v>1704.10410228823</v>
      </c>
      <c r="J34" s="2076">
        <v>1640.6902010682795</v>
      </c>
      <c r="K34" s="2076">
        <v>1676.6595643241401</v>
      </c>
      <c r="L34" s="2077">
        <v>6730.1365449983496</v>
      </c>
      <c r="M34" s="2076">
        <v>1528.1584270722801</v>
      </c>
      <c r="N34" s="2076">
        <v>1571.7725478288</v>
      </c>
      <c r="O34" s="2076">
        <v>1554.9509437858901</v>
      </c>
      <c r="P34" s="2076">
        <v>1594</v>
      </c>
      <c r="Q34" s="2077">
        <f>M34+N34+O34+P34</f>
        <v>6248.8819186869696</v>
      </c>
      <c r="R34" s="2076">
        <v>1505</v>
      </c>
      <c r="S34" s="2076">
        <v>1517</v>
      </c>
      <c r="T34" s="2076">
        <v>1509</v>
      </c>
      <c r="U34" s="2076">
        <v>1558</v>
      </c>
      <c r="V34" s="2077">
        <f>R34+S34+T34+U34</f>
        <v>6089</v>
      </c>
      <c r="W34" s="2076">
        <v>1487</v>
      </c>
      <c r="X34" s="2076">
        <v>1513</v>
      </c>
      <c r="Y34" s="2076">
        <v>1498</v>
      </c>
      <c r="Z34" s="2076">
        <f>Z13+Z19+Z31+Z32</f>
        <v>1514</v>
      </c>
      <c r="AA34" s="2077">
        <f>W34+X34+Y34+Z34</f>
        <v>6012</v>
      </c>
      <c r="AB34" s="2076">
        <f>AC34</f>
        <v>1550</v>
      </c>
      <c r="AC34" s="2076">
        <f t="shared" ref="AC34:AI34" si="53">AC13+AC19+AC31+AC32</f>
        <v>1550</v>
      </c>
      <c r="AD34" s="2076">
        <f t="shared" si="53"/>
        <v>1553</v>
      </c>
      <c r="AE34" s="2076">
        <f t="shared" si="53"/>
        <v>1553</v>
      </c>
      <c r="AF34" s="2076">
        <f t="shared" si="53"/>
        <v>1593</v>
      </c>
      <c r="AG34" s="2076">
        <f t="shared" si="53"/>
        <v>1593</v>
      </c>
      <c r="AH34" s="2076">
        <f t="shared" si="53"/>
        <v>1675</v>
      </c>
      <c r="AI34" s="2076">
        <f t="shared" si="53"/>
        <v>1675</v>
      </c>
      <c r="AJ34" s="2077">
        <f>AB34+AD34+AF34+AH34</f>
        <v>6371</v>
      </c>
      <c r="AK34" s="2076">
        <f>AK13+AK19+AK31+AK32</f>
        <v>1599</v>
      </c>
      <c r="AL34" s="2076">
        <f>AL13+AL19+AL31+AL32</f>
        <v>1452</v>
      </c>
      <c r="AM34" s="2076">
        <f>AM13+AM19+AM31+AM32</f>
        <v>1544</v>
      </c>
      <c r="AN34" s="2076">
        <f>AN13+AN19+AN31+AN32</f>
        <v>1637</v>
      </c>
      <c r="AO34" s="2077">
        <f>AK34+AL34+AM34+AN34</f>
        <v>6232</v>
      </c>
      <c r="AP34" s="2471">
        <v>1618</v>
      </c>
      <c r="AQ34" s="2471">
        <v>1633</v>
      </c>
      <c r="AR34" s="2471">
        <v>1634</v>
      </c>
      <c r="AS34" s="2471">
        <v>1687</v>
      </c>
      <c r="AT34" s="2472">
        <f>AP34+AQ34+AR34+AS34</f>
        <v>6572</v>
      </c>
      <c r="AU34" s="2471">
        <v>1408</v>
      </c>
      <c r="AV34" s="2471">
        <v>1447.26</v>
      </c>
      <c r="AW34" s="2471">
        <v>1388</v>
      </c>
      <c r="AX34" s="2471">
        <v>1381.27</v>
      </c>
      <c r="AY34" s="2472">
        <f>AU34+AV34+AW34+AX34</f>
        <v>5624.5300000000007</v>
      </c>
      <c r="AZ34" s="2471">
        <v>1369</v>
      </c>
      <c r="BA34" s="2471">
        <v>1393</v>
      </c>
      <c r="BB34" s="2471">
        <v>1424</v>
      </c>
      <c r="BC34" s="2471">
        <v>1475</v>
      </c>
      <c r="BD34" s="2472">
        <f>BA34+BB34+BC34+AZ34</f>
        <v>5661</v>
      </c>
      <c r="BE34" s="2471">
        <v>1487</v>
      </c>
      <c r="BF34" s="2471">
        <v>1458</v>
      </c>
      <c r="BG34" s="2471">
        <v>1431</v>
      </c>
      <c r="BH34" s="2471">
        <v>1428.2592</v>
      </c>
      <c r="BI34" s="2472">
        <f>BF34+BG34+BH34+BE34</f>
        <v>5804.2592000000004</v>
      </c>
      <c r="BJ34" s="2338">
        <f>BJ13+BJ19+BJ32-BJ5</f>
        <v>1355.7484013629889</v>
      </c>
      <c r="BK34" s="2338">
        <f>BK13+BK19+BK32-BK5</f>
        <v>1373.1609408742333</v>
      </c>
      <c r="BL34" s="2338">
        <f>BL13+BL19+BL32-BL5</f>
        <v>1378.794674174997</v>
      </c>
      <c r="BM34" s="2338">
        <f>BM13+BM19+BM32-BM5</f>
        <v>1416.2506749713193</v>
      </c>
      <c r="BN34" s="2472">
        <f>'New split'!O35</f>
        <v>5523.9546913835384</v>
      </c>
      <c r="BO34" s="1723"/>
      <c r="BP34" s="1723"/>
      <c r="BQ34" s="2079"/>
      <c r="BR34" s="1293"/>
      <c r="BS34" s="1293"/>
      <c r="BT34" s="1293"/>
      <c r="BU34" s="1293"/>
      <c r="BV34" s="1293"/>
      <c r="BW34" s="1293"/>
      <c r="BX34" s="1293"/>
      <c r="BY34" s="1293"/>
      <c r="BZ34" s="1293"/>
      <c r="CA34" s="1293"/>
      <c r="CB34" s="1293"/>
      <c r="CC34" s="1293"/>
      <c r="CD34" s="1293"/>
      <c r="CE34" s="1293"/>
      <c r="CF34" s="1293"/>
      <c r="CG34" s="1293"/>
      <c r="CH34" s="1293"/>
      <c r="CI34" s="1293"/>
      <c r="CJ34" s="1293"/>
      <c r="CK34" s="1293"/>
      <c r="CL34" s="1293"/>
      <c r="CM34" s="1293"/>
      <c r="CN34" s="1293"/>
      <c r="CO34" s="1293"/>
      <c r="CP34" s="1293"/>
      <c r="CQ34" s="1293"/>
      <c r="CR34" s="1293"/>
      <c r="CS34" s="1293"/>
      <c r="CT34" s="1293"/>
      <c r="CU34" s="1293"/>
      <c r="CV34" s="1293"/>
      <c r="CW34" s="1293"/>
      <c r="CX34" s="1293"/>
      <c r="CY34" s="2055">
        <v>1455.2320916377457</v>
      </c>
      <c r="CZ34" s="1723">
        <f>(CZ13-CZ5)+CZ19+CZ32</f>
        <v>1505.7385743145171</v>
      </c>
      <c r="DA34" s="2056">
        <v>1471.6756835201763</v>
      </c>
      <c r="DB34" s="2055">
        <v>1460.5861991387919</v>
      </c>
      <c r="DC34" s="1293"/>
      <c r="DD34" s="1293"/>
      <c r="DE34" s="1293"/>
      <c r="DF34" s="1293"/>
      <c r="DG34" s="1293"/>
      <c r="DH34" s="1293"/>
      <c r="DI34" s="1293"/>
      <c r="DJ34" s="1293"/>
      <c r="DK34" s="1293"/>
      <c r="DL34" s="1293"/>
    </row>
    <row r="35" spans="1:116" s="463" customFormat="1" ht="15.75">
      <c r="A35" s="1293"/>
      <c r="B35" s="1293"/>
      <c r="C35" s="1699"/>
      <c r="D35" s="1699"/>
      <c r="E35" s="1699"/>
      <c r="F35" s="1699"/>
      <c r="G35" s="2039"/>
      <c r="H35" s="1699"/>
      <c r="I35" s="1699"/>
      <c r="J35" s="1699"/>
      <c r="K35" s="1699"/>
      <c r="L35" s="2039"/>
      <c r="M35" s="1699"/>
      <c r="N35" s="1699"/>
      <c r="O35" s="1699"/>
      <c r="P35" s="1699"/>
      <c r="Q35" s="2039"/>
      <c r="R35" s="1699"/>
      <c r="S35" s="1699"/>
      <c r="T35" s="1699"/>
      <c r="U35" s="1699"/>
      <c r="V35" s="2039"/>
      <c r="W35" s="1699"/>
      <c r="X35" s="1699"/>
      <c r="Y35" s="1699"/>
      <c r="Z35" s="1699"/>
      <c r="AA35" s="2039"/>
      <c r="AB35" s="1699"/>
      <c r="AC35" s="1699"/>
      <c r="AD35" s="1699"/>
      <c r="AE35" s="1699"/>
      <c r="AF35" s="1699"/>
      <c r="AG35" s="1699"/>
      <c r="AH35" s="1699"/>
      <c r="AI35" s="1699"/>
      <c r="AJ35" s="2039"/>
      <c r="AK35" s="1699"/>
      <c r="AL35" s="1699"/>
      <c r="AM35" s="1699"/>
      <c r="AN35" s="1699"/>
      <c r="AO35" s="2039"/>
      <c r="AP35" s="1995"/>
      <c r="AQ35" s="1995"/>
      <c r="AR35" s="1995"/>
      <c r="AS35" s="1995"/>
      <c r="AT35" s="2039"/>
      <c r="AU35" s="1995"/>
      <c r="AV35" s="1995"/>
      <c r="AW35" s="1995"/>
      <c r="AX35" s="1995"/>
      <c r="AY35" s="2039"/>
      <c r="AZ35" s="1995"/>
      <c r="BA35" s="1995"/>
      <c r="BB35" s="1995"/>
      <c r="BC35" s="1995"/>
      <c r="BD35" s="2039"/>
      <c r="BE35" s="1995"/>
      <c r="BF35" s="1995"/>
      <c r="BG35" s="1699"/>
      <c r="BH35" s="1699"/>
      <c r="BI35" s="2039"/>
      <c r="BJ35" s="1995"/>
      <c r="BK35" s="1995"/>
      <c r="BL35" s="1995"/>
      <c r="BM35" s="1995"/>
      <c r="BN35" s="2039"/>
      <c r="BO35" s="1699"/>
      <c r="BP35" s="1699"/>
      <c r="BQ35" s="2040"/>
      <c r="BR35" s="1293"/>
      <c r="BS35" s="1293"/>
      <c r="BT35" s="1293"/>
      <c r="BU35" s="1293"/>
      <c r="BV35" s="1293"/>
      <c r="BW35" s="1293"/>
      <c r="BX35" s="1293"/>
      <c r="BY35" s="1293"/>
      <c r="BZ35" s="1293"/>
      <c r="CA35" s="1293"/>
      <c r="CB35" s="1293"/>
      <c r="CC35" s="1293"/>
      <c r="CD35" s="1293"/>
      <c r="CE35" s="1293"/>
      <c r="CF35" s="1293"/>
      <c r="CG35" s="1293"/>
      <c r="CH35" s="1293"/>
      <c r="CI35" s="1293"/>
      <c r="CJ35" s="1293"/>
      <c r="CK35" s="1293"/>
      <c r="CL35" s="1293"/>
      <c r="CM35" s="1293"/>
      <c r="CN35" s="1293"/>
      <c r="CO35" s="1293"/>
      <c r="CP35" s="1293"/>
      <c r="CQ35" s="1293"/>
      <c r="CR35" s="1293"/>
      <c r="CS35" s="1293"/>
      <c r="CT35" s="1293"/>
      <c r="CU35" s="1293"/>
      <c r="CV35" s="1293"/>
      <c r="CW35" s="1293"/>
      <c r="CX35" s="1293"/>
      <c r="CY35" s="2041"/>
      <c r="CZ35" s="1699"/>
      <c r="DA35" s="2042"/>
      <c r="DB35" s="2041"/>
      <c r="DC35" s="1293"/>
      <c r="DD35" s="1293"/>
      <c r="DE35" s="1293"/>
      <c r="DF35" s="1293"/>
      <c r="DG35" s="1293"/>
      <c r="DH35" s="1293"/>
      <c r="DI35" s="1293"/>
      <c r="DJ35" s="1293"/>
      <c r="DK35" s="1293"/>
      <c r="DL35" s="1293"/>
    </row>
    <row r="36" spans="1:116" s="463" customFormat="1" ht="15.75">
      <c r="A36" s="1293"/>
      <c r="B36" s="1293"/>
      <c r="C36" s="1699"/>
      <c r="D36" s="1699"/>
      <c r="E36" s="1699"/>
      <c r="F36" s="1699"/>
      <c r="G36" s="2039"/>
      <c r="H36" s="1699"/>
      <c r="I36" s="1699"/>
      <c r="J36" s="1699"/>
      <c r="K36" s="1699"/>
      <c r="L36" s="2039"/>
      <c r="M36" s="1699"/>
      <c r="N36" s="1699"/>
      <c r="O36" s="1699"/>
      <c r="P36" s="1699"/>
      <c r="Q36" s="2039"/>
      <c r="R36" s="1699"/>
      <c r="S36" s="1699"/>
      <c r="T36" s="1699"/>
      <c r="U36" s="1699"/>
      <c r="V36" s="2039"/>
      <c r="W36" s="1699"/>
      <c r="X36" s="1699"/>
      <c r="Y36" s="1699"/>
      <c r="Z36" s="1699"/>
      <c r="AA36" s="2039"/>
      <c r="AB36" s="1699"/>
      <c r="AC36" s="1699"/>
      <c r="AD36" s="1699"/>
      <c r="AE36" s="1699"/>
      <c r="AF36" s="1699"/>
      <c r="AG36" s="1699"/>
      <c r="AH36" s="1699"/>
      <c r="AI36" s="1699"/>
      <c r="AJ36" s="2039"/>
      <c r="AK36" s="1699"/>
      <c r="AL36" s="1699"/>
      <c r="AM36" s="1699"/>
      <c r="AN36" s="1699"/>
      <c r="AO36" s="2039"/>
      <c r="AP36" s="1995"/>
      <c r="AQ36" s="1995"/>
      <c r="AR36" s="1995"/>
      <c r="AS36" s="1995"/>
      <c r="AT36" s="2039"/>
      <c r="AU36" s="1995"/>
      <c r="AV36" s="1995"/>
      <c r="AW36" s="1995"/>
      <c r="AX36" s="1995"/>
      <c r="AY36" s="2039"/>
      <c r="AZ36" s="1995"/>
      <c r="BA36" s="1995"/>
      <c r="BB36" s="1995"/>
      <c r="BC36" s="1995"/>
      <c r="BD36" s="2039"/>
      <c r="BE36" s="1995"/>
      <c r="BF36" s="1995"/>
      <c r="BG36" s="1699"/>
      <c r="BH36" s="1699"/>
      <c r="BI36" s="2039"/>
      <c r="BJ36" s="1995"/>
      <c r="BK36" s="1995"/>
      <c r="BL36" s="1995"/>
      <c r="BM36" s="1995"/>
      <c r="BN36" s="2039"/>
      <c r="BO36" s="1699"/>
      <c r="BP36" s="1699"/>
      <c r="BQ36" s="2040"/>
      <c r="BR36" s="1293"/>
      <c r="BS36" s="1293"/>
      <c r="BT36" s="1293"/>
      <c r="BU36" s="1293"/>
      <c r="BV36" s="1293"/>
      <c r="BW36" s="1293"/>
      <c r="BX36" s="1293"/>
      <c r="BY36" s="1293"/>
      <c r="BZ36" s="1293"/>
      <c r="CA36" s="1293"/>
      <c r="CB36" s="1293"/>
      <c r="CC36" s="1293"/>
      <c r="CD36" s="1293"/>
      <c r="CE36" s="1293"/>
      <c r="CF36" s="1293"/>
      <c r="CG36" s="1293"/>
      <c r="CH36" s="1293"/>
      <c r="CI36" s="1293"/>
      <c r="CJ36" s="1293"/>
      <c r="CK36" s="1293"/>
      <c r="CL36" s="1293"/>
      <c r="CM36" s="1293"/>
      <c r="CN36" s="1293"/>
      <c r="CO36" s="1293"/>
      <c r="CP36" s="1293"/>
      <c r="CQ36" s="1293"/>
      <c r="CR36" s="1293"/>
      <c r="CS36" s="1293"/>
      <c r="CT36" s="1293"/>
      <c r="CU36" s="1293"/>
      <c r="CV36" s="1293"/>
      <c r="CW36" s="1293"/>
      <c r="CX36" s="1293"/>
      <c r="CY36" s="2041"/>
      <c r="CZ36" s="1699"/>
      <c r="DA36" s="2042"/>
      <c r="DB36" s="2041"/>
      <c r="DC36" s="1293"/>
      <c r="DD36" s="1293"/>
      <c r="DE36" s="1293"/>
      <c r="DF36" s="1293"/>
      <c r="DG36" s="1293"/>
      <c r="DH36" s="1293"/>
      <c r="DI36" s="1293"/>
      <c r="DJ36" s="1293"/>
      <c r="DK36" s="1293"/>
      <c r="DL36" s="1293"/>
    </row>
    <row r="37" spans="1:116" ht="15.75">
      <c r="A37" s="1293"/>
      <c r="B37" s="1293"/>
      <c r="C37" s="1293"/>
      <c r="D37" s="1293"/>
      <c r="E37" s="1293"/>
      <c r="F37" s="1293"/>
      <c r="G37" s="2080"/>
      <c r="H37" s="1293"/>
      <c r="I37" s="1293"/>
      <c r="J37" s="1293"/>
      <c r="K37" s="1293"/>
      <c r="L37" s="2080"/>
      <c r="M37" s="1293"/>
      <c r="N37" s="1293"/>
      <c r="O37" s="1293"/>
      <c r="P37" s="1724"/>
      <c r="Q37" s="2080"/>
      <c r="R37" s="1293"/>
      <c r="S37" s="1293"/>
      <c r="T37" s="2010"/>
      <c r="U37" s="2010"/>
      <c r="V37" s="2081"/>
      <c r="W37" s="2010"/>
      <c r="X37" s="2010"/>
      <c r="Y37" s="2010"/>
      <c r="Z37" s="2010"/>
      <c r="AA37" s="2081"/>
      <c r="AB37" s="1293"/>
      <c r="AC37" s="1293"/>
      <c r="AD37" s="1293"/>
      <c r="AE37" s="1293"/>
      <c r="AF37" s="1293"/>
      <c r="AG37" s="1293"/>
      <c r="AH37" s="1293"/>
      <c r="AI37" s="1293"/>
      <c r="AJ37" s="2081"/>
      <c r="AK37" s="1293"/>
      <c r="AL37" s="1293"/>
      <c r="AM37" s="1293"/>
      <c r="AN37" s="1293"/>
      <c r="AO37" s="2081"/>
      <c r="AP37" s="1293"/>
      <c r="AQ37" s="1293"/>
      <c r="AR37" s="1293"/>
      <c r="AS37" s="1293"/>
      <c r="AT37" s="2081"/>
      <c r="AU37" s="1724"/>
      <c r="AV37" s="1724"/>
      <c r="AW37" s="1724"/>
      <c r="AX37" s="1724"/>
      <c r="AY37" s="2081"/>
      <c r="AZ37" s="1724"/>
      <c r="BA37" s="1724"/>
      <c r="BB37" s="1724"/>
      <c r="BC37" s="2010"/>
      <c r="BD37" s="2081"/>
      <c r="BE37" s="1724"/>
      <c r="BF37" s="1724"/>
      <c r="BG37" s="1724"/>
      <c r="BH37" s="2010"/>
      <c r="BI37" s="2081"/>
      <c r="BJ37" s="1724"/>
      <c r="BK37" s="1724"/>
      <c r="BL37" s="1724"/>
      <c r="BM37" s="1724"/>
      <c r="BN37" s="2081"/>
      <c r="BO37" s="2010"/>
      <c r="BP37" s="2010"/>
      <c r="BQ37" s="2040"/>
      <c r="BR37" s="1293"/>
      <c r="BS37" s="1293"/>
      <c r="BT37" s="1293"/>
      <c r="BU37" s="1293"/>
      <c r="BV37" s="1293"/>
      <c r="BW37" s="1293"/>
      <c r="BX37" s="1293"/>
      <c r="BY37" s="1293"/>
      <c r="BZ37" s="1293"/>
      <c r="CA37" s="1293"/>
      <c r="CB37" s="1293"/>
      <c r="CC37" s="1293"/>
      <c r="CD37" s="1293"/>
      <c r="CE37" s="1293"/>
      <c r="CF37" s="1293"/>
      <c r="CG37" s="1293"/>
      <c r="CH37" s="1293"/>
      <c r="CI37" s="1293"/>
      <c r="CJ37" s="1293"/>
      <c r="CK37" s="1293"/>
      <c r="CL37" s="1293"/>
      <c r="CM37" s="1293"/>
      <c r="CN37" s="1293"/>
      <c r="CO37" s="1293"/>
      <c r="CP37" s="1293"/>
      <c r="CQ37" s="1293"/>
      <c r="CR37" s="1293"/>
      <c r="CS37" s="1293"/>
      <c r="CT37" s="1293"/>
      <c r="CU37" s="1293"/>
      <c r="CV37" s="1293"/>
      <c r="CW37" s="1293"/>
      <c r="CX37" s="1293"/>
      <c r="CY37" s="2082"/>
      <c r="CZ37" s="2010"/>
      <c r="DA37" s="2083"/>
      <c r="DB37" s="2084"/>
      <c r="DC37" s="1293"/>
      <c r="DD37" s="1293"/>
      <c r="DE37" s="1293"/>
      <c r="DF37" s="1293"/>
      <c r="DG37" s="1293"/>
      <c r="DH37" s="1293"/>
      <c r="DI37" s="1293"/>
      <c r="DJ37" s="1293"/>
      <c r="DK37" s="1293"/>
      <c r="DL37" s="1293"/>
    </row>
    <row r="38" spans="1:116" ht="15.75">
      <c r="A38" s="1293"/>
      <c r="B38" s="2033" t="s">
        <v>4516</v>
      </c>
      <c r="C38" s="1883" t="str">
        <f t="shared" ref="C38:AA38" si="54">C2</f>
        <v>Q1 14</v>
      </c>
      <c r="D38" s="1883" t="str">
        <f t="shared" si="54"/>
        <v>Q2 14</v>
      </c>
      <c r="E38" s="1883" t="str">
        <f t="shared" si="54"/>
        <v>Q3 14</v>
      </c>
      <c r="F38" s="1883" t="str">
        <f t="shared" si="54"/>
        <v>Q4 14</v>
      </c>
      <c r="G38" s="2034" t="str">
        <f t="shared" si="54"/>
        <v>FY 14</v>
      </c>
      <c r="H38" s="1883" t="str">
        <f t="shared" si="54"/>
        <v>Q1 15</v>
      </c>
      <c r="I38" s="1883" t="str">
        <f t="shared" si="54"/>
        <v>Q2 15</v>
      </c>
      <c r="J38" s="1883" t="str">
        <f t="shared" si="54"/>
        <v>Q3 15</v>
      </c>
      <c r="K38" s="1883" t="str">
        <f t="shared" si="54"/>
        <v>Q4 15</v>
      </c>
      <c r="L38" s="2034" t="str">
        <f t="shared" si="54"/>
        <v>FY 15</v>
      </c>
      <c r="M38" s="1883" t="str">
        <f t="shared" si="54"/>
        <v>Q1 16</v>
      </c>
      <c r="N38" s="1883" t="str">
        <f t="shared" si="54"/>
        <v>Q2 16</v>
      </c>
      <c r="O38" s="1883" t="str">
        <f t="shared" si="54"/>
        <v>Q3 16</v>
      </c>
      <c r="P38" s="1883" t="str">
        <f t="shared" si="54"/>
        <v>Q4 16</v>
      </c>
      <c r="Q38" s="2034">
        <f t="shared" si="54"/>
        <v>2016</v>
      </c>
      <c r="R38" s="1883" t="str">
        <f t="shared" si="54"/>
        <v>Q1 17</v>
      </c>
      <c r="S38" s="1883" t="str">
        <f t="shared" si="54"/>
        <v>Q2 17</v>
      </c>
      <c r="T38" s="1883" t="str">
        <f t="shared" si="54"/>
        <v>Q3 17</v>
      </c>
      <c r="U38" s="1883" t="str">
        <f t="shared" si="54"/>
        <v>Q4 17</v>
      </c>
      <c r="V38" s="2034">
        <f t="shared" si="54"/>
        <v>2017</v>
      </c>
      <c r="W38" s="1883" t="str">
        <f t="shared" si="54"/>
        <v>Q1 18</v>
      </c>
      <c r="X38" s="1883" t="str">
        <f t="shared" si="54"/>
        <v>Q2 18</v>
      </c>
      <c r="Y38" s="1883" t="str">
        <f t="shared" si="54"/>
        <v>Q3 18</v>
      </c>
      <c r="Z38" s="1883" t="str">
        <f t="shared" si="54"/>
        <v>Q4 18</v>
      </c>
      <c r="AA38" s="2034">
        <f t="shared" si="54"/>
        <v>2018</v>
      </c>
      <c r="AB38" s="1883" t="str">
        <f t="shared" ref="AB38:AI38" si="55">AB2</f>
        <v>Q1 19</v>
      </c>
      <c r="AC38" s="1883" t="str">
        <f t="shared" si="55"/>
        <v>Q1 19</v>
      </c>
      <c r="AD38" s="1883" t="str">
        <f t="shared" si="55"/>
        <v>Q2 19</v>
      </c>
      <c r="AE38" s="1883" t="str">
        <f t="shared" si="55"/>
        <v>Q2 19</v>
      </c>
      <c r="AF38" s="1883" t="str">
        <f t="shared" si="55"/>
        <v>Q3 19</v>
      </c>
      <c r="AG38" s="1883" t="str">
        <f t="shared" si="55"/>
        <v>Q3 19</v>
      </c>
      <c r="AH38" s="1883" t="str">
        <f t="shared" si="55"/>
        <v>Q4 19</v>
      </c>
      <c r="AI38" s="1883" t="str">
        <f t="shared" si="55"/>
        <v>Q4 19</v>
      </c>
      <c r="AJ38" s="2034">
        <v>2019</v>
      </c>
      <c r="AK38" s="1883" t="str">
        <f t="shared" ref="AK38:BM38" si="56">AK2</f>
        <v>Q1 20</v>
      </c>
      <c r="AL38" s="1883" t="str">
        <f t="shared" si="56"/>
        <v>Q2 20</v>
      </c>
      <c r="AM38" s="1883" t="str">
        <f t="shared" si="56"/>
        <v>Q3 20</v>
      </c>
      <c r="AN38" s="1883" t="str">
        <f t="shared" si="56"/>
        <v>Q4 20</v>
      </c>
      <c r="AO38" s="2034">
        <f t="shared" si="56"/>
        <v>2020</v>
      </c>
      <c r="AP38" s="1883" t="str">
        <f t="shared" si="56"/>
        <v>Q1 21</v>
      </c>
      <c r="AQ38" s="1883" t="str">
        <f t="shared" si="56"/>
        <v>Q2 21</v>
      </c>
      <c r="AR38" s="1883" t="str">
        <f t="shared" si="56"/>
        <v>Q3 21</v>
      </c>
      <c r="AS38" s="1883" t="str">
        <f t="shared" si="56"/>
        <v>Q4 21</v>
      </c>
      <c r="AT38" s="2034">
        <f t="shared" si="56"/>
        <v>2021</v>
      </c>
      <c r="AU38" s="1883" t="str">
        <f t="shared" si="56"/>
        <v>Q1 22</v>
      </c>
      <c r="AV38" s="1883" t="str">
        <f t="shared" si="56"/>
        <v>Q2 22</v>
      </c>
      <c r="AW38" s="1883" t="str">
        <f t="shared" si="56"/>
        <v>Q3 22</v>
      </c>
      <c r="AX38" s="1883" t="str">
        <f t="shared" si="56"/>
        <v>Q4 22</v>
      </c>
      <c r="AY38" s="2034">
        <f t="shared" si="56"/>
        <v>2022</v>
      </c>
      <c r="AZ38" s="1883" t="str">
        <f t="shared" si="56"/>
        <v>Q1 23</v>
      </c>
      <c r="BA38" s="1883" t="str">
        <f t="shared" si="56"/>
        <v>Q2 23</v>
      </c>
      <c r="BB38" s="1883" t="str">
        <f t="shared" si="56"/>
        <v>Q3 23</v>
      </c>
      <c r="BC38" s="1883" t="str">
        <f t="shared" si="56"/>
        <v>Q4 23</v>
      </c>
      <c r="BD38" s="2034">
        <f t="shared" si="56"/>
        <v>2023</v>
      </c>
      <c r="BE38" s="1883" t="str">
        <f t="shared" si="56"/>
        <v>Q1 24</v>
      </c>
      <c r="BF38" s="1883" t="str">
        <f t="shared" si="56"/>
        <v>Q2 24</v>
      </c>
      <c r="BG38" s="1883" t="str">
        <f t="shared" si="56"/>
        <v>Q3 24</v>
      </c>
      <c r="BH38" s="1883" t="str">
        <f t="shared" si="56"/>
        <v>Q4 24</v>
      </c>
      <c r="BI38" s="2034">
        <f t="shared" si="56"/>
        <v>2024</v>
      </c>
      <c r="BJ38" s="1883" t="str">
        <f t="shared" si="56"/>
        <v>Q1 25</v>
      </c>
      <c r="BK38" s="1883" t="str">
        <f t="shared" si="56"/>
        <v>Q2 25</v>
      </c>
      <c r="BL38" s="1883" t="str">
        <f t="shared" si="56"/>
        <v>Q3 25</v>
      </c>
      <c r="BM38" s="1883" t="str">
        <f t="shared" si="56"/>
        <v>Q4 25</v>
      </c>
      <c r="BN38" s="2034">
        <f t="shared" ref="BN38" si="57">BN2</f>
        <v>2025</v>
      </c>
      <c r="BO38" s="1323"/>
      <c r="BP38" s="1323"/>
      <c r="BQ38" s="2040"/>
      <c r="BR38" s="1293"/>
      <c r="BS38" s="1293"/>
      <c r="BT38" s="1293"/>
      <c r="BU38" s="1293"/>
      <c r="BV38" s="1293"/>
      <c r="BW38" s="1293"/>
      <c r="BX38" s="1293"/>
      <c r="BY38" s="1293"/>
      <c r="BZ38" s="1293"/>
      <c r="CA38" s="1293"/>
      <c r="CB38" s="1293"/>
      <c r="CC38" s="1293"/>
      <c r="CD38" s="1293"/>
      <c r="CE38" s="1293"/>
      <c r="CF38" s="1293"/>
      <c r="CG38" s="1293"/>
      <c r="CH38" s="1293"/>
      <c r="CI38" s="1293"/>
      <c r="CJ38" s="1293"/>
      <c r="CK38" s="1293"/>
      <c r="CL38" s="1293"/>
      <c r="CM38" s="1293"/>
      <c r="CN38" s="1293"/>
      <c r="CO38" s="1293"/>
      <c r="CP38" s="1293"/>
      <c r="CQ38" s="1293"/>
      <c r="CR38" s="1293"/>
      <c r="CS38" s="1293"/>
      <c r="CT38" s="1293"/>
      <c r="CU38" s="1293"/>
      <c r="CV38" s="1293"/>
      <c r="CW38" s="1293"/>
      <c r="CX38" s="1293"/>
      <c r="CY38" s="2036" t="s">
        <v>7795</v>
      </c>
      <c r="CZ38" s="1883" t="str">
        <f>CZ2</f>
        <v>Q3 23e</v>
      </c>
      <c r="DA38" s="2037" t="s">
        <v>8571</v>
      </c>
      <c r="DB38" s="2038" t="s">
        <v>8572</v>
      </c>
      <c r="DC38" s="1293"/>
      <c r="DD38" s="1293"/>
      <c r="DE38" s="1293"/>
      <c r="DF38" s="1293"/>
      <c r="DG38" s="1293"/>
      <c r="DH38" s="1293"/>
      <c r="DI38" s="1293"/>
      <c r="DJ38" s="1293"/>
      <c r="DK38" s="1293"/>
      <c r="DL38" s="1293"/>
    </row>
    <row r="39" spans="1:116" ht="15.75">
      <c r="A39" s="1293"/>
      <c r="B39" s="1293" t="str">
        <f>B3</f>
        <v>El Salvador</v>
      </c>
      <c r="C39" s="1699">
        <v>104.78728251000001</v>
      </c>
      <c r="D39" s="1699">
        <v>103.38208229999999</v>
      </c>
      <c r="E39" s="1699">
        <v>101.96226183</v>
      </c>
      <c r="F39" s="1699">
        <v>104.88192608</v>
      </c>
      <c r="G39" s="2039">
        <v>415.01355272000001</v>
      </c>
      <c r="H39" s="1699">
        <v>104.13271046</v>
      </c>
      <c r="I39" s="1699">
        <v>104.82805838</v>
      </c>
      <c r="J39" s="1699">
        <v>104.68353878000001</v>
      </c>
      <c r="K39" s="1699">
        <v>106.46368352</v>
      </c>
      <c r="L39" s="2039">
        <v>420.10799114000002</v>
      </c>
      <c r="M39" s="1699">
        <v>102.45259900000001</v>
      </c>
      <c r="N39" s="1699">
        <v>100.95300615000001</v>
      </c>
      <c r="O39" s="1699">
        <v>99.621962750000392</v>
      </c>
      <c r="P39" s="1699">
        <v>97</v>
      </c>
      <c r="Q39" s="2039">
        <f>SUM(M39:P39)</f>
        <v>400.02756790000041</v>
      </c>
      <c r="R39" s="1699">
        <v>96</v>
      </c>
      <c r="S39" s="1699">
        <v>100</v>
      </c>
      <c r="T39" s="1699">
        <v>100</v>
      </c>
      <c r="U39" s="1699">
        <v>103</v>
      </c>
      <c r="V39" s="2039">
        <f>SUM(R39:U39)</f>
        <v>399</v>
      </c>
      <c r="W39" s="1699">
        <v>96</v>
      </c>
      <c r="X39" s="1699">
        <v>94</v>
      </c>
      <c r="Y39" s="1699">
        <v>90</v>
      </c>
      <c r="Z39" s="1699">
        <v>91</v>
      </c>
      <c r="AA39" s="2039">
        <f>SUM(W39:Z39)</f>
        <v>371</v>
      </c>
      <c r="AB39" s="1699">
        <f>AC39</f>
        <v>88</v>
      </c>
      <c r="AC39" s="1699">
        <v>88</v>
      </c>
      <c r="AD39" s="1699">
        <f>AE39</f>
        <v>87</v>
      </c>
      <c r="AE39" s="1699">
        <v>87</v>
      </c>
      <c r="AF39" s="1699">
        <f t="shared" ref="AF39:AF46" si="58">AG39</f>
        <v>86</v>
      </c>
      <c r="AG39" s="1699">
        <v>86</v>
      </c>
      <c r="AH39" s="1699">
        <f>AI39</f>
        <v>87</v>
      </c>
      <c r="AI39" s="1699">
        <v>87</v>
      </c>
      <c r="AJ39" s="2039">
        <f>AB39+AD39+AF39+AH39</f>
        <v>348</v>
      </c>
      <c r="AK39" s="1995">
        <v>88</v>
      </c>
      <c r="AL39" s="1995">
        <v>82</v>
      </c>
      <c r="AM39" s="1995">
        <v>84</v>
      </c>
      <c r="AN39" s="2085">
        <f>95-2</f>
        <v>93</v>
      </c>
      <c r="AO39" s="2039">
        <f t="shared" ref="AO39:AO46" si="59">AK39+AL39+AM39+AN39</f>
        <v>347</v>
      </c>
      <c r="AP39" s="1503">
        <v>95</v>
      </c>
      <c r="AQ39" s="1503">
        <v>98</v>
      </c>
      <c r="AR39" s="1503">
        <v>99</v>
      </c>
      <c r="AS39" s="1503">
        <v>106</v>
      </c>
      <c r="AT39" s="2161">
        <f t="shared" ref="AT39:AT45" si="60">AP39+AQ39+AR39+AS39</f>
        <v>398</v>
      </c>
      <c r="AU39" s="1503">
        <v>105.1966</v>
      </c>
      <c r="AV39" s="1503">
        <v>105.0566</v>
      </c>
      <c r="AW39" s="1503">
        <v>104.78740000000001</v>
      </c>
      <c r="AX39" s="1503">
        <v>113.6858</v>
      </c>
      <c r="AY39" s="2161">
        <f t="shared" ref="AY39:AY45" si="61">AU39+AV39+AW39+AX39</f>
        <v>428.72640000000001</v>
      </c>
      <c r="AZ39" s="1503">
        <v>108.4336</v>
      </c>
      <c r="BA39" s="1503">
        <v>110.30410000000001</v>
      </c>
      <c r="BB39" s="1503">
        <v>110.8897</v>
      </c>
      <c r="BC39" s="1503">
        <v>113.4145</v>
      </c>
      <c r="BD39" s="2161">
        <f t="shared" ref="BD39:BD45" si="62">AZ39+BA39+BB39+BC39</f>
        <v>443.04190000000006</v>
      </c>
      <c r="BE39" s="1503">
        <v>112.8267</v>
      </c>
      <c r="BF39" s="1503">
        <v>113.1358</v>
      </c>
      <c r="BG39" s="1503">
        <v>113.32380000000001</v>
      </c>
      <c r="BH39" s="1503">
        <v>108.8099</v>
      </c>
      <c r="BI39" s="2161">
        <f t="shared" ref="BI39:BI45" si="63">BE39+BF39+BG39+BH39</f>
        <v>448.09619999999995</v>
      </c>
      <c r="BJ39" s="1327">
        <f t="shared" ref="BJ39:BM44" si="64">BJ301/BJ251</f>
        <v>113.39083349999999</v>
      </c>
      <c r="BK39" s="1327">
        <f t="shared" si="64"/>
        <v>114.832837</v>
      </c>
      <c r="BL39" s="1327">
        <f t="shared" si="64"/>
        <v>115.02921250099999</v>
      </c>
      <c r="BM39" s="1327">
        <f t="shared" si="64"/>
        <v>113.70711699900008</v>
      </c>
      <c r="BN39" s="2161">
        <f t="shared" ref="BN39:BN45" si="65">BJ39+BK39+BL39+BM39</f>
        <v>456.96000000000004</v>
      </c>
      <c r="BO39" s="1699"/>
      <c r="BP39" s="1699"/>
      <c r="BQ39" s="2040"/>
      <c r="BR39" s="1293"/>
      <c r="BS39" s="1293"/>
      <c r="BT39" s="1293"/>
      <c r="BU39" s="1293"/>
      <c r="BV39" s="1293"/>
      <c r="BW39" s="1293"/>
      <c r="BX39" s="1293"/>
      <c r="BY39" s="1293"/>
      <c r="BZ39" s="1293"/>
      <c r="CA39" s="1293"/>
      <c r="CB39" s="1293"/>
      <c r="CC39" s="1293"/>
      <c r="CD39" s="1293"/>
      <c r="CE39" s="1293"/>
      <c r="CF39" s="1293"/>
      <c r="CG39" s="1293"/>
      <c r="CH39" s="1293"/>
      <c r="CI39" s="1293"/>
      <c r="CJ39" s="1293"/>
      <c r="CK39" s="1293"/>
      <c r="CL39" s="1293"/>
      <c r="CM39" s="1293"/>
      <c r="CN39" s="1293"/>
      <c r="CO39" s="1293"/>
      <c r="CP39" s="1293"/>
      <c r="CQ39" s="1293"/>
      <c r="CR39" s="1293"/>
      <c r="CS39" s="1293"/>
      <c r="CT39" s="1293"/>
      <c r="CU39" s="1293"/>
      <c r="CV39" s="1293"/>
      <c r="CW39" s="1293"/>
      <c r="CX39" s="1293"/>
      <c r="CY39" s="2041">
        <v>117.33239999999999</v>
      </c>
      <c r="CZ39" s="1699">
        <f>CZ301/CZ251</f>
        <v>110.02677000000001</v>
      </c>
      <c r="DA39" s="2042">
        <v>112.2</v>
      </c>
      <c r="DB39" s="2041">
        <v>113.1078</v>
      </c>
      <c r="DC39" s="1293"/>
      <c r="DD39" s="1293"/>
      <c r="DE39" s="1293"/>
      <c r="DF39" s="1293"/>
      <c r="DG39" s="1293"/>
      <c r="DH39" s="1293"/>
      <c r="DI39" s="1293"/>
      <c r="DJ39" s="1293"/>
      <c r="DK39" s="1293"/>
      <c r="DL39" s="1293"/>
    </row>
    <row r="40" spans="1:116" ht="15.75">
      <c r="A40" s="1293"/>
      <c r="B40" s="1293" t="str">
        <f>B4</f>
        <v>Guatemala</v>
      </c>
      <c r="C40" s="1699">
        <v>271.06562335999297</v>
      </c>
      <c r="D40" s="1699">
        <v>277.121037364264</v>
      </c>
      <c r="E40" s="1699">
        <v>275.31337909207599</v>
      </c>
      <c r="F40" s="1699">
        <v>286.85222485040799</v>
      </c>
      <c r="G40" s="2039">
        <v>1110.3522646667409</v>
      </c>
      <c r="H40" s="1699">
        <v>282.59329085052701</v>
      </c>
      <c r="I40" s="1699">
        <v>287.89764536231195</v>
      </c>
      <c r="J40" s="1699">
        <v>288.90650719269399</v>
      </c>
      <c r="K40" s="1699">
        <v>296.43147673351604</v>
      </c>
      <c r="L40" s="2039">
        <v>1155.8289201390489</v>
      </c>
      <c r="M40" s="1699">
        <v>288.72729376263999</v>
      </c>
      <c r="N40" s="1699">
        <v>285.91612943827602</v>
      </c>
      <c r="O40" s="1699">
        <v>278.57773370709003</v>
      </c>
      <c r="P40" s="1699">
        <v>290</v>
      </c>
      <c r="Q40" s="2039">
        <f>SUM(M40:P40)</f>
        <v>1143.2211569080059</v>
      </c>
      <c r="R40" s="1699">
        <v>286</v>
      </c>
      <c r="S40" s="1699">
        <v>291</v>
      </c>
      <c r="T40" s="1699">
        <v>299</v>
      </c>
      <c r="U40" s="1699">
        <v>307</v>
      </c>
      <c r="V40" s="2039">
        <f>SUM(R40:U40)</f>
        <v>1183</v>
      </c>
      <c r="W40" s="1699">
        <v>297</v>
      </c>
      <c r="X40" s="1699">
        <v>298</v>
      </c>
      <c r="Y40" s="1699">
        <v>300</v>
      </c>
      <c r="Z40" s="1699">
        <v>306</v>
      </c>
      <c r="AA40" s="2039">
        <f>SUM(W40:Z40)</f>
        <v>1201</v>
      </c>
      <c r="AB40" s="1699">
        <f>AC40</f>
        <v>303</v>
      </c>
      <c r="AC40" s="1699">
        <v>303</v>
      </c>
      <c r="AD40" s="1699">
        <f>AE40</f>
        <v>310</v>
      </c>
      <c r="AE40" s="1699">
        <v>310</v>
      </c>
      <c r="AF40" s="1699">
        <f t="shared" si="58"/>
        <v>304</v>
      </c>
      <c r="AG40" s="1699">
        <v>304</v>
      </c>
      <c r="AH40" s="1699">
        <f>AI40</f>
        <v>317</v>
      </c>
      <c r="AI40" s="1699">
        <v>317</v>
      </c>
      <c r="AJ40" s="2039">
        <f>AB40+AD40+AF40+AH40</f>
        <v>1234</v>
      </c>
      <c r="AK40" s="1995">
        <v>319</v>
      </c>
      <c r="AL40" s="1995">
        <v>305</v>
      </c>
      <c r="AM40" s="1995">
        <v>314</v>
      </c>
      <c r="AN40" s="1995">
        <v>334</v>
      </c>
      <c r="AO40" s="2039">
        <f t="shared" si="59"/>
        <v>1272</v>
      </c>
      <c r="AP40" s="1503">
        <v>335</v>
      </c>
      <c r="AQ40" s="1503">
        <v>341</v>
      </c>
      <c r="AR40" s="1503">
        <v>343</v>
      </c>
      <c r="AS40" s="1503">
        <v>345</v>
      </c>
      <c r="AT40" s="2161">
        <f t="shared" si="60"/>
        <v>1364</v>
      </c>
      <c r="AU40" s="1503">
        <v>339.91199999999998</v>
      </c>
      <c r="AV40" s="1503">
        <v>346.62490000000003</v>
      </c>
      <c r="AW40" s="1503">
        <v>340.20819999999998</v>
      </c>
      <c r="AX40" s="1503">
        <v>346.50720000000001</v>
      </c>
      <c r="AY40" s="2161">
        <f t="shared" si="61"/>
        <v>1373.2523000000001</v>
      </c>
      <c r="AZ40" s="1503">
        <v>333.64690000000002</v>
      </c>
      <c r="BA40" s="1503">
        <v>335.43450000000001</v>
      </c>
      <c r="BB40" s="1503">
        <v>330.87630000000001</v>
      </c>
      <c r="BC40" s="1503">
        <v>339.13159999999999</v>
      </c>
      <c r="BD40" s="2161">
        <f t="shared" si="62"/>
        <v>1339.0893000000001</v>
      </c>
      <c r="BE40" s="1503">
        <v>341.15199999999999</v>
      </c>
      <c r="BF40" s="1503">
        <v>347.78769999999997</v>
      </c>
      <c r="BG40" s="1503">
        <v>349.65690000000001</v>
      </c>
      <c r="BH40" s="1503">
        <v>352.06169999999997</v>
      </c>
      <c r="BI40" s="2161">
        <f t="shared" si="63"/>
        <v>1390.6582999999998</v>
      </c>
      <c r="BJ40" s="1327">
        <f t="shared" si="64"/>
        <v>354.10656489599995</v>
      </c>
      <c r="BK40" s="1327">
        <f t="shared" si="64"/>
        <v>359.24765250269991</v>
      </c>
      <c r="BL40" s="1327">
        <f t="shared" si="64"/>
        <v>360.04326069974024</v>
      </c>
      <c r="BM40" s="1327">
        <f t="shared" si="64"/>
        <v>364.7347296937678</v>
      </c>
      <c r="BN40" s="2161">
        <f t="shared" si="65"/>
        <v>1438.1322077922077</v>
      </c>
      <c r="BO40" s="1699"/>
      <c r="BP40" s="1699"/>
      <c r="BQ40" s="2040"/>
      <c r="BR40" s="1293"/>
      <c r="BS40" s="1293"/>
      <c r="BT40" s="1293"/>
      <c r="BU40" s="1293"/>
      <c r="BV40" s="1293"/>
      <c r="BW40" s="1293"/>
      <c r="BX40" s="1293"/>
      <c r="BY40" s="1293"/>
      <c r="BZ40" s="1293"/>
      <c r="CA40" s="1293"/>
      <c r="CB40" s="1293"/>
      <c r="CC40" s="1293"/>
      <c r="CD40" s="1293"/>
      <c r="CE40" s="1293"/>
      <c r="CF40" s="1293"/>
      <c r="CG40" s="1293"/>
      <c r="CH40" s="1293"/>
      <c r="CI40" s="1293"/>
      <c r="CJ40" s="1293"/>
      <c r="CK40" s="1293"/>
      <c r="CL40" s="1293"/>
      <c r="CM40" s="1293"/>
      <c r="CN40" s="1293"/>
      <c r="CO40" s="1293"/>
      <c r="CP40" s="1293"/>
      <c r="CQ40" s="1293"/>
      <c r="CR40" s="1293"/>
      <c r="CS40" s="1293"/>
      <c r="CT40" s="1293"/>
      <c r="CU40" s="1293"/>
      <c r="CV40" s="1293"/>
      <c r="CW40" s="1293"/>
      <c r="CX40" s="1293"/>
      <c r="CY40" s="2041">
        <v>337.04157668718534</v>
      </c>
      <c r="CZ40" s="1699">
        <f>CZ302/CZ252</f>
        <v>338.8311107927816</v>
      </c>
      <c r="DA40" s="2042">
        <v>343.32378135364712</v>
      </c>
      <c r="DB40" s="2041">
        <v>351.77691448421058</v>
      </c>
      <c r="DC40" s="1293"/>
      <c r="DD40" s="1293"/>
      <c r="DE40" s="1293"/>
      <c r="DF40" s="1293"/>
      <c r="DG40" s="1293"/>
      <c r="DH40" s="1293"/>
      <c r="DI40" s="1293"/>
      <c r="DJ40" s="1293"/>
      <c r="DK40" s="1293"/>
      <c r="DL40" s="1293"/>
    </row>
    <row r="41" spans="1:116" ht="15.75">
      <c r="A41" s="1293"/>
      <c r="B41" s="1293" t="str">
        <f>B5</f>
        <v>Honduras (JV)</v>
      </c>
      <c r="C41" s="1699">
        <v>150.437294654976</v>
      </c>
      <c r="D41" s="1699">
        <v>151.15598884299999</v>
      </c>
      <c r="E41" s="1699">
        <v>149.38321603526998</v>
      </c>
      <c r="F41" s="1699">
        <v>153.93803352812702</v>
      </c>
      <c r="G41" s="2039">
        <v>604.91453306137305</v>
      </c>
      <c r="H41" s="1699">
        <v>155.765758960965</v>
      </c>
      <c r="I41" s="1699">
        <v>154.93284609248698</v>
      </c>
      <c r="J41" s="1699">
        <v>153.475572257978</v>
      </c>
      <c r="K41" s="1699">
        <v>152.87078945290997</v>
      </c>
      <c r="L41" s="2039">
        <v>617.04496676433996</v>
      </c>
      <c r="M41" s="1699">
        <v>149.24752065096999</v>
      </c>
      <c r="N41" s="1699">
        <v>147.55959286456701</v>
      </c>
      <c r="O41" s="1699">
        <v>143.61478961767699</v>
      </c>
      <c r="P41" s="1699">
        <v>145</v>
      </c>
      <c r="Q41" s="2039">
        <f>SUM(M41:P41)</f>
        <v>585.42190313321407</v>
      </c>
      <c r="R41" s="1699">
        <v>141</v>
      </c>
      <c r="S41" s="1699">
        <v>142</v>
      </c>
      <c r="T41" s="1699">
        <v>139</v>
      </c>
      <c r="U41" s="1699">
        <v>143</v>
      </c>
      <c r="V41" s="2039">
        <f>SUM(R41:U41)</f>
        <v>565</v>
      </c>
      <c r="W41" s="1699">
        <v>138</v>
      </c>
      <c r="X41" s="1699">
        <v>138</v>
      </c>
      <c r="Y41" s="1699">
        <v>136</v>
      </c>
      <c r="Z41" s="1699">
        <v>142</v>
      </c>
      <c r="AA41" s="2039">
        <f>SUM(W41:Z41)</f>
        <v>554</v>
      </c>
      <c r="AB41" s="1699">
        <f>AC41</f>
        <v>138</v>
      </c>
      <c r="AC41" s="1699">
        <v>138</v>
      </c>
      <c r="AD41" s="1699">
        <f>AE41</f>
        <v>138</v>
      </c>
      <c r="AE41" s="1699">
        <v>138</v>
      </c>
      <c r="AF41" s="1699">
        <f t="shared" si="58"/>
        <v>136</v>
      </c>
      <c r="AG41" s="1699">
        <f>136</f>
        <v>136</v>
      </c>
      <c r="AH41" s="1699">
        <f>AI41</f>
        <v>139</v>
      </c>
      <c r="AI41" s="1699">
        <v>139</v>
      </c>
      <c r="AJ41" s="2039">
        <f>AB41+AD41+AF41+AH41</f>
        <v>551</v>
      </c>
      <c r="AK41" s="1995">
        <v>133</v>
      </c>
      <c r="AL41" s="1995">
        <v>119</v>
      </c>
      <c r="AM41" s="1995">
        <v>128</v>
      </c>
      <c r="AN41" s="1995">
        <v>136</v>
      </c>
      <c r="AO41" s="2039">
        <f t="shared" si="59"/>
        <v>516</v>
      </c>
      <c r="AP41" s="1503">
        <v>136</v>
      </c>
      <c r="AQ41" s="1503">
        <v>137</v>
      </c>
      <c r="AR41" s="1503">
        <v>137</v>
      </c>
      <c r="AS41" s="1503">
        <v>138</v>
      </c>
      <c r="AT41" s="2161">
        <f t="shared" si="60"/>
        <v>548</v>
      </c>
      <c r="AU41" s="1503">
        <v>134.0076</v>
      </c>
      <c r="AV41" s="1503">
        <v>135.67150000000001</v>
      </c>
      <c r="AW41" s="1503">
        <v>136.95320000000001</v>
      </c>
      <c r="AX41" s="1503">
        <v>142.3766</v>
      </c>
      <c r="AY41" s="2161">
        <f t="shared" si="61"/>
        <v>549.00890000000004</v>
      </c>
      <c r="AZ41" s="1503">
        <v>141.19540000000001</v>
      </c>
      <c r="BA41" s="1503">
        <v>141.31829999999999</v>
      </c>
      <c r="BB41" s="1503">
        <v>143.3175</v>
      </c>
      <c r="BC41" s="1503">
        <v>146.3853</v>
      </c>
      <c r="BD41" s="2161">
        <f t="shared" si="62"/>
        <v>572.2165</v>
      </c>
      <c r="BE41" s="1503">
        <v>144.60640000000001</v>
      </c>
      <c r="BF41" s="1503">
        <v>144.286</v>
      </c>
      <c r="BG41" s="1503">
        <v>145.3999</v>
      </c>
      <c r="BH41" s="1503">
        <v>149.28370000000001</v>
      </c>
      <c r="BI41" s="2161">
        <f t="shared" si="63"/>
        <v>583.57600000000002</v>
      </c>
      <c r="BJ41" s="1327">
        <f t="shared" si="64"/>
        <v>143.48539960739063</v>
      </c>
      <c r="BK41" s="1327">
        <f t="shared" si="64"/>
        <v>143.57309414634372</v>
      </c>
      <c r="BL41" s="1327">
        <f t="shared" si="64"/>
        <v>145.24171714420896</v>
      </c>
      <c r="BM41" s="1327">
        <f t="shared" si="64"/>
        <v>148.66658597705657</v>
      </c>
      <c r="BN41" s="2161">
        <f t="shared" si="65"/>
        <v>580.96679687499989</v>
      </c>
      <c r="BO41" s="1699"/>
      <c r="BP41" s="1699"/>
      <c r="BQ41" s="2040"/>
      <c r="BR41" s="1293"/>
      <c r="BS41" s="1293"/>
      <c r="BT41" s="1293"/>
      <c r="BU41" s="1293"/>
      <c r="BV41" s="1293"/>
      <c r="BW41" s="1293"/>
      <c r="BX41" s="1293"/>
      <c r="BY41" s="1293"/>
      <c r="BZ41" s="1293"/>
      <c r="CA41" s="1293"/>
      <c r="CB41" s="1293"/>
      <c r="CC41" s="1293"/>
      <c r="CD41" s="1293"/>
      <c r="CE41" s="1293"/>
      <c r="CF41" s="1293"/>
      <c r="CG41" s="1293"/>
      <c r="CH41" s="1293"/>
      <c r="CI41" s="1293"/>
      <c r="CJ41" s="1293"/>
      <c r="CK41" s="1293"/>
      <c r="CL41" s="1293"/>
      <c r="CM41" s="1293"/>
      <c r="CN41" s="1293"/>
      <c r="CO41" s="1293"/>
      <c r="CP41" s="1293"/>
      <c r="CQ41" s="1293"/>
      <c r="CR41" s="1293"/>
      <c r="CS41" s="1293"/>
      <c r="CT41" s="1293"/>
      <c r="CU41" s="1293"/>
      <c r="CV41" s="1293"/>
      <c r="CW41" s="1293"/>
      <c r="CX41" s="1293"/>
      <c r="CY41" s="2041">
        <v>148.03383759195842</v>
      </c>
      <c r="CZ41" s="1699">
        <f>CZ303/CZ253</f>
        <v>139.42041256699324</v>
      </c>
      <c r="DA41" s="2042">
        <v>144.94822159843488</v>
      </c>
      <c r="DB41" s="2041">
        <v>148.71740596072016</v>
      </c>
      <c r="DC41" s="1293"/>
      <c r="DD41" s="1293"/>
      <c r="DE41" s="1293"/>
      <c r="DF41" s="1293"/>
      <c r="DG41" s="1293"/>
      <c r="DH41" s="1293"/>
      <c r="DI41" s="1293"/>
      <c r="DJ41" s="1293"/>
      <c r="DK41" s="1293"/>
      <c r="DL41" s="1293"/>
    </row>
    <row r="42" spans="1:116" ht="15.75">
      <c r="A42" s="1293"/>
      <c r="B42" s="1293" t="str">
        <f>B6</f>
        <v>Panama</v>
      </c>
      <c r="C42" s="1699"/>
      <c r="D42" s="1699"/>
      <c r="E42" s="1699"/>
      <c r="F42" s="1699"/>
      <c r="G42" s="2039"/>
      <c r="H42" s="1699"/>
      <c r="I42" s="1699"/>
      <c r="J42" s="1699"/>
      <c r="K42" s="1699"/>
      <c r="L42" s="2039"/>
      <c r="M42" s="1699"/>
      <c r="N42" s="1699"/>
      <c r="O42" s="1699"/>
      <c r="P42" s="1699"/>
      <c r="Q42" s="2039"/>
      <c r="R42" s="2046">
        <f>R6*0.96</f>
        <v>85.344000000000008</v>
      </c>
      <c r="S42" s="2046">
        <f>S6*0.96</f>
        <v>89.28</v>
      </c>
      <c r="T42" s="2046">
        <f>T6*0.96</f>
        <v>91.2</v>
      </c>
      <c r="U42" s="2046">
        <f>U6*0.96</f>
        <v>93.311999999999998</v>
      </c>
      <c r="V42" s="2047"/>
      <c r="W42" s="2046">
        <f>W6*0.96</f>
        <v>91.103999999999999</v>
      </c>
      <c r="X42" s="2046">
        <f>X6*0.96</f>
        <v>96.191999999999993</v>
      </c>
      <c r="Y42" s="2046">
        <f>Y6*0.96</f>
        <v>96.864000000000004</v>
      </c>
      <c r="Z42" s="1699">
        <v>17</v>
      </c>
      <c r="AA42" s="2039">
        <f>Z42</f>
        <v>17</v>
      </c>
      <c r="AB42" s="1699">
        <f>AC42</f>
        <v>100</v>
      </c>
      <c r="AC42" s="1699">
        <v>100</v>
      </c>
      <c r="AD42" s="1699">
        <f>AE42</f>
        <v>99</v>
      </c>
      <c r="AE42" s="1699">
        <v>99</v>
      </c>
      <c r="AF42" s="1699">
        <f t="shared" si="58"/>
        <v>97</v>
      </c>
      <c r="AG42" s="1699">
        <f>115-AG46</f>
        <v>97</v>
      </c>
      <c r="AH42" s="1699">
        <f>154-AH46</f>
        <v>98.199999999999989</v>
      </c>
      <c r="AI42" s="1699">
        <f>154-AI46</f>
        <v>98.199999999999989</v>
      </c>
      <c r="AJ42" s="2039">
        <f>AB42+AD42+AF42+AH42</f>
        <v>394.2</v>
      </c>
      <c r="AK42" s="1995">
        <f>148-AK46</f>
        <v>93</v>
      </c>
      <c r="AL42" s="1995">
        <f>136-AL46</f>
        <v>86</v>
      </c>
      <c r="AM42" s="1995">
        <f>139-AM46</f>
        <v>89</v>
      </c>
      <c r="AN42" s="1995">
        <f>144-AN46</f>
        <v>92</v>
      </c>
      <c r="AO42" s="2039">
        <f t="shared" si="59"/>
        <v>360</v>
      </c>
      <c r="AP42" s="1503">
        <f>146-AP46</f>
        <v>91</v>
      </c>
      <c r="AQ42" s="1503">
        <f>151-AQ46</f>
        <v>96</v>
      </c>
      <c r="AR42" s="1503">
        <f>152-AR46</f>
        <v>97</v>
      </c>
      <c r="AS42" s="1503">
        <f>159-AS46</f>
        <v>104</v>
      </c>
      <c r="AT42" s="2161">
        <f t="shared" si="60"/>
        <v>388</v>
      </c>
      <c r="AU42" s="1503">
        <v>152.1464</v>
      </c>
      <c r="AV42" s="1503">
        <v>154.64510000000001</v>
      </c>
      <c r="AW42" s="1503">
        <v>158.02500000000001</v>
      </c>
      <c r="AX42" s="1503">
        <v>159.38210000000001</v>
      </c>
      <c r="AY42" s="2161">
        <f t="shared" si="61"/>
        <v>624.19860000000006</v>
      </c>
      <c r="AZ42" s="1503">
        <f>159</f>
        <v>159</v>
      </c>
      <c r="BA42" s="1503">
        <f>161</f>
        <v>161</v>
      </c>
      <c r="BB42" s="1503">
        <f>160.283</f>
        <v>160.28299999999999</v>
      </c>
      <c r="BC42" s="1503">
        <f>189.518</f>
        <v>189.518</v>
      </c>
      <c r="BD42" s="2161">
        <f t="shared" si="62"/>
        <v>669.80100000000004</v>
      </c>
      <c r="BE42" s="1503">
        <v>186.87880000000001</v>
      </c>
      <c r="BF42" s="1503">
        <v>171.13900000000001</v>
      </c>
      <c r="BG42" s="1503">
        <v>169.57409999999999</v>
      </c>
      <c r="BH42" s="1503">
        <v>172.31729999999999</v>
      </c>
      <c r="BI42" s="2161">
        <f t="shared" si="63"/>
        <v>699.90920000000006</v>
      </c>
      <c r="BJ42" s="1327">
        <f t="shared" si="64"/>
        <v>173.79728399999999</v>
      </c>
      <c r="BK42" s="1327">
        <f t="shared" si="64"/>
        <v>177.98456000000002</v>
      </c>
      <c r="BL42" s="1327">
        <f t="shared" si="64"/>
        <v>178.05280500000001</v>
      </c>
      <c r="BM42" s="1327">
        <f t="shared" si="64"/>
        <v>201.66535100000002</v>
      </c>
      <c r="BN42" s="2161">
        <f t="shared" si="65"/>
        <v>731.5</v>
      </c>
      <c r="BO42" s="1699"/>
      <c r="BP42" s="1699"/>
      <c r="BQ42" s="2040"/>
      <c r="BR42" s="1293"/>
      <c r="BS42" s="1293"/>
      <c r="BT42" s="1293"/>
      <c r="BU42" s="1293"/>
      <c r="BV42" s="1293"/>
      <c r="BW42" s="1293"/>
      <c r="BX42" s="1293"/>
      <c r="BY42" s="1293"/>
      <c r="BZ42" s="1293"/>
      <c r="CA42" s="1293"/>
      <c r="CB42" s="1293"/>
      <c r="CC42" s="1293"/>
      <c r="CD42" s="1293"/>
      <c r="CE42" s="1293"/>
      <c r="CF42" s="1293"/>
      <c r="CG42" s="1293"/>
      <c r="CH42" s="1293"/>
      <c r="CI42" s="1293"/>
      <c r="CJ42" s="1293"/>
      <c r="CK42" s="1293"/>
      <c r="CL42" s="1293"/>
      <c r="CM42" s="1293"/>
      <c r="CN42" s="1293"/>
      <c r="CO42" s="1293"/>
      <c r="CP42" s="1293"/>
      <c r="CQ42" s="1293"/>
      <c r="CR42" s="1293"/>
      <c r="CS42" s="1293"/>
      <c r="CT42" s="1293"/>
      <c r="CU42" s="1293"/>
      <c r="CV42" s="1293"/>
      <c r="CW42" s="1293"/>
      <c r="CX42" s="1293"/>
      <c r="CY42" s="2041">
        <v>106.04410611959284</v>
      </c>
      <c r="CZ42" s="1699">
        <f>CZ304/CZ254</f>
        <v>166.716375</v>
      </c>
      <c r="DA42" s="2042">
        <v>112.35000000000001</v>
      </c>
      <c r="DB42" s="2041">
        <v>112.62563999999999</v>
      </c>
      <c r="DC42" s="1293"/>
      <c r="DD42" s="1293"/>
      <c r="DE42" s="1293"/>
      <c r="DF42" s="1293"/>
      <c r="DG42" s="1293"/>
      <c r="DH42" s="1293"/>
      <c r="DI42" s="1293"/>
      <c r="DJ42" s="1293"/>
      <c r="DK42" s="1293"/>
      <c r="DL42" s="1293"/>
    </row>
    <row r="43" spans="1:116" ht="15.75">
      <c r="A43" s="1293"/>
      <c r="B43" s="1293" t="s">
        <v>2172</v>
      </c>
      <c r="C43" s="1699"/>
      <c r="D43" s="1699"/>
      <c r="E43" s="1699"/>
      <c r="F43" s="1699"/>
      <c r="G43" s="2039"/>
      <c r="H43" s="1699"/>
      <c r="I43" s="1699"/>
      <c r="J43" s="1699"/>
      <c r="K43" s="1699"/>
      <c r="L43" s="2039"/>
      <c r="M43" s="1699"/>
      <c r="N43" s="1699"/>
      <c r="O43" s="1699"/>
      <c r="P43" s="1699"/>
      <c r="Q43" s="2039"/>
      <c r="R43" s="2046"/>
      <c r="S43" s="2046"/>
      <c r="T43" s="2046"/>
      <c r="U43" s="2046"/>
      <c r="V43" s="2047"/>
      <c r="W43" s="2046"/>
      <c r="X43" s="2046"/>
      <c r="Y43" s="2046"/>
      <c r="Z43" s="1699"/>
      <c r="AA43" s="2039"/>
      <c r="AB43" s="1699"/>
      <c r="AC43" s="1699"/>
      <c r="AD43" s="1699"/>
      <c r="AE43" s="1699"/>
      <c r="AF43" s="1699"/>
      <c r="AG43" s="1699"/>
      <c r="AH43" s="1699"/>
      <c r="AI43" s="1699"/>
      <c r="AJ43" s="2039"/>
      <c r="AK43" s="1995"/>
      <c r="AL43" s="1995"/>
      <c r="AM43" s="1995"/>
      <c r="AN43" s="1995"/>
      <c r="AO43" s="2039"/>
      <c r="AP43" s="1503"/>
      <c r="AQ43" s="1503"/>
      <c r="AR43" s="1503"/>
      <c r="AS43" s="1503"/>
      <c r="AT43" s="2161"/>
      <c r="AU43" s="1503">
        <v>34.286000000000001</v>
      </c>
      <c r="AV43" s="1503">
        <v>33.069299999999998</v>
      </c>
      <c r="AW43" s="1503">
        <v>33.668300000000002</v>
      </c>
      <c r="AX43" s="1503">
        <v>36.327399999999997</v>
      </c>
      <c r="AY43" s="2161">
        <f t="shared" si="61"/>
        <v>137.351</v>
      </c>
      <c r="AZ43" s="1503">
        <v>38.881</v>
      </c>
      <c r="BA43" s="1503">
        <v>39.787599999999998</v>
      </c>
      <c r="BB43" s="1503">
        <v>39.911099999999998</v>
      </c>
      <c r="BC43" s="1503">
        <v>39.377000000000002</v>
      </c>
      <c r="BD43" s="2161">
        <f t="shared" si="62"/>
        <v>157.95670000000001</v>
      </c>
      <c r="BE43" s="1503">
        <v>39.644799999999996</v>
      </c>
      <c r="BF43" s="1503">
        <v>39.209000000000003</v>
      </c>
      <c r="BG43" s="1503">
        <v>36.963000000000001</v>
      </c>
      <c r="BH43" s="1503">
        <v>35.683</v>
      </c>
      <c r="BI43" s="2161">
        <f t="shared" si="63"/>
        <v>151.49979999999999</v>
      </c>
      <c r="BJ43" s="1327">
        <f t="shared" si="64"/>
        <v>37.742666282879995</v>
      </c>
      <c r="BK43" s="1327">
        <f t="shared" si="64"/>
        <v>37.597015086375002</v>
      </c>
      <c r="BL43" s="1327">
        <f t="shared" si="64"/>
        <v>37.304124134399991</v>
      </c>
      <c r="BM43" s="1327">
        <f t="shared" si="64"/>
        <v>37.146344496344994</v>
      </c>
      <c r="BN43" s="2161">
        <f t="shared" si="65"/>
        <v>149.79014999999998</v>
      </c>
      <c r="BO43" s="1699"/>
      <c r="BP43" s="1699"/>
      <c r="BQ43" s="2040"/>
      <c r="BR43" s="1293"/>
      <c r="BS43" s="1293"/>
      <c r="BT43" s="1293"/>
      <c r="BU43" s="1293"/>
      <c r="BV43" s="1293"/>
      <c r="BW43" s="1293"/>
      <c r="BX43" s="1293"/>
      <c r="BY43" s="1293"/>
      <c r="BZ43" s="1293"/>
      <c r="CA43" s="1293"/>
      <c r="CB43" s="1293"/>
      <c r="CC43" s="1293"/>
      <c r="CD43" s="1293"/>
      <c r="CE43" s="1293"/>
      <c r="CF43" s="1293"/>
      <c r="CG43" s="1293"/>
      <c r="CH43" s="1293"/>
      <c r="CI43" s="1293"/>
      <c r="CJ43" s="1293"/>
      <c r="CK43" s="1293"/>
      <c r="CL43" s="1293"/>
      <c r="CM43" s="1293"/>
      <c r="CN43" s="1293"/>
      <c r="CO43" s="1293"/>
      <c r="CP43" s="1293"/>
      <c r="CQ43" s="1293"/>
      <c r="CR43" s="1293"/>
      <c r="CS43" s="1293"/>
      <c r="CT43" s="1293"/>
      <c r="CU43" s="1293"/>
      <c r="CV43" s="1293"/>
      <c r="CW43" s="1293"/>
      <c r="CX43" s="1293"/>
      <c r="CY43" s="2041"/>
      <c r="CZ43" s="1699"/>
      <c r="DA43" s="2042"/>
      <c r="DB43" s="2041"/>
      <c r="DC43" s="1293"/>
      <c r="DD43" s="1293"/>
      <c r="DE43" s="1293"/>
      <c r="DF43" s="1293"/>
      <c r="DG43" s="1293"/>
      <c r="DH43" s="1293"/>
      <c r="DI43" s="1293"/>
      <c r="DJ43" s="1293"/>
      <c r="DK43" s="1293"/>
      <c r="DL43" s="1293"/>
    </row>
    <row r="44" spans="1:116" ht="15.75">
      <c r="A44" s="1293"/>
      <c r="B44" s="1293" t="s">
        <v>2033</v>
      </c>
      <c r="C44" s="1699"/>
      <c r="D44" s="1699"/>
      <c r="E44" s="1699"/>
      <c r="F44" s="1699"/>
      <c r="G44" s="2039"/>
      <c r="H44" s="1699"/>
      <c r="I44" s="1699"/>
      <c r="J44" s="1699"/>
      <c r="K44" s="1699"/>
      <c r="L44" s="2039"/>
      <c r="M44" s="1699"/>
      <c r="N44" s="1699"/>
      <c r="O44" s="1699"/>
      <c r="P44" s="1699"/>
      <c r="Q44" s="2039"/>
      <c r="R44" s="2046"/>
      <c r="S44" s="2046"/>
      <c r="T44" s="2046"/>
      <c r="U44" s="2046"/>
      <c r="V44" s="2047"/>
      <c r="W44" s="2046"/>
      <c r="X44" s="2046"/>
      <c r="Y44" s="2046"/>
      <c r="Z44" s="1699"/>
      <c r="AA44" s="2039"/>
      <c r="AB44" s="1699"/>
      <c r="AC44" s="1699"/>
      <c r="AD44" s="1699"/>
      <c r="AE44" s="1699"/>
      <c r="AF44" s="1699"/>
      <c r="AG44" s="1699"/>
      <c r="AH44" s="1699"/>
      <c r="AI44" s="1699"/>
      <c r="AJ44" s="2039"/>
      <c r="AK44" s="1995"/>
      <c r="AL44" s="1995"/>
      <c r="AM44" s="1995"/>
      <c r="AN44" s="1995"/>
      <c r="AO44" s="2039"/>
      <c r="AP44" s="1503"/>
      <c r="AQ44" s="1503"/>
      <c r="AR44" s="1503"/>
      <c r="AS44" s="1503"/>
      <c r="AT44" s="2161"/>
      <c r="AU44" s="1503">
        <v>58.195700000000002</v>
      </c>
      <c r="AV44" s="1503">
        <v>58.549500000000002</v>
      </c>
      <c r="AW44" s="1503">
        <v>58.223199999999999</v>
      </c>
      <c r="AX44" s="1503">
        <v>59.929499999999997</v>
      </c>
      <c r="AY44" s="2161">
        <f t="shared" si="61"/>
        <v>234.89789999999999</v>
      </c>
      <c r="AZ44" s="1503">
        <v>60.839300000000001</v>
      </c>
      <c r="BA44" s="1503">
        <v>61.866199999999999</v>
      </c>
      <c r="BB44" s="1503">
        <v>61.319200000000002</v>
      </c>
      <c r="BC44" s="1503">
        <v>62.100999999999999</v>
      </c>
      <c r="BD44" s="2161">
        <f t="shared" si="62"/>
        <v>246.12569999999999</v>
      </c>
      <c r="BE44" s="1503">
        <v>66.877799999999993</v>
      </c>
      <c r="BF44" s="1503">
        <v>64.243200000000002</v>
      </c>
      <c r="BG44" s="1503">
        <v>63.502000000000002</v>
      </c>
      <c r="BH44" s="1503">
        <v>63.990600000000001</v>
      </c>
      <c r="BI44" s="2161">
        <f t="shared" si="63"/>
        <v>258.61360000000002</v>
      </c>
      <c r="BJ44" s="1327">
        <f t="shared" si="64"/>
        <v>64.561740006081521</v>
      </c>
      <c r="BK44" s="1327">
        <f t="shared" si="64"/>
        <v>66.238186685634787</v>
      </c>
      <c r="BL44" s="1327">
        <f t="shared" si="64"/>
        <v>66.737945959826092</v>
      </c>
      <c r="BM44" s="1327">
        <f t="shared" si="64"/>
        <v>68.218649087588076</v>
      </c>
      <c r="BN44" s="2161">
        <f t="shared" si="65"/>
        <v>265.75652173913045</v>
      </c>
      <c r="BO44" s="1699"/>
      <c r="BP44" s="1699"/>
      <c r="BQ44" s="2040"/>
      <c r="BR44" s="1293"/>
      <c r="BS44" s="1293"/>
      <c r="BT44" s="1293"/>
      <c r="BU44" s="1293"/>
      <c r="BV44" s="1293"/>
      <c r="BW44" s="1293"/>
      <c r="BX44" s="1293"/>
      <c r="BY44" s="1293"/>
      <c r="BZ44" s="1293"/>
      <c r="CA44" s="1293"/>
      <c r="CB44" s="1293"/>
      <c r="CC44" s="1293"/>
      <c r="CD44" s="1293"/>
      <c r="CE44" s="1293"/>
      <c r="CF44" s="1293"/>
      <c r="CG44" s="1293"/>
      <c r="CH44" s="1293"/>
      <c r="CI44" s="1293"/>
      <c r="CJ44" s="1293"/>
      <c r="CK44" s="1293"/>
      <c r="CL44" s="1293"/>
      <c r="CM44" s="1293"/>
      <c r="CN44" s="1293"/>
      <c r="CO44" s="1293"/>
      <c r="CP44" s="1293"/>
      <c r="CQ44" s="1293"/>
      <c r="CR44" s="1293"/>
      <c r="CS44" s="1293"/>
      <c r="CT44" s="1293"/>
      <c r="CU44" s="1293"/>
      <c r="CV44" s="1293"/>
      <c r="CW44" s="1293"/>
      <c r="CX44" s="1293"/>
      <c r="CY44" s="2041"/>
      <c r="CZ44" s="1699"/>
      <c r="DA44" s="2042"/>
      <c r="DB44" s="2041"/>
      <c r="DC44" s="1293"/>
      <c r="DD44" s="1293"/>
      <c r="DE44" s="1293"/>
      <c r="DF44" s="1293"/>
      <c r="DG44" s="1293"/>
      <c r="DH44" s="1293"/>
      <c r="DI44" s="1293"/>
      <c r="DJ44" s="1293"/>
      <c r="DK44" s="1293"/>
      <c r="DL44" s="1293"/>
    </row>
    <row r="45" spans="1:116" ht="15.75" hidden="1" outlineLevel="1">
      <c r="A45" s="1293"/>
      <c r="B45" s="1982" t="str">
        <f>B9</f>
        <v>Costa Rica/old Nicaragua</v>
      </c>
      <c r="C45" s="1699">
        <f t="shared" ref="C45:P45" si="66">C49-C39-C40-C41</f>
        <v>34.434486345317197</v>
      </c>
      <c r="D45" s="1699">
        <f t="shared" si="66"/>
        <v>33.326108765745118</v>
      </c>
      <c r="E45" s="1699">
        <f t="shared" si="66"/>
        <v>34.712112675493813</v>
      </c>
      <c r="F45" s="1699">
        <f t="shared" si="66"/>
        <v>34.23172650881358</v>
      </c>
      <c r="G45" s="2039">
        <f t="shared" si="66"/>
        <v>136.70443429537318</v>
      </c>
      <c r="H45" s="1699">
        <f t="shared" si="66"/>
        <v>34.648858962041231</v>
      </c>
      <c r="I45" s="1699">
        <f t="shared" si="66"/>
        <v>35.609765835357251</v>
      </c>
      <c r="J45" s="1699">
        <f t="shared" si="66"/>
        <v>37.740067530068643</v>
      </c>
      <c r="K45" s="1699">
        <f t="shared" si="66"/>
        <v>41.12799422518944</v>
      </c>
      <c r="L45" s="2039">
        <f t="shared" si="66"/>
        <v>149.12668655265998</v>
      </c>
      <c r="M45" s="1699">
        <f t="shared" si="66"/>
        <v>38.332711252186982</v>
      </c>
      <c r="N45" s="1699">
        <f t="shared" si="66"/>
        <v>37.659374110525874</v>
      </c>
      <c r="O45" s="1699">
        <f t="shared" si="66"/>
        <v>37.979806100875578</v>
      </c>
      <c r="P45" s="1699">
        <f t="shared" si="66"/>
        <v>37</v>
      </c>
      <c r="Q45" s="2039">
        <f>SUM(M45:P45)</f>
        <v>150.97189146358843</v>
      </c>
      <c r="R45" s="1699">
        <f>R49-R39-R40-R41</f>
        <v>38</v>
      </c>
      <c r="S45" s="1699">
        <f>S49-S39-S40-S41</f>
        <v>38</v>
      </c>
      <c r="T45" s="1699">
        <f>T49-T39-T40-T41</f>
        <v>37</v>
      </c>
      <c r="U45" s="1699">
        <f>U49-U39-U40-U41</f>
        <v>34</v>
      </c>
      <c r="V45" s="2039">
        <f>SUM(R45:U45)</f>
        <v>147</v>
      </c>
      <c r="W45" s="1699">
        <f>W49-W39-W40-W41</f>
        <v>37</v>
      </c>
      <c r="X45" s="1699">
        <f>X49-X39-X40-X41</f>
        <v>37</v>
      </c>
      <c r="Y45" s="1699">
        <f>Y49-Y39-Y40-Y41</f>
        <v>36</v>
      </c>
      <c r="Z45" s="1699">
        <f>Z49-Z39-Z40-Z41-Z42</f>
        <v>35</v>
      </c>
      <c r="AA45" s="2039">
        <f>SUM(W45:Z45)</f>
        <v>145</v>
      </c>
      <c r="AB45" s="1699">
        <f>AC45</f>
        <v>34</v>
      </c>
      <c r="AC45" s="1699">
        <f>AC49-AC39-AC40-AC41-AC42</f>
        <v>34</v>
      </c>
      <c r="AD45" s="1699">
        <f>AE45</f>
        <v>32</v>
      </c>
      <c r="AE45" s="1699">
        <f>AE49-AE39-AE40-AE41-AE42-AE48</f>
        <v>32</v>
      </c>
      <c r="AF45" s="1699">
        <f t="shared" si="58"/>
        <v>33</v>
      </c>
      <c r="AG45" s="1699">
        <f>AG49-AG39-AG40-AG41-AG42-AG48-AG46</f>
        <v>33</v>
      </c>
      <c r="AH45" s="1699">
        <f>AH49-AH39-AH40-AH41-AH42-AH48-AH46</f>
        <v>36.232000000000006</v>
      </c>
      <c r="AI45" s="1699">
        <f>AI49-AI39-AI40-AI41-AI42-AI48-AI46</f>
        <v>36.232000000000006</v>
      </c>
      <c r="AJ45" s="2039">
        <f>AB45+AD45+AF45+AH45</f>
        <v>135.232</v>
      </c>
      <c r="AK45" s="1995">
        <f>92-AK48</f>
        <v>41</v>
      </c>
      <c r="AL45" s="1995">
        <f>87-AL48</f>
        <v>36</v>
      </c>
      <c r="AM45" s="1995">
        <f>83-AM48</f>
        <v>32</v>
      </c>
      <c r="AN45" s="1995">
        <f>86-AN48</f>
        <v>36</v>
      </c>
      <c r="AO45" s="2039">
        <f t="shared" si="59"/>
        <v>145</v>
      </c>
      <c r="AP45" s="1503">
        <f>88-AP48</f>
        <v>38</v>
      </c>
      <c r="AQ45" s="1503">
        <f>91-AQ48</f>
        <v>41</v>
      </c>
      <c r="AR45" s="1503">
        <f>91-AR48</f>
        <v>41</v>
      </c>
      <c r="AS45" s="1503">
        <f>94-AS48</f>
        <v>44</v>
      </c>
      <c r="AT45" s="2161">
        <f t="shared" si="60"/>
        <v>164</v>
      </c>
      <c r="AU45" s="1503">
        <f>58+34-AU48</f>
        <v>42</v>
      </c>
      <c r="AV45" s="1503">
        <f>59+33-AV48</f>
        <v>42</v>
      </c>
      <c r="AW45" s="1503">
        <f>58+34-AW48</f>
        <v>42</v>
      </c>
      <c r="AX45" s="1503">
        <f>60+36-AX48</f>
        <v>46</v>
      </c>
      <c r="AY45" s="2161">
        <f t="shared" si="61"/>
        <v>172</v>
      </c>
      <c r="AZ45" s="1503">
        <f>61+39-AZ48</f>
        <v>50</v>
      </c>
      <c r="BA45" s="1503">
        <f>62+40-BA48</f>
        <v>52</v>
      </c>
      <c r="BB45" s="1503">
        <f>61.3+39.9-BB48</f>
        <v>51.199999999999989</v>
      </c>
      <c r="BC45" s="1503">
        <f>62.101+39.377-BC48</f>
        <v>51.478000000000009</v>
      </c>
      <c r="BD45" s="2161">
        <f t="shared" si="62"/>
        <v>204.678</v>
      </c>
      <c r="BE45" s="1998">
        <v>52</v>
      </c>
      <c r="BF45" s="1998">
        <f>BE45</f>
        <v>52</v>
      </c>
      <c r="BG45" s="1998">
        <f>BF45</f>
        <v>52</v>
      </c>
      <c r="BH45" s="1501">
        <f ca="1">BI45-BE45-BF45-BG45</f>
        <v>48.677999999999997</v>
      </c>
      <c r="BI45" s="2161">
        <f t="shared" ca="1" si="63"/>
        <v>204.678</v>
      </c>
      <c r="BJ45" s="1998"/>
      <c r="BK45" s="1998"/>
      <c r="BL45" s="1998"/>
      <c r="BM45" s="1998"/>
      <c r="BN45" s="2161">
        <f t="shared" si="65"/>
        <v>0</v>
      </c>
      <c r="BO45" s="1699"/>
      <c r="BP45" s="1699"/>
      <c r="BQ45" s="2040"/>
      <c r="BR45" s="1293"/>
      <c r="BS45" s="1293"/>
      <c r="BT45" s="1293"/>
      <c r="BU45" s="1293"/>
      <c r="BV45" s="1293"/>
      <c r="BW45" s="1293"/>
      <c r="BX45" s="1293"/>
      <c r="BY45" s="1293"/>
      <c r="BZ45" s="1293"/>
      <c r="CA45" s="1293"/>
      <c r="CB45" s="1293"/>
      <c r="CC45" s="1293"/>
      <c r="CD45" s="1293"/>
      <c r="CE45" s="1293"/>
      <c r="CF45" s="1293"/>
      <c r="CG45" s="1293"/>
      <c r="CH45" s="1293"/>
      <c r="CI45" s="1293"/>
      <c r="CJ45" s="1293"/>
      <c r="CK45" s="1293"/>
      <c r="CL45" s="1293"/>
      <c r="CM45" s="1293"/>
      <c r="CN45" s="1293"/>
      <c r="CO45" s="1293"/>
      <c r="CP45" s="1293"/>
      <c r="CQ45" s="1293"/>
      <c r="CR45" s="1293"/>
      <c r="CS45" s="1293"/>
      <c r="CT45" s="1293"/>
      <c r="CU45" s="1293"/>
      <c r="CV45" s="1293"/>
      <c r="CW45" s="1293"/>
      <c r="CX45" s="1293"/>
      <c r="CY45" s="2041">
        <v>54.856280459619036</v>
      </c>
      <c r="CZ45" s="1699">
        <f>CZ308/CZ255</f>
        <v>51.413249999999998</v>
      </c>
      <c r="DA45" s="2042">
        <v>57.026730504564931</v>
      </c>
      <c r="DB45" s="2041">
        <v>56.695502676513094</v>
      </c>
      <c r="DC45" s="1293"/>
      <c r="DD45" s="1293"/>
      <c r="DE45" s="1293"/>
      <c r="DF45" s="1293"/>
      <c r="DG45" s="1293"/>
      <c r="DH45" s="1293"/>
      <c r="DI45" s="1293"/>
      <c r="DJ45" s="1293"/>
      <c r="DK45" s="1293"/>
      <c r="DL45" s="1293"/>
    </row>
    <row r="46" spans="1:116" ht="15.75" hidden="1" outlineLevel="1">
      <c r="A46" s="1293"/>
      <c r="B46" s="1982" t="str">
        <f>B10</f>
        <v>Panama wireless</v>
      </c>
      <c r="C46" s="1699"/>
      <c r="D46" s="1699"/>
      <c r="E46" s="1699"/>
      <c r="F46" s="1699"/>
      <c r="G46" s="2039"/>
      <c r="H46" s="1699"/>
      <c r="I46" s="1699"/>
      <c r="J46" s="1699"/>
      <c r="K46" s="1699"/>
      <c r="L46" s="2039"/>
      <c r="M46" s="1699"/>
      <c r="N46" s="1699"/>
      <c r="O46" s="1699"/>
      <c r="P46" s="1699"/>
      <c r="Q46" s="2039"/>
      <c r="R46" s="1699"/>
      <c r="S46" s="1699"/>
      <c r="T46" s="1699"/>
      <c r="U46" s="1699"/>
      <c r="V46" s="2039"/>
      <c r="W46" s="1699"/>
      <c r="X46" s="1699"/>
      <c r="Y46" s="1699"/>
      <c r="Z46" s="1699"/>
      <c r="AA46" s="2039"/>
      <c r="AB46" s="1699"/>
      <c r="AC46" s="1699"/>
      <c r="AD46" s="1699"/>
      <c r="AE46" s="1699"/>
      <c r="AF46" s="1699">
        <f t="shared" si="58"/>
        <v>18</v>
      </c>
      <c r="AG46" s="1699">
        <f>AG10</f>
        <v>18</v>
      </c>
      <c r="AH46" s="1699">
        <f>AH10*0.9</f>
        <v>55.800000000000004</v>
      </c>
      <c r="AI46" s="1293">
        <f>AI10*0.9</f>
        <v>55.800000000000004</v>
      </c>
      <c r="AJ46" s="2039">
        <f>AF46+AH46</f>
        <v>73.800000000000011</v>
      </c>
      <c r="AK46" s="1986">
        <v>55</v>
      </c>
      <c r="AL46" s="1986">
        <v>50</v>
      </c>
      <c r="AM46" s="1986">
        <f>AL46</f>
        <v>50</v>
      </c>
      <c r="AN46" s="1986">
        <v>52</v>
      </c>
      <c r="AO46" s="2039">
        <f t="shared" si="59"/>
        <v>207</v>
      </c>
      <c r="AP46" s="2337">
        <v>55</v>
      </c>
      <c r="AQ46" s="2337">
        <f>AP46</f>
        <v>55</v>
      </c>
      <c r="AR46" s="2337">
        <f>AQ46</f>
        <v>55</v>
      </c>
      <c r="AS46" s="2337">
        <f>AR46</f>
        <v>55</v>
      </c>
      <c r="AT46" s="2161">
        <f>AP46+AQ46+AR46+AS46</f>
        <v>220</v>
      </c>
      <c r="AU46" s="2337">
        <v>56</v>
      </c>
      <c r="AV46" s="2337">
        <v>56</v>
      </c>
      <c r="AW46" s="2337">
        <v>56</v>
      </c>
      <c r="AX46" s="2337">
        <v>58</v>
      </c>
      <c r="AY46" s="2161">
        <f>AU46+AV46+AW46+AX46</f>
        <v>226</v>
      </c>
      <c r="AZ46" s="2337">
        <v>58</v>
      </c>
      <c r="BA46" s="2337">
        <v>56</v>
      </c>
      <c r="BB46" s="2337">
        <f>BA46</f>
        <v>56</v>
      </c>
      <c r="BC46" s="2337">
        <f>BB46</f>
        <v>56</v>
      </c>
      <c r="BD46" s="2161">
        <f>AZ46+BA46+BB46+BC46</f>
        <v>226</v>
      </c>
      <c r="BE46" s="2337">
        <v>57</v>
      </c>
      <c r="BF46" s="2337">
        <f>BE46</f>
        <v>57</v>
      </c>
      <c r="BG46" s="2337">
        <f>BF46</f>
        <v>57</v>
      </c>
      <c r="BH46" s="1501">
        <f ca="1">BI46-BE46-BF46-BG46</f>
        <v>55</v>
      </c>
      <c r="BI46" s="2161">
        <f ca="1">BE46+BF46+BG46+BH46</f>
        <v>226</v>
      </c>
      <c r="BJ46" s="2337"/>
      <c r="BK46" s="2337"/>
      <c r="BL46" s="2337"/>
      <c r="BM46" s="2337"/>
      <c r="BN46" s="2161">
        <f>BJ46+BK46+BL46+BM46</f>
        <v>0</v>
      </c>
      <c r="BO46" s="1699"/>
      <c r="BP46" s="1699"/>
      <c r="BQ46" s="2040"/>
      <c r="BR46" s="1293"/>
      <c r="BS46" s="1293"/>
      <c r="BT46" s="1293"/>
      <c r="BU46" s="1293"/>
      <c r="BV46" s="1293"/>
      <c r="BW46" s="1293"/>
      <c r="BX46" s="1293"/>
      <c r="BY46" s="1293"/>
      <c r="BZ46" s="1293"/>
      <c r="CA46" s="1293"/>
      <c r="CB46" s="1293"/>
      <c r="CC46" s="1293"/>
      <c r="CD46" s="1293"/>
      <c r="CE46" s="1293"/>
      <c r="CF46" s="1293"/>
      <c r="CG46" s="1293"/>
      <c r="CH46" s="1293"/>
      <c r="CI46" s="1293"/>
      <c r="CJ46" s="1293"/>
      <c r="CK46" s="1293"/>
      <c r="CL46" s="1293"/>
      <c r="CM46" s="1293"/>
      <c r="CN46" s="1293"/>
      <c r="CO46" s="1293"/>
      <c r="CP46" s="1293"/>
      <c r="CQ46" s="1293"/>
      <c r="CR46" s="1293"/>
      <c r="CS46" s="1293"/>
      <c r="CT46" s="1293"/>
      <c r="CU46" s="1293"/>
      <c r="CV46" s="1293"/>
      <c r="CW46" s="1293"/>
      <c r="CX46" s="1293"/>
      <c r="CY46" s="2041">
        <v>56.123242428571416</v>
      </c>
      <c r="CZ46" s="1986">
        <v>56</v>
      </c>
      <c r="DA46" s="2042">
        <v>58</v>
      </c>
      <c r="DB46" s="2041">
        <v>58</v>
      </c>
      <c r="DC46" s="1293"/>
      <c r="DD46" s="1293"/>
      <c r="DE46" s="1293"/>
      <c r="DF46" s="1293"/>
      <c r="DG46" s="1293"/>
      <c r="DH46" s="1293"/>
      <c r="DI46" s="1293"/>
      <c r="DJ46" s="1293"/>
      <c r="DK46" s="1293"/>
      <c r="DL46" s="1293"/>
    </row>
    <row r="47" spans="1:116" ht="15.75" hidden="1" outlineLevel="1">
      <c r="A47" s="1293"/>
      <c r="B47" s="1982" t="str">
        <f>B11</f>
        <v>Costa Rica wireless</v>
      </c>
      <c r="C47" s="1699"/>
      <c r="D47" s="1699"/>
      <c r="E47" s="1699"/>
      <c r="F47" s="1699"/>
      <c r="G47" s="2039"/>
      <c r="H47" s="1699"/>
      <c r="I47" s="1699"/>
      <c r="J47" s="1699"/>
      <c r="K47" s="1699"/>
      <c r="L47" s="2039"/>
      <c r="M47" s="1699"/>
      <c r="N47" s="1699"/>
      <c r="O47" s="1699"/>
      <c r="P47" s="1699"/>
      <c r="Q47" s="2039"/>
      <c r="R47" s="1699"/>
      <c r="S47" s="1699"/>
      <c r="T47" s="1699"/>
      <c r="U47" s="1699"/>
      <c r="V47" s="2039"/>
      <c r="W47" s="1699"/>
      <c r="X47" s="1699"/>
      <c r="Y47" s="1699"/>
      <c r="Z47" s="1699"/>
      <c r="AA47" s="2039"/>
      <c r="AB47" s="1699"/>
      <c r="AC47" s="1699"/>
      <c r="AD47" s="1699"/>
      <c r="AE47" s="1699"/>
      <c r="AF47" s="1699"/>
      <c r="AG47" s="1699"/>
      <c r="AH47" s="1699"/>
      <c r="AI47" s="1699"/>
      <c r="AJ47" s="2039"/>
      <c r="AK47" s="1699"/>
      <c r="AL47" s="1699"/>
      <c r="AM47" s="1699"/>
      <c r="AN47" s="1699"/>
      <c r="AO47" s="2039"/>
      <c r="AP47" s="1327"/>
      <c r="AQ47" s="1327"/>
      <c r="AR47" s="1327"/>
      <c r="AS47" s="1327"/>
      <c r="AT47" s="2161"/>
      <c r="AU47" s="1327"/>
      <c r="AV47" s="1327"/>
      <c r="AW47" s="1327"/>
      <c r="AX47" s="1327"/>
      <c r="AY47" s="2161"/>
      <c r="AZ47" s="1327"/>
      <c r="BA47" s="1327"/>
      <c r="BB47" s="1327"/>
      <c r="BC47" s="1327"/>
      <c r="BD47" s="2161"/>
      <c r="BE47" s="1327"/>
      <c r="BF47" s="1327"/>
      <c r="BG47" s="1327"/>
      <c r="BH47" s="1327"/>
      <c r="BI47" s="2161"/>
      <c r="BJ47" s="1327"/>
      <c r="BK47" s="1327"/>
      <c r="BL47" s="1327"/>
      <c r="BM47" s="1327"/>
      <c r="BN47" s="2161"/>
      <c r="BO47" s="1699"/>
      <c r="BP47" s="1699"/>
      <c r="BQ47" s="2040"/>
      <c r="BR47" s="1293"/>
      <c r="BS47" s="1293"/>
      <c r="BT47" s="1293"/>
      <c r="BU47" s="1293"/>
      <c r="BV47" s="1293"/>
      <c r="BW47" s="1293"/>
      <c r="BX47" s="1293"/>
      <c r="BY47" s="1293"/>
      <c r="BZ47" s="1293"/>
      <c r="CA47" s="1293"/>
      <c r="CB47" s="1293"/>
      <c r="CC47" s="1293"/>
      <c r="CD47" s="1293"/>
      <c r="CE47" s="1293"/>
      <c r="CF47" s="1293"/>
      <c r="CG47" s="1293"/>
      <c r="CH47" s="1293"/>
      <c r="CI47" s="1293"/>
      <c r="CJ47" s="1293"/>
      <c r="CK47" s="1293"/>
      <c r="CL47" s="1293"/>
      <c r="CM47" s="1293"/>
      <c r="CN47" s="1293"/>
      <c r="CO47" s="1293"/>
      <c r="CP47" s="1293"/>
      <c r="CQ47" s="1293"/>
      <c r="CR47" s="1293"/>
      <c r="CS47" s="1293"/>
      <c r="CT47" s="1293"/>
      <c r="CU47" s="1293"/>
      <c r="CV47" s="1293"/>
      <c r="CW47" s="1293"/>
      <c r="CX47" s="1293"/>
      <c r="CY47" s="2041"/>
      <c r="CZ47" s="1699"/>
      <c r="DA47" s="2042"/>
      <c r="DB47" s="2041"/>
      <c r="DC47" s="1293"/>
      <c r="DD47" s="1293"/>
      <c r="DE47" s="1293"/>
      <c r="DF47" s="1293"/>
      <c r="DG47" s="1293"/>
      <c r="DH47" s="1293"/>
      <c r="DI47" s="1293"/>
      <c r="DJ47" s="1293"/>
      <c r="DK47" s="1293"/>
      <c r="DL47" s="1293"/>
    </row>
    <row r="48" spans="1:116" ht="15.75" hidden="1" outlineLevel="1">
      <c r="A48" s="1293"/>
      <c r="B48" s="1982" t="str">
        <f>B12</f>
        <v>Nicaragua wireless</v>
      </c>
      <c r="C48" s="1699"/>
      <c r="D48" s="1699"/>
      <c r="E48" s="1699"/>
      <c r="F48" s="1699"/>
      <c r="G48" s="2039"/>
      <c r="H48" s="1699"/>
      <c r="I48" s="1699"/>
      <c r="J48" s="1699"/>
      <c r="K48" s="1699"/>
      <c r="L48" s="2039"/>
      <c r="M48" s="1699"/>
      <c r="N48" s="1699"/>
      <c r="O48" s="1699"/>
      <c r="P48" s="1699"/>
      <c r="Q48" s="2039"/>
      <c r="R48" s="1699"/>
      <c r="S48" s="1699"/>
      <c r="T48" s="1699"/>
      <c r="U48" s="1699"/>
      <c r="V48" s="2039"/>
      <c r="W48" s="1699"/>
      <c r="X48" s="1699"/>
      <c r="Y48" s="1699"/>
      <c r="Z48" s="1699"/>
      <c r="AA48" s="2039"/>
      <c r="AB48" s="1293"/>
      <c r="AC48" s="1699"/>
      <c r="AD48" s="1293">
        <f>AE48</f>
        <v>39</v>
      </c>
      <c r="AE48" s="1698">
        <f>AE12</f>
        <v>39</v>
      </c>
      <c r="AF48" s="1698">
        <f>AG48</f>
        <v>54</v>
      </c>
      <c r="AG48" s="1698">
        <f>AG12</f>
        <v>54</v>
      </c>
      <c r="AH48" s="1698">
        <f>AH12*0.978</f>
        <v>54.768000000000001</v>
      </c>
      <c r="AI48" s="1698">
        <f>AI12*0.978</f>
        <v>54.768000000000001</v>
      </c>
      <c r="AJ48" s="2039">
        <f>AD48+AF48+AH48</f>
        <v>147.768</v>
      </c>
      <c r="AK48" s="1698">
        <v>51</v>
      </c>
      <c r="AL48" s="2021">
        <f>AK48</f>
        <v>51</v>
      </c>
      <c r="AM48" s="2021">
        <f>AL48</f>
        <v>51</v>
      </c>
      <c r="AN48" s="2021">
        <v>50</v>
      </c>
      <c r="AO48" s="2039">
        <f>AK48+AL48+AM48+AN48</f>
        <v>203</v>
      </c>
      <c r="AP48" s="2337">
        <v>50</v>
      </c>
      <c r="AQ48" s="2337">
        <f>AP48</f>
        <v>50</v>
      </c>
      <c r="AR48" s="2337">
        <f>AQ48</f>
        <v>50</v>
      </c>
      <c r="AS48" s="2337">
        <f>AR48</f>
        <v>50</v>
      </c>
      <c r="AT48" s="2161">
        <f>AP48+AQ48+AR48+AS48</f>
        <v>200</v>
      </c>
      <c r="AU48" s="2337">
        <v>50</v>
      </c>
      <c r="AV48" s="2337">
        <v>50</v>
      </c>
      <c r="AW48" s="2337">
        <v>50</v>
      </c>
      <c r="AX48" s="2337">
        <v>50</v>
      </c>
      <c r="AY48" s="2161">
        <f>AU48+AV48+AW48+AX48</f>
        <v>200</v>
      </c>
      <c r="AZ48" s="2337">
        <v>50</v>
      </c>
      <c r="BA48" s="2337">
        <v>50</v>
      </c>
      <c r="BB48" s="2337">
        <v>50</v>
      </c>
      <c r="BC48" s="2337">
        <v>50</v>
      </c>
      <c r="BD48" s="2161">
        <f>AZ48+BA48+BB48+BC48</f>
        <v>200</v>
      </c>
      <c r="BE48" s="2337">
        <v>52</v>
      </c>
      <c r="BF48" s="2337">
        <f>BE48</f>
        <v>52</v>
      </c>
      <c r="BG48" s="2337">
        <f>BF48</f>
        <v>52</v>
      </c>
      <c r="BH48" s="1501">
        <f ca="1">BI48-BE48-BF48-BG48</f>
        <v>44</v>
      </c>
      <c r="BI48" s="2161">
        <f ca="1">BE48+BF48+BG48+BH48</f>
        <v>200</v>
      </c>
      <c r="BJ48" s="2337"/>
      <c r="BK48" s="2337"/>
      <c r="BL48" s="2337"/>
      <c r="BM48" s="2337"/>
      <c r="BN48" s="2161">
        <f>BJ48+BK48+BL48+BM48</f>
        <v>0</v>
      </c>
      <c r="BO48" s="1699"/>
      <c r="BP48" s="1699"/>
      <c r="BQ48" s="2040"/>
      <c r="BR48" s="1293"/>
      <c r="BS48" s="1293"/>
      <c r="BT48" s="1293"/>
      <c r="BU48" s="1293"/>
      <c r="BV48" s="1293"/>
      <c r="BW48" s="1293"/>
      <c r="BX48" s="1293"/>
      <c r="BY48" s="1293"/>
      <c r="BZ48" s="1293"/>
      <c r="CA48" s="1293"/>
      <c r="CB48" s="1293"/>
      <c r="CC48" s="1293"/>
      <c r="CD48" s="1293"/>
      <c r="CE48" s="1293"/>
      <c r="CF48" s="1293"/>
      <c r="CG48" s="1293"/>
      <c r="CH48" s="1293"/>
      <c r="CI48" s="1293"/>
      <c r="CJ48" s="1293"/>
      <c r="CK48" s="1293"/>
      <c r="CL48" s="1293"/>
      <c r="CM48" s="1293"/>
      <c r="CN48" s="1293"/>
      <c r="CO48" s="1293"/>
      <c r="CP48" s="1293"/>
      <c r="CQ48" s="1293"/>
      <c r="CR48" s="1293"/>
      <c r="CS48" s="1293"/>
      <c r="CT48" s="1293"/>
      <c r="CU48" s="1293"/>
      <c r="CV48" s="1293"/>
      <c r="CW48" s="1293"/>
      <c r="CX48" s="1293"/>
      <c r="CY48" s="2049">
        <v>50.02108355434541</v>
      </c>
      <c r="CZ48" s="2022">
        <v>50</v>
      </c>
      <c r="DA48" s="2050">
        <v>52</v>
      </c>
      <c r="DB48" s="2051">
        <v>52</v>
      </c>
      <c r="DC48" s="1293"/>
      <c r="DD48" s="1293"/>
      <c r="DE48" s="1293"/>
      <c r="DF48" s="1293"/>
      <c r="DG48" s="1293"/>
      <c r="DH48" s="1293"/>
      <c r="DI48" s="1293"/>
      <c r="DJ48" s="1293"/>
      <c r="DK48" s="1293"/>
      <c r="DL48" s="1293"/>
    </row>
    <row r="49" spans="1:116" ht="15.75" collapsed="1">
      <c r="A49" s="1293"/>
      <c r="B49" s="1375" t="s">
        <v>1828</v>
      </c>
      <c r="C49" s="1984">
        <v>560.72468687028618</v>
      </c>
      <c r="D49" s="1984">
        <v>564.98521727300908</v>
      </c>
      <c r="E49" s="1984">
        <v>561.37096963283977</v>
      </c>
      <c r="F49" s="1984">
        <v>579.90391096734857</v>
      </c>
      <c r="G49" s="2052">
        <v>2266.9847847434871</v>
      </c>
      <c r="H49" s="1984">
        <v>577.14061923353324</v>
      </c>
      <c r="I49" s="1984">
        <v>583.2683156701562</v>
      </c>
      <c r="J49" s="1984">
        <v>584.80568576074063</v>
      </c>
      <c r="K49" s="1984">
        <v>596.89394393161547</v>
      </c>
      <c r="L49" s="2052">
        <v>2342.1085645960488</v>
      </c>
      <c r="M49" s="1984">
        <v>578.76012466579698</v>
      </c>
      <c r="N49" s="1984">
        <v>572.08810256336892</v>
      </c>
      <c r="O49" s="1984">
        <v>559.79429217564302</v>
      </c>
      <c r="P49" s="1984">
        <v>569</v>
      </c>
      <c r="Q49" s="2052">
        <f>SUM(Q39:Q45)</f>
        <v>2279.6425194048084</v>
      </c>
      <c r="R49" s="1984">
        <v>561</v>
      </c>
      <c r="S49" s="1984">
        <f>1251-S55</f>
        <v>571</v>
      </c>
      <c r="T49" s="1984">
        <f>1275-T55</f>
        <v>575</v>
      </c>
      <c r="U49" s="1984">
        <f>1307-U55</f>
        <v>587</v>
      </c>
      <c r="V49" s="2052">
        <f>SUM(V39:V45)</f>
        <v>2294</v>
      </c>
      <c r="W49" s="1984">
        <f>1259-W55</f>
        <v>568</v>
      </c>
      <c r="X49" s="1984">
        <f>1280-X55</f>
        <v>567</v>
      </c>
      <c r="Y49" s="1984">
        <f>1268-Y55</f>
        <v>562</v>
      </c>
      <c r="Z49" s="1984">
        <f>1263-Z55</f>
        <v>591</v>
      </c>
      <c r="AA49" s="2052">
        <f>SUM(AA39:AA45)</f>
        <v>2288</v>
      </c>
      <c r="AB49" s="1984">
        <f>AC49</f>
        <v>663</v>
      </c>
      <c r="AC49" s="1984">
        <f>1331-AC55</f>
        <v>663</v>
      </c>
      <c r="AD49" s="1984">
        <f>AE49</f>
        <v>705</v>
      </c>
      <c r="AE49" s="1984">
        <f>1358-AE55</f>
        <v>705</v>
      </c>
      <c r="AF49" s="1984">
        <f>AG49</f>
        <v>728</v>
      </c>
      <c r="AG49" s="1375">
        <f>1383-5-AG55</f>
        <v>728</v>
      </c>
      <c r="AH49" s="1984">
        <f>AI49</f>
        <v>788</v>
      </c>
      <c r="AI49" s="1984">
        <f>AI57-AI55</f>
        <v>788</v>
      </c>
      <c r="AJ49" s="2052">
        <f>SUM(AJ39:AJ48)</f>
        <v>2884</v>
      </c>
      <c r="AK49" s="1984">
        <f>SUM(AK39:AK48)</f>
        <v>780</v>
      </c>
      <c r="AL49" s="1984">
        <f>SUM(AL39:AL48)</f>
        <v>729</v>
      </c>
      <c r="AM49" s="1984">
        <f>SUM(AM39:AM48)</f>
        <v>748</v>
      </c>
      <c r="AN49" s="1984">
        <f>SUM(AN39:AN48)</f>
        <v>793</v>
      </c>
      <c r="AO49" s="2052">
        <f>'New split'!J57</f>
        <v>3046</v>
      </c>
      <c r="AP49" s="1991">
        <f>SUM(AP39:AP48)</f>
        <v>800</v>
      </c>
      <c r="AQ49" s="1991">
        <f>SUM(AQ39:AQ48)</f>
        <v>818</v>
      </c>
      <c r="AR49" s="1991">
        <f>SUM(AR39:AR48)</f>
        <v>822</v>
      </c>
      <c r="AS49" s="1991">
        <f>SUM(AS39:AS48)</f>
        <v>842</v>
      </c>
      <c r="AT49" s="2465">
        <f>'New split'!K57</f>
        <v>3282</v>
      </c>
      <c r="AU49" s="1991">
        <f t="shared" ref="AU49:AX49" si="67">SUM(AU39:AU44)</f>
        <v>823.74429999999984</v>
      </c>
      <c r="AV49" s="1991">
        <f t="shared" si="67"/>
        <v>833.61689999999999</v>
      </c>
      <c r="AW49" s="1991">
        <f t="shared" si="67"/>
        <v>831.86530000000005</v>
      </c>
      <c r="AX49" s="1991">
        <f t="shared" si="67"/>
        <v>858.20860000000005</v>
      </c>
      <c r="AY49" s="2465">
        <f>SUM(AY39:AY44)</f>
        <v>3347.4351000000006</v>
      </c>
      <c r="AZ49" s="1991">
        <f t="shared" ref="AZ49:BC49" si="68">SUM(AZ39:AZ44)</f>
        <v>841.99620000000004</v>
      </c>
      <c r="BA49" s="1991">
        <f t="shared" si="68"/>
        <v>849.71070000000009</v>
      </c>
      <c r="BB49" s="1991">
        <f t="shared" si="68"/>
        <v>846.59680000000003</v>
      </c>
      <c r="BC49" s="1991">
        <f t="shared" si="68"/>
        <v>889.92740000000003</v>
      </c>
      <c r="BD49" s="2465">
        <f>SUM(BD39:BD44)</f>
        <v>3428.2311000000004</v>
      </c>
      <c r="BE49" s="1991">
        <f t="shared" ref="BE49:BG49" si="69">SUM(BE39:BE44)</f>
        <v>891.98649999999998</v>
      </c>
      <c r="BF49" s="1991">
        <f t="shared" si="69"/>
        <v>879.80069999999989</v>
      </c>
      <c r="BG49" s="1991">
        <f t="shared" si="69"/>
        <v>878.41969999999992</v>
      </c>
      <c r="BH49" s="1991">
        <f>SUM(BH39:BH44)</f>
        <v>882.14619999999979</v>
      </c>
      <c r="BI49" s="2465">
        <f>SUM(BI39:BI44)</f>
        <v>3532.3531000000003</v>
      </c>
      <c r="BJ49" s="1991">
        <f t="shared" ref="BJ49" si="70">SUM(BJ39:BJ44)</f>
        <v>887.08448829235215</v>
      </c>
      <c r="BK49" s="1991">
        <f t="shared" ref="BK49:BM49" si="71">SUM(BK39:BK44)</f>
        <v>899.47334542105341</v>
      </c>
      <c r="BL49" s="1991">
        <f t="shared" si="71"/>
        <v>902.40906543917527</v>
      </c>
      <c r="BM49" s="1991">
        <f t="shared" si="71"/>
        <v>934.13877725375755</v>
      </c>
      <c r="BN49" s="2465">
        <f>SUM(BN39:BN44)</f>
        <v>3623.1056764063378</v>
      </c>
      <c r="BO49" s="1699"/>
      <c r="BP49" s="1699"/>
      <c r="BQ49" s="2053"/>
      <c r="BR49" s="1293"/>
      <c r="BS49" s="1293"/>
      <c r="BT49" s="1293"/>
      <c r="BU49" s="1293"/>
      <c r="BV49" s="1293"/>
      <c r="BW49" s="1293"/>
      <c r="BX49" s="1293"/>
      <c r="BY49" s="1293"/>
      <c r="BZ49" s="1293"/>
      <c r="CA49" s="1293"/>
      <c r="CB49" s="1293"/>
      <c r="CC49" s="1293"/>
      <c r="CD49" s="1293"/>
      <c r="CE49" s="1293"/>
      <c r="CF49" s="1293"/>
      <c r="CG49" s="1293"/>
      <c r="CH49" s="1293"/>
      <c r="CI49" s="1293"/>
      <c r="CJ49" s="1293"/>
      <c r="CK49" s="1293"/>
      <c r="CL49" s="1293"/>
      <c r="CM49" s="1293"/>
      <c r="CN49" s="1293"/>
      <c r="CO49" s="1293"/>
      <c r="CP49" s="1293"/>
      <c r="CQ49" s="1293"/>
      <c r="CR49" s="1293"/>
      <c r="CS49" s="1293"/>
      <c r="CT49" s="1293"/>
      <c r="CU49" s="1293"/>
      <c r="CV49" s="1293"/>
      <c r="CW49" s="1293"/>
      <c r="CX49" s="1293"/>
      <c r="CY49" s="2041">
        <v>869.4525268412724</v>
      </c>
      <c r="CZ49" s="1699">
        <f>SUM(CZ39:CZ48)</f>
        <v>912.40791835977473</v>
      </c>
      <c r="DA49" s="2042">
        <v>879.84873345664698</v>
      </c>
      <c r="DB49" s="2041">
        <v>892.92326312144382</v>
      </c>
      <c r="DC49" s="1293"/>
      <c r="DD49" s="1293"/>
      <c r="DE49" s="1293"/>
      <c r="DF49" s="1293"/>
      <c r="DG49" s="1293"/>
      <c r="DH49" s="1293"/>
      <c r="DI49" s="1293"/>
      <c r="DJ49" s="1293"/>
      <c r="DK49" s="1293"/>
      <c r="DL49" s="1293"/>
    </row>
    <row r="50" spans="1:116" ht="15.75">
      <c r="A50" s="1293"/>
      <c r="B50" s="1293"/>
      <c r="C50" s="1699"/>
      <c r="D50" s="1699"/>
      <c r="E50" s="1699"/>
      <c r="F50" s="1699"/>
      <c r="G50" s="2039"/>
      <c r="H50" s="1699"/>
      <c r="I50" s="1699"/>
      <c r="J50" s="1699"/>
      <c r="K50" s="1699"/>
      <c r="L50" s="2039"/>
      <c r="M50" s="1699"/>
      <c r="N50" s="1699"/>
      <c r="O50" s="1699"/>
      <c r="P50" s="1699"/>
      <c r="Q50" s="2039"/>
      <c r="R50" s="1699"/>
      <c r="S50" s="1699"/>
      <c r="T50" s="1699"/>
      <c r="U50" s="1699"/>
      <c r="V50" s="2039"/>
      <c r="W50" s="1699"/>
      <c r="X50" s="1699"/>
      <c r="Y50" s="1699"/>
      <c r="Z50" s="1699"/>
      <c r="AA50" s="2039"/>
      <c r="AB50" s="1699"/>
      <c r="AC50" s="1699"/>
      <c r="AD50" s="1699"/>
      <c r="AE50" s="1699"/>
      <c r="AF50" s="1699"/>
      <c r="AG50" s="1699"/>
      <c r="AH50" s="1699"/>
      <c r="AI50" s="1699"/>
      <c r="AJ50" s="2039"/>
      <c r="AK50" s="1699"/>
      <c r="AL50" s="1699"/>
      <c r="AM50" s="1699"/>
      <c r="AN50" s="1699"/>
      <c r="AO50" s="2039"/>
      <c r="AP50" s="1327"/>
      <c r="AQ50" s="1327"/>
      <c r="AR50" s="1327"/>
      <c r="AS50" s="1327"/>
      <c r="AT50" s="2161"/>
      <c r="AU50" s="1327"/>
      <c r="AV50" s="1327"/>
      <c r="AW50" s="1327"/>
      <c r="AX50" s="1327"/>
      <c r="AY50" s="2161"/>
      <c r="AZ50" s="1327"/>
      <c r="BA50" s="1327"/>
      <c r="BB50" s="1327"/>
      <c r="BC50" s="1327"/>
      <c r="BD50" s="2161"/>
      <c r="BE50" s="1327"/>
      <c r="BF50" s="1327"/>
      <c r="BG50" s="1327"/>
      <c r="BH50" s="1327"/>
      <c r="BI50" s="2161"/>
      <c r="BJ50" s="1327"/>
      <c r="BK50" s="1327"/>
      <c r="BL50" s="1327"/>
      <c r="BM50" s="1327"/>
      <c r="BN50" s="2161"/>
      <c r="BO50" s="1699"/>
      <c r="BP50" s="1699"/>
      <c r="BQ50" s="2040"/>
      <c r="BR50" s="1293"/>
      <c r="BS50" s="1293"/>
      <c r="BT50" s="1293"/>
      <c r="BU50" s="1293"/>
      <c r="BV50" s="1293"/>
      <c r="BW50" s="1293"/>
      <c r="BX50" s="1293"/>
      <c r="BY50" s="1293"/>
      <c r="BZ50" s="1293"/>
      <c r="CA50" s="1293"/>
      <c r="CB50" s="1293"/>
      <c r="CC50" s="1293"/>
      <c r="CD50" s="1293"/>
      <c r="CE50" s="1293"/>
      <c r="CF50" s="1293"/>
      <c r="CG50" s="1293"/>
      <c r="CH50" s="1293"/>
      <c r="CI50" s="1293"/>
      <c r="CJ50" s="1293"/>
      <c r="CK50" s="1293"/>
      <c r="CL50" s="1293"/>
      <c r="CM50" s="1293"/>
      <c r="CN50" s="1293"/>
      <c r="CO50" s="1293"/>
      <c r="CP50" s="1293"/>
      <c r="CQ50" s="1293"/>
      <c r="CR50" s="1293"/>
      <c r="CS50" s="1293"/>
      <c r="CT50" s="1293"/>
      <c r="CU50" s="1293"/>
      <c r="CV50" s="1293"/>
      <c r="CW50" s="1293"/>
      <c r="CX50" s="1293"/>
      <c r="CY50" s="2041"/>
      <c r="CZ50" s="1699"/>
      <c r="DA50" s="2042"/>
      <c r="DB50" s="2041"/>
      <c r="DC50" s="1293"/>
      <c r="DD50" s="1293"/>
      <c r="DE50" s="1293"/>
      <c r="DF50" s="1293"/>
      <c r="DG50" s="1293"/>
      <c r="DH50" s="1293"/>
      <c r="DI50" s="1293"/>
      <c r="DJ50" s="1293"/>
      <c r="DK50" s="1293"/>
      <c r="DL50" s="1293"/>
    </row>
    <row r="51" spans="1:116" ht="15.75">
      <c r="A51" s="1293"/>
      <c r="B51" s="1293" t="str">
        <f>B15</f>
        <v>Bolivia</v>
      </c>
      <c r="C51" s="1699">
        <v>115.59423645586099</v>
      </c>
      <c r="D51" s="1699">
        <v>114.58354246743801</v>
      </c>
      <c r="E51" s="1699">
        <v>119.70963796671501</v>
      </c>
      <c r="F51" s="1699">
        <v>124.929273561505</v>
      </c>
      <c r="G51" s="2039">
        <v>474.81669045151904</v>
      </c>
      <c r="H51" s="1699">
        <v>124.568466684515</v>
      </c>
      <c r="I51" s="1699">
        <v>122.312802470332</v>
      </c>
      <c r="J51" s="1699">
        <v>128.48640629667199</v>
      </c>
      <c r="K51" s="1699">
        <v>135.56449378002901</v>
      </c>
      <c r="L51" s="2039">
        <v>510.93216923154802</v>
      </c>
      <c r="M51" s="1699">
        <v>131.40062000578902</v>
      </c>
      <c r="N51" s="1699">
        <v>128.10412315050701</v>
      </c>
      <c r="O51" s="1699">
        <v>131.00058956584701</v>
      </c>
      <c r="P51" s="1699">
        <v>134</v>
      </c>
      <c r="Q51" s="2039">
        <f>SUM(M51:P51)</f>
        <v>524.50533272214307</v>
      </c>
      <c r="R51" s="1699">
        <v>132</v>
      </c>
      <c r="S51" s="1699">
        <v>131</v>
      </c>
      <c r="T51" s="1699">
        <v>139</v>
      </c>
      <c r="U51" s="1699">
        <v>147</v>
      </c>
      <c r="V51" s="2039">
        <f>SUM(R51:U51)</f>
        <v>549</v>
      </c>
      <c r="W51" s="1699">
        <v>137</v>
      </c>
      <c r="X51" s="1699">
        <v>149</v>
      </c>
      <c r="Y51" s="1699">
        <v>155</v>
      </c>
      <c r="Z51" s="1699">
        <v>156</v>
      </c>
      <c r="AA51" s="2039">
        <f>SUM(W51:Z51)</f>
        <v>597</v>
      </c>
      <c r="AB51" s="1699">
        <f>AC51</f>
        <v>154</v>
      </c>
      <c r="AC51" s="1699">
        <v>154</v>
      </c>
      <c r="AD51" s="1699">
        <f>AE51</f>
        <v>156</v>
      </c>
      <c r="AE51" s="1699">
        <v>156</v>
      </c>
      <c r="AF51" s="1699">
        <f>AG51</f>
        <v>158</v>
      </c>
      <c r="AG51" s="1699">
        <v>158</v>
      </c>
      <c r="AH51" s="1699">
        <f>AI51</f>
        <v>156</v>
      </c>
      <c r="AI51" s="1699">
        <v>156</v>
      </c>
      <c r="AJ51" s="2039">
        <f>AB51+AD51+AF51+AH51</f>
        <v>624</v>
      </c>
      <c r="AK51" s="1995">
        <v>155</v>
      </c>
      <c r="AL51" s="1995">
        <v>131</v>
      </c>
      <c r="AM51" s="1995">
        <v>141</v>
      </c>
      <c r="AN51" s="1995">
        <v>149</v>
      </c>
      <c r="AO51" s="2039">
        <f>AK51+AL51+AM51+AN51</f>
        <v>576</v>
      </c>
      <c r="AP51" s="1503">
        <v>151</v>
      </c>
      <c r="AQ51" s="1503">
        <v>151</v>
      </c>
      <c r="AR51" s="1503">
        <v>153</v>
      </c>
      <c r="AS51" s="1503">
        <v>157</v>
      </c>
      <c r="AT51" s="2161">
        <f>AP51+AQ51+AR51+AS51</f>
        <v>612</v>
      </c>
      <c r="AU51" s="1503">
        <v>152</v>
      </c>
      <c r="AV51" s="1503">
        <v>154.12</v>
      </c>
      <c r="AW51" s="1503">
        <v>152</v>
      </c>
      <c r="AX51" s="1503">
        <v>150</v>
      </c>
      <c r="AY51" s="2161">
        <f>AU51+AV51+AW51+AX51</f>
        <v>608.12</v>
      </c>
      <c r="AZ51" s="1503">
        <v>150</v>
      </c>
      <c r="BA51" s="1503">
        <v>150</v>
      </c>
      <c r="BB51" s="1503">
        <v>150.505</v>
      </c>
      <c r="BC51" s="1503">
        <v>151.26300000000001</v>
      </c>
      <c r="BD51" s="2161">
        <f>AZ51+BA51+BB51+BC51</f>
        <v>601.76800000000003</v>
      </c>
      <c r="BE51" s="1503">
        <v>150</v>
      </c>
      <c r="BF51" s="1503">
        <v>150</v>
      </c>
      <c r="BG51" s="1503">
        <v>152.10499999999999</v>
      </c>
      <c r="BH51" s="1503">
        <v>154.97540000000001</v>
      </c>
      <c r="BI51" s="2161">
        <f>BE51+BF51+BG51+BH51</f>
        <v>607.08040000000005</v>
      </c>
      <c r="BJ51" s="1327">
        <f>BJ312/BJ260</f>
        <v>60.709285714285706</v>
      </c>
      <c r="BK51" s="1327">
        <f>BK312/BK260</f>
        <v>60.709285714285706</v>
      </c>
      <c r="BL51" s="1327">
        <f>BL312/BL260</f>
        <v>61.283315642914282</v>
      </c>
      <c r="BM51" s="1327">
        <f>BM312/BM260</f>
        <v>61.981541499942871</v>
      </c>
      <c r="BN51" s="2161">
        <f>BJ51+BK51+BL51+BM51</f>
        <v>244.68342857142855</v>
      </c>
      <c r="BO51" s="1699"/>
      <c r="BP51" s="1699"/>
      <c r="BQ51" s="2040"/>
      <c r="BR51" s="1293"/>
      <c r="BS51" s="1293"/>
      <c r="BT51" s="1293"/>
      <c r="BU51" s="1293"/>
      <c r="BV51" s="1293"/>
      <c r="BW51" s="1293"/>
      <c r="BX51" s="1293"/>
      <c r="BY51" s="1293"/>
      <c r="BZ51" s="1293"/>
      <c r="CA51" s="1293"/>
      <c r="CB51" s="1293"/>
      <c r="CC51" s="1293"/>
      <c r="CD51" s="1293"/>
      <c r="CE51" s="1293"/>
      <c r="CF51" s="1293"/>
      <c r="CG51" s="1293"/>
      <c r="CH51" s="1293"/>
      <c r="CI51" s="1293"/>
      <c r="CJ51" s="1293"/>
      <c r="CK51" s="1293"/>
      <c r="CL51" s="1293"/>
      <c r="CM51" s="1293"/>
      <c r="CN51" s="1293"/>
      <c r="CO51" s="1293"/>
      <c r="CP51" s="1293"/>
      <c r="CQ51" s="1293"/>
      <c r="CR51" s="1293"/>
      <c r="CS51" s="1293"/>
      <c r="CT51" s="1293"/>
      <c r="CU51" s="1293"/>
      <c r="CV51" s="1293"/>
      <c r="CW51" s="1293"/>
      <c r="CX51" s="1293"/>
      <c r="CY51" s="2041">
        <v>148.07397563377819</v>
      </c>
      <c r="CZ51" s="1699">
        <f>CZ312/CZ260</f>
        <v>149.67192851926848</v>
      </c>
      <c r="DA51" s="2042">
        <v>148.9485473749026</v>
      </c>
      <c r="DB51" s="2041">
        <v>154.83945454680534</v>
      </c>
      <c r="DC51" s="1293"/>
      <c r="DD51" s="1293"/>
      <c r="DE51" s="1293"/>
      <c r="DF51" s="1293"/>
      <c r="DG51" s="1293"/>
      <c r="DH51" s="1293"/>
      <c r="DI51" s="1293"/>
      <c r="DJ51" s="1293"/>
      <c r="DK51" s="1293"/>
      <c r="DL51" s="1293"/>
    </row>
    <row r="52" spans="1:116" ht="15.75">
      <c r="A52" s="1293"/>
      <c r="B52" s="1293" t="str">
        <f>B16</f>
        <v>Colombia</v>
      </c>
      <c r="C52" s="1699">
        <v>232.546906830566</v>
      </c>
      <c r="D52" s="1699">
        <v>253.05443864680001</v>
      </c>
      <c r="E52" s="1699">
        <v>441.80919853723702</v>
      </c>
      <c r="F52" s="1699">
        <v>548.06385030900901</v>
      </c>
      <c r="G52" s="2039">
        <v>1475.4743943236122</v>
      </c>
      <c r="H52" s="1699">
        <v>469.15845212125799</v>
      </c>
      <c r="I52" s="1699">
        <v>474.725198886817</v>
      </c>
      <c r="J52" s="1699">
        <v>419.24226000273597</v>
      </c>
      <c r="K52" s="1699">
        <v>412.75658374170001</v>
      </c>
      <c r="L52" s="2039">
        <v>1775.8824947525111</v>
      </c>
      <c r="M52" s="1699">
        <v>367.95784406255501</v>
      </c>
      <c r="N52" s="1699">
        <v>402.98022384856404</v>
      </c>
      <c r="O52" s="1699">
        <v>401.59060385285102</v>
      </c>
      <c r="P52" s="1699">
        <v>408</v>
      </c>
      <c r="Q52" s="2039">
        <f>SUM(M52:P52)</f>
        <v>1580.5286717639701</v>
      </c>
      <c r="R52" s="1699">
        <v>405</v>
      </c>
      <c r="S52" s="1699">
        <v>396</v>
      </c>
      <c r="T52" s="1699">
        <v>403</v>
      </c>
      <c r="U52" s="1699">
        <v>411</v>
      </c>
      <c r="V52" s="2039">
        <f>SUM(R52:U52)</f>
        <v>1615</v>
      </c>
      <c r="W52" s="1699">
        <v>394</v>
      </c>
      <c r="X52" s="1699">
        <v>405</v>
      </c>
      <c r="Y52" s="1699">
        <v>392</v>
      </c>
      <c r="Z52" s="1699">
        <v>362</v>
      </c>
      <c r="AA52" s="2039">
        <f>SUM(W52:Z52)</f>
        <v>1553</v>
      </c>
      <c r="AB52" s="1699">
        <f>AC52</f>
        <v>368</v>
      </c>
      <c r="AC52" s="1699">
        <v>368</v>
      </c>
      <c r="AD52" s="1699">
        <f>AE52</f>
        <v>355</v>
      </c>
      <c r="AE52" s="1699">
        <v>355</v>
      </c>
      <c r="AF52" s="1699">
        <f>AG52</f>
        <v>351</v>
      </c>
      <c r="AG52" s="1699">
        <v>351</v>
      </c>
      <c r="AH52" s="1699">
        <f>AI52</f>
        <v>358</v>
      </c>
      <c r="AI52" s="1699">
        <v>358</v>
      </c>
      <c r="AJ52" s="2039">
        <f>AB52+AD52+AF52+AH52</f>
        <v>1432</v>
      </c>
      <c r="AK52" s="1995">
        <v>332</v>
      </c>
      <c r="AL52" s="1995">
        <v>288</v>
      </c>
      <c r="AM52" s="1995">
        <v>311</v>
      </c>
      <c r="AN52" s="1995">
        <v>327</v>
      </c>
      <c r="AO52" s="2039">
        <f>AK52+AL52+AM52+AN52</f>
        <v>1258</v>
      </c>
      <c r="AP52" s="1503">
        <v>337</v>
      </c>
      <c r="AQ52" s="1503">
        <v>327</v>
      </c>
      <c r="AR52" s="1503">
        <v>325</v>
      </c>
      <c r="AS52" s="1503">
        <v>330</v>
      </c>
      <c r="AT52" s="2161">
        <f>AP52+AQ52+AR52+AS52</f>
        <v>1319</v>
      </c>
      <c r="AU52" s="1503">
        <v>332</v>
      </c>
      <c r="AV52" s="1503">
        <v>336.06</v>
      </c>
      <c r="AW52" s="1503">
        <v>303</v>
      </c>
      <c r="AX52" s="1503">
        <v>282</v>
      </c>
      <c r="AY52" s="2161">
        <f>AU52+AV52+AW52+AX52</f>
        <v>1253.06</v>
      </c>
      <c r="AZ52" s="1503">
        <v>286</v>
      </c>
      <c r="BA52" s="1503">
        <v>302</v>
      </c>
      <c r="BB52" s="1503">
        <v>333.30900000000003</v>
      </c>
      <c r="BC52" s="1503">
        <v>347.57900000000001</v>
      </c>
      <c r="BD52" s="2161">
        <f>AZ52+BA52+BB52+BC52</f>
        <v>1268.8879999999999</v>
      </c>
      <c r="BE52" s="1503">
        <v>346</v>
      </c>
      <c r="BF52" s="1503">
        <v>347</v>
      </c>
      <c r="BG52" s="1503">
        <v>331.15640000000002</v>
      </c>
      <c r="BH52" s="1503">
        <v>317.2593</v>
      </c>
      <c r="BI52" s="2161">
        <f>BE52+BF52+BG52+BH52</f>
        <v>1341.4157</v>
      </c>
      <c r="BJ52" s="1327">
        <f t="shared" ref="BJ52:BM53" si="72">BJ313/BJ261*1000</f>
        <v>330.03356320481925</v>
      </c>
      <c r="BK52" s="1327">
        <f t="shared" si="72"/>
        <v>335.5628381927711</v>
      </c>
      <c r="BL52" s="1327">
        <f t="shared" si="72"/>
        <v>338.17355731119039</v>
      </c>
      <c r="BM52" s="1327">
        <f t="shared" si="72"/>
        <v>342.48064370085785</v>
      </c>
      <c r="BN52" s="2161">
        <f>BJ52+BK52+BL52+BM52</f>
        <v>1346.2506024096388</v>
      </c>
      <c r="BO52" s="1699"/>
      <c r="BP52" s="1699"/>
      <c r="BQ52" s="2040"/>
      <c r="BR52" s="1293"/>
      <c r="BS52" s="1293"/>
      <c r="BT52" s="1293"/>
      <c r="BU52" s="1293"/>
      <c r="BV52" s="1293"/>
      <c r="BW52" s="1293"/>
      <c r="BX52" s="1293"/>
      <c r="BY52" s="1293"/>
      <c r="BZ52" s="1293"/>
      <c r="CA52" s="1293"/>
      <c r="CB52" s="1293"/>
      <c r="CC52" s="1293"/>
      <c r="CD52" s="1293"/>
      <c r="CE52" s="1293"/>
      <c r="CF52" s="1293"/>
      <c r="CG52" s="1293"/>
      <c r="CH52" s="1293"/>
      <c r="CI52" s="1293"/>
      <c r="CJ52" s="1293"/>
      <c r="CK52" s="1293"/>
      <c r="CL52" s="1293"/>
      <c r="CM52" s="1293"/>
      <c r="CN52" s="1293"/>
      <c r="CO52" s="1293"/>
      <c r="CP52" s="1293"/>
      <c r="CQ52" s="1293"/>
      <c r="CR52" s="1293"/>
      <c r="CS52" s="1293"/>
      <c r="CT52" s="1293"/>
      <c r="CU52" s="1293"/>
      <c r="CV52" s="1293"/>
      <c r="CW52" s="1293"/>
      <c r="CX52" s="1293"/>
      <c r="CY52" s="2041">
        <v>343.65176844564667</v>
      </c>
      <c r="CZ52" s="1699">
        <f>CZ313*1000/CZ261</f>
        <v>336.19885074626865</v>
      </c>
      <c r="DA52" s="2042">
        <v>349.63444680144147</v>
      </c>
      <c r="DB52" s="2041">
        <v>333.65678647067494</v>
      </c>
      <c r="DC52" s="1293"/>
      <c r="DD52" s="1293"/>
      <c r="DE52" s="1293"/>
      <c r="DF52" s="1293"/>
      <c r="DG52" s="1293"/>
      <c r="DH52" s="1293"/>
      <c r="DI52" s="1293"/>
      <c r="DJ52" s="1293"/>
      <c r="DK52" s="1293"/>
      <c r="DL52" s="1293"/>
    </row>
    <row r="53" spans="1:116" ht="15.75">
      <c r="A53" s="1293"/>
      <c r="B53" s="1293" t="str">
        <f>B17</f>
        <v>Paraguay</v>
      </c>
      <c r="C53" s="1699">
        <v>172.79581819612699</v>
      </c>
      <c r="D53" s="1699">
        <v>175.30868349161</v>
      </c>
      <c r="E53" s="1699">
        <v>177.81195337972602</v>
      </c>
      <c r="F53" s="1699">
        <v>178.508926422114</v>
      </c>
      <c r="G53" s="2039">
        <v>704.42538148957692</v>
      </c>
      <c r="H53" s="1699">
        <v>160.509003335616</v>
      </c>
      <c r="I53" s="1699">
        <v>153.23274854188199</v>
      </c>
      <c r="J53" s="1699">
        <v>151.63113682542999</v>
      </c>
      <c r="K53" s="1699">
        <v>144.37606941083999</v>
      </c>
      <c r="L53" s="2039">
        <v>609.74895811376791</v>
      </c>
      <c r="M53" s="1699">
        <v>141.13293443248298</v>
      </c>
      <c r="N53" s="1699">
        <v>145.689630048102</v>
      </c>
      <c r="O53" s="1699">
        <v>150.15913242929199</v>
      </c>
      <c r="P53" s="1699">
        <v>146</v>
      </c>
      <c r="Q53" s="2039">
        <f>SUM(M53:P53)</f>
        <v>582.98169690987697</v>
      </c>
      <c r="R53" s="1699">
        <v>149</v>
      </c>
      <c r="S53" s="1699">
        <v>153</v>
      </c>
      <c r="T53" s="1699">
        <v>158</v>
      </c>
      <c r="U53" s="1699">
        <v>162</v>
      </c>
      <c r="V53" s="2039">
        <f>SUM(R53:U53)</f>
        <v>622</v>
      </c>
      <c r="W53" s="1699">
        <v>160</v>
      </c>
      <c r="X53" s="1699">
        <v>159</v>
      </c>
      <c r="Y53" s="1699">
        <v>159</v>
      </c>
      <c r="Z53" s="1699">
        <v>154</v>
      </c>
      <c r="AA53" s="2039">
        <f>SUM(W53:Z53)</f>
        <v>632</v>
      </c>
      <c r="AB53" s="1699">
        <f>AC53</f>
        <v>146</v>
      </c>
      <c r="AC53" s="1699">
        <v>146</v>
      </c>
      <c r="AD53" s="1699">
        <f>AE53</f>
        <v>142</v>
      </c>
      <c r="AE53" s="1699">
        <v>142</v>
      </c>
      <c r="AF53" s="1699">
        <f>AG53</f>
        <v>141</v>
      </c>
      <c r="AG53" s="1293">
        <f>146-5</f>
        <v>141</v>
      </c>
      <c r="AH53" s="1699">
        <f>AI53</f>
        <v>140</v>
      </c>
      <c r="AI53" s="1293">
        <v>140</v>
      </c>
      <c r="AJ53" s="2039">
        <f>AB53+AD53+AF53+AH53</f>
        <v>569</v>
      </c>
      <c r="AK53" s="1995">
        <v>134</v>
      </c>
      <c r="AL53" s="1995">
        <v>128</v>
      </c>
      <c r="AM53" s="1995">
        <v>124</v>
      </c>
      <c r="AN53" s="1995">
        <v>128</v>
      </c>
      <c r="AO53" s="2039">
        <f>AK53+AL53+AM53+AN53</f>
        <v>514</v>
      </c>
      <c r="AP53" s="1503">
        <v>129</v>
      </c>
      <c r="AQ53" s="1503">
        <v>129</v>
      </c>
      <c r="AR53" s="1503">
        <v>132</v>
      </c>
      <c r="AS53" s="1503">
        <v>135</v>
      </c>
      <c r="AT53" s="2161">
        <f>AP53+AQ53+AR53+AS53</f>
        <v>525</v>
      </c>
      <c r="AU53" s="1503">
        <v>130</v>
      </c>
      <c r="AV53" s="1503">
        <v>131.65</v>
      </c>
      <c r="AW53" s="1503">
        <v>135</v>
      </c>
      <c r="AX53" s="1503">
        <v>134</v>
      </c>
      <c r="AY53" s="2161">
        <f>AU53+AV53+AW53+AX53</f>
        <v>530.65</v>
      </c>
      <c r="AZ53" s="1503">
        <v>132</v>
      </c>
      <c r="BA53" s="1503">
        <v>137</v>
      </c>
      <c r="BB53" s="1503">
        <v>137.58099999999999</v>
      </c>
      <c r="BC53" s="1503">
        <v>137.59100000000001</v>
      </c>
      <c r="BD53" s="2161">
        <f>AZ53+BA53+BB53+BC53</f>
        <v>544.17200000000003</v>
      </c>
      <c r="BE53" s="1503">
        <v>137</v>
      </c>
      <c r="BF53" s="1503">
        <v>134</v>
      </c>
      <c r="BG53" s="1503">
        <v>132.51900000000001</v>
      </c>
      <c r="BH53" s="1503">
        <v>136.09360000000001</v>
      </c>
      <c r="BI53" s="2161">
        <f>BE53+BF53+BG53+BH53</f>
        <v>539.61260000000004</v>
      </c>
      <c r="BJ53" s="1327">
        <f t="shared" si="72"/>
        <v>130.67272740189875</v>
      </c>
      <c r="BK53" s="1327">
        <f t="shared" si="72"/>
        <v>130.25482933544302</v>
      </c>
      <c r="BL53" s="1327">
        <f t="shared" si="72"/>
        <v>131.43671656890189</v>
      </c>
      <c r="BM53" s="1327">
        <f t="shared" si="72"/>
        <v>135.58256213679431</v>
      </c>
      <c r="BN53" s="2161">
        <f>BJ53+BK53+BL53+BM53</f>
        <v>527.94683544303803</v>
      </c>
      <c r="BO53" s="1699"/>
      <c r="BP53" s="1699"/>
      <c r="BQ53" s="2040"/>
      <c r="BR53" s="1293"/>
      <c r="BS53" s="1293"/>
      <c r="BT53" s="1293"/>
      <c r="BU53" s="1293"/>
      <c r="BV53" s="1293"/>
      <c r="BW53" s="1293"/>
      <c r="BX53" s="1293"/>
      <c r="BY53" s="1293"/>
      <c r="BZ53" s="1293"/>
      <c r="CA53" s="1293"/>
      <c r="CB53" s="1293"/>
      <c r="CC53" s="1293"/>
      <c r="CD53" s="1293"/>
      <c r="CE53" s="1293"/>
      <c r="CF53" s="1293"/>
      <c r="CG53" s="1293"/>
      <c r="CH53" s="1293"/>
      <c r="CI53" s="1293"/>
      <c r="CJ53" s="1293"/>
      <c r="CK53" s="1293"/>
      <c r="CL53" s="1293"/>
      <c r="CM53" s="1293"/>
      <c r="CN53" s="1293"/>
      <c r="CO53" s="1293"/>
      <c r="CP53" s="1293"/>
      <c r="CQ53" s="1293"/>
      <c r="CR53" s="1293"/>
      <c r="CS53" s="1293"/>
      <c r="CT53" s="1293"/>
      <c r="CU53" s="1293"/>
      <c r="CV53" s="1293"/>
      <c r="CW53" s="1293"/>
      <c r="CX53" s="1293"/>
      <c r="CY53" s="2041">
        <v>141.0579083773176</v>
      </c>
      <c r="CZ53" s="1699">
        <f>CZ314*1000/CZ262</f>
        <v>140.38028925619835</v>
      </c>
      <c r="DA53" s="2042">
        <v>141.19217748562039</v>
      </c>
      <c r="DB53" s="2041">
        <v>137.88410096058783</v>
      </c>
      <c r="DC53" s="1293"/>
      <c r="DD53" s="1293"/>
      <c r="DE53" s="1293"/>
      <c r="DF53" s="1293"/>
      <c r="DG53" s="1293"/>
      <c r="DH53" s="1293"/>
      <c r="DI53" s="1293"/>
      <c r="DJ53" s="1293"/>
      <c r="DK53" s="1293"/>
      <c r="DL53" s="1293"/>
    </row>
    <row r="54" spans="1:116" ht="15.75" hidden="1">
      <c r="A54" s="1293"/>
      <c r="B54" s="1293" t="s">
        <v>4515</v>
      </c>
      <c r="C54" s="1699">
        <f t="shared" ref="C54:P54" si="73">C55-C51-C52-C53</f>
        <v>0</v>
      </c>
      <c r="D54" s="1699">
        <f t="shared" si="73"/>
        <v>1.2505552149377763E-12</v>
      </c>
      <c r="E54" s="1699">
        <f t="shared" si="73"/>
        <v>-3.836930773104541E-12</v>
      </c>
      <c r="F54" s="1699">
        <f t="shared" si="73"/>
        <v>4.9737991503207013E-12</v>
      </c>
      <c r="G54" s="2039">
        <f t="shared" si="73"/>
        <v>2.2737367544323206E-12</v>
      </c>
      <c r="H54" s="1699">
        <f t="shared" si="73"/>
        <v>-3.297726178944913</v>
      </c>
      <c r="I54" s="1699">
        <f t="shared" si="73"/>
        <v>1.4356645864596373</v>
      </c>
      <c r="J54" s="1699">
        <f t="shared" si="73"/>
        <v>5.9816511569295017E-3</v>
      </c>
      <c r="K54" s="1699">
        <f t="shared" si="73"/>
        <v>-0.55386486942222746</v>
      </c>
      <c r="L54" s="2039">
        <f t="shared" si="73"/>
        <v>-2.4099448107469925</v>
      </c>
      <c r="M54" s="1699">
        <f t="shared" si="73"/>
        <v>-0.34479836170172007</v>
      </c>
      <c r="N54" s="1699">
        <f t="shared" si="73"/>
        <v>-0.10305660959670604</v>
      </c>
      <c r="O54" s="1699">
        <f t="shared" si="73"/>
        <v>-1.9610979506978765E-12</v>
      </c>
      <c r="P54" s="1699">
        <f t="shared" si="73"/>
        <v>0</v>
      </c>
      <c r="Q54" s="2039">
        <f>SUM(M54:P54)</f>
        <v>-0.44785497130038721</v>
      </c>
      <c r="R54" s="1699">
        <f>R55-R51-R52-R53</f>
        <v>-1</v>
      </c>
      <c r="S54" s="1699">
        <v>0</v>
      </c>
      <c r="T54" s="1699">
        <v>0</v>
      </c>
      <c r="U54" s="1699">
        <v>0</v>
      </c>
      <c r="V54" s="2039">
        <f>SUM(R54:U54)</f>
        <v>-1</v>
      </c>
      <c r="W54" s="1699">
        <v>0</v>
      </c>
      <c r="X54" s="1699">
        <v>0</v>
      </c>
      <c r="Y54" s="1699">
        <v>0</v>
      </c>
      <c r="Z54" s="1699">
        <v>0</v>
      </c>
      <c r="AA54" s="2039">
        <f>SUM(W54:Z54)</f>
        <v>0</v>
      </c>
      <c r="AB54" s="1293">
        <f>AC54</f>
        <v>0</v>
      </c>
      <c r="AC54" s="2086">
        <v>0</v>
      </c>
      <c r="AD54" s="1293">
        <f>AE54</f>
        <v>0</v>
      </c>
      <c r="AE54" s="2086">
        <v>0</v>
      </c>
      <c r="AF54" s="1293">
        <f>AG54</f>
        <v>0</v>
      </c>
      <c r="AG54" s="2086">
        <v>0</v>
      </c>
      <c r="AH54" s="1293">
        <v>0</v>
      </c>
      <c r="AI54" s="1293">
        <v>0</v>
      </c>
      <c r="AJ54" s="2039">
        <f>AB54+AD54+AF54+AH54</f>
        <v>0</v>
      </c>
      <c r="AK54" s="1293"/>
      <c r="AL54" s="1293"/>
      <c r="AM54" s="1293"/>
      <c r="AN54" s="1293"/>
      <c r="AO54" s="2039"/>
      <c r="AP54" s="1327"/>
      <c r="AQ54" s="1327"/>
      <c r="AR54" s="1327"/>
      <c r="AS54" s="1327"/>
      <c r="AT54" s="2161"/>
      <c r="AU54" s="1327"/>
      <c r="AV54" s="1327"/>
      <c r="AW54" s="1327"/>
      <c r="AX54" s="1327"/>
      <c r="AY54" s="2161"/>
      <c r="AZ54" s="1327"/>
      <c r="BA54" s="1327"/>
      <c r="BB54" s="1327"/>
      <c r="BC54" s="1327"/>
      <c r="BD54" s="2161"/>
      <c r="BE54" s="1327"/>
      <c r="BF54" s="1327"/>
      <c r="BG54" s="1327"/>
      <c r="BH54" s="1327"/>
      <c r="BI54" s="2161"/>
      <c r="BJ54" s="1327"/>
      <c r="BK54" s="1327"/>
      <c r="BL54" s="1327"/>
      <c r="BM54" s="1327"/>
      <c r="BN54" s="2161"/>
      <c r="BO54" s="1699"/>
      <c r="BP54" s="1699"/>
      <c r="BQ54" s="2040"/>
      <c r="BR54" s="1293"/>
      <c r="BS54" s="1293"/>
      <c r="BT54" s="1293"/>
      <c r="BU54" s="1293"/>
      <c r="BV54" s="1293"/>
      <c r="BW54" s="1293"/>
      <c r="BX54" s="1293"/>
      <c r="BY54" s="1293"/>
      <c r="BZ54" s="1293"/>
      <c r="CA54" s="1293"/>
      <c r="CB54" s="1293"/>
      <c r="CC54" s="1293"/>
      <c r="CD54" s="1293"/>
      <c r="CE54" s="1293"/>
      <c r="CF54" s="1293"/>
      <c r="CG54" s="1293"/>
      <c r="CH54" s="1293"/>
      <c r="CI54" s="1293"/>
      <c r="CJ54" s="1293"/>
      <c r="CK54" s="1293"/>
      <c r="CL54" s="1293"/>
      <c r="CM54" s="1293"/>
      <c r="CN54" s="1293"/>
      <c r="CO54" s="1293"/>
      <c r="CP54" s="1293"/>
      <c r="CQ54" s="1293"/>
      <c r="CR54" s="1293"/>
      <c r="CS54" s="1293"/>
      <c r="CT54" s="1293"/>
      <c r="CU54" s="1293"/>
      <c r="CV54" s="1293"/>
      <c r="CW54" s="1293"/>
      <c r="CX54" s="1293"/>
      <c r="CY54" s="2049"/>
      <c r="CZ54" s="1703"/>
      <c r="DA54" s="2087"/>
      <c r="DB54" s="2088"/>
      <c r="DC54" s="1293"/>
      <c r="DD54" s="1293"/>
      <c r="DE54" s="1293"/>
      <c r="DF54" s="1293"/>
      <c r="DG54" s="1293"/>
      <c r="DH54" s="1293"/>
      <c r="DI54" s="1293"/>
      <c r="DJ54" s="1293"/>
      <c r="DK54" s="1293"/>
      <c r="DL54" s="1293"/>
    </row>
    <row r="55" spans="1:116" ht="15.75">
      <c r="A55" s="1293"/>
      <c r="B55" s="1375" t="s">
        <v>1697</v>
      </c>
      <c r="C55" s="1984">
        <v>520.93696148255401</v>
      </c>
      <c r="D55" s="1984">
        <v>542.94666460584926</v>
      </c>
      <c r="E55" s="1984">
        <v>739.33078988367424</v>
      </c>
      <c r="F55" s="1984">
        <v>851.50205029263304</v>
      </c>
      <c r="G55" s="2052">
        <v>2654.7164662647106</v>
      </c>
      <c r="H55" s="1984">
        <v>750.93819596244407</v>
      </c>
      <c r="I55" s="1984">
        <v>751.70641448549065</v>
      </c>
      <c r="J55" s="1984">
        <v>699.36578477599483</v>
      </c>
      <c r="K55" s="1984">
        <v>692.14328206314678</v>
      </c>
      <c r="L55" s="2052">
        <v>2894.15367728708</v>
      </c>
      <c r="M55" s="1984">
        <v>640.14660013912533</v>
      </c>
      <c r="N55" s="1984">
        <v>676.67092043757634</v>
      </c>
      <c r="O55" s="1984">
        <v>682.75032584798805</v>
      </c>
      <c r="P55" s="1984">
        <v>688</v>
      </c>
      <c r="Q55" s="2052">
        <f>SUM(Q51:Q54)</f>
        <v>2687.5678464246898</v>
      </c>
      <c r="R55" s="1984">
        <v>685</v>
      </c>
      <c r="S55" s="1984">
        <f t="shared" ref="S55:Z55" si="74">SUM(S51:S54)</f>
        <v>680</v>
      </c>
      <c r="T55" s="1984">
        <f t="shared" si="74"/>
        <v>700</v>
      </c>
      <c r="U55" s="1984">
        <f t="shared" si="74"/>
        <v>720</v>
      </c>
      <c r="V55" s="2052">
        <f t="shared" si="74"/>
        <v>2785</v>
      </c>
      <c r="W55" s="1984">
        <f t="shared" si="74"/>
        <v>691</v>
      </c>
      <c r="X55" s="1984">
        <f t="shared" si="74"/>
        <v>713</v>
      </c>
      <c r="Y55" s="1984">
        <f t="shared" si="74"/>
        <v>706</v>
      </c>
      <c r="Z55" s="1984">
        <f t="shared" si="74"/>
        <v>672</v>
      </c>
      <c r="AA55" s="2052">
        <f>SUM(W55:Z55)</f>
        <v>2782</v>
      </c>
      <c r="AB55" s="1984">
        <f>AC55</f>
        <v>668</v>
      </c>
      <c r="AC55" s="1984">
        <f>SUM(AC51:AC54)</f>
        <v>668</v>
      </c>
      <c r="AD55" s="1984">
        <f>AE55</f>
        <v>653</v>
      </c>
      <c r="AE55" s="1984">
        <f>SUM(AE51:AE54)</f>
        <v>653</v>
      </c>
      <c r="AF55" s="1984">
        <f>AG55</f>
        <v>650</v>
      </c>
      <c r="AG55" s="1984">
        <f t="shared" ref="AG55:AU55" si="75">SUM(AG51:AG54)</f>
        <v>650</v>
      </c>
      <c r="AH55" s="1984">
        <f t="shared" si="75"/>
        <v>654</v>
      </c>
      <c r="AI55" s="1984">
        <f t="shared" si="75"/>
        <v>654</v>
      </c>
      <c r="AJ55" s="2052">
        <f t="shared" si="75"/>
        <v>2625</v>
      </c>
      <c r="AK55" s="1984">
        <f t="shared" si="75"/>
        <v>621</v>
      </c>
      <c r="AL55" s="1984">
        <f t="shared" si="75"/>
        <v>547</v>
      </c>
      <c r="AM55" s="1984">
        <f t="shared" si="75"/>
        <v>576</v>
      </c>
      <c r="AN55" s="1984">
        <f t="shared" si="75"/>
        <v>604</v>
      </c>
      <c r="AO55" s="2052">
        <f t="shared" si="75"/>
        <v>2348</v>
      </c>
      <c r="AP55" s="1991">
        <f t="shared" si="75"/>
        <v>617</v>
      </c>
      <c r="AQ55" s="1991">
        <f t="shared" si="75"/>
        <v>607</v>
      </c>
      <c r="AR55" s="1991">
        <f t="shared" si="75"/>
        <v>610</v>
      </c>
      <c r="AS55" s="1991">
        <f t="shared" si="75"/>
        <v>622</v>
      </c>
      <c r="AT55" s="2465">
        <f t="shared" si="75"/>
        <v>2456</v>
      </c>
      <c r="AU55" s="1991">
        <f t="shared" si="75"/>
        <v>614</v>
      </c>
      <c r="AV55" s="1991">
        <f t="shared" ref="AV55:AW55" si="76">SUM(AV51:AV54)</f>
        <v>621.83000000000004</v>
      </c>
      <c r="AW55" s="1991">
        <f t="shared" si="76"/>
        <v>590</v>
      </c>
      <c r="AX55" s="1991">
        <f t="shared" ref="AX55:AY55" si="77">SUM(AX51:AX54)</f>
        <v>566</v>
      </c>
      <c r="AY55" s="2465">
        <f t="shared" si="77"/>
        <v>2391.83</v>
      </c>
      <c r="AZ55" s="1991">
        <f t="shared" ref="AZ55:BB55" si="78">SUM(AZ51:AZ54)</f>
        <v>568</v>
      </c>
      <c r="BA55" s="1991">
        <f t="shared" si="78"/>
        <v>589</v>
      </c>
      <c r="BB55" s="1991">
        <f t="shared" si="78"/>
        <v>621.39499999999998</v>
      </c>
      <c r="BC55" s="1991">
        <f t="shared" ref="BC55:BD55" si="79">SUM(BC51:BC54)</f>
        <v>636.43299999999999</v>
      </c>
      <c r="BD55" s="2465">
        <f t="shared" si="79"/>
        <v>2414.828</v>
      </c>
      <c r="BE55" s="1991">
        <f t="shared" ref="BE55" si="80">SUM(BE51:BE54)</f>
        <v>633</v>
      </c>
      <c r="BF55" s="1991">
        <f>SUM(BF51:BF54)</f>
        <v>631</v>
      </c>
      <c r="BG55" s="1991">
        <f t="shared" ref="BG55" si="81">SUM(BG51:BG54)</f>
        <v>615.78039999999999</v>
      </c>
      <c r="BH55" s="1991">
        <f>SUM(BH51:BH54)</f>
        <v>608.32830000000001</v>
      </c>
      <c r="BI55" s="2465">
        <f t="shared" ref="BI55:BJ55" si="82">SUM(BI51:BI54)</f>
        <v>2488.1087000000002</v>
      </c>
      <c r="BJ55" s="1991">
        <f t="shared" si="82"/>
        <v>521.41557632100375</v>
      </c>
      <c r="BK55" s="1991">
        <f t="shared" ref="BK55:BM55" si="83">SUM(BK51:BK54)</f>
        <v>526.52695324249987</v>
      </c>
      <c r="BL55" s="1991">
        <f t="shared" si="83"/>
        <v>530.89358952300654</v>
      </c>
      <c r="BM55" s="1991">
        <f t="shared" si="83"/>
        <v>540.04474733759503</v>
      </c>
      <c r="BN55" s="2465">
        <f t="shared" ref="BN55" si="84">SUM(BN51:BN54)</f>
        <v>2118.8808664241051</v>
      </c>
      <c r="BO55" s="1699"/>
      <c r="BP55" s="1699"/>
      <c r="BQ55" s="2053"/>
      <c r="BR55" s="1293"/>
      <c r="BS55" s="1293"/>
      <c r="BT55" s="1293"/>
      <c r="BU55" s="1293"/>
      <c r="BV55" s="1293"/>
      <c r="BW55" s="1293"/>
      <c r="BX55" s="1293"/>
      <c r="BY55" s="1293"/>
      <c r="BZ55" s="1293"/>
      <c r="CA55" s="1293"/>
      <c r="CB55" s="1293"/>
      <c r="CC55" s="1293"/>
      <c r="CD55" s="1293"/>
      <c r="CE55" s="1293"/>
      <c r="CF55" s="1293"/>
      <c r="CG55" s="1293"/>
      <c r="CH55" s="1293"/>
      <c r="CI55" s="1293"/>
      <c r="CJ55" s="1293"/>
      <c r="CK55" s="1293"/>
      <c r="CL55" s="1293"/>
      <c r="CM55" s="1293"/>
      <c r="CN55" s="1293"/>
      <c r="CO55" s="1293"/>
      <c r="CP55" s="1293"/>
      <c r="CQ55" s="1293"/>
      <c r="CR55" s="1293"/>
      <c r="CS55" s="1293"/>
      <c r="CT55" s="1293"/>
      <c r="CU55" s="1293"/>
      <c r="CV55" s="1293"/>
      <c r="CW55" s="1293"/>
      <c r="CX55" s="1293"/>
      <c r="CY55" s="2041">
        <v>632.78365245674252</v>
      </c>
      <c r="CZ55" s="1699">
        <f>SUM(CZ51:CZ54)</f>
        <v>626.25106852173553</v>
      </c>
      <c r="DA55" s="2042">
        <v>639.77517166196446</v>
      </c>
      <c r="DB55" s="2041">
        <v>626.38034197806815</v>
      </c>
      <c r="DC55" s="1293"/>
      <c r="DD55" s="1293"/>
      <c r="DE55" s="1293"/>
      <c r="DF55" s="1293"/>
      <c r="DG55" s="1293"/>
      <c r="DH55" s="1293"/>
      <c r="DI55" s="1293"/>
      <c r="DJ55" s="1293"/>
      <c r="DK55" s="1293"/>
      <c r="DL55" s="1293"/>
    </row>
    <row r="56" spans="1:116" s="463" customFormat="1" ht="15.75">
      <c r="A56" s="1293"/>
      <c r="B56" s="1293"/>
      <c r="C56" s="1699"/>
      <c r="D56" s="1699"/>
      <c r="E56" s="1699"/>
      <c r="F56" s="1699"/>
      <c r="G56" s="2039"/>
      <c r="H56" s="1699"/>
      <c r="I56" s="1699"/>
      <c r="J56" s="1699"/>
      <c r="K56" s="1699"/>
      <c r="L56" s="2039"/>
      <c r="M56" s="1699"/>
      <c r="N56" s="1699"/>
      <c r="O56" s="1699"/>
      <c r="P56" s="1699"/>
      <c r="Q56" s="2039"/>
      <c r="R56" s="1699"/>
      <c r="S56" s="1699"/>
      <c r="T56" s="1699"/>
      <c r="U56" s="1699"/>
      <c r="V56" s="2039"/>
      <c r="W56" s="1699"/>
      <c r="X56" s="1699"/>
      <c r="Y56" s="1699"/>
      <c r="Z56" s="1699"/>
      <c r="AA56" s="2039"/>
      <c r="AB56" s="1699"/>
      <c r="AC56" s="1699"/>
      <c r="AD56" s="1699"/>
      <c r="AE56" s="1699"/>
      <c r="AF56" s="1699"/>
      <c r="AG56" s="1699"/>
      <c r="AH56" s="1699"/>
      <c r="AI56" s="1699"/>
      <c r="AJ56" s="2039"/>
      <c r="AK56" s="1699"/>
      <c r="AL56" s="1699"/>
      <c r="AM56" s="1699"/>
      <c r="AN56" s="1699"/>
      <c r="AO56" s="2039"/>
      <c r="AP56" s="1327"/>
      <c r="AQ56" s="1327"/>
      <c r="AR56" s="1327"/>
      <c r="AS56" s="1327"/>
      <c r="AT56" s="2161"/>
      <c r="AU56" s="1327"/>
      <c r="AV56" s="1327"/>
      <c r="AW56" s="1327"/>
      <c r="AX56" s="1327"/>
      <c r="AY56" s="2161"/>
      <c r="AZ56" s="1327"/>
      <c r="BA56" s="1327"/>
      <c r="BB56" s="1327"/>
      <c r="BC56" s="1327"/>
      <c r="BD56" s="2161"/>
      <c r="BE56" s="1327"/>
      <c r="BF56" s="1327"/>
      <c r="BG56" s="1327"/>
      <c r="BH56" s="1327"/>
      <c r="BI56" s="2161"/>
      <c r="BJ56" s="1327"/>
      <c r="BK56" s="1327"/>
      <c r="BL56" s="1327"/>
      <c r="BM56" s="1327"/>
      <c r="BN56" s="2161"/>
      <c r="BO56" s="1699"/>
      <c r="BP56" s="1699"/>
      <c r="BQ56" s="2053"/>
      <c r="BR56" s="1293"/>
      <c r="BS56" s="1293"/>
      <c r="BT56" s="1293"/>
      <c r="BU56" s="1293"/>
      <c r="BV56" s="1293"/>
      <c r="BW56" s="1293"/>
      <c r="BX56" s="1293"/>
      <c r="BY56" s="1293"/>
      <c r="BZ56" s="1293"/>
      <c r="CA56" s="1293"/>
      <c r="CB56" s="1293"/>
      <c r="CC56" s="1293"/>
      <c r="CD56" s="1293"/>
      <c r="CE56" s="1293"/>
      <c r="CF56" s="1293"/>
      <c r="CG56" s="1293"/>
      <c r="CH56" s="1293"/>
      <c r="CI56" s="1293"/>
      <c r="CJ56" s="1293"/>
      <c r="CK56" s="1293"/>
      <c r="CL56" s="1293"/>
      <c r="CM56" s="1293"/>
      <c r="CN56" s="1293"/>
      <c r="CO56" s="1293"/>
      <c r="CP56" s="1293"/>
      <c r="CQ56" s="1293"/>
      <c r="CR56" s="1293"/>
      <c r="CS56" s="1293"/>
      <c r="CT56" s="1293"/>
      <c r="CU56" s="1293"/>
      <c r="CV56" s="1293"/>
      <c r="CW56" s="1293"/>
      <c r="CX56" s="1293"/>
      <c r="CY56" s="2041"/>
      <c r="CZ56" s="1699"/>
      <c r="DA56" s="2042"/>
      <c r="DB56" s="2041"/>
      <c r="DC56" s="1293"/>
      <c r="DD56" s="1293"/>
      <c r="DE56" s="1293"/>
      <c r="DF56" s="1293"/>
      <c r="DG56" s="1293"/>
      <c r="DH56" s="1293"/>
      <c r="DI56" s="1293"/>
      <c r="DJ56" s="1293"/>
      <c r="DK56" s="1293"/>
      <c r="DL56" s="1293"/>
    </row>
    <row r="57" spans="1:116" s="463" customFormat="1" ht="15.75">
      <c r="A57" s="1293"/>
      <c r="B57" s="1293" t="s">
        <v>6330</v>
      </c>
      <c r="C57" s="1699"/>
      <c r="D57" s="1699"/>
      <c r="E57" s="1699"/>
      <c r="F57" s="1699"/>
      <c r="G57" s="2039"/>
      <c r="H57" s="1699"/>
      <c r="I57" s="1699"/>
      <c r="J57" s="1699"/>
      <c r="K57" s="1699"/>
      <c r="L57" s="2039"/>
      <c r="M57" s="1699"/>
      <c r="N57" s="1699"/>
      <c r="O57" s="1699"/>
      <c r="P57" s="1699"/>
      <c r="Q57" s="2039"/>
      <c r="R57" s="1699"/>
      <c r="S57" s="1699"/>
      <c r="T57" s="1699"/>
      <c r="U57" s="1699"/>
      <c r="V57" s="2039"/>
      <c r="W57" s="1699">
        <f>W55+W49</f>
        <v>1259</v>
      </c>
      <c r="X57" s="1699">
        <f>X55+X49</f>
        <v>1280</v>
      </c>
      <c r="Y57" s="1699">
        <f>Y55+Y49</f>
        <v>1268</v>
      </c>
      <c r="Z57" s="1699">
        <f>Z55+Z49</f>
        <v>1263</v>
      </c>
      <c r="AA57" s="2039"/>
      <c r="AB57" s="1699">
        <f>AB55+AB49</f>
        <v>1331</v>
      </c>
      <c r="AC57" s="1699"/>
      <c r="AD57" s="1699">
        <f>AD55+AD49</f>
        <v>1358</v>
      </c>
      <c r="AE57" s="1699"/>
      <c r="AF57" s="1699">
        <f>AF55+AF49</f>
        <v>1378</v>
      </c>
      <c r="AG57" s="1699"/>
      <c r="AH57" s="1699">
        <f>AI57</f>
        <v>1442</v>
      </c>
      <c r="AI57" s="1699">
        <v>1442</v>
      </c>
      <c r="AJ57" s="2039">
        <f>AB57+AD57+AF57+AH57</f>
        <v>5509</v>
      </c>
      <c r="AK57" s="1699">
        <f t="shared" ref="AK57:BJ57" si="85">AK49+AK55</f>
        <v>1401</v>
      </c>
      <c r="AL57" s="1699">
        <f t="shared" si="85"/>
        <v>1276</v>
      </c>
      <c r="AM57" s="1699">
        <f t="shared" si="85"/>
        <v>1324</v>
      </c>
      <c r="AN57" s="1699">
        <f t="shared" si="85"/>
        <v>1397</v>
      </c>
      <c r="AO57" s="2039">
        <f t="shared" si="85"/>
        <v>5394</v>
      </c>
      <c r="AP57" s="1327">
        <f t="shared" si="85"/>
        <v>1417</v>
      </c>
      <c r="AQ57" s="1327">
        <f t="shared" si="85"/>
        <v>1425</v>
      </c>
      <c r="AR57" s="1327">
        <f t="shared" si="85"/>
        <v>1432</v>
      </c>
      <c r="AS57" s="1327">
        <f t="shared" si="85"/>
        <v>1464</v>
      </c>
      <c r="AT57" s="2161">
        <f t="shared" si="85"/>
        <v>5738</v>
      </c>
      <c r="AU57" s="1327">
        <f t="shared" si="85"/>
        <v>1437.7442999999998</v>
      </c>
      <c r="AV57" s="1327">
        <f t="shared" si="85"/>
        <v>1455.4468999999999</v>
      </c>
      <c r="AW57" s="1327">
        <f t="shared" si="85"/>
        <v>1421.8652999999999</v>
      </c>
      <c r="AX57" s="1327">
        <f t="shared" si="85"/>
        <v>1424.2085999999999</v>
      </c>
      <c r="AY57" s="2161">
        <f t="shared" si="85"/>
        <v>5739.2651000000005</v>
      </c>
      <c r="AZ57" s="1327">
        <f t="shared" si="85"/>
        <v>1409.9962</v>
      </c>
      <c r="BA57" s="1327">
        <f t="shared" si="85"/>
        <v>1438.7107000000001</v>
      </c>
      <c r="BB57" s="1327">
        <f t="shared" si="85"/>
        <v>1467.9918</v>
      </c>
      <c r="BC57" s="1327">
        <f t="shared" si="85"/>
        <v>1526.3604</v>
      </c>
      <c r="BD57" s="2161">
        <f t="shared" si="85"/>
        <v>5843.0591000000004</v>
      </c>
      <c r="BE57" s="1327">
        <f t="shared" si="85"/>
        <v>1524.9865</v>
      </c>
      <c r="BF57" s="1327">
        <f t="shared" si="85"/>
        <v>1510.8006999999998</v>
      </c>
      <c r="BG57" s="1327">
        <f t="shared" si="85"/>
        <v>1494.2001</v>
      </c>
      <c r="BH57" s="1327">
        <f t="shared" si="85"/>
        <v>1490.4744999999998</v>
      </c>
      <c r="BI57" s="2161">
        <f t="shared" ref="BI57" si="86">BI49+BI55</f>
        <v>6020.4618000000009</v>
      </c>
      <c r="BJ57" s="1327">
        <f t="shared" si="85"/>
        <v>1408.5000646133558</v>
      </c>
      <c r="BK57" s="1327">
        <f t="shared" ref="BK57:BM57" si="87">BK49+BK55</f>
        <v>1426.0002986635532</v>
      </c>
      <c r="BL57" s="1327">
        <f t="shared" si="87"/>
        <v>1433.3026549621818</v>
      </c>
      <c r="BM57" s="1327">
        <f t="shared" si="87"/>
        <v>1474.1835245913526</v>
      </c>
      <c r="BN57" s="2161">
        <f t="shared" ref="BN57" si="88">BN49+BN55</f>
        <v>5741.9865428304429</v>
      </c>
      <c r="BO57" s="1699"/>
      <c r="BP57" s="1699"/>
      <c r="BQ57" s="2053"/>
      <c r="BR57" s="1293"/>
      <c r="BS57" s="1293"/>
      <c r="BT57" s="1293"/>
      <c r="BU57" s="1293"/>
      <c r="BV57" s="1293"/>
      <c r="BW57" s="1293"/>
      <c r="BX57" s="1293"/>
      <c r="BY57" s="1293"/>
      <c r="BZ57" s="1293"/>
      <c r="CA57" s="1293"/>
      <c r="CB57" s="1293"/>
      <c r="CC57" s="1293"/>
      <c r="CD57" s="1293"/>
      <c r="CE57" s="1293"/>
      <c r="CF57" s="1293"/>
      <c r="CG57" s="1293"/>
      <c r="CH57" s="1293"/>
      <c r="CI57" s="1293"/>
      <c r="CJ57" s="1293"/>
      <c r="CK57" s="1293"/>
      <c r="CL57" s="1293"/>
      <c r="CM57" s="1293"/>
      <c r="CN57" s="1293"/>
      <c r="CO57" s="1293"/>
      <c r="CP57" s="1293"/>
      <c r="CQ57" s="1293"/>
      <c r="CR57" s="1293"/>
      <c r="CS57" s="1293"/>
      <c r="CT57" s="1293"/>
      <c r="CU57" s="1293"/>
      <c r="CV57" s="1293"/>
      <c r="CW57" s="1293"/>
      <c r="CX57" s="1293"/>
      <c r="CY57" s="2041">
        <v>1502.236179298015</v>
      </c>
      <c r="CZ57" s="1699">
        <f>CZ49+CZ55</f>
        <v>1538.6589868815104</v>
      </c>
      <c r="DA57" s="2042">
        <v>1519.6239051186114</v>
      </c>
      <c r="DB57" s="2041">
        <v>1519.303605099512</v>
      </c>
      <c r="DC57" s="1293"/>
      <c r="DD57" s="1293"/>
      <c r="DE57" s="1293"/>
      <c r="DF57" s="1293"/>
      <c r="DG57" s="1293"/>
      <c r="DH57" s="1293"/>
      <c r="DI57" s="1293"/>
      <c r="DJ57" s="1293"/>
      <c r="DK57" s="1293"/>
      <c r="DL57" s="1293"/>
    </row>
    <row r="58" spans="1:116" ht="15.75" hidden="1">
      <c r="A58" s="1293"/>
      <c r="B58" s="1293" t="s">
        <v>3654</v>
      </c>
      <c r="C58" s="1699"/>
      <c r="D58" s="1699"/>
      <c r="E58" s="1699"/>
      <c r="F58" s="1699"/>
      <c r="G58" s="2039"/>
      <c r="H58" s="1699"/>
      <c r="I58" s="1699"/>
      <c r="J58" s="1699"/>
      <c r="K58" s="1699"/>
      <c r="L58" s="2039"/>
      <c r="M58" s="1699"/>
      <c r="N58" s="1699"/>
      <c r="O58" s="1699"/>
      <c r="P58" s="1699"/>
      <c r="Q58" s="2039"/>
      <c r="R58" s="1699"/>
      <c r="S58" s="1699"/>
      <c r="T58" s="1699"/>
      <c r="U58" s="1699"/>
      <c r="V58" s="2039"/>
      <c r="W58" s="1699"/>
      <c r="X58" s="1699"/>
      <c r="Y58" s="1699"/>
      <c r="Z58" s="1699"/>
      <c r="AA58" s="2039"/>
      <c r="AB58" s="1699"/>
      <c r="AC58" s="1699"/>
      <c r="AD58" s="1699"/>
      <c r="AE58" s="1699"/>
      <c r="AF58" s="1699"/>
      <c r="AG58" s="1699"/>
      <c r="AH58" s="1699"/>
      <c r="AI58" s="1699"/>
      <c r="AJ58" s="2039">
        <f>AJ57+(50+50+30)+(50+10)</f>
        <v>5699</v>
      </c>
      <c r="AK58" s="1699"/>
      <c r="AL58" s="1699"/>
      <c r="AM58" s="1328"/>
      <c r="AN58" s="2016"/>
      <c r="AO58" s="2089">
        <f>AO57/AJ58-1</f>
        <v>-5.3518161080891358E-2</v>
      </c>
      <c r="AP58" s="1327"/>
      <c r="AQ58" s="1327"/>
      <c r="AR58" s="1327"/>
      <c r="AS58" s="1327"/>
      <c r="AT58" s="2161">
        <f>AT57/AO57-1</f>
        <v>6.3774564330737915E-2</v>
      </c>
      <c r="AU58" s="1327"/>
      <c r="AV58" s="1327"/>
      <c r="AW58" s="1327"/>
      <c r="AX58" s="1327"/>
      <c r="AY58" s="2161">
        <f>AY57/AT57-1</f>
        <v>2.2047751829923357E-4</v>
      </c>
      <c r="AZ58" s="1327"/>
      <c r="BA58" s="1327"/>
      <c r="BB58" s="1327"/>
      <c r="BC58" s="1327"/>
      <c r="BD58" s="2161">
        <f>BD57/AY57-1</f>
        <v>1.8084893830744964E-2</v>
      </c>
      <c r="BE58" s="1327"/>
      <c r="BF58" s="1327"/>
      <c r="BG58" s="1327"/>
      <c r="BH58" s="1327"/>
      <c r="BI58" s="2161">
        <f>BI57/BD57-1</f>
        <v>3.0361270862381051E-2</v>
      </c>
      <c r="BJ58" s="1327"/>
      <c r="BK58" s="1327"/>
      <c r="BL58" s="1327"/>
      <c r="BM58" s="1327"/>
      <c r="BN58" s="2161">
        <f>BN57/BI57-1</f>
        <v>-4.6254800116754868E-2</v>
      </c>
      <c r="BO58" s="1335"/>
      <c r="BP58" s="1335"/>
      <c r="BQ58" s="2040"/>
      <c r="BR58" s="1293"/>
      <c r="BS58" s="1293"/>
      <c r="BT58" s="1293"/>
      <c r="BU58" s="1293"/>
      <c r="BV58" s="1293"/>
      <c r="BW58" s="1293"/>
      <c r="BX58" s="1293"/>
      <c r="BY58" s="1293"/>
      <c r="BZ58" s="1293"/>
      <c r="CA58" s="1293"/>
      <c r="CB58" s="1293"/>
      <c r="CC58" s="1293"/>
      <c r="CD58" s="1293"/>
      <c r="CE58" s="1293"/>
      <c r="CF58" s="1293"/>
      <c r="CG58" s="1293"/>
      <c r="CH58" s="1293"/>
      <c r="CI58" s="1293"/>
      <c r="CJ58" s="1293"/>
      <c r="CK58" s="1293"/>
      <c r="CL58" s="1293"/>
      <c r="CM58" s="1293"/>
      <c r="CN58" s="1293"/>
      <c r="CO58" s="1293"/>
      <c r="CP58" s="1293"/>
      <c r="CQ58" s="1293"/>
      <c r="CR58" s="1293"/>
      <c r="CS58" s="1293"/>
      <c r="CT58" s="1293"/>
      <c r="CU58" s="1293"/>
      <c r="CV58" s="1293"/>
      <c r="CW58" s="1293"/>
      <c r="CX58" s="1293"/>
      <c r="CY58" s="2090"/>
      <c r="CZ58" s="1335"/>
      <c r="DA58" s="2091"/>
      <c r="DB58" s="2090"/>
      <c r="DC58" s="1293"/>
      <c r="DD58" s="1293"/>
      <c r="DE58" s="1293"/>
      <c r="DF58" s="1293"/>
      <c r="DG58" s="1293"/>
      <c r="DH58" s="1293"/>
      <c r="DI58" s="1293"/>
      <c r="DJ58" s="1293"/>
      <c r="DK58" s="1293"/>
      <c r="DL58" s="1293"/>
    </row>
    <row r="59" spans="1:116" ht="15.75" hidden="1" outlineLevel="1">
      <c r="A59" s="1293"/>
      <c r="B59" s="1293"/>
      <c r="C59" s="1699"/>
      <c r="D59" s="1699"/>
      <c r="E59" s="1699"/>
      <c r="F59" s="1699"/>
      <c r="G59" s="2039"/>
      <c r="H59" s="1699"/>
      <c r="I59" s="1699"/>
      <c r="J59" s="1699"/>
      <c r="K59" s="1699"/>
      <c r="L59" s="2039"/>
      <c r="M59" s="1699"/>
      <c r="N59" s="1699"/>
      <c r="O59" s="1699"/>
      <c r="P59" s="1699"/>
      <c r="Q59" s="2039"/>
      <c r="R59" s="1699"/>
      <c r="S59" s="1699"/>
      <c r="T59" s="1699"/>
      <c r="U59" s="1699"/>
      <c r="V59" s="2039"/>
      <c r="W59" s="1699"/>
      <c r="X59" s="1699"/>
      <c r="Y59" s="1699"/>
      <c r="Z59" s="1699"/>
      <c r="AA59" s="2039"/>
      <c r="AB59" s="1699"/>
      <c r="AC59" s="1699"/>
      <c r="AD59" s="1699"/>
      <c r="AE59" s="1699"/>
      <c r="AF59" s="1699"/>
      <c r="AG59" s="1699"/>
      <c r="AH59" s="1699"/>
      <c r="AI59" s="1699"/>
      <c r="AJ59" s="2039"/>
      <c r="AK59" s="1699"/>
      <c r="AL59" s="1699"/>
      <c r="AM59" s="1699"/>
      <c r="AN59" s="1699"/>
      <c r="AO59" s="2039"/>
      <c r="AP59" s="1327"/>
      <c r="AQ59" s="1327"/>
      <c r="AR59" s="1327"/>
      <c r="AS59" s="1958"/>
      <c r="AT59" s="2161"/>
      <c r="AU59" s="1327"/>
      <c r="AV59" s="1327"/>
      <c r="AW59" s="1327"/>
      <c r="AX59" s="1327"/>
      <c r="AY59" s="2161"/>
      <c r="AZ59" s="1327"/>
      <c r="BA59" s="1327"/>
      <c r="BB59" s="1327"/>
      <c r="BC59" s="1327"/>
      <c r="BD59" s="2161"/>
      <c r="BE59" s="1327"/>
      <c r="BF59" s="1327"/>
      <c r="BG59" s="1327"/>
      <c r="BH59" s="1327"/>
      <c r="BI59" s="2161"/>
      <c r="BJ59" s="1327"/>
      <c r="BK59" s="1327"/>
      <c r="BL59" s="1327"/>
      <c r="BM59" s="1327"/>
      <c r="BN59" s="2161"/>
      <c r="BO59" s="1699"/>
      <c r="BP59" s="1699"/>
      <c r="BQ59" s="2040"/>
      <c r="BR59" s="1293"/>
      <c r="BS59" s="1293"/>
      <c r="BT59" s="1293"/>
      <c r="BU59" s="1293"/>
      <c r="BV59" s="1293"/>
      <c r="BW59" s="1293"/>
      <c r="BX59" s="1293"/>
      <c r="BY59" s="1293"/>
      <c r="BZ59" s="1293"/>
      <c r="CA59" s="1293"/>
      <c r="CB59" s="1293"/>
      <c r="CC59" s="1293"/>
      <c r="CD59" s="1293"/>
      <c r="CE59" s="1293"/>
      <c r="CF59" s="1293"/>
      <c r="CG59" s="1293"/>
      <c r="CH59" s="1293"/>
      <c r="CI59" s="1293"/>
      <c r="CJ59" s="1293"/>
      <c r="CK59" s="1293"/>
      <c r="CL59" s="1293"/>
      <c r="CM59" s="1293"/>
      <c r="CN59" s="1293"/>
      <c r="CO59" s="1293"/>
      <c r="CP59" s="1293"/>
      <c r="CQ59" s="1293"/>
      <c r="CR59" s="1293"/>
      <c r="CS59" s="1293"/>
      <c r="CT59" s="1293"/>
      <c r="CU59" s="1293"/>
      <c r="CV59" s="1293"/>
      <c r="CW59" s="1293"/>
      <c r="CX59" s="1293"/>
      <c r="CY59" s="2041"/>
      <c r="CZ59" s="1699"/>
      <c r="DA59" s="2042"/>
      <c r="DB59" s="2041"/>
      <c r="DC59" s="1293"/>
      <c r="DD59" s="1293"/>
      <c r="DE59" s="1293"/>
      <c r="DF59" s="1293"/>
      <c r="DG59" s="1293"/>
      <c r="DH59" s="1293"/>
      <c r="DI59" s="1293"/>
      <c r="DJ59" s="1293"/>
      <c r="DK59" s="1293"/>
      <c r="DL59" s="1293"/>
    </row>
    <row r="60" spans="1:116" ht="15.75" hidden="1" outlineLevel="1">
      <c r="A60" s="1293"/>
      <c r="B60" s="1293" t="str">
        <f t="shared" ref="B60:B66" si="89">B23</f>
        <v>Chad</v>
      </c>
      <c r="C60" s="1987">
        <f t="shared" ref="C60:O60" ca="1" si="90">C23-C$97*(C23/C$31)</f>
        <v>43.186141548578838</v>
      </c>
      <c r="D60" s="1987">
        <f t="shared" ca="1" si="90"/>
        <v>46.514436560508805</v>
      </c>
      <c r="E60" s="1987">
        <f t="shared" si="90"/>
        <v>46.554610526629432</v>
      </c>
      <c r="F60" s="1987">
        <f t="shared" ca="1" si="90"/>
        <v>41.262636526235625</v>
      </c>
      <c r="G60" s="2061">
        <f t="shared" ca="1" si="90"/>
        <v>177.48930408185262</v>
      </c>
      <c r="H60" s="1987">
        <f t="shared" si="90"/>
        <v>35.416374306114271</v>
      </c>
      <c r="I60" s="1987">
        <f t="shared" si="90"/>
        <v>36.464648486453342</v>
      </c>
      <c r="J60" s="1987">
        <f t="shared" si="90"/>
        <v>38.550943330819862</v>
      </c>
      <c r="K60" s="1987">
        <f t="shared" si="90"/>
        <v>39.398393315699764</v>
      </c>
      <c r="L60" s="2061">
        <f t="shared" si="90"/>
        <v>149.83541241779523</v>
      </c>
      <c r="M60" s="1987">
        <f t="shared" ca="1" si="90"/>
        <v>38.807677419178923</v>
      </c>
      <c r="N60" s="1987">
        <f t="shared" ca="1" si="90"/>
        <v>40.147867056945657</v>
      </c>
      <c r="O60" s="1987">
        <f t="shared" si="90"/>
        <v>39.682114198921475</v>
      </c>
      <c r="P60" s="1987">
        <f>P$68/O$68*O60</f>
        <v>40.61713217835657</v>
      </c>
      <c r="Q60" s="2062">
        <f ca="1">SUM(M60:P60)</f>
        <v>159.25479085340262</v>
      </c>
      <c r="R60" s="1987">
        <f ca="1">R316/R264</f>
        <v>33.883369226703998</v>
      </c>
      <c r="S60" s="1987">
        <f ca="1">S316/S264</f>
        <v>36.133080351251088</v>
      </c>
      <c r="T60" s="1987">
        <f>T316/T264</f>
        <v>38.351324440904577</v>
      </c>
      <c r="U60" s="1987">
        <f>U316/U264</f>
        <v>39.020992498102906</v>
      </c>
      <c r="V60" s="2062">
        <f ca="1">SUM(R60:U60)</f>
        <v>147.38876651696256</v>
      </c>
      <c r="W60" s="1987">
        <f ca="1">W316/W264</f>
        <v>38.713985766422113</v>
      </c>
      <c r="X60" s="1987">
        <f ca="1">X316/X264</f>
        <v>38.877915410854094</v>
      </c>
      <c r="Y60" s="1987">
        <f>Y316/Y264</f>
        <v>38.439212892748316</v>
      </c>
      <c r="Z60" s="1987">
        <f>Z316/Z264</f>
        <v>38.71838071954619</v>
      </c>
      <c r="AA60" s="2039">
        <f ca="1">SUM(W60:Z60)</f>
        <v>154.74949478957072</v>
      </c>
      <c r="AB60" s="1987"/>
      <c r="AC60" s="1293">
        <f>AC68-AC65-AC66</f>
        <v>31</v>
      </c>
      <c r="AD60" s="1987"/>
      <c r="AE60" s="1293"/>
      <c r="AF60" s="1293"/>
      <c r="AG60" s="1293"/>
      <c r="AH60" s="1293"/>
      <c r="AI60" s="1293"/>
      <c r="AJ60" s="2039"/>
      <c r="AK60" s="1293"/>
      <c r="AL60" s="1293"/>
      <c r="AM60" s="1293"/>
      <c r="AN60" s="1293"/>
      <c r="AO60" s="2039"/>
      <c r="AP60" s="1327"/>
      <c r="AQ60" s="1327"/>
      <c r="AR60" s="1327"/>
      <c r="AS60" s="1327"/>
      <c r="AT60" s="2161"/>
      <c r="AU60" s="1327"/>
      <c r="AV60" s="1327"/>
      <c r="AW60" s="1327"/>
      <c r="AX60" s="1327"/>
      <c r="AY60" s="2161"/>
      <c r="AZ60" s="1327"/>
      <c r="BA60" s="1327"/>
      <c r="BB60" s="1327"/>
      <c r="BC60" s="1327"/>
      <c r="BD60" s="2161"/>
      <c r="BE60" s="1327"/>
      <c r="BF60" s="1327"/>
      <c r="BG60" s="1327"/>
      <c r="BH60" s="1327"/>
      <c r="BI60" s="2161"/>
      <c r="BJ60" s="1327"/>
      <c r="BK60" s="1327"/>
      <c r="BL60" s="1327"/>
      <c r="BM60" s="1327"/>
      <c r="BN60" s="2161"/>
      <c r="BO60" s="1699"/>
      <c r="BP60" s="1699"/>
      <c r="BQ60" s="2040"/>
      <c r="BR60" s="1293"/>
      <c r="BS60" s="1293"/>
      <c r="BT60" s="1293"/>
      <c r="BU60" s="1293"/>
      <c r="BV60" s="1293"/>
      <c r="BW60" s="1293"/>
      <c r="BX60" s="1293"/>
      <c r="BY60" s="1293"/>
      <c r="BZ60" s="1293"/>
      <c r="CA60" s="1293"/>
      <c r="CB60" s="1293"/>
      <c r="CC60" s="1293"/>
      <c r="CD60" s="1293"/>
      <c r="CE60" s="1293"/>
      <c r="CF60" s="1293"/>
      <c r="CG60" s="1293"/>
      <c r="CH60" s="1293"/>
      <c r="CI60" s="1293"/>
      <c r="CJ60" s="1293"/>
      <c r="CK60" s="1293"/>
      <c r="CL60" s="1293"/>
      <c r="CM60" s="1293"/>
      <c r="CN60" s="1293"/>
      <c r="CO60" s="1293"/>
      <c r="CP60" s="1293"/>
      <c r="CQ60" s="1293"/>
      <c r="CR60" s="1293"/>
      <c r="CS60" s="1293"/>
      <c r="CT60" s="1293"/>
      <c r="CU60" s="1293"/>
      <c r="CV60" s="1293"/>
      <c r="CW60" s="1293"/>
      <c r="CX60" s="1293"/>
      <c r="CY60" s="2041"/>
      <c r="CZ60" s="1699"/>
      <c r="DA60" s="2031"/>
      <c r="DB60" s="2032"/>
      <c r="DC60" s="1293"/>
      <c r="DD60" s="1293"/>
      <c r="DE60" s="1293"/>
      <c r="DF60" s="1293"/>
      <c r="DG60" s="1293"/>
      <c r="DH60" s="1293"/>
      <c r="DI60" s="1293"/>
      <c r="DJ60" s="1293"/>
      <c r="DK60" s="1293"/>
      <c r="DL60" s="1293"/>
    </row>
    <row r="61" spans="1:116" ht="15.75" hidden="1" outlineLevel="1">
      <c r="A61" s="1293"/>
      <c r="B61" s="1293" t="str">
        <f t="shared" si="89"/>
        <v>DRC</v>
      </c>
      <c r="C61" s="1987">
        <f t="shared" ref="C61:L61" si="91">C24-C$97*(C24/C$31)</f>
        <v>30.378240170175097</v>
      </c>
      <c r="D61" s="1987">
        <f t="shared" si="91"/>
        <v>29.856513271424337</v>
      </c>
      <c r="E61" s="1987">
        <f t="shared" si="91"/>
        <v>31.383339990036596</v>
      </c>
      <c r="F61" s="1987">
        <f t="shared" si="91"/>
        <v>34.172155410903741</v>
      </c>
      <c r="G61" s="2061">
        <f t="shared" si="91"/>
        <v>125.78015476445313</v>
      </c>
      <c r="H61" s="1987">
        <f t="shared" si="91"/>
        <v>36.400162481284113</v>
      </c>
      <c r="I61" s="1987">
        <f t="shared" si="91"/>
        <v>36.464648486453342</v>
      </c>
      <c r="J61" s="1987">
        <f t="shared" si="91"/>
        <v>36.307979355208516</v>
      </c>
      <c r="K61" s="1987">
        <f t="shared" si="91"/>
        <v>39.572550640345078</v>
      </c>
      <c r="L61" s="2061">
        <f t="shared" si="91"/>
        <v>148.74435715166021</v>
      </c>
      <c r="M61" s="1987"/>
      <c r="N61" s="1987"/>
      <c r="O61" s="1987"/>
      <c r="P61" s="1987"/>
      <c r="Q61" s="2061"/>
      <c r="R61" s="1987"/>
      <c r="S61" s="1987"/>
      <c r="T61" s="1987"/>
      <c r="U61" s="1987"/>
      <c r="V61" s="2061"/>
      <c r="W61" s="1987"/>
      <c r="X61" s="1987"/>
      <c r="Y61" s="1987"/>
      <c r="Z61" s="1987"/>
      <c r="AA61" s="2039"/>
      <c r="AB61" s="1987"/>
      <c r="AC61" s="1987"/>
      <c r="AD61" s="1987"/>
      <c r="AE61" s="1987"/>
      <c r="AF61" s="1987"/>
      <c r="AG61" s="1987"/>
      <c r="AH61" s="1987"/>
      <c r="AI61" s="1987"/>
      <c r="AJ61" s="2039"/>
      <c r="AK61" s="1987"/>
      <c r="AL61" s="1987"/>
      <c r="AM61" s="1987"/>
      <c r="AN61" s="1987"/>
      <c r="AO61" s="2039"/>
      <c r="AP61" s="2468"/>
      <c r="AQ61" s="2468"/>
      <c r="AR61" s="2468"/>
      <c r="AS61" s="2468"/>
      <c r="AT61" s="2161"/>
      <c r="AU61" s="2468"/>
      <c r="AV61" s="2468"/>
      <c r="AW61" s="2468"/>
      <c r="AX61" s="2468"/>
      <c r="AY61" s="2161"/>
      <c r="AZ61" s="2468"/>
      <c r="BA61" s="2468"/>
      <c r="BB61" s="2468"/>
      <c r="BC61" s="1327"/>
      <c r="BD61" s="2161"/>
      <c r="BE61" s="2468"/>
      <c r="BF61" s="2468"/>
      <c r="BG61" s="2468"/>
      <c r="BH61" s="1327"/>
      <c r="BI61" s="2161"/>
      <c r="BJ61" s="2468"/>
      <c r="BK61" s="2468"/>
      <c r="BL61" s="2468"/>
      <c r="BM61" s="2468"/>
      <c r="BN61" s="2161"/>
      <c r="BO61" s="1699"/>
      <c r="BP61" s="1699"/>
      <c r="BQ61" s="2040"/>
      <c r="BR61" s="1293"/>
      <c r="BS61" s="1293"/>
      <c r="BT61" s="1293"/>
      <c r="BU61" s="1293"/>
      <c r="BV61" s="1293"/>
      <c r="BW61" s="1293"/>
      <c r="BX61" s="1293"/>
      <c r="BY61" s="1293"/>
      <c r="BZ61" s="1293"/>
      <c r="CA61" s="1293"/>
      <c r="CB61" s="1293"/>
      <c r="CC61" s="1293"/>
      <c r="CD61" s="1293"/>
      <c r="CE61" s="1293"/>
      <c r="CF61" s="1293"/>
      <c r="CG61" s="1293"/>
      <c r="CH61" s="1293"/>
      <c r="CI61" s="1293"/>
      <c r="CJ61" s="1293"/>
      <c r="CK61" s="1293"/>
      <c r="CL61" s="1293"/>
      <c r="CM61" s="1293"/>
      <c r="CN61" s="1293"/>
      <c r="CO61" s="1293"/>
      <c r="CP61" s="1293"/>
      <c r="CQ61" s="1293"/>
      <c r="CR61" s="1293"/>
      <c r="CS61" s="1293"/>
      <c r="CT61" s="1293"/>
      <c r="CU61" s="1293"/>
      <c r="CV61" s="1293"/>
      <c r="CW61" s="1293"/>
      <c r="CX61" s="1293"/>
      <c r="CY61" s="2041"/>
      <c r="CZ61" s="1699"/>
      <c r="DA61" s="2065"/>
      <c r="DB61" s="2064"/>
      <c r="DC61" s="1293"/>
      <c r="DD61" s="1293"/>
      <c r="DE61" s="1293"/>
      <c r="DF61" s="1293"/>
      <c r="DG61" s="1293"/>
      <c r="DH61" s="1293"/>
      <c r="DI61" s="1293"/>
      <c r="DJ61" s="1293"/>
      <c r="DK61" s="1293"/>
      <c r="DL61" s="1293"/>
    </row>
    <row r="62" spans="1:116" ht="15.75" hidden="1" outlineLevel="1">
      <c r="A62" s="1293"/>
      <c r="B62" s="1293" t="str">
        <f t="shared" si="89"/>
        <v>Ghana</v>
      </c>
      <c r="C62" s="1987">
        <f t="shared" ref="C62:L62" si="92">C25-C$97*(C25/C$31)</f>
        <v>39.154055959183999</v>
      </c>
      <c r="D62" s="1987">
        <f t="shared" si="92"/>
        <v>38.205765482983168</v>
      </c>
      <c r="E62" s="1987">
        <f t="shared" si="92"/>
        <v>30.877886121766839</v>
      </c>
      <c r="F62" s="1987">
        <f t="shared" si="92"/>
        <v>35.746591884180035</v>
      </c>
      <c r="G62" s="2061">
        <f t="shared" si="92"/>
        <v>143.96354664416936</v>
      </c>
      <c r="H62" s="1987">
        <f t="shared" si="92"/>
        <v>34.432586130944429</v>
      </c>
      <c r="I62" s="1987">
        <f t="shared" si="92"/>
        <v>33.508055365930097</v>
      </c>
      <c r="J62" s="1987">
        <f t="shared" si="92"/>
        <v>34.345385876548598</v>
      </c>
      <c r="K62" s="1987">
        <f t="shared" si="92"/>
        <v>34.698404188110885</v>
      </c>
      <c r="L62" s="2061">
        <f t="shared" si="92"/>
        <v>136.98803781497003</v>
      </c>
      <c r="M62" s="1987">
        <f t="shared" ref="M62:O66" si="93">M25-M$97*(M25/M$31)</f>
        <v>35.968096902041573</v>
      </c>
      <c r="N62" s="1987">
        <f t="shared" si="93"/>
        <v>40.506268950222839</v>
      </c>
      <c r="O62" s="1987">
        <f t="shared" si="93"/>
        <v>39.682114198921475</v>
      </c>
      <c r="P62" s="1987">
        <f t="shared" ref="P62:P67" si="94">P$68/O$68*O62</f>
        <v>40.61713217835657</v>
      </c>
      <c r="Q62" s="2062">
        <f t="shared" ref="Q62:Q67" si="95">SUM(M62:P62)</f>
        <v>156.77361222954247</v>
      </c>
      <c r="R62" s="1987">
        <f>R318/R266</f>
        <v>32.896488034194086</v>
      </c>
      <c r="S62" s="1987">
        <f>S318/S266</f>
        <v>37.734091662627165</v>
      </c>
      <c r="T62" s="1987"/>
      <c r="U62" s="1987"/>
      <c r="V62" s="2062">
        <f t="shared" ref="V62:V67" si="96">SUM(R62:U62)</f>
        <v>70.630579696821258</v>
      </c>
      <c r="W62" s="1987"/>
      <c r="X62" s="1987"/>
      <c r="Y62" s="1987"/>
      <c r="Z62" s="1987"/>
      <c r="AA62" s="2039"/>
      <c r="AB62" s="1987"/>
      <c r="AC62" s="1987"/>
      <c r="AD62" s="1987"/>
      <c r="AE62" s="1987"/>
      <c r="AF62" s="1987"/>
      <c r="AG62" s="1987"/>
      <c r="AH62" s="1987"/>
      <c r="AI62" s="1987"/>
      <c r="AJ62" s="2039"/>
      <c r="AK62" s="1987"/>
      <c r="AL62" s="1987"/>
      <c r="AM62" s="1987"/>
      <c r="AN62" s="1987"/>
      <c r="AO62" s="2039"/>
      <c r="AP62" s="2468"/>
      <c r="AQ62" s="2468"/>
      <c r="AR62" s="2468"/>
      <c r="AS62" s="2468"/>
      <c r="AT62" s="2161"/>
      <c r="AU62" s="2468"/>
      <c r="AV62" s="2468"/>
      <c r="AW62" s="2468"/>
      <c r="AX62" s="2468"/>
      <c r="AY62" s="2161"/>
      <c r="AZ62" s="2468"/>
      <c r="BA62" s="2468"/>
      <c r="BB62" s="2468"/>
      <c r="BC62" s="1327"/>
      <c r="BD62" s="2161"/>
      <c r="BE62" s="2468"/>
      <c r="BF62" s="2468"/>
      <c r="BG62" s="2468"/>
      <c r="BH62" s="1327"/>
      <c r="BI62" s="2161"/>
      <c r="BJ62" s="2468"/>
      <c r="BK62" s="2468"/>
      <c r="BL62" s="2468"/>
      <c r="BM62" s="2468"/>
      <c r="BN62" s="2161"/>
      <c r="BO62" s="1699"/>
      <c r="BP62" s="1699"/>
      <c r="BQ62" s="2040"/>
      <c r="BR62" s="1293"/>
      <c r="BS62" s="1293"/>
      <c r="BT62" s="1293"/>
      <c r="BU62" s="1293"/>
      <c r="BV62" s="1293"/>
      <c r="BW62" s="1293"/>
      <c r="BX62" s="1293"/>
      <c r="BY62" s="1293"/>
      <c r="BZ62" s="1293"/>
      <c r="CA62" s="1293"/>
      <c r="CB62" s="1293"/>
      <c r="CC62" s="1293"/>
      <c r="CD62" s="1293"/>
      <c r="CE62" s="1293"/>
      <c r="CF62" s="1293"/>
      <c r="CG62" s="1293"/>
      <c r="CH62" s="1293"/>
      <c r="CI62" s="1293"/>
      <c r="CJ62" s="1293"/>
      <c r="CK62" s="1293"/>
      <c r="CL62" s="1293"/>
      <c r="CM62" s="1293"/>
      <c r="CN62" s="1293"/>
      <c r="CO62" s="1293"/>
      <c r="CP62" s="1293"/>
      <c r="CQ62" s="1293"/>
      <c r="CR62" s="1293"/>
      <c r="CS62" s="1293"/>
      <c r="CT62" s="1293"/>
      <c r="CU62" s="1293"/>
      <c r="CV62" s="1293"/>
      <c r="CW62" s="1293"/>
      <c r="CX62" s="1293"/>
      <c r="CY62" s="2041"/>
      <c r="CZ62" s="1699"/>
      <c r="DA62" s="2065"/>
      <c r="DB62" s="2064"/>
      <c r="DC62" s="1293"/>
      <c r="DD62" s="1293"/>
      <c r="DE62" s="1293"/>
      <c r="DF62" s="1293"/>
      <c r="DG62" s="1293"/>
      <c r="DH62" s="1293"/>
      <c r="DI62" s="1293"/>
      <c r="DJ62" s="1293"/>
      <c r="DK62" s="1293"/>
      <c r="DL62" s="1293"/>
    </row>
    <row r="63" spans="1:116" ht="15.75" hidden="1" outlineLevel="1">
      <c r="A63" s="1293"/>
      <c r="B63" s="1293" t="str">
        <f t="shared" si="89"/>
        <v>Rwanda</v>
      </c>
      <c r="C63" s="1987">
        <f t="shared" ref="C63:L63" si="97">C26-C$97*(C26/C$31)</f>
        <v>20.218697646217919</v>
      </c>
      <c r="D63" s="1987">
        <f t="shared" si="97"/>
        <v>12.058483773933196</v>
      </c>
      <c r="E63" s="1987">
        <f t="shared" si="97"/>
        <v>13.365590989190329</v>
      </c>
      <c r="F63" s="1987">
        <f t="shared" si="97"/>
        <v>16.804056948780424</v>
      </c>
      <c r="G63" s="2061">
        <f t="shared" si="97"/>
        <v>62.435393125424689</v>
      </c>
      <c r="H63" s="1987">
        <f t="shared" si="97"/>
        <v>19.675763503396816</v>
      </c>
      <c r="I63" s="1987">
        <f t="shared" si="97"/>
        <v>12.811903522267389</v>
      </c>
      <c r="J63" s="1987">
        <f t="shared" si="97"/>
        <v>13.45778385366803</v>
      </c>
      <c r="K63" s="1987">
        <f t="shared" si="97"/>
        <v>16.725189022691691</v>
      </c>
      <c r="L63" s="2061">
        <f t="shared" si="97"/>
        <v>62.670004767168869</v>
      </c>
      <c r="M63" s="1987">
        <f t="shared" si="93"/>
        <v>19.57715550369727</v>
      </c>
      <c r="N63" s="1987">
        <f t="shared" si="93"/>
        <v>12.560192068752606</v>
      </c>
      <c r="O63" s="1987">
        <f t="shared" si="93"/>
        <v>14.880792824595554</v>
      </c>
      <c r="P63" s="1987">
        <f t="shared" si="94"/>
        <v>15.231424566883716</v>
      </c>
      <c r="Q63" s="2062">
        <f t="shared" si="95"/>
        <v>62.249564963929146</v>
      </c>
      <c r="R63" s="1987">
        <f>R319/R267</f>
        <v>18.036628823066035</v>
      </c>
      <c r="S63" s="1987">
        <f>S319/S267</f>
        <v>11.61028962026796</v>
      </c>
      <c r="T63" s="1987">
        <f>T319/T267</f>
        <v>13.96220782446391</v>
      </c>
      <c r="U63" s="1987">
        <f>U319/U267</f>
        <v>13.844524700129874</v>
      </c>
      <c r="V63" s="2062">
        <f t="shared" si="96"/>
        <v>57.453650967927778</v>
      </c>
      <c r="W63" s="1987"/>
      <c r="X63" s="1987"/>
      <c r="Y63" s="1987"/>
      <c r="Z63" s="1987"/>
      <c r="AA63" s="2039"/>
      <c r="AB63" s="1987"/>
      <c r="AC63" s="1987"/>
      <c r="AD63" s="1987"/>
      <c r="AE63" s="1987"/>
      <c r="AF63" s="1987"/>
      <c r="AG63" s="1987"/>
      <c r="AH63" s="1987"/>
      <c r="AI63" s="1987"/>
      <c r="AJ63" s="2039"/>
      <c r="AK63" s="1987"/>
      <c r="AL63" s="1987"/>
      <c r="AM63" s="1987"/>
      <c r="AN63" s="1987"/>
      <c r="AO63" s="2039"/>
      <c r="AP63" s="2468"/>
      <c r="AQ63" s="2468"/>
      <c r="AR63" s="2468"/>
      <c r="AS63" s="2468"/>
      <c r="AT63" s="2161"/>
      <c r="AU63" s="2468"/>
      <c r="AV63" s="2468"/>
      <c r="AW63" s="2468"/>
      <c r="AX63" s="2468"/>
      <c r="AY63" s="2161"/>
      <c r="AZ63" s="2468"/>
      <c r="BA63" s="2468"/>
      <c r="BB63" s="2468"/>
      <c r="BC63" s="1327"/>
      <c r="BD63" s="2161"/>
      <c r="BE63" s="2468"/>
      <c r="BF63" s="2468"/>
      <c r="BG63" s="2468"/>
      <c r="BH63" s="1327"/>
      <c r="BI63" s="2161"/>
      <c r="BJ63" s="2468"/>
      <c r="BK63" s="2468"/>
      <c r="BL63" s="2468"/>
      <c r="BM63" s="2468"/>
      <c r="BN63" s="2161"/>
      <c r="BO63" s="1699"/>
      <c r="BP63" s="1699"/>
      <c r="BQ63" s="2040"/>
      <c r="BR63" s="1293"/>
      <c r="BS63" s="1293"/>
      <c r="BT63" s="1293"/>
      <c r="BU63" s="1293"/>
      <c r="BV63" s="1293"/>
      <c r="BW63" s="1293"/>
      <c r="BX63" s="1293"/>
      <c r="BY63" s="1293"/>
      <c r="BZ63" s="1293"/>
      <c r="CA63" s="1293"/>
      <c r="CB63" s="1293"/>
      <c r="CC63" s="1293"/>
      <c r="CD63" s="1293"/>
      <c r="CE63" s="1293"/>
      <c r="CF63" s="1293"/>
      <c r="CG63" s="1293"/>
      <c r="CH63" s="1293"/>
      <c r="CI63" s="1293"/>
      <c r="CJ63" s="1293"/>
      <c r="CK63" s="1293"/>
      <c r="CL63" s="1293"/>
      <c r="CM63" s="1293"/>
      <c r="CN63" s="1293"/>
      <c r="CO63" s="1293"/>
      <c r="CP63" s="1293"/>
      <c r="CQ63" s="1293"/>
      <c r="CR63" s="1293"/>
      <c r="CS63" s="1293"/>
      <c r="CT63" s="1293"/>
      <c r="CU63" s="1293"/>
      <c r="CV63" s="1293"/>
      <c r="CW63" s="1293"/>
      <c r="CX63" s="1293"/>
      <c r="CY63" s="2041"/>
      <c r="CZ63" s="1699"/>
      <c r="DA63" s="2065"/>
      <c r="DB63" s="2064"/>
      <c r="DC63" s="1293"/>
      <c r="DD63" s="1293"/>
      <c r="DE63" s="1293"/>
      <c r="DF63" s="1293"/>
      <c r="DG63" s="1293"/>
      <c r="DH63" s="1293"/>
      <c r="DI63" s="1293"/>
      <c r="DJ63" s="1293"/>
      <c r="DK63" s="1293"/>
      <c r="DL63" s="1293"/>
    </row>
    <row r="64" spans="1:116" ht="15.75" hidden="1" outlineLevel="1">
      <c r="A64" s="1293"/>
      <c r="B64" s="1293" t="str">
        <f t="shared" si="89"/>
        <v>Senegal</v>
      </c>
      <c r="C64" s="1987">
        <f t="shared" ref="C64:L64" ca="1" si="98">C27-C$97*(C27/C$31)</f>
        <v>28.708736072179661</v>
      </c>
      <c r="D64" s="1987">
        <f t="shared" ca="1" si="98"/>
        <v>27.986976007607876</v>
      </c>
      <c r="E64" s="1987">
        <f t="shared" si="98"/>
        <v>28.076011271444209</v>
      </c>
      <c r="F64" s="1987">
        <f t="shared" ca="1" si="98"/>
        <v>28.580834146028799</v>
      </c>
      <c r="G64" s="2061">
        <f t="shared" ca="1" si="98"/>
        <v>113.33770097917956</v>
      </c>
      <c r="H64" s="1987">
        <f t="shared" si="98"/>
        <v>27.546068904755543</v>
      </c>
      <c r="I64" s="1987">
        <f t="shared" si="98"/>
        <v>27.594869124883608</v>
      </c>
      <c r="J64" s="1987">
        <f t="shared" si="98"/>
        <v>27.476308701238878</v>
      </c>
      <c r="K64" s="1987">
        <f t="shared" ca="1" si="98"/>
        <v>28.82626809277123</v>
      </c>
      <c r="L64" s="2061">
        <f t="shared" ca="1" si="98"/>
        <v>111.44396483125162</v>
      </c>
      <c r="M64" s="1987">
        <f t="shared" ca="1" si="93"/>
        <v>30.586199091856564</v>
      </c>
      <c r="N64" s="1987">
        <f t="shared" ca="1" si="93"/>
        <v>32.351384365206464</v>
      </c>
      <c r="O64" s="1987">
        <f t="shared" si="93"/>
        <v>33.729797069083254</v>
      </c>
      <c r="P64" s="1987">
        <f t="shared" si="94"/>
        <v>34.524562351603088</v>
      </c>
      <c r="Q64" s="2062">
        <f t="shared" ca="1" si="95"/>
        <v>131.19194287774937</v>
      </c>
      <c r="R64" s="1987"/>
      <c r="S64" s="1987"/>
      <c r="T64" s="1987"/>
      <c r="U64" s="1987"/>
      <c r="V64" s="2062">
        <f t="shared" si="96"/>
        <v>0</v>
      </c>
      <c r="W64" s="1987"/>
      <c r="X64" s="1987"/>
      <c r="Y64" s="1987"/>
      <c r="Z64" s="1987"/>
      <c r="AA64" s="2039"/>
      <c r="AB64" s="1987"/>
      <c r="AC64" s="1987"/>
      <c r="AD64" s="1987"/>
      <c r="AE64" s="1987"/>
      <c r="AF64" s="1987"/>
      <c r="AG64" s="1987"/>
      <c r="AH64" s="1987"/>
      <c r="AI64" s="1987"/>
      <c r="AJ64" s="2039"/>
      <c r="AK64" s="1987"/>
      <c r="AL64" s="1987"/>
      <c r="AM64" s="1987"/>
      <c r="AN64" s="1987"/>
      <c r="AO64" s="2039"/>
      <c r="AP64" s="2468"/>
      <c r="AQ64" s="2468"/>
      <c r="AR64" s="2468"/>
      <c r="AS64" s="2468"/>
      <c r="AT64" s="2161"/>
      <c r="AU64" s="2468"/>
      <c r="AV64" s="2468"/>
      <c r="AW64" s="2468"/>
      <c r="AX64" s="2468"/>
      <c r="AY64" s="2161"/>
      <c r="AZ64" s="2468"/>
      <c r="BA64" s="2468"/>
      <c r="BB64" s="2468"/>
      <c r="BC64" s="1327"/>
      <c r="BD64" s="2161"/>
      <c r="BE64" s="2468"/>
      <c r="BF64" s="2468"/>
      <c r="BG64" s="2468"/>
      <c r="BH64" s="1327"/>
      <c r="BI64" s="2161"/>
      <c r="BJ64" s="2468"/>
      <c r="BK64" s="2468"/>
      <c r="BL64" s="2468"/>
      <c r="BM64" s="2468"/>
      <c r="BN64" s="2161"/>
      <c r="BO64" s="1699"/>
      <c r="BP64" s="1699"/>
      <c r="BQ64" s="2040"/>
      <c r="BR64" s="1293"/>
      <c r="BS64" s="1293"/>
      <c r="BT64" s="1293"/>
      <c r="BU64" s="1293"/>
      <c r="BV64" s="1293"/>
      <c r="BW64" s="1293"/>
      <c r="BX64" s="1293"/>
      <c r="BY64" s="1293"/>
      <c r="BZ64" s="1293"/>
      <c r="CA64" s="1293"/>
      <c r="CB64" s="1293"/>
      <c r="CC64" s="1293"/>
      <c r="CD64" s="1293"/>
      <c r="CE64" s="1293"/>
      <c r="CF64" s="1293"/>
      <c r="CG64" s="1293"/>
      <c r="CH64" s="1293"/>
      <c r="CI64" s="1293"/>
      <c r="CJ64" s="1293"/>
      <c r="CK64" s="1293"/>
      <c r="CL64" s="1293"/>
      <c r="CM64" s="1293"/>
      <c r="CN64" s="1293"/>
      <c r="CO64" s="1293"/>
      <c r="CP64" s="1293"/>
      <c r="CQ64" s="1293"/>
      <c r="CR64" s="1293"/>
      <c r="CS64" s="1293"/>
      <c r="CT64" s="1293"/>
      <c r="CU64" s="1293"/>
      <c r="CV64" s="1293"/>
      <c r="CW64" s="1293"/>
      <c r="CX64" s="1293"/>
      <c r="CY64" s="2041"/>
      <c r="CZ64" s="1699"/>
      <c r="DA64" s="2065"/>
      <c r="DB64" s="2064"/>
      <c r="DC64" s="1293"/>
      <c r="DD64" s="1293"/>
      <c r="DE64" s="1293"/>
      <c r="DF64" s="1293"/>
      <c r="DG64" s="1293"/>
      <c r="DH64" s="1293"/>
      <c r="DI64" s="1293"/>
      <c r="DJ64" s="1293"/>
      <c r="DK64" s="1293"/>
      <c r="DL64" s="1293"/>
    </row>
    <row r="65" spans="1:116" ht="15.75" hidden="1" outlineLevel="1">
      <c r="A65" s="1293"/>
      <c r="B65" s="1293" t="str">
        <f t="shared" si="89"/>
        <v>Tanzania</v>
      </c>
      <c r="C65" s="1987">
        <f t="shared" ref="C65:L65" si="99">C28-C$97*(C28/C$31)</f>
        <v>84.124755388079748</v>
      </c>
      <c r="D65" s="1987">
        <f t="shared" si="99"/>
        <v>86.28364598587028</v>
      </c>
      <c r="E65" s="1987">
        <f t="shared" si="99"/>
        <v>96.480280554515446</v>
      </c>
      <c r="F65" s="1987">
        <f t="shared" si="99"/>
        <v>96.247635986128472</v>
      </c>
      <c r="G65" s="2061">
        <f t="shared" si="99"/>
        <v>362.86702167845425</v>
      </c>
      <c r="H65" s="1987">
        <f t="shared" si="99"/>
        <v>90.508512115625351</v>
      </c>
      <c r="I65" s="1987">
        <f t="shared" si="99"/>
        <v>89.683324655871729</v>
      </c>
      <c r="J65" s="1987">
        <f t="shared" si="99"/>
        <v>86.354113061036472</v>
      </c>
      <c r="K65" s="1987">
        <f t="shared" si="99"/>
        <v>86.676465294539483</v>
      </c>
      <c r="L65" s="2061">
        <f t="shared" si="99"/>
        <v>353.22363171287003</v>
      </c>
      <c r="M65" s="1987">
        <f t="shared" si="93"/>
        <v>83.095878663333622</v>
      </c>
      <c r="N65" s="1987">
        <f t="shared" si="93"/>
        <v>85.341397785970727</v>
      </c>
      <c r="O65" s="1987">
        <f t="shared" si="93"/>
        <v>87.30065123762725</v>
      </c>
      <c r="P65" s="1987">
        <f t="shared" si="94"/>
        <v>89.35769079238446</v>
      </c>
      <c r="Q65" s="2062">
        <f t="shared" si="95"/>
        <v>345.09561847931604</v>
      </c>
      <c r="R65" s="1987">
        <f>R321/R269</f>
        <v>82.320215959136178</v>
      </c>
      <c r="S65" s="1987">
        <f>S321/S269</f>
        <v>85.334524653263145</v>
      </c>
      <c r="T65" s="1987">
        <f>T321/T269</f>
        <v>87.036446763385527</v>
      </c>
      <c r="U65" s="1987">
        <f>U321/U269</f>
        <v>82.682292317844002</v>
      </c>
      <c r="V65" s="2062">
        <f t="shared" si="96"/>
        <v>337.37347969362884</v>
      </c>
      <c r="W65" s="1987">
        <f>W321/W269</f>
        <v>87.857524750575053</v>
      </c>
      <c r="X65" s="1987">
        <f>X321/X269</f>
        <v>89.052143376893639</v>
      </c>
      <c r="Y65" s="1987">
        <f>Y321/Y269</f>
        <v>90.514001937605059</v>
      </c>
      <c r="Z65" s="1987">
        <f>Z321/Z269</f>
        <v>85.580137262200878</v>
      </c>
      <c r="AA65" s="2039">
        <f>SUM(W65:Z65)</f>
        <v>353.00380732727467</v>
      </c>
      <c r="AB65" s="2086">
        <v>88</v>
      </c>
      <c r="AC65" s="2086">
        <v>88</v>
      </c>
      <c r="AD65" s="2086">
        <v>87</v>
      </c>
      <c r="AE65" s="2086">
        <v>87</v>
      </c>
      <c r="AF65" s="2086">
        <v>92</v>
      </c>
      <c r="AG65" s="2086">
        <v>92</v>
      </c>
      <c r="AH65" s="2086">
        <v>92</v>
      </c>
      <c r="AI65" s="2086">
        <v>92</v>
      </c>
      <c r="AJ65" s="2039">
        <f>AB65+AD65+AF65+AH65</f>
        <v>359</v>
      </c>
      <c r="AK65" s="2086">
        <v>85</v>
      </c>
      <c r="AL65" s="2086">
        <v>83</v>
      </c>
      <c r="AM65" s="2086">
        <f>AM68-AM66</f>
        <v>91</v>
      </c>
      <c r="AN65" s="2086">
        <f>AN68-AN66</f>
        <v>94</v>
      </c>
      <c r="AO65" s="2039">
        <f>AK65+AL65+AM65+AN65</f>
        <v>353</v>
      </c>
      <c r="AP65" s="2473">
        <v>89</v>
      </c>
      <c r="AQ65" s="2473">
        <v>88</v>
      </c>
      <c r="AR65" s="2473">
        <v>87</v>
      </c>
      <c r="AS65" s="2473">
        <v>87</v>
      </c>
      <c r="AT65" s="2161">
        <f>AP65+AQ65+AR65+AS65</f>
        <v>351</v>
      </c>
      <c r="AU65" s="2473"/>
      <c r="AV65" s="2473"/>
      <c r="AW65" s="2473"/>
      <c r="AX65" s="2473"/>
      <c r="AY65" s="2161"/>
      <c r="AZ65" s="2473"/>
      <c r="BA65" s="2473"/>
      <c r="BB65" s="2473"/>
      <c r="BC65" s="1327"/>
      <c r="BD65" s="2161"/>
      <c r="BE65" s="2473"/>
      <c r="BF65" s="2473"/>
      <c r="BG65" s="2473"/>
      <c r="BH65" s="1327"/>
      <c r="BI65" s="2161"/>
      <c r="BJ65" s="1327"/>
      <c r="BK65" s="1327"/>
      <c r="BL65" s="1327"/>
      <c r="BM65" s="1327"/>
      <c r="BN65" s="2161"/>
      <c r="BO65" s="1699"/>
      <c r="BP65" s="1699"/>
      <c r="BQ65" s="2040"/>
      <c r="BR65" s="1293"/>
      <c r="BS65" s="1293"/>
      <c r="BT65" s="1293"/>
      <c r="BU65" s="1293"/>
      <c r="BV65" s="1293"/>
      <c r="BW65" s="1293"/>
      <c r="BX65" s="1293"/>
      <c r="BY65" s="1293"/>
      <c r="BZ65" s="1293"/>
      <c r="CA65" s="1293"/>
      <c r="CB65" s="1293"/>
      <c r="CC65" s="1293"/>
      <c r="CD65" s="1293"/>
      <c r="CE65" s="1293"/>
      <c r="CF65" s="1293"/>
      <c r="CG65" s="1293"/>
      <c r="CH65" s="1293"/>
      <c r="CI65" s="1293"/>
      <c r="CJ65" s="1293"/>
      <c r="CK65" s="1293"/>
      <c r="CL65" s="1293"/>
      <c r="CM65" s="1293"/>
      <c r="CN65" s="1293"/>
      <c r="CO65" s="1293"/>
      <c r="CP65" s="1293"/>
      <c r="CQ65" s="1293"/>
      <c r="CR65" s="1293"/>
      <c r="CS65" s="1293"/>
      <c r="CT65" s="1293"/>
      <c r="CU65" s="1293"/>
      <c r="CV65" s="1293"/>
      <c r="CW65" s="1293"/>
      <c r="CX65" s="1293"/>
      <c r="CY65" s="2041"/>
      <c r="CZ65" s="1699"/>
      <c r="DA65" s="2092"/>
      <c r="DB65" s="2093"/>
      <c r="DC65" s="1293"/>
      <c r="DD65" s="1293"/>
      <c r="DE65" s="1293"/>
      <c r="DF65" s="1293"/>
      <c r="DG65" s="1293"/>
      <c r="DH65" s="1293"/>
      <c r="DI65" s="1293"/>
      <c r="DJ65" s="1293"/>
      <c r="DK65" s="1293"/>
      <c r="DL65" s="1293"/>
    </row>
    <row r="66" spans="1:116" ht="15.75" hidden="1" outlineLevel="1">
      <c r="A66" s="1293"/>
      <c r="B66" s="1293" t="str">
        <f t="shared" si="89"/>
        <v>Zantel</v>
      </c>
      <c r="C66" s="1987">
        <f t="shared" ref="C66:L66" si="100">C29-C$97*(C29/C$31)</f>
        <v>0</v>
      </c>
      <c r="D66" s="1987">
        <f t="shared" si="100"/>
        <v>0</v>
      </c>
      <c r="E66" s="1987">
        <f t="shared" si="100"/>
        <v>0</v>
      </c>
      <c r="F66" s="1987">
        <f t="shared" si="100"/>
        <v>0</v>
      </c>
      <c r="G66" s="2061">
        <f t="shared" si="100"/>
        <v>0</v>
      </c>
      <c r="H66" s="1987">
        <f t="shared" si="100"/>
        <v>0</v>
      </c>
      <c r="I66" s="1987">
        <f t="shared" si="100"/>
        <v>0</v>
      </c>
      <c r="J66" s="1987">
        <f t="shared" si="100"/>
        <v>0</v>
      </c>
      <c r="K66" s="1987">
        <f t="shared" si="100"/>
        <v>8.8646384960324482</v>
      </c>
      <c r="L66" s="2061">
        <f t="shared" si="100"/>
        <v>8.8551885387627571</v>
      </c>
      <c r="M66" s="1987">
        <f t="shared" si="93"/>
        <v>8.8820868960952719</v>
      </c>
      <c r="N66" s="1987">
        <f t="shared" si="93"/>
        <v>7.9341908958504872</v>
      </c>
      <c r="O66" s="1987">
        <f t="shared" si="93"/>
        <v>7.9364228397842957</v>
      </c>
      <c r="P66" s="1987">
        <f t="shared" si="94"/>
        <v>8.1234264356713144</v>
      </c>
      <c r="Q66" s="2062">
        <f t="shared" si="95"/>
        <v>32.87612706740137</v>
      </c>
      <c r="R66" s="1987">
        <f ca="1">R68-R60-R62-R63-R65</f>
        <v>6.8632979568997143</v>
      </c>
      <c r="S66" s="1987">
        <f ca="1">S68-S60-S62-S63-S65</f>
        <v>0.1880137125906316</v>
      </c>
      <c r="T66" s="1987">
        <f>T68-T60-T62-T63-T65</f>
        <v>8.6500209712459935</v>
      </c>
      <c r="U66" s="1987">
        <f>U68-U60-U62-U63-U65</f>
        <v>14.452190483923204</v>
      </c>
      <c r="V66" s="2062">
        <f t="shared" ca="1" si="96"/>
        <v>30.153523124659543</v>
      </c>
      <c r="W66" s="1987">
        <f ca="1">W68-W60-W62-W63-W65</f>
        <v>7.428489483002835</v>
      </c>
      <c r="X66" s="1987">
        <f ca="1">X68-X60-X62-X63-X65</f>
        <v>1.0699412122522745</v>
      </c>
      <c r="Y66" s="1987">
        <f>Y68-Y60-Y62-Y63-Y65</f>
        <v>1.0467851696466255</v>
      </c>
      <c r="Z66" s="1987">
        <f>Z68-Z60-Z62-Z63-Z65</f>
        <v>7.701482018252932</v>
      </c>
      <c r="AA66" s="2039">
        <f ca="1">SUM(W66:Z66)</f>
        <v>17.246697883154667</v>
      </c>
      <c r="AB66" s="2086">
        <v>5</v>
      </c>
      <c r="AC66" s="2086">
        <v>5</v>
      </c>
      <c r="AD66" s="2086">
        <v>5</v>
      </c>
      <c r="AE66" s="2086">
        <v>5</v>
      </c>
      <c r="AF66" s="2086">
        <v>6</v>
      </c>
      <c r="AG66" s="2086">
        <v>6</v>
      </c>
      <c r="AH66" s="2086">
        <v>6</v>
      </c>
      <c r="AI66" s="2086">
        <v>6</v>
      </c>
      <c r="AJ66" s="2039">
        <f>AB66+AD66+AF66+AH66</f>
        <v>22</v>
      </c>
      <c r="AK66" s="2086">
        <v>4</v>
      </c>
      <c r="AL66" s="2086">
        <v>3</v>
      </c>
      <c r="AM66" s="2086">
        <v>3</v>
      </c>
      <c r="AN66" s="2086">
        <v>3</v>
      </c>
      <c r="AO66" s="2039">
        <f>AK66+AL66+AM66+AN66</f>
        <v>13</v>
      </c>
      <c r="AP66" s="2473">
        <v>3</v>
      </c>
      <c r="AQ66" s="2473">
        <v>3</v>
      </c>
      <c r="AR66" s="2473">
        <v>3</v>
      </c>
      <c r="AS66" s="2473">
        <f>AS68-AS65</f>
        <v>5</v>
      </c>
      <c r="AT66" s="2161">
        <f>AP66+AQ66+AR66+AS66</f>
        <v>14</v>
      </c>
      <c r="AU66" s="2473"/>
      <c r="AV66" s="2473"/>
      <c r="AW66" s="2473"/>
      <c r="AX66" s="2473"/>
      <c r="AY66" s="2161"/>
      <c r="AZ66" s="2473"/>
      <c r="BA66" s="2473"/>
      <c r="BB66" s="2473"/>
      <c r="BC66" s="1327"/>
      <c r="BD66" s="2161"/>
      <c r="BE66" s="2473"/>
      <c r="BF66" s="2473"/>
      <c r="BG66" s="2473"/>
      <c r="BH66" s="1327"/>
      <c r="BI66" s="2161"/>
      <c r="BJ66" s="1327"/>
      <c r="BK66" s="1327"/>
      <c r="BL66" s="1327"/>
      <c r="BM66" s="1327"/>
      <c r="BN66" s="2161"/>
      <c r="BO66" s="1699"/>
      <c r="BP66" s="1699"/>
      <c r="BQ66" s="2040"/>
      <c r="BR66" s="1293"/>
      <c r="BS66" s="1293"/>
      <c r="BT66" s="1293"/>
      <c r="BU66" s="1293"/>
      <c r="BV66" s="1293"/>
      <c r="BW66" s="1293"/>
      <c r="BX66" s="1293"/>
      <c r="BY66" s="1293"/>
      <c r="BZ66" s="1293"/>
      <c r="CA66" s="1293"/>
      <c r="CB66" s="1293"/>
      <c r="CC66" s="1293"/>
      <c r="CD66" s="1293"/>
      <c r="CE66" s="1293"/>
      <c r="CF66" s="1293"/>
      <c r="CG66" s="1293"/>
      <c r="CH66" s="1293"/>
      <c r="CI66" s="1293"/>
      <c r="CJ66" s="1293"/>
      <c r="CK66" s="1293"/>
      <c r="CL66" s="1293"/>
      <c r="CM66" s="1293"/>
      <c r="CN66" s="1293"/>
      <c r="CO66" s="1293"/>
      <c r="CP66" s="1293"/>
      <c r="CQ66" s="1293"/>
      <c r="CR66" s="1293"/>
      <c r="CS66" s="1293"/>
      <c r="CT66" s="1293"/>
      <c r="CU66" s="1293"/>
      <c r="CV66" s="1293"/>
      <c r="CW66" s="1293"/>
      <c r="CX66" s="1293"/>
      <c r="CY66" s="2041"/>
      <c r="CZ66" s="1699"/>
      <c r="DA66" s="2092"/>
      <c r="DB66" s="2093"/>
      <c r="DC66" s="1293"/>
      <c r="DD66" s="1293"/>
      <c r="DE66" s="1293"/>
      <c r="DF66" s="1293"/>
      <c r="DG66" s="1293"/>
      <c r="DH66" s="1293"/>
      <c r="DI66" s="1293"/>
      <c r="DJ66" s="1293"/>
      <c r="DK66" s="1293"/>
      <c r="DL66" s="1293"/>
    </row>
    <row r="67" spans="1:116" ht="15.75" hidden="1" outlineLevel="1">
      <c r="A67" s="1293"/>
      <c r="B67" s="1331" t="s">
        <v>4505</v>
      </c>
      <c r="C67" s="2066">
        <f t="shared" ref="C67:O67" ca="1" si="101">C68-SUM(C60:C66)</f>
        <v>-4.8080665684720145</v>
      </c>
      <c r="D67" s="2066">
        <f t="shared" ca="1" si="101"/>
        <v>1.4035726157629824E-2</v>
      </c>
      <c r="E67" s="2066">
        <f t="shared" si="101"/>
        <v>4.5997081815173431</v>
      </c>
      <c r="F67" s="2066">
        <f t="shared" ca="1" si="101"/>
        <v>-0.3348915606612195</v>
      </c>
      <c r="G67" s="2067">
        <f t="shared" ca="1" si="101"/>
        <v>-0.17425727240788547</v>
      </c>
      <c r="H67" s="2066">
        <f t="shared" si="101"/>
        <v>7.6356074196098689E-2</v>
      </c>
      <c r="I67" s="2066">
        <f t="shared" si="101"/>
        <v>3.8947972029461653E-2</v>
      </c>
      <c r="J67" s="2066">
        <f t="shared" si="101"/>
        <v>0.20375004038442057</v>
      </c>
      <c r="K67" s="2066">
        <f t="shared" ca="1" si="101"/>
        <v>-0.23933541996700569</v>
      </c>
      <c r="L67" s="2067">
        <f t="shared" ca="1" si="101"/>
        <v>8.046174485514257E-2</v>
      </c>
      <c r="M67" s="2066">
        <f t="shared" ca="1" si="101"/>
        <v>8.3698899868238641E-3</v>
      </c>
      <c r="N67" s="2066">
        <f t="shared" ca="1" si="101"/>
        <v>1.72595916038577</v>
      </c>
      <c r="O67" s="2066">
        <f t="shared" si="101"/>
        <v>-0.46051746572928209</v>
      </c>
      <c r="P67" s="2066">
        <f t="shared" si="94"/>
        <v>-0.47136850325571683</v>
      </c>
      <c r="Q67" s="2068">
        <f t="shared" ca="1" si="95"/>
        <v>0.8024430813875949</v>
      </c>
      <c r="R67" s="2066"/>
      <c r="S67" s="2066"/>
      <c r="T67" s="2066"/>
      <c r="U67" s="2066"/>
      <c r="V67" s="2068">
        <f t="shared" si="96"/>
        <v>0</v>
      </c>
      <c r="W67" s="2066"/>
      <c r="X67" s="2066"/>
      <c r="Y67" s="2066"/>
      <c r="Z67" s="2066"/>
      <c r="AA67" s="2048"/>
      <c r="AB67" s="2066"/>
      <c r="AC67" s="2066"/>
      <c r="AD67" s="2066"/>
      <c r="AE67" s="2066"/>
      <c r="AF67" s="2066"/>
      <c r="AG67" s="2066"/>
      <c r="AH67" s="2066"/>
      <c r="AI67" s="2066"/>
      <c r="AJ67" s="2048"/>
      <c r="AK67" s="2066"/>
      <c r="AL67" s="2066"/>
      <c r="AM67" s="2066"/>
      <c r="AN67" s="2066"/>
      <c r="AO67" s="2048">
        <f>'New split'!J74</f>
        <v>0</v>
      </c>
      <c r="AP67" s="2474"/>
      <c r="AQ67" s="2474"/>
      <c r="AR67" s="2474"/>
      <c r="AS67" s="2474"/>
      <c r="AT67" s="2464">
        <f>'New split'!K74</f>
        <v>0</v>
      </c>
      <c r="AU67" s="2474"/>
      <c r="AV67" s="2474"/>
      <c r="AW67" s="2474"/>
      <c r="AX67" s="2474"/>
      <c r="AY67" s="2464"/>
      <c r="AZ67" s="2474"/>
      <c r="BA67" s="2474"/>
      <c r="BB67" s="2474"/>
      <c r="BC67" s="1718"/>
      <c r="BD67" s="2464"/>
      <c r="BE67" s="2474"/>
      <c r="BF67" s="2474"/>
      <c r="BG67" s="2474"/>
      <c r="BH67" s="1718"/>
      <c r="BI67" s="2464"/>
      <c r="BJ67" s="2474"/>
      <c r="BK67" s="2474"/>
      <c r="BL67" s="2474"/>
      <c r="BM67" s="2474"/>
      <c r="BN67" s="2464"/>
      <c r="BO67" s="1699"/>
      <c r="BP67" s="1699"/>
      <c r="BQ67" s="2040"/>
      <c r="BR67" s="1293"/>
      <c r="BS67" s="1293"/>
      <c r="BT67" s="1293"/>
      <c r="BU67" s="1293"/>
      <c r="BV67" s="1293"/>
      <c r="BW67" s="1293"/>
      <c r="BX67" s="1293"/>
      <c r="BY67" s="1293"/>
      <c r="BZ67" s="1293"/>
      <c r="CA67" s="1293"/>
      <c r="CB67" s="1293"/>
      <c r="CC67" s="1293"/>
      <c r="CD67" s="1293"/>
      <c r="CE67" s="1293"/>
      <c r="CF67" s="1293"/>
      <c r="CG67" s="1293"/>
      <c r="CH67" s="1293"/>
      <c r="CI67" s="1293"/>
      <c r="CJ67" s="1293"/>
      <c r="CK67" s="1293"/>
      <c r="CL67" s="1293"/>
      <c r="CM67" s="1293"/>
      <c r="CN67" s="1293"/>
      <c r="CO67" s="1293"/>
      <c r="CP67" s="1293"/>
      <c r="CQ67" s="1293"/>
      <c r="CR67" s="1293"/>
      <c r="CS67" s="1293"/>
      <c r="CT67" s="1293"/>
      <c r="CU67" s="1293"/>
      <c r="CV67" s="1293"/>
      <c r="CW67" s="1293"/>
      <c r="CX67" s="1293"/>
      <c r="CY67" s="2049"/>
      <c r="CZ67" s="1703"/>
      <c r="DA67" s="2094"/>
      <c r="DB67" s="2095"/>
      <c r="DC67" s="1293"/>
      <c r="DD67" s="1293"/>
      <c r="DE67" s="1293"/>
      <c r="DF67" s="1293"/>
      <c r="DG67" s="1293"/>
      <c r="DH67" s="1293"/>
      <c r="DI67" s="1293"/>
      <c r="DJ67" s="1293"/>
      <c r="DK67" s="1293"/>
      <c r="DL67" s="1293"/>
    </row>
    <row r="68" spans="1:116" ht="15.75" hidden="1" outlineLevel="1">
      <c r="A68" s="1293"/>
      <c r="B68" s="1293" t="s">
        <v>4501</v>
      </c>
      <c r="C68" s="1699">
        <v>240.96256021594323</v>
      </c>
      <c r="D68" s="1699">
        <v>240.91985680848526</v>
      </c>
      <c r="E68" s="1699">
        <v>251.3374276351002</v>
      </c>
      <c r="F68" s="1699">
        <v>252.47901934159589</v>
      </c>
      <c r="G68" s="2039">
        <v>985.69886400112568</v>
      </c>
      <c r="H68" s="1699">
        <v>244.05582351631659</v>
      </c>
      <c r="I68" s="1699">
        <v>236.56639761388897</v>
      </c>
      <c r="J68" s="1699">
        <v>236.69626421890479</v>
      </c>
      <c r="K68" s="1699">
        <v>254.52257363022358</v>
      </c>
      <c r="L68" s="2039">
        <v>971.84105897933387</v>
      </c>
      <c r="M68" s="1699">
        <v>216.92546436619006</v>
      </c>
      <c r="N68" s="1699">
        <v>220.56726028333452</v>
      </c>
      <c r="O68" s="1699">
        <v>222.75137490320401</v>
      </c>
      <c r="P68" s="1699">
        <v>228</v>
      </c>
      <c r="Q68" s="2039">
        <f ca="1">SUM(Q60:Q67)</f>
        <v>888.2440995527287</v>
      </c>
      <c r="R68" s="1699">
        <v>174</v>
      </c>
      <c r="S68" s="1699">
        <v>171</v>
      </c>
      <c r="T68" s="1699">
        <v>148</v>
      </c>
      <c r="U68" s="1699">
        <v>150</v>
      </c>
      <c r="V68" s="2039">
        <f ca="1">SUM(V60:V67)</f>
        <v>642.99999999999989</v>
      </c>
      <c r="W68" s="1699">
        <v>134</v>
      </c>
      <c r="X68" s="1699">
        <v>129</v>
      </c>
      <c r="Y68" s="1699">
        <v>130</v>
      </c>
      <c r="Z68" s="1699">
        <v>132</v>
      </c>
      <c r="AA68" s="2039">
        <f ca="1">SUM(AA60:AA67)</f>
        <v>525</v>
      </c>
      <c r="AB68" s="1984">
        <f>AC68</f>
        <v>124</v>
      </c>
      <c r="AC68" s="1984">
        <v>124</v>
      </c>
      <c r="AD68" s="1984">
        <f>AE68</f>
        <v>92</v>
      </c>
      <c r="AE68" s="1984">
        <f>AE65+AE66</f>
        <v>92</v>
      </c>
      <c r="AF68" s="1984">
        <f>AG68</f>
        <v>98</v>
      </c>
      <c r="AG68" s="1984">
        <v>98</v>
      </c>
      <c r="AH68" s="1984">
        <v>98</v>
      </c>
      <c r="AI68" s="1984">
        <v>98</v>
      </c>
      <c r="AJ68" s="2039">
        <f>AB68+AD68+AF68+AH68</f>
        <v>412</v>
      </c>
      <c r="AK68" s="1984">
        <v>89</v>
      </c>
      <c r="AL68" s="1984">
        <v>86</v>
      </c>
      <c r="AM68" s="1984">
        <v>94</v>
      </c>
      <c r="AN68" s="1984">
        <v>97</v>
      </c>
      <c r="AO68" s="2039">
        <f>AK68+AL68+AM68+AN68</f>
        <v>366</v>
      </c>
      <c r="AP68" s="1991">
        <v>89</v>
      </c>
      <c r="AQ68" s="1991">
        <v>89</v>
      </c>
      <c r="AR68" s="1991">
        <v>87</v>
      </c>
      <c r="AS68" s="1991">
        <v>92</v>
      </c>
      <c r="AT68" s="2161">
        <f>AP68+AQ68+AR68+AS68</f>
        <v>357</v>
      </c>
      <c r="AU68" s="1991"/>
      <c r="AV68" s="1991"/>
      <c r="AW68" s="1991"/>
      <c r="AX68" s="1991"/>
      <c r="AY68" s="2161"/>
      <c r="AZ68" s="1991"/>
      <c r="BA68" s="1327"/>
      <c r="BB68" s="1327"/>
      <c r="BC68" s="1327"/>
      <c r="BD68" s="2161"/>
      <c r="BE68" s="1991"/>
      <c r="BF68" s="1327"/>
      <c r="BG68" s="1327"/>
      <c r="BH68" s="1327"/>
      <c r="BI68" s="2161"/>
      <c r="BJ68" s="1991"/>
      <c r="BK68" s="1991"/>
      <c r="BL68" s="1991"/>
      <c r="BM68" s="1991"/>
      <c r="BN68" s="2161"/>
      <c r="BO68" s="1699"/>
      <c r="BP68" s="1699"/>
      <c r="BQ68" s="2040"/>
      <c r="BR68" s="1293"/>
      <c r="BS68" s="1293"/>
      <c r="BT68" s="1293"/>
      <c r="BU68" s="1293"/>
      <c r="BV68" s="1293"/>
      <c r="BW68" s="1293"/>
      <c r="BX68" s="1293"/>
      <c r="BY68" s="1293"/>
      <c r="BZ68" s="1293"/>
      <c r="CA68" s="1293"/>
      <c r="CB68" s="1293"/>
      <c r="CC68" s="1293"/>
      <c r="CD68" s="1293"/>
      <c r="CE68" s="1293"/>
      <c r="CF68" s="1293"/>
      <c r="CG68" s="1293"/>
      <c r="CH68" s="1293"/>
      <c r="CI68" s="1293"/>
      <c r="CJ68" s="1293"/>
      <c r="CK68" s="1293"/>
      <c r="CL68" s="1293"/>
      <c r="CM68" s="1293"/>
      <c r="CN68" s="1293"/>
      <c r="CO68" s="1293"/>
      <c r="CP68" s="1293"/>
      <c r="CQ68" s="1293"/>
      <c r="CR68" s="1293"/>
      <c r="CS68" s="1293"/>
      <c r="CT68" s="1293"/>
      <c r="CU68" s="1293"/>
      <c r="CV68" s="1293"/>
      <c r="CW68" s="1293"/>
      <c r="CX68" s="1293"/>
      <c r="CY68" s="2049"/>
      <c r="CZ68" s="1703"/>
      <c r="DA68" s="2050"/>
      <c r="DB68" s="2051"/>
      <c r="DC68" s="1293"/>
      <c r="DD68" s="1293"/>
      <c r="DE68" s="1293"/>
      <c r="DF68" s="1293"/>
      <c r="DG68" s="1293"/>
      <c r="DH68" s="1293"/>
      <c r="DI68" s="1293"/>
      <c r="DJ68" s="1293"/>
      <c r="DK68" s="1293"/>
      <c r="DL68" s="1293"/>
    </row>
    <row r="69" spans="1:116" ht="15.75" collapsed="1">
      <c r="A69" s="1293"/>
      <c r="B69" s="1293" t="s">
        <v>4503</v>
      </c>
      <c r="C69" s="1699">
        <f t="shared" ref="C69:P69" si="102">C71-C68-C55-C49</f>
        <v>-8.0792950595309776E-2</v>
      </c>
      <c r="D69" s="1699">
        <f t="shared" si="102"/>
        <v>-0.1306006142356182</v>
      </c>
      <c r="E69" s="1699">
        <f t="shared" si="102"/>
        <v>-0.14740759854214502</v>
      </c>
      <c r="F69" s="1699">
        <f t="shared" si="102"/>
        <v>0.38138799141154323</v>
      </c>
      <c r="G69" s="2039">
        <f t="shared" si="102"/>
        <v>2.2586828033126949E-2</v>
      </c>
      <c r="H69" s="1699">
        <f t="shared" si="102"/>
        <v>3.793312012021488E-4</v>
      </c>
      <c r="I69" s="1699">
        <f t="shared" si="102"/>
        <v>-0.19402155205091276</v>
      </c>
      <c r="J69" s="1699">
        <f t="shared" si="102"/>
        <v>-0.127950763433887</v>
      </c>
      <c r="K69" s="1699">
        <f t="shared" si="102"/>
        <v>1.6396001795561688</v>
      </c>
      <c r="L69" s="2039">
        <f t="shared" si="102"/>
        <v>1.3180071952747312</v>
      </c>
      <c r="M69" s="1699">
        <f t="shared" si="102"/>
        <v>-0.37740064793501915</v>
      </c>
      <c r="N69" s="1699">
        <f t="shared" si="102"/>
        <v>2.1941924150269188E-2</v>
      </c>
      <c r="O69" s="1699">
        <f t="shared" si="102"/>
        <v>0.40979631466484534</v>
      </c>
      <c r="P69" s="1699">
        <f t="shared" si="102"/>
        <v>-1</v>
      </c>
      <c r="Q69" s="2039">
        <f ca="1">'New split'!F76</f>
        <v>-0.37740064793501915</v>
      </c>
      <c r="R69" s="1699">
        <f>R71-R68-R55-R49</f>
        <v>1</v>
      </c>
      <c r="S69" s="1699">
        <f>S71-S68-S55-S49</f>
        <v>1</v>
      </c>
      <c r="T69" s="1699">
        <f>T71-T68-T55-T49</f>
        <v>0</v>
      </c>
      <c r="U69" s="1699">
        <f>U71-U68-U55-U49</f>
        <v>-1</v>
      </c>
      <c r="V69" s="2039">
        <f ca="1">'New split'!K76</f>
        <v>-20</v>
      </c>
      <c r="W69" s="1699">
        <f>W71-W68-W55-W49</f>
        <v>0</v>
      </c>
      <c r="X69" s="1699">
        <f>X71-X68-X55-X49</f>
        <v>0</v>
      </c>
      <c r="Y69" s="1699">
        <f>Y71-Y68-Y55-Y49</f>
        <v>1</v>
      </c>
      <c r="Z69" s="1699">
        <v>0</v>
      </c>
      <c r="AA69" s="2039">
        <f ca="1">'New split'!H76</f>
        <v>0</v>
      </c>
      <c r="AB69" s="1293">
        <f>AC69</f>
        <v>0</v>
      </c>
      <c r="AC69" s="1699">
        <v>0</v>
      </c>
      <c r="AD69" s="1293">
        <f>AE69</f>
        <v>0</v>
      </c>
      <c r="AE69" s="1699">
        <v>0</v>
      </c>
      <c r="AF69" s="1293">
        <f>AG69</f>
        <v>0</v>
      </c>
      <c r="AG69" s="1699"/>
      <c r="AH69" s="1293">
        <f>AI69</f>
        <v>0</v>
      </c>
      <c r="AI69" s="1699"/>
      <c r="AJ69" s="2039">
        <f>'New split'!AA76</f>
        <v>0</v>
      </c>
      <c r="AK69" s="1699">
        <f>AK71-AK68-AK55-AK49</f>
        <v>-7</v>
      </c>
      <c r="AL69" s="1699">
        <f>AL71-AL68-AL55-AL49</f>
        <v>-6</v>
      </c>
      <c r="AM69" s="1699">
        <f>AM71-AM68-AM55-AM49</f>
        <v>-6</v>
      </c>
      <c r="AN69" s="1699">
        <f>AN71-AN68-AN55-AN49</f>
        <v>-5</v>
      </c>
      <c r="AO69" s="2039">
        <f>AK69+AL69+AM69+AN69</f>
        <v>-24</v>
      </c>
      <c r="AP69" s="1327">
        <f>AP71-AP68-AP55-AP49</f>
        <v>-5</v>
      </c>
      <c r="AQ69" s="1327">
        <f>AQ71-AQ68-AQ55-AQ49</f>
        <v>-8</v>
      </c>
      <c r="AR69" s="1327">
        <f>AR71-AR68-AR55-AR49</f>
        <v>-6</v>
      </c>
      <c r="AS69" s="1327">
        <f>AS71-AS68-AS55-AS49</f>
        <v>-7</v>
      </c>
      <c r="AT69" s="2161">
        <f ca="1">'New split'!K76</f>
        <v>-20</v>
      </c>
      <c r="AU69" s="1327">
        <f t="shared" ref="AU69" si="103">AU71-AU57+AU41</f>
        <v>-4.0776999999997372</v>
      </c>
      <c r="AV69" s="1327">
        <f t="shared" ref="AV69" si="104">AV71-AV57+AV41</f>
        <v>-4.4344000000000108</v>
      </c>
      <c r="AW69" s="1327">
        <f t="shared" ref="AW69" si="105">AW71-AW57+AW41</f>
        <v>-5.3850999999998805</v>
      </c>
      <c r="AX69" s="1327">
        <f t="shared" ref="AX69" si="106">AX71-AX57+AX41</f>
        <v>-5.6109999999999332</v>
      </c>
      <c r="AY69" s="2161">
        <f>SUM(AU69:AX69)</f>
        <v>-19.508199999999562</v>
      </c>
      <c r="AZ69" s="1327">
        <f t="shared" ref="AZ69:BC69" si="107">AZ71-AZ57+AZ41</f>
        <v>-4.8008000000000379</v>
      </c>
      <c r="BA69" s="1327">
        <f t="shared" si="107"/>
        <v>-6.3924000000000945</v>
      </c>
      <c r="BB69" s="1327">
        <f t="shared" si="107"/>
        <v>-4.6743000000000166</v>
      </c>
      <c r="BC69" s="1327">
        <f t="shared" si="107"/>
        <v>-4.9751000000000261</v>
      </c>
      <c r="BD69" s="2161">
        <f>SUM(AZ69:BC69)</f>
        <v>-20.842600000000175</v>
      </c>
      <c r="BE69" s="1327">
        <f>BE71-BE57+BE41</f>
        <v>-4.3800999999999704</v>
      </c>
      <c r="BF69" s="1327">
        <f t="shared" ref="BF69:BG69" si="108">BF71-BF57+BF41</f>
        <v>-4.5146999999997774</v>
      </c>
      <c r="BG69" s="1327">
        <f t="shared" si="108"/>
        <v>-4.800200000000018</v>
      </c>
      <c r="BH69" s="1327">
        <f>BH71-BH57+BH41</f>
        <v>-5.9152999999998315</v>
      </c>
      <c r="BI69" s="2161">
        <f>SUM(BE69:BH69)</f>
        <v>-19.610299999999597</v>
      </c>
      <c r="BJ69" s="2484">
        <v>-5</v>
      </c>
      <c r="BK69" s="2484">
        <v>-5</v>
      </c>
      <c r="BL69" s="2484">
        <v>-5</v>
      </c>
      <c r="BM69" s="2484">
        <f>BN69-BJ69-BK69-BL69</f>
        <v>-5</v>
      </c>
      <c r="BN69" s="2161">
        <f>'New split'!O76</f>
        <v>-20</v>
      </c>
      <c r="BO69" s="1699"/>
      <c r="BP69" s="1699"/>
      <c r="BQ69" s="2040"/>
      <c r="BR69" s="1293"/>
      <c r="BS69" s="1293"/>
      <c r="BT69" s="1293"/>
      <c r="BU69" s="1293"/>
      <c r="BV69" s="1293"/>
      <c r="BW69" s="1293"/>
      <c r="BX69" s="1293"/>
      <c r="BY69" s="1293"/>
      <c r="BZ69" s="1293"/>
      <c r="CA69" s="1293"/>
      <c r="CB69" s="1293"/>
      <c r="CC69" s="1293"/>
      <c r="CD69" s="1293"/>
      <c r="CE69" s="1293"/>
      <c r="CF69" s="1293"/>
      <c r="CG69" s="1293"/>
      <c r="CH69" s="1293"/>
      <c r="CI69" s="1293"/>
      <c r="CJ69" s="1293"/>
      <c r="CK69" s="1293"/>
      <c r="CL69" s="1293"/>
      <c r="CM69" s="1293"/>
      <c r="CN69" s="1293"/>
      <c r="CO69" s="1293"/>
      <c r="CP69" s="1293"/>
      <c r="CQ69" s="1293"/>
      <c r="CR69" s="1293"/>
      <c r="CS69" s="1293"/>
      <c r="CT69" s="1293"/>
      <c r="CU69" s="1293"/>
      <c r="CV69" s="1293"/>
      <c r="CW69" s="1293"/>
      <c r="CX69" s="1293"/>
      <c r="CY69" s="2073">
        <v>-4.356000000000023</v>
      </c>
      <c r="CZ69" s="2074">
        <v>-5</v>
      </c>
      <c r="DA69" s="2096">
        <v>-5</v>
      </c>
      <c r="DB69" s="2097">
        <v>-5</v>
      </c>
      <c r="DC69" s="1293"/>
      <c r="DD69" s="1293"/>
      <c r="DE69" s="1293"/>
      <c r="DF69" s="1293"/>
      <c r="DG69" s="1293"/>
      <c r="DH69" s="1293"/>
      <c r="DI69" s="1293"/>
      <c r="DJ69" s="1293"/>
      <c r="DK69" s="1293"/>
      <c r="DL69" s="1293"/>
    </row>
    <row r="70" spans="1:116" ht="15.75">
      <c r="A70" s="1293"/>
      <c r="B70" s="1293"/>
      <c r="C70" s="1699"/>
      <c r="D70" s="1699"/>
      <c r="E70" s="1699"/>
      <c r="F70" s="1699"/>
      <c r="G70" s="2039"/>
      <c r="H70" s="1699"/>
      <c r="I70" s="1699"/>
      <c r="J70" s="1699"/>
      <c r="K70" s="1699"/>
      <c r="L70" s="2039"/>
      <c r="M70" s="1699"/>
      <c r="N70" s="1699"/>
      <c r="O70" s="1699"/>
      <c r="P70" s="1699"/>
      <c r="Q70" s="2039"/>
      <c r="R70" s="1699"/>
      <c r="S70" s="1699"/>
      <c r="T70" s="1699"/>
      <c r="U70" s="1699"/>
      <c r="V70" s="2039"/>
      <c r="W70" s="1699"/>
      <c r="X70" s="1699"/>
      <c r="Y70" s="1699"/>
      <c r="Z70" s="1699"/>
      <c r="AA70" s="2039"/>
      <c r="AB70" s="1293"/>
      <c r="AC70" s="1699"/>
      <c r="AD70" s="1293"/>
      <c r="AE70" s="1699"/>
      <c r="AF70" s="1293"/>
      <c r="AG70" s="1699"/>
      <c r="AH70" s="1293"/>
      <c r="AI70" s="1699"/>
      <c r="AJ70" s="2039"/>
      <c r="AK70" s="1699"/>
      <c r="AL70" s="1699"/>
      <c r="AM70" s="1699"/>
      <c r="AN70" s="1699"/>
      <c r="AO70" s="2039"/>
      <c r="AP70" s="1327"/>
      <c r="AQ70" s="1327"/>
      <c r="AR70" s="1327"/>
      <c r="AS70" s="1327"/>
      <c r="AT70" s="2161"/>
      <c r="AU70" s="1327"/>
      <c r="AV70" s="1327"/>
      <c r="AW70" s="1327"/>
      <c r="AX70" s="1327"/>
      <c r="AY70" s="2161"/>
      <c r="AZ70" s="1327"/>
      <c r="BA70" s="1327"/>
      <c r="BB70" s="1327"/>
      <c r="BC70" s="1327"/>
      <c r="BD70" s="2161"/>
      <c r="BE70" s="1327"/>
      <c r="BF70" s="1327"/>
      <c r="BG70" s="1327"/>
      <c r="BH70" s="1327"/>
      <c r="BI70" s="2161"/>
      <c r="BJ70" s="1327"/>
      <c r="BK70" s="1327"/>
      <c r="BL70" s="1327"/>
      <c r="BM70" s="1327"/>
      <c r="BN70" s="2161"/>
      <c r="BO70" s="1699"/>
      <c r="BP70" s="1699"/>
      <c r="BQ70" s="2040"/>
      <c r="BR70" s="1293"/>
      <c r="BS70" s="1293"/>
      <c r="BT70" s="1293"/>
      <c r="BU70" s="1293"/>
      <c r="BV70" s="1293"/>
      <c r="BW70" s="1293"/>
      <c r="BX70" s="1293"/>
      <c r="BY70" s="1293"/>
      <c r="BZ70" s="1293"/>
      <c r="CA70" s="1293"/>
      <c r="CB70" s="1293"/>
      <c r="CC70" s="1293"/>
      <c r="CD70" s="1293"/>
      <c r="CE70" s="1293"/>
      <c r="CF70" s="1293"/>
      <c r="CG70" s="1293"/>
      <c r="CH70" s="1293"/>
      <c r="CI70" s="1293"/>
      <c r="CJ70" s="1293"/>
      <c r="CK70" s="1293"/>
      <c r="CL70" s="1293"/>
      <c r="CM70" s="1293"/>
      <c r="CN70" s="1293"/>
      <c r="CO70" s="1293"/>
      <c r="CP70" s="1293"/>
      <c r="CQ70" s="1293"/>
      <c r="CR70" s="1293"/>
      <c r="CS70" s="1293"/>
      <c r="CT70" s="1293"/>
      <c r="CU70" s="1293"/>
      <c r="CV70" s="1293"/>
      <c r="CW70" s="1293"/>
      <c r="CX70" s="1293"/>
      <c r="CY70" s="2041"/>
      <c r="CZ70" s="2053"/>
      <c r="DA70" s="2098"/>
      <c r="DB70" s="2099"/>
      <c r="DC70" s="1293"/>
      <c r="DD70" s="1293"/>
      <c r="DE70" s="1293"/>
      <c r="DF70" s="1293"/>
      <c r="DG70" s="1293"/>
      <c r="DH70" s="1293"/>
      <c r="DI70" s="1293"/>
      <c r="DJ70" s="1293"/>
      <c r="DK70" s="1293"/>
      <c r="DL70" s="1293"/>
    </row>
    <row r="71" spans="1:116" ht="15.75">
      <c r="A71" s="1293"/>
      <c r="B71" s="1397" t="s">
        <v>4502</v>
      </c>
      <c r="C71" s="2076">
        <v>1322.5434156181882</v>
      </c>
      <c r="D71" s="2076">
        <v>1348.721138073108</v>
      </c>
      <c r="E71" s="2076">
        <v>1551.891779553072</v>
      </c>
      <c r="F71" s="2076">
        <v>1684.266368592989</v>
      </c>
      <c r="G71" s="2077">
        <v>5907.4227018373567</v>
      </c>
      <c r="H71" s="2076">
        <v>1572.1350180434952</v>
      </c>
      <c r="I71" s="2076">
        <v>1571.3471062174849</v>
      </c>
      <c r="J71" s="2076">
        <v>1520.7397839922064</v>
      </c>
      <c r="K71" s="2076">
        <v>1545.1993998045421</v>
      </c>
      <c r="L71" s="2077">
        <v>6209.4213080577374</v>
      </c>
      <c r="M71" s="2076">
        <v>1435.4547885231773</v>
      </c>
      <c r="N71" s="2076">
        <v>1469.34822520843</v>
      </c>
      <c r="O71" s="2076">
        <v>1465.7057892415</v>
      </c>
      <c r="P71" s="2076">
        <v>1484</v>
      </c>
      <c r="Q71" s="2077">
        <f>SUM(M71:P71)</f>
        <v>5854.5088029731069</v>
      </c>
      <c r="R71" s="2076">
        <v>1421</v>
      </c>
      <c r="S71" s="2076">
        <v>1423</v>
      </c>
      <c r="T71" s="2076">
        <v>1423</v>
      </c>
      <c r="U71" s="2076">
        <v>1456</v>
      </c>
      <c r="V71" s="2077">
        <f>SUM(R71:U71)</f>
        <v>5723</v>
      </c>
      <c r="W71" s="2076">
        <v>1393</v>
      </c>
      <c r="X71" s="2076">
        <v>1409</v>
      </c>
      <c r="Y71" s="2076">
        <v>1399</v>
      </c>
      <c r="Z71" s="2076">
        <f>Z49+Z55+Z68+Z69</f>
        <v>1395</v>
      </c>
      <c r="AA71" s="2077">
        <f ca="1">AA49+AA55+AA68+AA69</f>
        <v>5595</v>
      </c>
      <c r="AB71" s="2076">
        <f>AC71</f>
        <v>1455</v>
      </c>
      <c r="AC71" s="2076">
        <f>AC49+AC55+AC68+AC69</f>
        <v>1455</v>
      </c>
      <c r="AD71" s="2076">
        <f>AE71</f>
        <v>1450</v>
      </c>
      <c r="AE71" s="2076">
        <f t="shared" ref="AE71:AJ71" si="109">AE49+AE55+AE68+AE69</f>
        <v>1450</v>
      </c>
      <c r="AF71" s="2076">
        <f t="shared" si="109"/>
        <v>1476</v>
      </c>
      <c r="AG71" s="2076">
        <f t="shared" si="109"/>
        <v>1476</v>
      </c>
      <c r="AH71" s="2076">
        <f t="shared" si="109"/>
        <v>1540</v>
      </c>
      <c r="AI71" s="2076">
        <f t="shared" si="109"/>
        <v>1540</v>
      </c>
      <c r="AJ71" s="2077">
        <f t="shared" si="109"/>
        <v>5921</v>
      </c>
      <c r="AK71" s="2078">
        <v>1483</v>
      </c>
      <c r="AL71" s="2078">
        <v>1356</v>
      </c>
      <c r="AM71" s="2078">
        <v>1412</v>
      </c>
      <c r="AN71" s="2078">
        <v>1489</v>
      </c>
      <c r="AO71" s="2077">
        <f>AO49+AO55+AO68+AO69</f>
        <v>5736</v>
      </c>
      <c r="AP71" s="2471">
        <v>1501</v>
      </c>
      <c r="AQ71" s="2471">
        <v>1506</v>
      </c>
      <c r="AR71" s="2471">
        <v>1513</v>
      </c>
      <c r="AS71" s="2471">
        <v>1549</v>
      </c>
      <c r="AT71" s="2472">
        <f>AP71+AQ71+AR71+AS71</f>
        <v>6069</v>
      </c>
      <c r="AU71" s="2471">
        <v>1299.6590000000001</v>
      </c>
      <c r="AV71" s="2471">
        <v>1315.3409999999999</v>
      </c>
      <c r="AW71" s="2471">
        <v>1279.527</v>
      </c>
      <c r="AX71" s="2471">
        <v>1276.221</v>
      </c>
      <c r="AY71" s="2472">
        <f>AU71+AV71+AW71+AX71</f>
        <v>5170.7479999999996</v>
      </c>
      <c r="AZ71" s="2471">
        <v>1264</v>
      </c>
      <c r="BA71" s="2471">
        <v>1291</v>
      </c>
      <c r="BB71" s="2471">
        <v>1320</v>
      </c>
      <c r="BC71" s="2471">
        <v>1375</v>
      </c>
      <c r="BD71" s="2472">
        <f>AZ71+BA71+BB71+BC71</f>
        <v>5250</v>
      </c>
      <c r="BE71" s="2471">
        <v>1376</v>
      </c>
      <c r="BF71" s="2471">
        <v>1362</v>
      </c>
      <c r="BG71" s="2471">
        <v>1344</v>
      </c>
      <c r="BH71" s="2471">
        <v>1335.2755</v>
      </c>
      <c r="BI71" s="2472">
        <f>BE71+BF71+BG71+BH71</f>
        <v>5417.2754999999997</v>
      </c>
      <c r="BJ71" s="2338">
        <f>BJ57+BJ69-BJ41</f>
        <v>1260.0146650059651</v>
      </c>
      <c r="BK71" s="2338">
        <f>BK57+BK69-BK41</f>
        <v>1277.4272045172095</v>
      </c>
      <c r="BL71" s="2338">
        <f>BL57+BL69-BL41</f>
        <v>1283.0609378179729</v>
      </c>
      <c r="BM71" s="2338">
        <f>BM57+BM69-BM41</f>
        <v>1320.5169386142961</v>
      </c>
      <c r="BN71" s="2472">
        <f>BJ71+BK71+BL71+BM71</f>
        <v>5141.0197459554438</v>
      </c>
      <c r="BO71" s="1723"/>
      <c r="BP71" s="1723"/>
      <c r="BQ71" s="2079"/>
      <c r="BR71" s="1293"/>
      <c r="BS71" s="1293"/>
      <c r="BT71" s="1293"/>
      <c r="BU71" s="1293"/>
      <c r="BV71" s="1293"/>
      <c r="BW71" s="1293"/>
      <c r="BX71" s="1293"/>
      <c r="BY71" s="1293"/>
      <c r="BZ71" s="1293"/>
      <c r="CA71" s="1293"/>
      <c r="CB71" s="1293"/>
      <c r="CC71" s="1293"/>
      <c r="CD71" s="1293"/>
      <c r="CE71" s="1293"/>
      <c r="CF71" s="1293"/>
      <c r="CG71" s="1293"/>
      <c r="CH71" s="1293"/>
      <c r="CI71" s="1293"/>
      <c r="CJ71" s="1293"/>
      <c r="CK71" s="1293"/>
      <c r="CL71" s="1293"/>
      <c r="CM71" s="1293"/>
      <c r="CN71" s="1293"/>
      <c r="CO71" s="1293"/>
      <c r="CP71" s="1293"/>
      <c r="CQ71" s="1293"/>
      <c r="CR71" s="1293"/>
      <c r="CS71" s="1293"/>
      <c r="CT71" s="1293"/>
      <c r="CU71" s="1293"/>
      <c r="CV71" s="1293"/>
      <c r="CW71" s="1293"/>
      <c r="CX71" s="1293"/>
      <c r="CY71" s="2055">
        <v>1349.8463417060564</v>
      </c>
      <c r="CZ71" s="1723">
        <f>(CZ49-CZ41)+CZ55+CZ69</f>
        <v>1394.2385743145169</v>
      </c>
      <c r="DA71" s="2056">
        <v>1369.6756835201766</v>
      </c>
      <c r="DB71" s="2055">
        <v>1365.5861991387919</v>
      </c>
      <c r="DC71" s="1293"/>
      <c r="DD71" s="1293"/>
      <c r="DE71" s="1293"/>
      <c r="DF71" s="1293"/>
      <c r="DG71" s="1293"/>
      <c r="DH71" s="1293"/>
      <c r="DI71" s="1293"/>
      <c r="DJ71" s="1293"/>
      <c r="DK71" s="1293"/>
      <c r="DL71" s="1293"/>
    </row>
    <row r="72" spans="1:116" ht="15.75">
      <c r="A72" s="1293"/>
      <c r="B72" s="1293"/>
      <c r="C72" s="1293"/>
      <c r="D72" s="1293"/>
      <c r="E72" s="1293"/>
      <c r="F72" s="1293"/>
      <c r="G72" s="2080"/>
      <c r="H72" s="1293"/>
      <c r="I72" s="1293"/>
      <c r="J72" s="1293"/>
      <c r="K72" s="1293"/>
      <c r="L72" s="2080"/>
      <c r="M72" s="1293"/>
      <c r="N72" s="1293"/>
      <c r="O72" s="1293"/>
      <c r="P72" s="1293"/>
      <c r="Q72" s="2080"/>
      <c r="R72" s="1724"/>
      <c r="S72" s="1328"/>
      <c r="T72" s="1328"/>
      <c r="U72" s="1328"/>
      <c r="V72" s="2081"/>
      <c r="W72" s="1723"/>
      <c r="X72" s="1723"/>
      <c r="Y72" s="1723"/>
      <c r="Z72" s="1723"/>
      <c r="AA72" s="2080"/>
      <c r="AB72" s="1723"/>
      <c r="AC72" s="1723"/>
      <c r="AD72" s="1723"/>
      <c r="AE72" s="1723"/>
      <c r="AF72" s="1335"/>
      <c r="AG72" s="1723"/>
      <c r="AH72" s="1723"/>
      <c r="AI72" s="1723"/>
      <c r="AJ72" s="2080"/>
      <c r="AK72" s="1335"/>
      <c r="AL72" s="1335"/>
      <c r="AM72" s="1335"/>
      <c r="AN72" s="1335"/>
      <c r="AO72" s="2080"/>
      <c r="AP72" s="1335"/>
      <c r="AQ72" s="1335"/>
      <c r="AR72" s="1335"/>
      <c r="AS72" s="1335"/>
      <c r="AT72" s="2080"/>
      <c r="AU72" s="1328"/>
      <c r="AV72" s="1328"/>
      <c r="AW72" s="1328"/>
      <c r="AX72" s="1328"/>
      <c r="AY72" s="2080"/>
      <c r="AZ72" s="1328"/>
      <c r="BA72" s="1328"/>
      <c r="BB72" s="1328"/>
      <c r="BC72" s="1293"/>
      <c r="BD72" s="2080"/>
      <c r="BE72" s="1328"/>
      <c r="BF72" s="1328"/>
      <c r="BG72" s="1328"/>
      <c r="BH72" s="1293"/>
      <c r="BI72" s="2080"/>
      <c r="BJ72" s="1328"/>
      <c r="BK72" s="1328"/>
      <c r="BL72" s="1328"/>
      <c r="BM72" s="1328"/>
      <c r="BN72" s="2080"/>
      <c r="BO72" s="1293"/>
      <c r="BP72" s="1293"/>
      <c r="BQ72" s="2040"/>
      <c r="BR72" s="1293"/>
      <c r="BS72" s="1293"/>
      <c r="BT72" s="1293"/>
      <c r="BU72" s="1293"/>
      <c r="BV72" s="1293"/>
      <c r="BW72" s="1293"/>
      <c r="BX72" s="1293"/>
      <c r="BY72" s="1293"/>
      <c r="BZ72" s="1293"/>
      <c r="CA72" s="1293"/>
      <c r="CB72" s="1293"/>
      <c r="CC72" s="1293"/>
      <c r="CD72" s="1293"/>
      <c r="CE72" s="1293"/>
      <c r="CF72" s="1293"/>
      <c r="CG72" s="1293"/>
      <c r="CH72" s="1293"/>
      <c r="CI72" s="1293"/>
      <c r="CJ72" s="1293"/>
      <c r="CK72" s="1293"/>
      <c r="CL72" s="1293"/>
      <c r="CM72" s="1293"/>
      <c r="CN72" s="1293"/>
      <c r="CO72" s="1293"/>
      <c r="CP72" s="1293"/>
      <c r="CQ72" s="1293"/>
      <c r="CR72" s="1293"/>
      <c r="CS72" s="1293"/>
      <c r="CT72" s="1293"/>
      <c r="CU72" s="1293"/>
      <c r="CV72" s="1293"/>
      <c r="CW72" s="1293"/>
      <c r="CX72" s="1293"/>
      <c r="CY72" s="2032"/>
      <c r="CZ72" s="1293"/>
      <c r="DA72" s="2100"/>
      <c r="DB72" s="2101"/>
      <c r="DC72" s="1293"/>
      <c r="DD72" s="1293"/>
      <c r="DE72" s="1293"/>
      <c r="DF72" s="1293"/>
      <c r="DG72" s="1293"/>
      <c r="DH72" s="1293"/>
      <c r="DI72" s="1293"/>
      <c r="DJ72" s="1293"/>
      <c r="DK72" s="1293"/>
      <c r="DL72" s="1293"/>
    </row>
    <row r="73" spans="1:116" ht="15.75">
      <c r="A73" s="1293"/>
      <c r="B73" s="1293"/>
      <c r="C73" s="1293"/>
      <c r="D73" s="1293"/>
      <c r="E73" s="1293"/>
      <c r="F73" s="1293"/>
      <c r="G73" s="2080"/>
      <c r="H73" s="1293"/>
      <c r="I73" s="1293"/>
      <c r="J73" s="1293"/>
      <c r="K73" s="1293"/>
      <c r="L73" s="2080"/>
      <c r="M73" s="1293"/>
      <c r="N73" s="1293"/>
      <c r="O73" s="1293"/>
      <c r="P73" s="1293"/>
      <c r="Q73" s="2080"/>
      <c r="R73" s="1724"/>
      <c r="S73" s="1328"/>
      <c r="T73" s="1328"/>
      <c r="U73" s="1328"/>
      <c r="V73" s="2081"/>
      <c r="W73" s="1723"/>
      <c r="X73" s="1723"/>
      <c r="Y73" s="1723"/>
      <c r="Z73" s="1723"/>
      <c r="AA73" s="2080"/>
      <c r="AB73" s="1723"/>
      <c r="AC73" s="1723"/>
      <c r="AD73" s="1723"/>
      <c r="AE73" s="1723"/>
      <c r="AF73" s="1335"/>
      <c r="AG73" s="1723"/>
      <c r="AH73" s="1723"/>
      <c r="AI73" s="1723"/>
      <c r="AJ73" s="2080"/>
      <c r="AK73" s="1335"/>
      <c r="AL73" s="1335"/>
      <c r="AM73" s="1335"/>
      <c r="AN73" s="1335"/>
      <c r="AO73" s="2080"/>
      <c r="AP73" s="1335"/>
      <c r="AQ73" s="1335"/>
      <c r="AR73" s="1335"/>
      <c r="AS73" s="1335"/>
      <c r="AT73" s="2080"/>
      <c r="AU73" s="1328"/>
      <c r="AV73" s="1328"/>
      <c r="AW73" s="1328"/>
      <c r="AX73" s="1328"/>
      <c r="AY73" s="2080"/>
      <c r="AZ73" s="1328"/>
      <c r="BA73" s="1328"/>
      <c r="BB73" s="1328"/>
      <c r="BC73" s="1293"/>
      <c r="BD73" s="2080"/>
      <c r="BE73" s="1327"/>
      <c r="BF73" s="1327"/>
      <c r="BG73" s="1327"/>
      <c r="BH73" s="1327"/>
      <c r="BI73" s="2080"/>
      <c r="BJ73" s="1327"/>
      <c r="BK73" s="1327"/>
      <c r="BL73" s="1327"/>
      <c r="BM73" s="1327"/>
      <c r="BN73" s="2080"/>
      <c r="BO73" s="1293"/>
      <c r="BP73" s="1293"/>
      <c r="BQ73" s="2040"/>
      <c r="BR73" s="1293"/>
      <c r="BS73" s="1293"/>
      <c r="BT73" s="1293"/>
      <c r="BU73" s="1293"/>
      <c r="BV73" s="1293"/>
      <c r="BW73" s="1293"/>
      <c r="BX73" s="1293"/>
      <c r="BY73" s="1293"/>
      <c r="BZ73" s="1293"/>
      <c r="CA73" s="1293"/>
      <c r="CB73" s="1293"/>
      <c r="CC73" s="1293"/>
      <c r="CD73" s="1293"/>
      <c r="CE73" s="1293"/>
      <c r="CF73" s="1293"/>
      <c r="CG73" s="1293"/>
      <c r="CH73" s="1293"/>
      <c r="CI73" s="1293"/>
      <c r="CJ73" s="1293"/>
      <c r="CK73" s="1293"/>
      <c r="CL73" s="1293"/>
      <c r="CM73" s="1293"/>
      <c r="CN73" s="1293"/>
      <c r="CO73" s="1293"/>
      <c r="CP73" s="1293"/>
      <c r="CQ73" s="1293"/>
      <c r="CR73" s="1293"/>
      <c r="CS73" s="1293"/>
      <c r="CT73" s="1293"/>
      <c r="CU73" s="1293"/>
      <c r="CV73" s="1293"/>
      <c r="CW73" s="1293"/>
      <c r="CX73" s="1293"/>
      <c r="CY73" s="2032"/>
      <c r="CZ73" s="1293"/>
      <c r="DA73" s="2100"/>
      <c r="DB73" s="2101"/>
      <c r="DC73" s="1293"/>
      <c r="DD73" s="1293"/>
      <c r="DE73" s="1293"/>
      <c r="DF73" s="1293"/>
      <c r="DG73" s="1293"/>
      <c r="DH73" s="1293"/>
      <c r="DI73" s="1293"/>
      <c r="DJ73" s="1293"/>
      <c r="DK73" s="1293"/>
      <c r="DL73" s="1293"/>
    </row>
    <row r="74" spans="1:116" ht="15.75">
      <c r="A74" s="1293"/>
      <c r="B74" s="1293"/>
      <c r="C74" s="1293"/>
      <c r="D74" s="1293"/>
      <c r="E74" s="1293"/>
      <c r="F74" s="1293"/>
      <c r="G74" s="2080"/>
      <c r="H74" s="1293"/>
      <c r="I74" s="1293"/>
      <c r="J74" s="1293"/>
      <c r="K74" s="1293"/>
      <c r="L74" s="2080"/>
      <c r="M74" s="1293"/>
      <c r="N74" s="1293"/>
      <c r="O74" s="1293"/>
      <c r="P74" s="1293"/>
      <c r="Q74" s="2080"/>
      <c r="R74" s="1724"/>
      <c r="S74" s="1328"/>
      <c r="T74" s="1328"/>
      <c r="U74" s="1328"/>
      <c r="V74" s="2081"/>
      <c r="W74" s="1723"/>
      <c r="X74" s="1723"/>
      <c r="Y74" s="1723"/>
      <c r="Z74" s="1723"/>
      <c r="AA74" s="2080"/>
      <c r="AB74" s="1723"/>
      <c r="AC74" s="1723"/>
      <c r="AD74" s="1723"/>
      <c r="AE74" s="1723"/>
      <c r="AF74" s="1335"/>
      <c r="AG74" s="1723"/>
      <c r="AH74" s="1723"/>
      <c r="AI74" s="1723"/>
      <c r="AJ74" s="2080"/>
      <c r="AK74" s="1335"/>
      <c r="AL74" s="1335"/>
      <c r="AM74" s="1335"/>
      <c r="AN74" s="1335"/>
      <c r="AO74" s="2080"/>
      <c r="AP74" s="1335"/>
      <c r="AQ74" s="1335"/>
      <c r="AR74" s="1335"/>
      <c r="AS74" s="1335"/>
      <c r="AT74" s="2080"/>
      <c r="AU74" s="1328"/>
      <c r="AV74" s="1328"/>
      <c r="AW74" s="1328"/>
      <c r="AX74" s="1328"/>
      <c r="AY74" s="2080"/>
      <c r="AZ74" s="1328"/>
      <c r="BA74" s="1328"/>
      <c r="BB74" s="1328"/>
      <c r="BC74" s="1293"/>
      <c r="BD74" s="2080"/>
      <c r="BE74" s="1328"/>
      <c r="BF74" s="1328"/>
      <c r="BG74" s="1328"/>
      <c r="BH74" s="1293"/>
      <c r="BI74" s="2080"/>
      <c r="BJ74" s="1328"/>
      <c r="BK74" s="1328"/>
      <c r="BL74" s="1328"/>
      <c r="BM74" s="1328"/>
      <c r="BN74" s="2080"/>
      <c r="BO74" s="1293"/>
      <c r="BP74" s="1293"/>
      <c r="BQ74" s="2040"/>
      <c r="BR74" s="1293"/>
      <c r="BS74" s="1293"/>
      <c r="BT74" s="1293"/>
      <c r="BU74" s="1293"/>
      <c r="BV74" s="1293"/>
      <c r="BW74" s="1293"/>
      <c r="BX74" s="1293"/>
      <c r="BY74" s="1293"/>
      <c r="BZ74" s="1293"/>
      <c r="CA74" s="1293"/>
      <c r="CB74" s="1293"/>
      <c r="CC74" s="1293"/>
      <c r="CD74" s="1293"/>
      <c r="CE74" s="1293"/>
      <c r="CF74" s="1293"/>
      <c r="CG74" s="1293"/>
      <c r="CH74" s="1293"/>
      <c r="CI74" s="1293"/>
      <c r="CJ74" s="1293"/>
      <c r="CK74" s="1293"/>
      <c r="CL74" s="1293"/>
      <c r="CM74" s="1293"/>
      <c r="CN74" s="1293"/>
      <c r="CO74" s="1293"/>
      <c r="CP74" s="1293"/>
      <c r="CQ74" s="1293"/>
      <c r="CR74" s="1293"/>
      <c r="CS74" s="1293"/>
      <c r="CT74" s="1293"/>
      <c r="CU74" s="1293"/>
      <c r="CV74" s="1293"/>
      <c r="CW74" s="1293"/>
      <c r="CX74" s="1293"/>
      <c r="CY74" s="2032"/>
      <c r="CZ74" s="1293"/>
      <c r="DA74" s="2100"/>
      <c r="DB74" s="2101"/>
      <c r="DC74" s="1293"/>
      <c r="DD74" s="1293"/>
      <c r="DE74" s="1293"/>
      <c r="DF74" s="1293"/>
      <c r="DG74" s="1293"/>
      <c r="DH74" s="1293"/>
      <c r="DI74" s="1293"/>
      <c r="DJ74" s="1293"/>
      <c r="DK74" s="1293"/>
      <c r="DL74" s="1293"/>
    </row>
    <row r="75" spans="1:116" ht="15.75">
      <c r="A75" s="1293"/>
      <c r="B75" s="2033" t="s">
        <v>4517</v>
      </c>
      <c r="C75" s="1293"/>
      <c r="D75" s="1293"/>
      <c r="E75" s="1293"/>
      <c r="F75" s="1293"/>
      <c r="G75" s="2080"/>
      <c r="H75" s="1293"/>
      <c r="I75" s="1293"/>
      <c r="J75" s="1293"/>
      <c r="K75" s="1293"/>
      <c r="L75" s="2080"/>
      <c r="M75" s="1293"/>
      <c r="N75" s="1293"/>
      <c r="O75" s="1293"/>
      <c r="P75" s="1293"/>
      <c r="Q75" s="2080"/>
      <c r="R75" s="1293"/>
      <c r="S75" s="1293"/>
      <c r="T75" s="1699"/>
      <c r="U75" s="1699"/>
      <c r="V75" s="2080"/>
      <c r="W75" s="1328"/>
      <c r="X75" s="1328"/>
      <c r="Y75" s="1328"/>
      <c r="Z75" s="1328"/>
      <c r="AA75" s="2080"/>
      <c r="AB75" s="1328"/>
      <c r="AC75" s="1328"/>
      <c r="AD75" s="1328"/>
      <c r="AE75" s="1328"/>
      <c r="AF75" s="1328"/>
      <c r="AG75" s="1328"/>
      <c r="AH75" s="1328"/>
      <c r="AI75" s="1328"/>
      <c r="AJ75" s="2080"/>
      <c r="AK75" s="1328"/>
      <c r="AL75" s="1328"/>
      <c r="AM75" s="1328"/>
      <c r="AN75" s="1328"/>
      <c r="AO75" s="2080"/>
      <c r="AP75" s="1328"/>
      <c r="AQ75" s="1328"/>
      <c r="AR75" s="1328"/>
      <c r="AS75" s="1328"/>
      <c r="AT75" s="2080"/>
      <c r="AU75" s="1328"/>
      <c r="AV75" s="1328"/>
      <c r="AW75" s="1328"/>
      <c r="AX75" s="1328"/>
      <c r="AY75" s="2080"/>
      <c r="AZ75" s="1328"/>
      <c r="BA75" s="1328"/>
      <c r="BB75" s="1328"/>
      <c r="BC75" s="1293"/>
      <c r="BD75" s="2080"/>
      <c r="BE75" s="1328"/>
      <c r="BF75" s="1328"/>
      <c r="BG75" s="1328"/>
      <c r="BH75" s="1293"/>
      <c r="BI75" s="2080"/>
      <c r="BJ75" s="1328"/>
      <c r="BK75" s="1328"/>
      <c r="BL75" s="1328"/>
      <c r="BM75" s="1328"/>
      <c r="BN75" s="2080"/>
      <c r="BO75" s="1293"/>
      <c r="BP75" s="1293"/>
      <c r="BQ75" s="2040"/>
      <c r="BR75" s="1293"/>
      <c r="BS75" s="1293"/>
      <c r="BT75" s="1293"/>
      <c r="BU75" s="1293"/>
      <c r="BV75" s="1293"/>
      <c r="BW75" s="1293"/>
      <c r="BX75" s="1293"/>
      <c r="BY75" s="1293"/>
      <c r="BZ75" s="1293"/>
      <c r="CA75" s="1293"/>
      <c r="CB75" s="1293"/>
      <c r="CC75" s="1293"/>
      <c r="CD75" s="1293"/>
      <c r="CE75" s="1293"/>
      <c r="CF75" s="1293"/>
      <c r="CG75" s="1293"/>
      <c r="CH75" s="1293"/>
      <c r="CI75" s="1293"/>
      <c r="CJ75" s="1293"/>
      <c r="CK75" s="1293"/>
      <c r="CL75" s="1293"/>
      <c r="CM75" s="1293"/>
      <c r="CN75" s="1293"/>
      <c r="CO75" s="1293"/>
      <c r="CP75" s="1293"/>
      <c r="CQ75" s="1293"/>
      <c r="CR75" s="1293"/>
      <c r="CS75" s="1293"/>
      <c r="CT75" s="1293"/>
      <c r="CU75" s="1293"/>
      <c r="CV75" s="1293"/>
      <c r="CW75" s="1293"/>
      <c r="CX75" s="1293"/>
      <c r="CY75" s="2032"/>
      <c r="CZ75" s="1293"/>
      <c r="DA75" s="2100"/>
      <c r="DB75" s="2101"/>
      <c r="DC75" s="1293"/>
      <c r="DD75" s="1293"/>
      <c r="DE75" s="1293"/>
      <c r="DF75" s="1293"/>
      <c r="DG75" s="1293"/>
      <c r="DH75" s="1293"/>
      <c r="DI75" s="1293"/>
      <c r="DJ75" s="1293"/>
      <c r="DK75" s="1293"/>
      <c r="DL75" s="1293"/>
    </row>
    <row r="76" spans="1:116" ht="15.75">
      <c r="A76" s="1293"/>
      <c r="B76" s="1293" t="str">
        <f t="shared" ref="B76:B85" si="110">B39</f>
        <v>El Salvador</v>
      </c>
      <c r="C76" s="1699">
        <f t="shared" ref="C76:P76" si="111">C3-C39</f>
        <v>5.195591549999989</v>
      </c>
      <c r="D76" s="1699">
        <f t="shared" si="111"/>
        <v>7.8051865600000099</v>
      </c>
      <c r="E76" s="1699">
        <f t="shared" si="111"/>
        <v>7.1873254900000063</v>
      </c>
      <c r="F76" s="1699">
        <f t="shared" si="111"/>
        <v>9.8995910200000026</v>
      </c>
      <c r="G76" s="2039">
        <f t="shared" si="111"/>
        <v>30.087694619999979</v>
      </c>
      <c r="H76" s="1699">
        <f t="shared" si="111"/>
        <v>7.1899806299999938</v>
      </c>
      <c r="I76" s="1699">
        <f t="shared" si="111"/>
        <v>7.5429170599999935</v>
      </c>
      <c r="J76" s="1699">
        <f t="shared" si="111"/>
        <v>6.6342395599999975</v>
      </c>
      <c r="K76" s="1699">
        <f t="shared" si="111"/>
        <v>8.2254870999999952</v>
      </c>
      <c r="L76" s="2039">
        <f t="shared" si="111"/>
        <v>29.592624349999994</v>
      </c>
      <c r="M76" s="1699">
        <f t="shared" si="111"/>
        <v>5.473127109999993</v>
      </c>
      <c r="N76" s="1699">
        <f t="shared" si="111"/>
        <v>5.557361819999997</v>
      </c>
      <c r="O76" s="1699">
        <f t="shared" si="111"/>
        <v>5.5517114500006102</v>
      </c>
      <c r="P76" s="1699">
        <f t="shared" si="111"/>
        <v>9</v>
      </c>
      <c r="Q76" s="2039">
        <f>'New split'!F86</f>
        <v>25.582200380000586</v>
      </c>
      <c r="R76" s="1699">
        <f t="shared" ref="R76:U78" si="112">R3-R39</f>
        <v>6</v>
      </c>
      <c r="S76" s="1699">
        <f t="shared" si="112"/>
        <v>6</v>
      </c>
      <c r="T76" s="1699">
        <f t="shared" si="112"/>
        <v>5</v>
      </c>
      <c r="U76" s="1699">
        <f t="shared" si="112"/>
        <v>7</v>
      </c>
      <c r="V76" s="2039">
        <f>'New split'!G86</f>
        <v>24</v>
      </c>
      <c r="W76" s="1699">
        <f t="shared" ref="W76:Z78" si="113">W3-W39</f>
        <v>8</v>
      </c>
      <c r="X76" s="1699">
        <f t="shared" si="113"/>
        <v>9</v>
      </c>
      <c r="Y76" s="1699">
        <f t="shared" si="113"/>
        <v>8</v>
      </c>
      <c r="Z76" s="1699">
        <f t="shared" si="113"/>
        <v>10</v>
      </c>
      <c r="AA76" s="2039">
        <f>SUM(W76:Z76)</f>
        <v>35</v>
      </c>
      <c r="AB76" s="1699">
        <f t="shared" ref="AB76:AI79" si="114">AB3-AB39</f>
        <v>8</v>
      </c>
      <c r="AC76" s="1699">
        <f t="shared" si="114"/>
        <v>8</v>
      </c>
      <c r="AD76" s="1699">
        <f t="shared" si="114"/>
        <v>10</v>
      </c>
      <c r="AE76" s="1699">
        <f t="shared" si="114"/>
        <v>10</v>
      </c>
      <c r="AF76" s="1699">
        <f t="shared" si="114"/>
        <v>9</v>
      </c>
      <c r="AG76" s="1699">
        <f t="shared" si="114"/>
        <v>9</v>
      </c>
      <c r="AH76" s="1699">
        <f t="shared" si="114"/>
        <v>11</v>
      </c>
      <c r="AI76" s="1699">
        <f t="shared" si="114"/>
        <v>11</v>
      </c>
      <c r="AJ76" s="2039">
        <f>'New split'!I86</f>
        <v>38</v>
      </c>
      <c r="AK76" s="1699">
        <f t="shared" ref="AK76:AN79" si="115">AK3-AK39</f>
        <v>8</v>
      </c>
      <c r="AL76" s="1699">
        <f t="shared" si="115"/>
        <v>6</v>
      </c>
      <c r="AM76" s="1699">
        <f t="shared" si="115"/>
        <v>12</v>
      </c>
      <c r="AN76" s="1699">
        <f t="shared" si="115"/>
        <v>17</v>
      </c>
      <c r="AO76" s="2039">
        <f t="shared" ref="AO76:AO88" si="116">AK76+AL76+AM76+AN76</f>
        <v>43</v>
      </c>
      <c r="AP76" s="2475">
        <f t="shared" ref="AP76:AS79" si="117">AP3-AP39</f>
        <v>12</v>
      </c>
      <c r="AQ76" s="2475">
        <f t="shared" si="117"/>
        <v>11</v>
      </c>
      <c r="AR76" s="2475">
        <f t="shared" si="117"/>
        <v>12</v>
      </c>
      <c r="AS76" s="2475">
        <f t="shared" si="117"/>
        <v>14</v>
      </c>
      <c r="AT76" s="2476">
        <f t="shared" ref="AT76:AT88" si="118">AP76+AQ76+AR76+AS76</f>
        <v>49</v>
      </c>
      <c r="AU76" s="2475">
        <f t="shared" ref="AU76:AX79" si="119">AU3-AU39</f>
        <v>11.803399999999996</v>
      </c>
      <c r="AV76" s="2475">
        <f t="shared" si="119"/>
        <v>12.01339999999999</v>
      </c>
      <c r="AW76" s="2475">
        <f t="shared" si="119"/>
        <v>11.09259999999999</v>
      </c>
      <c r="AX76" s="2475">
        <f t="shared" si="119"/>
        <v>12.3142</v>
      </c>
      <c r="AY76" s="2476">
        <f>'New split'!L86</f>
        <v>47.223599999999976</v>
      </c>
      <c r="AZ76" s="2475">
        <f t="shared" ref="AZ76:BC79" si="120">AZ3-AZ39</f>
        <v>10.566400000000002</v>
      </c>
      <c r="BA76" s="2475">
        <f t="shared" si="120"/>
        <v>11.695899999999995</v>
      </c>
      <c r="BB76" s="2475">
        <f t="shared" si="120"/>
        <v>12.011299999999991</v>
      </c>
      <c r="BC76" s="2475">
        <f t="shared" si="120"/>
        <v>11.905499999999989</v>
      </c>
      <c r="BD76" s="2476">
        <f>'New split'!M86</f>
        <v>46.179099999999949</v>
      </c>
      <c r="BE76" s="2475">
        <f t="shared" ref="BE76:BG79" si="121">BE3-BE39</f>
        <v>13.762599999999992</v>
      </c>
      <c r="BF76" s="2475">
        <f t="shared" si="121"/>
        <v>10.408799999999999</v>
      </c>
      <c r="BG76" s="2475">
        <f t="shared" si="121"/>
        <v>11.691699999999997</v>
      </c>
      <c r="BH76" s="2475">
        <f t="shared" ref="BH76:BH83" si="122">BH3-BH39</f>
        <v>11.742699999999999</v>
      </c>
      <c r="BI76" s="2476">
        <f>'New split'!N86</f>
        <v>47.605800000000045</v>
      </c>
      <c r="BJ76" s="2475">
        <f>BN76/4</f>
        <v>11.9255</v>
      </c>
      <c r="BK76" s="2475">
        <f>BJ76</f>
        <v>11.9255</v>
      </c>
      <c r="BL76" s="2475">
        <f>BK76</f>
        <v>11.9255</v>
      </c>
      <c r="BM76" s="2475">
        <f>BN76-BJ76-BK76-BL76</f>
        <v>11.9255</v>
      </c>
      <c r="BN76" s="2476">
        <f>'New split'!O86</f>
        <v>47.701999999999998</v>
      </c>
      <c r="BO76" s="1699"/>
      <c r="BP76" s="1699"/>
      <c r="BQ76" s="2040"/>
      <c r="BR76" s="1293"/>
      <c r="BS76" s="1293"/>
      <c r="BT76" s="1293"/>
      <c r="BU76" s="1293"/>
      <c r="BV76" s="1293"/>
      <c r="BW76" s="1293"/>
      <c r="BX76" s="1293"/>
      <c r="BY76" s="1293"/>
      <c r="BZ76" s="1293"/>
      <c r="CA76" s="1293"/>
      <c r="CB76" s="1293"/>
      <c r="CC76" s="1293"/>
      <c r="CD76" s="1293"/>
      <c r="CE76" s="1293"/>
      <c r="CF76" s="1293"/>
      <c r="CG76" s="1293"/>
      <c r="CH76" s="1293"/>
      <c r="CI76" s="1293"/>
      <c r="CJ76" s="1293"/>
      <c r="CK76" s="1293"/>
      <c r="CL76" s="1293"/>
      <c r="CM76" s="1293"/>
      <c r="CN76" s="1293"/>
      <c r="CO76" s="1293"/>
      <c r="CP76" s="1293"/>
      <c r="CQ76" s="1293"/>
      <c r="CR76" s="1293"/>
      <c r="CS76" s="1293"/>
      <c r="CT76" s="1293"/>
      <c r="CU76" s="1293"/>
      <c r="CV76" s="1293"/>
      <c r="CW76" s="1293"/>
      <c r="CX76" s="1293"/>
      <c r="CY76" s="2041">
        <v>11.878999999999991</v>
      </c>
      <c r="CZ76" s="2053">
        <v>12</v>
      </c>
      <c r="DA76" s="2098">
        <v>12</v>
      </c>
      <c r="DB76" s="2099">
        <v>12</v>
      </c>
      <c r="DC76" s="1293"/>
      <c r="DD76" s="1293"/>
      <c r="DE76" s="1293"/>
      <c r="DF76" s="1293"/>
      <c r="DG76" s="1293"/>
      <c r="DH76" s="1293"/>
      <c r="DI76" s="1293"/>
      <c r="DJ76" s="1293"/>
      <c r="DK76" s="1293"/>
      <c r="DL76" s="1293"/>
    </row>
    <row r="77" spans="1:116" ht="15.75">
      <c r="A77" s="1293"/>
      <c r="B77" s="1293" t="str">
        <f t="shared" si="110"/>
        <v>Guatemala</v>
      </c>
      <c r="C77" s="1699">
        <f t="shared" ref="C77:P77" si="123">C4-C40</f>
        <v>31.087087358842041</v>
      </c>
      <c r="D77" s="1699">
        <f t="shared" si="123"/>
        <v>32.582029969738983</v>
      </c>
      <c r="E77" s="1699">
        <f t="shared" si="123"/>
        <v>31.40904988040802</v>
      </c>
      <c r="F77" s="1699">
        <f t="shared" si="123"/>
        <v>41.993784061517999</v>
      </c>
      <c r="G77" s="2039">
        <f t="shared" si="123"/>
        <v>137.07195127050704</v>
      </c>
      <c r="H77" s="1699">
        <f t="shared" si="123"/>
        <v>34.873776803047974</v>
      </c>
      <c r="I77" s="1699">
        <f t="shared" si="123"/>
        <v>33.95124580737405</v>
      </c>
      <c r="J77" s="1699">
        <f t="shared" si="123"/>
        <v>37.008301392600004</v>
      </c>
      <c r="K77" s="1699">
        <f t="shared" si="123"/>
        <v>44.042776368054945</v>
      </c>
      <c r="L77" s="2039">
        <f t="shared" si="123"/>
        <v>149.87610037107697</v>
      </c>
      <c r="M77" s="1699">
        <f t="shared" si="123"/>
        <v>31.293915613101035</v>
      </c>
      <c r="N77" s="1699">
        <f t="shared" si="123"/>
        <v>36.416841854172958</v>
      </c>
      <c r="O77" s="1699">
        <f t="shared" si="123"/>
        <v>33.505506728591001</v>
      </c>
      <c r="P77" s="1699">
        <f t="shared" si="123"/>
        <v>40</v>
      </c>
      <c r="Q77" s="2039">
        <f>'New split'!F87</f>
        <v>141.21626419586505</v>
      </c>
      <c r="R77" s="1699">
        <f t="shared" si="112"/>
        <v>34</v>
      </c>
      <c r="S77" s="1699">
        <f t="shared" si="112"/>
        <v>34</v>
      </c>
      <c r="T77" s="1699">
        <f t="shared" si="112"/>
        <v>34</v>
      </c>
      <c r="U77" s="1699">
        <f t="shared" si="112"/>
        <v>42</v>
      </c>
      <c r="V77" s="2039">
        <f>'New split'!G87</f>
        <v>144</v>
      </c>
      <c r="W77" s="1699">
        <f t="shared" si="113"/>
        <v>38</v>
      </c>
      <c r="X77" s="1699">
        <f t="shared" si="113"/>
        <v>41</v>
      </c>
      <c r="Y77" s="1699">
        <f t="shared" si="113"/>
        <v>41</v>
      </c>
      <c r="Z77" s="1699">
        <f t="shared" si="113"/>
        <v>52</v>
      </c>
      <c r="AA77" s="2039">
        <f>SUM(W77:Z77)</f>
        <v>172</v>
      </c>
      <c r="AB77" s="1699">
        <f t="shared" si="114"/>
        <v>40</v>
      </c>
      <c r="AC77" s="1699">
        <f t="shared" si="114"/>
        <v>40</v>
      </c>
      <c r="AD77" s="1699">
        <f t="shared" si="114"/>
        <v>45</v>
      </c>
      <c r="AE77" s="1699">
        <f t="shared" si="114"/>
        <v>45</v>
      </c>
      <c r="AF77" s="1699">
        <f t="shared" si="114"/>
        <v>55</v>
      </c>
      <c r="AG77" s="1699">
        <f t="shared" si="114"/>
        <v>55</v>
      </c>
      <c r="AH77" s="1699">
        <f t="shared" si="114"/>
        <v>61</v>
      </c>
      <c r="AI77" s="1699">
        <f t="shared" si="114"/>
        <v>61</v>
      </c>
      <c r="AJ77" s="2039">
        <f>'New split'!I87</f>
        <v>201</v>
      </c>
      <c r="AK77" s="1699">
        <f t="shared" si="115"/>
        <v>50</v>
      </c>
      <c r="AL77" s="1699">
        <f t="shared" si="115"/>
        <v>52</v>
      </c>
      <c r="AM77" s="1699">
        <f t="shared" si="115"/>
        <v>66</v>
      </c>
      <c r="AN77" s="1699">
        <f t="shared" si="115"/>
        <v>63</v>
      </c>
      <c r="AO77" s="2039">
        <f t="shared" si="116"/>
        <v>231</v>
      </c>
      <c r="AP77" s="2475">
        <f t="shared" si="117"/>
        <v>54</v>
      </c>
      <c r="AQ77" s="2475">
        <f t="shared" si="117"/>
        <v>60</v>
      </c>
      <c r="AR77" s="2475">
        <f t="shared" si="117"/>
        <v>57</v>
      </c>
      <c r="AS77" s="2475">
        <f t="shared" si="117"/>
        <v>65</v>
      </c>
      <c r="AT77" s="2476">
        <f t="shared" si="118"/>
        <v>236</v>
      </c>
      <c r="AU77" s="2475">
        <f t="shared" si="119"/>
        <v>53.762400000000014</v>
      </c>
      <c r="AV77" s="2475">
        <f t="shared" si="119"/>
        <v>73.950999999999965</v>
      </c>
      <c r="AW77" s="2475">
        <f t="shared" si="119"/>
        <v>59.415200000000027</v>
      </c>
      <c r="AX77" s="2475">
        <f t="shared" si="119"/>
        <v>58.014099999999985</v>
      </c>
      <c r="AY77" s="2476">
        <f>'New split'!L87</f>
        <v>245.14269999999988</v>
      </c>
      <c r="AZ77" s="2475">
        <f t="shared" si="120"/>
        <v>61.9572</v>
      </c>
      <c r="BA77" s="2475">
        <f t="shared" si="120"/>
        <v>57.487699999999961</v>
      </c>
      <c r="BB77" s="2475">
        <f t="shared" si="120"/>
        <v>51.777199999999993</v>
      </c>
      <c r="BC77" s="2475">
        <f t="shared" si="120"/>
        <v>54.151200000000017</v>
      </c>
      <c r="BD77" s="2476">
        <f>'New split'!M87</f>
        <v>225.37329999999974</v>
      </c>
      <c r="BE77" s="2475">
        <f t="shared" si="121"/>
        <v>57.291100000000029</v>
      </c>
      <c r="BF77" s="2475">
        <f t="shared" si="121"/>
        <v>51.512</v>
      </c>
      <c r="BG77" s="2475">
        <f t="shared" si="121"/>
        <v>50.006500000000017</v>
      </c>
      <c r="BH77" s="2475">
        <f t="shared" si="122"/>
        <v>53.543300000000045</v>
      </c>
      <c r="BI77" s="2476">
        <f>'New split'!N87</f>
        <v>212.35290000000009</v>
      </c>
      <c r="BJ77" s="2475">
        <f t="shared" ref="BJ77:BJ88" si="124">BN77/4</f>
        <v>53.564168463636406</v>
      </c>
      <c r="BK77" s="2475">
        <f t="shared" ref="BK77:BL77" si="125">BJ77</f>
        <v>53.564168463636406</v>
      </c>
      <c r="BL77" s="2475">
        <f t="shared" si="125"/>
        <v>53.564168463636406</v>
      </c>
      <c r="BM77" s="2475">
        <f t="shared" ref="BM77:BM88" si="126">BN77-BJ77-BK77-BL77</f>
        <v>53.564168463636406</v>
      </c>
      <c r="BN77" s="2476">
        <f>'New split'!O87</f>
        <v>214.25667385454562</v>
      </c>
      <c r="BO77" s="1699"/>
      <c r="BP77" s="1699"/>
      <c r="BQ77" s="2040"/>
      <c r="BR77" s="1293"/>
      <c r="BS77" s="1293"/>
      <c r="BT77" s="1293"/>
      <c r="BU77" s="1293"/>
      <c r="BV77" s="1293"/>
      <c r="BW77" s="1293"/>
      <c r="BX77" s="1293"/>
      <c r="BY77" s="1293"/>
      <c r="BZ77" s="1293"/>
      <c r="CA77" s="1293"/>
      <c r="CB77" s="1293"/>
      <c r="CC77" s="1293"/>
      <c r="CD77" s="1293"/>
      <c r="CE77" s="1293"/>
      <c r="CF77" s="1293"/>
      <c r="CG77" s="1293"/>
      <c r="CH77" s="1293"/>
      <c r="CI77" s="1293"/>
      <c r="CJ77" s="1293"/>
      <c r="CK77" s="1293"/>
      <c r="CL77" s="1293"/>
      <c r="CM77" s="1293"/>
      <c r="CN77" s="1293"/>
      <c r="CO77" s="1293"/>
      <c r="CP77" s="1293"/>
      <c r="CQ77" s="1293"/>
      <c r="CR77" s="1293"/>
      <c r="CS77" s="1293"/>
      <c r="CT77" s="1293"/>
      <c r="CU77" s="1293"/>
      <c r="CV77" s="1293"/>
      <c r="CW77" s="1293"/>
      <c r="CX77" s="1293"/>
      <c r="CY77" s="2041">
        <v>51.721361430395973</v>
      </c>
      <c r="CZ77" s="2053">
        <v>60</v>
      </c>
      <c r="DA77" s="2098">
        <v>58</v>
      </c>
      <c r="DB77" s="2099">
        <v>50</v>
      </c>
      <c r="DC77" s="1293"/>
      <c r="DD77" s="1293"/>
      <c r="DE77" s="1293"/>
      <c r="DF77" s="1293"/>
      <c r="DG77" s="1293"/>
      <c r="DH77" s="1293"/>
      <c r="DI77" s="1293"/>
      <c r="DJ77" s="1293"/>
      <c r="DK77" s="1293"/>
      <c r="DL77" s="1293"/>
    </row>
    <row r="78" spans="1:116" ht="15.75">
      <c r="A78" s="1293"/>
      <c r="B78" s="1293" t="str">
        <f t="shared" si="110"/>
        <v>Honduras (JV)</v>
      </c>
      <c r="C78" s="1699">
        <f t="shared" ref="C78:P78" si="127">C5-C41</f>
        <v>4.0766345846139984</v>
      </c>
      <c r="D78" s="1699">
        <f t="shared" si="127"/>
        <v>4.7511147633270241</v>
      </c>
      <c r="E78" s="1699">
        <f t="shared" si="127"/>
        <v>5.6605998158920272</v>
      </c>
      <c r="F78" s="1699">
        <f t="shared" si="127"/>
        <v>11.089122732380986</v>
      </c>
      <c r="G78" s="2039">
        <f t="shared" si="127"/>
        <v>25.577471896213979</v>
      </c>
      <c r="H78" s="1699">
        <f t="shared" si="127"/>
        <v>9.6040799901250011</v>
      </c>
      <c r="I78" s="1699">
        <f t="shared" si="127"/>
        <v>7.9480326653540203</v>
      </c>
      <c r="J78" s="1699">
        <f t="shared" si="127"/>
        <v>6.6903173061110124</v>
      </c>
      <c r="K78" s="1699">
        <f t="shared" si="127"/>
        <v>8.1386837056610091</v>
      </c>
      <c r="L78" s="2039">
        <f t="shared" si="127"/>
        <v>32.381113667251043</v>
      </c>
      <c r="M78" s="1699">
        <f t="shared" si="127"/>
        <v>7.1882567332210101</v>
      </c>
      <c r="N78" s="1699">
        <f t="shared" si="127"/>
        <v>6.5812516808059911</v>
      </c>
      <c r="O78" s="1699">
        <f t="shared" si="127"/>
        <v>4.9258575436300021</v>
      </c>
      <c r="P78" s="1699">
        <f t="shared" si="127"/>
        <v>5</v>
      </c>
      <c r="Q78" s="2039">
        <f>'New split'!F88</f>
        <v>23.695365957656918</v>
      </c>
      <c r="R78" s="1699">
        <f t="shared" si="112"/>
        <v>6</v>
      </c>
      <c r="S78" s="1699">
        <f t="shared" si="112"/>
        <v>6</v>
      </c>
      <c r="T78" s="1699">
        <f t="shared" si="112"/>
        <v>4</v>
      </c>
      <c r="U78" s="1699">
        <f t="shared" si="112"/>
        <v>4</v>
      </c>
      <c r="V78" s="2039">
        <f>'New split'!G88</f>
        <v>20</v>
      </c>
      <c r="W78" s="1699">
        <f t="shared" si="113"/>
        <v>7</v>
      </c>
      <c r="X78" s="1699">
        <f t="shared" si="113"/>
        <v>8</v>
      </c>
      <c r="Y78" s="1699">
        <f t="shared" si="113"/>
        <v>8</v>
      </c>
      <c r="Z78" s="1699">
        <f t="shared" si="113"/>
        <v>9</v>
      </c>
      <c r="AA78" s="2039">
        <f>SUM(W78:Z78)</f>
        <v>32</v>
      </c>
      <c r="AB78" s="1699">
        <f t="shared" si="114"/>
        <v>9</v>
      </c>
      <c r="AC78" s="1699">
        <f t="shared" si="114"/>
        <v>9</v>
      </c>
      <c r="AD78" s="1699">
        <f t="shared" si="114"/>
        <v>10</v>
      </c>
      <c r="AE78" s="1699">
        <f t="shared" si="114"/>
        <v>10</v>
      </c>
      <c r="AF78" s="1699">
        <f t="shared" si="114"/>
        <v>11</v>
      </c>
      <c r="AG78" s="1699">
        <f t="shared" si="114"/>
        <v>11</v>
      </c>
      <c r="AH78" s="1699">
        <f t="shared" si="114"/>
        <v>13</v>
      </c>
      <c r="AI78" s="1699">
        <f t="shared" si="114"/>
        <v>13</v>
      </c>
      <c r="AJ78" s="2039">
        <f>'New split'!I88</f>
        <v>43</v>
      </c>
      <c r="AK78" s="1699">
        <f t="shared" si="115"/>
        <v>8</v>
      </c>
      <c r="AL78" s="1699">
        <f t="shared" si="115"/>
        <v>5</v>
      </c>
      <c r="AM78" s="1699">
        <f t="shared" si="115"/>
        <v>9</v>
      </c>
      <c r="AN78" s="1699">
        <f t="shared" si="115"/>
        <v>14</v>
      </c>
      <c r="AO78" s="2039">
        <f t="shared" si="116"/>
        <v>36</v>
      </c>
      <c r="AP78" s="2475">
        <f t="shared" si="117"/>
        <v>10</v>
      </c>
      <c r="AQ78" s="2475">
        <f t="shared" si="117"/>
        <v>11</v>
      </c>
      <c r="AR78" s="2475">
        <f t="shared" si="117"/>
        <v>9</v>
      </c>
      <c r="AS78" s="2475">
        <f t="shared" si="117"/>
        <v>11</v>
      </c>
      <c r="AT78" s="2476">
        <f t="shared" si="118"/>
        <v>41</v>
      </c>
      <c r="AU78" s="2475">
        <f t="shared" si="119"/>
        <v>7.9924000000000035</v>
      </c>
      <c r="AV78" s="2475">
        <f t="shared" si="119"/>
        <v>9.758499999999998</v>
      </c>
      <c r="AW78" s="2475">
        <f t="shared" si="119"/>
        <v>9.0467999999999904</v>
      </c>
      <c r="AX78" s="2475">
        <f t="shared" si="119"/>
        <v>9.6234000000000037</v>
      </c>
      <c r="AY78" s="2476">
        <f>'New split'!L88</f>
        <v>36.421100000000024</v>
      </c>
      <c r="AZ78" s="2475">
        <f t="shared" si="120"/>
        <v>8.8045999999999935</v>
      </c>
      <c r="BA78" s="2475">
        <f t="shared" si="120"/>
        <v>10.681700000000006</v>
      </c>
      <c r="BB78" s="2475">
        <f t="shared" si="120"/>
        <v>10.682500000000005</v>
      </c>
      <c r="BC78" s="2475">
        <f t="shared" si="120"/>
        <v>9.1167000000000087</v>
      </c>
      <c r="BD78" s="2476">
        <f>'New split'!M88</f>
        <v>39.285499999999956</v>
      </c>
      <c r="BE78" s="2475">
        <f t="shared" si="121"/>
        <v>8.3935999999999922</v>
      </c>
      <c r="BF78" s="2475">
        <f t="shared" si="121"/>
        <v>9.7139999999999986</v>
      </c>
      <c r="BG78" s="2475">
        <f t="shared" si="121"/>
        <v>7.4076000000000022</v>
      </c>
      <c r="BH78" s="2475">
        <f t="shared" si="122"/>
        <v>8.6441999999999837</v>
      </c>
      <c r="BI78" s="2476">
        <f>'New split'!N88</f>
        <v>34.159400000000005</v>
      </c>
      <c r="BJ78" s="2475">
        <f t="shared" si="124"/>
        <v>8.3099661425781051</v>
      </c>
      <c r="BK78" s="2475">
        <f t="shared" ref="BK78:BL78" si="128">BJ78</f>
        <v>8.3099661425781051</v>
      </c>
      <c r="BL78" s="2475">
        <f t="shared" si="128"/>
        <v>8.3099661425781051</v>
      </c>
      <c r="BM78" s="2475">
        <f t="shared" si="126"/>
        <v>8.3099661425781051</v>
      </c>
      <c r="BN78" s="2476">
        <f>'New split'!O88</f>
        <v>33.23986457031242</v>
      </c>
      <c r="BO78" s="1699"/>
      <c r="BP78" s="1699"/>
      <c r="BQ78" s="2040"/>
      <c r="BR78" s="1293"/>
      <c r="BS78" s="1293"/>
      <c r="BT78" s="1293"/>
      <c r="BU78" s="1293"/>
      <c r="BV78" s="1293"/>
      <c r="BW78" s="1293"/>
      <c r="BX78" s="1293"/>
      <c r="BY78" s="1293"/>
      <c r="BZ78" s="1293"/>
      <c r="CA78" s="1293"/>
      <c r="CB78" s="1293"/>
      <c r="CC78" s="1293"/>
      <c r="CD78" s="1293"/>
      <c r="CE78" s="1293"/>
      <c r="CF78" s="1293"/>
      <c r="CG78" s="1293"/>
      <c r="CH78" s="1293"/>
      <c r="CI78" s="1293"/>
      <c r="CJ78" s="1293"/>
      <c r="CK78" s="1293"/>
      <c r="CL78" s="1293"/>
      <c r="CM78" s="1293"/>
      <c r="CN78" s="1293"/>
      <c r="CO78" s="1293"/>
      <c r="CP78" s="1293"/>
      <c r="CQ78" s="1293"/>
      <c r="CR78" s="1293"/>
      <c r="CS78" s="1293"/>
      <c r="CT78" s="1293"/>
      <c r="CU78" s="1293"/>
      <c r="CV78" s="1293"/>
      <c r="CW78" s="1293"/>
      <c r="CX78" s="1293"/>
      <c r="CY78" s="2041">
        <v>11.897075425790767</v>
      </c>
      <c r="CZ78" s="2053">
        <v>9</v>
      </c>
      <c r="DA78" s="2098">
        <v>10</v>
      </c>
      <c r="DB78" s="2099">
        <v>10</v>
      </c>
      <c r="DC78" s="1293"/>
      <c r="DD78" s="1293"/>
      <c r="DE78" s="1293"/>
      <c r="DF78" s="1293"/>
      <c r="DG78" s="1293"/>
      <c r="DH78" s="1293"/>
      <c r="DI78" s="1293"/>
      <c r="DJ78" s="1293"/>
      <c r="DK78" s="1293"/>
      <c r="DL78" s="1293"/>
    </row>
    <row r="79" spans="1:116" ht="15.75">
      <c r="A79" s="1293"/>
      <c r="B79" s="1293" t="str">
        <f t="shared" si="110"/>
        <v>Panama</v>
      </c>
      <c r="C79" s="1699"/>
      <c r="D79" s="1699"/>
      <c r="E79" s="1699"/>
      <c r="F79" s="1699"/>
      <c r="G79" s="2039"/>
      <c r="H79" s="1699"/>
      <c r="I79" s="1699"/>
      <c r="J79" s="1699"/>
      <c r="K79" s="1699"/>
      <c r="L79" s="2039"/>
      <c r="M79" s="1699"/>
      <c r="N79" s="1699"/>
      <c r="O79" s="1699"/>
      <c r="P79" s="1699"/>
      <c r="Q79" s="2039"/>
      <c r="R79" s="1699"/>
      <c r="S79" s="1699"/>
      <c r="T79" s="1699"/>
      <c r="U79" s="1699"/>
      <c r="V79" s="2039"/>
      <c r="W79" s="1699"/>
      <c r="X79" s="1699"/>
      <c r="Y79" s="1699"/>
      <c r="Z79" s="1699"/>
      <c r="AA79" s="2039"/>
      <c r="AB79" s="1699">
        <f t="shared" si="114"/>
        <v>0</v>
      </c>
      <c r="AC79" s="1699">
        <f t="shared" si="114"/>
        <v>0</v>
      </c>
      <c r="AD79" s="1699">
        <f t="shared" si="114"/>
        <v>0</v>
      </c>
      <c r="AE79" s="1699">
        <f t="shared" si="114"/>
        <v>0</v>
      </c>
      <c r="AF79" s="1699">
        <f t="shared" si="114"/>
        <v>1</v>
      </c>
      <c r="AG79" s="1699">
        <f t="shared" si="114"/>
        <v>1</v>
      </c>
      <c r="AH79" s="1699">
        <f t="shared" si="114"/>
        <v>-0.19999999999998863</v>
      </c>
      <c r="AI79" s="1699">
        <f t="shared" si="114"/>
        <v>-0.19999999999998863</v>
      </c>
      <c r="AJ79" s="2039">
        <f>'New split'!I92</f>
        <v>0</v>
      </c>
      <c r="AK79" s="1699">
        <f t="shared" si="115"/>
        <v>4</v>
      </c>
      <c r="AL79" s="1699">
        <f t="shared" si="115"/>
        <v>3</v>
      </c>
      <c r="AM79" s="1699">
        <f t="shared" si="115"/>
        <v>5</v>
      </c>
      <c r="AN79" s="1699">
        <f t="shared" si="115"/>
        <v>5</v>
      </c>
      <c r="AO79" s="2039">
        <f t="shared" si="116"/>
        <v>17</v>
      </c>
      <c r="AP79" s="2475">
        <f t="shared" si="117"/>
        <v>6</v>
      </c>
      <c r="AQ79" s="2475">
        <f t="shared" si="117"/>
        <v>7</v>
      </c>
      <c r="AR79" s="2475">
        <f t="shared" si="117"/>
        <v>6</v>
      </c>
      <c r="AS79" s="2475">
        <f t="shared" si="117"/>
        <v>6</v>
      </c>
      <c r="AT79" s="2476">
        <f t="shared" si="118"/>
        <v>25</v>
      </c>
      <c r="AU79" s="2475">
        <f t="shared" si="119"/>
        <v>5.3877999999999986</v>
      </c>
      <c r="AV79" s="2475">
        <f t="shared" si="119"/>
        <v>7.4095999999999833</v>
      </c>
      <c r="AW79" s="2475">
        <f t="shared" si="119"/>
        <v>8.0927000000000078</v>
      </c>
      <c r="AX79" s="2475">
        <f t="shared" si="119"/>
        <v>6.1826999999999828</v>
      </c>
      <c r="AY79" s="2476">
        <f>'New split'!L89</f>
        <v>27.072799999999916</v>
      </c>
      <c r="AZ79" s="2475">
        <f t="shared" si="120"/>
        <v>7.8940000000000055</v>
      </c>
      <c r="BA79" s="2475">
        <f t="shared" si="120"/>
        <v>8.9808999999999912</v>
      </c>
      <c r="BB79" s="2475">
        <f t="shared" si="120"/>
        <v>18.249300000000005</v>
      </c>
      <c r="BC79" s="2475">
        <f t="shared" si="120"/>
        <v>14.27170000000001</v>
      </c>
      <c r="BD79" s="2476">
        <f>'New split'!M89</f>
        <v>49.395899999999983</v>
      </c>
      <c r="BE79" s="2475">
        <f t="shared" si="121"/>
        <v>22.534999999999997</v>
      </c>
      <c r="BF79" s="2475">
        <f t="shared" si="121"/>
        <v>16.674999999999983</v>
      </c>
      <c r="BG79" s="2475">
        <f t="shared" si="121"/>
        <v>8.2857000000000198</v>
      </c>
      <c r="BH79" s="2475">
        <f t="shared" si="122"/>
        <v>8.1734000000000151</v>
      </c>
      <c r="BI79" s="2476">
        <f>'New split'!N89</f>
        <v>55.669100000000071</v>
      </c>
      <c r="BJ79" s="2475">
        <f t="shared" si="124"/>
        <v>13.894575000000032</v>
      </c>
      <c r="BK79" s="2475">
        <f t="shared" ref="BK79:BL79" si="129">BJ79</f>
        <v>13.894575000000032</v>
      </c>
      <c r="BL79" s="2475">
        <f t="shared" si="129"/>
        <v>13.894575000000032</v>
      </c>
      <c r="BM79" s="2475">
        <f t="shared" si="126"/>
        <v>13.894575000000032</v>
      </c>
      <c r="BN79" s="2476">
        <f>'New split'!O89/'New split'!O126</f>
        <v>55.578300000000127</v>
      </c>
      <c r="BO79" s="1699"/>
      <c r="BP79" s="1699"/>
      <c r="BQ79" s="2040"/>
      <c r="BR79" s="1293"/>
      <c r="BS79" s="1293"/>
      <c r="BT79" s="1293"/>
      <c r="BU79" s="1293"/>
      <c r="BV79" s="1293"/>
      <c r="BW79" s="1293"/>
      <c r="BX79" s="1293"/>
      <c r="BY79" s="1293"/>
      <c r="BZ79" s="1293"/>
      <c r="CA79" s="1293"/>
      <c r="CB79" s="1293"/>
      <c r="CC79" s="1293"/>
      <c r="CD79" s="1293"/>
      <c r="CE79" s="1293"/>
      <c r="CF79" s="1293"/>
      <c r="CG79" s="1293"/>
      <c r="CH79" s="1293"/>
      <c r="CI79" s="1293"/>
      <c r="CJ79" s="1293"/>
      <c r="CK79" s="1293"/>
      <c r="CL79" s="1293"/>
      <c r="CM79" s="1293"/>
      <c r="CN79" s="1293"/>
      <c r="CO79" s="1293"/>
      <c r="CP79" s="1293"/>
      <c r="CQ79" s="1293"/>
      <c r="CR79" s="1293"/>
      <c r="CS79" s="1293"/>
      <c r="CT79" s="1293"/>
      <c r="CU79" s="1293"/>
      <c r="CV79" s="1293"/>
      <c r="CW79" s="1293"/>
      <c r="CX79" s="1293"/>
      <c r="CY79" s="2041">
        <v>13.282999999999987</v>
      </c>
      <c r="CZ79" s="2053">
        <v>8</v>
      </c>
      <c r="DA79" s="2098">
        <v>12</v>
      </c>
      <c r="DB79" s="2099">
        <v>12.5</v>
      </c>
      <c r="DC79" s="1293"/>
      <c r="DD79" s="1293"/>
      <c r="DE79" s="1293"/>
      <c r="DF79" s="1293"/>
      <c r="DG79" s="1293"/>
      <c r="DH79" s="1293"/>
      <c r="DI79" s="1293"/>
      <c r="DJ79" s="1293"/>
      <c r="DK79" s="1293"/>
      <c r="DL79" s="1293"/>
    </row>
    <row r="80" spans="1:116" ht="15.75">
      <c r="A80" s="1293"/>
      <c r="B80" s="1293" t="str">
        <f t="shared" si="110"/>
        <v>Costa Rica</v>
      </c>
      <c r="C80" s="1699"/>
      <c r="D80" s="1699"/>
      <c r="E80" s="1699"/>
      <c r="F80" s="1699"/>
      <c r="G80" s="2039"/>
      <c r="H80" s="1699"/>
      <c r="I80" s="1699"/>
      <c r="J80" s="1699"/>
      <c r="K80" s="1699"/>
      <c r="L80" s="2039"/>
      <c r="M80" s="1699"/>
      <c r="N80" s="1699"/>
      <c r="O80" s="1699"/>
      <c r="P80" s="1699"/>
      <c r="Q80" s="2039"/>
      <c r="R80" s="1699"/>
      <c r="S80" s="1699"/>
      <c r="T80" s="1699"/>
      <c r="U80" s="1699"/>
      <c r="V80" s="2039"/>
      <c r="W80" s="1699"/>
      <c r="X80" s="1699"/>
      <c r="Y80" s="1699"/>
      <c r="Z80" s="1699"/>
      <c r="AA80" s="2039"/>
      <c r="AB80" s="1699"/>
      <c r="AC80" s="1699"/>
      <c r="AD80" s="1699"/>
      <c r="AE80" s="1699"/>
      <c r="AF80" s="1699"/>
      <c r="AG80" s="1699"/>
      <c r="AH80" s="1699"/>
      <c r="AI80" s="1699"/>
      <c r="AJ80" s="2039"/>
      <c r="AK80" s="1699"/>
      <c r="AL80" s="1699"/>
      <c r="AM80" s="1699"/>
      <c r="AN80" s="1699"/>
      <c r="AO80" s="2039"/>
      <c r="AP80" s="2475"/>
      <c r="AQ80" s="2475"/>
      <c r="AR80" s="2475"/>
      <c r="AS80" s="2475"/>
      <c r="AT80" s="2476"/>
      <c r="AU80" s="2475">
        <f>AU7-AU43</f>
        <v>0.11299999999999955</v>
      </c>
      <c r="AV80" s="2475">
        <f t="shared" ref="AV80:AX80" si="130">AV7-AV43</f>
        <v>9.7200000000000841E-2</v>
      </c>
      <c r="AW80" s="2475">
        <f t="shared" si="130"/>
        <v>4.949999999999477E-2</v>
      </c>
      <c r="AX80" s="2475">
        <f t="shared" si="130"/>
        <v>4.3600000000004968E-2</v>
      </c>
      <c r="AY80" s="2476">
        <f>'New split'!L90</f>
        <v>0.30330000000000723</v>
      </c>
      <c r="AZ80" s="2475">
        <f>AZ7-AZ43</f>
        <v>1.8799999999998818E-2</v>
      </c>
      <c r="BA80" s="2475">
        <f t="shared" ref="BA80:BC80" si="131">BA7-BA43</f>
        <v>1.8300000000003536E-2</v>
      </c>
      <c r="BB80" s="2475">
        <f t="shared" si="131"/>
        <v>4.0800000000004388E-2</v>
      </c>
      <c r="BC80" s="2475">
        <f t="shared" si="131"/>
        <v>4.4699999999998852E-2</v>
      </c>
      <c r="BD80" s="2476">
        <f>'New split'!M90</f>
        <v>0.12259999999997717</v>
      </c>
      <c r="BE80" s="2475">
        <f>BE7-BE43</f>
        <v>1.3600000000003831E-2</v>
      </c>
      <c r="BF80" s="2475">
        <f t="shared" ref="BF80" si="132">BF7-BF43</f>
        <v>1.5299999999996317E-2</v>
      </c>
      <c r="BG80" s="2475">
        <f>BG7-BG43</f>
        <v>1.9500000000000739E-2</v>
      </c>
      <c r="BH80" s="2475">
        <f t="shared" si="122"/>
        <v>2.0299999999998875E-2</v>
      </c>
      <c r="BI80" s="2476">
        <f>'New split'!N90</f>
        <v>6.8700000000006867E-2</v>
      </c>
      <c r="BJ80" s="2475">
        <f t="shared" si="124"/>
        <v>1.8000000000000682E-2</v>
      </c>
      <c r="BK80" s="2475">
        <f t="shared" ref="BK80:BL80" si="133">BJ80</f>
        <v>1.8000000000000682E-2</v>
      </c>
      <c r="BL80" s="2475">
        <f t="shared" si="133"/>
        <v>1.8000000000000682E-2</v>
      </c>
      <c r="BM80" s="2475">
        <f t="shared" si="126"/>
        <v>1.8000000000000682E-2</v>
      </c>
      <c r="BN80" s="2476">
        <f>'New split'!O90</f>
        <v>7.2000000000002728E-2</v>
      </c>
      <c r="BO80" s="1699"/>
      <c r="BP80" s="1699"/>
      <c r="BQ80" s="2040"/>
      <c r="BR80" s="1293"/>
      <c r="BS80" s="1293"/>
      <c r="BT80" s="1293"/>
      <c r="BU80" s="1293"/>
      <c r="BV80" s="1293"/>
      <c r="BW80" s="1293"/>
      <c r="BX80" s="1293"/>
      <c r="BY80" s="1293"/>
      <c r="BZ80" s="1293"/>
      <c r="CA80" s="1293"/>
      <c r="CB80" s="1293"/>
      <c r="CC80" s="1293"/>
      <c r="CD80" s="1293"/>
      <c r="CE80" s="1293"/>
      <c r="CF80" s="1293"/>
      <c r="CG80" s="1293"/>
      <c r="CH80" s="1293"/>
      <c r="CI80" s="1293"/>
      <c r="CJ80" s="1293"/>
      <c r="CK80" s="1293"/>
      <c r="CL80" s="1293"/>
      <c r="CM80" s="1293"/>
      <c r="CN80" s="1293"/>
      <c r="CO80" s="1293"/>
      <c r="CP80" s="1293"/>
      <c r="CQ80" s="1293"/>
      <c r="CR80" s="1293"/>
      <c r="CS80" s="1293"/>
      <c r="CT80" s="1293"/>
      <c r="CU80" s="1293"/>
      <c r="CV80" s="1293"/>
      <c r="CW80" s="1293"/>
      <c r="CX80" s="1293"/>
      <c r="CY80" s="2041"/>
      <c r="CZ80" s="2053"/>
      <c r="DA80" s="2098"/>
      <c r="DB80" s="2099"/>
      <c r="DC80" s="1293"/>
      <c r="DD80" s="1293"/>
      <c r="DE80" s="1293"/>
      <c r="DF80" s="1293"/>
      <c r="DG80" s="1293"/>
      <c r="DH80" s="1293"/>
      <c r="DI80" s="1293"/>
      <c r="DJ80" s="1293"/>
      <c r="DK80" s="1293"/>
      <c r="DL80" s="1293"/>
    </row>
    <row r="81" spans="1:116" ht="15.75">
      <c r="A81" s="1293"/>
      <c r="B81" s="1293" t="str">
        <f t="shared" si="110"/>
        <v>Nicaragua</v>
      </c>
      <c r="C81" s="1699"/>
      <c r="D81" s="1699"/>
      <c r="E81" s="1699"/>
      <c r="F81" s="1699"/>
      <c r="G81" s="2039"/>
      <c r="H81" s="1699"/>
      <c r="I81" s="1699"/>
      <c r="J81" s="1699"/>
      <c r="K81" s="1699"/>
      <c r="L81" s="2039"/>
      <c r="M81" s="1699"/>
      <c r="N81" s="1699"/>
      <c r="O81" s="1699"/>
      <c r="P81" s="1699"/>
      <c r="Q81" s="2039"/>
      <c r="R81" s="1699"/>
      <c r="S81" s="1699"/>
      <c r="T81" s="1699"/>
      <c r="U81" s="1699"/>
      <c r="V81" s="2039"/>
      <c r="W81" s="1699"/>
      <c r="X81" s="1699"/>
      <c r="Y81" s="1699"/>
      <c r="Z81" s="1699"/>
      <c r="AA81" s="2039"/>
      <c r="AB81" s="1699"/>
      <c r="AC81" s="1699"/>
      <c r="AD81" s="1699"/>
      <c r="AE81" s="1699"/>
      <c r="AF81" s="1699"/>
      <c r="AG81" s="1699"/>
      <c r="AH81" s="1699"/>
      <c r="AI81" s="1699"/>
      <c r="AJ81" s="2039"/>
      <c r="AK81" s="1699"/>
      <c r="AL81" s="1699"/>
      <c r="AM81" s="1699"/>
      <c r="AN81" s="1699"/>
      <c r="AO81" s="2039"/>
      <c r="AP81" s="2475"/>
      <c r="AQ81" s="2475"/>
      <c r="AR81" s="2475"/>
      <c r="AS81" s="2475"/>
      <c r="AT81" s="2476"/>
      <c r="AU81" s="2475">
        <f>AU8-AU44</f>
        <v>3.6520999999999972</v>
      </c>
      <c r="AV81" s="2475">
        <f t="shared" ref="AV81:AX81" si="134">AV8-AV44</f>
        <v>3.4294999999999973</v>
      </c>
      <c r="AW81" s="2475">
        <f t="shared" si="134"/>
        <v>2.747799999999998</v>
      </c>
      <c r="AX81" s="2475">
        <f t="shared" si="134"/>
        <v>2.8268000000000058</v>
      </c>
      <c r="AY81" s="2476">
        <f>'New split'!L91</f>
        <v>12.656200000000013</v>
      </c>
      <c r="AZ81" s="2475">
        <f>AZ8-AZ44</f>
        <v>2.2179999999999964</v>
      </c>
      <c r="BA81" s="2475">
        <f t="shared" ref="BA81:BC81" si="135">BA8-BA44</f>
        <v>2.3253000000000057</v>
      </c>
      <c r="BB81" s="2475">
        <f t="shared" si="135"/>
        <v>2.261099999999999</v>
      </c>
      <c r="BC81" s="2475">
        <f t="shared" si="135"/>
        <v>2.3359999999999985</v>
      </c>
      <c r="BD81" s="2476">
        <f>'New split'!M91</f>
        <v>9.1403999999999996</v>
      </c>
      <c r="BE81" s="2475">
        <f>BE8-BE44</f>
        <v>2.0740000000000123</v>
      </c>
      <c r="BF81" s="2475">
        <f t="shared" ref="BF81" si="136">BF8-BF44</f>
        <v>2.0485999999999933</v>
      </c>
      <c r="BG81" s="2475">
        <f>BG8-BG44</f>
        <v>1.9596000000000018</v>
      </c>
      <c r="BH81" s="2475">
        <f t="shared" si="122"/>
        <v>2.2939999999999969</v>
      </c>
      <c r="BI81" s="2476">
        <f>'New split'!N91</f>
        <v>8.376199999999983</v>
      </c>
      <c r="BJ81" s="2475">
        <f t="shared" si="124"/>
        <v>2.0790048122282627</v>
      </c>
      <c r="BK81" s="2475">
        <f t="shared" ref="BK81:BL81" si="137">BJ81</f>
        <v>2.0790048122282627</v>
      </c>
      <c r="BL81" s="2475">
        <f t="shared" si="137"/>
        <v>2.0790048122282627</v>
      </c>
      <c r="BM81" s="2475">
        <f t="shared" si="126"/>
        <v>2.0790048122282627</v>
      </c>
      <c r="BN81" s="2476">
        <f>'New split'!O91</f>
        <v>8.3160192489130509</v>
      </c>
      <c r="BO81" s="1699"/>
      <c r="BP81" s="1699"/>
      <c r="BQ81" s="2040"/>
      <c r="BR81" s="1293"/>
      <c r="BS81" s="1293"/>
      <c r="BT81" s="1293"/>
      <c r="BU81" s="1293"/>
      <c r="BV81" s="1293"/>
      <c r="BW81" s="1293"/>
      <c r="BX81" s="1293"/>
      <c r="BY81" s="1293"/>
      <c r="BZ81" s="1293"/>
      <c r="CA81" s="1293"/>
      <c r="CB81" s="1293"/>
      <c r="CC81" s="1293"/>
      <c r="CD81" s="1293"/>
      <c r="CE81" s="1293"/>
      <c r="CF81" s="1293"/>
      <c r="CG81" s="1293"/>
      <c r="CH81" s="1293"/>
      <c r="CI81" s="1293"/>
      <c r="CJ81" s="1293"/>
      <c r="CK81" s="1293"/>
      <c r="CL81" s="1293"/>
      <c r="CM81" s="1293"/>
      <c r="CN81" s="1293"/>
      <c r="CO81" s="1293"/>
      <c r="CP81" s="1293"/>
      <c r="CQ81" s="1293"/>
      <c r="CR81" s="1293"/>
      <c r="CS81" s="1293"/>
      <c r="CT81" s="1293"/>
      <c r="CU81" s="1293"/>
      <c r="CV81" s="1293"/>
      <c r="CW81" s="1293"/>
      <c r="CX81" s="1293"/>
      <c r="CY81" s="2041"/>
      <c r="CZ81" s="2053"/>
      <c r="DA81" s="2098"/>
      <c r="DB81" s="2099"/>
      <c r="DC81" s="1293"/>
      <c r="DD81" s="1293"/>
      <c r="DE81" s="1293"/>
      <c r="DF81" s="1293"/>
      <c r="DG81" s="1293"/>
      <c r="DH81" s="1293"/>
      <c r="DI81" s="1293"/>
      <c r="DJ81" s="1293"/>
      <c r="DK81" s="1293"/>
      <c r="DL81" s="1293"/>
    </row>
    <row r="82" spans="1:116" ht="15.75" hidden="1" outlineLevel="1">
      <c r="A82" s="1293"/>
      <c r="B82" s="1982" t="str">
        <f t="shared" si="110"/>
        <v>Costa Rica/old Nicaragua</v>
      </c>
      <c r="C82" s="1699">
        <f t="shared" ref="C82:P82" si="138">C9-C45</f>
        <v>8.5733783527814467E-2</v>
      </c>
      <c r="D82" s="1699">
        <f t="shared" si="138"/>
        <v>7.3971908463903446E-2</v>
      </c>
      <c r="E82" s="1699">
        <f t="shared" si="138"/>
        <v>0.13688318690222445</v>
      </c>
      <c r="F82" s="1699">
        <f t="shared" si="138"/>
        <v>0.19994972571549852</v>
      </c>
      <c r="G82" s="2039">
        <f t="shared" si="138"/>
        <v>0.49653860460159649</v>
      </c>
      <c r="H82" s="1699">
        <f t="shared" si="138"/>
        <v>0.15693840990974195</v>
      </c>
      <c r="I82" s="1699">
        <f t="shared" si="138"/>
        <v>0.26790165576377944</v>
      </c>
      <c r="J82" s="1699">
        <f t="shared" si="138"/>
        <v>0.56127487625843742</v>
      </c>
      <c r="K82" s="1699">
        <f t="shared" si="138"/>
        <v>0.68671896192844883</v>
      </c>
      <c r="L82" s="2039">
        <f t="shared" si="138"/>
        <v>1.6728339038530748</v>
      </c>
      <c r="M82" s="1699">
        <f t="shared" si="138"/>
        <v>0.40005396986003916</v>
      </c>
      <c r="N82" s="1699">
        <f t="shared" si="138"/>
        <v>0.39249350212108425</v>
      </c>
      <c r="O82" s="1699">
        <f t="shared" si="138"/>
        <v>0.46794823472436065</v>
      </c>
      <c r="P82" s="1699">
        <f t="shared" si="138"/>
        <v>1</v>
      </c>
      <c r="Q82" s="2039">
        <f>'New split'!F93</f>
        <v>2.2604957067054841</v>
      </c>
      <c r="R82" s="1699">
        <f>R9-R45</f>
        <v>0</v>
      </c>
      <c r="S82" s="1699">
        <f>S9-S45</f>
        <v>0</v>
      </c>
      <c r="T82" s="1699">
        <f>T9-T45</f>
        <v>1</v>
      </c>
      <c r="U82" s="1699">
        <f>U9-U45</f>
        <v>1</v>
      </c>
      <c r="V82" s="2039">
        <f>'New split'!G93</f>
        <v>2</v>
      </c>
      <c r="W82" s="1699">
        <f>W9-W45</f>
        <v>0</v>
      </c>
      <c r="X82" s="1699">
        <f>X9-X45</f>
        <v>2</v>
      </c>
      <c r="Y82" s="1699">
        <f>Y9-Y45</f>
        <v>1</v>
      </c>
      <c r="Z82" s="1699">
        <f>Z9-Z45</f>
        <v>1.2999999999999972</v>
      </c>
      <c r="AA82" s="2039">
        <f>SUM(W82:Z82)</f>
        <v>4.2999999999999972</v>
      </c>
      <c r="AB82" s="1699">
        <f t="shared" ref="AB82:AI82" si="139">AB9-AB45</f>
        <v>3</v>
      </c>
      <c r="AC82" s="1699">
        <f t="shared" si="139"/>
        <v>3</v>
      </c>
      <c r="AD82" s="1699">
        <f t="shared" si="139"/>
        <v>1</v>
      </c>
      <c r="AE82" s="1699">
        <f t="shared" si="139"/>
        <v>1</v>
      </c>
      <c r="AF82" s="1699">
        <f t="shared" si="139"/>
        <v>5</v>
      </c>
      <c r="AG82" s="1699">
        <f t="shared" si="139"/>
        <v>5</v>
      </c>
      <c r="AH82" s="1699">
        <f t="shared" si="139"/>
        <v>-0.23200000000000642</v>
      </c>
      <c r="AI82" s="1699">
        <f t="shared" si="139"/>
        <v>-0.23200000000000642</v>
      </c>
      <c r="AJ82" s="2039">
        <f>'New split'!I93</f>
        <v>8.7680000000000007</v>
      </c>
      <c r="AK82" s="1699">
        <f t="shared" ref="AK82:AN85" si="140">AK9-AK45</f>
        <v>4</v>
      </c>
      <c r="AL82" s="1699">
        <f t="shared" si="140"/>
        <v>5</v>
      </c>
      <c r="AM82" s="1699">
        <f t="shared" si="140"/>
        <v>5</v>
      </c>
      <c r="AN82" s="1699">
        <f t="shared" si="140"/>
        <v>4</v>
      </c>
      <c r="AO82" s="2039">
        <f t="shared" si="116"/>
        <v>18</v>
      </c>
      <c r="AP82" s="2475">
        <f t="shared" ref="AP82:AS83" si="141">AP9-AP45</f>
        <v>4</v>
      </c>
      <c r="AQ82" s="2475">
        <f t="shared" si="141"/>
        <v>4</v>
      </c>
      <c r="AR82" s="2475">
        <f t="shared" si="141"/>
        <v>4</v>
      </c>
      <c r="AS82" s="2475">
        <f t="shared" si="141"/>
        <v>4</v>
      </c>
      <c r="AT82" s="2476">
        <f t="shared" si="118"/>
        <v>16</v>
      </c>
      <c r="AU82" s="2475">
        <f>AU9-AU45</f>
        <v>4</v>
      </c>
      <c r="AV82" s="2475">
        <f t="shared" ref="AV82:AX83" si="142">AV9-AV45</f>
        <v>3</v>
      </c>
      <c r="AW82" s="2475">
        <f t="shared" si="142"/>
        <v>3</v>
      </c>
      <c r="AX82" s="2475">
        <f t="shared" si="142"/>
        <v>3</v>
      </c>
      <c r="AY82" s="2476">
        <f>'New split'!L93</f>
        <v>13</v>
      </c>
      <c r="AZ82" s="2475">
        <f>AZ9-AZ45</f>
        <v>2</v>
      </c>
      <c r="BA82" s="2475">
        <f t="shared" ref="BA82:BC83" si="143">BA9-BA45</f>
        <v>2</v>
      </c>
      <c r="BB82" s="2475">
        <f t="shared" si="143"/>
        <v>2.8000000000000114</v>
      </c>
      <c r="BC82" s="2475">
        <f t="shared" si="143"/>
        <v>2.380999999999986</v>
      </c>
      <c r="BD82" s="2476">
        <f>'New split'!M93</f>
        <v>9.1809999999999832</v>
      </c>
      <c r="BE82" s="2475">
        <f>BE9-BE45</f>
        <v>2</v>
      </c>
      <c r="BF82" s="2475">
        <f>BF9-BF45</f>
        <v>2</v>
      </c>
      <c r="BG82" s="2475">
        <f>BG9-BG45</f>
        <v>2</v>
      </c>
      <c r="BH82" s="2475">
        <f t="shared" ca="1" si="122"/>
        <v>25.721174850775952</v>
      </c>
      <c r="BI82" s="2476">
        <f>'New split'!N93</f>
        <v>2</v>
      </c>
      <c r="BJ82" s="2475">
        <f t="shared" si="124"/>
        <v>-55.403597031749996</v>
      </c>
      <c r="BK82" s="2475">
        <f t="shared" ref="BK82:BL82" si="144">BJ82</f>
        <v>-55.403597031749996</v>
      </c>
      <c r="BL82" s="2475">
        <f t="shared" si="144"/>
        <v>-55.403597031749996</v>
      </c>
      <c r="BM82" s="2475">
        <f t="shared" si="126"/>
        <v>-55.403597031749996</v>
      </c>
      <c r="BN82" s="2476">
        <f>'New split'!O93</f>
        <v>-221.61438812699998</v>
      </c>
      <c r="BO82" s="1699"/>
      <c r="BP82" s="1699"/>
      <c r="BQ82" s="2040"/>
      <c r="BR82" s="1293"/>
      <c r="BS82" s="1293"/>
      <c r="BT82" s="1293"/>
      <c r="BU82" s="1293"/>
      <c r="BV82" s="1293"/>
      <c r="BW82" s="1293"/>
      <c r="BX82" s="1293"/>
      <c r="BY82" s="1293"/>
      <c r="BZ82" s="1293"/>
      <c r="CA82" s="1293"/>
      <c r="CB82" s="1293"/>
      <c r="CC82" s="1293"/>
      <c r="CD82" s="1293"/>
      <c r="CE82" s="1293"/>
      <c r="CF82" s="1293"/>
      <c r="CG82" s="1293"/>
      <c r="CH82" s="1293"/>
      <c r="CI82" s="1293"/>
      <c r="CJ82" s="1293"/>
      <c r="CK82" s="1293"/>
      <c r="CL82" s="1293"/>
      <c r="CM82" s="1293"/>
      <c r="CN82" s="1293"/>
      <c r="CO82" s="1293"/>
      <c r="CP82" s="1293"/>
      <c r="CQ82" s="1293"/>
      <c r="CR82" s="1293"/>
      <c r="CS82" s="1293"/>
      <c r="CT82" s="1293"/>
      <c r="CU82" s="1293"/>
      <c r="CV82" s="1293"/>
      <c r="CW82" s="1293"/>
      <c r="CX82" s="1293"/>
      <c r="CY82" s="2041">
        <v>2.9426470588235247</v>
      </c>
      <c r="CZ82" s="2053">
        <v>4</v>
      </c>
      <c r="DA82" s="2098">
        <v>2.5</v>
      </c>
      <c r="DB82" s="2099">
        <v>2.5</v>
      </c>
      <c r="DC82" s="1293"/>
      <c r="DD82" s="1293"/>
      <c r="DE82" s="1293"/>
      <c r="DF82" s="1293"/>
      <c r="DG82" s="1293"/>
      <c r="DH82" s="1293"/>
      <c r="DI82" s="1293"/>
      <c r="DJ82" s="1293"/>
      <c r="DK82" s="1293"/>
      <c r="DL82" s="1293"/>
    </row>
    <row r="83" spans="1:116" ht="15.75" hidden="1" outlineLevel="1">
      <c r="A83" s="1293"/>
      <c r="B83" s="1982" t="str">
        <f t="shared" si="110"/>
        <v>Panama wireless</v>
      </c>
      <c r="C83" s="1699"/>
      <c r="D83" s="1699"/>
      <c r="E83" s="1699"/>
      <c r="F83" s="1699"/>
      <c r="G83" s="2039"/>
      <c r="H83" s="1699"/>
      <c r="I83" s="1699"/>
      <c r="J83" s="1699"/>
      <c r="K83" s="1699"/>
      <c r="L83" s="2039"/>
      <c r="M83" s="1699"/>
      <c r="N83" s="1699"/>
      <c r="O83" s="1699"/>
      <c r="P83" s="1699"/>
      <c r="Q83" s="2039"/>
      <c r="R83" s="1699"/>
      <c r="S83" s="1699"/>
      <c r="T83" s="1699"/>
      <c r="U83" s="1699"/>
      <c r="V83" s="2039"/>
      <c r="W83" s="1699"/>
      <c r="X83" s="1699"/>
      <c r="Y83" s="1699"/>
      <c r="Z83" s="1699"/>
      <c r="AA83" s="2039"/>
      <c r="AB83" s="1699"/>
      <c r="AC83" s="1699"/>
      <c r="AD83" s="1699"/>
      <c r="AE83" s="1699"/>
      <c r="AF83" s="1699"/>
      <c r="AG83" s="1699"/>
      <c r="AH83" s="1699"/>
      <c r="AI83" s="1699"/>
      <c r="AJ83" s="2039"/>
      <c r="AK83" s="1699">
        <f t="shared" si="140"/>
        <v>0</v>
      </c>
      <c r="AL83" s="1699">
        <f t="shared" si="140"/>
        <v>0</v>
      </c>
      <c r="AM83" s="1699">
        <f t="shared" si="140"/>
        <v>0</v>
      </c>
      <c r="AN83" s="1699">
        <f t="shared" si="140"/>
        <v>2</v>
      </c>
      <c r="AO83" s="2039">
        <f t="shared" si="116"/>
        <v>2</v>
      </c>
      <c r="AP83" s="2475">
        <f t="shared" si="141"/>
        <v>0</v>
      </c>
      <c r="AQ83" s="2475">
        <f t="shared" si="141"/>
        <v>0</v>
      </c>
      <c r="AR83" s="2475">
        <f t="shared" si="141"/>
        <v>0</v>
      </c>
      <c r="AS83" s="2475">
        <f t="shared" si="141"/>
        <v>0</v>
      </c>
      <c r="AT83" s="2476">
        <f t="shared" si="118"/>
        <v>0</v>
      </c>
      <c r="AU83" s="2475">
        <f>AU10-AU46</f>
        <v>0</v>
      </c>
      <c r="AV83" s="2475">
        <f t="shared" si="142"/>
        <v>0</v>
      </c>
      <c r="AW83" s="2475">
        <f t="shared" si="142"/>
        <v>0</v>
      </c>
      <c r="AX83" s="2475">
        <f t="shared" si="142"/>
        <v>0</v>
      </c>
      <c r="AY83" s="2476">
        <v>0</v>
      </c>
      <c r="AZ83" s="2475">
        <f>AZ10-AZ46</f>
        <v>0</v>
      </c>
      <c r="BA83" s="2475">
        <f t="shared" si="143"/>
        <v>2</v>
      </c>
      <c r="BB83" s="2475">
        <f t="shared" si="143"/>
        <v>2</v>
      </c>
      <c r="BC83" s="2475">
        <f t="shared" si="143"/>
        <v>2</v>
      </c>
      <c r="BD83" s="2476">
        <v>6</v>
      </c>
      <c r="BE83" s="2475">
        <f>BE10-BE46</f>
        <v>1</v>
      </c>
      <c r="BF83" s="2475">
        <f>BF10-BF46</f>
        <v>1</v>
      </c>
      <c r="BG83" s="2475">
        <f>BG10-BG46</f>
        <v>1</v>
      </c>
      <c r="BH83" s="2475">
        <f t="shared" ca="1" si="122"/>
        <v>4.6457072771428614</v>
      </c>
      <c r="BI83" s="2476">
        <f>'New split'!N94</f>
        <v>4</v>
      </c>
      <c r="BJ83" s="2475">
        <f t="shared" si="124"/>
        <v>1</v>
      </c>
      <c r="BK83" s="2475">
        <f t="shared" ref="BK83:BL83" si="145">BJ83</f>
        <v>1</v>
      </c>
      <c r="BL83" s="2475">
        <f t="shared" si="145"/>
        <v>1</v>
      </c>
      <c r="BM83" s="2475">
        <f t="shared" si="126"/>
        <v>1</v>
      </c>
      <c r="BN83" s="2476">
        <f>'New split'!O94</f>
        <v>4</v>
      </c>
      <c r="BO83" s="1699"/>
      <c r="BP83" s="1699"/>
      <c r="BQ83" s="2040"/>
      <c r="BR83" s="1293"/>
      <c r="BS83" s="1293"/>
      <c r="BT83" s="1293"/>
      <c r="BU83" s="1293"/>
      <c r="BV83" s="1293"/>
      <c r="BW83" s="1293"/>
      <c r="BX83" s="1293"/>
      <c r="BY83" s="1293"/>
      <c r="BZ83" s="1293"/>
      <c r="CA83" s="1293"/>
      <c r="CB83" s="1293"/>
      <c r="CC83" s="1293"/>
      <c r="CD83" s="1293"/>
      <c r="CE83" s="1293"/>
      <c r="CF83" s="1293"/>
      <c r="CG83" s="1293"/>
      <c r="CH83" s="1293"/>
      <c r="CI83" s="1293"/>
      <c r="CJ83" s="1293"/>
      <c r="CK83" s="1293"/>
      <c r="CL83" s="1293"/>
      <c r="CM83" s="1293"/>
      <c r="CN83" s="1293"/>
      <c r="CO83" s="1293"/>
      <c r="CP83" s="1293"/>
      <c r="CQ83" s="1293"/>
      <c r="CR83" s="1293"/>
      <c r="CS83" s="1293"/>
      <c r="CT83" s="1293"/>
      <c r="CU83" s="1293"/>
      <c r="CV83" s="1293"/>
      <c r="CW83" s="1293"/>
      <c r="CX83" s="1293"/>
      <c r="CY83" s="2041">
        <v>2</v>
      </c>
      <c r="CZ83" s="2053">
        <v>0</v>
      </c>
      <c r="DA83" s="2098">
        <v>0</v>
      </c>
      <c r="DB83" s="2099">
        <v>1</v>
      </c>
      <c r="DC83" s="1293"/>
      <c r="DD83" s="1293"/>
      <c r="DE83" s="1293"/>
      <c r="DF83" s="1293"/>
      <c r="DG83" s="1293"/>
      <c r="DH83" s="1293"/>
      <c r="DI83" s="1293"/>
      <c r="DJ83" s="1293"/>
      <c r="DK83" s="1293"/>
      <c r="DL83" s="1293"/>
    </row>
    <row r="84" spans="1:116" ht="15.75" hidden="1" outlineLevel="1">
      <c r="A84" s="1293"/>
      <c r="B84" s="1982" t="str">
        <f t="shared" si="110"/>
        <v>Costa Rica wireless</v>
      </c>
      <c r="C84" s="1699"/>
      <c r="D84" s="1699"/>
      <c r="E84" s="1699"/>
      <c r="F84" s="1699"/>
      <c r="G84" s="2039"/>
      <c r="H84" s="1699"/>
      <c r="I84" s="1699"/>
      <c r="J84" s="1699"/>
      <c r="K84" s="1699"/>
      <c r="L84" s="2039"/>
      <c r="M84" s="1699"/>
      <c r="N84" s="1699"/>
      <c r="O84" s="1699"/>
      <c r="P84" s="1699"/>
      <c r="Q84" s="2039"/>
      <c r="R84" s="1699"/>
      <c r="S84" s="1699"/>
      <c r="T84" s="1699"/>
      <c r="U84" s="1699"/>
      <c r="V84" s="2039"/>
      <c r="W84" s="1699"/>
      <c r="X84" s="1699"/>
      <c r="Y84" s="1699"/>
      <c r="Z84" s="1699"/>
      <c r="AA84" s="2039"/>
      <c r="AB84" s="1699"/>
      <c r="AC84" s="1699"/>
      <c r="AD84" s="1699"/>
      <c r="AE84" s="1699"/>
      <c r="AF84" s="1699"/>
      <c r="AG84" s="1699"/>
      <c r="AH84" s="1699"/>
      <c r="AI84" s="1699"/>
      <c r="AJ84" s="2039"/>
      <c r="AK84" s="1699">
        <f t="shared" si="140"/>
        <v>0</v>
      </c>
      <c r="AL84" s="1699">
        <f t="shared" si="140"/>
        <v>0</v>
      </c>
      <c r="AM84" s="1699">
        <f t="shared" si="140"/>
        <v>0</v>
      </c>
      <c r="AN84" s="1699">
        <f t="shared" si="140"/>
        <v>0</v>
      </c>
      <c r="AO84" s="2039">
        <f t="shared" si="116"/>
        <v>0</v>
      </c>
      <c r="AP84" s="2475"/>
      <c r="AQ84" s="2475"/>
      <c r="AR84" s="2475"/>
      <c r="AS84" s="2475"/>
      <c r="AT84" s="2476"/>
      <c r="AU84" s="2475"/>
      <c r="AV84" s="2475"/>
      <c r="AW84" s="2475"/>
      <c r="AX84" s="2475"/>
      <c r="AY84" s="2476"/>
      <c r="AZ84" s="2475"/>
      <c r="BA84" s="2475"/>
      <c r="BB84" s="2475"/>
      <c r="BC84" s="2475"/>
      <c r="BD84" s="2476"/>
      <c r="BE84" s="2475"/>
      <c r="BF84" s="2475"/>
      <c r="BG84" s="2475"/>
      <c r="BH84" s="2475"/>
      <c r="BI84" s="2476"/>
      <c r="BJ84" s="2475">
        <f t="shared" si="124"/>
        <v>0</v>
      </c>
      <c r="BK84" s="2475">
        <f t="shared" ref="BK84:BL84" si="146">BJ84</f>
        <v>0</v>
      </c>
      <c r="BL84" s="2475">
        <f t="shared" si="146"/>
        <v>0</v>
      </c>
      <c r="BM84" s="2475">
        <f t="shared" si="126"/>
        <v>0</v>
      </c>
      <c r="BN84" s="2476"/>
      <c r="BO84" s="1699"/>
      <c r="BP84" s="1699"/>
      <c r="BQ84" s="2040"/>
      <c r="BR84" s="1293"/>
      <c r="BS84" s="1293"/>
      <c r="BT84" s="1293"/>
      <c r="BU84" s="1293"/>
      <c r="BV84" s="1293"/>
      <c r="BW84" s="1293"/>
      <c r="BX84" s="1293"/>
      <c r="BY84" s="1293"/>
      <c r="BZ84" s="1293"/>
      <c r="CA84" s="1293"/>
      <c r="CB84" s="1293"/>
      <c r="CC84" s="1293"/>
      <c r="CD84" s="1293"/>
      <c r="CE84" s="1293"/>
      <c r="CF84" s="1293"/>
      <c r="CG84" s="1293"/>
      <c r="CH84" s="1293"/>
      <c r="CI84" s="1293"/>
      <c r="CJ84" s="1293"/>
      <c r="CK84" s="1293"/>
      <c r="CL84" s="1293"/>
      <c r="CM84" s="1293"/>
      <c r="CN84" s="1293"/>
      <c r="CO84" s="1293"/>
      <c r="CP84" s="1293"/>
      <c r="CQ84" s="1293"/>
      <c r="CR84" s="1293"/>
      <c r="CS84" s="1293"/>
      <c r="CT84" s="1293"/>
      <c r="CU84" s="1293"/>
      <c r="CV84" s="1293"/>
      <c r="CW84" s="1293"/>
      <c r="CX84" s="1293"/>
      <c r="CY84" s="2041"/>
      <c r="CZ84" s="2053"/>
      <c r="DA84" s="2042"/>
      <c r="DB84" s="2041"/>
      <c r="DC84" s="1293"/>
      <c r="DD84" s="1293"/>
      <c r="DE84" s="1293"/>
      <c r="DF84" s="1293"/>
      <c r="DG84" s="1293"/>
      <c r="DH84" s="1293"/>
      <c r="DI84" s="1293"/>
      <c r="DJ84" s="1293"/>
      <c r="DK84" s="1293"/>
      <c r="DL84" s="1293"/>
    </row>
    <row r="85" spans="1:116" ht="15.75" hidden="1" outlineLevel="1">
      <c r="A85" s="1293"/>
      <c r="B85" s="1982" t="str">
        <f t="shared" si="110"/>
        <v>Nicaragua wireless</v>
      </c>
      <c r="C85" s="1699"/>
      <c r="D85" s="1699"/>
      <c r="E85" s="1699"/>
      <c r="F85" s="1699"/>
      <c r="G85" s="2039"/>
      <c r="H85" s="1699"/>
      <c r="I85" s="1699"/>
      <c r="J85" s="1699"/>
      <c r="K85" s="1699"/>
      <c r="L85" s="2039"/>
      <c r="M85" s="1699"/>
      <c r="N85" s="1699"/>
      <c r="O85" s="1699"/>
      <c r="P85" s="1699"/>
      <c r="Q85" s="2039"/>
      <c r="R85" s="1699"/>
      <c r="S85" s="1699"/>
      <c r="T85" s="1699"/>
      <c r="U85" s="1699"/>
      <c r="V85" s="2039"/>
      <c r="W85" s="1699"/>
      <c r="X85" s="1699"/>
      <c r="Y85" s="1699"/>
      <c r="Z85" s="1699"/>
      <c r="AA85" s="2039"/>
      <c r="AB85" s="1699"/>
      <c r="AC85" s="1699"/>
      <c r="AD85" s="1699"/>
      <c r="AE85" s="1699"/>
      <c r="AF85" s="1699"/>
      <c r="AG85" s="1699"/>
      <c r="AH85" s="1699"/>
      <c r="AI85" s="1699"/>
      <c r="AJ85" s="2039"/>
      <c r="AK85" s="1699">
        <f t="shared" si="140"/>
        <v>0</v>
      </c>
      <c r="AL85" s="1699">
        <f t="shared" si="140"/>
        <v>-2</v>
      </c>
      <c r="AM85" s="1699">
        <f t="shared" si="140"/>
        <v>-2</v>
      </c>
      <c r="AN85" s="1699">
        <f t="shared" si="140"/>
        <v>0</v>
      </c>
      <c r="AO85" s="2039">
        <f t="shared" si="116"/>
        <v>-4</v>
      </c>
      <c r="AP85" s="2475"/>
      <c r="AQ85" s="2475"/>
      <c r="AR85" s="2475"/>
      <c r="AS85" s="2475"/>
      <c r="AT85" s="2476"/>
      <c r="AU85" s="2475"/>
      <c r="AV85" s="2475"/>
      <c r="AW85" s="2475"/>
      <c r="AX85" s="2475"/>
      <c r="AY85" s="2476"/>
      <c r="AZ85" s="2475"/>
      <c r="BA85" s="2475"/>
      <c r="BB85" s="2475"/>
      <c r="BC85" s="2475"/>
      <c r="BD85" s="2476"/>
      <c r="BE85" s="2475"/>
      <c r="BF85" s="2475"/>
      <c r="BG85" s="2475"/>
      <c r="BH85" s="2475"/>
      <c r="BI85" s="2476"/>
      <c r="BJ85" s="2475">
        <f t="shared" si="124"/>
        <v>0</v>
      </c>
      <c r="BK85" s="2475">
        <f t="shared" ref="BK85:BL85" si="147">BJ85</f>
        <v>0</v>
      </c>
      <c r="BL85" s="2475">
        <f t="shared" si="147"/>
        <v>0</v>
      </c>
      <c r="BM85" s="2475">
        <f t="shared" si="126"/>
        <v>0</v>
      </c>
      <c r="BN85" s="2476"/>
      <c r="BO85" s="1699"/>
      <c r="BP85" s="1699"/>
      <c r="BQ85" s="2040"/>
      <c r="BR85" s="1293"/>
      <c r="BS85" s="1293"/>
      <c r="BT85" s="1293"/>
      <c r="BU85" s="1293"/>
      <c r="BV85" s="1293"/>
      <c r="BW85" s="1293"/>
      <c r="BX85" s="1293"/>
      <c r="BY85" s="1293"/>
      <c r="BZ85" s="1293"/>
      <c r="CA85" s="1293"/>
      <c r="CB85" s="1293"/>
      <c r="CC85" s="1293"/>
      <c r="CD85" s="1293"/>
      <c r="CE85" s="1293"/>
      <c r="CF85" s="1293"/>
      <c r="CG85" s="1293"/>
      <c r="CH85" s="1293"/>
      <c r="CI85" s="1293"/>
      <c r="CJ85" s="1293"/>
      <c r="CK85" s="1293"/>
      <c r="CL85" s="1293"/>
      <c r="CM85" s="1293"/>
      <c r="CN85" s="1293"/>
      <c r="CO85" s="1293"/>
      <c r="CP85" s="1293"/>
      <c r="CQ85" s="1293"/>
      <c r="CR85" s="1293"/>
      <c r="CS85" s="1293"/>
      <c r="CT85" s="1293"/>
      <c r="CU85" s="1293"/>
      <c r="CV85" s="1293"/>
      <c r="CW85" s="1293"/>
      <c r="CX85" s="1293"/>
      <c r="CY85" s="2041"/>
      <c r="CZ85" s="2053"/>
      <c r="DA85" s="2042"/>
      <c r="DB85" s="2041"/>
      <c r="DC85" s="1293"/>
      <c r="DD85" s="1293"/>
      <c r="DE85" s="1293"/>
      <c r="DF85" s="1293"/>
      <c r="DG85" s="1293"/>
      <c r="DH85" s="1293"/>
      <c r="DI85" s="1293"/>
      <c r="DJ85" s="1293"/>
      <c r="DK85" s="1293"/>
      <c r="DL85" s="1293"/>
    </row>
    <row r="86" spans="1:116" ht="15.75" collapsed="1">
      <c r="A86" s="1293"/>
      <c r="B86" s="1293" t="str">
        <f>B51</f>
        <v>Bolivia</v>
      </c>
      <c r="C86" s="1699">
        <f t="shared" ref="C86:P86" si="148">C15-C51</f>
        <v>2.0947404862520074</v>
      </c>
      <c r="D86" s="1699">
        <f t="shared" si="148"/>
        <v>3.17059752243199</v>
      </c>
      <c r="E86" s="1699">
        <f t="shared" si="148"/>
        <v>3.8572445354560045</v>
      </c>
      <c r="F86" s="1699">
        <f t="shared" si="148"/>
        <v>4.2493679377709839</v>
      </c>
      <c r="G86" s="2039">
        <f t="shared" si="148"/>
        <v>13.371950481910915</v>
      </c>
      <c r="H86" s="1699">
        <f t="shared" si="148"/>
        <v>4.8558954804629906</v>
      </c>
      <c r="I86" s="1699">
        <f t="shared" si="148"/>
        <v>5.9230711172220083</v>
      </c>
      <c r="J86" s="1699">
        <f t="shared" si="148"/>
        <v>4.484479937770999</v>
      </c>
      <c r="K86" s="1699">
        <f t="shared" si="148"/>
        <v>4.4700572474679632</v>
      </c>
      <c r="L86" s="2039">
        <f t="shared" si="148"/>
        <v>19.733503782923947</v>
      </c>
      <c r="M86" s="1699">
        <f t="shared" si="148"/>
        <v>4.2154240535449787</v>
      </c>
      <c r="N86" s="1699">
        <f t="shared" si="148"/>
        <v>4.4862861172209989</v>
      </c>
      <c r="O86" s="1699">
        <f t="shared" si="148"/>
        <v>4.3660826975400084</v>
      </c>
      <c r="P86" s="1699">
        <f t="shared" si="148"/>
        <v>4</v>
      </c>
      <c r="Q86" s="2039">
        <f>'New split'!F99</f>
        <v>17.067792868306014</v>
      </c>
      <c r="R86" s="1699">
        <f t="shared" ref="R86:U88" si="149">R15-R51</f>
        <v>2</v>
      </c>
      <c r="S86" s="1699">
        <f t="shared" si="149"/>
        <v>2</v>
      </c>
      <c r="T86" s="1699">
        <f t="shared" si="149"/>
        <v>2</v>
      </c>
      <c r="U86" s="1699">
        <f t="shared" si="149"/>
        <v>1</v>
      </c>
      <c r="V86" s="2039">
        <f>'New split'!G99</f>
        <v>7</v>
      </c>
      <c r="W86" s="1699">
        <f t="shared" ref="W86:Z88" si="150">W15-W51</f>
        <v>5</v>
      </c>
      <c r="X86" s="1699">
        <f t="shared" si="150"/>
        <v>4</v>
      </c>
      <c r="Y86" s="1699">
        <f t="shared" si="150"/>
        <v>4</v>
      </c>
      <c r="Z86" s="1699">
        <f t="shared" si="150"/>
        <v>4</v>
      </c>
      <c r="AA86" s="2039">
        <f>SUM(W86:Z86)</f>
        <v>17</v>
      </c>
      <c r="AB86" s="1699">
        <f t="shared" ref="AB86:AI88" si="151">AB15-AB51</f>
        <v>4</v>
      </c>
      <c r="AC86" s="1699">
        <f t="shared" si="151"/>
        <v>4</v>
      </c>
      <c r="AD86" s="1699">
        <f t="shared" si="151"/>
        <v>5</v>
      </c>
      <c r="AE86" s="1699">
        <f t="shared" si="151"/>
        <v>5</v>
      </c>
      <c r="AF86" s="1699">
        <f t="shared" si="151"/>
        <v>3</v>
      </c>
      <c r="AG86" s="1699">
        <f t="shared" si="151"/>
        <v>3</v>
      </c>
      <c r="AH86" s="1699">
        <f t="shared" si="151"/>
        <v>3</v>
      </c>
      <c r="AI86" s="1699">
        <f t="shared" si="151"/>
        <v>3</v>
      </c>
      <c r="AJ86" s="2039">
        <f>'New split'!I99</f>
        <v>15</v>
      </c>
      <c r="AK86" s="1699">
        <f t="shared" ref="AK86:AN88" si="152">AK15-AK51</f>
        <v>3</v>
      </c>
      <c r="AL86" s="1699">
        <f t="shared" si="152"/>
        <v>1</v>
      </c>
      <c r="AM86" s="1699">
        <f t="shared" si="152"/>
        <v>2</v>
      </c>
      <c r="AN86" s="1699">
        <f t="shared" si="152"/>
        <v>2</v>
      </c>
      <c r="AO86" s="2039">
        <f t="shared" si="116"/>
        <v>8</v>
      </c>
      <c r="AP86" s="2475">
        <f t="shared" ref="AP86:AS88" si="153">AP15-AP51</f>
        <v>4</v>
      </c>
      <c r="AQ86" s="2475">
        <f t="shared" si="153"/>
        <v>3</v>
      </c>
      <c r="AR86" s="2475">
        <f t="shared" si="153"/>
        <v>2</v>
      </c>
      <c r="AS86" s="2475">
        <f t="shared" si="153"/>
        <v>3</v>
      </c>
      <c r="AT86" s="2476">
        <f t="shared" si="118"/>
        <v>12</v>
      </c>
      <c r="AU86" s="2475">
        <f t="shared" ref="AU86:AX88" si="154">AU15-AU51</f>
        <v>3</v>
      </c>
      <c r="AV86" s="2475">
        <f t="shared" si="154"/>
        <v>4.4000000000000057</v>
      </c>
      <c r="AW86" s="2475">
        <f t="shared" si="154"/>
        <v>2.8100000000000023</v>
      </c>
      <c r="AX86" s="2475">
        <f t="shared" si="154"/>
        <v>3</v>
      </c>
      <c r="AY86" s="2476">
        <f>'New split'!L99</f>
        <v>13.209999999999923</v>
      </c>
      <c r="AZ86" s="2475">
        <f t="shared" ref="AZ86:BC88" si="155">AZ15-AZ51</f>
        <v>3</v>
      </c>
      <c r="BA86" s="2475">
        <f t="shared" si="155"/>
        <v>3</v>
      </c>
      <c r="BB86" s="2475">
        <f t="shared" si="155"/>
        <v>2.9399999999999977</v>
      </c>
      <c r="BC86" s="2475">
        <f t="shared" si="155"/>
        <v>2.1610000000000014</v>
      </c>
      <c r="BD86" s="2476">
        <f>'New split'!M99</f>
        <v>11.100999999999999</v>
      </c>
      <c r="BE86" s="2475">
        <f t="shared" ref="BE86:BG88" si="156">BE15-BE51</f>
        <v>2</v>
      </c>
      <c r="BF86" s="2475">
        <f t="shared" si="156"/>
        <v>1</v>
      </c>
      <c r="BG86" s="2475">
        <f t="shared" si="156"/>
        <v>1.4123000000000161</v>
      </c>
      <c r="BH86" s="2475">
        <f>BH15-BH51</f>
        <v>2.0216000000000065</v>
      </c>
      <c r="BI86" s="2476">
        <f>'New split'!N99</f>
        <v>6.4338999999999942</v>
      </c>
      <c r="BJ86" s="2475">
        <f t="shared" si="124"/>
        <v>0.59119732857143248</v>
      </c>
      <c r="BK86" s="2475">
        <f t="shared" ref="BK86:BL86" si="157">BJ86</f>
        <v>0.59119732857143248</v>
      </c>
      <c r="BL86" s="2475">
        <f t="shared" si="157"/>
        <v>0.59119732857143248</v>
      </c>
      <c r="BM86" s="2475">
        <f t="shared" si="126"/>
        <v>0.59119732857143248</v>
      </c>
      <c r="BN86" s="2476">
        <f>'New split'!O99</f>
        <v>2.3647893142857299</v>
      </c>
      <c r="BO86" s="1699"/>
      <c r="BP86" s="1699"/>
      <c r="BQ86" s="2040"/>
      <c r="BR86" s="1293"/>
      <c r="BS86" s="1293"/>
      <c r="BT86" s="1293"/>
      <c r="BU86" s="1293"/>
      <c r="BV86" s="1293"/>
      <c r="BW86" s="1293"/>
      <c r="BX86" s="1293"/>
      <c r="BY86" s="1293"/>
      <c r="BZ86" s="1293"/>
      <c r="CA86" s="1293"/>
      <c r="CB86" s="1293"/>
      <c r="CC86" s="1293"/>
      <c r="CD86" s="1293"/>
      <c r="CE86" s="1293"/>
      <c r="CF86" s="1293"/>
      <c r="CG86" s="1293"/>
      <c r="CH86" s="1293"/>
      <c r="CI86" s="1293"/>
      <c r="CJ86" s="1293"/>
      <c r="CK86" s="1293"/>
      <c r="CL86" s="1293"/>
      <c r="CM86" s="1293"/>
      <c r="CN86" s="1293"/>
      <c r="CO86" s="1293"/>
      <c r="CP86" s="1293"/>
      <c r="CQ86" s="1293"/>
      <c r="CR86" s="1293"/>
      <c r="CS86" s="1293"/>
      <c r="CT86" s="1293"/>
      <c r="CU86" s="1293"/>
      <c r="CV86" s="1293"/>
      <c r="CW86" s="1293"/>
      <c r="CX86" s="1293"/>
      <c r="CY86" s="2041">
        <v>2.9268596237337192</v>
      </c>
      <c r="CZ86" s="2053">
        <v>3</v>
      </c>
      <c r="DA86" s="2098">
        <v>2.5</v>
      </c>
      <c r="DB86" s="2099">
        <v>2</v>
      </c>
      <c r="DC86" s="1293"/>
      <c r="DD86" s="1293"/>
      <c r="DE86" s="1293"/>
      <c r="DF86" s="1293"/>
      <c r="DG86" s="1293"/>
      <c r="DH86" s="1293"/>
      <c r="DI86" s="1293"/>
      <c r="DJ86" s="1293"/>
      <c r="DK86" s="1293"/>
      <c r="DL86" s="1293"/>
    </row>
    <row r="87" spans="1:116" ht="15.75">
      <c r="A87" s="1293"/>
      <c r="B87" s="1293" t="str">
        <f>B52</f>
        <v>Colombia</v>
      </c>
      <c r="C87" s="1699">
        <f t="shared" ref="C87:P87" si="158">C16-C52</f>
        <v>24.955223292681978</v>
      </c>
      <c r="D87" s="1699">
        <f t="shared" si="158"/>
        <v>32.110404642044955</v>
      </c>
      <c r="E87" s="1699">
        <f t="shared" si="158"/>
        <v>52.882931921891952</v>
      </c>
      <c r="F87" s="1699">
        <f t="shared" si="158"/>
        <v>85.629864193116987</v>
      </c>
      <c r="G87" s="2039">
        <f t="shared" si="158"/>
        <v>195.57842404973599</v>
      </c>
      <c r="H87" s="1699">
        <f t="shared" si="158"/>
        <v>55.677363067401018</v>
      </c>
      <c r="I87" s="1699">
        <f t="shared" si="158"/>
        <v>58.192844341169007</v>
      </c>
      <c r="J87" s="1699">
        <f t="shared" si="158"/>
        <v>45.598992478290029</v>
      </c>
      <c r="K87" s="1699">
        <f t="shared" si="158"/>
        <v>46.450083111256959</v>
      </c>
      <c r="L87" s="2039">
        <f t="shared" si="158"/>
        <v>205.91928299811684</v>
      </c>
      <c r="M87" s="1699">
        <f t="shared" si="158"/>
        <v>29.149178604772999</v>
      </c>
      <c r="N87" s="1699">
        <f t="shared" si="158"/>
        <v>30.727643521074924</v>
      </c>
      <c r="O87" s="1699">
        <f t="shared" si="158"/>
        <v>26.65089428162895</v>
      </c>
      <c r="P87" s="1699">
        <f t="shared" si="158"/>
        <v>49</v>
      </c>
      <c r="Q87" s="2039">
        <f>'New split'!F100</f>
        <v>135.52771640747687</v>
      </c>
      <c r="R87" s="1699">
        <f t="shared" si="149"/>
        <v>25</v>
      </c>
      <c r="S87" s="1699">
        <f t="shared" si="149"/>
        <v>34</v>
      </c>
      <c r="T87" s="1699">
        <f t="shared" si="149"/>
        <v>29</v>
      </c>
      <c r="U87" s="1699">
        <f t="shared" si="149"/>
        <v>36</v>
      </c>
      <c r="V87" s="2039">
        <f>'New split'!G100</f>
        <v>124</v>
      </c>
      <c r="W87" s="1699">
        <f t="shared" si="150"/>
        <v>23</v>
      </c>
      <c r="X87" s="1699">
        <f t="shared" si="150"/>
        <v>27</v>
      </c>
      <c r="Y87" s="1699">
        <f t="shared" si="150"/>
        <v>26</v>
      </c>
      <c r="Z87" s="1699">
        <f t="shared" si="150"/>
        <v>32</v>
      </c>
      <c r="AA87" s="2039">
        <f>SUM(W87:Z87)</f>
        <v>108</v>
      </c>
      <c r="AB87" s="1699">
        <f t="shared" si="151"/>
        <v>23</v>
      </c>
      <c r="AC87" s="1699">
        <f t="shared" si="151"/>
        <v>23</v>
      </c>
      <c r="AD87" s="1699">
        <f t="shared" si="151"/>
        <v>23</v>
      </c>
      <c r="AE87" s="1699">
        <f t="shared" si="151"/>
        <v>23</v>
      </c>
      <c r="AF87" s="1699">
        <f t="shared" si="151"/>
        <v>24</v>
      </c>
      <c r="AG87" s="1699">
        <f t="shared" si="151"/>
        <v>24</v>
      </c>
      <c r="AH87" s="1699">
        <f t="shared" si="151"/>
        <v>30</v>
      </c>
      <c r="AI87" s="1699">
        <f t="shared" si="151"/>
        <v>30</v>
      </c>
      <c r="AJ87" s="2039">
        <f>'New split'!I100</f>
        <v>100</v>
      </c>
      <c r="AK87" s="1699">
        <f t="shared" si="152"/>
        <v>24</v>
      </c>
      <c r="AL87" s="1699">
        <f t="shared" si="152"/>
        <v>13</v>
      </c>
      <c r="AM87" s="1699">
        <f t="shared" si="152"/>
        <v>21</v>
      </c>
      <c r="AN87" s="1699">
        <f t="shared" si="152"/>
        <v>29</v>
      </c>
      <c r="AO87" s="2039">
        <f t="shared" si="116"/>
        <v>87</v>
      </c>
      <c r="AP87" s="2475">
        <f t="shared" si="153"/>
        <v>20</v>
      </c>
      <c r="AQ87" s="2475">
        <f t="shared" si="153"/>
        <v>21</v>
      </c>
      <c r="AR87" s="2475">
        <f t="shared" si="153"/>
        <v>24</v>
      </c>
      <c r="AS87" s="2475">
        <f t="shared" si="153"/>
        <v>29</v>
      </c>
      <c r="AT87" s="2476">
        <f t="shared" si="118"/>
        <v>94</v>
      </c>
      <c r="AU87" s="2475">
        <f t="shared" si="154"/>
        <v>25</v>
      </c>
      <c r="AV87" s="2475">
        <f t="shared" si="154"/>
        <v>23.399999999999977</v>
      </c>
      <c r="AW87" s="2475">
        <f t="shared" si="154"/>
        <v>17.379999999999995</v>
      </c>
      <c r="AX87" s="2475">
        <f t="shared" si="154"/>
        <v>17</v>
      </c>
      <c r="AY87" s="2476">
        <f>'New split'!L100</f>
        <v>82.7800000000002</v>
      </c>
      <c r="AZ87" s="2475">
        <f t="shared" si="155"/>
        <v>12</v>
      </c>
      <c r="BA87" s="2475">
        <f t="shared" si="155"/>
        <v>12</v>
      </c>
      <c r="BB87" s="2475">
        <f t="shared" si="155"/>
        <v>10.84699999999998</v>
      </c>
      <c r="BC87" s="2475">
        <f t="shared" si="155"/>
        <v>9.6229999999999905</v>
      </c>
      <c r="BD87" s="2476">
        <f>'New split'!M100</f>
        <v>44.470000000000027</v>
      </c>
      <c r="BE87" s="2475">
        <f t="shared" si="156"/>
        <v>9</v>
      </c>
      <c r="BF87" s="2475">
        <f t="shared" si="156"/>
        <v>10</v>
      </c>
      <c r="BG87" s="2475">
        <f t="shared" si="156"/>
        <v>8.9590000000000032</v>
      </c>
      <c r="BH87" s="2475">
        <f>BH16-BH52</f>
        <v>10.670400000000029</v>
      </c>
      <c r="BI87" s="2476">
        <f>'New split'!N100</f>
        <v>38.62940000000026</v>
      </c>
      <c r="BJ87" s="2475">
        <f t="shared" si="124"/>
        <v>9.2590839795180955</v>
      </c>
      <c r="BK87" s="2475">
        <f t="shared" ref="BK87:BL87" si="159">BJ87</f>
        <v>9.2590839795180955</v>
      </c>
      <c r="BL87" s="2475">
        <f t="shared" si="159"/>
        <v>9.2590839795180955</v>
      </c>
      <c r="BM87" s="2475">
        <f t="shared" si="126"/>
        <v>9.2590839795180955</v>
      </c>
      <c r="BN87" s="2476">
        <f>'New split'!O100</f>
        <v>37.036335918072382</v>
      </c>
      <c r="BO87" s="1699"/>
      <c r="BP87" s="1699"/>
      <c r="BQ87" s="2040"/>
      <c r="BR87" s="1293"/>
      <c r="BS87" s="1293"/>
      <c r="BT87" s="1293"/>
      <c r="BU87" s="1293"/>
      <c r="BV87" s="1293"/>
      <c r="BW87" s="1293"/>
      <c r="BX87" s="1293"/>
      <c r="BY87" s="1293"/>
      <c r="BZ87" s="1293"/>
      <c r="CA87" s="1293"/>
      <c r="CB87" s="1293"/>
      <c r="CC87" s="1293"/>
      <c r="CD87" s="1293"/>
      <c r="CE87" s="1293"/>
      <c r="CF87" s="1293"/>
      <c r="CG87" s="1293"/>
      <c r="CH87" s="1293"/>
      <c r="CI87" s="1293"/>
      <c r="CJ87" s="1293"/>
      <c r="CK87" s="1293"/>
      <c r="CL87" s="1293"/>
      <c r="CM87" s="1293"/>
      <c r="CN87" s="1293"/>
      <c r="CO87" s="1293"/>
      <c r="CP87" s="1293"/>
      <c r="CQ87" s="1293"/>
      <c r="CR87" s="1293"/>
      <c r="CS87" s="1293"/>
      <c r="CT87" s="1293"/>
      <c r="CU87" s="1293"/>
      <c r="CV87" s="1293"/>
      <c r="CW87" s="1293"/>
      <c r="CX87" s="1293"/>
      <c r="CY87" s="2041">
        <v>13.764111111111106</v>
      </c>
      <c r="CZ87" s="2053">
        <v>17</v>
      </c>
      <c r="DA87" s="2098">
        <v>9</v>
      </c>
      <c r="DB87" s="2099">
        <v>10</v>
      </c>
      <c r="DC87" s="1293"/>
      <c r="DD87" s="1293"/>
      <c r="DE87" s="1293"/>
      <c r="DF87" s="1293"/>
      <c r="DG87" s="1293"/>
      <c r="DH87" s="1293"/>
      <c r="DI87" s="1293"/>
      <c r="DJ87" s="1293"/>
      <c r="DK87" s="1293"/>
      <c r="DL87" s="1293"/>
    </row>
    <row r="88" spans="1:116" ht="15.75">
      <c r="A88" s="1293"/>
      <c r="B88" s="1293" t="str">
        <f>B53</f>
        <v>Paraguay</v>
      </c>
      <c r="C88" s="1699">
        <f t="shared" ref="C88:P88" si="160">C17-C53</f>
        <v>11.650172061310002</v>
      </c>
      <c r="D88" s="1699">
        <f t="shared" si="160"/>
        <v>14.518203349118011</v>
      </c>
      <c r="E88" s="1699">
        <f t="shared" si="160"/>
        <v>17.963175604564981</v>
      </c>
      <c r="F88" s="1699">
        <f t="shared" si="160"/>
        <v>18.227328765750002</v>
      </c>
      <c r="G88" s="2039">
        <f t="shared" si="160"/>
        <v>62.358879780743109</v>
      </c>
      <c r="H88" s="1699">
        <f t="shared" si="160"/>
        <v>16.83811582078701</v>
      </c>
      <c r="I88" s="1699">
        <f t="shared" si="160"/>
        <v>16.849600938970013</v>
      </c>
      <c r="J88" s="1699">
        <f t="shared" si="160"/>
        <v>14.430837825082023</v>
      </c>
      <c r="K88" s="1699">
        <f t="shared" si="160"/>
        <v>15.118470849621019</v>
      </c>
      <c r="L88" s="2039">
        <f t="shared" si="160"/>
        <v>63.237025434460065</v>
      </c>
      <c r="M88" s="1699">
        <f t="shared" si="160"/>
        <v>11.759115514814994</v>
      </c>
      <c r="N88" s="1699">
        <f t="shared" si="160"/>
        <v>16.329921348701987</v>
      </c>
      <c r="O88" s="1699">
        <f t="shared" si="160"/>
        <v>11.992735094244011</v>
      </c>
      <c r="P88" s="1699">
        <f t="shared" si="160"/>
        <v>0</v>
      </c>
      <c r="Q88" s="2039">
        <f>'New split'!F101</f>
        <v>40.081771957761021</v>
      </c>
      <c r="R88" s="1699">
        <f t="shared" si="149"/>
        <v>10</v>
      </c>
      <c r="S88" s="1699">
        <f t="shared" si="149"/>
        <v>12</v>
      </c>
      <c r="T88" s="1699">
        <f t="shared" si="149"/>
        <v>10</v>
      </c>
      <c r="U88" s="1699">
        <f t="shared" si="149"/>
        <v>9</v>
      </c>
      <c r="V88" s="2039">
        <f>'New split'!G101</f>
        <v>41</v>
      </c>
      <c r="W88" s="1699">
        <f t="shared" si="150"/>
        <v>13</v>
      </c>
      <c r="X88" s="1699">
        <f t="shared" si="150"/>
        <v>13</v>
      </c>
      <c r="Y88" s="1699">
        <f t="shared" si="150"/>
        <v>12</v>
      </c>
      <c r="Z88" s="1699">
        <f t="shared" si="150"/>
        <v>9</v>
      </c>
      <c r="AA88" s="2039">
        <f>SUM(W88:Z88)</f>
        <v>47</v>
      </c>
      <c r="AB88" s="1699">
        <f t="shared" si="151"/>
        <v>8</v>
      </c>
      <c r="AC88" s="1699">
        <f t="shared" si="151"/>
        <v>8</v>
      </c>
      <c r="AD88" s="1699">
        <f t="shared" si="151"/>
        <v>9</v>
      </c>
      <c r="AE88" s="1699">
        <f t="shared" si="151"/>
        <v>9</v>
      </c>
      <c r="AF88" s="1699">
        <f t="shared" si="151"/>
        <v>9</v>
      </c>
      <c r="AG88" s="1699">
        <f t="shared" si="151"/>
        <v>9</v>
      </c>
      <c r="AH88" s="1699">
        <f t="shared" si="151"/>
        <v>10</v>
      </c>
      <c r="AI88" s="1699">
        <f t="shared" si="151"/>
        <v>10</v>
      </c>
      <c r="AJ88" s="2039">
        <f>'New split'!I101</f>
        <v>36</v>
      </c>
      <c r="AK88" s="1699">
        <f t="shared" si="152"/>
        <v>8</v>
      </c>
      <c r="AL88" s="1699">
        <f t="shared" si="152"/>
        <v>7</v>
      </c>
      <c r="AM88" s="1699">
        <f t="shared" si="152"/>
        <v>8</v>
      </c>
      <c r="AN88" s="1699">
        <f t="shared" si="152"/>
        <v>7</v>
      </c>
      <c r="AO88" s="2039">
        <f t="shared" si="116"/>
        <v>30</v>
      </c>
      <c r="AP88" s="2475">
        <f t="shared" si="153"/>
        <v>8</v>
      </c>
      <c r="AQ88" s="2475">
        <f t="shared" si="153"/>
        <v>8</v>
      </c>
      <c r="AR88" s="2475">
        <f t="shared" si="153"/>
        <v>7</v>
      </c>
      <c r="AS88" s="2475">
        <f t="shared" si="153"/>
        <v>6</v>
      </c>
      <c r="AT88" s="2476">
        <f t="shared" si="118"/>
        <v>29</v>
      </c>
      <c r="AU88" s="2475">
        <f t="shared" si="154"/>
        <v>7</v>
      </c>
      <c r="AV88" s="2475">
        <f t="shared" si="154"/>
        <v>7.210000000000008</v>
      </c>
      <c r="AW88" s="2475">
        <f t="shared" si="154"/>
        <v>5.7700000000000102</v>
      </c>
      <c r="AX88" s="2475">
        <f t="shared" si="154"/>
        <v>6</v>
      </c>
      <c r="AY88" s="2476">
        <f>'New split'!L101</f>
        <v>25.980000000000018</v>
      </c>
      <c r="AZ88" s="2475">
        <f t="shared" si="155"/>
        <v>7</v>
      </c>
      <c r="BA88" s="2475">
        <f t="shared" si="155"/>
        <v>6</v>
      </c>
      <c r="BB88" s="2475">
        <f t="shared" si="155"/>
        <v>5.4570000000000221</v>
      </c>
      <c r="BC88" s="2475">
        <f t="shared" si="155"/>
        <v>5.8160000000000025</v>
      </c>
      <c r="BD88" s="2476">
        <f>'New split'!M101</f>
        <v>24.273000000000025</v>
      </c>
      <c r="BE88" s="2475">
        <f t="shared" si="156"/>
        <v>5</v>
      </c>
      <c r="BF88" s="2475">
        <f t="shared" si="156"/>
        <v>5</v>
      </c>
      <c r="BG88" s="2475">
        <f t="shared" si="156"/>
        <v>4.3812999999999818</v>
      </c>
      <c r="BH88" s="2475">
        <f>BH17-BH53</f>
        <v>4.5180000000000007</v>
      </c>
      <c r="BI88" s="2476">
        <f>'New split'!N101</f>
        <v>18.899299999999926</v>
      </c>
      <c r="BJ88" s="2475">
        <f t="shared" si="124"/>
        <v>4.4022067730696222</v>
      </c>
      <c r="BK88" s="2475">
        <f t="shared" ref="BK88:BL88" si="161">BJ88</f>
        <v>4.4022067730696222</v>
      </c>
      <c r="BL88" s="2475">
        <f t="shared" si="161"/>
        <v>4.4022067730696222</v>
      </c>
      <c r="BM88" s="2475">
        <f t="shared" si="126"/>
        <v>4.4022067730696222</v>
      </c>
      <c r="BN88" s="2476">
        <f>'New split'!O101</f>
        <v>17.608827092278489</v>
      </c>
      <c r="BO88" s="1699"/>
      <c r="BP88" s="1699"/>
      <c r="BQ88" s="2040"/>
      <c r="BR88" s="1293"/>
      <c r="BS88" s="1293"/>
      <c r="BT88" s="1293"/>
      <c r="BU88" s="1293"/>
      <c r="BV88" s="1293"/>
      <c r="BW88" s="1293"/>
      <c r="BX88" s="1293"/>
      <c r="BY88" s="1293"/>
      <c r="BZ88" s="1293"/>
      <c r="CA88" s="1293"/>
      <c r="CB88" s="1293"/>
      <c r="CC88" s="1293"/>
      <c r="CD88" s="1293"/>
      <c r="CE88" s="1293"/>
      <c r="CF88" s="1293"/>
      <c r="CG88" s="1293"/>
      <c r="CH88" s="1293"/>
      <c r="CI88" s="1293"/>
      <c r="CJ88" s="1293"/>
      <c r="CK88" s="1293"/>
      <c r="CL88" s="1293"/>
      <c r="CM88" s="1293"/>
      <c r="CN88" s="1293"/>
      <c r="CO88" s="1293"/>
      <c r="CP88" s="1293"/>
      <c r="CQ88" s="1293"/>
      <c r="CR88" s="1293"/>
      <c r="CS88" s="1293"/>
      <c r="CT88" s="1293"/>
      <c r="CU88" s="1293"/>
      <c r="CV88" s="1293"/>
      <c r="CW88" s="1293"/>
      <c r="CX88" s="1293"/>
      <c r="CY88" s="2041">
        <v>6.3187707076249069</v>
      </c>
      <c r="CZ88" s="2053">
        <v>7</v>
      </c>
      <c r="DA88" s="2098">
        <v>6</v>
      </c>
      <c r="DB88" s="2099">
        <v>5</v>
      </c>
      <c r="DC88" s="1293"/>
      <c r="DD88" s="1293"/>
      <c r="DE88" s="1293"/>
      <c r="DF88" s="1293"/>
      <c r="DG88" s="1293"/>
      <c r="DH88" s="1293"/>
      <c r="DI88" s="1293"/>
      <c r="DJ88" s="1293"/>
      <c r="DK88" s="1293"/>
      <c r="DL88" s="1293"/>
    </row>
    <row r="89" spans="1:116" ht="15.75" hidden="1" outlineLevel="1">
      <c r="A89" s="1293"/>
      <c r="B89" s="1293"/>
      <c r="C89" s="1699"/>
      <c r="D89" s="1699"/>
      <c r="E89" s="1699"/>
      <c r="F89" s="1699"/>
      <c r="G89" s="2039"/>
      <c r="H89" s="1699"/>
      <c r="I89" s="1699"/>
      <c r="J89" s="1699"/>
      <c r="K89" s="1699"/>
      <c r="L89" s="2039"/>
      <c r="M89" s="1699"/>
      <c r="N89" s="1699"/>
      <c r="O89" s="1699"/>
      <c r="P89" s="1699"/>
      <c r="Q89" s="2039"/>
      <c r="R89" s="1699"/>
      <c r="S89" s="1699"/>
      <c r="T89" s="1699"/>
      <c r="U89" s="1699"/>
      <c r="V89" s="2039"/>
      <c r="W89" s="1699"/>
      <c r="X89" s="1699"/>
      <c r="Y89" s="1699"/>
      <c r="Z89" s="1699"/>
      <c r="AA89" s="2039"/>
      <c r="AB89" s="1699"/>
      <c r="AC89" s="1699"/>
      <c r="AD89" s="1699"/>
      <c r="AE89" s="1699"/>
      <c r="AF89" s="1699"/>
      <c r="AG89" s="1699"/>
      <c r="AH89" s="1699"/>
      <c r="AI89" s="1699"/>
      <c r="AJ89" s="2039"/>
      <c r="AK89" s="1699"/>
      <c r="AL89" s="1699"/>
      <c r="AM89" s="1699"/>
      <c r="AN89" s="1699"/>
      <c r="AO89" s="2039"/>
      <c r="AP89" s="2475"/>
      <c r="AQ89" s="2475"/>
      <c r="AR89" s="2475"/>
      <c r="AS89" s="2475"/>
      <c r="AT89" s="2476"/>
      <c r="AU89" s="2475"/>
      <c r="AV89" s="2475"/>
      <c r="AW89" s="2475"/>
      <c r="AX89" s="2475"/>
      <c r="AY89" s="2476"/>
      <c r="AZ89" s="2475"/>
      <c r="BA89" s="2475"/>
      <c r="BB89" s="2475"/>
      <c r="BC89" s="2475"/>
      <c r="BD89" s="2476"/>
      <c r="BE89" s="2475"/>
      <c r="BF89" s="2475"/>
      <c r="BG89" s="2475"/>
      <c r="BH89" s="2475"/>
      <c r="BI89" s="2476"/>
      <c r="BJ89" s="2475"/>
      <c r="BK89" s="2475"/>
      <c r="BL89" s="2475"/>
      <c r="BM89" s="2475"/>
      <c r="BN89" s="2476"/>
      <c r="BO89" s="1699"/>
      <c r="BP89" s="1699"/>
      <c r="BQ89" s="2040"/>
      <c r="BR89" s="1293"/>
      <c r="BS89" s="1293"/>
      <c r="BT89" s="1293"/>
      <c r="BU89" s="1293"/>
      <c r="BV89" s="1293"/>
      <c r="BW89" s="1293"/>
      <c r="BX89" s="1293"/>
      <c r="BY89" s="1293"/>
      <c r="BZ89" s="1293"/>
      <c r="CA89" s="1293"/>
      <c r="CB89" s="1293"/>
      <c r="CC89" s="1293"/>
      <c r="CD89" s="1293"/>
      <c r="CE89" s="1293"/>
      <c r="CF89" s="1293"/>
      <c r="CG89" s="1293"/>
      <c r="CH89" s="1293"/>
      <c r="CI89" s="1293"/>
      <c r="CJ89" s="1293"/>
      <c r="CK89" s="1293"/>
      <c r="CL89" s="1293"/>
      <c r="CM89" s="1293"/>
      <c r="CN89" s="1293"/>
      <c r="CO89" s="1293"/>
      <c r="CP89" s="1293"/>
      <c r="CQ89" s="1293"/>
      <c r="CR89" s="1293"/>
      <c r="CS89" s="1293"/>
      <c r="CT89" s="1293"/>
      <c r="CU89" s="1293"/>
      <c r="CV89" s="1293"/>
      <c r="CW89" s="1293"/>
      <c r="CX89" s="1293"/>
      <c r="CY89" s="2041"/>
      <c r="CZ89" s="1699"/>
      <c r="DA89" s="2042"/>
      <c r="DB89" s="2041"/>
      <c r="DC89" s="1293"/>
      <c r="DD89" s="1293"/>
      <c r="DE89" s="1293"/>
      <c r="DF89" s="1293"/>
      <c r="DG89" s="1293"/>
      <c r="DH89" s="1293"/>
      <c r="DI89" s="1293"/>
      <c r="DJ89" s="1293"/>
      <c r="DK89" s="1293"/>
      <c r="DL89" s="1293"/>
    </row>
    <row r="90" spans="1:116" ht="15.75" hidden="1" outlineLevel="1">
      <c r="A90" s="1293"/>
      <c r="B90" s="1293" t="str">
        <f t="shared" ref="B90:B96" si="162">B60</f>
        <v>Chad</v>
      </c>
      <c r="C90" s="1293"/>
      <c r="D90" s="1293"/>
      <c r="E90" s="1293"/>
      <c r="F90" s="1293"/>
      <c r="G90" s="2080"/>
      <c r="H90" s="1293"/>
      <c r="I90" s="1293"/>
      <c r="J90" s="1293"/>
      <c r="K90" s="1293"/>
      <c r="L90" s="2080"/>
      <c r="M90" s="1699">
        <f ca="1">M23-M60</f>
        <v>0.51518677461267259</v>
      </c>
      <c r="N90" s="1699">
        <f ca="1">N23-N60</f>
        <v>0.33300120947595957</v>
      </c>
      <c r="O90" s="1699">
        <f>O23-O60</f>
        <v>0.31788580107852482</v>
      </c>
      <c r="P90" s="1699">
        <f>P23-P60</f>
        <v>0.17814531657174371</v>
      </c>
      <c r="Q90" s="2039"/>
      <c r="R90" s="1699">
        <f ca="1">M90/M$97*R$97</f>
        <v>0.17889867163620807</v>
      </c>
      <c r="S90" s="1699">
        <f ca="1">N90/N$97*S$97</f>
        <v>0.18202097176785473</v>
      </c>
      <c r="T90" s="1699">
        <f>O90/O$97*T$97</f>
        <v>0.17814531657174024</v>
      </c>
      <c r="U90" s="1699">
        <f>P90/P$97*U$97</f>
        <v>0</v>
      </c>
      <c r="V90" s="2039"/>
      <c r="W90" s="1699">
        <f ca="1">R90/R$97*W$97</f>
        <v>0</v>
      </c>
      <c r="X90" s="1699">
        <f ca="1">S90/S$97*X$97</f>
        <v>0</v>
      </c>
      <c r="Y90" s="1699">
        <f>T90/T$97*Y$97</f>
        <v>8.9072658285870118E-2</v>
      </c>
      <c r="Z90" s="1699">
        <f>T90/T$97*Z$97</f>
        <v>0.17814531657174024</v>
      </c>
      <c r="AA90" s="2039">
        <f ca="1">SUM(W90:Z90)</f>
        <v>0.26721797485761034</v>
      </c>
      <c r="AB90" s="1699"/>
      <c r="AC90" s="1699"/>
      <c r="AD90" s="1699"/>
      <c r="AE90" s="1699"/>
      <c r="AF90" s="1699"/>
      <c r="AG90" s="1699"/>
      <c r="AH90" s="1699"/>
      <c r="AI90" s="1699"/>
      <c r="AJ90" s="2039">
        <f>'New split'!I105</f>
        <v>0</v>
      </c>
      <c r="AK90" s="1699"/>
      <c r="AL90" s="1699"/>
      <c r="AM90" s="1699"/>
      <c r="AN90" s="1699"/>
      <c r="AO90" s="2039">
        <f>'New split'!J105</f>
        <v>0</v>
      </c>
      <c r="AP90" s="2475"/>
      <c r="AQ90" s="2475"/>
      <c r="AR90" s="2475"/>
      <c r="AS90" s="2475"/>
      <c r="AT90" s="2476">
        <f>'New split'!K105</f>
        <v>0</v>
      </c>
      <c r="AU90" s="2475"/>
      <c r="AV90" s="2475"/>
      <c r="AW90" s="2475"/>
      <c r="AX90" s="2475"/>
      <c r="AY90" s="2476">
        <f>'New split'!L105</f>
        <v>0</v>
      </c>
      <c r="AZ90" s="2475"/>
      <c r="BA90" s="2475"/>
      <c r="BB90" s="2475"/>
      <c r="BC90" s="2475"/>
      <c r="BD90" s="2476">
        <f>'New split'!M105</f>
        <v>0</v>
      </c>
      <c r="BE90" s="2475"/>
      <c r="BF90" s="2475"/>
      <c r="BG90" s="2475"/>
      <c r="BH90" s="2475"/>
      <c r="BI90" s="2476">
        <f>'New split'!N105</f>
        <v>0</v>
      </c>
      <c r="BJ90" s="2475"/>
      <c r="BK90" s="2475"/>
      <c r="BL90" s="2475"/>
      <c r="BM90" s="2475"/>
      <c r="BN90" s="2476">
        <f>'New split'!O105</f>
        <v>0</v>
      </c>
      <c r="BO90" s="1699"/>
      <c r="BP90" s="1699"/>
      <c r="BQ90" s="2040"/>
      <c r="BR90" s="1293"/>
      <c r="BS90" s="1293"/>
      <c r="BT90" s="1293"/>
      <c r="BU90" s="1293"/>
      <c r="BV90" s="1293"/>
      <c r="BW90" s="1293"/>
      <c r="BX90" s="1293"/>
      <c r="BY90" s="1293"/>
      <c r="BZ90" s="1293"/>
      <c r="CA90" s="1293"/>
      <c r="CB90" s="1293"/>
      <c r="CC90" s="1293"/>
      <c r="CD90" s="1293"/>
      <c r="CE90" s="1293"/>
      <c r="CF90" s="1293"/>
      <c r="CG90" s="1293"/>
      <c r="CH90" s="1293"/>
      <c r="CI90" s="1293"/>
      <c r="CJ90" s="1293"/>
      <c r="CK90" s="1293"/>
      <c r="CL90" s="1293"/>
      <c r="CM90" s="1293"/>
      <c r="CN90" s="1293"/>
      <c r="CO90" s="1293"/>
      <c r="CP90" s="1293"/>
      <c r="CQ90" s="1293"/>
      <c r="CR90" s="1293"/>
      <c r="CS90" s="1293"/>
      <c r="CT90" s="1293"/>
      <c r="CU90" s="1293"/>
      <c r="CV90" s="1293"/>
      <c r="CW90" s="1293"/>
      <c r="CX90" s="1293"/>
      <c r="CY90" s="2041"/>
      <c r="CZ90" s="1699"/>
      <c r="DA90" s="2042"/>
      <c r="DB90" s="2041"/>
      <c r="DC90" s="1293"/>
      <c r="DD90" s="1293"/>
      <c r="DE90" s="1293"/>
      <c r="DF90" s="1293"/>
      <c r="DG90" s="1293"/>
      <c r="DH90" s="1293"/>
      <c r="DI90" s="1293"/>
      <c r="DJ90" s="1293"/>
      <c r="DK90" s="1293"/>
      <c r="DL90" s="1293"/>
    </row>
    <row r="91" spans="1:116" ht="15.75" hidden="1" outlineLevel="1">
      <c r="A91" s="1293"/>
      <c r="B91" s="1293" t="str">
        <f t="shared" si="162"/>
        <v>DRC</v>
      </c>
      <c r="C91" s="1293"/>
      <c r="D91" s="1293"/>
      <c r="E91" s="1293"/>
      <c r="F91" s="1293"/>
      <c r="G91" s="2080"/>
      <c r="H91" s="1293"/>
      <c r="I91" s="1293"/>
      <c r="J91" s="1293"/>
      <c r="K91" s="1293"/>
      <c r="L91" s="2080"/>
      <c r="M91" s="1699"/>
      <c r="N91" s="1699"/>
      <c r="O91" s="1699"/>
      <c r="P91" s="1699"/>
      <c r="Q91" s="2039"/>
      <c r="R91" s="1699"/>
      <c r="S91" s="1699"/>
      <c r="T91" s="1699"/>
      <c r="U91" s="1699"/>
      <c r="V91" s="2039"/>
      <c r="W91" s="1699"/>
      <c r="X91" s="1699"/>
      <c r="Y91" s="1699"/>
      <c r="Z91" s="1699"/>
      <c r="AA91" s="2039"/>
      <c r="AB91" s="1699"/>
      <c r="AC91" s="1699"/>
      <c r="AD91" s="1699"/>
      <c r="AE91" s="1699"/>
      <c r="AF91" s="1699"/>
      <c r="AG91" s="1699"/>
      <c r="AH91" s="1699"/>
      <c r="AI91" s="1699"/>
      <c r="AJ91" s="2039"/>
      <c r="AK91" s="1699"/>
      <c r="AL91" s="1699"/>
      <c r="AM91" s="1699"/>
      <c r="AN91" s="1699"/>
      <c r="AO91" s="2039"/>
      <c r="AP91" s="2475"/>
      <c r="AQ91" s="2475"/>
      <c r="AR91" s="2475"/>
      <c r="AS91" s="2475"/>
      <c r="AT91" s="2476"/>
      <c r="AU91" s="2475"/>
      <c r="AV91" s="2475"/>
      <c r="AW91" s="2475"/>
      <c r="AX91" s="2475"/>
      <c r="AY91" s="2476"/>
      <c r="AZ91" s="2475"/>
      <c r="BA91" s="2475"/>
      <c r="BB91" s="2475"/>
      <c r="BC91" s="2475"/>
      <c r="BD91" s="2476"/>
      <c r="BE91" s="2475"/>
      <c r="BF91" s="2475"/>
      <c r="BG91" s="2475"/>
      <c r="BH91" s="2475"/>
      <c r="BI91" s="2476"/>
      <c r="BJ91" s="2475"/>
      <c r="BK91" s="2475"/>
      <c r="BL91" s="2475"/>
      <c r="BM91" s="2475"/>
      <c r="BN91" s="2476"/>
      <c r="BO91" s="1699"/>
      <c r="BP91" s="1699"/>
      <c r="BQ91" s="2040"/>
      <c r="BR91" s="1293"/>
      <c r="BS91" s="1293"/>
      <c r="BT91" s="1293"/>
      <c r="BU91" s="1293"/>
      <c r="BV91" s="1293"/>
      <c r="BW91" s="1293"/>
      <c r="BX91" s="1293"/>
      <c r="BY91" s="1293"/>
      <c r="BZ91" s="1293"/>
      <c r="CA91" s="1293"/>
      <c r="CB91" s="1293"/>
      <c r="CC91" s="1293"/>
      <c r="CD91" s="1293"/>
      <c r="CE91" s="1293"/>
      <c r="CF91" s="1293"/>
      <c r="CG91" s="1293"/>
      <c r="CH91" s="1293"/>
      <c r="CI91" s="1293"/>
      <c r="CJ91" s="1293"/>
      <c r="CK91" s="1293"/>
      <c r="CL91" s="1293"/>
      <c r="CM91" s="1293"/>
      <c r="CN91" s="1293"/>
      <c r="CO91" s="1293"/>
      <c r="CP91" s="1293"/>
      <c r="CQ91" s="1293"/>
      <c r="CR91" s="1293"/>
      <c r="CS91" s="1293"/>
      <c r="CT91" s="1293"/>
      <c r="CU91" s="1293"/>
      <c r="CV91" s="1293"/>
      <c r="CW91" s="1293"/>
      <c r="CX91" s="1293"/>
      <c r="CY91" s="2041"/>
      <c r="CZ91" s="1699"/>
      <c r="DA91" s="2042"/>
      <c r="DB91" s="2041"/>
      <c r="DC91" s="1293"/>
      <c r="DD91" s="1293"/>
      <c r="DE91" s="1293"/>
      <c r="DF91" s="1293"/>
      <c r="DG91" s="1293"/>
      <c r="DH91" s="1293"/>
      <c r="DI91" s="1293"/>
      <c r="DJ91" s="1293"/>
      <c r="DK91" s="1293"/>
      <c r="DL91" s="1293"/>
    </row>
    <row r="92" spans="1:116" ht="15.75" hidden="1" outlineLevel="1">
      <c r="A92" s="1293"/>
      <c r="B92" s="1293" t="str">
        <f t="shared" si="162"/>
        <v>Ghana</v>
      </c>
      <c r="C92" s="1293"/>
      <c r="D92" s="1293"/>
      <c r="E92" s="1293"/>
      <c r="F92" s="1293"/>
      <c r="G92" s="2080"/>
      <c r="H92" s="1293"/>
      <c r="I92" s="1293"/>
      <c r="J92" s="1293"/>
      <c r="K92" s="1293"/>
      <c r="L92" s="2080"/>
      <c r="M92" s="1699">
        <f t="shared" ref="M92:P96" si="163">M25-M62</f>
        <v>0.47749025616155905</v>
      </c>
      <c r="N92" s="1699">
        <f t="shared" si="163"/>
        <v>0.33597392690003858</v>
      </c>
      <c r="O92" s="1699">
        <f t="shared" si="163"/>
        <v>0.31788580107852482</v>
      </c>
      <c r="P92" s="1699">
        <f t="shared" si="163"/>
        <v>0.17814531657174371</v>
      </c>
      <c r="Q92" s="2039"/>
      <c r="R92" s="1699">
        <f>M92/M$97*R$97</f>
        <v>0.16580855091002253</v>
      </c>
      <c r="S92" s="1699">
        <f>N92/N$97*S$97</f>
        <v>0.18364588152471001</v>
      </c>
      <c r="T92" s="1699"/>
      <c r="U92" s="1699"/>
      <c r="V92" s="2039"/>
      <c r="W92" s="1699"/>
      <c r="X92" s="1699"/>
      <c r="Y92" s="1699"/>
      <c r="Z92" s="1699"/>
      <c r="AA92" s="2039"/>
      <c r="AB92" s="1699"/>
      <c r="AC92" s="1699"/>
      <c r="AD92" s="1699"/>
      <c r="AE92" s="1699"/>
      <c r="AF92" s="1699"/>
      <c r="AG92" s="1699"/>
      <c r="AH92" s="1699"/>
      <c r="AI92" s="1699"/>
      <c r="AJ92" s="2039"/>
      <c r="AK92" s="1699"/>
      <c r="AL92" s="1699"/>
      <c r="AM92" s="1699"/>
      <c r="AN92" s="1699"/>
      <c r="AO92" s="2039"/>
      <c r="AP92" s="2475"/>
      <c r="AQ92" s="2475"/>
      <c r="AR92" s="2475"/>
      <c r="AS92" s="2475"/>
      <c r="AT92" s="2476"/>
      <c r="AU92" s="2475"/>
      <c r="AV92" s="2475"/>
      <c r="AW92" s="2475"/>
      <c r="AX92" s="2475"/>
      <c r="AY92" s="2476"/>
      <c r="AZ92" s="2475"/>
      <c r="BA92" s="2475"/>
      <c r="BB92" s="2475"/>
      <c r="BC92" s="2475"/>
      <c r="BD92" s="2476"/>
      <c r="BE92" s="2475"/>
      <c r="BF92" s="2475"/>
      <c r="BG92" s="2475"/>
      <c r="BH92" s="2475"/>
      <c r="BI92" s="2476"/>
      <c r="BJ92" s="2475"/>
      <c r="BK92" s="2475"/>
      <c r="BL92" s="2475"/>
      <c r="BM92" s="2475"/>
      <c r="BN92" s="2476"/>
      <c r="BO92" s="1699"/>
      <c r="BP92" s="1699"/>
      <c r="BQ92" s="2040"/>
      <c r="BR92" s="1293"/>
      <c r="BS92" s="1293"/>
      <c r="BT92" s="1293"/>
      <c r="BU92" s="1293"/>
      <c r="BV92" s="1293"/>
      <c r="BW92" s="1293"/>
      <c r="BX92" s="1293"/>
      <c r="BY92" s="1293"/>
      <c r="BZ92" s="1293"/>
      <c r="CA92" s="1293"/>
      <c r="CB92" s="1293"/>
      <c r="CC92" s="1293"/>
      <c r="CD92" s="1293"/>
      <c r="CE92" s="1293"/>
      <c r="CF92" s="1293"/>
      <c r="CG92" s="1293"/>
      <c r="CH92" s="1293"/>
      <c r="CI92" s="1293"/>
      <c r="CJ92" s="1293"/>
      <c r="CK92" s="1293"/>
      <c r="CL92" s="1293"/>
      <c r="CM92" s="1293"/>
      <c r="CN92" s="1293"/>
      <c r="CO92" s="1293"/>
      <c r="CP92" s="1293"/>
      <c r="CQ92" s="1293"/>
      <c r="CR92" s="1293"/>
      <c r="CS92" s="1293"/>
      <c r="CT92" s="1293"/>
      <c r="CU92" s="1293"/>
      <c r="CV92" s="1293"/>
      <c r="CW92" s="1293"/>
      <c r="CX92" s="1293"/>
      <c r="CY92" s="2041"/>
      <c r="CZ92" s="1699"/>
      <c r="DA92" s="2042"/>
      <c r="DB92" s="2041"/>
      <c r="DC92" s="1293"/>
      <c r="DD92" s="1293"/>
      <c r="DE92" s="1293"/>
      <c r="DF92" s="1293"/>
      <c r="DG92" s="1293"/>
      <c r="DH92" s="1293"/>
      <c r="DI92" s="1293"/>
      <c r="DJ92" s="1293"/>
      <c r="DK92" s="1293"/>
      <c r="DL92" s="1293"/>
    </row>
    <row r="93" spans="1:116" ht="15.75" hidden="1" outlineLevel="1">
      <c r="A93" s="1293"/>
      <c r="B93" s="1293" t="str">
        <f t="shared" si="162"/>
        <v>Rwanda</v>
      </c>
      <c r="C93" s="1293"/>
      <c r="D93" s="1293"/>
      <c r="E93" s="1293"/>
      <c r="F93" s="1293"/>
      <c r="G93" s="2080"/>
      <c r="H93" s="1293"/>
      <c r="I93" s="1293"/>
      <c r="J93" s="1293"/>
      <c r="K93" s="1293"/>
      <c r="L93" s="2080"/>
      <c r="M93" s="1699">
        <f t="shared" si="163"/>
        <v>0.25989423409956558</v>
      </c>
      <c r="N93" s="1699">
        <f t="shared" si="163"/>
        <v>0.10417886320616709</v>
      </c>
      <c r="O93" s="1699">
        <f t="shared" si="163"/>
        <v>0.11920717540444592</v>
      </c>
      <c r="P93" s="1699">
        <f t="shared" si="163"/>
        <v>6.6804493714400337E-2</v>
      </c>
      <c r="Q93" s="2039"/>
      <c r="R93" s="1699">
        <f>M93/M$97*R$97</f>
        <v>9.0248305153558375E-2</v>
      </c>
      <c r="S93" s="1699">
        <f>N93/N$97*S$97</f>
        <v>5.6944952086805924E-2</v>
      </c>
      <c r="T93" s="1699">
        <f>O93/O$97*T$97</f>
        <v>6.6804493714402086E-2</v>
      </c>
      <c r="U93" s="1699">
        <f>P93/P$97*U$97</f>
        <v>0</v>
      </c>
      <c r="V93" s="2039"/>
      <c r="W93" s="1699">
        <f>R93/R$97*W$97</f>
        <v>0</v>
      </c>
      <c r="X93" s="1699">
        <f>S93/S$97*X$97</f>
        <v>0</v>
      </c>
      <c r="Y93" s="1699">
        <f>T93/T$97*Y$97</f>
        <v>3.3402246857201043E-2</v>
      </c>
      <c r="Z93" s="1699">
        <f>T93/T$97*Z$97</f>
        <v>6.6804493714402086E-2</v>
      </c>
      <c r="AA93" s="2039">
        <f>SUM(W93:Z93)</f>
        <v>0.10020674057160313</v>
      </c>
      <c r="AB93" s="1699"/>
      <c r="AC93" s="1699"/>
      <c r="AD93" s="1699"/>
      <c r="AE93" s="1699"/>
      <c r="AF93" s="1699"/>
      <c r="AG93" s="1699"/>
      <c r="AH93" s="1699"/>
      <c r="AI93" s="1699"/>
      <c r="AJ93" s="2039"/>
      <c r="AK93" s="1699"/>
      <c r="AL93" s="1699"/>
      <c r="AM93" s="1699"/>
      <c r="AN93" s="1699"/>
      <c r="AO93" s="2039"/>
      <c r="AP93" s="2475"/>
      <c r="AQ93" s="2475"/>
      <c r="AR93" s="2475"/>
      <c r="AS93" s="2475"/>
      <c r="AT93" s="2476"/>
      <c r="AU93" s="2475"/>
      <c r="AV93" s="2475"/>
      <c r="AW93" s="2475"/>
      <c r="AX93" s="2475"/>
      <c r="AY93" s="2476"/>
      <c r="AZ93" s="2475"/>
      <c r="BA93" s="2475"/>
      <c r="BB93" s="2475"/>
      <c r="BC93" s="2475"/>
      <c r="BD93" s="2476"/>
      <c r="BE93" s="2475"/>
      <c r="BF93" s="2475"/>
      <c r="BG93" s="2475"/>
      <c r="BH93" s="2475"/>
      <c r="BI93" s="2476"/>
      <c r="BJ93" s="2475"/>
      <c r="BK93" s="2475"/>
      <c r="BL93" s="2475"/>
      <c r="BM93" s="2475"/>
      <c r="BN93" s="2476"/>
      <c r="BO93" s="1699"/>
      <c r="BP93" s="1699"/>
      <c r="BQ93" s="2040"/>
      <c r="BR93" s="1293"/>
      <c r="BS93" s="1293"/>
      <c r="BT93" s="1293"/>
      <c r="BU93" s="1293"/>
      <c r="BV93" s="1293"/>
      <c r="BW93" s="1293"/>
      <c r="BX93" s="1293"/>
      <c r="BY93" s="1293"/>
      <c r="BZ93" s="1293"/>
      <c r="CA93" s="1293"/>
      <c r="CB93" s="1293"/>
      <c r="CC93" s="1293"/>
      <c r="CD93" s="1293"/>
      <c r="CE93" s="1293"/>
      <c r="CF93" s="1293"/>
      <c r="CG93" s="1293"/>
      <c r="CH93" s="1293"/>
      <c r="CI93" s="1293"/>
      <c r="CJ93" s="1293"/>
      <c r="CK93" s="1293"/>
      <c r="CL93" s="1293"/>
      <c r="CM93" s="1293"/>
      <c r="CN93" s="1293"/>
      <c r="CO93" s="1293"/>
      <c r="CP93" s="1293"/>
      <c r="CQ93" s="1293"/>
      <c r="CR93" s="1293"/>
      <c r="CS93" s="1293"/>
      <c r="CT93" s="1293"/>
      <c r="CU93" s="1293"/>
      <c r="CV93" s="1293"/>
      <c r="CW93" s="1293"/>
      <c r="CX93" s="1293"/>
      <c r="CY93" s="2041"/>
      <c r="CZ93" s="1699"/>
      <c r="DA93" s="2042"/>
      <c r="DB93" s="2041"/>
      <c r="DC93" s="1293"/>
      <c r="DD93" s="1293"/>
      <c r="DE93" s="1293"/>
      <c r="DF93" s="1293"/>
      <c r="DG93" s="1293"/>
      <c r="DH93" s="1293"/>
      <c r="DI93" s="1293"/>
      <c r="DJ93" s="1293"/>
      <c r="DK93" s="1293"/>
      <c r="DL93" s="1293"/>
    </row>
    <row r="94" spans="1:116" ht="15.75" hidden="1" outlineLevel="1">
      <c r="A94" s="1293"/>
      <c r="B94" s="1293" t="str">
        <f t="shared" si="162"/>
        <v>Senegal</v>
      </c>
      <c r="C94" s="1293"/>
      <c r="D94" s="1293"/>
      <c r="E94" s="1293"/>
      <c r="F94" s="1293"/>
      <c r="G94" s="2080"/>
      <c r="H94" s="1293"/>
      <c r="I94" s="1293"/>
      <c r="J94" s="1293"/>
      <c r="K94" s="1293"/>
      <c r="L94" s="2080"/>
      <c r="M94" s="1699">
        <f t="shared" ca="1" si="163"/>
        <v>0.40604350236139553</v>
      </c>
      <c r="N94" s="1699">
        <f t="shared" ca="1" si="163"/>
        <v>0.2683343079360796</v>
      </c>
      <c r="O94" s="1699">
        <f t="shared" si="163"/>
        <v>0.27020293091674574</v>
      </c>
      <c r="P94" s="1699">
        <f t="shared" si="163"/>
        <v>0.15142351908597362</v>
      </c>
      <c r="Q94" s="2039"/>
      <c r="R94" s="1699"/>
      <c r="S94" s="1699"/>
      <c r="T94" s="1699"/>
      <c r="U94" s="1699"/>
      <c r="V94" s="2039"/>
      <c r="W94" s="1699"/>
      <c r="X94" s="1699"/>
      <c r="Y94" s="1699"/>
      <c r="Z94" s="1699"/>
      <c r="AA94" s="2039"/>
      <c r="AB94" s="1699"/>
      <c r="AC94" s="1699"/>
      <c r="AD94" s="1699"/>
      <c r="AE94" s="1699"/>
      <c r="AF94" s="1699"/>
      <c r="AG94" s="1699"/>
      <c r="AH94" s="1699"/>
      <c r="AI94" s="1699"/>
      <c r="AJ94" s="2039"/>
      <c r="AK94" s="1699"/>
      <c r="AL94" s="1699"/>
      <c r="AM94" s="1699"/>
      <c r="AN94" s="1699"/>
      <c r="AO94" s="2039"/>
      <c r="AP94" s="2475"/>
      <c r="AQ94" s="2475"/>
      <c r="AR94" s="2475"/>
      <c r="AS94" s="2475"/>
      <c r="AT94" s="2476"/>
      <c r="AU94" s="2475"/>
      <c r="AV94" s="2475"/>
      <c r="AW94" s="2475"/>
      <c r="AX94" s="2475"/>
      <c r="AY94" s="2476"/>
      <c r="AZ94" s="2475"/>
      <c r="BA94" s="2475"/>
      <c r="BB94" s="2475"/>
      <c r="BC94" s="2475"/>
      <c r="BD94" s="2476"/>
      <c r="BE94" s="2475"/>
      <c r="BF94" s="2475"/>
      <c r="BG94" s="2475"/>
      <c r="BH94" s="2475"/>
      <c r="BI94" s="2476"/>
      <c r="BJ94" s="2475"/>
      <c r="BK94" s="2475"/>
      <c r="BL94" s="2475"/>
      <c r="BM94" s="2475"/>
      <c r="BN94" s="2476"/>
      <c r="BO94" s="1699"/>
      <c r="BP94" s="1699"/>
      <c r="BQ94" s="2040"/>
      <c r="BR94" s="1293"/>
      <c r="BS94" s="1293"/>
      <c r="BT94" s="1293"/>
      <c r="BU94" s="1293"/>
      <c r="BV94" s="1293"/>
      <c r="BW94" s="1293"/>
      <c r="BX94" s="1293"/>
      <c r="BY94" s="1293"/>
      <c r="BZ94" s="1293"/>
      <c r="CA94" s="1293"/>
      <c r="CB94" s="1293"/>
      <c r="CC94" s="1293"/>
      <c r="CD94" s="1293"/>
      <c r="CE94" s="1293"/>
      <c r="CF94" s="1293"/>
      <c r="CG94" s="1293"/>
      <c r="CH94" s="1293"/>
      <c r="CI94" s="1293"/>
      <c r="CJ94" s="1293"/>
      <c r="CK94" s="1293"/>
      <c r="CL94" s="1293"/>
      <c r="CM94" s="1293"/>
      <c r="CN94" s="1293"/>
      <c r="CO94" s="1293"/>
      <c r="CP94" s="1293"/>
      <c r="CQ94" s="1293"/>
      <c r="CR94" s="1293"/>
      <c r="CS94" s="1293"/>
      <c r="CT94" s="1293"/>
      <c r="CU94" s="1293"/>
      <c r="CV94" s="1293"/>
      <c r="CW94" s="1293"/>
      <c r="CX94" s="1293"/>
      <c r="CY94" s="2041"/>
      <c r="CZ94" s="1699"/>
      <c r="DA94" s="2042"/>
      <c r="DB94" s="2041"/>
      <c r="DC94" s="1293"/>
      <c r="DD94" s="1293"/>
      <c r="DE94" s="1293"/>
      <c r="DF94" s="1293"/>
      <c r="DG94" s="1293"/>
      <c r="DH94" s="1293"/>
      <c r="DI94" s="1293"/>
      <c r="DJ94" s="1293"/>
      <c r="DK94" s="1293"/>
      <c r="DL94" s="1293"/>
    </row>
    <row r="95" spans="1:116" ht="15.75" hidden="1" outlineLevel="1">
      <c r="A95" s="1293"/>
      <c r="B95" s="1293" t="str">
        <f t="shared" si="162"/>
        <v>Tanzania</v>
      </c>
      <c r="C95" s="1293"/>
      <c r="D95" s="1293"/>
      <c r="E95" s="1293"/>
      <c r="F95" s="1293"/>
      <c r="G95" s="2080"/>
      <c r="H95" s="1293"/>
      <c r="I95" s="1293"/>
      <c r="J95" s="1293"/>
      <c r="K95" s="1293"/>
      <c r="L95" s="2080"/>
      <c r="M95" s="1699">
        <f t="shared" si="163"/>
        <v>1.1031296011291829</v>
      </c>
      <c r="N95" s="1699">
        <f t="shared" si="163"/>
        <v>0.70785301348108476</v>
      </c>
      <c r="O95" s="1699">
        <f t="shared" si="163"/>
        <v>0.69934876237275034</v>
      </c>
      <c r="P95" s="1699">
        <f t="shared" si="163"/>
        <v>0.3919196964578191</v>
      </c>
      <c r="Q95" s="2039"/>
      <c r="R95" s="1699">
        <f t="shared" ref="R95:U96" si="164">M95/M$97*R$97</f>
        <v>0.38306189135573454</v>
      </c>
      <c r="S95" s="1699">
        <f t="shared" si="164"/>
        <v>0.3869177940386222</v>
      </c>
      <c r="T95" s="1699">
        <f t="shared" si="164"/>
        <v>0.39191969645782615</v>
      </c>
      <c r="U95" s="1699">
        <f t="shared" si="164"/>
        <v>0</v>
      </c>
      <c r="V95" s="2039"/>
      <c r="W95" s="1699">
        <f t="shared" ref="W95:Y96" si="165">R95/R$97*W$97</f>
        <v>0</v>
      </c>
      <c r="X95" s="1699">
        <f t="shared" si="165"/>
        <v>0</v>
      </c>
      <c r="Y95" s="1699">
        <f t="shared" si="165"/>
        <v>0.19595984822891307</v>
      </c>
      <c r="Z95" s="1699">
        <f>T95/T$97*Z$97</f>
        <v>0.39191969645782615</v>
      </c>
      <c r="AA95" s="2039">
        <f>SUM(W95:Z95)</f>
        <v>0.5878795446867392</v>
      </c>
      <c r="AB95" s="2086">
        <v>0.2</v>
      </c>
      <c r="AC95" s="2086">
        <v>0.2</v>
      </c>
      <c r="AD95" s="2086">
        <v>0.2</v>
      </c>
      <c r="AE95" s="2086">
        <v>0.2</v>
      </c>
      <c r="AF95" s="2086">
        <v>0.2</v>
      </c>
      <c r="AG95" s="2086">
        <v>0.2</v>
      </c>
      <c r="AH95" s="2086">
        <v>0.2</v>
      </c>
      <c r="AI95" s="2086">
        <v>0.2</v>
      </c>
      <c r="AJ95" s="2039">
        <f>'New split'!I110</f>
        <v>0.80000000000001137</v>
      </c>
      <c r="AK95" s="1699">
        <f t="shared" ref="AK95:AN96" ca="1" si="166">AK28-AK65</f>
        <v>0.20000000000000284</v>
      </c>
      <c r="AL95" s="1699">
        <f t="shared" ca="1" si="166"/>
        <v>0.20000000000000284</v>
      </c>
      <c r="AM95" s="1699">
        <f t="shared" ca="1" si="166"/>
        <v>3</v>
      </c>
      <c r="AN95" s="1699">
        <f t="shared" ca="1" si="166"/>
        <v>0</v>
      </c>
      <c r="AO95" s="2039">
        <f ca="1">AK95+AL95+AM95+AN95</f>
        <v>3.4000000000000057</v>
      </c>
      <c r="AP95" s="2475">
        <f t="shared" ref="AP95:AS96" si="167">AP28-AP65</f>
        <v>0</v>
      </c>
      <c r="AQ95" s="2475">
        <f t="shared" si="167"/>
        <v>1</v>
      </c>
      <c r="AR95" s="2475">
        <f t="shared" si="167"/>
        <v>0</v>
      </c>
      <c r="AS95" s="2475">
        <f t="shared" si="167"/>
        <v>5</v>
      </c>
      <c r="AT95" s="2476">
        <f>AP95+AQ95+AR95+AS95</f>
        <v>6</v>
      </c>
      <c r="AU95" s="2475">
        <f t="shared" ref="AU95:AX96" si="168">AU28-AU65</f>
        <v>0</v>
      </c>
      <c r="AV95" s="2475">
        <f t="shared" si="168"/>
        <v>0</v>
      </c>
      <c r="AW95" s="2475">
        <f t="shared" si="168"/>
        <v>0</v>
      </c>
      <c r="AX95" s="2475">
        <f t="shared" si="168"/>
        <v>0</v>
      </c>
      <c r="AY95" s="2476">
        <f>AU95+AV95+AW95+AX95</f>
        <v>0</v>
      </c>
      <c r="AZ95" s="2475">
        <f t="shared" ref="AZ95:BC96" si="169">AZ28-AZ65</f>
        <v>0</v>
      </c>
      <c r="BA95" s="2475">
        <f t="shared" si="169"/>
        <v>0</v>
      </c>
      <c r="BB95" s="2475">
        <f t="shared" si="169"/>
        <v>0</v>
      </c>
      <c r="BC95" s="2475">
        <f t="shared" si="169"/>
        <v>0</v>
      </c>
      <c r="BD95" s="2476">
        <f>AZ95+BA95+BB95+BC95</f>
        <v>0</v>
      </c>
      <c r="BE95" s="2475">
        <f t="shared" ref="BE95:BG96" si="170">BE28-BE65</f>
        <v>0</v>
      </c>
      <c r="BF95" s="2475">
        <f t="shared" si="170"/>
        <v>0</v>
      </c>
      <c r="BG95" s="2475">
        <f t="shared" si="170"/>
        <v>0</v>
      </c>
      <c r="BH95" s="2475">
        <f>BH28-BH65</f>
        <v>0</v>
      </c>
      <c r="BI95" s="2476">
        <f>'New split'!N110</f>
        <v>0</v>
      </c>
      <c r="BJ95" s="2475"/>
      <c r="BK95" s="2475"/>
      <c r="BL95" s="2475"/>
      <c r="BM95" s="2475"/>
      <c r="BN95" s="2476">
        <f>'New split'!O110</f>
        <v>0</v>
      </c>
      <c r="BO95" s="1699"/>
      <c r="BP95" s="1699"/>
      <c r="BQ95" s="2040"/>
      <c r="BR95" s="1293"/>
      <c r="BS95" s="1293"/>
      <c r="BT95" s="1293"/>
      <c r="BU95" s="1293"/>
      <c r="BV95" s="1293"/>
      <c r="BW95" s="1293"/>
      <c r="BX95" s="1293"/>
      <c r="BY95" s="1293"/>
      <c r="BZ95" s="1293"/>
      <c r="CA95" s="1293"/>
      <c r="CB95" s="1293"/>
      <c r="CC95" s="1293"/>
      <c r="CD95" s="1293"/>
      <c r="CE95" s="1293"/>
      <c r="CF95" s="1293"/>
      <c r="CG95" s="1293"/>
      <c r="CH95" s="1293"/>
      <c r="CI95" s="1293"/>
      <c r="CJ95" s="1293"/>
      <c r="CK95" s="1293"/>
      <c r="CL95" s="1293"/>
      <c r="CM95" s="1293"/>
      <c r="CN95" s="1293"/>
      <c r="CO95" s="1293"/>
      <c r="CP95" s="1293"/>
      <c r="CQ95" s="1293"/>
      <c r="CR95" s="1293"/>
      <c r="CS95" s="1293"/>
      <c r="CT95" s="1293"/>
      <c r="CU95" s="1293"/>
      <c r="CV95" s="1293"/>
      <c r="CW95" s="1293"/>
      <c r="CX95" s="1293"/>
      <c r="CY95" s="2041">
        <v>0</v>
      </c>
      <c r="CZ95" s="1699"/>
      <c r="DA95" s="2042">
        <v>0</v>
      </c>
      <c r="DB95" s="2041">
        <v>0</v>
      </c>
      <c r="DC95" s="1293"/>
      <c r="DD95" s="1293"/>
      <c r="DE95" s="1293"/>
      <c r="DF95" s="1293"/>
      <c r="DG95" s="1293"/>
      <c r="DH95" s="1293"/>
      <c r="DI95" s="1293"/>
      <c r="DJ95" s="1293"/>
      <c r="DK95" s="1293"/>
      <c r="DL95" s="1293"/>
    </row>
    <row r="96" spans="1:116" ht="15.75" hidden="1" outlineLevel="1">
      <c r="A96" s="1293"/>
      <c r="B96" s="1293" t="str">
        <f t="shared" si="162"/>
        <v>Zantel</v>
      </c>
      <c r="C96" s="1293"/>
      <c r="D96" s="1293"/>
      <c r="E96" s="1293"/>
      <c r="F96" s="1293"/>
      <c r="G96" s="2080"/>
      <c r="H96" s="1293"/>
      <c r="I96" s="1293"/>
      <c r="J96" s="1293"/>
      <c r="K96" s="1293"/>
      <c r="L96" s="2080"/>
      <c r="M96" s="1699">
        <f t="shared" si="163"/>
        <v>0.11791310390472809</v>
      </c>
      <c r="N96" s="1699">
        <f t="shared" si="163"/>
        <v>6.5809104149512798E-2</v>
      </c>
      <c r="O96" s="1699">
        <f t="shared" si="163"/>
        <v>6.3577160215704254E-2</v>
      </c>
      <c r="P96" s="1699">
        <f t="shared" si="163"/>
        <v>3.5629063314347675E-2</v>
      </c>
      <c r="Q96" s="2039"/>
      <c r="R96" s="1699">
        <f t="shared" si="164"/>
        <v>4.0945340013662596E-2</v>
      </c>
      <c r="S96" s="1699">
        <f t="shared" si="164"/>
        <v>3.5971752496986219E-2</v>
      </c>
      <c r="T96" s="1699">
        <f t="shared" si="164"/>
        <v>3.5629063314347648E-2</v>
      </c>
      <c r="U96" s="1699">
        <f t="shared" si="164"/>
        <v>0</v>
      </c>
      <c r="V96" s="2039"/>
      <c r="W96" s="1699">
        <f t="shared" si="165"/>
        <v>0</v>
      </c>
      <c r="X96" s="1699">
        <f t="shared" si="165"/>
        <v>0</v>
      </c>
      <c r="Y96" s="1699">
        <f t="shared" si="165"/>
        <v>1.7814531657173824E-2</v>
      </c>
      <c r="Z96" s="1699">
        <f>T96/T$97*Z$97</f>
        <v>3.5629063314347648E-2</v>
      </c>
      <c r="AA96" s="2039">
        <f>SUM(W96:Z96)</f>
        <v>5.3443594971521471E-2</v>
      </c>
      <c r="AB96" s="1699"/>
      <c r="AC96" s="1699"/>
      <c r="AD96" s="1699"/>
      <c r="AE96" s="1699"/>
      <c r="AF96" s="1699"/>
      <c r="AG96" s="1699"/>
      <c r="AH96" s="1699"/>
      <c r="AI96" s="1699"/>
      <c r="AJ96" s="2039">
        <f>'New split'!I111</f>
        <v>0</v>
      </c>
      <c r="AK96" s="1699">
        <f t="shared" ca="1" si="166"/>
        <v>0.20000000000000284</v>
      </c>
      <c r="AL96" s="1699">
        <f t="shared" ca="1" si="166"/>
        <v>0.20000000000000284</v>
      </c>
      <c r="AM96" s="1699">
        <f t="shared" ca="1" si="166"/>
        <v>-3</v>
      </c>
      <c r="AN96" s="1699">
        <f t="shared" ca="1" si="166"/>
        <v>0</v>
      </c>
      <c r="AO96" s="2039">
        <f ca="1">AK96+AL96+AM96+AN96</f>
        <v>-2.5999999999999943</v>
      </c>
      <c r="AP96" s="2475">
        <f t="shared" ca="1" si="167"/>
        <v>-3</v>
      </c>
      <c r="AQ96" s="2475">
        <f t="shared" ca="1" si="167"/>
        <v>-3</v>
      </c>
      <c r="AR96" s="2475">
        <f t="shared" ca="1" si="167"/>
        <v>-3</v>
      </c>
      <c r="AS96" s="2475">
        <f t="shared" ca="1" si="167"/>
        <v>-5</v>
      </c>
      <c r="AT96" s="2476">
        <f ca="1">AP96+AQ96+AR96+AS96</f>
        <v>-14</v>
      </c>
      <c r="AU96" s="2475">
        <f t="shared" si="168"/>
        <v>0</v>
      </c>
      <c r="AV96" s="2475">
        <f t="shared" si="168"/>
        <v>0</v>
      </c>
      <c r="AW96" s="2475">
        <f t="shared" si="168"/>
        <v>0</v>
      </c>
      <c r="AX96" s="2475">
        <f t="shared" si="168"/>
        <v>0</v>
      </c>
      <c r="AY96" s="2476">
        <f>AU96+AV96+AW96+AX96</f>
        <v>0</v>
      </c>
      <c r="AZ96" s="2475">
        <f t="shared" si="169"/>
        <v>0</v>
      </c>
      <c r="BA96" s="2475">
        <f t="shared" si="169"/>
        <v>0</v>
      </c>
      <c r="BB96" s="2475">
        <f t="shared" si="169"/>
        <v>0</v>
      </c>
      <c r="BC96" s="2475">
        <f t="shared" si="169"/>
        <v>0</v>
      </c>
      <c r="BD96" s="2476">
        <f>AZ96+BA96+BB96+BC96</f>
        <v>0</v>
      </c>
      <c r="BE96" s="2475">
        <f t="shared" si="170"/>
        <v>0</v>
      </c>
      <c r="BF96" s="2475">
        <f t="shared" si="170"/>
        <v>0</v>
      </c>
      <c r="BG96" s="2475">
        <f t="shared" si="170"/>
        <v>0</v>
      </c>
      <c r="BH96" s="2475">
        <f>BH29-BH66</f>
        <v>0</v>
      </c>
      <c r="BI96" s="2476">
        <f>'New split'!N111</f>
        <v>0</v>
      </c>
      <c r="BJ96" s="2475"/>
      <c r="BK96" s="2475"/>
      <c r="BL96" s="2475"/>
      <c r="BM96" s="2475"/>
      <c r="BN96" s="2476">
        <f>'New split'!O111</f>
        <v>0</v>
      </c>
      <c r="BO96" s="1699"/>
      <c r="BP96" s="1699"/>
      <c r="BQ96" s="2040"/>
      <c r="BR96" s="1293"/>
      <c r="BS96" s="1293"/>
      <c r="BT96" s="1293"/>
      <c r="BU96" s="1293"/>
      <c r="BV96" s="1293"/>
      <c r="BW96" s="1293"/>
      <c r="BX96" s="1293"/>
      <c r="BY96" s="1293"/>
      <c r="BZ96" s="1293"/>
      <c r="CA96" s="1293"/>
      <c r="CB96" s="1293"/>
      <c r="CC96" s="1293"/>
      <c r="CD96" s="1293"/>
      <c r="CE96" s="1293"/>
      <c r="CF96" s="1293"/>
      <c r="CG96" s="1293"/>
      <c r="CH96" s="1293"/>
      <c r="CI96" s="1293"/>
      <c r="CJ96" s="1293"/>
      <c r="CK96" s="1293"/>
      <c r="CL96" s="1293"/>
      <c r="CM96" s="1293"/>
      <c r="CN96" s="1293"/>
      <c r="CO96" s="1293"/>
      <c r="CP96" s="1293"/>
      <c r="CQ96" s="1293"/>
      <c r="CR96" s="1293"/>
      <c r="CS96" s="1293"/>
      <c r="CT96" s="1293"/>
      <c r="CU96" s="1293"/>
      <c r="CV96" s="1293"/>
      <c r="CW96" s="1293"/>
      <c r="CX96" s="1293"/>
      <c r="CY96" s="2041">
        <v>0</v>
      </c>
      <c r="CZ96" s="1699"/>
      <c r="DA96" s="2042">
        <v>0</v>
      </c>
      <c r="DB96" s="2041">
        <v>0</v>
      </c>
      <c r="DC96" s="1293"/>
      <c r="DD96" s="1293"/>
      <c r="DE96" s="1293"/>
      <c r="DF96" s="1293"/>
      <c r="DG96" s="1293"/>
      <c r="DH96" s="1293"/>
      <c r="DI96" s="1293"/>
      <c r="DJ96" s="1293"/>
      <c r="DK96" s="1293"/>
      <c r="DL96" s="1293"/>
    </row>
    <row r="97" spans="1:116" ht="15.75" hidden="1" outlineLevel="1">
      <c r="A97" s="1293"/>
      <c r="B97" s="1293" t="s">
        <v>1831</v>
      </c>
      <c r="C97" s="1699">
        <f t="shared" ref="C97:P97" si="171">C31-C68</f>
        <v>3.0374397840567724</v>
      </c>
      <c r="D97" s="1699">
        <f t="shared" si="171"/>
        <v>3.3962847949256343</v>
      </c>
      <c r="E97" s="1699">
        <f t="shared" si="171"/>
        <v>3.3800649478229161</v>
      </c>
      <c r="F97" s="1699">
        <f t="shared" si="171"/>
        <v>4.013903251243363</v>
      </c>
      <c r="G97" s="2039">
        <f t="shared" si="171"/>
        <v>13.943319723811896</v>
      </c>
      <c r="H97" s="1699">
        <f t="shared" si="171"/>
        <v>4.0217908280343977</v>
      </c>
      <c r="I97" s="1699">
        <f t="shared" si="171"/>
        <v>3.4731221682810371</v>
      </c>
      <c r="J97" s="1699">
        <f t="shared" si="171"/>
        <v>4.5113692442651541</v>
      </c>
      <c r="K97" s="1699">
        <f t="shared" si="171"/>
        <v>3.886515888459428</v>
      </c>
      <c r="L97" s="2039">
        <f t="shared" si="171"/>
        <v>15.892798129040102</v>
      </c>
      <c r="M97" s="1699">
        <f t="shared" si="171"/>
        <v>2.879768585762946</v>
      </c>
      <c r="N97" s="1699">
        <f t="shared" si="171"/>
        <v>1.8294661666824936</v>
      </c>
      <c r="O97" s="1699">
        <f t="shared" si="171"/>
        <v>1.7844185140309889</v>
      </c>
      <c r="P97" s="1699">
        <f t="shared" si="171"/>
        <v>1</v>
      </c>
      <c r="Q97" s="2039">
        <f ca="1">'New split'!F113</f>
        <v>7.4936532664763718</v>
      </c>
      <c r="R97" s="1699">
        <f>R31-R68</f>
        <v>1</v>
      </c>
      <c r="S97" s="1699">
        <f>S31-S68</f>
        <v>1</v>
      </c>
      <c r="T97" s="1699">
        <f>T31-T68</f>
        <v>1</v>
      </c>
      <c r="U97" s="1699">
        <f>U31-U68</f>
        <v>0</v>
      </c>
      <c r="V97" s="2039">
        <f ca="1">'New split'!G113</f>
        <v>3.0000000000001137</v>
      </c>
      <c r="W97" s="1699">
        <f>W31-W68</f>
        <v>0</v>
      </c>
      <c r="X97" s="1699">
        <f>X31-X68</f>
        <v>0</v>
      </c>
      <c r="Y97" s="1699">
        <f>Y31-Y68</f>
        <v>0.5</v>
      </c>
      <c r="Z97" s="1699">
        <f>Z31-Z68</f>
        <v>1</v>
      </c>
      <c r="AA97" s="2039">
        <f>SUM(W97:Z97)</f>
        <v>1.5</v>
      </c>
      <c r="AB97" s="1699">
        <f t="shared" ref="AB97:AI97" si="172">AB31-AB68</f>
        <v>0</v>
      </c>
      <c r="AC97" s="1699">
        <f t="shared" si="172"/>
        <v>0</v>
      </c>
      <c r="AD97" s="1699">
        <f t="shared" si="172"/>
        <v>0</v>
      </c>
      <c r="AE97" s="1699">
        <f t="shared" si="172"/>
        <v>0</v>
      </c>
      <c r="AF97" s="1699">
        <f t="shared" si="172"/>
        <v>0</v>
      </c>
      <c r="AG97" s="1699">
        <f t="shared" si="172"/>
        <v>0</v>
      </c>
      <c r="AH97" s="1699">
        <f t="shared" si="172"/>
        <v>0</v>
      </c>
      <c r="AI97" s="1699">
        <f t="shared" si="172"/>
        <v>0</v>
      </c>
      <c r="AJ97" s="2039">
        <f>'New split'!I113</f>
        <v>0</v>
      </c>
      <c r="AK97" s="1699">
        <f>AK31-AK68</f>
        <v>0</v>
      </c>
      <c r="AL97" s="1699">
        <f>AL31-AL68</f>
        <v>0</v>
      </c>
      <c r="AM97" s="1699">
        <f>AM31-AM68</f>
        <v>0</v>
      </c>
      <c r="AN97" s="1699">
        <f>AN31-AN68</f>
        <v>0</v>
      </c>
      <c r="AO97" s="2039">
        <f>AK97+AL97+AM97+AN97</f>
        <v>0</v>
      </c>
      <c r="AP97" s="2475">
        <f>AP31-AP68</f>
        <v>0</v>
      </c>
      <c r="AQ97" s="2475">
        <f>AQ31-AQ68</f>
        <v>0</v>
      </c>
      <c r="AR97" s="2475">
        <f>AR31-AR68</f>
        <v>0</v>
      </c>
      <c r="AS97" s="2475">
        <f>AS31-AS68</f>
        <v>0</v>
      </c>
      <c r="AT97" s="2476">
        <f>AP97+AQ97+AR97+AS97</f>
        <v>0</v>
      </c>
      <c r="AU97" s="2475">
        <f>AU31-AU68</f>
        <v>0</v>
      </c>
      <c r="AV97" s="2475">
        <f>AV31-AV68</f>
        <v>0</v>
      </c>
      <c r="AW97" s="2475">
        <f>AW31-AW68</f>
        <v>0</v>
      </c>
      <c r="AX97" s="2475">
        <f>AX31-AX68</f>
        <v>0</v>
      </c>
      <c r="AY97" s="2476">
        <f>AU97+AV97+AW97+AX97</f>
        <v>0</v>
      </c>
      <c r="AZ97" s="2475">
        <f>AZ31-AZ68</f>
        <v>0</v>
      </c>
      <c r="BA97" s="2475">
        <f>BA31-BA68</f>
        <v>0</v>
      </c>
      <c r="BB97" s="2475">
        <f>BB31-BB68</f>
        <v>0</v>
      </c>
      <c r="BC97" s="2475">
        <f>BC31-BC68</f>
        <v>0</v>
      </c>
      <c r="BD97" s="2476">
        <f>AZ97+BA97+BB97+BC97</f>
        <v>0</v>
      </c>
      <c r="BE97" s="2475">
        <f>BE31-BE68</f>
        <v>0</v>
      </c>
      <c r="BF97" s="2475">
        <f>BF31-BF68</f>
        <v>0</v>
      </c>
      <c r="BG97" s="2475">
        <f>BG31-BG68</f>
        <v>0</v>
      </c>
      <c r="BH97" s="2475">
        <f>BH31-BH68</f>
        <v>0</v>
      </c>
      <c r="BI97" s="2476">
        <f>'New split'!N113</f>
        <v>0</v>
      </c>
      <c r="BJ97" s="2475"/>
      <c r="BK97" s="2475"/>
      <c r="BL97" s="2475"/>
      <c r="BM97" s="2475"/>
      <c r="BN97" s="2476">
        <f>'New split'!O113</f>
        <v>0</v>
      </c>
      <c r="BO97" s="1699"/>
      <c r="BP97" s="1699"/>
      <c r="BQ97" s="2040"/>
      <c r="BR97" s="1293"/>
      <c r="BS97" s="1293"/>
      <c r="BT97" s="1293"/>
      <c r="BU97" s="1293"/>
      <c r="BV97" s="1293"/>
      <c r="BW97" s="1293"/>
      <c r="BX97" s="1293"/>
      <c r="BY97" s="1293"/>
      <c r="BZ97" s="1293"/>
      <c r="CA97" s="1293"/>
      <c r="CB97" s="1293"/>
      <c r="CC97" s="1293"/>
      <c r="CD97" s="1293"/>
      <c r="CE97" s="1293"/>
      <c r="CF97" s="1293"/>
      <c r="CG97" s="1293"/>
      <c r="CH97" s="1293"/>
      <c r="CI97" s="1293"/>
      <c r="CJ97" s="1293"/>
      <c r="CK97" s="1293"/>
      <c r="CL97" s="1293"/>
      <c r="CM97" s="1293"/>
      <c r="CN97" s="1293"/>
      <c r="CO97" s="1293"/>
      <c r="CP97" s="1293"/>
      <c r="CQ97" s="1293"/>
      <c r="CR97" s="1293"/>
      <c r="CS97" s="1293"/>
      <c r="CT97" s="1293"/>
      <c r="CU97" s="1293"/>
      <c r="CV97" s="1293"/>
      <c r="CW97" s="1293"/>
      <c r="CX97" s="1293"/>
      <c r="CY97" s="2073">
        <v>0</v>
      </c>
      <c r="CZ97" s="2102"/>
      <c r="DA97" s="2075">
        <v>0</v>
      </c>
      <c r="DB97" s="2073">
        <v>0</v>
      </c>
      <c r="DC97" s="1293"/>
      <c r="DD97" s="1293"/>
      <c r="DE97" s="1293"/>
      <c r="DF97" s="1293"/>
      <c r="DG97" s="1293"/>
      <c r="DH97" s="1293"/>
      <c r="DI97" s="1293"/>
      <c r="DJ97" s="1293"/>
      <c r="DK97" s="1293"/>
      <c r="DL97" s="1293"/>
    </row>
    <row r="98" spans="1:116" ht="15.75" collapsed="1">
      <c r="A98" s="1293"/>
      <c r="B98" s="1397" t="s">
        <v>4506</v>
      </c>
      <c r="C98" s="2076">
        <f t="shared" ref="C98:U98" si="173">SUM(C76:C88)+C97</f>
        <v>82.182622901284603</v>
      </c>
      <c r="D98" s="2076">
        <f t="shared" si="173"/>
        <v>98.40779351005051</v>
      </c>
      <c r="E98" s="2076">
        <f t="shared" si="173"/>
        <v>122.47727538293813</v>
      </c>
      <c r="F98" s="2076">
        <f t="shared" si="173"/>
        <v>175.30291168749582</v>
      </c>
      <c r="G98" s="2077">
        <f t="shared" si="173"/>
        <v>478.4862304275245</v>
      </c>
      <c r="H98" s="2076">
        <f t="shared" si="173"/>
        <v>133.21794102976813</v>
      </c>
      <c r="I98" s="2076">
        <f t="shared" si="173"/>
        <v>134.14873575413392</v>
      </c>
      <c r="J98" s="2076">
        <f t="shared" si="173"/>
        <v>119.91981262037766</v>
      </c>
      <c r="K98" s="2076">
        <f t="shared" si="173"/>
        <v>131.01879323244975</v>
      </c>
      <c r="L98" s="2077">
        <f t="shared" si="173"/>
        <v>518.30528263672204</v>
      </c>
      <c r="M98" s="2076">
        <f t="shared" si="173"/>
        <v>92.358840185077995</v>
      </c>
      <c r="N98" s="2076">
        <f t="shared" si="173"/>
        <v>102.32126601078043</v>
      </c>
      <c r="O98" s="2076">
        <f t="shared" si="173"/>
        <v>89.245154544389933</v>
      </c>
      <c r="P98" s="2076">
        <f t="shared" si="173"/>
        <v>109</v>
      </c>
      <c r="Q98" s="2077">
        <f t="shared" ca="1" si="173"/>
        <v>392.92526074024829</v>
      </c>
      <c r="R98" s="2076">
        <f t="shared" si="173"/>
        <v>84</v>
      </c>
      <c r="S98" s="2076">
        <f t="shared" si="173"/>
        <v>95</v>
      </c>
      <c r="T98" s="2076">
        <f t="shared" si="173"/>
        <v>86</v>
      </c>
      <c r="U98" s="2076">
        <f t="shared" si="173"/>
        <v>100</v>
      </c>
      <c r="V98" s="2077">
        <v>366</v>
      </c>
      <c r="W98" s="2076">
        <f t="shared" ref="W98:AI98" si="174">SUM(W76:W88)+W97</f>
        <v>94</v>
      </c>
      <c r="X98" s="2076">
        <f t="shared" si="174"/>
        <v>104</v>
      </c>
      <c r="Y98" s="2076">
        <f t="shared" si="174"/>
        <v>100.5</v>
      </c>
      <c r="Z98" s="2076">
        <f t="shared" si="174"/>
        <v>118.3</v>
      </c>
      <c r="AA98" s="2077">
        <f t="shared" si="174"/>
        <v>416.8</v>
      </c>
      <c r="AB98" s="2076">
        <f t="shared" si="174"/>
        <v>95</v>
      </c>
      <c r="AC98" s="2076">
        <f t="shared" si="174"/>
        <v>95</v>
      </c>
      <c r="AD98" s="2076">
        <f t="shared" si="174"/>
        <v>103</v>
      </c>
      <c r="AE98" s="2076">
        <f t="shared" si="174"/>
        <v>103</v>
      </c>
      <c r="AF98" s="2076">
        <f t="shared" si="174"/>
        <v>117</v>
      </c>
      <c r="AG98" s="2076">
        <f t="shared" si="174"/>
        <v>117</v>
      </c>
      <c r="AH98" s="2076">
        <f t="shared" si="174"/>
        <v>127.56800000000001</v>
      </c>
      <c r="AI98" s="2076">
        <f t="shared" si="174"/>
        <v>127.56800000000001</v>
      </c>
      <c r="AJ98" s="2077">
        <f ca="1">'New split'!H115</f>
        <v>417</v>
      </c>
      <c r="AK98" s="2076">
        <f t="shared" ref="AK98:AT98" si="175">SUM(AK76:AK88)+AK97</f>
        <v>109</v>
      </c>
      <c r="AL98" s="2076">
        <f t="shared" si="175"/>
        <v>90</v>
      </c>
      <c r="AM98" s="2076">
        <f t="shared" si="175"/>
        <v>126</v>
      </c>
      <c r="AN98" s="2076">
        <f t="shared" si="175"/>
        <v>143</v>
      </c>
      <c r="AO98" s="2077">
        <f t="shared" si="175"/>
        <v>468</v>
      </c>
      <c r="AP98" s="2477">
        <f t="shared" si="175"/>
        <v>118</v>
      </c>
      <c r="AQ98" s="2477">
        <f t="shared" si="175"/>
        <v>125</v>
      </c>
      <c r="AR98" s="2477">
        <f t="shared" si="175"/>
        <v>121</v>
      </c>
      <c r="AS98" s="2477">
        <f t="shared" si="175"/>
        <v>138</v>
      </c>
      <c r="AT98" s="2478">
        <f t="shared" si="175"/>
        <v>502</v>
      </c>
      <c r="AU98" s="2477">
        <f>SUM(AU76:AU81)+SUM(AU86:AU88)+AU97</f>
        <v>117.71110000000002</v>
      </c>
      <c r="AV98" s="2477">
        <f t="shared" ref="AV98:AY98" si="176">SUM(AV76:AV81)+SUM(AV86:AV88)+AV97</f>
        <v>141.66919999999993</v>
      </c>
      <c r="AW98" s="2477">
        <f t="shared" si="176"/>
        <v>116.40460000000002</v>
      </c>
      <c r="AX98" s="2477">
        <f t="shared" si="176"/>
        <v>115.00479999999997</v>
      </c>
      <c r="AY98" s="2478">
        <f t="shared" si="176"/>
        <v>490.78969999999993</v>
      </c>
      <c r="AZ98" s="2477">
        <f>SUM(AZ76:AZ81)+SUM(AZ86:AZ88)+AZ97</f>
        <v>113.459</v>
      </c>
      <c r="BA98" s="2477">
        <f t="shared" ref="BA98" si="177">SUM(BA76:BA81)+SUM(BA86:BA88)+BA97</f>
        <v>112.18979999999996</v>
      </c>
      <c r="BB98" s="2477">
        <f t="shared" ref="BB98" si="178">SUM(BB76:BB81)+SUM(BB86:BB88)+BB97</f>
        <v>114.2662</v>
      </c>
      <c r="BC98" s="2477">
        <f t="shared" ref="BC98" si="179">SUM(BC76:BC81)+SUM(BC86:BC88)+BC97</f>
        <v>109.42580000000002</v>
      </c>
      <c r="BD98" s="2478">
        <f t="shared" ref="BD98" si="180">SUM(BD76:BD81)+SUM(BD86:BD88)+BD97</f>
        <v>449.34079999999966</v>
      </c>
      <c r="BE98" s="2477">
        <f>SUM(BE76:BE81)+SUM(BE86:BE88)+BE97</f>
        <v>120.06990000000002</v>
      </c>
      <c r="BF98" s="2477">
        <f t="shared" ref="BF98" si="181">SUM(BF76:BF81)+SUM(BF86:BF88)+BF97</f>
        <v>106.37369999999997</v>
      </c>
      <c r="BG98" s="2477">
        <f t="shared" ref="BG98:BI98" si="182">SUM(BG76:BG81)+SUM(BG86:BG88)+BG97</f>
        <v>94.123200000000026</v>
      </c>
      <c r="BH98" s="2477">
        <f>SUM(BH76:BH81)+SUM(BH86:BH88)+BH97</f>
        <v>101.62790000000008</v>
      </c>
      <c r="BI98" s="2478">
        <f t="shared" si="182"/>
        <v>422.19470000000041</v>
      </c>
      <c r="BJ98" s="2477">
        <f>SUM(BJ76:BJ81)+SUM(BJ86:BJ88)+BJ97</f>
        <v>104.04370249960195</v>
      </c>
      <c r="BK98" s="2477">
        <f t="shared" ref="BK98:BM98" si="183">SUM(BK76:BK81)+SUM(BK86:BK88)+BK97</f>
        <v>104.04370249960195</v>
      </c>
      <c r="BL98" s="2477">
        <f t="shared" si="183"/>
        <v>104.04370249960195</v>
      </c>
      <c r="BM98" s="2477">
        <f t="shared" si="183"/>
        <v>104.04370249960195</v>
      </c>
      <c r="BN98" s="2478">
        <f t="shared" ref="BN98" si="184">SUM(BN76:BN81)+SUM(BN86:BN88)+BN97</f>
        <v>416.1748099984078</v>
      </c>
      <c r="BO98" s="1699"/>
      <c r="BP98" s="1699"/>
      <c r="BQ98" s="1293"/>
      <c r="BR98" s="1293"/>
      <c r="BS98" s="1293"/>
      <c r="BT98" s="1293"/>
      <c r="BU98" s="1293"/>
      <c r="BV98" s="1293"/>
      <c r="BW98" s="1293"/>
      <c r="BX98" s="1293"/>
      <c r="BY98" s="1293"/>
      <c r="BZ98" s="1293"/>
      <c r="CA98" s="1293"/>
      <c r="CB98" s="1293"/>
      <c r="CC98" s="1293"/>
      <c r="CD98" s="1293"/>
      <c r="CE98" s="1293"/>
      <c r="CF98" s="1293"/>
      <c r="CG98" s="1293"/>
      <c r="CH98" s="1293"/>
      <c r="CI98" s="1293"/>
      <c r="CJ98" s="1293"/>
      <c r="CK98" s="1293"/>
      <c r="CL98" s="1293"/>
      <c r="CM98" s="1293"/>
      <c r="CN98" s="1293"/>
      <c r="CO98" s="1293"/>
      <c r="CP98" s="1293"/>
      <c r="CQ98" s="1293"/>
      <c r="CR98" s="1293"/>
      <c r="CS98" s="1293"/>
      <c r="CT98" s="1293"/>
      <c r="CU98" s="1293"/>
      <c r="CV98" s="1293"/>
      <c r="CW98" s="1293"/>
      <c r="CX98" s="1293"/>
      <c r="CY98" s="2041">
        <v>116.73282535747998</v>
      </c>
      <c r="CZ98" s="1699">
        <f>CZ76+CZ77+SUM(CZ79:CZ83)+SUM(CZ86:CZ88)</f>
        <v>111</v>
      </c>
      <c r="DA98" s="2042">
        <v>112</v>
      </c>
      <c r="DB98" s="2041">
        <v>105</v>
      </c>
      <c r="DC98" s="1293"/>
      <c r="DD98" s="1293"/>
      <c r="DE98" s="1293"/>
      <c r="DF98" s="1293"/>
      <c r="DG98" s="1293"/>
      <c r="DH98" s="1293"/>
      <c r="DI98" s="1293"/>
      <c r="DJ98" s="1293"/>
      <c r="DK98" s="1293"/>
      <c r="DL98" s="1293"/>
    </row>
    <row r="99" spans="1:116" ht="15.75">
      <c r="A99" s="1293"/>
      <c r="B99" s="1293"/>
      <c r="C99" s="1699"/>
      <c r="D99" s="1699"/>
      <c r="E99" s="1699"/>
      <c r="F99" s="1699"/>
      <c r="G99" s="2039"/>
      <c r="H99" s="1699"/>
      <c r="I99" s="1699"/>
      <c r="J99" s="1699"/>
      <c r="K99" s="1699"/>
      <c r="L99" s="2039"/>
      <c r="M99" s="1699"/>
      <c r="N99" s="1699"/>
      <c r="O99" s="1699"/>
      <c r="P99" s="1699"/>
      <c r="Q99" s="2039"/>
      <c r="R99" s="1699"/>
      <c r="S99" s="1699"/>
      <c r="T99" s="1699"/>
      <c r="U99" s="1699"/>
      <c r="V99" s="2039"/>
      <c r="W99" s="1699"/>
      <c r="X99" s="1699"/>
      <c r="Y99" s="1699"/>
      <c r="Z99" s="1699"/>
      <c r="AA99" s="2039"/>
      <c r="AB99" s="1699"/>
      <c r="AC99" s="1699"/>
      <c r="AD99" s="1699"/>
      <c r="AE99" s="1699"/>
      <c r="AF99" s="1699"/>
      <c r="AG99" s="1699"/>
      <c r="AH99" s="1699"/>
      <c r="AI99" s="1699"/>
      <c r="AJ99" s="2039"/>
      <c r="AK99" s="1699"/>
      <c r="AL99" s="1699"/>
      <c r="AM99" s="1699"/>
      <c r="AN99" s="1699"/>
      <c r="AO99" s="2039"/>
      <c r="AP99" s="1699"/>
      <c r="AQ99" s="1699"/>
      <c r="AR99" s="1699"/>
      <c r="AS99" s="1699"/>
      <c r="AT99" s="2039"/>
      <c r="AU99" s="1699"/>
      <c r="AV99" s="1699"/>
      <c r="AW99" s="1699"/>
      <c r="AX99" s="1699"/>
      <c r="AY99" s="2039"/>
      <c r="AZ99" s="1699"/>
      <c r="BA99" s="1699"/>
      <c r="BB99" s="1699"/>
      <c r="BC99" s="1699"/>
      <c r="BD99" s="2039"/>
      <c r="BE99" s="1699"/>
      <c r="BF99" s="1699"/>
      <c r="BG99" s="1699"/>
      <c r="BH99" s="1699"/>
      <c r="BI99" s="2039"/>
      <c r="BJ99" s="1699"/>
      <c r="BK99" s="1699"/>
      <c r="BL99" s="1699"/>
      <c r="BM99" s="1699"/>
      <c r="BN99" s="2039"/>
      <c r="BO99" s="1699"/>
      <c r="BP99" s="1699"/>
      <c r="BQ99" s="1293"/>
      <c r="BR99" s="1293"/>
      <c r="BS99" s="1293"/>
      <c r="BT99" s="1293"/>
      <c r="BU99" s="1293"/>
      <c r="BV99" s="1293"/>
      <c r="BW99" s="1293"/>
      <c r="BX99" s="1293"/>
      <c r="BY99" s="1293"/>
      <c r="BZ99" s="1293"/>
      <c r="CA99" s="1293"/>
      <c r="CB99" s="1293"/>
      <c r="CC99" s="1293"/>
      <c r="CD99" s="1293"/>
      <c r="CE99" s="1293"/>
      <c r="CF99" s="1293"/>
      <c r="CG99" s="1293"/>
      <c r="CH99" s="1293"/>
      <c r="CI99" s="1293"/>
      <c r="CJ99" s="1293"/>
      <c r="CK99" s="1293"/>
      <c r="CL99" s="1293"/>
      <c r="CM99" s="1293"/>
      <c r="CN99" s="1293"/>
      <c r="CO99" s="1293"/>
      <c r="CP99" s="1293"/>
      <c r="CQ99" s="1293"/>
      <c r="CR99" s="1293"/>
      <c r="CS99" s="1293"/>
      <c r="CT99" s="1293"/>
      <c r="CU99" s="1293"/>
      <c r="CV99" s="1293"/>
      <c r="CW99" s="1293"/>
      <c r="CX99" s="1293"/>
      <c r="CY99" s="2041"/>
      <c r="CZ99" s="1699"/>
      <c r="DA99" s="2042"/>
      <c r="DB99" s="2041"/>
      <c r="DC99" s="1293"/>
      <c r="DD99" s="1293"/>
      <c r="DE99" s="1293"/>
      <c r="DF99" s="1293"/>
      <c r="DG99" s="1293"/>
      <c r="DH99" s="1293"/>
      <c r="DI99" s="1293"/>
      <c r="DJ99" s="1293"/>
      <c r="DK99" s="1293"/>
      <c r="DL99" s="1293"/>
    </row>
    <row r="100" spans="1:116" ht="15.75">
      <c r="A100" s="1293"/>
      <c r="B100" s="1293"/>
      <c r="C100" s="1699"/>
      <c r="D100" s="1699"/>
      <c r="E100" s="1699"/>
      <c r="F100" s="1699"/>
      <c r="G100" s="2039"/>
      <c r="H100" s="1699"/>
      <c r="I100" s="1699"/>
      <c r="J100" s="1699"/>
      <c r="K100" s="1699"/>
      <c r="L100" s="2039"/>
      <c r="M100" s="1699"/>
      <c r="N100" s="1699"/>
      <c r="O100" s="1699"/>
      <c r="P100" s="1699"/>
      <c r="Q100" s="2039"/>
      <c r="R100" s="1699"/>
      <c r="S100" s="1699"/>
      <c r="T100" s="1699"/>
      <c r="U100" s="1699"/>
      <c r="V100" s="2039"/>
      <c r="W100" s="1699"/>
      <c r="X100" s="1699"/>
      <c r="Y100" s="1699"/>
      <c r="Z100" s="1699"/>
      <c r="AA100" s="2039"/>
      <c r="AB100" s="1699"/>
      <c r="AC100" s="1699"/>
      <c r="AD100" s="1699"/>
      <c r="AE100" s="1699"/>
      <c r="AF100" s="1699"/>
      <c r="AG100" s="1699"/>
      <c r="AH100" s="1699"/>
      <c r="AI100" s="1699"/>
      <c r="AJ100" s="2039"/>
      <c r="AK100" s="1699"/>
      <c r="AL100" s="1699"/>
      <c r="AM100" s="1699"/>
      <c r="AN100" s="1699"/>
      <c r="AO100" s="2039"/>
      <c r="AP100" s="1699"/>
      <c r="AQ100" s="1699"/>
      <c r="AR100" s="1699"/>
      <c r="AS100" s="1699"/>
      <c r="AT100" s="2039"/>
      <c r="AU100" s="1699"/>
      <c r="AV100" s="1699"/>
      <c r="AW100" s="1699"/>
      <c r="AX100" s="1699"/>
      <c r="AY100" s="2039"/>
      <c r="AZ100" s="1699"/>
      <c r="BA100" s="1699"/>
      <c r="BB100" s="1699"/>
      <c r="BC100" s="1699"/>
      <c r="BD100" s="2039"/>
      <c r="BE100" s="1699"/>
      <c r="BF100" s="1699"/>
      <c r="BG100" s="1699"/>
      <c r="BH100" s="1699"/>
      <c r="BI100" s="2039"/>
      <c r="BJ100" s="1699"/>
      <c r="BK100" s="1699"/>
      <c r="BL100" s="1699"/>
      <c r="BM100" s="1699"/>
      <c r="BN100" s="2039"/>
      <c r="BO100" s="1699"/>
      <c r="BP100" s="1699"/>
      <c r="BQ100" s="1293"/>
      <c r="BR100" s="1293"/>
      <c r="BS100" s="1293"/>
      <c r="BT100" s="1293"/>
      <c r="BU100" s="1293"/>
      <c r="BV100" s="1293"/>
      <c r="BW100" s="1293"/>
      <c r="BX100" s="1293"/>
      <c r="BY100" s="1293"/>
      <c r="BZ100" s="1293"/>
      <c r="CA100" s="1293"/>
      <c r="CB100" s="1293"/>
      <c r="CC100" s="1293"/>
      <c r="CD100" s="1293"/>
      <c r="CE100" s="1293"/>
      <c r="CF100" s="1293"/>
      <c r="CG100" s="1293"/>
      <c r="CH100" s="1293"/>
      <c r="CI100" s="1293"/>
      <c r="CJ100" s="1293"/>
      <c r="CK100" s="1293"/>
      <c r="CL100" s="1293"/>
      <c r="CM100" s="1293"/>
      <c r="CN100" s="1293"/>
      <c r="CO100" s="1293"/>
      <c r="CP100" s="1293"/>
      <c r="CQ100" s="1293"/>
      <c r="CR100" s="1293"/>
      <c r="CS100" s="1293"/>
      <c r="CT100" s="1293"/>
      <c r="CU100" s="1293"/>
      <c r="CV100" s="1293"/>
      <c r="CW100" s="1293"/>
      <c r="CX100" s="1293"/>
      <c r="CY100" s="2041"/>
      <c r="CZ100" s="1699"/>
      <c r="DA100" s="2042"/>
      <c r="DB100" s="2041"/>
      <c r="DC100" s="1293"/>
      <c r="DD100" s="1293"/>
      <c r="DE100" s="1293"/>
      <c r="DF100" s="1293"/>
      <c r="DG100" s="1293"/>
      <c r="DH100" s="1293"/>
      <c r="DI100" s="1293"/>
      <c r="DJ100" s="1293"/>
      <c r="DK100" s="1293"/>
      <c r="DL100" s="1293"/>
    </row>
    <row r="101" spans="1:116" ht="15.75">
      <c r="A101" s="1293"/>
      <c r="B101" s="1293"/>
      <c r="C101" s="1699"/>
      <c r="D101" s="1699"/>
      <c r="E101" s="1699"/>
      <c r="F101" s="1699"/>
      <c r="G101" s="2039"/>
      <c r="H101" s="1699"/>
      <c r="I101" s="1699"/>
      <c r="J101" s="1699"/>
      <c r="K101" s="1699"/>
      <c r="L101" s="2039"/>
      <c r="M101" s="1699"/>
      <c r="N101" s="1699"/>
      <c r="O101" s="1699"/>
      <c r="P101" s="1699"/>
      <c r="Q101" s="2039"/>
      <c r="R101" s="1699"/>
      <c r="S101" s="1699"/>
      <c r="T101" s="1699"/>
      <c r="U101" s="1699"/>
      <c r="V101" s="2039"/>
      <c r="W101" s="1699"/>
      <c r="X101" s="1699"/>
      <c r="Y101" s="1699"/>
      <c r="Z101" s="1699"/>
      <c r="AA101" s="2039"/>
      <c r="AB101" s="1293"/>
      <c r="AC101" s="1293"/>
      <c r="AD101" s="1293"/>
      <c r="AE101" s="1293"/>
      <c r="AF101" s="1293"/>
      <c r="AG101" s="1293"/>
      <c r="AH101" s="1293"/>
      <c r="AI101" s="1293"/>
      <c r="AJ101" s="2039"/>
      <c r="AK101" s="1293"/>
      <c r="AL101" s="1293"/>
      <c r="AM101" s="1293"/>
      <c r="AN101" s="1293"/>
      <c r="AO101" s="2039"/>
      <c r="AP101" s="1293"/>
      <c r="AQ101" s="1293"/>
      <c r="AR101" s="1293"/>
      <c r="AS101" s="1293"/>
      <c r="AT101" s="2039"/>
      <c r="AU101" s="1293"/>
      <c r="AV101" s="1293"/>
      <c r="AW101" s="1293"/>
      <c r="AX101" s="1293"/>
      <c r="AY101" s="2039"/>
      <c r="AZ101" s="1293"/>
      <c r="BA101" s="1293"/>
      <c r="BB101" s="1293"/>
      <c r="BC101" s="1699"/>
      <c r="BD101" s="2039"/>
      <c r="BE101" s="1293"/>
      <c r="BF101" s="1293"/>
      <c r="BG101" s="1293"/>
      <c r="BH101" s="1699"/>
      <c r="BI101" s="2039"/>
      <c r="BJ101" s="1293"/>
      <c r="BK101" s="1293"/>
      <c r="BL101" s="1293"/>
      <c r="BM101" s="1293"/>
      <c r="BN101" s="2039"/>
      <c r="BO101" s="1699"/>
      <c r="BP101" s="1699"/>
      <c r="BQ101" s="1293"/>
      <c r="BR101" s="1293"/>
      <c r="BS101" s="1293"/>
      <c r="BT101" s="1334" t="s">
        <v>1583</v>
      </c>
      <c r="BU101" s="1293"/>
      <c r="BV101" s="1293"/>
      <c r="BW101" s="1293"/>
      <c r="BX101" s="1293"/>
      <c r="BY101" s="1293"/>
      <c r="BZ101" s="1293"/>
      <c r="CA101" s="1293"/>
      <c r="CB101" s="1293"/>
      <c r="CC101" s="1293"/>
      <c r="CD101" s="1293"/>
      <c r="CE101" s="1293"/>
      <c r="CF101" s="1293"/>
      <c r="CG101" s="1293"/>
      <c r="CH101" s="1293"/>
      <c r="CI101" s="1293"/>
      <c r="CJ101" s="1293"/>
      <c r="CK101" s="1293"/>
      <c r="CL101" s="1293"/>
      <c r="CM101" s="1293"/>
      <c r="CN101" s="1293"/>
      <c r="CO101" s="1293"/>
      <c r="CP101" s="1293"/>
      <c r="CQ101" s="1293"/>
      <c r="CR101" s="1293"/>
      <c r="CS101" s="1293"/>
      <c r="CT101" s="1293"/>
      <c r="CU101" s="1293"/>
      <c r="CV101" s="1293"/>
      <c r="CW101" s="1293"/>
      <c r="CX101" s="1293"/>
      <c r="CY101" s="2041"/>
      <c r="CZ101" s="1699"/>
      <c r="DA101" s="2031"/>
      <c r="DB101" s="2032"/>
      <c r="DC101" s="1293"/>
      <c r="DD101" s="1293"/>
      <c r="DE101" s="1293"/>
      <c r="DF101" s="1293"/>
      <c r="DG101" s="1293"/>
      <c r="DH101" s="1293"/>
      <c r="DI101" s="1293"/>
      <c r="DJ101" s="1293"/>
      <c r="DK101" s="1293"/>
      <c r="DL101" s="1293"/>
    </row>
    <row r="102" spans="1:116" ht="15.75">
      <c r="A102" s="1293"/>
      <c r="B102" s="1979" t="s">
        <v>3018</v>
      </c>
      <c r="C102" s="1883" t="s">
        <v>3503</v>
      </c>
      <c r="D102" s="1883" t="s">
        <v>3591</v>
      </c>
      <c r="E102" s="1883" t="s">
        <v>3608</v>
      </c>
      <c r="F102" s="1883" t="s">
        <v>3662</v>
      </c>
      <c r="G102" s="2034" t="s">
        <v>3463</v>
      </c>
      <c r="H102" s="1883" t="s">
        <v>3699</v>
      </c>
      <c r="I102" s="1883" t="s">
        <v>3790</v>
      </c>
      <c r="J102" s="1883" t="s">
        <v>3814</v>
      </c>
      <c r="K102" s="1883" t="s">
        <v>3866</v>
      </c>
      <c r="L102" s="2034" t="s">
        <v>3690</v>
      </c>
      <c r="M102" s="1883" t="s">
        <v>4082</v>
      </c>
      <c r="N102" s="1883" t="s">
        <v>4254</v>
      </c>
      <c r="O102" s="1883" t="s">
        <v>4387</v>
      </c>
      <c r="P102" s="1883" t="s">
        <v>4571</v>
      </c>
      <c r="Q102" s="2034" t="s">
        <v>4504</v>
      </c>
      <c r="R102" s="1883" t="str">
        <f>R38</f>
        <v>Q1 17</v>
      </c>
      <c r="S102" s="1883" t="str">
        <f>S38</f>
        <v>Q2 17</v>
      </c>
      <c r="T102" s="1883" t="str">
        <f>T38</f>
        <v>Q3 17</v>
      </c>
      <c r="U102" s="1883" t="str">
        <f>U38</f>
        <v>Q4 17</v>
      </c>
      <c r="V102" s="2034">
        <v>2017</v>
      </c>
      <c r="W102" s="1883" t="str">
        <f t="shared" ref="W102:AJ102" si="185">W38</f>
        <v>Q1 18</v>
      </c>
      <c r="X102" s="1883" t="str">
        <f t="shared" si="185"/>
        <v>Q2 18</v>
      </c>
      <c r="Y102" s="1883" t="str">
        <f t="shared" si="185"/>
        <v>Q3 18</v>
      </c>
      <c r="Z102" s="1883" t="str">
        <f t="shared" si="185"/>
        <v>Q4 18</v>
      </c>
      <c r="AA102" s="2034">
        <f t="shared" si="185"/>
        <v>2018</v>
      </c>
      <c r="AB102" s="1883" t="str">
        <f t="shared" si="185"/>
        <v>Q1 19</v>
      </c>
      <c r="AC102" s="1883" t="str">
        <f t="shared" si="185"/>
        <v>Q1 19</v>
      </c>
      <c r="AD102" s="1883" t="str">
        <f t="shared" si="185"/>
        <v>Q2 19</v>
      </c>
      <c r="AE102" s="1883" t="str">
        <f t="shared" si="185"/>
        <v>Q2 19</v>
      </c>
      <c r="AF102" s="1883" t="str">
        <f t="shared" si="185"/>
        <v>Q3 19</v>
      </c>
      <c r="AG102" s="1883" t="str">
        <f t="shared" si="185"/>
        <v>Q3 19</v>
      </c>
      <c r="AH102" s="1883" t="str">
        <f t="shared" si="185"/>
        <v>Q4 19</v>
      </c>
      <c r="AI102" s="1883" t="str">
        <f t="shared" si="185"/>
        <v>Q4 19</v>
      </c>
      <c r="AJ102" s="2034">
        <f t="shared" si="185"/>
        <v>2019</v>
      </c>
      <c r="AK102" s="1883" t="s">
        <v>5797</v>
      </c>
      <c r="AL102" s="1883" t="s">
        <v>5798</v>
      </c>
      <c r="AM102" s="1883" t="s">
        <v>5799</v>
      </c>
      <c r="AN102" s="1883" t="s">
        <v>5800</v>
      </c>
      <c r="AO102" s="2034">
        <f t="shared" ref="AO102:BM102" si="186">AO38</f>
        <v>2020</v>
      </c>
      <c r="AP102" s="1883" t="str">
        <f t="shared" si="186"/>
        <v>Q1 21</v>
      </c>
      <c r="AQ102" s="1883" t="str">
        <f t="shared" si="186"/>
        <v>Q2 21</v>
      </c>
      <c r="AR102" s="1883" t="str">
        <f t="shared" si="186"/>
        <v>Q3 21</v>
      </c>
      <c r="AS102" s="1883" t="str">
        <f t="shared" si="186"/>
        <v>Q4 21</v>
      </c>
      <c r="AT102" s="2034">
        <f t="shared" si="186"/>
        <v>2021</v>
      </c>
      <c r="AU102" s="1883" t="str">
        <f t="shared" si="186"/>
        <v>Q1 22</v>
      </c>
      <c r="AV102" s="1883" t="str">
        <f t="shared" si="186"/>
        <v>Q2 22</v>
      </c>
      <c r="AW102" s="1883" t="str">
        <f t="shared" si="186"/>
        <v>Q3 22</v>
      </c>
      <c r="AX102" s="1883" t="str">
        <f t="shared" si="186"/>
        <v>Q4 22</v>
      </c>
      <c r="AY102" s="2034">
        <f t="shared" si="186"/>
        <v>2022</v>
      </c>
      <c r="AZ102" s="1883" t="str">
        <f t="shared" si="186"/>
        <v>Q1 23</v>
      </c>
      <c r="BA102" s="1883" t="str">
        <f t="shared" si="186"/>
        <v>Q2 23</v>
      </c>
      <c r="BB102" s="1883" t="str">
        <f t="shared" si="186"/>
        <v>Q3 23</v>
      </c>
      <c r="BC102" s="1883" t="str">
        <f t="shared" si="186"/>
        <v>Q4 23</v>
      </c>
      <c r="BD102" s="2034">
        <f t="shared" si="186"/>
        <v>2023</v>
      </c>
      <c r="BE102" s="1883" t="str">
        <f t="shared" si="186"/>
        <v>Q1 24</v>
      </c>
      <c r="BF102" s="1883" t="str">
        <f t="shared" si="186"/>
        <v>Q2 24</v>
      </c>
      <c r="BG102" s="1883" t="str">
        <f t="shared" si="186"/>
        <v>Q3 24</v>
      </c>
      <c r="BH102" s="1883" t="str">
        <f t="shared" si="186"/>
        <v>Q4 24</v>
      </c>
      <c r="BI102" s="2034">
        <f t="shared" si="186"/>
        <v>2024</v>
      </c>
      <c r="BJ102" s="1883" t="str">
        <f t="shared" si="186"/>
        <v>Q1 25</v>
      </c>
      <c r="BK102" s="1883" t="str">
        <f t="shared" si="186"/>
        <v>Q2 25</v>
      </c>
      <c r="BL102" s="1883" t="str">
        <f t="shared" si="186"/>
        <v>Q3 25</v>
      </c>
      <c r="BM102" s="1883" t="str">
        <f t="shared" si="186"/>
        <v>Q4 25</v>
      </c>
      <c r="BN102" s="2034">
        <f t="shared" ref="BN102" si="187">BN38</f>
        <v>2025</v>
      </c>
      <c r="BO102" s="1323"/>
      <c r="BP102" s="1323"/>
      <c r="BQ102" s="2035"/>
      <c r="BR102" s="1293"/>
      <c r="BS102" s="1293"/>
      <c r="BT102" s="1883" t="str">
        <f>AK102</f>
        <v>Q1 20</v>
      </c>
      <c r="BU102" s="1883" t="str">
        <f>AL102</f>
        <v>Q2 20</v>
      </c>
      <c r="BV102" s="1883" t="str">
        <f>AM102</f>
        <v>Q3 20</v>
      </c>
      <c r="BW102" s="1883" t="str">
        <f>AN102</f>
        <v>Q4 20</v>
      </c>
      <c r="BX102" s="1293"/>
      <c r="BY102" s="1293"/>
      <c r="BZ102" s="1293"/>
      <c r="CA102" s="1293"/>
      <c r="CB102" s="1293"/>
      <c r="CC102" s="1293"/>
      <c r="CD102" s="1293"/>
      <c r="CE102" s="1293"/>
      <c r="CF102" s="1293"/>
      <c r="CG102" s="1293"/>
      <c r="CH102" s="1293"/>
      <c r="CI102" s="1293"/>
      <c r="CJ102" s="1293"/>
      <c r="CK102" s="1293"/>
      <c r="CL102" s="1293"/>
      <c r="CM102" s="1293"/>
      <c r="CN102" s="1293"/>
      <c r="CO102" s="1293"/>
      <c r="CP102" s="1293"/>
      <c r="CQ102" s="1293"/>
      <c r="CR102" s="1293"/>
      <c r="CS102" s="1293"/>
      <c r="CT102" s="1293"/>
      <c r="CU102" s="1293"/>
      <c r="CV102" s="1293"/>
      <c r="CW102" s="1293"/>
      <c r="CX102" s="1293"/>
      <c r="CY102" s="2036" t="s">
        <v>7795</v>
      </c>
      <c r="CZ102" s="1883" t="str">
        <f>CZ38</f>
        <v>Q3 23e</v>
      </c>
      <c r="DA102" s="2037" t="s">
        <v>8571</v>
      </c>
      <c r="DB102" s="2038" t="s">
        <v>8572</v>
      </c>
      <c r="DC102" s="1293"/>
      <c r="DD102" s="1293"/>
      <c r="DE102" s="1293"/>
      <c r="DF102" s="1293"/>
      <c r="DG102" s="1293"/>
      <c r="DH102" s="1293"/>
      <c r="DI102" s="1293"/>
      <c r="DJ102" s="1293"/>
      <c r="DK102" s="1293"/>
      <c r="DL102" s="1293"/>
    </row>
    <row r="103" spans="1:116" ht="15.75">
      <c r="A103" s="1293"/>
      <c r="B103" s="1293" t="str">
        <f t="shared" ref="B103:B113" si="188">B3</f>
        <v>El Salvador</v>
      </c>
      <c r="C103" s="1699">
        <v>42.270284940000103</v>
      </c>
      <c r="D103" s="1699">
        <v>40.409609130000199</v>
      </c>
      <c r="E103" s="1699">
        <v>38.823381929999904</v>
      </c>
      <c r="F103" s="1699">
        <v>43.007660479998798</v>
      </c>
      <c r="G103" s="2039">
        <v>164.510936479999</v>
      </c>
      <c r="H103" s="1699">
        <v>42.321595899999899</v>
      </c>
      <c r="I103" s="1699">
        <v>41.609357190000097</v>
      </c>
      <c r="J103" s="1699">
        <v>42.086697369999705</v>
      </c>
      <c r="K103" s="1699">
        <v>42.649035490000401</v>
      </c>
      <c r="L103" s="2039">
        <v>168.6666859500001</v>
      </c>
      <c r="M103" s="1699">
        <v>40.895268069999894</v>
      </c>
      <c r="N103" s="1699">
        <v>37.821479090000103</v>
      </c>
      <c r="O103" s="1699">
        <v>37.437425310000201</v>
      </c>
      <c r="P103" s="1699">
        <v>32</v>
      </c>
      <c r="Q103" s="2039">
        <f>SUM(M103:P103)</f>
        <v>148.15417247000019</v>
      </c>
      <c r="R103" s="1699">
        <v>34</v>
      </c>
      <c r="S103" s="1699">
        <v>38</v>
      </c>
      <c r="T103" s="1699">
        <v>38</v>
      </c>
      <c r="U103" s="1986">
        <f>45</f>
        <v>45</v>
      </c>
      <c r="V103" s="2039">
        <f>SUM(R103:U103)</f>
        <v>155</v>
      </c>
      <c r="W103" s="1699">
        <v>37</v>
      </c>
      <c r="X103" s="1986">
        <f>32+6</f>
        <v>38</v>
      </c>
      <c r="Y103" s="1986">
        <f>30+4</f>
        <v>34</v>
      </c>
      <c r="Z103" s="1699">
        <v>35</v>
      </c>
      <c r="AA103" s="2039">
        <f>SUM(W103:Z103)</f>
        <v>144</v>
      </c>
      <c r="AB103" s="1699">
        <v>35</v>
      </c>
      <c r="AC103" s="1699">
        <f>AC179*AC3</f>
        <v>31.68</v>
      </c>
      <c r="AD103" s="1699">
        <v>30</v>
      </c>
      <c r="AE103" s="1699">
        <f>AE179*AE3</f>
        <v>27.160000000000004</v>
      </c>
      <c r="AF103" s="1699">
        <v>35</v>
      </c>
      <c r="AG103" s="1699">
        <f>AG179*AG3</f>
        <v>31.92</v>
      </c>
      <c r="AH103" s="1699">
        <v>40</v>
      </c>
      <c r="AI103" s="1699"/>
      <c r="AJ103" s="2039">
        <f t="shared" ref="AJ103:AJ112" si="189">AB103+AD103+AF103+AH103</f>
        <v>140</v>
      </c>
      <c r="AK103" s="1995">
        <v>35</v>
      </c>
      <c r="AL103" s="1995">
        <v>25</v>
      </c>
      <c r="AM103" s="1995">
        <v>32</v>
      </c>
      <c r="AN103" s="2085">
        <f>44-2</f>
        <v>42</v>
      </c>
      <c r="AO103" s="2039">
        <f t="shared" ref="AO103:AO110" si="190">AK103+AL103+AM103+AN103</f>
        <v>134</v>
      </c>
      <c r="AP103" s="1503">
        <v>40</v>
      </c>
      <c r="AQ103" s="1503">
        <v>38</v>
      </c>
      <c r="AR103" s="1503">
        <v>39</v>
      </c>
      <c r="AS103" s="1503">
        <v>45</v>
      </c>
      <c r="AT103" s="2161">
        <f t="shared" ref="AT103:AT112" si="191">AP103+AQ103+AR103+AS103</f>
        <v>162</v>
      </c>
      <c r="AU103" s="1503">
        <v>43.291400000000003</v>
      </c>
      <c r="AV103" s="1503">
        <v>42.392499999999998</v>
      </c>
      <c r="AW103" s="1503">
        <v>40.343200000000003</v>
      </c>
      <c r="AX103" s="1503">
        <v>49.790500000000002</v>
      </c>
      <c r="AY103" s="2161">
        <f t="shared" ref="AY103:AY112" si="192">AU103+AV103+AW103+AX103</f>
        <v>175.8176</v>
      </c>
      <c r="AZ103" s="1503">
        <v>43.962600000000002</v>
      </c>
      <c r="BA103" s="1503">
        <v>43.748600000000003</v>
      </c>
      <c r="BB103" s="1503">
        <v>46.833199999999998</v>
      </c>
      <c r="BC103" s="2479">
        <f>47.3511+2</f>
        <v>49.351100000000002</v>
      </c>
      <c r="BD103" s="2161">
        <f t="shared" ref="BD103:BD112" si="193">AZ103+BA103+BB103+BC103</f>
        <v>183.8955</v>
      </c>
      <c r="BE103" s="1503">
        <v>52.377000000000002</v>
      </c>
      <c r="BF103" s="1503">
        <v>52.987000000000002</v>
      </c>
      <c r="BG103" s="1503">
        <v>55.369199999999999</v>
      </c>
      <c r="BH103" s="1327">
        <v>55.330800000000004</v>
      </c>
      <c r="BI103" s="2161">
        <f t="shared" ref="BI103:BI112" si="194">BE103+BF103+BG103+BH103</f>
        <v>216.06400000000002</v>
      </c>
      <c r="BJ103" s="2484">
        <v>55</v>
      </c>
      <c r="BK103" s="2484">
        <v>55</v>
      </c>
      <c r="BL103" s="2484">
        <v>55</v>
      </c>
      <c r="BM103" s="2484">
        <f t="shared" ref="BM103:BM108" si="195">BN103-BJ103-BK103-BL103</f>
        <v>54.52797000000001</v>
      </c>
      <c r="BN103" s="2161">
        <f>'New split'!O273</f>
        <v>219.52797000000001</v>
      </c>
      <c r="BO103" s="1699"/>
      <c r="BP103" s="1323"/>
      <c r="BQ103" s="2040"/>
      <c r="BR103" s="1293"/>
      <c r="BS103" s="1293"/>
      <c r="BT103" s="1699">
        <f t="shared" ref="BT103:BW106" si="196">AK3-AK103</f>
        <v>61</v>
      </c>
      <c r="BU103" s="1699">
        <f t="shared" si="196"/>
        <v>63</v>
      </c>
      <c r="BV103" s="1699">
        <f t="shared" si="196"/>
        <v>64</v>
      </c>
      <c r="BW103" s="1699">
        <f t="shared" si="196"/>
        <v>68</v>
      </c>
      <c r="BX103" s="1293"/>
      <c r="BY103" s="1724">
        <f t="shared" ref="BY103:BY113" si="197">BU103/BT103-1</f>
        <v>3.2786885245901676E-2</v>
      </c>
      <c r="BZ103" s="1293"/>
      <c r="CA103" s="1293"/>
      <c r="CB103" s="1293"/>
      <c r="CC103" s="1293"/>
      <c r="CD103" s="1293"/>
      <c r="CE103" s="1293"/>
      <c r="CF103" s="1293"/>
      <c r="CG103" s="1293"/>
      <c r="CH103" s="1293"/>
      <c r="CI103" s="1293"/>
      <c r="CJ103" s="1293"/>
      <c r="CK103" s="1293"/>
      <c r="CL103" s="1293"/>
      <c r="CM103" s="1293"/>
      <c r="CN103" s="1293"/>
      <c r="CO103" s="1293"/>
      <c r="CP103" s="1293"/>
      <c r="CQ103" s="1293"/>
      <c r="CR103" s="1293"/>
      <c r="CS103" s="1293"/>
      <c r="CT103" s="1293"/>
      <c r="CU103" s="1293"/>
      <c r="CV103" s="1293"/>
      <c r="CW103" s="1293"/>
      <c r="CX103" s="1293"/>
      <c r="CY103" s="2041">
        <v>47.618587999999988</v>
      </c>
      <c r="CZ103" s="1699">
        <f>CZ179*CZ3</f>
        <v>43.929637200000002</v>
      </c>
      <c r="DA103" s="2042">
        <v>48.438000000000002</v>
      </c>
      <c r="DB103" s="2041">
        <v>48.166502999999999</v>
      </c>
      <c r="DC103" s="1293"/>
      <c r="DD103" s="1293"/>
      <c r="DE103" s="1293"/>
      <c r="DF103" s="1293"/>
      <c r="DG103" s="1293"/>
      <c r="DH103" s="1293"/>
      <c r="DI103" s="1293"/>
      <c r="DJ103" s="1293"/>
      <c r="DK103" s="1293"/>
      <c r="DL103" s="1293"/>
    </row>
    <row r="104" spans="1:116" ht="15.75">
      <c r="A104" s="1293"/>
      <c r="B104" s="1293" t="str">
        <f t="shared" si="188"/>
        <v>Guatemala</v>
      </c>
      <c r="C104" s="1699">
        <v>152.357253979002</v>
      </c>
      <c r="D104" s="1699">
        <v>157.971154360946</v>
      </c>
      <c r="E104" s="1699">
        <v>159.554755615137</v>
      </c>
      <c r="F104" s="1699">
        <v>164.11227825864</v>
      </c>
      <c r="G104" s="2039">
        <v>633.99544221372503</v>
      </c>
      <c r="H104" s="1699">
        <v>163.56236231229502</v>
      </c>
      <c r="I104" s="1699">
        <v>166.253065403199</v>
      </c>
      <c r="J104" s="1699">
        <v>167.44822833911098</v>
      </c>
      <c r="K104" s="1699">
        <v>154.06078777879799</v>
      </c>
      <c r="L104" s="2039">
        <v>651.32444383340294</v>
      </c>
      <c r="M104" s="1699">
        <v>161.624324665252</v>
      </c>
      <c r="N104" s="1699">
        <v>157.043651402573</v>
      </c>
      <c r="O104" s="1699">
        <v>149.98926996240101</v>
      </c>
      <c r="P104" s="1699">
        <v>163</v>
      </c>
      <c r="Q104" s="2039">
        <f>SUM(M104:P104)</f>
        <v>631.65724603022602</v>
      </c>
      <c r="R104" s="1699">
        <v>161</v>
      </c>
      <c r="S104" s="1699">
        <v>165</v>
      </c>
      <c r="T104" s="1699">
        <v>168</v>
      </c>
      <c r="U104" s="1699">
        <v>171</v>
      </c>
      <c r="V104" s="2039">
        <f>SUM(R104:U104)</f>
        <v>665</v>
      </c>
      <c r="W104" s="1699">
        <v>174</v>
      </c>
      <c r="X104" s="1699">
        <v>172</v>
      </c>
      <c r="Y104" s="1699">
        <v>171</v>
      </c>
      <c r="Z104" s="1699">
        <v>172</v>
      </c>
      <c r="AA104" s="2039">
        <f>SUM(W104:Z104)</f>
        <v>689</v>
      </c>
      <c r="AB104" s="1699">
        <v>190</v>
      </c>
      <c r="AC104" s="1699">
        <f>AC180*AC4</f>
        <v>178.36</v>
      </c>
      <c r="AD104" s="1699">
        <v>188</v>
      </c>
      <c r="AE104" s="1699">
        <f>AE180*AE4</f>
        <v>177.5</v>
      </c>
      <c r="AF104" s="1699">
        <v>186</v>
      </c>
      <c r="AG104" s="1699">
        <f>AG180*AG4</f>
        <v>174.833</v>
      </c>
      <c r="AH104" s="1699">
        <v>185</v>
      </c>
      <c r="AI104" s="1699"/>
      <c r="AJ104" s="2039">
        <f t="shared" si="189"/>
        <v>749</v>
      </c>
      <c r="AK104" s="1995">
        <v>194</v>
      </c>
      <c r="AL104" s="1995">
        <v>184</v>
      </c>
      <c r="AM104" s="1995">
        <v>191</v>
      </c>
      <c r="AN104" s="1995">
        <v>210</v>
      </c>
      <c r="AO104" s="2039">
        <f t="shared" si="190"/>
        <v>779</v>
      </c>
      <c r="AP104" s="1503">
        <v>214</v>
      </c>
      <c r="AQ104" s="1503">
        <v>218</v>
      </c>
      <c r="AR104" s="1503">
        <v>214</v>
      </c>
      <c r="AS104" s="1503">
        <v>211</v>
      </c>
      <c r="AT104" s="2161">
        <f t="shared" si="191"/>
        <v>857</v>
      </c>
      <c r="AU104" s="1503">
        <v>216</v>
      </c>
      <c r="AV104" s="1503">
        <v>219.08</v>
      </c>
      <c r="AW104" s="1503">
        <v>208</v>
      </c>
      <c r="AX104" s="1503">
        <v>213</v>
      </c>
      <c r="AY104" s="2161">
        <f t="shared" si="192"/>
        <v>856.08</v>
      </c>
      <c r="AZ104" s="1503">
        <v>199</v>
      </c>
      <c r="BA104" s="1503">
        <v>199</v>
      </c>
      <c r="BB104" s="1503">
        <v>199.441</v>
      </c>
      <c r="BC104" s="2479">
        <f>209.824+3</f>
        <v>212.82400000000001</v>
      </c>
      <c r="BD104" s="2161">
        <f t="shared" si="193"/>
        <v>810.2650000000001</v>
      </c>
      <c r="BE104" s="1503">
        <v>215.2696</v>
      </c>
      <c r="BF104" s="2479">
        <v>216.89179999999999</v>
      </c>
      <c r="BG104" s="2479">
        <v>220.19640000000001</v>
      </c>
      <c r="BH104" s="2479">
        <v>214.50409999999999</v>
      </c>
      <c r="BI104" s="2161">
        <f t="shared" si="194"/>
        <v>866.86189999999999</v>
      </c>
      <c r="BJ104" s="2484">
        <v>220</v>
      </c>
      <c r="BK104" s="2484">
        <v>225</v>
      </c>
      <c r="BL104" s="2484">
        <v>230</v>
      </c>
      <c r="BM104" s="2484">
        <f t="shared" si="195"/>
        <v>217.28999608924687</v>
      </c>
      <c r="BN104" s="2161">
        <f>'New split'!O274</f>
        <v>892.28999608924687</v>
      </c>
      <c r="BO104" s="1699"/>
      <c r="BP104" s="1323"/>
      <c r="BQ104" s="1323"/>
      <c r="BR104" s="1323"/>
      <c r="BS104" s="1293"/>
      <c r="BT104" s="1699">
        <f t="shared" si="196"/>
        <v>175</v>
      </c>
      <c r="BU104" s="1699">
        <f t="shared" si="196"/>
        <v>173</v>
      </c>
      <c r="BV104" s="1699">
        <f t="shared" si="196"/>
        <v>189</v>
      </c>
      <c r="BW104" s="1699">
        <f t="shared" si="196"/>
        <v>187</v>
      </c>
      <c r="BX104" s="1293"/>
      <c r="BY104" s="1724">
        <f t="shared" si="197"/>
        <v>-1.1428571428571455E-2</v>
      </c>
      <c r="BZ104" s="1293"/>
      <c r="CA104" s="1293"/>
      <c r="CB104" s="1293"/>
      <c r="CC104" s="1293"/>
      <c r="CD104" s="1293"/>
      <c r="CE104" s="1293"/>
      <c r="CF104" s="1293"/>
      <c r="CG104" s="1293"/>
      <c r="CH104" s="1293"/>
      <c r="CI104" s="1293"/>
      <c r="CJ104" s="1293"/>
      <c r="CK104" s="1293"/>
      <c r="CL104" s="1293"/>
      <c r="CM104" s="1293"/>
      <c r="CN104" s="1293"/>
      <c r="CO104" s="1293"/>
      <c r="CP104" s="1293"/>
      <c r="CQ104" s="1293"/>
      <c r="CR104" s="1293"/>
      <c r="CS104" s="1293"/>
      <c r="CT104" s="1293"/>
      <c r="CU104" s="1293"/>
      <c r="CV104" s="1293"/>
      <c r="CW104" s="1293"/>
      <c r="CX104" s="1293"/>
      <c r="CY104" s="2041">
        <v>202.4858153318759</v>
      </c>
      <c r="CZ104" s="1699">
        <f>CZ180*CZ4</f>
        <v>199.4155553963908</v>
      </c>
      <c r="DA104" s="2042">
        <v>216.71484193096947</v>
      </c>
      <c r="DB104" s="2041">
        <v>220.97730296631585</v>
      </c>
      <c r="DC104" s="1293"/>
      <c r="DD104" s="1293"/>
      <c r="DE104" s="1293"/>
      <c r="DF104" s="1293"/>
      <c r="DG104" s="1293"/>
      <c r="DH104" s="1293"/>
      <c r="DI104" s="1293"/>
      <c r="DJ104" s="1293"/>
      <c r="DK104" s="1293"/>
      <c r="DL104" s="1293"/>
    </row>
    <row r="105" spans="1:116" ht="15.75">
      <c r="A105" s="1293"/>
      <c r="B105" s="1293" t="str">
        <f t="shared" si="188"/>
        <v>Honduras (JV)</v>
      </c>
      <c r="C105" s="1699">
        <v>72.343100881029713</v>
      </c>
      <c r="D105" s="1699">
        <v>73.929168101888806</v>
      </c>
      <c r="E105" s="1699">
        <v>69.613505047774694</v>
      </c>
      <c r="F105" s="1699">
        <v>70.622872316908698</v>
      </c>
      <c r="G105" s="2039">
        <v>286.50864634760188</v>
      </c>
      <c r="H105" s="1699">
        <v>69.297832854310002</v>
      </c>
      <c r="I105" s="1699">
        <v>69.274114488369207</v>
      </c>
      <c r="J105" s="1699">
        <v>68.20925055302439</v>
      </c>
      <c r="K105" s="1699">
        <v>67.1847323482653</v>
      </c>
      <c r="L105" s="2039">
        <v>273.9659302439689</v>
      </c>
      <c r="M105" s="1699">
        <v>66.8613875703779</v>
      </c>
      <c r="N105" s="1699">
        <v>55.998809530906101</v>
      </c>
      <c r="O105" s="1699">
        <v>68.143661334619907</v>
      </c>
      <c r="P105" s="1699">
        <v>65</v>
      </c>
      <c r="Q105" s="2039">
        <f>SUM(M105:P105)</f>
        <v>256.00385843590391</v>
      </c>
      <c r="R105" s="1699">
        <v>63</v>
      </c>
      <c r="S105" s="1699">
        <v>63</v>
      </c>
      <c r="T105" s="1699">
        <v>75</v>
      </c>
      <c r="U105" s="1699">
        <v>64</v>
      </c>
      <c r="V105" s="2039">
        <f>SUM(R105:U105)</f>
        <v>265</v>
      </c>
      <c r="W105" s="1699">
        <v>61</v>
      </c>
      <c r="X105" s="1699">
        <v>60</v>
      </c>
      <c r="Y105" s="1986">
        <f>71-7</f>
        <v>64</v>
      </c>
      <c r="Z105" s="1986">
        <f>76-6</f>
        <v>70</v>
      </c>
      <c r="AA105" s="2039">
        <f>SUM(W105:Z105)</f>
        <v>255</v>
      </c>
      <c r="AB105" s="1699">
        <v>66</v>
      </c>
      <c r="AC105" s="1699">
        <f>AC181*AC5</f>
        <v>66.444000000000003</v>
      </c>
      <c r="AD105" s="1699">
        <v>70</v>
      </c>
      <c r="AE105" s="1699">
        <f>AE181*AE5</f>
        <v>65.712000000000003</v>
      </c>
      <c r="AF105" s="1699">
        <v>72</v>
      </c>
      <c r="AG105" s="1699">
        <f>AG181*AG5</f>
        <v>68.207999999999998</v>
      </c>
      <c r="AH105" s="1699">
        <v>72</v>
      </c>
      <c r="AI105" s="1699"/>
      <c r="AJ105" s="2039">
        <f t="shared" si="189"/>
        <v>280</v>
      </c>
      <c r="AK105" s="1995">
        <v>64</v>
      </c>
      <c r="AL105" s="1995">
        <v>55</v>
      </c>
      <c r="AM105" s="1995">
        <v>61</v>
      </c>
      <c r="AN105" s="1995">
        <v>67</v>
      </c>
      <c r="AO105" s="2039">
        <f t="shared" si="190"/>
        <v>247</v>
      </c>
      <c r="AP105" s="1503">
        <v>67</v>
      </c>
      <c r="AQ105" s="1503">
        <v>67</v>
      </c>
      <c r="AR105" s="1503">
        <v>64</v>
      </c>
      <c r="AS105" s="1503">
        <v>61</v>
      </c>
      <c r="AT105" s="2161">
        <f t="shared" si="191"/>
        <v>259</v>
      </c>
      <c r="AU105" s="1503">
        <v>64</v>
      </c>
      <c r="AV105" s="1503">
        <v>65.44</v>
      </c>
      <c r="AW105" s="1503">
        <v>64.400000000000006</v>
      </c>
      <c r="AX105" s="1503">
        <v>68</v>
      </c>
      <c r="AY105" s="2161">
        <f t="shared" si="192"/>
        <v>261.84000000000003</v>
      </c>
      <c r="AZ105" s="1503">
        <v>66</v>
      </c>
      <c r="BA105" s="1503">
        <v>68</v>
      </c>
      <c r="BB105" s="1503">
        <v>69.213999999999999</v>
      </c>
      <c r="BC105" s="2479">
        <f>69.09+3</f>
        <v>72.09</v>
      </c>
      <c r="BD105" s="2161">
        <f t="shared" si="193"/>
        <v>275.30399999999997</v>
      </c>
      <c r="BE105" s="1503">
        <v>72.650099999999995</v>
      </c>
      <c r="BF105" s="1503">
        <v>73.033500000000004</v>
      </c>
      <c r="BG105" s="1503">
        <v>78.583500000000001</v>
      </c>
      <c r="BH105" s="1327">
        <v>77.757800000000003</v>
      </c>
      <c r="BI105" s="2161">
        <f t="shared" si="194"/>
        <v>302.0249</v>
      </c>
      <c r="BJ105" s="2484">
        <v>75</v>
      </c>
      <c r="BK105" s="2484">
        <v>75</v>
      </c>
      <c r="BL105" s="2484">
        <v>75</v>
      </c>
      <c r="BM105" s="2484">
        <f t="shared" si="195"/>
        <v>76.835136041387216</v>
      </c>
      <c r="BN105" s="2161">
        <f>'New split'!O275</f>
        <v>301.83513604138722</v>
      </c>
      <c r="BO105" s="1699"/>
      <c r="BP105" s="1323"/>
      <c r="BQ105" s="2040"/>
      <c r="BR105" s="1293"/>
      <c r="BS105" s="1293"/>
      <c r="BT105" s="1699">
        <f t="shared" si="196"/>
        <v>77</v>
      </c>
      <c r="BU105" s="1699">
        <f t="shared" si="196"/>
        <v>69</v>
      </c>
      <c r="BV105" s="1699">
        <f t="shared" si="196"/>
        <v>76</v>
      </c>
      <c r="BW105" s="1699">
        <f t="shared" si="196"/>
        <v>83</v>
      </c>
      <c r="BX105" s="1293"/>
      <c r="BY105" s="1724">
        <f t="shared" si="197"/>
        <v>-0.10389610389610393</v>
      </c>
      <c r="BZ105" s="1293"/>
      <c r="CA105" s="1293"/>
      <c r="CB105" s="1293"/>
      <c r="CC105" s="1293"/>
      <c r="CD105" s="1293"/>
      <c r="CE105" s="1293"/>
      <c r="CF105" s="1293"/>
      <c r="CG105" s="1293"/>
      <c r="CH105" s="1293"/>
      <c r="CI105" s="1293"/>
      <c r="CJ105" s="1293"/>
      <c r="CK105" s="1293"/>
      <c r="CL105" s="1293"/>
      <c r="CM105" s="1293"/>
      <c r="CN105" s="1293"/>
      <c r="CO105" s="1293"/>
      <c r="CP105" s="1293"/>
      <c r="CQ105" s="1293"/>
      <c r="CR105" s="1293"/>
      <c r="CS105" s="1293"/>
      <c r="CT105" s="1293"/>
      <c r="CU105" s="1293"/>
      <c r="CV105" s="1293"/>
      <c r="CW105" s="1293"/>
      <c r="CX105" s="1293"/>
      <c r="CY105" s="2099">
        <v>69.213999999999999</v>
      </c>
      <c r="CZ105" s="1699">
        <f>CZ181*CZ5</f>
        <v>66.789185655146952</v>
      </c>
      <c r="DA105" s="2045">
        <v>74.375146367248746</v>
      </c>
      <c r="DB105" s="2041">
        <v>75.390767831342075</v>
      </c>
      <c r="DC105" s="1293"/>
      <c r="DD105" s="1293"/>
      <c r="DE105" s="1293"/>
      <c r="DF105" s="1293"/>
      <c r="DG105" s="1293"/>
      <c r="DH105" s="1293"/>
      <c r="DI105" s="1293"/>
      <c r="DJ105" s="1293"/>
      <c r="DK105" s="1293"/>
      <c r="DL105" s="1293"/>
    </row>
    <row r="106" spans="1:116" ht="15.75">
      <c r="A106" s="1293"/>
      <c r="B106" s="1293" t="str">
        <f t="shared" si="188"/>
        <v>Panama</v>
      </c>
      <c r="C106" s="1699"/>
      <c r="D106" s="1699"/>
      <c r="E106" s="1699"/>
      <c r="F106" s="1699"/>
      <c r="G106" s="2039"/>
      <c r="H106" s="1699"/>
      <c r="I106" s="1699"/>
      <c r="J106" s="1699"/>
      <c r="K106" s="1699"/>
      <c r="L106" s="2039"/>
      <c r="M106" s="1699"/>
      <c r="N106" s="1699"/>
      <c r="O106" s="1699"/>
      <c r="P106" s="1699"/>
      <c r="Q106" s="2039"/>
      <c r="R106" s="1293">
        <v>39.200000000000003</v>
      </c>
      <c r="S106" s="1293">
        <v>41</v>
      </c>
      <c r="T106" s="1293">
        <v>40.9</v>
      </c>
      <c r="U106" s="1293">
        <v>41.9</v>
      </c>
      <c r="V106" s="1293"/>
      <c r="W106" s="1293">
        <v>41.9</v>
      </c>
      <c r="X106" s="1293">
        <v>44.2</v>
      </c>
      <c r="Y106" s="1293">
        <v>44.9</v>
      </c>
      <c r="Z106" s="1986">
        <f>4+3</f>
        <v>7</v>
      </c>
      <c r="AA106" s="2039">
        <f>Z106</f>
        <v>7</v>
      </c>
      <c r="AB106" s="1699">
        <v>44</v>
      </c>
      <c r="AC106" s="1699">
        <f>AC182*AC6</f>
        <v>42.5</v>
      </c>
      <c r="AD106" s="1699">
        <v>47</v>
      </c>
      <c r="AE106" s="1699">
        <f>AE182*AE6</f>
        <v>44.649000000000001</v>
      </c>
      <c r="AF106" s="1699">
        <f>59-AF110</f>
        <v>49</v>
      </c>
      <c r="AG106" s="1293">
        <v>46</v>
      </c>
      <c r="AH106" s="1699">
        <f>73-AH110</f>
        <v>45.099999999999994</v>
      </c>
      <c r="AI106" s="1293"/>
      <c r="AJ106" s="2039">
        <f t="shared" si="189"/>
        <v>185.1</v>
      </c>
      <c r="AK106" s="1995">
        <f>69-AK110</f>
        <v>41</v>
      </c>
      <c r="AL106" s="1995">
        <f>60-AL110</f>
        <v>35</v>
      </c>
      <c r="AM106" s="1995">
        <f>63-AM110</f>
        <v>38</v>
      </c>
      <c r="AN106" s="1995">
        <f>64-AN110</f>
        <v>38</v>
      </c>
      <c r="AO106" s="2039">
        <f t="shared" si="190"/>
        <v>152</v>
      </c>
      <c r="AP106" s="1503">
        <f>67-AP110</f>
        <v>40</v>
      </c>
      <c r="AQ106" s="1503">
        <f>66-AQ110</f>
        <v>41</v>
      </c>
      <c r="AR106" s="1503">
        <f>71-AR110</f>
        <v>46</v>
      </c>
      <c r="AS106" s="1503">
        <f>77-AS110</f>
        <v>52</v>
      </c>
      <c r="AT106" s="2161">
        <f t="shared" si="191"/>
        <v>179</v>
      </c>
      <c r="AU106" s="1503">
        <v>71.135199999999998</v>
      </c>
      <c r="AV106" s="1503">
        <v>76.845299999999995</v>
      </c>
      <c r="AW106" s="1503">
        <v>75.075800000000001</v>
      </c>
      <c r="AX106" s="1503">
        <v>75.366699999999994</v>
      </c>
      <c r="AY106" s="2161">
        <f t="shared" si="192"/>
        <v>298.423</v>
      </c>
      <c r="AZ106" s="1503">
        <f>71.0868</f>
        <v>71.086799999999997</v>
      </c>
      <c r="BA106" s="1503">
        <v>73.250299999999996</v>
      </c>
      <c r="BB106" s="1503">
        <v>76.586500000000001</v>
      </c>
      <c r="BC106" s="2479">
        <f>75.2656+8</f>
        <v>83.265600000000006</v>
      </c>
      <c r="BD106" s="2161">
        <f t="shared" si="193"/>
        <v>304.18920000000003</v>
      </c>
      <c r="BE106" s="1503">
        <v>89.616600000000005</v>
      </c>
      <c r="BF106" s="1503">
        <v>89.802700000000002</v>
      </c>
      <c r="BG106" s="1503">
        <v>84.317099999999996</v>
      </c>
      <c r="BH106" s="1327">
        <v>90.206400000000002</v>
      </c>
      <c r="BI106" s="2161">
        <f t="shared" si="194"/>
        <v>353.94280000000003</v>
      </c>
      <c r="BJ106" s="2484">
        <v>92</v>
      </c>
      <c r="BK106" s="2484">
        <v>92</v>
      </c>
      <c r="BL106" s="2484">
        <v>92</v>
      </c>
      <c r="BM106" s="2484">
        <f t="shared" si="195"/>
        <v>93.926801000000012</v>
      </c>
      <c r="BN106" s="2161">
        <f>'New split'!O276</f>
        <v>369.92680100000001</v>
      </c>
      <c r="BO106" s="1699"/>
      <c r="BP106" s="1323"/>
      <c r="BQ106" s="2040"/>
      <c r="BR106" s="1293"/>
      <c r="BS106" s="1293"/>
      <c r="BT106" s="1699">
        <f t="shared" si="196"/>
        <v>56</v>
      </c>
      <c r="BU106" s="1699">
        <f t="shared" si="196"/>
        <v>54</v>
      </c>
      <c r="BV106" s="1699">
        <f t="shared" si="196"/>
        <v>56</v>
      </c>
      <c r="BW106" s="1699">
        <f t="shared" si="196"/>
        <v>59</v>
      </c>
      <c r="BX106" s="1293"/>
      <c r="BY106" s="1724">
        <f t="shared" si="197"/>
        <v>-3.5714285714285698E-2</v>
      </c>
      <c r="BZ106" s="1293"/>
      <c r="CA106" s="1293"/>
      <c r="CB106" s="1293"/>
      <c r="CC106" s="1293"/>
      <c r="CD106" s="1293"/>
      <c r="CE106" s="1293"/>
      <c r="CF106" s="1293"/>
      <c r="CG106" s="1293"/>
      <c r="CH106" s="1293"/>
      <c r="CI106" s="1293"/>
      <c r="CJ106" s="1293"/>
      <c r="CK106" s="1293"/>
      <c r="CL106" s="1293"/>
      <c r="CM106" s="1293"/>
      <c r="CN106" s="1293"/>
      <c r="CO106" s="1293"/>
      <c r="CP106" s="1293"/>
      <c r="CQ106" s="1293"/>
      <c r="CR106" s="1293"/>
      <c r="CS106" s="1293"/>
      <c r="CT106" s="1293"/>
      <c r="CU106" s="1293"/>
      <c r="CV106" s="1293"/>
      <c r="CW106" s="1293"/>
      <c r="CX106" s="1293"/>
      <c r="CY106" s="2041">
        <v>49.250477978435114</v>
      </c>
      <c r="CZ106" s="1699">
        <f>CZ182*CZ6</f>
        <v>71.633713749999998</v>
      </c>
      <c r="DA106" s="2042">
        <v>49.740000000000009</v>
      </c>
      <c r="DB106" s="2041">
        <v>55.055281599999994</v>
      </c>
      <c r="DC106" s="1293"/>
      <c r="DD106" s="1293"/>
      <c r="DE106" s="1293"/>
      <c r="DF106" s="1293"/>
      <c r="DG106" s="1293"/>
      <c r="DH106" s="1293"/>
      <c r="DI106" s="1293"/>
      <c r="DJ106" s="1293"/>
      <c r="DK106" s="1293"/>
      <c r="DL106" s="1293"/>
    </row>
    <row r="107" spans="1:116" ht="15.75">
      <c r="A107" s="1293"/>
      <c r="B107" s="1293" t="str">
        <f t="shared" si="188"/>
        <v>Costa Rica</v>
      </c>
      <c r="C107" s="1699"/>
      <c r="D107" s="1699"/>
      <c r="E107" s="1699"/>
      <c r="F107" s="1699"/>
      <c r="G107" s="2039"/>
      <c r="H107" s="1699"/>
      <c r="I107" s="1699"/>
      <c r="J107" s="1699"/>
      <c r="K107" s="1699"/>
      <c r="L107" s="2039"/>
      <c r="M107" s="1699"/>
      <c r="N107" s="1699"/>
      <c r="O107" s="1699"/>
      <c r="P107" s="1699"/>
      <c r="Q107" s="2039"/>
      <c r="R107" s="1293"/>
      <c r="S107" s="1293"/>
      <c r="T107" s="1293"/>
      <c r="U107" s="1293"/>
      <c r="V107" s="1293"/>
      <c r="W107" s="1293"/>
      <c r="X107" s="1293"/>
      <c r="Y107" s="1293"/>
      <c r="Z107" s="1699"/>
      <c r="AA107" s="2039"/>
      <c r="AB107" s="1699"/>
      <c r="AC107" s="1699"/>
      <c r="AD107" s="1699"/>
      <c r="AE107" s="1699"/>
      <c r="AF107" s="1699"/>
      <c r="AG107" s="1293"/>
      <c r="AH107" s="1699"/>
      <c r="AI107" s="1293"/>
      <c r="AJ107" s="2039"/>
      <c r="AK107" s="1995"/>
      <c r="AL107" s="1995"/>
      <c r="AM107" s="1995"/>
      <c r="AN107" s="1995"/>
      <c r="AO107" s="2039"/>
      <c r="AP107" s="1503"/>
      <c r="AQ107" s="1503"/>
      <c r="AR107" s="1503"/>
      <c r="AS107" s="1503"/>
      <c r="AT107" s="2161"/>
      <c r="AU107" s="1503">
        <v>11.32</v>
      </c>
      <c r="AV107" s="1503">
        <v>10.893800000000001</v>
      </c>
      <c r="AW107" s="1503">
        <v>10.6494</v>
      </c>
      <c r="AX107" s="1503">
        <v>11.9954</v>
      </c>
      <c r="AY107" s="2161">
        <f t="shared" si="192"/>
        <v>44.858599999999996</v>
      </c>
      <c r="AZ107" s="1503">
        <v>12.974500000000001</v>
      </c>
      <c r="BA107" s="1503">
        <v>13.2704</v>
      </c>
      <c r="BB107" s="1503">
        <v>14.609400000000001</v>
      </c>
      <c r="BC107" s="2479">
        <f>15.6742+0.5</f>
        <v>16.174199999999999</v>
      </c>
      <c r="BD107" s="2161">
        <f t="shared" si="193"/>
        <v>57.028500000000001</v>
      </c>
      <c r="BE107" s="1503">
        <v>15.4915</v>
      </c>
      <c r="BF107" s="1503">
        <v>13.673299999999999</v>
      </c>
      <c r="BG107" s="1503">
        <v>13.7453</v>
      </c>
      <c r="BH107" s="1327">
        <v>6.9337</v>
      </c>
      <c r="BI107" s="2161">
        <f t="shared" si="194"/>
        <v>49.843800000000002</v>
      </c>
      <c r="BJ107" s="2484">
        <v>13</v>
      </c>
      <c r="BK107" s="2484">
        <v>13</v>
      </c>
      <c r="BL107" s="2484">
        <v>13</v>
      </c>
      <c r="BM107" s="2484">
        <f t="shared" si="195"/>
        <v>10.4545095</v>
      </c>
      <c r="BN107" s="2161">
        <f>'New split'!O277</f>
        <v>49.4545095</v>
      </c>
      <c r="BO107" s="1699"/>
      <c r="BP107" s="1323"/>
      <c r="BQ107" s="2040"/>
      <c r="BR107" s="1293"/>
      <c r="BS107" s="1293"/>
      <c r="BT107" s="1699"/>
      <c r="BU107" s="1699"/>
      <c r="BV107" s="1699"/>
      <c r="BW107" s="1699"/>
      <c r="BX107" s="1293"/>
      <c r="BY107" s="1724"/>
      <c r="BZ107" s="1293"/>
      <c r="CA107" s="1293"/>
      <c r="CB107" s="1293"/>
      <c r="CC107" s="1293"/>
      <c r="CD107" s="1293"/>
      <c r="CE107" s="1293"/>
      <c r="CF107" s="1293"/>
      <c r="CG107" s="1293"/>
      <c r="CH107" s="1293"/>
      <c r="CI107" s="1293"/>
      <c r="CJ107" s="1293"/>
      <c r="CK107" s="1293"/>
      <c r="CL107" s="1293"/>
      <c r="CM107" s="1293"/>
      <c r="CN107" s="1293"/>
      <c r="CO107" s="1293"/>
      <c r="CP107" s="1293"/>
      <c r="CQ107" s="1293"/>
      <c r="CR107" s="1293"/>
      <c r="CS107" s="1293"/>
      <c r="CT107" s="1293"/>
      <c r="CU107" s="1293"/>
      <c r="CV107" s="1293"/>
      <c r="CW107" s="1293"/>
      <c r="CX107" s="1293"/>
      <c r="CY107" s="2041"/>
      <c r="CZ107" s="1699"/>
      <c r="DA107" s="2042"/>
      <c r="DB107" s="2041"/>
      <c r="DC107" s="1293"/>
      <c r="DD107" s="1293"/>
      <c r="DE107" s="1293"/>
      <c r="DF107" s="1293"/>
      <c r="DG107" s="1293"/>
      <c r="DH107" s="1293"/>
      <c r="DI107" s="1293"/>
      <c r="DJ107" s="1293"/>
      <c r="DK107" s="1293"/>
      <c r="DL107" s="1293"/>
    </row>
    <row r="108" spans="1:116" ht="15.75">
      <c r="A108" s="1293"/>
      <c r="B108" s="1293" t="str">
        <f t="shared" si="188"/>
        <v>Nicaragua</v>
      </c>
      <c r="C108" s="1699"/>
      <c r="D108" s="1699"/>
      <c r="E108" s="1699"/>
      <c r="F108" s="1699"/>
      <c r="G108" s="2039"/>
      <c r="H108" s="1699"/>
      <c r="I108" s="1699"/>
      <c r="J108" s="1699"/>
      <c r="K108" s="1699"/>
      <c r="L108" s="2039"/>
      <c r="M108" s="1699"/>
      <c r="N108" s="1699"/>
      <c r="O108" s="1699"/>
      <c r="P108" s="1699"/>
      <c r="Q108" s="2039"/>
      <c r="R108" s="1293"/>
      <c r="S108" s="1293"/>
      <c r="T108" s="1293"/>
      <c r="U108" s="1293"/>
      <c r="V108" s="1293"/>
      <c r="W108" s="1293"/>
      <c r="X108" s="1293"/>
      <c r="Y108" s="1293"/>
      <c r="Z108" s="1699"/>
      <c r="AA108" s="2039"/>
      <c r="AB108" s="1699"/>
      <c r="AC108" s="1699"/>
      <c r="AD108" s="1699"/>
      <c r="AE108" s="1699"/>
      <c r="AF108" s="1699"/>
      <c r="AG108" s="1293"/>
      <c r="AH108" s="1699"/>
      <c r="AI108" s="1293"/>
      <c r="AJ108" s="2039"/>
      <c r="AK108" s="1995"/>
      <c r="AL108" s="1995"/>
      <c r="AM108" s="1995"/>
      <c r="AN108" s="1995"/>
      <c r="AO108" s="2039"/>
      <c r="AP108" s="1503"/>
      <c r="AQ108" s="1503"/>
      <c r="AR108" s="1503"/>
      <c r="AS108" s="1503"/>
      <c r="AT108" s="2161"/>
      <c r="AU108" s="1503">
        <v>26.489899999999999</v>
      </c>
      <c r="AV108" s="1503">
        <v>27.5274</v>
      </c>
      <c r="AW108" s="1503">
        <v>27.690999999999999</v>
      </c>
      <c r="AX108" s="1503">
        <v>27.567</v>
      </c>
      <c r="AY108" s="2161">
        <f t="shared" si="192"/>
        <v>109.27529999999999</v>
      </c>
      <c r="AZ108" s="1503">
        <v>28.287199999999999</v>
      </c>
      <c r="BA108" s="1503">
        <v>28.336600000000001</v>
      </c>
      <c r="BB108" s="1503">
        <v>28.2835</v>
      </c>
      <c r="BC108" s="2479">
        <f>29.0512+0.5</f>
        <v>29.551200000000001</v>
      </c>
      <c r="BD108" s="2161">
        <f t="shared" si="193"/>
        <v>114.45850000000002</v>
      </c>
      <c r="BE108" s="1503">
        <v>32.523699999999998</v>
      </c>
      <c r="BF108" s="1503">
        <v>30.648</v>
      </c>
      <c r="BG108" s="1503">
        <v>31.073499999999999</v>
      </c>
      <c r="BH108" s="1327">
        <v>31.1816</v>
      </c>
      <c r="BI108" s="2161">
        <f t="shared" si="194"/>
        <v>125.4268</v>
      </c>
      <c r="BJ108" s="2484">
        <v>32</v>
      </c>
      <c r="BK108" s="2484">
        <v>32</v>
      </c>
      <c r="BL108" s="2484">
        <v>32</v>
      </c>
      <c r="BM108" s="2484">
        <f t="shared" si="195"/>
        <v>32.814094264380429</v>
      </c>
      <c r="BN108" s="2161">
        <f>'New split'!O278</f>
        <v>128.81409426438043</v>
      </c>
      <c r="BO108" s="1699"/>
      <c r="BP108" s="1323"/>
      <c r="BQ108" s="2040"/>
      <c r="BR108" s="1293"/>
      <c r="BS108" s="1293"/>
      <c r="BT108" s="1699"/>
      <c r="BU108" s="1699"/>
      <c r="BV108" s="1699"/>
      <c r="BW108" s="1699"/>
      <c r="BX108" s="1293"/>
      <c r="BY108" s="1724"/>
      <c r="BZ108" s="1293"/>
      <c r="CA108" s="1293"/>
      <c r="CB108" s="1293"/>
      <c r="CC108" s="1293"/>
      <c r="CD108" s="1293"/>
      <c r="CE108" s="1293"/>
      <c r="CF108" s="1293"/>
      <c r="CG108" s="1293"/>
      <c r="CH108" s="1293"/>
      <c r="CI108" s="1293"/>
      <c r="CJ108" s="1293"/>
      <c r="CK108" s="1293"/>
      <c r="CL108" s="1293"/>
      <c r="CM108" s="1293"/>
      <c r="CN108" s="1293"/>
      <c r="CO108" s="1293"/>
      <c r="CP108" s="1293"/>
      <c r="CQ108" s="1293"/>
      <c r="CR108" s="1293"/>
      <c r="CS108" s="1293"/>
      <c r="CT108" s="1293"/>
      <c r="CU108" s="1293"/>
      <c r="CV108" s="1293"/>
      <c r="CW108" s="1293"/>
      <c r="CX108" s="1293"/>
      <c r="CY108" s="2041"/>
      <c r="CZ108" s="1699"/>
      <c r="DA108" s="2042"/>
      <c r="DB108" s="2041"/>
      <c r="DC108" s="1293"/>
      <c r="DD108" s="1293"/>
      <c r="DE108" s="1293"/>
      <c r="DF108" s="1293"/>
      <c r="DG108" s="1293"/>
      <c r="DH108" s="1293"/>
      <c r="DI108" s="1293"/>
      <c r="DJ108" s="1293"/>
      <c r="DK108" s="1293"/>
      <c r="DL108" s="1293"/>
    </row>
    <row r="109" spans="1:116" ht="15.75" hidden="1" outlineLevel="1">
      <c r="A109" s="1293"/>
      <c r="B109" s="1982" t="str">
        <f t="shared" si="188"/>
        <v>Costa Rica/old Nicaragua</v>
      </c>
      <c r="C109" s="1699">
        <f>C113-C103-C104-C105</f>
        <v>18.877873107341358</v>
      </c>
      <c r="D109" s="1699">
        <f>D113-D103-D104-D105</f>
        <v>18.486075867698688</v>
      </c>
      <c r="E109" s="1699">
        <f>E113-E103-E104-E105</f>
        <v>13.715783613994532</v>
      </c>
      <c r="F109" s="1699">
        <f>F113-F103-F104-F105</f>
        <v>16.916308012683729</v>
      </c>
      <c r="G109" s="2039">
        <f>SUM(C109:F109)</f>
        <v>67.996040601718306</v>
      </c>
      <c r="H109" s="1699">
        <f t="shared" ref="H109:P109" si="198">H113-H103-H104-H105</f>
        <v>15.516917113373125</v>
      </c>
      <c r="I109" s="1699">
        <f t="shared" si="198"/>
        <v>14.17000665938474</v>
      </c>
      <c r="J109" s="1699">
        <f t="shared" si="198"/>
        <v>14.602901986545959</v>
      </c>
      <c r="K109" s="1699">
        <f t="shared" si="198"/>
        <v>18.542933729672257</v>
      </c>
      <c r="L109" s="2039">
        <f t="shared" si="198"/>
        <v>62.832759488976023</v>
      </c>
      <c r="M109" s="1699">
        <f t="shared" si="198"/>
        <v>15.69298571656725</v>
      </c>
      <c r="N109" s="1699">
        <f t="shared" si="198"/>
        <v>14.839112595712749</v>
      </c>
      <c r="O109" s="1699">
        <f t="shared" si="198"/>
        <v>16.103217542553892</v>
      </c>
      <c r="P109" s="1699">
        <f t="shared" si="198"/>
        <v>16</v>
      </c>
      <c r="Q109" s="1293">
        <f>SUM(M109:P109)</f>
        <v>62.635315854833891</v>
      </c>
      <c r="R109" s="1699">
        <f>R113-R103-R104-R105</f>
        <v>16</v>
      </c>
      <c r="S109" s="1699">
        <f>S113-S103-S104-S105</f>
        <v>14</v>
      </c>
      <c r="T109" s="1699">
        <f>T113-T103-T104-T105</f>
        <v>16</v>
      </c>
      <c r="U109" s="1699">
        <f>U113-U103-U104-U105</f>
        <v>15</v>
      </c>
      <c r="V109" s="1293">
        <f>SUM(R109:U109)</f>
        <v>61</v>
      </c>
      <c r="W109" s="1699">
        <f>0.384*W9</f>
        <v>14.208</v>
      </c>
      <c r="X109" s="1699">
        <f>S109*0.975</f>
        <v>13.65</v>
      </c>
      <c r="Y109" s="1699">
        <f>T109*0.986</f>
        <v>15.776</v>
      </c>
      <c r="Z109" s="1986">
        <v>17</v>
      </c>
      <c r="AA109" s="1293">
        <f>SUM(W109:Z109)</f>
        <v>60.634</v>
      </c>
      <c r="AB109" s="1699">
        <f>AC109*1.05</f>
        <v>15.225000000000001</v>
      </c>
      <c r="AC109" s="1986">
        <v>14.5</v>
      </c>
      <c r="AD109" s="1699">
        <f>AE109*1.05</f>
        <v>13.65</v>
      </c>
      <c r="AE109" s="1986">
        <v>13</v>
      </c>
      <c r="AF109" s="1699">
        <f>AG109*1.05</f>
        <v>14.175000000000001</v>
      </c>
      <c r="AG109" s="1986">
        <v>13.5</v>
      </c>
      <c r="AH109" s="1699">
        <f>AF109</f>
        <v>14.175000000000001</v>
      </c>
      <c r="AI109" s="1293"/>
      <c r="AJ109" s="2039">
        <f t="shared" si="189"/>
        <v>57.224999999999994</v>
      </c>
      <c r="AK109" s="2085">
        <f>29+8-AK112</f>
        <v>19</v>
      </c>
      <c r="AL109" s="1995">
        <f>34-AL112</f>
        <v>17</v>
      </c>
      <c r="AM109" s="1995">
        <f>31-AM112</f>
        <v>14</v>
      </c>
      <c r="AN109" s="1995">
        <f>29-AN112</f>
        <v>12</v>
      </c>
      <c r="AO109" s="2039">
        <f t="shared" si="190"/>
        <v>62</v>
      </c>
      <c r="AP109" s="1503">
        <f>36-AP112</f>
        <v>19</v>
      </c>
      <c r="AQ109" s="1503">
        <f>38-AQ112</f>
        <v>21</v>
      </c>
      <c r="AR109" s="1503">
        <f>36-AR112</f>
        <v>19</v>
      </c>
      <c r="AS109" s="1503">
        <f>39-AS112</f>
        <v>22</v>
      </c>
      <c r="AT109" s="2161">
        <f t="shared" si="191"/>
        <v>81</v>
      </c>
      <c r="AU109" s="1998">
        <f>26+11-AU112</f>
        <v>19.100000000000001</v>
      </c>
      <c r="AV109" s="1998">
        <f>28+11-AV112</f>
        <v>21</v>
      </c>
      <c r="AW109" s="1998">
        <f>28+11-AW112</f>
        <v>21</v>
      </c>
      <c r="AX109" s="1998">
        <f>28+12-AX112</f>
        <v>22</v>
      </c>
      <c r="AY109" s="2161">
        <f t="shared" si="192"/>
        <v>83.1</v>
      </c>
      <c r="AZ109" s="2463">
        <f>28+13-AZ112</f>
        <v>23</v>
      </c>
      <c r="BA109" s="2463">
        <f>28+13-BA112</f>
        <v>23</v>
      </c>
      <c r="BB109" s="2463">
        <f>28+15-BB112</f>
        <v>25</v>
      </c>
      <c r="BC109" s="2463">
        <f>29.051+15.674-BC112+1</f>
        <v>27.724999999999994</v>
      </c>
      <c r="BD109" s="2161">
        <f t="shared" si="193"/>
        <v>98.724999999999994</v>
      </c>
      <c r="BE109" s="2463">
        <v>28</v>
      </c>
      <c r="BF109" s="2463">
        <f>BE109</f>
        <v>28</v>
      </c>
      <c r="BG109" s="2463">
        <f>BF109</f>
        <v>28</v>
      </c>
      <c r="BH109" s="1327">
        <f ca="1">BI109-BE109-BF109-BG109</f>
        <v>14.724999999999994</v>
      </c>
      <c r="BI109" s="2161">
        <f t="shared" ca="1" si="194"/>
        <v>98.724999999999994</v>
      </c>
      <c r="BJ109" s="2463"/>
      <c r="BK109" s="2463"/>
      <c r="BL109" s="2463"/>
      <c r="BM109" s="2463"/>
      <c r="BN109" s="2161">
        <f t="shared" ref="BN109:BN110" ca="1" si="199">BF109+BG109+BH109+BI109</f>
        <v>169.45</v>
      </c>
      <c r="BO109" s="1699"/>
      <c r="BP109" s="1323"/>
      <c r="BQ109" s="2040"/>
      <c r="BR109" s="1293"/>
      <c r="BS109" s="1293"/>
      <c r="BT109" s="1699">
        <f t="shared" ref="BT109:BW113" si="200">AK9-AK109</f>
        <v>26</v>
      </c>
      <c r="BU109" s="1699">
        <f t="shared" si="200"/>
        <v>24</v>
      </c>
      <c r="BV109" s="1699">
        <f t="shared" si="200"/>
        <v>23</v>
      </c>
      <c r="BW109" s="1699">
        <f t="shared" si="200"/>
        <v>28</v>
      </c>
      <c r="BX109" s="1293"/>
      <c r="BY109" s="1724">
        <f t="shared" si="197"/>
        <v>-7.6923076923076872E-2</v>
      </c>
      <c r="BZ109" s="1293"/>
      <c r="CA109" s="1293"/>
      <c r="CB109" s="1293"/>
      <c r="CC109" s="1293"/>
      <c r="CD109" s="1293"/>
      <c r="CE109" s="1293"/>
      <c r="CF109" s="1293"/>
      <c r="CG109" s="1293"/>
      <c r="CH109" s="1293"/>
      <c r="CI109" s="1293"/>
      <c r="CJ109" s="1293"/>
      <c r="CK109" s="1293"/>
      <c r="CL109" s="1293"/>
      <c r="CM109" s="1293"/>
      <c r="CN109" s="1293"/>
      <c r="CO109" s="1293"/>
      <c r="CP109" s="1293"/>
      <c r="CQ109" s="1293"/>
      <c r="CR109" s="1293"/>
      <c r="CS109" s="1293"/>
      <c r="CT109" s="1293"/>
      <c r="CU109" s="1293"/>
      <c r="CV109" s="1293"/>
      <c r="CW109" s="1293"/>
      <c r="CX109" s="1293"/>
      <c r="CY109" s="2041">
        <v>24.733479924440317</v>
      </c>
      <c r="CZ109" s="1699">
        <f>CZ185*CZ9</f>
        <v>23.827697499999999</v>
      </c>
      <c r="DA109" s="2042">
        <v>28.572830642191168</v>
      </c>
      <c r="DB109" s="2041">
        <v>29.597751338256547</v>
      </c>
      <c r="DC109" s="1293"/>
      <c r="DD109" s="1293"/>
      <c r="DE109" s="1293"/>
      <c r="DF109" s="1293"/>
      <c r="DG109" s="1293"/>
      <c r="DH109" s="1293"/>
      <c r="DI109" s="1293"/>
      <c r="DJ109" s="1293"/>
      <c r="DK109" s="1293"/>
      <c r="DL109" s="1293"/>
    </row>
    <row r="110" spans="1:116" ht="15.75" hidden="1" outlineLevel="1">
      <c r="A110" s="1293"/>
      <c r="B110" s="1982" t="str">
        <f t="shared" si="188"/>
        <v>Panama wireless</v>
      </c>
      <c r="C110" s="1699"/>
      <c r="D110" s="1699"/>
      <c r="E110" s="1699"/>
      <c r="F110" s="1699"/>
      <c r="G110" s="1699"/>
      <c r="H110" s="1699"/>
      <c r="I110" s="1699"/>
      <c r="J110" s="1699"/>
      <c r="K110" s="1699"/>
      <c r="L110" s="1699"/>
      <c r="M110" s="1699"/>
      <c r="N110" s="1699"/>
      <c r="O110" s="1699"/>
      <c r="P110" s="1699"/>
      <c r="Q110" s="2039"/>
      <c r="R110" s="1699"/>
      <c r="S110" s="1699"/>
      <c r="T110" s="1699"/>
      <c r="U110" s="1699"/>
      <c r="V110" s="2039"/>
      <c r="W110" s="1699"/>
      <c r="X110" s="1699"/>
      <c r="Y110" s="1699"/>
      <c r="Z110" s="1699"/>
      <c r="AA110" s="2039"/>
      <c r="AB110" s="1699"/>
      <c r="AC110" s="1699"/>
      <c r="AD110" s="1699"/>
      <c r="AE110" s="1699"/>
      <c r="AF110" s="1699">
        <v>10</v>
      </c>
      <c r="AG110" s="1293">
        <v>9</v>
      </c>
      <c r="AH110" s="1293">
        <f>0.45*AH10</f>
        <v>27.900000000000002</v>
      </c>
      <c r="AI110" s="1293"/>
      <c r="AJ110" s="2039">
        <f t="shared" si="189"/>
        <v>37.900000000000006</v>
      </c>
      <c r="AK110" s="1986">
        <v>28</v>
      </c>
      <c r="AL110" s="1986">
        <v>25</v>
      </c>
      <c r="AM110" s="1986">
        <f>AL110</f>
        <v>25</v>
      </c>
      <c r="AN110" s="1986">
        <v>26</v>
      </c>
      <c r="AO110" s="2039">
        <f t="shared" si="190"/>
        <v>104</v>
      </c>
      <c r="AP110" s="2337">
        <v>27</v>
      </c>
      <c r="AQ110" s="2337">
        <v>25</v>
      </c>
      <c r="AR110" s="2337">
        <v>25</v>
      </c>
      <c r="AS110" s="2337">
        <v>25</v>
      </c>
      <c r="AT110" s="2161">
        <f t="shared" si="191"/>
        <v>102</v>
      </c>
      <c r="AU110" s="2337">
        <v>25.5</v>
      </c>
      <c r="AV110" s="2337">
        <v>27</v>
      </c>
      <c r="AW110" s="2337">
        <v>27</v>
      </c>
      <c r="AX110" s="2337">
        <v>28</v>
      </c>
      <c r="AY110" s="2161">
        <f t="shared" si="192"/>
        <v>107.5</v>
      </c>
      <c r="AZ110" s="2337">
        <v>28</v>
      </c>
      <c r="BA110" s="2337">
        <v>28</v>
      </c>
      <c r="BB110" s="2337">
        <f>BA110</f>
        <v>28</v>
      </c>
      <c r="BC110" s="2337">
        <f>BB110</f>
        <v>28</v>
      </c>
      <c r="BD110" s="2161">
        <f t="shared" si="193"/>
        <v>112</v>
      </c>
      <c r="BE110" s="2480">
        <v>30</v>
      </c>
      <c r="BF110" s="2480">
        <f>BE110</f>
        <v>30</v>
      </c>
      <c r="BG110" s="2480">
        <f>BF110</f>
        <v>30</v>
      </c>
      <c r="BH110" s="1327">
        <f ca="1">BI110-BE110-BF110-BG110</f>
        <v>22</v>
      </c>
      <c r="BI110" s="2161">
        <f t="shared" ca="1" si="194"/>
        <v>112</v>
      </c>
      <c r="BJ110" s="2480"/>
      <c r="BK110" s="2480"/>
      <c r="BL110" s="2480"/>
      <c r="BM110" s="2480"/>
      <c r="BN110" s="2161">
        <f t="shared" ca="1" si="199"/>
        <v>194</v>
      </c>
      <c r="BO110" s="1699"/>
      <c r="BP110" s="1323"/>
      <c r="BQ110" s="2040"/>
      <c r="BR110" s="1293"/>
      <c r="BS110" s="1293"/>
      <c r="BT110" s="1699">
        <f t="shared" si="200"/>
        <v>27</v>
      </c>
      <c r="BU110" s="1699">
        <f t="shared" si="200"/>
        <v>25</v>
      </c>
      <c r="BV110" s="1699">
        <f t="shared" si="200"/>
        <v>25</v>
      </c>
      <c r="BW110" s="1699">
        <f t="shared" si="200"/>
        <v>28</v>
      </c>
      <c r="BX110" s="1293"/>
      <c r="BY110" s="1724">
        <f t="shared" si="197"/>
        <v>-7.407407407407407E-2</v>
      </c>
      <c r="BZ110" s="1293"/>
      <c r="CA110" s="1293"/>
      <c r="CB110" s="1293"/>
      <c r="CC110" s="1293"/>
      <c r="CD110" s="1293"/>
      <c r="CE110" s="1293"/>
      <c r="CF110" s="1293"/>
      <c r="CG110" s="1293"/>
      <c r="CH110" s="1293"/>
      <c r="CI110" s="1293"/>
      <c r="CJ110" s="1293"/>
      <c r="CK110" s="1293"/>
      <c r="CL110" s="1293"/>
      <c r="CM110" s="1293"/>
      <c r="CN110" s="1293"/>
      <c r="CO110" s="1293"/>
      <c r="CP110" s="1293"/>
      <c r="CQ110" s="1293"/>
      <c r="CR110" s="1293"/>
      <c r="CS110" s="1293"/>
      <c r="CT110" s="1293"/>
      <c r="CU110" s="1293"/>
      <c r="CV110" s="1293"/>
      <c r="CW110" s="1293"/>
      <c r="CX110" s="1293"/>
      <c r="CY110" s="2041">
        <v>27.931005002142854</v>
      </c>
      <c r="CZ110" s="1699">
        <f>CZ186*CZ10</f>
        <v>26.88</v>
      </c>
      <c r="DA110" s="2042">
        <v>26.68</v>
      </c>
      <c r="DB110" s="2041">
        <v>30.09</v>
      </c>
      <c r="DC110" s="1293"/>
      <c r="DD110" s="1293"/>
      <c r="DE110" s="1293"/>
      <c r="DF110" s="1293"/>
      <c r="DG110" s="1293"/>
      <c r="DH110" s="1293"/>
      <c r="DI110" s="1293"/>
      <c r="DJ110" s="1293"/>
      <c r="DK110" s="1293"/>
      <c r="DL110" s="1293"/>
    </row>
    <row r="111" spans="1:116" ht="15.75" hidden="1" outlineLevel="1">
      <c r="A111" s="1293"/>
      <c r="B111" s="1982" t="str">
        <f t="shared" si="188"/>
        <v>Costa Rica wireless</v>
      </c>
      <c r="C111" s="1699"/>
      <c r="D111" s="1699"/>
      <c r="E111" s="1699"/>
      <c r="F111" s="1699"/>
      <c r="G111" s="1699"/>
      <c r="H111" s="1699"/>
      <c r="I111" s="1699"/>
      <c r="J111" s="1699"/>
      <c r="K111" s="1699"/>
      <c r="L111" s="1699"/>
      <c r="M111" s="1699"/>
      <c r="N111" s="1699"/>
      <c r="O111" s="1699"/>
      <c r="P111" s="1699"/>
      <c r="Q111" s="2039"/>
      <c r="R111" s="1699"/>
      <c r="S111" s="1699"/>
      <c r="T111" s="1699"/>
      <c r="U111" s="1699"/>
      <c r="V111" s="2039"/>
      <c r="W111" s="1699"/>
      <c r="X111" s="1699"/>
      <c r="Y111" s="1699"/>
      <c r="Z111" s="1699"/>
      <c r="AA111" s="2039"/>
      <c r="AB111" s="1699"/>
      <c r="AC111" s="1699"/>
      <c r="AD111" s="1699"/>
      <c r="AE111" s="1699"/>
      <c r="AF111" s="1699"/>
      <c r="AG111" s="1699"/>
      <c r="AH111" s="1699"/>
      <c r="AI111" s="1699"/>
      <c r="AJ111" s="2039">
        <f t="shared" si="189"/>
        <v>0</v>
      </c>
      <c r="AK111" s="1699"/>
      <c r="AL111" s="1699"/>
      <c r="AM111" s="1699"/>
      <c r="AN111" s="1699"/>
      <c r="AO111" s="2039"/>
      <c r="AP111" s="1327"/>
      <c r="AQ111" s="1327"/>
      <c r="AR111" s="1327"/>
      <c r="AS111" s="1327"/>
      <c r="AT111" s="2161"/>
      <c r="AU111" s="1327"/>
      <c r="AV111" s="1327"/>
      <c r="AW111" s="1327"/>
      <c r="AX111" s="1327"/>
      <c r="AY111" s="2161"/>
      <c r="AZ111" s="1327"/>
      <c r="BA111" s="1327"/>
      <c r="BB111" s="1327"/>
      <c r="BC111" s="1327"/>
      <c r="BD111" s="2161"/>
      <c r="BE111" s="1327"/>
      <c r="BF111" s="1327"/>
      <c r="BG111" s="1327"/>
      <c r="BH111" s="1327"/>
      <c r="BI111" s="2161"/>
      <c r="BJ111" s="1327"/>
      <c r="BK111" s="1327"/>
      <c r="BL111" s="1327"/>
      <c r="BM111" s="1327"/>
      <c r="BN111" s="2161"/>
      <c r="BO111" s="1699"/>
      <c r="BP111" s="1323"/>
      <c r="BQ111" s="2040"/>
      <c r="BR111" s="1293"/>
      <c r="BS111" s="1293"/>
      <c r="BT111" s="1699">
        <f t="shared" si="200"/>
        <v>0</v>
      </c>
      <c r="BU111" s="1699">
        <f t="shared" si="200"/>
        <v>0</v>
      </c>
      <c r="BV111" s="1699">
        <f t="shared" si="200"/>
        <v>0</v>
      </c>
      <c r="BW111" s="1699">
        <f t="shared" si="200"/>
        <v>0</v>
      </c>
      <c r="BX111" s="1293"/>
      <c r="BY111" s="1724" t="e">
        <f t="shared" si="197"/>
        <v>#DIV/0!</v>
      </c>
      <c r="BZ111" s="1293"/>
      <c r="CA111" s="1293"/>
      <c r="CB111" s="1293"/>
      <c r="CC111" s="1293"/>
      <c r="CD111" s="1293"/>
      <c r="CE111" s="1293"/>
      <c r="CF111" s="1293"/>
      <c r="CG111" s="1293"/>
      <c r="CH111" s="1293"/>
      <c r="CI111" s="1293"/>
      <c r="CJ111" s="1293"/>
      <c r="CK111" s="1293"/>
      <c r="CL111" s="1293"/>
      <c r="CM111" s="1293"/>
      <c r="CN111" s="1293"/>
      <c r="CO111" s="1293"/>
      <c r="CP111" s="1293"/>
      <c r="CQ111" s="1293"/>
      <c r="CR111" s="1293"/>
      <c r="CS111" s="1293"/>
      <c r="CT111" s="1293"/>
      <c r="CU111" s="1293"/>
      <c r="CV111" s="1293"/>
      <c r="CW111" s="1293"/>
      <c r="CX111" s="1293"/>
      <c r="CY111" s="2041"/>
      <c r="CZ111" s="1699"/>
      <c r="DA111" s="2042"/>
      <c r="DB111" s="2041"/>
      <c r="DC111" s="1293"/>
      <c r="DD111" s="1293"/>
      <c r="DE111" s="1293"/>
      <c r="DF111" s="1293"/>
      <c r="DG111" s="1293"/>
      <c r="DH111" s="1293"/>
      <c r="DI111" s="1293"/>
      <c r="DJ111" s="1293"/>
      <c r="DK111" s="1293"/>
      <c r="DL111" s="1293"/>
    </row>
    <row r="112" spans="1:116" ht="15.75" hidden="1" outlineLevel="1">
      <c r="A112" s="1293"/>
      <c r="B112" s="1982" t="str">
        <f t="shared" si="188"/>
        <v>Nicaragua wireless</v>
      </c>
      <c r="C112" s="1699"/>
      <c r="D112" s="1699"/>
      <c r="E112" s="1699"/>
      <c r="F112" s="1699"/>
      <c r="G112" s="1699"/>
      <c r="H112" s="1699"/>
      <c r="I112" s="1699"/>
      <c r="J112" s="1699"/>
      <c r="K112" s="1699"/>
      <c r="L112" s="1699"/>
      <c r="M112" s="1699"/>
      <c r="N112" s="1699"/>
      <c r="O112" s="1699"/>
      <c r="P112" s="1699"/>
      <c r="Q112" s="2039"/>
      <c r="R112" s="1699"/>
      <c r="S112" s="1699"/>
      <c r="T112" s="1699"/>
      <c r="U112" s="1699"/>
      <c r="V112" s="2039"/>
      <c r="W112" s="1699"/>
      <c r="X112" s="1699"/>
      <c r="Y112" s="1699"/>
      <c r="Z112" s="1699"/>
      <c r="AA112" s="2039"/>
      <c r="AB112" s="1699"/>
      <c r="AC112" s="1699"/>
      <c r="AD112" s="1699">
        <v>17</v>
      </c>
      <c r="AE112" s="1699">
        <f>AD112</f>
        <v>17</v>
      </c>
      <c r="AF112" s="1699">
        <v>25</v>
      </c>
      <c r="AG112" s="1699">
        <f>AF112*0.9</f>
        <v>22.5</v>
      </c>
      <c r="AH112" s="1699">
        <v>26</v>
      </c>
      <c r="AI112" s="1699"/>
      <c r="AJ112" s="2039">
        <f t="shared" si="189"/>
        <v>68</v>
      </c>
      <c r="AK112" s="2103">
        <v>18</v>
      </c>
      <c r="AL112" s="1986">
        <v>17</v>
      </c>
      <c r="AM112" s="1986">
        <f>AL112</f>
        <v>17</v>
      </c>
      <c r="AN112" s="1986">
        <v>17</v>
      </c>
      <c r="AO112" s="2039">
        <f>AK112+AL112+AM112+AN112</f>
        <v>69</v>
      </c>
      <c r="AP112" s="2337">
        <v>17</v>
      </c>
      <c r="AQ112" s="2337">
        <f>AP112</f>
        <v>17</v>
      </c>
      <c r="AR112" s="2337">
        <f>AQ112</f>
        <v>17</v>
      </c>
      <c r="AS112" s="2337">
        <f>AR112</f>
        <v>17</v>
      </c>
      <c r="AT112" s="2161">
        <f t="shared" si="191"/>
        <v>68</v>
      </c>
      <c r="AU112" s="2337">
        <v>17.899999999999999</v>
      </c>
      <c r="AV112" s="2337">
        <v>18</v>
      </c>
      <c r="AW112" s="2337">
        <v>18</v>
      </c>
      <c r="AX112" s="2337">
        <v>18</v>
      </c>
      <c r="AY112" s="2161">
        <f t="shared" si="192"/>
        <v>71.900000000000006</v>
      </c>
      <c r="AZ112" s="2337">
        <v>18</v>
      </c>
      <c r="BA112" s="2337">
        <v>18</v>
      </c>
      <c r="BB112" s="2337">
        <f>BA112</f>
        <v>18</v>
      </c>
      <c r="BC112" s="2337">
        <f>BB112</f>
        <v>18</v>
      </c>
      <c r="BD112" s="2161">
        <f t="shared" si="193"/>
        <v>72</v>
      </c>
      <c r="BE112" s="2480">
        <v>18</v>
      </c>
      <c r="BF112" s="2480">
        <f>BE112</f>
        <v>18</v>
      </c>
      <c r="BG112" s="2480">
        <f>BF112</f>
        <v>18</v>
      </c>
      <c r="BH112" s="1327">
        <f ca="1">BI112-BE112-BF112-BG112</f>
        <v>18</v>
      </c>
      <c r="BI112" s="2161">
        <f t="shared" ca="1" si="194"/>
        <v>72</v>
      </c>
      <c r="BJ112" s="2480"/>
      <c r="BK112" s="2480"/>
      <c r="BL112" s="2480"/>
      <c r="BM112" s="2480"/>
      <c r="BN112" s="2161">
        <f ca="1">BF112+BG112+BH112+BI112</f>
        <v>126</v>
      </c>
      <c r="BO112" s="1699"/>
      <c r="BP112" s="1323"/>
      <c r="BQ112" s="2040"/>
      <c r="BR112" s="1293"/>
      <c r="BS112" s="1293"/>
      <c r="BT112" s="1703">
        <f t="shared" si="200"/>
        <v>33</v>
      </c>
      <c r="BU112" s="1703">
        <f t="shared" si="200"/>
        <v>32</v>
      </c>
      <c r="BV112" s="1703">
        <f t="shared" si="200"/>
        <v>32</v>
      </c>
      <c r="BW112" s="1703">
        <f t="shared" si="200"/>
        <v>33</v>
      </c>
      <c r="BX112" s="1293"/>
      <c r="BY112" s="1724">
        <f t="shared" si="197"/>
        <v>-3.0303030303030276E-2</v>
      </c>
      <c r="BZ112" s="1293"/>
      <c r="CA112" s="1293"/>
      <c r="CB112" s="1293"/>
      <c r="CC112" s="1293"/>
      <c r="CD112" s="1293"/>
      <c r="CE112" s="1293"/>
      <c r="CF112" s="1293"/>
      <c r="CG112" s="1293"/>
      <c r="CH112" s="1293"/>
      <c r="CI112" s="1293"/>
      <c r="CJ112" s="1293"/>
      <c r="CK112" s="1293"/>
      <c r="CL112" s="1293"/>
      <c r="CM112" s="1293"/>
      <c r="CN112" s="1293"/>
      <c r="CO112" s="1293"/>
      <c r="CP112" s="1293"/>
      <c r="CQ112" s="1293"/>
      <c r="CR112" s="1293"/>
      <c r="CS112" s="1293"/>
      <c r="CT112" s="1293"/>
      <c r="CU112" s="1293"/>
      <c r="CV112" s="1293"/>
      <c r="CW112" s="1293"/>
      <c r="CX112" s="1293"/>
      <c r="CY112" s="2041">
        <v>18.007590079564338</v>
      </c>
      <c r="CZ112" s="1985">
        <v>18</v>
      </c>
      <c r="DA112" s="2104">
        <v>19.002002937662816</v>
      </c>
      <c r="DB112" s="2105">
        <v>20</v>
      </c>
      <c r="DC112" s="1293"/>
      <c r="DD112" s="1293"/>
      <c r="DE112" s="1293"/>
      <c r="DF112" s="1293"/>
      <c r="DG112" s="1293"/>
      <c r="DH112" s="1293"/>
      <c r="DI112" s="1293"/>
      <c r="DJ112" s="1293"/>
      <c r="DK112" s="1293"/>
      <c r="DL112" s="1293"/>
    </row>
    <row r="113" spans="1:116" ht="15.75" collapsed="1">
      <c r="A113" s="1293"/>
      <c r="B113" s="1375" t="str">
        <f t="shared" si="188"/>
        <v>Central America</v>
      </c>
      <c r="C113" s="1984">
        <v>285.84851290737316</v>
      </c>
      <c r="D113" s="1984">
        <v>290.7960074605337</v>
      </c>
      <c r="E113" s="1984">
        <v>281.70742620690612</v>
      </c>
      <c r="F113" s="1984">
        <v>294.65911906823123</v>
      </c>
      <c r="G113" s="2052">
        <f>SUM(C113:F113)</f>
        <v>1153.0110656430443</v>
      </c>
      <c r="H113" s="1984">
        <v>290.69870817997804</v>
      </c>
      <c r="I113" s="1984">
        <v>291.30654374095303</v>
      </c>
      <c r="J113" s="1984">
        <v>292.34707824868104</v>
      </c>
      <c r="K113" s="1984">
        <v>282.43748934673596</v>
      </c>
      <c r="L113" s="2052">
        <v>1156.789819516348</v>
      </c>
      <c r="M113" s="1984">
        <v>285.07396602219706</v>
      </c>
      <c r="N113" s="1984">
        <v>265.70305261919196</v>
      </c>
      <c r="O113" s="1984">
        <v>271.67357414957502</v>
      </c>
      <c r="P113" s="1984">
        <v>276</v>
      </c>
      <c r="Q113" s="2052">
        <f>SUM(M113:P113)</f>
        <v>1098.450592790964</v>
      </c>
      <c r="R113" s="2106">
        <f>538-7-R119</f>
        <v>274</v>
      </c>
      <c r="S113" s="1984">
        <f>522-S119</f>
        <v>280</v>
      </c>
      <c r="T113" s="1984">
        <f>539-T119</f>
        <v>297</v>
      </c>
      <c r="U113" s="1984">
        <f>552-U119</f>
        <v>295</v>
      </c>
      <c r="V113" s="2052">
        <f>SUM(R113:U113)</f>
        <v>1146</v>
      </c>
      <c r="W113" s="1984">
        <f>W103+W104+W105+W109</f>
        <v>286.20800000000003</v>
      </c>
      <c r="X113" s="1984">
        <f>X103+X104+X105+X109</f>
        <v>283.64999999999998</v>
      </c>
      <c r="Y113" s="1984">
        <f>Y103+Y104+Y105+Y109</f>
        <v>284.77600000000001</v>
      </c>
      <c r="Z113" s="1984">
        <f>Z103+Z104+Z105+Z109+Z106</f>
        <v>301</v>
      </c>
      <c r="AA113" s="2052">
        <f>SUM(AA103:AA109)</f>
        <v>1155.634</v>
      </c>
      <c r="AB113" s="1984">
        <f>AB103+AB104+AB105+AB109+AB106</f>
        <v>350.22500000000002</v>
      </c>
      <c r="AC113" s="1984">
        <f>SUM(AC103:AC109)</f>
        <v>333.48400000000004</v>
      </c>
      <c r="AD113" s="1984">
        <f>SUM(AD103:AD112)</f>
        <v>365.65</v>
      </c>
      <c r="AE113" s="1984">
        <f>SUM(AE103:AE112)</f>
        <v>345.02100000000002</v>
      </c>
      <c r="AF113" s="1984">
        <f>SUM(AF103:AF112)</f>
        <v>391.17500000000001</v>
      </c>
      <c r="AG113" s="1984">
        <f>SUM(AG103:AG112)</f>
        <v>365.96100000000001</v>
      </c>
      <c r="AH113" s="1984">
        <f>SUM(AH103:AH112)</f>
        <v>410.17500000000001</v>
      </c>
      <c r="AI113" s="1984"/>
      <c r="AJ113" s="2052">
        <f t="shared" ref="AJ113:AT113" si="201">SUM(AJ103:AJ112)</f>
        <v>1517.2249999999999</v>
      </c>
      <c r="AK113" s="1984">
        <f t="shared" si="201"/>
        <v>399</v>
      </c>
      <c r="AL113" s="1984">
        <f t="shared" si="201"/>
        <v>358</v>
      </c>
      <c r="AM113" s="1984">
        <f t="shared" si="201"/>
        <v>378</v>
      </c>
      <c r="AN113" s="1984">
        <f t="shared" si="201"/>
        <v>412</v>
      </c>
      <c r="AO113" s="2052">
        <f t="shared" si="201"/>
        <v>1547</v>
      </c>
      <c r="AP113" s="1991">
        <f t="shared" si="201"/>
        <v>424</v>
      </c>
      <c r="AQ113" s="1991">
        <f t="shared" si="201"/>
        <v>427</v>
      </c>
      <c r="AR113" s="1991">
        <f t="shared" si="201"/>
        <v>424</v>
      </c>
      <c r="AS113" s="1991">
        <f t="shared" si="201"/>
        <v>433</v>
      </c>
      <c r="AT113" s="2465">
        <f t="shared" si="201"/>
        <v>1708</v>
      </c>
      <c r="AU113" s="1991">
        <f t="shared" ref="AU113:BM113" si="202">SUM(AU103:AU108)</f>
        <v>432.23649999999998</v>
      </c>
      <c r="AV113" s="1991">
        <f t="shared" si="202"/>
        <v>442.17900000000003</v>
      </c>
      <c r="AW113" s="1991">
        <f t="shared" si="202"/>
        <v>426.15940000000001</v>
      </c>
      <c r="AX113" s="1991">
        <f t="shared" si="202"/>
        <v>445.71960000000001</v>
      </c>
      <c r="AY113" s="2465">
        <f t="shared" si="202"/>
        <v>1746.2945</v>
      </c>
      <c r="AZ113" s="1991">
        <f t="shared" si="202"/>
        <v>421.31109999999995</v>
      </c>
      <c r="BA113" s="1991">
        <f t="shared" si="202"/>
        <v>425.60589999999996</v>
      </c>
      <c r="BB113" s="1991">
        <f t="shared" si="202"/>
        <v>434.9676</v>
      </c>
      <c r="BC113" s="1991">
        <f t="shared" si="202"/>
        <v>463.25610000000006</v>
      </c>
      <c r="BD113" s="2465">
        <f t="shared" si="202"/>
        <v>1745.1406999999999</v>
      </c>
      <c r="BE113" s="1991">
        <f t="shared" si="202"/>
        <v>477.92849999999999</v>
      </c>
      <c r="BF113" s="1991">
        <f t="shared" si="202"/>
        <v>477.03630000000004</v>
      </c>
      <c r="BG113" s="1991">
        <f t="shared" si="202"/>
        <v>483.28500000000003</v>
      </c>
      <c r="BH113" s="1991">
        <f t="shared" si="202"/>
        <v>475.91440000000006</v>
      </c>
      <c r="BI113" s="2465">
        <f t="shared" ref="BI113:BN113" si="203">SUM(BI103:BI108)</f>
        <v>1914.1642000000002</v>
      </c>
      <c r="BJ113" s="1991">
        <f t="shared" si="202"/>
        <v>487</v>
      </c>
      <c r="BK113" s="1991">
        <f t="shared" si="202"/>
        <v>492</v>
      </c>
      <c r="BL113" s="1991">
        <f t="shared" si="202"/>
        <v>497</v>
      </c>
      <c r="BM113" s="1991">
        <f t="shared" si="202"/>
        <v>485.84850689501445</v>
      </c>
      <c r="BN113" s="2465">
        <f t="shared" si="203"/>
        <v>1961.8485068950147</v>
      </c>
      <c r="BO113" s="1699"/>
      <c r="BP113" s="1323"/>
      <c r="BQ113" s="2053"/>
      <c r="BR113" s="1293"/>
      <c r="BS113" s="1293"/>
      <c r="BT113" s="1699">
        <f t="shared" si="200"/>
        <v>455</v>
      </c>
      <c r="BU113" s="1699">
        <f t="shared" si="200"/>
        <v>440</v>
      </c>
      <c r="BV113" s="1699">
        <f t="shared" si="200"/>
        <v>465</v>
      </c>
      <c r="BW113" s="1699">
        <f t="shared" si="200"/>
        <v>486</v>
      </c>
      <c r="BX113" s="1293"/>
      <c r="BY113" s="1724">
        <f t="shared" si="197"/>
        <v>-3.2967032967032961E-2</v>
      </c>
      <c r="BZ113" s="1293"/>
      <c r="CA113" s="1293"/>
      <c r="CB113" s="1293"/>
      <c r="CC113" s="1293"/>
      <c r="CD113" s="1293"/>
      <c r="CE113" s="1293"/>
      <c r="CF113" s="1293"/>
      <c r="CG113" s="1293"/>
      <c r="CH113" s="1293"/>
      <c r="CI113" s="1293"/>
      <c r="CJ113" s="1293"/>
      <c r="CK113" s="1293"/>
      <c r="CL113" s="1293"/>
      <c r="CM113" s="1293"/>
      <c r="CN113" s="1293"/>
      <c r="CO113" s="1293"/>
      <c r="CP113" s="1293"/>
      <c r="CQ113" s="1293"/>
      <c r="CR113" s="1293"/>
      <c r="CS113" s="1293"/>
      <c r="CT113" s="1293"/>
      <c r="CU113" s="1293"/>
      <c r="CV113" s="1293"/>
      <c r="CW113" s="1293"/>
      <c r="CX113" s="1293"/>
      <c r="CY113" s="2107">
        <v>439.24095631645855</v>
      </c>
      <c r="CZ113" s="1699">
        <f>SUM(CZ105:CZ112)+SUM(CZ103:CZ104)</f>
        <v>450.47578950153775</v>
      </c>
      <c r="DA113" s="2042">
        <v>463.52282187807225</v>
      </c>
      <c r="DB113" s="2041">
        <v>479.27760673591445</v>
      </c>
      <c r="DC113" s="1293"/>
      <c r="DD113" s="1293"/>
      <c r="DE113" s="1293"/>
      <c r="DF113" s="1293"/>
      <c r="DG113" s="1293"/>
      <c r="DH113" s="1293"/>
      <c r="DI113" s="1293"/>
      <c r="DJ113" s="1293"/>
      <c r="DK113" s="1293"/>
      <c r="DL113" s="1293"/>
    </row>
    <row r="114" spans="1:116" ht="15.75">
      <c r="A114" s="1293"/>
      <c r="B114" s="1293"/>
      <c r="C114" s="1699"/>
      <c r="D114" s="1699"/>
      <c r="E114" s="1699"/>
      <c r="F114" s="1699"/>
      <c r="G114" s="2039"/>
      <c r="H114" s="1699"/>
      <c r="I114" s="1699"/>
      <c r="J114" s="1699"/>
      <c r="K114" s="1699"/>
      <c r="L114" s="2039"/>
      <c r="M114" s="1699"/>
      <c r="N114" s="1699"/>
      <c r="O114" s="1699"/>
      <c r="P114" s="1699"/>
      <c r="Q114" s="2039"/>
      <c r="R114" s="1699"/>
      <c r="S114" s="1699"/>
      <c r="T114" s="1699"/>
      <c r="U114" s="1699"/>
      <c r="V114" s="2039"/>
      <c r="W114" s="1699"/>
      <c r="X114" s="1699"/>
      <c r="Y114" s="1724"/>
      <c r="Z114" s="1724"/>
      <c r="AA114" s="2039"/>
      <c r="AB114" s="1699"/>
      <c r="AC114" s="1699"/>
      <c r="AD114" s="1699"/>
      <c r="AE114" s="1699"/>
      <c r="AF114" s="1699"/>
      <c r="AG114" s="1699"/>
      <c r="AH114" s="1699"/>
      <c r="AI114" s="1699"/>
      <c r="AJ114" s="2039"/>
      <c r="AK114" s="1699"/>
      <c r="AL114" s="1699"/>
      <c r="AM114" s="1699"/>
      <c r="AN114" s="1699"/>
      <c r="AO114" s="2039"/>
      <c r="AP114" s="1327"/>
      <c r="AQ114" s="1327"/>
      <c r="AR114" s="1327"/>
      <c r="AS114" s="1327"/>
      <c r="AT114" s="2161"/>
      <c r="AU114" s="1327"/>
      <c r="AV114" s="1327"/>
      <c r="AW114" s="1327"/>
      <c r="AX114" s="1327"/>
      <c r="AY114" s="2161"/>
      <c r="AZ114" s="1327"/>
      <c r="BA114" s="1327"/>
      <c r="BB114" s="1327"/>
      <c r="BC114" s="1327"/>
      <c r="BD114" s="2161"/>
      <c r="BE114" s="1327"/>
      <c r="BF114" s="1327"/>
      <c r="BG114" s="1327"/>
      <c r="BH114" s="1327"/>
      <c r="BI114" s="2161"/>
      <c r="BJ114" s="1327"/>
      <c r="BK114" s="1327"/>
      <c r="BL114" s="1327"/>
      <c r="BM114" s="1327"/>
      <c r="BN114" s="2161"/>
      <c r="BO114" s="1699"/>
      <c r="BP114" s="1323"/>
      <c r="BQ114" s="2040"/>
      <c r="BR114" s="1293"/>
      <c r="BS114" s="1293"/>
      <c r="BT114" s="1293"/>
      <c r="BU114" s="1293"/>
      <c r="BV114" s="1293"/>
      <c r="BW114" s="1293"/>
      <c r="BX114" s="1293"/>
      <c r="BY114" s="1293"/>
      <c r="BZ114" s="1293"/>
      <c r="CA114" s="1293"/>
      <c r="CB114" s="1293"/>
      <c r="CC114" s="1293"/>
      <c r="CD114" s="1293"/>
      <c r="CE114" s="1293"/>
      <c r="CF114" s="1293"/>
      <c r="CG114" s="1293"/>
      <c r="CH114" s="1293"/>
      <c r="CI114" s="1293"/>
      <c r="CJ114" s="1293"/>
      <c r="CK114" s="1293"/>
      <c r="CL114" s="1293"/>
      <c r="CM114" s="1293"/>
      <c r="CN114" s="1293"/>
      <c r="CO114" s="1293"/>
      <c r="CP114" s="1293"/>
      <c r="CQ114" s="1293"/>
      <c r="CR114" s="1293"/>
      <c r="CS114" s="1293"/>
      <c r="CT114" s="1293"/>
      <c r="CU114" s="1293"/>
      <c r="CV114" s="1293"/>
      <c r="CW114" s="1293"/>
      <c r="CX114" s="1293"/>
      <c r="CY114" s="2041"/>
      <c r="CZ114" s="1699"/>
      <c r="DA114" s="2083"/>
      <c r="DB114" s="2084"/>
      <c r="DC114" s="1293"/>
      <c r="DD114" s="1293"/>
      <c r="DE114" s="1293"/>
      <c r="DF114" s="1293"/>
      <c r="DG114" s="1293"/>
      <c r="DH114" s="1293"/>
      <c r="DI114" s="1293"/>
      <c r="DJ114" s="1293"/>
      <c r="DK114" s="1293"/>
      <c r="DL114" s="1293"/>
    </row>
    <row r="115" spans="1:116" ht="15.75">
      <c r="A115" s="1293"/>
      <c r="B115" s="1293" t="str">
        <f>B15</f>
        <v>Bolivia</v>
      </c>
      <c r="C115" s="1699">
        <v>44.0333078885674</v>
      </c>
      <c r="D115" s="1699">
        <v>41.866727505064702</v>
      </c>
      <c r="E115" s="1699">
        <v>43.391663104197498</v>
      </c>
      <c r="F115" s="1699">
        <v>45.914360479015201</v>
      </c>
      <c r="G115" s="2039">
        <v>175.20605897684482</v>
      </c>
      <c r="H115" s="1699">
        <v>47.850100884225803</v>
      </c>
      <c r="I115" s="1699">
        <v>46.633581952242899</v>
      </c>
      <c r="J115" s="1699">
        <v>48.821453986975506</v>
      </c>
      <c r="K115" s="1699">
        <v>53.221758020260594</v>
      </c>
      <c r="L115" s="2039">
        <v>196.52689484370478</v>
      </c>
      <c r="M115" s="1699">
        <v>53.442089257597601</v>
      </c>
      <c r="N115" s="1699">
        <v>50.130180293776803</v>
      </c>
      <c r="O115" s="1699">
        <v>51.918977460202797</v>
      </c>
      <c r="P115" s="1699">
        <v>59</v>
      </c>
      <c r="Q115" s="2039">
        <f>SUM(M115:P115)</f>
        <v>214.4912470115772</v>
      </c>
      <c r="R115" s="1699">
        <v>52</v>
      </c>
      <c r="S115" s="1699">
        <v>51</v>
      </c>
      <c r="T115" s="1699">
        <v>55</v>
      </c>
      <c r="U115" s="1699">
        <v>59</v>
      </c>
      <c r="V115" s="2039">
        <f>SUM(R115:U115)</f>
        <v>217</v>
      </c>
      <c r="W115" s="1986">
        <f>50+6</f>
        <v>56</v>
      </c>
      <c r="X115" s="1699">
        <v>59</v>
      </c>
      <c r="Y115" s="1699">
        <v>61</v>
      </c>
      <c r="Z115" s="1699">
        <v>62</v>
      </c>
      <c r="AA115" s="2039">
        <f>SUM(W115:Z115)</f>
        <v>238</v>
      </c>
      <c r="AB115" s="1699">
        <v>63</v>
      </c>
      <c r="AC115" s="1699">
        <f>AC191*AC15</f>
        <v>59.881999999999998</v>
      </c>
      <c r="AD115" s="1699">
        <v>64</v>
      </c>
      <c r="AE115" s="1699">
        <f>AE191*AE15</f>
        <v>62.307000000000002</v>
      </c>
      <c r="AF115" s="1699">
        <v>64</v>
      </c>
      <c r="AG115" s="1699">
        <f>AG191*AG15</f>
        <v>63.917000000000002</v>
      </c>
      <c r="AH115" s="1699">
        <v>66</v>
      </c>
      <c r="AI115" s="1699"/>
      <c r="AJ115" s="2039">
        <f>AB115+AD115+AF115+AH115</f>
        <v>257</v>
      </c>
      <c r="AK115" s="1995">
        <v>62</v>
      </c>
      <c r="AL115" s="1995">
        <v>40</v>
      </c>
      <c r="AM115" s="1995">
        <v>57</v>
      </c>
      <c r="AN115" s="2108">
        <f>73-5</f>
        <v>68</v>
      </c>
      <c r="AO115" s="2039">
        <f>AK115+AL115+AM115+AN115</f>
        <v>227</v>
      </c>
      <c r="AP115" s="1503">
        <v>62</v>
      </c>
      <c r="AQ115" s="1503">
        <v>59</v>
      </c>
      <c r="AR115" s="1503">
        <v>61</v>
      </c>
      <c r="AS115" s="1503">
        <v>67</v>
      </c>
      <c r="AT115" s="2161">
        <f>AP115+AQ115+AR115+AS115</f>
        <v>249</v>
      </c>
      <c r="AU115" s="1503">
        <v>61</v>
      </c>
      <c r="AV115" s="1503">
        <v>63.59</v>
      </c>
      <c r="AW115" s="1503">
        <v>58</v>
      </c>
      <c r="AX115" s="1503">
        <v>59</v>
      </c>
      <c r="AY115" s="2161">
        <f>AU115+AV115+AW115+AX115</f>
        <v>241.59</v>
      </c>
      <c r="AZ115" s="1503">
        <v>58</v>
      </c>
      <c r="BA115" s="2479">
        <f>59-2</f>
        <v>57</v>
      </c>
      <c r="BB115" s="1503">
        <v>57.195999999999998</v>
      </c>
      <c r="BC115" s="2479">
        <f>50.862+5</f>
        <v>55.862000000000002</v>
      </c>
      <c r="BD115" s="2161">
        <f>AZ115+BA115+BB115+BC115</f>
        <v>228.05799999999999</v>
      </c>
      <c r="BE115" s="1503">
        <v>64.874600000000001</v>
      </c>
      <c r="BF115" s="2479">
        <v>64.061099999999996</v>
      </c>
      <c r="BG115" s="2479">
        <v>66.269499999999994</v>
      </c>
      <c r="BH115" s="1327">
        <v>71.088200000000001</v>
      </c>
      <c r="BI115" s="2161">
        <f>BE115+BF115+BG115+BH115</f>
        <v>266.29340000000002</v>
      </c>
      <c r="BJ115" s="2484">
        <v>25</v>
      </c>
      <c r="BK115" s="2484">
        <v>25</v>
      </c>
      <c r="BL115" s="2484">
        <v>25</v>
      </c>
      <c r="BM115" s="2484">
        <f>BN115-BJ115-BK115-BL115</f>
        <v>30.242540819314286</v>
      </c>
      <c r="BN115" s="2161">
        <f>'New split'!O287</f>
        <v>105.24254081931429</v>
      </c>
      <c r="BO115" s="1699"/>
      <c r="BP115" s="1323"/>
      <c r="BQ115" s="2040"/>
      <c r="BR115" s="1293"/>
      <c r="BS115" s="1293"/>
      <c r="BT115" s="1699">
        <f t="shared" ref="BT115:BW119" si="204">AK15-AK115</f>
        <v>96</v>
      </c>
      <c r="BU115" s="1699">
        <f t="shared" si="204"/>
        <v>92</v>
      </c>
      <c r="BV115" s="1699">
        <f t="shared" si="204"/>
        <v>86</v>
      </c>
      <c r="BW115" s="1699">
        <f t="shared" si="204"/>
        <v>83</v>
      </c>
      <c r="BX115" s="1293"/>
      <c r="BY115" s="1724">
        <f>BU115/BT115-1</f>
        <v>-4.166666666666663E-2</v>
      </c>
      <c r="BZ115" s="1293"/>
      <c r="CA115" s="1293"/>
      <c r="CB115" s="1293"/>
      <c r="CC115" s="1293"/>
      <c r="CD115" s="1293"/>
      <c r="CE115" s="1293"/>
      <c r="CF115" s="1293"/>
      <c r="CG115" s="1293"/>
      <c r="CH115" s="1293"/>
      <c r="CI115" s="1293"/>
      <c r="CJ115" s="1293"/>
      <c r="CK115" s="1293"/>
      <c r="CL115" s="1293"/>
      <c r="CM115" s="1293"/>
      <c r="CN115" s="1293"/>
      <c r="CO115" s="1293"/>
      <c r="CP115" s="1293"/>
      <c r="CQ115" s="1293"/>
      <c r="CR115" s="1293"/>
      <c r="CS115" s="1293"/>
      <c r="CT115" s="1293"/>
      <c r="CU115" s="1293"/>
      <c r="CV115" s="1293"/>
      <c r="CW115" s="1293"/>
      <c r="CX115" s="1293"/>
      <c r="CY115" s="2041">
        <v>56.202142471264779</v>
      </c>
      <c r="CZ115" s="1699">
        <f>CZ191*CZ15</f>
        <v>58.015332837322021</v>
      </c>
      <c r="DA115" s="2042">
        <v>65.122875371208124</v>
      </c>
      <c r="DB115" s="2041">
        <v>69.793557273328375</v>
      </c>
      <c r="DC115" s="1293"/>
      <c r="DD115" s="1293"/>
      <c r="DE115" s="1293"/>
      <c r="DF115" s="1293"/>
      <c r="DG115" s="1293"/>
      <c r="DH115" s="1293"/>
      <c r="DI115" s="1293"/>
      <c r="DJ115" s="1293"/>
      <c r="DK115" s="1293"/>
      <c r="DL115" s="1293"/>
    </row>
    <row r="116" spans="1:116" ht="15.75">
      <c r="A116" s="1293"/>
      <c r="B116" s="1293" t="str">
        <f>B16</f>
        <v>Colombia</v>
      </c>
      <c r="C116" s="1699">
        <v>63.823940501842699</v>
      </c>
      <c r="D116" s="1699">
        <v>65.202965430610291</v>
      </c>
      <c r="E116" s="1699">
        <v>141.87419310847099</v>
      </c>
      <c r="F116" s="1699">
        <v>167.89581026217601</v>
      </c>
      <c r="G116" s="2039">
        <v>438.79690930310005</v>
      </c>
      <c r="H116" s="1699">
        <v>145.59727922279899</v>
      </c>
      <c r="I116" s="1699">
        <v>149.093074917628</v>
      </c>
      <c r="J116" s="1699">
        <v>143.73040368409198</v>
      </c>
      <c r="K116" s="1699">
        <v>106.677397872142</v>
      </c>
      <c r="L116" s="2039">
        <v>545.09815569666091</v>
      </c>
      <c r="M116" s="1699">
        <v>116.97786497721</v>
      </c>
      <c r="N116" s="1699">
        <v>123.04678945837099</v>
      </c>
      <c r="O116" s="1699">
        <v>122.04832123812901</v>
      </c>
      <c r="P116" s="1986">
        <f>99</f>
        <v>99</v>
      </c>
      <c r="Q116" s="2039">
        <f>SUM(M116:P116)</f>
        <v>461.07297567371</v>
      </c>
      <c r="R116" s="1699">
        <v>130</v>
      </c>
      <c r="S116" s="1699">
        <v>114</v>
      </c>
      <c r="T116" s="1699">
        <v>108</v>
      </c>
      <c r="U116" s="1699">
        <v>117</v>
      </c>
      <c r="V116" s="2039">
        <f>SUM(R116:U116)</f>
        <v>469</v>
      </c>
      <c r="W116" s="1699">
        <v>122</v>
      </c>
      <c r="X116" s="1699">
        <v>127</v>
      </c>
      <c r="Y116" s="1699">
        <v>127</v>
      </c>
      <c r="Z116" s="1699">
        <v>118</v>
      </c>
      <c r="AA116" s="2039">
        <f>SUM(W116:Z116)</f>
        <v>494</v>
      </c>
      <c r="AB116" s="1699">
        <v>136</v>
      </c>
      <c r="AC116" s="1699">
        <f>AC192*AC16</f>
        <v>121.992</v>
      </c>
      <c r="AD116" s="2109">
        <f>121+4</f>
        <v>125</v>
      </c>
      <c r="AE116" s="1699">
        <f>0.287*AE16+4</f>
        <v>112.48599999999999</v>
      </c>
      <c r="AF116" s="1699">
        <v>122</v>
      </c>
      <c r="AG116" s="1699">
        <f>0.292*AG16</f>
        <v>109.5</v>
      </c>
      <c r="AH116" s="1699">
        <v>130</v>
      </c>
      <c r="AI116" s="1699"/>
      <c r="AJ116" s="2039">
        <f>AB116+AD116+AF116+AH116</f>
        <v>513</v>
      </c>
      <c r="AK116" s="1995">
        <v>119</v>
      </c>
      <c r="AL116" s="1995">
        <v>110</v>
      </c>
      <c r="AM116" s="1995">
        <v>111</v>
      </c>
      <c r="AN116" s="1995">
        <v>117</v>
      </c>
      <c r="AO116" s="2039">
        <f>AK116+AL116+AM116+AN116</f>
        <v>457</v>
      </c>
      <c r="AP116" s="1503">
        <v>121</v>
      </c>
      <c r="AQ116" s="1503">
        <v>108</v>
      </c>
      <c r="AR116" s="1503">
        <v>104</v>
      </c>
      <c r="AS116" s="1503">
        <v>108</v>
      </c>
      <c r="AT116" s="2161">
        <f>AP116+AQ116+AR116+AS116</f>
        <v>441</v>
      </c>
      <c r="AU116" s="1503">
        <v>108</v>
      </c>
      <c r="AV116" s="1503">
        <v>106.09</v>
      </c>
      <c r="AW116" s="1503">
        <v>97</v>
      </c>
      <c r="AX116" s="1503">
        <v>92</v>
      </c>
      <c r="AY116" s="2161">
        <f>AU116+AV116+AW116+AX116</f>
        <v>403.09000000000003</v>
      </c>
      <c r="AZ116" s="2479">
        <f>86+7</f>
        <v>93</v>
      </c>
      <c r="BA116" s="2479">
        <f>91+10</f>
        <v>101</v>
      </c>
      <c r="BB116" s="2479">
        <f>114.193+11</f>
        <v>125.193</v>
      </c>
      <c r="BC116" s="2479">
        <f>128.519+9</f>
        <v>137.51900000000001</v>
      </c>
      <c r="BD116" s="2161">
        <f>AZ116+BA116+BB116+BC116</f>
        <v>456.71199999999999</v>
      </c>
      <c r="BE116" s="2479">
        <v>129.73779999999999</v>
      </c>
      <c r="BF116" s="2479">
        <v>141.17609999999999</v>
      </c>
      <c r="BG116" s="2479">
        <v>132.62209999999999</v>
      </c>
      <c r="BH116" s="1327">
        <v>121.7861</v>
      </c>
      <c r="BI116" s="2161">
        <f>BE116+BF116+BG116+BH116</f>
        <v>525.32209999999998</v>
      </c>
      <c r="BJ116" s="2484">
        <v>135</v>
      </c>
      <c r="BK116" s="2484">
        <v>145</v>
      </c>
      <c r="BL116" s="2484">
        <v>140</v>
      </c>
      <c r="BM116" s="2484">
        <f>BN116-BJ116-BK116-BL116</f>
        <v>133.31477533108443</v>
      </c>
      <c r="BN116" s="2161">
        <f>'New split'!O288</f>
        <v>553.31477533108443</v>
      </c>
      <c r="BO116" s="1699"/>
      <c r="BP116" s="1323"/>
      <c r="BQ116" s="2040"/>
      <c r="BR116" s="1293"/>
      <c r="BS116" s="1293"/>
      <c r="BT116" s="1699">
        <f t="shared" si="204"/>
        <v>237</v>
      </c>
      <c r="BU116" s="1699">
        <f t="shared" si="204"/>
        <v>191</v>
      </c>
      <c r="BV116" s="1699">
        <f t="shared" si="204"/>
        <v>221</v>
      </c>
      <c r="BW116" s="1699">
        <f t="shared" si="204"/>
        <v>239</v>
      </c>
      <c r="BX116" s="1293"/>
      <c r="BY116" s="1724">
        <f>BU116/BT116-1</f>
        <v>-0.19409282700421937</v>
      </c>
      <c r="BZ116" s="1293"/>
      <c r="CA116" s="1293"/>
      <c r="CB116" s="1293"/>
      <c r="CC116" s="1293"/>
      <c r="CD116" s="1293"/>
      <c r="CE116" s="1293"/>
      <c r="CF116" s="1293"/>
      <c r="CG116" s="1293"/>
      <c r="CH116" s="1293"/>
      <c r="CI116" s="1293"/>
      <c r="CJ116" s="1293"/>
      <c r="CK116" s="1293"/>
      <c r="CL116" s="1293"/>
      <c r="CM116" s="1293"/>
      <c r="CN116" s="1293"/>
      <c r="CO116" s="1293"/>
      <c r="CP116" s="1293"/>
      <c r="CQ116" s="1293"/>
      <c r="CR116" s="1293"/>
      <c r="CS116" s="1293"/>
      <c r="CT116" s="1293"/>
      <c r="CU116" s="1293"/>
      <c r="CV116" s="1293"/>
      <c r="CW116" s="1293"/>
      <c r="CX116" s="1293"/>
      <c r="CY116" s="2041">
        <v>127.45559943287041</v>
      </c>
      <c r="CZ116" s="1699">
        <f>CZ192*CZ16</f>
        <v>102.4276667164179</v>
      </c>
      <c r="DA116" s="2042">
        <v>150.6264676566054</v>
      </c>
      <c r="DB116" s="2041">
        <v>139.18099852062335</v>
      </c>
      <c r="DC116" s="1293"/>
      <c r="DD116" s="1293"/>
      <c r="DE116" s="1293"/>
      <c r="DF116" s="1293"/>
      <c r="DG116" s="1293"/>
      <c r="DH116" s="1293"/>
      <c r="DI116" s="1293"/>
      <c r="DJ116" s="1293"/>
      <c r="DK116" s="1293"/>
      <c r="DL116" s="1293"/>
    </row>
    <row r="117" spans="1:116" ht="15.75">
      <c r="A117" s="1293"/>
      <c r="B117" s="1293" t="str">
        <f>B17</f>
        <v>Paraguay</v>
      </c>
      <c r="C117" s="1699">
        <v>90.489862515684408</v>
      </c>
      <c r="D117" s="1699">
        <v>90.757015366205309</v>
      </c>
      <c r="E117" s="1699">
        <v>91.190645022694014</v>
      </c>
      <c r="F117" s="1699">
        <v>93.486866426114091</v>
      </c>
      <c r="G117" s="2039">
        <v>365.92438933069781</v>
      </c>
      <c r="H117" s="1699">
        <v>80.885548986670599</v>
      </c>
      <c r="I117" s="1699">
        <v>76.669718845027703</v>
      </c>
      <c r="J117" s="1699">
        <v>76.544640771061196</v>
      </c>
      <c r="K117" s="1699">
        <v>71.054542621869203</v>
      </c>
      <c r="L117" s="2039">
        <v>305.1544512246287</v>
      </c>
      <c r="M117" s="1699">
        <v>69.630852807715598</v>
      </c>
      <c r="N117" s="1699">
        <v>75.577013993120687</v>
      </c>
      <c r="O117" s="1699">
        <v>76.634614715674999</v>
      </c>
      <c r="P117" s="1699">
        <v>67</v>
      </c>
      <c r="Q117" s="2039">
        <f>SUM(M117:P117)</f>
        <v>288.84248151651127</v>
      </c>
      <c r="R117" s="1986">
        <f>82-7</f>
        <v>75</v>
      </c>
      <c r="S117" s="1699">
        <v>77</v>
      </c>
      <c r="T117" s="1699">
        <v>79</v>
      </c>
      <c r="U117" s="1699">
        <v>81</v>
      </c>
      <c r="V117" s="2039">
        <f>SUM(R117:U117)</f>
        <v>312</v>
      </c>
      <c r="W117" s="1699">
        <v>87</v>
      </c>
      <c r="X117" s="1699">
        <v>83</v>
      </c>
      <c r="Y117" s="1699">
        <v>84</v>
      </c>
      <c r="Z117" s="1699">
        <v>77</v>
      </c>
      <c r="AA117" s="2039">
        <f>SUM(W117:Z117)</f>
        <v>331</v>
      </c>
      <c r="AB117" s="1699">
        <v>76</v>
      </c>
      <c r="AC117" s="1699">
        <f>AC193*AC17</f>
        <v>74.073999999999998</v>
      </c>
      <c r="AD117" s="1986">
        <f>69-2</f>
        <v>67</v>
      </c>
      <c r="AE117" s="1699">
        <f>0.455*AE17-2</f>
        <v>66.704999999999998</v>
      </c>
      <c r="AF117" s="1293">
        <f>76-4</f>
        <v>72</v>
      </c>
      <c r="AG117" s="1699">
        <f>0.485*AG17-4</f>
        <v>68.75</v>
      </c>
      <c r="AH117" s="1699">
        <v>72</v>
      </c>
      <c r="AI117" s="1699"/>
      <c r="AJ117" s="2039">
        <f>AB117+AD117+AF117+AH117</f>
        <v>287</v>
      </c>
      <c r="AK117" s="1995">
        <v>64</v>
      </c>
      <c r="AL117" s="1995">
        <v>63</v>
      </c>
      <c r="AM117" s="1995">
        <v>62</v>
      </c>
      <c r="AN117" s="1995">
        <v>63</v>
      </c>
      <c r="AO117" s="2039">
        <f>AK117+AL117+AM117+AN117</f>
        <v>252</v>
      </c>
      <c r="AP117" s="1503">
        <v>60</v>
      </c>
      <c r="AQ117" s="1503">
        <v>60</v>
      </c>
      <c r="AR117" s="1503">
        <v>63</v>
      </c>
      <c r="AS117" s="1503">
        <v>59</v>
      </c>
      <c r="AT117" s="2161">
        <f>AP117+AQ117+AR117+AS117</f>
        <v>242</v>
      </c>
      <c r="AU117" s="1503">
        <v>63</v>
      </c>
      <c r="AV117" s="1503">
        <v>60.07</v>
      </c>
      <c r="AW117" s="1503">
        <v>62</v>
      </c>
      <c r="AX117" s="1503">
        <v>60</v>
      </c>
      <c r="AY117" s="2161">
        <f>AU117+AV117+AW117+AX117</f>
        <v>245.07</v>
      </c>
      <c r="AZ117" s="1503">
        <f>61</f>
        <v>61</v>
      </c>
      <c r="BA117" s="2479">
        <f>62+2</f>
        <v>64</v>
      </c>
      <c r="BB117" s="2479">
        <f>63.178+2</f>
        <v>65.177999999999997</v>
      </c>
      <c r="BC117" s="2479">
        <f>50.522+14</f>
        <v>64.521999999999991</v>
      </c>
      <c r="BD117" s="2161">
        <f>AZ117+BA117+BB117+BC117</f>
        <v>254.7</v>
      </c>
      <c r="BE117" s="1503">
        <v>68.718900000000005</v>
      </c>
      <c r="BF117" s="1503">
        <v>67.122</v>
      </c>
      <c r="BG117" s="1503">
        <v>65.211399999999998</v>
      </c>
      <c r="BH117" s="1327">
        <v>65.635099999999994</v>
      </c>
      <c r="BI117" s="2161">
        <f>BE117+BF117+BG117+BH117</f>
        <v>266.68740000000003</v>
      </c>
      <c r="BJ117" s="2484">
        <v>65</v>
      </c>
      <c r="BK117" s="2484">
        <v>65</v>
      </c>
      <c r="BL117" s="2484">
        <v>65</v>
      </c>
      <c r="BM117" s="2484">
        <f>BN117-BJ117-BK117-BL117</f>
        <v>66.864732910644989</v>
      </c>
      <c r="BN117" s="2161">
        <f>'New split'!O289</f>
        <v>261.86473291064499</v>
      </c>
      <c r="BO117" s="1699"/>
      <c r="BP117" s="1323"/>
      <c r="BQ117" s="2040"/>
      <c r="BR117" s="1293"/>
      <c r="BS117" s="1293"/>
      <c r="BT117" s="1699">
        <f t="shared" si="204"/>
        <v>78</v>
      </c>
      <c r="BU117" s="1699">
        <f t="shared" si="204"/>
        <v>72</v>
      </c>
      <c r="BV117" s="1699">
        <f t="shared" si="204"/>
        <v>70</v>
      </c>
      <c r="BW117" s="1699">
        <f t="shared" si="204"/>
        <v>72</v>
      </c>
      <c r="BX117" s="1293"/>
      <c r="BY117" s="1724">
        <f>BU117/BT117-1</f>
        <v>-7.6923076923076872E-2</v>
      </c>
      <c r="BZ117" s="1293"/>
      <c r="CA117" s="1293"/>
      <c r="CB117" s="1293"/>
      <c r="CC117" s="1293"/>
      <c r="CD117" s="1293"/>
      <c r="CE117" s="1293"/>
      <c r="CF117" s="1293"/>
      <c r="CG117" s="1293"/>
      <c r="CH117" s="1293"/>
      <c r="CI117" s="1293"/>
      <c r="CJ117" s="1293"/>
      <c r="CK117" s="1293"/>
      <c r="CL117" s="1293"/>
      <c r="CM117" s="1293"/>
      <c r="CN117" s="1293"/>
      <c r="CO117" s="1293"/>
      <c r="CP117" s="1293"/>
      <c r="CQ117" s="1293"/>
      <c r="CR117" s="1293"/>
      <c r="CS117" s="1293"/>
      <c r="CT117" s="1293"/>
      <c r="CU117" s="1293"/>
      <c r="CV117" s="1293"/>
      <c r="CW117" s="1293"/>
      <c r="CX117" s="1293"/>
      <c r="CY117" s="2041">
        <v>65.912963055403225</v>
      </c>
      <c r="CZ117" s="1699">
        <f>CZ193*CZ17</f>
        <v>64.110425826446289</v>
      </c>
      <c r="DA117" s="2042">
        <v>70.652245193097784</v>
      </c>
      <c r="DB117" s="2041">
        <v>68.58436846108215</v>
      </c>
      <c r="DC117" s="1293"/>
      <c r="DD117" s="1293"/>
      <c r="DE117" s="1293"/>
      <c r="DF117" s="1293"/>
      <c r="DG117" s="1293"/>
      <c r="DH117" s="1293"/>
      <c r="DI117" s="1293"/>
      <c r="DJ117" s="1293"/>
      <c r="DK117" s="1293"/>
      <c r="DL117" s="1293"/>
    </row>
    <row r="118" spans="1:116" ht="15.75" hidden="1">
      <c r="A118" s="1293"/>
      <c r="B118" s="1293" t="str">
        <f>B18</f>
        <v>Others/check</v>
      </c>
      <c r="C118" s="1699">
        <f t="shared" ref="C118:P118" si="205">C119-C115-C116-C117</f>
        <v>-4.1699999940192356E-4</v>
      </c>
      <c r="D118" s="1699">
        <f t="shared" si="205"/>
        <v>5.2945381412428105E-10</v>
      </c>
      <c r="E118" s="1699">
        <f t="shared" si="205"/>
        <v>1.9091999092779588E-9</v>
      </c>
      <c r="F118" s="1699">
        <f t="shared" si="205"/>
        <v>-2.4414248400717042E-11</v>
      </c>
      <c r="G118" s="2039">
        <f t="shared" si="205"/>
        <v>-4.1699758520508112E-4</v>
      </c>
      <c r="H118" s="1699">
        <f t="shared" si="205"/>
        <v>1.0773895553484181E-7</v>
      </c>
      <c r="I118" s="1699">
        <f t="shared" si="205"/>
        <v>2.2350895577005758E-5</v>
      </c>
      <c r="J118" s="1699">
        <f t="shared" si="205"/>
        <v>6.6933125708601438E-12</v>
      </c>
      <c r="K118" s="1699">
        <f t="shared" si="205"/>
        <v>-9.5212726591853425E-13</v>
      </c>
      <c r="L118" s="2039">
        <f t="shared" si="205"/>
        <v>2.2458640387412743E-5</v>
      </c>
      <c r="M118" s="1699">
        <f t="shared" si="205"/>
        <v>7.5869934335059952E-8</v>
      </c>
      <c r="N118" s="1699">
        <f t="shared" si="205"/>
        <v>-4.2632564145606011E-13</v>
      </c>
      <c r="O118" s="1699">
        <f t="shared" si="205"/>
        <v>9.8054897534893826E-13</v>
      </c>
      <c r="P118" s="1699">
        <f t="shared" si="205"/>
        <v>0</v>
      </c>
      <c r="Q118" s="2039">
        <f>SUM(M118:P118)</f>
        <v>7.5870488558393845E-8</v>
      </c>
      <c r="R118" s="1699">
        <v>0</v>
      </c>
      <c r="S118" s="1699">
        <v>0</v>
      </c>
      <c r="T118" s="1699">
        <v>0</v>
      </c>
      <c r="U118" s="1699">
        <v>0</v>
      </c>
      <c r="V118" s="2039">
        <f>SUM(R118:U118)</f>
        <v>0</v>
      </c>
      <c r="W118" s="1699">
        <v>0</v>
      </c>
      <c r="X118" s="1699">
        <v>0</v>
      </c>
      <c r="Y118" s="1699">
        <v>0</v>
      </c>
      <c r="Z118" s="1699">
        <v>0</v>
      </c>
      <c r="AA118" s="2039">
        <f>SUM(W118:Z118)</f>
        <v>0</v>
      </c>
      <c r="AB118" s="1699">
        <v>0</v>
      </c>
      <c r="AC118" s="1699">
        <v>0</v>
      </c>
      <c r="AD118" s="1699">
        <v>0</v>
      </c>
      <c r="AE118" s="1699">
        <v>0</v>
      </c>
      <c r="AF118" s="1699">
        <v>0</v>
      </c>
      <c r="AG118" s="1699">
        <v>0</v>
      </c>
      <c r="AH118" s="1699">
        <v>0</v>
      </c>
      <c r="AI118" s="1699"/>
      <c r="AJ118" s="2039">
        <f>AB118+AD118+AF118+AH118</f>
        <v>0</v>
      </c>
      <c r="AK118" s="1699">
        <v>0</v>
      </c>
      <c r="AL118" s="1699">
        <v>0</v>
      </c>
      <c r="AM118" s="1699">
        <v>0</v>
      </c>
      <c r="AN118" s="1699">
        <v>0</v>
      </c>
      <c r="AO118" s="2039">
        <f>AK118+AL118+AM118+AN118</f>
        <v>0</v>
      </c>
      <c r="AP118" s="1327"/>
      <c r="AQ118" s="1327"/>
      <c r="AR118" s="1327"/>
      <c r="AS118" s="1327"/>
      <c r="AT118" s="2161">
        <f>AP118+AQ118+AR118+AS118</f>
        <v>0</v>
      </c>
      <c r="AU118" s="1327"/>
      <c r="AV118" s="1327"/>
      <c r="AW118" s="1327"/>
      <c r="AX118" s="1327"/>
      <c r="AY118" s="2161">
        <f>AU118+AV118+AW118+AX118</f>
        <v>0</v>
      </c>
      <c r="AZ118" s="1327"/>
      <c r="BA118" s="1327"/>
      <c r="BB118" s="1327"/>
      <c r="BC118" s="1327"/>
      <c r="BD118" s="2161">
        <f>AZ118+BA118+BB118+BC118</f>
        <v>0</v>
      </c>
      <c r="BE118" s="1327"/>
      <c r="BF118" s="1327"/>
      <c r="BG118" s="1327"/>
      <c r="BH118" s="1327"/>
      <c r="BI118" s="2161">
        <f>BE118+BF118+BG118+BH118</f>
        <v>0</v>
      </c>
      <c r="BJ118" s="1327"/>
      <c r="BK118" s="1327"/>
      <c r="BL118" s="1327"/>
      <c r="BM118" s="1327"/>
      <c r="BN118" s="2161">
        <f>BF118+BG118+BH118+BI118</f>
        <v>0</v>
      </c>
      <c r="BO118" s="1699"/>
      <c r="BP118" s="1323"/>
      <c r="BQ118" s="2040"/>
      <c r="BR118" s="1293"/>
      <c r="BS118" s="1293"/>
      <c r="BT118" s="1703">
        <f t="shared" si="204"/>
        <v>0</v>
      </c>
      <c r="BU118" s="1703">
        <f t="shared" si="204"/>
        <v>0</v>
      </c>
      <c r="BV118" s="1703">
        <f t="shared" si="204"/>
        <v>0</v>
      </c>
      <c r="BW118" s="1703">
        <f t="shared" si="204"/>
        <v>0</v>
      </c>
      <c r="BX118" s="1293"/>
      <c r="BY118" s="1724" t="e">
        <f>BU118/BT118-1</f>
        <v>#DIV/0!</v>
      </c>
      <c r="BZ118" s="1293"/>
      <c r="CA118" s="1293"/>
      <c r="CB118" s="1293"/>
      <c r="CC118" s="1293"/>
      <c r="CD118" s="1293"/>
      <c r="CE118" s="1293"/>
      <c r="CF118" s="1293"/>
      <c r="CG118" s="1293"/>
      <c r="CH118" s="1293"/>
      <c r="CI118" s="1293"/>
      <c r="CJ118" s="1293"/>
      <c r="CK118" s="1293"/>
      <c r="CL118" s="1293"/>
      <c r="CM118" s="1293"/>
      <c r="CN118" s="1293"/>
      <c r="CO118" s="1293"/>
      <c r="CP118" s="1293"/>
      <c r="CQ118" s="1293"/>
      <c r="CR118" s="1293"/>
      <c r="CS118" s="1293"/>
      <c r="CT118" s="1293"/>
      <c r="CU118" s="1293"/>
      <c r="CV118" s="1293"/>
      <c r="CW118" s="1293"/>
      <c r="CX118" s="1293"/>
      <c r="CY118" s="2049"/>
      <c r="CZ118" s="1703"/>
      <c r="DA118" s="2050"/>
      <c r="DB118" s="2051"/>
      <c r="DC118" s="1293"/>
      <c r="DD118" s="1293"/>
      <c r="DE118" s="1293"/>
      <c r="DF118" s="1293"/>
      <c r="DG118" s="1293"/>
      <c r="DH118" s="1293"/>
      <c r="DI118" s="1293"/>
      <c r="DJ118" s="1293"/>
      <c r="DK118" s="1293"/>
      <c r="DL118" s="1293"/>
    </row>
    <row r="119" spans="1:116" ht="15.75">
      <c r="A119" s="1293"/>
      <c r="B119" s="1375" t="str">
        <f>B19</f>
        <v>South America</v>
      </c>
      <c r="C119" s="1984">
        <v>198.34669390609511</v>
      </c>
      <c r="D119" s="1984">
        <v>197.82670830240974</v>
      </c>
      <c r="E119" s="1984">
        <v>276.45650123727171</v>
      </c>
      <c r="F119" s="1984">
        <v>307.29703716728091</v>
      </c>
      <c r="G119" s="2052">
        <v>979.92694061305747</v>
      </c>
      <c r="H119" s="1984">
        <v>274.33292920143435</v>
      </c>
      <c r="I119" s="1984">
        <v>272.39639806579419</v>
      </c>
      <c r="J119" s="1984">
        <v>269.09649844213538</v>
      </c>
      <c r="K119" s="1984">
        <v>230.95369851427085</v>
      </c>
      <c r="L119" s="2052">
        <v>1046.7795242236348</v>
      </c>
      <c r="M119" s="1984">
        <v>240.05080711839312</v>
      </c>
      <c r="N119" s="1984">
        <v>248.75398374526804</v>
      </c>
      <c r="O119" s="1984">
        <v>250.60191341400778</v>
      </c>
      <c r="P119" s="1984">
        <v>225</v>
      </c>
      <c r="Q119" s="2052">
        <f>SUM(M119:P119)</f>
        <v>964.40670427766895</v>
      </c>
      <c r="R119" s="1984">
        <f>SUM(R115:R118)</f>
        <v>257</v>
      </c>
      <c r="S119" s="1984">
        <f>SUM(S115:S118)</f>
        <v>242</v>
      </c>
      <c r="T119" s="1984">
        <f>SUM(T115:T118)</f>
        <v>242</v>
      </c>
      <c r="U119" s="1984">
        <f>SUM(U115:U118)</f>
        <v>257</v>
      </c>
      <c r="V119" s="2052">
        <f>SUM(R119:U119)</f>
        <v>998</v>
      </c>
      <c r="W119" s="1984">
        <f t="shared" ref="W119:AH119" si="206">SUM(W115:W118)</f>
        <v>265</v>
      </c>
      <c r="X119" s="1984">
        <f t="shared" si="206"/>
        <v>269</v>
      </c>
      <c r="Y119" s="1984">
        <f t="shared" si="206"/>
        <v>272</v>
      </c>
      <c r="Z119" s="1984">
        <f t="shared" si="206"/>
        <v>257</v>
      </c>
      <c r="AA119" s="2052">
        <f t="shared" si="206"/>
        <v>1063</v>
      </c>
      <c r="AB119" s="1984">
        <f t="shared" si="206"/>
        <v>275</v>
      </c>
      <c r="AC119" s="1984">
        <f t="shared" si="206"/>
        <v>255.94799999999998</v>
      </c>
      <c r="AD119" s="1984">
        <f t="shared" si="206"/>
        <v>256</v>
      </c>
      <c r="AE119" s="1984">
        <f t="shared" si="206"/>
        <v>241.49799999999999</v>
      </c>
      <c r="AF119" s="1984">
        <f t="shared" si="206"/>
        <v>258</v>
      </c>
      <c r="AG119" s="1984">
        <f t="shared" si="206"/>
        <v>242.167</v>
      </c>
      <c r="AH119" s="1984">
        <f t="shared" si="206"/>
        <v>268</v>
      </c>
      <c r="AI119" s="1984"/>
      <c r="AJ119" s="2052">
        <f t="shared" ref="AJ119:BE119" si="207">SUM(AJ115:AJ118)</f>
        <v>1057</v>
      </c>
      <c r="AK119" s="1984">
        <f t="shared" si="207"/>
        <v>245</v>
      </c>
      <c r="AL119" s="1984">
        <f t="shared" si="207"/>
        <v>213</v>
      </c>
      <c r="AM119" s="1984">
        <f t="shared" si="207"/>
        <v>230</v>
      </c>
      <c r="AN119" s="1984">
        <f t="shared" si="207"/>
        <v>248</v>
      </c>
      <c r="AO119" s="2052">
        <f t="shared" si="207"/>
        <v>936</v>
      </c>
      <c r="AP119" s="1991">
        <f t="shared" si="207"/>
        <v>243</v>
      </c>
      <c r="AQ119" s="1991">
        <f t="shared" si="207"/>
        <v>227</v>
      </c>
      <c r="AR119" s="1991">
        <f t="shared" si="207"/>
        <v>228</v>
      </c>
      <c r="AS119" s="1991">
        <f t="shared" si="207"/>
        <v>234</v>
      </c>
      <c r="AT119" s="2465">
        <f t="shared" si="207"/>
        <v>932</v>
      </c>
      <c r="AU119" s="1991">
        <f t="shared" si="207"/>
        <v>232</v>
      </c>
      <c r="AV119" s="1991">
        <f t="shared" ref="AV119:BB119" si="208">SUM(AV115:AV118)</f>
        <v>229.75</v>
      </c>
      <c r="AW119" s="1991">
        <f t="shared" si="208"/>
        <v>217</v>
      </c>
      <c r="AX119" s="1991">
        <f t="shared" si="208"/>
        <v>211</v>
      </c>
      <c r="AY119" s="2465">
        <f t="shared" si="208"/>
        <v>889.75</v>
      </c>
      <c r="AZ119" s="1991">
        <f t="shared" si="208"/>
        <v>212</v>
      </c>
      <c r="BA119" s="1991">
        <f t="shared" si="208"/>
        <v>222</v>
      </c>
      <c r="BB119" s="1991">
        <f t="shared" si="208"/>
        <v>247.56700000000001</v>
      </c>
      <c r="BC119" s="1991">
        <f t="shared" si="207"/>
        <v>257.90300000000002</v>
      </c>
      <c r="BD119" s="2465">
        <f t="shared" si="207"/>
        <v>939.47</v>
      </c>
      <c r="BE119" s="1991">
        <f t="shared" si="207"/>
        <v>263.3313</v>
      </c>
      <c r="BF119" s="1991">
        <f>SUM(BF115:BF118)</f>
        <v>272.35919999999999</v>
      </c>
      <c r="BG119" s="1991">
        <f t="shared" ref="BG119" si="209">SUM(BG115:BG118)</f>
        <v>264.10299999999995</v>
      </c>
      <c r="BH119" s="1991">
        <f>SUM(BH115:BH118)</f>
        <v>258.50940000000003</v>
      </c>
      <c r="BI119" s="2465">
        <f t="shared" ref="BI119:BN119" si="210">SUM(BI115:BI118)</f>
        <v>1058.3029000000001</v>
      </c>
      <c r="BJ119" s="1991">
        <f t="shared" si="210"/>
        <v>225</v>
      </c>
      <c r="BK119" s="1991">
        <f t="shared" si="210"/>
        <v>235</v>
      </c>
      <c r="BL119" s="1991">
        <f t="shared" si="210"/>
        <v>230</v>
      </c>
      <c r="BM119" s="1991">
        <f t="shared" si="210"/>
        <v>230.42204906104371</v>
      </c>
      <c r="BN119" s="2465">
        <f t="shared" si="210"/>
        <v>920.42204906104371</v>
      </c>
      <c r="BO119" s="1699"/>
      <c r="BP119" s="1323"/>
      <c r="BQ119" s="2053"/>
      <c r="BR119" s="1293"/>
      <c r="BS119" s="1293"/>
      <c r="BT119" s="1699">
        <f t="shared" si="204"/>
        <v>411</v>
      </c>
      <c r="BU119" s="1699">
        <f t="shared" si="204"/>
        <v>355</v>
      </c>
      <c r="BV119" s="1699">
        <f t="shared" si="204"/>
        <v>377</v>
      </c>
      <c r="BW119" s="1699">
        <f t="shared" si="204"/>
        <v>394</v>
      </c>
      <c r="BX119" s="1293"/>
      <c r="BY119" s="1724">
        <f>BU119/BT119-1</f>
        <v>-0.13625304136253036</v>
      </c>
      <c r="BZ119" s="1293"/>
      <c r="CA119" s="1293"/>
      <c r="CB119" s="1293"/>
      <c r="CC119" s="1293"/>
      <c r="CD119" s="1293"/>
      <c r="CE119" s="1293"/>
      <c r="CF119" s="1293"/>
      <c r="CG119" s="1293"/>
      <c r="CH119" s="1293"/>
      <c r="CI119" s="1293"/>
      <c r="CJ119" s="1293"/>
      <c r="CK119" s="1293"/>
      <c r="CL119" s="1293"/>
      <c r="CM119" s="1293"/>
      <c r="CN119" s="1293"/>
      <c r="CO119" s="1293"/>
      <c r="CP119" s="1293"/>
      <c r="CQ119" s="1293"/>
      <c r="CR119" s="1293"/>
      <c r="CS119" s="1293"/>
      <c r="CT119" s="1293"/>
      <c r="CU119" s="1293"/>
      <c r="CV119" s="1293"/>
      <c r="CW119" s="1293"/>
      <c r="CX119" s="1293"/>
      <c r="CY119" s="2041">
        <v>249.57070495953843</v>
      </c>
      <c r="CZ119" s="1699">
        <f>SUM(CZ115:CZ118)</f>
        <v>224.55342538018621</v>
      </c>
      <c r="DA119" s="2042">
        <v>286.40158822091132</v>
      </c>
      <c r="DB119" s="2041">
        <v>277.55892425503384</v>
      </c>
      <c r="DC119" s="1293"/>
      <c r="DD119" s="1293"/>
      <c r="DE119" s="1293"/>
      <c r="DF119" s="1293"/>
      <c r="DG119" s="1293"/>
      <c r="DH119" s="1293"/>
      <c r="DI119" s="1293"/>
      <c r="DJ119" s="1293"/>
      <c r="DK119" s="1293"/>
      <c r="DL119" s="1293"/>
    </row>
    <row r="120" spans="1:116" ht="15.75" hidden="1" outlineLevel="1">
      <c r="A120" s="1293"/>
      <c r="B120" s="1293"/>
      <c r="C120" s="1699"/>
      <c r="D120" s="1699"/>
      <c r="E120" s="1699"/>
      <c r="F120" s="1699"/>
      <c r="G120" s="2039"/>
      <c r="H120" s="1699"/>
      <c r="I120" s="1699"/>
      <c r="J120" s="1699"/>
      <c r="K120" s="1699"/>
      <c r="L120" s="2039"/>
      <c r="M120" s="1699"/>
      <c r="N120" s="1699"/>
      <c r="O120" s="1699"/>
      <c r="P120" s="1699"/>
      <c r="Q120" s="2039"/>
      <c r="R120" s="1699"/>
      <c r="S120" s="1699"/>
      <c r="T120" s="1699"/>
      <c r="U120" s="1699"/>
      <c r="V120" s="2039"/>
      <c r="W120" s="1699"/>
      <c r="X120" s="1699"/>
      <c r="Y120" s="1699"/>
      <c r="Z120" s="1699"/>
      <c r="AA120" s="2039"/>
      <c r="AB120" s="1699"/>
      <c r="AC120" s="1699"/>
      <c r="AD120" s="1699"/>
      <c r="AE120" s="1699"/>
      <c r="AF120" s="1699"/>
      <c r="AG120" s="1699"/>
      <c r="AH120" s="1699"/>
      <c r="AI120" s="1699"/>
      <c r="AJ120" s="2039"/>
      <c r="AK120" s="1293"/>
      <c r="AL120" s="1293"/>
      <c r="AM120" s="1293"/>
      <c r="AN120" s="1293"/>
      <c r="AO120" s="2039"/>
      <c r="AP120" s="1327"/>
      <c r="AQ120" s="1327"/>
      <c r="AR120" s="1327"/>
      <c r="AS120" s="1327"/>
      <c r="AT120" s="2161"/>
      <c r="AU120" s="1327"/>
      <c r="AV120" s="1327"/>
      <c r="AW120" s="1327"/>
      <c r="AX120" s="1327"/>
      <c r="AY120" s="2161"/>
      <c r="AZ120" s="1327"/>
      <c r="BA120" s="1327"/>
      <c r="BB120" s="1327"/>
      <c r="BC120" s="1327"/>
      <c r="BD120" s="2161"/>
      <c r="BE120" s="1327"/>
      <c r="BF120" s="1327"/>
      <c r="BG120" s="1327"/>
      <c r="BH120" s="1327"/>
      <c r="BI120" s="2161"/>
      <c r="BJ120" s="1327"/>
      <c r="BK120" s="1327"/>
      <c r="BL120" s="1327"/>
      <c r="BM120" s="1327"/>
      <c r="BN120" s="2161"/>
      <c r="BO120" s="1699"/>
      <c r="BP120" s="1323"/>
      <c r="BQ120" s="2040"/>
      <c r="BR120" s="1293"/>
      <c r="BS120" s="1293"/>
      <c r="BT120" s="1293"/>
      <c r="BU120" s="1293"/>
      <c r="BV120" s="1293"/>
      <c r="BW120" s="1293"/>
      <c r="BX120" s="1293"/>
      <c r="BY120" s="1293"/>
      <c r="BZ120" s="1293"/>
      <c r="CA120" s="1293"/>
      <c r="CB120" s="1293"/>
      <c r="CC120" s="1293"/>
      <c r="CD120" s="1293"/>
      <c r="CE120" s="1293"/>
      <c r="CF120" s="1293"/>
      <c r="CG120" s="1293"/>
      <c r="CH120" s="1293"/>
      <c r="CI120" s="1293"/>
      <c r="CJ120" s="1293"/>
      <c r="CK120" s="1293"/>
      <c r="CL120" s="1293"/>
      <c r="CM120" s="1293"/>
      <c r="CN120" s="1293"/>
      <c r="CO120" s="1293"/>
      <c r="CP120" s="1293"/>
      <c r="CQ120" s="1293"/>
      <c r="CR120" s="1293"/>
      <c r="CS120" s="1293"/>
      <c r="CT120" s="1293"/>
      <c r="CU120" s="1293"/>
      <c r="CV120" s="1293"/>
      <c r="CW120" s="1293"/>
      <c r="CX120" s="1293"/>
      <c r="CY120" s="2041"/>
      <c r="CZ120" s="1699"/>
      <c r="DA120" s="2031"/>
      <c r="DB120" s="2032"/>
      <c r="DC120" s="1293"/>
      <c r="DD120" s="1293"/>
      <c r="DE120" s="1293"/>
      <c r="DF120" s="1293"/>
      <c r="DG120" s="1293"/>
      <c r="DH120" s="1293"/>
      <c r="DI120" s="1293"/>
      <c r="DJ120" s="1293"/>
      <c r="DK120" s="1293"/>
      <c r="DL120" s="1293"/>
    </row>
    <row r="121" spans="1:116" ht="15.75" hidden="1" outlineLevel="1">
      <c r="A121" s="1293"/>
      <c r="B121" s="1293" t="str">
        <f t="shared" ref="B121:B128" si="211">B23</f>
        <v>Chad</v>
      </c>
      <c r="C121" s="1699"/>
      <c r="D121" s="1699"/>
      <c r="E121" s="1699"/>
      <c r="F121" s="1699"/>
      <c r="G121" s="2039"/>
      <c r="H121" s="1699"/>
      <c r="I121" s="1699"/>
      <c r="J121" s="1699"/>
      <c r="K121" s="1699"/>
      <c r="L121" s="2039"/>
      <c r="M121" s="1699"/>
      <c r="N121" s="1699"/>
      <c r="O121" s="1699"/>
      <c r="P121" s="1699"/>
      <c r="Q121" s="2039"/>
      <c r="R121" s="1699"/>
      <c r="S121" s="1724"/>
      <c r="T121" s="1724"/>
      <c r="U121" s="1328"/>
      <c r="V121" s="2039"/>
      <c r="W121" s="1724"/>
      <c r="X121" s="1724"/>
      <c r="Y121" s="1724"/>
      <c r="Z121" s="1724"/>
      <c r="AA121" s="2039"/>
      <c r="AB121" s="1699"/>
      <c r="AC121" s="1699"/>
      <c r="AD121" s="1699"/>
      <c r="AE121" s="1699"/>
      <c r="AF121" s="1699"/>
      <c r="AG121" s="1699"/>
      <c r="AH121" s="1699"/>
      <c r="AI121" s="1699"/>
      <c r="AJ121" s="2039"/>
      <c r="AK121" s="1699"/>
      <c r="AL121" s="1699"/>
      <c r="AM121" s="1699"/>
      <c r="AN121" s="1699"/>
      <c r="AO121" s="2039"/>
      <c r="AP121" s="1327"/>
      <c r="AQ121" s="1327"/>
      <c r="AR121" s="1327"/>
      <c r="AS121" s="1327"/>
      <c r="AT121" s="2161"/>
      <c r="AU121" s="1327"/>
      <c r="AV121" s="1327"/>
      <c r="AW121" s="1327"/>
      <c r="AX121" s="1327"/>
      <c r="AY121" s="2161"/>
      <c r="AZ121" s="1327"/>
      <c r="BA121" s="1327"/>
      <c r="BB121" s="1327"/>
      <c r="BC121" s="1327"/>
      <c r="BD121" s="2161"/>
      <c r="BE121" s="1327"/>
      <c r="BF121" s="1327"/>
      <c r="BG121" s="1327"/>
      <c r="BH121" s="1327"/>
      <c r="BI121" s="2161"/>
      <c r="BJ121" s="1327"/>
      <c r="BK121" s="1327"/>
      <c r="BL121" s="1327"/>
      <c r="BM121" s="1327"/>
      <c r="BN121" s="2161"/>
      <c r="BO121" s="1699"/>
      <c r="BP121" s="1323"/>
      <c r="BQ121" s="2040"/>
      <c r="BR121" s="1293"/>
      <c r="BS121" s="1293"/>
      <c r="BT121" s="1293"/>
      <c r="BU121" s="1293"/>
      <c r="BV121" s="1293"/>
      <c r="BW121" s="1293"/>
      <c r="BX121" s="1293"/>
      <c r="BY121" s="1293"/>
      <c r="BZ121" s="1293"/>
      <c r="CA121" s="1293"/>
      <c r="CB121" s="1293"/>
      <c r="CC121" s="1293"/>
      <c r="CD121" s="1293"/>
      <c r="CE121" s="1293"/>
      <c r="CF121" s="1293"/>
      <c r="CG121" s="1293"/>
      <c r="CH121" s="1293"/>
      <c r="CI121" s="1293"/>
      <c r="CJ121" s="1293"/>
      <c r="CK121" s="1293"/>
      <c r="CL121" s="1293"/>
      <c r="CM121" s="1293"/>
      <c r="CN121" s="1293"/>
      <c r="CO121" s="1293"/>
      <c r="CP121" s="1293"/>
      <c r="CQ121" s="1293"/>
      <c r="CR121" s="1293"/>
      <c r="CS121" s="1293"/>
      <c r="CT121" s="1293"/>
      <c r="CU121" s="1293"/>
      <c r="CV121" s="1293"/>
      <c r="CW121" s="1293"/>
      <c r="CX121" s="1293"/>
      <c r="CY121" s="2041"/>
      <c r="CZ121" s="1699"/>
      <c r="DA121" s="2042">
        <v>76.420000000000016</v>
      </c>
      <c r="DB121" s="2041"/>
      <c r="DC121" s="1293"/>
      <c r="DD121" s="1293"/>
      <c r="DE121" s="1293"/>
      <c r="DF121" s="1293"/>
      <c r="DG121" s="1293"/>
      <c r="DH121" s="1293"/>
      <c r="DI121" s="1293"/>
      <c r="DJ121" s="1293"/>
      <c r="DK121" s="1293"/>
      <c r="DL121" s="1293"/>
    </row>
    <row r="122" spans="1:116" ht="15.75" hidden="1" outlineLevel="1">
      <c r="A122" s="1293"/>
      <c r="B122" s="1293" t="str">
        <f t="shared" si="211"/>
        <v>DRC</v>
      </c>
      <c r="C122" s="1699"/>
      <c r="D122" s="1699"/>
      <c r="E122" s="1699"/>
      <c r="F122" s="1699"/>
      <c r="G122" s="2039"/>
      <c r="H122" s="1699"/>
      <c r="I122" s="1699"/>
      <c r="J122" s="1699"/>
      <c r="K122" s="1699"/>
      <c r="L122" s="2039"/>
      <c r="M122" s="1699"/>
      <c r="N122" s="1699"/>
      <c r="O122" s="1699"/>
      <c r="P122" s="1699"/>
      <c r="Q122" s="2039"/>
      <c r="R122" s="1699"/>
      <c r="S122" s="1699"/>
      <c r="T122" s="1699"/>
      <c r="U122" s="1699"/>
      <c r="V122" s="2039"/>
      <c r="W122" s="1699"/>
      <c r="X122" s="1699"/>
      <c r="Y122" s="1699"/>
      <c r="Z122" s="1699"/>
      <c r="AA122" s="2039"/>
      <c r="AB122" s="1699"/>
      <c r="AC122" s="1699"/>
      <c r="AD122" s="1699"/>
      <c r="AE122" s="1699"/>
      <c r="AF122" s="1699"/>
      <c r="AG122" s="1699"/>
      <c r="AH122" s="1699"/>
      <c r="AI122" s="1699"/>
      <c r="AJ122" s="2039"/>
      <c r="AK122" s="1699"/>
      <c r="AL122" s="1699"/>
      <c r="AM122" s="1699"/>
      <c r="AN122" s="1699"/>
      <c r="AO122" s="2039"/>
      <c r="AP122" s="1327"/>
      <c r="AQ122" s="1327"/>
      <c r="AR122" s="1327"/>
      <c r="AS122" s="1327"/>
      <c r="AT122" s="2161"/>
      <c r="AU122" s="1327"/>
      <c r="AV122" s="1327"/>
      <c r="AW122" s="1327"/>
      <c r="AX122" s="1327"/>
      <c r="AY122" s="2161"/>
      <c r="AZ122" s="1327"/>
      <c r="BA122" s="1327"/>
      <c r="BB122" s="1327"/>
      <c r="BC122" s="1327"/>
      <c r="BD122" s="2161"/>
      <c r="BE122" s="1327"/>
      <c r="BF122" s="1327"/>
      <c r="BG122" s="1327"/>
      <c r="BH122" s="1327"/>
      <c r="BI122" s="2161"/>
      <c r="BJ122" s="1327"/>
      <c r="BK122" s="1327"/>
      <c r="BL122" s="1327"/>
      <c r="BM122" s="1327"/>
      <c r="BN122" s="2161"/>
      <c r="BO122" s="1699"/>
      <c r="BP122" s="1323"/>
      <c r="BQ122" s="2040"/>
      <c r="BR122" s="1293"/>
      <c r="BS122" s="1293"/>
      <c r="BT122" s="1293"/>
      <c r="BU122" s="1293"/>
      <c r="BV122" s="1293"/>
      <c r="BW122" s="1293"/>
      <c r="BX122" s="1293"/>
      <c r="BY122" s="1293"/>
      <c r="BZ122" s="1293"/>
      <c r="CA122" s="1293"/>
      <c r="CB122" s="1293"/>
      <c r="CC122" s="1293"/>
      <c r="CD122" s="1293"/>
      <c r="CE122" s="1293"/>
      <c r="CF122" s="1293"/>
      <c r="CG122" s="1293"/>
      <c r="CH122" s="1293"/>
      <c r="CI122" s="1293"/>
      <c r="CJ122" s="1293"/>
      <c r="CK122" s="1293"/>
      <c r="CL122" s="1293"/>
      <c r="CM122" s="1293"/>
      <c r="CN122" s="1293"/>
      <c r="CO122" s="1293"/>
      <c r="CP122" s="1293"/>
      <c r="CQ122" s="1293"/>
      <c r="CR122" s="1293"/>
      <c r="CS122" s="1293"/>
      <c r="CT122" s="1293"/>
      <c r="CU122" s="1293"/>
      <c r="CV122" s="1293"/>
      <c r="CW122" s="1293"/>
      <c r="CX122" s="1293"/>
      <c r="CY122" s="2041"/>
      <c r="CZ122" s="1699"/>
      <c r="DA122" s="2042"/>
      <c r="DB122" s="2041"/>
      <c r="DC122" s="1293"/>
      <c r="DD122" s="1293"/>
      <c r="DE122" s="1293"/>
      <c r="DF122" s="1293"/>
      <c r="DG122" s="1293"/>
      <c r="DH122" s="1293"/>
      <c r="DI122" s="1293"/>
      <c r="DJ122" s="1293"/>
      <c r="DK122" s="1293"/>
      <c r="DL122" s="1293"/>
    </row>
    <row r="123" spans="1:116" ht="15.75" hidden="1" outlineLevel="1">
      <c r="A123" s="1293"/>
      <c r="B123" s="1293" t="str">
        <f t="shared" si="211"/>
        <v>Ghana</v>
      </c>
      <c r="C123" s="1699"/>
      <c r="D123" s="1699"/>
      <c r="E123" s="1699"/>
      <c r="F123" s="1699"/>
      <c r="G123" s="2039"/>
      <c r="H123" s="1699"/>
      <c r="I123" s="1699"/>
      <c r="J123" s="1699"/>
      <c r="K123" s="1699"/>
      <c r="L123" s="2039"/>
      <c r="M123" s="1699"/>
      <c r="N123" s="1699"/>
      <c r="O123" s="1699"/>
      <c r="P123" s="1699"/>
      <c r="Q123" s="2039"/>
      <c r="R123" s="1699"/>
      <c r="S123" s="1724"/>
      <c r="T123" s="1724"/>
      <c r="U123" s="1724"/>
      <c r="V123" s="2039"/>
      <c r="W123" s="1724"/>
      <c r="X123" s="1724"/>
      <c r="Y123" s="1724"/>
      <c r="Z123" s="1724"/>
      <c r="AA123" s="2039"/>
      <c r="AB123" s="1724"/>
      <c r="AC123" s="1724"/>
      <c r="AD123" s="1724"/>
      <c r="AE123" s="1724"/>
      <c r="AF123" s="1724"/>
      <c r="AG123" s="1724"/>
      <c r="AH123" s="1724"/>
      <c r="AI123" s="1724"/>
      <c r="AJ123" s="2039"/>
      <c r="AK123" s="1724"/>
      <c r="AL123" s="1724"/>
      <c r="AM123" s="1724"/>
      <c r="AN123" s="1724"/>
      <c r="AO123" s="2039"/>
      <c r="AP123" s="1327"/>
      <c r="AQ123" s="1327"/>
      <c r="AR123" s="1327"/>
      <c r="AS123" s="1327"/>
      <c r="AT123" s="2161"/>
      <c r="AU123" s="1327"/>
      <c r="AV123" s="1327"/>
      <c r="AW123" s="1327"/>
      <c r="AX123" s="1327"/>
      <c r="AY123" s="2161"/>
      <c r="AZ123" s="1327"/>
      <c r="BA123" s="1327"/>
      <c r="BB123" s="1327"/>
      <c r="BC123" s="1327"/>
      <c r="BD123" s="2161"/>
      <c r="BE123" s="1327"/>
      <c r="BF123" s="1327"/>
      <c r="BG123" s="1327"/>
      <c r="BH123" s="1327"/>
      <c r="BI123" s="2161"/>
      <c r="BJ123" s="1327"/>
      <c r="BK123" s="1327"/>
      <c r="BL123" s="1327"/>
      <c r="BM123" s="1327"/>
      <c r="BN123" s="2161"/>
      <c r="BO123" s="1699"/>
      <c r="BP123" s="1323"/>
      <c r="BQ123" s="2040"/>
      <c r="BR123" s="1293"/>
      <c r="BS123" s="1293"/>
      <c r="BT123" s="1293"/>
      <c r="BU123" s="1293"/>
      <c r="BV123" s="1293"/>
      <c r="BW123" s="1293"/>
      <c r="BX123" s="1293"/>
      <c r="BY123" s="1293"/>
      <c r="BZ123" s="1293"/>
      <c r="CA123" s="1293"/>
      <c r="CB123" s="1293"/>
      <c r="CC123" s="1293"/>
      <c r="CD123" s="1293"/>
      <c r="CE123" s="1293"/>
      <c r="CF123" s="1293"/>
      <c r="CG123" s="1293"/>
      <c r="CH123" s="1293"/>
      <c r="CI123" s="1293"/>
      <c r="CJ123" s="1293"/>
      <c r="CK123" s="1293"/>
      <c r="CL123" s="1293"/>
      <c r="CM123" s="1293"/>
      <c r="CN123" s="1293"/>
      <c r="CO123" s="1293"/>
      <c r="CP123" s="1293"/>
      <c r="CQ123" s="1293"/>
      <c r="CR123" s="1293"/>
      <c r="CS123" s="1293"/>
      <c r="CT123" s="1293"/>
      <c r="CU123" s="1293"/>
      <c r="CV123" s="1293"/>
      <c r="CW123" s="1293"/>
      <c r="CX123" s="1293"/>
      <c r="CY123" s="2041"/>
      <c r="CZ123" s="1699"/>
      <c r="DA123" s="2083"/>
      <c r="DB123" s="2084"/>
      <c r="DC123" s="1293"/>
      <c r="DD123" s="1293"/>
      <c r="DE123" s="1293"/>
      <c r="DF123" s="1293"/>
      <c r="DG123" s="1293"/>
      <c r="DH123" s="1293"/>
      <c r="DI123" s="1293"/>
      <c r="DJ123" s="1293"/>
      <c r="DK123" s="1293"/>
      <c r="DL123" s="1293"/>
    </row>
    <row r="124" spans="1:116" ht="15.75" hidden="1" outlineLevel="1">
      <c r="A124" s="1293"/>
      <c r="B124" s="1293" t="str">
        <f t="shared" si="211"/>
        <v>Rwanda</v>
      </c>
      <c r="C124" s="1699"/>
      <c r="D124" s="1699"/>
      <c r="E124" s="1699"/>
      <c r="F124" s="1699"/>
      <c r="G124" s="2039"/>
      <c r="H124" s="1699"/>
      <c r="I124" s="1699"/>
      <c r="J124" s="1699"/>
      <c r="K124" s="1699"/>
      <c r="L124" s="2039"/>
      <c r="M124" s="1699"/>
      <c r="N124" s="1699"/>
      <c r="O124" s="1699"/>
      <c r="P124" s="1699"/>
      <c r="Q124" s="2039"/>
      <c r="R124" s="1699"/>
      <c r="S124" s="1699"/>
      <c r="T124" s="1699"/>
      <c r="U124" s="1699"/>
      <c r="V124" s="2039"/>
      <c r="W124" s="1699"/>
      <c r="X124" s="1699"/>
      <c r="Y124" s="1699"/>
      <c r="Z124" s="1699"/>
      <c r="AA124" s="2039"/>
      <c r="AB124" s="1699"/>
      <c r="AC124" s="1699"/>
      <c r="AD124" s="1699"/>
      <c r="AE124" s="1699"/>
      <c r="AF124" s="1699"/>
      <c r="AG124" s="1699"/>
      <c r="AH124" s="1699"/>
      <c r="AI124" s="1699"/>
      <c r="AJ124" s="2039"/>
      <c r="AK124" s="1699"/>
      <c r="AL124" s="1699"/>
      <c r="AM124" s="1699"/>
      <c r="AN124" s="1699"/>
      <c r="AO124" s="2039"/>
      <c r="AP124" s="1327"/>
      <c r="AQ124" s="1327"/>
      <c r="AR124" s="1327"/>
      <c r="AS124" s="1327"/>
      <c r="AT124" s="2161"/>
      <c r="AU124" s="1327"/>
      <c r="AV124" s="1327"/>
      <c r="AW124" s="1327"/>
      <c r="AX124" s="1327"/>
      <c r="AY124" s="2161"/>
      <c r="AZ124" s="1327"/>
      <c r="BA124" s="1327"/>
      <c r="BB124" s="1327"/>
      <c r="BC124" s="1327"/>
      <c r="BD124" s="2161"/>
      <c r="BE124" s="1327"/>
      <c r="BF124" s="1327"/>
      <c r="BG124" s="1327"/>
      <c r="BH124" s="1327"/>
      <c r="BI124" s="2161"/>
      <c r="BJ124" s="1327"/>
      <c r="BK124" s="1327"/>
      <c r="BL124" s="1327"/>
      <c r="BM124" s="1327"/>
      <c r="BN124" s="2161"/>
      <c r="BO124" s="1699"/>
      <c r="BP124" s="1323"/>
      <c r="BQ124" s="2040"/>
      <c r="BR124" s="1293"/>
      <c r="BS124" s="1293"/>
      <c r="BT124" s="1293"/>
      <c r="BU124" s="1293"/>
      <c r="BV124" s="1293"/>
      <c r="BW124" s="1293"/>
      <c r="BX124" s="1293"/>
      <c r="BY124" s="1293"/>
      <c r="BZ124" s="1293"/>
      <c r="CA124" s="1293"/>
      <c r="CB124" s="1293"/>
      <c r="CC124" s="1293"/>
      <c r="CD124" s="1293"/>
      <c r="CE124" s="1293"/>
      <c r="CF124" s="1293"/>
      <c r="CG124" s="1293"/>
      <c r="CH124" s="1293"/>
      <c r="CI124" s="1293"/>
      <c r="CJ124" s="1293"/>
      <c r="CK124" s="1293"/>
      <c r="CL124" s="1293"/>
      <c r="CM124" s="1293"/>
      <c r="CN124" s="1293"/>
      <c r="CO124" s="1293"/>
      <c r="CP124" s="1293"/>
      <c r="CQ124" s="1293"/>
      <c r="CR124" s="1293"/>
      <c r="CS124" s="1293"/>
      <c r="CT124" s="1293"/>
      <c r="CU124" s="1293"/>
      <c r="CV124" s="1293"/>
      <c r="CW124" s="1293"/>
      <c r="CX124" s="1293"/>
      <c r="CY124" s="2041"/>
      <c r="CZ124" s="1699"/>
      <c r="DA124" s="2042"/>
      <c r="DB124" s="2041"/>
      <c r="DC124" s="1293"/>
      <c r="DD124" s="1293"/>
      <c r="DE124" s="1293"/>
      <c r="DF124" s="1293"/>
      <c r="DG124" s="1293"/>
      <c r="DH124" s="1293"/>
      <c r="DI124" s="1293"/>
      <c r="DJ124" s="1293"/>
      <c r="DK124" s="1293"/>
      <c r="DL124" s="1293"/>
    </row>
    <row r="125" spans="1:116" ht="15.75" hidden="1" outlineLevel="1">
      <c r="A125" s="1293"/>
      <c r="B125" s="1293" t="str">
        <f t="shared" si="211"/>
        <v>Senegal</v>
      </c>
      <c r="C125" s="1699"/>
      <c r="D125" s="1699"/>
      <c r="E125" s="1699"/>
      <c r="F125" s="1699"/>
      <c r="G125" s="2039"/>
      <c r="H125" s="1699"/>
      <c r="I125" s="1699"/>
      <c r="J125" s="1699"/>
      <c r="K125" s="1699"/>
      <c r="L125" s="2039"/>
      <c r="M125" s="1699"/>
      <c r="N125" s="1699"/>
      <c r="O125" s="1699"/>
      <c r="P125" s="1699"/>
      <c r="Q125" s="2039"/>
      <c r="R125" s="1699"/>
      <c r="S125" s="1724"/>
      <c r="T125" s="1724"/>
      <c r="U125" s="1724"/>
      <c r="V125" s="2039"/>
      <c r="W125" s="1724"/>
      <c r="X125" s="1724"/>
      <c r="Y125" s="1724"/>
      <c r="Z125" s="1724"/>
      <c r="AA125" s="2039"/>
      <c r="AB125" s="1724"/>
      <c r="AC125" s="1724"/>
      <c r="AD125" s="1724"/>
      <c r="AE125" s="1724"/>
      <c r="AF125" s="1724"/>
      <c r="AG125" s="1724"/>
      <c r="AH125" s="1724"/>
      <c r="AI125" s="1724"/>
      <c r="AJ125" s="2039"/>
      <c r="AK125" s="1724"/>
      <c r="AL125" s="1724"/>
      <c r="AM125" s="1724"/>
      <c r="AN125" s="1724"/>
      <c r="AO125" s="2039"/>
      <c r="AP125" s="1327"/>
      <c r="AQ125" s="1327"/>
      <c r="AR125" s="1327"/>
      <c r="AS125" s="1327"/>
      <c r="AT125" s="2161"/>
      <c r="AU125" s="1327"/>
      <c r="AV125" s="1327"/>
      <c r="AW125" s="1327"/>
      <c r="AX125" s="1327"/>
      <c r="AY125" s="2161"/>
      <c r="AZ125" s="1327"/>
      <c r="BA125" s="1327"/>
      <c r="BB125" s="1327"/>
      <c r="BC125" s="1327"/>
      <c r="BD125" s="2161"/>
      <c r="BE125" s="1327"/>
      <c r="BF125" s="1327"/>
      <c r="BG125" s="1327"/>
      <c r="BH125" s="1327"/>
      <c r="BI125" s="2161"/>
      <c r="BJ125" s="1327"/>
      <c r="BK125" s="1327"/>
      <c r="BL125" s="1327"/>
      <c r="BM125" s="1327"/>
      <c r="BN125" s="2161"/>
      <c r="BO125" s="1699"/>
      <c r="BP125" s="1323"/>
      <c r="BQ125" s="2040"/>
      <c r="BR125" s="1293"/>
      <c r="BS125" s="1293"/>
      <c r="BT125" s="1293"/>
      <c r="BU125" s="1293"/>
      <c r="BV125" s="1293"/>
      <c r="BW125" s="1293"/>
      <c r="BX125" s="1293"/>
      <c r="BY125" s="1293"/>
      <c r="BZ125" s="1293"/>
      <c r="CA125" s="1293"/>
      <c r="CB125" s="1293"/>
      <c r="CC125" s="1293"/>
      <c r="CD125" s="1293"/>
      <c r="CE125" s="1293"/>
      <c r="CF125" s="1293"/>
      <c r="CG125" s="1293"/>
      <c r="CH125" s="1293"/>
      <c r="CI125" s="1293"/>
      <c r="CJ125" s="1293"/>
      <c r="CK125" s="1293"/>
      <c r="CL125" s="1293"/>
      <c r="CM125" s="1293"/>
      <c r="CN125" s="1293"/>
      <c r="CO125" s="1293"/>
      <c r="CP125" s="1293"/>
      <c r="CQ125" s="1293"/>
      <c r="CR125" s="1293"/>
      <c r="CS125" s="1293"/>
      <c r="CT125" s="1293"/>
      <c r="CU125" s="1293"/>
      <c r="CV125" s="1293"/>
      <c r="CW125" s="1293"/>
      <c r="CX125" s="1293"/>
      <c r="CY125" s="2041"/>
      <c r="CZ125" s="1699"/>
      <c r="DA125" s="2083"/>
      <c r="DB125" s="2084"/>
      <c r="DC125" s="1293"/>
      <c r="DD125" s="1293"/>
      <c r="DE125" s="1293"/>
      <c r="DF125" s="1293"/>
      <c r="DG125" s="1293"/>
      <c r="DH125" s="1293"/>
      <c r="DI125" s="1293"/>
      <c r="DJ125" s="1293"/>
      <c r="DK125" s="1293"/>
      <c r="DL125" s="1293"/>
    </row>
    <row r="126" spans="1:116" ht="15.75" hidden="1" outlineLevel="1">
      <c r="A126" s="1293"/>
      <c r="B126" s="1293" t="str">
        <f t="shared" si="211"/>
        <v>Tanzania</v>
      </c>
      <c r="C126" s="1699"/>
      <c r="D126" s="1699"/>
      <c r="E126" s="1699"/>
      <c r="F126" s="1699"/>
      <c r="G126" s="2039"/>
      <c r="H126" s="1699"/>
      <c r="I126" s="1699"/>
      <c r="J126" s="1699"/>
      <c r="K126" s="1699"/>
      <c r="L126" s="2039"/>
      <c r="M126" s="1699"/>
      <c r="N126" s="1699"/>
      <c r="O126" s="1699"/>
      <c r="P126" s="1699"/>
      <c r="Q126" s="2039"/>
      <c r="R126" s="1699"/>
      <c r="S126" s="1699"/>
      <c r="T126" s="1699"/>
      <c r="U126" s="1699"/>
      <c r="V126" s="2039"/>
      <c r="W126" s="1699"/>
      <c r="X126" s="1699"/>
      <c r="Y126" s="1699"/>
      <c r="Z126" s="1699"/>
      <c r="AA126" s="2039"/>
      <c r="AB126" s="1699"/>
      <c r="AC126" s="1699"/>
      <c r="AD126" s="1699"/>
      <c r="AE126" s="1699"/>
      <c r="AF126" s="1699"/>
      <c r="AG126" s="1699"/>
      <c r="AH126" s="1699"/>
      <c r="AI126" s="1699"/>
      <c r="AJ126" s="2039"/>
      <c r="AK126" s="1699"/>
      <c r="AL126" s="1699"/>
      <c r="AM126" s="1699"/>
      <c r="AN126" s="1699"/>
      <c r="AO126" s="2039"/>
      <c r="AP126" s="1327"/>
      <c r="AQ126" s="1327"/>
      <c r="AR126" s="1327"/>
      <c r="AS126" s="1327"/>
      <c r="AT126" s="2161"/>
      <c r="AU126" s="1327"/>
      <c r="AV126" s="1327"/>
      <c r="AW126" s="1327"/>
      <c r="AX126" s="1327"/>
      <c r="AY126" s="2161"/>
      <c r="AZ126" s="1327"/>
      <c r="BA126" s="1327"/>
      <c r="BB126" s="1327"/>
      <c r="BC126" s="1327"/>
      <c r="BD126" s="2161"/>
      <c r="BE126" s="1327"/>
      <c r="BF126" s="1327"/>
      <c r="BG126" s="1327"/>
      <c r="BH126" s="1327"/>
      <c r="BI126" s="2161"/>
      <c r="BJ126" s="1327"/>
      <c r="BK126" s="1327"/>
      <c r="BL126" s="1327"/>
      <c r="BM126" s="1327"/>
      <c r="BN126" s="2161"/>
      <c r="BO126" s="1699"/>
      <c r="BP126" s="1323"/>
      <c r="BQ126" s="2040"/>
      <c r="BR126" s="1293"/>
      <c r="BS126" s="1293"/>
      <c r="BT126" s="1293"/>
      <c r="BU126" s="1293"/>
      <c r="BV126" s="1293"/>
      <c r="BW126" s="1293"/>
      <c r="BX126" s="1293"/>
      <c r="BY126" s="1293"/>
      <c r="BZ126" s="1293"/>
      <c r="CA126" s="1293"/>
      <c r="CB126" s="1293"/>
      <c r="CC126" s="1293"/>
      <c r="CD126" s="1293"/>
      <c r="CE126" s="1293"/>
      <c r="CF126" s="1293"/>
      <c r="CG126" s="1293"/>
      <c r="CH126" s="1293"/>
      <c r="CI126" s="1293"/>
      <c r="CJ126" s="1293"/>
      <c r="CK126" s="1293"/>
      <c r="CL126" s="1293"/>
      <c r="CM126" s="1293"/>
      <c r="CN126" s="1293"/>
      <c r="CO126" s="1293"/>
      <c r="CP126" s="1293"/>
      <c r="CQ126" s="1293"/>
      <c r="CR126" s="1293"/>
      <c r="CS126" s="1293"/>
      <c r="CT126" s="1293"/>
      <c r="CU126" s="1293"/>
      <c r="CV126" s="1293"/>
      <c r="CW126" s="1293"/>
      <c r="CX126" s="1293"/>
      <c r="CY126" s="2041"/>
      <c r="CZ126" s="1699"/>
      <c r="DA126" s="2042"/>
      <c r="DB126" s="2041"/>
      <c r="DC126" s="1293"/>
      <c r="DD126" s="1293"/>
      <c r="DE126" s="1293"/>
      <c r="DF126" s="1293"/>
      <c r="DG126" s="1293"/>
      <c r="DH126" s="1293"/>
      <c r="DI126" s="1293"/>
      <c r="DJ126" s="1293"/>
      <c r="DK126" s="1293"/>
      <c r="DL126" s="1293"/>
    </row>
    <row r="127" spans="1:116" ht="15.75" hidden="1" outlineLevel="1">
      <c r="A127" s="1293"/>
      <c r="B127" s="1293" t="str">
        <f t="shared" si="211"/>
        <v>Zantel</v>
      </c>
      <c r="C127" s="1699"/>
      <c r="D127" s="1699"/>
      <c r="E127" s="1699"/>
      <c r="F127" s="1699"/>
      <c r="G127" s="2039"/>
      <c r="H127" s="1699"/>
      <c r="I127" s="1699"/>
      <c r="J127" s="1699"/>
      <c r="K127" s="1699"/>
      <c r="L127" s="2039"/>
      <c r="M127" s="1699"/>
      <c r="N127" s="1699"/>
      <c r="O127" s="1699"/>
      <c r="P127" s="1699"/>
      <c r="Q127" s="2039"/>
      <c r="R127" s="1699"/>
      <c r="S127" s="1699"/>
      <c r="T127" s="1699"/>
      <c r="U127" s="1699"/>
      <c r="V127" s="2039"/>
      <c r="W127" s="1699"/>
      <c r="X127" s="1699"/>
      <c r="Y127" s="1699"/>
      <c r="Z127" s="1699"/>
      <c r="AA127" s="2039"/>
      <c r="AB127" s="1699"/>
      <c r="AC127" s="1699"/>
      <c r="AD127" s="1699"/>
      <c r="AE127" s="1699"/>
      <c r="AF127" s="1699"/>
      <c r="AG127" s="1699"/>
      <c r="AH127" s="1699"/>
      <c r="AI127" s="1699"/>
      <c r="AJ127" s="2039"/>
      <c r="AK127" s="1699"/>
      <c r="AL127" s="1699"/>
      <c r="AM127" s="1699"/>
      <c r="AN127" s="1699"/>
      <c r="AO127" s="2039"/>
      <c r="AP127" s="1327"/>
      <c r="AQ127" s="1327"/>
      <c r="AR127" s="1327"/>
      <c r="AS127" s="1327"/>
      <c r="AT127" s="2161"/>
      <c r="AU127" s="1327"/>
      <c r="AV127" s="1327"/>
      <c r="AW127" s="1327"/>
      <c r="AX127" s="1327"/>
      <c r="AY127" s="2161"/>
      <c r="AZ127" s="1327"/>
      <c r="BA127" s="1327"/>
      <c r="BB127" s="1327"/>
      <c r="BC127" s="1327"/>
      <c r="BD127" s="2161"/>
      <c r="BE127" s="1327"/>
      <c r="BF127" s="1327"/>
      <c r="BG127" s="1327"/>
      <c r="BH127" s="1327"/>
      <c r="BI127" s="2161"/>
      <c r="BJ127" s="1327"/>
      <c r="BK127" s="1327"/>
      <c r="BL127" s="1327"/>
      <c r="BM127" s="1327"/>
      <c r="BN127" s="2161"/>
      <c r="BO127" s="1699"/>
      <c r="BP127" s="1323"/>
      <c r="BQ127" s="2040"/>
      <c r="BR127" s="1293"/>
      <c r="BS127" s="1293"/>
      <c r="BT127" s="1293"/>
      <c r="BU127" s="1293"/>
      <c r="BV127" s="1293"/>
      <c r="BW127" s="1293"/>
      <c r="BX127" s="1293"/>
      <c r="BY127" s="1293"/>
      <c r="BZ127" s="1293"/>
      <c r="CA127" s="1293"/>
      <c r="CB127" s="1293"/>
      <c r="CC127" s="1293"/>
      <c r="CD127" s="1293"/>
      <c r="CE127" s="1293"/>
      <c r="CF127" s="1293"/>
      <c r="CG127" s="1293"/>
      <c r="CH127" s="1293"/>
      <c r="CI127" s="1293"/>
      <c r="CJ127" s="1293"/>
      <c r="CK127" s="1293"/>
      <c r="CL127" s="1293"/>
      <c r="CM127" s="1293"/>
      <c r="CN127" s="1293"/>
      <c r="CO127" s="1293"/>
      <c r="CP127" s="1293"/>
      <c r="CQ127" s="1293"/>
      <c r="CR127" s="1293"/>
      <c r="CS127" s="1293"/>
      <c r="CT127" s="1293"/>
      <c r="CU127" s="1293"/>
      <c r="CV127" s="1293"/>
      <c r="CW127" s="1293"/>
      <c r="CX127" s="1293"/>
      <c r="CY127" s="2041"/>
      <c r="CZ127" s="1699"/>
      <c r="DA127" s="2031"/>
      <c r="DB127" s="2032"/>
      <c r="DC127" s="1293"/>
      <c r="DD127" s="1293"/>
      <c r="DE127" s="1293"/>
      <c r="DF127" s="1293"/>
      <c r="DG127" s="1293"/>
      <c r="DH127" s="1293"/>
      <c r="DI127" s="1293"/>
      <c r="DJ127" s="1293"/>
      <c r="DK127" s="1293"/>
      <c r="DL127" s="1293"/>
    </row>
    <row r="128" spans="1:116" ht="15.75" hidden="1" outlineLevel="1">
      <c r="A128" s="1293"/>
      <c r="B128" s="1331" t="str">
        <f t="shared" si="211"/>
        <v>Balancing item</v>
      </c>
      <c r="C128" s="1703"/>
      <c r="D128" s="1703"/>
      <c r="E128" s="1703"/>
      <c r="F128" s="1703"/>
      <c r="G128" s="2048"/>
      <c r="H128" s="1703"/>
      <c r="I128" s="1703"/>
      <c r="J128" s="1703"/>
      <c r="K128" s="1703"/>
      <c r="L128" s="2048"/>
      <c r="M128" s="1703"/>
      <c r="N128" s="1703"/>
      <c r="O128" s="1703"/>
      <c r="P128" s="1703"/>
      <c r="Q128" s="2048"/>
      <c r="R128" s="1703"/>
      <c r="S128" s="1703"/>
      <c r="T128" s="1703"/>
      <c r="U128" s="1703"/>
      <c r="V128" s="2048"/>
      <c r="W128" s="1703"/>
      <c r="X128" s="1703"/>
      <c r="Y128" s="1703"/>
      <c r="Z128" s="1703"/>
      <c r="AA128" s="2048"/>
      <c r="AB128" s="1703"/>
      <c r="AC128" s="1703"/>
      <c r="AD128" s="1703"/>
      <c r="AE128" s="1703"/>
      <c r="AF128" s="1703"/>
      <c r="AG128" s="1703"/>
      <c r="AH128" s="1703"/>
      <c r="AI128" s="1703"/>
      <c r="AJ128" s="2048"/>
      <c r="AK128" s="1703"/>
      <c r="AL128" s="1703"/>
      <c r="AM128" s="1703"/>
      <c r="AN128" s="1703"/>
      <c r="AO128" s="2048"/>
      <c r="AP128" s="1718"/>
      <c r="AQ128" s="1718"/>
      <c r="AR128" s="1718"/>
      <c r="AS128" s="1718"/>
      <c r="AT128" s="2464"/>
      <c r="AU128" s="1718"/>
      <c r="AV128" s="1718"/>
      <c r="AW128" s="1718"/>
      <c r="AX128" s="1718"/>
      <c r="AY128" s="2464"/>
      <c r="AZ128" s="1718"/>
      <c r="BA128" s="1718"/>
      <c r="BB128" s="1718"/>
      <c r="BC128" s="1718"/>
      <c r="BD128" s="2464"/>
      <c r="BE128" s="1718"/>
      <c r="BF128" s="1718"/>
      <c r="BG128" s="1718"/>
      <c r="BH128" s="1718"/>
      <c r="BI128" s="2464"/>
      <c r="BJ128" s="1718"/>
      <c r="BK128" s="1645"/>
      <c r="BL128" s="1645"/>
      <c r="BM128" s="1645"/>
      <c r="BN128" s="2464"/>
      <c r="BO128" s="1699"/>
      <c r="BP128" s="1323"/>
      <c r="BQ128" s="2040"/>
      <c r="BR128" s="1293"/>
      <c r="BS128" s="1293"/>
      <c r="BT128" s="1293"/>
      <c r="BU128" s="1293"/>
      <c r="BV128" s="1293"/>
      <c r="BW128" s="1293"/>
      <c r="BX128" s="1293"/>
      <c r="BY128" s="1293"/>
      <c r="BZ128" s="1293"/>
      <c r="CA128" s="1293"/>
      <c r="CB128" s="1293"/>
      <c r="CC128" s="1293"/>
      <c r="CD128" s="1293"/>
      <c r="CE128" s="1293"/>
      <c r="CF128" s="1293"/>
      <c r="CG128" s="1293"/>
      <c r="CH128" s="1293"/>
      <c r="CI128" s="1293"/>
      <c r="CJ128" s="1293"/>
      <c r="CK128" s="1293"/>
      <c r="CL128" s="1293"/>
      <c r="CM128" s="1293"/>
      <c r="CN128" s="1293"/>
      <c r="CO128" s="1293"/>
      <c r="CP128" s="1293"/>
      <c r="CQ128" s="1293"/>
      <c r="CR128" s="1293"/>
      <c r="CS128" s="1293"/>
      <c r="CT128" s="1293"/>
      <c r="CU128" s="1293"/>
      <c r="CV128" s="1293"/>
      <c r="CW128" s="1293"/>
      <c r="CX128" s="1293"/>
      <c r="CY128" s="2049"/>
      <c r="CZ128" s="1703"/>
      <c r="DA128" s="2050"/>
      <c r="DB128" s="2051"/>
      <c r="DC128" s="1293"/>
      <c r="DD128" s="1293"/>
      <c r="DE128" s="1293"/>
      <c r="DF128" s="1293"/>
      <c r="DG128" s="1293"/>
      <c r="DH128" s="1293"/>
      <c r="DI128" s="1293"/>
      <c r="DJ128" s="1293"/>
      <c r="DK128" s="1293"/>
      <c r="DL128" s="1293"/>
    </row>
    <row r="129" spans="1:116" ht="15.75" hidden="1" outlineLevel="1">
      <c r="A129" s="1293"/>
      <c r="B129" s="1293" t="s">
        <v>1831</v>
      </c>
      <c r="C129" s="1699">
        <v>52.579124618046492</v>
      </c>
      <c r="D129" s="1699">
        <v>62.829938521996937</v>
      </c>
      <c r="E129" s="1699">
        <v>54.688088426106319</v>
      </c>
      <c r="F129" s="1699">
        <v>48.382648907490477</v>
      </c>
      <c r="G129" s="2039">
        <v>218.47980047364024</v>
      </c>
      <c r="H129" s="1699">
        <v>56.857828980387552</v>
      </c>
      <c r="I129" s="1699">
        <v>51.863769862069773</v>
      </c>
      <c r="J129" s="1699">
        <v>48.116546495960989</v>
      </c>
      <c r="K129" s="1699">
        <v>16.541013002221746</v>
      </c>
      <c r="L129" s="2039">
        <v>173.37915834064006</v>
      </c>
      <c r="M129" s="1699">
        <v>56.796317474023397</v>
      </c>
      <c r="N129" s="1699">
        <v>62.486414211300399</v>
      </c>
      <c r="O129" s="1699">
        <v>63.931573151320777</v>
      </c>
      <c r="P129" s="1699">
        <v>74</v>
      </c>
      <c r="Q129" s="2039">
        <f>SUM(M129:P129)</f>
        <v>257.2143048366446</v>
      </c>
      <c r="R129" s="1699">
        <v>53</v>
      </c>
      <c r="S129" s="1699">
        <v>47</v>
      </c>
      <c r="T129" s="1699">
        <v>42</v>
      </c>
      <c r="U129" s="1699">
        <v>49</v>
      </c>
      <c r="V129" s="2039">
        <f>SUM(R129:U129)</f>
        <v>191</v>
      </c>
      <c r="W129" s="1986">
        <f>37-W133</f>
        <v>41</v>
      </c>
      <c r="X129" s="1986">
        <f>32-X133</f>
        <v>36</v>
      </c>
      <c r="Y129" s="1986">
        <f>38-Y133</f>
        <v>42</v>
      </c>
      <c r="Z129" s="1986">
        <f>37-Z133</f>
        <v>41</v>
      </c>
      <c r="AA129" s="2039">
        <f>SUM(W129:Z129)</f>
        <v>160</v>
      </c>
      <c r="AB129" s="1986">
        <f>39-AB133</f>
        <v>43</v>
      </c>
      <c r="AC129" s="1986">
        <f>39-8-AC133</f>
        <v>35</v>
      </c>
      <c r="AD129" s="1986">
        <f>17+21-AD133</f>
        <v>42.5</v>
      </c>
      <c r="AE129" s="1986">
        <f>17+21-8.3-AE133</f>
        <v>34.200000000000003</v>
      </c>
      <c r="AF129" s="1986">
        <f>39-AF133</f>
        <v>43.5</v>
      </c>
      <c r="AG129" s="1986">
        <f>30-AG133</f>
        <v>34.5</v>
      </c>
      <c r="AH129" s="1986">
        <f>35-AH133</f>
        <v>39.5</v>
      </c>
      <c r="AI129" s="1986"/>
      <c r="AJ129" s="2039">
        <f>AB129+AD129+AF129+AH129</f>
        <v>168.5</v>
      </c>
      <c r="AK129" s="1986">
        <f>30-AK133</f>
        <v>34</v>
      </c>
      <c r="AL129" s="1986">
        <f>29-AL133</f>
        <v>33</v>
      </c>
      <c r="AM129" s="1986">
        <f>32-AM133</f>
        <v>36</v>
      </c>
      <c r="AN129" s="1986">
        <f>34-AN133</f>
        <v>38</v>
      </c>
      <c r="AO129" s="2039">
        <f>AK129+AL129+AM129+AN129</f>
        <v>141</v>
      </c>
      <c r="AP129" s="2337">
        <f>31-AP133</f>
        <v>35</v>
      </c>
      <c r="AQ129" s="2337">
        <f>30-AQ133</f>
        <v>34</v>
      </c>
      <c r="AR129" s="2337">
        <f>26-AR133</f>
        <v>30</v>
      </c>
      <c r="AS129" s="2337">
        <f>25-AS133</f>
        <v>29</v>
      </c>
      <c r="AT129" s="2161">
        <f>AP129+AQ129+AR129+AS129</f>
        <v>128</v>
      </c>
      <c r="AU129" s="1999">
        <v>0</v>
      </c>
      <c r="AV129" s="1999">
        <v>0</v>
      </c>
      <c r="AW129" s="1999">
        <v>0</v>
      </c>
      <c r="AX129" s="1999">
        <v>0</v>
      </c>
      <c r="AY129" s="2161">
        <f>AU129+AV129+AW129+AX129</f>
        <v>0</v>
      </c>
      <c r="AZ129" s="1999">
        <v>0</v>
      </c>
      <c r="BA129" s="1999">
        <v>0</v>
      </c>
      <c r="BB129" s="1999">
        <v>0</v>
      </c>
      <c r="BC129" s="1327">
        <v>0</v>
      </c>
      <c r="BD129" s="2161">
        <f>AZ129+BA129+BB129+BC129</f>
        <v>0</v>
      </c>
      <c r="BE129" s="1503">
        <v>0</v>
      </c>
      <c r="BF129" s="1503">
        <v>0</v>
      </c>
      <c r="BG129" s="2330">
        <v>0</v>
      </c>
      <c r="BH129" s="2330">
        <f ca="1">BI129-BE129-BF129-BG129</f>
        <v>0</v>
      </c>
      <c r="BI129" s="2161">
        <f ca="1">BE129+BF129+BG129+BH129</f>
        <v>0</v>
      </c>
      <c r="BJ129" s="1503"/>
      <c r="BK129" s="1503"/>
      <c r="BL129" s="1503"/>
      <c r="BM129" s="1503"/>
      <c r="BN129" s="2161">
        <f ca="1">BF129+BG129+BH129+BI129</f>
        <v>0</v>
      </c>
      <c r="BO129" s="1699"/>
      <c r="BP129" s="1323"/>
      <c r="BQ129" s="2040"/>
      <c r="BR129" s="1293"/>
      <c r="BS129" s="1293"/>
      <c r="BT129" s="1293"/>
      <c r="BU129" s="1293"/>
      <c r="BV129" s="1293"/>
      <c r="BW129" s="1293"/>
      <c r="BX129" s="1293"/>
      <c r="BY129" s="1293"/>
      <c r="BZ129" s="1293"/>
      <c r="CA129" s="1293"/>
      <c r="CB129" s="1293"/>
      <c r="CC129" s="1293"/>
      <c r="CD129" s="1293"/>
      <c r="CE129" s="1293"/>
      <c r="CF129" s="1293"/>
      <c r="CG129" s="1293"/>
      <c r="CH129" s="1293"/>
      <c r="CI129" s="1293"/>
      <c r="CJ129" s="1293"/>
      <c r="CK129" s="1293"/>
      <c r="CL129" s="1293"/>
      <c r="CM129" s="1293"/>
      <c r="CN129" s="1293"/>
      <c r="CO129" s="1293"/>
      <c r="CP129" s="1293"/>
      <c r="CQ129" s="1293"/>
      <c r="CR129" s="1293"/>
      <c r="CS129" s="1293"/>
      <c r="CT129" s="1293"/>
      <c r="CU129" s="1293"/>
      <c r="CV129" s="1293"/>
      <c r="CW129" s="1293"/>
      <c r="CX129" s="1293"/>
      <c r="CY129" s="2041">
        <v>0</v>
      </c>
      <c r="CZ129" s="1699">
        <v>0</v>
      </c>
      <c r="DA129" s="2098">
        <v>0</v>
      </c>
      <c r="DB129" s="2099">
        <v>0</v>
      </c>
      <c r="DC129" s="1293"/>
      <c r="DD129" s="1293"/>
      <c r="DE129" s="1293"/>
      <c r="DF129" s="1293"/>
      <c r="DG129" s="1293"/>
      <c r="DH129" s="1293"/>
      <c r="DI129" s="1293"/>
      <c r="DJ129" s="1293"/>
      <c r="DK129" s="1293"/>
      <c r="DL129" s="1293"/>
    </row>
    <row r="130" spans="1:116" ht="15.75" collapsed="1">
      <c r="A130" s="1293"/>
      <c r="B130" s="1293"/>
      <c r="C130" s="1699"/>
      <c r="D130" s="1699"/>
      <c r="E130" s="1699"/>
      <c r="F130" s="1699"/>
      <c r="G130" s="2039"/>
      <c r="H130" s="1699"/>
      <c r="I130" s="1699"/>
      <c r="J130" s="1699"/>
      <c r="K130" s="1699"/>
      <c r="L130" s="2039"/>
      <c r="M130" s="1699"/>
      <c r="N130" s="1699"/>
      <c r="O130" s="1699"/>
      <c r="P130" s="1699"/>
      <c r="Q130" s="2039"/>
      <c r="R130" s="1699"/>
      <c r="S130" s="1699"/>
      <c r="T130" s="1699"/>
      <c r="U130" s="1699"/>
      <c r="V130" s="2039"/>
      <c r="W130" s="1699"/>
      <c r="X130" s="1699"/>
      <c r="Y130" s="1699"/>
      <c r="Z130" s="1699"/>
      <c r="AA130" s="2039"/>
      <c r="AB130" s="1699"/>
      <c r="AC130" s="1699"/>
      <c r="AD130" s="1699"/>
      <c r="AE130" s="1699"/>
      <c r="AF130" s="1699"/>
      <c r="AG130" s="1699"/>
      <c r="AH130" s="1699"/>
      <c r="AI130" s="1699"/>
      <c r="AJ130" s="2039"/>
      <c r="AK130" s="1699"/>
      <c r="AL130" s="1699"/>
      <c r="AM130" s="1699"/>
      <c r="AN130" s="1699"/>
      <c r="AO130" s="2039"/>
      <c r="AP130" s="1327"/>
      <c r="AQ130" s="1327"/>
      <c r="AR130" s="1327"/>
      <c r="AS130" s="1327"/>
      <c r="AT130" s="2161"/>
      <c r="AU130" s="1327"/>
      <c r="AV130" s="1327"/>
      <c r="AW130" s="1327"/>
      <c r="AX130" s="1327"/>
      <c r="AY130" s="2161"/>
      <c r="AZ130" s="1327"/>
      <c r="BA130" s="1327"/>
      <c r="BB130" s="1327"/>
      <c r="BC130" s="1327"/>
      <c r="BD130" s="2161"/>
      <c r="BE130" s="1327"/>
      <c r="BF130" s="1327"/>
      <c r="BG130" s="1327"/>
      <c r="BH130" s="1327"/>
      <c r="BI130" s="2161"/>
      <c r="BJ130" s="1327"/>
      <c r="BK130" s="1327"/>
      <c r="BL130" s="1327"/>
      <c r="BM130" s="1327"/>
      <c r="BN130" s="2161"/>
      <c r="BO130" s="1699"/>
      <c r="BP130" s="1323"/>
      <c r="BQ130" s="2040"/>
      <c r="BR130" s="1293"/>
      <c r="BS130" s="1293"/>
      <c r="BT130" s="1293"/>
      <c r="BU130" s="1293"/>
      <c r="BV130" s="1293"/>
      <c r="BW130" s="1293"/>
      <c r="BX130" s="1293"/>
      <c r="BY130" s="1293"/>
      <c r="BZ130" s="1293"/>
      <c r="CA130" s="1293"/>
      <c r="CB130" s="1293"/>
      <c r="CC130" s="1293"/>
      <c r="CD130" s="1293"/>
      <c r="CE130" s="1293"/>
      <c r="CF130" s="1293"/>
      <c r="CG130" s="1293"/>
      <c r="CH130" s="1293"/>
      <c r="CI130" s="1293"/>
      <c r="CJ130" s="1293"/>
      <c r="CK130" s="1293"/>
      <c r="CL130" s="1293"/>
      <c r="CM130" s="1293"/>
      <c r="CN130" s="1293"/>
      <c r="CO130" s="1293"/>
      <c r="CP130" s="1293"/>
      <c r="CQ130" s="1293"/>
      <c r="CR130" s="1293"/>
      <c r="CS130" s="1293"/>
      <c r="CT130" s="1293"/>
      <c r="CU130" s="1293"/>
      <c r="CV130" s="1293"/>
      <c r="CW130" s="1293"/>
      <c r="CX130" s="1293"/>
      <c r="CY130" s="2041"/>
      <c r="CZ130" s="1699"/>
      <c r="DA130" s="2042"/>
      <c r="DB130" s="2041"/>
      <c r="DC130" s="1293"/>
      <c r="DD130" s="1293"/>
      <c r="DE130" s="1293"/>
      <c r="DF130" s="1293"/>
      <c r="DG130" s="1293"/>
      <c r="DH130" s="1293"/>
      <c r="DI130" s="1293"/>
      <c r="DJ130" s="1293"/>
      <c r="DK130" s="1293"/>
      <c r="DL130" s="1293"/>
    </row>
    <row r="131" spans="1:116" ht="15.75">
      <c r="A131" s="1293"/>
      <c r="B131" s="1293" t="s">
        <v>4503</v>
      </c>
      <c r="C131" s="1699">
        <f t="shared" ref="C131:P131" si="212">C137-(C113+C119+C129+C134)</f>
        <v>0.46371270421138888</v>
      </c>
      <c r="D131" s="1699">
        <f t="shared" si="212"/>
        <v>-0.78636887416053014</v>
      </c>
      <c r="E131" s="1699">
        <f t="shared" si="212"/>
        <v>5.5766361933706321E-2</v>
      </c>
      <c r="F131" s="1699">
        <f t="shared" si="212"/>
        <v>0.17019485699734105</v>
      </c>
      <c r="G131" s="2039">
        <f t="shared" si="212"/>
        <v>-9.6694951017980202E-2</v>
      </c>
      <c r="H131" s="1699">
        <f t="shared" si="212"/>
        <v>0.48681818637601282</v>
      </c>
      <c r="I131" s="1699">
        <f t="shared" si="212"/>
        <v>-2.688895235726136</v>
      </c>
      <c r="J131" s="1699">
        <f t="shared" si="212"/>
        <v>0.72163780139271694</v>
      </c>
      <c r="K131" s="1699">
        <f t="shared" si="212"/>
        <v>6.6733154438314841</v>
      </c>
      <c r="L131" s="2039">
        <f t="shared" si="212"/>
        <v>5.1981718232773346</v>
      </c>
      <c r="M131" s="1699">
        <f t="shared" si="212"/>
        <v>1.2238261100363843</v>
      </c>
      <c r="N131" s="1699">
        <f t="shared" si="212"/>
        <v>4.6657311538746171</v>
      </c>
      <c r="O131" s="1699">
        <f t="shared" si="212"/>
        <v>2.4982901963524</v>
      </c>
      <c r="P131" s="1699">
        <f t="shared" si="212"/>
        <v>8</v>
      </c>
      <c r="Q131" s="2039">
        <f>SUM(M131:P131)</f>
        <v>16.387847460263401</v>
      </c>
      <c r="R131" s="1699">
        <f>R137-(R113+R119+R129+R134)</f>
        <v>3</v>
      </c>
      <c r="S131" s="1699">
        <f>S137-(S113+S119+S129+S134)</f>
        <v>3</v>
      </c>
      <c r="T131" s="1699">
        <f>T137-(T113+T119+T129+T134)</f>
        <v>4</v>
      </c>
      <c r="U131" s="1699">
        <f>U137-(U113+U119+U129+U134)</f>
        <v>2.6760000000000446</v>
      </c>
      <c r="V131" s="2039">
        <f>SUM(R131:U131)</f>
        <v>12.676000000000045</v>
      </c>
      <c r="W131" s="1699">
        <f>W137-(W113+W119+W129+W134)</f>
        <v>3</v>
      </c>
      <c r="X131" s="1699">
        <f>X137-(X113+X119+X129+X134)</f>
        <v>5</v>
      </c>
      <c r="Y131" s="1699">
        <f>Y137-(Y113+Y119+Y129+Y134)</f>
        <v>1</v>
      </c>
      <c r="Z131" s="1699">
        <f>Z137-(Z113+Z119+Z129+Z134)</f>
        <v>-55</v>
      </c>
      <c r="AA131" s="2039">
        <f>SUM(W131:Z131)</f>
        <v>-46</v>
      </c>
      <c r="AB131" s="1699">
        <f t="shared" ref="AB131:AH131" si="213">AB137-(AB113+AB119+AB129+AB134)</f>
        <v>-6</v>
      </c>
      <c r="AC131" s="1699">
        <f t="shared" si="213"/>
        <v>-6</v>
      </c>
      <c r="AD131" s="1699">
        <f t="shared" si="213"/>
        <v>-19</v>
      </c>
      <c r="AE131" s="1699">
        <f t="shared" si="213"/>
        <v>-19</v>
      </c>
      <c r="AF131" s="1699">
        <f t="shared" si="213"/>
        <v>-6</v>
      </c>
      <c r="AG131" s="1699">
        <f t="shared" si="213"/>
        <v>-6</v>
      </c>
      <c r="AH131" s="1699">
        <f t="shared" si="213"/>
        <v>-11</v>
      </c>
      <c r="AI131" s="1699"/>
      <c r="AJ131" s="2039">
        <f>AB131+AD131+AF131+AH131</f>
        <v>-42</v>
      </c>
      <c r="AK131" s="1699">
        <v>0</v>
      </c>
      <c r="AL131" s="1699">
        <v>0</v>
      </c>
      <c r="AM131" s="1699">
        <v>0</v>
      </c>
      <c r="AN131" s="1699">
        <v>0</v>
      </c>
      <c r="AO131" s="2039">
        <f>AK131+AL131+AM131+AN131</f>
        <v>0</v>
      </c>
      <c r="AP131" s="1327">
        <v>0</v>
      </c>
      <c r="AQ131" s="1327">
        <v>0</v>
      </c>
      <c r="AR131" s="1327">
        <v>0</v>
      </c>
      <c r="AS131" s="1327">
        <v>0</v>
      </c>
      <c r="AT131" s="2161">
        <f>AP131+AQ131+AR131+AS131</f>
        <v>0</v>
      </c>
      <c r="AU131" s="1327"/>
      <c r="AV131" s="1327"/>
      <c r="AW131" s="1327"/>
      <c r="AX131" s="1327"/>
      <c r="AY131" s="2161">
        <f>AU131+AV131+AW131+AX131</f>
        <v>0</v>
      </c>
      <c r="AZ131" s="1327"/>
      <c r="BA131" s="1327"/>
      <c r="BB131" s="1327"/>
      <c r="BC131" s="1327"/>
      <c r="BD131" s="2161">
        <f>AZ131+BA131+BB131+BC131</f>
        <v>0</v>
      </c>
      <c r="BE131" s="1327"/>
      <c r="BF131" s="1327"/>
      <c r="BG131" s="1327"/>
      <c r="BH131" s="1327"/>
      <c r="BI131" s="2161">
        <f>BE131+BF131+BG131+BH131</f>
        <v>0</v>
      </c>
      <c r="BJ131" s="2484">
        <v>-12</v>
      </c>
      <c r="BK131" s="2484">
        <v>-12</v>
      </c>
      <c r="BL131" s="2484">
        <v>-12</v>
      </c>
      <c r="BM131" s="2484">
        <f t="shared" ref="BM131:BM132" si="214">BN131-BJ131-BK131-BL131</f>
        <v>-12.75</v>
      </c>
      <c r="BN131" s="2161">
        <f>'New split'!O303</f>
        <v>-48.75</v>
      </c>
      <c r="BO131" s="1699"/>
      <c r="BP131" s="1323"/>
      <c r="BQ131" s="2040"/>
      <c r="BR131" s="1293"/>
      <c r="BS131" s="1293"/>
      <c r="BT131" s="1293"/>
      <c r="BU131" s="1293"/>
      <c r="BV131" s="1293"/>
      <c r="BW131" s="1293"/>
      <c r="BX131" s="1293"/>
      <c r="BY131" s="1293"/>
      <c r="BZ131" s="1293"/>
      <c r="CA131" s="1293"/>
      <c r="CB131" s="1293"/>
      <c r="CC131" s="1293"/>
      <c r="CD131" s="1293"/>
      <c r="CE131" s="1293"/>
      <c r="CF131" s="1293"/>
      <c r="CG131" s="1293"/>
      <c r="CH131" s="1293"/>
      <c r="CI131" s="1293"/>
      <c r="CJ131" s="1293"/>
      <c r="CK131" s="1293"/>
      <c r="CL131" s="1293"/>
      <c r="CM131" s="1293"/>
      <c r="CN131" s="1293"/>
      <c r="CO131" s="1293"/>
      <c r="CP131" s="1293"/>
      <c r="CQ131" s="1293"/>
      <c r="CR131" s="1293"/>
      <c r="CS131" s="1293"/>
      <c r="CT131" s="1293"/>
      <c r="CU131" s="1293"/>
      <c r="CV131" s="1293"/>
      <c r="CW131" s="1293"/>
      <c r="CX131" s="1293"/>
      <c r="CY131" s="2041"/>
      <c r="CZ131" s="1699"/>
      <c r="DA131" s="2042"/>
      <c r="DB131" s="2041"/>
      <c r="DC131" s="1293"/>
      <c r="DD131" s="1293"/>
      <c r="DE131" s="1293"/>
      <c r="DF131" s="1293"/>
      <c r="DG131" s="1293"/>
      <c r="DH131" s="1293"/>
      <c r="DI131" s="1293"/>
      <c r="DJ131" s="1293"/>
      <c r="DK131" s="1293"/>
      <c r="DL131" s="1293"/>
    </row>
    <row r="132" spans="1:116" ht="15.75">
      <c r="A132" s="1293"/>
      <c r="B132" s="1293" t="s">
        <v>5307</v>
      </c>
      <c r="C132" s="1699"/>
      <c r="D132" s="1699"/>
      <c r="E132" s="1699"/>
      <c r="F132" s="1699"/>
      <c r="G132" s="2039"/>
      <c r="H132" s="1699"/>
      <c r="I132" s="1699"/>
      <c r="J132" s="1699"/>
      <c r="K132" s="1699"/>
      <c r="L132" s="2039"/>
      <c r="M132" s="1699"/>
      <c r="N132" s="1699"/>
      <c r="O132" s="1699"/>
      <c r="P132" s="1699"/>
      <c r="Q132" s="2039"/>
      <c r="R132" s="1699"/>
      <c r="S132" s="1699"/>
      <c r="T132" s="1699"/>
      <c r="U132" s="1699"/>
      <c r="V132" s="2039"/>
      <c r="W132" s="1986">
        <f>514+6-W113-W119</f>
        <v>-31.208000000000027</v>
      </c>
      <c r="X132" s="1986">
        <f>514+6-X113-X119</f>
        <v>-32.649999999999977</v>
      </c>
      <c r="Y132" s="1986">
        <f>525+(4-7)-Y113-Y119</f>
        <v>-34.77600000000001</v>
      </c>
      <c r="Z132" s="1986">
        <f>524+(3-5)-Z113-Z119</f>
        <v>-36</v>
      </c>
      <c r="AA132" s="2039">
        <f>SUM(W132:Z132)</f>
        <v>-134.63400000000001</v>
      </c>
      <c r="AB132" s="1986">
        <f>591-AB113-AB119</f>
        <v>-34.225000000000023</v>
      </c>
      <c r="AC132" s="1986">
        <f>591-42-AC113-AC119</f>
        <v>-40.432000000000016</v>
      </c>
      <c r="AD132" s="1986">
        <f>584+4-2-AD113-AD119</f>
        <v>-35.649999999999977</v>
      </c>
      <c r="AE132" s="1986">
        <f>584-38+4-2-AE113-AE119</f>
        <v>-38.519000000000005</v>
      </c>
      <c r="AF132" s="1986">
        <f>620-4-AF113-AF119</f>
        <v>-33.175000000000011</v>
      </c>
      <c r="AG132" s="1986">
        <f>620-44-4-AG113-AG119</f>
        <v>-36.128000000000014</v>
      </c>
      <c r="AH132" s="1986">
        <f>648-AH113-AH119</f>
        <v>-30.175000000000011</v>
      </c>
      <c r="AI132" s="1986"/>
      <c r="AJ132" s="2039">
        <f>AB132+AD132+AF132+AH132</f>
        <v>-133.22500000000002</v>
      </c>
      <c r="AK132" s="1699">
        <f>AK150</f>
        <v>-36</v>
      </c>
      <c r="AL132" s="1699">
        <f>AL150</f>
        <v>-27</v>
      </c>
      <c r="AM132" s="1699">
        <f>AM150</f>
        <v>-27</v>
      </c>
      <c r="AN132" s="1699">
        <f>AN150</f>
        <v>-33</v>
      </c>
      <c r="AO132" s="2039">
        <f>AK132+AL132+AM132+AN132</f>
        <v>-123</v>
      </c>
      <c r="AP132" s="1327">
        <f>AP150</f>
        <v>-29</v>
      </c>
      <c r="AQ132" s="1327">
        <f>AQ150</f>
        <v>-30</v>
      </c>
      <c r="AR132" s="1327">
        <f>AR150</f>
        <v>-30</v>
      </c>
      <c r="AS132" s="1327">
        <f>AS150</f>
        <v>-50</v>
      </c>
      <c r="AT132" s="2161">
        <f>AP132+AQ132+AR132+AS132</f>
        <v>-139</v>
      </c>
      <c r="AU132" s="1327">
        <f t="shared" ref="AU132:AX132" si="215">AU134</f>
        <v>-36.74</v>
      </c>
      <c r="AV132" s="1327">
        <f t="shared" si="215"/>
        <v>-29.386900000000001</v>
      </c>
      <c r="AW132" s="1327">
        <f t="shared" si="215"/>
        <v>-40.438400000000001</v>
      </c>
      <c r="AX132" s="1327">
        <f t="shared" si="215"/>
        <v>-41.102400000000003</v>
      </c>
      <c r="AY132" s="2161">
        <f>AU132+AV132+AW132+AX132</f>
        <v>-147.66770000000002</v>
      </c>
      <c r="AZ132" s="1327">
        <f t="shared" ref="AZ132:BC132" si="216">AZ134</f>
        <v>-52.597299999999997</v>
      </c>
      <c r="BA132" s="1327">
        <f t="shared" si="216"/>
        <v>-54.590499999999999</v>
      </c>
      <c r="BB132" s="1327">
        <f t="shared" si="216"/>
        <v>-67.738900000000001</v>
      </c>
      <c r="BC132" s="1327">
        <f t="shared" si="216"/>
        <v>-50.567300000000003</v>
      </c>
      <c r="BD132" s="2161">
        <f>AZ132+BA132+BB132+BC132</f>
        <v>-225.49399999999997</v>
      </c>
      <c r="BE132" s="1327">
        <f>BE134</f>
        <v>-36.801400000000001</v>
      </c>
      <c r="BF132" s="1327">
        <f>BF134</f>
        <v>-42.457299999999996</v>
      </c>
      <c r="BG132" s="1327">
        <f>BG134</f>
        <v>-83.773399999999995</v>
      </c>
      <c r="BH132" s="1327">
        <f ca="1">BI132-BE132-BF132-BG132</f>
        <v>-62.461899999999972</v>
      </c>
      <c r="BI132" s="2161">
        <f ca="1">BE132+BF132+BG132+BH132</f>
        <v>-225.49399999999997</v>
      </c>
      <c r="BJ132" s="2484">
        <v>-37.5</v>
      </c>
      <c r="BK132" s="2484">
        <v>-37.5</v>
      </c>
      <c r="BL132" s="2484">
        <v>-37.5</v>
      </c>
      <c r="BM132" s="2484">
        <f t="shared" si="214"/>
        <v>-37.5</v>
      </c>
      <c r="BN132" s="2161">
        <f>'New split'!O304</f>
        <v>-150</v>
      </c>
      <c r="BO132" s="1699"/>
      <c r="BP132" s="1323"/>
      <c r="BQ132" s="2053"/>
      <c r="BR132" s="1699"/>
      <c r="BS132" s="1699"/>
      <c r="BT132" s="1699"/>
      <c r="BU132" s="1293"/>
      <c r="BV132" s="1293"/>
      <c r="BW132" s="1293"/>
      <c r="BX132" s="1293"/>
      <c r="BY132" s="1293"/>
      <c r="BZ132" s="1293"/>
      <c r="CA132" s="1293"/>
      <c r="CB132" s="1293"/>
      <c r="CC132" s="1293"/>
      <c r="CD132" s="1293"/>
      <c r="CE132" s="1293"/>
      <c r="CF132" s="1293"/>
      <c r="CG132" s="1293"/>
      <c r="CH132" s="1293"/>
      <c r="CI132" s="1293"/>
      <c r="CJ132" s="1293"/>
      <c r="CK132" s="1293"/>
      <c r="CL132" s="1293"/>
      <c r="CM132" s="1293"/>
      <c r="CN132" s="1293"/>
      <c r="CO132" s="1293"/>
      <c r="CP132" s="1293"/>
      <c r="CQ132" s="1293"/>
      <c r="CR132" s="1293"/>
      <c r="CS132" s="1293"/>
      <c r="CT132" s="1293"/>
      <c r="CU132" s="1293"/>
      <c r="CV132" s="1293"/>
      <c r="CW132" s="1293"/>
      <c r="CX132" s="1293"/>
      <c r="CY132" s="2041">
        <v>-45.572000000000003</v>
      </c>
      <c r="CZ132" s="2053">
        <v>-50</v>
      </c>
      <c r="DA132" s="2098">
        <v>-25</v>
      </c>
      <c r="DB132" s="2099">
        <v>-22</v>
      </c>
      <c r="DC132" s="1293"/>
      <c r="DD132" s="1293"/>
      <c r="DE132" s="1293"/>
      <c r="DF132" s="1293"/>
      <c r="DG132" s="1293"/>
      <c r="DH132" s="1293"/>
      <c r="DI132" s="1293"/>
      <c r="DJ132" s="1293"/>
      <c r="DK132" s="1293"/>
      <c r="DL132" s="1293"/>
    </row>
    <row r="133" spans="1:116" ht="15.75">
      <c r="A133" s="1293"/>
      <c r="B133" s="1293" t="s">
        <v>5308</v>
      </c>
      <c r="C133" s="1699"/>
      <c r="D133" s="1699"/>
      <c r="E133" s="1699"/>
      <c r="F133" s="1699"/>
      <c r="G133" s="2039"/>
      <c r="H133" s="1699"/>
      <c r="I133" s="1699"/>
      <c r="J133" s="1699"/>
      <c r="K133" s="1699"/>
      <c r="L133" s="2039"/>
      <c r="M133" s="1699"/>
      <c r="N133" s="1699"/>
      <c r="O133" s="1699"/>
      <c r="P133" s="1699"/>
      <c r="Q133" s="2039"/>
      <c r="R133" s="1699"/>
      <c r="S133" s="1699"/>
      <c r="T133" s="1699"/>
      <c r="U133" s="1699"/>
      <c r="V133" s="2039"/>
      <c r="W133" s="1986">
        <v>-4</v>
      </c>
      <c r="X133" s="1986">
        <v>-4</v>
      </c>
      <c r="Y133" s="1986">
        <v>-4</v>
      </c>
      <c r="Z133" s="1986">
        <v>-4</v>
      </c>
      <c r="AA133" s="2039">
        <f>SUM(W133:Z133)</f>
        <v>-16</v>
      </c>
      <c r="AB133" s="1986">
        <v>-4</v>
      </c>
      <c r="AC133" s="1986">
        <v>-4</v>
      </c>
      <c r="AD133" s="1986">
        <v>-4.5</v>
      </c>
      <c r="AE133" s="1986">
        <v>-4.5</v>
      </c>
      <c r="AF133" s="1986">
        <v>-4.5</v>
      </c>
      <c r="AG133" s="1986">
        <v>-4.5</v>
      </c>
      <c r="AH133" s="1986">
        <v>-4.5</v>
      </c>
      <c r="AI133" s="1986"/>
      <c r="AJ133" s="2039">
        <f>AB133+AD133+AF133+AH133</f>
        <v>-17.5</v>
      </c>
      <c r="AK133" s="1986">
        <v>-4</v>
      </c>
      <c r="AL133" s="1986">
        <v>-4</v>
      </c>
      <c r="AM133" s="1986">
        <v>-4</v>
      </c>
      <c r="AN133" s="1986">
        <v>-4</v>
      </c>
      <c r="AO133" s="2039">
        <f>AK133+AL133+AM133+AN133</f>
        <v>-16</v>
      </c>
      <c r="AP133" s="2337">
        <v>-4</v>
      </c>
      <c r="AQ133" s="2337">
        <v>-4</v>
      </c>
      <c r="AR133" s="2337">
        <v>-4</v>
      </c>
      <c r="AS133" s="2337">
        <v>-4</v>
      </c>
      <c r="AT133" s="2161">
        <f>AP133+AQ133+AR133+AS133</f>
        <v>-16</v>
      </c>
      <c r="AU133" s="1999"/>
      <c r="AV133" s="1999"/>
      <c r="AW133" s="1999"/>
      <c r="AX133" s="1999"/>
      <c r="AY133" s="2161">
        <f>AU133+AV133+AW133+AX133</f>
        <v>0</v>
      </c>
      <c r="AZ133" s="1999"/>
      <c r="BA133" s="1999"/>
      <c r="BB133" s="1999"/>
      <c r="BC133" s="1327"/>
      <c r="BD133" s="2161">
        <f>AZ133+BA133+BB133+BC133</f>
        <v>0</v>
      </c>
      <c r="BE133" s="1999"/>
      <c r="BF133" s="1999"/>
      <c r="BG133" s="1999"/>
      <c r="BH133" s="1327"/>
      <c r="BI133" s="2161">
        <f>BE133+BF133+BG133+BH133</f>
        <v>0</v>
      </c>
      <c r="BJ133" s="1999"/>
      <c r="BK133" s="1999"/>
      <c r="BL133" s="1999"/>
      <c r="BM133" s="1999"/>
      <c r="BN133" s="2161"/>
      <c r="BO133" s="1699"/>
      <c r="BP133" s="1699"/>
      <c r="BQ133" s="2040"/>
      <c r="BR133" s="1293"/>
      <c r="BS133" s="1293"/>
      <c r="BT133" s="1293"/>
      <c r="BU133" s="1293"/>
      <c r="BV133" s="1293"/>
      <c r="BW133" s="1293"/>
      <c r="BX133" s="1293"/>
      <c r="BY133" s="1293"/>
      <c r="BZ133" s="1293"/>
      <c r="CA133" s="1293"/>
      <c r="CB133" s="1293"/>
      <c r="CC133" s="1293"/>
      <c r="CD133" s="1293"/>
      <c r="CE133" s="1293"/>
      <c r="CF133" s="1293"/>
      <c r="CG133" s="1293"/>
      <c r="CH133" s="1293"/>
      <c r="CI133" s="1293"/>
      <c r="CJ133" s="1293"/>
      <c r="CK133" s="1293"/>
      <c r="CL133" s="1293"/>
      <c r="CM133" s="1293"/>
      <c r="CN133" s="1293"/>
      <c r="CO133" s="1293"/>
      <c r="CP133" s="1293"/>
      <c r="CQ133" s="1293"/>
      <c r="CR133" s="1293"/>
      <c r="CS133" s="1293"/>
      <c r="CT133" s="1293"/>
      <c r="CU133" s="1293"/>
      <c r="CV133" s="1293"/>
      <c r="CW133" s="1293"/>
      <c r="CX133" s="1293"/>
      <c r="CY133" s="2041"/>
      <c r="CZ133" s="1699"/>
      <c r="DA133" s="2110"/>
      <c r="DB133" s="2111"/>
      <c r="DC133" s="1293"/>
      <c r="DD133" s="1293"/>
      <c r="DE133" s="1293"/>
      <c r="DF133" s="1293"/>
      <c r="DG133" s="1293"/>
      <c r="DH133" s="1293"/>
      <c r="DI133" s="1293"/>
      <c r="DJ133" s="1293"/>
      <c r="DK133" s="1293"/>
      <c r="DL133" s="1293"/>
    </row>
    <row r="134" spans="1:116" ht="15.75">
      <c r="A134" s="1293"/>
      <c r="B134" s="1375" t="s">
        <v>800</v>
      </c>
      <c r="C134" s="1984">
        <v>-59</v>
      </c>
      <c r="D134" s="1984">
        <v>-72</v>
      </c>
      <c r="E134" s="1984">
        <v>-64</v>
      </c>
      <c r="F134" s="1984">
        <v>-63</v>
      </c>
      <c r="G134" s="2052">
        <f>SUM(C134:F134)</f>
        <v>-258</v>
      </c>
      <c r="H134" s="1984">
        <v>-57</v>
      </c>
      <c r="I134" s="1984">
        <v>-52</v>
      </c>
      <c r="J134" s="1984">
        <v>-50</v>
      </c>
      <c r="K134" s="1984">
        <v>-45</v>
      </c>
      <c r="L134" s="2052">
        <f>SUM(H134:K134)</f>
        <v>-204</v>
      </c>
      <c r="M134" s="1984">
        <v>-41</v>
      </c>
      <c r="N134" s="1984">
        <v>-40</v>
      </c>
      <c r="O134" s="1984">
        <v>-37</v>
      </c>
      <c r="P134" s="2106">
        <f>-47</f>
        <v>-47</v>
      </c>
      <c r="Q134" s="2052">
        <f>SUM(M134:P134)</f>
        <v>-165</v>
      </c>
      <c r="R134" s="1984">
        <v>-39</v>
      </c>
      <c r="S134" s="1984">
        <v>-37</v>
      </c>
      <c r="T134" s="2106">
        <f>-37+8</f>
        <v>-29</v>
      </c>
      <c r="U134" s="1984">
        <f>(1-0.092)*P134</f>
        <v>-42.676000000000002</v>
      </c>
      <c r="V134" s="2052">
        <f>SUM(R134:U134)</f>
        <v>-147.67599999999999</v>
      </c>
      <c r="W134" s="1984">
        <f>W132+W133</f>
        <v>-35.208000000000027</v>
      </c>
      <c r="X134" s="1984">
        <f>X132+X133</f>
        <v>-36.649999999999977</v>
      </c>
      <c r="Y134" s="1984">
        <f>Y132+Y133</f>
        <v>-38.77600000000001</v>
      </c>
      <c r="Z134" s="1984">
        <f>Z132+Z133</f>
        <v>-40</v>
      </c>
      <c r="AA134" s="2052">
        <f>SUM(W134:Z134)</f>
        <v>-150.63400000000001</v>
      </c>
      <c r="AB134" s="1984">
        <f t="shared" ref="AB134:AH134" si="217">AB132+AB133</f>
        <v>-38.225000000000023</v>
      </c>
      <c r="AC134" s="1984">
        <f t="shared" si="217"/>
        <v>-44.432000000000016</v>
      </c>
      <c r="AD134" s="1984">
        <f t="shared" si="217"/>
        <v>-40.149999999999977</v>
      </c>
      <c r="AE134" s="1984">
        <f t="shared" si="217"/>
        <v>-43.019000000000005</v>
      </c>
      <c r="AF134" s="1984">
        <f t="shared" si="217"/>
        <v>-37.675000000000011</v>
      </c>
      <c r="AG134" s="1984">
        <f t="shared" si="217"/>
        <v>-40.628000000000014</v>
      </c>
      <c r="AH134" s="1984">
        <f t="shared" si="217"/>
        <v>-34.675000000000011</v>
      </c>
      <c r="AI134" s="1984"/>
      <c r="AJ134" s="2052">
        <f>AB134+AD134+AF134+AH134</f>
        <v>-150.72500000000002</v>
      </c>
      <c r="AK134" s="1984">
        <f>AK132+AK133</f>
        <v>-40</v>
      </c>
      <c r="AL134" s="1984">
        <f>AL132+AL133</f>
        <v>-31</v>
      </c>
      <c r="AM134" s="1984">
        <f>AM132+AM133</f>
        <v>-31</v>
      </c>
      <c r="AN134" s="1984">
        <f>AN132+AN133</f>
        <v>-37</v>
      </c>
      <c r="AO134" s="2052">
        <f>AK134+AL134+AM134+AN134</f>
        <v>-139</v>
      </c>
      <c r="AP134" s="1991">
        <f>AP132+AP133</f>
        <v>-33</v>
      </c>
      <c r="AQ134" s="1991">
        <f>AQ132+AQ133</f>
        <v>-34</v>
      </c>
      <c r="AR134" s="1991">
        <f>AR132+AR133</f>
        <v>-34</v>
      </c>
      <c r="AS134" s="1991">
        <f>AS132+AS133</f>
        <v>-54</v>
      </c>
      <c r="AT134" s="2465">
        <f>AP134+AQ134+AR134+AS134</f>
        <v>-155</v>
      </c>
      <c r="AU134" s="2481">
        <v>-36.74</v>
      </c>
      <c r="AV134" s="2481">
        <v>-29.386900000000001</v>
      </c>
      <c r="AW134" s="2481">
        <v>-40.438400000000001</v>
      </c>
      <c r="AX134" s="2481">
        <v>-41.102400000000003</v>
      </c>
      <c r="AY134" s="2465">
        <f>AU134+AV134+AW134+AX134</f>
        <v>-147.66770000000002</v>
      </c>
      <c r="AZ134" s="2481">
        <v>-52.597299999999997</v>
      </c>
      <c r="BA134" s="2481">
        <v>-54.590499999999999</v>
      </c>
      <c r="BB134" s="2481">
        <v>-67.738900000000001</v>
      </c>
      <c r="BC134" s="2481">
        <v>-50.567300000000003</v>
      </c>
      <c r="BD134" s="2465">
        <f>AZ134+BA134+BB134+BC134</f>
        <v>-225.49399999999997</v>
      </c>
      <c r="BE134" s="2481">
        <v>-36.801400000000001</v>
      </c>
      <c r="BF134" s="2481">
        <v>-42.457299999999996</v>
      </c>
      <c r="BG134" s="2481">
        <v>-83.773399999999995</v>
      </c>
      <c r="BH134" s="1991">
        <f ca="1">BI134-BE134-BF134-BG134</f>
        <v>-62.461899999999972</v>
      </c>
      <c r="BI134" s="2465">
        <f ca="1">BE134+BF134+BG134+BH134</f>
        <v>-225.49399999999997</v>
      </c>
      <c r="BJ134" s="2481"/>
      <c r="BK134" s="2481"/>
      <c r="BL134" s="2481"/>
      <c r="BM134" s="2481"/>
      <c r="BN134" s="2465"/>
      <c r="BO134" s="1699"/>
      <c r="BP134" s="1699"/>
      <c r="BQ134" s="2053"/>
      <c r="BR134" s="1293"/>
      <c r="BS134" s="1293"/>
      <c r="BT134" s="1293"/>
      <c r="BU134" s="1293"/>
      <c r="BV134" s="1293"/>
      <c r="BW134" s="1293"/>
      <c r="BX134" s="1293"/>
      <c r="BY134" s="1293"/>
      <c r="BZ134" s="1293"/>
      <c r="CA134" s="1293"/>
      <c r="CB134" s="1293"/>
      <c r="CC134" s="1293"/>
      <c r="CD134" s="1293"/>
      <c r="CE134" s="1293"/>
      <c r="CF134" s="1293"/>
      <c r="CG134" s="1293"/>
      <c r="CH134" s="1293"/>
      <c r="CI134" s="1293"/>
      <c r="CJ134" s="1293"/>
      <c r="CK134" s="1293"/>
      <c r="CL134" s="1293"/>
      <c r="CM134" s="1293"/>
      <c r="CN134" s="1293"/>
      <c r="CO134" s="1293"/>
      <c r="CP134" s="1293"/>
      <c r="CQ134" s="1293"/>
      <c r="CR134" s="1293"/>
      <c r="CS134" s="1293"/>
      <c r="CT134" s="1293"/>
      <c r="CU134" s="1293"/>
      <c r="CV134" s="1293"/>
      <c r="CW134" s="1293"/>
      <c r="CX134" s="1293"/>
      <c r="CY134" s="2049">
        <v>-45.572000000000003</v>
      </c>
      <c r="CZ134" s="1703">
        <f>CZ132</f>
        <v>-50</v>
      </c>
      <c r="DA134" s="2050">
        <v>-25</v>
      </c>
      <c r="DB134" s="2051">
        <v>-22</v>
      </c>
      <c r="DC134" s="1293"/>
      <c r="DD134" s="1293"/>
      <c r="DE134" s="1293"/>
      <c r="DF134" s="1293"/>
      <c r="DG134" s="1293"/>
      <c r="DH134" s="1293"/>
      <c r="DI134" s="1293"/>
      <c r="DJ134" s="1293"/>
      <c r="DK134" s="1293"/>
      <c r="DL134" s="1293"/>
    </row>
    <row r="135" spans="1:116" ht="15.75">
      <c r="A135" s="1293"/>
      <c r="B135" s="1293" t="s">
        <v>9026</v>
      </c>
      <c r="C135" s="1699"/>
      <c r="D135" s="1699"/>
      <c r="E135" s="1699"/>
      <c r="F135" s="1699"/>
      <c r="G135" s="2039"/>
      <c r="H135" s="1699"/>
      <c r="I135" s="1699"/>
      <c r="J135" s="1699"/>
      <c r="K135" s="1699"/>
      <c r="L135" s="2039"/>
      <c r="M135" s="1699"/>
      <c r="N135" s="1699"/>
      <c r="O135" s="1699"/>
      <c r="P135" s="1986"/>
      <c r="Q135" s="2039"/>
      <c r="R135" s="1699"/>
      <c r="S135" s="1699"/>
      <c r="T135" s="1986"/>
      <c r="U135" s="1699"/>
      <c r="V135" s="2039"/>
      <c r="W135" s="1699"/>
      <c r="X135" s="1699"/>
      <c r="Y135" s="1699"/>
      <c r="Z135" s="1699"/>
      <c r="AA135" s="2039"/>
      <c r="AB135" s="1699"/>
      <c r="AC135" s="1699"/>
      <c r="AD135" s="1699"/>
      <c r="AE135" s="1699"/>
      <c r="AF135" s="1699"/>
      <c r="AG135" s="1699"/>
      <c r="AH135" s="1699"/>
      <c r="AI135" s="1699"/>
      <c r="AJ135" s="2039"/>
      <c r="AK135" s="1699"/>
      <c r="AL135" s="1699"/>
      <c r="AM135" s="1699"/>
      <c r="AN135" s="1699"/>
      <c r="AO135" s="2039"/>
      <c r="AP135" s="1327"/>
      <c r="AQ135" s="1327"/>
      <c r="AR135" s="1327"/>
      <c r="AS135" s="1327"/>
      <c r="AT135" s="2161"/>
      <c r="AU135" s="1327"/>
      <c r="AV135" s="1327"/>
      <c r="AW135" s="1327"/>
      <c r="AX135" s="1327"/>
      <c r="AY135" s="2161"/>
      <c r="AZ135" s="2479">
        <f>AZ134+8</f>
        <v>-44.597299999999997</v>
      </c>
      <c r="BA135" s="2479">
        <f>BA134+3</f>
        <v>-51.590499999999999</v>
      </c>
      <c r="BB135" s="2479">
        <f>BB134+20</f>
        <v>-47.738900000000001</v>
      </c>
      <c r="BC135" s="2479">
        <f>BC134+0</f>
        <v>-50.567300000000003</v>
      </c>
      <c r="BD135" s="2161"/>
      <c r="BE135" s="2479">
        <f>BE134+12</f>
        <v>-24.801400000000001</v>
      </c>
      <c r="BF135" s="2479">
        <f>BF134+11</f>
        <v>-31.457299999999996</v>
      </c>
      <c r="BG135" s="2479">
        <f>BG134+61</f>
        <v>-22.773399999999995</v>
      </c>
      <c r="BH135" s="1327"/>
      <c r="BI135" s="2161"/>
      <c r="BJ135" s="1503"/>
      <c r="BK135" s="1503"/>
      <c r="BL135" s="1503"/>
      <c r="BM135" s="1503"/>
      <c r="BN135" s="2161"/>
      <c r="BO135" s="1699"/>
      <c r="BP135" s="1699"/>
      <c r="BQ135" s="2053"/>
      <c r="BR135" s="1293"/>
      <c r="BS135" s="1293"/>
      <c r="BT135" s="1293"/>
      <c r="BU135" s="1293"/>
      <c r="BV135" s="1293"/>
      <c r="BW135" s="1293"/>
      <c r="BX135" s="1293"/>
      <c r="BY135" s="1293"/>
      <c r="BZ135" s="1293"/>
      <c r="CA135" s="1293"/>
      <c r="CB135" s="1293"/>
      <c r="CC135" s="1293"/>
      <c r="CD135" s="1293"/>
      <c r="CE135" s="1293"/>
      <c r="CF135" s="1293"/>
      <c r="CG135" s="1293"/>
      <c r="CH135" s="1293"/>
      <c r="CI135" s="1293"/>
      <c r="CJ135" s="1293"/>
      <c r="CK135" s="1293"/>
      <c r="CL135" s="1293"/>
      <c r="CM135" s="1293"/>
      <c r="CN135" s="1293"/>
      <c r="CO135" s="1293"/>
      <c r="CP135" s="1293"/>
      <c r="CQ135" s="1293"/>
      <c r="CR135" s="1293"/>
      <c r="CS135" s="1293"/>
      <c r="CT135" s="1293"/>
      <c r="CU135" s="1293"/>
      <c r="CV135" s="1293"/>
      <c r="CW135" s="1293"/>
      <c r="CX135" s="1293"/>
      <c r="CY135" s="2041"/>
      <c r="CZ135" s="1699"/>
      <c r="DA135" s="2042"/>
      <c r="DB135" s="2041"/>
      <c r="DC135" s="1293"/>
      <c r="DD135" s="1293"/>
      <c r="DE135" s="1293"/>
      <c r="DF135" s="1293"/>
      <c r="DG135" s="1293"/>
      <c r="DH135" s="1293"/>
      <c r="DI135" s="1293"/>
      <c r="DJ135" s="1293"/>
      <c r="DK135" s="1293"/>
      <c r="DL135" s="1293"/>
    </row>
    <row r="136" spans="1:116" ht="15.75">
      <c r="A136" s="1293"/>
      <c r="B136" s="1293"/>
      <c r="C136" s="1699"/>
      <c r="D136" s="1699"/>
      <c r="E136" s="1699"/>
      <c r="F136" s="1699"/>
      <c r="G136" s="2039"/>
      <c r="H136" s="1699"/>
      <c r="I136" s="1699"/>
      <c r="J136" s="1699"/>
      <c r="K136" s="1699"/>
      <c r="L136" s="2039"/>
      <c r="M136" s="1699"/>
      <c r="N136" s="1699"/>
      <c r="O136" s="1699"/>
      <c r="P136" s="1986"/>
      <c r="Q136" s="2039"/>
      <c r="R136" s="1699"/>
      <c r="S136" s="1699"/>
      <c r="T136" s="1986"/>
      <c r="U136" s="1699"/>
      <c r="V136" s="2039"/>
      <c r="W136" s="1699"/>
      <c r="X136" s="1699"/>
      <c r="Y136" s="1699"/>
      <c r="Z136" s="1699"/>
      <c r="AA136" s="2039"/>
      <c r="AB136" s="1699"/>
      <c r="AC136" s="1699"/>
      <c r="AD136" s="1699"/>
      <c r="AE136" s="1699"/>
      <c r="AF136" s="1699"/>
      <c r="AG136" s="1699"/>
      <c r="AH136" s="1699"/>
      <c r="AI136" s="1699"/>
      <c r="AJ136" s="2039"/>
      <c r="AK136" s="1699"/>
      <c r="AL136" s="1699"/>
      <c r="AM136" s="1699"/>
      <c r="AN136" s="1699"/>
      <c r="AO136" s="2039"/>
      <c r="AP136" s="1327"/>
      <c r="AQ136" s="1327"/>
      <c r="AR136" s="1327"/>
      <c r="AS136" s="1327"/>
      <c r="AT136" s="2161"/>
      <c r="AU136" s="1327"/>
      <c r="AV136" s="1327"/>
      <c r="AW136" s="1327"/>
      <c r="AX136" s="1327"/>
      <c r="AY136" s="2161"/>
      <c r="AZ136" s="1503"/>
      <c r="BA136" s="1503"/>
      <c r="BB136" s="1503"/>
      <c r="BC136" s="1503"/>
      <c r="BD136" s="2161"/>
      <c r="BE136" s="1503"/>
      <c r="BF136" s="1503"/>
      <c r="BG136" s="1503"/>
      <c r="BH136" s="1327"/>
      <c r="BI136" s="2161"/>
      <c r="BJ136" s="1503"/>
      <c r="BK136" s="1503"/>
      <c r="BL136" s="1503"/>
      <c r="BM136" s="1503"/>
      <c r="BN136" s="2161"/>
      <c r="BO136" s="1699"/>
      <c r="BP136" s="1699"/>
      <c r="BQ136" s="2053"/>
      <c r="BR136" s="1293"/>
      <c r="BS136" s="1293"/>
      <c r="BT136" s="1293"/>
      <c r="BU136" s="1293"/>
      <c r="BV136" s="1293"/>
      <c r="BW136" s="1293"/>
      <c r="BX136" s="1293"/>
      <c r="BY136" s="1293"/>
      <c r="BZ136" s="1293"/>
      <c r="CA136" s="1293"/>
      <c r="CB136" s="1293"/>
      <c r="CC136" s="1293"/>
      <c r="CD136" s="1293"/>
      <c r="CE136" s="1293"/>
      <c r="CF136" s="1293"/>
      <c r="CG136" s="1293"/>
      <c r="CH136" s="1293"/>
      <c r="CI136" s="1293"/>
      <c r="CJ136" s="1293"/>
      <c r="CK136" s="1293"/>
      <c r="CL136" s="1293"/>
      <c r="CM136" s="1293"/>
      <c r="CN136" s="1293"/>
      <c r="CO136" s="1293"/>
      <c r="CP136" s="1293"/>
      <c r="CQ136" s="1293"/>
      <c r="CR136" s="1293"/>
      <c r="CS136" s="1293"/>
      <c r="CT136" s="1293"/>
      <c r="CU136" s="1293"/>
      <c r="CV136" s="1293"/>
      <c r="CW136" s="1293"/>
      <c r="CX136" s="1293"/>
      <c r="CY136" s="2041"/>
      <c r="CZ136" s="1699"/>
      <c r="DA136" s="2042"/>
      <c r="DB136" s="2041"/>
      <c r="DC136" s="1293"/>
      <c r="DD136" s="1293"/>
      <c r="DE136" s="1293"/>
      <c r="DF136" s="1293"/>
      <c r="DG136" s="1293"/>
      <c r="DH136" s="1293"/>
      <c r="DI136" s="1293"/>
      <c r="DJ136" s="1293"/>
      <c r="DK136" s="1293"/>
      <c r="DL136" s="1293"/>
    </row>
    <row r="137" spans="1:116" ht="15.75">
      <c r="A137" s="1293"/>
      <c r="B137" s="1334" t="s">
        <v>761</v>
      </c>
      <c r="C137" s="1723">
        <v>478.23804413572623</v>
      </c>
      <c r="D137" s="1723">
        <v>478.66628541077989</v>
      </c>
      <c r="E137" s="1723">
        <v>548.90778223221787</v>
      </c>
      <c r="F137" s="1723">
        <v>587.50900000000001</v>
      </c>
      <c r="G137" s="2112">
        <v>2093.3211117787241</v>
      </c>
      <c r="H137" s="1723">
        <v>565.37628454817593</v>
      </c>
      <c r="I137" s="1723">
        <v>560.87781643309097</v>
      </c>
      <c r="J137" s="1723">
        <v>560.28176098817005</v>
      </c>
      <c r="K137" s="1723">
        <v>491.60551630705993</v>
      </c>
      <c r="L137" s="2112">
        <v>2178.1466739039001</v>
      </c>
      <c r="M137" s="1723">
        <v>542.14491672464999</v>
      </c>
      <c r="N137" s="1723">
        <v>541.609181729635</v>
      </c>
      <c r="O137" s="1723">
        <v>551.70535091125601</v>
      </c>
      <c r="P137" s="1723">
        <v>536</v>
      </c>
      <c r="Q137" s="2112">
        <f>Q113+Q119+Q129+Q131+Q134</f>
        <v>2171.4594493655409</v>
      </c>
      <c r="R137" s="2113">
        <f>555-7</f>
        <v>548</v>
      </c>
      <c r="S137" s="1723">
        <v>535</v>
      </c>
      <c r="T137" s="1723">
        <v>556</v>
      </c>
      <c r="U137" s="2113">
        <f>561</f>
        <v>561</v>
      </c>
      <c r="V137" s="2112">
        <f>V113+V119+V129+V131+V134</f>
        <v>2200</v>
      </c>
      <c r="W137" s="2113">
        <f>554+6</f>
        <v>560</v>
      </c>
      <c r="X137" s="2113">
        <f>551+6</f>
        <v>557</v>
      </c>
      <c r="Y137" s="2113">
        <f>564-7+4</f>
        <v>561</v>
      </c>
      <c r="Z137" s="2113">
        <f>507+3-6</f>
        <v>504</v>
      </c>
      <c r="AA137" s="2112">
        <f>AA113+AA119+AA129+AA131+AA134</f>
        <v>2182</v>
      </c>
      <c r="AB137" s="1723">
        <f t="shared" ref="AB137:AH137" si="218">AB140</f>
        <v>624</v>
      </c>
      <c r="AC137" s="1723">
        <f t="shared" si="218"/>
        <v>574</v>
      </c>
      <c r="AD137" s="1723">
        <f t="shared" si="218"/>
        <v>605</v>
      </c>
      <c r="AE137" s="1723">
        <f t="shared" si="218"/>
        <v>558.70000000000005</v>
      </c>
      <c r="AF137" s="1723">
        <f t="shared" si="218"/>
        <v>649</v>
      </c>
      <c r="AG137" s="1723">
        <f t="shared" si="218"/>
        <v>596</v>
      </c>
      <c r="AH137" s="1723">
        <f t="shared" si="218"/>
        <v>672</v>
      </c>
      <c r="AI137" s="1723"/>
      <c r="AJ137" s="2112">
        <f t="shared" ref="AJ137:AT137" si="219">AJ113+AJ119+AJ129+AJ131+AJ134</f>
        <v>2550</v>
      </c>
      <c r="AK137" s="1723">
        <f t="shared" si="219"/>
        <v>638</v>
      </c>
      <c r="AL137" s="1723">
        <f t="shared" si="219"/>
        <v>573</v>
      </c>
      <c r="AM137" s="1723">
        <f t="shared" si="219"/>
        <v>613</v>
      </c>
      <c r="AN137" s="1723">
        <f t="shared" si="219"/>
        <v>661</v>
      </c>
      <c r="AO137" s="2112">
        <f t="shared" si="219"/>
        <v>2485</v>
      </c>
      <c r="AP137" s="1958">
        <f t="shared" si="219"/>
        <v>669</v>
      </c>
      <c r="AQ137" s="1958">
        <f t="shared" si="219"/>
        <v>654</v>
      </c>
      <c r="AR137" s="1958">
        <f t="shared" si="219"/>
        <v>648</v>
      </c>
      <c r="AS137" s="1958">
        <f t="shared" si="219"/>
        <v>642</v>
      </c>
      <c r="AT137" s="2482">
        <f t="shared" si="219"/>
        <v>2613</v>
      </c>
      <c r="AU137" s="2483">
        <v>563.90809999999999</v>
      </c>
      <c r="AV137" s="2483">
        <v>577.10850000000005</v>
      </c>
      <c r="AW137" s="2483">
        <v>539.1377</v>
      </c>
      <c r="AX137" s="2483">
        <v>547.98069999999996</v>
      </c>
      <c r="AY137" s="2482">
        <f>SUM(AU137:AX137)</f>
        <v>2228.1349999999998</v>
      </c>
      <c r="AZ137" s="2483">
        <v>507.2749</v>
      </c>
      <c r="BA137" s="2483">
        <v>514.92719999999997</v>
      </c>
      <c r="BB137" s="2483">
        <v>532.58169999999996</v>
      </c>
      <c r="BC137" s="2483">
        <v>556.50170000000003</v>
      </c>
      <c r="BD137" s="2482">
        <f>SUM(AZ137:BC137)</f>
        <v>2111.2855</v>
      </c>
      <c r="BE137" s="2483">
        <v>631.80830000000003</v>
      </c>
      <c r="BF137" s="2483">
        <v>633.90470000000005</v>
      </c>
      <c r="BG137" s="2483">
        <v>585.03099999999995</v>
      </c>
      <c r="BH137" s="2483">
        <v>617.90179999999998</v>
      </c>
      <c r="BI137" s="2482">
        <f>SUM(BE137:BH137)</f>
        <v>2468.6458000000002</v>
      </c>
      <c r="BJ137" s="1958">
        <f>BJ113-BJ105+BJ119+BJ131+BJ132</f>
        <v>587.5</v>
      </c>
      <c r="BK137" s="1958">
        <f t="shared" ref="BK137:BM137" si="220">BK113-BK105+BK119+BK131+BK132</f>
        <v>602.5</v>
      </c>
      <c r="BL137" s="1958">
        <f t="shared" si="220"/>
        <v>602.5</v>
      </c>
      <c r="BM137" s="1958">
        <f t="shared" si="220"/>
        <v>589.185419914671</v>
      </c>
      <c r="BN137" s="2482">
        <f>'New split'!O305</f>
        <v>2381.685419914671</v>
      </c>
      <c r="BO137" s="1699"/>
      <c r="BP137" s="1723"/>
      <c r="BQ137" s="2079"/>
      <c r="BR137" s="1293"/>
      <c r="BS137" s="1293"/>
      <c r="BT137" s="1293"/>
      <c r="BU137" s="1293"/>
      <c r="BV137" s="1293"/>
      <c r="BW137" s="1293"/>
      <c r="BX137" s="1293"/>
      <c r="BY137" s="1293"/>
      <c r="BZ137" s="1293"/>
      <c r="CA137" s="1293"/>
      <c r="CB137" s="1293"/>
      <c r="CC137" s="1293"/>
      <c r="CD137" s="1293"/>
      <c r="CE137" s="1293"/>
      <c r="CF137" s="1293"/>
      <c r="CG137" s="1293"/>
      <c r="CH137" s="1293"/>
      <c r="CI137" s="1293"/>
      <c r="CJ137" s="1293"/>
      <c r="CK137" s="1293"/>
      <c r="CL137" s="1293"/>
      <c r="CM137" s="1293"/>
      <c r="CN137" s="1293"/>
      <c r="CO137" s="1293"/>
      <c r="CP137" s="1293"/>
      <c r="CQ137" s="1293"/>
      <c r="CR137" s="1293"/>
      <c r="CS137" s="1293"/>
      <c r="CT137" s="1293"/>
      <c r="CU137" s="1293"/>
      <c r="CV137" s="1293"/>
      <c r="CW137" s="1293"/>
      <c r="CX137" s="1293"/>
      <c r="CY137" s="2055">
        <v>536.02566127599687</v>
      </c>
      <c r="CZ137" s="1723">
        <f>(CZ113-CZ105)+CZ119+CZ131+CZ134</f>
        <v>558.24002922657701</v>
      </c>
      <c r="DA137" s="2056">
        <v>640.54926373173475</v>
      </c>
      <c r="DB137" s="2055">
        <v>644.44576315960626</v>
      </c>
      <c r="DC137" s="1293"/>
      <c r="DD137" s="1293"/>
      <c r="DE137" s="1293"/>
      <c r="DF137" s="1293"/>
      <c r="DG137" s="1293"/>
      <c r="DH137" s="1293"/>
      <c r="DI137" s="1293"/>
      <c r="DJ137" s="1293"/>
      <c r="DK137" s="1293"/>
      <c r="DL137" s="1293"/>
    </row>
    <row r="138" spans="1:116" ht="15.75">
      <c r="A138" s="1293"/>
      <c r="B138" s="1293"/>
      <c r="C138" s="1699"/>
      <c r="D138" s="1699"/>
      <c r="E138" s="1699"/>
      <c r="F138" s="1699"/>
      <c r="G138" s="2039"/>
      <c r="H138" s="1699"/>
      <c r="I138" s="1699"/>
      <c r="J138" s="1699"/>
      <c r="K138" s="1699"/>
      <c r="L138" s="2039"/>
      <c r="M138" s="1699"/>
      <c r="N138" s="1699"/>
      <c r="O138" s="1699"/>
      <c r="P138" s="1699"/>
      <c r="Q138" s="2039"/>
      <c r="R138" s="1699"/>
      <c r="S138" s="1699"/>
      <c r="T138" s="1699"/>
      <c r="U138" s="1699">
        <v>520</v>
      </c>
      <c r="V138" s="2039"/>
      <c r="W138" s="1699"/>
      <c r="X138" s="1699"/>
      <c r="Y138" s="1699"/>
      <c r="Z138" s="1986">
        <f>524+3-6</f>
        <v>521</v>
      </c>
      <c r="AA138" s="2039"/>
      <c r="AB138" s="1293"/>
      <c r="AC138" s="1699">
        <f>AB137-AC137</f>
        <v>50</v>
      </c>
      <c r="AD138" s="1699"/>
      <c r="AE138" s="1699">
        <f>AD137-AE137</f>
        <v>46.299999999999955</v>
      </c>
      <c r="AF138" s="1699"/>
      <c r="AG138" s="1699">
        <f>AF137-AG137</f>
        <v>53</v>
      </c>
      <c r="AH138" s="1699"/>
      <c r="AI138" s="1699"/>
      <c r="AJ138" s="2039"/>
      <c r="AK138" s="1699"/>
      <c r="AL138" s="1699"/>
      <c r="AM138" s="1699"/>
      <c r="AN138" s="1699"/>
      <c r="AO138" s="2039"/>
      <c r="AP138" s="1327"/>
      <c r="AQ138" s="1327"/>
      <c r="AR138" s="1327"/>
      <c r="AS138" s="1327"/>
      <c r="AT138" s="2161"/>
      <c r="AU138" s="1327"/>
      <c r="AV138" s="1327"/>
      <c r="AW138" s="1327"/>
      <c r="AX138" s="1327"/>
      <c r="AY138" s="2161"/>
      <c r="AZ138" s="1327"/>
      <c r="BA138" s="1327"/>
      <c r="BB138" s="1327"/>
      <c r="BC138" s="2484"/>
      <c r="BD138" s="2161"/>
      <c r="BE138" s="1327"/>
      <c r="BF138" s="1327"/>
      <c r="BG138" s="1327"/>
      <c r="BH138" s="1327"/>
      <c r="BI138" s="2161"/>
      <c r="BJ138" s="1327"/>
      <c r="BK138" s="1327"/>
      <c r="BL138" s="1327"/>
      <c r="BM138" s="1327"/>
      <c r="BN138" s="2161"/>
      <c r="BO138" s="1699"/>
      <c r="BP138" s="1699"/>
      <c r="BQ138" s="1293"/>
      <c r="BR138" s="1293"/>
      <c r="BS138" s="1293"/>
      <c r="BT138" s="1293"/>
      <c r="BU138" s="1293"/>
      <c r="BV138" s="1293"/>
      <c r="BW138" s="1293"/>
      <c r="BX138" s="1293"/>
      <c r="BY138" s="1293"/>
      <c r="BZ138" s="1293"/>
      <c r="CA138" s="1293"/>
      <c r="CB138" s="1293"/>
      <c r="CC138" s="1293"/>
      <c r="CD138" s="1293"/>
      <c r="CE138" s="1293"/>
      <c r="CF138" s="1293"/>
      <c r="CG138" s="1293"/>
      <c r="CH138" s="1293"/>
      <c r="CI138" s="1293"/>
      <c r="CJ138" s="1293"/>
      <c r="CK138" s="1293"/>
      <c r="CL138" s="1293"/>
      <c r="CM138" s="1293"/>
      <c r="CN138" s="1293"/>
      <c r="CO138" s="1293"/>
      <c r="CP138" s="1293"/>
      <c r="CQ138" s="1293"/>
      <c r="CR138" s="1293"/>
      <c r="CS138" s="1293"/>
      <c r="CT138" s="1293"/>
      <c r="CU138" s="1293"/>
      <c r="CV138" s="1293"/>
      <c r="CW138" s="1293"/>
      <c r="CX138" s="1293"/>
      <c r="CY138" s="2115">
        <v>557</v>
      </c>
      <c r="CZ138" s="1723"/>
      <c r="DA138" s="2100"/>
      <c r="DB138" s="2101"/>
      <c r="DC138" s="1293"/>
      <c r="DD138" s="1293"/>
      <c r="DE138" s="1293"/>
      <c r="DF138" s="1293"/>
      <c r="DG138" s="1293"/>
      <c r="DH138" s="1293"/>
      <c r="DI138" s="1293"/>
      <c r="DJ138" s="1293"/>
      <c r="DK138" s="1293"/>
      <c r="DL138" s="1293"/>
    </row>
    <row r="139" spans="1:116" ht="15.75">
      <c r="A139" s="1293"/>
      <c r="B139" s="1331" t="s">
        <v>8360</v>
      </c>
      <c r="C139" s="1703">
        <f t="shared" ref="C139:P139" si="221">C140-C137</f>
        <v>0</v>
      </c>
      <c r="D139" s="1703">
        <f t="shared" si="221"/>
        <v>0</v>
      </c>
      <c r="E139" s="1703">
        <f t="shared" si="221"/>
        <v>8.2000000000000455</v>
      </c>
      <c r="F139" s="1703">
        <f t="shared" si="221"/>
        <v>7.9809999999999945</v>
      </c>
      <c r="G139" s="2048">
        <f t="shared" si="221"/>
        <v>16.199999999999818</v>
      </c>
      <c r="H139" s="1703">
        <f t="shared" si="221"/>
        <v>8.9701978421060176</v>
      </c>
      <c r="I139" s="1703">
        <f t="shared" si="221"/>
        <v>12.67999999999995</v>
      </c>
      <c r="J139" s="1703">
        <f t="shared" si="221"/>
        <v>5.9690936031331603</v>
      </c>
      <c r="K139" s="1703">
        <f t="shared" si="221"/>
        <v>59.870274509803039</v>
      </c>
      <c r="L139" s="2048">
        <f t="shared" si="221"/>
        <v>87.484270327639479</v>
      </c>
      <c r="M139" s="1703">
        <f t="shared" si="221"/>
        <v>1.8550832753500117</v>
      </c>
      <c r="N139" s="1703">
        <f t="shared" si="221"/>
        <v>11.890818270365003</v>
      </c>
      <c r="O139" s="1703">
        <f t="shared" si="221"/>
        <v>10.294649088743995</v>
      </c>
      <c r="P139" s="1703">
        <f t="shared" si="221"/>
        <v>30</v>
      </c>
      <c r="Q139" s="2048">
        <f>SUM(M139:P139)</f>
        <v>54.040550634459009</v>
      </c>
      <c r="R139" s="1703">
        <v>0</v>
      </c>
      <c r="S139" s="1703">
        <v>0</v>
      </c>
      <c r="T139" s="1985">
        <f>-11-8</f>
        <v>-19</v>
      </c>
      <c r="U139" s="1703">
        <v>0</v>
      </c>
      <c r="V139" s="2048">
        <f>SUM(R139:U139)</f>
        <v>-19</v>
      </c>
      <c r="W139" s="1703">
        <v>0</v>
      </c>
      <c r="X139" s="1703">
        <v>0</v>
      </c>
      <c r="Y139" s="1703">
        <v>0</v>
      </c>
      <c r="Z139" s="1703">
        <v>0</v>
      </c>
      <c r="AA139" s="2048">
        <f>SUM(W139:Z139)</f>
        <v>0</v>
      </c>
      <c r="AB139" s="1703"/>
      <c r="AC139" s="1703"/>
      <c r="AD139" s="1703"/>
      <c r="AE139" s="1703"/>
      <c r="AF139" s="1703"/>
      <c r="AG139" s="1703"/>
      <c r="AH139" s="1703"/>
      <c r="AI139" s="1703"/>
      <c r="AJ139" s="2048">
        <f>AB139+AD139+AF139+AH139</f>
        <v>0</v>
      </c>
      <c r="AK139" s="1703"/>
      <c r="AL139" s="1703"/>
      <c r="AM139" s="1703"/>
      <c r="AN139" s="1703"/>
      <c r="AO139" s="2048">
        <f>'New split'!N307</f>
        <v>156</v>
      </c>
      <c r="AP139" s="1718"/>
      <c r="AQ139" s="1718"/>
      <c r="AR139" s="1718"/>
      <c r="AS139" s="1718"/>
      <c r="AT139" s="2464">
        <f>'New split'!O307</f>
        <v>0</v>
      </c>
      <c r="AU139" s="1718">
        <f>AU140-AU137</f>
        <v>0</v>
      </c>
      <c r="AV139" s="1718">
        <f>AV140-AV137</f>
        <v>0</v>
      </c>
      <c r="AW139" s="1718">
        <f>AW140-AW137</f>
        <v>0</v>
      </c>
      <c r="AX139" s="1718">
        <f>AX140-AX137</f>
        <v>0</v>
      </c>
      <c r="AY139" s="2464">
        <f>SUM(AU139:AX139)</f>
        <v>0</v>
      </c>
      <c r="AZ139" s="1718">
        <f>AZ140-AZ137</f>
        <v>15</v>
      </c>
      <c r="BA139" s="1718">
        <f>BA140-BA137</f>
        <v>14</v>
      </c>
      <c r="BB139" s="1718">
        <f>BB140-BB137</f>
        <v>33</v>
      </c>
      <c r="BC139" s="1718">
        <f>BC140-BC137</f>
        <v>42</v>
      </c>
      <c r="BD139" s="2464">
        <f>SUM(AZ139:BC139)</f>
        <v>104</v>
      </c>
      <c r="BE139" s="1718">
        <f>BE140-BE137</f>
        <v>30</v>
      </c>
      <c r="BF139" s="1718">
        <f>BF140-BF137</f>
        <v>23</v>
      </c>
      <c r="BG139" s="1645">
        <f>BG140-BG137</f>
        <v>73</v>
      </c>
      <c r="BH139" s="1718">
        <v>30</v>
      </c>
      <c r="BI139" s="2464">
        <f>SUM(BE139:BH139)</f>
        <v>156</v>
      </c>
      <c r="BJ139" s="1718"/>
      <c r="BK139" s="1645"/>
      <c r="BL139" s="1645"/>
      <c r="BM139" s="1645"/>
      <c r="BN139" s="2464"/>
      <c r="BO139" s="1699"/>
      <c r="BP139" s="1699"/>
      <c r="BQ139" s="1293"/>
      <c r="BR139" s="1293"/>
      <c r="BS139" s="1293"/>
      <c r="BT139" s="1293"/>
      <c r="BU139" s="1293"/>
      <c r="BV139" s="1293"/>
      <c r="BW139" s="1293"/>
      <c r="BX139" s="1293"/>
      <c r="BY139" s="1293"/>
      <c r="BZ139" s="1293"/>
      <c r="CA139" s="1293"/>
      <c r="CB139" s="1293"/>
      <c r="CC139" s="1293"/>
      <c r="CD139" s="1293"/>
      <c r="CE139" s="1293"/>
      <c r="CF139" s="1293"/>
      <c r="CG139" s="1293"/>
      <c r="CH139" s="1293"/>
      <c r="CI139" s="1293"/>
      <c r="CJ139" s="1293"/>
      <c r="CK139" s="1293"/>
      <c r="CL139" s="1293"/>
      <c r="CM139" s="1293"/>
      <c r="CN139" s="1293"/>
      <c r="CO139" s="1293"/>
      <c r="CP139" s="1293"/>
      <c r="CQ139" s="1293"/>
      <c r="CR139" s="1293"/>
      <c r="CS139" s="1293"/>
      <c r="CT139" s="1293"/>
      <c r="CU139" s="1293"/>
      <c r="CV139" s="1293"/>
      <c r="CW139" s="1293"/>
      <c r="CX139" s="1293"/>
      <c r="CY139" s="2049">
        <v>38</v>
      </c>
      <c r="CZ139" s="2117">
        <v>3</v>
      </c>
      <c r="DA139" s="2104">
        <v>10</v>
      </c>
      <c r="DB139" s="2105">
        <v>15</v>
      </c>
      <c r="DC139" s="1293"/>
      <c r="DD139" s="1293"/>
      <c r="DE139" s="1293"/>
      <c r="DF139" s="1293"/>
      <c r="DG139" s="1293"/>
      <c r="DH139" s="1293"/>
      <c r="DI139" s="1293"/>
      <c r="DJ139" s="1293"/>
      <c r="DK139" s="1293"/>
      <c r="DL139" s="1293"/>
    </row>
    <row r="140" spans="1:116" ht="15.75">
      <c r="A140" s="1293"/>
      <c r="B140" s="1334" t="s">
        <v>575</v>
      </c>
      <c r="C140" s="1723">
        <v>478.23804413572623</v>
      </c>
      <c r="D140" s="1723">
        <v>478.66628541077989</v>
      </c>
      <c r="E140" s="1723">
        <v>557.10778223221791</v>
      </c>
      <c r="F140" s="1723">
        <v>595.49</v>
      </c>
      <c r="G140" s="2112">
        <v>2109.5211117787239</v>
      </c>
      <c r="H140" s="1723">
        <v>574.34648239028195</v>
      </c>
      <c r="I140" s="1723">
        <v>573.55781643309092</v>
      </c>
      <c r="J140" s="1723">
        <v>566.25085459130321</v>
      </c>
      <c r="K140" s="1723">
        <v>551.47579081686297</v>
      </c>
      <c r="L140" s="2112">
        <v>2265.6309442315396</v>
      </c>
      <c r="M140" s="1723">
        <v>544</v>
      </c>
      <c r="N140" s="1723">
        <v>553.5</v>
      </c>
      <c r="O140" s="1723">
        <v>562</v>
      </c>
      <c r="P140" s="1723">
        <f>566</f>
        <v>566</v>
      </c>
      <c r="Q140" s="2112">
        <f t="shared" ref="Q140:AA140" si="222">Q137+Q139</f>
        <v>2225.5</v>
      </c>
      <c r="R140" s="1723">
        <f t="shared" si="222"/>
        <v>548</v>
      </c>
      <c r="S140" s="1723">
        <f t="shared" si="222"/>
        <v>535</v>
      </c>
      <c r="T140" s="1723">
        <f t="shared" si="222"/>
        <v>537</v>
      </c>
      <c r="U140" s="1723">
        <f t="shared" si="222"/>
        <v>561</v>
      </c>
      <c r="V140" s="2112">
        <f t="shared" si="222"/>
        <v>2181</v>
      </c>
      <c r="W140" s="1723">
        <f t="shared" si="222"/>
        <v>560</v>
      </c>
      <c r="X140" s="1723">
        <f t="shared" si="222"/>
        <v>557</v>
      </c>
      <c r="Y140" s="1723">
        <f t="shared" si="222"/>
        <v>561</v>
      </c>
      <c r="Z140" s="1723">
        <f t="shared" si="222"/>
        <v>504</v>
      </c>
      <c r="AA140" s="2112">
        <f t="shared" si="222"/>
        <v>2182</v>
      </c>
      <c r="AB140" s="1723">
        <f>377+247</f>
        <v>624</v>
      </c>
      <c r="AC140" s="2113">
        <f>AB140-42-8</f>
        <v>574</v>
      </c>
      <c r="AD140" s="1723">
        <f>333+249+21+4-2</f>
        <v>605</v>
      </c>
      <c r="AE140" s="2113">
        <f>AD140-38-8.3</f>
        <v>558.70000000000005</v>
      </c>
      <c r="AF140" s="1723">
        <f>404+249-4</f>
        <v>649</v>
      </c>
      <c r="AG140" s="2113">
        <f>AF140-44-9</f>
        <v>596</v>
      </c>
      <c r="AH140" s="1723">
        <v>672</v>
      </c>
      <c r="AI140" s="1723"/>
      <c r="AJ140" s="2112">
        <f>AJ137+AJ139</f>
        <v>2550</v>
      </c>
      <c r="AK140" s="2113">
        <f>AK151+30</f>
        <v>638</v>
      </c>
      <c r="AL140" s="2113">
        <f>AL151+29</f>
        <v>573</v>
      </c>
      <c r="AM140" s="2113">
        <f>AM151+32</f>
        <v>613</v>
      </c>
      <c r="AN140" s="2113">
        <f>AN151+34</f>
        <v>661</v>
      </c>
      <c r="AO140" s="2112">
        <f>AO137+AO139</f>
        <v>2641</v>
      </c>
      <c r="AP140" s="2485">
        <f>AP151+31</f>
        <v>669</v>
      </c>
      <c r="AQ140" s="2485">
        <f>651+4</f>
        <v>655</v>
      </c>
      <c r="AR140" s="2485">
        <v>650</v>
      </c>
      <c r="AS140" s="2485">
        <f>AS151-AS150</f>
        <v>667</v>
      </c>
      <c r="AT140" s="2482">
        <f>AT137+AT139</f>
        <v>2613</v>
      </c>
      <c r="AU140" s="1958">
        <f>AU137</f>
        <v>563.90809999999999</v>
      </c>
      <c r="AV140" s="1958">
        <f>AV137</f>
        <v>577.10850000000005</v>
      </c>
      <c r="AW140" s="1958">
        <f>AW137</f>
        <v>539.1377</v>
      </c>
      <c r="AX140" s="1958">
        <f>AX137</f>
        <v>547.98069999999996</v>
      </c>
      <c r="AY140" s="2482">
        <f>SUM(AU140:AX140)</f>
        <v>2228.1349999999998</v>
      </c>
      <c r="AZ140" s="2486">
        <f>AZ137+15</f>
        <v>522.2749</v>
      </c>
      <c r="BA140" s="2486">
        <f>BA137+14</f>
        <v>528.92719999999997</v>
      </c>
      <c r="BB140" s="2486">
        <f>BB137+33</f>
        <v>565.58169999999996</v>
      </c>
      <c r="BC140" s="2486">
        <f>BC137+42</f>
        <v>598.50170000000003</v>
      </c>
      <c r="BD140" s="2482">
        <f>SUM(AZ140:BC140)</f>
        <v>2215.2855</v>
      </c>
      <c r="BE140" s="2486">
        <f>BE137+30</f>
        <v>661.80830000000003</v>
      </c>
      <c r="BF140" s="2486">
        <f>BF137+23</f>
        <v>656.90470000000005</v>
      </c>
      <c r="BG140" s="2486">
        <f>BG137+73</f>
        <v>658.03099999999995</v>
      </c>
      <c r="BH140" s="2486">
        <f>BH137+30</f>
        <v>647.90179999999998</v>
      </c>
      <c r="BI140" s="2482">
        <f>SUM(BE140:BH140)</f>
        <v>2624.6458000000002</v>
      </c>
      <c r="BJ140" s="1958">
        <f>BJ137+BJ139</f>
        <v>587.5</v>
      </c>
      <c r="BK140" s="1958">
        <f t="shared" ref="BK140:BM140" si="223">BK137+BK139</f>
        <v>602.5</v>
      </c>
      <c r="BL140" s="1958">
        <f t="shared" si="223"/>
        <v>602.5</v>
      </c>
      <c r="BM140" s="1958">
        <f t="shared" si="223"/>
        <v>589.185419914671</v>
      </c>
      <c r="BN140" s="2482">
        <f>BN137+BN139</f>
        <v>2381.685419914671</v>
      </c>
      <c r="BO140" s="1699"/>
      <c r="BP140" s="1723"/>
      <c r="BQ140" s="2079"/>
      <c r="BR140" s="1293"/>
      <c r="BS140" s="1293"/>
      <c r="BT140" s="1293"/>
      <c r="BU140" s="1293"/>
      <c r="BV140" s="1293"/>
      <c r="BW140" s="1293"/>
      <c r="BX140" s="1293"/>
      <c r="BY140" s="1293"/>
      <c r="BZ140" s="1293"/>
      <c r="CA140" s="1293"/>
      <c r="CB140" s="1293"/>
      <c r="CC140" s="1293"/>
      <c r="CD140" s="1293"/>
      <c r="CE140" s="1293"/>
      <c r="CF140" s="1293"/>
      <c r="CG140" s="1293"/>
      <c r="CH140" s="1293"/>
      <c r="CI140" s="1293"/>
      <c r="CJ140" s="1293"/>
      <c r="CK140" s="1293"/>
      <c r="CL140" s="1293"/>
      <c r="CM140" s="1293"/>
      <c r="CN140" s="1293"/>
      <c r="CO140" s="1293"/>
      <c r="CP140" s="1293"/>
      <c r="CQ140" s="1293"/>
      <c r="CR140" s="1293"/>
      <c r="CS140" s="1293"/>
      <c r="CT140" s="1293"/>
      <c r="CU140" s="1293"/>
      <c r="CV140" s="1293"/>
      <c r="CW140" s="1293"/>
      <c r="CX140" s="1293"/>
      <c r="CY140" s="2055">
        <v>574.02566127599687</v>
      </c>
      <c r="CZ140" s="1723">
        <f>CZ137+CZ139</f>
        <v>561.24002922657701</v>
      </c>
      <c r="DA140" s="2056">
        <v>650.54926373173475</v>
      </c>
      <c r="DB140" s="2055">
        <v>659.44576315960626</v>
      </c>
      <c r="DC140" s="1293"/>
      <c r="DD140" s="1293"/>
      <c r="DE140" s="1293"/>
      <c r="DF140" s="1293"/>
      <c r="DG140" s="1293"/>
      <c r="DH140" s="1293"/>
      <c r="DI140" s="1293"/>
      <c r="DJ140" s="1293"/>
      <c r="DK140" s="1293"/>
      <c r="DL140" s="1293"/>
    </row>
    <row r="141" spans="1:116" ht="15.75">
      <c r="A141" s="1293"/>
      <c r="B141" s="1334"/>
      <c r="C141" s="1723"/>
      <c r="D141" s="1723"/>
      <c r="E141" s="1723"/>
      <c r="F141" s="1723"/>
      <c r="G141" s="2112"/>
      <c r="H141" s="1723"/>
      <c r="I141" s="1723"/>
      <c r="J141" s="1723"/>
      <c r="K141" s="1723"/>
      <c r="L141" s="2112"/>
      <c r="M141" s="1723"/>
      <c r="N141" s="1723"/>
      <c r="O141" s="1723"/>
      <c r="P141" s="1723"/>
      <c r="Q141" s="2112"/>
      <c r="R141" s="1723"/>
      <c r="S141" s="1723"/>
      <c r="T141" s="1723"/>
      <c r="U141" s="1723"/>
      <c r="V141" s="2112"/>
      <c r="W141" s="1723"/>
      <c r="X141" s="1723"/>
      <c r="Y141" s="1723"/>
      <c r="Z141" s="1723"/>
      <c r="AA141" s="2112"/>
      <c r="AB141" s="1723">
        <f>AB140-AB131</f>
        <v>630</v>
      </c>
      <c r="AC141" s="1723"/>
      <c r="AD141" s="1723">
        <f>AD140-AD131</f>
        <v>624</v>
      </c>
      <c r="AE141" s="1723"/>
      <c r="AF141" s="1723">
        <f>AF140-AF131</f>
        <v>655</v>
      </c>
      <c r="AG141" s="1293"/>
      <c r="AH141" s="1723">
        <f>AH140-AH131</f>
        <v>683</v>
      </c>
      <c r="AI141" s="1293"/>
      <c r="AJ141" s="2112"/>
      <c r="AK141" s="1723"/>
      <c r="AL141" s="1723"/>
      <c r="AM141" s="1723"/>
      <c r="AN141" s="1723"/>
      <c r="AO141" s="2112"/>
      <c r="AP141" s="1958"/>
      <c r="AQ141" s="1958"/>
      <c r="AR141" s="1958"/>
      <c r="AS141" s="1958"/>
      <c r="AT141" s="2482"/>
      <c r="AU141" s="1958"/>
      <c r="AV141" s="1958"/>
      <c r="AW141" s="1958"/>
      <c r="AX141" s="1958"/>
      <c r="AY141" s="2482"/>
      <c r="AZ141" s="1958"/>
      <c r="BA141" s="1958"/>
      <c r="BB141" s="1958"/>
      <c r="BC141" s="1958"/>
      <c r="BD141" s="2482"/>
      <c r="BE141" s="1958"/>
      <c r="BF141" s="1958"/>
      <c r="BG141" s="1958"/>
      <c r="BH141" s="1958"/>
      <c r="BI141" s="2482"/>
      <c r="BJ141" s="1958"/>
      <c r="BK141" s="1958"/>
      <c r="BL141" s="1958"/>
      <c r="BM141" s="1958"/>
      <c r="BN141" s="2482"/>
      <c r="BO141" s="1699"/>
      <c r="BP141" s="1723"/>
      <c r="BQ141" s="1293"/>
      <c r="BR141" s="1293"/>
      <c r="BS141" s="1293"/>
      <c r="BT141" s="1293"/>
      <c r="BU141" s="1293"/>
      <c r="BV141" s="1293"/>
      <c r="BW141" s="1293"/>
      <c r="BX141" s="1293"/>
      <c r="BY141" s="1293"/>
      <c r="BZ141" s="1293"/>
      <c r="CA141" s="1293"/>
      <c r="CB141" s="1293"/>
      <c r="CC141" s="1293"/>
      <c r="CD141" s="1293"/>
      <c r="CE141" s="1293"/>
      <c r="CF141" s="1293"/>
      <c r="CG141" s="1293"/>
      <c r="CH141" s="1293"/>
      <c r="CI141" s="1293"/>
      <c r="CJ141" s="1293"/>
      <c r="CK141" s="1293"/>
      <c r="CL141" s="1293"/>
      <c r="CM141" s="1293"/>
      <c r="CN141" s="1293"/>
      <c r="CO141" s="1293"/>
      <c r="CP141" s="1293"/>
      <c r="CQ141" s="1293"/>
      <c r="CR141" s="1293"/>
      <c r="CS141" s="1293"/>
      <c r="CT141" s="1293"/>
      <c r="CU141" s="1293"/>
      <c r="CV141" s="1293"/>
      <c r="CW141" s="1293"/>
      <c r="CX141" s="1293"/>
      <c r="CY141" s="2055"/>
      <c r="CZ141" s="1723"/>
      <c r="DA141" s="2056"/>
      <c r="DB141" s="2118"/>
      <c r="DC141" s="1293"/>
      <c r="DD141" s="1293"/>
      <c r="DE141" s="1293"/>
      <c r="DF141" s="1293"/>
      <c r="DG141" s="1293"/>
      <c r="DH141" s="1293"/>
      <c r="DI141" s="1293"/>
      <c r="DJ141" s="1293"/>
      <c r="DK141" s="1293"/>
      <c r="DL141" s="1293"/>
    </row>
    <row r="142" spans="1:116" ht="15.75">
      <c r="A142" s="1293"/>
      <c r="B142" s="1334" t="s">
        <v>8366</v>
      </c>
      <c r="C142" s="1723"/>
      <c r="D142" s="1723"/>
      <c r="E142" s="1723"/>
      <c r="F142" s="1723"/>
      <c r="G142" s="2112"/>
      <c r="H142" s="1723"/>
      <c r="I142" s="1723"/>
      <c r="J142" s="1723"/>
      <c r="K142" s="1723"/>
      <c r="L142" s="2112"/>
      <c r="M142" s="1723"/>
      <c r="N142" s="1723"/>
      <c r="O142" s="1723"/>
      <c r="P142" s="1723"/>
      <c r="Q142" s="2112"/>
      <c r="R142" s="2113"/>
      <c r="S142" s="1723"/>
      <c r="T142" s="1723"/>
      <c r="U142" s="1723">
        <v>39</v>
      </c>
      <c r="V142" s="2112"/>
      <c r="W142" s="1723"/>
      <c r="X142" s="1723"/>
      <c r="Y142" s="1723"/>
      <c r="Z142" s="2113">
        <v>37</v>
      </c>
      <c r="AA142" s="2112"/>
      <c r="AB142" s="1723"/>
      <c r="AC142" s="1723"/>
      <c r="AD142" s="1723"/>
      <c r="AE142" s="1723"/>
      <c r="AF142" s="1723"/>
      <c r="AG142" s="1723"/>
      <c r="AH142" s="1723"/>
      <c r="AI142" s="1723"/>
      <c r="AJ142" s="2112"/>
      <c r="AK142" s="1723"/>
      <c r="AL142" s="1723"/>
      <c r="AM142" s="1723"/>
      <c r="AN142" s="1723"/>
      <c r="AO142" s="2112"/>
      <c r="AP142" s="1958"/>
      <c r="AQ142" s="1958"/>
      <c r="AR142" s="1958"/>
      <c r="AS142" s="1958"/>
      <c r="AT142" s="2482"/>
      <c r="AU142" s="1958">
        <f>AU137+AU442+AU458</f>
        <v>489.90809999999999</v>
      </c>
      <c r="AV142" s="1958">
        <f>AV137+AV442+AV458</f>
        <v>503.10850000000005</v>
      </c>
      <c r="AW142" s="1958">
        <f>AW137+AW442+AW458</f>
        <v>466.1377</v>
      </c>
      <c r="AX142" s="1958">
        <f>AX137+AX442+AX458</f>
        <v>476.98069999999996</v>
      </c>
      <c r="AY142" s="2482"/>
      <c r="AZ142" s="1958">
        <f>AZ137+AZ442+AZ458</f>
        <v>436.2749</v>
      </c>
      <c r="BA142" s="1958">
        <f>BA137+BA442+BA458</f>
        <v>439.92719999999997</v>
      </c>
      <c r="BB142" s="1958">
        <f>BB137+BB442+BB458</f>
        <v>455.58169999999996</v>
      </c>
      <c r="BC142" s="1958">
        <f>BC137+BC442+BC458</f>
        <v>479.50170000000003</v>
      </c>
      <c r="BD142" s="2482"/>
      <c r="BE142" s="1958">
        <f>BE137+BE442+BE458</f>
        <v>550.80830000000003</v>
      </c>
      <c r="BF142" s="1958">
        <f>BF137+BF442+BF458</f>
        <v>550.90470000000005</v>
      </c>
      <c r="BG142" s="1958">
        <f>BG137+BG442+BG458</f>
        <v>503.03099999999995</v>
      </c>
      <c r="BH142" s="1958">
        <f>BH137+BH442+BH458</f>
        <v>537.73110000000008</v>
      </c>
      <c r="BI142" s="2482"/>
      <c r="BJ142" s="1958"/>
      <c r="BK142" s="1958"/>
      <c r="BL142" s="1958"/>
      <c r="BM142" s="1958"/>
      <c r="BN142" s="2482"/>
      <c r="BO142" s="1699"/>
      <c r="BP142" s="1723"/>
      <c r="BQ142" s="1293"/>
      <c r="BR142" s="1293"/>
      <c r="BS142" s="1293"/>
      <c r="BT142" s="1293"/>
      <c r="BU142" s="1293"/>
      <c r="BV142" s="1293"/>
      <c r="BW142" s="1293"/>
      <c r="BX142" s="1293"/>
      <c r="BY142" s="1293"/>
      <c r="BZ142" s="1293"/>
      <c r="CA142" s="1293"/>
      <c r="CB142" s="1293"/>
      <c r="CC142" s="1293"/>
      <c r="CD142" s="1293"/>
      <c r="CE142" s="1293"/>
      <c r="CF142" s="1293"/>
      <c r="CG142" s="1293"/>
      <c r="CH142" s="1293"/>
      <c r="CI142" s="1293"/>
      <c r="CJ142" s="1293"/>
      <c r="CK142" s="1293"/>
      <c r="CL142" s="1293"/>
      <c r="CM142" s="1293"/>
      <c r="CN142" s="1293"/>
      <c r="CO142" s="1293"/>
      <c r="CP142" s="1293"/>
      <c r="CQ142" s="1293"/>
      <c r="CR142" s="1293"/>
      <c r="CS142" s="1293"/>
      <c r="CT142" s="1293"/>
      <c r="CU142" s="1293"/>
      <c r="CV142" s="1293"/>
      <c r="CW142" s="1293"/>
      <c r="CX142" s="1293"/>
      <c r="CY142" s="2055"/>
      <c r="CZ142" s="1723"/>
      <c r="DA142" s="2056">
        <v>557.54926373173475</v>
      </c>
      <c r="DB142" s="2055">
        <v>558.44576315960626</v>
      </c>
      <c r="DC142" s="1293"/>
      <c r="DD142" s="1293"/>
      <c r="DE142" s="1293"/>
      <c r="DF142" s="1293"/>
      <c r="DG142" s="1293"/>
      <c r="DH142" s="1293"/>
      <c r="DI142" s="1293"/>
      <c r="DJ142" s="1293"/>
      <c r="DK142" s="1293"/>
      <c r="DL142" s="1293"/>
    </row>
    <row r="143" spans="1:116" ht="15.75">
      <c r="A143" s="1293"/>
      <c r="B143" s="1334"/>
      <c r="C143" s="1723"/>
      <c r="D143" s="1723"/>
      <c r="E143" s="1723"/>
      <c r="F143" s="1723"/>
      <c r="G143" s="2112"/>
      <c r="H143" s="1723"/>
      <c r="I143" s="1723"/>
      <c r="J143" s="1723"/>
      <c r="K143" s="1723"/>
      <c r="L143" s="2112"/>
      <c r="M143" s="1723"/>
      <c r="N143" s="1723"/>
      <c r="O143" s="1723"/>
      <c r="P143" s="1723"/>
      <c r="Q143" s="2112"/>
      <c r="R143" s="1723"/>
      <c r="S143" s="1723"/>
      <c r="T143" s="1723"/>
      <c r="U143" s="1723"/>
      <c r="V143" s="2112"/>
      <c r="W143" s="1293">
        <f>W137-W131</f>
        <v>557</v>
      </c>
      <c r="X143" s="1293">
        <f>X137-X131</f>
        <v>552</v>
      </c>
      <c r="Y143" s="1293">
        <f>Y137-Y131</f>
        <v>560</v>
      </c>
      <c r="Z143" s="1293">
        <f>Z137-Z131</f>
        <v>559</v>
      </c>
      <c r="AA143" s="2112"/>
      <c r="AB143" s="1723"/>
      <c r="AC143" s="1723"/>
      <c r="AD143" s="1723"/>
      <c r="AE143" s="1723"/>
      <c r="AF143" s="1723"/>
      <c r="AG143" s="1293"/>
      <c r="AH143" s="1723"/>
      <c r="AI143" s="1293"/>
      <c r="AJ143" s="2112"/>
      <c r="AK143" s="1723"/>
      <c r="AL143" s="1723"/>
      <c r="AM143" s="1723"/>
      <c r="AN143" s="1723"/>
      <c r="AO143" s="2112"/>
      <c r="AP143" s="1958"/>
      <c r="AQ143" s="1958"/>
      <c r="AR143" s="1958"/>
      <c r="AS143" s="1958"/>
      <c r="AT143" s="2482"/>
      <c r="AU143" s="1958"/>
      <c r="AV143" s="1958"/>
      <c r="AW143" s="1958"/>
      <c r="AX143" s="1958"/>
      <c r="AY143" s="2482"/>
      <c r="AZ143" s="1958"/>
      <c r="BA143" s="1958"/>
      <c r="BB143" s="1958"/>
      <c r="BC143" s="1958"/>
      <c r="BD143" s="2482"/>
      <c r="BE143" s="1327">
        <f>BE113-BE105+BE119+BE134-18</f>
        <v>613.80829999999992</v>
      </c>
      <c r="BF143" s="1327">
        <f>BF113-BF105+BF119+BF134-6-3-3</f>
        <v>621.90470000000005</v>
      </c>
      <c r="BG143" s="1327">
        <f>BG113-BG105+BG119+BG134-4-3-5</f>
        <v>573.03109999999992</v>
      </c>
      <c r="BH143" s="1990">
        <f ca="1">BH113-BH105+BH119+BH134-0</f>
        <v>594.20410000000004</v>
      </c>
      <c r="BI143" s="2482"/>
      <c r="BJ143" s="1327"/>
      <c r="BK143" s="1327"/>
      <c r="BL143" s="1327"/>
      <c r="BM143" s="1327"/>
      <c r="BN143" s="2482"/>
      <c r="BO143" s="1699"/>
      <c r="BP143" s="1723"/>
      <c r="BQ143" s="1293"/>
      <c r="BR143" s="1293"/>
      <c r="BS143" s="1293"/>
      <c r="BT143" s="1293"/>
      <c r="BU143" s="1293"/>
      <c r="BV143" s="1293"/>
      <c r="BW143" s="1293"/>
      <c r="BX143" s="1293"/>
      <c r="BY143" s="1293"/>
      <c r="BZ143" s="1293"/>
      <c r="CA143" s="1293"/>
      <c r="CB143" s="1293"/>
      <c r="CC143" s="1293"/>
      <c r="CD143" s="1293"/>
      <c r="CE143" s="1293"/>
      <c r="CF143" s="1293"/>
      <c r="CG143" s="1293"/>
      <c r="CH143" s="1293"/>
      <c r="CI143" s="1293"/>
      <c r="CJ143" s="1293"/>
      <c r="CK143" s="1293"/>
      <c r="CL143" s="1293"/>
      <c r="CM143" s="1293"/>
      <c r="CN143" s="1293"/>
      <c r="CO143" s="1293"/>
      <c r="CP143" s="1293"/>
      <c r="CQ143" s="1293"/>
      <c r="CR143" s="1293"/>
      <c r="CS143" s="1293"/>
      <c r="CT143" s="1293"/>
      <c r="CU143" s="1293"/>
      <c r="CV143" s="1293"/>
      <c r="CW143" s="1293"/>
      <c r="CX143" s="1293"/>
      <c r="CY143" s="2055"/>
      <c r="CZ143" s="1723"/>
      <c r="DA143" s="2056"/>
      <c r="DB143" s="2118"/>
      <c r="DC143" s="1293"/>
      <c r="DD143" s="1293"/>
      <c r="DE143" s="1293"/>
      <c r="DF143" s="1293"/>
      <c r="DG143" s="1293"/>
      <c r="DH143" s="1293"/>
      <c r="DI143" s="1293"/>
      <c r="DJ143" s="1293"/>
      <c r="DK143" s="1293"/>
      <c r="DL143" s="1293"/>
    </row>
    <row r="144" spans="1:116" ht="15.75" hidden="1" outlineLevel="1">
      <c r="A144" s="1293"/>
      <c r="B144" s="1293" t="s">
        <v>5729</v>
      </c>
      <c r="C144" s="1699"/>
      <c r="D144" s="1699"/>
      <c r="E144" s="1699"/>
      <c r="F144" s="1699"/>
      <c r="G144" s="2039"/>
      <c r="H144" s="1699"/>
      <c r="I144" s="1699"/>
      <c r="J144" s="1699"/>
      <c r="K144" s="1699"/>
      <c r="L144" s="2039"/>
      <c r="M144" s="1699"/>
      <c r="N144" s="1699"/>
      <c r="O144" s="1699"/>
      <c r="P144" s="1724"/>
      <c r="Q144" s="2039"/>
      <c r="R144" s="1699"/>
      <c r="S144" s="1724"/>
      <c r="T144" s="1724"/>
      <c r="U144" s="1699">
        <f>U140-U129</f>
        <v>512</v>
      </c>
      <c r="V144" s="2039"/>
      <c r="W144" s="1293"/>
      <c r="X144" s="1293"/>
      <c r="Y144" s="1293"/>
      <c r="Z144" s="1293"/>
      <c r="AA144" s="2039"/>
      <c r="AB144" s="1724"/>
      <c r="AC144" s="1699">
        <f>AB140-AC140</f>
        <v>50</v>
      </c>
      <c r="AD144" s="1699"/>
      <c r="AE144" s="1699">
        <f>AD140-AE140</f>
        <v>46.299999999999955</v>
      </c>
      <c r="AF144" s="1699"/>
      <c r="AG144" s="1699">
        <f>AF140-AG140</f>
        <v>53</v>
      </c>
      <c r="AH144" s="1293"/>
      <c r="AI144" s="1293">
        <v>50</v>
      </c>
      <c r="AJ144" s="2039">
        <f>AC144+AE144+AG144+AI144</f>
        <v>199.29999999999995</v>
      </c>
      <c r="AK144" s="1699"/>
      <c r="AL144" s="1699"/>
      <c r="AM144" s="1699"/>
      <c r="AN144" s="1699"/>
      <c r="AO144" s="2039"/>
      <c r="AP144" s="1699"/>
      <c r="AQ144" s="1699"/>
      <c r="AR144" s="1699"/>
      <c r="AS144" s="1699"/>
      <c r="AT144" s="2039"/>
      <c r="AU144" s="1699"/>
      <c r="AV144" s="1699"/>
      <c r="AW144" s="1699"/>
      <c r="AX144" s="1699"/>
      <c r="AY144" s="2039"/>
      <c r="AZ144" s="1699"/>
      <c r="BA144" s="1699"/>
      <c r="BB144" s="1699"/>
      <c r="BC144" s="1699"/>
      <c r="BD144" s="2039"/>
      <c r="BE144" s="1699"/>
      <c r="BF144" s="1699">
        <f>BE140-30</f>
        <v>631.80830000000003</v>
      </c>
      <c r="BG144" s="1699">
        <f>BF144</f>
        <v>631.80830000000003</v>
      </c>
      <c r="BH144" s="1699">
        <f>BG144</f>
        <v>631.80830000000003</v>
      </c>
      <c r="BI144" s="2112">
        <f>BE140+BF144+BG144+BH144</f>
        <v>2557.2332000000001</v>
      </c>
      <c r="BJ144" s="1699"/>
      <c r="BK144" s="1699"/>
      <c r="BL144" s="1699"/>
      <c r="BM144" s="1699"/>
      <c r="BN144" s="2112">
        <f>BF140+BG144+BH144+BI144</f>
        <v>4477.7545000000009</v>
      </c>
      <c r="BO144" s="1699"/>
      <c r="BP144" s="1699"/>
      <c r="BQ144" s="1293"/>
      <c r="BR144" s="1293"/>
      <c r="BS144" s="1293"/>
      <c r="BT144" s="1293"/>
      <c r="BU144" s="1293"/>
      <c r="BV144" s="1293"/>
      <c r="BW144" s="1293"/>
      <c r="BX144" s="1293"/>
      <c r="BY144" s="1293"/>
      <c r="BZ144" s="1293"/>
      <c r="CA144" s="1293"/>
      <c r="CB144" s="1293"/>
      <c r="CC144" s="1293"/>
      <c r="CD144" s="1293"/>
      <c r="CE144" s="1293"/>
      <c r="CF144" s="1293"/>
      <c r="CG144" s="1293"/>
      <c r="CH144" s="1293"/>
      <c r="CI144" s="1293"/>
      <c r="CJ144" s="1293"/>
      <c r="CK144" s="1293"/>
      <c r="CL144" s="1293"/>
      <c r="CM144" s="1293"/>
      <c r="CN144" s="1293"/>
      <c r="CO144" s="1293"/>
      <c r="CP144" s="1293"/>
      <c r="CQ144" s="1293"/>
      <c r="CR144" s="1293"/>
      <c r="CS144" s="1293"/>
      <c r="CT144" s="1293"/>
      <c r="CU144" s="1293"/>
      <c r="CV144" s="1293"/>
      <c r="CW144" s="1293"/>
      <c r="CX144" s="1293"/>
      <c r="CY144" s="2041"/>
      <c r="CZ144" s="1699"/>
      <c r="DA144" s="2042">
        <v>632</v>
      </c>
      <c r="DB144" s="2041">
        <v>632</v>
      </c>
      <c r="DC144" s="1293"/>
      <c r="DD144" s="1293"/>
      <c r="DE144" s="1293"/>
      <c r="DF144" s="1293"/>
      <c r="DG144" s="1293"/>
      <c r="DH144" s="1293"/>
      <c r="DI144" s="1293"/>
      <c r="DJ144" s="1293"/>
      <c r="DK144" s="1293"/>
      <c r="DL144" s="1293"/>
    </row>
    <row r="145" spans="1:116" ht="15.75" hidden="1" outlineLevel="1">
      <c r="A145" s="1293"/>
      <c r="B145" s="1293"/>
      <c r="C145" s="1699"/>
      <c r="D145" s="1699"/>
      <c r="E145" s="1699"/>
      <c r="F145" s="1699"/>
      <c r="G145" s="2039"/>
      <c r="H145" s="1699"/>
      <c r="I145" s="1699"/>
      <c r="J145" s="1699"/>
      <c r="K145" s="1699"/>
      <c r="L145" s="2039"/>
      <c r="M145" s="1699"/>
      <c r="N145" s="1699"/>
      <c r="O145" s="1699"/>
      <c r="P145" s="1724"/>
      <c r="Q145" s="2039"/>
      <c r="R145" s="1699"/>
      <c r="S145" s="1724"/>
      <c r="T145" s="1724"/>
      <c r="U145" s="1699"/>
      <c r="V145" s="2039"/>
      <c r="W145" s="1724"/>
      <c r="X145" s="1724"/>
      <c r="Y145" s="1724"/>
      <c r="Z145" s="1724"/>
      <c r="AA145" s="2039"/>
      <c r="AB145" s="1724"/>
      <c r="AC145" s="1699"/>
      <c r="AD145" s="1699"/>
      <c r="AE145" s="1699"/>
      <c r="AF145" s="1328"/>
      <c r="AG145" s="1699"/>
      <c r="AH145" s="1699"/>
      <c r="AI145" s="1699"/>
      <c r="AJ145" s="2039"/>
      <c r="AK145" s="1328"/>
      <c r="AL145" s="1328"/>
      <c r="AM145" s="1328"/>
      <c r="AN145" s="1328"/>
      <c r="AO145" s="2039"/>
      <c r="AP145" s="1328"/>
      <c r="AQ145" s="1328"/>
      <c r="AR145" s="1328"/>
      <c r="AS145" s="1328"/>
      <c r="AT145" s="2039"/>
      <c r="AU145" s="1328"/>
      <c r="AV145" s="1328"/>
      <c r="AW145" s="1328"/>
      <c r="AX145" s="1328"/>
      <c r="AY145" s="2039"/>
      <c r="AZ145" s="1328"/>
      <c r="BA145" s="1328"/>
      <c r="BB145" s="1328"/>
      <c r="BC145" s="1699"/>
      <c r="BD145" s="2039"/>
      <c r="BE145" s="1328">
        <f>BE137/AZ137-1</f>
        <v>0.24549489832830296</v>
      </c>
      <c r="BF145" s="1328">
        <f>BF137/BA137-1</f>
        <v>0.23105693387337101</v>
      </c>
      <c r="BG145" s="1328"/>
      <c r="BH145" s="1699"/>
      <c r="BI145" s="2039"/>
      <c r="BJ145" s="1328"/>
      <c r="BK145" s="1328"/>
      <c r="BL145" s="1328"/>
      <c r="BM145" s="1328"/>
      <c r="BN145" s="2039"/>
      <c r="BO145" s="1699"/>
      <c r="BP145" s="1699"/>
      <c r="BQ145" s="1293"/>
      <c r="BR145" s="1293"/>
      <c r="BS145" s="1293"/>
      <c r="BT145" s="1293"/>
      <c r="BU145" s="1293"/>
      <c r="BV145" s="1293"/>
      <c r="BW145" s="1293"/>
      <c r="BX145" s="1293"/>
      <c r="BY145" s="1293"/>
      <c r="BZ145" s="1293"/>
      <c r="CA145" s="1293"/>
      <c r="CB145" s="1293"/>
      <c r="CC145" s="1293"/>
      <c r="CD145" s="1293"/>
      <c r="CE145" s="1293"/>
      <c r="CF145" s="1293"/>
      <c r="CG145" s="1293"/>
      <c r="CH145" s="1293"/>
      <c r="CI145" s="1293"/>
      <c r="CJ145" s="1293"/>
      <c r="CK145" s="1293"/>
      <c r="CL145" s="1293"/>
      <c r="CM145" s="1293"/>
      <c r="CN145" s="1293"/>
      <c r="CO145" s="1293"/>
      <c r="CP145" s="1293"/>
      <c r="CQ145" s="1293"/>
      <c r="CR145" s="1293"/>
      <c r="CS145" s="1293"/>
      <c r="CT145" s="1293"/>
      <c r="CU145" s="1293"/>
      <c r="CV145" s="1293"/>
      <c r="CW145" s="1293"/>
      <c r="CX145" s="1293"/>
      <c r="CY145" s="2041"/>
      <c r="CZ145" s="1699"/>
      <c r="DA145" s="2100"/>
      <c r="DB145" s="2101"/>
      <c r="DC145" s="1293"/>
      <c r="DD145" s="1293"/>
      <c r="DE145" s="1293"/>
      <c r="DF145" s="1293"/>
      <c r="DG145" s="1293"/>
      <c r="DH145" s="1293"/>
      <c r="DI145" s="1293"/>
      <c r="DJ145" s="1293"/>
      <c r="DK145" s="1293"/>
      <c r="DL145" s="1293"/>
    </row>
    <row r="146" spans="1:116" ht="15.75" hidden="1" outlineLevel="1">
      <c r="A146" s="1293"/>
      <c r="B146" s="1293" t="s">
        <v>5497</v>
      </c>
      <c r="C146" s="1699"/>
      <c r="D146" s="1699"/>
      <c r="E146" s="1699"/>
      <c r="F146" s="1699"/>
      <c r="G146" s="2039"/>
      <c r="H146" s="1699"/>
      <c r="I146" s="1699"/>
      <c r="J146" s="1699"/>
      <c r="K146" s="1699"/>
      <c r="L146" s="2039"/>
      <c r="M146" s="1699"/>
      <c r="N146" s="1699"/>
      <c r="O146" s="1699"/>
      <c r="P146" s="1724"/>
      <c r="Q146" s="2039"/>
      <c r="R146" s="1699"/>
      <c r="S146" s="1724"/>
      <c r="T146" s="1724"/>
      <c r="U146" s="1699"/>
      <c r="V146" s="2039"/>
      <c r="W146" s="1963">
        <f>W113+W119+W132</f>
        <v>520</v>
      </c>
      <c r="X146" s="1963">
        <f>X113+X119+X132</f>
        <v>520</v>
      </c>
      <c r="Y146" s="1963">
        <f>Y113+Y119+Y132</f>
        <v>522</v>
      </c>
      <c r="Z146" s="1963">
        <f>Z113+Z119+Z132</f>
        <v>522</v>
      </c>
      <c r="AA146" s="2112"/>
      <c r="AB146" s="1963">
        <f t="shared" ref="AB146:AH146" si="224">AB113+AB119+AB132</f>
        <v>591</v>
      </c>
      <c r="AC146" s="1963">
        <f t="shared" si="224"/>
        <v>549</v>
      </c>
      <c r="AD146" s="1963">
        <f t="shared" si="224"/>
        <v>586</v>
      </c>
      <c r="AE146" s="1963">
        <f t="shared" si="224"/>
        <v>548</v>
      </c>
      <c r="AF146" s="1963">
        <f t="shared" si="224"/>
        <v>616</v>
      </c>
      <c r="AG146" s="1963">
        <f t="shared" si="224"/>
        <v>572</v>
      </c>
      <c r="AH146" s="1963">
        <f t="shared" si="224"/>
        <v>648</v>
      </c>
      <c r="AI146" s="1963"/>
      <c r="AJ146" s="2039"/>
      <c r="AK146" s="1963"/>
      <c r="AL146" s="1963"/>
      <c r="AM146" s="1963"/>
      <c r="AN146" s="1963"/>
      <c r="AO146" s="2039"/>
      <c r="AP146" s="1963"/>
      <c r="AQ146" s="1963"/>
      <c r="AR146" s="1963"/>
      <c r="AS146" s="1963"/>
      <c r="AT146" s="2039"/>
      <c r="AU146" s="1963"/>
      <c r="AV146" s="1963"/>
      <c r="AW146" s="1963"/>
      <c r="AX146" s="1963"/>
      <c r="AY146" s="2039"/>
      <c r="AZ146" s="1963"/>
      <c r="BA146" s="1963"/>
      <c r="BB146" s="1963"/>
      <c r="BC146" s="1699"/>
      <c r="BD146" s="2039"/>
      <c r="BE146" s="1328">
        <f>BE140/AZ140-1</f>
        <v>0.26716466749598733</v>
      </c>
      <c r="BF146" s="1328">
        <f>BF140/BA140-1</f>
        <v>0.24195673809174512</v>
      </c>
      <c r="BG146" s="1963"/>
      <c r="BH146" s="1699"/>
      <c r="BI146" s="2039"/>
      <c r="BJ146" s="1328"/>
      <c r="BK146" s="1328"/>
      <c r="BL146" s="1328"/>
      <c r="BM146" s="1328"/>
      <c r="BN146" s="2039"/>
      <c r="BO146" s="1699"/>
      <c r="BP146" s="1699"/>
      <c r="BQ146" s="1293"/>
      <c r="BR146" s="1293"/>
      <c r="BS146" s="1293"/>
      <c r="BT146" s="1293"/>
      <c r="BU146" s="1293"/>
      <c r="BV146" s="1293"/>
      <c r="BW146" s="1293"/>
      <c r="BX146" s="1293"/>
      <c r="BY146" s="1293"/>
      <c r="BZ146" s="1293"/>
      <c r="CA146" s="1293"/>
      <c r="CB146" s="1293"/>
      <c r="CC146" s="1293"/>
      <c r="CD146" s="1293"/>
      <c r="CE146" s="1293"/>
      <c r="CF146" s="1293"/>
      <c r="CG146" s="1293"/>
      <c r="CH146" s="1293"/>
      <c r="CI146" s="1293"/>
      <c r="CJ146" s="1293"/>
      <c r="CK146" s="1293"/>
      <c r="CL146" s="1293"/>
      <c r="CM146" s="1293"/>
      <c r="CN146" s="1293"/>
      <c r="CO146" s="1293"/>
      <c r="CP146" s="1293"/>
      <c r="CQ146" s="1293"/>
      <c r="CR146" s="1293"/>
      <c r="CS146" s="1293"/>
      <c r="CT146" s="1293"/>
      <c r="CU146" s="1293"/>
      <c r="CV146" s="1293"/>
      <c r="CW146" s="1293"/>
      <c r="CX146" s="1293"/>
      <c r="CY146" s="2041"/>
      <c r="CZ146" s="1699"/>
      <c r="DA146" s="2119"/>
      <c r="DB146" s="2120"/>
      <c r="DC146" s="1293"/>
      <c r="DD146" s="1293"/>
      <c r="DE146" s="1293"/>
      <c r="DF146" s="1293"/>
      <c r="DG146" s="1293"/>
      <c r="DH146" s="1293"/>
      <c r="DI146" s="1293"/>
      <c r="DJ146" s="1293"/>
      <c r="DK146" s="1293"/>
      <c r="DL146" s="1293"/>
    </row>
    <row r="147" spans="1:116" ht="15.75" hidden="1" outlineLevel="1">
      <c r="A147" s="1293"/>
      <c r="B147" s="1293"/>
      <c r="C147" s="1699"/>
      <c r="D147" s="1699"/>
      <c r="E147" s="1699"/>
      <c r="F147" s="1699"/>
      <c r="G147" s="2039"/>
      <c r="H147" s="1699"/>
      <c r="I147" s="1699"/>
      <c r="J147" s="1699"/>
      <c r="K147" s="1699"/>
      <c r="L147" s="2039"/>
      <c r="M147" s="1699"/>
      <c r="N147" s="1699"/>
      <c r="O147" s="1699"/>
      <c r="P147" s="1724"/>
      <c r="Q147" s="2039"/>
      <c r="R147" s="1699"/>
      <c r="S147" s="1724"/>
      <c r="T147" s="1724"/>
      <c r="U147" s="1699"/>
      <c r="V147" s="2039"/>
      <c r="W147" s="1328">
        <f>W146/(W13+W19)</f>
        <v>0.38433111603843312</v>
      </c>
      <c r="X147" s="1328">
        <f>X146/(X13+X19)</f>
        <v>0.37572254335260113</v>
      </c>
      <c r="Y147" s="1328">
        <f>Y146/(Y13+Y19)</f>
        <v>0.38157894736842107</v>
      </c>
      <c r="Z147" s="1328">
        <f>Z146/(Z13+Z19)</f>
        <v>0.37798696596669079</v>
      </c>
      <c r="AA147" s="2039"/>
      <c r="AB147" s="1328">
        <f t="shared" ref="AB147:AH147" si="225">AB146/(AB13+AB19)</f>
        <v>0.41444600280504906</v>
      </c>
      <c r="AC147" s="1328">
        <f t="shared" si="225"/>
        <v>0.38499298737727911</v>
      </c>
      <c r="AD147" s="1328">
        <f t="shared" si="225"/>
        <v>0.40109514031485283</v>
      </c>
      <c r="AE147" s="1328">
        <f t="shared" si="225"/>
        <v>0.3750855578370979</v>
      </c>
      <c r="AF147" s="1328">
        <f t="shared" si="225"/>
        <v>0.41204013377926424</v>
      </c>
      <c r="AG147" s="1328">
        <f t="shared" si="225"/>
        <v>0.38260869565217392</v>
      </c>
      <c r="AH147" s="1328">
        <f t="shared" si="225"/>
        <v>0.41090678503487632</v>
      </c>
      <c r="AI147" s="1328"/>
      <c r="AJ147" s="2039"/>
      <c r="AK147" s="1328"/>
      <c r="AL147" s="1328"/>
      <c r="AM147" s="1328"/>
      <c r="AN147" s="1328"/>
      <c r="AO147" s="2039"/>
      <c r="AP147" s="1328"/>
      <c r="AQ147" s="1328"/>
      <c r="AR147" s="1328"/>
      <c r="AS147" s="1328"/>
      <c r="AT147" s="2039"/>
      <c r="AU147" s="1328"/>
      <c r="AV147" s="1328"/>
      <c r="AW147" s="1328"/>
      <c r="AX147" s="1328"/>
      <c r="AY147" s="2039"/>
      <c r="AZ147" s="1328"/>
      <c r="BA147" s="1328"/>
      <c r="BB147" s="1328"/>
      <c r="BC147" s="1699"/>
      <c r="BD147" s="2039"/>
      <c r="BE147" s="1328"/>
      <c r="BF147" s="1328"/>
      <c r="BG147" s="1328"/>
      <c r="BH147" s="1699"/>
      <c r="BI147" s="2039"/>
      <c r="BJ147" s="1328"/>
      <c r="BK147" s="1328"/>
      <c r="BL147" s="1328"/>
      <c r="BM147" s="1328"/>
      <c r="BN147" s="2039"/>
      <c r="BO147" s="1699"/>
      <c r="BP147" s="1699"/>
      <c r="BQ147" s="1293"/>
      <c r="BR147" s="1293"/>
      <c r="BS147" s="1293"/>
      <c r="BT147" s="1293"/>
      <c r="BU147" s="1293"/>
      <c r="BV147" s="1293"/>
      <c r="BW147" s="1293"/>
      <c r="BX147" s="1293"/>
      <c r="BY147" s="1293"/>
      <c r="BZ147" s="1293"/>
      <c r="CA147" s="1293"/>
      <c r="CB147" s="1293"/>
      <c r="CC147" s="1293"/>
      <c r="CD147" s="1293"/>
      <c r="CE147" s="1293"/>
      <c r="CF147" s="1293"/>
      <c r="CG147" s="1293"/>
      <c r="CH147" s="1293"/>
      <c r="CI147" s="1293"/>
      <c r="CJ147" s="1293"/>
      <c r="CK147" s="1293"/>
      <c r="CL147" s="1293"/>
      <c r="CM147" s="1293"/>
      <c r="CN147" s="1293"/>
      <c r="CO147" s="1293"/>
      <c r="CP147" s="1293"/>
      <c r="CQ147" s="1293"/>
      <c r="CR147" s="1293"/>
      <c r="CS147" s="1293"/>
      <c r="CT147" s="1293"/>
      <c r="CU147" s="1293"/>
      <c r="CV147" s="1293"/>
      <c r="CW147" s="1293"/>
      <c r="CX147" s="1293"/>
      <c r="CY147" s="2041"/>
      <c r="CZ147" s="1699"/>
      <c r="DA147" s="2100"/>
      <c r="DB147" s="2101"/>
      <c r="DC147" s="1293"/>
      <c r="DD147" s="1293"/>
      <c r="DE147" s="1293"/>
      <c r="DF147" s="1293"/>
      <c r="DG147" s="1293"/>
      <c r="DH147" s="1293"/>
      <c r="DI147" s="1293"/>
      <c r="DJ147" s="1293"/>
      <c r="DK147" s="1293"/>
      <c r="DL147" s="1293"/>
    </row>
    <row r="148" spans="1:116" ht="15.75" hidden="1" outlineLevel="1">
      <c r="A148" s="1293"/>
      <c r="B148" s="1293"/>
      <c r="C148" s="1699"/>
      <c r="D148" s="1699"/>
      <c r="E148" s="1699"/>
      <c r="F148" s="1699"/>
      <c r="G148" s="2039"/>
      <c r="H148" s="1699"/>
      <c r="I148" s="1699"/>
      <c r="J148" s="1699"/>
      <c r="K148" s="1699"/>
      <c r="L148" s="2039"/>
      <c r="M148" s="1699"/>
      <c r="N148" s="1699"/>
      <c r="O148" s="1699"/>
      <c r="P148" s="1724"/>
      <c r="Q148" s="2039"/>
      <c r="R148" s="1699"/>
      <c r="S148" s="1724"/>
      <c r="T148" s="1724"/>
      <c r="U148" s="1699"/>
      <c r="V148" s="2039"/>
      <c r="W148" s="1724"/>
      <c r="X148" s="1328"/>
      <c r="Y148" s="1724"/>
      <c r="Z148" s="1724"/>
      <c r="AA148" s="2039"/>
      <c r="AB148" s="1335">
        <v>4.4999999999999998E-2</v>
      </c>
      <c r="AC148" s="1328"/>
      <c r="AD148" s="1335">
        <v>1.4999999999999999E-2</v>
      </c>
      <c r="AE148" s="1328"/>
      <c r="AF148" s="1335">
        <v>7.0000000000000001E-3</v>
      </c>
      <c r="AG148" s="1328"/>
      <c r="AH148" s="1335">
        <v>0.02</v>
      </c>
      <c r="AI148" s="1328"/>
      <c r="AJ148" s="2039"/>
      <c r="AK148" s="1335"/>
      <c r="AL148" s="1335"/>
      <c r="AM148" s="1335"/>
      <c r="AN148" s="1335"/>
      <c r="AO148" s="2039"/>
      <c r="AP148" s="1335"/>
      <c r="AQ148" s="1335"/>
      <c r="AR148" s="1335"/>
      <c r="AS148" s="1335"/>
      <c r="AT148" s="2039"/>
      <c r="AU148" s="1335"/>
      <c r="AV148" s="1335"/>
      <c r="AW148" s="1335"/>
      <c r="AX148" s="1335"/>
      <c r="AY148" s="2039"/>
      <c r="AZ148" s="1335"/>
      <c r="BA148" s="1335"/>
      <c r="BB148" s="1335"/>
      <c r="BC148" s="1699"/>
      <c r="BD148" s="2039"/>
      <c r="BE148" s="1335"/>
      <c r="BF148" s="1335"/>
      <c r="BG148" s="1335"/>
      <c r="BH148" s="1699"/>
      <c r="BI148" s="2039"/>
      <c r="BJ148" s="1335"/>
      <c r="BK148" s="1335"/>
      <c r="BL148" s="1335"/>
      <c r="BM148" s="1335"/>
      <c r="BN148" s="2039"/>
      <c r="BO148" s="1699"/>
      <c r="BP148" s="1699"/>
      <c r="BQ148" s="1293"/>
      <c r="BR148" s="1293"/>
      <c r="BS148" s="1293"/>
      <c r="BT148" s="1293"/>
      <c r="BU148" s="1293"/>
      <c r="BV148" s="1293"/>
      <c r="BW148" s="1293"/>
      <c r="BX148" s="1293"/>
      <c r="BY148" s="1293"/>
      <c r="BZ148" s="1293"/>
      <c r="CA148" s="1293"/>
      <c r="CB148" s="1293"/>
      <c r="CC148" s="1293"/>
      <c r="CD148" s="1293"/>
      <c r="CE148" s="1293"/>
      <c r="CF148" s="1293"/>
      <c r="CG148" s="1293"/>
      <c r="CH148" s="1293"/>
      <c r="CI148" s="1293"/>
      <c r="CJ148" s="1293"/>
      <c r="CK148" s="1293"/>
      <c r="CL148" s="1293"/>
      <c r="CM148" s="1293"/>
      <c r="CN148" s="1293"/>
      <c r="CO148" s="1293"/>
      <c r="CP148" s="1293"/>
      <c r="CQ148" s="1293"/>
      <c r="CR148" s="1293"/>
      <c r="CS148" s="1293"/>
      <c r="CT148" s="1293"/>
      <c r="CU148" s="1293"/>
      <c r="CV148" s="1293"/>
      <c r="CW148" s="1293"/>
      <c r="CX148" s="1293"/>
      <c r="CY148" s="2041"/>
      <c r="CZ148" s="1699"/>
      <c r="DA148" s="2091"/>
      <c r="DB148" s="2090"/>
      <c r="DC148" s="1293"/>
      <c r="DD148" s="1293"/>
      <c r="DE148" s="1293"/>
      <c r="DF148" s="1293"/>
      <c r="DG148" s="1293"/>
      <c r="DH148" s="1293"/>
      <c r="DI148" s="1293"/>
      <c r="DJ148" s="1293"/>
      <c r="DK148" s="1293"/>
      <c r="DL148" s="1293"/>
    </row>
    <row r="149" spans="1:116" ht="15.75" hidden="1" outlineLevel="1">
      <c r="A149" s="1293"/>
      <c r="B149" s="1293"/>
      <c r="C149" s="1699"/>
      <c r="D149" s="1699"/>
      <c r="E149" s="1699"/>
      <c r="F149" s="1699"/>
      <c r="G149" s="2039"/>
      <c r="H149" s="1699"/>
      <c r="I149" s="1699"/>
      <c r="J149" s="1699"/>
      <c r="K149" s="1699"/>
      <c r="L149" s="2039"/>
      <c r="M149" s="1699"/>
      <c r="N149" s="1699"/>
      <c r="O149" s="1699"/>
      <c r="P149" s="1724"/>
      <c r="Q149" s="2039"/>
      <c r="R149" s="1699"/>
      <c r="S149" s="1724"/>
      <c r="T149" s="1724"/>
      <c r="U149" s="1699"/>
      <c r="V149" s="2039"/>
      <c r="W149" s="1724"/>
      <c r="X149" s="1328"/>
      <c r="Y149" s="1724"/>
      <c r="Z149" s="1724"/>
      <c r="AA149" s="2039"/>
      <c r="AB149" s="1335"/>
      <c r="AC149" s="1328"/>
      <c r="AD149" s="1335"/>
      <c r="AE149" s="1328"/>
      <c r="AF149" s="1335"/>
      <c r="AG149" s="1328"/>
      <c r="AH149" s="1335"/>
      <c r="AI149" s="1328"/>
      <c r="AJ149" s="2039"/>
      <c r="AK149" s="1335"/>
      <c r="AL149" s="1335"/>
      <c r="AM149" s="1335"/>
      <c r="AN149" s="1335"/>
      <c r="AO149" s="2039"/>
      <c r="AP149" s="1335"/>
      <c r="AQ149" s="1335"/>
      <c r="AR149" s="1335"/>
      <c r="AS149" s="1335"/>
      <c r="AT149" s="2039"/>
      <c r="AU149" s="1335"/>
      <c r="AV149" s="1335"/>
      <c r="AW149" s="1335"/>
      <c r="AX149" s="1335"/>
      <c r="AY149" s="2039"/>
      <c r="AZ149" s="1335"/>
      <c r="BA149" s="1335"/>
      <c r="BB149" s="1335"/>
      <c r="BC149" s="1699"/>
      <c r="BD149" s="2039"/>
      <c r="BE149" s="1335"/>
      <c r="BF149" s="1335"/>
      <c r="BG149" s="1335"/>
      <c r="BH149" s="1699"/>
      <c r="BI149" s="2039"/>
      <c r="BJ149" s="1335"/>
      <c r="BK149" s="1335"/>
      <c r="BL149" s="1335"/>
      <c r="BM149" s="1335"/>
      <c r="BN149" s="2039"/>
      <c r="BO149" s="1699"/>
      <c r="BP149" s="1699"/>
      <c r="BQ149" s="1293"/>
      <c r="BR149" s="1293"/>
      <c r="BS149" s="1293"/>
      <c r="BT149" s="1293"/>
      <c r="BU149" s="1293"/>
      <c r="BV149" s="1293"/>
      <c r="BW149" s="1293"/>
      <c r="BX149" s="1293"/>
      <c r="BY149" s="1293"/>
      <c r="BZ149" s="1293"/>
      <c r="CA149" s="1293"/>
      <c r="CB149" s="1293"/>
      <c r="CC149" s="1293"/>
      <c r="CD149" s="1293"/>
      <c r="CE149" s="1293"/>
      <c r="CF149" s="1293"/>
      <c r="CG149" s="1293"/>
      <c r="CH149" s="1293"/>
      <c r="CI149" s="1293"/>
      <c r="CJ149" s="1293"/>
      <c r="CK149" s="1293"/>
      <c r="CL149" s="1293"/>
      <c r="CM149" s="1293"/>
      <c r="CN149" s="1293"/>
      <c r="CO149" s="1293"/>
      <c r="CP149" s="1293"/>
      <c r="CQ149" s="1293"/>
      <c r="CR149" s="1293"/>
      <c r="CS149" s="1293"/>
      <c r="CT149" s="1293"/>
      <c r="CU149" s="1293"/>
      <c r="CV149" s="1293"/>
      <c r="CW149" s="1293"/>
      <c r="CX149" s="1293"/>
      <c r="CY149" s="2041"/>
      <c r="CZ149" s="1699"/>
      <c r="DA149" s="2091"/>
      <c r="DB149" s="2090"/>
      <c r="DC149" s="1293"/>
      <c r="DD149" s="1293"/>
      <c r="DE149" s="1293"/>
      <c r="DF149" s="1293"/>
      <c r="DG149" s="1293"/>
      <c r="DH149" s="1293"/>
      <c r="DI149" s="1293"/>
      <c r="DJ149" s="1293"/>
      <c r="DK149" s="1293"/>
      <c r="DL149" s="1293"/>
    </row>
    <row r="150" spans="1:116" ht="15.75" hidden="1" outlineLevel="1">
      <c r="A150" s="1293"/>
      <c r="B150" s="1293" t="s">
        <v>6329</v>
      </c>
      <c r="C150" s="1699"/>
      <c r="D150" s="1699"/>
      <c r="E150" s="1699"/>
      <c r="F150" s="1699"/>
      <c r="G150" s="2039"/>
      <c r="H150" s="1699"/>
      <c r="I150" s="1699"/>
      <c r="J150" s="1699"/>
      <c r="K150" s="1699"/>
      <c r="L150" s="2039"/>
      <c r="M150" s="1699"/>
      <c r="N150" s="1699"/>
      <c r="O150" s="1699"/>
      <c r="P150" s="1724"/>
      <c r="Q150" s="2039"/>
      <c r="R150" s="1699"/>
      <c r="S150" s="1724"/>
      <c r="T150" s="1724"/>
      <c r="U150" s="1699"/>
      <c r="V150" s="2039"/>
      <c r="W150" s="1724"/>
      <c r="X150" s="1328"/>
      <c r="Y150" s="1724"/>
      <c r="Z150" s="1724"/>
      <c r="AA150" s="2039"/>
      <c r="AB150" s="1699">
        <f t="shared" ref="AB150:AH150" si="226">AB151-AB113-AB119</f>
        <v>-38.225000000000023</v>
      </c>
      <c r="AC150" s="1699">
        <f t="shared" si="226"/>
        <v>46.567999999999984</v>
      </c>
      <c r="AD150" s="1699">
        <f t="shared" si="226"/>
        <v>-44.649999999999977</v>
      </c>
      <c r="AE150" s="1699">
        <f t="shared" si="226"/>
        <v>49.480999999999995</v>
      </c>
      <c r="AF150" s="1699">
        <f t="shared" si="226"/>
        <v>-30.175000000000011</v>
      </c>
      <c r="AG150" s="1699">
        <f t="shared" si="226"/>
        <v>27.871999999999986</v>
      </c>
      <c r="AH150" s="1699">
        <f t="shared" si="226"/>
        <v>-42.175000000000011</v>
      </c>
      <c r="AI150" s="1328"/>
      <c r="AJ150" s="2039"/>
      <c r="AK150" s="1699">
        <f>AK151-AK119-AK113</f>
        <v>-36</v>
      </c>
      <c r="AL150" s="1699">
        <f>AL151-AL119-AL113</f>
        <v>-27</v>
      </c>
      <c r="AM150" s="1699">
        <f>AM151-AM119-AM113</f>
        <v>-27</v>
      </c>
      <c r="AN150" s="1699">
        <f>AN151-AN119-AN113</f>
        <v>-33</v>
      </c>
      <c r="AO150" s="2039"/>
      <c r="AP150" s="1699">
        <f>AP151-AP119-AP113</f>
        <v>-29</v>
      </c>
      <c r="AQ150" s="1699">
        <f>AQ151-AQ119-AQ113</f>
        <v>-30</v>
      </c>
      <c r="AR150" s="1699">
        <f>AR151-AR119-AR113</f>
        <v>-30</v>
      </c>
      <c r="AS150" s="1699">
        <f>AS151-AS119-AS113</f>
        <v>-50</v>
      </c>
      <c r="AT150" s="2039"/>
      <c r="AU150" s="1699">
        <f>AU151-AU119-AU113</f>
        <v>-36.328399999999988</v>
      </c>
      <c r="AV150" s="1699">
        <f>AV151-AV119-AV113</f>
        <v>-29.380499999999927</v>
      </c>
      <c r="AW150" s="1699">
        <f>AW151-AW119-AW113</f>
        <v>-39.621700000000033</v>
      </c>
      <c r="AX150" s="1699">
        <f>AX151-AX119-AX113</f>
        <v>-40.738900000000058</v>
      </c>
      <c r="AY150" s="2039"/>
      <c r="AZ150" s="1699"/>
      <c r="BA150" s="1699"/>
      <c r="BB150" s="1699"/>
      <c r="BC150" s="1699"/>
      <c r="BD150" s="2039"/>
      <c r="BE150" s="1699"/>
      <c r="BF150" s="1699"/>
      <c r="BG150" s="1699"/>
      <c r="BH150" s="1699"/>
      <c r="BI150" s="2039"/>
      <c r="BJ150" s="1699"/>
      <c r="BK150" s="1699"/>
      <c r="BL150" s="1699"/>
      <c r="BM150" s="1699"/>
      <c r="BN150" s="2039"/>
      <c r="BO150" s="1699"/>
      <c r="BP150" s="1699"/>
      <c r="BQ150" s="1293"/>
      <c r="BR150" s="1293"/>
      <c r="BS150" s="1293"/>
      <c r="BT150" s="1293"/>
      <c r="BU150" s="1293"/>
      <c r="BV150" s="1293"/>
      <c r="BW150" s="1293"/>
      <c r="BX150" s="1293"/>
      <c r="BY150" s="1293"/>
      <c r="BZ150" s="1293"/>
      <c r="CA150" s="1293"/>
      <c r="CB150" s="1293"/>
      <c r="CC150" s="1293"/>
      <c r="CD150" s="1293"/>
      <c r="CE150" s="1293"/>
      <c r="CF150" s="1293"/>
      <c r="CG150" s="1293"/>
      <c r="CH150" s="1293"/>
      <c r="CI150" s="1293"/>
      <c r="CJ150" s="1293"/>
      <c r="CK150" s="1293"/>
      <c r="CL150" s="1293"/>
      <c r="CM150" s="1293"/>
      <c r="CN150" s="1293"/>
      <c r="CO150" s="1293"/>
      <c r="CP150" s="1293"/>
      <c r="CQ150" s="1293"/>
      <c r="CR150" s="1293"/>
      <c r="CS150" s="1293"/>
      <c r="CT150" s="1293"/>
      <c r="CU150" s="1293"/>
      <c r="CV150" s="1293"/>
      <c r="CW150" s="1293"/>
      <c r="CX150" s="1293"/>
      <c r="CY150" s="2041"/>
      <c r="CZ150" s="1699"/>
      <c r="DA150" s="2042"/>
      <c r="DB150" s="2041"/>
      <c r="DC150" s="1293"/>
      <c r="DD150" s="1293"/>
      <c r="DE150" s="1293"/>
      <c r="DF150" s="1293"/>
      <c r="DG150" s="1293"/>
      <c r="DH150" s="1293"/>
      <c r="DI150" s="1293"/>
      <c r="DJ150" s="1293"/>
      <c r="DK150" s="1293"/>
      <c r="DL150" s="1293"/>
    </row>
    <row r="151" spans="1:116" ht="15.75" hidden="1" outlineLevel="1">
      <c r="A151" s="1293"/>
      <c r="B151" s="1363" t="s">
        <v>6328</v>
      </c>
      <c r="C151" s="2102"/>
      <c r="D151" s="2102"/>
      <c r="E151" s="2102"/>
      <c r="F151" s="2102"/>
      <c r="G151" s="2121"/>
      <c r="H151" s="2102"/>
      <c r="I151" s="2102"/>
      <c r="J151" s="2102"/>
      <c r="K151" s="2102"/>
      <c r="L151" s="2121"/>
      <c r="M151" s="2102"/>
      <c r="N151" s="2102"/>
      <c r="O151" s="2102"/>
      <c r="P151" s="2122"/>
      <c r="Q151" s="2121"/>
      <c r="R151" s="2102"/>
      <c r="S151" s="2122"/>
      <c r="T151" s="2122"/>
      <c r="U151" s="2102"/>
      <c r="V151" s="2121"/>
      <c r="W151" s="1964">
        <v>518</v>
      </c>
      <c r="X151" s="1964">
        <v>516</v>
      </c>
      <c r="Y151" s="1964">
        <v>524</v>
      </c>
      <c r="Z151" s="1964">
        <v>514</v>
      </c>
      <c r="AA151" s="2121"/>
      <c r="AB151" s="1964">
        <v>587</v>
      </c>
      <c r="AC151" s="1964">
        <v>636</v>
      </c>
      <c r="AD151" s="1964">
        <v>577</v>
      </c>
      <c r="AE151" s="1964">
        <v>636</v>
      </c>
      <c r="AF151" s="1964">
        <v>619</v>
      </c>
      <c r="AG151" s="1964">
        <v>636</v>
      </c>
      <c r="AH151" s="1964">
        <v>636</v>
      </c>
      <c r="AI151" s="2123"/>
      <c r="AJ151" s="2121"/>
      <c r="AK151" s="2124">
        <f>600+8</f>
        <v>608</v>
      </c>
      <c r="AL151" s="2124">
        <v>544</v>
      </c>
      <c r="AM151" s="2124">
        <v>581</v>
      </c>
      <c r="AN151" s="2124">
        <f>634-2-5</f>
        <v>627</v>
      </c>
      <c r="AO151" s="2121"/>
      <c r="AP151" s="2124">
        <v>638</v>
      </c>
      <c r="AQ151" s="2124">
        <f>620+4</f>
        <v>624</v>
      </c>
      <c r="AR151" s="2124">
        <v>622</v>
      </c>
      <c r="AS151" s="2124">
        <v>617</v>
      </c>
      <c r="AT151" s="2121"/>
      <c r="AU151" s="2124">
        <f>AU140+AU105</f>
        <v>627.90809999999999</v>
      </c>
      <c r="AV151" s="1964">
        <f>AV140+AV105</f>
        <v>642.5485000000001</v>
      </c>
      <c r="AW151" s="1964">
        <f>AW140+AW105</f>
        <v>603.53769999999997</v>
      </c>
      <c r="AX151" s="1964">
        <f>AX140+AX105</f>
        <v>615.98069999999996</v>
      </c>
      <c r="AY151" s="2121"/>
      <c r="AZ151" s="1964"/>
      <c r="BA151" s="1964"/>
      <c r="BB151" s="1964"/>
      <c r="BC151" s="2102"/>
      <c r="BD151" s="2121"/>
      <c r="BE151" s="1964"/>
      <c r="BF151" s="1964"/>
      <c r="BG151" s="1964"/>
      <c r="BH151" s="2102"/>
      <c r="BI151" s="2121"/>
      <c r="BJ151" s="1964"/>
      <c r="BK151" s="1964"/>
      <c r="BL151" s="1964"/>
      <c r="BM151" s="1964"/>
      <c r="BN151" s="2121"/>
      <c r="BO151" s="1699"/>
      <c r="BP151" s="1699"/>
      <c r="BQ151" s="2079"/>
      <c r="BR151" s="1293"/>
      <c r="BS151" s="1699"/>
      <c r="BT151" s="1699"/>
      <c r="BU151" s="1293"/>
      <c r="BV151" s="1293"/>
      <c r="BW151" s="1293"/>
      <c r="BX151" s="1293"/>
      <c r="BY151" s="1293"/>
      <c r="BZ151" s="1293"/>
      <c r="CA151" s="1293"/>
      <c r="CB151" s="1293"/>
      <c r="CC151" s="1293"/>
      <c r="CD151" s="1293"/>
      <c r="CE151" s="1293"/>
      <c r="CF151" s="1293"/>
      <c r="CG151" s="1293"/>
      <c r="CH151" s="1293"/>
      <c r="CI151" s="1293"/>
      <c r="CJ151" s="1293"/>
      <c r="CK151" s="1293"/>
      <c r="CL151" s="1293"/>
      <c r="CM151" s="1293"/>
      <c r="CN151" s="1293"/>
      <c r="CO151" s="1293"/>
      <c r="CP151" s="1293"/>
      <c r="CQ151" s="1293"/>
      <c r="CR151" s="1293"/>
      <c r="CS151" s="1293"/>
      <c r="CT151" s="1293"/>
      <c r="CU151" s="1293"/>
      <c r="CV151" s="1293"/>
      <c r="CW151" s="1293"/>
      <c r="CX151" s="1293"/>
      <c r="CY151" s="2073"/>
      <c r="CZ151" s="2102"/>
      <c r="DA151" s="2125"/>
      <c r="DB151" s="2126"/>
      <c r="DC151" s="1293"/>
      <c r="DD151" s="1293"/>
      <c r="DE151" s="1293"/>
      <c r="DF151" s="1293"/>
      <c r="DG151" s="1293"/>
      <c r="DH151" s="1293"/>
      <c r="DI151" s="1293"/>
      <c r="DJ151" s="1293"/>
      <c r="DK151" s="1293"/>
      <c r="DL151" s="1293"/>
    </row>
    <row r="152" spans="1:116" ht="15.75" hidden="1" outlineLevel="1">
      <c r="A152" s="1293"/>
      <c r="B152" s="1334" t="s">
        <v>1434</v>
      </c>
      <c r="C152" s="1723"/>
      <c r="D152" s="1723"/>
      <c r="E152" s="1723"/>
      <c r="F152" s="1723"/>
      <c r="G152" s="2112"/>
      <c r="H152" s="1723"/>
      <c r="I152" s="1723"/>
      <c r="J152" s="1723"/>
      <c r="K152" s="1723"/>
      <c r="L152" s="2112"/>
      <c r="M152" s="1723"/>
      <c r="N152" s="1723"/>
      <c r="O152" s="1723"/>
      <c r="P152" s="2013"/>
      <c r="Q152" s="2112"/>
      <c r="R152" s="1723"/>
      <c r="S152" s="2013"/>
      <c r="T152" s="2013"/>
      <c r="U152" s="1723"/>
      <c r="V152" s="2112"/>
      <c r="W152" s="1335">
        <f>W151/W21</f>
        <v>0.38285291943828531</v>
      </c>
      <c r="X152" s="1335">
        <f>X151/X21</f>
        <v>0.37283236994219654</v>
      </c>
      <c r="Y152" s="1335">
        <f>Y151/Y21</f>
        <v>0.38304093567251463</v>
      </c>
      <c r="Z152" s="1335">
        <f>Z151/Z21</f>
        <v>0.37219406227371471</v>
      </c>
      <c r="AA152" s="2112"/>
      <c r="AB152" s="1335">
        <f>AB151/AB21</f>
        <v>0.41164095371669002</v>
      </c>
      <c r="AC152" s="1335"/>
      <c r="AD152" s="1335">
        <f>AD151/AD21</f>
        <v>0.39493497604380562</v>
      </c>
      <c r="AE152" s="1335"/>
      <c r="AF152" s="1335">
        <f>AF151/AF21</f>
        <v>0.4140468227424749</v>
      </c>
      <c r="AG152" s="1335"/>
      <c r="AH152" s="1335">
        <f>AH151/AH21</f>
        <v>0.40329740012682308</v>
      </c>
      <c r="AI152" s="1335"/>
      <c r="AJ152" s="2112"/>
      <c r="AK152" s="1335">
        <f>AK151/AK21</f>
        <v>0.40264900662251657</v>
      </c>
      <c r="AL152" s="1335">
        <f>AL151/AL21</f>
        <v>0.39824304538799415</v>
      </c>
      <c r="AM152" s="1335">
        <f>AM151/AM21</f>
        <v>0.40068965517241378</v>
      </c>
      <c r="AN152" s="1335">
        <f>AN151/AN21</f>
        <v>0.40714285714285714</v>
      </c>
      <c r="AO152" s="2039"/>
      <c r="AP152" s="1335">
        <f>AP151/AP21</f>
        <v>0.41563517915309445</v>
      </c>
      <c r="AQ152" s="1335">
        <f>AQ151/AQ21</f>
        <v>0.40258064516129033</v>
      </c>
      <c r="AR152" s="1335">
        <f>AR151/AR21</f>
        <v>0.40051513200257566</v>
      </c>
      <c r="AS152" s="1335">
        <f>AS151/AS21</f>
        <v>0.38514357053682896</v>
      </c>
      <c r="AT152" s="2039"/>
      <c r="AU152" s="1335">
        <f>AU151/AU21</f>
        <v>0.40368119844516276</v>
      </c>
      <c r="AV152" s="1335">
        <f>AV151/AV21</f>
        <v>0.40231796548791915</v>
      </c>
      <c r="AW152" s="1335">
        <f>AW151/AW21</f>
        <v>0.39234837787568999</v>
      </c>
      <c r="AX152" s="1335">
        <f>AX151/AX21</f>
        <v>0.40019187722768002</v>
      </c>
      <c r="AY152" s="2039"/>
      <c r="AZ152" s="1335"/>
      <c r="BA152" s="1335"/>
      <c r="BB152" s="1335"/>
      <c r="BC152" s="1699"/>
      <c r="BD152" s="2039"/>
      <c r="BE152" s="1335"/>
      <c r="BF152" s="1335"/>
      <c r="BG152" s="1335"/>
      <c r="BH152" s="1699"/>
      <c r="BI152" s="2039"/>
      <c r="BJ152" s="1335"/>
      <c r="BK152" s="1335"/>
      <c r="BL152" s="1335"/>
      <c r="BM152" s="1335"/>
      <c r="BN152" s="2039"/>
      <c r="BO152" s="1699"/>
      <c r="BP152" s="1699"/>
      <c r="BQ152" s="1293"/>
      <c r="BR152" s="1293"/>
      <c r="BS152" s="1293"/>
      <c r="BT152" s="1293"/>
      <c r="BU152" s="1293"/>
      <c r="BV152" s="1293"/>
      <c r="BW152" s="1293"/>
      <c r="BX152" s="1293"/>
      <c r="BY152" s="1293"/>
      <c r="BZ152" s="1293"/>
      <c r="CA152" s="1293"/>
      <c r="CB152" s="1293"/>
      <c r="CC152" s="1293"/>
      <c r="CD152" s="1293"/>
      <c r="CE152" s="1293"/>
      <c r="CF152" s="1293"/>
      <c r="CG152" s="1293"/>
      <c r="CH152" s="1293"/>
      <c r="CI152" s="1293"/>
      <c r="CJ152" s="1293"/>
      <c r="CK152" s="1293"/>
      <c r="CL152" s="1293"/>
      <c r="CM152" s="1293"/>
      <c r="CN152" s="1293"/>
      <c r="CO152" s="1293"/>
      <c r="CP152" s="1293"/>
      <c r="CQ152" s="1293"/>
      <c r="CR152" s="1293"/>
      <c r="CS152" s="1293"/>
      <c r="CT152" s="1293"/>
      <c r="CU152" s="1293"/>
      <c r="CV152" s="1293"/>
      <c r="CW152" s="1293"/>
      <c r="CX152" s="1293"/>
      <c r="CY152" s="2041"/>
      <c r="CZ152" s="1699"/>
      <c r="DA152" s="2091"/>
      <c r="DB152" s="2090"/>
      <c r="DC152" s="1293"/>
      <c r="DD152" s="1293"/>
      <c r="DE152" s="1293"/>
      <c r="DF152" s="1293"/>
      <c r="DG152" s="1293"/>
      <c r="DH152" s="1293"/>
      <c r="DI152" s="1293"/>
      <c r="DJ152" s="1293"/>
      <c r="DK152" s="1293"/>
      <c r="DL152" s="1293"/>
    </row>
    <row r="153" spans="1:116" ht="15.75" hidden="1" outlineLevel="1">
      <c r="A153" s="1293"/>
      <c r="B153" s="1334" t="s">
        <v>6779</v>
      </c>
      <c r="C153" s="1723"/>
      <c r="D153" s="1723"/>
      <c r="E153" s="1723"/>
      <c r="F153" s="1723"/>
      <c r="G153" s="2112"/>
      <c r="H153" s="1723"/>
      <c r="I153" s="1723"/>
      <c r="J153" s="1723"/>
      <c r="K153" s="1723"/>
      <c r="L153" s="2112"/>
      <c r="M153" s="1723"/>
      <c r="N153" s="1723"/>
      <c r="O153" s="1723"/>
      <c r="P153" s="2013"/>
      <c r="Q153" s="2112"/>
      <c r="R153" s="1723"/>
      <c r="S153" s="2013"/>
      <c r="T153" s="2013"/>
      <c r="U153" s="1723"/>
      <c r="V153" s="2112"/>
      <c r="W153" s="1335"/>
      <c r="X153" s="1335"/>
      <c r="Y153" s="1335"/>
      <c r="Z153" s="1335"/>
      <c r="AA153" s="2112"/>
      <c r="AB153" s="1963">
        <f>AB21-AB151</f>
        <v>839</v>
      </c>
      <c r="AC153" s="1335"/>
      <c r="AD153" s="1963">
        <f>AD21-AD151</f>
        <v>884</v>
      </c>
      <c r="AE153" s="1335"/>
      <c r="AF153" s="1963">
        <f>AF21-AF151</f>
        <v>876</v>
      </c>
      <c r="AG153" s="1335"/>
      <c r="AH153" s="1963">
        <f>AH21-AH151</f>
        <v>941</v>
      </c>
      <c r="AI153" s="1335"/>
      <c r="AJ153" s="2112"/>
      <c r="AK153" s="1963">
        <f>AK21-AK151</f>
        <v>902</v>
      </c>
      <c r="AL153" s="1963">
        <f>AL21-AL151</f>
        <v>822</v>
      </c>
      <c r="AM153" s="1963">
        <f>AM21-AM151</f>
        <v>869</v>
      </c>
      <c r="AN153" s="1963">
        <f>AN21-AN151</f>
        <v>913</v>
      </c>
      <c r="AO153" s="2039"/>
      <c r="AP153" s="1963">
        <f>AP21-AP151</f>
        <v>897</v>
      </c>
      <c r="AQ153" s="1963">
        <f>AQ21-AQ151</f>
        <v>926</v>
      </c>
      <c r="AR153" s="1963">
        <f>AR21-AR151</f>
        <v>931</v>
      </c>
      <c r="AS153" s="1963">
        <f>AS21-AS151</f>
        <v>985</v>
      </c>
      <c r="AT153" s="2039"/>
      <c r="AU153" s="1963">
        <f>AU21-AU151</f>
        <v>927.54729999999984</v>
      </c>
      <c r="AV153" s="1963">
        <f>AV21-AV151</f>
        <v>954.56760000000008</v>
      </c>
      <c r="AW153" s="1963">
        <f>AW21-AW151</f>
        <v>934.73220000000026</v>
      </c>
      <c r="AX153" s="1963">
        <f>AX21-AX151</f>
        <v>923.23270000000014</v>
      </c>
      <c r="AY153" s="2039"/>
      <c r="AZ153" s="1963"/>
      <c r="BA153" s="1963"/>
      <c r="BB153" s="1963"/>
      <c r="BC153" s="1699"/>
      <c r="BD153" s="2039"/>
      <c r="BE153" s="1963"/>
      <c r="BF153" s="1963"/>
      <c r="BG153" s="1963"/>
      <c r="BH153" s="1699"/>
      <c r="BI153" s="2039"/>
      <c r="BJ153" s="1963"/>
      <c r="BK153" s="1963"/>
      <c r="BL153" s="1963"/>
      <c r="BM153" s="1963"/>
      <c r="BN153" s="2039"/>
      <c r="BO153" s="1699"/>
      <c r="BP153" s="1699"/>
      <c r="BQ153" s="1293"/>
      <c r="BR153" s="1293"/>
      <c r="BS153" s="1293"/>
      <c r="BT153" s="1293"/>
      <c r="BU153" s="1293"/>
      <c r="BV153" s="1293"/>
      <c r="BW153" s="1293"/>
      <c r="BX153" s="1293"/>
      <c r="BY153" s="1293"/>
      <c r="BZ153" s="1293"/>
      <c r="CA153" s="1293"/>
      <c r="CB153" s="1293"/>
      <c r="CC153" s="1293"/>
      <c r="CD153" s="1293"/>
      <c r="CE153" s="1293"/>
      <c r="CF153" s="1293"/>
      <c r="CG153" s="1293"/>
      <c r="CH153" s="1293"/>
      <c r="CI153" s="1293"/>
      <c r="CJ153" s="1293"/>
      <c r="CK153" s="1293"/>
      <c r="CL153" s="1293"/>
      <c r="CM153" s="1293"/>
      <c r="CN153" s="1293"/>
      <c r="CO153" s="1293"/>
      <c r="CP153" s="1293"/>
      <c r="CQ153" s="1293"/>
      <c r="CR153" s="1293"/>
      <c r="CS153" s="1293"/>
      <c r="CT153" s="1293"/>
      <c r="CU153" s="1293"/>
      <c r="CV153" s="1293"/>
      <c r="CW153" s="1293"/>
      <c r="CX153" s="1293"/>
      <c r="CY153" s="2041"/>
      <c r="CZ153" s="1699"/>
      <c r="DA153" s="2119"/>
      <c r="DB153" s="2120"/>
      <c r="DC153" s="1293"/>
      <c r="DD153" s="1293"/>
      <c r="DE153" s="1293"/>
      <c r="DF153" s="1293"/>
      <c r="DG153" s="1293"/>
      <c r="DH153" s="1293"/>
      <c r="DI153" s="1293"/>
      <c r="DJ153" s="1293"/>
      <c r="DK153" s="1293"/>
      <c r="DL153" s="1293"/>
    </row>
    <row r="154" spans="1:116" ht="15.75" hidden="1" outlineLevel="1">
      <c r="A154" s="1293"/>
      <c r="B154" s="1293"/>
      <c r="C154" s="1699"/>
      <c r="D154" s="1699"/>
      <c r="E154" s="1699"/>
      <c r="F154" s="1699"/>
      <c r="G154" s="2039"/>
      <c r="H154" s="1699"/>
      <c r="I154" s="1699"/>
      <c r="J154" s="1699"/>
      <c r="K154" s="1699"/>
      <c r="L154" s="2039"/>
      <c r="M154" s="1699"/>
      <c r="N154" s="1699"/>
      <c r="O154" s="1699"/>
      <c r="P154" s="1724"/>
      <c r="Q154" s="2039"/>
      <c r="R154" s="1699"/>
      <c r="S154" s="1724"/>
      <c r="T154" s="1724"/>
      <c r="U154" s="1699"/>
      <c r="V154" s="2039"/>
      <c r="W154" s="1724"/>
      <c r="X154" s="1328"/>
      <c r="Y154" s="1724"/>
      <c r="Z154" s="1724"/>
      <c r="AA154" s="2039"/>
      <c r="AB154" s="1335"/>
      <c r="AC154" s="1328"/>
      <c r="AD154" s="1335"/>
      <c r="AE154" s="1328"/>
      <c r="AF154" s="1335"/>
      <c r="AG154" s="1328"/>
      <c r="AH154" s="1335"/>
      <c r="AI154" s="1328"/>
      <c r="AJ154" s="2039"/>
      <c r="AK154" s="1963"/>
      <c r="AL154" s="1963"/>
      <c r="AM154" s="1963"/>
      <c r="AN154" s="1963"/>
      <c r="AO154" s="2039"/>
      <c r="AP154" s="1963"/>
      <c r="AQ154" s="1963"/>
      <c r="AR154" s="1963"/>
      <c r="AS154" s="1335"/>
      <c r="AT154" s="2039"/>
      <c r="AU154" s="1963"/>
      <c r="AV154" s="1963"/>
      <c r="AW154" s="1963"/>
      <c r="AX154" s="1963"/>
      <c r="AY154" s="2039"/>
      <c r="AZ154" s="1963"/>
      <c r="BA154" s="1963"/>
      <c r="BB154" s="1963"/>
      <c r="BC154" s="1699"/>
      <c r="BD154" s="2039"/>
      <c r="BE154" s="1963"/>
      <c r="BF154" s="1963"/>
      <c r="BG154" s="1963"/>
      <c r="BH154" s="1699"/>
      <c r="BI154" s="2039"/>
      <c r="BJ154" s="1963"/>
      <c r="BK154" s="1963"/>
      <c r="BL154" s="1963"/>
      <c r="BM154" s="1963"/>
      <c r="BN154" s="2039"/>
      <c r="BO154" s="1699"/>
      <c r="BP154" s="1699"/>
      <c r="BQ154" s="1293"/>
      <c r="BR154" s="1293"/>
      <c r="BS154" s="1293"/>
      <c r="BT154" s="1293"/>
      <c r="BU154" s="1293"/>
      <c r="BV154" s="1293"/>
      <c r="BW154" s="1293"/>
      <c r="BX154" s="1293"/>
      <c r="BY154" s="1293"/>
      <c r="BZ154" s="1293"/>
      <c r="CA154" s="1293"/>
      <c r="CB154" s="1293"/>
      <c r="CC154" s="1293"/>
      <c r="CD154" s="1293"/>
      <c r="CE154" s="1293"/>
      <c r="CF154" s="1293"/>
      <c r="CG154" s="1293"/>
      <c r="CH154" s="1293"/>
      <c r="CI154" s="1293"/>
      <c r="CJ154" s="1293"/>
      <c r="CK154" s="1293"/>
      <c r="CL154" s="1293"/>
      <c r="CM154" s="1293"/>
      <c r="CN154" s="1293"/>
      <c r="CO154" s="1293"/>
      <c r="CP154" s="1293"/>
      <c r="CQ154" s="1293"/>
      <c r="CR154" s="1293"/>
      <c r="CS154" s="1293"/>
      <c r="CT154" s="1293"/>
      <c r="CU154" s="1293"/>
      <c r="CV154" s="1293"/>
      <c r="CW154" s="1293"/>
      <c r="CX154" s="1293"/>
      <c r="CY154" s="2041"/>
      <c r="CZ154" s="1699"/>
      <c r="DA154" s="2119"/>
      <c r="DB154" s="2120"/>
      <c r="DC154" s="1293"/>
      <c r="DD154" s="1293"/>
      <c r="DE154" s="1293"/>
      <c r="DF154" s="1293"/>
      <c r="DG154" s="1293"/>
      <c r="DH154" s="1293"/>
      <c r="DI154" s="1293"/>
      <c r="DJ154" s="1293"/>
      <c r="DK154" s="1293"/>
      <c r="DL154" s="1293"/>
    </row>
    <row r="155" spans="1:116" ht="15.75" hidden="1" outlineLevel="1">
      <c r="A155" s="1293"/>
      <c r="B155" s="1293" t="s">
        <v>4691</v>
      </c>
      <c r="C155" s="1699"/>
      <c r="D155" s="1699"/>
      <c r="E155" s="1699"/>
      <c r="F155" s="1699"/>
      <c r="G155" s="2039"/>
      <c r="H155" s="1699"/>
      <c r="I155" s="1699"/>
      <c r="J155" s="1699"/>
      <c r="K155" s="1699"/>
      <c r="L155" s="2039"/>
      <c r="M155" s="1699"/>
      <c r="N155" s="1699"/>
      <c r="O155" s="1699"/>
      <c r="P155" s="1724"/>
      <c r="Q155" s="2039"/>
      <c r="R155" s="1699"/>
      <c r="S155" s="1699"/>
      <c r="T155" s="1724"/>
      <c r="U155" s="1724"/>
      <c r="V155" s="2039"/>
      <c r="W155" s="1724"/>
      <c r="X155" s="1724"/>
      <c r="Y155" s="1724"/>
      <c r="Z155" s="1724"/>
      <c r="AA155" s="2039"/>
      <c r="AB155" s="1724"/>
      <c r="AC155" s="1724"/>
      <c r="AD155" s="1293"/>
      <c r="AE155" s="1724"/>
      <c r="AF155" s="1724"/>
      <c r="AG155" s="1724"/>
      <c r="AH155" s="1335">
        <f>AVERAGE(AB148,AD148,AF148,AH148)</f>
        <v>2.1750000000000002E-2</v>
      </c>
      <c r="AI155" s="1724"/>
      <c r="AJ155" s="2039"/>
      <c r="AK155" s="1724"/>
      <c r="AL155" s="1724"/>
      <c r="AM155" s="1335"/>
      <c r="AN155" s="1335"/>
      <c r="AO155" s="2039"/>
      <c r="AP155" s="1335"/>
      <c r="AQ155" s="1335"/>
      <c r="AR155" s="1335"/>
      <c r="AS155" s="1335"/>
      <c r="AT155" s="2039"/>
      <c r="AU155" s="1335"/>
      <c r="AV155" s="1335"/>
      <c r="AW155" s="1335"/>
      <c r="AX155" s="1335"/>
      <c r="AY155" s="2039"/>
      <c r="AZ155" s="1335"/>
      <c r="BA155" s="1335"/>
      <c r="BB155" s="1335"/>
      <c r="BC155" s="1699"/>
      <c r="BD155" s="2039"/>
      <c r="BE155" s="1335"/>
      <c r="BF155" s="1335"/>
      <c r="BG155" s="1335"/>
      <c r="BH155" s="1699"/>
      <c r="BI155" s="2039"/>
      <c r="BJ155" s="1335"/>
      <c r="BK155" s="1335"/>
      <c r="BL155" s="1335"/>
      <c r="BM155" s="1335"/>
      <c r="BN155" s="2039"/>
      <c r="BO155" s="1699"/>
      <c r="BP155" s="1699"/>
      <c r="BQ155" s="1293"/>
      <c r="BR155" s="1293"/>
      <c r="BS155" s="1293"/>
      <c r="BT155" s="1293"/>
      <c r="BU155" s="1293"/>
      <c r="BV155" s="1293"/>
      <c r="BW155" s="1293"/>
      <c r="BX155" s="1293"/>
      <c r="BY155" s="1293"/>
      <c r="BZ155" s="1293"/>
      <c r="CA155" s="1293"/>
      <c r="CB155" s="1293"/>
      <c r="CC155" s="1293"/>
      <c r="CD155" s="1293"/>
      <c r="CE155" s="1293"/>
      <c r="CF155" s="1293"/>
      <c r="CG155" s="1293"/>
      <c r="CH155" s="1293"/>
      <c r="CI155" s="1293"/>
      <c r="CJ155" s="1293"/>
      <c r="CK155" s="1293"/>
      <c r="CL155" s="1293"/>
      <c r="CM155" s="1293"/>
      <c r="CN155" s="1293"/>
      <c r="CO155" s="1293"/>
      <c r="CP155" s="1293"/>
      <c r="CQ155" s="1293"/>
      <c r="CR155" s="1293"/>
      <c r="CS155" s="1293"/>
      <c r="CT155" s="1293"/>
      <c r="CU155" s="1293"/>
      <c r="CV155" s="1293"/>
      <c r="CW155" s="1293"/>
      <c r="CX155" s="1293"/>
      <c r="CY155" s="2041"/>
      <c r="CZ155" s="1699"/>
      <c r="DA155" s="2091"/>
      <c r="DB155" s="2090"/>
      <c r="DC155" s="1293"/>
      <c r="DD155" s="1293"/>
      <c r="DE155" s="1293"/>
      <c r="DF155" s="1293"/>
      <c r="DG155" s="1293"/>
      <c r="DH155" s="1293"/>
      <c r="DI155" s="1293"/>
      <c r="DJ155" s="1293"/>
      <c r="DK155" s="1293"/>
      <c r="DL155" s="1293"/>
    </row>
    <row r="156" spans="1:116" ht="15.75" hidden="1" outlineLevel="1">
      <c r="A156" s="1293"/>
      <c r="B156" s="1293" t="str">
        <f>B103</f>
        <v>El Salvador</v>
      </c>
      <c r="C156" s="1699"/>
      <c r="D156" s="1699"/>
      <c r="E156" s="1699"/>
      <c r="F156" s="1699"/>
      <c r="G156" s="2039"/>
      <c r="H156" s="1699"/>
      <c r="I156" s="1699"/>
      <c r="J156" s="1699"/>
      <c r="K156" s="1699"/>
      <c r="L156" s="2039"/>
      <c r="M156" s="1699"/>
      <c r="N156" s="1699"/>
      <c r="O156" s="1699"/>
      <c r="P156" s="1724"/>
      <c r="Q156" s="2039"/>
      <c r="R156" s="1699">
        <f t="shared" ref="R156:U158" si="227">R103*R251/M251</f>
        <v>34</v>
      </c>
      <c r="S156" s="1699">
        <f t="shared" si="227"/>
        <v>38</v>
      </c>
      <c r="T156" s="1699">
        <f t="shared" si="227"/>
        <v>38</v>
      </c>
      <c r="U156" s="1699">
        <f t="shared" si="227"/>
        <v>45</v>
      </c>
      <c r="V156" s="2039"/>
      <c r="W156" s="1699">
        <f t="shared" ref="W156:Z158" si="228">W103*W251/R251</f>
        <v>37</v>
      </c>
      <c r="X156" s="1699">
        <f t="shared" si="228"/>
        <v>38</v>
      </c>
      <c r="Y156" s="1699">
        <f t="shared" si="228"/>
        <v>34</v>
      </c>
      <c r="Z156" s="1699">
        <f t="shared" si="228"/>
        <v>35</v>
      </c>
      <c r="AA156" s="2039"/>
      <c r="AB156" s="1699"/>
      <c r="AC156" s="1699">
        <f>AC103*AC251/W251</f>
        <v>31.68</v>
      </c>
      <c r="AD156" s="1699"/>
      <c r="AE156" s="1699">
        <f>AE103*AE251/Y251</f>
        <v>27.160000000000004</v>
      </c>
      <c r="AF156" s="1699"/>
      <c r="AG156" s="1699"/>
      <c r="AH156" s="1699"/>
      <c r="AI156" s="1699"/>
      <c r="AJ156" s="2039"/>
      <c r="AK156" s="1699"/>
      <c r="AL156" s="1699"/>
      <c r="AM156" s="1328"/>
      <c r="AN156" s="1328"/>
      <c r="AO156" s="2039"/>
      <c r="AP156" s="1328"/>
      <c r="AQ156" s="1328"/>
      <c r="AR156" s="1328"/>
      <c r="AS156" s="1328"/>
      <c r="AT156" s="2039"/>
      <c r="AU156" s="1328"/>
      <c r="AV156" s="1328"/>
      <c r="AW156" s="1328"/>
      <c r="AX156" s="1328"/>
      <c r="AY156" s="2039"/>
      <c r="AZ156" s="1328"/>
      <c r="BA156" s="1328"/>
      <c r="BB156" s="1328"/>
      <c r="BC156" s="1699"/>
      <c r="BD156" s="2039"/>
      <c r="BE156" s="1328"/>
      <c r="BF156" s="1328"/>
      <c r="BG156" s="1328"/>
      <c r="BH156" s="1699"/>
      <c r="BI156" s="2039"/>
      <c r="BJ156" s="1328"/>
      <c r="BK156" s="1328"/>
      <c r="BL156" s="1328"/>
      <c r="BM156" s="1328"/>
      <c r="BN156" s="2039"/>
      <c r="BO156" s="1699"/>
      <c r="BP156" s="1699"/>
      <c r="BQ156" s="1293"/>
      <c r="BR156" s="1293"/>
      <c r="BS156" s="1293"/>
      <c r="BT156" s="1293"/>
      <c r="BU156" s="1293"/>
      <c r="BV156" s="1293"/>
      <c r="BW156" s="1293"/>
      <c r="BX156" s="1293"/>
      <c r="BY156" s="1293"/>
      <c r="BZ156" s="1293"/>
      <c r="CA156" s="1293"/>
      <c r="CB156" s="1293"/>
      <c r="CC156" s="1293"/>
      <c r="CD156" s="1293"/>
      <c r="CE156" s="1293"/>
      <c r="CF156" s="1293"/>
      <c r="CG156" s="1293"/>
      <c r="CH156" s="1293"/>
      <c r="CI156" s="1293"/>
      <c r="CJ156" s="1293"/>
      <c r="CK156" s="1293"/>
      <c r="CL156" s="1293"/>
      <c r="CM156" s="1293"/>
      <c r="CN156" s="1293"/>
      <c r="CO156" s="1293"/>
      <c r="CP156" s="1293"/>
      <c r="CQ156" s="1293"/>
      <c r="CR156" s="1293"/>
      <c r="CS156" s="1293"/>
      <c r="CT156" s="1293"/>
      <c r="CU156" s="1293"/>
      <c r="CV156" s="1293"/>
      <c r="CW156" s="1293"/>
      <c r="CX156" s="1293"/>
      <c r="CY156" s="2041"/>
      <c r="CZ156" s="1699"/>
      <c r="DA156" s="2100"/>
      <c r="DB156" s="2101"/>
      <c r="DC156" s="1293"/>
      <c r="DD156" s="1293"/>
      <c r="DE156" s="1293"/>
      <c r="DF156" s="1293"/>
      <c r="DG156" s="1293"/>
      <c r="DH156" s="1293"/>
      <c r="DI156" s="1293"/>
      <c r="DJ156" s="1293"/>
      <c r="DK156" s="1293"/>
      <c r="DL156" s="1293"/>
    </row>
    <row r="157" spans="1:116" ht="15.75" hidden="1" outlineLevel="1">
      <c r="A157" s="1293"/>
      <c r="B157" s="1293" t="str">
        <f>B104</f>
        <v>Guatemala</v>
      </c>
      <c r="C157" s="1699"/>
      <c r="D157" s="1699"/>
      <c r="E157" s="1699"/>
      <c r="F157" s="1699"/>
      <c r="G157" s="2039"/>
      <c r="H157" s="1699"/>
      <c r="I157" s="1699"/>
      <c r="J157" s="1699"/>
      <c r="K157" s="1699"/>
      <c r="L157" s="2039"/>
      <c r="M157" s="1699"/>
      <c r="N157" s="1699"/>
      <c r="O157" s="1699"/>
      <c r="P157" s="1724"/>
      <c r="Q157" s="2039"/>
      <c r="R157" s="1699">
        <f t="shared" si="227"/>
        <v>155.84393589219133</v>
      </c>
      <c r="S157" s="1699">
        <f t="shared" si="227"/>
        <v>158.72870249017038</v>
      </c>
      <c r="T157" s="1699">
        <f t="shared" si="227"/>
        <v>162.27160157781674</v>
      </c>
      <c r="U157" s="1699">
        <f t="shared" si="227"/>
        <v>166.90691489361703</v>
      </c>
      <c r="V157" s="2039"/>
      <c r="W157" s="1699">
        <f t="shared" si="228"/>
        <v>172.49283826483068</v>
      </c>
      <c r="X157" s="1699">
        <f t="shared" si="228"/>
        <v>174.4526889960176</v>
      </c>
      <c r="Y157" s="1699">
        <f t="shared" si="228"/>
        <v>176.64170440913401</v>
      </c>
      <c r="Z157" s="1699">
        <f t="shared" si="228"/>
        <v>180.90463215258856</v>
      </c>
      <c r="AA157" s="2039"/>
      <c r="AB157" s="1699"/>
      <c r="AC157" s="1699">
        <f>AC104*AC252/W252</f>
        <v>186.94081435394557</v>
      </c>
      <c r="AD157" s="1699"/>
      <c r="AE157" s="1699">
        <f>AE104*AE252/Y252</f>
        <v>180.40436565226</v>
      </c>
      <c r="AF157" s="1699"/>
      <c r="AG157" s="1699"/>
      <c r="AH157" s="1699"/>
      <c r="AI157" s="1699"/>
      <c r="AJ157" s="2039"/>
      <c r="AK157" s="1699"/>
      <c r="AL157" s="1699"/>
      <c r="AM157" s="1699"/>
      <c r="AN157" s="1699"/>
      <c r="AO157" s="2039"/>
      <c r="AP157" s="1699"/>
      <c r="AQ157" s="1699"/>
      <c r="AR157" s="1699"/>
      <c r="AS157" s="1699"/>
      <c r="AT157" s="2039"/>
      <c r="AU157" s="1699"/>
      <c r="AV157" s="1699"/>
      <c r="AW157" s="1699"/>
      <c r="AX157" s="1699"/>
      <c r="AY157" s="2039"/>
      <c r="AZ157" s="1699"/>
      <c r="BA157" s="1699"/>
      <c r="BB157" s="1699"/>
      <c r="BC157" s="1699"/>
      <c r="BD157" s="2039"/>
      <c r="BE157" s="1699"/>
      <c r="BF157" s="1699"/>
      <c r="BG157" s="1699"/>
      <c r="BH157" s="1699"/>
      <c r="BI157" s="2039"/>
      <c r="BJ157" s="1699"/>
      <c r="BK157" s="1699"/>
      <c r="BL157" s="1699"/>
      <c r="BM157" s="1699"/>
      <c r="BN157" s="2039"/>
      <c r="BO157" s="1699"/>
      <c r="BP157" s="1699"/>
      <c r="BQ157" s="1293"/>
      <c r="BR157" s="1293"/>
      <c r="BS157" s="1293"/>
      <c r="BT157" s="1293"/>
      <c r="BU157" s="1293"/>
      <c r="BV157" s="1293"/>
      <c r="BW157" s="1293"/>
      <c r="BX157" s="1293"/>
      <c r="BY157" s="1293"/>
      <c r="BZ157" s="1293"/>
      <c r="CA157" s="1293"/>
      <c r="CB157" s="1293"/>
      <c r="CC157" s="1293"/>
      <c r="CD157" s="1293"/>
      <c r="CE157" s="1293"/>
      <c r="CF157" s="1293"/>
      <c r="CG157" s="1293"/>
      <c r="CH157" s="1293"/>
      <c r="CI157" s="1293"/>
      <c r="CJ157" s="1293"/>
      <c r="CK157" s="1293"/>
      <c r="CL157" s="1293"/>
      <c r="CM157" s="1293"/>
      <c r="CN157" s="1293"/>
      <c r="CO157" s="1293"/>
      <c r="CP157" s="1293"/>
      <c r="CQ157" s="1293"/>
      <c r="CR157" s="1293"/>
      <c r="CS157" s="1293"/>
      <c r="CT157" s="1293"/>
      <c r="CU157" s="1293"/>
      <c r="CV157" s="1293"/>
      <c r="CW157" s="1293"/>
      <c r="CX157" s="1293"/>
      <c r="CY157" s="2041"/>
      <c r="CZ157" s="1699"/>
      <c r="DA157" s="2042"/>
      <c r="DB157" s="2041"/>
      <c r="DC157" s="1293"/>
      <c r="DD157" s="1293"/>
      <c r="DE157" s="1293"/>
      <c r="DF157" s="1293"/>
      <c r="DG157" s="1293"/>
      <c r="DH157" s="1293"/>
      <c r="DI157" s="1293"/>
      <c r="DJ157" s="1293"/>
      <c r="DK157" s="1293"/>
      <c r="DL157" s="1293"/>
    </row>
    <row r="158" spans="1:116" ht="15.75" hidden="1" outlineLevel="1">
      <c r="A158" s="1293"/>
      <c r="B158" s="1293" t="str">
        <f>B105</f>
        <v>Honduras (JV)</v>
      </c>
      <c r="C158" s="1699"/>
      <c r="D158" s="1699"/>
      <c r="E158" s="1699"/>
      <c r="F158" s="1699"/>
      <c r="G158" s="2039"/>
      <c r="H158" s="1699"/>
      <c r="I158" s="1699"/>
      <c r="J158" s="1699"/>
      <c r="K158" s="1699"/>
      <c r="L158" s="2039"/>
      <c r="M158" s="1699"/>
      <c r="N158" s="1699"/>
      <c r="O158" s="1699"/>
      <c r="P158" s="1724"/>
      <c r="Q158" s="2039"/>
      <c r="R158" s="1699">
        <f t="shared" si="227"/>
        <v>65.804637094099505</v>
      </c>
      <c r="S158" s="1699">
        <f t="shared" si="227"/>
        <v>65.043840420868051</v>
      </c>
      <c r="T158" s="1699">
        <f t="shared" si="227"/>
        <v>76.674166887901421</v>
      </c>
      <c r="U158" s="1699">
        <f t="shared" si="227"/>
        <v>64.798623063683308</v>
      </c>
      <c r="V158" s="2039"/>
      <c r="W158" s="1699">
        <f t="shared" si="228"/>
        <v>60.933175340324325</v>
      </c>
      <c r="X158" s="1699">
        <f t="shared" si="228"/>
        <v>60.658445859872621</v>
      </c>
      <c r="Y158" s="1699">
        <f t="shared" si="228"/>
        <v>65.443616334282993</v>
      </c>
      <c r="Z158" s="1699">
        <f t="shared" si="228"/>
        <v>72.26094347641309</v>
      </c>
      <c r="AA158" s="2039"/>
      <c r="AB158" s="1699"/>
      <c r="AC158" s="1699">
        <f>AC105*AC253/W253</f>
        <v>68.910574412234737</v>
      </c>
      <c r="AD158" s="1699"/>
      <c r="AE158" s="1699">
        <f>AE105*AE253/Y253</f>
        <v>67.176786927898362</v>
      </c>
      <c r="AF158" s="1699"/>
      <c r="AG158" s="1699"/>
      <c r="AH158" s="1699"/>
      <c r="AI158" s="1699"/>
      <c r="AJ158" s="2039"/>
      <c r="AK158" s="1699"/>
      <c r="AL158" s="1699"/>
      <c r="AM158" s="1699"/>
      <c r="AN158" s="1699"/>
      <c r="AO158" s="2039"/>
      <c r="AP158" s="1699"/>
      <c r="AQ158" s="1699"/>
      <c r="AR158" s="1699"/>
      <c r="AS158" s="1699"/>
      <c r="AT158" s="2039"/>
      <c r="AU158" s="1699"/>
      <c r="AV158" s="1699"/>
      <c r="AW158" s="1699"/>
      <c r="AX158" s="1699"/>
      <c r="AY158" s="2039"/>
      <c r="AZ158" s="1699"/>
      <c r="BA158" s="1699"/>
      <c r="BB158" s="1699"/>
      <c r="BC158" s="1699"/>
      <c r="BD158" s="2039"/>
      <c r="BE158" s="1699"/>
      <c r="BF158" s="1699"/>
      <c r="BG158" s="1699"/>
      <c r="BH158" s="1699"/>
      <c r="BI158" s="2039"/>
      <c r="BJ158" s="1699"/>
      <c r="BK158" s="1699"/>
      <c r="BL158" s="1699"/>
      <c r="BM158" s="1699"/>
      <c r="BN158" s="2039"/>
      <c r="BO158" s="1699"/>
      <c r="BP158" s="1699"/>
      <c r="BQ158" s="1293"/>
      <c r="BR158" s="1293"/>
      <c r="BS158" s="1293"/>
      <c r="BT158" s="1293"/>
      <c r="BU158" s="1293"/>
      <c r="BV158" s="1293"/>
      <c r="BW158" s="1293"/>
      <c r="BX158" s="1293"/>
      <c r="BY158" s="1293"/>
      <c r="BZ158" s="1293"/>
      <c r="CA158" s="1293"/>
      <c r="CB158" s="1293"/>
      <c r="CC158" s="1293"/>
      <c r="CD158" s="1293"/>
      <c r="CE158" s="1293"/>
      <c r="CF158" s="1293"/>
      <c r="CG158" s="1293"/>
      <c r="CH158" s="1293"/>
      <c r="CI158" s="1293"/>
      <c r="CJ158" s="1293"/>
      <c r="CK158" s="1293"/>
      <c r="CL158" s="1293"/>
      <c r="CM158" s="1293"/>
      <c r="CN158" s="1293"/>
      <c r="CO158" s="1293"/>
      <c r="CP158" s="1293"/>
      <c r="CQ158" s="1293"/>
      <c r="CR158" s="1293"/>
      <c r="CS158" s="1293"/>
      <c r="CT158" s="1293"/>
      <c r="CU158" s="1293"/>
      <c r="CV158" s="1293"/>
      <c r="CW158" s="1293"/>
      <c r="CX158" s="1293"/>
      <c r="CY158" s="2041"/>
      <c r="CZ158" s="1699"/>
      <c r="DA158" s="2042"/>
      <c r="DB158" s="2041"/>
      <c r="DC158" s="1293"/>
      <c r="DD158" s="1293"/>
      <c r="DE158" s="1293"/>
      <c r="DF158" s="1293"/>
      <c r="DG158" s="1293"/>
      <c r="DH158" s="1293"/>
      <c r="DI158" s="1293"/>
      <c r="DJ158" s="1293"/>
      <c r="DK158" s="1293"/>
      <c r="DL158" s="1293"/>
    </row>
    <row r="159" spans="1:116" ht="15.75" hidden="1" outlineLevel="1">
      <c r="A159" s="1293"/>
      <c r="B159" s="1293" t="s">
        <v>2032</v>
      </c>
      <c r="C159" s="1699"/>
      <c r="D159" s="1699"/>
      <c r="E159" s="1699"/>
      <c r="F159" s="1699"/>
      <c r="G159" s="2039"/>
      <c r="H159" s="1699"/>
      <c r="I159" s="1699"/>
      <c r="J159" s="1699"/>
      <c r="K159" s="1699"/>
      <c r="L159" s="2039"/>
      <c r="M159" s="1699"/>
      <c r="N159" s="1699"/>
      <c r="O159" s="1699"/>
      <c r="P159" s="1724"/>
      <c r="Q159" s="2039"/>
      <c r="R159" s="1699"/>
      <c r="S159" s="1699"/>
      <c r="T159" s="1699"/>
      <c r="U159" s="1699"/>
      <c r="V159" s="2039"/>
      <c r="W159" s="1699"/>
      <c r="X159" s="1699"/>
      <c r="Y159" s="1699"/>
      <c r="Z159" s="1699"/>
      <c r="AA159" s="2039"/>
      <c r="AB159" s="1699"/>
      <c r="AC159" s="1699"/>
      <c r="AD159" s="1699"/>
      <c r="AE159" s="1699"/>
      <c r="AF159" s="1699"/>
      <c r="AG159" s="1699"/>
      <c r="AH159" s="1699"/>
      <c r="AI159" s="1699"/>
      <c r="AJ159" s="2039"/>
      <c r="AK159" s="1699"/>
      <c r="AL159" s="1699"/>
      <c r="AM159" s="1699"/>
      <c r="AN159" s="1699"/>
      <c r="AO159" s="2039"/>
      <c r="AP159" s="1699"/>
      <c r="AQ159" s="1699"/>
      <c r="AR159" s="1699"/>
      <c r="AS159" s="1699"/>
      <c r="AT159" s="2039"/>
      <c r="AU159" s="1699"/>
      <c r="AV159" s="1699"/>
      <c r="AW159" s="1699"/>
      <c r="AX159" s="1699"/>
      <c r="AY159" s="2039"/>
      <c r="AZ159" s="1699"/>
      <c r="BA159" s="1699"/>
      <c r="BB159" s="1699"/>
      <c r="BC159" s="1699"/>
      <c r="BD159" s="2039"/>
      <c r="BE159" s="1699"/>
      <c r="BF159" s="1699"/>
      <c r="BG159" s="1699"/>
      <c r="BH159" s="1699"/>
      <c r="BI159" s="2039"/>
      <c r="BJ159" s="1699"/>
      <c r="BK159" s="1699"/>
      <c r="BL159" s="1699"/>
      <c r="BM159" s="1699"/>
      <c r="BN159" s="2039"/>
      <c r="BO159" s="1699"/>
      <c r="BP159" s="1699"/>
      <c r="BQ159" s="1293"/>
      <c r="BR159" s="1293"/>
      <c r="BS159" s="1293"/>
      <c r="BT159" s="1293"/>
      <c r="BU159" s="1293"/>
      <c r="BV159" s="1293"/>
      <c r="BW159" s="1293"/>
      <c r="BX159" s="1293"/>
      <c r="BY159" s="1293"/>
      <c r="BZ159" s="1293"/>
      <c r="CA159" s="1293"/>
      <c r="CB159" s="1293"/>
      <c r="CC159" s="1293"/>
      <c r="CD159" s="1293"/>
      <c r="CE159" s="1293"/>
      <c r="CF159" s="1293"/>
      <c r="CG159" s="1293"/>
      <c r="CH159" s="1293"/>
      <c r="CI159" s="1293"/>
      <c r="CJ159" s="1293"/>
      <c r="CK159" s="1293"/>
      <c r="CL159" s="1293"/>
      <c r="CM159" s="1293"/>
      <c r="CN159" s="1293"/>
      <c r="CO159" s="1293"/>
      <c r="CP159" s="1293"/>
      <c r="CQ159" s="1293"/>
      <c r="CR159" s="1293"/>
      <c r="CS159" s="1293"/>
      <c r="CT159" s="1293"/>
      <c r="CU159" s="1293"/>
      <c r="CV159" s="1293"/>
      <c r="CW159" s="1293"/>
      <c r="CX159" s="1293"/>
      <c r="CY159" s="2041"/>
      <c r="CZ159" s="1699"/>
      <c r="DA159" s="2042"/>
      <c r="DB159" s="2041"/>
      <c r="DC159" s="1293"/>
      <c r="DD159" s="1293"/>
      <c r="DE159" s="1293"/>
      <c r="DF159" s="1293"/>
      <c r="DG159" s="1293"/>
      <c r="DH159" s="1293"/>
      <c r="DI159" s="1293"/>
      <c r="DJ159" s="1293"/>
      <c r="DK159" s="1293"/>
      <c r="DL159" s="1293"/>
    </row>
    <row r="160" spans="1:116" ht="15.75" hidden="1" outlineLevel="1">
      <c r="A160" s="1293"/>
      <c r="B160" s="1293" t="str">
        <f>B109</f>
        <v>Costa Rica/old Nicaragua</v>
      </c>
      <c r="C160" s="1699"/>
      <c r="D160" s="1699"/>
      <c r="E160" s="1699"/>
      <c r="F160" s="1699"/>
      <c r="G160" s="2039"/>
      <c r="H160" s="1699"/>
      <c r="I160" s="1699"/>
      <c r="J160" s="1699"/>
      <c r="K160" s="1699"/>
      <c r="L160" s="2039"/>
      <c r="M160" s="1699"/>
      <c r="N160" s="1699"/>
      <c r="O160" s="1699"/>
      <c r="P160" s="1724"/>
      <c r="Q160" s="2039"/>
      <c r="R160" s="1699">
        <f>R109*R255/M255</f>
        <v>16.619503466168631</v>
      </c>
      <c r="S160" s="1699">
        <f>S109*S255/N255</f>
        <v>14.63752276867031</v>
      </c>
      <c r="T160" s="1699">
        <f>T109*T255/O255</f>
        <v>16.570104703579318</v>
      </c>
      <c r="U160" s="1699">
        <f>U109*U255/P255</f>
        <v>15.251420606840355</v>
      </c>
      <c r="V160" s="2039"/>
      <c r="W160" s="1699">
        <f>W109*W255/R255</f>
        <v>14.326784791166745</v>
      </c>
      <c r="X160" s="1699">
        <f>X109*X255/S255</f>
        <v>13.474507317073176</v>
      </c>
      <c r="Y160" s="1699">
        <f>Y109*Y255/T255</f>
        <v>15.66555779335552</v>
      </c>
      <c r="Z160" s="1699">
        <f>Z109*Z255/U255</f>
        <v>17.896309314586993</v>
      </c>
      <c r="AA160" s="2039"/>
      <c r="AB160" s="1699"/>
      <c r="AC160" s="1699">
        <f>AC109*AC255/W255</f>
        <v>15.462128026222759</v>
      </c>
      <c r="AD160" s="1699"/>
      <c r="AE160" s="1699">
        <f>AE109*AE255/Y255</f>
        <v>13.468996592834756</v>
      </c>
      <c r="AF160" s="1699"/>
      <c r="AG160" s="1699"/>
      <c r="AH160" s="1699"/>
      <c r="AI160" s="1699"/>
      <c r="AJ160" s="2039"/>
      <c r="AK160" s="1699"/>
      <c r="AL160" s="1699"/>
      <c r="AM160" s="1699"/>
      <c r="AN160" s="1699"/>
      <c r="AO160" s="2039"/>
      <c r="AP160" s="1699"/>
      <c r="AQ160" s="1699"/>
      <c r="AR160" s="1699"/>
      <c r="AS160" s="1699"/>
      <c r="AT160" s="2039"/>
      <c r="AU160" s="1699"/>
      <c r="AV160" s="1699"/>
      <c r="AW160" s="1699"/>
      <c r="AX160" s="1699"/>
      <c r="AY160" s="2039"/>
      <c r="AZ160" s="1699"/>
      <c r="BA160" s="1699"/>
      <c r="BB160" s="1699"/>
      <c r="BC160" s="1699"/>
      <c r="BD160" s="2039"/>
      <c r="BE160" s="1699"/>
      <c r="BF160" s="1699"/>
      <c r="BG160" s="1699"/>
      <c r="BH160" s="1699"/>
      <c r="BI160" s="2039"/>
      <c r="BJ160" s="1699"/>
      <c r="BK160" s="1699"/>
      <c r="BL160" s="1699"/>
      <c r="BM160" s="1699"/>
      <c r="BN160" s="2039"/>
      <c r="BO160" s="1699"/>
      <c r="BP160" s="1699"/>
      <c r="BQ160" s="1293"/>
      <c r="BR160" s="1293"/>
      <c r="BS160" s="1293"/>
      <c r="BT160" s="1293"/>
      <c r="BU160" s="1293"/>
      <c r="BV160" s="1293"/>
      <c r="BW160" s="1293"/>
      <c r="BX160" s="1293"/>
      <c r="BY160" s="1293"/>
      <c r="BZ160" s="1293"/>
      <c r="CA160" s="1293"/>
      <c r="CB160" s="1293"/>
      <c r="CC160" s="1293"/>
      <c r="CD160" s="1293"/>
      <c r="CE160" s="1293"/>
      <c r="CF160" s="1293"/>
      <c r="CG160" s="1293"/>
      <c r="CH160" s="1293"/>
      <c r="CI160" s="1293"/>
      <c r="CJ160" s="1293"/>
      <c r="CK160" s="1293"/>
      <c r="CL160" s="1293"/>
      <c r="CM160" s="1293"/>
      <c r="CN160" s="1293"/>
      <c r="CO160" s="1293"/>
      <c r="CP160" s="1293"/>
      <c r="CQ160" s="1293"/>
      <c r="CR160" s="1293"/>
      <c r="CS160" s="1293"/>
      <c r="CT160" s="1293"/>
      <c r="CU160" s="1293"/>
      <c r="CV160" s="1293"/>
      <c r="CW160" s="1293"/>
      <c r="CX160" s="1293"/>
      <c r="CY160" s="2041"/>
      <c r="CZ160" s="1699"/>
      <c r="DA160" s="2042"/>
      <c r="DB160" s="2041"/>
      <c r="DC160" s="1293"/>
      <c r="DD160" s="1293"/>
      <c r="DE160" s="1293"/>
      <c r="DF160" s="1293"/>
      <c r="DG160" s="1293"/>
      <c r="DH160" s="1293"/>
      <c r="DI160" s="1293"/>
      <c r="DJ160" s="1293"/>
      <c r="DK160" s="1293"/>
      <c r="DL160" s="1293"/>
    </row>
    <row r="161" spans="1:116" ht="15.75" hidden="1" outlineLevel="1">
      <c r="A161" s="1293"/>
      <c r="B161" s="1293" t="str">
        <f>B115</f>
        <v>Bolivia</v>
      </c>
      <c r="C161" s="1699"/>
      <c r="D161" s="1699"/>
      <c r="E161" s="1699"/>
      <c r="F161" s="1699"/>
      <c r="G161" s="2039"/>
      <c r="H161" s="1699"/>
      <c r="I161" s="1699"/>
      <c r="J161" s="1699"/>
      <c r="K161" s="1699"/>
      <c r="L161" s="2039"/>
      <c r="M161" s="1699"/>
      <c r="N161" s="1699"/>
      <c r="O161" s="1699"/>
      <c r="P161" s="1724"/>
      <c r="Q161" s="2039"/>
      <c r="R161" s="1699">
        <f t="shared" ref="R161:U163" si="229">R115*R260/M260</f>
        <v>52</v>
      </c>
      <c r="S161" s="1699">
        <f t="shared" si="229"/>
        <v>51</v>
      </c>
      <c r="T161" s="1699">
        <f t="shared" si="229"/>
        <v>55</v>
      </c>
      <c r="U161" s="1699">
        <f t="shared" si="229"/>
        <v>59</v>
      </c>
      <c r="V161" s="2039"/>
      <c r="W161" s="1699">
        <f t="shared" ref="W161:Z163" si="230">W115*W260/R260</f>
        <v>56.029885784259186</v>
      </c>
      <c r="X161" s="1699">
        <f t="shared" si="230"/>
        <v>59.000000000000064</v>
      </c>
      <c r="Y161" s="1699">
        <f t="shared" si="230"/>
        <v>61.000000000000078</v>
      </c>
      <c r="Z161" s="1699">
        <f t="shared" si="230"/>
        <v>62</v>
      </c>
      <c r="AA161" s="2039"/>
      <c r="AB161" s="1699"/>
      <c r="AC161" s="1699">
        <f>AC115*AC260/W260</f>
        <v>59.676832157034269</v>
      </c>
      <c r="AD161" s="1699"/>
      <c r="AE161" s="1699">
        <f>AE115*AE260/Y260</f>
        <v>62.306999999999924</v>
      </c>
      <c r="AF161" s="1699"/>
      <c r="AG161" s="1699"/>
      <c r="AH161" s="1699"/>
      <c r="AI161" s="1699"/>
      <c r="AJ161" s="2039"/>
      <c r="AK161" s="1699"/>
      <c r="AL161" s="1699"/>
      <c r="AM161" s="1699"/>
      <c r="AN161" s="1699"/>
      <c r="AO161" s="2039"/>
      <c r="AP161" s="1699"/>
      <c r="AQ161" s="1699"/>
      <c r="AR161" s="1699"/>
      <c r="AS161" s="1699"/>
      <c r="AT161" s="2039"/>
      <c r="AU161" s="1699"/>
      <c r="AV161" s="1699"/>
      <c r="AW161" s="1699"/>
      <c r="AX161" s="1699"/>
      <c r="AY161" s="2039"/>
      <c r="AZ161" s="1699"/>
      <c r="BA161" s="1699"/>
      <c r="BB161" s="1699"/>
      <c r="BC161" s="1699"/>
      <c r="BD161" s="2039"/>
      <c r="BE161" s="1699"/>
      <c r="BF161" s="1699"/>
      <c r="BG161" s="1699"/>
      <c r="BH161" s="1699"/>
      <c r="BI161" s="2039"/>
      <c r="BJ161" s="1699"/>
      <c r="BK161" s="1699"/>
      <c r="BL161" s="1699"/>
      <c r="BM161" s="1699"/>
      <c r="BN161" s="2039"/>
      <c r="BO161" s="1699"/>
      <c r="BP161" s="1699"/>
      <c r="BQ161" s="1293"/>
      <c r="BR161" s="1293"/>
      <c r="BS161" s="1293"/>
      <c r="BT161" s="1293"/>
      <c r="BU161" s="1293"/>
      <c r="BV161" s="1293"/>
      <c r="BW161" s="1293"/>
      <c r="BX161" s="1293"/>
      <c r="BY161" s="1293"/>
      <c r="BZ161" s="1293"/>
      <c r="CA161" s="1293"/>
      <c r="CB161" s="1293"/>
      <c r="CC161" s="1293"/>
      <c r="CD161" s="1293"/>
      <c r="CE161" s="1293"/>
      <c r="CF161" s="1293"/>
      <c r="CG161" s="1293"/>
      <c r="CH161" s="1293"/>
      <c r="CI161" s="1293"/>
      <c r="CJ161" s="1293"/>
      <c r="CK161" s="1293"/>
      <c r="CL161" s="1293"/>
      <c r="CM161" s="1293"/>
      <c r="CN161" s="1293"/>
      <c r="CO161" s="1293"/>
      <c r="CP161" s="1293"/>
      <c r="CQ161" s="1293"/>
      <c r="CR161" s="1293"/>
      <c r="CS161" s="1293"/>
      <c r="CT161" s="1293"/>
      <c r="CU161" s="1293"/>
      <c r="CV161" s="1293"/>
      <c r="CW161" s="1293"/>
      <c r="CX161" s="1293"/>
      <c r="CY161" s="2041"/>
      <c r="CZ161" s="1699"/>
      <c r="DA161" s="2042"/>
      <c r="DB161" s="2041"/>
      <c r="DC161" s="1293"/>
      <c r="DD161" s="1293"/>
      <c r="DE161" s="1293"/>
      <c r="DF161" s="1293"/>
      <c r="DG161" s="1293"/>
      <c r="DH161" s="1293"/>
      <c r="DI161" s="1293"/>
      <c r="DJ161" s="1293"/>
      <c r="DK161" s="1293"/>
      <c r="DL161" s="1293"/>
    </row>
    <row r="162" spans="1:116" ht="15.75" hidden="1" outlineLevel="1">
      <c r="A162" s="1293"/>
      <c r="B162" s="1293" t="str">
        <f>B116</f>
        <v>Colombia</v>
      </c>
      <c r="C162" s="1699"/>
      <c r="D162" s="1699"/>
      <c r="E162" s="1699"/>
      <c r="F162" s="1699"/>
      <c r="G162" s="2039"/>
      <c r="H162" s="1699"/>
      <c r="I162" s="1699"/>
      <c r="J162" s="1699"/>
      <c r="K162" s="1699"/>
      <c r="L162" s="2039"/>
      <c r="M162" s="1699"/>
      <c r="N162" s="1699"/>
      <c r="O162" s="1699"/>
      <c r="P162" s="1724"/>
      <c r="Q162" s="2039"/>
      <c r="R162" s="1699">
        <f t="shared" si="229"/>
        <v>119.29407691108511</v>
      </c>
      <c r="S162" s="1699">
        <f t="shared" si="229"/>
        <v>112.24791179418644</v>
      </c>
      <c r="T162" s="1699">
        <f t="shared" si="229"/>
        <v>108.88079331711774</v>
      </c>
      <c r="U162" s="1699">
        <f t="shared" si="229"/>
        <v>116.28902022808624</v>
      </c>
      <c r="V162" s="2039"/>
      <c r="W162" s="1699">
        <f t="shared" si="230"/>
        <v>119.00164155028702</v>
      </c>
      <c r="X162" s="1699">
        <f t="shared" si="230"/>
        <v>122.43503437654981</v>
      </c>
      <c r="Y162" s="1699">
        <f t="shared" si="230"/>
        <v>126.24244980749855</v>
      </c>
      <c r="Z162" s="1699">
        <f t="shared" si="230"/>
        <v>125.15510887772194</v>
      </c>
      <c r="AA162" s="2039"/>
      <c r="AB162" s="1699"/>
      <c r="AC162" s="1699">
        <f>AC116*AC261/W261</f>
        <v>133.92865410877536</v>
      </c>
      <c r="AD162" s="1699"/>
      <c r="AE162" s="1699">
        <f>AE116*AE261/Y261</f>
        <v>123.19610498009493</v>
      </c>
      <c r="AF162" s="1699"/>
      <c r="AG162" s="1699"/>
      <c r="AH162" s="1699"/>
      <c r="AI162" s="1699"/>
      <c r="AJ162" s="2039"/>
      <c r="AK162" s="1699"/>
      <c r="AL162" s="1699"/>
      <c r="AM162" s="1699"/>
      <c r="AN162" s="1699"/>
      <c r="AO162" s="2039"/>
      <c r="AP162" s="1699"/>
      <c r="AQ162" s="1699"/>
      <c r="AR162" s="1699"/>
      <c r="AS162" s="1699"/>
      <c r="AT162" s="2039"/>
      <c r="AU162" s="1699"/>
      <c r="AV162" s="1699"/>
      <c r="AW162" s="1699"/>
      <c r="AX162" s="1699"/>
      <c r="AY162" s="2039"/>
      <c r="AZ162" s="1699"/>
      <c r="BA162" s="1699"/>
      <c r="BB162" s="1699"/>
      <c r="BC162" s="1699"/>
      <c r="BD162" s="2039"/>
      <c r="BE162" s="1699"/>
      <c r="BF162" s="1699"/>
      <c r="BG162" s="1699"/>
      <c r="BH162" s="1699"/>
      <c r="BI162" s="2039"/>
      <c r="BJ162" s="1699"/>
      <c r="BK162" s="1699"/>
      <c r="BL162" s="1699"/>
      <c r="BM162" s="1699"/>
      <c r="BN162" s="2039"/>
      <c r="BO162" s="1699"/>
      <c r="BP162" s="1699"/>
      <c r="BQ162" s="1293"/>
      <c r="BR162" s="1293"/>
      <c r="BS162" s="1293"/>
      <c r="BT162" s="1293"/>
      <c r="BU162" s="1293"/>
      <c r="BV162" s="1293"/>
      <c r="BW162" s="1293"/>
      <c r="BX162" s="1293"/>
      <c r="BY162" s="1293"/>
      <c r="BZ162" s="1293"/>
      <c r="CA162" s="1293"/>
      <c r="CB162" s="1293"/>
      <c r="CC162" s="1293"/>
      <c r="CD162" s="1293"/>
      <c r="CE162" s="1293"/>
      <c r="CF162" s="1293"/>
      <c r="CG162" s="1293"/>
      <c r="CH162" s="1293"/>
      <c r="CI162" s="1293"/>
      <c r="CJ162" s="1293"/>
      <c r="CK162" s="1293"/>
      <c r="CL162" s="1293"/>
      <c r="CM162" s="1293"/>
      <c r="CN162" s="1293"/>
      <c r="CO162" s="1293"/>
      <c r="CP162" s="1293"/>
      <c r="CQ162" s="1293"/>
      <c r="CR162" s="1293"/>
      <c r="CS162" s="1293"/>
      <c r="CT162" s="1293"/>
      <c r="CU162" s="1293"/>
      <c r="CV162" s="1293"/>
      <c r="CW162" s="1293"/>
      <c r="CX162" s="1293"/>
      <c r="CY162" s="2041"/>
      <c r="CZ162" s="1699"/>
      <c r="DA162" s="2042"/>
      <c r="DB162" s="2041"/>
      <c r="DC162" s="1293"/>
      <c r="DD162" s="1293"/>
      <c r="DE162" s="1293"/>
      <c r="DF162" s="1293"/>
      <c r="DG162" s="1293"/>
      <c r="DH162" s="1293"/>
      <c r="DI162" s="1293"/>
      <c r="DJ162" s="1293"/>
      <c r="DK162" s="1293"/>
      <c r="DL162" s="1293"/>
    </row>
    <row r="163" spans="1:116" ht="15.75" hidden="1" outlineLevel="1">
      <c r="A163" s="1293"/>
      <c r="B163" s="1293" t="str">
        <f>B117</f>
        <v>Paraguay</v>
      </c>
      <c r="C163" s="1699"/>
      <c r="D163" s="1699"/>
      <c r="E163" s="1699"/>
      <c r="F163" s="1699"/>
      <c r="G163" s="2039"/>
      <c r="H163" s="1699"/>
      <c r="I163" s="1699"/>
      <c r="J163" s="1699"/>
      <c r="K163" s="1699"/>
      <c r="L163" s="2039"/>
      <c r="M163" s="1699"/>
      <c r="N163" s="1699"/>
      <c r="O163" s="1699"/>
      <c r="P163" s="1724"/>
      <c r="Q163" s="2039"/>
      <c r="R163" s="1699">
        <f t="shared" si="229"/>
        <v>73.558705452844649</v>
      </c>
      <c r="S163" s="1699">
        <f t="shared" si="229"/>
        <v>76.223048327137548</v>
      </c>
      <c r="T163" s="1699">
        <f t="shared" si="229"/>
        <v>79.754804476465793</v>
      </c>
      <c r="U163" s="1699">
        <f t="shared" si="229"/>
        <v>79.875625281835624</v>
      </c>
      <c r="V163" s="2039"/>
      <c r="W163" s="1699">
        <f t="shared" si="230"/>
        <v>85.722823997297908</v>
      </c>
      <c r="X163" s="1699">
        <f t="shared" si="230"/>
        <v>83.409382634532832</v>
      </c>
      <c r="Y163" s="1699">
        <f t="shared" si="230"/>
        <v>86.625802362431614</v>
      </c>
      <c r="Z163" s="1699">
        <f t="shared" si="230"/>
        <v>81.148883374689831</v>
      </c>
      <c r="AA163" s="2039"/>
      <c r="AB163" s="1699"/>
      <c r="AC163" s="1699">
        <f>AC117*AC262/W262</f>
        <v>80.611850591240326</v>
      </c>
      <c r="AD163" s="1699"/>
      <c r="AE163" s="1699">
        <f>AE117*AE262/Y262</f>
        <v>72.239197286560454</v>
      </c>
      <c r="AF163" s="1699"/>
      <c r="AG163" s="1699"/>
      <c r="AH163" s="1699"/>
      <c r="AI163" s="1699"/>
      <c r="AJ163" s="2039"/>
      <c r="AK163" s="1699"/>
      <c r="AL163" s="1699"/>
      <c r="AM163" s="1699"/>
      <c r="AN163" s="1699"/>
      <c r="AO163" s="2039"/>
      <c r="AP163" s="1699"/>
      <c r="AQ163" s="1699"/>
      <c r="AR163" s="1699"/>
      <c r="AS163" s="1699"/>
      <c r="AT163" s="2039"/>
      <c r="AU163" s="1699"/>
      <c r="AV163" s="1699"/>
      <c r="AW163" s="1699"/>
      <c r="AX163" s="1699"/>
      <c r="AY163" s="2039"/>
      <c r="AZ163" s="1699"/>
      <c r="BA163" s="1699"/>
      <c r="BB163" s="1699"/>
      <c r="BC163" s="1699"/>
      <c r="BD163" s="2039"/>
      <c r="BE163" s="1699"/>
      <c r="BF163" s="1699"/>
      <c r="BG163" s="1699"/>
      <c r="BH163" s="1699"/>
      <c r="BI163" s="2039"/>
      <c r="BJ163" s="1699"/>
      <c r="BK163" s="1699"/>
      <c r="BL163" s="1699"/>
      <c r="BM163" s="1699"/>
      <c r="BN163" s="2039"/>
      <c r="BO163" s="1699"/>
      <c r="BP163" s="1699"/>
      <c r="BQ163" s="1293"/>
      <c r="BR163" s="1293"/>
      <c r="BS163" s="1293"/>
      <c r="BT163" s="1293"/>
      <c r="BU163" s="1293"/>
      <c r="BV163" s="1293"/>
      <c r="BW163" s="1293"/>
      <c r="BX163" s="1293"/>
      <c r="BY163" s="1293"/>
      <c r="BZ163" s="1293"/>
      <c r="CA163" s="1293"/>
      <c r="CB163" s="1293"/>
      <c r="CC163" s="1293"/>
      <c r="CD163" s="1293"/>
      <c r="CE163" s="1293"/>
      <c r="CF163" s="1293"/>
      <c r="CG163" s="1293"/>
      <c r="CH163" s="1293"/>
      <c r="CI163" s="1293"/>
      <c r="CJ163" s="1293"/>
      <c r="CK163" s="1293"/>
      <c r="CL163" s="1293"/>
      <c r="CM163" s="1293"/>
      <c r="CN163" s="1293"/>
      <c r="CO163" s="1293"/>
      <c r="CP163" s="1293"/>
      <c r="CQ163" s="1293"/>
      <c r="CR163" s="1293"/>
      <c r="CS163" s="1293"/>
      <c r="CT163" s="1293"/>
      <c r="CU163" s="1293"/>
      <c r="CV163" s="1293"/>
      <c r="CW163" s="1293"/>
      <c r="CX163" s="1293"/>
      <c r="CY163" s="2041"/>
      <c r="CZ163" s="1699"/>
      <c r="DA163" s="2042"/>
      <c r="DB163" s="2041"/>
      <c r="DC163" s="1293"/>
      <c r="DD163" s="1293"/>
      <c r="DE163" s="1293"/>
      <c r="DF163" s="1293"/>
      <c r="DG163" s="1293"/>
      <c r="DH163" s="1293"/>
      <c r="DI163" s="1293"/>
      <c r="DJ163" s="1293"/>
      <c r="DK163" s="1293"/>
      <c r="DL163" s="1293"/>
    </row>
    <row r="164" spans="1:116" ht="15.75" hidden="1" outlineLevel="1">
      <c r="A164" s="1293"/>
      <c r="B164" s="1293" t="s">
        <v>1831</v>
      </c>
      <c r="C164" s="1699"/>
      <c r="D164" s="1699"/>
      <c r="E164" s="1699"/>
      <c r="F164" s="1699"/>
      <c r="G164" s="2039"/>
      <c r="H164" s="1699"/>
      <c r="I164" s="1699"/>
      <c r="J164" s="1699"/>
      <c r="K164" s="1699"/>
      <c r="L164" s="2039"/>
      <c r="M164" s="1699"/>
      <c r="N164" s="1699"/>
      <c r="O164" s="1699"/>
      <c r="P164" s="1724"/>
      <c r="Q164" s="2039"/>
      <c r="R164" s="1699">
        <f>R129*(1+R271)</f>
        <v>56.470159770995778</v>
      </c>
      <c r="S164" s="1699">
        <f>S129*(1+S271)</f>
        <v>49.184695297990515</v>
      </c>
      <c r="T164" s="1699">
        <f>T129*(1+T271)</f>
        <v>43.75756459328224</v>
      </c>
      <c r="U164" s="1699">
        <f>U129*(1+U271)</f>
        <v>51.278406201917136</v>
      </c>
      <c r="V164" s="2039"/>
      <c r="W164" s="1699">
        <f>W129*(1+W271)</f>
        <v>19.994042083432468</v>
      </c>
      <c r="X164" s="1699">
        <f>X129*(1+X271)</f>
        <v>17.410826405876126</v>
      </c>
      <c r="Y164" s="1699">
        <f>Y129*(1+Y271)</f>
        <v>20.859612596799177</v>
      </c>
      <c r="Z164" s="1699">
        <f>Z129*(1+Z271)</f>
        <v>20.632997762863532</v>
      </c>
      <c r="AA164" s="2039"/>
      <c r="AB164" s="1699"/>
      <c r="AC164" s="1699">
        <f>AC129*(1+AC271)</f>
        <v>36.185839645751834</v>
      </c>
      <c r="AD164" s="1699"/>
      <c r="AE164" s="1699">
        <f>AE129*(1+AE271)</f>
        <v>34.200000000000003</v>
      </c>
      <c r="AF164" s="1699"/>
      <c r="AG164" s="1699"/>
      <c r="AH164" s="1699"/>
      <c r="AI164" s="1699"/>
      <c r="AJ164" s="2039"/>
      <c r="AK164" s="1699"/>
      <c r="AL164" s="1699"/>
      <c r="AM164" s="1699"/>
      <c r="AN164" s="1699"/>
      <c r="AO164" s="2039"/>
      <c r="AP164" s="1699"/>
      <c r="AQ164" s="1699"/>
      <c r="AR164" s="1699"/>
      <c r="AS164" s="1699"/>
      <c r="AT164" s="2039"/>
      <c r="AU164" s="1699"/>
      <c r="AV164" s="1699"/>
      <c r="AW164" s="1699"/>
      <c r="AX164" s="1699"/>
      <c r="AY164" s="2039"/>
      <c r="AZ164" s="1699"/>
      <c r="BA164" s="1699"/>
      <c r="BB164" s="1699"/>
      <c r="BC164" s="1699"/>
      <c r="BD164" s="2039"/>
      <c r="BE164" s="1699"/>
      <c r="BF164" s="1699"/>
      <c r="BG164" s="1699"/>
      <c r="BH164" s="1699"/>
      <c r="BI164" s="2039"/>
      <c r="BJ164" s="1699"/>
      <c r="BK164" s="1699"/>
      <c r="BL164" s="1699"/>
      <c r="BM164" s="1699"/>
      <c r="BN164" s="2039"/>
      <c r="BO164" s="1699"/>
      <c r="BP164" s="1699"/>
      <c r="BQ164" s="1293"/>
      <c r="BR164" s="1293"/>
      <c r="BS164" s="1293"/>
      <c r="BT164" s="1293"/>
      <c r="BU164" s="1293"/>
      <c r="BV164" s="1293"/>
      <c r="BW164" s="1293"/>
      <c r="BX164" s="1293"/>
      <c r="BY164" s="1293"/>
      <c r="BZ164" s="1293"/>
      <c r="CA164" s="1293"/>
      <c r="CB164" s="1293"/>
      <c r="CC164" s="1293"/>
      <c r="CD164" s="1293"/>
      <c r="CE164" s="1293"/>
      <c r="CF164" s="1293"/>
      <c r="CG164" s="1293"/>
      <c r="CH164" s="1293"/>
      <c r="CI164" s="1293"/>
      <c r="CJ164" s="1293"/>
      <c r="CK164" s="1293"/>
      <c r="CL164" s="1293"/>
      <c r="CM164" s="1293"/>
      <c r="CN164" s="1293"/>
      <c r="CO164" s="1293"/>
      <c r="CP164" s="1293"/>
      <c r="CQ164" s="1293"/>
      <c r="CR164" s="1293"/>
      <c r="CS164" s="1293"/>
      <c r="CT164" s="1293"/>
      <c r="CU164" s="1293"/>
      <c r="CV164" s="1293"/>
      <c r="CW164" s="1293"/>
      <c r="CX164" s="1293"/>
      <c r="CY164" s="2041"/>
      <c r="CZ164" s="1699"/>
      <c r="DA164" s="2042"/>
      <c r="DB164" s="2041"/>
      <c r="DC164" s="1293"/>
      <c r="DD164" s="1293"/>
      <c r="DE164" s="1293"/>
      <c r="DF164" s="1293"/>
      <c r="DG164" s="1293"/>
      <c r="DH164" s="1293"/>
      <c r="DI164" s="1293"/>
      <c r="DJ164" s="1293"/>
      <c r="DK164" s="1293"/>
      <c r="DL164" s="1293"/>
    </row>
    <row r="165" spans="1:116" ht="15.75" hidden="1" outlineLevel="1">
      <c r="A165" s="1293"/>
      <c r="B165" s="1293" t="str">
        <f>B131</f>
        <v>Unallocated</v>
      </c>
      <c r="C165" s="1699"/>
      <c r="D165" s="1699"/>
      <c r="E165" s="1699"/>
      <c r="F165" s="1699"/>
      <c r="G165" s="2039"/>
      <c r="H165" s="1699"/>
      <c r="I165" s="1699"/>
      <c r="J165" s="1699"/>
      <c r="K165" s="1699"/>
      <c r="L165" s="2039"/>
      <c r="M165" s="1699"/>
      <c r="N165" s="1699"/>
      <c r="O165" s="1699"/>
      <c r="P165" s="1724"/>
      <c r="Q165" s="2039"/>
      <c r="R165" s="1699">
        <f>R131</f>
        <v>3</v>
      </c>
      <c r="S165" s="1699">
        <f>S131</f>
        <v>3</v>
      </c>
      <c r="T165" s="1699">
        <f>T131</f>
        <v>4</v>
      </c>
      <c r="U165" s="1699">
        <f>U131</f>
        <v>2.6760000000000446</v>
      </c>
      <c r="V165" s="2039"/>
      <c r="W165" s="1699">
        <f>W131</f>
        <v>3</v>
      </c>
      <c r="X165" s="1699">
        <f>X131</f>
        <v>5</v>
      </c>
      <c r="Y165" s="1699">
        <f>Y131</f>
        <v>1</v>
      </c>
      <c r="Z165" s="1699">
        <f>Z131</f>
        <v>-55</v>
      </c>
      <c r="AA165" s="2039"/>
      <c r="AB165" s="1699"/>
      <c r="AC165" s="1699">
        <f>AC131</f>
        <v>-6</v>
      </c>
      <c r="AD165" s="1699"/>
      <c r="AE165" s="1699">
        <f>AE131</f>
        <v>-19</v>
      </c>
      <c r="AF165" s="1699"/>
      <c r="AG165" s="1699"/>
      <c r="AH165" s="1699"/>
      <c r="AI165" s="1699"/>
      <c r="AJ165" s="2039"/>
      <c r="AK165" s="1699"/>
      <c r="AL165" s="1699"/>
      <c r="AM165" s="1699"/>
      <c r="AN165" s="1699"/>
      <c r="AO165" s="2039"/>
      <c r="AP165" s="1699"/>
      <c r="AQ165" s="1699"/>
      <c r="AR165" s="1699"/>
      <c r="AS165" s="1699"/>
      <c r="AT165" s="2039"/>
      <c r="AU165" s="1699"/>
      <c r="AV165" s="1699"/>
      <c r="AW165" s="1699"/>
      <c r="AX165" s="1699"/>
      <c r="AY165" s="2039"/>
      <c r="AZ165" s="1699"/>
      <c r="BA165" s="1699"/>
      <c r="BB165" s="1699"/>
      <c r="BC165" s="1699"/>
      <c r="BD165" s="2039"/>
      <c r="BE165" s="1699"/>
      <c r="BF165" s="1699"/>
      <c r="BG165" s="1699"/>
      <c r="BH165" s="1699"/>
      <c r="BI165" s="2039"/>
      <c r="BJ165" s="1699"/>
      <c r="BK165" s="1699"/>
      <c r="BL165" s="1699"/>
      <c r="BM165" s="1699"/>
      <c r="BN165" s="2039"/>
      <c r="BO165" s="1699"/>
      <c r="BP165" s="1699"/>
      <c r="BQ165" s="1293"/>
      <c r="BR165" s="1293"/>
      <c r="BS165" s="1293"/>
      <c r="BT165" s="1293"/>
      <c r="BU165" s="1293"/>
      <c r="BV165" s="1293"/>
      <c r="BW165" s="1293"/>
      <c r="BX165" s="1293"/>
      <c r="BY165" s="1293"/>
      <c r="BZ165" s="1293"/>
      <c r="CA165" s="1293"/>
      <c r="CB165" s="1293"/>
      <c r="CC165" s="1293"/>
      <c r="CD165" s="1293"/>
      <c r="CE165" s="1293"/>
      <c r="CF165" s="1293"/>
      <c r="CG165" s="1293"/>
      <c r="CH165" s="1293"/>
      <c r="CI165" s="1293"/>
      <c r="CJ165" s="1293"/>
      <c r="CK165" s="1293"/>
      <c r="CL165" s="1293"/>
      <c r="CM165" s="1293"/>
      <c r="CN165" s="1293"/>
      <c r="CO165" s="1293"/>
      <c r="CP165" s="1293"/>
      <c r="CQ165" s="1293"/>
      <c r="CR165" s="1293"/>
      <c r="CS165" s="1293"/>
      <c r="CT165" s="1293"/>
      <c r="CU165" s="1293"/>
      <c r="CV165" s="1293"/>
      <c r="CW165" s="1293"/>
      <c r="CX165" s="1293"/>
      <c r="CY165" s="2041"/>
      <c r="CZ165" s="1699"/>
      <c r="DA165" s="2042"/>
      <c r="DB165" s="2041"/>
      <c r="DC165" s="1293"/>
      <c r="DD165" s="1293"/>
      <c r="DE165" s="1293"/>
      <c r="DF165" s="1293"/>
      <c r="DG165" s="1293"/>
      <c r="DH165" s="1293"/>
      <c r="DI165" s="1293"/>
      <c r="DJ165" s="1293"/>
      <c r="DK165" s="1293"/>
      <c r="DL165" s="1293"/>
    </row>
    <row r="166" spans="1:116" ht="15.75" hidden="1" outlineLevel="1">
      <c r="A166" s="1293"/>
      <c r="B166" s="1293" t="str">
        <f>B134</f>
        <v>Corporate costs</v>
      </c>
      <c r="C166" s="1699"/>
      <c r="D166" s="1699"/>
      <c r="E166" s="1699"/>
      <c r="F166" s="1699"/>
      <c r="G166" s="2039"/>
      <c r="H166" s="1699"/>
      <c r="I166" s="1699"/>
      <c r="J166" s="1699"/>
      <c r="K166" s="1699"/>
      <c r="L166" s="2039"/>
      <c r="M166" s="1699"/>
      <c r="N166" s="1699"/>
      <c r="O166" s="1699"/>
      <c r="P166" s="1724"/>
      <c r="Q166" s="2039"/>
      <c r="R166" s="1699">
        <f>R134</f>
        <v>-39</v>
      </c>
      <c r="S166" s="1699">
        <f>S134</f>
        <v>-37</v>
      </c>
      <c r="T166" s="1699">
        <f>T134</f>
        <v>-29</v>
      </c>
      <c r="U166" s="1699">
        <f>U134</f>
        <v>-42.676000000000002</v>
      </c>
      <c r="V166" s="2039"/>
      <c r="W166" s="1699">
        <f>W134</f>
        <v>-35.208000000000027</v>
      </c>
      <c r="X166" s="1699">
        <f>X134</f>
        <v>-36.649999999999977</v>
      </c>
      <c r="Y166" s="1699">
        <f>Y134</f>
        <v>-38.77600000000001</v>
      </c>
      <c r="Z166" s="1699">
        <f>Z134</f>
        <v>-40</v>
      </c>
      <c r="AA166" s="2039"/>
      <c r="AB166" s="1699"/>
      <c r="AC166" s="1699">
        <f>AC134</f>
        <v>-44.432000000000016</v>
      </c>
      <c r="AD166" s="1699"/>
      <c r="AE166" s="1699">
        <f>AE134</f>
        <v>-43.019000000000005</v>
      </c>
      <c r="AF166" s="1699"/>
      <c r="AG166" s="1699"/>
      <c r="AH166" s="1699"/>
      <c r="AI166" s="1699"/>
      <c r="AJ166" s="2039"/>
      <c r="AK166" s="1699"/>
      <c r="AL166" s="1699"/>
      <c r="AM166" s="1699"/>
      <c r="AN166" s="1699"/>
      <c r="AO166" s="2039"/>
      <c r="AP166" s="1699"/>
      <c r="AQ166" s="1699"/>
      <c r="AR166" s="1699"/>
      <c r="AS166" s="1699"/>
      <c r="AT166" s="2039"/>
      <c r="AU166" s="1699"/>
      <c r="AV166" s="1699"/>
      <c r="AW166" s="1699"/>
      <c r="AX166" s="1699"/>
      <c r="AY166" s="2039"/>
      <c r="AZ166" s="1699"/>
      <c r="BA166" s="1699"/>
      <c r="BB166" s="1699"/>
      <c r="BC166" s="1699"/>
      <c r="BD166" s="2039"/>
      <c r="BE166" s="1699"/>
      <c r="BF166" s="1699"/>
      <c r="BG166" s="1699"/>
      <c r="BH166" s="1699"/>
      <c r="BI166" s="2039"/>
      <c r="BJ166" s="1699"/>
      <c r="BK166" s="1699"/>
      <c r="BL166" s="1699"/>
      <c r="BM166" s="1699"/>
      <c r="BN166" s="2039"/>
      <c r="BO166" s="1699"/>
      <c r="BP166" s="1699"/>
      <c r="BQ166" s="1293"/>
      <c r="BR166" s="1293"/>
      <c r="BS166" s="1293"/>
      <c r="BT166" s="1293"/>
      <c r="BU166" s="1293"/>
      <c r="BV166" s="1293"/>
      <c r="BW166" s="1293"/>
      <c r="BX166" s="1293"/>
      <c r="BY166" s="1293"/>
      <c r="BZ166" s="1293"/>
      <c r="CA166" s="1293"/>
      <c r="CB166" s="1293"/>
      <c r="CC166" s="1293"/>
      <c r="CD166" s="1293"/>
      <c r="CE166" s="1293"/>
      <c r="CF166" s="1293"/>
      <c r="CG166" s="1293"/>
      <c r="CH166" s="1293"/>
      <c r="CI166" s="1293"/>
      <c r="CJ166" s="1293"/>
      <c r="CK166" s="1293"/>
      <c r="CL166" s="1293"/>
      <c r="CM166" s="1293"/>
      <c r="CN166" s="1293"/>
      <c r="CO166" s="1293"/>
      <c r="CP166" s="1293"/>
      <c r="CQ166" s="1293"/>
      <c r="CR166" s="1293"/>
      <c r="CS166" s="1293"/>
      <c r="CT166" s="1293"/>
      <c r="CU166" s="1293"/>
      <c r="CV166" s="1293"/>
      <c r="CW166" s="1293"/>
      <c r="CX166" s="1293"/>
      <c r="CY166" s="2041"/>
      <c r="CZ166" s="1699"/>
      <c r="DA166" s="2042"/>
      <c r="DB166" s="2041"/>
      <c r="DC166" s="1293"/>
      <c r="DD166" s="1293"/>
      <c r="DE166" s="1293"/>
      <c r="DF166" s="1293"/>
      <c r="DG166" s="1293"/>
      <c r="DH166" s="1293"/>
      <c r="DI166" s="1293"/>
      <c r="DJ166" s="1293"/>
      <c r="DK166" s="1293"/>
      <c r="DL166" s="1293"/>
    </row>
    <row r="167" spans="1:116" ht="15.75" hidden="1" outlineLevel="1">
      <c r="A167" s="1293"/>
      <c r="B167" s="1331" t="str">
        <f>B139</f>
        <v>Restructuring charges / other</v>
      </c>
      <c r="C167" s="1703"/>
      <c r="D167" s="1703"/>
      <c r="E167" s="1703"/>
      <c r="F167" s="1703"/>
      <c r="G167" s="2048"/>
      <c r="H167" s="1703"/>
      <c r="I167" s="1703"/>
      <c r="J167" s="1703"/>
      <c r="K167" s="1703"/>
      <c r="L167" s="2048"/>
      <c r="M167" s="1703"/>
      <c r="N167" s="1703"/>
      <c r="O167" s="1703"/>
      <c r="P167" s="1882"/>
      <c r="Q167" s="2048"/>
      <c r="R167" s="1703">
        <f>R139</f>
        <v>0</v>
      </c>
      <c r="S167" s="1703">
        <f>S139</f>
        <v>0</v>
      </c>
      <c r="T167" s="1703">
        <f>T139</f>
        <v>-19</v>
      </c>
      <c r="U167" s="1703">
        <f>U139</f>
        <v>0</v>
      </c>
      <c r="V167" s="2048"/>
      <c r="W167" s="1703">
        <f>W139</f>
        <v>0</v>
      </c>
      <c r="X167" s="1703">
        <f>X139</f>
        <v>0</v>
      </c>
      <c r="Y167" s="1703">
        <f>Y139</f>
        <v>0</v>
      </c>
      <c r="Z167" s="1703">
        <f>Z139</f>
        <v>0</v>
      </c>
      <c r="AA167" s="2048"/>
      <c r="AB167" s="1703"/>
      <c r="AC167" s="1703">
        <f>AC139</f>
        <v>0</v>
      </c>
      <c r="AD167" s="1703"/>
      <c r="AE167" s="1703">
        <f>AE139</f>
        <v>0</v>
      </c>
      <c r="AF167" s="1703"/>
      <c r="AG167" s="1703"/>
      <c r="AH167" s="1703"/>
      <c r="AI167" s="1703"/>
      <c r="AJ167" s="2048"/>
      <c r="AK167" s="1703"/>
      <c r="AL167" s="1703"/>
      <c r="AM167" s="1703"/>
      <c r="AN167" s="1703"/>
      <c r="AO167" s="2048"/>
      <c r="AP167" s="1703"/>
      <c r="AQ167" s="1703"/>
      <c r="AR167" s="1703"/>
      <c r="AS167" s="1703"/>
      <c r="AT167" s="2048"/>
      <c r="AU167" s="1703"/>
      <c r="AV167" s="1703"/>
      <c r="AW167" s="1703"/>
      <c r="AX167" s="1703"/>
      <c r="AY167" s="2048"/>
      <c r="AZ167" s="1703"/>
      <c r="BA167" s="1703"/>
      <c r="BB167" s="1703"/>
      <c r="BC167" s="1703"/>
      <c r="BD167" s="2048"/>
      <c r="BE167" s="1703"/>
      <c r="BF167" s="1703"/>
      <c r="BG167" s="1703"/>
      <c r="BH167" s="1703"/>
      <c r="BI167" s="2048"/>
      <c r="BJ167" s="1703"/>
      <c r="BK167" s="2116"/>
      <c r="BL167" s="2116"/>
      <c r="BM167" s="2116"/>
      <c r="BN167" s="2048"/>
      <c r="BO167" s="1699"/>
      <c r="BP167" s="1699"/>
      <c r="BQ167" s="1293"/>
      <c r="BR167" s="1293"/>
      <c r="BS167" s="1293"/>
      <c r="BT167" s="1293"/>
      <c r="BU167" s="1293"/>
      <c r="BV167" s="1293"/>
      <c r="BW167" s="1293"/>
      <c r="BX167" s="1293"/>
      <c r="BY167" s="1293"/>
      <c r="BZ167" s="1293"/>
      <c r="CA167" s="1293"/>
      <c r="CB167" s="1293"/>
      <c r="CC167" s="1293"/>
      <c r="CD167" s="1293"/>
      <c r="CE167" s="1293"/>
      <c r="CF167" s="1293"/>
      <c r="CG167" s="1293"/>
      <c r="CH167" s="1293"/>
      <c r="CI167" s="1293"/>
      <c r="CJ167" s="1293"/>
      <c r="CK167" s="1293"/>
      <c r="CL167" s="1293"/>
      <c r="CM167" s="1293"/>
      <c r="CN167" s="1293"/>
      <c r="CO167" s="1293"/>
      <c r="CP167" s="1293"/>
      <c r="CQ167" s="1293"/>
      <c r="CR167" s="1293"/>
      <c r="CS167" s="1293"/>
      <c r="CT167" s="1293"/>
      <c r="CU167" s="1293"/>
      <c r="CV167" s="1293"/>
      <c r="CW167" s="1293"/>
      <c r="CX167" s="1293"/>
      <c r="CY167" s="2049"/>
      <c r="CZ167" s="1703"/>
      <c r="DA167" s="2050"/>
      <c r="DB167" s="2051"/>
      <c r="DC167" s="1293"/>
      <c r="DD167" s="1293"/>
      <c r="DE167" s="1293"/>
      <c r="DF167" s="1293"/>
      <c r="DG167" s="1293"/>
      <c r="DH167" s="1293"/>
      <c r="DI167" s="1293"/>
      <c r="DJ167" s="1293"/>
      <c r="DK167" s="1293"/>
      <c r="DL167" s="1293"/>
    </row>
    <row r="168" spans="1:116" ht="15.75" hidden="1" outlineLevel="1">
      <c r="A168" s="1293"/>
      <c r="B168" s="1293" t="s">
        <v>2324</v>
      </c>
      <c r="C168" s="1699"/>
      <c r="D168" s="1699"/>
      <c r="E168" s="1699"/>
      <c r="F168" s="1699"/>
      <c r="G168" s="2039"/>
      <c r="H168" s="1699"/>
      <c r="I168" s="1699"/>
      <c r="J168" s="1699"/>
      <c r="K168" s="1699"/>
      <c r="L168" s="2039"/>
      <c r="M168" s="1699"/>
      <c r="N168" s="1699"/>
      <c r="O168" s="1699"/>
      <c r="P168" s="1724"/>
      <c r="Q168" s="2039"/>
      <c r="R168" s="1699">
        <f>SUM(R156:R167)</f>
        <v>537.59101858738495</v>
      </c>
      <c r="S168" s="1699">
        <f>SUM(S156:S167)</f>
        <v>531.06572109902322</v>
      </c>
      <c r="T168" s="1699">
        <f>SUM(T156:T167)</f>
        <v>536.9090355561633</v>
      </c>
      <c r="U168" s="1699">
        <f>SUM(U156:U167)</f>
        <v>558.40001027597975</v>
      </c>
      <c r="V168" s="2039"/>
      <c r="W168" s="1699">
        <f>SUM(W156:W167)</f>
        <v>533.29319181159826</v>
      </c>
      <c r="X168" s="1699">
        <f>SUM(X156:X167)</f>
        <v>537.19088558992223</v>
      </c>
      <c r="Y168" s="1699">
        <f>SUM(Y156:Y167)</f>
        <v>548.70274330350185</v>
      </c>
      <c r="Z168" s="1699">
        <f>SUM(Z156:Z167)</f>
        <v>499.99887495886389</v>
      </c>
      <c r="AA168" s="2039"/>
      <c r="AB168" s="1699"/>
      <c r="AC168" s="1699">
        <f>SUM(AC156:AC167)</f>
        <v>562.96469329520482</v>
      </c>
      <c r="AD168" s="1699"/>
      <c r="AE168" s="1699">
        <f>SUM(AE156:AE167)</f>
        <v>518.13345143964852</v>
      </c>
      <c r="AF168" s="1699"/>
      <c r="AG168" s="1699"/>
      <c r="AH168" s="1699"/>
      <c r="AI168" s="1699"/>
      <c r="AJ168" s="2039"/>
      <c r="AK168" s="1699"/>
      <c r="AL168" s="1699"/>
      <c r="AM168" s="1699"/>
      <c r="AN168" s="1699"/>
      <c r="AO168" s="2039"/>
      <c r="AP168" s="1699"/>
      <c r="AQ168" s="1699"/>
      <c r="AR168" s="1699"/>
      <c r="AS168" s="1699"/>
      <c r="AT168" s="2039"/>
      <c r="AU168" s="1699"/>
      <c r="AV168" s="1699"/>
      <c r="AW168" s="1699"/>
      <c r="AX168" s="1699"/>
      <c r="AY168" s="2039"/>
      <c r="AZ168" s="1699"/>
      <c r="BA168" s="1699"/>
      <c r="BB168" s="1699"/>
      <c r="BC168" s="1699"/>
      <c r="BD168" s="2039"/>
      <c r="BE168" s="1699"/>
      <c r="BF168" s="1699"/>
      <c r="BG168" s="1699"/>
      <c r="BH168" s="1699"/>
      <c r="BI168" s="2039"/>
      <c r="BJ168" s="1699"/>
      <c r="BK168" s="1699"/>
      <c r="BL168" s="1699"/>
      <c r="BM168" s="1699"/>
      <c r="BN168" s="2039"/>
      <c r="BO168" s="1699"/>
      <c r="BP168" s="1699"/>
      <c r="BQ168" s="1293"/>
      <c r="BR168" s="1293"/>
      <c r="BS168" s="1293"/>
      <c r="BT168" s="1293"/>
      <c r="BU168" s="1293"/>
      <c r="BV168" s="1293"/>
      <c r="BW168" s="1293"/>
      <c r="BX168" s="1293"/>
      <c r="BY168" s="1293"/>
      <c r="BZ168" s="1293"/>
      <c r="CA168" s="1293"/>
      <c r="CB168" s="1293"/>
      <c r="CC168" s="1293"/>
      <c r="CD168" s="1293"/>
      <c r="CE168" s="1293"/>
      <c r="CF168" s="1293"/>
      <c r="CG168" s="1293"/>
      <c r="CH168" s="1293"/>
      <c r="CI168" s="1293"/>
      <c r="CJ168" s="1293"/>
      <c r="CK168" s="1293"/>
      <c r="CL168" s="1293"/>
      <c r="CM168" s="1293"/>
      <c r="CN168" s="1293"/>
      <c r="CO168" s="1293"/>
      <c r="CP168" s="1293"/>
      <c r="CQ168" s="1293"/>
      <c r="CR168" s="1293"/>
      <c r="CS168" s="1293"/>
      <c r="CT168" s="1293"/>
      <c r="CU168" s="1293"/>
      <c r="CV168" s="1293"/>
      <c r="CW168" s="1293"/>
      <c r="CX168" s="1293"/>
      <c r="CY168" s="2041"/>
      <c r="CZ168" s="1699"/>
      <c r="DA168" s="2042"/>
      <c r="DB168" s="2041"/>
      <c r="DC168" s="1293"/>
      <c r="DD168" s="1293"/>
      <c r="DE168" s="1293"/>
      <c r="DF168" s="1293"/>
      <c r="DG168" s="1293"/>
      <c r="DH168" s="1293"/>
      <c r="DI168" s="1293"/>
      <c r="DJ168" s="1293"/>
      <c r="DK168" s="1293"/>
      <c r="DL168" s="1293"/>
    </row>
    <row r="169" spans="1:116" ht="15.75" hidden="1" outlineLevel="1">
      <c r="A169" s="1293"/>
      <c r="B169" s="1293" t="s">
        <v>2353</v>
      </c>
      <c r="C169" s="1699"/>
      <c r="D169" s="1699"/>
      <c r="E169" s="1699"/>
      <c r="F169" s="1699"/>
      <c r="G169" s="2039"/>
      <c r="H169" s="1699"/>
      <c r="I169" s="1699"/>
      <c r="J169" s="1699"/>
      <c r="K169" s="1699"/>
      <c r="L169" s="2039"/>
      <c r="M169" s="1699"/>
      <c r="N169" s="1699"/>
      <c r="O169" s="1699"/>
      <c r="P169" s="1724"/>
      <c r="Q169" s="2039"/>
      <c r="R169" s="1328">
        <f>(R168+5)/M137-1</f>
        <v>8.2284615971328634E-4</v>
      </c>
      <c r="S169" s="1328">
        <f>(S168+5)/N137-1</f>
        <v>-1.0235167381964727E-2</v>
      </c>
      <c r="T169" s="1328">
        <f>(T168+5)/O137-1</f>
        <v>-1.7756426213579535E-2</v>
      </c>
      <c r="U169" s="1328">
        <f>(U168+5)/P137-1</f>
        <v>5.111942215667864E-2</v>
      </c>
      <c r="V169" s="2039"/>
      <c r="W169" s="1328">
        <f>(W168+5)/R137-1</f>
        <v>-1.7713153628470368E-2</v>
      </c>
      <c r="X169" s="1328">
        <f>(X168+5)/S137-1</f>
        <v>1.3440907644714395E-2</v>
      </c>
      <c r="Y169" s="1328">
        <f>(Y168+5)/T137-1</f>
        <v>-4.1317566483779489E-3</v>
      </c>
      <c r="Z169" s="1328">
        <f>(Z168+5)/U137-1</f>
        <v>-9.9823752301490432E-2</v>
      </c>
      <c r="AA169" s="2039"/>
      <c r="AB169" s="1328"/>
      <c r="AC169" s="1328">
        <f>(AC168+5)/W137-1</f>
        <v>1.4222666598580069E-2</v>
      </c>
      <c r="AD169" s="1328"/>
      <c r="AE169" s="1328">
        <f>(AE168+5)/Y137-1</f>
        <v>-6.7498304029147027E-2</v>
      </c>
      <c r="AF169" s="1328"/>
      <c r="AG169" s="1328"/>
      <c r="AH169" s="1328"/>
      <c r="AI169" s="1328"/>
      <c r="AJ169" s="2039"/>
      <c r="AK169" s="1328"/>
      <c r="AL169" s="1328"/>
      <c r="AM169" s="1328"/>
      <c r="AN169" s="1328"/>
      <c r="AO169" s="2039"/>
      <c r="AP169" s="1328"/>
      <c r="AQ169" s="1328"/>
      <c r="AR169" s="1328"/>
      <c r="AS169" s="1328"/>
      <c r="AT169" s="2039"/>
      <c r="AU169" s="1328"/>
      <c r="AV169" s="1328"/>
      <c r="AW169" s="1328"/>
      <c r="AX169" s="1328"/>
      <c r="AY169" s="2039"/>
      <c r="AZ169" s="1328"/>
      <c r="BA169" s="1328"/>
      <c r="BB169" s="1328"/>
      <c r="BC169" s="1699"/>
      <c r="BD169" s="2039"/>
      <c r="BE169" s="1328"/>
      <c r="BF169" s="1328"/>
      <c r="BG169" s="1328"/>
      <c r="BH169" s="1699"/>
      <c r="BI169" s="2039"/>
      <c r="BJ169" s="1328"/>
      <c r="BK169" s="1328"/>
      <c r="BL169" s="1328"/>
      <c r="BM169" s="1328"/>
      <c r="BN169" s="2039"/>
      <c r="BO169" s="1699"/>
      <c r="BP169" s="1699"/>
      <c r="BQ169" s="1293"/>
      <c r="BR169" s="1293"/>
      <c r="BS169" s="1293"/>
      <c r="BT169" s="1293"/>
      <c r="BU169" s="1293"/>
      <c r="BV169" s="1293"/>
      <c r="BW169" s="1293"/>
      <c r="BX169" s="1293"/>
      <c r="BY169" s="1293"/>
      <c r="BZ169" s="1293"/>
      <c r="CA169" s="1293"/>
      <c r="CB169" s="1293"/>
      <c r="CC169" s="1293"/>
      <c r="CD169" s="1293"/>
      <c r="CE169" s="1293"/>
      <c r="CF169" s="1293"/>
      <c r="CG169" s="1293"/>
      <c r="CH169" s="1293"/>
      <c r="CI169" s="1293"/>
      <c r="CJ169" s="1293"/>
      <c r="CK169" s="1293"/>
      <c r="CL169" s="1293"/>
      <c r="CM169" s="1293"/>
      <c r="CN169" s="1293"/>
      <c r="CO169" s="1293"/>
      <c r="CP169" s="1293"/>
      <c r="CQ169" s="1293"/>
      <c r="CR169" s="1293"/>
      <c r="CS169" s="1293"/>
      <c r="CT169" s="1293"/>
      <c r="CU169" s="1293"/>
      <c r="CV169" s="1293"/>
      <c r="CW169" s="1293"/>
      <c r="CX169" s="1293"/>
      <c r="CY169" s="2041"/>
      <c r="CZ169" s="1699"/>
      <c r="DA169" s="2100"/>
      <c r="DB169" s="2101"/>
      <c r="DC169" s="1293"/>
      <c r="DD169" s="1293"/>
      <c r="DE169" s="1293"/>
      <c r="DF169" s="1293"/>
      <c r="DG169" s="1293"/>
      <c r="DH169" s="1293"/>
      <c r="DI169" s="1293"/>
      <c r="DJ169" s="1293"/>
      <c r="DK169" s="1293"/>
      <c r="DL169" s="1293"/>
    </row>
    <row r="170" spans="1:116" ht="15.75" hidden="1" outlineLevel="1">
      <c r="A170" s="1293"/>
      <c r="B170" s="1293" t="s">
        <v>4856</v>
      </c>
      <c r="C170" s="1699"/>
      <c r="D170" s="1699"/>
      <c r="E170" s="1699"/>
      <c r="F170" s="1699"/>
      <c r="G170" s="2039"/>
      <c r="H170" s="1699"/>
      <c r="I170" s="1699"/>
      <c r="J170" s="1699"/>
      <c r="K170" s="1699"/>
      <c r="L170" s="2039"/>
      <c r="M170" s="1699"/>
      <c r="N170" s="1699"/>
      <c r="O170" s="1699"/>
      <c r="P170" s="1724"/>
      <c r="Q170" s="2039"/>
      <c r="R170" s="1328">
        <f>(R168+5)/M140-1</f>
        <v>-2.5900393614247674E-3</v>
      </c>
      <c r="S170" s="1328">
        <f>(S168+5)/N140-1</f>
        <v>-3.149824553022007E-2</v>
      </c>
      <c r="T170" s="1328">
        <f>(T168+5)/O140-1</f>
        <v>-3.5749047053090233E-2</v>
      </c>
      <c r="U170" s="1328">
        <f>(U168+5)/P140-1</f>
        <v>-4.593621420530436E-3</v>
      </c>
      <c r="V170" s="2039"/>
      <c r="W170" s="1328">
        <f>(W168+5)/R140-1</f>
        <v>-1.7713153628470368E-2</v>
      </c>
      <c r="X170" s="1328">
        <f>(X168+5)/S140-1</f>
        <v>1.3440907644714395E-2</v>
      </c>
      <c r="Y170" s="1328">
        <f>(Y168+5)/T140-1</f>
        <v>3.1103805034454091E-2</v>
      </c>
      <c r="Z170" s="1328">
        <f>(Z168+5)/U140-1</f>
        <v>-9.9823752301490432E-2</v>
      </c>
      <c r="AA170" s="2039"/>
      <c r="AB170" s="1328"/>
      <c r="AC170" s="1328">
        <f>(AC168+5)/W140-1</f>
        <v>1.4222666598580069E-2</v>
      </c>
      <c r="AD170" s="1328"/>
      <c r="AE170" s="1328">
        <f>(AE168+5)/Y140-1</f>
        <v>-6.7498304029147027E-2</v>
      </c>
      <c r="AF170" s="1328"/>
      <c r="AG170" s="1328"/>
      <c r="AH170" s="1328"/>
      <c r="AI170" s="1328"/>
      <c r="AJ170" s="2039"/>
      <c r="AK170" s="1328"/>
      <c r="AL170" s="1328"/>
      <c r="AM170" s="1328"/>
      <c r="AN170" s="1328"/>
      <c r="AO170" s="2039"/>
      <c r="AP170" s="1328"/>
      <c r="AQ170" s="1328"/>
      <c r="AR170" s="1328"/>
      <c r="AS170" s="1328"/>
      <c r="AT170" s="2039"/>
      <c r="AU170" s="1328"/>
      <c r="AV170" s="1328"/>
      <c r="AW170" s="1328"/>
      <c r="AX170" s="1328"/>
      <c r="AY170" s="2039"/>
      <c r="AZ170" s="1328"/>
      <c r="BA170" s="1328"/>
      <c r="BB170" s="1328"/>
      <c r="BC170" s="1699"/>
      <c r="BD170" s="2039"/>
      <c r="BE170" s="1328"/>
      <c r="BF170" s="1328"/>
      <c r="BG170" s="1328"/>
      <c r="BH170" s="1699"/>
      <c r="BI170" s="2039"/>
      <c r="BJ170" s="1328"/>
      <c r="BK170" s="1328"/>
      <c r="BL170" s="1328"/>
      <c r="BM170" s="1328"/>
      <c r="BN170" s="2039"/>
      <c r="BO170" s="1699"/>
      <c r="BP170" s="1699"/>
      <c r="BQ170" s="1293"/>
      <c r="BR170" s="1293"/>
      <c r="BS170" s="1293"/>
      <c r="BT170" s="1293"/>
      <c r="BU170" s="1293"/>
      <c r="BV170" s="1293"/>
      <c r="BW170" s="1293"/>
      <c r="BX170" s="1293"/>
      <c r="BY170" s="1293"/>
      <c r="BZ170" s="1293"/>
      <c r="CA170" s="1293"/>
      <c r="CB170" s="1293"/>
      <c r="CC170" s="1293"/>
      <c r="CD170" s="1293"/>
      <c r="CE170" s="1293"/>
      <c r="CF170" s="1293"/>
      <c r="CG170" s="1293"/>
      <c r="CH170" s="1293"/>
      <c r="CI170" s="1293"/>
      <c r="CJ170" s="1293"/>
      <c r="CK170" s="1293"/>
      <c r="CL170" s="1293"/>
      <c r="CM170" s="1293"/>
      <c r="CN170" s="1293"/>
      <c r="CO170" s="1293"/>
      <c r="CP170" s="1293"/>
      <c r="CQ170" s="1293"/>
      <c r="CR170" s="1293"/>
      <c r="CS170" s="1293"/>
      <c r="CT170" s="1293"/>
      <c r="CU170" s="1293"/>
      <c r="CV170" s="1293"/>
      <c r="CW170" s="1293"/>
      <c r="CX170" s="1293"/>
      <c r="CY170" s="2041"/>
      <c r="CZ170" s="1699"/>
      <c r="DA170" s="2100"/>
      <c r="DB170" s="2101"/>
      <c r="DC170" s="1293"/>
      <c r="DD170" s="1293"/>
      <c r="DE170" s="1293"/>
      <c r="DF170" s="1293"/>
      <c r="DG170" s="1293"/>
      <c r="DH170" s="1293"/>
      <c r="DI170" s="1293"/>
      <c r="DJ170" s="1293"/>
      <c r="DK170" s="1293"/>
      <c r="DL170" s="1293"/>
    </row>
    <row r="171" spans="1:116" ht="15.75" hidden="1" outlineLevel="1">
      <c r="A171" s="1293"/>
      <c r="B171" s="1293"/>
      <c r="C171" s="1699"/>
      <c r="D171" s="1699"/>
      <c r="E171" s="1699"/>
      <c r="F171" s="1699"/>
      <c r="G171" s="2039"/>
      <c r="H171" s="1699"/>
      <c r="I171" s="1699"/>
      <c r="J171" s="1699"/>
      <c r="K171" s="1699"/>
      <c r="L171" s="2039"/>
      <c r="M171" s="1699"/>
      <c r="N171" s="1699"/>
      <c r="O171" s="1699"/>
      <c r="P171" s="1724"/>
      <c r="Q171" s="2039"/>
      <c r="R171" s="1328"/>
      <c r="S171" s="1328"/>
      <c r="T171" s="1328"/>
      <c r="U171" s="1328"/>
      <c r="V171" s="2039"/>
      <c r="W171" s="1328"/>
      <c r="X171" s="1328"/>
      <c r="Y171" s="1328"/>
      <c r="Z171" s="1328"/>
      <c r="AA171" s="2039"/>
      <c r="AB171" s="1328"/>
      <c r="AC171" s="1328"/>
      <c r="AD171" s="1328"/>
      <c r="AE171" s="1328"/>
      <c r="AF171" s="1328"/>
      <c r="AG171" s="1328"/>
      <c r="AH171" s="1328"/>
      <c r="AI171" s="1328"/>
      <c r="AJ171" s="2039"/>
      <c r="AK171" s="1328"/>
      <c r="AL171" s="1328"/>
      <c r="AM171" s="1328"/>
      <c r="AN171" s="1328"/>
      <c r="AO171" s="2039"/>
      <c r="AP171" s="1328"/>
      <c r="AQ171" s="1328"/>
      <c r="AR171" s="1328"/>
      <c r="AS171" s="1328"/>
      <c r="AT171" s="2039"/>
      <c r="AU171" s="1328"/>
      <c r="AV171" s="1328"/>
      <c r="AW171" s="1328"/>
      <c r="AX171" s="1328"/>
      <c r="AY171" s="2039"/>
      <c r="AZ171" s="1328"/>
      <c r="BA171" s="1328"/>
      <c r="BB171" s="1328"/>
      <c r="BC171" s="1699"/>
      <c r="BD171" s="2039"/>
      <c r="BE171" s="1328"/>
      <c r="BF171" s="1328"/>
      <c r="BG171" s="1328"/>
      <c r="BH171" s="1699"/>
      <c r="BI171" s="2039"/>
      <c r="BJ171" s="1328"/>
      <c r="BK171" s="1328"/>
      <c r="BL171" s="1328"/>
      <c r="BM171" s="1328"/>
      <c r="BN171" s="2039"/>
      <c r="BO171" s="1699"/>
      <c r="BP171" s="1699"/>
      <c r="BQ171" s="1293"/>
      <c r="BR171" s="1293"/>
      <c r="BS171" s="1293"/>
      <c r="BT171" s="1293"/>
      <c r="BU171" s="1293"/>
      <c r="BV171" s="1293"/>
      <c r="BW171" s="1293"/>
      <c r="BX171" s="1293"/>
      <c r="BY171" s="1293"/>
      <c r="BZ171" s="1293"/>
      <c r="CA171" s="1293"/>
      <c r="CB171" s="1293"/>
      <c r="CC171" s="1293"/>
      <c r="CD171" s="1293"/>
      <c r="CE171" s="1293"/>
      <c r="CF171" s="1293"/>
      <c r="CG171" s="1293"/>
      <c r="CH171" s="1293"/>
      <c r="CI171" s="1293"/>
      <c r="CJ171" s="1293"/>
      <c r="CK171" s="1293"/>
      <c r="CL171" s="1293"/>
      <c r="CM171" s="1293"/>
      <c r="CN171" s="1293"/>
      <c r="CO171" s="1293"/>
      <c r="CP171" s="1293"/>
      <c r="CQ171" s="1293"/>
      <c r="CR171" s="1293"/>
      <c r="CS171" s="1293"/>
      <c r="CT171" s="1293"/>
      <c r="CU171" s="1293"/>
      <c r="CV171" s="1293"/>
      <c r="CW171" s="1293"/>
      <c r="CX171" s="1293"/>
      <c r="CY171" s="2041"/>
      <c r="CZ171" s="1699"/>
      <c r="DA171" s="2100"/>
      <c r="DB171" s="2101"/>
      <c r="DC171" s="1293"/>
      <c r="DD171" s="1293"/>
      <c r="DE171" s="1293"/>
      <c r="DF171" s="1293"/>
      <c r="DG171" s="1293"/>
      <c r="DH171" s="1293"/>
      <c r="DI171" s="1293"/>
      <c r="DJ171" s="1293"/>
      <c r="DK171" s="1293"/>
      <c r="DL171" s="1293"/>
    </row>
    <row r="172" spans="1:116" ht="15.75" hidden="1" outlineLevel="1">
      <c r="A172" s="1293"/>
      <c r="B172" s="1293"/>
      <c r="C172" s="1699"/>
      <c r="D172" s="1699"/>
      <c r="E172" s="1699"/>
      <c r="F172" s="1699"/>
      <c r="G172" s="2039"/>
      <c r="H172" s="1699"/>
      <c r="I172" s="1699"/>
      <c r="J172" s="1699"/>
      <c r="K172" s="1699"/>
      <c r="L172" s="2039"/>
      <c r="M172" s="1699"/>
      <c r="N172" s="1699"/>
      <c r="O172" s="1699"/>
      <c r="P172" s="1724"/>
      <c r="Q172" s="2039"/>
      <c r="R172" s="1699"/>
      <c r="S172" s="1699"/>
      <c r="T172" s="1699"/>
      <c r="U172" s="1699"/>
      <c r="V172" s="2039"/>
      <c r="W172" s="2127">
        <v>1.2999999999999999E-2</v>
      </c>
      <c r="X172" s="2127">
        <f>X173</f>
        <v>4.3999999999999997E-2</v>
      </c>
      <c r="Y172" s="2127">
        <f>Y173</f>
        <v>4.2000000000000003E-2</v>
      </c>
      <c r="Z172" s="2127">
        <f>Z173</f>
        <v>0.04</v>
      </c>
      <c r="AA172" s="2039"/>
      <c r="AB172" s="2127"/>
      <c r="AC172" s="2127"/>
      <c r="AD172" s="2127"/>
      <c r="AE172" s="2127"/>
      <c r="AF172" s="2127"/>
      <c r="AG172" s="2127"/>
      <c r="AH172" s="2127"/>
      <c r="AI172" s="2127"/>
      <c r="AJ172" s="2039"/>
      <c r="AK172" s="2127"/>
      <c r="AL172" s="2127"/>
      <c r="AM172" s="2127"/>
      <c r="AN172" s="2127"/>
      <c r="AO172" s="2039"/>
      <c r="AP172" s="2127"/>
      <c r="AQ172" s="2127"/>
      <c r="AR172" s="2127"/>
      <c r="AS172" s="2127"/>
      <c r="AT172" s="2039"/>
      <c r="AU172" s="2127"/>
      <c r="AV172" s="2127"/>
      <c r="AW172" s="2127"/>
      <c r="AX172" s="2127"/>
      <c r="AY172" s="2039"/>
      <c r="AZ172" s="2127"/>
      <c r="BA172" s="2127"/>
      <c r="BB172" s="2127"/>
      <c r="BC172" s="1699"/>
      <c r="BD172" s="2039"/>
      <c r="BE172" s="2127"/>
      <c r="BF172" s="2127"/>
      <c r="BG172" s="2127"/>
      <c r="BH172" s="1699"/>
      <c r="BI172" s="2039"/>
      <c r="BJ172" s="2127"/>
      <c r="BK172" s="2127"/>
      <c r="BL172" s="2127"/>
      <c r="BM172" s="2127"/>
      <c r="BN172" s="2039"/>
      <c r="BO172" s="1699"/>
      <c r="BP172" s="1699"/>
      <c r="BQ172" s="1293"/>
      <c r="BR172" s="1293"/>
      <c r="BS172" s="1293"/>
      <c r="BT172" s="1293"/>
      <c r="BU172" s="1293"/>
      <c r="BV172" s="1293"/>
      <c r="BW172" s="1293"/>
      <c r="BX172" s="1293"/>
      <c r="BY172" s="1293"/>
      <c r="BZ172" s="1293"/>
      <c r="CA172" s="1293"/>
      <c r="CB172" s="1293"/>
      <c r="CC172" s="1293"/>
      <c r="CD172" s="1293"/>
      <c r="CE172" s="1293"/>
      <c r="CF172" s="1293"/>
      <c r="CG172" s="1293"/>
      <c r="CH172" s="1293"/>
      <c r="CI172" s="1293"/>
      <c r="CJ172" s="1293"/>
      <c r="CK172" s="1293"/>
      <c r="CL172" s="1293"/>
      <c r="CM172" s="1293"/>
      <c r="CN172" s="1293"/>
      <c r="CO172" s="1293"/>
      <c r="CP172" s="1293"/>
      <c r="CQ172" s="1293"/>
      <c r="CR172" s="1293"/>
      <c r="CS172" s="1293"/>
      <c r="CT172" s="1293"/>
      <c r="CU172" s="1293"/>
      <c r="CV172" s="1293"/>
      <c r="CW172" s="1293"/>
      <c r="CX172" s="1293"/>
      <c r="CY172" s="2041"/>
      <c r="CZ172" s="1699"/>
      <c r="DA172" s="2128"/>
      <c r="DB172" s="2129"/>
      <c r="DC172" s="1293"/>
      <c r="DD172" s="1293"/>
      <c r="DE172" s="1293"/>
      <c r="DF172" s="1293"/>
      <c r="DG172" s="1293"/>
      <c r="DH172" s="1293"/>
      <c r="DI172" s="1293"/>
      <c r="DJ172" s="1293"/>
      <c r="DK172" s="1293"/>
      <c r="DL172" s="1293"/>
    </row>
    <row r="173" spans="1:116" ht="15.75" hidden="1" outlineLevel="1">
      <c r="A173" s="1293"/>
      <c r="B173" s="1293" t="s">
        <v>4867</v>
      </c>
      <c r="C173" s="1699"/>
      <c r="D173" s="1699"/>
      <c r="E173" s="1699"/>
      <c r="F173" s="1699"/>
      <c r="G173" s="2039"/>
      <c r="H173" s="1328">
        <v>0.182</v>
      </c>
      <c r="I173" s="1328">
        <v>5.6000000000000001E-2</v>
      </c>
      <c r="J173" s="1328">
        <v>3.8399999999999997E-2</v>
      </c>
      <c r="K173" s="1328">
        <v>-4.1000000000000002E-2</v>
      </c>
      <c r="L173" s="2089"/>
      <c r="M173" s="1328">
        <v>2.541960251082204E-2</v>
      </c>
      <c r="N173" s="1328">
        <v>-2.8183104594729877E-2</v>
      </c>
      <c r="O173" s="1328">
        <v>-5.8999999999999997E-2</v>
      </c>
      <c r="P173" s="1328">
        <v>-2.0910445265310121E-2</v>
      </c>
      <c r="Q173" s="2089"/>
      <c r="R173" s="1328">
        <v>-6.4336981820771128E-3</v>
      </c>
      <c r="S173" s="1328">
        <v>4.4330639503283569E-3</v>
      </c>
      <c r="T173" s="1328">
        <v>2.539044669749109E-2</v>
      </c>
      <c r="U173" s="1328">
        <v>0.09</v>
      </c>
      <c r="V173" s="2039"/>
      <c r="W173" s="1328">
        <v>3.6999999999999998E-2</v>
      </c>
      <c r="X173" s="1328">
        <v>4.3999999999999997E-2</v>
      </c>
      <c r="Y173" s="1328">
        <v>4.2000000000000003E-2</v>
      </c>
      <c r="Z173" s="1328">
        <v>0.04</v>
      </c>
      <c r="AA173" s="2089">
        <f>AVERAGE(W173:Z173)</f>
        <v>4.0750000000000001E-2</v>
      </c>
      <c r="AB173" s="1328"/>
      <c r="AC173" s="1328">
        <v>4.4999999999999998E-2</v>
      </c>
      <c r="AD173" s="1328"/>
      <c r="AE173" s="1328">
        <v>1.4999999999999999E-2</v>
      </c>
      <c r="AF173" s="1328"/>
      <c r="AG173" s="1328">
        <v>7.0000000000000001E-3</v>
      </c>
      <c r="AH173" s="1328"/>
      <c r="AI173" s="1328"/>
      <c r="AJ173" s="2089"/>
      <c r="AK173" s="1328"/>
      <c r="AL173" s="1328"/>
      <c r="AM173" s="1328"/>
      <c r="AN173" s="1328"/>
      <c r="AO173" s="2089"/>
      <c r="AP173" s="1328"/>
      <c r="AQ173" s="1328"/>
      <c r="AR173" s="1328"/>
      <c r="AS173" s="1328"/>
      <c r="AT173" s="2089"/>
      <c r="AU173" s="1328"/>
      <c r="AV173" s="1328"/>
      <c r="AW173" s="1328"/>
      <c r="AX173" s="1328"/>
      <c r="AY173" s="2089"/>
      <c r="AZ173" s="1328"/>
      <c r="BA173" s="1328"/>
      <c r="BB173" s="1328"/>
      <c r="BC173" s="1328"/>
      <c r="BD173" s="2089"/>
      <c r="BE173" s="1328"/>
      <c r="BF173" s="1328"/>
      <c r="BG173" s="1328"/>
      <c r="BH173" s="1328"/>
      <c r="BI173" s="2089"/>
      <c r="BJ173" s="1328"/>
      <c r="BK173" s="1328"/>
      <c r="BL173" s="1328"/>
      <c r="BM173" s="1328"/>
      <c r="BN173" s="2089"/>
      <c r="BO173" s="1328"/>
      <c r="BP173" s="1328"/>
      <c r="BQ173" s="1293"/>
      <c r="BR173" s="1293"/>
      <c r="BS173" s="1293"/>
      <c r="BT173" s="1293"/>
      <c r="BU173" s="1293"/>
      <c r="BV173" s="1293"/>
      <c r="BW173" s="1293"/>
      <c r="BX173" s="1293"/>
      <c r="BY173" s="1293"/>
      <c r="BZ173" s="1293"/>
      <c r="CA173" s="1293"/>
      <c r="CB173" s="1293"/>
      <c r="CC173" s="1293"/>
      <c r="CD173" s="1293"/>
      <c r="CE173" s="1293"/>
      <c r="CF173" s="1293"/>
      <c r="CG173" s="1293"/>
      <c r="CH173" s="1293"/>
      <c r="CI173" s="1293"/>
      <c r="CJ173" s="1293"/>
      <c r="CK173" s="1293"/>
      <c r="CL173" s="1293"/>
      <c r="CM173" s="1293"/>
      <c r="CN173" s="1293"/>
      <c r="CO173" s="1293"/>
      <c r="CP173" s="1293"/>
      <c r="CQ173" s="1293"/>
      <c r="CR173" s="1293"/>
      <c r="CS173" s="1293"/>
      <c r="CT173" s="1293"/>
      <c r="CU173" s="1293"/>
      <c r="CV173" s="1293"/>
      <c r="CW173" s="1293"/>
      <c r="CX173" s="1293"/>
      <c r="CY173" s="2101"/>
      <c r="CZ173" s="1328"/>
      <c r="DA173" s="2100"/>
      <c r="DB173" s="2101"/>
      <c r="DC173" s="1293"/>
      <c r="DD173" s="1293"/>
      <c r="DE173" s="1293"/>
      <c r="DF173" s="1293"/>
      <c r="DG173" s="1293"/>
      <c r="DH173" s="1293"/>
      <c r="DI173" s="1293"/>
      <c r="DJ173" s="1293"/>
      <c r="DK173" s="1293"/>
      <c r="DL173" s="1293"/>
    </row>
    <row r="174" spans="1:116" ht="15.75" hidden="1" outlineLevel="1">
      <c r="A174" s="1293"/>
      <c r="B174" s="2130" t="s">
        <v>4868</v>
      </c>
      <c r="C174" s="1993"/>
      <c r="D174" s="1993"/>
      <c r="E174" s="1993"/>
      <c r="F174" s="1993"/>
      <c r="G174" s="2131"/>
      <c r="H174" s="2132"/>
      <c r="I174" s="2132"/>
      <c r="J174" s="2132"/>
      <c r="K174" s="2132"/>
      <c r="L174" s="2133"/>
      <c r="M174" s="2132"/>
      <c r="N174" s="2132"/>
      <c r="O174" s="2132"/>
      <c r="P174" s="2132"/>
      <c r="Q174" s="2133"/>
      <c r="R174" s="2132">
        <f>SUM(R156:R163)/(M113+M119)-1</f>
        <v>-1.5241928649323389E-2</v>
      </c>
      <c r="S174" s="2132">
        <f>SUM(S156:S163)/(N113+N119)-1</f>
        <v>2.7679462732896898E-3</v>
      </c>
      <c r="T174" s="2132">
        <f>SUM(T156:T163)/(O113+O119)-1</f>
        <v>2.8483020462428232E-2</v>
      </c>
      <c r="U174" s="2132">
        <f>SUM(U156:U163)/(P113+P119)-1</f>
        <v>9.205908996818879E-2</v>
      </c>
      <c r="V174" s="2131"/>
      <c r="W174" s="2132">
        <f>SUM(W156:W163)/(R113+R119)-1</f>
        <v>2.7320432633080927E-2</v>
      </c>
      <c r="X174" s="2132">
        <f>SUM(X156:X163)/(S113+S119)-1</f>
        <v>5.6379423724226108E-2</v>
      </c>
      <c r="Y174" s="2132">
        <f>SUM(Y156:Y163)/(T113+T119)-1</f>
        <v>4.9386142312991987E-2</v>
      </c>
      <c r="Z174" s="2132">
        <f>SUM(Z156:Z163)/(U113+U119)-1</f>
        <v>4.0517893471015087E-2</v>
      </c>
      <c r="AA174" s="2134">
        <f>AVERAGE(W174:Z174)</f>
        <v>4.3400973035328527E-2</v>
      </c>
      <c r="AB174" s="2132"/>
      <c r="AC174" s="2132">
        <f>(SUM(AC156:AC163)+AC132)/(W113+W119+W132)-1</f>
        <v>3.2267026248948172E-2</v>
      </c>
      <c r="AD174" s="2132"/>
      <c r="AE174" s="2132"/>
      <c r="AF174" s="2132"/>
      <c r="AG174" s="2132"/>
      <c r="AH174" s="2132"/>
      <c r="AI174" s="2132"/>
      <c r="AJ174" s="2134"/>
      <c r="AK174" s="2132"/>
      <c r="AL174" s="2132"/>
      <c r="AM174" s="2132"/>
      <c r="AN174" s="2132"/>
      <c r="AO174" s="2134"/>
      <c r="AP174" s="2132"/>
      <c r="AQ174" s="2132"/>
      <c r="AR174" s="2132"/>
      <c r="AS174" s="2132"/>
      <c r="AT174" s="2134"/>
      <c r="AU174" s="2132"/>
      <c r="AV174" s="2132"/>
      <c r="AW174" s="2132"/>
      <c r="AX174" s="2132"/>
      <c r="AY174" s="2134"/>
      <c r="AZ174" s="2132"/>
      <c r="BA174" s="2132"/>
      <c r="BB174" s="2132"/>
      <c r="BC174" s="2132"/>
      <c r="BD174" s="2133"/>
      <c r="BE174" s="2132"/>
      <c r="BF174" s="2132"/>
      <c r="BG174" s="2132"/>
      <c r="BH174" s="2132"/>
      <c r="BI174" s="2133"/>
      <c r="BJ174" s="2132"/>
      <c r="BK174" s="2132"/>
      <c r="BL174" s="2132"/>
      <c r="BM174" s="2132"/>
      <c r="BN174" s="2133"/>
      <c r="BO174" s="1335"/>
      <c r="BP174" s="1335"/>
      <c r="BQ174" s="1293"/>
      <c r="BR174" s="1293"/>
      <c r="BS174" s="1293"/>
      <c r="BT174" s="1293"/>
      <c r="BU174" s="1293"/>
      <c r="BV174" s="1293"/>
      <c r="BW174" s="1293"/>
      <c r="BX174" s="1293"/>
      <c r="BY174" s="1293"/>
      <c r="BZ174" s="1293"/>
      <c r="CA174" s="1293"/>
      <c r="CB174" s="1293"/>
      <c r="CC174" s="1293"/>
      <c r="CD174" s="1293"/>
      <c r="CE174" s="1293"/>
      <c r="CF174" s="1293"/>
      <c r="CG174" s="1293"/>
      <c r="CH174" s="1293"/>
      <c r="CI174" s="1293"/>
      <c r="CJ174" s="1293"/>
      <c r="CK174" s="1293"/>
      <c r="CL174" s="1293"/>
      <c r="CM174" s="1293"/>
      <c r="CN174" s="1293"/>
      <c r="CO174" s="1293"/>
      <c r="CP174" s="1293"/>
      <c r="CQ174" s="1293"/>
      <c r="CR174" s="1293"/>
      <c r="CS174" s="1293"/>
      <c r="CT174" s="1293"/>
      <c r="CU174" s="1293"/>
      <c r="CV174" s="1293"/>
      <c r="CW174" s="1293"/>
      <c r="CX174" s="1293"/>
      <c r="CY174" s="2135"/>
      <c r="CZ174" s="2132"/>
      <c r="DA174" s="2136"/>
      <c r="DB174" s="2135"/>
      <c r="DC174" s="1293"/>
      <c r="DD174" s="1293"/>
      <c r="DE174" s="1293"/>
      <c r="DF174" s="1293"/>
      <c r="DG174" s="1293"/>
      <c r="DH174" s="1293"/>
      <c r="DI174" s="1293"/>
      <c r="DJ174" s="1293"/>
      <c r="DK174" s="1293"/>
      <c r="DL174" s="1293"/>
    </row>
    <row r="175" spans="1:116" ht="15.75" hidden="1" outlineLevel="1">
      <c r="A175" s="1293"/>
      <c r="B175" s="1293" t="s">
        <v>211</v>
      </c>
      <c r="C175" s="1699"/>
      <c r="D175" s="1699"/>
      <c r="E175" s="1699"/>
      <c r="F175" s="1699"/>
      <c r="G175" s="2039"/>
      <c r="H175" s="1699"/>
      <c r="I175" s="1699"/>
      <c r="J175" s="1699"/>
      <c r="K175" s="1699"/>
      <c r="L175" s="2039"/>
      <c r="M175" s="1699"/>
      <c r="N175" s="1699"/>
      <c r="O175" s="1699"/>
      <c r="P175" s="1724"/>
      <c r="Q175" s="2039"/>
      <c r="R175" s="1328">
        <v>0</v>
      </c>
      <c r="S175" s="1328">
        <v>-1.2999999999999999E-2</v>
      </c>
      <c r="T175" s="1328"/>
      <c r="U175" s="1328"/>
      <c r="V175" s="2039"/>
      <c r="W175" s="1328"/>
      <c r="X175" s="1328"/>
      <c r="Y175" s="1328"/>
      <c r="Z175" s="1328"/>
      <c r="AA175" s="2039"/>
      <c r="AB175" s="1328"/>
      <c r="AC175" s="1328">
        <f>AC173+(AC131-X131)/X146</f>
        <v>2.3846153846153843E-2</v>
      </c>
      <c r="AD175" s="1328"/>
      <c r="AE175" s="1328"/>
      <c r="AF175" s="1328"/>
      <c r="AG175" s="1328"/>
      <c r="AH175" s="1328"/>
      <c r="AI175" s="1328"/>
      <c r="AJ175" s="2039"/>
      <c r="AK175" s="1328"/>
      <c r="AL175" s="1328"/>
      <c r="AM175" s="1328"/>
      <c r="AN175" s="1328"/>
      <c r="AO175" s="2039"/>
      <c r="AP175" s="1328"/>
      <c r="AQ175" s="1328"/>
      <c r="AR175" s="1328"/>
      <c r="AS175" s="1328"/>
      <c r="AT175" s="2039"/>
      <c r="AU175" s="1328"/>
      <c r="AV175" s="1328"/>
      <c r="AW175" s="1328"/>
      <c r="AX175" s="1328"/>
      <c r="AY175" s="2039"/>
      <c r="AZ175" s="1328"/>
      <c r="BA175" s="1328"/>
      <c r="BB175" s="1328"/>
      <c r="BC175" s="1699"/>
      <c r="BD175" s="2039"/>
      <c r="BE175" s="1328"/>
      <c r="BF175" s="1328"/>
      <c r="BG175" s="1328"/>
      <c r="BH175" s="1699"/>
      <c r="BI175" s="2039"/>
      <c r="BJ175" s="1328"/>
      <c r="BK175" s="1328"/>
      <c r="BL175" s="1328"/>
      <c r="BM175" s="1328"/>
      <c r="BN175" s="2039"/>
      <c r="BO175" s="1699"/>
      <c r="BP175" s="1699"/>
      <c r="BQ175" s="1293"/>
      <c r="BR175" s="1293"/>
      <c r="BS175" s="1293"/>
      <c r="BT175" s="1293"/>
      <c r="BU175" s="1293"/>
      <c r="BV175" s="1293"/>
      <c r="BW175" s="1293"/>
      <c r="BX175" s="1293"/>
      <c r="BY175" s="1293"/>
      <c r="BZ175" s="1293"/>
      <c r="CA175" s="1293"/>
      <c r="CB175" s="1293"/>
      <c r="CC175" s="1293"/>
      <c r="CD175" s="1293"/>
      <c r="CE175" s="1293"/>
      <c r="CF175" s="1293"/>
      <c r="CG175" s="1293"/>
      <c r="CH175" s="1293"/>
      <c r="CI175" s="1293"/>
      <c r="CJ175" s="1293"/>
      <c r="CK175" s="1293"/>
      <c r="CL175" s="1293"/>
      <c r="CM175" s="1293"/>
      <c r="CN175" s="1293"/>
      <c r="CO175" s="1293"/>
      <c r="CP175" s="1293"/>
      <c r="CQ175" s="1293"/>
      <c r="CR175" s="1293"/>
      <c r="CS175" s="1293"/>
      <c r="CT175" s="1293"/>
      <c r="CU175" s="1293"/>
      <c r="CV175" s="1293"/>
      <c r="CW175" s="1293"/>
      <c r="CX175" s="1293"/>
      <c r="CY175" s="2041"/>
      <c r="CZ175" s="1699"/>
      <c r="DA175" s="2100"/>
      <c r="DB175" s="2101"/>
      <c r="DC175" s="1293"/>
      <c r="DD175" s="1293"/>
      <c r="DE175" s="1293"/>
      <c r="DF175" s="1293"/>
      <c r="DG175" s="1293"/>
      <c r="DH175" s="1293"/>
      <c r="DI175" s="1293"/>
      <c r="DJ175" s="1293"/>
      <c r="DK175" s="1293"/>
      <c r="DL175" s="1293"/>
    </row>
    <row r="176" spans="1:116" ht="15.75" collapsed="1">
      <c r="A176" s="1293"/>
      <c r="B176" s="1293"/>
      <c r="C176" s="1699"/>
      <c r="D176" s="1699"/>
      <c r="E176" s="1699"/>
      <c r="F176" s="1699"/>
      <c r="G176" s="2039"/>
      <c r="H176" s="1699"/>
      <c r="I176" s="1699"/>
      <c r="J176" s="1699"/>
      <c r="K176" s="1699"/>
      <c r="L176" s="2039"/>
      <c r="M176" s="1699"/>
      <c r="N176" s="1699"/>
      <c r="O176" s="1699"/>
      <c r="P176" s="1724"/>
      <c r="Q176" s="2039"/>
      <c r="R176" s="1328"/>
      <c r="S176" s="1328"/>
      <c r="T176" s="1328"/>
      <c r="U176" s="1328"/>
      <c r="V176" s="2039"/>
      <c r="W176" s="1328"/>
      <c r="X176" s="1328"/>
      <c r="Y176" s="1328"/>
      <c r="Z176" s="1328"/>
      <c r="AA176" s="2039"/>
      <c r="AB176" s="1328"/>
      <c r="AC176" s="1328"/>
      <c r="AD176" s="1328"/>
      <c r="AE176" s="1328"/>
      <c r="AF176" s="1328"/>
      <c r="AG176" s="1328"/>
      <c r="AH176" s="1328"/>
      <c r="AI176" s="1328"/>
      <c r="AJ176" s="2039"/>
      <c r="AK176" s="1328"/>
      <c r="AL176" s="1328"/>
      <c r="AM176" s="1328"/>
      <c r="AN176" s="1328"/>
      <c r="AO176" s="2039"/>
      <c r="AP176" s="1328"/>
      <c r="AQ176" s="1328"/>
      <c r="AR176" s="1328"/>
      <c r="AS176" s="1328"/>
      <c r="AT176" s="2039"/>
      <c r="AU176" s="1328"/>
      <c r="AV176" s="1328"/>
      <c r="AW176" s="1328"/>
      <c r="AX176" s="1328"/>
      <c r="AY176" s="2039"/>
      <c r="AZ176" s="1328"/>
      <c r="BA176" s="1328"/>
      <c r="BB176" s="1328"/>
      <c r="BC176" s="1699"/>
      <c r="BD176" s="2039"/>
      <c r="BE176" s="1328"/>
      <c r="BF176" s="1328"/>
      <c r="BG176" s="1328"/>
      <c r="BH176" s="1699"/>
      <c r="BI176" s="2039"/>
      <c r="BJ176" s="1328"/>
      <c r="BK176" s="1328"/>
      <c r="BL176" s="1328"/>
      <c r="BM176" s="1328"/>
      <c r="BN176" s="2039"/>
      <c r="BO176" s="1699"/>
      <c r="BP176" s="1699"/>
      <c r="BQ176" s="1293"/>
      <c r="BR176" s="1293"/>
      <c r="BS176" s="1293"/>
      <c r="BT176" s="1293"/>
      <c r="BU176" s="1293"/>
      <c r="BV176" s="1293"/>
      <c r="BW176" s="1293"/>
      <c r="BX176" s="1293"/>
      <c r="BY176" s="1293"/>
      <c r="BZ176" s="1293"/>
      <c r="CA176" s="1293"/>
      <c r="CB176" s="1293"/>
      <c r="CC176" s="1293"/>
      <c r="CD176" s="1293"/>
      <c r="CE176" s="1293"/>
      <c r="CF176" s="1293"/>
      <c r="CG176" s="1293"/>
      <c r="CH176" s="1293"/>
      <c r="CI176" s="1293"/>
      <c r="CJ176" s="1293"/>
      <c r="CK176" s="1293"/>
      <c r="CL176" s="1293"/>
      <c r="CM176" s="1293"/>
      <c r="CN176" s="1293"/>
      <c r="CO176" s="1293"/>
      <c r="CP176" s="1293"/>
      <c r="CQ176" s="1293"/>
      <c r="CR176" s="1293"/>
      <c r="CS176" s="1293"/>
      <c r="CT176" s="1293"/>
      <c r="CU176" s="1293"/>
      <c r="CV176" s="1293"/>
      <c r="CW176" s="1293"/>
      <c r="CX176" s="1293"/>
      <c r="CY176" s="2041"/>
      <c r="CZ176" s="1699"/>
      <c r="DA176" s="2100"/>
      <c r="DB176" s="2101"/>
      <c r="DC176" s="1293"/>
      <c r="DD176" s="1293"/>
      <c r="DE176" s="1293"/>
      <c r="DF176" s="1293"/>
      <c r="DG176" s="1293"/>
      <c r="DH176" s="1293"/>
      <c r="DI176" s="1293"/>
      <c r="DJ176" s="1293"/>
      <c r="DK176" s="1293"/>
      <c r="DL176" s="1293"/>
    </row>
    <row r="177" spans="1:116" ht="15.75">
      <c r="A177" s="1293"/>
      <c r="B177" s="1293"/>
      <c r="C177" s="1699"/>
      <c r="D177" s="1699"/>
      <c r="E177" s="1699"/>
      <c r="F177" s="1699"/>
      <c r="G177" s="2039"/>
      <c r="H177" s="1699"/>
      <c r="I177" s="1699"/>
      <c r="J177" s="1699"/>
      <c r="K177" s="1699"/>
      <c r="L177" s="2039"/>
      <c r="M177" s="1699"/>
      <c r="N177" s="1699"/>
      <c r="O177" s="1699"/>
      <c r="P177" s="1724"/>
      <c r="Q177" s="2039"/>
      <c r="R177" s="1699"/>
      <c r="S177" s="1699"/>
      <c r="T177" s="1699"/>
      <c r="U177" s="1699"/>
      <c r="V177" s="2039"/>
      <c r="W177" s="1699"/>
      <c r="X177" s="1699"/>
      <c r="Y177" s="1699"/>
      <c r="Z177" s="1699"/>
      <c r="AA177" s="2039"/>
      <c r="AB177" s="1293"/>
      <c r="AC177" s="1293"/>
      <c r="AD177" s="1293"/>
      <c r="AE177" s="1293"/>
      <c r="AF177" s="1293"/>
      <c r="AG177" s="1293"/>
      <c r="AH177" s="1293"/>
      <c r="AI177" s="1293"/>
      <c r="AJ177" s="2039"/>
      <c r="AK177" s="1293"/>
      <c r="AL177" s="1293"/>
      <c r="AM177" s="1293"/>
      <c r="AN177" s="1293"/>
      <c r="AO177" s="2039"/>
      <c r="AP177" s="1293"/>
      <c r="AQ177" s="1293"/>
      <c r="AR177" s="1293"/>
      <c r="AS177" s="1293"/>
      <c r="AT177" s="2039"/>
      <c r="AU177" s="1293"/>
      <c r="AV177" s="1293"/>
      <c r="AW177" s="1293"/>
      <c r="AX177" s="1293"/>
      <c r="AY177" s="2039"/>
      <c r="AZ177" s="1293"/>
      <c r="BA177" s="1293"/>
      <c r="BB177" s="1293"/>
      <c r="BC177" s="1699"/>
      <c r="BD177" s="2039"/>
      <c r="BE177" s="1293"/>
      <c r="BF177" s="1293"/>
      <c r="BG177" s="1293"/>
      <c r="BH177" s="1699"/>
      <c r="BI177" s="2039"/>
      <c r="BJ177" s="1293"/>
      <c r="BK177" s="1293"/>
      <c r="BL177" s="1293"/>
      <c r="BM177" s="1293"/>
      <c r="BN177" s="2039"/>
      <c r="BO177" s="1699"/>
      <c r="BP177" s="1699"/>
      <c r="BQ177" s="1293"/>
      <c r="BR177" s="1293"/>
      <c r="BS177" s="1293"/>
      <c r="BT177" s="1293"/>
      <c r="BU177" s="1293"/>
      <c r="BV177" s="1293"/>
      <c r="BW177" s="1293"/>
      <c r="BX177" s="1293"/>
      <c r="BY177" s="1293"/>
      <c r="BZ177" s="1293"/>
      <c r="CA177" s="1293"/>
      <c r="CB177" s="1293"/>
      <c r="CC177" s="1293"/>
      <c r="CD177" s="1293"/>
      <c r="CE177" s="1293"/>
      <c r="CF177" s="1293"/>
      <c r="CG177" s="1293"/>
      <c r="CH177" s="1293"/>
      <c r="CI177" s="1293"/>
      <c r="CJ177" s="1293"/>
      <c r="CK177" s="1293"/>
      <c r="CL177" s="1293"/>
      <c r="CM177" s="1293"/>
      <c r="CN177" s="1293"/>
      <c r="CO177" s="1293"/>
      <c r="CP177" s="1293"/>
      <c r="CQ177" s="1293"/>
      <c r="CR177" s="1293"/>
      <c r="CS177" s="1293"/>
      <c r="CT177" s="1293"/>
      <c r="CU177" s="1293"/>
      <c r="CV177" s="1293"/>
      <c r="CW177" s="1293"/>
      <c r="CX177" s="1293"/>
      <c r="CY177" s="2041"/>
      <c r="CZ177" s="1699"/>
      <c r="DA177" s="2031"/>
      <c r="DB177" s="2032"/>
      <c r="DC177" s="1293"/>
      <c r="DD177" s="1293"/>
      <c r="DE177" s="1293"/>
      <c r="DF177" s="1293"/>
      <c r="DG177" s="1293"/>
      <c r="DH177" s="1293"/>
      <c r="DI177" s="1293"/>
      <c r="DJ177" s="1293"/>
      <c r="DK177" s="1293"/>
      <c r="DL177" s="1293"/>
    </row>
    <row r="178" spans="1:116" ht="15.75">
      <c r="A178" s="1293"/>
      <c r="B178" s="1979" t="s">
        <v>1542</v>
      </c>
      <c r="C178" s="1883" t="s">
        <v>3503</v>
      </c>
      <c r="D178" s="1883" t="s">
        <v>3591</v>
      </c>
      <c r="E178" s="1883" t="s">
        <v>3608</v>
      </c>
      <c r="F178" s="1883" t="s">
        <v>3662</v>
      </c>
      <c r="G178" s="2034" t="s">
        <v>3463</v>
      </c>
      <c r="H178" s="1883" t="s">
        <v>3699</v>
      </c>
      <c r="I178" s="1883" t="s">
        <v>3790</v>
      </c>
      <c r="J178" s="1883" t="s">
        <v>3814</v>
      </c>
      <c r="K178" s="1883" t="s">
        <v>3866</v>
      </c>
      <c r="L178" s="2034" t="s">
        <v>3690</v>
      </c>
      <c r="M178" s="1883" t="s">
        <v>4082</v>
      </c>
      <c r="N178" s="1883" t="s">
        <v>4254</v>
      </c>
      <c r="O178" s="1883" t="s">
        <v>4387</v>
      </c>
      <c r="P178" s="1883" t="s">
        <v>4571</v>
      </c>
      <c r="Q178" s="2034" t="s">
        <v>4504</v>
      </c>
      <c r="R178" s="1883" t="str">
        <f t="shared" ref="R178:BM178" si="231">R102</f>
        <v>Q1 17</v>
      </c>
      <c r="S178" s="1883" t="str">
        <f t="shared" si="231"/>
        <v>Q2 17</v>
      </c>
      <c r="T178" s="1883" t="str">
        <f t="shared" si="231"/>
        <v>Q3 17</v>
      </c>
      <c r="U178" s="1883" t="str">
        <f t="shared" si="231"/>
        <v>Q4 17</v>
      </c>
      <c r="V178" s="2034">
        <f t="shared" si="231"/>
        <v>2017</v>
      </c>
      <c r="W178" s="1883" t="str">
        <f t="shared" si="231"/>
        <v>Q1 18</v>
      </c>
      <c r="X178" s="1883" t="str">
        <f t="shared" si="231"/>
        <v>Q2 18</v>
      </c>
      <c r="Y178" s="1883" t="str">
        <f t="shared" si="231"/>
        <v>Q3 18</v>
      </c>
      <c r="Z178" s="1883" t="str">
        <f t="shared" si="231"/>
        <v>Q4 18</v>
      </c>
      <c r="AA178" s="2034">
        <f t="shared" si="231"/>
        <v>2018</v>
      </c>
      <c r="AB178" s="1883" t="str">
        <f t="shared" si="231"/>
        <v>Q1 19</v>
      </c>
      <c r="AC178" s="1883" t="str">
        <f t="shared" si="231"/>
        <v>Q1 19</v>
      </c>
      <c r="AD178" s="1883" t="str">
        <f t="shared" si="231"/>
        <v>Q2 19</v>
      </c>
      <c r="AE178" s="1883" t="str">
        <f t="shared" si="231"/>
        <v>Q2 19</v>
      </c>
      <c r="AF178" s="1883" t="str">
        <f t="shared" si="231"/>
        <v>Q3 19</v>
      </c>
      <c r="AG178" s="1883" t="str">
        <f t="shared" si="231"/>
        <v>Q3 19</v>
      </c>
      <c r="AH178" s="1883" t="str">
        <f t="shared" si="231"/>
        <v>Q4 19</v>
      </c>
      <c r="AI178" s="1883" t="str">
        <f t="shared" si="231"/>
        <v>Q4 19</v>
      </c>
      <c r="AJ178" s="2034">
        <f t="shared" si="231"/>
        <v>2019</v>
      </c>
      <c r="AK178" s="1883" t="str">
        <f t="shared" si="231"/>
        <v>Q1 20</v>
      </c>
      <c r="AL178" s="1883" t="str">
        <f t="shared" si="231"/>
        <v>Q2 20</v>
      </c>
      <c r="AM178" s="1883" t="str">
        <f t="shared" si="231"/>
        <v>Q3 20</v>
      </c>
      <c r="AN178" s="1883" t="str">
        <f t="shared" si="231"/>
        <v>Q4 20</v>
      </c>
      <c r="AO178" s="2034">
        <f t="shared" si="231"/>
        <v>2020</v>
      </c>
      <c r="AP178" s="1883" t="str">
        <f t="shared" si="231"/>
        <v>Q1 21</v>
      </c>
      <c r="AQ178" s="1883" t="str">
        <f t="shared" si="231"/>
        <v>Q2 21</v>
      </c>
      <c r="AR178" s="1883" t="str">
        <f t="shared" si="231"/>
        <v>Q3 21</v>
      </c>
      <c r="AS178" s="1883" t="str">
        <f t="shared" si="231"/>
        <v>Q4 21</v>
      </c>
      <c r="AT178" s="2034">
        <f t="shared" si="231"/>
        <v>2021</v>
      </c>
      <c r="AU178" s="1883" t="str">
        <f t="shared" si="231"/>
        <v>Q1 22</v>
      </c>
      <c r="AV178" s="1883" t="str">
        <f t="shared" si="231"/>
        <v>Q2 22</v>
      </c>
      <c r="AW178" s="1883" t="str">
        <f t="shared" si="231"/>
        <v>Q3 22</v>
      </c>
      <c r="AX178" s="1883" t="str">
        <f t="shared" si="231"/>
        <v>Q4 22</v>
      </c>
      <c r="AY178" s="2034">
        <f t="shared" si="231"/>
        <v>2022</v>
      </c>
      <c r="AZ178" s="1883" t="str">
        <f t="shared" si="231"/>
        <v>Q1 23</v>
      </c>
      <c r="BA178" s="1883" t="str">
        <f t="shared" si="231"/>
        <v>Q2 23</v>
      </c>
      <c r="BB178" s="1883" t="str">
        <f t="shared" si="231"/>
        <v>Q3 23</v>
      </c>
      <c r="BC178" s="1883" t="str">
        <f t="shared" si="231"/>
        <v>Q4 23</v>
      </c>
      <c r="BD178" s="2034">
        <f t="shared" si="231"/>
        <v>2023</v>
      </c>
      <c r="BE178" s="1883" t="str">
        <f t="shared" si="231"/>
        <v>Q1 24</v>
      </c>
      <c r="BF178" s="1883" t="str">
        <f t="shared" si="231"/>
        <v>Q2 24</v>
      </c>
      <c r="BG178" s="1883" t="str">
        <f t="shared" si="231"/>
        <v>Q3 24</v>
      </c>
      <c r="BH178" s="1883" t="str">
        <f t="shared" si="231"/>
        <v>Q4 24</v>
      </c>
      <c r="BI178" s="2034">
        <f t="shared" si="231"/>
        <v>2024</v>
      </c>
      <c r="BJ178" s="1883" t="str">
        <f t="shared" si="231"/>
        <v>Q1 25</v>
      </c>
      <c r="BK178" s="1883" t="str">
        <f t="shared" si="231"/>
        <v>Q2 25</v>
      </c>
      <c r="BL178" s="1883" t="str">
        <f t="shared" si="231"/>
        <v>Q3 25</v>
      </c>
      <c r="BM178" s="1883" t="str">
        <f t="shared" si="231"/>
        <v>Q4 25</v>
      </c>
      <c r="BN178" s="2034">
        <f t="shared" ref="BN178" si="232">BN102</f>
        <v>2025</v>
      </c>
      <c r="BO178" s="1323"/>
      <c r="BP178" s="1323"/>
      <c r="BQ178" s="1293"/>
      <c r="BR178" s="1293"/>
      <c r="BS178" s="1293"/>
      <c r="BT178" s="1293"/>
      <c r="BU178" s="1293"/>
      <c r="BV178" s="1293"/>
      <c r="BW178" s="1293"/>
      <c r="BX178" s="1293"/>
      <c r="BY178" s="1293"/>
      <c r="BZ178" s="1293"/>
      <c r="CA178" s="1293"/>
      <c r="CB178" s="1293"/>
      <c r="CC178" s="1293"/>
      <c r="CD178" s="1293"/>
      <c r="CE178" s="1293"/>
      <c r="CF178" s="1293"/>
      <c r="CG178" s="1293"/>
      <c r="CH178" s="1293"/>
      <c r="CI178" s="1293"/>
      <c r="CJ178" s="1293"/>
      <c r="CK178" s="1293"/>
      <c r="CL178" s="1293"/>
      <c r="CM178" s="1293"/>
      <c r="CN178" s="1293"/>
      <c r="CO178" s="1293"/>
      <c r="CP178" s="1293"/>
      <c r="CQ178" s="1293"/>
      <c r="CR178" s="1293"/>
      <c r="CS178" s="1293"/>
      <c r="CT178" s="1293"/>
      <c r="CU178" s="1293"/>
      <c r="CV178" s="1293"/>
      <c r="CW178" s="1293"/>
      <c r="CX178" s="1293"/>
      <c r="CY178" s="2036" t="s">
        <v>7795</v>
      </c>
      <c r="CZ178" s="1883" t="str">
        <f>CZ102</f>
        <v>Q3 23e</v>
      </c>
      <c r="DA178" s="2037" t="s">
        <v>8571</v>
      </c>
      <c r="DB178" s="2038" t="s">
        <v>8572</v>
      </c>
      <c r="DC178" s="1293"/>
      <c r="DD178" s="1293"/>
      <c r="DE178" s="1293"/>
      <c r="DF178" s="1293"/>
      <c r="DG178" s="1293"/>
      <c r="DH178" s="1293"/>
      <c r="DI178" s="1293"/>
      <c r="DJ178" s="1293"/>
      <c r="DK178" s="1293"/>
      <c r="DL178" s="1293"/>
    </row>
    <row r="179" spans="1:116" ht="15.75">
      <c r="A179" s="1293"/>
      <c r="B179" s="1293" t="str">
        <f t="shared" ref="B179:B189" si="233">B39</f>
        <v>El Salvador</v>
      </c>
      <c r="C179" s="1328">
        <f t="shared" ref="C179:AB179" si="234">C103/C3</f>
        <v>0.38433515491639175</v>
      </c>
      <c r="D179" s="1328">
        <f t="shared" si="234"/>
        <v>0.36343737501891005</v>
      </c>
      <c r="E179" s="1328">
        <f t="shared" si="234"/>
        <v>0.3556896813194465</v>
      </c>
      <c r="F179" s="1328">
        <f t="shared" si="234"/>
        <v>0.37469151451038624</v>
      </c>
      <c r="G179" s="2089">
        <f t="shared" si="234"/>
        <v>0.36960340476047654</v>
      </c>
      <c r="H179" s="1328">
        <f t="shared" si="234"/>
        <v>0.38017043502644543</v>
      </c>
      <c r="I179" s="1328">
        <f t="shared" si="234"/>
        <v>0.37028562782403929</v>
      </c>
      <c r="J179" s="1328">
        <f t="shared" si="234"/>
        <v>0.37807705110187795</v>
      </c>
      <c r="K179" s="1328">
        <f t="shared" si="234"/>
        <v>0.37186628222563045</v>
      </c>
      <c r="L179" s="2089">
        <f t="shared" si="234"/>
        <v>0.37506438759533062</v>
      </c>
      <c r="M179" s="1328">
        <f t="shared" si="234"/>
        <v>0.3789204811864656</v>
      </c>
      <c r="N179" s="1328">
        <f t="shared" si="234"/>
        <v>0.35509668974810982</v>
      </c>
      <c r="O179" s="1328">
        <f t="shared" si="234"/>
        <v>0.35595813871452486</v>
      </c>
      <c r="P179" s="1328">
        <f t="shared" si="234"/>
        <v>0.30188679245283018</v>
      </c>
      <c r="Q179" s="2089">
        <f t="shared" si="234"/>
        <v>0.34809861876227483</v>
      </c>
      <c r="R179" s="1328">
        <f t="shared" si="234"/>
        <v>0.33333333333333331</v>
      </c>
      <c r="S179" s="1328">
        <f t="shared" si="234"/>
        <v>0.35849056603773582</v>
      </c>
      <c r="T179" s="1328">
        <f t="shared" si="234"/>
        <v>0.3619047619047619</v>
      </c>
      <c r="U179" s="1328">
        <f t="shared" si="234"/>
        <v>0.40909090909090912</v>
      </c>
      <c r="V179" s="2089">
        <f t="shared" si="234"/>
        <v>0.3664302600472813</v>
      </c>
      <c r="W179" s="1328">
        <f t="shared" si="234"/>
        <v>0.35576923076923078</v>
      </c>
      <c r="X179" s="1328">
        <f t="shared" si="234"/>
        <v>0.36893203883495146</v>
      </c>
      <c r="Y179" s="1328">
        <f t="shared" si="234"/>
        <v>0.34693877551020408</v>
      </c>
      <c r="Z179" s="1328">
        <f t="shared" si="234"/>
        <v>0.34653465346534651</v>
      </c>
      <c r="AA179" s="2089">
        <f t="shared" si="234"/>
        <v>0.35467980295566504</v>
      </c>
      <c r="AB179" s="1328">
        <f t="shared" si="234"/>
        <v>0.36458333333333331</v>
      </c>
      <c r="AC179" s="2000">
        <v>0.33</v>
      </c>
      <c r="AD179" s="1328">
        <f>AD103/AD3</f>
        <v>0.30927835051546393</v>
      </c>
      <c r="AE179" s="1328">
        <v>0.28000000000000003</v>
      </c>
      <c r="AF179" s="1328">
        <f>AF103/AF3</f>
        <v>0.36842105263157893</v>
      </c>
      <c r="AG179" s="1328">
        <v>0.33600000000000002</v>
      </c>
      <c r="AH179" s="1328">
        <f>AH103/AH3</f>
        <v>0.40816326530612246</v>
      </c>
      <c r="AI179" s="1328"/>
      <c r="AJ179" s="2089">
        <f t="shared" ref="AJ179:BI179" si="235">AJ103/AJ3</f>
        <v>0.36269430051813473</v>
      </c>
      <c r="AK179" s="1328">
        <f t="shared" si="235"/>
        <v>0.36458333333333331</v>
      </c>
      <c r="AL179" s="1328">
        <f t="shared" si="235"/>
        <v>0.28409090909090912</v>
      </c>
      <c r="AM179" s="1328">
        <f t="shared" si="235"/>
        <v>0.33333333333333331</v>
      </c>
      <c r="AN179" s="1328">
        <f t="shared" si="235"/>
        <v>0.38181818181818183</v>
      </c>
      <c r="AO179" s="2089">
        <f t="shared" si="235"/>
        <v>0.34358974358974359</v>
      </c>
      <c r="AP179" s="1328">
        <f t="shared" si="235"/>
        <v>0.37383177570093457</v>
      </c>
      <c r="AQ179" s="1328">
        <f t="shared" si="235"/>
        <v>0.34862385321100919</v>
      </c>
      <c r="AR179" s="1328">
        <f t="shared" si="235"/>
        <v>0.35135135135135137</v>
      </c>
      <c r="AS179" s="1328">
        <f t="shared" si="235"/>
        <v>0.375</v>
      </c>
      <c r="AT179" s="2089">
        <f t="shared" si="235"/>
        <v>0.36241610738255031</v>
      </c>
      <c r="AU179" s="1328">
        <f t="shared" si="235"/>
        <v>0.37001196581196583</v>
      </c>
      <c r="AV179" s="1328">
        <f t="shared" si="235"/>
        <v>0.36211241137780814</v>
      </c>
      <c r="AW179" s="1328">
        <f t="shared" si="235"/>
        <v>0.34814635830169144</v>
      </c>
      <c r="AX179" s="1328">
        <f t="shared" si="235"/>
        <v>0.39516269841269841</v>
      </c>
      <c r="AY179" s="2089">
        <f t="shared" si="235"/>
        <v>0.36940350877192984</v>
      </c>
      <c r="AZ179" s="1328">
        <f t="shared" si="235"/>
        <v>0.36943361344537817</v>
      </c>
      <c r="BA179" s="1328">
        <f t="shared" si="235"/>
        <v>0.35859508196721313</v>
      </c>
      <c r="BB179" s="1328">
        <f t="shared" si="235"/>
        <v>0.38106443397531348</v>
      </c>
      <c r="BC179" s="1328">
        <f t="shared" si="235"/>
        <v>0.39380067028407284</v>
      </c>
      <c r="BD179" s="2089">
        <f t="shared" si="235"/>
        <v>0.37589453437199138</v>
      </c>
      <c r="BE179" s="1328">
        <f t="shared" si="235"/>
        <v>0.41375534899079153</v>
      </c>
      <c r="BF179" s="1328">
        <f t="shared" si="235"/>
        <v>0.42888964794899981</v>
      </c>
      <c r="BG179" s="1328">
        <f t="shared" si="235"/>
        <v>0.44289868056361009</v>
      </c>
      <c r="BH179" s="1328">
        <f t="shared" si="235"/>
        <v>0.45897641361530156</v>
      </c>
      <c r="BI179" s="2089">
        <f t="shared" si="235"/>
        <v>0.43587477960548882</v>
      </c>
      <c r="BJ179" s="1328">
        <f t="shared" ref="BJ179:BN179" si="236">BJ103/BJ3</f>
        <v>0.43888931685030513</v>
      </c>
      <c r="BK179" s="1328">
        <f t="shared" si="236"/>
        <v>0.43389650970255317</v>
      </c>
      <c r="BL179" s="1328">
        <f t="shared" si="236"/>
        <v>0.43322535191095629</v>
      </c>
      <c r="BM179" s="1328">
        <f t="shared" si="236"/>
        <v>0.43402717624224929</v>
      </c>
      <c r="BN179" s="2089">
        <f t="shared" si="236"/>
        <v>0.435</v>
      </c>
      <c r="BO179" s="1328"/>
      <c r="BP179" s="1328"/>
      <c r="BQ179" s="1293"/>
      <c r="BR179" s="1293"/>
      <c r="BS179" s="1293"/>
      <c r="BT179" s="1293"/>
      <c r="BU179" s="1293"/>
      <c r="BV179" s="1293"/>
      <c r="BW179" s="1293"/>
      <c r="BX179" s="1293"/>
      <c r="BY179" s="1293"/>
      <c r="BZ179" s="1293"/>
      <c r="CA179" s="1293"/>
      <c r="CB179" s="1293"/>
      <c r="CC179" s="1293"/>
      <c r="CD179" s="1293"/>
      <c r="CE179" s="1293"/>
      <c r="CF179" s="1293"/>
      <c r="CG179" s="1293"/>
      <c r="CH179" s="1293"/>
      <c r="CI179" s="1293"/>
      <c r="CJ179" s="1293"/>
      <c r="CK179" s="1293"/>
      <c r="CL179" s="1293"/>
      <c r="CM179" s="1293"/>
      <c r="CN179" s="1293"/>
      <c r="CO179" s="1293"/>
      <c r="CP179" s="1293"/>
      <c r="CQ179" s="1293"/>
      <c r="CR179" s="1293"/>
      <c r="CS179" s="1293"/>
      <c r="CT179" s="1293"/>
      <c r="CU179" s="1293"/>
      <c r="CV179" s="1293"/>
      <c r="CW179" s="1293"/>
      <c r="CX179" s="1293"/>
      <c r="CY179" s="2101">
        <v>0.36853240503546902</v>
      </c>
      <c r="CZ179" s="2137">
        <v>0.36</v>
      </c>
      <c r="DA179" s="2138">
        <v>0.39</v>
      </c>
      <c r="DB179" s="2139">
        <v>0.38500000000000001</v>
      </c>
      <c r="DC179" s="1293"/>
      <c r="DD179" s="1293"/>
      <c r="DE179" s="1293"/>
      <c r="DF179" s="1293"/>
      <c r="DG179" s="1293"/>
      <c r="DH179" s="1293"/>
      <c r="DI179" s="1293"/>
      <c r="DJ179" s="1293"/>
      <c r="DK179" s="1293"/>
      <c r="DL179" s="1293"/>
    </row>
    <row r="180" spans="1:116" ht="15.75">
      <c r="A180" s="1293"/>
      <c r="B180" s="1293" t="str">
        <f t="shared" si="233"/>
        <v>Guatemala</v>
      </c>
      <c r="C180" s="1328">
        <f t="shared" ref="C180:AB180" si="237">C104/C4</f>
        <v>0.50423924252255481</v>
      </c>
      <c r="D180" s="1328">
        <f t="shared" si="237"/>
        <v>0.5100729409004533</v>
      </c>
      <c r="E180" s="1328">
        <f t="shared" si="237"/>
        <v>0.52019265806430681</v>
      </c>
      <c r="F180" s="1328">
        <f t="shared" si="237"/>
        <v>0.4990551012057251</v>
      </c>
      <c r="G180" s="2089">
        <f t="shared" si="237"/>
        <v>0.50824365449517483</v>
      </c>
      <c r="H180" s="1328">
        <f t="shared" si="237"/>
        <v>0.51521048630712407</v>
      </c>
      <c r="I180" s="1328">
        <f t="shared" si="237"/>
        <v>0.51655627831741269</v>
      </c>
      <c r="J180" s="1328">
        <f t="shared" si="237"/>
        <v>0.51377913469460745</v>
      </c>
      <c r="K180" s="1328">
        <f t="shared" si="237"/>
        <v>0.45248880458763574</v>
      </c>
      <c r="L180" s="2089">
        <f t="shared" si="237"/>
        <v>0.49882970012548239</v>
      </c>
      <c r="M180" s="1328">
        <f t="shared" si="237"/>
        <v>0.5050425407132525</v>
      </c>
      <c r="N180" s="1328">
        <f t="shared" si="237"/>
        <v>0.48720939335768143</v>
      </c>
      <c r="O180" s="1328">
        <f t="shared" si="237"/>
        <v>0.48060661557156936</v>
      </c>
      <c r="P180" s="1328">
        <f t="shared" si="237"/>
        <v>0.49393939393939396</v>
      </c>
      <c r="Q180" s="2089">
        <f t="shared" si="237"/>
        <v>0.49177736155286356</v>
      </c>
      <c r="R180" s="1328">
        <f t="shared" si="237"/>
        <v>0.50312500000000004</v>
      </c>
      <c r="S180" s="1328">
        <f t="shared" si="237"/>
        <v>0.50769230769230766</v>
      </c>
      <c r="T180" s="1328">
        <f t="shared" si="237"/>
        <v>0.50450450450450446</v>
      </c>
      <c r="U180" s="1328">
        <f t="shared" si="237"/>
        <v>0.48997134670487108</v>
      </c>
      <c r="V180" s="2089">
        <f t="shared" si="237"/>
        <v>0.50113036925395626</v>
      </c>
      <c r="W180" s="1328">
        <f t="shared" si="237"/>
        <v>0.5194029850746269</v>
      </c>
      <c r="X180" s="1328">
        <f t="shared" si="237"/>
        <v>0.50737463126843663</v>
      </c>
      <c r="Y180" s="1328">
        <f t="shared" si="237"/>
        <v>0.50146627565982405</v>
      </c>
      <c r="Z180" s="1328">
        <f t="shared" si="237"/>
        <v>0.48044692737430167</v>
      </c>
      <c r="AA180" s="2089">
        <f t="shared" si="237"/>
        <v>0.50182083029861613</v>
      </c>
      <c r="AB180" s="1328">
        <f t="shared" si="237"/>
        <v>0.55393586005830908</v>
      </c>
      <c r="AC180" s="2000">
        <v>0.52</v>
      </c>
      <c r="AD180" s="1328">
        <f>AD104/AD4</f>
        <v>0.52957746478873235</v>
      </c>
      <c r="AE180" s="1328">
        <v>0.5</v>
      </c>
      <c r="AF180" s="1328">
        <f>AF104/AF4</f>
        <v>0.51810584958217265</v>
      </c>
      <c r="AG180" s="1328">
        <v>0.48699999999999999</v>
      </c>
      <c r="AH180" s="1328">
        <f>AH104/AH4</f>
        <v>0.48941798941798942</v>
      </c>
      <c r="AI180" s="1328"/>
      <c r="AJ180" s="2089">
        <f t="shared" ref="AJ180:BI180" si="238">AJ104/AJ4</f>
        <v>0.52195121951219514</v>
      </c>
      <c r="AK180" s="1328">
        <f t="shared" si="238"/>
        <v>0.5257452574525745</v>
      </c>
      <c r="AL180" s="1328">
        <f t="shared" si="238"/>
        <v>0.51540616246498594</v>
      </c>
      <c r="AM180" s="1328">
        <f t="shared" si="238"/>
        <v>0.50263157894736843</v>
      </c>
      <c r="AN180" s="1328">
        <f t="shared" si="238"/>
        <v>0.52896725440806047</v>
      </c>
      <c r="AO180" s="2089">
        <f t="shared" si="238"/>
        <v>0.51829673985362612</v>
      </c>
      <c r="AP180" s="1328">
        <f t="shared" si="238"/>
        <v>0.55012853470437018</v>
      </c>
      <c r="AQ180" s="1328">
        <f t="shared" si="238"/>
        <v>0.54364089775561097</v>
      </c>
      <c r="AR180" s="1328">
        <f t="shared" si="238"/>
        <v>0.53500000000000003</v>
      </c>
      <c r="AS180" s="1328">
        <f t="shared" si="238"/>
        <v>0.51463414634146343</v>
      </c>
      <c r="AT180" s="2089">
        <f t="shared" si="238"/>
        <v>0.53562500000000002</v>
      </c>
      <c r="AU180" s="1328">
        <f t="shared" si="238"/>
        <v>0.54867677451213492</v>
      </c>
      <c r="AV180" s="1328">
        <f t="shared" si="238"/>
        <v>0.52090478793482942</v>
      </c>
      <c r="AW180" s="1328">
        <f t="shared" si="238"/>
        <v>0.5204900413739536</v>
      </c>
      <c r="AX180" s="1328">
        <f t="shared" si="238"/>
        <v>0.52654829300706785</v>
      </c>
      <c r="AY180" s="2089">
        <f t="shared" si="238"/>
        <v>0.52896851510292608</v>
      </c>
      <c r="AZ180" s="1328">
        <f t="shared" si="238"/>
        <v>0.50302815365159259</v>
      </c>
      <c r="BA180" s="1328">
        <f t="shared" si="238"/>
        <v>0.50646158450706025</v>
      </c>
      <c r="BB180" s="1328">
        <f t="shared" si="238"/>
        <v>0.52120521568468603</v>
      </c>
      <c r="BC180" s="1328">
        <f t="shared" si="238"/>
        <v>0.54114748979614669</v>
      </c>
      <c r="BD180" s="2089">
        <f t="shared" si="238"/>
        <v>0.51791906051317571</v>
      </c>
      <c r="BE180" s="1328">
        <f t="shared" si="238"/>
        <v>0.54027689273575075</v>
      </c>
      <c r="BF180" s="1328">
        <f t="shared" si="238"/>
        <v>0.54318047321347851</v>
      </c>
      <c r="BG180" s="1328">
        <f t="shared" si="238"/>
        <v>0.55095462831973108</v>
      </c>
      <c r="BH180" s="1328">
        <f t="shared" si="238"/>
        <v>0.52884974297654119</v>
      </c>
      <c r="BI180" s="2089">
        <f t="shared" si="238"/>
        <v>0.5407709565597546</v>
      </c>
      <c r="BJ180" s="1328">
        <f t="shared" ref="BJ180:BN180" si="239">BJ104/BJ4</f>
        <v>0.53965119886573221</v>
      </c>
      <c r="BK180" s="1328">
        <f t="shared" si="239"/>
        <v>0.54504253166323002</v>
      </c>
      <c r="BL180" s="1328">
        <f t="shared" si="239"/>
        <v>0.5560828548588499</v>
      </c>
      <c r="BM180" s="1328">
        <f t="shared" si="239"/>
        <v>0.51946107686729226</v>
      </c>
      <c r="BN180" s="2089">
        <f t="shared" si="239"/>
        <v>0.54</v>
      </c>
      <c r="BO180" s="1328"/>
      <c r="BP180" s="1328"/>
      <c r="BQ180" s="1293"/>
      <c r="BR180" s="1293"/>
      <c r="BS180" s="1293"/>
      <c r="BT180" s="1293"/>
      <c r="BU180" s="1293"/>
      <c r="BV180" s="1293"/>
      <c r="BW180" s="1293"/>
      <c r="BX180" s="1293"/>
      <c r="BY180" s="1293"/>
      <c r="BZ180" s="1293"/>
      <c r="CA180" s="1293"/>
      <c r="CB180" s="1293"/>
      <c r="CC180" s="1293"/>
      <c r="CD180" s="1293"/>
      <c r="CE180" s="1293"/>
      <c r="CF180" s="1293"/>
      <c r="CG180" s="1293"/>
      <c r="CH180" s="1293"/>
      <c r="CI180" s="1293"/>
      <c r="CJ180" s="1293"/>
      <c r="CK180" s="1293"/>
      <c r="CL180" s="1293"/>
      <c r="CM180" s="1293"/>
      <c r="CN180" s="1293"/>
      <c r="CO180" s="1293"/>
      <c r="CP180" s="1293"/>
      <c r="CQ180" s="1293"/>
      <c r="CR180" s="1293"/>
      <c r="CS180" s="1293"/>
      <c r="CT180" s="1293"/>
      <c r="CU180" s="1293"/>
      <c r="CV180" s="1293"/>
      <c r="CW180" s="1293"/>
      <c r="CX180" s="1293"/>
      <c r="CY180" s="2101">
        <v>0.52084649918618031</v>
      </c>
      <c r="CZ180" s="2137">
        <v>0.5</v>
      </c>
      <c r="DA180" s="2138">
        <v>0.54</v>
      </c>
      <c r="DB180" s="2139">
        <v>0.55000000000000004</v>
      </c>
      <c r="DC180" s="1293"/>
      <c r="DD180" s="1293"/>
      <c r="DE180" s="1293"/>
      <c r="DF180" s="1293"/>
      <c r="DG180" s="1293"/>
      <c r="DH180" s="1293"/>
      <c r="DI180" s="1293"/>
      <c r="DJ180" s="1293"/>
      <c r="DK180" s="1293"/>
      <c r="DL180" s="1293"/>
    </row>
    <row r="181" spans="1:116" ht="15.75">
      <c r="A181" s="1293"/>
      <c r="B181" s="1293" t="str">
        <f t="shared" si="233"/>
        <v>Honduras (JV)</v>
      </c>
      <c r="C181" s="1328">
        <f t="shared" ref="C181:S181" si="240">C105/C5</f>
        <v>0.46819792388331655</v>
      </c>
      <c r="D181" s="1328">
        <f t="shared" si="240"/>
        <v>0.47418729738295656</v>
      </c>
      <c r="E181" s="1328">
        <f t="shared" si="240"/>
        <v>0.44899246490812528</v>
      </c>
      <c r="F181" s="1328">
        <f t="shared" si="240"/>
        <v>0.42794697501437329</v>
      </c>
      <c r="G181" s="2089">
        <f t="shared" si="240"/>
        <v>0.45442074458481868</v>
      </c>
      <c r="H181" s="1328">
        <f t="shared" si="240"/>
        <v>0.41904759231703442</v>
      </c>
      <c r="I181" s="1328">
        <f t="shared" si="240"/>
        <v>0.42530538278443802</v>
      </c>
      <c r="J181" s="1328">
        <f t="shared" si="240"/>
        <v>0.42586627364081187</v>
      </c>
      <c r="K181" s="1328">
        <f t="shared" si="240"/>
        <v>0.41727192214397274</v>
      </c>
      <c r="L181" s="2089">
        <f t="shared" si="240"/>
        <v>0.42185852785878042</v>
      </c>
      <c r="M181" s="1328">
        <f t="shared" si="240"/>
        <v>0.42740470682849524</v>
      </c>
      <c r="N181" s="1328">
        <f t="shared" si="240"/>
        <v>0.36329637154947764</v>
      </c>
      <c r="O181" s="1328">
        <f t="shared" si="240"/>
        <v>0.45875430487804209</v>
      </c>
      <c r="P181" s="1328">
        <f t="shared" si="240"/>
        <v>0.43333333333333335</v>
      </c>
      <c r="Q181" s="2089">
        <f t="shared" si="240"/>
        <v>0.42028665320554565</v>
      </c>
      <c r="R181" s="1328">
        <f t="shared" si="240"/>
        <v>0.42857142857142855</v>
      </c>
      <c r="S181" s="1328">
        <f t="shared" si="240"/>
        <v>0.42567567567567566</v>
      </c>
      <c r="T181" s="2000">
        <f>(T105-11)/T5</f>
        <v>0.44755244755244755</v>
      </c>
      <c r="U181" s="1328">
        <f t="shared" ref="U181:AB181" si="241">U105/U5</f>
        <v>0.43537414965986393</v>
      </c>
      <c r="V181" s="2089">
        <f t="shared" si="241"/>
        <v>0.45299145299145299</v>
      </c>
      <c r="W181" s="1328">
        <f t="shared" si="241"/>
        <v>0.4206896551724138</v>
      </c>
      <c r="X181" s="1328">
        <f t="shared" si="241"/>
        <v>0.41095890410958902</v>
      </c>
      <c r="Y181" s="1328">
        <f t="shared" si="241"/>
        <v>0.44444444444444442</v>
      </c>
      <c r="Z181" s="1328">
        <f t="shared" si="241"/>
        <v>0.46357615894039733</v>
      </c>
      <c r="AA181" s="2089">
        <f t="shared" si="241"/>
        <v>0.43515358361774742</v>
      </c>
      <c r="AB181" s="1328">
        <f t="shared" si="241"/>
        <v>0.44897959183673469</v>
      </c>
      <c r="AC181" s="2000">
        <v>0.45200000000000001</v>
      </c>
      <c r="AD181" s="1328">
        <f>AD105/AD5</f>
        <v>0.47297297297297297</v>
      </c>
      <c r="AE181" s="1328">
        <v>0.44400000000000001</v>
      </c>
      <c r="AF181" s="1328">
        <f>AF105/AF5</f>
        <v>0.48979591836734693</v>
      </c>
      <c r="AG181" s="1328">
        <v>0.46400000000000002</v>
      </c>
      <c r="AH181" s="1328">
        <f>AH105/AH5</f>
        <v>0.47368421052631576</v>
      </c>
      <c r="AI181" s="1328"/>
      <c r="AJ181" s="2089">
        <f t="shared" ref="AJ181:BH181" si="242">AJ105/AJ5</f>
        <v>0.4713804713804714</v>
      </c>
      <c r="AK181" s="1328">
        <f t="shared" si="242"/>
        <v>0.45390070921985815</v>
      </c>
      <c r="AL181" s="1328">
        <f t="shared" si="242"/>
        <v>0.44354838709677419</v>
      </c>
      <c r="AM181" s="1328">
        <f t="shared" si="242"/>
        <v>0.44525547445255476</v>
      </c>
      <c r="AN181" s="1328">
        <f t="shared" si="242"/>
        <v>0.44666666666666666</v>
      </c>
      <c r="AO181" s="2089">
        <f t="shared" si="242"/>
        <v>0.44746376811594202</v>
      </c>
      <c r="AP181" s="1328">
        <f t="shared" si="242"/>
        <v>0.4589041095890411</v>
      </c>
      <c r="AQ181" s="1328">
        <f t="shared" si="242"/>
        <v>0.45270270270270269</v>
      </c>
      <c r="AR181" s="1328">
        <f t="shared" si="242"/>
        <v>0.43835616438356162</v>
      </c>
      <c r="AS181" s="1328">
        <f t="shared" si="242"/>
        <v>0.40939597315436244</v>
      </c>
      <c r="AT181" s="2089">
        <f t="shared" si="242"/>
        <v>0.43972835314091679</v>
      </c>
      <c r="AU181" s="1328">
        <f t="shared" si="242"/>
        <v>0.45070422535211269</v>
      </c>
      <c r="AV181" s="1328">
        <f t="shared" si="242"/>
        <v>0.44997593343876774</v>
      </c>
      <c r="AW181" s="1328">
        <f t="shared" si="242"/>
        <v>0.44109589041095892</v>
      </c>
      <c r="AX181" s="1328">
        <f t="shared" si="242"/>
        <v>0.44736842105263158</v>
      </c>
      <c r="AY181" s="2089">
        <f t="shared" si="242"/>
        <v>0.44726098765010336</v>
      </c>
      <c r="AZ181" s="1328">
        <f t="shared" si="242"/>
        <v>0.44</v>
      </c>
      <c r="BA181" s="1328">
        <f t="shared" si="242"/>
        <v>0.44736842105263158</v>
      </c>
      <c r="BB181" s="1328">
        <f t="shared" si="242"/>
        <v>0.44944155844155842</v>
      </c>
      <c r="BC181" s="1328">
        <f t="shared" si="242"/>
        <v>0.46359532353281629</v>
      </c>
      <c r="BD181" s="2089">
        <f t="shared" si="242"/>
        <v>0.45020948418811385</v>
      </c>
      <c r="BE181" s="1328">
        <f t="shared" si="242"/>
        <v>0.47483725490196077</v>
      </c>
      <c r="BF181" s="1328">
        <f t="shared" si="242"/>
        <v>0.47424350649350649</v>
      </c>
      <c r="BG181" s="1328">
        <f t="shared" si="242"/>
        <v>0.51426467941691345</v>
      </c>
      <c r="BH181" s="1328">
        <f t="shared" si="242"/>
        <v>0.4923626540972178</v>
      </c>
      <c r="BI181" s="2089"/>
      <c r="BJ181" s="1328">
        <f t="shared" ref="BJ181:BM181" si="243">BJ105/BJ5</f>
        <v>0.49408623003377455</v>
      </c>
      <c r="BK181" s="1328">
        <f t="shared" si="243"/>
        <v>0.49380095355815273</v>
      </c>
      <c r="BL181" s="1328">
        <f t="shared" si="243"/>
        <v>0.48843489302506171</v>
      </c>
      <c r="BM181" s="1328">
        <f t="shared" si="243"/>
        <v>0.48946887292332514</v>
      </c>
      <c r="BN181" s="2089"/>
      <c r="BO181" s="1328"/>
      <c r="BP181" s="1328"/>
      <c r="BQ181" s="1293"/>
      <c r="BR181" s="1293"/>
      <c r="BS181" s="1293"/>
      <c r="BT181" s="1293"/>
      <c r="BU181" s="1293"/>
      <c r="BV181" s="1293"/>
      <c r="BW181" s="1293"/>
      <c r="BX181" s="1293"/>
      <c r="BY181" s="1293"/>
      <c r="BZ181" s="1293"/>
      <c r="CA181" s="1293"/>
      <c r="CB181" s="1293"/>
      <c r="CC181" s="1293"/>
      <c r="CD181" s="1293"/>
      <c r="CE181" s="1293"/>
      <c r="CF181" s="1293"/>
      <c r="CG181" s="1293"/>
      <c r="CH181" s="1293"/>
      <c r="CI181" s="1293"/>
      <c r="CJ181" s="1293"/>
      <c r="CK181" s="1293"/>
      <c r="CL181" s="1293"/>
      <c r="CM181" s="1293"/>
      <c r="CN181" s="1293"/>
      <c r="CO181" s="1293"/>
      <c r="CP181" s="1293"/>
      <c r="CQ181" s="1293"/>
      <c r="CR181" s="1293"/>
      <c r="CS181" s="1293"/>
      <c r="CT181" s="1293"/>
      <c r="CU181" s="1293"/>
      <c r="CV181" s="1293"/>
      <c r="CW181" s="1293"/>
      <c r="CX181" s="1293"/>
      <c r="CY181" s="2129">
        <v>0.43277436921978057</v>
      </c>
      <c r="CZ181" s="2140">
        <v>0.45</v>
      </c>
      <c r="DA181" s="2138">
        <v>0.48</v>
      </c>
      <c r="DB181" s="2139">
        <v>0.47499999999999998</v>
      </c>
      <c r="DC181" s="1293"/>
      <c r="DD181" s="1293"/>
      <c r="DE181" s="1293"/>
      <c r="DF181" s="1293"/>
      <c r="DG181" s="1293"/>
      <c r="DH181" s="1293"/>
      <c r="DI181" s="1293"/>
      <c r="DJ181" s="1293"/>
      <c r="DK181" s="1293"/>
      <c r="DL181" s="1293"/>
    </row>
    <row r="182" spans="1:116" ht="15.75">
      <c r="A182" s="1293"/>
      <c r="B182" s="1293" t="str">
        <f t="shared" si="233"/>
        <v>Panama</v>
      </c>
      <c r="C182" s="1328"/>
      <c r="D182" s="1328"/>
      <c r="E182" s="1328"/>
      <c r="F182" s="1328"/>
      <c r="G182" s="2089"/>
      <c r="H182" s="1328"/>
      <c r="I182" s="1328"/>
      <c r="J182" s="1328"/>
      <c r="K182" s="1328"/>
      <c r="L182" s="2089"/>
      <c r="M182" s="1328"/>
      <c r="N182" s="1328"/>
      <c r="O182" s="1328"/>
      <c r="P182" s="1328"/>
      <c r="Q182" s="2089"/>
      <c r="R182" s="1328"/>
      <c r="S182" s="1328"/>
      <c r="T182" s="1328"/>
      <c r="U182" s="1328"/>
      <c r="V182" s="2089"/>
      <c r="W182" s="1328"/>
      <c r="X182" s="1328"/>
      <c r="Y182" s="1328"/>
      <c r="Z182" s="1328">
        <f>Z106/Z6</f>
        <v>0.39548022598870058</v>
      </c>
      <c r="AA182" s="2089"/>
      <c r="AB182" s="1328">
        <f>AB106/AB6</f>
        <v>0.44</v>
      </c>
      <c r="AC182" s="2000">
        <v>0.42499999999999999</v>
      </c>
      <c r="AD182" s="1328">
        <f>AD106/AD6</f>
        <v>0.47474747474747475</v>
      </c>
      <c r="AE182" s="1328">
        <v>0.45100000000000001</v>
      </c>
      <c r="AF182" s="1328">
        <f>AF106/AF6</f>
        <v>0.5</v>
      </c>
      <c r="AG182" s="1328">
        <f>AG106/AG6</f>
        <v>0.46938775510204084</v>
      </c>
      <c r="AH182" s="1328">
        <f>AH106/AH6</f>
        <v>0.46020408163265303</v>
      </c>
      <c r="AI182" s="1328"/>
      <c r="AJ182" s="2089">
        <f t="shared" ref="AJ182:BH182" si="244">AJ106/AJ6</f>
        <v>0.46860759493670884</v>
      </c>
      <c r="AK182" s="1328">
        <f t="shared" si="244"/>
        <v>0.42268041237113402</v>
      </c>
      <c r="AL182" s="1328">
        <f t="shared" si="244"/>
        <v>0.39325842696629215</v>
      </c>
      <c r="AM182" s="1328">
        <f t="shared" si="244"/>
        <v>0.40425531914893614</v>
      </c>
      <c r="AN182" s="1328">
        <f t="shared" si="244"/>
        <v>0.39175257731958762</v>
      </c>
      <c r="AO182" s="2089">
        <f t="shared" si="244"/>
        <v>0.40318302387267907</v>
      </c>
      <c r="AP182" s="1328">
        <f t="shared" si="244"/>
        <v>0.41237113402061853</v>
      </c>
      <c r="AQ182" s="1328">
        <f t="shared" si="244"/>
        <v>0.39805825242718446</v>
      </c>
      <c r="AR182" s="1328">
        <f t="shared" si="244"/>
        <v>0.44660194174757284</v>
      </c>
      <c r="AS182" s="1328">
        <f t="shared" si="244"/>
        <v>0.47272727272727272</v>
      </c>
      <c r="AT182" s="2089">
        <f t="shared" si="244"/>
        <v>0.43341404358353514</v>
      </c>
      <c r="AU182" s="1328">
        <f t="shared" si="244"/>
        <v>0.45155401176379478</v>
      </c>
      <c r="AV182" s="1328">
        <f t="shared" si="244"/>
        <v>0.47419359018899171</v>
      </c>
      <c r="AW182" s="1328">
        <f t="shared" si="244"/>
        <v>0.45194341120783632</v>
      </c>
      <c r="AX182" s="1328">
        <f t="shared" si="244"/>
        <v>0.45520968225129976</v>
      </c>
      <c r="AY182" s="2089">
        <f t="shared" si="244"/>
        <v>0.4582160371236938</v>
      </c>
      <c r="AZ182" s="1328">
        <f t="shared" si="244"/>
        <v>0.42593981808812775</v>
      </c>
      <c r="BA182" s="1328">
        <f t="shared" si="244"/>
        <v>0.4309325341847231</v>
      </c>
      <c r="BB182" s="1328">
        <f t="shared" si="244"/>
        <v>0.42897839774651425</v>
      </c>
      <c r="BC182" s="1328">
        <f t="shared" si="244"/>
        <v>0.40858590988651539</v>
      </c>
      <c r="BD182" s="2089">
        <f t="shared" si="244"/>
        <v>0.4229567730339216</v>
      </c>
      <c r="BE182" s="1328">
        <f t="shared" si="244"/>
        <v>0.42794027900740067</v>
      </c>
      <c r="BF182" s="1328">
        <f t="shared" si="244"/>
        <v>0.4781469964965338</v>
      </c>
      <c r="BG182" s="1328">
        <f t="shared" si="244"/>
        <v>0.47406496577641488</v>
      </c>
      <c r="BH182" s="1328">
        <f t="shared" si="244"/>
        <v>0.49978419940750413</v>
      </c>
      <c r="BI182" s="2089">
        <f>BI106/BI6</f>
        <v>0.46843960447249472</v>
      </c>
      <c r="BJ182" s="1328">
        <f t="shared" ref="BJ182:BM182" si="245">BJ106/BJ6</f>
        <v>0.49016510620207554</v>
      </c>
      <c r="BK182" s="1328">
        <f t="shared" si="245"/>
        <v>0.47946849458123719</v>
      </c>
      <c r="BL182" s="1328">
        <f t="shared" si="245"/>
        <v>0.47929802428144619</v>
      </c>
      <c r="BM182" s="1328">
        <f t="shared" si="245"/>
        <v>0.43573405661681286</v>
      </c>
      <c r="BN182" s="2089">
        <f>BN106/BN6</f>
        <v>0.46999999999999992</v>
      </c>
      <c r="BO182" s="1328"/>
      <c r="BP182" s="1328"/>
      <c r="BQ182" s="1293"/>
      <c r="BR182" s="1293"/>
      <c r="BS182" s="1293"/>
      <c r="BT182" s="1293"/>
      <c r="BU182" s="1293"/>
      <c r="BV182" s="1293"/>
      <c r="BW182" s="1293"/>
      <c r="BX182" s="1293"/>
      <c r="BY182" s="1293"/>
      <c r="BZ182" s="1293"/>
      <c r="CA182" s="1293"/>
      <c r="CB182" s="1293"/>
      <c r="CC182" s="1293"/>
      <c r="CD182" s="1293"/>
      <c r="CE182" s="1293"/>
      <c r="CF182" s="1293"/>
      <c r="CG182" s="1293"/>
      <c r="CH182" s="1293"/>
      <c r="CI182" s="1293"/>
      <c r="CJ182" s="1293"/>
      <c r="CK182" s="1293"/>
      <c r="CL182" s="1293"/>
      <c r="CM182" s="1293"/>
      <c r="CN182" s="1293"/>
      <c r="CO182" s="1293"/>
      <c r="CP182" s="1293"/>
      <c r="CQ182" s="1293"/>
      <c r="CR182" s="1293"/>
      <c r="CS182" s="1293"/>
      <c r="CT182" s="1293"/>
      <c r="CU182" s="1293"/>
      <c r="CV182" s="1293"/>
      <c r="CW182" s="1293"/>
      <c r="CX182" s="1293"/>
      <c r="CY182" s="2101">
        <v>0.41273504051187637</v>
      </c>
      <c r="CZ182" s="2137">
        <v>0.41</v>
      </c>
      <c r="DA182" s="2138">
        <v>0.4</v>
      </c>
      <c r="DB182" s="2139">
        <v>0.44</v>
      </c>
      <c r="DC182" s="1293"/>
      <c r="DD182" s="1293"/>
      <c r="DE182" s="1293"/>
      <c r="DF182" s="1293"/>
      <c r="DG182" s="1293"/>
      <c r="DH182" s="1293"/>
      <c r="DI182" s="1293"/>
      <c r="DJ182" s="1293"/>
      <c r="DK182" s="1293"/>
      <c r="DL182" s="1293"/>
    </row>
    <row r="183" spans="1:116" ht="15.75">
      <c r="A183" s="1293"/>
      <c r="B183" s="1293" t="str">
        <f t="shared" si="233"/>
        <v>Costa Rica</v>
      </c>
      <c r="C183" s="1328"/>
      <c r="D183" s="1328"/>
      <c r="E183" s="1328"/>
      <c r="F183" s="1328"/>
      <c r="G183" s="2089"/>
      <c r="H183" s="1328"/>
      <c r="I183" s="1328"/>
      <c r="J183" s="1328"/>
      <c r="K183" s="1328"/>
      <c r="L183" s="2089"/>
      <c r="M183" s="1328"/>
      <c r="N183" s="1328"/>
      <c r="O183" s="1328"/>
      <c r="P183" s="1328"/>
      <c r="Q183" s="2089"/>
      <c r="R183" s="1328"/>
      <c r="S183" s="1328"/>
      <c r="T183" s="1328"/>
      <c r="U183" s="1328"/>
      <c r="V183" s="2089"/>
      <c r="W183" s="1328"/>
      <c r="X183" s="1328"/>
      <c r="Y183" s="1328"/>
      <c r="Z183" s="1328"/>
      <c r="AA183" s="2089"/>
      <c r="AB183" s="1328"/>
      <c r="AC183" s="2000"/>
      <c r="AD183" s="1328"/>
      <c r="AE183" s="1328"/>
      <c r="AF183" s="1328"/>
      <c r="AG183" s="1328"/>
      <c r="AH183" s="1328"/>
      <c r="AI183" s="1328"/>
      <c r="AJ183" s="2089"/>
      <c r="AK183" s="1328"/>
      <c r="AL183" s="1328"/>
      <c r="AM183" s="1328"/>
      <c r="AN183" s="1328"/>
      <c r="AO183" s="2089"/>
      <c r="AP183" s="1328"/>
      <c r="AQ183" s="1328"/>
      <c r="AR183" s="1328"/>
      <c r="AS183" s="1328"/>
      <c r="AT183" s="2089"/>
      <c r="AU183" s="1328">
        <f t="shared" ref="AU183:BH183" si="246">AU107/AU7</f>
        <v>0.32907933370156112</v>
      </c>
      <c r="AV183" s="1328">
        <f t="shared" si="246"/>
        <v>0.32845793194940681</v>
      </c>
      <c r="AW183" s="1328">
        <f t="shared" si="246"/>
        <v>0.31583911168581585</v>
      </c>
      <c r="AX183" s="1328">
        <f t="shared" si="246"/>
        <v>0.32980671414038654</v>
      </c>
      <c r="AY183" s="2089">
        <f t="shared" si="246"/>
        <v>0.32587866851961755</v>
      </c>
      <c r="AZ183" s="1328">
        <f t="shared" si="246"/>
        <v>0.33353641921038157</v>
      </c>
      <c r="BA183" s="1328">
        <f t="shared" si="246"/>
        <v>0.33337771536380284</v>
      </c>
      <c r="BB183" s="1328">
        <f t="shared" si="246"/>
        <v>0.36567472385543615</v>
      </c>
      <c r="BC183" s="1328">
        <f t="shared" si="246"/>
        <v>0.4102867202581319</v>
      </c>
      <c r="BD183" s="2089">
        <f t="shared" si="246"/>
        <v>0.36075880902812707</v>
      </c>
      <c r="BE183" s="1328">
        <f t="shared" si="246"/>
        <v>0.39062342404131284</v>
      </c>
      <c r="BF183" s="1328">
        <f t="shared" si="246"/>
        <v>0.3485925816394429</v>
      </c>
      <c r="BG183" s="1328">
        <f t="shared" si="246"/>
        <v>0.37167038464138441</v>
      </c>
      <c r="BH183" s="1328">
        <f t="shared" si="246"/>
        <v>0.19420333694644473</v>
      </c>
      <c r="BI183" s="2089">
        <f>BI107/BI7</f>
        <v>0.32885329075632469</v>
      </c>
      <c r="BJ183" s="1328">
        <f t="shared" ref="BJ183:BM183" si="247">BJ107/BJ7</f>
        <v>0.34427358623949827</v>
      </c>
      <c r="BK183" s="1328">
        <f t="shared" si="247"/>
        <v>0.34560666718192784</v>
      </c>
      <c r="BL183" s="1328">
        <f t="shared" si="247"/>
        <v>0.34831886720021471</v>
      </c>
      <c r="BM183" s="1328">
        <f t="shared" si="247"/>
        <v>0.28130482702387427</v>
      </c>
      <c r="BN183" s="2089">
        <f>BN107/BN7</f>
        <v>0.33</v>
      </c>
      <c r="BO183" s="1328"/>
      <c r="BP183" s="1328"/>
      <c r="BQ183" s="1293"/>
      <c r="BR183" s="1293"/>
      <c r="BS183" s="1293"/>
      <c r="BT183" s="1293"/>
      <c r="BU183" s="1293"/>
      <c r="BV183" s="1293"/>
      <c r="BW183" s="1293"/>
      <c r="BX183" s="1293"/>
      <c r="BY183" s="1293"/>
      <c r="BZ183" s="1293"/>
      <c r="CA183" s="1293"/>
      <c r="CB183" s="1293"/>
      <c r="CC183" s="1293"/>
      <c r="CD183" s="1293"/>
      <c r="CE183" s="1293"/>
      <c r="CF183" s="1293"/>
      <c r="CG183" s="1293"/>
      <c r="CH183" s="1293"/>
      <c r="CI183" s="1293"/>
      <c r="CJ183" s="1293"/>
      <c r="CK183" s="1293"/>
      <c r="CL183" s="1293"/>
      <c r="CM183" s="1293"/>
      <c r="CN183" s="1293"/>
      <c r="CO183" s="1293"/>
      <c r="CP183" s="1293"/>
      <c r="CQ183" s="1293"/>
      <c r="CR183" s="1293"/>
      <c r="CS183" s="1293"/>
      <c r="CT183" s="1293"/>
      <c r="CU183" s="1293"/>
      <c r="CV183" s="1293"/>
      <c r="CW183" s="1293"/>
      <c r="CX183" s="1293"/>
      <c r="CY183" s="2101"/>
      <c r="CZ183" s="2137"/>
      <c r="DA183" s="2138"/>
      <c r="DB183" s="2139"/>
      <c r="DC183" s="1293"/>
      <c r="DD183" s="1293"/>
      <c r="DE183" s="1293"/>
      <c r="DF183" s="1293"/>
      <c r="DG183" s="1293"/>
      <c r="DH183" s="1293"/>
      <c r="DI183" s="1293"/>
      <c r="DJ183" s="1293"/>
      <c r="DK183" s="1293"/>
      <c r="DL183" s="1293"/>
    </row>
    <row r="184" spans="1:116" ht="15.75">
      <c r="A184" s="1293"/>
      <c r="B184" s="1293" t="str">
        <f t="shared" si="233"/>
        <v>Nicaragua</v>
      </c>
      <c r="C184" s="1328"/>
      <c r="D184" s="1328"/>
      <c r="E184" s="1328"/>
      <c r="F184" s="1328"/>
      <c r="G184" s="2089"/>
      <c r="H184" s="1328"/>
      <c r="I184" s="1328"/>
      <c r="J184" s="1328"/>
      <c r="K184" s="1328"/>
      <c r="L184" s="2089"/>
      <c r="M184" s="1328"/>
      <c r="N184" s="1328"/>
      <c r="O184" s="1328"/>
      <c r="P184" s="1328"/>
      <c r="Q184" s="2089"/>
      <c r="R184" s="1328"/>
      <c r="S184" s="1328"/>
      <c r="T184" s="1328"/>
      <c r="U184" s="1328"/>
      <c r="V184" s="2089"/>
      <c r="W184" s="1328"/>
      <c r="X184" s="1328"/>
      <c r="Y184" s="1328"/>
      <c r="Z184" s="1328"/>
      <c r="AA184" s="2089"/>
      <c r="AB184" s="1328"/>
      <c r="AC184" s="2000"/>
      <c r="AD184" s="1328"/>
      <c r="AE184" s="1328"/>
      <c r="AF184" s="1328"/>
      <c r="AG184" s="1328"/>
      <c r="AH184" s="1328"/>
      <c r="AI184" s="1328"/>
      <c r="AJ184" s="2089"/>
      <c r="AK184" s="1328"/>
      <c r="AL184" s="1328"/>
      <c r="AM184" s="1328"/>
      <c r="AN184" s="1328"/>
      <c r="AO184" s="2089"/>
      <c r="AP184" s="1328"/>
      <c r="AQ184" s="1328"/>
      <c r="AR184" s="1328"/>
      <c r="AS184" s="1328"/>
      <c r="AT184" s="2089"/>
      <c r="AU184" s="1328">
        <f t="shared" ref="AU184:BH184" si="248">AU108/AU8</f>
        <v>0.42830787837239154</v>
      </c>
      <c r="AV184" s="1328">
        <f t="shared" si="248"/>
        <v>0.44414075735329711</v>
      </c>
      <c r="AW184" s="1328">
        <f t="shared" si="248"/>
        <v>0.45416673500516641</v>
      </c>
      <c r="AX184" s="1328">
        <f t="shared" si="248"/>
        <v>0.43927063896373747</v>
      </c>
      <c r="AY184" s="2089">
        <f t="shared" si="248"/>
        <v>0.4414198754938819</v>
      </c>
      <c r="AZ184" s="1328">
        <f t="shared" si="248"/>
        <v>0.44859516661829796</v>
      </c>
      <c r="BA184" s="1328">
        <f t="shared" si="248"/>
        <v>0.44143850821370428</v>
      </c>
      <c r="BB184" s="1328">
        <f t="shared" si="248"/>
        <v>0.44484691012782263</v>
      </c>
      <c r="BC184" s="1328">
        <f t="shared" si="248"/>
        <v>0.45860608035755857</v>
      </c>
      <c r="BD184" s="2089">
        <f t="shared" si="248"/>
        <v>0.44838895568193354</v>
      </c>
      <c r="BE184" s="1328">
        <f t="shared" si="248"/>
        <v>0.47168746863751193</v>
      </c>
      <c r="BF184" s="1328">
        <f t="shared" si="248"/>
        <v>0.4623196232414869</v>
      </c>
      <c r="BG184" s="1328">
        <f t="shared" si="248"/>
        <v>0.47468286751316796</v>
      </c>
      <c r="BH184" s="1328">
        <f t="shared" si="248"/>
        <v>0.4704199768875425</v>
      </c>
      <c r="BI184" s="2089">
        <f>BI108/BI8</f>
        <v>0.46978124257930454</v>
      </c>
      <c r="BJ184" s="1328">
        <f t="shared" ref="BJ184:BM184" si="249">BJ108/BJ8</f>
        <v>0.48018670990615769</v>
      </c>
      <c r="BK184" s="1328">
        <f t="shared" si="249"/>
        <v>0.46840333009006896</v>
      </c>
      <c r="BL184" s="1328">
        <f t="shared" si="249"/>
        <v>0.46500171310982835</v>
      </c>
      <c r="BM184" s="1328">
        <f t="shared" si="249"/>
        <v>0.46678790036357348</v>
      </c>
      <c r="BN184" s="2089">
        <f>BN108/BN8</f>
        <v>0.46999999999999992</v>
      </c>
      <c r="BO184" s="1328"/>
      <c r="BP184" s="1328"/>
      <c r="BQ184" s="1293"/>
      <c r="BR184" s="1293"/>
      <c r="BS184" s="1293"/>
      <c r="BT184" s="1293"/>
      <c r="BU184" s="1293"/>
      <c r="BV184" s="1293"/>
      <c r="BW184" s="1293"/>
      <c r="BX184" s="1293"/>
      <c r="BY184" s="1293"/>
      <c r="BZ184" s="1293"/>
      <c r="CA184" s="1293"/>
      <c r="CB184" s="1293"/>
      <c r="CC184" s="1293"/>
      <c r="CD184" s="1293"/>
      <c r="CE184" s="1293"/>
      <c r="CF184" s="1293"/>
      <c r="CG184" s="1293"/>
      <c r="CH184" s="1293"/>
      <c r="CI184" s="1293"/>
      <c r="CJ184" s="1293"/>
      <c r="CK184" s="1293"/>
      <c r="CL184" s="1293"/>
      <c r="CM184" s="1293"/>
      <c r="CN184" s="1293"/>
      <c r="CO184" s="1293"/>
      <c r="CP184" s="1293"/>
      <c r="CQ184" s="1293"/>
      <c r="CR184" s="1293"/>
      <c r="CS184" s="1293"/>
      <c r="CT184" s="1293"/>
      <c r="CU184" s="1293"/>
      <c r="CV184" s="1293"/>
      <c r="CW184" s="1293"/>
      <c r="CX184" s="1293"/>
      <c r="CY184" s="2101"/>
      <c r="CZ184" s="2137"/>
      <c r="DA184" s="2138"/>
      <c r="DB184" s="2139"/>
      <c r="DC184" s="1293"/>
      <c r="DD184" s="1293"/>
      <c r="DE184" s="1293"/>
      <c r="DF184" s="1293"/>
      <c r="DG184" s="1293"/>
      <c r="DH184" s="1293"/>
      <c r="DI184" s="1293"/>
      <c r="DJ184" s="1293"/>
      <c r="DK184" s="1293"/>
      <c r="DL184" s="1293"/>
    </row>
    <row r="185" spans="1:116" ht="15.75" hidden="1" outlineLevel="1">
      <c r="A185" s="1293"/>
      <c r="B185" s="1982" t="str">
        <f t="shared" si="233"/>
        <v>Costa Rica/old Nicaragua</v>
      </c>
      <c r="C185" s="1328">
        <f t="shared" ref="C185:AH185" si="250">C109/C9</f>
        <v>0.54686421572286137</v>
      </c>
      <c r="D185" s="1328">
        <f t="shared" si="250"/>
        <v>0.55347398852163021</v>
      </c>
      <c r="E185" s="1328">
        <f t="shared" si="250"/>
        <v>0.3935775845063762</v>
      </c>
      <c r="F185" s="1328">
        <f t="shared" si="250"/>
        <v>0.4913007399773226</v>
      </c>
      <c r="G185" s="1293">
        <f t="shared" si="250"/>
        <v>0.49559444925576623</v>
      </c>
      <c r="H185" s="1328">
        <f t="shared" si="250"/>
        <v>0.44581415410634373</v>
      </c>
      <c r="I185" s="1328">
        <f t="shared" si="250"/>
        <v>0.39495339720430594</v>
      </c>
      <c r="J185" s="1328">
        <f t="shared" si="250"/>
        <v>0.38126345107250537</v>
      </c>
      <c r="K185" s="1328">
        <f t="shared" si="250"/>
        <v>0.44345476308049603</v>
      </c>
      <c r="L185" s="1293">
        <f t="shared" si="250"/>
        <v>0.41666418632342717</v>
      </c>
      <c r="M185" s="1328">
        <f t="shared" si="250"/>
        <v>0.40516047916028131</v>
      </c>
      <c r="N185" s="1328">
        <f t="shared" si="250"/>
        <v>0.38997067757012815</v>
      </c>
      <c r="O185" s="1328">
        <f t="shared" si="250"/>
        <v>0.41883376079636037</v>
      </c>
      <c r="P185" s="1328">
        <f t="shared" si="250"/>
        <v>0.42105263157894735</v>
      </c>
      <c r="Q185" s="1293">
        <f t="shared" si="250"/>
        <v>0.40876029546694004</v>
      </c>
      <c r="R185" s="1328">
        <f t="shared" si="250"/>
        <v>0.42105263157894735</v>
      </c>
      <c r="S185" s="1328">
        <f t="shared" si="250"/>
        <v>0.36842105263157893</v>
      </c>
      <c r="T185" s="1328">
        <f t="shared" si="250"/>
        <v>0.42105263157894735</v>
      </c>
      <c r="U185" s="1328">
        <f t="shared" si="250"/>
        <v>0.42857142857142855</v>
      </c>
      <c r="V185" s="1293">
        <f t="shared" si="250"/>
        <v>0.40939597315436244</v>
      </c>
      <c r="W185" s="1328">
        <f t="shared" si="250"/>
        <v>0.38400000000000001</v>
      </c>
      <c r="X185" s="1328">
        <f t="shared" si="250"/>
        <v>0.35000000000000003</v>
      </c>
      <c r="Y185" s="1328">
        <f t="shared" si="250"/>
        <v>0.42637837837837839</v>
      </c>
      <c r="Z185" s="1328">
        <f t="shared" si="250"/>
        <v>0.46831955922865015</v>
      </c>
      <c r="AA185" s="2089">
        <f t="shared" si="250"/>
        <v>0.4061219022103148</v>
      </c>
      <c r="AB185" s="1328">
        <f t="shared" si="250"/>
        <v>0.4114864864864865</v>
      </c>
      <c r="AC185" s="2000">
        <f t="shared" si="250"/>
        <v>0.39189189189189189</v>
      </c>
      <c r="AD185" s="1328">
        <f t="shared" si="250"/>
        <v>0.41363636363636364</v>
      </c>
      <c r="AE185" s="1328">
        <f t="shared" si="250"/>
        <v>0.39393939393939392</v>
      </c>
      <c r="AF185" s="1328">
        <f t="shared" si="250"/>
        <v>0.37302631578947371</v>
      </c>
      <c r="AG185" s="1328">
        <f t="shared" si="250"/>
        <v>0.35526315789473684</v>
      </c>
      <c r="AH185" s="1328">
        <f t="shared" si="250"/>
        <v>0.39375000000000004</v>
      </c>
      <c r="AI185" s="1328"/>
      <c r="AJ185" s="2089">
        <f>AJ109/AJ9</f>
        <v>0.39739583333333328</v>
      </c>
      <c r="AK185" s="1328">
        <f>AK109/AK9</f>
        <v>0.42222222222222222</v>
      </c>
      <c r="AL185" s="1328">
        <f>AL109/AL9</f>
        <v>0.41463414634146339</v>
      </c>
      <c r="AM185" s="1328">
        <f>AM109/AM9</f>
        <v>0.3783783783783784</v>
      </c>
      <c r="AN185" s="1328">
        <f>AN109/AN9</f>
        <v>0.3</v>
      </c>
      <c r="AO185" s="2089">
        <v>0.41</v>
      </c>
      <c r="AP185" s="1328">
        <f t="shared" ref="AP185:AT186" si="251">AP109/AP9</f>
        <v>0.45238095238095238</v>
      </c>
      <c r="AQ185" s="1328">
        <f t="shared" si="251"/>
        <v>0.46666666666666667</v>
      </c>
      <c r="AR185" s="1328">
        <f t="shared" si="251"/>
        <v>0.42222222222222222</v>
      </c>
      <c r="AS185" s="1328">
        <f t="shared" si="251"/>
        <v>0.45833333333333331</v>
      </c>
      <c r="AT185" s="2089">
        <f t="shared" si="251"/>
        <v>0.45</v>
      </c>
      <c r="AU185" s="1328">
        <f t="shared" ref="AU185:BH185" si="252">AU109/AU9</f>
        <v>0.41521739130434787</v>
      </c>
      <c r="AV185" s="1328">
        <f t="shared" si="252"/>
        <v>0.46666666666666667</v>
      </c>
      <c r="AW185" s="1328">
        <f t="shared" si="252"/>
        <v>0.46666666666666667</v>
      </c>
      <c r="AX185" s="1328">
        <f t="shared" si="252"/>
        <v>0.44897959183673469</v>
      </c>
      <c r="AY185" s="2089">
        <f t="shared" si="252"/>
        <v>0.44918918918918915</v>
      </c>
      <c r="AZ185" s="1328">
        <f t="shared" si="252"/>
        <v>0.44230769230769229</v>
      </c>
      <c r="BA185" s="1328">
        <f t="shared" si="252"/>
        <v>0.42592592592592593</v>
      </c>
      <c r="BB185" s="1328">
        <f t="shared" si="252"/>
        <v>0.46296296296296297</v>
      </c>
      <c r="BC185" s="1328">
        <f t="shared" si="252"/>
        <v>0.51477004771718737</v>
      </c>
      <c r="BD185" s="2089">
        <f t="shared" si="252"/>
        <v>0.46163593769726785</v>
      </c>
      <c r="BE185" s="1328">
        <f t="shared" si="252"/>
        <v>0.51851851851851849</v>
      </c>
      <c r="BF185" s="1328">
        <f t="shared" si="252"/>
        <v>0.51851851851851849</v>
      </c>
      <c r="BG185" s="1328">
        <f t="shared" si="252"/>
        <v>0.51851851851851849</v>
      </c>
      <c r="BH185" s="1328">
        <f t="shared" ca="1" si="252"/>
        <v>0.19791886172842976</v>
      </c>
      <c r="BI185" s="2089">
        <f ca="1">BI109/BI9</f>
        <v>0.41761990100988688</v>
      </c>
      <c r="BJ185" s="1328" t="e">
        <f t="shared" ref="BJ185:BM185" si="253">BJ109/BJ9</f>
        <v>#DIV/0!</v>
      </c>
      <c r="BK185" s="1328" t="e">
        <f t="shared" si="253"/>
        <v>#DIV/0!</v>
      </c>
      <c r="BL185" s="1328" t="e">
        <f t="shared" si="253"/>
        <v>#DIV/0!</v>
      </c>
      <c r="BM185" s="1328" t="e">
        <f t="shared" si="253"/>
        <v>#DIV/0!</v>
      </c>
      <c r="BN185" s="2089" t="e">
        <f ca="1">BN109/BN9</f>
        <v>#DIV/0!</v>
      </c>
      <c r="BO185" s="1328"/>
      <c r="BP185" s="1328"/>
      <c r="BQ185" s="1293"/>
      <c r="BR185" s="1293"/>
      <c r="BS185" s="1293"/>
      <c r="BT185" s="1293"/>
      <c r="BU185" s="1293"/>
      <c r="BV185" s="1293"/>
      <c r="BW185" s="1293"/>
      <c r="BX185" s="1293"/>
      <c r="BY185" s="1293"/>
      <c r="BZ185" s="1293"/>
      <c r="CA185" s="1293"/>
      <c r="CB185" s="1293"/>
      <c r="CC185" s="1293"/>
      <c r="CD185" s="1293"/>
      <c r="CE185" s="1293"/>
      <c r="CF185" s="1293"/>
      <c r="CG185" s="1293"/>
      <c r="CH185" s="1293"/>
      <c r="CI185" s="1293"/>
      <c r="CJ185" s="1293"/>
      <c r="CK185" s="1293"/>
      <c r="CL185" s="1293"/>
      <c r="CM185" s="1293"/>
      <c r="CN185" s="1293"/>
      <c r="CO185" s="1293"/>
      <c r="CP185" s="1293"/>
      <c r="CQ185" s="1293"/>
      <c r="CR185" s="1293"/>
      <c r="CS185" s="1293"/>
      <c r="CT185" s="1293"/>
      <c r="CU185" s="1293"/>
      <c r="CV185" s="1293"/>
      <c r="CW185" s="1293"/>
      <c r="CX185" s="1293"/>
      <c r="CY185" s="2101">
        <v>0.42792281771228929</v>
      </c>
      <c r="CZ185" s="2137">
        <v>0.43</v>
      </c>
      <c r="DA185" s="2138">
        <v>0.48</v>
      </c>
      <c r="DB185" s="2139">
        <v>0.5</v>
      </c>
      <c r="DC185" s="1293"/>
      <c r="DD185" s="1293"/>
      <c r="DE185" s="1293"/>
      <c r="DF185" s="1293"/>
      <c r="DG185" s="1293"/>
      <c r="DH185" s="1293"/>
      <c r="DI185" s="1293"/>
      <c r="DJ185" s="1293"/>
      <c r="DK185" s="1293"/>
      <c r="DL185" s="1293"/>
    </row>
    <row r="186" spans="1:116" ht="15.75" hidden="1" outlineLevel="1">
      <c r="A186" s="1293"/>
      <c r="B186" s="1982" t="str">
        <f t="shared" si="233"/>
        <v>Panama wireless</v>
      </c>
      <c r="C186" s="1328"/>
      <c r="D186" s="1328"/>
      <c r="E186" s="1328"/>
      <c r="F186" s="1328"/>
      <c r="G186" s="1293"/>
      <c r="H186" s="1328"/>
      <c r="I186" s="1328"/>
      <c r="J186" s="1328"/>
      <c r="K186" s="1328"/>
      <c r="L186" s="1293"/>
      <c r="M186" s="1328"/>
      <c r="N186" s="1328"/>
      <c r="O186" s="1328"/>
      <c r="P186" s="1328"/>
      <c r="Q186" s="1293"/>
      <c r="R186" s="1328"/>
      <c r="S186" s="1328"/>
      <c r="T186" s="1328"/>
      <c r="U186" s="1328"/>
      <c r="V186" s="1293"/>
      <c r="W186" s="1328"/>
      <c r="X186" s="1328"/>
      <c r="Y186" s="1328"/>
      <c r="Z186" s="1328"/>
      <c r="AA186" s="2089"/>
      <c r="AB186" s="1328"/>
      <c r="AC186" s="2000"/>
      <c r="AD186" s="1328"/>
      <c r="AE186" s="1328"/>
      <c r="AF186" s="1328">
        <f>AF110/AF10</f>
        <v>0.55555555555555558</v>
      </c>
      <c r="AG186" s="1328">
        <f>AG110/AG10</f>
        <v>0.5</v>
      </c>
      <c r="AH186" s="1328">
        <f>AH110/AH10</f>
        <v>0.45</v>
      </c>
      <c r="AI186" s="1328"/>
      <c r="AJ186" s="2089"/>
      <c r="AK186" s="1328">
        <f>AK110/AK10</f>
        <v>0.50909090909090904</v>
      </c>
      <c r="AL186" s="1328">
        <f>AL110/AL10</f>
        <v>0.5</v>
      </c>
      <c r="AM186" s="1328">
        <f>AM110/AM10</f>
        <v>0.5</v>
      </c>
      <c r="AN186" s="1328">
        <f>AN110/AN10</f>
        <v>0.48148148148148145</v>
      </c>
      <c r="AO186" s="2089">
        <f>AO110/AO10</f>
        <v>0.49760765550239233</v>
      </c>
      <c r="AP186" s="1328">
        <f t="shared" si="251"/>
        <v>0.49090909090909091</v>
      </c>
      <c r="AQ186" s="1328">
        <f t="shared" si="251"/>
        <v>0.45454545454545453</v>
      </c>
      <c r="AR186" s="1328">
        <f t="shared" si="251"/>
        <v>0.45454545454545453</v>
      </c>
      <c r="AS186" s="1328">
        <f t="shared" si="251"/>
        <v>0.45454545454545453</v>
      </c>
      <c r="AT186" s="2089">
        <f t="shared" si="251"/>
        <v>0.46363636363636362</v>
      </c>
      <c r="AU186" s="1328">
        <f t="shared" ref="AU186:BH186" si="254">AU110/AU10</f>
        <v>0.45535714285714285</v>
      </c>
      <c r="AV186" s="1328">
        <f t="shared" si="254"/>
        <v>0.48214285714285715</v>
      </c>
      <c r="AW186" s="1328">
        <f t="shared" si="254"/>
        <v>0.48214285714285715</v>
      </c>
      <c r="AX186" s="1328">
        <f t="shared" si="254"/>
        <v>0.48275862068965519</v>
      </c>
      <c r="AY186" s="2089">
        <f t="shared" si="254"/>
        <v>0.47566371681415931</v>
      </c>
      <c r="AZ186" s="1328">
        <f t="shared" si="254"/>
        <v>0.48275862068965519</v>
      </c>
      <c r="BA186" s="1328">
        <f t="shared" si="254"/>
        <v>0.48275862068965519</v>
      </c>
      <c r="BB186" s="1328">
        <f t="shared" si="254"/>
        <v>0.48275862068965519</v>
      </c>
      <c r="BC186" s="1328">
        <f t="shared" si="254"/>
        <v>0.48275862068965519</v>
      </c>
      <c r="BD186" s="2089">
        <f t="shared" si="254"/>
        <v>0.48275862068965519</v>
      </c>
      <c r="BE186" s="1328">
        <f t="shared" si="254"/>
        <v>0.51724137931034486</v>
      </c>
      <c r="BF186" s="1328">
        <f t="shared" si="254"/>
        <v>0.51724137931034486</v>
      </c>
      <c r="BG186" s="1328">
        <f t="shared" si="254"/>
        <v>0.51724137931034486</v>
      </c>
      <c r="BH186" s="1328">
        <f t="shared" ca="1" si="254"/>
        <v>0.36884464958689045</v>
      </c>
      <c r="BI186" s="2089">
        <f ca="1">BI110/BI10</f>
        <v>0.4793582612975178</v>
      </c>
      <c r="BJ186" s="1328" t="e">
        <f t="shared" ref="BJ186:BM186" si="255">BJ110/BJ10</f>
        <v>#DIV/0!</v>
      </c>
      <c r="BK186" s="1328" t="e">
        <f t="shared" si="255"/>
        <v>#DIV/0!</v>
      </c>
      <c r="BL186" s="1328" t="e">
        <f t="shared" si="255"/>
        <v>#DIV/0!</v>
      </c>
      <c r="BM186" s="1328" t="e">
        <f t="shared" si="255"/>
        <v>#DIV/0!</v>
      </c>
      <c r="BN186" s="2089" t="e">
        <f ca="1">BN110/BN10</f>
        <v>#DIV/0!</v>
      </c>
      <c r="BO186" s="1328"/>
      <c r="BP186" s="1328"/>
      <c r="BQ186" s="1293"/>
      <c r="BR186" s="1293"/>
      <c r="BS186" s="1293"/>
      <c r="BT186" s="1293"/>
      <c r="BU186" s="1293"/>
      <c r="BV186" s="1293"/>
      <c r="BW186" s="1293"/>
      <c r="BX186" s="1293"/>
      <c r="BY186" s="1293"/>
      <c r="BZ186" s="1293"/>
      <c r="CA186" s="1293"/>
      <c r="CB186" s="1293"/>
      <c r="CC186" s="1293"/>
      <c r="CD186" s="1293"/>
      <c r="CE186" s="1293"/>
      <c r="CF186" s="1293"/>
      <c r="CG186" s="1293"/>
      <c r="CH186" s="1293"/>
      <c r="CI186" s="1293"/>
      <c r="CJ186" s="1293"/>
      <c r="CK186" s="1293"/>
      <c r="CL186" s="1293"/>
      <c r="CM186" s="1293"/>
      <c r="CN186" s="1293"/>
      <c r="CO186" s="1293"/>
      <c r="CP186" s="1293"/>
      <c r="CQ186" s="1293"/>
      <c r="CR186" s="1293"/>
      <c r="CS186" s="1293"/>
      <c r="CT186" s="1293"/>
      <c r="CU186" s="1293"/>
      <c r="CV186" s="1293"/>
      <c r="CW186" s="1293"/>
      <c r="CX186" s="1293"/>
      <c r="CY186" s="2101">
        <v>0.4805479500987529</v>
      </c>
      <c r="CZ186" s="2137">
        <v>0.48</v>
      </c>
      <c r="DA186" s="2138">
        <v>0.46</v>
      </c>
      <c r="DB186" s="2139">
        <v>0.51</v>
      </c>
      <c r="DC186" s="1293"/>
      <c r="DD186" s="1293"/>
      <c r="DE186" s="1293"/>
      <c r="DF186" s="1293"/>
      <c r="DG186" s="1293"/>
      <c r="DH186" s="1293"/>
      <c r="DI186" s="1293"/>
      <c r="DJ186" s="1293"/>
      <c r="DK186" s="1293"/>
      <c r="DL186" s="1293"/>
    </row>
    <row r="187" spans="1:116" ht="15.75" hidden="1" outlineLevel="1">
      <c r="A187" s="1293"/>
      <c r="B187" s="1982" t="str">
        <f t="shared" si="233"/>
        <v>Costa Rica wireless</v>
      </c>
      <c r="C187" s="1328"/>
      <c r="D187" s="1328"/>
      <c r="E187" s="1328"/>
      <c r="F187" s="1328"/>
      <c r="G187" s="1293"/>
      <c r="H187" s="1328"/>
      <c r="I187" s="1328"/>
      <c r="J187" s="1328"/>
      <c r="K187" s="1328"/>
      <c r="L187" s="1293"/>
      <c r="M187" s="1328"/>
      <c r="N187" s="1328"/>
      <c r="O187" s="1328"/>
      <c r="P187" s="1328"/>
      <c r="Q187" s="1293"/>
      <c r="R187" s="1328"/>
      <c r="S187" s="1328"/>
      <c r="T187" s="1328"/>
      <c r="U187" s="1328"/>
      <c r="V187" s="1293"/>
      <c r="W187" s="1328"/>
      <c r="X187" s="1328"/>
      <c r="Y187" s="1328"/>
      <c r="Z187" s="1328"/>
      <c r="AA187" s="2089"/>
      <c r="AB187" s="1328"/>
      <c r="AC187" s="2000"/>
      <c r="AD187" s="1328"/>
      <c r="AE187" s="1328"/>
      <c r="AF187" s="1328"/>
      <c r="AG187" s="1328"/>
      <c r="AH187" s="1328"/>
      <c r="AI187" s="1328"/>
      <c r="AJ187" s="2089"/>
      <c r="AK187" s="1328"/>
      <c r="AL187" s="1328"/>
      <c r="AM187" s="1328"/>
      <c r="AN187" s="1328"/>
      <c r="AO187" s="2089"/>
      <c r="AP187" s="1328"/>
      <c r="AQ187" s="1328"/>
      <c r="AR187" s="1328"/>
      <c r="AS187" s="1328"/>
      <c r="AT187" s="2089"/>
      <c r="AU187" s="1328"/>
      <c r="AV187" s="1328"/>
      <c r="AW187" s="1328"/>
      <c r="AX187" s="1328"/>
      <c r="AY187" s="2089"/>
      <c r="AZ187" s="1328"/>
      <c r="BA187" s="1328"/>
      <c r="BB187" s="1328"/>
      <c r="BC187" s="1328"/>
      <c r="BD187" s="2089"/>
      <c r="BE187" s="1328"/>
      <c r="BF187" s="1328"/>
      <c r="BG187" s="1328"/>
      <c r="BH187" s="1328"/>
      <c r="BI187" s="2089"/>
      <c r="BJ187" s="1328"/>
      <c r="BK187" s="1328"/>
      <c r="BL187" s="1328"/>
      <c r="BM187" s="1328"/>
      <c r="BN187" s="2089"/>
      <c r="BO187" s="1328"/>
      <c r="BP187" s="1328"/>
      <c r="BQ187" s="1293"/>
      <c r="BR187" s="1293"/>
      <c r="BS187" s="1293"/>
      <c r="BT187" s="1293"/>
      <c r="BU187" s="1293"/>
      <c r="BV187" s="1293"/>
      <c r="BW187" s="1293"/>
      <c r="BX187" s="1293"/>
      <c r="BY187" s="1293"/>
      <c r="BZ187" s="1293"/>
      <c r="CA187" s="1293"/>
      <c r="CB187" s="1293"/>
      <c r="CC187" s="1293"/>
      <c r="CD187" s="1293"/>
      <c r="CE187" s="1293"/>
      <c r="CF187" s="1293"/>
      <c r="CG187" s="1293"/>
      <c r="CH187" s="1293"/>
      <c r="CI187" s="1293"/>
      <c r="CJ187" s="1293"/>
      <c r="CK187" s="1293"/>
      <c r="CL187" s="1293"/>
      <c r="CM187" s="1293"/>
      <c r="CN187" s="1293"/>
      <c r="CO187" s="1293"/>
      <c r="CP187" s="1293"/>
      <c r="CQ187" s="1293"/>
      <c r="CR187" s="1293"/>
      <c r="CS187" s="1293"/>
      <c r="CT187" s="1293"/>
      <c r="CU187" s="1293"/>
      <c r="CV187" s="1293"/>
      <c r="CW187" s="1293"/>
      <c r="CX187" s="1293"/>
      <c r="CY187" s="2101"/>
      <c r="CZ187" s="1328"/>
      <c r="DA187" s="2100"/>
      <c r="DB187" s="2101"/>
      <c r="DC187" s="1293"/>
      <c r="DD187" s="1293"/>
      <c r="DE187" s="1293"/>
      <c r="DF187" s="1293"/>
      <c r="DG187" s="1293"/>
      <c r="DH187" s="1293"/>
      <c r="DI187" s="1293"/>
      <c r="DJ187" s="1293"/>
      <c r="DK187" s="1293"/>
      <c r="DL187" s="1293"/>
    </row>
    <row r="188" spans="1:116" ht="15.75" hidden="1" outlineLevel="1">
      <c r="A188" s="1293"/>
      <c r="B188" s="1982" t="str">
        <f t="shared" si="233"/>
        <v>Nicaragua wireless</v>
      </c>
      <c r="C188" s="1328"/>
      <c r="D188" s="1328"/>
      <c r="E188" s="1328"/>
      <c r="F188" s="1328"/>
      <c r="G188" s="2089"/>
      <c r="H188" s="1328"/>
      <c r="I188" s="1328"/>
      <c r="J188" s="1328"/>
      <c r="K188" s="1328"/>
      <c r="L188" s="2089"/>
      <c r="M188" s="1328"/>
      <c r="N188" s="1328"/>
      <c r="O188" s="1328"/>
      <c r="P188" s="1328"/>
      <c r="Q188" s="2089"/>
      <c r="R188" s="1328"/>
      <c r="S188" s="1328"/>
      <c r="T188" s="1328"/>
      <c r="U188" s="1328"/>
      <c r="V188" s="2089"/>
      <c r="W188" s="1328"/>
      <c r="X188" s="1328"/>
      <c r="Y188" s="1328"/>
      <c r="Z188" s="1328"/>
      <c r="AA188" s="2089"/>
      <c r="AB188" s="1328"/>
      <c r="AC188" s="1328"/>
      <c r="AD188" s="1328">
        <f t="shared" ref="AD188:AH189" si="256">AD112/AD12</f>
        <v>0.4358974358974359</v>
      </c>
      <c r="AE188" s="1328">
        <f t="shared" si="256"/>
        <v>0.4358974358974359</v>
      </c>
      <c r="AF188" s="1328">
        <f t="shared" si="256"/>
        <v>0.46296296296296297</v>
      </c>
      <c r="AG188" s="1328">
        <f t="shared" si="256"/>
        <v>0.41666666666666669</v>
      </c>
      <c r="AH188" s="1328">
        <f t="shared" si="256"/>
        <v>0.4642857142857143</v>
      </c>
      <c r="AI188" s="1328"/>
      <c r="AJ188" s="2089"/>
      <c r="AK188" s="1328">
        <f t="shared" ref="AK188:BI188" si="257">AK112/AK12</f>
        <v>0.35294117647058826</v>
      </c>
      <c r="AL188" s="1328">
        <f t="shared" si="257"/>
        <v>0.34693877551020408</v>
      </c>
      <c r="AM188" s="1328">
        <f t="shared" si="257"/>
        <v>0.34693877551020408</v>
      </c>
      <c r="AN188" s="1328">
        <f t="shared" si="257"/>
        <v>0.34</v>
      </c>
      <c r="AO188" s="2089">
        <f t="shared" si="257"/>
        <v>0.34673366834170855</v>
      </c>
      <c r="AP188" s="1328">
        <f t="shared" si="257"/>
        <v>0.34</v>
      </c>
      <c r="AQ188" s="1328">
        <f t="shared" si="257"/>
        <v>0.34</v>
      </c>
      <c r="AR188" s="1328">
        <f t="shared" si="257"/>
        <v>0.34</v>
      </c>
      <c r="AS188" s="1328">
        <f t="shared" si="257"/>
        <v>0.34</v>
      </c>
      <c r="AT188" s="2089">
        <f t="shared" si="257"/>
        <v>0.34</v>
      </c>
      <c r="AU188" s="1328">
        <f t="shared" si="257"/>
        <v>0.35799999999999998</v>
      </c>
      <c r="AV188" s="1328">
        <f t="shared" si="257"/>
        <v>0.36</v>
      </c>
      <c r="AW188" s="1328">
        <f t="shared" si="257"/>
        <v>0.36</v>
      </c>
      <c r="AX188" s="1328">
        <f t="shared" si="257"/>
        <v>0.36</v>
      </c>
      <c r="AY188" s="2089">
        <f t="shared" si="257"/>
        <v>0.35950000000000004</v>
      </c>
      <c r="AZ188" s="1328">
        <f t="shared" si="257"/>
        <v>0.36</v>
      </c>
      <c r="BA188" s="1328">
        <f t="shared" si="257"/>
        <v>0.36</v>
      </c>
      <c r="BB188" s="1328">
        <f t="shared" si="257"/>
        <v>0.36</v>
      </c>
      <c r="BC188" s="1328">
        <f t="shared" si="257"/>
        <v>0.36</v>
      </c>
      <c r="BD188" s="2089">
        <f t="shared" si="257"/>
        <v>0.36</v>
      </c>
      <c r="BE188" s="1328">
        <f t="shared" si="257"/>
        <v>0.36</v>
      </c>
      <c r="BF188" s="1328">
        <f t="shared" si="257"/>
        <v>0.36</v>
      </c>
      <c r="BG188" s="1328">
        <f t="shared" si="257"/>
        <v>0.36</v>
      </c>
      <c r="BH188" s="1328">
        <f t="shared" ca="1" si="257"/>
        <v>0.40909090909090912</v>
      </c>
      <c r="BI188" s="2089">
        <f t="shared" ca="1" si="257"/>
        <v>0.37113402061855671</v>
      </c>
      <c r="BJ188" s="1328" t="e">
        <f t="shared" ref="BJ188:BN188" si="258">BJ112/BJ12</f>
        <v>#DIV/0!</v>
      </c>
      <c r="BK188" s="1328" t="e">
        <f t="shared" si="258"/>
        <v>#DIV/0!</v>
      </c>
      <c r="BL188" s="1328" t="e">
        <f t="shared" si="258"/>
        <v>#DIV/0!</v>
      </c>
      <c r="BM188" s="1328" t="e">
        <f t="shared" si="258"/>
        <v>#DIV/0!</v>
      </c>
      <c r="BN188" s="2089" t="e">
        <f t="shared" ca="1" si="258"/>
        <v>#DIV/0!</v>
      </c>
      <c r="BO188" s="1328"/>
      <c r="BP188" s="1328"/>
      <c r="BQ188" s="1293"/>
      <c r="BR188" s="1293"/>
      <c r="BS188" s="1293"/>
      <c r="BT188" s="1293"/>
      <c r="BU188" s="1293"/>
      <c r="BV188" s="1293"/>
      <c r="BW188" s="1293"/>
      <c r="BX188" s="1293"/>
      <c r="BY188" s="1293"/>
      <c r="BZ188" s="1293"/>
      <c r="CA188" s="1293"/>
      <c r="CB188" s="1293"/>
      <c r="CC188" s="1293"/>
      <c r="CD188" s="1293"/>
      <c r="CE188" s="1293"/>
      <c r="CF188" s="1293"/>
      <c r="CG188" s="1293"/>
      <c r="CH188" s="1293"/>
      <c r="CI188" s="1293"/>
      <c r="CJ188" s="1293"/>
      <c r="CK188" s="1293"/>
      <c r="CL188" s="1293"/>
      <c r="CM188" s="1293"/>
      <c r="CN188" s="1293"/>
      <c r="CO188" s="1293"/>
      <c r="CP188" s="1293"/>
      <c r="CQ188" s="1293"/>
      <c r="CR188" s="1293"/>
      <c r="CS188" s="1293"/>
      <c r="CT188" s="1293"/>
      <c r="CU188" s="1293"/>
      <c r="CV188" s="1293"/>
      <c r="CW188" s="1293"/>
      <c r="CX188" s="1293"/>
      <c r="CY188" s="2142">
        <v>0.35999999999999982</v>
      </c>
      <c r="CZ188" s="1337">
        <f>CZ112/CZ12</f>
        <v>0.36</v>
      </c>
      <c r="DA188" s="2143">
        <v>0.37</v>
      </c>
      <c r="DB188" s="2144">
        <v>0.36</v>
      </c>
      <c r="DC188" s="1293"/>
      <c r="DD188" s="1293"/>
      <c r="DE188" s="1293"/>
      <c r="DF188" s="1293"/>
      <c r="DG188" s="1293"/>
      <c r="DH188" s="1293"/>
      <c r="DI188" s="1293"/>
      <c r="DJ188" s="1293"/>
      <c r="DK188" s="1293"/>
      <c r="DL188" s="1293"/>
    </row>
    <row r="189" spans="1:116" ht="15.75" collapsed="1">
      <c r="A189" s="1293"/>
      <c r="B189" s="1375" t="str">
        <f t="shared" si="233"/>
        <v>Central America</v>
      </c>
      <c r="C189" s="2020">
        <f t="shared" ref="C189:AC189" si="259">C113/C13</f>
        <v>0.4754871988238652</v>
      </c>
      <c r="D189" s="2020">
        <f t="shared" si="259"/>
        <v>0.47656045412047426</v>
      </c>
      <c r="E189" s="2020">
        <f t="shared" si="259"/>
        <v>0.46504421052999184</v>
      </c>
      <c r="F189" s="2020">
        <f t="shared" si="259"/>
        <v>0.45819525662515015</v>
      </c>
      <c r="G189" s="2335">
        <f t="shared" si="259"/>
        <v>0.4686620693369008</v>
      </c>
      <c r="H189" s="2020">
        <f t="shared" si="259"/>
        <v>0.46218553589770878</v>
      </c>
      <c r="I189" s="2020">
        <f t="shared" si="259"/>
        <v>0.46021560581404131</v>
      </c>
      <c r="J189" s="2020">
        <f t="shared" si="259"/>
        <v>0.45988227392690528</v>
      </c>
      <c r="K189" s="2020">
        <f t="shared" si="259"/>
        <v>0.4292443885347097</v>
      </c>
      <c r="L189" s="2335">
        <f t="shared" si="259"/>
        <v>0.45264348111696678</v>
      </c>
      <c r="M189" s="2020">
        <f t="shared" si="259"/>
        <v>0.45749780906600562</v>
      </c>
      <c r="N189" s="2020">
        <f t="shared" si="259"/>
        <v>0.42783837107597994</v>
      </c>
      <c r="O189" s="2020">
        <f t="shared" si="259"/>
        <v>0.44960807621711368</v>
      </c>
      <c r="P189" s="2020">
        <f t="shared" si="259"/>
        <v>0.44230769230769229</v>
      </c>
      <c r="Q189" s="2335">
        <f t="shared" si="259"/>
        <v>0.44428571195025268</v>
      </c>
      <c r="R189" s="2020">
        <f t="shared" si="259"/>
        <v>0.4514003294892916</v>
      </c>
      <c r="S189" s="2020">
        <f t="shared" si="259"/>
        <v>0.45380875202593191</v>
      </c>
      <c r="T189" s="2020">
        <f t="shared" si="259"/>
        <v>0.47980613893376411</v>
      </c>
      <c r="U189" s="2020">
        <f t="shared" si="259"/>
        <v>0.46021840873634945</v>
      </c>
      <c r="V189" s="2335">
        <f t="shared" si="259"/>
        <v>0.46135265700483091</v>
      </c>
      <c r="W189" s="2020">
        <f t="shared" si="259"/>
        <v>0.46088244766505643</v>
      </c>
      <c r="X189" s="2020">
        <f t="shared" si="259"/>
        <v>0.45239234449760762</v>
      </c>
      <c r="Y189" s="2020">
        <f t="shared" si="259"/>
        <v>0.4593161290322581</v>
      </c>
      <c r="Z189" s="2020">
        <f t="shared" si="259"/>
        <v>0.45331325301204817</v>
      </c>
      <c r="AA189" s="2335">
        <f t="shared" ca="1" si="259"/>
        <v>0.45641153238546606</v>
      </c>
      <c r="AB189" s="2020">
        <f t="shared" si="259"/>
        <v>0.48440525587828498</v>
      </c>
      <c r="AC189" s="2020">
        <f t="shared" si="259"/>
        <v>0.46125034578146618</v>
      </c>
      <c r="AD189" s="2020">
        <f t="shared" si="256"/>
        <v>0.47425421530479894</v>
      </c>
      <c r="AE189" s="2020">
        <f t="shared" si="256"/>
        <v>0.4474980544747082</v>
      </c>
      <c r="AF189" s="2020">
        <f t="shared" si="256"/>
        <v>0.48352904820766379</v>
      </c>
      <c r="AG189" s="2020">
        <f t="shared" si="256"/>
        <v>0.45236217552533992</v>
      </c>
      <c r="AH189" s="2020">
        <f t="shared" si="256"/>
        <v>0.46610795454545456</v>
      </c>
      <c r="AI189" s="2020"/>
      <c r="AJ189" s="2335">
        <f>AJ113/AJ13</f>
        <v>0.47666509582155198</v>
      </c>
      <c r="AK189" s="2020">
        <f t="shared" ref="AK189:BI189" si="260">AK113/AK13</f>
        <v>0.46721311475409838</v>
      </c>
      <c r="AL189" s="2020">
        <f t="shared" si="260"/>
        <v>0.44862155388471175</v>
      </c>
      <c r="AM189" s="2020">
        <f t="shared" si="260"/>
        <v>0.44839857651245552</v>
      </c>
      <c r="AN189" s="2020">
        <f t="shared" si="260"/>
        <v>0.45879732739420936</v>
      </c>
      <c r="AO189" s="2335">
        <f t="shared" si="260"/>
        <v>0.45593869731800768</v>
      </c>
      <c r="AP189" s="2020">
        <f t="shared" si="260"/>
        <v>0.47855530474040631</v>
      </c>
      <c r="AQ189" s="2020">
        <f t="shared" si="260"/>
        <v>0.46871569703622395</v>
      </c>
      <c r="AR189" s="2020">
        <f t="shared" si="260"/>
        <v>0.46593406593406594</v>
      </c>
      <c r="AS189" s="2020">
        <f t="shared" si="260"/>
        <v>0.45966029723991508</v>
      </c>
      <c r="AT189" s="2335">
        <f t="shared" si="260"/>
        <v>0.46807344477939161</v>
      </c>
      <c r="AU189" s="2020">
        <f t="shared" si="260"/>
        <v>0.47684254514893948</v>
      </c>
      <c r="AV189" s="2020">
        <f t="shared" si="260"/>
        <v>0.47026506363396875</v>
      </c>
      <c r="AW189" s="2020">
        <f t="shared" si="260"/>
        <v>0.46205662543576725</v>
      </c>
      <c r="AX189" s="2020">
        <f t="shared" si="260"/>
        <v>0.4705587991048269</v>
      </c>
      <c r="AY189" s="2335">
        <f t="shared" si="260"/>
        <v>0.46990709571367389</v>
      </c>
      <c r="AZ189" s="2020">
        <f t="shared" si="260"/>
        <v>0.45134581713187727</v>
      </c>
      <c r="BA189" s="2020">
        <f t="shared" si="260"/>
        <v>0.45233890299771334</v>
      </c>
      <c r="BB189" s="2020">
        <f t="shared" si="260"/>
        <v>0.46193587852411649</v>
      </c>
      <c r="BC189" s="2020">
        <f t="shared" si="260"/>
        <v>0.4718661472150027</v>
      </c>
      <c r="BD189" s="2335">
        <f t="shared" si="260"/>
        <v>0.45952231069529764</v>
      </c>
      <c r="BE189" s="2020">
        <f t="shared" si="260"/>
        <v>0.47982072099531703</v>
      </c>
      <c r="BF189" s="2020">
        <f t="shared" si="260"/>
        <v>0.49170159509465527</v>
      </c>
      <c r="BG189" s="2020">
        <f t="shared" si="260"/>
        <v>0.50458331014628155</v>
      </c>
      <c r="BH189" s="2020">
        <f t="shared" si="260"/>
        <v>0.49237748432825107</v>
      </c>
      <c r="BI189" s="2335">
        <f t="shared" si="260"/>
        <v>0.49199904425688973</v>
      </c>
      <c r="BJ189" s="2020">
        <f t="shared" ref="BJ189:BN189" si="261">BJ113/BJ13</f>
        <v>0.49852811227527977</v>
      </c>
      <c r="BK189" s="2020">
        <f t="shared" si="261"/>
        <v>0.49733915473513457</v>
      </c>
      <c r="BL189" s="2020">
        <f t="shared" si="261"/>
        <v>0.50090693390181273</v>
      </c>
      <c r="BM189" s="2020">
        <f t="shared" si="261"/>
        <v>0.47449387247810348</v>
      </c>
      <c r="BN189" s="2335">
        <f t="shared" si="261"/>
        <v>0.49264571306886229</v>
      </c>
      <c r="BO189" s="1328"/>
      <c r="BP189" s="1328"/>
      <c r="BQ189" s="1293"/>
      <c r="BR189" s="1293"/>
      <c r="BS189" s="1293"/>
      <c r="BT189" s="1293"/>
      <c r="BU189" s="1293"/>
      <c r="BV189" s="1293"/>
      <c r="BW189" s="1293"/>
      <c r="BX189" s="1293"/>
      <c r="BY189" s="1293"/>
      <c r="BZ189" s="1293"/>
      <c r="CA189" s="1293"/>
      <c r="CB189" s="1293"/>
      <c r="CC189" s="1293"/>
      <c r="CD189" s="1293"/>
      <c r="CE189" s="1293"/>
      <c r="CF189" s="1293"/>
      <c r="CG189" s="1293"/>
      <c r="CH189" s="1293"/>
      <c r="CI189" s="1293"/>
      <c r="CJ189" s="1293"/>
      <c r="CK189" s="1293"/>
      <c r="CL189" s="1293"/>
      <c r="CM189" s="1293"/>
      <c r="CN189" s="1293"/>
      <c r="CO189" s="1293"/>
      <c r="CP189" s="1293"/>
      <c r="CQ189" s="1293"/>
      <c r="CR189" s="1293"/>
      <c r="CS189" s="1293"/>
      <c r="CT189" s="1293"/>
      <c r="CU189" s="1293"/>
      <c r="CV189" s="1293"/>
      <c r="CW189" s="1293"/>
      <c r="CX189" s="1293"/>
      <c r="CY189" s="2101">
        <v>0.45603413480493749</v>
      </c>
      <c r="CZ189" s="1328">
        <f>CZ113/CZ13</f>
        <v>0.44805275677204248</v>
      </c>
      <c r="DA189" s="2100">
        <v>0.47572579094310125</v>
      </c>
      <c r="DB189" s="2101">
        <v>0.48859847121046124</v>
      </c>
      <c r="DC189" s="1293"/>
      <c r="DD189" s="1293"/>
      <c r="DE189" s="1293"/>
      <c r="DF189" s="1293"/>
      <c r="DG189" s="1293"/>
      <c r="DH189" s="1293"/>
      <c r="DI189" s="1293"/>
      <c r="DJ189" s="1293"/>
      <c r="DK189" s="1293"/>
      <c r="DL189" s="1293"/>
    </row>
    <row r="190" spans="1:116" ht="15.75">
      <c r="A190" s="1293"/>
      <c r="B190" s="1293"/>
      <c r="C190" s="1328"/>
      <c r="D190" s="1328"/>
      <c r="E190" s="1328"/>
      <c r="F190" s="1328"/>
      <c r="G190" s="2089"/>
      <c r="H190" s="1328"/>
      <c r="I190" s="1328"/>
      <c r="J190" s="1328"/>
      <c r="K190" s="1328"/>
      <c r="L190" s="2089"/>
      <c r="M190" s="1328"/>
      <c r="N190" s="1328"/>
      <c r="O190" s="1328"/>
      <c r="P190" s="1328"/>
      <c r="Q190" s="2089"/>
      <c r="R190" s="1328"/>
      <c r="S190" s="1328"/>
      <c r="T190" s="1328"/>
      <c r="U190" s="1328"/>
      <c r="V190" s="2089"/>
      <c r="W190" s="1328"/>
      <c r="X190" s="1328"/>
      <c r="Y190" s="1328"/>
      <c r="Z190" s="1328"/>
      <c r="AA190" s="2089"/>
      <c r="AB190" s="1328"/>
      <c r="AC190" s="1328"/>
      <c r="AD190" s="1328"/>
      <c r="AE190" s="1328"/>
      <c r="AF190" s="1328"/>
      <c r="AG190" s="1328"/>
      <c r="AH190" s="1328"/>
      <c r="AI190" s="1328"/>
      <c r="AJ190" s="2089"/>
      <c r="AK190" s="1328"/>
      <c r="AL190" s="1328"/>
      <c r="AM190" s="1328"/>
      <c r="AN190" s="1328"/>
      <c r="AO190" s="2089"/>
      <c r="AP190" s="1328"/>
      <c r="AQ190" s="1328"/>
      <c r="AR190" s="1328"/>
      <c r="AS190" s="1328"/>
      <c r="AT190" s="2089"/>
      <c r="AU190" s="1328"/>
      <c r="AV190" s="1328"/>
      <c r="AW190" s="1328"/>
      <c r="AX190" s="1328"/>
      <c r="AY190" s="2089"/>
      <c r="AZ190" s="1328"/>
      <c r="BA190" s="1328"/>
      <c r="BB190" s="1328"/>
      <c r="BC190" s="1328"/>
      <c r="BD190" s="2089"/>
      <c r="BE190" s="1328"/>
      <c r="BF190" s="1328"/>
      <c r="BG190" s="1328"/>
      <c r="BH190" s="1328"/>
      <c r="BI190" s="2089"/>
      <c r="BJ190" s="1328"/>
      <c r="BK190" s="1328"/>
      <c r="BL190" s="1328"/>
      <c r="BM190" s="1328"/>
      <c r="BN190" s="2089"/>
      <c r="BO190" s="1328"/>
      <c r="BP190" s="1328"/>
      <c r="BQ190" s="1293"/>
      <c r="BR190" s="1293"/>
      <c r="BS190" s="1293"/>
      <c r="BT190" s="1293"/>
      <c r="BU190" s="1293"/>
      <c r="BV190" s="1293"/>
      <c r="BW190" s="1293"/>
      <c r="BX190" s="1293"/>
      <c r="BY190" s="1293"/>
      <c r="BZ190" s="1293"/>
      <c r="CA190" s="1293"/>
      <c r="CB190" s="1293"/>
      <c r="CC190" s="1293"/>
      <c r="CD190" s="1293"/>
      <c r="CE190" s="1293"/>
      <c r="CF190" s="1293"/>
      <c r="CG190" s="1293"/>
      <c r="CH190" s="1293"/>
      <c r="CI190" s="1293"/>
      <c r="CJ190" s="1293"/>
      <c r="CK190" s="1293"/>
      <c r="CL190" s="1293"/>
      <c r="CM190" s="1293"/>
      <c r="CN190" s="1293"/>
      <c r="CO190" s="1293"/>
      <c r="CP190" s="1293"/>
      <c r="CQ190" s="1293"/>
      <c r="CR190" s="1293"/>
      <c r="CS190" s="1293"/>
      <c r="CT190" s="1293"/>
      <c r="CU190" s="1293"/>
      <c r="CV190" s="1293"/>
      <c r="CW190" s="1293"/>
      <c r="CX190" s="1293"/>
      <c r="CY190" s="2101"/>
      <c r="CZ190" s="1328"/>
      <c r="DA190" s="2100"/>
      <c r="DB190" s="2101"/>
      <c r="DC190" s="1293"/>
      <c r="DD190" s="1293"/>
      <c r="DE190" s="1293"/>
      <c r="DF190" s="1293"/>
      <c r="DG190" s="1293"/>
      <c r="DH190" s="1293"/>
      <c r="DI190" s="1293"/>
      <c r="DJ190" s="1293"/>
      <c r="DK190" s="1293"/>
      <c r="DL190" s="1293"/>
    </row>
    <row r="191" spans="1:116" ht="15.75">
      <c r="A191" s="1293"/>
      <c r="B191" s="1293" t="str">
        <f>B51</f>
        <v>Bolivia</v>
      </c>
      <c r="C191" s="1328">
        <f t="shared" ref="C191:V191" si="262">C115/C15</f>
        <v>0.37414980597737552</v>
      </c>
      <c r="D191" s="1328">
        <f t="shared" si="262"/>
        <v>0.35554357162021105</v>
      </c>
      <c r="E191" s="1328">
        <f t="shared" si="262"/>
        <v>0.3511593254239066</v>
      </c>
      <c r="F191" s="1328">
        <f t="shared" si="262"/>
        <v>0.35543306498754706</v>
      </c>
      <c r="G191" s="2089">
        <f t="shared" si="262"/>
        <v>0.35889007708546039</v>
      </c>
      <c r="H191" s="1328">
        <f t="shared" si="262"/>
        <v>0.36971479004262736</v>
      </c>
      <c r="I191" s="1328">
        <f t="shared" si="262"/>
        <v>0.36365472973834789</v>
      </c>
      <c r="J191" s="1328">
        <f t="shared" si="262"/>
        <v>0.36715897268592812</v>
      </c>
      <c r="K191" s="1328">
        <f t="shared" si="262"/>
        <v>0.38006161786322329</v>
      </c>
      <c r="L191" s="2089">
        <f t="shared" si="262"/>
        <v>0.37034031940925116</v>
      </c>
      <c r="M191" s="1328">
        <f t="shared" si="262"/>
        <v>0.39406907662205443</v>
      </c>
      <c r="N191" s="1328">
        <f t="shared" si="262"/>
        <v>0.37808300442419929</v>
      </c>
      <c r="O191" s="1328">
        <f t="shared" si="262"/>
        <v>0.38354327983465886</v>
      </c>
      <c r="P191" s="1328">
        <f t="shared" si="262"/>
        <v>0.42753623188405798</v>
      </c>
      <c r="Q191" s="2089">
        <f t="shared" si="262"/>
        <v>0.39605223537953166</v>
      </c>
      <c r="R191" s="1328">
        <f t="shared" si="262"/>
        <v>0.38805970149253732</v>
      </c>
      <c r="S191" s="1328">
        <f t="shared" si="262"/>
        <v>0.38345864661654133</v>
      </c>
      <c r="T191" s="1328">
        <f t="shared" si="262"/>
        <v>0.39007092198581561</v>
      </c>
      <c r="U191" s="1328">
        <f t="shared" si="262"/>
        <v>0.39864864864864863</v>
      </c>
      <c r="V191" s="2089">
        <f t="shared" si="262"/>
        <v>0.39028776978417268</v>
      </c>
      <c r="W191" s="2000">
        <f>W115/(W15+6)</f>
        <v>0.3783783783783784</v>
      </c>
      <c r="X191" s="1328">
        <f t="shared" ref="X191:AB193" si="263">X115/X15</f>
        <v>0.38562091503267976</v>
      </c>
      <c r="Y191" s="1328">
        <f t="shared" si="263"/>
        <v>0.38364779874213839</v>
      </c>
      <c r="Z191" s="1328">
        <f t="shared" si="263"/>
        <v>0.38750000000000001</v>
      </c>
      <c r="AA191" s="2089">
        <f t="shared" si="263"/>
        <v>0.38762214983713356</v>
      </c>
      <c r="AB191" s="1328">
        <f t="shared" si="263"/>
        <v>0.39873417721518989</v>
      </c>
      <c r="AC191" s="2000">
        <v>0.379</v>
      </c>
      <c r="AD191" s="1328">
        <f>AD115/AD15</f>
        <v>0.39751552795031053</v>
      </c>
      <c r="AE191" s="1328">
        <v>0.38700000000000001</v>
      </c>
      <c r="AF191" s="1328">
        <f>AF115/AF15</f>
        <v>0.39751552795031053</v>
      </c>
      <c r="AG191" s="1328">
        <v>0.39700000000000002</v>
      </c>
      <c r="AH191" s="1328">
        <f>AH115/AH15</f>
        <v>0.41509433962264153</v>
      </c>
      <c r="AI191" s="1328"/>
      <c r="AJ191" s="2089">
        <f t="shared" ref="AJ191:BI191" si="264">AJ115/AJ15</f>
        <v>0.40219092331768386</v>
      </c>
      <c r="AK191" s="1328">
        <f t="shared" si="264"/>
        <v>0.39240506329113922</v>
      </c>
      <c r="AL191" s="1328">
        <f t="shared" si="264"/>
        <v>0.30303030303030304</v>
      </c>
      <c r="AM191" s="1328">
        <f t="shared" si="264"/>
        <v>0.39860139860139859</v>
      </c>
      <c r="AN191" s="1328">
        <f t="shared" si="264"/>
        <v>0.45033112582781459</v>
      </c>
      <c r="AO191" s="2089">
        <f t="shared" si="264"/>
        <v>0.3886986301369863</v>
      </c>
      <c r="AP191" s="1328">
        <f t="shared" si="264"/>
        <v>0.4</v>
      </c>
      <c r="AQ191" s="1328">
        <f t="shared" si="264"/>
        <v>0.38311688311688313</v>
      </c>
      <c r="AR191" s="1328">
        <f t="shared" si="264"/>
        <v>0.3935483870967742</v>
      </c>
      <c r="AS191" s="1328">
        <f t="shared" si="264"/>
        <v>0.41875000000000001</v>
      </c>
      <c r="AT191" s="2089">
        <f t="shared" si="264"/>
        <v>0.39903846153846156</v>
      </c>
      <c r="AU191" s="1328">
        <f t="shared" si="264"/>
        <v>0.3935483870967742</v>
      </c>
      <c r="AV191" s="1328">
        <f t="shared" si="264"/>
        <v>0.40114812011102702</v>
      </c>
      <c r="AW191" s="1328">
        <f t="shared" si="264"/>
        <v>0.37465280020670499</v>
      </c>
      <c r="AX191" s="1328">
        <f t="shared" si="264"/>
        <v>0.38562091503267976</v>
      </c>
      <c r="AY191" s="2089">
        <f t="shared" si="264"/>
        <v>0.38882719327893395</v>
      </c>
      <c r="AZ191" s="1328">
        <f t="shared" si="264"/>
        <v>0.37908496732026142</v>
      </c>
      <c r="BA191" s="1328">
        <f t="shared" si="264"/>
        <v>0.37254901960784315</v>
      </c>
      <c r="BB191" s="1328">
        <f t="shared" si="264"/>
        <v>0.37274593502557918</v>
      </c>
      <c r="BC191" s="1328">
        <f t="shared" si="264"/>
        <v>0.36410209615184064</v>
      </c>
      <c r="BD191" s="2089">
        <f t="shared" si="264"/>
        <v>0.37211541128691444</v>
      </c>
      <c r="BE191" s="1328">
        <f t="shared" si="264"/>
        <v>0.42680657894736845</v>
      </c>
      <c r="BF191" s="1328">
        <f t="shared" si="264"/>
        <v>0.4242456953642384</v>
      </c>
      <c r="BG191" s="1328">
        <f t="shared" si="264"/>
        <v>0.43167447577569429</v>
      </c>
      <c r="BH191" s="1328">
        <f t="shared" si="264"/>
        <v>0.45279973502678389</v>
      </c>
      <c r="BI191" s="2089">
        <f t="shared" si="264"/>
        <v>0.43404595459307144</v>
      </c>
      <c r="BJ191" s="1328">
        <f t="shared" ref="BJ191:BN191" si="265">BJ115/BJ15</f>
        <v>0.40782712890731543</v>
      </c>
      <c r="BK191" s="1328">
        <f t="shared" si="265"/>
        <v>0.40782712890731543</v>
      </c>
      <c r="BL191" s="1328">
        <f t="shared" si="265"/>
        <v>0.40404358433529836</v>
      </c>
      <c r="BM191" s="1328">
        <f t="shared" si="265"/>
        <v>0.4833181571641994</v>
      </c>
      <c r="BN191" s="2089">
        <f t="shared" si="265"/>
        <v>0.42599999999999993</v>
      </c>
      <c r="BO191" s="1328"/>
      <c r="BP191" s="1328"/>
      <c r="BQ191" s="1328"/>
      <c r="BR191" s="1293"/>
      <c r="BS191" s="1293"/>
      <c r="BT191" s="1293"/>
      <c r="BU191" s="1293"/>
      <c r="BV191" s="1293"/>
      <c r="BW191" s="1293"/>
      <c r="BX191" s="1293"/>
      <c r="BY191" s="1293"/>
      <c r="BZ191" s="1293"/>
      <c r="CA191" s="1293"/>
      <c r="CB191" s="1293"/>
      <c r="CC191" s="1293"/>
      <c r="CD191" s="1293"/>
      <c r="CE191" s="1293"/>
      <c r="CF191" s="1293"/>
      <c r="CG191" s="1293"/>
      <c r="CH191" s="1293"/>
      <c r="CI191" s="1293"/>
      <c r="CJ191" s="1293"/>
      <c r="CK191" s="1293"/>
      <c r="CL191" s="1293"/>
      <c r="CM191" s="1293"/>
      <c r="CN191" s="1293"/>
      <c r="CO191" s="1293"/>
      <c r="CP191" s="1293"/>
      <c r="CQ191" s="1293"/>
      <c r="CR191" s="1293"/>
      <c r="CS191" s="1293"/>
      <c r="CT191" s="1293"/>
      <c r="CU191" s="1293"/>
      <c r="CV191" s="1293"/>
      <c r="CW191" s="1293"/>
      <c r="CX191" s="1293"/>
      <c r="CY191" s="2101">
        <v>0.37219756020170003</v>
      </c>
      <c r="CZ191" s="2137">
        <v>0.38</v>
      </c>
      <c r="DA191" s="2138">
        <v>0.43</v>
      </c>
      <c r="DB191" s="2139">
        <v>0.44500000000000001</v>
      </c>
      <c r="DC191" s="1293"/>
      <c r="DD191" s="1293"/>
      <c r="DE191" s="1293"/>
      <c r="DF191" s="1293"/>
      <c r="DG191" s="1293"/>
      <c r="DH191" s="1293"/>
      <c r="DI191" s="1293"/>
      <c r="DJ191" s="1293"/>
      <c r="DK191" s="1293"/>
      <c r="DL191" s="1293"/>
    </row>
    <row r="192" spans="1:116" ht="15.75">
      <c r="A192" s="1293"/>
      <c r="B192" s="1293" t="str">
        <f>B52</f>
        <v>Colombia</v>
      </c>
      <c r="C192" s="1328">
        <f t="shared" ref="C192:V192" si="266">C116/C16</f>
        <v>0.24785791275316718</v>
      </c>
      <c r="D192" s="1328">
        <f t="shared" si="266"/>
        <v>0.22865008420608801</v>
      </c>
      <c r="E192" s="1328">
        <f t="shared" si="266"/>
        <v>0.28679290486548886</v>
      </c>
      <c r="F192" s="1328">
        <f t="shared" si="266"/>
        <v>0.26494788636823813</v>
      </c>
      <c r="G192" s="2089">
        <f t="shared" si="266"/>
        <v>0.26258709747441605</v>
      </c>
      <c r="H192" s="1328">
        <f t="shared" si="266"/>
        <v>0.27741490768967847</v>
      </c>
      <c r="I192" s="1328">
        <f t="shared" si="266"/>
        <v>0.27976736162758326</v>
      </c>
      <c r="J192" s="1328">
        <f t="shared" si="266"/>
        <v>0.30920320198982082</v>
      </c>
      <c r="K192" s="1328">
        <f t="shared" si="266"/>
        <v>0.23230803377317097</v>
      </c>
      <c r="L192" s="2089">
        <f t="shared" si="266"/>
        <v>0.27505180478511565</v>
      </c>
      <c r="M192" s="1328">
        <f t="shared" si="266"/>
        <v>0.29457516059897765</v>
      </c>
      <c r="N192" s="1328">
        <f t="shared" si="266"/>
        <v>0.28370891725950897</v>
      </c>
      <c r="O192" s="1328">
        <f t="shared" si="266"/>
        <v>0.28499881905373492</v>
      </c>
      <c r="P192" s="1328">
        <f t="shared" si="266"/>
        <v>0.21663019693654267</v>
      </c>
      <c r="Q192" s="2089">
        <f t="shared" si="266"/>
        <v>0.26868171631877946</v>
      </c>
      <c r="R192" s="1328">
        <f t="shared" si="266"/>
        <v>0.30232558139534882</v>
      </c>
      <c r="S192" s="1328">
        <f t="shared" si="266"/>
        <v>0.26511627906976742</v>
      </c>
      <c r="T192" s="1328">
        <f t="shared" si="266"/>
        <v>0.25</v>
      </c>
      <c r="U192" s="1328">
        <f t="shared" si="266"/>
        <v>0.26174496644295303</v>
      </c>
      <c r="V192" s="2089">
        <f t="shared" si="266"/>
        <v>0.26969522714203564</v>
      </c>
      <c r="W192" s="1328">
        <f>W116/W16</f>
        <v>0.29256594724220625</v>
      </c>
      <c r="X192" s="1328">
        <f t="shared" si="263"/>
        <v>0.29398148148148145</v>
      </c>
      <c r="Y192" s="1328">
        <f t="shared" si="263"/>
        <v>0.30382775119617222</v>
      </c>
      <c r="Z192" s="1328">
        <f t="shared" si="263"/>
        <v>0.29949238578680204</v>
      </c>
      <c r="AA192" s="2089">
        <f t="shared" si="263"/>
        <v>0.29741119807344973</v>
      </c>
      <c r="AB192" s="1328">
        <f t="shared" si="263"/>
        <v>0.34782608695652173</v>
      </c>
      <c r="AC192" s="2000">
        <v>0.312</v>
      </c>
      <c r="AD192" s="1328">
        <f>AD116/AD16</f>
        <v>0.3306878306878307</v>
      </c>
      <c r="AE192" s="1328">
        <f>AE116/AE16</f>
        <v>0.29758201058201056</v>
      </c>
      <c r="AF192" s="1328">
        <f>AF116/AF16</f>
        <v>0.32533333333333331</v>
      </c>
      <c r="AG192" s="1328">
        <v>0.29199999999999998</v>
      </c>
      <c r="AH192" s="1328">
        <f>AH116/AH16</f>
        <v>0.33505154639175255</v>
      </c>
      <c r="AI192" s="1328"/>
      <c r="AJ192" s="2089">
        <f t="shared" ref="AJ192:BI192" si="267">AJ116/AJ16</f>
        <v>0.33485639686684071</v>
      </c>
      <c r="AK192" s="1328">
        <f t="shared" si="267"/>
        <v>0.3342696629213483</v>
      </c>
      <c r="AL192" s="1328">
        <f t="shared" si="267"/>
        <v>0.36544850498338871</v>
      </c>
      <c r="AM192" s="1328">
        <f t="shared" si="267"/>
        <v>0.33433734939759036</v>
      </c>
      <c r="AN192" s="1328">
        <f t="shared" si="267"/>
        <v>0.32865168539325845</v>
      </c>
      <c r="AO192" s="2089">
        <f t="shared" si="267"/>
        <v>0.33977695167286243</v>
      </c>
      <c r="AP192" s="1328">
        <f t="shared" si="267"/>
        <v>0.33893557422969189</v>
      </c>
      <c r="AQ192" s="1328">
        <f t="shared" si="267"/>
        <v>0.31034482758620691</v>
      </c>
      <c r="AR192" s="1328">
        <f t="shared" si="267"/>
        <v>0.29799426934097423</v>
      </c>
      <c r="AS192" s="1328">
        <f t="shared" si="267"/>
        <v>0.30083565459610029</v>
      </c>
      <c r="AT192" s="2089">
        <f t="shared" si="267"/>
        <v>0.31210191082802546</v>
      </c>
      <c r="AU192" s="1328">
        <f t="shared" si="267"/>
        <v>0.30252100840336132</v>
      </c>
      <c r="AV192" s="1328">
        <f t="shared" si="267"/>
        <v>0.29513715016969899</v>
      </c>
      <c r="AW192" s="1328">
        <f t="shared" si="267"/>
        <v>0.30276546600911419</v>
      </c>
      <c r="AX192" s="1328">
        <f t="shared" si="267"/>
        <v>0.30769230769230771</v>
      </c>
      <c r="AY192" s="2089">
        <f t="shared" si="267"/>
        <v>0.30175020960594084</v>
      </c>
      <c r="AZ192" s="1328">
        <f t="shared" si="267"/>
        <v>0.31208053691275167</v>
      </c>
      <c r="BA192" s="1328">
        <f t="shared" si="267"/>
        <v>0.321656050955414</v>
      </c>
      <c r="BB192" s="1328">
        <f t="shared" si="267"/>
        <v>0.36376817489743024</v>
      </c>
      <c r="BC192" s="1328">
        <f t="shared" si="267"/>
        <v>0.38498944574778421</v>
      </c>
      <c r="BD192" s="2089">
        <f t="shared" si="267"/>
        <v>0.34774372257982972</v>
      </c>
      <c r="BE192" s="1328">
        <f t="shared" si="267"/>
        <v>0.36545859154929577</v>
      </c>
      <c r="BF192" s="1328">
        <f t="shared" si="267"/>
        <v>0.39545126050420165</v>
      </c>
      <c r="BG192" s="1328">
        <f t="shared" si="267"/>
        <v>0.38993265227037643</v>
      </c>
      <c r="BH192" s="1328">
        <f t="shared" si="267"/>
        <v>0.3713786826871735</v>
      </c>
      <c r="BI192" s="2089">
        <f t="shared" si="267"/>
        <v>0.38065574813460795</v>
      </c>
      <c r="BJ192" s="1328">
        <f t="shared" ref="BJ192:BN192" si="268">BJ116/BJ16</f>
        <v>0.39788660650419178</v>
      </c>
      <c r="BK192" s="1328">
        <f t="shared" si="268"/>
        <v>0.42050690712045624</v>
      </c>
      <c r="BL192" s="1328">
        <f t="shared" si="268"/>
        <v>0.40295580599422531</v>
      </c>
      <c r="BM192" s="1328">
        <f t="shared" si="268"/>
        <v>0.37901540497076541</v>
      </c>
      <c r="BN192" s="2089">
        <f t="shared" si="268"/>
        <v>0.4</v>
      </c>
      <c r="BO192" s="1328"/>
      <c r="BP192" s="1328"/>
      <c r="BQ192" s="1293"/>
      <c r="BR192" s="1293"/>
      <c r="BS192" s="1293"/>
      <c r="BT192" s="1293"/>
      <c r="BU192" s="1293"/>
      <c r="BV192" s="1293"/>
      <c r="BW192" s="1293"/>
      <c r="BX192" s="1293"/>
      <c r="BY192" s="1293"/>
      <c r="BZ192" s="1293"/>
      <c r="CA192" s="1293"/>
      <c r="CB192" s="1293"/>
      <c r="CC192" s="1293"/>
      <c r="CD192" s="1293"/>
      <c r="CE192" s="1293"/>
      <c r="CF192" s="1293"/>
      <c r="CG192" s="1293"/>
      <c r="CH192" s="1293"/>
      <c r="CI192" s="1293"/>
      <c r="CJ192" s="1293"/>
      <c r="CK192" s="1293"/>
      <c r="CL192" s="1293"/>
      <c r="CM192" s="1293"/>
      <c r="CN192" s="1293"/>
      <c r="CO192" s="1293"/>
      <c r="CP192" s="1293"/>
      <c r="CQ192" s="1293"/>
      <c r="CR192" s="1293"/>
      <c r="CS192" s="1293"/>
      <c r="CT192" s="1293"/>
      <c r="CU192" s="1293"/>
      <c r="CV192" s="1293"/>
      <c r="CW192" s="1293"/>
      <c r="CX192" s="1293"/>
      <c r="CY192" s="2101">
        <v>0.35660306864633984</v>
      </c>
      <c r="CZ192" s="2137">
        <v>0.28999999999999998</v>
      </c>
      <c r="DA192" s="2138">
        <v>0.42</v>
      </c>
      <c r="DB192" s="2139">
        <v>0.40500000000000003</v>
      </c>
      <c r="DC192" s="1293"/>
      <c r="DD192" s="1293"/>
      <c r="DE192" s="1293"/>
      <c r="DF192" s="1293"/>
      <c r="DG192" s="1293"/>
      <c r="DH192" s="1293"/>
      <c r="DI192" s="1293"/>
      <c r="DJ192" s="1293"/>
      <c r="DK192" s="1293"/>
      <c r="DL192" s="1293"/>
    </row>
    <row r="193" spans="1:116" ht="15.75">
      <c r="A193" s="1293"/>
      <c r="B193" s="1293" t="str">
        <f>B53</f>
        <v>Paraguay</v>
      </c>
      <c r="C193" s="1328">
        <f t="shared" ref="C193:V193" si="269">C117/C17</f>
        <v>0.49060357663175491</v>
      </c>
      <c r="D193" s="1328">
        <f t="shared" si="269"/>
        <v>0.47810411305092887</v>
      </c>
      <c r="E193" s="1328">
        <f t="shared" si="269"/>
        <v>0.46579279756220288</v>
      </c>
      <c r="F193" s="1328">
        <f t="shared" si="269"/>
        <v>0.47518880715119449</v>
      </c>
      <c r="G193" s="2089">
        <f t="shared" si="269"/>
        <v>0.47721948377562723</v>
      </c>
      <c r="H193" s="1328">
        <f t="shared" si="269"/>
        <v>0.45608606089246573</v>
      </c>
      <c r="I193" s="1328">
        <f t="shared" si="269"/>
        <v>0.45077998439608358</v>
      </c>
      <c r="J193" s="1328">
        <f t="shared" si="269"/>
        <v>0.46094020580060102</v>
      </c>
      <c r="K193" s="1328">
        <f t="shared" si="269"/>
        <v>0.44549827540073955</v>
      </c>
      <c r="L193" s="2089">
        <f t="shared" si="269"/>
        <v>0.45343359101736852</v>
      </c>
      <c r="M193" s="1328">
        <f t="shared" si="269"/>
        <v>0.4554249408763727</v>
      </c>
      <c r="N193" s="1328">
        <f t="shared" si="269"/>
        <v>0.46646848075775826</v>
      </c>
      <c r="O193" s="1328">
        <f t="shared" si="269"/>
        <v>0.47261012707455652</v>
      </c>
      <c r="P193" s="1328">
        <f t="shared" si="269"/>
        <v>0.4589041095890411</v>
      </c>
      <c r="Q193" s="2089">
        <f t="shared" si="269"/>
        <v>0.46358436330965863</v>
      </c>
      <c r="R193" s="1328">
        <f t="shared" si="269"/>
        <v>0.47169811320754718</v>
      </c>
      <c r="S193" s="1328">
        <f t="shared" si="269"/>
        <v>0.46666666666666667</v>
      </c>
      <c r="T193" s="1328">
        <f t="shared" si="269"/>
        <v>0.47023809523809523</v>
      </c>
      <c r="U193" s="1328">
        <f t="shared" si="269"/>
        <v>0.47368421052631576</v>
      </c>
      <c r="V193" s="2089">
        <f t="shared" si="269"/>
        <v>0.47058823529411764</v>
      </c>
      <c r="W193" s="1328">
        <f>W117/W17</f>
        <v>0.50289017341040465</v>
      </c>
      <c r="X193" s="1328">
        <f t="shared" si="263"/>
        <v>0.48255813953488375</v>
      </c>
      <c r="Y193" s="1328">
        <f t="shared" si="263"/>
        <v>0.49122807017543857</v>
      </c>
      <c r="Z193" s="1328">
        <f t="shared" si="263"/>
        <v>0.47239263803680981</v>
      </c>
      <c r="AA193" s="2089">
        <f t="shared" si="263"/>
        <v>0.48748159057437407</v>
      </c>
      <c r="AB193" s="1328">
        <f t="shared" si="263"/>
        <v>0.4935064935064935</v>
      </c>
      <c r="AC193" s="2000">
        <v>0.48099999999999998</v>
      </c>
      <c r="AD193" s="1328">
        <f>AD117/AD17</f>
        <v>0.44370860927152317</v>
      </c>
      <c r="AE193" s="1328">
        <f>AE117/AE17</f>
        <v>0.44175496688741722</v>
      </c>
      <c r="AF193" s="1328">
        <f>AF117/AF17</f>
        <v>0.48</v>
      </c>
      <c r="AG193" s="1328">
        <f>AG117/AG17</f>
        <v>0.45833333333333331</v>
      </c>
      <c r="AH193" s="1328">
        <f>AH117/AH17</f>
        <v>0.48</v>
      </c>
      <c r="AI193" s="1328"/>
      <c r="AJ193" s="2089">
        <f t="shared" ref="AJ193:BI193" si="270">AJ117/AJ17</f>
        <v>0.47438016528925619</v>
      </c>
      <c r="AK193" s="1328">
        <f t="shared" si="270"/>
        <v>0.45070422535211269</v>
      </c>
      <c r="AL193" s="1328">
        <f t="shared" si="270"/>
        <v>0.46666666666666667</v>
      </c>
      <c r="AM193" s="1328">
        <f t="shared" si="270"/>
        <v>0.46969696969696972</v>
      </c>
      <c r="AN193" s="1328">
        <f t="shared" si="270"/>
        <v>0.46666666666666667</v>
      </c>
      <c r="AO193" s="2089">
        <f t="shared" si="270"/>
        <v>0.46323529411764708</v>
      </c>
      <c r="AP193" s="1328">
        <f t="shared" si="270"/>
        <v>0.43795620437956206</v>
      </c>
      <c r="AQ193" s="1328">
        <f t="shared" si="270"/>
        <v>0.43795620437956206</v>
      </c>
      <c r="AR193" s="1328">
        <f t="shared" si="270"/>
        <v>0.45323741007194246</v>
      </c>
      <c r="AS193" s="1328">
        <f t="shared" si="270"/>
        <v>0.41843971631205673</v>
      </c>
      <c r="AT193" s="2089">
        <f t="shared" si="270"/>
        <v>0.43682310469314078</v>
      </c>
      <c r="AU193" s="1328">
        <f t="shared" si="270"/>
        <v>0.45985401459854014</v>
      </c>
      <c r="AV193" s="1328">
        <f t="shared" si="270"/>
        <v>0.43259397954774587</v>
      </c>
      <c r="AW193" s="1328">
        <f t="shared" si="270"/>
        <v>0.44043475172266816</v>
      </c>
      <c r="AX193" s="1328">
        <f t="shared" si="270"/>
        <v>0.42857142857142855</v>
      </c>
      <c r="AY193" s="2089">
        <f t="shared" si="270"/>
        <v>0.44027450909940175</v>
      </c>
      <c r="AZ193" s="1328">
        <f t="shared" si="270"/>
        <v>0.43884892086330934</v>
      </c>
      <c r="BA193" s="1328">
        <f t="shared" si="270"/>
        <v>0.44755244755244755</v>
      </c>
      <c r="BB193" s="1328">
        <f t="shared" si="270"/>
        <v>0.45566912289042066</v>
      </c>
      <c r="BC193" s="1328">
        <f t="shared" si="270"/>
        <v>0.44992224926258823</v>
      </c>
      <c r="BD193" s="2089">
        <f t="shared" si="270"/>
        <v>0.4480644565437289</v>
      </c>
      <c r="BE193" s="1328">
        <f t="shared" si="270"/>
        <v>0.48393591549295778</v>
      </c>
      <c r="BF193" s="1328">
        <f t="shared" si="270"/>
        <v>0.48289208633093528</v>
      </c>
      <c r="BG193" s="1328">
        <f t="shared" si="270"/>
        <v>0.4763422724420619</v>
      </c>
      <c r="BH193" s="1328">
        <f t="shared" si="270"/>
        <v>0.46678296811927317</v>
      </c>
      <c r="BI193" s="2089">
        <f t="shared" si="270"/>
        <v>0.47749636131298195</v>
      </c>
      <c r="BJ193" s="1328">
        <f t="shared" ref="BJ193:BN193" si="271">BJ117/BJ17</f>
        <v>0.48121437479882612</v>
      </c>
      <c r="BK193" s="1328">
        <f t="shared" si="271"/>
        <v>0.48270778771352207</v>
      </c>
      <c r="BL193" s="1328">
        <f t="shared" si="271"/>
        <v>0.4785079151162287</v>
      </c>
      <c r="BM193" s="1328">
        <f t="shared" si="271"/>
        <v>0.47765720107520526</v>
      </c>
      <c r="BN193" s="2089">
        <f t="shared" si="271"/>
        <v>0.47999636131298196</v>
      </c>
      <c r="BO193" s="1328"/>
      <c r="BP193" s="1328"/>
      <c r="BQ193" s="1293"/>
      <c r="BR193" s="1293"/>
      <c r="BS193" s="1293"/>
      <c r="BT193" s="1293"/>
      <c r="BU193" s="1293"/>
      <c r="BV193" s="1293"/>
      <c r="BW193" s="1293"/>
      <c r="BX193" s="1293"/>
      <c r="BY193" s="1293"/>
      <c r="BZ193" s="1293"/>
      <c r="CA193" s="1293"/>
      <c r="CB193" s="1293"/>
      <c r="CC193" s="1293"/>
      <c r="CD193" s="1293"/>
      <c r="CE193" s="1293"/>
      <c r="CF193" s="1293"/>
      <c r="CG193" s="1293"/>
      <c r="CH193" s="1293"/>
      <c r="CI193" s="1293"/>
      <c r="CJ193" s="1293"/>
      <c r="CK193" s="1293"/>
      <c r="CL193" s="1293"/>
      <c r="CM193" s="1293"/>
      <c r="CN193" s="1293"/>
      <c r="CO193" s="1293"/>
      <c r="CP193" s="1293"/>
      <c r="CQ193" s="1293"/>
      <c r="CR193" s="1293"/>
      <c r="CS193" s="1293"/>
      <c r="CT193" s="1293"/>
      <c r="CU193" s="1293"/>
      <c r="CV193" s="1293"/>
      <c r="CW193" s="1293"/>
      <c r="CX193" s="1293"/>
      <c r="CY193" s="2101">
        <v>0.4472414731058868</v>
      </c>
      <c r="CZ193" s="2137">
        <v>0.435</v>
      </c>
      <c r="DA193" s="2138">
        <v>0.48</v>
      </c>
      <c r="DB193" s="2139">
        <v>0.48</v>
      </c>
      <c r="DC193" s="1293"/>
      <c r="DD193" s="1293"/>
      <c r="DE193" s="1293"/>
      <c r="DF193" s="1293"/>
      <c r="DG193" s="1293"/>
      <c r="DH193" s="1293"/>
      <c r="DI193" s="1293"/>
      <c r="DJ193" s="1293"/>
      <c r="DK193" s="1293"/>
      <c r="DL193" s="1293"/>
    </row>
    <row r="194" spans="1:116" ht="15.75">
      <c r="A194" s="1293"/>
      <c r="B194" s="1331" t="str">
        <f>B54</f>
        <v>Other/check</v>
      </c>
      <c r="C194" s="1337"/>
      <c r="D194" s="1337"/>
      <c r="E194" s="1337"/>
      <c r="F194" s="1337"/>
      <c r="G194" s="2141"/>
      <c r="H194" s="1337"/>
      <c r="I194" s="1337"/>
      <c r="J194" s="1337"/>
      <c r="K194" s="1337"/>
      <c r="L194" s="2141"/>
      <c r="M194" s="1337"/>
      <c r="N194" s="1337"/>
      <c r="O194" s="1337"/>
      <c r="P194" s="1337"/>
      <c r="Q194" s="2141"/>
      <c r="R194" s="1337"/>
      <c r="S194" s="1337"/>
      <c r="T194" s="1337"/>
      <c r="U194" s="1337"/>
      <c r="V194" s="2141"/>
      <c r="W194" s="1337"/>
      <c r="X194" s="1337"/>
      <c r="Y194" s="1337"/>
      <c r="Z194" s="1337"/>
      <c r="AA194" s="2141"/>
      <c r="AB194" s="1337"/>
      <c r="AC194" s="1337"/>
      <c r="AD194" s="1337"/>
      <c r="AE194" s="1337"/>
      <c r="AF194" s="1337"/>
      <c r="AG194" s="1337"/>
      <c r="AH194" s="1337"/>
      <c r="AI194" s="1337"/>
      <c r="AJ194" s="2141"/>
      <c r="AK194" s="1337"/>
      <c r="AL194" s="1337"/>
      <c r="AM194" s="1337"/>
      <c r="AN194" s="1337"/>
      <c r="AO194" s="2141"/>
      <c r="AP194" s="1337"/>
      <c r="AQ194" s="1337"/>
      <c r="AR194" s="1337"/>
      <c r="AS194" s="1337"/>
      <c r="AT194" s="2141"/>
      <c r="AU194" s="1337"/>
      <c r="AV194" s="1337"/>
      <c r="AW194" s="1337"/>
      <c r="AX194" s="1337"/>
      <c r="AY194" s="2141"/>
      <c r="AZ194" s="1337"/>
      <c r="BA194" s="1337"/>
      <c r="BB194" s="1337"/>
      <c r="BC194" s="1337"/>
      <c r="BD194" s="2141"/>
      <c r="BE194" s="1337"/>
      <c r="BF194" s="1337"/>
      <c r="BG194" s="1337"/>
      <c r="BH194" s="1337"/>
      <c r="BI194" s="2141"/>
      <c r="BJ194" s="1337"/>
      <c r="BK194" s="1337"/>
      <c r="BL194" s="1337"/>
      <c r="BM194" s="1337"/>
      <c r="BN194" s="2141"/>
      <c r="BO194" s="1328"/>
      <c r="BP194" s="1328"/>
      <c r="BQ194" s="1293"/>
      <c r="BR194" s="1293"/>
      <c r="BS194" s="1293"/>
      <c r="BT194" s="1293"/>
      <c r="BU194" s="1293"/>
      <c r="BV194" s="1293"/>
      <c r="BW194" s="1293"/>
      <c r="BX194" s="1293"/>
      <c r="BY194" s="1293"/>
      <c r="BZ194" s="1293"/>
      <c r="CA194" s="1293"/>
      <c r="CB194" s="1293"/>
      <c r="CC194" s="1293"/>
      <c r="CD194" s="1293"/>
      <c r="CE194" s="1293"/>
      <c r="CF194" s="1293"/>
      <c r="CG194" s="1293"/>
      <c r="CH194" s="1293"/>
      <c r="CI194" s="1293"/>
      <c r="CJ194" s="1293"/>
      <c r="CK194" s="1293"/>
      <c r="CL194" s="1293"/>
      <c r="CM194" s="1293"/>
      <c r="CN194" s="1293"/>
      <c r="CO194" s="1293"/>
      <c r="CP194" s="1293"/>
      <c r="CQ194" s="1293"/>
      <c r="CR194" s="1293"/>
      <c r="CS194" s="1293"/>
      <c r="CT194" s="1293"/>
      <c r="CU194" s="1293"/>
      <c r="CV194" s="1293"/>
      <c r="CW194" s="1293"/>
      <c r="CX194" s="1293"/>
      <c r="CY194" s="2142"/>
      <c r="CZ194" s="1337"/>
      <c r="DA194" s="2145"/>
      <c r="DB194" s="2146"/>
      <c r="DC194" s="1293"/>
      <c r="DD194" s="1293"/>
      <c r="DE194" s="1293"/>
      <c r="DF194" s="1293"/>
      <c r="DG194" s="1293"/>
      <c r="DH194" s="1293"/>
      <c r="DI194" s="1293"/>
      <c r="DJ194" s="1293"/>
      <c r="DK194" s="1293"/>
      <c r="DL194" s="1293"/>
    </row>
    <row r="195" spans="1:116" ht="16.5" thickBot="1">
      <c r="A195" s="1293"/>
      <c r="B195" s="1293" t="str">
        <f>B55</f>
        <v>South America</v>
      </c>
      <c r="C195" s="1328">
        <f t="shared" ref="C195:AF195" si="272">C119/C19</f>
        <v>0.3544202034764134</v>
      </c>
      <c r="D195" s="1328">
        <f t="shared" si="272"/>
        <v>0.33374624484919513</v>
      </c>
      <c r="E195" s="1328">
        <f t="shared" si="272"/>
        <v>0.33961290686883744</v>
      </c>
      <c r="F195" s="1328">
        <f t="shared" si="272"/>
        <v>0.32023163775744912</v>
      </c>
      <c r="G195" s="2089">
        <f t="shared" si="272"/>
        <v>0.33490031674054438</v>
      </c>
      <c r="H195" s="1328">
        <f t="shared" si="272"/>
        <v>0.32988278279564187</v>
      </c>
      <c r="I195" s="1328">
        <f t="shared" si="272"/>
        <v>0.32770032544882827</v>
      </c>
      <c r="J195" s="1328">
        <f t="shared" si="272"/>
        <v>0.35227859372845177</v>
      </c>
      <c r="K195" s="1328">
        <f t="shared" si="272"/>
        <v>0.30439279556318982</v>
      </c>
      <c r="L195" s="2089">
        <f t="shared" si="272"/>
        <v>0.32861240720968804</v>
      </c>
      <c r="M195" s="1328">
        <f t="shared" si="272"/>
        <v>0.35012472928267491</v>
      </c>
      <c r="N195" s="1328">
        <f t="shared" si="272"/>
        <v>0.34154592153358276</v>
      </c>
      <c r="O195" s="1328">
        <f t="shared" si="272"/>
        <v>0.34529582826265687</v>
      </c>
      <c r="P195" s="1328">
        <f t="shared" si="272"/>
        <v>0.30364372469635625</v>
      </c>
      <c r="Q195" s="2089">
        <f t="shared" si="272"/>
        <v>0.33478288387281341</v>
      </c>
      <c r="R195" s="1328">
        <f t="shared" si="272"/>
        <v>0.35546334716459199</v>
      </c>
      <c r="S195" s="1328">
        <f t="shared" si="272"/>
        <v>0.3324175824175824</v>
      </c>
      <c r="T195" s="1328">
        <f t="shared" si="272"/>
        <v>0.32658569500674761</v>
      </c>
      <c r="U195" s="1328">
        <f t="shared" si="272"/>
        <v>0.33550913838120106</v>
      </c>
      <c r="V195" s="2089">
        <f t="shared" si="272"/>
        <v>0.33739012846517918</v>
      </c>
      <c r="W195" s="1328">
        <f t="shared" si="272"/>
        <v>0.36202185792349728</v>
      </c>
      <c r="X195" s="1328">
        <f t="shared" si="272"/>
        <v>0.35535006605019814</v>
      </c>
      <c r="Y195" s="1328">
        <f t="shared" si="272"/>
        <v>0.36363636363636365</v>
      </c>
      <c r="Z195" s="1328">
        <f t="shared" si="272"/>
        <v>0.35843793584379358</v>
      </c>
      <c r="AA195" s="2089">
        <f t="shared" si="272"/>
        <v>0.35985104942450913</v>
      </c>
      <c r="AB195" s="1328">
        <f t="shared" si="272"/>
        <v>0.39118065433854909</v>
      </c>
      <c r="AC195" s="1328">
        <f t="shared" si="272"/>
        <v>0.36407965860597435</v>
      </c>
      <c r="AD195" s="1328">
        <f t="shared" si="272"/>
        <v>0.37101449275362319</v>
      </c>
      <c r="AE195" s="1328">
        <f t="shared" si="272"/>
        <v>0.34999710144927537</v>
      </c>
      <c r="AF195" s="1328">
        <f t="shared" si="272"/>
        <v>0.37609329446064138</v>
      </c>
      <c r="AG195" s="1328"/>
      <c r="AH195" s="1328">
        <f>AH119/AH19</f>
        <v>0.38450502152080346</v>
      </c>
      <c r="AI195" s="1328"/>
      <c r="AJ195" s="2089">
        <f t="shared" ref="AJ195:BI195" si="273">AJ119/AJ19</f>
        <v>0.38076368876080691</v>
      </c>
      <c r="AK195" s="1328">
        <f t="shared" si="273"/>
        <v>0.37347560975609756</v>
      </c>
      <c r="AL195" s="1328">
        <f t="shared" si="273"/>
        <v>0.375</v>
      </c>
      <c r="AM195" s="1328">
        <f t="shared" si="273"/>
        <v>0.37891268533772654</v>
      </c>
      <c r="AN195" s="1328">
        <f t="shared" si="273"/>
        <v>0.38629283489096572</v>
      </c>
      <c r="AO195" s="2089">
        <f t="shared" si="273"/>
        <v>0.37848766680145574</v>
      </c>
      <c r="AP195" s="1328">
        <f t="shared" si="273"/>
        <v>0.37442218798151</v>
      </c>
      <c r="AQ195" s="1328">
        <f t="shared" si="273"/>
        <v>0.35524256651017216</v>
      </c>
      <c r="AR195" s="1328">
        <f t="shared" si="273"/>
        <v>0.35458786936236392</v>
      </c>
      <c r="AS195" s="1328">
        <f t="shared" si="273"/>
        <v>0.35454545454545455</v>
      </c>
      <c r="AT195" s="2089">
        <f t="shared" si="273"/>
        <v>0.35970667695870323</v>
      </c>
      <c r="AU195" s="1328">
        <f t="shared" si="273"/>
        <v>0.35747303543913711</v>
      </c>
      <c r="AV195" s="1328">
        <f t="shared" si="273"/>
        <v>0.34978076852810425</v>
      </c>
      <c r="AW195" s="1328">
        <f t="shared" si="273"/>
        <v>0.35229560361062406</v>
      </c>
      <c r="AX195" s="1328">
        <f t="shared" si="273"/>
        <v>0.35641891891891891</v>
      </c>
      <c r="AY195" s="2089">
        <f t="shared" si="273"/>
        <v>0.35394621688280686</v>
      </c>
      <c r="AZ195" s="1328">
        <f t="shared" si="273"/>
        <v>0.35932203389830508</v>
      </c>
      <c r="BA195" s="1328">
        <f t="shared" si="273"/>
        <v>0.36393442622950822</v>
      </c>
      <c r="BB195" s="1328">
        <f t="shared" si="273"/>
        <v>0.38643760370505076</v>
      </c>
      <c r="BC195" s="1328">
        <f t="shared" si="273"/>
        <v>0.39432719755730983</v>
      </c>
      <c r="BD195" s="2089">
        <f t="shared" si="273"/>
        <v>0.37659058986512056</v>
      </c>
      <c r="BE195" s="1328">
        <f t="shared" si="273"/>
        <v>0.40574930662557779</v>
      </c>
      <c r="BF195" s="1328">
        <f t="shared" si="273"/>
        <v>0.42095703245749611</v>
      </c>
      <c r="BG195" s="1328">
        <f t="shared" si="273"/>
        <v>0.41885674500779491</v>
      </c>
      <c r="BH195" s="1328">
        <f t="shared" si="273"/>
        <v>0.41325910819529355</v>
      </c>
      <c r="BI195" s="2089">
        <f t="shared" si="273"/>
        <v>0.41468390793000176</v>
      </c>
      <c r="BJ195" s="1328">
        <f t="shared" ref="BJ195:BN195" si="274">BJ119/BJ19</f>
        <v>0.42003624063553852</v>
      </c>
      <c r="BK195" s="1328">
        <f t="shared" si="274"/>
        <v>0.43455793997048686</v>
      </c>
      <c r="BL195" s="1328">
        <f t="shared" si="274"/>
        <v>0.42190526438494264</v>
      </c>
      <c r="BM195" s="1328">
        <f t="shared" si="274"/>
        <v>0.41570124174797141</v>
      </c>
      <c r="BN195" s="2089">
        <f t="shared" si="274"/>
        <v>0.42300929859630437</v>
      </c>
      <c r="BO195" s="1328"/>
      <c r="BP195" s="1328"/>
      <c r="BQ195" s="1293"/>
      <c r="BR195" s="1293"/>
      <c r="BS195" s="1293"/>
      <c r="BT195" s="1293"/>
      <c r="BU195" s="1293"/>
      <c r="BV195" s="1293"/>
      <c r="BW195" s="1293"/>
      <c r="BX195" s="1293"/>
      <c r="BY195" s="1293"/>
      <c r="BZ195" s="1293"/>
      <c r="CA195" s="1293"/>
      <c r="CB195" s="1293"/>
      <c r="CC195" s="1293"/>
      <c r="CD195" s="1293"/>
      <c r="CE195" s="1293"/>
      <c r="CF195" s="1293"/>
      <c r="CG195" s="1293"/>
      <c r="CH195" s="1293"/>
      <c r="CI195" s="1293"/>
      <c r="CJ195" s="1293"/>
      <c r="CK195" s="1293"/>
      <c r="CL195" s="1293"/>
      <c r="CM195" s="1293"/>
      <c r="CN195" s="1293"/>
      <c r="CO195" s="1293"/>
      <c r="CP195" s="1293"/>
      <c r="CQ195" s="1293"/>
      <c r="CR195" s="1293"/>
      <c r="CS195" s="1293"/>
      <c r="CT195" s="1293"/>
      <c r="CU195" s="1293"/>
      <c r="CV195" s="1293"/>
      <c r="CW195" s="1293"/>
      <c r="CX195" s="1293"/>
      <c r="CY195" s="2101">
        <v>0.38056300548506983</v>
      </c>
      <c r="CZ195" s="1328">
        <f>CZ119/CZ19</f>
        <v>0.34374750566935303</v>
      </c>
      <c r="DA195" s="2100">
        <v>0.43574076820325597</v>
      </c>
      <c r="DB195" s="2101">
        <v>0.43140721925335945</v>
      </c>
      <c r="DC195" s="1293"/>
      <c r="DD195" s="1293"/>
      <c r="DE195" s="1293"/>
      <c r="DF195" s="1293"/>
      <c r="DG195" s="1293"/>
      <c r="DH195" s="1293"/>
      <c r="DI195" s="1293"/>
      <c r="DJ195" s="1293"/>
      <c r="DK195" s="1293"/>
      <c r="DL195" s="1293"/>
    </row>
    <row r="196" spans="1:116" ht="15.75" hidden="1" outlineLevel="1">
      <c r="A196" s="1293"/>
      <c r="B196" s="1867" t="s">
        <v>2032</v>
      </c>
      <c r="C196" s="2127"/>
      <c r="D196" s="2127"/>
      <c r="E196" s="2127"/>
      <c r="F196" s="2127"/>
      <c r="G196" s="1293"/>
      <c r="H196" s="2127"/>
      <c r="I196" s="2127"/>
      <c r="J196" s="2127"/>
      <c r="K196" s="2127"/>
      <c r="L196" s="1293"/>
      <c r="M196" s="2127"/>
      <c r="N196" s="2127"/>
      <c r="O196" s="2127"/>
      <c r="P196" s="2127"/>
      <c r="Q196" s="1293"/>
      <c r="R196" s="2127"/>
      <c r="S196" s="2127"/>
      <c r="T196" s="2127"/>
      <c r="U196" s="2127"/>
      <c r="V196" s="1293"/>
      <c r="W196" s="2127"/>
      <c r="X196" s="2127"/>
      <c r="Y196" s="2127"/>
      <c r="Z196" s="2127"/>
      <c r="AA196" s="1293"/>
      <c r="AB196" s="2127"/>
      <c r="AC196" s="2127"/>
      <c r="AD196" s="2127"/>
      <c r="AE196" s="2127"/>
      <c r="AF196" s="2127">
        <f>(AF106+AF110)/(AF6+AF10)</f>
        <v>0.50862068965517238</v>
      </c>
      <c r="AG196" s="1328">
        <f>(AG106+AG110)/(AG6+AG10)</f>
        <v>0.47413793103448276</v>
      </c>
      <c r="AH196" s="2127">
        <f>(AH106+AH110)/(AH6+AH10)</f>
        <v>0.45624999999999999</v>
      </c>
      <c r="AI196" s="1328"/>
      <c r="AJ196" s="2089"/>
      <c r="AK196" s="2127">
        <f>(AK106+AK110)/(AK6+AK10)</f>
        <v>0.45394736842105265</v>
      </c>
      <c r="AL196" s="2127">
        <f>(AL106+AL110)/(AL6+AL10)</f>
        <v>0.43165467625899279</v>
      </c>
      <c r="AM196" s="2127">
        <f>(AM106+AM110)/(AM6+AM10)</f>
        <v>0.4375</v>
      </c>
      <c r="AN196" s="2127">
        <f>(AN106+AN110)/(AN6+AN10)</f>
        <v>0.42384105960264901</v>
      </c>
      <c r="AO196" s="2089"/>
      <c r="AP196" s="2127">
        <f>(AP106+AP110)/(AP6+AP10)</f>
        <v>0.44078947368421051</v>
      </c>
      <c r="AQ196" s="2127">
        <f>(AQ106+AQ110)/(AQ6+AQ10)</f>
        <v>0.41772151898734178</v>
      </c>
      <c r="AR196" s="2127">
        <f>(AR106+AR110)/(AR6+AR10)</f>
        <v>0.44936708860759494</v>
      </c>
      <c r="AS196" s="2127">
        <f>(AS106+AS110)/(AS6+AS10)</f>
        <v>0.46666666666666667</v>
      </c>
      <c r="AT196" s="2089"/>
      <c r="AU196" s="2127">
        <f>(AU106+AU110)/(AU6+AU10)</f>
        <v>0.45255139457754306</v>
      </c>
      <c r="AV196" s="2127">
        <f>(AV106+AV110)/(AV6+AV10)</f>
        <v>0.47623509147016779</v>
      </c>
      <c r="AW196" s="2127">
        <f>(AW106+AW110)/(AW6+AW10)</f>
        <v>0.45955725275383275</v>
      </c>
      <c r="AX196" s="2127">
        <f>(AX106+AX110)/(AX6+AX10)</f>
        <v>0.46235677530630942</v>
      </c>
      <c r="AY196" s="2089"/>
      <c r="AZ196" s="2127">
        <f>(AZ106+AZ110)/(AZ6+AZ10)</f>
        <v>0.44059334619865353</v>
      </c>
      <c r="BA196" s="2127">
        <f>(BA106+BA110)/(BA6+BA10)</f>
        <v>0.44411746773523569</v>
      </c>
      <c r="BB196" s="2127">
        <f>(BB106+BB110)/(BB6+BB10)</f>
        <v>0.44216582682365158</v>
      </c>
      <c r="BC196" s="2127">
        <f>(BC106+BC110)/(BC6+BC10)</f>
        <v>0.42501901335308451</v>
      </c>
      <c r="BD196" s="2089"/>
      <c r="BE196" s="2127">
        <f>(BE106+BE110)/(BE6+BE10)</f>
        <v>0.44730900200363627</v>
      </c>
      <c r="BF196" s="2127">
        <f>(BF106+BF110)/(BF6+BF10)</f>
        <v>0.4873713458143149</v>
      </c>
      <c r="BG196" s="2127">
        <f>(BG106+BG110)/(BG6+BG10)</f>
        <v>0.4846824257461424</v>
      </c>
      <c r="BH196" s="2127">
        <f ca="1">(BH106+BH110)/(BH6+BH10)</f>
        <v>0.46726109244443692</v>
      </c>
      <c r="BI196" s="2089"/>
      <c r="BJ196" s="2127">
        <f>(BJ106+BJ110)/(BJ6+BJ10)</f>
        <v>0.49016510620207554</v>
      </c>
      <c r="BK196" s="2127">
        <f>(BK106+BK110)/(BK6+BK10)</f>
        <v>0.47946849458123719</v>
      </c>
      <c r="BL196" s="2127">
        <f>(BL106+BL110)/(BL6+BL10)</f>
        <v>0.47929802428144619</v>
      </c>
      <c r="BM196" s="2127">
        <f>(BM106+BM110)/(BM6+BM10)</f>
        <v>0.43573405661681286</v>
      </c>
      <c r="BN196" s="2089"/>
      <c r="BO196" s="1328"/>
      <c r="BP196" s="1328"/>
      <c r="BQ196" s="1293"/>
      <c r="BR196" s="1293"/>
      <c r="BS196" s="1293"/>
      <c r="BT196" s="1293"/>
      <c r="BU196" s="1293"/>
      <c r="BV196" s="1293"/>
      <c r="BW196" s="1293"/>
      <c r="BX196" s="1293"/>
      <c r="BY196" s="1293"/>
      <c r="BZ196" s="1293"/>
      <c r="CA196" s="1293"/>
      <c r="CB196" s="1293"/>
      <c r="CC196" s="1293"/>
      <c r="CD196" s="1293"/>
      <c r="CE196" s="1293"/>
      <c r="CF196" s="1293"/>
      <c r="CG196" s="1293"/>
      <c r="CH196" s="1293"/>
      <c r="CI196" s="1293"/>
      <c r="CJ196" s="1293"/>
      <c r="CK196" s="1293"/>
      <c r="CL196" s="1293"/>
      <c r="CM196" s="1293"/>
      <c r="CN196" s="1293"/>
      <c r="CO196" s="1293"/>
      <c r="CP196" s="1293"/>
      <c r="CQ196" s="1293"/>
      <c r="CR196" s="1293"/>
      <c r="CS196" s="1293"/>
      <c r="CT196" s="1293"/>
      <c r="CU196" s="1293"/>
      <c r="CV196" s="1293"/>
      <c r="CW196" s="1293"/>
      <c r="CX196" s="1293"/>
      <c r="CY196" s="2129">
        <v>0.43494692240420751</v>
      </c>
      <c r="CZ196" s="2127">
        <f>(CZ106+CZ110)/(CZ6+CZ10)</f>
        <v>0.4269905582124372</v>
      </c>
      <c r="DA196" s="2128">
        <v>0.4190841787770771</v>
      </c>
      <c r="DB196" s="2129">
        <v>0.46243033615524703</v>
      </c>
      <c r="DC196" s="1293"/>
      <c r="DD196" s="1293"/>
      <c r="DE196" s="1293"/>
      <c r="DF196" s="1293"/>
      <c r="DG196" s="1293"/>
      <c r="DH196" s="1293"/>
      <c r="DI196" s="1293"/>
      <c r="DJ196" s="1293"/>
      <c r="DK196" s="1293"/>
      <c r="DL196" s="1293"/>
    </row>
    <row r="197" spans="1:116" ht="16.5" hidden="1" outlineLevel="1" thickBot="1">
      <c r="A197" s="1293"/>
      <c r="B197" s="1293" t="str">
        <f t="shared" ref="B197:B204" si="275">B60</f>
        <v>Chad</v>
      </c>
      <c r="C197" s="1328"/>
      <c r="D197" s="1328"/>
      <c r="E197" s="1328"/>
      <c r="F197" s="1328"/>
      <c r="G197" s="2089"/>
      <c r="H197" s="1328"/>
      <c r="I197" s="1328"/>
      <c r="J197" s="1328"/>
      <c r="K197" s="1328"/>
      <c r="L197" s="2089"/>
      <c r="M197" s="1328"/>
      <c r="N197" s="1328"/>
      <c r="O197" s="1328"/>
      <c r="P197" s="1328"/>
      <c r="Q197" s="2089"/>
      <c r="R197" s="1328"/>
      <c r="S197" s="1328"/>
      <c r="T197" s="1328"/>
      <c r="U197" s="1328"/>
      <c r="V197" s="2089"/>
      <c r="W197" s="1328"/>
      <c r="X197" s="1328"/>
      <c r="Y197" s="1328"/>
      <c r="Z197" s="1328"/>
      <c r="AA197" s="2089"/>
      <c r="AB197" s="1328"/>
      <c r="AC197" s="1328"/>
      <c r="AD197" s="1328"/>
      <c r="AE197" s="1328"/>
      <c r="AF197" s="1328"/>
      <c r="AG197" s="1328"/>
      <c r="AH197" s="1328"/>
      <c r="AI197" s="1328"/>
      <c r="AJ197" s="2089"/>
      <c r="AK197" s="1328"/>
      <c r="AL197" s="1328"/>
      <c r="AM197" s="1328"/>
      <c r="AN197" s="1328"/>
      <c r="AO197" s="2089"/>
      <c r="AP197" s="1328"/>
      <c r="AQ197" s="1328"/>
      <c r="AR197" s="1328"/>
      <c r="AS197" s="1328"/>
      <c r="AT197" s="2089"/>
      <c r="AU197" s="1328"/>
      <c r="AV197" s="1328"/>
      <c r="AW197" s="1328"/>
      <c r="AX197" s="1328"/>
      <c r="AY197" s="2089"/>
      <c r="AZ197" s="1328"/>
      <c r="BA197" s="1328"/>
      <c r="BB197" s="1328"/>
      <c r="BC197" s="1328"/>
      <c r="BD197" s="2089"/>
      <c r="BE197" s="1328"/>
      <c r="BF197" s="1328"/>
      <c r="BG197" s="1328"/>
      <c r="BH197" s="1328"/>
      <c r="BI197" s="2089"/>
      <c r="BJ197" s="1328"/>
      <c r="BK197" s="1328"/>
      <c r="BL197" s="1328"/>
      <c r="BM197" s="1328"/>
      <c r="BN197" s="2089"/>
      <c r="BO197" s="1328"/>
      <c r="BP197" s="1328"/>
      <c r="BQ197" s="1293"/>
      <c r="BR197" s="1293"/>
      <c r="BS197" s="1293"/>
      <c r="BT197" s="1293"/>
      <c r="BU197" s="1293"/>
      <c r="BV197" s="1293"/>
      <c r="BW197" s="1293"/>
      <c r="BX197" s="1293"/>
      <c r="BY197" s="1293"/>
      <c r="BZ197" s="1293"/>
      <c r="CA197" s="1293"/>
      <c r="CB197" s="1293"/>
      <c r="CC197" s="1293"/>
      <c r="CD197" s="1293"/>
      <c r="CE197" s="1293"/>
      <c r="CF197" s="1293"/>
      <c r="CG197" s="1293"/>
      <c r="CH197" s="1293"/>
      <c r="CI197" s="1293"/>
      <c r="CJ197" s="1293"/>
      <c r="CK197" s="1293"/>
      <c r="CL197" s="1293"/>
      <c r="CM197" s="1293"/>
      <c r="CN197" s="1293"/>
      <c r="CO197" s="1293"/>
      <c r="CP197" s="1293"/>
      <c r="CQ197" s="1293"/>
      <c r="CR197" s="1293"/>
      <c r="CS197" s="1293"/>
      <c r="CT197" s="1293"/>
      <c r="CU197" s="1293"/>
      <c r="CV197" s="1293"/>
      <c r="CW197" s="1293"/>
      <c r="CX197" s="1293"/>
      <c r="CY197" s="2101"/>
      <c r="CZ197" s="1328"/>
      <c r="DA197" s="2100"/>
      <c r="DB197" s="2101"/>
      <c r="DC197" s="1293"/>
      <c r="DD197" s="1293"/>
      <c r="DE197" s="1293"/>
      <c r="DF197" s="1293"/>
      <c r="DG197" s="1293"/>
      <c r="DH197" s="1293"/>
      <c r="DI197" s="1293"/>
      <c r="DJ197" s="1293"/>
      <c r="DK197" s="1293"/>
      <c r="DL197" s="1293"/>
    </row>
    <row r="198" spans="1:116" ht="16.5" hidden="1" outlineLevel="1" thickBot="1">
      <c r="A198" s="1293"/>
      <c r="B198" s="1293" t="str">
        <f t="shared" si="275"/>
        <v>DRC</v>
      </c>
      <c r="C198" s="1328"/>
      <c r="D198" s="1328"/>
      <c r="E198" s="1328"/>
      <c r="F198" s="1328"/>
      <c r="G198" s="2089"/>
      <c r="H198" s="1328"/>
      <c r="I198" s="1328"/>
      <c r="J198" s="1328"/>
      <c r="K198" s="1328"/>
      <c r="L198" s="2089"/>
      <c r="M198" s="1328"/>
      <c r="N198" s="1328"/>
      <c r="O198" s="1328"/>
      <c r="P198" s="1328"/>
      <c r="Q198" s="2089"/>
      <c r="R198" s="1328"/>
      <c r="S198" s="1328"/>
      <c r="T198" s="1328"/>
      <c r="U198" s="1328"/>
      <c r="V198" s="2089"/>
      <c r="W198" s="1328"/>
      <c r="X198" s="1328"/>
      <c r="Y198" s="1328"/>
      <c r="Z198" s="1328"/>
      <c r="AA198" s="2089"/>
      <c r="AB198" s="1328"/>
      <c r="AC198" s="1328"/>
      <c r="AD198" s="1328"/>
      <c r="AE198" s="1328"/>
      <c r="AF198" s="1328"/>
      <c r="AG198" s="1328"/>
      <c r="AH198" s="1328"/>
      <c r="AI198" s="1328"/>
      <c r="AJ198" s="2089"/>
      <c r="AK198" s="1328"/>
      <c r="AL198" s="1328"/>
      <c r="AM198" s="1328"/>
      <c r="AN198" s="1328"/>
      <c r="AO198" s="2089"/>
      <c r="AP198" s="1328"/>
      <c r="AQ198" s="1328"/>
      <c r="AR198" s="1328"/>
      <c r="AS198" s="1328"/>
      <c r="AT198" s="2089"/>
      <c r="AU198" s="1328"/>
      <c r="AV198" s="1328"/>
      <c r="AW198" s="1328"/>
      <c r="AX198" s="1328"/>
      <c r="AY198" s="2089"/>
      <c r="AZ198" s="1328"/>
      <c r="BA198" s="1328"/>
      <c r="BB198" s="1328"/>
      <c r="BC198" s="1328"/>
      <c r="BD198" s="2089"/>
      <c r="BE198" s="1328"/>
      <c r="BF198" s="1328"/>
      <c r="BG198" s="1328"/>
      <c r="BH198" s="1328"/>
      <c r="BI198" s="2089"/>
      <c r="BJ198" s="1328"/>
      <c r="BK198" s="1328"/>
      <c r="BL198" s="1328"/>
      <c r="BM198" s="1328"/>
      <c r="BN198" s="2089"/>
      <c r="BO198" s="1328"/>
      <c r="BP198" s="1328"/>
      <c r="BQ198" s="1293"/>
      <c r="BR198" s="1293"/>
      <c r="BS198" s="1293"/>
      <c r="BT198" s="1293"/>
      <c r="BU198" s="1293"/>
      <c r="BV198" s="1293"/>
      <c r="BW198" s="1293"/>
      <c r="BX198" s="1293"/>
      <c r="BY198" s="1293"/>
      <c r="BZ198" s="1293"/>
      <c r="CA198" s="1293"/>
      <c r="CB198" s="1293"/>
      <c r="CC198" s="1293"/>
      <c r="CD198" s="1293"/>
      <c r="CE198" s="1293"/>
      <c r="CF198" s="1293"/>
      <c r="CG198" s="1293"/>
      <c r="CH198" s="1293"/>
      <c r="CI198" s="1293"/>
      <c r="CJ198" s="1293"/>
      <c r="CK198" s="1293"/>
      <c r="CL198" s="1293"/>
      <c r="CM198" s="1293"/>
      <c r="CN198" s="1293"/>
      <c r="CO198" s="1293"/>
      <c r="CP198" s="1293"/>
      <c r="CQ198" s="1293"/>
      <c r="CR198" s="1293"/>
      <c r="CS198" s="1293"/>
      <c r="CT198" s="1293"/>
      <c r="CU198" s="1293"/>
      <c r="CV198" s="1293"/>
      <c r="CW198" s="1293"/>
      <c r="CX198" s="1293"/>
      <c r="CY198" s="2101"/>
      <c r="CZ198" s="1328"/>
      <c r="DA198" s="2100"/>
      <c r="DB198" s="2101"/>
      <c r="DC198" s="1293"/>
      <c r="DD198" s="1293"/>
      <c r="DE198" s="1293"/>
      <c r="DF198" s="1293"/>
      <c r="DG198" s="1293"/>
      <c r="DH198" s="1293"/>
      <c r="DI198" s="1293"/>
      <c r="DJ198" s="1293"/>
      <c r="DK198" s="1293"/>
      <c r="DL198" s="2147">
        <v>502.79610000000002</v>
      </c>
    </row>
    <row r="199" spans="1:116" ht="16.5" hidden="1" outlineLevel="1" thickBot="1">
      <c r="A199" s="1293"/>
      <c r="B199" s="1293" t="str">
        <f t="shared" si="275"/>
        <v>Ghana</v>
      </c>
      <c r="C199" s="1328"/>
      <c r="D199" s="1328"/>
      <c r="E199" s="1328"/>
      <c r="F199" s="1328"/>
      <c r="G199" s="2089"/>
      <c r="H199" s="1328"/>
      <c r="I199" s="1328"/>
      <c r="J199" s="1328"/>
      <c r="K199" s="1328"/>
      <c r="L199" s="2089"/>
      <c r="M199" s="1328"/>
      <c r="N199" s="1328"/>
      <c r="O199" s="1328"/>
      <c r="P199" s="1328"/>
      <c r="Q199" s="2089"/>
      <c r="R199" s="1328"/>
      <c r="S199" s="1328"/>
      <c r="T199" s="1328"/>
      <c r="U199" s="1328"/>
      <c r="V199" s="2089"/>
      <c r="W199" s="1328"/>
      <c r="X199" s="1328"/>
      <c r="Y199" s="1328"/>
      <c r="Z199" s="1328"/>
      <c r="AA199" s="2089"/>
      <c r="AB199" s="1328"/>
      <c r="AC199" s="1328"/>
      <c r="AD199" s="1328"/>
      <c r="AE199" s="1328"/>
      <c r="AF199" s="1328"/>
      <c r="AG199" s="1328"/>
      <c r="AH199" s="1328"/>
      <c r="AI199" s="1328"/>
      <c r="AJ199" s="2089"/>
      <c r="AK199" s="1328"/>
      <c r="AL199" s="1328"/>
      <c r="AM199" s="1328"/>
      <c r="AN199" s="1328"/>
      <c r="AO199" s="2089"/>
      <c r="AP199" s="1328"/>
      <c r="AQ199" s="1328"/>
      <c r="AR199" s="1328"/>
      <c r="AS199" s="1328"/>
      <c r="AT199" s="2089"/>
      <c r="AU199" s="1328"/>
      <c r="AV199" s="1328"/>
      <c r="AW199" s="1328"/>
      <c r="AX199" s="1328"/>
      <c r="AY199" s="2089"/>
      <c r="AZ199" s="1328"/>
      <c r="BA199" s="1328"/>
      <c r="BB199" s="1328"/>
      <c r="BC199" s="1328"/>
      <c r="BD199" s="2089"/>
      <c r="BE199" s="1328"/>
      <c r="BF199" s="1328"/>
      <c r="BG199" s="1328"/>
      <c r="BH199" s="1328"/>
      <c r="BI199" s="2089"/>
      <c r="BJ199" s="1328"/>
      <c r="BK199" s="1328"/>
      <c r="BL199" s="1328"/>
      <c r="BM199" s="1328"/>
      <c r="BN199" s="2089"/>
      <c r="BO199" s="1328"/>
      <c r="BP199" s="1328"/>
      <c r="BQ199" s="1293"/>
      <c r="BR199" s="1293"/>
      <c r="BS199" s="1293"/>
      <c r="BT199" s="1293"/>
      <c r="BU199" s="1293"/>
      <c r="BV199" s="1293"/>
      <c r="BW199" s="1293"/>
      <c r="BX199" s="1293"/>
      <c r="BY199" s="1293"/>
      <c r="BZ199" s="1293"/>
      <c r="CA199" s="1293"/>
      <c r="CB199" s="1293"/>
      <c r="CC199" s="1293"/>
      <c r="CD199" s="1293"/>
      <c r="CE199" s="1293"/>
      <c r="CF199" s="1293"/>
      <c r="CG199" s="1293"/>
      <c r="CH199" s="1293"/>
      <c r="CI199" s="1293"/>
      <c r="CJ199" s="1293"/>
      <c r="CK199" s="1293"/>
      <c r="CL199" s="1293"/>
      <c r="CM199" s="1293"/>
      <c r="CN199" s="1293"/>
      <c r="CO199" s="1293"/>
      <c r="CP199" s="1293"/>
      <c r="CQ199" s="1293"/>
      <c r="CR199" s="1293"/>
      <c r="CS199" s="1293"/>
      <c r="CT199" s="1293"/>
      <c r="CU199" s="1293"/>
      <c r="CV199" s="1293"/>
      <c r="CW199" s="1293"/>
      <c r="CX199" s="1293"/>
      <c r="CY199" s="2101"/>
      <c r="CZ199" s="1328"/>
      <c r="DA199" s="2100"/>
      <c r="DB199" s="2101"/>
      <c r="DC199" s="1293"/>
      <c r="DD199" s="1293"/>
      <c r="DE199" s="1293"/>
      <c r="DF199" s="1293"/>
      <c r="DG199" s="1293"/>
      <c r="DH199" s="1293"/>
      <c r="DI199" s="1293"/>
      <c r="DJ199" s="1293"/>
      <c r="DK199" s="1293"/>
      <c r="DL199" s="2147">
        <v>501.72410000000002</v>
      </c>
    </row>
    <row r="200" spans="1:116" ht="16.5" hidden="1" outlineLevel="1" thickBot="1">
      <c r="A200" s="1293"/>
      <c r="B200" s="1293" t="str">
        <f t="shared" si="275"/>
        <v>Rwanda</v>
      </c>
      <c r="C200" s="1328"/>
      <c r="D200" s="1328"/>
      <c r="E200" s="1328"/>
      <c r="F200" s="1328"/>
      <c r="G200" s="2089"/>
      <c r="H200" s="1328"/>
      <c r="I200" s="1328"/>
      <c r="J200" s="1328"/>
      <c r="K200" s="1328"/>
      <c r="L200" s="2089"/>
      <c r="M200" s="1328"/>
      <c r="N200" s="1328"/>
      <c r="O200" s="1328"/>
      <c r="P200" s="1328"/>
      <c r="Q200" s="2089"/>
      <c r="R200" s="1328"/>
      <c r="S200" s="1328"/>
      <c r="T200" s="1328"/>
      <c r="U200" s="1328"/>
      <c r="V200" s="2089"/>
      <c r="W200" s="1328"/>
      <c r="X200" s="1328"/>
      <c r="Y200" s="1328"/>
      <c r="Z200" s="1328"/>
      <c r="AA200" s="2089"/>
      <c r="AB200" s="1328"/>
      <c r="AC200" s="1328"/>
      <c r="AD200" s="1328"/>
      <c r="AE200" s="1328"/>
      <c r="AF200" s="1328"/>
      <c r="AG200" s="1328"/>
      <c r="AH200" s="1328"/>
      <c r="AI200" s="1328"/>
      <c r="AJ200" s="2089"/>
      <c r="AK200" s="1328"/>
      <c r="AL200" s="1328"/>
      <c r="AM200" s="1328"/>
      <c r="AN200" s="1328"/>
      <c r="AO200" s="2089"/>
      <c r="AP200" s="1328"/>
      <c r="AQ200" s="1328"/>
      <c r="AR200" s="1328"/>
      <c r="AS200" s="1328"/>
      <c r="AT200" s="2089"/>
      <c r="AU200" s="1328"/>
      <c r="AV200" s="1328"/>
      <c r="AW200" s="1328"/>
      <c r="AX200" s="1328"/>
      <c r="AY200" s="2089"/>
      <c r="AZ200" s="1328"/>
      <c r="BA200" s="1328"/>
      <c r="BB200" s="1328"/>
      <c r="BC200" s="1328"/>
      <c r="BD200" s="2089"/>
      <c r="BE200" s="1328"/>
      <c r="BF200" s="1328"/>
      <c r="BG200" s="1328"/>
      <c r="BH200" s="1328"/>
      <c r="BI200" s="2089"/>
      <c r="BJ200" s="1328"/>
      <c r="BK200" s="1328"/>
      <c r="BL200" s="1328"/>
      <c r="BM200" s="1328"/>
      <c r="BN200" s="2089"/>
      <c r="BO200" s="1328"/>
      <c r="BP200" s="1328"/>
      <c r="BQ200" s="1293"/>
      <c r="BR200" s="1293"/>
      <c r="BS200" s="1293"/>
      <c r="BT200" s="1293"/>
      <c r="BU200" s="1293"/>
      <c r="BV200" s="1293"/>
      <c r="BW200" s="1293"/>
      <c r="BX200" s="1293"/>
      <c r="BY200" s="1293"/>
      <c r="BZ200" s="1293"/>
      <c r="CA200" s="1293"/>
      <c r="CB200" s="1293"/>
      <c r="CC200" s="1293"/>
      <c r="CD200" s="1293"/>
      <c r="CE200" s="1293"/>
      <c r="CF200" s="1293"/>
      <c r="CG200" s="1293"/>
      <c r="CH200" s="1293"/>
      <c r="CI200" s="1293"/>
      <c r="CJ200" s="1293"/>
      <c r="CK200" s="1293"/>
      <c r="CL200" s="1293"/>
      <c r="CM200" s="1293"/>
      <c r="CN200" s="1293"/>
      <c r="CO200" s="1293"/>
      <c r="CP200" s="1293"/>
      <c r="CQ200" s="1293"/>
      <c r="CR200" s="1293"/>
      <c r="CS200" s="1293"/>
      <c r="CT200" s="1293"/>
      <c r="CU200" s="1293"/>
      <c r="CV200" s="1293"/>
      <c r="CW200" s="1293"/>
      <c r="CX200" s="1293"/>
      <c r="CY200" s="2101"/>
      <c r="CZ200" s="1328"/>
      <c r="DA200" s="2100"/>
      <c r="DB200" s="2101"/>
      <c r="DC200" s="1293"/>
      <c r="DD200" s="1293"/>
      <c r="DE200" s="1293"/>
      <c r="DF200" s="1293"/>
      <c r="DG200" s="1293"/>
      <c r="DH200" s="1293"/>
      <c r="DI200" s="1293"/>
      <c r="DJ200" s="1293"/>
      <c r="DK200" s="1293"/>
      <c r="DL200" s="2147">
        <v>500.89729999999997</v>
      </c>
    </row>
    <row r="201" spans="1:116" ht="16.5" hidden="1" outlineLevel="1" thickBot="1">
      <c r="A201" s="1293"/>
      <c r="B201" s="1293" t="str">
        <f t="shared" si="275"/>
        <v>Senegal</v>
      </c>
      <c r="C201" s="1328"/>
      <c r="D201" s="1328"/>
      <c r="E201" s="1328"/>
      <c r="F201" s="1328"/>
      <c r="G201" s="2089"/>
      <c r="H201" s="1328"/>
      <c r="I201" s="1328"/>
      <c r="J201" s="1328"/>
      <c r="K201" s="1328"/>
      <c r="L201" s="2089"/>
      <c r="M201" s="1328"/>
      <c r="N201" s="1328"/>
      <c r="O201" s="1328"/>
      <c r="P201" s="1328"/>
      <c r="Q201" s="2089"/>
      <c r="R201" s="1328"/>
      <c r="S201" s="1328"/>
      <c r="T201" s="1328"/>
      <c r="U201" s="1328"/>
      <c r="V201" s="2089"/>
      <c r="W201" s="1328"/>
      <c r="X201" s="1328"/>
      <c r="Y201" s="1328"/>
      <c r="Z201" s="1328"/>
      <c r="AA201" s="2089"/>
      <c r="AB201" s="1328"/>
      <c r="AC201" s="1328"/>
      <c r="AD201" s="1328"/>
      <c r="AE201" s="1328"/>
      <c r="AF201" s="1328"/>
      <c r="AG201" s="1328"/>
      <c r="AH201" s="1328"/>
      <c r="AI201" s="1328"/>
      <c r="AJ201" s="2089"/>
      <c r="AK201" s="1328"/>
      <c r="AL201" s="1328"/>
      <c r="AM201" s="1328"/>
      <c r="AN201" s="1328"/>
      <c r="AO201" s="2089"/>
      <c r="AP201" s="1328"/>
      <c r="AQ201" s="1328"/>
      <c r="AR201" s="1328"/>
      <c r="AS201" s="1328"/>
      <c r="AT201" s="2089"/>
      <c r="AU201" s="1328"/>
      <c r="AV201" s="1328"/>
      <c r="AW201" s="1328"/>
      <c r="AX201" s="1328"/>
      <c r="AY201" s="2089"/>
      <c r="AZ201" s="1328"/>
      <c r="BA201" s="1328"/>
      <c r="BB201" s="1328"/>
      <c r="BC201" s="1328"/>
      <c r="BD201" s="2089"/>
      <c r="BE201" s="1328"/>
      <c r="BF201" s="1328"/>
      <c r="BG201" s="1328"/>
      <c r="BH201" s="1328"/>
      <c r="BI201" s="2089"/>
      <c r="BJ201" s="1328"/>
      <c r="BK201" s="1328"/>
      <c r="BL201" s="1328"/>
      <c r="BM201" s="1328"/>
      <c r="BN201" s="2089"/>
      <c r="BO201" s="1328"/>
      <c r="BP201" s="1328"/>
      <c r="BQ201" s="1293"/>
      <c r="BR201" s="1293"/>
      <c r="BS201" s="1293"/>
      <c r="BT201" s="1293"/>
      <c r="BU201" s="1293"/>
      <c r="BV201" s="1293"/>
      <c r="BW201" s="1293"/>
      <c r="BX201" s="1293"/>
      <c r="BY201" s="1293"/>
      <c r="BZ201" s="1293"/>
      <c r="CA201" s="1293"/>
      <c r="CB201" s="1293"/>
      <c r="CC201" s="1293"/>
      <c r="CD201" s="1293"/>
      <c r="CE201" s="1293"/>
      <c r="CF201" s="1293"/>
      <c r="CG201" s="1293"/>
      <c r="CH201" s="1293"/>
      <c r="CI201" s="1293"/>
      <c r="CJ201" s="1293"/>
      <c r="CK201" s="1293"/>
      <c r="CL201" s="1293"/>
      <c r="CM201" s="1293"/>
      <c r="CN201" s="1293"/>
      <c r="CO201" s="1293"/>
      <c r="CP201" s="1293"/>
      <c r="CQ201" s="1293"/>
      <c r="CR201" s="1293"/>
      <c r="CS201" s="1293"/>
      <c r="CT201" s="1293"/>
      <c r="CU201" s="1293"/>
      <c r="CV201" s="1293"/>
      <c r="CW201" s="1293"/>
      <c r="CX201" s="1293"/>
      <c r="CY201" s="2101"/>
      <c r="CZ201" s="1328"/>
      <c r="DA201" s="2100"/>
      <c r="DB201" s="2101"/>
      <c r="DC201" s="1293"/>
      <c r="DD201" s="1293"/>
      <c r="DE201" s="1293"/>
      <c r="DF201" s="1293"/>
      <c r="DG201" s="1293"/>
      <c r="DH201" s="1293"/>
      <c r="DI201" s="1293"/>
      <c r="DJ201" s="1293"/>
      <c r="DK201" s="1293"/>
      <c r="DL201" s="2147">
        <v>508.95359999999999</v>
      </c>
    </row>
    <row r="202" spans="1:116" ht="16.5" hidden="1" outlineLevel="1" thickBot="1">
      <c r="A202" s="1293"/>
      <c r="B202" s="1293" t="str">
        <f t="shared" si="275"/>
        <v>Tanzania</v>
      </c>
      <c r="C202" s="1328"/>
      <c r="D202" s="1328"/>
      <c r="E202" s="1328"/>
      <c r="F202" s="1328"/>
      <c r="G202" s="2089"/>
      <c r="H202" s="1328"/>
      <c r="I202" s="1328"/>
      <c r="J202" s="1328"/>
      <c r="K202" s="1328"/>
      <c r="L202" s="2089"/>
      <c r="M202" s="1328"/>
      <c r="N202" s="1328"/>
      <c r="O202" s="1328"/>
      <c r="P202" s="1328"/>
      <c r="Q202" s="2089"/>
      <c r="R202" s="1328"/>
      <c r="S202" s="1328"/>
      <c r="T202" s="1328"/>
      <c r="U202" s="1328"/>
      <c r="V202" s="2089"/>
      <c r="W202" s="1328"/>
      <c r="X202" s="1328"/>
      <c r="Y202" s="1328"/>
      <c r="Z202" s="1328"/>
      <c r="AA202" s="2089"/>
      <c r="AB202" s="1328"/>
      <c r="AC202" s="1328"/>
      <c r="AD202" s="1328"/>
      <c r="AE202" s="1328"/>
      <c r="AF202" s="1328"/>
      <c r="AG202" s="1328"/>
      <c r="AH202" s="1328"/>
      <c r="AI202" s="1328"/>
      <c r="AJ202" s="2089"/>
      <c r="AK202" s="1328"/>
      <c r="AL202" s="1328"/>
      <c r="AM202" s="1328"/>
      <c r="AN202" s="1328"/>
      <c r="AO202" s="2089"/>
      <c r="AP202" s="1328"/>
      <c r="AQ202" s="1328"/>
      <c r="AR202" s="1328"/>
      <c r="AS202" s="1328"/>
      <c r="AT202" s="2089"/>
      <c r="AU202" s="1328"/>
      <c r="AV202" s="1328"/>
      <c r="AW202" s="1328"/>
      <c r="AX202" s="1328"/>
      <c r="AY202" s="2089"/>
      <c r="AZ202" s="1328"/>
      <c r="BA202" s="1328"/>
      <c r="BB202" s="1328"/>
      <c r="BC202" s="1328"/>
      <c r="BD202" s="2089"/>
      <c r="BE202" s="1328"/>
      <c r="BF202" s="1328"/>
      <c r="BG202" s="1328"/>
      <c r="BH202" s="1328"/>
      <c r="BI202" s="2089"/>
      <c r="BJ202" s="1328"/>
      <c r="BK202" s="1328"/>
      <c r="BL202" s="1328"/>
      <c r="BM202" s="1328"/>
      <c r="BN202" s="2089"/>
      <c r="BO202" s="1328"/>
      <c r="BP202" s="1328"/>
      <c r="BQ202" s="1293"/>
      <c r="BR202" s="1293"/>
      <c r="BS202" s="1293"/>
      <c r="BT202" s="1293"/>
      <c r="BU202" s="1293"/>
      <c r="BV202" s="1293"/>
      <c r="BW202" s="1293"/>
      <c r="BX202" s="1293"/>
      <c r="BY202" s="1293"/>
      <c r="BZ202" s="1293"/>
      <c r="CA202" s="1293"/>
      <c r="CB202" s="1293"/>
      <c r="CC202" s="1293"/>
      <c r="CD202" s="1293"/>
      <c r="CE202" s="1293"/>
      <c r="CF202" s="1293"/>
      <c r="CG202" s="1293"/>
      <c r="CH202" s="1293"/>
      <c r="CI202" s="1293"/>
      <c r="CJ202" s="1293"/>
      <c r="CK202" s="1293"/>
      <c r="CL202" s="1293"/>
      <c r="CM202" s="1293"/>
      <c r="CN202" s="1293"/>
      <c r="CO202" s="1293"/>
      <c r="CP202" s="1293"/>
      <c r="CQ202" s="1293"/>
      <c r="CR202" s="1293"/>
      <c r="CS202" s="1293"/>
      <c r="CT202" s="1293"/>
      <c r="CU202" s="1293"/>
      <c r="CV202" s="1293"/>
      <c r="CW202" s="1293"/>
      <c r="CX202" s="1293"/>
      <c r="CY202" s="2101"/>
      <c r="CZ202" s="1328"/>
      <c r="DA202" s="2100"/>
      <c r="DB202" s="2101"/>
      <c r="DC202" s="1293"/>
      <c r="DD202" s="1293"/>
      <c r="DE202" s="1293"/>
      <c r="DF202" s="1293"/>
      <c r="DG202" s="1293"/>
      <c r="DH202" s="1293"/>
      <c r="DI202" s="1293"/>
      <c r="DJ202" s="1293"/>
      <c r="DK202" s="1293"/>
      <c r="DL202" s="2147">
        <v>508.3184</v>
      </c>
    </row>
    <row r="203" spans="1:116" ht="16.5" hidden="1" outlineLevel="1" thickBot="1">
      <c r="A203" s="1293"/>
      <c r="B203" s="1293" t="str">
        <f t="shared" si="275"/>
        <v>Zantel</v>
      </c>
      <c r="C203" s="1328"/>
      <c r="D203" s="1328"/>
      <c r="E203" s="1328"/>
      <c r="F203" s="1328"/>
      <c r="G203" s="2089"/>
      <c r="H203" s="1328"/>
      <c r="I203" s="1328"/>
      <c r="J203" s="1328"/>
      <c r="K203" s="1328"/>
      <c r="L203" s="2089"/>
      <c r="M203" s="1328"/>
      <c r="N203" s="1328"/>
      <c r="O203" s="1328"/>
      <c r="P203" s="1328"/>
      <c r="Q203" s="2089"/>
      <c r="R203" s="1328"/>
      <c r="S203" s="1328"/>
      <c r="T203" s="1328"/>
      <c r="U203" s="1328"/>
      <c r="V203" s="2089"/>
      <c r="W203" s="1328"/>
      <c r="X203" s="1328"/>
      <c r="Y203" s="1328"/>
      <c r="Z203" s="1328"/>
      <c r="AA203" s="2089"/>
      <c r="AB203" s="1328"/>
      <c r="AC203" s="1328"/>
      <c r="AD203" s="1328"/>
      <c r="AE203" s="1328"/>
      <c r="AF203" s="1328"/>
      <c r="AG203" s="1328"/>
      <c r="AH203" s="1328"/>
      <c r="AI203" s="1328"/>
      <c r="AJ203" s="2089"/>
      <c r="AK203" s="1328"/>
      <c r="AL203" s="1328"/>
      <c r="AM203" s="1328"/>
      <c r="AN203" s="1328"/>
      <c r="AO203" s="2089"/>
      <c r="AP203" s="1328"/>
      <c r="AQ203" s="1328"/>
      <c r="AR203" s="1328"/>
      <c r="AS203" s="1328"/>
      <c r="AT203" s="2089"/>
      <c r="AU203" s="1328"/>
      <c r="AV203" s="1328"/>
      <c r="AW203" s="1328"/>
      <c r="AX203" s="1328"/>
      <c r="AY203" s="2089"/>
      <c r="AZ203" s="1328"/>
      <c r="BA203" s="1328"/>
      <c r="BB203" s="1328"/>
      <c r="BC203" s="1328"/>
      <c r="BD203" s="2089"/>
      <c r="BE203" s="1328"/>
      <c r="BF203" s="1328"/>
      <c r="BG203" s="1328"/>
      <c r="BH203" s="1328"/>
      <c r="BI203" s="2089"/>
      <c r="BJ203" s="1328"/>
      <c r="BK203" s="1328"/>
      <c r="BL203" s="1328"/>
      <c r="BM203" s="1328"/>
      <c r="BN203" s="2089"/>
      <c r="BO203" s="1328"/>
      <c r="BP203" s="1328"/>
      <c r="BQ203" s="1293"/>
      <c r="BR203" s="1293"/>
      <c r="BS203" s="1293"/>
      <c r="BT203" s="1293"/>
      <c r="BU203" s="1293"/>
      <c r="BV203" s="1293"/>
      <c r="BW203" s="1293"/>
      <c r="BX203" s="1293"/>
      <c r="BY203" s="1293"/>
      <c r="BZ203" s="1293"/>
      <c r="CA203" s="1293"/>
      <c r="CB203" s="1293"/>
      <c r="CC203" s="1293"/>
      <c r="CD203" s="1293"/>
      <c r="CE203" s="1293"/>
      <c r="CF203" s="1293"/>
      <c r="CG203" s="1293"/>
      <c r="CH203" s="1293"/>
      <c r="CI203" s="1293"/>
      <c r="CJ203" s="1293"/>
      <c r="CK203" s="1293"/>
      <c r="CL203" s="1293"/>
      <c r="CM203" s="1293"/>
      <c r="CN203" s="1293"/>
      <c r="CO203" s="1293"/>
      <c r="CP203" s="1293"/>
      <c r="CQ203" s="1293"/>
      <c r="CR203" s="1293"/>
      <c r="CS203" s="1293"/>
      <c r="CT203" s="1293"/>
      <c r="CU203" s="1293"/>
      <c r="CV203" s="1293"/>
      <c r="CW203" s="1293"/>
      <c r="CX203" s="1293"/>
      <c r="CY203" s="2101"/>
      <c r="CZ203" s="1328"/>
      <c r="DA203" s="2100"/>
      <c r="DB203" s="2101"/>
      <c r="DC203" s="1293"/>
      <c r="DD203" s="1293"/>
      <c r="DE203" s="1293"/>
      <c r="DF203" s="1293"/>
      <c r="DG203" s="1293"/>
      <c r="DH203" s="1293"/>
      <c r="DI203" s="1293"/>
      <c r="DJ203" s="1293"/>
      <c r="DK203" s="1293"/>
      <c r="DL203" s="2147">
        <v>508.3184</v>
      </c>
    </row>
    <row r="204" spans="1:116" ht="16.5" hidden="1" outlineLevel="1" thickBot="1">
      <c r="A204" s="1293"/>
      <c r="B204" s="1331" t="str">
        <f t="shared" si="275"/>
        <v>Balancing item</v>
      </c>
      <c r="C204" s="1337"/>
      <c r="D204" s="1337"/>
      <c r="E204" s="1337"/>
      <c r="F204" s="1337"/>
      <c r="G204" s="2141"/>
      <c r="H204" s="1337"/>
      <c r="I204" s="1337"/>
      <c r="J204" s="1337"/>
      <c r="K204" s="1337"/>
      <c r="L204" s="2141"/>
      <c r="M204" s="1337"/>
      <c r="N204" s="1337"/>
      <c r="O204" s="1337"/>
      <c r="P204" s="1337"/>
      <c r="Q204" s="2141"/>
      <c r="R204" s="1337"/>
      <c r="S204" s="1337"/>
      <c r="T204" s="1337"/>
      <c r="U204" s="1337"/>
      <c r="V204" s="2141"/>
      <c r="W204" s="1337"/>
      <c r="X204" s="1337"/>
      <c r="Y204" s="1337"/>
      <c r="Z204" s="1337"/>
      <c r="AA204" s="2141"/>
      <c r="AB204" s="1337"/>
      <c r="AC204" s="1337"/>
      <c r="AD204" s="1337"/>
      <c r="AE204" s="1337"/>
      <c r="AF204" s="1337"/>
      <c r="AG204" s="1337"/>
      <c r="AH204" s="1337"/>
      <c r="AI204" s="1337"/>
      <c r="AJ204" s="2141"/>
      <c r="AK204" s="1337"/>
      <c r="AL204" s="1337"/>
      <c r="AM204" s="1337"/>
      <c r="AN204" s="1337"/>
      <c r="AO204" s="2141"/>
      <c r="AP204" s="1337"/>
      <c r="AQ204" s="1337"/>
      <c r="AR204" s="1337"/>
      <c r="AS204" s="1337"/>
      <c r="AT204" s="2141"/>
      <c r="AU204" s="1337"/>
      <c r="AV204" s="1337"/>
      <c r="AW204" s="1337"/>
      <c r="AX204" s="1337"/>
      <c r="AY204" s="2141"/>
      <c r="AZ204" s="1337"/>
      <c r="BA204" s="1337"/>
      <c r="BB204" s="1337"/>
      <c r="BC204" s="1337"/>
      <c r="BD204" s="2141"/>
      <c r="BE204" s="1337"/>
      <c r="BF204" s="1337"/>
      <c r="BG204" s="1337"/>
      <c r="BH204" s="1337"/>
      <c r="BI204" s="2141"/>
      <c r="BJ204" s="1337"/>
      <c r="BK204" s="1337"/>
      <c r="BL204" s="1337"/>
      <c r="BM204" s="1337"/>
      <c r="BN204" s="2141"/>
      <c r="BO204" s="1328"/>
      <c r="BP204" s="1328"/>
      <c r="BQ204" s="1293"/>
      <c r="BR204" s="1293"/>
      <c r="BS204" s="1293"/>
      <c r="BT204" s="1293"/>
      <c r="BU204" s="1293"/>
      <c r="BV204" s="1293"/>
      <c r="BW204" s="1293"/>
      <c r="BX204" s="1293"/>
      <c r="BY204" s="1293"/>
      <c r="BZ204" s="1293"/>
      <c r="CA204" s="1293"/>
      <c r="CB204" s="1293"/>
      <c r="CC204" s="1293"/>
      <c r="CD204" s="1293"/>
      <c r="CE204" s="1293"/>
      <c r="CF204" s="1293"/>
      <c r="CG204" s="1293"/>
      <c r="CH204" s="1293"/>
      <c r="CI204" s="1293"/>
      <c r="CJ204" s="1293"/>
      <c r="CK204" s="1293"/>
      <c r="CL204" s="1293"/>
      <c r="CM204" s="1293"/>
      <c r="CN204" s="1293"/>
      <c r="CO204" s="1293"/>
      <c r="CP204" s="1293"/>
      <c r="CQ204" s="1293"/>
      <c r="CR204" s="1293"/>
      <c r="CS204" s="1293"/>
      <c r="CT204" s="1293"/>
      <c r="CU204" s="1293"/>
      <c r="CV204" s="1293"/>
      <c r="CW204" s="1293"/>
      <c r="CX204" s="1293"/>
      <c r="CY204" s="2142"/>
      <c r="CZ204" s="1337"/>
      <c r="DA204" s="2145"/>
      <c r="DB204" s="2146"/>
      <c r="DC204" s="1293"/>
      <c r="DD204" s="1293"/>
      <c r="DE204" s="1293"/>
      <c r="DF204" s="1293"/>
      <c r="DG204" s="1293"/>
      <c r="DH204" s="1293"/>
      <c r="DI204" s="1293"/>
      <c r="DJ204" s="1293"/>
      <c r="DK204" s="1293"/>
      <c r="DL204" s="2147">
        <v>508.7638</v>
      </c>
    </row>
    <row r="205" spans="1:116" ht="16.5" hidden="1" outlineLevel="1" thickBot="1">
      <c r="A205" s="1293"/>
      <c r="B205" s="1293" t="s">
        <v>1831</v>
      </c>
      <c r="C205" s="1328">
        <f t="shared" ref="C205:AH205" si="276">C129/C31</f>
        <v>0.21548821564773152</v>
      </c>
      <c r="D205" s="1328">
        <f t="shared" si="276"/>
        <v>0.25716654703882147</v>
      </c>
      <c r="E205" s="1328">
        <f t="shared" si="276"/>
        <v>0.21470095308944143</v>
      </c>
      <c r="F205" s="1328">
        <f t="shared" si="276"/>
        <v>0.18863151629448205</v>
      </c>
      <c r="G205" s="2089">
        <f t="shared" si="276"/>
        <v>0.21855800408454684</v>
      </c>
      <c r="H205" s="1328">
        <f t="shared" si="276"/>
        <v>0.22919371072903205</v>
      </c>
      <c r="I205" s="1328">
        <f t="shared" si="276"/>
        <v>0.21606346283784802</v>
      </c>
      <c r="J205" s="1328">
        <f t="shared" si="276"/>
        <v>0.1994818563787614</v>
      </c>
      <c r="K205" s="1328">
        <f t="shared" si="276"/>
        <v>6.40109565535458E-2</v>
      </c>
      <c r="L205" s="2089">
        <f t="shared" si="276"/>
        <v>0.17553226215026557</v>
      </c>
      <c r="M205" s="1328">
        <f t="shared" si="276"/>
        <v>0.25839383672197852</v>
      </c>
      <c r="N205" s="1328">
        <f t="shared" si="276"/>
        <v>0.28096822830413393</v>
      </c>
      <c r="O205" s="1328">
        <f t="shared" si="276"/>
        <v>0.28472775844928383</v>
      </c>
      <c r="P205" s="1328">
        <f t="shared" si="276"/>
        <v>0.32314410480349343</v>
      </c>
      <c r="Q205" s="2089">
        <f t="shared" si="276"/>
        <v>0.28715358264972057</v>
      </c>
      <c r="R205" s="1328">
        <f t="shared" si="276"/>
        <v>0.30285714285714288</v>
      </c>
      <c r="S205" s="1328">
        <f t="shared" si="276"/>
        <v>0.27325581395348836</v>
      </c>
      <c r="T205" s="1328">
        <f t="shared" si="276"/>
        <v>0.28187919463087246</v>
      </c>
      <c r="U205" s="1328">
        <f t="shared" si="276"/>
        <v>0.32666666666666666</v>
      </c>
      <c r="V205" s="2089">
        <f t="shared" si="276"/>
        <v>0.29566563467492263</v>
      </c>
      <c r="W205" s="1328">
        <f t="shared" si="276"/>
        <v>0.30597014925373134</v>
      </c>
      <c r="X205" s="1328">
        <f t="shared" si="276"/>
        <v>0.27906976744186046</v>
      </c>
      <c r="Y205" s="1328">
        <f t="shared" si="276"/>
        <v>0.32183908045977011</v>
      </c>
      <c r="Z205" s="1328">
        <f t="shared" si="276"/>
        <v>0.30827067669172931</v>
      </c>
      <c r="AA205" s="2089">
        <f t="shared" si="276"/>
        <v>0.30389363722697055</v>
      </c>
      <c r="AB205" s="1328">
        <f t="shared" si="276"/>
        <v>0.34677419354838712</v>
      </c>
      <c r="AC205" s="1328">
        <f t="shared" si="276"/>
        <v>0.28225806451612906</v>
      </c>
      <c r="AD205" s="1328">
        <f t="shared" si="276"/>
        <v>0.46195652173913043</v>
      </c>
      <c r="AE205" s="1328">
        <f t="shared" si="276"/>
        <v>0.37173913043478263</v>
      </c>
      <c r="AF205" s="1328">
        <f t="shared" si="276"/>
        <v>0.44387755102040816</v>
      </c>
      <c r="AG205" s="1328">
        <f t="shared" si="276"/>
        <v>0.35204081632653061</v>
      </c>
      <c r="AH205" s="1328">
        <f t="shared" si="276"/>
        <v>0.40306122448979592</v>
      </c>
      <c r="AI205" s="1328"/>
      <c r="AJ205" s="2089">
        <f>AJ129/AJ31</f>
        <v>0.40898058252427183</v>
      </c>
      <c r="AK205" s="1328">
        <f>AK129/AK31</f>
        <v>0.38202247191011235</v>
      </c>
      <c r="AL205" s="1328">
        <f>AL129/AL31</f>
        <v>0.38372093023255816</v>
      </c>
      <c r="AM205" s="1328">
        <f>AM129/AM31</f>
        <v>0.38297872340425532</v>
      </c>
      <c r="AN205" s="1328">
        <f>AN129/AN31</f>
        <v>0.39175257731958762</v>
      </c>
      <c r="AO205" s="2089"/>
      <c r="AP205" s="1328">
        <f>AP129/AP31</f>
        <v>0.39325842696629215</v>
      </c>
      <c r="AQ205" s="1328">
        <f>AQ129/AQ31</f>
        <v>0.38202247191011235</v>
      </c>
      <c r="AR205" s="1328">
        <f>AR129/AR31</f>
        <v>0.34482758620689657</v>
      </c>
      <c r="AS205" s="1328">
        <f>AS129/AS31</f>
        <v>0.31521739130434784</v>
      </c>
      <c r="AT205" s="2089">
        <f>AT129/AT31</f>
        <v>0.35854341736694678</v>
      </c>
      <c r="AU205" s="1328"/>
      <c r="AV205" s="1328"/>
      <c r="AW205" s="1328"/>
      <c r="AX205" s="1328"/>
      <c r="AY205" s="2089"/>
      <c r="AZ205" s="1328"/>
      <c r="BA205" s="1328"/>
      <c r="BB205" s="1328"/>
      <c r="BC205" s="1328"/>
      <c r="BD205" s="2089"/>
      <c r="BE205" s="1328"/>
      <c r="BF205" s="1328"/>
      <c r="BG205" s="1328"/>
      <c r="BH205" s="1328"/>
      <c r="BI205" s="2089"/>
      <c r="BJ205" s="1328"/>
      <c r="BK205" s="1328"/>
      <c r="BL205" s="1328"/>
      <c r="BM205" s="1328"/>
      <c r="BN205" s="2089"/>
      <c r="BO205" s="1328"/>
      <c r="BP205" s="1328"/>
      <c r="BQ205" s="1293"/>
      <c r="BR205" s="1293"/>
      <c r="BS205" s="1293"/>
      <c r="BT205" s="1293"/>
      <c r="BU205" s="1293"/>
      <c r="BV205" s="1293"/>
      <c r="BW205" s="1293"/>
      <c r="BX205" s="1293"/>
      <c r="BY205" s="1293"/>
      <c r="BZ205" s="1293"/>
      <c r="CA205" s="1293"/>
      <c r="CB205" s="1293"/>
      <c r="CC205" s="1293"/>
      <c r="CD205" s="1293"/>
      <c r="CE205" s="1293"/>
      <c r="CF205" s="1293"/>
      <c r="CG205" s="1293"/>
      <c r="CH205" s="1293"/>
      <c r="CI205" s="1293"/>
      <c r="CJ205" s="1293"/>
      <c r="CK205" s="1293"/>
      <c r="CL205" s="1293"/>
      <c r="CM205" s="1293"/>
      <c r="CN205" s="1293"/>
      <c r="CO205" s="1293"/>
      <c r="CP205" s="1293"/>
      <c r="CQ205" s="1293"/>
      <c r="CR205" s="1293"/>
      <c r="CS205" s="1293"/>
      <c r="CT205" s="1293"/>
      <c r="CU205" s="1293"/>
      <c r="CV205" s="1293"/>
      <c r="CW205" s="1293"/>
      <c r="CX205" s="1293"/>
      <c r="CY205" s="2101"/>
      <c r="CZ205" s="1328"/>
      <c r="DA205" s="2100"/>
      <c r="DB205" s="2101"/>
      <c r="DC205" s="1293"/>
      <c r="DD205" s="1293"/>
      <c r="DE205" s="1293"/>
      <c r="DF205" s="1293"/>
      <c r="DG205" s="1293"/>
      <c r="DH205" s="1293"/>
      <c r="DI205" s="1293"/>
      <c r="DJ205" s="1293"/>
      <c r="DK205" s="1293"/>
      <c r="DL205" s="2147">
        <v>507.47820000000002</v>
      </c>
    </row>
    <row r="206" spans="1:116" ht="16.5" hidden="1" outlineLevel="1" thickBot="1">
      <c r="A206" s="1293"/>
      <c r="B206" s="1293"/>
      <c r="C206" s="1328"/>
      <c r="D206" s="1328"/>
      <c r="E206" s="1328"/>
      <c r="F206" s="1328"/>
      <c r="G206" s="2089"/>
      <c r="H206" s="1328"/>
      <c r="I206" s="1328"/>
      <c r="J206" s="1328"/>
      <c r="K206" s="1328"/>
      <c r="L206" s="2089"/>
      <c r="M206" s="1328"/>
      <c r="N206" s="1328"/>
      <c r="O206" s="1328"/>
      <c r="P206" s="1328"/>
      <c r="Q206" s="2089"/>
      <c r="R206" s="1328"/>
      <c r="S206" s="1328"/>
      <c r="T206" s="1328"/>
      <c r="U206" s="1328"/>
      <c r="V206" s="2089"/>
      <c r="W206" s="1328"/>
      <c r="X206" s="1328"/>
      <c r="Y206" s="1328"/>
      <c r="Z206" s="1328"/>
      <c r="AA206" s="2089"/>
      <c r="AB206" s="1328"/>
      <c r="AC206" s="1328"/>
      <c r="AD206" s="1328"/>
      <c r="AE206" s="1328"/>
      <c r="AF206" s="1328"/>
      <c r="AG206" s="1328">
        <f>30/AG31</f>
        <v>0.30612244897959184</v>
      </c>
      <c r="AH206" s="1328"/>
      <c r="AI206" s="1328"/>
      <c r="AJ206" s="2089"/>
      <c r="AK206" s="1328">
        <f>(AK109+AK112)/(AK9+AK12)</f>
        <v>0.38541666666666669</v>
      </c>
      <c r="AL206" s="1328">
        <f>(AL109+AL112)/(AL9+AL12)</f>
        <v>0.37777777777777777</v>
      </c>
      <c r="AM206" s="1328">
        <f>(AM109+AM112)/(AM9+AM12)</f>
        <v>0.36046511627906974</v>
      </c>
      <c r="AN206" s="1328">
        <f>(AN109+AN112)/(AN9+AN12)</f>
        <v>0.32222222222222224</v>
      </c>
      <c r="AO206" s="2039"/>
      <c r="AP206" s="1328">
        <f>(AP109+AP112)/(AP9+AP12)</f>
        <v>0.39130434782608697</v>
      </c>
      <c r="AQ206" s="1328">
        <f>(AQ109+AQ112)/(AQ9+AQ12)</f>
        <v>0.4</v>
      </c>
      <c r="AR206" s="1328">
        <f>(AR109+AR112)/(AR9+AR12)</f>
        <v>0.37894736842105264</v>
      </c>
      <c r="AS206" s="1328">
        <f>(AS109+AS112)/(AS9+AS12)</f>
        <v>0.39795918367346939</v>
      </c>
      <c r="AT206" s="2089"/>
      <c r="AU206" s="1328">
        <f>(AU109+AU112)/(AU9+AU12)</f>
        <v>0.38541666666666669</v>
      </c>
      <c r="AV206" s="1328">
        <f>(AV109+AV112)/(AV9+AV12)</f>
        <v>0.41052631578947368</v>
      </c>
      <c r="AW206" s="1328">
        <f>(AW109+AW112)/(AW9+AW12)</f>
        <v>0.41052631578947368</v>
      </c>
      <c r="AX206" s="1328">
        <f>(AX109+AX112)/(AX9+AX12)</f>
        <v>0.40404040404040403</v>
      </c>
      <c r="AY206" s="2089"/>
      <c r="AZ206" s="1328">
        <f>(AZ109+AZ112)/(AZ9+AZ12)</f>
        <v>0.40196078431372551</v>
      </c>
      <c r="BA206" s="1328">
        <f>(BA109+BA112)/(BA9+BA12)</f>
        <v>0.39423076923076922</v>
      </c>
      <c r="BB206" s="1328">
        <f>(BB109+BB112)/(BB9+BB12)</f>
        <v>0.41346153846153844</v>
      </c>
      <c r="BC206" s="1328">
        <f>(BC109+BC112)/(BC9+BC12)</f>
        <v>0.44026035297855742</v>
      </c>
      <c r="BD206" s="2089"/>
      <c r="BE206" s="1328">
        <f>(BE109+BE112)/(BE9+BE12)</f>
        <v>0.44230769230769229</v>
      </c>
      <c r="BF206" s="1328">
        <f>(BF109+BF112)/(BF9+BF12)</f>
        <v>0.44230769230769229</v>
      </c>
      <c r="BG206" s="1328">
        <f>(BG109+BG112)/(BG9+BG12)</f>
        <v>0.44230769230769229</v>
      </c>
      <c r="BH206" s="1328">
        <f ca="1">(BH109+BH112)/(BH9+BH12)</f>
        <v>0.27639550732718238</v>
      </c>
      <c r="BI206" s="2089"/>
      <c r="BJ206" s="1328" t="e">
        <f>(BJ109+BJ112)/(BJ9+BJ12)</f>
        <v>#DIV/0!</v>
      </c>
      <c r="BK206" s="1328" t="e">
        <f>(BK109+BK112)/(BK9+BK12)</f>
        <v>#DIV/0!</v>
      </c>
      <c r="BL206" s="1328" t="e">
        <f>(BL109+BL112)/(BL9+BL12)</f>
        <v>#DIV/0!</v>
      </c>
      <c r="BM206" s="1328" t="e">
        <f>(BM109+BM112)/(BM9+BM12)</f>
        <v>#DIV/0!</v>
      </c>
      <c r="BN206" s="2089"/>
      <c r="BO206" s="1328"/>
      <c r="BP206" s="1328"/>
      <c r="BQ206" s="1293"/>
      <c r="BR206" s="1293"/>
      <c r="BS206" s="1293"/>
      <c r="BT206" s="1293"/>
      <c r="BU206" s="1293"/>
      <c r="BV206" s="1293"/>
      <c r="BW206" s="1293"/>
      <c r="BX206" s="1293"/>
      <c r="BY206" s="1293"/>
      <c r="BZ206" s="1293"/>
      <c r="CA206" s="1293"/>
      <c r="CB206" s="1293"/>
      <c r="CC206" s="1293"/>
      <c r="CD206" s="1293"/>
      <c r="CE206" s="1293"/>
      <c r="CF206" s="1293"/>
      <c r="CG206" s="1293"/>
      <c r="CH206" s="1293"/>
      <c r="CI206" s="1293"/>
      <c r="CJ206" s="1293"/>
      <c r="CK206" s="1293"/>
      <c r="CL206" s="1293"/>
      <c r="CM206" s="1293"/>
      <c r="CN206" s="1293"/>
      <c r="CO206" s="1293"/>
      <c r="CP206" s="1293"/>
      <c r="CQ206" s="1293"/>
      <c r="CR206" s="1293"/>
      <c r="CS206" s="1293"/>
      <c r="CT206" s="1293"/>
      <c r="CU206" s="1293"/>
      <c r="CV206" s="1293"/>
      <c r="CW206" s="1293"/>
      <c r="CX206" s="1293"/>
      <c r="CY206" s="2101">
        <v>0.39641129303122297</v>
      </c>
      <c r="CZ206" s="1328">
        <f>(CZ109+CZ112)/(CZ9+CZ12)</f>
        <v>0.39679734283877971</v>
      </c>
      <c r="DA206" s="2100">
        <v>0.42657785595092546</v>
      </c>
      <c r="DB206" s="2101">
        <v>0.44604098317307816</v>
      </c>
      <c r="DC206" s="1293"/>
      <c r="DD206" s="1293"/>
      <c r="DE206" s="1293"/>
      <c r="DF206" s="1293"/>
      <c r="DG206" s="1293"/>
      <c r="DH206" s="1293"/>
      <c r="DI206" s="1293"/>
      <c r="DJ206" s="1293"/>
      <c r="DK206" s="1293"/>
      <c r="DL206" s="2147">
        <v>508.30770000000001</v>
      </c>
    </row>
    <row r="207" spans="1:116" ht="16.5" hidden="1" outlineLevel="1" thickBot="1">
      <c r="A207" s="1293"/>
      <c r="B207" s="1293"/>
      <c r="C207" s="1328" t="s">
        <v>1823</v>
      </c>
      <c r="D207" s="1328"/>
      <c r="E207" s="1328"/>
      <c r="F207" s="1328"/>
      <c r="G207" s="2089"/>
      <c r="H207" s="1328"/>
      <c r="I207" s="1328"/>
      <c r="J207" s="1328"/>
      <c r="K207" s="1328"/>
      <c r="L207" s="2089"/>
      <c r="M207" s="1328"/>
      <c r="N207" s="1328"/>
      <c r="O207" s="1328"/>
      <c r="P207" s="1328"/>
      <c r="Q207" s="2089"/>
      <c r="R207" s="1328"/>
      <c r="S207" s="1328"/>
      <c r="T207" s="1328"/>
      <c r="U207" s="1328"/>
      <c r="V207" s="2089"/>
      <c r="W207" s="1328"/>
      <c r="X207" s="1328"/>
      <c r="Y207" s="1328"/>
      <c r="Z207" s="1328"/>
      <c r="AA207" s="2089"/>
      <c r="AB207" s="1328"/>
      <c r="AC207" s="1328"/>
      <c r="AD207" s="1328"/>
      <c r="AE207" s="1328"/>
      <c r="AF207" s="1328"/>
      <c r="AG207" s="1328"/>
      <c r="AH207" s="1328"/>
      <c r="AI207" s="1328"/>
      <c r="AJ207" s="2089"/>
      <c r="AK207" s="1328"/>
      <c r="AL207" s="1328"/>
      <c r="AM207" s="1328"/>
      <c r="AN207" s="1328"/>
      <c r="AO207" s="2089"/>
      <c r="AP207" s="1328"/>
      <c r="AQ207" s="1328"/>
      <c r="AR207" s="1328"/>
      <c r="AS207" s="1328"/>
      <c r="AT207" s="2089"/>
      <c r="AU207" s="1328"/>
      <c r="AV207" s="1328"/>
      <c r="AW207" s="1328"/>
      <c r="AX207" s="1328"/>
      <c r="AY207" s="2089"/>
      <c r="AZ207" s="1328"/>
      <c r="BA207" s="1328"/>
      <c r="BB207" s="1328"/>
      <c r="BC207" s="1328"/>
      <c r="BD207" s="2089"/>
      <c r="BE207" s="1328"/>
      <c r="BF207" s="1328"/>
      <c r="BG207" s="1328"/>
      <c r="BH207" s="1328"/>
      <c r="BI207" s="2089"/>
      <c r="BJ207" s="1328"/>
      <c r="BK207" s="1328"/>
      <c r="BL207" s="1328"/>
      <c r="BM207" s="1328"/>
      <c r="BN207" s="2089"/>
      <c r="BO207" s="1328"/>
      <c r="BP207" s="1328"/>
      <c r="BQ207" s="1293"/>
      <c r="BR207" s="1293"/>
      <c r="BS207" s="1293"/>
      <c r="BT207" s="1293"/>
      <c r="BU207" s="1293"/>
      <c r="BV207" s="1293"/>
      <c r="BW207" s="1293"/>
      <c r="BX207" s="1293"/>
      <c r="BY207" s="1293"/>
      <c r="BZ207" s="1293"/>
      <c r="CA207" s="1293"/>
      <c r="CB207" s="1293"/>
      <c r="CC207" s="1293"/>
      <c r="CD207" s="1293"/>
      <c r="CE207" s="1293"/>
      <c r="CF207" s="1293"/>
      <c r="CG207" s="1293"/>
      <c r="CH207" s="1293"/>
      <c r="CI207" s="1293"/>
      <c r="CJ207" s="1293"/>
      <c r="CK207" s="1293"/>
      <c r="CL207" s="1293"/>
      <c r="CM207" s="1293"/>
      <c r="CN207" s="1293"/>
      <c r="CO207" s="1293"/>
      <c r="CP207" s="1293"/>
      <c r="CQ207" s="1293"/>
      <c r="CR207" s="1293"/>
      <c r="CS207" s="1293"/>
      <c r="CT207" s="1293"/>
      <c r="CU207" s="1293"/>
      <c r="CV207" s="1293"/>
      <c r="CW207" s="1293"/>
      <c r="CX207" s="1293"/>
      <c r="CY207" s="2101"/>
      <c r="CZ207" s="1328"/>
      <c r="DA207" s="2100"/>
      <c r="DB207" s="2101"/>
      <c r="DC207" s="1293"/>
      <c r="DD207" s="1293"/>
      <c r="DE207" s="1293"/>
      <c r="DF207" s="1293"/>
      <c r="DG207" s="1293"/>
      <c r="DH207" s="1293"/>
      <c r="DI207" s="1293"/>
      <c r="DJ207" s="1293"/>
      <c r="DK207" s="1293"/>
      <c r="DL207" s="2147">
        <v>508.43029999999999</v>
      </c>
    </row>
    <row r="208" spans="1:116" s="463" customFormat="1" ht="16.5" collapsed="1" thickBot="1">
      <c r="A208" s="1293"/>
      <c r="B208" s="1293" t="s">
        <v>5523</v>
      </c>
      <c r="C208" s="1328"/>
      <c r="D208" s="1328"/>
      <c r="E208" s="1328"/>
      <c r="F208" s="1328"/>
      <c r="G208" s="2089"/>
      <c r="H208" s="1328"/>
      <c r="I208" s="1328"/>
      <c r="J208" s="1328"/>
      <c r="K208" s="1328"/>
      <c r="L208" s="2089"/>
      <c r="M208" s="1328"/>
      <c r="N208" s="1328"/>
      <c r="O208" s="1328"/>
      <c r="P208" s="1328"/>
      <c r="Q208" s="2089"/>
      <c r="R208" s="1328">
        <f>(R113+R119)/(R13+R19)</f>
        <v>0.39924812030075185</v>
      </c>
      <c r="S208" s="1328">
        <f>(S113+S119)/(S13+S19)</f>
        <v>0.38810408921933087</v>
      </c>
      <c r="T208" s="1328">
        <f>(T113+T119)/(T13+T19)</f>
        <v>0.39632352941176469</v>
      </c>
      <c r="U208" s="1328">
        <f>(U113+U119)/(U13+U19)</f>
        <v>0.39232409381663114</v>
      </c>
      <c r="V208" s="2089"/>
      <c r="W208" s="1328">
        <f>(W113+W119)/(W13+W19)</f>
        <v>0.40739689578713978</v>
      </c>
      <c r="X208" s="1328">
        <f>(X113+X119)/(X13+X19)</f>
        <v>0.39931358381502891</v>
      </c>
      <c r="Y208" s="1328">
        <f>(Y113+Y119)/(Y13+Y19)</f>
        <v>0.40700000000000003</v>
      </c>
      <c r="Z208" s="1328">
        <f>(Z113+Z119)/(Z13+Z19)</f>
        <v>0.4040550325850833</v>
      </c>
      <c r="AA208" s="2089"/>
      <c r="AB208" s="1328">
        <f t="shared" ref="AB208:AI208" si="277">(AB113+AB119)/(AB13+AB19)</f>
        <v>0.43844670406732117</v>
      </c>
      <c r="AC208" s="1328">
        <f t="shared" si="277"/>
        <v>0.41334642356241236</v>
      </c>
      <c r="AD208" s="1328">
        <f t="shared" si="277"/>
        <v>0.42549623545516768</v>
      </c>
      <c r="AE208" s="1328">
        <f t="shared" si="277"/>
        <v>0.40145037645448323</v>
      </c>
      <c r="AF208" s="1328">
        <f t="shared" si="277"/>
        <v>0.4342307692307692</v>
      </c>
      <c r="AG208" s="1328">
        <f t="shared" si="277"/>
        <v>0.40677458193979937</v>
      </c>
      <c r="AH208" s="1328">
        <f t="shared" si="277"/>
        <v>0.43004121750158525</v>
      </c>
      <c r="AI208" s="1328">
        <f t="shared" si="277"/>
        <v>0</v>
      </c>
      <c r="AJ208" s="2089"/>
      <c r="AK208" s="1328">
        <f>(AK113+AK119)/(AK13+AK19)</f>
        <v>0.42649006622516555</v>
      </c>
      <c r="AL208" s="1328">
        <f>(AL113+AL119)/(AL13+AL19)</f>
        <v>0.41800878477306003</v>
      </c>
      <c r="AM208" s="1328">
        <f>(AM113+AM119)/(AM13+AM19)</f>
        <v>0.41931034482758622</v>
      </c>
      <c r="AN208" s="1328">
        <f>(AN113+AN119)/(AN13+AN19)</f>
        <v>0.42857142857142855</v>
      </c>
      <c r="AO208" s="2089"/>
      <c r="AP208" s="1328">
        <f>(AP113+AP119)/(AP13+AP19)</f>
        <v>0.43452768729641694</v>
      </c>
      <c r="AQ208" s="1328">
        <f>(AQ113+AQ119)/(AQ13+AQ19)</f>
        <v>0.42193548387096774</v>
      </c>
      <c r="AR208" s="1328">
        <f>(AR113+AR119)/(AR13+AR19)</f>
        <v>0.41983258209916291</v>
      </c>
      <c r="AS208" s="1328">
        <f>(AS113+AS119)/(AS13+AS19)</f>
        <v>0.41635455680399502</v>
      </c>
      <c r="AT208" s="2089"/>
      <c r="AU208" s="1328">
        <f>(AU113+AU119)/(AU13+AU19)</f>
        <v>0.42703667363268666</v>
      </c>
      <c r="AV208" s="1328">
        <f>(AV113+AV119)/(AV13+AV19)</f>
        <v>0.42071393557425163</v>
      </c>
      <c r="AW208" s="1328">
        <f>(AW113+AW119)/(AW13+AW19)</f>
        <v>0.41810569133544112</v>
      </c>
      <c r="AX208" s="1328">
        <f>(AX113+AX119)/(AX13+AX19)</f>
        <v>0.42665922736899248</v>
      </c>
      <c r="AY208" s="2089"/>
      <c r="AZ208" s="1328">
        <f>(AZ113+AZ119)/(AZ13+AZ19)</f>
        <v>0.41570707166183807</v>
      </c>
      <c r="BA208" s="1328">
        <f>(BA113+BA119)/(BA13+BA19)</f>
        <v>0.4175676647212378</v>
      </c>
      <c r="BB208" s="1328">
        <f>(BB113+BB119)/(BB13+BB19)</f>
        <v>0.43136745082028344</v>
      </c>
      <c r="BC208" s="1328">
        <f>(BC113+BC119)/(BC13+BC19)</f>
        <v>0.44086390996574004</v>
      </c>
      <c r="BD208" s="2089"/>
      <c r="BE208" s="1328">
        <f>(BE113+BE119)/(BE13+BE19)</f>
        <v>0.45059841109399046</v>
      </c>
      <c r="BF208" s="1328">
        <f>(BF113+BF119)/(BF13+BF19)</f>
        <v>0.46339807258883159</v>
      </c>
      <c r="BG208" s="1328">
        <f>(BG113+BG119)/(BG13+BG19)</f>
        <v>0.47055155584508512</v>
      </c>
      <c r="BH208" s="1328">
        <f>(BH113+BH119)/(BH13+BH19)</f>
        <v>0.46129181138097652</v>
      </c>
      <c r="BI208" s="2089"/>
      <c r="BJ208" s="1328">
        <f>(BJ113+BJ119)/(BJ13+BJ19)</f>
        <v>0.47073018016464935</v>
      </c>
      <c r="BK208" s="1328">
        <f>(BK113+BK119)/(BK13+BK19)</f>
        <v>0.47514973389479465</v>
      </c>
      <c r="BL208" s="1328">
        <f>(BL113+BL119)/(BL13+BL19)</f>
        <v>0.47289278468145851</v>
      </c>
      <c r="BM208" s="1328">
        <f>(BM113+BM119)/(BM13+BM19)</f>
        <v>0.45384501272121258</v>
      </c>
      <c r="BN208" s="2089"/>
      <c r="BO208" s="1328"/>
      <c r="BP208" s="1328"/>
      <c r="BQ208" s="1293"/>
      <c r="BR208" s="1293"/>
      <c r="BS208" s="1293"/>
      <c r="BT208" s="1293"/>
      <c r="BU208" s="1293"/>
      <c r="BV208" s="1293"/>
      <c r="BW208" s="1293"/>
      <c r="BX208" s="1293"/>
      <c r="BY208" s="1293"/>
      <c r="BZ208" s="1293"/>
      <c r="CA208" s="1293"/>
      <c r="CB208" s="1293"/>
      <c r="CC208" s="1293"/>
      <c r="CD208" s="1293"/>
      <c r="CE208" s="1293"/>
      <c r="CF208" s="1293"/>
      <c r="CG208" s="1293"/>
      <c r="CH208" s="1293"/>
      <c r="CI208" s="1293"/>
      <c r="CJ208" s="1293"/>
      <c r="CK208" s="1293"/>
      <c r="CL208" s="1293"/>
      <c r="CM208" s="1293"/>
      <c r="CN208" s="1293"/>
      <c r="CO208" s="1293"/>
      <c r="CP208" s="1293"/>
      <c r="CQ208" s="1293"/>
      <c r="CR208" s="1293"/>
      <c r="CS208" s="1293"/>
      <c r="CT208" s="1293"/>
      <c r="CU208" s="1293"/>
      <c r="CV208" s="1293"/>
      <c r="CW208" s="1293"/>
      <c r="CX208" s="1293"/>
      <c r="CY208" s="2101">
        <v>0.42546315543735275</v>
      </c>
      <c r="CZ208" s="1328">
        <f>(CZ113+CZ119)/(CZ13+CZ19)</f>
        <v>0.40697287400278986</v>
      </c>
      <c r="DA208" s="2100">
        <v>0.4596184253898068</v>
      </c>
      <c r="DB208" s="2101">
        <v>0.46594523869481974</v>
      </c>
      <c r="DC208" s="1293"/>
      <c r="DD208" s="1293"/>
      <c r="DE208" s="1293"/>
      <c r="DF208" s="1293"/>
      <c r="DG208" s="1293"/>
      <c r="DH208" s="1293"/>
      <c r="DI208" s="1293"/>
      <c r="DJ208" s="1293"/>
      <c r="DK208" s="1293"/>
      <c r="DL208" s="2147">
        <v>507.00400000000002</v>
      </c>
    </row>
    <row r="209" spans="1:116" ht="16.5" thickBot="1">
      <c r="A209" s="1293"/>
      <c r="B209" s="1293"/>
      <c r="C209" s="1328"/>
      <c r="D209" s="1328"/>
      <c r="E209" s="1328"/>
      <c r="F209" s="1328"/>
      <c r="G209" s="2089"/>
      <c r="H209" s="1328"/>
      <c r="I209" s="1328"/>
      <c r="J209" s="1328"/>
      <c r="K209" s="1328"/>
      <c r="L209" s="2089"/>
      <c r="M209" s="1328"/>
      <c r="N209" s="1328"/>
      <c r="O209" s="1328"/>
      <c r="P209" s="1328"/>
      <c r="Q209" s="2089"/>
      <c r="R209" s="1328"/>
      <c r="S209" s="1328"/>
      <c r="T209" s="1328"/>
      <c r="U209" s="1328"/>
      <c r="V209" s="2089"/>
      <c r="W209" s="1328"/>
      <c r="X209" s="1328"/>
      <c r="Y209" s="1328"/>
      <c r="Z209" s="1328"/>
      <c r="AA209" s="2089"/>
      <c r="AB209" s="1328"/>
      <c r="AC209" s="1328"/>
      <c r="AD209" s="1328"/>
      <c r="AE209" s="1328"/>
      <c r="AF209" s="1328"/>
      <c r="AG209" s="1328"/>
      <c r="AH209" s="1328"/>
      <c r="AI209" s="1328"/>
      <c r="AJ209" s="2089"/>
      <c r="AK209" s="1328"/>
      <c r="AL209" s="1328"/>
      <c r="AM209" s="1328"/>
      <c r="AN209" s="1328"/>
      <c r="AO209" s="2089"/>
      <c r="AP209" s="1328"/>
      <c r="AQ209" s="1328"/>
      <c r="AR209" s="1328"/>
      <c r="AS209" s="1328"/>
      <c r="AT209" s="2089"/>
      <c r="AU209" s="1328"/>
      <c r="AV209" s="1328"/>
      <c r="AW209" s="1328"/>
      <c r="AX209" s="1328"/>
      <c r="AY209" s="2089"/>
      <c r="AZ209" s="1328"/>
      <c r="BA209" s="1328"/>
      <c r="BB209" s="1328"/>
      <c r="BC209" s="1328"/>
      <c r="BD209" s="2089"/>
      <c r="BE209" s="1328"/>
      <c r="BF209" s="1328"/>
      <c r="BG209" s="1328"/>
      <c r="BH209" s="1328"/>
      <c r="BI209" s="2089"/>
      <c r="BJ209" s="1328"/>
      <c r="BK209" s="1328"/>
      <c r="BL209" s="1328"/>
      <c r="BM209" s="1328"/>
      <c r="BN209" s="2089"/>
      <c r="BO209" s="1328"/>
      <c r="BP209" s="1328"/>
      <c r="BQ209" s="1293"/>
      <c r="BR209" s="1293"/>
      <c r="BS209" s="1293"/>
      <c r="BT209" s="1293"/>
      <c r="BU209" s="1293"/>
      <c r="BV209" s="1293"/>
      <c r="BW209" s="1293"/>
      <c r="BX209" s="1293"/>
      <c r="BY209" s="1293"/>
      <c r="BZ209" s="1293"/>
      <c r="CA209" s="1293"/>
      <c r="CB209" s="1293"/>
      <c r="CC209" s="1293"/>
      <c r="CD209" s="1293"/>
      <c r="CE209" s="1293"/>
      <c r="CF209" s="1293"/>
      <c r="CG209" s="1293"/>
      <c r="CH209" s="1293"/>
      <c r="CI209" s="1293"/>
      <c r="CJ209" s="1293"/>
      <c r="CK209" s="1293"/>
      <c r="CL209" s="1293"/>
      <c r="CM209" s="1293"/>
      <c r="CN209" s="1293"/>
      <c r="CO209" s="1293"/>
      <c r="CP209" s="1293"/>
      <c r="CQ209" s="1293"/>
      <c r="CR209" s="1293"/>
      <c r="CS209" s="1293"/>
      <c r="CT209" s="1293"/>
      <c r="CU209" s="1293"/>
      <c r="CV209" s="1293"/>
      <c r="CW209" s="1293"/>
      <c r="CX209" s="1293"/>
      <c r="CY209" s="2101"/>
      <c r="CZ209" s="1328"/>
      <c r="DA209" s="2100"/>
      <c r="DB209" s="2101"/>
      <c r="DC209" s="1293"/>
      <c r="DD209" s="1293"/>
      <c r="DE209" s="1293"/>
      <c r="DF209" s="1293"/>
      <c r="DG209" s="1293"/>
      <c r="DH209" s="1293"/>
      <c r="DI209" s="1293"/>
      <c r="DJ209" s="1293"/>
      <c r="DK209" s="1293"/>
      <c r="DL209" s="2147"/>
    </row>
    <row r="210" spans="1:116" ht="16.5" thickBot="1">
      <c r="A210" s="1293"/>
      <c r="B210" s="1293" t="s">
        <v>4520</v>
      </c>
      <c r="C210" s="1328">
        <f t="shared" ref="C210:AE210" si="278">C137/C34</f>
        <v>0.3404147741559303</v>
      </c>
      <c r="D210" s="1328">
        <f t="shared" si="278"/>
        <v>0.33076331126371422</v>
      </c>
      <c r="E210" s="1328">
        <f t="shared" si="278"/>
        <v>0.32782474601386374</v>
      </c>
      <c r="F210" s="1328">
        <f t="shared" si="278"/>
        <v>0.31593439264956452</v>
      </c>
      <c r="G210" s="2089">
        <f t="shared" si="278"/>
        <v>0.32779792118207157</v>
      </c>
      <c r="H210" s="1328">
        <f t="shared" si="278"/>
        <v>0.33088430757413084</v>
      </c>
      <c r="I210" s="1328">
        <f t="shared" si="278"/>
        <v>0.32913354042159615</v>
      </c>
      <c r="J210" s="1328">
        <f t="shared" si="278"/>
        <v>0.34149150194434125</v>
      </c>
      <c r="K210" s="1328">
        <f t="shared" si="278"/>
        <v>0.29320532728731108</v>
      </c>
      <c r="L210" s="2089">
        <f t="shared" si="278"/>
        <v>0.32364078489947401</v>
      </c>
      <c r="M210" s="1328">
        <f t="shared" si="278"/>
        <v>0.35477009917310565</v>
      </c>
      <c r="N210" s="1328">
        <f t="shared" si="278"/>
        <v>0.34458496076789091</v>
      </c>
      <c r="O210" s="1328">
        <f t="shared" si="278"/>
        <v>0.35480563108184038</v>
      </c>
      <c r="P210" s="1328">
        <f t="shared" si="278"/>
        <v>0.33626097867001253</v>
      </c>
      <c r="Q210" s="2089">
        <f t="shared" si="278"/>
        <v>0.34749567644603746</v>
      </c>
      <c r="R210" s="1328">
        <f t="shared" si="278"/>
        <v>0.36411960132890364</v>
      </c>
      <c r="S210" s="1328">
        <f t="shared" si="278"/>
        <v>0.35266974291364533</v>
      </c>
      <c r="T210" s="1328">
        <f t="shared" si="278"/>
        <v>0.36845593108018554</v>
      </c>
      <c r="U210" s="1328">
        <f t="shared" si="278"/>
        <v>0.36007702182284979</v>
      </c>
      <c r="V210" s="2089">
        <f t="shared" si="278"/>
        <v>0.36130727541468222</v>
      </c>
      <c r="W210" s="1328">
        <f t="shared" si="278"/>
        <v>0.3765971755211836</v>
      </c>
      <c r="X210" s="1328">
        <f t="shared" si="278"/>
        <v>0.36814276272306673</v>
      </c>
      <c r="Y210" s="1328">
        <f t="shared" si="278"/>
        <v>0.37449933244325767</v>
      </c>
      <c r="Z210" s="1328">
        <f t="shared" si="278"/>
        <v>0.33289299867899602</v>
      </c>
      <c r="AA210" s="2089">
        <f t="shared" si="278"/>
        <v>0.36294078509647371</v>
      </c>
      <c r="AB210" s="1328">
        <f t="shared" si="278"/>
        <v>0.40258064516129033</v>
      </c>
      <c r="AC210" s="1328">
        <f t="shared" si="278"/>
        <v>0.37032258064516127</v>
      </c>
      <c r="AD210" s="1328">
        <f t="shared" si="278"/>
        <v>0.38956857694784286</v>
      </c>
      <c r="AE210" s="1328">
        <f t="shared" si="278"/>
        <v>0.35975531229877661</v>
      </c>
      <c r="AF210" s="1328"/>
      <c r="AG210" s="1328"/>
      <c r="AH210" s="1328"/>
      <c r="AI210" s="1328"/>
      <c r="AJ210" s="2089">
        <f t="shared" ref="AJ210:BI210" si="279">AJ137/AJ34</f>
        <v>0.4002511379689217</v>
      </c>
      <c r="AK210" s="1328">
        <f t="shared" si="279"/>
        <v>0.39899937460913071</v>
      </c>
      <c r="AL210" s="1328">
        <f t="shared" si="279"/>
        <v>0.39462809917355374</v>
      </c>
      <c r="AM210" s="1328">
        <f t="shared" si="279"/>
        <v>0.39702072538860106</v>
      </c>
      <c r="AN210" s="1328">
        <f t="shared" si="279"/>
        <v>0.40378741600488699</v>
      </c>
      <c r="AO210" s="2089">
        <f t="shared" si="279"/>
        <v>0.39874839537869061</v>
      </c>
      <c r="AP210" s="1328">
        <f t="shared" si="279"/>
        <v>0.41347342398022252</v>
      </c>
      <c r="AQ210" s="1328">
        <f t="shared" si="279"/>
        <v>0.40048989589712186</v>
      </c>
      <c r="AR210" s="1328">
        <f t="shared" si="279"/>
        <v>0.39657282741738065</v>
      </c>
      <c r="AS210" s="1328">
        <f t="shared" si="279"/>
        <v>0.3805572021339656</v>
      </c>
      <c r="AT210" s="2089">
        <f t="shared" si="279"/>
        <v>0.39759586122945828</v>
      </c>
      <c r="AU210" s="1328">
        <f t="shared" si="279"/>
        <v>0.4005029119318182</v>
      </c>
      <c r="AV210" s="1328">
        <f t="shared" si="279"/>
        <v>0.39875937979354092</v>
      </c>
      <c r="AW210" s="1328">
        <f t="shared" si="279"/>
        <v>0.38842773775216138</v>
      </c>
      <c r="AX210" s="1328">
        <f t="shared" si="279"/>
        <v>0.39672236420106133</v>
      </c>
      <c r="AY210" s="2089">
        <f t="shared" si="279"/>
        <v>0.39614598908708809</v>
      </c>
      <c r="AZ210" s="1328">
        <f t="shared" si="279"/>
        <v>0.37054411979547114</v>
      </c>
      <c r="BA210" s="1328">
        <f t="shared" si="279"/>
        <v>0.36965340990667622</v>
      </c>
      <c r="BB210" s="1328">
        <f t="shared" si="279"/>
        <v>0.37400400280898871</v>
      </c>
      <c r="BC210" s="1328">
        <f t="shared" si="279"/>
        <v>0.37728928813559326</v>
      </c>
      <c r="BD210" s="2089">
        <f t="shared" si="279"/>
        <v>0.37295274686451158</v>
      </c>
      <c r="BE210" s="1328">
        <f t="shared" si="279"/>
        <v>0.42488789509078684</v>
      </c>
      <c r="BF210" s="1328">
        <f t="shared" si="279"/>
        <v>0.43477688614540472</v>
      </c>
      <c r="BG210" s="1328">
        <f t="shared" si="279"/>
        <v>0.40882669461914739</v>
      </c>
      <c r="BH210" s="1328">
        <f t="shared" si="279"/>
        <v>0.43262581469806038</v>
      </c>
      <c r="BI210" s="2089">
        <f t="shared" si="279"/>
        <v>0.42531625741317686</v>
      </c>
      <c r="BJ210" s="1328">
        <f t="shared" ref="BJ210:BN210" si="280">BJ137/BJ34</f>
        <v>0.43333999096688025</v>
      </c>
      <c r="BK210" s="1328">
        <f t="shared" si="280"/>
        <v>0.43876867020147964</v>
      </c>
      <c r="BL210" s="1328">
        <f t="shared" si="280"/>
        <v>0.43697586833261187</v>
      </c>
      <c r="BM210" s="1328">
        <f t="shared" si="280"/>
        <v>0.41601775047810846</v>
      </c>
      <c r="BN210" s="2089">
        <f t="shared" si="280"/>
        <v>0.43115585716691501</v>
      </c>
      <c r="BO210" s="1328"/>
      <c r="BP210" s="1328"/>
      <c r="BQ210" s="1293"/>
      <c r="BR210" s="1293"/>
      <c r="BS210" s="1293"/>
      <c r="BT210" s="1293"/>
      <c r="BU210" s="1293"/>
      <c r="BV210" s="1293"/>
      <c r="BW210" s="1293"/>
      <c r="BX210" s="1293"/>
      <c r="BY210" s="1293"/>
      <c r="BZ210" s="1293"/>
      <c r="CA210" s="1293"/>
      <c r="CB210" s="1293"/>
      <c r="CC210" s="1293"/>
      <c r="CD210" s="1293"/>
      <c r="CE210" s="1293"/>
      <c r="CF210" s="1293"/>
      <c r="CG210" s="1293"/>
      <c r="CH210" s="1293"/>
      <c r="CI210" s="1293"/>
      <c r="CJ210" s="1293"/>
      <c r="CK210" s="1293"/>
      <c r="CL210" s="1293"/>
      <c r="CM210" s="1293"/>
      <c r="CN210" s="1293"/>
      <c r="CO210" s="1293"/>
      <c r="CP210" s="1293"/>
      <c r="CQ210" s="1293"/>
      <c r="CR210" s="1293"/>
      <c r="CS210" s="1293"/>
      <c r="CT210" s="1293"/>
      <c r="CU210" s="1293"/>
      <c r="CV210" s="1293"/>
      <c r="CW210" s="1293"/>
      <c r="CX210" s="1293"/>
      <c r="CY210" s="2101">
        <v>0.3683437606662065</v>
      </c>
      <c r="CZ210" s="1328">
        <f>CZ137/CZ34</f>
        <v>0.37074166707903733</v>
      </c>
      <c r="DA210" s="2100">
        <v>0.43525164606890304</v>
      </c>
      <c r="DB210" s="2101">
        <v>0.44122405342429771</v>
      </c>
      <c r="DC210" s="1293"/>
      <c r="DD210" s="1293"/>
      <c r="DE210" s="1293"/>
      <c r="DF210" s="1293"/>
      <c r="DG210" s="1293"/>
      <c r="DH210" s="1293"/>
      <c r="DI210" s="1293"/>
      <c r="DJ210" s="1293"/>
      <c r="DK210" s="1293"/>
      <c r="DL210" s="2147">
        <v>508.85550000000001</v>
      </c>
    </row>
    <row r="211" spans="1:116" ht="16.5" thickBot="1">
      <c r="A211" s="1293"/>
      <c r="B211" s="1334" t="s">
        <v>4051</v>
      </c>
      <c r="C211" s="1335">
        <f t="shared" ref="C211:AH211" si="281">C140/C34</f>
        <v>0.3404147741559303</v>
      </c>
      <c r="D211" s="1335">
        <f t="shared" si="281"/>
        <v>0.33076331126371422</v>
      </c>
      <c r="E211" s="1335">
        <f t="shared" si="281"/>
        <v>0.33272204024857449</v>
      </c>
      <c r="F211" s="1335">
        <f t="shared" si="281"/>
        <v>0.32022619479682723</v>
      </c>
      <c r="G211" s="2148">
        <f t="shared" si="281"/>
        <v>0.33033471608337422</v>
      </c>
      <c r="H211" s="1335">
        <f t="shared" si="281"/>
        <v>0.33613408154397501</v>
      </c>
      <c r="I211" s="1335">
        <f t="shared" si="281"/>
        <v>0.33657440039193104</v>
      </c>
      <c r="J211" s="1335">
        <f t="shared" si="281"/>
        <v>0.34512966203041151</v>
      </c>
      <c r="K211" s="1335">
        <f t="shared" si="281"/>
        <v>0.32891339574898282</v>
      </c>
      <c r="L211" s="2148">
        <f t="shared" si="281"/>
        <v>0.336639669802137</v>
      </c>
      <c r="M211" s="1335">
        <f t="shared" si="281"/>
        <v>0.35598403304441512</v>
      </c>
      <c r="N211" s="1335">
        <f t="shared" si="281"/>
        <v>0.35215018913810936</v>
      </c>
      <c r="O211" s="1335">
        <f t="shared" si="281"/>
        <v>0.36142619305511992</v>
      </c>
      <c r="P211" s="1335">
        <f t="shared" si="281"/>
        <v>0.35508155583437895</v>
      </c>
      <c r="Q211" s="2148">
        <f t="shared" si="281"/>
        <v>0.35614371162059461</v>
      </c>
      <c r="R211" s="1335">
        <f t="shared" si="281"/>
        <v>0.36411960132890364</v>
      </c>
      <c r="S211" s="1335">
        <f t="shared" si="281"/>
        <v>0.35266974291364533</v>
      </c>
      <c r="T211" s="1335">
        <f t="shared" si="281"/>
        <v>0.35586481113320079</v>
      </c>
      <c r="U211" s="1335">
        <f t="shared" si="281"/>
        <v>0.36007702182284979</v>
      </c>
      <c r="V211" s="2148">
        <f t="shared" si="281"/>
        <v>0.35818689439973722</v>
      </c>
      <c r="W211" s="1335">
        <f t="shared" si="281"/>
        <v>0.3765971755211836</v>
      </c>
      <c r="X211" s="1335">
        <f t="shared" si="281"/>
        <v>0.36814276272306673</v>
      </c>
      <c r="Y211" s="1335">
        <f t="shared" si="281"/>
        <v>0.37449933244325767</v>
      </c>
      <c r="Z211" s="1335">
        <f t="shared" si="281"/>
        <v>0.33289299867899602</v>
      </c>
      <c r="AA211" s="2148">
        <f t="shared" si="281"/>
        <v>0.36294078509647371</v>
      </c>
      <c r="AB211" s="1335">
        <f t="shared" si="281"/>
        <v>0.40258064516129033</v>
      </c>
      <c r="AC211" s="1335">
        <f t="shared" si="281"/>
        <v>0.37032258064516127</v>
      </c>
      <c r="AD211" s="1335">
        <f t="shared" si="281"/>
        <v>0.38956857694784286</v>
      </c>
      <c r="AE211" s="1335">
        <f t="shared" si="281"/>
        <v>0.35975531229877661</v>
      </c>
      <c r="AF211" s="1335">
        <f t="shared" si="281"/>
        <v>0.40740740740740738</v>
      </c>
      <c r="AG211" s="1335">
        <f t="shared" si="281"/>
        <v>0.37413684871311992</v>
      </c>
      <c r="AH211" s="1335">
        <f t="shared" si="281"/>
        <v>0.40119402985074626</v>
      </c>
      <c r="AI211" s="1335">
        <f t="shared" ref="AI211:BI211" si="282">AI140/AI34</f>
        <v>0</v>
      </c>
      <c r="AJ211" s="2148">
        <f t="shared" si="282"/>
        <v>0.4002511379689217</v>
      </c>
      <c r="AK211" s="1335">
        <f t="shared" si="282"/>
        <v>0.39899937460913071</v>
      </c>
      <c r="AL211" s="1335">
        <f t="shared" si="282"/>
        <v>0.39462809917355374</v>
      </c>
      <c r="AM211" s="1335">
        <f t="shared" si="282"/>
        <v>0.39702072538860106</v>
      </c>
      <c r="AN211" s="1335">
        <f t="shared" si="282"/>
        <v>0.40378741600488699</v>
      </c>
      <c r="AO211" s="2148">
        <f t="shared" si="282"/>
        <v>0.42378048780487804</v>
      </c>
      <c r="AP211" s="1335">
        <f t="shared" si="282"/>
        <v>0.41347342398022252</v>
      </c>
      <c r="AQ211" s="1335">
        <f t="shared" si="282"/>
        <v>0.4011022657685242</v>
      </c>
      <c r="AR211" s="1335">
        <f t="shared" si="282"/>
        <v>0.39779681762545899</v>
      </c>
      <c r="AS211" s="1335">
        <f t="shared" si="282"/>
        <v>0.39537640782454059</v>
      </c>
      <c r="AT211" s="2148">
        <f t="shared" si="282"/>
        <v>0.39759586122945828</v>
      </c>
      <c r="AU211" s="1335">
        <f t="shared" si="282"/>
        <v>0.4005029119318182</v>
      </c>
      <c r="AV211" s="1335">
        <f t="shared" si="282"/>
        <v>0.39875937979354092</v>
      </c>
      <c r="AW211" s="1335">
        <f t="shared" si="282"/>
        <v>0.38842773775216138</v>
      </c>
      <c r="AX211" s="1335">
        <f t="shared" si="282"/>
        <v>0.39672236420106133</v>
      </c>
      <c r="AY211" s="2148">
        <f t="shared" si="282"/>
        <v>0.39614598908708809</v>
      </c>
      <c r="AZ211" s="1335">
        <f t="shared" si="282"/>
        <v>0.38150102264426589</v>
      </c>
      <c r="BA211" s="1335">
        <f t="shared" si="282"/>
        <v>0.37970366116295762</v>
      </c>
      <c r="BB211" s="1335">
        <f t="shared" si="282"/>
        <v>0.39717816011235951</v>
      </c>
      <c r="BC211" s="1335">
        <f t="shared" si="282"/>
        <v>0.4057638644067797</v>
      </c>
      <c r="BD211" s="2148">
        <f t="shared" si="282"/>
        <v>0.39132405935347109</v>
      </c>
      <c r="BE211" s="1335">
        <f t="shared" si="282"/>
        <v>0.44506274377942168</v>
      </c>
      <c r="BF211" s="1335">
        <f t="shared" si="282"/>
        <v>0.45055192043895753</v>
      </c>
      <c r="BG211" s="1335">
        <f t="shared" si="282"/>
        <v>0.4598399720475192</v>
      </c>
      <c r="BH211" s="1335">
        <f t="shared" si="282"/>
        <v>0.45363040546141764</v>
      </c>
      <c r="BI211" s="2148">
        <f t="shared" si="282"/>
        <v>0.45219307228732997</v>
      </c>
      <c r="BJ211" s="1335">
        <f t="shared" ref="BJ211:BN211" si="283">BJ140/BJ34</f>
        <v>0.43333999096688025</v>
      </c>
      <c r="BK211" s="1335">
        <f t="shared" si="283"/>
        <v>0.43876867020147964</v>
      </c>
      <c r="BL211" s="1335">
        <f t="shared" si="283"/>
        <v>0.43697586833261187</v>
      </c>
      <c r="BM211" s="1335">
        <f t="shared" si="283"/>
        <v>0.41601775047810846</v>
      </c>
      <c r="BN211" s="2148">
        <f t="shared" si="283"/>
        <v>0.43115585716691501</v>
      </c>
      <c r="BO211" s="1335"/>
      <c r="BP211" s="1335"/>
      <c r="BQ211" s="1293"/>
      <c r="BR211" s="1293"/>
      <c r="BS211" s="1293"/>
      <c r="BT211" s="1293"/>
      <c r="BU211" s="1293"/>
      <c r="BV211" s="1293"/>
      <c r="BW211" s="1293"/>
      <c r="BX211" s="1293"/>
      <c r="BY211" s="1293"/>
      <c r="BZ211" s="1293"/>
      <c r="CA211" s="1293"/>
      <c r="CB211" s="1293"/>
      <c r="CC211" s="1293"/>
      <c r="CD211" s="1293"/>
      <c r="CE211" s="1293"/>
      <c r="CF211" s="1293"/>
      <c r="CG211" s="1293"/>
      <c r="CH211" s="1293"/>
      <c r="CI211" s="1293"/>
      <c r="CJ211" s="1293"/>
      <c r="CK211" s="1293"/>
      <c r="CL211" s="1293"/>
      <c r="CM211" s="1293"/>
      <c r="CN211" s="1293"/>
      <c r="CO211" s="1293"/>
      <c r="CP211" s="1293"/>
      <c r="CQ211" s="1293"/>
      <c r="CR211" s="1293"/>
      <c r="CS211" s="1293"/>
      <c r="CT211" s="1293"/>
      <c r="CU211" s="1293"/>
      <c r="CV211" s="1293"/>
      <c r="CW211" s="1293"/>
      <c r="CX211" s="1293"/>
      <c r="CY211" s="2090">
        <v>0.39445643383934553</v>
      </c>
      <c r="CZ211" s="1335">
        <f>CZ140/CZ34</f>
        <v>0.37273404480726663</v>
      </c>
      <c r="DA211" s="2091">
        <v>0.44204662142385387</v>
      </c>
      <c r="DB211" s="2090">
        <v>0.45149390261830247</v>
      </c>
      <c r="DC211" s="1293"/>
      <c r="DD211" s="1293"/>
      <c r="DE211" s="1293"/>
      <c r="DF211" s="1293"/>
      <c r="DG211" s="1293"/>
      <c r="DH211" s="1293"/>
      <c r="DI211" s="1293"/>
      <c r="DJ211" s="1293"/>
      <c r="DK211" s="1293"/>
      <c r="DL211" s="2147">
        <v>507.96539999999999</v>
      </c>
    </row>
    <row r="212" spans="1:116" ht="16.5" thickBot="1">
      <c r="A212" s="1293"/>
      <c r="B212" s="1334"/>
      <c r="C212" s="1335"/>
      <c r="D212" s="1335"/>
      <c r="E212" s="1335"/>
      <c r="F212" s="1335"/>
      <c r="G212" s="2148"/>
      <c r="H212" s="1335"/>
      <c r="I212" s="1335"/>
      <c r="J212" s="1335"/>
      <c r="K212" s="1335"/>
      <c r="L212" s="2148"/>
      <c r="M212" s="1335"/>
      <c r="N212" s="1335"/>
      <c r="O212" s="1335"/>
      <c r="P212" s="1335"/>
      <c r="Q212" s="2148"/>
      <c r="R212" s="1335"/>
      <c r="S212" s="1335"/>
      <c r="T212" s="1335"/>
      <c r="U212" s="1335"/>
      <c r="V212" s="2148"/>
      <c r="W212" s="1335"/>
      <c r="X212" s="1335"/>
      <c r="Y212" s="1335"/>
      <c r="Z212" s="1335"/>
      <c r="AA212" s="2148"/>
      <c r="AB212" s="1335"/>
      <c r="AC212" s="1335"/>
      <c r="AD212" s="1335"/>
      <c r="AE212" s="1335"/>
      <c r="AF212" s="1335"/>
      <c r="AG212" s="1335"/>
      <c r="AH212" s="1335"/>
      <c r="AI212" s="1335"/>
      <c r="AJ212" s="2148"/>
      <c r="AK212" s="1335"/>
      <c r="AL212" s="1335"/>
      <c r="AM212" s="1335"/>
      <c r="AN212" s="1335"/>
      <c r="AO212" s="2148"/>
      <c r="AP212" s="1335"/>
      <c r="AQ212" s="1335"/>
      <c r="AR212" s="1335"/>
      <c r="AS212" s="1335"/>
      <c r="AT212" s="2148"/>
      <c r="AU212" s="1335"/>
      <c r="AV212" s="1335"/>
      <c r="AW212" s="1335"/>
      <c r="AX212" s="1335"/>
      <c r="AY212" s="2148"/>
      <c r="AZ212" s="1335"/>
      <c r="BA212" s="1335"/>
      <c r="BB212" s="1335"/>
      <c r="BC212" s="1335"/>
      <c r="BD212" s="2148"/>
      <c r="BE212" s="1335"/>
      <c r="BF212" s="1335"/>
      <c r="BG212" s="1335"/>
      <c r="BH212" s="1335"/>
      <c r="BI212" s="2148"/>
      <c r="BJ212" s="1335"/>
      <c r="BK212" s="1335"/>
      <c r="BL212" s="1335"/>
      <c r="BM212" s="1335"/>
      <c r="BN212" s="2148"/>
      <c r="BO212" s="1335"/>
      <c r="BP212" s="1335"/>
      <c r="BQ212" s="1293"/>
      <c r="BR212" s="1293"/>
      <c r="BS212" s="1293"/>
      <c r="BT212" s="1293"/>
      <c r="BU212" s="1293"/>
      <c r="BV212" s="1293"/>
      <c r="BW212" s="1293"/>
      <c r="BX212" s="1293"/>
      <c r="BY212" s="1293"/>
      <c r="BZ212" s="1293"/>
      <c r="CA212" s="1293"/>
      <c r="CB212" s="1293"/>
      <c r="CC212" s="1293"/>
      <c r="CD212" s="1293"/>
      <c r="CE212" s="1293"/>
      <c r="CF212" s="1293"/>
      <c r="CG212" s="1293"/>
      <c r="CH212" s="1293"/>
      <c r="CI212" s="1293"/>
      <c r="CJ212" s="1293"/>
      <c r="CK212" s="1293"/>
      <c r="CL212" s="1293"/>
      <c r="CM212" s="1293"/>
      <c r="CN212" s="1293"/>
      <c r="CO212" s="1293"/>
      <c r="CP212" s="1293"/>
      <c r="CQ212" s="1293"/>
      <c r="CR212" s="1293"/>
      <c r="CS212" s="1293"/>
      <c r="CT212" s="1293"/>
      <c r="CU212" s="1293"/>
      <c r="CV212" s="1293"/>
      <c r="CW212" s="1293"/>
      <c r="CX212" s="1293"/>
      <c r="CY212" s="2090"/>
      <c r="CZ212" s="1335"/>
      <c r="DA212" s="2091"/>
      <c r="DB212" s="2090"/>
      <c r="DC212" s="1293"/>
      <c r="DD212" s="1293"/>
      <c r="DE212" s="1293"/>
      <c r="DF212" s="1293"/>
      <c r="DG212" s="1293"/>
      <c r="DH212" s="1293"/>
      <c r="DI212" s="1293"/>
      <c r="DJ212" s="1293"/>
      <c r="DK212" s="1293"/>
      <c r="DL212" s="2147">
        <v>507.00400000000002</v>
      </c>
    </row>
    <row r="213" spans="1:116" ht="16.5" thickBot="1">
      <c r="A213" s="1293"/>
      <c r="B213" s="1293"/>
      <c r="C213" s="1699"/>
      <c r="D213" s="1699"/>
      <c r="E213" s="1699"/>
      <c r="F213" s="1699"/>
      <c r="G213" s="2039"/>
      <c r="H213" s="1699"/>
      <c r="I213" s="1699"/>
      <c r="J213" s="1699"/>
      <c r="K213" s="1699"/>
      <c r="L213" s="2039"/>
      <c r="M213" s="1699"/>
      <c r="N213" s="1699"/>
      <c r="O213" s="1699"/>
      <c r="P213" s="1699"/>
      <c r="Q213" s="2039"/>
      <c r="R213" s="1699"/>
      <c r="S213" s="1699"/>
      <c r="T213" s="1699"/>
      <c r="U213" s="1699"/>
      <c r="V213" s="2039"/>
      <c r="W213" s="1699"/>
      <c r="X213" s="1699"/>
      <c r="Y213" s="1699"/>
      <c r="Z213" s="1699"/>
      <c r="AA213" s="2039"/>
      <c r="AB213" s="1699"/>
      <c r="AC213" s="1699"/>
      <c r="AD213" s="1699"/>
      <c r="AE213" s="1699"/>
      <c r="AF213" s="1699"/>
      <c r="AG213" s="1699"/>
      <c r="AH213" s="1699"/>
      <c r="AI213" s="1699"/>
      <c r="AJ213" s="2039"/>
      <c r="AK213" s="1699"/>
      <c r="AL213" s="1699"/>
      <c r="AM213" s="1699"/>
      <c r="AN213" s="1699"/>
      <c r="AO213" s="2039"/>
      <c r="AP213" s="1699"/>
      <c r="AQ213" s="1699"/>
      <c r="AR213" s="1699"/>
      <c r="AS213" s="1699"/>
      <c r="AT213" s="2039"/>
      <c r="AU213" s="1699"/>
      <c r="AV213" s="1699"/>
      <c r="AW213" s="1699"/>
      <c r="AX213" s="1699"/>
      <c r="AY213" s="2039"/>
      <c r="AZ213" s="1699"/>
      <c r="BA213" s="1699"/>
      <c r="BB213" s="1699"/>
      <c r="BC213" s="1699"/>
      <c r="BD213" s="2039"/>
      <c r="BE213" s="1699"/>
      <c r="BF213" s="1699"/>
      <c r="BG213" s="1699"/>
      <c r="BH213" s="1699"/>
      <c r="BI213" s="2039"/>
      <c r="BJ213" s="1699"/>
      <c r="BK213" s="1699"/>
      <c r="BL213" s="1699"/>
      <c r="BM213" s="1699"/>
      <c r="BN213" s="2039"/>
      <c r="BO213" s="1699"/>
      <c r="BP213" s="1699"/>
      <c r="BQ213" s="1293"/>
      <c r="BR213" s="1293"/>
      <c r="BS213" s="1293"/>
      <c r="BT213" s="1293"/>
      <c r="BU213" s="1293"/>
      <c r="BV213" s="1293"/>
      <c r="BW213" s="1293"/>
      <c r="BX213" s="1293"/>
      <c r="BY213" s="1293"/>
      <c r="BZ213" s="1293"/>
      <c r="CA213" s="1293"/>
      <c r="CB213" s="1293"/>
      <c r="CC213" s="1293"/>
      <c r="CD213" s="1293"/>
      <c r="CE213" s="1293"/>
      <c r="CF213" s="1293"/>
      <c r="CG213" s="1293"/>
      <c r="CH213" s="1293"/>
      <c r="CI213" s="1293"/>
      <c r="CJ213" s="1293"/>
      <c r="CK213" s="1293"/>
      <c r="CL213" s="1293"/>
      <c r="CM213" s="1293"/>
      <c r="CN213" s="1293"/>
      <c r="CO213" s="1293"/>
      <c r="CP213" s="1293"/>
      <c r="CQ213" s="1293"/>
      <c r="CR213" s="1293"/>
      <c r="CS213" s="1293"/>
      <c r="CT213" s="1293"/>
      <c r="CU213" s="1293"/>
      <c r="CV213" s="1293"/>
      <c r="CW213" s="1293"/>
      <c r="CX213" s="1293"/>
      <c r="CY213" s="2041"/>
      <c r="CZ213" s="1699"/>
      <c r="DA213" s="2042"/>
      <c r="DB213" s="2041"/>
      <c r="DC213" s="1293"/>
      <c r="DD213" s="1293"/>
      <c r="DE213" s="1293"/>
      <c r="DF213" s="1293"/>
      <c r="DG213" s="1293"/>
      <c r="DH213" s="1293"/>
      <c r="DI213" s="1293"/>
      <c r="DJ213" s="1293"/>
      <c r="DK213" s="1293"/>
      <c r="DL213" s="2147">
        <v>500.6096</v>
      </c>
    </row>
    <row r="214" spans="1:116" ht="16.5" thickBot="1">
      <c r="A214" s="1293"/>
      <c r="B214" s="1293"/>
      <c r="C214" s="1699"/>
      <c r="D214" s="1699"/>
      <c r="E214" s="1699"/>
      <c r="F214" s="1699"/>
      <c r="G214" s="2039"/>
      <c r="H214" s="1699"/>
      <c r="I214" s="1699"/>
      <c r="J214" s="1699"/>
      <c r="K214" s="1699"/>
      <c r="L214" s="2039"/>
      <c r="M214" s="1699"/>
      <c r="N214" s="1699"/>
      <c r="O214" s="1699"/>
      <c r="P214" s="1699"/>
      <c r="Q214" s="2039"/>
      <c r="R214" s="1699"/>
      <c r="S214" s="1699"/>
      <c r="T214" s="1699"/>
      <c r="U214" s="1699"/>
      <c r="V214" s="2039"/>
      <c r="W214" s="1699"/>
      <c r="X214" s="1699"/>
      <c r="Y214" s="1699"/>
      <c r="Z214" s="1699"/>
      <c r="AA214" s="2039"/>
      <c r="AB214" s="1699"/>
      <c r="AC214" s="1699"/>
      <c r="AD214" s="1699"/>
      <c r="AE214" s="1699"/>
      <c r="AF214" s="1699"/>
      <c r="AG214" s="1699"/>
      <c r="AH214" s="1699"/>
      <c r="AI214" s="1699"/>
      <c r="AJ214" s="2039"/>
      <c r="AK214" s="1699"/>
      <c r="AL214" s="1699"/>
      <c r="AM214" s="1699"/>
      <c r="AN214" s="1699"/>
      <c r="AO214" s="2039"/>
      <c r="AP214" s="1699"/>
      <c r="AQ214" s="1699"/>
      <c r="AR214" s="1699"/>
      <c r="AS214" s="1699"/>
      <c r="AT214" s="2039"/>
      <c r="AU214" s="1699"/>
      <c r="AV214" s="1699"/>
      <c r="AW214" s="1699"/>
      <c r="AX214" s="1699"/>
      <c r="AY214" s="2039"/>
      <c r="AZ214" s="1699"/>
      <c r="BA214" s="1699"/>
      <c r="BB214" s="1699"/>
      <c r="BC214" s="1699"/>
      <c r="BD214" s="2039"/>
      <c r="BE214" s="1699"/>
      <c r="BF214" s="1699"/>
      <c r="BG214" s="1699"/>
      <c r="BH214" s="1699"/>
      <c r="BI214" s="2039"/>
      <c r="BJ214" s="1699"/>
      <c r="BK214" s="1699"/>
      <c r="BL214" s="1699"/>
      <c r="BM214" s="1699"/>
      <c r="BN214" s="2039"/>
      <c r="BO214" s="1699"/>
      <c r="BP214" s="1699"/>
      <c r="BQ214" s="1293"/>
      <c r="BR214" s="1293"/>
      <c r="BS214" s="1293"/>
      <c r="BT214" s="1293"/>
      <c r="BU214" s="1293"/>
      <c r="BV214" s="1293"/>
      <c r="BW214" s="1293"/>
      <c r="BX214" s="1293"/>
      <c r="BY214" s="1293"/>
      <c r="BZ214" s="1293"/>
      <c r="CA214" s="1293"/>
      <c r="CB214" s="1293"/>
      <c r="CC214" s="1293"/>
      <c r="CD214" s="1293"/>
      <c r="CE214" s="1293"/>
      <c r="CF214" s="1293"/>
      <c r="CG214" s="1293"/>
      <c r="CH214" s="1293"/>
      <c r="CI214" s="1293"/>
      <c r="CJ214" s="1293"/>
      <c r="CK214" s="1293"/>
      <c r="CL214" s="1293"/>
      <c r="CM214" s="1293"/>
      <c r="CN214" s="1293"/>
      <c r="CO214" s="1293"/>
      <c r="CP214" s="1293"/>
      <c r="CQ214" s="1293"/>
      <c r="CR214" s="1293"/>
      <c r="CS214" s="1293"/>
      <c r="CT214" s="1293"/>
      <c r="CU214" s="1293"/>
      <c r="CV214" s="1293"/>
      <c r="CW214" s="1293"/>
      <c r="CX214" s="1293"/>
      <c r="CY214" s="2041"/>
      <c r="CZ214" s="1699"/>
      <c r="DA214" s="2042"/>
      <c r="DB214" s="2041"/>
      <c r="DC214" s="1293"/>
      <c r="DD214" s="1293"/>
      <c r="DE214" s="1293"/>
      <c r="DF214" s="1293"/>
      <c r="DG214" s="1293"/>
      <c r="DH214" s="1293"/>
      <c r="DI214" s="1293"/>
      <c r="DJ214" s="1293"/>
      <c r="DK214" s="1293"/>
      <c r="DL214" s="2147"/>
    </row>
    <row r="215" spans="1:116" ht="16.5" thickBot="1">
      <c r="A215" s="1293"/>
      <c r="B215" s="1979" t="s">
        <v>3019</v>
      </c>
      <c r="C215" s="1699"/>
      <c r="D215" s="1699"/>
      <c r="E215" s="1699"/>
      <c r="F215" s="1699"/>
      <c r="G215" s="2039"/>
      <c r="H215" s="1699"/>
      <c r="I215" s="1699"/>
      <c r="J215" s="1699"/>
      <c r="K215" s="1699"/>
      <c r="L215" s="2039"/>
      <c r="M215" s="1699"/>
      <c r="N215" s="1699"/>
      <c r="O215" s="1699"/>
      <c r="P215" s="1699"/>
      <c r="Q215" s="2039"/>
      <c r="R215" s="1699"/>
      <c r="S215" s="1699"/>
      <c r="T215" s="1699"/>
      <c r="U215" s="1699"/>
      <c r="V215" s="2039"/>
      <c r="W215" s="1699"/>
      <c r="X215" s="1699"/>
      <c r="Y215" s="1699"/>
      <c r="Z215" s="1699"/>
      <c r="AA215" s="2039"/>
      <c r="AB215" s="1699"/>
      <c r="AC215" s="1699"/>
      <c r="AD215" s="1699"/>
      <c r="AE215" s="1699"/>
      <c r="AF215" s="1699"/>
      <c r="AG215" s="1699"/>
      <c r="AH215" s="1699"/>
      <c r="AI215" s="1699"/>
      <c r="AJ215" s="2039"/>
      <c r="AK215" s="1699"/>
      <c r="AL215" s="1699"/>
      <c r="AM215" s="1699"/>
      <c r="AN215" s="1699"/>
      <c r="AO215" s="2039"/>
      <c r="AP215" s="1699"/>
      <c r="AQ215" s="1699"/>
      <c r="AR215" s="1699"/>
      <c r="AS215" s="1699"/>
      <c r="AT215" s="2039"/>
      <c r="AU215" s="1699"/>
      <c r="AV215" s="1699"/>
      <c r="AW215" s="1699"/>
      <c r="AX215" s="1699"/>
      <c r="AY215" s="2039"/>
      <c r="AZ215" s="1699"/>
      <c r="BA215" s="1699"/>
      <c r="BB215" s="1699"/>
      <c r="BC215" s="1699"/>
      <c r="BD215" s="2039"/>
      <c r="BE215" s="1699"/>
      <c r="BF215" s="1699"/>
      <c r="BG215" s="1699"/>
      <c r="BH215" s="1699"/>
      <c r="BI215" s="2039"/>
      <c r="BJ215" s="1699"/>
      <c r="BK215" s="1699"/>
      <c r="BL215" s="1699"/>
      <c r="BM215" s="1699"/>
      <c r="BN215" s="2039"/>
      <c r="BO215" s="1699"/>
      <c r="BP215" s="1699"/>
      <c r="BQ215" s="1293"/>
      <c r="BR215" s="1293"/>
      <c r="BS215" s="1293"/>
      <c r="BT215" s="1293"/>
      <c r="BU215" s="1293"/>
      <c r="BV215" s="1293"/>
      <c r="BW215" s="1293"/>
      <c r="BX215" s="1293"/>
      <c r="BY215" s="1293"/>
      <c r="BZ215" s="1293"/>
      <c r="CA215" s="1293"/>
      <c r="CB215" s="1293"/>
      <c r="CC215" s="1293"/>
      <c r="CD215" s="1293"/>
      <c r="CE215" s="1293"/>
      <c r="CF215" s="1293"/>
      <c r="CG215" s="1293"/>
      <c r="CH215" s="1293"/>
      <c r="CI215" s="1293"/>
      <c r="CJ215" s="1293"/>
      <c r="CK215" s="1293"/>
      <c r="CL215" s="1293"/>
      <c r="CM215" s="1293"/>
      <c r="CN215" s="1293"/>
      <c r="CO215" s="1293"/>
      <c r="CP215" s="1293"/>
      <c r="CQ215" s="1293"/>
      <c r="CR215" s="1293"/>
      <c r="CS215" s="1293"/>
      <c r="CT215" s="1293"/>
      <c r="CU215" s="1293"/>
      <c r="CV215" s="1293"/>
      <c r="CW215" s="1293"/>
      <c r="CX215" s="1293"/>
      <c r="CY215" s="2041"/>
      <c r="CZ215" s="1699"/>
      <c r="DA215" s="2042"/>
      <c r="DB215" s="2041"/>
      <c r="DC215" s="1293"/>
      <c r="DD215" s="1293"/>
      <c r="DE215" s="1293"/>
      <c r="DF215" s="1293"/>
      <c r="DG215" s="1293"/>
      <c r="DH215" s="1293"/>
      <c r="DI215" s="1293"/>
      <c r="DJ215" s="1293"/>
      <c r="DK215" s="1293"/>
      <c r="DL215" s="2147"/>
    </row>
    <row r="216" spans="1:116" ht="16.5" thickBot="1">
      <c r="A216" s="1293"/>
      <c r="B216" s="1293"/>
      <c r="C216" s="1699"/>
      <c r="D216" s="1699"/>
      <c r="E216" s="1699"/>
      <c r="F216" s="1699"/>
      <c r="G216" s="2039"/>
      <c r="H216" s="1699"/>
      <c r="I216" s="1699"/>
      <c r="J216" s="1699"/>
      <c r="K216" s="1699"/>
      <c r="L216" s="2039"/>
      <c r="M216" s="1699"/>
      <c r="N216" s="1699"/>
      <c r="O216" s="1699"/>
      <c r="P216" s="1699"/>
      <c r="Q216" s="2039"/>
      <c r="R216" s="1699"/>
      <c r="S216" s="1699"/>
      <c r="T216" s="1699"/>
      <c r="U216" s="1699"/>
      <c r="V216" s="2039"/>
      <c r="W216" s="1699"/>
      <c r="X216" s="1699"/>
      <c r="Y216" s="1699"/>
      <c r="Z216" s="1699"/>
      <c r="AA216" s="2039"/>
      <c r="AB216" s="1699"/>
      <c r="AC216" s="1699"/>
      <c r="AD216" s="1699"/>
      <c r="AE216" s="1699"/>
      <c r="AF216" s="1699"/>
      <c r="AG216" s="1699"/>
      <c r="AH216" s="1699"/>
      <c r="AI216" s="1699"/>
      <c r="AJ216" s="2039"/>
      <c r="AK216" s="1699"/>
      <c r="AL216" s="1699"/>
      <c r="AM216" s="1699"/>
      <c r="AN216" s="1699"/>
      <c r="AO216" s="2039"/>
      <c r="AP216" s="1699"/>
      <c r="AQ216" s="1699"/>
      <c r="AR216" s="1699"/>
      <c r="AS216" s="1699"/>
      <c r="AT216" s="2039"/>
      <c r="AU216" s="1699"/>
      <c r="AV216" s="1699"/>
      <c r="AW216" s="1699"/>
      <c r="AX216" s="1699"/>
      <c r="AY216" s="2039"/>
      <c r="AZ216" s="1699"/>
      <c r="BA216" s="1699"/>
      <c r="BB216" s="1699"/>
      <c r="BC216" s="1699"/>
      <c r="BD216" s="2039"/>
      <c r="BE216" s="1699"/>
      <c r="BF216" s="1699"/>
      <c r="BG216" s="1699"/>
      <c r="BH216" s="1699"/>
      <c r="BI216" s="2039"/>
      <c r="BJ216" s="1699"/>
      <c r="BK216" s="1699"/>
      <c r="BL216" s="1699"/>
      <c r="BM216" s="1699"/>
      <c r="BN216" s="2039"/>
      <c r="BO216" s="1699"/>
      <c r="BP216" s="1699"/>
      <c r="BQ216" s="1293"/>
      <c r="BR216" s="1293"/>
      <c r="BS216" s="1293"/>
      <c r="BT216" s="1293"/>
      <c r="BU216" s="1293"/>
      <c r="BV216" s="1293"/>
      <c r="BW216" s="1293"/>
      <c r="BX216" s="1293"/>
      <c r="BY216" s="1293"/>
      <c r="BZ216" s="1293"/>
      <c r="CA216" s="1293"/>
      <c r="CB216" s="1293"/>
      <c r="CC216" s="1293"/>
      <c r="CD216" s="1293"/>
      <c r="CE216" s="1293"/>
      <c r="CF216" s="1293"/>
      <c r="CG216" s="1293"/>
      <c r="CH216" s="1293"/>
      <c r="CI216" s="1293"/>
      <c r="CJ216" s="1293"/>
      <c r="CK216" s="1293"/>
      <c r="CL216" s="1293"/>
      <c r="CM216" s="1293"/>
      <c r="CN216" s="1293"/>
      <c r="CO216" s="1293"/>
      <c r="CP216" s="1293"/>
      <c r="CQ216" s="1293"/>
      <c r="CR216" s="1293"/>
      <c r="CS216" s="1293"/>
      <c r="CT216" s="1293"/>
      <c r="CU216" s="1293"/>
      <c r="CV216" s="1293"/>
      <c r="CW216" s="1293"/>
      <c r="CX216" s="1293"/>
      <c r="CY216" s="2041"/>
      <c r="CZ216" s="1699"/>
      <c r="DA216" s="2042"/>
      <c r="DB216" s="2041"/>
      <c r="DC216" s="1293"/>
      <c r="DD216" s="1293"/>
      <c r="DE216" s="1293"/>
      <c r="DF216" s="1293"/>
      <c r="DG216" s="1293"/>
      <c r="DH216" s="1293"/>
      <c r="DI216" s="1293"/>
      <c r="DJ216" s="1293"/>
      <c r="DK216" s="1293"/>
      <c r="DL216" s="2147"/>
    </row>
    <row r="217" spans="1:116" ht="16.5" thickBot="1">
      <c r="A217" s="1293"/>
      <c r="B217" s="1293"/>
      <c r="C217" s="1699"/>
      <c r="D217" s="1699"/>
      <c r="E217" s="1699"/>
      <c r="F217" s="1699"/>
      <c r="G217" s="2039"/>
      <c r="H217" s="1699"/>
      <c r="I217" s="1699"/>
      <c r="J217" s="1699"/>
      <c r="K217" s="1699"/>
      <c r="L217" s="2039"/>
      <c r="M217" s="1699"/>
      <c r="N217" s="1699"/>
      <c r="O217" s="1699"/>
      <c r="P217" s="1699"/>
      <c r="Q217" s="2039"/>
      <c r="R217" s="1699"/>
      <c r="S217" s="1699"/>
      <c r="T217" s="1699"/>
      <c r="U217" s="1699"/>
      <c r="V217" s="2039"/>
      <c r="W217" s="1699"/>
      <c r="X217" s="1699"/>
      <c r="Y217" s="1699"/>
      <c r="Z217" s="1699"/>
      <c r="AA217" s="2039"/>
      <c r="AB217" s="1699"/>
      <c r="AC217" s="1699"/>
      <c r="AD217" s="1699"/>
      <c r="AE217" s="1699"/>
      <c r="AF217" s="1699"/>
      <c r="AG217" s="1699"/>
      <c r="AH217" s="1699"/>
      <c r="AI217" s="1699"/>
      <c r="AJ217" s="2039"/>
      <c r="AK217" s="1699"/>
      <c r="AL217" s="1699"/>
      <c r="AM217" s="1699"/>
      <c r="AN217" s="1699"/>
      <c r="AO217" s="2039"/>
      <c r="AP217" s="1699"/>
      <c r="AQ217" s="1699"/>
      <c r="AR217" s="1699"/>
      <c r="AS217" s="1699"/>
      <c r="AT217" s="2039"/>
      <c r="AU217" s="1699"/>
      <c r="AV217" s="1699"/>
      <c r="AW217" s="1699"/>
      <c r="AX217" s="1699"/>
      <c r="AY217" s="2039"/>
      <c r="AZ217" s="1699"/>
      <c r="BA217" s="1699"/>
      <c r="BB217" s="1699"/>
      <c r="BC217" s="1699"/>
      <c r="BD217" s="2039"/>
      <c r="BE217" s="1699"/>
      <c r="BF217" s="1699"/>
      <c r="BG217" s="1699"/>
      <c r="BH217" s="1699"/>
      <c r="BI217" s="2039"/>
      <c r="BJ217" s="1699"/>
      <c r="BK217" s="1699"/>
      <c r="BL217" s="1699"/>
      <c r="BM217" s="1699"/>
      <c r="BN217" s="2039"/>
      <c r="BO217" s="1699"/>
      <c r="BP217" s="1699"/>
      <c r="BQ217" s="1293"/>
      <c r="BR217" s="1293"/>
      <c r="BS217" s="1293"/>
      <c r="BT217" s="1293"/>
      <c r="BU217" s="1293"/>
      <c r="BV217" s="1293"/>
      <c r="BW217" s="1293"/>
      <c r="BX217" s="1293"/>
      <c r="BY217" s="1293"/>
      <c r="BZ217" s="1293"/>
      <c r="CA217" s="1293"/>
      <c r="CB217" s="1293"/>
      <c r="CC217" s="1293"/>
      <c r="CD217" s="1293"/>
      <c r="CE217" s="1293"/>
      <c r="CF217" s="1293"/>
      <c r="CG217" s="1293"/>
      <c r="CH217" s="1293"/>
      <c r="CI217" s="1293"/>
      <c r="CJ217" s="1293"/>
      <c r="CK217" s="1293"/>
      <c r="CL217" s="1293"/>
      <c r="CM217" s="1293"/>
      <c r="CN217" s="1293"/>
      <c r="CO217" s="1293"/>
      <c r="CP217" s="1293"/>
      <c r="CQ217" s="1293"/>
      <c r="CR217" s="1293"/>
      <c r="CS217" s="1293"/>
      <c r="CT217" s="1293"/>
      <c r="CU217" s="1293"/>
      <c r="CV217" s="1293"/>
      <c r="CW217" s="1293"/>
      <c r="CX217" s="1293"/>
      <c r="CY217" s="2041"/>
      <c r="CZ217" s="1699"/>
      <c r="DA217" s="2042"/>
      <c r="DB217" s="2041"/>
      <c r="DC217" s="1293"/>
      <c r="DD217" s="1293"/>
      <c r="DE217" s="1293"/>
      <c r="DF217" s="1293"/>
      <c r="DG217" s="1293"/>
      <c r="DH217" s="1293"/>
      <c r="DI217" s="1293"/>
      <c r="DJ217" s="1293"/>
      <c r="DK217" s="1293"/>
      <c r="DL217" s="2147"/>
    </row>
    <row r="218" spans="1:116" ht="16.5" thickBot="1">
      <c r="A218" s="1293"/>
      <c r="B218" s="1293"/>
      <c r="C218" s="1699"/>
      <c r="D218" s="1699"/>
      <c r="E218" s="1699"/>
      <c r="F218" s="1699"/>
      <c r="G218" s="2039"/>
      <c r="H218" s="1699"/>
      <c r="I218" s="1699"/>
      <c r="J218" s="1699"/>
      <c r="K218" s="1699"/>
      <c r="L218" s="2039"/>
      <c r="M218" s="1699"/>
      <c r="N218" s="1699"/>
      <c r="O218" s="1699"/>
      <c r="P218" s="1699"/>
      <c r="Q218" s="2039"/>
      <c r="R218" s="1699"/>
      <c r="S218" s="1699"/>
      <c r="T218" s="1699"/>
      <c r="U218" s="1699"/>
      <c r="V218" s="2039"/>
      <c r="W218" s="1699"/>
      <c r="X218" s="1699"/>
      <c r="Y218" s="1699"/>
      <c r="Z218" s="1699"/>
      <c r="AA218" s="2039"/>
      <c r="AB218" s="1699"/>
      <c r="AC218" s="1699"/>
      <c r="AD218" s="1699"/>
      <c r="AE218" s="1699"/>
      <c r="AF218" s="1699"/>
      <c r="AG218" s="1699"/>
      <c r="AH218" s="1699"/>
      <c r="AI218" s="1699"/>
      <c r="AJ218" s="2039"/>
      <c r="AK218" s="1699"/>
      <c r="AL218" s="1699"/>
      <c r="AM218" s="1699"/>
      <c r="AN218" s="1699"/>
      <c r="AO218" s="2039"/>
      <c r="AP218" s="1699"/>
      <c r="AQ218" s="1699"/>
      <c r="AR218" s="1699"/>
      <c r="AS218" s="1699"/>
      <c r="AT218" s="2039"/>
      <c r="AU218" s="1699"/>
      <c r="AV218" s="1699"/>
      <c r="AW218" s="1699"/>
      <c r="AX218" s="1699"/>
      <c r="AY218" s="2039"/>
      <c r="AZ218" s="1699"/>
      <c r="BA218" s="1699"/>
      <c r="BB218" s="1699"/>
      <c r="BC218" s="1699"/>
      <c r="BD218" s="2039"/>
      <c r="BE218" s="1699"/>
      <c r="BF218" s="1699"/>
      <c r="BG218" s="1699"/>
      <c r="BH218" s="1699"/>
      <c r="BI218" s="2039"/>
      <c r="BJ218" s="1699"/>
      <c r="BK218" s="1699"/>
      <c r="BL218" s="1699"/>
      <c r="BM218" s="1699"/>
      <c r="BN218" s="2039"/>
      <c r="BO218" s="1699"/>
      <c r="BP218" s="1699"/>
      <c r="BQ218" s="1293"/>
      <c r="BR218" s="1293"/>
      <c r="BS218" s="1293"/>
      <c r="BT218" s="1293"/>
      <c r="BU218" s="1293"/>
      <c r="BV218" s="1293"/>
      <c r="BW218" s="1293"/>
      <c r="BX218" s="1293"/>
      <c r="BY218" s="1293"/>
      <c r="BZ218" s="1293"/>
      <c r="CA218" s="1293"/>
      <c r="CB218" s="1293"/>
      <c r="CC218" s="1293"/>
      <c r="CD218" s="1293"/>
      <c r="CE218" s="1293"/>
      <c r="CF218" s="1293"/>
      <c r="CG218" s="1293"/>
      <c r="CH218" s="1293"/>
      <c r="CI218" s="1293"/>
      <c r="CJ218" s="1293"/>
      <c r="CK218" s="1293"/>
      <c r="CL218" s="1293"/>
      <c r="CM218" s="1293"/>
      <c r="CN218" s="1293"/>
      <c r="CO218" s="1293"/>
      <c r="CP218" s="1293"/>
      <c r="CQ218" s="1293"/>
      <c r="CR218" s="1293"/>
      <c r="CS218" s="1293"/>
      <c r="CT218" s="1293"/>
      <c r="CU218" s="1293"/>
      <c r="CV218" s="1293"/>
      <c r="CW218" s="1293"/>
      <c r="CX218" s="1293"/>
      <c r="CY218" s="2041"/>
      <c r="CZ218" s="1699"/>
      <c r="DA218" s="2042"/>
      <c r="DB218" s="2041"/>
      <c r="DC218" s="1293"/>
      <c r="DD218" s="1293"/>
      <c r="DE218" s="1293"/>
      <c r="DF218" s="1293"/>
      <c r="DG218" s="1293"/>
      <c r="DH218" s="1293"/>
      <c r="DI218" s="1293"/>
      <c r="DJ218" s="1293"/>
      <c r="DK218" s="1293"/>
      <c r="DL218" s="2147"/>
    </row>
    <row r="219" spans="1:116" ht="16.5" thickBot="1">
      <c r="A219" s="1293"/>
      <c r="B219" s="1293"/>
      <c r="C219" s="1699"/>
      <c r="D219" s="1699"/>
      <c r="E219" s="1699"/>
      <c r="F219" s="1699"/>
      <c r="G219" s="2039"/>
      <c r="H219" s="1699"/>
      <c r="I219" s="1699"/>
      <c r="J219" s="1699"/>
      <c r="K219" s="1699"/>
      <c r="L219" s="2039"/>
      <c r="M219" s="1699"/>
      <c r="N219" s="1699"/>
      <c r="O219" s="1699"/>
      <c r="P219" s="1699"/>
      <c r="Q219" s="2039"/>
      <c r="R219" s="1699"/>
      <c r="S219" s="1699"/>
      <c r="T219" s="1699"/>
      <c r="U219" s="1699"/>
      <c r="V219" s="2039"/>
      <c r="W219" s="1699"/>
      <c r="X219" s="1699"/>
      <c r="Y219" s="1699"/>
      <c r="Z219" s="1699"/>
      <c r="AA219" s="2039"/>
      <c r="AB219" s="1699"/>
      <c r="AC219" s="1699"/>
      <c r="AD219" s="1699"/>
      <c r="AE219" s="1699"/>
      <c r="AF219" s="1699"/>
      <c r="AG219" s="1699"/>
      <c r="AH219" s="1699"/>
      <c r="AI219" s="1699"/>
      <c r="AJ219" s="2039"/>
      <c r="AK219" s="1699"/>
      <c r="AL219" s="1699"/>
      <c r="AM219" s="1699"/>
      <c r="AN219" s="1699"/>
      <c r="AO219" s="2039"/>
      <c r="AP219" s="1699"/>
      <c r="AQ219" s="1699"/>
      <c r="AR219" s="1699"/>
      <c r="AS219" s="1699"/>
      <c r="AT219" s="2039"/>
      <c r="AU219" s="1699"/>
      <c r="AV219" s="1699"/>
      <c r="AW219" s="1699"/>
      <c r="AX219" s="1699"/>
      <c r="AY219" s="2039"/>
      <c r="AZ219" s="1699"/>
      <c r="BA219" s="1699"/>
      <c r="BB219" s="1699"/>
      <c r="BC219" s="1699"/>
      <c r="BD219" s="2039"/>
      <c r="BE219" s="1699"/>
      <c r="BF219" s="1699"/>
      <c r="BG219" s="1699"/>
      <c r="BH219" s="1699"/>
      <c r="BI219" s="2039"/>
      <c r="BJ219" s="1699"/>
      <c r="BK219" s="1699"/>
      <c r="BL219" s="1699"/>
      <c r="BM219" s="1699"/>
      <c r="BN219" s="2039"/>
      <c r="BO219" s="1699"/>
      <c r="BP219" s="1699"/>
      <c r="BQ219" s="1293"/>
      <c r="BR219" s="1293"/>
      <c r="BS219" s="1293"/>
      <c r="BT219" s="1293"/>
      <c r="BU219" s="1293"/>
      <c r="BV219" s="1293"/>
      <c r="BW219" s="1293"/>
      <c r="BX219" s="1293"/>
      <c r="BY219" s="1293"/>
      <c r="BZ219" s="1293"/>
      <c r="CA219" s="1293"/>
      <c r="CB219" s="1293"/>
      <c r="CC219" s="1293"/>
      <c r="CD219" s="1293"/>
      <c r="CE219" s="1293"/>
      <c r="CF219" s="1293"/>
      <c r="CG219" s="1293"/>
      <c r="CH219" s="1293"/>
      <c r="CI219" s="1293"/>
      <c r="CJ219" s="1293"/>
      <c r="CK219" s="1293"/>
      <c r="CL219" s="1293"/>
      <c r="CM219" s="1293"/>
      <c r="CN219" s="1293"/>
      <c r="CO219" s="1293"/>
      <c r="CP219" s="1293"/>
      <c r="CQ219" s="1293"/>
      <c r="CR219" s="1293"/>
      <c r="CS219" s="1293"/>
      <c r="CT219" s="1293"/>
      <c r="CU219" s="1293"/>
      <c r="CV219" s="1293"/>
      <c r="CW219" s="1293"/>
      <c r="CX219" s="1293"/>
      <c r="CY219" s="2041"/>
      <c r="CZ219" s="1699"/>
      <c r="DA219" s="2042"/>
      <c r="DB219" s="2041"/>
      <c r="DC219" s="1293"/>
      <c r="DD219" s="1293"/>
      <c r="DE219" s="1293"/>
      <c r="DF219" s="1293"/>
      <c r="DG219" s="1293"/>
      <c r="DH219" s="1293"/>
      <c r="DI219" s="1293"/>
      <c r="DJ219" s="1293"/>
      <c r="DK219" s="1293"/>
      <c r="DL219" s="2147"/>
    </row>
    <row r="220" spans="1:116" ht="16.5" thickBot="1">
      <c r="A220" s="1293"/>
      <c r="B220" s="1293"/>
      <c r="C220" s="1699"/>
      <c r="D220" s="1699"/>
      <c r="E220" s="1699"/>
      <c r="F220" s="1699"/>
      <c r="G220" s="2039"/>
      <c r="H220" s="1699"/>
      <c r="I220" s="1699"/>
      <c r="J220" s="1699"/>
      <c r="K220" s="1699"/>
      <c r="L220" s="2039"/>
      <c r="M220" s="1699"/>
      <c r="N220" s="1699"/>
      <c r="O220" s="1699"/>
      <c r="P220" s="1699"/>
      <c r="Q220" s="2039"/>
      <c r="R220" s="1699"/>
      <c r="S220" s="1699"/>
      <c r="T220" s="1699"/>
      <c r="U220" s="1699"/>
      <c r="V220" s="2039"/>
      <c r="W220" s="1699"/>
      <c r="X220" s="1699"/>
      <c r="Y220" s="1699"/>
      <c r="Z220" s="1699"/>
      <c r="AA220" s="2039"/>
      <c r="AB220" s="1699"/>
      <c r="AC220" s="1699"/>
      <c r="AD220" s="1699"/>
      <c r="AE220" s="1699"/>
      <c r="AF220" s="1699"/>
      <c r="AG220" s="1699"/>
      <c r="AH220" s="1699"/>
      <c r="AI220" s="1699"/>
      <c r="AJ220" s="2039"/>
      <c r="AK220" s="1699"/>
      <c r="AL220" s="1699"/>
      <c r="AM220" s="1699"/>
      <c r="AN220" s="1699"/>
      <c r="AO220" s="2039"/>
      <c r="AP220" s="1699"/>
      <c r="AQ220" s="1699"/>
      <c r="AR220" s="1699"/>
      <c r="AS220" s="1699"/>
      <c r="AT220" s="2039"/>
      <c r="AU220" s="1699"/>
      <c r="AV220" s="1699"/>
      <c r="AW220" s="1699"/>
      <c r="AX220" s="1699"/>
      <c r="AY220" s="2039"/>
      <c r="AZ220" s="1699"/>
      <c r="BA220" s="1699"/>
      <c r="BB220" s="1699"/>
      <c r="BC220" s="1699"/>
      <c r="BD220" s="2039"/>
      <c r="BE220" s="1699"/>
      <c r="BF220" s="1699"/>
      <c r="BG220" s="1699"/>
      <c r="BH220" s="1699"/>
      <c r="BI220" s="2039"/>
      <c r="BJ220" s="1699"/>
      <c r="BK220" s="1699"/>
      <c r="BL220" s="1699"/>
      <c r="BM220" s="1699"/>
      <c r="BN220" s="2039"/>
      <c r="BO220" s="1699"/>
      <c r="BP220" s="1699"/>
      <c r="BQ220" s="1293"/>
      <c r="BR220" s="1293"/>
      <c r="BS220" s="1293"/>
      <c r="BT220" s="1293"/>
      <c r="BU220" s="1293"/>
      <c r="BV220" s="1293"/>
      <c r="BW220" s="1293"/>
      <c r="BX220" s="1293"/>
      <c r="BY220" s="1293"/>
      <c r="BZ220" s="1293"/>
      <c r="CA220" s="1293"/>
      <c r="CB220" s="1293"/>
      <c r="CC220" s="1293"/>
      <c r="CD220" s="1293"/>
      <c r="CE220" s="1293"/>
      <c r="CF220" s="1293"/>
      <c r="CG220" s="1293"/>
      <c r="CH220" s="1293"/>
      <c r="CI220" s="1293"/>
      <c r="CJ220" s="1293"/>
      <c r="CK220" s="1293"/>
      <c r="CL220" s="1293"/>
      <c r="CM220" s="1293"/>
      <c r="CN220" s="1293"/>
      <c r="CO220" s="1293"/>
      <c r="CP220" s="1293"/>
      <c r="CQ220" s="1293"/>
      <c r="CR220" s="1293"/>
      <c r="CS220" s="1293"/>
      <c r="CT220" s="1293"/>
      <c r="CU220" s="1293"/>
      <c r="CV220" s="1293"/>
      <c r="CW220" s="1293"/>
      <c r="CX220" s="1293"/>
      <c r="CY220" s="2041"/>
      <c r="CZ220" s="1699"/>
      <c r="DA220" s="2042"/>
      <c r="DB220" s="2041"/>
      <c r="DC220" s="1293"/>
      <c r="DD220" s="1293"/>
      <c r="DE220" s="1293"/>
      <c r="DF220" s="1293"/>
      <c r="DG220" s="1293"/>
      <c r="DH220" s="1293"/>
      <c r="DI220" s="1293"/>
      <c r="DJ220" s="1293"/>
      <c r="DK220" s="1293"/>
      <c r="DL220" s="2147"/>
    </row>
    <row r="221" spans="1:116" ht="16.5" thickBot="1">
      <c r="A221" s="1293"/>
      <c r="B221" s="1293"/>
      <c r="C221" s="1699"/>
      <c r="D221" s="1699"/>
      <c r="E221" s="1699"/>
      <c r="F221" s="1699"/>
      <c r="G221" s="2039"/>
      <c r="H221" s="1699"/>
      <c r="I221" s="1699"/>
      <c r="J221" s="1699"/>
      <c r="K221" s="1699"/>
      <c r="L221" s="2039"/>
      <c r="M221" s="1699"/>
      <c r="N221" s="1699"/>
      <c r="O221" s="1699"/>
      <c r="P221" s="1699"/>
      <c r="Q221" s="2039"/>
      <c r="R221" s="1699"/>
      <c r="S221" s="1699"/>
      <c r="T221" s="1699"/>
      <c r="U221" s="1699"/>
      <c r="V221" s="2039"/>
      <c r="W221" s="1699"/>
      <c r="X221" s="1699"/>
      <c r="Y221" s="1699"/>
      <c r="Z221" s="1699"/>
      <c r="AA221" s="2039"/>
      <c r="AB221" s="1699"/>
      <c r="AC221" s="1699"/>
      <c r="AD221" s="1699"/>
      <c r="AE221" s="1699"/>
      <c r="AF221" s="1699"/>
      <c r="AG221" s="1699"/>
      <c r="AH221" s="1699"/>
      <c r="AI221" s="1699"/>
      <c r="AJ221" s="2039"/>
      <c r="AK221" s="1699"/>
      <c r="AL221" s="1699"/>
      <c r="AM221" s="1699"/>
      <c r="AN221" s="1699"/>
      <c r="AO221" s="2039"/>
      <c r="AP221" s="1699"/>
      <c r="AQ221" s="1699"/>
      <c r="AR221" s="1699"/>
      <c r="AS221" s="1699"/>
      <c r="AT221" s="2039"/>
      <c r="AU221" s="1699"/>
      <c r="AV221" s="1699"/>
      <c r="AW221" s="1699"/>
      <c r="AX221" s="1699"/>
      <c r="AY221" s="2039"/>
      <c r="AZ221" s="1699"/>
      <c r="BA221" s="1699"/>
      <c r="BB221" s="1699"/>
      <c r="BC221" s="1699"/>
      <c r="BD221" s="2039"/>
      <c r="BE221" s="1699"/>
      <c r="BF221" s="1699"/>
      <c r="BG221" s="1699"/>
      <c r="BH221" s="1699"/>
      <c r="BI221" s="2039"/>
      <c r="BJ221" s="1699"/>
      <c r="BK221" s="1699"/>
      <c r="BL221" s="1699"/>
      <c r="BM221" s="1699"/>
      <c r="BN221" s="2039"/>
      <c r="BO221" s="1699"/>
      <c r="BP221" s="1699"/>
      <c r="BQ221" s="1293"/>
      <c r="BR221" s="1293"/>
      <c r="BS221" s="1293"/>
      <c r="BT221" s="1293"/>
      <c r="BU221" s="1293"/>
      <c r="BV221" s="1293"/>
      <c r="BW221" s="1293"/>
      <c r="BX221" s="1293"/>
      <c r="BY221" s="1293"/>
      <c r="BZ221" s="1293"/>
      <c r="CA221" s="1293"/>
      <c r="CB221" s="1293"/>
      <c r="CC221" s="1293"/>
      <c r="CD221" s="1293"/>
      <c r="CE221" s="1293"/>
      <c r="CF221" s="1293"/>
      <c r="CG221" s="1293"/>
      <c r="CH221" s="1293"/>
      <c r="CI221" s="1293"/>
      <c r="CJ221" s="1293"/>
      <c r="CK221" s="1293"/>
      <c r="CL221" s="1293"/>
      <c r="CM221" s="1293"/>
      <c r="CN221" s="1293"/>
      <c r="CO221" s="1293"/>
      <c r="CP221" s="1293"/>
      <c r="CQ221" s="1293"/>
      <c r="CR221" s="1293"/>
      <c r="CS221" s="1293"/>
      <c r="CT221" s="1293"/>
      <c r="CU221" s="1293"/>
      <c r="CV221" s="1293"/>
      <c r="CW221" s="1293"/>
      <c r="CX221" s="1293"/>
      <c r="CY221" s="2041"/>
      <c r="CZ221" s="1699"/>
      <c r="DA221" s="2042"/>
      <c r="DB221" s="2041"/>
      <c r="DC221" s="1293"/>
      <c r="DD221" s="1293"/>
      <c r="DE221" s="1293"/>
      <c r="DF221" s="1293"/>
      <c r="DG221" s="1293"/>
      <c r="DH221" s="1293"/>
      <c r="DI221" s="1293"/>
      <c r="DJ221" s="1293"/>
      <c r="DK221" s="1293"/>
      <c r="DL221" s="2147"/>
    </row>
    <row r="222" spans="1:116" ht="16.5" thickBot="1">
      <c r="A222" s="1293"/>
      <c r="B222" s="1293"/>
      <c r="C222" s="1699"/>
      <c r="D222" s="1699"/>
      <c r="E222" s="1699"/>
      <c r="F222" s="1699"/>
      <c r="G222" s="2039"/>
      <c r="H222" s="1699"/>
      <c r="I222" s="1699"/>
      <c r="J222" s="1699"/>
      <c r="K222" s="1699"/>
      <c r="L222" s="2039"/>
      <c r="M222" s="1699"/>
      <c r="N222" s="1699"/>
      <c r="O222" s="1699"/>
      <c r="P222" s="1699"/>
      <c r="Q222" s="2039"/>
      <c r="R222" s="1699"/>
      <c r="S222" s="1699"/>
      <c r="T222" s="1699"/>
      <c r="U222" s="1699"/>
      <c r="V222" s="2039"/>
      <c r="W222" s="1699"/>
      <c r="X222" s="1699"/>
      <c r="Y222" s="1699"/>
      <c r="Z222" s="1699"/>
      <c r="AA222" s="2039"/>
      <c r="AB222" s="1699"/>
      <c r="AC222" s="1699"/>
      <c r="AD222" s="1699"/>
      <c r="AE222" s="1699"/>
      <c r="AF222" s="1699"/>
      <c r="AG222" s="1699"/>
      <c r="AH222" s="1699"/>
      <c r="AI222" s="1699"/>
      <c r="AJ222" s="2039"/>
      <c r="AK222" s="1699"/>
      <c r="AL222" s="1699"/>
      <c r="AM222" s="1699"/>
      <c r="AN222" s="1699"/>
      <c r="AO222" s="2039"/>
      <c r="AP222" s="1699"/>
      <c r="AQ222" s="1699"/>
      <c r="AR222" s="1699"/>
      <c r="AS222" s="1699"/>
      <c r="AT222" s="2039"/>
      <c r="AU222" s="1699"/>
      <c r="AV222" s="1699"/>
      <c r="AW222" s="1699"/>
      <c r="AX222" s="1699"/>
      <c r="AY222" s="2039"/>
      <c r="AZ222" s="1699"/>
      <c r="BA222" s="1699"/>
      <c r="BB222" s="1699"/>
      <c r="BC222" s="1699"/>
      <c r="BD222" s="2039"/>
      <c r="BE222" s="1699"/>
      <c r="BF222" s="1699"/>
      <c r="BG222" s="1699"/>
      <c r="BH222" s="1699"/>
      <c r="BI222" s="2039"/>
      <c r="BJ222" s="1699"/>
      <c r="BK222" s="1699"/>
      <c r="BL222" s="1699"/>
      <c r="BM222" s="1699"/>
      <c r="BN222" s="2039"/>
      <c r="BO222" s="1699"/>
      <c r="BP222" s="1699"/>
      <c r="BQ222" s="1293"/>
      <c r="BR222" s="1293"/>
      <c r="BS222" s="1293"/>
      <c r="BT222" s="1293"/>
      <c r="BU222" s="1293"/>
      <c r="BV222" s="1293"/>
      <c r="BW222" s="1293"/>
      <c r="BX222" s="1293"/>
      <c r="BY222" s="1293"/>
      <c r="BZ222" s="1293"/>
      <c r="CA222" s="1293"/>
      <c r="CB222" s="1293"/>
      <c r="CC222" s="1293"/>
      <c r="CD222" s="1293"/>
      <c r="CE222" s="1293"/>
      <c r="CF222" s="1293"/>
      <c r="CG222" s="1293"/>
      <c r="CH222" s="1293"/>
      <c r="CI222" s="1293"/>
      <c r="CJ222" s="1293"/>
      <c r="CK222" s="1293"/>
      <c r="CL222" s="1293"/>
      <c r="CM222" s="1293"/>
      <c r="CN222" s="1293"/>
      <c r="CO222" s="1293"/>
      <c r="CP222" s="1293"/>
      <c r="CQ222" s="1293"/>
      <c r="CR222" s="1293"/>
      <c r="CS222" s="1293"/>
      <c r="CT222" s="1293"/>
      <c r="CU222" s="1293"/>
      <c r="CV222" s="1293"/>
      <c r="CW222" s="1293"/>
      <c r="CX222" s="1293"/>
      <c r="CY222" s="2041"/>
      <c r="CZ222" s="1699"/>
      <c r="DA222" s="2042"/>
      <c r="DB222" s="2041"/>
      <c r="DC222" s="1293"/>
      <c r="DD222" s="1293"/>
      <c r="DE222" s="1293"/>
      <c r="DF222" s="1293"/>
      <c r="DG222" s="1293"/>
      <c r="DH222" s="1293"/>
      <c r="DI222" s="1293"/>
      <c r="DJ222" s="1293"/>
      <c r="DK222" s="1293"/>
      <c r="DL222" s="2147"/>
    </row>
    <row r="223" spans="1:116" ht="16.5" thickBot="1">
      <c r="A223" s="1293"/>
      <c r="B223" s="1293"/>
      <c r="C223" s="1699"/>
      <c r="D223" s="1699"/>
      <c r="E223" s="1699"/>
      <c r="F223" s="1699"/>
      <c r="G223" s="2039"/>
      <c r="H223" s="1699"/>
      <c r="I223" s="1699"/>
      <c r="J223" s="1699"/>
      <c r="K223" s="1699"/>
      <c r="L223" s="2039"/>
      <c r="M223" s="1699"/>
      <c r="N223" s="1699"/>
      <c r="O223" s="1699"/>
      <c r="P223" s="1699"/>
      <c r="Q223" s="2039"/>
      <c r="R223" s="1699"/>
      <c r="S223" s="1699"/>
      <c r="T223" s="1699"/>
      <c r="U223" s="1699"/>
      <c r="V223" s="2039"/>
      <c r="W223" s="1699"/>
      <c r="X223" s="1699"/>
      <c r="Y223" s="1699"/>
      <c r="Z223" s="1699"/>
      <c r="AA223" s="2039"/>
      <c r="AB223" s="1699"/>
      <c r="AC223" s="1699"/>
      <c r="AD223" s="1699"/>
      <c r="AE223" s="1699"/>
      <c r="AF223" s="1699"/>
      <c r="AG223" s="1699"/>
      <c r="AH223" s="1699"/>
      <c r="AI223" s="1699"/>
      <c r="AJ223" s="2039"/>
      <c r="AK223" s="1699"/>
      <c r="AL223" s="1699"/>
      <c r="AM223" s="1699"/>
      <c r="AN223" s="1699"/>
      <c r="AO223" s="2039"/>
      <c r="AP223" s="1699"/>
      <c r="AQ223" s="1699"/>
      <c r="AR223" s="1699"/>
      <c r="AS223" s="1699"/>
      <c r="AT223" s="2039"/>
      <c r="AU223" s="1699"/>
      <c r="AV223" s="1699"/>
      <c r="AW223" s="1699"/>
      <c r="AX223" s="1699"/>
      <c r="AY223" s="2039"/>
      <c r="AZ223" s="1699"/>
      <c r="BA223" s="1699"/>
      <c r="BB223" s="1699"/>
      <c r="BC223" s="1699"/>
      <c r="BD223" s="2039"/>
      <c r="BE223" s="1699"/>
      <c r="BF223" s="1699"/>
      <c r="BG223" s="1699"/>
      <c r="BH223" s="1699"/>
      <c r="BI223" s="2039"/>
      <c r="BJ223" s="1699"/>
      <c r="BK223" s="1699"/>
      <c r="BL223" s="1699"/>
      <c r="BM223" s="1699"/>
      <c r="BN223" s="2039"/>
      <c r="BO223" s="1699"/>
      <c r="BP223" s="1699"/>
      <c r="BQ223" s="1293"/>
      <c r="BR223" s="1293"/>
      <c r="BS223" s="1293"/>
      <c r="BT223" s="1293"/>
      <c r="BU223" s="1293"/>
      <c r="BV223" s="1293"/>
      <c r="BW223" s="1293"/>
      <c r="BX223" s="1293"/>
      <c r="BY223" s="1293"/>
      <c r="BZ223" s="1293"/>
      <c r="CA223" s="1293"/>
      <c r="CB223" s="1293"/>
      <c r="CC223" s="1293"/>
      <c r="CD223" s="1293"/>
      <c r="CE223" s="1293"/>
      <c r="CF223" s="1293"/>
      <c r="CG223" s="1293"/>
      <c r="CH223" s="1293"/>
      <c r="CI223" s="1293"/>
      <c r="CJ223" s="1293"/>
      <c r="CK223" s="1293"/>
      <c r="CL223" s="1293"/>
      <c r="CM223" s="1293"/>
      <c r="CN223" s="1293"/>
      <c r="CO223" s="1293"/>
      <c r="CP223" s="1293"/>
      <c r="CQ223" s="1293"/>
      <c r="CR223" s="1293"/>
      <c r="CS223" s="1293"/>
      <c r="CT223" s="1293"/>
      <c r="CU223" s="1293"/>
      <c r="CV223" s="1293"/>
      <c r="CW223" s="1293"/>
      <c r="CX223" s="1293"/>
      <c r="CY223" s="2041"/>
      <c r="CZ223" s="1699"/>
      <c r="DA223" s="2042"/>
      <c r="DB223" s="2041"/>
      <c r="DC223" s="1293"/>
      <c r="DD223" s="1293"/>
      <c r="DE223" s="1293"/>
      <c r="DF223" s="1293"/>
      <c r="DG223" s="1293"/>
      <c r="DH223" s="1293"/>
      <c r="DI223" s="1293"/>
      <c r="DJ223" s="1293"/>
      <c r="DK223" s="1293"/>
      <c r="DL223" s="2147"/>
    </row>
    <row r="224" spans="1:116" ht="16.5" thickBot="1">
      <c r="A224" s="1293"/>
      <c r="B224" s="1293"/>
      <c r="C224" s="1699"/>
      <c r="D224" s="1699"/>
      <c r="E224" s="1699"/>
      <c r="F224" s="1699"/>
      <c r="G224" s="2039"/>
      <c r="H224" s="1699"/>
      <c r="I224" s="1699"/>
      <c r="J224" s="1699"/>
      <c r="K224" s="1699"/>
      <c r="L224" s="2039"/>
      <c r="M224" s="1699"/>
      <c r="N224" s="1699"/>
      <c r="O224" s="1699"/>
      <c r="P224" s="1699"/>
      <c r="Q224" s="2039"/>
      <c r="R224" s="1699"/>
      <c r="S224" s="1699"/>
      <c r="T224" s="1699"/>
      <c r="U224" s="1699"/>
      <c r="V224" s="2039"/>
      <c r="W224" s="1699"/>
      <c r="X224" s="1699"/>
      <c r="Y224" s="1699"/>
      <c r="Z224" s="1699"/>
      <c r="AA224" s="2039"/>
      <c r="AB224" s="1699"/>
      <c r="AC224" s="1699"/>
      <c r="AD224" s="1699"/>
      <c r="AE224" s="1699"/>
      <c r="AF224" s="1699"/>
      <c r="AG224" s="1699"/>
      <c r="AH224" s="1699"/>
      <c r="AI224" s="1699"/>
      <c r="AJ224" s="2039"/>
      <c r="AK224" s="1699"/>
      <c r="AL224" s="1699"/>
      <c r="AM224" s="1699"/>
      <c r="AN224" s="1699"/>
      <c r="AO224" s="2039"/>
      <c r="AP224" s="1699"/>
      <c r="AQ224" s="1699"/>
      <c r="AR224" s="1699"/>
      <c r="AS224" s="1699"/>
      <c r="AT224" s="2039"/>
      <c r="AU224" s="1699"/>
      <c r="AV224" s="1699"/>
      <c r="AW224" s="1699"/>
      <c r="AX224" s="1699"/>
      <c r="AY224" s="2039"/>
      <c r="AZ224" s="1699"/>
      <c r="BA224" s="1699"/>
      <c r="BB224" s="1699"/>
      <c r="BC224" s="1699"/>
      <c r="BD224" s="2039"/>
      <c r="BE224" s="1699"/>
      <c r="BF224" s="1699"/>
      <c r="BG224" s="1699"/>
      <c r="BH224" s="1699"/>
      <c r="BI224" s="2039"/>
      <c r="BJ224" s="1699"/>
      <c r="BK224" s="1699"/>
      <c r="BL224" s="1699"/>
      <c r="BM224" s="1699"/>
      <c r="BN224" s="2039"/>
      <c r="BO224" s="1699"/>
      <c r="BP224" s="1699"/>
      <c r="BQ224" s="1293"/>
      <c r="BR224" s="1293"/>
      <c r="BS224" s="1293"/>
      <c r="BT224" s="1293"/>
      <c r="BU224" s="1293"/>
      <c r="BV224" s="1293"/>
      <c r="BW224" s="1293"/>
      <c r="BX224" s="1293"/>
      <c r="BY224" s="1293"/>
      <c r="BZ224" s="1293"/>
      <c r="CA224" s="1293"/>
      <c r="CB224" s="1293"/>
      <c r="CC224" s="1293"/>
      <c r="CD224" s="1293"/>
      <c r="CE224" s="1293"/>
      <c r="CF224" s="1293"/>
      <c r="CG224" s="1293"/>
      <c r="CH224" s="1293"/>
      <c r="CI224" s="1293"/>
      <c r="CJ224" s="1293"/>
      <c r="CK224" s="1293"/>
      <c r="CL224" s="1293"/>
      <c r="CM224" s="1293"/>
      <c r="CN224" s="1293"/>
      <c r="CO224" s="1293"/>
      <c r="CP224" s="1293"/>
      <c r="CQ224" s="1293"/>
      <c r="CR224" s="1293"/>
      <c r="CS224" s="1293"/>
      <c r="CT224" s="1293"/>
      <c r="CU224" s="1293"/>
      <c r="CV224" s="1293"/>
      <c r="CW224" s="1293"/>
      <c r="CX224" s="1293"/>
      <c r="CY224" s="2041"/>
      <c r="CZ224" s="1699"/>
      <c r="DA224" s="2042"/>
      <c r="DB224" s="2041"/>
      <c r="DC224" s="1293"/>
      <c r="DD224" s="1293"/>
      <c r="DE224" s="1293"/>
      <c r="DF224" s="1293"/>
      <c r="DG224" s="1293"/>
      <c r="DH224" s="1293"/>
      <c r="DI224" s="1293"/>
      <c r="DJ224" s="1293"/>
      <c r="DK224" s="1293"/>
      <c r="DL224" s="2147"/>
    </row>
    <row r="225" spans="1:116" ht="16.5" thickBot="1">
      <c r="A225" s="1293"/>
      <c r="B225" s="1293"/>
      <c r="C225" s="1699"/>
      <c r="D225" s="1699"/>
      <c r="E225" s="1699"/>
      <c r="F225" s="1699"/>
      <c r="G225" s="2039"/>
      <c r="H225" s="1699"/>
      <c r="I225" s="1699"/>
      <c r="J225" s="1699"/>
      <c r="K225" s="1699"/>
      <c r="L225" s="2039"/>
      <c r="M225" s="1699"/>
      <c r="N225" s="1699"/>
      <c r="O225" s="1699"/>
      <c r="P225" s="1699"/>
      <c r="Q225" s="2039"/>
      <c r="R225" s="1699"/>
      <c r="S225" s="1699"/>
      <c r="T225" s="1699"/>
      <c r="U225" s="1699"/>
      <c r="V225" s="2039"/>
      <c r="W225" s="1699"/>
      <c r="X225" s="1699"/>
      <c r="Y225" s="1699"/>
      <c r="Z225" s="1699"/>
      <c r="AA225" s="2039"/>
      <c r="AB225" s="1699"/>
      <c r="AC225" s="1699"/>
      <c r="AD225" s="1699"/>
      <c r="AE225" s="1699"/>
      <c r="AF225" s="1699"/>
      <c r="AG225" s="1699"/>
      <c r="AH225" s="1699"/>
      <c r="AI225" s="1699"/>
      <c r="AJ225" s="2039"/>
      <c r="AK225" s="1699"/>
      <c r="AL225" s="1699"/>
      <c r="AM225" s="1699"/>
      <c r="AN225" s="1699"/>
      <c r="AO225" s="2039"/>
      <c r="AP225" s="1699"/>
      <c r="AQ225" s="1699"/>
      <c r="AR225" s="1699"/>
      <c r="AS225" s="1699"/>
      <c r="AT225" s="2039"/>
      <c r="AU225" s="1699"/>
      <c r="AV225" s="1699"/>
      <c r="AW225" s="1699"/>
      <c r="AX225" s="1699"/>
      <c r="AY225" s="2039"/>
      <c r="AZ225" s="1699"/>
      <c r="BA225" s="1699"/>
      <c r="BB225" s="1699"/>
      <c r="BC225" s="1699"/>
      <c r="BD225" s="2039"/>
      <c r="BE225" s="1699"/>
      <c r="BF225" s="1699"/>
      <c r="BG225" s="1699"/>
      <c r="BH225" s="1699"/>
      <c r="BI225" s="2039"/>
      <c r="BJ225" s="1699"/>
      <c r="BK225" s="1699"/>
      <c r="BL225" s="1699"/>
      <c r="BM225" s="1699"/>
      <c r="BN225" s="2039"/>
      <c r="BO225" s="1699"/>
      <c r="BP225" s="1699"/>
      <c r="BQ225" s="1293"/>
      <c r="BR225" s="1293"/>
      <c r="BS225" s="1293"/>
      <c r="BT225" s="1293"/>
      <c r="BU225" s="1293"/>
      <c r="BV225" s="1293"/>
      <c r="BW225" s="1293"/>
      <c r="BX225" s="1293"/>
      <c r="BY225" s="1293"/>
      <c r="BZ225" s="1293"/>
      <c r="CA225" s="1293"/>
      <c r="CB225" s="1293"/>
      <c r="CC225" s="1293"/>
      <c r="CD225" s="1293"/>
      <c r="CE225" s="1293"/>
      <c r="CF225" s="1293"/>
      <c r="CG225" s="1293"/>
      <c r="CH225" s="1293"/>
      <c r="CI225" s="1293"/>
      <c r="CJ225" s="1293"/>
      <c r="CK225" s="1293"/>
      <c r="CL225" s="1293"/>
      <c r="CM225" s="1293"/>
      <c r="CN225" s="1293"/>
      <c r="CO225" s="1293"/>
      <c r="CP225" s="1293"/>
      <c r="CQ225" s="1293"/>
      <c r="CR225" s="1293"/>
      <c r="CS225" s="1293"/>
      <c r="CT225" s="1293"/>
      <c r="CU225" s="1293"/>
      <c r="CV225" s="1293"/>
      <c r="CW225" s="1293"/>
      <c r="CX225" s="1293"/>
      <c r="CY225" s="2041"/>
      <c r="CZ225" s="1699"/>
      <c r="DA225" s="2042"/>
      <c r="DB225" s="2041"/>
      <c r="DC225" s="1293"/>
      <c r="DD225" s="1293"/>
      <c r="DE225" s="1293"/>
      <c r="DF225" s="1293"/>
      <c r="DG225" s="1293"/>
      <c r="DH225" s="1293"/>
      <c r="DI225" s="1293"/>
      <c r="DJ225" s="1293"/>
      <c r="DK225" s="1293"/>
      <c r="DL225" s="2147"/>
    </row>
    <row r="226" spans="1:116" ht="16.5" thickBot="1">
      <c r="A226" s="1293"/>
      <c r="B226" s="1293"/>
      <c r="C226" s="1699"/>
      <c r="D226" s="1699"/>
      <c r="E226" s="1699"/>
      <c r="F226" s="1699"/>
      <c r="G226" s="2039"/>
      <c r="H226" s="1699"/>
      <c r="I226" s="1699"/>
      <c r="J226" s="1699"/>
      <c r="K226" s="1699"/>
      <c r="L226" s="2039"/>
      <c r="M226" s="1699"/>
      <c r="N226" s="1699"/>
      <c r="O226" s="1699"/>
      <c r="P226" s="1699"/>
      <c r="Q226" s="2039"/>
      <c r="R226" s="1699"/>
      <c r="S226" s="1699"/>
      <c r="T226" s="1699"/>
      <c r="U226" s="1699"/>
      <c r="V226" s="2039"/>
      <c r="W226" s="1699"/>
      <c r="X226" s="1699"/>
      <c r="Y226" s="1699"/>
      <c r="Z226" s="1699"/>
      <c r="AA226" s="2039"/>
      <c r="AB226" s="1699"/>
      <c r="AC226" s="1699"/>
      <c r="AD226" s="1699"/>
      <c r="AE226" s="1699"/>
      <c r="AF226" s="1699"/>
      <c r="AG226" s="1699"/>
      <c r="AH226" s="1699"/>
      <c r="AI226" s="1699"/>
      <c r="AJ226" s="2039"/>
      <c r="AK226" s="1699"/>
      <c r="AL226" s="1699"/>
      <c r="AM226" s="1699"/>
      <c r="AN226" s="1699"/>
      <c r="AO226" s="2039"/>
      <c r="AP226" s="1699"/>
      <c r="AQ226" s="1699"/>
      <c r="AR226" s="1699"/>
      <c r="AS226" s="1699"/>
      <c r="AT226" s="2039"/>
      <c r="AU226" s="1699"/>
      <c r="AV226" s="1699"/>
      <c r="AW226" s="1699"/>
      <c r="AX226" s="1699"/>
      <c r="AY226" s="2039"/>
      <c r="AZ226" s="1699"/>
      <c r="BA226" s="1699"/>
      <c r="BB226" s="1699"/>
      <c r="BC226" s="1699"/>
      <c r="BD226" s="2039"/>
      <c r="BE226" s="1699"/>
      <c r="BF226" s="1699"/>
      <c r="BG226" s="1699"/>
      <c r="BH226" s="1699"/>
      <c r="BI226" s="2039"/>
      <c r="BJ226" s="1699"/>
      <c r="BK226" s="1699"/>
      <c r="BL226" s="1699"/>
      <c r="BM226" s="1699"/>
      <c r="BN226" s="2039"/>
      <c r="BO226" s="1699"/>
      <c r="BP226" s="1699"/>
      <c r="BQ226" s="1293"/>
      <c r="BR226" s="1293"/>
      <c r="BS226" s="1293"/>
      <c r="BT226" s="1293"/>
      <c r="BU226" s="1293"/>
      <c r="BV226" s="1293"/>
      <c r="BW226" s="1293"/>
      <c r="BX226" s="1293"/>
      <c r="BY226" s="1293"/>
      <c r="BZ226" s="1293"/>
      <c r="CA226" s="1293"/>
      <c r="CB226" s="1293"/>
      <c r="CC226" s="1293"/>
      <c r="CD226" s="1293"/>
      <c r="CE226" s="1293"/>
      <c r="CF226" s="1293"/>
      <c r="CG226" s="1293"/>
      <c r="CH226" s="1293"/>
      <c r="CI226" s="1293"/>
      <c r="CJ226" s="1293"/>
      <c r="CK226" s="1293"/>
      <c r="CL226" s="1293"/>
      <c r="CM226" s="1293"/>
      <c r="CN226" s="1293"/>
      <c r="CO226" s="1293"/>
      <c r="CP226" s="1293"/>
      <c r="CQ226" s="1293"/>
      <c r="CR226" s="1293"/>
      <c r="CS226" s="1293"/>
      <c r="CT226" s="1293"/>
      <c r="CU226" s="1293"/>
      <c r="CV226" s="1293"/>
      <c r="CW226" s="1293"/>
      <c r="CX226" s="1293"/>
      <c r="CY226" s="2041"/>
      <c r="CZ226" s="1699"/>
      <c r="DA226" s="2042"/>
      <c r="DB226" s="2041"/>
      <c r="DC226" s="1293"/>
      <c r="DD226" s="1293"/>
      <c r="DE226" s="1293"/>
      <c r="DF226" s="1293"/>
      <c r="DG226" s="1293"/>
      <c r="DH226" s="1293"/>
      <c r="DI226" s="1293"/>
      <c r="DJ226" s="1293"/>
      <c r="DK226" s="1293"/>
      <c r="DL226" s="2147"/>
    </row>
    <row r="227" spans="1:116" ht="16.5" thickBot="1">
      <c r="A227" s="1293"/>
      <c r="B227" s="1293"/>
      <c r="C227" s="1699"/>
      <c r="D227" s="1699"/>
      <c r="E227" s="1699"/>
      <c r="F227" s="1699"/>
      <c r="G227" s="2039"/>
      <c r="H227" s="1699"/>
      <c r="I227" s="1699"/>
      <c r="J227" s="1699"/>
      <c r="K227" s="1699"/>
      <c r="L227" s="2039"/>
      <c r="M227" s="1699"/>
      <c r="N227" s="1699"/>
      <c r="O227" s="1699"/>
      <c r="P227" s="1699"/>
      <c r="Q227" s="2039"/>
      <c r="R227" s="1699"/>
      <c r="S227" s="1699"/>
      <c r="T227" s="1699"/>
      <c r="U227" s="1699"/>
      <c r="V227" s="2039"/>
      <c r="W227" s="1699"/>
      <c r="X227" s="1699"/>
      <c r="Y227" s="1699"/>
      <c r="Z227" s="1699"/>
      <c r="AA227" s="2039"/>
      <c r="AB227" s="1699"/>
      <c r="AC227" s="1699"/>
      <c r="AD227" s="1699"/>
      <c r="AE227" s="1699"/>
      <c r="AF227" s="1699"/>
      <c r="AG227" s="1699"/>
      <c r="AH227" s="1699"/>
      <c r="AI227" s="1699"/>
      <c r="AJ227" s="2039"/>
      <c r="AK227" s="1699"/>
      <c r="AL227" s="1699"/>
      <c r="AM227" s="1699"/>
      <c r="AN227" s="1699"/>
      <c r="AO227" s="2039"/>
      <c r="AP227" s="1699"/>
      <c r="AQ227" s="1699"/>
      <c r="AR227" s="1699"/>
      <c r="AS227" s="1699"/>
      <c r="AT227" s="2039"/>
      <c r="AU227" s="1699"/>
      <c r="AV227" s="1699"/>
      <c r="AW227" s="1699"/>
      <c r="AX227" s="1699"/>
      <c r="AY227" s="2039"/>
      <c r="AZ227" s="1699"/>
      <c r="BA227" s="1699"/>
      <c r="BB227" s="1699"/>
      <c r="BC227" s="1699"/>
      <c r="BD227" s="2039"/>
      <c r="BE227" s="1699"/>
      <c r="BF227" s="1699"/>
      <c r="BG227" s="1699"/>
      <c r="BH227" s="1699"/>
      <c r="BI227" s="2039"/>
      <c r="BJ227" s="1699"/>
      <c r="BK227" s="1699"/>
      <c r="BL227" s="1699"/>
      <c r="BM227" s="1699"/>
      <c r="BN227" s="2039"/>
      <c r="BO227" s="1699"/>
      <c r="BP227" s="1699"/>
      <c r="BQ227" s="1293"/>
      <c r="BR227" s="1293"/>
      <c r="BS227" s="1293"/>
      <c r="BT227" s="1293"/>
      <c r="BU227" s="1293"/>
      <c r="BV227" s="1293"/>
      <c r="BW227" s="1293"/>
      <c r="BX227" s="1293"/>
      <c r="BY227" s="1293"/>
      <c r="BZ227" s="1293"/>
      <c r="CA227" s="1293"/>
      <c r="CB227" s="1293"/>
      <c r="CC227" s="1293"/>
      <c r="CD227" s="1293"/>
      <c r="CE227" s="1293"/>
      <c r="CF227" s="1293"/>
      <c r="CG227" s="1293"/>
      <c r="CH227" s="1293"/>
      <c r="CI227" s="1293"/>
      <c r="CJ227" s="1293"/>
      <c r="CK227" s="1293"/>
      <c r="CL227" s="1293"/>
      <c r="CM227" s="1293"/>
      <c r="CN227" s="1293"/>
      <c r="CO227" s="1293"/>
      <c r="CP227" s="1293"/>
      <c r="CQ227" s="1293"/>
      <c r="CR227" s="1293"/>
      <c r="CS227" s="1293"/>
      <c r="CT227" s="1293"/>
      <c r="CU227" s="1293"/>
      <c r="CV227" s="1293"/>
      <c r="CW227" s="1293"/>
      <c r="CX227" s="1293"/>
      <c r="CY227" s="2041"/>
      <c r="CZ227" s="1699"/>
      <c r="DA227" s="2042"/>
      <c r="DB227" s="2041"/>
      <c r="DC227" s="1293"/>
      <c r="DD227" s="1293"/>
      <c r="DE227" s="1293"/>
      <c r="DF227" s="1293"/>
      <c r="DG227" s="1293"/>
      <c r="DH227" s="1293"/>
      <c r="DI227" s="1293"/>
      <c r="DJ227" s="1293"/>
      <c r="DK227" s="1293"/>
      <c r="DL227" s="2147"/>
    </row>
    <row r="228" spans="1:116" ht="16.5" thickBot="1">
      <c r="A228" s="1293"/>
      <c r="B228" s="1293"/>
      <c r="C228" s="1699"/>
      <c r="D228" s="1699"/>
      <c r="E228" s="1699"/>
      <c r="F228" s="1699"/>
      <c r="G228" s="2039"/>
      <c r="H228" s="1699"/>
      <c r="I228" s="1699"/>
      <c r="J228" s="1699"/>
      <c r="K228" s="1699"/>
      <c r="L228" s="2039"/>
      <c r="M228" s="1699"/>
      <c r="N228" s="1699"/>
      <c r="O228" s="1699"/>
      <c r="P228" s="1699"/>
      <c r="Q228" s="2039"/>
      <c r="R228" s="1699"/>
      <c r="S228" s="1699"/>
      <c r="T228" s="1699"/>
      <c r="U228" s="1699"/>
      <c r="V228" s="2039"/>
      <c r="W228" s="1699"/>
      <c r="X228" s="1699"/>
      <c r="Y228" s="1699"/>
      <c r="Z228" s="1699"/>
      <c r="AA228" s="2039"/>
      <c r="AB228" s="1699"/>
      <c r="AC228" s="1699"/>
      <c r="AD228" s="1699"/>
      <c r="AE228" s="1699"/>
      <c r="AF228" s="1699"/>
      <c r="AG228" s="1699"/>
      <c r="AH228" s="1699"/>
      <c r="AI228" s="1699"/>
      <c r="AJ228" s="2039"/>
      <c r="AK228" s="1699"/>
      <c r="AL228" s="1699"/>
      <c r="AM228" s="1699"/>
      <c r="AN228" s="1699"/>
      <c r="AO228" s="2039"/>
      <c r="AP228" s="1699"/>
      <c r="AQ228" s="1699"/>
      <c r="AR228" s="1699"/>
      <c r="AS228" s="1699"/>
      <c r="AT228" s="2039"/>
      <c r="AU228" s="1699"/>
      <c r="AV228" s="1699"/>
      <c r="AW228" s="1699"/>
      <c r="AX228" s="1699"/>
      <c r="AY228" s="2039"/>
      <c r="AZ228" s="1699"/>
      <c r="BA228" s="1699"/>
      <c r="BB228" s="1699"/>
      <c r="BC228" s="1699"/>
      <c r="BD228" s="2039"/>
      <c r="BE228" s="1699"/>
      <c r="BF228" s="1699"/>
      <c r="BG228" s="1699"/>
      <c r="BH228" s="1699"/>
      <c r="BI228" s="2039"/>
      <c r="BJ228" s="1699"/>
      <c r="BK228" s="1699"/>
      <c r="BL228" s="1699"/>
      <c r="BM228" s="1699"/>
      <c r="BN228" s="2039"/>
      <c r="BO228" s="1699"/>
      <c r="BP228" s="1699"/>
      <c r="BQ228" s="1293"/>
      <c r="BR228" s="1293"/>
      <c r="BS228" s="1293"/>
      <c r="BT228" s="1293"/>
      <c r="BU228" s="1293"/>
      <c r="BV228" s="1293"/>
      <c r="BW228" s="1293"/>
      <c r="BX228" s="1293"/>
      <c r="BY228" s="1293"/>
      <c r="BZ228" s="1293"/>
      <c r="CA228" s="1293"/>
      <c r="CB228" s="1293"/>
      <c r="CC228" s="1293"/>
      <c r="CD228" s="1293"/>
      <c r="CE228" s="1293"/>
      <c r="CF228" s="1293"/>
      <c r="CG228" s="1293"/>
      <c r="CH228" s="1293"/>
      <c r="CI228" s="1293"/>
      <c r="CJ228" s="1293"/>
      <c r="CK228" s="1293"/>
      <c r="CL228" s="1293"/>
      <c r="CM228" s="1293"/>
      <c r="CN228" s="1293"/>
      <c r="CO228" s="1293"/>
      <c r="CP228" s="1293"/>
      <c r="CQ228" s="1293"/>
      <c r="CR228" s="1293"/>
      <c r="CS228" s="1293"/>
      <c r="CT228" s="1293"/>
      <c r="CU228" s="1293"/>
      <c r="CV228" s="1293"/>
      <c r="CW228" s="1293"/>
      <c r="CX228" s="1293"/>
      <c r="CY228" s="2041"/>
      <c r="CZ228" s="1699"/>
      <c r="DA228" s="2042"/>
      <c r="DB228" s="2041"/>
      <c r="DC228" s="1293"/>
      <c r="DD228" s="1293"/>
      <c r="DE228" s="1293"/>
      <c r="DF228" s="1293"/>
      <c r="DG228" s="1293"/>
      <c r="DH228" s="1293"/>
      <c r="DI228" s="1293"/>
      <c r="DJ228" s="1293"/>
      <c r="DK228" s="1293"/>
      <c r="DL228" s="2147"/>
    </row>
    <row r="229" spans="1:116" ht="16.5" thickBot="1">
      <c r="A229" s="1293"/>
      <c r="B229" s="1293"/>
      <c r="C229" s="1699"/>
      <c r="D229" s="1699"/>
      <c r="E229" s="1699"/>
      <c r="F229" s="1699"/>
      <c r="G229" s="2039"/>
      <c r="H229" s="1699"/>
      <c r="I229" s="1699"/>
      <c r="J229" s="1699"/>
      <c r="K229" s="1699"/>
      <c r="L229" s="2039"/>
      <c r="M229" s="1699"/>
      <c r="N229" s="1699"/>
      <c r="O229" s="1699"/>
      <c r="P229" s="1699"/>
      <c r="Q229" s="2039"/>
      <c r="R229" s="1699"/>
      <c r="S229" s="1699"/>
      <c r="T229" s="1699"/>
      <c r="U229" s="1699"/>
      <c r="V229" s="2039"/>
      <c r="W229" s="1699"/>
      <c r="X229" s="1699"/>
      <c r="Y229" s="1699"/>
      <c r="Z229" s="1699"/>
      <c r="AA229" s="2039"/>
      <c r="AB229" s="1699"/>
      <c r="AC229" s="1699"/>
      <c r="AD229" s="1699"/>
      <c r="AE229" s="1699"/>
      <c r="AF229" s="1699"/>
      <c r="AG229" s="1699"/>
      <c r="AH229" s="1699"/>
      <c r="AI229" s="1699"/>
      <c r="AJ229" s="2039"/>
      <c r="AK229" s="1699"/>
      <c r="AL229" s="1699"/>
      <c r="AM229" s="1699"/>
      <c r="AN229" s="1699"/>
      <c r="AO229" s="2039"/>
      <c r="AP229" s="1699"/>
      <c r="AQ229" s="1699"/>
      <c r="AR229" s="1699"/>
      <c r="AS229" s="1699"/>
      <c r="AT229" s="2039"/>
      <c r="AU229" s="1699"/>
      <c r="AV229" s="1699"/>
      <c r="AW229" s="1699"/>
      <c r="AX229" s="1699"/>
      <c r="AY229" s="2039"/>
      <c r="AZ229" s="1699"/>
      <c r="BA229" s="1699"/>
      <c r="BB229" s="1699"/>
      <c r="BC229" s="1699"/>
      <c r="BD229" s="2039"/>
      <c r="BE229" s="1699"/>
      <c r="BF229" s="1699"/>
      <c r="BG229" s="1699"/>
      <c r="BH229" s="1699"/>
      <c r="BI229" s="2039"/>
      <c r="BJ229" s="1699"/>
      <c r="BK229" s="1699"/>
      <c r="BL229" s="1699"/>
      <c r="BM229" s="1699"/>
      <c r="BN229" s="2039"/>
      <c r="BO229" s="1699"/>
      <c r="BP229" s="1699"/>
      <c r="BQ229" s="1293"/>
      <c r="BR229" s="1293"/>
      <c r="BS229" s="1293"/>
      <c r="BT229" s="1293"/>
      <c r="BU229" s="1293"/>
      <c r="BV229" s="1293"/>
      <c r="BW229" s="1293"/>
      <c r="BX229" s="1293"/>
      <c r="BY229" s="1293"/>
      <c r="BZ229" s="1293"/>
      <c r="CA229" s="1293"/>
      <c r="CB229" s="1293"/>
      <c r="CC229" s="1293"/>
      <c r="CD229" s="1293"/>
      <c r="CE229" s="1293"/>
      <c r="CF229" s="1293"/>
      <c r="CG229" s="1293"/>
      <c r="CH229" s="1293"/>
      <c r="CI229" s="1293"/>
      <c r="CJ229" s="1293"/>
      <c r="CK229" s="1293"/>
      <c r="CL229" s="1293"/>
      <c r="CM229" s="1293"/>
      <c r="CN229" s="1293"/>
      <c r="CO229" s="1293"/>
      <c r="CP229" s="1293"/>
      <c r="CQ229" s="1293"/>
      <c r="CR229" s="1293"/>
      <c r="CS229" s="1293"/>
      <c r="CT229" s="1293"/>
      <c r="CU229" s="1293"/>
      <c r="CV229" s="1293"/>
      <c r="CW229" s="1293"/>
      <c r="CX229" s="1293"/>
      <c r="CY229" s="2041"/>
      <c r="CZ229" s="1699"/>
      <c r="DA229" s="2042"/>
      <c r="DB229" s="2041"/>
      <c r="DC229" s="1293"/>
      <c r="DD229" s="1293"/>
      <c r="DE229" s="1293"/>
      <c r="DF229" s="1293"/>
      <c r="DG229" s="1293"/>
      <c r="DH229" s="1293"/>
      <c r="DI229" s="1293"/>
      <c r="DJ229" s="1293"/>
      <c r="DK229" s="1293"/>
      <c r="DL229" s="2147"/>
    </row>
    <row r="230" spans="1:116" ht="16.5" thickBot="1">
      <c r="A230" s="1293"/>
      <c r="B230" s="1293"/>
      <c r="C230" s="1699"/>
      <c r="D230" s="1699"/>
      <c r="E230" s="1699"/>
      <c r="F230" s="1699"/>
      <c r="G230" s="2039"/>
      <c r="H230" s="1699"/>
      <c r="I230" s="1699"/>
      <c r="J230" s="1699"/>
      <c r="K230" s="1699"/>
      <c r="L230" s="2039"/>
      <c r="M230" s="1699"/>
      <c r="N230" s="1699"/>
      <c r="O230" s="1699"/>
      <c r="P230" s="1699"/>
      <c r="Q230" s="2039"/>
      <c r="R230" s="1699"/>
      <c r="S230" s="1699"/>
      <c r="T230" s="1699"/>
      <c r="U230" s="1699"/>
      <c r="V230" s="2039"/>
      <c r="W230" s="1699"/>
      <c r="X230" s="1699"/>
      <c r="Y230" s="1699"/>
      <c r="Z230" s="1699"/>
      <c r="AA230" s="2039"/>
      <c r="AB230" s="1699"/>
      <c r="AC230" s="1699"/>
      <c r="AD230" s="1699"/>
      <c r="AE230" s="1699"/>
      <c r="AF230" s="1699"/>
      <c r="AG230" s="1699"/>
      <c r="AH230" s="1699"/>
      <c r="AI230" s="1699"/>
      <c r="AJ230" s="2039"/>
      <c r="AK230" s="1699"/>
      <c r="AL230" s="1699"/>
      <c r="AM230" s="1699"/>
      <c r="AN230" s="1699"/>
      <c r="AO230" s="2039"/>
      <c r="AP230" s="1699"/>
      <c r="AQ230" s="1699"/>
      <c r="AR230" s="1699"/>
      <c r="AS230" s="1699"/>
      <c r="AT230" s="2039"/>
      <c r="AU230" s="1699"/>
      <c r="AV230" s="1699"/>
      <c r="AW230" s="1699"/>
      <c r="AX230" s="1699"/>
      <c r="AY230" s="2039"/>
      <c r="AZ230" s="1699"/>
      <c r="BA230" s="1699"/>
      <c r="BB230" s="1699"/>
      <c r="BC230" s="1699"/>
      <c r="BD230" s="2039"/>
      <c r="BE230" s="1699"/>
      <c r="BF230" s="1699"/>
      <c r="BG230" s="1699"/>
      <c r="BH230" s="1699"/>
      <c r="BI230" s="2039"/>
      <c r="BJ230" s="1699"/>
      <c r="BK230" s="1699"/>
      <c r="BL230" s="1699"/>
      <c r="BM230" s="1699"/>
      <c r="BN230" s="2039"/>
      <c r="BO230" s="1699"/>
      <c r="BP230" s="1699"/>
      <c r="BQ230" s="1293"/>
      <c r="BR230" s="1293"/>
      <c r="BS230" s="1293"/>
      <c r="BT230" s="1293"/>
      <c r="BU230" s="1293"/>
      <c r="BV230" s="1293"/>
      <c r="BW230" s="1293"/>
      <c r="BX230" s="1293"/>
      <c r="BY230" s="1293"/>
      <c r="BZ230" s="1293"/>
      <c r="CA230" s="1293"/>
      <c r="CB230" s="1293"/>
      <c r="CC230" s="1293"/>
      <c r="CD230" s="1293"/>
      <c r="CE230" s="1293"/>
      <c r="CF230" s="1293"/>
      <c r="CG230" s="1293"/>
      <c r="CH230" s="1293"/>
      <c r="CI230" s="1293"/>
      <c r="CJ230" s="1293"/>
      <c r="CK230" s="1293"/>
      <c r="CL230" s="1293"/>
      <c r="CM230" s="1293"/>
      <c r="CN230" s="1293"/>
      <c r="CO230" s="1293"/>
      <c r="CP230" s="1293"/>
      <c r="CQ230" s="1293"/>
      <c r="CR230" s="1293"/>
      <c r="CS230" s="1293"/>
      <c r="CT230" s="1293"/>
      <c r="CU230" s="1293"/>
      <c r="CV230" s="1293"/>
      <c r="CW230" s="1293"/>
      <c r="CX230" s="1293"/>
      <c r="CY230" s="2041"/>
      <c r="CZ230" s="1699"/>
      <c r="DA230" s="2042"/>
      <c r="DB230" s="2041"/>
      <c r="DC230" s="1293"/>
      <c r="DD230" s="1293"/>
      <c r="DE230" s="1293"/>
      <c r="DF230" s="1293"/>
      <c r="DG230" s="1293"/>
      <c r="DH230" s="1293"/>
      <c r="DI230" s="1293"/>
      <c r="DJ230" s="1293"/>
      <c r="DK230" s="1293"/>
      <c r="DL230" s="2147"/>
    </row>
    <row r="231" spans="1:116" ht="16.5" thickBot="1">
      <c r="A231" s="1293"/>
      <c r="B231" s="1293"/>
      <c r="C231" s="1699"/>
      <c r="D231" s="1699"/>
      <c r="E231" s="1699"/>
      <c r="F231" s="1699"/>
      <c r="G231" s="2039"/>
      <c r="H231" s="1699"/>
      <c r="I231" s="1699"/>
      <c r="J231" s="1699"/>
      <c r="K231" s="1699"/>
      <c r="L231" s="2039"/>
      <c r="M231" s="1699"/>
      <c r="N231" s="1699"/>
      <c r="O231" s="1699"/>
      <c r="P231" s="1699"/>
      <c r="Q231" s="2039"/>
      <c r="R231" s="1699"/>
      <c r="S231" s="1699"/>
      <c r="T231" s="1699"/>
      <c r="U231" s="1699"/>
      <c r="V231" s="2039"/>
      <c r="W231" s="1699"/>
      <c r="X231" s="1699"/>
      <c r="Y231" s="1699"/>
      <c r="Z231" s="1699"/>
      <c r="AA231" s="2039"/>
      <c r="AB231" s="1699"/>
      <c r="AC231" s="1699"/>
      <c r="AD231" s="1699"/>
      <c r="AE231" s="1699"/>
      <c r="AF231" s="1699"/>
      <c r="AG231" s="1699"/>
      <c r="AH231" s="1699"/>
      <c r="AI231" s="1699"/>
      <c r="AJ231" s="2039"/>
      <c r="AK231" s="1699"/>
      <c r="AL231" s="1699"/>
      <c r="AM231" s="1699"/>
      <c r="AN231" s="1699"/>
      <c r="AO231" s="2039"/>
      <c r="AP231" s="1699"/>
      <c r="AQ231" s="1699"/>
      <c r="AR231" s="1699"/>
      <c r="AS231" s="1699"/>
      <c r="AT231" s="2039"/>
      <c r="AU231" s="1699"/>
      <c r="AV231" s="1699"/>
      <c r="AW231" s="1699"/>
      <c r="AX231" s="1699"/>
      <c r="AY231" s="2039"/>
      <c r="AZ231" s="1699"/>
      <c r="BA231" s="1699"/>
      <c r="BB231" s="1699"/>
      <c r="BC231" s="1699"/>
      <c r="BD231" s="2039"/>
      <c r="BE231" s="1699"/>
      <c r="BF231" s="1699"/>
      <c r="BG231" s="1699"/>
      <c r="BH231" s="1699"/>
      <c r="BI231" s="2039"/>
      <c r="BJ231" s="1699"/>
      <c r="BK231" s="1699"/>
      <c r="BL231" s="1699"/>
      <c r="BM231" s="1699"/>
      <c r="BN231" s="2039"/>
      <c r="BO231" s="1699"/>
      <c r="BP231" s="1699"/>
      <c r="BQ231" s="1293"/>
      <c r="BR231" s="1293"/>
      <c r="BS231" s="1293"/>
      <c r="BT231" s="1293"/>
      <c r="BU231" s="1293"/>
      <c r="BV231" s="1293"/>
      <c r="BW231" s="1293"/>
      <c r="BX231" s="1293"/>
      <c r="BY231" s="1293"/>
      <c r="BZ231" s="1293"/>
      <c r="CA231" s="1293"/>
      <c r="CB231" s="1293"/>
      <c r="CC231" s="1293"/>
      <c r="CD231" s="1293"/>
      <c r="CE231" s="1293"/>
      <c r="CF231" s="1293"/>
      <c r="CG231" s="1293"/>
      <c r="CH231" s="1293"/>
      <c r="CI231" s="1293"/>
      <c r="CJ231" s="1293"/>
      <c r="CK231" s="1293"/>
      <c r="CL231" s="1293"/>
      <c r="CM231" s="1293"/>
      <c r="CN231" s="1293"/>
      <c r="CO231" s="1293"/>
      <c r="CP231" s="1293"/>
      <c r="CQ231" s="1293"/>
      <c r="CR231" s="1293"/>
      <c r="CS231" s="1293"/>
      <c r="CT231" s="1293"/>
      <c r="CU231" s="1293"/>
      <c r="CV231" s="1293"/>
      <c r="CW231" s="1293"/>
      <c r="CX231" s="1293"/>
      <c r="CY231" s="2041"/>
      <c r="CZ231" s="1699"/>
      <c r="DA231" s="2042"/>
      <c r="DB231" s="2041"/>
      <c r="DC231" s="1293"/>
      <c r="DD231" s="1293"/>
      <c r="DE231" s="1293"/>
      <c r="DF231" s="1293"/>
      <c r="DG231" s="1293"/>
      <c r="DH231" s="1293"/>
      <c r="DI231" s="1293"/>
      <c r="DJ231" s="1293"/>
      <c r="DK231" s="1293"/>
      <c r="DL231" s="2147"/>
    </row>
    <row r="232" spans="1:116" ht="16.5" thickBot="1">
      <c r="A232" s="1293"/>
      <c r="B232" s="1293"/>
      <c r="C232" s="1699"/>
      <c r="D232" s="1699"/>
      <c r="E232" s="1699"/>
      <c r="F232" s="1699"/>
      <c r="G232" s="2039"/>
      <c r="H232" s="1699"/>
      <c r="I232" s="1699"/>
      <c r="J232" s="1699"/>
      <c r="K232" s="1699"/>
      <c r="L232" s="2039"/>
      <c r="M232" s="1699"/>
      <c r="N232" s="1699"/>
      <c r="O232" s="1699"/>
      <c r="P232" s="1699"/>
      <c r="Q232" s="2039"/>
      <c r="R232" s="1699"/>
      <c r="S232" s="1699"/>
      <c r="T232" s="1699"/>
      <c r="U232" s="1699"/>
      <c r="V232" s="2039"/>
      <c r="W232" s="1699"/>
      <c r="X232" s="1699"/>
      <c r="Y232" s="1699"/>
      <c r="Z232" s="1699"/>
      <c r="AA232" s="2039"/>
      <c r="AB232" s="1699"/>
      <c r="AC232" s="1699"/>
      <c r="AD232" s="1699"/>
      <c r="AE232" s="1699"/>
      <c r="AF232" s="1699"/>
      <c r="AG232" s="1699"/>
      <c r="AH232" s="1699"/>
      <c r="AI232" s="1699"/>
      <c r="AJ232" s="2039"/>
      <c r="AK232" s="1699"/>
      <c r="AL232" s="1699"/>
      <c r="AM232" s="1699"/>
      <c r="AN232" s="1699"/>
      <c r="AO232" s="2039"/>
      <c r="AP232" s="1699"/>
      <c r="AQ232" s="1699"/>
      <c r="AR232" s="1699"/>
      <c r="AS232" s="1699"/>
      <c r="AT232" s="2039"/>
      <c r="AU232" s="1699"/>
      <c r="AV232" s="1699"/>
      <c r="AW232" s="1699"/>
      <c r="AX232" s="1699"/>
      <c r="AY232" s="2039"/>
      <c r="AZ232" s="1699"/>
      <c r="BA232" s="1699"/>
      <c r="BB232" s="1699"/>
      <c r="BC232" s="1699"/>
      <c r="BD232" s="2039"/>
      <c r="BE232" s="1699"/>
      <c r="BF232" s="1699"/>
      <c r="BG232" s="1699"/>
      <c r="BH232" s="1699"/>
      <c r="BI232" s="2039"/>
      <c r="BJ232" s="1699"/>
      <c r="BK232" s="1699"/>
      <c r="BL232" s="1699"/>
      <c r="BM232" s="1699"/>
      <c r="BN232" s="2039"/>
      <c r="BO232" s="1699"/>
      <c r="BP232" s="1699"/>
      <c r="BQ232" s="1293"/>
      <c r="BR232" s="1293"/>
      <c r="BS232" s="1293"/>
      <c r="BT232" s="1293"/>
      <c r="BU232" s="1293"/>
      <c r="BV232" s="1293"/>
      <c r="BW232" s="1293"/>
      <c r="BX232" s="1293"/>
      <c r="BY232" s="1293"/>
      <c r="BZ232" s="1293"/>
      <c r="CA232" s="1293"/>
      <c r="CB232" s="1293"/>
      <c r="CC232" s="1293"/>
      <c r="CD232" s="1293"/>
      <c r="CE232" s="1293"/>
      <c r="CF232" s="1293"/>
      <c r="CG232" s="1293"/>
      <c r="CH232" s="1293"/>
      <c r="CI232" s="1293"/>
      <c r="CJ232" s="1293"/>
      <c r="CK232" s="1293"/>
      <c r="CL232" s="1293"/>
      <c r="CM232" s="1293"/>
      <c r="CN232" s="1293"/>
      <c r="CO232" s="1293"/>
      <c r="CP232" s="1293"/>
      <c r="CQ232" s="1293"/>
      <c r="CR232" s="1293"/>
      <c r="CS232" s="1293"/>
      <c r="CT232" s="1293"/>
      <c r="CU232" s="1293"/>
      <c r="CV232" s="1293"/>
      <c r="CW232" s="1293"/>
      <c r="CX232" s="1293"/>
      <c r="CY232" s="2041"/>
      <c r="CZ232" s="1699"/>
      <c r="DA232" s="2042"/>
      <c r="DB232" s="2041"/>
      <c r="DC232" s="1293"/>
      <c r="DD232" s="1293"/>
      <c r="DE232" s="1293"/>
      <c r="DF232" s="1293"/>
      <c r="DG232" s="1293"/>
      <c r="DH232" s="1293"/>
      <c r="DI232" s="1293"/>
      <c r="DJ232" s="1293"/>
      <c r="DK232" s="1293"/>
      <c r="DL232" s="2147"/>
    </row>
    <row r="233" spans="1:116" ht="16.5" thickBot="1">
      <c r="A233" s="1293"/>
      <c r="B233" s="1293"/>
      <c r="C233" s="1699"/>
      <c r="D233" s="1699"/>
      <c r="E233" s="1699"/>
      <c r="F233" s="1699"/>
      <c r="G233" s="2039"/>
      <c r="H233" s="1699"/>
      <c r="I233" s="1699"/>
      <c r="J233" s="1699"/>
      <c r="K233" s="1699"/>
      <c r="L233" s="2039"/>
      <c r="M233" s="1699"/>
      <c r="N233" s="1699"/>
      <c r="O233" s="1699"/>
      <c r="P233" s="1699"/>
      <c r="Q233" s="2039"/>
      <c r="R233" s="1699"/>
      <c r="S233" s="1699"/>
      <c r="T233" s="1699"/>
      <c r="U233" s="1699"/>
      <c r="V233" s="2039"/>
      <c r="W233" s="1699"/>
      <c r="X233" s="1699"/>
      <c r="Y233" s="1699"/>
      <c r="Z233" s="1699"/>
      <c r="AA233" s="2039"/>
      <c r="AB233" s="1699"/>
      <c r="AC233" s="1699"/>
      <c r="AD233" s="1699"/>
      <c r="AE233" s="1699"/>
      <c r="AF233" s="1699"/>
      <c r="AG233" s="1699"/>
      <c r="AH233" s="1699"/>
      <c r="AI233" s="1699"/>
      <c r="AJ233" s="2039"/>
      <c r="AK233" s="1699"/>
      <c r="AL233" s="1699"/>
      <c r="AM233" s="1699"/>
      <c r="AN233" s="1699"/>
      <c r="AO233" s="2039"/>
      <c r="AP233" s="1699"/>
      <c r="AQ233" s="1699"/>
      <c r="AR233" s="1699"/>
      <c r="AS233" s="1699"/>
      <c r="AT233" s="2039"/>
      <c r="AU233" s="1699"/>
      <c r="AV233" s="1699"/>
      <c r="AW233" s="1699"/>
      <c r="AX233" s="1699"/>
      <c r="AY233" s="2039"/>
      <c r="AZ233" s="1699"/>
      <c r="BA233" s="1699"/>
      <c r="BB233" s="1699"/>
      <c r="BC233" s="1699"/>
      <c r="BD233" s="2039"/>
      <c r="BE233" s="1699"/>
      <c r="BF233" s="1699"/>
      <c r="BG233" s="1699"/>
      <c r="BH233" s="1699"/>
      <c r="BI233" s="2039"/>
      <c r="BJ233" s="1699"/>
      <c r="BK233" s="1699"/>
      <c r="BL233" s="1699"/>
      <c r="BM233" s="1699"/>
      <c r="BN233" s="2039"/>
      <c r="BO233" s="1699"/>
      <c r="BP233" s="1699"/>
      <c r="BQ233" s="1293"/>
      <c r="BR233" s="1293"/>
      <c r="BS233" s="1293"/>
      <c r="BT233" s="1293"/>
      <c r="BU233" s="1293"/>
      <c r="BV233" s="1293"/>
      <c r="BW233" s="1293"/>
      <c r="BX233" s="1293"/>
      <c r="BY233" s="1293"/>
      <c r="BZ233" s="1293"/>
      <c r="CA233" s="1293"/>
      <c r="CB233" s="1293"/>
      <c r="CC233" s="1293"/>
      <c r="CD233" s="1293"/>
      <c r="CE233" s="1293"/>
      <c r="CF233" s="1293"/>
      <c r="CG233" s="1293"/>
      <c r="CH233" s="1293"/>
      <c r="CI233" s="1293"/>
      <c r="CJ233" s="1293"/>
      <c r="CK233" s="1293"/>
      <c r="CL233" s="1293"/>
      <c r="CM233" s="1293"/>
      <c r="CN233" s="1293"/>
      <c r="CO233" s="1293"/>
      <c r="CP233" s="1293"/>
      <c r="CQ233" s="1293"/>
      <c r="CR233" s="1293"/>
      <c r="CS233" s="1293"/>
      <c r="CT233" s="1293"/>
      <c r="CU233" s="1293"/>
      <c r="CV233" s="1293"/>
      <c r="CW233" s="1293"/>
      <c r="CX233" s="1293"/>
      <c r="CY233" s="2041"/>
      <c r="CZ233" s="1699"/>
      <c r="DA233" s="2042"/>
      <c r="DB233" s="2041"/>
      <c r="DC233" s="1293"/>
      <c r="DD233" s="1293"/>
      <c r="DE233" s="1293"/>
      <c r="DF233" s="1293"/>
      <c r="DG233" s="1293"/>
      <c r="DH233" s="1293"/>
      <c r="DI233" s="1293"/>
      <c r="DJ233" s="1293"/>
      <c r="DK233" s="1293"/>
      <c r="DL233" s="2147"/>
    </row>
    <row r="234" spans="1:116" ht="16.5" thickBot="1">
      <c r="A234" s="1293"/>
      <c r="B234" s="1293"/>
      <c r="C234" s="1699"/>
      <c r="D234" s="1699"/>
      <c r="E234" s="1699"/>
      <c r="F234" s="1699"/>
      <c r="G234" s="2039"/>
      <c r="H234" s="1699"/>
      <c r="I234" s="1699"/>
      <c r="J234" s="1699"/>
      <c r="K234" s="1699"/>
      <c r="L234" s="2039"/>
      <c r="M234" s="1699"/>
      <c r="N234" s="1699"/>
      <c r="O234" s="1699"/>
      <c r="P234" s="1699"/>
      <c r="Q234" s="2039"/>
      <c r="R234" s="1699"/>
      <c r="S234" s="1699"/>
      <c r="T234" s="1699"/>
      <c r="U234" s="1699"/>
      <c r="V234" s="2039"/>
      <c r="W234" s="1699"/>
      <c r="X234" s="1699"/>
      <c r="Y234" s="1699"/>
      <c r="Z234" s="1699"/>
      <c r="AA234" s="2039"/>
      <c r="AB234" s="1699"/>
      <c r="AC234" s="1699"/>
      <c r="AD234" s="1699"/>
      <c r="AE234" s="1699"/>
      <c r="AF234" s="1699"/>
      <c r="AG234" s="1699"/>
      <c r="AH234" s="1699"/>
      <c r="AI234" s="1699"/>
      <c r="AJ234" s="2039"/>
      <c r="AK234" s="1699"/>
      <c r="AL234" s="1699"/>
      <c r="AM234" s="1699"/>
      <c r="AN234" s="1699"/>
      <c r="AO234" s="2039"/>
      <c r="AP234" s="1699"/>
      <c r="AQ234" s="1699"/>
      <c r="AR234" s="1699"/>
      <c r="AS234" s="1699"/>
      <c r="AT234" s="2039"/>
      <c r="AU234" s="1699"/>
      <c r="AV234" s="1699"/>
      <c r="AW234" s="1699"/>
      <c r="AX234" s="1699"/>
      <c r="AY234" s="2039"/>
      <c r="AZ234" s="1699"/>
      <c r="BA234" s="1699"/>
      <c r="BB234" s="1699"/>
      <c r="BC234" s="1699"/>
      <c r="BD234" s="2039"/>
      <c r="BE234" s="1699"/>
      <c r="BF234" s="1699"/>
      <c r="BG234" s="1699"/>
      <c r="BH234" s="1699"/>
      <c r="BI234" s="2039"/>
      <c r="BJ234" s="1699"/>
      <c r="BK234" s="1699"/>
      <c r="BL234" s="1699"/>
      <c r="BM234" s="1699"/>
      <c r="BN234" s="2039"/>
      <c r="BO234" s="1699"/>
      <c r="BP234" s="1699"/>
      <c r="BQ234" s="1293"/>
      <c r="BR234" s="1293"/>
      <c r="BS234" s="1293"/>
      <c r="BT234" s="1293"/>
      <c r="BU234" s="1293"/>
      <c r="BV234" s="1293"/>
      <c r="BW234" s="1293"/>
      <c r="BX234" s="1293"/>
      <c r="BY234" s="1293"/>
      <c r="BZ234" s="1293"/>
      <c r="CA234" s="1293"/>
      <c r="CB234" s="1293"/>
      <c r="CC234" s="1293"/>
      <c r="CD234" s="1293"/>
      <c r="CE234" s="1293"/>
      <c r="CF234" s="1293"/>
      <c r="CG234" s="1293"/>
      <c r="CH234" s="1293"/>
      <c r="CI234" s="1293"/>
      <c r="CJ234" s="1293"/>
      <c r="CK234" s="1293"/>
      <c r="CL234" s="1293"/>
      <c r="CM234" s="1293"/>
      <c r="CN234" s="1293"/>
      <c r="CO234" s="1293"/>
      <c r="CP234" s="1293"/>
      <c r="CQ234" s="1293"/>
      <c r="CR234" s="1293"/>
      <c r="CS234" s="1293"/>
      <c r="CT234" s="1293"/>
      <c r="CU234" s="1293"/>
      <c r="CV234" s="1293"/>
      <c r="CW234" s="1293"/>
      <c r="CX234" s="1293"/>
      <c r="CY234" s="2041"/>
      <c r="CZ234" s="1699"/>
      <c r="DA234" s="2042"/>
      <c r="DB234" s="2041"/>
      <c r="DC234" s="1293"/>
      <c r="DD234" s="1293"/>
      <c r="DE234" s="1293"/>
      <c r="DF234" s="1293"/>
      <c r="DG234" s="1293"/>
      <c r="DH234" s="1293"/>
      <c r="DI234" s="1293"/>
      <c r="DJ234" s="1293"/>
      <c r="DK234" s="1293"/>
      <c r="DL234" s="2147"/>
    </row>
    <row r="235" spans="1:116" ht="16.5" thickBot="1">
      <c r="A235" s="1293"/>
      <c r="B235" s="1293"/>
      <c r="C235" s="1699"/>
      <c r="D235" s="1699"/>
      <c r="E235" s="1699"/>
      <c r="F235" s="1699"/>
      <c r="G235" s="2039"/>
      <c r="H235" s="1699"/>
      <c r="I235" s="1699"/>
      <c r="J235" s="1699"/>
      <c r="K235" s="1699"/>
      <c r="L235" s="2039"/>
      <c r="M235" s="1699"/>
      <c r="N235" s="1699"/>
      <c r="O235" s="1699"/>
      <c r="P235" s="1699"/>
      <c r="Q235" s="2039"/>
      <c r="R235" s="1699"/>
      <c r="S235" s="1699"/>
      <c r="T235" s="1699"/>
      <c r="U235" s="1699"/>
      <c r="V235" s="2039"/>
      <c r="W235" s="1699"/>
      <c r="X235" s="1699"/>
      <c r="Y235" s="1699"/>
      <c r="Z235" s="1699"/>
      <c r="AA235" s="2039"/>
      <c r="AB235" s="1699"/>
      <c r="AC235" s="1699"/>
      <c r="AD235" s="1699"/>
      <c r="AE235" s="1699"/>
      <c r="AF235" s="1699"/>
      <c r="AG235" s="1699"/>
      <c r="AH235" s="1699"/>
      <c r="AI235" s="1699"/>
      <c r="AJ235" s="2039"/>
      <c r="AK235" s="1699"/>
      <c r="AL235" s="1699"/>
      <c r="AM235" s="1699"/>
      <c r="AN235" s="1699"/>
      <c r="AO235" s="2039"/>
      <c r="AP235" s="1699"/>
      <c r="AQ235" s="1699"/>
      <c r="AR235" s="1699"/>
      <c r="AS235" s="1699"/>
      <c r="AT235" s="2039"/>
      <c r="AU235" s="1699"/>
      <c r="AV235" s="1699"/>
      <c r="AW235" s="1699"/>
      <c r="AX235" s="1699"/>
      <c r="AY235" s="2039"/>
      <c r="AZ235" s="1699"/>
      <c r="BA235" s="1699"/>
      <c r="BB235" s="1699"/>
      <c r="BC235" s="1699"/>
      <c r="BD235" s="2039"/>
      <c r="BE235" s="1699"/>
      <c r="BF235" s="1699"/>
      <c r="BG235" s="1699"/>
      <c r="BH235" s="1699"/>
      <c r="BI235" s="2039"/>
      <c r="BJ235" s="1699"/>
      <c r="BK235" s="1699"/>
      <c r="BL235" s="1699"/>
      <c r="BM235" s="1699"/>
      <c r="BN235" s="2039"/>
      <c r="BO235" s="1699"/>
      <c r="BP235" s="1699"/>
      <c r="BQ235" s="1293"/>
      <c r="BR235" s="1293"/>
      <c r="BS235" s="1293"/>
      <c r="BT235" s="1293"/>
      <c r="BU235" s="1293"/>
      <c r="BV235" s="1293"/>
      <c r="BW235" s="1293"/>
      <c r="BX235" s="1293"/>
      <c r="BY235" s="1293"/>
      <c r="BZ235" s="1293"/>
      <c r="CA235" s="1293"/>
      <c r="CB235" s="1293"/>
      <c r="CC235" s="1293"/>
      <c r="CD235" s="1293"/>
      <c r="CE235" s="1293"/>
      <c r="CF235" s="1293"/>
      <c r="CG235" s="1293"/>
      <c r="CH235" s="1293"/>
      <c r="CI235" s="1293"/>
      <c r="CJ235" s="1293"/>
      <c r="CK235" s="1293"/>
      <c r="CL235" s="1293"/>
      <c r="CM235" s="1293"/>
      <c r="CN235" s="1293"/>
      <c r="CO235" s="1293"/>
      <c r="CP235" s="1293"/>
      <c r="CQ235" s="1293"/>
      <c r="CR235" s="1293"/>
      <c r="CS235" s="1293"/>
      <c r="CT235" s="1293"/>
      <c r="CU235" s="1293"/>
      <c r="CV235" s="1293"/>
      <c r="CW235" s="1293"/>
      <c r="CX235" s="1293"/>
      <c r="CY235" s="2041"/>
      <c r="CZ235" s="1699"/>
      <c r="DA235" s="2042"/>
      <c r="DB235" s="2041"/>
      <c r="DC235" s="1293"/>
      <c r="DD235" s="1293"/>
      <c r="DE235" s="1293"/>
      <c r="DF235" s="1293"/>
      <c r="DG235" s="1293"/>
      <c r="DH235" s="1293"/>
      <c r="DI235" s="1293"/>
      <c r="DJ235" s="1293"/>
      <c r="DK235" s="1293"/>
      <c r="DL235" s="2147"/>
    </row>
    <row r="236" spans="1:116" ht="16.5" thickBot="1">
      <c r="A236" s="1293"/>
      <c r="B236" s="1293"/>
      <c r="C236" s="1699"/>
      <c r="D236" s="1699"/>
      <c r="E236" s="1699"/>
      <c r="F236" s="1699"/>
      <c r="G236" s="2039"/>
      <c r="H236" s="1699"/>
      <c r="I236" s="1699"/>
      <c r="J236" s="1699"/>
      <c r="K236" s="1699"/>
      <c r="L236" s="2039"/>
      <c r="M236" s="1699"/>
      <c r="N236" s="1699"/>
      <c r="O236" s="1699"/>
      <c r="P236" s="1699"/>
      <c r="Q236" s="2039"/>
      <c r="R236" s="1699"/>
      <c r="S236" s="1699"/>
      <c r="T236" s="1699"/>
      <c r="U236" s="1699"/>
      <c r="V236" s="2039"/>
      <c r="W236" s="1699"/>
      <c r="X236" s="1699"/>
      <c r="Y236" s="1699"/>
      <c r="Z236" s="1699"/>
      <c r="AA236" s="2039"/>
      <c r="AB236" s="1699"/>
      <c r="AC236" s="1699"/>
      <c r="AD236" s="1699"/>
      <c r="AE236" s="1699"/>
      <c r="AF236" s="1699"/>
      <c r="AG236" s="1699"/>
      <c r="AH236" s="1699"/>
      <c r="AI236" s="1699"/>
      <c r="AJ236" s="2039"/>
      <c r="AK236" s="1699"/>
      <c r="AL236" s="1699"/>
      <c r="AM236" s="1699"/>
      <c r="AN236" s="1699"/>
      <c r="AO236" s="2039"/>
      <c r="AP236" s="1699"/>
      <c r="AQ236" s="1699"/>
      <c r="AR236" s="1699"/>
      <c r="AS236" s="1699"/>
      <c r="AT236" s="2039"/>
      <c r="AU236" s="1699"/>
      <c r="AV236" s="1699"/>
      <c r="AW236" s="1699"/>
      <c r="AX236" s="1699"/>
      <c r="AY236" s="2039"/>
      <c r="AZ236" s="1699"/>
      <c r="BA236" s="1699"/>
      <c r="BB236" s="1699"/>
      <c r="BC236" s="1699"/>
      <c r="BD236" s="2039"/>
      <c r="BE236" s="1699"/>
      <c r="BF236" s="1699"/>
      <c r="BG236" s="1699"/>
      <c r="BH236" s="1699"/>
      <c r="BI236" s="2039"/>
      <c r="BJ236" s="1699"/>
      <c r="BK236" s="1699"/>
      <c r="BL236" s="1699"/>
      <c r="BM236" s="1699"/>
      <c r="BN236" s="2039"/>
      <c r="BO236" s="1699"/>
      <c r="BP236" s="1699"/>
      <c r="BQ236" s="1293"/>
      <c r="BR236" s="1293"/>
      <c r="BS236" s="1293"/>
      <c r="BT236" s="1293"/>
      <c r="BU236" s="1293"/>
      <c r="BV236" s="1293"/>
      <c r="BW236" s="1293"/>
      <c r="BX236" s="1293"/>
      <c r="BY236" s="1293"/>
      <c r="BZ236" s="1293"/>
      <c r="CA236" s="1293"/>
      <c r="CB236" s="1293"/>
      <c r="CC236" s="1293"/>
      <c r="CD236" s="1293"/>
      <c r="CE236" s="1293"/>
      <c r="CF236" s="1293"/>
      <c r="CG236" s="1293"/>
      <c r="CH236" s="1293"/>
      <c r="CI236" s="1293"/>
      <c r="CJ236" s="1293"/>
      <c r="CK236" s="1293"/>
      <c r="CL236" s="1293"/>
      <c r="CM236" s="1293"/>
      <c r="CN236" s="1293"/>
      <c r="CO236" s="1293"/>
      <c r="CP236" s="1293"/>
      <c r="CQ236" s="1293"/>
      <c r="CR236" s="1293"/>
      <c r="CS236" s="1293"/>
      <c r="CT236" s="1293"/>
      <c r="CU236" s="1293"/>
      <c r="CV236" s="1293"/>
      <c r="CW236" s="1293"/>
      <c r="CX236" s="1293"/>
      <c r="CY236" s="2041"/>
      <c r="CZ236" s="1699"/>
      <c r="DA236" s="2042"/>
      <c r="DB236" s="2041"/>
      <c r="DC236" s="1293"/>
      <c r="DD236" s="1293"/>
      <c r="DE236" s="1293"/>
      <c r="DF236" s="1293"/>
      <c r="DG236" s="1293"/>
      <c r="DH236" s="1293"/>
      <c r="DI236" s="1293"/>
      <c r="DJ236" s="1293"/>
      <c r="DK236" s="1293"/>
      <c r="DL236" s="2147"/>
    </row>
    <row r="237" spans="1:116" ht="16.5" thickBot="1">
      <c r="A237" s="1293"/>
      <c r="B237" s="1293"/>
      <c r="C237" s="1699"/>
      <c r="D237" s="1699"/>
      <c r="E237" s="1699"/>
      <c r="F237" s="1699"/>
      <c r="G237" s="2039"/>
      <c r="H237" s="1699"/>
      <c r="I237" s="1699"/>
      <c r="J237" s="1699"/>
      <c r="K237" s="1699"/>
      <c r="L237" s="2039"/>
      <c r="M237" s="1699"/>
      <c r="N237" s="1699"/>
      <c r="O237" s="1699"/>
      <c r="P237" s="1699"/>
      <c r="Q237" s="2039"/>
      <c r="R237" s="1699"/>
      <c r="S237" s="1699"/>
      <c r="T237" s="1699"/>
      <c r="U237" s="1699"/>
      <c r="V237" s="2039"/>
      <c r="W237" s="1699"/>
      <c r="X237" s="1699"/>
      <c r="Y237" s="1699"/>
      <c r="Z237" s="1699"/>
      <c r="AA237" s="2039"/>
      <c r="AB237" s="1699"/>
      <c r="AC237" s="1699"/>
      <c r="AD237" s="1699"/>
      <c r="AE237" s="1699"/>
      <c r="AF237" s="1699"/>
      <c r="AG237" s="1699"/>
      <c r="AH237" s="1699"/>
      <c r="AI237" s="1699"/>
      <c r="AJ237" s="2039"/>
      <c r="AK237" s="1699"/>
      <c r="AL237" s="1699"/>
      <c r="AM237" s="1699"/>
      <c r="AN237" s="1699"/>
      <c r="AO237" s="2039"/>
      <c r="AP237" s="1699"/>
      <c r="AQ237" s="1699"/>
      <c r="AR237" s="1699"/>
      <c r="AS237" s="1699"/>
      <c r="AT237" s="2039"/>
      <c r="AU237" s="1699"/>
      <c r="AV237" s="1699"/>
      <c r="AW237" s="1699"/>
      <c r="AX237" s="1699"/>
      <c r="AY237" s="2039"/>
      <c r="AZ237" s="1699"/>
      <c r="BA237" s="1699"/>
      <c r="BB237" s="1699"/>
      <c r="BC237" s="1699"/>
      <c r="BD237" s="2039"/>
      <c r="BE237" s="1699"/>
      <c r="BF237" s="1699"/>
      <c r="BG237" s="1699"/>
      <c r="BH237" s="1699"/>
      <c r="BI237" s="2039"/>
      <c r="BJ237" s="1699"/>
      <c r="BK237" s="1699"/>
      <c r="BL237" s="1699"/>
      <c r="BM237" s="1699"/>
      <c r="BN237" s="2039"/>
      <c r="BO237" s="1699"/>
      <c r="BP237" s="1699"/>
      <c r="BQ237" s="1293"/>
      <c r="BR237" s="1293"/>
      <c r="BS237" s="1293"/>
      <c r="BT237" s="1293"/>
      <c r="BU237" s="1293"/>
      <c r="BV237" s="1293"/>
      <c r="BW237" s="1293"/>
      <c r="BX237" s="1293"/>
      <c r="BY237" s="1293"/>
      <c r="BZ237" s="1293"/>
      <c r="CA237" s="1293"/>
      <c r="CB237" s="1293"/>
      <c r="CC237" s="1293"/>
      <c r="CD237" s="1293"/>
      <c r="CE237" s="1293"/>
      <c r="CF237" s="1293"/>
      <c r="CG237" s="1293"/>
      <c r="CH237" s="1293"/>
      <c r="CI237" s="1293"/>
      <c r="CJ237" s="1293"/>
      <c r="CK237" s="1293"/>
      <c r="CL237" s="1293"/>
      <c r="CM237" s="1293"/>
      <c r="CN237" s="1293"/>
      <c r="CO237" s="1293"/>
      <c r="CP237" s="1293"/>
      <c r="CQ237" s="1293"/>
      <c r="CR237" s="1293"/>
      <c r="CS237" s="1293"/>
      <c r="CT237" s="1293"/>
      <c r="CU237" s="1293"/>
      <c r="CV237" s="1293"/>
      <c r="CW237" s="1293"/>
      <c r="CX237" s="1293"/>
      <c r="CY237" s="2041"/>
      <c r="CZ237" s="1699"/>
      <c r="DA237" s="2042"/>
      <c r="DB237" s="2041"/>
      <c r="DC237" s="1293"/>
      <c r="DD237" s="1293"/>
      <c r="DE237" s="1293"/>
      <c r="DF237" s="1293"/>
      <c r="DG237" s="1293"/>
      <c r="DH237" s="1293"/>
      <c r="DI237" s="1293"/>
      <c r="DJ237" s="1293"/>
      <c r="DK237" s="1293"/>
      <c r="DL237" s="2147"/>
    </row>
    <row r="238" spans="1:116" ht="16.5" thickBot="1">
      <c r="A238" s="1293"/>
      <c r="B238" s="1293"/>
      <c r="C238" s="1699"/>
      <c r="D238" s="1699"/>
      <c r="E238" s="1699"/>
      <c r="F238" s="1699"/>
      <c r="G238" s="2039"/>
      <c r="H238" s="1699"/>
      <c r="I238" s="1699"/>
      <c r="J238" s="1699"/>
      <c r="K238" s="1699"/>
      <c r="L238" s="2039"/>
      <c r="M238" s="1699"/>
      <c r="N238" s="1699"/>
      <c r="O238" s="1699"/>
      <c r="P238" s="1699"/>
      <c r="Q238" s="2039"/>
      <c r="R238" s="1699"/>
      <c r="S238" s="1699"/>
      <c r="T238" s="1699"/>
      <c r="U238" s="1699"/>
      <c r="V238" s="2039"/>
      <c r="W238" s="1699"/>
      <c r="X238" s="1699"/>
      <c r="Y238" s="1699"/>
      <c r="Z238" s="1699"/>
      <c r="AA238" s="2039"/>
      <c r="AB238" s="1699"/>
      <c r="AC238" s="1699"/>
      <c r="AD238" s="1699"/>
      <c r="AE238" s="1699"/>
      <c r="AF238" s="1699"/>
      <c r="AG238" s="1699"/>
      <c r="AH238" s="1699"/>
      <c r="AI238" s="1699"/>
      <c r="AJ238" s="2039"/>
      <c r="AK238" s="1699"/>
      <c r="AL238" s="1699"/>
      <c r="AM238" s="1699"/>
      <c r="AN238" s="1699"/>
      <c r="AO238" s="2039"/>
      <c r="AP238" s="1699"/>
      <c r="AQ238" s="1699"/>
      <c r="AR238" s="1699"/>
      <c r="AS238" s="1699"/>
      <c r="AT238" s="2039"/>
      <c r="AU238" s="1699"/>
      <c r="AV238" s="1699"/>
      <c r="AW238" s="1699"/>
      <c r="AX238" s="1699"/>
      <c r="AY238" s="2039"/>
      <c r="AZ238" s="1699"/>
      <c r="BA238" s="1699"/>
      <c r="BB238" s="1699"/>
      <c r="BC238" s="1699"/>
      <c r="BD238" s="2039"/>
      <c r="BE238" s="1699"/>
      <c r="BF238" s="1699"/>
      <c r="BG238" s="1699"/>
      <c r="BH238" s="1699"/>
      <c r="BI238" s="2039"/>
      <c r="BJ238" s="1699"/>
      <c r="BK238" s="1699"/>
      <c r="BL238" s="1699"/>
      <c r="BM238" s="1699"/>
      <c r="BN238" s="2039"/>
      <c r="BO238" s="1699"/>
      <c r="BP238" s="1699"/>
      <c r="BQ238" s="1293"/>
      <c r="BR238" s="1293"/>
      <c r="BS238" s="1293"/>
      <c r="BT238" s="1293"/>
      <c r="BU238" s="1293"/>
      <c r="BV238" s="1293"/>
      <c r="BW238" s="1293"/>
      <c r="BX238" s="1293"/>
      <c r="BY238" s="1293"/>
      <c r="BZ238" s="1293"/>
      <c r="CA238" s="1293"/>
      <c r="CB238" s="1293"/>
      <c r="CC238" s="1293"/>
      <c r="CD238" s="1293"/>
      <c r="CE238" s="1293"/>
      <c r="CF238" s="1293"/>
      <c r="CG238" s="1293"/>
      <c r="CH238" s="1293"/>
      <c r="CI238" s="1293"/>
      <c r="CJ238" s="1293"/>
      <c r="CK238" s="1293"/>
      <c r="CL238" s="1293"/>
      <c r="CM238" s="1293"/>
      <c r="CN238" s="1293"/>
      <c r="CO238" s="1293"/>
      <c r="CP238" s="1293"/>
      <c r="CQ238" s="1293"/>
      <c r="CR238" s="1293"/>
      <c r="CS238" s="1293"/>
      <c r="CT238" s="1293"/>
      <c r="CU238" s="1293"/>
      <c r="CV238" s="1293"/>
      <c r="CW238" s="1293"/>
      <c r="CX238" s="1293"/>
      <c r="CY238" s="2041"/>
      <c r="CZ238" s="1699"/>
      <c r="DA238" s="2042"/>
      <c r="DB238" s="2041"/>
      <c r="DC238" s="1293"/>
      <c r="DD238" s="1293"/>
      <c r="DE238" s="1293"/>
      <c r="DF238" s="1293"/>
      <c r="DG238" s="1293"/>
      <c r="DH238" s="1293"/>
      <c r="DI238" s="1293"/>
      <c r="DJ238" s="1293"/>
      <c r="DK238" s="1293"/>
      <c r="DL238" s="2147"/>
    </row>
    <row r="239" spans="1:116" ht="16.5" thickBot="1">
      <c r="A239" s="1293"/>
      <c r="B239" s="1293"/>
      <c r="C239" s="1699"/>
      <c r="D239" s="1699"/>
      <c r="E239" s="1699"/>
      <c r="F239" s="1699"/>
      <c r="G239" s="2039"/>
      <c r="H239" s="1699"/>
      <c r="I239" s="1699"/>
      <c r="J239" s="1699"/>
      <c r="K239" s="1699"/>
      <c r="L239" s="2039"/>
      <c r="M239" s="1699"/>
      <c r="N239" s="1699"/>
      <c r="O239" s="1699"/>
      <c r="P239" s="1699"/>
      <c r="Q239" s="2039"/>
      <c r="R239" s="1699"/>
      <c r="S239" s="1699"/>
      <c r="T239" s="1699"/>
      <c r="U239" s="1699"/>
      <c r="V239" s="2039"/>
      <c r="W239" s="1699"/>
      <c r="X239" s="1699"/>
      <c r="Y239" s="1699"/>
      <c r="Z239" s="1699"/>
      <c r="AA239" s="2039"/>
      <c r="AB239" s="1699"/>
      <c r="AC239" s="1699"/>
      <c r="AD239" s="1699"/>
      <c r="AE239" s="1699"/>
      <c r="AF239" s="1699"/>
      <c r="AG239" s="1699"/>
      <c r="AH239" s="1699"/>
      <c r="AI239" s="1699"/>
      <c r="AJ239" s="2039"/>
      <c r="AK239" s="1699"/>
      <c r="AL239" s="1699"/>
      <c r="AM239" s="1699"/>
      <c r="AN239" s="1699"/>
      <c r="AO239" s="2039"/>
      <c r="AP239" s="1699"/>
      <c r="AQ239" s="1699"/>
      <c r="AR239" s="1699"/>
      <c r="AS239" s="1699"/>
      <c r="AT239" s="2039"/>
      <c r="AU239" s="1699"/>
      <c r="AV239" s="1699"/>
      <c r="AW239" s="1699"/>
      <c r="AX239" s="1699"/>
      <c r="AY239" s="2039"/>
      <c r="AZ239" s="1699"/>
      <c r="BA239" s="1699"/>
      <c r="BB239" s="1699"/>
      <c r="BC239" s="1699"/>
      <c r="BD239" s="2039"/>
      <c r="BE239" s="1699"/>
      <c r="BF239" s="1699"/>
      <c r="BG239" s="1699"/>
      <c r="BH239" s="1699"/>
      <c r="BI239" s="2039"/>
      <c r="BJ239" s="1699"/>
      <c r="BK239" s="1699"/>
      <c r="BL239" s="1699"/>
      <c r="BM239" s="1699"/>
      <c r="BN239" s="2039"/>
      <c r="BO239" s="1699"/>
      <c r="BP239" s="1699"/>
      <c r="BQ239" s="1293"/>
      <c r="BR239" s="1293"/>
      <c r="BS239" s="1293"/>
      <c r="BT239" s="1293"/>
      <c r="BU239" s="1293"/>
      <c r="BV239" s="1293"/>
      <c r="BW239" s="1293"/>
      <c r="BX239" s="1293"/>
      <c r="BY239" s="1293"/>
      <c r="BZ239" s="1293"/>
      <c r="CA239" s="1293"/>
      <c r="CB239" s="1293"/>
      <c r="CC239" s="1293"/>
      <c r="CD239" s="1293"/>
      <c r="CE239" s="1293"/>
      <c r="CF239" s="1293"/>
      <c r="CG239" s="1293"/>
      <c r="CH239" s="1293"/>
      <c r="CI239" s="1293"/>
      <c r="CJ239" s="1293"/>
      <c r="CK239" s="1293"/>
      <c r="CL239" s="1293"/>
      <c r="CM239" s="1293"/>
      <c r="CN239" s="1293"/>
      <c r="CO239" s="1293"/>
      <c r="CP239" s="1293"/>
      <c r="CQ239" s="1293"/>
      <c r="CR239" s="1293"/>
      <c r="CS239" s="1293"/>
      <c r="CT239" s="1293"/>
      <c r="CU239" s="1293"/>
      <c r="CV239" s="1293"/>
      <c r="CW239" s="1293"/>
      <c r="CX239" s="1293"/>
      <c r="CY239" s="2041"/>
      <c r="CZ239" s="1699"/>
      <c r="DA239" s="2042"/>
      <c r="DB239" s="2041"/>
      <c r="DC239" s="1293"/>
      <c r="DD239" s="1293"/>
      <c r="DE239" s="1293"/>
      <c r="DF239" s="1293"/>
      <c r="DG239" s="1293"/>
      <c r="DH239" s="1293"/>
      <c r="DI239" s="1293"/>
      <c r="DJ239" s="1293"/>
      <c r="DK239" s="1293"/>
      <c r="DL239" s="2147"/>
    </row>
    <row r="240" spans="1:116" ht="16.5" thickBot="1">
      <c r="A240" s="1293"/>
      <c r="B240" s="1293"/>
      <c r="C240" s="1699"/>
      <c r="D240" s="1699"/>
      <c r="E240" s="1699"/>
      <c r="F240" s="1699"/>
      <c r="G240" s="2039"/>
      <c r="H240" s="1699"/>
      <c r="I240" s="1699"/>
      <c r="J240" s="1699"/>
      <c r="K240" s="1699"/>
      <c r="L240" s="2039"/>
      <c r="M240" s="1699"/>
      <c r="N240" s="1699"/>
      <c r="O240" s="1699"/>
      <c r="P240" s="1699"/>
      <c r="Q240" s="2039"/>
      <c r="R240" s="1699"/>
      <c r="S240" s="1699"/>
      <c r="T240" s="1699"/>
      <c r="U240" s="1699"/>
      <c r="V240" s="2039"/>
      <c r="W240" s="1699"/>
      <c r="X240" s="1699"/>
      <c r="Y240" s="1699"/>
      <c r="Z240" s="1699"/>
      <c r="AA240" s="2039"/>
      <c r="AB240" s="1699"/>
      <c r="AC240" s="1699"/>
      <c r="AD240" s="1699"/>
      <c r="AE240" s="1699"/>
      <c r="AF240" s="1699"/>
      <c r="AG240" s="1699"/>
      <c r="AH240" s="1699"/>
      <c r="AI240" s="1699"/>
      <c r="AJ240" s="2039"/>
      <c r="AK240" s="1699"/>
      <c r="AL240" s="1699"/>
      <c r="AM240" s="1699"/>
      <c r="AN240" s="1699"/>
      <c r="AO240" s="2039"/>
      <c r="AP240" s="1699"/>
      <c r="AQ240" s="1699"/>
      <c r="AR240" s="1699"/>
      <c r="AS240" s="1699"/>
      <c r="AT240" s="2039"/>
      <c r="AU240" s="1699"/>
      <c r="AV240" s="1699"/>
      <c r="AW240" s="1699"/>
      <c r="AX240" s="1699"/>
      <c r="AY240" s="2039"/>
      <c r="AZ240" s="1699"/>
      <c r="BA240" s="1699"/>
      <c r="BB240" s="1699"/>
      <c r="BC240" s="1699"/>
      <c r="BD240" s="2039"/>
      <c r="BE240" s="1699"/>
      <c r="BF240" s="1699"/>
      <c r="BG240" s="1699"/>
      <c r="BH240" s="1699"/>
      <c r="BI240" s="2039"/>
      <c r="BJ240" s="1699"/>
      <c r="BK240" s="1699"/>
      <c r="BL240" s="1699"/>
      <c r="BM240" s="1699"/>
      <c r="BN240" s="2039"/>
      <c r="BO240" s="1699"/>
      <c r="BP240" s="1699"/>
      <c r="BQ240" s="1293"/>
      <c r="BR240" s="1293"/>
      <c r="BS240" s="1293"/>
      <c r="BT240" s="1293"/>
      <c r="BU240" s="1293"/>
      <c r="BV240" s="1293"/>
      <c r="BW240" s="1293"/>
      <c r="BX240" s="1293"/>
      <c r="BY240" s="1293"/>
      <c r="BZ240" s="1293"/>
      <c r="CA240" s="1293"/>
      <c r="CB240" s="1293"/>
      <c r="CC240" s="1293"/>
      <c r="CD240" s="1293"/>
      <c r="CE240" s="1293"/>
      <c r="CF240" s="1293"/>
      <c r="CG240" s="1293"/>
      <c r="CH240" s="1293"/>
      <c r="CI240" s="1293"/>
      <c r="CJ240" s="1293"/>
      <c r="CK240" s="1293"/>
      <c r="CL240" s="1293"/>
      <c r="CM240" s="1293"/>
      <c r="CN240" s="1293"/>
      <c r="CO240" s="1293"/>
      <c r="CP240" s="1293"/>
      <c r="CQ240" s="1293"/>
      <c r="CR240" s="1293"/>
      <c r="CS240" s="1293"/>
      <c r="CT240" s="1293"/>
      <c r="CU240" s="1293"/>
      <c r="CV240" s="1293"/>
      <c r="CW240" s="1293"/>
      <c r="CX240" s="1293"/>
      <c r="CY240" s="2041"/>
      <c r="CZ240" s="1699"/>
      <c r="DA240" s="2042"/>
      <c r="DB240" s="2041"/>
      <c r="DC240" s="1293"/>
      <c r="DD240" s="1293"/>
      <c r="DE240" s="1293"/>
      <c r="DF240" s="1293"/>
      <c r="DG240" s="1293"/>
      <c r="DH240" s="1293"/>
      <c r="DI240" s="1293"/>
      <c r="DJ240" s="1293"/>
      <c r="DK240" s="1293"/>
      <c r="DL240" s="2147"/>
    </row>
    <row r="241" spans="1:116" ht="16.5" thickBot="1">
      <c r="A241" s="1293"/>
      <c r="B241" s="1293"/>
      <c r="C241" s="1699"/>
      <c r="D241" s="1699"/>
      <c r="E241" s="1699"/>
      <c r="F241" s="1699"/>
      <c r="G241" s="2039"/>
      <c r="H241" s="1699"/>
      <c r="I241" s="1699"/>
      <c r="J241" s="1699"/>
      <c r="K241" s="1699"/>
      <c r="L241" s="2039"/>
      <c r="M241" s="1699"/>
      <c r="N241" s="1699"/>
      <c r="O241" s="1699"/>
      <c r="P241" s="1699"/>
      <c r="Q241" s="2039"/>
      <c r="R241" s="1699"/>
      <c r="S241" s="1699"/>
      <c r="T241" s="1699"/>
      <c r="U241" s="1699"/>
      <c r="V241" s="2039"/>
      <c r="W241" s="1699"/>
      <c r="X241" s="1699"/>
      <c r="Y241" s="1699"/>
      <c r="Z241" s="1699"/>
      <c r="AA241" s="2039"/>
      <c r="AB241" s="1699"/>
      <c r="AC241" s="1699"/>
      <c r="AD241" s="1699"/>
      <c r="AE241" s="1699"/>
      <c r="AF241" s="1699"/>
      <c r="AG241" s="1699"/>
      <c r="AH241" s="1699"/>
      <c r="AI241" s="1699"/>
      <c r="AJ241" s="2039"/>
      <c r="AK241" s="1699"/>
      <c r="AL241" s="1699"/>
      <c r="AM241" s="1699"/>
      <c r="AN241" s="1699"/>
      <c r="AO241" s="2039"/>
      <c r="AP241" s="1699"/>
      <c r="AQ241" s="1699"/>
      <c r="AR241" s="1699"/>
      <c r="AS241" s="1699"/>
      <c r="AT241" s="2039"/>
      <c r="AU241" s="1699"/>
      <c r="AV241" s="1699"/>
      <c r="AW241" s="1699"/>
      <c r="AX241" s="1699"/>
      <c r="AY241" s="2039"/>
      <c r="AZ241" s="1699"/>
      <c r="BA241" s="1699"/>
      <c r="BB241" s="1699"/>
      <c r="BC241" s="1699"/>
      <c r="BD241" s="2039"/>
      <c r="BE241" s="1699"/>
      <c r="BF241" s="1699"/>
      <c r="BG241" s="1699"/>
      <c r="BH241" s="1699"/>
      <c r="BI241" s="2039"/>
      <c r="BJ241" s="1699"/>
      <c r="BK241" s="1699"/>
      <c r="BL241" s="1699"/>
      <c r="BM241" s="1699"/>
      <c r="BN241" s="2039"/>
      <c r="BO241" s="1699"/>
      <c r="BP241" s="1699"/>
      <c r="BQ241" s="1293"/>
      <c r="BR241" s="1293"/>
      <c r="BS241" s="1293"/>
      <c r="BT241" s="1293"/>
      <c r="BU241" s="1293"/>
      <c r="BV241" s="1293"/>
      <c r="BW241" s="1293"/>
      <c r="BX241" s="1293"/>
      <c r="BY241" s="1293"/>
      <c r="BZ241" s="1293"/>
      <c r="CA241" s="1293"/>
      <c r="CB241" s="1293"/>
      <c r="CC241" s="1293"/>
      <c r="CD241" s="1293"/>
      <c r="CE241" s="1293"/>
      <c r="CF241" s="1293"/>
      <c r="CG241" s="1293"/>
      <c r="CH241" s="1293"/>
      <c r="CI241" s="1293"/>
      <c r="CJ241" s="1293"/>
      <c r="CK241" s="1293"/>
      <c r="CL241" s="1293"/>
      <c r="CM241" s="1293"/>
      <c r="CN241" s="1293"/>
      <c r="CO241" s="1293"/>
      <c r="CP241" s="1293"/>
      <c r="CQ241" s="1293"/>
      <c r="CR241" s="1293"/>
      <c r="CS241" s="1293"/>
      <c r="CT241" s="1293"/>
      <c r="CU241" s="1293"/>
      <c r="CV241" s="1293"/>
      <c r="CW241" s="1293"/>
      <c r="CX241" s="1293"/>
      <c r="CY241" s="2041"/>
      <c r="CZ241" s="1699"/>
      <c r="DA241" s="2042"/>
      <c r="DB241" s="2041"/>
      <c r="DC241" s="1293"/>
      <c r="DD241" s="1293"/>
      <c r="DE241" s="1293"/>
      <c r="DF241" s="1293"/>
      <c r="DG241" s="1293"/>
      <c r="DH241" s="1293"/>
      <c r="DI241" s="1293"/>
      <c r="DJ241" s="1293"/>
      <c r="DK241" s="1293"/>
      <c r="DL241" s="2147"/>
    </row>
    <row r="242" spans="1:116" ht="16.5" thickBot="1">
      <c r="A242" s="1293"/>
      <c r="B242" s="1293"/>
      <c r="C242" s="1699"/>
      <c r="D242" s="1699"/>
      <c r="E242" s="1699"/>
      <c r="F242" s="1699"/>
      <c r="G242" s="2039"/>
      <c r="H242" s="1699"/>
      <c r="I242" s="1699"/>
      <c r="J242" s="1699"/>
      <c r="K242" s="1699"/>
      <c r="L242" s="2039"/>
      <c r="M242" s="1699"/>
      <c r="N242" s="1699"/>
      <c r="O242" s="1699"/>
      <c r="P242" s="1699"/>
      <c r="Q242" s="2039"/>
      <c r="R242" s="1699"/>
      <c r="S242" s="1699"/>
      <c r="T242" s="1699"/>
      <c r="U242" s="1699"/>
      <c r="V242" s="2039"/>
      <c r="W242" s="1699"/>
      <c r="X242" s="1699"/>
      <c r="Y242" s="1699"/>
      <c r="Z242" s="1699"/>
      <c r="AA242" s="2039"/>
      <c r="AB242" s="1699"/>
      <c r="AC242" s="1699"/>
      <c r="AD242" s="1699"/>
      <c r="AE242" s="1699"/>
      <c r="AF242" s="1699"/>
      <c r="AG242" s="1699"/>
      <c r="AH242" s="1699"/>
      <c r="AI242" s="1699"/>
      <c r="AJ242" s="2039"/>
      <c r="AK242" s="1699"/>
      <c r="AL242" s="1699"/>
      <c r="AM242" s="1699"/>
      <c r="AN242" s="1699"/>
      <c r="AO242" s="2039"/>
      <c r="AP242" s="1699"/>
      <c r="AQ242" s="1699"/>
      <c r="AR242" s="1699"/>
      <c r="AS242" s="1699"/>
      <c r="AT242" s="2039"/>
      <c r="AU242" s="1699"/>
      <c r="AV242" s="1699"/>
      <c r="AW242" s="1699"/>
      <c r="AX242" s="1699"/>
      <c r="AY242" s="2039"/>
      <c r="AZ242" s="1699"/>
      <c r="BA242" s="1699"/>
      <c r="BB242" s="1699"/>
      <c r="BC242" s="1699"/>
      <c r="BD242" s="2039"/>
      <c r="BE242" s="1699"/>
      <c r="BF242" s="1699"/>
      <c r="BG242" s="1699"/>
      <c r="BH242" s="1699"/>
      <c r="BI242" s="2039"/>
      <c r="BJ242" s="1699"/>
      <c r="BK242" s="1699"/>
      <c r="BL242" s="1699"/>
      <c r="BM242" s="1699"/>
      <c r="BN242" s="2039"/>
      <c r="BO242" s="1699"/>
      <c r="BP242" s="1699"/>
      <c r="BQ242" s="1293"/>
      <c r="BR242" s="1293"/>
      <c r="BS242" s="1293"/>
      <c r="BT242" s="1293"/>
      <c r="BU242" s="1293"/>
      <c r="BV242" s="1293"/>
      <c r="BW242" s="1293"/>
      <c r="BX242" s="1293"/>
      <c r="BY242" s="1293"/>
      <c r="BZ242" s="1293"/>
      <c r="CA242" s="1293"/>
      <c r="CB242" s="1293"/>
      <c r="CC242" s="1293"/>
      <c r="CD242" s="1293"/>
      <c r="CE242" s="1293"/>
      <c r="CF242" s="1293"/>
      <c r="CG242" s="1293"/>
      <c r="CH242" s="1293"/>
      <c r="CI242" s="1293"/>
      <c r="CJ242" s="1293"/>
      <c r="CK242" s="1293"/>
      <c r="CL242" s="1293"/>
      <c r="CM242" s="1293"/>
      <c r="CN242" s="1293"/>
      <c r="CO242" s="1293"/>
      <c r="CP242" s="1293"/>
      <c r="CQ242" s="1293"/>
      <c r="CR242" s="1293"/>
      <c r="CS242" s="1293"/>
      <c r="CT242" s="1293"/>
      <c r="CU242" s="1293"/>
      <c r="CV242" s="1293"/>
      <c r="CW242" s="1293"/>
      <c r="CX242" s="1293"/>
      <c r="CY242" s="2041"/>
      <c r="CZ242" s="1699"/>
      <c r="DA242" s="2042"/>
      <c r="DB242" s="2041"/>
      <c r="DC242" s="1293"/>
      <c r="DD242" s="1293"/>
      <c r="DE242" s="1293"/>
      <c r="DF242" s="1293"/>
      <c r="DG242" s="1293"/>
      <c r="DH242" s="1293"/>
      <c r="DI242" s="1293"/>
      <c r="DJ242" s="1293"/>
      <c r="DK242" s="1293"/>
      <c r="DL242" s="2147"/>
    </row>
    <row r="243" spans="1:116" ht="16.5" thickBot="1">
      <c r="A243" s="1293"/>
      <c r="B243" s="1293"/>
      <c r="C243" s="1699"/>
      <c r="D243" s="1699"/>
      <c r="E243" s="1699"/>
      <c r="F243" s="1699"/>
      <c r="G243" s="2039"/>
      <c r="H243" s="1699"/>
      <c r="I243" s="1699"/>
      <c r="J243" s="1699"/>
      <c r="K243" s="1699"/>
      <c r="L243" s="2039"/>
      <c r="M243" s="1699"/>
      <c r="N243" s="1699"/>
      <c r="O243" s="1699"/>
      <c r="P243" s="1699"/>
      <c r="Q243" s="2039"/>
      <c r="R243" s="1699"/>
      <c r="S243" s="1699"/>
      <c r="T243" s="1699"/>
      <c r="U243" s="1699"/>
      <c r="V243" s="2039"/>
      <c r="W243" s="1699"/>
      <c r="X243" s="1699"/>
      <c r="Y243" s="1699"/>
      <c r="Z243" s="1699"/>
      <c r="AA243" s="2039"/>
      <c r="AB243" s="1699"/>
      <c r="AC243" s="1699"/>
      <c r="AD243" s="1699"/>
      <c r="AE243" s="1699"/>
      <c r="AF243" s="1699"/>
      <c r="AG243" s="1699"/>
      <c r="AH243" s="1699"/>
      <c r="AI243" s="1699"/>
      <c r="AJ243" s="2039"/>
      <c r="AK243" s="1699"/>
      <c r="AL243" s="1699"/>
      <c r="AM243" s="1699"/>
      <c r="AN243" s="1699"/>
      <c r="AO243" s="2039"/>
      <c r="AP243" s="1699"/>
      <c r="AQ243" s="1699"/>
      <c r="AR243" s="1699"/>
      <c r="AS243" s="1699"/>
      <c r="AT243" s="2039"/>
      <c r="AU243" s="1699"/>
      <c r="AV243" s="1699"/>
      <c r="AW243" s="1699"/>
      <c r="AX243" s="1699"/>
      <c r="AY243" s="2039"/>
      <c r="AZ243" s="1699"/>
      <c r="BA243" s="1699"/>
      <c r="BB243" s="1699"/>
      <c r="BC243" s="1699"/>
      <c r="BD243" s="2039"/>
      <c r="BE243" s="1699"/>
      <c r="BF243" s="1699"/>
      <c r="BG243" s="1699"/>
      <c r="BH243" s="1699"/>
      <c r="BI243" s="2039"/>
      <c r="BJ243" s="1699"/>
      <c r="BK243" s="1699"/>
      <c r="BL243" s="1699"/>
      <c r="BM243" s="1699"/>
      <c r="BN243" s="2039"/>
      <c r="BO243" s="1699"/>
      <c r="BP243" s="1699"/>
      <c r="BQ243" s="1293"/>
      <c r="BR243" s="1293"/>
      <c r="BS243" s="1293"/>
      <c r="BT243" s="1293"/>
      <c r="BU243" s="1293"/>
      <c r="BV243" s="1293"/>
      <c r="BW243" s="1293"/>
      <c r="BX243" s="1293"/>
      <c r="BY243" s="1293"/>
      <c r="BZ243" s="1293"/>
      <c r="CA243" s="1293"/>
      <c r="CB243" s="1293"/>
      <c r="CC243" s="1293"/>
      <c r="CD243" s="1293"/>
      <c r="CE243" s="1293"/>
      <c r="CF243" s="1293"/>
      <c r="CG243" s="1293"/>
      <c r="CH243" s="1293"/>
      <c r="CI243" s="1293"/>
      <c r="CJ243" s="1293"/>
      <c r="CK243" s="1293"/>
      <c r="CL243" s="1293"/>
      <c r="CM243" s="1293"/>
      <c r="CN243" s="1293"/>
      <c r="CO243" s="1293"/>
      <c r="CP243" s="1293"/>
      <c r="CQ243" s="1293"/>
      <c r="CR243" s="1293"/>
      <c r="CS243" s="1293"/>
      <c r="CT243" s="1293"/>
      <c r="CU243" s="1293"/>
      <c r="CV243" s="1293"/>
      <c r="CW243" s="1293"/>
      <c r="CX243" s="1293"/>
      <c r="CY243" s="2041"/>
      <c r="CZ243" s="1699"/>
      <c r="DA243" s="2042"/>
      <c r="DB243" s="2041"/>
      <c r="DC243" s="1293"/>
      <c r="DD243" s="1293"/>
      <c r="DE243" s="1293"/>
      <c r="DF243" s="1293"/>
      <c r="DG243" s="1293"/>
      <c r="DH243" s="1293"/>
      <c r="DI243" s="1293"/>
      <c r="DJ243" s="1293"/>
      <c r="DK243" s="1293"/>
      <c r="DL243" s="2147"/>
    </row>
    <row r="244" spans="1:116" ht="16.5" thickBot="1">
      <c r="A244" s="1293"/>
      <c r="B244" s="1293"/>
      <c r="C244" s="1699"/>
      <c r="D244" s="1699"/>
      <c r="E244" s="1699"/>
      <c r="F244" s="1699"/>
      <c r="G244" s="2039"/>
      <c r="H244" s="1699"/>
      <c r="I244" s="1699"/>
      <c r="J244" s="1699"/>
      <c r="K244" s="1699"/>
      <c r="L244" s="2039"/>
      <c r="M244" s="1699"/>
      <c r="N244" s="1699"/>
      <c r="O244" s="1699"/>
      <c r="P244" s="1699"/>
      <c r="Q244" s="2039"/>
      <c r="R244" s="1699"/>
      <c r="S244" s="1699"/>
      <c r="T244" s="1699"/>
      <c r="U244" s="1699"/>
      <c r="V244" s="2039"/>
      <c r="W244" s="1699"/>
      <c r="X244" s="1699"/>
      <c r="Y244" s="1699"/>
      <c r="Z244" s="1699"/>
      <c r="AA244" s="2039"/>
      <c r="AB244" s="1699"/>
      <c r="AC244" s="1699"/>
      <c r="AD244" s="1699"/>
      <c r="AE244" s="1699"/>
      <c r="AF244" s="1699"/>
      <c r="AG244" s="1699"/>
      <c r="AH244" s="1699"/>
      <c r="AI244" s="1699"/>
      <c r="AJ244" s="2039"/>
      <c r="AK244" s="1699"/>
      <c r="AL244" s="1699"/>
      <c r="AM244" s="1699"/>
      <c r="AN244" s="1699"/>
      <c r="AO244" s="2039"/>
      <c r="AP244" s="1699"/>
      <c r="AQ244" s="1699"/>
      <c r="AR244" s="1699"/>
      <c r="AS244" s="1699"/>
      <c r="AT244" s="2039"/>
      <c r="AU244" s="1699"/>
      <c r="AV244" s="1699"/>
      <c r="AW244" s="1699"/>
      <c r="AX244" s="1699"/>
      <c r="AY244" s="2039"/>
      <c r="AZ244" s="1699"/>
      <c r="BA244" s="1699"/>
      <c r="BB244" s="1699"/>
      <c r="BC244" s="1699"/>
      <c r="BD244" s="2039"/>
      <c r="BE244" s="1699"/>
      <c r="BF244" s="1699"/>
      <c r="BG244" s="1699"/>
      <c r="BH244" s="1699"/>
      <c r="BI244" s="2039"/>
      <c r="BJ244" s="1699"/>
      <c r="BK244" s="1699"/>
      <c r="BL244" s="1699"/>
      <c r="BM244" s="1699"/>
      <c r="BN244" s="2039"/>
      <c r="BO244" s="1699"/>
      <c r="BP244" s="1699"/>
      <c r="BQ244" s="1293"/>
      <c r="BR244" s="1293"/>
      <c r="BS244" s="1293"/>
      <c r="BT244" s="1293"/>
      <c r="BU244" s="1293"/>
      <c r="BV244" s="1293"/>
      <c r="BW244" s="1293"/>
      <c r="BX244" s="1293"/>
      <c r="BY244" s="1293"/>
      <c r="BZ244" s="1293"/>
      <c r="CA244" s="1293"/>
      <c r="CB244" s="1293"/>
      <c r="CC244" s="1293"/>
      <c r="CD244" s="1293"/>
      <c r="CE244" s="1293"/>
      <c r="CF244" s="1293"/>
      <c r="CG244" s="1293"/>
      <c r="CH244" s="1293"/>
      <c r="CI244" s="1293"/>
      <c r="CJ244" s="1293"/>
      <c r="CK244" s="1293"/>
      <c r="CL244" s="1293"/>
      <c r="CM244" s="1293"/>
      <c r="CN244" s="1293"/>
      <c r="CO244" s="1293"/>
      <c r="CP244" s="1293"/>
      <c r="CQ244" s="1293"/>
      <c r="CR244" s="1293"/>
      <c r="CS244" s="1293"/>
      <c r="CT244" s="1293"/>
      <c r="CU244" s="1293"/>
      <c r="CV244" s="1293"/>
      <c r="CW244" s="1293"/>
      <c r="CX244" s="1293"/>
      <c r="CY244" s="2041"/>
      <c r="CZ244" s="1699"/>
      <c r="DA244" s="2042"/>
      <c r="DB244" s="2041"/>
      <c r="DC244" s="1293"/>
      <c r="DD244" s="1293"/>
      <c r="DE244" s="1293"/>
      <c r="DF244" s="1293"/>
      <c r="DG244" s="1293"/>
      <c r="DH244" s="1293"/>
      <c r="DI244" s="1293"/>
      <c r="DJ244" s="1293"/>
      <c r="DK244" s="1293"/>
      <c r="DL244" s="2147"/>
    </row>
    <row r="245" spans="1:116" ht="16.5" thickBot="1">
      <c r="A245" s="1293"/>
      <c r="B245" s="1293"/>
      <c r="C245" s="1699"/>
      <c r="D245" s="1699"/>
      <c r="E245" s="1699"/>
      <c r="F245" s="1699"/>
      <c r="G245" s="2039"/>
      <c r="H245" s="1699"/>
      <c r="I245" s="1699"/>
      <c r="J245" s="1699"/>
      <c r="K245" s="1699"/>
      <c r="L245" s="2039"/>
      <c r="M245" s="1699"/>
      <c r="N245" s="1699"/>
      <c r="O245" s="1699"/>
      <c r="P245" s="1699"/>
      <c r="Q245" s="2039"/>
      <c r="R245" s="1699"/>
      <c r="S245" s="1699"/>
      <c r="T245" s="1699"/>
      <c r="U245" s="1699"/>
      <c r="V245" s="2039"/>
      <c r="W245" s="1699"/>
      <c r="X245" s="1699"/>
      <c r="Y245" s="1699"/>
      <c r="Z245" s="1699"/>
      <c r="AA245" s="2039"/>
      <c r="AB245" s="1699"/>
      <c r="AC245" s="1699"/>
      <c r="AD245" s="1699"/>
      <c r="AE245" s="1699"/>
      <c r="AF245" s="1699"/>
      <c r="AG245" s="1699"/>
      <c r="AH245" s="1699"/>
      <c r="AI245" s="1699"/>
      <c r="AJ245" s="2039"/>
      <c r="AK245" s="1699"/>
      <c r="AL245" s="1699"/>
      <c r="AM245" s="1699"/>
      <c r="AN245" s="1699"/>
      <c r="AO245" s="2039"/>
      <c r="AP245" s="1699"/>
      <c r="AQ245" s="1699"/>
      <c r="AR245" s="1699"/>
      <c r="AS245" s="1699"/>
      <c r="AT245" s="2039"/>
      <c r="AU245" s="1699"/>
      <c r="AV245" s="1699"/>
      <c r="AW245" s="1699"/>
      <c r="AX245" s="1699"/>
      <c r="AY245" s="2039"/>
      <c r="AZ245" s="1699"/>
      <c r="BA245" s="1699"/>
      <c r="BB245" s="1699"/>
      <c r="BC245" s="1699"/>
      <c r="BD245" s="2039"/>
      <c r="BE245" s="1699"/>
      <c r="BF245" s="1699"/>
      <c r="BG245" s="1699"/>
      <c r="BH245" s="1699"/>
      <c r="BI245" s="2039"/>
      <c r="BJ245" s="1699"/>
      <c r="BK245" s="1699"/>
      <c r="BL245" s="1699"/>
      <c r="BM245" s="1699"/>
      <c r="BN245" s="2039"/>
      <c r="BO245" s="1699"/>
      <c r="BP245" s="1699"/>
      <c r="BQ245" s="1293"/>
      <c r="BR245" s="1293"/>
      <c r="BS245" s="1293"/>
      <c r="BT245" s="1293"/>
      <c r="BU245" s="1293"/>
      <c r="BV245" s="1293"/>
      <c r="BW245" s="1293"/>
      <c r="BX245" s="1293"/>
      <c r="BY245" s="1293"/>
      <c r="BZ245" s="1293"/>
      <c r="CA245" s="1293"/>
      <c r="CB245" s="1293"/>
      <c r="CC245" s="1293"/>
      <c r="CD245" s="1293"/>
      <c r="CE245" s="1293"/>
      <c r="CF245" s="1293"/>
      <c r="CG245" s="1293"/>
      <c r="CH245" s="1293"/>
      <c r="CI245" s="1293"/>
      <c r="CJ245" s="1293"/>
      <c r="CK245" s="1293"/>
      <c r="CL245" s="1293"/>
      <c r="CM245" s="1293"/>
      <c r="CN245" s="1293"/>
      <c r="CO245" s="1293"/>
      <c r="CP245" s="1293"/>
      <c r="CQ245" s="1293"/>
      <c r="CR245" s="1293"/>
      <c r="CS245" s="1293"/>
      <c r="CT245" s="1293"/>
      <c r="CU245" s="1293"/>
      <c r="CV245" s="1293"/>
      <c r="CW245" s="1293"/>
      <c r="CX245" s="1293"/>
      <c r="CY245" s="2041"/>
      <c r="CZ245" s="1699"/>
      <c r="DA245" s="2042"/>
      <c r="DB245" s="2041"/>
      <c r="DC245" s="1293"/>
      <c r="DD245" s="1293"/>
      <c r="DE245" s="1293"/>
      <c r="DF245" s="1293"/>
      <c r="DG245" s="1293"/>
      <c r="DH245" s="1293"/>
      <c r="DI245" s="1293"/>
      <c r="DJ245" s="1293"/>
      <c r="DK245" s="1293"/>
      <c r="DL245" s="2147"/>
    </row>
    <row r="246" spans="1:116" ht="16.5" thickBot="1">
      <c r="A246" s="1293"/>
      <c r="B246" s="1293"/>
      <c r="C246" s="1699"/>
      <c r="D246" s="1699"/>
      <c r="E246" s="1699"/>
      <c r="F246" s="1699"/>
      <c r="G246" s="2039"/>
      <c r="H246" s="1699"/>
      <c r="I246" s="1699"/>
      <c r="J246" s="1699"/>
      <c r="K246" s="1699"/>
      <c r="L246" s="2039"/>
      <c r="M246" s="1699"/>
      <c r="N246" s="1699"/>
      <c r="O246" s="1699"/>
      <c r="P246" s="1699"/>
      <c r="Q246" s="2039"/>
      <c r="R246" s="1699"/>
      <c r="S246" s="1699"/>
      <c r="T246" s="1699"/>
      <c r="U246" s="1699"/>
      <c r="V246" s="2039"/>
      <c r="W246" s="1699"/>
      <c r="X246" s="1699"/>
      <c r="Y246" s="1699"/>
      <c r="Z246" s="1699"/>
      <c r="AA246" s="2039"/>
      <c r="AB246" s="1699"/>
      <c r="AC246" s="1699"/>
      <c r="AD246" s="1699"/>
      <c r="AE246" s="1699"/>
      <c r="AF246" s="1699"/>
      <c r="AG246" s="1699"/>
      <c r="AH246" s="1699"/>
      <c r="AI246" s="1699"/>
      <c r="AJ246" s="2039"/>
      <c r="AK246" s="1699"/>
      <c r="AL246" s="1699"/>
      <c r="AM246" s="1699"/>
      <c r="AN246" s="1699"/>
      <c r="AO246" s="2039"/>
      <c r="AP246" s="1699"/>
      <c r="AQ246" s="1699"/>
      <c r="AR246" s="1699"/>
      <c r="AS246" s="1699"/>
      <c r="AT246" s="2039"/>
      <c r="AU246" s="1699"/>
      <c r="AV246" s="1699"/>
      <c r="AW246" s="1699"/>
      <c r="AX246" s="1699"/>
      <c r="AY246" s="2039"/>
      <c r="AZ246" s="1699"/>
      <c r="BA246" s="1699"/>
      <c r="BB246" s="1699"/>
      <c r="BC246" s="1699"/>
      <c r="BD246" s="2039"/>
      <c r="BE246" s="1699"/>
      <c r="BF246" s="1699"/>
      <c r="BG246" s="1699"/>
      <c r="BH246" s="1699"/>
      <c r="BI246" s="2039"/>
      <c r="BJ246" s="1699"/>
      <c r="BK246" s="1699"/>
      <c r="BL246" s="1699"/>
      <c r="BM246" s="1699"/>
      <c r="BN246" s="2039"/>
      <c r="BO246" s="1699"/>
      <c r="BP246" s="1699"/>
      <c r="BQ246" s="1293"/>
      <c r="BR246" s="1293"/>
      <c r="BS246" s="1293"/>
      <c r="BT246" s="1293"/>
      <c r="BU246" s="1293"/>
      <c r="BV246" s="1293"/>
      <c r="BW246" s="1293"/>
      <c r="BX246" s="1293"/>
      <c r="BY246" s="1293"/>
      <c r="BZ246" s="1293"/>
      <c r="CA246" s="1293"/>
      <c r="CB246" s="1293"/>
      <c r="CC246" s="1293"/>
      <c r="CD246" s="1293"/>
      <c r="CE246" s="1293"/>
      <c r="CF246" s="1293"/>
      <c r="CG246" s="1293"/>
      <c r="CH246" s="1293"/>
      <c r="CI246" s="1293"/>
      <c r="CJ246" s="1293"/>
      <c r="CK246" s="1293"/>
      <c r="CL246" s="1293"/>
      <c r="CM246" s="1293"/>
      <c r="CN246" s="1293"/>
      <c r="CO246" s="1293"/>
      <c r="CP246" s="1293"/>
      <c r="CQ246" s="1293"/>
      <c r="CR246" s="1293"/>
      <c r="CS246" s="1293"/>
      <c r="CT246" s="1293"/>
      <c r="CU246" s="1293"/>
      <c r="CV246" s="1293"/>
      <c r="CW246" s="1293"/>
      <c r="CX246" s="1293"/>
      <c r="CY246" s="2041"/>
      <c r="CZ246" s="1699"/>
      <c r="DA246" s="2042"/>
      <c r="DB246" s="2041"/>
      <c r="DC246" s="1293"/>
      <c r="DD246" s="1293"/>
      <c r="DE246" s="1293"/>
      <c r="DF246" s="1293"/>
      <c r="DG246" s="1293"/>
      <c r="DH246" s="1293"/>
      <c r="DI246" s="1293"/>
      <c r="DJ246" s="1293"/>
      <c r="DK246" s="1293"/>
      <c r="DL246" s="2147"/>
    </row>
    <row r="247" spans="1:116" ht="16.5" thickBot="1">
      <c r="A247" s="1293"/>
      <c r="B247" s="1293"/>
      <c r="C247" s="1699"/>
      <c r="D247" s="1699"/>
      <c r="E247" s="1699"/>
      <c r="F247" s="1699"/>
      <c r="G247" s="2039"/>
      <c r="H247" s="1699"/>
      <c r="I247" s="1699"/>
      <c r="J247" s="1699"/>
      <c r="K247" s="1699"/>
      <c r="L247" s="2039"/>
      <c r="M247" s="1699"/>
      <c r="N247" s="1699"/>
      <c r="O247" s="1699"/>
      <c r="P247" s="1699"/>
      <c r="Q247" s="2039"/>
      <c r="R247" s="1699"/>
      <c r="S247" s="1699"/>
      <c r="T247" s="1699"/>
      <c r="U247" s="1699"/>
      <c r="V247" s="2039"/>
      <c r="W247" s="1699"/>
      <c r="X247" s="1699"/>
      <c r="Y247" s="1699"/>
      <c r="Z247" s="1699"/>
      <c r="AA247" s="2039"/>
      <c r="AB247" s="1699"/>
      <c r="AC247" s="1699"/>
      <c r="AD247" s="1699"/>
      <c r="AE247" s="1699"/>
      <c r="AF247" s="1699"/>
      <c r="AG247" s="1699"/>
      <c r="AH247" s="1699"/>
      <c r="AI247" s="1699"/>
      <c r="AJ247" s="2039"/>
      <c r="AK247" s="1699"/>
      <c r="AL247" s="1699"/>
      <c r="AM247" s="1699"/>
      <c r="AN247" s="1699"/>
      <c r="AO247" s="2039"/>
      <c r="AP247" s="1699"/>
      <c r="AQ247" s="1699"/>
      <c r="AR247" s="1699"/>
      <c r="AS247" s="1699"/>
      <c r="AT247" s="2039"/>
      <c r="AU247" s="1699"/>
      <c r="AV247" s="1699"/>
      <c r="AW247" s="1699"/>
      <c r="AX247" s="1699"/>
      <c r="AY247" s="2039"/>
      <c r="AZ247" s="1699"/>
      <c r="BA247" s="1699"/>
      <c r="BB247" s="1699"/>
      <c r="BC247" s="1699"/>
      <c r="BD247" s="2039"/>
      <c r="BE247" s="1699"/>
      <c r="BF247" s="1699"/>
      <c r="BG247" s="1699"/>
      <c r="BH247" s="1699"/>
      <c r="BI247" s="2039"/>
      <c r="BJ247" s="1699"/>
      <c r="BK247" s="1699"/>
      <c r="BL247" s="1699"/>
      <c r="BM247" s="1699"/>
      <c r="BN247" s="2039"/>
      <c r="BO247" s="1699"/>
      <c r="BP247" s="1699"/>
      <c r="BQ247" s="1293"/>
      <c r="BR247" s="1293"/>
      <c r="BS247" s="1293"/>
      <c r="BT247" s="1293"/>
      <c r="BU247" s="1293"/>
      <c r="BV247" s="1293"/>
      <c r="BW247" s="1293"/>
      <c r="BX247" s="1293"/>
      <c r="BY247" s="1293"/>
      <c r="BZ247" s="1293"/>
      <c r="CA247" s="1293"/>
      <c r="CB247" s="1293"/>
      <c r="CC247" s="1293"/>
      <c r="CD247" s="1293"/>
      <c r="CE247" s="1293"/>
      <c r="CF247" s="1293"/>
      <c r="CG247" s="1293"/>
      <c r="CH247" s="1293"/>
      <c r="CI247" s="1293"/>
      <c r="CJ247" s="1293"/>
      <c r="CK247" s="1293"/>
      <c r="CL247" s="1293"/>
      <c r="CM247" s="1293"/>
      <c r="CN247" s="1293"/>
      <c r="CO247" s="1293"/>
      <c r="CP247" s="1293"/>
      <c r="CQ247" s="1293"/>
      <c r="CR247" s="1293"/>
      <c r="CS247" s="1293"/>
      <c r="CT247" s="1293"/>
      <c r="CU247" s="1293"/>
      <c r="CV247" s="1293"/>
      <c r="CW247" s="1293"/>
      <c r="CX247" s="1293"/>
      <c r="CY247" s="2041"/>
      <c r="CZ247" s="1699"/>
      <c r="DA247" s="2042"/>
      <c r="DB247" s="2041"/>
      <c r="DC247" s="1293"/>
      <c r="DD247" s="1293"/>
      <c r="DE247" s="1293"/>
      <c r="DF247" s="1293"/>
      <c r="DG247" s="1293"/>
      <c r="DH247" s="1293"/>
      <c r="DI247" s="1293"/>
      <c r="DJ247" s="1293"/>
      <c r="DK247" s="1293"/>
      <c r="DL247" s="2147"/>
    </row>
    <row r="248" spans="1:116" ht="16.5" thickBot="1">
      <c r="A248" s="1293"/>
      <c r="B248" s="1293"/>
      <c r="C248" s="1699"/>
      <c r="D248" s="1699"/>
      <c r="E248" s="1699"/>
      <c r="F248" s="1699"/>
      <c r="G248" s="2039"/>
      <c r="H248" s="1699"/>
      <c r="I248" s="1699"/>
      <c r="J248" s="1699"/>
      <c r="K248" s="1699"/>
      <c r="L248" s="2039"/>
      <c r="M248" s="1699"/>
      <c r="N248" s="1699"/>
      <c r="O248" s="1699"/>
      <c r="P248" s="1699"/>
      <c r="Q248" s="2039"/>
      <c r="R248" s="1699"/>
      <c r="S248" s="1699"/>
      <c r="T248" s="1699"/>
      <c r="U248" s="1699"/>
      <c r="V248" s="2039"/>
      <c r="W248" s="1699"/>
      <c r="X248" s="1699"/>
      <c r="Y248" s="1699"/>
      <c r="Z248" s="1699"/>
      <c r="AA248" s="2039"/>
      <c r="AB248" s="1699"/>
      <c r="AC248" s="1699"/>
      <c r="AD248" s="1699"/>
      <c r="AE248" s="1699"/>
      <c r="AF248" s="1699"/>
      <c r="AG248" s="1699"/>
      <c r="AH248" s="1699"/>
      <c r="AI248" s="1699"/>
      <c r="AJ248" s="2039"/>
      <c r="AK248" s="1699"/>
      <c r="AL248" s="1699"/>
      <c r="AM248" s="1699"/>
      <c r="AN248" s="1699"/>
      <c r="AO248" s="2039"/>
      <c r="AP248" s="1699"/>
      <c r="AQ248" s="1699"/>
      <c r="AR248" s="1699"/>
      <c r="AS248" s="1699"/>
      <c r="AT248" s="2039"/>
      <c r="AU248" s="1699"/>
      <c r="AV248" s="1699"/>
      <c r="AW248" s="1699"/>
      <c r="AX248" s="1699"/>
      <c r="AY248" s="2039"/>
      <c r="AZ248" s="1699"/>
      <c r="BA248" s="1699"/>
      <c r="BB248" s="1699"/>
      <c r="BC248" s="1699"/>
      <c r="BD248" s="2039"/>
      <c r="BE248" s="1699"/>
      <c r="BF248" s="1699"/>
      <c r="BG248" s="1699"/>
      <c r="BH248" s="1699"/>
      <c r="BI248" s="2039"/>
      <c r="BJ248" s="1699"/>
      <c r="BK248" s="1699"/>
      <c r="BL248" s="1699"/>
      <c r="BM248" s="1699"/>
      <c r="BN248" s="2039"/>
      <c r="BO248" s="1699"/>
      <c r="BP248" s="1699"/>
      <c r="BQ248" s="1293"/>
      <c r="BR248" s="1293"/>
      <c r="BS248" s="1293"/>
      <c r="BT248" s="1293"/>
      <c r="BU248" s="1293"/>
      <c r="BV248" s="1293"/>
      <c r="BW248" s="1293"/>
      <c r="BX248" s="1293"/>
      <c r="BY248" s="1293"/>
      <c r="BZ248" s="1293"/>
      <c r="CA248" s="1293"/>
      <c r="CB248" s="1293"/>
      <c r="CC248" s="1293"/>
      <c r="CD248" s="1293"/>
      <c r="CE248" s="1293"/>
      <c r="CF248" s="1293"/>
      <c r="CG248" s="1293"/>
      <c r="CH248" s="1293"/>
      <c r="CI248" s="1293"/>
      <c r="CJ248" s="1293"/>
      <c r="CK248" s="1293"/>
      <c r="CL248" s="1293"/>
      <c r="CM248" s="1293"/>
      <c r="CN248" s="1293"/>
      <c r="CO248" s="1293"/>
      <c r="CP248" s="1293"/>
      <c r="CQ248" s="1293"/>
      <c r="CR248" s="1293"/>
      <c r="CS248" s="1293"/>
      <c r="CT248" s="1293"/>
      <c r="CU248" s="1293"/>
      <c r="CV248" s="1293"/>
      <c r="CW248" s="1293"/>
      <c r="CX248" s="1293"/>
      <c r="CY248" s="2041"/>
      <c r="CZ248" s="1699"/>
      <c r="DA248" s="2042"/>
      <c r="DB248" s="2041"/>
      <c r="DC248" s="1293"/>
      <c r="DD248" s="1293"/>
      <c r="DE248" s="1293"/>
      <c r="DF248" s="1293"/>
      <c r="DG248" s="1293"/>
      <c r="DH248" s="1293"/>
      <c r="DI248" s="1293"/>
      <c r="DJ248" s="1293"/>
      <c r="DK248" s="1293"/>
      <c r="DL248" s="2147"/>
    </row>
    <row r="249" spans="1:116" ht="16.5" thickBot="1">
      <c r="A249" s="1293"/>
      <c r="B249" s="1293"/>
      <c r="C249" s="1699"/>
      <c r="D249" s="1699"/>
      <c r="E249" s="1699"/>
      <c r="F249" s="1699"/>
      <c r="G249" s="2039"/>
      <c r="H249" s="1699"/>
      <c r="I249" s="1699"/>
      <c r="J249" s="1699"/>
      <c r="K249" s="1699"/>
      <c r="L249" s="2039"/>
      <c r="M249" s="1699"/>
      <c r="N249" s="1699"/>
      <c r="O249" s="1699"/>
      <c r="P249" s="1699"/>
      <c r="Q249" s="2039"/>
      <c r="R249" s="1699"/>
      <c r="S249" s="1699"/>
      <c r="T249" s="1699"/>
      <c r="U249" s="1699"/>
      <c r="V249" s="2039"/>
      <c r="W249" s="1699"/>
      <c r="X249" s="1699"/>
      <c r="Y249" s="1699"/>
      <c r="Z249" s="1699"/>
      <c r="AA249" s="2039"/>
      <c r="AB249" s="1699"/>
      <c r="AC249" s="1699"/>
      <c r="AD249" s="1699"/>
      <c r="AE249" s="1699"/>
      <c r="AF249" s="1699"/>
      <c r="AG249" s="1699"/>
      <c r="AH249" s="1699"/>
      <c r="AI249" s="1699"/>
      <c r="AJ249" s="2039"/>
      <c r="AK249" s="1699"/>
      <c r="AL249" s="1699"/>
      <c r="AM249" s="1699"/>
      <c r="AN249" s="1699"/>
      <c r="AO249" s="2039"/>
      <c r="AP249" s="1699"/>
      <c r="AQ249" s="1699"/>
      <c r="AR249" s="1699"/>
      <c r="AS249" s="1699"/>
      <c r="AT249" s="2039"/>
      <c r="AU249" s="1699"/>
      <c r="AV249" s="1699"/>
      <c r="AW249" s="1699"/>
      <c r="AX249" s="1699"/>
      <c r="AY249" s="2039"/>
      <c r="AZ249" s="1699"/>
      <c r="BA249" s="1699"/>
      <c r="BB249" s="1699"/>
      <c r="BC249" s="1699"/>
      <c r="BD249" s="2039"/>
      <c r="BE249" s="1699"/>
      <c r="BF249" s="1699"/>
      <c r="BG249" s="1699"/>
      <c r="BH249" s="1699"/>
      <c r="BI249" s="2039"/>
      <c r="BJ249" s="1699"/>
      <c r="BK249" s="1699"/>
      <c r="BL249" s="1699"/>
      <c r="BM249" s="1699"/>
      <c r="BN249" s="2039"/>
      <c r="BO249" s="1699"/>
      <c r="BP249" s="1699"/>
      <c r="BQ249" s="1293"/>
      <c r="BR249" s="1293"/>
      <c r="BS249" s="1293"/>
      <c r="BT249" s="1293"/>
      <c r="BU249" s="1293"/>
      <c r="BV249" s="1293"/>
      <c r="BW249" s="1293"/>
      <c r="BX249" s="1293"/>
      <c r="BY249" s="1293"/>
      <c r="BZ249" s="1293"/>
      <c r="CA249" s="1293"/>
      <c r="CB249" s="1293"/>
      <c r="CC249" s="1293"/>
      <c r="CD249" s="1293"/>
      <c r="CE249" s="1293"/>
      <c r="CF249" s="1293"/>
      <c r="CG249" s="1293"/>
      <c r="CH249" s="1293"/>
      <c r="CI249" s="1293"/>
      <c r="CJ249" s="1293"/>
      <c r="CK249" s="1293"/>
      <c r="CL249" s="1293"/>
      <c r="CM249" s="1293"/>
      <c r="CN249" s="1293"/>
      <c r="CO249" s="1293"/>
      <c r="CP249" s="1293"/>
      <c r="CQ249" s="1293"/>
      <c r="CR249" s="1293"/>
      <c r="CS249" s="1293"/>
      <c r="CT249" s="1293"/>
      <c r="CU249" s="1293"/>
      <c r="CV249" s="1293"/>
      <c r="CW249" s="1293"/>
      <c r="CX249" s="1293"/>
      <c r="CY249" s="2041"/>
      <c r="CZ249" s="1699"/>
      <c r="DA249" s="2042"/>
      <c r="DB249" s="2041"/>
      <c r="DC249" s="1293"/>
      <c r="DD249" s="1293"/>
      <c r="DE249" s="1293"/>
      <c r="DF249" s="1293"/>
      <c r="DG249" s="1293"/>
      <c r="DH249" s="1293"/>
      <c r="DI249" s="1293"/>
      <c r="DJ249" s="1293"/>
      <c r="DK249" s="1293"/>
      <c r="DL249" s="2147"/>
    </row>
    <row r="250" spans="1:116" ht="16.5" thickBot="1">
      <c r="A250" s="1293"/>
      <c r="B250" s="2033" t="s">
        <v>1034</v>
      </c>
      <c r="C250" s="1883" t="str">
        <f t="shared" ref="C250:AJ250" si="284">C2</f>
        <v>Q1 14</v>
      </c>
      <c r="D250" s="1883" t="str">
        <f t="shared" si="284"/>
        <v>Q2 14</v>
      </c>
      <c r="E250" s="1883" t="str">
        <f t="shared" si="284"/>
        <v>Q3 14</v>
      </c>
      <c r="F250" s="1883" t="str">
        <f t="shared" si="284"/>
        <v>Q4 14</v>
      </c>
      <c r="G250" s="2034" t="str">
        <f t="shared" si="284"/>
        <v>FY 14</v>
      </c>
      <c r="H250" s="1883" t="str">
        <f t="shared" si="284"/>
        <v>Q1 15</v>
      </c>
      <c r="I250" s="1883" t="str">
        <f t="shared" si="284"/>
        <v>Q2 15</v>
      </c>
      <c r="J250" s="1883" t="str">
        <f t="shared" si="284"/>
        <v>Q3 15</v>
      </c>
      <c r="K250" s="1883" t="str">
        <f t="shared" si="284"/>
        <v>Q4 15</v>
      </c>
      <c r="L250" s="2034" t="str">
        <f t="shared" si="284"/>
        <v>FY 15</v>
      </c>
      <c r="M250" s="1883" t="str">
        <f t="shared" si="284"/>
        <v>Q1 16</v>
      </c>
      <c r="N250" s="1883" t="str">
        <f t="shared" si="284"/>
        <v>Q2 16</v>
      </c>
      <c r="O250" s="1883" t="str">
        <f t="shared" si="284"/>
        <v>Q3 16</v>
      </c>
      <c r="P250" s="1883" t="str">
        <f t="shared" si="284"/>
        <v>Q4 16</v>
      </c>
      <c r="Q250" s="2034">
        <f t="shared" si="284"/>
        <v>2016</v>
      </c>
      <c r="R250" s="1883" t="str">
        <f t="shared" si="284"/>
        <v>Q1 17</v>
      </c>
      <c r="S250" s="1883" t="str">
        <f t="shared" si="284"/>
        <v>Q2 17</v>
      </c>
      <c r="T250" s="1883" t="str">
        <f t="shared" si="284"/>
        <v>Q3 17</v>
      </c>
      <c r="U250" s="1883" t="str">
        <f t="shared" si="284"/>
        <v>Q4 17</v>
      </c>
      <c r="V250" s="2034">
        <f t="shared" si="284"/>
        <v>2017</v>
      </c>
      <c r="W250" s="1883" t="str">
        <f t="shared" si="284"/>
        <v>Q1 18</v>
      </c>
      <c r="X250" s="1883" t="str">
        <f t="shared" si="284"/>
        <v>Q2 18</v>
      </c>
      <c r="Y250" s="1883" t="str">
        <f t="shared" si="284"/>
        <v>Q3 18</v>
      </c>
      <c r="Z250" s="1883" t="str">
        <f t="shared" si="284"/>
        <v>Q4 18</v>
      </c>
      <c r="AA250" s="2034">
        <f t="shared" si="284"/>
        <v>2018</v>
      </c>
      <c r="AB250" s="1883" t="str">
        <f t="shared" si="284"/>
        <v>Q1 19</v>
      </c>
      <c r="AC250" s="1883" t="str">
        <f t="shared" si="284"/>
        <v>Q1 19</v>
      </c>
      <c r="AD250" s="1883" t="str">
        <f t="shared" si="284"/>
        <v>Q2 19</v>
      </c>
      <c r="AE250" s="1883" t="str">
        <f t="shared" si="284"/>
        <v>Q2 19</v>
      </c>
      <c r="AF250" s="1883" t="str">
        <f t="shared" si="284"/>
        <v>Q3 19</v>
      </c>
      <c r="AG250" s="1883" t="str">
        <f t="shared" si="284"/>
        <v>Q3 19</v>
      </c>
      <c r="AH250" s="1883" t="str">
        <f t="shared" si="284"/>
        <v>Q4 19</v>
      </c>
      <c r="AI250" s="1883" t="str">
        <f t="shared" si="284"/>
        <v>Q4 19</v>
      </c>
      <c r="AJ250" s="2034">
        <f t="shared" si="284"/>
        <v>2019</v>
      </c>
      <c r="AK250" s="1883" t="s">
        <v>5797</v>
      </c>
      <c r="AL250" s="1883" t="s">
        <v>5798</v>
      </c>
      <c r="AM250" s="1883" t="s">
        <v>5799</v>
      </c>
      <c r="AN250" s="1883" t="str">
        <f>AN2</f>
        <v>Q4 20</v>
      </c>
      <c r="AO250" s="2034">
        <f>AO2</f>
        <v>2020</v>
      </c>
      <c r="AP250" s="1883" t="s">
        <v>7045</v>
      </c>
      <c r="AQ250" s="1883" t="str">
        <f>AQ2</f>
        <v>Q2 21</v>
      </c>
      <c r="AR250" s="1883" t="s">
        <v>7047</v>
      </c>
      <c r="AS250" s="1883" t="str">
        <f>AS2</f>
        <v>Q4 21</v>
      </c>
      <c r="AT250" s="2034">
        <f>AT2</f>
        <v>2021</v>
      </c>
      <c r="AU250" s="1883" t="s">
        <v>7410</v>
      </c>
      <c r="AV250" s="1883" t="s">
        <v>7293</v>
      </c>
      <c r="AW250" s="1883" t="s">
        <v>7411</v>
      </c>
      <c r="AX250" s="1883" t="s">
        <v>7412</v>
      </c>
      <c r="AY250" s="2034">
        <f>AY2</f>
        <v>2022</v>
      </c>
      <c r="AZ250" s="1883" t="s">
        <v>7993</v>
      </c>
      <c r="BA250" s="1883" t="s">
        <v>8245</v>
      </c>
      <c r="BB250" s="1883" t="s">
        <v>8510</v>
      </c>
      <c r="BC250" s="1883" t="str">
        <f t="shared" ref="BC250:BM250" si="285">BC2</f>
        <v>Q4 23</v>
      </c>
      <c r="BD250" s="2034">
        <f t="shared" si="285"/>
        <v>2023</v>
      </c>
      <c r="BE250" s="1883" t="str">
        <f t="shared" si="285"/>
        <v>Q1 24</v>
      </c>
      <c r="BF250" s="1883" t="str">
        <f t="shared" si="285"/>
        <v>Q2 24</v>
      </c>
      <c r="BG250" s="1883" t="str">
        <f t="shared" si="285"/>
        <v>Q3 24</v>
      </c>
      <c r="BH250" s="1883" t="str">
        <f t="shared" si="285"/>
        <v>Q4 24</v>
      </c>
      <c r="BI250" s="2034">
        <f t="shared" si="285"/>
        <v>2024</v>
      </c>
      <c r="BJ250" s="1883" t="str">
        <f t="shared" si="285"/>
        <v>Q1 25</v>
      </c>
      <c r="BK250" s="1883" t="str">
        <f t="shared" si="285"/>
        <v>Q2 25</v>
      </c>
      <c r="BL250" s="1883" t="str">
        <f t="shared" si="285"/>
        <v>Q3 25</v>
      </c>
      <c r="BM250" s="1883" t="str">
        <f t="shared" si="285"/>
        <v>Q4 25</v>
      </c>
      <c r="BN250" s="2034">
        <f t="shared" ref="BN250" si="286">BN2</f>
        <v>2025</v>
      </c>
      <c r="BO250" s="1323"/>
      <c r="BP250" s="1323"/>
      <c r="BQ250" s="1293"/>
      <c r="BR250" s="1293"/>
      <c r="BS250" s="1293"/>
      <c r="BT250" s="1293"/>
      <c r="BU250" s="1293"/>
      <c r="BV250" s="1293"/>
      <c r="BW250" s="1293"/>
      <c r="BX250" s="1293"/>
      <c r="BY250" s="1293"/>
      <c r="BZ250" s="1293"/>
      <c r="CA250" s="1293"/>
      <c r="CB250" s="1293"/>
      <c r="CC250" s="1293"/>
      <c r="CD250" s="1293"/>
      <c r="CE250" s="1293"/>
      <c r="CF250" s="1293"/>
      <c r="CG250" s="1293"/>
      <c r="CH250" s="1293"/>
      <c r="CI250" s="1293"/>
      <c r="CJ250" s="1293"/>
      <c r="CK250" s="1293"/>
      <c r="CL250" s="1293"/>
      <c r="CM250" s="1293"/>
      <c r="CN250" s="1293"/>
      <c r="CO250" s="1293"/>
      <c r="CP250" s="1293"/>
      <c r="CQ250" s="1293"/>
      <c r="CR250" s="1293"/>
      <c r="CS250" s="1293"/>
      <c r="CT250" s="1293"/>
      <c r="CU250" s="1293"/>
      <c r="CV250" s="1293"/>
      <c r="CW250" s="1293"/>
      <c r="CX250" s="1293"/>
      <c r="CY250" s="2036" t="s">
        <v>7795</v>
      </c>
      <c r="CZ250" s="1883" t="str">
        <f>CZ2</f>
        <v>Q3 23e</v>
      </c>
      <c r="DA250" s="2037" t="s">
        <v>8571</v>
      </c>
      <c r="DB250" s="2038" t="s">
        <v>8572</v>
      </c>
      <c r="DC250" s="1293"/>
      <c r="DD250" s="1293"/>
      <c r="DE250" s="1293"/>
      <c r="DF250" s="1293"/>
      <c r="DG250" s="1293"/>
      <c r="DH250" s="1293"/>
      <c r="DI250" s="1293"/>
      <c r="DJ250" s="1293"/>
      <c r="DK250" s="1293"/>
      <c r="DL250" s="2147">
        <v>500.59960000000001</v>
      </c>
    </row>
    <row r="251" spans="1:116" ht="16.5" thickBot="1">
      <c r="A251" s="1293"/>
      <c r="B251" s="1293" t="str">
        <f>B76</f>
        <v>El Salvador</v>
      </c>
      <c r="C251" s="1699">
        <v>1</v>
      </c>
      <c r="D251" s="1699">
        <v>1</v>
      </c>
      <c r="E251" s="1699">
        <v>1</v>
      </c>
      <c r="F251" s="1699">
        <v>1</v>
      </c>
      <c r="G251" s="2039">
        <v>1</v>
      </c>
      <c r="H251" s="1699">
        <v>1</v>
      </c>
      <c r="I251" s="1699">
        <v>1</v>
      </c>
      <c r="J251" s="1699">
        <v>1</v>
      </c>
      <c r="K251" s="1699">
        <v>1</v>
      </c>
      <c r="L251" s="2039">
        <v>1</v>
      </c>
      <c r="M251" s="1699">
        <v>1</v>
      </c>
      <c r="N251" s="1699">
        <v>1</v>
      </c>
      <c r="O251" s="1699">
        <v>1</v>
      </c>
      <c r="P251" s="1699">
        <v>1</v>
      </c>
      <c r="Q251" s="2039">
        <f>'New split'!F123</f>
        <v>1</v>
      </c>
      <c r="R251" s="1699">
        <v>1</v>
      </c>
      <c r="S251" s="1699">
        <f>R251</f>
        <v>1</v>
      </c>
      <c r="T251" s="1699">
        <f>S251</f>
        <v>1</v>
      </c>
      <c r="U251" s="1699">
        <f>S251</f>
        <v>1</v>
      </c>
      <c r="V251" s="2039">
        <f>'New split'!G123</f>
        <v>1</v>
      </c>
      <c r="W251" s="1699">
        <v>1</v>
      </c>
      <c r="X251" s="1699">
        <f>W251</f>
        <v>1</v>
      </c>
      <c r="Y251" s="1699">
        <f>X251</f>
        <v>1</v>
      </c>
      <c r="Z251" s="1699">
        <v>1</v>
      </c>
      <c r="AA251" s="2039">
        <f>'New split'!H123</f>
        <v>1</v>
      </c>
      <c r="AB251" s="1699">
        <v>1</v>
      </c>
      <c r="AC251" s="1699">
        <v>1</v>
      </c>
      <c r="AD251" s="1699">
        <v>1</v>
      </c>
      <c r="AE251" s="1699">
        <v>1</v>
      </c>
      <c r="AF251" s="1699">
        <v>1</v>
      </c>
      <c r="AG251" s="1699">
        <v>1</v>
      </c>
      <c r="AH251" s="1699">
        <v>1</v>
      </c>
      <c r="AI251" s="1699">
        <v>1</v>
      </c>
      <c r="AJ251" s="2039">
        <f>'New split'!I123</f>
        <v>1</v>
      </c>
      <c r="AK251" s="1995">
        <v>1</v>
      </c>
      <c r="AL251" s="1995">
        <v>1</v>
      </c>
      <c r="AM251" s="1995">
        <v>1</v>
      </c>
      <c r="AN251" s="1995">
        <v>1</v>
      </c>
      <c r="AO251" s="2039">
        <f>'New split'!J123</f>
        <v>1</v>
      </c>
      <c r="AP251" s="1995">
        <v>1</v>
      </c>
      <c r="AQ251" s="1995">
        <v>1</v>
      </c>
      <c r="AR251" s="1995">
        <v>1</v>
      </c>
      <c r="AS251" s="1995">
        <v>1</v>
      </c>
      <c r="AT251" s="2039">
        <f>'New split'!K123</f>
        <v>1</v>
      </c>
      <c r="AU251" s="1995">
        <v>1</v>
      </c>
      <c r="AV251" s="1995">
        <v>1</v>
      </c>
      <c r="AW251" s="1995">
        <v>1</v>
      </c>
      <c r="AX251" s="1995">
        <v>1</v>
      </c>
      <c r="AY251" s="2039">
        <f>AVERAGE(AU251:AX251)</f>
        <v>1</v>
      </c>
      <c r="AZ251" s="1995">
        <v>1</v>
      </c>
      <c r="BA251" s="1995">
        <v>1</v>
      </c>
      <c r="BB251" s="1995">
        <v>1</v>
      </c>
      <c r="BC251" s="1995">
        <v>1</v>
      </c>
      <c r="BD251" s="2039">
        <f>AVERAGE(AZ251:BC251)</f>
        <v>1</v>
      </c>
      <c r="BE251" s="1995">
        <v>1</v>
      </c>
      <c r="BF251" s="1995">
        <v>1</v>
      </c>
      <c r="BG251" s="1995">
        <v>1</v>
      </c>
      <c r="BH251" s="1995">
        <v>1</v>
      </c>
      <c r="BI251" s="2039">
        <f>AVERAGE(BE251:BH251)</f>
        <v>1</v>
      </c>
      <c r="BJ251" s="2513">
        <f t="shared" ref="BJ251:BL251" si="287">BK251</f>
        <v>1</v>
      </c>
      <c r="BK251" s="2513">
        <f t="shared" si="287"/>
        <v>1</v>
      </c>
      <c r="BL251" s="2513">
        <f t="shared" si="287"/>
        <v>1</v>
      </c>
      <c r="BM251" s="2513">
        <f>BN251</f>
        <v>1</v>
      </c>
      <c r="BN251" s="2149">
        <f>'New split'!O123</f>
        <v>1</v>
      </c>
      <c r="BO251" s="1699"/>
      <c r="BP251" s="1699"/>
      <c r="BQ251" s="1293"/>
      <c r="BR251" s="1293"/>
      <c r="BS251" s="1293"/>
      <c r="BT251" s="1293"/>
      <c r="BU251" s="1293"/>
      <c r="BV251" s="1293"/>
      <c r="BW251" s="1293"/>
      <c r="BX251" s="1293"/>
      <c r="BY251" s="1293"/>
      <c r="BZ251" s="1293"/>
      <c r="CA251" s="1293"/>
      <c r="CB251" s="1293"/>
      <c r="CC251" s="1293"/>
      <c r="CD251" s="1293"/>
      <c r="CE251" s="1293"/>
      <c r="CF251" s="1293"/>
      <c r="CG251" s="1293"/>
      <c r="CH251" s="1293"/>
      <c r="CI251" s="1293"/>
      <c r="CJ251" s="1293"/>
      <c r="CK251" s="1293"/>
      <c r="CL251" s="1293"/>
      <c r="CM251" s="1293"/>
      <c r="CN251" s="1293"/>
      <c r="CO251" s="1293"/>
      <c r="CP251" s="1293"/>
      <c r="CQ251" s="1293"/>
      <c r="CR251" s="1293"/>
      <c r="CS251" s="1293"/>
      <c r="CT251" s="1293"/>
      <c r="CU251" s="1293"/>
      <c r="CV251" s="1293"/>
      <c r="CW251" s="1293"/>
      <c r="CX251" s="1293"/>
      <c r="CY251" s="2099">
        <v>1</v>
      </c>
      <c r="CZ251" s="2053">
        <v>1</v>
      </c>
      <c r="DA251" s="2098">
        <v>1</v>
      </c>
      <c r="DB251" s="2150">
        <v>1</v>
      </c>
      <c r="DC251" s="1293"/>
      <c r="DD251" s="1293"/>
      <c r="DE251" s="1293"/>
      <c r="DF251" s="1293"/>
      <c r="DG251" s="1293"/>
      <c r="DH251" s="1293"/>
      <c r="DI251" s="1293"/>
      <c r="DJ251" s="1293"/>
      <c r="DK251" s="1293"/>
      <c r="DL251" s="2147">
        <v>499.69540000000001</v>
      </c>
    </row>
    <row r="252" spans="1:116" ht="16.5" thickBot="1">
      <c r="A252" s="1293"/>
      <c r="B252" s="1293" t="str">
        <f>B77</f>
        <v>Guatemala</v>
      </c>
      <c r="C252" s="1699">
        <v>7.7810975000000004</v>
      </c>
      <c r="D252" s="1699">
        <v>7.7541550000000008</v>
      </c>
      <c r="E252" s="1699">
        <v>7.7582575</v>
      </c>
      <c r="F252" s="1699">
        <v>7.6299749999999991</v>
      </c>
      <c r="G252" s="2039">
        <v>7.7323323076923076</v>
      </c>
      <c r="H252" s="1699">
        <v>7.6310649999999995</v>
      </c>
      <c r="I252" s="1699">
        <v>7.6733700000000002</v>
      </c>
      <c r="J252" s="1699">
        <v>7.6571275000000014</v>
      </c>
      <c r="K252" s="1699">
        <v>7.65</v>
      </c>
      <c r="L252" s="2039">
        <v>7.6530562500000006</v>
      </c>
      <c r="M252" s="1699">
        <v>7.6758199999999999</v>
      </c>
      <c r="N252" s="1699">
        <v>7.63</v>
      </c>
      <c r="O252" s="1699">
        <v>7.5680525000000003</v>
      </c>
      <c r="P252" s="1699">
        <v>7.52</v>
      </c>
      <c r="Q252" s="2039">
        <v>7.61</v>
      </c>
      <c r="R252" s="1699">
        <v>7.43</v>
      </c>
      <c r="S252" s="1699">
        <v>7.34</v>
      </c>
      <c r="T252" s="1699">
        <v>7.31</v>
      </c>
      <c r="U252" s="1699">
        <v>7.34</v>
      </c>
      <c r="V252" s="2039">
        <f>'New split'!G124</f>
        <v>7.36</v>
      </c>
      <c r="W252" s="1699">
        <v>7.3656424615384601</v>
      </c>
      <c r="X252" s="1699">
        <v>7.4446670769230758</v>
      </c>
      <c r="Y252" s="1699">
        <v>7.5511746153846167</v>
      </c>
      <c r="Z252" s="1699">
        <v>7.72</v>
      </c>
      <c r="AA252" s="2149">
        <f>'New split'!H124</f>
        <v>7.52</v>
      </c>
      <c r="AB252" s="1699">
        <v>7.72</v>
      </c>
      <c r="AC252" s="1699">
        <v>7.72</v>
      </c>
      <c r="AD252" s="1699">
        <v>7.6747316417910421</v>
      </c>
      <c r="AE252" s="1699">
        <v>7.6747316417910421</v>
      </c>
      <c r="AF252" s="1699">
        <v>7.68</v>
      </c>
      <c r="AG252" s="1699">
        <v>7.68</v>
      </c>
      <c r="AH252" s="1699">
        <v>7.72</v>
      </c>
      <c r="AI252" s="1699">
        <v>7.72</v>
      </c>
      <c r="AJ252" s="2149">
        <f>'New split'!I124</f>
        <v>7.7</v>
      </c>
      <c r="AK252" s="1995">
        <v>7.6815899999999999</v>
      </c>
      <c r="AL252" s="1995">
        <v>7.6966999999999999</v>
      </c>
      <c r="AM252" s="1995">
        <v>7.73</v>
      </c>
      <c r="AN252" s="1995">
        <v>7.8</v>
      </c>
      <c r="AO252" s="2149">
        <f>'New split'!J124</f>
        <v>7.7</v>
      </c>
      <c r="AP252" s="1995">
        <v>7.7495062499999987</v>
      </c>
      <c r="AQ252" s="1995">
        <v>7.7232055384615386</v>
      </c>
      <c r="AR252" s="1995">
        <v>7.7419621212121221</v>
      </c>
      <c r="AS252" s="2151">
        <v>7.73752</v>
      </c>
      <c r="AT252" s="2149">
        <f>'New split'!K124</f>
        <v>7.7373284016608395</v>
      </c>
      <c r="AU252" s="2151">
        <v>7.7023566153846152</v>
      </c>
      <c r="AV252" s="2151">
        <v>7.692591692307694</v>
      </c>
      <c r="AW252" s="2151">
        <v>7.77</v>
      </c>
      <c r="AX252" s="2151">
        <v>7.7380300000000002</v>
      </c>
      <c r="AY252" s="2039">
        <f t="shared" ref="AY252:AY262" si="288">AVERAGE(AU252:AX252)</f>
        <v>7.725744576923077</v>
      </c>
      <c r="AZ252" s="2151">
        <v>7.8</v>
      </c>
      <c r="BA252" s="2151">
        <v>7.84</v>
      </c>
      <c r="BB252" s="2151">
        <v>7.86</v>
      </c>
      <c r="BC252" s="2151">
        <v>7.8369999999999997</v>
      </c>
      <c r="BD252" s="2039">
        <f t="shared" ref="BD252:BD262" si="289">AVERAGE(AZ252:BC252)</f>
        <v>7.8342499999999999</v>
      </c>
      <c r="BE252" s="2151">
        <v>7.8127000000000004</v>
      </c>
      <c r="BF252" s="2151">
        <v>7.7748999999999997</v>
      </c>
      <c r="BG252" s="2151">
        <v>7.7416999999999998</v>
      </c>
      <c r="BH252" s="2151">
        <v>7.72</v>
      </c>
      <c r="BI252" s="2039">
        <f>'New split'!N124</f>
        <v>7.76</v>
      </c>
      <c r="BJ252" s="2513">
        <f t="shared" ref="BJ252:BM252" si="290">BK252</f>
        <v>7.7</v>
      </c>
      <c r="BK252" s="2513">
        <f t="shared" si="290"/>
        <v>7.7</v>
      </c>
      <c r="BL252" s="2513">
        <f t="shared" si="290"/>
        <v>7.7</v>
      </c>
      <c r="BM252" s="2513">
        <f t="shared" si="290"/>
        <v>7.7</v>
      </c>
      <c r="BN252" s="2149">
        <f>'New split'!O124</f>
        <v>7.7</v>
      </c>
      <c r="BO252" s="2153"/>
      <c r="BP252" s="2153"/>
      <c r="BQ252" s="1293"/>
      <c r="BR252" s="1293"/>
      <c r="BS252" s="1293"/>
      <c r="BT252" s="1293"/>
      <c r="BU252" s="1293"/>
      <c r="BV252" s="1293"/>
      <c r="BW252" s="1293"/>
      <c r="BX252" s="1293"/>
      <c r="BY252" s="1293"/>
      <c r="BZ252" s="1293"/>
      <c r="CA252" s="1293"/>
      <c r="CB252" s="1293"/>
      <c r="CC252" s="1293"/>
      <c r="CD252" s="1293"/>
      <c r="CE252" s="1293"/>
      <c r="CF252" s="1293"/>
      <c r="CG252" s="1293"/>
      <c r="CH252" s="1293"/>
      <c r="CI252" s="1293"/>
      <c r="CJ252" s="1293"/>
      <c r="CK252" s="1293"/>
      <c r="CL252" s="1293"/>
      <c r="CM252" s="1293"/>
      <c r="CN252" s="1293"/>
      <c r="CO252" s="1293"/>
      <c r="CP252" s="1293"/>
      <c r="CQ252" s="1293"/>
      <c r="CR252" s="1293"/>
      <c r="CS252" s="1293"/>
      <c r="CT252" s="1293"/>
      <c r="CU252" s="1293"/>
      <c r="CV252" s="1293"/>
      <c r="CW252" s="1293"/>
      <c r="CX252" s="1293"/>
      <c r="CY252" s="2150">
        <v>7.83</v>
      </c>
      <c r="CZ252" s="2152">
        <v>7.7235633137019235</v>
      </c>
      <c r="DA252" s="2098">
        <v>7.8029200000000003</v>
      </c>
      <c r="DB252" s="2150">
        <v>7.6</v>
      </c>
      <c r="DC252" s="1293"/>
      <c r="DD252" s="1293"/>
      <c r="DE252" s="1293"/>
      <c r="DF252" s="1293"/>
      <c r="DG252" s="1293"/>
      <c r="DH252" s="1293"/>
      <c r="DI252" s="1293"/>
      <c r="DJ252" s="1293"/>
      <c r="DK252" s="1293"/>
      <c r="DL252" s="2147">
        <v>500.9975</v>
      </c>
    </row>
    <row r="253" spans="1:116" ht="16.5" thickBot="1">
      <c r="A253" s="1293"/>
      <c r="B253" s="1293" t="str">
        <f>B78</f>
        <v>Honduras (JV)</v>
      </c>
      <c r="C253" s="1699">
        <v>20.742675000000002</v>
      </c>
      <c r="D253" s="1699">
        <v>20.920075000000001</v>
      </c>
      <c r="E253" s="1699">
        <v>21.148124999999997</v>
      </c>
      <c r="F253" s="1699">
        <v>21.442683333333331</v>
      </c>
      <c r="G253" s="2039">
        <v>21.064584615384611</v>
      </c>
      <c r="H253" s="1699">
        <v>21.806674999999998</v>
      </c>
      <c r="I253" s="1699">
        <v>21.996124999999999</v>
      </c>
      <c r="J253" s="1699">
        <v>22.032699999999998</v>
      </c>
      <c r="K253" s="1699">
        <v>22.23</v>
      </c>
      <c r="L253" s="2039">
        <v>22.012806250000001</v>
      </c>
      <c r="M253" s="1699">
        <v>22.613299999999999</v>
      </c>
      <c r="N253" s="1699">
        <v>22.81</v>
      </c>
      <c r="O253" s="1699">
        <v>22.9771</v>
      </c>
      <c r="P253" s="1699">
        <v>23.24</v>
      </c>
      <c r="Q253" s="2039">
        <v>22.92</v>
      </c>
      <c r="R253" s="1699">
        <v>23.62</v>
      </c>
      <c r="S253" s="1699">
        <v>23.55</v>
      </c>
      <c r="T253" s="1699">
        <v>23.49</v>
      </c>
      <c r="U253" s="1699">
        <v>23.53</v>
      </c>
      <c r="V253" s="2039">
        <f>'New split'!G125</f>
        <v>23.57</v>
      </c>
      <c r="W253" s="1699">
        <v>23.594124615384601</v>
      </c>
      <c r="X253" s="1699">
        <v>23.808440000000004</v>
      </c>
      <c r="Y253" s="1699">
        <v>24.019852307692304</v>
      </c>
      <c r="Z253" s="1699">
        <v>24.29</v>
      </c>
      <c r="AA253" s="2039">
        <f>'New split'!H125</f>
        <v>23.87</v>
      </c>
      <c r="AB253" s="1699">
        <v>24.47</v>
      </c>
      <c r="AC253" s="1699">
        <v>24.47</v>
      </c>
      <c r="AD253" s="1699">
        <v>24.55527910447762</v>
      </c>
      <c r="AE253" s="1699">
        <v>24.55527910447762</v>
      </c>
      <c r="AF253" s="1699">
        <v>24.62</v>
      </c>
      <c r="AG253" s="1699">
        <v>24.62</v>
      </c>
      <c r="AH253" s="1699">
        <v>24.7</v>
      </c>
      <c r="AI253" s="1699">
        <v>24.7</v>
      </c>
      <c r="AJ253" s="2039">
        <f>'New split'!I125</f>
        <v>24.57</v>
      </c>
      <c r="AK253" s="1995">
        <v>24.770600000000002</v>
      </c>
      <c r="AL253" s="1995">
        <v>24.867699999999999</v>
      </c>
      <c r="AM253" s="1995">
        <v>24.65</v>
      </c>
      <c r="AN253" s="1995">
        <v>24.4</v>
      </c>
      <c r="AO253" s="2039">
        <f>'New split'!J125</f>
        <v>24.73</v>
      </c>
      <c r="AP253" s="1995">
        <v>24.155118750000003</v>
      </c>
      <c r="AQ253" s="1995">
        <v>24.045746153846146</v>
      </c>
      <c r="AR253" s="1995">
        <v>23.901</v>
      </c>
      <c r="AS253" s="1995">
        <v>24.206846969696976</v>
      </c>
      <c r="AT253" s="2039">
        <f>'New split'!K125</f>
        <v>24.077177968385783</v>
      </c>
      <c r="AU253" s="2151">
        <v>24.569703076923073</v>
      </c>
      <c r="AV253" s="2151">
        <v>24.531090769230758</v>
      </c>
      <c r="AW253" s="2151">
        <v>24.623736363636365</v>
      </c>
      <c r="AX253" s="2151">
        <v>24.595300000000002</v>
      </c>
      <c r="AY253" s="2039">
        <f t="shared" si="288"/>
        <v>24.579957552447553</v>
      </c>
      <c r="AZ253" s="2151">
        <v>24.595300000000002</v>
      </c>
      <c r="BA253" s="2151">
        <v>24.64</v>
      </c>
      <c r="BB253" s="2151">
        <v>24.67</v>
      </c>
      <c r="BC253" s="2151">
        <v>24.718</v>
      </c>
      <c r="BD253" s="2039">
        <f t="shared" si="289"/>
        <v>24.655825000000004</v>
      </c>
      <c r="BE253" s="2151">
        <v>24.721699999999998</v>
      </c>
      <c r="BF253" s="2151">
        <v>24.755600000000001</v>
      </c>
      <c r="BG253" s="2151">
        <v>24.830400000000001</v>
      </c>
      <c r="BH253" s="2151">
        <v>25.15</v>
      </c>
      <c r="BI253" s="2039">
        <f t="shared" ref="BI253:BI262" si="291">AVERAGE(BE253:BH253)</f>
        <v>24.864424999999997</v>
      </c>
      <c r="BJ253" s="2513">
        <f t="shared" ref="BJ253:BM253" si="292">BK253</f>
        <v>25.6</v>
      </c>
      <c r="BK253" s="2513">
        <f t="shared" si="292"/>
        <v>25.6</v>
      </c>
      <c r="BL253" s="2513">
        <f t="shared" si="292"/>
        <v>25.6</v>
      </c>
      <c r="BM253" s="2513">
        <f t="shared" si="292"/>
        <v>25.6</v>
      </c>
      <c r="BN253" s="2149">
        <f>'New split'!O125</f>
        <v>25.6</v>
      </c>
      <c r="BO253" s="2153"/>
      <c r="BP253" s="2153"/>
      <c r="BQ253" s="1293"/>
      <c r="BR253" s="1293"/>
      <c r="BS253" s="1293"/>
      <c r="BT253" s="1293"/>
      <c r="BU253" s="1293"/>
      <c r="BV253" s="1293"/>
      <c r="BW253" s="1293"/>
      <c r="BX253" s="1293"/>
      <c r="BY253" s="1293"/>
      <c r="BZ253" s="1293"/>
      <c r="CA253" s="1293"/>
      <c r="CB253" s="1293"/>
      <c r="CC253" s="1293"/>
      <c r="CD253" s="1293"/>
      <c r="CE253" s="1293"/>
      <c r="CF253" s="1293"/>
      <c r="CG253" s="1293"/>
      <c r="CH253" s="1293"/>
      <c r="CI253" s="1293"/>
      <c r="CJ253" s="1293"/>
      <c r="CK253" s="1293"/>
      <c r="CL253" s="1293"/>
      <c r="CM253" s="1293"/>
      <c r="CN253" s="1293"/>
      <c r="CO253" s="1293"/>
      <c r="CP253" s="1293"/>
      <c r="CQ253" s="1293"/>
      <c r="CR253" s="1293"/>
      <c r="CS253" s="1293"/>
      <c r="CT253" s="1293"/>
      <c r="CU253" s="1293"/>
      <c r="CV253" s="1293"/>
      <c r="CW253" s="1293"/>
      <c r="CX253" s="1293"/>
      <c r="CY253" s="2150">
        <v>24.73</v>
      </c>
      <c r="CZ253" s="2152">
        <v>25.155509197115379</v>
      </c>
      <c r="DA253" s="2098">
        <v>24.687899999999999</v>
      </c>
      <c r="DB253" s="2150">
        <v>24.44</v>
      </c>
      <c r="DC253" s="1293"/>
      <c r="DD253" s="1293"/>
      <c r="DE253" s="1293"/>
      <c r="DF253" s="1293"/>
      <c r="DG253" s="1293"/>
      <c r="DH253" s="1293"/>
      <c r="DI253" s="1293"/>
      <c r="DJ253" s="1293"/>
      <c r="DK253" s="1293"/>
      <c r="DL253" s="2147">
        <v>502.23790000000002</v>
      </c>
    </row>
    <row r="254" spans="1:116" ht="16.5" thickBot="1">
      <c r="A254" s="1293"/>
      <c r="B254" s="1293" t="s">
        <v>2032</v>
      </c>
      <c r="C254" s="1699"/>
      <c r="D254" s="1699"/>
      <c r="E254" s="1699"/>
      <c r="F254" s="1699"/>
      <c r="G254" s="2039"/>
      <c r="H254" s="1699"/>
      <c r="I254" s="1699"/>
      <c r="J254" s="1699"/>
      <c r="K254" s="1699"/>
      <c r="L254" s="2039"/>
      <c r="M254" s="1699"/>
      <c r="N254" s="1699"/>
      <c r="O254" s="1699"/>
      <c r="P254" s="1699"/>
      <c r="Q254" s="2039"/>
      <c r="R254" s="1699"/>
      <c r="S254" s="1699"/>
      <c r="T254" s="1699"/>
      <c r="U254" s="1699"/>
      <c r="V254" s="2039"/>
      <c r="W254" s="1699">
        <v>1</v>
      </c>
      <c r="X254" s="1699">
        <v>1</v>
      </c>
      <c r="Y254" s="1699">
        <v>1</v>
      </c>
      <c r="Z254" s="1699">
        <v>1</v>
      </c>
      <c r="AA254" s="2039"/>
      <c r="AB254" s="1699">
        <v>1</v>
      </c>
      <c r="AC254" s="1699">
        <v>1</v>
      </c>
      <c r="AD254" s="1699">
        <v>1</v>
      </c>
      <c r="AE254" s="1699">
        <v>1</v>
      </c>
      <c r="AF254" s="1699">
        <v>1</v>
      </c>
      <c r="AG254" s="1699">
        <v>1</v>
      </c>
      <c r="AH254" s="1699">
        <v>1</v>
      </c>
      <c r="AI254" s="1699">
        <v>1</v>
      </c>
      <c r="AJ254" s="2039">
        <f>'New split'!I126</f>
        <v>1</v>
      </c>
      <c r="AK254" s="1995">
        <v>1</v>
      </c>
      <c r="AL254" s="1995">
        <v>1</v>
      </c>
      <c r="AM254" s="1995">
        <v>1</v>
      </c>
      <c r="AN254" s="1995">
        <v>1</v>
      </c>
      <c r="AO254" s="2039">
        <f>'New split'!J126</f>
        <v>1</v>
      </c>
      <c r="AP254" s="1995">
        <v>1</v>
      </c>
      <c r="AQ254" s="1995">
        <v>1</v>
      </c>
      <c r="AR254" s="1995">
        <v>1</v>
      </c>
      <c r="AS254" s="1995">
        <v>1</v>
      </c>
      <c r="AT254" s="2039">
        <f>'New split'!K126</f>
        <v>1</v>
      </c>
      <c r="AU254" s="1995">
        <v>1</v>
      </c>
      <c r="AV254" s="1995">
        <v>1</v>
      </c>
      <c r="AW254" s="1995">
        <v>1</v>
      </c>
      <c r="AX254" s="1995">
        <v>1</v>
      </c>
      <c r="AY254" s="2039">
        <f t="shared" si="288"/>
        <v>1</v>
      </c>
      <c r="AZ254" s="1995">
        <v>1</v>
      </c>
      <c r="BA254" s="1995">
        <v>1</v>
      </c>
      <c r="BB254" s="1995">
        <v>1</v>
      </c>
      <c r="BC254" s="1995">
        <v>1</v>
      </c>
      <c r="BD254" s="2039">
        <f t="shared" si="289"/>
        <v>1</v>
      </c>
      <c r="BE254" s="1995">
        <v>1</v>
      </c>
      <c r="BF254" s="1995">
        <v>1</v>
      </c>
      <c r="BG254" s="1995">
        <v>1</v>
      </c>
      <c r="BH254" s="1995">
        <v>1</v>
      </c>
      <c r="BI254" s="2039">
        <f t="shared" si="291"/>
        <v>1</v>
      </c>
      <c r="BJ254" s="2513">
        <f t="shared" ref="BJ254:BM254" si="293">BK254</f>
        <v>1</v>
      </c>
      <c r="BK254" s="2513">
        <f t="shared" si="293"/>
        <v>1</v>
      </c>
      <c r="BL254" s="2513">
        <f t="shared" si="293"/>
        <v>1</v>
      </c>
      <c r="BM254" s="2513">
        <f t="shared" si="293"/>
        <v>1</v>
      </c>
      <c r="BN254" s="2149">
        <f>'New split'!O126</f>
        <v>1</v>
      </c>
      <c r="BO254" s="2153"/>
      <c r="BP254" s="2153"/>
      <c r="BQ254" s="1293"/>
      <c r="BR254" s="1293"/>
      <c r="BS254" s="1293"/>
      <c r="BT254" s="1293"/>
      <c r="BU254" s="1293"/>
      <c r="BV254" s="1293"/>
      <c r="BW254" s="1293"/>
      <c r="BX254" s="1293"/>
      <c r="BY254" s="1293"/>
      <c r="BZ254" s="1293"/>
      <c r="CA254" s="1293"/>
      <c r="CB254" s="1293"/>
      <c r="CC254" s="1293"/>
      <c r="CD254" s="1293"/>
      <c r="CE254" s="1293"/>
      <c r="CF254" s="1293"/>
      <c r="CG254" s="1293"/>
      <c r="CH254" s="1293"/>
      <c r="CI254" s="1293"/>
      <c r="CJ254" s="1293"/>
      <c r="CK254" s="1293"/>
      <c r="CL254" s="1293"/>
      <c r="CM254" s="1293"/>
      <c r="CN254" s="1293"/>
      <c r="CO254" s="1293"/>
      <c r="CP254" s="1293"/>
      <c r="CQ254" s="1293"/>
      <c r="CR254" s="1293"/>
      <c r="CS254" s="1293"/>
      <c r="CT254" s="1293"/>
      <c r="CU254" s="1293"/>
      <c r="CV254" s="1293"/>
      <c r="CW254" s="1293"/>
      <c r="CX254" s="1293"/>
      <c r="CY254" s="2150">
        <v>1</v>
      </c>
      <c r="CZ254" s="2152">
        <v>1</v>
      </c>
      <c r="DA254" s="2098">
        <v>1</v>
      </c>
      <c r="DB254" s="2150">
        <v>1</v>
      </c>
      <c r="DC254" s="1293"/>
      <c r="DD254" s="1293"/>
      <c r="DE254" s="1293"/>
      <c r="DF254" s="1293"/>
      <c r="DG254" s="1293"/>
      <c r="DH254" s="1293"/>
      <c r="DI254" s="1293"/>
      <c r="DJ254" s="1293"/>
      <c r="DK254" s="1293"/>
      <c r="DL254" s="2147">
        <v>501.10120000000001</v>
      </c>
    </row>
    <row r="255" spans="1:116" ht="16.5" thickBot="1">
      <c r="A255" s="1293"/>
      <c r="B255" s="1293" t="str">
        <f>B80</f>
        <v>Costa Rica</v>
      </c>
      <c r="C255" s="1699">
        <v>533.67499999999995</v>
      </c>
      <c r="D255" s="1699">
        <v>554.58249999999998</v>
      </c>
      <c r="E255" s="1699">
        <v>545.85749999999996</v>
      </c>
      <c r="F255" s="1699">
        <v>543.91166666666675</v>
      </c>
      <c r="G255" s="2039">
        <v>543.5315384615385</v>
      </c>
      <c r="H255" s="1699">
        <v>542.07000000000005</v>
      </c>
      <c r="I255" s="1699">
        <v>539.53750000000002</v>
      </c>
      <c r="J255" s="1699">
        <v>541.0675</v>
      </c>
      <c r="K255" s="1699">
        <v>541.255</v>
      </c>
      <c r="L255" s="2039">
        <v>540.67750000000001</v>
      </c>
      <c r="M255" s="1699">
        <v>543.46749999999997</v>
      </c>
      <c r="N255" s="1699">
        <v>549</v>
      </c>
      <c r="O255" s="1699">
        <v>556.80999999999995</v>
      </c>
      <c r="P255" s="1699">
        <v>559.62</v>
      </c>
      <c r="Q255" s="2039">
        <v>551.47</v>
      </c>
      <c r="R255" s="1699">
        <v>564.51</v>
      </c>
      <c r="S255" s="1699">
        <v>574</v>
      </c>
      <c r="T255" s="1699">
        <v>576.65</v>
      </c>
      <c r="U255" s="1699">
        <v>569</v>
      </c>
      <c r="V255" s="2039">
        <f>'New split'!G127</f>
        <v>568</v>
      </c>
      <c r="W255" s="1699">
        <v>569.22953846153848</v>
      </c>
      <c r="X255" s="1699">
        <v>566.62030769230785</v>
      </c>
      <c r="Y255" s="1699">
        <v>572.61307692307685</v>
      </c>
      <c r="Z255" s="1699">
        <v>599</v>
      </c>
      <c r="AA255" s="2039">
        <f>'New split'!H127</f>
        <v>572</v>
      </c>
      <c r="AB255" s="1699">
        <v>607</v>
      </c>
      <c r="AC255" s="1699">
        <v>607</v>
      </c>
      <c r="AD255" s="1699">
        <v>593.27104477611908</v>
      </c>
      <c r="AE255" s="1699">
        <v>593.27104477611908</v>
      </c>
      <c r="AF255" s="1699">
        <v>574</v>
      </c>
      <c r="AG255" s="1699">
        <v>574</v>
      </c>
      <c r="AH255" s="1699">
        <v>575</v>
      </c>
      <c r="AI255" s="1699">
        <v>575</v>
      </c>
      <c r="AJ255" s="2039">
        <f>'New split'!I127</f>
        <v>588</v>
      </c>
      <c r="AK255" s="1996">
        <v>577.38749999999993</v>
      </c>
      <c r="AL255" s="1996">
        <v>579.8125</v>
      </c>
      <c r="AM255" s="1996">
        <v>598</v>
      </c>
      <c r="AN255" s="1996">
        <v>606</v>
      </c>
      <c r="AO255" s="2039">
        <f>'New split'!J127</f>
        <v>584</v>
      </c>
      <c r="AP255" s="1996">
        <v>611.99171875000013</v>
      </c>
      <c r="AQ255" s="1996">
        <v>616.3112307692312</v>
      </c>
      <c r="AR255" s="1996">
        <v>622.10878787878801</v>
      </c>
      <c r="AS255" s="1996">
        <v>634</v>
      </c>
      <c r="AT255" s="2039">
        <f>'New split'!K127</f>
        <v>621.60687374344411</v>
      </c>
      <c r="AU255" s="1996">
        <v>665.36</v>
      </c>
      <c r="AV255" s="1996">
        <v>692.96</v>
      </c>
      <c r="AW255" s="1996">
        <v>629.54999999999995</v>
      </c>
      <c r="AX255" s="1996">
        <v>593.22</v>
      </c>
      <c r="AY255" s="2039">
        <f t="shared" si="288"/>
        <v>645.27250000000004</v>
      </c>
      <c r="AZ255" s="1996">
        <v>541.44000000000005</v>
      </c>
      <c r="BA255" s="1996">
        <v>544</v>
      </c>
      <c r="BB255" s="1996">
        <v>545</v>
      </c>
      <c r="BC255" s="1996">
        <v>535.053</v>
      </c>
      <c r="BD255" s="2039">
        <f t="shared" si="289"/>
        <v>541.37324999999998</v>
      </c>
      <c r="BE255" s="1996">
        <v>517.40250000000003</v>
      </c>
      <c r="BF255" s="1996">
        <v>518.3175</v>
      </c>
      <c r="BG255" s="1996">
        <v>525.64</v>
      </c>
      <c r="BH255" s="1996">
        <v>516</v>
      </c>
      <c r="BI255" s="2039">
        <f t="shared" si="291"/>
        <v>519.34</v>
      </c>
      <c r="BJ255" s="2513">
        <f t="shared" ref="BJ255:BM255" si="294">BK255</f>
        <v>500</v>
      </c>
      <c r="BK255" s="2513">
        <f t="shared" si="294"/>
        <v>500</v>
      </c>
      <c r="BL255" s="2513">
        <f t="shared" si="294"/>
        <v>500</v>
      </c>
      <c r="BM255" s="2513">
        <f t="shared" si="294"/>
        <v>500</v>
      </c>
      <c r="BN255" s="2149">
        <f>'New split'!O127</f>
        <v>500</v>
      </c>
      <c r="BO255" s="2153"/>
      <c r="BP255" s="2153"/>
      <c r="BQ255" s="2153"/>
      <c r="BR255" s="1293"/>
      <c r="BS255" s="1293"/>
      <c r="BT255" s="1293"/>
      <c r="BU255" s="1293"/>
      <c r="BV255" s="1293"/>
      <c r="BW255" s="1293"/>
      <c r="BX255" s="1293"/>
      <c r="BY255" s="1293"/>
      <c r="BZ255" s="1293"/>
      <c r="CA255" s="1293"/>
      <c r="CB255" s="1293"/>
      <c r="CC255" s="1293"/>
      <c r="CD255" s="1293"/>
      <c r="CE255" s="1293"/>
      <c r="CF255" s="1293"/>
      <c r="CG255" s="1293"/>
      <c r="CH255" s="1293"/>
      <c r="CI255" s="1293"/>
      <c r="CJ255" s="1293"/>
      <c r="CK255" s="1293"/>
      <c r="CL255" s="1293"/>
      <c r="CM255" s="1293"/>
      <c r="CN255" s="1293"/>
      <c r="CO255" s="1293"/>
      <c r="CP255" s="1293"/>
      <c r="CQ255" s="1293"/>
      <c r="CR255" s="1293"/>
      <c r="CS255" s="1293"/>
      <c r="CT255" s="1293"/>
      <c r="CU255" s="1293"/>
      <c r="CV255" s="1293"/>
      <c r="CW255" s="1293"/>
      <c r="CX255" s="1293"/>
      <c r="CY255" s="2150">
        <v>531</v>
      </c>
      <c r="CZ255" s="2152">
        <v>540</v>
      </c>
      <c r="DA255" s="2098">
        <v>515.89</v>
      </c>
      <c r="DB255" s="2150">
        <v>511.86</v>
      </c>
      <c r="DC255" s="1293"/>
      <c r="DD255" s="1293"/>
      <c r="DE255" s="1293"/>
      <c r="DF255" s="1293"/>
      <c r="DG255" s="1293"/>
      <c r="DH255" s="1293"/>
      <c r="DI255" s="1293"/>
      <c r="DJ255" s="1293"/>
      <c r="DK255" s="1293"/>
      <c r="DL255" s="2147">
        <v>501.10120000000001</v>
      </c>
    </row>
    <row r="256" spans="1:116" ht="16.5" thickBot="1">
      <c r="A256" s="1293"/>
      <c r="B256" s="1293" t="s">
        <v>2033</v>
      </c>
      <c r="C256" s="1699"/>
      <c r="D256" s="1699"/>
      <c r="E256" s="1699"/>
      <c r="F256" s="1699"/>
      <c r="G256" s="2039"/>
      <c r="H256" s="1699"/>
      <c r="I256" s="1699"/>
      <c r="J256" s="1699"/>
      <c r="K256" s="1699"/>
      <c r="L256" s="2039"/>
      <c r="M256" s="1699"/>
      <c r="N256" s="1699"/>
      <c r="O256" s="1699"/>
      <c r="P256" s="1699"/>
      <c r="Q256" s="2039"/>
      <c r="R256" s="1699"/>
      <c r="S256" s="1699"/>
      <c r="T256" s="1699"/>
      <c r="U256" s="1699"/>
      <c r="V256" s="2039"/>
      <c r="W256" s="1699"/>
      <c r="X256" s="1699"/>
      <c r="Y256" s="1699"/>
      <c r="Z256" s="1699"/>
      <c r="AA256" s="2039"/>
      <c r="AB256" s="1699"/>
      <c r="AC256" s="1699"/>
      <c r="AD256" s="1699"/>
      <c r="AE256" s="1699"/>
      <c r="AF256" s="1699"/>
      <c r="AG256" s="1699"/>
      <c r="AH256" s="1699"/>
      <c r="AI256" s="1699"/>
      <c r="AJ256" s="2039"/>
      <c r="AK256" s="1996"/>
      <c r="AL256" s="1996"/>
      <c r="AM256" s="1996"/>
      <c r="AN256" s="1996"/>
      <c r="AO256" s="2039"/>
      <c r="AP256" s="1996"/>
      <c r="AQ256" s="1996"/>
      <c r="AR256" s="1996"/>
      <c r="AS256" s="1996"/>
      <c r="AT256" s="2039"/>
      <c r="AU256" s="1996">
        <v>35.607799999999997</v>
      </c>
      <c r="AV256" s="1996">
        <v>35.783099999999997</v>
      </c>
      <c r="AW256" s="1996">
        <v>35.9617</v>
      </c>
      <c r="AX256" s="1996">
        <v>36.141199999999998</v>
      </c>
      <c r="AY256" s="2039">
        <f t="shared" si="288"/>
        <v>35.873449999999998</v>
      </c>
      <c r="AZ256" s="1996">
        <v>36.298699999999997</v>
      </c>
      <c r="BA256" s="1996">
        <v>36.395899999999997</v>
      </c>
      <c r="BB256" s="1996">
        <v>36.487099999999998</v>
      </c>
      <c r="BC256" s="1996">
        <v>36.578499999999998</v>
      </c>
      <c r="BD256" s="2039">
        <f t="shared" si="289"/>
        <v>36.440049999999999</v>
      </c>
      <c r="BE256" s="1996">
        <v>36.624299999999998</v>
      </c>
      <c r="BF256" s="1996">
        <v>36.624299999999998</v>
      </c>
      <c r="BG256" s="1996">
        <v>36.624299999999998</v>
      </c>
      <c r="BH256" s="1996">
        <v>36.619999999999997</v>
      </c>
      <c r="BI256" s="2039">
        <f t="shared" si="291"/>
        <v>36.623224999999998</v>
      </c>
      <c r="BJ256" s="2513">
        <f t="shared" ref="BJ256:BM256" si="295">BK256</f>
        <v>36.799999999999997</v>
      </c>
      <c r="BK256" s="2513">
        <f t="shared" si="295"/>
        <v>36.799999999999997</v>
      </c>
      <c r="BL256" s="2513">
        <f t="shared" si="295"/>
        <v>36.799999999999997</v>
      </c>
      <c r="BM256" s="2513">
        <f t="shared" si="295"/>
        <v>36.799999999999997</v>
      </c>
      <c r="BN256" s="2149">
        <f>'New split'!O128</f>
        <v>36.799999999999997</v>
      </c>
      <c r="BO256" s="2153"/>
      <c r="BP256" s="2153"/>
      <c r="BQ256" s="2153"/>
      <c r="BR256" s="1293"/>
      <c r="BS256" s="1293"/>
      <c r="BT256" s="1293"/>
      <c r="BU256" s="1293"/>
      <c r="BV256" s="1293"/>
      <c r="BW256" s="1293"/>
      <c r="BX256" s="1293"/>
      <c r="BY256" s="1293"/>
      <c r="BZ256" s="1293"/>
      <c r="CA256" s="1293"/>
      <c r="CB256" s="1293"/>
      <c r="CC256" s="1293"/>
      <c r="CD256" s="1293"/>
      <c r="CE256" s="1293"/>
      <c r="CF256" s="1293"/>
      <c r="CG256" s="1293"/>
      <c r="CH256" s="1293"/>
      <c r="CI256" s="1293"/>
      <c r="CJ256" s="1293"/>
      <c r="CK256" s="1293"/>
      <c r="CL256" s="1293"/>
      <c r="CM256" s="1293"/>
      <c r="CN256" s="1293"/>
      <c r="CO256" s="1293"/>
      <c r="CP256" s="1293"/>
      <c r="CQ256" s="1293"/>
      <c r="CR256" s="1293"/>
      <c r="CS256" s="1293"/>
      <c r="CT256" s="1293"/>
      <c r="CU256" s="1293"/>
      <c r="CV256" s="1293"/>
      <c r="CW256" s="1293"/>
      <c r="CX256" s="1293"/>
      <c r="CY256" s="2150"/>
      <c r="CZ256" s="2152"/>
      <c r="DA256" s="2098"/>
      <c r="DB256" s="2150"/>
      <c r="DC256" s="1293"/>
      <c r="DD256" s="1293"/>
      <c r="DE256" s="1293"/>
      <c r="DF256" s="1293"/>
      <c r="DG256" s="1293"/>
      <c r="DH256" s="1293"/>
      <c r="DI256" s="1293"/>
      <c r="DJ256" s="1293"/>
      <c r="DK256" s="1293"/>
      <c r="DL256" s="2147"/>
    </row>
    <row r="257" spans="1:116" ht="16.5" hidden="1" outlineLevel="1" thickBot="1">
      <c r="A257" s="1293" t="s">
        <v>5610</v>
      </c>
      <c r="B257" s="1982" t="str">
        <f t="shared" ref="B257:B262" si="296">B83</f>
        <v>Panama wireless</v>
      </c>
      <c r="C257" s="1699"/>
      <c r="D257" s="1699"/>
      <c r="E257" s="1699"/>
      <c r="F257" s="1699"/>
      <c r="G257" s="2039"/>
      <c r="H257" s="1699"/>
      <c r="I257" s="1699"/>
      <c r="J257" s="1699"/>
      <c r="K257" s="1699"/>
      <c r="L257" s="2039"/>
      <c r="M257" s="1699"/>
      <c r="N257" s="1699"/>
      <c r="O257" s="1699"/>
      <c r="P257" s="1699"/>
      <c r="Q257" s="2039"/>
      <c r="R257" s="1699"/>
      <c r="S257" s="1699"/>
      <c r="T257" s="1699"/>
      <c r="U257" s="1699"/>
      <c r="V257" s="2039"/>
      <c r="W257" s="1699"/>
      <c r="X257" s="1699"/>
      <c r="Y257" s="1699"/>
      <c r="Z257" s="1699"/>
      <c r="AA257" s="2039"/>
      <c r="AB257" s="1699">
        <v>1</v>
      </c>
      <c r="AC257" s="1699"/>
      <c r="AD257" s="1699">
        <v>1</v>
      </c>
      <c r="AE257" s="1699"/>
      <c r="AF257" s="1699">
        <v>1</v>
      </c>
      <c r="AG257" s="1699"/>
      <c r="AH257" s="1699">
        <v>1</v>
      </c>
      <c r="AI257" s="1699"/>
      <c r="AJ257" s="2039"/>
      <c r="AK257" s="1995">
        <v>1</v>
      </c>
      <c r="AL257" s="1995">
        <v>1</v>
      </c>
      <c r="AM257" s="1995">
        <v>1</v>
      </c>
      <c r="AN257" s="1995">
        <v>1</v>
      </c>
      <c r="AO257" s="2039"/>
      <c r="AP257" s="1995">
        <v>1</v>
      </c>
      <c r="AQ257" s="1995">
        <v>1</v>
      </c>
      <c r="AR257" s="1995">
        <v>1</v>
      </c>
      <c r="AS257" s="1995">
        <v>1</v>
      </c>
      <c r="AT257" s="2039"/>
      <c r="AU257" s="1995">
        <v>1</v>
      </c>
      <c r="AV257" s="1995">
        <v>1</v>
      </c>
      <c r="AW257" s="1995">
        <v>1</v>
      </c>
      <c r="AX257" s="1995">
        <v>1</v>
      </c>
      <c r="AY257" s="2039">
        <f t="shared" si="288"/>
        <v>1</v>
      </c>
      <c r="AZ257" s="1995">
        <v>1</v>
      </c>
      <c r="BA257" s="1995">
        <v>1</v>
      </c>
      <c r="BB257" s="1995">
        <v>1</v>
      </c>
      <c r="BC257" s="1995">
        <v>1</v>
      </c>
      <c r="BD257" s="2039">
        <f t="shared" si="289"/>
        <v>1</v>
      </c>
      <c r="BE257" s="1995">
        <v>1</v>
      </c>
      <c r="BF257" s="1995">
        <v>1</v>
      </c>
      <c r="BG257" s="1995">
        <v>1</v>
      </c>
      <c r="BH257" s="1995">
        <v>1</v>
      </c>
      <c r="BI257" s="2039">
        <f t="shared" si="291"/>
        <v>1</v>
      </c>
      <c r="BJ257" s="2513">
        <f t="shared" ref="BJ257:BM257" si="297">BK257</f>
        <v>0</v>
      </c>
      <c r="BK257" s="2513">
        <f t="shared" si="297"/>
        <v>0</v>
      </c>
      <c r="BL257" s="2513">
        <f t="shared" si="297"/>
        <v>0</v>
      </c>
      <c r="BM257" s="2513">
        <f t="shared" si="297"/>
        <v>0</v>
      </c>
      <c r="BN257" s="2149"/>
      <c r="BO257" s="2153"/>
      <c r="BP257" s="2153"/>
      <c r="BQ257" s="1293"/>
      <c r="BR257" s="1293"/>
      <c r="BS257" s="1293"/>
      <c r="BT257" s="1293"/>
      <c r="BU257" s="1293"/>
      <c r="BV257" s="1293"/>
      <c r="BW257" s="1293"/>
      <c r="BX257" s="1293"/>
      <c r="BY257" s="1293"/>
      <c r="BZ257" s="1293"/>
      <c r="CA257" s="1293"/>
      <c r="CB257" s="1293"/>
      <c r="CC257" s="1293"/>
      <c r="CD257" s="1293"/>
      <c r="CE257" s="1293"/>
      <c r="CF257" s="1293"/>
      <c r="CG257" s="1293"/>
      <c r="CH257" s="1293"/>
      <c r="CI257" s="1293"/>
      <c r="CJ257" s="1293"/>
      <c r="CK257" s="1293"/>
      <c r="CL257" s="1293"/>
      <c r="CM257" s="1293"/>
      <c r="CN257" s="1293"/>
      <c r="CO257" s="1293"/>
      <c r="CP257" s="1293"/>
      <c r="CQ257" s="1293"/>
      <c r="CR257" s="1293"/>
      <c r="CS257" s="1293"/>
      <c r="CT257" s="1293"/>
      <c r="CU257" s="1293"/>
      <c r="CV257" s="1293"/>
      <c r="CW257" s="1293"/>
      <c r="CX257" s="1293"/>
      <c r="CY257" s="2154">
        <v>1</v>
      </c>
      <c r="CZ257" s="2152"/>
      <c r="DA257" s="2155">
        <v>1</v>
      </c>
      <c r="DB257" s="2150">
        <v>1</v>
      </c>
      <c r="DC257" s="1293"/>
      <c r="DD257" s="1293"/>
      <c r="DE257" s="1293"/>
      <c r="DF257" s="1293"/>
      <c r="DG257" s="1293"/>
      <c r="DH257" s="1293"/>
      <c r="DI257" s="1293"/>
      <c r="DJ257" s="1293"/>
      <c r="DK257" s="1293"/>
      <c r="DL257" s="2147">
        <v>500.96559999999999</v>
      </c>
    </row>
    <row r="258" spans="1:116" ht="16.5" hidden="1" outlineLevel="1" thickBot="1">
      <c r="A258" s="1293" t="s">
        <v>5612</v>
      </c>
      <c r="B258" s="1982" t="str">
        <f t="shared" si="296"/>
        <v>Costa Rica wireless</v>
      </c>
      <c r="C258" s="1699"/>
      <c r="D258" s="1699"/>
      <c r="E258" s="1699"/>
      <c r="F258" s="1699"/>
      <c r="G258" s="2039"/>
      <c r="H258" s="1699"/>
      <c r="I258" s="1699"/>
      <c r="J258" s="1699"/>
      <c r="K258" s="1699"/>
      <c r="L258" s="2039"/>
      <c r="M258" s="1699"/>
      <c r="N258" s="1699"/>
      <c r="O258" s="1699"/>
      <c r="P258" s="1699"/>
      <c r="Q258" s="2039"/>
      <c r="R258" s="1699"/>
      <c r="S258" s="1699"/>
      <c r="T258" s="1699"/>
      <c r="U258" s="1699"/>
      <c r="V258" s="2039"/>
      <c r="W258" s="1699"/>
      <c r="X258" s="1699"/>
      <c r="Y258" s="1699"/>
      <c r="Z258" s="1699"/>
      <c r="AA258" s="2039"/>
      <c r="AB258" s="1699"/>
      <c r="AC258" s="1699"/>
      <c r="AD258" s="1699"/>
      <c r="AE258" s="1699"/>
      <c r="AF258" s="1699"/>
      <c r="AG258" s="1699"/>
      <c r="AH258" s="1699"/>
      <c r="AI258" s="1699"/>
      <c r="AJ258" s="2039"/>
      <c r="AK258" s="1699">
        <f>AK255</f>
        <v>577.38749999999993</v>
      </c>
      <c r="AL258" s="1995">
        <v>578</v>
      </c>
      <c r="AM258" s="1699">
        <f>AM255</f>
        <v>598</v>
      </c>
      <c r="AN258" s="1699">
        <f>AN255</f>
        <v>606</v>
      </c>
      <c r="AO258" s="2039"/>
      <c r="AP258" s="1699"/>
      <c r="AQ258" s="1699"/>
      <c r="AR258" s="1699"/>
      <c r="AS258" s="1699"/>
      <c r="AT258" s="2039"/>
      <c r="AU258" s="2153"/>
      <c r="AV258" s="2153"/>
      <c r="AW258" s="2153"/>
      <c r="AX258" s="2153"/>
      <c r="AY258" s="2039" t="e">
        <f t="shared" si="288"/>
        <v>#DIV/0!</v>
      </c>
      <c r="AZ258" s="2153"/>
      <c r="BA258" s="2153"/>
      <c r="BB258" s="2153"/>
      <c r="BC258" s="2153"/>
      <c r="BD258" s="2039" t="e">
        <f t="shared" si="289"/>
        <v>#DIV/0!</v>
      </c>
      <c r="BE258" s="2151"/>
      <c r="BF258" s="2153"/>
      <c r="BG258" s="2153"/>
      <c r="BH258" s="2153"/>
      <c r="BI258" s="2039" t="e">
        <f t="shared" si="291"/>
        <v>#DIV/0!</v>
      </c>
      <c r="BJ258" s="2513">
        <f t="shared" ref="BJ258:BM258" si="298">BK258</f>
        <v>0</v>
      </c>
      <c r="BK258" s="2513">
        <f t="shared" si="298"/>
        <v>0</v>
      </c>
      <c r="BL258" s="2513">
        <f t="shared" si="298"/>
        <v>0</v>
      </c>
      <c r="BM258" s="2513">
        <f t="shared" si="298"/>
        <v>0</v>
      </c>
      <c r="BN258" s="2149"/>
      <c r="BO258" s="2153"/>
      <c r="BP258" s="2153"/>
      <c r="BQ258" s="1293"/>
      <c r="BR258" s="1293"/>
      <c r="BS258" s="1293"/>
      <c r="BT258" s="1293"/>
      <c r="BU258" s="1293"/>
      <c r="BV258" s="1293"/>
      <c r="BW258" s="1293"/>
      <c r="BX258" s="1293"/>
      <c r="BY258" s="1293"/>
      <c r="BZ258" s="1293"/>
      <c r="CA258" s="1293"/>
      <c r="CB258" s="1293"/>
      <c r="CC258" s="1293"/>
      <c r="CD258" s="1293"/>
      <c r="CE258" s="1293"/>
      <c r="CF258" s="1293"/>
      <c r="CG258" s="1293"/>
      <c r="CH258" s="1293"/>
      <c r="CI258" s="1293"/>
      <c r="CJ258" s="1293"/>
      <c r="CK258" s="1293"/>
      <c r="CL258" s="1293"/>
      <c r="CM258" s="1293"/>
      <c r="CN258" s="1293"/>
      <c r="CO258" s="1293"/>
      <c r="CP258" s="1293"/>
      <c r="CQ258" s="1293"/>
      <c r="CR258" s="1293"/>
      <c r="CS258" s="1293"/>
      <c r="CT258" s="1293"/>
      <c r="CU258" s="1293"/>
      <c r="CV258" s="1293"/>
      <c r="CW258" s="1293"/>
      <c r="CX258" s="1293"/>
      <c r="CY258" s="2154"/>
      <c r="CZ258" s="2152"/>
      <c r="DA258" s="2156"/>
      <c r="DB258" s="2154"/>
      <c r="DC258" s="1293"/>
      <c r="DD258" s="1293"/>
      <c r="DE258" s="1293"/>
      <c r="DF258" s="1293"/>
      <c r="DG258" s="1293"/>
      <c r="DH258" s="1293"/>
      <c r="DI258" s="1293"/>
      <c r="DJ258" s="1293"/>
      <c r="DK258" s="1293"/>
      <c r="DL258" s="2147">
        <v>501.22329999999999</v>
      </c>
    </row>
    <row r="259" spans="1:116" ht="16.5" hidden="1" outlineLevel="1" thickBot="1">
      <c r="A259" s="1293" t="s">
        <v>5613</v>
      </c>
      <c r="B259" s="1982" t="str">
        <f t="shared" si="296"/>
        <v>Nicaragua wireless</v>
      </c>
      <c r="C259" s="1699"/>
      <c r="D259" s="1699"/>
      <c r="E259" s="1699"/>
      <c r="F259" s="1699"/>
      <c r="G259" s="2039"/>
      <c r="H259" s="1699"/>
      <c r="I259" s="1699"/>
      <c r="J259" s="1699"/>
      <c r="K259" s="1699"/>
      <c r="L259" s="2039"/>
      <c r="M259" s="1699"/>
      <c r="N259" s="1699"/>
      <c r="O259" s="1699"/>
      <c r="P259" s="1699"/>
      <c r="Q259" s="2039"/>
      <c r="R259" s="1699"/>
      <c r="S259" s="1699"/>
      <c r="T259" s="1699"/>
      <c r="U259" s="1699"/>
      <c r="V259" s="2039"/>
      <c r="W259" s="1699"/>
      <c r="X259" s="1699"/>
      <c r="Y259" s="1699"/>
      <c r="Z259" s="1699"/>
      <c r="AA259" s="2039"/>
      <c r="AB259" s="1699">
        <v>1</v>
      </c>
      <c r="AC259" s="1699">
        <v>1</v>
      </c>
      <c r="AD259" s="1699">
        <v>1</v>
      </c>
      <c r="AE259" s="1699">
        <v>1</v>
      </c>
      <c r="AF259" s="1699">
        <v>1</v>
      </c>
      <c r="AG259" s="1699">
        <v>1</v>
      </c>
      <c r="AH259" s="1699">
        <v>1</v>
      </c>
      <c r="AI259" s="1699"/>
      <c r="AJ259" s="2039"/>
      <c r="AK259" s="1995">
        <v>1</v>
      </c>
      <c r="AL259" s="1995">
        <v>1</v>
      </c>
      <c r="AM259" s="1995">
        <v>1</v>
      </c>
      <c r="AN259" s="1995">
        <v>1</v>
      </c>
      <c r="AO259" s="2039"/>
      <c r="AP259" s="1995">
        <v>1</v>
      </c>
      <c r="AQ259" s="1995">
        <v>1</v>
      </c>
      <c r="AR259" s="1995">
        <v>1</v>
      </c>
      <c r="AS259" s="1995">
        <v>1</v>
      </c>
      <c r="AT259" s="2039"/>
      <c r="AU259" s="1995">
        <v>1</v>
      </c>
      <c r="AV259" s="1995">
        <v>1</v>
      </c>
      <c r="AW259" s="1995">
        <v>1</v>
      </c>
      <c r="AX259" s="1995">
        <v>1</v>
      </c>
      <c r="AY259" s="2039">
        <f t="shared" si="288"/>
        <v>1</v>
      </c>
      <c r="AZ259" s="1995">
        <v>1</v>
      </c>
      <c r="BA259" s="1995">
        <v>1</v>
      </c>
      <c r="BB259" s="1995">
        <v>1</v>
      </c>
      <c r="BC259" s="1995">
        <v>1</v>
      </c>
      <c r="BD259" s="2039">
        <f t="shared" si="289"/>
        <v>1</v>
      </c>
      <c r="BE259" s="1995">
        <v>1</v>
      </c>
      <c r="BF259" s="1995">
        <v>1</v>
      </c>
      <c r="BG259" s="1995">
        <v>1</v>
      </c>
      <c r="BH259" s="1995">
        <v>1</v>
      </c>
      <c r="BI259" s="2039">
        <f t="shared" si="291"/>
        <v>1</v>
      </c>
      <c r="BJ259" s="2513">
        <f t="shared" ref="BJ259:BM259" si="299">BK259</f>
        <v>0</v>
      </c>
      <c r="BK259" s="2513">
        <f t="shared" si="299"/>
        <v>0</v>
      </c>
      <c r="BL259" s="2513">
        <f t="shared" si="299"/>
        <v>0</v>
      </c>
      <c r="BM259" s="2513">
        <f t="shared" si="299"/>
        <v>0</v>
      </c>
      <c r="BN259" s="2149"/>
      <c r="BO259" s="2153"/>
      <c r="BP259" s="2153"/>
      <c r="BQ259" s="1293"/>
      <c r="BR259" s="1293"/>
      <c r="BS259" s="1293"/>
      <c r="BT259" s="1293"/>
      <c r="BU259" s="1293"/>
      <c r="BV259" s="1293"/>
      <c r="BW259" s="1293"/>
      <c r="BX259" s="1293"/>
      <c r="BY259" s="1293"/>
      <c r="BZ259" s="1293"/>
      <c r="CA259" s="1293"/>
      <c r="CB259" s="1293"/>
      <c r="CC259" s="1293"/>
      <c r="CD259" s="1293"/>
      <c r="CE259" s="1293"/>
      <c r="CF259" s="1293"/>
      <c r="CG259" s="1293"/>
      <c r="CH259" s="1293"/>
      <c r="CI259" s="1293"/>
      <c r="CJ259" s="1293"/>
      <c r="CK259" s="1293"/>
      <c r="CL259" s="1293"/>
      <c r="CM259" s="1293"/>
      <c r="CN259" s="1293"/>
      <c r="CO259" s="1293"/>
      <c r="CP259" s="1293"/>
      <c r="CQ259" s="1293"/>
      <c r="CR259" s="1293"/>
      <c r="CS259" s="1293"/>
      <c r="CT259" s="1293"/>
      <c r="CU259" s="1293"/>
      <c r="CV259" s="1293"/>
      <c r="CW259" s="1293"/>
      <c r="CX259" s="1293"/>
      <c r="CY259" s="2154">
        <v>1</v>
      </c>
      <c r="CZ259" s="2152"/>
      <c r="DA259" s="2155">
        <v>1</v>
      </c>
      <c r="DB259" s="2150">
        <v>1</v>
      </c>
      <c r="DC259" s="1293"/>
      <c r="DD259" s="1293"/>
      <c r="DE259" s="1293"/>
      <c r="DF259" s="1293"/>
      <c r="DG259" s="1293"/>
      <c r="DH259" s="1293"/>
      <c r="DI259" s="1293"/>
      <c r="DJ259" s="1293"/>
      <c r="DK259" s="1293"/>
      <c r="DL259" s="2147">
        <v>501.66570000000002</v>
      </c>
    </row>
    <row r="260" spans="1:116" ht="16.5" collapsed="1" thickBot="1">
      <c r="A260" s="1293"/>
      <c r="B260" s="1293" t="str">
        <f t="shared" si="296"/>
        <v>Bolivia</v>
      </c>
      <c r="C260" s="1699">
        <v>6.91</v>
      </c>
      <c r="D260" s="1699">
        <v>6.91</v>
      </c>
      <c r="E260" s="1699">
        <v>6.91</v>
      </c>
      <c r="F260" s="1699">
        <v>6.91</v>
      </c>
      <c r="G260" s="2039">
        <v>6.9099999999999975</v>
      </c>
      <c r="H260" s="1699">
        <v>6.91</v>
      </c>
      <c r="I260" s="1699">
        <v>6.91</v>
      </c>
      <c r="J260" s="1699">
        <v>6.91</v>
      </c>
      <c r="K260" s="1699">
        <v>6.91</v>
      </c>
      <c r="L260" s="2039">
        <v>6.91</v>
      </c>
      <c r="M260" s="1699">
        <v>6.91</v>
      </c>
      <c r="N260" s="1699">
        <v>6.91</v>
      </c>
      <c r="O260" s="1699">
        <v>6.91</v>
      </c>
      <c r="P260" s="1699">
        <v>6.91</v>
      </c>
      <c r="Q260" s="2039">
        <v>6.91</v>
      </c>
      <c r="R260" s="1699">
        <v>6.91</v>
      </c>
      <c r="S260" s="1699">
        <v>6.91</v>
      </c>
      <c r="T260" s="1699">
        <f>S260</f>
        <v>6.91</v>
      </c>
      <c r="U260" s="1699">
        <f>S260</f>
        <v>6.91</v>
      </c>
      <c r="V260" s="2039">
        <f>'New split'!G129</f>
        <v>6.91</v>
      </c>
      <c r="W260" s="1699">
        <v>6.913687692307696</v>
      </c>
      <c r="X260" s="1699">
        <v>6.9100000000000072</v>
      </c>
      <c r="Y260" s="1699">
        <v>6.910000000000009</v>
      </c>
      <c r="Z260" s="1699">
        <v>6.91</v>
      </c>
      <c r="AA260" s="2039">
        <f>'New split'!H129</f>
        <v>6.9</v>
      </c>
      <c r="AB260" s="1699">
        <v>6.89</v>
      </c>
      <c r="AC260" s="1699">
        <v>6.89</v>
      </c>
      <c r="AD260" s="1699">
        <v>6.91</v>
      </c>
      <c r="AE260" s="1699">
        <v>6.91</v>
      </c>
      <c r="AF260" s="1699">
        <v>6.91</v>
      </c>
      <c r="AG260" s="1699">
        <v>6.91</v>
      </c>
      <c r="AH260" s="1699">
        <v>6.91</v>
      </c>
      <c r="AI260" s="1699">
        <v>6.91</v>
      </c>
      <c r="AJ260" s="2039">
        <f>'New split'!I129</f>
        <v>6.91</v>
      </c>
      <c r="AK260" s="1995">
        <v>6.8990523076923047</v>
      </c>
      <c r="AL260" s="1995">
        <v>6.9119000000000002</v>
      </c>
      <c r="AM260" s="1995">
        <v>6.9119000000000002</v>
      </c>
      <c r="AN260" s="1995">
        <v>6.9119000000000002</v>
      </c>
      <c r="AO260" s="2039">
        <f>'New split'!J129</f>
        <v>6.91</v>
      </c>
      <c r="AP260" s="1995">
        <v>6.9077281250000011</v>
      </c>
      <c r="AQ260" s="1995">
        <v>6.8981569230769244</v>
      </c>
      <c r="AR260" s="1995">
        <v>6.8949499999999952</v>
      </c>
      <c r="AS260" s="1995">
        <v>6.8666</v>
      </c>
      <c r="AT260" s="2039">
        <f>'New split'!K129</f>
        <v>6.8995307317161991</v>
      </c>
      <c r="AU260" s="2151">
        <v>6.8773999999999971</v>
      </c>
      <c r="AV260" s="2151">
        <v>6.8733138461538497</v>
      </c>
      <c r="AW260" s="2151">
        <v>6.88</v>
      </c>
      <c r="AX260" s="2151">
        <v>6.8838999999999997</v>
      </c>
      <c r="AY260" s="2039">
        <f t="shared" si="288"/>
        <v>6.8786534615384616</v>
      </c>
      <c r="AZ260" s="2151">
        <v>6.8838999999999997</v>
      </c>
      <c r="BA260" s="2151">
        <v>6.8822097115384615</v>
      </c>
      <c r="BB260" s="2151">
        <v>6.91</v>
      </c>
      <c r="BC260" s="2151">
        <v>6.91</v>
      </c>
      <c r="BD260" s="2039">
        <f t="shared" si="289"/>
        <v>6.8965274278846156</v>
      </c>
      <c r="BE260" s="2151">
        <v>6.91</v>
      </c>
      <c r="BF260" s="2151">
        <v>6.91</v>
      </c>
      <c r="BG260" s="2151">
        <v>6.91</v>
      </c>
      <c r="BH260" s="2151">
        <v>6.91</v>
      </c>
      <c r="BI260" s="2039">
        <f t="shared" si="291"/>
        <v>6.91</v>
      </c>
      <c r="BJ260" s="2513">
        <f t="shared" ref="BJ260:BM260" si="300">BK260</f>
        <v>17.5</v>
      </c>
      <c r="BK260" s="2513">
        <f t="shared" si="300"/>
        <v>17.5</v>
      </c>
      <c r="BL260" s="2513">
        <f t="shared" si="300"/>
        <v>17.5</v>
      </c>
      <c r="BM260" s="2513">
        <f t="shared" si="300"/>
        <v>17.5</v>
      </c>
      <c r="BN260" s="2149">
        <f>'New split'!O129</f>
        <v>17.5</v>
      </c>
      <c r="BO260" s="2153"/>
      <c r="BP260" s="2153"/>
      <c r="BQ260" s="1293"/>
      <c r="BR260" s="1293"/>
      <c r="BS260" s="1293"/>
      <c r="BT260" s="1293"/>
      <c r="BU260" s="1293"/>
      <c r="BV260" s="1293"/>
      <c r="BW260" s="1293"/>
      <c r="BX260" s="1293"/>
      <c r="BY260" s="1293"/>
      <c r="BZ260" s="1293"/>
      <c r="CA260" s="1293"/>
      <c r="CB260" s="1293"/>
      <c r="CC260" s="1293"/>
      <c r="CD260" s="1293"/>
      <c r="CE260" s="1293"/>
      <c r="CF260" s="1293"/>
      <c r="CG260" s="1293"/>
      <c r="CH260" s="1293"/>
      <c r="CI260" s="1293"/>
      <c r="CJ260" s="1293"/>
      <c r="CK260" s="1293"/>
      <c r="CL260" s="1293"/>
      <c r="CM260" s="1293"/>
      <c r="CN260" s="1293"/>
      <c r="CO260" s="1293"/>
      <c r="CP260" s="1293"/>
      <c r="CQ260" s="1293"/>
      <c r="CR260" s="1293"/>
      <c r="CS260" s="1293"/>
      <c r="CT260" s="1293"/>
      <c r="CU260" s="1293"/>
      <c r="CV260" s="1293"/>
      <c r="CW260" s="1293"/>
      <c r="CX260" s="1293"/>
      <c r="CY260" s="2150">
        <v>6.9</v>
      </c>
      <c r="CZ260" s="2152">
        <v>6.8822097115384615</v>
      </c>
      <c r="DA260" s="2098">
        <v>6.91</v>
      </c>
      <c r="DB260" s="2150">
        <v>6.73</v>
      </c>
      <c r="DC260" s="1293"/>
      <c r="DD260" s="1293"/>
      <c r="DE260" s="1293"/>
      <c r="DF260" s="1293"/>
      <c r="DG260" s="1293"/>
      <c r="DH260" s="1293"/>
      <c r="DI260" s="1293"/>
      <c r="DJ260" s="1293"/>
      <c r="DK260" s="1293"/>
      <c r="DL260" s="2147">
        <v>502.70890000000003</v>
      </c>
    </row>
    <row r="261" spans="1:116" ht="16.5" thickBot="1">
      <c r="A261" s="1293"/>
      <c r="B261" s="1293" t="str">
        <f t="shared" si="296"/>
        <v>Colombia</v>
      </c>
      <c r="C261" s="1699">
        <v>1988.8274999999999</v>
      </c>
      <c r="D261" s="1699">
        <v>1920.5725000000002</v>
      </c>
      <c r="E261" s="1699">
        <v>1925.1799999999998</v>
      </c>
      <c r="F261" s="1699">
        <v>2155.7266666666665</v>
      </c>
      <c r="G261" s="2039">
        <v>2010.8446153846151</v>
      </c>
      <c r="H261" s="1699">
        <v>2476.6499999999996</v>
      </c>
      <c r="I261" s="1699">
        <v>2520.7525000000001</v>
      </c>
      <c r="J261" s="1699">
        <v>2918.5475000000001</v>
      </c>
      <c r="K261" s="1699">
        <v>3067.585</v>
      </c>
      <c r="L261" s="2039">
        <v>2746.9274999999998</v>
      </c>
      <c r="M261" s="1699">
        <v>3191.2824999999998</v>
      </c>
      <c r="N261" s="1699">
        <v>2993</v>
      </c>
      <c r="O261" s="1699">
        <v>2952.9175</v>
      </c>
      <c r="P261" s="1699">
        <v>3003.25</v>
      </c>
      <c r="Q261" s="2039">
        <v>3048.51</v>
      </c>
      <c r="R261" s="1699">
        <v>2928.47</v>
      </c>
      <c r="S261" s="1699">
        <v>2947</v>
      </c>
      <c r="T261" s="1699">
        <v>2977</v>
      </c>
      <c r="U261" s="1699">
        <v>2985</v>
      </c>
      <c r="V261" s="2039">
        <f>'New split'!G130</f>
        <v>2959.3</v>
      </c>
      <c r="W261" s="1699">
        <v>2856.4978461538444</v>
      </c>
      <c r="X261" s="1699">
        <v>2841.0712307692306</v>
      </c>
      <c r="Y261" s="1699">
        <v>2959.2423076923083</v>
      </c>
      <c r="Z261" s="1699">
        <v>3166</v>
      </c>
      <c r="AA261" s="2039">
        <f>'New split'!H130</f>
        <v>2919</v>
      </c>
      <c r="AB261" s="1698">
        <v>3165.0025000000001</v>
      </c>
      <c r="AC261" s="1698">
        <v>3136</v>
      </c>
      <c r="AD261" s="1698">
        <v>3247</v>
      </c>
      <c r="AE261" s="1698">
        <v>3241</v>
      </c>
      <c r="AF261" s="1698">
        <v>3347.9550000000004</v>
      </c>
      <c r="AG261" s="1698">
        <v>3329</v>
      </c>
      <c r="AH261" s="1698">
        <v>3412.8924999999999</v>
      </c>
      <c r="AI261" s="1698">
        <v>3404</v>
      </c>
      <c r="AJ261" s="2157">
        <f>'New split'!I130</f>
        <v>3270</v>
      </c>
      <c r="AK261" s="1996">
        <v>3573.3150000000001</v>
      </c>
      <c r="AL261" s="1996">
        <v>3881.4575</v>
      </c>
      <c r="AM261" s="1996">
        <v>3679</v>
      </c>
      <c r="AN261" s="1996">
        <v>3685</v>
      </c>
      <c r="AO261" s="2157">
        <f>'New split'!J130</f>
        <v>3749</v>
      </c>
      <c r="AP261" s="1996">
        <v>3580</v>
      </c>
      <c r="AQ261" s="1996">
        <v>3703</v>
      </c>
      <c r="AR261" s="1996">
        <v>3797</v>
      </c>
      <c r="AS261" s="1996">
        <v>3882</v>
      </c>
      <c r="AT261" s="2157">
        <f>'New split'!K130</f>
        <v>3746.3086314102566</v>
      </c>
      <c r="AU261" s="1996">
        <v>3934</v>
      </c>
      <c r="AV261" s="1996">
        <v>3912.9335384615388</v>
      </c>
      <c r="AW261" s="1996">
        <v>4373</v>
      </c>
      <c r="AX261" s="1996">
        <v>4809</v>
      </c>
      <c r="AY261" s="2039">
        <f t="shared" si="288"/>
        <v>4257.2333846153851</v>
      </c>
      <c r="AZ261" s="1996">
        <v>4752</v>
      </c>
      <c r="BA261" s="1996">
        <v>4485</v>
      </c>
      <c r="BB261" s="1996">
        <v>4063</v>
      </c>
      <c r="BC261" s="1996">
        <v>3979.328</v>
      </c>
      <c r="BD261" s="2039">
        <f t="shared" si="289"/>
        <v>4319.8320000000003</v>
      </c>
      <c r="BE261" s="1996">
        <v>3880.8775000000001</v>
      </c>
      <c r="BF261" s="1996">
        <v>3934.5250000000001</v>
      </c>
      <c r="BG261" s="1996">
        <v>4140.3999999999996</v>
      </c>
      <c r="BH261" s="1996">
        <v>4352</v>
      </c>
      <c r="BI261" s="2039">
        <f t="shared" si="291"/>
        <v>4076.9506249999999</v>
      </c>
      <c r="BJ261" s="2513">
        <f t="shared" ref="BJ261:BM261" si="301">BK261</f>
        <v>4150</v>
      </c>
      <c r="BK261" s="2513">
        <f t="shared" si="301"/>
        <v>4150</v>
      </c>
      <c r="BL261" s="2513">
        <f t="shared" si="301"/>
        <v>4150</v>
      </c>
      <c r="BM261" s="2513">
        <f t="shared" si="301"/>
        <v>4150</v>
      </c>
      <c r="BN261" s="2157">
        <f>'New split'!O130</f>
        <v>4150</v>
      </c>
      <c r="BO261" s="2153"/>
      <c r="BP261" s="2153"/>
      <c r="BQ261" s="2153"/>
      <c r="BR261" s="1293"/>
      <c r="BS261" s="1293"/>
      <c r="BT261" s="1293"/>
      <c r="BU261" s="1293"/>
      <c r="BV261" s="1293"/>
      <c r="BW261" s="1293"/>
      <c r="BX261" s="1293"/>
      <c r="BY261" s="1293"/>
      <c r="BZ261" s="1293"/>
      <c r="CA261" s="1293"/>
      <c r="CB261" s="1293"/>
      <c r="CC261" s="1293"/>
      <c r="CD261" s="1293"/>
      <c r="CE261" s="1293"/>
      <c r="CF261" s="1293"/>
      <c r="CG261" s="1293"/>
      <c r="CH261" s="1293"/>
      <c r="CI261" s="1293"/>
      <c r="CJ261" s="1293"/>
      <c r="CK261" s="1293"/>
      <c r="CL261" s="1293"/>
      <c r="CM261" s="1293"/>
      <c r="CN261" s="1293"/>
      <c r="CO261" s="1293"/>
      <c r="CP261" s="1293"/>
      <c r="CQ261" s="1293"/>
      <c r="CR261" s="1293"/>
      <c r="CS261" s="1293"/>
      <c r="CT261" s="1293"/>
      <c r="CU261" s="1293"/>
      <c r="CV261" s="1293"/>
      <c r="CW261" s="1293"/>
      <c r="CX261" s="1293"/>
      <c r="CY261" s="2158">
        <v>4066</v>
      </c>
      <c r="CZ261" s="2152">
        <v>4020</v>
      </c>
      <c r="DA261" s="2098">
        <v>3912.7</v>
      </c>
      <c r="DB261" s="2158">
        <v>4075</v>
      </c>
      <c r="DC261" s="1293"/>
      <c r="DD261" s="1293"/>
      <c r="DE261" s="1293"/>
      <c r="DF261" s="1293"/>
      <c r="DG261" s="1293"/>
      <c r="DH261" s="1293"/>
      <c r="DI261" s="1293"/>
      <c r="DJ261" s="1293"/>
      <c r="DK261" s="1293"/>
      <c r="DL261" s="2147">
        <v>509.36779999999999</v>
      </c>
    </row>
    <row r="262" spans="1:116" ht="16.5" thickBot="1">
      <c r="A262" s="1293"/>
      <c r="B262" s="1293" t="str">
        <f t="shared" si="296"/>
        <v>Paraguay</v>
      </c>
      <c r="C262" s="1699">
        <v>4535.5</v>
      </c>
      <c r="D262" s="1699">
        <v>4419</v>
      </c>
      <c r="E262" s="1699">
        <v>4356.75</v>
      </c>
      <c r="F262" s="1699">
        <v>4601.5</v>
      </c>
      <c r="G262" s="2039">
        <v>4484.2307692307695</v>
      </c>
      <c r="H262" s="1699">
        <v>4742</v>
      </c>
      <c r="I262" s="1699">
        <v>5029.09</v>
      </c>
      <c r="J262" s="1699">
        <v>5342.5499999999993</v>
      </c>
      <c r="K262" s="1699">
        <v>5689.5599999999995</v>
      </c>
      <c r="L262" s="2039">
        <v>5200.7562500000004</v>
      </c>
      <c r="M262" s="1699">
        <v>5772.6750000000002</v>
      </c>
      <c r="N262" s="1699">
        <v>5649</v>
      </c>
      <c r="O262" s="1699">
        <v>5553.9349999999995</v>
      </c>
      <c r="P262" s="1699">
        <v>5721.42</v>
      </c>
      <c r="Q262" s="2039">
        <v>5685.89</v>
      </c>
      <c r="R262" s="1699">
        <v>5661.74</v>
      </c>
      <c r="S262" s="1699">
        <v>5592</v>
      </c>
      <c r="T262" s="1699">
        <v>5607</v>
      </c>
      <c r="U262" s="1699">
        <v>5642</v>
      </c>
      <c r="V262" s="2039">
        <f>'New split'!G131</f>
        <v>5624.55</v>
      </c>
      <c r="W262" s="1699">
        <v>5578.6246153846141</v>
      </c>
      <c r="X262" s="1699">
        <v>5619.5815384615371</v>
      </c>
      <c r="Y262" s="1699">
        <v>5782.2723076923103</v>
      </c>
      <c r="Z262" s="1699">
        <v>5946</v>
      </c>
      <c r="AA262" s="2039">
        <f>'New split'!H131</f>
        <v>5709</v>
      </c>
      <c r="AB262" s="1698">
        <v>6071</v>
      </c>
      <c r="AC262" s="1698">
        <v>6071</v>
      </c>
      <c r="AD262" s="1698">
        <v>6233</v>
      </c>
      <c r="AE262" s="1698">
        <v>6262</v>
      </c>
      <c r="AF262" s="1698">
        <v>6205.25</v>
      </c>
      <c r="AG262" s="1698">
        <v>6140</v>
      </c>
      <c r="AH262" s="1698">
        <v>6433.5</v>
      </c>
      <c r="AI262" s="1698">
        <v>6451</v>
      </c>
      <c r="AJ262" s="2157">
        <f>'New split'!I131</f>
        <v>6203</v>
      </c>
      <c r="AK262" s="1996">
        <v>6514.25</v>
      </c>
      <c r="AL262" s="1996">
        <v>6629.5</v>
      </c>
      <c r="AM262" s="1996">
        <v>6974</v>
      </c>
      <c r="AN262" s="1996">
        <v>7024</v>
      </c>
      <c r="AO262" s="2157">
        <f>'New split'!J131</f>
        <v>6770</v>
      </c>
      <c r="AP262" s="1996">
        <v>6698</v>
      </c>
      <c r="AQ262" s="1996">
        <v>6601</v>
      </c>
      <c r="AR262" s="1996">
        <v>6873</v>
      </c>
      <c r="AS262" s="1996">
        <v>6864</v>
      </c>
      <c r="AT262" s="2157">
        <f>'New split'!K131</f>
        <v>6774.5892795745922</v>
      </c>
      <c r="AU262" s="1996">
        <v>6974.2492307692328</v>
      </c>
      <c r="AV262" s="1996">
        <v>6859.5615384615339</v>
      </c>
      <c r="AW262" s="1996">
        <v>6926</v>
      </c>
      <c r="AX262" s="1996">
        <v>7195</v>
      </c>
      <c r="AY262" s="2039">
        <f t="shared" si="288"/>
        <v>6988.7026923076919</v>
      </c>
      <c r="AZ262" s="1996">
        <v>7195</v>
      </c>
      <c r="BA262" s="1996">
        <v>7236</v>
      </c>
      <c r="BB262" s="1996">
        <v>7283</v>
      </c>
      <c r="BC262" s="1996">
        <v>7366.558</v>
      </c>
      <c r="BD262" s="2039">
        <f t="shared" si="289"/>
        <v>7270.1395000000002</v>
      </c>
      <c r="BE262" s="1996">
        <v>7315.6724999999997</v>
      </c>
      <c r="BF262" s="1996">
        <v>7491.9049999999997</v>
      </c>
      <c r="BG262" s="1996">
        <v>7651.43</v>
      </c>
      <c r="BH262" s="1996">
        <v>7826</v>
      </c>
      <c r="BI262" s="2039">
        <f t="shared" si="291"/>
        <v>7571.2518749999999</v>
      </c>
      <c r="BJ262" s="2513">
        <f t="shared" ref="BJ262:BM262" si="302">BK262</f>
        <v>7900</v>
      </c>
      <c r="BK262" s="2513">
        <f t="shared" si="302"/>
        <v>7900</v>
      </c>
      <c r="BL262" s="2513">
        <f t="shared" si="302"/>
        <v>7900</v>
      </c>
      <c r="BM262" s="2513">
        <f t="shared" si="302"/>
        <v>7900</v>
      </c>
      <c r="BN262" s="2157">
        <f>'New split'!O131</f>
        <v>7900</v>
      </c>
      <c r="BO262" s="2153"/>
      <c r="BP262" s="2153"/>
      <c r="BQ262" s="2153"/>
      <c r="BR262" s="1293"/>
      <c r="BS262" s="1293"/>
      <c r="BT262" s="1293"/>
      <c r="BU262" s="1293"/>
      <c r="BV262" s="1293"/>
      <c r="BW262" s="1293"/>
      <c r="BX262" s="1293"/>
      <c r="BY262" s="1293"/>
      <c r="BZ262" s="1293"/>
      <c r="CA262" s="1293"/>
      <c r="CB262" s="1293"/>
      <c r="CC262" s="1293"/>
      <c r="CD262" s="1293"/>
      <c r="CE262" s="1293"/>
      <c r="CF262" s="1293"/>
      <c r="CG262" s="1293"/>
      <c r="CH262" s="1293"/>
      <c r="CI262" s="1293"/>
      <c r="CJ262" s="1293"/>
      <c r="CK262" s="1293"/>
      <c r="CL262" s="1293"/>
      <c r="CM262" s="1293"/>
      <c r="CN262" s="1293"/>
      <c r="CO262" s="1293"/>
      <c r="CP262" s="1293"/>
      <c r="CQ262" s="1293"/>
      <c r="CR262" s="1293"/>
      <c r="CS262" s="1293"/>
      <c r="CT262" s="1293"/>
      <c r="CU262" s="1293"/>
      <c r="CV262" s="1293"/>
      <c r="CW262" s="1293"/>
      <c r="CX262" s="1293"/>
      <c r="CY262" s="2158">
        <v>7389</v>
      </c>
      <c r="CZ262" s="2152">
        <v>7260</v>
      </c>
      <c r="DA262" s="2098">
        <v>7302</v>
      </c>
      <c r="DB262" s="2158">
        <v>7485</v>
      </c>
      <c r="DC262" s="1293"/>
      <c r="DD262" s="1293"/>
      <c r="DE262" s="1293"/>
      <c r="DF262" s="1293"/>
      <c r="DG262" s="1293"/>
      <c r="DH262" s="1293"/>
      <c r="DI262" s="1293"/>
      <c r="DJ262" s="1293"/>
      <c r="DK262" s="1293"/>
      <c r="DL262" s="2147">
        <v>509.36779999999999</v>
      </c>
    </row>
    <row r="263" spans="1:116" ht="16.5" hidden="1" outlineLevel="1" thickBot="1">
      <c r="A263" s="1293"/>
      <c r="B263" s="1293"/>
      <c r="C263" s="1699"/>
      <c r="D263" s="1699"/>
      <c r="E263" s="1699"/>
      <c r="F263" s="1699"/>
      <c r="G263" s="2039"/>
      <c r="H263" s="1699"/>
      <c r="I263" s="1699"/>
      <c r="J263" s="1699"/>
      <c r="K263" s="1699"/>
      <c r="L263" s="2039"/>
      <c r="M263" s="1699"/>
      <c r="N263" s="1699"/>
      <c r="O263" s="1699"/>
      <c r="P263" s="1724"/>
      <c r="Q263" s="2039"/>
      <c r="R263" s="1724"/>
      <c r="S263" s="1724"/>
      <c r="T263" s="1699"/>
      <c r="U263" s="1699"/>
      <c r="V263" s="2039"/>
      <c r="W263" s="1724"/>
      <c r="X263" s="1724"/>
      <c r="Y263" s="1724"/>
      <c r="Z263" s="1699"/>
      <c r="AA263" s="2039"/>
      <c r="AB263" s="1724"/>
      <c r="AC263" s="1724"/>
      <c r="AD263" s="1724"/>
      <c r="AE263" s="1724"/>
      <c r="AF263" s="1724"/>
      <c r="AG263" s="1724"/>
      <c r="AH263" s="1724"/>
      <c r="AI263" s="1724"/>
      <c r="AJ263" s="2039"/>
      <c r="AK263" s="1724"/>
      <c r="AL263" s="1699"/>
      <c r="AM263" s="1699"/>
      <c r="AN263" s="1699"/>
      <c r="AO263" s="2039"/>
      <c r="AP263" s="1699"/>
      <c r="AQ263" s="1724"/>
      <c r="AR263" s="1724"/>
      <c r="AS263" s="1724"/>
      <c r="AT263" s="2039"/>
      <c r="AU263" s="1724"/>
      <c r="AV263" s="1724"/>
      <c r="AW263" s="1724"/>
      <c r="AX263" s="1724"/>
      <c r="AY263" s="2039"/>
      <c r="AZ263" s="1724"/>
      <c r="BA263" s="1724"/>
      <c r="BB263" s="1724"/>
      <c r="BC263" s="2053"/>
      <c r="BD263" s="2039"/>
      <c r="BE263" s="1724"/>
      <c r="BF263" s="1724"/>
      <c r="BG263" s="1724"/>
      <c r="BH263" s="2053"/>
      <c r="BI263" s="2039"/>
      <c r="BJ263" s="1724"/>
      <c r="BK263" s="1724"/>
      <c r="BL263" s="1724"/>
      <c r="BM263" s="1724"/>
      <c r="BN263" s="2039"/>
      <c r="BO263" s="1699"/>
      <c r="BP263" s="1699"/>
      <c r="BQ263" s="1293"/>
      <c r="BR263" s="1293"/>
      <c r="BS263" s="1293"/>
      <c r="BT263" s="1293"/>
      <c r="BU263" s="1293"/>
      <c r="BV263" s="1293"/>
      <c r="BW263" s="1293"/>
      <c r="BX263" s="1293"/>
      <c r="BY263" s="1293"/>
      <c r="BZ263" s="1293"/>
      <c r="CA263" s="1293"/>
      <c r="CB263" s="1293"/>
      <c r="CC263" s="1293"/>
      <c r="CD263" s="1293"/>
      <c r="CE263" s="1293"/>
      <c r="CF263" s="1293"/>
      <c r="CG263" s="1293"/>
      <c r="CH263" s="1293"/>
      <c r="CI263" s="1293"/>
      <c r="CJ263" s="1293"/>
      <c r="CK263" s="1293"/>
      <c r="CL263" s="1293"/>
      <c r="CM263" s="1293"/>
      <c r="CN263" s="1293"/>
      <c r="CO263" s="1293"/>
      <c r="CP263" s="1293"/>
      <c r="CQ263" s="1293"/>
      <c r="CR263" s="1293"/>
      <c r="CS263" s="1293"/>
      <c r="CT263" s="1293"/>
      <c r="CU263" s="1293"/>
      <c r="CV263" s="1293"/>
      <c r="CW263" s="1293"/>
      <c r="CX263" s="1293"/>
      <c r="CY263" s="2099"/>
      <c r="CZ263" s="2053"/>
      <c r="DA263" s="2083"/>
      <c r="DB263" s="2084"/>
      <c r="DC263" s="1293"/>
      <c r="DD263" s="1293"/>
      <c r="DE263" s="1293"/>
      <c r="DF263" s="1293"/>
      <c r="DG263" s="1293"/>
      <c r="DH263" s="1293"/>
      <c r="DI263" s="1293"/>
      <c r="DJ263" s="1293"/>
      <c r="DK263" s="1293"/>
      <c r="DL263" s="2147">
        <v>509.36779999999999</v>
      </c>
    </row>
    <row r="264" spans="1:116" ht="16.5" hidden="1" outlineLevel="1" thickBot="1">
      <c r="A264" s="1293" t="s">
        <v>579</v>
      </c>
      <c r="B264" s="1293" t="str">
        <f t="shared" ref="B264:B270" si="303">B90</f>
        <v>Chad</v>
      </c>
      <c r="C264" s="1699">
        <v>480.19254999999998</v>
      </c>
      <c r="D264" s="1699">
        <v>479.17500000000001</v>
      </c>
      <c r="E264" s="1699">
        <v>498.4357</v>
      </c>
      <c r="F264" s="1699">
        <v>529.17741666666666</v>
      </c>
      <c r="G264" s="2039">
        <v>497.83110769230768</v>
      </c>
      <c r="H264" s="1699">
        <v>580.54</v>
      </c>
      <c r="I264" s="1699">
        <v>597.52372500000001</v>
      </c>
      <c r="J264" s="1699">
        <v>591.14852499999995</v>
      </c>
      <c r="K264" s="1699">
        <v>605.20722499999999</v>
      </c>
      <c r="L264" s="2039">
        <v>593.65695625000001</v>
      </c>
      <c r="M264" s="1699">
        <v>600.94217500000002</v>
      </c>
      <c r="N264" s="1699">
        <v>596</v>
      </c>
      <c r="O264" s="1699">
        <v>594.58529999999996</v>
      </c>
      <c r="P264" s="1699">
        <v>610.58000000000004</v>
      </c>
      <c r="Q264" s="2039">
        <v>600.08000000000004</v>
      </c>
      <c r="R264" s="1699">
        <v>619.45000000000005</v>
      </c>
      <c r="S264" s="1699">
        <v>596</v>
      </c>
      <c r="T264" s="1699">
        <v>566</v>
      </c>
      <c r="U264" s="1699">
        <v>572</v>
      </c>
      <c r="V264" s="2039">
        <f>'New split'!G132</f>
        <v>587.97</v>
      </c>
      <c r="W264" s="1699">
        <v>553</v>
      </c>
      <c r="X264" s="1699">
        <v>565</v>
      </c>
      <c r="Y264" s="1699">
        <v>576</v>
      </c>
      <c r="Z264" s="1699">
        <v>588</v>
      </c>
      <c r="AA264" s="2039">
        <f>'New split'!H132</f>
        <v>560</v>
      </c>
      <c r="AB264" s="1699">
        <v>578</v>
      </c>
      <c r="AC264" s="1699">
        <v>578</v>
      </c>
      <c r="AD264" s="1699">
        <v>585</v>
      </c>
      <c r="AE264" s="1699">
        <v>585</v>
      </c>
      <c r="AF264" s="1699">
        <v>589</v>
      </c>
      <c r="AG264" s="1699">
        <v>589</v>
      </c>
      <c r="AH264" s="1699">
        <v>596</v>
      </c>
      <c r="AI264" s="1699">
        <v>596</v>
      </c>
      <c r="AJ264" s="2039">
        <f>'New split'!I132</f>
        <v>587</v>
      </c>
      <c r="AK264" s="1699"/>
      <c r="AL264" s="1699"/>
      <c r="AM264" s="1699"/>
      <c r="AN264" s="1699"/>
      <c r="AO264" s="2039">
        <f>'New split'!J132</f>
        <v>596</v>
      </c>
      <c r="AP264" s="1699"/>
      <c r="AQ264" s="1699"/>
      <c r="AR264" s="1699"/>
      <c r="AS264" s="1699"/>
      <c r="AT264" s="2039">
        <f>'New split'!K132</f>
        <v>554.80371286840762</v>
      </c>
      <c r="AU264" s="1699"/>
      <c r="AV264" s="1699"/>
      <c r="AW264" s="1699"/>
      <c r="AX264" s="1699"/>
      <c r="AY264" s="2039">
        <f>'New split'!L132</f>
        <v>623.79999999999995</v>
      </c>
      <c r="AZ264" s="1699"/>
      <c r="BA264" s="1699"/>
      <c r="BB264" s="1699"/>
      <c r="BC264" s="2053"/>
      <c r="BD264" s="2039">
        <f>'New split'!M132</f>
        <v>606.75</v>
      </c>
      <c r="BE264" s="1699"/>
      <c r="BF264" s="1699"/>
      <c r="BG264" s="1699"/>
      <c r="BH264" s="2053"/>
      <c r="BI264" s="2039">
        <f>'New split'!N132</f>
        <v>0</v>
      </c>
      <c r="BJ264" s="1699"/>
      <c r="BK264" s="1699"/>
      <c r="BL264" s="1699"/>
      <c r="BM264" s="1699"/>
      <c r="BN264" s="2039">
        <f>'New split'!O132</f>
        <v>0</v>
      </c>
      <c r="BO264" s="1699"/>
      <c r="BP264" s="1699"/>
      <c r="BQ264" s="1293"/>
      <c r="BR264" s="1293"/>
      <c r="BS264" s="1293"/>
      <c r="BT264" s="1293"/>
      <c r="BU264" s="1293"/>
      <c r="BV264" s="1293"/>
      <c r="BW264" s="1293"/>
      <c r="BX264" s="1293"/>
      <c r="BY264" s="1293"/>
      <c r="BZ264" s="1293"/>
      <c r="CA264" s="1293"/>
      <c r="CB264" s="1293"/>
      <c r="CC264" s="1293"/>
      <c r="CD264" s="1293"/>
      <c r="CE264" s="1293"/>
      <c r="CF264" s="1293"/>
      <c r="CG264" s="1293"/>
      <c r="CH264" s="1293"/>
      <c r="CI264" s="1293"/>
      <c r="CJ264" s="1293"/>
      <c r="CK264" s="1293"/>
      <c r="CL264" s="1293"/>
      <c r="CM264" s="1293"/>
      <c r="CN264" s="1293"/>
      <c r="CO264" s="1293"/>
      <c r="CP264" s="1293"/>
      <c r="CQ264" s="1293"/>
      <c r="CR264" s="1293"/>
      <c r="CS264" s="1293"/>
      <c r="CT264" s="1293"/>
      <c r="CU264" s="1293"/>
      <c r="CV264" s="1293"/>
      <c r="CW264" s="1293"/>
      <c r="CX264" s="1293"/>
      <c r="CY264" s="2099"/>
      <c r="CZ264" s="2053"/>
      <c r="DA264" s="2042"/>
      <c r="DB264" s="2041"/>
      <c r="DC264" s="1293"/>
      <c r="DD264" s="1293"/>
      <c r="DE264" s="1293"/>
      <c r="DF264" s="1293"/>
      <c r="DG264" s="1293"/>
      <c r="DH264" s="1293"/>
      <c r="DI264" s="1293"/>
      <c r="DJ264" s="1293"/>
      <c r="DK264" s="1293"/>
      <c r="DL264" s="2147">
        <v>501.68380000000002</v>
      </c>
    </row>
    <row r="265" spans="1:116" ht="16.5" hidden="1" outlineLevel="1" thickBot="1">
      <c r="A265" s="1293" t="s">
        <v>1961</v>
      </c>
      <c r="B265" s="1293" t="str">
        <f t="shared" si="303"/>
        <v>DRC</v>
      </c>
      <c r="C265" s="2063">
        <f>'Country quarts'!C45</f>
        <v>922.32265625000002</v>
      </c>
      <c r="D265" s="2063">
        <f>'Country quarts'!D45</f>
        <v>922.46569384615395</v>
      </c>
      <c r="E265" s="2063">
        <f>'Country quarts'!E45</f>
        <v>922.91795454545468</v>
      </c>
      <c r="F265" s="2063">
        <f>'Country quarts'!F45</f>
        <v>921.86439393939395</v>
      </c>
      <c r="G265" s="2062">
        <f>AVERAGE(C265:F265)</f>
        <v>922.39267464525074</v>
      </c>
      <c r="H265" s="2063">
        <f>'Country quarts'!H45</f>
        <v>920.1640625</v>
      </c>
      <c r="I265" s="2063">
        <f>'Country quarts'!I45</f>
        <v>920.93076923076922</v>
      </c>
      <c r="J265" s="2063">
        <f>'Country quarts'!J45</f>
        <v>920.280303030303</v>
      </c>
      <c r="K265" s="2063">
        <f>'Country quarts'!K45</f>
        <v>924</v>
      </c>
      <c r="L265" s="2062">
        <f>AVERAGE(H265:K265)</f>
        <v>921.34378369026808</v>
      </c>
      <c r="M265" s="2063"/>
      <c r="N265" s="2063"/>
      <c r="O265" s="2063"/>
      <c r="P265" s="2063"/>
      <c r="Q265" s="2062"/>
      <c r="R265" s="2063"/>
      <c r="S265" s="2063"/>
      <c r="T265" s="1699"/>
      <c r="U265" s="1699"/>
      <c r="V265" s="2062"/>
      <c r="W265" s="2063"/>
      <c r="X265" s="2063"/>
      <c r="Y265" s="2063"/>
      <c r="Z265" s="1699"/>
      <c r="AA265" s="2062"/>
      <c r="AB265" s="2063"/>
      <c r="AC265" s="2063"/>
      <c r="AD265" s="2063"/>
      <c r="AE265" s="2063"/>
      <c r="AF265" s="2063"/>
      <c r="AG265" s="2063"/>
      <c r="AH265" s="2063"/>
      <c r="AI265" s="2063"/>
      <c r="AJ265" s="2062"/>
      <c r="AK265" s="2063"/>
      <c r="AL265" s="1699"/>
      <c r="AM265" s="1699"/>
      <c r="AN265" s="1699"/>
      <c r="AO265" s="2062"/>
      <c r="AP265" s="1699"/>
      <c r="AQ265" s="2063"/>
      <c r="AR265" s="2063"/>
      <c r="AS265" s="2063"/>
      <c r="AT265" s="2062"/>
      <c r="AU265" s="2063"/>
      <c r="AV265" s="2063"/>
      <c r="AW265" s="2063"/>
      <c r="AX265" s="2063"/>
      <c r="AY265" s="2062"/>
      <c r="AZ265" s="2063"/>
      <c r="BA265" s="2063"/>
      <c r="BB265" s="2063"/>
      <c r="BC265" s="2159"/>
      <c r="BD265" s="2062"/>
      <c r="BE265" s="2063"/>
      <c r="BF265" s="2063"/>
      <c r="BG265" s="2063"/>
      <c r="BH265" s="2159"/>
      <c r="BI265" s="2062"/>
      <c r="BJ265" s="2063"/>
      <c r="BK265" s="2063"/>
      <c r="BL265" s="2063"/>
      <c r="BM265" s="2063"/>
      <c r="BN265" s="2062"/>
      <c r="BO265" s="2063"/>
      <c r="BP265" s="2063"/>
      <c r="BQ265" s="1293"/>
      <c r="BR265" s="1293"/>
      <c r="BS265" s="1293"/>
      <c r="BT265" s="1293"/>
      <c r="BU265" s="1293"/>
      <c r="BV265" s="1293"/>
      <c r="BW265" s="1293"/>
      <c r="BX265" s="1293"/>
      <c r="BY265" s="1293"/>
      <c r="BZ265" s="1293"/>
      <c r="CA265" s="1293"/>
      <c r="CB265" s="1293"/>
      <c r="CC265" s="1293"/>
      <c r="CD265" s="1293"/>
      <c r="CE265" s="1293"/>
      <c r="CF265" s="1293"/>
      <c r="CG265" s="1293"/>
      <c r="CH265" s="1293"/>
      <c r="CI265" s="1293"/>
      <c r="CJ265" s="1293"/>
      <c r="CK265" s="1293"/>
      <c r="CL265" s="1293"/>
      <c r="CM265" s="1293"/>
      <c r="CN265" s="1293"/>
      <c r="CO265" s="1293"/>
      <c r="CP265" s="1293"/>
      <c r="CQ265" s="1293"/>
      <c r="CR265" s="1293"/>
      <c r="CS265" s="1293"/>
      <c r="CT265" s="1293"/>
      <c r="CU265" s="1293"/>
      <c r="CV265" s="1293"/>
      <c r="CW265" s="1293"/>
      <c r="CX265" s="1293"/>
      <c r="CY265" s="2160"/>
      <c r="CZ265" s="2159"/>
      <c r="DA265" s="2045"/>
      <c r="DB265" s="2043"/>
      <c r="DC265" s="1293"/>
      <c r="DD265" s="1293"/>
      <c r="DE265" s="1293"/>
      <c r="DF265" s="1293"/>
      <c r="DG265" s="1293"/>
      <c r="DH265" s="1293"/>
      <c r="DI265" s="1293"/>
      <c r="DJ265" s="1293"/>
      <c r="DK265" s="1293"/>
      <c r="DL265" s="2147">
        <v>508.59789999999998</v>
      </c>
    </row>
    <row r="266" spans="1:116" ht="16.5" hidden="1" outlineLevel="1" thickBot="1">
      <c r="A266" s="1293" t="s">
        <v>2382</v>
      </c>
      <c r="B266" s="1293" t="str">
        <f t="shared" si="303"/>
        <v>Ghana</v>
      </c>
      <c r="C266" s="1699">
        <v>2.4411499999999999</v>
      </c>
      <c r="D266" s="1699">
        <v>2.8418999999999999</v>
      </c>
      <c r="E266" s="1699">
        <v>3.0914999999999999</v>
      </c>
      <c r="F266" s="1699">
        <v>3.196733333333333</v>
      </c>
      <c r="G266" s="2039">
        <v>2.8775384615384612</v>
      </c>
      <c r="H266" s="1699">
        <v>3.4154749999999998</v>
      </c>
      <c r="I266" s="1699">
        <v>3.9826249999999996</v>
      </c>
      <c r="J266" s="1699">
        <v>3.8624000000000001</v>
      </c>
      <c r="K266" s="1699">
        <v>3.7757749999999999</v>
      </c>
      <c r="L266" s="2039">
        <v>3.7433062499999998</v>
      </c>
      <c r="M266" s="1699">
        <v>3.8360000000000003</v>
      </c>
      <c r="N266" s="1699">
        <v>3.88</v>
      </c>
      <c r="O266" s="1699">
        <v>3.9470499999999999</v>
      </c>
      <c r="P266" s="1699">
        <v>4.04</v>
      </c>
      <c r="Q266" s="2039">
        <v>3.92</v>
      </c>
      <c r="R266" s="1699">
        <v>4.32</v>
      </c>
      <c r="S266" s="1699">
        <v>4.29</v>
      </c>
      <c r="T266" s="1699">
        <v>4.38</v>
      </c>
      <c r="U266" s="1699">
        <v>4.47</v>
      </c>
      <c r="V266" s="2039">
        <f>'New split'!G134</f>
        <v>0</v>
      </c>
      <c r="W266" s="1699"/>
      <c r="X266" s="1699"/>
      <c r="Y266" s="1699"/>
      <c r="Z266" s="1699"/>
      <c r="AA266" s="2039"/>
      <c r="AB266" s="1699"/>
      <c r="AC266" s="1699"/>
      <c r="AD266" s="1699"/>
      <c r="AE266" s="1699"/>
      <c r="AF266" s="1699"/>
      <c r="AG266" s="1699"/>
      <c r="AH266" s="1699"/>
      <c r="AI266" s="1699"/>
      <c r="AJ266" s="2039"/>
      <c r="AK266" s="1699"/>
      <c r="AL266" s="1699"/>
      <c r="AM266" s="1699"/>
      <c r="AN266" s="1699"/>
      <c r="AO266" s="2039"/>
      <c r="AP266" s="1699"/>
      <c r="AQ266" s="1699"/>
      <c r="AR266" s="1699"/>
      <c r="AS266" s="1699"/>
      <c r="AT266" s="2039"/>
      <c r="AU266" s="1699"/>
      <c r="AV266" s="1699"/>
      <c r="AW266" s="1699"/>
      <c r="AX266" s="1699"/>
      <c r="AY266" s="2039"/>
      <c r="AZ266" s="1699"/>
      <c r="BA266" s="1699"/>
      <c r="BB266" s="1699"/>
      <c r="BC266" s="2053"/>
      <c r="BD266" s="2039"/>
      <c r="BE266" s="1699"/>
      <c r="BF266" s="1699"/>
      <c r="BG266" s="1699"/>
      <c r="BH266" s="2053"/>
      <c r="BI266" s="2039"/>
      <c r="BJ266" s="1699"/>
      <c r="BK266" s="1699"/>
      <c r="BL266" s="1699"/>
      <c r="BM266" s="1699"/>
      <c r="BN266" s="2039"/>
      <c r="BO266" s="1699"/>
      <c r="BP266" s="1699"/>
      <c r="BQ266" s="1293"/>
      <c r="BR266" s="1293"/>
      <c r="BS266" s="1293"/>
      <c r="BT266" s="1293"/>
      <c r="BU266" s="1293"/>
      <c r="BV266" s="1293"/>
      <c r="BW266" s="1293"/>
      <c r="BX266" s="1293"/>
      <c r="BY266" s="1293"/>
      <c r="BZ266" s="1293"/>
      <c r="CA266" s="1293"/>
      <c r="CB266" s="1293"/>
      <c r="CC266" s="1293"/>
      <c r="CD266" s="1293"/>
      <c r="CE266" s="1293"/>
      <c r="CF266" s="1293"/>
      <c r="CG266" s="1293"/>
      <c r="CH266" s="1293"/>
      <c r="CI266" s="1293"/>
      <c r="CJ266" s="1293"/>
      <c r="CK266" s="1293"/>
      <c r="CL266" s="1293"/>
      <c r="CM266" s="1293"/>
      <c r="CN266" s="1293"/>
      <c r="CO266" s="1293"/>
      <c r="CP266" s="1293"/>
      <c r="CQ266" s="1293"/>
      <c r="CR266" s="1293"/>
      <c r="CS266" s="1293"/>
      <c r="CT266" s="1293"/>
      <c r="CU266" s="1293"/>
      <c r="CV266" s="1293"/>
      <c r="CW266" s="1293"/>
      <c r="CX266" s="1293"/>
      <c r="CY266" s="2099"/>
      <c r="CZ266" s="2053"/>
      <c r="DA266" s="2042"/>
      <c r="DB266" s="2041"/>
      <c r="DC266" s="1293"/>
      <c r="DD266" s="1293"/>
      <c r="DE266" s="1293"/>
      <c r="DF266" s="1293"/>
      <c r="DG266" s="1293"/>
      <c r="DH266" s="1293"/>
      <c r="DI266" s="1293"/>
      <c r="DJ266" s="1293"/>
      <c r="DK266" s="1293"/>
      <c r="DL266" s="2147">
        <v>510.2251</v>
      </c>
    </row>
    <row r="267" spans="1:116" ht="16.5" hidden="1" outlineLevel="1" thickBot="1">
      <c r="A267" s="1293" t="s">
        <v>2227</v>
      </c>
      <c r="B267" s="1293" t="str">
        <f t="shared" si="303"/>
        <v>Rwanda</v>
      </c>
      <c r="C267" s="1699">
        <v>680.13724999999999</v>
      </c>
      <c r="D267" s="1699">
        <v>685.46500000000003</v>
      </c>
      <c r="E267" s="1699">
        <v>687.6422</v>
      </c>
      <c r="F267" s="1699">
        <v>690.40872750000005</v>
      </c>
      <c r="G267" s="2039">
        <v>685.8954782307693</v>
      </c>
      <c r="H267" s="1699">
        <v>701.63</v>
      </c>
      <c r="I267" s="1699">
        <v>713.19189600000004</v>
      </c>
      <c r="J267" s="1699">
        <v>724.95230049999998</v>
      </c>
      <c r="K267" s="1699">
        <v>739.00113850000002</v>
      </c>
      <c r="L267" s="2039">
        <v>718.57358143750002</v>
      </c>
      <c r="M267" s="1699">
        <v>758.11834649999992</v>
      </c>
      <c r="N267" s="1699">
        <v>781</v>
      </c>
      <c r="O267" s="1699">
        <v>798.48728099999994</v>
      </c>
      <c r="P267" s="1699">
        <v>815.18</v>
      </c>
      <c r="Q267" s="2039">
        <v>786.82</v>
      </c>
      <c r="R267" s="1699">
        <v>822.87</v>
      </c>
      <c r="S267" s="1699">
        <v>828</v>
      </c>
      <c r="T267" s="1699">
        <v>834</v>
      </c>
      <c r="U267" s="1699">
        <v>852</v>
      </c>
      <c r="V267" s="2039">
        <f>'New split'!G135</f>
        <v>831.5</v>
      </c>
      <c r="W267" s="1699"/>
      <c r="X267" s="1699"/>
      <c r="Y267" s="1699"/>
      <c r="Z267" s="1699"/>
      <c r="AA267" s="2039"/>
      <c r="AB267" s="1699"/>
      <c r="AC267" s="1699"/>
      <c r="AD267" s="1699"/>
      <c r="AE267" s="1699"/>
      <c r="AF267" s="1699"/>
      <c r="AG267" s="1699"/>
      <c r="AH267" s="1699"/>
      <c r="AI267" s="1699"/>
      <c r="AJ267" s="2039"/>
      <c r="AK267" s="1699"/>
      <c r="AL267" s="1699"/>
      <c r="AM267" s="1699"/>
      <c r="AN267" s="1699"/>
      <c r="AO267" s="2039"/>
      <c r="AP267" s="1699"/>
      <c r="AQ267" s="1699"/>
      <c r="AR267" s="1699"/>
      <c r="AS267" s="1699"/>
      <c r="AT267" s="2039"/>
      <c r="AU267" s="1699"/>
      <c r="AV267" s="1699"/>
      <c r="AW267" s="1699"/>
      <c r="AX267" s="1699"/>
      <c r="AY267" s="2039"/>
      <c r="AZ267" s="1699"/>
      <c r="BA267" s="1699"/>
      <c r="BB267" s="1699"/>
      <c r="BC267" s="2053"/>
      <c r="BD267" s="2039"/>
      <c r="BE267" s="1699"/>
      <c r="BF267" s="1699"/>
      <c r="BG267" s="1699"/>
      <c r="BH267" s="2053"/>
      <c r="BI267" s="2039"/>
      <c r="BJ267" s="1699"/>
      <c r="BK267" s="1699"/>
      <c r="BL267" s="1699"/>
      <c r="BM267" s="1699"/>
      <c r="BN267" s="2039"/>
      <c r="BO267" s="1699"/>
      <c r="BP267" s="1699"/>
      <c r="BQ267" s="1293"/>
      <c r="BR267" s="1293"/>
      <c r="BS267" s="1293"/>
      <c r="BT267" s="1293"/>
      <c r="BU267" s="1293"/>
      <c r="BV267" s="1293"/>
      <c r="BW267" s="1293"/>
      <c r="BX267" s="1293"/>
      <c r="BY267" s="1293"/>
      <c r="BZ267" s="1293"/>
      <c r="CA267" s="1293"/>
      <c r="CB267" s="1293"/>
      <c r="CC267" s="1293"/>
      <c r="CD267" s="1293"/>
      <c r="CE267" s="1293"/>
      <c r="CF267" s="1293"/>
      <c r="CG267" s="1293"/>
      <c r="CH267" s="1293"/>
      <c r="CI267" s="1293"/>
      <c r="CJ267" s="1293"/>
      <c r="CK267" s="1293"/>
      <c r="CL267" s="1293"/>
      <c r="CM267" s="1293"/>
      <c r="CN267" s="1293"/>
      <c r="CO267" s="1293"/>
      <c r="CP267" s="1293"/>
      <c r="CQ267" s="1293"/>
      <c r="CR267" s="1293"/>
      <c r="CS267" s="1293"/>
      <c r="CT267" s="1293"/>
      <c r="CU267" s="1293"/>
      <c r="CV267" s="1293"/>
      <c r="CW267" s="1293"/>
      <c r="CX267" s="1293"/>
      <c r="CY267" s="2099"/>
      <c r="CZ267" s="2053"/>
      <c r="DA267" s="2042"/>
      <c r="DB267" s="2041"/>
      <c r="DC267" s="1293"/>
      <c r="DD267" s="1293"/>
      <c r="DE267" s="1293"/>
      <c r="DF267" s="1293"/>
      <c r="DG267" s="1293"/>
      <c r="DH267" s="1293"/>
      <c r="DI267" s="1293"/>
      <c r="DJ267" s="1293"/>
      <c r="DK267" s="1293"/>
      <c r="DL267" s="2147">
        <v>510.43150000000003</v>
      </c>
    </row>
    <row r="268" spans="1:116" ht="16.5" hidden="1" outlineLevel="1" thickBot="1">
      <c r="A268" s="1293" t="s">
        <v>2384</v>
      </c>
      <c r="B268" s="1293" t="str">
        <f t="shared" si="303"/>
        <v>Senegal</v>
      </c>
      <c r="C268" s="1699">
        <f t="shared" ref="C268:M268" si="304">C264</f>
        <v>480.19254999999998</v>
      </c>
      <c r="D268" s="1699">
        <f t="shared" si="304"/>
        <v>479.17500000000001</v>
      </c>
      <c r="E268" s="1699">
        <f t="shared" si="304"/>
        <v>498.4357</v>
      </c>
      <c r="F268" s="1699">
        <f t="shared" si="304"/>
        <v>529.17741666666666</v>
      </c>
      <c r="G268" s="2039">
        <f t="shared" si="304"/>
        <v>497.83110769230768</v>
      </c>
      <c r="H268" s="1699">
        <f t="shared" si="304"/>
        <v>580.54</v>
      </c>
      <c r="I268" s="1699">
        <f t="shared" si="304"/>
        <v>597.52372500000001</v>
      </c>
      <c r="J268" s="1699">
        <f t="shared" si="304"/>
        <v>591.14852499999995</v>
      </c>
      <c r="K268" s="1699">
        <f t="shared" si="304"/>
        <v>605.20722499999999</v>
      </c>
      <c r="L268" s="2039">
        <f t="shared" si="304"/>
        <v>593.65695625000001</v>
      </c>
      <c r="M268" s="1699">
        <f t="shared" si="304"/>
        <v>600.94217500000002</v>
      </c>
      <c r="N268" s="1699">
        <v>596</v>
      </c>
      <c r="O268" s="1699">
        <f>O264</f>
        <v>594.58529999999996</v>
      </c>
      <c r="P268" s="1699">
        <v>610.58000000000004</v>
      </c>
      <c r="Q268" s="2039">
        <f>Q264</f>
        <v>600.08000000000004</v>
      </c>
      <c r="R268" s="1699"/>
      <c r="S268" s="1699"/>
      <c r="T268" s="1699"/>
      <c r="U268" s="1699"/>
      <c r="V268" s="2039"/>
      <c r="W268" s="1699"/>
      <c r="X268" s="1699"/>
      <c r="Y268" s="1699"/>
      <c r="Z268" s="1699"/>
      <c r="AA268" s="2039"/>
      <c r="AB268" s="1699"/>
      <c r="AC268" s="1699"/>
      <c r="AD268" s="1699"/>
      <c r="AE268" s="1699"/>
      <c r="AF268" s="1699"/>
      <c r="AG268" s="1699"/>
      <c r="AH268" s="1699"/>
      <c r="AI268" s="1699"/>
      <c r="AJ268" s="2039"/>
      <c r="AK268" s="1699"/>
      <c r="AL268" s="1699"/>
      <c r="AM268" s="1699"/>
      <c r="AN268" s="1699"/>
      <c r="AO268" s="2039"/>
      <c r="AP268" s="1699"/>
      <c r="AQ268" s="1699"/>
      <c r="AR268" s="1699"/>
      <c r="AS268" s="1699"/>
      <c r="AT268" s="2039"/>
      <c r="AU268" s="1699"/>
      <c r="AV268" s="1699"/>
      <c r="AW268" s="1699"/>
      <c r="AX268" s="1699"/>
      <c r="AY268" s="2039"/>
      <c r="AZ268" s="1699"/>
      <c r="BA268" s="1699"/>
      <c r="BB268" s="1699"/>
      <c r="BC268" s="2053"/>
      <c r="BD268" s="2039"/>
      <c r="BE268" s="1699"/>
      <c r="BF268" s="1699"/>
      <c r="BG268" s="1699"/>
      <c r="BH268" s="2053"/>
      <c r="BI268" s="2039"/>
      <c r="BJ268" s="1699"/>
      <c r="BK268" s="1699"/>
      <c r="BL268" s="1699"/>
      <c r="BM268" s="1699"/>
      <c r="BN268" s="2039"/>
      <c r="BO268" s="1699"/>
      <c r="BP268" s="1699"/>
      <c r="BQ268" s="1293"/>
      <c r="BR268" s="1293"/>
      <c r="BS268" s="1293"/>
      <c r="BT268" s="1293"/>
      <c r="BU268" s="1293"/>
      <c r="BV268" s="1293"/>
      <c r="BW268" s="1293"/>
      <c r="BX268" s="1293"/>
      <c r="BY268" s="1293"/>
      <c r="BZ268" s="1293"/>
      <c r="CA268" s="1293"/>
      <c r="CB268" s="1293"/>
      <c r="CC268" s="1293"/>
      <c r="CD268" s="1293"/>
      <c r="CE268" s="1293"/>
      <c r="CF268" s="1293"/>
      <c r="CG268" s="1293"/>
      <c r="CH268" s="1293"/>
      <c r="CI268" s="1293"/>
      <c r="CJ268" s="1293"/>
      <c r="CK268" s="1293"/>
      <c r="CL268" s="1293"/>
      <c r="CM268" s="1293"/>
      <c r="CN268" s="1293"/>
      <c r="CO268" s="1293"/>
      <c r="CP268" s="1293"/>
      <c r="CQ268" s="1293"/>
      <c r="CR268" s="1293"/>
      <c r="CS268" s="1293"/>
      <c r="CT268" s="1293"/>
      <c r="CU268" s="1293"/>
      <c r="CV268" s="1293"/>
      <c r="CW268" s="1293"/>
      <c r="CX268" s="1293"/>
      <c r="CY268" s="2099"/>
      <c r="CZ268" s="2053"/>
      <c r="DA268" s="2042"/>
      <c r="DB268" s="2041"/>
      <c r="DC268" s="1293"/>
      <c r="DD268" s="1293"/>
      <c r="DE268" s="1293"/>
      <c r="DF268" s="1293"/>
      <c r="DG268" s="1293"/>
      <c r="DH268" s="1293"/>
      <c r="DI268" s="1293"/>
      <c r="DJ268" s="1293"/>
      <c r="DK268" s="1293"/>
      <c r="DL268" s="2147">
        <v>510.9</v>
      </c>
    </row>
    <row r="269" spans="1:116" ht="16.5" hidden="1" outlineLevel="1" thickBot="1">
      <c r="A269" s="1293" t="s">
        <v>578</v>
      </c>
      <c r="B269" s="1293" t="str">
        <f t="shared" si="303"/>
        <v>Tanzania</v>
      </c>
      <c r="C269" s="1699">
        <v>1618.3125</v>
      </c>
      <c r="D269" s="1699">
        <v>1654.63</v>
      </c>
      <c r="E269" s="1699">
        <v>1669.7550000000001</v>
      </c>
      <c r="F269" s="1699">
        <v>1712.1783333333333</v>
      </c>
      <c r="G269" s="2039">
        <v>1663.1115384615384</v>
      </c>
      <c r="H269" s="1699">
        <v>1764.2574999999999</v>
      </c>
      <c r="I269" s="1699">
        <v>1898.6849999999999</v>
      </c>
      <c r="J269" s="1699">
        <v>2098.5500000000002</v>
      </c>
      <c r="K269" s="1699">
        <v>2163.0749999999998</v>
      </c>
      <c r="L269" s="2039">
        <v>1985.2806250000001</v>
      </c>
      <c r="M269" s="1699">
        <v>2177.875</v>
      </c>
      <c r="N269" s="1699">
        <v>2191</v>
      </c>
      <c r="O269" s="1699">
        <v>2186.5</v>
      </c>
      <c r="P269" s="1699">
        <v>2181.75</v>
      </c>
      <c r="Q269" s="2039">
        <v>2183.35</v>
      </c>
      <c r="R269" s="1699">
        <v>2220.38</v>
      </c>
      <c r="S269" s="1699">
        <v>2235</v>
      </c>
      <c r="T269" s="1699">
        <v>2237</v>
      </c>
      <c r="U269" s="1699">
        <v>2240</v>
      </c>
      <c r="V269" s="2039">
        <f>'New split'!G137</f>
        <v>2233.42</v>
      </c>
      <c r="W269" s="1699">
        <v>2246.873384615385</v>
      </c>
      <c r="X269" s="1699">
        <v>2270.1982758620693</v>
      </c>
      <c r="Y269" s="1699">
        <v>2280.117538461539</v>
      </c>
      <c r="Z269" s="1699">
        <v>2294</v>
      </c>
      <c r="AA269" s="2039">
        <f>'New split'!H137</f>
        <v>2269</v>
      </c>
      <c r="AB269" s="1699">
        <v>2323</v>
      </c>
      <c r="AC269" s="1699">
        <v>2323</v>
      </c>
      <c r="AD269" s="1699">
        <v>2301</v>
      </c>
      <c r="AE269" s="1699">
        <v>2301</v>
      </c>
      <c r="AF269" s="1699">
        <v>2296</v>
      </c>
      <c r="AG269" s="1699">
        <v>2296</v>
      </c>
      <c r="AH269" s="1699">
        <v>2297</v>
      </c>
      <c r="AI269" s="1699">
        <v>2297</v>
      </c>
      <c r="AJ269" s="2039">
        <f>'New split'!I137</f>
        <v>2304</v>
      </c>
      <c r="AK269" s="1699">
        <v>2301.4796923076924</v>
      </c>
      <c r="AL269" s="1699">
        <v>2314</v>
      </c>
      <c r="AM269" s="1699">
        <v>2308</v>
      </c>
      <c r="AN269" s="1699">
        <v>2318</v>
      </c>
      <c r="AO269" s="2039">
        <f>'New split'!J137</f>
        <v>2302</v>
      </c>
      <c r="AP269" s="1699">
        <v>2314.2698437500003</v>
      </c>
      <c r="AQ269" s="1699">
        <v>2317.6318461538467</v>
      </c>
      <c r="AR269" s="1699">
        <v>2317.143939393939</v>
      </c>
      <c r="AS269" s="1699">
        <v>2304.21</v>
      </c>
      <c r="AT269" s="2039">
        <f>'New split'!K137</f>
        <v>2315</v>
      </c>
      <c r="AU269" s="1699"/>
      <c r="AV269" s="1699"/>
      <c r="AW269" s="1699"/>
      <c r="AX269" s="1699"/>
      <c r="AY269" s="2039">
        <f>'New split'!L137</f>
        <v>2324.1295138221153</v>
      </c>
      <c r="AZ269" s="1699"/>
      <c r="BA269" s="1699"/>
      <c r="BB269" s="1699"/>
      <c r="BC269" s="2053"/>
      <c r="BD269" s="2039">
        <f>'New split'!M137</f>
        <v>2418</v>
      </c>
      <c r="BE269" s="1699"/>
      <c r="BF269" s="1699"/>
      <c r="BG269" s="1699"/>
      <c r="BH269" s="2053"/>
      <c r="BI269" s="2039">
        <f>'New split'!N137</f>
        <v>2454.27</v>
      </c>
      <c r="BJ269" s="1699"/>
      <c r="BK269" s="1699"/>
      <c r="BL269" s="1699"/>
      <c r="BM269" s="1699"/>
      <c r="BN269" s="2039">
        <f>'New split'!O137</f>
        <v>2491.0840499999999</v>
      </c>
      <c r="BO269" s="1699"/>
      <c r="BP269" s="1699"/>
      <c r="BQ269" s="1293"/>
      <c r="BR269" s="1293"/>
      <c r="BS269" s="1293"/>
      <c r="BT269" s="1293"/>
      <c r="BU269" s="1293"/>
      <c r="BV269" s="1293"/>
      <c r="BW269" s="1293"/>
      <c r="BX269" s="1293"/>
      <c r="BY269" s="1293"/>
      <c r="BZ269" s="1293"/>
      <c r="CA269" s="1293"/>
      <c r="CB269" s="1293"/>
      <c r="CC269" s="1293"/>
      <c r="CD269" s="1293"/>
      <c r="CE269" s="1293"/>
      <c r="CF269" s="1293"/>
      <c r="CG269" s="1293"/>
      <c r="CH269" s="1293"/>
      <c r="CI269" s="1293"/>
      <c r="CJ269" s="1293"/>
      <c r="CK269" s="1293"/>
      <c r="CL269" s="1293"/>
      <c r="CM269" s="1293"/>
      <c r="CN269" s="1293"/>
      <c r="CO269" s="1293"/>
      <c r="CP269" s="1293"/>
      <c r="CQ269" s="1293"/>
      <c r="CR269" s="1293"/>
      <c r="CS269" s="1293"/>
      <c r="CT269" s="1293"/>
      <c r="CU269" s="1293"/>
      <c r="CV269" s="1293"/>
      <c r="CW269" s="1293"/>
      <c r="CX269" s="1293"/>
      <c r="CY269" s="2099"/>
      <c r="CZ269" s="2053"/>
      <c r="DA269" s="2042"/>
      <c r="DB269" s="2041"/>
      <c r="DC269" s="1293"/>
      <c r="DD269" s="1293"/>
      <c r="DE269" s="1293"/>
      <c r="DF269" s="1293"/>
      <c r="DG269" s="1293"/>
      <c r="DH269" s="1293"/>
      <c r="DI269" s="1293"/>
      <c r="DJ269" s="1293"/>
      <c r="DK269" s="1293"/>
      <c r="DL269" s="2147">
        <v>509.67649999999998</v>
      </c>
    </row>
    <row r="270" spans="1:116" ht="16.5" hidden="1" outlineLevel="1" thickBot="1">
      <c r="A270" s="1293" t="s">
        <v>781</v>
      </c>
      <c r="B270" s="1293" t="str">
        <f t="shared" si="303"/>
        <v>Zantel</v>
      </c>
      <c r="C270" s="1699">
        <f t="shared" ref="C270:M270" si="305">C269</f>
        <v>1618.3125</v>
      </c>
      <c r="D270" s="1699">
        <f t="shared" si="305"/>
        <v>1654.63</v>
      </c>
      <c r="E270" s="1699">
        <f t="shared" si="305"/>
        <v>1669.7550000000001</v>
      </c>
      <c r="F270" s="1699">
        <f t="shared" si="305"/>
        <v>1712.1783333333333</v>
      </c>
      <c r="G270" s="2039">
        <f t="shared" si="305"/>
        <v>1663.1115384615384</v>
      </c>
      <c r="H270" s="1699">
        <f t="shared" si="305"/>
        <v>1764.2574999999999</v>
      </c>
      <c r="I270" s="1699">
        <f t="shared" si="305"/>
        <v>1898.6849999999999</v>
      </c>
      <c r="J270" s="1699">
        <f t="shared" si="305"/>
        <v>2098.5500000000002</v>
      </c>
      <c r="K270" s="1699">
        <f t="shared" si="305"/>
        <v>2163.0749999999998</v>
      </c>
      <c r="L270" s="2039">
        <f t="shared" si="305"/>
        <v>1985.2806250000001</v>
      </c>
      <c r="M270" s="1699">
        <f t="shared" si="305"/>
        <v>2177.875</v>
      </c>
      <c r="N270" s="1699">
        <v>2191</v>
      </c>
      <c r="O270" s="1699">
        <f>O269</f>
        <v>2186.5</v>
      </c>
      <c r="P270" s="1699">
        <v>2181.75</v>
      </c>
      <c r="Q270" s="2039">
        <f>Q269</f>
        <v>2183.35</v>
      </c>
      <c r="R270" s="1699">
        <v>2220.38</v>
      </c>
      <c r="S270" s="1699">
        <v>2235</v>
      </c>
      <c r="T270" s="1699">
        <f>T269</f>
        <v>2237</v>
      </c>
      <c r="U270" s="1699">
        <f>U269</f>
        <v>2240</v>
      </c>
      <c r="V270" s="2039">
        <f>V269</f>
        <v>2233.42</v>
      </c>
      <c r="W270" s="1699">
        <f>W269</f>
        <v>2246.873384615385</v>
      </c>
      <c r="X270" s="1699">
        <f>X269</f>
        <v>2270.1982758620693</v>
      </c>
      <c r="Y270" s="1699">
        <v>2280.117538461539</v>
      </c>
      <c r="Z270" s="1699">
        <v>2294</v>
      </c>
      <c r="AA270" s="2039">
        <f>AA269</f>
        <v>2269</v>
      </c>
      <c r="AB270" s="1699">
        <v>2323</v>
      </c>
      <c r="AC270" s="1699">
        <v>2323</v>
      </c>
      <c r="AD270" s="1699">
        <v>2301</v>
      </c>
      <c r="AE270" s="1699">
        <v>2301</v>
      </c>
      <c r="AF270" s="1699">
        <v>2296</v>
      </c>
      <c r="AG270" s="1699">
        <v>2296</v>
      </c>
      <c r="AH270" s="1699">
        <v>2297</v>
      </c>
      <c r="AI270" s="1699">
        <v>2297</v>
      </c>
      <c r="AJ270" s="2039">
        <f>AJ269</f>
        <v>2304</v>
      </c>
      <c r="AK270" s="1699">
        <f>AK269</f>
        <v>2301.4796923076924</v>
      </c>
      <c r="AL270" s="1699">
        <f>AL269</f>
        <v>2314</v>
      </c>
      <c r="AM270" s="1699">
        <v>2308</v>
      </c>
      <c r="AN270" s="1699">
        <v>2308</v>
      </c>
      <c r="AO270" s="2039">
        <f>AO269</f>
        <v>2302</v>
      </c>
      <c r="AP270" s="1699">
        <v>2314.2698437500003</v>
      </c>
      <c r="AQ270" s="1699">
        <v>2317.6318461538467</v>
      </c>
      <c r="AR270" s="1699">
        <v>2317.143939393939</v>
      </c>
      <c r="AS270" s="1699">
        <v>2304.21</v>
      </c>
      <c r="AT270" s="2039">
        <f>AT269</f>
        <v>2315</v>
      </c>
      <c r="AU270" s="1699"/>
      <c r="AV270" s="1699"/>
      <c r="AW270" s="1699"/>
      <c r="AX270" s="1699"/>
      <c r="AY270" s="2039">
        <f>AY269</f>
        <v>2324.1295138221153</v>
      </c>
      <c r="AZ270" s="1699"/>
      <c r="BA270" s="1699"/>
      <c r="BB270" s="1699"/>
      <c r="BC270" s="2053"/>
      <c r="BD270" s="2039">
        <f>BD269</f>
        <v>2418</v>
      </c>
      <c r="BE270" s="1699"/>
      <c r="BF270" s="1699"/>
      <c r="BG270" s="1699"/>
      <c r="BH270" s="2053"/>
      <c r="BI270" s="2039">
        <f>BI269</f>
        <v>2454.27</v>
      </c>
      <c r="BJ270" s="1699"/>
      <c r="BK270" s="1699"/>
      <c r="BL270" s="1699"/>
      <c r="BM270" s="1699"/>
      <c r="BN270" s="2039">
        <f>BN269</f>
        <v>2491.0840499999999</v>
      </c>
      <c r="BO270" s="1699"/>
      <c r="BP270" s="1699"/>
      <c r="BQ270" s="1293"/>
      <c r="BR270" s="1293"/>
      <c r="BS270" s="1293"/>
      <c r="BT270" s="1293"/>
      <c r="BU270" s="1293"/>
      <c r="BV270" s="1293"/>
      <c r="BW270" s="1293"/>
      <c r="BX270" s="1293"/>
      <c r="BY270" s="1293"/>
      <c r="BZ270" s="1293"/>
      <c r="CA270" s="1293"/>
      <c r="CB270" s="1293"/>
      <c r="CC270" s="1293"/>
      <c r="CD270" s="1293"/>
      <c r="CE270" s="1293"/>
      <c r="CF270" s="1293"/>
      <c r="CG270" s="1293"/>
      <c r="CH270" s="1293"/>
      <c r="CI270" s="1293"/>
      <c r="CJ270" s="1293"/>
      <c r="CK270" s="1293"/>
      <c r="CL270" s="1293"/>
      <c r="CM270" s="1293"/>
      <c r="CN270" s="1293"/>
      <c r="CO270" s="1293"/>
      <c r="CP270" s="1293"/>
      <c r="CQ270" s="1293"/>
      <c r="CR270" s="1293"/>
      <c r="CS270" s="1293"/>
      <c r="CT270" s="1293"/>
      <c r="CU270" s="1293"/>
      <c r="CV270" s="1293"/>
      <c r="CW270" s="1293"/>
      <c r="CX270" s="1293"/>
      <c r="CY270" s="2099"/>
      <c r="CZ270" s="2053"/>
      <c r="DA270" s="2042"/>
      <c r="DB270" s="2041"/>
      <c r="DC270" s="1293"/>
      <c r="DD270" s="1293"/>
      <c r="DE270" s="1293"/>
      <c r="DF270" s="1293"/>
      <c r="DG270" s="1293"/>
      <c r="DH270" s="1293"/>
      <c r="DI270" s="1293"/>
      <c r="DJ270" s="1293"/>
      <c r="DK270" s="1293"/>
      <c r="DL270" s="2147">
        <v>510.19740000000002</v>
      </c>
    </row>
    <row r="271" spans="1:116" ht="16.5" hidden="1" outlineLevel="1" thickBot="1">
      <c r="A271" s="1293" t="s">
        <v>4692</v>
      </c>
      <c r="B271" s="1293" t="s">
        <v>4692</v>
      </c>
      <c r="C271" s="1699"/>
      <c r="D271" s="1699"/>
      <c r="E271" s="1699"/>
      <c r="F271" s="1699"/>
      <c r="G271" s="2039"/>
      <c r="H271" s="1699"/>
      <c r="I271" s="1699"/>
      <c r="J271" s="1699"/>
      <c r="K271" s="1699"/>
      <c r="L271" s="2039"/>
      <c r="M271" s="1699"/>
      <c r="N271" s="1699"/>
      <c r="O271" s="1699"/>
      <c r="P271" s="1699"/>
      <c r="Q271" s="2039"/>
      <c r="R271" s="1724">
        <f>((R264/M264)*25%+(R266/M266)*25%+(R267/M267)*25%+(R269/M269)*25%)-1</f>
        <v>6.5474712660297696E-2</v>
      </c>
      <c r="S271" s="1724">
        <f>((S264/N264)*25%+(S266/N266)*25%+(S267/N267)*25%+(S269/N269)*25%)-1</f>
        <v>4.6482878680649264E-2</v>
      </c>
      <c r="T271" s="1724">
        <f>((T264/N264)*25%+(T266/N266)*25%+(T267/N267)*25%+(T269/N269)*25%)-1</f>
        <v>4.1846776030529442E-2</v>
      </c>
      <c r="U271" s="1724">
        <f>((U264/O264)*25%+(U266/O266)*25%+(U267/O267)*25%+(U269/O269)*25%)-1</f>
        <v>4.6498085753410967E-2</v>
      </c>
      <c r="V271" s="2039"/>
      <c r="W271" s="1724">
        <f>((W264/Q264)*25%+(W266/Q266)*25%+(W267/Q267)*25%+(W269/Q269)*25%)-1</f>
        <v>-0.51234043698945197</v>
      </c>
      <c r="X271" s="1724">
        <f>((X264/R264)*25%+(X266/R266)*25%+(X267/R267)*25%+(X269/R269)*25%)-1</f>
        <v>-0.51636593317010759</v>
      </c>
      <c r="Y271" s="1724">
        <f>((Y264/S264)*25%+(Y266/S266)*25%+(Y267/S267)*25%+(Y269/S269)*25%)-1</f>
        <v>-0.50334255721906718</v>
      </c>
      <c r="Z271" s="1724">
        <f>((Z264/S264)*25%+(Z266/S266)*25%+(Z267/S267)*25%+(Z269/S269)*25%)-1</f>
        <v>-0.49675615212527968</v>
      </c>
      <c r="AA271" s="2039"/>
      <c r="AB271" s="1724">
        <f>(AB269/V269)-1</f>
        <v>4.0108891296755544E-2</v>
      </c>
      <c r="AC271" s="1724">
        <f>(AC269/W269)-1</f>
        <v>3.388113273576665E-2</v>
      </c>
      <c r="AD271" s="1724"/>
      <c r="AE271" s="1724"/>
      <c r="AF271" s="1724"/>
      <c r="AG271" s="1724"/>
      <c r="AH271" s="1724"/>
      <c r="AI271" s="1724"/>
      <c r="AJ271" s="2039"/>
      <c r="AK271" s="1724"/>
      <c r="AL271" s="1724"/>
      <c r="AM271" s="1724"/>
      <c r="AN271" s="1724"/>
      <c r="AO271" s="2039"/>
      <c r="AP271" s="1724"/>
      <c r="AQ271" s="1724"/>
      <c r="AR271" s="1724"/>
      <c r="AS271" s="1724"/>
      <c r="AT271" s="2039"/>
      <c r="AU271" s="1724"/>
      <c r="AV271" s="1724"/>
      <c r="AW271" s="1724"/>
      <c r="AX271" s="1724"/>
      <c r="AY271" s="2039"/>
      <c r="AZ271" s="1724"/>
      <c r="BA271" s="1724"/>
      <c r="BB271" s="1724"/>
      <c r="BC271" s="1699"/>
      <c r="BD271" s="2039"/>
      <c r="BE271" s="1724"/>
      <c r="BF271" s="1724"/>
      <c r="BG271" s="1724"/>
      <c r="BH271" s="1699"/>
      <c r="BI271" s="2039"/>
      <c r="BJ271" s="1724"/>
      <c r="BK271" s="1724"/>
      <c r="BL271" s="1724"/>
      <c r="BM271" s="1724"/>
      <c r="BN271" s="2039"/>
      <c r="BO271" s="1699"/>
      <c r="BP271" s="1699"/>
      <c r="BQ271" s="1293"/>
      <c r="BR271" s="1293"/>
      <c r="BS271" s="1293"/>
      <c r="BT271" s="1293"/>
      <c r="BU271" s="1293"/>
      <c r="BV271" s="1293"/>
      <c r="BW271" s="1293"/>
      <c r="BX271" s="1293"/>
      <c r="BY271" s="1293"/>
      <c r="BZ271" s="1293"/>
      <c r="CA271" s="1293"/>
      <c r="CB271" s="1293"/>
      <c r="CC271" s="1293"/>
      <c r="CD271" s="1293"/>
      <c r="CE271" s="1293"/>
      <c r="CF271" s="1293"/>
      <c r="CG271" s="1293"/>
      <c r="CH271" s="1293"/>
      <c r="CI271" s="1293"/>
      <c r="CJ271" s="1293"/>
      <c r="CK271" s="1293"/>
      <c r="CL271" s="1293"/>
      <c r="CM271" s="1293"/>
      <c r="CN271" s="1293"/>
      <c r="CO271" s="1293"/>
      <c r="CP271" s="1293"/>
      <c r="CQ271" s="1293"/>
      <c r="CR271" s="1293"/>
      <c r="CS271" s="1293"/>
      <c r="CT271" s="1293"/>
      <c r="CU271" s="1293"/>
      <c r="CV271" s="1293"/>
      <c r="CW271" s="1293"/>
      <c r="CX271" s="1293"/>
      <c r="CY271" s="2041"/>
      <c r="CZ271" s="1699"/>
      <c r="DA271" s="2083"/>
      <c r="DB271" s="2084"/>
      <c r="DC271" s="1293"/>
      <c r="DD271" s="1293"/>
      <c r="DE271" s="1293"/>
      <c r="DF271" s="1293"/>
      <c r="DG271" s="1293"/>
      <c r="DH271" s="1293"/>
      <c r="DI271" s="1293"/>
      <c r="DJ271" s="1293"/>
      <c r="DK271" s="1293"/>
      <c r="DL271" s="2147">
        <v>511.67540000000002</v>
      </c>
    </row>
    <row r="272" spans="1:116" ht="16.5" collapsed="1" thickBot="1">
      <c r="A272" s="1293"/>
      <c r="B272" s="1293"/>
      <c r="C272" s="1293"/>
      <c r="D272" s="1293"/>
      <c r="E272" s="1293"/>
      <c r="F272" s="1293"/>
      <c r="G272" s="2080"/>
      <c r="H272" s="1293"/>
      <c r="I272" s="1293"/>
      <c r="J272" s="1293"/>
      <c r="K272" s="1293"/>
      <c r="L272" s="2080"/>
      <c r="M272" s="1293"/>
      <c r="N272" s="1293"/>
      <c r="O272" s="1293"/>
      <c r="P272" s="1293"/>
      <c r="Q272" s="2080"/>
      <c r="R272" s="1293"/>
      <c r="S272" s="1293"/>
      <c r="T272" s="1293"/>
      <c r="U272" s="1293"/>
      <c r="V272" s="2080"/>
      <c r="W272" s="1293"/>
      <c r="X272" s="1293"/>
      <c r="Y272" s="1293"/>
      <c r="Z272" s="1293"/>
      <c r="AA272" s="2080"/>
      <c r="AB272" s="1293"/>
      <c r="AC272" s="1293"/>
      <c r="AD272" s="1293"/>
      <c r="AE272" s="1293"/>
      <c r="AF272" s="1293"/>
      <c r="AG272" s="1293"/>
      <c r="AH272" s="1293"/>
      <c r="AI272" s="1293"/>
      <c r="AJ272" s="2080"/>
      <c r="AK272" s="1293"/>
      <c r="AL272" s="1293"/>
      <c r="AM272" s="1293"/>
      <c r="AN272" s="1293"/>
      <c r="AO272" s="2080"/>
      <c r="AP272" s="1293"/>
      <c r="AQ272" s="1293"/>
      <c r="AR272" s="1293"/>
      <c r="AS272" s="1293"/>
      <c r="AT272" s="2080"/>
      <c r="AU272" s="1293"/>
      <c r="AV272" s="1293"/>
      <c r="AW272" s="1293"/>
      <c r="AX272" s="1293"/>
      <c r="AY272" s="2080"/>
      <c r="AZ272" s="1293"/>
      <c r="BA272" s="1293"/>
      <c r="BB272" s="1293"/>
      <c r="BC272" s="1293"/>
      <c r="BD272" s="2080"/>
      <c r="BE272" s="1293"/>
      <c r="BF272" s="1293"/>
      <c r="BG272" s="1293"/>
      <c r="BH272" s="1293"/>
      <c r="BI272" s="2080"/>
      <c r="BJ272" s="1293"/>
      <c r="BK272" s="1293"/>
      <c r="BL272" s="1293"/>
      <c r="BM272" s="1293"/>
      <c r="BN272" s="2080"/>
      <c r="BO272" s="1293"/>
      <c r="BP272" s="1293"/>
      <c r="BQ272" s="1293"/>
      <c r="BR272" s="1293"/>
      <c r="BS272" s="1293"/>
      <c r="BT272" s="1293"/>
      <c r="BU272" s="1293"/>
      <c r="BV272" s="1293"/>
      <c r="BW272" s="1293"/>
      <c r="BX272" s="1293"/>
      <c r="BY272" s="1293"/>
      <c r="BZ272" s="1293"/>
      <c r="CA272" s="1293"/>
      <c r="CB272" s="1293"/>
      <c r="CC272" s="1293"/>
      <c r="CD272" s="1293"/>
      <c r="CE272" s="1293"/>
      <c r="CF272" s="1293"/>
      <c r="CG272" s="1293"/>
      <c r="CH272" s="1293"/>
      <c r="CI272" s="1293"/>
      <c r="CJ272" s="1293"/>
      <c r="CK272" s="1293"/>
      <c r="CL272" s="1293"/>
      <c r="CM272" s="1293"/>
      <c r="CN272" s="1293"/>
      <c r="CO272" s="1293"/>
      <c r="CP272" s="1293"/>
      <c r="CQ272" s="1293"/>
      <c r="CR272" s="1293"/>
      <c r="CS272" s="1293"/>
      <c r="CT272" s="1293"/>
      <c r="CU272" s="1293"/>
      <c r="CV272" s="1293"/>
      <c r="CW272" s="1293"/>
      <c r="CX272" s="1293"/>
      <c r="CY272" s="2032"/>
      <c r="CZ272" s="1293"/>
      <c r="DA272" s="2031"/>
      <c r="DB272" s="2032"/>
      <c r="DC272" s="1293"/>
      <c r="DD272" s="1293"/>
      <c r="DE272" s="1293"/>
      <c r="DF272" s="1293"/>
      <c r="DG272" s="1293"/>
      <c r="DH272" s="1293"/>
      <c r="DI272" s="1293"/>
      <c r="DJ272" s="1293"/>
      <c r="DK272" s="1293"/>
      <c r="DL272" s="2147">
        <v>511.46069999999997</v>
      </c>
    </row>
    <row r="273" spans="1:116" ht="16.5" thickBot="1">
      <c r="A273" s="1293"/>
      <c r="B273" s="1293"/>
      <c r="C273" s="1293"/>
      <c r="D273" s="1293"/>
      <c r="E273" s="1293"/>
      <c r="F273" s="1293"/>
      <c r="G273" s="2080"/>
      <c r="H273" s="1293"/>
      <c r="I273" s="1293"/>
      <c r="J273" s="1293"/>
      <c r="K273" s="1293"/>
      <c r="L273" s="2080"/>
      <c r="M273" s="1293"/>
      <c r="N273" s="1293"/>
      <c r="O273" s="1293"/>
      <c r="P273" s="1293"/>
      <c r="Q273" s="2080"/>
      <c r="R273" s="1293"/>
      <c r="S273" s="1293"/>
      <c r="T273" s="1293"/>
      <c r="U273" s="1293"/>
      <c r="V273" s="2080"/>
      <c r="W273" s="1293"/>
      <c r="X273" s="1293"/>
      <c r="Y273" s="1293"/>
      <c r="Z273" s="1293"/>
      <c r="AA273" s="2080"/>
      <c r="AB273" s="1293"/>
      <c r="AC273" s="1293"/>
      <c r="AD273" s="1293"/>
      <c r="AE273" s="1293"/>
      <c r="AF273" s="1293"/>
      <c r="AG273" s="1293"/>
      <c r="AH273" s="1293"/>
      <c r="AI273" s="1293"/>
      <c r="AJ273" s="2080"/>
      <c r="AK273" s="1293"/>
      <c r="AL273" s="1293"/>
      <c r="AM273" s="1293"/>
      <c r="AN273" s="1293"/>
      <c r="AO273" s="2080"/>
      <c r="AP273" s="1293"/>
      <c r="AQ273" s="1293"/>
      <c r="AR273" s="1293"/>
      <c r="AS273" s="1293"/>
      <c r="AT273" s="2080"/>
      <c r="AU273" s="1293"/>
      <c r="AV273" s="1293"/>
      <c r="AW273" s="1293"/>
      <c r="AX273" s="1293"/>
      <c r="AY273" s="2080"/>
      <c r="AZ273" s="1293"/>
      <c r="BA273" s="1293"/>
      <c r="BB273" s="1293"/>
      <c r="BC273" s="1293"/>
      <c r="BD273" s="2080"/>
      <c r="BE273" s="1293"/>
      <c r="BF273" s="1293"/>
      <c r="BG273" s="1293"/>
      <c r="BH273" s="1293"/>
      <c r="BI273" s="2080"/>
      <c r="BJ273" s="1293"/>
      <c r="BK273" s="1293"/>
      <c r="BL273" s="1293"/>
      <c r="BM273" s="1293"/>
      <c r="BN273" s="2080"/>
      <c r="BO273" s="1293"/>
      <c r="BP273" s="1293"/>
      <c r="BQ273" s="1293"/>
      <c r="BR273" s="1293"/>
      <c r="BS273" s="1293"/>
      <c r="BT273" s="1293"/>
      <c r="BU273" s="1293"/>
      <c r="BV273" s="1293"/>
      <c r="BW273" s="1293"/>
      <c r="BX273" s="1293"/>
      <c r="BY273" s="1293"/>
      <c r="BZ273" s="1293"/>
      <c r="CA273" s="1293"/>
      <c r="CB273" s="1293"/>
      <c r="CC273" s="1293"/>
      <c r="CD273" s="1293"/>
      <c r="CE273" s="1293"/>
      <c r="CF273" s="1293"/>
      <c r="CG273" s="1293"/>
      <c r="CH273" s="1293"/>
      <c r="CI273" s="1293"/>
      <c r="CJ273" s="1293"/>
      <c r="CK273" s="1293"/>
      <c r="CL273" s="1293"/>
      <c r="CM273" s="1293"/>
      <c r="CN273" s="1293"/>
      <c r="CO273" s="1293"/>
      <c r="CP273" s="1293"/>
      <c r="CQ273" s="1293"/>
      <c r="CR273" s="1293"/>
      <c r="CS273" s="1293"/>
      <c r="CT273" s="1293"/>
      <c r="CU273" s="1293"/>
      <c r="CV273" s="1293"/>
      <c r="CW273" s="1293"/>
      <c r="CX273" s="1293"/>
      <c r="CY273" s="2032"/>
      <c r="CZ273" s="1293"/>
      <c r="DA273" s="2031"/>
      <c r="DB273" s="2032"/>
      <c r="DC273" s="1293"/>
      <c r="DD273" s="1293"/>
      <c r="DE273" s="1293"/>
      <c r="DF273" s="1293"/>
      <c r="DG273" s="1293"/>
      <c r="DH273" s="1293"/>
      <c r="DI273" s="1293"/>
      <c r="DJ273" s="1293"/>
      <c r="DK273" s="1293"/>
      <c r="DL273" s="2147"/>
    </row>
    <row r="274" spans="1:116" ht="16.5" thickBot="1">
      <c r="A274" s="1293"/>
      <c r="B274" s="1293"/>
      <c r="C274" s="1293"/>
      <c r="D274" s="1293"/>
      <c r="E274" s="1293"/>
      <c r="F274" s="1293"/>
      <c r="G274" s="2080"/>
      <c r="H274" s="1293"/>
      <c r="I274" s="1293"/>
      <c r="J274" s="1293"/>
      <c r="K274" s="1293"/>
      <c r="L274" s="2080"/>
      <c r="M274" s="1293"/>
      <c r="N274" s="1293"/>
      <c r="O274" s="1293"/>
      <c r="P274" s="1293"/>
      <c r="Q274" s="2080"/>
      <c r="R274" s="1293"/>
      <c r="S274" s="1293"/>
      <c r="T274" s="1293"/>
      <c r="U274" s="1293"/>
      <c r="V274" s="2080"/>
      <c r="W274" s="1293"/>
      <c r="X274" s="1293"/>
      <c r="Y274" s="1293"/>
      <c r="Z274" s="1293"/>
      <c r="AA274" s="2080"/>
      <c r="AB274" s="1293"/>
      <c r="AC274" s="1293"/>
      <c r="AD274" s="1293"/>
      <c r="AE274" s="1293"/>
      <c r="AF274" s="1293"/>
      <c r="AG274" s="1293"/>
      <c r="AH274" s="1293"/>
      <c r="AI274" s="1293"/>
      <c r="AJ274" s="2080"/>
      <c r="AK274" s="1293"/>
      <c r="AL274" s="1293"/>
      <c r="AM274" s="1293"/>
      <c r="AN274" s="1293"/>
      <c r="AO274" s="2080"/>
      <c r="AP274" s="1293"/>
      <c r="AQ274" s="1293"/>
      <c r="AR274" s="1293"/>
      <c r="AS274" s="1293"/>
      <c r="AT274" s="2080"/>
      <c r="AU274" s="1293"/>
      <c r="AV274" s="1293"/>
      <c r="AW274" s="1293"/>
      <c r="AX274" s="1293"/>
      <c r="AY274" s="2080"/>
      <c r="AZ274" s="1293"/>
      <c r="BA274" s="1293"/>
      <c r="BB274" s="1293"/>
      <c r="BC274" s="1293"/>
      <c r="BD274" s="2080"/>
      <c r="BE274" s="1293"/>
      <c r="BF274" s="1293"/>
      <c r="BG274" s="1293"/>
      <c r="BH274" s="1293"/>
      <c r="BI274" s="2080"/>
      <c r="BJ274" s="1293"/>
      <c r="BK274" s="1293"/>
      <c r="BL274" s="1293"/>
      <c r="BM274" s="1293"/>
      <c r="BN274" s="2080"/>
      <c r="BO274" s="1293"/>
      <c r="BP274" s="1293"/>
      <c r="BQ274" s="1293"/>
      <c r="BR274" s="1293"/>
      <c r="BS274" s="1293"/>
      <c r="BT274" s="1293"/>
      <c r="BU274" s="1293"/>
      <c r="BV274" s="1293"/>
      <c r="BW274" s="1293"/>
      <c r="BX274" s="1293"/>
      <c r="BY274" s="1293"/>
      <c r="BZ274" s="1293"/>
      <c r="CA274" s="1293"/>
      <c r="CB274" s="1293"/>
      <c r="CC274" s="1293"/>
      <c r="CD274" s="1293"/>
      <c r="CE274" s="1293"/>
      <c r="CF274" s="1293"/>
      <c r="CG274" s="1293"/>
      <c r="CH274" s="1293"/>
      <c r="CI274" s="1293"/>
      <c r="CJ274" s="1293"/>
      <c r="CK274" s="1293"/>
      <c r="CL274" s="1293"/>
      <c r="CM274" s="1293"/>
      <c r="CN274" s="1293"/>
      <c r="CO274" s="1293"/>
      <c r="CP274" s="1293"/>
      <c r="CQ274" s="1293"/>
      <c r="CR274" s="1293"/>
      <c r="CS274" s="1293"/>
      <c r="CT274" s="1293"/>
      <c r="CU274" s="1293"/>
      <c r="CV274" s="1293"/>
      <c r="CW274" s="1293"/>
      <c r="CX274" s="1293"/>
      <c r="CY274" s="2032"/>
      <c r="CZ274" s="1293"/>
      <c r="DA274" s="2031"/>
      <c r="DB274" s="2032"/>
      <c r="DC274" s="1293"/>
      <c r="DD274" s="1293"/>
      <c r="DE274" s="1293"/>
      <c r="DF274" s="1293"/>
      <c r="DG274" s="1293"/>
      <c r="DH274" s="1293"/>
      <c r="DI274" s="1293"/>
      <c r="DJ274" s="1293"/>
      <c r="DK274" s="1293"/>
      <c r="DL274" s="2147"/>
    </row>
    <row r="275" spans="1:116" ht="16.5" thickBot="1">
      <c r="A275" s="1293"/>
      <c r="B275" s="2033" t="s">
        <v>4518</v>
      </c>
      <c r="C275" s="1883" t="str">
        <f t="shared" ref="C275:AH275" si="306">C2</f>
        <v>Q1 14</v>
      </c>
      <c r="D275" s="1883" t="str">
        <f t="shared" si="306"/>
        <v>Q2 14</v>
      </c>
      <c r="E275" s="1883" t="str">
        <f t="shared" si="306"/>
        <v>Q3 14</v>
      </c>
      <c r="F275" s="1883" t="str">
        <f t="shared" si="306"/>
        <v>Q4 14</v>
      </c>
      <c r="G275" s="2034" t="str">
        <f t="shared" si="306"/>
        <v>FY 14</v>
      </c>
      <c r="H275" s="1883" t="str">
        <f t="shared" si="306"/>
        <v>Q1 15</v>
      </c>
      <c r="I275" s="1883" t="str">
        <f t="shared" si="306"/>
        <v>Q2 15</v>
      </c>
      <c r="J275" s="1883" t="str">
        <f t="shared" si="306"/>
        <v>Q3 15</v>
      </c>
      <c r="K275" s="1883" t="str">
        <f t="shared" si="306"/>
        <v>Q4 15</v>
      </c>
      <c r="L275" s="2034" t="str">
        <f t="shared" si="306"/>
        <v>FY 15</v>
      </c>
      <c r="M275" s="1883" t="str">
        <f t="shared" si="306"/>
        <v>Q1 16</v>
      </c>
      <c r="N275" s="1883" t="str">
        <f t="shared" si="306"/>
        <v>Q2 16</v>
      </c>
      <c r="O275" s="1883" t="str">
        <f t="shared" si="306"/>
        <v>Q3 16</v>
      </c>
      <c r="P275" s="1883" t="str">
        <f t="shared" si="306"/>
        <v>Q4 16</v>
      </c>
      <c r="Q275" s="2034">
        <f t="shared" si="306"/>
        <v>2016</v>
      </c>
      <c r="R275" s="1883" t="str">
        <f t="shared" si="306"/>
        <v>Q1 17</v>
      </c>
      <c r="S275" s="1883" t="str">
        <f t="shared" si="306"/>
        <v>Q2 17</v>
      </c>
      <c r="T275" s="1883" t="str">
        <f t="shared" si="306"/>
        <v>Q3 17</v>
      </c>
      <c r="U275" s="1883" t="str">
        <f t="shared" si="306"/>
        <v>Q4 17</v>
      </c>
      <c r="V275" s="2034">
        <f t="shared" si="306"/>
        <v>2017</v>
      </c>
      <c r="W275" s="1883" t="str">
        <f t="shared" si="306"/>
        <v>Q1 18</v>
      </c>
      <c r="X275" s="1883" t="str">
        <f t="shared" si="306"/>
        <v>Q2 18</v>
      </c>
      <c r="Y275" s="1883" t="str">
        <f t="shared" si="306"/>
        <v>Q3 18</v>
      </c>
      <c r="Z275" s="1883" t="str">
        <f t="shared" si="306"/>
        <v>Q4 18</v>
      </c>
      <c r="AA275" s="2034">
        <f t="shared" si="306"/>
        <v>2018</v>
      </c>
      <c r="AB275" s="1883" t="str">
        <f t="shared" si="306"/>
        <v>Q1 19</v>
      </c>
      <c r="AC275" s="1883" t="str">
        <f t="shared" si="306"/>
        <v>Q1 19</v>
      </c>
      <c r="AD275" s="1883" t="str">
        <f t="shared" si="306"/>
        <v>Q2 19</v>
      </c>
      <c r="AE275" s="1883" t="str">
        <f t="shared" si="306"/>
        <v>Q2 19</v>
      </c>
      <c r="AF275" s="1883" t="str">
        <f t="shared" si="306"/>
        <v>Q3 19</v>
      </c>
      <c r="AG275" s="1883" t="str">
        <f t="shared" si="306"/>
        <v>Q3 19</v>
      </c>
      <c r="AH275" s="1883" t="str">
        <f t="shared" si="306"/>
        <v>Q4 19</v>
      </c>
      <c r="AI275" s="1883" t="str">
        <f t="shared" ref="AI275:BM275" si="307">AI2</f>
        <v>Q4 19</v>
      </c>
      <c r="AJ275" s="2034">
        <f t="shared" si="307"/>
        <v>2019</v>
      </c>
      <c r="AK275" s="1883" t="str">
        <f t="shared" si="307"/>
        <v>Q1 20</v>
      </c>
      <c r="AL275" s="1883" t="str">
        <f t="shared" si="307"/>
        <v>Q2 20</v>
      </c>
      <c r="AM275" s="1883" t="str">
        <f t="shared" si="307"/>
        <v>Q3 20</v>
      </c>
      <c r="AN275" s="1883" t="str">
        <f t="shared" si="307"/>
        <v>Q4 20</v>
      </c>
      <c r="AO275" s="2034">
        <f t="shared" si="307"/>
        <v>2020</v>
      </c>
      <c r="AP275" s="1883" t="str">
        <f t="shared" si="307"/>
        <v>Q1 21</v>
      </c>
      <c r="AQ275" s="1883" t="str">
        <f t="shared" si="307"/>
        <v>Q2 21</v>
      </c>
      <c r="AR275" s="1883" t="str">
        <f t="shared" si="307"/>
        <v>Q3 21</v>
      </c>
      <c r="AS275" s="1883" t="str">
        <f t="shared" si="307"/>
        <v>Q4 21</v>
      </c>
      <c r="AT275" s="2034">
        <f t="shared" si="307"/>
        <v>2021</v>
      </c>
      <c r="AU275" s="1883" t="str">
        <f t="shared" si="307"/>
        <v>Q1 22</v>
      </c>
      <c r="AV275" s="1883" t="str">
        <f t="shared" si="307"/>
        <v>Q2 22</v>
      </c>
      <c r="AW275" s="1883" t="str">
        <f t="shared" si="307"/>
        <v>Q3 22</v>
      </c>
      <c r="AX275" s="1883" t="str">
        <f t="shared" si="307"/>
        <v>Q4 22</v>
      </c>
      <c r="AY275" s="2034">
        <f t="shared" si="307"/>
        <v>2022</v>
      </c>
      <c r="AZ275" s="1883" t="str">
        <f t="shared" si="307"/>
        <v>Q1 23</v>
      </c>
      <c r="BA275" s="1883" t="str">
        <f t="shared" si="307"/>
        <v>Q2 23</v>
      </c>
      <c r="BB275" s="1883" t="str">
        <f t="shared" si="307"/>
        <v>Q3 23</v>
      </c>
      <c r="BC275" s="1883" t="str">
        <f t="shared" si="307"/>
        <v>Q4 23</v>
      </c>
      <c r="BD275" s="2034">
        <f t="shared" si="307"/>
        <v>2023</v>
      </c>
      <c r="BE275" s="1883" t="str">
        <f t="shared" si="307"/>
        <v>Q1 24</v>
      </c>
      <c r="BF275" s="1883" t="str">
        <f t="shared" si="307"/>
        <v>Q2 24</v>
      </c>
      <c r="BG275" s="1883" t="str">
        <f t="shared" si="307"/>
        <v>Q3 24</v>
      </c>
      <c r="BH275" s="1883" t="str">
        <f t="shared" si="307"/>
        <v>Q4 24</v>
      </c>
      <c r="BI275" s="2034">
        <f t="shared" si="307"/>
        <v>2024</v>
      </c>
      <c r="BJ275" s="1883" t="str">
        <f t="shared" si="307"/>
        <v>Q1 25</v>
      </c>
      <c r="BK275" s="1883" t="str">
        <f t="shared" si="307"/>
        <v>Q2 25</v>
      </c>
      <c r="BL275" s="1883" t="str">
        <f t="shared" si="307"/>
        <v>Q3 25</v>
      </c>
      <c r="BM275" s="1883" t="str">
        <f t="shared" si="307"/>
        <v>Q4 25</v>
      </c>
      <c r="BN275" s="2034">
        <f t="shared" ref="BN275" si="308">BN2</f>
        <v>2025</v>
      </c>
      <c r="BO275" s="1323"/>
      <c r="BP275" s="1323"/>
      <c r="BQ275" s="1293"/>
      <c r="BR275" s="1293"/>
      <c r="BS275" s="1293"/>
      <c r="BT275" s="1293"/>
      <c r="BU275" s="1293"/>
      <c r="BV275" s="1293"/>
      <c r="BW275" s="1293"/>
      <c r="BX275" s="1293"/>
      <c r="BY275" s="1293"/>
      <c r="BZ275" s="1293"/>
      <c r="CA275" s="1293"/>
      <c r="CB275" s="1293"/>
      <c r="CC275" s="1293"/>
      <c r="CD275" s="1293"/>
      <c r="CE275" s="1293"/>
      <c r="CF275" s="1293"/>
      <c r="CG275" s="1293"/>
      <c r="CH275" s="1293"/>
      <c r="CI275" s="1293"/>
      <c r="CJ275" s="1293"/>
      <c r="CK275" s="1293"/>
      <c r="CL275" s="1293"/>
      <c r="CM275" s="1293"/>
      <c r="CN275" s="1293"/>
      <c r="CO275" s="1293"/>
      <c r="CP275" s="1293"/>
      <c r="CQ275" s="1293"/>
      <c r="CR275" s="1293"/>
      <c r="CS275" s="1293"/>
      <c r="CT275" s="1293"/>
      <c r="CU275" s="1293"/>
      <c r="CV275" s="1293"/>
      <c r="CW275" s="1293"/>
      <c r="CX275" s="1293"/>
      <c r="CY275" s="2036" t="s">
        <v>7795</v>
      </c>
      <c r="CZ275" s="1883" t="str">
        <f>CZ2</f>
        <v>Q3 23e</v>
      </c>
      <c r="DA275" s="2037" t="s">
        <v>8571</v>
      </c>
      <c r="DB275" s="2038" t="s">
        <v>8572</v>
      </c>
      <c r="DC275" s="1293"/>
      <c r="DD275" s="1293"/>
      <c r="DE275" s="1293"/>
      <c r="DF275" s="1293"/>
      <c r="DG275" s="1293"/>
      <c r="DH275" s="1293"/>
      <c r="DI275" s="1293"/>
      <c r="DJ275" s="1293"/>
      <c r="DK275" s="1293"/>
      <c r="DL275" s="2147">
        <v>511.99489999999997</v>
      </c>
    </row>
    <row r="276" spans="1:116" ht="16.5" thickBot="1">
      <c r="A276" s="1293"/>
      <c r="B276" s="1293" t="str">
        <f t="shared" ref="B276:B285" si="309">B3</f>
        <v>El Salvador</v>
      </c>
      <c r="C276" s="1699">
        <f t="shared" ref="C276:AN276" si="310">C3*C251</f>
        <v>109.98287406</v>
      </c>
      <c r="D276" s="1699">
        <f t="shared" si="310"/>
        <v>111.18726886</v>
      </c>
      <c r="E276" s="1699">
        <f t="shared" si="310"/>
        <v>109.14958732000001</v>
      </c>
      <c r="F276" s="1699">
        <f t="shared" si="310"/>
        <v>114.7815171</v>
      </c>
      <c r="G276" s="2039">
        <f t="shared" si="310"/>
        <v>445.10124733999999</v>
      </c>
      <c r="H276" s="1699">
        <f t="shared" si="310"/>
        <v>111.32269108999999</v>
      </c>
      <c r="I276" s="1699">
        <f t="shared" si="310"/>
        <v>112.37097544</v>
      </c>
      <c r="J276" s="1699">
        <f t="shared" si="310"/>
        <v>111.31777834</v>
      </c>
      <c r="K276" s="1699">
        <f t="shared" si="310"/>
        <v>114.68917062</v>
      </c>
      <c r="L276" s="2039">
        <f t="shared" si="310"/>
        <v>449.70061549000002</v>
      </c>
      <c r="M276" s="1699">
        <f t="shared" si="310"/>
        <v>107.92572611</v>
      </c>
      <c r="N276" s="1699">
        <f t="shared" si="310"/>
        <v>106.51036797</v>
      </c>
      <c r="O276" s="1699">
        <f t="shared" si="310"/>
        <v>105.173674200001</v>
      </c>
      <c r="P276" s="1699">
        <f t="shared" si="310"/>
        <v>106</v>
      </c>
      <c r="Q276" s="2039">
        <f t="shared" si="310"/>
        <v>425.60976828000099</v>
      </c>
      <c r="R276" s="1699">
        <f t="shared" si="310"/>
        <v>102</v>
      </c>
      <c r="S276" s="1699">
        <f t="shared" si="310"/>
        <v>106</v>
      </c>
      <c r="T276" s="1699">
        <f t="shared" si="310"/>
        <v>105</v>
      </c>
      <c r="U276" s="1699">
        <f t="shared" si="310"/>
        <v>110</v>
      </c>
      <c r="V276" s="2039">
        <f t="shared" si="310"/>
        <v>423</v>
      </c>
      <c r="W276" s="1699">
        <f t="shared" si="310"/>
        <v>104</v>
      </c>
      <c r="X276" s="1699">
        <f t="shared" si="310"/>
        <v>103</v>
      </c>
      <c r="Y276" s="1699">
        <f t="shared" si="310"/>
        <v>98</v>
      </c>
      <c r="Z276" s="1699">
        <f t="shared" si="310"/>
        <v>101</v>
      </c>
      <c r="AA276" s="2039">
        <f t="shared" si="310"/>
        <v>406</v>
      </c>
      <c r="AB276" s="1699">
        <f t="shared" si="310"/>
        <v>96</v>
      </c>
      <c r="AC276" s="1699">
        <f t="shared" si="310"/>
        <v>96</v>
      </c>
      <c r="AD276" s="1699">
        <f t="shared" si="310"/>
        <v>97</v>
      </c>
      <c r="AE276" s="1699">
        <f t="shared" si="310"/>
        <v>97</v>
      </c>
      <c r="AF276" s="1699">
        <f t="shared" si="310"/>
        <v>95</v>
      </c>
      <c r="AG276" s="1699">
        <f t="shared" si="310"/>
        <v>95</v>
      </c>
      <c r="AH276" s="1699">
        <f t="shared" si="310"/>
        <v>98</v>
      </c>
      <c r="AI276" s="1699">
        <f t="shared" si="310"/>
        <v>98</v>
      </c>
      <c r="AJ276" s="2039">
        <f t="shared" si="310"/>
        <v>386</v>
      </c>
      <c r="AK276" s="1699">
        <f t="shared" si="310"/>
        <v>96</v>
      </c>
      <c r="AL276" s="1699">
        <f t="shared" si="310"/>
        <v>88</v>
      </c>
      <c r="AM276" s="1699">
        <f t="shared" si="310"/>
        <v>96</v>
      </c>
      <c r="AN276" s="1699">
        <f t="shared" si="310"/>
        <v>110</v>
      </c>
      <c r="AO276" s="2039">
        <f>SUM(AK276:AN276)</f>
        <v>390</v>
      </c>
      <c r="AP276" s="1699">
        <f t="shared" ref="AP276:AS279" si="311">AP3*AP251</f>
        <v>107</v>
      </c>
      <c r="AQ276" s="1699">
        <f t="shared" si="311"/>
        <v>109</v>
      </c>
      <c r="AR276" s="1699">
        <f t="shared" si="311"/>
        <v>111</v>
      </c>
      <c r="AS276" s="1699">
        <f t="shared" si="311"/>
        <v>120</v>
      </c>
      <c r="AT276" s="2039">
        <f>SUM(AP276:AS276)</f>
        <v>447</v>
      </c>
      <c r="AU276" s="1327">
        <f t="shared" ref="AU276:AX281" si="312">AU3*AU251</f>
        <v>117</v>
      </c>
      <c r="AV276" s="1327">
        <f t="shared" si="312"/>
        <v>117.07</v>
      </c>
      <c r="AW276" s="1327">
        <f t="shared" si="312"/>
        <v>115.88</v>
      </c>
      <c r="AX276" s="1327">
        <f t="shared" si="312"/>
        <v>126</v>
      </c>
      <c r="AY276" s="2161">
        <f>SUM(AU276:AX276)</f>
        <v>475.95</v>
      </c>
      <c r="AZ276" s="1327">
        <f t="shared" ref="AZ276:BC281" si="313">AZ3*AZ251</f>
        <v>119</v>
      </c>
      <c r="BA276" s="1327">
        <f t="shared" si="313"/>
        <v>122</v>
      </c>
      <c r="BB276" s="1327">
        <f t="shared" si="313"/>
        <v>122.901</v>
      </c>
      <c r="BC276" s="1327">
        <f t="shared" si="313"/>
        <v>125.32</v>
      </c>
      <c r="BD276" s="2161">
        <f>SUM(AZ276:BC276)</f>
        <v>489.221</v>
      </c>
      <c r="BE276" s="1327">
        <f t="shared" ref="BE276:BH281" si="314">BE3*BE251</f>
        <v>126.58929999999999</v>
      </c>
      <c r="BF276" s="1327">
        <f t="shared" si="314"/>
        <v>123.5446</v>
      </c>
      <c r="BG276" s="1327">
        <f t="shared" si="314"/>
        <v>125.0155</v>
      </c>
      <c r="BH276" s="1327">
        <f t="shared" si="314"/>
        <v>120.5526</v>
      </c>
      <c r="BI276" s="2161">
        <f>SUM(BE276:BH276)</f>
        <v>495.702</v>
      </c>
      <c r="BJ276" s="1327">
        <f t="shared" ref="BJ276:BM281" si="315">BJ301+BJ326</f>
        <v>125.31633349999998</v>
      </c>
      <c r="BK276" s="1327">
        <f t="shared" si="315"/>
        <v>126.758337</v>
      </c>
      <c r="BL276" s="1327">
        <f t="shared" si="315"/>
        <v>126.95471250099999</v>
      </c>
      <c r="BM276" s="1327">
        <f t="shared" si="315"/>
        <v>125.63261699900008</v>
      </c>
      <c r="BN276" s="2161">
        <f>SUM(BJ276:BM276)</f>
        <v>504.66200000000003</v>
      </c>
      <c r="BO276" s="1699"/>
      <c r="BP276" s="1699"/>
      <c r="BQ276" s="1293"/>
      <c r="BR276" s="1293"/>
      <c r="BS276" s="1293"/>
      <c r="BT276" s="1293"/>
      <c r="BU276" s="1293"/>
      <c r="BV276" s="1293"/>
      <c r="BW276" s="1293"/>
      <c r="BX276" s="1293"/>
      <c r="BY276" s="1293"/>
      <c r="BZ276" s="1293"/>
      <c r="CA276" s="1293"/>
      <c r="CB276" s="1293"/>
      <c r="CC276" s="1293"/>
      <c r="CD276" s="1293"/>
      <c r="CE276" s="1293"/>
      <c r="CF276" s="1293"/>
      <c r="CG276" s="1293"/>
      <c r="CH276" s="1293"/>
      <c r="CI276" s="1293"/>
      <c r="CJ276" s="1293"/>
      <c r="CK276" s="1293"/>
      <c r="CL276" s="1293"/>
      <c r="CM276" s="1293"/>
      <c r="CN276" s="1293"/>
      <c r="CO276" s="1293"/>
      <c r="CP276" s="1293"/>
      <c r="CQ276" s="1293"/>
      <c r="CR276" s="1293"/>
      <c r="CS276" s="1293"/>
      <c r="CT276" s="1293"/>
      <c r="CU276" s="1293"/>
      <c r="CV276" s="1293"/>
      <c r="CW276" s="1293"/>
      <c r="CX276" s="1293"/>
      <c r="CY276" s="2041"/>
      <c r="CZ276" s="1699"/>
      <c r="DA276" s="2042"/>
      <c r="DB276" s="2041"/>
      <c r="DC276" s="1293"/>
      <c r="DD276" s="1293"/>
      <c r="DE276" s="1293"/>
      <c r="DF276" s="1293"/>
      <c r="DG276" s="1293"/>
      <c r="DH276" s="1293"/>
      <c r="DI276" s="1293"/>
      <c r="DJ276" s="1293"/>
      <c r="DK276" s="1293"/>
      <c r="DL276" s="2147">
        <v>511.97239999999999</v>
      </c>
    </row>
    <row r="277" spans="1:116" ht="16.5" thickBot="1">
      <c r="A277" s="1293"/>
      <c r="B277" s="1293" t="str">
        <f t="shared" si="309"/>
        <v>Guatemala</v>
      </c>
      <c r="C277" s="1699">
        <f t="shared" ref="C277:AN277" si="316">C4*C252</f>
        <v>2351.0797019925503</v>
      </c>
      <c r="D277" s="1699">
        <f t="shared" si="316"/>
        <v>2401.4855880832961</v>
      </c>
      <c r="E277" s="1699">
        <f t="shared" si="316"/>
        <v>2379.6315849939915</v>
      </c>
      <c r="F277" s="1699">
        <f t="shared" si="316"/>
        <v>2509.086826847772</v>
      </c>
      <c r="G277" s="2039">
        <f t="shared" si="316"/>
        <v>9645.4985662893287</v>
      </c>
      <c r="H277" s="1699">
        <f t="shared" si="316"/>
        <v>2422.6118286238279</v>
      </c>
      <c r="I277" s="1699">
        <f t="shared" si="316"/>
        <v>2469.6656260347336</v>
      </c>
      <c r="J277" s="1699">
        <f t="shared" si="316"/>
        <v>2495.5712434756911</v>
      </c>
      <c r="K277" s="1699">
        <f t="shared" si="316"/>
        <v>2604.6280362270181</v>
      </c>
      <c r="L277" s="2039">
        <f t="shared" si="316"/>
        <v>9992.6339678713975</v>
      </c>
      <c r="M277" s="1699">
        <f t="shared" si="316"/>
        <v>2456.4251993505004</v>
      </c>
      <c r="N277" s="1699">
        <f t="shared" si="316"/>
        <v>2459.4005709613857</v>
      </c>
      <c r="O277" s="1699">
        <f t="shared" si="316"/>
        <v>2361.8623479873572</v>
      </c>
      <c r="P277" s="1699">
        <f t="shared" si="316"/>
        <v>2481.6</v>
      </c>
      <c r="Q277" s="2039">
        <f t="shared" si="316"/>
        <v>9774.5687746004587</v>
      </c>
      <c r="R277" s="1699">
        <f t="shared" si="316"/>
        <v>2377.6</v>
      </c>
      <c r="S277" s="1699">
        <f t="shared" si="316"/>
        <v>2385.5</v>
      </c>
      <c r="T277" s="1699">
        <f t="shared" si="316"/>
        <v>2434.23</v>
      </c>
      <c r="U277" s="1699">
        <f t="shared" si="316"/>
        <v>2561.66</v>
      </c>
      <c r="V277" s="2039">
        <f t="shared" si="316"/>
        <v>9766.7200000000012</v>
      </c>
      <c r="W277" s="1699">
        <f t="shared" si="316"/>
        <v>2467.4902246153842</v>
      </c>
      <c r="X277" s="1699">
        <f t="shared" si="316"/>
        <v>2523.7421390769227</v>
      </c>
      <c r="Y277" s="1699">
        <f t="shared" si="316"/>
        <v>2574.9505438461542</v>
      </c>
      <c r="Z277" s="1699">
        <f t="shared" si="316"/>
        <v>2763.7599999999998</v>
      </c>
      <c r="AA277" s="2039">
        <f t="shared" si="316"/>
        <v>10324.959999999999</v>
      </c>
      <c r="AB277" s="1699">
        <f t="shared" si="316"/>
        <v>2647.96</v>
      </c>
      <c r="AC277" s="1699">
        <f t="shared" si="316"/>
        <v>2647.96</v>
      </c>
      <c r="AD277" s="1699">
        <f t="shared" si="316"/>
        <v>2724.5297328358201</v>
      </c>
      <c r="AE277" s="1699">
        <f t="shared" si="316"/>
        <v>2724.5297328358201</v>
      </c>
      <c r="AF277" s="1699">
        <f t="shared" si="316"/>
        <v>2757.12</v>
      </c>
      <c r="AG277" s="1699">
        <f t="shared" si="316"/>
        <v>2757.12</v>
      </c>
      <c r="AH277" s="1699">
        <f t="shared" si="316"/>
        <v>2918.16</v>
      </c>
      <c r="AI277" s="1699">
        <f t="shared" si="316"/>
        <v>2918.16</v>
      </c>
      <c r="AJ277" s="2039">
        <f t="shared" si="316"/>
        <v>11049.5</v>
      </c>
      <c r="AK277" s="1699">
        <f t="shared" si="316"/>
        <v>2834.5067100000001</v>
      </c>
      <c r="AL277" s="1699">
        <f t="shared" si="316"/>
        <v>2747.7219</v>
      </c>
      <c r="AM277" s="1699">
        <f t="shared" si="316"/>
        <v>2937.4</v>
      </c>
      <c r="AN277" s="1699">
        <f t="shared" si="316"/>
        <v>3096.6</v>
      </c>
      <c r="AO277" s="2039">
        <f t="shared" ref="AO277:AO279" si="317">SUM(AK277:AN277)</f>
        <v>11616.22861</v>
      </c>
      <c r="AP277" s="1699">
        <f t="shared" si="311"/>
        <v>3014.5579312499995</v>
      </c>
      <c r="AQ277" s="1699">
        <f t="shared" si="311"/>
        <v>3097.0054209230771</v>
      </c>
      <c r="AR277" s="1699">
        <f t="shared" si="311"/>
        <v>3096.7848484848487</v>
      </c>
      <c r="AS277" s="1699">
        <f t="shared" si="311"/>
        <v>3172.3831999999998</v>
      </c>
      <c r="AT277" s="2039">
        <f t="shared" ref="AT277:AT279" si="318">SUM(AP277:AS277)</f>
        <v>12380.731400657925</v>
      </c>
      <c r="AU277" s="1327">
        <f t="shared" si="312"/>
        <v>3032.2206191475693</v>
      </c>
      <c r="AV277" s="1327">
        <f t="shared" si="312"/>
        <v>3235.3186743248316</v>
      </c>
      <c r="AW277" s="1327">
        <f t="shared" si="312"/>
        <v>3105.0738179999998</v>
      </c>
      <c r="AX277" s="1327">
        <f t="shared" si="312"/>
        <v>3130.1979550390001</v>
      </c>
      <c r="AY277" s="2161">
        <f t="shared" ref="AY277:AY288" si="319">SUM(AU277:AX277)</f>
        <v>12502.811066511402</v>
      </c>
      <c r="AZ277" s="1327">
        <f t="shared" si="313"/>
        <v>3085.71198</v>
      </c>
      <c r="BA277" s="1327">
        <f t="shared" si="313"/>
        <v>3080.5100479999996</v>
      </c>
      <c r="BB277" s="1327">
        <f t="shared" si="313"/>
        <v>3007.6565100000003</v>
      </c>
      <c r="BC277" s="1327">
        <f t="shared" si="313"/>
        <v>3082.1573036</v>
      </c>
      <c r="BD277" s="2161">
        <f t="shared" ref="BD277:BD288" si="320">SUM(AZ277:BC277)</f>
        <v>12256.035841600002</v>
      </c>
      <c r="BE277" s="1327">
        <f t="shared" si="314"/>
        <v>3112.9164073700003</v>
      </c>
      <c r="BF277" s="1327">
        <f t="shared" si="314"/>
        <v>3104.5152375299995</v>
      </c>
      <c r="BG277" s="1327">
        <f t="shared" si="314"/>
        <v>3094.0741437800002</v>
      </c>
      <c r="BH277" s="1327">
        <f t="shared" si="314"/>
        <v>3131.2705999999998</v>
      </c>
      <c r="BI277" s="2161">
        <f t="shared" ref="BI277:BI288" si="321">SUM(BE277:BH277)</f>
        <v>12442.77638868</v>
      </c>
      <c r="BJ277" s="1327">
        <f t="shared" si="315"/>
        <v>3139.0646468691998</v>
      </c>
      <c r="BK277" s="1327">
        <f t="shared" si="315"/>
        <v>3178.6510214407895</v>
      </c>
      <c r="BL277" s="1327">
        <f t="shared" si="315"/>
        <v>3184.777204558</v>
      </c>
      <c r="BM277" s="1327">
        <f t="shared" si="315"/>
        <v>3220.9015158120123</v>
      </c>
      <c r="BN277" s="2161">
        <f t="shared" ref="BN277:BN288" si="322">SUM(BJ277:BM277)</f>
        <v>12723.394388680003</v>
      </c>
      <c r="BO277" s="1699"/>
      <c r="BP277" s="1699"/>
      <c r="BQ277" s="1293"/>
      <c r="BR277" s="1293"/>
      <c r="BS277" s="1293"/>
      <c r="BT277" s="1293"/>
      <c r="BU277" s="1293"/>
      <c r="BV277" s="1293"/>
      <c r="BW277" s="1293"/>
      <c r="BX277" s="1293"/>
      <c r="BY277" s="1293"/>
      <c r="BZ277" s="1293"/>
      <c r="CA277" s="1293"/>
      <c r="CB277" s="1293"/>
      <c r="CC277" s="1293"/>
      <c r="CD277" s="1293"/>
      <c r="CE277" s="1293"/>
      <c r="CF277" s="1293"/>
      <c r="CG277" s="1293"/>
      <c r="CH277" s="1293"/>
      <c r="CI277" s="1293"/>
      <c r="CJ277" s="1293"/>
      <c r="CK277" s="1293"/>
      <c r="CL277" s="1293"/>
      <c r="CM277" s="1293"/>
      <c r="CN277" s="1293"/>
      <c r="CO277" s="1293"/>
      <c r="CP277" s="1293"/>
      <c r="CQ277" s="1293"/>
      <c r="CR277" s="1293"/>
      <c r="CS277" s="1293"/>
      <c r="CT277" s="1293"/>
      <c r="CU277" s="1293"/>
      <c r="CV277" s="1293"/>
      <c r="CW277" s="1293"/>
      <c r="CX277" s="1293"/>
      <c r="CY277" s="2041"/>
      <c r="CZ277" s="1699"/>
      <c r="DA277" s="2042"/>
      <c r="DB277" s="2041"/>
      <c r="DC277" s="1293"/>
      <c r="DD277" s="1293"/>
      <c r="DE277" s="1293"/>
      <c r="DF277" s="1293"/>
      <c r="DG277" s="1293"/>
      <c r="DH277" s="1293"/>
      <c r="DI277" s="1293"/>
      <c r="DJ277" s="1293"/>
      <c r="DK277" s="1293"/>
      <c r="DL277" s="2147">
        <v>512.46849999999995</v>
      </c>
    </row>
    <row r="278" spans="1:116" ht="16.5" thickBot="1">
      <c r="A278" s="1293"/>
      <c r="B278" s="1293" t="str">
        <f t="shared" si="309"/>
        <v>Honduras (JV)</v>
      </c>
      <c r="C278" s="1699">
        <f t="shared" ref="C278:AN278" si="323">C5*C253</f>
        <v>3205.0322171898129</v>
      </c>
      <c r="D278" s="1699">
        <f t="shared" si="323"/>
        <v>3261.5883004771317</v>
      </c>
      <c r="E278" s="1699">
        <f t="shared" si="323"/>
        <v>3278.8859980973552</v>
      </c>
      <c r="F278" s="1699">
        <f t="shared" si="323"/>
        <v>3538.6250530945904</v>
      </c>
      <c r="G278" s="2039">
        <f t="shared" si="323"/>
        <v>13281.052187752586</v>
      </c>
      <c r="H278" s="1699">
        <f t="shared" si="323"/>
        <v>3606.1663328087602</v>
      </c>
      <c r="I278" s="1699">
        <f t="shared" si="323"/>
        <v>3582.7481692673155</v>
      </c>
      <c r="J278" s="1699">
        <f t="shared" si="323"/>
        <v>3528.8869949987038</v>
      </c>
      <c r="K278" s="1699">
        <f t="shared" si="323"/>
        <v>3579.2405883150332</v>
      </c>
      <c r="L278" s="2039">
        <f t="shared" si="323"/>
        <v>14295.690482237529</v>
      </c>
      <c r="M278" s="1699">
        <f t="shared" si="323"/>
        <v>3537.529164721926</v>
      </c>
      <c r="N278" s="1699">
        <f t="shared" si="323"/>
        <v>3515.9526640799581</v>
      </c>
      <c r="O278" s="1699">
        <f t="shared" si="323"/>
        <v>3413.0333038900667</v>
      </c>
      <c r="P278" s="1699">
        <f t="shared" si="323"/>
        <v>3485.9999999999995</v>
      </c>
      <c r="Q278" s="2039">
        <f t="shared" si="323"/>
        <v>13960.967807562763</v>
      </c>
      <c r="R278" s="1699">
        <f t="shared" si="323"/>
        <v>3472.1400000000003</v>
      </c>
      <c r="S278" s="1699">
        <f t="shared" si="323"/>
        <v>3485.4</v>
      </c>
      <c r="T278" s="1699">
        <f t="shared" si="323"/>
        <v>3359.0699999999997</v>
      </c>
      <c r="U278" s="1699">
        <f t="shared" si="323"/>
        <v>3458.9100000000003</v>
      </c>
      <c r="V278" s="2039">
        <f t="shared" si="323"/>
        <v>13788.45</v>
      </c>
      <c r="W278" s="1699">
        <f t="shared" si="323"/>
        <v>3421.1480692307673</v>
      </c>
      <c r="X278" s="1699">
        <f t="shared" si="323"/>
        <v>3476.0322400000005</v>
      </c>
      <c r="Y278" s="1699">
        <f t="shared" si="323"/>
        <v>3458.8587323076918</v>
      </c>
      <c r="Z278" s="1699">
        <f t="shared" si="323"/>
        <v>3667.79</v>
      </c>
      <c r="AA278" s="2039">
        <f t="shared" si="323"/>
        <v>13987.82</v>
      </c>
      <c r="AB278" s="1699">
        <f t="shared" si="323"/>
        <v>3597.0899999999997</v>
      </c>
      <c r="AC278" s="1699">
        <f t="shared" si="323"/>
        <v>3597.0899999999997</v>
      </c>
      <c r="AD278" s="1699">
        <f t="shared" si="323"/>
        <v>3634.181307462688</v>
      </c>
      <c r="AE278" s="1699">
        <f t="shared" si="323"/>
        <v>3634.181307462688</v>
      </c>
      <c r="AF278" s="1699">
        <f t="shared" si="323"/>
        <v>3619.1400000000003</v>
      </c>
      <c r="AG278" s="1699">
        <f t="shared" si="323"/>
        <v>3619.1400000000003</v>
      </c>
      <c r="AH278" s="1699">
        <f t="shared" si="323"/>
        <v>3754.4</v>
      </c>
      <c r="AI278" s="1699">
        <f t="shared" si="323"/>
        <v>3754.4</v>
      </c>
      <c r="AJ278" s="2039">
        <f t="shared" si="323"/>
        <v>14594.58</v>
      </c>
      <c r="AK278" s="1699">
        <f t="shared" si="323"/>
        <v>3492.6546000000003</v>
      </c>
      <c r="AL278" s="1699">
        <f t="shared" si="323"/>
        <v>3083.5947999999999</v>
      </c>
      <c r="AM278" s="1699">
        <f t="shared" si="323"/>
        <v>3377.0499999999997</v>
      </c>
      <c r="AN278" s="1699">
        <f t="shared" si="323"/>
        <v>3660</v>
      </c>
      <c r="AO278" s="2039">
        <f t="shared" si="317"/>
        <v>13613.2994</v>
      </c>
      <c r="AP278" s="1699">
        <f t="shared" si="311"/>
        <v>3526.6473375000005</v>
      </c>
      <c r="AQ278" s="1699">
        <f t="shared" si="311"/>
        <v>3558.7704307692297</v>
      </c>
      <c r="AR278" s="1699">
        <f t="shared" si="311"/>
        <v>3489.5459999999998</v>
      </c>
      <c r="AS278" s="1699">
        <f t="shared" si="311"/>
        <v>3606.8201984848492</v>
      </c>
      <c r="AT278" s="2039">
        <f t="shared" si="318"/>
        <v>14181.783966754079</v>
      </c>
      <c r="AU278" s="1327">
        <f t="shared" si="312"/>
        <v>3488.8978369230763</v>
      </c>
      <c r="AV278" s="1327">
        <f t="shared" si="312"/>
        <v>3567.5565305692294</v>
      </c>
      <c r="AW278" s="1327">
        <f t="shared" si="312"/>
        <v>3595.065509090909</v>
      </c>
      <c r="AX278" s="1327">
        <f t="shared" si="312"/>
        <v>3738.4856000000004</v>
      </c>
      <c r="AY278" s="2161">
        <f t="shared" si="319"/>
        <v>14390.005476583216</v>
      </c>
      <c r="AZ278" s="1327">
        <f t="shared" si="313"/>
        <v>3689.2950000000001</v>
      </c>
      <c r="BA278" s="1327">
        <f t="shared" si="313"/>
        <v>3745.28</v>
      </c>
      <c r="BB278" s="1327">
        <f t="shared" si="313"/>
        <v>3799.1800000000003</v>
      </c>
      <c r="BC278" s="1327">
        <f t="shared" si="313"/>
        <v>3843.6984360000001</v>
      </c>
      <c r="BD278" s="2161">
        <f t="shared" si="320"/>
        <v>15077.453436000002</v>
      </c>
      <c r="BE278" s="1327">
        <f t="shared" si="314"/>
        <v>3782.4200999999998</v>
      </c>
      <c r="BF278" s="1327">
        <f t="shared" si="314"/>
        <v>3812.3624</v>
      </c>
      <c r="BG278" s="1327">
        <f t="shared" si="314"/>
        <v>3794.2713480000002</v>
      </c>
      <c r="BH278" s="1327">
        <f t="shared" si="314"/>
        <v>3971.8866849999995</v>
      </c>
      <c r="BI278" s="2161">
        <f t="shared" si="321"/>
        <v>15360.940532999999</v>
      </c>
      <c r="BJ278" s="1327">
        <f t="shared" si="315"/>
        <v>3885.9613631992002</v>
      </c>
      <c r="BK278" s="1327">
        <f t="shared" si="315"/>
        <v>3888.2063433963995</v>
      </c>
      <c r="BL278" s="1327">
        <f t="shared" si="315"/>
        <v>3930.9230921417493</v>
      </c>
      <c r="BM278" s="1327">
        <f t="shared" si="315"/>
        <v>4018.5997342626479</v>
      </c>
      <c r="BN278" s="2161">
        <f t="shared" si="322"/>
        <v>15723.690532999997</v>
      </c>
      <c r="BO278" s="1699"/>
      <c r="BP278" s="1699"/>
      <c r="BQ278" s="1293"/>
      <c r="BR278" s="1293"/>
      <c r="BS278" s="1293"/>
      <c r="BT278" s="1293"/>
      <c r="BU278" s="1293"/>
      <c r="BV278" s="1293"/>
      <c r="BW278" s="1293"/>
      <c r="BX278" s="1293"/>
      <c r="BY278" s="1293"/>
      <c r="BZ278" s="1293"/>
      <c r="CA278" s="1293"/>
      <c r="CB278" s="1293"/>
      <c r="CC278" s="1293"/>
      <c r="CD278" s="1293"/>
      <c r="CE278" s="1293"/>
      <c r="CF278" s="1293"/>
      <c r="CG278" s="1293"/>
      <c r="CH278" s="1293"/>
      <c r="CI278" s="1293"/>
      <c r="CJ278" s="1293"/>
      <c r="CK278" s="1293"/>
      <c r="CL278" s="1293"/>
      <c r="CM278" s="1293"/>
      <c r="CN278" s="1293"/>
      <c r="CO278" s="1293"/>
      <c r="CP278" s="1293"/>
      <c r="CQ278" s="1293"/>
      <c r="CR278" s="1293"/>
      <c r="CS278" s="1293"/>
      <c r="CT278" s="1293"/>
      <c r="CU278" s="1293"/>
      <c r="CV278" s="1293"/>
      <c r="CW278" s="1293"/>
      <c r="CX278" s="1293"/>
      <c r="CY278" s="2041"/>
      <c r="CZ278" s="1699"/>
      <c r="DA278" s="2042"/>
      <c r="DB278" s="2041"/>
      <c r="DC278" s="1293"/>
      <c r="DD278" s="1293"/>
      <c r="DE278" s="1293"/>
      <c r="DF278" s="1293"/>
      <c r="DG278" s="1293"/>
      <c r="DH278" s="1293"/>
      <c r="DI278" s="1293"/>
      <c r="DJ278" s="1293"/>
      <c r="DK278" s="1293"/>
      <c r="DL278" s="2147">
        <v>512.02670000000001</v>
      </c>
    </row>
    <row r="279" spans="1:116" ht="16.5" thickBot="1">
      <c r="A279" s="1293"/>
      <c r="B279" s="1293" t="str">
        <f t="shared" si="309"/>
        <v>Panama</v>
      </c>
      <c r="C279" s="1699"/>
      <c r="D279" s="1699"/>
      <c r="E279" s="1699"/>
      <c r="F279" s="1699"/>
      <c r="G279" s="2039"/>
      <c r="H279" s="1699"/>
      <c r="I279" s="1699"/>
      <c r="J279" s="1699"/>
      <c r="K279" s="1699"/>
      <c r="L279" s="2039"/>
      <c r="M279" s="1699"/>
      <c r="N279" s="1699"/>
      <c r="O279" s="1699"/>
      <c r="P279" s="1699"/>
      <c r="Q279" s="2039"/>
      <c r="R279" s="1699"/>
      <c r="S279" s="1699"/>
      <c r="T279" s="1699"/>
      <c r="U279" s="1699"/>
      <c r="V279" s="2039"/>
      <c r="W279" s="1699"/>
      <c r="X279" s="1699"/>
      <c r="Y279" s="1699"/>
      <c r="Z279" s="1699"/>
      <c r="AA279" s="2039"/>
      <c r="AB279" s="1699">
        <f t="shared" ref="AB279:AI279" si="324">AB6*AB254</f>
        <v>100</v>
      </c>
      <c r="AC279" s="1699">
        <f t="shared" si="324"/>
        <v>100</v>
      </c>
      <c r="AD279" s="1699">
        <f t="shared" si="324"/>
        <v>99</v>
      </c>
      <c r="AE279" s="1699">
        <f t="shared" si="324"/>
        <v>99</v>
      </c>
      <c r="AF279" s="1699">
        <f t="shared" si="324"/>
        <v>98</v>
      </c>
      <c r="AG279" s="1699">
        <f t="shared" si="324"/>
        <v>98</v>
      </c>
      <c r="AH279" s="1699">
        <f t="shared" si="324"/>
        <v>98</v>
      </c>
      <c r="AI279" s="1699">
        <f t="shared" si="324"/>
        <v>98</v>
      </c>
      <c r="AJ279" s="2039"/>
      <c r="AK279" s="1699">
        <f>AK6*AK254</f>
        <v>97</v>
      </c>
      <c r="AL279" s="1699">
        <f>AL6*AL254</f>
        <v>89</v>
      </c>
      <c r="AM279" s="1699">
        <f>AM6*AM254</f>
        <v>94</v>
      </c>
      <c r="AN279" s="1699">
        <f>AN6*AN254</f>
        <v>97</v>
      </c>
      <c r="AO279" s="2039">
        <f t="shared" si="317"/>
        <v>377</v>
      </c>
      <c r="AP279" s="1699">
        <f t="shared" si="311"/>
        <v>97</v>
      </c>
      <c r="AQ279" s="1699">
        <f t="shared" si="311"/>
        <v>103</v>
      </c>
      <c r="AR279" s="1699">
        <f t="shared" si="311"/>
        <v>103</v>
      </c>
      <c r="AS279" s="1699">
        <f t="shared" si="311"/>
        <v>110</v>
      </c>
      <c r="AT279" s="2039">
        <f t="shared" si="318"/>
        <v>413</v>
      </c>
      <c r="AU279" s="1327">
        <f t="shared" si="312"/>
        <v>157.5342</v>
      </c>
      <c r="AV279" s="1327">
        <f t="shared" si="312"/>
        <v>162.0547</v>
      </c>
      <c r="AW279" s="1327">
        <f t="shared" si="312"/>
        <v>166.11770000000001</v>
      </c>
      <c r="AX279" s="1327">
        <f t="shared" si="312"/>
        <v>165.56479999999999</v>
      </c>
      <c r="AY279" s="2161">
        <f t="shared" si="319"/>
        <v>651.27139999999997</v>
      </c>
      <c r="AZ279" s="1327">
        <f t="shared" si="313"/>
        <v>166.89400000000001</v>
      </c>
      <c r="BA279" s="1327">
        <f t="shared" si="313"/>
        <v>169.98089999999999</v>
      </c>
      <c r="BB279" s="1327">
        <f t="shared" si="313"/>
        <v>178.53229999999999</v>
      </c>
      <c r="BC279" s="1327">
        <f t="shared" si="313"/>
        <v>203.78970000000001</v>
      </c>
      <c r="BD279" s="2161">
        <f t="shared" si="320"/>
        <v>719.19690000000003</v>
      </c>
      <c r="BE279" s="1327">
        <f t="shared" si="314"/>
        <v>209.41380000000001</v>
      </c>
      <c r="BF279" s="1327">
        <f t="shared" si="314"/>
        <v>187.81399999999999</v>
      </c>
      <c r="BG279" s="1327">
        <f t="shared" si="314"/>
        <v>177.85980000000001</v>
      </c>
      <c r="BH279" s="1327">
        <f t="shared" si="314"/>
        <v>180.4907</v>
      </c>
      <c r="BI279" s="2161">
        <f t="shared" si="321"/>
        <v>755.57830000000013</v>
      </c>
      <c r="BJ279" s="1327">
        <f t="shared" si="315"/>
        <v>187.69185900000002</v>
      </c>
      <c r="BK279" s="1327">
        <f t="shared" si="315"/>
        <v>191.87913500000005</v>
      </c>
      <c r="BL279" s="1327">
        <f t="shared" si="315"/>
        <v>191.94738000000004</v>
      </c>
      <c r="BM279" s="1327">
        <f t="shared" si="315"/>
        <v>215.55992600000005</v>
      </c>
      <c r="BN279" s="2161">
        <f t="shared" si="322"/>
        <v>787.07830000000013</v>
      </c>
      <c r="BO279" s="1699"/>
      <c r="BP279" s="1699"/>
      <c r="BQ279" s="1293"/>
      <c r="BR279" s="1293"/>
      <c r="BS279" s="1293"/>
      <c r="BT279" s="1293"/>
      <c r="BU279" s="1293"/>
      <c r="BV279" s="1293"/>
      <c r="BW279" s="1293"/>
      <c r="BX279" s="1293"/>
      <c r="BY279" s="1293"/>
      <c r="BZ279" s="1293"/>
      <c r="CA279" s="1293"/>
      <c r="CB279" s="1293"/>
      <c r="CC279" s="1293"/>
      <c r="CD279" s="1293"/>
      <c r="CE279" s="1293"/>
      <c r="CF279" s="1293"/>
      <c r="CG279" s="1293"/>
      <c r="CH279" s="1293"/>
      <c r="CI279" s="1293"/>
      <c r="CJ279" s="1293"/>
      <c r="CK279" s="1293"/>
      <c r="CL279" s="1293"/>
      <c r="CM279" s="1293"/>
      <c r="CN279" s="1293"/>
      <c r="CO279" s="1293"/>
      <c r="CP279" s="1293"/>
      <c r="CQ279" s="1293"/>
      <c r="CR279" s="1293"/>
      <c r="CS279" s="1293"/>
      <c r="CT279" s="1293"/>
      <c r="CU279" s="1293"/>
      <c r="CV279" s="1293"/>
      <c r="CW279" s="1293"/>
      <c r="CX279" s="1293"/>
      <c r="CY279" s="2041"/>
      <c r="CZ279" s="1699"/>
      <c r="DA279" s="2042"/>
      <c r="DB279" s="2041"/>
      <c r="DC279" s="1293"/>
      <c r="DD279" s="1293"/>
      <c r="DE279" s="1293"/>
      <c r="DF279" s="1293"/>
      <c r="DG279" s="1293"/>
      <c r="DH279" s="1293"/>
      <c r="DI279" s="1293"/>
      <c r="DJ279" s="1293"/>
      <c r="DK279" s="1293"/>
      <c r="DL279" s="2147">
        <v>512.91099999999994</v>
      </c>
    </row>
    <row r="280" spans="1:116" ht="16.5" thickBot="1">
      <c r="A280" s="1293"/>
      <c r="B280" s="1293" t="str">
        <f t="shared" si="309"/>
        <v>Costa Rica</v>
      </c>
      <c r="C280" s="1699"/>
      <c r="D280" s="1699"/>
      <c r="E280" s="1699"/>
      <c r="F280" s="1699"/>
      <c r="G280" s="2039"/>
      <c r="H280" s="1699"/>
      <c r="I280" s="1699"/>
      <c r="J280" s="1699"/>
      <c r="K280" s="1699"/>
      <c r="L280" s="2039"/>
      <c r="M280" s="1699"/>
      <c r="N280" s="1699"/>
      <c r="O280" s="1699"/>
      <c r="P280" s="1699"/>
      <c r="Q280" s="2039"/>
      <c r="R280" s="1699"/>
      <c r="S280" s="1699"/>
      <c r="T280" s="1699"/>
      <c r="U280" s="1699"/>
      <c r="V280" s="2039"/>
      <c r="W280" s="1699"/>
      <c r="X280" s="1699"/>
      <c r="Y280" s="1699"/>
      <c r="Z280" s="1699"/>
      <c r="AA280" s="2039"/>
      <c r="AB280" s="1699"/>
      <c r="AC280" s="1699"/>
      <c r="AD280" s="1699"/>
      <c r="AE280" s="1699"/>
      <c r="AF280" s="1699"/>
      <c r="AG280" s="1699"/>
      <c r="AH280" s="1699"/>
      <c r="AI280" s="1699"/>
      <c r="AJ280" s="2039"/>
      <c r="AK280" s="1699"/>
      <c r="AL280" s="1699"/>
      <c r="AM280" s="1699"/>
      <c r="AN280" s="1699"/>
      <c r="AO280" s="2039"/>
      <c r="AP280" s="1699"/>
      <c r="AQ280" s="1699"/>
      <c r="AR280" s="1699"/>
      <c r="AS280" s="1699"/>
      <c r="AT280" s="2039"/>
      <c r="AU280" s="1327">
        <f t="shared" si="312"/>
        <v>22887.718640000003</v>
      </c>
      <c r="AV280" s="1327">
        <f t="shared" si="312"/>
        <v>22983.057840000001</v>
      </c>
      <c r="AW280" s="1327">
        <f t="shared" si="312"/>
        <v>21227.040989999998</v>
      </c>
      <c r="AX280" s="1327">
        <f t="shared" si="312"/>
        <v>21576.004620000003</v>
      </c>
      <c r="AY280" s="2161">
        <f t="shared" si="319"/>
        <v>88673.822090000001</v>
      </c>
      <c r="AZ280" s="1327">
        <f t="shared" si="313"/>
        <v>21061.907712</v>
      </c>
      <c r="BA280" s="1327">
        <f t="shared" si="313"/>
        <v>21654.409599999999</v>
      </c>
      <c r="BB280" s="1327">
        <f t="shared" si="313"/>
        <v>21773.785500000002</v>
      </c>
      <c r="BC280" s="1327">
        <f t="shared" si="313"/>
        <v>21092.698850100001</v>
      </c>
      <c r="BD280" s="2161">
        <f t="shared" si="320"/>
        <v>85582.801662099999</v>
      </c>
      <c r="BE280" s="1327">
        <f t="shared" si="314"/>
        <v>20519.355306000001</v>
      </c>
      <c r="BF280" s="1327">
        <f t="shared" si="314"/>
        <v>20330.64111525</v>
      </c>
      <c r="BG280" s="1327">
        <f t="shared" si="314"/>
        <v>19439.481299999999</v>
      </c>
      <c r="BH280" s="1327">
        <f t="shared" si="314"/>
        <v>18422.9028</v>
      </c>
      <c r="BI280" s="2161">
        <f t="shared" si="321"/>
        <v>78712.380521250001</v>
      </c>
      <c r="BJ280" s="1327">
        <f t="shared" si="315"/>
        <v>18880.333141439998</v>
      </c>
      <c r="BK280" s="1327">
        <f t="shared" si="315"/>
        <v>18807.507543187501</v>
      </c>
      <c r="BL280" s="1327">
        <f t="shared" si="315"/>
        <v>18661.062067199997</v>
      </c>
      <c r="BM280" s="1327">
        <f t="shared" si="315"/>
        <v>18582.172248172497</v>
      </c>
      <c r="BN280" s="2161">
        <f t="shared" si="322"/>
        <v>74931.074999999997</v>
      </c>
      <c r="BO280" s="1699"/>
      <c r="BP280" s="1699"/>
      <c r="BQ280" s="1293"/>
      <c r="BR280" s="1293"/>
      <c r="BS280" s="1293"/>
      <c r="BT280" s="1293"/>
      <c r="BU280" s="1293"/>
      <c r="BV280" s="1293"/>
      <c r="BW280" s="1293"/>
      <c r="BX280" s="1293"/>
      <c r="BY280" s="1293"/>
      <c r="BZ280" s="1293"/>
      <c r="CA280" s="1293"/>
      <c r="CB280" s="1293"/>
      <c r="CC280" s="1293"/>
      <c r="CD280" s="1293"/>
      <c r="CE280" s="1293"/>
      <c r="CF280" s="1293"/>
      <c r="CG280" s="1293"/>
      <c r="CH280" s="1293"/>
      <c r="CI280" s="1293"/>
      <c r="CJ280" s="1293"/>
      <c r="CK280" s="1293"/>
      <c r="CL280" s="1293"/>
      <c r="CM280" s="1293"/>
      <c r="CN280" s="1293"/>
      <c r="CO280" s="1293"/>
      <c r="CP280" s="1293"/>
      <c r="CQ280" s="1293"/>
      <c r="CR280" s="1293"/>
      <c r="CS280" s="1293"/>
      <c r="CT280" s="1293"/>
      <c r="CU280" s="1293"/>
      <c r="CV280" s="1293"/>
      <c r="CW280" s="1293"/>
      <c r="CX280" s="1293"/>
      <c r="CY280" s="2041"/>
      <c r="CZ280" s="1699"/>
      <c r="DA280" s="2042"/>
      <c r="DB280" s="2041"/>
      <c r="DC280" s="1293"/>
      <c r="DD280" s="1293"/>
      <c r="DE280" s="1293"/>
      <c r="DF280" s="1293"/>
      <c r="DG280" s="1293"/>
      <c r="DH280" s="1293"/>
      <c r="DI280" s="1293"/>
      <c r="DJ280" s="1293"/>
      <c r="DK280" s="1293"/>
      <c r="DL280" s="2147"/>
    </row>
    <row r="281" spans="1:116" ht="16.5" thickBot="1">
      <c r="A281" s="1293"/>
      <c r="B281" s="1293" t="str">
        <f t="shared" si="309"/>
        <v>Nicaragua</v>
      </c>
      <c r="C281" s="1699"/>
      <c r="D281" s="1699"/>
      <c r="E281" s="1699"/>
      <c r="F281" s="1699"/>
      <c r="G281" s="2039"/>
      <c r="H281" s="1699"/>
      <c r="I281" s="1699"/>
      <c r="J281" s="1699"/>
      <c r="K281" s="1699"/>
      <c r="L281" s="2039"/>
      <c r="M281" s="1699"/>
      <c r="N281" s="1699"/>
      <c r="O281" s="1699"/>
      <c r="P281" s="1699"/>
      <c r="Q281" s="2039"/>
      <c r="R281" s="1699"/>
      <c r="S281" s="1699"/>
      <c r="T281" s="1699"/>
      <c r="U281" s="1699"/>
      <c r="V281" s="2039"/>
      <c r="W281" s="1699"/>
      <c r="X281" s="1699"/>
      <c r="Y281" s="1699"/>
      <c r="Z281" s="1699"/>
      <c r="AA281" s="2039"/>
      <c r="AB281" s="1699"/>
      <c r="AC281" s="1699"/>
      <c r="AD281" s="1699"/>
      <c r="AE281" s="1699"/>
      <c r="AF281" s="1699"/>
      <c r="AG281" s="1699"/>
      <c r="AH281" s="1699"/>
      <c r="AI281" s="1699"/>
      <c r="AJ281" s="2039"/>
      <c r="AK281" s="1699"/>
      <c r="AL281" s="1699"/>
      <c r="AM281" s="1699"/>
      <c r="AN281" s="1699"/>
      <c r="AO281" s="2039"/>
      <c r="AP281" s="1699"/>
      <c r="AQ281" s="1699"/>
      <c r="AR281" s="1699"/>
      <c r="AS281" s="1699"/>
      <c r="AT281" s="2039"/>
      <c r="AU281" s="1327">
        <f t="shared" si="312"/>
        <v>2202.2640928399996</v>
      </c>
      <c r="AV281" s="1327">
        <f t="shared" si="312"/>
        <v>2217.8007548999999</v>
      </c>
      <c r="AW281" s="1327">
        <f t="shared" si="312"/>
        <v>2192.6208106999998</v>
      </c>
      <c r="AX281" s="1327">
        <f t="shared" si="312"/>
        <v>2268.0879895600001</v>
      </c>
      <c r="AY281" s="2161">
        <f t="shared" si="319"/>
        <v>8880.7736479999985</v>
      </c>
      <c r="AZ281" s="1327">
        <f t="shared" si="313"/>
        <v>2288.8980155099998</v>
      </c>
      <c r="BA281" s="1327">
        <f t="shared" si="313"/>
        <v>2336.30741485</v>
      </c>
      <c r="BB281" s="1327">
        <f t="shared" si="313"/>
        <v>2319.86076413</v>
      </c>
      <c r="BC281" s="1327">
        <f t="shared" si="313"/>
        <v>2357.0088044999998</v>
      </c>
      <c r="BD281" s="2161">
        <f t="shared" si="320"/>
        <v>9302.0749989899996</v>
      </c>
      <c r="BE281" s="1327">
        <f t="shared" si="314"/>
        <v>2525.3114087399999</v>
      </c>
      <c r="BF281" s="1327">
        <f t="shared" si="314"/>
        <v>2427.8907707399999</v>
      </c>
      <c r="BG281" s="1327">
        <f t="shared" si="314"/>
        <v>2397.4852768800001</v>
      </c>
      <c r="BH281" s="1327">
        <f t="shared" si="314"/>
        <v>2427.342052</v>
      </c>
      <c r="BI281" s="2161">
        <f t="shared" si="321"/>
        <v>9778.0295083599995</v>
      </c>
      <c r="BJ281" s="1327">
        <f t="shared" si="315"/>
        <v>2452.3794093137994</v>
      </c>
      <c r="BK281" s="1327">
        <f t="shared" si="315"/>
        <v>2514.0726471213598</v>
      </c>
      <c r="BL281" s="1327">
        <f t="shared" si="315"/>
        <v>2532.4637884116</v>
      </c>
      <c r="BM281" s="1327">
        <f t="shared" si="315"/>
        <v>2586.9536635132408</v>
      </c>
      <c r="BN281" s="2161">
        <f t="shared" si="322"/>
        <v>10085.86950836</v>
      </c>
      <c r="BO281" s="1699"/>
      <c r="BP281" s="1699"/>
      <c r="BQ281" s="1293"/>
      <c r="BR281" s="1293"/>
      <c r="BS281" s="1293"/>
      <c r="BT281" s="1293"/>
      <c r="BU281" s="1293"/>
      <c r="BV281" s="1293"/>
      <c r="BW281" s="1293"/>
      <c r="BX281" s="1293"/>
      <c r="BY281" s="1293"/>
      <c r="BZ281" s="1293"/>
      <c r="CA281" s="1293"/>
      <c r="CB281" s="1293"/>
      <c r="CC281" s="1293"/>
      <c r="CD281" s="1293"/>
      <c r="CE281" s="1293"/>
      <c r="CF281" s="1293"/>
      <c r="CG281" s="1293"/>
      <c r="CH281" s="1293"/>
      <c r="CI281" s="1293"/>
      <c r="CJ281" s="1293"/>
      <c r="CK281" s="1293"/>
      <c r="CL281" s="1293"/>
      <c r="CM281" s="1293"/>
      <c r="CN281" s="1293"/>
      <c r="CO281" s="1293"/>
      <c r="CP281" s="1293"/>
      <c r="CQ281" s="1293"/>
      <c r="CR281" s="1293"/>
      <c r="CS281" s="1293"/>
      <c r="CT281" s="1293"/>
      <c r="CU281" s="1293"/>
      <c r="CV281" s="1293"/>
      <c r="CW281" s="1293"/>
      <c r="CX281" s="1293"/>
      <c r="CY281" s="2041"/>
      <c r="CZ281" s="1699"/>
      <c r="DA281" s="2042"/>
      <c r="DB281" s="2041"/>
      <c r="DC281" s="1293"/>
      <c r="DD281" s="1293"/>
      <c r="DE281" s="1293"/>
      <c r="DF281" s="1293"/>
      <c r="DG281" s="1293"/>
      <c r="DH281" s="1293"/>
      <c r="DI281" s="1293"/>
      <c r="DJ281" s="1293"/>
      <c r="DK281" s="1293"/>
      <c r="DL281" s="2147"/>
    </row>
    <row r="282" spans="1:116" ht="16.5" hidden="1" outlineLevel="1" thickBot="1">
      <c r="A282" s="1293"/>
      <c r="B282" s="1982" t="str">
        <f t="shared" si="309"/>
        <v>Costa Rica/old Nicaragua</v>
      </c>
      <c r="C282" s="1699">
        <f t="shared" ref="C282:AO282" si="325">C9*C255</f>
        <v>18422.578477261359</v>
      </c>
      <c r="D282" s="1699">
        <f t="shared" si="325"/>
        <v>18523.100240504526</v>
      </c>
      <c r="E282" s="1699">
        <f t="shared" si="325"/>
        <v>19022.585758957845</v>
      </c>
      <c r="F282" s="1699">
        <f t="shared" si="325"/>
        <v>18727.79040684977</v>
      </c>
      <c r="G282" s="2039">
        <f t="shared" si="325"/>
        <v>74573.055878743136</v>
      </c>
      <c r="H282" s="1699">
        <f t="shared" si="325"/>
        <v>18867.178581413467</v>
      </c>
      <c r="I282" s="1699">
        <f t="shared" si="325"/>
        <v>19357.347023990715</v>
      </c>
      <c r="J282" s="1699">
        <f t="shared" si="325"/>
        <v>20723.611582435376</v>
      </c>
      <c r="K282" s="1699">
        <f t="shared" si="325"/>
        <v>22632.422586093493</v>
      </c>
      <c r="L282" s="2039">
        <f t="shared" si="325"/>
        <v>81533.907721626339</v>
      </c>
      <c r="M282" s="1699">
        <f t="shared" si="325"/>
        <v>21049.99908331284</v>
      </c>
      <c r="N282" s="1699">
        <f t="shared" si="325"/>
        <v>20890.475319343179</v>
      </c>
      <c r="O282" s="1699">
        <f t="shared" si="325"/>
        <v>21408.094091605399</v>
      </c>
      <c r="P282" s="1699">
        <f t="shared" si="325"/>
        <v>21265.56</v>
      </c>
      <c r="Q282" s="2039">
        <f t="shared" si="325"/>
        <v>84503.064552801996</v>
      </c>
      <c r="R282" s="1699">
        <f t="shared" si="325"/>
        <v>21451.38</v>
      </c>
      <c r="S282" s="1699">
        <f t="shared" si="325"/>
        <v>21812</v>
      </c>
      <c r="T282" s="1699">
        <f t="shared" si="325"/>
        <v>21912.7</v>
      </c>
      <c r="U282" s="1699">
        <f t="shared" si="325"/>
        <v>19915</v>
      </c>
      <c r="V282" s="2039">
        <f t="shared" si="325"/>
        <v>84632</v>
      </c>
      <c r="W282" s="1699">
        <f t="shared" si="325"/>
        <v>21061.492923076923</v>
      </c>
      <c r="X282" s="1699">
        <f t="shared" si="325"/>
        <v>22098.192000000006</v>
      </c>
      <c r="Y282" s="1699">
        <f t="shared" si="325"/>
        <v>21186.683846153843</v>
      </c>
      <c r="Z282" s="1699">
        <f t="shared" si="325"/>
        <v>21743.699999999997</v>
      </c>
      <c r="AA282" s="2039">
        <f t="shared" si="325"/>
        <v>85399.6</v>
      </c>
      <c r="AB282" s="1699">
        <f t="shared" si="325"/>
        <v>22459</v>
      </c>
      <c r="AC282" s="1699">
        <f t="shared" si="325"/>
        <v>22459</v>
      </c>
      <c r="AD282" s="1699">
        <f t="shared" si="325"/>
        <v>19577.944477611931</v>
      </c>
      <c r="AE282" s="1699">
        <f t="shared" si="325"/>
        <v>19577.944477611931</v>
      </c>
      <c r="AF282" s="1699">
        <f t="shared" si="325"/>
        <v>21812</v>
      </c>
      <c r="AG282" s="1699">
        <f t="shared" si="325"/>
        <v>21812</v>
      </c>
      <c r="AH282" s="1699">
        <f t="shared" si="325"/>
        <v>20700</v>
      </c>
      <c r="AI282" s="1699">
        <f t="shared" si="325"/>
        <v>20700</v>
      </c>
      <c r="AJ282" s="2039">
        <f t="shared" si="325"/>
        <v>84672</v>
      </c>
      <c r="AK282" s="1699">
        <f t="shared" si="325"/>
        <v>25982.437499999996</v>
      </c>
      <c r="AL282" s="1699">
        <f t="shared" si="325"/>
        <v>23772.3125</v>
      </c>
      <c r="AM282" s="1699">
        <f t="shared" si="325"/>
        <v>22126</v>
      </c>
      <c r="AN282" s="1699">
        <f t="shared" si="325"/>
        <v>24240</v>
      </c>
      <c r="AO282" s="2039">
        <f t="shared" si="325"/>
        <v>95192</v>
      </c>
      <c r="AP282" s="1699"/>
      <c r="AQ282" s="1699"/>
      <c r="AR282" s="1699"/>
      <c r="AS282" s="1699"/>
      <c r="AT282" s="2039">
        <f>AT9*AT255</f>
        <v>111889.23727381993</v>
      </c>
      <c r="AU282" s="1327"/>
      <c r="AV282" s="1327"/>
      <c r="AW282" s="1327"/>
      <c r="AX282" s="1327"/>
      <c r="AY282" s="2161">
        <f t="shared" si="319"/>
        <v>0</v>
      </c>
      <c r="AZ282" s="1327"/>
      <c r="BA282" s="1327"/>
      <c r="BB282" s="1327"/>
      <c r="BC282" s="1327"/>
      <c r="BD282" s="2161">
        <f t="shared" si="320"/>
        <v>0</v>
      </c>
      <c r="BE282" s="1327"/>
      <c r="BF282" s="1327"/>
      <c r="BG282" s="1327"/>
      <c r="BH282" s="1327"/>
      <c r="BI282" s="2161">
        <f t="shared" si="321"/>
        <v>0</v>
      </c>
      <c r="BJ282" s="1327">
        <f t="shared" ref="BJ282:BM285" si="326">BJ307+BJ338</f>
        <v>38.425198515000147</v>
      </c>
      <c r="BK282" s="1327">
        <f t="shared" si="326"/>
        <v>38.425198515000147</v>
      </c>
      <c r="BL282" s="1327">
        <f t="shared" si="326"/>
        <v>38.425198515000147</v>
      </c>
      <c r="BM282" s="1327">
        <f t="shared" si="326"/>
        <v>38.425198515000147</v>
      </c>
      <c r="BN282" s="2161">
        <f t="shared" si="322"/>
        <v>153.70079406000059</v>
      </c>
      <c r="BO282" s="1699"/>
      <c r="BP282" s="1699"/>
      <c r="BQ282" s="1293"/>
      <c r="BR282" s="1293"/>
      <c r="BS282" s="1293"/>
      <c r="BT282" s="1293"/>
      <c r="BU282" s="1293"/>
      <c r="BV282" s="1293"/>
      <c r="BW282" s="1293"/>
      <c r="BX282" s="1293"/>
      <c r="BY282" s="1293"/>
      <c r="BZ282" s="1293"/>
      <c r="CA282" s="1293"/>
      <c r="CB282" s="1293"/>
      <c r="CC282" s="1293"/>
      <c r="CD282" s="1293"/>
      <c r="CE282" s="1293"/>
      <c r="CF282" s="1293"/>
      <c r="CG282" s="1293"/>
      <c r="CH282" s="1293"/>
      <c r="CI282" s="1293"/>
      <c r="CJ282" s="1293"/>
      <c r="CK282" s="1293"/>
      <c r="CL282" s="1293"/>
      <c r="CM282" s="1293"/>
      <c r="CN282" s="1293"/>
      <c r="CO282" s="1293"/>
      <c r="CP282" s="1293"/>
      <c r="CQ282" s="1293"/>
      <c r="CR282" s="1293"/>
      <c r="CS282" s="1293"/>
      <c r="CT282" s="1293"/>
      <c r="CU282" s="1293"/>
      <c r="CV282" s="1293"/>
      <c r="CW282" s="1293"/>
      <c r="CX282" s="1293"/>
      <c r="CY282" s="2041"/>
      <c r="CZ282" s="1699"/>
      <c r="DA282" s="2042"/>
      <c r="DB282" s="2041"/>
      <c r="DC282" s="1293"/>
      <c r="DD282" s="1293"/>
      <c r="DE282" s="1293"/>
      <c r="DF282" s="1293"/>
      <c r="DG282" s="1293"/>
      <c r="DH282" s="1293"/>
      <c r="DI282" s="1293"/>
      <c r="DJ282" s="1293"/>
      <c r="DK282" s="1293"/>
      <c r="DL282" s="2147">
        <v>512.2998</v>
      </c>
    </row>
    <row r="283" spans="1:116" ht="16.5" hidden="1" outlineLevel="1" thickBot="1">
      <c r="A283" s="1293"/>
      <c r="B283" s="1982" t="str">
        <f t="shared" si="309"/>
        <v>Panama wireless</v>
      </c>
      <c r="C283" s="1699"/>
      <c r="D283" s="1699"/>
      <c r="E283" s="1699"/>
      <c r="F283" s="1699"/>
      <c r="G283" s="2039"/>
      <c r="H283" s="1699"/>
      <c r="I283" s="1699"/>
      <c r="J283" s="1699"/>
      <c r="K283" s="1699"/>
      <c r="L283" s="2039"/>
      <c r="M283" s="1699"/>
      <c r="N283" s="1699"/>
      <c r="O283" s="1699"/>
      <c r="P283" s="1699"/>
      <c r="Q283" s="2039"/>
      <c r="R283" s="1699"/>
      <c r="S283" s="1699"/>
      <c r="T283" s="1699"/>
      <c r="U283" s="1699"/>
      <c r="V283" s="2039"/>
      <c r="W283" s="1699"/>
      <c r="X283" s="1699"/>
      <c r="Y283" s="1699"/>
      <c r="Z283" s="1699"/>
      <c r="AA283" s="2039"/>
      <c r="AB283" s="1699">
        <f t="shared" ref="AB283:AH283" si="327">AB10*AB257</f>
        <v>0</v>
      </c>
      <c r="AC283" s="1699">
        <f t="shared" si="327"/>
        <v>0</v>
      </c>
      <c r="AD283" s="1699">
        <f t="shared" si="327"/>
        <v>0</v>
      </c>
      <c r="AE283" s="1699">
        <f t="shared" si="327"/>
        <v>0</v>
      </c>
      <c r="AF283" s="1699">
        <f t="shared" si="327"/>
        <v>18</v>
      </c>
      <c r="AG283" s="1699">
        <f t="shared" si="327"/>
        <v>0</v>
      </c>
      <c r="AH283" s="1699">
        <f t="shared" si="327"/>
        <v>62</v>
      </c>
      <c r="AI283" s="1699"/>
      <c r="AJ283" s="2039"/>
      <c r="AK283" s="1699">
        <f>AK10*AK257</f>
        <v>55</v>
      </c>
      <c r="AL283" s="1699">
        <f>AL10*AL257</f>
        <v>50</v>
      </c>
      <c r="AM283" s="1699">
        <f>AM10*AM257</f>
        <v>50</v>
      </c>
      <c r="AN283" s="1699">
        <f>AN10*AN257</f>
        <v>54</v>
      </c>
      <c r="AO283" s="2039"/>
      <c r="AP283" s="1699"/>
      <c r="AQ283" s="1699"/>
      <c r="AR283" s="1699"/>
      <c r="AS283" s="1699"/>
      <c r="AT283" s="2039"/>
      <c r="AU283" s="1327"/>
      <c r="AV283" s="1327"/>
      <c r="AW283" s="1327"/>
      <c r="AX283" s="1327"/>
      <c r="AY283" s="2161">
        <f t="shared" si="319"/>
        <v>0</v>
      </c>
      <c r="AZ283" s="1327"/>
      <c r="BA283" s="1327"/>
      <c r="BB283" s="1327"/>
      <c r="BC283" s="1327"/>
      <c r="BD283" s="2161">
        <f t="shared" si="320"/>
        <v>0</v>
      </c>
      <c r="BE283" s="1327"/>
      <c r="BF283" s="1327"/>
      <c r="BG283" s="1327"/>
      <c r="BH283" s="1327"/>
      <c r="BI283" s="2161">
        <f t="shared" si="321"/>
        <v>0</v>
      </c>
      <c r="BJ283" s="1327">
        <f t="shared" si="326"/>
        <v>27477.806033507251</v>
      </c>
      <c r="BK283" s="1327">
        <f t="shared" si="326"/>
        <v>27526.33763350725</v>
      </c>
      <c r="BL283" s="1327">
        <f t="shared" si="326"/>
        <v>25451.414873507245</v>
      </c>
      <c r="BM283" s="1327">
        <f t="shared" si="326"/>
        <v>37227.822656068034</v>
      </c>
      <c r="BN283" s="2161">
        <f t="shared" si="322"/>
        <v>117683.38119658978</v>
      </c>
      <c r="BO283" s="1699"/>
      <c r="BP283" s="1699"/>
      <c r="BQ283" s="1293"/>
      <c r="BR283" s="1293"/>
      <c r="BS283" s="1293"/>
      <c r="BT283" s="1293"/>
      <c r="BU283" s="1293"/>
      <c r="BV283" s="1293"/>
      <c r="BW283" s="1293"/>
      <c r="BX283" s="1293"/>
      <c r="BY283" s="1293"/>
      <c r="BZ283" s="1293"/>
      <c r="CA283" s="1293"/>
      <c r="CB283" s="1293"/>
      <c r="CC283" s="1293"/>
      <c r="CD283" s="1293"/>
      <c r="CE283" s="1293"/>
      <c r="CF283" s="1293"/>
      <c r="CG283" s="1293"/>
      <c r="CH283" s="1293"/>
      <c r="CI283" s="1293"/>
      <c r="CJ283" s="1293"/>
      <c r="CK283" s="1293"/>
      <c r="CL283" s="1293"/>
      <c r="CM283" s="1293"/>
      <c r="CN283" s="1293"/>
      <c r="CO283" s="1293"/>
      <c r="CP283" s="1293"/>
      <c r="CQ283" s="1293"/>
      <c r="CR283" s="1293"/>
      <c r="CS283" s="1293"/>
      <c r="CT283" s="1293"/>
      <c r="CU283" s="1293"/>
      <c r="CV283" s="1293"/>
      <c r="CW283" s="1293"/>
      <c r="CX283" s="1293"/>
      <c r="CY283" s="2041"/>
      <c r="CZ283" s="1699"/>
      <c r="DA283" s="2042"/>
      <c r="DB283" s="2041"/>
      <c r="DC283" s="1293"/>
      <c r="DD283" s="1293"/>
      <c r="DE283" s="1293"/>
      <c r="DF283" s="1293"/>
      <c r="DG283" s="1293"/>
      <c r="DH283" s="1293"/>
      <c r="DI283" s="1293"/>
      <c r="DJ283" s="1293"/>
      <c r="DK283" s="1293"/>
      <c r="DL283" s="2147">
        <v>512.24580000000003</v>
      </c>
    </row>
    <row r="284" spans="1:116" ht="16.5" hidden="1" outlineLevel="1" thickBot="1">
      <c r="A284" s="1293"/>
      <c r="B284" s="1982" t="str">
        <f t="shared" si="309"/>
        <v>Costa Rica wireless</v>
      </c>
      <c r="C284" s="1699"/>
      <c r="D284" s="1699"/>
      <c r="E284" s="1699"/>
      <c r="F284" s="1699"/>
      <c r="G284" s="2039"/>
      <c r="H284" s="1699"/>
      <c r="I284" s="1699"/>
      <c r="J284" s="1699"/>
      <c r="K284" s="1699"/>
      <c r="L284" s="2039"/>
      <c r="M284" s="1699"/>
      <c r="N284" s="1699"/>
      <c r="O284" s="1699"/>
      <c r="P284" s="1699"/>
      <c r="Q284" s="2039"/>
      <c r="R284" s="1699"/>
      <c r="S284" s="1699"/>
      <c r="T284" s="1699"/>
      <c r="U284" s="1699"/>
      <c r="V284" s="2039"/>
      <c r="W284" s="1699"/>
      <c r="X284" s="1699"/>
      <c r="Y284" s="1699"/>
      <c r="Z284" s="1699"/>
      <c r="AA284" s="2039"/>
      <c r="AB284" s="1699"/>
      <c r="AC284" s="1699"/>
      <c r="AD284" s="1699"/>
      <c r="AE284" s="1699"/>
      <c r="AF284" s="1699"/>
      <c r="AG284" s="1699"/>
      <c r="AH284" s="1699"/>
      <c r="AI284" s="1699"/>
      <c r="AJ284" s="2039"/>
      <c r="AK284" s="1699"/>
      <c r="AL284" s="1699"/>
      <c r="AM284" s="1699"/>
      <c r="AN284" s="1699"/>
      <c r="AO284" s="2039"/>
      <c r="AP284" s="1699"/>
      <c r="AQ284" s="1699"/>
      <c r="AR284" s="1699"/>
      <c r="AS284" s="1699"/>
      <c r="AT284" s="2039"/>
      <c r="AU284" s="1327"/>
      <c r="AV284" s="1327"/>
      <c r="AW284" s="1327"/>
      <c r="AX284" s="1327"/>
      <c r="AY284" s="2161">
        <f t="shared" si="319"/>
        <v>0</v>
      </c>
      <c r="AZ284" s="1327"/>
      <c r="BA284" s="1327"/>
      <c r="BB284" s="1327"/>
      <c r="BC284" s="1327"/>
      <c r="BD284" s="2161">
        <f t="shared" si="320"/>
        <v>0</v>
      </c>
      <c r="BE284" s="1327"/>
      <c r="BF284" s="1327"/>
      <c r="BG284" s="1327"/>
      <c r="BH284" s="1327"/>
      <c r="BI284" s="2161">
        <f t="shared" si="321"/>
        <v>0</v>
      </c>
      <c r="BJ284" s="1327">
        <f t="shared" si="326"/>
        <v>58.14</v>
      </c>
      <c r="BK284" s="1327">
        <f t="shared" si="326"/>
        <v>58.14</v>
      </c>
      <c r="BL284" s="1327">
        <f t="shared" si="326"/>
        <v>59.160000000000004</v>
      </c>
      <c r="BM284" s="1327">
        <f t="shared" si="326"/>
        <v>57.512164349914265</v>
      </c>
      <c r="BN284" s="2161">
        <f t="shared" si="322"/>
        <v>232.95216434991426</v>
      </c>
      <c r="BO284" s="1699"/>
      <c r="BP284" s="1699"/>
      <c r="BQ284" s="1293"/>
      <c r="BR284" s="1293"/>
      <c r="BS284" s="1293"/>
      <c r="BT284" s="1293"/>
      <c r="BU284" s="1293"/>
      <c r="BV284" s="1293"/>
      <c r="BW284" s="1293"/>
      <c r="BX284" s="1293"/>
      <c r="BY284" s="1293"/>
      <c r="BZ284" s="1293"/>
      <c r="CA284" s="1293"/>
      <c r="CB284" s="1293"/>
      <c r="CC284" s="1293"/>
      <c r="CD284" s="1293"/>
      <c r="CE284" s="1293"/>
      <c r="CF284" s="1293"/>
      <c r="CG284" s="1293"/>
      <c r="CH284" s="1293"/>
      <c r="CI284" s="1293"/>
      <c r="CJ284" s="1293"/>
      <c r="CK284" s="1293"/>
      <c r="CL284" s="1293"/>
      <c r="CM284" s="1293"/>
      <c r="CN284" s="1293"/>
      <c r="CO284" s="1293"/>
      <c r="CP284" s="1293"/>
      <c r="CQ284" s="1293"/>
      <c r="CR284" s="1293"/>
      <c r="CS284" s="1293"/>
      <c r="CT284" s="1293"/>
      <c r="CU284" s="1293"/>
      <c r="CV284" s="1293"/>
      <c r="CW284" s="1293"/>
      <c r="CX284" s="1293"/>
      <c r="CY284" s="2041"/>
      <c r="CZ284" s="1699"/>
      <c r="DA284" s="2042"/>
      <c r="DB284" s="2041"/>
      <c r="DC284" s="1293"/>
      <c r="DD284" s="1293"/>
      <c r="DE284" s="1293"/>
      <c r="DF284" s="1293"/>
      <c r="DG284" s="1293"/>
      <c r="DH284" s="1293"/>
      <c r="DI284" s="1293"/>
      <c r="DJ284" s="1293"/>
      <c r="DK284" s="1293"/>
      <c r="DL284" s="2147">
        <v>512.28520000000003</v>
      </c>
    </row>
    <row r="285" spans="1:116" ht="16.5" hidden="1" outlineLevel="1" thickBot="1">
      <c r="A285" s="1293"/>
      <c r="B285" s="1982" t="str">
        <f t="shared" si="309"/>
        <v>Nicaragua wireless</v>
      </c>
      <c r="C285" s="1699"/>
      <c r="D285" s="1699"/>
      <c r="E285" s="1699"/>
      <c r="F285" s="1699"/>
      <c r="G285" s="2039"/>
      <c r="H285" s="1699"/>
      <c r="I285" s="1699"/>
      <c r="J285" s="1699"/>
      <c r="K285" s="1699"/>
      <c r="L285" s="2039"/>
      <c r="M285" s="1699"/>
      <c r="N285" s="1699"/>
      <c r="O285" s="1699"/>
      <c r="P285" s="1699"/>
      <c r="Q285" s="2039"/>
      <c r="R285" s="1699"/>
      <c r="S285" s="1699"/>
      <c r="T285" s="1699"/>
      <c r="U285" s="1699"/>
      <c r="V285" s="2039"/>
      <c r="W285" s="1699"/>
      <c r="X285" s="1699"/>
      <c r="Y285" s="1699"/>
      <c r="Z285" s="1699"/>
      <c r="AA285" s="2039"/>
      <c r="AB285" s="1699">
        <f t="shared" ref="AB285:AH285" si="328">AB12*AB259</f>
        <v>0</v>
      </c>
      <c r="AC285" s="1699">
        <f t="shared" si="328"/>
        <v>0</v>
      </c>
      <c r="AD285" s="1699">
        <f t="shared" si="328"/>
        <v>39</v>
      </c>
      <c r="AE285" s="1699">
        <f t="shared" si="328"/>
        <v>39</v>
      </c>
      <c r="AF285" s="1699">
        <f t="shared" si="328"/>
        <v>54</v>
      </c>
      <c r="AG285" s="1699">
        <f t="shared" si="328"/>
        <v>54</v>
      </c>
      <c r="AH285" s="1699">
        <f t="shared" si="328"/>
        <v>56</v>
      </c>
      <c r="AI285" s="1699"/>
      <c r="AJ285" s="2039"/>
      <c r="AK285" s="1699">
        <f>AK12*AK259</f>
        <v>51</v>
      </c>
      <c r="AL285" s="1699">
        <f>AL12*AL259</f>
        <v>49</v>
      </c>
      <c r="AM285" s="1699">
        <f>AM12*AM259</f>
        <v>49</v>
      </c>
      <c r="AN285" s="1699">
        <f>AN12*AN259</f>
        <v>50</v>
      </c>
      <c r="AO285" s="2039"/>
      <c r="AP285" s="1699"/>
      <c r="AQ285" s="1699"/>
      <c r="AR285" s="1699"/>
      <c r="AS285" s="1699"/>
      <c r="AT285" s="2039"/>
      <c r="AU285" s="1327"/>
      <c r="AV285" s="1327"/>
      <c r="AW285" s="1327"/>
      <c r="AX285" s="1327"/>
      <c r="AY285" s="2161">
        <f t="shared" si="319"/>
        <v>0</v>
      </c>
      <c r="AZ285" s="1327"/>
      <c r="BA285" s="1327"/>
      <c r="BB285" s="1327"/>
      <c r="BC285" s="1327"/>
      <c r="BD285" s="2161">
        <f t="shared" si="320"/>
        <v>0</v>
      </c>
      <c r="BE285" s="1327"/>
      <c r="BF285" s="1327"/>
      <c r="BG285" s="1327"/>
      <c r="BH285" s="1327"/>
      <c r="BI285" s="2161">
        <f t="shared" si="321"/>
        <v>0</v>
      </c>
      <c r="BJ285" s="1327">
        <f t="shared" si="326"/>
        <v>0</v>
      </c>
      <c r="BK285" s="1327">
        <f t="shared" si="326"/>
        <v>0</v>
      </c>
      <c r="BL285" s="1327">
        <f t="shared" si="326"/>
        <v>0</v>
      </c>
      <c r="BM285" s="1327">
        <f t="shared" si="326"/>
        <v>0</v>
      </c>
      <c r="BN285" s="2161">
        <f t="shared" si="322"/>
        <v>0</v>
      </c>
      <c r="BO285" s="1699"/>
      <c r="BP285" s="1699"/>
      <c r="BQ285" s="1293"/>
      <c r="BR285" s="1293"/>
      <c r="BS285" s="1293"/>
      <c r="BT285" s="1293"/>
      <c r="BU285" s="1293"/>
      <c r="BV285" s="1293"/>
      <c r="BW285" s="1293"/>
      <c r="BX285" s="1293"/>
      <c r="BY285" s="1293"/>
      <c r="BZ285" s="1293"/>
      <c r="CA285" s="1293"/>
      <c r="CB285" s="1293"/>
      <c r="CC285" s="1293"/>
      <c r="CD285" s="1293"/>
      <c r="CE285" s="1293"/>
      <c r="CF285" s="1293"/>
      <c r="CG285" s="1293"/>
      <c r="CH285" s="1293"/>
      <c r="CI285" s="1293"/>
      <c r="CJ285" s="1293"/>
      <c r="CK285" s="1293"/>
      <c r="CL285" s="1293"/>
      <c r="CM285" s="1293"/>
      <c r="CN285" s="1293"/>
      <c r="CO285" s="1293"/>
      <c r="CP285" s="1293"/>
      <c r="CQ285" s="1293"/>
      <c r="CR285" s="1293"/>
      <c r="CS285" s="1293"/>
      <c r="CT285" s="1293"/>
      <c r="CU285" s="1293"/>
      <c r="CV285" s="1293"/>
      <c r="CW285" s="1293"/>
      <c r="CX285" s="1293"/>
      <c r="CY285" s="2041"/>
      <c r="CZ285" s="1699"/>
      <c r="DA285" s="2042"/>
      <c r="DB285" s="2041"/>
      <c r="DC285" s="1293"/>
      <c r="DD285" s="1293"/>
      <c r="DE285" s="1293"/>
      <c r="DF285" s="1293"/>
      <c r="DG285" s="1293"/>
      <c r="DH285" s="1293"/>
      <c r="DI285" s="1293"/>
      <c r="DJ285" s="1293"/>
      <c r="DK285" s="1293"/>
      <c r="DL285" s="2147">
        <v>511.863</v>
      </c>
    </row>
    <row r="286" spans="1:116" ht="16.5" collapsed="1" thickBot="1">
      <c r="A286" s="1293"/>
      <c r="B286" s="1293" t="str">
        <f>B15</f>
        <v>Bolivia</v>
      </c>
      <c r="C286" s="1699">
        <f t="shared" ref="C286:AO286" si="329">C15*C260</f>
        <v>813.23083067000084</v>
      </c>
      <c r="D286" s="1699">
        <f t="shared" si="329"/>
        <v>813.68110733000174</v>
      </c>
      <c r="E286" s="1699">
        <f t="shared" si="329"/>
        <v>853.8471580900017</v>
      </c>
      <c r="F286" s="1699">
        <f t="shared" si="329"/>
        <v>892.62441275999709</v>
      </c>
      <c r="G286" s="2039">
        <f t="shared" si="329"/>
        <v>3373.3835088499995</v>
      </c>
      <c r="H286" s="1699">
        <f t="shared" si="329"/>
        <v>894.32234255999799</v>
      </c>
      <c r="I286" s="1699">
        <f t="shared" si="329"/>
        <v>886.10988648999819</v>
      </c>
      <c r="J286" s="1699">
        <f t="shared" si="329"/>
        <v>918.8288238800011</v>
      </c>
      <c r="K286" s="1699">
        <f t="shared" si="329"/>
        <v>967.63874760000408</v>
      </c>
      <c r="L286" s="2039">
        <f t="shared" si="329"/>
        <v>3666.8998005300014</v>
      </c>
      <c r="M286" s="1699">
        <f t="shared" si="329"/>
        <v>937.10686444999794</v>
      </c>
      <c r="N286" s="1699">
        <f t="shared" si="329"/>
        <v>916.19972804000054</v>
      </c>
      <c r="O286" s="1699">
        <f t="shared" si="329"/>
        <v>935.38370534000433</v>
      </c>
      <c r="P286" s="1699">
        <f t="shared" si="329"/>
        <v>953.58</v>
      </c>
      <c r="Q286" s="2039">
        <f t="shared" si="329"/>
        <v>3742.2702978300031</v>
      </c>
      <c r="R286" s="1699">
        <f t="shared" si="329"/>
        <v>925.94</v>
      </c>
      <c r="S286" s="1699">
        <f t="shared" si="329"/>
        <v>919.03</v>
      </c>
      <c r="T286" s="1699">
        <f t="shared" si="329"/>
        <v>974.31000000000006</v>
      </c>
      <c r="U286" s="1699">
        <f t="shared" si="329"/>
        <v>1022.6800000000001</v>
      </c>
      <c r="V286" s="2039">
        <f t="shared" si="329"/>
        <v>3841.96</v>
      </c>
      <c r="W286" s="1699">
        <f t="shared" si="329"/>
        <v>981.74365230769286</v>
      </c>
      <c r="X286" s="1699">
        <f t="shared" si="329"/>
        <v>1057.2300000000012</v>
      </c>
      <c r="Y286" s="1699">
        <f t="shared" si="329"/>
        <v>1098.6900000000014</v>
      </c>
      <c r="Z286" s="1699">
        <f t="shared" si="329"/>
        <v>1105.5999999999999</v>
      </c>
      <c r="AA286" s="2039">
        <f t="shared" si="329"/>
        <v>4236.6000000000004</v>
      </c>
      <c r="AB286" s="1699">
        <f t="shared" si="329"/>
        <v>1088.6199999999999</v>
      </c>
      <c r="AC286" s="1699">
        <f t="shared" si="329"/>
        <v>1088.6199999999999</v>
      </c>
      <c r="AD286" s="1699">
        <f t="shared" si="329"/>
        <v>1112.51</v>
      </c>
      <c r="AE286" s="1699">
        <f t="shared" si="329"/>
        <v>1112.51</v>
      </c>
      <c r="AF286" s="1699">
        <f t="shared" si="329"/>
        <v>1112.51</v>
      </c>
      <c r="AG286" s="1699">
        <f t="shared" si="329"/>
        <v>1112.51</v>
      </c>
      <c r="AH286" s="1699">
        <f t="shared" si="329"/>
        <v>1098.69</v>
      </c>
      <c r="AI286" s="1699">
        <f t="shared" si="329"/>
        <v>1098.69</v>
      </c>
      <c r="AJ286" s="2039">
        <f t="shared" si="329"/>
        <v>4415.49</v>
      </c>
      <c r="AK286" s="1699">
        <f t="shared" si="329"/>
        <v>1090.0502646153841</v>
      </c>
      <c r="AL286" s="1699">
        <f t="shared" si="329"/>
        <v>912.37080000000003</v>
      </c>
      <c r="AM286" s="1699">
        <f t="shared" si="329"/>
        <v>988.40170000000001</v>
      </c>
      <c r="AN286" s="1699">
        <f t="shared" si="329"/>
        <v>1043.6968999999999</v>
      </c>
      <c r="AO286" s="2039">
        <f t="shared" si="329"/>
        <v>4035.44</v>
      </c>
      <c r="AP286" s="1699"/>
      <c r="AQ286" s="1699"/>
      <c r="AR286" s="1699"/>
      <c r="AS286" s="1699"/>
      <c r="AT286" s="2039">
        <f>AT15*AT260</f>
        <v>4305.3071765909081</v>
      </c>
      <c r="AU286" s="1327">
        <f>AU15*AU260</f>
        <v>1065.9969999999996</v>
      </c>
      <c r="AV286" s="1327">
        <f>AV15*AV260</f>
        <v>1089.5577108923083</v>
      </c>
      <c r="AW286" s="1327">
        <f>AW15*AW260</f>
        <v>1065.0927999999999</v>
      </c>
      <c r="AX286" s="1327">
        <f>AX15*AX260</f>
        <v>1053.2366999999999</v>
      </c>
      <c r="AY286" s="2161">
        <f t="shared" si="319"/>
        <v>4273.8842108923072</v>
      </c>
      <c r="AZ286" s="1327">
        <f>AZ15*AZ260</f>
        <v>1053.2366999999999</v>
      </c>
      <c r="BA286" s="1327">
        <f>BA15*BA260</f>
        <v>1052.9780858653846</v>
      </c>
      <c r="BB286" s="1327">
        <f>BB15*BB260</f>
        <v>1060.30495</v>
      </c>
      <c r="BC286" s="1327">
        <f>BC15*BC260</f>
        <v>1060.15984</v>
      </c>
      <c r="BD286" s="2161">
        <f t="shared" si="320"/>
        <v>4226.6795758653843</v>
      </c>
      <c r="BE286" s="1327">
        <f>BE15*BE260</f>
        <v>1050.32</v>
      </c>
      <c r="BF286" s="1327">
        <f>BF15*BF260</f>
        <v>1043.4100000000001</v>
      </c>
      <c r="BG286" s="1327">
        <f>BG15*BG260</f>
        <v>1060.804543</v>
      </c>
      <c r="BH286" s="1327">
        <f>BH15*BH260</f>
        <v>1084.8492700000002</v>
      </c>
      <c r="BI286" s="2161">
        <f t="shared" si="321"/>
        <v>4239.3838130000004</v>
      </c>
      <c r="BJ286" s="1327">
        <f t="shared" ref="BJ286:BM288" si="330">BJ312+BJ337</f>
        <v>1072.75845325</v>
      </c>
      <c r="BK286" s="1327">
        <f t="shared" si="330"/>
        <v>1072.75845325</v>
      </c>
      <c r="BL286" s="1327">
        <f t="shared" si="330"/>
        <v>1082.803977001</v>
      </c>
      <c r="BM286" s="1327">
        <f t="shared" si="330"/>
        <v>1095.0229294990004</v>
      </c>
      <c r="BN286" s="2161">
        <f t="shared" si="322"/>
        <v>4323.3438130000004</v>
      </c>
      <c r="BO286" s="1699"/>
      <c r="BP286" s="1699"/>
      <c r="BQ286" s="1293"/>
      <c r="BR286" s="1293"/>
      <c r="BS286" s="1293"/>
      <c r="BT286" s="1293"/>
      <c r="BU286" s="1293"/>
      <c r="BV286" s="1293"/>
      <c r="BW286" s="1293"/>
      <c r="BX286" s="1293"/>
      <c r="BY286" s="1293"/>
      <c r="BZ286" s="1293"/>
      <c r="CA286" s="1293"/>
      <c r="CB286" s="1293"/>
      <c r="CC286" s="1293"/>
      <c r="CD286" s="1293"/>
      <c r="CE286" s="1293"/>
      <c r="CF286" s="1293"/>
      <c r="CG286" s="1293"/>
      <c r="CH286" s="1293"/>
      <c r="CI286" s="1293"/>
      <c r="CJ286" s="1293"/>
      <c r="CK286" s="1293"/>
      <c r="CL286" s="1293"/>
      <c r="CM286" s="1293"/>
      <c r="CN286" s="1293"/>
      <c r="CO286" s="1293"/>
      <c r="CP286" s="1293"/>
      <c r="CQ286" s="1293"/>
      <c r="CR286" s="1293"/>
      <c r="CS286" s="1293"/>
      <c r="CT286" s="1293"/>
      <c r="CU286" s="1293"/>
      <c r="CV286" s="1293"/>
      <c r="CW286" s="1293"/>
      <c r="CX286" s="1293"/>
      <c r="CY286" s="2041"/>
      <c r="CZ286" s="1699"/>
      <c r="DA286" s="2042"/>
      <c r="DB286" s="2041"/>
      <c r="DC286" s="1293"/>
      <c r="DD286" s="1293"/>
      <c r="DE286" s="1293"/>
      <c r="DF286" s="1293"/>
      <c r="DG286" s="1293"/>
      <c r="DH286" s="1293"/>
      <c r="DI286" s="1293"/>
      <c r="DJ286" s="1293"/>
      <c r="DK286" s="1293"/>
      <c r="DL286" s="2147">
        <v>511.74880000000002</v>
      </c>
    </row>
    <row r="287" spans="1:116" ht="16.5" thickBot="1">
      <c r="A287" s="1293"/>
      <c r="B287" s="1293" t="str">
        <f>B16</f>
        <v>Colombia</v>
      </c>
      <c r="C287" s="1699">
        <f t="shared" ref="C287:AO287" si="331">C16*C261/1000</f>
        <v>512.12731769769391</v>
      </c>
      <c r="D287" s="1699">
        <f t="shared" si="331"/>
        <v>547.6797559873653</v>
      </c>
      <c r="E287" s="1699">
        <f t="shared" si="331"/>
        <v>952.37139571730586</v>
      </c>
      <c r="F287" s="1699">
        <f t="shared" si="331"/>
        <v>1366.0704388512861</v>
      </c>
      <c r="G287" s="2039">
        <f t="shared" si="331"/>
        <v>3360.2275618493322</v>
      </c>
      <c r="H287" s="1699">
        <f t="shared" si="331"/>
        <v>1299.8346216869923</v>
      </c>
      <c r="I287" s="1699">
        <f t="shared" si="331"/>
        <v>1343.3544897620538</v>
      </c>
      <c r="J287" s="1699">
        <f t="shared" si="331"/>
        <v>1356.6612753253671</v>
      </c>
      <c r="K287" s="1699">
        <f t="shared" si="331"/>
        <v>1408.6554831381279</v>
      </c>
      <c r="L287" s="2039">
        <f t="shared" si="331"/>
        <v>5443.8658028520877</v>
      </c>
      <c r="M287" s="1699">
        <f t="shared" si="331"/>
        <v>1267.2806920653472</v>
      </c>
      <c r="N287" s="1699">
        <f t="shared" si="331"/>
        <v>1298.0876470373294</v>
      </c>
      <c r="O287" s="1699">
        <f t="shared" si="331"/>
        <v>1264.5618140675233</v>
      </c>
      <c r="P287" s="1699">
        <f t="shared" si="331"/>
        <v>1372.48525</v>
      </c>
      <c r="Q287" s="2039">
        <f t="shared" si="331"/>
        <v>5231.4150599045379</v>
      </c>
      <c r="R287" s="1699">
        <f t="shared" si="331"/>
        <v>1259.2420999999999</v>
      </c>
      <c r="S287" s="1699">
        <f t="shared" si="331"/>
        <v>1267.21</v>
      </c>
      <c r="T287" s="1699">
        <f t="shared" si="331"/>
        <v>1286.0640000000001</v>
      </c>
      <c r="U287" s="1699">
        <f t="shared" si="331"/>
        <v>1334.2950000000001</v>
      </c>
      <c r="V287" s="2039">
        <f t="shared" si="331"/>
        <v>5146.2227000000003</v>
      </c>
      <c r="W287" s="1699">
        <f t="shared" si="331"/>
        <v>1191.1596018461532</v>
      </c>
      <c r="X287" s="1699">
        <f t="shared" si="331"/>
        <v>1227.3427716923077</v>
      </c>
      <c r="Y287" s="1699">
        <f t="shared" si="331"/>
        <v>1236.963284615385</v>
      </c>
      <c r="Z287" s="1699">
        <f t="shared" si="331"/>
        <v>1247.404</v>
      </c>
      <c r="AA287" s="2039">
        <f t="shared" si="331"/>
        <v>4848.4589999999998</v>
      </c>
      <c r="AB287" s="1699">
        <f t="shared" si="331"/>
        <v>1237.5159775</v>
      </c>
      <c r="AC287" s="1699">
        <f t="shared" si="331"/>
        <v>1226.1759999999999</v>
      </c>
      <c r="AD287" s="1699">
        <f t="shared" si="331"/>
        <v>1227.366</v>
      </c>
      <c r="AE287" s="1699">
        <f t="shared" si="331"/>
        <v>1225.098</v>
      </c>
      <c r="AF287" s="1699">
        <f t="shared" si="331"/>
        <v>1255.4831250000002</v>
      </c>
      <c r="AG287" s="1699">
        <f t="shared" si="331"/>
        <v>1248.375</v>
      </c>
      <c r="AH287" s="1699">
        <f t="shared" si="331"/>
        <v>1324.2022899999999</v>
      </c>
      <c r="AI287" s="1699">
        <f t="shared" si="331"/>
        <v>1320.752</v>
      </c>
      <c r="AJ287" s="2039">
        <f t="shared" si="331"/>
        <v>5009.6400000000003</v>
      </c>
      <c r="AK287" s="1699">
        <f t="shared" si="331"/>
        <v>1272.1001400000002</v>
      </c>
      <c r="AL287" s="1699">
        <f t="shared" si="331"/>
        <v>1168.3187075000001</v>
      </c>
      <c r="AM287" s="1699">
        <f t="shared" si="331"/>
        <v>1221.4280000000001</v>
      </c>
      <c r="AN287" s="1699">
        <f t="shared" si="331"/>
        <v>1311.86</v>
      </c>
      <c r="AO287" s="2039">
        <f t="shared" si="331"/>
        <v>5042.4049999999997</v>
      </c>
      <c r="AP287" s="1699"/>
      <c r="AQ287" s="1699"/>
      <c r="AR287" s="1699"/>
      <c r="AS287" s="1699"/>
      <c r="AT287" s="2039">
        <f>AT16*AT261/1000</f>
        <v>5293.5340961826932</v>
      </c>
      <c r="AU287" s="1327">
        <f>AU16*AU261/1000</f>
        <v>1404.4380000000001</v>
      </c>
      <c r="AV287" s="1327">
        <f t="shared" ref="AV287:AX287" si="332">AV16*AV261/1000</f>
        <v>1406.5430897353845</v>
      </c>
      <c r="AW287" s="1327">
        <f t="shared" si="332"/>
        <v>1401.0217399999999</v>
      </c>
      <c r="AX287" s="1327">
        <f t="shared" si="332"/>
        <v>1437.8910000000001</v>
      </c>
      <c r="AY287" s="2161">
        <f t="shared" si="319"/>
        <v>5649.8938297353852</v>
      </c>
      <c r="AZ287" s="1327">
        <f>AZ16*AZ261/1000</f>
        <v>1416.096</v>
      </c>
      <c r="BA287" s="1327">
        <f t="shared" ref="BA287:BC287" si="333">BA16*BA261/1000</f>
        <v>1408.29</v>
      </c>
      <c r="BB287" s="1327">
        <f t="shared" si="333"/>
        <v>1398.305828</v>
      </c>
      <c r="BC287" s="1327">
        <f t="shared" si="333"/>
        <v>1421.423920256</v>
      </c>
      <c r="BD287" s="2161">
        <f t="shared" si="320"/>
        <v>5644.1157482560002</v>
      </c>
      <c r="BE287" s="1327">
        <f>BE16*BE261/1000</f>
        <v>1377.7115125</v>
      </c>
      <c r="BF287" s="1327">
        <f t="shared" ref="BF287:BH287" si="334">BF16*BF261/1000</f>
        <v>1404.625425</v>
      </c>
      <c r="BG287" s="1327">
        <f t="shared" si="334"/>
        <v>1408.2138021599999</v>
      </c>
      <c r="BH287" s="1327">
        <f t="shared" si="334"/>
        <v>1427.1500544</v>
      </c>
      <c r="BI287" s="2161">
        <f t="shared" si="321"/>
        <v>5617.7007940600006</v>
      </c>
      <c r="BJ287" s="1327">
        <f t="shared" si="330"/>
        <v>1408.0644858150001</v>
      </c>
      <c r="BK287" s="1327">
        <f t="shared" si="330"/>
        <v>1431.0109770150002</v>
      </c>
      <c r="BL287" s="1327">
        <f t="shared" si="330"/>
        <v>1441.8454613564404</v>
      </c>
      <c r="BM287" s="1327">
        <f t="shared" si="330"/>
        <v>1459.7198698735601</v>
      </c>
      <c r="BN287" s="2161">
        <f t="shared" si="322"/>
        <v>5740.6407940600011</v>
      </c>
      <c r="BO287" s="1699"/>
      <c r="BP287" s="1699"/>
      <c r="BQ287" s="1293"/>
      <c r="BR287" s="1293"/>
      <c r="BS287" s="1293"/>
      <c r="BT287" s="1293"/>
      <c r="BU287" s="1293"/>
      <c r="BV287" s="1293"/>
      <c r="BW287" s="1293"/>
      <c r="BX287" s="1293"/>
      <c r="BY287" s="1293"/>
      <c r="BZ287" s="1293"/>
      <c r="CA287" s="1293"/>
      <c r="CB287" s="1293"/>
      <c r="CC287" s="1293"/>
      <c r="CD287" s="1293"/>
      <c r="CE287" s="1293"/>
      <c r="CF287" s="1293"/>
      <c r="CG287" s="1293"/>
      <c r="CH287" s="1293"/>
      <c r="CI287" s="1293"/>
      <c r="CJ287" s="1293"/>
      <c r="CK287" s="1293"/>
      <c r="CL287" s="1293"/>
      <c r="CM287" s="1293"/>
      <c r="CN287" s="1293"/>
      <c r="CO287" s="1293"/>
      <c r="CP287" s="1293"/>
      <c r="CQ287" s="1293"/>
      <c r="CR287" s="1293"/>
      <c r="CS287" s="1293"/>
      <c r="CT287" s="1293"/>
      <c r="CU287" s="1293"/>
      <c r="CV287" s="1293"/>
      <c r="CW287" s="1293"/>
      <c r="CX287" s="1293"/>
      <c r="CY287" s="2041"/>
      <c r="CZ287" s="1699"/>
      <c r="DA287" s="2042"/>
      <c r="DB287" s="2041"/>
      <c r="DC287" s="1293"/>
      <c r="DD287" s="1293"/>
      <c r="DE287" s="1293"/>
      <c r="DF287" s="1293"/>
      <c r="DG287" s="1293"/>
      <c r="DH287" s="1293"/>
      <c r="DI287" s="1293"/>
      <c r="DJ287" s="1293"/>
      <c r="DK287" s="1293"/>
      <c r="DL287" s="2147">
        <v>509.1139</v>
      </c>
    </row>
    <row r="288" spans="1:116" ht="16.5" thickBot="1">
      <c r="A288" s="1293"/>
      <c r="B288" s="1293" t="str">
        <f>B17</f>
        <v>Paraguay</v>
      </c>
      <c r="C288" s="1699">
        <f t="shared" ref="C288:AO288" si="335">C17*C262/1000</f>
        <v>836.55478881260547</v>
      </c>
      <c r="D288" s="1699">
        <f t="shared" si="335"/>
        <v>838.84501294917709</v>
      </c>
      <c r="E288" s="1699">
        <f t="shared" si="335"/>
        <v>852.94329320230986</v>
      </c>
      <c r="F288" s="1699">
        <f t="shared" si="335"/>
        <v>905.28187824695613</v>
      </c>
      <c r="G288" s="2039">
        <f t="shared" si="335"/>
        <v>3438.4375777502546</v>
      </c>
      <c r="H288" s="1699">
        <f t="shared" si="335"/>
        <v>840.98003903966298</v>
      </c>
      <c r="I288" s="1699">
        <f t="shared" si="335"/>
        <v>855.35944295065804</v>
      </c>
      <c r="J288" s="1699">
        <f t="shared" si="335"/>
        <v>887.19440266909282</v>
      </c>
      <c r="K288" s="1699">
        <f t="shared" si="335"/>
        <v>907.45375648430843</v>
      </c>
      <c r="L288" s="2039">
        <f t="shared" si="335"/>
        <v>3500.0360601008442</v>
      </c>
      <c r="M288" s="1699">
        <f t="shared" si="335"/>
        <v>882.59611442951837</v>
      </c>
      <c r="N288" s="1699">
        <f t="shared" si="335"/>
        <v>915.24844584054574</v>
      </c>
      <c r="O288" s="1699">
        <f t="shared" si="335"/>
        <v>900.58093235432989</v>
      </c>
      <c r="P288" s="1699">
        <f t="shared" si="335"/>
        <v>835.3273200000001</v>
      </c>
      <c r="Q288" s="2039">
        <f t="shared" si="335"/>
        <v>3542.6703469998142</v>
      </c>
      <c r="R288" s="1699">
        <f t="shared" si="335"/>
        <v>900.21665999999993</v>
      </c>
      <c r="S288" s="1699">
        <f t="shared" si="335"/>
        <v>922.68</v>
      </c>
      <c r="T288" s="1699">
        <f t="shared" si="335"/>
        <v>941.976</v>
      </c>
      <c r="U288" s="1699">
        <f t="shared" si="335"/>
        <v>964.78200000000004</v>
      </c>
      <c r="V288" s="2039">
        <f t="shared" si="335"/>
        <v>3729.07665</v>
      </c>
      <c r="W288" s="1699">
        <f t="shared" si="335"/>
        <v>965.10205846153826</v>
      </c>
      <c r="X288" s="1699">
        <f t="shared" si="335"/>
        <v>966.56802461538439</v>
      </c>
      <c r="Y288" s="1699">
        <f t="shared" si="335"/>
        <v>988.768564615385</v>
      </c>
      <c r="Z288" s="1699">
        <f t="shared" si="335"/>
        <v>969.19799999999998</v>
      </c>
      <c r="AA288" s="2039">
        <f t="shared" si="335"/>
        <v>3876.4110000000001</v>
      </c>
      <c r="AB288" s="1699">
        <f t="shared" si="335"/>
        <v>934.93399999999997</v>
      </c>
      <c r="AC288" s="1699">
        <f t="shared" si="335"/>
        <v>934.93399999999997</v>
      </c>
      <c r="AD288" s="1699">
        <f t="shared" si="335"/>
        <v>941.18299999999999</v>
      </c>
      <c r="AE288" s="1699">
        <f t="shared" si="335"/>
        <v>945.56200000000001</v>
      </c>
      <c r="AF288" s="1699">
        <f t="shared" si="335"/>
        <v>930.78750000000002</v>
      </c>
      <c r="AG288" s="1699">
        <f t="shared" si="335"/>
        <v>921</v>
      </c>
      <c r="AH288" s="1699">
        <f t="shared" si="335"/>
        <v>965.02499999999998</v>
      </c>
      <c r="AI288" s="1699">
        <f t="shared" si="335"/>
        <v>967.65</v>
      </c>
      <c r="AJ288" s="2039">
        <f t="shared" si="335"/>
        <v>3752.8150000000001</v>
      </c>
      <c r="AK288" s="1699">
        <f t="shared" si="335"/>
        <v>925.02350000000001</v>
      </c>
      <c r="AL288" s="1699">
        <f t="shared" si="335"/>
        <v>894.98249999999996</v>
      </c>
      <c r="AM288" s="1699">
        <f t="shared" si="335"/>
        <v>920.56799999999998</v>
      </c>
      <c r="AN288" s="1699">
        <f t="shared" si="335"/>
        <v>948.24</v>
      </c>
      <c r="AO288" s="2039">
        <f t="shared" si="335"/>
        <v>3682.88</v>
      </c>
      <c r="AP288" s="1699"/>
      <c r="AQ288" s="1699"/>
      <c r="AR288" s="1699"/>
      <c r="AS288" s="1699"/>
      <c r="AT288" s="2039">
        <f>AT17*AT262/1000</f>
        <v>3753.1224608843245</v>
      </c>
      <c r="AU288" s="1327">
        <f t="shared" ref="AU288:AX288" si="336">AU17*AU262/1000</f>
        <v>955.47214461538488</v>
      </c>
      <c r="AV288" s="1327">
        <f t="shared" si="336"/>
        <v>952.51871523076863</v>
      </c>
      <c r="AW288" s="1327">
        <f t="shared" si="336"/>
        <v>974.97302000000002</v>
      </c>
      <c r="AX288" s="1327">
        <f t="shared" si="336"/>
        <v>1007.3</v>
      </c>
      <c r="AY288" s="2161">
        <f t="shared" si="319"/>
        <v>3890.263879846153</v>
      </c>
      <c r="AZ288" s="1327">
        <f t="shared" ref="AZ288:BC288" si="337">AZ17*AZ262/1000</f>
        <v>1000.105</v>
      </c>
      <c r="BA288" s="1327">
        <f t="shared" si="337"/>
        <v>1034.748</v>
      </c>
      <c r="BB288" s="1327">
        <f t="shared" si="337"/>
        <v>1041.745754</v>
      </c>
      <c r="BC288" s="1327">
        <f t="shared" si="337"/>
        <v>1056.4159831060001</v>
      </c>
      <c r="BD288" s="2161">
        <f t="shared" si="320"/>
        <v>4133.0147371060002</v>
      </c>
      <c r="BE288" s="1327">
        <f t="shared" ref="BE288:BH288" si="338">BE17*BE262/1000</f>
        <v>1038.825495</v>
      </c>
      <c r="BF288" s="1327">
        <f t="shared" si="338"/>
        <v>1041.3747949999999</v>
      </c>
      <c r="BG288" s="1327">
        <f t="shared" si="338"/>
        <v>1047.483062429</v>
      </c>
      <c r="BH288" s="1327">
        <f t="shared" si="338"/>
        <v>1100.4263816</v>
      </c>
      <c r="BI288" s="2161">
        <f t="shared" si="321"/>
        <v>4228.1097340289998</v>
      </c>
      <c r="BJ288" s="1327">
        <f t="shared" si="330"/>
        <v>1067.09197998225</v>
      </c>
      <c r="BK288" s="1327">
        <f t="shared" si="330"/>
        <v>1063.7905852572499</v>
      </c>
      <c r="BL288" s="1327">
        <f t="shared" si="330"/>
        <v>1073.1274944015747</v>
      </c>
      <c r="BM288" s="1327">
        <f t="shared" si="330"/>
        <v>1105.879674387925</v>
      </c>
      <c r="BN288" s="2161">
        <f t="shared" si="322"/>
        <v>4309.8897340289996</v>
      </c>
      <c r="BO288" s="1699"/>
      <c r="BP288" s="1699"/>
      <c r="BQ288" s="1293"/>
      <c r="BR288" s="1293"/>
      <c r="BS288" s="1293"/>
      <c r="BT288" s="1293"/>
      <c r="BU288" s="1293"/>
      <c r="BV288" s="1293"/>
      <c r="BW288" s="1293"/>
      <c r="BX288" s="1293"/>
      <c r="BY288" s="1293"/>
      <c r="BZ288" s="1293"/>
      <c r="CA288" s="1293"/>
      <c r="CB288" s="1293"/>
      <c r="CC288" s="1293"/>
      <c r="CD288" s="1293"/>
      <c r="CE288" s="1293"/>
      <c r="CF288" s="1293"/>
      <c r="CG288" s="1293"/>
      <c r="CH288" s="1293"/>
      <c r="CI288" s="1293"/>
      <c r="CJ288" s="1293"/>
      <c r="CK288" s="1293"/>
      <c r="CL288" s="1293"/>
      <c r="CM288" s="1293"/>
      <c r="CN288" s="1293"/>
      <c r="CO288" s="1293"/>
      <c r="CP288" s="1293"/>
      <c r="CQ288" s="1293"/>
      <c r="CR288" s="1293"/>
      <c r="CS288" s="1293"/>
      <c r="CT288" s="1293"/>
      <c r="CU288" s="1293"/>
      <c r="CV288" s="1293"/>
      <c r="CW288" s="1293"/>
      <c r="CX288" s="1293"/>
      <c r="CY288" s="2041"/>
      <c r="CZ288" s="1699"/>
      <c r="DA288" s="2042"/>
      <c r="DB288" s="2041"/>
      <c r="DC288" s="1293"/>
      <c r="DD288" s="1293"/>
      <c r="DE288" s="1293"/>
      <c r="DF288" s="1293"/>
      <c r="DG288" s="1293"/>
      <c r="DH288" s="1293"/>
      <c r="DI288" s="1293"/>
      <c r="DJ288" s="1293"/>
      <c r="DK288" s="1293"/>
      <c r="DL288" s="2147">
        <v>509.1139</v>
      </c>
    </row>
    <row r="289" spans="1:116" ht="16.5" hidden="1" outlineLevel="1" thickBot="1">
      <c r="A289" s="1293"/>
      <c r="B289" s="1293"/>
      <c r="C289" s="1699"/>
      <c r="D289" s="1699"/>
      <c r="E289" s="1699"/>
      <c r="F289" s="1699"/>
      <c r="G289" s="2039"/>
      <c r="H289" s="1699"/>
      <c r="I289" s="1699"/>
      <c r="J289" s="1699"/>
      <c r="K289" s="1699"/>
      <c r="L289" s="2039"/>
      <c r="M289" s="1699"/>
      <c r="N289" s="1699"/>
      <c r="O289" s="1724"/>
      <c r="P289" s="1724"/>
      <c r="Q289" s="2039"/>
      <c r="R289" s="1724"/>
      <c r="S289" s="1724"/>
      <c r="T289" s="1724"/>
      <c r="U289" s="1724"/>
      <c r="V289" s="2039"/>
      <c r="W289" s="1724"/>
      <c r="X289" s="1724"/>
      <c r="Y289" s="1724"/>
      <c r="Z289" s="1724"/>
      <c r="AA289" s="2039"/>
      <c r="AB289" s="1724"/>
      <c r="AC289" s="1724"/>
      <c r="AD289" s="1724"/>
      <c r="AE289" s="1724"/>
      <c r="AF289" s="1724"/>
      <c r="AG289" s="1724"/>
      <c r="AH289" s="1724"/>
      <c r="AI289" s="1724"/>
      <c r="AJ289" s="2039"/>
      <c r="AK289" s="1724"/>
      <c r="AL289" s="1724"/>
      <c r="AM289" s="1724"/>
      <c r="AN289" s="1724"/>
      <c r="AO289" s="2039"/>
      <c r="AP289" s="1724"/>
      <c r="AQ289" s="1724"/>
      <c r="AR289" s="1724"/>
      <c r="AS289" s="1724"/>
      <c r="AT289" s="2039"/>
      <c r="AU289" s="1724"/>
      <c r="AV289" s="1724"/>
      <c r="AW289" s="1724"/>
      <c r="AX289" s="1724"/>
      <c r="AY289" s="2039"/>
      <c r="AZ289" s="1724"/>
      <c r="BA289" s="1724"/>
      <c r="BB289" s="1724"/>
      <c r="BC289" s="1699"/>
      <c r="BD289" s="2039"/>
      <c r="BE289" s="1724"/>
      <c r="BF289" s="1724"/>
      <c r="BG289" s="1724"/>
      <c r="BH289" s="1699"/>
      <c r="BI289" s="2039"/>
      <c r="BJ289" s="1724"/>
      <c r="BK289" s="1724"/>
      <c r="BL289" s="1724"/>
      <c r="BM289" s="1724"/>
      <c r="BN289" s="2039"/>
      <c r="BO289" s="1699"/>
      <c r="BP289" s="1699"/>
      <c r="BQ289" s="1293"/>
      <c r="BR289" s="1293"/>
      <c r="BS289" s="1293"/>
      <c r="BT289" s="1293"/>
      <c r="BU289" s="1293"/>
      <c r="BV289" s="1293"/>
      <c r="BW289" s="1293"/>
      <c r="BX289" s="1293"/>
      <c r="BY289" s="1293"/>
      <c r="BZ289" s="1293"/>
      <c r="CA289" s="1293"/>
      <c r="CB289" s="1293"/>
      <c r="CC289" s="1293"/>
      <c r="CD289" s="1293"/>
      <c r="CE289" s="1293"/>
      <c r="CF289" s="1293"/>
      <c r="CG289" s="1293"/>
      <c r="CH289" s="1293"/>
      <c r="CI289" s="1293"/>
      <c r="CJ289" s="1293"/>
      <c r="CK289" s="1293"/>
      <c r="CL289" s="1293"/>
      <c r="CM289" s="1293"/>
      <c r="CN289" s="1293"/>
      <c r="CO289" s="1293"/>
      <c r="CP289" s="1293"/>
      <c r="CQ289" s="1293"/>
      <c r="CR289" s="1293"/>
      <c r="CS289" s="1293"/>
      <c r="CT289" s="1293"/>
      <c r="CU289" s="1293"/>
      <c r="CV289" s="1293"/>
      <c r="CW289" s="1293"/>
      <c r="CX289" s="1293"/>
      <c r="CY289" s="2041"/>
      <c r="CZ289" s="1699"/>
      <c r="DA289" s="2083"/>
      <c r="DB289" s="2084"/>
      <c r="DC289" s="1293"/>
      <c r="DD289" s="1293"/>
      <c r="DE289" s="1293"/>
      <c r="DF289" s="1293"/>
      <c r="DG289" s="1293"/>
      <c r="DH289" s="1293"/>
      <c r="DI289" s="1293"/>
      <c r="DJ289" s="1293"/>
      <c r="DK289" s="1293"/>
      <c r="DL289" s="2147">
        <v>512.34360000000004</v>
      </c>
    </row>
    <row r="290" spans="1:116" ht="16.5" hidden="1" outlineLevel="1" thickBot="1">
      <c r="A290" s="1293"/>
      <c r="B290" s="1293" t="str">
        <f t="shared" ref="B290:B296" si="339">B23</f>
        <v>Chad</v>
      </c>
      <c r="C290" s="1699">
        <f t="shared" ref="C290:AO290" ca="1" si="340">C23*C264</f>
        <v>20999.070866338778</v>
      </c>
      <c r="D290" s="1699">
        <f t="shared" ca="1" si="340"/>
        <v>22602.760376763967</v>
      </c>
      <c r="E290" s="1699">
        <f t="shared" si="340"/>
        <v>23516.541045575083</v>
      </c>
      <c r="F290" s="1699">
        <f t="shared" ca="1" si="340"/>
        <v>22182.391583174121</v>
      </c>
      <c r="G290" s="2039">
        <f t="shared" ca="1" si="340"/>
        <v>89609.599384615387</v>
      </c>
      <c r="H290" s="1699">
        <f t="shared" si="340"/>
        <v>20899.439999999999</v>
      </c>
      <c r="I290" s="1699">
        <f t="shared" si="340"/>
        <v>22108.377825</v>
      </c>
      <c r="J290" s="1699">
        <f t="shared" si="340"/>
        <v>23223.692053571431</v>
      </c>
      <c r="K290" s="1699">
        <f t="shared" si="340"/>
        <v>24208.289000000001</v>
      </c>
      <c r="L290" s="2039">
        <f t="shared" si="340"/>
        <v>90405.473623214275</v>
      </c>
      <c r="M290" s="1699">
        <f t="shared" ca="1" si="340"/>
        <v>23630.767535846742</v>
      </c>
      <c r="N290" s="1699">
        <f t="shared" ca="1" si="340"/>
        <v>24126.597486787283</v>
      </c>
      <c r="O290" s="1699">
        <f t="shared" si="340"/>
        <v>23783.411999999997</v>
      </c>
      <c r="P290" s="1699">
        <f t="shared" si="340"/>
        <v>24908.780532853332</v>
      </c>
      <c r="Q290" s="2039">
        <f t="shared" ca="1" si="340"/>
        <v>96372.253893881338</v>
      </c>
      <c r="R290" s="1699">
        <f t="shared" ca="1" si="340"/>
        <v>21099.871849626841</v>
      </c>
      <c r="S290" s="1699">
        <f t="shared" ca="1" si="340"/>
        <v>21643.800388519292</v>
      </c>
      <c r="T290" s="1699">
        <f t="shared" si="340"/>
        <v>21807.679882731598</v>
      </c>
      <c r="U290" s="1699">
        <f t="shared" si="340"/>
        <v>22320.007708914862</v>
      </c>
      <c r="V290" s="2039">
        <f t="shared" ca="1" si="340"/>
        <v>86977.12707349546</v>
      </c>
      <c r="W290" s="1699">
        <f t="shared" ca="1" si="340"/>
        <v>21408.83412883143</v>
      </c>
      <c r="X290" s="1699">
        <f t="shared" ca="1" si="340"/>
        <v>21966.022207132562</v>
      </c>
      <c r="Y290" s="1699">
        <f t="shared" si="340"/>
        <v>22192.292477395691</v>
      </c>
      <c r="Z290" s="1699">
        <f t="shared" si="340"/>
        <v>22871.157309237344</v>
      </c>
      <c r="AA290" s="2039">
        <f t="shared" ca="1" si="340"/>
        <v>86809.359148079879</v>
      </c>
      <c r="AB290" s="1699">
        <f t="shared" si="340"/>
        <v>0</v>
      </c>
      <c r="AC290" s="1699">
        <f t="shared" si="340"/>
        <v>17918</v>
      </c>
      <c r="AD290" s="1699">
        <f t="shared" si="340"/>
        <v>0</v>
      </c>
      <c r="AE290" s="1699">
        <f t="shared" si="340"/>
        <v>0</v>
      </c>
      <c r="AF290" s="1699">
        <f t="shared" si="340"/>
        <v>0</v>
      </c>
      <c r="AG290" s="1699">
        <f t="shared" si="340"/>
        <v>0</v>
      </c>
      <c r="AH290" s="1699">
        <f t="shared" si="340"/>
        <v>0</v>
      </c>
      <c r="AI290" s="1699">
        <f t="shared" si="340"/>
        <v>0</v>
      </c>
      <c r="AJ290" s="2039">
        <f t="shared" si="340"/>
        <v>0</v>
      </c>
      <c r="AK290" s="1699">
        <f t="shared" si="340"/>
        <v>0</v>
      </c>
      <c r="AL290" s="1699">
        <f t="shared" si="340"/>
        <v>0</v>
      </c>
      <c r="AM290" s="1699">
        <f t="shared" si="340"/>
        <v>0</v>
      </c>
      <c r="AN290" s="1699">
        <f t="shared" si="340"/>
        <v>0</v>
      </c>
      <c r="AO290" s="2039">
        <f t="shared" si="340"/>
        <v>0</v>
      </c>
      <c r="AP290" s="1699"/>
      <c r="AQ290" s="1699"/>
      <c r="AR290" s="1699"/>
      <c r="AS290" s="1699"/>
      <c r="AT290" s="2039">
        <f t="shared" ref="AT290:AT296" si="341">AT23*AT264</f>
        <v>0</v>
      </c>
      <c r="AU290" s="1699"/>
      <c r="AV290" s="1699"/>
      <c r="AW290" s="1699"/>
      <c r="AX290" s="1699"/>
      <c r="AY290" s="2039">
        <f t="shared" ref="AY290:AY296" si="342">AY23*AY264</f>
        <v>0</v>
      </c>
      <c r="AZ290" s="1699"/>
      <c r="BA290" s="1699"/>
      <c r="BB290" s="1699"/>
      <c r="BC290" s="1699"/>
      <c r="BD290" s="2039">
        <f t="shared" ref="BD290:BD296" si="343">BD23*BD264</f>
        <v>0</v>
      </c>
      <c r="BE290" s="1699"/>
      <c r="BF290" s="1699"/>
      <c r="BG290" s="1699"/>
      <c r="BH290" s="1699"/>
      <c r="BI290" s="2039">
        <f ca="1">'New split'!N173</f>
        <v>0</v>
      </c>
      <c r="BJ290" s="1699"/>
      <c r="BK290" s="1699"/>
      <c r="BL290" s="1699"/>
      <c r="BM290" s="1699"/>
      <c r="BN290" s="2039">
        <f>'New split'!O173</f>
        <v>0</v>
      </c>
      <c r="BO290" s="1699"/>
      <c r="BP290" s="1699"/>
      <c r="BQ290" s="1293"/>
      <c r="BR290" s="1293"/>
      <c r="BS290" s="1293"/>
      <c r="BT290" s="1293"/>
      <c r="BU290" s="1293"/>
      <c r="BV290" s="1293"/>
      <c r="BW290" s="1293"/>
      <c r="BX290" s="1293"/>
      <c r="BY290" s="1293"/>
      <c r="BZ290" s="1293"/>
      <c r="CA290" s="1293"/>
      <c r="CB290" s="1293"/>
      <c r="CC290" s="1293"/>
      <c r="CD290" s="1293"/>
      <c r="CE290" s="1293"/>
      <c r="CF290" s="1293"/>
      <c r="CG290" s="1293"/>
      <c r="CH290" s="1293"/>
      <c r="CI290" s="1293"/>
      <c r="CJ290" s="1293"/>
      <c r="CK290" s="1293"/>
      <c r="CL290" s="1293"/>
      <c r="CM290" s="1293"/>
      <c r="CN290" s="1293"/>
      <c r="CO290" s="1293"/>
      <c r="CP290" s="1293"/>
      <c r="CQ290" s="1293"/>
      <c r="CR290" s="1293"/>
      <c r="CS290" s="1293"/>
      <c r="CT290" s="1293"/>
      <c r="CU290" s="1293"/>
      <c r="CV290" s="1293"/>
      <c r="CW290" s="1293"/>
      <c r="CX290" s="1293"/>
      <c r="CY290" s="2041"/>
      <c r="CZ290" s="1699"/>
      <c r="DA290" s="2042"/>
      <c r="DB290" s="2041"/>
      <c r="DC290" s="1293"/>
      <c r="DD290" s="1293"/>
      <c r="DE290" s="1293"/>
      <c r="DF290" s="1293"/>
      <c r="DG290" s="1293"/>
      <c r="DH290" s="1293"/>
      <c r="DI290" s="1293"/>
      <c r="DJ290" s="1293"/>
      <c r="DK290" s="1293"/>
      <c r="DL290" s="2147">
        <v>512.48540000000003</v>
      </c>
    </row>
    <row r="291" spans="1:116" ht="16.5" hidden="1" outlineLevel="1" thickBot="1">
      <c r="A291" s="1293"/>
      <c r="B291" s="1293" t="str">
        <f t="shared" si="339"/>
        <v>DRC</v>
      </c>
      <c r="C291" s="1699">
        <f t="shared" ref="C291:L291" si="344">C24*C265</f>
        <v>28371.725260416668</v>
      </c>
      <c r="D291" s="1699">
        <f t="shared" si="344"/>
        <v>27929.867591424969</v>
      </c>
      <c r="E291" s="1699">
        <f t="shared" si="344"/>
        <v>29353.768286311388</v>
      </c>
      <c r="F291" s="1699">
        <f t="shared" si="344"/>
        <v>32002.912594449888</v>
      </c>
      <c r="G291" s="2039">
        <f t="shared" si="344"/>
        <v>117659.84950312942</v>
      </c>
      <c r="H291" s="1699">
        <f t="shared" si="344"/>
        <v>34046.0703125</v>
      </c>
      <c r="I291" s="1699">
        <f t="shared" si="344"/>
        <v>34074.438461538462</v>
      </c>
      <c r="J291" s="1699">
        <f t="shared" si="344"/>
        <v>34050.371212121208</v>
      </c>
      <c r="K291" s="1699">
        <f t="shared" si="344"/>
        <v>37123.378609561871</v>
      </c>
      <c r="L291" s="2039">
        <f t="shared" si="344"/>
        <v>139285.82028345103</v>
      </c>
      <c r="M291" s="1699"/>
      <c r="N291" s="1699"/>
      <c r="O291" s="1699"/>
      <c r="P291" s="1699"/>
      <c r="Q291" s="2039">
        <f t="shared" ref="Q291:Q296" si="345">Q24*Q265</f>
        <v>0</v>
      </c>
      <c r="R291" s="1699"/>
      <c r="S291" s="1699"/>
      <c r="T291" s="1699"/>
      <c r="U291" s="1699"/>
      <c r="V291" s="2039">
        <f t="shared" ref="V291:V296" si="346">V24*V265</f>
        <v>0</v>
      </c>
      <c r="W291" s="1699"/>
      <c r="X291" s="1699"/>
      <c r="Y291" s="1699"/>
      <c r="Z291" s="1699"/>
      <c r="AA291" s="2039">
        <f t="shared" ref="AA291:AA296" si="347">AA24*AA265</f>
        <v>0</v>
      </c>
      <c r="AB291" s="1699"/>
      <c r="AC291" s="1699"/>
      <c r="AD291" s="1699"/>
      <c r="AE291" s="1699"/>
      <c r="AF291" s="1699"/>
      <c r="AG291" s="1699"/>
      <c r="AH291" s="1699"/>
      <c r="AI291" s="1699"/>
      <c r="AJ291" s="2039">
        <f t="shared" ref="AJ291:AJ296" si="348">AJ24*AJ265</f>
        <v>0</v>
      </c>
      <c r="AK291" s="1699"/>
      <c r="AL291" s="1699"/>
      <c r="AM291" s="1699"/>
      <c r="AN291" s="1699"/>
      <c r="AO291" s="2039">
        <f t="shared" ref="AO291:AO296" si="349">AO24*AO265</f>
        <v>0</v>
      </c>
      <c r="AP291" s="1699"/>
      <c r="AQ291" s="1699"/>
      <c r="AR291" s="1699"/>
      <c r="AS291" s="1699"/>
      <c r="AT291" s="2039">
        <f t="shared" si="341"/>
        <v>0</v>
      </c>
      <c r="AU291" s="1699"/>
      <c r="AV291" s="1699"/>
      <c r="AW291" s="1699"/>
      <c r="AX291" s="1699"/>
      <c r="AY291" s="2039">
        <f t="shared" si="342"/>
        <v>0</v>
      </c>
      <c r="AZ291" s="1699"/>
      <c r="BA291" s="1699"/>
      <c r="BB291" s="1699"/>
      <c r="BC291" s="1699"/>
      <c r="BD291" s="2039">
        <f t="shared" si="343"/>
        <v>0</v>
      </c>
      <c r="BE291" s="1699"/>
      <c r="BF291" s="1699"/>
      <c r="BG291" s="1699"/>
      <c r="BH291" s="1699"/>
      <c r="BI291" s="2039"/>
      <c r="BJ291" s="1699"/>
      <c r="BK291" s="1699"/>
      <c r="BL291" s="1699"/>
      <c r="BM291" s="1699"/>
      <c r="BN291" s="2039"/>
      <c r="BO291" s="1699"/>
      <c r="BP291" s="1699"/>
      <c r="BQ291" s="1293"/>
      <c r="BR291" s="1293"/>
      <c r="BS291" s="1293"/>
      <c r="BT291" s="1293"/>
      <c r="BU291" s="1293"/>
      <c r="BV291" s="1293"/>
      <c r="BW291" s="1293"/>
      <c r="BX291" s="1293"/>
      <c r="BY291" s="1293"/>
      <c r="BZ291" s="1293"/>
      <c r="CA291" s="1293"/>
      <c r="CB291" s="1293"/>
      <c r="CC291" s="1293"/>
      <c r="CD291" s="1293"/>
      <c r="CE291" s="1293"/>
      <c r="CF291" s="1293"/>
      <c r="CG291" s="1293"/>
      <c r="CH291" s="1293"/>
      <c r="CI291" s="1293"/>
      <c r="CJ291" s="1293"/>
      <c r="CK291" s="1293"/>
      <c r="CL291" s="1293"/>
      <c r="CM291" s="1293"/>
      <c r="CN291" s="1293"/>
      <c r="CO291" s="1293"/>
      <c r="CP291" s="1293"/>
      <c r="CQ291" s="1293"/>
      <c r="CR291" s="1293"/>
      <c r="CS291" s="1293"/>
      <c r="CT291" s="1293"/>
      <c r="CU291" s="1293"/>
      <c r="CV291" s="1293"/>
      <c r="CW291" s="1293"/>
      <c r="CX291" s="1293"/>
      <c r="CY291" s="2041"/>
      <c r="CZ291" s="1699"/>
      <c r="DA291" s="2042"/>
      <c r="DB291" s="2041"/>
      <c r="DC291" s="1293"/>
      <c r="DD291" s="1293"/>
      <c r="DE291" s="1293"/>
      <c r="DF291" s="1293"/>
      <c r="DG291" s="1293"/>
      <c r="DH291" s="1293"/>
      <c r="DI291" s="1293"/>
      <c r="DJ291" s="1293"/>
      <c r="DK291" s="1293"/>
      <c r="DL291" s="2147">
        <v>513.03819999999996</v>
      </c>
    </row>
    <row r="292" spans="1:116" ht="16.5" hidden="1" outlineLevel="1" thickBot="1">
      <c r="A292" s="1293"/>
      <c r="B292" s="1293" t="str">
        <f t="shared" si="339"/>
        <v>Ghana</v>
      </c>
      <c r="C292" s="1699">
        <f t="shared" ref="C292:L292" si="350">C25*C266</f>
        <v>96.78576357697105</v>
      </c>
      <c r="D292" s="1699">
        <f t="shared" si="350"/>
        <v>110.10759133415213</v>
      </c>
      <c r="E292" s="1699">
        <f t="shared" si="350"/>
        <v>96.742747463443635</v>
      </c>
      <c r="F292" s="1699">
        <f t="shared" si="350"/>
        <v>116.08901949112411</v>
      </c>
      <c r="G292" s="2039">
        <f t="shared" si="350"/>
        <v>420.12061538461535</v>
      </c>
      <c r="H292" s="1699">
        <f t="shared" si="350"/>
        <v>119.541625</v>
      </c>
      <c r="I292" s="1699">
        <f t="shared" si="350"/>
        <v>135.40924999999999</v>
      </c>
      <c r="J292" s="1699">
        <f t="shared" si="350"/>
        <v>135.184</v>
      </c>
      <c r="K292" s="1699">
        <f t="shared" si="350"/>
        <v>133.01391863729347</v>
      </c>
      <c r="L292" s="2039">
        <f t="shared" si="350"/>
        <v>521.17395162734067</v>
      </c>
      <c r="M292" s="1699">
        <f t="shared" ref="M292:P296" si="351">M25*M266</f>
        <v>139.80527233886721</v>
      </c>
      <c r="N292" s="1699">
        <f t="shared" si="351"/>
        <v>158.46790236323676</v>
      </c>
      <c r="O292" s="1699">
        <f t="shared" si="351"/>
        <v>157.88200000000001</v>
      </c>
      <c r="P292" s="1699">
        <f t="shared" si="351"/>
        <v>164.8129210795104</v>
      </c>
      <c r="Q292" s="2039">
        <f t="shared" si="345"/>
        <v>619.68578151859697</v>
      </c>
      <c r="R292" s="1699">
        <f t="shared" ref="R292:U296" si="352">R25*R266</f>
        <v>142.82912124764977</v>
      </c>
      <c r="S292" s="1699">
        <f t="shared" si="352"/>
        <v>162.66709406441154</v>
      </c>
      <c r="T292" s="1699">
        <f t="shared" si="352"/>
        <v>0</v>
      </c>
      <c r="U292" s="1699">
        <f t="shared" si="352"/>
        <v>0</v>
      </c>
      <c r="V292" s="2039">
        <f t="shared" si="346"/>
        <v>0</v>
      </c>
      <c r="W292" s="1699">
        <f t="shared" ref="W292:Z296" si="353">W25*W266</f>
        <v>0</v>
      </c>
      <c r="X292" s="1699">
        <f t="shared" si="353"/>
        <v>0</v>
      </c>
      <c r="Y292" s="1699">
        <f t="shared" si="353"/>
        <v>0</v>
      </c>
      <c r="Z292" s="1699">
        <f t="shared" si="353"/>
        <v>0</v>
      </c>
      <c r="AA292" s="2039">
        <f t="shared" si="347"/>
        <v>0</v>
      </c>
      <c r="AB292" s="1699">
        <f t="shared" ref="AB292:AI296" si="354">AB25*AB266</f>
        <v>0</v>
      </c>
      <c r="AC292" s="1699">
        <f t="shared" si="354"/>
        <v>0</v>
      </c>
      <c r="AD292" s="1699">
        <f t="shared" si="354"/>
        <v>0</v>
      </c>
      <c r="AE292" s="1699">
        <f t="shared" si="354"/>
        <v>0</v>
      </c>
      <c r="AF292" s="1699">
        <f t="shared" si="354"/>
        <v>0</v>
      </c>
      <c r="AG292" s="1699">
        <f t="shared" si="354"/>
        <v>0</v>
      </c>
      <c r="AH292" s="1699">
        <f t="shared" si="354"/>
        <v>0</v>
      </c>
      <c r="AI292" s="1699">
        <f t="shared" si="354"/>
        <v>0</v>
      </c>
      <c r="AJ292" s="2039">
        <f t="shared" si="348"/>
        <v>0</v>
      </c>
      <c r="AK292" s="1699">
        <f t="shared" ref="AK292:AN296" si="355">AK25*AK266</f>
        <v>0</v>
      </c>
      <c r="AL292" s="1699">
        <f t="shared" si="355"/>
        <v>0</v>
      </c>
      <c r="AM292" s="1699">
        <f t="shared" si="355"/>
        <v>0</v>
      </c>
      <c r="AN292" s="1699">
        <f t="shared" si="355"/>
        <v>0</v>
      </c>
      <c r="AO292" s="2039">
        <f t="shared" si="349"/>
        <v>0</v>
      </c>
      <c r="AP292" s="1699"/>
      <c r="AQ292" s="1699"/>
      <c r="AR292" s="1699"/>
      <c r="AS292" s="1699"/>
      <c r="AT292" s="2039">
        <f t="shared" si="341"/>
        <v>0</v>
      </c>
      <c r="AU292" s="1699"/>
      <c r="AV292" s="1699"/>
      <c r="AW292" s="1699"/>
      <c r="AX292" s="1699"/>
      <c r="AY292" s="2039">
        <f t="shared" si="342"/>
        <v>0</v>
      </c>
      <c r="AZ292" s="1699"/>
      <c r="BA292" s="1699"/>
      <c r="BB292" s="1699"/>
      <c r="BC292" s="1699"/>
      <c r="BD292" s="2039">
        <f t="shared" si="343"/>
        <v>0</v>
      </c>
      <c r="BE292" s="1699"/>
      <c r="BF292" s="1699"/>
      <c r="BG292" s="1699"/>
      <c r="BH292" s="1699"/>
      <c r="BI292" s="2039"/>
      <c r="BJ292" s="1699"/>
      <c r="BK292" s="1699"/>
      <c r="BL292" s="1699"/>
      <c r="BM292" s="1699"/>
      <c r="BN292" s="2039"/>
      <c r="BO292" s="1699"/>
      <c r="BP292" s="1699"/>
      <c r="BQ292" s="1293"/>
      <c r="BR292" s="1293"/>
      <c r="BS292" s="1293"/>
      <c r="BT292" s="1293"/>
      <c r="BU292" s="1293"/>
      <c r="BV292" s="1293"/>
      <c r="BW292" s="1293"/>
      <c r="BX292" s="1293"/>
      <c r="BY292" s="1293"/>
      <c r="BZ292" s="1293"/>
      <c r="CA292" s="1293"/>
      <c r="CB292" s="1293"/>
      <c r="CC292" s="1293"/>
      <c r="CD292" s="1293"/>
      <c r="CE292" s="1293"/>
      <c r="CF292" s="1293"/>
      <c r="CG292" s="1293"/>
      <c r="CH292" s="1293"/>
      <c r="CI292" s="1293"/>
      <c r="CJ292" s="1293"/>
      <c r="CK292" s="1293"/>
      <c r="CL292" s="1293"/>
      <c r="CM292" s="1293"/>
      <c r="CN292" s="1293"/>
      <c r="CO292" s="1293"/>
      <c r="CP292" s="1293"/>
      <c r="CQ292" s="1293"/>
      <c r="CR292" s="1293"/>
      <c r="CS292" s="1293"/>
      <c r="CT292" s="1293"/>
      <c r="CU292" s="1293"/>
      <c r="CV292" s="1293"/>
      <c r="CW292" s="1293"/>
      <c r="CX292" s="1293"/>
      <c r="CY292" s="2041"/>
      <c r="CZ292" s="1699"/>
      <c r="DA292" s="2042"/>
      <c r="DB292" s="2041"/>
      <c r="DC292" s="1293"/>
      <c r="DD292" s="1293"/>
      <c r="DE292" s="1293"/>
      <c r="DF292" s="1293"/>
      <c r="DG292" s="1293"/>
      <c r="DH292" s="1293"/>
      <c r="DI292" s="1293"/>
      <c r="DJ292" s="1293"/>
      <c r="DK292" s="1293"/>
      <c r="DL292" s="2147">
        <v>512.77560000000005</v>
      </c>
    </row>
    <row r="293" spans="1:116" ht="16.5" hidden="1" outlineLevel="1" thickBot="1">
      <c r="A293" s="1293"/>
      <c r="B293" s="1293" t="str">
        <f t="shared" si="339"/>
        <v>Rwanda</v>
      </c>
      <c r="C293" s="1699">
        <f t="shared" ref="C293:L293" si="356">C26*C267</f>
        <v>13924.833029741125</v>
      </c>
      <c r="D293" s="1699">
        <f t="shared" si="356"/>
        <v>8382.1909991739431</v>
      </c>
      <c r="E293" s="1699">
        <f t="shared" si="356"/>
        <v>9314.3444195938173</v>
      </c>
      <c r="F293" s="1699">
        <f t="shared" si="356"/>
        <v>11786.110509232023</v>
      </c>
      <c r="G293" s="2039">
        <f t="shared" si="356"/>
        <v>43429.92795316394</v>
      </c>
      <c r="H293" s="1699">
        <f t="shared" si="356"/>
        <v>14032.6</v>
      </c>
      <c r="I293" s="1699">
        <f t="shared" si="356"/>
        <v>9271.4946479999999</v>
      </c>
      <c r="J293" s="1699">
        <f t="shared" si="356"/>
        <v>9942.2029782857207</v>
      </c>
      <c r="K293" s="1699">
        <f t="shared" si="356"/>
        <v>12548.667789934047</v>
      </c>
      <c r="L293" s="2039">
        <f t="shared" si="356"/>
        <v>45769.447617529266</v>
      </c>
      <c r="M293" s="1699">
        <f t="shared" si="351"/>
        <v>15038.831346656794</v>
      </c>
      <c r="N293" s="1699">
        <f t="shared" si="351"/>
        <v>9890.8736978598026</v>
      </c>
      <c r="O293" s="1699">
        <f t="shared" si="351"/>
        <v>11977.309214999999</v>
      </c>
      <c r="P293" s="1699">
        <f t="shared" si="351"/>
        <v>12470.810365618372</v>
      </c>
      <c r="Q293" s="2039">
        <f t="shared" si="345"/>
        <v>49412.020400836926</v>
      </c>
      <c r="R293" s="1699">
        <f t="shared" si="352"/>
        <v>14916.063382498058</v>
      </c>
      <c r="S293" s="1699">
        <f t="shared" si="352"/>
        <v>9660.4702259097448</v>
      </c>
      <c r="T293" s="1699">
        <f t="shared" si="352"/>
        <v>11700.196273360712</v>
      </c>
      <c r="U293" s="1699">
        <f t="shared" si="352"/>
        <v>11795.535044510652</v>
      </c>
      <c r="V293" s="2039">
        <f t="shared" si="346"/>
        <v>47950.649909750835</v>
      </c>
      <c r="W293" s="1699">
        <f t="shared" si="353"/>
        <v>0</v>
      </c>
      <c r="X293" s="1699">
        <f t="shared" si="353"/>
        <v>0</v>
      </c>
      <c r="Y293" s="1699">
        <f t="shared" si="353"/>
        <v>0</v>
      </c>
      <c r="Z293" s="1699">
        <f t="shared" si="353"/>
        <v>0</v>
      </c>
      <c r="AA293" s="2039">
        <f t="shared" si="347"/>
        <v>0</v>
      </c>
      <c r="AB293" s="1699">
        <f t="shared" si="354"/>
        <v>0</v>
      </c>
      <c r="AC293" s="1699">
        <f t="shared" si="354"/>
        <v>0</v>
      </c>
      <c r="AD293" s="1699">
        <f t="shared" si="354"/>
        <v>0</v>
      </c>
      <c r="AE293" s="1699">
        <f t="shared" si="354"/>
        <v>0</v>
      </c>
      <c r="AF293" s="1699">
        <f t="shared" si="354"/>
        <v>0</v>
      </c>
      <c r="AG293" s="1699">
        <f t="shared" si="354"/>
        <v>0</v>
      </c>
      <c r="AH293" s="1699">
        <f t="shared" si="354"/>
        <v>0</v>
      </c>
      <c r="AI293" s="1699">
        <f t="shared" si="354"/>
        <v>0</v>
      </c>
      <c r="AJ293" s="2039">
        <f t="shared" si="348"/>
        <v>0</v>
      </c>
      <c r="AK293" s="1699">
        <f t="shared" si="355"/>
        <v>0</v>
      </c>
      <c r="AL293" s="1699">
        <f t="shared" si="355"/>
        <v>0</v>
      </c>
      <c r="AM293" s="1699">
        <f t="shared" si="355"/>
        <v>0</v>
      </c>
      <c r="AN293" s="1699">
        <f t="shared" si="355"/>
        <v>0</v>
      </c>
      <c r="AO293" s="2039">
        <f t="shared" si="349"/>
        <v>0</v>
      </c>
      <c r="AP293" s="1699"/>
      <c r="AQ293" s="1699"/>
      <c r="AR293" s="1699"/>
      <c r="AS293" s="1699"/>
      <c r="AT293" s="2039">
        <f t="shared" si="341"/>
        <v>0</v>
      </c>
      <c r="AU293" s="1699"/>
      <c r="AV293" s="1699"/>
      <c r="AW293" s="1699"/>
      <c r="AX293" s="1699"/>
      <c r="AY293" s="2039">
        <f t="shared" si="342"/>
        <v>0</v>
      </c>
      <c r="AZ293" s="1699"/>
      <c r="BA293" s="1699"/>
      <c r="BB293" s="1699"/>
      <c r="BC293" s="1699"/>
      <c r="BD293" s="2039">
        <f t="shared" si="343"/>
        <v>0</v>
      </c>
      <c r="BE293" s="1699"/>
      <c r="BF293" s="1699"/>
      <c r="BG293" s="1699"/>
      <c r="BH293" s="1699"/>
      <c r="BI293" s="2039"/>
      <c r="BJ293" s="1699"/>
      <c r="BK293" s="1699"/>
      <c r="BL293" s="1699"/>
      <c r="BM293" s="1699"/>
      <c r="BN293" s="2039"/>
      <c r="BO293" s="1699"/>
      <c r="BP293" s="1699"/>
      <c r="BQ293" s="1293"/>
      <c r="BR293" s="1293"/>
      <c r="BS293" s="1293"/>
      <c r="BT293" s="1293"/>
      <c r="BU293" s="1293"/>
      <c r="BV293" s="1293"/>
      <c r="BW293" s="1293"/>
      <c r="BX293" s="1293"/>
      <c r="BY293" s="1293"/>
      <c r="BZ293" s="1293"/>
      <c r="CA293" s="1293"/>
      <c r="CB293" s="1293"/>
      <c r="CC293" s="1293"/>
      <c r="CD293" s="1293"/>
      <c r="CE293" s="1293"/>
      <c r="CF293" s="1293"/>
      <c r="CG293" s="1293"/>
      <c r="CH293" s="1293"/>
      <c r="CI293" s="1293"/>
      <c r="CJ293" s="1293"/>
      <c r="CK293" s="1293"/>
      <c r="CL293" s="1293"/>
      <c r="CM293" s="1293"/>
      <c r="CN293" s="1293"/>
      <c r="CO293" s="1293"/>
      <c r="CP293" s="1293"/>
      <c r="CQ293" s="1293"/>
      <c r="CR293" s="1293"/>
      <c r="CS293" s="1293"/>
      <c r="CT293" s="1293"/>
      <c r="CU293" s="1293"/>
      <c r="CV293" s="1293"/>
      <c r="CW293" s="1293"/>
      <c r="CX293" s="1293"/>
      <c r="CY293" s="2041"/>
      <c r="CZ293" s="1699"/>
      <c r="DA293" s="2042"/>
      <c r="DB293" s="2041"/>
      <c r="DC293" s="1293"/>
      <c r="DD293" s="1293"/>
      <c r="DE293" s="1293"/>
      <c r="DF293" s="1293"/>
      <c r="DG293" s="1293"/>
      <c r="DH293" s="1293"/>
      <c r="DI293" s="1293"/>
      <c r="DJ293" s="1293"/>
      <c r="DK293" s="1293"/>
      <c r="DL293" s="2147">
        <v>512.30759999999998</v>
      </c>
    </row>
    <row r="294" spans="1:116" ht="16.5" hidden="1" outlineLevel="1" thickBot="1">
      <c r="A294" s="1293"/>
      <c r="B294" s="1293" t="str">
        <f t="shared" si="339"/>
        <v>Senegal</v>
      </c>
      <c r="C294" s="1699">
        <f t="shared" ref="C294:L294" ca="1" si="357">C27*C268</f>
        <v>13959.496302409443</v>
      </c>
      <c r="D294" s="1699">
        <f t="shared" ca="1" si="357"/>
        <v>13599.711383095026</v>
      </c>
      <c r="E294" s="1699">
        <f t="shared" si="357"/>
        <v>14182.283215177589</v>
      </c>
      <c r="F294" s="1699">
        <f t="shared" ca="1" si="357"/>
        <v>15364.778118282873</v>
      </c>
      <c r="G294" s="2039">
        <f t="shared" ca="1" si="357"/>
        <v>57221.171903597686</v>
      </c>
      <c r="H294" s="1699">
        <f t="shared" si="357"/>
        <v>16255.119999999999</v>
      </c>
      <c r="I294" s="1699">
        <f t="shared" si="357"/>
        <v>16730.6643</v>
      </c>
      <c r="J294" s="1699">
        <f t="shared" si="357"/>
        <v>16552.1587</v>
      </c>
      <c r="K294" s="1699">
        <f t="shared" ca="1" si="357"/>
        <v>17712.261086119124</v>
      </c>
      <c r="L294" s="2039">
        <f t="shared" ca="1" si="357"/>
        <v>67241.410160937099</v>
      </c>
      <c r="M294" s="1699">
        <f t="shared" ca="1" si="351"/>
        <v>18624.545672696982</v>
      </c>
      <c r="N294" s="1699">
        <f t="shared" ca="1" si="351"/>
        <v>19441.352329192956</v>
      </c>
      <c r="O294" s="1699">
        <f t="shared" si="351"/>
        <v>20215.9002</v>
      </c>
      <c r="P294" s="1699">
        <f t="shared" si="351"/>
        <v>21172.463452925327</v>
      </c>
      <c r="Q294" s="2039">
        <f t="shared" ca="1" si="345"/>
        <v>79383.351318600791</v>
      </c>
      <c r="R294" s="1699">
        <f t="shared" si="352"/>
        <v>0</v>
      </c>
      <c r="S294" s="1699">
        <f t="shared" si="352"/>
        <v>0</v>
      </c>
      <c r="T294" s="1699">
        <f t="shared" si="352"/>
        <v>0</v>
      </c>
      <c r="U294" s="1699">
        <f t="shared" si="352"/>
        <v>0</v>
      </c>
      <c r="V294" s="2039">
        <f t="shared" si="346"/>
        <v>0</v>
      </c>
      <c r="W294" s="1699">
        <f t="shared" si="353"/>
        <v>0</v>
      </c>
      <c r="X294" s="1699">
        <f t="shared" si="353"/>
        <v>0</v>
      </c>
      <c r="Y294" s="1699">
        <f t="shared" si="353"/>
        <v>0</v>
      </c>
      <c r="Z294" s="1699">
        <f t="shared" si="353"/>
        <v>0</v>
      </c>
      <c r="AA294" s="2039">
        <f t="shared" si="347"/>
        <v>0</v>
      </c>
      <c r="AB294" s="1699">
        <f t="shared" si="354"/>
        <v>0</v>
      </c>
      <c r="AC294" s="1699">
        <f t="shared" si="354"/>
        <v>0</v>
      </c>
      <c r="AD294" s="1699">
        <f t="shared" si="354"/>
        <v>0</v>
      </c>
      <c r="AE294" s="1699">
        <f t="shared" si="354"/>
        <v>0</v>
      </c>
      <c r="AF294" s="1699">
        <f t="shared" si="354"/>
        <v>0</v>
      </c>
      <c r="AG294" s="1699">
        <f t="shared" si="354"/>
        <v>0</v>
      </c>
      <c r="AH294" s="1699">
        <f t="shared" si="354"/>
        <v>0</v>
      </c>
      <c r="AI294" s="1699">
        <f t="shared" si="354"/>
        <v>0</v>
      </c>
      <c r="AJ294" s="2039">
        <f t="shared" si="348"/>
        <v>0</v>
      </c>
      <c r="AK294" s="1699">
        <f t="shared" si="355"/>
        <v>0</v>
      </c>
      <c r="AL294" s="1699">
        <f t="shared" si="355"/>
        <v>0</v>
      </c>
      <c r="AM294" s="1699">
        <f t="shared" si="355"/>
        <v>0</v>
      </c>
      <c r="AN294" s="1699">
        <f t="shared" si="355"/>
        <v>0</v>
      </c>
      <c r="AO294" s="2039">
        <f t="shared" si="349"/>
        <v>0</v>
      </c>
      <c r="AP294" s="1699"/>
      <c r="AQ294" s="1699"/>
      <c r="AR294" s="1699"/>
      <c r="AS294" s="1699"/>
      <c r="AT294" s="2039">
        <f t="shared" si="341"/>
        <v>0</v>
      </c>
      <c r="AU294" s="1699"/>
      <c r="AV294" s="1699"/>
      <c r="AW294" s="1699"/>
      <c r="AX294" s="1699"/>
      <c r="AY294" s="2039">
        <f t="shared" si="342"/>
        <v>0</v>
      </c>
      <c r="AZ294" s="1699"/>
      <c r="BA294" s="1699"/>
      <c r="BB294" s="1699"/>
      <c r="BC294" s="1699"/>
      <c r="BD294" s="2039">
        <f t="shared" si="343"/>
        <v>0</v>
      </c>
      <c r="BE294" s="1699"/>
      <c r="BF294" s="1699"/>
      <c r="BG294" s="1699"/>
      <c r="BH294" s="1699"/>
      <c r="BI294" s="2039">
        <f ca="1">'New split'!N177</f>
        <v>0</v>
      </c>
      <c r="BJ294" s="1699"/>
      <c r="BK294" s="1699"/>
      <c r="BL294" s="1699"/>
      <c r="BM294" s="1699"/>
      <c r="BN294" s="2039">
        <f>'New split'!O177</f>
        <v>0</v>
      </c>
      <c r="BO294" s="1699"/>
      <c r="BP294" s="1699"/>
      <c r="BQ294" s="1293"/>
      <c r="BR294" s="1293"/>
      <c r="BS294" s="1293"/>
      <c r="BT294" s="1293"/>
      <c r="BU294" s="1293"/>
      <c r="BV294" s="1293"/>
      <c r="BW294" s="1293"/>
      <c r="BX294" s="1293"/>
      <c r="BY294" s="1293"/>
      <c r="BZ294" s="1293"/>
      <c r="CA294" s="1293"/>
      <c r="CB294" s="1293"/>
      <c r="CC294" s="1293"/>
      <c r="CD294" s="1293"/>
      <c r="CE294" s="1293"/>
      <c r="CF294" s="1293"/>
      <c r="CG294" s="1293"/>
      <c r="CH294" s="1293"/>
      <c r="CI294" s="1293"/>
      <c r="CJ294" s="1293"/>
      <c r="CK294" s="1293"/>
      <c r="CL294" s="1293"/>
      <c r="CM294" s="1293"/>
      <c r="CN294" s="1293"/>
      <c r="CO294" s="1293"/>
      <c r="CP294" s="1293"/>
      <c r="CQ294" s="1293"/>
      <c r="CR294" s="1293"/>
      <c r="CS294" s="1293"/>
      <c r="CT294" s="1293"/>
      <c r="CU294" s="1293"/>
      <c r="CV294" s="1293"/>
      <c r="CW294" s="1293"/>
      <c r="CX294" s="1293"/>
      <c r="CY294" s="2041"/>
      <c r="CZ294" s="1699"/>
      <c r="DA294" s="2042"/>
      <c r="DB294" s="2041"/>
      <c r="DC294" s="1293"/>
      <c r="DD294" s="1293"/>
      <c r="DE294" s="1293"/>
      <c r="DF294" s="1293"/>
      <c r="DG294" s="1293"/>
      <c r="DH294" s="1293"/>
      <c r="DI294" s="1293"/>
      <c r="DJ294" s="1293"/>
      <c r="DK294" s="1293"/>
      <c r="DL294" s="2147">
        <v>512.09289999999999</v>
      </c>
    </row>
    <row r="295" spans="1:116" ht="16.5" hidden="1" outlineLevel="1" thickBot="1">
      <c r="A295" s="1293"/>
      <c r="B295" s="1293" t="str">
        <f t="shared" si="339"/>
        <v>Tanzania</v>
      </c>
      <c r="C295" s="1699">
        <f t="shared" ref="C295:L295" si="358">C28*C269</f>
        <v>137856.25</v>
      </c>
      <c r="D295" s="1699">
        <f t="shared" si="358"/>
        <v>144780.125</v>
      </c>
      <c r="E295" s="1699">
        <f t="shared" si="358"/>
        <v>163264.93333333332</v>
      </c>
      <c r="F295" s="1699">
        <f t="shared" si="358"/>
        <v>167412.99259259258</v>
      </c>
      <c r="G295" s="2039">
        <f t="shared" si="358"/>
        <v>612025.0461538462</v>
      </c>
      <c r="H295" s="1699">
        <f t="shared" si="358"/>
        <v>162311.69</v>
      </c>
      <c r="I295" s="1699">
        <f t="shared" si="358"/>
        <v>172780.33499999999</v>
      </c>
      <c r="J295" s="1699">
        <f t="shared" si="358"/>
        <v>184672.40000000002</v>
      </c>
      <c r="K295" s="1699">
        <f t="shared" si="358"/>
        <v>190350.59999999998</v>
      </c>
      <c r="L295" s="2039">
        <f t="shared" si="358"/>
        <v>712715.74437500001</v>
      </c>
      <c r="M295" s="1699">
        <f t="shared" si="351"/>
        <v>183374.91512396693</v>
      </c>
      <c r="N295" s="1699">
        <f t="shared" si="351"/>
        <v>188533.90850159893</v>
      </c>
      <c r="O295" s="1699">
        <f t="shared" si="351"/>
        <v>192412</v>
      </c>
      <c r="P295" s="1699">
        <f t="shared" si="351"/>
        <v>195811.21268403163</v>
      </c>
      <c r="Q295" s="2039">
        <f t="shared" si="345"/>
        <v>759801.14848801168</v>
      </c>
      <c r="R295" s="1699">
        <f t="shared" si="352"/>
        <v>183632.70407367524</v>
      </c>
      <c r="S295" s="1699">
        <f t="shared" si="352"/>
        <v>191587.42386971947</v>
      </c>
      <c r="T295" s="1699">
        <f t="shared" si="352"/>
        <v>195577.25577066955</v>
      </c>
      <c r="U295" s="1699">
        <f t="shared" si="352"/>
        <v>185208.33479197056</v>
      </c>
      <c r="V295" s="2039">
        <f t="shared" si="346"/>
        <v>756091.68633476086</v>
      </c>
      <c r="W295" s="1699">
        <f t="shared" si="353"/>
        <v>197404.73400025454</v>
      </c>
      <c r="X295" s="1699">
        <f t="shared" si="353"/>
        <v>202166.02235604572</v>
      </c>
      <c r="Y295" s="1699">
        <f t="shared" si="353"/>
        <v>206829.37478105602</v>
      </c>
      <c r="Z295" s="1699">
        <f t="shared" si="353"/>
        <v>197219.89866316304</v>
      </c>
      <c r="AA295" s="2039">
        <f t="shared" si="347"/>
        <v>802299.5375124804</v>
      </c>
      <c r="AB295" s="1699">
        <f t="shared" si="354"/>
        <v>204888.6</v>
      </c>
      <c r="AC295" s="1699">
        <f t="shared" si="354"/>
        <v>204888.6</v>
      </c>
      <c r="AD295" s="1699">
        <f t="shared" si="354"/>
        <v>200647.2</v>
      </c>
      <c r="AE295" s="1699">
        <f t="shared" si="354"/>
        <v>200647.2</v>
      </c>
      <c r="AF295" s="1699">
        <f t="shared" si="354"/>
        <v>211691.2</v>
      </c>
      <c r="AG295" s="1699">
        <f t="shared" si="354"/>
        <v>211691.2</v>
      </c>
      <c r="AH295" s="1699">
        <f t="shared" si="354"/>
        <v>211783.4</v>
      </c>
      <c r="AI295" s="1699">
        <f t="shared" si="354"/>
        <v>211783.4</v>
      </c>
      <c r="AJ295" s="2039">
        <f t="shared" si="348"/>
        <v>828979.20000000007</v>
      </c>
      <c r="AK295" s="1699">
        <f t="shared" ca="1" si="355"/>
        <v>196086.06978461539</v>
      </c>
      <c r="AL295" s="1699">
        <f t="shared" ca="1" si="355"/>
        <v>192524.80000000002</v>
      </c>
      <c r="AM295" s="1699">
        <f t="shared" ca="1" si="355"/>
        <v>216952</v>
      </c>
      <c r="AN295" s="1699">
        <f t="shared" ca="1" si="355"/>
        <v>217892</v>
      </c>
      <c r="AO295" s="2039">
        <f t="shared" ca="1" si="349"/>
        <v>820432.79999999993</v>
      </c>
      <c r="AP295" s="1699"/>
      <c r="AQ295" s="1699"/>
      <c r="AR295" s="1699"/>
      <c r="AS295" s="1699"/>
      <c r="AT295" s="2039">
        <f t="shared" si="341"/>
        <v>826455</v>
      </c>
      <c r="AU295" s="1699"/>
      <c r="AV295" s="1699"/>
      <c r="AW295" s="1699"/>
      <c r="AX295" s="1699"/>
      <c r="AY295" s="2039">
        <f t="shared" si="342"/>
        <v>0</v>
      </c>
      <c r="AZ295" s="1699"/>
      <c r="BA295" s="1699"/>
      <c r="BB295" s="1699"/>
      <c r="BC295" s="1699"/>
      <c r="BD295" s="2039">
        <f t="shared" si="343"/>
        <v>0</v>
      </c>
      <c r="BE295" s="1699"/>
      <c r="BF295" s="1699"/>
      <c r="BG295" s="1699"/>
      <c r="BH295" s="1699"/>
      <c r="BI295" s="2039">
        <f ca="1">'New split'!N178</f>
        <v>0</v>
      </c>
      <c r="BJ295" s="1699"/>
      <c r="BK295" s="1699"/>
      <c r="BL295" s="1699"/>
      <c r="BM295" s="1699"/>
      <c r="BN295" s="2039">
        <f>'New split'!O178</f>
        <v>0</v>
      </c>
      <c r="BO295" s="1699"/>
      <c r="BP295" s="1699"/>
      <c r="BQ295" s="1293"/>
      <c r="BR295" s="1293"/>
      <c r="BS295" s="1293"/>
      <c r="BT295" s="1293"/>
      <c r="BU295" s="1293"/>
      <c r="BV295" s="1293"/>
      <c r="BW295" s="1293"/>
      <c r="BX295" s="1293"/>
      <c r="BY295" s="1293"/>
      <c r="BZ295" s="1293"/>
      <c r="CA295" s="1293"/>
      <c r="CB295" s="1293"/>
      <c r="CC295" s="1293"/>
      <c r="CD295" s="1293"/>
      <c r="CE295" s="1293"/>
      <c r="CF295" s="1293"/>
      <c r="CG295" s="1293"/>
      <c r="CH295" s="1293"/>
      <c r="CI295" s="1293"/>
      <c r="CJ295" s="1293"/>
      <c r="CK295" s="1293"/>
      <c r="CL295" s="1293"/>
      <c r="CM295" s="1293"/>
      <c r="CN295" s="1293"/>
      <c r="CO295" s="1293"/>
      <c r="CP295" s="1293"/>
      <c r="CQ295" s="1293"/>
      <c r="CR295" s="1293"/>
      <c r="CS295" s="1293"/>
      <c r="CT295" s="1293"/>
      <c r="CU295" s="1293"/>
      <c r="CV295" s="1293"/>
      <c r="CW295" s="1293"/>
      <c r="CX295" s="1293"/>
      <c r="CY295" s="2041"/>
      <c r="CZ295" s="1699"/>
      <c r="DA295" s="2042"/>
      <c r="DB295" s="2041"/>
      <c r="DC295" s="1293"/>
      <c r="DD295" s="1293"/>
      <c r="DE295" s="1293"/>
      <c r="DF295" s="1293"/>
      <c r="DG295" s="1293"/>
      <c r="DH295" s="1293"/>
      <c r="DI295" s="1293"/>
      <c r="DJ295" s="1293"/>
      <c r="DK295" s="1293"/>
      <c r="DL295" s="2147">
        <v>512.09289999999999</v>
      </c>
    </row>
    <row r="296" spans="1:116" ht="16.5" hidden="1" outlineLevel="1" thickBot="1">
      <c r="A296" s="1293"/>
      <c r="B296" s="1293" t="str">
        <f t="shared" si="339"/>
        <v>Zantel</v>
      </c>
      <c r="C296" s="1699"/>
      <c r="D296" s="1699"/>
      <c r="E296" s="1699"/>
      <c r="F296" s="1699"/>
      <c r="G296" s="2039"/>
      <c r="H296" s="1699"/>
      <c r="I296" s="1699"/>
      <c r="J296" s="1699"/>
      <c r="K296" s="1699">
        <f>K29*K270</f>
        <v>19467.674999999999</v>
      </c>
      <c r="L296" s="2039">
        <f>L29*L270</f>
        <v>17867.525625000002</v>
      </c>
      <c r="M296" s="1699">
        <f t="shared" si="351"/>
        <v>19600.875</v>
      </c>
      <c r="N296" s="1699">
        <f t="shared" si="351"/>
        <v>17528</v>
      </c>
      <c r="O296" s="1699">
        <f t="shared" si="351"/>
        <v>17492</v>
      </c>
      <c r="P296" s="1699">
        <f t="shared" si="351"/>
        <v>17801.019334911969</v>
      </c>
      <c r="Q296" s="2039">
        <f t="shared" si="345"/>
        <v>72397.823823710351</v>
      </c>
      <c r="R296" s="1699">
        <f t="shared" ca="1" si="352"/>
        <v>15330.043731600525</v>
      </c>
      <c r="S296" s="1699">
        <f t="shared" ca="1" si="352"/>
        <v>500.60751447082583</v>
      </c>
      <c r="T296" s="1699">
        <f t="shared" si="352"/>
        <v>19429.799127311482</v>
      </c>
      <c r="U296" s="1699">
        <f t="shared" si="352"/>
        <v>32372.906683987974</v>
      </c>
      <c r="V296" s="2039">
        <f t="shared" ca="1" si="346"/>
        <v>67596.844452419784</v>
      </c>
      <c r="W296" s="1699">
        <f t="shared" ca="1" si="353"/>
        <v>16690.875307254373</v>
      </c>
      <c r="X296" s="1699">
        <f t="shared" ca="1" si="353"/>
        <v>2428.9786953288858</v>
      </c>
      <c r="Y296" s="1699">
        <f t="shared" si="353"/>
        <v>2427.4124503837083</v>
      </c>
      <c r="Z296" s="1699">
        <f t="shared" si="353"/>
        <v>17748.932821115341</v>
      </c>
      <c r="AA296" s="2039">
        <f t="shared" ca="1" si="347"/>
        <v>39254.021013868318</v>
      </c>
      <c r="AB296" s="1699">
        <f t="shared" si="354"/>
        <v>11615</v>
      </c>
      <c r="AC296" s="1699">
        <f t="shared" si="354"/>
        <v>11615</v>
      </c>
      <c r="AD296" s="1699">
        <f t="shared" si="354"/>
        <v>11505</v>
      </c>
      <c r="AE296" s="1699">
        <f t="shared" si="354"/>
        <v>11505</v>
      </c>
      <c r="AF296" s="1699">
        <f t="shared" si="354"/>
        <v>13776</v>
      </c>
      <c r="AG296" s="1699">
        <f t="shared" si="354"/>
        <v>13776</v>
      </c>
      <c r="AH296" s="1699">
        <f t="shared" si="354"/>
        <v>13782</v>
      </c>
      <c r="AI296" s="1699">
        <f t="shared" si="354"/>
        <v>13782</v>
      </c>
      <c r="AJ296" s="2039">
        <f t="shared" si="348"/>
        <v>50688</v>
      </c>
      <c r="AK296" s="1699">
        <f t="shared" ca="1" si="355"/>
        <v>9666.2147076923138</v>
      </c>
      <c r="AL296" s="1699">
        <f t="shared" ca="1" si="355"/>
        <v>7404.8000000000065</v>
      </c>
      <c r="AM296" s="1699">
        <f t="shared" ca="1" si="355"/>
        <v>0</v>
      </c>
      <c r="AN296" s="1699">
        <f t="shared" ca="1" si="355"/>
        <v>6924</v>
      </c>
      <c r="AO296" s="2039">
        <f t="shared" ca="1" si="349"/>
        <v>23940.800000000014</v>
      </c>
      <c r="AP296" s="1699"/>
      <c r="AQ296" s="1699"/>
      <c r="AR296" s="1699"/>
      <c r="AS296" s="1699"/>
      <c r="AT296" s="2039">
        <f t="shared" ca="1" si="341"/>
        <v>0</v>
      </c>
      <c r="AU296" s="1699"/>
      <c r="AV296" s="1699"/>
      <c r="AW296" s="1699"/>
      <c r="AX296" s="1699"/>
      <c r="AY296" s="2039">
        <f t="shared" si="342"/>
        <v>0</v>
      </c>
      <c r="AZ296" s="1699"/>
      <c r="BA296" s="1699"/>
      <c r="BB296" s="1699"/>
      <c r="BC296" s="1699"/>
      <c r="BD296" s="2039">
        <f t="shared" si="343"/>
        <v>0</v>
      </c>
      <c r="BE296" s="1699"/>
      <c r="BF296" s="1699"/>
      <c r="BG296" s="1699"/>
      <c r="BH296" s="1699"/>
      <c r="BI296" s="2039">
        <f ca="1">'New split'!N179</f>
        <v>0</v>
      </c>
      <c r="BJ296" s="1699"/>
      <c r="BK296" s="1699"/>
      <c r="BL296" s="1699"/>
      <c r="BM296" s="1699"/>
      <c r="BN296" s="2039">
        <f>'New split'!O179</f>
        <v>0</v>
      </c>
      <c r="BO296" s="1699"/>
      <c r="BP296" s="1699"/>
      <c r="BQ296" s="1293"/>
      <c r="BR296" s="1293"/>
      <c r="BS296" s="1293"/>
      <c r="BT296" s="1293"/>
      <c r="BU296" s="1293"/>
      <c r="BV296" s="1293"/>
      <c r="BW296" s="1293"/>
      <c r="BX296" s="1293"/>
      <c r="BY296" s="1293"/>
      <c r="BZ296" s="1293"/>
      <c r="CA296" s="1293"/>
      <c r="CB296" s="1293"/>
      <c r="CC296" s="1293"/>
      <c r="CD296" s="1293"/>
      <c r="CE296" s="1293"/>
      <c r="CF296" s="1293"/>
      <c r="CG296" s="1293"/>
      <c r="CH296" s="1293"/>
      <c r="CI296" s="1293"/>
      <c r="CJ296" s="1293"/>
      <c r="CK296" s="1293"/>
      <c r="CL296" s="1293"/>
      <c r="CM296" s="1293"/>
      <c r="CN296" s="1293"/>
      <c r="CO296" s="1293"/>
      <c r="CP296" s="1293"/>
      <c r="CQ296" s="1293"/>
      <c r="CR296" s="1293"/>
      <c r="CS296" s="1293"/>
      <c r="CT296" s="1293"/>
      <c r="CU296" s="1293"/>
      <c r="CV296" s="1293"/>
      <c r="CW296" s="1293"/>
      <c r="CX296" s="1293"/>
      <c r="CY296" s="2041"/>
      <c r="CZ296" s="1699"/>
      <c r="DA296" s="2042"/>
      <c r="DB296" s="2041"/>
      <c r="DC296" s="1293"/>
      <c r="DD296" s="1293"/>
      <c r="DE296" s="1293"/>
      <c r="DF296" s="1293"/>
      <c r="DG296" s="1293"/>
      <c r="DH296" s="1293"/>
      <c r="DI296" s="1293"/>
      <c r="DJ296" s="1293"/>
      <c r="DK296" s="1293"/>
      <c r="DL296" s="2147">
        <v>514.26049999999998</v>
      </c>
    </row>
    <row r="297" spans="1:116" ht="16.5" collapsed="1" thickBot="1">
      <c r="A297" s="1293"/>
      <c r="B297" s="1293"/>
      <c r="C297" s="1293"/>
      <c r="D297" s="1293"/>
      <c r="E297" s="1293"/>
      <c r="F297" s="1293"/>
      <c r="G297" s="2080"/>
      <c r="H297" s="1293"/>
      <c r="I297" s="1293"/>
      <c r="J297" s="1293"/>
      <c r="K297" s="1293"/>
      <c r="L297" s="2080"/>
      <c r="M297" s="1293"/>
      <c r="N297" s="1293"/>
      <c r="O297" s="1293"/>
      <c r="P297" s="1293"/>
      <c r="Q297" s="2080"/>
      <c r="R297" s="1293"/>
      <c r="S297" s="1293"/>
      <c r="T297" s="1293"/>
      <c r="U297" s="1293"/>
      <c r="V297" s="2080"/>
      <c r="W297" s="1293"/>
      <c r="X297" s="1293"/>
      <c r="Y297" s="1293"/>
      <c r="Z297" s="1293"/>
      <c r="AA297" s="2080"/>
      <c r="AB297" s="1293"/>
      <c r="AC297" s="1293"/>
      <c r="AD297" s="1293"/>
      <c r="AE297" s="1293"/>
      <c r="AF297" s="1293"/>
      <c r="AG297" s="1293"/>
      <c r="AH297" s="1293"/>
      <c r="AI297" s="1293"/>
      <c r="AJ297" s="2080"/>
      <c r="AK297" s="1293"/>
      <c r="AL297" s="1293"/>
      <c r="AM297" s="1293"/>
      <c r="AN297" s="1293"/>
      <c r="AO297" s="2080"/>
      <c r="AP297" s="1293"/>
      <c r="AQ297" s="1293"/>
      <c r="AR297" s="1293"/>
      <c r="AS297" s="1293"/>
      <c r="AT297" s="2080"/>
      <c r="AU297" s="1293"/>
      <c r="AV297" s="1293"/>
      <c r="AW297" s="1293"/>
      <c r="AX297" s="1293"/>
      <c r="AY297" s="2080"/>
      <c r="AZ297" s="1293"/>
      <c r="BA297" s="1293"/>
      <c r="BB297" s="1293"/>
      <c r="BC297" s="1293"/>
      <c r="BD297" s="2080"/>
      <c r="BE297" s="1293"/>
      <c r="BF297" s="1293"/>
      <c r="BG297" s="1293"/>
      <c r="BH297" s="1293"/>
      <c r="BI297" s="2080"/>
      <c r="BJ297" s="1293"/>
      <c r="BK297" s="1293"/>
      <c r="BL297" s="1293"/>
      <c r="BM297" s="1293"/>
      <c r="BN297" s="2080"/>
      <c r="BO297" s="1293"/>
      <c r="BP297" s="1293"/>
      <c r="BQ297" s="1293"/>
      <c r="BR297" s="1293"/>
      <c r="BS297" s="1293"/>
      <c r="BT297" s="1293"/>
      <c r="BU297" s="1293"/>
      <c r="BV297" s="1293"/>
      <c r="BW297" s="1293"/>
      <c r="BX297" s="1293"/>
      <c r="BY297" s="1293"/>
      <c r="BZ297" s="1293"/>
      <c r="CA297" s="1293"/>
      <c r="CB297" s="1293"/>
      <c r="CC297" s="1293"/>
      <c r="CD297" s="1293"/>
      <c r="CE297" s="1293"/>
      <c r="CF297" s="1293"/>
      <c r="CG297" s="1293"/>
      <c r="CH297" s="1293"/>
      <c r="CI297" s="1293"/>
      <c r="CJ297" s="1293"/>
      <c r="CK297" s="1293"/>
      <c r="CL297" s="1293"/>
      <c r="CM297" s="1293"/>
      <c r="CN297" s="1293"/>
      <c r="CO297" s="1293"/>
      <c r="CP297" s="1293"/>
      <c r="CQ297" s="1293"/>
      <c r="CR297" s="1293"/>
      <c r="CS297" s="1293"/>
      <c r="CT297" s="1293"/>
      <c r="CU297" s="1293"/>
      <c r="CV297" s="1293"/>
      <c r="CW297" s="1293"/>
      <c r="CX297" s="1293"/>
      <c r="CY297" s="2032"/>
      <c r="CZ297" s="1293"/>
      <c r="DA297" s="2031"/>
      <c r="DB297" s="2032"/>
      <c r="DC297" s="1293"/>
      <c r="DD297" s="1293"/>
      <c r="DE297" s="1293"/>
      <c r="DF297" s="1293"/>
      <c r="DG297" s="1293"/>
      <c r="DH297" s="1293"/>
      <c r="DI297" s="1293"/>
      <c r="DJ297" s="1293"/>
      <c r="DK297" s="1293"/>
      <c r="DL297" s="2147">
        <v>515.21990000000005</v>
      </c>
    </row>
    <row r="298" spans="1:116" ht="16.5" thickBot="1">
      <c r="A298" s="1293"/>
      <c r="B298" s="1293"/>
      <c r="C298" s="1293"/>
      <c r="D298" s="1293"/>
      <c r="E298" s="1293"/>
      <c r="F298" s="1293"/>
      <c r="G298" s="2080"/>
      <c r="H298" s="1293"/>
      <c r="I298" s="1293"/>
      <c r="J298" s="1293"/>
      <c r="K298" s="1293"/>
      <c r="L298" s="2080"/>
      <c r="M298" s="1293"/>
      <c r="N298" s="1293"/>
      <c r="O298" s="1293"/>
      <c r="P298" s="1293"/>
      <c r="Q298" s="2080"/>
      <c r="R298" s="1293"/>
      <c r="S298" s="1293"/>
      <c r="T298" s="1293"/>
      <c r="U298" s="1293"/>
      <c r="V298" s="2080"/>
      <c r="W298" s="1293"/>
      <c r="X298" s="1293"/>
      <c r="Y298" s="1293"/>
      <c r="Z298" s="1293"/>
      <c r="AA298" s="2080"/>
      <c r="AB298" s="1293"/>
      <c r="AC298" s="1293"/>
      <c r="AD298" s="1293"/>
      <c r="AE298" s="1293"/>
      <c r="AF298" s="1293"/>
      <c r="AG298" s="1293"/>
      <c r="AH298" s="1293"/>
      <c r="AI298" s="1293"/>
      <c r="AJ298" s="2080"/>
      <c r="AK298" s="1293"/>
      <c r="AL298" s="1293"/>
      <c r="AM298" s="1293"/>
      <c r="AN298" s="1293"/>
      <c r="AO298" s="2080"/>
      <c r="AP298" s="1293"/>
      <c r="AQ298" s="1293"/>
      <c r="AR298" s="1293"/>
      <c r="AS298" s="1293"/>
      <c r="AT298" s="2080"/>
      <c r="AU298" s="1293"/>
      <c r="AV298" s="1293"/>
      <c r="AW298" s="1293"/>
      <c r="AX298" s="1293"/>
      <c r="AY298" s="2080"/>
      <c r="AZ298" s="1293"/>
      <c r="BA298" s="1293"/>
      <c r="BB298" s="1293"/>
      <c r="BC298" s="1293"/>
      <c r="BD298" s="2080"/>
      <c r="BE298" s="1293"/>
      <c r="BF298" s="1293"/>
      <c r="BG298" s="1293"/>
      <c r="BH298" s="1293"/>
      <c r="BI298" s="2080"/>
      <c r="BJ298" s="1293"/>
      <c r="BK298" s="1293"/>
      <c r="BL298" s="1293"/>
      <c r="BM298" s="1293"/>
      <c r="BN298" s="2080"/>
      <c r="BO298" s="1293"/>
      <c r="BP298" s="1293"/>
      <c r="BQ298" s="1293"/>
      <c r="BR298" s="1293"/>
      <c r="BS298" s="1293"/>
      <c r="BT298" s="1293"/>
      <c r="BU298" s="1293"/>
      <c r="BV298" s="1293"/>
      <c r="BW298" s="1293"/>
      <c r="BX298" s="1293"/>
      <c r="BY298" s="1293"/>
      <c r="BZ298" s="1293"/>
      <c r="CA298" s="1293"/>
      <c r="CB298" s="1293"/>
      <c r="CC298" s="1293"/>
      <c r="CD298" s="1293"/>
      <c r="CE298" s="1293"/>
      <c r="CF298" s="1293"/>
      <c r="CG298" s="1293"/>
      <c r="CH298" s="1293"/>
      <c r="CI298" s="1293"/>
      <c r="CJ298" s="1293"/>
      <c r="CK298" s="1293"/>
      <c r="CL298" s="1293"/>
      <c r="CM298" s="1293"/>
      <c r="CN298" s="1293"/>
      <c r="CO298" s="1293"/>
      <c r="CP298" s="1293"/>
      <c r="CQ298" s="1293"/>
      <c r="CR298" s="1293"/>
      <c r="CS298" s="1293"/>
      <c r="CT298" s="1293"/>
      <c r="CU298" s="1293"/>
      <c r="CV298" s="1293"/>
      <c r="CW298" s="1293"/>
      <c r="CX298" s="1293"/>
      <c r="CY298" s="2032"/>
      <c r="CZ298" s="1293"/>
      <c r="DA298" s="2031"/>
      <c r="DB298" s="2032"/>
      <c r="DC298" s="1293"/>
      <c r="DD298" s="1293"/>
      <c r="DE298" s="1293"/>
      <c r="DF298" s="1293"/>
      <c r="DG298" s="1293"/>
      <c r="DH298" s="1293"/>
      <c r="DI298" s="1293"/>
      <c r="DJ298" s="1293"/>
      <c r="DK298" s="1293"/>
      <c r="DL298" s="2147"/>
    </row>
    <row r="299" spans="1:116" ht="16.5" thickBot="1">
      <c r="A299" s="1293"/>
      <c r="B299" s="1293"/>
      <c r="C299" s="1293"/>
      <c r="D299" s="1293"/>
      <c r="E299" s="1293"/>
      <c r="F299" s="1293"/>
      <c r="G299" s="2080"/>
      <c r="H299" s="1293"/>
      <c r="I299" s="1293"/>
      <c r="J299" s="1293"/>
      <c r="K299" s="1293"/>
      <c r="L299" s="2080"/>
      <c r="M299" s="1293"/>
      <c r="N299" s="1293"/>
      <c r="O299" s="1293"/>
      <c r="P299" s="1293"/>
      <c r="Q299" s="2080"/>
      <c r="R299" s="1293"/>
      <c r="S299" s="1293"/>
      <c r="T299" s="1293"/>
      <c r="U299" s="1293"/>
      <c r="V299" s="2080"/>
      <c r="W299" s="1293"/>
      <c r="X299" s="1293"/>
      <c r="Y299" s="1293"/>
      <c r="Z299" s="1293"/>
      <c r="AA299" s="2080"/>
      <c r="AB299" s="1293"/>
      <c r="AC299" s="1293"/>
      <c r="AD299" s="1293"/>
      <c r="AE299" s="1293"/>
      <c r="AF299" s="1293"/>
      <c r="AG299" s="1293"/>
      <c r="AH299" s="1293"/>
      <c r="AI299" s="1293"/>
      <c r="AJ299" s="2080"/>
      <c r="AK299" s="1293"/>
      <c r="AL299" s="1293"/>
      <c r="AM299" s="1293"/>
      <c r="AN299" s="1293"/>
      <c r="AO299" s="2080"/>
      <c r="AP299" s="1293"/>
      <c r="AQ299" s="1293"/>
      <c r="AR299" s="1293"/>
      <c r="AS299" s="1293"/>
      <c r="AT299" s="2080"/>
      <c r="AU299" s="1293"/>
      <c r="AV299" s="1293"/>
      <c r="AW299" s="1293"/>
      <c r="AX299" s="1293"/>
      <c r="AY299" s="2080"/>
      <c r="AZ299" s="1293"/>
      <c r="BA299" s="1293"/>
      <c r="BB299" s="1293"/>
      <c r="BC299" s="1293"/>
      <c r="BD299" s="2080"/>
      <c r="BE299" s="1293"/>
      <c r="BF299" s="1293"/>
      <c r="BG299" s="1293"/>
      <c r="BH299" s="1293"/>
      <c r="BI299" s="2080"/>
      <c r="BJ299" s="1293"/>
      <c r="BK299" s="1293"/>
      <c r="BL299" s="1293"/>
      <c r="BM299" s="1293"/>
      <c r="BN299" s="2080"/>
      <c r="BO299" s="1293"/>
      <c r="BP299" s="1293"/>
      <c r="BQ299" s="1293"/>
      <c r="BR299" s="1293"/>
      <c r="BS299" s="1293"/>
      <c r="BT299" s="1293"/>
      <c r="BU299" s="1293"/>
      <c r="BV299" s="1293"/>
      <c r="BW299" s="1293"/>
      <c r="BX299" s="1293"/>
      <c r="BY299" s="1293"/>
      <c r="BZ299" s="1293"/>
      <c r="CA299" s="1293"/>
      <c r="CB299" s="1293"/>
      <c r="CC299" s="1293"/>
      <c r="CD299" s="1293"/>
      <c r="CE299" s="1293"/>
      <c r="CF299" s="1293"/>
      <c r="CG299" s="1293"/>
      <c r="CH299" s="1293"/>
      <c r="CI299" s="1293"/>
      <c r="CJ299" s="1293"/>
      <c r="CK299" s="1293"/>
      <c r="CL299" s="1293"/>
      <c r="CM299" s="1293"/>
      <c r="CN299" s="1293"/>
      <c r="CO299" s="1293"/>
      <c r="CP299" s="1293"/>
      <c r="CQ299" s="1293"/>
      <c r="CR299" s="1293"/>
      <c r="CS299" s="1293"/>
      <c r="CT299" s="1293"/>
      <c r="CU299" s="1293"/>
      <c r="CV299" s="1293"/>
      <c r="CW299" s="1293"/>
      <c r="CX299" s="1293"/>
      <c r="CY299" s="2032"/>
      <c r="CZ299" s="1293"/>
      <c r="DA299" s="2031"/>
      <c r="DB299" s="2032"/>
      <c r="DC299" s="1293"/>
      <c r="DD299" s="1293"/>
      <c r="DE299" s="1293"/>
      <c r="DF299" s="1293"/>
      <c r="DG299" s="1293"/>
      <c r="DH299" s="1293"/>
      <c r="DI299" s="1293"/>
      <c r="DJ299" s="1293"/>
      <c r="DK299" s="1293"/>
      <c r="DL299" s="2147"/>
    </row>
    <row r="300" spans="1:116" ht="16.5" thickBot="1">
      <c r="A300" s="1293"/>
      <c r="B300" s="2033" t="s">
        <v>4519</v>
      </c>
      <c r="C300" s="1883" t="str">
        <f t="shared" ref="C300:AH300" si="359">C275</f>
        <v>Q1 14</v>
      </c>
      <c r="D300" s="1883" t="str">
        <f t="shared" si="359"/>
        <v>Q2 14</v>
      </c>
      <c r="E300" s="1883" t="str">
        <f t="shared" si="359"/>
        <v>Q3 14</v>
      </c>
      <c r="F300" s="1883" t="str">
        <f t="shared" si="359"/>
        <v>Q4 14</v>
      </c>
      <c r="G300" s="2034" t="str">
        <f t="shared" si="359"/>
        <v>FY 14</v>
      </c>
      <c r="H300" s="1883" t="str">
        <f t="shared" si="359"/>
        <v>Q1 15</v>
      </c>
      <c r="I300" s="1883" t="str">
        <f t="shared" si="359"/>
        <v>Q2 15</v>
      </c>
      <c r="J300" s="1883" t="str">
        <f t="shared" si="359"/>
        <v>Q3 15</v>
      </c>
      <c r="K300" s="1883" t="str">
        <f t="shared" si="359"/>
        <v>Q4 15</v>
      </c>
      <c r="L300" s="2034" t="str">
        <f t="shared" si="359"/>
        <v>FY 15</v>
      </c>
      <c r="M300" s="1883" t="str">
        <f t="shared" si="359"/>
        <v>Q1 16</v>
      </c>
      <c r="N300" s="1883" t="str">
        <f t="shared" si="359"/>
        <v>Q2 16</v>
      </c>
      <c r="O300" s="1883" t="str">
        <f t="shared" si="359"/>
        <v>Q3 16</v>
      </c>
      <c r="P300" s="1883" t="str">
        <f t="shared" si="359"/>
        <v>Q4 16</v>
      </c>
      <c r="Q300" s="2034">
        <f t="shared" si="359"/>
        <v>2016</v>
      </c>
      <c r="R300" s="1883" t="str">
        <f t="shared" si="359"/>
        <v>Q1 17</v>
      </c>
      <c r="S300" s="1883" t="str">
        <f t="shared" si="359"/>
        <v>Q2 17</v>
      </c>
      <c r="T300" s="1883" t="str">
        <f t="shared" si="359"/>
        <v>Q3 17</v>
      </c>
      <c r="U300" s="1883" t="str">
        <f t="shared" si="359"/>
        <v>Q4 17</v>
      </c>
      <c r="V300" s="2034">
        <f t="shared" si="359"/>
        <v>2017</v>
      </c>
      <c r="W300" s="1883" t="str">
        <f t="shared" si="359"/>
        <v>Q1 18</v>
      </c>
      <c r="X300" s="1883" t="str">
        <f t="shared" si="359"/>
        <v>Q2 18</v>
      </c>
      <c r="Y300" s="1883" t="str">
        <f t="shared" si="359"/>
        <v>Q3 18</v>
      </c>
      <c r="Z300" s="1883" t="str">
        <f t="shared" si="359"/>
        <v>Q4 18</v>
      </c>
      <c r="AA300" s="2034">
        <f t="shared" si="359"/>
        <v>2018</v>
      </c>
      <c r="AB300" s="1883" t="str">
        <f t="shared" si="359"/>
        <v>Q1 19</v>
      </c>
      <c r="AC300" s="1883" t="str">
        <f t="shared" si="359"/>
        <v>Q1 19</v>
      </c>
      <c r="AD300" s="1883" t="str">
        <f t="shared" si="359"/>
        <v>Q2 19</v>
      </c>
      <c r="AE300" s="1883" t="str">
        <f t="shared" si="359"/>
        <v>Q2 19</v>
      </c>
      <c r="AF300" s="1883" t="str">
        <f t="shared" si="359"/>
        <v>Q3 19</v>
      </c>
      <c r="AG300" s="1883" t="str">
        <f t="shared" si="359"/>
        <v>Q3 19</v>
      </c>
      <c r="AH300" s="1883" t="str">
        <f t="shared" si="359"/>
        <v>Q4 19</v>
      </c>
      <c r="AI300" s="1883" t="str">
        <f t="shared" ref="AI300:BM300" si="360">AI275</f>
        <v>Q4 19</v>
      </c>
      <c r="AJ300" s="2034">
        <f t="shared" si="360"/>
        <v>2019</v>
      </c>
      <c r="AK300" s="1883" t="str">
        <f t="shared" si="360"/>
        <v>Q1 20</v>
      </c>
      <c r="AL300" s="1883" t="str">
        <f t="shared" si="360"/>
        <v>Q2 20</v>
      </c>
      <c r="AM300" s="1883" t="str">
        <f t="shared" si="360"/>
        <v>Q3 20</v>
      </c>
      <c r="AN300" s="1883" t="str">
        <f t="shared" si="360"/>
        <v>Q4 20</v>
      </c>
      <c r="AO300" s="2034">
        <f t="shared" si="360"/>
        <v>2020</v>
      </c>
      <c r="AP300" s="1883" t="str">
        <f t="shared" si="360"/>
        <v>Q1 21</v>
      </c>
      <c r="AQ300" s="1883" t="str">
        <f t="shared" si="360"/>
        <v>Q2 21</v>
      </c>
      <c r="AR300" s="1883" t="str">
        <f t="shared" si="360"/>
        <v>Q3 21</v>
      </c>
      <c r="AS300" s="1883" t="str">
        <f t="shared" si="360"/>
        <v>Q4 21</v>
      </c>
      <c r="AT300" s="2034">
        <f t="shared" si="360"/>
        <v>2021</v>
      </c>
      <c r="AU300" s="1883" t="str">
        <f t="shared" si="360"/>
        <v>Q1 22</v>
      </c>
      <c r="AV300" s="1883" t="str">
        <f t="shared" si="360"/>
        <v>Q2 22</v>
      </c>
      <c r="AW300" s="1883" t="str">
        <f t="shared" si="360"/>
        <v>Q3 22</v>
      </c>
      <c r="AX300" s="1883" t="str">
        <f t="shared" si="360"/>
        <v>Q4 22</v>
      </c>
      <c r="AY300" s="2034">
        <f t="shared" si="360"/>
        <v>2022</v>
      </c>
      <c r="AZ300" s="1883" t="str">
        <f t="shared" si="360"/>
        <v>Q1 23</v>
      </c>
      <c r="BA300" s="1883" t="str">
        <f t="shared" si="360"/>
        <v>Q2 23</v>
      </c>
      <c r="BB300" s="1883" t="str">
        <f t="shared" si="360"/>
        <v>Q3 23</v>
      </c>
      <c r="BC300" s="1883" t="str">
        <f t="shared" si="360"/>
        <v>Q4 23</v>
      </c>
      <c r="BD300" s="2034">
        <f t="shared" si="360"/>
        <v>2023</v>
      </c>
      <c r="BE300" s="1883" t="str">
        <f t="shared" si="360"/>
        <v>Q1 24</v>
      </c>
      <c r="BF300" s="1883" t="str">
        <f t="shared" si="360"/>
        <v>Q2 24</v>
      </c>
      <c r="BG300" s="1883" t="str">
        <f t="shared" si="360"/>
        <v>Q3 24</v>
      </c>
      <c r="BH300" s="1883" t="str">
        <f t="shared" si="360"/>
        <v>Q4 24</v>
      </c>
      <c r="BI300" s="2034">
        <f t="shared" si="360"/>
        <v>2024</v>
      </c>
      <c r="BJ300" s="1883" t="str">
        <f t="shared" si="360"/>
        <v>Q1 25</v>
      </c>
      <c r="BK300" s="1883" t="str">
        <f t="shared" si="360"/>
        <v>Q2 25</v>
      </c>
      <c r="BL300" s="1883" t="str">
        <f t="shared" si="360"/>
        <v>Q3 25</v>
      </c>
      <c r="BM300" s="1883" t="str">
        <f t="shared" si="360"/>
        <v>Q4 25</v>
      </c>
      <c r="BN300" s="2034">
        <f t="shared" ref="BN300" si="361">BN275</f>
        <v>2025</v>
      </c>
      <c r="BO300" s="1323"/>
      <c r="BP300" s="1323"/>
      <c r="BQ300" s="1293"/>
      <c r="BR300" s="1293"/>
      <c r="BS300" s="2029" t="s">
        <v>9146</v>
      </c>
      <c r="BT300" s="1293"/>
      <c r="BU300" s="1293"/>
      <c r="BV300" s="1293"/>
      <c r="BW300" s="1293"/>
      <c r="BX300" s="1293"/>
      <c r="BY300" s="1293"/>
      <c r="BZ300" s="1293"/>
      <c r="CA300" s="1293"/>
      <c r="CB300" s="1293"/>
      <c r="CC300" s="1293"/>
      <c r="CD300" s="1293"/>
      <c r="CE300" s="1293"/>
      <c r="CF300" s="1293"/>
      <c r="CG300" s="1293"/>
      <c r="CH300" s="1293"/>
      <c r="CI300" s="1293"/>
      <c r="CJ300" s="1293"/>
      <c r="CK300" s="1293"/>
      <c r="CL300" s="1293"/>
      <c r="CM300" s="1293"/>
      <c r="CN300" s="1293"/>
      <c r="CO300" s="1293"/>
      <c r="CP300" s="1293"/>
      <c r="CQ300" s="1293"/>
      <c r="CR300" s="1293"/>
      <c r="CS300" s="1293"/>
      <c r="CT300" s="1293"/>
      <c r="CU300" s="1293"/>
      <c r="CV300" s="1293"/>
      <c r="CW300" s="1293"/>
      <c r="CX300" s="1293"/>
      <c r="CY300" s="2036" t="s">
        <v>7795</v>
      </c>
      <c r="CZ300" s="1883" t="str">
        <f>CZ275</f>
        <v>Q3 23e</v>
      </c>
      <c r="DA300" s="2037" t="s">
        <v>8571</v>
      </c>
      <c r="DB300" s="2038" t="s">
        <v>8572</v>
      </c>
      <c r="DC300" s="1293"/>
      <c r="DD300" s="1293"/>
      <c r="DE300" s="1293"/>
      <c r="DF300" s="1293"/>
      <c r="DG300" s="1293"/>
      <c r="DH300" s="1293"/>
      <c r="DI300" s="1293"/>
      <c r="DJ300" s="1293"/>
      <c r="DK300" s="1293"/>
      <c r="DL300" s="2147">
        <v>519.76819999999998</v>
      </c>
    </row>
    <row r="301" spans="1:116" ht="16.5" thickBot="1">
      <c r="A301" s="1293"/>
      <c r="B301" s="1293" t="str">
        <f>B39</f>
        <v>El Salvador</v>
      </c>
      <c r="C301" s="1699">
        <f t="shared" ref="C301:P301" si="362">C39*C251</f>
        <v>104.78728251000001</v>
      </c>
      <c r="D301" s="1699">
        <f t="shared" si="362"/>
        <v>103.38208229999999</v>
      </c>
      <c r="E301" s="1699">
        <f t="shared" si="362"/>
        <v>101.96226183</v>
      </c>
      <c r="F301" s="1699">
        <f t="shared" si="362"/>
        <v>104.88192608</v>
      </c>
      <c r="G301" s="2039">
        <f t="shared" si="362"/>
        <v>415.01355272000001</v>
      </c>
      <c r="H301" s="1699">
        <f t="shared" si="362"/>
        <v>104.13271046</v>
      </c>
      <c r="I301" s="1699">
        <f t="shared" si="362"/>
        <v>104.82805838</v>
      </c>
      <c r="J301" s="1699">
        <f t="shared" si="362"/>
        <v>104.68353878000001</v>
      </c>
      <c r="K301" s="1699">
        <f t="shared" si="362"/>
        <v>106.46368352</v>
      </c>
      <c r="L301" s="2039">
        <f t="shared" si="362"/>
        <v>420.10799114000002</v>
      </c>
      <c r="M301" s="1699">
        <f t="shared" si="362"/>
        <v>102.45259900000001</v>
      </c>
      <c r="N301" s="1699">
        <f t="shared" si="362"/>
        <v>100.95300615000001</v>
      </c>
      <c r="O301" s="1699">
        <f t="shared" si="362"/>
        <v>99.621962750000392</v>
      </c>
      <c r="P301" s="1699">
        <f t="shared" si="362"/>
        <v>97</v>
      </c>
      <c r="Q301" s="2039">
        <f>SUM(M301:P301)</f>
        <v>400.02756790000041</v>
      </c>
      <c r="R301" s="1699">
        <f t="shared" ref="R301:U303" si="363">R39*R251</f>
        <v>96</v>
      </c>
      <c r="S301" s="1699">
        <f t="shared" si="363"/>
        <v>100</v>
      </c>
      <c r="T301" s="1699">
        <f t="shared" si="363"/>
        <v>100</v>
      </c>
      <c r="U301" s="1699">
        <f t="shared" si="363"/>
        <v>103</v>
      </c>
      <c r="V301" s="2039">
        <f>SUM(R301:U301)</f>
        <v>399</v>
      </c>
      <c r="W301" s="1699">
        <f t="shared" ref="W301:BF301" si="364">W39*W251</f>
        <v>96</v>
      </c>
      <c r="X301" s="1699">
        <f t="shared" si="364"/>
        <v>94</v>
      </c>
      <c r="Y301" s="1699">
        <f t="shared" si="364"/>
        <v>90</v>
      </c>
      <c r="Z301" s="1699">
        <f t="shared" si="364"/>
        <v>91</v>
      </c>
      <c r="AA301" s="2039">
        <f t="shared" si="364"/>
        <v>371</v>
      </c>
      <c r="AB301" s="1699">
        <f t="shared" si="364"/>
        <v>88</v>
      </c>
      <c r="AC301" s="1699">
        <f t="shared" si="364"/>
        <v>88</v>
      </c>
      <c r="AD301" s="1699">
        <f t="shared" si="364"/>
        <v>87</v>
      </c>
      <c r="AE301" s="1699">
        <f t="shared" si="364"/>
        <v>87</v>
      </c>
      <c r="AF301" s="1699">
        <f t="shared" si="364"/>
        <v>86</v>
      </c>
      <c r="AG301" s="1699">
        <f t="shared" si="364"/>
        <v>86</v>
      </c>
      <c r="AH301" s="1699">
        <f t="shared" si="364"/>
        <v>87</v>
      </c>
      <c r="AI301" s="1699">
        <f t="shared" si="364"/>
        <v>87</v>
      </c>
      <c r="AJ301" s="2039">
        <f t="shared" si="364"/>
        <v>348</v>
      </c>
      <c r="AK301" s="1699">
        <f t="shared" si="364"/>
        <v>88</v>
      </c>
      <c r="AL301" s="1699">
        <f t="shared" si="364"/>
        <v>82</v>
      </c>
      <c r="AM301" s="1699">
        <f t="shared" si="364"/>
        <v>84</v>
      </c>
      <c r="AN301" s="1699">
        <f t="shared" si="364"/>
        <v>93</v>
      </c>
      <c r="AO301" s="2161">
        <f t="shared" si="364"/>
        <v>347</v>
      </c>
      <c r="AP301" s="1699">
        <f t="shared" si="364"/>
        <v>95</v>
      </c>
      <c r="AQ301" s="1699">
        <f t="shared" si="364"/>
        <v>98</v>
      </c>
      <c r="AR301" s="1699">
        <f t="shared" si="364"/>
        <v>99</v>
      </c>
      <c r="AS301" s="1699">
        <f t="shared" si="364"/>
        <v>106</v>
      </c>
      <c r="AT301" s="2161">
        <f t="shared" si="364"/>
        <v>398</v>
      </c>
      <c r="AU301" s="1698">
        <f t="shared" si="364"/>
        <v>105.1966</v>
      </c>
      <c r="AV301" s="1698">
        <f t="shared" si="364"/>
        <v>105.0566</v>
      </c>
      <c r="AW301" s="1698">
        <f t="shared" si="364"/>
        <v>104.78740000000001</v>
      </c>
      <c r="AX301" s="1698">
        <f t="shared" si="364"/>
        <v>113.6858</v>
      </c>
      <c r="AY301" s="2161">
        <f t="shared" si="364"/>
        <v>428.72640000000001</v>
      </c>
      <c r="AZ301" s="1698">
        <f t="shared" si="364"/>
        <v>108.4336</v>
      </c>
      <c r="BA301" s="1698">
        <f t="shared" si="364"/>
        <v>110.30410000000001</v>
      </c>
      <c r="BB301" s="1698">
        <f t="shared" si="364"/>
        <v>110.8897</v>
      </c>
      <c r="BC301" s="1698">
        <f t="shared" si="364"/>
        <v>113.4145</v>
      </c>
      <c r="BD301" s="2161">
        <f t="shared" si="364"/>
        <v>443.04190000000006</v>
      </c>
      <c r="BE301" s="1698">
        <f t="shared" si="364"/>
        <v>112.8267</v>
      </c>
      <c r="BF301" s="1698">
        <f t="shared" si="364"/>
        <v>113.1358</v>
      </c>
      <c r="BG301" s="1698">
        <f>(1+BG350)*BB301</f>
        <v>113.32927340000001</v>
      </c>
      <c r="BH301" s="1698">
        <f>BH39*BH251</f>
        <v>108.8099</v>
      </c>
      <c r="BI301" s="2161">
        <f t="shared" ref="BI301" si="365">BI39*BI251</f>
        <v>448.09619999999995</v>
      </c>
      <c r="BJ301" s="1327">
        <f t="shared" ref="BJ301:BJ314" si="366">BE301*(1+BJ350)</f>
        <v>113.39083349999999</v>
      </c>
      <c r="BK301" s="1327">
        <f t="shared" ref="BK301:BK314" si="367">BF301*(1+BK350)</f>
        <v>114.832837</v>
      </c>
      <c r="BL301" s="1327">
        <f t="shared" ref="BL301:BL314" si="368">BG301*(1+BL350)</f>
        <v>115.02921250099999</v>
      </c>
      <c r="BM301" s="1327">
        <f>BN301-BJ301-BK301-BL301</f>
        <v>113.70711699900008</v>
      </c>
      <c r="BN301" s="2161">
        <f>'New split'!O184</f>
        <v>456.96000000000004</v>
      </c>
      <c r="BO301" s="1699"/>
      <c r="BP301" s="1699"/>
      <c r="BQ301" s="1293"/>
      <c r="BR301" s="1293"/>
      <c r="BS301" s="2029" t="s">
        <v>9148</v>
      </c>
      <c r="BT301" s="1293"/>
      <c r="BU301" s="1293"/>
      <c r="BV301" s="1293"/>
      <c r="BW301" s="1293"/>
      <c r="BX301" s="1293"/>
      <c r="BY301" s="1293"/>
      <c r="BZ301" s="1293"/>
      <c r="CA301" s="1293"/>
      <c r="CB301" s="1293"/>
      <c r="CC301" s="1293"/>
      <c r="CD301" s="1293"/>
      <c r="CE301" s="1293"/>
      <c r="CF301" s="1293"/>
      <c r="CG301" s="1293"/>
      <c r="CH301" s="1293"/>
      <c r="CI301" s="1293"/>
      <c r="CJ301" s="1293"/>
      <c r="CK301" s="1293"/>
      <c r="CL301" s="1293"/>
      <c r="CM301" s="1293"/>
      <c r="CN301" s="1293"/>
      <c r="CO301" s="1293"/>
      <c r="CP301" s="1293"/>
      <c r="CQ301" s="1293"/>
      <c r="CR301" s="1293"/>
      <c r="CS301" s="1293"/>
      <c r="CT301" s="1293"/>
      <c r="CU301" s="1293"/>
      <c r="CV301" s="1293"/>
      <c r="CW301" s="1293"/>
      <c r="CX301" s="1293"/>
      <c r="CY301" s="2162">
        <v>117.33239999999999</v>
      </c>
      <c r="CZ301" s="1699">
        <f>AW301*(1+CZ350)</f>
        <v>110.02677000000001</v>
      </c>
      <c r="DA301" s="2163">
        <v>112.2</v>
      </c>
      <c r="DB301" s="2162">
        <v>113.1078</v>
      </c>
      <c r="DC301" s="1293"/>
      <c r="DD301" s="1293"/>
      <c r="DE301" s="1293"/>
      <c r="DF301" s="1293"/>
      <c r="DG301" s="1293"/>
      <c r="DH301" s="1293"/>
      <c r="DI301" s="1293"/>
      <c r="DJ301" s="1293"/>
      <c r="DK301" s="1293"/>
      <c r="DL301" s="2147">
        <v>520.92960000000005</v>
      </c>
    </row>
    <row r="302" spans="1:116" ht="16.5" thickBot="1">
      <c r="A302" s="1293"/>
      <c r="B302" s="1293" t="str">
        <f>B40</f>
        <v>Guatemala</v>
      </c>
      <c r="C302" s="1699">
        <f t="shared" ref="C302:P302" si="369">C40*C252</f>
        <v>2109.1880442623828</v>
      </c>
      <c r="D302" s="1699">
        <f t="shared" si="369"/>
        <v>2148.8394774832946</v>
      </c>
      <c r="E302" s="1699">
        <f t="shared" si="369"/>
        <v>2135.9520881914418</v>
      </c>
      <c r="F302" s="1699">
        <f t="shared" si="369"/>
        <v>2188.6753043029917</v>
      </c>
      <c r="G302" s="2039">
        <f t="shared" si="369"/>
        <v>8585.6126890019605</v>
      </c>
      <c r="H302" s="1699">
        <f t="shared" si="369"/>
        <v>2156.487771044277</v>
      </c>
      <c r="I302" s="1699">
        <f t="shared" si="369"/>
        <v>2209.1451549938038</v>
      </c>
      <c r="J302" s="1699">
        <f t="shared" si="369"/>
        <v>2212.1939611541252</v>
      </c>
      <c r="K302" s="1699">
        <f t="shared" si="369"/>
        <v>2267.7007970113978</v>
      </c>
      <c r="L302" s="2039">
        <f t="shared" si="369"/>
        <v>8845.6237412008995</v>
      </c>
      <c r="M302" s="1699">
        <f t="shared" si="369"/>
        <v>2216.2187360091471</v>
      </c>
      <c r="N302" s="1699">
        <f t="shared" si="369"/>
        <v>2181.5400676140462</v>
      </c>
      <c r="O302" s="1699">
        <f t="shared" si="369"/>
        <v>2108.2909140262773</v>
      </c>
      <c r="P302" s="1699">
        <f t="shared" si="369"/>
        <v>2180.7999999999997</v>
      </c>
      <c r="Q302" s="2039">
        <f>SUM(M302:P302)</f>
        <v>8686.8497176494711</v>
      </c>
      <c r="R302" s="1699">
        <f t="shared" si="363"/>
        <v>2124.98</v>
      </c>
      <c r="S302" s="1699">
        <f t="shared" si="363"/>
        <v>2135.94</v>
      </c>
      <c r="T302" s="1699">
        <f t="shared" si="363"/>
        <v>2185.69</v>
      </c>
      <c r="U302" s="1699">
        <f t="shared" si="363"/>
        <v>2253.38</v>
      </c>
      <c r="V302" s="2039">
        <f>SUM(R302:U302)</f>
        <v>8699.9900000000016</v>
      </c>
      <c r="W302" s="1699">
        <f t="shared" ref="W302:BF302" si="370">W40*W252</f>
        <v>2187.5958110769225</v>
      </c>
      <c r="X302" s="1699">
        <f t="shared" si="370"/>
        <v>2218.5107889230767</v>
      </c>
      <c r="Y302" s="1699">
        <f t="shared" si="370"/>
        <v>2265.3523846153848</v>
      </c>
      <c r="Z302" s="1699">
        <f t="shared" si="370"/>
        <v>2362.3199999999997</v>
      </c>
      <c r="AA302" s="2039">
        <f t="shared" si="370"/>
        <v>9031.5199999999986</v>
      </c>
      <c r="AB302" s="1699">
        <f t="shared" si="370"/>
        <v>2339.16</v>
      </c>
      <c r="AC302" s="1699">
        <f t="shared" si="370"/>
        <v>2339.16</v>
      </c>
      <c r="AD302" s="1699">
        <f t="shared" si="370"/>
        <v>2379.1668089552231</v>
      </c>
      <c r="AE302" s="1699">
        <f t="shared" si="370"/>
        <v>2379.1668089552231</v>
      </c>
      <c r="AF302" s="1699">
        <f t="shared" si="370"/>
        <v>2334.7199999999998</v>
      </c>
      <c r="AG302" s="1699">
        <f t="shared" si="370"/>
        <v>2334.7199999999998</v>
      </c>
      <c r="AH302" s="1699">
        <f t="shared" si="370"/>
        <v>2447.2399999999998</v>
      </c>
      <c r="AI302" s="1699">
        <f t="shared" si="370"/>
        <v>2447.2399999999998</v>
      </c>
      <c r="AJ302" s="2039">
        <f t="shared" si="370"/>
        <v>9501.8000000000011</v>
      </c>
      <c r="AK302" s="1699">
        <f t="shared" si="370"/>
        <v>2450.4272099999998</v>
      </c>
      <c r="AL302" s="1699">
        <f t="shared" si="370"/>
        <v>2347.4935</v>
      </c>
      <c r="AM302" s="1699">
        <f t="shared" si="370"/>
        <v>2427.2200000000003</v>
      </c>
      <c r="AN302" s="1699">
        <f t="shared" si="370"/>
        <v>2605.1999999999998</v>
      </c>
      <c r="AO302" s="2161">
        <f t="shared" si="370"/>
        <v>9794.4</v>
      </c>
      <c r="AP302" s="1699">
        <f t="shared" si="370"/>
        <v>2596.0845937499994</v>
      </c>
      <c r="AQ302" s="1699">
        <f t="shared" si="370"/>
        <v>2633.6130886153846</v>
      </c>
      <c r="AR302" s="1699">
        <f t="shared" si="370"/>
        <v>2655.4930075757579</v>
      </c>
      <c r="AS302" s="1699">
        <f t="shared" si="370"/>
        <v>2669.4443999999999</v>
      </c>
      <c r="AT302" s="2161">
        <f t="shared" si="370"/>
        <v>10553.715939865386</v>
      </c>
      <c r="AU302" s="1698">
        <f t="shared" si="370"/>
        <v>2618.1234418486151</v>
      </c>
      <c r="AV302" s="1698">
        <f t="shared" si="370"/>
        <v>2666.4438260869856</v>
      </c>
      <c r="AW302" s="1698">
        <f t="shared" si="370"/>
        <v>2643.4177139999997</v>
      </c>
      <c r="AX302" s="1698">
        <f t="shared" si="370"/>
        <v>2681.2831088160001</v>
      </c>
      <c r="AY302" s="2161">
        <f t="shared" si="370"/>
        <v>10609.396509472142</v>
      </c>
      <c r="AZ302" s="1698">
        <f t="shared" si="370"/>
        <v>2602.4458199999999</v>
      </c>
      <c r="BA302" s="1698">
        <f t="shared" si="370"/>
        <v>2629.8064800000002</v>
      </c>
      <c r="BB302" s="1698">
        <f t="shared" si="370"/>
        <v>2600.6877180000001</v>
      </c>
      <c r="BC302" s="1698">
        <f t="shared" si="370"/>
        <v>2657.7743492</v>
      </c>
      <c r="BD302" s="2161">
        <f t="shared" si="370"/>
        <v>10490.760348525</v>
      </c>
      <c r="BE302" s="1698">
        <f t="shared" si="370"/>
        <v>2665.3182304000002</v>
      </c>
      <c r="BF302" s="1698">
        <f t="shared" si="370"/>
        <v>2704.0145887299996</v>
      </c>
      <c r="BG302" s="1698">
        <f>(1+BG351)*BB302</f>
        <v>2704.7152267200004</v>
      </c>
      <c r="BH302" s="1698">
        <f>BH40*BH252</f>
        <v>2717.9163239999998</v>
      </c>
      <c r="BI302" s="2161">
        <f t="shared" ref="BI302" si="371">BI40*BI252</f>
        <v>10791.508407999998</v>
      </c>
      <c r="BJ302" s="1327">
        <f t="shared" si="366"/>
        <v>2726.6205496991997</v>
      </c>
      <c r="BK302" s="1327">
        <f t="shared" si="367"/>
        <v>2766.2069242707894</v>
      </c>
      <c r="BL302" s="1327">
        <f t="shared" si="368"/>
        <v>2772.3331073879999</v>
      </c>
      <c r="BM302" s="1327">
        <f t="shared" ref="BM302:BM313" si="372">BN302-BJ302-BK302-BL302</f>
        <v>2808.4574186420123</v>
      </c>
      <c r="BN302" s="2161">
        <f>'New split'!O185</f>
        <v>11073.618</v>
      </c>
      <c r="BO302" s="1699"/>
      <c r="BP302" s="1699"/>
      <c r="BQ302" s="1293"/>
      <c r="BR302" s="1293"/>
      <c r="BS302" s="2029" t="s">
        <v>9147</v>
      </c>
      <c r="BT302" s="1293"/>
      <c r="BU302" s="1293"/>
      <c r="BV302" s="1293"/>
      <c r="BW302" s="1293"/>
      <c r="BX302" s="1293"/>
      <c r="BY302" s="1293"/>
      <c r="BZ302" s="1293"/>
      <c r="CA302" s="1293"/>
      <c r="CB302" s="1293"/>
      <c r="CC302" s="1293"/>
      <c r="CD302" s="1293"/>
      <c r="CE302" s="1293"/>
      <c r="CF302" s="1293"/>
      <c r="CG302" s="1293"/>
      <c r="CH302" s="1293"/>
      <c r="CI302" s="1293"/>
      <c r="CJ302" s="1293"/>
      <c r="CK302" s="1293"/>
      <c r="CL302" s="1293"/>
      <c r="CM302" s="1293"/>
      <c r="CN302" s="1293"/>
      <c r="CO302" s="1293"/>
      <c r="CP302" s="1293"/>
      <c r="CQ302" s="1293"/>
      <c r="CR302" s="1293"/>
      <c r="CS302" s="1293"/>
      <c r="CT302" s="1293"/>
      <c r="CU302" s="1293"/>
      <c r="CV302" s="1293"/>
      <c r="CW302" s="1293"/>
      <c r="CX302" s="1293"/>
      <c r="CY302" s="2162">
        <v>2639.0355454606611</v>
      </c>
      <c r="CZ302" s="1699">
        <f>AW302*(1+CZ351)</f>
        <v>2616.9835368599997</v>
      </c>
      <c r="DA302" s="2163">
        <v>2678.9280000000003</v>
      </c>
      <c r="DB302" s="2162">
        <v>2673.5045500800002</v>
      </c>
      <c r="DC302" s="1293"/>
      <c r="DD302" s="1293"/>
      <c r="DE302" s="1293"/>
      <c r="DF302" s="1293"/>
      <c r="DG302" s="1293"/>
      <c r="DH302" s="1293"/>
      <c r="DI302" s="1293"/>
      <c r="DJ302" s="1293"/>
      <c r="DK302" s="1293"/>
      <c r="DL302" s="2147">
        <v>520.81460000000004</v>
      </c>
    </row>
    <row r="303" spans="1:116" ht="16.5" thickBot="1">
      <c r="A303" s="1293"/>
      <c r="B303" s="1293" t="str">
        <f>B41</f>
        <v>Honduras (JV)</v>
      </c>
      <c r="C303" s="1699">
        <f t="shared" ref="C303:P303" si="373">C41*C253</f>
        <v>3120.4719109074044</v>
      </c>
      <c r="D303" s="1699">
        <f t="shared" si="373"/>
        <v>3162.194623294723</v>
      </c>
      <c r="E303" s="1699">
        <f t="shared" si="373"/>
        <v>3159.1749256158937</v>
      </c>
      <c r="F303" s="1699">
        <f t="shared" si="373"/>
        <v>3300.8445058996767</v>
      </c>
      <c r="G303" s="2039">
        <f t="shared" si="373"/>
        <v>12742.273366747164</v>
      </c>
      <c r="H303" s="1699">
        <f t="shared" si="373"/>
        <v>3396.733281790101</v>
      </c>
      <c r="I303" s="1699">
        <f t="shared" si="373"/>
        <v>3407.9222492561053</v>
      </c>
      <c r="J303" s="1699">
        <f t="shared" si="373"/>
        <v>3381.4812408883517</v>
      </c>
      <c r="K303" s="1699">
        <f t="shared" si="373"/>
        <v>3398.317649538189</v>
      </c>
      <c r="L303" s="2039">
        <f t="shared" si="373"/>
        <v>13582.891300921105</v>
      </c>
      <c r="M303" s="1699">
        <f t="shared" si="373"/>
        <v>3374.9789587365794</v>
      </c>
      <c r="N303" s="1699">
        <f t="shared" si="373"/>
        <v>3365.8343132407731</v>
      </c>
      <c r="O303" s="1699">
        <f t="shared" si="373"/>
        <v>3299.8513825243258</v>
      </c>
      <c r="P303" s="1699">
        <f t="shared" si="373"/>
        <v>3369.7999999999997</v>
      </c>
      <c r="Q303" s="2039">
        <f>SUM(M303:P303)</f>
        <v>13410.464654501679</v>
      </c>
      <c r="R303" s="1699">
        <f t="shared" si="363"/>
        <v>3330.42</v>
      </c>
      <c r="S303" s="1699">
        <f t="shared" si="363"/>
        <v>3344.1</v>
      </c>
      <c r="T303" s="1699">
        <f t="shared" si="363"/>
        <v>3265.1099999999997</v>
      </c>
      <c r="U303" s="1699">
        <f t="shared" si="363"/>
        <v>3364.79</v>
      </c>
      <c r="V303" s="2039">
        <f>SUM(R303:U303)</f>
        <v>13304.420000000002</v>
      </c>
      <c r="W303" s="1699">
        <f t="shared" ref="W303:BF303" si="374">W41*W253</f>
        <v>3255.9891969230748</v>
      </c>
      <c r="X303" s="1699">
        <f t="shared" si="374"/>
        <v>3285.5647200000008</v>
      </c>
      <c r="Y303" s="1699">
        <f t="shared" si="374"/>
        <v>3266.6999138461533</v>
      </c>
      <c r="Z303" s="1699">
        <f t="shared" si="374"/>
        <v>3449.18</v>
      </c>
      <c r="AA303" s="2039">
        <f t="shared" si="374"/>
        <v>13223.980000000001</v>
      </c>
      <c r="AB303" s="1699">
        <f t="shared" si="374"/>
        <v>3376.8599999999997</v>
      </c>
      <c r="AC303" s="1699">
        <f t="shared" si="374"/>
        <v>3376.8599999999997</v>
      </c>
      <c r="AD303" s="1699">
        <f t="shared" si="374"/>
        <v>3388.6285164179117</v>
      </c>
      <c r="AE303" s="1699">
        <f t="shared" si="374"/>
        <v>3388.6285164179117</v>
      </c>
      <c r="AF303" s="1699">
        <f t="shared" si="374"/>
        <v>3348.32</v>
      </c>
      <c r="AG303" s="1699">
        <f t="shared" si="374"/>
        <v>3348.32</v>
      </c>
      <c r="AH303" s="1699">
        <f t="shared" si="374"/>
        <v>3433.2999999999997</v>
      </c>
      <c r="AI303" s="1699">
        <f t="shared" si="374"/>
        <v>3433.2999999999997</v>
      </c>
      <c r="AJ303" s="2039">
        <f t="shared" si="374"/>
        <v>13538.07</v>
      </c>
      <c r="AK303" s="1699">
        <f t="shared" si="374"/>
        <v>3294.4898000000003</v>
      </c>
      <c r="AL303" s="1699">
        <f t="shared" si="374"/>
        <v>2959.2563</v>
      </c>
      <c r="AM303" s="1699">
        <f t="shared" si="374"/>
        <v>3155.2</v>
      </c>
      <c r="AN303" s="1699">
        <f t="shared" si="374"/>
        <v>3318.3999999999996</v>
      </c>
      <c r="AO303" s="2161">
        <f t="shared" si="374"/>
        <v>12760.68</v>
      </c>
      <c r="AP303" s="1699">
        <f t="shared" si="374"/>
        <v>3285.0961500000003</v>
      </c>
      <c r="AQ303" s="1699">
        <f t="shared" si="374"/>
        <v>3294.2672230769222</v>
      </c>
      <c r="AR303" s="1699">
        <f t="shared" si="374"/>
        <v>3274.4369999999999</v>
      </c>
      <c r="AS303" s="1699">
        <f t="shared" si="374"/>
        <v>3340.5448818181826</v>
      </c>
      <c r="AT303" s="2161">
        <f t="shared" si="374"/>
        <v>13194.293526675408</v>
      </c>
      <c r="AU303" s="1698">
        <f t="shared" si="374"/>
        <v>3292.5269420510763</v>
      </c>
      <c r="AV303" s="1698">
        <f t="shared" si="374"/>
        <v>3328.1698812976911</v>
      </c>
      <c r="AW303" s="1698">
        <f t="shared" si="374"/>
        <v>3372.299490956364</v>
      </c>
      <c r="AX303" s="1698">
        <f t="shared" si="374"/>
        <v>3501.79518998</v>
      </c>
      <c r="AY303" s="2161">
        <f t="shared" si="374"/>
        <v>13494.615457915925</v>
      </c>
      <c r="AZ303" s="1698">
        <f t="shared" si="374"/>
        <v>3472.7432216200004</v>
      </c>
      <c r="BA303" s="1698">
        <f t="shared" si="374"/>
        <v>3482.0829119999999</v>
      </c>
      <c r="BB303" s="1698">
        <f t="shared" si="374"/>
        <v>3535.6427250000002</v>
      </c>
      <c r="BC303" s="1698">
        <f t="shared" si="374"/>
        <v>3618.3518454</v>
      </c>
      <c r="BD303" s="2161">
        <f t="shared" si="374"/>
        <v>14108.469886112502</v>
      </c>
      <c r="BE303" s="1698">
        <f t="shared" si="374"/>
        <v>3574.9160388800001</v>
      </c>
      <c r="BF303" s="1698">
        <f t="shared" si="374"/>
        <v>3571.8865016</v>
      </c>
      <c r="BG303" s="1698">
        <f>(1+BG352)*BB303</f>
        <v>3609.8912222249996</v>
      </c>
      <c r="BH303" s="1698">
        <f>BI303-BE303-BF303-BG303</f>
        <v>3753.5879210949993</v>
      </c>
      <c r="BI303" s="2161">
        <f t="shared" ref="BI303" si="375">BI41*BI253</f>
        <v>14510.281683799998</v>
      </c>
      <c r="BJ303" s="1327">
        <f t="shared" si="366"/>
        <v>3673.2262299492004</v>
      </c>
      <c r="BK303" s="1327">
        <f t="shared" si="367"/>
        <v>3675.4712101463997</v>
      </c>
      <c r="BL303" s="1327">
        <f t="shared" si="368"/>
        <v>3718.1879588917495</v>
      </c>
      <c r="BM303" s="1327">
        <f t="shared" si="372"/>
        <v>3805.8646010126481</v>
      </c>
      <c r="BN303" s="2161">
        <f>'New split'!O186</f>
        <v>14872.749999999998</v>
      </c>
      <c r="BO303" s="1699"/>
      <c r="BP303" s="1699"/>
      <c r="BQ303" s="1293"/>
      <c r="BR303" s="1293"/>
      <c r="BS303" s="2029" t="s">
        <v>9149</v>
      </c>
      <c r="BT303" s="1293"/>
      <c r="BU303" s="1293"/>
      <c r="BV303" s="1293"/>
      <c r="BW303" s="1293"/>
      <c r="BX303" s="1293"/>
      <c r="BY303" s="1293"/>
      <c r="BZ303" s="1293"/>
      <c r="CA303" s="1293"/>
      <c r="CB303" s="1293"/>
      <c r="CC303" s="1293"/>
      <c r="CD303" s="1293"/>
      <c r="CE303" s="1293"/>
      <c r="CF303" s="1293"/>
      <c r="CG303" s="1293"/>
      <c r="CH303" s="1293"/>
      <c r="CI303" s="1293"/>
      <c r="CJ303" s="1293"/>
      <c r="CK303" s="1293"/>
      <c r="CL303" s="1293"/>
      <c r="CM303" s="1293"/>
      <c r="CN303" s="1293"/>
      <c r="CO303" s="1293"/>
      <c r="CP303" s="1293"/>
      <c r="CQ303" s="1293"/>
      <c r="CR303" s="1293"/>
      <c r="CS303" s="1293"/>
      <c r="CT303" s="1293"/>
      <c r="CU303" s="1293"/>
      <c r="CV303" s="1293"/>
      <c r="CW303" s="1293"/>
      <c r="CX303" s="1293"/>
      <c r="CY303" s="2162">
        <v>3660.8768036491315</v>
      </c>
      <c r="CZ303" s="1699">
        <f>AW303*(1+CZ352)</f>
        <v>3507.1914705946187</v>
      </c>
      <c r="DA303" s="2163">
        <v>3578.4672000000005</v>
      </c>
      <c r="DB303" s="2162">
        <v>3634.6534016800006</v>
      </c>
      <c r="DC303" s="1293"/>
      <c r="DD303" s="1293"/>
      <c r="DE303" s="1293"/>
      <c r="DF303" s="1293"/>
      <c r="DG303" s="1293"/>
      <c r="DH303" s="1293"/>
      <c r="DI303" s="1293"/>
      <c r="DJ303" s="1293"/>
      <c r="DK303" s="1293"/>
      <c r="DL303" s="2147">
        <v>520.65390000000002</v>
      </c>
    </row>
    <row r="304" spans="1:116" ht="16.5" thickBot="1">
      <c r="A304" s="1293"/>
      <c r="B304" s="1293" t="s">
        <v>2032</v>
      </c>
      <c r="C304" s="1699"/>
      <c r="D304" s="1699"/>
      <c r="E304" s="1699"/>
      <c r="F304" s="1699"/>
      <c r="G304" s="2039"/>
      <c r="H304" s="1699"/>
      <c r="I304" s="1699"/>
      <c r="J304" s="1699"/>
      <c r="K304" s="1699"/>
      <c r="L304" s="2039"/>
      <c r="M304" s="1699"/>
      <c r="N304" s="1699"/>
      <c r="O304" s="1699"/>
      <c r="P304" s="1699"/>
      <c r="Q304" s="2039"/>
      <c r="R304" s="1699"/>
      <c r="S304" s="1699"/>
      <c r="T304" s="1699"/>
      <c r="U304" s="1699"/>
      <c r="V304" s="2039"/>
      <c r="W304" s="1699"/>
      <c r="X304" s="1699"/>
      <c r="Y304" s="1699"/>
      <c r="Z304" s="1699"/>
      <c r="AA304" s="2039"/>
      <c r="AB304" s="1699">
        <f t="shared" ref="AB304:AI304" si="376">AB42*AB254</f>
        <v>100</v>
      </c>
      <c r="AC304" s="1699">
        <f t="shared" si="376"/>
        <v>100</v>
      </c>
      <c r="AD304" s="1699">
        <f t="shared" si="376"/>
        <v>99</v>
      </c>
      <c r="AE304" s="1699">
        <f t="shared" si="376"/>
        <v>99</v>
      </c>
      <c r="AF304" s="1699">
        <f t="shared" si="376"/>
        <v>97</v>
      </c>
      <c r="AG304" s="1699">
        <f t="shared" si="376"/>
        <v>97</v>
      </c>
      <c r="AH304" s="1699">
        <f t="shared" si="376"/>
        <v>98.199999999999989</v>
      </c>
      <c r="AI304" s="1699">
        <f t="shared" si="376"/>
        <v>98.199999999999989</v>
      </c>
      <c r="AJ304" s="2039"/>
      <c r="AK304" s="1699">
        <f>AK42*AK254</f>
        <v>93</v>
      </c>
      <c r="AL304" s="1699">
        <f>AL42*AL254</f>
        <v>86</v>
      </c>
      <c r="AM304" s="1699">
        <f>AM42*AM254</f>
        <v>89</v>
      </c>
      <c r="AN304" s="1699">
        <f>AN42*AN254</f>
        <v>92</v>
      </c>
      <c r="AO304" s="2161"/>
      <c r="AP304" s="1699">
        <f t="shared" ref="AP304:BG304" si="377">AP42*AP254</f>
        <v>91</v>
      </c>
      <c r="AQ304" s="1699">
        <f t="shared" si="377"/>
        <v>96</v>
      </c>
      <c r="AR304" s="1699">
        <f t="shared" si="377"/>
        <v>97</v>
      </c>
      <c r="AS304" s="1699">
        <f t="shared" si="377"/>
        <v>104</v>
      </c>
      <c r="AT304" s="2161">
        <f t="shared" si="377"/>
        <v>388</v>
      </c>
      <c r="AU304" s="1698">
        <f t="shared" si="377"/>
        <v>152.1464</v>
      </c>
      <c r="AV304" s="1698">
        <f t="shared" si="377"/>
        <v>154.64510000000001</v>
      </c>
      <c r="AW304" s="1698">
        <f t="shared" si="377"/>
        <v>158.02500000000001</v>
      </c>
      <c r="AX304" s="1698">
        <f t="shared" si="377"/>
        <v>159.38210000000001</v>
      </c>
      <c r="AY304" s="2161">
        <f t="shared" si="377"/>
        <v>624.19860000000006</v>
      </c>
      <c r="AZ304" s="1698">
        <f t="shared" si="377"/>
        <v>159</v>
      </c>
      <c r="BA304" s="1698">
        <f t="shared" si="377"/>
        <v>161</v>
      </c>
      <c r="BB304" s="1698">
        <f t="shared" si="377"/>
        <v>160.28299999999999</v>
      </c>
      <c r="BC304" s="1698">
        <f t="shared" si="377"/>
        <v>189.518</v>
      </c>
      <c r="BD304" s="2161">
        <f t="shared" si="377"/>
        <v>669.80100000000004</v>
      </c>
      <c r="BE304" s="1698">
        <f t="shared" si="377"/>
        <v>186.87880000000001</v>
      </c>
      <c r="BF304" s="1698">
        <f t="shared" si="377"/>
        <v>171.13900000000001</v>
      </c>
      <c r="BG304" s="1698">
        <f t="shared" si="377"/>
        <v>169.57409999999999</v>
      </c>
      <c r="BH304" s="1698">
        <f>BI304-BE304-BF304-BG304</f>
        <v>172.3173000000001</v>
      </c>
      <c r="BI304" s="2161">
        <f t="shared" ref="BI304:BI306" si="378">BI42*BI254</f>
        <v>699.90920000000006</v>
      </c>
      <c r="BJ304" s="1327">
        <f t="shared" si="366"/>
        <v>173.79728399999999</v>
      </c>
      <c r="BK304" s="1327">
        <f t="shared" si="367"/>
        <v>177.98456000000002</v>
      </c>
      <c r="BL304" s="1327">
        <f t="shared" si="368"/>
        <v>178.05280500000001</v>
      </c>
      <c r="BM304" s="1327">
        <f t="shared" si="372"/>
        <v>201.66535100000002</v>
      </c>
      <c r="BN304" s="2161">
        <f>'New split'!O187</f>
        <v>731.5</v>
      </c>
      <c r="BO304" s="1699"/>
      <c r="BP304" s="1699"/>
      <c r="BQ304" s="1293"/>
      <c r="BR304" s="1293"/>
      <c r="BS304" s="2029" t="s">
        <v>9150</v>
      </c>
      <c r="BT304" s="1293"/>
      <c r="BU304" s="1293"/>
      <c r="BV304" s="1293"/>
      <c r="BW304" s="1293"/>
      <c r="BX304" s="1293"/>
      <c r="BY304" s="1293"/>
      <c r="BZ304" s="1293"/>
      <c r="CA304" s="1293"/>
      <c r="CB304" s="1293"/>
      <c r="CC304" s="1293"/>
      <c r="CD304" s="1293"/>
      <c r="CE304" s="1293"/>
      <c r="CF304" s="1293"/>
      <c r="CG304" s="1293"/>
      <c r="CH304" s="1293"/>
      <c r="CI304" s="1293"/>
      <c r="CJ304" s="1293"/>
      <c r="CK304" s="1293"/>
      <c r="CL304" s="1293"/>
      <c r="CM304" s="1293"/>
      <c r="CN304" s="1293"/>
      <c r="CO304" s="1293"/>
      <c r="CP304" s="1293"/>
      <c r="CQ304" s="1293"/>
      <c r="CR304" s="1293"/>
      <c r="CS304" s="1293"/>
      <c r="CT304" s="1293"/>
      <c r="CU304" s="1293"/>
      <c r="CV304" s="1293"/>
      <c r="CW304" s="1293"/>
      <c r="CX304" s="1293"/>
      <c r="CY304" s="2162">
        <v>106.04410611959284</v>
      </c>
      <c r="CZ304" s="1699">
        <f>AW304*(1+CZ353)</f>
        <v>166.716375</v>
      </c>
      <c r="DA304" s="2163">
        <v>112.35000000000001</v>
      </c>
      <c r="DB304" s="2162">
        <v>112.62563999999999</v>
      </c>
      <c r="DC304" s="1293"/>
      <c r="DD304" s="1293"/>
      <c r="DE304" s="1293"/>
      <c r="DF304" s="1293"/>
      <c r="DG304" s="1293"/>
      <c r="DH304" s="1293"/>
      <c r="DI304" s="1293"/>
      <c r="DJ304" s="1293"/>
      <c r="DK304" s="1293"/>
      <c r="DL304" s="2147">
        <v>520.65390000000002</v>
      </c>
    </row>
    <row r="305" spans="1:116" ht="16.5" thickBot="1">
      <c r="A305" s="1293"/>
      <c r="B305" s="1293" t="s">
        <v>2172</v>
      </c>
      <c r="C305" s="1699"/>
      <c r="D305" s="1699"/>
      <c r="E305" s="1699"/>
      <c r="F305" s="1699"/>
      <c r="G305" s="2039"/>
      <c r="H305" s="1699"/>
      <c r="I305" s="1699"/>
      <c r="J305" s="1699"/>
      <c r="K305" s="1699"/>
      <c r="L305" s="2039"/>
      <c r="M305" s="1699"/>
      <c r="N305" s="1699"/>
      <c r="O305" s="1699"/>
      <c r="P305" s="1699"/>
      <c r="Q305" s="2039"/>
      <c r="R305" s="1699"/>
      <c r="S305" s="1699"/>
      <c r="T305" s="1699"/>
      <c r="U305" s="1699"/>
      <c r="V305" s="2039"/>
      <c r="W305" s="1699"/>
      <c r="X305" s="1699"/>
      <c r="Y305" s="1699"/>
      <c r="Z305" s="1699"/>
      <c r="AA305" s="2039"/>
      <c r="AB305" s="1699"/>
      <c r="AC305" s="1699"/>
      <c r="AD305" s="1699"/>
      <c r="AE305" s="1699"/>
      <c r="AF305" s="1699"/>
      <c r="AG305" s="1699"/>
      <c r="AH305" s="1699"/>
      <c r="AI305" s="1699"/>
      <c r="AJ305" s="2039"/>
      <c r="AK305" s="1699"/>
      <c r="AL305" s="1699"/>
      <c r="AM305" s="1699"/>
      <c r="AN305" s="1699"/>
      <c r="AO305" s="2161"/>
      <c r="AP305" s="1699"/>
      <c r="AQ305" s="1699"/>
      <c r="AR305" s="1699"/>
      <c r="AS305" s="1699"/>
      <c r="AT305" s="2161"/>
      <c r="AU305" s="1698">
        <f t="shared" ref="AU305:AX306" si="379">AU43*AU255</f>
        <v>22812.53296</v>
      </c>
      <c r="AV305" s="1698">
        <f t="shared" si="379"/>
        <v>22915.702128000001</v>
      </c>
      <c r="AW305" s="1698">
        <f t="shared" si="379"/>
        <v>21195.878264999999</v>
      </c>
      <c r="AX305" s="1698">
        <f t="shared" si="379"/>
        <v>21550.140228</v>
      </c>
      <c r="AY305" s="2161">
        <f>'New split'!L188</f>
        <v>89398</v>
      </c>
      <c r="AZ305" s="1698">
        <f t="shared" ref="AZ305:BC306" si="380">AZ43*AZ255</f>
        <v>21051.728640000001</v>
      </c>
      <c r="BA305" s="1698">
        <f t="shared" si="380"/>
        <v>21644.454399999999</v>
      </c>
      <c r="BB305" s="1698">
        <f t="shared" si="380"/>
        <v>21751.549499999997</v>
      </c>
      <c r="BC305" s="1698">
        <f t="shared" si="380"/>
        <v>21068.781981</v>
      </c>
      <c r="BD305" s="2161">
        <f>'New split'!M188</f>
        <v>86616</v>
      </c>
      <c r="BE305" s="1698">
        <f t="shared" ref="BE305:BH306" si="381">BE43*BE255</f>
        <v>20512.318631999999</v>
      </c>
      <c r="BF305" s="1698">
        <f t="shared" si="381"/>
        <v>20322.710857500002</v>
      </c>
      <c r="BG305" s="1698">
        <f t="shared" si="381"/>
        <v>19429.231319999999</v>
      </c>
      <c r="BH305" s="1698">
        <f t="shared" si="381"/>
        <v>18412.428</v>
      </c>
      <c r="BI305" s="2161">
        <f t="shared" si="378"/>
        <v>78679.906132000004</v>
      </c>
      <c r="BJ305" s="1327">
        <f t="shared" si="366"/>
        <v>18871.333141439998</v>
      </c>
      <c r="BK305" s="1327">
        <f t="shared" si="367"/>
        <v>18798.507543187501</v>
      </c>
      <c r="BL305" s="1327">
        <f t="shared" si="368"/>
        <v>18652.062067199997</v>
      </c>
      <c r="BM305" s="1327">
        <f t="shared" si="372"/>
        <v>18573.172248172497</v>
      </c>
      <c r="BN305" s="2161">
        <f>'New split'!O188</f>
        <v>74895.074999999997</v>
      </c>
      <c r="BO305" s="1699"/>
      <c r="BP305" s="1699"/>
      <c r="BQ305" s="1293"/>
      <c r="BR305" s="1293"/>
      <c r="BS305" s="2029" t="s">
        <v>9151</v>
      </c>
      <c r="BT305" s="1293"/>
      <c r="BU305" s="1293"/>
      <c r="BV305" s="1293"/>
      <c r="BW305" s="1293"/>
      <c r="BX305" s="1293"/>
      <c r="BY305" s="1293"/>
      <c r="BZ305" s="1293"/>
      <c r="CA305" s="1293"/>
      <c r="CB305" s="1293"/>
      <c r="CC305" s="1293"/>
      <c r="CD305" s="1293"/>
      <c r="CE305" s="1293"/>
      <c r="CF305" s="1293"/>
      <c r="CG305" s="1293"/>
      <c r="CH305" s="1293"/>
      <c r="CI305" s="1293"/>
      <c r="CJ305" s="1293"/>
      <c r="CK305" s="1293"/>
      <c r="CL305" s="1293"/>
      <c r="CM305" s="1293"/>
      <c r="CN305" s="1293"/>
      <c r="CO305" s="1293"/>
      <c r="CP305" s="1293"/>
      <c r="CQ305" s="1293"/>
      <c r="CR305" s="1293"/>
      <c r="CS305" s="1293"/>
      <c r="CT305" s="1293"/>
      <c r="CU305" s="1293"/>
      <c r="CV305" s="1293"/>
      <c r="CW305" s="1293"/>
      <c r="CX305" s="1293"/>
      <c r="CY305" s="2162"/>
      <c r="CZ305" s="1699"/>
      <c r="DA305" s="2163"/>
      <c r="DB305" s="2162"/>
      <c r="DC305" s="1293"/>
      <c r="DD305" s="1293"/>
      <c r="DE305" s="1293"/>
      <c r="DF305" s="1293"/>
      <c r="DG305" s="1293"/>
      <c r="DH305" s="1293"/>
      <c r="DI305" s="1293"/>
      <c r="DJ305" s="1293"/>
      <c r="DK305" s="1293"/>
      <c r="DL305" s="2147"/>
    </row>
    <row r="306" spans="1:116" ht="16.5" thickBot="1">
      <c r="A306" s="1293"/>
      <c r="B306" s="1293" t="s">
        <v>2033</v>
      </c>
      <c r="C306" s="1699"/>
      <c r="D306" s="1699"/>
      <c r="E306" s="1699"/>
      <c r="F306" s="1699"/>
      <c r="G306" s="2039"/>
      <c r="H306" s="1699"/>
      <c r="I306" s="1699"/>
      <c r="J306" s="1699"/>
      <c r="K306" s="1699"/>
      <c r="L306" s="2039"/>
      <c r="M306" s="1699"/>
      <c r="N306" s="1699"/>
      <c r="O306" s="1699"/>
      <c r="P306" s="1699"/>
      <c r="Q306" s="2039"/>
      <c r="R306" s="1699"/>
      <c r="S306" s="1699"/>
      <c r="T306" s="1699"/>
      <c r="U306" s="1699"/>
      <c r="V306" s="2039"/>
      <c r="W306" s="1699"/>
      <c r="X306" s="1699"/>
      <c r="Y306" s="1699"/>
      <c r="Z306" s="1699"/>
      <c r="AA306" s="2039"/>
      <c r="AB306" s="1699"/>
      <c r="AC306" s="1699"/>
      <c r="AD306" s="1699"/>
      <c r="AE306" s="1699"/>
      <c r="AF306" s="1699"/>
      <c r="AG306" s="1699"/>
      <c r="AH306" s="1699"/>
      <c r="AI306" s="1699"/>
      <c r="AJ306" s="2039"/>
      <c r="AK306" s="1699"/>
      <c r="AL306" s="1699"/>
      <c r="AM306" s="1699"/>
      <c r="AN306" s="1699"/>
      <c r="AO306" s="2161"/>
      <c r="AP306" s="1699"/>
      <c r="AQ306" s="1699"/>
      <c r="AR306" s="1699"/>
      <c r="AS306" s="1699"/>
      <c r="AT306" s="2161"/>
      <c r="AU306" s="1698">
        <f t="shared" si="379"/>
        <v>2072.2208464599998</v>
      </c>
      <c r="AV306" s="1698">
        <f t="shared" si="379"/>
        <v>2095.0826134499998</v>
      </c>
      <c r="AW306" s="1698">
        <f t="shared" si="379"/>
        <v>2093.8052514400001</v>
      </c>
      <c r="AX306" s="1698">
        <f t="shared" si="379"/>
        <v>2165.9240453999996</v>
      </c>
      <c r="AY306" s="2161"/>
      <c r="AZ306" s="1698">
        <f t="shared" si="380"/>
        <v>2208.38749891</v>
      </c>
      <c r="BA306" s="1698">
        <f t="shared" si="380"/>
        <v>2251.6760285799996</v>
      </c>
      <c r="BB306" s="1698">
        <f t="shared" si="380"/>
        <v>2237.3597823199998</v>
      </c>
      <c r="BC306" s="1698">
        <f t="shared" si="380"/>
        <v>2271.5614284999997</v>
      </c>
      <c r="BD306" s="2161"/>
      <c r="BE306" s="1698">
        <f t="shared" si="381"/>
        <v>2449.3526105399997</v>
      </c>
      <c r="BF306" s="1698">
        <f t="shared" si="381"/>
        <v>2352.86222976</v>
      </c>
      <c r="BG306" s="1698">
        <f t="shared" si="381"/>
        <v>2325.7162985999998</v>
      </c>
      <c r="BH306" s="1698">
        <f t="shared" si="381"/>
        <v>2343.3357719999999</v>
      </c>
      <c r="BI306" s="2161">
        <f t="shared" si="378"/>
        <v>9471.2640608599995</v>
      </c>
      <c r="BJ306" s="1327">
        <f t="shared" si="366"/>
        <v>2375.8720322237996</v>
      </c>
      <c r="BK306" s="1327">
        <f t="shared" si="367"/>
        <v>2437.5652700313599</v>
      </c>
      <c r="BL306" s="1327">
        <f t="shared" si="368"/>
        <v>2455.9564113216002</v>
      </c>
      <c r="BM306" s="1327">
        <f t="shared" si="372"/>
        <v>2510.446286423241</v>
      </c>
      <c r="BN306" s="2161">
        <f>'New split'!O189</f>
        <v>9779.84</v>
      </c>
      <c r="BO306" s="1699"/>
      <c r="BP306" s="1699"/>
      <c r="BQ306" s="1293"/>
      <c r="BR306" s="1293"/>
      <c r="BS306" s="2029" t="s">
        <v>9152</v>
      </c>
      <c r="BT306" s="1293"/>
      <c r="BU306" s="1293"/>
      <c r="BV306" s="1293"/>
      <c r="BW306" s="1293"/>
      <c r="BX306" s="1293"/>
      <c r="BY306" s="1293"/>
      <c r="BZ306" s="1293"/>
      <c r="CA306" s="1293"/>
      <c r="CB306" s="1293"/>
      <c r="CC306" s="1293"/>
      <c r="CD306" s="1293"/>
      <c r="CE306" s="1293"/>
      <c r="CF306" s="1293"/>
      <c r="CG306" s="1293"/>
      <c r="CH306" s="1293"/>
      <c r="CI306" s="1293"/>
      <c r="CJ306" s="1293"/>
      <c r="CK306" s="1293"/>
      <c r="CL306" s="1293"/>
      <c r="CM306" s="1293"/>
      <c r="CN306" s="1293"/>
      <c r="CO306" s="1293"/>
      <c r="CP306" s="1293"/>
      <c r="CQ306" s="1293"/>
      <c r="CR306" s="1293"/>
      <c r="CS306" s="1293"/>
      <c r="CT306" s="1293"/>
      <c r="CU306" s="1293"/>
      <c r="CV306" s="1293"/>
      <c r="CW306" s="1293"/>
      <c r="CX306" s="1293"/>
      <c r="CY306" s="2162"/>
      <c r="CZ306" s="1699"/>
      <c r="DA306" s="2163"/>
      <c r="DB306" s="2162"/>
      <c r="DC306" s="1293"/>
      <c r="DD306" s="1293"/>
      <c r="DE306" s="1293"/>
      <c r="DF306" s="1293"/>
      <c r="DG306" s="1293"/>
      <c r="DH306" s="1293"/>
      <c r="DI306" s="1293"/>
      <c r="DJ306" s="1293"/>
      <c r="DK306" s="1293"/>
      <c r="DL306" s="2147"/>
    </row>
    <row r="307" spans="1:116" ht="16.5" hidden="1" outlineLevel="1" thickBot="1">
      <c r="A307" s="1293"/>
      <c r="B307" s="1293"/>
      <c r="C307" s="1699"/>
      <c r="D307" s="1699"/>
      <c r="E307" s="1699"/>
      <c r="F307" s="1699"/>
      <c r="G307" s="2039"/>
      <c r="H307" s="1699"/>
      <c r="I307" s="1699"/>
      <c r="J307" s="1699"/>
      <c r="K307" s="1699"/>
      <c r="L307" s="2039"/>
      <c r="M307" s="1699"/>
      <c r="N307" s="1699"/>
      <c r="O307" s="1699"/>
      <c r="P307" s="1699"/>
      <c r="Q307" s="2039"/>
      <c r="R307" s="1699"/>
      <c r="S307" s="1699"/>
      <c r="T307" s="1699"/>
      <c r="U307" s="1699"/>
      <c r="V307" s="2039"/>
      <c r="W307" s="1699"/>
      <c r="X307" s="1699"/>
      <c r="Y307" s="1699"/>
      <c r="Z307" s="1699"/>
      <c r="AA307" s="2039"/>
      <c r="AB307" s="1699"/>
      <c r="AC307" s="1699"/>
      <c r="AD307" s="1699"/>
      <c r="AE307" s="1699"/>
      <c r="AF307" s="1699"/>
      <c r="AG307" s="1699"/>
      <c r="AH307" s="1699"/>
      <c r="AI307" s="1699"/>
      <c r="AJ307" s="2039"/>
      <c r="AK307" s="1699"/>
      <c r="AL307" s="1699"/>
      <c r="AM307" s="1699"/>
      <c r="AN307" s="1699"/>
      <c r="AO307" s="2161"/>
      <c r="AP307" s="1699"/>
      <c r="AQ307" s="1699"/>
      <c r="AR307" s="1699"/>
      <c r="AS307" s="1699"/>
      <c r="AT307" s="2161"/>
      <c r="AU307" s="1698"/>
      <c r="AV307" s="1698"/>
      <c r="AW307" s="1698"/>
      <c r="AX307" s="1698"/>
      <c r="AY307" s="2161"/>
      <c r="AZ307" s="1698"/>
      <c r="BA307" s="1698"/>
      <c r="BB307" s="1698"/>
      <c r="BC307" s="1698"/>
      <c r="BD307" s="2161"/>
      <c r="BE307" s="1698"/>
      <c r="BF307" s="1698"/>
      <c r="BG307" s="1698"/>
      <c r="BH307" s="1698"/>
      <c r="BI307" s="2161"/>
      <c r="BJ307" s="1327">
        <f t="shared" si="366"/>
        <v>0</v>
      </c>
      <c r="BK307" s="1327">
        <f t="shared" si="367"/>
        <v>0</v>
      </c>
      <c r="BL307" s="1327">
        <f t="shared" si="368"/>
        <v>0</v>
      </c>
      <c r="BM307" s="1327">
        <f t="shared" si="372"/>
        <v>0</v>
      </c>
      <c r="BN307" s="2161"/>
      <c r="BO307" s="1699"/>
      <c r="BP307" s="1699"/>
      <c r="BQ307" s="1293"/>
      <c r="BR307" s="1293"/>
      <c r="BS307" s="1293"/>
      <c r="BT307" s="1293"/>
      <c r="BU307" s="1293"/>
      <c r="BV307" s="1293"/>
      <c r="BW307" s="1293"/>
      <c r="BX307" s="1293"/>
      <c r="BY307" s="1293"/>
      <c r="BZ307" s="1293"/>
      <c r="CA307" s="1293"/>
      <c r="CB307" s="1293"/>
      <c r="CC307" s="1293"/>
      <c r="CD307" s="1293"/>
      <c r="CE307" s="1293"/>
      <c r="CF307" s="1293"/>
      <c r="CG307" s="1293"/>
      <c r="CH307" s="1293"/>
      <c r="CI307" s="1293"/>
      <c r="CJ307" s="1293"/>
      <c r="CK307" s="1293"/>
      <c r="CL307" s="1293"/>
      <c r="CM307" s="1293"/>
      <c r="CN307" s="1293"/>
      <c r="CO307" s="1293"/>
      <c r="CP307" s="1293"/>
      <c r="CQ307" s="1293"/>
      <c r="CR307" s="1293"/>
      <c r="CS307" s="1293"/>
      <c r="CT307" s="1293"/>
      <c r="CU307" s="1293"/>
      <c r="CV307" s="1293"/>
      <c r="CW307" s="1293"/>
      <c r="CX307" s="1293"/>
      <c r="CY307" s="2162"/>
      <c r="CZ307" s="1699"/>
      <c r="DA307" s="2163"/>
      <c r="DB307" s="2162"/>
      <c r="DC307" s="1293"/>
      <c r="DD307" s="1293"/>
      <c r="DE307" s="1293"/>
      <c r="DF307" s="1293"/>
      <c r="DG307" s="1293"/>
      <c r="DH307" s="1293"/>
      <c r="DI307" s="1293"/>
      <c r="DJ307" s="1293"/>
      <c r="DK307" s="1293"/>
      <c r="DL307" s="2147"/>
    </row>
    <row r="308" spans="1:116" ht="16.5" hidden="1" outlineLevel="1" thickBot="1">
      <c r="A308" s="1293"/>
      <c r="B308" s="1982" t="str">
        <f>B45</f>
        <v>Costa Rica/old Nicaragua</v>
      </c>
      <c r="C308" s="1699">
        <f t="shared" ref="C308:P308" si="382">C45*C255</f>
        <v>18376.824500337152</v>
      </c>
      <c r="D308" s="1699">
        <f t="shared" si="382"/>
        <v>18482.076714578841</v>
      </c>
      <c r="E308" s="1699">
        <f t="shared" si="382"/>
        <v>18947.867044763363</v>
      </c>
      <c r="F308" s="1699">
        <f t="shared" si="382"/>
        <v>18619.035418286312</v>
      </c>
      <c r="G308" s="2039">
        <f t="shared" si="382"/>
        <v>74303.171487078493</v>
      </c>
      <c r="H308" s="1699">
        <f t="shared" si="382"/>
        <v>18782.106977553693</v>
      </c>
      <c r="I308" s="1699">
        <f t="shared" si="382"/>
        <v>19212.804034394063</v>
      </c>
      <c r="J308" s="1699">
        <f t="shared" si="382"/>
        <v>20419.923988325416</v>
      </c>
      <c r="K308" s="1699">
        <f t="shared" si="382"/>
        <v>22260.73251435491</v>
      </c>
      <c r="L308" s="2039">
        <f t="shared" si="382"/>
        <v>80629.444068575816</v>
      </c>
      <c r="M308" s="1699">
        <f t="shared" si="382"/>
        <v>20832.582752447928</v>
      </c>
      <c r="N308" s="1699">
        <f t="shared" si="382"/>
        <v>20674.996386678704</v>
      </c>
      <c r="O308" s="1699">
        <f t="shared" si="382"/>
        <v>21147.535835028528</v>
      </c>
      <c r="P308" s="1699">
        <f t="shared" si="382"/>
        <v>20705.939999999999</v>
      </c>
      <c r="Q308" s="2039">
        <f>SUM(M308:P308)</f>
        <v>83361.054974155166</v>
      </c>
      <c r="R308" s="1699">
        <f>R45*R255</f>
        <v>21451.38</v>
      </c>
      <c r="S308" s="1699">
        <f>S45*S255</f>
        <v>21812</v>
      </c>
      <c r="T308" s="1699">
        <f>T45*T255</f>
        <v>21336.05</v>
      </c>
      <c r="U308" s="1699">
        <f>U45*U255</f>
        <v>19346</v>
      </c>
      <c r="V308" s="2039">
        <f>SUM(R308:U308)</f>
        <v>83945.430000000008</v>
      </c>
      <c r="W308" s="1699">
        <f t="shared" ref="W308:BF308" si="383">W45*W255</f>
        <v>21061.492923076923</v>
      </c>
      <c r="X308" s="1699">
        <f t="shared" si="383"/>
        <v>20964.95138461539</v>
      </c>
      <c r="Y308" s="1699">
        <f t="shared" si="383"/>
        <v>20614.070769230766</v>
      </c>
      <c r="Z308" s="1699">
        <f t="shared" si="383"/>
        <v>20965</v>
      </c>
      <c r="AA308" s="2039">
        <f t="shared" si="383"/>
        <v>82940</v>
      </c>
      <c r="AB308" s="1699">
        <f t="shared" si="383"/>
        <v>20638</v>
      </c>
      <c r="AC308" s="1699">
        <f t="shared" si="383"/>
        <v>20638</v>
      </c>
      <c r="AD308" s="1699">
        <f t="shared" si="383"/>
        <v>18984.673432835811</v>
      </c>
      <c r="AE308" s="1699">
        <f t="shared" si="383"/>
        <v>18984.673432835811</v>
      </c>
      <c r="AF308" s="1699">
        <f t="shared" si="383"/>
        <v>18942</v>
      </c>
      <c r="AG308" s="1699">
        <f t="shared" si="383"/>
        <v>18942</v>
      </c>
      <c r="AH308" s="1699">
        <f t="shared" si="383"/>
        <v>20833.400000000005</v>
      </c>
      <c r="AI308" s="1699">
        <f t="shared" si="383"/>
        <v>20833.400000000005</v>
      </c>
      <c r="AJ308" s="2039">
        <f t="shared" si="383"/>
        <v>79516.415999999997</v>
      </c>
      <c r="AK308" s="1699">
        <f t="shared" si="383"/>
        <v>23672.887499999997</v>
      </c>
      <c r="AL308" s="1699">
        <f t="shared" si="383"/>
        <v>20873.25</v>
      </c>
      <c r="AM308" s="1699">
        <f t="shared" si="383"/>
        <v>19136</v>
      </c>
      <c r="AN308" s="1699">
        <f t="shared" si="383"/>
        <v>21816</v>
      </c>
      <c r="AO308" s="2161">
        <f t="shared" si="383"/>
        <v>84680</v>
      </c>
      <c r="AP308" s="1699">
        <f t="shared" si="383"/>
        <v>23255.685312500005</v>
      </c>
      <c r="AQ308" s="1699">
        <f t="shared" si="383"/>
        <v>25268.760461538481</v>
      </c>
      <c r="AR308" s="1699">
        <f t="shared" si="383"/>
        <v>25506.460303030308</v>
      </c>
      <c r="AS308" s="1699">
        <f t="shared" si="383"/>
        <v>27896</v>
      </c>
      <c r="AT308" s="2161">
        <f t="shared" si="383"/>
        <v>101943.52729392484</v>
      </c>
      <c r="AU308" s="1698">
        <f t="shared" si="383"/>
        <v>27945.119999999999</v>
      </c>
      <c r="AV308" s="1698">
        <f t="shared" si="383"/>
        <v>29104.32</v>
      </c>
      <c r="AW308" s="1698">
        <f t="shared" si="383"/>
        <v>26441.1</v>
      </c>
      <c r="AX308" s="1698">
        <f t="shared" si="383"/>
        <v>27288.120000000003</v>
      </c>
      <c r="AY308" s="2161">
        <f t="shared" si="383"/>
        <v>110986.87000000001</v>
      </c>
      <c r="AZ308" s="1698">
        <f t="shared" si="383"/>
        <v>27072.000000000004</v>
      </c>
      <c r="BA308" s="1698">
        <f t="shared" si="383"/>
        <v>28288</v>
      </c>
      <c r="BB308" s="1698">
        <f t="shared" si="383"/>
        <v>27903.999999999993</v>
      </c>
      <c r="BC308" s="1698">
        <f t="shared" si="383"/>
        <v>27543.458334000006</v>
      </c>
      <c r="BD308" s="2161">
        <f t="shared" si="383"/>
        <v>110807.19406349999</v>
      </c>
      <c r="BE308" s="1698">
        <f t="shared" si="383"/>
        <v>26904.93</v>
      </c>
      <c r="BF308" s="1698">
        <f t="shared" si="383"/>
        <v>26952.51</v>
      </c>
      <c r="BG308" s="1698">
        <f>(1+BG357)*BB308</f>
        <v>24918.271999999994</v>
      </c>
      <c r="BH308" s="1698">
        <f ca="1">BI308-BE308-BF308-BG308</f>
        <v>27521.760520000029</v>
      </c>
      <c r="BI308" s="2161">
        <f t="shared" ref="BI308" ca="1" si="384">BI45*BI255</f>
        <v>106297.47252000001</v>
      </c>
      <c r="BJ308" s="1327">
        <f t="shared" si="366"/>
        <v>27443.028600000001</v>
      </c>
      <c r="BK308" s="1327">
        <f t="shared" si="367"/>
        <v>27491.5602</v>
      </c>
      <c r="BL308" s="1327">
        <f t="shared" si="368"/>
        <v>25416.637439999995</v>
      </c>
      <c r="BM308" s="1327">
        <f t="shared" si="372"/>
        <v>37193.045222560788</v>
      </c>
      <c r="BN308" s="2161">
        <f>'New split'!O195</f>
        <v>117544.27146256079</v>
      </c>
      <c r="BO308" s="1699"/>
      <c r="BP308" s="1699"/>
      <c r="BQ308" s="1293"/>
      <c r="BR308" s="1293"/>
      <c r="BS308" s="1293"/>
      <c r="BT308" s="1293"/>
      <c r="BU308" s="1293"/>
      <c r="BV308" s="1293"/>
      <c r="BW308" s="1293"/>
      <c r="BX308" s="1293"/>
      <c r="BY308" s="1293"/>
      <c r="BZ308" s="1293"/>
      <c r="CA308" s="1293"/>
      <c r="CB308" s="1293"/>
      <c r="CC308" s="1293"/>
      <c r="CD308" s="1293"/>
      <c r="CE308" s="1293"/>
      <c r="CF308" s="1293"/>
      <c r="CG308" s="1293"/>
      <c r="CH308" s="1293"/>
      <c r="CI308" s="1293"/>
      <c r="CJ308" s="1293"/>
      <c r="CK308" s="1293"/>
      <c r="CL308" s="1293"/>
      <c r="CM308" s="1293"/>
      <c r="CN308" s="1293"/>
      <c r="CO308" s="1293"/>
      <c r="CP308" s="1293"/>
      <c r="CQ308" s="1293"/>
      <c r="CR308" s="1293"/>
      <c r="CS308" s="1293"/>
      <c r="CT308" s="1293"/>
      <c r="CU308" s="1293"/>
      <c r="CV308" s="1293"/>
      <c r="CW308" s="1293"/>
      <c r="CX308" s="1293"/>
      <c r="CY308" s="2162">
        <v>29128.684924057707</v>
      </c>
      <c r="CZ308" s="1699">
        <f>AW308*(1+CZ357)</f>
        <v>27763.154999999999</v>
      </c>
      <c r="DA308" s="2163">
        <v>29419.52</v>
      </c>
      <c r="DB308" s="2162">
        <v>29020.159999999993</v>
      </c>
      <c r="DC308" s="1293"/>
      <c r="DD308" s="1293"/>
      <c r="DE308" s="1293"/>
      <c r="DF308" s="1293"/>
      <c r="DG308" s="1293"/>
      <c r="DH308" s="1293"/>
      <c r="DI308" s="1293"/>
      <c r="DJ308" s="1293"/>
      <c r="DK308" s="1293"/>
      <c r="DL308" s="2147">
        <v>520.65899999999999</v>
      </c>
    </row>
    <row r="309" spans="1:116" ht="16.5" hidden="1" outlineLevel="1" thickBot="1">
      <c r="A309" s="1293"/>
      <c r="B309" s="1982" t="str">
        <f>B46</f>
        <v>Panama wireless</v>
      </c>
      <c r="C309" s="1699"/>
      <c r="D309" s="1699"/>
      <c r="E309" s="1699"/>
      <c r="F309" s="1699"/>
      <c r="G309" s="2039"/>
      <c r="H309" s="1699"/>
      <c r="I309" s="1699"/>
      <c r="J309" s="1699"/>
      <c r="K309" s="1699"/>
      <c r="L309" s="2039"/>
      <c r="M309" s="1699"/>
      <c r="N309" s="1699"/>
      <c r="O309" s="1699"/>
      <c r="P309" s="1699"/>
      <c r="Q309" s="2039"/>
      <c r="R309" s="1699"/>
      <c r="S309" s="1699"/>
      <c r="T309" s="1699"/>
      <c r="U309" s="1699"/>
      <c r="V309" s="2039"/>
      <c r="W309" s="1699"/>
      <c r="X309" s="1699"/>
      <c r="Y309" s="1699"/>
      <c r="Z309" s="1699"/>
      <c r="AA309" s="2039"/>
      <c r="AB309" s="1699"/>
      <c r="AC309" s="1699"/>
      <c r="AD309" s="1699"/>
      <c r="AE309" s="1699"/>
      <c r="AF309" s="1699"/>
      <c r="AG309" s="1699"/>
      <c r="AH309" s="1699"/>
      <c r="AI309" s="1699"/>
      <c r="AJ309" s="2039"/>
      <c r="AK309" s="1699">
        <f>AK46*AK257</f>
        <v>55</v>
      </c>
      <c r="AL309" s="1699">
        <f>AL46*AL257</f>
        <v>50</v>
      </c>
      <c r="AM309" s="1699">
        <f>AM46*AM257</f>
        <v>50</v>
      </c>
      <c r="AN309" s="1699">
        <f>AN46*AN257</f>
        <v>52</v>
      </c>
      <c r="AO309" s="2161"/>
      <c r="AP309" s="1699">
        <f>AP46*AP257</f>
        <v>55</v>
      </c>
      <c r="AQ309" s="1699">
        <f>AQ46*AQ257</f>
        <v>55</v>
      </c>
      <c r="AR309" s="1699">
        <f>AR46*AR257</f>
        <v>55</v>
      </c>
      <c r="AS309" s="1699">
        <f>AS46*AS257</f>
        <v>55</v>
      </c>
      <c r="AT309" s="2161"/>
      <c r="AU309" s="1698">
        <f>AU46*AU257</f>
        <v>56</v>
      </c>
      <c r="AV309" s="1698">
        <f>AV46*AV257</f>
        <v>56</v>
      </c>
      <c r="AW309" s="1698">
        <f>AW46*AW257</f>
        <v>56</v>
      </c>
      <c r="AX309" s="1698">
        <f>AX46*AX257</f>
        <v>58</v>
      </c>
      <c r="AY309" s="2161"/>
      <c r="AZ309" s="1698">
        <f>AZ46*AZ257</f>
        <v>58</v>
      </c>
      <c r="BA309" s="1698">
        <f>BA46*BA257</f>
        <v>56</v>
      </c>
      <c r="BB309" s="1698">
        <f>BB46*BB257</f>
        <v>56</v>
      </c>
      <c r="BC309" s="1698">
        <f>BC46*BC257</f>
        <v>56</v>
      </c>
      <c r="BD309" s="2161"/>
      <c r="BE309" s="1698">
        <f>BE46*BE257</f>
        <v>57</v>
      </c>
      <c r="BF309" s="1698">
        <f>BF46*BF257</f>
        <v>57</v>
      </c>
      <c r="BG309" s="2164">
        <v>58</v>
      </c>
      <c r="BH309" s="1698">
        <f>BI309-BE309-BF309-BG309</f>
        <v>-172</v>
      </c>
      <c r="BI309" s="2161"/>
      <c r="BJ309" s="1327">
        <f t="shared" si="366"/>
        <v>58.14</v>
      </c>
      <c r="BK309" s="1327">
        <f t="shared" si="367"/>
        <v>58.14</v>
      </c>
      <c r="BL309" s="1327">
        <f t="shared" si="368"/>
        <v>59.160000000000004</v>
      </c>
      <c r="BM309" s="1327">
        <f t="shared" si="372"/>
        <v>57.512164349914265</v>
      </c>
      <c r="BN309" s="2161">
        <f>'New split'!O54</f>
        <v>232.95216434991428</v>
      </c>
      <c r="BO309" s="1699"/>
      <c r="BP309" s="1699"/>
      <c r="BQ309" s="1293"/>
      <c r="BR309" s="1293"/>
      <c r="BS309" s="1293"/>
      <c r="BT309" s="1293"/>
      <c r="BU309" s="1293"/>
      <c r="BV309" s="1293"/>
      <c r="BW309" s="1293"/>
      <c r="BX309" s="1293"/>
      <c r="BY309" s="1293"/>
      <c r="BZ309" s="1293"/>
      <c r="CA309" s="1293"/>
      <c r="CB309" s="1293"/>
      <c r="CC309" s="1293"/>
      <c r="CD309" s="1293"/>
      <c r="CE309" s="1293"/>
      <c r="CF309" s="1293"/>
      <c r="CG309" s="1293"/>
      <c r="CH309" s="1293"/>
      <c r="CI309" s="1293"/>
      <c r="CJ309" s="1293"/>
      <c r="CK309" s="1293"/>
      <c r="CL309" s="1293"/>
      <c r="CM309" s="1293"/>
      <c r="CN309" s="1293"/>
      <c r="CO309" s="1293"/>
      <c r="CP309" s="1293"/>
      <c r="CQ309" s="1293"/>
      <c r="CR309" s="1293"/>
      <c r="CS309" s="1293"/>
      <c r="CT309" s="1293"/>
      <c r="CU309" s="1293"/>
      <c r="CV309" s="1293"/>
      <c r="CW309" s="1293"/>
      <c r="CX309" s="1293"/>
      <c r="CY309" s="2162">
        <v>56.123242428571416</v>
      </c>
      <c r="CZ309" s="1699">
        <f>AW309*(1+CZ358)</f>
        <v>56</v>
      </c>
      <c r="DA309" s="2165">
        <v>58</v>
      </c>
      <c r="DB309" s="2166">
        <v>58</v>
      </c>
      <c r="DC309" s="1293"/>
      <c r="DD309" s="1293"/>
      <c r="DE309" s="1293"/>
      <c r="DF309" s="1293"/>
      <c r="DG309" s="1293"/>
      <c r="DH309" s="1293"/>
      <c r="DI309" s="1293"/>
      <c r="DJ309" s="1293"/>
      <c r="DK309" s="1293"/>
      <c r="DL309" s="2147">
        <v>529.9067</v>
      </c>
    </row>
    <row r="310" spans="1:116" ht="16.5" hidden="1" outlineLevel="1" thickBot="1">
      <c r="A310" s="1293"/>
      <c r="B310" s="1982" t="str">
        <f>B47</f>
        <v>Costa Rica wireless</v>
      </c>
      <c r="C310" s="1699"/>
      <c r="D310" s="1699"/>
      <c r="E310" s="1699"/>
      <c r="F310" s="1699"/>
      <c r="G310" s="2039"/>
      <c r="H310" s="1699"/>
      <c r="I310" s="1699"/>
      <c r="J310" s="1699"/>
      <c r="K310" s="1699"/>
      <c r="L310" s="2039"/>
      <c r="M310" s="1699"/>
      <c r="N310" s="1699"/>
      <c r="O310" s="1699"/>
      <c r="P310" s="1699"/>
      <c r="Q310" s="2039"/>
      <c r="R310" s="1699"/>
      <c r="S310" s="1699"/>
      <c r="T310" s="1699"/>
      <c r="U310" s="1699"/>
      <c r="V310" s="2039"/>
      <c r="W310" s="1699"/>
      <c r="X310" s="1699"/>
      <c r="Y310" s="1699"/>
      <c r="Z310" s="1699"/>
      <c r="AA310" s="2039"/>
      <c r="AB310" s="1699"/>
      <c r="AC310" s="1699"/>
      <c r="AD310" s="1699"/>
      <c r="AE310" s="1699"/>
      <c r="AF310" s="1699"/>
      <c r="AG310" s="1699"/>
      <c r="AH310" s="1699"/>
      <c r="AI310" s="1699"/>
      <c r="AJ310" s="2039"/>
      <c r="AK310" s="1699"/>
      <c r="AL310" s="1699"/>
      <c r="AM310" s="1699"/>
      <c r="AN310" s="1699"/>
      <c r="AO310" s="2161"/>
      <c r="AP310" s="1699"/>
      <c r="AQ310" s="1699"/>
      <c r="AR310" s="1699"/>
      <c r="AS310" s="1699"/>
      <c r="AT310" s="2161"/>
      <c r="AU310" s="1698"/>
      <c r="AV310" s="1698"/>
      <c r="AW310" s="1698"/>
      <c r="AX310" s="1698"/>
      <c r="AY310" s="2161"/>
      <c r="AZ310" s="1698"/>
      <c r="BA310" s="1698"/>
      <c r="BB310" s="1698"/>
      <c r="BC310" s="1698"/>
      <c r="BD310" s="2161"/>
      <c r="BE310" s="1698"/>
      <c r="BF310" s="1698"/>
      <c r="BG310" s="1698"/>
      <c r="BH310" s="1698"/>
      <c r="BI310" s="2161"/>
      <c r="BJ310" s="1327">
        <f t="shared" si="366"/>
        <v>0</v>
      </c>
      <c r="BK310" s="1327">
        <f t="shared" si="367"/>
        <v>0</v>
      </c>
      <c r="BL310" s="1327">
        <f t="shared" si="368"/>
        <v>0</v>
      </c>
      <c r="BM310" s="1327">
        <f t="shared" si="372"/>
        <v>0</v>
      </c>
      <c r="BN310" s="2161"/>
      <c r="BO310" s="1699"/>
      <c r="BP310" s="1699"/>
      <c r="BQ310" s="1293"/>
      <c r="BR310" s="1293"/>
      <c r="BS310" s="1293"/>
      <c r="BT310" s="1293"/>
      <c r="BU310" s="1293"/>
      <c r="BV310" s="1293"/>
      <c r="BW310" s="1293"/>
      <c r="BX310" s="1293"/>
      <c r="BY310" s="1293"/>
      <c r="BZ310" s="1293"/>
      <c r="CA310" s="1293"/>
      <c r="CB310" s="1293"/>
      <c r="CC310" s="1293"/>
      <c r="CD310" s="1293"/>
      <c r="CE310" s="1293"/>
      <c r="CF310" s="1293"/>
      <c r="CG310" s="1293"/>
      <c r="CH310" s="1293"/>
      <c r="CI310" s="1293"/>
      <c r="CJ310" s="1293"/>
      <c r="CK310" s="1293"/>
      <c r="CL310" s="1293"/>
      <c r="CM310" s="1293"/>
      <c r="CN310" s="1293"/>
      <c r="CO310" s="1293"/>
      <c r="CP310" s="1293"/>
      <c r="CQ310" s="1293"/>
      <c r="CR310" s="1293"/>
      <c r="CS310" s="1293"/>
      <c r="CT310" s="1293"/>
      <c r="CU310" s="1293"/>
      <c r="CV310" s="1293"/>
      <c r="CW310" s="1293"/>
      <c r="CX310" s="1293"/>
      <c r="CY310" s="2162"/>
      <c r="CZ310" s="1699"/>
      <c r="DA310" s="2163"/>
      <c r="DB310" s="2162"/>
      <c r="DC310" s="1293"/>
      <c r="DD310" s="1293"/>
      <c r="DE310" s="1293"/>
      <c r="DF310" s="1293"/>
      <c r="DG310" s="1293"/>
      <c r="DH310" s="1293"/>
      <c r="DI310" s="1293"/>
      <c r="DJ310" s="1293"/>
      <c r="DK310" s="1293"/>
      <c r="DL310" s="2147">
        <v>530.21590000000003</v>
      </c>
    </row>
    <row r="311" spans="1:116" ht="16.5" hidden="1" outlineLevel="1" thickBot="1">
      <c r="A311" s="1293"/>
      <c r="B311" s="1982" t="str">
        <f>B48</f>
        <v>Nicaragua wireless</v>
      </c>
      <c r="C311" s="1699"/>
      <c r="D311" s="1699"/>
      <c r="E311" s="1699"/>
      <c r="F311" s="1699"/>
      <c r="G311" s="2039"/>
      <c r="H311" s="1699"/>
      <c r="I311" s="1699"/>
      <c r="J311" s="1699"/>
      <c r="K311" s="1699"/>
      <c r="L311" s="2039"/>
      <c r="M311" s="1699"/>
      <c r="N311" s="1699"/>
      <c r="O311" s="1699"/>
      <c r="P311" s="1699"/>
      <c r="Q311" s="2039"/>
      <c r="R311" s="1699"/>
      <c r="S311" s="1699"/>
      <c r="T311" s="1699"/>
      <c r="U311" s="1699"/>
      <c r="V311" s="2039"/>
      <c r="W311" s="1699"/>
      <c r="X311" s="1699"/>
      <c r="Y311" s="1699"/>
      <c r="Z311" s="1699"/>
      <c r="AA311" s="2039"/>
      <c r="AB311" s="1699"/>
      <c r="AC311" s="1699"/>
      <c r="AD311" s="1699"/>
      <c r="AE311" s="1699"/>
      <c r="AF311" s="1699"/>
      <c r="AG311" s="1699"/>
      <c r="AH311" s="1699"/>
      <c r="AI311" s="1699"/>
      <c r="AJ311" s="2039"/>
      <c r="AK311" s="1699">
        <f>AK48*AK259</f>
        <v>51</v>
      </c>
      <c r="AL311" s="1699">
        <f>AL48*AL259</f>
        <v>51</v>
      </c>
      <c r="AM311" s="1699">
        <f>AM48*AM259</f>
        <v>51</v>
      </c>
      <c r="AN311" s="1699">
        <f>AN48*AN259</f>
        <v>50</v>
      </c>
      <c r="AO311" s="2161"/>
      <c r="AP311" s="2153">
        <f>AP48*AP259</f>
        <v>50</v>
      </c>
      <c r="AQ311" s="2153">
        <f>AQ48*AQ259</f>
        <v>50</v>
      </c>
      <c r="AR311" s="2153">
        <f>AR48*AR259</f>
        <v>50</v>
      </c>
      <c r="AS311" s="2153">
        <f>AS48*AS259</f>
        <v>50</v>
      </c>
      <c r="AT311" s="2161"/>
      <c r="AU311" s="1699">
        <f>AU48*AU259</f>
        <v>50</v>
      </c>
      <c r="AV311" s="1699">
        <f>AV48*AV259</f>
        <v>50</v>
      </c>
      <c r="AW311" s="1699">
        <f>AW48*AW259</f>
        <v>50</v>
      </c>
      <c r="AX311" s="1699">
        <f>AX48*AX259</f>
        <v>50</v>
      </c>
      <c r="AY311" s="2161"/>
      <c r="AZ311" s="1699">
        <f>AZ48*AZ259</f>
        <v>50</v>
      </c>
      <c r="BA311" s="1699">
        <f>BA48*BA259</f>
        <v>50</v>
      </c>
      <c r="BB311" s="1699">
        <f>BB48*BB259</f>
        <v>50</v>
      </c>
      <c r="BC311" s="1699">
        <f>BC48*BC259</f>
        <v>50</v>
      </c>
      <c r="BD311" s="2161"/>
      <c r="BE311" s="1699">
        <f>BE48*BE259</f>
        <v>52</v>
      </c>
      <c r="BF311" s="1699">
        <f>BF48*BF259</f>
        <v>52</v>
      </c>
      <c r="BG311" s="2167">
        <v>52</v>
      </c>
      <c r="BH311" s="1698">
        <f>BI311-BE311-BF311-BG311</f>
        <v>-156</v>
      </c>
      <c r="BI311" s="2161"/>
      <c r="BJ311" s="1327">
        <f t="shared" si="366"/>
        <v>53.04</v>
      </c>
      <c r="BK311" s="1327">
        <f t="shared" si="367"/>
        <v>53.04</v>
      </c>
      <c r="BL311" s="1327">
        <f t="shared" si="368"/>
        <v>53.04</v>
      </c>
      <c r="BM311" s="1327">
        <f t="shared" si="372"/>
        <v>48.901926896519221</v>
      </c>
      <c r="BN311" s="2161">
        <f>'New CA'!M130</f>
        <v>208.0219268965192</v>
      </c>
      <c r="BO311" s="1699"/>
      <c r="BP311" s="1699"/>
      <c r="BQ311" s="1293"/>
      <c r="BR311" s="1293"/>
      <c r="BS311" s="1293"/>
      <c r="BT311" s="1293"/>
      <c r="BU311" s="1293"/>
      <c r="BV311" s="1293"/>
      <c r="BW311" s="1293"/>
      <c r="BX311" s="1293"/>
      <c r="BY311" s="1293"/>
      <c r="BZ311" s="1293"/>
      <c r="CA311" s="1293"/>
      <c r="CB311" s="1293"/>
      <c r="CC311" s="1293"/>
      <c r="CD311" s="1293"/>
      <c r="CE311" s="1293"/>
      <c r="CF311" s="1293"/>
      <c r="CG311" s="1293"/>
      <c r="CH311" s="1293"/>
      <c r="CI311" s="1293"/>
      <c r="CJ311" s="1293"/>
      <c r="CK311" s="1293"/>
      <c r="CL311" s="1293"/>
      <c r="CM311" s="1293"/>
      <c r="CN311" s="1293"/>
      <c r="CO311" s="1293"/>
      <c r="CP311" s="1293"/>
      <c r="CQ311" s="1293"/>
      <c r="CR311" s="1293"/>
      <c r="CS311" s="1293"/>
      <c r="CT311" s="1293"/>
      <c r="CU311" s="1293"/>
      <c r="CV311" s="1293"/>
      <c r="CW311" s="1293"/>
      <c r="CX311" s="1293"/>
      <c r="CY311" s="2162">
        <v>50.02108355434541</v>
      </c>
      <c r="CZ311" s="2053">
        <v>50</v>
      </c>
      <c r="DA311" s="2168">
        <v>52</v>
      </c>
      <c r="DB311" s="2169">
        <v>52</v>
      </c>
      <c r="DC311" s="1293"/>
      <c r="DD311" s="1293"/>
      <c r="DE311" s="1293"/>
      <c r="DF311" s="1293"/>
      <c r="DG311" s="1293"/>
      <c r="DH311" s="1293"/>
      <c r="DI311" s="1293"/>
      <c r="DJ311" s="1293"/>
      <c r="DK311" s="1293"/>
      <c r="DL311" s="2147">
        <v>527.79920000000004</v>
      </c>
    </row>
    <row r="312" spans="1:116" ht="16.5" collapsed="1" thickBot="1">
      <c r="A312" s="1293"/>
      <c r="B312" s="1293" t="str">
        <f>B51</f>
        <v>Bolivia</v>
      </c>
      <c r="C312" s="1699">
        <f t="shared" ref="C312:P312" si="385">C51*C260</f>
        <v>798.75617390999946</v>
      </c>
      <c r="D312" s="1699">
        <f t="shared" si="385"/>
        <v>791.77227844999663</v>
      </c>
      <c r="E312" s="1699">
        <f t="shared" si="385"/>
        <v>827.19359835000068</v>
      </c>
      <c r="F312" s="1699">
        <f t="shared" si="385"/>
        <v>863.26128030999951</v>
      </c>
      <c r="G312" s="2039">
        <f t="shared" si="385"/>
        <v>3280.9833310199951</v>
      </c>
      <c r="H312" s="1699">
        <f t="shared" si="385"/>
        <v>860.76810478999869</v>
      </c>
      <c r="I312" s="1699">
        <f t="shared" si="385"/>
        <v>845.18146506999415</v>
      </c>
      <c r="J312" s="1699">
        <f t="shared" si="385"/>
        <v>887.84106751000343</v>
      </c>
      <c r="K312" s="1699">
        <f t="shared" si="385"/>
        <v>936.75065202000053</v>
      </c>
      <c r="L312" s="2039">
        <f t="shared" si="385"/>
        <v>3530.541289389997</v>
      </c>
      <c r="M312" s="1699">
        <f t="shared" si="385"/>
        <v>907.97828424000215</v>
      </c>
      <c r="N312" s="1699">
        <f t="shared" si="385"/>
        <v>885.19949097000347</v>
      </c>
      <c r="O312" s="1699">
        <f t="shared" si="385"/>
        <v>905.21407390000286</v>
      </c>
      <c r="P312" s="1699">
        <f t="shared" si="385"/>
        <v>925.94</v>
      </c>
      <c r="Q312" s="2039">
        <f>SUM(M312:P312)</f>
        <v>3624.3318491100085</v>
      </c>
      <c r="R312" s="1699">
        <f>R51*R260</f>
        <v>912.12</v>
      </c>
      <c r="S312" s="1699">
        <f>S51*S260</f>
        <v>905.21</v>
      </c>
      <c r="T312" s="1699">
        <f>T51*T260</f>
        <v>960.49</v>
      </c>
      <c r="U312" s="1699">
        <f>U51*U260</f>
        <v>1015.77</v>
      </c>
      <c r="V312" s="2039">
        <f>SUM(R312:U312)</f>
        <v>3793.5899999999997</v>
      </c>
      <c r="W312" s="1699">
        <f t="shared" ref="W312:BF312" si="386">W51*W260</f>
        <v>947.17521384615429</v>
      </c>
      <c r="X312" s="1699">
        <f t="shared" si="386"/>
        <v>1029.5900000000011</v>
      </c>
      <c r="Y312" s="1699">
        <f t="shared" si="386"/>
        <v>1071.0500000000013</v>
      </c>
      <c r="Z312" s="1699">
        <f t="shared" si="386"/>
        <v>1077.96</v>
      </c>
      <c r="AA312" s="2039">
        <f t="shared" si="386"/>
        <v>4119.3</v>
      </c>
      <c r="AB312" s="1699">
        <f t="shared" si="386"/>
        <v>1061.06</v>
      </c>
      <c r="AC312" s="1699">
        <f t="shared" si="386"/>
        <v>1061.06</v>
      </c>
      <c r="AD312" s="1699">
        <f t="shared" si="386"/>
        <v>1077.96</v>
      </c>
      <c r="AE312" s="1699">
        <f t="shared" si="386"/>
        <v>1077.96</v>
      </c>
      <c r="AF312" s="1699">
        <f t="shared" si="386"/>
        <v>1091.78</v>
      </c>
      <c r="AG312" s="1699">
        <f t="shared" si="386"/>
        <v>1091.78</v>
      </c>
      <c r="AH312" s="1699">
        <f t="shared" si="386"/>
        <v>1077.96</v>
      </c>
      <c r="AI312" s="1699">
        <f t="shared" si="386"/>
        <v>1077.96</v>
      </c>
      <c r="AJ312" s="2039">
        <f t="shared" si="386"/>
        <v>4311.84</v>
      </c>
      <c r="AK312" s="1699">
        <f t="shared" si="386"/>
        <v>1069.3531076923073</v>
      </c>
      <c r="AL312" s="1699">
        <f t="shared" si="386"/>
        <v>905.45889999999997</v>
      </c>
      <c r="AM312" s="1699">
        <f t="shared" si="386"/>
        <v>974.5779</v>
      </c>
      <c r="AN312" s="1699">
        <f t="shared" si="386"/>
        <v>1029.8731</v>
      </c>
      <c r="AO312" s="2161">
        <f t="shared" si="386"/>
        <v>3980.16</v>
      </c>
      <c r="AP312" s="1699">
        <f t="shared" si="386"/>
        <v>1043.0669468750002</v>
      </c>
      <c r="AQ312" s="1699">
        <f t="shared" si="386"/>
        <v>1041.6216953846156</v>
      </c>
      <c r="AR312" s="1699">
        <f t="shared" si="386"/>
        <v>1054.9273499999993</v>
      </c>
      <c r="AS312" s="1699">
        <f t="shared" si="386"/>
        <v>1078.0562</v>
      </c>
      <c r="AT312" s="2161">
        <f t="shared" si="386"/>
        <v>4222.5128078103135</v>
      </c>
      <c r="AU312" s="1698">
        <f t="shared" si="386"/>
        <v>1045.3647999999996</v>
      </c>
      <c r="AV312" s="1698">
        <f t="shared" si="386"/>
        <v>1059.3151299692313</v>
      </c>
      <c r="AW312" s="1698">
        <f t="shared" si="386"/>
        <v>1045.76</v>
      </c>
      <c r="AX312" s="1698">
        <f t="shared" si="386"/>
        <v>1032.585</v>
      </c>
      <c r="AY312" s="2161">
        <f t="shared" si="386"/>
        <v>4183.046743030769</v>
      </c>
      <c r="AZ312" s="1698">
        <f t="shared" si="386"/>
        <v>1032.585</v>
      </c>
      <c r="BA312" s="1698">
        <f t="shared" si="386"/>
        <v>1032.3314567307693</v>
      </c>
      <c r="BB312" s="1698">
        <f t="shared" si="386"/>
        <v>1039.98955</v>
      </c>
      <c r="BC312" s="1698">
        <f t="shared" si="386"/>
        <v>1045.2273300000002</v>
      </c>
      <c r="BD312" s="2161">
        <f t="shared" si="386"/>
        <v>4150.1095172232699</v>
      </c>
      <c r="BE312" s="1698">
        <f t="shared" si="386"/>
        <v>1036.5</v>
      </c>
      <c r="BF312" s="1698">
        <f t="shared" si="386"/>
        <v>1036.5</v>
      </c>
      <c r="BG312" s="1698">
        <f>(1+BG361)*BB312</f>
        <v>1051.4294350499999</v>
      </c>
      <c r="BH312" s="1698">
        <f>BI312-BE312-BF312-BG312</f>
        <v>1070.4961289500002</v>
      </c>
      <c r="BI312" s="2161">
        <f t="shared" ref="BI312" si="387">BI51*BI260</f>
        <v>4194.9255640000001</v>
      </c>
      <c r="BJ312" s="1327">
        <f t="shared" si="366"/>
        <v>1062.4124999999999</v>
      </c>
      <c r="BK312" s="1327">
        <f t="shared" si="367"/>
        <v>1062.4124999999999</v>
      </c>
      <c r="BL312" s="1327">
        <f t="shared" si="368"/>
        <v>1072.4580237509999</v>
      </c>
      <c r="BM312" s="1327">
        <f t="shared" si="372"/>
        <v>1084.6769762490003</v>
      </c>
      <c r="BN312" s="2161">
        <f>'New split'!O190</f>
        <v>4281.96</v>
      </c>
      <c r="BO312" s="1699"/>
      <c r="BP312" s="1699"/>
      <c r="BQ312" s="1293"/>
      <c r="BR312" s="1293"/>
      <c r="BS312" s="2029" t="s">
        <v>9153</v>
      </c>
      <c r="BT312" s="1293"/>
      <c r="BU312" s="1293"/>
      <c r="BV312" s="1293"/>
      <c r="BW312" s="1293"/>
      <c r="BX312" s="1293"/>
      <c r="BY312" s="1293"/>
      <c r="BZ312" s="1293"/>
      <c r="CA312" s="1293"/>
      <c r="CB312" s="1293"/>
      <c r="CC312" s="1293"/>
      <c r="CD312" s="1293"/>
      <c r="CE312" s="1293"/>
      <c r="CF312" s="1293"/>
      <c r="CG312" s="1293"/>
      <c r="CH312" s="1293"/>
      <c r="CI312" s="1293"/>
      <c r="CJ312" s="1293"/>
      <c r="CK312" s="1293"/>
      <c r="CL312" s="1293"/>
      <c r="CM312" s="1293"/>
      <c r="CN312" s="1293"/>
      <c r="CO312" s="1293"/>
      <c r="CP312" s="1293"/>
      <c r="CQ312" s="1293"/>
      <c r="CR312" s="1293"/>
      <c r="CS312" s="1293"/>
      <c r="CT312" s="1293"/>
      <c r="CU312" s="1293"/>
      <c r="CV312" s="1293"/>
      <c r="CW312" s="1293"/>
      <c r="CX312" s="1293"/>
      <c r="CY312" s="2162">
        <v>1021.7104318730696</v>
      </c>
      <c r="CZ312" s="1699">
        <f>AW312*(1+CZ361)</f>
        <v>1030.0735999999999</v>
      </c>
      <c r="DA312" s="2163">
        <v>1029.234462360577</v>
      </c>
      <c r="DB312" s="2162">
        <v>1042.0695291</v>
      </c>
      <c r="DC312" s="1293"/>
      <c r="DD312" s="1293"/>
      <c r="DE312" s="1293"/>
      <c r="DF312" s="1293"/>
      <c r="DG312" s="1293"/>
      <c r="DH312" s="1293"/>
      <c r="DI312" s="1293"/>
      <c r="DJ312" s="1293"/>
      <c r="DK312" s="1293"/>
      <c r="DL312" s="2147">
        <v>528.49069999999995</v>
      </c>
    </row>
    <row r="313" spans="1:116" ht="16.5" thickBot="1">
      <c r="A313" s="1293"/>
      <c r="B313" s="1293" t="str">
        <f>B52</f>
        <v>Colombia</v>
      </c>
      <c r="C313" s="1699">
        <f t="shared" ref="C313:P313" si="388">C52*C261/1000</f>
        <v>462.49568334456751</v>
      </c>
      <c r="D313" s="1699">
        <f t="shared" si="388"/>
        <v>486.00939586798137</v>
      </c>
      <c r="E313" s="1699">
        <f t="shared" si="388"/>
        <v>850.5622328399179</v>
      </c>
      <c r="F313" s="1699">
        <f t="shared" si="388"/>
        <v>1181.4758571471389</v>
      </c>
      <c r="G313" s="2039">
        <f t="shared" si="388"/>
        <v>2966.9497409635114</v>
      </c>
      <c r="H313" s="1699">
        <f t="shared" si="388"/>
        <v>1161.9412804461135</v>
      </c>
      <c r="I313" s="1699">
        <f t="shared" si="388"/>
        <v>1196.6647319069411</v>
      </c>
      <c r="J313" s="1699">
        <f t="shared" si="388"/>
        <v>1223.5784498253352</v>
      </c>
      <c r="K313" s="1699">
        <f t="shared" si="388"/>
        <v>1266.1659049372829</v>
      </c>
      <c r="L313" s="2039">
        <f t="shared" si="388"/>
        <v>4878.2204616042773</v>
      </c>
      <c r="M313" s="1699">
        <f t="shared" si="388"/>
        <v>1174.2574284945606</v>
      </c>
      <c r="N313" s="1699">
        <f t="shared" si="388"/>
        <v>1206.1198099787521</v>
      </c>
      <c r="O313" s="1699">
        <f t="shared" si="388"/>
        <v>1185.863921952651</v>
      </c>
      <c r="P313" s="1699">
        <f t="shared" si="388"/>
        <v>1225.326</v>
      </c>
      <c r="Q313" s="2039">
        <f>SUM(M313:P313)</f>
        <v>4791.5671604259642</v>
      </c>
      <c r="R313" s="1699">
        <f t="shared" ref="R313:U314" si="389">R52*R261/1000</f>
        <v>1186.0303499999998</v>
      </c>
      <c r="S313" s="1699">
        <f t="shared" si="389"/>
        <v>1167.0119999999999</v>
      </c>
      <c r="T313" s="1699">
        <f t="shared" si="389"/>
        <v>1199.731</v>
      </c>
      <c r="U313" s="1699">
        <f t="shared" si="389"/>
        <v>1226.835</v>
      </c>
      <c r="V313" s="2039">
        <f>SUM(R313:U313)</f>
        <v>4779.6083499999995</v>
      </c>
      <c r="W313" s="1699">
        <f t="shared" ref="W313:BF313" si="390">W52*W261/1000</f>
        <v>1125.4601513846146</v>
      </c>
      <c r="X313" s="1699">
        <f t="shared" si="390"/>
        <v>1150.6338484615383</v>
      </c>
      <c r="Y313" s="1699">
        <f t="shared" si="390"/>
        <v>1160.0229846153848</v>
      </c>
      <c r="Z313" s="1699">
        <f t="shared" si="390"/>
        <v>1146.0920000000001</v>
      </c>
      <c r="AA313" s="2039">
        <f t="shared" si="390"/>
        <v>4533.2070000000003</v>
      </c>
      <c r="AB313" s="1699">
        <f t="shared" si="390"/>
        <v>1164.72092</v>
      </c>
      <c r="AC313" s="1699">
        <f t="shared" si="390"/>
        <v>1154.048</v>
      </c>
      <c r="AD313" s="1699">
        <f t="shared" si="390"/>
        <v>1152.6849999999999</v>
      </c>
      <c r="AE313" s="1699">
        <f t="shared" si="390"/>
        <v>1150.5550000000001</v>
      </c>
      <c r="AF313" s="1699">
        <f t="shared" si="390"/>
        <v>1175.1322050000001</v>
      </c>
      <c r="AG313" s="1699">
        <f t="shared" si="390"/>
        <v>1168.479</v>
      </c>
      <c r="AH313" s="1699">
        <f t="shared" si="390"/>
        <v>1221.815515</v>
      </c>
      <c r="AI313" s="1699">
        <f t="shared" si="390"/>
        <v>1218.6320000000001</v>
      </c>
      <c r="AJ313" s="2039">
        <f t="shared" si="390"/>
        <v>4682.6400000000003</v>
      </c>
      <c r="AK313" s="1699">
        <f t="shared" si="390"/>
        <v>1186.34058</v>
      </c>
      <c r="AL313" s="1699">
        <f t="shared" si="390"/>
        <v>1117.8597600000001</v>
      </c>
      <c r="AM313" s="1699">
        <f t="shared" si="390"/>
        <v>1144.1690000000001</v>
      </c>
      <c r="AN313" s="1699">
        <f t="shared" si="390"/>
        <v>1204.9949999999999</v>
      </c>
      <c r="AO313" s="2161">
        <f t="shared" si="390"/>
        <v>4716.2420000000002</v>
      </c>
      <c r="AP313" s="1699">
        <f t="shared" si="390"/>
        <v>1206.46</v>
      </c>
      <c r="AQ313" s="1699">
        <f t="shared" si="390"/>
        <v>1210.8810000000001</v>
      </c>
      <c r="AR313" s="1699">
        <f t="shared" si="390"/>
        <v>1234.0250000000001</v>
      </c>
      <c r="AS313" s="1699">
        <f t="shared" si="390"/>
        <v>1281.06</v>
      </c>
      <c r="AT313" s="2161">
        <f t="shared" si="390"/>
        <v>4941.3810848301282</v>
      </c>
      <c r="AU313" s="1698">
        <f t="shared" si="390"/>
        <v>1306.088</v>
      </c>
      <c r="AV313" s="1698">
        <f t="shared" si="390"/>
        <v>1314.9804449353846</v>
      </c>
      <c r="AW313" s="1698">
        <f t="shared" si="390"/>
        <v>1325.019</v>
      </c>
      <c r="AX313" s="1698">
        <f t="shared" si="390"/>
        <v>1356.1379999999999</v>
      </c>
      <c r="AY313" s="2161">
        <f t="shared" si="390"/>
        <v>5334.5688649261547</v>
      </c>
      <c r="AZ313" s="1698">
        <f t="shared" si="390"/>
        <v>1359.0719999999999</v>
      </c>
      <c r="BA313" s="1698">
        <f t="shared" si="390"/>
        <v>1354.47</v>
      </c>
      <c r="BB313" s="1698">
        <f t="shared" si="390"/>
        <v>1354.2344670000002</v>
      </c>
      <c r="BC313" s="1698">
        <f t="shared" si="390"/>
        <v>1383.1308469120002</v>
      </c>
      <c r="BD313" s="2161">
        <f t="shared" si="390"/>
        <v>5481.3829868160001</v>
      </c>
      <c r="BE313" s="1698">
        <f t="shared" si="390"/>
        <v>1342.7836150000001</v>
      </c>
      <c r="BF313" s="1698">
        <f t="shared" si="390"/>
        <v>1365.2801750000001</v>
      </c>
      <c r="BG313" s="1698">
        <f>(1+BG362)*BB313</f>
        <v>1375.9022184720002</v>
      </c>
      <c r="BH313" s="1698">
        <f>BI313-BE313-BF313-BG313</f>
        <v>1384.9195680278121</v>
      </c>
      <c r="BI313" s="2161">
        <f t="shared" ref="BI313" si="391">BI52*BI261/1000</f>
        <v>5468.8855764998125</v>
      </c>
      <c r="BJ313" s="1327">
        <f t="shared" si="366"/>
        <v>1369.6392873</v>
      </c>
      <c r="BK313" s="1327">
        <f t="shared" si="367"/>
        <v>1392.5857785000001</v>
      </c>
      <c r="BL313" s="1327">
        <f t="shared" si="368"/>
        <v>1403.4202628414403</v>
      </c>
      <c r="BM313" s="1327">
        <f t="shared" si="372"/>
        <v>1421.29467135856</v>
      </c>
      <c r="BN313" s="2161">
        <f>'New split'!O191</f>
        <v>5586.94</v>
      </c>
      <c r="BO313" s="1699"/>
      <c r="BP313" s="1699"/>
      <c r="BQ313" s="1293"/>
      <c r="BR313" s="1293"/>
      <c r="BS313" s="2029" t="s">
        <v>9154</v>
      </c>
      <c r="BT313" s="1293"/>
      <c r="BU313" s="1293"/>
      <c r="BV313" s="1293"/>
      <c r="BW313" s="1293"/>
      <c r="BX313" s="1293"/>
      <c r="BY313" s="1293"/>
      <c r="BZ313" s="1293"/>
      <c r="CA313" s="1293"/>
      <c r="CB313" s="1293"/>
      <c r="CC313" s="1293"/>
      <c r="CD313" s="1293"/>
      <c r="CE313" s="1293"/>
      <c r="CF313" s="1293"/>
      <c r="CG313" s="1293"/>
      <c r="CH313" s="1293"/>
      <c r="CI313" s="1293"/>
      <c r="CJ313" s="1293"/>
      <c r="CK313" s="1293"/>
      <c r="CL313" s="1293"/>
      <c r="CM313" s="1293"/>
      <c r="CN313" s="1293"/>
      <c r="CO313" s="1293"/>
      <c r="CP313" s="1293"/>
      <c r="CQ313" s="1293"/>
      <c r="CR313" s="1293"/>
      <c r="CS313" s="1293"/>
      <c r="CT313" s="1293"/>
      <c r="CU313" s="1293"/>
      <c r="CV313" s="1293"/>
      <c r="CW313" s="1293"/>
      <c r="CX313" s="1293"/>
      <c r="CY313" s="2162">
        <v>1397.2880904999993</v>
      </c>
      <c r="CZ313" s="1699">
        <f>AW313*(1+CZ362)</f>
        <v>1351.51938</v>
      </c>
      <c r="DA313" s="2163">
        <v>1368.0146999999999</v>
      </c>
      <c r="DB313" s="2162">
        <v>1359.6514048680003</v>
      </c>
      <c r="DC313" s="1293"/>
      <c r="DD313" s="1293"/>
      <c r="DE313" s="1293"/>
      <c r="DF313" s="1293"/>
      <c r="DG313" s="1293"/>
      <c r="DH313" s="1293"/>
      <c r="DI313" s="1293"/>
      <c r="DJ313" s="1293"/>
      <c r="DK313" s="1293"/>
      <c r="DL313" s="2147">
        <v>532.00829999999996</v>
      </c>
    </row>
    <row r="314" spans="1:116" ht="16.5" thickBot="1">
      <c r="A314" s="1293"/>
      <c r="B314" s="1293" t="str">
        <f>B53</f>
        <v>Paraguay</v>
      </c>
      <c r="C314" s="1699">
        <f t="shared" ref="C314:P314" si="392">C53*C262/1000</f>
        <v>783.71543342853397</v>
      </c>
      <c r="D314" s="1699">
        <f t="shared" si="392"/>
        <v>774.68907234942458</v>
      </c>
      <c r="E314" s="1699">
        <f t="shared" si="392"/>
        <v>774.68222788712137</v>
      </c>
      <c r="F314" s="1699">
        <f t="shared" si="392"/>
        <v>821.40882493135757</v>
      </c>
      <c r="G314" s="2039">
        <f t="shared" si="392"/>
        <v>3158.8059703026838</v>
      </c>
      <c r="H314" s="1699">
        <f t="shared" si="392"/>
        <v>761.13369381749101</v>
      </c>
      <c r="I314" s="1699">
        <f t="shared" si="392"/>
        <v>770.62128336449325</v>
      </c>
      <c r="J314" s="1699">
        <f t="shared" si="392"/>
        <v>810.09693004670089</v>
      </c>
      <c r="K314" s="1699">
        <f t="shared" si="392"/>
        <v>821.43630947713871</v>
      </c>
      <c r="L314" s="2039">
        <f t="shared" si="392"/>
        <v>3171.1557048411669</v>
      </c>
      <c r="M314" s="1699">
        <f t="shared" si="392"/>
        <v>814.7145622750337</v>
      </c>
      <c r="N314" s="1699">
        <f t="shared" si="392"/>
        <v>823.00072014172815</v>
      </c>
      <c r="O314" s="1699">
        <f t="shared" si="392"/>
        <v>833.97406116867978</v>
      </c>
      <c r="P314" s="1699">
        <f t="shared" si="392"/>
        <v>835.3273200000001</v>
      </c>
      <c r="Q314" s="2039">
        <f>SUM(M314:P314)</f>
        <v>3307.0166635854421</v>
      </c>
      <c r="R314" s="1699">
        <f t="shared" si="389"/>
        <v>843.59925999999996</v>
      </c>
      <c r="S314" s="1699">
        <f t="shared" si="389"/>
        <v>855.57600000000002</v>
      </c>
      <c r="T314" s="1699">
        <f t="shared" si="389"/>
        <v>885.90599999999995</v>
      </c>
      <c r="U314" s="1699">
        <f t="shared" si="389"/>
        <v>914.00400000000002</v>
      </c>
      <c r="V314" s="2039">
        <f>SUM(R314:U314)</f>
        <v>3499.0852599999998</v>
      </c>
      <c r="W314" s="1699">
        <f t="shared" ref="W314:BF314" si="393">W53*W262/1000</f>
        <v>892.57993846153829</v>
      </c>
      <c r="X314" s="1699">
        <f t="shared" si="393"/>
        <v>893.51346461538435</v>
      </c>
      <c r="Y314" s="1699">
        <f t="shared" si="393"/>
        <v>919.38129692307734</v>
      </c>
      <c r="Z314" s="1699">
        <f t="shared" si="393"/>
        <v>915.68399999999997</v>
      </c>
      <c r="AA314" s="2039">
        <f t="shared" si="393"/>
        <v>3608.0880000000002</v>
      </c>
      <c r="AB314" s="1699">
        <f t="shared" si="393"/>
        <v>886.36599999999999</v>
      </c>
      <c r="AC314" s="1699">
        <f t="shared" si="393"/>
        <v>886.36599999999999</v>
      </c>
      <c r="AD314" s="1699">
        <f t="shared" si="393"/>
        <v>885.08600000000001</v>
      </c>
      <c r="AE314" s="1699">
        <f t="shared" si="393"/>
        <v>889.20399999999995</v>
      </c>
      <c r="AF314" s="1699">
        <f t="shared" si="393"/>
        <v>874.94024999999999</v>
      </c>
      <c r="AG314" s="1699">
        <f t="shared" si="393"/>
        <v>865.74</v>
      </c>
      <c r="AH314" s="1699">
        <f t="shared" si="393"/>
        <v>900.69</v>
      </c>
      <c r="AI314" s="1699">
        <f t="shared" si="393"/>
        <v>903.14</v>
      </c>
      <c r="AJ314" s="2039">
        <f t="shared" si="393"/>
        <v>3529.5070000000001</v>
      </c>
      <c r="AK314" s="1699">
        <f t="shared" si="393"/>
        <v>872.90949999999998</v>
      </c>
      <c r="AL314" s="1699">
        <f t="shared" si="393"/>
        <v>848.57600000000002</v>
      </c>
      <c r="AM314" s="1699">
        <f t="shared" si="393"/>
        <v>864.77599999999995</v>
      </c>
      <c r="AN314" s="1699">
        <f t="shared" si="393"/>
        <v>899.072</v>
      </c>
      <c r="AO314" s="2161">
        <f t="shared" si="393"/>
        <v>3479.78</v>
      </c>
      <c r="AP314" s="1699">
        <f t="shared" si="393"/>
        <v>864.04200000000003</v>
      </c>
      <c r="AQ314" s="1699">
        <f t="shared" si="393"/>
        <v>851.529</v>
      </c>
      <c r="AR314" s="1699">
        <f t="shared" si="393"/>
        <v>907.23599999999999</v>
      </c>
      <c r="AS314" s="1699">
        <f t="shared" si="393"/>
        <v>926.64</v>
      </c>
      <c r="AT314" s="2161">
        <f t="shared" si="393"/>
        <v>3556.6593717766609</v>
      </c>
      <c r="AU314" s="1698">
        <f t="shared" si="393"/>
        <v>906.65240000000028</v>
      </c>
      <c r="AV314" s="1698">
        <f t="shared" si="393"/>
        <v>903.06127653846102</v>
      </c>
      <c r="AW314" s="1698">
        <f t="shared" si="393"/>
        <v>935.01</v>
      </c>
      <c r="AX314" s="1698">
        <f t="shared" si="393"/>
        <v>964.13</v>
      </c>
      <c r="AY314" s="2161">
        <f t="shared" si="393"/>
        <v>3708.5550836730768</v>
      </c>
      <c r="AZ314" s="1698">
        <f t="shared" si="393"/>
        <v>949.74</v>
      </c>
      <c r="BA314" s="1698">
        <f t="shared" si="393"/>
        <v>991.33199999999999</v>
      </c>
      <c r="BB314" s="1698">
        <f t="shared" si="393"/>
        <v>1002.0024229999999</v>
      </c>
      <c r="BC314" s="1698">
        <f t="shared" si="393"/>
        <v>1013.5720817780001</v>
      </c>
      <c r="BD314" s="2161">
        <f t="shared" si="393"/>
        <v>3956.2063519940002</v>
      </c>
      <c r="BE314" s="1698">
        <f t="shared" si="393"/>
        <v>1002.2471324999999</v>
      </c>
      <c r="BF314" s="1698">
        <f t="shared" si="393"/>
        <v>1003.91527</v>
      </c>
      <c r="BG314" s="1698">
        <f>(1+BG363)*BB314</f>
        <v>1013.0244496529998</v>
      </c>
      <c r="BH314" s="1698">
        <f>BI314-BE314-BF314-BG314</f>
        <v>1066.3560573706254</v>
      </c>
      <c r="BI314" s="2161">
        <f t="shared" ref="BI314" si="394">BI53*BI262/1000</f>
        <v>4085.5429095236254</v>
      </c>
      <c r="BJ314" s="1327">
        <f t="shared" si="366"/>
        <v>1032.314546475</v>
      </c>
      <c r="BK314" s="1327">
        <f t="shared" si="367"/>
        <v>1029.0131517499999</v>
      </c>
      <c r="BL314" s="1327">
        <f t="shared" si="368"/>
        <v>1038.3500608943248</v>
      </c>
      <c r="BM314" s="1327">
        <f t="shared" ref="BM314" si="395">BN314-BJ314-BK314-BL314</f>
        <v>1071.102240880675</v>
      </c>
      <c r="BN314" s="2161">
        <f>'New split'!O192</f>
        <v>4170.78</v>
      </c>
      <c r="BO314" s="1699"/>
      <c r="BP314" s="1699"/>
      <c r="BQ314" s="1293"/>
      <c r="BR314" s="1293"/>
      <c r="BS314" s="1293"/>
      <c r="BT314" s="1293"/>
      <c r="BU314" s="1293"/>
      <c r="BV314" s="1293"/>
      <c r="BW314" s="1293"/>
      <c r="BX314" s="1293"/>
      <c r="BY314" s="1293"/>
      <c r="BZ314" s="1293"/>
      <c r="CA314" s="1293"/>
      <c r="CB314" s="1293"/>
      <c r="CC314" s="1293"/>
      <c r="CD314" s="1293"/>
      <c r="CE314" s="1293"/>
      <c r="CF314" s="1293"/>
      <c r="CG314" s="1293"/>
      <c r="CH314" s="1293"/>
      <c r="CI314" s="1293"/>
      <c r="CJ314" s="1293"/>
      <c r="CK314" s="1293"/>
      <c r="CL314" s="1293"/>
      <c r="CM314" s="1293"/>
      <c r="CN314" s="1293"/>
      <c r="CO314" s="1293"/>
      <c r="CP314" s="1293"/>
      <c r="CQ314" s="1293"/>
      <c r="CR314" s="1293"/>
      <c r="CS314" s="1293"/>
      <c r="CT314" s="1293"/>
      <c r="CU314" s="1293"/>
      <c r="CV314" s="1293"/>
      <c r="CW314" s="1293"/>
      <c r="CX314" s="1293"/>
      <c r="CY314" s="2162">
        <v>1042.2768849999998</v>
      </c>
      <c r="CZ314" s="1698">
        <f>AW314*(1+CZ363)</f>
        <v>1019.1609000000001</v>
      </c>
      <c r="DA314" s="2163">
        <v>1030.9852800000001</v>
      </c>
      <c r="DB314" s="2162">
        <v>1032.0624956899999</v>
      </c>
      <c r="DC314" s="1293"/>
      <c r="DD314" s="1293"/>
      <c r="DE314" s="1293"/>
      <c r="DF314" s="1293"/>
      <c r="DG314" s="1293"/>
      <c r="DH314" s="1293"/>
      <c r="DI314" s="1293"/>
      <c r="DJ314" s="1293"/>
      <c r="DK314" s="1293"/>
      <c r="DL314" s="2147">
        <v>532.00829999999996</v>
      </c>
    </row>
    <row r="315" spans="1:116" ht="16.5" thickBot="1">
      <c r="A315" s="1293"/>
      <c r="B315" s="1293"/>
      <c r="C315" s="1699"/>
      <c r="D315" s="1699"/>
      <c r="E315" s="1699"/>
      <c r="F315" s="1699"/>
      <c r="G315" s="2039"/>
      <c r="H315" s="1699"/>
      <c r="I315" s="1699"/>
      <c r="J315" s="1699"/>
      <c r="K315" s="1699"/>
      <c r="L315" s="2039"/>
      <c r="M315" s="1699"/>
      <c r="N315" s="1699"/>
      <c r="O315" s="1724"/>
      <c r="P315" s="1724"/>
      <c r="Q315" s="2039"/>
      <c r="R315" s="1724"/>
      <c r="S315" s="1724"/>
      <c r="T315" s="1724"/>
      <c r="U315" s="1724"/>
      <c r="V315" s="2039"/>
      <c r="W315" s="1724"/>
      <c r="X315" s="1724"/>
      <c r="Y315" s="1724"/>
      <c r="Z315" s="1724"/>
      <c r="AA315" s="2039"/>
      <c r="AB315" s="1699"/>
      <c r="AC315" s="1699"/>
      <c r="AD315" s="1699"/>
      <c r="AE315" s="1699"/>
      <c r="AF315" s="1699"/>
      <c r="AG315" s="1699"/>
      <c r="AH315" s="1699"/>
      <c r="AI315" s="1699"/>
      <c r="AJ315" s="2039"/>
      <c r="AK315" s="1699"/>
      <c r="AL315" s="1699"/>
      <c r="AM315" s="1699"/>
      <c r="AN315" s="1699"/>
      <c r="AO315" s="2039"/>
      <c r="AP315" s="1699"/>
      <c r="AQ315" s="1699"/>
      <c r="AR315" s="1699"/>
      <c r="AS315" s="1699"/>
      <c r="AT315" s="2039"/>
      <c r="AU315" s="1699"/>
      <c r="AV315" s="1699"/>
      <c r="AW315" s="1699"/>
      <c r="AX315" s="1699"/>
      <c r="AY315" s="2039"/>
      <c r="AZ315" s="1699"/>
      <c r="BA315" s="1699"/>
      <c r="BB315" s="1699"/>
      <c r="BC315" s="1699"/>
      <c r="BD315" s="2039"/>
      <c r="BE315" s="1699"/>
      <c r="BF315" s="1699"/>
      <c r="BG315" s="1699"/>
      <c r="BH315" s="1699"/>
      <c r="BI315" s="2039"/>
      <c r="BJ315" s="1699"/>
      <c r="BK315" s="1699"/>
      <c r="BL315" s="1699"/>
      <c r="BM315" s="1699"/>
      <c r="BN315" s="2039"/>
      <c r="BO315" s="1699"/>
      <c r="BP315" s="1699"/>
      <c r="BQ315" s="1293"/>
      <c r="BR315" s="1293"/>
      <c r="BS315" s="1293"/>
      <c r="BT315" s="1293"/>
      <c r="BU315" s="1293"/>
      <c r="BV315" s="1293"/>
      <c r="BW315" s="1293"/>
      <c r="BX315" s="1293"/>
      <c r="BY315" s="1293"/>
      <c r="BZ315" s="1293"/>
      <c r="CA315" s="1293"/>
      <c r="CB315" s="1293"/>
      <c r="CC315" s="1293"/>
      <c r="CD315" s="1293"/>
      <c r="CE315" s="1293"/>
      <c r="CF315" s="1293"/>
      <c r="CG315" s="1293"/>
      <c r="CH315" s="1293"/>
      <c r="CI315" s="1293"/>
      <c r="CJ315" s="1293"/>
      <c r="CK315" s="1293"/>
      <c r="CL315" s="1293"/>
      <c r="CM315" s="1293"/>
      <c r="CN315" s="1293"/>
      <c r="CO315" s="1293"/>
      <c r="CP315" s="1293"/>
      <c r="CQ315" s="1293"/>
      <c r="CR315" s="1293"/>
      <c r="CS315" s="1293"/>
      <c r="CT315" s="1293"/>
      <c r="CU315" s="1293"/>
      <c r="CV315" s="1293"/>
      <c r="CW315" s="1293"/>
      <c r="CX315" s="1293"/>
      <c r="CY315" s="2041"/>
      <c r="CZ315" s="1699"/>
      <c r="DA315" s="2042"/>
      <c r="DB315" s="2041"/>
      <c r="DC315" s="1293"/>
      <c r="DD315" s="1293"/>
      <c r="DE315" s="1293"/>
      <c r="DF315" s="1293"/>
      <c r="DG315" s="1293"/>
      <c r="DH315" s="1293"/>
      <c r="DI315" s="1293"/>
      <c r="DJ315" s="1293"/>
      <c r="DK315" s="1293"/>
      <c r="DL315" s="2147">
        <v>529.10550000000001</v>
      </c>
    </row>
    <row r="316" spans="1:116" ht="16.5" hidden="1" outlineLevel="1" thickBot="1">
      <c r="A316" s="1293"/>
      <c r="B316" s="1293" t="str">
        <f t="shared" ref="B316:B322" si="396">B60</f>
        <v>Chad</v>
      </c>
      <c r="C316" s="1699">
        <f t="shared" ref="C316:P316" ca="1" si="397">C60*C264</f>
        <v>20737.663434873022</v>
      </c>
      <c r="D316" s="1699">
        <f t="shared" ca="1" si="397"/>
        <v>22288.555138881806</v>
      </c>
      <c r="E316" s="1699">
        <f t="shared" si="397"/>
        <v>23204.479886067911</v>
      </c>
      <c r="F316" s="1699">
        <f t="shared" ca="1" si="397"/>
        <v>21835.255401809009</v>
      </c>
      <c r="G316" s="2039">
        <f t="shared" ca="1" si="397"/>
        <v>88359.696854605514</v>
      </c>
      <c r="H316" s="1699">
        <f t="shared" si="397"/>
        <v>20560.621939671579</v>
      </c>
      <c r="I316" s="1699">
        <f t="shared" si="397"/>
        <v>21788.492594441213</v>
      </c>
      <c r="J316" s="1699">
        <f t="shared" si="397"/>
        <v>22789.333287372745</v>
      </c>
      <c r="K316" s="1699">
        <f t="shared" si="397"/>
        <v>23844.192288053204</v>
      </c>
      <c r="L316" s="2039">
        <f t="shared" si="397"/>
        <v>88950.834874411768</v>
      </c>
      <c r="M316" s="1699">
        <f t="shared" ca="1" si="397"/>
        <v>23321.170074979771</v>
      </c>
      <c r="N316" s="1699">
        <f t="shared" ca="1" si="397"/>
        <v>23928.128765939611</v>
      </c>
      <c r="O316" s="1699">
        <f t="shared" si="397"/>
        <v>23594.401775599985</v>
      </c>
      <c r="P316" s="1699">
        <f t="shared" si="397"/>
        <v>24800.008565460957</v>
      </c>
      <c r="Q316" s="2039">
        <f ca="1">SUM(M316:P316)</f>
        <v>95643.709181980317</v>
      </c>
      <c r="R316" s="1699">
        <f ca="1">(1+R365)*M316</f>
        <v>20989.053067481793</v>
      </c>
      <c r="S316" s="1699">
        <f ca="1">(1+S365)*N316</f>
        <v>21535.315889345649</v>
      </c>
      <c r="T316" s="1699">
        <f>(1+T365)*O316</f>
        <v>21706.849633551989</v>
      </c>
      <c r="U316" s="1699">
        <f>(1+U365)*P316</f>
        <v>22320.007708914862</v>
      </c>
      <c r="V316" s="2039">
        <f ca="1">SUM(R316:U316)</f>
        <v>86551.2262992943</v>
      </c>
      <c r="W316" s="1699">
        <f ca="1">(1+W365)*R316</f>
        <v>21408.83412883143</v>
      </c>
      <c r="X316" s="1699">
        <f ca="1">(1+X365)*S316</f>
        <v>21966.022207132562</v>
      </c>
      <c r="Y316" s="1699">
        <f>(1+Y365)*T316</f>
        <v>22140.986626223028</v>
      </c>
      <c r="Z316" s="1699">
        <f>(1+Z365)*U316</f>
        <v>22766.407863093158</v>
      </c>
      <c r="AA316" s="2039">
        <f ca="1">(1+AA365)*V316</f>
        <v>86551.2262992943</v>
      </c>
      <c r="AB316" s="1699"/>
      <c r="AC316" s="1699">
        <f ca="1">(1+AC365)*W316</f>
        <v>21408.83412883143</v>
      </c>
      <c r="AD316" s="1699"/>
      <c r="AE316" s="1699"/>
      <c r="AF316" s="1699"/>
      <c r="AG316" s="1699"/>
      <c r="AH316" s="1699"/>
      <c r="AI316" s="1699"/>
      <c r="AJ316" s="2039">
        <f>(1+AJ365)*AH316</f>
        <v>0</v>
      </c>
      <c r="AK316" s="1699"/>
      <c r="AL316" s="1699"/>
      <c r="AM316" s="1699"/>
      <c r="AN316" s="1699"/>
      <c r="AO316" s="2039">
        <f>(1+AO365)*AM316</f>
        <v>0</v>
      </c>
      <c r="AP316" s="1699"/>
      <c r="AQ316" s="1699"/>
      <c r="AR316" s="1699"/>
      <c r="AS316" s="1699"/>
      <c r="AT316" s="2039"/>
      <c r="AU316" s="1699"/>
      <c r="AV316" s="1699"/>
      <c r="AW316" s="1699"/>
      <c r="AX316" s="1699"/>
      <c r="AY316" s="2039"/>
      <c r="AZ316" s="1699"/>
      <c r="BA316" s="1699"/>
      <c r="BB316" s="1699"/>
      <c r="BC316" s="1699"/>
      <c r="BD316" s="2039">
        <f>'New split'!M196</f>
        <v>0</v>
      </c>
      <c r="BE316" s="1699"/>
      <c r="BF316" s="1699"/>
      <c r="BG316" s="1699"/>
      <c r="BH316" s="1699"/>
      <c r="BI316" s="2039">
        <f>'New split'!N196</f>
        <v>0</v>
      </c>
      <c r="BJ316" s="1699"/>
      <c r="BK316" s="1699"/>
      <c r="BL316" s="1699"/>
      <c r="BM316" s="1699"/>
      <c r="BN316" s="2039">
        <f>'New split'!O196</f>
        <v>0</v>
      </c>
      <c r="BO316" s="1699"/>
      <c r="BP316" s="1699"/>
      <c r="BQ316" s="1293"/>
      <c r="BR316" s="1293"/>
      <c r="BS316" s="1293"/>
      <c r="BT316" s="1293"/>
      <c r="BU316" s="1293"/>
      <c r="BV316" s="1293"/>
      <c r="BW316" s="1293"/>
      <c r="BX316" s="1293"/>
      <c r="BY316" s="1293"/>
      <c r="BZ316" s="1293"/>
      <c r="CA316" s="1293"/>
      <c r="CB316" s="1293"/>
      <c r="CC316" s="1293"/>
      <c r="CD316" s="1293"/>
      <c r="CE316" s="1293"/>
      <c r="CF316" s="1293"/>
      <c r="CG316" s="1293"/>
      <c r="CH316" s="1293"/>
      <c r="CI316" s="1293"/>
      <c r="CJ316" s="1293"/>
      <c r="CK316" s="1293"/>
      <c r="CL316" s="1293"/>
      <c r="CM316" s="1293"/>
      <c r="CN316" s="1293"/>
      <c r="CO316" s="1293"/>
      <c r="CP316" s="1293"/>
      <c r="CQ316" s="1293"/>
      <c r="CR316" s="1293"/>
      <c r="CS316" s="1293"/>
      <c r="CT316" s="1293"/>
      <c r="CU316" s="1293"/>
      <c r="CV316" s="1293"/>
      <c r="CW316" s="1293"/>
      <c r="CX316" s="1293"/>
      <c r="CY316" s="2041"/>
      <c r="CZ316" s="1699"/>
      <c r="DA316" s="2042"/>
      <c r="DB316" s="2041"/>
      <c r="DC316" s="1293"/>
      <c r="DD316" s="1293"/>
      <c r="DE316" s="1293"/>
      <c r="DF316" s="1293"/>
      <c r="DG316" s="1293"/>
      <c r="DH316" s="1293"/>
      <c r="DI316" s="1293"/>
      <c r="DJ316" s="1293"/>
      <c r="DK316" s="1293"/>
      <c r="DL316" s="2147">
        <v>531.18140000000005</v>
      </c>
    </row>
    <row r="317" spans="1:116" ht="16.5" hidden="1" outlineLevel="1" thickBot="1">
      <c r="A317" s="1293"/>
      <c r="B317" s="1293" t="str">
        <f t="shared" si="396"/>
        <v>DRC</v>
      </c>
      <c r="C317" s="1699">
        <f t="shared" ref="C317:L317" si="398">C61*C265</f>
        <v>28018.539165956347</v>
      </c>
      <c r="D317" s="1699">
        <f t="shared" si="398"/>
        <v>27541.609230751354</v>
      </c>
      <c r="E317" s="1699">
        <f t="shared" si="398"/>
        <v>28964.247950409146</v>
      </c>
      <c r="F317" s="1699">
        <f t="shared" si="398"/>
        <v>31502.093337475559</v>
      </c>
      <c r="G317" s="2039">
        <f t="shared" si="398"/>
        <v>116018.6933704775</v>
      </c>
      <c r="H317" s="1699">
        <f t="shared" si="398"/>
        <v>33494.121384438469</v>
      </c>
      <c r="I317" s="1699">
        <f t="shared" si="398"/>
        <v>33581.416780359083</v>
      </c>
      <c r="J317" s="1699">
        <f t="shared" si="398"/>
        <v>33413.51824342928</v>
      </c>
      <c r="K317" s="1699">
        <f t="shared" si="398"/>
        <v>36565.036791678853</v>
      </c>
      <c r="L317" s="2039">
        <f t="shared" si="398"/>
        <v>137044.68882068721</v>
      </c>
      <c r="M317" s="1699"/>
      <c r="N317" s="1699"/>
      <c r="O317" s="1699"/>
      <c r="P317" s="1699"/>
      <c r="Q317" s="2039"/>
      <c r="R317" s="1699"/>
      <c r="S317" s="1699"/>
      <c r="T317" s="1699"/>
      <c r="U317" s="1699"/>
      <c r="V317" s="2039"/>
      <c r="W317" s="1699"/>
      <c r="X317" s="1699"/>
      <c r="Y317" s="1699"/>
      <c r="Z317" s="1699"/>
      <c r="AA317" s="2039"/>
      <c r="AB317" s="1699"/>
      <c r="AC317" s="1699"/>
      <c r="AD317" s="1699"/>
      <c r="AE317" s="1699"/>
      <c r="AF317" s="1699"/>
      <c r="AG317" s="1699"/>
      <c r="AH317" s="1699"/>
      <c r="AI317" s="1699"/>
      <c r="AJ317" s="2039"/>
      <c r="AK317" s="1699"/>
      <c r="AL317" s="1699"/>
      <c r="AM317" s="1699"/>
      <c r="AN317" s="1699"/>
      <c r="AO317" s="2039"/>
      <c r="AP317" s="1699"/>
      <c r="AQ317" s="1699"/>
      <c r="AR317" s="1699"/>
      <c r="AS317" s="1699"/>
      <c r="AT317" s="2039"/>
      <c r="AU317" s="1699"/>
      <c r="AV317" s="1699"/>
      <c r="AW317" s="1699"/>
      <c r="AX317" s="1699"/>
      <c r="AY317" s="2039"/>
      <c r="AZ317" s="1699"/>
      <c r="BA317" s="1699"/>
      <c r="BB317" s="1699"/>
      <c r="BC317" s="1699"/>
      <c r="BD317" s="2039"/>
      <c r="BE317" s="1699"/>
      <c r="BF317" s="1699"/>
      <c r="BG317" s="1699"/>
      <c r="BH317" s="1699"/>
      <c r="BI317" s="2039"/>
      <c r="BJ317" s="1699"/>
      <c r="BK317" s="1699"/>
      <c r="BL317" s="1699"/>
      <c r="BM317" s="1699"/>
      <c r="BN317" s="2039"/>
      <c r="BO317" s="1699"/>
      <c r="BP317" s="1699"/>
      <c r="BQ317" s="1293"/>
      <c r="BR317" s="1293"/>
      <c r="BS317" s="1293"/>
      <c r="BT317" s="1293"/>
      <c r="BU317" s="1293"/>
      <c r="BV317" s="1293"/>
      <c r="BW317" s="1293"/>
      <c r="BX317" s="1293"/>
      <c r="BY317" s="1293"/>
      <c r="BZ317" s="1293"/>
      <c r="CA317" s="1293"/>
      <c r="CB317" s="1293"/>
      <c r="CC317" s="1293"/>
      <c r="CD317" s="1293"/>
      <c r="CE317" s="1293"/>
      <c r="CF317" s="1293"/>
      <c r="CG317" s="1293"/>
      <c r="CH317" s="1293"/>
      <c r="CI317" s="1293"/>
      <c r="CJ317" s="1293"/>
      <c r="CK317" s="1293"/>
      <c r="CL317" s="1293"/>
      <c r="CM317" s="1293"/>
      <c r="CN317" s="1293"/>
      <c r="CO317" s="1293"/>
      <c r="CP317" s="1293"/>
      <c r="CQ317" s="1293"/>
      <c r="CR317" s="1293"/>
      <c r="CS317" s="1293"/>
      <c r="CT317" s="1293"/>
      <c r="CU317" s="1293"/>
      <c r="CV317" s="1293"/>
      <c r="CW317" s="1293"/>
      <c r="CX317" s="1293"/>
      <c r="CY317" s="2041"/>
      <c r="CZ317" s="1699"/>
      <c r="DA317" s="2042"/>
      <c r="DB317" s="2041"/>
      <c r="DC317" s="1293"/>
      <c r="DD317" s="1293"/>
      <c r="DE317" s="1293"/>
      <c r="DF317" s="1293"/>
      <c r="DG317" s="1293"/>
      <c r="DH317" s="1293"/>
      <c r="DI317" s="1293"/>
      <c r="DJ317" s="1293"/>
      <c r="DK317" s="1293"/>
      <c r="DL317" s="2147">
        <v>529.68380000000002</v>
      </c>
    </row>
    <row r="318" spans="1:116" ht="16.5" hidden="1" outlineLevel="1" thickBot="1">
      <c r="A318" s="1293"/>
      <c r="B318" s="1293" t="str">
        <f t="shared" si="396"/>
        <v>Ghana</v>
      </c>
      <c r="C318" s="1699">
        <f t="shared" ref="C318:L318" si="399">C62*C266</f>
        <v>95.580923704762014</v>
      </c>
      <c r="D318" s="1699">
        <f t="shared" si="399"/>
        <v>108.57696492608986</v>
      </c>
      <c r="E318" s="1699">
        <f t="shared" si="399"/>
        <v>95.458984945442182</v>
      </c>
      <c r="F318" s="1699">
        <f t="shared" si="399"/>
        <v>114.27232182922111</v>
      </c>
      <c r="G318" s="2039">
        <f t="shared" si="399"/>
        <v>414.26064252808357</v>
      </c>
      <c r="H318" s="1699">
        <f t="shared" si="399"/>
        <v>117.60363711558742</v>
      </c>
      <c r="I318" s="1699">
        <f t="shared" si="399"/>
        <v>133.45001900173733</v>
      </c>
      <c r="J318" s="1699">
        <f t="shared" si="399"/>
        <v>132.65561840958131</v>
      </c>
      <c r="K318" s="1699">
        <f t="shared" si="399"/>
        <v>131.01336707336438</v>
      </c>
      <c r="L318" s="2039">
        <f t="shared" si="399"/>
        <v>512.78817812801367</v>
      </c>
      <c r="M318" s="1699">
        <f t="shared" ref="M318:P322" si="400">M62*M266</f>
        <v>137.9736197162315</v>
      </c>
      <c r="N318" s="1699">
        <f t="shared" si="400"/>
        <v>157.16432352686462</v>
      </c>
      <c r="O318" s="1699">
        <f t="shared" si="400"/>
        <v>156.627288848853</v>
      </c>
      <c r="P318" s="1699">
        <f t="shared" si="400"/>
        <v>164.09321400056055</v>
      </c>
      <c r="Q318" s="2039">
        <f>SUM(M318:P318)</f>
        <v>615.85844609250967</v>
      </c>
      <c r="R318" s="1699">
        <f>(1+R367)*M318</f>
        <v>142.11282830771844</v>
      </c>
      <c r="S318" s="1699">
        <f>(1+S367)*N318</f>
        <v>161.87925323267055</v>
      </c>
      <c r="T318" s="1699"/>
      <c r="U318" s="1699"/>
      <c r="V318" s="2039">
        <f>SUM(R318:U318)</f>
        <v>303.99208154038899</v>
      </c>
      <c r="W318" s="1699"/>
      <c r="X318" s="1699"/>
      <c r="Y318" s="1699"/>
      <c r="Z318" s="1699"/>
      <c r="AA318" s="2039"/>
      <c r="AB318" s="1699"/>
      <c r="AC318" s="1699"/>
      <c r="AD318" s="1699"/>
      <c r="AE318" s="1699"/>
      <c r="AF318" s="1699"/>
      <c r="AG318" s="1699"/>
      <c r="AH318" s="1699"/>
      <c r="AI318" s="1699"/>
      <c r="AJ318" s="2039"/>
      <c r="AK318" s="1699"/>
      <c r="AL318" s="1699"/>
      <c r="AM318" s="1699"/>
      <c r="AN318" s="1699"/>
      <c r="AO318" s="2039"/>
      <c r="AP318" s="1699"/>
      <c r="AQ318" s="1699"/>
      <c r="AR318" s="1699"/>
      <c r="AS318" s="1699"/>
      <c r="AT318" s="2039"/>
      <c r="AU318" s="2028"/>
      <c r="AV318" s="2028"/>
      <c r="AW318" s="2028"/>
      <c r="AX318" s="2028"/>
      <c r="AY318" s="2039"/>
      <c r="AZ318" s="2028"/>
      <c r="BA318" s="2028"/>
      <c r="BB318" s="2028"/>
      <c r="BC318" s="2028"/>
      <c r="BD318" s="2039"/>
      <c r="BE318" s="2028"/>
      <c r="BF318" s="2028"/>
      <c r="BG318" s="2028"/>
      <c r="BH318" s="1699"/>
      <c r="BI318" s="2039"/>
      <c r="BJ318" s="2028"/>
      <c r="BK318" s="2028"/>
      <c r="BL318" s="2028"/>
      <c r="BM318" s="2028"/>
      <c r="BN318" s="2039"/>
      <c r="BO318" s="1699"/>
      <c r="BP318" s="1699"/>
      <c r="BQ318" s="1293"/>
      <c r="BR318" s="1293"/>
      <c r="BS318" s="1293"/>
      <c r="BT318" s="1293"/>
      <c r="BU318" s="1293"/>
      <c r="BV318" s="1293"/>
      <c r="BW318" s="1293"/>
      <c r="BX318" s="1293"/>
      <c r="BY318" s="1293"/>
      <c r="BZ318" s="1293"/>
      <c r="CA318" s="1293"/>
      <c r="CB318" s="1293"/>
      <c r="CC318" s="1293"/>
      <c r="CD318" s="1293"/>
      <c r="CE318" s="1293"/>
      <c r="CF318" s="1293"/>
      <c r="CG318" s="1293"/>
      <c r="CH318" s="1293"/>
      <c r="CI318" s="1293"/>
      <c r="CJ318" s="1293"/>
      <c r="CK318" s="1293"/>
      <c r="CL318" s="1293"/>
      <c r="CM318" s="1293"/>
      <c r="CN318" s="1293"/>
      <c r="CO318" s="1293"/>
      <c r="CP318" s="1293"/>
      <c r="CQ318" s="1293"/>
      <c r="CR318" s="1293"/>
      <c r="CS318" s="1293"/>
      <c r="CT318" s="1293"/>
      <c r="CU318" s="1293"/>
      <c r="CV318" s="1293"/>
      <c r="CW318" s="1293"/>
      <c r="CX318" s="1293"/>
      <c r="CY318" s="2041"/>
      <c r="CZ318" s="1699"/>
      <c r="DA318" s="2170"/>
      <c r="DB318" s="2171"/>
      <c r="DC318" s="1293"/>
      <c r="DD318" s="1293"/>
      <c r="DE318" s="1293"/>
      <c r="DF318" s="1293"/>
      <c r="DG318" s="1293"/>
      <c r="DH318" s="1293"/>
      <c r="DI318" s="1293"/>
      <c r="DJ318" s="1293"/>
      <c r="DK318" s="1293"/>
      <c r="DL318" s="2147">
        <v>528.39020000000005</v>
      </c>
    </row>
    <row r="319" spans="1:116" ht="16.5" hidden="1" outlineLevel="1" thickBot="1">
      <c r="A319" s="1293"/>
      <c r="B319" s="1293" t="str">
        <f t="shared" si="396"/>
        <v>Rwanda</v>
      </c>
      <c r="C319" s="1699">
        <f t="shared" ref="C319:L319" si="401">C63*C267</f>
        <v>13751.489415680127</v>
      </c>
      <c r="D319" s="1699">
        <f t="shared" si="401"/>
        <v>8265.6685800991181</v>
      </c>
      <c r="E319" s="1699">
        <f t="shared" si="401"/>
        <v>9190.7443921070135</v>
      </c>
      <c r="F319" s="1699">
        <f t="shared" si="401"/>
        <v>11601.667574845027</v>
      </c>
      <c r="G319" s="2039">
        <f t="shared" si="401"/>
        <v>42824.15382628925</v>
      </c>
      <c r="H319" s="1699">
        <f t="shared" si="401"/>
        <v>13805.105946888307</v>
      </c>
      <c r="I319" s="1699">
        <f t="shared" si="401"/>
        <v>9137.3457644149585</v>
      </c>
      <c r="J319" s="1699">
        <f t="shared" si="401"/>
        <v>9756.2513643483926</v>
      </c>
      <c r="K319" s="1699">
        <f t="shared" si="401"/>
        <v>12359.933729396862</v>
      </c>
      <c r="L319" s="2039">
        <f t="shared" si="401"/>
        <v>45033.009774249731</v>
      </c>
      <c r="M319" s="1699">
        <f t="shared" si="400"/>
        <v>14841.800759636348</v>
      </c>
      <c r="N319" s="1699">
        <f t="shared" si="400"/>
        <v>9809.5100056957854</v>
      </c>
      <c r="O319" s="1699">
        <f t="shared" si="400"/>
        <v>11882.123801635613</v>
      </c>
      <c r="P319" s="1699">
        <f t="shared" si="400"/>
        <v>12416.352678432266</v>
      </c>
      <c r="Q319" s="2039">
        <f>SUM(M319:P319)</f>
        <v>48949.787245400017</v>
      </c>
      <c r="R319" s="1699">
        <f>(1+R368)*M319</f>
        <v>14841.800759636348</v>
      </c>
      <c r="S319" s="1699">
        <f>(1+S368)*N319</f>
        <v>9613.3198055818702</v>
      </c>
      <c r="T319" s="1699">
        <f>(1+T368)*O319</f>
        <v>11644.481325602901</v>
      </c>
      <c r="U319" s="1699">
        <f>(1+U368)*P319</f>
        <v>11795.535044510652</v>
      </c>
      <c r="V319" s="2039">
        <f>SUM(R319:U319)</f>
        <v>47895.136935331771</v>
      </c>
      <c r="W319" s="1699"/>
      <c r="X319" s="1699"/>
      <c r="Y319" s="1699"/>
      <c r="Z319" s="1699"/>
      <c r="AA319" s="2039"/>
      <c r="AB319" s="1699"/>
      <c r="AC319" s="1699"/>
      <c r="AD319" s="1699"/>
      <c r="AE319" s="1699"/>
      <c r="AF319" s="1699"/>
      <c r="AG319" s="1699"/>
      <c r="AH319" s="1699"/>
      <c r="AI319" s="1699"/>
      <c r="AJ319" s="2039"/>
      <c r="AK319" s="1699"/>
      <c r="AL319" s="1699"/>
      <c r="AM319" s="1699"/>
      <c r="AN319" s="1699"/>
      <c r="AO319" s="2039"/>
      <c r="AP319" s="1699"/>
      <c r="AQ319" s="1699"/>
      <c r="AR319" s="1699"/>
      <c r="AS319" s="1699"/>
      <c r="AT319" s="2039"/>
      <c r="AU319" s="1709"/>
      <c r="AV319" s="1709"/>
      <c r="AW319" s="1709"/>
      <c r="AX319" s="1709"/>
      <c r="AY319" s="2039"/>
      <c r="AZ319" s="1709"/>
      <c r="BA319" s="1709"/>
      <c r="BB319" s="1709"/>
      <c r="BC319" s="1709"/>
      <c r="BD319" s="2039"/>
      <c r="BE319" s="1709"/>
      <c r="BF319" s="1709"/>
      <c r="BG319" s="1709"/>
      <c r="BH319" s="1699"/>
      <c r="BI319" s="2039"/>
      <c r="BJ319" s="1709"/>
      <c r="BK319" s="1709"/>
      <c r="BL319" s="1709"/>
      <c r="BM319" s="1709"/>
      <c r="BN319" s="2039"/>
      <c r="BO319" s="1699"/>
      <c r="BP319" s="1699"/>
      <c r="BQ319" s="1293"/>
      <c r="BR319" s="1293"/>
      <c r="BS319" s="1293"/>
      <c r="BT319" s="1293"/>
      <c r="BU319" s="1293"/>
      <c r="BV319" s="1293"/>
      <c r="BW319" s="1293"/>
      <c r="BX319" s="1293"/>
      <c r="BY319" s="1293"/>
      <c r="BZ319" s="1293"/>
      <c r="CA319" s="1293"/>
      <c r="CB319" s="1293"/>
      <c r="CC319" s="1293"/>
      <c r="CD319" s="1293"/>
      <c r="CE319" s="1293"/>
      <c r="CF319" s="1293"/>
      <c r="CG319" s="1293"/>
      <c r="CH319" s="1293"/>
      <c r="CI319" s="1293"/>
      <c r="CJ319" s="1293"/>
      <c r="CK319" s="1293"/>
      <c r="CL319" s="1293"/>
      <c r="CM319" s="1293"/>
      <c r="CN319" s="1293"/>
      <c r="CO319" s="1293"/>
      <c r="CP319" s="1293"/>
      <c r="CQ319" s="1293"/>
      <c r="CR319" s="1293"/>
      <c r="CS319" s="1293"/>
      <c r="CT319" s="1293"/>
      <c r="CU319" s="1293"/>
      <c r="CV319" s="1293"/>
      <c r="CW319" s="1293"/>
      <c r="CX319" s="1293"/>
      <c r="CY319" s="2041"/>
      <c r="CZ319" s="1699"/>
      <c r="DA319" s="2172"/>
      <c r="DB319" s="2173"/>
      <c r="DC319" s="1293"/>
      <c r="DD319" s="1293"/>
      <c r="DE319" s="1293"/>
      <c r="DF319" s="1293"/>
      <c r="DG319" s="1293"/>
      <c r="DH319" s="1293"/>
      <c r="DI319" s="1293"/>
      <c r="DJ319" s="1293"/>
      <c r="DK319" s="1293"/>
      <c r="DL319" s="2147">
        <v>527.0856</v>
      </c>
    </row>
    <row r="320" spans="1:116" ht="16.5" hidden="1" outlineLevel="1" thickBot="1">
      <c r="A320" s="1293"/>
      <c r="B320" s="1293" t="str">
        <f t="shared" si="396"/>
        <v>Senegal</v>
      </c>
      <c r="C320" s="1699">
        <f t="shared" ref="C320:L320" ca="1" si="402">C64*C268</f>
        <v>13785.721181776935</v>
      </c>
      <c r="D320" s="1699">
        <f t="shared" ca="1" si="402"/>
        <v>13410.659228445504</v>
      </c>
      <c r="E320" s="1699">
        <f t="shared" si="402"/>
        <v>13994.086331290184</v>
      </c>
      <c r="F320" s="1699">
        <f t="shared" ca="1" si="402"/>
        <v>15124.331979573975</v>
      </c>
      <c r="G320" s="2039">
        <f t="shared" ca="1" si="402"/>
        <v>56423.033221764505</v>
      </c>
      <c r="H320" s="1699">
        <f t="shared" si="402"/>
        <v>15991.594841966782</v>
      </c>
      <c r="I320" s="1699">
        <f t="shared" si="402"/>
        <v>16488.588990387943</v>
      </c>
      <c r="J320" s="1699">
        <f t="shared" si="402"/>
        <v>16242.579361182026</v>
      </c>
      <c r="K320" s="1699">
        <f t="shared" ca="1" si="402"/>
        <v>17445.865719532118</v>
      </c>
      <c r="L320" s="2039">
        <f t="shared" ca="1" si="402"/>
        <v>66159.484954152882</v>
      </c>
      <c r="M320" s="1699">
        <f t="shared" ca="1" si="400"/>
        <v>18380.537007243311</v>
      </c>
      <c r="N320" s="1699">
        <f t="shared" ca="1" si="400"/>
        <v>19281.425081663052</v>
      </c>
      <c r="O320" s="1699">
        <f t="shared" si="400"/>
        <v>20055.241509259988</v>
      </c>
      <c r="P320" s="1699">
        <f t="shared" si="400"/>
        <v>21080.007280641814</v>
      </c>
      <c r="Q320" s="2039">
        <f ca="1">SUM(M320:P320)</f>
        <v>78797.210878808168</v>
      </c>
      <c r="R320" s="1699"/>
      <c r="S320" s="1699"/>
      <c r="T320" s="1699"/>
      <c r="U320" s="1699"/>
      <c r="V320" s="2039">
        <f>SUM(R320:U320)</f>
        <v>0</v>
      </c>
      <c r="W320" s="1699"/>
      <c r="X320" s="1699"/>
      <c r="Y320" s="1699"/>
      <c r="Z320" s="1699"/>
      <c r="AA320" s="2039"/>
      <c r="AB320" s="1699"/>
      <c r="AC320" s="1699"/>
      <c r="AD320" s="1699"/>
      <c r="AE320" s="1699"/>
      <c r="AF320" s="1699"/>
      <c r="AG320" s="1699"/>
      <c r="AH320" s="1699"/>
      <c r="AI320" s="1699"/>
      <c r="AJ320" s="2039"/>
      <c r="AK320" s="1699"/>
      <c r="AL320" s="1699"/>
      <c r="AM320" s="1699"/>
      <c r="AN320" s="1699"/>
      <c r="AO320" s="2039"/>
      <c r="AP320" s="1699"/>
      <c r="AQ320" s="1699"/>
      <c r="AR320" s="1699"/>
      <c r="AS320" s="1699"/>
      <c r="AT320" s="2039"/>
      <c r="AU320" s="1699"/>
      <c r="AV320" s="1699"/>
      <c r="AW320" s="1699"/>
      <c r="AX320" s="1699"/>
      <c r="AY320" s="2039"/>
      <c r="AZ320" s="1699"/>
      <c r="BA320" s="1699"/>
      <c r="BB320" s="1699"/>
      <c r="BC320" s="1699"/>
      <c r="BD320" s="2039"/>
      <c r="BE320" s="1699"/>
      <c r="BF320" s="1699"/>
      <c r="BG320" s="1699"/>
      <c r="BH320" s="1699"/>
      <c r="BI320" s="2039"/>
      <c r="BJ320" s="1699"/>
      <c r="BK320" s="1699"/>
      <c r="BL320" s="1699"/>
      <c r="BM320" s="1699"/>
      <c r="BN320" s="2039"/>
      <c r="BO320" s="1699"/>
      <c r="BP320" s="1699"/>
      <c r="BQ320" s="1293"/>
      <c r="BR320" s="1293"/>
      <c r="BS320" s="1293"/>
      <c r="BT320" s="1293"/>
      <c r="BU320" s="1293"/>
      <c r="BV320" s="1293"/>
      <c r="BW320" s="1293"/>
      <c r="BX320" s="1293"/>
      <c r="BY320" s="1293"/>
      <c r="BZ320" s="1293"/>
      <c r="CA320" s="1293"/>
      <c r="CB320" s="1293"/>
      <c r="CC320" s="1293"/>
      <c r="CD320" s="1293"/>
      <c r="CE320" s="1293"/>
      <c r="CF320" s="1293"/>
      <c r="CG320" s="1293"/>
      <c r="CH320" s="1293"/>
      <c r="CI320" s="1293"/>
      <c r="CJ320" s="1293"/>
      <c r="CK320" s="1293"/>
      <c r="CL320" s="1293"/>
      <c r="CM320" s="1293"/>
      <c r="CN320" s="1293"/>
      <c r="CO320" s="1293"/>
      <c r="CP320" s="1293"/>
      <c r="CQ320" s="1293"/>
      <c r="CR320" s="1293"/>
      <c r="CS320" s="1293"/>
      <c r="CT320" s="1293"/>
      <c r="CU320" s="1293"/>
      <c r="CV320" s="1293"/>
      <c r="CW320" s="1293"/>
      <c r="CX320" s="1293"/>
      <c r="CY320" s="2041"/>
      <c r="CZ320" s="1699"/>
      <c r="DA320" s="2042"/>
      <c r="DB320" s="2041"/>
      <c r="DC320" s="1293"/>
      <c r="DD320" s="1293"/>
      <c r="DE320" s="1293"/>
      <c r="DF320" s="1293"/>
      <c r="DG320" s="1293"/>
      <c r="DH320" s="1293"/>
      <c r="DI320" s="1293"/>
      <c r="DJ320" s="1293"/>
      <c r="DK320" s="1293"/>
      <c r="DL320" s="2147">
        <v>525.94770000000005</v>
      </c>
    </row>
    <row r="321" spans="1:116" ht="16.5" hidden="1" outlineLevel="1" thickBot="1">
      <c r="A321" s="1293"/>
      <c r="B321" s="1293" t="str">
        <f t="shared" si="396"/>
        <v>Tanzania</v>
      </c>
      <c r="C321" s="1699">
        <f t="shared" ref="C321:L321" si="403">C65*C269</f>
        <v>136140.14320397182</v>
      </c>
      <c r="D321" s="1699">
        <f t="shared" si="403"/>
        <v>142767.50915760055</v>
      </c>
      <c r="E321" s="1699">
        <f t="shared" si="403"/>
        <v>161098.43085730495</v>
      </c>
      <c r="F321" s="1699">
        <f t="shared" si="403"/>
        <v>164793.1169700028</v>
      </c>
      <c r="G321" s="2039">
        <f t="shared" si="403"/>
        <v>603488.3306806105</v>
      </c>
      <c r="H321" s="1699">
        <f t="shared" si="403"/>
        <v>159680.32131383289</v>
      </c>
      <c r="I321" s="1699">
        <f t="shared" si="403"/>
        <v>170280.38327423381</v>
      </c>
      <c r="J321" s="1699">
        <f t="shared" si="403"/>
        <v>181218.42396423811</v>
      </c>
      <c r="K321" s="1699">
        <f t="shared" si="403"/>
        <v>187487.69516698597</v>
      </c>
      <c r="L321" s="2039">
        <f t="shared" si="403"/>
        <v>701248.03233169648</v>
      </c>
      <c r="M321" s="1699">
        <f t="shared" si="400"/>
        <v>180972.43674390772</v>
      </c>
      <c r="N321" s="1699">
        <f t="shared" si="400"/>
        <v>186983.00254906187</v>
      </c>
      <c r="O321" s="1699">
        <f t="shared" si="400"/>
        <v>190882.87393107198</v>
      </c>
      <c r="P321" s="1699">
        <f t="shared" si="400"/>
        <v>194956.14188628481</v>
      </c>
      <c r="Q321" s="2039">
        <f>SUM(M321:P321)</f>
        <v>753794.45511032641</v>
      </c>
      <c r="R321" s="1699">
        <f>(1+R370)*M321</f>
        <v>182782.1611113468</v>
      </c>
      <c r="S321" s="1699">
        <f>(1+S370)*N321</f>
        <v>190722.66260004311</v>
      </c>
      <c r="T321" s="1699">
        <f>(1+T370)*O321</f>
        <v>194700.53140969342</v>
      </c>
      <c r="U321" s="1699">
        <f>(1+U370)*P321</f>
        <v>185208.33479197056</v>
      </c>
      <c r="V321" s="2039">
        <f>SUM(R321:U321)</f>
        <v>753413.68991305388</v>
      </c>
      <c r="W321" s="1699">
        <f>(1+W370)*R321</f>
        <v>197404.73400025454</v>
      </c>
      <c r="X321" s="1699">
        <f>(1+X370)*S321</f>
        <v>202166.02235604572</v>
      </c>
      <c r="Y321" s="1699">
        <f>(1+Y370)*T321</f>
        <v>206382.56329427502</v>
      </c>
      <c r="Z321" s="1699">
        <f>(1+Z370)*U321</f>
        <v>196320.8348794888</v>
      </c>
      <c r="AA321" s="2039">
        <f>(1+AA370)*V321</f>
        <v>753413.68991305388</v>
      </c>
      <c r="AB321" s="1699">
        <f>(1+AB370)*V321</f>
        <v>753413.68991305388</v>
      </c>
      <c r="AC321" s="1699">
        <f>(1+AC370)*W321</f>
        <v>197404.73400025454</v>
      </c>
      <c r="AD321" s="1699">
        <f t="shared" ref="AD321:AI321" si="404">(1+AD370)*W321</f>
        <v>197404.73400025454</v>
      </c>
      <c r="AE321" s="1699">
        <f t="shared" si="404"/>
        <v>202166.02235604572</v>
      </c>
      <c r="AF321" s="1699">
        <f t="shared" si="404"/>
        <v>206382.56329427502</v>
      </c>
      <c r="AG321" s="1699">
        <f t="shared" si="404"/>
        <v>196320.8348794888</v>
      </c>
      <c r="AH321" s="1699">
        <f t="shared" si="404"/>
        <v>753413.68991305388</v>
      </c>
      <c r="AI321" s="1699">
        <f t="shared" si="404"/>
        <v>753413.68991305388</v>
      </c>
      <c r="AJ321" s="2039">
        <f>(1+AJ370)*AH321</f>
        <v>753413.68991305388</v>
      </c>
      <c r="AK321" s="1699">
        <f>(1+AK370)*AD321</f>
        <v>197404.73400025454</v>
      </c>
      <c r="AL321" s="1699">
        <f>(1+AL370)*AE321</f>
        <v>202166.02235604572</v>
      </c>
      <c r="AM321" s="1699">
        <f>(1+AM370)*AF321</f>
        <v>206382.56329427502</v>
      </c>
      <c r="AN321" s="1699">
        <f>(1+AN370)*AG321</f>
        <v>196320.8348794888</v>
      </c>
      <c r="AO321" s="2161">
        <f>AK321+AL321+AM321+AN321</f>
        <v>802274.15453006409</v>
      </c>
      <c r="AP321" s="1699">
        <f>(1+AP370)*AI321</f>
        <v>753413.68991305388</v>
      </c>
      <c r="AQ321" s="1699">
        <f>(1+AQ370)*AJ321</f>
        <v>753413.68991305388</v>
      </c>
      <c r="AR321" s="1699">
        <f>(1+AR370)*AK321</f>
        <v>197404.73400025454</v>
      </c>
      <c r="AS321" s="1699">
        <f>(1+AS370)*AL321</f>
        <v>202166.02235604572</v>
      </c>
      <c r="AT321" s="2161">
        <f>AP321+AQ321+AR321+AS321</f>
        <v>1906398.1361824081</v>
      </c>
      <c r="AU321" s="1699"/>
      <c r="AV321" s="1699"/>
      <c r="AW321" s="1699"/>
      <c r="AX321" s="1699"/>
      <c r="AY321" s="2039"/>
      <c r="AZ321" s="1699"/>
      <c r="BA321" s="1699"/>
      <c r="BB321" s="1699"/>
      <c r="BC321" s="1699"/>
      <c r="BD321" s="2039"/>
      <c r="BE321" s="1699"/>
      <c r="BF321" s="1699"/>
      <c r="BG321" s="1699"/>
      <c r="BH321" s="1699"/>
      <c r="BI321" s="2039"/>
      <c r="BJ321" s="1699"/>
      <c r="BK321" s="1699"/>
      <c r="BL321" s="1699"/>
      <c r="BM321" s="1699"/>
      <c r="BN321" s="2039"/>
      <c r="BO321" s="1699"/>
      <c r="BP321" s="1699"/>
      <c r="BQ321" s="1293"/>
      <c r="BR321" s="1293"/>
      <c r="BS321" s="1293"/>
      <c r="BT321" s="1293"/>
      <c r="BU321" s="1293"/>
      <c r="BV321" s="1293"/>
      <c r="BW321" s="1293"/>
      <c r="BX321" s="1293"/>
      <c r="BY321" s="1293"/>
      <c r="BZ321" s="1293"/>
      <c r="CA321" s="1293"/>
      <c r="CB321" s="1293"/>
      <c r="CC321" s="1293"/>
      <c r="CD321" s="1293"/>
      <c r="CE321" s="1293"/>
      <c r="CF321" s="1293"/>
      <c r="CG321" s="1293"/>
      <c r="CH321" s="1293"/>
      <c r="CI321" s="1293"/>
      <c r="CJ321" s="1293"/>
      <c r="CK321" s="1293"/>
      <c r="CL321" s="1293"/>
      <c r="CM321" s="1293"/>
      <c r="CN321" s="1293"/>
      <c r="CO321" s="1293"/>
      <c r="CP321" s="1293"/>
      <c r="CQ321" s="1293"/>
      <c r="CR321" s="1293"/>
      <c r="CS321" s="1293"/>
      <c r="CT321" s="1293"/>
      <c r="CU321" s="1293"/>
      <c r="CV321" s="1293"/>
      <c r="CW321" s="1293"/>
      <c r="CX321" s="1293"/>
      <c r="CY321" s="2041"/>
      <c r="CZ321" s="1699"/>
      <c r="DA321" s="2042"/>
      <c r="DB321" s="2041"/>
      <c r="DC321" s="1293"/>
      <c r="DD321" s="1293"/>
      <c r="DE321" s="1293"/>
      <c r="DF321" s="1293"/>
      <c r="DG321" s="1293"/>
      <c r="DH321" s="1293"/>
      <c r="DI321" s="1293"/>
      <c r="DJ321" s="1293"/>
      <c r="DK321" s="1293"/>
      <c r="DL321" s="2147">
        <v>526.75080000000003</v>
      </c>
    </row>
    <row r="322" spans="1:116" ht="16.5" hidden="1" outlineLevel="1" thickBot="1">
      <c r="A322" s="1293"/>
      <c r="B322" s="1293" t="str">
        <f t="shared" si="396"/>
        <v>Zantel</v>
      </c>
      <c r="C322" s="1699"/>
      <c r="D322" s="1699"/>
      <c r="E322" s="1699"/>
      <c r="F322" s="1699"/>
      <c r="G322" s="2039"/>
      <c r="H322" s="1699"/>
      <c r="I322" s="1699"/>
      <c r="J322" s="1699"/>
      <c r="K322" s="1699">
        <f>K66*K270</f>
        <v>19174.877914805387</v>
      </c>
      <c r="L322" s="2039">
        <f>L66*L270</f>
        <v>17580.034236727763</v>
      </c>
      <c r="M322" s="1699">
        <f t="shared" si="400"/>
        <v>19344.07499883349</v>
      </c>
      <c r="N322" s="1699">
        <f t="shared" si="400"/>
        <v>17383.812252808417</v>
      </c>
      <c r="O322" s="1699">
        <f t="shared" si="400"/>
        <v>17352.988539188362</v>
      </c>
      <c r="P322" s="1699">
        <f t="shared" si="400"/>
        <v>17723.285626025889</v>
      </c>
      <c r="Q322" s="2039">
        <f>SUM(M322:P322)</f>
        <v>71804.16141685615</v>
      </c>
      <c r="R322" s="1699">
        <f ca="1">R66*R270</f>
        <v>15239.129517540989</v>
      </c>
      <c r="S322" s="1699">
        <f ca="1">S66*S270</f>
        <v>420.21064764006161</v>
      </c>
      <c r="T322" s="1699">
        <f>T66*T270</f>
        <v>19350.096912677287</v>
      </c>
      <c r="U322" s="1699">
        <f>U66*U270</f>
        <v>32372.906683987974</v>
      </c>
      <c r="V322" s="2039">
        <f ca="1">SUM(R322:U322)</f>
        <v>67382.343761846307</v>
      </c>
      <c r="W322" s="1699">
        <f t="shared" ref="W322:AH322" ca="1" si="405">W66*W270</f>
        <v>16690.875307254373</v>
      </c>
      <c r="X322" s="1699">
        <f t="shared" ca="1" si="405"/>
        <v>2428.9786953288858</v>
      </c>
      <c r="Y322" s="1699">
        <f t="shared" si="405"/>
        <v>2386.7932243127084</v>
      </c>
      <c r="Z322" s="1699">
        <f t="shared" si="405"/>
        <v>17667.199749872227</v>
      </c>
      <c r="AA322" s="2039">
        <f t="shared" ca="1" si="405"/>
        <v>39132.757496877937</v>
      </c>
      <c r="AB322" s="1699">
        <f t="shared" si="405"/>
        <v>11615</v>
      </c>
      <c r="AC322" s="1699">
        <f t="shared" si="405"/>
        <v>11615</v>
      </c>
      <c r="AD322" s="1699">
        <f t="shared" si="405"/>
        <v>11505</v>
      </c>
      <c r="AE322" s="1699">
        <f t="shared" si="405"/>
        <v>11505</v>
      </c>
      <c r="AF322" s="1699">
        <f t="shared" si="405"/>
        <v>13776</v>
      </c>
      <c r="AG322" s="1699">
        <f t="shared" si="405"/>
        <v>13776</v>
      </c>
      <c r="AH322" s="1699">
        <f t="shared" si="405"/>
        <v>13782</v>
      </c>
      <c r="AI322" s="1699"/>
      <c r="AJ322" s="2039">
        <f t="shared" ref="AJ322:AT322" si="406">AJ66*AJ270</f>
        <v>50688</v>
      </c>
      <c r="AK322" s="1699">
        <f t="shared" si="406"/>
        <v>9205.9187692307696</v>
      </c>
      <c r="AL322" s="1699">
        <f t="shared" si="406"/>
        <v>6942</v>
      </c>
      <c r="AM322" s="1699">
        <f t="shared" si="406"/>
        <v>6924</v>
      </c>
      <c r="AN322" s="1699">
        <f t="shared" si="406"/>
        <v>6924</v>
      </c>
      <c r="AO322" s="2039">
        <f t="shared" si="406"/>
        <v>29926</v>
      </c>
      <c r="AP322" s="1699">
        <f t="shared" si="406"/>
        <v>6942.8095312500009</v>
      </c>
      <c r="AQ322" s="1699">
        <f t="shared" si="406"/>
        <v>6952.8955384615401</v>
      </c>
      <c r="AR322" s="1699">
        <f t="shared" si="406"/>
        <v>6951.4318181818171</v>
      </c>
      <c r="AS322" s="1699">
        <f t="shared" si="406"/>
        <v>11521.05</v>
      </c>
      <c r="AT322" s="2039">
        <f t="shared" si="406"/>
        <v>32410</v>
      </c>
      <c r="AU322" s="1699"/>
      <c r="AV322" s="1699"/>
      <c r="AW322" s="1699"/>
      <c r="AX322" s="1699"/>
      <c r="AY322" s="2039"/>
      <c r="AZ322" s="1699"/>
      <c r="BA322" s="1699"/>
      <c r="BB322" s="1699"/>
      <c r="BC322" s="1699"/>
      <c r="BD322" s="2039"/>
      <c r="BE322" s="1699"/>
      <c r="BF322" s="1699"/>
      <c r="BG322" s="1699"/>
      <c r="BH322" s="1699"/>
      <c r="BI322" s="2039"/>
      <c r="BJ322" s="1699"/>
      <c r="BK322" s="1699"/>
      <c r="BL322" s="1699"/>
      <c r="BM322" s="1699"/>
      <c r="BN322" s="2039"/>
      <c r="BO322" s="1699"/>
      <c r="BP322" s="1699"/>
      <c r="BQ322" s="1293"/>
      <c r="BR322" s="1293"/>
      <c r="BS322" s="1293"/>
      <c r="BT322" s="1293"/>
      <c r="BU322" s="1293"/>
      <c r="BV322" s="1293"/>
      <c r="BW322" s="1293"/>
      <c r="BX322" s="1293"/>
      <c r="BY322" s="1293"/>
      <c r="BZ322" s="1293"/>
      <c r="CA322" s="1293"/>
      <c r="CB322" s="1293"/>
      <c r="CC322" s="1293"/>
      <c r="CD322" s="1293"/>
      <c r="CE322" s="1293"/>
      <c r="CF322" s="1293"/>
      <c r="CG322" s="1293"/>
      <c r="CH322" s="1293"/>
      <c r="CI322" s="1293"/>
      <c r="CJ322" s="1293"/>
      <c r="CK322" s="1293"/>
      <c r="CL322" s="1293"/>
      <c r="CM322" s="1293"/>
      <c r="CN322" s="1293"/>
      <c r="CO322" s="1293"/>
      <c r="CP322" s="1293"/>
      <c r="CQ322" s="1293"/>
      <c r="CR322" s="1293"/>
      <c r="CS322" s="1293"/>
      <c r="CT322" s="1293"/>
      <c r="CU322" s="1293"/>
      <c r="CV322" s="1293"/>
      <c r="CW322" s="1293"/>
      <c r="CX322" s="1293"/>
      <c r="CY322" s="2041"/>
      <c r="CZ322" s="1699"/>
      <c r="DA322" s="2042"/>
      <c r="DB322" s="2041"/>
      <c r="DC322" s="1293"/>
      <c r="DD322" s="1293"/>
      <c r="DE322" s="1293"/>
      <c r="DF322" s="1293"/>
      <c r="DG322" s="1293"/>
      <c r="DH322" s="1293"/>
      <c r="DI322" s="1293"/>
      <c r="DJ322" s="1293"/>
      <c r="DK322" s="1293"/>
      <c r="DL322" s="2147">
        <v>525.37980000000005</v>
      </c>
    </row>
    <row r="323" spans="1:116" ht="16.5" collapsed="1" thickBot="1">
      <c r="A323" s="1293"/>
      <c r="B323" s="1293"/>
      <c r="C323" s="1293"/>
      <c r="D323" s="1293"/>
      <c r="E323" s="1293"/>
      <c r="F323" s="1293"/>
      <c r="G323" s="2080"/>
      <c r="H323" s="1293"/>
      <c r="I323" s="1293"/>
      <c r="J323" s="1293"/>
      <c r="K323" s="1293"/>
      <c r="L323" s="2080"/>
      <c r="M323" s="1293"/>
      <c r="N323" s="1293"/>
      <c r="O323" s="1293"/>
      <c r="P323" s="1293"/>
      <c r="Q323" s="2080"/>
      <c r="R323" s="1293"/>
      <c r="S323" s="1293"/>
      <c r="T323" s="1293"/>
      <c r="U323" s="1293"/>
      <c r="V323" s="2080"/>
      <c r="W323" s="1293"/>
      <c r="X323" s="1293"/>
      <c r="Y323" s="1293"/>
      <c r="Z323" s="1293"/>
      <c r="AA323" s="2080"/>
      <c r="AB323" s="1293"/>
      <c r="AC323" s="1293"/>
      <c r="AD323" s="1293"/>
      <c r="AE323" s="1293"/>
      <c r="AF323" s="1293"/>
      <c r="AG323" s="1293"/>
      <c r="AH323" s="1293"/>
      <c r="AI323" s="1293"/>
      <c r="AJ323" s="2080"/>
      <c r="AK323" s="1293"/>
      <c r="AL323" s="1293"/>
      <c r="AM323" s="1293"/>
      <c r="AN323" s="1293"/>
      <c r="AO323" s="2080"/>
      <c r="AP323" s="1293"/>
      <c r="AQ323" s="1293"/>
      <c r="AR323" s="1293"/>
      <c r="AS323" s="1293"/>
      <c r="AT323" s="2080"/>
      <c r="AU323" s="1293"/>
      <c r="AV323" s="1293"/>
      <c r="AW323" s="1293"/>
      <c r="AX323" s="1293"/>
      <c r="AY323" s="2080"/>
      <c r="AZ323" s="1293"/>
      <c r="BA323" s="1293"/>
      <c r="BB323" s="1293"/>
      <c r="BC323" s="1293"/>
      <c r="BD323" s="2080"/>
      <c r="BE323" s="1293"/>
      <c r="BF323" s="1293"/>
      <c r="BG323" s="1293"/>
      <c r="BH323" s="1293"/>
      <c r="BI323" s="2080"/>
      <c r="BJ323" s="1293"/>
      <c r="BK323" s="1293"/>
      <c r="BL323" s="1293"/>
      <c r="BM323" s="1293"/>
      <c r="BN323" s="2080"/>
      <c r="BO323" s="1293"/>
      <c r="BP323" s="1293"/>
      <c r="BQ323" s="1293"/>
      <c r="BR323" s="1293"/>
      <c r="BS323" s="1293"/>
      <c r="BT323" s="1293"/>
      <c r="BU323" s="1293"/>
      <c r="BV323" s="1293"/>
      <c r="BW323" s="1293"/>
      <c r="BX323" s="1293"/>
      <c r="BY323" s="1293"/>
      <c r="BZ323" s="1293"/>
      <c r="CA323" s="1293"/>
      <c r="CB323" s="1293"/>
      <c r="CC323" s="1293"/>
      <c r="CD323" s="1293"/>
      <c r="CE323" s="1293"/>
      <c r="CF323" s="1293"/>
      <c r="CG323" s="1293"/>
      <c r="CH323" s="1293"/>
      <c r="CI323" s="1293"/>
      <c r="CJ323" s="1293"/>
      <c r="CK323" s="1293"/>
      <c r="CL323" s="1293"/>
      <c r="CM323" s="1293"/>
      <c r="CN323" s="1293"/>
      <c r="CO323" s="1293"/>
      <c r="CP323" s="1293"/>
      <c r="CQ323" s="1293"/>
      <c r="CR323" s="1293"/>
      <c r="CS323" s="1293"/>
      <c r="CT323" s="1293"/>
      <c r="CU323" s="1293"/>
      <c r="CV323" s="1293"/>
      <c r="CW323" s="1293"/>
      <c r="CX323" s="1293"/>
      <c r="CY323" s="2032"/>
      <c r="CZ323" s="1293"/>
      <c r="DA323" s="2031"/>
      <c r="DB323" s="2032"/>
      <c r="DC323" s="1293"/>
      <c r="DD323" s="1293"/>
      <c r="DE323" s="1293"/>
      <c r="DF323" s="1293"/>
      <c r="DG323" s="1293"/>
      <c r="DH323" s="1293"/>
      <c r="DI323" s="1293"/>
      <c r="DJ323" s="1293"/>
      <c r="DK323" s="1293"/>
      <c r="DL323" s="2147">
        <v>525.54229999999995</v>
      </c>
    </row>
    <row r="324" spans="1:116" ht="16.5" thickBot="1">
      <c r="A324" s="1293"/>
      <c r="B324" s="1293"/>
      <c r="C324" s="1293"/>
      <c r="D324" s="1293"/>
      <c r="E324" s="1293"/>
      <c r="F324" s="1293"/>
      <c r="G324" s="2080"/>
      <c r="H324" s="1293"/>
      <c r="I324" s="1293"/>
      <c r="J324" s="1293"/>
      <c r="K324" s="1293"/>
      <c r="L324" s="2080"/>
      <c r="M324" s="1293"/>
      <c r="N324" s="1293"/>
      <c r="O324" s="1293"/>
      <c r="P324" s="1293"/>
      <c r="Q324" s="2080"/>
      <c r="R324" s="1293"/>
      <c r="S324" s="1293"/>
      <c r="T324" s="1293"/>
      <c r="U324" s="1293"/>
      <c r="V324" s="2080"/>
      <c r="W324" s="1293"/>
      <c r="X324" s="1293"/>
      <c r="Y324" s="1293"/>
      <c r="Z324" s="1293"/>
      <c r="AA324" s="2080"/>
      <c r="AB324" s="1293"/>
      <c r="AC324" s="1293"/>
      <c r="AD324" s="1293"/>
      <c r="AE324" s="1293"/>
      <c r="AF324" s="1293"/>
      <c r="AG324" s="1293"/>
      <c r="AH324" s="1293"/>
      <c r="AI324" s="1293"/>
      <c r="AJ324" s="2080"/>
      <c r="AK324" s="1293"/>
      <c r="AL324" s="1293"/>
      <c r="AM324" s="1293"/>
      <c r="AN324" s="1293"/>
      <c r="AO324" s="2080"/>
      <c r="AP324" s="1293"/>
      <c r="AQ324" s="1293"/>
      <c r="AR324" s="1293"/>
      <c r="AS324" s="1293"/>
      <c r="AT324" s="2080"/>
      <c r="AU324" s="1293"/>
      <c r="AV324" s="1293"/>
      <c r="AW324" s="1293"/>
      <c r="AX324" s="1293"/>
      <c r="AY324" s="2080"/>
      <c r="AZ324" s="1293"/>
      <c r="BA324" s="1293"/>
      <c r="BB324" s="1293"/>
      <c r="BC324" s="1293"/>
      <c r="BD324" s="2080"/>
      <c r="BE324" s="1293"/>
      <c r="BF324" s="1293"/>
      <c r="BG324" s="1293"/>
      <c r="BH324" s="1293"/>
      <c r="BI324" s="2080"/>
      <c r="BJ324" s="1293"/>
      <c r="BK324" s="1293"/>
      <c r="BL324" s="1293"/>
      <c r="BM324" s="1293"/>
      <c r="BN324" s="2080"/>
      <c r="BO324" s="1293"/>
      <c r="BP324" s="1293"/>
      <c r="BQ324" s="1293"/>
      <c r="BR324" s="1293"/>
      <c r="BS324" s="1293"/>
      <c r="BT324" s="1293"/>
      <c r="BU324" s="1293"/>
      <c r="BV324" s="1293"/>
      <c r="BW324" s="1293"/>
      <c r="BX324" s="1293"/>
      <c r="BY324" s="1293"/>
      <c r="BZ324" s="1293"/>
      <c r="CA324" s="1293"/>
      <c r="CB324" s="1293"/>
      <c r="CC324" s="1293"/>
      <c r="CD324" s="1293"/>
      <c r="CE324" s="1293"/>
      <c r="CF324" s="1293"/>
      <c r="CG324" s="1293"/>
      <c r="CH324" s="1293"/>
      <c r="CI324" s="1293"/>
      <c r="CJ324" s="1293"/>
      <c r="CK324" s="1293"/>
      <c r="CL324" s="1293"/>
      <c r="CM324" s="1293"/>
      <c r="CN324" s="1293"/>
      <c r="CO324" s="1293"/>
      <c r="CP324" s="1293"/>
      <c r="CQ324" s="1293"/>
      <c r="CR324" s="1293"/>
      <c r="CS324" s="1293"/>
      <c r="CT324" s="1293"/>
      <c r="CU324" s="1293"/>
      <c r="CV324" s="1293"/>
      <c r="CW324" s="1293"/>
      <c r="CX324" s="1293"/>
      <c r="CY324" s="2032"/>
      <c r="CZ324" s="1293"/>
      <c r="DA324" s="2031"/>
      <c r="DB324" s="2032"/>
      <c r="DC324" s="1293"/>
      <c r="DD324" s="1293"/>
      <c r="DE324" s="1293"/>
      <c r="DF324" s="1293"/>
      <c r="DG324" s="1293"/>
      <c r="DH324" s="1293"/>
      <c r="DI324" s="1293"/>
      <c r="DJ324" s="1293"/>
      <c r="DK324" s="1293"/>
      <c r="DL324" s="2147"/>
    </row>
    <row r="325" spans="1:116" ht="16.5" thickBot="1">
      <c r="A325" s="1293"/>
      <c r="B325" s="2033" t="s">
        <v>9025</v>
      </c>
      <c r="C325" s="1293"/>
      <c r="D325" s="1293"/>
      <c r="E325" s="1293"/>
      <c r="F325" s="1293"/>
      <c r="G325" s="2080"/>
      <c r="H325" s="1293"/>
      <c r="I325" s="1293"/>
      <c r="J325" s="1293"/>
      <c r="K325" s="1293"/>
      <c r="L325" s="2080"/>
      <c r="M325" s="1293"/>
      <c r="N325" s="1293"/>
      <c r="O325" s="1293"/>
      <c r="P325" s="1293"/>
      <c r="Q325" s="2080"/>
      <c r="R325" s="1293"/>
      <c r="S325" s="1293"/>
      <c r="T325" s="1293"/>
      <c r="U325" s="1293"/>
      <c r="V325" s="2080"/>
      <c r="W325" s="1293"/>
      <c r="X325" s="1293"/>
      <c r="Y325" s="1293"/>
      <c r="Z325" s="1293"/>
      <c r="AA325" s="2080"/>
      <c r="AB325" s="1293"/>
      <c r="AC325" s="1293"/>
      <c r="AD325" s="1293"/>
      <c r="AE325" s="1293"/>
      <c r="AF325" s="1293"/>
      <c r="AG325" s="1293"/>
      <c r="AH325" s="1293"/>
      <c r="AI325" s="1293"/>
      <c r="AJ325" s="2080"/>
      <c r="AK325" s="1293"/>
      <c r="AL325" s="1293"/>
      <c r="AM325" s="1293"/>
      <c r="AN325" s="1293"/>
      <c r="AO325" s="2080"/>
      <c r="AP325" s="1293"/>
      <c r="AQ325" s="1293"/>
      <c r="AR325" s="1293"/>
      <c r="AS325" s="1293"/>
      <c r="AT325" s="2080"/>
      <c r="AU325" s="1293"/>
      <c r="AV325" s="1293"/>
      <c r="AW325" s="1293"/>
      <c r="AX325" s="1293"/>
      <c r="AY325" s="2080"/>
      <c r="AZ325" s="1293"/>
      <c r="BA325" s="1293"/>
      <c r="BB325" s="1293"/>
      <c r="BC325" s="1293"/>
      <c r="BD325" s="2080"/>
      <c r="BE325" s="1293"/>
      <c r="BF325" s="1293"/>
      <c r="BG325" s="1293"/>
      <c r="BH325" s="1293"/>
      <c r="BI325" s="2080"/>
      <c r="BJ325" s="1293"/>
      <c r="BK325" s="1293"/>
      <c r="BL325" s="1293"/>
      <c r="BM325" s="1293"/>
      <c r="BN325" s="2080"/>
      <c r="BO325" s="1293"/>
      <c r="BP325" s="1293"/>
      <c r="BQ325" s="1293"/>
      <c r="BR325" s="1293"/>
      <c r="BS325" s="1293"/>
      <c r="BT325" s="1293"/>
      <c r="BU325" s="1293"/>
      <c r="BV325" s="1293"/>
      <c r="BW325" s="1293"/>
      <c r="BX325" s="1293"/>
      <c r="BY325" s="1293"/>
      <c r="BZ325" s="1293"/>
      <c r="CA325" s="1293"/>
      <c r="CB325" s="1293"/>
      <c r="CC325" s="1293"/>
      <c r="CD325" s="1293"/>
      <c r="CE325" s="1293"/>
      <c r="CF325" s="1293"/>
      <c r="CG325" s="1293"/>
      <c r="CH325" s="1293"/>
      <c r="CI325" s="1293"/>
      <c r="CJ325" s="1293"/>
      <c r="CK325" s="1293"/>
      <c r="CL325" s="1293"/>
      <c r="CM325" s="1293"/>
      <c r="CN325" s="1293"/>
      <c r="CO325" s="1293"/>
      <c r="CP325" s="1293"/>
      <c r="CQ325" s="1293"/>
      <c r="CR325" s="1293"/>
      <c r="CS325" s="1293"/>
      <c r="CT325" s="1293"/>
      <c r="CU325" s="1293"/>
      <c r="CV325" s="1293"/>
      <c r="CW325" s="1293"/>
      <c r="CX325" s="1293"/>
      <c r="CY325" s="2032"/>
      <c r="CZ325" s="1293"/>
      <c r="DA325" s="2031"/>
      <c r="DB325" s="2032"/>
      <c r="DC325" s="1293"/>
      <c r="DD325" s="1293"/>
      <c r="DE325" s="1293"/>
      <c r="DF325" s="1293"/>
      <c r="DG325" s="1293"/>
      <c r="DH325" s="1293"/>
      <c r="DI325" s="1293"/>
      <c r="DJ325" s="1293"/>
      <c r="DK325" s="1293"/>
      <c r="DL325" s="2147">
        <v>522.88250000000005</v>
      </c>
    </row>
    <row r="326" spans="1:116" ht="16.5" thickBot="1">
      <c r="A326" s="1293"/>
      <c r="B326" s="1293" t="str">
        <f>B76</f>
        <v>El Salvador</v>
      </c>
      <c r="C326" s="1699">
        <f t="shared" ref="C326:P326" si="407">C76*C251</f>
        <v>5.195591549999989</v>
      </c>
      <c r="D326" s="1699">
        <f t="shared" si="407"/>
        <v>7.8051865600000099</v>
      </c>
      <c r="E326" s="1699">
        <f t="shared" si="407"/>
        <v>7.1873254900000063</v>
      </c>
      <c r="F326" s="1699">
        <f t="shared" si="407"/>
        <v>9.8995910200000026</v>
      </c>
      <c r="G326" s="2039">
        <f t="shared" si="407"/>
        <v>30.087694619999979</v>
      </c>
      <c r="H326" s="1699">
        <f t="shared" si="407"/>
        <v>7.1899806299999938</v>
      </c>
      <c r="I326" s="1699">
        <f t="shared" si="407"/>
        <v>7.5429170599999935</v>
      </c>
      <c r="J326" s="1699">
        <f t="shared" si="407"/>
        <v>6.6342395599999975</v>
      </c>
      <c r="K326" s="1699">
        <f t="shared" si="407"/>
        <v>8.2254870999999952</v>
      </c>
      <c r="L326" s="2039">
        <f t="shared" si="407"/>
        <v>29.592624349999994</v>
      </c>
      <c r="M326" s="1699">
        <f t="shared" si="407"/>
        <v>5.473127109999993</v>
      </c>
      <c r="N326" s="1699">
        <f t="shared" si="407"/>
        <v>5.557361819999997</v>
      </c>
      <c r="O326" s="1699">
        <f t="shared" si="407"/>
        <v>5.5517114500006102</v>
      </c>
      <c r="P326" s="1699">
        <f t="shared" si="407"/>
        <v>9</v>
      </c>
      <c r="Q326" s="2039"/>
      <c r="R326" s="1699">
        <f t="shared" ref="R326:U328" si="408">R76*R251</f>
        <v>6</v>
      </c>
      <c r="S326" s="1699">
        <f t="shared" si="408"/>
        <v>6</v>
      </c>
      <c r="T326" s="1699">
        <f t="shared" si="408"/>
        <v>5</v>
      </c>
      <c r="U326" s="1699">
        <f t="shared" si="408"/>
        <v>7</v>
      </c>
      <c r="V326" s="2039"/>
      <c r="W326" s="1699">
        <f t="shared" ref="W326:Z328" si="409">W76*W251</f>
        <v>8</v>
      </c>
      <c r="X326" s="1699">
        <f t="shared" si="409"/>
        <v>9</v>
      </c>
      <c r="Y326" s="1699">
        <f t="shared" si="409"/>
        <v>8</v>
      </c>
      <c r="Z326" s="1699">
        <f t="shared" si="409"/>
        <v>10</v>
      </c>
      <c r="AA326" s="2039"/>
      <c r="AB326" s="1699"/>
      <c r="AC326" s="1699"/>
      <c r="AD326" s="1699"/>
      <c r="AE326" s="1699"/>
      <c r="AF326" s="1699"/>
      <c r="AG326" s="1699"/>
      <c r="AH326" s="1699"/>
      <c r="AI326" s="1699"/>
      <c r="AJ326" s="2039"/>
      <c r="AK326" s="1699"/>
      <c r="AL326" s="1699"/>
      <c r="AM326" s="1699"/>
      <c r="AN326" s="1699"/>
      <c r="AO326" s="2039"/>
      <c r="AP326" s="1699"/>
      <c r="AQ326" s="1699"/>
      <c r="AR326" s="1699"/>
      <c r="AS326" s="1699"/>
      <c r="AT326" s="2039"/>
      <c r="AU326" s="1699"/>
      <c r="AV326" s="1699"/>
      <c r="AW326" s="1699"/>
      <c r="AX326" s="1699"/>
      <c r="AY326" s="2039"/>
      <c r="AZ326" s="1699"/>
      <c r="BA326" s="1699"/>
      <c r="BB326" s="1699"/>
      <c r="BC326" s="1699"/>
      <c r="BD326" s="2039"/>
      <c r="BE326" s="1699">
        <f>BE276-BE301</f>
        <v>13.762599999999992</v>
      </c>
      <c r="BF326" s="1699">
        <f t="shared" ref="BF326:BH326" si="410">BF276-BF301</f>
        <v>10.408799999999999</v>
      </c>
      <c r="BG326" s="1699">
        <f t="shared" si="410"/>
        <v>11.686226599999998</v>
      </c>
      <c r="BH326" s="1699">
        <f t="shared" si="410"/>
        <v>11.742699999999999</v>
      </c>
      <c r="BI326" s="2039"/>
      <c r="BJ326" s="1699">
        <f>BN326/4</f>
        <v>11.9255</v>
      </c>
      <c r="BK326" s="1699">
        <f>BJ326</f>
        <v>11.9255</v>
      </c>
      <c r="BL326" s="1699">
        <f>BK326</f>
        <v>11.9255</v>
      </c>
      <c r="BM326" s="1699">
        <f>BN326-BJ326-BK326-BL326</f>
        <v>11.9255</v>
      </c>
      <c r="BN326" s="2039">
        <f>'New split'!O249</f>
        <v>47.701999999999998</v>
      </c>
      <c r="BO326" s="1699"/>
      <c r="BP326" s="1699"/>
      <c r="BQ326" s="1293"/>
      <c r="BR326" s="1293"/>
      <c r="BS326" s="1293"/>
      <c r="BT326" s="1293"/>
      <c r="BU326" s="1293"/>
      <c r="BV326" s="1293"/>
      <c r="BW326" s="1293"/>
      <c r="BX326" s="1293"/>
      <c r="BY326" s="1293"/>
      <c r="BZ326" s="1293"/>
      <c r="CA326" s="1293"/>
      <c r="CB326" s="1293"/>
      <c r="CC326" s="1293"/>
      <c r="CD326" s="1293"/>
      <c r="CE326" s="1293"/>
      <c r="CF326" s="1293"/>
      <c r="CG326" s="1293"/>
      <c r="CH326" s="1293"/>
      <c r="CI326" s="1293"/>
      <c r="CJ326" s="1293"/>
      <c r="CK326" s="1293"/>
      <c r="CL326" s="1293"/>
      <c r="CM326" s="1293"/>
      <c r="CN326" s="1293"/>
      <c r="CO326" s="1293"/>
      <c r="CP326" s="1293"/>
      <c r="CQ326" s="1293"/>
      <c r="CR326" s="1293"/>
      <c r="CS326" s="1293"/>
      <c r="CT326" s="1293"/>
      <c r="CU326" s="1293"/>
      <c r="CV326" s="1293"/>
      <c r="CW326" s="1293"/>
      <c r="CX326" s="1293"/>
      <c r="CY326" s="2041"/>
      <c r="CZ326" s="1699"/>
      <c r="DA326" s="2042"/>
      <c r="DB326" s="2041"/>
      <c r="DC326" s="1293"/>
      <c r="DD326" s="1293"/>
      <c r="DE326" s="1293"/>
      <c r="DF326" s="1293"/>
      <c r="DG326" s="1293"/>
      <c r="DH326" s="1293"/>
      <c r="DI326" s="1293"/>
      <c r="DJ326" s="1293"/>
      <c r="DK326" s="1293"/>
      <c r="DL326" s="2147">
        <v>522.62239999999997</v>
      </c>
    </row>
    <row r="327" spans="1:116" ht="16.5" thickBot="1">
      <c r="A327" s="1293"/>
      <c r="B327" s="1293" t="str">
        <f>B77</f>
        <v>Guatemala</v>
      </c>
      <c r="C327" s="1699">
        <f t="shared" ref="C327:P327" si="411">C77*C252</f>
        <v>241.89165773016742</v>
      </c>
      <c r="D327" s="1699">
        <f t="shared" si="411"/>
        <v>252.64611060000141</v>
      </c>
      <c r="E327" s="1699">
        <f t="shared" si="411"/>
        <v>243.67949680254964</v>
      </c>
      <c r="F327" s="1699">
        <f t="shared" si="411"/>
        <v>320.41152254478078</v>
      </c>
      <c r="G327" s="2039">
        <f t="shared" si="411"/>
        <v>1059.8858772873673</v>
      </c>
      <c r="H327" s="1699">
        <f t="shared" si="411"/>
        <v>266.12405757955128</v>
      </c>
      <c r="I327" s="1699">
        <f t="shared" si="411"/>
        <v>260.52047104092981</v>
      </c>
      <c r="J327" s="1699">
        <f t="shared" si="411"/>
        <v>283.37728232156581</v>
      </c>
      <c r="K327" s="1699">
        <f t="shared" si="411"/>
        <v>336.92723921562032</v>
      </c>
      <c r="L327" s="2039">
        <f t="shared" si="411"/>
        <v>1147.010226670498</v>
      </c>
      <c r="M327" s="1699">
        <f t="shared" si="411"/>
        <v>240.20646334135319</v>
      </c>
      <c r="N327" s="1699">
        <f t="shared" si="411"/>
        <v>277.86050334733966</v>
      </c>
      <c r="O327" s="1699">
        <f t="shared" si="411"/>
        <v>253.57143396107995</v>
      </c>
      <c r="P327" s="1699">
        <f t="shared" si="411"/>
        <v>300.79999999999995</v>
      </c>
      <c r="Q327" s="2039"/>
      <c r="R327" s="1699">
        <f t="shared" si="408"/>
        <v>252.62</v>
      </c>
      <c r="S327" s="1699">
        <f t="shared" si="408"/>
        <v>249.56</v>
      </c>
      <c r="T327" s="1699">
        <f t="shared" si="408"/>
        <v>248.54</v>
      </c>
      <c r="U327" s="1699">
        <f t="shared" si="408"/>
        <v>308.27999999999997</v>
      </c>
      <c r="V327" s="2039"/>
      <c r="W327" s="1699">
        <f t="shared" si="409"/>
        <v>279.89441353846149</v>
      </c>
      <c r="X327" s="1699">
        <f t="shared" si="409"/>
        <v>305.23135015384611</v>
      </c>
      <c r="Y327" s="1699">
        <f t="shared" si="409"/>
        <v>309.59815923076928</v>
      </c>
      <c r="Z327" s="1699">
        <f t="shared" si="409"/>
        <v>401.44</v>
      </c>
      <c r="AA327" s="2039"/>
      <c r="AB327" s="1699"/>
      <c r="AC327" s="1699"/>
      <c r="AD327" s="1699"/>
      <c r="AE327" s="1699"/>
      <c r="AF327" s="1699"/>
      <c r="AG327" s="1699"/>
      <c r="AH327" s="1699"/>
      <c r="AI327" s="1699"/>
      <c r="AJ327" s="2039"/>
      <c r="AK327" s="1699"/>
      <c r="AL327" s="1699"/>
      <c r="AM327" s="1699"/>
      <c r="AN327" s="1699"/>
      <c r="AO327" s="2039"/>
      <c r="AP327" s="1699"/>
      <c r="AQ327" s="1699"/>
      <c r="AR327" s="1699"/>
      <c r="AS327" s="1699"/>
      <c r="AT327" s="2039"/>
      <c r="AU327" s="1699"/>
      <c r="AV327" s="1699"/>
      <c r="AW327" s="1699"/>
      <c r="AX327" s="1699"/>
      <c r="AY327" s="2039"/>
      <c r="AZ327" s="1699"/>
      <c r="BA327" s="1699"/>
      <c r="BB327" s="1699"/>
      <c r="BC327" s="1699"/>
      <c r="BD327" s="2039"/>
      <c r="BE327" s="1699">
        <f t="shared" ref="BE327:BH327" si="412">BE277-BE302</f>
        <v>447.59817697000017</v>
      </c>
      <c r="BF327" s="1699">
        <f t="shared" si="412"/>
        <v>400.50064879999991</v>
      </c>
      <c r="BG327" s="1699">
        <f t="shared" si="412"/>
        <v>389.35891705999984</v>
      </c>
      <c r="BH327" s="1699">
        <f t="shared" si="412"/>
        <v>413.35427600000003</v>
      </c>
      <c r="BI327" s="2039"/>
      <c r="BJ327" s="1699">
        <f t="shared" ref="BJ327:BJ339" si="413">BN327/4</f>
        <v>412.44409717000008</v>
      </c>
      <c r="BK327" s="1699">
        <f t="shared" ref="BK327:BL327" si="414">BJ327</f>
        <v>412.44409717000008</v>
      </c>
      <c r="BL327" s="1699">
        <f t="shared" si="414"/>
        <v>412.44409717000008</v>
      </c>
      <c r="BM327" s="1699">
        <f t="shared" ref="BM327:BM339" si="415">BN327-BJ327-BK327-BL327</f>
        <v>412.44409717000008</v>
      </c>
      <c r="BN327" s="2039">
        <f>'New split'!O250</f>
        <v>1649.7763886800003</v>
      </c>
      <c r="BO327" s="1699"/>
      <c r="BP327" s="1699"/>
      <c r="BQ327" s="1293"/>
      <c r="BR327" s="1293"/>
      <c r="BS327" s="1293"/>
      <c r="BT327" s="1293"/>
      <c r="BU327" s="1293"/>
      <c r="BV327" s="1293"/>
      <c r="BW327" s="1293"/>
      <c r="BX327" s="1293"/>
      <c r="BY327" s="1293"/>
      <c r="BZ327" s="1293"/>
      <c r="CA327" s="1293"/>
      <c r="CB327" s="1293"/>
      <c r="CC327" s="1293"/>
      <c r="CD327" s="1293"/>
      <c r="CE327" s="1293"/>
      <c r="CF327" s="1293"/>
      <c r="CG327" s="1293"/>
      <c r="CH327" s="1293"/>
      <c r="CI327" s="1293"/>
      <c r="CJ327" s="1293"/>
      <c r="CK327" s="1293"/>
      <c r="CL327" s="1293"/>
      <c r="CM327" s="1293"/>
      <c r="CN327" s="1293"/>
      <c r="CO327" s="1293"/>
      <c r="CP327" s="1293"/>
      <c r="CQ327" s="1293"/>
      <c r="CR327" s="1293"/>
      <c r="CS327" s="1293"/>
      <c r="CT327" s="1293"/>
      <c r="CU327" s="1293"/>
      <c r="CV327" s="1293"/>
      <c r="CW327" s="1293"/>
      <c r="CX327" s="1293"/>
      <c r="CY327" s="2041"/>
      <c r="CZ327" s="1699"/>
      <c r="DA327" s="2042"/>
      <c r="DB327" s="2041"/>
      <c r="DC327" s="1293"/>
      <c r="DD327" s="1293"/>
      <c r="DE327" s="1293"/>
      <c r="DF327" s="1293"/>
      <c r="DG327" s="1293"/>
      <c r="DH327" s="1293"/>
      <c r="DI327" s="1293"/>
      <c r="DJ327" s="1293"/>
      <c r="DK327" s="1293"/>
      <c r="DL327" s="2147">
        <v>522.62070000000006</v>
      </c>
    </row>
    <row r="328" spans="1:116" ht="16.5" thickBot="1">
      <c r="A328" s="1293"/>
      <c r="B328" s="1293" t="str">
        <f>B78</f>
        <v>Honduras (JV)</v>
      </c>
      <c r="C328" s="1699">
        <f t="shared" ref="C328:P328" si="416">C78*C253</f>
        <v>84.560306282408177</v>
      </c>
      <c r="D328" s="1699">
        <f t="shared" si="416"/>
        <v>99.393677182408595</v>
      </c>
      <c r="E328" s="1699">
        <f t="shared" si="416"/>
        <v>119.71107248146156</v>
      </c>
      <c r="F328" s="1699">
        <f t="shared" si="416"/>
        <v>237.78054719491354</v>
      </c>
      <c r="G328" s="2039">
        <f t="shared" si="416"/>
        <v>538.77882100542126</v>
      </c>
      <c r="H328" s="1699">
        <f t="shared" si="416"/>
        <v>209.43305101865909</v>
      </c>
      <c r="I328" s="1699">
        <f t="shared" si="416"/>
        <v>174.8259200112102</v>
      </c>
      <c r="J328" s="1699">
        <f t="shared" si="416"/>
        <v>147.40575411035209</v>
      </c>
      <c r="K328" s="1699">
        <f t="shared" si="416"/>
        <v>180.92293877684423</v>
      </c>
      <c r="L328" s="2039">
        <f t="shared" si="416"/>
        <v>712.79918131642421</v>
      </c>
      <c r="M328" s="1699">
        <f t="shared" si="416"/>
        <v>162.55020598534665</v>
      </c>
      <c r="N328" s="1699">
        <f t="shared" si="416"/>
        <v>150.11835083918464</v>
      </c>
      <c r="O328" s="1699">
        <f t="shared" si="416"/>
        <v>113.18192136574092</v>
      </c>
      <c r="P328" s="1699">
        <f t="shared" si="416"/>
        <v>116.19999999999999</v>
      </c>
      <c r="Q328" s="2039"/>
      <c r="R328" s="1699">
        <f t="shared" si="408"/>
        <v>141.72</v>
      </c>
      <c r="S328" s="1699">
        <f t="shared" si="408"/>
        <v>141.30000000000001</v>
      </c>
      <c r="T328" s="1699">
        <f t="shared" si="408"/>
        <v>93.96</v>
      </c>
      <c r="U328" s="1699">
        <f t="shared" si="408"/>
        <v>94.12</v>
      </c>
      <c r="V328" s="2039"/>
      <c r="W328" s="1699">
        <f t="shared" si="409"/>
        <v>165.15887230769221</v>
      </c>
      <c r="X328" s="1699">
        <f t="shared" si="409"/>
        <v>190.46752000000004</v>
      </c>
      <c r="Y328" s="1699">
        <f t="shared" si="409"/>
        <v>192.15881846153843</v>
      </c>
      <c r="Z328" s="1699">
        <f t="shared" si="409"/>
        <v>218.60999999999999</v>
      </c>
      <c r="AA328" s="2039"/>
      <c r="AB328" s="1699"/>
      <c r="AC328" s="1699"/>
      <c r="AD328" s="1699"/>
      <c r="AE328" s="1699"/>
      <c r="AF328" s="1699"/>
      <c r="AG328" s="1699"/>
      <c r="AH328" s="1699"/>
      <c r="AI328" s="1699"/>
      <c r="AJ328" s="2039"/>
      <c r="AK328" s="1699"/>
      <c r="AL328" s="1699"/>
      <c r="AM328" s="1699"/>
      <c r="AN328" s="1699"/>
      <c r="AO328" s="2039"/>
      <c r="AP328" s="1699"/>
      <c r="AQ328" s="1699"/>
      <c r="AR328" s="1699"/>
      <c r="AS328" s="1699"/>
      <c r="AT328" s="2039"/>
      <c r="AU328" s="1699"/>
      <c r="AV328" s="1699"/>
      <c r="AW328" s="1699"/>
      <c r="AX328" s="1699"/>
      <c r="AY328" s="2039"/>
      <c r="AZ328" s="1699"/>
      <c r="BA328" s="1699"/>
      <c r="BB328" s="1699"/>
      <c r="BC328" s="1699"/>
      <c r="BD328" s="2039"/>
      <c r="BE328" s="1699">
        <f t="shared" ref="BE328:BH328" si="417">BE278-BE303</f>
        <v>207.50406111999973</v>
      </c>
      <c r="BF328" s="1699">
        <f t="shared" si="417"/>
        <v>240.47589840000001</v>
      </c>
      <c r="BG328" s="1699">
        <f t="shared" si="417"/>
        <v>184.38012577500058</v>
      </c>
      <c r="BH328" s="1699">
        <f t="shared" si="417"/>
        <v>218.29876390500021</v>
      </c>
      <c r="BI328" s="2039"/>
      <c r="BJ328" s="1699">
        <f t="shared" si="413"/>
        <v>212.73513324999976</v>
      </c>
      <c r="BK328" s="1699">
        <f t="shared" ref="BK328:BL328" si="418">BJ328</f>
        <v>212.73513324999976</v>
      </c>
      <c r="BL328" s="1699">
        <f t="shared" si="418"/>
        <v>212.73513324999976</v>
      </c>
      <c r="BM328" s="1699">
        <f t="shared" si="415"/>
        <v>212.73513324999976</v>
      </c>
      <c r="BN328" s="2039">
        <f>'New split'!O251</f>
        <v>850.94053299999905</v>
      </c>
      <c r="BO328" s="1699"/>
      <c r="BP328" s="1699"/>
      <c r="BQ328" s="1293" t="str">
        <f>W349</f>
        <v>Q1 18</v>
      </c>
      <c r="BR328" s="1293" t="str">
        <f>X349</f>
        <v>Q2 18</v>
      </c>
      <c r="BS328" s="1293" t="str">
        <f>Y349</f>
        <v>Q3 18</v>
      </c>
      <c r="BT328" s="1293" t="str">
        <f>Z349</f>
        <v>Q4 18</v>
      </c>
      <c r="BU328" s="1293" t="str">
        <f>AG349</f>
        <v>Q3 19</v>
      </c>
      <c r="BV328" s="1293" t="e">
        <f>#REF!</f>
        <v>#REF!</v>
      </c>
      <c r="BW328" s="1293" t="e">
        <f>#REF!</f>
        <v>#REF!</v>
      </c>
      <c r="BX328" s="1293" t="e">
        <f>#REF!</f>
        <v>#REF!</v>
      </c>
      <c r="BY328" s="1293"/>
      <c r="BZ328" s="1293"/>
      <c r="CA328" s="1293"/>
      <c r="CB328" s="1293"/>
      <c r="CC328" s="1293"/>
      <c r="CD328" s="1293"/>
      <c r="CE328" s="1293"/>
      <c r="CF328" s="1293"/>
      <c r="CG328" s="1293"/>
      <c r="CH328" s="1293"/>
      <c r="CI328" s="1293"/>
      <c r="CJ328" s="1293"/>
      <c r="CK328" s="1293"/>
      <c r="CL328" s="1293"/>
      <c r="CM328" s="1293"/>
      <c r="CN328" s="1293"/>
      <c r="CO328" s="1293"/>
      <c r="CP328" s="1293"/>
      <c r="CQ328" s="1293"/>
      <c r="CR328" s="1293"/>
      <c r="CS328" s="1293"/>
      <c r="CT328" s="1293"/>
      <c r="CU328" s="1293"/>
      <c r="CV328" s="1293"/>
      <c r="CW328" s="1293"/>
      <c r="CX328" s="1293"/>
      <c r="CY328" s="2041"/>
      <c r="CZ328" s="1699"/>
      <c r="DA328" s="2042"/>
      <c r="DB328" s="2041"/>
      <c r="DC328" s="1293"/>
      <c r="DD328" s="1293"/>
      <c r="DE328" s="1293"/>
      <c r="DF328" s="1293"/>
      <c r="DG328" s="1293"/>
      <c r="DH328" s="1293"/>
      <c r="DI328" s="1293"/>
      <c r="DJ328" s="1293"/>
      <c r="DK328" s="1293"/>
      <c r="DL328" s="2147">
        <v>521.60509999999999</v>
      </c>
    </row>
    <row r="329" spans="1:116" ht="16.5" thickBot="1">
      <c r="A329" s="1293"/>
      <c r="B329" s="1293" t="s">
        <v>2032</v>
      </c>
      <c r="C329" s="1699"/>
      <c r="D329" s="1699"/>
      <c r="E329" s="1699"/>
      <c r="F329" s="1699"/>
      <c r="G329" s="2039"/>
      <c r="H329" s="1699"/>
      <c r="I329" s="1699"/>
      <c r="J329" s="1699"/>
      <c r="K329" s="1699"/>
      <c r="L329" s="2039"/>
      <c r="M329" s="1699"/>
      <c r="N329" s="1699"/>
      <c r="O329" s="1699"/>
      <c r="P329" s="1699"/>
      <c r="Q329" s="2039"/>
      <c r="R329" s="1699"/>
      <c r="S329" s="1699"/>
      <c r="T329" s="1699"/>
      <c r="U329" s="1699"/>
      <c r="V329" s="2039"/>
      <c r="W329" s="1699"/>
      <c r="X329" s="1699"/>
      <c r="Y329" s="1699"/>
      <c r="Z329" s="1699"/>
      <c r="AA329" s="2039"/>
      <c r="AB329" s="1699"/>
      <c r="AC329" s="1699"/>
      <c r="AD329" s="1699"/>
      <c r="AE329" s="1699"/>
      <c r="AF329" s="1699"/>
      <c r="AG329" s="1699"/>
      <c r="AH329" s="1699"/>
      <c r="AI329" s="1699"/>
      <c r="AJ329" s="2039"/>
      <c r="AK329" s="1699"/>
      <c r="AL329" s="1699"/>
      <c r="AM329" s="1699"/>
      <c r="AN329" s="1699"/>
      <c r="AO329" s="2039"/>
      <c r="AP329" s="1699"/>
      <c r="AQ329" s="1699"/>
      <c r="AR329" s="1699"/>
      <c r="AS329" s="1699"/>
      <c r="AT329" s="2039"/>
      <c r="AU329" s="1699"/>
      <c r="AV329" s="1699"/>
      <c r="AW329" s="1699"/>
      <c r="AX329" s="1699"/>
      <c r="AY329" s="2039"/>
      <c r="AZ329" s="1699"/>
      <c r="BA329" s="1699"/>
      <c r="BB329" s="1699"/>
      <c r="BC329" s="1699"/>
      <c r="BD329" s="2039"/>
      <c r="BE329" s="1699">
        <f t="shared" ref="BE329:BH329" si="419">BE279-BE304</f>
        <v>22.534999999999997</v>
      </c>
      <c r="BF329" s="1699">
        <f t="shared" si="419"/>
        <v>16.674999999999983</v>
      </c>
      <c r="BG329" s="1699">
        <f t="shared" si="419"/>
        <v>8.2857000000000198</v>
      </c>
      <c r="BH329" s="1699">
        <f t="shared" si="419"/>
        <v>8.1733999999999014</v>
      </c>
      <c r="BI329" s="2039"/>
      <c r="BJ329" s="1699">
        <f t="shared" si="413"/>
        <v>13.894575000000032</v>
      </c>
      <c r="BK329" s="1699">
        <f t="shared" ref="BK329:BL331" si="420">BJ329</f>
        <v>13.894575000000032</v>
      </c>
      <c r="BL329" s="1699">
        <f t="shared" si="420"/>
        <v>13.894575000000032</v>
      </c>
      <c r="BM329" s="1699">
        <f t="shared" si="415"/>
        <v>13.894575000000032</v>
      </c>
      <c r="BN329" s="2039">
        <f>'New split'!O252</f>
        <v>55.578300000000127</v>
      </c>
      <c r="BO329" s="1699"/>
      <c r="BP329" s="1699"/>
      <c r="BQ329" s="1328">
        <f>W375</f>
        <v>3.9E-2</v>
      </c>
      <c r="BR329" s="1328">
        <f>X375</f>
        <v>5.5E-2</v>
      </c>
      <c r="BS329" s="1328">
        <f>Y375</f>
        <v>4.7E-2</v>
      </c>
      <c r="BT329" s="1328">
        <f>Z375</f>
        <v>3.6999999999999998E-2</v>
      </c>
      <c r="BU329" s="1328">
        <f>AG375</f>
        <v>0.01</v>
      </c>
      <c r="BV329" s="1328" t="e">
        <f>#REF!</f>
        <v>#REF!</v>
      </c>
      <c r="BW329" s="1328" t="e">
        <f>#REF!</f>
        <v>#REF!</v>
      </c>
      <c r="BX329" s="1328" t="e">
        <f>#REF!</f>
        <v>#REF!</v>
      </c>
      <c r="BY329" s="1293"/>
      <c r="BZ329" s="1293"/>
      <c r="CA329" s="1293"/>
      <c r="CB329" s="1293"/>
      <c r="CC329" s="1293"/>
      <c r="CD329" s="1293"/>
      <c r="CE329" s="1293"/>
      <c r="CF329" s="1293"/>
      <c r="CG329" s="1293"/>
      <c r="CH329" s="1293"/>
      <c r="CI329" s="1293"/>
      <c r="CJ329" s="1293"/>
      <c r="CK329" s="1293"/>
      <c r="CL329" s="1293"/>
      <c r="CM329" s="1293"/>
      <c r="CN329" s="1293"/>
      <c r="CO329" s="1293"/>
      <c r="CP329" s="1293"/>
      <c r="CQ329" s="1293"/>
      <c r="CR329" s="1293"/>
      <c r="CS329" s="1293"/>
      <c r="CT329" s="1293"/>
      <c r="CU329" s="1293"/>
      <c r="CV329" s="1293"/>
      <c r="CW329" s="1293"/>
      <c r="CX329" s="1293"/>
      <c r="CY329" s="2041"/>
      <c r="CZ329" s="1699"/>
      <c r="DA329" s="2042"/>
      <c r="DB329" s="2041"/>
      <c r="DC329" s="1293"/>
      <c r="DD329" s="1293"/>
      <c r="DE329" s="1293"/>
      <c r="DF329" s="1293"/>
      <c r="DG329" s="1293"/>
      <c r="DH329" s="1293"/>
      <c r="DI329" s="1293"/>
      <c r="DJ329" s="1293"/>
      <c r="DK329" s="1293"/>
      <c r="DL329" s="2147">
        <v>522.19050000000004</v>
      </c>
    </row>
    <row r="330" spans="1:116" ht="16.5" thickBot="1">
      <c r="A330" s="1293"/>
      <c r="B330" s="1293" t="s">
        <v>2172</v>
      </c>
      <c r="C330" s="1699"/>
      <c r="D330" s="1699"/>
      <c r="E330" s="1699"/>
      <c r="F330" s="1699"/>
      <c r="G330" s="2039"/>
      <c r="H330" s="1699"/>
      <c r="I330" s="1699"/>
      <c r="J330" s="1699"/>
      <c r="K330" s="1699"/>
      <c r="L330" s="2039"/>
      <c r="M330" s="1699"/>
      <c r="N330" s="1699"/>
      <c r="O330" s="1699"/>
      <c r="P330" s="1699"/>
      <c r="Q330" s="2039"/>
      <c r="R330" s="1699"/>
      <c r="S330" s="1699"/>
      <c r="T330" s="1699"/>
      <c r="U330" s="1699"/>
      <c r="V330" s="2039"/>
      <c r="W330" s="1699"/>
      <c r="X330" s="1699"/>
      <c r="Y330" s="1699"/>
      <c r="Z330" s="1699"/>
      <c r="AA330" s="2039"/>
      <c r="AB330" s="1699"/>
      <c r="AC330" s="1699"/>
      <c r="AD330" s="1699"/>
      <c r="AE330" s="1699"/>
      <c r="AF330" s="1699"/>
      <c r="AG330" s="1699"/>
      <c r="AH330" s="1699"/>
      <c r="AI330" s="1699"/>
      <c r="AJ330" s="2039"/>
      <c r="AK330" s="1699"/>
      <c r="AL330" s="1699"/>
      <c r="AM330" s="1699"/>
      <c r="AN330" s="1699"/>
      <c r="AO330" s="2039"/>
      <c r="AP330" s="1699"/>
      <c r="AQ330" s="1699"/>
      <c r="AR330" s="1699"/>
      <c r="AS330" s="1699"/>
      <c r="AT330" s="2039"/>
      <c r="AU330" s="1699"/>
      <c r="AV330" s="1699"/>
      <c r="AW330" s="1699"/>
      <c r="AX330" s="1699"/>
      <c r="AY330" s="2039"/>
      <c r="AZ330" s="1699"/>
      <c r="BA330" s="1699"/>
      <c r="BB330" s="1699"/>
      <c r="BC330" s="1699"/>
      <c r="BD330" s="2039"/>
      <c r="BE330" s="1699">
        <f t="shared" ref="BE330:BH331" si="421">BE280-BE305</f>
        <v>7.0366740000026766</v>
      </c>
      <c r="BF330" s="1699">
        <f t="shared" si="421"/>
        <v>7.9302577499984181</v>
      </c>
      <c r="BG330" s="1699">
        <f t="shared" si="421"/>
        <v>10.249980000000505</v>
      </c>
      <c r="BH330" s="1699">
        <f t="shared" si="421"/>
        <v>10.474799999999959</v>
      </c>
      <c r="BI330" s="2039"/>
      <c r="BJ330" s="1699">
        <f t="shared" ref="BJ330:BJ331" si="422">BN330/4</f>
        <v>9</v>
      </c>
      <c r="BK330" s="1699">
        <f t="shared" si="420"/>
        <v>9</v>
      </c>
      <c r="BL330" s="1699">
        <f t="shared" si="420"/>
        <v>9</v>
      </c>
      <c r="BM330" s="1699">
        <f t="shared" ref="BM330:BM331" si="423">BN330-BJ330-BK330-BL330</f>
        <v>9</v>
      </c>
      <c r="BN330" s="2039">
        <f>'New split'!O253</f>
        <v>36</v>
      </c>
      <c r="BO330" s="1699"/>
      <c r="BP330" s="1699"/>
      <c r="BQ330" s="1328"/>
      <c r="BR330" s="1328"/>
      <c r="BS330" s="1328"/>
      <c r="BT330" s="1328"/>
      <c r="BU330" s="1328"/>
      <c r="BV330" s="1328"/>
      <c r="BW330" s="1328"/>
      <c r="BX330" s="1328"/>
      <c r="BY330" s="1293"/>
      <c r="BZ330" s="1293"/>
      <c r="CA330" s="1293"/>
      <c r="CB330" s="1293"/>
      <c r="CC330" s="1293"/>
      <c r="CD330" s="1293"/>
      <c r="CE330" s="1293"/>
      <c r="CF330" s="1293"/>
      <c r="CG330" s="1293"/>
      <c r="CH330" s="1293"/>
      <c r="CI330" s="1293"/>
      <c r="CJ330" s="1293"/>
      <c r="CK330" s="1293"/>
      <c r="CL330" s="1293"/>
      <c r="CM330" s="1293"/>
      <c r="CN330" s="1293"/>
      <c r="CO330" s="1293"/>
      <c r="CP330" s="1293"/>
      <c r="CQ330" s="1293"/>
      <c r="CR330" s="1293"/>
      <c r="CS330" s="1293"/>
      <c r="CT330" s="1293"/>
      <c r="CU330" s="1293"/>
      <c r="CV330" s="1293"/>
      <c r="CW330" s="1293"/>
      <c r="CX330" s="1293"/>
      <c r="CY330" s="2041"/>
      <c r="CZ330" s="1699"/>
      <c r="DA330" s="2042"/>
      <c r="DB330" s="2041"/>
      <c r="DC330" s="1293"/>
      <c r="DD330" s="1293"/>
      <c r="DE330" s="1293"/>
      <c r="DF330" s="1293"/>
      <c r="DG330" s="1293"/>
      <c r="DH330" s="1293"/>
      <c r="DI330" s="1293"/>
      <c r="DJ330" s="1293"/>
      <c r="DK330" s="1293"/>
      <c r="DL330" s="2147"/>
    </row>
    <row r="331" spans="1:116" ht="16.5" thickBot="1">
      <c r="A331" s="1293"/>
      <c r="B331" s="1293" t="s">
        <v>2033</v>
      </c>
      <c r="C331" s="1699"/>
      <c r="D331" s="1699"/>
      <c r="E331" s="1699"/>
      <c r="F331" s="1699"/>
      <c r="G331" s="2039"/>
      <c r="H331" s="1699"/>
      <c r="I331" s="1699"/>
      <c r="J331" s="1699"/>
      <c r="K331" s="1699"/>
      <c r="L331" s="2039"/>
      <c r="M331" s="1699"/>
      <c r="N331" s="1699"/>
      <c r="O331" s="1699"/>
      <c r="P331" s="1699"/>
      <c r="Q331" s="2039"/>
      <c r="R331" s="1699"/>
      <c r="S331" s="1699"/>
      <c r="T331" s="1699"/>
      <c r="U331" s="1699"/>
      <c r="V331" s="2039"/>
      <c r="W331" s="1699"/>
      <c r="X331" s="1699"/>
      <c r="Y331" s="1699"/>
      <c r="Z331" s="1699"/>
      <c r="AA331" s="2039"/>
      <c r="AB331" s="1699"/>
      <c r="AC331" s="1699"/>
      <c r="AD331" s="1699"/>
      <c r="AE331" s="1699"/>
      <c r="AF331" s="1699"/>
      <c r="AG331" s="1699"/>
      <c r="AH331" s="1699"/>
      <c r="AI331" s="1699"/>
      <c r="AJ331" s="2039"/>
      <c r="AK331" s="1699"/>
      <c r="AL331" s="1699"/>
      <c r="AM331" s="1699"/>
      <c r="AN331" s="1699"/>
      <c r="AO331" s="2039"/>
      <c r="AP331" s="1699"/>
      <c r="AQ331" s="1699"/>
      <c r="AR331" s="1699"/>
      <c r="AS331" s="1699"/>
      <c r="AT331" s="2039"/>
      <c r="AU331" s="1699"/>
      <c r="AV331" s="1699"/>
      <c r="AW331" s="1699"/>
      <c r="AX331" s="1699"/>
      <c r="AY331" s="2039"/>
      <c r="AZ331" s="1699"/>
      <c r="BA331" s="1699"/>
      <c r="BB331" s="1699"/>
      <c r="BC331" s="1699"/>
      <c r="BD331" s="2039"/>
      <c r="BE331" s="1699">
        <f t="shared" si="421"/>
        <v>75.958798200000274</v>
      </c>
      <c r="BF331" s="1699">
        <f t="shared" si="421"/>
        <v>75.028540979999889</v>
      </c>
      <c r="BG331" s="1699">
        <f t="shared" si="421"/>
        <v>71.768978280000283</v>
      </c>
      <c r="BH331" s="1699">
        <f t="shared" si="421"/>
        <v>84.006280000000061</v>
      </c>
      <c r="BI331" s="2039"/>
      <c r="BJ331" s="1699">
        <f t="shared" si="422"/>
        <v>76.507377089999864</v>
      </c>
      <c r="BK331" s="1699">
        <f t="shared" si="420"/>
        <v>76.507377089999864</v>
      </c>
      <c r="BL331" s="1699">
        <f t="shared" si="420"/>
        <v>76.507377089999864</v>
      </c>
      <c r="BM331" s="1699">
        <f t="shared" si="423"/>
        <v>76.507377089999864</v>
      </c>
      <c r="BN331" s="2039">
        <f>'New split'!O254</f>
        <v>306.02950835999945</v>
      </c>
      <c r="BO331" s="1699"/>
      <c r="BP331" s="1699"/>
      <c r="BQ331" s="1328"/>
      <c r="BR331" s="1328"/>
      <c r="BS331" s="1328"/>
      <c r="BT331" s="1328"/>
      <c r="BU331" s="1328"/>
      <c r="BV331" s="1328"/>
      <c r="BW331" s="1328"/>
      <c r="BX331" s="1328"/>
      <c r="BY331" s="1293"/>
      <c r="BZ331" s="1293"/>
      <c r="CA331" s="1293"/>
      <c r="CB331" s="1293"/>
      <c r="CC331" s="1293"/>
      <c r="CD331" s="1293"/>
      <c r="CE331" s="1293"/>
      <c r="CF331" s="1293"/>
      <c r="CG331" s="1293"/>
      <c r="CH331" s="1293"/>
      <c r="CI331" s="1293"/>
      <c r="CJ331" s="1293"/>
      <c r="CK331" s="1293"/>
      <c r="CL331" s="1293"/>
      <c r="CM331" s="1293"/>
      <c r="CN331" s="1293"/>
      <c r="CO331" s="1293"/>
      <c r="CP331" s="1293"/>
      <c r="CQ331" s="1293"/>
      <c r="CR331" s="1293"/>
      <c r="CS331" s="1293"/>
      <c r="CT331" s="1293"/>
      <c r="CU331" s="1293"/>
      <c r="CV331" s="1293"/>
      <c r="CW331" s="1293"/>
      <c r="CX331" s="1293"/>
      <c r="CY331" s="2041"/>
      <c r="CZ331" s="1699"/>
      <c r="DA331" s="2042"/>
      <c r="DB331" s="2041"/>
      <c r="DC331" s="1293"/>
      <c r="DD331" s="1293"/>
      <c r="DE331" s="1293"/>
      <c r="DF331" s="1293"/>
      <c r="DG331" s="1293"/>
      <c r="DH331" s="1293"/>
      <c r="DI331" s="1293"/>
      <c r="DJ331" s="1293"/>
      <c r="DK331" s="1293"/>
      <c r="DL331" s="2147"/>
    </row>
    <row r="332" spans="1:116" ht="16.5" hidden="1" outlineLevel="1" thickBot="1">
      <c r="A332" s="1293"/>
      <c r="B332" s="1293"/>
      <c r="C332" s="1699"/>
      <c r="D332" s="1699"/>
      <c r="E332" s="1699"/>
      <c r="F332" s="1699"/>
      <c r="G332" s="2039"/>
      <c r="H332" s="1699"/>
      <c r="I332" s="1699"/>
      <c r="J332" s="1699"/>
      <c r="K332" s="1699"/>
      <c r="L332" s="2039"/>
      <c r="M332" s="1699"/>
      <c r="N332" s="1699"/>
      <c r="O332" s="1699"/>
      <c r="P332" s="1699"/>
      <c r="Q332" s="2039"/>
      <c r="R332" s="1699"/>
      <c r="S332" s="1699"/>
      <c r="T332" s="1699"/>
      <c r="U332" s="1699"/>
      <c r="V332" s="2039"/>
      <c r="W332" s="1699"/>
      <c r="X332" s="1699"/>
      <c r="Y332" s="1699"/>
      <c r="Z332" s="1699"/>
      <c r="AA332" s="2039"/>
      <c r="AB332" s="1699"/>
      <c r="AC332" s="1699"/>
      <c r="AD332" s="1699"/>
      <c r="AE332" s="1699"/>
      <c r="AF332" s="1699"/>
      <c r="AG332" s="1699"/>
      <c r="AH332" s="1699"/>
      <c r="AI332" s="1699"/>
      <c r="AJ332" s="2039"/>
      <c r="AK332" s="1699"/>
      <c r="AL332" s="1699"/>
      <c r="AM332" s="1699"/>
      <c r="AN332" s="1699"/>
      <c r="AO332" s="2039"/>
      <c r="AP332" s="1699"/>
      <c r="AQ332" s="1699"/>
      <c r="AR332" s="1699"/>
      <c r="AS332" s="1699"/>
      <c r="AT332" s="2039"/>
      <c r="AU332" s="1699"/>
      <c r="AV332" s="1699"/>
      <c r="AW332" s="1699"/>
      <c r="AX332" s="1699"/>
      <c r="AY332" s="2039"/>
      <c r="AZ332" s="1699"/>
      <c r="BA332" s="1699"/>
      <c r="BB332" s="1699"/>
      <c r="BC332" s="1699"/>
      <c r="BD332" s="2039"/>
      <c r="BE332" s="1699"/>
      <c r="BF332" s="1699"/>
      <c r="BG332" s="1699"/>
      <c r="BH332" s="1699"/>
      <c r="BI332" s="2039"/>
      <c r="BJ332" s="1699"/>
      <c r="BK332" s="1699"/>
      <c r="BL332" s="1699"/>
      <c r="BM332" s="1699"/>
      <c r="BN332" s="2039"/>
      <c r="BO332" s="1699"/>
      <c r="BP332" s="1699"/>
      <c r="BQ332" s="1328"/>
      <c r="BR332" s="1328"/>
      <c r="BS332" s="1328"/>
      <c r="BT332" s="1328"/>
      <c r="BU332" s="1328"/>
      <c r="BV332" s="1328"/>
      <c r="BW332" s="1328"/>
      <c r="BX332" s="1328"/>
      <c r="BY332" s="1293"/>
      <c r="BZ332" s="1293"/>
      <c r="CA332" s="1293"/>
      <c r="CB332" s="1293"/>
      <c r="CC332" s="1293"/>
      <c r="CD332" s="1293"/>
      <c r="CE332" s="1293"/>
      <c r="CF332" s="1293"/>
      <c r="CG332" s="1293"/>
      <c r="CH332" s="1293"/>
      <c r="CI332" s="1293"/>
      <c r="CJ332" s="1293"/>
      <c r="CK332" s="1293"/>
      <c r="CL332" s="1293"/>
      <c r="CM332" s="1293"/>
      <c r="CN332" s="1293"/>
      <c r="CO332" s="1293"/>
      <c r="CP332" s="1293"/>
      <c r="CQ332" s="1293"/>
      <c r="CR332" s="1293"/>
      <c r="CS332" s="1293"/>
      <c r="CT332" s="1293"/>
      <c r="CU332" s="1293"/>
      <c r="CV332" s="1293"/>
      <c r="CW332" s="1293"/>
      <c r="CX332" s="1293"/>
      <c r="CY332" s="2041"/>
      <c r="CZ332" s="1699"/>
      <c r="DA332" s="2042"/>
      <c r="DB332" s="2041"/>
      <c r="DC332" s="1293"/>
      <c r="DD332" s="1293"/>
      <c r="DE332" s="1293"/>
      <c r="DF332" s="1293"/>
      <c r="DG332" s="1293"/>
      <c r="DH332" s="1293"/>
      <c r="DI332" s="1293"/>
      <c r="DJ332" s="1293"/>
      <c r="DK332" s="1293"/>
      <c r="DL332" s="2147"/>
    </row>
    <row r="333" spans="1:116" ht="16.5" hidden="1" outlineLevel="1" thickBot="1">
      <c r="A333" s="1293"/>
      <c r="B333" s="1293" t="str">
        <f>B82</f>
        <v>Costa Rica/old Nicaragua</v>
      </c>
      <c r="C333" s="1699">
        <f t="shared" ref="C333:P333" si="424">C82*C255</f>
        <v>45.753976924206384</v>
      </c>
      <c r="D333" s="1699">
        <f t="shared" si="424"/>
        <v>41.023525925682733</v>
      </c>
      <c r="E333" s="1699">
        <f t="shared" si="424"/>
        <v>74.718714194480981</v>
      </c>
      <c r="F333" s="1699">
        <f t="shared" si="424"/>
        <v>108.75498856345968</v>
      </c>
      <c r="G333" s="2039">
        <f t="shared" si="424"/>
        <v>269.88439166465128</v>
      </c>
      <c r="H333" s="1699">
        <f t="shared" si="424"/>
        <v>85.07160385977383</v>
      </c>
      <c r="I333" s="1699">
        <f t="shared" si="424"/>
        <v>144.54298959665016</v>
      </c>
      <c r="J333" s="1699">
        <f t="shared" si="424"/>
        <v>303.68759410996211</v>
      </c>
      <c r="K333" s="1699">
        <f t="shared" si="424"/>
        <v>371.69007173858256</v>
      </c>
      <c r="L333" s="2039">
        <f t="shared" si="424"/>
        <v>904.46365305052086</v>
      </c>
      <c r="M333" s="1699">
        <f t="shared" si="424"/>
        <v>217.41633086491083</v>
      </c>
      <c r="N333" s="1699">
        <f t="shared" si="424"/>
        <v>215.47893266447525</v>
      </c>
      <c r="O333" s="1699">
        <f t="shared" si="424"/>
        <v>260.5582565768712</v>
      </c>
      <c r="P333" s="1699">
        <f t="shared" si="424"/>
        <v>559.62</v>
      </c>
      <c r="Q333" s="2039"/>
      <c r="R333" s="1699">
        <f>R82*R255</f>
        <v>0</v>
      </c>
      <c r="S333" s="1699">
        <f>S82*S255</f>
        <v>0</v>
      </c>
      <c r="T333" s="1699">
        <f>T82*T255</f>
        <v>576.65</v>
      </c>
      <c r="U333" s="1699">
        <f>U82*U255</f>
        <v>569</v>
      </c>
      <c r="V333" s="2039"/>
      <c r="W333" s="1699">
        <f>W82*W255</f>
        <v>0</v>
      </c>
      <c r="X333" s="1699">
        <f>X82*X255</f>
        <v>1133.2406153846157</v>
      </c>
      <c r="Y333" s="1699">
        <f>Y82*Y255</f>
        <v>572.61307692307685</v>
      </c>
      <c r="Z333" s="1699">
        <f>Z82*Z255</f>
        <v>778.69999999999834</v>
      </c>
      <c r="AA333" s="2039"/>
      <c r="AB333" s="1699"/>
      <c r="AC333" s="1699"/>
      <c r="AD333" s="1699"/>
      <c r="AE333" s="1699"/>
      <c r="AF333" s="1699"/>
      <c r="AG333" s="1699"/>
      <c r="AH333" s="1699"/>
      <c r="AI333" s="1699"/>
      <c r="AJ333" s="2039"/>
      <c r="AK333" s="1699"/>
      <c r="AL333" s="1699"/>
      <c r="AM333" s="1699"/>
      <c r="AN333" s="1699"/>
      <c r="AO333" s="2039"/>
      <c r="AP333" s="1699"/>
      <c r="AQ333" s="1699"/>
      <c r="AR333" s="1699"/>
      <c r="AS333" s="1699"/>
      <c r="AT333" s="2039"/>
      <c r="AU333" s="1699"/>
      <c r="AV333" s="1699"/>
      <c r="AW333" s="1699"/>
      <c r="AX333" s="1699"/>
      <c r="AY333" s="2039"/>
      <c r="AZ333" s="1699"/>
      <c r="BA333" s="1699"/>
      <c r="BB333" s="1699"/>
      <c r="BC333" s="1699"/>
      <c r="BD333" s="2039"/>
      <c r="BE333" s="1699"/>
      <c r="BF333" s="1699"/>
      <c r="BG333" s="1699"/>
      <c r="BH333" s="1699"/>
      <c r="BI333" s="2039"/>
      <c r="BJ333" s="1699">
        <f t="shared" si="413"/>
        <v>9</v>
      </c>
      <c r="BK333" s="1699">
        <f t="shared" ref="BK333:BL333" si="425">BJ333</f>
        <v>9</v>
      </c>
      <c r="BL333" s="1699">
        <f t="shared" si="425"/>
        <v>9</v>
      </c>
      <c r="BM333" s="1699">
        <f t="shared" si="415"/>
        <v>9</v>
      </c>
      <c r="BN333" s="2039">
        <f>'New split'!O253</f>
        <v>36</v>
      </c>
      <c r="BO333" s="1699"/>
      <c r="BP333" s="1699"/>
      <c r="BQ333" s="1328">
        <f>W173</f>
        <v>3.6999999999999998E-2</v>
      </c>
      <c r="BR333" s="1328">
        <f>X173</f>
        <v>4.3999999999999997E-2</v>
      </c>
      <c r="BS333" s="1328">
        <f>Y173</f>
        <v>4.2000000000000003E-2</v>
      </c>
      <c r="BT333" s="1328">
        <f>Z173</f>
        <v>0.04</v>
      </c>
      <c r="BU333" s="1328">
        <f>AG174</f>
        <v>0</v>
      </c>
      <c r="BV333" s="1328" t="e">
        <f>#REF!</f>
        <v>#REF!</v>
      </c>
      <c r="BW333" s="1328" t="e">
        <f>#REF!</f>
        <v>#REF!</v>
      </c>
      <c r="BX333" s="1328" t="e">
        <f>#REF!</f>
        <v>#REF!</v>
      </c>
      <c r="BY333" s="1293"/>
      <c r="BZ333" s="1293"/>
      <c r="CA333" s="1293"/>
      <c r="CB333" s="1293"/>
      <c r="CC333" s="1293"/>
      <c r="CD333" s="1293"/>
      <c r="CE333" s="1293"/>
      <c r="CF333" s="1293"/>
      <c r="CG333" s="1293"/>
      <c r="CH333" s="1293"/>
      <c r="CI333" s="1293"/>
      <c r="CJ333" s="1293"/>
      <c r="CK333" s="1293"/>
      <c r="CL333" s="1293"/>
      <c r="CM333" s="1293"/>
      <c r="CN333" s="1293"/>
      <c r="CO333" s="1293"/>
      <c r="CP333" s="1293"/>
      <c r="CQ333" s="1293"/>
      <c r="CR333" s="1293"/>
      <c r="CS333" s="1293"/>
      <c r="CT333" s="1293"/>
      <c r="CU333" s="1293"/>
      <c r="CV333" s="1293"/>
      <c r="CW333" s="1293"/>
      <c r="CX333" s="1293"/>
      <c r="CY333" s="2041"/>
      <c r="CZ333" s="1699"/>
      <c r="DA333" s="2042"/>
      <c r="DB333" s="2041"/>
      <c r="DC333" s="1293"/>
      <c r="DD333" s="1293"/>
      <c r="DE333" s="1293"/>
      <c r="DF333" s="1293"/>
      <c r="DG333" s="1293"/>
      <c r="DH333" s="1293"/>
      <c r="DI333" s="1293"/>
      <c r="DJ333" s="1293"/>
      <c r="DK333" s="1293"/>
      <c r="DL333" s="2147">
        <v>522.56330000000003</v>
      </c>
    </row>
    <row r="334" spans="1:116" ht="16.5" hidden="1" outlineLevel="1" thickBot="1">
      <c r="A334" s="1293"/>
      <c r="B334" s="1293"/>
      <c r="C334" s="1699"/>
      <c r="D334" s="1699"/>
      <c r="E334" s="1699"/>
      <c r="F334" s="1699"/>
      <c r="G334" s="2039"/>
      <c r="H334" s="1699"/>
      <c r="I334" s="1699"/>
      <c r="J334" s="1699"/>
      <c r="K334" s="1699"/>
      <c r="L334" s="2039"/>
      <c r="M334" s="1699"/>
      <c r="N334" s="1699"/>
      <c r="O334" s="1699"/>
      <c r="P334" s="1699"/>
      <c r="Q334" s="2039"/>
      <c r="R334" s="1699"/>
      <c r="S334" s="1699"/>
      <c r="T334" s="1699"/>
      <c r="U334" s="1699"/>
      <c r="V334" s="2039"/>
      <c r="W334" s="1699"/>
      <c r="X334" s="1699"/>
      <c r="Y334" s="1699"/>
      <c r="Z334" s="1699"/>
      <c r="AA334" s="2039"/>
      <c r="AB334" s="1699"/>
      <c r="AC334" s="1699"/>
      <c r="AD334" s="1699"/>
      <c r="AE334" s="1699"/>
      <c r="AF334" s="1699"/>
      <c r="AG334" s="1699"/>
      <c r="AH334" s="1699"/>
      <c r="AI334" s="1699"/>
      <c r="AJ334" s="2039"/>
      <c r="AK334" s="1699"/>
      <c r="AL334" s="1699"/>
      <c r="AM334" s="1699"/>
      <c r="AN334" s="1699"/>
      <c r="AO334" s="2039"/>
      <c r="AP334" s="1699"/>
      <c r="AQ334" s="1699"/>
      <c r="AR334" s="1699"/>
      <c r="AS334" s="1699"/>
      <c r="AT334" s="2039"/>
      <c r="AU334" s="1699"/>
      <c r="AV334" s="1699"/>
      <c r="AW334" s="1699"/>
      <c r="AX334" s="1699"/>
      <c r="AY334" s="2039"/>
      <c r="AZ334" s="1699"/>
      <c r="BA334" s="1699"/>
      <c r="BB334" s="1699"/>
      <c r="BC334" s="1699"/>
      <c r="BD334" s="2039"/>
      <c r="BE334" s="1699"/>
      <c r="BF334" s="1699"/>
      <c r="BG334" s="1699"/>
      <c r="BH334" s="1699"/>
      <c r="BI334" s="2039"/>
      <c r="BJ334" s="1699"/>
      <c r="BK334" s="1699"/>
      <c r="BL334" s="1699"/>
      <c r="BM334" s="1699"/>
      <c r="BN334" s="2039"/>
      <c r="BO334" s="1699"/>
      <c r="BP334" s="1699"/>
      <c r="BQ334" s="1328"/>
      <c r="BR334" s="1328"/>
      <c r="BS334" s="1328"/>
      <c r="BT334" s="1328"/>
      <c r="BU334" s="1328"/>
      <c r="BV334" s="1328"/>
      <c r="BW334" s="1328"/>
      <c r="BX334" s="1328"/>
      <c r="BY334" s="1293"/>
      <c r="BZ334" s="1293"/>
      <c r="CA334" s="1293"/>
      <c r="CB334" s="1293"/>
      <c r="CC334" s="1293"/>
      <c r="CD334" s="1293"/>
      <c r="CE334" s="1293"/>
      <c r="CF334" s="1293"/>
      <c r="CG334" s="1293"/>
      <c r="CH334" s="1293"/>
      <c r="CI334" s="1293"/>
      <c r="CJ334" s="1293"/>
      <c r="CK334" s="1293"/>
      <c r="CL334" s="1293"/>
      <c r="CM334" s="1293"/>
      <c r="CN334" s="1293"/>
      <c r="CO334" s="1293"/>
      <c r="CP334" s="1293"/>
      <c r="CQ334" s="1293"/>
      <c r="CR334" s="1293"/>
      <c r="CS334" s="1293"/>
      <c r="CT334" s="1293"/>
      <c r="CU334" s="1293"/>
      <c r="CV334" s="1293"/>
      <c r="CW334" s="1293"/>
      <c r="CX334" s="1293"/>
      <c r="CY334" s="2041"/>
      <c r="CZ334" s="1699"/>
      <c r="DA334" s="2042"/>
      <c r="DB334" s="2041"/>
      <c r="DC334" s="1293"/>
      <c r="DD334" s="1293"/>
      <c r="DE334" s="1293"/>
      <c r="DF334" s="1293"/>
      <c r="DG334" s="1293"/>
      <c r="DH334" s="1293"/>
      <c r="DI334" s="1293"/>
      <c r="DJ334" s="1293"/>
      <c r="DK334" s="1293"/>
      <c r="DL334" s="2147"/>
    </row>
    <row r="335" spans="1:116" ht="16.5" hidden="1" outlineLevel="1" thickBot="1">
      <c r="A335" s="1293"/>
      <c r="B335" s="1293"/>
      <c r="C335" s="1699"/>
      <c r="D335" s="1699"/>
      <c r="E335" s="1699"/>
      <c r="F335" s="1699"/>
      <c r="G335" s="2039"/>
      <c r="H335" s="1699"/>
      <c r="I335" s="1699"/>
      <c r="J335" s="1699"/>
      <c r="K335" s="1699"/>
      <c r="L335" s="2039"/>
      <c r="M335" s="1699"/>
      <c r="N335" s="1699"/>
      <c r="O335" s="1699"/>
      <c r="P335" s="1699"/>
      <c r="Q335" s="2039"/>
      <c r="R335" s="1699"/>
      <c r="S335" s="1699"/>
      <c r="T335" s="1699"/>
      <c r="U335" s="1699"/>
      <c r="V335" s="2039"/>
      <c r="W335" s="1699"/>
      <c r="X335" s="1699"/>
      <c r="Y335" s="1699"/>
      <c r="Z335" s="1699"/>
      <c r="AA335" s="2039"/>
      <c r="AB335" s="1699"/>
      <c r="AC335" s="1699"/>
      <c r="AD335" s="1699"/>
      <c r="AE335" s="1699"/>
      <c r="AF335" s="1699"/>
      <c r="AG335" s="1699"/>
      <c r="AH335" s="1699"/>
      <c r="AI335" s="1699"/>
      <c r="AJ335" s="2039"/>
      <c r="AK335" s="1699"/>
      <c r="AL335" s="1699"/>
      <c r="AM335" s="1699"/>
      <c r="AN335" s="1699"/>
      <c r="AO335" s="2039"/>
      <c r="AP335" s="1699"/>
      <c r="AQ335" s="1699"/>
      <c r="AR335" s="1699"/>
      <c r="AS335" s="1699"/>
      <c r="AT335" s="2039"/>
      <c r="AU335" s="1699"/>
      <c r="AV335" s="1699"/>
      <c r="AW335" s="1699"/>
      <c r="AX335" s="1699"/>
      <c r="AY335" s="2039"/>
      <c r="AZ335" s="1699"/>
      <c r="BA335" s="1699"/>
      <c r="BB335" s="1699"/>
      <c r="BC335" s="1699"/>
      <c r="BD335" s="2039"/>
      <c r="BE335" s="1699"/>
      <c r="BF335" s="1699"/>
      <c r="BG335" s="1699"/>
      <c r="BH335" s="1699"/>
      <c r="BI335" s="2039"/>
      <c r="BJ335" s="1699"/>
      <c r="BK335" s="1699"/>
      <c r="BL335" s="1699"/>
      <c r="BM335" s="1699"/>
      <c r="BN335" s="2039"/>
      <c r="BO335" s="1699"/>
      <c r="BP335" s="1699"/>
      <c r="BQ335" s="1328"/>
      <c r="BR335" s="1328"/>
      <c r="BS335" s="1328"/>
      <c r="BT335" s="1328"/>
      <c r="BU335" s="1328"/>
      <c r="BV335" s="1328"/>
      <c r="BW335" s="1328"/>
      <c r="BX335" s="1328"/>
      <c r="BY335" s="1293"/>
      <c r="BZ335" s="1293"/>
      <c r="CA335" s="1293"/>
      <c r="CB335" s="1293"/>
      <c r="CC335" s="1293"/>
      <c r="CD335" s="1293"/>
      <c r="CE335" s="1293"/>
      <c r="CF335" s="1293"/>
      <c r="CG335" s="1293"/>
      <c r="CH335" s="1293"/>
      <c r="CI335" s="1293"/>
      <c r="CJ335" s="1293"/>
      <c r="CK335" s="1293"/>
      <c r="CL335" s="1293"/>
      <c r="CM335" s="1293"/>
      <c r="CN335" s="1293"/>
      <c r="CO335" s="1293"/>
      <c r="CP335" s="1293"/>
      <c r="CQ335" s="1293"/>
      <c r="CR335" s="1293"/>
      <c r="CS335" s="1293"/>
      <c r="CT335" s="1293"/>
      <c r="CU335" s="1293"/>
      <c r="CV335" s="1293"/>
      <c r="CW335" s="1293"/>
      <c r="CX335" s="1293"/>
      <c r="CY335" s="2041"/>
      <c r="CZ335" s="1699"/>
      <c r="DA335" s="2042"/>
      <c r="DB335" s="2041"/>
      <c r="DC335" s="1293"/>
      <c r="DD335" s="1293"/>
      <c r="DE335" s="1293"/>
      <c r="DF335" s="1293"/>
      <c r="DG335" s="1293"/>
      <c r="DH335" s="1293"/>
      <c r="DI335" s="1293"/>
      <c r="DJ335" s="1293"/>
      <c r="DK335" s="1293"/>
      <c r="DL335" s="2147"/>
    </row>
    <row r="336" spans="1:116" ht="16.5" hidden="1" outlineLevel="1" thickBot="1">
      <c r="A336" s="1293"/>
      <c r="B336" s="1293"/>
      <c r="C336" s="1699"/>
      <c r="D336" s="1699"/>
      <c r="E336" s="1699"/>
      <c r="F336" s="1699"/>
      <c r="G336" s="2039"/>
      <c r="H336" s="1699"/>
      <c r="I336" s="1699"/>
      <c r="J336" s="1699"/>
      <c r="K336" s="1699"/>
      <c r="L336" s="2039"/>
      <c r="M336" s="1699"/>
      <c r="N336" s="1699"/>
      <c r="O336" s="1699"/>
      <c r="P336" s="1699"/>
      <c r="Q336" s="2039"/>
      <c r="R336" s="1699"/>
      <c r="S336" s="1699"/>
      <c r="T336" s="1699"/>
      <c r="U336" s="1699"/>
      <c r="V336" s="2039"/>
      <c r="W336" s="1699"/>
      <c r="X336" s="1699"/>
      <c r="Y336" s="1699"/>
      <c r="Z336" s="1699"/>
      <c r="AA336" s="2039"/>
      <c r="AB336" s="1699"/>
      <c r="AC336" s="1699"/>
      <c r="AD336" s="1699"/>
      <c r="AE336" s="1699"/>
      <c r="AF336" s="1699"/>
      <c r="AG336" s="1699"/>
      <c r="AH336" s="1699"/>
      <c r="AI336" s="1699"/>
      <c r="AJ336" s="2039"/>
      <c r="AK336" s="1699"/>
      <c r="AL336" s="1699"/>
      <c r="AM336" s="1699"/>
      <c r="AN336" s="1699"/>
      <c r="AO336" s="2039"/>
      <c r="AP336" s="1699"/>
      <c r="AQ336" s="1699"/>
      <c r="AR336" s="1699"/>
      <c r="AS336" s="1699"/>
      <c r="AT336" s="2039"/>
      <c r="AU336" s="1699"/>
      <c r="AV336" s="1699"/>
      <c r="AW336" s="1699"/>
      <c r="AX336" s="1699"/>
      <c r="AY336" s="2039"/>
      <c r="AZ336" s="1699"/>
      <c r="BA336" s="1699"/>
      <c r="BB336" s="1699"/>
      <c r="BC336" s="1699"/>
      <c r="BD336" s="2039"/>
      <c r="BE336" s="1699"/>
      <c r="BF336" s="1699"/>
      <c r="BG336" s="1699"/>
      <c r="BH336" s="1699"/>
      <c r="BI336" s="2039"/>
      <c r="BJ336" s="1699"/>
      <c r="BK336" s="1699"/>
      <c r="BL336" s="1699"/>
      <c r="BM336" s="1699"/>
      <c r="BN336" s="2039"/>
      <c r="BO336" s="1699"/>
      <c r="BP336" s="1699"/>
      <c r="BQ336" s="1328"/>
      <c r="BR336" s="1328"/>
      <c r="BS336" s="1328"/>
      <c r="BT336" s="1328"/>
      <c r="BU336" s="1328"/>
      <c r="BV336" s="1328"/>
      <c r="BW336" s="1328"/>
      <c r="BX336" s="1328"/>
      <c r="BY336" s="1293"/>
      <c r="BZ336" s="1293"/>
      <c r="CA336" s="1293"/>
      <c r="CB336" s="1293"/>
      <c r="CC336" s="1293"/>
      <c r="CD336" s="1293"/>
      <c r="CE336" s="1293"/>
      <c r="CF336" s="1293"/>
      <c r="CG336" s="1293"/>
      <c r="CH336" s="1293"/>
      <c r="CI336" s="1293"/>
      <c r="CJ336" s="1293"/>
      <c r="CK336" s="1293"/>
      <c r="CL336" s="1293"/>
      <c r="CM336" s="1293"/>
      <c r="CN336" s="1293"/>
      <c r="CO336" s="1293"/>
      <c r="CP336" s="1293"/>
      <c r="CQ336" s="1293"/>
      <c r="CR336" s="1293"/>
      <c r="CS336" s="1293"/>
      <c r="CT336" s="1293"/>
      <c r="CU336" s="1293"/>
      <c r="CV336" s="1293"/>
      <c r="CW336" s="1293"/>
      <c r="CX336" s="1293"/>
      <c r="CY336" s="2041"/>
      <c r="CZ336" s="1699"/>
      <c r="DA336" s="2042"/>
      <c r="DB336" s="2041"/>
      <c r="DC336" s="1293"/>
      <c r="DD336" s="1293"/>
      <c r="DE336" s="1293"/>
      <c r="DF336" s="1293"/>
      <c r="DG336" s="1293"/>
      <c r="DH336" s="1293"/>
      <c r="DI336" s="1293"/>
      <c r="DJ336" s="1293"/>
      <c r="DK336" s="1293"/>
      <c r="DL336" s="2147"/>
    </row>
    <row r="337" spans="1:116" ht="16.5" collapsed="1" thickBot="1">
      <c r="A337" s="1293"/>
      <c r="B337" s="1293" t="str">
        <f>B86</f>
        <v>Bolivia</v>
      </c>
      <c r="C337" s="1699">
        <f t="shared" ref="C337:P337" si="426">C86*C260</f>
        <v>14.474656760001372</v>
      </c>
      <c r="D337" s="1699">
        <f t="shared" si="426"/>
        <v>21.90882888000505</v>
      </c>
      <c r="E337" s="1699">
        <f t="shared" si="426"/>
        <v>26.653559740000993</v>
      </c>
      <c r="F337" s="1699">
        <f t="shared" si="426"/>
        <v>29.363132449997501</v>
      </c>
      <c r="G337" s="2039">
        <f t="shared" si="426"/>
        <v>92.400177830004381</v>
      </c>
      <c r="H337" s="1699">
        <f t="shared" si="426"/>
        <v>33.554237769999268</v>
      </c>
      <c r="I337" s="1699">
        <f t="shared" si="426"/>
        <v>40.928421420004078</v>
      </c>
      <c r="J337" s="1699">
        <f t="shared" si="426"/>
        <v>30.987756369997605</v>
      </c>
      <c r="K337" s="1699">
        <f t="shared" si="426"/>
        <v>30.888095580003625</v>
      </c>
      <c r="L337" s="2039">
        <f t="shared" si="426"/>
        <v>136.35851114000448</v>
      </c>
      <c r="M337" s="1699">
        <f t="shared" si="426"/>
        <v>29.128580209995803</v>
      </c>
      <c r="N337" s="1699">
        <f t="shared" si="426"/>
        <v>31.000237069997102</v>
      </c>
      <c r="O337" s="1699">
        <f t="shared" si="426"/>
        <v>30.16963144000146</v>
      </c>
      <c r="P337" s="1699">
        <f t="shared" si="426"/>
        <v>27.64</v>
      </c>
      <c r="Q337" s="2039"/>
      <c r="R337" s="1699">
        <f>R86*R260</f>
        <v>13.82</v>
      </c>
      <c r="S337" s="1699">
        <f>S86*S260</f>
        <v>13.82</v>
      </c>
      <c r="T337" s="1699">
        <f>T86*T260</f>
        <v>13.82</v>
      </c>
      <c r="U337" s="1699">
        <f>U86*U260</f>
        <v>6.91</v>
      </c>
      <c r="V337" s="2039"/>
      <c r="W337" s="1699">
        <f>W86*W260</f>
        <v>34.568438461538477</v>
      </c>
      <c r="X337" s="1699">
        <f>X86*X260</f>
        <v>27.640000000000029</v>
      </c>
      <c r="Y337" s="1699">
        <f>Y86*Y260</f>
        <v>27.640000000000036</v>
      </c>
      <c r="Z337" s="1699">
        <f>Z86*Z260</f>
        <v>27.64</v>
      </c>
      <c r="AA337" s="2039"/>
      <c r="AB337" s="1699"/>
      <c r="AC337" s="1699"/>
      <c r="AD337" s="1699"/>
      <c r="AE337" s="1699"/>
      <c r="AF337" s="1699"/>
      <c r="AG337" s="1699"/>
      <c r="AH337" s="1699"/>
      <c r="AI337" s="1699"/>
      <c r="AJ337" s="2039"/>
      <c r="AK337" s="1699"/>
      <c r="AL337" s="1699"/>
      <c r="AM337" s="1699"/>
      <c r="AN337" s="1699"/>
      <c r="AO337" s="2039"/>
      <c r="AP337" s="1699"/>
      <c r="AQ337" s="1699"/>
      <c r="AR337" s="1699"/>
      <c r="AS337" s="1699"/>
      <c r="AT337" s="2039"/>
      <c r="AU337" s="1699"/>
      <c r="AV337" s="1699"/>
      <c r="AW337" s="1699"/>
      <c r="AX337" s="1699"/>
      <c r="AY337" s="2039"/>
      <c r="AZ337" s="1699"/>
      <c r="BA337" s="1699"/>
      <c r="BB337" s="1699"/>
      <c r="BC337" s="1699"/>
      <c r="BD337" s="2039"/>
      <c r="BE337" s="1699">
        <f>BE286-BE312</f>
        <v>13.819999999999936</v>
      </c>
      <c r="BF337" s="1699">
        <f t="shared" ref="BF337:BH337" si="427">BF286-BF312</f>
        <v>6.9100000000000819</v>
      </c>
      <c r="BG337" s="1699">
        <f t="shared" si="427"/>
        <v>9.3751079500000287</v>
      </c>
      <c r="BH337" s="1699">
        <f t="shared" si="427"/>
        <v>14.353141049999977</v>
      </c>
      <c r="BI337" s="2039"/>
      <c r="BJ337" s="1699">
        <f t="shared" si="413"/>
        <v>10.345953250000093</v>
      </c>
      <c r="BK337" s="1699">
        <f t="shared" ref="BK337:BL337" si="428">BJ337</f>
        <v>10.345953250000093</v>
      </c>
      <c r="BL337" s="1699">
        <f t="shared" si="428"/>
        <v>10.345953250000093</v>
      </c>
      <c r="BM337" s="1699">
        <f t="shared" si="415"/>
        <v>10.345953250000093</v>
      </c>
      <c r="BN337" s="2039">
        <f>'New split'!O255</f>
        <v>41.383813000000373</v>
      </c>
      <c r="BO337" s="1699"/>
      <c r="BP337" s="1699"/>
      <c r="BQ337" s="1293"/>
      <c r="BR337" s="1293"/>
      <c r="BS337" s="1293"/>
      <c r="BT337" s="1293"/>
      <c r="BU337" s="1293"/>
      <c r="BV337" s="1293"/>
      <c r="BW337" s="1293"/>
      <c r="BX337" s="1293"/>
      <c r="BY337" s="1293"/>
      <c r="BZ337" s="1293"/>
      <c r="CA337" s="1293"/>
      <c r="CB337" s="1293"/>
      <c r="CC337" s="1293"/>
      <c r="CD337" s="1293"/>
      <c r="CE337" s="1293"/>
      <c r="CF337" s="1293"/>
      <c r="CG337" s="1293"/>
      <c r="CH337" s="1293"/>
      <c r="CI337" s="1293"/>
      <c r="CJ337" s="1293"/>
      <c r="CK337" s="1293"/>
      <c r="CL337" s="1293"/>
      <c r="CM337" s="1293"/>
      <c r="CN337" s="1293"/>
      <c r="CO337" s="1293"/>
      <c r="CP337" s="1293"/>
      <c r="CQ337" s="1293"/>
      <c r="CR337" s="1293"/>
      <c r="CS337" s="1293"/>
      <c r="CT337" s="1293"/>
      <c r="CU337" s="1293"/>
      <c r="CV337" s="1293"/>
      <c r="CW337" s="1293"/>
      <c r="CX337" s="1293"/>
      <c r="CY337" s="2041"/>
      <c r="CZ337" s="1699"/>
      <c r="DA337" s="2042"/>
      <c r="DB337" s="2041"/>
      <c r="DC337" s="1293"/>
      <c r="DD337" s="1293"/>
      <c r="DE337" s="1293"/>
      <c r="DF337" s="1293"/>
      <c r="DG337" s="1293"/>
      <c r="DH337" s="1293"/>
      <c r="DI337" s="1293"/>
      <c r="DJ337" s="1293"/>
      <c r="DK337" s="1293"/>
      <c r="DL337" s="2147">
        <v>523.62519999999995</v>
      </c>
    </row>
    <row r="338" spans="1:116" ht="16.5" thickBot="1">
      <c r="A338" s="1293"/>
      <c r="B338" s="1293" t="str">
        <f>B87</f>
        <v>Colombia</v>
      </c>
      <c r="C338" s="1699">
        <f t="shared" ref="C338:P338" si="429">C87*C261/1000</f>
        <v>49.631634353126465</v>
      </c>
      <c r="D338" s="1699">
        <f t="shared" si="429"/>
        <v>61.670360119383894</v>
      </c>
      <c r="E338" s="1699">
        <f t="shared" si="429"/>
        <v>101.80916287738793</v>
      </c>
      <c r="F338" s="1699">
        <f t="shared" si="429"/>
        <v>184.59458170414743</v>
      </c>
      <c r="G338" s="2039">
        <f t="shared" si="429"/>
        <v>393.27782088582046</v>
      </c>
      <c r="H338" s="1699">
        <f t="shared" si="429"/>
        <v>137.8933412408787</v>
      </c>
      <c r="I338" s="1699">
        <f t="shared" si="429"/>
        <v>146.68975785511265</v>
      </c>
      <c r="J338" s="1699">
        <f t="shared" si="429"/>
        <v>133.08282550003216</v>
      </c>
      <c r="K338" s="1699">
        <f t="shared" si="429"/>
        <v>142.48957820084519</v>
      </c>
      <c r="L338" s="2039">
        <f t="shared" si="429"/>
        <v>565.6453412478096</v>
      </c>
      <c r="M338" s="1699">
        <f t="shared" si="429"/>
        <v>93.023263570786483</v>
      </c>
      <c r="N338" s="1699">
        <f t="shared" si="429"/>
        <v>91.967837058577246</v>
      </c>
      <c r="O338" s="1699">
        <f t="shared" si="429"/>
        <v>78.697892114872062</v>
      </c>
      <c r="P338" s="1699">
        <f t="shared" si="429"/>
        <v>147.15924999999999</v>
      </c>
      <c r="Q338" s="2039"/>
      <c r="R338" s="1699">
        <f t="shared" ref="R338:U339" si="430">R87*R261/1000</f>
        <v>73.211749999999995</v>
      </c>
      <c r="S338" s="1699">
        <f t="shared" si="430"/>
        <v>100.19799999999999</v>
      </c>
      <c r="T338" s="1699">
        <f t="shared" si="430"/>
        <v>86.332999999999998</v>
      </c>
      <c r="U338" s="1699">
        <f t="shared" si="430"/>
        <v>107.46</v>
      </c>
      <c r="V338" s="2039"/>
      <c r="W338" s="1699">
        <f t="shared" ref="W338:Z339" si="431">W87*W261/1000</f>
        <v>65.699450461538419</v>
      </c>
      <c r="X338" s="1699">
        <f t="shared" si="431"/>
        <v>76.70892323076923</v>
      </c>
      <c r="Y338" s="1699">
        <f t="shared" si="431"/>
        <v>76.940300000000022</v>
      </c>
      <c r="Z338" s="1699">
        <f t="shared" si="431"/>
        <v>101.312</v>
      </c>
      <c r="AA338" s="2039"/>
      <c r="AB338" s="1699"/>
      <c r="AC338" s="1699"/>
      <c r="AD338" s="1699"/>
      <c r="AE338" s="1699"/>
      <c r="AF338" s="1699"/>
      <c r="AG338" s="1699"/>
      <c r="AH338" s="1699"/>
      <c r="AI338" s="1699"/>
      <c r="AJ338" s="2039"/>
      <c r="AK338" s="1699"/>
      <c r="AL338" s="1699"/>
      <c r="AM338" s="1699"/>
      <c r="AN338" s="1699"/>
      <c r="AO338" s="2039"/>
      <c r="AP338" s="1699"/>
      <c r="AQ338" s="1699"/>
      <c r="AR338" s="1699"/>
      <c r="AS338" s="1699"/>
      <c r="AT338" s="2039"/>
      <c r="AU338" s="1699"/>
      <c r="AV338" s="1699"/>
      <c r="AW338" s="1699"/>
      <c r="AX338" s="1699"/>
      <c r="AY338" s="2039"/>
      <c r="AZ338" s="1699"/>
      <c r="BA338" s="1699"/>
      <c r="BB338" s="1699"/>
      <c r="BC338" s="1699"/>
      <c r="BD338" s="2039"/>
      <c r="BE338" s="1699">
        <f t="shared" ref="BE338:BH338" si="432">BE287-BE313</f>
        <v>34.927897499999972</v>
      </c>
      <c r="BF338" s="1699">
        <f t="shared" si="432"/>
        <v>39.345249999999851</v>
      </c>
      <c r="BG338" s="1699">
        <f t="shared" si="432"/>
        <v>32.3115836879997</v>
      </c>
      <c r="BH338" s="1699">
        <f t="shared" si="432"/>
        <v>42.230486372187897</v>
      </c>
      <c r="BI338" s="2039"/>
      <c r="BJ338" s="1699">
        <f t="shared" si="413"/>
        <v>38.425198515000147</v>
      </c>
      <c r="BK338" s="1699">
        <f t="shared" ref="BK338:BL338" si="433">BJ338</f>
        <v>38.425198515000147</v>
      </c>
      <c r="BL338" s="1699">
        <f t="shared" si="433"/>
        <v>38.425198515000147</v>
      </c>
      <c r="BM338" s="1699">
        <f t="shared" si="415"/>
        <v>38.425198515000147</v>
      </c>
      <c r="BN338" s="2039">
        <f>'New split'!O256</f>
        <v>153.70079406000059</v>
      </c>
      <c r="BO338" s="1699"/>
      <c r="BP338" s="1699"/>
      <c r="BQ338" s="1293"/>
      <c r="BR338" s="1293"/>
      <c r="BS338" s="1293"/>
      <c r="BT338" s="1293"/>
      <c r="BU338" s="1293"/>
      <c r="BV338" s="1293"/>
      <c r="BW338" s="1293"/>
      <c r="BX338" s="1293"/>
      <c r="BY338" s="1293"/>
      <c r="BZ338" s="1293"/>
      <c r="CA338" s="1293"/>
      <c r="CB338" s="1293"/>
      <c r="CC338" s="1293"/>
      <c r="CD338" s="1293"/>
      <c r="CE338" s="1293"/>
      <c r="CF338" s="1293"/>
      <c r="CG338" s="1293"/>
      <c r="CH338" s="1293"/>
      <c r="CI338" s="1293"/>
      <c r="CJ338" s="1293"/>
      <c r="CK338" s="1293"/>
      <c r="CL338" s="1293"/>
      <c r="CM338" s="1293"/>
      <c r="CN338" s="1293"/>
      <c r="CO338" s="1293"/>
      <c r="CP338" s="1293"/>
      <c r="CQ338" s="1293"/>
      <c r="CR338" s="1293"/>
      <c r="CS338" s="1293"/>
      <c r="CT338" s="1293"/>
      <c r="CU338" s="1293"/>
      <c r="CV338" s="1293"/>
      <c r="CW338" s="1293"/>
      <c r="CX338" s="1293"/>
      <c r="CY338" s="2041"/>
      <c r="CZ338" s="1699"/>
      <c r="DA338" s="2042"/>
      <c r="DB338" s="2041"/>
      <c r="DC338" s="1293"/>
      <c r="DD338" s="1293"/>
      <c r="DE338" s="1293"/>
      <c r="DF338" s="1293"/>
      <c r="DG338" s="1293"/>
      <c r="DH338" s="1293"/>
      <c r="DI338" s="1293"/>
      <c r="DJ338" s="1293"/>
      <c r="DK338" s="1293"/>
      <c r="DL338" s="2147">
        <v>522.92600000000004</v>
      </c>
    </row>
    <row r="339" spans="1:116" ht="16.5" thickBot="1">
      <c r="A339" s="1293"/>
      <c r="B339" s="1293" t="str">
        <f>B88</f>
        <v>Paraguay</v>
      </c>
      <c r="C339" s="1699">
        <f t="shared" ref="C339:P339" si="434">C88*C262/1000</f>
        <v>52.83935538407151</v>
      </c>
      <c r="D339" s="1699">
        <f t="shared" si="434"/>
        <v>64.155940599752483</v>
      </c>
      <c r="E339" s="1699">
        <f t="shared" si="434"/>
        <v>78.261065315188475</v>
      </c>
      <c r="F339" s="1699">
        <f t="shared" si="434"/>
        <v>83.873053315598639</v>
      </c>
      <c r="G339" s="2039">
        <f t="shared" si="434"/>
        <v>279.63160744757079</v>
      </c>
      <c r="H339" s="1699">
        <f t="shared" si="434"/>
        <v>79.846345222172005</v>
      </c>
      <c r="I339" s="1699">
        <f t="shared" si="434"/>
        <v>84.738159586164713</v>
      </c>
      <c r="J339" s="1699">
        <f t="shared" si="434"/>
        <v>77.097472622391948</v>
      </c>
      <c r="K339" s="1699">
        <f t="shared" si="434"/>
        <v>86.017447007169764</v>
      </c>
      <c r="L339" s="2039">
        <f t="shared" si="434"/>
        <v>328.88035525967717</v>
      </c>
      <c r="M339" s="1699">
        <f t="shared" si="434"/>
        <v>67.881552154484638</v>
      </c>
      <c r="N339" s="1699">
        <f t="shared" si="434"/>
        <v>92.247725698817518</v>
      </c>
      <c r="O339" s="1699">
        <f t="shared" si="434"/>
        <v>66.606871185650107</v>
      </c>
      <c r="P339" s="1699">
        <f t="shared" si="434"/>
        <v>0</v>
      </c>
      <c r="Q339" s="2039"/>
      <c r="R339" s="1699">
        <f t="shared" si="430"/>
        <v>56.617399999999996</v>
      </c>
      <c r="S339" s="1699">
        <f t="shared" si="430"/>
        <v>67.103999999999999</v>
      </c>
      <c r="T339" s="1699">
        <f t="shared" si="430"/>
        <v>56.07</v>
      </c>
      <c r="U339" s="1699">
        <f t="shared" si="430"/>
        <v>50.777999999999999</v>
      </c>
      <c r="V339" s="2039"/>
      <c r="W339" s="1699">
        <f t="shared" si="431"/>
        <v>72.522119999999987</v>
      </c>
      <c r="X339" s="1699">
        <f t="shared" si="431"/>
        <v>73.054559999999981</v>
      </c>
      <c r="Y339" s="1699">
        <f t="shared" si="431"/>
        <v>69.387267692307717</v>
      </c>
      <c r="Z339" s="1699">
        <f t="shared" si="431"/>
        <v>53.514000000000003</v>
      </c>
      <c r="AA339" s="2039"/>
      <c r="AB339" s="1699"/>
      <c r="AC339" s="1699"/>
      <c r="AD339" s="1699"/>
      <c r="AE339" s="1699"/>
      <c r="AF339" s="1699"/>
      <c r="AG339" s="1699"/>
      <c r="AH339" s="1699"/>
      <c r="AI339" s="1699"/>
      <c r="AJ339" s="2039"/>
      <c r="AK339" s="1699"/>
      <c r="AL339" s="1699"/>
      <c r="AM339" s="1699"/>
      <c r="AN339" s="1699"/>
      <c r="AO339" s="2039"/>
      <c r="AP339" s="1699"/>
      <c r="AQ339" s="1699"/>
      <c r="AR339" s="1699"/>
      <c r="AS339" s="1699"/>
      <c r="AT339" s="2039"/>
      <c r="AU339" s="1699"/>
      <c r="AV339" s="1699"/>
      <c r="AW339" s="1699"/>
      <c r="AX339" s="1699"/>
      <c r="AY339" s="2039"/>
      <c r="AZ339" s="1699"/>
      <c r="BA339" s="1699"/>
      <c r="BB339" s="1699"/>
      <c r="BC339" s="1699"/>
      <c r="BD339" s="2039"/>
      <c r="BE339" s="1699">
        <f t="shared" ref="BE339:BH339" si="435">BE288-BE314</f>
        <v>36.578362500000139</v>
      </c>
      <c r="BF339" s="1699">
        <f t="shared" si="435"/>
        <v>37.459524999999985</v>
      </c>
      <c r="BG339" s="1699">
        <f t="shared" si="435"/>
        <v>34.458612776000223</v>
      </c>
      <c r="BH339" s="1699">
        <f t="shared" si="435"/>
        <v>34.070324229374592</v>
      </c>
      <c r="BI339" s="2039"/>
      <c r="BJ339" s="1699">
        <f t="shared" si="413"/>
        <v>34.777433507249953</v>
      </c>
      <c r="BK339" s="1699">
        <f t="shared" ref="BK339:BL339" si="436">BJ339</f>
        <v>34.777433507249953</v>
      </c>
      <c r="BL339" s="1699">
        <f t="shared" si="436"/>
        <v>34.777433507249953</v>
      </c>
      <c r="BM339" s="1699">
        <f t="shared" si="415"/>
        <v>34.777433507249953</v>
      </c>
      <c r="BN339" s="2039">
        <f>'New split'!O257</f>
        <v>139.10973402899981</v>
      </c>
      <c r="BO339" s="1699"/>
      <c r="BP339" s="1699"/>
      <c r="BQ339" s="1293"/>
      <c r="BR339" s="1293"/>
      <c r="BS339" s="1293"/>
      <c r="BT339" s="1293"/>
      <c r="BU339" s="1293"/>
      <c r="BV339" s="1293"/>
      <c r="BW339" s="1293"/>
      <c r="BX339" s="1293"/>
      <c r="BY339" s="1293"/>
      <c r="BZ339" s="1293"/>
      <c r="CA339" s="1293"/>
      <c r="CB339" s="1293"/>
      <c r="CC339" s="1293"/>
      <c r="CD339" s="1293"/>
      <c r="CE339" s="1293"/>
      <c r="CF339" s="1293"/>
      <c r="CG339" s="1293"/>
      <c r="CH339" s="1293"/>
      <c r="CI339" s="1293"/>
      <c r="CJ339" s="1293"/>
      <c r="CK339" s="1293"/>
      <c r="CL339" s="1293"/>
      <c r="CM339" s="1293"/>
      <c r="CN339" s="1293"/>
      <c r="CO339" s="1293"/>
      <c r="CP339" s="1293"/>
      <c r="CQ339" s="1293"/>
      <c r="CR339" s="1293"/>
      <c r="CS339" s="1293"/>
      <c r="CT339" s="1293"/>
      <c r="CU339" s="1293"/>
      <c r="CV339" s="1293"/>
      <c r="CW339" s="1293"/>
      <c r="CX339" s="1293"/>
      <c r="CY339" s="2041"/>
      <c r="CZ339" s="1699"/>
      <c r="DA339" s="2042"/>
      <c r="DB339" s="2041"/>
      <c r="DC339" s="1293"/>
      <c r="DD339" s="1293"/>
      <c r="DE339" s="1293"/>
      <c r="DF339" s="1293"/>
      <c r="DG339" s="1293"/>
      <c r="DH339" s="1293"/>
      <c r="DI339" s="1293"/>
      <c r="DJ339" s="1293"/>
      <c r="DK339" s="1293"/>
      <c r="DL339" s="2147">
        <v>523.03710000000001</v>
      </c>
    </row>
    <row r="340" spans="1:116" ht="16.5" thickBot="1">
      <c r="A340" s="1293"/>
      <c r="B340" s="1293"/>
      <c r="C340" s="1699"/>
      <c r="D340" s="1699"/>
      <c r="E340" s="1699"/>
      <c r="F340" s="1699"/>
      <c r="G340" s="2039"/>
      <c r="H340" s="1699"/>
      <c r="I340" s="1699"/>
      <c r="J340" s="1699"/>
      <c r="K340" s="1699"/>
      <c r="L340" s="2039"/>
      <c r="M340" s="1699"/>
      <c r="N340" s="1699"/>
      <c r="O340" s="1699"/>
      <c r="P340" s="1699"/>
      <c r="Q340" s="2039"/>
      <c r="R340" s="1699"/>
      <c r="S340" s="1699"/>
      <c r="T340" s="1699"/>
      <c r="U340" s="1699"/>
      <c r="V340" s="2039"/>
      <c r="W340" s="1699"/>
      <c r="X340" s="1699"/>
      <c r="Y340" s="1699"/>
      <c r="Z340" s="1699"/>
      <c r="AA340" s="2039"/>
      <c r="AB340" s="1699"/>
      <c r="AC340" s="1699"/>
      <c r="AD340" s="1699"/>
      <c r="AE340" s="1699"/>
      <c r="AF340" s="1699"/>
      <c r="AG340" s="1699"/>
      <c r="AH340" s="1699"/>
      <c r="AI340" s="1699"/>
      <c r="AJ340" s="2039"/>
      <c r="AK340" s="1699"/>
      <c r="AL340" s="1699"/>
      <c r="AM340" s="1699"/>
      <c r="AN340" s="1699"/>
      <c r="AO340" s="2039"/>
      <c r="AP340" s="1699"/>
      <c r="AQ340" s="1699"/>
      <c r="AR340" s="1699"/>
      <c r="AS340" s="1699"/>
      <c r="AT340" s="2039"/>
      <c r="AU340" s="1699"/>
      <c r="AV340" s="1699"/>
      <c r="AW340" s="1699"/>
      <c r="AX340" s="1699"/>
      <c r="AY340" s="2039"/>
      <c r="AZ340" s="1699"/>
      <c r="BA340" s="1699"/>
      <c r="BB340" s="1699"/>
      <c r="BC340" s="1699"/>
      <c r="BD340" s="2039"/>
      <c r="BE340" s="1699"/>
      <c r="BF340" s="1699"/>
      <c r="BG340" s="1699"/>
      <c r="BH340" s="1699"/>
      <c r="BI340" s="2039"/>
      <c r="BJ340" s="1699"/>
      <c r="BK340" s="1699"/>
      <c r="BL340" s="1699"/>
      <c r="BM340" s="1699"/>
      <c r="BN340" s="2039"/>
      <c r="BO340" s="1699"/>
      <c r="BP340" s="1699"/>
      <c r="BQ340" s="1293"/>
      <c r="BR340" s="1293"/>
      <c r="BS340" s="1293"/>
      <c r="BT340" s="1293"/>
      <c r="BU340" s="1293"/>
      <c r="BV340" s="1293"/>
      <c r="BW340" s="1293"/>
      <c r="BX340" s="1293"/>
      <c r="BY340" s="1293"/>
      <c r="BZ340" s="1293"/>
      <c r="CA340" s="1293"/>
      <c r="CB340" s="1293"/>
      <c r="CC340" s="1293"/>
      <c r="CD340" s="1293"/>
      <c r="CE340" s="1293"/>
      <c r="CF340" s="1293"/>
      <c r="CG340" s="1293"/>
      <c r="CH340" s="1293"/>
      <c r="CI340" s="1293"/>
      <c r="CJ340" s="1293"/>
      <c r="CK340" s="1293"/>
      <c r="CL340" s="1293"/>
      <c r="CM340" s="1293"/>
      <c r="CN340" s="1293"/>
      <c r="CO340" s="1293"/>
      <c r="CP340" s="1293"/>
      <c r="CQ340" s="1293"/>
      <c r="CR340" s="1293"/>
      <c r="CS340" s="1293"/>
      <c r="CT340" s="1293"/>
      <c r="CU340" s="1293"/>
      <c r="CV340" s="1293"/>
      <c r="CW340" s="1293"/>
      <c r="CX340" s="1293"/>
      <c r="CY340" s="2041"/>
      <c r="CZ340" s="1699"/>
      <c r="DA340" s="2042"/>
      <c r="DB340" s="2041"/>
      <c r="DC340" s="1293"/>
      <c r="DD340" s="1293"/>
      <c r="DE340" s="1293"/>
      <c r="DF340" s="1293"/>
      <c r="DG340" s="1293"/>
      <c r="DH340" s="1293"/>
      <c r="DI340" s="1293"/>
      <c r="DJ340" s="1293"/>
      <c r="DK340" s="1293"/>
      <c r="DL340" s="2147">
        <v>523.49959999999999</v>
      </c>
    </row>
    <row r="341" spans="1:116" ht="16.5" hidden="1" outlineLevel="1" thickBot="1">
      <c r="A341" s="1293"/>
      <c r="B341" s="1293" t="str">
        <f t="shared" ref="B341:B347" si="437">B90</f>
        <v>Chad</v>
      </c>
      <c r="C341" s="1293"/>
      <c r="D341" s="1293"/>
      <c r="E341" s="1293"/>
      <c r="F341" s="1293"/>
      <c r="G341" s="2080"/>
      <c r="H341" s="1293"/>
      <c r="I341" s="1293"/>
      <c r="J341" s="1293"/>
      <c r="K341" s="1293"/>
      <c r="L341" s="2080"/>
      <c r="M341" s="1293"/>
      <c r="N341" s="1293"/>
      <c r="O341" s="1293"/>
      <c r="P341" s="1293"/>
      <c r="Q341" s="2080"/>
      <c r="R341" s="1293"/>
      <c r="S341" s="1293"/>
      <c r="T341" s="1293"/>
      <c r="U341" s="1293"/>
      <c r="V341" s="2080"/>
      <c r="W341" s="1293"/>
      <c r="X341" s="1293"/>
      <c r="Y341" s="1293"/>
      <c r="Z341" s="1293"/>
      <c r="AA341" s="2080"/>
      <c r="AB341" s="1293"/>
      <c r="AC341" s="1293"/>
      <c r="AD341" s="1293"/>
      <c r="AE341" s="1293"/>
      <c r="AF341" s="1293"/>
      <c r="AG341" s="1293"/>
      <c r="AH341" s="1293"/>
      <c r="AI341" s="1293"/>
      <c r="AJ341" s="2080"/>
      <c r="AK341" s="1293"/>
      <c r="AL341" s="1293"/>
      <c r="AM341" s="1293"/>
      <c r="AN341" s="1293"/>
      <c r="AO341" s="2080"/>
      <c r="AP341" s="1293"/>
      <c r="AQ341" s="1293"/>
      <c r="AR341" s="1293"/>
      <c r="AS341" s="1293"/>
      <c r="AT341" s="2080"/>
      <c r="AU341" s="1293"/>
      <c r="AV341" s="1293"/>
      <c r="AW341" s="1293"/>
      <c r="AX341" s="1293"/>
      <c r="AY341" s="2080"/>
      <c r="AZ341" s="1293"/>
      <c r="BA341" s="1293"/>
      <c r="BB341" s="1293"/>
      <c r="BC341" s="1293"/>
      <c r="BD341" s="2080"/>
      <c r="BE341" s="1293"/>
      <c r="BF341" s="1293"/>
      <c r="BG341" s="1293"/>
      <c r="BH341" s="1293"/>
      <c r="BI341" s="2080"/>
      <c r="BJ341" s="1293"/>
      <c r="BK341" s="1293"/>
      <c r="BL341" s="1293"/>
      <c r="BM341" s="1293"/>
      <c r="BN341" s="2080"/>
      <c r="BO341" s="1293"/>
      <c r="BP341" s="1293"/>
      <c r="BQ341" s="1293"/>
      <c r="BR341" s="1293"/>
      <c r="BS341" s="1293"/>
      <c r="BT341" s="1293"/>
      <c r="BU341" s="1293"/>
      <c r="BV341" s="1293"/>
      <c r="BW341" s="1293"/>
      <c r="BX341" s="1293"/>
      <c r="BY341" s="1293"/>
      <c r="BZ341" s="1293"/>
      <c r="CA341" s="1293"/>
      <c r="CB341" s="1293"/>
      <c r="CC341" s="1293"/>
      <c r="CD341" s="1293"/>
      <c r="CE341" s="1293"/>
      <c r="CF341" s="1293"/>
      <c r="CG341" s="1293"/>
      <c r="CH341" s="1293"/>
      <c r="CI341" s="1293"/>
      <c r="CJ341" s="1293"/>
      <c r="CK341" s="1293"/>
      <c r="CL341" s="1293"/>
      <c r="CM341" s="1293"/>
      <c r="CN341" s="1293"/>
      <c r="CO341" s="1293"/>
      <c r="CP341" s="1293"/>
      <c r="CQ341" s="1293"/>
      <c r="CR341" s="1293"/>
      <c r="CS341" s="1293"/>
      <c r="CT341" s="1293"/>
      <c r="CU341" s="1293"/>
      <c r="CV341" s="1293"/>
      <c r="CW341" s="1293"/>
      <c r="CX341" s="1293"/>
      <c r="CY341" s="2032"/>
      <c r="CZ341" s="1293"/>
      <c r="DA341" s="2031"/>
      <c r="DB341" s="2032"/>
      <c r="DC341" s="1293"/>
      <c r="DD341" s="1293"/>
      <c r="DE341" s="1293"/>
      <c r="DF341" s="1293"/>
      <c r="DG341" s="1293"/>
      <c r="DH341" s="1293"/>
      <c r="DI341" s="1293"/>
      <c r="DJ341" s="1293"/>
      <c r="DK341" s="1293"/>
      <c r="DL341" s="2147">
        <v>523.49959999999999</v>
      </c>
    </row>
    <row r="342" spans="1:116" ht="16.5" hidden="1" outlineLevel="1" thickBot="1">
      <c r="A342" s="1293"/>
      <c r="B342" s="1293" t="str">
        <f t="shared" si="437"/>
        <v>DRC</v>
      </c>
      <c r="C342" s="1293"/>
      <c r="D342" s="1293"/>
      <c r="E342" s="1293"/>
      <c r="F342" s="1293"/>
      <c r="G342" s="2080"/>
      <c r="H342" s="1293"/>
      <c r="I342" s="1293"/>
      <c r="J342" s="1293"/>
      <c r="K342" s="1293"/>
      <c r="L342" s="2080"/>
      <c r="M342" s="1293"/>
      <c r="N342" s="1293"/>
      <c r="O342" s="1293"/>
      <c r="P342" s="1293"/>
      <c r="Q342" s="2080"/>
      <c r="R342" s="1293"/>
      <c r="S342" s="1293"/>
      <c r="T342" s="1293"/>
      <c r="U342" s="1293"/>
      <c r="V342" s="2080"/>
      <c r="W342" s="1293"/>
      <c r="X342" s="1293"/>
      <c r="Y342" s="1293"/>
      <c r="Z342" s="1293"/>
      <c r="AA342" s="2080"/>
      <c r="AB342" s="1293"/>
      <c r="AC342" s="1293"/>
      <c r="AD342" s="1293"/>
      <c r="AE342" s="1293"/>
      <c r="AF342" s="1293"/>
      <c r="AG342" s="1293"/>
      <c r="AH342" s="1293"/>
      <c r="AI342" s="1293"/>
      <c r="AJ342" s="2080"/>
      <c r="AK342" s="1293"/>
      <c r="AL342" s="1293"/>
      <c r="AM342" s="1293"/>
      <c r="AN342" s="1293"/>
      <c r="AO342" s="2080"/>
      <c r="AP342" s="1293"/>
      <c r="AQ342" s="1293"/>
      <c r="AR342" s="1293"/>
      <c r="AS342" s="1293"/>
      <c r="AT342" s="2080"/>
      <c r="AU342" s="1293"/>
      <c r="AV342" s="1293"/>
      <c r="AW342" s="1293"/>
      <c r="AX342" s="1293"/>
      <c r="AY342" s="2080"/>
      <c r="AZ342" s="1293"/>
      <c r="BA342" s="1293"/>
      <c r="BB342" s="1293"/>
      <c r="BC342" s="1293"/>
      <c r="BD342" s="2080"/>
      <c r="BE342" s="1293"/>
      <c r="BF342" s="1293"/>
      <c r="BG342" s="1293"/>
      <c r="BH342" s="1293"/>
      <c r="BI342" s="2080"/>
      <c r="BJ342" s="1293"/>
      <c r="BK342" s="1293"/>
      <c r="BL342" s="1293"/>
      <c r="BM342" s="1293"/>
      <c r="BN342" s="2080"/>
      <c r="BO342" s="1293"/>
      <c r="BP342" s="1293"/>
      <c r="BQ342" s="1293"/>
      <c r="BR342" s="1293"/>
      <c r="BS342" s="1293"/>
      <c r="BT342" s="1293"/>
      <c r="BU342" s="1293"/>
      <c r="BV342" s="1293"/>
      <c r="BW342" s="1293"/>
      <c r="BX342" s="1293"/>
      <c r="BY342" s="1293"/>
      <c r="BZ342" s="1293"/>
      <c r="CA342" s="1293"/>
      <c r="CB342" s="1293"/>
      <c r="CC342" s="1293"/>
      <c r="CD342" s="1293"/>
      <c r="CE342" s="1293"/>
      <c r="CF342" s="1293"/>
      <c r="CG342" s="1293"/>
      <c r="CH342" s="1293"/>
      <c r="CI342" s="1293"/>
      <c r="CJ342" s="1293"/>
      <c r="CK342" s="1293"/>
      <c r="CL342" s="1293"/>
      <c r="CM342" s="1293"/>
      <c r="CN342" s="1293"/>
      <c r="CO342" s="1293"/>
      <c r="CP342" s="1293"/>
      <c r="CQ342" s="1293"/>
      <c r="CR342" s="1293"/>
      <c r="CS342" s="1293"/>
      <c r="CT342" s="1293"/>
      <c r="CU342" s="1293"/>
      <c r="CV342" s="1293"/>
      <c r="CW342" s="1293"/>
      <c r="CX342" s="1293"/>
      <c r="CY342" s="2032"/>
      <c r="CZ342" s="1293"/>
      <c r="DA342" s="2031"/>
      <c r="DB342" s="2032"/>
      <c r="DC342" s="1293"/>
      <c r="DD342" s="1293"/>
      <c r="DE342" s="1293"/>
      <c r="DF342" s="1293"/>
      <c r="DG342" s="1293"/>
      <c r="DH342" s="1293"/>
      <c r="DI342" s="1293"/>
      <c r="DJ342" s="1293"/>
      <c r="DK342" s="1293"/>
      <c r="DL342" s="2147">
        <v>522.97220000000004</v>
      </c>
    </row>
    <row r="343" spans="1:116" ht="15.75" hidden="1" outlineLevel="1">
      <c r="A343" s="1293"/>
      <c r="B343" s="1293" t="str">
        <f t="shared" si="437"/>
        <v>Ghana</v>
      </c>
      <c r="C343" s="1293"/>
      <c r="D343" s="1293"/>
      <c r="E343" s="1293"/>
      <c r="F343" s="1293"/>
      <c r="G343" s="2080"/>
      <c r="H343" s="1293"/>
      <c r="I343" s="1293"/>
      <c r="J343" s="1293"/>
      <c r="K343" s="1293"/>
      <c r="L343" s="2080"/>
      <c r="M343" s="1293"/>
      <c r="N343" s="1293"/>
      <c r="O343" s="1293"/>
      <c r="P343" s="1293"/>
      <c r="Q343" s="2080"/>
      <c r="R343" s="1293"/>
      <c r="S343" s="1293"/>
      <c r="T343" s="1293"/>
      <c r="U343" s="1293"/>
      <c r="V343" s="2080"/>
      <c r="W343" s="1293"/>
      <c r="X343" s="1293"/>
      <c r="Y343" s="1293"/>
      <c r="Z343" s="1293"/>
      <c r="AA343" s="2080"/>
      <c r="AB343" s="1293"/>
      <c r="AC343" s="1293"/>
      <c r="AD343" s="1293"/>
      <c r="AE343" s="1293"/>
      <c r="AF343" s="1293"/>
      <c r="AG343" s="1293"/>
      <c r="AH343" s="1293"/>
      <c r="AI343" s="1293"/>
      <c r="AJ343" s="2080"/>
      <c r="AK343" s="1293"/>
      <c r="AL343" s="1293"/>
      <c r="AM343" s="1293"/>
      <c r="AN343" s="1293"/>
      <c r="AO343" s="2080"/>
      <c r="AP343" s="1293"/>
      <c r="AQ343" s="1293"/>
      <c r="AR343" s="1293"/>
      <c r="AS343" s="1293"/>
      <c r="AT343" s="2080"/>
      <c r="AU343" s="1293"/>
      <c r="AV343" s="1293"/>
      <c r="AW343" s="1293"/>
      <c r="AX343" s="1293"/>
      <c r="AY343" s="2080"/>
      <c r="AZ343" s="1293"/>
      <c r="BA343" s="1293"/>
      <c r="BB343" s="1293"/>
      <c r="BC343" s="1293"/>
      <c r="BD343" s="2080"/>
      <c r="BE343" s="1293"/>
      <c r="BF343" s="1293"/>
      <c r="BG343" s="1293"/>
      <c r="BH343" s="1293"/>
      <c r="BI343" s="2080"/>
      <c r="BJ343" s="1293"/>
      <c r="BK343" s="1293"/>
      <c r="BL343" s="1293"/>
      <c r="BM343" s="1293"/>
      <c r="BN343" s="2080"/>
      <c r="BO343" s="1293"/>
      <c r="BP343" s="1293"/>
      <c r="BQ343" s="1293"/>
      <c r="BR343" s="1293"/>
      <c r="BS343" s="1293"/>
      <c r="BT343" s="1293"/>
      <c r="BU343" s="1293"/>
      <c r="BV343" s="1293"/>
      <c r="BW343" s="1293"/>
      <c r="BX343" s="1293"/>
      <c r="BY343" s="1293"/>
      <c r="BZ343" s="1293"/>
      <c r="CA343" s="1293"/>
      <c r="CB343" s="1293"/>
      <c r="CC343" s="1293"/>
      <c r="CD343" s="1293"/>
      <c r="CE343" s="1293"/>
      <c r="CF343" s="1293"/>
      <c r="CG343" s="1293"/>
      <c r="CH343" s="1293"/>
      <c r="CI343" s="1293"/>
      <c r="CJ343" s="1293"/>
      <c r="CK343" s="1293"/>
      <c r="CL343" s="1293"/>
      <c r="CM343" s="1293"/>
      <c r="CN343" s="1293"/>
      <c r="CO343" s="1293"/>
      <c r="CP343" s="1293"/>
      <c r="CQ343" s="1293"/>
      <c r="CR343" s="1293"/>
      <c r="CS343" s="1293"/>
      <c r="CT343" s="1293"/>
      <c r="CU343" s="1293"/>
      <c r="CV343" s="1293"/>
      <c r="CW343" s="1293"/>
      <c r="CX343" s="1293"/>
      <c r="CY343" s="2032"/>
      <c r="CZ343" s="1293"/>
      <c r="DA343" s="2031"/>
      <c r="DB343" s="2032"/>
      <c r="DC343" s="1293"/>
      <c r="DD343" s="1293"/>
      <c r="DE343" s="1293"/>
      <c r="DF343" s="1293"/>
      <c r="DG343" s="1293"/>
      <c r="DH343" s="1293"/>
      <c r="DI343" s="1293"/>
      <c r="DJ343" s="1293"/>
      <c r="DK343" s="1293"/>
      <c r="DL343" s="1293"/>
    </row>
    <row r="344" spans="1:116" ht="15.75" hidden="1" outlineLevel="1">
      <c r="A344" s="1293"/>
      <c r="B344" s="1293" t="str">
        <f t="shared" si="437"/>
        <v>Rwanda</v>
      </c>
      <c r="C344" s="1293"/>
      <c r="D344" s="1293"/>
      <c r="E344" s="1293"/>
      <c r="F344" s="1293"/>
      <c r="G344" s="2080"/>
      <c r="H344" s="1293"/>
      <c r="I344" s="1293"/>
      <c r="J344" s="1293"/>
      <c r="K344" s="1293"/>
      <c r="L344" s="2080"/>
      <c r="M344" s="1293"/>
      <c r="N344" s="1293"/>
      <c r="O344" s="1293"/>
      <c r="P344" s="1293"/>
      <c r="Q344" s="2080"/>
      <c r="R344" s="1293"/>
      <c r="S344" s="1293"/>
      <c r="T344" s="1293"/>
      <c r="U344" s="1293"/>
      <c r="V344" s="2080"/>
      <c r="W344" s="1293"/>
      <c r="X344" s="1293"/>
      <c r="Y344" s="1293"/>
      <c r="Z344" s="1293"/>
      <c r="AA344" s="2080"/>
      <c r="AB344" s="1293"/>
      <c r="AC344" s="1293"/>
      <c r="AD344" s="1293"/>
      <c r="AE344" s="1293"/>
      <c r="AF344" s="1293"/>
      <c r="AG344" s="1293"/>
      <c r="AH344" s="1293"/>
      <c r="AI344" s="1293"/>
      <c r="AJ344" s="2080"/>
      <c r="AK344" s="1293"/>
      <c r="AL344" s="1293"/>
      <c r="AM344" s="1293"/>
      <c r="AN344" s="1293"/>
      <c r="AO344" s="2080"/>
      <c r="AP344" s="1293"/>
      <c r="AQ344" s="1293"/>
      <c r="AR344" s="1293"/>
      <c r="AS344" s="1293"/>
      <c r="AT344" s="2080"/>
      <c r="AU344" s="1293"/>
      <c r="AV344" s="1293"/>
      <c r="AW344" s="1293"/>
      <c r="AX344" s="1293"/>
      <c r="AY344" s="2080"/>
      <c r="AZ344" s="1293"/>
      <c r="BA344" s="1293"/>
      <c r="BB344" s="1293"/>
      <c r="BC344" s="1293"/>
      <c r="BD344" s="2080"/>
      <c r="BE344" s="1293"/>
      <c r="BF344" s="1293"/>
      <c r="BG344" s="1293"/>
      <c r="BH344" s="1293"/>
      <c r="BI344" s="2080"/>
      <c r="BJ344" s="1293"/>
      <c r="BK344" s="1293"/>
      <c r="BL344" s="1293"/>
      <c r="BM344" s="1293"/>
      <c r="BN344" s="2080"/>
      <c r="BO344" s="1293"/>
      <c r="BP344" s="1293"/>
      <c r="BQ344" s="1293"/>
      <c r="BR344" s="1293"/>
      <c r="BS344" s="1293"/>
      <c r="BT344" s="1293"/>
      <c r="BU344" s="1293"/>
      <c r="BV344" s="1293"/>
      <c r="BW344" s="1293"/>
      <c r="BX344" s="1293"/>
      <c r="BY344" s="1293"/>
      <c r="BZ344" s="1293"/>
      <c r="CA344" s="1293"/>
      <c r="CB344" s="1293"/>
      <c r="CC344" s="1293"/>
      <c r="CD344" s="1293"/>
      <c r="CE344" s="1293"/>
      <c r="CF344" s="1293"/>
      <c r="CG344" s="1293"/>
      <c r="CH344" s="1293"/>
      <c r="CI344" s="1293"/>
      <c r="CJ344" s="1293"/>
      <c r="CK344" s="1293"/>
      <c r="CL344" s="1293"/>
      <c r="CM344" s="1293"/>
      <c r="CN344" s="1293"/>
      <c r="CO344" s="1293"/>
      <c r="CP344" s="1293"/>
      <c r="CQ344" s="1293"/>
      <c r="CR344" s="1293"/>
      <c r="CS344" s="1293"/>
      <c r="CT344" s="1293"/>
      <c r="CU344" s="1293"/>
      <c r="CV344" s="1293"/>
      <c r="CW344" s="1293"/>
      <c r="CX344" s="1293"/>
      <c r="CY344" s="2032"/>
      <c r="CZ344" s="1293"/>
      <c r="DA344" s="2031"/>
      <c r="DB344" s="2032"/>
      <c r="DC344" s="1293"/>
      <c r="DD344" s="1293"/>
      <c r="DE344" s="1293"/>
      <c r="DF344" s="1293"/>
      <c r="DG344" s="1293"/>
      <c r="DH344" s="1293"/>
      <c r="DI344" s="1293"/>
      <c r="DJ344" s="1293"/>
      <c r="DK344" s="1293"/>
      <c r="DL344" s="1293"/>
    </row>
    <row r="345" spans="1:116" ht="16.5" hidden="1" outlineLevel="1" thickBot="1">
      <c r="A345" s="1293"/>
      <c r="B345" s="1293" t="str">
        <f t="shared" si="437"/>
        <v>Senegal</v>
      </c>
      <c r="C345" s="1293"/>
      <c r="D345" s="1293"/>
      <c r="E345" s="1293"/>
      <c r="F345" s="1293"/>
      <c r="G345" s="2080"/>
      <c r="H345" s="1293"/>
      <c r="I345" s="1293"/>
      <c r="J345" s="1293"/>
      <c r="K345" s="1293"/>
      <c r="L345" s="2080"/>
      <c r="M345" s="1293"/>
      <c r="N345" s="1293"/>
      <c r="O345" s="1293"/>
      <c r="P345" s="1293"/>
      <c r="Q345" s="2080"/>
      <c r="R345" s="1293"/>
      <c r="S345" s="1293"/>
      <c r="T345" s="1293"/>
      <c r="U345" s="1293"/>
      <c r="V345" s="2080"/>
      <c r="W345" s="1293"/>
      <c r="X345" s="1293"/>
      <c r="Y345" s="1293"/>
      <c r="Z345" s="1293"/>
      <c r="AA345" s="2080"/>
      <c r="AB345" s="1293"/>
      <c r="AC345" s="1293"/>
      <c r="AD345" s="1293"/>
      <c r="AE345" s="1293"/>
      <c r="AF345" s="1293"/>
      <c r="AG345" s="1293"/>
      <c r="AH345" s="1293"/>
      <c r="AI345" s="1293"/>
      <c r="AJ345" s="2080"/>
      <c r="AK345" s="1293"/>
      <c r="AL345" s="1293"/>
      <c r="AM345" s="1293"/>
      <c r="AN345" s="1293"/>
      <c r="AO345" s="2080"/>
      <c r="AP345" s="1293"/>
      <c r="AQ345" s="1293"/>
      <c r="AR345" s="1293"/>
      <c r="AS345" s="1293"/>
      <c r="AT345" s="2080"/>
      <c r="AU345" s="1293"/>
      <c r="AV345" s="1293"/>
      <c r="AW345" s="1293"/>
      <c r="AX345" s="1293"/>
      <c r="AY345" s="2080"/>
      <c r="AZ345" s="1293"/>
      <c r="BA345" s="1293"/>
      <c r="BB345" s="1293"/>
      <c r="BC345" s="1293"/>
      <c r="BD345" s="2080"/>
      <c r="BE345" s="1293"/>
      <c r="BF345" s="1293"/>
      <c r="BG345" s="1293"/>
      <c r="BH345" s="1293"/>
      <c r="BI345" s="2080"/>
      <c r="BJ345" s="1293"/>
      <c r="BK345" s="1293"/>
      <c r="BL345" s="1293"/>
      <c r="BM345" s="1293"/>
      <c r="BN345" s="2080"/>
      <c r="BO345" s="1293"/>
      <c r="BP345" s="1293"/>
      <c r="BQ345" s="1293"/>
      <c r="BR345" s="1293"/>
      <c r="BS345" s="1293"/>
      <c r="BT345" s="1293"/>
      <c r="BU345" s="1293"/>
      <c r="BV345" s="1293"/>
      <c r="BW345" s="1293"/>
      <c r="BX345" s="1293"/>
      <c r="BY345" s="1293"/>
      <c r="BZ345" s="1293"/>
      <c r="CA345" s="1293"/>
      <c r="CB345" s="1293"/>
      <c r="CC345" s="1293"/>
      <c r="CD345" s="1293"/>
      <c r="CE345" s="1293"/>
      <c r="CF345" s="1293"/>
      <c r="CG345" s="1293"/>
      <c r="CH345" s="1293"/>
      <c r="CI345" s="1293"/>
      <c r="CJ345" s="1293"/>
      <c r="CK345" s="1293"/>
      <c r="CL345" s="1293"/>
      <c r="CM345" s="1293"/>
      <c r="CN345" s="1293"/>
      <c r="CO345" s="1293"/>
      <c r="CP345" s="1293"/>
      <c r="CQ345" s="1293"/>
      <c r="CR345" s="1293"/>
      <c r="CS345" s="1293"/>
      <c r="CT345" s="1293"/>
      <c r="CU345" s="1293"/>
      <c r="CV345" s="1293"/>
      <c r="CW345" s="1293"/>
      <c r="CX345" s="1293"/>
      <c r="CY345" s="2032"/>
      <c r="CZ345" s="1293"/>
      <c r="DA345" s="2031"/>
      <c r="DB345" s="2032"/>
      <c r="DC345" s="1293"/>
      <c r="DD345" s="1293"/>
      <c r="DE345" s="1293"/>
      <c r="DF345" s="1293"/>
      <c r="DG345" s="1293"/>
      <c r="DH345" s="1293"/>
      <c r="DI345" s="1293"/>
      <c r="DJ345" s="1293"/>
      <c r="DK345" s="1293"/>
      <c r="DL345" s="1293"/>
    </row>
    <row r="346" spans="1:116" ht="16.5" hidden="1" outlineLevel="1" thickBot="1">
      <c r="A346" s="1293"/>
      <c r="B346" s="1293" t="str">
        <f t="shared" si="437"/>
        <v>Tanzania</v>
      </c>
      <c r="C346" s="1293"/>
      <c r="D346" s="1293"/>
      <c r="E346" s="1293"/>
      <c r="F346" s="1293"/>
      <c r="G346" s="2080"/>
      <c r="H346" s="1293"/>
      <c r="I346" s="1293"/>
      <c r="J346" s="1293"/>
      <c r="K346" s="1293"/>
      <c r="L346" s="2080"/>
      <c r="M346" s="1293"/>
      <c r="N346" s="1293"/>
      <c r="O346" s="1293"/>
      <c r="P346" s="1293"/>
      <c r="Q346" s="2080"/>
      <c r="R346" s="1293"/>
      <c r="S346" s="1293"/>
      <c r="T346" s="1293"/>
      <c r="U346" s="1293"/>
      <c r="V346" s="2080"/>
      <c r="W346" s="1293"/>
      <c r="X346" s="1293"/>
      <c r="Y346" s="1293"/>
      <c r="Z346" s="1293"/>
      <c r="AA346" s="2080"/>
      <c r="AB346" s="1293"/>
      <c r="AC346" s="1293"/>
      <c r="AD346" s="1293"/>
      <c r="AE346" s="1293"/>
      <c r="AF346" s="1293"/>
      <c r="AG346" s="1293"/>
      <c r="AH346" s="1293"/>
      <c r="AI346" s="1293"/>
      <c r="AJ346" s="2080"/>
      <c r="AK346" s="1293"/>
      <c r="AL346" s="1293"/>
      <c r="AM346" s="1293"/>
      <c r="AN346" s="1293"/>
      <c r="AO346" s="2174">
        <f>AO347-AO348</f>
        <v>-3.1783925547362313E-2</v>
      </c>
      <c r="AP346" s="1293"/>
      <c r="AQ346" s="1293"/>
      <c r="AR346" s="1293"/>
      <c r="AS346" s="1293"/>
      <c r="AT346" s="2174">
        <f>AT347-AT348</f>
        <v>-1.7761461267957745E-3</v>
      </c>
      <c r="AU346" s="1293"/>
      <c r="AV346" s="1293"/>
      <c r="AW346" s="1293"/>
      <c r="AX346" s="1293"/>
      <c r="AY346" s="2148"/>
      <c r="AZ346" s="1293"/>
      <c r="BA346" s="1293"/>
      <c r="BB346" s="1293"/>
      <c r="BC346" s="1335"/>
      <c r="BD346" s="2148"/>
      <c r="BE346" s="1293"/>
      <c r="BF346" s="1293"/>
      <c r="BG346" s="1293"/>
      <c r="BH346" s="1335"/>
      <c r="BI346" s="2148"/>
      <c r="BJ346" s="1293"/>
      <c r="BK346" s="1293"/>
      <c r="BL346" s="1293"/>
      <c r="BM346" s="1293"/>
      <c r="BN346" s="2148"/>
      <c r="BO346" s="1335"/>
      <c r="BP346" s="1335"/>
      <c r="BQ346" s="1293"/>
      <c r="BR346" s="1293"/>
      <c r="BS346" s="1293"/>
      <c r="BT346" s="1293"/>
      <c r="BU346" s="1293"/>
      <c r="BV346" s="1293"/>
      <c r="BW346" s="1293"/>
      <c r="BX346" s="1293"/>
      <c r="BY346" s="1293"/>
      <c r="BZ346" s="1293"/>
      <c r="CA346" s="1293"/>
      <c r="CB346" s="1293"/>
      <c r="CC346" s="1293"/>
      <c r="CD346" s="1293"/>
      <c r="CE346" s="1293"/>
      <c r="CF346" s="1293"/>
      <c r="CG346" s="1293"/>
      <c r="CH346" s="1293"/>
      <c r="CI346" s="1293"/>
      <c r="CJ346" s="1293"/>
      <c r="CK346" s="1293"/>
      <c r="CL346" s="1293"/>
      <c r="CM346" s="1293"/>
      <c r="CN346" s="1293"/>
      <c r="CO346" s="1293"/>
      <c r="CP346" s="1293"/>
      <c r="CQ346" s="1293"/>
      <c r="CR346" s="1293"/>
      <c r="CS346" s="1293"/>
      <c r="CT346" s="1293"/>
      <c r="CU346" s="1293"/>
      <c r="CV346" s="1293"/>
      <c r="CW346" s="1293"/>
      <c r="CX346" s="1293"/>
      <c r="CY346" s="2090"/>
      <c r="CZ346" s="1335"/>
      <c r="DA346" s="2031"/>
      <c r="DB346" s="2032"/>
      <c r="DC346" s="1293"/>
      <c r="DD346" s="1293"/>
      <c r="DE346" s="1293"/>
      <c r="DF346" s="1293"/>
      <c r="DG346" s="1293"/>
      <c r="DH346" s="1293"/>
      <c r="DI346" s="1293"/>
      <c r="DJ346" s="1293"/>
      <c r="DK346" s="1293"/>
      <c r="DL346" s="1293"/>
    </row>
    <row r="347" spans="1:116" ht="16.5" hidden="1" outlineLevel="1" thickBot="1">
      <c r="A347" s="1293"/>
      <c r="B347" s="1293" t="str">
        <f t="shared" si="437"/>
        <v>Zantel</v>
      </c>
      <c r="C347" s="1293"/>
      <c r="D347" s="1293"/>
      <c r="E347" s="1293"/>
      <c r="F347" s="1293"/>
      <c r="G347" s="2080"/>
      <c r="H347" s="1293"/>
      <c r="I347" s="1293"/>
      <c r="J347" s="1293"/>
      <c r="K347" s="1293"/>
      <c r="L347" s="2080"/>
      <c r="M347" s="1293"/>
      <c r="N347" s="1293"/>
      <c r="O347" s="1293"/>
      <c r="P347" s="1293"/>
      <c r="Q347" s="2080"/>
      <c r="R347" s="1293"/>
      <c r="S347" s="1293"/>
      <c r="T347" s="1293"/>
      <c r="U347" s="1293"/>
      <c r="V347" s="2080"/>
      <c r="W347" s="1334" t="s">
        <v>5312</v>
      </c>
      <c r="X347" s="1334" t="s">
        <v>5312</v>
      </c>
      <c r="Y347" s="1334" t="s">
        <v>5312</v>
      </c>
      <c r="Z347" s="1334" t="s">
        <v>5312</v>
      </c>
      <c r="AA347" s="2080"/>
      <c r="AB347" s="1334"/>
      <c r="AC347" s="1334"/>
      <c r="AD347" s="1334"/>
      <c r="AE347" s="1334"/>
      <c r="AF347" s="1334"/>
      <c r="AG347" s="1334"/>
      <c r="AH347" s="1334"/>
      <c r="AI347" s="1334"/>
      <c r="AJ347" s="2080"/>
      <c r="AK347" s="1335"/>
      <c r="AL347" s="1328"/>
      <c r="AM347" s="1328"/>
      <c r="AN347" s="1328"/>
      <c r="AO347" s="2174">
        <f>AO58</f>
        <v>-5.3518161080891358E-2</v>
      </c>
      <c r="AP347" s="1328"/>
      <c r="AQ347" s="1328"/>
      <c r="AR347" s="1328"/>
      <c r="AS347" s="1328"/>
      <c r="AT347" s="2174">
        <f>AT58</f>
        <v>6.3774564330737915E-2</v>
      </c>
      <c r="AU347" s="1328"/>
      <c r="AV347" s="1328"/>
      <c r="AW347" s="1328"/>
      <c r="AX347" s="1328"/>
      <c r="AY347" s="2148"/>
      <c r="AZ347" s="1328"/>
      <c r="BA347" s="1328"/>
      <c r="BB347" s="1328"/>
      <c r="BC347" s="1335"/>
      <c r="BD347" s="2148"/>
      <c r="BE347" s="1328"/>
      <c r="BF347" s="1328"/>
      <c r="BG347" s="1328"/>
      <c r="BH347" s="1335"/>
      <c r="BI347" s="2148"/>
      <c r="BJ347" s="1328"/>
      <c r="BK347" s="1328"/>
      <c r="BL347" s="1328"/>
      <c r="BM347" s="1328"/>
      <c r="BN347" s="2148"/>
      <c r="BO347" s="1335"/>
      <c r="BP347" s="1335"/>
      <c r="BQ347" s="1293"/>
      <c r="BR347" s="1293"/>
      <c r="BS347" s="1293"/>
      <c r="BT347" s="1293"/>
      <c r="BU347" s="1293"/>
      <c r="BV347" s="1293"/>
      <c r="BW347" s="1293"/>
      <c r="BX347" s="1293"/>
      <c r="BY347" s="1293"/>
      <c r="BZ347" s="1293"/>
      <c r="CA347" s="1293"/>
      <c r="CB347" s="1293"/>
      <c r="CC347" s="1293"/>
      <c r="CD347" s="1293"/>
      <c r="CE347" s="1293"/>
      <c r="CF347" s="1293"/>
      <c r="CG347" s="1293"/>
      <c r="CH347" s="1293"/>
      <c r="CI347" s="1293"/>
      <c r="CJ347" s="1293"/>
      <c r="CK347" s="1293"/>
      <c r="CL347" s="1293"/>
      <c r="CM347" s="1293"/>
      <c r="CN347" s="1293"/>
      <c r="CO347" s="1293"/>
      <c r="CP347" s="1293"/>
      <c r="CQ347" s="1293"/>
      <c r="CR347" s="1293"/>
      <c r="CS347" s="1293"/>
      <c r="CT347" s="1293"/>
      <c r="CU347" s="1293"/>
      <c r="CV347" s="1293"/>
      <c r="CW347" s="1293"/>
      <c r="CX347" s="1293"/>
      <c r="CY347" s="2090"/>
      <c r="CZ347" s="1335"/>
      <c r="DA347" s="2100"/>
      <c r="DB347" s="2101"/>
      <c r="DC347" s="1293"/>
      <c r="DD347" s="1293"/>
      <c r="DE347" s="1293"/>
      <c r="DF347" s="1293"/>
      <c r="DG347" s="1293"/>
      <c r="DH347" s="1293"/>
      <c r="DI347" s="1293"/>
      <c r="DJ347" s="1293"/>
      <c r="DK347" s="1293"/>
      <c r="DL347" s="1293"/>
    </row>
    <row r="348" spans="1:116" ht="16.5" collapsed="1" thickBot="1">
      <c r="A348" s="1293"/>
      <c r="B348" s="1293"/>
      <c r="C348" s="1293"/>
      <c r="D348" s="1293"/>
      <c r="E348" s="1293"/>
      <c r="F348" s="1293"/>
      <c r="G348" s="2080"/>
      <c r="H348" s="1293"/>
      <c r="I348" s="1293"/>
      <c r="J348" s="1293"/>
      <c r="K348" s="1293"/>
      <c r="L348" s="2080"/>
      <c r="M348" s="1293"/>
      <c r="N348" s="1293"/>
      <c r="O348" s="1293"/>
      <c r="P348" s="1293"/>
      <c r="Q348" s="2080"/>
      <c r="R348" s="1293"/>
      <c r="S348" s="1293"/>
      <c r="T348" s="1293"/>
      <c r="U348" s="1328">
        <f>(U350*BQ350+U351*BQ351+U352*BQ352+U357*BQ357+U361*BQ361+U362*BQ362+U363*BQ363)/SUM(BQ350:BQ363)</f>
        <v>3.4584590945194602E-2</v>
      </c>
      <c r="V348" s="2080"/>
      <c r="W348" s="1328">
        <f>(W350*BQ350+W351*BQ351+W352*BQ352+W357*BQ357+W361*BQ361+W362*BQ362+W363*BQ363)/SUM(BQ350:BQ363)</f>
        <v>4.4596505162827635E-2</v>
      </c>
      <c r="X348" s="1328">
        <f>(X350*BR350+X351*BR351+X352*BR352+X357*BR357+X361*BR361+X362*BR362+X363*BR363)/SUM(BR350:BR363)</f>
        <v>5.7197656250000006E-2</v>
      </c>
      <c r="Y348" s="1328">
        <f>(Y350*BS350+Y351*BS351+Y352*BS352+Y357*BS357+Y361*BS361+Y362*BS362+Y363*BS363)/SUM(BS350:BS363)</f>
        <v>4.9188485804416406E-2</v>
      </c>
      <c r="Z348" s="1328">
        <f>(Z350*BT350+Z351*BT351+Z352*BT352+Z357*BT357+Z361*BT361+Z362*BT362+Z363*BT363)/SUM(BT350:BT363)</f>
        <v>3.8491974317817007E-2</v>
      </c>
      <c r="AA348" s="2089">
        <f>AVERAGE(W348:Z348)</f>
        <v>4.7368655383765265E-2</v>
      </c>
      <c r="AB348" s="1328">
        <f>(AB350*BV350+AB351*BV351+AB352*BV352+AB353*BV353+AB357*BV357+AB361*BV361+AB362*BV362+AB363*BV363)/SUM(BV350:BV363)</f>
        <v>3.920510894064614E-2</v>
      </c>
      <c r="AC348" s="1328">
        <f>(AC350*BV350+AC351*BV351+AC352*BV352+AC353*BV353+AC357*BV357+AC361*BV361+AC362*BV362+AC363*BV363)/SUM(BV350:BV363)</f>
        <v>3.920510894064614E-2</v>
      </c>
      <c r="AD348" s="1328">
        <f>(AD350*BW350+AD351*BW351+AD352*BW352+AD353*BW353+AD357*BW357+AD361*BW361+AD362*BW362+AD363*BW363)/SUM(BW350:BW363)</f>
        <v>2.2240333586050039E-2</v>
      </c>
      <c r="AE348" s="1328">
        <f>(AE350*BW350+AE351*BW351+AE352*BW352+AE353*BW353+AE357*BW357+AE361*BW361+AE362*BW362+AE363*BW363)/SUM(BW350:BW363)</f>
        <v>2.2240333586050039E-2</v>
      </c>
      <c r="AF348" s="1328">
        <f>(AF350*BX350+AF351*BX351+AF352*BX352+AF353*BX353+AF357*BX357+AF361*BX361+AF362*BX362+AF363*BX363)/SUM(BX350:BX363)</f>
        <v>5.536770280515543E-3</v>
      </c>
      <c r="AG348" s="1328">
        <f>(AG350*BX350+AG351*BX351+AG352*BX352+AG353*BX353+AG357*BX357+AG361*BX361+AG362*BX362+AG363*BX363)/SUM(BX350:BX363)</f>
        <v>5.536770280515543E-3</v>
      </c>
      <c r="AH348" s="1328">
        <f>(AH350*BY350+AH351*BY351+AH352*BY352+AH353*BY353+AH357*BY357+AH361*BY361+AH362*BY362+AH363*BY363)/SUM(BY350:BY363)</f>
        <v>2.1554364471669217E-2</v>
      </c>
      <c r="AI348" s="1328"/>
      <c r="AJ348" s="2174">
        <f>AVERAGE(AB348,AD348,AF348,AH348)</f>
        <v>2.2134144319720231E-2</v>
      </c>
      <c r="AK348" s="1328">
        <f>(AK350*CA350+AK351*CA351+AK352*CA352+AK353*CA353+AK357*CA357+AK358*CA358+AK359*CA359+AK360*CA360+AK361*CA361+AK362*CA362+AK363*CA363)/SUM(CA350:CA363)</f>
        <v>3.5507352941176497E-3</v>
      </c>
      <c r="AL348" s="1328">
        <f>(AL350*CB350+AL351*CB351+AL352*CB352+AL353*CB353+AL357*CB357+AL358*CB358+AL359*CB359+AL360*CB360+AL361*CB361+AL362*CB362+AL363*CB363)/SUM(CB350:CB363)</f>
        <v>-6.5933064516129042E-2</v>
      </c>
      <c r="AM348" s="1328">
        <f>(AM350*CC350+AM351*CC351+AM352*CC352+AM353*CC353+AM357*CC357+AM358*CC358+AM359*CC359+AM360*CC360+AM361*CC361+AM362*CC362+AM363*CC363)/SUM(CC350:CC363)</f>
        <v>-2.6301857585139317E-2</v>
      </c>
      <c r="AN348" s="1328">
        <f>(AN350*CD350+AN351*CD351+AN352*CD352+AN353*CD353+AN357*CD357+AN358*CD358+AN359*CD359+AN360*CD360+AN361*CD361+AN362*CD362+AN363*CD363)/SUM(CD350:CD363)</f>
        <v>1.7472446730345339E-3</v>
      </c>
      <c r="AO348" s="2174">
        <f>AVERAGE(AK348:AN348)</f>
        <v>-2.1734235533529041E-2</v>
      </c>
      <c r="AP348" s="1328">
        <f>(AP350*CF350+AP351*CF351+AP352*CF352+AP353*CF353+AP358*CF358+AP361*CF361+AP362*CF362+AP363*CF363)/SUM(CF350:CF363)</f>
        <v>2.3920232052211745E-2</v>
      </c>
      <c r="AQ348" s="1328">
        <f>(AQ350*CG350+AQ351*CG351+AQ352*CG352+AQ353*CG353+AQ358*CG358+AQ361*CG361+AQ362*CG362+AQ363*CG363)/SUM(CG350:CG363)</f>
        <v>0.10733526011560693</v>
      </c>
      <c r="AR348" s="1328">
        <f>(AR350*CH350+AR351*CH351+AR352*CH352+AR353*CH353+AR358*CH358+AR361*CH361+AR362*CH362+AR363*CH363)/SUM(CH350:CH363)</f>
        <v>7.935298346513299E-2</v>
      </c>
      <c r="AS348" s="1328">
        <f>(AS350*CI350+AS351*CI351+AS352*CI352+AS353*CI353+AS358*CI358+AS361*CI361+AS362*CI362+AS363*CI363)/SUM(CI350:CI363)</f>
        <v>5.1594366197183099E-2</v>
      </c>
      <c r="AT348" s="2174">
        <f>AVERAGE(AP348:AS348)</f>
        <v>6.555071045753369E-2</v>
      </c>
      <c r="AU348" s="1328">
        <f>(AU350*CK350+AU351*CK351+AU353*CK353+AU358*CK358+AU361*CK361+AU362*CK362+AU363*CK363)/SUM(CK350:CK363)</f>
        <v>4.1955846210490748E-2</v>
      </c>
      <c r="AV348" s="1328">
        <f>(AV350*CL350+AV351*CL351+AV353*CL353+AV358*CL358+AV361*CL361+AV362*CL362+AV363*CL363)/SUM(CL350:CL363)</f>
        <v>4.210520106860019E-2</v>
      </c>
      <c r="AW348" s="1328">
        <f>(AW350*CM350+AW351*CM351+AW353*CM353+AW358*CM358+AW361*CM361+AW362*CM362+AW363*CM363)/SUM(CM350:CM363)</f>
        <v>2.4939695336625146E-2</v>
      </c>
      <c r="AX348" s="1328">
        <f>(AX350*CN350+AX351*CN351+AX353*CN353+AX358*CN358+AX361*CN361+AX362*CN362+AX363*CN363)/SUM(CN350:CN363)</f>
        <v>2.0638025577332152E-2</v>
      </c>
      <c r="AY348" s="2148"/>
      <c r="AZ348" s="1328">
        <f>(AZ350*CP350+AZ351*CP351+AZ353*CP353+AZ358*CP358+AZ361*CP361+AZ362*CP362+AZ363*CP363)/SUM(CP350:CP363)</f>
        <v>2.1918076268488948E-2</v>
      </c>
      <c r="BA348" s="1328">
        <f>(BA350*CQ350+BA351*CQ351+BA353*CQ353+BA358*CQ358+BA361*CQ361+BA362*CQ362+BA363*CQ363)/SUM(CQ350:CQ363)</f>
        <v>1.9278258323137992E-2</v>
      </c>
      <c r="BB348" s="1328">
        <f>(BB350*CR350+BB351*CR351+BB353*CR353+BB358*CR358+BB361*CR361+BB362*CR362+BB363*CR363)/SUM(CR350:CR363)</f>
        <v>1.6540431960959112E-2</v>
      </c>
      <c r="BC348" s="1328">
        <f>(BC350*CS350+BC351*CS351+BC353*CS353+BC358*CS358+BC361*CS361+BC362*CS362+BC363*CS363)/SUM(CS350:CS363)</f>
        <v>4.2097152966228679E-2</v>
      </c>
      <c r="BD348" s="2148"/>
      <c r="BE348" s="1328">
        <f>(BE350*CU350+BE351*CU351+BE353*CU353+BE358*CU358+BE361*CU361+BE362*CU362+BE363*CU363)/SUM(CU350:CU363)</f>
        <v>4.4039505950540812E-2</v>
      </c>
      <c r="BF348" s="1328">
        <f>(BF350*CV350+BF351*CV351+BF353*CV353+BF358*CV358+BF361*CV361+BF362*CV362+BF363*CV363)/SUM(CV350:CV363)</f>
        <v>2.2924552489409191E-2</v>
      </c>
      <c r="BG348" s="1328">
        <f ca="1">(BG350*CX350+BG351*CX351+BG353*CX353+BG358*CX358+BG361*CX361+BG362*CX362+BG363*CX363)/SUM(CX350:CX363)</f>
        <v>2.8301462301267011E-2</v>
      </c>
      <c r="BH348" s="1328">
        <f ca="1">(BH350*CX350+BH351*CX351+BH353*CX353+BH358*CX358+BH361*CX361+BH362*CX362+BH363*CX363)/SUM(CX350:CX363)</f>
        <v>-5.0569115413065932E-3</v>
      </c>
      <c r="BI348" s="2148"/>
      <c r="BJ348" s="1328"/>
      <c r="BK348" s="1328"/>
      <c r="BL348" s="1328"/>
      <c r="BM348" s="1328"/>
      <c r="BN348" s="2148"/>
      <c r="BO348" s="1335"/>
      <c r="BP348" s="1335"/>
      <c r="BQ348" s="1293">
        <v>2018</v>
      </c>
      <c r="BR348" s="1293">
        <v>2018</v>
      </c>
      <c r="BS348" s="1293">
        <v>2018</v>
      </c>
      <c r="BT348" s="1293">
        <v>2018</v>
      </c>
      <c r="BU348" s="1293"/>
      <c r="BV348" s="1293">
        <v>2019</v>
      </c>
      <c r="BW348" s="1293">
        <v>2019</v>
      </c>
      <c r="BX348" s="1293">
        <v>2019</v>
      </c>
      <c r="BY348" s="1293">
        <v>2019</v>
      </c>
      <c r="BZ348" s="1293"/>
      <c r="CA348" s="1293">
        <v>2020</v>
      </c>
      <c r="CB348" s="1293">
        <v>2020</v>
      </c>
      <c r="CC348" s="1293">
        <v>2020</v>
      </c>
      <c r="CD348" s="1293">
        <v>2020</v>
      </c>
      <c r="CE348" s="1293"/>
      <c r="CF348" s="1293">
        <v>2021</v>
      </c>
      <c r="CG348" s="1293">
        <v>2021</v>
      </c>
      <c r="CH348" s="1293">
        <v>2021</v>
      </c>
      <c r="CI348" s="1293">
        <v>2021</v>
      </c>
      <c r="CJ348" s="1293"/>
      <c r="CK348" s="1293">
        <v>2022</v>
      </c>
      <c r="CL348" s="1293">
        <v>2022</v>
      </c>
      <c r="CM348" s="1293">
        <v>2022</v>
      </c>
      <c r="CN348" s="1293">
        <v>2022</v>
      </c>
      <c r="CO348" s="1293"/>
      <c r="CP348" s="1293">
        <v>2023</v>
      </c>
      <c r="CQ348" s="1293">
        <v>2023</v>
      </c>
      <c r="CR348" s="1293">
        <v>2023</v>
      </c>
      <c r="CS348" s="1293">
        <v>2023</v>
      </c>
      <c r="CT348" s="1293"/>
      <c r="CU348" s="1293">
        <v>2024</v>
      </c>
      <c r="CV348" s="1293">
        <v>2024</v>
      </c>
      <c r="CW348" s="1293">
        <v>2024</v>
      </c>
      <c r="CX348" s="1293">
        <v>2024</v>
      </c>
      <c r="CY348" s="2101">
        <v>1.789028983273884E-2</v>
      </c>
      <c r="CZ348" s="1328">
        <f>(CZ350*CR350+CZ351*CR351+CZ353*CR353+CZ358*CR358+CZ361*CR361+CZ362*CR362+CZ363*CR363)/SUM(CR350:CR363)</f>
        <v>2.1067679635495731E-2</v>
      </c>
      <c r="DA348" s="2100">
        <v>2.256455445461519E-2</v>
      </c>
      <c r="DB348" s="2101">
        <v>2.4007164351100514E-2</v>
      </c>
      <c r="DC348" s="1293"/>
      <c r="DD348" s="1293"/>
      <c r="DE348" s="1293"/>
      <c r="DF348" s="1293"/>
      <c r="DG348" s="1293"/>
      <c r="DH348" s="1293"/>
      <c r="DI348" s="1293"/>
      <c r="DJ348" s="1293"/>
      <c r="DK348" s="1293"/>
      <c r="DL348" s="1293"/>
    </row>
    <row r="349" spans="1:116" ht="15.75">
      <c r="A349" s="1293"/>
      <c r="B349" s="2033" t="s">
        <v>4500</v>
      </c>
      <c r="C349" s="1883" t="str">
        <f t="shared" ref="C349:AO349" si="438">C275</f>
        <v>Q1 14</v>
      </c>
      <c r="D349" s="1883" t="str">
        <f t="shared" si="438"/>
        <v>Q2 14</v>
      </c>
      <c r="E349" s="1883" t="str">
        <f t="shared" si="438"/>
        <v>Q3 14</v>
      </c>
      <c r="F349" s="1883" t="str">
        <f t="shared" si="438"/>
        <v>Q4 14</v>
      </c>
      <c r="G349" s="2034" t="str">
        <f t="shared" si="438"/>
        <v>FY 14</v>
      </c>
      <c r="H349" s="1883" t="str">
        <f t="shared" si="438"/>
        <v>Q1 15</v>
      </c>
      <c r="I349" s="1883" t="str">
        <f t="shared" si="438"/>
        <v>Q2 15</v>
      </c>
      <c r="J349" s="1883" t="str">
        <f t="shared" si="438"/>
        <v>Q3 15</v>
      </c>
      <c r="K349" s="1883" t="str">
        <f t="shared" si="438"/>
        <v>Q4 15</v>
      </c>
      <c r="L349" s="2034" t="str">
        <f t="shared" si="438"/>
        <v>FY 15</v>
      </c>
      <c r="M349" s="1883" t="str">
        <f t="shared" si="438"/>
        <v>Q1 16</v>
      </c>
      <c r="N349" s="1883" t="str">
        <f t="shared" si="438"/>
        <v>Q2 16</v>
      </c>
      <c r="O349" s="1883" t="str">
        <f t="shared" si="438"/>
        <v>Q3 16</v>
      </c>
      <c r="P349" s="1883" t="str">
        <f t="shared" si="438"/>
        <v>Q4 16</v>
      </c>
      <c r="Q349" s="2034">
        <f t="shared" si="438"/>
        <v>2016</v>
      </c>
      <c r="R349" s="1883" t="str">
        <f t="shared" si="438"/>
        <v>Q1 17</v>
      </c>
      <c r="S349" s="1883" t="str">
        <f t="shared" si="438"/>
        <v>Q2 17</v>
      </c>
      <c r="T349" s="1883" t="str">
        <f t="shared" si="438"/>
        <v>Q3 17</v>
      </c>
      <c r="U349" s="1883" t="str">
        <f t="shared" si="438"/>
        <v>Q4 17</v>
      </c>
      <c r="V349" s="2034">
        <f t="shared" si="438"/>
        <v>2017</v>
      </c>
      <c r="W349" s="1883" t="str">
        <f t="shared" si="438"/>
        <v>Q1 18</v>
      </c>
      <c r="X349" s="1883" t="str">
        <f t="shared" si="438"/>
        <v>Q2 18</v>
      </c>
      <c r="Y349" s="1883" t="str">
        <f t="shared" si="438"/>
        <v>Q3 18</v>
      </c>
      <c r="Z349" s="1883" t="str">
        <f t="shared" si="438"/>
        <v>Q4 18</v>
      </c>
      <c r="AA349" s="2034">
        <f t="shared" si="438"/>
        <v>2018</v>
      </c>
      <c r="AB349" s="1883" t="str">
        <f t="shared" si="438"/>
        <v>Q1 19</v>
      </c>
      <c r="AC349" s="1883" t="str">
        <f t="shared" si="438"/>
        <v>Q1 19</v>
      </c>
      <c r="AD349" s="1883" t="str">
        <f t="shared" si="438"/>
        <v>Q2 19</v>
      </c>
      <c r="AE349" s="1883" t="str">
        <f t="shared" si="438"/>
        <v>Q2 19</v>
      </c>
      <c r="AF349" s="1883" t="str">
        <f t="shared" si="438"/>
        <v>Q3 19</v>
      </c>
      <c r="AG349" s="1883" t="str">
        <f t="shared" si="438"/>
        <v>Q3 19</v>
      </c>
      <c r="AH349" s="1883" t="str">
        <f t="shared" si="438"/>
        <v>Q4 19</v>
      </c>
      <c r="AI349" s="1883" t="str">
        <f t="shared" si="438"/>
        <v>Q4 19</v>
      </c>
      <c r="AJ349" s="2034">
        <f t="shared" si="438"/>
        <v>2019</v>
      </c>
      <c r="AK349" s="1883" t="str">
        <f t="shared" si="438"/>
        <v>Q1 20</v>
      </c>
      <c r="AL349" s="1883" t="str">
        <f t="shared" si="438"/>
        <v>Q2 20</v>
      </c>
      <c r="AM349" s="1883" t="str">
        <f t="shared" si="438"/>
        <v>Q3 20</v>
      </c>
      <c r="AN349" s="1883" t="str">
        <f t="shared" si="438"/>
        <v>Q4 20</v>
      </c>
      <c r="AO349" s="2034">
        <f t="shared" si="438"/>
        <v>2020</v>
      </c>
      <c r="AP349" s="1883" t="s">
        <v>7045</v>
      </c>
      <c r="AQ349" s="1883" t="s">
        <v>7046</v>
      </c>
      <c r="AR349" s="1883" t="s">
        <v>7047</v>
      </c>
      <c r="AS349" s="1883" t="s">
        <v>7048</v>
      </c>
      <c r="AT349" s="2034">
        <f>AT275</f>
        <v>2021</v>
      </c>
      <c r="AU349" s="1883" t="str">
        <f>AU178</f>
        <v>Q1 22</v>
      </c>
      <c r="AV349" s="1883" t="str">
        <f>AV178</f>
        <v>Q2 22</v>
      </c>
      <c r="AW349" s="1883" t="str">
        <f>AW178</f>
        <v>Q3 22</v>
      </c>
      <c r="AX349" s="1883" t="str">
        <f>AX178</f>
        <v>Q4 22</v>
      </c>
      <c r="AY349" s="2034">
        <f>AY275</f>
        <v>2022</v>
      </c>
      <c r="AZ349" s="1883" t="str">
        <f>AZ178</f>
        <v>Q1 23</v>
      </c>
      <c r="BA349" s="1883" t="str">
        <f>BA178</f>
        <v>Q2 23</v>
      </c>
      <c r="BB349" s="1883" t="str">
        <f>BB178</f>
        <v>Q3 23</v>
      </c>
      <c r="BC349" s="1883" t="str">
        <f>BC178</f>
        <v>Q4 23</v>
      </c>
      <c r="BD349" s="2034">
        <f>BD275</f>
        <v>2023</v>
      </c>
      <c r="BE349" s="1883" t="str">
        <f>BE178</f>
        <v>Q1 24</v>
      </c>
      <c r="BF349" s="1883" t="str">
        <f>BF178</f>
        <v>Q2 24</v>
      </c>
      <c r="BG349" s="1883" t="str">
        <f>BG178</f>
        <v>Q3 24</v>
      </c>
      <c r="BH349" s="1883" t="str">
        <f>BH178</f>
        <v>Q4 24</v>
      </c>
      <c r="BI349" s="2034">
        <f>BI275</f>
        <v>2024</v>
      </c>
      <c r="BJ349" s="1883" t="str">
        <f>BJ178</f>
        <v>Q1 25</v>
      </c>
      <c r="BK349" s="1883" t="str">
        <f>BK178</f>
        <v>Q2 25</v>
      </c>
      <c r="BL349" s="1883" t="str">
        <f>BL178</f>
        <v>Q3 25</v>
      </c>
      <c r="BM349" s="1883" t="str">
        <f>BM178</f>
        <v>Q4 25</v>
      </c>
      <c r="BN349" s="2034">
        <f>BN275</f>
        <v>2025</v>
      </c>
      <c r="BO349" s="1323"/>
      <c r="BP349" s="1323"/>
      <c r="BQ349" s="2175" t="s">
        <v>5313</v>
      </c>
      <c r="BR349" s="2175" t="s">
        <v>5314</v>
      </c>
      <c r="BS349" s="2175" t="s">
        <v>5315</v>
      </c>
      <c r="BT349" s="2175" t="s">
        <v>5083</v>
      </c>
      <c r="BU349" s="2175"/>
      <c r="BV349" s="2175" t="s">
        <v>5313</v>
      </c>
      <c r="BW349" s="2175" t="s">
        <v>5314</v>
      </c>
      <c r="BX349" s="2175" t="s">
        <v>5315</v>
      </c>
      <c r="BY349" s="2175" t="s">
        <v>5083</v>
      </c>
      <c r="BZ349" s="1293"/>
      <c r="CA349" s="2175" t="str">
        <f>BV349</f>
        <v xml:space="preserve">Q1 </v>
      </c>
      <c r="CB349" s="2175" t="str">
        <f>BW349</f>
        <v xml:space="preserve">Q2 </v>
      </c>
      <c r="CC349" s="2175" t="str">
        <f>BX349</f>
        <v>Q3</v>
      </c>
      <c r="CD349" s="2175" t="str">
        <f>BY349</f>
        <v>Q4</v>
      </c>
      <c r="CE349" s="1293"/>
      <c r="CF349" s="2175" t="str">
        <f>CA349</f>
        <v xml:space="preserve">Q1 </v>
      </c>
      <c r="CG349" s="2175" t="str">
        <f>CB349</f>
        <v xml:space="preserve">Q2 </v>
      </c>
      <c r="CH349" s="2175" t="str">
        <f>CC349</f>
        <v>Q3</v>
      </c>
      <c r="CI349" s="2175" t="str">
        <f>CD349</f>
        <v>Q4</v>
      </c>
      <c r="CJ349" s="1293"/>
      <c r="CK349" s="2175" t="s">
        <v>7492</v>
      </c>
      <c r="CL349" s="2175" t="str">
        <f>CG349</f>
        <v xml:space="preserve">Q2 </v>
      </c>
      <c r="CM349" s="2175" t="str">
        <f>CH349</f>
        <v>Q3</v>
      </c>
      <c r="CN349" s="2175" t="str">
        <f>CI349</f>
        <v>Q4</v>
      </c>
      <c r="CO349" s="1293"/>
      <c r="CP349" s="2175" t="s">
        <v>7492</v>
      </c>
      <c r="CQ349" s="2175" t="str">
        <f>CL349</f>
        <v xml:space="preserve">Q2 </v>
      </c>
      <c r="CR349" s="2175" t="str">
        <f>CM349</f>
        <v>Q3</v>
      </c>
      <c r="CS349" s="2175" t="str">
        <f>CN349</f>
        <v>Q4</v>
      </c>
      <c r="CT349" s="2175"/>
      <c r="CU349" s="2175" t="str">
        <f>CP349</f>
        <v>Q1</v>
      </c>
      <c r="CV349" s="2175" t="str">
        <f>CQ349</f>
        <v xml:space="preserve">Q2 </v>
      </c>
      <c r="CW349" s="2175" t="str">
        <f>CR349</f>
        <v>Q3</v>
      </c>
      <c r="CX349" s="2175" t="str">
        <f>CS349</f>
        <v>Q4</v>
      </c>
      <c r="CY349" s="2036" t="s">
        <v>7795</v>
      </c>
      <c r="CZ349" s="1883" t="str">
        <f>CZ178</f>
        <v>Q3 23e</v>
      </c>
      <c r="DA349" s="2037" t="s">
        <v>8571</v>
      </c>
      <c r="DB349" s="2038" t="s">
        <v>8572</v>
      </c>
      <c r="DC349" s="1293"/>
      <c r="DD349" s="1293"/>
      <c r="DE349" s="1293"/>
      <c r="DF349" s="1293"/>
      <c r="DG349" s="1293"/>
      <c r="DH349" s="1293"/>
      <c r="DI349" s="1293"/>
      <c r="DJ349" s="1293"/>
      <c r="DK349" s="1293"/>
      <c r="DL349" s="1293"/>
    </row>
    <row r="350" spans="1:116" ht="15.75">
      <c r="A350" s="1293"/>
      <c r="B350" s="1293" t="str">
        <f>B276</f>
        <v>El Salvador</v>
      </c>
      <c r="C350" s="1293"/>
      <c r="D350" s="1293"/>
      <c r="E350" s="1293"/>
      <c r="F350" s="1293"/>
      <c r="G350" s="2089"/>
      <c r="H350" s="1328">
        <f t="shared" ref="H350:K352" si="439">H301/C301-1</f>
        <v>-6.2466745421854153E-3</v>
      </c>
      <c r="I350" s="1328">
        <f t="shared" si="439"/>
        <v>1.3986718470266446E-2</v>
      </c>
      <c r="J350" s="1328">
        <f t="shared" si="439"/>
        <v>2.6689060257776065E-2</v>
      </c>
      <c r="K350" s="1328">
        <f t="shared" si="439"/>
        <v>1.5081315714906784E-2</v>
      </c>
      <c r="L350" s="2089"/>
      <c r="M350" s="1328">
        <f t="shared" ref="M350:P352" si="440">M301/H301-1</f>
        <v>-1.61343294780113E-2</v>
      </c>
      <c r="N350" s="1328">
        <f t="shared" si="440"/>
        <v>-3.6965792268640496E-2</v>
      </c>
      <c r="O350" s="1328">
        <f t="shared" si="440"/>
        <v>-4.835121251142338E-2</v>
      </c>
      <c r="P350" s="1328">
        <f t="shared" si="440"/>
        <v>-8.8891190001162967E-2</v>
      </c>
      <c r="Q350" s="2089"/>
      <c r="R350" s="1328">
        <f>R301/M301-1</f>
        <v>-6.2981310996317541E-2</v>
      </c>
      <c r="S350" s="2000">
        <v>-1.4E-2</v>
      </c>
      <c r="T350" s="2000">
        <v>3.0000000000000001E-3</v>
      </c>
      <c r="U350" s="2000">
        <v>5.3999999999999999E-2</v>
      </c>
      <c r="V350" s="2089"/>
      <c r="W350" s="2000">
        <v>2.1000000000000001E-2</v>
      </c>
      <c r="X350" s="2000">
        <v>-3.5999999999999997E-2</v>
      </c>
      <c r="Y350" s="2000">
        <v>-7.6999999999999999E-2</v>
      </c>
      <c r="Z350" s="2000">
        <v>-8.8999999999999996E-2</v>
      </c>
      <c r="AA350" s="2089"/>
      <c r="AB350" s="1328">
        <f>AC350</f>
        <v>-7.5999999999999998E-2</v>
      </c>
      <c r="AC350" s="2000">
        <v>-7.5999999999999998E-2</v>
      </c>
      <c r="AD350" s="1328">
        <f>AE350</f>
        <v>-7.5999999999999998E-2</v>
      </c>
      <c r="AE350" s="2000">
        <v>-7.5999999999999998E-2</v>
      </c>
      <c r="AF350" s="1328">
        <f>AG350</f>
        <v>-4.9000000000000002E-2</v>
      </c>
      <c r="AG350" s="2000">
        <v>-4.9000000000000002E-2</v>
      </c>
      <c r="AH350" s="1328">
        <f>AI350</f>
        <v>-4.3999999999999997E-2</v>
      </c>
      <c r="AI350" s="2000">
        <v>-4.3999999999999997E-2</v>
      </c>
      <c r="AJ350" s="2089"/>
      <c r="AK350" s="2001">
        <v>-8.9999999999999993E-3</v>
      </c>
      <c r="AL350" s="2001">
        <v>-6.0999999999999999E-2</v>
      </c>
      <c r="AM350" s="2001">
        <v>-2.5999999999999999E-2</v>
      </c>
      <c r="AN350" s="2001">
        <v>0.09</v>
      </c>
      <c r="AO350" s="2089">
        <f>'New split'!J208</f>
        <v>-2.8735632183908288E-3</v>
      </c>
      <c r="AP350" s="2001">
        <v>8.8999999999999996E-2</v>
      </c>
      <c r="AQ350" s="2001">
        <v>0.20499999999999999</v>
      </c>
      <c r="AR350" s="2001">
        <v>0.18</v>
      </c>
      <c r="AS350" s="2001">
        <v>0.111</v>
      </c>
      <c r="AT350" s="2089">
        <f>'New split'!K208</f>
        <v>0.14697406340057628</v>
      </c>
      <c r="AU350" s="2001">
        <v>0.10299999999999999</v>
      </c>
      <c r="AV350" s="2001">
        <v>6.9000000000000006E-2</v>
      </c>
      <c r="AW350" s="2001">
        <v>0.06</v>
      </c>
      <c r="AX350" s="2001">
        <v>7.4999999999999997E-2</v>
      </c>
      <c r="AY350" s="2089">
        <f>'New split'!L208</f>
        <v>7.7889447236180853E-2</v>
      </c>
      <c r="AZ350" s="2001">
        <v>3.1E-2</v>
      </c>
      <c r="BA350" s="2001">
        <v>0.05</v>
      </c>
      <c r="BB350" s="2001">
        <v>5.8000000000000003E-2</v>
      </c>
      <c r="BC350" s="2001">
        <v>-2E-3</v>
      </c>
      <c r="BD350" s="2089">
        <f>'New split'!M208</f>
        <v>3.2634032634032639E-2</v>
      </c>
      <c r="BE350" s="2001">
        <v>4.1000000000000002E-2</v>
      </c>
      <c r="BF350" s="2001">
        <v>2.5999999999999999E-2</v>
      </c>
      <c r="BG350" s="2001">
        <v>2.1999999999999999E-2</v>
      </c>
      <c r="BH350" s="2001">
        <v>-4.1000000000000002E-2</v>
      </c>
      <c r="BI350" s="2089">
        <f>'New split'!N208</f>
        <v>1.1286681715575675E-2</v>
      </c>
      <c r="BJ350" s="2512">
        <v>5.0000000000000001E-3</v>
      </c>
      <c r="BK350" s="2512">
        <v>1.4999999999999999E-2</v>
      </c>
      <c r="BL350" s="2512">
        <v>1.4999999999999999E-2</v>
      </c>
      <c r="BM350" s="1328">
        <f t="shared" ref="BM350:BM355" si="441">BM301/BH301-1</f>
        <v>4.5007090338287981E-2</v>
      </c>
      <c r="BN350" s="2089">
        <f>'New split'!O208</f>
        <v>0.02</v>
      </c>
      <c r="BO350" s="1328"/>
      <c r="BP350" s="1328"/>
      <c r="BQ350" s="1699">
        <f t="shared" ref="BQ350:BT352" si="442">W39</f>
        <v>96</v>
      </c>
      <c r="BR350" s="1699">
        <f t="shared" si="442"/>
        <v>94</v>
      </c>
      <c r="BS350" s="1699">
        <f t="shared" si="442"/>
        <v>90</v>
      </c>
      <c r="BT350" s="1699">
        <f t="shared" si="442"/>
        <v>91</v>
      </c>
      <c r="BU350" s="1699"/>
      <c r="BV350" s="1699">
        <f t="shared" ref="BV350:BX353" si="443">AC39</f>
        <v>88</v>
      </c>
      <c r="BW350" s="1699">
        <f t="shared" si="443"/>
        <v>87</v>
      </c>
      <c r="BX350" s="1699">
        <f t="shared" si="443"/>
        <v>87</v>
      </c>
      <c r="BY350" s="1699">
        <f>AG39</f>
        <v>86</v>
      </c>
      <c r="BZ350" s="1293"/>
      <c r="CA350" s="1699">
        <f t="shared" ref="CA350:CD353" si="444">AK39</f>
        <v>88</v>
      </c>
      <c r="CB350" s="1699">
        <f t="shared" si="444"/>
        <v>82</v>
      </c>
      <c r="CC350" s="1699">
        <f t="shared" si="444"/>
        <v>84</v>
      </c>
      <c r="CD350" s="1699">
        <f t="shared" si="444"/>
        <v>93</v>
      </c>
      <c r="CE350" s="1699"/>
      <c r="CF350" s="1699">
        <f t="shared" ref="CF350:CI353" si="445">AP39</f>
        <v>95</v>
      </c>
      <c r="CG350" s="1699">
        <f t="shared" si="445"/>
        <v>98</v>
      </c>
      <c r="CH350" s="1699">
        <f t="shared" si="445"/>
        <v>99</v>
      </c>
      <c r="CI350" s="1699">
        <f t="shared" si="445"/>
        <v>106</v>
      </c>
      <c r="CJ350" s="1293"/>
      <c r="CK350" s="1699">
        <f t="shared" ref="CK350:CN351" si="446">AU39</f>
        <v>105.1966</v>
      </c>
      <c r="CL350" s="1699">
        <f t="shared" si="446"/>
        <v>105.0566</v>
      </c>
      <c r="CM350" s="1699">
        <f t="shared" si="446"/>
        <v>104.78740000000001</v>
      </c>
      <c r="CN350" s="1699">
        <f t="shared" si="446"/>
        <v>113.6858</v>
      </c>
      <c r="CO350" s="1293"/>
      <c r="CP350" s="1699">
        <f>AZ39</f>
        <v>108.4336</v>
      </c>
      <c r="CQ350" s="1699">
        <f>BA39</f>
        <v>110.30410000000001</v>
      </c>
      <c r="CR350" s="1699">
        <f>CZ39</f>
        <v>110.02677000000001</v>
      </c>
      <c r="CS350" s="1699">
        <f>BC39</f>
        <v>113.4145</v>
      </c>
      <c r="CT350" s="1699"/>
      <c r="CU350" s="1699">
        <f t="shared" ref="CU350:CX351" si="447">BE39</f>
        <v>112.8267</v>
      </c>
      <c r="CV350" s="1699">
        <f t="shared" si="447"/>
        <v>113.1358</v>
      </c>
      <c r="CW350" s="1699">
        <f t="shared" si="447"/>
        <v>113.32380000000001</v>
      </c>
      <c r="CX350" s="1699">
        <f t="shared" si="447"/>
        <v>108.8099</v>
      </c>
      <c r="CY350" s="2101">
        <v>2.9231578947368275E-2</v>
      </c>
      <c r="CZ350" s="1954">
        <v>0.05</v>
      </c>
      <c r="DA350" s="2138">
        <v>0.02</v>
      </c>
      <c r="DB350" s="2139">
        <v>0.02</v>
      </c>
      <c r="DC350" s="1293"/>
      <c r="DD350" s="1293"/>
      <c r="DE350" s="1293"/>
      <c r="DF350" s="1293"/>
      <c r="DG350" s="1293"/>
      <c r="DH350" s="1293"/>
      <c r="DI350" s="1293"/>
      <c r="DJ350" s="1293"/>
      <c r="DK350" s="1293"/>
      <c r="DL350" s="1293"/>
    </row>
    <row r="351" spans="1:116" ht="15.75">
      <c r="A351" s="1293"/>
      <c r="B351" s="1293" t="str">
        <f>B277</f>
        <v>Guatemala</v>
      </c>
      <c r="C351" s="1293"/>
      <c r="D351" s="1293"/>
      <c r="E351" s="1293"/>
      <c r="F351" s="1293"/>
      <c r="G351" s="2089"/>
      <c r="H351" s="1328">
        <f t="shared" si="439"/>
        <v>2.242556177509325E-2</v>
      </c>
      <c r="I351" s="1328">
        <f t="shared" si="439"/>
        <v>2.8064300820245025E-2</v>
      </c>
      <c r="J351" s="1328">
        <f t="shared" si="439"/>
        <v>3.5694561401533598E-2</v>
      </c>
      <c r="K351" s="1328">
        <f t="shared" si="439"/>
        <v>3.6106540130936615E-2</v>
      </c>
      <c r="L351" s="2089"/>
      <c r="M351" s="1328">
        <f t="shared" si="440"/>
        <v>2.7698262780291749E-2</v>
      </c>
      <c r="N351" s="1328">
        <f t="shared" si="440"/>
        <v>-1.2495823245184168E-2</v>
      </c>
      <c r="O351" s="1328">
        <f t="shared" si="440"/>
        <v>-4.6968325993278048E-2</v>
      </c>
      <c r="P351" s="1328">
        <f t="shared" si="440"/>
        <v>-3.832110352738094E-2</v>
      </c>
      <c r="Q351" s="2089"/>
      <c r="R351" s="1328">
        <f>R302/M302-1</f>
        <v>-4.1168651147424629E-2</v>
      </c>
      <c r="S351" s="2000">
        <v>-2.5000000000000001E-2</v>
      </c>
      <c r="T351" s="2000">
        <v>3.5000000000000003E-2</v>
      </c>
      <c r="U351" s="2000">
        <v>3.4000000000000002E-2</v>
      </c>
      <c r="V351" s="2089"/>
      <c r="W351" s="2000">
        <v>5.7000000000000002E-2</v>
      </c>
      <c r="X351" s="2000">
        <v>6.4000000000000001E-2</v>
      </c>
      <c r="Y351" s="2000">
        <v>6.4000000000000001E-2</v>
      </c>
      <c r="Z351" s="2000">
        <v>6.8000000000000005E-2</v>
      </c>
      <c r="AA351" s="2089"/>
      <c r="AB351" s="1328">
        <f>AC351</f>
        <v>7.0000000000000007E-2</v>
      </c>
      <c r="AC351" s="2000">
        <v>7.0000000000000007E-2</v>
      </c>
      <c r="AD351" s="1328">
        <f>AE351</f>
        <v>7.5999999999999998E-2</v>
      </c>
      <c r="AE351" s="2000">
        <v>7.5999999999999998E-2</v>
      </c>
      <c r="AF351" s="1328">
        <f>AG351</f>
        <v>3.2000000000000001E-2</v>
      </c>
      <c r="AG351" s="2000">
        <v>3.2000000000000001E-2</v>
      </c>
      <c r="AH351" s="1328">
        <f>AI351</f>
        <v>3.6999999999999998E-2</v>
      </c>
      <c r="AI351" s="2000">
        <v>3.6999999999999998E-2</v>
      </c>
      <c r="AJ351" s="2089"/>
      <c r="AK351" s="2001">
        <v>4.8000000000000001E-2</v>
      </c>
      <c r="AL351" s="2001">
        <v>-1.6E-2</v>
      </c>
      <c r="AM351" s="2001">
        <v>3.9E-2</v>
      </c>
      <c r="AN351" s="2001">
        <v>6.6000000000000003E-2</v>
      </c>
      <c r="AO351" s="2089">
        <f>'New split'!J209</f>
        <v>3.0794165316045286E-2</v>
      </c>
      <c r="AP351" s="2001">
        <v>6.0999999999999999E-2</v>
      </c>
      <c r="AQ351" s="2001">
        <v>0.122</v>
      </c>
      <c r="AR351" s="2001">
        <v>9.1999999999999998E-2</v>
      </c>
      <c r="AS351" s="2001">
        <v>2.4E-2</v>
      </c>
      <c r="AT351" s="2089">
        <f>'New split'!K209</f>
        <v>7.7525518649982139E-2</v>
      </c>
      <c r="AU351" s="2001">
        <v>8.0000000000000002E-3</v>
      </c>
      <c r="AV351" s="2001">
        <v>1.1000000000000001E-2</v>
      </c>
      <c r="AW351" s="2001">
        <v>-5.0000000000000001E-3</v>
      </c>
      <c r="AX351" s="2001">
        <v>1.9E-2</v>
      </c>
      <c r="AY351" s="2089">
        <f>'New split'!L209</f>
        <v>8.4599643048335338E-3</v>
      </c>
      <c r="AZ351" s="2001">
        <v>-2E-3</v>
      </c>
      <c r="BA351" s="2001">
        <v>-1.6E-2</v>
      </c>
      <c r="BB351" s="2001">
        <v>-1.4999999999999999E-2</v>
      </c>
      <c r="BC351" s="2001">
        <v>-2.3E-2</v>
      </c>
      <c r="BD351" s="2089">
        <f>'New split'!M209</f>
        <v>-1.3905853612703134E-2</v>
      </c>
      <c r="BE351" s="2001">
        <v>0.02</v>
      </c>
      <c r="BF351" s="2001">
        <v>0.03</v>
      </c>
      <c r="BG351" s="2001">
        <v>0.04</v>
      </c>
      <c r="BH351" s="2001">
        <v>2.3E-2</v>
      </c>
      <c r="BI351" s="2089">
        <f>'New split'!N209</f>
        <v>2.8394473558837507E-2</v>
      </c>
      <c r="BJ351" s="2512">
        <v>2.3E-2</v>
      </c>
      <c r="BK351" s="2512">
        <v>2.3E-2</v>
      </c>
      <c r="BL351" s="2512">
        <v>2.5000000000000001E-2</v>
      </c>
      <c r="BM351" s="1328">
        <f t="shared" si="441"/>
        <v>3.3312686576296713E-2</v>
      </c>
      <c r="BN351" s="2089">
        <f>'New split'!O209</f>
        <v>2.5999999999999999E-2</v>
      </c>
      <c r="BO351" s="1328"/>
      <c r="BP351" s="1328"/>
      <c r="BQ351" s="1699">
        <f t="shared" si="442"/>
        <v>297</v>
      </c>
      <c r="BR351" s="1699">
        <f t="shared" si="442"/>
        <v>298</v>
      </c>
      <c r="BS351" s="1699">
        <f t="shared" si="442"/>
        <v>300</v>
      </c>
      <c r="BT351" s="1699">
        <f t="shared" si="442"/>
        <v>306</v>
      </c>
      <c r="BU351" s="1699"/>
      <c r="BV351" s="1699">
        <f t="shared" si="443"/>
        <v>303</v>
      </c>
      <c r="BW351" s="1699">
        <f t="shared" si="443"/>
        <v>310</v>
      </c>
      <c r="BX351" s="1699">
        <f t="shared" si="443"/>
        <v>310</v>
      </c>
      <c r="BY351" s="1699">
        <f>AG40</f>
        <v>304</v>
      </c>
      <c r="BZ351" s="1293"/>
      <c r="CA351" s="1699">
        <f t="shared" si="444"/>
        <v>319</v>
      </c>
      <c r="CB351" s="1699">
        <f t="shared" si="444"/>
        <v>305</v>
      </c>
      <c r="CC351" s="1699">
        <f t="shared" si="444"/>
        <v>314</v>
      </c>
      <c r="CD351" s="1699">
        <f t="shared" si="444"/>
        <v>334</v>
      </c>
      <c r="CE351" s="1699"/>
      <c r="CF351" s="1699">
        <f t="shared" si="445"/>
        <v>335</v>
      </c>
      <c r="CG351" s="1699">
        <f t="shared" si="445"/>
        <v>341</v>
      </c>
      <c r="CH351" s="1699">
        <f t="shared" si="445"/>
        <v>343</v>
      </c>
      <c r="CI351" s="1699">
        <f t="shared" si="445"/>
        <v>345</v>
      </c>
      <c r="CJ351" s="1293"/>
      <c r="CK351" s="1699">
        <f t="shared" si="446"/>
        <v>339.91199999999998</v>
      </c>
      <c r="CL351" s="1699">
        <f t="shared" si="446"/>
        <v>346.62490000000003</v>
      </c>
      <c r="CM351" s="1699">
        <f t="shared" si="446"/>
        <v>340.20819999999998</v>
      </c>
      <c r="CN351" s="1699">
        <f t="shared" si="446"/>
        <v>346.50720000000001</v>
      </c>
      <c r="CO351" s="1293"/>
      <c r="CP351" s="1699">
        <f>AZ40</f>
        <v>333.64690000000002</v>
      </c>
      <c r="CQ351" s="1699">
        <f>BA40</f>
        <v>335.43450000000001</v>
      </c>
      <c r="CR351" s="1699">
        <f>CZ40</f>
        <v>338.8311107927816</v>
      </c>
      <c r="CS351" s="1699">
        <f>BC40</f>
        <v>339.13159999999999</v>
      </c>
      <c r="CT351" s="1699"/>
      <c r="CU351" s="1699">
        <f t="shared" si="447"/>
        <v>341.15199999999999</v>
      </c>
      <c r="CV351" s="1699">
        <f t="shared" si="447"/>
        <v>347.78769999999997</v>
      </c>
      <c r="CW351" s="1699">
        <f t="shared" si="447"/>
        <v>349.65690000000001</v>
      </c>
      <c r="CX351" s="1699">
        <f t="shared" si="447"/>
        <v>352.06169999999997</v>
      </c>
      <c r="CY351" s="2101">
        <v>-1.7154268415762064E-2</v>
      </c>
      <c r="CZ351" s="1954">
        <v>-0.01</v>
      </c>
      <c r="DA351" s="2138">
        <v>0.02</v>
      </c>
      <c r="DB351" s="2139">
        <v>2.8000000000000001E-2</v>
      </c>
      <c r="DC351" s="1293"/>
      <c r="DD351" s="1293"/>
      <c r="DE351" s="1293"/>
      <c r="DF351" s="1293"/>
      <c r="DG351" s="1293"/>
      <c r="DH351" s="1293"/>
      <c r="DI351" s="1293"/>
      <c r="DJ351" s="1293"/>
      <c r="DK351" s="1293"/>
      <c r="DL351" s="1293"/>
    </row>
    <row r="352" spans="1:116" ht="15.75">
      <c r="A352" s="1293"/>
      <c r="B352" s="1293" t="str">
        <f>B278</f>
        <v>Honduras (JV)</v>
      </c>
      <c r="C352" s="1293"/>
      <c r="D352" s="1293"/>
      <c r="E352" s="1293"/>
      <c r="F352" s="1293"/>
      <c r="G352" s="2089"/>
      <c r="H352" s="1328">
        <f t="shared" si="439"/>
        <v>8.8531920417884047E-2</v>
      </c>
      <c r="I352" s="1328">
        <f t="shared" si="439"/>
        <v>7.7707938705352753E-2</v>
      </c>
      <c r="J352" s="1328">
        <f t="shared" si="439"/>
        <v>7.0368472942066829E-2</v>
      </c>
      <c r="K352" s="1328">
        <f t="shared" si="439"/>
        <v>2.9529759267453048E-2</v>
      </c>
      <c r="L352" s="2089"/>
      <c r="M352" s="1328">
        <f t="shared" si="440"/>
        <v>-6.4044837344594541E-3</v>
      </c>
      <c r="N352" s="1328">
        <f t="shared" si="440"/>
        <v>-1.2350028239206279E-2</v>
      </c>
      <c r="O352" s="1328">
        <f t="shared" si="440"/>
        <v>-2.4140266513080211E-2</v>
      </c>
      <c r="P352" s="1328">
        <f t="shared" si="440"/>
        <v>-8.3916962683181495E-3</v>
      </c>
      <c r="Q352" s="2089"/>
      <c r="R352" s="1328">
        <f>R303/M303-1</f>
        <v>-1.3202736752249256E-2</v>
      </c>
      <c r="S352" s="1328">
        <f>S303/N303-1</f>
        <v>-6.4573330764599035E-3</v>
      </c>
      <c r="T352" s="2000">
        <v>-8.0000000000000002E-3</v>
      </c>
      <c r="U352" s="2000">
        <v>-1E-3</v>
      </c>
      <c r="V352" s="2089"/>
      <c r="W352" s="2000">
        <v>0</v>
      </c>
      <c r="X352" s="2000">
        <v>3.0000000000000001E-3</v>
      </c>
      <c r="Y352" s="2000">
        <v>2.5999999999999999E-2</v>
      </c>
      <c r="Z352" s="2000">
        <v>4.8000000000000001E-2</v>
      </c>
      <c r="AA352" s="2089"/>
      <c r="AB352" s="1328">
        <f>AC352</f>
        <v>3.1E-2</v>
      </c>
      <c r="AC352" s="2000">
        <v>3.1E-2</v>
      </c>
      <c r="AD352" s="1328">
        <f>AE352</f>
        <v>2.4E-2</v>
      </c>
      <c r="AE352" s="2000">
        <v>2.4E-2</v>
      </c>
      <c r="AF352" s="1328">
        <f>AG352</f>
        <v>0.02</v>
      </c>
      <c r="AG352" s="2000">
        <v>0.02</v>
      </c>
      <c r="AH352" s="1328">
        <f>AI352</f>
        <v>-5.0000000000000001E-3</v>
      </c>
      <c r="AI352" s="2000">
        <v>-5.0000000000000001E-3</v>
      </c>
      <c r="AJ352" s="2089"/>
      <c r="AK352" s="2001">
        <v>-2.3E-2</v>
      </c>
      <c r="AL352" s="2001">
        <v>-0.124</v>
      </c>
      <c r="AM352" s="2001">
        <v>-0.06</v>
      </c>
      <c r="AN352" s="2001">
        <v>-3.4000000000000002E-2</v>
      </c>
      <c r="AO352" s="2089">
        <f>'New split'!J210</f>
        <v>-5.7422512957903127E-2</v>
      </c>
      <c r="AP352" s="2001">
        <v>-3.0000000000000001E-3</v>
      </c>
      <c r="AQ352" s="2001">
        <v>0.111</v>
      </c>
      <c r="AR352" s="2001">
        <v>4.3999999999999997E-2</v>
      </c>
      <c r="AS352" s="2001">
        <v>8.0000000000000002E-3</v>
      </c>
      <c r="AT352" s="2089">
        <f>'New split'!K210</f>
        <v>3.3980440436983672E-2</v>
      </c>
      <c r="AU352" s="2001">
        <v>0</v>
      </c>
      <c r="AV352" s="2001">
        <v>9.0000000000000011E-3</v>
      </c>
      <c r="AW352" s="2001">
        <v>2.1999999999999999E-2</v>
      </c>
      <c r="AX352" s="2001">
        <v>4.9000000000000002E-2</v>
      </c>
      <c r="AY352" s="2089">
        <f>'New split'!L210</f>
        <v>2.2108532960467997E-2</v>
      </c>
      <c r="AZ352" s="2001">
        <v>5.8000000000000003E-2</v>
      </c>
      <c r="BA352" s="2001">
        <v>4.9000000000000002E-2</v>
      </c>
      <c r="BB352" s="2001">
        <v>5.0999999999999997E-2</v>
      </c>
      <c r="BC352" s="2001">
        <v>2.9000000000000001E-2</v>
      </c>
      <c r="BD352" s="2089">
        <f>'New split'!M210</f>
        <v>4.6418508082455956E-2</v>
      </c>
      <c r="BE352" s="2001">
        <v>2.8000000000000001E-2</v>
      </c>
      <c r="BF352" s="2001">
        <v>2.5999999999999999E-2</v>
      </c>
      <c r="BG352" s="2001">
        <v>2.1000000000000001E-2</v>
      </c>
      <c r="BH352" s="2001">
        <v>3.7999999999999999E-2</v>
      </c>
      <c r="BI352" s="2089">
        <f>'New split'!N210</f>
        <v>2.8202947845805015E-2</v>
      </c>
      <c r="BJ352" s="2512">
        <v>2.75E-2</v>
      </c>
      <c r="BK352" s="2512">
        <v>2.9000000000000001E-2</v>
      </c>
      <c r="BL352" s="2512">
        <v>0.03</v>
      </c>
      <c r="BM352" s="1328">
        <f t="shared" si="441"/>
        <v>1.3927122799989977E-2</v>
      </c>
      <c r="BN352" s="2089">
        <f>'New split'!O210</f>
        <v>2.5000000000000001E-2</v>
      </c>
      <c r="BO352" s="1328"/>
      <c r="BP352" s="1328"/>
      <c r="BQ352" s="1699">
        <f t="shared" si="442"/>
        <v>138</v>
      </c>
      <c r="BR352" s="1699">
        <f t="shared" si="442"/>
        <v>138</v>
      </c>
      <c r="BS352" s="1699">
        <f t="shared" si="442"/>
        <v>136</v>
      </c>
      <c r="BT352" s="1699">
        <f t="shared" si="442"/>
        <v>142</v>
      </c>
      <c r="BU352" s="1699"/>
      <c r="BV352" s="1699">
        <f t="shared" si="443"/>
        <v>138</v>
      </c>
      <c r="BW352" s="1699">
        <f t="shared" si="443"/>
        <v>138</v>
      </c>
      <c r="BX352" s="1699">
        <f t="shared" si="443"/>
        <v>138</v>
      </c>
      <c r="BY352" s="1699">
        <f>AG41</f>
        <v>136</v>
      </c>
      <c r="BZ352" s="1293"/>
      <c r="CA352" s="1699">
        <f t="shared" si="444"/>
        <v>133</v>
      </c>
      <c r="CB352" s="1699">
        <f t="shared" si="444"/>
        <v>119</v>
      </c>
      <c r="CC352" s="1699">
        <f t="shared" si="444"/>
        <v>128</v>
      </c>
      <c r="CD352" s="1699">
        <f t="shared" si="444"/>
        <v>136</v>
      </c>
      <c r="CE352" s="1699"/>
      <c r="CF352" s="1699">
        <f t="shared" si="445"/>
        <v>136</v>
      </c>
      <c r="CG352" s="1699">
        <f t="shared" si="445"/>
        <v>137</v>
      </c>
      <c r="CH352" s="1699">
        <f t="shared" si="445"/>
        <v>137</v>
      </c>
      <c r="CI352" s="1699">
        <f t="shared" si="445"/>
        <v>138</v>
      </c>
      <c r="CJ352" s="1293"/>
      <c r="CK352" s="1699"/>
      <c r="CL352" s="1699"/>
      <c r="CM352" s="1699"/>
      <c r="CN352" s="1699"/>
      <c r="CO352" s="1293"/>
      <c r="CP352" s="1699"/>
      <c r="CQ352" s="1699"/>
      <c r="CR352" s="1699"/>
      <c r="CS352" s="1699"/>
      <c r="CT352" s="1699"/>
      <c r="CU352" s="1699"/>
      <c r="CV352" s="1699"/>
      <c r="CW352" s="1699"/>
      <c r="CX352" s="1699"/>
      <c r="CY352" s="2101">
        <v>4.8201183189852337E-2</v>
      </c>
      <c r="CZ352" s="1954">
        <v>0.04</v>
      </c>
      <c r="DA352" s="2138">
        <v>0.03</v>
      </c>
      <c r="DB352" s="2139">
        <v>2.8000000000000001E-2</v>
      </c>
      <c r="DC352" s="1293"/>
      <c r="DD352" s="1293"/>
      <c r="DE352" s="1293"/>
      <c r="DF352" s="1293"/>
      <c r="DG352" s="1293"/>
      <c r="DH352" s="1293"/>
      <c r="DI352" s="1293"/>
      <c r="DJ352" s="1293"/>
      <c r="DK352" s="1293"/>
      <c r="DL352" s="1293"/>
    </row>
    <row r="353" spans="1:116" ht="15.75">
      <c r="A353" s="1293"/>
      <c r="B353" s="1293" t="s">
        <v>2032</v>
      </c>
      <c r="C353" s="1293"/>
      <c r="D353" s="1293"/>
      <c r="E353" s="1293"/>
      <c r="F353" s="1293"/>
      <c r="G353" s="2089"/>
      <c r="H353" s="1328"/>
      <c r="I353" s="1328"/>
      <c r="J353" s="1328"/>
      <c r="K353" s="1328"/>
      <c r="L353" s="2089"/>
      <c r="M353" s="1328"/>
      <c r="N353" s="1328"/>
      <c r="O353" s="1328"/>
      <c r="P353" s="1328"/>
      <c r="Q353" s="2089"/>
      <c r="R353" s="1328"/>
      <c r="S353" s="1328"/>
      <c r="T353" s="2000"/>
      <c r="U353" s="2000"/>
      <c r="V353" s="2089"/>
      <c r="W353" s="2000"/>
      <c r="X353" s="2000"/>
      <c r="Y353" s="2000"/>
      <c r="Z353" s="2000"/>
      <c r="AA353" s="2089"/>
      <c r="AB353" s="1328">
        <f>AC353</f>
        <v>4.2999999999999997E-2</v>
      </c>
      <c r="AC353" s="2000">
        <v>4.2999999999999997E-2</v>
      </c>
      <c r="AD353" s="1328">
        <f>AE353</f>
        <v>-7.0000000000000001E-3</v>
      </c>
      <c r="AE353" s="2000">
        <v>-7.0000000000000001E-3</v>
      </c>
      <c r="AF353" s="1328">
        <f>AG353</f>
        <v>-2.9000000000000001E-2</v>
      </c>
      <c r="AG353" s="2000">
        <v>-2.9000000000000001E-2</v>
      </c>
      <c r="AH353" s="1328">
        <f>AI353</f>
        <v>1.2999999999999999E-2</v>
      </c>
      <c r="AI353" s="2000">
        <v>1.2999999999999999E-2</v>
      </c>
      <c r="AJ353" s="2089"/>
      <c r="AK353" s="2001">
        <v>-5.1999999999999998E-2</v>
      </c>
      <c r="AL353" s="2001">
        <v>-0.125</v>
      </c>
      <c r="AM353" s="2001">
        <v>-9.4E-2</v>
      </c>
      <c r="AN353" s="2001">
        <v>-6.3E-2</v>
      </c>
      <c r="AO353" s="2089">
        <f>'New split'!J218</f>
        <v>0</v>
      </c>
      <c r="AP353" s="2001">
        <v>-0.01</v>
      </c>
      <c r="AQ353" s="2001">
        <v>0.112</v>
      </c>
      <c r="AR353" s="2001">
        <v>9.5000000000000001E-2</v>
      </c>
      <c r="AS353" s="2001">
        <v>0.10199999999999999</v>
      </c>
      <c r="AT353" s="2089">
        <f>'New split'!K218</f>
        <v>7.7777777777777724E-2</v>
      </c>
      <c r="AU353" s="2001">
        <v>4.1000000000000002E-2</v>
      </c>
      <c r="AV353" s="2001">
        <v>2.6000000000000002E-2</v>
      </c>
      <c r="AW353" s="2001">
        <v>3.9E-2</v>
      </c>
      <c r="AX353" s="2001">
        <v>2E-3</v>
      </c>
      <c r="AY353" s="2089">
        <f>'New split'!L218</f>
        <v>0.60875927835051558</v>
      </c>
      <c r="AZ353" s="2001">
        <v>4.2999999999999997E-2</v>
      </c>
      <c r="BA353" s="2001">
        <v>4.1000000000000002E-2</v>
      </c>
      <c r="BB353" s="2001">
        <v>1.4E-2</v>
      </c>
      <c r="BC353" s="2001">
        <v>0.189</v>
      </c>
      <c r="BD353" s="2089">
        <f>'New split'!M218</f>
        <v>7.305751727094556E-2</v>
      </c>
      <c r="BE353" s="2001">
        <v>0.17799999999999999</v>
      </c>
      <c r="BF353" s="2001">
        <v>6.3E-2</v>
      </c>
      <c r="BG353" s="2001">
        <v>5.8000000000000003E-2</v>
      </c>
      <c r="BH353" s="2001">
        <v>-9.0999999999999998E-2</v>
      </c>
      <c r="BI353" s="2089">
        <f>'New split'!N218</f>
        <v>7.6070016172618882E-2</v>
      </c>
      <c r="BJ353" s="2512">
        <v>-7.0000000000000007E-2</v>
      </c>
      <c r="BK353" s="2512">
        <v>0.04</v>
      </c>
      <c r="BL353" s="2512">
        <v>0.05</v>
      </c>
      <c r="BM353" s="1328">
        <f t="shared" si="441"/>
        <v>0.17031401374092958</v>
      </c>
      <c r="BN353" s="2089">
        <f>'New split'!O218</f>
        <v>2.5100000000000344E-2</v>
      </c>
      <c r="BO353" s="1328"/>
      <c r="BP353" s="1328"/>
      <c r="BQ353" s="1699"/>
      <c r="BR353" s="1699"/>
      <c r="BS353" s="1699"/>
      <c r="BT353" s="1699"/>
      <c r="BU353" s="1699"/>
      <c r="BV353" s="1699">
        <f t="shared" si="443"/>
        <v>100</v>
      </c>
      <c r="BW353" s="1699">
        <f t="shared" si="443"/>
        <v>99</v>
      </c>
      <c r="BX353" s="1699">
        <f t="shared" si="443"/>
        <v>99</v>
      </c>
      <c r="BY353" s="1699">
        <f>AG42</f>
        <v>97</v>
      </c>
      <c r="BZ353" s="1293"/>
      <c r="CA353" s="1699">
        <f t="shared" si="444"/>
        <v>93</v>
      </c>
      <c r="CB353" s="1699">
        <f t="shared" si="444"/>
        <v>86</v>
      </c>
      <c r="CC353" s="1699">
        <f t="shared" si="444"/>
        <v>89</v>
      </c>
      <c r="CD353" s="1699">
        <f t="shared" si="444"/>
        <v>92</v>
      </c>
      <c r="CE353" s="1699"/>
      <c r="CF353" s="1699">
        <f t="shared" si="445"/>
        <v>91</v>
      </c>
      <c r="CG353" s="1699">
        <f t="shared" si="445"/>
        <v>96</v>
      </c>
      <c r="CH353" s="1699">
        <f t="shared" si="445"/>
        <v>97</v>
      </c>
      <c r="CI353" s="1699">
        <f t="shared" si="445"/>
        <v>104</v>
      </c>
      <c r="CJ353" s="1293"/>
      <c r="CK353" s="1699">
        <f>AU42</f>
        <v>152.1464</v>
      </c>
      <c r="CL353" s="1699">
        <f>AV42</f>
        <v>154.64510000000001</v>
      </c>
      <c r="CM353" s="1699">
        <f>AW42</f>
        <v>158.02500000000001</v>
      </c>
      <c r="CN353" s="1699">
        <f>AX42</f>
        <v>159.38210000000001</v>
      </c>
      <c r="CO353" s="1293"/>
      <c r="CP353" s="1699">
        <f>AZ42</f>
        <v>159</v>
      </c>
      <c r="CQ353" s="1699">
        <f>BA42</f>
        <v>161</v>
      </c>
      <c r="CR353" s="1699">
        <f>CZ42</f>
        <v>166.716375</v>
      </c>
      <c r="CS353" s="1699">
        <f>BC42</f>
        <v>189.518</v>
      </c>
      <c r="CT353" s="1699"/>
      <c r="CU353" s="1699">
        <f>BE42</f>
        <v>186.87880000000001</v>
      </c>
      <c r="CV353" s="1699">
        <f>BF42</f>
        <v>171.13900000000001</v>
      </c>
      <c r="CW353" s="1699">
        <f>BG42</f>
        <v>169.57409999999999</v>
      </c>
      <c r="CX353" s="1699">
        <f>BH42</f>
        <v>172.31729999999999</v>
      </c>
      <c r="CY353" s="2101">
        <v>4.9941644748443981E-2</v>
      </c>
      <c r="CZ353" s="1954">
        <v>5.5E-2</v>
      </c>
      <c r="DA353" s="2138">
        <v>7.0000000000000007E-2</v>
      </c>
      <c r="DB353" s="2139">
        <v>0.08</v>
      </c>
      <c r="DC353" s="1293"/>
      <c r="DD353" s="1293"/>
      <c r="DE353" s="1293"/>
      <c r="DF353" s="1293"/>
      <c r="DG353" s="1293"/>
      <c r="DH353" s="1293"/>
      <c r="DI353" s="1293"/>
      <c r="DJ353" s="1293"/>
      <c r="DK353" s="1293"/>
      <c r="DL353" s="1293"/>
    </row>
    <row r="354" spans="1:116" ht="15.75">
      <c r="A354" s="1293"/>
      <c r="B354" s="1293" t="s">
        <v>2172</v>
      </c>
      <c r="C354" s="1293"/>
      <c r="D354" s="1293"/>
      <c r="E354" s="1293"/>
      <c r="F354" s="1293"/>
      <c r="G354" s="2089"/>
      <c r="H354" s="1328"/>
      <c r="I354" s="1328"/>
      <c r="J354" s="1328"/>
      <c r="K354" s="1328"/>
      <c r="L354" s="2089"/>
      <c r="M354" s="1328"/>
      <c r="N354" s="1328"/>
      <c r="O354" s="1328"/>
      <c r="P354" s="1328"/>
      <c r="Q354" s="2089"/>
      <c r="R354" s="1328"/>
      <c r="S354" s="1328"/>
      <c r="T354" s="2000"/>
      <c r="U354" s="2000"/>
      <c r="V354" s="2089"/>
      <c r="W354" s="2000"/>
      <c r="X354" s="2000"/>
      <c r="Y354" s="2000"/>
      <c r="Z354" s="2000"/>
      <c r="AA354" s="2089"/>
      <c r="AB354" s="1328"/>
      <c r="AC354" s="2000"/>
      <c r="AD354" s="1328"/>
      <c r="AE354" s="2000"/>
      <c r="AF354" s="1328"/>
      <c r="AG354" s="2000"/>
      <c r="AH354" s="1328"/>
      <c r="AI354" s="2000"/>
      <c r="AJ354" s="2089"/>
      <c r="AK354" s="2001"/>
      <c r="AL354" s="2001"/>
      <c r="AM354" s="2001"/>
      <c r="AN354" s="2001"/>
      <c r="AO354" s="2089"/>
      <c r="AP354" s="2001"/>
      <c r="AQ354" s="2001"/>
      <c r="AR354" s="2001"/>
      <c r="AS354" s="2001"/>
      <c r="AT354" s="2089"/>
      <c r="AU354" s="2001">
        <v>6.7000000000000004E-2</v>
      </c>
      <c r="AV354" s="2001">
        <v>3.6000000000000004E-2</v>
      </c>
      <c r="AW354" s="2001">
        <v>1.4999999999999999E-2</v>
      </c>
      <c r="AX354" s="2001">
        <v>-4.0000000000000001E-3</v>
      </c>
      <c r="AY354" s="2089"/>
      <c r="AZ354" s="2001">
        <v>-1.3999999999999999E-2</v>
      </c>
      <c r="BA354" s="2001">
        <v>-2.8999999999999998E-2</v>
      </c>
      <c r="BB354" s="2001">
        <v>-2.6000000000000002E-2</v>
      </c>
      <c r="BC354" s="2001">
        <v>-5.5E-2</v>
      </c>
      <c r="BD354" s="2089"/>
      <c r="BE354" s="2001">
        <v>-6.6000000000000003E-2</v>
      </c>
      <c r="BF354" s="2001">
        <v>-6.9000000000000006E-2</v>
      </c>
      <c r="BG354" s="2001">
        <v>-0.107</v>
      </c>
      <c r="BH354" s="2001">
        <v>-0.128</v>
      </c>
      <c r="BI354" s="2089">
        <f>'New split'!N212</f>
        <v>-9.2200055417013038E-2</v>
      </c>
      <c r="BJ354" s="2512">
        <v>-0.08</v>
      </c>
      <c r="BK354" s="2512">
        <v>-7.4999999999999997E-2</v>
      </c>
      <c r="BL354" s="2512">
        <v>-0.04</v>
      </c>
      <c r="BM354" s="1328">
        <f t="shared" si="441"/>
        <v>8.7302037608780747E-3</v>
      </c>
      <c r="BN354" s="2089">
        <f>'New split'!O212</f>
        <v>-4.7500000000000001E-2</v>
      </c>
      <c r="BO354" s="1328"/>
      <c r="BP354" s="1328"/>
      <c r="BQ354" s="1699"/>
      <c r="BR354" s="1699"/>
      <c r="BS354" s="1699"/>
      <c r="BT354" s="1699"/>
      <c r="BU354" s="1699"/>
      <c r="BV354" s="1699"/>
      <c r="BW354" s="1699"/>
      <c r="BX354" s="1699"/>
      <c r="BY354" s="1699"/>
      <c r="BZ354" s="1293"/>
      <c r="CA354" s="1699"/>
      <c r="CB354" s="1699"/>
      <c r="CC354" s="1699"/>
      <c r="CD354" s="1699"/>
      <c r="CE354" s="1699"/>
      <c r="CF354" s="1699"/>
      <c r="CG354" s="1699"/>
      <c r="CH354" s="1699"/>
      <c r="CI354" s="1699"/>
      <c r="CJ354" s="1293"/>
      <c r="CK354" s="1699"/>
      <c r="CL354" s="1699"/>
      <c r="CM354" s="1699"/>
      <c r="CN354" s="1699"/>
      <c r="CO354" s="1293"/>
      <c r="CP354" s="1699"/>
      <c r="CQ354" s="1699"/>
      <c r="CR354" s="1699"/>
      <c r="CS354" s="1699"/>
      <c r="CT354" s="1699"/>
      <c r="CU354" s="1699"/>
      <c r="CV354" s="1699"/>
      <c r="CW354" s="1699"/>
      <c r="CX354" s="1699"/>
      <c r="CY354" s="2101"/>
      <c r="CZ354" s="1954"/>
      <c r="DA354" s="2138"/>
      <c r="DB354" s="2139"/>
      <c r="DC354" s="1293"/>
      <c r="DD354" s="1293"/>
      <c r="DE354" s="1293"/>
      <c r="DF354" s="1293"/>
      <c r="DG354" s="1293"/>
      <c r="DH354" s="1293"/>
      <c r="DI354" s="1293"/>
      <c r="DJ354" s="1293"/>
      <c r="DK354" s="1293"/>
      <c r="DL354" s="1293"/>
    </row>
    <row r="355" spans="1:116" ht="15.75">
      <c r="A355" s="1293"/>
      <c r="B355" s="1293" t="s">
        <v>2033</v>
      </c>
      <c r="C355" s="1293"/>
      <c r="D355" s="1293"/>
      <c r="E355" s="1293"/>
      <c r="F355" s="1293"/>
      <c r="G355" s="2089"/>
      <c r="H355" s="1328"/>
      <c r="I355" s="1328"/>
      <c r="J355" s="1328"/>
      <c r="K355" s="1328"/>
      <c r="L355" s="2089"/>
      <c r="M355" s="1328"/>
      <c r="N355" s="1328"/>
      <c r="O355" s="1328"/>
      <c r="P355" s="1328"/>
      <c r="Q355" s="2089"/>
      <c r="R355" s="1328"/>
      <c r="S355" s="1328"/>
      <c r="T355" s="2000"/>
      <c r="U355" s="2000"/>
      <c r="V355" s="2089"/>
      <c r="W355" s="2000"/>
      <c r="X355" s="2000"/>
      <c r="Y355" s="2000"/>
      <c r="Z355" s="2000"/>
      <c r="AA355" s="2089"/>
      <c r="AB355" s="1328"/>
      <c r="AC355" s="2000"/>
      <c r="AD355" s="1328"/>
      <c r="AE355" s="2000"/>
      <c r="AF355" s="1328"/>
      <c r="AG355" s="2000"/>
      <c r="AH355" s="1328"/>
      <c r="AI355" s="2000"/>
      <c r="AJ355" s="2089"/>
      <c r="AK355" s="2001"/>
      <c r="AL355" s="2001"/>
      <c r="AM355" s="2001"/>
      <c r="AN355" s="2001"/>
      <c r="AO355" s="2089"/>
      <c r="AP355" s="2001"/>
      <c r="AQ355" s="2001"/>
      <c r="AR355" s="2001"/>
      <c r="AS355" s="2001"/>
      <c r="AT355" s="2089"/>
      <c r="AU355" s="2001">
        <v>9.0999999999999998E-2</v>
      </c>
      <c r="AV355" s="2001">
        <v>7.400000000000001E-2</v>
      </c>
      <c r="AW355" s="2001">
        <v>5.9000000000000004E-2</v>
      </c>
      <c r="AX355" s="2001">
        <v>4.5999999999999999E-2</v>
      </c>
      <c r="AY355" s="2089"/>
      <c r="AZ355" s="2001">
        <v>6.6000000000000003E-2</v>
      </c>
      <c r="BA355" s="2001">
        <v>7.4999999999999997E-2</v>
      </c>
      <c r="BB355" s="2001">
        <v>6.9000000000000006E-2</v>
      </c>
      <c r="BC355" s="2001">
        <v>4.9000000000000002E-2</v>
      </c>
      <c r="BD355" s="2089"/>
      <c r="BE355" s="2001">
        <v>0.109</v>
      </c>
      <c r="BF355" s="2001">
        <v>4.4999999999999998E-2</v>
      </c>
      <c r="BG355" s="2001">
        <v>3.9E-2</v>
      </c>
      <c r="BH355" s="2001">
        <v>3.2000000000000001E-2</v>
      </c>
      <c r="BI355" s="2089"/>
      <c r="BJ355" s="2512">
        <v>-0.03</v>
      </c>
      <c r="BK355" s="2512">
        <v>3.5999999999999997E-2</v>
      </c>
      <c r="BL355" s="2512">
        <v>5.6000000000000001E-2</v>
      </c>
      <c r="BM355" s="1328">
        <f t="shared" si="441"/>
        <v>7.1313089835442156E-2</v>
      </c>
      <c r="BN355" s="2089"/>
      <c r="BO355" s="1328"/>
      <c r="BP355" s="1328"/>
      <c r="BQ355" s="1699"/>
      <c r="BR355" s="1699"/>
      <c r="BS355" s="1699"/>
      <c r="BT355" s="1699"/>
      <c r="BU355" s="1699"/>
      <c r="BV355" s="1699"/>
      <c r="BW355" s="1699"/>
      <c r="BX355" s="1699"/>
      <c r="BY355" s="1699"/>
      <c r="BZ355" s="1293"/>
      <c r="CA355" s="1699"/>
      <c r="CB355" s="1699"/>
      <c r="CC355" s="1699"/>
      <c r="CD355" s="1699"/>
      <c r="CE355" s="1699"/>
      <c r="CF355" s="1699"/>
      <c r="CG355" s="1699"/>
      <c r="CH355" s="1699"/>
      <c r="CI355" s="1699"/>
      <c r="CJ355" s="1293"/>
      <c r="CK355" s="1699"/>
      <c r="CL355" s="1699"/>
      <c r="CM355" s="1699"/>
      <c r="CN355" s="1699"/>
      <c r="CO355" s="1293"/>
      <c r="CP355" s="1699"/>
      <c r="CQ355" s="1699"/>
      <c r="CR355" s="1699"/>
      <c r="CS355" s="1699"/>
      <c r="CT355" s="1699"/>
      <c r="CU355" s="1699"/>
      <c r="CV355" s="1699"/>
      <c r="CW355" s="1699"/>
      <c r="CX355" s="1699"/>
      <c r="CY355" s="2101"/>
      <c r="CZ355" s="1954"/>
      <c r="DA355" s="2138"/>
      <c r="DB355" s="2139"/>
      <c r="DC355" s="1293"/>
      <c r="DD355" s="1293"/>
      <c r="DE355" s="1293"/>
      <c r="DF355" s="1293"/>
      <c r="DG355" s="1293"/>
      <c r="DH355" s="1293"/>
      <c r="DI355" s="1293"/>
      <c r="DJ355" s="1293"/>
      <c r="DK355" s="1293"/>
      <c r="DL355" s="1293"/>
    </row>
    <row r="356" spans="1:116" ht="15.75">
      <c r="A356" s="1293"/>
      <c r="B356" s="1293"/>
      <c r="C356" s="1293"/>
      <c r="D356" s="1293"/>
      <c r="E356" s="1293"/>
      <c r="F356" s="1293"/>
      <c r="G356" s="2089"/>
      <c r="H356" s="1328"/>
      <c r="I356" s="1328"/>
      <c r="J356" s="1328"/>
      <c r="K356" s="1328"/>
      <c r="L356" s="2089"/>
      <c r="M356" s="1328"/>
      <c r="N356" s="1328"/>
      <c r="O356" s="1328"/>
      <c r="P356" s="1328"/>
      <c r="Q356" s="2089"/>
      <c r="R356" s="1328"/>
      <c r="S356" s="1328"/>
      <c r="T356" s="2000"/>
      <c r="U356" s="2000"/>
      <c r="V356" s="2089"/>
      <c r="W356" s="2000"/>
      <c r="X356" s="2000"/>
      <c r="Y356" s="2000"/>
      <c r="Z356" s="2000"/>
      <c r="AA356" s="2089"/>
      <c r="AB356" s="1328"/>
      <c r="AC356" s="2000"/>
      <c r="AD356" s="1328"/>
      <c r="AE356" s="2000"/>
      <c r="AF356" s="1328"/>
      <c r="AG356" s="2000"/>
      <c r="AH356" s="1328"/>
      <c r="AI356" s="2000"/>
      <c r="AJ356" s="2089"/>
      <c r="AK356" s="2001"/>
      <c r="AL356" s="2001"/>
      <c r="AM356" s="2001"/>
      <c r="AN356" s="2001"/>
      <c r="AO356" s="2089"/>
      <c r="AP356" s="2001"/>
      <c r="AQ356" s="2001"/>
      <c r="AR356" s="2001"/>
      <c r="AS356" s="2001"/>
      <c r="AT356" s="2089"/>
      <c r="AU356" s="2001"/>
      <c r="AV356" s="2001"/>
      <c r="AW356" s="2001"/>
      <c r="AX356" s="2001"/>
      <c r="AY356" s="2089"/>
      <c r="AZ356" s="2001"/>
      <c r="BA356" s="2001"/>
      <c r="BB356" s="2001"/>
      <c r="BC356" s="2001"/>
      <c r="BD356" s="2089"/>
      <c r="BE356" s="2001"/>
      <c r="BF356" s="2001"/>
      <c r="BG356" s="2001"/>
      <c r="BH356" s="2137"/>
      <c r="BI356" s="2089"/>
      <c r="BJ356" s="2512"/>
      <c r="BK356" s="2512"/>
      <c r="BL356" s="2512"/>
      <c r="BM356" s="1328"/>
      <c r="BN356" s="2089"/>
      <c r="BO356" s="1328"/>
      <c r="BP356" s="1328"/>
      <c r="BQ356" s="1699"/>
      <c r="BR356" s="1699"/>
      <c r="BS356" s="1699"/>
      <c r="BT356" s="1699"/>
      <c r="BU356" s="1699"/>
      <c r="BV356" s="1699"/>
      <c r="BW356" s="1699"/>
      <c r="BX356" s="1699"/>
      <c r="BY356" s="1699"/>
      <c r="BZ356" s="1293"/>
      <c r="CA356" s="1699"/>
      <c r="CB356" s="1699"/>
      <c r="CC356" s="1699"/>
      <c r="CD356" s="1699"/>
      <c r="CE356" s="1699"/>
      <c r="CF356" s="1699"/>
      <c r="CG356" s="1699"/>
      <c r="CH356" s="1699"/>
      <c r="CI356" s="1699"/>
      <c r="CJ356" s="1293"/>
      <c r="CK356" s="1699"/>
      <c r="CL356" s="1699"/>
      <c r="CM356" s="1699"/>
      <c r="CN356" s="1699"/>
      <c r="CO356" s="1293"/>
      <c r="CP356" s="1699"/>
      <c r="CQ356" s="1699"/>
      <c r="CR356" s="1699"/>
      <c r="CS356" s="1699"/>
      <c r="CT356" s="1699"/>
      <c r="CU356" s="1699"/>
      <c r="CV356" s="1699"/>
      <c r="CW356" s="1699"/>
      <c r="CX356" s="1699"/>
      <c r="CY356" s="2101"/>
      <c r="CZ356" s="1954"/>
      <c r="DA356" s="2138"/>
      <c r="DB356" s="2139"/>
      <c r="DC356" s="1293"/>
      <c r="DD356" s="1293"/>
      <c r="DE356" s="1293"/>
      <c r="DF356" s="1293"/>
      <c r="DG356" s="1293"/>
      <c r="DH356" s="1293"/>
      <c r="DI356" s="1293"/>
      <c r="DJ356" s="1293"/>
      <c r="DK356" s="1293"/>
      <c r="DL356" s="1293"/>
    </row>
    <row r="357" spans="1:116" ht="15.75" hidden="1" outlineLevel="1">
      <c r="A357" s="1293"/>
      <c r="B357" s="1982" t="str">
        <f t="shared" ref="B357:B363" si="448">B282</f>
        <v>Costa Rica/old Nicaragua</v>
      </c>
      <c r="C357" s="1293"/>
      <c r="D357" s="1293"/>
      <c r="E357" s="1293"/>
      <c r="F357" s="1293"/>
      <c r="G357" s="2089"/>
      <c r="H357" s="1328">
        <f>H308/C308-1</f>
        <v>2.2053999438755412E-2</v>
      </c>
      <c r="I357" s="1328">
        <f>I308/D308-1</f>
        <v>3.9537078603229414E-2</v>
      </c>
      <c r="J357" s="1328">
        <f>J308/E308-1</f>
        <v>7.7689849737935912E-2</v>
      </c>
      <c r="K357" s="1328">
        <f>K308/F308-1</f>
        <v>0.19558999777679009</v>
      </c>
      <c r="L357" s="2089"/>
      <c r="M357" s="1328">
        <f>M308/H308-1</f>
        <v>0.10917176530539074</v>
      </c>
      <c r="N357" s="1328">
        <f>N308/I308-1</f>
        <v>7.6105098957293116E-2</v>
      </c>
      <c r="O357" s="1328">
        <f>O308/J308-1</f>
        <v>3.5632446385163163E-2</v>
      </c>
      <c r="P357" s="2000">
        <v>-3.9E-2</v>
      </c>
      <c r="Q357" s="2089"/>
      <c r="R357" s="2000">
        <v>0.01</v>
      </c>
      <c r="S357" s="2000">
        <v>3.6999999999999998E-2</v>
      </c>
      <c r="T357" s="2000">
        <v>1.6E-2</v>
      </c>
      <c r="U357" s="2000">
        <v>6.7000000000000004E-2</v>
      </c>
      <c r="V357" s="2089"/>
      <c r="W357" s="2000">
        <v>3.4000000000000002E-2</v>
      </c>
      <c r="X357" s="2000">
        <v>0.01</v>
      </c>
      <c r="Y357" s="2000">
        <v>-1.4E-2</v>
      </c>
      <c r="Z357" s="2000">
        <v>0</v>
      </c>
      <c r="AA357" s="2089"/>
      <c r="AB357" s="1328">
        <f>AC357</f>
        <v>0.03</v>
      </c>
      <c r="AC357" s="2000">
        <v>0.03</v>
      </c>
      <c r="AD357" s="1328">
        <f>AE357</f>
        <v>0.03</v>
      </c>
      <c r="AE357" s="2000">
        <v>0.03</v>
      </c>
      <c r="AF357" s="1328">
        <f>AG357</f>
        <v>0</v>
      </c>
      <c r="AG357" s="2000">
        <v>0</v>
      </c>
      <c r="AH357" s="1328">
        <f>AI357</f>
        <v>0</v>
      </c>
      <c r="AI357" s="2000"/>
      <c r="AJ357" s="2089"/>
      <c r="AK357" s="1328">
        <f>AK308/AB308-1</f>
        <v>0.14705337241980798</v>
      </c>
      <c r="AL357" s="1328">
        <f>AL308/AD308-1</f>
        <v>9.9479012575360626E-2</v>
      </c>
      <c r="AM357" s="1328">
        <f>AM308/AF308-1</f>
        <v>1.0241790729595524E-2</v>
      </c>
      <c r="AN357" s="1328">
        <f>AN308/AH308-1</f>
        <v>4.7164649073122789E-2</v>
      </c>
      <c r="AO357" s="2089">
        <f>'New split'!J219</f>
        <v>6.493733319167716E-2</v>
      </c>
      <c r="AP357" s="1328"/>
      <c r="AQ357" s="1328"/>
      <c r="AR357" s="1328"/>
      <c r="AS357" s="1328"/>
      <c r="AT357" s="2089">
        <f>'New split'!K219</f>
        <v>0.20386782349934851</v>
      </c>
      <c r="AU357" s="2001">
        <v>0.16417598955840162</v>
      </c>
      <c r="AV357" s="2000">
        <f>AV308/AQ308-1</f>
        <v>0.15179056939890723</v>
      </c>
      <c r="AW357" s="2000">
        <f>AW308/AR308-1</f>
        <v>3.6643253742999704E-2</v>
      </c>
      <c r="AX357" s="2000">
        <f>AX308/AS308-1</f>
        <v>-2.1790937768855656E-2</v>
      </c>
      <c r="AY357" s="2089">
        <f>'New split'!L219</f>
        <v>8.870933688611049E-2</v>
      </c>
      <c r="AZ357" s="2000">
        <f>AZ308/AU308-1</f>
        <v>-3.124409557017449E-2</v>
      </c>
      <c r="BA357" s="2000">
        <f>BA308/AV308-1</f>
        <v>-2.8048069839803791E-2</v>
      </c>
      <c r="BB357" s="2000">
        <f>BB308/AW308-1</f>
        <v>5.5326745105158004E-2</v>
      </c>
      <c r="BC357" s="2000">
        <f>BC308/AX308-1</f>
        <v>9.3571244189780689E-3</v>
      </c>
      <c r="BD357" s="2089">
        <f>'New split'!M219</f>
        <v>-1.6188936267867993E-3</v>
      </c>
      <c r="BE357" s="1328">
        <v>-6.6000000000000003E-2</v>
      </c>
      <c r="BF357" s="1328">
        <v>-6.9000000000000006E-2</v>
      </c>
      <c r="BG357" s="1328">
        <v>-0.107</v>
      </c>
      <c r="BH357" s="2137">
        <f>4*BI357-BE357-BF357-BG357</f>
        <v>0.40200000000000002</v>
      </c>
      <c r="BI357" s="2089">
        <f>'New split'!N219</f>
        <v>0.04</v>
      </c>
      <c r="BJ357" s="2512">
        <v>0.02</v>
      </c>
      <c r="BK357" s="2512">
        <v>0.02</v>
      </c>
      <c r="BL357" s="2512">
        <v>0.02</v>
      </c>
      <c r="BM357" s="1328">
        <f>BM313/BH313-1</f>
        <v>2.6265137824969642E-2</v>
      </c>
      <c r="BN357" s="2089">
        <f>'New split'!O219</f>
        <v>0.02</v>
      </c>
      <c r="BO357" s="1328"/>
      <c r="BP357" s="1328"/>
      <c r="BQ357" s="1699">
        <f>W45</f>
        <v>37</v>
      </c>
      <c r="BR357" s="1699">
        <f>X45</f>
        <v>37</v>
      </c>
      <c r="BS357" s="1699">
        <f>Y45</f>
        <v>36</v>
      </c>
      <c r="BT357" s="1699">
        <f>Z45</f>
        <v>35</v>
      </c>
      <c r="BU357" s="1699"/>
      <c r="BV357" s="1699">
        <f>AC45</f>
        <v>34</v>
      </c>
      <c r="BW357" s="1699">
        <f>AD45</f>
        <v>32</v>
      </c>
      <c r="BX357" s="1699">
        <f>AE45</f>
        <v>32</v>
      </c>
      <c r="BY357" s="1699">
        <f>AG45</f>
        <v>33</v>
      </c>
      <c r="BZ357" s="1293"/>
      <c r="CA357" s="1699"/>
      <c r="CB357" s="1699"/>
      <c r="CC357" s="1699"/>
      <c r="CD357" s="1699"/>
      <c r="CE357" s="1699"/>
      <c r="CF357" s="1699"/>
      <c r="CG357" s="1699"/>
      <c r="CH357" s="1699"/>
      <c r="CI357" s="1699"/>
      <c r="CJ357" s="1293"/>
      <c r="CK357" s="1699"/>
      <c r="CL357" s="1699"/>
      <c r="CM357" s="1699"/>
      <c r="CN357" s="1699"/>
      <c r="CO357" s="1293"/>
      <c r="CP357" s="1699"/>
      <c r="CQ357" s="1699"/>
      <c r="CR357" s="1699"/>
      <c r="CS357" s="1699"/>
      <c r="CT357" s="1699"/>
      <c r="CU357" s="1699"/>
      <c r="CV357" s="1699"/>
      <c r="CW357" s="1699"/>
      <c r="CX357" s="1699"/>
      <c r="CY357" s="2101">
        <v>6.7449312157001007E-2</v>
      </c>
      <c r="CZ357" s="1954">
        <v>0.05</v>
      </c>
      <c r="DA357" s="2138">
        <v>0.04</v>
      </c>
      <c r="DB357" s="2139">
        <v>0.04</v>
      </c>
      <c r="DC357" s="1293"/>
      <c r="DD357" s="1293"/>
      <c r="DE357" s="1293"/>
      <c r="DF357" s="1293"/>
      <c r="DG357" s="1293"/>
      <c r="DH357" s="1293"/>
      <c r="DI357" s="1293"/>
      <c r="DJ357" s="1293"/>
      <c r="DK357" s="1293"/>
      <c r="DL357" s="1293"/>
    </row>
    <row r="358" spans="1:116" ht="15.75" hidden="1" outlineLevel="1">
      <c r="A358" s="1293"/>
      <c r="B358" s="1982" t="str">
        <f t="shared" si="448"/>
        <v>Panama wireless</v>
      </c>
      <c r="C358" s="1293"/>
      <c r="D358" s="1293"/>
      <c r="E358" s="1293"/>
      <c r="F358" s="1293"/>
      <c r="G358" s="2089"/>
      <c r="H358" s="1328"/>
      <c r="I358" s="1328"/>
      <c r="J358" s="1328"/>
      <c r="K358" s="1328"/>
      <c r="L358" s="2089"/>
      <c r="M358" s="1328"/>
      <c r="N358" s="1328"/>
      <c r="O358" s="1328"/>
      <c r="P358" s="2000"/>
      <c r="Q358" s="2089"/>
      <c r="R358" s="2000"/>
      <c r="S358" s="2000"/>
      <c r="T358" s="2000"/>
      <c r="U358" s="2000"/>
      <c r="V358" s="2089"/>
      <c r="W358" s="2000"/>
      <c r="X358" s="2000"/>
      <c r="Y358" s="2000"/>
      <c r="Z358" s="2000"/>
      <c r="AA358" s="2089"/>
      <c r="AB358" s="1328"/>
      <c r="AC358" s="2000"/>
      <c r="AD358" s="1328"/>
      <c r="AE358" s="2000"/>
      <c r="AF358" s="1328"/>
      <c r="AG358" s="2000"/>
      <c r="AH358" s="1328"/>
      <c r="AI358" s="2000"/>
      <c r="AJ358" s="2089"/>
      <c r="AK358" s="1328">
        <f>AK353</f>
        <v>-5.1999999999999998E-2</v>
      </c>
      <c r="AL358" s="1328">
        <f>AL353</f>
        <v>-0.125</v>
      </c>
      <c r="AM358" s="1328">
        <f>AM353</f>
        <v>-9.4E-2</v>
      </c>
      <c r="AN358" s="1328">
        <f>AN353</f>
        <v>-6.3E-2</v>
      </c>
      <c r="AO358" s="2089">
        <f>'New CA'!H6</f>
        <v>-4.0000000000000036E-2</v>
      </c>
      <c r="AP358" s="1328">
        <f>AP353</f>
        <v>-0.01</v>
      </c>
      <c r="AQ358" s="1328">
        <f>AQ353</f>
        <v>0.112</v>
      </c>
      <c r="AR358" s="1328">
        <f>AR353</f>
        <v>9.5000000000000001E-2</v>
      </c>
      <c r="AS358" s="1328">
        <f>AS353</f>
        <v>0.10199999999999999</v>
      </c>
      <c r="AT358" s="2089">
        <f>'New CA'!I6</f>
        <v>5.0000000000000044E-2</v>
      </c>
      <c r="AU358" s="1328">
        <f>AU353</f>
        <v>4.1000000000000002E-2</v>
      </c>
      <c r="AV358" s="1328">
        <f>AV353</f>
        <v>2.6000000000000002E-2</v>
      </c>
      <c r="AW358" s="1328">
        <f>AW353</f>
        <v>3.9E-2</v>
      </c>
      <c r="AX358" s="1328">
        <f>AX353</f>
        <v>2E-3</v>
      </c>
      <c r="AY358" s="2089">
        <f>'New CA'!J6</f>
        <v>2.9999999999999805E-2</v>
      </c>
      <c r="AZ358" s="1328">
        <f>AZ353</f>
        <v>4.2999999999999997E-2</v>
      </c>
      <c r="BA358" s="1328">
        <f>BA353</f>
        <v>4.1000000000000002E-2</v>
      </c>
      <c r="BB358" s="1328">
        <f>BB353</f>
        <v>1.4E-2</v>
      </c>
      <c r="BC358" s="1328">
        <f>BC353</f>
        <v>0.189</v>
      </c>
      <c r="BD358" s="2089">
        <f>'New CA'!K6</f>
        <v>0</v>
      </c>
      <c r="BE358" s="1328">
        <v>0.17799999999999999</v>
      </c>
      <c r="BF358" s="1328">
        <v>6.3E-2</v>
      </c>
      <c r="BG358" s="1328">
        <f>BG353</f>
        <v>5.8000000000000003E-2</v>
      </c>
      <c r="BH358" s="1328">
        <f>BH353</f>
        <v>-9.0999999999999998E-2</v>
      </c>
      <c r="BI358" s="2089">
        <f>'New CA'!L6</f>
        <v>2.0000000000000018E-2</v>
      </c>
      <c r="BJ358" s="2512">
        <v>0.02</v>
      </c>
      <c r="BK358" s="2512">
        <v>0.02</v>
      </c>
      <c r="BL358" s="2512">
        <v>0.02</v>
      </c>
      <c r="BM358" s="1328">
        <f>BM314/BH314-1</f>
        <v>4.4508431093386314E-3</v>
      </c>
      <c r="BN358" s="2089">
        <f>'New CA'!M6</f>
        <v>1.0000000000000009E-2</v>
      </c>
      <c r="BO358" s="1328"/>
      <c r="BP358" s="1328"/>
      <c r="BQ358" s="1699"/>
      <c r="BR358" s="1699"/>
      <c r="BS358" s="1699"/>
      <c r="BT358" s="1699"/>
      <c r="BU358" s="1699"/>
      <c r="BV358" s="1699"/>
      <c r="BW358" s="1699"/>
      <c r="BX358" s="1699"/>
      <c r="BY358" s="1699"/>
      <c r="BZ358" s="1293"/>
      <c r="CA358" s="1699">
        <f>AK46</f>
        <v>55</v>
      </c>
      <c r="CB358" s="1699">
        <f>AL46</f>
        <v>50</v>
      </c>
      <c r="CC358" s="1699">
        <f>AM46</f>
        <v>50</v>
      </c>
      <c r="CD358" s="1699">
        <f>AN46</f>
        <v>52</v>
      </c>
      <c r="CE358" s="1699"/>
      <c r="CF358" s="1699">
        <f>AP46</f>
        <v>55</v>
      </c>
      <c r="CG358" s="1699">
        <f>AQ46</f>
        <v>55</v>
      </c>
      <c r="CH358" s="1699">
        <f>AR46</f>
        <v>55</v>
      </c>
      <c r="CI358" s="1699">
        <f>AS46</f>
        <v>55</v>
      </c>
      <c r="CJ358" s="1293"/>
      <c r="CK358" s="1699">
        <f>AU46</f>
        <v>56</v>
      </c>
      <c r="CL358" s="1699">
        <f>AV46</f>
        <v>56</v>
      </c>
      <c r="CM358" s="1699">
        <f>AW46</f>
        <v>56</v>
      </c>
      <c r="CN358" s="1699">
        <f>AX46</f>
        <v>58</v>
      </c>
      <c r="CO358" s="1293"/>
      <c r="CP358" s="1699">
        <f>AZ46</f>
        <v>58</v>
      </c>
      <c r="CQ358" s="1699">
        <f>BA46</f>
        <v>56</v>
      </c>
      <c r="CR358" s="1699">
        <f>CZ46</f>
        <v>56</v>
      </c>
      <c r="CS358" s="1699">
        <f>BC46</f>
        <v>56</v>
      </c>
      <c r="CT358" s="1699"/>
      <c r="CU358" s="1699">
        <f>BE46</f>
        <v>57</v>
      </c>
      <c r="CV358" s="1699">
        <f>BF46</f>
        <v>57</v>
      </c>
      <c r="CW358" s="1699">
        <f>BG46</f>
        <v>57</v>
      </c>
      <c r="CX358" s="1699">
        <f ca="1">BH46</f>
        <v>55</v>
      </c>
      <c r="CY358" s="2101"/>
      <c r="CZ358" s="1954"/>
      <c r="DA358" s="2100">
        <v>7.0000000000000007E-2</v>
      </c>
      <c r="DB358" s="2101">
        <v>0.08</v>
      </c>
      <c r="DC358" s="1293"/>
      <c r="DD358" s="1293"/>
      <c r="DE358" s="1293"/>
      <c r="DF358" s="1293"/>
      <c r="DG358" s="1293"/>
      <c r="DH358" s="1293"/>
      <c r="DI358" s="1293"/>
      <c r="DJ358" s="1293"/>
      <c r="DK358" s="1293"/>
      <c r="DL358" s="1293"/>
    </row>
    <row r="359" spans="1:116" ht="15.75" hidden="1" outlineLevel="1">
      <c r="A359" s="1293"/>
      <c r="B359" s="1982" t="str">
        <f t="shared" si="448"/>
        <v>Costa Rica wireless</v>
      </c>
      <c r="C359" s="1293"/>
      <c r="D359" s="1293"/>
      <c r="E359" s="1293"/>
      <c r="F359" s="1293"/>
      <c r="G359" s="2089"/>
      <c r="H359" s="1328"/>
      <c r="I359" s="1328"/>
      <c r="J359" s="1328"/>
      <c r="K359" s="1328"/>
      <c r="L359" s="2089"/>
      <c r="M359" s="1328"/>
      <c r="N359" s="1328"/>
      <c r="O359" s="1328"/>
      <c r="P359" s="2000"/>
      <c r="Q359" s="2089"/>
      <c r="R359" s="2000"/>
      <c r="S359" s="2000"/>
      <c r="T359" s="2000"/>
      <c r="U359" s="2000"/>
      <c r="V359" s="2089"/>
      <c r="W359" s="2000"/>
      <c r="X359" s="2000"/>
      <c r="Y359" s="2000"/>
      <c r="Z359" s="2000"/>
      <c r="AA359" s="2089"/>
      <c r="AB359" s="1328"/>
      <c r="AC359" s="2000"/>
      <c r="AD359" s="1328"/>
      <c r="AE359" s="2000"/>
      <c r="AF359" s="1328"/>
      <c r="AG359" s="2000"/>
      <c r="AH359" s="1328"/>
      <c r="AI359" s="2000"/>
      <c r="AJ359" s="2089"/>
      <c r="AK359" s="1724"/>
      <c r="AL359" s="1724"/>
      <c r="AM359" s="1724"/>
      <c r="AN359" s="1724"/>
      <c r="AO359" s="2089">
        <f>'New CA'!H94</f>
        <v>5.1546688605512037E-2</v>
      </c>
      <c r="AP359" s="1724"/>
      <c r="AQ359" s="1724"/>
      <c r="AR359" s="1724"/>
      <c r="AS359" s="1724"/>
      <c r="AT359" s="2089">
        <f>'New CA'!I94</f>
        <v>4.9905175819834557E-2</v>
      </c>
      <c r="AU359" s="1724"/>
      <c r="AV359" s="1724"/>
      <c r="AW359" s="1724"/>
      <c r="AX359" s="1724"/>
      <c r="AY359" s="2089">
        <f>'New CA'!J94</f>
        <v>3.879133409350044E-2</v>
      </c>
      <c r="AZ359" s="1724"/>
      <c r="BA359" s="1724"/>
      <c r="BB359" s="1724"/>
      <c r="BC359" s="1724"/>
      <c r="BD359" s="2089">
        <f>'New CA'!K94</f>
        <v>2.3996674057649825E-2</v>
      </c>
      <c r="BE359" s="1328">
        <v>9.4E-2</v>
      </c>
      <c r="BF359" s="1328">
        <v>-2.8000000000000001E-2</v>
      </c>
      <c r="BG359" s="1328">
        <v>-9.2999999999999999E-2</v>
      </c>
      <c r="BH359" s="1328"/>
      <c r="BI359" s="2089">
        <f>'New CA'!L94</f>
        <v>1.9203572079460107E-2</v>
      </c>
      <c r="BJ359" s="2512">
        <v>0.02</v>
      </c>
      <c r="BK359" s="2512">
        <v>0.02</v>
      </c>
      <c r="BL359" s="2512">
        <v>0.02</v>
      </c>
      <c r="BM359" s="1328" t="e">
        <f>BM315/BH315-1</f>
        <v>#DIV/0!</v>
      </c>
      <c r="BN359" s="2089">
        <f>'New CA'!M94</f>
        <v>1.9120462344229816E-2</v>
      </c>
      <c r="BO359" s="1328"/>
      <c r="BP359" s="1328"/>
      <c r="BQ359" s="1699"/>
      <c r="BR359" s="1699"/>
      <c r="BS359" s="1699"/>
      <c r="BT359" s="1699"/>
      <c r="BU359" s="1699"/>
      <c r="BV359" s="1699"/>
      <c r="BW359" s="1699"/>
      <c r="BX359" s="1699"/>
      <c r="BY359" s="1699"/>
      <c r="BZ359" s="1293"/>
      <c r="CA359" s="1699"/>
      <c r="CB359" s="1699"/>
      <c r="CC359" s="1699"/>
      <c r="CD359" s="1699"/>
      <c r="CE359" s="1699"/>
      <c r="CF359" s="1699"/>
      <c r="CG359" s="1699"/>
      <c r="CH359" s="1699"/>
      <c r="CI359" s="1699"/>
      <c r="CJ359" s="1293"/>
      <c r="CK359" s="1699"/>
      <c r="CL359" s="1699"/>
      <c r="CM359" s="1699"/>
      <c r="CN359" s="1699"/>
      <c r="CO359" s="1293"/>
      <c r="CP359" s="1699"/>
      <c r="CQ359" s="1699"/>
      <c r="CR359" s="1699"/>
      <c r="CS359" s="1699"/>
      <c r="CT359" s="1699"/>
      <c r="CU359" s="1699"/>
      <c r="CV359" s="1699"/>
      <c r="CW359" s="1699"/>
      <c r="CX359" s="1699"/>
      <c r="CY359" s="2101"/>
      <c r="CZ359" s="1954"/>
      <c r="DA359" s="2083"/>
      <c r="DB359" s="2084"/>
      <c r="DC359" s="1293"/>
      <c r="DD359" s="1293"/>
      <c r="DE359" s="1293"/>
      <c r="DF359" s="1293"/>
      <c r="DG359" s="1293"/>
      <c r="DH359" s="1293"/>
      <c r="DI359" s="1293"/>
      <c r="DJ359" s="1293"/>
      <c r="DK359" s="1293"/>
      <c r="DL359" s="1293"/>
    </row>
    <row r="360" spans="1:116" ht="15.75" hidden="1" outlineLevel="1">
      <c r="A360" s="1293"/>
      <c r="B360" s="1982" t="str">
        <f t="shared" si="448"/>
        <v>Nicaragua wireless</v>
      </c>
      <c r="C360" s="1293"/>
      <c r="D360" s="1293"/>
      <c r="E360" s="1293"/>
      <c r="F360" s="1293"/>
      <c r="G360" s="2089"/>
      <c r="H360" s="1328"/>
      <c r="I360" s="1328"/>
      <c r="J360" s="1328"/>
      <c r="K360" s="1328"/>
      <c r="L360" s="2089"/>
      <c r="M360" s="1328"/>
      <c r="N360" s="1328"/>
      <c r="O360" s="1328"/>
      <c r="P360" s="2000"/>
      <c r="Q360" s="2089"/>
      <c r="R360" s="2000"/>
      <c r="S360" s="2000"/>
      <c r="T360" s="2000"/>
      <c r="U360" s="2000"/>
      <c r="V360" s="2089"/>
      <c r="W360" s="2000"/>
      <c r="X360" s="2000"/>
      <c r="Y360" s="2000"/>
      <c r="Z360" s="2000"/>
      <c r="AA360" s="2089"/>
      <c r="AB360" s="1328"/>
      <c r="AC360" s="2000"/>
      <c r="AD360" s="1328"/>
      <c r="AE360" s="2000"/>
      <c r="AF360" s="1328"/>
      <c r="AG360" s="2000"/>
      <c r="AH360" s="1328"/>
      <c r="AI360" s="2000"/>
      <c r="AJ360" s="2089"/>
      <c r="AK360" s="2001">
        <v>-0.03</v>
      </c>
      <c r="AL360" s="2001">
        <v>-0.03</v>
      </c>
      <c r="AM360" s="2001">
        <v>-0.03</v>
      </c>
      <c r="AN360" s="2001">
        <v>-0.03</v>
      </c>
      <c r="AO360" s="2089">
        <f>'New CA'!H131</f>
        <v>-6.0000000000000053E-2</v>
      </c>
      <c r="AP360" s="2001">
        <v>0.02</v>
      </c>
      <c r="AQ360" s="2001">
        <v>0.1</v>
      </c>
      <c r="AR360" s="2001">
        <v>0.1</v>
      </c>
      <c r="AS360" s="2001">
        <v>0.09</v>
      </c>
      <c r="AT360" s="2089">
        <f>'New CA'!I131</f>
        <v>-2.0000000000000018E-2</v>
      </c>
      <c r="AU360" s="1328"/>
      <c r="AV360" s="1328"/>
      <c r="AW360" s="1328"/>
      <c r="AX360" s="1328"/>
      <c r="AY360" s="2089">
        <f>'New CA'!J131</f>
        <v>2.4999999999999467E-3</v>
      </c>
      <c r="AZ360" s="1328"/>
      <c r="BA360" s="1328"/>
      <c r="BB360" s="1328"/>
      <c r="BC360" s="1328"/>
      <c r="BD360" s="2089">
        <f>'New CA'!K131</f>
        <v>0</v>
      </c>
      <c r="BE360" s="1328">
        <v>0.109</v>
      </c>
      <c r="BF360" s="1328">
        <v>4.4999999999999998E-2</v>
      </c>
      <c r="BG360" s="1328">
        <v>3.9E-2</v>
      </c>
      <c r="BH360" s="1328"/>
      <c r="BI360" s="2089">
        <f>'New CA'!L131</f>
        <v>3.9999999999999813E-2</v>
      </c>
      <c r="BJ360" s="2512">
        <v>0.02</v>
      </c>
      <c r="BK360" s="2512">
        <v>0.02</v>
      </c>
      <c r="BL360" s="2512">
        <v>0.02</v>
      </c>
      <c r="BM360" s="1328" t="e">
        <f>BM316/BH316-1</f>
        <v>#DIV/0!</v>
      </c>
      <c r="BN360" s="2089">
        <f>'New CA'!M131</f>
        <v>0</v>
      </c>
      <c r="BO360" s="1328"/>
      <c r="BP360" s="1328"/>
      <c r="BQ360" s="1699"/>
      <c r="BR360" s="1699"/>
      <c r="BS360" s="1699"/>
      <c r="BT360" s="1699"/>
      <c r="BU360" s="1699"/>
      <c r="BV360" s="1699"/>
      <c r="BW360" s="1699"/>
      <c r="BX360" s="1699"/>
      <c r="BY360" s="1699"/>
      <c r="BZ360" s="1293"/>
      <c r="CA360" s="1699">
        <f>AK48</f>
        <v>51</v>
      </c>
      <c r="CB360" s="1699">
        <f>AL48</f>
        <v>51</v>
      </c>
      <c r="CC360" s="1699">
        <f>AM48</f>
        <v>51</v>
      </c>
      <c r="CD360" s="1699">
        <f>AN48</f>
        <v>50</v>
      </c>
      <c r="CE360" s="1699"/>
      <c r="CF360" s="1699">
        <f>AP48</f>
        <v>50</v>
      </c>
      <c r="CG360" s="1699">
        <f>AQ48</f>
        <v>50</v>
      </c>
      <c r="CH360" s="1699">
        <f>AR48</f>
        <v>50</v>
      </c>
      <c r="CI360" s="1699">
        <f>AS48</f>
        <v>50</v>
      </c>
      <c r="CJ360" s="1293"/>
      <c r="CK360" s="1699">
        <f>AU48</f>
        <v>50</v>
      </c>
      <c r="CL360" s="1699">
        <f>AV48</f>
        <v>50</v>
      </c>
      <c r="CM360" s="1699">
        <f>AW48</f>
        <v>50</v>
      </c>
      <c r="CN360" s="1699">
        <f>AX48</f>
        <v>50</v>
      </c>
      <c r="CO360" s="1293"/>
      <c r="CP360" s="1699">
        <f>AZ48</f>
        <v>50</v>
      </c>
      <c r="CQ360" s="1699">
        <f>BA48</f>
        <v>50</v>
      </c>
      <c r="CR360" s="1699">
        <f>CZ48</f>
        <v>50</v>
      </c>
      <c r="CS360" s="1699">
        <f>BC48</f>
        <v>50</v>
      </c>
      <c r="CT360" s="1699"/>
      <c r="CU360" s="1699">
        <f>BE48</f>
        <v>52</v>
      </c>
      <c r="CV360" s="1699">
        <f>BF48</f>
        <v>52</v>
      </c>
      <c r="CW360" s="1699">
        <f>BG48</f>
        <v>52</v>
      </c>
      <c r="CX360" s="1699">
        <f ca="1">BH48</f>
        <v>44</v>
      </c>
      <c r="CY360" s="2101"/>
      <c r="CZ360" s="1954"/>
      <c r="DA360" s="2100"/>
      <c r="DB360" s="2101"/>
      <c r="DC360" s="1293"/>
      <c r="DD360" s="1293"/>
      <c r="DE360" s="1293"/>
      <c r="DF360" s="1293"/>
      <c r="DG360" s="1293"/>
      <c r="DH360" s="1293"/>
      <c r="DI360" s="1293"/>
      <c r="DJ360" s="1293"/>
      <c r="DK360" s="1293"/>
      <c r="DL360" s="1293"/>
    </row>
    <row r="361" spans="1:116" ht="15.75" collapsed="1">
      <c r="A361" s="1293"/>
      <c r="B361" s="1293" t="str">
        <f t="shared" si="448"/>
        <v>Bolivia</v>
      </c>
      <c r="C361" s="1293"/>
      <c r="D361" s="1293"/>
      <c r="E361" s="1293"/>
      <c r="F361" s="1293"/>
      <c r="G361" s="2089"/>
      <c r="H361" s="1328">
        <f t="shared" ref="H361:K363" si="449">H312/C312-1</f>
        <v>7.7635620112260328E-2</v>
      </c>
      <c r="I361" s="1328">
        <f t="shared" si="449"/>
        <v>6.7455236907957072E-2</v>
      </c>
      <c r="J361" s="1328">
        <f t="shared" si="449"/>
        <v>7.3317140365902311E-2</v>
      </c>
      <c r="K361" s="1328">
        <f t="shared" si="449"/>
        <v>8.512992924182905E-2</v>
      </c>
      <c r="L361" s="2089"/>
      <c r="M361" s="1328">
        <f>M312/H312-1</f>
        <v>5.4846571553114565E-2</v>
      </c>
      <c r="N361" s="1328">
        <f>N312/I312-1</f>
        <v>4.7348442380590106E-2</v>
      </c>
      <c r="O361" s="1328">
        <f>O312/J312-1</f>
        <v>1.9567698573262682E-2</v>
      </c>
      <c r="P361" s="2000">
        <v>-8.0000000000000002E-3</v>
      </c>
      <c r="Q361" s="2089"/>
      <c r="R361" s="1328">
        <f>R312/M312-1</f>
        <v>4.5614700614393655E-3</v>
      </c>
      <c r="S361" s="2000">
        <v>2.5999999999999999E-2</v>
      </c>
      <c r="T361" s="1328">
        <f>T312/O312-1</f>
        <v>6.1063926969062265E-2</v>
      </c>
      <c r="U361" s="2000">
        <v>9.0999999999999998E-2</v>
      </c>
      <c r="V361" s="2089"/>
      <c r="W361" s="2000">
        <v>0.108</v>
      </c>
      <c r="X361" s="2000">
        <v>0.157</v>
      </c>
      <c r="Y361" s="2000">
        <v>0.13700000000000001</v>
      </c>
      <c r="Z361" s="2000">
        <v>8.6999999999999994E-2</v>
      </c>
      <c r="AA361" s="2089"/>
      <c r="AB361" s="1328">
        <f>AC361</f>
        <v>0.121</v>
      </c>
      <c r="AC361" s="2000">
        <v>0.121</v>
      </c>
      <c r="AD361" s="1328">
        <f>AE361</f>
        <v>5.0999999999999997E-2</v>
      </c>
      <c r="AE361" s="2000">
        <v>5.0999999999999997E-2</v>
      </c>
      <c r="AF361" s="1328">
        <f>AG361</f>
        <v>1.9E-2</v>
      </c>
      <c r="AG361" s="2000">
        <v>1.9E-2</v>
      </c>
      <c r="AH361" s="1328">
        <f>AI361</f>
        <v>-2E-3</v>
      </c>
      <c r="AI361" s="2000">
        <v>-2E-3</v>
      </c>
      <c r="AJ361" s="2089"/>
      <c r="AK361" s="2001">
        <v>4.0000000000000001E-3</v>
      </c>
      <c r="AL361" s="2001">
        <v>-0.159</v>
      </c>
      <c r="AM361" s="2001">
        <v>-0.106</v>
      </c>
      <c r="AN361" s="2001">
        <v>-4.5999999999999999E-2</v>
      </c>
      <c r="AO361" s="2089">
        <f>'New split'!J214</f>
        <v>-7.6923076923076983E-2</v>
      </c>
      <c r="AP361" s="2001">
        <v>-2.1999999999999999E-2</v>
      </c>
      <c r="AQ361" s="2001">
        <v>0.14699999999999999</v>
      </c>
      <c r="AR361" s="2001">
        <v>8.4000000000000005E-2</v>
      </c>
      <c r="AS361" s="2001">
        <v>5.8000000000000003E-2</v>
      </c>
      <c r="AT361" s="2089">
        <f>'New split'!K214</f>
        <v>6.0890217431036397E-2</v>
      </c>
      <c r="AU361" s="2001">
        <v>6.0000000000000001E-3</v>
      </c>
      <c r="AV361" s="2001">
        <v>2.4E-2</v>
      </c>
      <c r="AW361" s="2001">
        <v>-6.0000000000000001E-3</v>
      </c>
      <c r="AX361" s="2001">
        <v>-4.4999999999999998E-2</v>
      </c>
      <c r="AY361" s="2089">
        <f>'New split'!L214</f>
        <v>-4.6211364413675238E-3</v>
      </c>
      <c r="AZ361" s="2001">
        <v>-1.4999999999999999E-2</v>
      </c>
      <c r="BA361" s="2001">
        <v>-2.9000000000000001E-2</v>
      </c>
      <c r="BB361" s="2001">
        <v>-8.0000000000000002E-3</v>
      </c>
      <c r="BC361" s="2001">
        <v>8.0000000000000002E-3</v>
      </c>
      <c r="BD361" s="2089">
        <f>'New split'!M214</f>
        <v>-1.1182488698548654E-2</v>
      </c>
      <c r="BE361" s="2001">
        <v>1E-3</v>
      </c>
      <c r="BF361" s="2001">
        <v>4.0000000000000001E-3</v>
      </c>
      <c r="BG361" s="2001">
        <v>1.0999999999999999E-2</v>
      </c>
      <c r="BH361" s="2001">
        <v>2.5000000000000001E-2</v>
      </c>
      <c r="BI361" s="2089">
        <f>'New split'!N214</f>
        <v>1.0105871029836289E-2</v>
      </c>
      <c r="BJ361" s="2512">
        <v>2.5000000000000001E-2</v>
      </c>
      <c r="BK361" s="2512">
        <v>2.5000000000000001E-2</v>
      </c>
      <c r="BL361" s="2512">
        <v>0.02</v>
      </c>
      <c r="BM361" s="1328">
        <f>BM312/BH312-1</f>
        <v>1.3246986061415722E-2</v>
      </c>
      <c r="BN361" s="2089">
        <f>'New split'!O214</f>
        <v>0.02</v>
      </c>
      <c r="BO361" s="1328"/>
      <c r="BP361" s="1328"/>
      <c r="BQ361" s="1699">
        <f t="shared" ref="BQ361:BT363" si="450">W51</f>
        <v>137</v>
      </c>
      <c r="BR361" s="1699">
        <f t="shared" si="450"/>
        <v>149</v>
      </c>
      <c r="BS361" s="1699">
        <f t="shared" si="450"/>
        <v>155</v>
      </c>
      <c r="BT361" s="1699">
        <f t="shared" si="450"/>
        <v>156</v>
      </c>
      <c r="BU361" s="1699"/>
      <c r="BV361" s="1699">
        <f t="shared" ref="BV361:BX363" si="451">AC51</f>
        <v>154</v>
      </c>
      <c r="BW361" s="1699">
        <f t="shared" si="451"/>
        <v>156</v>
      </c>
      <c r="BX361" s="1699">
        <f t="shared" si="451"/>
        <v>156</v>
      </c>
      <c r="BY361" s="1699">
        <f>AG51</f>
        <v>158</v>
      </c>
      <c r="BZ361" s="1293"/>
      <c r="CA361" s="1699">
        <f t="shared" ref="CA361:CD363" si="452">AK51</f>
        <v>155</v>
      </c>
      <c r="CB361" s="1699">
        <f t="shared" si="452"/>
        <v>131</v>
      </c>
      <c r="CC361" s="1699">
        <f t="shared" si="452"/>
        <v>141</v>
      </c>
      <c r="CD361" s="1699">
        <f t="shared" si="452"/>
        <v>149</v>
      </c>
      <c r="CE361" s="1699"/>
      <c r="CF361" s="1699">
        <f t="shared" ref="CF361:CI363" si="453">AP51</f>
        <v>151</v>
      </c>
      <c r="CG361" s="1699">
        <f t="shared" si="453"/>
        <v>151</v>
      </c>
      <c r="CH361" s="1699">
        <f t="shared" si="453"/>
        <v>153</v>
      </c>
      <c r="CI361" s="1699">
        <f t="shared" si="453"/>
        <v>157</v>
      </c>
      <c r="CJ361" s="1293"/>
      <c r="CK361" s="1699">
        <f t="shared" ref="CK361:CN363" si="454">AU51</f>
        <v>152</v>
      </c>
      <c r="CL361" s="1699">
        <f t="shared" si="454"/>
        <v>154.12</v>
      </c>
      <c r="CM361" s="1699">
        <f t="shared" si="454"/>
        <v>152</v>
      </c>
      <c r="CN361" s="1699">
        <f t="shared" si="454"/>
        <v>150</v>
      </c>
      <c r="CO361" s="1293"/>
      <c r="CP361" s="1699">
        <f t="shared" ref="CP361:CQ363" si="455">AZ51</f>
        <v>150</v>
      </c>
      <c r="CQ361" s="1699">
        <f t="shared" si="455"/>
        <v>150</v>
      </c>
      <c r="CR361" s="1699">
        <f>CZ51</f>
        <v>149.67192851926848</v>
      </c>
      <c r="CS361" s="1699">
        <f>BC51</f>
        <v>151.26300000000001</v>
      </c>
      <c r="CT361" s="1699"/>
      <c r="CU361" s="1699">
        <f t="shared" ref="CU361:CX363" si="456">BE51</f>
        <v>150</v>
      </c>
      <c r="CV361" s="1699">
        <f t="shared" si="456"/>
        <v>150</v>
      </c>
      <c r="CW361" s="1699">
        <f t="shared" si="456"/>
        <v>152.10499999999999</v>
      </c>
      <c r="CX361" s="1699">
        <f t="shared" si="456"/>
        <v>154.97540000000001</v>
      </c>
      <c r="CY361" s="2101">
        <v>-1.0531402380366206E-2</v>
      </c>
      <c r="CZ361" s="1954">
        <v>-1.4999999999999999E-2</v>
      </c>
      <c r="DA361" s="2138">
        <v>-3.0000000000000001E-3</v>
      </c>
      <c r="DB361" s="2139">
        <v>2E-3</v>
      </c>
      <c r="DC361" s="1293"/>
      <c r="DD361" s="1293"/>
      <c r="DE361" s="1293"/>
      <c r="DF361" s="1293"/>
      <c r="DG361" s="1293"/>
      <c r="DH361" s="1293"/>
      <c r="DI361" s="1293"/>
      <c r="DJ361" s="1293"/>
      <c r="DK361" s="1293"/>
      <c r="DL361" s="1293"/>
    </row>
    <row r="362" spans="1:116" ht="15.75">
      <c r="A362" s="1293"/>
      <c r="B362" s="1293" t="str">
        <f t="shared" si="448"/>
        <v>Colombia</v>
      </c>
      <c r="C362" s="1293"/>
      <c r="D362" s="1293"/>
      <c r="E362" s="1293"/>
      <c r="F362" s="1293"/>
      <c r="G362" s="2089"/>
      <c r="H362" s="1328">
        <f t="shared" si="449"/>
        <v>1.5123289195770648</v>
      </c>
      <c r="I362" s="1328">
        <f t="shared" si="449"/>
        <v>1.4622255085619802</v>
      </c>
      <c r="J362" s="1328">
        <f t="shared" si="449"/>
        <v>0.43855252747346207</v>
      </c>
      <c r="K362" s="1328">
        <f t="shared" si="449"/>
        <v>7.1681572905468949E-2</v>
      </c>
      <c r="L362" s="2089"/>
      <c r="M362" s="1328">
        <f>M313/H313-1</f>
        <v>1.0599630339080957E-2</v>
      </c>
      <c r="N362" s="1328">
        <f>N313/I313-1</f>
        <v>7.9011922217711028E-3</v>
      </c>
      <c r="O362" s="2000">
        <v>-2.9000000000000001E-2</v>
      </c>
      <c r="P362" s="2000">
        <v>-1.9E-2</v>
      </c>
      <c r="Q362" s="2089"/>
      <c r="R362" s="2000">
        <v>-3.0000000000000001E-3</v>
      </c>
      <c r="S362" s="2000">
        <v>-2.5000000000000001E-2</v>
      </c>
      <c r="T362" s="2000">
        <v>3.0000000000000001E-3</v>
      </c>
      <c r="U362" s="2000">
        <v>-2E-3</v>
      </c>
      <c r="V362" s="2089"/>
      <c r="W362" s="2000">
        <v>2.1999999999999999E-2</v>
      </c>
      <c r="X362" s="2000">
        <v>5.8000000000000003E-2</v>
      </c>
      <c r="Y362" s="2000">
        <v>4.3999999999999997E-2</v>
      </c>
      <c r="Z362" s="2000">
        <v>0.03</v>
      </c>
      <c r="AA362" s="2089"/>
      <c r="AB362" s="1328">
        <f>AC362</f>
        <v>2.8000000000000001E-2</v>
      </c>
      <c r="AC362" s="2000">
        <v>2.8000000000000001E-2</v>
      </c>
      <c r="AD362" s="1328">
        <f>AE362</f>
        <v>6.0000000000000001E-3</v>
      </c>
      <c r="AE362" s="2000">
        <v>6.0000000000000001E-3</v>
      </c>
      <c r="AF362" s="1328">
        <f>AG362</f>
        <v>1.7000000000000001E-2</v>
      </c>
      <c r="AG362" s="2000">
        <v>1.7000000000000001E-2</v>
      </c>
      <c r="AH362" s="1328">
        <f>AI362</f>
        <v>6.3E-2</v>
      </c>
      <c r="AI362" s="2000">
        <v>6.3E-2</v>
      </c>
      <c r="AJ362" s="2089"/>
      <c r="AK362" s="2001">
        <v>1.2E-2</v>
      </c>
      <c r="AL362" s="2001">
        <v>-3.9E-2</v>
      </c>
      <c r="AM362" s="2001">
        <v>-2E-3</v>
      </c>
      <c r="AN362" s="2001">
        <v>-1.4E-2</v>
      </c>
      <c r="AO362" s="2089">
        <f>'New split'!J215</f>
        <v>7.175866605162895E-3</v>
      </c>
      <c r="AP362" s="2001">
        <v>3.1E-2</v>
      </c>
      <c r="AQ362" s="2001">
        <v>9.4E-2</v>
      </c>
      <c r="AR362" s="2001">
        <v>0.06</v>
      </c>
      <c r="AS362" s="2001">
        <v>6.4000000000000001E-2</v>
      </c>
      <c r="AT362" s="2089">
        <f>'New split'!K215</f>
        <v>4.7736966175639051E-2</v>
      </c>
      <c r="AU362" s="2001">
        <v>7.8E-2</v>
      </c>
      <c r="AV362" s="2001">
        <v>8.5000000000000006E-2</v>
      </c>
      <c r="AW362" s="2001">
        <v>5.7000000000000002E-2</v>
      </c>
      <c r="AX362" s="2001">
        <v>4.3999999999999997E-2</v>
      </c>
      <c r="AY362" s="2089">
        <f>'New split'!L215</f>
        <v>6.893192597825748E-2</v>
      </c>
      <c r="AZ362" s="2001">
        <v>3.5999999999999997E-2</v>
      </c>
      <c r="BA362" s="2001">
        <v>2.4E-2</v>
      </c>
      <c r="BB362" s="2001">
        <v>2.5000000000000001E-2</v>
      </c>
      <c r="BC362" s="2001">
        <v>3.4000000000000002E-2</v>
      </c>
      <c r="BD362" s="2089">
        <f>'New split'!M215</f>
        <v>2.972358954941301E-2</v>
      </c>
      <c r="BE362" s="2001">
        <v>0</v>
      </c>
      <c r="BF362" s="2001">
        <v>2E-3</v>
      </c>
      <c r="BG362" s="2001">
        <v>1.6E-2</v>
      </c>
      <c r="BH362" s="2001">
        <v>0</v>
      </c>
      <c r="BI362" s="2089">
        <f>'New split'!N215</f>
        <v>4.5964331678618464E-3</v>
      </c>
      <c r="BJ362" s="2512">
        <v>0.02</v>
      </c>
      <c r="BK362" s="2512">
        <v>0.02</v>
      </c>
      <c r="BL362" s="2512">
        <v>0.02</v>
      </c>
      <c r="BM362" s="1328">
        <f>BM313/BH313-1</f>
        <v>2.6265137824969642E-2</v>
      </c>
      <c r="BN362" s="2089">
        <f>'New split'!O215</f>
        <v>2.2499999999999999E-2</v>
      </c>
      <c r="BO362" s="1328"/>
      <c r="BP362" s="1328"/>
      <c r="BQ362" s="1699">
        <f t="shared" si="450"/>
        <v>394</v>
      </c>
      <c r="BR362" s="1699">
        <f t="shared" si="450"/>
        <v>405</v>
      </c>
      <c r="BS362" s="1699">
        <f t="shared" si="450"/>
        <v>392</v>
      </c>
      <c r="BT362" s="1699">
        <f t="shared" si="450"/>
        <v>362</v>
      </c>
      <c r="BU362" s="1699"/>
      <c r="BV362" s="1699">
        <f t="shared" si="451"/>
        <v>368</v>
      </c>
      <c r="BW362" s="1699">
        <f t="shared" si="451"/>
        <v>355</v>
      </c>
      <c r="BX362" s="1699">
        <f t="shared" si="451"/>
        <v>355</v>
      </c>
      <c r="BY362" s="1699">
        <f>AG52</f>
        <v>351</v>
      </c>
      <c r="BZ362" s="1293"/>
      <c r="CA362" s="1699">
        <f t="shared" si="452"/>
        <v>332</v>
      </c>
      <c r="CB362" s="1699">
        <f t="shared" si="452"/>
        <v>288</v>
      </c>
      <c r="CC362" s="1699">
        <f t="shared" si="452"/>
        <v>311</v>
      </c>
      <c r="CD362" s="1699">
        <f t="shared" si="452"/>
        <v>327</v>
      </c>
      <c r="CE362" s="1699"/>
      <c r="CF362" s="1699">
        <f t="shared" si="453"/>
        <v>337</v>
      </c>
      <c r="CG362" s="1699">
        <f t="shared" si="453"/>
        <v>327</v>
      </c>
      <c r="CH362" s="1699">
        <f t="shared" si="453"/>
        <v>325</v>
      </c>
      <c r="CI362" s="1699">
        <f t="shared" si="453"/>
        <v>330</v>
      </c>
      <c r="CJ362" s="1293"/>
      <c r="CK362" s="1699">
        <f t="shared" si="454"/>
        <v>332</v>
      </c>
      <c r="CL362" s="1699">
        <f t="shared" si="454"/>
        <v>336.06</v>
      </c>
      <c r="CM362" s="1699">
        <f t="shared" si="454"/>
        <v>303</v>
      </c>
      <c r="CN362" s="1699">
        <f t="shared" si="454"/>
        <v>282</v>
      </c>
      <c r="CO362" s="1293"/>
      <c r="CP362" s="1699">
        <f t="shared" si="455"/>
        <v>286</v>
      </c>
      <c r="CQ362" s="1699">
        <f t="shared" si="455"/>
        <v>302</v>
      </c>
      <c r="CR362" s="1699">
        <f>CZ52</f>
        <v>336.19885074626865</v>
      </c>
      <c r="CS362" s="1699">
        <f>BC52</f>
        <v>347.57900000000001</v>
      </c>
      <c r="CT362" s="1699"/>
      <c r="CU362" s="1699">
        <f t="shared" si="456"/>
        <v>346</v>
      </c>
      <c r="CV362" s="1699">
        <f t="shared" si="456"/>
        <v>347</v>
      </c>
      <c r="CW362" s="1699">
        <f t="shared" si="456"/>
        <v>331.15640000000002</v>
      </c>
      <c r="CX362" s="1699">
        <f t="shared" si="456"/>
        <v>317.2593</v>
      </c>
      <c r="CY362" s="2101">
        <v>3.0343586345931817E-2</v>
      </c>
      <c r="CZ362" s="1954">
        <v>0.02</v>
      </c>
      <c r="DA362" s="2138">
        <v>0.01</v>
      </c>
      <c r="DB362" s="2139">
        <v>4.0000000000000001E-3</v>
      </c>
      <c r="DC362" s="1293"/>
      <c r="DD362" s="1293"/>
      <c r="DE362" s="1293"/>
      <c r="DF362" s="1293"/>
      <c r="DG362" s="1293"/>
      <c r="DH362" s="1293"/>
      <c r="DI362" s="1293"/>
      <c r="DJ362" s="1293"/>
      <c r="DK362" s="1293"/>
      <c r="DL362" s="1293"/>
    </row>
    <row r="363" spans="1:116" ht="15.75">
      <c r="A363" s="1293"/>
      <c r="B363" s="1293" t="str">
        <f t="shared" si="448"/>
        <v>Paraguay</v>
      </c>
      <c r="C363" s="1293"/>
      <c r="D363" s="1293"/>
      <c r="E363" s="1293"/>
      <c r="F363" s="1293"/>
      <c r="G363" s="2089"/>
      <c r="H363" s="1328">
        <f t="shared" si="449"/>
        <v>-2.8813697737524735E-2</v>
      </c>
      <c r="I363" s="1328">
        <f t="shared" si="449"/>
        <v>-5.2508666123233239E-3</v>
      </c>
      <c r="J363" s="1328">
        <f t="shared" si="449"/>
        <v>4.5715134392807721E-2</v>
      </c>
      <c r="K363" s="1328">
        <f t="shared" si="449"/>
        <v>3.3460251396055796E-5</v>
      </c>
      <c r="L363" s="2089"/>
      <c r="M363" s="1328">
        <f>M314/H314-1</f>
        <v>7.0396132627904118E-2</v>
      </c>
      <c r="N363" s="1328">
        <f>N314/I314-1</f>
        <v>6.7970399868206188E-2</v>
      </c>
      <c r="O363" s="1328">
        <f>O314/J314-1</f>
        <v>2.9474412550362761E-2</v>
      </c>
      <c r="P363" s="2000">
        <v>2.1000000000000001E-2</v>
      </c>
      <c r="Q363" s="2089"/>
      <c r="R363" s="2000">
        <v>2.9000000000000001E-2</v>
      </c>
      <c r="S363" s="2000">
        <v>4.4999999999999998E-2</v>
      </c>
      <c r="T363" s="2000">
        <v>6.5000000000000002E-2</v>
      </c>
      <c r="U363" s="2000">
        <v>8.8999999999999996E-2</v>
      </c>
      <c r="V363" s="2089"/>
      <c r="W363" s="2000">
        <v>7.8E-2</v>
      </c>
      <c r="X363" s="2000">
        <v>6.2E-2</v>
      </c>
      <c r="Y363" s="2000">
        <v>5.3999999999999999E-2</v>
      </c>
      <c r="Z363" s="2000">
        <v>2.5999999999999999E-2</v>
      </c>
      <c r="AA363" s="2089"/>
      <c r="AB363" s="1328">
        <f>AC363</f>
        <v>-6.0000000000000001E-3</v>
      </c>
      <c r="AC363" s="2000">
        <v>-6.0000000000000001E-3</v>
      </c>
      <c r="AD363" s="1328">
        <f>AE363</f>
        <v>-8.9999999999999993E-3</v>
      </c>
      <c r="AE363" s="2000">
        <v>-8.9999999999999993E-3</v>
      </c>
      <c r="AF363" s="1328">
        <f>AG363</f>
        <v>-5.0999999999999997E-2</v>
      </c>
      <c r="AG363" s="2000">
        <v>-5.0999999999999997E-2</v>
      </c>
      <c r="AH363" s="1328">
        <f>AI363</f>
        <v>-1.2E-2</v>
      </c>
      <c r="AI363" s="2000">
        <v>-1.2E-2</v>
      </c>
      <c r="AJ363" s="2089"/>
      <c r="AK363" s="2001">
        <v>-1.4999999999999999E-2</v>
      </c>
      <c r="AL363" s="2001">
        <v>-5.0999999999999997E-2</v>
      </c>
      <c r="AM363" s="2001">
        <v>-0.05</v>
      </c>
      <c r="AN363" s="2001">
        <v>-1.0999999999999999E-2</v>
      </c>
      <c r="AO363" s="2089">
        <f>'New split'!J216</f>
        <v>-1.4088936500196714E-2</v>
      </c>
      <c r="AP363" s="2001">
        <v>-8.9999999999999993E-3</v>
      </c>
      <c r="AQ363" s="2001">
        <v>1.4E-2</v>
      </c>
      <c r="AR363" s="2001">
        <v>6.2E-2</v>
      </c>
      <c r="AS363" s="2001">
        <v>4.2000000000000003E-2</v>
      </c>
      <c r="AT363" s="2089">
        <f>'New split'!K216</f>
        <v>2.2093170193707934E-2</v>
      </c>
      <c r="AU363" s="2001">
        <v>4.9000000000000002E-2</v>
      </c>
      <c r="AV363" s="2001">
        <v>5.5999999999999994E-2</v>
      </c>
      <c r="AW363" s="2001">
        <v>2.3E-2</v>
      </c>
      <c r="AX363" s="2001">
        <v>4.1000000000000002E-2</v>
      </c>
      <c r="AY363" s="2089">
        <f>'New split'!L216</f>
        <v>4.3394829836133963E-2</v>
      </c>
      <c r="AZ363" s="2001">
        <v>0.06</v>
      </c>
      <c r="BA363" s="2001">
        <v>9.6000000000000002E-2</v>
      </c>
      <c r="BB363" s="2001">
        <v>7.5999999999999998E-2</v>
      </c>
      <c r="BC363" s="2001">
        <v>0.05</v>
      </c>
      <c r="BD363" s="2089">
        <f>'New split'!M216</f>
        <v>7.0061977903530082E-2</v>
      </c>
      <c r="BE363" s="2001">
        <v>4.2999999999999997E-2</v>
      </c>
      <c r="BF363" s="2001">
        <v>1.7999999999999999E-2</v>
      </c>
      <c r="BG363" s="2001">
        <v>1.0999999999999999E-2</v>
      </c>
      <c r="BH363" s="2001">
        <v>4.7E-2</v>
      </c>
      <c r="BI363" s="2089">
        <f>'New split'!N216</f>
        <v>2.9715436917652882E-2</v>
      </c>
      <c r="BJ363" s="2512">
        <v>0.03</v>
      </c>
      <c r="BK363" s="2512">
        <v>2.5000000000000001E-2</v>
      </c>
      <c r="BL363" s="2512">
        <v>2.5000000000000001E-2</v>
      </c>
      <c r="BM363" s="1328">
        <f>BM314/BH314-1</f>
        <v>4.4508431093386314E-3</v>
      </c>
      <c r="BN363" s="2089">
        <f>'New split'!O216</f>
        <v>0.02</v>
      </c>
      <c r="BO363" s="1328"/>
      <c r="BP363" s="1328"/>
      <c r="BQ363" s="1703">
        <f t="shared" si="450"/>
        <v>160</v>
      </c>
      <c r="BR363" s="1703">
        <f t="shared" si="450"/>
        <v>159</v>
      </c>
      <c r="BS363" s="1703">
        <f t="shared" si="450"/>
        <v>159</v>
      </c>
      <c r="BT363" s="1703">
        <f t="shared" si="450"/>
        <v>154</v>
      </c>
      <c r="BU363" s="1703"/>
      <c r="BV363" s="1703">
        <f t="shared" si="451"/>
        <v>146</v>
      </c>
      <c r="BW363" s="1703">
        <f t="shared" si="451"/>
        <v>142</v>
      </c>
      <c r="BX363" s="1703">
        <f t="shared" si="451"/>
        <v>142</v>
      </c>
      <c r="BY363" s="1703">
        <f>AG53</f>
        <v>141</v>
      </c>
      <c r="BZ363" s="1293"/>
      <c r="CA363" s="1703">
        <f t="shared" si="452"/>
        <v>134</v>
      </c>
      <c r="CB363" s="1703">
        <f t="shared" si="452"/>
        <v>128</v>
      </c>
      <c r="CC363" s="1703">
        <f t="shared" si="452"/>
        <v>124</v>
      </c>
      <c r="CD363" s="1703">
        <f t="shared" si="452"/>
        <v>128</v>
      </c>
      <c r="CE363" s="1699"/>
      <c r="CF363" s="1703">
        <f t="shared" si="453"/>
        <v>129</v>
      </c>
      <c r="CG363" s="1703">
        <f t="shared" si="453"/>
        <v>129</v>
      </c>
      <c r="CH363" s="1703">
        <f t="shared" si="453"/>
        <v>132</v>
      </c>
      <c r="CI363" s="1703">
        <f t="shared" si="453"/>
        <v>135</v>
      </c>
      <c r="CJ363" s="1293"/>
      <c r="CK363" s="1703">
        <f t="shared" si="454"/>
        <v>130</v>
      </c>
      <c r="CL363" s="1703">
        <f t="shared" si="454"/>
        <v>131.65</v>
      </c>
      <c r="CM363" s="1703">
        <f t="shared" si="454"/>
        <v>135</v>
      </c>
      <c r="CN363" s="1703">
        <f t="shared" si="454"/>
        <v>134</v>
      </c>
      <c r="CO363" s="1293"/>
      <c r="CP363" s="1703">
        <f t="shared" si="455"/>
        <v>132</v>
      </c>
      <c r="CQ363" s="1703">
        <f t="shared" si="455"/>
        <v>137</v>
      </c>
      <c r="CR363" s="1703">
        <f>CZ53</f>
        <v>140.38028925619835</v>
      </c>
      <c r="CS363" s="1703">
        <f>BC53</f>
        <v>137.59100000000001</v>
      </c>
      <c r="CT363" s="1703"/>
      <c r="CU363" s="1703">
        <f t="shared" si="456"/>
        <v>137</v>
      </c>
      <c r="CV363" s="1703">
        <f t="shared" si="456"/>
        <v>134</v>
      </c>
      <c r="CW363" s="1703">
        <f t="shared" si="456"/>
        <v>132.51900000000001</v>
      </c>
      <c r="CX363" s="1703">
        <f t="shared" si="456"/>
        <v>136.09360000000001</v>
      </c>
      <c r="CY363" s="2101">
        <v>8.1054302842977322E-2</v>
      </c>
      <c r="CZ363" s="1954">
        <v>0.09</v>
      </c>
      <c r="DA363" s="2138">
        <v>0.04</v>
      </c>
      <c r="DB363" s="2139">
        <v>0.03</v>
      </c>
      <c r="DC363" s="1293"/>
      <c r="DD363" s="1293"/>
      <c r="DE363" s="1293"/>
      <c r="DF363" s="1293"/>
      <c r="DG363" s="1293"/>
      <c r="DH363" s="1293"/>
      <c r="DI363" s="1293"/>
      <c r="DJ363" s="1293"/>
      <c r="DK363" s="1293"/>
      <c r="DL363" s="1293"/>
    </row>
    <row r="364" spans="1:116" ht="16.5" thickBot="1">
      <c r="A364" s="1293"/>
      <c r="B364" s="1293"/>
      <c r="C364" s="1293"/>
      <c r="D364" s="1293"/>
      <c r="E364" s="1293"/>
      <c r="F364" s="1293"/>
      <c r="G364" s="2089"/>
      <c r="H364" s="1328"/>
      <c r="I364" s="1328"/>
      <c r="J364" s="1328"/>
      <c r="K364" s="1328"/>
      <c r="L364" s="2089"/>
      <c r="M364" s="1328"/>
      <c r="N364" s="1328"/>
      <c r="O364" s="1328"/>
      <c r="P364" s="1328"/>
      <c r="Q364" s="2089"/>
      <c r="R364" s="1328"/>
      <c r="S364" s="1328"/>
      <c r="T364" s="1328"/>
      <c r="U364" s="1328"/>
      <c r="V364" s="2089"/>
      <c r="W364" s="1328"/>
      <c r="X364" s="1328"/>
      <c r="Y364" s="1328"/>
      <c r="Z364" s="1328"/>
      <c r="AA364" s="2089"/>
      <c r="AB364" s="1328"/>
      <c r="AC364" s="1328"/>
      <c r="AD364" s="1328"/>
      <c r="AE364" s="1328"/>
      <c r="AF364" s="1328"/>
      <c r="AG364" s="1328"/>
      <c r="AH364" s="1328"/>
      <c r="AI364" s="1328"/>
      <c r="AJ364" s="2089"/>
      <c r="AK364" s="1328"/>
      <c r="AL364" s="1328"/>
      <c r="AM364" s="1328"/>
      <c r="AN364" s="1328"/>
      <c r="AO364" s="2089"/>
      <c r="AP364" s="1328"/>
      <c r="AQ364" s="1328"/>
      <c r="AR364" s="1328"/>
      <c r="AS364" s="1328"/>
      <c r="AT364" s="2089"/>
      <c r="AU364" s="1328"/>
      <c r="AV364" s="1328"/>
      <c r="AW364" s="1328"/>
      <c r="AX364" s="1328"/>
      <c r="AY364" s="2089"/>
      <c r="AZ364" s="1328"/>
      <c r="BA364" s="1328"/>
      <c r="BB364" s="1328"/>
      <c r="BC364" s="1328"/>
      <c r="BD364" s="2089"/>
      <c r="BE364" s="1328"/>
      <c r="BF364" s="1328"/>
      <c r="BG364" s="1328"/>
      <c r="BH364" s="1328"/>
      <c r="BI364" s="2089"/>
      <c r="BJ364" s="1328"/>
      <c r="BK364" s="1328"/>
      <c r="BL364" s="1328"/>
      <c r="BM364" s="1328"/>
      <c r="BN364" s="2089"/>
      <c r="BO364" s="1328"/>
      <c r="BP364" s="1328"/>
      <c r="BQ364" s="1699">
        <f>SUM(BQ350:BQ363)</f>
        <v>1259</v>
      </c>
      <c r="BR364" s="1699">
        <f>SUM(BR350:BR363)</f>
        <v>1280</v>
      </c>
      <c r="BS364" s="1699">
        <f>SUM(BS350:BS363)</f>
        <v>1268</v>
      </c>
      <c r="BT364" s="1699">
        <f>SUM(BT350:BT363)</f>
        <v>1246</v>
      </c>
      <c r="BU364" s="1699"/>
      <c r="BV364" s="1699">
        <f>SUM(BV350:BV363)</f>
        <v>1331</v>
      </c>
      <c r="BW364" s="1699">
        <f>SUM(BW350:BW363)</f>
        <v>1319</v>
      </c>
      <c r="BX364" s="1699">
        <f>SUM(BX350:BX363)</f>
        <v>1319</v>
      </c>
      <c r="BY364" s="1699">
        <f>SUM(BY350:BY363)</f>
        <v>1306</v>
      </c>
      <c r="BZ364" s="1293"/>
      <c r="CA364" s="1699">
        <f>SUM(CA350:CA363)</f>
        <v>1360</v>
      </c>
      <c r="CB364" s="1699">
        <f>SUM(CB350:CB363)</f>
        <v>1240</v>
      </c>
      <c r="CC364" s="1699">
        <f>SUM(CC350:CC363)</f>
        <v>1292</v>
      </c>
      <c r="CD364" s="1699">
        <f>SUM(CD350:CD363)</f>
        <v>1361</v>
      </c>
      <c r="CE364" s="1699"/>
      <c r="CF364" s="1699">
        <f>SUM(CF350:CF363)</f>
        <v>1379</v>
      </c>
      <c r="CG364" s="1699">
        <f>SUM(CG350:CG363)</f>
        <v>1384</v>
      </c>
      <c r="CH364" s="1699">
        <f>SUM(CH350:CH363)</f>
        <v>1391</v>
      </c>
      <c r="CI364" s="1699">
        <f>SUM(CI350:CI363)</f>
        <v>1420</v>
      </c>
      <c r="CJ364" s="1293"/>
      <c r="CK364" s="1699">
        <f>SUM(CK350:CK363)</f>
        <v>1317.2550000000001</v>
      </c>
      <c r="CL364" s="1699">
        <f>SUM(CL350:CL363)</f>
        <v>1334.1566000000003</v>
      </c>
      <c r="CM364" s="1699">
        <f>SUM(CM350:CM363)</f>
        <v>1299.0205999999998</v>
      </c>
      <c r="CN364" s="1699">
        <f>SUM(CN350:CN363)</f>
        <v>1293.5751</v>
      </c>
      <c r="CO364" s="1293"/>
      <c r="CP364" s="1699">
        <f>SUM(CP350:CP363)</f>
        <v>1277.0805</v>
      </c>
      <c r="CQ364" s="1699">
        <f>SUM(CQ350:CQ363)</f>
        <v>1301.7386000000001</v>
      </c>
      <c r="CR364" s="1699">
        <f>SUM(CR350:CR363)</f>
        <v>1347.8253243145173</v>
      </c>
      <c r="CS364" s="1699">
        <f>SUM(CS350:CS363)</f>
        <v>1384.4971</v>
      </c>
      <c r="CT364" s="1699"/>
      <c r="CU364" s="1699">
        <f>SUM(CU350:CU363)</f>
        <v>1382.8575000000001</v>
      </c>
      <c r="CV364" s="1699">
        <f>SUM(CV350:CV363)</f>
        <v>1372.0625</v>
      </c>
      <c r="CW364" s="1699">
        <f>SUM(CW350:CW363)</f>
        <v>1357.3352</v>
      </c>
      <c r="CX364" s="1699">
        <f ca="1">SUM(CX350:CX363)</f>
        <v>1340.5171999999998</v>
      </c>
      <c r="CY364" s="2101"/>
      <c r="CZ364" s="1328"/>
      <c r="DA364" s="2100"/>
      <c r="DB364" s="2101"/>
      <c r="DC364" s="1293"/>
      <c r="DD364" s="1293"/>
      <c r="DE364" s="1293"/>
      <c r="DF364" s="1293"/>
      <c r="DG364" s="1293"/>
      <c r="DH364" s="1293"/>
      <c r="DI364" s="1293"/>
      <c r="DJ364" s="1293"/>
      <c r="DK364" s="1293"/>
      <c r="DL364" s="1293"/>
    </row>
    <row r="365" spans="1:116" ht="15.75" hidden="1" outlineLevel="1">
      <c r="A365" s="1293"/>
      <c r="B365" s="1293" t="str">
        <f t="shared" ref="B365:B371" si="457">B290</f>
        <v>Chad</v>
      </c>
      <c r="C365" s="1293"/>
      <c r="D365" s="1293"/>
      <c r="E365" s="1293"/>
      <c r="F365" s="1293"/>
      <c r="G365" s="2080"/>
      <c r="H365" s="2127">
        <f t="shared" ref="H365:K370" ca="1" si="458">H316/C316-1</f>
        <v>-8.5371958975728468E-3</v>
      </c>
      <c r="I365" s="2127">
        <f t="shared" ca="1" si="458"/>
        <v>-2.2435843926385646E-2</v>
      </c>
      <c r="J365" s="2127">
        <f t="shared" si="458"/>
        <v>-1.7890795257359815E-2</v>
      </c>
      <c r="K365" s="2127">
        <f t="shared" ca="1" si="458"/>
        <v>9.2004276994981149E-2</v>
      </c>
      <c r="L365" s="2080"/>
      <c r="M365" s="2127">
        <f ca="1">M316/H316-1</f>
        <v>0.13426384393468815</v>
      </c>
      <c r="N365" s="2127">
        <f ca="1">N316/I316-1</f>
        <v>9.8200284495324475E-2</v>
      </c>
      <c r="O365" s="2127">
        <f>O316/J316-1</f>
        <v>3.5326548524932777E-2</v>
      </c>
      <c r="P365" s="2127">
        <f>P316/K316-1</f>
        <v>4.0085915507679148E-2</v>
      </c>
      <c r="Q365" s="2080"/>
      <c r="R365" s="2176">
        <v>-0.1</v>
      </c>
      <c r="S365" s="2176">
        <v>-0.1</v>
      </c>
      <c r="T365" s="2176">
        <v>-0.08</v>
      </c>
      <c r="U365" s="2176">
        <v>-0.1</v>
      </c>
      <c r="V365" s="2080"/>
      <c r="W365" s="2176">
        <v>0.02</v>
      </c>
      <c r="X365" s="2176">
        <v>0.02</v>
      </c>
      <c r="Y365" s="2176">
        <v>0.02</v>
      </c>
      <c r="Z365" s="2176">
        <v>0.02</v>
      </c>
      <c r="AA365" s="2080"/>
      <c r="AB365" s="1328"/>
      <c r="AC365" s="1328"/>
      <c r="AD365" s="1328"/>
      <c r="AE365" s="1328"/>
      <c r="AF365" s="1328"/>
      <c r="AG365" s="1328"/>
      <c r="AH365" s="1328"/>
      <c r="AI365" s="1328"/>
      <c r="AJ365" s="2080"/>
      <c r="AK365" s="1328"/>
      <c r="AL365" s="1328"/>
      <c r="AM365" s="1328"/>
      <c r="AN365" s="1328"/>
      <c r="AO365" s="2080"/>
      <c r="AP365" s="1328"/>
      <c r="AQ365" s="1328"/>
      <c r="AR365" s="1328"/>
      <c r="AS365" s="1328"/>
      <c r="AT365" s="2080"/>
      <c r="AU365" s="1328"/>
      <c r="AV365" s="1328"/>
      <c r="AW365" s="1328"/>
      <c r="AX365" s="1328"/>
      <c r="AY365" s="2080"/>
      <c r="AZ365" s="1328"/>
      <c r="BA365" s="1328"/>
      <c r="BB365" s="1328"/>
      <c r="BC365" s="1293"/>
      <c r="BD365" s="2080"/>
      <c r="BE365" s="1328"/>
      <c r="BF365" s="1328"/>
      <c r="BG365" s="1328"/>
      <c r="BH365" s="1293"/>
      <c r="BI365" s="2080"/>
      <c r="BJ365" s="1328"/>
      <c r="BK365" s="1328"/>
      <c r="BL365" s="1328"/>
      <c r="BM365" s="1328"/>
      <c r="BN365" s="2080"/>
      <c r="BO365" s="1293"/>
      <c r="BP365" s="1293"/>
      <c r="BQ365" s="1293"/>
      <c r="BR365" s="1293"/>
      <c r="BS365" s="1293"/>
      <c r="BT365" s="1293"/>
      <c r="BU365" s="1293"/>
      <c r="BV365" s="1293"/>
      <c r="BW365" s="1293"/>
      <c r="BX365" s="1293"/>
      <c r="BY365" s="1293"/>
      <c r="BZ365" s="1293"/>
      <c r="CA365" s="1293"/>
      <c r="CB365" s="1293"/>
      <c r="CC365" s="1293"/>
      <c r="CD365" s="1293"/>
      <c r="CE365" s="1293"/>
      <c r="CF365" s="1293"/>
      <c r="CG365" s="1293"/>
      <c r="CH365" s="1293"/>
      <c r="CI365" s="1293"/>
      <c r="CJ365" s="1293"/>
      <c r="CK365" s="1293"/>
      <c r="CL365" s="1293"/>
      <c r="CM365" s="1293"/>
      <c r="CN365" s="1293"/>
      <c r="CO365" s="1293"/>
      <c r="CP365" s="1293"/>
      <c r="CQ365" s="1293"/>
      <c r="CR365" s="1293"/>
      <c r="CS365" s="1293"/>
      <c r="CT365" s="1293"/>
      <c r="CU365" s="1293"/>
      <c r="CV365" s="1293"/>
      <c r="CW365" s="1293"/>
      <c r="CX365" s="1293"/>
      <c r="CY365" s="2032"/>
      <c r="CZ365" s="1293"/>
      <c r="DA365" s="2100"/>
      <c r="DB365" s="2101"/>
      <c r="DC365" s="1293"/>
      <c r="DD365" s="1293"/>
      <c r="DE365" s="1293"/>
      <c r="DF365" s="1293"/>
      <c r="DG365" s="1293"/>
      <c r="DH365" s="1293"/>
      <c r="DI365" s="1293"/>
      <c r="DJ365" s="1293"/>
      <c r="DK365" s="1293"/>
      <c r="DL365" s="1293"/>
    </row>
    <row r="366" spans="1:116" ht="15.75" hidden="1" outlineLevel="1">
      <c r="A366" s="1293"/>
      <c r="B366" s="1293" t="str">
        <f t="shared" si="457"/>
        <v>DRC</v>
      </c>
      <c r="C366" s="1293"/>
      <c r="D366" s="1293"/>
      <c r="E366" s="1293"/>
      <c r="F366" s="1293"/>
      <c r="G366" s="2080"/>
      <c r="H366" s="2127">
        <f t="shared" si="458"/>
        <v>0.19542711295723714</v>
      </c>
      <c r="I366" s="2127">
        <f t="shared" si="458"/>
        <v>0.21929755443861398</v>
      </c>
      <c r="J366" s="2127">
        <f t="shared" si="458"/>
        <v>0.15361249153224721</v>
      </c>
      <c r="K366" s="2127">
        <f t="shared" si="458"/>
        <v>0.16071768310648449</v>
      </c>
      <c r="L366" s="2080"/>
      <c r="M366" s="2127"/>
      <c r="N366" s="2127"/>
      <c r="O366" s="2127"/>
      <c r="P366" s="2127"/>
      <c r="Q366" s="2080"/>
      <c r="R366" s="2127"/>
      <c r="S366" s="2127"/>
      <c r="T366" s="2127"/>
      <c r="U366" s="2127"/>
      <c r="V366" s="2080"/>
      <c r="W366" s="2127"/>
      <c r="X366" s="2127"/>
      <c r="Y366" s="2127"/>
      <c r="Z366" s="2127"/>
      <c r="AA366" s="2080"/>
      <c r="AB366" s="1328"/>
      <c r="AC366" s="1328"/>
      <c r="AD366" s="1328"/>
      <c r="AE366" s="1328"/>
      <c r="AF366" s="1328"/>
      <c r="AG366" s="1328"/>
      <c r="AH366" s="1328"/>
      <c r="AI366" s="1328"/>
      <c r="AJ366" s="2080"/>
      <c r="AK366" s="1328"/>
      <c r="AL366" s="1328"/>
      <c r="AM366" s="1328"/>
      <c r="AN366" s="1328"/>
      <c r="AO366" s="2080"/>
      <c r="AP366" s="1328"/>
      <c r="AQ366" s="1328"/>
      <c r="AR366" s="1328"/>
      <c r="AS366" s="1328"/>
      <c r="AT366" s="2080"/>
      <c r="AU366" s="1328"/>
      <c r="AV366" s="1328"/>
      <c r="AW366" s="1328"/>
      <c r="AX366" s="1328"/>
      <c r="AY366" s="2080"/>
      <c r="AZ366" s="1328"/>
      <c r="BA366" s="1328"/>
      <c r="BB366" s="1328"/>
      <c r="BC366" s="1293"/>
      <c r="BD366" s="2080"/>
      <c r="BE366" s="1328"/>
      <c r="BF366" s="1328"/>
      <c r="BG366" s="1328"/>
      <c r="BH366" s="1293"/>
      <c r="BI366" s="2080"/>
      <c r="BJ366" s="1328"/>
      <c r="BK366" s="1328"/>
      <c r="BL366" s="1328"/>
      <c r="BM366" s="1328"/>
      <c r="BN366" s="2080"/>
      <c r="BO366" s="1293"/>
      <c r="BP366" s="1293"/>
      <c r="BQ366" s="1293"/>
      <c r="BR366" s="1293"/>
      <c r="BS366" s="1293"/>
      <c r="BT366" s="1293"/>
      <c r="BU366" s="1293"/>
      <c r="BV366" s="1293"/>
      <c r="BW366" s="1293"/>
      <c r="BX366" s="1293"/>
      <c r="BY366" s="1293"/>
      <c r="BZ366" s="1293"/>
      <c r="CA366" s="1293"/>
      <c r="CB366" s="1293"/>
      <c r="CC366" s="1293"/>
      <c r="CD366" s="1293"/>
      <c r="CE366" s="1293"/>
      <c r="CF366" s="1293"/>
      <c r="CG366" s="1293"/>
      <c r="CH366" s="1293"/>
      <c r="CI366" s="1293"/>
      <c r="CJ366" s="1293"/>
      <c r="CK366" s="1293"/>
      <c r="CL366" s="1293"/>
      <c r="CM366" s="1293"/>
      <c r="CN366" s="1293"/>
      <c r="CO366" s="1293"/>
      <c r="CP366" s="1293"/>
      <c r="CQ366" s="1293"/>
      <c r="CR366" s="1293"/>
      <c r="CS366" s="1293"/>
      <c r="CT366" s="1293"/>
      <c r="CU366" s="1293"/>
      <c r="CV366" s="1293"/>
      <c r="CW366" s="1293"/>
      <c r="CX366" s="1293"/>
      <c r="CY366" s="2032"/>
      <c r="CZ366" s="1293"/>
      <c r="DA366" s="2100"/>
      <c r="DB366" s="2101"/>
      <c r="DC366" s="1293"/>
      <c r="DD366" s="1293"/>
      <c r="DE366" s="1293"/>
      <c r="DF366" s="1293"/>
      <c r="DG366" s="1293"/>
      <c r="DH366" s="1293"/>
      <c r="DI366" s="1293"/>
      <c r="DJ366" s="1293"/>
      <c r="DK366" s="1293"/>
      <c r="DL366" s="1293"/>
    </row>
    <row r="367" spans="1:116" ht="15.75" hidden="1" outlineLevel="1">
      <c r="A367" s="1293"/>
      <c r="B367" s="1293" t="str">
        <f t="shared" si="457"/>
        <v>Ghana</v>
      </c>
      <c r="C367" s="1293"/>
      <c r="D367" s="1293"/>
      <c r="E367" s="1293"/>
      <c r="F367" s="1293"/>
      <c r="G367" s="2080"/>
      <c r="H367" s="2127">
        <f t="shared" si="458"/>
        <v>0.23040908747493294</v>
      </c>
      <c r="I367" s="2127">
        <f t="shared" si="458"/>
        <v>0.22908223758675672</v>
      </c>
      <c r="J367" s="2127">
        <f t="shared" si="458"/>
        <v>0.38966089452342456</v>
      </c>
      <c r="K367" s="2127">
        <f t="shared" si="458"/>
        <v>0.14650131349534146</v>
      </c>
      <c r="L367" s="2080"/>
      <c r="M367" s="2127">
        <f t="shared" ref="M367:P370" si="459">M318/H318-1</f>
        <v>0.17320878078475865</v>
      </c>
      <c r="N367" s="2127">
        <f t="shared" si="459"/>
        <v>0.1777017695652674</v>
      </c>
      <c r="O367" s="2127">
        <f t="shared" si="459"/>
        <v>0.18070603210531111</v>
      </c>
      <c r="P367" s="2127">
        <f t="shared" si="459"/>
        <v>0.25249215149681814</v>
      </c>
      <c r="Q367" s="2080"/>
      <c r="R367" s="2176">
        <v>0.03</v>
      </c>
      <c r="S367" s="2176">
        <v>0.03</v>
      </c>
      <c r="T367" s="1328"/>
      <c r="U367" s="1328"/>
      <c r="V367" s="2080"/>
      <c r="W367" s="1328"/>
      <c r="X367" s="1328"/>
      <c r="Y367" s="1328"/>
      <c r="Z367" s="1328"/>
      <c r="AA367" s="2080"/>
      <c r="AB367" s="1328"/>
      <c r="AC367" s="1328"/>
      <c r="AD367" s="1328"/>
      <c r="AE367" s="1328"/>
      <c r="AF367" s="1328"/>
      <c r="AG367" s="1328"/>
      <c r="AH367" s="1328"/>
      <c r="AI367" s="1328"/>
      <c r="AJ367" s="2080"/>
      <c r="AK367" s="1328"/>
      <c r="AL367" s="1328"/>
      <c r="AM367" s="1328"/>
      <c r="AN367" s="1328"/>
      <c r="AO367" s="2080"/>
      <c r="AP367" s="1328"/>
      <c r="AQ367" s="1328"/>
      <c r="AR367" s="1328"/>
      <c r="AS367" s="1328"/>
      <c r="AT367" s="2080"/>
      <c r="AU367" s="1328"/>
      <c r="AV367" s="1328"/>
      <c r="AW367" s="1328"/>
      <c r="AX367" s="1328"/>
      <c r="AY367" s="2080"/>
      <c r="AZ367" s="1328"/>
      <c r="BA367" s="1328"/>
      <c r="BB367" s="1328"/>
      <c r="BC367" s="1293"/>
      <c r="BD367" s="2080"/>
      <c r="BE367" s="1328"/>
      <c r="BF367" s="1328"/>
      <c r="BG367" s="1328"/>
      <c r="BH367" s="1293"/>
      <c r="BI367" s="2080"/>
      <c r="BJ367" s="1328"/>
      <c r="BK367" s="1328"/>
      <c r="BL367" s="1328"/>
      <c r="BM367" s="1328"/>
      <c r="BN367" s="2080"/>
      <c r="BO367" s="1293"/>
      <c r="BP367" s="1293"/>
      <c r="BQ367" s="1678" t="str">
        <f>AK349</f>
        <v>Q1 20</v>
      </c>
      <c r="BR367" s="1678" t="str">
        <f>AL349</f>
        <v>Q2 20</v>
      </c>
      <c r="BS367" s="1678" t="str">
        <f>AM349</f>
        <v>Q3 20</v>
      </c>
      <c r="BT367" s="1678" t="str">
        <f>AN349</f>
        <v>Q4 20</v>
      </c>
      <c r="BU367" s="1678" t="str">
        <f>AP349</f>
        <v>Q1 21</v>
      </c>
      <c r="BV367" s="1678" t="str">
        <f>AQ349</f>
        <v>Q2 21</v>
      </c>
      <c r="BW367" s="1678" t="str">
        <f>AR349</f>
        <v>Q3 21</v>
      </c>
      <c r="BX367" s="1678" t="str">
        <f>AS349</f>
        <v>Q4 21</v>
      </c>
      <c r="BY367" s="1678" t="str">
        <f>AU349</f>
        <v>Q1 22</v>
      </c>
      <c r="BZ367" s="1678" t="str">
        <f>AV349</f>
        <v>Q2 22</v>
      </c>
      <c r="CA367" s="1678" t="str">
        <f>AW349</f>
        <v>Q3 22</v>
      </c>
      <c r="CB367" s="1678" t="str">
        <f>AX349</f>
        <v>Q4 22</v>
      </c>
      <c r="CC367" s="1678" t="str">
        <f>AZ349</f>
        <v>Q1 23</v>
      </c>
      <c r="CD367" s="1678" t="str">
        <f>BA349</f>
        <v>Q2 23</v>
      </c>
      <c r="CE367" s="1678" t="str">
        <f>BB349</f>
        <v>Q3 23</v>
      </c>
      <c r="CF367" s="1678" t="str">
        <f>BC349</f>
        <v>Q4 23</v>
      </c>
      <c r="CG367" s="1678" t="str">
        <f>BE349</f>
        <v>Q1 24</v>
      </c>
      <c r="CH367" s="1293"/>
      <c r="CI367" s="1293"/>
      <c r="CJ367" s="1293"/>
      <c r="CK367" s="1293"/>
      <c r="CL367" s="1293"/>
      <c r="CM367" s="1293"/>
      <c r="CN367" s="1293"/>
      <c r="CO367" s="1293"/>
      <c r="CP367" s="1293"/>
      <c r="CQ367" s="1293"/>
      <c r="CR367" s="1293"/>
      <c r="CS367" s="1293"/>
      <c r="CT367" s="1293"/>
      <c r="CU367" s="1293"/>
      <c r="CV367" s="1293"/>
      <c r="CW367" s="1293"/>
      <c r="CX367" s="1293"/>
      <c r="CY367" s="2032"/>
      <c r="CZ367" s="1293"/>
      <c r="DA367" s="2100"/>
      <c r="DB367" s="2101"/>
      <c r="DC367" s="1293"/>
      <c r="DD367" s="1293"/>
      <c r="DE367" s="1293"/>
      <c r="DF367" s="1293"/>
      <c r="DG367" s="1293"/>
      <c r="DH367" s="1293"/>
      <c r="DI367" s="1293"/>
      <c r="DJ367" s="1293"/>
      <c r="DK367" s="1293"/>
      <c r="DL367" s="1293"/>
    </row>
    <row r="368" spans="1:116" ht="15.75" hidden="1" outlineLevel="1">
      <c r="A368" s="1293"/>
      <c r="B368" s="1293" t="str">
        <f t="shared" si="457"/>
        <v>Rwanda</v>
      </c>
      <c r="C368" s="1293"/>
      <c r="D368" s="1293"/>
      <c r="E368" s="1293"/>
      <c r="F368" s="1293"/>
      <c r="G368" s="2080"/>
      <c r="H368" s="2127">
        <f t="shared" si="458"/>
        <v>3.8989617478848437E-3</v>
      </c>
      <c r="I368" s="2127">
        <f t="shared" si="458"/>
        <v>0.10545755323586747</v>
      </c>
      <c r="J368" s="2127">
        <f t="shared" si="458"/>
        <v>6.1530051116102769E-2</v>
      </c>
      <c r="K368" s="2127">
        <f t="shared" si="458"/>
        <v>6.5358376255834294E-2</v>
      </c>
      <c r="L368" s="2080"/>
      <c r="M368" s="2127">
        <f t="shared" si="459"/>
        <v>7.5095027646761014E-2</v>
      </c>
      <c r="N368" s="2127">
        <f t="shared" si="459"/>
        <v>7.356230776540662E-2</v>
      </c>
      <c r="O368" s="2127">
        <f t="shared" si="459"/>
        <v>0.21789848968586978</v>
      </c>
      <c r="P368" s="2127">
        <f t="shared" si="459"/>
        <v>4.564664363953419E-3</v>
      </c>
      <c r="Q368" s="2080"/>
      <c r="R368" s="2176">
        <v>0</v>
      </c>
      <c r="S368" s="2176">
        <v>-0.02</v>
      </c>
      <c r="T368" s="2176">
        <v>-0.02</v>
      </c>
      <c r="U368" s="2176">
        <v>-0.05</v>
      </c>
      <c r="V368" s="2080"/>
      <c r="W368" s="2176"/>
      <c r="X368" s="2176"/>
      <c r="Y368" s="2176"/>
      <c r="Z368" s="2176"/>
      <c r="AA368" s="2080"/>
      <c r="AB368" s="1328"/>
      <c r="AC368" s="1328"/>
      <c r="AD368" s="1328"/>
      <c r="AE368" s="1328"/>
      <c r="AF368" s="1328"/>
      <c r="AG368" s="1328"/>
      <c r="AH368" s="1328"/>
      <c r="AI368" s="1328"/>
      <c r="AJ368" s="2080"/>
      <c r="AK368" s="1328"/>
      <c r="AL368" s="1328"/>
      <c r="AM368" s="1328"/>
      <c r="AN368" s="1328"/>
      <c r="AO368" s="2080"/>
      <c r="AP368" s="1328"/>
      <c r="AQ368" s="1328"/>
      <c r="AR368" s="1328"/>
      <c r="AS368" s="1328"/>
      <c r="AT368" s="2080"/>
      <c r="AU368" s="1328"/>
      <c r="AV368" s="1328"/>
      <c r="AW368" s="1328"/>
      <c r="AX368" s="1328"/>
      <c r="AY368" s="2080"/>
      <c r="AZ368" s="1328"/>
      <c r="BA368" s="1328"/>
      <c r="BB368" s="1328"/>
      <c r="BC368" s="1293"/>
      <c r="BD368" s="2080"/>
      <c r="BE368" s="1328"/>
      <c r="BF368" s="1328"/>
      <c r="BG368" s="1328"/>
      <c r="BH368" s="1293"/>
      <c r="BI368" s="2080"/>
      <c r="BJ368" s="1328"/>
      <c r="BK368" s="1328"/>
      <c r="BL368" s="1328"/>
      <c r="BM368" s="1328"/>
      <c r="BN368" s="2080"/>
      <c r="BO368" s="1293"/>
      <c r="BP368" s="1293"/>
      <c r="BQ368" s="1328">
        <f>AK348</f>
        <v>3.5507352941176497E-3</v>
      </c>
      <c r="BR368" s="1328">
        <f>AL348</f>
        <v>-6.5933064516129042E-2</v>
      </c>
      <c r="BS368" s="1328">
        <f>AM348</f>
        <v>-2.6301857585139317E-2</v>
      </c>
      <c r="BT368" s="1328">
        <f>AN348</f>
        <v>1.7472446730345339E-3</v>
      </c>
      <c r="BU368" s="1328">
        <f>AP348</f>
        <v>2.3920232052211745E-2</v>
      </c>
      <c r="BV368" s="1328">
        <f>AQ348</f>
        <v>0.10733526011560693</v>
      </c>
      <c r="BW368" s="1328">
        <f>AR348</f>
        <v>7.935298346513299E-2</v>
      </c>
      <c r="BX368" s="1328">
        <f>AS348</f>
        <v>5.1594366197183099E-2</v>
      </c>
      <c r="BY368" s="1328">
        <f>AU348</f>
        <v>4.1955846210490748E-2</v>
      </c>
      <c r="BZ368" s="1328">
        <f>AV348</f>
        <v>4.210520106860019E-2</v>
      </c>
      <c r="CA368" s="1328">
        <f>AW348</f>
        <v>2.4939695336625146E-2</v>
      </c>
      <c r="CB368" s="1328">
        <f>AX348</f>
        <v>2.0638025577332152E-2</v>
      </c>
      <c r="CC368" s="1328">
        <f>AZ348</f>
        <v>2.1918076268488948E-2</v>
      </c>
      <c r="CD368" s="1328">
        <f>BA348</f>
        <v>1.9278258323137992E-2</v>
      </c>
      <c r="CE368" s="1328">
        <f>BB348</f>
        <v>1.6540431960959112E-2</v>
      </c>
      <c r="CF368" s="1328">
        <f>BC348</f>
        <v>4.2097152966228679E-2</v>
      </c>
      <c r="CG368" s="1328">
        <f>BE348</f>
        <v>4.4039505950540812E-2</v>
      </c>
      <c r="CH368" s="1293"/>
      <c r="CI368" s="1293"/>
      <c r="CJ368" s="1293"/>
      <c r="CK368" s="1293"/>
      <c r="CL368" s="1293"/>
      <c r="CM368" s="1293"/>
      <c r="CN368" s="1293"/>
      <c r="CO368" s="1293"/>
      <c r="CP368" s="1293"/>
      <c r="CQ368" s="1293"/>
      <c r="CR368" s="1293"/>
      <c r="CS368" s="1293"/>
      <c r="CT368" s="1293"/>
      <c r="CU368" s="1293"/>
      <c r="CV368" s="1293"/>
      <c r="CW368" s="1293"/>
      <c r="CX368" s="1293"/>
      <c r="CY368" s="2032"/>
      <c r="CZ368" s="1293"/>
      <c r="DA368" s="2100"/>
      <c r="DB368" s="2101"/>
      <c r="DC368" s="1293"/>
      <c r="DD368" s="1293"/>
      <c r="DE368" s="1293"/>
      <c r="DF368" s="1293"/>
      <c r="DG368" s="1293"/>
      <c r="DH368" s="1293"/>
      <c r="DI368" s="1293"/>
      <c r="DJ368" s="1293"/>
      <c r="DK368" s="1293"/>
      <c r="DL368" s="1293"/>
    </row>
    <row r="369" spans="1:116" ht="15.75" hidden="1" outlineLevel="1">
      <c r="A369" s="1293"/>
      <c r="B369" s="1293" t="str">
        <f t="shared" si="457"/>
        <v>Senegal</v>
      </c>
      <c r="C369" s="1293"/>
      <c r="D369" s="1293"/>
      <c r="E369" s="1293"/>
      <c r="F369" s="1293"/>
      <c r="G369" s="2080"/>
      <c r="H369" s="2127">
        <f t="shared" ca="1" si="458"/>
        <v>0.16001148079984007</v>
      </c>
      <c r="I369" s="2127">
        <f t="shared" ca="1" si="458"/>
        <v>0.22951368083485457</v>
      </c>
      <c r="J369" s="2127">
        <f t="shared" si="458"/>
        <v>0.16067451469584748</v>
      </c>
      <c r="K369" s="2127">
        <f t="shared" ca="1" si="458"/>
        <v>0.1534966134764475</v>
      </c>
      <c r="L369" s="2080"/>
      <c r="M369" s="2127">
        <f t="shared" ca="1" si="459"/>
        <v>0.14938736185381729</v>
      </c>
      <c r="N369" s="2127">
        <f t="shared" ca="1" si="459"/>
        <v>0.16937993256446604</v>
      </c>
      <c r="O369" s="2127">
        <f t="shared" si="459"/>
        <v>0.23473255468215859</v>
      </c>
      <c r="P369" s="2127">
        <f t="shared" ca="1" si="459"/>
        <v>0.20830961441145157</v>
      </c>
      <c r="Q369" s="2080"/>
      <c r="R369" s="2127"/>
      <c r="S369" s="2127"/>
      <c r="T369" s="2127"/>
      <c r="U369" s="2127"/>
      <c r="V369" s="2080"/>
      <c r="W369" s="2127"/>
      <c r="X369" s="2127"/>
      <c r="Y369" s="2127"/>
      <c r="Z369" s="2127"/>
      <c r="AA369" s="2080"/>
      <c r="AB369" s="1328"/>
      <c r="AC369" s="1328"/>
      <c r="AD369" s="1328"/>
      <c r="AE369" s="1328"/>
      <c r="AF369" s="1328"/>
      <c r="AG369" s="1328"/>
      <c r="AH369" s="1328"/>
      <c r="AI369" s="1328"/>
      <c r="AJ369" s="2080"/>
      <c r="AK369" s="1328"/>
      <c r="AL369" s="1328"/>
      <c r="AM369" s="1328"/>
      <c r="AN369" s="1328"/>
      <c r="AO369" s="2080"/>
      <c r="AP369" s="1328"/>
      <c r="AQ369" s="1328"/>
      <c r="AR369" s="1328"/>
      <c r="AS369" s="1328"/>
      <c r="AT369" s="2080"/>
      <c r="AU369" s="1328"/>
      <c r="AV369" s="1328"/>
      <c r="AW369" s="1328"/>
      <c r="AX369" s="1328"/>
      <c r="AY369" s="2080"/>
      <c r="AZ369" s="1328"/>
      <c r="BA369" s="1328"/>
      <c r="BB369" s="1328"/>
      <c r="BC369" s="1293"/>
      <c r="BD369" s="2080"/>
      <c r="BE369" s="1328"/>
      <c r="BF369" s="1328"/>
      <c r="BG369" s="1328"/>
      <c r="BH369" s="1293"/>
      <c r="BI369" s="2080"/>
      <c r="BJ369" s="1328"/>
      <c r="BK369" s="1328"/>
      <c r="BL369" s="1328"/>
      <c r="BM369" s="1328"/>
      <c r="BN369" s="2080"/>
      <c r="BO369" s="1293"/>
      <c r="BP369" s="1293"/>
      <c r="BQ369" s="1293"/>
      <c r="BR369" s="1293"/>
      <c r="BS369" s="1293"/>
      <c r="BT369" s="1293"/>
      <c r="BU369" s="1293"/>
      <c r="BV369" s="1293"/>
      <c r="BW369" s="1293"/>
      <c r="BX369" s="1293"/>
      <c r="BY369" s="1293"/>
      <c r="BZ369" s="1293"/>
      <c r="CA369" s="1293"/>
      <c r="CB369" s="1293"/>
      <c r="CC369" s="1293"/>
      <c r="CD369" s="1293"/>
      <c r="CE369" s="1293"/>
      <c r="CF369" s="1293"/>
      <c r="CG369" s="1293"/>
      <c r="CH369" s="1293"/>
      <c r="CI369" s="1293"/>
      <c r="CJ369" s="1293"/>
      <c r="CK369" s="1293"/>
      <c r="CL369" s="1293"/>
      <c r="CM369" s="1293"/>
      <c r="CN369" s="1293"/>
      <c r="CO369" s="1293"/>
      <c r="CP369" s="1293"/>
      <c r="CQ369" s="1293"/>
      <c r="CR369" s="1293"/>
      <c r="CS369" s="1293"/>
      <c r="CT369" s="1293"/>
      <c r="CU369" s="1293"/>
      <c r="CV369" s="1293"/>
      <c r="CW369" s="1293"/>
      <c r="CX369" s="1293"/>
      <c r="CY369" s="2032"/>
      <c r="CZ369" s="1293"/>
      <c r="DA369" s="2100"/>
      <c r="DB369" s="2101"/>
      <c r="DC369" s="1293"/>
      <c r="DD369" s="1293"/>
      <c r="DE369" s="1293"/>
      <c r="DF369" s="1293"/>
      <c r="DG369" s="1293"/>
      <c r="DH369" s="1293"/>
      <c r="DI369" s="1293"/>
      <c r="DJ369" s="1293"/>
      <c r="DK369" s="1293"/>
      <c r="DL369" s="1293"/>
    </row>
    <row r="370" spans="1:116" ht="15.75" hidden="1" outlineLevel="1">
      <c r="A370" s="1293"/>
      <c r="B370" s="1293" t="str">
        <f t="shared" si="457"/>
        <v>Tanzania</v>
      </c>
      <c r="C370" s="1293"/>
      <c r="D370" s="1293"/>
      <c r="E370" s="1293"/>
      <c r="F370" s="1293"/>
      <c r="G370" s="2080"/>
      <c r="H370" s="2127">
        <f t="shared" si="458"/>
        <v>0.17291136586063383</v>
      </c>
      <c r="I370" s="2127">
        <f t="shared" si="458"/>
        <v>0.1927110326360173</v>
      </c>
      <c r="J370" s="2127">
        <f t="shared" si="458"/>
        <v>0.12489254550688145</v>
      </c>
      <c r="K370" s="2127">
        <f t="shared" si="458"/>
        <v>0.13771557097930409</v>
      </c>
      <c r="L370" s="2080"/>
      <c r="M370" s="2127">
        <f t="shared" si="459"/>
        <v>0.13334213793462801</v>
      </c>
      <c r="N370" s="2127">
        <f t="shared" si="459"/>
        <v>9.8088922244958576E-2</v>
      </c>
      <c r="O370" s="2127">
        <f t="shared" si="459"/>
        <v>5.333039409249607E-2</v>
      </c>
      <c r="P370" s="2127">
        <f t="shared" si="459"/>
        <v>3.9834329995080742E-2</v>
      </c>
      <c r="Q370" s="2080"/>
      <c r="R370" s="2176">
        <v>0.01</v>
      </c>
      <c r="S370" s="2176">
        <v>0.02</v>
      </c>
      <c r="T370" s="2176">
        <v>0.02</v>
      </c>
      <c r="U370" s="2176">
        <v>-0.05</v>
      </c>
      <c r="V370" s="2080"/>
      <c r="W370" s="2176">
        <v>0.08</v>
      </c>
      <c r="X370" s="2176">
        <v>0.06</v>
      </c>
      <c r="Y370" s="2176">
        <v>0.06</v>
      </c>
      <c r="Z370" s="2176">
        <v>0.06</v>
      </c>
      <c r="AA370" s="2080"/>
      <c r="AB370" s="1328"/>
      <c r="AC370" s="1328"/>
      <c r="AD370" s="1328"/>
      <c r="AE370" s="1328"/>
      <c r="AF370" s="1328"/>
      <c r="AG370" s="1328"/>
      <c r="AH370" s="1328"/>
      <c r="AI370" s="1328"/>
      <c r="AJ370" s="2080"/>
      <c r="AK370" s="1328"/>
      <c r="AL370" s="1328"/>
      <c r="AM370" s="1328"/>
      <c r="AN370" s="1328"/>
      <c r="AO370" s="2089">
        <f>'New split'!J228</f>
        <v>6.4852106181729763E-2</v>
      </c>
      <c r="AP370" s="1328"/>
      <c r="AQ370" s="1328"/>
      <c r="AR370" s="1328"/>
      <c r="AS370" s="1328"/>
      <c r="AT370" s="2089"/>
      <c r="AU370" s="1328"/>
      <c r="AV370" s="1328"/>
      <c r="AW370" s="1328"/>
      <c r="AX370" s="1328"/>
      <c r="AY370" s="2089"/>
      <c r="AZ370" s="1328"/>
      <c r="BA370" s="1328"/>
      <c r="BB370" s="1328"/>
      <c r="BC370" s="1328"/>
      <c r="BD370" s="2089"/>
      <c r="BE370" s="1328"/>
      <c r="BF370" s="1328"/>
      <c r="BG370" s="1328"/>
      <c r="BH370" s="1328"/>
      <c r="BI370" s="2089"/>
      <c r="BJ370" s="1328"/>
      <c r="BK370" s="1328"/>
      <c r="BL370" s="1328"/>
      <c r="BM370" s="1328"/>
      <c r="BN370" s="2089"/>
      <c r="BO370" s="1328"/>
      <c r="BP370" s="1328"/>
      <c r="BQ370" s="1293"/>
      <c r="BR370" s="1293"/>
      <c r="BS370" s="1293"/>
      <c r="BT370" s="1293"/>
      <c r="BU370" s="1293"/>
      <c r="BV370" s="1293"/>
      <c r="BW370" s="1293"/>
      <c r="BX370" s="1293"/>
      <c r="BY370" s="1293"/>
      <c r="BZ370" s="1293"/>
      <c r="CA370" s="1293"/>
      <c r="CB370" s="1293"/>
      <c r="CC370" s="1293"/>
      <c r="CD370" s="1293"/>
      <c r="CE370" s="1293"/>
      <c r="CF370" s="1293"/>
      <c r="CG370" s="1293"/>
      <c r="CH370" s="1293"/>
      <c r="CI370" s="1293"/>
      <c r="CJ370" s="1293"/>
      <c r="CK370" s="1293"/>
      <c r="CL370" s="1293"/>
      <c r="CM370" s="1293"/>
      <c r="CN370" s="1293"/>
      <c r="CO370" s="1293"/>
      <c r="CP370" s="1293"/>
      <c r="CQ370" s="1293"/>
      <c r="CR370" s="1293"/>
      <c r="CS370" s="1293"/>
      <c r="CT370" s="1293"/>
      <c r="CU370" s="1293"/>
      <c r="CV370" s="1293"/>
      <c r="CW370" s="1293"/>
      <c r="CX370" s="1293"/>
      <c r="CY370" s="2101"/>
      <c r="CZ370" s="1328"/>
      <c r="DA370" s="2100"/>
      <c r="DB370" s="2101"/>
      <c r="DC370" s="1293"/>
      <c r="DD370" s="1293"/>
      <c r="DE370" s="1293"/>
      <c r="DF370" s="1293"/>
      <c r="DG370" s="1293"/>
      <c r="DH370" s="1293"/>
      <c r="DI370" s="1293"/>
      <c r="DJ370" s="1293"/>
      <c r="DK370" s="1293"/>
      <c r="DL370" s="1293"/>
    </row>
    <row r="371" spans="1:116" ht="15.75" hidden="1" outlineLevel="1">
      <c r="A371" s="1293"/>
      <c r="B371" s="1331" t="str">
        <f t="shared" si="457"/>
        <v>Zantel</v>
      </c>
      <c r="C371" s="1331"/>
      <c r="D371" s="1331"/>
      <c r="E371" s="1331"/>
      <c r="F371" s="1331"/>
      <c r="G371" s="2177"/>
      <c r="H371" s="1337"/>
      <c r="I371" s="1337"/>
      <c r="J371" s="1337"/>
      <c r="K371" s="1337"/>
      <c r="L371" s="2177"/>
      <c r="M371" s="1337"/>
      <c r="N371" s="1337"/>
      <c r="O371" s="1337"/>
      <c r="P371" s="1337"/>
      <c r="Q371" s="2177"/>
      <c r="R371" s="1337">
        <f ca="1">R322/M322-1</f>
        <v>-0.2122068634214892</v>
      </c>
      <c r="S371" s="1337">
        <f ca="1">S322/N322-1</f>
        <v>-0.97582747434630313</v>
      </c>
      <c r="T371" s="1337"/>
      <c r="U371" s="1337"/>
      <c r="V371" s="2177"/>
      <c r="W371" s="1337"/>
      <c r="X371" s="1337"/>
      <c r="Y371" s="1337"/>
      <c r="Z371" s="1337"/>
      <c r="AA371" s="2177"/>
      <c r="AB371" s="1337"/>
      <c r="AC371" s="1337"/>
      <c r="AD371" s="1337"/>
      <c r="AE371" s="1337"/>
      <c r="AF371" s="1337"/>
      <c r="AG371" s="1337"/>
      <c r="AH371" s="1337"/>
      <c r="AI371" s="1337"/>
      <c r="AJ371" s="2177"/>
      <c r="AK371" s="1337"/>
      <c r="AL371" s="1337"/>
      <c r="AM371" s="1337"/>
      <c r="AN371" s="1337"/>
      <c r="AO371" s="2177"/>
      <c r="AP371" s="1337"/>
      <c r="AQ371" s="1337"/>
      <c r="AR371" s="1337"/>
      <c r="AS371" s="1337"/>
      <c r="AT371" s="2177"/>
      <c r="AU371" s="1337"/>
      <c r="AV371" s="1337"/>
      <c r="AW371" s="1337"/>
      <c r="AX371" s="1337"/>
      <c r="AY371" s="2177"/>
      <c r="AZ371" s="1337"/>
      <c r="BA371" s="1337"/>
      <c r="BB371" s="1337"/>
      <c r="BC371" s="1331"/>
      <c r="BD371" s="2177"/>
      <c r="BE371" s="1337"/>
      <c r="BF371" s="1337"/>
      <c r="BG371" s="1337"/>
      <c r="BH371" s="1331"/>
      <c r="BI371" s="2177"/>
      <c r="BJ371" s="1337"/>
      <c r="BK371" s="2488"/>
      <c r="BL371" s="2488"/>
      <c r="BM371" s="2488"/>
      <c r="BN371" s="2177"/>
      <c r="BO371" s="1293"/>
      <c r="BP371" s="1293"/>
      <c r="BQ371" s="1293"/>
      <c r="BR371" s="1293"/>
      <c r="BS371" s="1293"/>
      <c r="BT371" s="1293"/>
      <c r="BU371" s="1293"/>
      <c r="BV371" s="1293"/>
      <c r="BW371" s="1293"/>
      <c r="BX371" s="1293"/>
      <c r="BY371" s="1293"/>
      <c r="BZ371" s="1293"/>
      <c r="CA371" s="1293"/>
      <c r="CB371" s="1293"/>
      <c r="CC371" s="1293"/>
      <c r="CD371" s="1293"/>
      <c r="CE371" s="1293"/>
      <c r="CF371" s="1293"/>
      <c r="CG371" s="1293"/>
      <c r="CH371" s="1293"/>
      <c r="CI371" s="1293"/>
      <c r="CJ371" s="1293"/>
      <c r="CK371" s="1293"/>
      <c r="CL371" s="1293"/>
      <c r="CM371" s="1293"/>
      <c r="CN371" s="1293"/>
      <c r="CO371" s="1293"/>
      <c r="CP371" s="1293"/>
      <c r="CQ371" s="1293"/>
      <c r="CR371" s="1293"/>
      <c r="CS371" s="1293"/>
      <c r="CT371" s="1293"/>
      <c r="CU371" s="1293"/>
      <c r="CV371" s="1293"/>
      <c r="CW371" s="1293"/>
      <c r="CX371" s="1293"/>
      <c r="CY371" s="2178"/>
      <c r="CZ371" s="1331"/>
      <c r="DA371" s="2145"/>
      <c r="DB371" s="2146"/>
      <c r="DC371" s="1293"/>
      <c r="DD371" s="1293"/>
      <c r="DE371" s="1293"/>
      <c r="DF371" s="1293"/>
      <c r="DG371" s="1293"/>
      <c r="DH371" s="1293"/>
      <c r="DI371" s="1293"/>
      <c r="DJ371" s="1293"/>
      <c r="DK371" s="1293"/>
      <c r="DL371" s="1293"/>
    </row>
    <row r="372" spans="1:116" ht="15.75" hidden="1" outlineLevel="1">
      <c r="A372" s="1293"/>
      <c r="B372" s="1293" t="s">
        <v>4509</v>
      </c>
      <c r="C372" s="1328">
        <v>0.108</v>
      </c>
      <c r="D372" s="1328">
        <v>0.13900000000000001</v>
      </c>
      <c r="E372" s="1328">
        <v>0.123</v>
      </c>
      <c r="F372" s="1328">
        <v>0.127</v>
      </c>
      <c r="G372" s="2089">
        <v>0.124</v>
      </c>
      <c r="H372" s="1328">
        <v>0.158</v>
      </c>
      <c r="I372" s="1328">
        <v>0.153</v>
      </c>
      <c r="J372" s="1328">
        <v>0.113</v>
      </c>
      <c r="K372" s="1328">
        <v>0.13500000000000001</v>
      </c>
      <c r="L372" s="2089">
        <v>0.14799999999999999</v>
      </c>
      <c r="M372" s="1328">
        <v>0.1214961284621742</v>
      </c>
      <c r="N372" s="1328">
        <v>9.7952360050249807E-2</v>
      </c>
      <c r="O372" s="1328">
        <v>0.112</v>
      </c>
      <c r="P372" s="1328">
        <v>9.0999999999999998E-2</v>
      </c>
      <c r="Q372" s="2089"/>
      <c r="R372" s="1328">
        <v>-3.5999999999999997E-2</v>
      </c>
      <c r="S372" s="1328">
        <v>-6.2E-2</v>
      </c>
      <c r="T372" s="1328">
        <v>-3.2324491418243187E-2</v>
      </c>
      <c r="U372" s="1328">
        <v>-6.3E-2</v>
      </c>
      <c r="V372" s="2089"/>
      <c r="W372" s="1328">
        <v>1.6792046044407143E-2</v>
      </c>
      <c r="X372" s="1328">
        <v>3.1358501189027624E-2</v>
      </c>
      <c r="Y372" s="1328">
        <v>-1.7673043326528047E-3</v>
      </c>
      <c r="Z372" s="1328">
        <v>-0.01</v>
      </c>
      <c r="AA372" s="2089"/>
      <c r="AB372" s="1328"/>
      <c r="AC372" s="1328"/>
      <c r="AD372" s="1328"/>
      <c r="AE372" s="1328"/>
      <c r="AF372" s="1328"/>
      <c r="AG372" s="1328"/>
      <c r="AH372" s="1328"/>
      <c r="AI372" s="1328"/>
      <c r="AJ372" s="2089"/>
      <c r="AK372" s="1328"/>
      <c r="AL372" s="1328"/>
      <c r="AM372" s="1328"/>
      <c r="AN372" s="1328"/>
      <c r="AO372" s="2089"/>
      <c r="AP372" s="1328"/>
      <c r="AQ372" s="1328"/>
      <c r="AR372" s="1328"/>
      <c r="AS372" s="1328"/>
      <c r="AT372" s="2089"/>
      <c r="AU372" s="1328"/>
      <c r="AV372" s="1328"/>
      <c r="AW372" s="1328"/>
      <c r="AX372" s="1328"/>
      <c r="AY372" s="2089"/>
      <c r="AZ372" s="1328"/>
      <c r="BA372" s="1328"/>
      <c r="BB372" s="1328"/>
      <c r="BC372" s="1328"/>
      <c r="BD372" s="2089"/>
      <c r="BE372" s="1328"/>
      <c r="BF372" s="1328"/>
      <c r="BG372" s="1328"/>
      <c r="BH372" s="1328"/>
      <c r="BI372" s="2089"/>
      <c r="BJ372" s="1328"/>
      <c r="BK372" s="1328"/>
      <c r="BL372" s="1328"/>
      <c r="BM372" s="1328"/>
      <c r="BN372" s="2089"/>
      <c r="BO372" s="1328"/>
      <c r="BP372" s="1328"/>
      <c r="BQ372" s="1293"/>
      <c r="BR372" s="1293"/>
      <c r="BS372" s="1293"/>
      <c r="BT372" s="1293"/>
      <c r="BU372" s="1293"/>
      <c r="BV372" s="1293"/>
      <c r="BW372" s="1293"/>
      <c r="BX372" s="1293"/>
      <c r="BY372" s="1293"/>
      <c r="BZ372" s="1293"/>
      <c r="CA372" s="1293"/>
      <c r="CB372" s="1293"/>
      <c r="CC372" s="1293"/>
      <c r="CD372" s="1293"/>
      <c r="CE372" s="1293"/>
      <c r="CF372" s="1293"/>
      <c r="CG372" s="1293"/>
      <c r="CH372" s="1293"/>
      <c r="CI372" s="1293"/>
      <c r="CJ372" s="1293"/>
      <c r="CK372" s="1293"/>
      <c r="CL372" s="1293"/>
      <c r="CM372" s="1293"/>
      <c r="CN372" s="1293"/>
      <c r="CO372" s="1293"/>
      <c r="CP372" s="1293"/>
      <c r="CQ372" s="1293"/>
      <c r="CR372" s="1293"/>
      <c r="CS372" s="1293"/>
      <c r="CT372" s="1293"/>
      <c r="CU372" s="1293"/>
      <c r="CV372" s="1293"/>
      <c r="CW372" s="1293"/>
      <c r="CX372" s="1293"/>
      <c r="CY372" s="2101"/>
      <c r="CZ372" s="1328"/>
      <c r="DA372" s="2100"/>
      <c r="DB372" s="2101"/>
      <c r="DC372" s="1293"/>
      <c r="DD372" s="1293"/>
      <c r="DE372" s="1293"/>
      <c r="DF372" s="1293"/>
      <c r="DG372" s="1293"/>
      <c r="DH372" s="1293"/>
      <c r="DI372" s="1293"/>
      <c r="DJ372" s="1293"/>
      <c r="DK372" s="1293"/>
      <c r="DL372" s="1293"/>
    </row>
    <row r="373" spans="1:116" ht="15.75" hidden="1" outlineLevel="1">
      <c r="A373" s="1293"/>
      <c r="B373" s="1293" t="s">
        <v>4507</v>
      </c>
      <c r="C373" s="1328"/>
      <c r="D373" s="1328"/>
      <c r="E373" s="1328"/>
      <c r="F373" s="1328"/>
      <c r="G373" s="2089"/>
      <c r="H373" s="1328">
        <f ca="1">(H399-H398)/(C68+C67)-1</f>
        <v>0.18388094865280968</v>
      </c>
      <c r="I373" s="1328">
        <f ca="1">(I399-I398)/(D68+D67)-1</f>
        <v>0.160006226953745</v>
      </c>
      <c r="J373" s="1328">
        <f>(J399-J398)/(E68+E67)-1</f>
        <v>9.4568594519360616E-2</v>
      </c>
      <c r="K373" s="1328">
        <f ca="1">(K399-K398)/(F68+F67)-1</f>
        <v>0.13458675418126886</v>
      </c>
      <c r="L373" s="2089"/>
      <c r="M373" s="1328">
        <f ca="1">(M399-M398)/(H68+H67-H61)-1</f>
        <v>0.13588486808224798</v>
      </c>
      <c r="N373" s="1328">
        <f ca="1">(N399-N398)/(I68+I67-I61)-1</f>
        <v>0.11927016799081747</v>
      </c>
      <c r="O373" s="1328">
        <f>(O399-O398)/(J68+J67-J61)-1</f>
        <v>0.10542843286096781</v>
      </c>
      <c r="P373" s="1328">
        <f ca="1">(P399-P398)/(K68+K67-K61)-1</f>
        <v>5.3505768406163057E-2</v>
      </c>
      <c r="Q373" s="2089"/>
      <c r="R373" s="1328">
        <f ca="1">(R399)/(M68+M67-M61-M64)-1</f>
        <v>-2.0780224152776694E-2</v>
      </c>
      <c r="S373" s="1328">
        <f ca="1">(S399)/(N68+N67-N61-N64)-1</f>
        <v>-6.6011230760782524E-2</v>
      </c>
      <c r="T373" s="1328"/>
      <c r="U373" s="1328"/>
      <c r="V373" s="2089"/>
      <c r="W373" s="1328"/>
      <c r="X373" s="1328"/>
      <c r="Y373" s="1328"/>
      <c r="Z373" s="1328"/>
      <c r="AA373" s="2089"/>
      <c r="AB373" s="1328"/>
      <c r="AC373" s="1328"/>
      <c r="AD373" s="1328"/>
      <c r="AE373" s="1328"/>
      <c r="AF373" s="1328"/>
      <c r="AG373" s="1328"/>
      <c r="AH373" s="1328"/>
      <c r="AI373" s="1328"/>
      <c r="AJ373" s="2089"/>
      <c r="AK373" s="1328"/>
      <c r="AL373" s="1328"/>
      <c r="AM373" s="1328"/>
      <c r="AN373" s="1328"/>
      <c r="AO373" s="2089"/>
      <c r="AP373" s="1328"/>
      <c r="AQ373" s="1328"/>
      <c r="AR373" s="1328"/>
      <c r="AS373" s="1328"/>
      <c r="AT373" s="2089"/>
      <c r="AU373" s="1328"/>
      <c r="AV373" s="1328"/>
      <c r="AW373" s="1328"/>
      <c r="AX373" s="1328"/>
      <c r="AY373" s="2089"/>
      <c r="AZ373" s="1328"/>
      <c r="BA373" s="1328"/>
      <c r="BB373" s="1328"/>
      <c r="BC373" s="1328"/>
      <c r="BD373" s="2089"/>
      <c r="BE373" s="1328"/>
      <c r="BF373" s="1328"/>
      <c r="BG373" s="1328"/>
      <c r="BH373" s="1328"/>
      <c r="BI373" s="2089"/>
      <c r="BJ373" s="1328"/>
      <c r="BK373" s="1328"/>
      <c r="BL373" s="1328"/>
      <c r="BM373" s="1328"/>
      <c r="BN373" s="2089"/>
      <c r="BO373" s="1328"/>
      <c r="BP373" s="1328"/>
      <c r="BQ373" s="1293"/>
      <c r="BR373" s="1293"/>
      <c r="BS373" s="1293"/>
      <c r="BT373" s="1293"/>
      <c r="BU373" s="1293"/>
      <c r="BV373" s="1293"/>
      <c r="BW373" s="1293"/>
      <c r="BX373" s="1293"/>
      <c r="BY373" s="1293"/>
      <c r="BZ373" s="1293"/>
      <c r="CA373" s="1293"/>
      <c r="CB373" s="1293"/>
      <c r="CC373" s="1293"/>
      <c r="CD373" s="1293"/>
      <c r="CE373" s="1293"/>
      <c r="CF373" s="1293"/>
      <c r="CG373" s="1293"/>
      <c r="CH373" s="1293"/>
      <c r="CI373" s="1293"/>
      <c r="CJ373" s="1293"/>
      <c r="CK373" s="1293"/>
      <c r="CL373" s="1293"/>
      <c r="CM373" s="1293"/>
      <c r="CN373" s="1293"/>
      <c r="CO373" s="1293"/>
      <c r="CP373" s="1293"/>
      <c r="CQ373" s="1293"/>
      <c r="CR373" s="1293"/>
      <c r="CS373" s="1293"/>
      <c r="CT373" s="1293"/>
      <c r="CU373" s="1293"/>
      <c r="CV373" s="1293"/>
      <c r="CW373" s="1293"/>
      <c r="CX373" s="1293"/>
      <c r="CY373" s="2101"/>
      <c r="CZ373" s="1328"/>
      <c r="DA373" s="2100"/>
      <c r="DB373" s="2101"/>
      <c r="DC373" s="1293"/>
      <c r="DD373" s="1293"/>
      <c r="DE373" s="1293"/>
      <c r="DF373" s="1293"/>
      <c r="DG373" s="1293"/>
      <c r="DH373" s="1293"/>
      <c r="DI373" s="1293"/>
      <c r="DJ373" s="1293"/>
      <c r="DK373" s="1293"/>
      <c r="DL373" s="1293"/>
    </row>
    <row r="374" spans="1:116" ht="16.5" hidden="1" outlineLevel="1" thickBot="1">
      <c r="A374" s="1293"/>
      <c r="B374" s="1293"/>
      <c r="C374" s="1293"/>
      <c r="D374" s="1293"/>
      <c r="E374" s="1293"/>
      <c r="F374" s="1293"/>
      <c r="G374" s="2080"/>
      <c r="H374" s="1293"/>
      <c r="I374" s="1293"/>
      <c r="J374" s="1293"/>
      <c r="K374" s="1293"/>
      <c r="L374" s="2080"/>
      <c r="M374" s="1293"/>
      <c r="N374" s="1293"/>
      <c r="O374" s="1293"/>
      <c r="P374" s="1293"/>
      <c r="Q374" s="2080"/>
      <c r="R374" s="1293"/>
      <c r="S374" s="1293"/>
      <c r="T374" s="1293"/>
      <c r="U374" s="1293"/>
      <c r="V374" s="2080"/>
      <c r="W374" s="1293"/>
      <c r="X374" s="1293"/>
      <c r="Y374" s="1328"/>
      <c r="Z374" s="1328"/>
      <c r="AA374" s="2080"/>
      <c r="AB374" s="1293"/>
      <c r="AC374" s="1293"/>
      <c r="AD374" s="1293"/>
      <c r="AE374" s="1293"/>
      <c r="AF374" s="1293"/>
      <c r="AG374" s="1293"/>
      <c r="AH374" s="1293"/>
      <c r="AI374" s="1293"/>
      <c r="AJ374" s="2080"/>
      <c r="AK374" s="1293"/>
      <c r="AL374" s="1293"/>
      <c r="AM374" s="1328"/>
      <c r="AN374" s="1328"/>
      <c r="AO374" s="2080"/>
      <c r="AP374" s="1328"/>
      <c r="AQ374" s="1328"/>
      <c r="AR374" s="1328"/>
      <c r="AS374" s="1328"/>
      <c r="AT374" s="2080"/>
      <c r="AU374" s="1328"/>
      <c r="AV374" s="1328"/>
      <c r="AW374" s="1328"/>
      <c r="AX374" s="1328"/>
      <c r="AY374" s="2080"/>
      <c r="AZ374" s="1328"/>
      <c r="BA374" s="1328"/>
      <c r="BB374" s="1328"/>
      <c r="BC374" s="1293"/>
      <c r="BD374" s="2080"/>
      <c r="BE374" s="1328"/>
      <c r="BF374" s="1328"/>
      <c r="BG374" s="1328"/>
      <c r="BH374" s="1293"/>
      <c r="BI374" s="2080"/>
      <c r="BJ374" s="1328"/>
      <c r="BK374" s="1328"/>
      <c r="BL374" s="1328"/>
      <c r="BM374" s="1328"/>
      <c r="BN374" s="2080"/>
      <c r="BO374" s="1293"/>
      <c r="BP374" s="1293"/>
      <c r="BQ374" s="1293"/>
      <c r="BR374" s="1293"/>
      <c r="BS374" s="1293"/>
      <c r="BT374" s="1293"/>
      <c r="BU374" s="1293"/>
      <c r="BV374" s="1293"/>
      <c r="BW374" s="1293"/>
      <c r="BX374" s="1293"/>
      <c r="BY374" s="1293"/>
      <c r="BZ374" s="1293"/>
      <c r="CA374" s="1293"/>
      <c r="CB374" s="1293"/>
      <c r="CC374" s="1293"/>
      <c r="CD374" s="1293"/>
      <c r="CE374" s="1293"/>
      <c r="CF374" s="1293"/>
      <c r="CG374" s="1293"/>
      <c r="CH374" s="1293"/>
      <c r="CI374" s="1293"/>
      <c r="CJ374" s="1293"/>
      <c r="CK374" s="1293"/>
      <c r="CL374" s="1293"/>
      <c r="CM374" s="1293"/>
      <c r="CN374" s="1293"/>
      <c r="CO374" s="1293"/>
      <c r="CP374" s="1293"/>
      <c r="CQ374" s="1293"/>
      <c r="CR374" s="1293"/>
      <c r="CS374" s="1293"/>
      <c r="CT374" s="1293"/>
      <c r="CU374" s="1293"/>
      <c r="CV374" s="1293"/>
      <c r="CW374" s="1293"/>
      <c r="CX374" s="1293"/>
      <c r="CY374" s="2032"/>
      <c r="CZ374" s="1293"/>
      <c r="DA374" s="2100"/>
      <c r="DB374" s="2101"/>
      <c r="DC374" s="1293"/>
      <c r="DD374" s="1293"/>
      <c r="DE374" s="1293"/>
      <c r="DF374" s="1293"/>
      <c r="DG374" s="1293"/>
      <c r="DH374" s="1293"/>
      <c r="DI374" s="1293"/>
      <c r="DJ374" s="1293"/>
      <c r="DK374" s="1293"/>
      <c r="DL374" s="1293"/>
    </row>
    <row r="375" spans="1:116" ht="16.5" collapsed="1" thickBot="1">
      <c r="A375" s="1293"/>
      <c r="B375" s="1334" t="s">
        <v>4865</v>
      </c>
      <c r="C375" s="1334"/>
      <c r="D375" s="1334"/>
      <c r="E375" s="1334"/>
      <c r="F375" s="1334"/>
      <c r="G375" s="2179"/>
      <c r="H375" s="1335">
        <v>3.4000000000000002E-2</v>
      </c>
      <c r="I375" s="1335">
        <v>3.6999999999999998E-2</v>
      </c>
      <c r="J375" s="1335">
        <v>4.4999999999999998E-2</v>
      </c>
      <c r="K375" s="1335">
        <v>4.8000000000000001E-2</v>
      </c>
      <c r="L375" s="2148"/>
      <c r="M375" s="1335">
        <v>2.8639250000000002E-2</v>
      </c>
      <c r="N375" s="1335">
        <v>9.4428868087405426E-3</v>
      </c>
      <c r="O375" s="1335">
        <v>-2.0019396673369137E-2</v>
      </c>
      <c r="P375" s="1335">
        <v>-2.3174314371822689E-2</v>
      </c>
      <c r="Q375" s="2148"/>
      <c r="R375" s="1335">
        <v>-1.2958094728063385E-2</v>
      </c>
      <c r="S375" s="1335">
        <v>-5.4741310601249538E-3</v>
      </c>
      <c r="T375" s="1335">
        <v>2.3193429069260873E-2</v>
      </c>
      <c r="U375" s="1335">
        <v>3.1E-2</v>
      </c>
      <c r="V375" s="2179"/>
      <c r="W375" s="1335">
        <v>3.9E-2</v>
      </c>
      <c r="X375" s="1335">
        <v>5.5E-2</v>
      </c>
      <c r="Y375" s="1335">
        <v>4.7E-2</v>
      </c>
      <c r="Z375" s="1335">
        <v>3.6999999999999998E-2</v>
      </c>
      <c r="AA375" s="2174">
        <f>AVERAGE(W375:Z375)</f>
        <v>4.4500000000000005E-2</v>
      </c>
      <c r="AB375" s="1335">
        <f>AC375</f>
        <v>3.6999999999999998E-2</v>
      </c>
      <c r="AC375" s="1335">
        <v>3.6999999999999998E-2</v>
      </c>
      <c r="AD375" s="1335">
        <f>AE375</f>
        <v>0.02</v>
      </c>
      <c r="AE375" s="1335">
        <v>0.02</v>
      </c>
      <c r="AF375" s="1335">
        <f>AG375</f>
        <v>0.01</v>
      </c>
      <c r="AG375" s="1335">
        <v>0.01</v>
      </c>
      <c r="AH375" s="1335">
        <f>AI375</f>
        <v>2.3E-2</v>
      </c>
      <c r="AI375" s="1335">
        <v>2.3E-2</v>
      </c>
      <c r="AJ375" s="2174">
        <f>AVERAGE(AB375,AD375,AF375,AH375)</f>
        <v>2.2499999999999999E-2</v>
      </c>
      <c r="AK375" s="1335">
        <v>2E-3</v>
      </c>
      <c r="AL375" s="1335">
        <v>-6.8000000000000005E-2</v>
      </c>
      <c r="AM375" s="1335">
        <v>-3.1E-2</v>
      </c>
      <c r="AN375" s="1335">
        <v>-4.0000000000000001E-3</v>
      </c>
      <c r="AO375" s="2174">
        <f>AO348</f>
        <v>-2.1734235533529041E-2</v>
      </c>
      <c r="AP375" s="1335">
        <v>2.1999999999999999E-2</v>
      </c>
      <c r="AQ375" s="1335">
        <v>0.109</v>
      </c>
      <c r="AR375" s="1335">
        <v>8.5000000000000006E-2</v>
      </c>
      <c r="AS375" s="1335">
        <v>5.7000000000000002E-2</v>
      </c>
      <c r="AT375" s="2174">
        <f>AT348</f>
        <v>6.555071045753369E-2</v>
      </c>
      <c r="AU375" s="1335">
        <v>4.5999999999999999E-2</v>
      </c>
      <c r="AV375" s="1335">
        <v>4.4999999999999998E-2</v>
      </c>
      <c r="AW375" s="1335">
        <v>2.7E-2</v>
      </c>
      <c r="AX375" s="1335">
        <v>2.3E-2</v>
      </c>
      <c r="AY375" s="2148"/>
      <c r="AZ375" s="1335">
        <v>2.1999999999999999E-2</v>
      </c>
      <c r="BA375" s="1335">
        <v>1.9E-2</v>
      </c>
      <c r="BB375" s="1335">
        <v>1.7999999999999999E-2</v>
      </c>
      <c r="BC375" s="1335">
        <v>3.2000000000000001E-2</v>
      </c>
      <c r="BD375" s="2148"/>
      <c r="BE375" s="2180">
        <v>3.7999999999999999E-2</v>
      </c>
      <c r="BF375" s="2180">
        <v>2.1000000000000001E-2</v>
      </c>
      <c r="BG375" s="2180">
        <v>2.4E-2</v>
      </c>
      <c r="BH375" s="2180">
        <v>-6.0000000000000001E-3</v>
      </c>
      <c r="BI375" s="2148"/>
      <c r="BJ375" s="2180"/>
      <c r="BK375" s="2180"/>
      <c r="BL375" s="2180"/>
      <c r="BM375" s="2180"/>
      <c r="BN375" s="2148"/>
      <c r="BO375" s="1335"/>
      <c r="BP375" s="1335"/>
      <c r="BQ375" s="1293"/>
      <c r="BR375" s="1293"/>
      <c r="BS375" s="1293"/>
      <c r="BT375" s="1293"/>
      <c r="BU375" s="1293"/>
      <c r="BV375" s="1293"/>
      <c r="BW375" s="1293"/>
      <c r="BX375" s="1293"/>
      <c r="BY375" s="1293"/>
      <c r="BZ375" s="1293"/>
      <c r="CA375" s="1293"/>
      <c r="CB375" s="1293"/>
      <c r="CC375" s="1293"/>
      <c r="CD375" s="1293"/>
      <c r="CE375" s="1293"/>
      <c r="CF375" s="1293"/>
      <c r="CG375" s="1293"/>
      <c r="CH375" s="1293"/>
      <c r="CI375" s="1293"/>
      <c r="CJ375" s="1293"/>
      <c r="CK375" s="1293"/>
      <c r="CL375" s="1293"/>
      <c r="CM375" s="1293"/>
      <c r="CN375" s="1293"/>
      <c r="CO375" s="1293"/>
      <c r="CP375" s="1293"/>
      <c r="CQ375" s="1293"/>
      <c r="CR375" s="1293"/>
      <c r="CS375" s="1293"/>
      <c r="CT375" s="1293"/>
      <c r="CU375" s="1293"/>
      <c r="CV375" s="1293"/>
      <c r="CW375" s="1293"/>
      <c r="CX375" s="1293"/>
      <c r="CY375" s="2090"/>
      <c r="CZ375" s="1335"/>
      <c r="DA375" s="2100"/>
      <c r="DB375" s="2101"/>
      <c r="DC375" s="1293"/>
      <c r="DD375" s="1293"/>
      <c r="DE375" s="1293"/>
      <c r="DF375" s="1293"/>
      <c r="DG375" s="1293"/>
      <c r="DH375" s="1293"/>
      <c r="DI375" s="1293"/>
      <c r="DJ375" s="1293"/>
      <c r="DK375" s="1293"/>
      <c r="DL375" s="1293"/>
    </row>
    <row r="376" spans="1:116" ht="15.75">
      <c r="A376" s="1293"/>
      <c r="B376" s="2130" t="s">
        <v>4864</v>
      </c>
      <c r="C376" s="1363"/>
      <c r="D376" s="1363"/>
      <c r="E376" s="1363"/>
      <c r="F376" s="1363"/>
      <c r="G376" s="2181"/>
      <c r="H376" s="1363"/>
      <c r="I376" s="1363"/>
      <c r="J376" s="1363"/>
      <c r="K376" s="1363"/>
      <c r="L376" s="2133"/>
      <c r="M376" s="1363"/>
      <c r="N376" s="1363"/>
      <c r="O376" s="1363"/>
      <c r="P376" s="1363"/>
      <c r="Q376" s="2133"/>
      <c r="R376" s="2132">
        <f>SUM(R383:R390)/(M49+M55)-1</f>
        <v>-7.8217786014763702E-3</v>
      </c>
      <c r="S376" s="2132">
        <f>SUM(S383:S390)/(N49+N55)-1</f>
        <v>-8.0977634452304992E-3</v>
      </c>
      <c r="T376" s="2132">
        <f>SUM(T383:T390)/(O49+O55)-1</f>
        <v>2.5333195736700009E-2</v>
      </c>
      <c r="U376" s="2132">
        <f>SUM(U383:U390)/(P49+P55)-1</f>
        <v>3.2028331024764212E-2</v>
      </c>
      <c r="V376" s="2181"/>
      <c r="W376" s="2132">
        <f>(SUM(W383:W390)+29)/(R49+R55)-1</f>
        <v>2.2172271221710949E-2</v>
      </c>
      <c r="X376" s="2132">
        <f>(SUM(X383:X390)+29)/(S49+S55)-1</f>
        <v>3.9580198875336592E-2</v>
      </c>
      <c r="Y376" s="2132">
        <f>(SUM(Y383:Y390)+29)/(T49+T55)-1</f>
        <v>2.9290503568037973E-2</v>
      </c>
      <c r="Z376" s="2132">
        <f>(SUM(Z383:Z390)+29)/(U49+U55)-1</f>
        <v>1.5701587916663096E-2</v>
      </c>
      <c r="AA376" s="2182"/>
      <c r="AB376" s="2132"/>
      <c r="AC376" s="2132">
        <f>(SUM(AC383:AC390)+29)/(W49+W55)-1</f>
        <v>5.6650211852119492E-2</v>
      </c>
      <c r="AD376" s="2132"/>
      <c r="AE376" s="2132">
        <f>(SUM(AE383:AE390)+29)/(Y49+Y55)-1</f>
        <v>2.830018108507093E-2</v>
      </c>
      <c r="AF376" s="2132"/>
      <c r="AG376" s="2132">
        <f>(SUM(AG383:AG390)+29)/(AA49+AA55)-1</f>
        <v>-0.73780497991736604</v>
      </c>
      <c r="AH376" s="2132"/>
      <c r="AI376" s="2132"/>
      <c r="AJ376" s="2183"/>
      <c r="AK376" s="2132"/>
      <c r="AL376" s="2132"/>
      <c r="AM376" s="2132"/>
      <c r="AN376" s="2132"/>
      <c r="AO376" s="2183"/>
      <c r="AP376" s="2132"/>
      <c r="AQ376" s="2132"/>
      <c r="AR376" s="2132"/>
      <c r="AS376" s="2132"/>
      <c r="AT376" s="2181"/>
      <c r="AU376" s="2132"/>
      <c r="AV376" s="2132"/>
      <c r="AW376" s="2132"/>
      <c r="AX376" s="2132"/>
      <c r="AY376" s="2181"/>
      <c r="AZ376" s="2132"/>
      <c r="BA376" s="2132"/>
      <c r="BB376" s="2132"/>
      <c r="BC376" s="1363"/>
      <c r="BD376" s="2181"/>
      <c r="BE376" s="2132"/>
      <c r="BF376" s="2132"/>
      <c r="BG376" s="2132"/>
      <c r="BH376" s="1363"/>
      <c r="BI376" s="2181"/>
      <c r="BJ376" s="2132"/>
      <c r="BK376" s="2132"/>
      <c r="BL376" s="2132"/>
      <c r="BM376" s="2132"/>
      <c r="BN376" s="2181"/>
      <c r="BO376" s="1334"/>
      <c r="BP376" s="1334"/>
      <c r="BQ376" s="1293"/>
      <c r="BR376" s="1293"/>
      <c r="BS376" s="1293"/>
      <c r="BT376" s="1293"/>
      <c r="BU376" s="1293"/>
      <c r="BV376" s="1293"/>
      <c r="BW376" s="1293"/>
      <c r="BX376" s="1293"/>
      <c r="BY376" s="1293"/>
      <c r="BZ376" s="1293"/>
      <c r="CA376" s="1293"/>
      <c r="CB376" s="1293"/>
      <c r="CC376" s="1293"/>
      <c r="CD376" s="1293"/>
      <c r="CE376" s="1293"/>
      <c r="CF376" s="1293"/>
      <c r="CG376" s="1293"/>
      <c r="CH376" s="1293"/>
      <c r="CI376" s="1293"/>
      <c r="CJ376" s="1293"/>
      <c r="CK376" s="1293"/>
      <c r="CL376" s="1293"/>
      <c r="CM376" s="1293"/>
      <c r="CN376" s="1293"/>
      <c r="CO376" s="1293"/>
      <c r="CP376" s="1293"/>
      <c r="CQ376" s="1293"/>
      <c r="CR376" s="1293"/>
      <c r="CS376" s="1293"/>
      <c r="CT376" s="1293"/>
      <c r="CU376" s="1293"/>
      <c r="CV376" s="1293"/>
      <c r="CW376" s="1293"/>
      <c r="CX376" s="1293"/>
      <c r="CY376" s="2184"/>
      <c r="CZ376" s="1363"/>
      <c r="DA376" s="2136"/>
      <c r="DB376" s="2135"/>
      <c r="DC376" s="1293"/>
      <c r="DD376" s="1293"/>
      <c r="DE376" s="1293"/>
      <c r="DF376" s="1293"/>
      <c r="DG376" s="1293"/>
      <c r="DH376" s="1293"/>
      <c r="DI376" s="1293"/>
      <c r="DJ376" s="1293"/>
      <c r="DK376" s="1293"/>
      <c r="DL376" s="1293"/>
    </row>
    <row r="377" spans="1:116" ht="15.75">
      <c r="A377" s="1293"/>
      <c r="B377" s="1293"/>
      <c r="C377" s="1293"/>
      <c r="D377" s="1293"/>
      <c r="E377" s="1293"/>
      <c r="F377" s="1293"/>
      <c r="G377" s="2080"/>
      <c r="H377" s="1293"/>
      <c r="I377" s="1293"/>
      <c r="J377" s="1293"/>
      <c r="K377" s="1293"/>
      <c r="L377" s="2080"/>
      <c r="M377" s="1293"/>
      <c r="N377" s="1293"/>
      <c r="O377" s="1293"/>
      <c r="P377" s="1293"/>
      <c r="Q377" s="2080"/>
      <c r="R377" s="1293"/>
      <c r="S377" s="1293"/>
      <c r="T377" s="1293"/>
      <c r="U377" s="1293"/>
      <c r="V377" s="2080"/>
      <c r="W377" s="1293"/>
      <c r="X377" s="1293"/>
      <c r="Y377" s="1293"/>
      <c r="Z377" s="1293"/>
      <c r="AA377" s="2080"/>
      <c r="AB377" s="1293"/>
      <c r="AC377" s="1328">
        <f>AC375</f>
        <v>3.6999999999999998E-2</v>
      </c>
      <c r="AD377" s="1293"/>
      <c r="AE377" s="1328">
        <f>AE375</f>
        <v>0.02</v>
      </c>
      <c r="AF377" s="1328"/>
      <c r="AG377" s="1328">
        <f>AG375</f>
        <v>0.01</v>
      </c>
      <c r="AH377" s="1328"/>
      <c r="AI377" s="1328"/>
      <c r="AJ377" s="2089"/>
      <c r="AK377" s="1328"/>
      <c r="AL377" s="1328"/>
      <c r="AM377" s="1328"/>
      <c r="AN377" s="1328"/>
      <c r="AO377" s="2080"/>
      <c r="AP377" s="1328"/>
      <c r="AQ377" s="1328"/>
      <c r="AR377" s="1328"/>
      <c r="AS377" s="1328"/>
      <c r="AT377" s="2080"/>
      <c r="AU377" s="1328"/>
      <c r="AV377" s="1328"/>
      <c r="AW377" s="1328"/>
      <c r="AX377" s="1328"/>
      <c r="AY377" s="2080"/>
      <c r="AZ377" s="1328"/>
      <c r="BA377" s="1328"/>
      <c r="BB377" s="1328"/>
      <c r="BC377" s="1293"/>
      <c r="BD377" s="2080"/>
      <c r="BE377" s="1328"/>
      <c r="BF377" s="1328"/>
      <c r="BG377" s="1328"/>
      <c r="BH377" s="1293"/>
      <c r="BI377" s="2080"/>
      <c r="BJ377" s="1328"/>
      <c r="BK377" s="1328"/>
      <c r="BL377" s="1328"/>
      <c r="BM377" s="1328"/>
      <c r="BN377" s="2080"/>
      <c r="BO377" s="1293"/>
      <c r="BP377" s="1293"/>
      <c r="BQ377" s="1293"/>
      <c r="BR377" s="1293"/>
      <c r="BS377" s="1293"/>
      <c r="BT377" s="1293"/>
      <c r="BU377" s="1293"/>
      <c r="BV377" s="1293"/>
      <c r="BW377" s="1293"/>
      <c r="BX377" s="1293"/>
      <c r="BY377" s="1293"/>
      <c r="BZ377" s="1293"/>
      <c r="CA377" s="1293"/>
      <c r="CB377" s="1293"/>
      <c r="CC377" s="1293"/>
      <c r="CD377" s="1293"/>
      <c r="CE377" s="1293"/>
      <c r="CF377" s="1293"/>
      <c r="CG377" s="1293"/>
      <c r="CH377" s="1293"/>
      <c r="CI377" s="1293"/>
      <c r="CJ377" s="1293"/>
      <c r="CK377" s="1293"/>
      <c r="CL377" s="1293"/>
      <c r="CM377" s="1293"/>
      <c r="CN377" s="1293"/>
      <c r="CO377" s="1293"/>
      <c r="CP377" s="1293"/>
      <c r="CQ377" s="1293"/>
      <c r="CR377" s="1293"/>
      <c r="CS377" s="1293"/>
      <c r="CT377" s="1293"/>
      <c r="CU377" s="1293"/>
      <c r="CV377" s="1293"/>
      <c r="CW377" s="1293"/>
      <c r="CX377" s="1293"/>
      <c r="CY377" s="2032"/>
      <c r="CZ377" s="1293"/>
      <c r="DA377" s="2100"/>
      <c r="DB377" s="2101"/>
      <c r="DC377" s="1293"/>
      <c r="DD377" s="1293"/>
      <c r="DE377" s="1293"/>
      <c r="DF377" s="1293"/>
      <c r="DG377" s="1293"/>
      <c r="DH377" s="1293"/>
      <c r="DI377" s="1293"/>
      <c r="DJ377" s="1293"/>
      <c r="DK377" s="1293"/>
      <c r="DL377" s="1293"/>
    </row>
    <row r="378" spans="1:116" ht="15.75">
      <c r="A378" s="1293"/>
      <c r="B378" s="1293" t="s">
        <v>4510</v>
      </c>
      <c r="C378" s="1328">
        <v>7.4999999999999997E-2</v>
      </c>
      <c r="D378" s="1328">
        <v>7.1999999999999995E-2</v>
      </c>
      <c r="E378" s="1328">
        <v>5.8999999999999997E-2</v>
      </c>
      <c r="F378" s="1328">
        <v>5.7000000000000002E-2</v>
      </c>
      <c r="G378" s="2089">
        <v>6.5000000000000002E-2</v>
      </c>
      <c r="H378" s="1328">
        <v>5.6000000000000001E-2</v>
      </c>
      <c r="I378" s="1328">
        <v>5.7000000000000002E-2</v>
      </c>
      <c r="J378" s="1328">
        <v>5.8000000000000003E-2</v>
      </c>
      <c r="K378" s="1328">
        <v>5.8999999999999997E-2</v>
      </c>
      <c r="L378" s="2089">
        <v>5.8000000000000003E-2</v>
      </c>
      <c r="M378" s="1328">
        <v>4.1000000000000002E-2</v>
      </c>
      <c r="N378" s="1328">
        <v>2.1191643840331002E-2</v>
      </c>
      <c r="O378" s="1328">
        <v>-1.9132646838720562E-3</v>
      </c>
      <c r="P378" s="1328">
        <v>-8.9999999999999993E-3</v>
      </c>
      <c r="Q378" s="2089"/>
      <c r="R378" s="1328">
        <v>-1.4999999999999999E-2</v>
      </c>
      <c r="S378" s="1328">
        <v>-1.2999999999999999E-2</v>
      </c>
      <c r="T378" s="1328">
        <v>1.6541255508379551E-2</v>
      </c>
      <c r="U378" s="1328">
        <v>1.2999999999999999E-2</v>
      </c>
      <c r="V378" s="2089"/>
      <c r="W378" s="1328">
        <v>3.5999999999999997E-2</v>
      </c>
      <c r="X378" s="1328">
        <v>4.3999999999999997E-2</v>
      </c>
      <c r="Y378" s="1328">
        <v>3.7999999999999999E-2</v>
      </c>
      <c r="Z378" s="1328"/>
      <c r="AA378" s="2089"/>
      <c r="AB378" s="1328"/>
      <c r="AC378" s="1328"/>
      <c r="AD378" s="1328"/>
      <c r="AE378" s="1328"/>
      <c r="AF378" s="1328"/>
      <c r="AG378" s="1328"/>
      <c r="AH378" s="1328"/>
      <c r="AI378" s="1328"/>
      <c r="AJ378" s="2089"/>
      <c r="AK378" s="1328"/>
      <c r="AL378" s="1328"/>
      <c r="AM378" s="1328"/>
      <c r="AN378" s="1328"/>
      <c r="AO378" s="2089"/>
      <c r="AP378" s="1328"/>
      <c r="AQ378" s="1328"/>
      <c r="AR378" s="1328"/>
      <c r="AS378" s="1328"/>
      <c r="AT378" s="2089"/>
      <c r="AU378" s="1328"/>
      <c r="AV378" s="1328"/>
      <c r="AW378" s="1328"/>
      <c r="AX378" s="1328"/>
      <c r="AY378" s="2089"/>
      <c r="AZ378" s="1328"/>
      <c r="BA378" s="1328"/>
      <c r="BB378" s="1328"/>
      <c r="BC378" s="1328"/>
      <c r="BD378" s="2089"/>
      <c r="BE378" s="1328"/>
      <c r="BF378" s="1328"/>
      <c r="BG378" s="1328"/>
      <c r="BH378" s="1328"/>
      <c r="BI378" s="2089"/>
      <c r="BJ378" s="1328"/>
      <c r="BK378" s="1328"/>
      <c r="BL378" s="1328"/>
      <c r="BM378" s="1328"/>
      <c r="BN378" s="2089"/>
      <c r="BO378" s="1328"/>
      <c r="BP378" s="1328"/>
      <c r="BQ378" s="1293"/>
      <c r="BR378" s="1293"/>
      <c r="BS378" s="1293"/>
      <c r="BT378" s="1293"/>
      <c r="BU378" s="1293"/>
      <c r="BV378" s="1293"/>
      <c r="BW378" s="1293"/>
      <c r="BX378" s="1293"/>
      <c r="BY378" s="1293"/>
      <c r="BZ378" s="1293"/>
      <c r="CA378" s="1293"/>
      <c r="CB378" s="1293"/>
      <c r="CC378" s="1293"/>
      <c r="CD378" s="1293"/>
      <c r="CE378" s="1293"/>
      <c r="CF378" s="1293"/>
      <c r="CG378" s="1293"/>
      <c r="CH378" s="1293"/>
      <c r="CI378" s="1293"/>
      <c r="CJ378" s="1293"/>
      <c r="CK378" s="1293"/>
      <c r="CL378" s="1293"/>
      <c r="CM378" s="1293"/>
      <c r="CN378" s="1293"/>
      <c r="CO378" s="1293"/>
      <c r="CP378" s="1293"/>
      <c r="CQ378" s="1293"/>
      <c r="CR378" s="1293"/>
      <c r="CS378" s="1293"/>
      <c r="CT378" s="1293"/>
      <c r="CU378" s="1293"/>
      <c r="CV378" s="1293"/>
      <c r="CW378" s="1293"/>
      <c r="CX378" s="1293"/>
      <c r="CY378" s="2101"/>
      <c r="CZ378" s="1328"/>
      <c r="DA378" s="2100"/>
      <c r="DB378" s="2101"/>
      <c r="DC378" s="1293"/>
      <c r="DD378" s="1293"/>
      <c r="DE378" s="1293"/>
      <c r="DF378" s="1293"/>
      <c r="DG378" s="1293"/>
      <c r="DH378" s="1293"/>
      <c r="DI378" s="1293"/>
      <c r="DJ378" s="1293"/>
      <c r="DK378" s="1293"/>
      <c r="DL378" s="1293"/>
    </row>
    <row r="379" spans="1:116" ht="15.75">
      <c r="A379" s="1293"/>
      <c r="B379" s="1293" t="s">
        <v>4508</v>
      </c>
      <c r="C379" s="1293"/>
      <c r="D379" s="1293"/>
      <c r="E379" s="1293"/>
      <c r="F379" s="1293"/>
      <c r="G379" s="2080"/>
      <c r="H379" s="1328"/>
      <c r="I379" s="1328"/>
      <c r="J379" s="1328"/>
      <c r="K379" s="1328">
        <f ca="1">(K401-K398)/(F71+F67)-1</f>
        <v>6.4314302937027445E-2</v>
      </c>
      <c r="L379" s="2080"/>
      <c r="M379" s="1328">
        <f ca="1">(M401-M398)/(H71+H67-H61)-1</f>
        <v>4.114058136339005E-2</v>
      </c>
      <c r="N379" s="1328">
        <f ca="1">(N401-N398)/(I71+I67-I61)-1</f>
        <v>2.3410130089169368E-2</v>
      </c>
      <c r="O379" s="1328">
        <f>(O401-O398)/(J71+J67-J61)-1</f>
        <v>-3.5364047694623757E-3</v>
      </c>
      <c r="P379" s="1328">
        <f ca="1">(P401-P398)/(K71+K67-K61)-1</f>
        <v>-1.8608185773674624E-2</v>
      </c>
      <c r="Q379" s="2080"/>
      <c r="R379" s="1328">
        <f ca="1">(R401)/(M71+M67-M61-M64)-1</f>
        <v>-8.5622896998790443E-3</v>
      </c>
      <c r="S379" s="1328">
        <f ca="1">(S401)/(N71+N67-N61-N64)-1</f>
        <v>-1.5063632409904826E-2</v>
      </c>
      <c r="T379" s="1328">
        <f>(T401)/(O71+O67-O61-42-O64)-1</f>
        <v>2.4104776415618367E-2</v>
      </c>
      <c r="U379" s="1328">
        <f>(U401)/(P71+P67-P61-42-P64)-1</f>
        <v>2.8435360139517751E-2</v>
      </c>
      <c r="V379" s="2080"/>
      <c r="W379" s="1328"/>
      <c r="X379" s="1328"/>
      <c r="Y379" s="1328"/>
      <c r="Z379" s="1328"/>
      <c r="AA379" s="2080"/>
      <c r="AB379" s="1328"/>
      <c r="AC379" s="1328"/>
      <c r="AD379" s="1328"/>
      <c r="AE379" s="1328"/>
      <c r="AF379" s="1328"/>
      <c r="AG379" s="1328"/>
      <c r="AH379" s="1328"/>
      <c r="AI379" s="1328"/>
      <c r="AJ379" s="2080"/>
      <c r="AK379" s="1328"/>
      <c r="AL379" s="1328"/>
      <c r="AM379" s="1328"/>
      <c r="AN379" s="1328"/>
      <c r="AO379" s="2080"/>
      <c r="AP379" s="1328"/>
      <c r="AQ379" s="1328"/>
      <c r="AR379" s="1328"/>
      <c r="AS379" s="1328"/>
      <c r="AT379" s="2080"/>
      <c r="AU379" s="1328"/>
      <c r="AV379" s="1328"/>
      <c r="AW379" s="1328"/>
      <c r="AX379" s="1328"/>
      <c r="AY379" s="2080"/>
      <c r="AZ379" s="1328"/>
      <c r="BA379" s="1328"/>
      <c r="BB379" s="1328"/>
      <c r="BC379" s="1293"/>
      <c r="BD379" s="2080"/>
      <c r="BE379" s="1328"/>
      <c r="BF379" s="1328"/>
      <c r="BG379" s="1328"/>
      <c r="BH379" s="1293"/>
      <c r="BI379" s="2080"/>
      <c r="BJ379" s="1328"/>
      <c r="BK379" s="1328"/>
      <c r="BL379" s="1328"/>
      <c r="BM379" s="1328"/>
      <c r="BN379" s="2080"/>
      <c r="BO379" s="1293"/>
      <c r="BP379" s="1293"/>
      <c r="BQ379" s="1293"/>
      <c r="BR379" s="1293"/>
      <c r="BS379" s="1293"/>
      <c r="BT379" s="1293"/>
      <c r="BU379" s="1293"/>
      <c r="BV379" s="1293"/>
      <c r="BW379" s="1293"/>
      <c r="BX379" s="1293"/>
      <c r="BY379" s="1293"/>
      <c r="BZ379" s="1293"/>
      <c r="CA379" s="1293"/>
      <c r="CB379" s="1293"/>
      <c r="CC379" s="1293"/>
      <c r="CD379" s="1293"/>
      <c r="CE379" s="1293"/>
      <c r="CF379" s="1293"/>
      <c r="CG379" s="1293"/>
      <c r="CH379" s="1293"/>
      <c r="CI379" s="1293"/>
      <c r="CJ379" s="1293"/>
      <c r="CK379" s="1293"/>
      <c r="CL379" s="1293"/>
      <c r="CM379" s="1293"/>
      <c r="CN379" s="1293"/>
      <c r="CO379" s="1293"/>
      <c r="CP379" s="1293"/>
      <c r="CQ379" s="1293"/>
      <c r="CR379" s="1293"/>
      <c r="CS379" s="1293"/>
      <c r="CT379" s="1293"/>
      <c r="CU379" s="1293"/>
      <c r="CV379" s="1293"/>
      <c r="CW379" s="1293"/>
      <c r="CX379" s="1293"/>
      <c r="CY379" s="2032"/>
      <c r="CZ379" s="1293"/>
      <c r="DA379" s="2100"/>
      <c r="DB379" s="2101"/>
      <c r="DC379" s="1293"/>
      <c r="DD379" s="1293"/>
      <c r="DE379" s="1293"/>
      <c r="DF379" s="1293"/>
      <c r="DG379" s="1293"/>
      <c r="DH379" s="1293"/>
      <c r="DI379" s="1293"/>
      <c r="DJ379" s="1293"/>
      <c r="DK379" s="1293"/>
      <c r="DL379" s="1293"/>
    </row>
    <row r="380" spans="1:116" ht="15.75">
      <c r="A380" s="1293"/>
      <c r="B380" s="1293"/>
      <c r="C380" s="1293"/>
      <c r="D380" s="1293"/>
      <c r="E380" s="1293"/>
      <c r="F380" s="1293"/>
      <c r="G380" s="2080"/>
      <c r="H380" s="1293"/>
      <c r="I380" s="1293"/>
      <c r="J380" s="1293"/>
      <c r="K380" s="1293"/>
      <c r="L380" s="2080"/>
      <c r="M380" s="1293"/>
      <c r="N380" s="1293"/>
      <c r="O380" s="1293"/>
      <c r="P380" s="1293"/>
      <c r="Q380" s="2080"/>
      <c r="R380" s="1293"/>
      <c r="S380" s="1293"/>
      <c r="T380" s="1293"/>
      <c r="U380" s="1293"/>
      <c r="V380" s="2080"/>
      <c r="W380" s="1293"/>
      <c r="X380" s="1293"/>
      <c r="Y380" s="1293"/>
      <c r="Z380" s="1293"/>
      <c r="AA380" s="2080"/>
      <c r="AB380" s="1293"/>
      <c r="AC380" s="1293"/>
      <c r="AD380" s="1293"/>
      <c r="AE380" s="1293"/>
      <c r="AF380" s="1293"/>
      <c r="AG380" s="1293"/>
      <c r="AH380" s="1293"/>
      <c r="AI380" s="1293"/>
      <c r="AJ380" s="2080"/>
      <c r="AK380" s="1293"/>
      <c r="AL380" s="1293"/>
      <c r="AM380" s="1293"/>
      <c r="AN380" s="1293"/>
      <c r="AO380" s="2080"/>
      <c r="AP380" s="1293"/>
      <c r="AQ380" s="1293"/>
      <c r="AR380" s="1293"/>
      <c r="AS380" s="1293"/>
      <c r="AT380" s="2080"/>
      <c r="AU380" s="1293"/>
      <c r="AV380" s="1293"/>
      <c r="AW380" s="1293"/>
      <c r="AX380" s="1293"/>
      <c r="AY380" s="2080"/>
      <c r="AZ380" s="1293"/>
      <c r="BA380" s="1293"/>
      <c r="BB380" s="1293"/>
      <c r="BC380" s="1293"/>
      <c r="BD380" s="2080"/>
      <c r="BE380" s="1293"/>
      <c r="BF380" s="1293"/>
      <c r="BG380" s="1293"/>
      <c r="BH380" s="1293"/>
      <c r="BI380" s="2080"/>
      <c r="BJ380" s="1293"/>
      <c r="BK380" s="1293"/>
      <c r="BL380" s="1293"/>
      <c r="BM380" s="1293"/>
      <c r="BN380" s="2080"/>
      <c r="BO380" s="1293"/>
      <c r="BP380" s="1293"/>
      <c r="BQ380" s="1293"/>
      <c r="BR380" s="1293"/>
      <c r="BS380" s="1293"/>
      <c r="BT380" s="1293"/>
      <c r="BU380" s="1293"/>
      <c r="BV380" s="1293"/>
      <c r="BW380" s="1293"/>
      <c r="BX380" s="1293"/>
      <c r="BY380" s="1293"/>
      <c r="BZ380" s="1293"/>
      <c r="CA380" s="1293"/>
      <c r="CB380" s="1293"/>
      <c r="CC380" s="1293"/>
      <c r="CD380" s="1293"/>
      <c r="CE380" s="1293"/>
      <c r="CF380" s="1293"/>
      <c r="CG380" s="1293"/>
      <c r="CH380" s="1293"/>
      <c r="CI380" s="1293"/>
      <c r="CJ380" s="1293"/>
      <c r="CK380" s="1293"/>
      <c r="CL380" s="1293"/>
      <c r="CM380" s="1293"/>
      <c r="CN380" s="1293"/>
      <c r="CO380" s="1293"/>
      <c r="CP380" s="1293"/>
      <c r="CQ380" s="1293"/>
      <c r="CR380" s="1293"/>
      <c r="CS380" s="1293"/>
      <c r="CT380" s="1293"/>
      <c r="CU380" s="1293"/>
      <c r="CV380" s="1293"/>
      <c r="CW380" s="1293"/>
      <c r="CX380" s="1293"/>
      <c r="CY380" s="2032"/>
      <c r="CZ380" s="1293"/>
      <c r="DA380" s="2031"/>
      <c r="DB380" s="2032"/>
      <c r="DC380" s="1293"/>
      <c r="DD380" s="1293"/>
      <c r="DE380" s="1293"/>
      <c r="DF380" s="1293"/>
      <c r="DG380" s="1293"/>
      <c r="DH380" s="1293"/>
      <c r="DI380" s="1293"/>
      <c r="DJ380" s="1293"/>
      <c r="DK380" s="1293"/>
      <c r="DL380" s="1293"/>
    </row>
    <row r="381" spans="1:116" ht="15.75">
      <c r="A381" s="1293"/>
      <c r="B381" s="1979" t="s">
        <v>4511</v>
      </c>
      <c r="C381" s="1293"/>
      <c r="D381" s="1293"/>
      <c r="E381" s="1293"/>
      <c r="F381" s="1293"/>
      <c r="G381" s="2080"/>
      <c r="H381" s="1293"/>
      <c r="I381" s="1293"/>
      <c r="J381" s="1293"/>
      <c r="K381" s="1293"/>
      <c r="L381" s="2080"/>
      <c r="M381" s="1293"/>
      <c r="N381" s="1293"/>
      <c r="O381" s="1293"/>
      <c r="P381" s="1293"/>
      <c r="Q381" s="2080"/>
      <c r="R381" s="1293"/>
      <c r="S381" s="1293"/>
      <c r="T381" s="1293"/>
      <c r="U381" s="1293"/>
      <c r="V381" s="2080"/>
      <c r="W381" s="1293"/>
      <c r="X381" s="1293"/>
      <c r="Y381" s="1293"/>
      <c r="Z381" s="1293"/>
      <c r="AA381" s="2080"/>
      <c r="AB381" s="1293"/>
      <c r="AC381" s="1293"/>
      <c r="AD381" s="1293"/>
      <c r="AE381" s="1293"/>
      <c r="AF381" s="1293"/>
      <c r="AG381" s="1293"/>
      <c r="AH381" s="1293"/>
      <c r="AI381" s="1293"/>
      <c r="AJ381" s="2080"/>
      <c r="AK381" s="1293"/>
      <c r="AL381" s="1293"/>
      <c r="AM381" s="1293"/>
      <c r="AN381" s="1293"/>
      <c r="AO381" s="2080"/>
      <c r="AP381" s="1293"/>
      <c r="AQ381" s="1293"/>
      <c r="AR381" s="1293"/>
      <c r="AS381" s="1293"/>
      <c r="AT381" s="2080"/>
      <c r="AU381" s="1293"/>
      <c r="AV381" s="1293"/>
      <c r="AW381" s="1293"/>
      <c r="AX381" s="1293"/>
      <c r="AY381" s="2080"/>
      <c r="AZ381" s="1293"/>
      <c r="BA381" s="1293"/>
      <c r="BB381" s="1293"/>
      <c r="BC381" s="1293"/>
      <c r="BD381" s="2080"/>
      <c r="BE381" s="1293"/>
      <c r="BF381" s="1293"/>
      <c r="BG381" s="1293"/>
      <c r="BH381" s="1293"/>
      <c r="BI381" s="2080"/>
      <c r="BJ381" s="1293"/>
      <c r="BK381" s="1293"/>
      <c r="BL381" s="1293"/>
      <c r="BM381" s="1293"/>
      <c r="BN381" s="2080"/>
      <c r="BO381" s="1293"/>
      <c r="BP381" s="1293"/>
      <c r="BQ381" s="1293"/>
      <c r="BR381" s="1293"/>
      <c r="BS381" s="1293"/>
      <c r="BT381" s="1293"/>
      <c r="BU381" s="1293"/>
      <c r="BV381" s="1293"/>
      <c r="BW381" s="1293"/>
      <c r="BX381" s="1293"/>
      <c r="BY381" s="1293"/>
      <c r="BZ381" s="1293"/>
      <c r="CA381" s="1293"/>
      <c r="CB381" s="1293"/>
      <c r="CC381" s="1293"/>
      <c r="CD381" s="1293"/>
      <c r="CE381" s="1293"/>
      <c r="CF381" s="1293"/>
      <c r="CG381" s="1293"/>
      <c r="CH381" s="1293"/>
      <c r="CI381" s="1293"/>
      <c r="CJ381" s="1293"/>
      <c r="CK381" s="1293"/>
      <c r="CL381" s="1293"/>
      <c r="CM381" s="1293"/>
      <c r="CN381" s="1293"/>
      <c r="CO381" s="1293"/>
      <c r="CP381" s="1293"/>
      <c r="CQ381" s="1293"/>
      <c r="CR381" s="1293"/>
      <c r="CS381" s="1293"/>
      <c r="CT381" s="1293"/>
      <c r="CU381" s="1293"/>
      <c r="CV381" s="1293"/>
      <c r="CW381" s="1293"/>
      <c r="CX381" s="1293"/>
      <c r="CY381" s="2032"/>
      <c r="CZ381" s="1293"/>
      <c r="DA381" s="2031"/>
      <c r="DB381" s="2032"/>
      <c r="DC381" s="1293"/>
      <c r="DD381" s="1293"/>
      <c r="DE381" s="1293"/>
      <c r="DF381" s="1293"/>
      <c r="DG381" s="1293"/>
      <c r="DH381" s="1293"/>
      <c r="DI381" s="1293"/>
      <c r="DJ381" s="1293"/>
      <c r="DK381" s="1293"/>
      <c r="DL381" s="1293"/>
    </row>
    <row r="382" spans="1:116" ht="15.75">
      <c r="A382" s="1293"/>
      <c r="B382" s="1331" t="s">
        <v>4513</v>
      </c>
      <c r="C382" s="1883" t="str">
        <f t="shared" ref="C382:AR382" si="460">C349</f>
        <v>Q1 14</v>
      </c>
      <c r="D382" s="1883" t="str">
        <f t="shared" si="460"/>
        <v>Q2 14</v>
      </c>
      <c r="E382" s="1883" t="str">
        <f t="shared" si="460"/>
        <v>Q3 14</v>
      </c>
      <c r="F382" s="1883" t="str">
        <f t="shared" si="460"/>
        <v>Q4 14</v>
      </c>
      <c r="G382" s="2034" t="str">
        <f t="shared" si="460"/>
        <v>FY 14</v>
      </c>
      <c r="H382" s="1883" t="str">
        <f t="shared" si="460"/>
        <v>Q1 15</v>
      </c>
      <c r="I382" s="1883" t="str">
        <f t="shared" si="460"/>
        <v>Q2 15</v>
      </c>
      <c r="J382" s="1883" t="str">
        <f t="shared" si="460"/>
        <v>Q3 15</v>
      </c>
      <c r="K382" s="1883" t="str">
        <f t="shared" si="460"/>
        <v>Q4 15</v>
      </c>
      <c r="L382" s="2034" t="str">
        <f t="shared" si="460"/>
        <v>FY 15</v>
      </c>
      <c r="M382" s="1883" t="str">
        <f t="shared" si="460"/>
        <v>Q1 16</v>
      </c>
      <c r="N382" s="1883" t="str">
        <f t="shared" si="460"/>
        <v>Q2 16</v>
      </c>
      <c r="O382" s="1883" t="str">
        <f t="shared" si="460"/>
        <v>Q3 16</v>
      </c>
      <c r="P382" s="1883" t="str">
        <f t="shared" si="460"/>
        <v>Q4 16</v>
      </c>
      <c r="Q382" s="2034">
        <f t="shared" si="460"/>
        <v>2016</v>
      </c>
      <c r="R382" s="1883" t="str">
        <f t="shared" si="460"/>
        <v>Q1 17</v>
      </c>
      <c r="S382" s="1883" t="str">
        <f t="shared" si="460"/>
        <v>Q2 17</v>
      </c>
      <c r="T382" s="1883" t="str">
        <f t="shared" si="460"/>
        <v>Q3 17</v>
      </c>
      <c r="U382" s="1883" t="str">
        <f t="shared" si="460"/>
        <v>Q4 17</v>
      </c>
      <c r="V382" s="2034">
        <f t="shared" si="460"/>
        <v>2017</v>
      </c>
      <c r="W382" s="1883" t="str">
        <f t="shared" si="460"/>
        <v>Q1 18</v>
      </c>
      <c r="X382" s="1883" t="str">
        <f t="shared" si="460"/>
        <v>Q2 18</v>
      </c>
      <c r="Y382" s="1883" t="str">
        <f t="shared" si="460"/>
        <v>Q3 18</v>
      </c>
      <c r="Z382" s="1883" t="str">
        <f t="shared" si="460"/>
        <v>Q4 18</v>
      </c>
      <c r="AA382" s="2034">
        <f t="shared" si="460"/>
        <v>2018</v>
      </c>
      <c r="AB382" s="1883" t="str">
        <f t="shared" si="460"/>
        <v>Q1 19</v>
      </c>
      <c r="AC382" s="1883" t="str">
        <f t="shared" si="460"/>
        <v>Q1 19</v>
      </c>
      <c r="AD382" s="1883" t="str">
        <f t="shared" si="460"/>
        <v>Q2 19</v>
      </c>
      <c r="AE382" s="1883" t="str">
        <f t="shared" si="460"/>
        <v>Q2 19</v>
      </c>
      <c r="AF382" s="1883" t="str">
        <f t="shared" si="460"/>
        <v>Q3 19</v>
      </c>
      <c r="AG382" s="1883" t="str">
        <f t="shared" si="460"/>
        <v>Q3 19</v>
      </c>
      <c r="AH382" s="1883" t="str">
        <f t="shared" si="460"/>
        <v>Q4 19</v>
      </c>
      <c r="AI382" s="1883" t="str">
        <f t="shared" si="460"/>
        <v>Q4 19</v>
      </c>
      <c r="AJ382" s="2034">
        <f t="shared" si="460"/>
        <v>2019</v>
      </c>
      <c r="AK382" s="1883" t="str">
        <f t="shared" si="460"/>
        <v>Q1 20</v>
      </c>
      <c r="AL382" s="1883" t="str">
        <f t="shared" si="460"/>
        <v>Q2 20</v>
      </c>
      <c r="AM382" s="1883" t="str">
        <f t="shared" si="460"/>
        <v>Q3 20</v>
      </c>
      <c r="AN382" s="1883" t="str">
        <f t="shared" si="460"/>
        <v>Q4 20</v>
      </c>
      <c r="AO382" s="2034">
        <f t="shared" si="460"/>
        <v>2020</v>
      </c>
      <c r="AP382" s="1883" t="str">
        <f t="shared" si="460"/>
        <v>Q1 21</v>
      </c>
      <c r="AQ382" s="1883" t="str">
        <f t="shared" si="460"/>
        <v>Q2 21</v>
      </c>
      <c r="AR382" s="1883" t="str">
        <f t="shared" si="460"/>
        <v>Q3 21</v>
      </c>
      <c r="AS382" s="1883" t="s">
        <v>7048</v>
      </c>
      <c r="AT382" s="2034">
        <f t="shared" ref="AT382:BM382" si="461">AT349</f>
        <v>2021</v>
      </c>
      <c r="AU382" s="1883" t="str">
        <f t="shared" si="461"/>
        <v>Q1 22</v>
      </c>
      <c r="AV382" s="1883" t="str">
        <f t="shared" si="461"/>
        <v>Q2 22</v>
      </c>
      <c r="AW382" s="1883" t="str">
        <f t="shared" si="461"/>
        <v>Q3 22</v>
      </c>
      <c r="AX382" s="1883" t="str">
        <f t="shared" si="461"/>
        <v>Q4 22</v>
      </c>
      <c r="AY382" s="2034">
        <f t="shared" si="461"/>
        <v>2022</v>
      </c>
      <c r="AZ382" s="1883" t="str">
        <f t="shared" si="461"/>
        <v>Q1 23</v>
      </c>
      <c r="BA382" s="1883" t="str">
        <f t="shared" si="461"/>
        <v>Q2 23</v>
      </c>
      <c r="BB382" s="1883" t="str">
        <f t="shared" si="461"/>
        <v>Q3 23</v>
      </c>
      <c r="BC382" s="1883" t="str">
        <f t="shared" si="461"/>
        <v>Q4 23</v>
      </c>
      <c r="BD382" s="2034">
        <f t="shared" si="461"/>
        <v>2023</v>
      </c>
      <c r="BE382" s="1883" t="str">
        <f t="shared" si="461"/>
        <v>Q1 24</v>
      </c>
      <c r="BF382" s="1883" t="str">
        <f t="shared" si="461"/>
        <v>Q2 24</v>
      </c>
      <c r="BG382" s="1883" t="str">
        <f t="shared" si="461"/>
        <v>Q3 24</v>
      </c>
      <c r="BH382" s="1883" t="str">
        <f t="shared" si="461"/>
        <v>Q4 24</v>
      </c>
      <c r="BI382" s="2034">
        <f t="shared" si="461"/>
        <v>2024</v>
      </c>
      <c r="BJ382" s="1883" t="str">
        <f t="shared" si="461"/>
        <v>Q1 25</v>
      </c>
      <c r="BK382" s="1883" t="str">
        <f t="shared" si="461"/>
        <v>Q2 25</v>
      </c>
      <c r="BL382" s="1883" t="str">
        <f t="shared" si="461"/>
        <v>Q3 25</v>
      </c>
      <c r="BM382" s="1883" t="str">
        <f t="shared" si="461"/>
        <v>Q4 25</v>
      </c>
      <c r="BN382" s="2034">
        <f t="shared" ref="BN382" si="462">BN349</f>
        <v>2025</v>
      </c>
      <c r="BO382" s="1323"/>
      <c r="BP382" s="1323"/>
      <c r="BQ382" s="1293"/>
      <c r="BR382" s="1293"/>
      <c r="BS382" s="1293"/>
      <c r="BT382" s="1293"/>
      <c r="BU382" s="1293"/>
      <c r="BV382" s="1293"/>
      <c r="BW382" s="1293"/>
      <c r="BX382" s="1293"/>
      <c r="BY382" s="1293"/>
      <c r="BZ382" s="1293"/>
      <c r="CA382" s="1293"/>
      <c r="CB382" s="1293"/>
      <c r="CC382" s="1293"/>
      <c r="CD382" s="1293"/>
      <c r="CE382" s="1293"/>
      <c r="CF382" s="1293"/>
      <c r="CG382" s="1293"/>
      <c r="CH382" s="1293"/>
      <c r="CI382" s="1293"/>
      <c r="CJ382" s="1293"/>
      <c r="CK382" s="1293"/>
      <c r="CL382" s="1293"/>
      <c r="CM382" s="1293"/>
      <c r="CN382" s="1293"/>
      <c r="CO382" s="1293"/>
      <c r="CP382" s="1293"/>
      <c r="CQ382" s="1293"/>
      <c r="CR382" s="1293"/>
      <c r="CS382" s="1293"/>
      <c r="CT382" s="1293"/>
      <c r="CU382" s="1293"/>
      <c r="CV382" s="1293"/>
      <c r="CW382" s="1293"/>
      <c r="CX382" s="1293"/>
      <c r="CY382" s="2036" t="s">
        <v>7795</v>
      </c>
      <c r="CZ382" s="1883" t="str">
        <f>CZ349</f>
        <v>Q3 23e</v>
      </c>
      <c r="DA382" s="2037" t="s">
        <v>8571</v>
      </c>
      <c r="DB382" s="2038" t="s">
        <v>8572</v>
      </c>
      <c r="DC382" s="1293"/>
      <c r="DD382" s="1293"/>
      <c r="DE382" s="1293"/>
      <c r="DF382" s="1293"/>
      <c r="DG382" s="1293"/>
      <c r="DH382" s="1293"/>
      <c r="DI382" s="1293"/>
      <c r="DJ382" s="1293"/>
      <c r="DK382" s="1293"/>
      <c r="DL382" s="1293"/>
    </row>
    <row r="383" spans="1:116" ht="15.75">
      <c r="A383" s="1293"/>
      <c r="B383" s="1293" t="str">
        <f>B350</f>
        <v>El Salvador</v>
      </c>
      <c r="C383" s="1328"/>
      <c r="D383" s="1328"/>
      <c r="E383" s="1328"/>
      <c r="F383" s="1328"/>
      <c r="G383" s="2089"/>
      <c r="H383" s="1699">
        <f t="shared" ref="H383:P385" si="463">H301/C251</f>
        <v>104.13271046</v>
      </c>
      <c r="I383" s="1699">
        <f t="shared" si="463"/>
        <v>104.82805838</v>
      </c>
      <c r="J383" s="1699">
        <f t="shared" si="463"/>
        <v>104.68353878000001</v>
      </c>
      <c r="K383" s="1699">
        <f t="shared" si="463"/>
        <v>106.46368352</v>
      </c>
      <c r="L383" s="2039">
        <f t="shared" si="463"/>
        <v>420.10799114000002</v>
      </c>
      <c r="M383" s="1699">
        <f t="shared" si="463"/>
        <v>102.45259900000001</v>
      </c>
      <c r="N383" s="1699">
        <f t="shared" si="463"/>
        <v>100.95300615000001</v>
      </c>
      <c r="O383" s="1699">
        <f t="shared" si="463"/>
        <v>99.621962750000392</v>
      </c>
      <c r="P383" s="1699">
        <f t="shared" si="463"/>
        <v>97</v>
      </c>
      <c r="Q383" s="2089"/>
      <c r="R383" s="1699">
        <f t="shared" ref="R383:U385" si="464">R301/M251</f>
        <v>96</v>
      </c>
      <c r="S383" s="1699">
        <f t="shared" si="464"/>
        <v>100</v>
      </c>
      <c r="T383" s="1699">
        <f t="shared" si="464"/>
        <v>100</v>
      </c>
      <c r="U383" s="1699">
        <f t="shared" si="464"/>
        <v>103</v>
      </c>
      <c r="V383" s="2089"/>
      <c r="W383" s="1699">
        <f t="shared" ref="W383:Z385" si="465">W301/R251</f>
        <v>96</v>
      </c>
      <c r="X383" s="1699">
        <f t="shared" si="465"/>
        <v>94</v>
      </c>
      <c r="Y383" s="1699">
        <f t="shared" si="465"/>
        <v>90</v>
      </c>
      <c r="Z383" s="1699">
        <f t="shared" si="465"/>
        <v>91</v>
      </c>
      <c r="AA383" s="2089"/>
      <c r="AB383" s="1699"/>
      <c r="AC383" s="1699">
        <f>AC301/W251</f>
        <v>88</v>
      </c>
      <c r="AD383" s="1699"/>
      <c r="AE383" s="1699">
        <f>AE301/Y251</f>
        <v>87</v>
      </c>
      <c r="AF383" s="1699"/>
      <c r="AG383" s="1699">
        <f>AG301/W251</f>
        <v>86</v>
      </c>
      <c r="AH383" s="1699"/>
      <c r="AI383" s="1699"/>
      <c r="AJ383" s="2089"/>
      <c r="AK383" s="1699"/>
      <c r="AL383" s="1699"/>
      <c r="AM383" s="1699"/>
      <c r="AN383" s="1699"/>
      <c r="AO383" s="2089"/>
      <c r="AP383" s="1699"/>
      <c r="AQ383" s="1699"/>
      <c r="AR383" s="1699"/>
      <c r="AS383" s="1699"/>
      <c r="AT383" s="2089"/>
      <c r="AU383" s="1699"/>
      <c r="AV383" s="1699"/>
      <c r="AW383" s="1699"/>
      <c r="AX383" s="1699"/>
      <c r="AY383" s="2089"/>
      <c r="AZ383" s="1699"/>
      <c r="BA383" s="1699"/>
      <c r="BB383" s="1699"/>
      <c r="BC383" s="1328"/>
      <c r="BD383" s="2089"/>
      <c r="BE383" s="1699"/>
      <c r="BF383" s="1699"/>
      <c r="BG383" s="1699"/>
      <c r="BH383" s="1328"/>
      <c r="BI383" s="2089"/>
      <c r="BJ383" s="1699"/>
      <c r="BK383" s="1699"/>
      <c r="BL383" s="1699"/>
      <c r="BM383" s="1699"/>
      <c r="BN383" s="2089"/>
      <c r="BO383" s="1328"/>
      <c r="BP383" s="1328"/>
      <c r="BQ383" s="1293"/>
      <c r="BR383" s="1293"/>
      <c r="BS383" s="1293"/>
      <c r="BT383" s="1293"/>
      <c r="BU383" s="1293"/>
      <c r="BV383" s="1293"/>
      <c r="BW383" s="1293"/>
      <c r="BX383" s="1293"/>
      <c r="BY383" s="1293"/>
      <c r="BZ383" s="1293"/>
      <c r="CA383" s="1293"/>
      <c r="CB383" s="1293"/>
      <c r="CC383" s="1293"/>
      <c r="CD383" s="1293"/>
      <c r="CE383" s="1293"/>
      <c r="CF383" s="1293"/>
      <c r="CG383" s="1293"/>
      <c r="CH383" s="1293"/>
      <c r="CI383" s="1293"/>
      <c r="CJ383" s="1293"/>
      <c r="CK383" s="1293"/>
      <c r="CL383" s="1293"/>
      <c r="CM383" s="1293"/>
      <c r="CN383" s="1293"/>
      <c r="CO383" s="1293"/>
      <c r="CP383" s="1293"/>
      <c r="CQ383" s="1293"/>
      <c r="CR383" s="1293"/>
      <c r="CS383" s="1293"/>
      <c r="CT383" s="1293"/>
      <c r="CU383" s="1293"/>
      <c r="CV383" s="1293"/>
      <c r="CW383" s="1293"/>
      <c r="CX383" s="1293"/>
      <c r="CY383" s="2101"/>
      <c r="CZ383" s="1328"/>
      <c r="DA383" s="2042"/>
      <c r="DB383" s="2041"/>
      <c r="DC383" s="1293"/>
      <c r="DD383" s="1293"/>
      <c r="DE383" s="1293"/>
      <c r="DF383" s="1293"/>
      <c r="DG383" s="1293"/>
      <c r="DH383" s="1293"/>
      <c r="DI383" s="1293"/>
      <c r="DJ383" s="1293"/>
      <c r="DK383" s="1293"/>
      <c r="DL383" s="1293"/>
    </row>
    <row r="384" spans="1:116" ht="15.75">
      <c r="A384" s="1293"/>
      <c r="B384" s="1293" t="str">
        <f>B351</f>
        <v>Guatemala</v>
      </c>
      <c r="C384" s="1328"/>
      <c r="D384" s="1328"/>
      <c r="E384" s="1328"/>
      <c r="F384" s="1328"/>
      <c r="G384" s="2089"/>
      <c r="H384" s="1699">
        <f t="shared" si="463"/>
        <v>277.14442224175662</v>
      </c>
      <c r="I384" s="1699">
        <f t="shared" si="463"/>
        <v>284.89824552047304</v>
      </c>
      <c r="J384" s="1699">
        <f t="shared" si="463"/>
        <v>285.1405694067418</v>
      </c>
      <c r="K384" s="1699">
        <f t="shared" si="463"/>
        <v>297.20946621861776</v>
      </c>
      <c r="L384" s="2039">
        <f t="shared" si="463"/>
        <v>1143.9787361959422</v>
      </c>
      <c r="M384" s="1699">
        <f t="shared" si="463"/>
        <v>290.42063408045237</v>
      </c>
      <c r="N384" s="1699">
        <f t="shared" si="463"/>
        <v>284.30012727315977</v>
      </c>
      <c r="O384" s="1699">
        <f t="shared" si="463"/>
        <v>275.33705218128819</v>
      </c>
      <c r="P384" s="1699">
        <f t="shared" si="463"/>
        <v>285.07189542483655</v>
      </c>
      <c r="Q384" s="2089"/>
      <c r="R384" s="1699">
        <f t="shared" si="464"/>
        <v>276.84078052898582</v>
      </c>
      <c r="S384" s="1699">
        <f t="shared" si="464"/>
        <v>279.93971166448233</v>
      </c>
      <c r="T384" s="1699">
        <f t="shared" si="464"/>
        <v>288.80481471290005</v>
      </c>
      <c r="U384" s="1699">
        <f t="shared" si="464"/>
        <v>299.65159574468089</v>
      </c>
      <c r="V384" s="2089"/>
      <c r="W384" s="1699">
        <f t="shared" si="465"/>
        <v>294.42743083134894</v>
      </c>
      <c r="X384" s="1699">
        <f t="shared" si="465"/>
        <v>302.2494262837979</v>
      </c>
      <c r="Y384" s="1699">
        <f t="shared" si="465"/>
        <v>309.8977270335684</v>
      </c>
      <c r="Z384" s="1699">
        <f t="shared" si="465"/>
        <v>321.841961852861</v>
      </c>
      <c r="AA384" s="2089"/>
      <c r="AB384" s="1699"/>
      <c r="AC384" s="1699">
        <f>AC302/W252</f>
        <v>317.57718518303153</v>
      </c>
      <c r="AD384" s="1699"/>
      <c r="AE384" s="1699">
        <f>AE302/Y252</f>
        <v>315.07241325183435</v>
      </c>
      <c r="AF384" s="1699"/>
      <c r="AG384" s="1699">
        <f>AG302/W252</f>
        <v>316.97438644236706</v>
      </c>
      <c r="AH384" s="1699"/>
      <c r="AI384" s="1699"/>
      <c r="AJ384" s="2089"/>
      <c r="AK384" s="1699"/>
      <c r="AL384" s="1699"/>
      <c r="AM384" s="1699"/>
      <c r="AN384" s="1699"/>
      <c r="AO384" s="2089"/>
      <c r="AP384" s="1699"/>
      <c r="AQ384" s="1699"/>
      <c r="AR384" s="1699"/>
      <c r="AS384" s="1699"/>
      <c r="AT384" s="2089"/>
      <c r="AU384" s="1699"/>
      <c r="AV384" s="1699"/>
      <c r="AW384" s="1699"/>
      <c r="AX384" s="1699"/>
      <c r="AY384" s="2089"/>
      <c r="AZ384" s="1699"/>
      <c r="BA384" s="1699"/>
      <c r="BB384" s="1699"/>
      <c r="BC384" s="1328"/>
      <c r="BD384" s="2089"/>
      <c r="BE384" s="1699"/>
      <c r="BF384" s="1699"/>
      <c r="BG384" s="1699"/>
      <c r="BH384" s="1328"/>
      <c r="BI384" s="2089"/>
      <c r="BJ384" s="1699"/>
      <c r="BK384" s="1699"/>
      <c r="BL384" s="1699"/>
      <c r="BM384" s="1699"/>
      <c r="BN384" s="2089"/>
      <c r="BO384" s="1328"/>
      <c r="BP384" s="1328"/>
      <c r="BQ384" s="1293"/>
      <c r="BR384" s="1293"/>
      <c r="BS384" s="1293"/>
      <c r="BT384" s="1293"/>
      <c r="BU384" s="1293"/>
      <c r="BV384" s="1293"/>
      <c r="BW384" s="1293"/>
      <c r="BX384" s="1293"/>
      <c r="BY384" s="1293"/>
      <c r="BZ384" s="1293"/>
      <c r="CA384" s="1293"/>
      <c r="CB384" s="1293"/>
      <c r="CC384" s="1293"/>
      <c r="CD384" s="1293"/>
      <c r="CE384" s="1293"/>
      <c r="CF384" s="1293"/>
      <c r="CG384" s="1293"/>
      <c r="CH384" s="1293"/>
      <c r="CI384" s="1293"/>
      <c r="CJ384" s="1293"/>
      <c r="CK384" s="1293"/>
      <c r="CL384" s="1293"/>
      <c r="CM384" s="1293"/>
      <c r="CN384" s="1293"/>
      <c r="CO384" s="1293"/>
      <c r="CP384" s="1293"/>
      <c r="CQ384" s="1293"/>
      <c r="CR384" s="1293"/>
      <c r="CS384" s="1293"/>
      <c r="CT384" s="1293"/>
      <c r="CU384" s="1293"/>
      <c r="CV384" s="1293"/>
      <c r="CW384" s="1293"/>
      <c r="CX384" s="1293"/>
      <c r="CY384" s="2101"/>
      <c r="CZ384" s="1328"/>
      <c r="DA384" s="2042"/>
      <c r="DB384" s="2041"/>
      <c r="DC384" s="1293"/>
      <c r="DD384" s="1293"/>
      <c r="DE384" s="1293"/>
      <c r="DF384" s="1293"/>
      <c r="DG384" s="1293"/>
      <c r="DH384" s="1293"/>
      <c r="DI384" s="1293"/>
      <c r="DJ384" s="1293"/>
      <c r="DK384" s="1293"/>
      <c r="DL384" s="1293"/>
    </row>
    <row r="385" spans="1:116" ht="15.75">
      <c r="A385" s="1293"/>
      <c r="B385" s="1293" t="str">
        <f>B352</f>
        <v>Honduras (JV)</v>
      </c>
      <c r="C385" s="1328"/>
      <c r="D385" s="1328"/>
      <c r="E385" s="1328"/>
      <c r="F385" s="1328"/>
      <c r="G385" s="2089"/>
      <c r="H385" s="1699">
        <f t="shared" si="463"/>
        <v>163.7557972532521</v>
      </c>
      <c r="I385" s="1699">
        <f t="shared" si="463"/>
        <v>162.9020091589588</v>
      </c>
      <c r="J385" s="1699">
        <f t="shared" si="463"/>
        <v>159.89508483084683</v>
      </c>
      <c r="K385" s="1699">
        <f t="shared" si="463"/>
        <v>158.48378660031773</v>
      </c>
      <c r="L385" s="2039">
        <f t="shared" si="463"/>
        <v>644.82122714163472</v>
      </c>
      <c r="M385" s="1699">
        <f t="shared" si="463"/>
        <v>154.76815969131377</v>
      </c>
      <c r="N385" s="1699">
        <f t="shared" si="463"/>
        <v>153.01942106806419</v>
      </c>
      <c r="O385" s="1699">
        <f t="shared" si="463"/>
        <v>149.77063104042293</v>
      </c>
      <c r="P385" s="1699">
        <f t="shared" si="463"/>
        <v>151.58794421952314</v>
      </c>
      <c r="Q385" s="2089"/>
      <c r="R385" s="1699">
        <f t="shared" si="464"/>
        <v>147.27704492488934</v>
      </c>
      <c r="S385" s="1699">
        <f t="shared" si="464"/>
        <v>146.60675142481369</v>
      </c>
      <c r="T385" s="1699">
        <f t="shared" si="464"/>
        <v>142.10278929891064</v>
      </c>
      <c r="U385" s="1699">
        <f t="shared" si="464"/>
        <v>144.78442340791739</v>
      </c>
      <c r="V385" s="2089"/>
      <c r="W385" s="1699">
        <f t="shared" si="465"/>
        <v>137.8488229010616</v>
      </c>
      <c r="X385" s="1699">
        <f t="shared" si="465"/>
        <v>139.51442547770702</v>
      </c>
      <c r="Y385" s="1699">
        <f t="shared" si="465"/>
        <v>139.06768471035136</v>
      </c>
      <c r="Z385" s="1699">
        <f t="shared" si="465"/>
        <v>146.58648533786655</v>
      </c>
      <c r="AA385" s="2089"/>
      <c r="AB385" s="1699"/>
      <c r="AC385" s="1699">
        <f>AC303/W253</f>
        <v>143.12291958473892</v>
      </c>
      <c r="AD385" s="1699"/>
      <c r="AE385" s="1699">
        <f>AE303/Y253</f>
        <v>141.07615954544031</v>
      </c>
      <c r="AF385" s="1699"/>
      <c r="AG385" s="1699">
        <f>AG303/W253</f>
        <v>141.91329640671307</v>
      </c>
      <c r="AH385" s="1699"/>
      <c r="AI385" s="1699"/>
      <c r="AJ385" s="2089"/>
      <c r="AK385" s="1699"/>
      <c r="AL385" s="1699"/>
      <c r="AM385" s="1699"/>
      <c r="AN385" s="1699"/>
      <c r="AO385" s="2089"/>
      <c r="AP385" s="1699"/>
      <c r="AQ385" s="1699"/>
      <c r="AR385" s="1699"/>
      <c r="AS385" s="1699"/>
      <c r="AT385" s="2089"/>
      <c r="AU385" s="1699"/>
      <c r="AV385" s="1699"/>
      <c r="AW385" s="1699"/>
      <c r="AX385" s="1699"/>
      <c r="AY385" s="2089"/>
      <c r="AZ385" s="1699"/>
      <c r="BA385" s="1699"/>
      <c r="BB385" s="1699"/>
      <c r="BC385" s="1328"/>
      <c r="BD385" s="2089"/>
      <c r="BE385" s="1699"/>
      <c r="BF385" s="1699"/>
      <c r="BG385" s="1699"/>
      <c r="BH385" s="1328"/>
      <c r="BI385" s="2089"/>
      <c r="BJ385" s="1699"/>
      <c r="BK385" s="1699"/>
      <c r="BL385" s="1699"/>
      <c r="BM385" s="1699"/>
      <c r="BN385" s="2089"/>
      <c r="BO385" s="1328"/>
      <c r="BP385" s="1328"/>
      <c r="BQ385" s="1293"/>
      <c r="BR385" s="1293"/>
      <c r="BS385" s="1293"/>
      <c r="BT385" s="1293"/>
      <c r="BU385" s="1293"/>
      <c r="BV385" s="1293"/>
      <c r="BW385" s="1293"/>
      <c r="BX385" s="1293"/>
      <c r="BY385" s="1293"/>
      <c r="BZ385" s="1293"/>
      <c r="CA385" s="1293"/>
      <c r="CB385" s="1293"/>
      <c r="CC385" s="1293"/>
      <c r="CD385" s="1293"/>
      <c r="CE385" s="1293"/>
      <c r="CF385" s="1293"/>
      <c r="CG385" s="1293"/>
      <c r="CH385" s="1293"/>
      <c r="CI385" s="1293"/>
      <c r="CJ385" s="1293"/>
      <c r="CK385" s="1293"/>
      <c r="CL385" s="1293"/>
      <c r="CM385" s="1293"/>
      <c r="CN385" s="1293"/>
      <c r="CO385" s="1293"/>
      <c r="CP385" s="1293"/>
      <c r="CQ385" s="1293"/>
      <c r="CR385" s="1293"/>
      <c r="CS385" s="1293"/>
      <c r="CT385" s="1293"/>
      <c r="CU385" s="1293"/>
      <c r="CV385" s="1293"/>
      <c r="CW385" s="1293"/>
      <c r="CX385" s="1293"/>
      <c r="CY385" s="2101"/>
      <c r="CZ385" s="1328"/>
      <c r="DA385" s="2042"/>
      <c r="DB385" s="2041"/>
      <c r="DC385" s="1293"/>
      <c r="DD385" s="1293"/>
      <c r="DE385" s="1293"/>
      <c r="DF385" s="1293"/>
      <c r="DG385" s="1293"/>
      <c r="DH385" s="1293"/>
      <c r="DI385" s="1293"/>
      <c r="DJ385" s="1293"/>
      <c r="DK385" s="1293"/>
      <c r="DL385" s="1293"/>
    </row>
    <row r="386" spans="1:116" ht="15.75">
      <c r="A386" s="1293"/>
      <c r="B386" s="1293" t="s">
        <v>2032</v>
      </c>
      <c r="C386" s="1328"/>
      <c r="D386" s="1328"/>
      <c r="E386" s="1328"/>
      <c r="F386" s="1328"/>
      <c r="G386" s="2089"/>
      <c r="H386" s="1699"/>
      <c r="I386" s="1699"/>
      <c r="J386" s="1699"/>
      <c r="K386" s="1699"/>
      <c r="L386" s="2039"/>
      <c r="M386" s="1699"/>
      <c r="N386" s="1699"/>
      <c r="O386" s="1699"/>
      <c r="P386" s="1699"/>
      <c r="Q386" s="2089"/>
      <c r="R386" s="1699"/>
      <c r="S386" s="1699"/>
      <c r="T386" s="1699"/>
      <c r="U386" s="1699"/>
      <c r="V386" s="2089"/>
      <c r="W386" s="1699"/>
      <c r="X386" s="1699"/>
      <c r="Y386" s="1699"/>
      <c r="Z386" s="1699"/>
      <c r="AA386" s="2089"/>
      <c r="AB386" s="1699"/>
      <c r="AC386" s="1699"/>
      <c r="AD386" s="1699"/>
      <c r="AE386" s="1699"/>
      <c r="AF386" s="1699"/>
      <c r="AG386" s="1699"/>
      <c r="AH386" s="1699"/>
      <c r="AI386" s="1699"/>
      <c r="AJ386" s="2089"/>
      <c r="AK386" s="1699"/>
      <c r="AL386" s="1699"/>
      <c r="AM386" s="1699"/>
      <c r="AN386" s="1699"/>
      <c r="AO386" s="2089"/>
      <c r="AP386" s="1699"/>
      <c r="AQ386" s="1699"/>
      <c r="AR386" s="1699"/>
      <c r="AS386" s="1699"/>
      <c r="AT386" s="2089"/>
      <c r="AU386" s="1699"/>
      <c r="AV386" s="1699"/>
      <c r="AW386" s="1699"/>
      <c r="AX386" s="1699"/>
      <c r="AY386" s="2089"/>
      <c r="AZ386" s="1699"/>
      <c r="BA386" s="1699"/>
      <c r="BB386" s="1699"/>
      <c r="BC386" s="1328"/>
      <c r="BD386" s="2089"/>
      <c r="BE386" s="1699"/>
      <c r="BF386" s="1699"/>
      <c r="BG386" s="1699"/>
      <c r="BH386" s="1328"/>
      <c r="BI386" s="2089"/>
      <c r="BJ386" s="1699"/>
      <c r="BK386" s="1699"/>
      <c r="BL386" s="1699"/>
      <c r="BM386" s="1699"/>
      <c r="BN386" s="2089"/>
      <c r="BO386" s="1328"/>
      <c r="BP386" s="1328"/>
      <c r="BQ386" s="1293"/>
      <c r="BR386" s="1293"/>
      <c r="BS386" s="1293"/>
      <c r="BT386" s="1293"/>
      <c r="BU386" s="1293"/>
      <c r="BV386" s="1293"/>
      <c r="BW386" s="1293"/>
      <c r="BX386" s="1293"/>
      <c r="BY386" s="1293"/>
      <c r="BZ386" s="1293"/>
      <c r="CA386" s="1293"/>
      <c r="CB386" s="1293"/>
      <c r="CC386" s="1293"/>
      <c r="CD386" s="1293"/>
      <c r="CE386" s="1293"/>
      <c r="CF386" s="1293"/>
      <c r="CG386" s="1293"/>
      <c r="CH386" s="1293"/>
      <c r="CI386" s="1293"/>
      <c r="CJ386" s="1293"/>
      <c r="CK386" s="1293"/>
      <c r="CL386" s="1293"/>
      <c r="CM386" s="1293"/>
      <c r="CN386" s="1293"/>
      <c r="CO386" s="1293"/>
      <c r="CP386" s="1293"/>
      <c r="CQ386" s="1293"/>
      <c r="CR386" s="1293"/>
      <c r="CS386" s="1293"/>
      <c r="CT386" s="1293"/>
      <c r="CU386" s="1293"/>
      <c r="CV386" s="1293"/>
      <c r="CW386" s="1293"/>
      <c r="CX386" s="1293"/>
      <c r="CY386" s="2101"/>
      <c r="CZ386" s="1328"/>
      <c r="DA386" s="2042"/>
      <c r="DB386" s="2041"/>
      <c r="DC386" s="1293"/>
      <c r="DD386" s="1293"/>
      <c r="DE386" s="1293"/>
      <c r="DF386" s="1293"/>
      <c r="DG386" s="1293"/>
      <c r="DH386" s="1293"/>
      <c r="DI386" s="1293"/>
      <c r="DJ386" s="1293"/>
      <c r="DK386" s="1293"/>
      <c r="DL386" s="1293"/>
    </row>
    <row r="387" spans="1:116" ht="15.75">
      <c r="A387" s="1293"/>
      <c r="B387" s="1293" t="str">
        <f>B357</f>
        <v>Costa Rica/old Nicaragua</v>
      </c>
      <c r="C387" s="1328"/>
      <c r="D387" s="1328"/>
      <c r="E387" s="1328"/>
      <c r="F387" s="1328"/>
      <c r="G387" s="2089"/>
      <c r="H387" s="1699">
        <f t="shared" ref="H387:P387" si="466">H308/C255</f>
        <v>35.193904487850645</v>
      </c>
      <c r="I387" s="1699">
        <f t="shared" si="466"/>
        <v>34.643725747556161</v>
      </c>
      <c r="J387" s="1699">
        <f t="shared" si="466"/>
        <v>37.408891493339226</v>
      </c>
      <c r="K387" s="1699">
        <f t="shared" si="466"/>
        <v>40.92710982056812</v>
      </c>
      <c r="L387" s="2039">
        <f t="shared" si="466"/>
        <v>148.3436348455451</v>
      </c>
      <c r="M387" s="1699">
        <f t="shared" si="466"/>
        <v>38.431536060744783</v>
      </c>
      <c r="N387" s="1699">
        <f t="shared" si="466"/>
        <v>38.319850588103151</v>
      </c>
      <c r="O387" s="1699">
        <f t="shared" si="466"/>
        <v>39.084838462906248</v>
      </c>
      <c r="P387" s="1699">
        <f t="shared" si="466"/>
        <v>38.255424892148802</v>
      </c>
      <c r="Q387" s="2089"/>
      <c r="R387" s="1699">
        <f>R308/M255</f>
        <v>39.471320732150502</v>
      </c>
      <c r="S387" s="1699">
        <f>S308/N255</f>
        <v>39.730418943533699</v>
      </c>
      <c r="T387" s="1699">
        <f>T308/O255</f>
        <v>38.318367127027173</v>
      </c>
      <c r="U387" s="1699">
        <f>U308/P255</f>
        <v>34.569886708838141</v>
      </c>
      <c r="V387" s="2089"/>
      <c r="W387" s="1699">
        <f>W308/R255</f>
        <v>37.309335393663396</v>
      </c>
      <c r="X387" s="1699">
        <f>X308/S255</f>
        <v>36.524305548110434</v>
      </c>
      <c r="Y387" s="1699">
        <f>Y308/T255</f>
        <v>35.747976708975578</v>
      </c>
      <c r="Z387" s="1699">
        <f>Z308/U255</f>
        <v>36.845342706502635</v>
      </c>
      <c r="AA387" s="2089"/>
      <c r="AB387" s="1699"/>
      <c r="AC387" s="1699">
        <f>AC308/W255</f>
        <v>36.25602433734992</v>
      </c>
      <c r="AD387" s="1699"/>
      <c r="AE387" s="1699">
        <f>AE308/Y255</f>
        <v>33.154453151593245</v>
      </c>
      <c r="AF387" s="1699"/>
      <c r="AG387" s="1699">
        <f>AG308/W255</f>
        <v>33.276558435802023</v>
      </c>
      <c r="AH387" s="1699"/>
      <c r="AI387" s="1699"/>
      <c r="AJ387" s="2089"/>
      <c r="AK387" s="1699"/>
      <c r="AL387" s="1699"/>
      <c r="AM387" s="1699"/>
      <c r="AN387" s="1699"/>
      <c r="AO387" s="2089"/>
      <c r="AP387" s="1699"/>
      <c r="AQ387" s="1699"/>
      <c r="AR387" s="1699"/>
      <c r="AS387" s="1699"/>
      <c r="AT387" s="2089"/>
      <c r="AU387" s="1699"/>
      <c r="AV387" s="1699"/>
      <c r="AW387" s="1699"/>
      <c r="AX387" s="1699"/>
      <c r="AY387" s="2089"/>
      <c r="AZ387" s="1699"/>
      <c r="BA387" s="1699"/>
      <c r="BB387" s="1699"/>
      <c r="BC387" s="1328"/>
      <c r="BD387" s="2089"/>
      <c r="BE387" s="1699"/>
      <c r="BF387" s="1699"/>
      <c r="BG387" s="1699"/>
      <c r="BH387" s="1328"/>
      <c r="BI387" s="2089"/>
      <c r="BJ387" s="1699"/>
      <c r="BK387" s="1699"/>
      <c r="BL387" s="1699"/>
      <c r="BM387" s="1699"/>
      <c r="BN387" s="2089"/>
      <c r="BO387" s="1328"/>
      <c r="BP387" s="1328"/>
      <c r="BQ387" s="1293"/>
      <c r="BR387" s="1293"/>
      <c r="BS387" s="1293"/>
      <c r="BT387" s="1293"/>
      <c r="BU387" s="1293"/>
      <c r="BV387" s="1293"/>
      <c r="BW387" s="1293"/>
      <c r="BX387" s="1293"/>
      <c r="BY387" s="1293"/>
      <c r="BZ387" s="1293"/>
      <c r="CA387" s="1293"/>
      <c r="CB387" s="1293"/>
      <c r="CC387" s="1293"/>
      <c r="CD387" s="1293"/>
      <c r="CE387" s="1293"/>
      <c r="CF387" s="1293"/>
      <c r="CG387" s="1293"/>
      <c r="CH387" s="1293"/>
      <c r="CI387" s="1293"/>
      <c r="CJ387" s="1293"/>
      <c r="CK387" s="1293"/>
      <c r="CL387" s="1293"/>
      <c r="CM387" s="1293"/>
      <c r="CN387" s="1293"/>
      <c r="CO387" s="1293"/>
      <c r="CP387" s="1293"/>
      <c r="CQ387" s="1293"/>
      <c r="CR387" s="1293"/>
      <c r="CS387" s="1293"/>
      <c r="CT387" s="1293"/>
      <c r="CU387" s="1293"/>
      <c r="CV387" s="1293"/>
      <c r="CW387" s="1293"/>
      <c r="CX387" s="1293"/>
      <c r="CY387" s="2101"/>
      <c r="CZ387" s="1328"/>
      <c r="DA387" s="2042"/>
      <c r="DB387" s="2041"/>
      <c r="DC387" s="1293"/>
      <c r="DD387" s="1293"/>
      <c r="DE387" s="1293"/>
      <c r="DF387" s="1293"/>
      <c r="DG387" s="1293"/>
      <c r="DH387" s="1293"/>
      <c r="DI387" s="1293"/>
      <c r="DJ387" s="1293"/>
      <c r="DK387" s="1293"/>
      <c r="DL387" s="1293"/>
    </row>
    <row r="388" spans="1:116" ht="15.75">
      <c r="A388" s="1293"/>
      <c r="B388" s="1293" t="str">
        <f>B361</f>
        <v>Bolivia</v>
      </c>
      <c r="C388" s="1328"/>
      <c r="D388" s="1328"/>
      <c r="E388" s="1328"/>
      <c r="F388" s="1328"/>
      <c r="G388" s="2089"/>
      <c r="H388" s="1699">
        <f t="shared" ref="H388:P388" si="467">H312/C260</f>
        <v>124.568466684515</v>
      </c>
      <c r="I388" s="1699">
        <f t="shared" si="467"/>
        <v>122.312802470332</v>
      </c>
      <c r="J388" s="1699">
        <f t="shared" si="467"/>
        <v>128.48640629667199</v>
      </c>
      <c r="K388" s="1699">
        <f t="shared" si="467"/>
        <v>135.56449378002901</v>
      </c>
      <c r="L388" s="2039">
        <f t="shared" si="467"/>
        <v>510.93216923154824</v>
      </c>
      <c r="M388" s="1699">
        <f t="shared" si="467"/>
        <v>131.40062000578902</v>
      </c>
      <c r="N388" s="1699">
        <f t="shared" si="467"/>
        <v>128.10412315050701</v>
      </c>
      <c r="O388" s="1699">
        <f t="shared" si="467"/>
        <v>131.00058956584701</v>
      </c>
      <c r="P388" s="1699">
        <f t="shared" si="467"/>
        <v>134</v>
      </c>
      <c r="Q388" s="2089"/>
      <c r="R388" s="1699">
        <f>R312/M260</f>
        <v>132</v>
      </c>
      <c r="S388" s="1699">
        <f>S312/N260</f>
        <v>131</v>
      </c>
      <c r="T388" s="1699">
        <f>T312/O260</f>
        <v>139</v>
      </c>
      <c r="U388" s="1699">
        <f>U312/P260</f>
        <v>147</v>
      </c>
      <c r="V388" s="2089"/>
      <c r="W388" s="1699">
        <f>W312/R260</f>
        <v>137.07311343649121</v>
      </c>
      <c r="X388" s="1699">
        <f>X312/S260</f>
        <v>149.00000000000014</v>
      </c>
      <c r="Y388" s="1699">
        <f>Y312/T260</f>
        <v>155.0000000000002</v>
      </c>
      <c r="Z388" s="1699">
        <f>Z312/U260</f>
        <v>156</v>
      </c>
      <c r="AA388" s="2089"/>
      <c r="AB388" s="1699"/>
      <c r="AC388" s="1699">
        <f>AC312/W260</f>
        <v>153.47236485393404</v>
      </c>
      <c r="AD388" s="1699"/>
      <c r="AE388" s="1699">
        <f>AE312/Y260</f>
        <v>155.9999999999998</v>
      </c>
      <c r="AF388" s="1699"/>
      <c r="AG388" s="1699">
        <f>AG312/W260</f>
        <v>157.91572437018462</v>
      </c>
      <c r="AH388" s="1699"/>
      <c r="AI388" s="1699"/>
      <c r="AJ388" s="2089"/>
      <c r="AK388" s="1699"/>
      <c r="AL388" s="1699"/>
      <c r="AM388" s="1699"/>
      <c r="AN388" s="1699"/>
      <c r="AO388" s="2089"/>
      <c r="AP388" s="1699"/>
      <c r="AQ388" s="1699"/>
      <c r="AR388" s="1699"/>
      <c r="AS388" s="1699"/>
      <c r="AT388" s="2089"/>
      <c r="AU388" s="1699"/>
      <c r="AV388" s="1699"/>
      <c r="AW388" s="1699"/>
      <c r="AX388" s="1699"/>
      <c r="AY388" s="2089"/>
      <c r="AZ388" s="1699"/>
      <c r="BA388" s="1699"/>
      <c r="BB388" s="1699"/>
      <c r="BC388" s="1328"/>
      <c r="BD388" s="2089"/>
      <c r="BE388" s="1699"/>
      <c r="BF388" s="1699"/>
      <c r="BG388" s="1699"/>
      <c r="BH388" s="1328"/>
      <c r="BI388" s="2089"/>
      <c r="BJ388" s="1699"/>
      <c r="BK388" s="1699"/>
      <c r="BL388" s="1699"/>
      <c r="BM388" s="1699"/>
      <c r="BN388" s="2089"/>
      <c r="BO388" s="1328"/>
      <c r="BP388" s="1328"/>
      <c r="BQ388" s="1293"/>
      <c r="BR388" s="1293"/>
      <c r="BS388" s="1293"/>
      <c r="BT388" s="1293"/>
      <c r="BU388" s="1293"/>
      <c r="BV388" s="1293"/>
      <c r="BW388" s="1293"/>
      <c r="BX388" s="1293"/>
      <c r="BY388" s="1293"/>
      <c r="BZ388" s="1293"/>
      <c r="CA388" s="1293"/>
      <c r="CB388" s="1293"/>
      <c r="CC388" s="1293"/>
      <c r="CD388" s="1293"/>
      <c r="CE388" s="1293"/>
      <c r="CF388" s="1293"/>
      <c r="CG388" s="1293"/>
      <c r="CH388" s="1293"/>
      <c r="CI388" s="1293"/>
      <c r="CJ388" s="1293"/>
      <c r="CK388" s="1293"/>
      <c r="CL388" s="1293"/>
      <c r="CM388" s="1293"/>
      <c r="CN388" s="1293"/>
      <c r="CO388" s="1293"/>
      <c r="CP388" s="1293"/>
      <c r="CQ388" s="1293"/>
      <c r="CR388" s="1293"/>
      <c r="CS388" s="1293"/>
      <c r="CT388" s="1293"/>
      <c r="CU388" s="1293"/>
      <c r="CV388" s="1293"/>
      <c r="CW388" s="1293"/>
      <c r="CX388" s="1293"/>
      <c r="CY388" s="2101"/>
      <c r="CZ388" s="1328"/>
      <c r="DA388" s="2042"/>
      <c r="DB388" s="2041"/>
      <c r="DC388" s="1293"/>
      <c r="DD388" s="1293"/>
      <c r="DE388" s="1293"/>
      <c r="DF388" s="1293"/>
      <c r="DG388" s="1293"/>
      <c r="DH388" s="1293"/>
      <c r="DI388" s="1293"/>
      <c r="DJ388" s="1293"/>
      <c r="DK388" s="1293"/>
      <c r="DL388" s="1293"/>
    </row>
    <row r="389" spans="1:116" ht="15.75">
      <c r="A389" s="1293"/>
      <c r="B389" s="1293" t="str">
        <f>B362</f>
        <v>Colombia</v>
      </c>
      <c r="C389" s="1328"/>
      <c r="D389" s="1328"/>
      <c r="E389" s="1328"/>
      <c r="F389" s="1328"/>
      <c r="G389" s="2089"/>
      <c r="H389" s="1699">
        <f t="shared" ref="H389:P390" si="468">H313*1000/C261</f>
        <v>584.23431918862423</v>
      </c>
      <c r="I389" s="1699">
        <f t="shared" si="468"/>
        <v>623.07709389098352</v>
      </c>
      <c r="J389" s="1699">
        <f t="shared" si="468"/>
        <v>635.56573921676681</v>
      </c>
      <c r="K389" s="1699">
        <f t="shared" si="468"/>
        <v>587.34992915178623</v>
      </c>
      <c r="L389" s="2039">
        <f t="shared" si="468"/>
        <v>2425.9559511868192</v>
      </c>
      <c r="M389" s="1699">
        <f t="shared" si="468"/>
        <v>474.13135828419871</v>
      </c>
      <c r="N389" s="1699">
        <f t="shared" si="468"/>
        <v>478.47609393574027</v>
      </c>
      <c r="O389" s="1699">
        <f t="shared" si="468"/>
        <v>406.31989780966427</v>
      </c>
      <c r="P389" s="1699">
        <f t="shared" si="468"/>
        <v>399.44321021259395</v>
      </c>
      <c r="Q389" s="2089"/>
      <c r="R389" s="1699">
        <f t="shared" ref="R389:U390" si="469">R313*1000/M261</f>
        <v>371.64693191530364</v>
      </c>
      <c r="S389" s="1699">
        <f t="shared" si="469"/>
        <v>389.91379886401603</v>
      </c>
      <c r="T389" s="1699">
        <f t="shared" si="469"/>
        <v>406.28666395183745</v>
      </c>
      <c r="U389" s="1699">
        <f t="shared" si="469"/>
        <v>408.5024556730209</v>
      </c>
      <c r="V389" s="2089"/>
      <c r="W389" s="1699">
        <f t="shared" ref="W389:Z390" si="470">W313*1000/R261</f>
        <v>384.31677680994335</v>
      </c>
      <c r="X389" s="1699">
        <f t="shared" si="470"/>
        <v>390.44243246065093</v>
      </c>
      <c r="Y389" s="1699">
        <f t="shared" si="470"/>
        <v>389.66173483889315</v>
      </c>
      <c r="Z389" s="1699">
        <f t="shared" si="470"/>
        <v>383.95041876046901</v>
      </c>
      <c r="AA389" s="2089"/>
      <c r="AB389" s="1699"/>
      <c r="AC389" s="1699">
        <f>AC313*1000/W261</f>
        <v>404.00800636131328</v>
      </c>
      <c r="AD389" s="1699"/>
      <c r="AE389" s="1699">
        <f>AE313*1000/Y261</f>
        <v>388.8005375596403</v>
      </c>
      <c r="AF389" s="1699"/>
      <c r="AG389" s="1699">
        <f>AG313*1000/W261</f>
        <v>409.05999686760077</v>
      </c>
      <c r="AH389" s="1699"/>
      <c r="AI389" s="1699"/>
      <c r="AJ389" s="2089"/>
      <c r="AK389" s="1699"/>
      <c r="AL389" s="1699"/>
      <c r="AM389" s="1699"/>
      <c r="AN389" s="1699"/>
      <c r="AO389" s="2089"/>
      <c r="AP389" s="1699"/>
      <c r="AQ389" s="1699"/>
      <c r="AR389" s="1699"/>
      <c r="AS389" s="1699"/>
      <c r="AT389" s="2089"/>
      <c r="AU389" s="1699"/>
      <c r="AV389" s="1699"/>
      <c r="AW389" s="1699"/>
      <c r="AX389" s="1699"/>
      <c r="AY389" s="2089"/>
      <c r="AZ389" s="1699"/>
      <c r="BA389" s="1699"/>
      <c r="BB389" s="1699"/>
      <c r="BC389" s="1328"/>
      <c r="BD389" s="2089"/>
      <c r="BE389" s="1699"/>
      <c r="BF389" s="1699"/>
      <c r="BG389" s="1699"/>
      <c r="BH389" s="1328"/>
      <c r="BI389" s="2089"/>
      <c r="BJ389" s="1699"/>
      <c r="BK389" s="1699"/>
      <c r="BL389" s="1699"/>
      <c r="BM389" s="1699"/>
      <c r="BN389" s="2089"/>
      <c r="BO389" s="1328"/>
      <c r="BP389" s="1328"/>
      <c r="BQ389" s="1293"/>
      <c r="BR389" s="1293"/>
      <c r="BS389" s="1293"/>
      <c r="BT389" s="1293"/>
      <c r="BU389" s="1293"/>
      <c r="BV389" s="1293"/>
      <c r="BW389" s="1293"/>
      <c r="BX389" s="1293"/>
      <c r="BY389" s="1293"/>
      <c r="BZ389" s="1293"/>
      <c r="CA389" s="1293"/>
      <c r="CB389" s="1293"/>
      <c r="CC389" s="1293"/>
      <c r="CD389" s="1293"/>
      <c r="CE389" s="1293"/>
      <c r="CF389" s="1293"/>
      <c r="CG389" s="1293"/>
      <c r="CH389" s="1293"/>
      <c r="CI389" s="1293"/>
      <c r="CJ389" s="1293"/>
      <c r="CK389" s="1293"/>
      <c r="CL389" s="1293"/>
      <c r="CM389" s="1293"/>
      <c r="CN389" s="1293"/>
      <c r="CO389" s="1293"/>
      <c r="CP389" s="1293"/>
      <c r="CQ389" s="1293"/>
      <c r="CR389" s="1293"/>
      <c r="CS389" s="1293"/>
      <c r="CT389" s="1293"/>
      <c r="CU389" s="1293"/>
      <c r="CV389" s="1293"/>
      <c r="CW389" s="1293"/>
      <c r="CX389" s="1293"/>
      <c r="CY389" s="2101"/>
      <c r="CZ389" s="1328"/>
      <c r="DA389" s="2042"/>
      <c r="DB389" s="2041"/>
      <c r="DC389" s="1293"/>
      <c r="DD389" s="1293"/>
      <c r="DE389" s="1293"/>
      <c r="DF389" s="1293"/>
      <c r="DG389" s="1293"/>
      <c r="DH389" s="1293"/>
      <c r="DI389" s="1293"/>
      <c r="DJ389" s="1293"/>
      <c r="DK389" s="1293"/>
      <c r="DL389" s="1293"/>
    </row>
    <row r="390" spans="1:116" ht="15.75">
      <c r="A390" s="1293"/>
      <c r="B390" s="1293" t="str">
        <f>B363</f>
        <v>Paraguay</v>
      </c>
      <c r="C390" s="1328"/>
      <c r="D390" s="1328"/>
      <c r="E390" s="1328"/>
      <c r="F390" s="1328"/>
      <c r="G390" s="2089"/>
      <c r="H390" s="1699">
        <f t="shared" si="468"/>
        <v>167.81693172031552</v>
      </c>
      <c r="I390" s="1699">
        <f t="shared" si="468"/>
        <v>174.38816097861354</v>
      </c>
      <c r="J390" s="1699">
        <f t="shared" si="468"/>
        <v>185.94065072512788</v>
      </c>
      <c r="K390" s="1699">
        <f t="shared" si="468"/>
        <v>178.51489937566851</v>
      </c>
      <c r="L390" s="2039">
        <f t="shared" si="468"/>
        <v>707.17941783918286</v>
      </c>
      <c r="M390" s="1699">
        <f t="shared" si="468"/>
        <v>171.80821642240272</v>
      </c>
      <c r="N390" s="1699">
        <f t="shared" si="468"/>
        <v>163.648039733178</v>
      </c>
      <c r="O390" s="1699">
        <f t="shared" si="468"/>
        <v>156.10037550770323</v>
      </c>
      <c r="P390" s="1699">
        <f t="shared" si="468"/>
        <v>146.81756058464981</v>
      </c>
      <c r="Q390" s="2089"/>
      <c r="R390" s="1699">
        <f t="shared" si="469"/>
        <v>146.13662816631805</v>
      </c>
      <c r="S390" s="1699">
        <f t="shared" si="469"/>
        <v>151.45618693574085</v>
      </c>
      <c r="T390" s="1699">
        <f t="shared" si="469"/>
        <v>159.50960895293159</v>
      </c>
      <c r="U390" s="1699">
        <f t="shared" si="469"/>
        <v>159.75125056367125</v>
      </c>
      <c r="V390" s="2089"/>
      <c r="W390" s="1699">
        <f t="shared" si="470"/>
        <v>157.65117056974327</v>
      </c>
      <c r="X390" s="1699">
        <f t="shared" si="470"/>
        <v>159.78423902277976</v>
      </c>
      <c r="Y390" s="1699">
        <f t="shared" si="470"/>
        <v>163.97026875745985</v>
      </c>
      <c r="Z390" s="1699">
        <f t="shared" si="470"/>
        <v>162.29776674937966</v>
      </c>
      <c r="AA390" s="2089"/>
      <c r="AB390" s="1699"/>
      <c r="AC390" s="1699">
        <f>AC314*1000/W262</f>
        <v>158.88611640145106</v>
      </c>
      <c r="AD390" s="1699"/>
      <c r="AE390" s="1699">
        <f>AE314*1000/Y262</f>
        <v>153.78106610736202</v>
      </c>
      <c r="AF390" s="1699"/>
      <c r="AG390" s="1699">
        <f>AG314*1000/W262</f>
        <v>155.18878929628647</v>
      </c>
      <c r="AH390" s="1699"/>
      <c r="AI390" s="1699"/>
      <c r="AJ390" s="2089"/>
      <c r="AK390" s="1699"/>
      <c r="AL390" s="1699"/>
      <c r="AM390" s="1699"/>
      <c r="AN390" s="1699"/>
      <c r="AO390" s="2089"/>
      <c r="AP390" s="1699"/>
      <c r="AQ390" s="1699"/>
      <c r="AR390" s="1699"/>
      <c r="AS390" s="1699"/>
      <c r="AT390" s="2089"/>
      <c r="AU390" s="1699"/>
      <c r="AV390" s="1699"/>
      <c r="AW390" s="1699"/>
      <c r="AX390" s="1699"/>
      <c r="AY390" s="2089"/>
      <c r="AZ390" s="1699"/>
      <c r="BA390" s="1699"/>
      <c r="BB390" s="1699"/>
      <c r="BC390" s="1328"/>
      <c r="BD390" s="2089"/>
      <c r="BE390" s="1699"/>
      <c r="BF390" s="1699"/>
      <c r="BG390" s="1699"/>
      <c r="BH390" s="1328"/>
      <c r="BI390" s="2089"/>
      <c r="BJ390" s="1699"/>
      <c r="BK390" s="1699"/>
      <c r="BL390" s="1699"/>
      <c r="BM390" s="1699"/>
      <c r="BN390" s="2089"/>
      <c r="BO390" s="1328"/>
      <c r="BP390" s="1328"/>
      <c r="BQ390" s="1293"/>
      <c r="BR390" s="1293"/>
      <c r="BS390" s="1293"/>
      <c r="BT390" s="1293"/>
      <c r="BU390" s="1293"/>
      <c r="BV390" s="1293"/>
      <c r="BW390" s="1293"/>
      <c r="BX390" s="1293"/>
      <c r="BY390" s="1293"/>
      <c r="BZ390" s="1293"/>
      <c r="CA390" s="1293"/>
      <c r="CB390" s="1293"/>
      <c r="CC390" s="1293"/>
      <c r="CD390" s="1293"/>
      <c r="CE390" s="1293"/>
      <c r="CF390" s="1293"/>
      <c r="CG390" s="1293"/>
      <c r="CH390" s="1293"/>
      <c r="CI390" s="1293"/>
      <c r="CJ390" s="1293"/>
      <c r="CK390" s="1293"/>
      <c r="CL390" s="1293"/>
      <c r="CM390" s="1293"/>
      <c r="CN390" s="1293"/>
      <c r="CO390" s="1293"/>
      <c r="CP390" s="1293"/>
      <c r="CQ390" s="1293"/>
      <c r="CR390" s="1293"/>
      <c r="CS390" s="1293"/>
      <c r="CT390" s="1293"/>
      <c r="CU390" s="1293"/>
      <c r="CV390" s="1293"/>
      <c r="CW390" s="1293"/>
      <c r="CX390" s="1293"/>
      <c r="CY390" s="2101"/>
      <c r="CZ390" s="1328"/>
      <c r="DA390" s="2042"/>
      <c r="DB390" s="2041"/>
      <c r="DC390" s="1293"/>
      <c r="DD390" s="1293"/>
      <c r="DE390" s="1293"/>
      <c r="DF390" s="1293"/>
      <c r="DG390" s="1293"/>
      <c r="DH390" s="1293"/>
      <c r="DI390" s="1293"/>
      <c r="DJ390" s="1293"/>
      <c r="DK390" s="1293"/>
      <c r="DL390" s="1293"/>
    </row>
    <row r="391" spans="1:116" ht="15.75">
      <c r="A391" s="1293"/>
      <c r="B391" s="1293"/>
      <c r="C391" s="1328"/>
      <c r="D391" s="1328"/>
      <c r="E391" s="1328"/>
      <c r="F391" s="1328"/>
      <c r="G391" s="2089"/>
      <c r="H391" s="1293"/>
      <c r="I391" s="1293"/>
      <c r="J391" s="1293"/>
      <c r="K391" s="1293"/>
      <c r="L391" s="2080"/>
      <c r="M391" s="1293"/>
      <c r="N391" s="1293"/>
      <c r="O391" s="1293"/>
      <c r="P391" s="1293"/>
      <c r="Q391" s="2089"/>
      <c r="R391" s="1293"/>
      <c r="S391" s="1293"/>
      <c r="T391" s="1293"/>
      <c r="U391" s="1293"/>
      <c r="V391" s="2089"/>
      <c r="W391" s="1293"/>
      <c r="X391" s="1293"/>
      <c r="Y391" s="1293"/>
      <c r="Z391" s="1293"/>
      <c r="AA391" s="2089"/>
      <c r="AB391" s="1293"/>
      <c r="AC391" s="1293"/>
      <c r="AD391" s="1293"/>
      <c r="AE391" s="1293"/>
      <c r="AF391" s="1293"/>
      <c r="AG391" s="1293"/>
      <c r="AH391" s="1293"/>
      <c r="AI391" s="1293"/>
      <c r="AJ391" s="2089"/>
      <c r="AK391" s="1293"/>
      <c r="AL391" s="1293"/>
      <c r="AM391" s="1293"/>
      <c r="AN391" s="1293"/>
      <c r="AO391" s="2089"/>
      <c r="AP391" s="1293"/>
      <c r="AQ391" s="1293"/>
      <c r="AR391" s="1293"/>
      <c r="AS391" s="1293"/>
      <c r="AT391" s="2089"/>
      <c r="AU391" s="1293"/>
      <c r="AV391" s="1293"/>
      <c r="AW391" s="1293"/>
      <c r="AX391" s="1293"/>
      <c r="AY391" s="2089"/>
      <c r="AZ391" s="1293"/>
      <c r="BA391" s="1293"/>
      <c r="BB391" s="1293"/>
      <c r="BC391" s="1328"/>
      <c r="BD391" s="2089"/>
      <c r="BE391" s="1293"/>
      <c r="BF391" s="1293"/>
      <c r="BG391" s="1293"/>
      <c r="BH391" s="1328"/>
      <c r="BI391" s="2089"/>
      <c r="BJ391" s="1293"/>
      <c r="BK391" s="1293"/>
      <c r="BL391" s="1293"/>
      <c r="BM391" s="1293"/>
      <c r="BN391" s="2089"/>
      <c r="BO391" s="1328"/>
      <c r="BP391" s="1328"/>
      <c r="BQ391" s="1293"/>
      <c r="BR391" s="1293"/>
      <c r="BS391" s="1293"/>
      <c r="BT391" s="1293"/>
      <c r="BU391" s="1293"/>
      <c r="BV391" s="1293"/>
      <c r="BW391" s="1293"/>
      <c r="BX391" s="1293"/>
      <c r="BY391" s="1293"/>
      <c r="BZ391" s="1293"/>
      <c r="CA391" s="1293"/>
      <c r="CB391" s="1293"/>
      <c r="CC391" s="1293"/>
      <c r="CD391" s="1293"/>
      <c r="CE391" s="1293"/>
      <c r="CF391" s="1293"/>
      <c r="CG391" s="1293"/>
      <c r="CH391" s="1293"/>
      <c r="CI391" s="1293"/>
      <c r="CJ391" s="1293"/>
      <c r="CK391" s="1293"/>
      <c r="CL391" s="1293"/>
      <c r="CM391" s="1293"/>
      <c r="CN391" s="1293"/>
      <c r="CO391" s="1293"/>
      <c r="CP391" s="1293"/>
      <c r="CQ391" s="1293"/>
      <c r="CR391" s="1293"/>
      <c r="CS391" s="1293"/>
      <c r="CT391" s="1293"/>
      <c r="CU391" s="1293"/>
      <c r="CV391" s="1293"/>
      <c r="CW391" s="1293"/>
      <c r="CX391" s="1293"/>
      <c r="CY391" s="2101"/>
      <c r="CZ391" s="1328"/>
      <c r="DA391" s="2031"/>
      <c r="DB391" s="2032"/>
      <c r="DC391" s="1293"/>
      <c r="DD391" s="1293"/>
      <c r="DE391" s="1293"/>
      <c r="DF391" s="1293"/>
      <c r="DG391" s="1293"/>
      <c r="DH391" s="1293"/>
      <c r="DI391" s="1293"/>
      <c r="DJ391" s="1293"/>
      <c r="DK391" s="1293"/>
      <c r="DL391" s="1293"/>
    </row>
    <row r="392" spans="1:116" ht="15.75">
      <c r="A392" s="1293"/>
      <c r="B392" s="1293" t="str">
        <f t="shared" ref="B392:B398" si="471">B316</f>
        <v>Chad</v>
      </c>
      <c r="C392" s="1293"/>
      <c r="D392" s="1293"/>
      <c r="E392" s="1293"/>
      <c r="F392" s="1293"/>
      <c r="G392" s="2080"/>
      <c r="H392" s="1699">
        <f t="shared" ref="H392:P398" si="472">H316/C264</f>
        <v>42.817452998118313</v>
      </c>
      <c r="I392" s="1699">
        <f t="shared" si="472"/>
        <v>45.470845921513458</v>
      </c>
      <c r="J392" s="1699">
        <f t="shared" si="472"/>
        <v>45.721711521411379</v>
      </c>
      <c r="K392" s="1699">
        <f t="shared" si="472"/>
        <v>45.058975566738638</v>
      </c>
      <c r="L392" s="2039">
        <f t="shared" si="472"/>
        <v>178.67673092335008</v>
      </c>
      <c r="M392" s="1699">
        <f t="shared" ca="1" si="472"/>
        <v>40.171512858682902</v>
      </c>
      <c r="N392" s="1699">
        <f t="shared" ca="1" si="472"/>
        <v>40.04548734184506</v>
      </c>
      <c r="O392" s="1699">
        <f t="shared" si="472"/>
        <v>39.912815101078003</v>
      </c>
      <c r="P392" s="1699">
        <f t="shared" si="472"/>
        <v>40.977713981291217</v>
      </c>
      <c r="Q392" s="2080"/>
      <c r="R392" s="1699">
        <f ca="1">R316/M264</f>
        <v>34.92690967726103</v>
      </c>
      <c r="S392" s="1699">
        <f ca="1">S316/N264</f>
        <v>36.133080351251088</v>
      </c>
      <c r="T392" s="1699">
        <f>T316/O264</f>
        <v>36.507545063007761</v>
      </c>
      <c r="U392" s="1699">
        <f>U316/P264</f>
        <v>36.555418960520917</v>
      </c>
      <c r="V392" s="2080"/>
      <c r="W392" s="1699">
        <f ca="1">W316/R264</f>
        <v>34.56103661123808</v>
      </c>
      <c r="X392" s="1699">
        <f ca="1">X316/S264</f>
        <v>36.855741958276113</v>
      </c>
      <c r="Y392" s="1699">
        <f>Y316/T264</f>
        <v>39.118350929722666</v>
      </c>
      <c r="Z392" s="1699">
        <f>Z316/U264</f>
        <v>39.801412348064964</v>
      </c>
      <c r="AA392" s="2080"/>
      <c r="AB392" s="1699"/>
      <c r="AC392" s="1699">
        <f ca="1">AC316/W264</f>
        <v>38.713985766422113</v>
      </c>
      <c r="AD392" s="1699"/>
      <c r="AE392" s="1699">
        <f>AE316/Y264</f>
        <v>0</v>
      </c>
      <c r="AF392" s="1699"/>
      <c r="AG392" s="1699">
        <f>AG316/W264</f>
        <v>0</v>
      </c>
      <c r="AH392" s="1699"/>
      <c r="AI392" s="1699"/>
      <c r="AJ392" s="2080"/>
      <c r="AK392" s="1699"/>
      <c r="AL392" s="1699"/>
      <c r="AM392" s="1699"/>
      <c r="AN392" s="1699"/>
      <c r="AO392" s="2080"/>
      <c r="AP392" s="1699"/>
      <c r="AQ392" s="1699"/>
      <c r="AR392" s="1699"/>
      <c r="AS392" s="1699"/>
      <c r="AT392" s="2080"/>
      <c r="AU392" s="1699"/>
      <c r="AV392" s="1699"/>
      <c r="AW392" s="1699"/>
      <c r="AX392" s="1699"/>
      <c r="AY392" s="2080"/>
      <c r="AZ392" s="1699"/>
      <c r="BA392" s="1699"/>
      <c r="BB392" s="1699"/>
      <c r="BC392" s="1293"/>
      <c r="BD392" s="2080"/>
      <c r="BE392" s="1699"/>
      <c r="BF392" s="1699"/>
      <c r="BG392" s="1699"/>
      <c r="BH392" s="1293"/>
      <c r="BI392" s="2080"/>
      <c r="BJ392" s="1699"/>
      <c r="BK392" s="1699"/>
      <c r="BL392" s="1699"/>
      <c r="BM392" s="1699"/>
      <c r="BN392" s="2080"/>
      <c r="BO392" s="1293"/>
      <c r="BP392" s="1293"/>
      <c r="BQ392" s="1293"/>
      <c r="BR392" s="1293"/>
      <c r="BS392" s="1293"/>
      <c r="BT392" s="1293"/>
      <c r="BU392" s="1293"/>
      <c r="BV392" s="1293"/>
      <c r="BW392" s="1293"/>
      <c r="BX392" s="1293"/>
      <c r="BY392" s="1293"/>
      <c r="BZ392" s="1293"/>
      <c r="CA392" s="1293"/>
      <c r="CB392" s="1293"/>
      <c r="CC392" s="1293"/>
      <c r="CD392" s="1293"/>
      <c r="CE392" s="1293"/>
      <c r="CF392" s="1293"/>
      <c r="CG392" s="1293"/>
      <c r="CH392" s="1293"/>
      <c r="CI392" s="1293"/>
      <c r="CJ392" s="1293"/>
      <c r="CK392" s="1293"/>
      <c r="CL392" s="1293"/>
      <c r="CM392" s="1293"/>
      <c r="CN392" s="1293"/>
      <c r="CO392" s="1293"/>
      <c r="CP392" s="1293"/>
      <c r="CQ392" s="1293"/>
      <c r="CR392" s="1293"/>
      <c r="CS392" s="1293"/>
      <c r="CT392" s="1293"/>
      <c r="CU392" s="1293"/>
      <c r="CV392" s="1293"/>
      <c r="CW392" s="1293"/>
      <c r="CX392" s="1293"/>
      <c r="CY392" s="2032"/>
      <c r="CZ392" s="1293"/>
      <c r="DA392" s="2042"/>
      <c r="DB392" s="2041"/>
      <c r="DC392" s="1293"/>
      <c r="DD392" s="1293"/>
      <c r="DE392" s="1293"/>
      <c r="DF392" s="1293"/>
      <c r="DG392" s="1293"/>
      <c r="DH392" s="1293"/>
      <c r="DI392" s="1293"/>
      <c r="DJ392" s="1293"/>
      <c r="DK392" s="1293"/>
      <c r="DL392" s="1293"/>
    </row>
    <row r="393" spans="1:116" ht="15.75">
      <c r="A393" s="1293"/>
      <c r="B393" s="1293" t="str">
        <f t="shared" si="471"/>
        <v>DRC</v>
      </c>
      <c r="C393" s="1293"/>
      <c r="D393" s="1293"/>
      <c r="E393" s="1293"/>
      <c r="F393" s="1293"/>
      <c r="G393" s="2080"/>
      <c r="H393" s="1699">
        <f t="shared" si="472"/>
        <v>36.314971943353981</v>
      </c>
      <c r="I393" s="1699">
        <f t="shared" si="472"/>
        <v>36.403973615911717</v>
      </c>
      <c r="J393" s="1699">
        <f t="shared" si="472"/>
        <v>36.204213038509728</v>
      </c>
      <c r="K393" s="1699">
        <f t="shared" si="472"/>
        <v>39.664225055298907</v>
      </c>
      <c r="L393" s="2039">
        <f t="shared" si="472"/>
        <v>148.57521377584027</v>
      </c>
      <c r="M393" s="1699">
        <f t="shared" si="472"/>
        <v>0</v>
      </c>
      <c r="N393" s="1699">
        <f t="shared" si="472"/>
        <v>0</v>
      </c>
      <c r="O393" s="1699">
        <f t="shared" si="472"/>
        <v>0</v>
      </c>
      <c r="P393" s="1699">
        <f t="shared" si="472"/>
        <v>0</v>
      </c>
      <c r="Q393" s="2080"/>
      <c r="R393" s="1699"/>
      <c r="S393" s="1699"/>
      <c r="T393" s="1699"/>
      <c r="U393" s="1699"/>
      <c r="V393" s="2080"/>
      <c r="W393" s="1699"/>
      <c r="X393" s="1699"/>
      <c r="Y393" s="1699"/>
      <c r="Z393" s="1699"/>
      <c r="AA393" s="2080"/>
      <c r="AB393" s="1699"/>
      <c r="AC393" s="1699"/>
      <c r="AD393" s="1699"/>
      <c r="AE393" s="1699"/>
      <c r="AF393" s="1699"/>
      <c r="AG393" s="1699"/>
      <c r="AH393" s="1699"/>
      <c r="AI393" s="1699"/>
      <c r="AJ393" s="2080"/>
      <c r="AK393" s="1699"/>
      <c r="AL393" s="1699"/>
      <c r="AM393" s="1699"/>
      <c r="AN393" s="1699"/>
      <c r="AO393" s="2080"/>
      <c r="AP393" s="1699"/>
      <c r="AQ393" s="1699"/>
      <c r="AR393" s="1699"/>
      <c r="AS393" s="1699"/>
      <c r="AT393" s="2080"/>
      <c r="AU393" s="1699"/>
      <c r="AV393" s="1699"/>
      <c r="AW393" s="1699"/>
      <c r="AX393" s="1699"/>
      <c r="AY393" s="2080"/>
      <c r="AZ393" s="1699"/>
      <c r="BA393" s="1699"/>
      <c r="BB393" s="1699"/>
      <c r="BC393" s="1293"/>
      <c r="BD393" s="2080"/>
      <c r="BE393" s="1699"/>
      <c r="BF393" s="1699"/>
      <c r="BG393" s="1699"/>
      <c r="BH393" s="1293"/>
      <c r="BI393" s="2080"/>
      <c r="BJ393" s="1699"/>
      <c r="BK393" s="1699"/>
      <c r="BL393" s="1699"/>
      <c r="BM393" s="1699"/>
      <c r="BN393" s="2080"/>
      <c r="BO393" s="1293"/>
      <c r="BP393" s="1293"/>
      <c r="BQ393" s="1293"/>
      <c r="BR393" s="1293"/>
      <c r="BS393" s="1293"/>
      <c r="BT393" s="1293"/>
      <c r="BU393" s="1293"/>
      <c r="BV393" s="1293"/>
      <c r="BW393" s="1293"/>
      <c r="BX393" s="1293"/>
      <c r="BY393" s="1293"/>
      <c r="BZ393" s="1293"/>
      <c r="CA393" s="1293"/>
      <c r="CB393" s="1293"/>
      <c r="CC393" s="1293"/>
      <c r="CD393" s="1293"/>
      <c r="CE393" s="1293"/>
      <c r="CF393" s="1293"/>
      <c r="CG393" s="1293"/>
      <c r="CH393" s="1293"/>
      <c r="CI393" s="1293"/>
      <c r="CJ393" s="1293"/>
      <c r="CK393" s="1293"/>
      <c r="CL393" s="1293"/>
      <c r="CM393" s="1293"/>
      <c r="CN393" s="1293"/>
      <c r="CO393" s="1293"/>
      <c r="CP393" s="1293"/>
      <c r="CQ393" s="1293"/>
      <c r="CR393" s="1293"/>
      <c r="CS393" s="1293"/>
      <c r="CT393" s="1293"/>
      <c r="CU393" s="1293"/>
      <c r="CV393" s="1293"/>
      <c r="CW393" s="1293"/>
      <c r="CX393" s="1293"/>
      <c r="CY393" s="2032"/>
      <c r="CZ393" s="1293"/>
      <c r="DA393" s="2042"/>
      <c r="DB393" s="2041"/>
      <c r="DC393" s="1293"/>
      <c r="DD393" s="1293"/>
      <c r="DE393" s="1293"/>
      <c r="DF393" s="1293"/>
      <c r="DG393" s="1293"/>
      <c r="DH393" s="1293"/>
      <c r="DI393" s="1293"/>
      <c r="DJ393" s="1293"/>
      <c r="DK393" s="1293"/>
      <c r="DL393" s="1293"/>
    </row>
    <row r="394" spans="1:116" ht="15.75">
      <c r="A394" s="1293"/>
      <c r="B394" s="1293" t="str">
        <f t="shared" si="471"/>
        <v>Ghana</v>
      </c>
      <c r="C394" s="1293"/>
      <c r="D394" s="1293"/>
      <c r="E394" s="1293"/>
      <c r="F394" s="1293"/>
      <c r="G394" s="2080"/>
      <c r="H394" s="1699">
        <f t="shared" si="472"/>
        <v>48.175506263682045</v>
      </c>
      <c r="I394" s="1699">
        <f t="shared" si="472"/>
        <v>46.958027728539825</v>
      </c>
      <c r="J394" s="1699">
        <f t="shared" si="472"/>
        <v>42.909790848966942</v>
      </c>
      <c r="K394" s="1699">
        <f t="shared" si="472"/>
        <v>40.983514548194321</v>
      </c>
      <c r="L394" s="2039">
        <f t="shared" si="472"/>
        <v>178.20376164628365</v>
      </c>
      <c r="M394" s="1699">
        <f t="shared" si="472"/>
        <v>40.3966123939515</v>
      </c>
      <c r="N394" s="1699">
        <f t="shared" si="472"/>
        <v>39.462496099146826</v>
      </c>
      <c r="O394" s="1699">
        <f t="shared" si="472"/>
        <v>40.551804279425482</v>
      </c>
      <c r="P394" s="1699">
        <f t="shared" si="472"/>
        <v>43.459478915073213</v>
      </c>
      <c r="Q394" s="2080"/>
      <c r="R394" s="1699">
        <f>R318/M266</f>
        <v>37.047139809102823</v>
      </c>
      <c r="S394" s="1699">
        <f>S318/N266</f>
        <v>41.721457018729524</v>
      </c>
      <c r="T394" s="1699"/>
      <c r="U394" s="1699"/>
      <c r="V394" s="2080"/>
      <c r="W394" s="1699"/>
      <c r="X394" s="1699"/>
      <c r="Y394" s="1699"/>
      <c r="Z394" s="1699"/>
      <c r="AA394" s="2080"/>
      <c r="AB394" s="1699"/>
      <c r="AC394" s="1699"/>
      <c r="AD394" s="1699"/>
      <c r="AE394" s="1699"/>
      <c r="AF394" s="1699"/>
      <c r="AG394" s="1699"/>
      <c r="AH394" s="1699"/>
      <c r="AI394" s="1699"/>
      <c r="AJ394" s="2080"/>
      <c r="AK394" s="1699"/>
      <c r="AL394" s="1699"/>
      <c r="AM394" s="1699"/>
      <c r="AN394" s="1699"/>
      <c r="AO394" s="2080"/>
      <c r="AP394" s="1699"/>
      <c r="AQ394" s="1699"/>
      <c r="AR394" s="1699"/>
      <c r="AS394" s="1699"/>
      <c r="AT394" s="2080"/>
      <c r="AU394" s="1699"/>
      <c r="AV394" s="1699"/>
      <c r="AW394" s="1699"/>
      <c r="AX394" s="1699"/>
      <c r="AY394" s="2080"/>
      <c r="AZ394" s="1699"/>
      <c r="BA394" s="1699"/>
      <c r="BB394" s="1699"/>
      <c r="BC394" s="1293"/>
      <c r="BD394" s="2080"/>
      <c r="BE394" s="1699"/>
      <c r="BF394" s="1699"/>
      <c r="BG394" s="1699"/>
      <c r="BH394" s="1293"/>
      <c r="BI394" s="2080"/>
      <c r="BJ394" s="1699"/>
      <c r="BK394" s="1699"/>
      <c r="BL394" s="1699"/>
      <c r="BM394" s="1699"/>
      <c r="BN394" s="2080"/>
      <c r="BO394" s="1293"/>
      <c r="BP394" s="1293"/>
      <c r="BQ394" s="1293"/>
      <c r="BR394" s="1293"/>
      <c r="BS394" s="1293"/>
      <c r="BT394" s="1293"/>
      <c r="BU394" s="1293"/>
      <c r="BV394" s="1293"/>
      <c r="BW394" s="1293"/>
      <c r="BX394" s="1293"/>
      <c r="BY394" s="1293"/>
      <c r="BZ394" s="1293"/>
      <c r="CA394" s="1293"/>
      <c r="CB394" s="1293"/>
      <c r="CC394" s="1293"/>
      <c r="CD394" s="1293"/>
      <c r="CE394" s="1293"/>
      <c r="CF394" s="1293"/>
      <c r="CG394" s="1293"/>
      <c r="CH394" s="1293"/>
      <c r="CI394" s="1293"/>
      <c r="CJ394" s="1293"/>
      <c r="CK394" s="1293"/>
      <c r="CL394" s="1293"/>
      <c r="CM394" s="1293"/>
      <c r="CN394" s="1293"/>
      <c r="CO394" s="1293"/>
      <c r="CP394" s="1293"/>
      <c r="CQ394" s="1293"/>
      <c r="CR394" s="1293"/>
      <c r="CS394" s="1293"/>
      <c r="CT394" s="1293"/>
      <c r="CU394" s="1293"/>
      <c r="CV394" s="1293"/>
      <c r="CW394" s="1293"/>
      <c r="CX394" s="1293"/>
      <c r="CY394" s="2032"/>
      <c r="CZ394" s="1293"/>
      <c r="DA394" s="2042"/>
      <c r="DB394" s="2041"/>
      <c r="DC394" s="1293"/>
      <c r="DD394" s="1293"/>
      <c r="DE394" s="1293"/>
      <c r="DF394" s="1293"/>
      <c r="DG394" s="1293"/>
      <c r="DH394" s="1293"/>
      <c r="DI394" s="1293"/>
      <c r="DJ394" s="1293"/>
      <c r="DK394" s="1293"/>
      <c r="DL394" s="1293"/>
    </row>
    <row r="395" spans="1:116" ht="15.75">
      <c r="A395" s="1293"/>
      <c r="B395" s="1293" t="str">
        <f t="shared" si="471"/>
        <v>Rwanda</v>
      </c>
      <c r="C395" s="1293"/>
      <c r="D395" s="1293"/>
      <c r="E395" s="1293"/>
      <c r="F395" s="1293"/>
      <c r="G395" s="2080"/>
      <c r="H395" s="1699">
        <f t="shared" si="472"/>
        <v>20.297529574932568</v>
      </c>
      <c r="I395" s="1699">
        <f t="shared" si="472"/>
        <v>13.3301419684666</v>
      </c>
      <c r="J395" s="1699">
        <f t="shared" si="472"/>
        <v>14.187976485952131</v>
      </c>
      <c r="K395" s="1699">
        <f t="shared" si="472"/>
        <v>17.902342825463286</v>
      </c>
      <c r="L395" s="2039">
        <f t="shared" si="472"/>
        <v>65.655790428025526</v>
      </c>
      <c r="M395" s="1699">
        <f t="shared" si="472"/>
        <v>21.153315507655527</v>
      </c>
      <c r="N395" s="1699">
        <f t="shared" si="472"/>
        <v>13.754376712233119</v>
      </c>
      <c r="O395" s="1699">
        <f t="shared" si="472"/>
        <v>16.390214629901177</v>
      </c>
      <c r="P395" s="1699">
        <f t="shared" si="472"/>
        <v>16.801533897003956</v>
      </c>
      <c r="Q395" s="2080"/>
      <c r="R395" s="1699">
        <f>R319/M267</f>
        <v>19.57715550369727</v>
      </c>
      <c r="S395" s="1699">
        <f>S319/N267</f>
        <v>12.308988227377554</v>
      </c>
      <c r="T395" s="1699">
        <f>T319/O267</f>
        <v>14.583176968103643</v>
      </c>
      <c r="U395" s="1699">
        <f>U319/P267</f>
        <v>14.469853338539529</v>
      </c>
      <c r="V395" s="2080"/>
      <c r="W395" s="1699"/>
      <c r="X395" s="1699"/>
      <c r="Y395" s="1699"/>
      <c r="Z395" s="1699"/>
      <c r="AA395" s="2080"/>
      <c r="AB395" s="1699"/>
      <c r="AC395" s="1699"/>
      <c r="AD395" s="1699"/>
      <c r="AE395" s="1699"/>
      <c r="AF395" s="1699"/>
      <c r="AG395" s="1699"/>
      <c r="AH395" s="1699"/>
      <c r="AI395" s="1699"/>
      <c r="AJ395" s="2080"/>
      <c r="AK395" s="1699"/>
      <c r="AL395" s="1699"/>
      <c r="AM395" s="1699"/>
      <c r="AN395" s="1699"/>
      <c r="AO395" s="2080"/>
      <c r="AP395" s="1699"/>
      <c r="AQ395" s="1699"/>
      <c r="AR395" s="1699"/>
      <c r="AS395" s="1699"/>
      <c r="AT395" s="2080"/>
      <c r="AU395" s="1699"/>
      <c r="AV395" s="1699"/>
      <c r="AW395" s="1699"/>
      <c r="AX395" s="1699"/>
      <c r="AY395" s="2080"/>
      <c r="AZ395" s="1699"/>
      <c r="BA395" s="1699"/>
      <c r="BB395" s="1699"/>
      <c r="BC395" s="1293"/>
      <c r="BD395" s="2080"/>
      <c r="BE395" s="1699"/>
      <c r="BF395" s="1699"/>
      <c r="BG395" s="1699"/>
      <c r="BH395" s="1293"/>
      <c r="BI395" s="2080"/>
      <c r="BJ395" s="1699"/>
      <c r="BK395" s="1699"/>
      <c r="BL395" s="1699"/>
      <c r="BM395" s="1699"/>
      <c r="BN395" s="2080"/>
      <c r="BO395" s="1293"/>
      <c r="BP395" s="1293"/>
      <c r="BQ395" s="1293"/>
      <c r="BR395" s="1293"/>
      <c r="BS395" s="1293"/>
      <c r="BT395" s="1293"/>
      <c r="BU395" s="1293"/>
      <c r="BV395" s="1293"/>
      <c r="BW395" s="1293"/>
      <c r="BX395" s="1293"/>
      <c r="BY395" s="1293"/>
      <c r="BZ395" s="1293"/>
      <c r="CA395" s="1293"/>
      <c r="CB395" s="1293"/>
      <c r="CC395" s="1293"/>
      <c r="CD395" s="1293"/>
      <c r="CE395" s="1293"/>
      <c r="CF395" s="1293"/>
      <c r="CG395" s="1293"/>
      <c r="CH395" s="1293"/>
      <c r="CI395" s="1293"/>
      <c r="CJ395" s="1293"/>
      <c r="CK395" s="1293"/>
      <c r="CL395" s="1293"/>
      <c r="CM395" s="1293"/>
      <c r="CN395" s="1293"/>
      <c r="CO395" s="1293"/>
      <c r="CP395" s="1293"/>
      <c r="CQ395" s="1293"/>
      <c r="CR395" s="1293"/>
      <c r="CS395" s="1293"/>
      <c r="CT395" s="1293"/>
      <c r="CU395" s="1293"/>
      <c r="CV395" s="1293"/>
      <c r="CW395" s="1293"/>
      <c r="CX395" s="1293"/>
      <c r="CY395" s="2032"/>
      <c r="CZ395" s="1293"/>
      <c r="DA395" s="2042"/>
      <c r="DB395" s="2041"/>
      <c r="DC395" s="1293"/>
      <c r="DD395" s="1293"/>
      <c r="DE395" s="1293"/>
      <c r="DF395" s="1293"/>
      <c r="DG395" s="1293"/>
      <c r="DH395" s="1293"/>
      <c r="DI395" s="1293"/>
      <c r="DJ395" s="1293"/>
      <c r="DK395" s="1293"/>
      <c r="DL395" s="1293"/>
    </row>
    <row r="396" spans="1:116" ht="15.75">
      <c r="A396" s="1293"/>
      <c r="B396" s="1293" t="str">
        <f t="shared" si="471"/>
        <v>Senegal</v>
      </c>
      <c r="C396" s="1293"/>
      <c r="D396" s="1293"/>
      <c r="E396" s="1293"/>
      <c r="F396" s="1293"/>
      <c r="G396" s="2080"/>
      <c r="H396" s="1699">
        <f t="shared" si="472"/>
        <v>33.302463442980908</v>
      </c>
      <c r="I396" s="1699">
        <f t="shared" si="472"/>
        <v>34.410369886550725</v>
      </c>
      <c r="J396" s="1699">
        <f t="shared" si="472"/>
        <v>32.587110757078648</v>
      </c>
      <c r="K396" s="1699">
        <f t="shared" ca="1" si="472"/>
        <v>32.967895397776239</v>
      </c>
      <c r="L396" s="2039">
        <f t="shared" ca="1" si="472"/>
        <v>132.89544171081369</v>
      </c>
      <c r="M396" s="1699">
        <f t="shared" ca="1" si="472"/>
        <v>31.661103467880441</v>
      </c>
      <c r="N396" s="1699">
        <f t="shared" ca="1" si="472"/>
        <v>32.268886196381658</v>
      </c>
      <c r="O396" s="1699">
        <f t="shared" si="472"/>
        <v>33.925892835916301</v>
      </c>
      <c r="P396" s="1699">
        <f t="shared" si="472"/>
        <v>34.831056884097535</v>
      </c>
      <c r="Q396" s="2080"/>
      <c r="R396" s="1699"/>
      <c r="S396" s="1699"/>
      <c r="T396" s="1699"/>
      <c r="U396" s="1699"/>
      <c r="V396" s="2080"/>
      <c r="W396" s="1699"/>
      <c r="X396" s="1699"/>
      <c r="Y396" s="1699"/>
      <c r="Z396" s="1699"/>
      <c r="AA396" s="2080"/>
      <c r="AB396" s="1699"/>
      <c r="AC396" s="1699"/>
      <c r="AD396" s="1699"/>
      <c r="AE396" s="1699"/>
      <c r="AF396" s="1699"/>
      <c r="AG396" s="1699"/>
      <c r="AH396" s="1699"/>
      <c r="AI396" s="1699"/>
      <c r="AJ396" s="2080"/>
      <c r="AK396" s="1699"/>
      <c r="AL396" s="1699"/>
      <c r="AM396" s="1699"/>
      <c r="AN396" s="1699"/>
      <c r="AO396" s="2080"/>
      <c r="AP396" s="1699"/>
      <c r="AQ396" s="1699"/>
      <c r="AR396" s="1699"/>
      <c r="AS396" s="1699"/>
      <c r="AT396" s="2080"/>
      <c r="AU396" s="1699"/>
      <c r="AV396" s="1699"/>
      <c r="AW396" s="1699"/>
      <c r="AX396" s="1699"/>
      <c r="AY396" s="2080"/>
      <c r="AZ396" s="1699"/>
      <c r="BA396" s="1699"/>
      <c r="BB396" s="1699"/>
      <c r="BC396" s="1293"/>
      <c r="BD396" s="2080"/>
      <c r="BE396" s="1699"/>
      <c r="BF396" s="1699"/>
      <c r="BG396" s="1699"/>
      <c r="BH396" s="1293"/>
      <c r="BI396" s="2080"/>
      <c r="BJ396" s="1699"/>
      <c r="BK396" s="1699"/>
      <c r="BL396" s="1699"/>
      <c r="BM396" s="1699"/>
      <c r="BN396" s="2080"/>
      <c r="BO396" s="1293"/>
      <c r="BP396" s="1293"/>
      <c r="BQ396" s="1293"/>
      <c r="BR396" s="1293"/>
      <c r="BS396" s="1293"/>
      <c r="BT396" s="1293"/>
      <c r="BU396" s="1293"/>
      <c r="BV396" s="1293"/>
      <c r="BW396" s="1293"/>
      <c r="BX396" s="1293"/>
      <c r="BY396" s="1293"/>
      <c r="BZ396" s="1293"/>
      <c r="CA396" s="1293"/>
      <c r="CB396" s="1293"/>
      <c r="CC396" s="1293"/>
      <c r="CD396" s="1293"/>
      <c r="CE396" s="1293"/>
      <c r="CF396" s="1293"/>
      <c r="CG396" s="1293"/>
      <c r="CH396" s="1293"/>
      <c r="CI396" s="1293"/>
      <c r="CJ396" s="1293"/>
      <c r="CK396" s="1293"/>
      <c r="CL396" s="1293"/>
      <c r="CM396" s="1293"/>
      <c r="CN396" s="1293"/>
      <c r="CO396" s="1293"/>
      <c r="CP396" s="1293"/>
      <c r="CQ396" s="1293"/>
      <c r="CR396" s="1293"/>
      <c r="CS396" s="1293"/>
      <c r="CT396" s="1293"/>
      <c r="CU396" s="1293"/>
      <c r="CV396" s="1293"/>
      <c r="CW396" s="1293"/>
      <c r="CX396" s="1293"/>
      <c r="CY396" s="2032"/>
      <c r="CZ396" s="1293"/>
      <c r="DA396" s="2042"/>
      <c r="DB396" s="2041"/>
      <c r="DC396" s="1293"/>
      <c r="DD396" s="1293"/>
      <c r="DE396" s="1293"/>
      <c r="DF396" s="1293"/>
      <c r="DG396" s="1293"/>
      <c r="DH396" s="1293"/>
      <c r="DI396" s="1293"/>
      <c r="DJ396" s="1293"/>
      <c r="DK396" s="1293"/>
      <c r="DL396" s="1293"/>
    </row>
    <row r="397" spans="1:116" ht="15.75">
      <c r="A397" s="1293"/>
      <c r="B397" s="1293" t="str">
        <f t="shared" si="471"/>
        <v>Tanzania</v>
      </c>
      <c r="C397" s="1293"/>
      <c r="D397" s="1293"/>
      <c r="E397" s="1293"/>
      <c r="F397" s="1293"/>
      <c r="G397" s="2080"/>
      <c r="H397" s="1699">
        <f t="shared" si="472"/>
        <v>98.670881744924344</v>
      </c>
      <c r="I397" s="1699">
        <f t="shared" si="472"/>
        <v>102.91145650340789</v>
      </c>
      <c r="J397" s="1699">
        <f t="shared" si="472"/>
        <v>108.52994838418697</v>
      </c>
      <c r="K397" s="1699">
        <f t="shared" si="472"/>
        <v>109.50243413136636</v>
      </c>
      <c r="L397" s="2039">
        <f t="shared" si="472"/>
        <v>421.64822750276034</v>
      </c>
      <c r="M397" s="1699">
        <f t="shared" si="472"/>
        <v>102.57711062240502</v>
      </c>
      <c r="N397" s="1699">
        <f t="shared" si="472"/>
        <v>98.480265314710905</v>
      </c>
      <c r="O397" s="1699">
        <f t="shared" si="472"/>
        <v>90.959411942089517</v>
      </c>
      <c r="P397" s="1699">
        <f t="shared" si="472"/>
        <v>90.129164215889332</v>
      </c>
      <c r="Q397" s="2080"/>
      <c r="R397" s="1699">
        <f t="shared" ref="R397:U398" si="473">R321/M269</f>
        <v>83.926837449966968</v>
      </c>
      <c r="S397" s="1699">
        <f t="shared" si="473"/>
        <v>87.048225741690146</v>
      </c>
      <c r="T397" s="1699">
        <f t="shared" si="473"/>
        <v>89.046664262379792</v>
      </c>
      <c r="U397" s="1699">
        <f t="shared" si="473"/>
        <v>84.88980625276524</v>
      </c>
      <c r="V397" s="2080"/>
      <c r="W397" s="1699">
        <f t="shared" ref="W397:Z398" si="474">W321/R269</f>
        <v>88.905833235867078</v>
      </c>
      <c r="X397" s="1699">
        <f t="shared" si="474"/>
        <v>90.454596132458931</v>
      </c>
      <c r="Y397" s="1699">
        <f t="shared" si="474"/>
        <v>92.25863356918866</v>
      </c>
      <c r="Z397" s="1699">
        <f t="shared" si="474"/>
        <v>87.643229856914644</v>
      </c>
      <c r="AA397" s="2080"/>
      <c r="AB397" s="1699"/>
      <c r="AC397" s="1699">
        <f>AC321/W269</f>
        <v>87.857524750575053</v>
      </c>
      <c r="AD397" s="1699"/>
      <c r="AE397" s="1699">
        <f>AE321/Y269</f>
        <v>88.66473721019355</v>
      </c>
      <c r="AF397" s="1699"/>
      <c r="AG397" s="1699">
        <f>AG321/W269</f>
        <v>87.375121457097407</v>
      </c>
      <c r="AH397" s="1699"/>
      <c r="AI397" s="1699"/>
      <c r="AJ397" s="2080"/>
      <c r="AK397" s="1699"/>
      <c r="AL397" s="1699"/>
      <c r="AM397" s="1699"/>
      <c r="AN397" s="1699"/>
      <c r="AO397" s="2080"/>
      <c r="AP397" s="1699"/>
      <c r="AQ397" s="1699"/>
      <c r="AR397" s="1699"/>
      <c r="AS397" s="1699"/>
      <c r="AT397" s="2080"/>
      <c r="AU397" s="1699"/>
      <c r="AV397" s="1699"/>
      <c r="AW397" s="1699"/>
      <c r="AX397" s="1699"/>
      <c r="AY397" s="2080"/>
      <c r="AZ397" s="1699"/>
      <c r="BA397" s="1699"/>
      <c r="BB397" s="1699"/>
      <c r="BC397" s="1293"/>
      <c r="BD397" s="2080"/>
      <c r="BE397" s="1699"/>
      <c r="BF397" s="1699"/>
      <c r="BG397" s="1699"/>
      <c r="BH397" s="1293"/>
      <c r="BI397" s="2080"/>
      <c r="BJ397" s="1699"/>
      <c r="BK397" s="1699"/>
      <c r="BL397" s="1699"/>
      <c r="BM397" s="1699"/>
      <c r="BN397" s="2080"/>
      <c r="BO397" s="1293"/>
      <c r="BP397" s="1293"/>
      <c r="BQ397" s="1293"/>
      <c r="BR397" s="1293"/>
      <c r="BS397" s="1293"/>
      <c r="BT397" s="1293"/>
      <c r="BU397" s="1293"/>
      <c r="BV397" s="1293"/>
      <c r="BW397" s="1293"/>
      <c r="BX397" s="1293"/>
      <c r="BY397" s="1293"/>
      <c r="BZ397" s="1293"/>
      <c r="CA397" s="1293"/>
      <c r="CB397" s="1293"/>
      <c r="CC397" s="1293"/>
      <c r="CD397" s="1293"/>
      <c r="CE397" s="1293"/>
      <c r="CF397" s="1293"/>
      <c r="CG397" s="1293"/>
      <c r="CH397" s="1293"/>
      <c r="CI397" s="1293"/>
      <c r="CJ397" s="1293"/>
      <c r="CK397" s="1293"/>
      <c r="CL397" s="1293"/>
      <c r="CM397" s="1293"/>
      <c r="CN397" s="1293"/>
      <c r="CO397" s="1293"/>
      <c r="CP397" s="1293"/>
      <c r="CQ397" s="1293"/>
      <c r="CR397" s="1293"/>
      <c r="CS397" s="1293"/>
      <c r="CT397" s="1293"/>
      <c r="CU397" s="1293"/>
      <c r="CV397" s="1293"/>
      <c r="CW397" s="1293"/>
      <c r="CX397" s="1293"/>
      <c r="CY397" s="2032"/>
      <c r="CZ397" s="1293"/>
      <c r="DA397" s="2042"/>
      <c r="DB397" s="2041"/>
      <c r="DC397" s="1293"/>
      <c r="DD397" s="1293"/>
      <c r="DE397" s="1293"/>
      <c r="DF397" s="1293"/>
      <c r="DG397" s="1293"/>
      <c r="DH397" s="1293"/>
      <c r="DI397" s="1293"/>
      <c r="DJ397" s="1293"/>
      <c r="DK397" s="1293"/>
      <c r="DL397" s="1293"/>
    </row>
    <row r="398" spans="1:116" ht="15.75">
      <c r="A398" s="1293"/>
      <c r="B398" s="1331" t="str">
        <f t="shared" si="471"/>
        <v>Zantel</v>
      </c>
      <c r="C398" s="1331"/>
      <c r="D398" s="1331"/>
      <c r="E398" s="1331"/>
      <c r="F398" s="1331"/>
      <c r="G398" s="2177"/>
      <c r="H398" s="1703">
        <f t="shared" si="472"/>
        <v>0</v>
      </c>
      <c r="I398" s="1703">
        <f t="shared" si="472"/>
        <v>0</v>
      </c>
      <c r="J398" s="1703">
        <f t="shared" si="472"/>
        <v>0</v>
      </c>
      <c r="K398" s="1703">
        <f t="shared" si="472"/>
        <v>11.199112581617017</v>
      </c>
      <c r="L398" s="2048">
        <f t="shared" si="472"/>
        <v>10.570568377506524</v>
      </c>
      <c r="M398" s="1703">
        <f t="shared" si="472"/>
        <v>10.964428377849316</v>
      </c>
      <c r="N398" s="1703">
        <f t="shared" si="472"/>
        <v>9.1557115860758458</v>
      </c>
      <c r="O398" s="1703">
        <f t="shared" si="472"/>
        <v>8.2690374492808658</v>
      </c>
      <c r="P398" s="1703">
        <f t="shared" si="472"/>
        <v>8.1935603832626658</v>
      </c>
      <c r="Q398" s="2177"/>
      <c r="R398" s="1703">
        <f t="shared" ca="1" si="473"/>
        <v>6.9972470952377837</v>
      </c>
      <c r="S398" s="1703">
        <f t="shared" ca="1" si="473"/>
        <v>0.19178943297127413</v>
      </c>
      <c r="T398" s="1703">
        <f t="shared" si="473"/>
        <v>8.8498042134357586</v>
      </c>
      <c r="U398" s="1703">
        <f t="shared" si="473"/>
        <v>14.838045919096126</v>
      </c>
      <c r="V398" s="2177"/>
      <c r="W398" s="1703">
        <f t="shared" ca="1" si="474"/>
        <v>7.5171255853747434</v>
      </c>
      <c r="X398" s="1703">
        <f t="shared" ca="1" si="474"/>
        <v>1.0867913625632599</v>
      </c>
      <c r="Y398" s="1703">
        <f t="shared" si="474"/>
        <v>1.0669616559287922</v>
      </c>
      <c r="Z398" s="1703">
        <f t="shared" si="474"/>
        <v>7.8871427454786724</v>
      </c>
      <c r="AA398" s="2177"/>
      <c r="AB398" s="1703"/>
      <c r="AC398" s="1703">
        <f>AC322/W270</f>
        <v>5.169405663678833</v>
      </c>
      <c r="AD398" s="1703"/>
      <c r="AE398" s="1703">
        <f>AE322/Y270</f>
        <v>5.0457925111013155</v>
      </c>
      <c r="AF398" s="1703"/>
      <c r="AG398" s="1703">
        <f>AG322/W270</f>
        <v>6.1311866054963069</v>
      </c>
      <c r="AH398" s="1703"/>
      <c r="AI398" s="1703"/>
      <c r="AJ398" s="2177"/>
      <c r="AK398" s="1703"/>
      <c r="AL398" s="1703"/>
      <c r="AM398" s="1703"/>
      <c r="AN398" s="1703"/>
      <c r="AO398" s="2177"/>
      <c r="AP398" s="1703"/>
      <c r="AQ398" s="1703"/>
      <c r="AR398" s="1703"/>
      <c r="AS398" s="1703"/>
      <c r="AT398" s="2177"/>
      <c r="AU398" s="1703"/>
      <c r="AV398" s="1703"/>
      <c r="AW398" s="1703"/>
      <c r="AX398" s="1703"/>
      <c r="AY398" s="2177"/>
      <c r="AZ398" s="1703"/>
      <c r="BA398" s="1703"/>
      <c r="BB398" s="1703"/>
      <c r="BC398" s="1331"/>
      <c r="BD398" s="2177"/>
      <c r="BE398" s="1703"/>
      <c r="BF398" s="1703"/>
      <c r="BG398" s="1703"/>
      <c r="BH398" s="1331"/>
      <c r="BI398" s="2177"/>
      <c r="BJ398" s="1703"/>
      <c r="BK398" s="2116"/>
      <c r="BL398" s="2116"/>
      <c r="BM398" s="2116"/>
      <c r="BN398" s="2177"/>
      <c r="BO398" s="1293"/>
      <c r="BP398" s="1293"/>
      <c r="BQ398" s="1293"/>
      <c r="BR398" s="1293"/>
      <c r="BS398" s="1293"/>
      <c r="BT398" s="1293"/>
      <c r="BU398" s="1293"/>
      <c r="BV398" s="1293"/>
      <c r="BW398" s="1293"/>
      <c r="BX398" s="1293"/>
      <c r="BY398" s="1293"/>
      <c r="BZ398" s="1293"/>
      <c r="CA398" s="1293"/>
      <c r="CB398" s="1293"/>
      <c r="CC398" s="1293"/>
      <c r="CD398" s="1293"/>
      <c r="CE398" s="1293"/>
      <c r="CF398" s="1293"/>
      <c r="CG398" s="1293"/>
      <c r="CH398" s="1293"/>
      <c r="CI398" s="1293"/>
      <c r="CJ398" s="1293"/>
      <c r="CK398" s="1293"/>
      <c r="CL398" s="1293"/>
      <c r="CM398" s="1293"/>
      <c r="CN398" s="1293"/>
      <c r="CO398" s="1293"/>
      <c r="CP398" s="1293"/>
      <c r="CQ398" s="1293"/>
      <c r="CR398" s="1293"/>
      <c r="CS398" s="1293"/>
      <c r="CT398" s="1293"/>
      <c r="CU398" s="1293"/>
      <c r="CV398" s="1293"/>
      <c r="CW398" s="1293"/>
      <c r="CX398" s="1293"/>
      <c r="CY398" s="2178"/>
      <c r="CZ398" s="1331"/>
      <c r="DA398" s="2050"/>
      <c r="DB398" s="2051"/>
      <c r="DC398" s="1293"/>
      <c r="DD398" s="1293"/>
      <c r="DE398" s="1293"/>
      <c r="DF398" s="1293"/>
      <c r="DG398" s="1293"/>
      <c r="DH398" s="1293"/>
      <c r="DI398" s="1293"/>
      <c r="DJ398" s="1293"/>
      <c r="DK398" s="1293"/>
      <c r="DL398" s="1293"/>
    </row>
    <row r="399" spans="1:116" ht="15.75">
      <c r="A399" s="1293"/>
      <c r="B399" s="1293" t="s">
        <v>1831</v>
      </c>
      <c r="C399" s="1293"/>
      <c r="D399" s="1293"/>
      <c r="E399" s="1293"/>
      <c r="F399" s="1293"/>
      <c r="G399" s="2080"/>
      <c r="H399" s="1699">
        <f t="shared" ref="H399:P399" si="475">SUM(H392:H398)</f>
        <v>279.57880596799214</v>
      </c>
      <c r="I399" s="1699">
        <f t="shared" si="475"/>
        <v>279.48481562439019</v>
      </c>
      <c r="J399" s="1699">
        <f t="shared" si="475"/>
        <v>280.14075103610577</v>
      </c>
      <c r="K399" s="1699">
        <f t="shared" ca="1" si="475"/>
        <v>297.27850010645483</v>
      </c>
      <c r="L399" s="2039">
        <f t="shared" ca="1" si="475"/>
        <v>1136.2257343645801</v>
      </c>
      <c r="M399" s="1699">
        <f t="shared" ca="1" si="475"/>
        <v>246.92408322842473</v>
      </c>
      <c r="N399" s="1699">
        <f t="shared" ca="1" si="475"/>
        <v>233.16722325039345</v>
      </c>
      <c r="O399" s="1699">
        <f t="shared" si="475"/>
        <v>230.00917623769135</v>
      </c>
      <c r="P399" s="1699">
        <f t="shared" si="475"/>
        <v>234.39250827661792</v>
      </c>
      <c r="Q399" s="2080"/>
      <c r="R399" s="1699">
        <f ca="1">SUM(R392:R398)</f>
        <v>182.47528953526589</v>
      </c>
      <c r="S399" s="1699">
        <f ca="1">SUM(S392:S398)</f>
        <v>177.40354077201957</v>
      </c>
      <c r="T399" s="1699">
        <f>SUM(T392:T398)</f>
        <v>148.98719050692696</v>
      </c>
      <c r="U399" s="1699">
        <f>SUM(U392:U398)</f>
        <v>150.75312447092179</v>
      </c>
      <c r="V399" s="2080"/>
      <c r="W399" s="1699">
        <f ca="1">SUM(W392:W398)</f>
        <v>130.9839954324799</v>
      </c>
      <c r="X399" s="1699">
        <f ca="1">SUM(X392:X398)</f>
        <v>128.39712945329831</v>
      </c>
      <c r="Y399" s="1699">
        <f>SUM(Y392:Y398)</f>
        <v>132.44394615484012</v>
      </c>
      <c r="Z399" s="1699">
        <f>SUM(Z392:Z398)</f>
        <v>135.33178495045829</v>
      </c>
      <c r="AA399" s="2080"/>
      <c r="AB399" s="1699"/>
      <c r="AC399" s="1699">
        <f ca="1">SUM(AC392:AC398)</f>
        <v>131.74091618067601</v>
      </c>
      <c r="AD399" s="1699"/>
      <c r="AE399" s="1699">
        <f>SUM(AE392:AE398)</f>
        <v>93.710529721294861</v>
      </c>
      <c r="AF399" s="1699"/>
      <c r="AG399" s="1699">
        <f>SUM(AG392:AG398)</f>
        <v>93.506308062593718</v>
      </c>
      <c r="AH399" s="1699"/>
      <c r="AI399" s="1699"/>
      <c r="AJ399" s="2080"/>
      <c r="AK399" s="1699"/>
      <c r="AL399" s="1699"/>
      <c r="AM399" s="1699"/>
      <c r="AN399" s="1699"/>
      <c r="AO399" s="2080"/>
      <c r="AP399" s="1699"/>
      <c r="AQ399" s="1699"/>
      <c r="AR399" s="1699"/>
      <c r="AS399" s="1699"/>
      <c r="AT399" s="2080"/>
      <c r="AU399" s="1699"/>
      <c r="AV399" s="1699"/>
      <c r="AW399" s="1699"/>
      <c r="AX399" s="1699"/>
      <c r="AY399" s="2080"/>
      <c r="AZ399" s="1699"/>
      <c r="BA399" s="1699"/>
      <c r="BB399" s="1699"/>
      <c r="BC399" s="1293"/>
      <c r="BD399" s="2080"/>
      <c r="BE399" s="1699"/>
      <c r="BF399" s="1699"/>
      <c r="BG399" s="1699"/>
      <c r="BH399" s="1293"/>
      <c r="BI399" s="2080"/>
      <c r="BJ399" s="1699"/>
      <c r="BK399" s="1699"/>
      <c r="BL399" s="1699"/>
      <c r="BM399" s="1699"/>
      <c r="BN399" s="2080"/>
      <c r="BO399" s="1293"/>
      <c r="BP399" s="1293"/>
      <c r="BQ399" s="1293"/>
      <c r="BR399" s="1293"/>
      <c r="BS399" s="1293"/>
      <c r="BT399" s="1293"/>
      <c r="BU399" s="1293"/>
      <c r="BV399" s="1293"/>
      <c r="BW399" s="1293"/>
      <c r="BX399" s="1293"/>
      <c r="BY399" s="1293"/>
      <c r="BZ399" s="1293"/>
      <c r="CA399" s="1293"/>
      <c r="CB399" s="1293"/>
      <c r="CC399" s="1293"/>
      <c r="CD399" s="1293"/>
      <c r="CE399" s="1293"/>
      <c r="CF399" s="1293"/>
      <c r="CG399" s="1293"/>
      <c r="CH399" s="1293"/>
      <c r="CI399" s="1293"/>
      <c r="CJ399" s="1293"/>
      <c r="CK399" s="1293"/>
      <c r="CL399" s="1293"/>
      <c r="CM399" s="1293"/>
      <c r="CN399" s="1293"/>
      <c r="CO399" s="1293"/>
      <c r="CP399" s="1293"/>
      <c r="CQ399" s="1293"/>
      <c r="CR399" s="1293"/>
      <c r="CS399" s="1293"/>
      <c r="CT399" s="1293"/>
      <c r="CU399" s="1293"/>
      <c r="CV399" s="1293"/>
      <c r="CW399" s="1293"/>
      <c r="CX399" s="1293"/>
      <c r="CY399" s="2032"/>
      <c r="CZ399" s="1293"/>
      <c r="DA399" s="2042"/>
      <c r="DB399" s="2041"/>
      <c r="DC399" s="1293"/>
      <c r="DD399" s="1293"/>
      <c r="DE399" s="1293"/>
      <c r="DF399" s="1293"/>
      <c r="DG399" s="1293"/>
      <c r="DH399" s="1293"/>
      <c r="DI399" s="1293"/>
      <c r="DJ399" s="1293"/>
      <c r="DK399" s="1293"/>
      <c r="DL399" s="1293"/>
    </row>
    <row r="400" spans="1:116" ht="15.75">
      <c r="A400" s="1293"/>
      <c r="B400" s="1331" t="s">
        <v>4512</v>
      </c>
      <c r="C400" s="1331"/>
      <c r="D400" s="1331"/>
      <c r="E400" s="1331"/>
      <c r="F400" s="1331"/>
      <c r="G400" s="2177"/>
      <c r="H400" s="1703">
        <f t="shared" ref="H400:P400" si="476">H69</f>
        <v>3.793312012021488E-4</v>
      </c>
      <c r="I400" s="1703">
        <f t="shared" si="476"/>
        <v>-0.19402155205091276</v>
      </c>
      <c r="J400" s="1703">
        <f t="shared" si="476"/>
        <v>-0.127950763433887</v>
      </c>
      <c r="K400" s="1703">
        <f t="shared" si="476"/>
        <v>1.6396001795561688</v>
      </c>
      <c r="L400" s="2048">
        <f t="shared" si="476"/>
        <v>1.3180071952747312</v>
      </c>
      <c r="M400" s="1703">
        <f t="shared" si="476"/>
        <v>-0.37740064793501915</v>
      </c>
      <c r="N400" s="1703">
        <f t="shared" si="476"/>
        <v>2.1941924150269188E-2</v>
      </c>
      <c r="O400" s="1703">
        <f t="shared" si="476"/>
        <v>0.40979631466484534</v>
      </c>
      <c r="P400" s="1703">
        <f t="shared" si="476"/>
        <v>-1</v>
      </c>
      <c r="Q400" s="2177"/>
      <c r="R400" s="1703">
        <f>R69</f>
        <v>1</v>
      </c>
      <c r="S400" s="1703">
        <f>S69</f>
        <v>1</v>
      </c>
      <c r="T400" s="1703">
        <f>T69</f>
        <v>0</v>
      </c>
      <c r="U400" s="1703">
        <f>U69</f>
        <v>-1</v>
      </c>
      <c r="V400" s="2177"/>
      <c r="W400" s="1703">
        <f>W69</f>
        <v>0</v>
      </c>
      <c r="X400" s="1703">
        <f>X69</f>
        <v>0</v>
      </c>
      <c r="Y400" s="1703">
        <f>Y69</f>
        <v>1</v>
      </c>
      <c r="Z400" s="1703">
        <f>Z69</f>
        <v>0</v>
      </c>
      <c r="AA400" s="2177"/>
      <c r="AB400" s="1703"/>
      <c r="AC400" s="1703">
        <f>AC69</f>
        <v>0</v>
      </c>
      <c r="AD400" s="1703"/>
      <c r="AE400" s="1703">
        <f>AE69</f>
        <v>0</v>
      </c>
      <c r="AF400" s="1703"/>
      <c r="AG400" s="1703">
        <f>AG69</f>
        <v>0</v>
      </c>
      <c r="AH400" s="1703"/>
      <c r="AI400" s="1703"/>
      <c r="AJ400" s="2177"/>
      <c r="AK400" s="1703"/>
      <c r="AL400" s="1703"/>
      <c r="AM400" s="1703"/>
      <c r="AN400" s="1703"/>
      <c r="AO400" s="2177"/>
      <c r="AP400" s="1703"/>
      <c r="AQ400" s="1703"/>
      <c r="AR400" s="1703"/>
      <c r="AS400" s="1703"/>
      <c r="AT400" s="2177"/>
      <c r="AU400" s="1703"/>
      <c r="AV400" s="1703"/>
      <c r="AW400" s="1703"/>
      <c r="AX400" s="1703"/>
      <c r="AY400" s="2177"/>
      <c r="AZ400" s="1703"/>
      <c r="BA400" s="1703"/>
      <c r="BB400" s="1703"/>
      <c r="BC400" s="1331"/>
      <c r="BD400" s="2177"/>
      <c r="BE400" s="1703"/>
      <c r="BF400" s="1703"/>
      <c r="BG400" s="1703"/>
      <c r="BH400" s="1331"/>
      <c r="BI400" s="2177"/>
      <c r="BJ400" s="1703"/>
      <c r="BK400" s="2116"/>
      <c r="BL400" s="2116"/>
      <c r="BM400" s="2116"/>
      <c r="BN400" s="2177"/>
      <c r="BO400" s="1293"/>
      <c r="BP400" s="1293"/>
      <c r="BQ400" s="1293"/>
      <c r="BR400" s="1293"/>
      <c r="BS400" s="1293"/>
      <c r="BT400" s="1293"/>
      <c r="BU400" s="1293"/>
      <c r="BV400" s="1293"/>
      <c r="BW400" s="1293"/>
      <c r="BX400" s="1293"/>
      <c r="BY400" s="1293"/>
      <c r="BZ400" s="1293"/>
      <c r="CA400" s="1293"/>
      <c r="CB400" s="1293"/>
      <c r="CC400" s="1293"/>
      <c r="CD400" s="1293"/>
      <c r="CE400" s="1293"/>
      <c r="CF400" s="1293"/>
      <c r="CG400" s="1293"/>
      <c r="CH400" s="1293"/>
      <c r="CI400" s="1293"/>
      <c r="CJ400" s="1293"/>
      <c r="CK400" s="1293"/>
      <c r="CL400" s="1293"/>
      <c r="CM400" s="1293"/>
      <c r="CN400" s="1293"/>
      <c r="CO400" s="1293"/>
      <c r="CP400" s="1293"/>
      <c r="CQ400" s="1293"/>
      <c r="CR400" s="1293"/>
      <c r="CS400" s="1293"/>
      <c r="CT400" s="1293"/>
      <c r="CU400" s="1293"/>
      <c r="CV400" s="1293"/>
      <c r="CW400" s="1293"/>
      <c r="CX400" s="1293"/>
      <c r="CY400" s="2178"/>
      <c r="CZ400" s="1331"/>
      <c r="DA400" s="2050"/>
      <c r="DB400" s="2051"/>
      <c r="DC400" s="1293"/>
      <c r="DD400" s="1293"/>
      <c r="DE400" s="1293"/>
      <c r="DF400" s="1293"/>
      <c r="DG400" s="1293"/>
      <c r="DH400" s="1293"/>
      <c r="DI400" s="1293"/>
      <c r="DJ400" s="1293"/>
      <c r="DK400" s="1293"/>
      <c r="DL400" s="1293"/>
    </row>
    <row r="401" spans="1:116" ht="15.75">
      <c r="A401" s="1293"/>
      <c r="B401" s="1293" t="s">
        <v>2324</v>
      </c>
      <c r="C401" s="1293"/>
      <c r="D401" s="1293"/>
      <c r="E401" s="1293"/>
      <c r="F401" s="1293"/>
      <c r="G401" s="2080"/>
      <c r="H401" s="1699">
        <f t="shared" ref="H401:P401" si="477">H399+SUM(H383:H390)+H400</f>
        <v>1736.4257373355076</v>
      </c>
      <c r="I401" s="1699">
        <f t="shared" si="477"/>
        <v>1786.3408902192564</v>
      </c>
      <c r="J401" s="1699">
        <f t="shared" si="477"/>
        <v>1817.1336810221665</v>
      </c>
      <c r="K401" s="1699">
        <f t="shared" ca="1" si="477"/>
        <v>1803.4314687529982</v>
      </c>
      <c r="L401" s="2039">
        <f t="shared" ca="1" si="477"/>
        <v>7138.8628691405274</v>
      </c>
      <c r="M401" s="1699">
        <f t="shared" ca="1" si="477"/>
        <v>1609.959806125391</v>
      </c>
      <c r="N401" s="1699">
        <f t="shared" ca="1" si="477"/>
        <v>1580.009827073296</v>
      </c>
      <c r="O401" s="1699">
        <f t="shared" si="477"/>
        <v>1487.6543198701886</v>
      </c>
      <c r="P401" s="1699">
        <f t="shared" si="477"/>
        <v>1485.5685436103699</v>
      </c>
      <c r="Q401" s="2080"/>
      <c r="R401" s="1699">
        <f ca="1">R399+SUM(R383:R390)+R400</f>
        <v>1392.8479958029134</v>
      </c>
      <c r="S401" s="1699">
        <f ca="1">S399+SUM(S383:S390)+S400</f>
        <v>1417.050408604606</v>
      </c>
      <c r="T401" s="1699">
        <f>T399+SUM(T383:T390)+T400</f>
        <v>1423.0094345505338</v>
      </c>
      <c r="U401" s="1699">
        <f>U399+SUM(U383:U390)+U400</f>
        <v>1447.0127365690505</v>
      </c>
      <c r="V401" s="2080"/>
      <c r="W401" s="1699">
        <f ca="1">W399+SUM(W383:W390)+W400</f>
        <v>1375.6106453747316</v>
      </c>
      <c r="X401" s="1699">
        <f ca="1">X399+SUM(X383:X390)+X400</f>
        <v>1399.9119582463443</v>
      </c>
      <c r="Y401" s="1699">
        <f>Y399+SUM(Y383:Y390)+Y400</f>
        <v>1416.7893382040886</v>
      </c>
      <c r="Z401" s="1699">
        <f>Z399+SUM(Z383:Z390)+Z400</f>
        <v>1433.8537603575371</v>
      </c>
      <c r="AA401" s="2080"/>
      <c r="AB401" s="1699"/>
      <c r="AC401" s="1699">
        <f ca="1">AC399+SUM(AC383:AC390)+AC400</f>
        <v>1433.0635329024947</v>
      </c>
      <c r="AD401" s="1699"/>
      <c r="AE401" s="1699">
        <f>AE399+SUM(AE383:AE390)+AE400</f>
        <v>1368.5951593371649</v>
      </c>
      <c r="AF401" s="1699"/>
      <c r="AG401" s="1699">
        <f>AG399+SUM(AG383:AG390)+AG400</f>
        <v>1393.8350598815477</v>
      </c>
      <c r="AH401" s="1699"/>
      <c r="AI401" s="1699"/>
      <c r="AJ401" s="2080"/>
      <c r="AK401" s="1699"/>
      <c r="AL401" s="1699"/>
      <c r="AM401" s="1699"/>
      <c r="AN401" s="1699"/>
      <c r="AO401" s="2080"/>
      <c r="AP401" s="1699"/>
      <c r="AQ401" s="1699"/>
      <c r="AR401" s="1699"/>
      <c r="AS401" s="1699"/>
      <c r="AT401" s="2080"/>
      <c r="AU401" s="1699"/>
      <c r="AV401" s="1699"/>
      <c r="AW401" s="1699"/>
      <c r="AX401" s="1699"/>
      <c r="AY401" s="2080"/>
      <c r="AZ401" s="1699"/>
      <c r="BA401" s="1699"/>
      <c r="BB401" s="1699"/>
      <c r="BC401" s="1293"/>
      <c r="BD401" s="2080"/>
      <c r="BE401" s="1699"/>
      <c r="BF401" s="1699"/>
      <c r="BG401" s="1699"/>
      <c r="BH401" s="1293"/>
      <c r="BI401" s="2080"/>
      <c r="BJ401" s="1699"/>
      <c r="BK401" s="1699"/>
      <c r="BL401" s="1699"/>
      <c r="BM401" s="1699"/>
      <c r="BN401" s="2080"/>
      <c r="BO401" s="1293"/>
      <c r="BP401" s="1293"/>
      <c r="BQ401" s="1293"/>
      <c r="BR401" s="1293"/>
      <c r="BS401" s="1293"/>
      <c r="BT401" s="1293"/>
      <c r="BU401" s="1293"/>
      <c r="BV401" s="1293"/>
      <c r="BW401" s="1293"/>
      <c r="BX401" s="1293"/>
      <c r="BY401" s="1293"/>
      <c r="BZ401" s="1293"/>
      <c r="CA401" s="1293"/>
      <c r="CB401" s="1293"/>
      <c r="CC401" s="1293"/>
      <c r="CD401" s="1293"/>
      <c r="CE401" s="1293"/>
      <c r="CF401" s="1293"/>
      <c r="CG401" s="1293"/>
      <c r="CH401" s="1293"/>
      <c r="CI401" s="1293"/>
      <c r="CJ401" s="1293"/>
      <c r="CK401" s="1293"/>
      <c r="CL401" s="1293"/>
      <c r="CM401" s="1293"/>
      <c r="CN401" s="1293"/>
      <c r="CO401" s="1293"/>
      <c r="CP401" s="1293"/>
      <c r="CQ401" s="1293"/>
      <c r="CR401" s="1293"/>
      <c r="CS401" s="1293"/>
      <c r="CT401" s="1293"/>
      <c r="CU401" s="1293"/>
      <c r="CV401" s="1293"/>
      <c r="CW401" s="1293"/>
      <c r="CX401" s="1293"/>
      <c r="CY401" s="2032"/>
      <c r="CZ401" s="1293"/>
      <c r="DA401" s="2042"/>
      <c r="DB401" s="2041"/>
      <c r="DC401" s="1293"/>
      <c r="DD401" s="1293"/>
      <c r="DE401" s="1293"/>
      <c r="DF401" s="1293"/>
      <c r="DG401" s="1293"/>
      <c r="DH401" s="1293"/>
      <c r="DI401" s="1293"/>
      <c r="DJ401" s="1293"/>
      <c r="DK401" s="1293"/>
      <c r="DL401" s="1293"/>
    </row>
    <row r="402" spans="1:116" ht="15.75">
      <c r="A402" s="1293"/>
      <c r="B402" s="1293"/>
      <c r="C402" s="1293"/>
      <c r="D402" s="1293"/>
      <c r="E402" s="1293"/>
      <c r="F402" s="1293"/>
      <c r="G402" s="2080"/>
      <c r="H402" s="1699"/>
      <c r="I402" s="1699"/>
      <c r="J402" s="1699"/>
      <c r="K402" s="1699"/>
      <c r="L402" s="2039"/>
      <c r="M402" s="1699"/>
      <c r="N402" s="1699"/>
      <c r="O402" s="1699"/>
      <c r="P402" s="1699"/>
      <c r="Q402" s="2080"/>
      <c r="R402" s="1699"/>
      <c r="S402" s="1699"/>
      <c r="T402" s="1699"/>
      <c r="U402" s="1699"/>
      <c r="V402" s="2080"/>
      <c r="W402" s="1699"/>
      <c r="X402" s="1699"/>
      <c r="Y402" s="1699"/>
      <c r="Z402" s="1699"/>
      <c r="AA402" s="2080"/>
      <c r="AB402" s="1699"/>
      <c r="AC402" s="1699"/>
      <c r="AD402" s="1699"/>
      <c r="AE402" s="1699"/>
      <c r="AF402" s="1699"/>
      <c r="AG402" s="1699"/>
      <c r="AH402" s="1699"/>
      <c r="AI402" s="1699"/>
      <c r="AJ402" s="2080"/>
      <c r="AK402" s="1699"/>
      <c r="AL402" s="1699"/>
      <c r="AM402" s="1699"/>
      <c r="AN402" s="1699"/>
      <c r="AO402" s="2080"/>
      <c r="AP402" s="1699"/>
      <c r="AQ402" s="1699"/>
      <c r="AR402" s="1699"/>
      <c r="AS402" s="1699"/>
      <c r="AT402" s="2080"/>
      <c r="AU402" s="1699"/>
      <c r="AV402" s="1699"/>
      <c r="AW402" s="1699"/>
      <c r="AX402" s="1699"/>
      <c r="AY402" s="2080"/>
      <c r="AZ402" s="1699"/>
      <c r="BA402" s="1699"/>
      <c r="BB402" s="1699"/>
      <c r="BC402" s="1293"/>
      <c r="BD402" s="2080"/>
      <c r="BE402" s="1699"/>
      <c r="BF402" s="1699"/>
      <c r="BG402" s="1699"/>
      <c r="BH402" s="1293"/>
      <c r="BI402" s="2080"/>
      <c r="BJ402" s="1699"/>
      <c r="BK402" s="1699"/>
      <c r="BL402" s="1699"/>
      <c r="BM402" s="1699"/>
      <c r="BN402" s="2080"/>
      <c r="BO402" s="1293"/>
      <c r="BP402" s="1293"/>
      <c r="BQ402" s="1293"/>
      <c r="BR402" s="1293"/>
      <c r="BS402" s="1293"/>
      <c r="BT402" s="1293"/>
      <c r="BU402" s="1293"/>
      <c r="BV402" s="1293"/>
      <c r="BW402" s="1293"/>
      <c r="BX402" s="1293"/>
      <c r="BY402" s="1293"/>
      <c r="BZ402" s="1293"/>
      <c r="CA402" s="1293"/>
      <c r="CB402" s="1293"/>
      <c r="CC402" s="1293"/>
      <c r="CD402" s="1293"/>
      <c r="CE402" s="1293"/>
      <c r="CF402" s="1293"/>
      <c r="CG402" s="1293"/>
      <c r="CH402" s="1293"/>
      <c r="CI402" s="1293"/>
      <c r="CJ402" s="1293"/>
      <c r="CK402" s="1293"/>
      <c r="CL402" s="1293"/>
      <c r="CM402" s="1293"/>
      <c r="CN402" s="1293"/>
      <c r="CO402" s="1293"/>
      <c r="CP402" s="1293"/>
      <c r="CQ402" s="1293"/>
      <c r="CR402" s="1293"/>
      <c r="CS402" s="1293"/>
      <c r="CT402" s="1293"/>
      <c r="CU402" s="1293"/>
      <c r="CV402" s="1293"/>
      <c r="CW402" s="1293"/>
      <c r="CX402" s="1293"/>
      <c r="CY402" s="2032"/>
      <c r="CZ402" s="1293"/>
      <c r="DA402" s="2042"/>
      <c r="DB402" s="2041"/>
      <c r="DC402" s="1293"/>
      <c r="DD402" s="1293"/>
      <c r="DE402" s="1293"/>
      <c r="DF402" s="1293"/>
      <c r="DG402" s="1293"/>
      <c r="DH402" s="1293"/>
      <c r="DI402" s="1293"/>
      <c r="DJ402" s="1293"/>
      <c r="DK402" s="1293"/>
      <c r="DL402" s="1293"/>
    </row>
    <row r="403" spans="1:116" ht="15.75">
      <c r="A403" s="1293"/>
      <c r="B403" s="1979" t="s">
        <v>7748</v>
      </c>
      <c r="C403" s="1293"/>
      <c r="D403" s="1293"/>
      <c r="E403" s="1293"/>
      <c r="F403" s="1293"/>
      <c r="G403" s="2080"/>
      <c r="H403" s="1293"/>
      <c r="I403" s="1293"/>
      <c r="J403" s="1293"/>
      <c r="K403" s="1293"/>
      <c r="L403" s="2080"/>
      <c r="M403" s="1293"/>
      <c r="N403" s="1293"/>
      <c r="O403" s="1293"/>
      <c r="P403" s="1293"/>
      <c r="Q403" s="2080"/>
      <c r="R403" s="1293"/>
      <c r="S403" s="1293"/>
      <c r="T403" s="1293"/>
      <c r="U403" s="1293"/>
      <c r="V403" s="2080"/>
      <c r="W403" s="1293"/>
      <c r="X403" s="1293"/>
      <c r="Y403" s="1293"/>
      <c r="Z403" s="1293"/>
      <c r="AA403" s="2080"/>
      <c r="AB403" s="1293"/>
      <c r="AC403" s="1293"/>
      <c r="AD403" s="1293"/>
      <c r="AE403" s="1293"/>
      <c r="AF403" s="1293"/>
      <c r="AG403" s="1293"/>
      <c r="AH403" s="1293"/>
      <c r="AI403" s="1293"/>
      <c r="AJ403" s="2080"/>
      <c r="AK403" s="1293"/>
      <c r="AL403" s="1293"/>
      <c r="AM403" s="1293"/>
      <c r="AN403" s="1293"/>
      <c r="AO403" s="2080"/>
      <c r="AP403" s="1293"/>
      <c r="AQ403" s="1293"/>
      <c r="AR403" s="1293"/>
      <c r="AS403" s="1293"/>
      <c r="AT403" s="2080"/>
      <c r="AU403" s="1293"/>
      <c r="AV403" s="1293"/>
      <c r="AW403" s="1293"/>
      <c r="AX403" s="1293"/>
      <c r="AY403" s="2080"/>
      <c r="AZ403" s="1293"/>
      <c r="BA403" s="1293"/>
      <c r="BB403" s="1293"/>
      <c r="BC403" s="1293"/>
      <c r="BD403" s="2080"/>
      <c r="BE403" s="1293"/>
      <c r="BF403" s="1293"/>
      <c r="BG403" s="1293"/>
      <c r="BH403" s="1293"/>
      <c r="BI403" s="2080"/>
      <c r="BJ403" s="1293"/>
      <c r="BK403" s="1293"/>
      <c r="BL403" s="1293"/>
      <c r="BM403" s="1293"/>
      <c r="BN403" s="2080"/>
      <c r="BO403" s="1293"/>
      <c r="BP403" s="1293"/>
      <c r="BQ403" s="1293"/>
      <c r="BR403" s="1293"/>
      <c r="BS403" s="1293"/>
      <c r="BT403" s="1293"/>
      <c r="BU403" s="1293"/>
      <c r="BV403" s="1293"/>
      <c r="BW403" s="1293"/>
      <c r="BX403" s="1293"/>
      <c r="BY403" s="1293"/>
      <c r="BZ403" s="1293"/>
      <c r="CA403" s="1293"/>
      <c r="CB403" s="1293"/>
      <c r="CC403" s="1293"/>
      <c r="CD403" s="1293"/>
      <c r="CE403" s="1293"/>
      <c r="CF403" s="1293"/>
      <c r="CG403" s="1293"/>
      <c r="CH403" s="1293"/>
      <c r="CI403" s="1293"/>
      <c r="CJ403" s="1293"/>
      <c r="CK403" s="1293"/>
      <c r="CL403" s="1293"/>
      <c r="CM403" s="1293"/>
      <c r="CN403" s="1293"/>
      <c r="CO403" s="1293"/>
      <c r="CP403" s="1293"/>
      <c r="CQ403" s="1293"/>
      <c r="CR403" s="1293"/>
      <c r="CS403" s="1293"/>
      <c r="CT403" s="1293"/>
      <c r="CU403" s="1293"/>
      <c r="CV403" s="1293"/>
      <c r="CW403" s="1293"/>
      <c r="CX403" s="1293"/>
      <c r="CY403" s="2032"/>
      <c r="CZ403" s="1293"/>
      <c r="DA403" s="2031"/>
      <c r="DB403" s="2032"/>
      <c r="DC403" s="1293"/>
      <c r="DD403" s="1293"/>
      <c r="DE403" s="1293"/>
      <c r="DF403" s="1293"/>
      <c r="DG403" s="1293"/>
      <c r="DH403" s="1293"/>
      <c r="DI403" s="1293"/>
      <c r="DJ403" s="1293"/>
      <c r="DK403" s="1293"/>
      <c r="DL403" s="1293"/>
    </row>
    <row r="404" spans="1:116" s="463" customFormat="1" ht="15.75">
      <c r="A404" s="1293"/>
      <c r="B404" s="1293" t="s">
        <v>1665</v>
      </c>
      <c r="C404" s="1293">
        <f t="shared" ref="C404:AX404" si="478">C116*C261/1000</f>
        <v>126.93480802842855</v>
      </c>
      <c r="D404" s="1293">
        <f t="shared" si="478"/>
        <v>125.2270223244808</v>
      </c>
      <c r="E404" s="1293">
        <f t="shared" si="478"/>
        <v>273.13335908856618</v>
      </c>
      <c r="F404" s="1293">
        <f t="shared" si="478"/>
        <v>361.93747540377979</v>
      </c>
      <c r="G404" s="1293">
        <f t="shared" si="478"/>
        <v>882.35240231955004</v>
      </c>
      <c r="H404" s="1293">
        <f t="shared" si="478"/>
        <v>360.59350158714511</v>
      </c>
      <c r="I404" s="1293">
        <f t="shared" si="478"/>
        <v>375.82674133129808</v>
      </c>
      <c r="J404" s="1293">
        <f t="shared" si="478"/>
        <v>419.48401034619746</v>
      </c>
      <c r="K404" s="1293">
        <f t="shared" si="478"/>
        <v>327.24198555161473</v>
      </c>
      <c r="L404" s="1293">
        <f t="shared" si="478"/>
        <v>1497.3451140824393</v>
      </c>
      <c r="M404" s="1293">
        <f t="shared" si="478"/>
        <v>373.30941338913317</v>
      </c>
      <c r="N404" s="1293">
        <f t="shared" si="478"/>
        <v>368.2790408489044</v>
      </c>
      <c r="O404" s="1293">
        <f t="shared" si="478"/>
        <v>360.39862362969285</v>
      </c>
      <c r="P404" s="1293">
        <f t="shared" si="478"/>
        <v>297.32175000000001</v>
      </c>
      <c r="Q404" s="1293">
        <f t="shared" si="478"/>
        <v>1405.5855770710618</v>
      </c>
      <c r="R404" s="1293">
        <f t="shared" si="478"/>
        <v>380.7011</v>
      </c>
      <c r="S404" s="1293">
        <f t="shared" si="478"/>
        <v>335.95800000000003</v>
      </c>
      <c r="T404" s="1293">
        <f t="shared" si="478"/>
        <v>321.51600000000002</v>
      </c>
      <c r="U404" s="1293">
        <f t="shared" si="478"/>
        <v>349.245</v>
      </c>
      <c r="V404" s="1293">
        <f t="shared" si="478"/>
        <v>1387.9117000000001</v>
      </c>
      <c r="W404" s="1327">
        <f t="shared" si="478"/>
        <v>348.49273723076902</v>
      </c>
      <c r="X404" s="1327">
        <f t="shared" si="478"/>
        <v>360.81604630769232</v>
      </c>
      <c r="Y404" s="1327">
        <f t="shared" si="478"/>
        <v>375.82377307692315</v>
      </c>
      <c r="Z404" s="1327">
        <f t="shared" si="478"/>
        <v>373.58800000000002</v>
      </c>
      <c r="AA404" s="1327">
        <f t="shared" si="478"/>
        <v>1441.9860000000001</v>
      </c>
      <c r="AB404" s="1327">
        <f t="shared" si="478"/>
        <v>430.44034000000005</v>
      </c>
      <c r="AC404" s="1327">
        <f t="shared" si="478"/>
        <v>382.566912</v>
      </c>
      <c r="AD404" s="1327">
        <f t="shared" si="478"/>
        <v>405.875</v>
      </c>
      <c r="AE404" s="1327">
        <f t="shared" si="478"/>
        <v>364.56712599999997</v>
      </c>
      <c r="AF404" s="1327">
        <f t="shared" si="478"/>
        <v>408.45051000000007</v>
      </c>
      <c r="AG404" s="1327">
        <f t="shared" si="478"/>
        <v>364.52550000000002</v>
      </c>
      <c r="AH404" s="1327">
        <f t="shared" si="478"/>
        <v>443.67602499999998</v>
      </c>
      <c r="AI404" s="1327">
        <f t="shared" si="478"/>
        <v>0</v>
      </c>
      <c r="AJ404" s="2185">
        <f t="shared" si="478"/>
        <v>1677.51</v>
      </c>
      <c r="AK404" s="1327">
        <f t="shared" si="478"/>
        <v>425.22448499999996</v>
      </c>
      <c r="AL404" s="1327">
        <f t="shared" si="478"/>
        <v>426.96032500000001</v>
      </c>
      <c r="AM404" s="1327">
        <f t="shared" si="478"/>
        <v>408.36900000000003</v>
      </c>
      <c r="AN404" s="1327">
        <f t="shared" si="478"/>
        <v>431.14499999999998</v>
      </c>
      <c r="AO404" s="2185">
        <f t="shared" si="478"/>
        <v>1713.2929999999999</v>
      </c>
      <c r="AP404" s="1327">
        <f t="shared" si="478"/>
        <v>433.18</v>
      </c>
      <c r="AQ404" s="1327">
        <f t="shared" si="478"/>
        <v>399.92399999999998</v>
      </c>
      <c r="AR404" s="1327">
        <f t="shared" si="478"/>
        <v>394.88799999999998</v>
      </c>
      <c r="AS404" s="1327">
        <f t="shared" si="478"/>
        <v>419.25599999999997</v>
      </c>
      <c r="AT404" s="2185">
        <f t="shared" si="478"/>
        <v>1652.1221064519232</v>
      </c>
      <c r="AU404" s="1327">
        <f t="shared" si="478"/>
        <v>424.87200000000001</v>
      </c>
      <c r="AV404" s="1327">
        <f t="shared" si="478"/>
        <v>415.12311909538465</v>
      </c>
      <c r="AW404" s="1327">
        <f t="shared" si="478"/>
        <v>424.18099999999998</v>
      </c>
      <c r="AX404" s="1327">
        <f t="shared" si="478"/>
        <v>442.428</v>
      </c>
      <c r="AY404" s="2186"/>
      <c r="AZ404" s="1327"/>
      <c r="BA404" s="1327"/>
      <c r="BB404" s="1327"/>
      <c r="BC404" s="1293"/>
      <c r="BD404" s="2186"/>
      <c r="BE404" s="1327"/>
      <c r="BF404" s="1327"/>
      <c r="BG404" s="1327"/>
      <c r="BH404" s="1293"/>
      <c r="BI404" s="2186"/>
      <c r="BJ404" s="1327"/>
      <c r="BK404" s="1327"/>
      <c r="BL404" s="1327"/>
      <c r="BM404" s="1327"/>
      <c r="BN404" s="2186"/>
      <c r="BO404" s="1293"/>
      <c r="BP404" s="1293"/>
      <c r="BQ404" s="1293"/>
      <c r="BR404" s="1293"/>
      <c r="BS404" s="1293"/>
      <c r="BT404" s="1293"/>
      <c r="BU404" s="1293"/>
      <c r="BV404" s="1293"/>
      <c r="BW404" s="1293"/>
      <c r="BX404" s="1293"/>
      <c r="BY404" s="1293"/>
      <c r="BZ404" s="1293"/>
      <c r="CA404" s="1293"/>
      <c r="CB404" s="1293"/>
      <c r="CC404" s="1293"/>
      <c r="CD404" s="1293"/>
      <c r="CE404" s="1293"/>
      <c r="CF404" s="1293"/>
      <c r="CG404" s="1293"/>
      <c r="CH404" s="1293"/>
      <c r="CI404" s="1293"/>
      <c r="CJ404" s="1293"/>
      <c r="CK404" s="1293"/>
      <c r="CL404" s="1293"/>
      <c r="CM404" s="1293"/>
      <c r="CN404" s="1293"/>
      <c r="CO404" s="1293"/>
      <c r="CP404" s="1293"/>
      <c r="CQ404" s="1293"/>
      <c r="CR404" s="1293"/>
      <c r="CS404" s="1293"/>
      <c r="CT404" s="1293"/>
      <c r="CU404" s="1293"/>
      <c r="CV404" s="1293"/>
      <c r="CW404" s="1293"/>
      <c r="CX404" s="1293"/>
      <c r="CY404" s="2032"/>
      <c r="CZ404" s="1293"/>
      <c r="DA404" s="2187"/>
      <c r="DB404" s="2188"/>
      <c r="DC404" s="1293"/>
      <c r="DD404" s="1293"/>
      <c r="DE404" s="1293"/>
      <c r="DF404" s="1293"/>
      <c r="DG404" s="1293"/>
      <c r="DH404" s="1293"/>
      <c r="DI404" s="1293"/>
      <c r="DJ404" s="1293"/>
      <c r="DK404" s="1293"/>
      <c r="DL404" s="1293"/>
    </row>
    <row r="405" spans="1:116" ht="15.75">
      <c r="A405" s="1293"/>
      <c r="B405" s="1293"/>
      <c r="C405" s="1293"/>
      <c r="D405" s="1293"/>
      <c r="E405" s="1293"/>
      <c r="F405" s="1293"/>
      <c r="G405" s="2080"/>
      <c r="H405" s="1293"/>
      <c r="I405" s="1293"/>
      <c r="J405" s="1293"/>
      <c r="K405" s="1293"/>
      <c r="L405" s="2080"/>
      <c r="M405" s="1293"/>
      <c r="N405" s="1293"/>
      <c r="O405" s="1293"/>
      <c r="P405" s="1293"/>
      <c r="Q405" s="2080"/>
      <c r="R405" s="1293"/>
      <c r="S405" s="1293"/>
      <c r="T405" s="1293"/>
      <c r="U405" s="1293"/>
      <c r="V405" s="1293"/>
      <c r="W405" s="1293"/>
      <c r="X405" s="1293"/>
      <c r="Y405" s="1293"/>
      <c r="Z405" s="1293"/>
      <c r="AA405" s="1293"/>
      <c r="AB405" s="1293"/>
      <c r="AC405" s="1293"/>
      <c r="AD405" s="1293"/>
      <c r="AE405" s="1293"/>
      <c r="AF405" s="1293"/>
      <c r="AG405" s="1293"/>
      <c r="AH405" s="1293"/>
      <c r="AI405" s="1293"/>
      <c r="AJ405" s="2186"/>
      <c r="AK405" s="1293"/>
      <c r="AL405" s="1293"/>
      <c r="AM405" s="1293"/>
      <c r="AN405" s="1293"/>
      <c r="AO405" s="2186"/>
      <c r="AP405" s="1293"/>
      <c r="AQ405" s="1293"/>
      <c r="AR405" s="1293"/>
      <c r="AS405" s="1293"/>
      <c r="AT405" s="2186"/>
      <c r="AU405" s="1293"/>
      <c r="AV405" s="1293"/>
      <c r="AW405" s="1293"/>
      <c r="AX405" s="1293"/>
      <c r="AY405" s="2186"/>
      <c r="AZ405" s="1293"/>
      <c r="BA405" s="1293"/>
      <c r="BB405" s="1293"/>
      <c r="BC405" s="1293"/>
      <c r="BD405" s="2186"/>
      <c r="BE405" s="1293"/>
      <c r="BF405" s="1293"/>
      <c r="BG405" s="1293"/>
      <c r="BH405" s="1293"/>
      <c r="BI405" s="2186"/>
      <c r="BJ405" s="1293"/>
      <c r="BK405" s="1293"/>
      <c r="BL405" s="1293"/>
      <c r="BM405" s="1293"/>
      <c r="BN405" s="2186"/>
      <c r="BO405" s="1293"/>
      <c r="BP405" s="1293"/>
      <c r="BQ405" s="1293"/>
      <c r="BR405" s="1293"/>
      <c r="BS405" s="1293"/>
      <c r="BT405" s="1293"/>
      <c r="BU405" s="1293"/>
      <c r="BV405" s="1293"/>
      <c r="BW405" s="1293"/>
      <c r="BX405" s="1293"/>
      <c r="BY405" s="1293"/>
      <c r="BZ405" s="1293"/>
      <c r="CA405" s="1293"/>
      <c r="CB405" s="1293"/>
      <c r="CC405" s="1293"/>
      <c r="CD405" s="1293"/>
      <c r="CE405" s="1293"/>
      <c r="CF405" s="1293"/>
      <c r="CG405" s="1293"/>
      <c r="CH405" s="1293"/>
      <c r="CI405" s="1293"/>
      <c r="CJ405" s="1293"/>
      <c r="CK405" s="1293"/>
      <c r="CL405" s="1293"/>
      <c r="CM405" s="1293"/>
      <c r="CN405" s="1293"/>
      <c r="CO405" s="1293"/>
      <c r="CP405" s="1293"/>
      <c r="CQ405" s="1293"/>
      <c r="CR405" s="1293"/>
      <c r="CS405" s="1293"/>
      <c r="CT405" s="1293"/>
      <c r="CU405" s="1293"/>
      <c r="CV405" s="1293"/>
      <c r="CW405" s="1293"/>
      <c r="CX405" s="1293"/>
      <c r="CY405" s="2032"/>
      <c r="CZ405" s="1293"/>
      <c r="DA405" s="2031"/>
      <c r="DB405" s="2032"/>
      <c r="DC405" s="1293"/>
      <c r="DD405" s="1293"/>
      <c r="DE405" s="1293"/>
      <c r="DF405" s="1293"/>
      <c r="DG405" s="1293"/>
      <c r="DH405" s="1293"/>
      <c r="DI405" s="1293"/>
      <c r="DJ405" s="1293"/>
      <c r="DK405" s="1293"/>
      <c r="DL405" s="1293"/>
    </row>
    <row r="406" spans="1:116" ht="15.75">
      <c r="A406" s="1293"/>
      <c r="B406" s="2033" t="s">
        <v>1545</v>
      </c>
      <c r="C406" s="1293"/>
      <c r="D406" s="1293"/>
      <c r="E406" s="1293"/>
      <c r="F406" s="1293"/>
      <c r="G406" s="2080"/>
      <c r="H406" s="1293"/>
      <c r="I406" s="1293"/>
      <c r="J406" s="1293"/>
      <c r="K406" s="1293"/>
      <c r="L406" s="2080"/>
      <c r="M406" s="1293"/>
      <c r="N406" s="1293"/>
      <c r="O406" s="1293"/>
      <c r="P406" s="1293"/>
      <c r="Q406" s="2080"/>
      <c r="R406" s="1293"/>
      <c r="S406" s="1293"/>
      <c r="T406" s="1293"/>
      <c r="U406" s="1293"/>
      <c r="V406" s="1293"/>
      <c r="W406" s="1293"/>
      <c r="X406" s="1293"/>
      <c r="Y406" s="1293"/>
      <c r="Z406" s="1293"/>
      <c r="AA406" s="1293"/>
      <c r="AB406" s="1293"/>
      <c r="AC406" s="1293"/>
      <c r="AD406" s="1293"/>
      <c r="AE406" s="1293"/>
      <c r="AF406" s="1293"/>
      <c r="AG406" s="1293"/>
      <c r="AH406" s="1293"/>
      <c r="AI406" s="1293"/>
      <c r="AJ406" s="2186"/>
      <c r="AK406" s="1293"/>
      <c r="AL406" s="1293"/>
      <c r="AM406" s="1293"/>
      <c r="AN406" s="1293"/>
      <c r="AO406" s="2186"/>
      <c r="AP406" s="1293"/>
      <c r="AQ406" s="1293"/>
      <c r="AR406" s="1293"/>
      <c r="AS406" s="1293"/>
      <c r="AT406" s="2186"/>
      <c r="AU406" s="1293"/>
      <c r="AV406" s="1293"/>
      <c r="AW406" s="1293"/>
      <c r="AX406" s="1293"/>
      <c r="AY406" s="2186"/>
      <c r="AZ406" s="1293"/>
      <c r="BA406" s="1293"/>
      <c r="BB406" s="1293"/>
      <c r="BC406" s="1293"/>
      <c r="BD406" s="2186"/>
      <c r="BE406" s="1293"/>
      <c r="BF406" s="1293"/>
      <c r="BG406" s="1293"/>
      <c r="BH406" s="1293"/>
      <c r="BI406" s="2186"/>
      <c r="BJ406" s="1293"/>
      <c r="BK406" s="1293"/>
      <c r="BL406" s="1293"/>
      <c r="BM406" s="1293"/>
      <c r="BN406" s="2186"/>
      <c r="BO406" s="1293"/>
      <c r="BP406" s="1293"/>
      <c r="BQ406" s="1293"/>
      <c r="BR406" s="1293"/>
      <c r="BS406" s="1293"/>
      <c r="BT406" s="1293"/>
      <c r="BU406" s="1293"/>
      <c r="BV406" s="1293"/>
      <c r="BW406" s="1293"/>
      <c r="BX406" s="1293"/>
      <c r="BY406" s="1293"/>
      <c r="BZ406" s="1293"/>
      <c r="CA406" s="1293"/>
      <c r="CB406" s="1293"/>
      <c r="CC406" s="1293"/>
      <c r="CD406" s="1293"/>
      <c r="CE406" s="1293"/>
      <c r="CF406" s="1293"/>
      <c r="CG406" s="1293"/>
      <c r="CH406" s="1293"/>
      <c r="CI406" s="1293"/>
      <c r="CJ406" s="1293"/>
      <c r="CK406" s="1293"/>
      <c r="CL406" s="1293"/>
      <c r="CM406" s="1293"/>
      <c r="CN406" s="1293"/>
      <c r="CO406" s="1293"/>
      <c r="CP406" s="1293"/>
      <c r="CQ406" s="1293"/>
      <c r="CR406" s="1293"/>
      <c r="CS406" s="1293"/>
      <c r="CT406" s="1293"/>
      <c r="CU406" s="1293"/>
      <c r="CV406" s="1293"/>
      <c r="CW406" s="1293"/>
      <c r="CX406" s="1293"/>
      <c r="CY406" s="2032"/>
      <c r="CZ406" s="1293"/>
      <c r="DA406" s="2031"/>
      <c r="DB406" s="2032"/>
      <c r="DC406" s="1293"/>
      <c r="DD406" s="1293"/>
      <c r="DE406" s="1293"/>
      <c r="DF406" s="1293"/>
      <c r="DG406" s="1293"/>
      <c r="DH406" s="1293"/>
      <c r="DI406" s="1293"/>
      <c r="DJ406" s="1293"/>
      <c r="DK406" s="1293"/>
      <c r="DL406" s="1293"/>
    </row>
    <row r="407" spans="1:116" ht="15.75">
      <c r="A407" s="1293"/>
      <c r="B407" s="1293"/>
      <c r="C407" s="1293"/>
      <c r="D407" s="1293"/>
      <c r="E407" s="1293"/>
      <c r="F407" s="1293"/>
      <c r="G407" s="2080"/>
      <c r="H407" s="1293"/>
      <c r="I407" s="1293"/>
      <c r="J407" s="1293"/>
      <c r="K407" s="1293"/>
      <c r="L407" s="2080"/>
      <c r="M407" s="1293"/>
      <c r="N407" s="1293"/>
      <c r="O407" s="1293"/>
      <c r="P407" s="1293"/>
      <c r="Q407" s="2080"/>
      <c r="R407" s="1293"/>
      <c r="S407" s="1293"/>
      <c r="T407" s="1293"/>
      <c r="U407" s="1293"/>
      <c r="V407" s="1293"/>
      <c r="W407" s="1293"/>
      <c r="X407" s="1293"/>
      <c r="Y407" s="1293"/>
      <c r="Z407" s="1293"/>
      <c r="AA407" s="1293"/>
      <c r="AB407" s="1293"/>
      <c r="AC407" s="1293"/>
      <c r="AD407" s="1293"/>
      <c r="AE407" s="1293"/>
      <c r="AF407" s="1293"/>
      <c r="AG407" s="1293"/>
      <c r="AH407" s="1293"/>
      <c r="AI407" s="1293"/>
      <c r="AJ407" s="2186"/>
      <c r="AK407" s="1293"/>
      <c r="AL407" s="1293"/>
      <c r="AM407" s="1293"/>
      <c r="AN407" s="1293"/>
      <c r="AO407" s="2186"/>
      <c r="AP407" s="1293"/>
      <c r="AQ407" s="1293"/>
      <c r="AR407" s="1293"/>
      <c r="AS407" s="1293"/>
      <c r="AT407" s="2186"/>
      <c r="AU407" s="1293"/>
      <c r="AV407" s="1293"/>
      <c r="AW407" s="1293"/>
      <c r="AX407" s="1293"/>
      <c r="AY407" s="2186"/>
      <c r="AZ407" s="1293"/>
      <c r="BA407" s="1293"/>
      <c r="BB407" s="1293"/>
      <c r="BC407" s="1293"/>
      <c r="BD407" s="2186"/>
      <c r="BE407" s="1293"/>
      <c r="BF407" s="1293"/>
      <c r="BG407" s="1293"/>
      <c r="BH407" s="1293"/>
      <c r="BI407" s="2186"/>
      <c r="BJ407" s="1293"/>
      <c r="BK407" s="1293"/>
      <c r="BL407" s="1293"/>
      <c r="BM407" s="1293"/>
      <c r="BN407" s="2186"/>
      <c r="BO407" s="1293"/>
      <c r="BP407" s="1293"/>
      <c r="BQ407" s="1293"/>
      <c r="BR407" s="1293"/>
      <c r="BS407" s="1293"/>
      <c r="BT407" s="1293"/>
      <c r="BU407" s="1293"/>
      <c r="BV407" s="1293"/>
      <c r="BW407" s="1293"/>
      <c r="BX407" s="1293"/>
      <c r="BY407" s="1293"/>
      <c r="BZ407" s="1293"/>
      <c r="CA407" s="1293"/>
      <c r="CB407" s="1293"/>
      <c r="CC407" s="1293"/>
      <c r="CD407" s="1293"/>
      <c r="CE407" s="1293"/>
      <c r="CF407" s="1293"/>
      <c r="CG407" s="1293"/>
      <c r="CH407" s="1293"/>
      <c r="CI407" s="1293"/>
      <c r="CJ407" s="1293"/>
      <c r="CK407" s="1293"/>
      <c r="CL407" s="1293"/>
      <c r="CM407" s="1293"/>
      <c r="CN407" s="1293"/>
      <c r="CO407" s="1293"/>
      <c r="CP407" s="1293"/>
      <c r="CQ407" s="1293"/>
      <c r="CR407" s="1293"/>
      <c r="CS407" s="1293"/>
      <c r="CT407" s="1293"/>
      <c r="CU407" s="1293"/>
      <c r="CV407" s="1293"/>
      <c r="CW407" s="1293"/>
      <c r="CX407" s="1293"/>
      <c r="CY407" s="2032"/>
      <c r="CZ407" s="1293"/>
      <c r="DA407" s="2031"/>
      <c r="DB407" s="2032"/>
      <c r="DC407" s="1293"/>
      <c r="DD407" s="1293"/>
      <c r="DE407" s="1293"/>
      <c r="DF407" s="1293"/>
      <c r="DG407" s="1293"/>
      <c r="DH407" s="1293"/>
      <c r="DI407" s="1293"/>
      <c r="DJ407" s="1293"/>
      <c r="DK407" s="1293"/>
      <c r="DL407" s="1293"/>
    </row>
    <row r="408" spans="1:116" ht="15.75">
      <c r="A408" s="1293"/>
      <c r="B408" s="2189" t="s">
        <v>4539</v>
      </c>
      <c r="C408" s="1883" t="str">
        <f t="shared" ref="C408:Q408" si="479">C575</f>
        <v>Q1 14</v>
      </c>
      <c r="D408" s="1883" t="str">
        <f t="shared" si="479"/>
        <v>Q2 14</v>
      </c>
      <c r="E408" s="1883" t="str">
        <f t="shared" si="479"/>
        <v>Q3 14</v>
      </c>
      <c r="F408" s="1883" t="str">
        <f t="shared" si="479"/>
        <v>Q4 14</v>
      </c>
      <c r="G408" s="2034" t="str">
        <f t="shared" si="479"/>
        <v>FY 14</v>
      </c>
      <c r="H408" s="1883" t="str">
        <f t="shared" si="479"/>
        <v>Q1 15</v>
      </c>
      <c r="I408" s="1883" t="str">
        <f t="shared" si="479"/>
        <v>Q2 15</v>
      </c>
      <c r="J408" s="1883" t="str">
        <f t="shared" si="479"/>
        <v>Q3 15</v>
      </c>
      <c r="K408" s="1883" t="str">
        <f t="shared" si="479"/>
        <v>Q4 15</v>
      </c>
      <c r="L408" s="2034" t="str">
        <f t="shared" si="479"/>
        <v>FY 15</v>
      </c>
      <c r="M408" s="1883" t="str">
        <f t="shared" si="479"/>
        <v>Q1 16</v>
      </c>
      <c r="N408" s="1883" t="str">
        <f t="shared" si="479"/>
        <v>Q2 16</v>
      </c>
      <c r="O408" s="1883" t="str">
        <f t="shared" si="479"/>
        <v>Q3 16</v>
      </c>
      <c r="P408" s="1883" t="str">
        <f t="shared" si="479"/>
        <v>Q4 16</v>
      </c>
      <c r="Q408" s="2034">
        <f t="shared" si="479"/>
        <v>2016</v>
      </c>
      <c r="R408" s="1883" t="str">
        <f t="shared" ref="R408:AA408" si="480">R382</f>
        <v>Q1 17</v>
      </c>
      <c r="S408" s="1883" t="str">
        <f t="shared" si="480"/>
        <v>Q2 17</v>
      </c>
      <c r="T408" s="1883" t="str">
        <f t="shared" si="480"/>
        <v>Q3 17</v>
      </c>
      <c r="U408" s="1883" t="str">
        <f t="shared" si="480"/>
        <v>Q4 17</v>
      </c>
      <c r="V408" s="1883">
        <f t="shared" si="480"/>
        <v>2017</v>
      </c>
      <c r="W408" s="1883" t="str">
        <f t="shared" si="480"/>
        <v>Q1 18</v>
      </c>
      <c r="X408" s="1883" t="str">
        <f t="shared" si="480"/>
        <v>Q2 18</v>
      </c>
      <c r="Y408" s="1883" t="str">
        <f t="shared" si="480"/>
        <v>Q3 18</v>
      </c>
      <c r="Z408" s="1883" t="str">
        <f t="shared" si="480"/>
        <v>Q4 18</v>
      </c>
      <c r="AA408" s="1883">
        <f t="shared" si="480"/>
        <v>2018</v>
      </c>
      <c r="AB408" s="1883" t="str">
        <f>AC408</f>
        <v>Q1 19</v>
      </c>
      <c r="AC408" s="1883" t="str">
        <f>AC382</f>
        <v>Q1 19</v>
      </c>
      <c r="AD408" s="1883" t="str">
        <f>AE408</f>
        <v>Q2 19</v>
      </c>
      <c r="AE408" s="1883" t="str">
        <f>AE382</f>
        <v>Q2 19</v>
      </c>
      <c r="AF408" s="1883" t="str">
        <f>AG408</f>
        <v>Q3 19</v>
      </c>
      <c r="AG408" s="1883" t="str">
        <f t="shared" ref="AG408:AQ408" si="481">AG382</f>
        <v>Q3 19</v>
      </c>
      <c r="AH408" s="1883" t="str">
        <f t="shared" si="481"/>
        <v>Q4 19</v>
      </c>
      <c r="AI408" s="1883" t="str">
        <f t="shared" si="481"/>
        <v>Q4 19</v>
      </c>
      <c r="AJ408" s="2190">
        <f t="shared" si="481"/>
        <v>2019</v>
      </c>
      <c r="AK408" s="1883" t="str">
        <f t="shared" si="481"/>
        <v>Q1 20</v>
      </c>
      <c r="AL408" s="1883" t="str">
        <f t="shared" si="481"/>
        <v>Q2 20</v>
      </c>
      <c r="AM408" s="1883" t="str">
        <f t="shared" si="481"/>
        <v>Q3 20</v>
      </c>
      <c r="AN408" s="1883" t="str">
        <f t="shared" si="481"/>
        <v>Q4 20</v>
      </c>
      <c r="AO408" s="2190">
        <f t="shared" si="481"/>
        <v>2020</v>
      </c>
      <c r="AP408" s="1883" t="str">
        <f t="shared" si="481"/>
        <v>Q1 21</v>
      </c>
      <c r="AQ408" s="1883" t="str">
        <f t="shared" si="481"/>
        <v>Q2 21</v>
      </c>
      <c r="AR408" s="1883" t="s">
        <v>7047</v>
      </c>
      <c r="AS408" s="1883" t="s">
        <v>7048</v>
      </c>
      <c r="AT408" s="2190">
        <f t="shared" ref="AT408:BE408" si="482">AT382</f>
        <v>2021</v>
      </c>
      <c r="AU408" s="1883" t="str">
        <f t="shared" si="482"/>
        <v>Q1 22</v>
      </c>
      <c r="AV408" s="1883" t="str">
        <f t="shared" ref="AV408:BB408" si="483">AV382</f>
        <v>Q2 22</v>
      </c>
      <c r="AW408" s="1883" t="str">
        <f t="shared" si="483"/>
        <v>Q3 22</v>
      </c>
      <c r="AX408" s="1883" t="str">
        <f t="shared" si="483"/>
        <v>Q4 22</v>
      </c>
      <c r="AY408" s="2190">
        <f t="shared" si="482"/>
        <v>2022</v>
      </c>
      <c r="AZ408" s="1883" t="str">
        <f t="shared" si="483"/>
        <v>Q1 23</v>
      </c>
      <c r="BA408" s="1883" t="str">
        <f t="shared" si="483"/>
        <v>Q2 23</v>
      </c>
      <c r="BB408" s="1883" t="str">
        <f t="shared" si="483"/>
        <v>Q3 23</v>
      </c>
      <c r="BC408" s="1883" t="str">
        <f t="shared" si="482"/>
        <v>Q4 23</v>
      </c>
      <c r="BD408" s="2190">
        <f t="shared" ref="BD408:BM408" si="484">BD382</f>
        <v>2023</v>
      </c>
      <c r="BE408" s="1883" t="str">
        <f t="shared" si="482"/>
        <v>Q1 24</v>
      </c>
      <c r="BF408" s="1883" t="str">
        <f t="shared" si="484"/>
        <v>Q2 24</v>
      </c>
      <c r="BG408" s="1883" t="str">
        <f t="shared" si="484"/>
        <v>Q3 24</v>
      </c>
      <c r="BH408" s="1883" t="str">
        <f t="shared" si="484"/>
        <v>Q4 24</v>
      </c>
      <c r="BI408" s="2190">
        <f t="shared" si="484"/>
        <v>2024</v>
      </c>
      <c r="BJ408" s="1883" t="str">
        <f t="shared" si="484"/>
        <v>Q1 25</v>
      </c>
      <c r="BK408" s="1883" t="str">
        <f t="shared" si="484"/>
        <v>Q2 25</v>
      </c>
      <c r="BL408" s="1883" t="str">
        <f t="shared" si="484"/>
        <v>Q3 25</v>
      </c>
      <c r="BM408" s="1883" t="str">
        <f t="shared" si="484"/>
        <v>Q4 25</v>
      </c>
      <c r="BN408" s="2190">
        <f t="shared" ref="BN408" si="485">BN382</f>
        <v>2025</v>
      </c>
      <c r="BO408" s="1323"/>
      <c r="BP408" s="1323"/>
      <c r="BQ408" s="1293"/>
      <c r="BR408" s="1293"/>
      <c r="BS408" s="1293"/>
      <c r="BT408" s="1293"/>
      <c r="BU408" s="1293"/>
      <c r="BV408" s="1293"/>
      <c r="BW408" s="1293"/>
      <c r="BX408" s="1293"/>
      <c r="BY408" s="1293"/>
      <c r="BZ408" s="1293"/>
      <c r="CA408" s="1293"/>
      <c r="CB408" s="1293"/>
      <c r="CC408" s="1293"/>
      <c r="CD408" s="1293"/>
      <c r="CE408" s="1293"/>
      <c r="CF408" s="1293"/>
      <c r="CG408" s="1293"/>
      <c r="CH408" s="1293"/>
      <c r="CI408" s="1293"/>
      <c r="CJ408" s="1293"/>
      <c r="CK408" s="1293"/>
      <c r="CL408" s="1293"/>
      <c r="CM408" s="1293"/>
      <c r="CN408" s="1293"/>
      <c r="CO408" s="1293"/>
      <c r="CP408" s="1293"/>
      <c r="CQ408" s="1293"/>
      <c r="CR408" s="1293"/>
      <c r="CS408" s="1293"/>
      <c r="CT408" s="1293"/>
      <c r="CU408" s="1293"/>
      <c r="CV408" s="1293"/>
      <c r="CW408" s="1293"/>
      <c r="CX408" s="1293"/>
      <c r="CY408" s="2036" t="s">
        <v>7795</v>
      </c>
      <c r="CZ408" s="1883" t="str">
        <f>CZ382</f>
        <v>Q3 23e</v>
      </c>
      <c r="DA408" s="2037" t="s">
        <v>8571</v>
      </c>
      <c r="DB408" s="2038" t="s">
        <v>8572</v>
      </c>
      <c r="DC408" s="1293"/>
      <c r="DD408" s="1293"/>
      <c r="DE408" s="1293"/>
      <c r="DF408" s="1293"/>
      <c r="DG408" s="1293"/>
      <c r="DH408" s="1293"/>
      <c r="DI408" s="1293"/>
      <c r="DJ408" s="1293"/>
      <c r="DK408" s="1293"/>
      <c r="DL408" s="1293"/>
    </row>
    <row r="409" spans="1:116" ht="15.75">
      <c r="A409" s="1293"/>
      <c r="B409" s="1293" t="s">
        <v>5484</v>
      </c>
      <c r="C409" s="1699">
        <v>53.762798482954295</v>
      </c>
      <c r="D409" s="1699">
        <v>86.091918160199612</v>
      </c>
      <c r="E409" s="1699">
        <v>106.67515180163218</v>
      </c>
      <c r="F409" s="1699">
        <v>146.60907793443897</v>
      </c>
      <c r="G409" s="2039">
        <v>394.13894637922505</v>
      </c>
      <c r="H409" s="1699">
        <v>63.049146830458589</v>
      </c>
      <c r="I409" s="1699">
        <v>83.627699909442484</v>
      </c>
      <c r="J409" s="1699">
        <v>92.62754583597598</v>
      </c>
      <c r="K409" s="1699">
        <v>127.73252024437801</v>
      </c>
      <c r="L409" s="2039">
        <v>367.03691282025505</v>
      </c>
      <c r="M409" s="1699">
        <v>86.895503658010895</v>
      </c>
      <c r="N409" s="1699">
        <v>76.565367439720731</v>
      </c>
      <c r="O409" s="1699">
        <v>67.428186425433097</v>
      </c>
      <c r="P409" s="1699">
        <v>114</v>
      </c>
      <c r="Q409" s="2157">
        <f>SUM(M409:P409)</f>
        <v>344.88905752316475</v>
      </c>
      <c r="R409" s="1699">
        <v>57</v>
      </c>
      <c r="S409" s="1997">
        <v>75</v>
      </c>
      <c r="T409" s="1997">
        <v>75</v>
      </c>
      <c r="U409" s="1997">
        <v>105</v>
      </c>
      <c r="V409" s="2157">
        <f>SUM(R409:U409)</f>
        <v>312</v>
      </c>
      <c r="W409" s="1997">
        <v>60</v>
      </c>
      <c r="X409" s="1997">
        <v>70</v>
      </c>
      <c r="Y409" s="1997">
        <v>80</v>
      </c>
      <c r="Z409" s="1997">
        <v>85</v>
      </c>
      <c r="AA409" s="2157">
        <f>SUM(W409:Z409)</f>
        <v>295</v>
      </c>
      <c r="AB409" s="1997">
        <v>105</v>
      </c>
      <c r="AC409" s="1997">
        <v>60</v>
      </c>
      <c r="AD409" s="1997">
        <v>105</v>
      </c>
      <c r="AE409" s="1997">
        <v>60</v>
      </c>
      <c r="AF409" s="1997">
        <v>105</v>
      </c>
      <c r="AG409" s="1997"/>
      <c r="AH409" s="1997">
        <v>120</v>
      </c>
      <c r="AI409" s="1997"/>
      <c r="AJ409" s="2157">
        <f>AB409+AD409+AF409+AH409</f>
        <v>435</v>
      </c>
      <c r="AK409" s="1997">
        <v>115</v>
      </c>
      <c r="AL409" s="1997">
        <v>115</v>
      </c>
      <c r="AM409" s="1997">
        <v>115</v>
      </c>
      <c r="AN409" s="1997">
        <v>115</v>
      </c>
      <c r="AO409" s="2191">
        <f>AK409+AL409+AM409+AN409</f>
        <v>460</v>
      </c>
      <c r="AP409" s="1997"/>
      <c r="AQ409" s="1997"/>
      <c r="AR409" s="1997"/>
      <c r="AS409" s="1997"/>
      <c r="AT409" s="2191"/>
      <c r="AU409" s="1997"/>
      <c r="AV409" s="1997"/>
      <c r="AW409" s="1997"/>
      <c r="AX409" s="1997"/>
      <c r="AY409" s="2191"/>
      <c r="AZ409" s="1997"/>
      <c r="BA409" s="1997"/>
      <c r="BB409" s="1997"/>
      <c r="BC409" s="1293"/>
      <c r="BD409" s="2186"/>
      <c r="BE409" s="1997"/>
      <c r="BF409" s="1997"/>
      <c r="BG409" s="1997"/>
      <c r="BH409" s="1293"/>
      <c r="BI409" s="2186"/>
      <c r="BJ409" s="1997"/>
      <c r="BK409" s="1997"/>
      <c r="BL409" s="1997"/>
      <c r="BM409" s="1997"/>
      <c r="BN409" s="2186"/>
      <c r="BO409" s="1293"/>
      <c r="BP409" s="1293"/>
      <c r="BQ409" s="1293"/>
      <c r="BR409" s="1293"/>
      <c r="BS409" s="1293"/>
      <c r="BT409" s="1293"/>
      <c r="BU409" s="1293"/>
      <c r="BV409" s="1293"/>
      <c r="BW409" s="1293"/>
      <c r="BX409" s="1293"/>
      <c r="BY409" s="1293"/>
      <c r="BZ409" s="1293"/>
      <c r="CA409" s="1293"/>
      <c r="CB409" s="1293"/>
      <c r="CC409" s="1293"/>
      <c r="CD409" s="1293"/>
      <c r="CE409" s="1293"/>
      <c r="CF409" s="1293"/>
      <c r="CG409" s="1293"/>
      <c r="CH409" s="1293"/>
      <c r="CI409" s="1293"/>
      <c r="CJ409" s="1293"/>
      <c r="CK409" s="1293"/>
      <c r="CL409" s="1293"/>
      <c r="CM409" s="1293"/>
      <c r="CN409" s="1293"/>
      <c r="CO409" s="1293"/>
      <c r="CP409" s="1293"/>
      <c r="CQ409" s="1293"/>
      <c r="CR409" s="1293"/>
      <c r="CS409" s="1293"/>
      <c r="CT409" s="1293"/>
      <c r="CU409" s="1293"/>
      <c r="CV409" s="1293"/>
      <c r="CW409" s="1293"/>
      <c r="CX409" s="1293"/>
      <c r="CY409" s="2032"/>
      <c r="CZ409" s="1293"/>
      <c r="DA409" s="2110"/>
      <c r="DB409" s="2111"/>
      <c r="DC409" s="1293"/>
      <c r="DD409" s="1293"/>
      <c r="DE409" s="1293"/>
      <c r="DF409" s="1293"/>
      <c r="DG409" s="1293"/>
      <c r="DH409" s="1293"/>
      <c r="DI409" s="1293"/>
      <c r="DJ409" s="1293"/>
      <c r="DK409" s="1293"/>
      <c r="DL409" s="1293"/>
    </row>
    <row r="410" spans="1:116" ht="15.75">
      <c r="A410" s="1293"/>
      <c r="B410" s="1293" t="s">
        <v>1697</v>
      </c>
      <c r="C410" s="1699">
        <v>69.73263000770261</v>
      </c>
      <c r="D410" s="1699">
        <v>103.91063675452401</v>
      </c>
      <c r="E410" s="1699">
        <v>130.63298569606607</v>
      </c>
      <c r="F410" s="1699">
        <v>194.24376252425188</v>
      </c>
      <c r="G410" s="2039">
        <v>498.52001498254458</v>
      </c>
      <c r="H410" s="1699">
        <v>96.239446058369012</v>
      </c>
      <c r="I410" s="1699">
        <v>152.75440391588708</v>
      </c>
      <c r="J410" s="1699">
        <v>187.03016192424082</v>
      </c>
      <c r="K410" s="1699">
        <v>241.38986929260602</v>
      </c>
      <c r="L410" s="2039">
        <v>677.41388119110297</v>
      </c>
      <c r="M410" s="1699">
        <v>78.591144196768795</v>
      </c>
      <c r="N410" s="1699">
        <v>120.45051097032044</v>
      </c>
      <c r="O410" s="1699">
        <v>110.60390291149011</v>
      </c>
      <c r="P410" s="1699">
        <v>212</v>
      </c>
      <c r="Q410" s="2157">
        <f>SUM(M410:P410)</f>
        <v>521.64555807857937</v>
      </c>
      <c r="R410" s="1699">
        <v>77</v>
      </c>
      <c r="S410" s="1699">
        <f>210-S409</f>
        <v>135</v>
      </c>
      <c r="T410" s="1699">
        <f>229-T409</f>
        <v>154</v>
      </c>
      <c r="U410" s="1699">
        <f>907-R410-S410-T410-R409-S409-T409-U409</f>
        <v>229</v>
      </c>
      <c r="V410" s="2157">
        <f>SUM(R410:U410)</f>
        <v>595</v>
      </c>
      <c r="W410" s="1699">
        <f>151-W409</f>
        <v>91</v>
      </c>
      <c r="X410" s="1699">
        <f>209.4-X409</f>
        <v>139.4</v>
      </c>
      <c r="Y410" s="1699">
        <f>246-Y409</f>
        <v>166</v>
      </c>
      <c r="Z410" s="1699">
        <f>346-Z409</f>
        <v>261</v>
      </c>
      <c r="AA410" s="2157">
        <f>SUM(W410:Z410)</f>
        <v>657.4</v>
      </c>
      <c r="AB410" s="1699">
        <f>168-AB409</f>
        <v>63</v>
      </c>
      <c r="AC410" s="1699">
        <f>168-AC409</f>
        <v>108</v>
      </c>
      <c r="AD410" s="1699">
        <f>223-AD409</f>
        <v>118</v>
      </c>
      <c r="AE410" s="1699">
        <f>223-AE409</f>
        <v>163</v>
      </c>
      <c r="AF410" s="1699">
        <f>247-AF409</f>
        <v>142</v>
      </c>
      <c r="AG410" s="1699"/>
      <c r="AH410" s="1699">
        <f>363-AH409</f>
        <v>243</v>
      </c>
      <c r="AI410" s="1699"/>
      <c r="AJ410" s="2157">
        <f>AB410+AD410+AF410+AH410</f>
        <v>566</v>
      </c>
      <c r="AK410" s="1699">
        <f>174-AK409</f>
        <v>59</v>
      </c>
      <c r="AL410" s="1699">
        <f>190-AL409</f>
        <v>75</v>
      </c>
      <c r="AM410" s="1699">
        <f>220-AM409</f>
        <v>105</v>
      </c>
      <c r="AN410" s="1699">
        <f>358-AN409</f>
        <v>243</v>
      </c>
      <c r="AO410" s="2191">
        <f>AK410+AL410+AM410+AN410</f>
        <v>482</v>
      </c>
      <c r="AP410" s="1699">
        <f>167-AP409</f>
        <v>167</v>
      </c>
      <c r="AQ410" s="1699">
        <f>240-AQ409</f>
        <v>240</v>
      </c>
      <c r="AR410" s="1699">
        <f>287-AR409</f>
        <v>287</v>
      </c>
      <c r="AS410" s="1699">
        <v>417</v>
      </c>
      <c r="AT410" s="2191">
        <f>AP410+AQ410+AR410+AS410</f>
        <v>1111</v>
      </c>
      <c r="AU410" s="1699"/>
      <c r="AV410" s="1699"/>
      <c r="AW410" s="1699"/>
      <c r="AX410" s="1699"/>
      <c r="AY410" s="2186"/>
      <c r="AZ410" s="1699"/>
      <c r="BA410" s="1699"/>
      <c r="BB410" s="1699"/>
      <c r="BC410" s="1293"/>
      <c r="BD410" s="2186"/>
      <c r="BE410" s="1699"/>
      <c r="BF410" s="1699"/>
      <c r="BG410" s="1699"/>
      <c r="BH410" s="1293"/>
      <c r="BI410" s="2186"/>
      <c r="BJ410" s="1699"/>
      <c r="BK410" s="1699"/>
      <c r="BL410" s="1699"/>
      <c r="BM410" s="1699"/>
      <c r="BN410" s="2186"/>
      <c r="BO410" s="1293"/>
      <c r="BP410" s="1293"/>
      <c r="BQ410" s="1293"/>
      <c r="BR410" s="1293"/>
      <c r="BS410" s="1293"/>
      <c r="BT410" s="1293"/>
      <c r="BU410" s="1293"/>
      <c r="BV410" s="1293"/>
      <c r="BW410" s="1293"/>
      <c r="BX410" s="1293"/>
      <c r="BY410" s="1293"/>
      <c r="BZ410" s="1293"/>
      <c r="CA410" s="1293"/>
      <c r="CB410" s="1293"/>
      <c r="CC410" s="1293"/>
      <c r="CD410" s="1293"/>
      <c r="CE410" s="1293"/>
      <c r="CF410" s="1293"/>
      <c r="CG410" s="1293"/>
      <c r="CH410" s="1293"/>
      <c r="CI410" s="1293"/>
      <c r="CJ410" s="1293"/>
      <c r="CK410" s="1293"/>
      <c r="CL410" s="1293"/>
      <c r="CM410" s="1293"/>
      <c r="CN410" s="1293"/>
      <c r="CO410" s="1293"/>
      <c r="CP410" s="1293"/>
      <c r="CQ410" s="1293"/>
      <c r="CR410" s="1293"/>
      <c r="CS410" s="1293"/>
      <c r="CT410" s="1293"/>
      <c r="CU410" s="1293"/>
      <c r="CV410" s="1293"/>
      <c r="CW410" s="1293"/>
      <c r="CX410" s="1293"/>
      <c r="CY410" s="2032"/>
      <c r="CZ410" s="1293"/>
      <c r="DA410" s="2042"/>
      <c r="DB410" s="2041"/>
      <c r="DC410" s="1293"/>
      <c r="DD410" s="1293"/>
      <c r="DE410" s="1293"/>
      <c r="DF410" s="1293"/>
      <c r="DG410" s="1293"/>
      <c r="DH410" s="1293"/>
      <c r="DI410" s="1293"/>
      <c r="DJ410" s="1293"/>
      <c r="DK410" s="1293"/>
      <c r="DL410" s="1293"/>
    </row>
    <row r="411" spans="1:116" ht="15.75">
      <c r="A411" s="1293"/>
      <c r="B411" s="1331" t="s">
        <v>1831</v>
      </c>
      <c r="C411" s="1703">
        <v>37.605611802883004</v>
      </c>
      <c r="D411" s="1703">
        <v>85.357577728302999</v>
      </c>
      <c r="E411" s="1703">
        <v>79.630995589384014</v>
      </c>
      <c r="F411" s="1703">
        <v>110.54745008907639</v>
      </c>
      <c r="G411" s="2048">
        <v>313.14163520964644</v>
      </c>
      <c r="H411" s="1703">
        <v>28.1886198414172</v>
      </c>
      <c r="I411" s="1703">
        <v>53.738972841342012</v>
      </c>
      <c r="J411" s="1703">
        <v>66.017197966151798</v>
      </c>
      <c r="K411" s="1703">
        <v>93.8440561968998</v>
      </c>
      <c r="L411" s="2048">
        <v>241.78884684581101</v>
      </c>
      <c r="M411" s="1703">
        <v>28.183102738967101</v>
      </c>
      <c r="N411" s="1703">
        <v>24.008342229405702</v>
      </c>
      <c r="O411" s="1703">
        <v>35.182961429121399</v>
      </c>
      <c r="P411" s="1703">
        <v>73</v>
      </c>
      <c r="Q411" s="2192">
        <f>SUM(M411:P411)</f>
        <v>160.3744063974942</v>
      </c>
      <c r="R411" s="1703">
        <v>21</v>
      </c>
      <c r="S411" s="1703">
        <v>31</v>
      </c>
      <c r="T411" s="1703">
        <v>12</v>
      </c>
      <c r="U411" s="1703">
        <f>81-R411-S411-T411</f>
        <v>17</v>
      </c>
      <c r="V411" s="2192">
        <f>SUM(R411:U411)</f>
        <v>81</v>
      </c>
      <c r="W411" s="1703">
        <v>5</v>
      </c>
      <c r="X411" s="1703">
        <v>7</v>
      </c>
      <c r="Y411" s="1703">
        <v>8</v>
      </c>
      <c r="Z411" s="1703">
        <v>21</v>
      </c>
      <c r="AA411" s="2192">
        <f>SUM(W411:Z411)</f>
        <v>41</v>
      </c>
      <c r="AB411" s="1703">
        <v>8</v>
      </c>
      <c r="AC411" s="1703">
        <v>8</v>
      </c>
      <c r="AD411" s="1703">
        <v>8</v>
      </c>
      <c r="AE411" s="1703">
        <v>8</v>
      </c>
      <c r="AF411" s="1703">
        <v>7</v>
      </c>
      <c r="AG411" s="1703"/>
      <c r="AH411" s="1703">
        <v>20</v>
      </c>
      <c r="AI411" s="1703"/>
      <c r="AJ411" s="2192">
        <f>AB411+AD411+AF411+AH411</f>
        <v>43</v>
      </c>
      <c r="AK411" s="1703">
        <v>5</v>
      </c>
      <c r="AL411" s="1703">
        <v>12</v>
      </c>
      <c r="AM411" s="1703">
        <v>11</v>
      </c>
      <c r="AN411" s="1703">
        <v>13</v>
      </c>
      <c r="AO411" s="2193">
        <f>AK411+AL411+AM411+AN411</f>
        <v>41</v>
      </c>
      <c r="AP411" s="1703"/>
      <c r="AQ411" s="1703"/>
      <c r="AR411" s="1703"/>
      <c r="AS411" s="1703"/>
      <c r="AT411" s="2193">
        <f>AP411+AQ411+AR411+AS411</f>
        <v>0</v>
      </c>
      <c r="AU411" s="1703"/>
      <c r="AV411" s="1703"/>
      <c r="AW411" s="1703"/>
      <c r="AX411" s="1703"/>
      <c r="AY411" s="2194"/>
      <c r="AZ411" s="1703"/>
      <c r="BA411" s="1703"/>
      <c r="BB411" s="1703"/>
      <c r="BC411" s="1703"/>
      <c r="BD411" s="2194"/>
      <c r="BE411" s="1703"/>
      <c r="BF411" s="1703"/>
      <c r="BG411" s="1703"/>
      <c r="BH411" s="1703"/>
      <c r="BI411" s="2194"/>
      <c r="BJ411" s="1703"/>
      <c r="BK411" s="2116"/>
      <c r="BL411" s="2116"/>
      <c r="BM411" s="2116"/>
      <c r="BN411" s="2194"/>
      <c r="BO411" s="1699"/>
      <c r="BP411" s="1699"/>
      <c r="BQ411" s="1293"/>
      <c r="BR411" s="1293"/>
      <c r="BS411" s="1293"/>
      <c r="BT411" s="1293"/>
      <c r="BU411" s="1293"/>
      <c r="BV411" s="1293"/>
      <c r="BW411" s="1293"/>
      <c r="BX411" s="1293"/>
      <c r="BY411" s="1293"/>
      <c r="BZ411" s="1293"/>
      <c r="CA411" s="1293"/>
      <c r="CB411" s="1293"/>
      <c r="CC411" s="1293"/>
      <c r="CD411" s="1293"/>
      <c r="CE411" s="1293"/>
      <c r="CF411" s="1293"/>
      <c r="CG411" s="1293"/>
      <c r="CH411" s="1293"/>
      <c r="CI411" s="1293"/>
      <c r="CJ411" s="1293"/>
      <c r="CK411" s="1293"/>
      <c r="CL411" s="1293"/>
      <c r="CM411" s="1293"/>
      <c r="CN411" s="1293"/>
      <c r="CO411" s="1293"/>
      <c r="CP411" s="1293"/>
      <c r="CQ411" s="1293"/>
      <c r="CR411" s="1293"/>
      <c r="CS411" s="1293"/>
      <c r="CT411" s="1293"/>
      <c r="CU411" s="1293"/>
      <c r="CV411" s="1293"/>
      <c r="CW411" s="1293"/>
      <c r="CX411" s="1293"/>
      <c r="CY411" s="2049"/>
      <c r="CZ411" s="1703"/>
      <c r="DA411" s="2050"/>
      <c r="DB411" s="2051"/>
      <c r="DC411" s="1293"/>
      <c r="DD411" s="1293"/>
      <c r="DE411" s="1293"/>
      <c r="DF411" s="1293"/>
      <c r="DG411" s="1293"/>
      <c r="DH411" s="1293"/>
      <c r="DI411" s="1293"/>
      <c r="DJ411" s="1293"/>
      <c r="DK411" s="1293"/>
      <c r="DL411" s="1293"/>
    </row>
    <row r="412" spans="1:116" ht="15.75">
      <c r="A412" s="1293"/>
      <c r="B412" s="1334" t="s">
        <v>4540</v>
      </c>
      <c r="C412" s="1723">
        <f t="shared" ref="C412:AA412" si="486">SUM(C409:C411)</f>
        <v>161.10104029353991</v>
      </c>
      <c r="D412" s="1723">
        <f t="shared" si="486"/>
        <v>275.36013264302665</v>
      </c>
      <c r="E412" s="1723">
        <f t="shared" si="486"/>
        <v>316.93913308708227</v>
      </c>
      <c r="F412" s="1723">
        <f t="shared" si="486"/>
        <v>451.40029054776721</v>
      </c>
      <c r="G412" s="2112">
        <f t="shared" si="486"/>
        <v>1205.800596571416</v>
      </c>
      <c r="H412" s="1723">
        <f t="shared" si="486"/>
        <v>187.47721273024479</v>
      </c>
      <c r="I412" s="1723">
        <f t="shared" si="486"/>
        <v>290.12107666667157</v>
      </c>
      <c r="J412" s="1723">
        <f t="shared" si="486"/>
        <v>345.67490572636859</v>
      </c>
      <c r="K412" s="1723">
        <f t="shared" si="486"/>
        <v>462.9664457338838</v>
      </c>
      <c r="L412" s="2112">
        <f t="shared" si="486"/>
        <v>1286.239640857169</v>
      </c>
      <c r="M412" s="1723">
        <f t="shared" si="486"/>
        <v>193.66975059374678</v>
      </c>
      <c r="N412" s="1723">
        <f t="shared" si="486"/>
        <v>221.0242206394469</v>
      </c>
      <c r="O412" s="1723">
        <f t="shared" si="486"/>
        <v>213.21505076604461</v>
      </c>
      <c r="P412" s="1723">
        <f t="shared" si="486"/>
        <v>399</v>
      </c>
      <c r="Q412" s="2195">
        <f t="shared" si="486"/>
        <v>1026.9090219992383</v>
      </c>
      <c r="R412" s="1723">
        <f t="shared" si="486"/>
        <v>155</v>
      </c>
      <c r="S412" s="1723">
        <f t="shared" si="486"/>
        <v>241</v>
      </c>
      <c r="T412" s="1723">
        <f t="shared" si="486"/>
        <v>241</v>
      </c>
      <c r="U412" s="1723">
        <f t="shared" si="486"/>
        <v>351</v>
      </c>
      <c r="V412" s="2195">
        <f t="shared" si="486"/>
        <v>988</v>
      </c>
      <c r="W412" s="1723">
        <f t="shared" si="486"/>
        <v>156</v>
      </c>
      <c r="X412" s="1723">
        <f t="shared" si="486"/>
        <v>216.4</v>
      </c>
      <c r="Y412" s="1723">
        <f t="shared" si="486"/>
        <v>254</v>
      </c>
      <c r="Z412" s="1723">
        <f t="shared" si="486"/>
        <v>367</v>
      </c>
      <c r="AA412" s="2195">
        <f t="shared" si="486"/>
        <v>993.4</v>
      </c>
      <c r="AB412" s="1723">
        <f>AB409+AB410+AB411</f>
        <v>176</v>
      </c>
      <c r="AC412" s="1723">
        <f>AC409+AC410+AC411</f>
        <v>176</v>
      </c>
      <c r="AD412" s="1723">
        <f>AD409+AD410+AD411</f>
        <v>231</v>
      </c>
      <c r="AE412" s="1723">
        <f>AE409+AE410+AE411</f>
        <v>231</v>
      </c>
      <c r="AF412" s="1723">
        <f>AF409+AF410+AF411</f>
        <v>254</v>
      </c>
      <c r="AG412" s="1723"/>
      <c r="AH412" s="1723">
        <f>AH409+AH410+AH411</f>
        <v>383</v>
      </c>
      <c r="AI412" s="1723"/>
      <c r="AJ412" s="2195">
        <f>SUM(AJ409:AJ411)</f>
        <v>1044</v>
      </c>
      <c r="AK412" s="1723">
        <f>AK409+AK410+AK411</f>
        <v>179</v>
      </c>
      <c r="AL412" s="1723">
        <f>AL409+AL410+AL411</f>
        <v>202</v>
      </c>
      <c r="AM412" s="1723">
        <f>AM409+AM410+AM411</f>
        <v>231</v>
      </c>
      <c r="AN412" s="1723">
        <f>AN409+AN410+AN411</f>
        <v>371</v>
      </c>
      <c r="AO412" s="2196">
        <f>SUM(AO409:AO411)</f>
        <v>983</v>
      </c>
      <c r="AP412" s="1723"/>
      <c r="AQ412" s="1723"/>
      <c r="AR412" s="1723"/>
      <c r="AS412" s="1723"/>
      <c r="AT412" s="2196">
        <f>SUM(AT409:AT411)</f>
        <v>1111</v>
      </c>
      <c r="AU412" s="1723"/>
      <c r="AV412" s="1723"/>
      <c r="AW412" s="1723"/>
      <c r="AX412" s="1723"/>
      <c r="AY412" s="2186"/>
      <c r="AZ412" s="1723"/>
      <c r="BA412" s="1723"/>
      <c r="BB412" s="1723"/>
      <c r="BC412" s="1293"/>
      <c r="BD412" s="2186"/>
      <c r="BE412" s="1723"/>
      <c r="BF412" s="1723"/>
      <c r="BG412" s="1723"/>
      <c r="BH412" s="1293"/>
      <c r="BI412" s="2186"/>
      <c r="BJ412" s="1723"/>
      <c r="BK412" s="1723"/>
      <c r="BL412" s="1723"/>
      <c r="BM412" s="1723"/>
      <c r="BN412" s="2186"/>
      <c r="BO412" s="1293"/>
      <c r="BP412" s="1293"/>
      <c r="BQ412" s="1293"/>
      <c r="BR412" s="1293"/>
      <c r="BS412" s="1293"/>
      <c r="BT412" s="1293"/>
      <c r="BU412" s="1293"/>
      <c r="BV412" s="1293"/>
      <c r="BW412" s="1293"/>
      <c r="BX412" s="1293"/>
      <c r="BY412" s="1293"/>
      <c r="BZ412" s="1293"/>
      <c r="CA412" s="1293"/>
      <c r="CB412" s="1293"/>
      <c r="CC412" s="1293"/>
      <c r="CD412" s="1293"/>
      <c r="CE412" s="1293"/>
      <c r="CF412" s="1293"/>
      <c r="CG412" s="1293"/>
      <c r="CH412" s="1293"/>
      <c r="CI412" s="1293"/>
      <c r="CJ412" s="1293"/>
      <c r="CK412" s="1293"/>
      <c r="CL412" s="1293"/>
      <c r="CM412" s="1293"/>
      <c r="CN412" s="1293"/>
      <c r="CO412" s="1293"/>
      <c r="CP412" s="1293"/>
      <c r="CQ412" s="1293"/>
      <c r="CR412" s="1293"/>
      <c r="CS412" s="1293"/>
      <c r="CT412" s="1293"/>
      <c r="CU412" s="1293"/>
      <c r="CV412" s="1293"/>
      <c r="CW412" s="1293"/>
      <c r="CX412" s="1293"/>
      <c r="CY412" s="2032"/>
      <c r="CZ412" s="1293"/>
      <c r="DA412" s="2056"/>
      <c r="DB412" s="2055"/>
      <c r="DC412" s="1293"/>
      <c r="DD412" s="1293"/>
      <c r="DE412" s="1293"/>
      <c r="DF412" s="1293"/>
      <c r="DG412" s="1293"/>
      <c r="DH412" s="1293"/>
      <c r="DI412" s="1293"/>
      <c r="DJ412" s="1293"/>
      <c r="DK412" s="1293"/>
      <c r="DL412" s="1293"/>
    </row>
    <row r="413" spans="1:116" ht="15.75">
      <c r="A413" s="1293"/>
      <c r="B413" s="1293" t="s">
        <v>4503</v>
      </c>
      <c r="C413" s="1699">
        <f t="shared" ref="C413:P413" si="487">C414-C412</f>
        <v>1.0890168827433797</v>
      </c>
      <c r="D413" s="1699">
        <f t="shared" si="487"/>
        <v>11.142593437799519</v>
      </c>
      <c r="E413" s="1699">
        <f t="shared" si="487"/>
        <v>-7.8615859299980002</v>
      </c>
      <c r="F413" s="1699">
        <f t="shared" si="487"/>
        <v>-2.7628299563107817</v>
      </c>
      <c r="G413" s="2039">
        <f t="shared" si="487"/>
        <v>0.60719443423408848</v>
      </c>
      <c r="H413" s="1699">
        <f t="shared" si="487"/>
        <v>2.1705695882314728</v>
      </c>
      <c r="I413" s="1699">
        <f t="shared" si="487"/>
        <v>-2.5202602932552054E-2</v>
      </c>
      <c r="J413" s="1699">
        <f t="shared" si="487"/>
        <v>4.9663061885833031</v>
      </c>
      <c r="K413" s="1699">
        <f t="shared" si="487"/>
        <v>-20.443341798510801</v>
      </c>
      <c r="L413" s="2039">
        <f t="shared" si="487"/>
        <v>-13.331668624628946</v>
      </c>
      <c r="M413" s="1699">
        <f t="shared" si="487"/>
        <v>1.3575001805512272</v>
      </c>
      <c r="N413" s="1699">
        <f t="shared" si="487"/>
        <v>0.48049772043904682</v>
      </c>
      <c r="O413" s="1699">
        <f t="shared" si="487"/>
        <v>1.1377226154294817</v>
      </c>
      <c r="P413" s="1699">
        <f t="shared" si="487"/>
        <v>1</v>
      </c>
      <c r="Q413" s="2157">
        <f>SUM(M413:P413)</f>
        <v>3.9757205164197558</v>
      </c>
      <c r="R413" s="1699">
        <f>R414-R412</f>
        <v>0</v>
      </c>
      <c r="S413" s="1699">
        <f>S414-S412</f>
        <v>1</v>
      </c>
      <c r="T413" s="1699">
        <f>T414-T412</f>
        <v>1</v>
      </c>
      <c r="U413" s="1699">
        <f>6-R413-S413-T413</f>
        <v>4</v>
      </c>
      <c r="V413" s="2157">
        <f>SUM(R413:U413)</f>
        <v>6</v>
      </c>
      <c r="W413" s="1699">
        <f>W414-W412</f>
        <v>1</v>
      </c>
      <c r="X413" s="1699">
        <f>X414-X412</f>
        <v>0.59999999999999432</v>
      </c>
      <c r="Y413" s="1699">
        <f>Y414-Y412</f>
        <v>1</v>
      </c>
      <c r="Z413" s="1699">
        <f>Z414-Z412</f>
        <v>2</v>
      </c>
      <c r="AA413" s="2157">
        <f>SUM(W413:Z413)</f>
        <v>4.5999999999999943</v>
      </c>
      <c r="AB413" s="1699">
        <v>0</v>
      </c>
      <c r="AC413" s="1699">
        <v>0</v>
      </c>
      <c r="AD413" s="1699">
        <v>4</v>
      </c>
      <c r="AE413" s="1699">
        <v>4</v>
      </c>
      <c r="AF413" s="1699">
        <f>AF414-AF412</f>
        <v>2</v>
      </c>
      <c r="AG413" s="1699"/>
      <c r="AH413" s="1699">
        <f>AH414-AH412</f>
        <v>6</v>
      </c>
      <c r="AI413" s="1699"/>
      <c r="AJ413" s="2157">
        <f>AB413+AD413+AF413+AH413</f>
        <v>12</v>
      </c>
      <c r="AK413" s="1699">
        <f>AK414-AK412</f>
        <v>2</v>
      </c>
      <c r="AL413" s="1699">
        <f>AL414-AL412</f>
        <v>4</v>
      </c>
      <c r="AM413" s="1699">
        <f>AM414-AM412</f>
        <v>0</v>
      </c>
      <c r="AN413" s="1699">
        <f>AN414-AN412</f>
        <v>1</v>
      </c>
      <c r="AO413" s="2191">
        <f>AK413+AL413+AM413+AN413</f>
        <v>7</v>
      </c>
      <c r="AP413" s="1699"/>
      <c r="AQ413" s="1699"/>
      <c r="AR413" s="1699"/>
      <c r="AS413" s="1699"/>
      <c r="AT413" s="2191">
        <f>AP413+AQ413+AR413+AS413</f>
        <v>0</v>
      </c>
      <c r="AU413" s="1699"/>
      <c r="AV413" s="1699"/>
      <c r="AW413" s="1699"/>
      <c r="AX413" s="1699"/>
      <c r="AY413" s="2186"/>
      <c r="AZ413" s="1699"/>
      <c r="BA413" s="1699"/>
      <c r="BB413" s="1699"/>
      <c r="BC413" s="1293"/>
      <c r="BD413" s="2186"/>
      <c r="BE413" s="1699"/>
      <c r="BF413" s="1699"/>
      <c r="BG413" s="1699"/>
      <c r="BH413" s="1293"/>
      <c r="BI413" s="2186"/>
      <c r="BJ413" s="1699"/>
      <c r="BK413" s="1699"/>
      <c r="BL413" s="1699"/>
      <c r="BM413" s="1699"/>
      <c r="BN413" s="2186"/>
      <c r="BO413" s="1293"/>
      <c r="BP413" s="1293"/>
      <c r="BQ413" s="1293"/>
      <c r="BR413" s="1293"/>
      <c r="BS413" s="1293"/>
      <c r="BT413" s="1293"/>
      <c r="BU413" s="1293"/>
      <c r="BV413" s="1293"/>
      <c r="BW413" s="1293"/>
      <c r="BX413" s="1293"/>
      <c r="BY413" s="1293"/>
      <c r="BZ413" s="1293"/>
      <c r="CA413" s="1293"/>
      <c r="CB413" s="1293"/>
      <c r="CC413" s="1293"/>
      <c r="CD413" s="1293"/>
      <c r="CE413" s="1293"/>
      <c r="CF413" s="1293"/>
      <c r="CG413" s="1293"/>
      <c r="CH413" s="1293"/>
      <c r="CI413" s="1293"/>
      <c r="CJ413" s="1293"/>
      <c r="CK413" s="1293"/>
      <c r="CL413" s="1293"/>
      <c r="CM413" s="1293"/>
      <c r="CN413" s="1293"/>
      <c r="CO413" s="1293"/>
      <c r="CP413" s="1293"/>
      <c r="CQ413" s="1293"/>
      <c r="CR413" s="1293"/>
      <c r="CS413" s="1293"/>
      <c r="CT413" s="1293"/>
      <c r="CU413" s="1293"/>
      <c r="CV413" s="1293"/>
      <c r="CW413" s="1293"/>
      <c r="CX413" s="1293"/>
      <c r="CY413" s="2032"/>
      <c r="CZ413" s="1293"/>
      <c r="DA413" s="2042"/>
      <c r="DB413" s="2041"/>
      <c r="DC413" s="1293"/>
      <c r="DD413" s="1293"/>
      <c r="DE413" s="1293"/>
      <c r="DF413" s="1293"/>
      <c r="DG413" s="1293"/>
      <c r="DH413" s="1293"/>
      <c r="DI413" s="1293"/>
      <c r="DJ413" s="1293"/>
      <c r="DK413" s="1293"/>
      <c r="DL413" s="1293"/>
    </row>
    <row r="414" spans="1:116" ht="15.75">
      <c r="A414" s="1293"/>
      <c r="B414" s="1334" t="s">
        <v>2324</v>
      </c>
      <c r="C414" s="1723">
        <v>162.19005717628329</v>
      </c>
      <c r="D414" s="1723">
        <v>286.50272608082616</v>
      </c>
      <c r="E414" s="1723">
        <v>309.07754715708427</v>
      </c>
      <c r="F414" s="1723">
        <v>448.63746059145643</v>
      </c>
      <c r="G414" s="2112">
        <v>1206.4077910056501</v>
      </c>
      <c r="H414" s="1723">
        <v>189.64778231847626</v>
      </c>
      <c r="I414" s="1723">
        <v>290.09587406373902</v>
      </c>
      <c r="J414" s="1723">
        <v>350.6412119149519</v>
      </c>
      <c r="K414" s="1723">
        <v>442.523103935373</v>
      </c>
      <c r="L414" s="2112">
        <v>1272.90797223254</v>
      </c>
      <c r="M414" s="1723">
        <v>195.02725077429801</v>
      </c>
      <c r="N414" s="1723">
        <v>221.50471835988594</v>
      </c>
      <c r="O414" s="1723">
        <v>214.35277338147409</v>
      </c>
      <c r="P414" s="1723">
        <v>400</v>
      </c>
      <c r="Q414" s="2195">
        <f>Q412+Q413</f>
        <v>1030.8847425156582</v>
      </c>
      <c r="R414" s="1723">
        <v>155</v>
      </c>
      <c r="S414" s="1723">
        <v>242</v>
      </c>
      <c r="T414" s="1723">
        <v>242</v>
      </c>
      <c r="U414" s="1723">
        <f>U412+U413</f>
        <v>355</v>
      </c>
      <c r="V414" s="2195">
        <f>V412+V413</f>
        <v>994</v>
      </c>
      <c r="W414" s="1723">
        <v>157</v>
      </c>
      <c r="X414" s="1723">
        <v>217</v>
      </c>
      <c r="Y414" s="1723">
        <v>255</v>
      </c>
      <c r="Z414" s="1723">
        <v>369</v>
      </c>
      <c r="AA414" s="2195">
        <f>AA412+AA413</f>
        <v>998</v>
      </c>
      <c r="AB414" s="1723">
        <v>178</v>
      </c>
      <c r="AC414" s="1723">
        <v>178</v>
      </c>
      <c r="AD414" s="1723">
        <f>AD412+AD413</f>
        <v>235</v>
      </c>
      <c r="AE414" s="1723">
        <f>AE412+AE413</f>
        <v>235</v>
      </c>
      <c r="AF414" s="1723">
        <v>256</v>
      </c>
      <c r="AG414" s="1723">
        <v>256</v>
      </c>
      <c r="AH414" s="1723">
        <v>389</v>
      </c>
      <c r="AI414" s="1723"/>
      <c r="AJ414" s="2195">
        <f>AJ412+AJ413</f>
        <v>1056</v>
      </c>
      <c r="AK414" s="1723">
        <f>AK417-AK416</f>
        <v>181</v>
      </c>
      <c r="AL414" s="1723">
        <f>AL417-AL416</f>
        <v>206</v>
      </c>
      <c r="AM414" s="1723">
        <f>AM417-AM416</f>
        <v>231</v>
      </c>
      <c r="AN414" s="1723">
        <f>AN417-AN416</f>
        <v>372</v>
      </c>
      <c r="AO414" s="2196">
        <f>AO412+AO413</f>
        <v>990</v>
      </c>
      <c r="AP414" s="1723"/>
      <c r="AQ414" s="1723"/>
      <c r="AR414" s="1723"/>
      <c r="AS414" s="1723"/>
      <c r="AT414" s="2196">
        <f>AT412+AT413</f>
        <v>1111</v>
      </c>
      <c r="AU414" s="1723"/>
      <c r="AV414" s="1723"/>
      <c r="AW414" s="1723"/>
      <c r="AX414" s="1723"/>
      <c r="AY414" s="2197"/>
      <c r="AZ414" s="1723"/>
      <c r="BA414" s="1723"/>
      <c r="BB414" s="1723"/>
      <c r="BC414" s="1723"/>
      <c r="BD414" s="2197"/>
      <c r="BE414" s="1723"/>
      <c r="BF414" s="1723"/>
      <c r="BG414" s="1723"/>
      <c r="BH414" s="1723"/>
      <c r="BI414" s="2197"/>
      <c r="BJ414" s="1723"/>
      <c r="BK414" s="1723"/>
      <c r="BL414" s="1723"/>
      <c r="BM414" s="1723"/>
      <c r="BN414" s="2197"/>
      <c r="BO414" s="1723"/>
      <c r="BP414" s="1723"/>
      <c r="BQ414" s="1293"/>
      <c r="BR414" s="1293"/>
      <c r="BS414" s="1293"/>
      <c r="BT414" s="1293"/>
      <c r="BU414" s="1293"/>
      <c r="BV414" s="1293"/>
      <c r="BW414" s="1293"/>
      <c r="BX414" s="1293"/>
      <c r="BY414" s="1293"/>
      <c r="BZ414" s="1293"/>
      <c r="CA414" s="1293"/>
      <c r="CB414" s="1293"/>
      <c r="CC414" s="1293"/>
      <c r="CD414" s="1293"/>
      <c r="CE414" s="1293"/>
      <c r="CF414" s="1293"/>
      <c r="CG414" s="1293"/>
      <c r="CH414" s="1293"/>
      <c r="CI414" s="1293"/>
      <c r="CJ414" s="1293"/>
      <c r="CK414" s="1293"/>
      <c r="CL414" s="1293"/>
      <c r="CM414" s="1293"/>
      <c r="CN414" s="1293"/>
      <c r="CO414" s="1293"/>
      <c r="CP414" s="1293"/>
      <c r="CQ414" s="1293"/>
      <c r="CR414" s="1293"/>
      <c r="CS414" s="1293"/>
      <c r="CT414" s="1293"/>
      <c r="CU414" s="1293"/>
      <c r="CV414" s="1293"/>
      <c r="CW414" s="1293"/>
      <c r="CX414" s="1293"/>
      <c r="CY414" s="2055"/>
      <c r="CZ414" s="1723"/>
      <c r="DA414" s="2056"/>
      <c r="DB414" s="2055"/>
      <c r="DC414" s="1293"/>
      <c r="DD414" s="1293"/>
      <c r="DE414" s="1293"/>
      <c r="DF414" s="1293"/>
      <c r="DG414" s="1293"/>
      <c r="DH414" s="1293"/>
      <c r="DI414" s="1293"/>
      <c r="DJ414" s="1293"/>
      <c r="DK414" s="1293"/>
      <c r="DL414" s="1293"/>
    </row>
    <row r="415" spans="1:116" ht="15.75">
      <c r="A415" s="1293"/>
      <c r="B415" s="1334"/>
      <c r="C415" s="1723"/>
      <c r="D415" s="1723"/>
      <c r="E415" s="1723"/>
      <c r="F415" s="1723"/>
      <c r="G415" s="2112"/>
      <c r="H415" s="1723"/>
      <c r="I415" s="1723"/>
      <c r="J415" s="1723"/>
      <c r="K415" s="1723"/>
      <c r="L415" s="2112"/>
      <c r="M415" s="1723"/>
      <c r="N415" s="1723"/>
      <c r="O415" s="1723"/>
      <c r="P415" s="1723"/>
      <c r="Q415" s="2112"/>
      <c r="R415" s="1723"/>
      <c r="S415" s="1723"/>
      <c r="T415" s="1723"/>
      <c r="U415" s="1723"/>
      <c r="V415" s="2112"/>
      <c r="W415" s="1723"/>
      <c r="X415" s="1723"/>
      <c r="Y415" s="1723"/>
      <c r="Z415" s="1723"/>
      <c r="AA415" s="2112"/>
      <c r="AB415" s="1723"/>
      <c r="AC415" s="1723"/>
      <c r="AD415" s="1723"/>
      <c r="AE415" s="1723"/>
      <c r="AF415" s="1723"/>
      <c r="AG415" s="1723"/>
      <c r="AH415" s="1723"/>
      <c r="AI415" s="1723"/>
      <c r="AJ415" s="2157"/>
      <c r="AK415" s="1723"/>
      <c r="AL415" s="1723"/>
      <c r="AM415" s="1723"/>
      <c r="AN415" s="1723"/>
      <c r="AO415" s="2191"/>
      <c r="AP415" s="1723"/>
      <c r="AQ415" s="1723"/>
      <c r="AR415" s="1723"/>
      <c r="AS415" s="1723"/>
      <c r="AT415" s="2197"/>
      <c r="AU415" s="1723"/>
      <c r="AV415" s="1723"/>
      <c r="AW415" s="1723"/>
      <c r="AX415" s="1723"/>
      <c r="AY415" s="2197"/>
      <c r="AZ415" s="1723"/>
      <c r="BA415" s="1723"/>
      <c r="BB415" s="1723"/>
      <c r="BC415" s="1723"/>
      <c r="BD415" s="2197"/>
      <c r="BE415" s="1723"/>
      <c r="BF415" s="1723"/>
      <c r="BG415" s="1723"/>
      <c r="BH415" s="1723"/>
      <c r="BI415" s="2197"/>
      <c r="BJ415" s="1723"/>
      <c r="BK415" s="1723"/>
      <c r="BL415" s="1723"/>
      <c r="BM415" s="1723"/>
      <c r="BN415" s="2197"/>
      <c r="BO415" s="1723"/>
      <c r="BP415" s="1723"/>
      <c r="BQ415" s="1293"/>
      <c r="BR415" s="1293"/>
      <c r="BS415" s="1293"/>
      <c r="BT415" s="1293"/>
      <c r="BU415" s="1293"/>
      <c r="BV415" s="1293"/>
      <c r="BW415" s="1293"/>
      <c r="BX415" s="1293"/>
      <c r="BY415" s="1293"/>
      <c r="BZ415" s="1293"/>
      <c r="CA415" s="1293"/>
      <c r="CB415" s="1293"/>
      <c r="CC415" s="1293"/>
      <c r="CD415" s="1293"/>
      <c r="CE415" s="1293"/>
      <c r="CF415" s="1293"/>
      <c r="CG415" s="1293"/>
      <c r="CH415" s="1293"/>
      <c r="CI415" s="1293"/>
      <c r="CJ415" s="1293"/>
      <c r="CK415" s="1293"/>
      <c r="CL415" s="1293"/>
      <c r="CM415" s="1293"/>
      <c r="CN415" s="1293"/>
      <c r="CO415" s="1293"/>
      <c r="CP415" s="1293"/>
      <c r="CQ415" s="1293"/>
      <c r="CR415" s="1293"/>
      <c r="CS415" s="1293"/>
      <c r="CT415" s="1293"/>
      <c r="CU415" s="1293"/>
      <c r="CV415" s="1293"/>
      <c r="CW415" s="1293"/>
      <c r="CX415" s="1293"/>
      <c r="CY415" s="2055"/>
      <c r="CZ415" s="1723"/>
      <c r="DA415" s="2056"/>
      <c r="DB415" s="2055"/>
      <c r="DC415" s="1293"/>
      <c r="DD415" s="1293"/>
      <c r="DE415" s="1293"/>
      <c r="DF415" s="1293"/>
      <c r="DG415" s="1293"/>
      <c r="DH415" s="1293"/>
      <c r="DI415" s="1293"/>
      <c r="DJ415" s="1293"/>
      <c r="DK415" s="1293"/>
      <c r="DL415" s="1293"/>
    </row>
    <row r="416" spans="1:116" ht="15.75">
      <c r="A416" s="1293"/>
      <c r="B416" s="1334" t="s">
        <v>5487</v>
      </c>
      <c r="C416" s="1699"/>
      <c r="D416" s="1699"/>
      <c r="E416" s="1699"/>
      <c r="F416" s="1699"/>
      <c r="G416" s="2039"/>
      <c r="H416" s="1699"/>
      <c r="I416" s="1699"/>
      <c r="J416" s="1699"/>
      <c r="K416" s="1699"/>
      <c r="L416" s="2039"/>
      <c r="M416" s="1699"/>
      <c r="N416" s="1699"/>
      <c r="O416" s="1699"/>
      <c r="P416" s="1699"/>
      <c r="Q416" s="2080"/>
      <c r="R416" s="1699"/>
      <c r="S416" s="1699"/>
      <c r="T416" s="1699"/>
      <c r="U416" s="1699"/>
      <c r="V416" s="2080"/>
      <c r="W416" s="1723">
        <v>3</v>
      </c>
      <c r="X416" s="1723">
        <v>11</v>
      </c>
      <c r="Y416" s="1723">
        <v>6</v>
      </c>
      <c r="Z416" s="1723">
        <v>25</v>
      </c>
      <c r="AA416" s="2195">
        <f>SUM(W416:Z416)</f>
        <v>45</v>
      </c>
      <c r="AB416" s="1723">
        <v>0</v>
      </c>
      <c r="AC416" s="1723">
        <v>0</v>
      </c>
      <c r="AD416" s="1723">
        <v>0</v>
      </c>
      <c r="AE416" s="1723">
        <v>0</v>
      </c>
      <c r="AF416" s="1723">
        <v>0</v>
      </c>
      <c r="AG416" s="1723"/>
      <c r="AH416" s="1723">
        <v>0</v>
      </c>
      <c r="AI416" s="1723"/>
      <c r="AJ416" s="2157">
        <f>AB416+AD416+AF416+AH416</f>
        <v>0</v>
      </c>
      <c r="AK416" s="1723">
        <v>0</v>
      </c>
      <c r="AL416" s="1723">
        <v>0</v>
      </c>
      <c r="AM416" s="1723">
        <v>0</v>
      </c>
      <c r="AN416" s="1723">
        <v>0</v>
      </c>
      <c r="AO416" s="2191">
        <f>AK416+AL416+AM416+AN416</f>
        <v>0</v>
      </c>
      <c r="AP416" s="1723"/>
      <c r="AQ416" s="1723"/>
      <c r="AR416" s="1723"/>
      <c r="AS416" s="1723"/>
      <c r="AT416" s="2191">
        <f>AP416+AQ416+AR416+AS416</f>
        <v>0</v>
      </c>
      <c r="AU416" s="1723"/>
      <c r="AV416" s="1723"/>
      <c r="AW416" s="1723"/>
      <c r="AX416" s="1723"/>
      <c r="AY416" s="2186"/>
      <c r="AZ416" s="1723"/>
      <c r="BA416" s="1723"/>
      <c r="BB416" s="1723"/>
      <c r="BC416" s="1293"/>
      <c r="BD416" s="2186"/>
      <c r="BE416" s="1723"/>
      <c r="BF416" s="1723"/>
      <c r="BG416" s="1723"/>
      <c r="BH416" s="1293"/>
      <c r="BI416" s="2186"/>
      <c r="BJ416" s="1723"/>
      <c r="BK416" s="1723"/>
      <c r="BL416" s="1723"/>
      <c r="BM416" s="1723"/>
      <c r="BN416" s="2186"/>
      <c r="BO416" s="1293"/>
      <c r="BP416" s="1293"/>
      <c r="BQ416" s="1293"/>
      <c r="BR416" s="1293"/>
      <c r="BS416" s="1293"/>
      <c r="BT416" s="1293"/>
      <c r="BU416" s="1293"/>
      <c r="BV416" s="1293"/>
      <c r="BW416" s="1293"/>
      <c r="BX416" s="1293"/>
      <c r="BY416" s="1293"/>
      <c r="BZ416" s="1293"/>
      <c r="CA416" s="1293"/>
      <c r="CB416" s="1293"/>
      <c r="CC416" s="1293"/>
      <c r="CD416" s="1293"/>
      <c r="CE416" s="1293"/>
      <c r="CF416" s="1293"/>
      <c r="CG416" s="1293"/>
      <c r="CH416" s="1293"/>
      <c r="CI416" s="1293"/>
      <c r="CJ416" s="1293"/>
      <c r="CK416" s="1293"/>
      <c r="CL416" s="1293"/>
      <c r="CM416" s="1293"/>
      <c r="CN416" s="1293"/>
      <c r="CO416" s="1293"/>
      <c r="CP416" s="1293"/>
      <c r="CQ416" s="1293"/>
      <c r="CR416" s="1293"/>
      <c r="CS416" s="1293"/>
      <c r="CT416" s="1293"/>
      <c r="CU416" s="1293"/>
      <c r="CV416" s="1293"/>
      <c r="CW416" s="1293"/>
      <c r="CX416" s="1293"/>
      <c r="CY416" s="2032"/>
      <c r="CZ416" s="1293"/>
      <c r="DA416" s="2056"/>
      <c r="DB416" s="2055"/>
      <c r="DC416" s="1293"/>
      <c r="DD416" s="1293"/>
      <c r="DE416" s="1293"/>
      <c r="DF416" s="1293"/>
      <c r="DG416" s="1293"/>
      <c r="DH416" s="1293"/>
      <c r="DI416" s="1293"/>
      <c r="DJ416" s="1293"/>
      <c r="DK416" s="1293"/>
      <c r="DL416" s="1293"/>
    </row>
    <row r="417" spans="1:116" ht="15.75">
      <c r="A417" s="1293"/>
      <c r="B417" s="1334" t="s">
        <v>5488</v>
      </c>
      <c r="C417" s="1699"/>
      <c r="D417" s="1699"/>
      <c r="E417" s="1699"/>
      <c r="F417" s="1699"/>
      <c r="G417" s="2039"/>
      <c r="H417" s="1699"/>
      <c r="I417" s="1699"/>
      <c r="J417" s="1699"/>
      <c r="K417" s="1699"/>
      <c r="L417" s="2039"/>
      <c r="M417" s="1699"/>
      <c r="N417" s="1699"/>
      <c r="O417" s="1699"/>
      <c r="P417" s="1699"/>
      <c r="Q417" s="2080"/>
      <c r="R417" s="1699"/>
      <c r="S417" s="1699"/>
      <c r="T417" s="1699"/>
      <c r="U417" s="1699"/>
      <c r="V417" s="2080"/>
      <c r="W417" s="1723">
        <f>W414+W416</f>
        <v>160</v>
      </c>
      <c r="X417" s="1723">
        <f>X414+X416</f>
        <v>228</v>
      </c>
      <c r="Y417" s="1723">
        <f>Y414+Y416</f>
        <v>261</v>
      </c>
      <c r="Z417" s="1723">
        <f>346+21</f>
        <v>367</v>
      </c>
      <c r="AA417" s="2195">
        <f>SUM(W417:Z417)</f>
        <v>1016</v>
      </c>
      <c r="AB417" s="1723">
        <v>178</v>
      </c>
      <c r="AC417" s="1723">
        <v>178</v>
      </c>
      <c r="AD417" s="1723">
        <f>AD414+AD416</f>
        <v>235</v>
      </c>
      <c r="AE417" s="1723">
        <f>AE414+AE416</f>
        <v>235</v>
      </c>
      <c r="AF417" s="1723">
        <f>AF414+AF416</f>
        <v>256</v>
      </c>
      <c r="AG417" s="1723"/>
      <c r="AH417" s="1723">
        <f>AH414+AH416</f>
        <v>389</v>
      </c>
      <c r="AI417" s="1723"/>
      <c r="AJ417" s="2195">
        <f>AB417+AD417+AF417+AH417</f>
        <v>1058</v>
      </c>
      <c r="AK417" s="2019">
        <v>181</v>
      </c>
      <c r="AL417" s="2019">
        <v>206</v>
      </c>
      <c r="AM417" s="2019">
        <v>231</v>
      </c>
      <c r="AN417" s="2019">
        <v>372</v>
      </c>
      <c r="AO417" s="2196">
        <f>AK417+AL417+AM417+AN417</f>
        <v>990</v>
      </c>
      <c r="AP417" s="2019">
        <v>174</v>
      </c>
      <c r="AQ417" s="2019">
        <v>252</v>
      </c>
      <c r="AR417" s="2019">
        <v>300</v>
      </c>
      <c r="AS417" s="2019">
        <v>436</v>
      </c>
      <c r="AT417" s="2191">
        <f>AP417+AQ417+AR417+AS417</f>
        <v>1162</v>
      </c>
      <c r="AU417" s="2019">
        <v>199</v>
      </c>
      <c r="AV417" s="2019">
        <v>254.93</v>
      </c>
      <c r="AW417" s="2019">
        <v>253</v>
      </c>
      <c r="AX417" s="2019">
        <v>265.79000000000002</v>
      </c>
      <c r="AY417" s="2196">
        <f>SUM(AU417:AX417)</f>
        <v>972.72</v>
      </c>
      <c r="AZ417" s="2019">
        <v>185</v>
      </c>
      <c r="BA417" s="2019">
        <v>182</v>
      </c>
      <c r="BB417" s="2019">
        <v>180</v>
      </c>
      <c r="BC417" s="2019">
        <v>262.48</v>
      </c>
      <c r="BD417" s="2196">
        <f>SUM(AZ417:BC417)</f>
        <v>809.48</v>
      </c>
      <c r="BE417" s="2019">
        <v>113</v>
      </c>
      <c r="BF417" s="2019">
        <v>134</v>
      </c>
      <c r="BG417" s="2019">
        <v>166</v>
      </c>
      <c r="BH417" s="2019">
        <v>263.74299999999999</v>
      </c>
      <c r="BI417" s="2196">
        <f>'New split'!N399</f>
        <v>677</v>
      </c>
      <c r="BJ417" s="2546">
        <v>120</v>
      </c>
      <c r="BK417" s="2546">
        <v>135</v>
      </c>
      <c r="BL417" s="2546">
        <v>170</v>
      </c>
      <c r="BM417" s="2546">
        <f>BN417-BJ417-BK417-BL417</f>
        <v>255.1684569653894</v>
      </c>
      <c r="BN417" s="2196">
        <f>'New split'!O399</f>
        <v>680.1684569653894</v>
      </c>
      <c r="BO417" s="1963"/>
      <c r="BP417" s="1963"/>
      <c r="BQ417" s="1293"/>
      <c r="BR417" s="1293"/>
      <c r="BS417" s="1293"/>
      <c r="BT417" s="1293"/>
      <c r="BU417" s="1293"/>
      <c r="BV417" s="1293"/>
      <c r="BW417" s="1293"/>
      <c r="BX417" s="1293"/>
      <c r="BY417" s="1293"/>
      <c r="BZ417" s="1293"/>
      <c r="CA417" s="1293"/>
      <c r="CB417" s="1293"/>
      <c r="CC417" s="1293"/>
      <c r="CD417" s="1293"/>
      <c r="CE417" s="1293"/>
      <c r="CF417" s="1293"/>
      <c r="CG417" s="1293"/>
      <c r="CH417" s="1293"/>
      <c r="CI417" s="1293"/>
      <c r="CJ417" s="1293"/>
      <c r="CK417" s="1293"/>
      <c r="CL417" s="1293"/>
      <c r="CM417" s="1293"/>
      <c r="CN417" s="1293"/>
      <c r="CO417" s="1293"/>
      <c r="CP417" s="1293"/>
      <c r="CQ417" s="1293"/>
      <c r="CR417" s="1293"/>
      <c r="CS417" s="1293"/>
      <c r="CT417" s="1293"/>
      <c r="CU417" s="1293"/>
      <c r="CV417" s="1293"/>
      <c r="CW417" s="1293"/>
      <c r="CX417" s="1293"/>
      <c r="CY417" s="2120">
        <v>275.04847347354121</v>
      </c>
      <c r="CZ417" s="2198">
        <v>240</v>
      </c>
      <c r="DA417" s="2199">
        <v>190</v>
      </c>
      <c r="DB417" s="2200">
        <v>165</v>
      </c>
      <c r="DC417" s="1293"/>
      <c r="DD417" s="1293"/>
      <c r="DE417" s="1293"/>
      <c r="DF417" s="1293"/>
      <c r="DG417" s="1293"/>
      <c r="DH417" s="1293"/>
      <c r="DI417" s="1293"/>
      <c r="DJ417" s="1293"/>
      <c r="DK417" s="1293"/>
      <c r="DL417" s="1293"/>
    </row>
    <row r="418" spans="1:116" ht="15.75">
      <c r="A418" s="1293"/>
      <c r="B418" s="1334"/>
      <c r="C418" s="1699"/>
      <c r="D418" s="1699"/>
      <c r="E418" s="1699"/>
      <c r="F418" s="1699"/>
      <c r="G418" s="2039"/>
      <c r="H418" s="1699"/>
      <c r="I418" s="1699"/>
      <c r="J418" s="1699"/>
      <c r="K418" s="1699"/>
      <c r="L418" s="2039"/>
      <c r="M418" s="1699"/>
      <c r="N418" s="1699"/>
      <c r="O418" s="1699"/>
      <c r="P418" s="1699"/>
      <c r="Q418" s="2080"/>
      <c r="R418" s="1699"/>
      <c r="S418" s="1699"/>
      <c r="T418" s="1699"/>
      <c r="U418" s="1699"/>
      <c r="V418" s="2080"/>
      <c r="W418" s="1699"/>
      <c r="X418" s="1699"/>
      <c r="Y418" s="1699"/>
      <c r="Z418" s="1699"/>
      <c r="AA418" s="2080"/>
      <c r="AB418" s="1699">
        <f t="shared" ref="AB418:AH418" si="488">AB417-AB411</f>
        <v>170</v>
      </c>
      <c r="AC418" s="1699">
        <f t="shared" si="488"/>
        <v>170</v>
      </c>
      <c r="AD418" s="1699">
        <f t="shared" si="488"/>
        <v>227</v>
      </c>
      <c r="AE418" s="1699">
        <f t="shared" si="488"/>
        <v>227</v>
      </c>
      <c r="AF418" s="1699">
        <f t="shared" si="488"/>
        <v>249</v>
      </c>
      <c r="AG418" s="1699">
        <f t="shared" si="488"/>
        <v>0</v>
      </c>
      <c r="AH418" s="1699">
        <f t="shared" si="488"/>
        <v>369</v>
      </c>
      <c r="AI418" s="1699"/>
      <c r="AJ418" s="2157"/>
      <c r="AK418" s="1699">
        <f>AK417-AK411</f>
        <v>176</v>
      </c>
      <c r="AL418" s="1699">
        <f>AL417-AL411</f>
        <v>194</v>
      </c>
      <c r="AM418" s="1699">
        <f>AM417-AM411</f>
        <v>220</v>
      </c>
      <c r="AN418" s="1699">
        <f>AN417-AN411</f>
        <v>359</v>
      </c>
      <c r="AO418" s="2191"/>
      <c r="AP418" s="1699"/>
      <c r="AQ418" s="1699"/>
      <c r="AR418" s="1699"/>
      <c r="AS418" s="1699"/>
      <c r="AT418" s="2186"/>
      <c r="AU418" s="1699"/>
      <c r="AV418" s="1699"/>
      <c r="AW418" s="1699"/>
      <c r="AX418" s="1699"/>
      <c r="AY418" s="2186"/>
      <c r="AZ418" s="1699"/>
      <c r="BA418" s="1699"/>
      <c r="BB418" s="1699"/>
      <c r="BC418" s="1293"/>
      <c r="BD418" s="2186"/>
      <c r="BE418" s="1699"/>
      <c r="BF418" s="1699"/>
      <c r="BG418" s="1699"/>
      <c r="BH418" s="1293"/>
      <c r="BI418" s="2186"/>
      <c r="BJ418" s="1699"/>
      <c r="BK418" s="1699"/>
      <c r="BL418" s="1699"/>
      <c r="BM418" s="1699"/>
      <c r="BN418" s="2186"/>
      <c r="BO418" s="1293"/>
      <c r="BP418" s="1293"/>
      <c r="BQ418" s="1293"/>
      <c r="BR418" s="1293"/>
      <c r="BS418" s="1293"/>
      <c r="BT418" s="1698">
        <f>SUM(AU417:AW417)</f>
        <v>706.93000000000006</v>
      </c>
      <c r="BU418" s="1698">
        <f>SUM(AZ417:BB417)</f>
        <v>547</v>
      </c>
      <c r="BV418" s="1293"/>
      <c r="BW418" s="1293"/>
      <c r="BX418" s="1293"/>
      <c r="BY418" s="1293"/>
      <c r="BZ418" s="1293"/>
      <c r="CA418" s="1293"/>
      <c r="CB418" s="1293"/>
      <c r="CC418" s="1293"/>
      <c r="CD418" s="1293"/>
      <c r="CE418" s="1293"/>
      <c r="CF418" s="1293"/>
      <c r="CG418" s="1293"/>
      <c r="CH418" s="1293"/>
      <c r="CI418" s="1293"/>
      <c r="CJ418" s="1293"/>
      <c r="CK418" s="1293"/>
      <c r="CL418" s="1293"/>
      <c r="CM418" s="1293"/>
      <c r="CN418" s="1293"/>
      <c r="CO418" s="1293"/>
      <c r="CP418" s="1293"/>
      <c r="CQ418" s="1293"/>
      <c r="CR418" s="1293"/>
      <c r="CS418" s="1293"/>
      <c r="CT418" s="1293"/>
      <c r="CU418" s="1293"/>
      <c r="CV418" s="1293"/>
      <c r="CW418" s="1293"/>
      <c r="CX418" s="1293"/>
      <c r="CY418" s="2032"/>
      <c r="CZ418" s="1293"/>
      <c r="DA418" s="2042"/>
      <c r="DB418" s="2041"/>
      <c r="DC418" s="1293"/>
      <c r="DD418" s="1293"/>
      <c r="DE418" s="1293"/>
      <c r="DF418" s="1293"/>
      <c r="DG418" s="1293"/>
      <c r="DH418" s="1293"/>
      <c r="DI418" s="1293"/>
      <c r="DJ418" s="1293"/>
      <c r="DK418" s="1293"/>
      <c r="DL418" s="1293"/>
    </row>
    <row r="419" spans="1:116" ht="15.75">
      <c r="A419" s="1293"/>
      <c r="B419" s="1334"/>
      <c r="C419" s="1699"/>
      <c r="D419" s="1699"/>
      <c r="E419" s="1699"/>
      <c r="F419" s="1699"/>
      <c r="G419" s="2039"/>
      <c r="H419" s="1699"/>
      <c r="I419" s="1699"/>
      <c r="J419" s="1699"/>
      <c r="K419" s="1699"/>
      <c r="L419" s="2039"/>
      <c r="M419" s="1699"/>
      <c r="N419" s="1699"/>
      <c r="O419" s="1699"/>
      <c r="P419" s="1699"/>
      <c r="Q419" s="2080"/>
      <c r="R419" s="1699"/>
      <c r="S419" s="1699"/>
      <c r="T419" s="1699"/>
      <c r="U419" s="1699"/>
      <c r="V419" s="2080"/>
      <c r="W419" s="1699"/>
      <c r="X419" s="1699"/>
      <c r="Y419" s="1699"/>
      <c r="Z419" s="1699"/>
      <c r="AA419" s="2080"/>
      <c r="AB419" s="1699"/>
      <c r="AC419" s="1699"/>
      <c r="AD419" s="1699"/>
      <c r="AE419" s="1699"/>
      <c r="AF419" s="1699"/>
      <c r="AG419" s="1699"/>
      <c r="AH419" s="1699"/>
      <c r="AI419" s="1699"/>
      <c r="AJ419" s="2157"/>
      <c r="AK419" s="1699"/>
      <c r="AL419" s="1699"/>
      <c r="AM419" s="1699"/>
      <c r="AN419" s="1699"/>
      <c r="AO419" s="2191"/>
      <c r="AP419" s="1699"/>
      <c r="AQ419" s="1699"/>
      <c r="AR419" s="1699"/>
      <c r="AS419" s="1699"/>
      <c r="AT419" s="2186"/>
      <c r="AU419" s="1699"/>
      <c r="AV419" s="1699"/>
      <c r="AW419" s="1699"/>
      <c r="AX419" s="1699"/>
      <c r="AY419" s="2186"/>
      <c r="AZ419" s="1699"/>
      <c r="BA419" s="1699"/>
      <c r="BB419" s="1699"/>
      <c r="BC419" s="1293"/>
      <c r="BD419" s="2186"/>
      <c r="BE419" s="1699"/>
      <c r="BF419" s="1699"/>
      <c r="BG419" s="1699"/>
      <c r="BH419" s="1293"/>
      <c r="BI419" s="2186"/>
      <c r="BJ419" s="1699"/>
      <c r="BK419" s="1699"/>
      <c r="BL419" s="1699"/>
      <c r="BM419" s="1699"/>
      <c r="BN419" s="2186"/>
      <c r="BO419" s="1293"/>
      <c r="BP419" s="1293"/>
      <c r="BQ419" s="1293"/>
      <c r="BR419" s="1293"/>
      <c r="BS419" s="1293"/>
      <c r="BT419" s="1698">
        <f>AY417</f>
        <v>972.72</v>
      </c>
      <c r="BU419" s="1698">
        <f>BT419-150</f>
        <v>822.72</v>
      </c>
      <c r="BV419" s="1293"/>
      <c r="BW419" s="1293"/>
      <c r="BX419" s="1293"/>
      <c r="BY419" s="1293"/>
      <c r="BZ419" s="1293"/>
      <c r="CA419" s="1293"/>
      <c r="CB419" s="1293"/>
      <c r="CC419" s="1293"/>
      <c r="CD419" s="1293"/>
      <c r="CE419" s="1293"/>
      <c r="CF419" s="1293"/>
      <c r="CG419" s="1293"/>
      <c r="CH419" s="1293"/>
      <c r="CI419" s="1293"/>
      <c r="CJ419" s="1293"/>
      <c r="CK419" s="1293"/>
      <c r="CL419" s="1293"/>
      <c r="CM419" s="1293"/>
      <c r="CN419" s="1293"/>
      <c r="CO419" s="1293"/>
      <c r="CP419" s="1293"/>
      <c r="CQ419" s="1293"/>
      <c r="CR419" s="1293"/>
      <c r="CS419" s="1293"/>
      <c r="CT419" s="1293"/>
      <c r="CU419" s="1293"/>
      <c r="CV419" s="1293"/>
      <c r="CW419" s="1293"/>
      <c r="CX419" s="1293"/>
      <c r="CY419" s="2032"/>
      <c r="CZ419" s="1293"/>
      <c r="DA419" s="2042"/>
      <c r="DB419" s="2041"/>
      <c r="DC419" s="1293"/>
      <c r="DD419" s="1293"/>
      <c r="DE419" s="1293"/>
      <c r="DF419" s="1293"/>
      <c r="DG419" s="1293"/>
      <c r="DH419" s="1293"/>
      <c r="DI419" s="1293"/>
      <c r="DJ419" s="1293"/>
      <c r="DK419" s="1293"/>
      <c r="DL419" s="1293"/>
    </row>
    <row r="420" spans="1:116" ht="15.75">
      <c r="A420" s="1293"/>
      <c r="B420" s="1363" t="s">
        <v>7661</v>
      </c>
      <c r="C420" s="2102"/>
      <c r="D420" s="2102"/>
      <c r="E420" s="2102"/>
      <c r="F420" s="2102"/>
      <c r="G420" s="2121"/>
      <c r="H420" s="2102"/>
      <c r="I420" s="2102"/>
      <c r="J420" s="2102"/>
      <c r="K420" s="2102"/>
      <c r="L420" s="2121"/>
      <c r="M420" s="2102"/>
      <c r="N420" s="2102"/>
      <c r="O420" s="2102"/>
      <c r="P420" s="2102"/>
      <c r="Q420" s="2201"/>
      <c r="R420" s="2102"/>
      <c r="S420" s="2102"/>
      <c r="T420" s="2102"/>
      <c r="U420" s="2102"/>
      <c r="V420" s="2201"/>
      <c r="W420" s="2102"/>
      <c r="X420" s="2102"/>
      <c r="Y420" s="2102"/>
      <c r="Z420" s="2102"/>
      <c r="AA420" s="2201"/>
      <c r="AB420" s="2102"/>
      <c r="AC420" s="2102"/>
      <c r="AD420" s="2102"/>
      <c r="AE420" s="2102"/>
      <c r="AF420" s="2102"/>
      <c r="AG420" s="2102"/>
      <c r="AH420" s="2102"/>
      <c r="AI420" s="2102"/>
      <c r="AJ420" s="2202"/>
      <c r="AK420" s="2102"/>
      <c r="AL420" s="2102"/>
      <c r="AM420" s="2102"/>
      <c r="AN420" s="2102"/>
      <c r="AO420" s="2203"/>
      <c r="AP420" s="2102"/>
      <c r="AQ420" s="2102"/>
      <c r="AR420" s="2102"/>
      <c r="AS420" s="2102"/>
      <c r="AT420" s="2204"/>
      <c r="AU420" s="1964">
        <f>AU137-AU417</f>
        <v>364.90809999999999</v>
      </c>
      <c r="AV420" s="1964">
        <f>AV137-AV417</f>
        <v>322.17850000000004</v>
      </c>
      <c r="AW420" s="1964">
        <f>AW137-AW417</f>
        <v>286.1377</v>
      </c>
      <c r="AX420" s="1964">
        <f>AX137-AX417</f>
        <v>282.19069999999994</v>
      </c>
      <c r="AY420" s="2204"/>
      <c r="AZ420" s="1964">
        <f>AZ137-AZ417</f>
        <v>322.2749</v>
      </c>
      <c r="BA420" s="1964">
        <f>BA137-BA417</f>
        <v>332.92719999999997</v>
      </c>
      <c r="BB420" s="1964">
        <f>BB137-BB417</f>
        <v>352.58169999999996</v>
      </c>
      <c r="BC420" s="1964">
        <f>BC137-BC417</f>
        <v>294.02170000000001</v>
      </c>
      <c r="BD420" s="2205"/>
      <c r="BE420" s="1964">
        <f>BE137-BE417</f>
        <v>518.80830000000003</v>
      </c>
      <c r="BF420" s="1964">
        <f>BF137-BF417</f>
        <v>499.90470000000005</v>
      </c>
      <c r="BG420" s="1964">
        <f>BG137-BG417</f>
        <v>419.03099999999995</v>
      </c>
      <c r="BH420" s="1964">
        <f>BH137-BH417</f>
        <v>354.15879999999999</v>
      </c>
      <c r="BI420" s="2205"/>
      <c r="BJ420" s="1964">
        <f>BJ137-BJ417</f>
        <v>467.5</v>
      </c>
      <c r="BK420" s="1964">
        <f>BK137-BK417</f>
        <v>467.5</v>
      </c>
      <c r="BL420" s="1964">
        <f>BL137-BL417</f>
        <v>432.5</v>
      </c>
      <c r="BM420" s="1964">
        <f>BM137-BM417</f>
        <v>334.01696294928161</v>
      </c>
      <c r="BN420" s="2205"/>
      <c r="BO420" s="1293"/>
      <c r="BP420" s="1293"/>
      <c r="BQ420" s="1293"/>
      <c r="BR420" s="1293"/>
      <c r="BS420" s="1293"/>
      <c r="BT420" s="1293"/>
      <c r="BU420" s="1293"/>
      <c r="BV420" s="1293"/>
      <c r="BW420" s="1293"/>
      <c r="BX420" s="1293"/>
      <c r="BY420" s="1293"/>
      <c r="BZ420" s="1293"/>
      <c r="CA420" s="1293"/>
      <c r="CB420" s="1293"/>
      <c r="CC420" s="1293"/>
      <c r="CD420" s="1293"/>
      <c r="CE420" s="1293"/>
      <c r="CF420" s="1293"/>
      <c r="CG420" s="1293"/>
      <c r="CH420" s="1293"/>
      <c r="CI420" s="1293"/>
      <c r="CJ420" s="1293"/>
      <c r="CK420" s="1293"/>
      <c r="CL420" s="1293"/>
      <c r="CM420" s="1293"/>
      <c r="CN420" s="1293"/>
      <c r="CO420" s="1293"/>
      <c r="CP420" s="1293"/>
      <c r="CQ420" s="1293"/>
      <c r="CR420" s="1293"/>
      <c r="CS420" s="1293"/>
      <c r="CT420" s="1293"/>
      <c r="CU420" s="1293"/>
      <c r="CV420" s="1293"/>
      <c r="CW420" s="1293"/>
      <c r="CX420" s="1293"/>
      <c r="CY420" s="2126">
        <v>260.97718780245566</v>
      </c>
      <c r="CZ420" s="1964">
        <f>CZ137-CZ417</f>
        <v>318.24002922657701</v>
      </c>
      <c r="DA420" s="2125">
        <v>450.54926373173475</v>
      </c>
      <c r="DB420" s="2126">
        <v>479.44576315960626</v>
      </c>
      <c r="DC420" s="1293"/>
      <c r="DD420" s="1293"/>
      <c r="DE420" s="1293"/>
      <c r="DF420" s="1293"/>
      <c r="DG420" s="1293"/>
      <c r="DH420" s="1293"/>
      <c r="DI420" s="1293"/>
      <c r="DJ420" s="1293"/>
      <c r="DK420" s="1293"/>
      <c r="DL420" s="1293"/>
    </row>
    <row r="421" spans="1:116" ht="15.75">
      <c r="A421" s="1293"/>
      <c r="B421" s="1334"/>
      <c r="C421" s="1699"/>
      <c r="D421" s="1699"/>
      <c r="E421" s="1699"/>
      <c r="F421" s="1699"/>
      <c r="G421" s="2039"/>
      <c r="H421" s="1699"/>
      <c r="I421" s="1699"/>
      <c r="J421" s="1699"/>
      <c r="K421" s="1699"/>
      <c r="L421" s="2039"/>
      <c r="M421" s="1699"/>
      <c r="N421" s="1699"/>
      <c r="O421" s="1699"/>
      <c r="P421" s="1699"/>
      <c r="Q421" s="2080"/>
      <c r="R421" s="1699"/>
      <c r="S421" s="1699"/>
      <c r="T421" s="1699"/>
      <c r="U421" s="1699"/>
      <c r="V421" s="2080"/>
      <c r="W421" s="1699"/>
      <c r="X421" s="1699"/>
      <c r="Y421" s="1699"/>
      <c r="Z421" s="1699"/>
      <c r="AA421" s="2080"/>
      <c r="AB421" s="1699"/>
      <c r="AC421" s="1699"/>
      <c r="AD421" s="1699"/>
      <c r="AE421" s="1699"/>
      <c r="AF421" s="1699"/>
      <c r="AG421" s="1699"/>
      <c r="AH421" s="1699"/>
      <c r="AI421" s="1699"/>
      <c r="AJ421" s="2157"/>
      <c r="AK421" s="1699"/>
      <c r="AL421" s="1699"/>
      <c r="AM421" s="1699"/>
      <c r="AN421" s="1699"/>
      <c r="AO421" s="2191"/>
      <c r="AP421" s="1699"/>
      <c r="AQ421" s="1699"/>
      <c r="AR421" s="1699"/>
      <c r="AS421" s="1699"/>
      <c r="AT421" s="2186"/>
      <c r="AU421" s="1699"/>
      <c r="AV421" s="1699"/>
      <c r="AW421" s="1699"/>
      <c r="AX421" s="1699"/>
      <c r="AY421" s="2186"/>
      <c r="AZ421" s="1699"/>
      <c r="BA421" s="1699"/>
      <c r="BB421" s="1699"/>
      <c r="BC421" s="1293"/>
      <c r="BD421" s="2186"/>
      <c r="BE421" s="1699"/>
      <c r="BF421" s="1699"/>
      <c r="BG421" s="1699"/>
      <c r="BH421" s="1293"/>
      <c r="BI421" s="2186"/>
      <c r="BJ421" s="1699"/>
      <c r="BK421" s="1699"/>
      <c r="BL421" s="1699"/>
      <c r="BM421" s="1699"/>
      <c r="BN421" s="2186"/>
      <c r="BO421" s="1293"/>
      <c r="BP421" s="1293"/>
      <c r="BQ421" s="1293"/>
      <c r="BR421" s="1293"/>
      <c r="BS421" s="1293"/>
      <c r="BT421" s="1293"/>
      <c r="BU421" s="1293"/>
      <c r="BV421" s="1293"/>
      <c r="BW421" s="1293"/>
      <c r="BX421" s="1293"/>
      <c r="BY421" s="1293"/>
      <c r="BZ421" s="1293"/>
      <c r="CA421" s="1293"/>
      <c r="CB421" s="1293"/>
      <c r="CC421" s="1293"/>
      <c r="CD421" s="1293"/>
      <c r="CE421" s="1293"/>
      <c r="CF421" s="1293"/>
      <c r="CG421" s="1293"/>
      <c r="CH421" s="1293"/>
      <c r="CI421" s="1293"/>
      <c r="CJ421" s="1293"/>
      <c r="CK421" s="1293"/>
      <c r="CL421" s="1293"/>
      <c r="CM421" s="1293"/>
      <c r="CN421" s="1293"/>
      <c r="CO421" s="1293"/>
      <c r="CP421" s="1293"/>
      <c r="CQ421" s="1293"/>
      <c r="CR421" s="1293"/>
      <c r="CS421" s="1293"/>
      <c r="CT421" s="1293"/>
      <c r="CU421" s="1293"/>
      <c r="CV421" s="1293"/>
      <c r="CW421" s="1293"/>
      <c r="CX421" s="1293"/>
      <c r="CY421" s="2032"/>
      <c r="CZ421" s="1293"/>
      <c r="DA421" s="2042"/>
      <c r="DB421" s="2041"/>
      <c r="DC421" s="1293"/>
      <c r="DD421" s="1293"/>
      <c r="DE421" s="1293"/>
      <c r="DF421" s="1293"/>
      <c r="DG421" s="1293"/>
      <c r="DH421" s="1293"/>
      <c r="DI421" s="1293"/>
      <c r="DJ421" s="1293"/>
      <c r="DK421" s="1293"/>
      <c r="DL421" s="1293"/>
    </row>
    <row r="422" spans="1:116" ht="15.75">
      <c r="A422" s="1293"/>
      <c r="B422" s="1334" t="s">
        <v>4541</v>
      </c>
      <c r="C422" s="1699"/>
      <c r="D422" s="1699"/>
      <c r="E422" s="1699"/>
      <c r="F422" s="1699"/>
      <c r="G422" s="2039"/>
      <c r="H422" s="1699"/>
      <c r="I422" s="1699"/>
      <c r="J422" s="1699"/>
      <c r="K422" s="1699"/>
      <c r="L422" s="2039"/>
      <c r="M422" s="1699"/>
      <c r="N422" s="1699"/>
      <c r="O422" s="1699"/>
      <c r="P422" s="1699"/>
      <c r="Q422" s="2080"/>
      <c r="R422" s="1699"/>
      <c r="S422" s="1699"/>
      <c r="T422" s="1699"/>
      <c r="U422" s="1699"/>
      <c r="V422" s="2080"/>
      <c r="W422" s="1699"/>
      <c r="X422" s="1699"/>
      <c r="Y422" s="1699"/>
      <c r="Z422" s="1699"/>
      <c r="AA422" s="2080"/>
      <c r="AB422" s="1699"/>
      <c r="AC422" s="1699"/>
      <c r="AD422" s="1699"/>
      <c r="AE422" s="1699"/>
      <c r="AF422" s="1699"/>
      <c r="AG422" s="1699"/>
      <c r="AH422" s="1699"/>
      <c r="AI422" s="1699"/>
      <c r="AJ422" s="2157"/>
      <c r="AK422" s="1699"/>
      <c r="AL422" s="1699"/>
      <c r="AM422" s="1699"/>
      <c r="AN422" s="1699"/>
      <c r="AO422" s="2191"/>
      <c r="AP422" s="1699"/>
      <c r="AQ422" s="1699"/>
      <c r="AR422" s="1699"/>
      <c r="AS422" s="1699"/>
      <c r="AT422" s="2186"/>
      <c r="AU422" s="1699"/>
      <c r="AV422" s="1699"/>
      <c r="AW422" s="1699"/>
      <c r="AX422" s="1699"/>
      <c r="AY422" s="2186"/>
      <c r="AZ422" s="1699"/>
      <c r="BA422" s="1699"/>
      <c r="BB422" s="1699"/>
      <c r="BC422" s="1293"/>
      <c r="BD422" s="2186"/>
      <c r="BE422" s="1699"/>
      <c r="BF422" s="1699"/>
      <c r="BG422" s="1699"/>
      <c r="BH422" s="1293"/>
      <c r="BI422" s="2186"/>
      <c r="BJ422" s="1699"/>
      <c r="BK422" s="1699"/>
      <c r="BL422" s="1699"/>
      <c r="BM422" s="1699"/>
      <c r="BN422" s="2186"/>
      <c r="BO422" s="1293"/>
      <c r="BP422" s="1293"/>
      <c r="BQ422" s="1293"/>
      <c r="BR422" s="1293"/>
      <c r="BS422" s="1293"/>
      <c r="BT422" s="1293"/>
      <c r="BU422" s="1293"/>
      <c r="BV422" s="1293"/>
      <c r="BW422" s="1293"/>
      <c r="BX422" s="1293"/>
      <c r="BY422" s="1293"/>
      <c r="BZ422" s="1293"/>
      <c r="CA422" s="1293"/>
      <c r="CB422" s="1293"/>
      <c r="CC422" s="1293"/>
      <c r="CD422" s="1293"/>
      <c r="CE422" s="1293"/>
      <c r="CF422" s="1293"/>
      <c r="CG422" s="1293"/>
      <c r="CH422" s="1293"/>
      <c r="CI422" s="1293"/>
      <c r="CJ422" s="1293"/>
      <c r="CK422" s="1293"/>
      <c r="CL422" s="1293"/>
      <c r="CM422" s="1293"/>
      <c r="CN422" s="1293"/>
      <c r="CO422" s="1293"/>
      <c r="CP422" s="1293"/>
      <c r="CQ422" s="1293"/>
      <c r="CR422" s="1293"/>
      <c r="CS422" s="1293"/>
      <c r="CT422" s="1293"/>
      <c r="CU422" s="1293"/>
      <c r="CV422" s="1293"/>
      <c r="CW422" s="1293"/>
      <c r="CX422" s="1293"/>
      <c r="CY422" s="2032"/>
      <c r="CZ422" s="1293"/>
      <c r="DA422" s="2042"/>
      <c r="DB422" s="2041"/>
      <c r="DC422" s="1293"/>
      <c r="DD422" s="1293"/>
      <c r="DE422" s="1293"/>
      <c r="DF422" s="1293"/>
      <c r="DG422" s="1293"/>
      <c r="DH422" s="1293"/>
      <c r="DI422" s="1293"/>
      <c r="DJ422" s="1293"/>
      <c r="DK422" s="1293"/>
      <c r="DL422" s="1293"/>
    </row>
    <row r="423" spans="1:116" ht="15.75">
      <c r="A423" s="1293"/>
      <c r="B423" s="1293" t="s">
        <v>1828</v>
      </c>
      <c r="C423" s="1699">
        <v>0</v>
      </c>
      <c r="D423" s="1699">
        <v>38.086432420409103</v>
      </c>
      <c r="E423" s="1699">
        <v>0.22954791449579659</v>
      </c>
      <c r="F423" s="1699">
        <v>0</v>
      </c>
      <c r="G423" s="2039">
        <v>38.3159803349049</v>
      </c>
      <c r="H423" s="1699">
        <v>9.6623441069049205E-3</v>
      </c>
      <c r="I423" s="1699">
        <v>0</v>
      </c>
      <c r="J423" s="1699">
        <v>0</v>
      </c>
      <c r="K423" s="1699">
        <v>0</v>
      </c>
      <c r="L423" s="2039">
        <v>9.6623441069049205E-3</v>
      </c>
      <c r="M423" s="1699">
        <v>0</v>
      </c>
      <c r="N423" s="1699">
        <v>4.4677568749385683</v>
      </c>
      <c r="O423" s="1699">
        <v>0</v>
      </c>
      <c r="P423" s="1699">
        <v>0</v>
      </c>
      <c r="Q423" s="2080"/>
      <c r="R423" s="1699">
        <v>0</v>
      </c>
      <c r="S423" s="1997">
        <v>0</v>
      </c>
      <c r="T423" s="1997">
        <v>0</v>
      </c>
      <c r="U423" s="1997">
        <v>0</v>
      </c>
      <c r="V423" s="2080"/>
      <c r="W423" s="1997">
        <v>15</v>
      </c>
      <c r="X423" s="1997">
        <v>0</v>
      </c>
      <c r="Y423" s="1997">
        <v>0</v>
      </c>
      <c r="Z423" s="1997">
        <v>0</v>
      </c>
      <c r="AA423" s="2157">
        <f>SUM(W423:Z423)</f>
        <v>15</v>
      </c>
      <c r="AB423" s="1699">
        <v>0</v>
      </c>
      <c r="AC423" s="1699">
        <v>0</v>
      </c>
      <c r="AD423" s="1699">
        <v>0</v>
      </c>
      <c r="AE423" s="1699">
        <v>0</v>
      </c>
      <c r="AF423" s="1699">
        <v>0</v>
      </c>
      <c r="AG423" s="1699"/>
      <c r="AH423" s="1699">
        <v>0</v>
      </c>
      <c r="AI423" s="1699"/>
      <c r="AJ423" s="2157">
        <f>AB423+AD423+AF423+AH423</f>
        <v>0</v>
      </c>
      <c r="AK423" s="1699"/>
      <c r="AL423" s="1699"/>
      <c r="AM423" s="1699"/>
      <c r="AN423" s="1699"/>
      <c r="AO423" s="2191"/>
      <c r="AP423" s="1699"/>
      <c r="AQ423" s="1699"/>
      <c r="AR423" s="1699"/>
      <c r="AS423" s="1699"/>
      <c r="AT423" s="2186"/>
      <c r="AU423" s="1699"/>
      <c r="AV423" s="1699"/>
      <c r="AW423" s="1699"/>
      <c r="AX423" s="1699"/>
      <c r="AY423" s="2186"/>
      <c r="AZ423" s="1699"/>
      <c r="BA423" s="1699"/>
      <c r="BB423" s="1699"/>
      <c r="BC423" s="1293"/>
      <c r="BD423" s="2186"/>
      <c r="BE423" s="1699"/>
      <c r="BF423" s="1699"/>
      <c r="BG423" s="1699"/>
      <c r="BH423" s="1293"/>
      <c r="BI423" s="2186"/>
      <c r="BJ423" s="1699"/>
      <c r="BK423" s="1699"/>
      <c r="BL423" s="1699"/>
      <c r="BM423" s="1699"/>
      <c r="BN423" s="2186"/>
      <c r="BO423" s="1293"/>
      <c r="BP423" s="1293"/>
      <c r="BQ423" s="1293"/>
      <c r="BR423" s="1293"/>
      <c r="BS423" s="1293"/>
      <c r="BT423" s="1293"/>
      <c r="BU423" s="1293"/>
      <c r="BV423" s="1293"/>
      <c r="BW423" s="1293"/>
      <c r="BX423" s="1293"/>
      <c r="BY423" s="1293"/>
      <c r="BZ423" s="1293"/>
      <c r="CA423" s="1293"/>
      <c r="CB423" s="1293"/>
      <c r="CC423" s="1293"/>
      <c r="CD423" s="1293"/>
      <c r="CE423" s="1293"/>
      <c r="CF423" s="1293"/>
      <c r="CG423" s="1293"/>
      <c r="CH423" s="1293"/>
      <c r="CI423" s="1293"/>
      <c r="CJ423" s="1293"/>
      <c r="CK423" s="1293"/>
      <c r="CL423" s="1293"/>
      <c r="CM423" s="1293"/>
      <c r="CN423" s="1293"/>
      <c r="CO423" s="1293"/>
      <c r="CP423" s="1293"/>
      <c r="CQ423" s="1293"/>
      <c r="CR423" s="1293"/>
      <c r="CS423" s="1293"/>
      <c r="CT423" s="1293"/>
      <c r="CU423" s="1293"/>
      <c r="CV423" s="1293"/>
      <c r="CW423" s="1293"/>
      <c r="CX423" s="1293"/>
      <c r="CY423" s="2032"/>
      <c r="CZ423" s="1293"/>
      <c r="DA423" s="2042"/>
      <c r="DB423" s="2041"/>
      <c r="DC423" s="1293"/>
      <c r="DD423" s="1293"/>
      <c r="DE423" s="1293"/>
      <c r="DF423" s="1293"/>
      <c r="DG423" s="1293"/>
      <c r="DH423" s="1293"/>
      <c r="DI423" s="1293"/>
      <c r="DJ423" s="1293"/>
      <c r="DK423" s="1293"/>
      <c r="DL423" s="1293"/>
    </row>
    <row r="424" spans="1:116" ht="15.75">
      <c r="A424" s="1293"/>
      <c r="B424" s="1293" t="s">
        <v>1697</v>
      </c>
      <c r="C424" s="1699">
        <v>0.85608622104568999</v>
      </c>
      <c r="D424" s="1699">
        <v>1.3543302972026896</v>
      </c>
      <c r="E424" s="1699">
        <v>1.6430182243709099</v>
      </c>
      <c r="F424" s="1699">
        <v>-0.9598724190688398</v>
      </c>
      <c r="G424" s="2039">
        <v>2.8935623235504497</v>
      </c>
      <c r="H424" s="1699">
        <v>2.22286088255821E-2</v>
      </c>
      <c r="I424" s="1699">
        <v>2.2964841633244006E-3</v>
      </c>
      <c r="J424" s="1699">
        <v>5.7370158006129907E-2</v>
      </c>
      <c r="K424" s="1699">
        <v>46</v>
      </c>
      <c r="L424" s="2039">
        <v>46</v>
      </c>
      <c r="M424" s="1699">
        <v>41.736145399687203</v>
      </c>
      <c r="N424" s="1699">
        <v>22.574557481972558</v>
      </c>
      <c r="O424" s="1699">
        <v>2.4294230637998973</v>
      </c>
      <c r="P424" s="1699">
        <v>22</v>
      </c>
      <c r="Q424" s="2080"/>
      <c r="R424" s="1699">
        <v>0</v>
      </c>
      <c r="S424" s="1699">
        <f>5-S423</f>
        <v>5</v>
      </c>
      <c r="T424" s="1699">
        <f>17-T423</f>
        <v>17</v>
      </c>
      <c r="U424" s="1699">
        <f>40-R424-S424-T424</f>
        <v>18</v>
      </c>
      <c r="V424" s="2080"/>
      <c r="W424" s="1699">
        <f>50-W423</f>
        <v>35</v>
      </c>
      <c r="X424" s="1699">
        <f>1.5-X423</f>
        <v>1.5</v>
      </c>
      <c r="Y424" s="1699">
        <f>9-Y423</f>
        <v>9</v>
      </c>
      <c r="Z424" s="1699">
        <f>64-Z423</f>
        <v>64</v>
      </c>
      <c r="AA424" s="2157">
        <f>SUM(W424:Z424)</f>
        <v>109.5</v>
      </c>
      <c r="AB424" s="1699">
        <v>0</v>
      </c>
      <c r="AC424" s="1699">
        <v>0</v>
      </c>
      <c r="AD424" s="1699">
        <v>48</v>
      </c>
      <c r="AE424" s="1699">
        <v>48</v>
      </c>
      <c r="AF424" s="1699">
        <v>17</v>
      </c>
      <c r="AG424" s="1699">
        <v>17</v>
      </c>
      <c r="AH424" s="1699">
        <v>64</v>
      </c>
      <c r="AI424" s="1699"/>
      <c r="AJ424" s="2157">
        <f>AB424+AD424+AF424+AH424</f>
        <v>129</v>
      </c>
      <c r="AK424" s="1699"/>
      <c r="AL424" s="1699"/>
      <c r="AM424" s="1699"/>
      <c r="AN424" s="1699"/>
      <c r="AO424" s="2191"/>
      <c r="AP424" s="1699"/>
      <c r="AQ424" s="1699"/>
      <c r="AR424" s="1699"/>
      <c r="AS424" s="1699"/>
      <c r="AT424" s="2186"/>
      <c r="AU424" s="1699"/>
      <c r="AV424" s="1699"/>
      <c r="AW424" s="1699"/>
      <c r="AX424" s="1699"/>
      <c r="AY424" s="2186"/>
      <c r="AZ424" s="1699"/>
      <c r="BA424" s="1699"/>
      <c r="BB424" s="1699"/>
      <c r="BC424" s="1293"/>
      <c r="BD424" s="2186"/>
      <c r="BE424" s="1699"/>
      <c r="BF424" s="1699"/>
      <c r="BG424" s="1699"/>
      <c r="BH424" s="1293"/>
      <c r="BI424" s="2186"/>
      <c r="BJ424" s="1699"/>
      <c r="BK424" s="1699"/>
      <c r="BL424" s="1699"/>
      <c r="BM424" s="1699"/>
      <c r="BN424" s="2186"/>
      <c r="BO424" s="1293"/>
      <c r="BP424" s="1293"/>
      <c r="BQ424" s="1293"/>
      <c r="BR424" s="1293"/>
      <c r="BS424" s="1293"/>
      <c r="BT424" s="1293"/>
      <c r="BU424" s="1293"/>
      <c r="BV424" s="1293"/>
      <c r="BW424" s="1293"/>
      <c r="BX424" s="1293"/>
      <c r="BY424" s="1293"/>
      <c r="BZ424" s="1293"/>
      <c r="CA424" s="1293"/>
      <c r="CB424" s="1293"/>
      <c r="CC424" s="1293"/>
      <c r="CD424" s="1293"/>
      <c r="CE424" s="1293"/>
      <c r="CF424" s="1293"/>
      <c r="CG424" s="1293"/>
      <c r="CH424" s="1293"/>
      <c r="CI424" s="1293"/>
      <c r="CJ424" s="1293"/>
      <c r="CK424" s="1293"/>
      <c r="CL424" s="1293"/>
      <c r="CM424" s="1293"/>
      <c r="CN424" s="1293"/>
      <c r="CO424" s="1293"/>
      <c r="CP424" s="1293"/>
      <c r="CQ424" s="1293"/>
      <c r="CR424" s="1293"/>
      <c r="CS424" s="1293"/>
      <c r="CT424" s="1293"/>
      <c r="CU424" s="1293"/>
      <c r="CV424" s="1293"/>
      <c r="CW424" s="1293"/>
      <c r="CX424" s="1293"/>
      <c r="CY424" s="2032"/>
      <c r="CZ424" s="1293"/>
      <c r="DA424" s="2042"/>
      <c r="DB424" s="2041"/>
      <c r="DC424" s="1293"/>
      <c r="DD424" s="1293"/>
      <c r="DE424" s="1293"/>
      <c r="DF424" s="1293"/>
      <c r="DG424" s="1293"/>
      <c r="DH424" s="1293"/>
      <c r="DI424" s="1293"/>
      <c r="DJ424" s="1293"/>
      <c r="DK424" s="1293"/>
      <c r="DL424" s="1293"/>
    </row>
    <row r="425" spans="1:116" ht="15.75">
      <c r="A425" s="1293"/>
      <c r="B425" s="1331" t="s">
        <v>1831</v>
      </c>
      <c r="C425" s="1703">
        <v>0</v>
      </c>
      <c r="D425" s="1703">
        <v>41.503247629127003</v>
      </c>
      <c r="E425" s="1703">
        <v>0</v>
      </c>
      <c r="F425" s="1703">
        <v>5.2453253221175729</v>
      </c>
      <c r="G425" s="2048">
        <v>46.748572951244576</v>
      </c>
      <c r="H425" s="1703">
        <v>0</v>
      </c>
      <c r="I425" s="1703">
        <v>0</v>
      </c>
      <c r="J425" s="1703">
        <v>0</v>
      </c>
      <c r="K425" s="1703">
        <v>1</v>
      </c>
      <c r="L425" s="2048">
        <v>1</v>
      </c>
      <c r="M425" s="1703">
        <v>0</v>
      </c>
      <c r="N425" s="1703">
        <v>0</v>
      </c>
      <c r="O425" s="1703">
        <v>0</v>
      </c>
      <c r="P425" s="1703">
        <v>0</v>
      </c>
      <c r="Q425" s="2080"/>
      <c r="R425" s="1703">
        <v>0</v>
      </c>
      <c r="S425" s="1703">
        <v>0</v>
      </c>
      <c r="T425" s="1703">
        <v>0</v>
      </c>
      <c r="U425" s="1703">
        <v>0</v>
      </c>
      <c r="V425" s="2080"/>
      <c r="W425" s="1703">
        <v>0</v>
      </c>
      <c r="X425" s="1703">
        <v>0</v>
      </c>
      <c r="Y425" s="1703">
        <v>0</v>
      </c>
      <c r="Z425" s="1703">
        <v>2</v>
      </c>
      <c r="AA425" s="2192">
        <f>SUM(W425:Z425)</f>
        <v>2</v>
      </c>
      <c r="AB425" s="1703">
        <v>0</v>
      </c>
      <c r="AC425" s="1703">
        <v>0</v>
      </c>
      <c r="AD425" s="1703">
        <v>0</v>
      </c>
      <c r="AE425" s="1703">
        <v>0</v>
      </c>
      <c r="AF425" s="1703">
        <v>0</v>
      </c>
      <c r="AG425" s="1703"/>
      <c r="AH425" s="1703">
        <v>0</v>
      </c>
      <c r="AI425" s="1703"/>
      <c r="AJ425" s="2192">
        <f>AB425+AD425+AF425+AH425</f>
        <v>0</v>
      </c>
      <c r="AK425" s="1703"/>
      <c r="AL425" s="1703"/>
      <c r="AM425" s="1703"/>
      <c r="AN425" s="1703"/>
      <c r="AO425" s="2193"/>
      <c r="AP425" s="1703"/>
      <c r="AQ425" s="1703"/>
      <c r="AR425" s="1703"/>
      <c r="AS425" s="1703"/>
      <c r="AT425" s="2206"/>
      <c r="AU425" s="1703"/>
      <c r="AV425" s="1703"/>
      <c r="AW425" s="1703"/>
      <c r="AX425" s="1703"/>
      <c r="AY425" s="2186"/>
      <c r="AZ425" s="1699"/>
      <c r="BA425" s="1699"/>
      <c r="BB425" s="1699"/>
      <c r="BC425" s="1293"/>
      <c r="BD425" s="2186"/>
      <c r="BE425" s="1699"/>
      <c r="BF425" s="1699"/>
      <c r="BG425" s="1699"/>
      <c r="BH425" s="1293"/>
      <c r="BI425" s="2186"/>
      <c r="BJ425" s="1699"/>
      <c r="BK425" s="1699"/>
      <c r="BL425" s="1699"/>
      <c r="BM425" s="1699"/>
      <c r="BN425" s="2186"/>
      <c r="BO425" s="1293"/>
      <c r="BP425" s="1293"/>
      <c r="BQ425" s="1293"/>
      <c r="BR425" s="1293"/>
      <c r="BS425" s="1293"/>
      <c r="BT425" s="1293"/>
      <c r="BU425" s="1293"/>
      <c r="BV425" s="1293"/>
      <c r="BW425" s="1293"/>
      <c r="BX425" s="1293"/>
      <c r="BY425" s="1293"/>
      <c r="BZ425" s="1293"/>
      <c r="CA425" s="1293"/>
      <c r="CB425" s="1293"/>
      <c r="CC425" s="1293"/>
      <c r="CD425" s="1293"/>
      <c r="CE425" s="1293"/>
      <c r="CF425" s="1293"/>
      <c r="CG425" s="1293"/>
      <c r="CH425" s="1293"/>
      <c r="CI425" s="1293"/>
      <c r="CJ425" s="1293"/>
      <c r="CK425" s="1293"/>
      <c r="CL425" s="1293"/>
      <c r="CM425" s="1293"/>
      <c r="CN425" s="1293"/>
      <c r="CO425" s="1293"/>
      <c r="CP425" s="1293"/>
      <c r="CQ425" s="1293"/>
      <c r="CR425" s="1293"/>
      <c r="CS425" s="1293"/>
      <c r="CT425" s="1293"/>
      <c r="CU425" s="1293"/>
      <c r="CV425" s="1293"/>
      <c r="CW425" s="1293"/>
      <c r="CX425" s="1293"/>
      <c r="CY425" s="2032"/>
      <c r="CZ425" s="1331"/>
      <c r="DA425" s="2042"/>
      <c r="DB425" s="2041"/>
      <c r="DC425" s="1293"/>
      <c r="DD425" s="1293"/>
      <c r="DE425" s="1293"/>
      <c r="DF425" s="1293"/>
      <c r="DG425" s="1293"/>
      <c r="DH425" s="1293"/>
      <c r="DI425" s="1293"/>
      <c r="DJ425" s="1293"/>
      <c r="DK425" s="1293"/>
      <c r="DL425" s="1293"/>
    </row>
    <row r="426" spans="1:116" ht="15.75">
      <c r="A426" s="1293"/>
      <c r="B426" s="1334" t="s">
        <v>2324</v>
      </c>
      <c r="C426" s="1723">
        <f t="shared" ref="C426:P426" si="489">SUM(C423:C425)</f>
        <v>0.85608622104568999</v>
      </c>
      <c r="D426" s="1723">
        <f t="shared" si="489"/>
        <v>80.944010346738793</v>
      </c>
      <c r="E426" s="1723">
        <f t="shared" si="489"/>
        <v>1.8725661388667065</v>
      </c>
      <c r="F426" s="1723">
        <f t="shared" si="489"/>
        <v>4.2854529030487329</v>
      </c>
      <c r="G426" s="2112">
        <f t="shared" si="489"/>
        <v>87.958115609699917</v>
      </c>
      <c r="H426" s="1723">
        <f t="shared" si="489"/>
        <v>3.1890952932487018E-2</v>
      </c>
      <c r="I426" s="1723">
        <f t="shared" si="489"/>
        <v>2.2964841633244006E-3</v>
      </c>
      <c r="J426" s="1723">
        <f t="shared" si="489"/>
        <v>5.7370158006129907E-2</v>
      </c>
      <c r="K426" s="1723">
        <f t="shared" si="489"/>
        <v>47</v>
      </c>
      <c r="L426" s="2112">
        <f t="shared" si="489"/>
        <v>47.009662344106907</v>
      </c>
      <c r="M426" s="1723">
        <f t="shared" si="489"/>
        <v>41.736145399687203</v>
      </c>
      <c r="N426" s="1723">
        <f t="shared" si="489"/>
        <v>27.042314356911128</v>
      </c>
      <c r="O426" s="1723">
        <f t="shared" si="489"/>
        <v>2.4294230637998973</v>
      </c>
      <c r="P426" s="1723">
        <f t="shared" si="489"/>
        <v>22</v>
      </c>
      <c r="Q426" s="2080"/>
      <c r="R426" s="1723">
        <f>SUM(R423:R425)</f>
        <v>0</v>
      </c>
      <c r="S426" s="1723">
        <f>SUM(S423:S425)</f>
        <v>5</v>
      </c>
      <c r="T426" s="1723">
        <f>SUM(T423:T425)</f>
        <v>17</v>
      </c>
      <c r="U426" s="1723">
        <f>40-R426-S426-T426</f>
        <v>18</v>
      </c>
      <c r="V426" s="2080"/>
      <c r="W426" s="1723">
        <f>SUM(W423:W425)</f>
        <v>50</v>
      </c>
      <c r="X426" s="1723">
        <f>SUM(X423:X425)</f>
        <v>1.5</v>
      </c>
      <c r="Y426" s="1723">
        <f>SUM(Y423:Y425)</f>
        <v>9</v>
      </c>
      <c r="Z426" s="1723">
        <v>66</v>
      </c>
      <c r="AA426" s="2195">
        <f>SUM(W426:Z426)</f>
        <v>126.5</v>
      </c>
      <c r="AB426" s="1723">
        <f t="shared" ref="AB426:AH426" si="490">AB423+AB424+AB425</f>
        <v>0</v>
      </c>
      <c r="AC426" s="1723">
        <f t="shared" si="490"/>
        <v>0</v>
      </c>
      <c r="AD426" s="1723">
        <f t="shared" si="490"/>
        <v>48</v>
      </c>
      <c r="AE426" s="1723">
        <f t="shared" si="490"/>
        <v>48</v>
      </c>
      <c r="AF426" s="1723">
        <f t="shared" si="490"/>
        <v>17</v>
      </c>
      <c r="AG426" s="1723">
        <f t="shared" si="490"/>
        <v>17</v>
      </c>
      <c r="AH426" s="1723">
        <f t="shared" si="490"/>
        <v>64</v>
      </c>
      <c r="AI426" s="1723"/>
      <c r="AJ426" s="2157">
        <f>AB426+AD426+AF426+AH426</f>
        <v>129</v>
      </c>
      <c r="AK426" s="2114">
        <v>104</v>
      </c>
      <c r="AL426" s="2114">
        <v>399</v>
      </c>
      <c r="AM426" s="2114">
        <v>7</v>
      </c>
      <c r="AN426" s="2114">
        <v>-6</v>
      </c>
      <c r="AO426" s="2191">
        <f>AK426+AL426+AM426+AN426</f>
        <v>504</v>
      </c>
      <c r="AP426" s="1723"/>
      <c r="AQ426" s="1723"/>
      <c r="AR426" s="1723"/>
      <c r="AS426" s="1723"/>
      <c r="AT426" s="2186"/>
      <c r="AU426" s="2114">
        <v>88</v>
      </c>
      <c r="AV426" s="2114">
        <v>27.23</v>
      </c>
      <c r="AW426" s="2114">
        <v>45</v>
      </c>
      <c r="AX426" s="2114">
        <v>33.880000000000003</v>
      </c>
      <c r="AY426" s="2207">
        <f>SUM(AU426:AX426)</f>
        <v>194.11</v>
      </c>
      <c r="AZ426" s="2078">
        <v>271</v>
      </c>
      <c r="BA426" s="2078">
        <v>46</v>
      </c>
      <c r="BB426" s="2078">
        <v>16</v>
      </c>
      <c r="BC426" s="2078">
        <v>72.853999999999999</v>
      </c>
      <c r="BD426" s="2207">
        <f>SUM(AZ426:BC426)</f>
        <v>405.85399999999998</v>
      </c>
      <c r="BE426" s="2078">
        <v>67</v>
      </c>
      <c r="BF426" s="2078">
        <v>26</v>
      </c>
      <c r="BG426" s="2078">
        <v>20</v>
      </c>
      <c r="BH426" s="2078">
        <v>9.7384000000000004</v>
      </c>
      <c r="BI426" s="2208">
        <f>Valuation!N28</f>
        <v>135</v>
      </c>
      <c r="BJ426" s="2549">
        <v>30</v>
      </c>
      <c r="BK426" s="2549">
        <v>30</v>
      </c>
      <c r="BL426" s="2549">
        <v>30</v>
      </c>
      <c r="BM426" s="2549">
        <f>BN426-BJ426-BK426-BL426</f>
        <v>10</v>
      </c>
      <c r="BN426" s="2208">
        <f>Valuation!O28</f>
        <v>100</v>
      </c>
      <c r="BO426" s="1723"/>
      <c r="BP426" s="1723"/>
      <c r="BQ426" s="1293"/>
      <c r="BR426" s="1293"/>
      <c r="BS426" s="1293"/>
      <c r="BT426" s="1293"/>
      <c r="BU426" s="1293"/>
      <c r="BV426" s="1293"/>
      <c r="BW426" s="1293"/>
      <c r="BX426" s="1293"/>
      <c r="BY426" s="1293"/>
      <c r="BZ426" s="1293"/>
      <c r="CA426" s="1293"/>
      <c r="CB426" s="1293"/>
      <c r="CC426" s="1293"/>
      <c r="CD426" s="1293"/>
      <c r="CE426" s="1293"/>
      <c r="CF426" s="1293"/>
      <c r="CG426" s="1293"/>
      <c r="CH426" s="1293"/>
      <c r="CI426" s="1293"/>
      <c r="CJ426" s="1293"/>
      <c r="CK426" s="1293"/>
      <c r="CL426" s="1293"/>
      <c r="CM426" s="1293"/>
      <c r="CN426" s="1293"/>
      <c r="CO426" s="1293"/>
      <c r="CP426" s="1293"/>
      <c r="CQ426" s="1293"/>
      <c r="CR426" s="1293"/>
      <c r="CS426" s="1293"/>
      <c r="CT426" s="1293"/>
      <c r="CU426" s="1293"/>
      <c r="CV426" s="1293"/>
      <c r="CW426" s="1293"/>
      <c r="CX426" s="1293"/>
      <c r="CY426" s="2209">
        <v>-138</v>
      </c>
      <c r="CZ426" s="2198">
        <v>50</v>
      </c>
      <c r="DA426" s="2210">
        <v>37.5</v>
      </c>
      <c r="DB426" s="2211">
        <v>20</v>
      </c>
      <c r="DC426" s="1293"/>
      <c r="DD426" s="1293"/>
      <c r="DE426" s="1293"/>
      <c r="DF426" s="1293"/>
      <c r="DG426" s="1293"/>
      <c r="DH426" s="1293"/>
      <c r="DI426" s="1293"/>
      <c r="DJ426" s="1293"/>
      <c r="DK426" s="1293"/>
      <c r="DL426" s="1293"/>
    </row>
    <row r="427" spans="1:116" ht="15.75">
      <c r="A427" s="1293"/>
      <c r="B427" s="1293"/>
      <c r="C427" s="1293"/>
      <c r="D427" s="1293"/>
      <c r="E427" s="1293"/>
      <c r="F427" s="1293"/>
      <c r="G427" s="1293"/>
      <c r="H427" s="1293"/>
      <c r="I427" s="1293"/>
      <c r="J427" s="1293"/>
      <c r="K427" s="1293"/>
      <c r="L427" s="1293"/>
      <c r="M427" s="1293"/>
      <c r="N427" s="1293"/>
      <c r="O427" s="1293"/>
      <c r="P427" s="1293"/>
      <c r="Q427" s="1293"/>
      <c r="R427" s="1293"/>
      <c r="S427" s="1293"/>
      <c r="T427" s="1293"/>
      <c r="U427" s="1293"/>
      <c r="V427" s="1293"/>
      <c r="W427" s="1293"/>
      <c r="X427" s="1293"/>
      <c r="Y427" s="1293"/>
      <c r="Z427" s="1293"/>
      <c r="AA427" s="2157"/>
      <c r="AB427" s="1293"/>
      <c r="AC427" s="1293"/>
      <c r="AD427" s="1293"/>
      <c r="AE427" s="1293"/>
      <c r="AF427" s="1293"/>
      <c r="AG427" s="1293"/>
      <c r="AH427" s="1293"/>
      <c r="AI427" s="1293"/>
      <c r="AJ427" s="2157"/>
      <c r="AK427" s="1293"/>
      <c r="AL427" s="1293"/>
      <c r="AM427" s="1293"/>
      <c r="AN427" s="1293"/>
      <c r="AO427" s="2191"/>
      <c r="AP427" s="1293"/>
      <c r="AQ427" s="1293"/>
      <c r="AR427" s="1293"/>
      <c r="AS427" s="1293"/>
      <c r="AT427" s="2186"/>
      <c r="AU427" s="1293"/>
      <c r="AV427" s="1293"/>
      <c r="AW427" s="1293"/>
      <c r="AX427" s="1293"/>
      <c r="AY427" s="2186"/>
      <c r="AZ427" s="1293"/>
      <c r="BA427" s="1293"/>
      <c r="BB427" s="1293"/>
      <c r="BC427" s="1293"/>
      <c r="BD427" s="2186"/>
      <c r="BE427" s="1293"/>
      <c r="BF427" s="1293"/>
      <c r="BG427" s="1293"/>
      <c r="BH427" s="1293"/>
      <c r="BI427" s="2186"/>
      <c r="BJ427" s="1293"/>
      <c r="BK427" s="1293"/>
      <c r="BL427" s="1293"/>
      <c r="BM427" s="1293"/>
      <c r="BN427" s="2186"/>
      <c r="BO427" s="1293"/>
      <c r="BP427" s="1293"/>
      <c r="BQ427" s="1293"/>
      <c r="BR427" s="1293"/>
      <c r="BS427" s="1293"/>
      <c r="BT427" s="1293"/>
      <c r="BU427" s="1293"/>
      <c r="BV427" s="1293"/>
      <c r="BW427" s="1293"/>
      <c r="BX427" s="1293"/>
      <c r="BY427" s="1293"/>
      <c r="BZ427" s="1293"/>
      <c r="CA427" s="1293"/>
      <c r="CB427" s="1293"/>
      <c r="CC427" s="1293"/>
      <c r="CD427" s="1293"/>
      <c r="CE427" s="1293"/>
      <c r="CF427" s="1293"/>
      <c r="CG427" s="1293"/>
      <c r="CH427" s="1293"/>
      <c r="CI427" s="1293"/>
      <c r="CJ427" s="1293"/>
      <c r="CK427" s="1293"/>
      <c r="CL427" s="1293"/>
      <c r="CM427" s="1293"/>
      <c r="CN427" s="1293"/>
      <c r="CO427" s="1293"/>
      <c r="CP427" s="1293"/>
      <c r="CQ427" s="1293"/>
      <c r="CR427" s="1293"/>
      <c r="CS427" s="1293"/>
      <c r="CT427" s="1293"/>
      <c r="CU427" s="1293"/>
      <c r="CV427" s="1293"/>
      <c r="CW427" s="1293"/>
      <c r="CX427" s="1293"/>
      <c r="CY427" s="2032"/>
      <c r="CZ427" s="1293"/>
      <c r="DA427" s="2031"/>
      <c r="DB427" s="2032"/>
      <c r="DC427" s="1293"/>
      <c r="DD427" s="1293"/>
      <c r="DE427" s="1293"/>
      <c r="DF427" s="1293"/>
      <c r="DG427" s="1293"/>
      <c r="DH427" s="1293"/>
      <c r="DI427" s="1293"/>
      <c r="DJ427" s="1293"/>
      <c r="DK427" s="1293"/>
      <c r="DL427" s="1293"/>
    </row>
    <row r="428" spans="1:116" ht="15.75">
      <c r="A428" s="1293"/>
      <c r="B428" s="1334" t="s">
        <v>1180</v>
      </c>
      <c r="C428" s="1293"/>
      <c r="D428" s="1293"/>
      <c r="E428" s="1293"/>
      <c r="F428" s="1293"/>
      <c r="G428" s="1293"/>
      <c r="H428" s="1293"/>
      <c r="I428" s="1293"/>
      <c r="J428" s="1293"/>
      <c r="K428" s="1293"/>
      <c r="L428" s="1293"/>
      <c r="M428" s="1293"/>
      <c r="N428" s="1293"/>
      <c r="O428" s="1293"/>
      <c r="P428" s="1293"/>
      <c r="Q428" s="1293"/>
      <c r="R428" s="1293"/>
      <c r="S428" s="1293"/>
      <c r="T428" s="1293"/>
      <c r="U428" s="1293"/>
      <c r="V428" s="1293"/>
      <c r="W428" s="1723">
        <f>W414+W416+W426</f>
        <v>210</v>
      </c>
      <c r="X428" s="1723">
        <f>X414+X416+X426</f>
        <v>229.5</v>
      </c>
      <c r="Y428" s="1723">
        <f>Y414+Y416+Y426</f>
        <v>270</v>
      </c>
      <c r="Z428" s="1723">
        <f>Z414+Z416+Z426</f>
        <v>460</v>
      </c>
      <c r="AA428" s="2157">
        <f>SUM(W428:Z428)</f>
        <v>1169.5</v>
      </c>
      <c r="AB428" s="1723">
        <f t="shared" ref="AB428:AH428" si="491">AB414+AB416+AB426</f>
        <v>178</v>
      </c>
      <c r="AC428" s="1723">
        <f t="shared" si="491"/>
        <v>178</v>
      </c>
      <c r="AD428" s="1723">
        <f t="shared" si="491"/>
        <v>283</v>
      </c>
      <c r="AE428" s="1723">
        <f t="shared" si="491"/>
        <v>283</v>
      </c>
      <c r="AF428" s="1723">
        <f t="shared" si="491"/>
        <v>273</v>
      </c>
      <c r="AG428" s="1723">
        <f t="shared" si="491"/>
        <v>273</v>
      </c>
      <c r="AH428" s="1723">
        <f t="shared" si="491"/>
        <v>453</v>
      </c>
      <c r="AI428" s="1723"/>
      <c r="AJ428" s="2157">
        <f>AB428+AD428+AF428+AH428</f>
        <v>1187</v>
      </c>
      <c r="AK428" s="1723">
        <f>AK414+AK416+AK426</f>
        <v>285</v>
      </c>
      <c r="AL428" s="1723">
        <f>AL414+AL416+AL426</f>
        <v>605</v>
      </c>
      <c r="AM428" s="1723">
        <f>AM414+AM416+AM426</f>
        <v>238</v>
      </c>
      <c r="AN428" s="1723">
        <f>AN414+AN416+AN426</f>
        <v>366</v>
      </c>
      <c r="AO428" s="2191">
        <f>AG428+AI428+AK428+AM428</f>
        <v>796</v>
      </c>
      <c r="AP428" s="1723"/>
      <c r="AQ428" s="1723"/>
      <c r="AR428" s="1723"/>
      <c r="AS428" s="1723"/>
      <c r="AT428" s="2186"/>
      <c r="AU428" s="1723">
        <v>288</v>
      </c>
      <c r="AV428" s="1723">
        <v>282.16000000000003</v>
      </c>
      <c r="AW428" s="1723">
        <f>AW417+AW426</f>
        <v>298</v>
      </c>
      <c r="AX428" s="1723">
        <f>AX417+AX426</f>
        <v>299.67</v>
      </c>
      <c r="AY428" s="2186"/>
      <c r="AZ428" s="1723">
        <f>AZ417+AZ426</f>
        <v>456</v>
      </c>
      <c r="BA428" s="1723">
        <f t="shared" ref="BA428:BC428" si="492">BA417+BA426</f>
        <v>228</v>
      </c>
      <c r="BB428" s="1723">
        <f t="shared" si="492"/>
        <v>196</v>
      </c>
      <c r="BC428" s="1723">
        <f t="shared" si="492"/>
        <v>335.334</v>
      </c>
      <c r="BD428" s="2186"/>
      <c r="BE428" s="1723">
        <f>BE417+BE426</f>
        <v>180</v>
      </c>
      <c r="BF428" s="1723">
        <f t="shared" ref="BF428:BH428" si="493">BF417+BF426</f>
        <v>160</v>
      </c>
      <c r="BG428" s="1723">
        <f t="shared" si="493"/>
        <v>186</v>
      </c>
      <c r="BH428" s="1723">
        <f t="shared" si="493"/>
        <v>273.48140000000001</v>
      </c>
      <c r="BI428" s="2186"/>
      <c r="BJ428" s="1723"/>
      <c r="BK428" s="1723"/>
      <c r="BL428" s="1723"/>
      <c r="BM428" s="1723"/>
      <c r="BN428" s="2186"/>
      <c r="BO428" s="1293"/>
      <c r="BP428" s="1293"/>
      <c r="BQ428" s="1293"/>
      <c r="BR428" s="1293"/>
      <c r="BS428" s="1293"/>
      <c r="BT428" s="1293"/>
      <c r="BU428" s="1293"/>
      <c r="BV428" s="1293"/>
      <c r="BW428" s="1293"/>
      <c r="BX428" s="1293"/>
      <c r="BY428" s="1293"/>
      <c r="BZ428" s="1293"/>
      <c r="CA428" s="1293"/>
      <c r="CB428" s="1293"/>
      <c r="CC428" s="1293"/>
      <c r="CD428" s="1293"/>
      <c r="CE428" s="1293"/>
      <c r="CF428" s="1293"/>
      <c r="CG428" s="1293"/>
      <c r="CH428" s="1293"/>
      <c r="CI428" s="1293"/>
      <c r="CJ428" s="1293"/>
      <c r="CK428" s="1293"/>
      <c r="CL428" s="1293"/>
      <c r="CM428" s="1293"/>
      <c r="CN428" s="1293"/>
      <c r="CO428" s="1293"/>
      <c r="CP428" s="1293"/>
      <c r="CQ428" s="1293"/>
      <c r="CR428" s="1293"/>
      <c r="CS428" s="1293"/>
      <c r="CT428" s="1293"/>
      <c r="CU428" s="1293"/>
      <c r="CV428" s="1293"/>
      <c r="CW428" s="1293"/>
      <c r="CX428" s="1293"/>
      <c r="CY428" s="2055">
        <v>137.04847347354121</v>
      </c>
      <c r="CZ428" s="1293"/>
      <c r="DA428" s="2056">
        <v>227.5</v>
      </c>
      <c r="DB428" s="2055">
        <v>185</v>
      </c>
      <c r="DC428" s="1293"/>
      <c r="DD428" s="1293"/>
      <c r="DE428" s="1293"/>
      <c r="DF428" s="1293"/>
      <c r="DG428" s="1293"/>
      <c r="DH428" s="1293"/>
      <c r="DI428" s="1293"/>
      <c r="DJ428" s="1293"/>
      <c r="DK428" s="1293"/>
      <c r="DL428" s="1293"/>
    </row>
    <row r="429" spans="1:116" ht="15.75">
      <c r="A429" s="1293"/>
      <c r="B429" s="1293"/>
      <c r="C429" s="1293"/>
      <c r="D429" s="1293"/>
      <c r="E429" s="1293"/>
      <c r="F429" s="1293"/>
      <c r="G429" s="1293"/>
      <c r="H429" s="1293"/>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c r="AH429" s="1293"/>
      <c r="AI429" s="1293"/>
      <c r="AJ429" s="2186"/>
      <c r="AK429" s="1293"/>
      <c r="AL429" s="1293"/>
      <c r="AM429" s="1293"/>
      <c r="AN429" s="1293"/>
      <c r="AO429" s="2186"/>
      <c r="AP429" s="1293"/>
      <c r="AQ429" s="1293"/>
      <c r="AR429" s="1293"/>
      <c r="AS429" s="1293"/>
      <c r="AT429" s="2186"/>
      <c r="AU429" s="1293"/>
      <c r="AV429" s="1293"/>
      <c r="AW429" s="1293"/>
      <c r="AX429" s="1293"/>
      <c r="AY429" s="2186"/>
      <c r="AZ429" s="1293"/>
      <c r="BA429" s="1293"/>
      <c r="BB429" s="1293"/>
      <c r="BC429" s="1293"/>
      <c r="BD429" s="2186"/>
      <c r="BE429" s="1293"/>
      <c r="BF429" s="1293"/>
      <c r="BG429" s="1293"/>
      <c r="BH429" s="1293"/>
      <c r="BI429" s="2186"/>
      <c r="BJ429" s="1293"/>
      <c r="BK429" s="1293"/>
      <c r="BL429" s="1293"/>
      <c r="BM429" s="1293"/>
      <c r="BN429" s="2186"/>
      <c r="BO429" s="1293"/>
      <c r="BP429" s="1293"/>
      <c r="BQ429" s="1293"/>
      <c r="BR429" s="1293"/>
      <c r="BS429" s="1293"/>
      <c r="BT429" s="1293"/>
      <c r="BU429" s="1293"/>
      <c r="BV429" s="1293"/>
      <c r="BW429" s="1293"/>
      <c r="BX429" s="1293"/>
      <c r="BY429" s="1293"/>
      <c r="BZ429" s="1293"/>
      <c r="CA429" s="1293"/>
      <c r="CB429" s="1293"/>
      <c r="CC429" s="1293"/>
      <c r="CD429" s="1293"/>
      <c r="CE429" s="1293"/>
      <c r="CF429" s="1293"/>
      <c r="CG429" s="1293"/>
      <c r="CH429" s="1293"/>
      <c r="CI429" s="1293"/>
      <c r="CJ429" s="1293"/>
      <c r="CK429" s="1293"/>
      <c r="CL429" s="1293"/>
      <c r="CM429" s="1293"/>
      <c r="CN429" s="1293"/>
      <c r="CO429" s="1293"/>
      <c r="CP429" s="1293"/>
      <c r="CQ429" s="1293"/>
      <c r="CR429" s="1293"/>
      <c r="CS429" s="1293"/>
      <c r="CT429" s="1293"/>
      <c r="CU429" s="1293"/>
      <c r="CV429" s="1293"/>
      <c r="CW429" s="1293"/>
      <c r="CX429" s="1293"/>
      <c r="CY429" s="2032"/>
      <c r="CZ429" s="1293"/>
      <c r="DA429" s="2031"/>
      <c r="DB429" s="2032"/>
      <c r="DC429" s="1293"/>
      <c r="DD429" s="1293"/>
      <c r="DE429" s="1293"/>
      <c r="DF429" s="1293"/>
      <c r="DG429" s="1293"/>
      <c r="DH429" s="1293"/>
      <c r="DI429" s="1293"/>
      <c r="DJ429" s="1293"/>
      <c r="DK429" s="1293"/>
      <c r="DL429" s="1293"/>
    </row>
    <row r="430" spans="1:116" ht="15.75">
      <c r="A430" s="1293"/>
      <c r="B430" s="1293"/>
      <c r="C430" s="1293"/>
      <c r="D430" s="1293"/>
      <c r="E430" s="1293"/>
      <c r="F430" s="1293"/>
      <c r="G430" s="1293"/>
      <c r="H430" s="1293"/>
      <c r="I430" s="1293"/>
      <c r="J430" s="1293"/>
      <c r="K430" s="1293"/>
      <c r="L430" s="1293"/>
      <c r="M430" s="1293"/>
      <c r="N430" s="1293"/>
      <c r="O430" s="1293"/>
      <c r="P430" s="1293"/>
      <c r="Q430" s="1293"/>
      <c r="R430" s="1293"/>
      <c r="S430" s="1293"/>
      <c r="T430" s="1293"/>
      <c r="U430" s="1293"/>
      <c r="V430" s="1293"/>
      <c r="W430" s="1293"/>
      <c r="X430" s="1293"/>
      <c r="Y430" s="1293"/>
      <c r="Z430" s="1293"/>
      <c r="AA430" s="1293"/>
      <c r="AB430" s="1293"/>
      <c r="AC430" s="1293"/>
      <c r="AD430" s="1293"/>
      <c r="AE430" s="1293"/>
      <c r="AF430" s="1293"/>
      <c r="AG430" s="1293"/>
      <c r="AH430" s="1293"/>
      <c r="AI430" s="1293"/>
      <c r="AJ430" s="2186"/>
      <c r="AK430" s="1293"/>
      <c r="AL430" s="1293"/>
      <c r="AM430" s="1293"/>
      <c r="AN430" s="1293"/>
      <c r="AO430" s="2186"/>
      <c r="AP430" s="1293"/>
      <c r="AQ430" s="1293"/>
      <c r="AR430" s="1293"/>
      <c r="AS430" s="1293"/>
      <c r="AT430" s="2186"/>
      <c r="AU430" s="1293"/>
      <c r="AV430" s="1293"/>
      <c r="AW430" s="1293"/>
      <c r="AX430" s="1293"/>
      <c r="AY430" s="2186"/>
      <c r="AZ430" s="1293"/>
      <c r="BA430" s="1293"/>
      <c r="BB430" s="1293"/>
      <c r="BC430" s="1293"/>
      <c r="BD430" s="2186"/>
      <c r="BE430" s="1293"/>
      <c r="BF430" s="1293"/>
      <c r="BG430" s="1293"/>
      <c r="BH430" s="1293"/>
      <c r="BI430" s="2186"/>
      <c r="BJ430" s="1293"/>
      <c r="BK430" s="1293"/>
      <c r="BL430" s="1293"/>
      <c r="BM430" s="1293"/>
      <c r="BN430" s="2186"/>
      <c r="BO430" s="1293"/>
      <c r="BP430" s="1293"/>
      <c r="BQ430" s="1293"/>
      <c r="BR430" s="1293"/>
      <c r="BS430" s="1293"/>
      <c r="BT430" s="1293"/>
      <c r="BU430" s="1293"/>
      <c r="BV430" s="1293"/>
      <c r="BW430" s="1293"/>
      <c r="BX430" s="1293"/>
      <c r="BY430" s="1293"/>
      <c r="BZ430" s="1293"/>
      <c r="CA430" s="1293"/>
      <c r="CB430" s="1293"/>
      <c r="CC430" s="1293"/>
      <c r="CD430" s="1293"/>
      <c r="CE430" s="1293"/>
      <c r="CF430" s="1293"/>
      <c r="CG430" s="1293"/>
      <c r="CH430" s="1293"/>
      <c r="CI430" s="1293"/>
      <c r="CJ430" s="1293"/>
      <c r="CK430" s="1293"/>
      <c r="CL430" s="1293"/>
      <c r="CM430" s="1293"/>
      <c r="CN430" s="1293"/>
      <c r="CO430" s="1293"/>
      <c r="CP430" s="1293"/>
      <c r="CQ430" s="1293"/>
      <c r="CR430" s="1293"/>
      <c r="CS430" s="1293"/>
      <c r="CT430" s="1293"/>
      <c r="CU430" s="1293"/>
      <c r="CV430" s="1293"/>
      <c r="CW430" s="1293"/>
      <c r="CX430" s="1293"/>
      <c r="CY430" s="2032"/>
      <c r="CZ430" s="1293"/>
      <c r="DA430" s="2031"/>
      <c r="DB430" s="2032"/>
      <c r="DC430" s="1293"/>
      <c r="DD430" s="1293"/>
      <c r="DE430" s="1293"/>
      <c r="DF430" s="1293"/>
      <c r="DG430" s="1293"/>
      <c r="DH430" s="1293"/>
      <c r="DI430" s="1293"/>
      <c r="DJ430" s="1293"/>
      <c r="DK430" s="1293"/>
      <c r="DL430" s="1293"/>
    </row>
    <row r="431" spans="1:116" ht="15.75">
      <c r="A431" s="1293"/>
      <c r="B431" s="1293"/>
      <c r="C431" s="1293"/>
      <c r="D431" s="1293"/>
      <c r="E431" s="1293"/>
      <c r="F431" s="1293"/>
      <c r="G431" s="1293"/>
      <c r="H431" s="1293"/>
      <c r="I431" s="1293"/>
      <c r="J431" s="1293"/>
      <c r="K431" s="1293"/>
      <c r="L431" s="1293"/>
      <c r="M431" s="1293"/>
      <c r="N431" s="1293"/>
      <c r="O431" s="1293"/>
      <c r="P431" s="1293"/>
      <c r="Q431" s="1293"/>
      <c r="R431" s="1293"/>
      <c r="S431" s="1293"/>
      <c r="T431" s="1293"/>
      <c r="U431" s="1293"/>
      <c r="V431" s="1293"/>
      <c r="W431" s="1293"/>
      <c r="X431" s="1293"/>
      <c r="Y431" s="1293"/>
      <c r="Z431" s="1293"/>
      <c r="AA431" s="1293"/>
      <c r="AB431" s="1293" t="str">
        <f t="shared" ref="AB431:AI431" si="494">AB1</f>
        <v>IFRS16</v>
      </c>
      <c r="AC431" s="1293" t="str">
        <f t="shared" si="494"/>
        <v>IFRS15</v>
      </c>
      <c r="AD431" s="1293" t="str">
        <f t="shared" si="494"/>
        <v>IFRS16</v>
      </c>
      <c r="AE431" s="1293" t="str">
        <f t="shared" si="494"/>
        <v>IFRS15</v>
      </c>
      <c r="AF431" s="1293" t="str">
        <f t="shared" si="494"/>
        <v>IFRS16</v>
      </c>
      <c r="AG431" s="1293" t="str">
        <f t="shared" si="494"/>
        <v>IFRS15</v>
      </c>
      <c r="AH431" s="1293" t="str">
        <f t="shared" si="494"/>
        <v>IFRS16</v>
      </c>
      <c r="AI431" s="1293" t="str">
        <f t="shared" si="494"/>
        <v>IFRS15</v>
      </c>
      <c r="AJ431" s="2186"/>
      <c r="AK431" s="1293"/>
      <c r="AL431" s="1293"/>
      <c r="AM431" s="1293"/>
      <c r="AN431" s="1293"/>
      <c r="AO431" s="2186"/>
      <c r="AP431" s="1293"/>
      <c r="AQ431" s="1293"/>
      <c r="AR431" s="1293"/>
      <c r="AS431" s="1293"/>
      <c r="AT431" s="2186"/>
      <c r="AU431" s="1293"/>
      <c r="AV431" s="1293"/>
      <c r="AW431" s="1293"/>
      <c r="AX431" s="1293"/>
      <c r="AY431" s="2186"/>
      <c r="AZ431" s="1293"/>
      <c r="BA431" s="1293"/>
      <c r="BB431" s="1293"/>
      <c r="BC431" s="1293"/>
      <c r="BD431" s="2186"/>
      <c r="BE431" s="1293"/>
      <c r="BF431" s="1293"/>
      <c r="BG431" s="1293"/>
      <c r="BH431" s="1293"/>
      <c r="BI431" s="2186"/>
      <c r="BJ431" s="1293"/>
      <c r="BK431" s="1293"/>
      <c r="BL431" s="1293"/>
      <c r="BM431" s="1293"/>
      <c r="BN431" s="2186"/>
      <c r="BO431" s="1293"/>
      <c r="BP431" s="1293"/>
      <c r="BQ431" s="1293"/>
      <c r="BR431" s="1293"/>
      <c r="BS431" s="1293"/>
      <c r="BT431" s="1293"/>
      <c r="BU431" s="1293"/>
      <c r="BV431" s="1293"/>
      <c r="BW431" s="1293"/>
      <c r="BX431" s="1293"/>
      <c r="BY431" s="1293"/>
      <c r="BZ431" s="1293"/>
      <c r="CA431" s="1293"/>
      <c r="CB431" s="1293"/>
      <c r="CC431" s="1293"/>
      <c r="CD431" s="1293"/>
      <c r="CE431" s="1293"/>
      <c r="CF431" s="1293"/>
      <c r="CG431" s="1293"/>
      <c r="CH431" s="1293"/>
      <c r="CI431" s="1293"/>
      <c r="CJ431" s="1293"/>
      <c r="CK431" s="1293"/>
      <c r="CL431" s="1293"/>
      <c r="CM431" s="1293"/>
      <c r="CN431" s="1293"/>
      <c r="CO431" s="1293"/>
      <c r="CP431" s="1293"/>
      <c r="CQ431" s="1293"/>
      <c r="CR431" s="1293"/>
      <c r="CS431" s="1293"/>
      <c r="CT431" s="1293"/>
      <c r="CU431" s="1293"/>
      <c r="CV431" s="1293"/>
      <c r="CW431" s="1293"/>
      <c r="CX431" s="1293"/>
      <c r="CY431" s="2032"/>
      <c r="CZ431" s="1293"/>
      <c r="DA431" s="2031"/>
      <c r="DB431" s="2032"/>
      <c r="DC431" s="1293"/>
      <c r="DD431" s="1293"/>
      <c r="DE431" s="1293"/>
      <c r="DF431" s="1293"/>
      <c r="DG431" s="1293"/>
      <c r="DH431" s="1293"/>
      <c r="DI431" s="1293"/>
      <c r="DJ431" s="1293"/>
      <c r="DK431" s="1293"/>
      <c r="DL431" s="1293"/>
    </row>
    <row r="432" spans="1:116" ht="15.75">
      <c r="A432" s="1293"/>
      <c r="B432" s="1293"/>
      <c r="C432" s="1293"/>
      <c r="D432" s="1293"/>
      <c r="E432" s="1293"/>
      <c r="F432" s="1293"/>
      <c r="G432" s="1293"/>
      <c r="H432" s="1293"/>
      <c r="I432" s="1293"/>
      <c r="J432" s="1293"/>
      <c r="K432" s="1293"/>
      <c r="L432" s="1293"/>
      <c r="M432" s="1293"/>
      <c r="N432" s="1293"/>
      <c r="O432" s="1293"/>
      <c r="P432" s="1293"/>
      <c r="Q432" s="1293"/>
      <c r="R432" s="1293"/>
      <c r="S432" s="1293"/>
      <c r="T432" s="1293"/>
      <c r="U432" s="1293"/>
      <c r="V432" s="1293"/>
      <c r="W432" s="1293"/>
      <c r="X432" s="1293"/>
      <c r="Y432" s="1293"/>
      <c r="Z432" s="1293"/>
      <c r="AA432" s="1293"/>
      <c r="AB432" s="1293"/>
      <c r="AC432" s="1293"/>
      <c r="AD432" s="1293"/>
      <c r="AE432" s="1293"/>
      <c r="AF432" s="1293"/>
      <c r="AG432" s="1293"/>
      <c r="AH432" s="1293"/>
      <c r="AI432" s="1293"/>
      <c r="AJ432" s="2186"/>
      <c r="AK432" s="1293"/>
      <c r="AL432" s="1293"/>
      <c r="AM432" s="1293"/>
      <c r="AN432" s="1293"/>
      <c r="AO432" s="2186"/>
      <c r="AP432" s="1293"/>
      <c r="AQ432" s="1293"/>
      <c r="AR432" s="1293"/>
      <c r="AS432" s="1293"/>
      <c r="AT432" s="2186"/>
      <c r="AU432" s="1293"/>
      <c r="AV432" s="1293"/>
      <c r="AW432" s="1293"/>
      <c r="AX432" s="1293"/>
      <c r="AY432" s="2186"/>
      <c r="AZ432" s="1293"/>
      <c r="BA432" s="1293"/>
      <c r="BB432" s="1293"/>
      <c r="BC432" s="1293"/>
      <c r="BD432" s="2186"/>
      <c r="BE432" s="1293"/>
      <c r="BF432" s="1293"/>
      <c r="BG432" s="1293"/>
      <c r="BH432" s="1293"/>
      <c r="BI432" s="2186"/>
      <c r="BJ432" s="1293"/>
      <c r="BK432" s="1293"/>
      <c r="BL432" s="1293"/>
      <c r="BM432" s="1293"/>
      <c r="BN432" s="2186"/>
      <c r="BO432" s="1293"/>
      <c r="BP432" s="1293"/>
      <c r="BQ432" s="1293"/>
      <c r="BR432" s="1293"/>
      <c r="BS432" s="1293"/>
      <c r="BT432" s="1293"/>
      <c r="BU432" s="1293"/>
      <c r="BV432" s="1293"/>
      <c r="BW432" s="1293"/>
      <c r="BX432" s="1293"/>
      <c r="BY432" s="1293"/>
      <c r="BZ432" s="1293"/>
      <c r="CA432" s="1293"/>
      <c r="CB432" s="1293"/>
      <c r="CC432" s="1293"/>
      <c r="CD432" s="1293"/>
      <c r="CE432" s="1293"/>
      <c r="CF432" s="1293"/>
      <c r="CG432" s="1293"/>
      <c r="CH432" s="1293"/>
      <c r="CI432" s="1293"/>
      <c r="CJ432" s="1293"/>
      <c r="CK432" s="1293"/>
      <c r="CL432" s="1293"/>
      <c r="CM432" s="1293"/>
      <c r="CN432" s="1293"/>
      <c r="CO432" s="1293"/>
      <c r="CP432" s="1293"/>
      <c r="CQ432" s="1293"/>
      <c r="CR432" s="1293"/>
      <c r="CS432" s="1293"/>
      <c r="CT432" s="1293"/>
      <c r="CU432" s="1293"/>
      <c r="CV432" s="1293"/>
      <c r="CW432" s="1293"/>
      <c r="CX432" s="1293"/>
      <c r="CY432" s="2032"/>
      <c r="CZ432" s="1293"/>
      <c r="DA432" s="2031"/>
      <c r="DB432" s="2032"/>
      <c r="DC432" s="1293"/>
      <c r="DD432" s="1293"/>
      <c r="DE432" s="1293"/>
      <c r="DF432" s="1293"/>
      <c r="DG432" s="1293"/>
      <c r="DH432" s="1293"/>
      <c r="DI432" s="1293"/>
      <c r="DJ432" s="1293"/>
      <c r="DK432" s="1293"/>
      <c r="DL432" s="1293"/>
    </row>
    <row r="433" spans="1:116" ht="15.75">
      <c r="A433" s="1293"/>
      <c r="B433" s="1293"/>
      <c r="C433" s="1293"/>
      <c r="D433" s="1293"/>
      <c r="E433" s="1293"/>
      <c r="F433" s="1293"/>
      <c r="G433" s="1293"/>
      <c r="H433" s="1293"/>
      <c r="I433" s="1293"/>
      <c r="J433" s="1293"/>
      <c r="K433" s="1293"/>
      <c r="L433" s="1293"/>
      <c r="M433" s="1293"/>
      <c r="N433" s="1293"/>
      <c r="O433" s="1293"/>
      <c r="P433" s="1293"/>
      <c r="Q433" s="1293"/>
      <c r="R433" s="1293"/>
      <c r="S433" s="1293"/>
      <c r="T433" s="1293"/>
      <c r="U433" s="1293"/>
      <c r="V433" s="1293"/>
      <c r="W433" s="1293"/>
      <c r="X433" s="1293"/>
      <c r="Y433" s="1293"/>
      <c r="Z433" s="1293"/>
      <c r="AA433" s="1293"/>
      <c r="AB433" s="1293"/>
      <c r="AC433" s="1293"/>
      <c r="AD433" s="1293"/>
      <c r="AE433" s="1293"/>
      <c r="AF433" s="1293"/>
      <c r="AG433" s="1293"/>
      <c r="AH433" s="1293"/>
      <c r="AI433" s="1293"/>
      <c r="AJ433" s="2186"/>
      <c r="AK433" s="1293"/>
      <c r="AL433" s="1293"/>
      <c r="AM433" s="1293"/>
      <c r="AN433" s="1293"/>
      <c r="AO433" s="2186"/>
      <c r="AP433" s="1293"/>
      <c r="AQ433" s="1293"/>
      <c r="AR433" s="1293"/>
      <c r="AS433" s="1293"/>
      <c r="AT433" s="2186"/>
      <c r="AU433" s="1293"/>
      <c r="AV433" s="1293"/>
      <c r="AW433" s="1293"/>
      <c r="AX433" s="1293"/>
      <c r="AY433" s="2186"/>
      <c r="AZ433" s="1293"/>
      <c r="BA433" s="1293"/>
      <c r="BB433" s="1293"/>
      <c r="BC433" s="1293"/>
      <c r="BD433" s="2186"/>
      <c r="BE433" s="1293"/>
      <c r="BF433" s="1293"/>
      <c r="BG433" s="1293"/>
      <c r="BH433" s="1293"/>
      <c r="BI433" s="2186"/>
      <c r="BJ433" s="1293"/>
      <c r="BK433" s="1293"/>
      <c r="BL433" s="1293"/>
      <c r="BM433" s="1293"/>
      <c r="BN433" s="2186"/>
      <c r="BO433" s="1293"/>
      <c r="BP433" s="1293"/>
      <c r="BQ433" s="1293"/>
      <c r="BR433" s="1293"/>
      <c r="BS433" s="1293"/>
      <c r="BT433" s="1293"/>
      <c r="BU433" s="1293"/>
      <c r="BV433" s="1293"/>
      <c r="BW433" s="1293"/>
      <c r="BX433" s="1293"/>
      <c r="BY433" s="1293"/>
      <c r="BZ433" s="1293"/>
      <c r="CA433" s="1293"/>
      <c r="CB433" s="1293"/>
      <c r="CC433" s="1293"/>
      <c r="CD433" s="1293"/>
      <c r="CE433" s="1293"/>
      <c r="CF433" s="1293"/>
      <c r="CG433" s="1293"/>
      <c r="CH433" s="1293"/>
      <c r="CI433" s="1293"/>
      <c r="CJ433" s="1293"/>
      <c r="CK433" s="1293"/>
      <c r="CL433" s="1293"/>
      <c r="CM433" s="1293"/>
      <c r="CN433" s="1293"/>
      <c r="CO433" s="1293"/>
      <c r="CP433" s="1293"/>
      <c r="CQ433" s="1293"/>
      <c r="CR433" s="1293"/>
      <c r="CS433" s="1293"/>
      <c r="CT433" s="1293"/>
      <c r="CU433" s="1293"/>
      <c r="CV433" s="1293"/>
      <c r="CW433" s="1293"/>
      <c r="CX433" s="1293"/>
      <c r="CY433" s="2032"/>
      <c r="CZ433" s="1293"/>
      <c r="DA433" s="2031"/>
      <c r="DB433" s="2032"/>
      <c r="DC433" s="1293"/>
      <c r="DD433" s="1293"/>
      <c r="DE433" s="1293"/>
      <c r="DF433" s="1293"/>
      <c r="DG433" s="1293"/>
      <c r="DH433" s="1293"/>
      <c r="DI433" s="1293"/>
      <c r="DJ433" s="1293"/>
      <c r="DK433" s="1293"/>
      <c r="DL433" s="1293"/>
    </row>
    <row r="434" spans="1:116" ht="15.75">
      <c r="A434" s="1293"/>
      <c r="B434" s="1293"/>
      <c r="C434" s="1293"/>
      <c r="D434" s="1293"/>
      <c r="E434" s="1293"/>
      <c r="F434" s="1293"/>
      <c r="G434" s="1293"/>
      <c r="H434" s="1293"/>
      <c r="I434" s="1293"/>
      <c r="J434" s="1293"/>
      <c r="K434" s="1293"/>
      <c r="L434" s="1293"/>
      <c r="M434" s="1293"/>
      <c r="N434" s="1293"/>
      <c r="O434" s="1293"/>
      <c r="P434" s="1293"/>
      <c r="Q434" s="1293"/>
      <c r="R434" s="1293"/>
      <c r="S434" s="1293"/>
      <c r="T434" s="1293"/>
      <c r="U434" s="1293"/>
      <c r="V434" s="1293"/>
      <c r="W434" s="1293"/>
      <c r="X434" s="1293"/>
      <c r="Y434" s="1293"/>
      <c r="Z434" s="1293"/>
      <c r="AA434" s="1293"/>
      <c r="AB434" s="1293"/>
      <c r="AC434" s="1293"/>
      <c r="AD434" s="1293"/>
      <c r="AE434" s="1293"/>
      <c r="AF434" s="1293"/>
      <c r="AG434" s="1293"/>
      <c r="AH434" s="1293"/>
      <c r="AI434" s="1293"/>
      <c r="AJ434" s="2186"/>
      <c r="AK434" s="1293"/>
      <c r="AL434" s="1293"/>
      <c r="AM434" s="1293"/>
      <c r="AN434" s="1293"/>
      <c r="AO434" s="2186"/>
      <c r="AP434" s="1293"/>
      <c r="AQ434" s="1293"/>
      <c r="AR434" s="1293"/>
      <c r="AS434" s="1293"/>
      <c r="AT434" s="2186"/>
      <c r="AU434" s="1293"/>
      <c r="AV434" s="1293"/>
      <c r="AW434" s="1293"/>
      <c r="AX434" s="1293"/>
      <c r="AY434" s="2186"/>
      <c r="AZ434" s="1293"/>
      <c r="BA434" s="1293"/>
      <c r="BB434" s="1293"/>
      <c r="BC434" s="1293"/>
      <c r="BD434" s="2186"/>
      <c r="BE434" s="1293"/>
      <c r="BF434" s="1293"/>
      <c r="BG434" s="1293"/>
      <c r="BH434" s="1293"/>
      <c r="BI434" s="2186"/>
      <c r="BJ434" s="1293"/>
      <c r="BK434" s="1293"/>
      <c r="BL434" s="1293"/>
      <c r="BM434" s="1293"/>
      <c r="BN434" s="2186"/>
      <c r="BO434" s="1293"/>
      <c r="BP434" s="1293"/>
      <c r="BQ434" s="1293"/>
      <c r="BR434" s="1293"/>
      <c r="BS434" s="1293"/>
      <c r="BT434" s="1293"/>
      <c r="BU434" s="1293"/>
      <c r="BV434" s="1293"/>
      <c r="BW434" s="1293"/>
      <c r="BX434" s="1293"/>
      <c r="BY434" s="1293"/>
      <c r="BZ434" s="1293"/>
      <c r="CA434" s="1293"/>
      <c r="CB434" s="1293"/>
      <c r="CC434" s="1293"/>
      <c r="CD434" s="1293"/>
      <c r="CE434" s="1293"/>
      <c r="CF434" s="1293"/>
      <c r="CG434" s="1293"/>
      <c r="CH434" s="1293"/>
      <c r="CI434" s="1293"/>
      <c r="CJ434" s="1293"/>
      <c r="CK434" s="1293"/>
      <c r="CL434" s="1293"/>
      <c r="CM434" s="1293"/>
      <c r="CN434" s="1293"/>
      <c r="CO434" s="1293"/>
      <c r="CP434" s="1293"/>
      <c r="CQ434" s="1293"/>
      <c r="CR434" s="1293"/>
      <c r="CS434" s="1293"/>
      <c r="CT434" s="1293"/>
      <c r="CU434" s="1293"/>
      <c r="CV434" s="1293"/>
      <c r="CW434" s="1293"/>
      <c r="CX434" s="1293"/>
      <c r="CY434" s="2032"/>
      <c r="CZ434" s="1293"/>
      <c r="DA434" s="2031"/>
      <c r="DB434" s="2032"/>
      <c r="DC434" s="1293"/>
      <c r="DD434" s="1293"/>
      <c r="DE434" s="1293"/>
      <c r="DF434" s="1293"/>
      <c r="DG434" s="1293"/>
      <c r="DH434" s="1293"/>
      <c r="DI434" s="1293"/>
      <c r="DJ434" s="1293"/>
      <c r="DK434" s="1293"/>
      <c r="DL434" s="1293"/>
    </row>
    <row r="435" spans="1:116" ht="15.75">
      <c r="A435" s="1293"/>
      <c r="B435" s="1293"/>
      <c r="C435" s="1293"/>
      <c r="D435" s="1293"/>
      <c r="E435" s="1293"/>
      <c r="F435" s="1293"/>
      <c r="G435" s="1293"/>
      <c r="H435" s="1293"/>
      <c r="I435" s="1293"/>
      <c r="J435" s="1293"/>
      <c r="K435" s="1293"/>
      <c r="L435" s="1293"/>
      <c r="M435" s="1293"/>
      <c r="N435" s="1293"/>
      <c r="O435" s="1293"/>
      <c r="P435" s="1293"/>
      <c r="Q435" s="1293"/>
      <c r="R435" s="1293"/>
      <c r="S435" s="1293"/>
      <c r="T435" s="1293"/>
      <c r="U435" s="1293"/>
      <c r="V435" s="1293"/>
      <c r="W435" s="1293"/>
      <c r="X435" s="1293"/>
      <c r="Y435" s="1293"/>
      <c r="Z435" s="1293"/>
      <c r="AA435" s="1293"/>
      <c r="AB435" s="1293"/>
      <c r="AC435" s="1293"/>
      <c r="AD435" s="1293"/>
      <c r="AE435" s="1293"/>
      <c r="AF435" s="1293"/>
      <c r="AG435" s="1293"/>
      <c r="AH435" s="1293"/>
      <c r="AI435" s="1293"/>
      <c r="AJ435" s="2186"/>
      <c r="AK435" s="1293"/>
      <c r="AL435" s="1293"/>
      <c r="AM435" s="1293"/>
      <c r="AN435" s="1293"/>
      <c r="AO435" s="2186"/>
      <c r="AP435" s="1293"/>
      <c r="AQ435" s="1293"/>
      <c r="AR435" s="1293"/>
      <c r="AS435" s="1293"/>
      <c r="AT435" s="2186"/>
      <c r="AU435" s="1293"/>
      <c r="AV435" s="1293"/>
      <c r="AW435" s="1293"/>
      <c r="AX435" s="1293"/>
      <c r="AY435" s="2186"/>
      <c r="AZ435" s="1293"/>
      <c r="BA435" s="1293"/>
      <c r="BB435" s="1293"/>
      <c r="BC435" s="1293"/>
      <c r="BD435" s="2186"/>
      <c r="BE435" s="1293"/>
      <c r="BF435" s="1293"/>
      <c r="BG435" s="1293"/>
      <c r="BH435" s="1293"/>
      <c r="BI435" s="2186"/>
      <c r="BJ435" s="1293"/>
      <c r="BK435" s="1293"/>
      <c r="BL435" s="1293"/>
      <c r="BM435" s="1293"/>
      <c r="BN435" s="2186"/>
      <c r="BO435" s="1293"/>
      <c r="BP435" s="1293"/>
      <c r="BQ435" s="1293"/>
      <c r="BR435" s="1293"/>
      <c r="BS435" s="1293"/>
      <c r="BT435" s="1293"/>
      <c r="BU435" s="1293"/>
      <c r="BV435" s="1293"/>
      <c r="BW435" s="1293"/>
      <c r="BX435" s="1293"/>
      <c r="BY435" s="1293"/>
      <c r="BZ435" s="1293"/>
      <c r="CA435" s="1293"/>
      <c r="CB435" s="1293"/>
      <c r="CC435" s="1293"/>
      <c r="CD435" s="1293"/>
      <c r="CE435" s="1293"/>
      <c r="CF435" s="1293"/>
      <c r="CG435" s="1293"/>
      <c r="CH435" s="1293"/>
      <c r="CI435" s="1293"/>
      <c r="CJ435" s="1293"/>
      <c r="CK435" s="1293"/>
      <c r="CL435" s="1293"/>
      <c r="CM435" s="1293"/>
      <c r="CN435" s="1293"/>
      <c r="CO435" s="1293"/>
      <c r="CP435" s="1293"/>
      <c r="CQ435" s="1293"/>
      <c r="CR435" s="1293"/>
      <c r="CS435" s="1293"/>
      <c r="CT435" s="1293"/>
      <c r="CU435" s="1293"/>
      <c r="CV435" s="1293"/>
      <c r="CW435" s="1293"/>
      <c r="CX435" s="1293"/>
      <c r="CY435" s="2032"/>
      <c r="CZ435" s="1293"/>
      <c r="DA435" s="2031"/>
      <c r="DB435" s="2032"/>
      <c r="DC435" s="1293"/>
      <c r="DD435" s="1293"/>
      <c r="DE435" s="1293"/>
      <c r="DF435" s="1293"/>
      <c r="DG435" s="1293"/>
      <c r="DH435" s="1293"/>
      <c r="DI435" s="1293"/>
      <c r="DJ435" s="1293"/>
      <c r="DK435" s="1293"/>
      <c r="DL435" s="1293"/>
    </row>
    <row r="436" spans="1:116" ht="15.75">
      <c r="A436" s="1293"/>
      <c r="B436" s="2033" t="s">
        <v>856</v>
      </c>
      <c r="C436" s="1293"/>
      <c r="D436" s="1293"/>
      <c r="E436" s="1293"/>
      <c r="F436" s="1293"/>
      <c r="G436" s="1293"/>
      <c r="H436" s="1293"/>
      <c r="I436" s="1293"/>
      <c r="J436" s="1293"/>
      <c r="K436" s="1293"/>
      <c r="L436" s="1293"/>
      <c r="M436" s="1293"/>
      <c r="N436" s="1293"/>
      <c r="O436" s="1293"/>
      <c r="P436" s="1293"/>
      <c r="Q436" s="1293"/>
      <c r="R436" s="1293"/>
      <c r="S436" s="1293"/>
      <c r="T436" s="1293"/>
      <c r="U436" s="1293"/>
      <c r="V436" s="1293"/>
      <c r="W436" s="1293"/>
      <c r="X436" s="1293"/>
      <c r="Y436" s="1293"/>
      <c r="Z436" s="1293"/>
      <c r="AA436" s="1293"/>
      <c r="AB436" s="1883" t="str">
        <f t="shared" ref="AB436:AI436" si="495">AB2</f>
        <v>Q1 19</v>
      </c>
      <c r="AC436" s="1883" t="str">
        <f t="shared" si="495"/>
        <v>Q1 19</v>
      </c>
      <c r="AD436" s="1883" t="str">
        <f t="shared" si="495"/>
        <v>Q2 19</v>
      </c>
      <c r="AE436" s="1883" t="str">
        <f t="shared" si="495"/>
        <v>Q2 19</v>
      </c>
      <c r="AF436" s="1883" t="str">
        <f t="shared" si="495"/>
        <v>Q3 19</v>
      </c>
      <c r="AG436" s="1883" t="str">
        <f t="shared" si="495"/>
        <v>Q3 19</v>
      </c>
      <c r="AH436" s="1883" t="str">
        <f t="shared" si="495"/>
        <v>Q4 19</v>
      </c>
      <c r="AI436" s="1883" t="str">
        <f t="shared" si="495"/>
        <v>Q4 19</v>
      </c>
      <c r="AJ436" s="2186"/>
      <c r="AK436" s="1883" t="str">
        <f>AK2</f>
        <v>Q1 20</v>
      </c>
      <c r="AL436" s="1883" t="str">
        <f>AL2</f>
        <v>Q2 20</v>
      </c>
      <c r="AM436" s="1883" t="str">
        <f>AM2</f>
        <v>Q3 20</v>
      </c>
      <c r="AN436" s="1883" t="str">
        <f>AN2</f>
        <v>Q4 20</v>
      </c>
      <c r="AO436" s="2190">
        <v>2020</v>
      </c>
      <c r="AP436" s="1883" t="str">
        <f>AP382</f>
        <v>Q1 21</v>
      </c>
      <c r="AQ436" s="1883" t="str">
        <f>AQ382</f>
        <v>Q2 21</v>
      </c>
      <c r="AR436" s="1883" t="str">
        <f>AR382</f>
        <v>Q3 21</v>
      </c>
      <c r="AS436" s="1883" t="str">
        <f>AS382</f>
        <v>Q4 21</v>
      </c>
      <c r="AT436" s="2190">
        <f>AT2</f>
        <v>2021</v>
      </c>
      <c r="AU436" s="1883" t="str">
        <f>AU382</f>
        <v>Q1 22</v>
      </c>
      <c r="AV436" s="1883" t="str">
        <f>AV382</f>
        <v>Q2 22</v>
      </c>
      <c r="AW436" s="1883" t="str">
        <f>AW382</f>
        <v>Q3 22</v>
      </c>
      <c r="AX436" s="1883" t="str">
        <f>AX382</f>
        <v>Q4 22</v>
      </c>
      <c r="AY436" s="2190">
        <f>AY2</f>
        <v>2022</v>
      </c>
      <c r="AZ436" s="1883" t="str">
        <f>AZ382</f>
        <v>Q1 23</v>
      </c>
      <c r="BA436" s="1883" t="str">
        <f>BA382</f>
        <v>Q2 23</v>
      </c>
      <c r="BB436" s="1883" t="str">
        <f>BB382</f>
        <v>Q3 23</v>
      </c>
      <c r="BC436" s="1883" t="str">
        <f>BC382</f>
        <v>Q4 23</v>
      </c>
      <c r="BD436" s="2190">
        <f>BD2</f>
        <v>2023</v>
      </c>
      <c r="BE436" s="1883" t="str">
        <f>BE382</f>
        <v>Q1 24</v>
      </c>
      <c r="BF436" s="1883" t="str">
        <f>BF382</f>
        <v>Q2 24</v>
      </c>
      <c r="BG436" s="1883" t="str">
        <f>BG382</f>
        <v>Q3 24</v>
      </c>
      <c r="BH436" s="1883" t="str">
        <f>BH382</f>
        <v>Q4 24</v>
      </c>
      <c r="BI436" s="2190">
        <f>BI2</f>
        <v>2024</v>
      </c>
      <c r="BJ436" s="1883" t="str">
        <f>BJ382</f>
        <v>Q1 25</v>
      </c>
      <c r="BK436" s="1883" t="str">
        <f>BK382</f>
        <v>Q2 25</v>
      </c>
      <c r="BL436" s="1883" t="str">
        <f>BL382</f>
        <v>Q3 25</v>
      </c>
      <c r="BM436" s="1883" t="str">
        <f>BM382</f>
        <v>Q4 25</v>
      </c>
      <c r="BN436" s="2190">
        <f>BN2</f>
        <v>2025</v>
      </c>
      <c r="BO436" s="1323"/>
      <c r="BP436" s="1323"/>
      <c r="BQ436" s="1293"/>
      <c r="BR436" s="1293"/>
      <c r="BS436" s="1293"/>
      <c r="BT436" s="1293"/>
      <c r="BU436" s="1293"/>
      <c r="BV436" s="1293"/>
      <c r="BW436" s="1293"/>
      <c r="BX436" s="1293"/>
      <c r="BY436" s="1293"/>
      <c r="BZ436" s="1293"/>
      <c r="CA436" s="1293"/>
      <c r="CB436" s="1293"/>
      <c r="CC436" s="1293"/>
      <c r="CD436" s="1293"/>
      <c r="CE436" s="1293"/>
      <c r="CF436" s="1293"/>
      <c r="CG436" s="1293"/>
      <c r="CH436" s="1293"/>
      <c r="CI436" s="1293"/>
      <c r="CJ436" s="1293"/>
      <c r="CK436" s="1293"/>
      <c r="CL436" s="1293"/>
      <c r="CM436" s="1293"/>
      <c r="CN436" s="1293"/>
      <c r="CO436" s="1293"/>
      <c r="CP436" s="1293"/>
      <c r="CQ436" s="1293"/>
      <c r="CR436" s="1293"/>
      <c r="CS436" s="1293"/>
      <c r="CT436" s="1293"/>
      <c r="CU436" s="1293"/>
      <c r="CV436" s="1293"/>
      <c r="CW436" s="1293"/>
      <c r="CX436" s="1293"/>
      <c r="CY436" s="2036" t="s">
        <v>7795</v>
      </c>
      <c r="CZ436" s="1883" t="str">
        <f>CZ382</f>
        <v>Q3 23e</v>
      </c>
      <c r="DA436" s="2037" t="s">
        <v>8571</v>
      </c>
      <c r="DB436" s="2038" t="s">
        <v>8572</v>
      </c>
      <c r="DC436" s="1293"/>
      <c r="DD436" s="1293"/>
      <c r="DE436" s="1293"/>
      <c r="DF436" s="1293"/>
      <c r="DG436" s="1293"/>
      <c r="DH436" s="1293"/>
      <c r="DI436" s="1293"/>
      <c r="DJ436" s="1293"/>
      <c r="DK436" s="1293"/>
      <c r="DL436" s="1293"/>
    </row>
    <row r="437" spans="1:116" s="463" customFormat="1" ht="15.75">
      <c r="A437" s="1293"/>
      <c r="B437" s="1293" t="str">
        <f>B34</f>
        <v>Total revenue</v>
      </c>
      <c r="C437" s="1666"/>
      <c r="D437" s="1666"/>
      <c r="E437" s="1666"/>
      <c r="F437" s="1666"/>
      <c r="G437" s="1665"/>
      <c r="H437" s="1666"/>
      <c r="I437" s="1666"/>
      <c r="J437" s="1666"/>
      <c r="K437" s="1666"/>
      <c r="L437" s="1665"/>
      <c r="M437" s="1666"/>
      <c r="N437" s="1666"/>
      <c r="O437" s="1666"/>
      <c r="P437" s="1666"/>
      <c r="Q437" s="1666"/>
      <c r="R437" s="1666"/>
      <c r="S437" s="1666"/>
      <c r="T437" s="1666"/>
      <c r="U437" s="1666"/>
      <c r="V437" s="1327"/>
      <c r="W437" s="1666"/>
      <c r="X437" s="1666"/>
      <c r="Y437" s="1666"/>
      <c r="Z437" s="1666"/>
      <c r="AA437" s="1327"/>
      <c r="AB437" s="1666"/>
      <c r="AC437" s="1666"/>
      <c r="AD437" s="1666"/>
      <c r="AE437" s="1666"/>
      <c r="AF437" s="1666"/>
      <c r="AG437" s="1666"/>
      <c r="AH437" s="1666"/>
      <c r="AI437" s="1666"/>
      <c r="AJ437" s="2185"/>
      <c r="AK437" s="1666"/>
      <c r="AL437" s="1666"/>
      <c r="AM437" s="1666"/>
      <c r="AN437" s="1666"/>
      <c r="AO437" s="2185"/>
      <c r="AP437" s="1666">
        <f t="shared" ref="AP437:BI437" si="496">AP34</f>
        <v>1618</v>
      </c>
      <c r="AQ437" s="1666">
        <f t="shared" si="496"/>
        <v>1633</v>
      </c>
      <c r="AR437" s="1666">
        <f t="shared" si="496"/>
        <v>1634</v>
      </c>
      <c r="AS437" s="1666">
        <f t="shared" si="496"/>
        <v>1687</v>
      </c>
      <c r="AT437" s="2212">
        <f t="shared" si="496"/>
        <v>6572</v>
      </c>
      <c r="AU437" s="1666">
        <f t="shared" si="496"/>
        <v>1408</v>
      </c>
      <c r="AV437" s="1666">
        <f t="shared" si="496"/>
        <v>1447.26</v>
      </c>
      <c r="AW437" s="1666">
        <f t="shared" si="496"/>
        <v>1388</v>
      </c>
      <c r="AX437" s="1666">
        <f t="shared" si="496"/>
        <v>1381.27</v>
      </c>
      <c r="AY437" s="2212">
        <f t="shared" si="496"/>
        <v>5624.5300000000007</v>
      </c>
      <c r="AZ437" s="1666">
        <f t="shared" si="496"/>
        <v>1369</v>
      </c>
      <c r="BA437" s="1666">
        <f t="shared" si="496"/>
        <v>1393</v>
      </c>
      <c r="BB437" s="1666">
        <f t="shared" si="496"/>
        <v>1424</v>
      </c>
      <c r="BC437" s="1666">
        <f t="shared" si="496"/>
        <v>1475</v>
      </c>
      <c r="BD437" s="2212">
        <f t="shared" si="496"/>
        <v>5661</v>
      </c>
      <c r="BE437" s="1666">
        <f t="shared" si="496"/>
        <v>1487</v>
      </c>
      <c r="BF437" s="1666">
        <f t="shared" si="496"/>
        <v>1458</v>
      </c>
      <c r="BG437" s="1666">
        <f t="shared" si="496"/>
        <v>1431</v>
      </c>
      <c r="BH437" s="1666">
        <f t="shared" si="496"/>
        <v>1428.2592</v>
      </c>
      <c r="BI437" s="2212">
        <f t="shared" si="496"/>
        <v>5804.2592000000004</v>
      </c>
      <c r="BJ437" s="1666">
        <f>BJ34</f>
        <v>1355.7484013629889</v>
      </c>
      <c r="BK437" s="1666">
        <f t="shared" ref="BK437:BM437" si="497">BK34</f>
        <v>1373.1609408742333</v>
      </c>
      <c r="BL437" s="1666">
        <f t="shared" si="497"/>
        <v>1378.794674174997</v>
      </c>
      <c r="BM437" s="1666">
        <f t="shared" si="497"/>
        <v>1416.2506749713193</v>
      </c>
      <c r="BN437" s="2212">
        <f>BN34</f>
        <v>5523.9546913835384</v>
      </c>
      <c r="BO437" s="1327"/>
      <c r="BP437" s="2213"/>
      <c r="BQ437" s="1293"/>
      <c r="BR437" s="1293"/>
      <c r="BS437" s="1293"/>
      <c r="BT437" s="1327"/>
      <c r="BU437" s="1327"/>
      <c r="BV437" s="1293"/>
      <c r="BW437" s="1293"/>
      <c r="BX437" s="1293"/>
      <c r="BY437" s="1293"/>
      <c r="BZ437" s="1293"/>
      <c r="CA437" s="1293"/>
      <c r="CB437" s="1293"/>
      <c r="CC437" s="1293"/>
      <c r="CD437" s="1293"/>
      <c r="CE437" s="1293"/>
      <c r="CF437" s="1293"/>
      <c r="CG437" s="1293"/>
      <c r="CH437" s="1293"/>
      <c r="CI437" s="1293"/>
      <c r="CJ437" s="1293"/>
      <c r="CK437" s="1293"/>
      <c r="CL437" s="1293"/>
      <c r="CM437" s="1293"/>
      <c r="CN437" s="1293"/>
      <c r="CO437" s="1293"/>
      <c r="CP437" s="1293"/>
      <c r="CQ437" s="1293"/>
      <c r="CR437" s="1293"/>
      <c r="CS437" s="1293"/>
      <c r="CT437" s="1293"/>
      <c r="CU437" s="1293"/>
      <c r="CV437" s="1293"/>
      <c r="CW437" s="1293"/>
      <c r="CX437" s="1293"/>
      <c r="CY437" s="2188"/>
      <c r="CZ437" s="1666"/>
      <c r="DA437" s="2214"/>
      <c r="DB437" s="2215"/>
      <c r="DC437" s="1293"/>
      <c r="DD437" s="1293"/>
      <c r="DE437" s="1293"/>
      <c r="DF437" s="1293"/>
      <c r="DG437" s="1293"/>
      <c r="DH437" s="1293"/>
      <c r="DI437" s="1293"/>
      <c r="DJ437" s="1293"/>
      <c r="DK437" s="1293"/>
      <c r="DL437" s="1293"/>
    </row>
    <row r="438" spans="1:116" s="463" customFormat="1" ht="15.75">
      <c r="A438" s="1293"/>
      <c r="B438" s="1293"/>
      <c r="C438" s="1666"/>
      <c r="D438" s="1666"/>
      <c r="E438" s="1666"/>
      <c r="F438" s="1666"/>
      <c r="G438" s="1665"/>
      <c r="H438" s="1666"/>
      <c r="I438" s="1666"/>
      <c r="J438" s="1666"/>
      <c r="K438" s="1666"/>
      <c r="L438" s="1665"/>
      <c r="M438" s="1666"/>
      <c r="N438" s="1666"/>
      <c r="O438" s="1666"/>
      <c r="P438" s="1666"/>
      <c r="Q438" s="1666"/>
      <c r="R438" s="1666"/>
      <c r="S438" s="1666"/>
      <c r="T438" s="1666"/>
      <c r="U438" s="1666"/>
      <c r="V438" s="1327"/>
      <c r="W438" s="1666"/>
      <c r="X438" s="1666"/>
      <c r="Y438" s="1666"/>
      <c r="Z438" s="1666"/>
      <c r="AA438" s="1327"/>
      <c r="AB438" s="1666"/>
      <c r="AC438" s="1666"/>
      <c r="AD438" s="1666"/>
      <c r="AE438" s="1666"/>
      <c r="AF438" s="1666"/>
      <c r="AG438" s="1666"/>
      <c r="AH438" s="1666"/>
      <c r="AI438" s="1666"/>
      <c r="AJ438" s="2185"/>
      <c r="AK438" s="1666"/>
      <c r="AL438" s="1666"/>
      <c r="AM438" s="1666"/>
      <c r="AN438" s="1666"/>
      <c r="AO438" s="2185"/>
      <c r="AP438" s="1666"/>
      <c r="AQ438" s="1666"/>
      <c r="AR438" s="1666"/>
      <c r="AS438" s="1666"/>
      <c r="AT438" s="2185"/>
      <c r="AU438" s="1666"/>
      <c r="AV438" s="1666"/>
      <c r="AW438" s="1666"/>
      <c r="AX438" s="1666"/>
      <c r="AY438" s="2185"/>
      <c r="AZ438" s="1666"/>
      <c r="BA438" s="1666"/>
      <c r="BB438" s="1666"/>
      <c r="BC438" s="1327"/>
      <c r="BD438" s="2185"/>
      <c r="BE438" s="1666"/>
      <c r="BF438" s="1666"/>
      <c r="BG438" s="1666"/>
      <c r="BH438" s="1327"/>
      <c r="BI438" s="2185"/>
      <c r="BJ438" s="1666"/>
      <c r="BK438" s="1666"/>
      <c r="BL438" s="1666"/>
      <c r="BM438" s="1666"/>
      <c r="BN438" s="2185"/>
      <c r="BO438" s="1327"/>
      <c r="BP438" s="2213"/>
      <c r="BQ438" s="1293"/>
      <c r="BR438" s="1293"/>
      <c r="BS438" s="1293"/>
      <c r="BT438" s="1327"/>
      <c r="BU438" s="1327"/>
      <c r="BV438" s="1293"/>
      <c r="BW438" s="1293"/>
      <c r="BX438" s="1293"/>
      <c r="BY438" s="1293"/>
      <c r="BZ438" s="1293"/>
      <c r="CA438" s="1293"/>
      <c r="CB438" s="1293"/>
      <c r="CC438" s="1293"/>
      <c r="CD438" s="1293"/>
      <c r="CE438" s="1293"/>
      <c r="CF438" s="1293"/>
      <c r="CG438" s="1293"/>
      <c r="CH438" s="1293"/>
      <c r="CI438" s="1293"/>
      <c r="CJ438" s="1293"/>
      <c r="CK438" s="1293"/>
      <c r="CL438" s="1293"/>
      <c r="CM438" s="1293"/>
      <c r="CN438" s="1293"/>
      <c r="CO438" s="1293"/>
      <c r="CP438" s="1293"/>
      <c r="CQ438" s="1293"/>
      <c r="CR438" s="1293"/>
      <c r="CS438" s="1293"/>
      <c r="CT438" s="1293"/>
      <c r="CU438" s="1293"/>
      <c r="CV438" s="1293"/>
      <c r="CW438" s="1293"/>
      <c r="CX438" s="1293"/>
      <c r="CY438" s="2188"/>
      <c r="CZ438" s="1666"/>
      <c r="DA438" s="2214"/>
      <c r="DB438" s="2215"/>
      <c r="DC438" s="1293"/>
      <c r="DD438" s="1293"/>
      <c r="DE438" s="1293"/>
      <c r="DF438" s="1293"/>
      <c r="DG438" s="1293"/>
      <c r="DH438" s="1293"/>
      <c r="DI438" s="1293"/>
      <c r="DJ438" s="1293"/>
      <c r="DK438" s="1293"/>
      <c r="DL438" s="1293"/>
    </row>
    <row r="439" spans="1:116" s="463" customFormat="1" ht="15.75">
      <c r="A439" s="1293"/>
      <c r="B439" s="1293" t="str">
        <f>B137</f>
        <v>Reported EBITDA</v>
      </c>
      <c r="C439" s="1666"/>
      <c r="D439" s="1666"/>
      <c r="E439" s="1666"/>
      <c r="F439" s="1666"/>
      <c r="G439" s="1665"/>
      <c r="H439" s="1666"/>
      <c r="I439" s="1666"/>
      <c r="J439" s="1666"/>
      <c r="K439" s="1666"/>
      <c r="L439" s="1665"/>
      <c r="M439" s="1666"/>
      <c r="N439" s="1666"/>
      <c r="O439" s="1666"/>
      <c r="P439" s="1666"/>
      <c r="Q439" s="1666"/>
      <c r="R439" s="1666"/>
      <c r="S439" s="1666"/>
      <c r="T439" s="1666"/>
      <c r="U439" s="1666"/>
      <c r="V439" s="1327"/>
      <c r="W439" s="1666"/>
      <c r="X439" s="1666"/>
      <c r="Y439" s="1666"/>
      <c r="Z439" s="1666"/>
      <c r="AA439" s="1327"/>
      <c r="AB439" s="1666"/>
      <c r="AC439" s="1666"/>
      <c r="AD439" s="1666"/>
      <c r="AE439" s="1666"/>
      <c r="AF439" s="1666"/>
      <c r="AG439" s="1666"/>
      <c r="AH439" s="1666"/>
      <c r="AI439" s="1666"/>
      <c r="AJ439" s="2185"/>
      <c r="AK439" s="1666"/>
      <c r="AL439" s="1666"/>
      <c r="AM439" s="1666"/>
      <c r="AN439" s="1666"/>
      <c r="AO439" s="2185"/>
      <c r="AP439" s="1666">
        <f t="shared" ref="AP439:BI439" si="498">AP137</f>
        <v>669</v>
      </c>
      <c r="AQ439" s="1666">
        <f t="shared" si="498"/>
        <v>654</v>
      </c>
      <c r="AR439" s="1666">
        <f t="shared" si="498"/>
        <v>648</v>
      </c>
      <c r="AS439" s="1666">
        <f t="shared" si="498"/>
        <v>642</v>
      </c>
      <c r="AT439" s="2212">
        <f t="shared" si="498"/>
        <v>2613</v>
      </c>
      <c r="AU439" s="1666">
        <f t="shared" si="498"/>
        <v>563.90809999999999</v>
      </c>
      <c r="AV439" s="1666">
        <f t="shared" si="498"/>
        <v>577.10850000000005</v>
      </c>
      <c r="AW439" s="1666">
        <f t="shared" si="498"/>
        <v>539.1377</v>
      </c>
      <c r="AX439" s="1666">
        <f t="shared" si="498"/>
        <v>547.98069999999996</v>
      </c>
      <c r="AY439" s="2212">
        <f t="shared" si="498"/>
        <v>2228.1349999999998</v>
      </c>
      <c r="AZ439" s="1666">
        <f t="shared" si="498"/>
        <v>507.2749</v>
      </c>
      <c r="BA439" s="1666">
        <f t="shared" si="498"/>
        <v>514.92719999999997</v>
      </c>
      <c r="BB439" s="1666">
        <f t="shared" si="498"/>
        <v>532.58169999999996</v>
      </c>
      <c r="BC439" s="1666">
        <f t="shared" si="498"/>
        <v>556.50170000000003</v>
      </c>
      <c r="BD439" s="2212">
        <f t="shared" si="498"/>
        <v>2111.2855</v>
      </c>
      <c r="BE439" s="1666">
        <f t="shared" si="498"/>
        <v>631.80830000000003</v>
      </c>
      <c r="BF439" s="1666">
        <f t="shared" si="498"/>
        <v>633.90470000000005</v>
      </c>
      <c r="BG439" s="1666">
        <f t="shared" si="498"/>
        <v>585.03099999999995</v>
      </c>
      <c r="BH439" s="1666">
        <f t="shared" si="498"/>
        <v>617.90179999999998</v>
      </c>
      <c r="BI439" s="2212">
        <f t="shared" si="498"/>
        <v>2468.6458000000002</v>
      </c>
      <c r="BJ439" s="1666">
        <f>BJ137</f>
        <v>587.5</v>
      </c>
      <c r="BK439" s="1666">
        <f t="shared" ref="BK439:BM439" si="499">BK137</f>
        <v>602.5</v>
      </c>
      <c r="BL439" s="1666">
        <f t="shared" si="499"/>
        <v>602.5</v>
      </c>
      <c r="BM439" s="1666">
        <f t="shared" si="499"/>
        <v>589.185419914671</v>
      </c>
      <c r="BN439" s="2212">
        <f>BN137</f>
        <v>2381.685419914671</v>
      </c>
      <c r="BO439" s="1327"/>
      <c r="BP439" s="2213"/>
      <c r="BQ439" s="1293"/>
      <c r="BR439" s="1293"/>
      <c r="BS439" s="1293"/>
      <c r="BT439" s="1327"/>
      <c r="BU439" s="1327"/>
      <c r="BV439" s="1293"/>
      <c r="BW439" s="1293"/>
      <c r="BX439" s="1293"/>
      <c r="BY439" s="1293"/>
      <c r="BZ439" s="1293"/>
      <c r="CA439" s="1293"/>
      <c r="CB439" s="1293"/>
      <c r="CC439" s="1293"/>
      <c r="CD439" s="1293"/>
      <c r="CE439" s="1293"/>
      <c r="CF439" s="1293"/>
      <c r="CG439" s="1293"/>
      <c r="CH439" s="1293"/>
      <c r="CI439" s="1293"/>
      <c r="CJ439" s="1293"/>
      <c r="CK439" s="1293"/>
      <c r="CL439" s="1293"/>
      <c r="CM439" s="1293"/>
      <c r="CN439" s="1293"/>
      <c r="CO439" s="1293"/>
      <c r="CP439" s="1293"/>
      <c r="CQ439" s="1293"/>
      <c r="CR439" s="1293"/>
      <c r="CS439" s="1293"/>
      <c r="CT439" s="1293"/>
      <c r="CU439" s="1293"/>
      <c r="CV439" s="1293"/>
      <c r="CW439" s="1293"/>
      <c r="CX439" s="1293"/>
      <c r="CY439" s="2188"/>
      <c r="CZ439" s="1666"/>
      <c r="DA439" s="2214"/>
      <c r="DB439" s="2215"/>
      <c r="DC439" s="1293"/>
      <c r="DD439" s="1293"/>
      <c r="DE439" s="1293"/>
      <c r="DF439" s="1293"/>
      <c r="DG439" s="1293"/>
      <c r="DH439" s="1293"/>
      <c r="DI439" s="1293"/>
      <c r="DJ439" s="1293"/>
      <c r="DK439" s="1293"/>
      <c r="DL439" s="1293"/>
    </row>
    <row r="440" spans="1:116" s="463" customFormat="1" ht="15.75">
      <c r="A440" s="1293"/>
      <c r="B440" s="1293"/>
      <c r="C440" s="1666"/>
      <c r="D440" s="1666"/>
      <c r="E440" s="1666"/>
      <c r="F440" s="1666"/>
      <c r="G440" s="1665"/>
      <c r="H440" s="1666"/>
      <c r="I440" s="1666"/>
      <c r="J440" s="1666"/>
      <c r="K440" s="1666"/>
      <c r="L440" s="1665"/>
      <c r="M440" s="1666"/>
      <c r="N440" s="1666"/>
      <c r="O440" s="1666"/>
      <c r="P440" s="1666"/>
      <c r="Q440" s="1666"/>
      <c r="R440" s="1666"/>
      <c r="S440" s="1666"/>
      <c r="T440" s="1666"/>
      <c r="U440" s="1666"/>
      <c r="V440" s="1327"/>
      <c r="W440" s="1666"/>
      <c r="X440" s="1666"/>
      <c r="Y440" s="1666"/>
      <c r="Z440" s="1666"/>
      <c r="AA440" s="1327"/>
      <c r="AB440" s="1666"/>
      <c r="AC440" s="1666"/>
      <c r="AD440" s="1666"/>
      <c r="AE440" s="1666"/>
      <c r="AF440" s="1666"/>
      <c r="AG440" s="1666"/>
      <c r="AH440" s="1666"/>
      <c r="AI440" s="1666"/>
      <c r="AJ440" s="2185"/>
      <c r="AK440" s="1666"/>
      <c r="AL440" s="1666"/>
      <c r="AM440" s="1666"/>
      <c r="AN440" s="1666"/>
      <c r="AO440" s="2185"/>
      <c r="AP440" s="1666"/>
      <c r="AQ440" s="1666"/>
      <c r="AR440" s="1666"/>
      <c r="AS440" s="1666"/>
      <c r="AT440" s="2185"/>
      <c r="AU440" s="1666"/>
      <c r="AV440" s="1666"/>
      <c r="AW440" s="1666"/>
      <c r="AX440" s="1666"/>
      <c r="AY440" s="2185"/>
      <c r="AZ440" s="1666"/>
      <c r="BA440" s="1666"/>
      <c r="BB440" s="1666"/>
      <c r="BC440" s="1327"/>
      <c r="BD440" s="2185"/>
      <c r="BE440" s="1666"/>
      <c r="BF440" s="1666"/>
      <c r="BG440" s="1666"/>
      <c r="BH440" s="1327"/>
      <c r="BI440" s="2185"/>
      <c r="BJ440" s="1666"/>
      <c r="BK440" s="1666"/>
      <c r="BL440" s="1666"/>
      <c r="BM440" s="1666"/>
      <c r="BN440" s="2185"/>
      <c r="BO440" s="1327"/>
      <c r="BP440" s="2213"/>
      <c r="BQ440" s="1293"/>
      <c r="BR440" s="1293"/>
      <c r="BS440" s="1293"/>
      <c r="BT440" s="1327"/>
      <c r="BU440" s="1327"/>
      <c r="BV440" s="1293"/>
      <c r="BW440" s="1293"/>
      <c r="BX440" s="1293"/>
      <c r="BY440" s="1293"/>
      <c r="BZ440" s="1293"/>
      <c r="CA440" s="1293"/>
      <c r="CB440" s="1293"/>
      <c r="CC440" s="1293"/>
      <c r="CD440" s="1293"/>
      <c r="CE440" s="1293"/>
      <c r="CF440" s="1293"/>
      <c r="CG440" s="1293"/>
      <c r="CH440" s="1293"/>
      <c r="CI440" s="1293"/>
      <c r="CJ440" s="1293"/>
      <c r="CK440" s="1293"/>
      <c r="CL440" s="1293"/>
      <c r="CM440" s="1293"/>
      <c r="CN440" s="1293"/>
      <c r="CO440" s="1293"/>
      <c r="CP440" s="1293"/>
      <c r="CQ440" s="1293"/>
      <c r="CR440" s="1293"/>
      <c r="CS440" s="1293"/>
      <c r="CT440" s="1293"/>
      <c r="CU440" s="1293"/>
      <c r="CV440" s="1293"/>
      <c r="CW440" s="1293"/>
      <c r="CX440" s="1293"/>
      <c r="CY440" s="2188"/>
      <c r="CZ440" s="1666"/>
      <c r="DA440" s="2214"/>
      <c r="DB440" s="2215"/>
      <c r="DC440" s="1293"/>
      <c r="DD440" s="1293"/>
      <c r="DE440" s="1293"/>
      <c r="DF440" s="1293"/>
      <c r="DG440" s="1293"/>
      <c r="DH440" s="1293"/>
      <c r="DI440" s="1293"/>
      <c r="DJ440" s="1293"/>
      <c r="DK440" s="1293"/>
      <c r="DL440" s="1293"/>
    </row>
    <row r="441" spans="1:116" ht="15.75">
      <c r="A441" s="1293"/>
      <c r="B441" s="1293" t="s">
        <v>5752</v>
      </c>
      <c r="C441" s="1666">
        <v>-250</v>
      </c>
      <c r="D441" s="1666">
        <v>-253</v>
      </c>
      <c r="E441" s="1666">
        <v>-309</v>
      </c>
      <c r="F441" s="1666">
        <f>-258-89</f>
        <v>-347</v>
      </c>
      <c r="G441" s="1665"/>
      <c r="H441" s="1666">
        <v>-340</v>
      </c>
      <c r="I441" s="1666">
        <f>-337-1</f>
        <v>-338</v>
      </c>
      <c r="J441" s="1666">
        <v>-323</v>
      </c>
      <c r="K441" s="1666">
        <v>-321</v>
      </c>
      <c r="L441" s="1665"/>
      <c r="M441" s="1666">
        <v>-303</v>
      </c>
      <c r="N441" s="1666">
        <v>-324</v>
      </c>
      <c r="O441" s="1666">
        <v>-325</v>
      </c>
      <c r="P441" s="1666">
        <v>-416</v>
      </c>
      <c r="Q441" s="1666"/>
      <c r="R441" s="1666">
        <v>-332</v>
      </c>
      <c r="S441" s="1666">
        <v>-336</v>
      </c>
      <c r="T441" s="1666">
        <f>-244-84</f>
        <v>-328</v>
      </c>
      <c r="U441" s="1666">
        <v>-324.54689665080832</v>
      </c>
      <c r="V441" s="1327">
        <f>Master!T25+Master!T26</f>
        <v>-1241</v>
      </c>
      <c r="W441" s="1666">
        <v>-317</v>
      </c>
      <c r="X441" s="1666">
        <f>-241-74</f>
        <v>-315</v>
      </c>
      <c r="Y441" s="1666">
        <f>-239-64</f>
        <v>-303</v>
      </c>
      <c r="Z441" s="1666">
        <v>-310</v>
      </c>
      <c r="AA441" s="1327">
        <f>Master!U25+Master!U26</f>
        <v>-1245</v>
      </c>
      <c r="AB441" s="1666">
        <v>-371</v>
      </c>
      <c r="AC441" s="1666"/>
      <c r="AD441" s="1666">
        <v>-383</v>
      </c>
      <c r="AE441" s="1666"/>
      <c r="AF441" s="1666">
        <v>-381</v>
      </c>
      <c r="AG441" s="1666"/>
      <c r="AH441" s="1666">
        <v>-409</v>
      </c>
      <c r="AI441" s="1666"/>
      <c r="AJ441" s="2185">
        <f>AB441+AD441+AF441+AH441</f>
        <v>-1544</v>
      </c>
      <c r="AK441" s="2216">
        <v>-409</v>
      </c>
      <c r="AL441" s="2216">
        <v>-417</v>
      </c>
      <c r="AM441" s="2216">
        <v>-419</v>
      </c>
      <c r="AN441" s="2216">
        <f>-309-107</f>
        <v>-416</v>
      </c>
      <c r="AO441" s="2185">
        <f>Master!W25+Master!W26</f>
        <v>-1661</v>
      </c>
      <c r="AP441" s="2216">
        <f>-296-141</f>
        <v>-437</v>
      </c>
      <c r="AQ441" s="2216">
        <f>-289-110</f>
        <v>-399</v>
      </c>
      <c r="AR441" s="2216">
        <f>-291-90</f>
        <v>-381</v>
      </c>
      <c r="AS441" s="2216">
        <f>-288-93</f>
        <v>-381</v>
      </c>
      <c r="AT441" s="2185">
        <f>Master!X25+Master!X26</f>
        <v>-1598</v>
      </c>
      <c r="AU441" s="2216">
        <f>-256-81</f>
        <v>-337</v>
      </c>
      <c r="AV441" s="2216">
        <f>-252-90</f>
        <v>-342</v>
      </c>
      <c r="AW441" s="2216">
        <f>-249-93</f>
        <v>-342</v>
      </c>
      <c r="AX441" s="2216">
        <f>-241.65-80.61</f>
        <v>-322.26</v>
      </c>
      <c r="AY441" s="2185">
        <f>Master!Y25+Master!Y26</f>
        <v>-1344</v>
      </c>
      <c r="AZ441" s="2216">
        <f>-244-87</f>
        <v>-331</v>
      </c>
      <c r="BA441" s="2216">
        <f>-238-90</f>
        <v>-328</v>
      </c>
      <c r="BB441" s="2216">
        <f>-245-92</f>
        <v>-337</v>
      </c>
      <c r="BC441" s="1503">
        <f>-251-91</f>
        <v>-342</v>
      </c>
      <c r="BD441" s="2185">
        <f>Master!Z25+Master!Z26</f>
        <v>-1338</v>
      </c>
      <c r="BE441" s="2216">
        <f>-247-87</f>
        <v>-334</v>
      </c>
      <c r="BF441" s="2216">
        <f>-228-77</f>
        <v>-305</v>
      </c>
      <c r="BG441" s="2216">
        <f>-222-78</f>
        <v>-300</v>
      </c>
      <c r="BH441" s="2216">
        <f>-219-77</f>
        <v>-296</v>
      </c>
      <c r="BI441" s="2185">
        <f>Master!AA25+Master!AA26</f>
        <v>-1234.6134</v>
      </c>
      <c r="BJ441" s="1666">
        <f>BJ443+BJ444</f>
        <v>-315</v>
      </c>
      <c r="BK441" s="1666">
        <f t="shared" ref="BK441:BM441" si="500">BK443+BK444</f>
        <v>-310</v>
      </c>
      <c r="BL441" s="1666">
        <f t="shared" si="500"/>
        <v>-315</v>
      </c>
      <c r="BM441" s="1666">
        <f t="shared" si="500"/>
        <v>-316.81999999999994</v>
      </c>
      <c r="BN441" s="2185">
        <f>Master!AB25+Master!AB26</f>
        <v>-1256.82</v>
      </c>
      <c r="BO441" s="1327"/>
      <c r="BP441" s="2213">
        <f>-247/BE441</f>
        <v>0.73952095808383234</v>
      </c>
      <c r="BQ441" s="1293">
        <v>-247</v>
      </c>
      <c r="BR441" s="1293">
        <f>BP441*BF441</f>
        <v>-225.55389221556885</v>
      </c>
      <c r="BS441" s="1293">
        <f>BP441*BG441</f>
        <v>-221.8562874251497</v>
      </c>
      <c r="BT441" s="1327">
        <f>BU441-BR441-BS441-BQ441</f>
        <v>-221.58982035928148</v>
      </c>
      <c r="BU441" s="1327">
        <f>Master!AA25</f>
        <v>-916</v>
      </c>
      <c r="BV441" s="1293"/>
      <c r="BW441" s="1293"/>
      <c r="BX441" s="1293"/>
      <c r="BY441" s="1293"/>
      <c r="BZ441" s="1293"/>
      <c r="CA441" s="1293"/>
      <c r="CB441" s="1293"/>
      <c r="CC441" s="1293"/>
      <c r="CD441" s="1293"/>
      <c r="CE441" s="1293"/>
      <c r="CF441" s="1293"/>
      <c r="CG441" s="1293"/>
      <c r="CH441" s="1293"/>
      <c r="CI441" s="1293"/>
      <c r="CJ441" s="1293"/>
      <c r="CK441" s="1293"/>
      <c r="CL441" s="1293"/>
      <c r="CM441" s="1293"/>
      <c r="CN441" s="1293"/>
      <c r="CO441" s="1293"/>
      <c r="CP441" s="1293"/>
      <c r="CQ441" s="1293"/>
      <c r="CR441" s="1293"/>
      <c r="CS441" s="1293"/>
      <c r="CT441" s="1293"/>
      <c r="CU441" s="1293"/>
      <c r="CV441" s="1293"/>
      <c r="CW441" s="1293"/>
      <c r="CX441" s="1293"/>
      <c r="CY441" s="2188">
        <v>-333.97</v>
      </c>
      <c r="CZ441" s="1948">
        <v>-330</v>
      </c>
      <c r="DA441" s="2217">
        <v>-325</v>
      </c>
      <c r="DB441" s="2218">
        <v>-320</v>
      </c>
      <c r="DC441" s="1293"/>
      <c r="DD441" s="1293"/>
      <c r="DE441" s="1293"/>
      <c r="DF441" s="1293"/>
      <c r="DG441" s="1293"/>
      <c r="DH441" s="1293"/>
      <c r="DI441" s="1293"/>
      <c r="DJ441" s="1293"/>
      <c r="DK441" s="1293"/>
      <c r="DL441" s="1293"/>
    </row>
    <row r="442" spans="1:116" ht="15.75">
      <c r="A442" s="1293"/>
      <c r="B442" s="2219" t="s">
        <v>8358</v>
      </c>
      <c r="C442" s="1666"/>
      <c r="D442" s="1666"/>
      <c r="E442" s="1666"/>
      <c r="F442" s="1666"/>
      <c r="G442" s="1665"/>
      <c r="H442" s="1666"/>
      <c r="I442" s="1666"/>
      <c r="J442" s="1666"/>
      <c r="K442" s="1666"/>
      <c r="L442" s="1665"/>
      <c r="M442" s="1666"/>
      <c r="N442" s="1666"/>
      <c r="O442" s="1666"/>
      <c r="P442" s="1666"/>
      <c r="Q442" s="1666"/>
      <c r="R442" s="1666"/>
      <c r="S442" s="1666"/>
      <c r="T442" s="1666"/>
      <c r="U442" s="1666"/>
      <c r="V442" s="1327"/>
      <c r="W442" s="1666"/>
      <c r="X442" s="1666"/>
      <c r="Y442" s="1666"/>
      <c r="Z442" s="1666"/>
      <c r="AA442" s="1327"/>
      <c r="AB442" s="1666"/>
      <c r="AC442" s="1666"/>
      <c r="AD442" s="1666"/>
      <c r="AE442" s="1666"/>
      <c r="AF442" s="1666"/>
      <c r="AG442" s="1666"/>
      <c r="AH442" s="1666"/>
      <c r="AI442" s="1666"/>
      <c r="AJ442" s="2185"/>
      <c r="AK442" s="1666"/>
      <c r="AL442" s="1666"/>
      <c r="AM442" s="1666"/>
      <c r="AN442" s="1666"/>
      <c r="AO442" s="2185"/>
      <c r="AP442" s="1666"/>
      <c r="AQ442" s="1666"/>
      <c r="AR442" s="1666"/>
      <c r="AS442" s="1666"/>
      <c r="AT442" s="2185"/>
      <c r="AU442" s="2220">
        <v>-41</v>
      </c>
      <c r="AV442" s="2220">
        <v>-41</v>
      </c>
      <c r="AW442" s="2220">
        <v>-42</v>
      </c>
      <c r="AX442" s="2220">
        <v>-42</v>
      </c>
      <c r="AY442" s="2221">
        <f>SUM(AU442:AX442)</f>
        <v>-166</v>
      </c>
      <c r="AZ442" s="2220">
        <v>-42</v>
      </c>
      <c r="BA442" s="2220">
        <v>-45</v>
      </c>
      <c r="BB442" s="2220">
        <v>-47</v>
      </c>
      <c r="BC442" s="2220">
        <v>-48</v>
      </c>
      <c r="BD442" s="2221">
        <f>SUM(AZ442:BC442)</f>
        <v>-182</v>
      </c>
      <c r="BE442" s="2220">
        <v>-51</v>
      </c>
      <c r="BF442" s="2220">
        <v>-52</v>
      </c>
      <c r="BG442" s="2220">
        <v>-51</v>
      </c>
      <c r="BH442" s="2461">
        <v>-50.475299999999997</v>
      </c>
      <c r="BI442" s="2221">
        <f>SUM(BE442:BH442)</f>
        <v>-204.4753</v>
      </c>
      <c r="BJ442" s="2551">
        <v>-50</v>
      </c>
      <c r="BK442" s="2551">
        <v>-50</v>
      </c>
      <c r="BL442" s="2551">
        <v>-50</v>
      </c>
      <c r="BM442" s="2551">
        <f ca="1">BN442-BJ442-BK442-BL442</f>
        <v>-54.645800000000236</v>
      </c>
      <c r="BN442" s="2221">
        <f ca="1">-Master!AA21</f>
        <v>-204.64580000000024</v>
      </c>
      <c r="BO442" s="1327"/>
      <c r="BP442" s="2213">
        <f>1-BP441</f>
        <v>0.26047904191616766</v>
      </c>
      <c r="BQ442" s="1698">
        <f>BE441-BQ441</f>
        <v>-87</v>
      </c>
      <c r="BR442" s="1698">
        <f>BF441-BR441</f>
        <v>-79.446107784431149</v>
      </c>
      <c r="BS442" s="1698">
        <f>BG441-BS441</f>
        <v>-78.143712574850298</v>
      </c>
      <c r="BT442" s="1327">
        <f>BU442-BR442-BS442-BQ442</f>
        <v>-74.023579640718566</v>
      </c>
      <c r="BU442" s="1327">
        <f>Master!AA26</f>
        <v>-318.61340000000001</v>
      </c>
      <c r="BV442" s="1293"/>
      <c r="BW442" s="1293"/>
      <c r="BX442" s="1293"/>
      <c r="BY442" s="1293"/>
      <c r="BZ442" s="1293"/>
      <c r="CA442" s="1293"/>
      <c r="CB442" s="1293"/>
      <c r="CC442" s="1293"/>
      <c r="CD442" s="1293"/>
      <c r="CE442" s="1293"/>
      <c r="CF442" s="1293"/>
      <c r="CG442" s="1293"/>
      <c r="CH442" s="1293"/>
      <c r="CI442" s="1293"/>
      <c r="CJ442" s="1293"/>
      <c r="CK442" s="1293"/>
      <c r="CL442" s="1293"/>
      <c r="CM442" s="1293"/>
      <c r="CN442" s="1293"/>
      <c r="CO442" s="1293"/>
      <c r="CP442" s="1293"/>
      <c r="CQ442" s="1293"/>
      <c r="CR442" s="1293"/>
      <c r="CS442" s="1293"/>
      <c r="CT442" s="1293"/>
      <c r="CU442" s="1293"/>
      <c r="CV442" s="1293"/>
      <c r="CW442" s="1293"/>
      <c r="CX442" s="1293"/>
      <c r="CY442" s="2188"/>
      <c r="CZ442" s="1948"/>
      <c r="DA442" s="2217">
        <v>-53</v>
      </c>
      <c r="DB442" s="2222">
        <v>-54</v>
      </c>
      <c r="DC442" s="1293"/>
      <c r="DD442" s="1293"/>
      <c r="DE442" s="1293"/>
      <c r="DF442" s="1293"/>
      <c r="DG442" s="1293"/>
      <c r="DH442" s="1293"/>
      <c r="DI442" s="1293"/>
      <c r="DJ442" s="1293"/>
      <c r="DK442" s="1293"/>
      <c r="DL442" s="1293"/>
    </row>
    <row r="443" spans="1:116" ht="15.75">
      <c r="A443" s="1293"/>
      <c r="B443" s="2550" t="s">
        <v>552</v>
      </c>
      <c r="C443" s="1293"/>
      <c r="D443" s="1293"/>
      <c r="E443" s="1293"/>
      <c r="F443" s="1293"/>
      <c r="G443" s="1293"/>
      <c r="H443" s="1293"/>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3"/>
      <c r="AG443" s="1293"/>
      <c r="AH443" s="1293"/>
      <c r="AI443" s="1293"/>
      <c r="AJ443" s="2186"/>
      <c r="AK443" s="1293"/>
      <c r="AL443" s="1293"/>
      <c r="AM443" s="1293"/>
      <c r="AN443" s="1293"/>
      <c r="AO443" s="2186"/>
      <c r="AP443" s="1293"/>
      <c r="AQ443" s="1293"/>
      <c r="AR443" s="1293"/>
      <c r="AS443" s="1293"/>
      <c r="AT443" s="2186"/>
      <c r="AU443" s="1293"/>
      <c r="AV443" s="1293"/>
      <c r="AW443" s="1293"/>
      <c r="AX443" s="1293"/>
      <c r="AY443" s="2186"/>
      <c r="AZ443" s="2216">
        <v>-243.76804863005216</v>
      </c>
      <c r="BA443" s="2216">
        <v>-238.00223425999101</v>
      </c>
      <c r="BB443" s="2216">
        <v>-244.69314505345662</v>
      </c>
      <c r="BC443" s="2216">
        <v>-251.36057526167721</v>
      </c>
      <c r="BD443" s="2186"/>
      <c r="BE443" s="2216">
        <v>-247</v>
      </c>
      <c r="BF443" s="2216">
        <v>-228</v>
      </c>
      <c r="BG443" s="2216">
        <v>-222</v>
      </c>
      <c r="BH443" s="2216">
        <v>-219.26310000000001</v>
      </c>
      <c r="BI443" s="2186"/>
      <c r="BJ443" s="2547">
        <v>-230</v>
      </c>
      <c r="BK443" s="2547">
        <v>-225</v>
      </c>
      <c r="BL443" s="2547">
        <v>-230</v>
      </c>
      <c r="BM443" s="2484">
        <f>BN443-BJ443-BK443-BL443</f>
        <v>-226.03999999999996</v>
      </c>
      <c r="BN443" s="2185">
        <f>Master!AB25</f>
        <v>-911.04</v>
      </c>
      <c r="BO443" s="1293"/>
      <c r="BP443" s="1293"/>
      <c r="BQ443" s="1293"/>
      <c r="BR443" s="1293"/>
      <c r="BS443" s="1293"/>
      <c r="BT443" s="1293"/>
      <c r="BU443" s="1293"/>
      <c r="BV443" s="1293"/>
      <c r="BW443" s="1293"/>
      <c r="BX443" s="1293"/>
      <c r="BY443" s="1293"/>
      <c r="BZ443" s="1293"/>
      <c r="CA443" s="1293"/>
      <c r="CB443" s="1293"/>
      <c r="CC443" s="1293"/>
      <c r="CD443" s="1293"/>
      <c r="CE443" s="1293"/>
      <c r="CF443" s="1293"/>
      <c r="CG443" s="1293"/>
      <c r="CH443" s="1293"/>
      <c r="CI443" s="1293"/>
      <c r="CJ443" s="1293"/>
      <c r="CK443" s="1293"/>
      <c r="CL443" s="1293"/>
      <c r="CM443" s="1293"/>
      <c r="CN443" s="1293"/>
      <c r="CO443" s="1293"/>
      <c r="CP443" s="1293"/>
      <c r="CQ443" s="1293"/>
      <c r="CR443" s="1293"/>
      <c r="CS443" s="1293"/>
      <c r="CT443" s="1293"/>
      <c r="CU443" s="1293"/>
      <c r="CV443" s="1293"/>
      <c r="CW443" s="1293"/>
      <c r="CX443" s="1293"/>
      <c r="CY443" s="2032"/>
      <c r="CZ443" s="1293"/>
      <c r="DA443" s="2031"/>
      <c r="DB443" s="2032"/>
      <c r="DC443" s="1293"/>
      <c r="DD443" s="1293"/>
      <c r="DE443" s="1293"/>
      <c r="DF443" s="1293"/>
      <c r="DG443" s="1293"/>
      <c r="DH443" s="1293"/>
      <c r="DI443" s="1293"/>
      <c r="DJ443" s="1293"/>
      <c r="DK443" s="1293"/>
      <c r="DL443" s="1293"/>
    </row>
    <row r="444" spans="1:116" ht="15.75">
      <c r="A444" s="1293"/>
      <c r="B444" s="2550" t="s">
        <v>9184</v>
      </c>
      <c r="C444" s="1293"/>
      <c r="D444" s="1293"/>
      <c r="E444" s="1293"/>
      <c r="F444" s="1293"/>
      <c r="G444" s="1293"/>
      <c r="H444" s="1293"/>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2186"/>
      <c r="AK444" s="1293"/>
      <c r="AL444" s="1293"/>
      <c r="AM444" s="1293"/>
      <c r="AN444" s="1293"/>
      <c r="AO444" s="2186"/>
      <c r="AP444" s="1293"/>
      <c r="AQ444" s="1293"/>
      <c r="AR444" s="1293"/>
      <c r="AS444" s="1293"/>
      <c r="AT444" s="2186"/>
      <c r="AU444" s="1293"/>
      <c r="AV444" s="1293"/>
      <c r="AW444" s="1293"/>
      <c r="AX444" s="1293"/>
      <c r="AY444" s="2186"/>
      <c r="AZ444" s="2216">
        <v>-86.952532741020335</v>
      </c>
      <c r="BA444" s="2216">
        <v>-90.124957749212356</v>
      </c>
      <c r="BB444" s="2216">
        <v>-92.094820207527462</v>
      </c>
      <c r="BC444" s="2216">
        <v>-91.092496827593195</v>
      </c>
      <c r="BD444" s="2186"/>
      <c r="BE444" s="2216">
        <v>-87</v>
      </c>
      <c r="BF444" s="2216">
        <v>-77</v>
      </c>
      <c r="BG444" s="2216">
        <v>-78</v>
      </c>
      <c r="BH444" s="2216">
        <v>-77.167299999999997</v>
      </c>
      <c r="BI444" s="2186"/>
      <c r="BJ444" s="2547">
        <v>-85</v>
      </c>
      <c r="BK444" s="2547">
        <v>-85</v>
      </c>
      <c r="BL444" s="2547">
        <v>-85</v>
      </c>
      <c r="BM444" s="2484">
        <f>BN444-BJ444-BK444-BL444</f>
        <v>-90.779999999999973</v>
      </c>
      <c r="BN444" s="2185">
        <f>Master!AB26</f>
        <v>-345.78</v>
      </c>
      <c r="BO444" s="1293"/>
      <c r="BP444" s="1293"/>
      <c r="BQ444" s="1293"/>
      <c r="BR444" s="1293"/>
      <c r="BS444" s="1293"/>
      <c r="BT444" s="1293"/>
      <c r="BU444" s="1293"/>
      <c r="BV444" s="1293"/>
      <c r="BW444" s="1293"/>
      <c r="BX444" s="1293"/>
      <c r="BY444" s="1293"/>
      <c r="BZ444" s="1293"/>
      <c r="CA444" s="1293"/>
      <c r="CB444" s="1293"/>
      <c r="CC444" s="1293"/>
      <c r="CD444" s="1293"/>
      <c r="CE444" s="1293"/>
      <c r="CF444" s="1293"/>
      <c r="CG444" s="1293"/>
      <c r="CH444" s="1293"/>
      <c r="CI444" s="1293"/>
      <c r="CJ444" s="1293"/>
      <c r="CK444" s="1293"/>
      <c r="CL444" s="1293"/>
      <c r="CM444" s="1293"/>
      <c r="CN444" s="1293"/>
      <c r="CO444" s="1293"/>
      <c r="CP444" s="1293"/>
      <c r="CQ444" s="1293"/>
      <c r="CR444" s="1293"/>
      <c r="CS444" s="1293"/>
      <c r="CT444" s="1293"/>
      <c r="CU444" s="1293"/>
      <c r="CV444" s="1293"/>
      <c r="CW444" s="1293"/>
      <c r="CX444" s="1293"/>
      <c r="CY444" s="2032"/>
      <c r="CZ444" s="1293"/>
      <c r="DA444" s="2031"/>
      <c r="DB444" s="2032"/>
      <c r="DC444" s="1293"/>
      <c r="DD444" s="1293"/>
      <c r="DE444" s="1293"/>
      <c r="DF444" s="1293"/>
      <c r="DG444" s="1293"/>
      <c r="DH444" s="1293"/>
      <c r="DI444" s="1293"/>
      <c r="DJ444" s="1293"/>
      <c r="DK444" s="1293"/>
      <c r="DL444" s="1293"/>
    </row>
    <row r="445" spans="1:116" ht="15.75">
      <c r="A445" s="1293"/>
      <c r="B445" s="1293"/>
      <c r="C445" s="1293"/>
      <c r="D445" s="1293"/>
      <c r="E445" s="1293"/>
      <c r="F445" s="1293"/>
      <c r="G445" s="1293"/>
      <c r="H445" s="1293"/>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c r="AH445" s="1293"/>
      <c r="AI445" s="1293"/>
      <c r="AJ445" s="2186"/>
      <c r="AK445" s="1293"/>
      <c r="AL445" s="1293"/>
      <c r="AM445" s="1293"/>
      <c r="AN445" s="1293"/>
      <c r="AO445" s="2186"/>
      <c r="AP445" s="1293"/>
      <c r="AQ445" s="1293"/>
      <c r="AR445" s="1293"/>
      <c r="AS445" s="1293"/>
      <c r="AT445" s="2186"/>
      <c r="AU445" s="1293"/>
      <c r="AV445" s="1293"/>
      <c r="AW445" s="1293"/>
      <c r="AX445" s="1293"/>
      <c r="AY445" s="2186"/>
      <c r="AZ445" s="1293"/>
      <c r="BA445" s="1293"/>
      <c r="BB445" s="1293"/>
      <c r="BC445" s="1293"/>
      <c r="BD445" s="2186"/>
      <c r="BE445" s="1293"/>
      <c r="BF445" s="1293"/>
      <c r="BG445" s="1293"/>
      <c r="BH445" s="1293"/>
      <c r="BI445" s="2186"/>
      <c r="BJ445" s="1293"/>
      <c r="BK445" s="1293"/>
      <c r="BL445" s="1293"/>
      <c r="BM445" s="1293"/>
      <c r="BN445" s="2186"/>
      <c r="BO445" s="1293"/>
      <c r="BP445" s="1293"/>
      <c r="BQ445" s="1293"/>
      <c r="BR445" s="1293"/>
      <c r="BS445" s="1293"/>
      <c r="BT445" s="1293"/>
      <c r="BU445" s="1293"/>
      <c r="BV445" s="1293"/>
      <c r="BW445" s="1293"/>
      <c r="BX445" s="1293"/>
      <c r="BY445" s="1293"/>
      <c r="BZ445" s="1293"/>
      <c r="CA445" s="1293"/>
      <c r="CB445" s="1293"/>
      <c r="CC445" s="1293"/>
      <c r="CD445" s="1293"/>
      <c r="CE445" s="1293"/>
      <c r="CF445" s="1293"/>
      <c r="CG445" s="1293"/>
      <c r="CH445" s="1293"/>
      <c r="CI445" s="1293"/>
      <c r="CJ445" s="1293"/>
      <c r="CK445" s="1293"/>
      <c r="CL445" s="1293"/>
      <c r="CM445" s="1293"/>
      <c r="CN445" s="1293"/>
      <c r="CO445" s="1293"/>
      <c r="CP445" s="1293"/>
      <c r="CQ445" s="1293"/>
      <c r="CR445" s="1293"/>
      <c r="CS445" s="1293"/>
      <c r="CT445" s="1293"/>
      <c r="CU445" s="1293"/>
      <c r="CV445" s="1293"/>
      <c r="CW445" s="1293"/>
      <c r="CX445" s="1293"/>
      <c r="CY445" s="2032"/>
      <c r="CZ445" s="1293"/>
      <c r="DA445" s="2031"/>
      <c r="DB445" s="2032"/>
      <c r="DC445" s="1293"/>
      <c r="DD445" s="1293"/>
      <c r="DE445" s="1293"/>
      <c r="DF445" s="1293"/>
      <c r="DG445" s="1293"/>
      <c r="DH445" s="1293"/>
      <c r="DI445" s="1293"/>
      <c r="DJ445" s="1293"/>
      <c r="DK445" s="1293"/>
      <c r="DL445" s="1293"/>
    </row>
    <row r="446" spans="1:116" ht="15.75">
      <c r="A446" s="1293"/>
      <c r="B446" s="1653" t="s">
        <v>391</v>
      </c>
      <c r="C446" s="1293"/>
      <c r="D446" s="1293"/>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2186"/>
      <c r="AK446" s="1293"/>
      <c r="AL446" s="1293"/>
      <c r="AM446" s="1293"/>
      <c r="AN446" s="1293"/>
      <c r="AO446" s="2186"/>
      <c r="AP446" s="1293"/>
      <c r="AQ446" s="1293"/>
      <c r="AR446" s="1293"/>
      <c r="AS446" s="1293"/>
      <c r="AT446" s="2186"/>
      <c r="AU446" s="2216">
        <v>8</v>
      </c>
      <c r="AV446" s="2216">
        <v>11.97</v>
      </c>
      <c r="AW446" s="2216">
        <v>5</v>
      </c>
      <c r="AX446" s="2216">
        <v>7.23</v>
      </c>
      <c r="AY446" s="2191">
        <f>Master!Y28</f>
        <v>32</v>
      </c>
      <c r="AZ446" s="2216">
        <f>11-4</f>
        <v>7</v>
      </c>
      <c r="BA446" s="2216">
        <f>11+1</f>
        <v>12</v>
      </c>
      <c r="BB446" s="2216">
        <f>10-0.01</f>
        <v>9.99</v>
      </c>
      <c r="BC446" s="2216">
        <f>11+0</f>
        <v>11</v>
      </c>
      <c r="BD446" s="2191">
        <f>Master!Z28</f>
        <v>42</v>
      </c>
      <c r="BE446" s="2216">
        <f>13+0</f>
        <v>13</v>
      </c>
      <c r="BF446" s="2216">
        <f>12+0</f>
        <v>12</v>
      </c>
      <c r="BG446" s="2216">
        <v>14</v>
      </c>
      <c r="BH446" s="2216">
        <v>14</v>
      </c>
      <c r="BI446" s="2191">
        <f>Master!AA28</f>
        <v>54</v>
      </c>
      <c r="BJ446" s="1945">
        <v>15</v>
      </c>
      <c r="BK446" s="1945">
        <v>15</v>
      </c>
      <c r="BL446" s="1945">
        <v>15</v>
      </c>
      <c r="BM446" s="1945">
        <f>BN446-BJ446-BK446-BL446</f>
        <v>19.604846716329632</v>
      </c>
      <c r="BN446" s="2191">
        <f>Master!AB28</f>
        <v>64.604846716329632</v>
      </c>
      <c r="BO446" s="1293"/>
      <c r="BP446" s="1293"/>
      <c r="BQ446" s="1293"/>
      <c r="BR446" s="1293"/>
      <c r="BS446" s="1293"/>
      <c r="BT446" s="1293"/>
      <c r="BU446" s="1293"/>
      <c r="BV446" s="1293"/>
      <c r="BW446" s="1293"/>
      <c r="BX446" s="1293"/>
      <c r="BY446" s="1293"/>
      <c r="BZ446" s="1293"/>
      <c r="CA446" s="1293"/>
      <c r="CB446" s="1293"/>
      <c r="CC446" s="1293"/>
      <c r="CD446" s="1293"/>
      <c r="CE446" s="1293"/>
      <c r="CF446" s="1293"/>
      <c r="CG446" s="1293"/>
      <c r="CH446" s="1293"/>
      <c r="CI446" s="1293"/>
      <c r="CJ446" s="1293"/>
      <c r="CK446" s="1293"/>
      <c r="CL446" s="1293"/>
      <c r="CM446" s="1293"/>
      <c r="CN446" s="1293"/>
      <c r="CO446" s="1293"/>
      <c r="CP446" s="1293"/>
      <c r="CQ446" s="1293"/>
      <c r="CR446" s="1293"/>
      <c r="CS446" s="1293"/>
      <c r="CT446" s="1293"/>
      <c r="CU446" s="1293"/>
      <c r="CV446" s="1293"/>
      <c r="CW446" s="1293"/>
      <c r="CX446" s="1293"/>
      <c r="CY446" s="2032"/>
      <c r="CZ446" s="1293"/>
      <c r="DA446" s="2031"/>
      <c r="DB446" s="2032"/>
      <c r="DC446" s="1293"/>
      <c r="DD446" s="1293"/>
      <c r="DE446" s="1293"/>
      <c r="DF446" s="1293"/>
      <c r="DG446" s="1293"/>
      <c r="DH446" s="1293"/>
      <c r="DI446" s="1293"/>
      <c r="DJ446" s="1293"/>
      <c r="DK446" s="1293"/>
      <c r="DL446" s="1293"/>
    </row>
    <row r="447" spans="1:116" ht="15.75">
      <c r="A447" s="1293"/>
      <c r="B447" s="1653" t="s">
        <v>2266</v>
      </c>
      <c r="C447" s="1666">
        <v>0</v>
      </c>
      <c r="D447" s="1666">
        <v>-2</v>
      </c>
      <c r="E447" s="1666">
        <v>-1</v>
      </c>
      <c r="F447" s="1666">
        <v>-16</v>
      </c>
      <c r="G447" s="1666"/>
      <c r="H447" s="1666">
        <v>2</v>
      </c>
      <c r="I447" s="1666">
        <v>0</v>
      </c>
      <c r="J447" s="1666">
        <v>0</v>
      </c>
      <c r="K447" s="1666">
        <v>-57</v>
      </c>
      <c r="L447" s="1666"/>
      <c r="M447" s="1666">
        <v>0</v>
      </c>
      <c r="N447" s="1666">
        <v>-4</v>
      </c>
      <c r="O447" s="1666">
        <v>0</v>
      </c>
      <c r="P447" s="1666">
        <v>-40</v>
      </c>
      <c r="Q447" s="1666"/>
      <c r="R447" s="1666">
        <v>1</v>
      </c>
      <c r="S447" s="1666">
        <v>-1</v>
      </c>
      <c r="T447" s="1666">
        <v>20</v>
      </c>
      <c r="U447" s="1666">
        <v>19.040852561068203</v>
      </c>
      <c r="V447" s="1327">
        <f>Master!T27</f>
        <v>0</v>
      </c>
      <c r="W447" s="1666">
        <v>-6</v>
      </c>
      <c r="X447" s="1666">
        <f>20-6</f>
        <v>14</v>
      </c>
      <c r="Y447" s="2223">
        <f>32-W447-X447+7+4</f>
        <v>35</v>
      </c>
      <c r="Z447" s="1666">
        <v>4</v>
      </c>
      <c r="AA447" s="1327">
        <f>Master!U27</f>
        <v>0</v>
      </c>
      <c r="AB447" s="1666">
        <v>3</v>
      </c>
      <c r="AC447" s="1666"/>
      <c r="AD447" s="1666">
        <v>1</v>
      </c>
      <c r="AE447" s="1666"/>
      <c r="AF447" s="1666">
        <v>0</v>
      </c>
      <c r="AG447" s="1666"/>
      <c r="AH447" s="1666">
        <v>-44</v>
      </c>
      <c r="AI447" s="1666"/>
      <c r="AJ447" s="2185">
        <f>Master!V27</f>
        <v>0</v>
      </c>
      <c r="AK447" s="2216">
        <f>2-8</f>
        <v>-6</v>
      </c>
      <c r="AL447" s="2216">
        <v>20</v>
      </c>
      <c r="AM447" s="2216">
        <v>8</v>
      </c>
      <c r="AN447" s="2216">
        <f>-48+10</f>
        <v>-38</v>
      </c>
      <c r="AO447" s="2185">
        <f>Master!W27</f>
        <v>-18</v>
      </c>
      <c r="AP447" s="2216">
        <v>-17</v>
      </c>
      <c r="AQ447" s="2216">
        <f>-19-4</f>
        <v>-23</v>
      </c>
      <c r="AR447" s="2216">
        <v>28</v>
      </c>
      <c r="AS447" s="2216">
        <v>14</v>
      </c>
      <c r="AT447" s="2185">
        <f>Master!X27</f>
        <v>6</v>
      </c>
      <c r="AU447" s="2216">
        <v>0</v>
      </c>
      <c r="AV447" s="2216">
        <v>0.26</v>
      </c>
      <c r="AW447" s="2216">
        <v>-6.37</v>
      </c>
      <c r="AX447" s="2216">
        <v>4.66</v>
      </c>
      <c r="AY447" s="2185">
        <f>Master!Y27</f>
        <v>-2</v>
      </c>
      <c r="AZ447" s="2216">
        <v>2</v>
      </c>
      <c r="BA447" s="2216">
        <v>1</v>
      </c>
      <c r="BB447" s="2216">
        <v>3</v>
      </c>
      <c r="BC447" s="2216">
        <v>4</v>
      </c>
      <c r="BD447" s="2185">
        <f>Master!Z27</f>
        <v>10</v>
      </c>
      <c r="BE447" s="2216">
        <v>13</v>
      </c>
      <c r="BF447" s="2216">
        <v>4</v>
      </c>
      <c r="BG447" s="2216">
        <v>-5.7599999999999998E-2</v>
      </c>
      <c r="BH447" s="1503">
        <v>37.462299999999999</v>
      </c>
      <c r="BI447" s="2185">
        <f>Master!AA27</f>
        <v>54</v>
      </c>
      <c r="BJ447" s="1945">
        <v>0</v>
      </c>
      <c r="BK447" s="1945">
        <v>0</v>
      </c>
      <c r="BL447" s="1945">
        <v>0</v>
      </c>
      <c r="BM447" s="1945">
        <f>BN447-BJ447-BK447-BL447</f>
        <v>0</v>
      </c>
      <c r="BN447" s="2185">
        <f>Master!AB27</f>
        <v>0</v>
      </c>
      <c r="BO447" s="1327"/>
      <c r="BP447" s="1327"/>
      <c r="BQ447" s="1293"/>
      <c r="BR447" s="1293"/>
      <c r="BS447" s="1293"/>
      <c r="BT447" s="1293"/>
      <c r="BU447" s="1293"/>
      <c r="BV447" s="1293"/>
      <c r="BW447" s="1293"/>
      <c r="BX447" s="1293"/>
      <c r="BY447" s="1293"/>
      <c r="BZ447" s="1293"/>
      <c r="CA447" s="1293"/>
      <c r="CB447" s="1293"/>
      <c r="CC447" s="1293"/>
      <c r="CD447" s="1293"/>
      <c r="CE447" s="1293"/>
      <c r="CF447" s="1293"/>
      <c r="CG447" s="1293"/>
      <c r="CH447" s="1293"/>
      <c r="CI447" s="1293"/>
      <c r="CJ447" s="1293"/>
      <c r="CK447" s="1293"/>
      <c r="CL447" s="1293"/>
      <c r="CM447" s="1293"/>
      <c r="CN447" s="1293"/>
      <c r="CO447" s="1293"/>
      <c r="CP447" s="1293"/>
      <c r="CQ447" s="1293"/>
      <c r="CR447" s="1293"/>
      <c r="CS447" s="1293"/>
      <c r="CT447" s="1293"/>
      <c r="CU447" s="1293"/>
      <c r="CV447" s="1293"/>
      <c r="CW447" s="1293"/>
      <c r="CX447" s="1293"/>
      <c r="CY447" s="2188">
        <v>2</v>
      </c>
      <c r="CZ447" s="1327"/>
      <c r="DA447" s="2217">
        <v>0</v>
      </c>
      <c r="DB447" s="2218">
        <v>0</v>
      </c>
      <c r="DC447" s="1293"/>
      <c r="DD447" s="1293"/>
      <c r="DE447" s="1293"/>
      <c r="DF447" s="1293"/>
      <c r="DG447" s="1293"/>
      <c r="DH447" s="1293"/>
      <c r="DI447" s="1293"/>
      <c r="DJ447" s="1293"/>
      <c r="DK447" s="1293"/>
      <c r="DL447" s="1293"/>
    </row>
    <row r="448" spans="1:116" ht="15.75">
      <c r="A448" s="1293"/>
      <c r="B448" s="1653"/>
      <c r="C448" s="1666"/>
      <c r="D448" s="1666"/>
      <c r="E448" s="1666"/>
      <c r="F448" s="1666"/>
      <c r="G448" s="1666"/>
      <c r="H448" s="1666"/>
      <c r="I448" s="1666"/>
      <c r="J448" s="1666"/>
      <c r="K448" s="1666"/>
      <c r="L448" s="1666"/>
      <c r="M448" s="1666"/>
      <c r="N448" s="1666"/>
      <c r="O448" s="1666"/>
      <c r="P448" s="1666"/>
      <c r="Q448" s="1666"/>
      <c r="R448" s="1666"/>
      <c r="S448" s="1666"/>
      <c r="T448" s="1666"/>
      <c r="U448" s="1666"/>
      <c r="V448" s="1293"/>
      <c r="W448" s="1666"/>
      <c r="X448" s="1666"/>
      <c r="Y448" s="1666"/>
      <c r="Z448" s="1666"/>
      <c r="AA448" s="1293"/>
      <c r="AB448" s="1666"/>
      <c r="AC448" s="1666"/>
      <c r="AD448" s="1666"/>
      <c r="AE448" s="1666"/>
      <c r="AF448" s="1666"/>
      <c r="AG448" s="1666"/>
      <c r="AH448" s="1666"/>
      <c r="AI448" s="1666"/>
      <c r="AJ448" s="2186"/>
      <c r="AK448" s="1666"/>
      <c r="AL448" s="1666"/>
      <c r="AM448" s="1666"/>
      <c r="AN448" s="1666"/>
      <c r="AO448" s="2186"/>
      <c r="AP448" s="1666"/>
      <c r="AQ448" s="1666"/>
      <c r="AR448" s="1666"/>
      <c r="AS448" s="1666"/>
      <c r="AT448" s="2186"/>
      <c r="AU448" s="1666"/>
      <c r="AV448" s="1666"/>
      <c r="AW448" s="1666"/>
      <c r="AX448" s="1666"/>
      <c r="AY448" s="2186"/>
      <c r="AZ448" s="1666"/>
      <c r="BA448" s="1666"/>
      <c r="BB448" s="1666"/>
      <c r="BC448" s="1293"/>
      <c r="BD448" s="2186"/>
      <c r="BE448" s="1666"/>
      <c r="BF448" s="1666"/>
      <c r="BG448" s="1666"/>
      <c r="BH448" s="1293"/>
      <c r="BI448" s="2186"/>
      <c r="BJ448" s="1666"/>
      <c r="BK448" s="1666"/>
      <c r="BL448" s="1666"/>
      <c r="BM448" s="1666"/>
      <c r="BN448" s="2186"/>
      <c r="BO448" s="1293"/>
      <c r="BP448" s="1293"/>
      <c r="BQ448" s="1293"/>
      <c r="BR448" s="1293"/>
      <c r="BS448" s="1293"/>
      <c r="BT448" s="1293"/>
      <c r="BU448" s="1293"/>
      <c r="BV448" s="1293"/>
      <c r="BW448" s="1293"/>
      <c r="BX448" s="1293"/>
      <c r="BY448" s="1293"/>
      <c r="BZ448" s="1293"/>
      <c r="CA448" s="1293"/>
      <c r="CB448" s="1293"/>
      <c r="CC448" s="1293"/>
      <c r="CD448" s="1293"/>
      <c r="CE448" s="1293"/>
      <c r="CF448" s="1293"/>
      <c r="CG448" s="1293"/>
      <c r="CH448" s="1293"/>
      <c r="CI448" s="1293"/>
      <c r="CJ448" s="1293"/>
      <c r="CK448" s="1293"/>
      <c r="CL448" s="1293"/>
      <c r="CM448" s="1293"/>
      <c r="CN448" s="1293"/>
      <c r="CO448" s="1293"/>
      <c r="CP448" s="1293"/>
      <c r="CQ448" s="1293"/>
      <c r="CR448" s="1293"/>
      <c r="CS448" s="1293"/>
      <c r="CT448" s="1293"/>
      <c r="CU448" s="1293"/>
      <c r="CV448" s="1293"/>
      <c r="CW448" s="1293"/>
      <c r="CX448" s="1293"/>
      <c r="CY448" s="2032"/>
      <c r="CZ448" s="1293"/>
      <c r="DA448" s="2214"/>
      <c r="DB448" s="2215"/>
      <c r="DC448" s="1293"/>
      <c r="DD448" s="1293"/>
      <c r="DE448" s="1293"/>
      <c r="DF448" s="1293"/>
      <c r="DG448" s="1293"/>
      <c r="DH448" s="1293"/>
      <c r="DI448" s="1293"/>
      <c r="DJ448" s="1293"/>
      <c r="DK448" s="1293"/>
      <c r="DL448" s="1293"/>
    </row>
    <row r="449" spans="1:116" ht="15.75">
      <c r="A449" s="1293"/>
      <c r="B449" s="1684" t="s">
        <v>392</v>
      </c>
      <c r="C449" s="1685">
        <f>C137+C441</f>
        <v>228.23804413572623</v>
      </c>
      <c r="D449" s="1685">
        <f>D137+D441</f>
        <v>225.66628541077989</v>
      </c>
      <c r="E449" s="1685">
        <f>E137+E441</f>
        <v>239.90778223221787</v>
      </c>
      <c r="F449" s="1685">
        <f>F137+F441</f>
        <v>240.50900000000001</v>
      </c>
      <c r="G449" s="1685"/>
      <c r="H449" s="1685">
        <f>H137+H441</f>
        <v>225.37628454817593</v>
      </c>
      <c r="I449" s="1685">
        <f>I137+I441</f>
        <v>222.87781643309097</v>
      </c>
      <c r="J449" s="1685">
        <f>J137+J441</f>
        <v>237.28176098817005</v>
      </c>
      <c r="K449" s="1685">
        <f>K137+K441</f>
        <v>170.60551630705993</v>
      </c>
      <c r="L449" s="1685"/>
      <c r="M449" s="1685">
        <f>M137+M441+M447</f>
        <v>239.14491672464999</v>
      </c>
      <c r="N449" s="1685">
        <f>N137+N441+N447</f>
        <v>213.609181729635</v>
      </c>
      <c r="O449" s="1685">
        <f>O137+O441+O447</f>
        <v>226.70535091125601</v>
      </c>
      <c r="P449" s="1685">
        <f>P137+P441+P447</f>
        <v>80</v>
      </c>
      <c r="Q449" s="1685"/>
      <c r="R449" s="2224">
        <f>R137+R441+R447+7</f>
        <v>224</v>
      </c>
      <c r="S449" s="1685">
        <f t="shared" ref="S449:AB449" si="501">S137+S441+S447</f>
        <v>198</v>
      </c>
      <c r="T449" s="1685">
        <f t="shared" si="501"/>
        <v>248</v>
      </c>
      <c r="U449" s="1685">
        <f t="shared" si="501"/>
        <v>255.49395591025987</v>
      </c>
      <c r="V449" s="1685">
        <f t="shared" si="501"/>
        <v>959</v>
      </c>
      <c r="W449" s="1685">
        <f t="shared" si="501"/>
        <v>237</v>
      </c>
      <c r="X449" s="1685">
        <f t="shared" si="501"/>
        <v>256</v>
      </c>
      <c r="Y449" s="1685">
        <f t="shared" si="501"/>
        <v>293</v>
      </c>
      <c r="Z449" s="1685">
        <f t="shared" si="501"/>
        <v>198</v>
      </c>
      <c r="AA449" s="1685">
        <f t="shared" si="501"/>
        <v>937</v>
      </c>
      <c r="AB449" s="1685">
        <f t="shared" si="501"/>
        <v>256</v>
      </c>
      <c r="AC449" s="1685"/>
      <c r="AD449" s="1685">
        <f>AD137+AD441+AD447</f>
        <v>223</v>
      </c>
      <c r="AE449" s="1685"/>
      <c r="AF449" s="1685">
        <f>AF137+AF441+AF447</f>
        <v>268</v>
      </c>
      <c r="AG449" s="1685"/>
      <c r="AH449" s="1685">
        <f>AH137+AH441+AH447</f>
        <v>219</v>
      </c>
      <c r="AI449" s="1685"/>
      <c r="AJ449" s="2225">
        <f>AJ137+AJ441+AJ447</f>
        <v>1006</v>
      </c>
      <c r="AK449" s="1685">
        <f>AK140+AK441+AK447</f>
        <v>223</v>
      </c>
      <c r="AL449" s="1685">
        <f>AL140+AL441+AL447</f>
        <v>176</v>
      </c>
      <c r="AM449" s="1685">
        <f>AM140+AM441+AM447</f>
        <v>202</v>
      </c>
      <c r="AN449" s="1685">
        <f>AN140+AN441+AN447</f>
        <v>207</v>
      </c>
      <c r="AO449" s="2225">
        <f>AO137+AO441+AO447</f>
        <v>806</v>
      </c>
      <c r="AP449" s="1685">
        <f>AP439+AP441+AP447</f>
        <v>215</v>
      </c>
      <c r="AQ449" s="1685">
        <f>AQ439+AQ441+AQ447</f>
        <v>232</v>
      </c>
      <c r="AR449" s="1685">
        <f>AR439+AR441+AR447</f>
        <v>295</v>
      </c>
      <c r="AS449" s="1685">
        <f>AS439+AS441+AS447</f>
        <v>275</v>
      </c>
      <c r="AT449" s="2225">
        <f>AT439+AT441+AT447</f>
        <v>1021</v>
      </c>
      <c r="AU449" s="1685">
        <f>AU439+AU441+AU446+AU447</f>
        <v>234.90809999999999</v>
      </c>
      <c r="AV449" s="1685">
        <f t="shared" ref="AV449:BN449" si="502">AV439+AV441+AV446+AV447</f>
        <v>247.33850000000004</v>
      </c>
      <c r="AW449" s="1685">
        <f t="shared" si="502"/>
        <v>195.76769999999999</v>
      </c>
      <c r="AX449" s="1685">
        <f t="shared" si="502"/>
        <v>237.61069999999995</v>
      </c>
      <c r="AY449" s="2225">
        <f t="shared" si="502"/>
        <v>914.13499999999976</v>
      </c>
      <c r="AZ449" s="1685">
        <f t="shared" si="502"/>
        <v>185.2749</v>
      </c>
      <c r="BA449" s="1685">
        <f t="shared" si="502"/>
        <v>199.92719999999997</v>
      </c>
      <c r="BB449" s="1685">
        <f t="shared" si="502"/>
        <v>208.57169999999996</v>
      </c>
      <c r="BC449" s="1685">
        <f t="shared" si="502"/>
        <v>229.50170000000003</v>
      </c>
      <c r="BD449" s="2225">
        <f t="shared" si="502"/>
        <v>825.28549999999996</v>
      </c>
      <c r="BE449" s="1685">
        <f t="shared" si="502"/>
        <v>323.80830000000003</v>
      </c>
      <c r="BF449" s="1685">
        <f t="shared" si="502"/>
        <v>344.90470000000005</v>
      </c>
      <c r="BG449" s="1685">
        <f t="shared" si="502"/>
        <v>298.97339999999997</v>
      </c>
      <c r="BH449" s="1685">
        <f t="shared" si="502"/>
        <v>373.36410000000001</v>
      </c>
      <c r="BI449" s="2225">
        <f t="shared" si="502"/>
        <v>1342.0324000000003</v>
      </c>
      <c r="BJ449" s="1685">
        <f t="shared" si="502"/>
        <v>287.5</v>
      </c>
      <c r="BK449" s="1685">
        <f t="shared" si="502"/>
        <v>307.5</v>
      </c>
      <c r="BL449" s="1685">
        <f t="shared" si="502"/>
        <v>302.5</v>
      </c>
      <c r="BM449" s="1685">
        <f t="shared" si="502"/>
        <v>291.9702666310007</v>
      </c>
      <c r="BN449" s="2225">
        <f t="shared" si="502"/>
        <v>1189.4702666310006</v>
      </c>
      <c r="BO449" s="1666"/>
      <c r="BP449" s="1666"/>
      <c r="BQ449" s="1293"/>
      <c r="BR449" s="1293"/>
      <c r="BS449" s="1293"/>
      <c r="BT449" s="1293"/>
      <c r="BU449" s="1293"/>
      <c r="BV449" s="1293"/>
      <c r="BW449" s="1293"/>
      <c r="BX449" s="1293"/>
      <c r="BY449" s="1293"/>
      <c r="BZ449" s="1293"/>
      <c r="CA449" s="1293"/>
      <c r="CB449" s="1293"/>
      <c r="CC449" s="1293"/>
      <c r="CD449" s="1293"/>
      <c r="CE449" s="1293"/>
      <c r="CF449" s="1293"/>
      <c r="CG449" s="1293"/>
      <c r="CH449" s="1293"/>
      <c r="CI449" s="1293"/>
      <c r="CJ449" s="1293"/>
      <c r="CK449" s="1293"/>
      <c r="CL449" s="1293"/>
      <c r="CM449" s="1293"/>
      <c r="CN449" s="1293"/>
      <c r="CO449" s="1293"/>
      <c r="CP449" s="1293"/>
      <c r="CQ449" s="1293"/>
      <c r="CR449" s="1293"/>
      <c r="CS449" s="1293"/>
      <c r="CT449" s="1293"/>
      <c r="CU449" s="1293"/>
      <c r="CV449" s="1293"/>
      <c r="CW449" s="1293"/>
      <c r="CX449" s="1293"/>
      <c r="CY449" s="2226">
        <v>242.05566127599684</v>
      </c>
      <c r="CZ449" s="1666">
        <f>CZ140+CZ441+CZ447</f>
        <v>231.24002922657701</v>
      </c>
      <c r="DA449" s="2227">
        <v>315.54926373173475</v>
      </c>
      <c r="DB449" s="2226">
        <v>324.44576315960626</v>
      </c>
      <c r="DC449" s="1293"/>
      <c r="DD449" s="1293"/>
      <c r="DE449" s="1293"/>
      <c r="DF449" s="1293"/>
      <c r="DG449" s="1293"/>
      <c r="DH449" s="1293"/>
      <c r="DI449" s="1293"/>
      <c r="DJ449" s="1293"/>
      <c r="DK449" s="1293"/>
      <c r="DL449" s="1293"/>
    </row>
    <row r="450" spans="1:116" ht="15.75">
      <c r="A450" s="1293"/>
      <c r="B450" s="1653"/>
      <c r="C450" s="1666"/>
      <c r="D450" s="1666"/>
      <c r="E450" s="1666"/>
      <c r="F450" s="1666"/>
      <c r="G450" s="1666"/>
      <c r="H450" s="1666"/>
      <c r="I450" s="1666"/>
      <c r="J450" s="1666"/>
      <c r="K450" s="1666"/>
      <c r="L450" s="1666"/>
      <c r="M450" s="1666"/>
      <c r="N450" s="1666"/>
      <c r="O450" s="1666"/>
      <c r="P450" s="1666"/>
      <c r="Q450" s="1666"/>
      <c r="R450" s="1666"/>
      <c r="S450" s="1666"/>
      <c r="T450" s="1666"/>
      <c r="U450" s="1666"/>
      <c r="V450" s="1293"/>
      <c r="W450" s="1666"/>
      <c r="X450" s="1666"/>
      <c r="Y450" s="1666"/>
      <c r="Z450" s="1666"/>
      <c r="AA450" s="1293"/>
      <c r="AB450" s="1666"/>
      <c r="AC450" s="1666"/>
      <c r="AD450" s="1666"/>
      <c r="AE450" s="1666"/>
      <c r="AF450" s="1666"/>
      <c r="AG450" s="1666"/>
      <c r="AH450" s="1666"/>
      <c r="AI450" s="1666"/>
      <c r="AJ450" s="2186"/>
      <c r="AK450" s="1666"/>
      <c r="AL450" s="1666"/>
      <c r="AM450" s="1666"/>
      <c r="AN450" s="1666"/>
      <c r="AO450" s="2186"/>
      <c r="AP450" s="1666"/>
      <c r="AQ450" s="1666"/>
      <c r="AR450" s="1666"/>
      <c r="AS450" s="1666"/>
      <c r="AT450" s="2186"/>
      <c r="AU450" s="1666"/>
      <c r="AV450" s="1666"/>
      <c r="AW450" s="1666"/>
      <c r="AX450" s="1666"/>
      <c r="AY450" s="2186"/>
      <c r="AZ450" s="1666"/>
      <c r="BA450" s="1666"/>
      <c r="BB450" s="1666"/>
      <c r="BC450" s="1293"/>
      <c r="BD450" s="2186"/>
      <c r="BE450" s="1666"/>
      <c r="BF450" s="1666"/>
      <c r="BG450" s="1666"/>
      <c r="BH450" s="1293"/>
      <c r="BI450" s="2186"/>
      <c r="BJ450" s="1666"/>
      <c r="BK450" s="1666"/>
      <c r="BL450" s="1666"/>
      <c r="BM450" s="1666"/>
      <c r="BN450" s="2186"/>
      <c r="BO450" s="1293"/>
      <c r="BP450" s="1293"/>
      <c r="BQ450" s="1293"/>
      <c r="BR450" s="1293"/>
      <c r="BS450" s="1293"/>
      <c r="BT450" s="1293"/>
      <c r="BU450" s="1293"/>
      <c r="BV450" s="1293"/>
      <c r="BW450" s="1293"/>
      <c r="BX450" s="1293"/>
      <c r="BY450" s="1293"/>
      <c r="BZ450" s="1293"/>
      <c r="CA450" s="1293"/>
      <c r="CB450" s="1293"/>
      <c r="CC450" s="1293"/>
      <c r="CD450" s="1293"/>
      <c r="CE450" s="1293"/>
      <c r="CF450" s="1293"/>
      <c r="CG450" s="1293"/>
      <c r="CH450" s="1293"/>
      <c r="CI450" s="1293"/>
      <c r="CJ450" s="1293"/>
      <c r="CK450" s="1293"/>
      <c r="CL450" s="1293"/>
      <c r="CM450" s="1293"/>
      <c r="CN450" s="1293"/>
      <c r="CO450" s="1293"/>
      <c r="CP450" s="1293"/>
      <c r="CQ450" s="1293"/>
      <c r="CR450" s="1293"/>
      <c r="CS450" s="1293"/>
      <c r="CT450" s="1293"/>
      <c r="CU450" s="1293"/>
      <c r="CV450" s="1293"/>
      <c r="CW450" s="1293"/>
      <c r="CX450" s="1293"/>
      <c r="CY450" s="2032"/>
      <c r="CZ450" s="1293"/>
      <c r="DA450" s="2214"/>
      <c r="DB450" s="2215"/>
      <c r="DC450" s="1293"/>
      <c r="DD450" s="1293"/>
      <c r="DE450" s="1293"/>
      <c r="DF450" s="1293"/>
      <c r="DG450" s="1293"/>
      <c r="DH450" s="1293"/>
      <c r="DI450" s="1293"/>
      <c r="DJ450" s="1293"/>
      <c r="DK450" s="1293"/>
      <c r="DL450" s="1293"/>
    </row>
    <row r="451" spans="1:116" ht="15.75">
      <c r="A451" s="1293"/>
      <c r="B451" s="1653" t="s">
        <v>3214</v>
      </c>
      <c r="C451" s="1666">
        <f>-41+2250</f>
        <v>2209</v>
      </c>
      <c r="D451" s="1666">
        <v>159</v>
      </c>
      <c r="E451" s="1666">
        <v>86</v>
      </c>
      <c r="F451" s="1666">
        <v>0</v>
      </c>
      <c r="G451" s="1666"/>
      <c r="H451" s="1666">
        <v>-72</v>
      </c>
      <c r="I451" s="1666">
        <v>-94</v>
      </c>
      <c r="J451" s="1666">
        <v>-45</v>
      </c>
      <c r="K451" s="1666">
        <v>-411</v>
      </c>
      <c r="L451" s="1666"/>
      <c r="M451" s="1666">
        <v>14</v>
      </c>
      <c r="N451" s="1666">
        <v>26</v>
      </c>
      <c r="O451" s="1666">
        <v>9</v>
      </c>
      <c r="P451" s="1666">
        <f>-101-P452</f>
        <v>-50</v>
      </c>
      <c r="Q451" s="1666"/>
      <c r="R451" s="1666">
        <v>23</v>
      </c>
      <c r="S451" s="1666">
        <v>-18</v>
      </c>
      <c r="T451" s="1666">
        <f>-13-T452</f>
        <v>2</v>
      </c>
      <c r="U451" s="1666">
        <v>-2</v>
      </c>
      <c r="V451" s="1698">
        <f>Master!T33</f>
        <v>7</v>
      </c>
      <c r="W451" s="1666">
        <v>25</v>
      </c>
      <c r="X451" s="1666">
        <v>-20</v>
      </c>
      <c r="Y451" s="1666">
        <v>-32</v>
      </c>
      <c r="Z451" s="1666">
        <v>-54</v>
      </c>
      <c r="AA451" s="1698">
        <f>Master!U33</f>
        <v>0</v>
      </c>
      <c r="AB451" s="1666">
        <v>11</v>
      </c>
      <c r="AC451" s="1666"/>
      <c r="AD451" s="1666">
        <f>-(21+4-2)+32</f>
        <v>9</v>
      </c>
      <c r="AE451" s="1666"/>
      <c r="AF451" s="1666">
        <v>-129</v>
      </c>
      <c r="AG451" s="1666"/>
      <c r="AH451" s="1666">
        <v>301</v>
      </c>
      <c r="AI451" s="1666"/>
      <c r="AJ451" s="2191">
        <f>Master!V33</f>
        <v>192</v>
      </c>
      <c r="AK451" s="2216">
        <v>-161</v>
      </c>
      <c r="AL451" s="2216">
        <v>20</v>
      </c>
      <c r="AM451" s="2216">
        <v>-13</v>
      </c>
      <c r="AN451" s="2216">
        <f>48-3</f>
        <v>45</v>
      </c>
      <c r="AO451" s="2191">
        <f>Master!W33</f>
        <v>-37</v>
      </c>
      <c r="AP451" s="2216">
        <f>38+23</f>
        <v>61</v>
      </c>
      <c r="AQ451" s="2216">
        <f>-49-24</f>
        <v>-73</v>
      </c>
      <c r="AR451" s="2216">
        <f>-23+1</f>
        <v>-22</v>
      </c>
      <c r="AS451" s="2216">
        <f>-13+666</f>
        <v>653</v>
      </c>
      <c r="AT451" s="2191">
        <f>Master!X33</f>
        <v>666</v>
      </c>
      <c r="AU451" s="1666"/>
      <c r="AV451" s="1666"/>
      <c r="AW451" s="1666"/>
      <c r="AX451" s="1666"/>
      <c r="AY451" s="2191">
        <f>Master!Y33</f>
        <v>0</v>
      </c>
      <c r="AZ451" s="2216">
        <v>19</v>
      </c>
      <c r="BA451" s="2216">
        <v>8</v>
      </c>
      <c r="BB451" s="2216">
        <v>3</v>
      </c>
      <c r="BC451" s="2216">
        <v>6</v>
      </c>
      <c r="BD451" s="2191">
        <f>Master!Z33</f>
        <v>-3</v>
      </c>
      <c r="BE451" s="2216">
        <v>-7</v>
      </c>
      <c r="BF451" s="2216">
        <v>-9</v>
      </c>
      <c r="BG451" s="2216">
        <v>-10</v>
      </c>
      <c r="BH451" s="1503">
        <v>-92.933499999999995</v>
      </c>
      <c r="BI451" s="2191">
        <f>Master!AA38</f>
        <v>-119</v>
      </c>
      <c r="BJ451" s="1945">
        <v>0</v>
      </c>
      <c r="BK451" s="1945">
        <v>0</v>
      </c>
      <c r="BL451" s="1945">
        <v>0</v>
      </c>
      <c r="BM451" s="1945">
        <f>BN451-BJ451-BK451-BL451</f>
        <v>0</v>
      </c>
      <c r="BN451" s="2191">
        <f>Master!AB38</f>
        <v>0</v>
      </c>
      <c r="BO451" s="1698"/>
      <c r="BP451" s="1698"/>
      <c r="BQ451" s="1293"/>
      <c r="BR451" s="1293"/>
      <c r="BS451" s="1293"/>
      <c r="BT451" s="1293"/>
      <c r="BU451" s="1293"/>
      <c r="BV451" s="1293"/>
      <c r="BW451" s="1293"/>
      <c r="BX451" s="1293"/>
      <c r="BY451" s="1293"/>
      <c r="BZ451" s="1293"/>
      <c r="CA451" s="1293"/>
      <c r="CB451" s="1293"/>
      <c r="CC451" s="1293"/>
      <c r="CD451" s="1293"/>
      <c r="CE451" s="1293"/>
      <c r="CF451" s="1293"/>
      <c r="CG451" s="1293"/>
      <c r="CH451" s="1293"/>
      <c r="CI451" s="1293"/>
      <c r="CJ451" s="1293"/>
      <c r="CK451" s="1293"/>
      <c r="CL451" s="1293"/>
      <c r="CM451" s="1293"/>
      <c r="CN451" s="1293"/>
      <c r="CO451" s="1293"/>
      <c r="CP451" s="1293"/>
      <c r="CQ451" s="1293"/>
      <c r="CR451" s="1293"/>
      <c r="CS451" s="1293"/>
      <c r="CT451" s="1293"/>
      <c r="CU451" s="1293"/>
      <c r="CV451" s="1293"/>
      <c r="CW451" s="1293"/>
      <c r="CX451" s="1293"/>
      <c r="CY451" s="2162"/>
      <c r="CZ451" s="1698"/>
      <c r="DA451" s="2217">
        <v>0</v>
      </c>
      <c r="DB451" s="2218">
        <v>0</v>
      </c>
      <c r="DC451" s="1293"/>
      <c r="DD451" s="1293"/>
      <c r="DE451" s="1293"/>
      <c r="DF451" s="1293"/>
      <c r="DG451" s="1293"/>
      <c r="DH451" s="1293"/>
      <c r="DI451" s="1293"/>
      <c r="DJ451" s="1293"/>
      <c r="DK451" s="1293"/>
      <c r="DL451" s="1293"/>
    </row>
    <row r="452" spans="1:116" ht="15.75" hidden="1">
      <c r="A452" s="1293"/>
      <c r="B452" s="1653" t="s">
        <v>391</v>
      </c>
      <c r="C452" s="1666">
        <v>-12</v>
      </c>
      <c r="D452" s="1666">
        <v>16</v>
      </c>
      <c r="E452" s="1666">
        <v>22</v>
      </c>
      <c r="F452" s="1666">
        <v>7</v>
      </c>
      <c r="G452" s="1666"/>
      <c r="H452" s="1666">
        <v>-13</v>
      </c>
      <c r="I452" s="1666">
        <v>-12</v>
      </c>
      <c r="J452" s="1666">
        <v>-11</v>
      </c>
      <c r="K452" s="1666">
        <v>136</v>
      </c>
      <c r="L452" s="1666"/>
      <c r="M452" s="1666">
        <v>-11</v>
      </c>
      <c r="N452" s="1666">
        <v>20</v>
      </c>
      <c r="O452" s="1666">
        <v>-7</v>
      </c>
      <c r="P452" s="1666">
        <v>-51</v>
      </c>
      <c r="Q452" s="1666"/>
      <c r="R452" s="1666">
        <v>-14</v>
      </c>
      <c r="S452" s="1666">
        <v>-25</v>
      </c>
      <c r="T452" s="1666">
        <v>-15</v>
      </c>
      <c r="U452" s="1666">
        <v>-32</v>
      </c>
      <c r="V452" s="1698">
        <f>Master!T28</f>
        <v>-86</v>
      </c>
      <c r="W452" s="1666">
        <v>-20</v>
      </c>
      <c r="X452" s="1666">
        <v>-48</v>
      </c>
      <c r="Y452" s="1666">
        <v>-22</v>
      </c>
      <c r="Z452" s="1666">
        <v>-35</v>
      </c>
      <c r="AA452" s="1698">
        <f>Master!U28</f>
        <v>-35</v>
      </c>
      <c r="AB452" s="1666">
        <v>3</v>
      </c>
      <c r="AC452" s="1666"/>
      <c r="AD452" s="1666">
        <v>-18</v>
      </c>
      <c r="AE452" s="1666"/>
      <c r="AF452" s="1666">
        <v>-17</v>
      </c>
      <c r="AG452" s="1666"/>
      <c r="AH452" s="1666">
        <v>-9</v>
      </c>
      <c r="AI452" s="1666"/>
      <c r="AJ452" s="2191">
        <f>Master!V28</f>
        <v>-41</v>
      </c>
      <c r="AK452" s="1666"/>
      <c r="AL452" s="1666"/>
      <c r="AM452" s="1666"/>
      <c r="AN452" s="1666"/>
      <c r="AO452" s="2191">
        <f>Master!W28</f>
        <v>-1</v>
      </c>
      <c r="AP452" s="1666"/>
      <c r="AQ452" s="1666"/>
      <c r="AR452" s="1666"/>
      <c r="AS452" s="2216">
        <v>-1</v>
      </c>
      <c r="AT452" s="2191">
        <f>Master!X28</f>
        <v>-39</v>
      </c>
      <c r="AU452" s="2216"/>
      <c r="AV452" s="2216"/>
      <c r="AW452" s="2216"/>
      <c r="AX452" s="2216"/>
      <c r="AY452" s="2191"/>
      <c r="AZ452" s="2216"/>
      <c r="BA452" s="2216"/>
      <c r="BB452" s="2216"/>
      <c r="BC452" s="2216"/>
      <c r="BD452" s="2191"/>
      <c r="BE452" s="2216"/>
      <c r="BF452" s="2216"/>
      <c r="BG452" s="2216"/>
      <c r="BH452" s="2216"/>
      <c r="BI452" s="2191"/>
      <c r="BJ452" s="1945"/>
      <c r="BK452" s="1945"/>
      <c r="BL452" s="1945"/>
      <c r="BM452" s="1945"/>
      <c r="BN452" s="2191"/>
      <c r="BO452" s="1698"/>
      <c r="BP452" s="1698"/>
      <c r="BQ452" s="1293"/>
      <c r="BR452" s="1293"/>
      <c r="BS452" s="1293"/>
      <c r="BT452" s="1293"/>
      <c r="BU452" s="1293"/>
      <c r="BV452" s="1293"/>
      <c r="BW452" s="1293"/>
      <c r="BX452" s="1293"/>
      <c r="BY452" s="1293"/>
      <c r="BZ452" s="1293"/>
      <c r="CA452" s="1293"/>
      <c r="CB452" s="1293"/>
      <c r="CC452" s="1293"/>
      <c r="CD452" s="1293"/>
      <c r="CE452" s="1293"/>
      <c r="CF452" s="1293"/>
      <c r="CG452" s="1293"/>
      <c r="CH452" s="1293"/>
      <c r="CI452" s="1293"/>
      <c r="CJ452" s="1293"/>
      <c r="CK452" s="1293"/>
      <c r="CL452" s="1293"/>
      <c r="CM452" s="1293"/>
      <c r="CN452" s="1293"/>
      <c r="CO452" s="1293"/>
      <c r="CP452" s="1293"/>
      <c r="CQ452" s="1293"/>
      <c r="CR452" s="1293"/>
      <c r="CS452" s="1293"/>
      <c r="CT452" s="1293"/>
      <c r="CU452" s="1293"/>
      <c r="CV452" s="1293"/>
      <c r="CW452" s="1293"/>
      <c r="CX452" s="1293"/>
      <c r="CY452" s="2215">
        <v>23.958931566613728</v>
      </c>
      <c r="CZ452" s="1948">
        <v>10</v>
      </c>
      <c r="DA452" s="2217">
        <v>13.5</v>
      </c>
      <c r="DB452" s="2218">
        <v>14</v>
      </c>
      <c r="DC452" s="1293"/>
      <c r="DD452" s="1293"/>
      <c r="DE452" s="1293"/>
      <c r="DF452" s="1293"/>
      <c r="DG452" s="1293"/>
      <c r="DH452" s="1293"/>
      <c r="DI452" s="1293"/>
      <c r="DJ452" s="1293"/>
      <c r="DK452" s="1293"/>
      <c r="DL452" s="1293"/>
    </row>
    <row r="453" spans="1:116" ht="15.75">
      <c r="A453" s="1293"/>
      <c r="B453" s="1653" t="s">
        <v>4542</v>
      </c>
      <c r="C453" s="1666"/>
      <c r="D453" s="1666"/>
      <c r="E453" s="1666"/>
      <c r="F453" s="1666">
        <v>29</v>
      </c>
      <c r="G453" s="1666"/>
      <c r="H453" s="1666"/>
      <c r="I453" s="1666"/>
      <c r="J453" s="1666"/>
      <c r="K453" s="1666"/>
      <c r="L453" s="1666"/>
      <c r="M453" s="1666"/>
      <c r="N453" s="1666"/>
      <c r="O453" s="1666"/>
      <c r="P453" s="1666"/>
      <c r="Q453" s="1666"/>
      <c r="R453" s="1666"/>
      <c r="S453" s="1666"/>
      <c r="T453" s="1666"/>
      <c r="U453" s="1666"/>
      <c r="V453" s="1293"/>
      <c r="W453" s="1666"/>
      <c r="X453" s="1666"/>
      <c r="Y453" s="1666"/>
      <c r="Z453" s="1666"/>
      <c r="AA453" s="1293"/>
      <c r="AB453" s="1666"/>
      <c r="AC453" s="1666"/>
      <c r="AD453" s="1666"/>
      <c r="AE453" s="1666"/>
      <c r="AF453" s="1666"/>
      <c r="AG453" s="1666"/>
      <c r="AH453" s="1666"/>
      <c r="AI453" s="1666"/>
      <c r="AJ453" s="2186"/>
      <c r="AK453" s="1666"/>
      <c r="AL453" s="1666"/>
      <c r="AM453" s="1666"/>
      <c r="AN453" s="1666"/>
      <c r="AO453" s="2186"/>
      <c r="AP453" s="1666"/>
      <c r="AQ453" s="1666"/>
      <c r="AR453" s="1666"/>
      <c r="AS453" s="1666"/>
      <c r="AT453" s="2186"/>
      <c r="AU453" s="1666"/>
      <c r="AV453" s="1666"/>
      <c r="AW453" s="1666"/>
      <c r="AX453" s="1666"/>
      <c r="AY453" s="2186"/>
      <c r="AZ453" s="1666"/>
      <c r="BA453" s="1666"/>
      <c r="BB453" s="1666"/>
      <c r="BC453" s="1293"/>
      <c r="BD453" s="2186"/>
      <c r="BE453" s="1666"/>
      <c r="BF453" s="1666"/>
      <c r="BG453" s="1666"/>
      <c r="BH453" s="1293"/>
      <c r="BI453" s="2191">
        <f>Master!AA33</f>
        <v>-1.2200000000000001E-2</v>
      </c>
      <c r="BJ453" s="1945">
        <v>0</v>
      </c>
      <c r="BK453" s="1945">
        <v>0</v>
      </c>
      <c r="BL453" s="1945">
        <v>0</v>
      </c>
      <c r="BM453" s="1945">
        <f>BN453-BJ453-BK453-BL453</f>
        <v>0</v>
      </c>
      <c r="BN453" s="2185">
        <f>Master!AB33</f>
        <v>0</v>
      </c>
      <c r="BO453" s="1293"/>
      <c r="BP453" s="1293"/>
      <c r="BQ453" s="1293"/>
      <c r="BR453" s="1293"/>
      <c r="BS453" s="1293"/>
      <c r="BT453" s="1293"/>
      <c r="BU453" s="1293"/>
      <c r="BV453" s="1293"/>
      <c r="BW453" s="1293"/>
      <c r="BX453" s="1293"/>
      <c r="BY453" s="1293"/>
      <c r="BZ453" s="1293"/>
      <c r="CA453" s="1293"/>
      <c r="CB453" s="1293"/>
      <c r="CC453" s="1293"/>
      <c r="CD453" s="1293"/>
      <c r="CE453" s="1293"/>
      <c r="CF453" s="1293"/>
      <c r="CG453" s="1293"/>
      <c r="CH453" s="1293"/>
      <c r="CI453" s="1293"/>
      <c r="CJ453" s="1293"/>
      <c r="CK453" s="1293"/>
      <c r="CL453" s="1293"/>
      <c r="CM453" s="1293"/>
      <c r="CN453" s="1293"/>
      <c r="CO453" s="1293"/>
      <c r="CP453" s="1293"/>
      <c r="CQ453" s="1293"/>
      <c r="CR453" s="1293"/>
      <c r="CS453" s="1293"/>
      <c r="CT453" s="1293"/>
      <c r="CU453" s="1293"/>
      <c r="CV453" s="1293"/>
      <c r="CW453" s="1293"/>
      <c r="CX453" s="1293"/>
      <c r="CY453" s="2032"/>
      <c r="CZ453" s="1293"/>
      <c r="DA453" s="2214"/>
      <c r="DB453" s="2215"/>
      <c r="DC453" s="1293"/>
      <c r="DD453" s="1293"/>
      <c r="DE453" s="1293"/>
      <c r="DF453" s="1293"/>
      <c r="DG453" s="1293"/>
      <c r="DH453" s="1293"/>
      <c r="DI453" s="1293"/>
      <c r="DJ453" s="1293"/>
      <c r="DK453" s="1293"/>
      <c r="DL453" s="1293"/>
    </row>
    <row r="454" spans="1:116" ht="15.75">
      <c r="A454" s="1293"/>
      <c r="B454" s="1653"/>
      <c r="C454" s="1666"/>
      <c r="D454" s="1666"/>
      <c r="E454" s="1666"/>
      <c r="F454" s="1666"/>
      <c r="G454" s="1666"/>
      <c r="H454" s="1666"/>
      <c r="I454" s="1666"/>
      <c r="J454" s="1666"/>
      <c r="K454" s="1666"/>
      <c r="L454" s="1666"/>
      <c r="M454" s="1666"/>
      <c r="N454" s="1666"/>
      <c r="O454" s="1666"/>
      <c r="P454" s="1666"/>
      <c r="Q454" s="1666"/>
      <c r="R454" s="1666"/>
      <c r="S454" s="1666"/>
      <c r="T454" s="1666"/>
      <c r="U454" s="1666"/>
      <c r="V454" s="1293"/>
      <c r="W454" s="1666"/>
      <c r="X454" s="1666"/>
      <c r="Y454" s="1666"/>
      <c r="Z454" s="1666"/>
      <c r="AA454" s="1293"/>
      <c r="AB454" s="1666"/>
      <c r="AC454" s="1666"/>
      <c r="AD454" s="1666"/>
      <c r="AE454" s="1666"/>
      <c r="AF454" s="1666"/>
      <c r="AG454" s="1666"/>
      <c r="AH454" s="1666"/>
      <c r="AI454" s="1666"/>
      <c r="AJ454" s="2186"/>
      <c r="AK454" s="1666"/>
      <c r="AL454" s="1666"/>
      <c r="AM454" s="1666"/>
      <c r="AN454" s="1666"/>
      <c r="AO454" s="2186"/>
      <c r="AP454" s="1666"/>
      <c r="AQ454" s="1666"/>
      <c r="AR454" s="1666"/>
      <c r="AS454" s="1666"/>
      <c r="AT454" s="2186"/>
      <c r="AU454" s="1666"/>
      <c r="AV454" s="1666"/>
      <c r="AW454" s="1666"/>
      <c r="AX454" s="1666"/>
      <c r="AY454" s="2186"/>
      <c r="AZ454" s="1666"/>
      <c r="BA454" s="1666"/>
      <c r="BB454" s="1666"/>
      <c r="BC454" s="1293"/>
      <c r="BD454" s="2186"/>
      <c r="BE454" s="1666"/>
      <c r="BF454" s="1666"/>
      <c r="BG454" s="1666"/>
      <c r="BH454" s="1293"/>
      <c r="BI454" s="2186"/>
      <c r="BJ454" s="1666"/>
      <c r="BK454" s="1666"/>
      <c r="BL454" s="1666"/>
      <c r="BM454" s="1666"/>
      <c r="BN454" s="2186"/>
      <c r="BO454" s="1293"/>
      <c r="BP454" s="1293"/>
      <c r="BQ454" s="1293"/>
      <c r="BR454" s="1293"/>
      <c r="BS454" s="1293"/>
      <c r="BT454" s="1293"/>
      <c r="BU454" s="1293"/>
      <c r="BV454" s="1293"/>
      <c r="BW454" s="1293"/>
      <c r="BX454" s="1293"/>
      <c r="BY454" s="1293"/>
      <c r="BZ454" s="1293"/>
      <c r="CA454" s="1293"/>
      <c r="CB454" s="1293"/>
      <c r="CC454" s="1293"/>
      <c r="CD454" s="1293"/>
      <c r="CE454" s="1293"/>
      <c r="CF454" s="1293"/>
      <c r="CG454" s="1293"/>
      <c r="CH454" s="1293"/>
      <c r="CI454" s="1293"/>
      <c r="CJ454" s="1293"/>
      <c r="CK454" s="1293"/>
      <c r="CL454" s="1293"/>
      <c r="CM454" s="1293"/>
      <c r="CN454" s="1293"/>
      <c r="CO454" s="1293"/>
      <c r="CP454" s="1293"/>
      <c r="CQ454" s="1293"/>
      <c r="CR454" s="1293"/>
      <c r="CS454" s="1293"/>
      <c r="CT454" s="1293"/>
      <c r="CU454" s="1293"/>
      <c r="CV454" s="1293"/>
      <c r="CW454" s="1293"/>
      <c r="CX454" s="1293"/>
      <c r="CY454" s="2032"/>
      <c r="CZ454" s="1293"/>
      <c r="DA454" s="2214"/>
      <c r="DB454" s="2215"/>
      <c r="DC454" s="1293"/>
      <c r="DD454" s="1293"/>
      <c r="DE454" s="1293"/>
      <c r="DF454" s="1293"/>
      <c r="DG454" s="1293"/>
      <c r="DH454" s="1293"/>
      <c r="DI454" s="1293"/>
      <c r="DJ454" s="1293"/>
      <c r="DK454" s="1293"/>
      <c r="DL454" s="1293"/>
    </row>
    <row r="455" spans="1:116" ht="15.75">
      <c r="A455" s="1293"/>
      <c r="B455" s="1653" t="s">
        <v>5753</v>
      </c>
      <c r="C455" s="1666">
        <f>-104+1</f>
        <v>-103</v>
      </c>
      <c r="D455" s="1666">
        <v>-89</v>
      </c>
      <c r="E455" s="1666">
        <v>-101</v>
      </c>
      <c r="F455" s="1666">
        <v>-111</v>
      </c>
      <c r="G455" s="1666"/>
      <c r="H455" s="1666">
        <v>-121</v>
      </c>
      <c r="I455" s="1666">
        <f>-97+8</f>
        <v>-89</v>
      </c>
      <c r="J455" s="1666">
        <v>-107</v>
      </c>
      <c r="K455" s="1666">
        <v>-103</v>
      </c>
      <c r="L455" s="1666"/>
      <c r="M455" s="1666">
        <v>-107</v>
      </c>
      <c r="N455" s="1666">
        <v>-123</v>
      </c>
      <c r="O455" s="1666">
        <v>-112</v>
      </c>
      <c r="P455" s="1666">
        <v>-130</v>
      </c>
      <c r="Q455" s="1666"/>
      <c r="R455" s="1666">
        <v>-118</v>
      </c>
      <c r="S455" s="1666">
        <v>-125</v>
      </c>
      <c r="T455" s="1666">
        <v>-134</v>
      </c>
      <c r="U455" s="1666">
        <v>-101</v>
      </c>
      <c r="V455" s="1698">
        <f>Master!T40</f>
        <v>-471</v>
      </c>
      <c r="W455" s="1666">
        <v>-103</v>
      </c>
      <c r="X455" s="1666">
        <v>-107</v>
      </c>
      <c r="Y455" s="1666">
        <v>-114</v>
      </c>
      <c r="Z455" s="1666">
        <v>-111</v>
      </c>
      <c r="AA455" s="1698">
        <f>Master!U40</f>
        <v>-436</v>
      </c>
      <c r="AB455" s="1666">
        <v>-164</v>
      </c>
      <c r="AC455" s="1666"/>
      <c r="AD455" s="1666">
        <v>-156</v>
      </c>
      <c r="AE455" s="1666"/>
      <c r="AF455" s="1666">
        <v>-153</v>
      </c>
      <c r="AG455" s="1666"/>
      <c r="AH455" s="1666">
        <v>-173</v>
      </c>
      <c r="AI455" s="1666"/>
      <c r="AJ455" s="2191">
        <f>Master!V40</f>
        <v>-646</v>
      </c>
      <c r="AK455" s="2216">
        <v>-167</v>
      </c>
      <c r="AL455" s="2216">
        <v>-191</v>
      </c>
      <c r="AM455" s="2216">
        <v>-200</v>
      </c>
      <c r="AN455" s="2216">
        <v>-172</v>
      </c>
      <c r="AO455" s="2191">
        <f>Master!W40</f>
        <v>-730</v>
      </c>
      <c r="AP455" s="2216">
        <v>-166</v>
      </c>
      <c r="AQ455" s="2216">
        <v>-144</v>
      </c>
      <c r="AR455" s="2216">
        <v>-121</v>
      </c>
      <c r="AS455" s="2216">
        <v>-153</v>
      </c>
      <c r="AT455" s="2191">
        <f>Master!X40</f>
        <v>-583</v>
      </c>
      <c r="AU455" s="1666">
        <f>AU456+AU457</f>
        <v>-136</v>
      </c>
      <c r="AV455" s="1666">
        <f>AV456+AV457</f>
        <v>-176.24</v>
      </c>
      <c r="AW455" s="1666">
        <f>AW456+AW457</f>
        <v>-191.95</v>
      </c>
      <c r="AX455" s="1666">
        <f>AX456+AX457</f>
        <v>-173.45</v>
      </c>
      <c r="AY455" s="2191">
        <f>Master!Y40</f>
        <v>-599</v>
      </c>
      <c r="AZ455" s="2216">
        <f>-166</f>
        <v>-166</v>
      </c>
      <c r="BA455" s="2216">
        <f>-174</f>
        <v>-174</v>
      </c>
      <c r="BB455" s="2216">
        <v>-176</v>
      </c>
      <c r="BC455" s="2216">
        <v>-169</v>
      </c>
      <c r="BD455" s="2191">
        <f>Master!Z40</f>
        <v>-684</v>
      </c>
      <c r="BE455" s="2216">
        <v>-164</v>
      </c>
      <c r="BF455" s="2216">
        <v>-180</v>
      </c>
      <c r="BG455" s="2216">
        <v>-166</v>
      </c>
      <c r="BH455" s="2216">
        <v>-159.88480000000001</v>
      </c>
      <c r="BI455" s="2191">
        <f>Master!AA40</f>
        <v>-670</v>
      </c>
      <c r="BJ455" s="1945">
        <v>-160</v>
      </c>
      <c r="BK455" s="1945">
        <v>-160</v>
      </c>
      <c r="BL455" s="1945">
        <v>-160</v>
      </c>
      <c r="BM455" s="1945">
        <f ca="1">BN455-BJ455-BK455-BL455</f>
        <v>-169.26354709684381</v>
      </c>
      <c r="BN455" s="2191">
        <f ca="1">Master!AB40</f>
        <v>-649.26354709684381</v>
      </c>
      <c r="BO455" s="1698"/>
      <c r="BP455" s="1698"/>
      <c r="BQ455" s="1293"/>
      <c r="BR455" s="1293"/>
      <c r="BS455" s="1293"/>
      <c r="BT455" s="1293"/>
      <c r="BU455" s="1293"/>
      <c r="BV455" s="1293"/>
      <c r="BW455" s="1293"/>
      <c r="BX455" s="1293"/>
      <c r="BY455" s="1293"/>
      <c r="BZ455" s="1293"/>
      <c r="CA455" s="1293"/>
      <c r="CB455" s="1293"/>
      <c r="CC455" s="1293"/>
      <c r="CD455" s="1293"/>
      <c r="CE455" s="1293"/>
      <c r="CF455" s="1293"/>
      <c r="CG455" s="1293"/>
      <c r="CH455" s="1293"/>
      <c r="CI455" s="1293"/>
      <c r="CJ455" s="1293"/>
      <c r="CK455" s="1293"/>
      <c r="CL455" s="1293"/>
      <c r="CM455" s="1293"/>
      <c r="CN455" s="1293"/>
      <c r="CO455" s="1293"/>
      <c r="CP455" s="1293"/>
      <c r="CQ455" s="1293"/>
      <c r="CR455" s="1293"/>
      <c r="CS455" s="1293"/>
      <c r="CT455" s="1293"/>
      <c r="CU455" s="1293"/>
      <c r="CV455" s="1293"/>
      <c r="CW455" s="1293"/>
      <c r="CX455" s="1293"/>
      <c r="CY455" s="2215">
        <v>-216.30568052657691</v>
      </c>
      <c r="CZ455" s="1666">
        <f>CZ456+CZ457</f>
        <v>-170</v>
      </c>
      <c r="DA455" s="2217">
        <v>-165</v>
      </c>
      <c r="DB455" s="2218">
        <v>-170</v>
      </c>
      <c r="DC455" s="1293"/>
      <c r="DD455" s="1293"/>
      <c r="DE455" s="1293"/>
      <c r="DF455" s="1293"/>
      <c r="DG455" s="1293"/>
      <c r="DH455" s="1293"/>
      <c r="DI455" s="1293"/>
      <c r="DJ455" s="1293"/>
      <c r="DK455" s="1293"/>
      <c r="DL455" s="1293"/>
    </row>
    <row r="456" spans="1:116" ht="15.75">
      <c r="A456" s="1293"/>
      <c r="B456" s="1931" t="s">
        <v>3207</v>
      </c>
      <c r="C456" s="1666">
        <v>-21</v>
      </c>
      <c r="D456" s="1666">
        <v>0</v>
      </c>
      <c r="E456" s="1666">
        <v>0</v>
      </c>
      <c r="F456" s="1666">
        <v>0</v>
      </c>
      <c r="G456" s="1666"/>
      <c r="H456" s="1666">
        <v>-17</v>
      </c>
      <c r="I456" s="1666">
        <v>0</v>
      </c>
      <c r="J456" s="1666">
        <v>-6</v>
      </c>
      <c r="K456" s="1666">
        <v>0</v>
      </c>
      <c r="L456" s="1666"/>
      <c r="M456" s="1666">
        <v>0</v>
      </c>
      <c r="N456" s="1666">
        <v>-5</v>
      </c>
      <c r="O456" s="1666">
        <v>0</v>
      </c>
      <c r="P456" s="1666">
        <v>-25</v>
      </c>
      <c r="Q456" s="1666"/>
      <c r="R456" s="1666">
        <v>0</v>
      </c>
      <c r="S456" s="1666">
        <v>-15</v>
      </c>
      <c r="T456" s="1666">
        <f>-28-11</f>
        <v>-39</v>
      </c>
      <c r="U456" s="1666">
        <v>0</v>
      </c>
      <c r="V456" s="1666">
        <f>SUM(R456:U456)</f>
        <v>-54</v>
      </c>
      <c r="W456" s="1666">
        <v>0</v>
      </c>
      <c r="X456" s="1666">
        <v>0</v>
      </c>
      <c r="Y456" s="1666">
        <v>0</v>
      </c>
      <c r="Z456" s="1666">
        <v>0</v>
      </c>
      <c r="AA456" s="1666">
        <f>SUM(W456:Z456)</f>
        <v>0</v>
      </c>
      <c r="AB456" s="1666">
        <v>-24</v>
      </c>
      <c r="AC456" s="1666"/>
      <c r="AD456" s="1666">
        <v>0</v>
      </c>
      <c r="AE456" s="1666"/>
      <c r="AF456" s="1666">
        <v>0</v>
      </c>
      <c r="AG456" s="1666"/>
      <c r="AH456" s="1666">
        <v>0</v>
      </c>
      <c r="AI456" s="1666"/>
      <c r="AJ456" s="2191">
        <f>Master!V412</f>
        <v>-34</v>
      </c>
      <c r="AK456" s="1666">
        <v>0</v>
      </c>
      <c r="AL456" s="1666">
        <f>-3/12*30</f>
        <v>-7.5</v>
      </c>
      <c r="AM456" s="1666">
        <v>0</v>
      </c>
      <c r="AN456" s="1666">
        <v>0</v>
      </c>
      <c r="AO456" s="2212">
        <f>SUM(AK456:AN456)</f>
        <v>-7.5</v>
      </c>
      <c r="AP456" s="1666">
        <v>0</v>
      </c>
      <c r="AQ456" s="1666">
        <v>0</v>
      </c>
      <c r="AR456" s="1666">
        <v>0</v>
      </c>
      <c r="AS456" s="1666">
        <v>0</v>
      </c>
      <c r="AT456" s="2191">
        <f>Master!X412</f>
        <v>0</v>
      </c>
      <c r="AU456" s="1666">
        <f>1+4</f>
        <v>5</v>
      </c>
      <c r="AV456" s="1666">
        <f>-11-1</f>
        <v>-12</v>
      </c>
      <c r="AW456" s="1666">
        <v>-35</v>
      </c>
      <c r="AX456" s="1666">
        <v>-36.479999999999997</v>
      </c>
      <c r="AY456" s="2191">
        <f>Master!Y412</f>
        <v>0</v>
      </c>
      <c r="AZ456" s="1666"/>
      <c r="BA456" s="1666"/>
      <c r="BB456" s="1666"/>
      <c r="BC456" s="1666"/>
      <c r="BD456" s="2191">
        <f>Master!Z412</f>
        <v>0</v>
      </c>
      <c r="BE456" s="1666"/>
      <c r="BF456" s="2228"/>
      <c r="BG456" s="2228"/>
      <c r="BH456" s="2228"/>
      <c r="BI456" s="2191">
        <f>Master!AA412</f>
        <v>0</v>
      </c>
      <c r="BJ456" s="1666"/>
      <c r="BK456" s="1666"/>
      <c r="BL456" s="1666"/>
      <c r="BM456" s="1666"/>
      <c r="BN456" s="2191">
        <f>Master!AB412</f>
        <v>0</v>
      </c>
      <c r="BO456" s="1698"/>
      <c r="BP456" s="1698"/>
      <c r="BQ456" s="1293"/>
      <c r="BR456" s="1293"/>
      <c r="BS456" s="1293"/>
      <c r="BT456" s="1293"/>
      <c r="BU456" s="1293"/>
      <c r="BV456" s="1293"/>
      <c r="BW456" s="1293"/>
      <c r="BX456" s="1293"/>
      <c r="BY456" s="1293"/>
      <c r="BZ456" s="1293"/>
      <c r="CA456" s="1293"/>
      <c r="CB456" s="1293"/>
      <c r="CC456" s="1293"/>
      <c r="CD456" s="1293"/>
      <c r="CE456" s="1293"/>
      <c r="CF456" s="1293"/>
      <c r="CG456" s="1293"/>
      <c r="CH456" s="1293"/>
      <c r="CI456" s="1293"/>
      <c r="CJ456" s="1293"/>
      <c r="CK456" s="1293"/>
      <c r="CL456" s="1293"/>
      <c r="CM456" s="1293"/>
      <c r="CN456" s="1293"/>
      <c r="CO456" s="1293"/>
      <c r="CP456" s="1293"/>
      <c r="CQ456" s="1293"/>
      <c r="CR456" s="1293"/>
      <c r="CS456" s="1293"/>
      <c r="CT456" s="1293"/>
      <c r="CU456" s="1293"/>
      <c r="CV456" s="1293"/>
      <c r="CW456" s="1293"/>
      <c r="CX456" s="1293"/>
      <c r="CY456" s="2215">
        <v>0</v>
      </c>
      <c r="CZ456" s="1885">
        <v>0</v>
      </c>
      <c r="DA456" s="2217">
        <v>0</v>
      </c>
      <c r="DB456" s="2218">
        <v>0</v>
      </c>
      <c r="DC456" s="1293"/>
      <c r="DD456" s="1293"/>
      <c r="DE456" s="1293"/>
      <c r="DF456" s="1293"/>
      <c r="DG456" s="1293"/>
      <c r="DH456" s="1293"/>
      <c r="DI456" s="1293"/>
      <c r="DJ456" s="1293"/>
      <c r="DK456" s="1293"/>
      <c r="DL456" s="1293"/>
    </row>
    <row r="457" spans="1:116" ht="15.75">
      <c r="A457" s="1293"/>
      <c r="B457" s="1931" t="s">
        <v>3545</v>
      </c>
      <c r="C457" s="1666">
        <f>C455-C456</f>
        <v>-82</v>
      </c>
      <c r="D457" s="1666">
        <f>D455-D456</f>
        <v>-89</v>
      </c>
      <c r="E457" s="1666">
        <f>E455-E456</f>
        <v>-101</v>
      </c>
      <c r="F457" s="1666">
        <f>F455-F456</f>
        <v>-111</v>
      </c>
      <c r="G457" s="1666"/>
      <c r="H457" s="1666">
        <f>H455-H456</f>
        <v>-104</v>
      </c>
      <c r="I457" s="1666">
        <f>I455-I456</f>
        <v>-89</v>
      </c>
      <c r="J457" s="1666">
        <f>J455-J456</f>
        <v>-101</v>
      </c>
      <c r="K457" s="1666">
        <f>K455-K456</f>
        <v>-103</v>
      </c>
      <c r="L457" s="1666"/>
      <c r="M457" s="1666">
        <f>M455-M456</f>
        <v>-107</v>
      </c>
      <c r="N457" s="1666">
        <f>N455-N456</f>
        <v>-118</v>
      </c>
      <c r="O457" s="1666">
        <f>O455-O456</f>
        <v>-112</v>
      </c>
      <c r="P457" s="1666">
        <f>P455-P456</f>
        <v>-105</v>
      </c>
      <c r="Q457" s="1666"/>
      <c r="R457" s="1666">
        <f>R455-R456</f>
        <v>-118</v>
      </c>
      <c r="S457" s="1666">
        <f>S455-S456</f>
        <v>-110</v>
      </c>
      <c r="T457" s="1666">
        <f>T455-T456</f>
        <v>-95</v>
      </c>
      <c r="U457" s="1666">
        <f>U455-U456</f>
        <v>-101</v>
      </c>
      <c r="V457" s="1666">
        <f>SUM(R457:U457)</f>
        <v>-424</v>
      </c>
      <c r="W457" s="1666">
        <f>W455-W456</f>
        <v>-103</v>
      </c>
      <c r="X457" s="1666">
        <f>X455-X456</f>
        <v>-107</v>
      </c>
      <c r="Y457" s="1666">
        <f>Y455-Y456</f>
        <v>-114</v>
      </c>
      <c r="Z457" s="1666">
        <f>Z455-Z456</f>
        <v>-111</v>
      </c>
      <c r="AA457" s="1666">
        <f>SUM(W457:Z457)</f>
        <v>-435</v>
      </c>
      <c r="AB457" s="1666">
        <f>AB455-AB456</f>
        <v>-140</v>
      </c>
      <c r="AC457" s="1666"/>
      <c r="AD457" s="1666">
        <f>AD455-AD456</f>
        <v>-156</v>
      </c>
      <c r="AE457" s="1666"/>
      <c r="AF457" s="1666">
        <f>AF455-AF456</f>
        <v>-153</v>
      </c>
      <c r="AG457" s="1666"/>
      <c r="AH457" s="1666">
        <f>AH455-AH456</f>
        <v>-173</v>
      </c>
      <c r="AI457" s="1666"/>
      <c r="AJ457" s="2212">
        <f>AJ455-AJ456</f>
        <v>-612</v>
      </c>
      <c r="AK457" s="1666">
        <f>AK455-AK456</f>
        <v>-167</v>
      </c>
      <c r="AL457" s="1666">
        <f>AL455-AL456</f>
        <v>-183.5</v>
      </c>
      <c r="AM457" s="1666">
        <f>AM455-AM456</f>
        <v>-200</v>
      </c>
      <c r="AN457" s="1666">
        <f>AN455-AN456</f>
        <v>-172</v>
      </c>
      <c r="AO457" s="2212">
        <f>SUM(AK457:AN457)</f>
        <v>-722.5</v>
      </c>
      <c r="AP457" s="1666">
        <f>AP455-AP456</f>
        <v>-166</v>
      </c>
      <c r="AQ457" s="1666">
        <f>AQ455-AQ456</f>
        <v>-144</v>
      </c>
      <c r="AR457" s="1666">
        <f>AR455-AR456</f>
        <v>-121</v>
      </c>
      <c r="AS457" s="1666">
        <f>AS455-AS456</f>
        <v>-153</v>
      </c>
      <c r="AT457" s="2212">
        <f>AT455-AT456</f>
        <v>-583</v>
      </c>
      <c r="AU457" s="1666">
        <v>-141</v>
      </c>
      <c r="AV457" s="1666">
        <v>-164.24</v>
      </c>
      <c r="AW457" s="1666">
        <v>-156.94999999999999</v>
      </c>
      <c r="AX457" s="1666">
        <v>-136.97</v>
      </c>
      <c r="AY457" s="2212">
        <f>AY455-AY456</f>
        <v>-599</v>
      </c>
      <c r="AZ457" s="1666">
        <f>AZ455</f>
        <v>-166</v>
      </c>
      <c r="BA457" s="1666">
        <f>BA455</f>
        <v>-174</v>
      </c>
      <c r="BB457" s="1666">
        <f>BB455</f>
        <v>-176</v>
      </c>
      <c r="BC457" s="1666">
        <f>BC455</f>
        <v>-169</v>
      </c>
      <c r="BD457" s="2212">
        <f>BD455-BD456</f>
        <v>-684</v>
      </c>
      <c r="BE457" s="1666">
        <f>BE455</f>
        <v>-164</v>
      </c>
      <c r="BF457" s="1666">
        <f>BF455</f>
        <v>-180</v>
      </c>
      <c r="BG457" s="1666">
        <f>BG455</f>
        <v>-166</v>
      </c>
      <c r="BH457" s="1666">
        <f t="shared" ref="BH457" si="503">BH455-BH456</f>
        <v>-159.88480000000001</v>
      </c>
      <c r="BI457" s="2212">
        <f>BI455-BI456</f>
        <v>-670</v>
      </c>
      <c r="BJ457" s="1666">
        <f>BJ455</f>
        <v>-160</v>
      </c>
      <c r="BK457" s="1666">
        <f>BK455</f>
        <v>-160</v>
      </c>
      <c r="BL457" s="1666">
        <f>BL455</f>
        <v>-160</v>
      </c>
      <c r="BM457" s="1666">
        <f t="shared" ref="BM457" ca="1" si="504">BM455-BM456</f>
        <v>-169.26354709684381</v>
      </c>
      <c r="BN457" s="2212">
        <f ca="1">BN455-BN456</f>
        <v>-649.26354709684381</v>
      </c>
      <c r="BO457" s="1666"/>
      <c r="BP457" s="1698"/>
      <c r="BQ457" s="1293"/>
      <c r="BR457" s="1293"/>
      <c r="BS457" s="1293"/>
      <c r="BT457" s="1293"/>
      <c r="BU457" s="1293"/>
      <c r="BV457" s="1293"/>
      <c r="BW457" s="1293"/>
      <c r="BX457" s="1293"/>
      <c r="BY457" s="1293"/>
      <c r="BZ457" s="1293"/>
      <c r="CA457" s="1293"/>
      <c r="CB457" s="1293"/>
      <c r="CC457" s="1293"/>
      <c r="CD457" s="1293"/>
      <c r="CE457" s="1293"/>
      <c r="CF457" s="1293"/>
      <c r="CG457" s="1293"/>
      <c r="CH457" s="1293"/>
      <c r="CI457" s="1293"/>
      <c r="CJ457" s="1293"/>
      <c r="CK457" s="1293"/>
      <c r="CL457" s="1293"/>
      <c r="CM457" s="1293"/>
      <c r="CN457" s="1293"/>
      <c r="CO457" s="1293"/>
      <c r="CP457" s="1293"/>
      <c r="CQ457" s="1293"/>
      <c r="CR457" s="1293"/>
      <c r="CS457" s="1293"/>
      <c r="CT457" s="1293"/>
      <c r="CU457" s="1293"/>
      <c r="CV457" s="1293"/>
      <c r="CW457" s="1293"/>
      <c r="CX457" s="1293"/>
      <c r="CY457" s="2215">
        <v>-216.30568052657691</v>
      </c>
      <c r="CZ457" s="1885">
        <v>-170</v>
      </c>
      <c r="DA457" s="2214">
        <v>-165</v>
      </c>
      <c r="DB457" s="2215">
        <v>-170</v>
      </c>
      <c r="DC457" s="1293"/>
      <c r="DD457" s="1293"/>
      <c r="DE457" s="1293"/>
      <c r="DF457" s="1293"/>
      <c r="DG457" s="1293"/>
      <c r="DH457" s="1293"/>
      <c r="DI457" s="1293"/>
      <c r="DJ457" s="1293"/>
      <c r="DK457" s="1293"/>
      <c r="DL457" s="1293"/>
    </row>
    <row r="458" spans="1:116" ht="15.75">
      <c r="A458" s="1293"/>
      <c r="B458" s="2219" t="s">
        <v>8358</v>
      </c>
      <c r="C458" s="1666"/>
      <c r="D458" s="1666"/>
      <c r="E458" s="1666"/>
      <c r="F458" s="1666"/>
      <c r="G458" s="1666"/>
      <c r="H458" s="1666"/>
      <c r="I458" s="1666"/>
      <c r="J458" s="1666"/>
      <c r="K458" s="1666"/>
      <c r="L458" s="1666"/>
      <c r="M458" s="1666"/>
      <c r="N458" s="1666"/>
      <c r="O458" s="1666"/>
      <c r="P458" s="1666"/>
      <c r="Q458" s="1666"/>
      <c r="R458" s="1666"/>
      <c r="S458" s="1666"/>
      <c r="T458" s="1666"/>
      <c r="U458" s="1666"/>
      <c r="V458" s="1293"/>
      <c r="W458" s="1666"/>
      <c r="X458" s="1666"/>
      <c r="Y458" s="1666"/>
      <c r="Z458" s="1666"/>
      <c r="AA458" s="1293"/>
      <c r="AB458" s="1666"/>
      <c r="AC458" s="1666"/>
      <c r="AD458" s="1666"/>
      <c r="AE458" s="1666"/>
      <c r="AF458" s="1666"/>
      <c r="AG458" s="1666"/>
      <c r="AH458" s="1666"/>
      <c r="AI458" s="1666"/>
      <c r="AJ458" s="2186"/>
      <c r="AK458" s="1666"/>
      <c r="AL458" s="1666"/>
      <c r="AM458" s="1666"/>
      <c r="AN458" s="1666"/>
      <c r="AO458" s="2186"/>
      <c r="AP458" s="1666"/>
      <c r="AQ458" s="1666"/>
      <c r="AR458" s="1666"/>
      <c r="AS458" s="1666"/>
      <c r="AT458" s="2186"/>
      <c r="AU458" s="2220">
        <v>-33</v>
      </c>
      <c r="AV458" s="2220">
        <v>-33</v>
      </c>
      <c r="AW458" s="2220">
        <v>-31</v>
      </c>
      <c r="AX458" s="2220">
        <v>-29</v>
      </c>
      <c r="AY458" s="2221">
        <f>SUM(AU458:AX458)</f>
        <v>-126</v>
      </c>
      <c r="AZ458" s="2220">
        <v>-29</v>
      </c>
      <c r="BA458" s="2220">
        <v>-30</v>
      </c>
      <c r="BB458" s="2220">
        <v>-30</v>
      </c>
      <c r="BC458" s="2220">
        <v>-29</v>
      </c>
      <c r="BD458" s="2221">
        <f>SUM(AZ458:BC458)</f>
        <v>-118</v>
      </c>
      <c r="BE458" s="2220">
        <v>-30</v>
      </c>
      <c r="BF458" s="2220">
        <v>-31</v>
      </c>
      <c r="BG458" s="2220">
        <v>-31</v>
      </c>
      <c r="BH458" s="2220">
        <v>-29.695399999999999</v>
      </c>
      <c r="BI458" s="2221">
        <f>SUM(BE458:BH458)</f>
        <v>-121.69540000000001</v>
      </c>
      <c r="BJ458" s="2220"/>
      <c r="BK458" s="2220"/>
      <c r="BL458" s="2220"/>
      <c r="BM458" s="2220"/>
      <c r="BN458" s="2191">
        <f>-Master!AB495</f>
        <v>-125.05</v>
      </c>
      <c r="BO458" s="1293"/>
      <c r="BP458" s="1293"/>
      <c r="BQ458" s="1293"/>
      <c r="BR458" s="1293"/>
      <c r="BS458" s="1293"/>
      <c r="BT458" s="1293"/>
      <c r="BU458" s="1293"/>
      <c r="BV458" s="1293"/>
      <c r="BW458" s="1293"/>
      <c r="BX458" s="1293"/>
      <c r="BY458" s="1293"/>
      <c r="BZ458" s="1293"/>
      <c r="CA458" s="1293"/>
      <c r="CB458" s="1293"/>
      <c r="CC458" s="1293"/>
      <c r="CD458" s="1293"/>
      <c r="CE458" s="1293"/>
      <c r="CF458" s="1293"/>
      <c r="CG458" s="1293"/>
      <c r="CH458" s="1293"/>
      <c r="CI458" s="1293"/>
      <c r="CJ458" s="1293"/>
      <c r="CK458" s="1293"/>
      <c r="CL458" s="1293"/>
      <c r="CM458" s="1293"/>
      <c r="CN458" s="1293"/>
      <c r="CO458" s="1293"/>
      <c r="CP458" s="1293"/>
      <c r="CQ458" s="1293"/>
      <c r="CR458" s="1293"/>
      <c r="CS458" s="1293"/>
      <c r="CT458" s="1293"/>
      <c r="CU458" s="1293"/>
      <c r="CV458" s="1293"/>
      <c r="CW458" s="1293"/>
      <c r="CX458" s="1293"/>
      <c r="CY458" s="2032"/>
      <c r="CZ458" s="1293"/>
      <c r="DA458" s="2230">
        <v>-30</v>
      </c>
      <c r="DB458" s="2222">
        <v>-32</v>
      </c>
      <c r="DC458" s="1293"/>
      <c r="DD458" s="1293"/>
      <c r="DE458" s="1293"/>
      <c r="DF458" s="1293"/>
      <c r="DG458" s="1293"/>
      <c r="DH458" s="1293"/>
      <c r="DI458" s="1293"/>
      <c r="DJ458" s="1293"/>
      <c r="DK458" s="1293"/>
      <c r="DL458" s="1293"/>
    </row>
    <row r="459" spans="1:116" ht="15.75">
      <c r="A459" s="1293"/>
      <c r="B459" s="2219"/>
      <c r="C459" s="1666"/>
      <c r="D459" s="1666"/>
      <c r="E459" s="1666"/>
      <c r="F459" s="1666"/>
      <c r="G459" s="1666"/>
      <c r="H459" s="1666"/>
      <c r="I459" s="1666"/>
      <c r="J459" s="1666"/>
      <c r="K459" s="1666"/>
      <c r="L459" s="1666"/>
      <c r="M459" s="1666"/>
      <c r="N459" s="1666"/>
      <c r="O459" s="1666"/>
      <c r="P459" s="1666"/>
      <c r="Q459" s="1666"/>
      <c r="R459" s="1666"/>
      <c r="S459" s="1666"/>
      <c r="T459" s="1666"/>
      <c r="U459" s="1666"/>
      <c r="V459" s="1293"/>
      <c r="W459" s="1666"/>
      <c r="X459" s="1666"/>
      <c r="Y459" s="1666"/>
      <c r="Z459" s="1666"/>
      <c r="AA459" s="1293"/>
      <c r="AB459" s="1666"/>
      <c r="AC459" s="1666"/>
      <c r="AD459" s="1666"/>
      <c r="AE459" s="1666"/>
      <c r="AF459" s="1666"/>
      <c r="AG459" s="1666"/>
      <c r="AH459" s="1666"/>
      <c r="AI459" s="1666"/>
      <c r="AJ459" s="2186"/>
      <c r="AK459" s="1666"/>
      <c r="AL459" s="1666"/>
      <c r="AM459" s="1666"/>
      <c r="AN459" s="1666"/>
      <c r="AO459" s="2186"/>
      <c r="AP459" s="1666"/>
      <c r="AQ459" s="1666"/>
      <c r="AR459" s="1666"/>
      <c r="AS459" s="1666"/>
      <c r="AT459" s="2186"/>
      <c r="AU459" s="1666"/>
      <c r="AV459" s="1666"/>
      <c r="AW459" s="1666"/>
      <c r="AX459" s="1666"/>
      <c r="AY459" s="2186"/>
      <c r="AZ459" s="1666"/>
      <c r="BA459" s="1666"/>
      <c r="BB459" s="1666"/>
      <c r="BC459" s="1293"/>
      <c r="BD459" s="2186"/>
      <c r="BE459" s="1666"/>
      <c r="BF459" s="1666"/>
      <c r="BG459" s="1666"/>
      <c r="BH459" s="1293"/>
      <c r="BI459" s="2186"/>
      <c r="BJ459" s="1666"/>
      <c r="BK459" s="1666"/>
      <c r="BL459" s="1666"/>
      <c r="BM459" s="1666"/>
      <c r="BN459" s="2186"/>
      <c r="BO459" s="1293"/>
      <c r="BP459" s="1293"/>
      <c r="BQ459" s="1293"/>
      <c r="BR459" s="1293"/>
      <c r="BS459" s="1293"/>
      <c r="BT459" s="1293"/>
      <c r="BU459" s="1293"/>
      <c r="BV459" s="1293"/>
      <c r="BW459" s="1293"/>
      <c r="BX459" s="1293"/>
      <c r="BY459" s="1293"/>
      <c r="BZ459" s="1293"/>
      <c r="CA459" s="1293"/>
      <c r="CB459" s="1293"/>
      <c r="CC459" s="1293"/>
      <c r="CD459" s="1293"/>
      <c r="CE459" s="1293"/>
      <c r="CF459" s="1293"/>
      <c r="CG459" s="1293"/>
      <c r="CH459" s="1293"/>
      <c r="CI459" s="1293"/>
      <c r="CJ459" s="1293"/>
      <c r="CK459" s="1293"/>
      <c r="CL459" s="1293"/>
      <c r="CM459" s="1293"/>
      <c r="CN459" s="1293"/>
      <c r="CO459" s="1293"/>
      <c r="CP459" s="1293"/>
      <c r="CQ459" s="1293"/>
      <c r="CR459" s="1293"/>
      <c r="CS459" s="1293"/>
      <c r="CT459" s="1293"/>
      <c r="CU459" s="1293"/>
      <c r="CV459" s="1293"/>
      <c r="CW459" s="1293"/>
      <c r="CX459" s="1293"/>
      <c r="CY459" s="2032"/>
      <c r="CZ459" s="1293"/>
      <c r="DA459" s="2214"/>
      <c r="DB459" s="2215"/>
      <c r="DC459" s="1293"/>
      <c r="DD459" s="1293"/>
      <c r="DE459" s="1293"/>
      <c r="DF459" s="1293"/>
      <c r="DG459" s="1293"/>
      <c r="DH459" s="1293"/>
      <c r="DI459" s="1293"/>
      <c r="DJ459" s="1293"/>
      <c r="DK459" s="1293"/>
      <c r="DL459" s="1293"/>
    </row>
    <row r="460" spans="1:116" ht="15.75">
      <c r="A460" s="1293"/>
      <c r="B460" s="1684" t="s">
        <v>394</v>
      </c>
      <c r="C460" s="1685">
        <f>C449+SUM(C451:C453)+C455</f>
        <v>2322.2380441357263</v>
      </c>
      <c r="D460" s="1685">
        <f>D449+SUM(D451:D453)+D455</f>
        <v>311.66628541077989</v>
      </c>
      <c r="E460" s="1685">
        <f>E449+SUM(E451:E453)+E455</f>
        <v>246.90778223221787</v>
      </c>
      <c r="F460" s="1685">
        <f>F449+SUM(F451:F453)+F455</f>
        <v>165.50900000000001</v>
      </c>
      <c r="G460" s="1685"/>
      <c r="H460" s="1685">
        <f>H449+SUM(H451:H453)+H455</f>
        <v>19.376284548175931</v>
      </c>
      <c r="I460" s="1685">
        <f>I449+SUM(I451:I453)+I455</f>
        <v>27.87781643309097</v>
      </c>
      <c r="J460" s="1685">
        <f>J449+SUM(J451:J453)+J455</f>
        <v>74.281760988170049</v>
      </c>
      <c r="K460" s="1685">
        <f>K449+SUM(K451:K453)+K455</f>
        <v>-207.39448369294007</v>
      </c>
      <c r="L460" s="1685"/>
      <c r="M460" s="1685">
        <f>M449+SUM(M451:M453)+M455</f>
        <v>135.14491672464999</v>
      </c>
      <c r="N460" s="1685">
        <f>N449+SUM(N451:N453)+N455</f>
        <v>136.609181729635</v>
      </c>
      <c r="O460" s="1685">
        <f>O449+SUM(O451:O453)+O455</f>
        <v>116.70535091125601</v>
      </c>
      <c r="P460" s="1685">
        <f>P449+SUM(P451:P453)+P455</f>
        <v>-151</v>
      </c>
      <c r="Q460" s="1685"/>
      <c r="R460" s="1685">
        <f t="shared" ref="R460:AB460" si="505">R449+SUM(R451:R453)+R455</f>
        <v>115</v>
      </c>
      <c r="S460" s="1685">
        <f t="shared" si="505"/>
        <v>30</v>
      </c>
      <c r="T460" s="1685">
        <f t="shared" si="505"/>
        <v>101</v>
      </c>
      <c r="U460" s="1685">
        <f t="shared" si="505"/>
        <v>120.49395591025987</v>
      </c>
      <c r="V460" s="1685">
        <f t="shared" si="505"/>
        <v>409</v>
      </c>
      <c r="W460" s="1685">
        <f t="shared" si="505"/>
        <v>139</v>
      </c>
      <c r="X460" s="1685">
        <f t="shared" si="505"/>
        <v>81</v>
      </c>
      <c r="Y460" s="1685">
        <f t="shared" si="505"/>
        <v>125</v>
      </c>
      <c r="Z460" s="1685">
        <f t="shared" si="505"/>
        <v>-2</v>
      </c>
      <c r="AA460" s="1685">
        <f t="shared" si="505"/>
        <v>466</v>
      </c>
      <c r="AB460" s="1685">
        <f t="shared" si="505"/>
        <v>106</v>
      </c>
      <c r="AC460" s="1685"/>
      <c r="AD460" s="1685">
        <f>AD449+SUM(AD451:AD453)+AD455</f>
        <v>58</v>
      </c>
      <c r="AE460" s="1685"/>
      <c r="AF460" s="1685">
        <f>AF449+SUM(AF451:AF453)+AF455</f>
        <v>-31</v>
      </c>
      <c r="AG460" s="1685"/>
      <c r="AH460" s="1685">
        <f>AH449+SUM(AH451:AH453)+AH455</f>
        <v>338</v>
      </c>
      <c r="AI460" s="1685"/>
      <c r="AJ460" s="2225">
        <f t="shared" ref="AJ460:BE460" si="506">AJ449+SUM(AJ451:AJ453)+AJ455</f>
        <v>511</v>
      </c>
      <c r="AK460" s="1685">
        <f t="shared" si="506"/>
        <v>-105</v>
      </c>
      <c r="AL460" s="1685">
        <f t="shared" si="506"/>
        <v>5</v>
      </c>
      <c r="AM460" s="1685">
        <f t="shared" si="506"/>
        <v>-11</v>
      </c>
      <c r="AN460" s="1685">
        <f t="shared" si="506"/>
        <v>80</v>
      </c>
      <c r="AO460" s="2225">
        <f t="shared" si="506"/>
        <v>38</v>
      </c>
      <c r="AP460" s="1685">
        <f t="shared" si="506"/>
        <v>110</v>
      </c>
      <c r="AQ460" s="1685">
        <f t="shared" si="506"/>
        <v>15</v>
      </c>
      <c r="AR460" s="1685">
        <f t="shared" si="506"/>
        <v>152</v>
      </c>
      <c r="AS460" s="1685">
        <f t="shared" si="506"/>
        <v>774</v>
      </c>
      <c r="AT460" s="2225">
        <f t="shared" si="506"/>
        <v>1065</v>
      </c>
      <c r="AU460" s="1685">
        <f t="shared" si="506"/>
        <v>98.90809999999999</v>
      </c>
      <c r="AV460" s="1685">
        <f t="shared" si="506"/>
        <v>71.09850000000003</v>
      </c>
      <c r="AW460" s="1685">
        <f t="shared" si="506"/>
        <v>3.8177000000000021</v>
      </c>
      <c r="AX460" s="1685">
        <f t="shared" si="506"/>
        <v>64.160699999999963</v>
      </c>
      <c r="AY460" s="2225">
        <f t="shared" si="506"/>
        <v>315.13499999999976</v>
      </c>
      <c r="AZ460" s="1685">
        <f t="shared" si="506"/>
        <v>38.274900000000002</v>
      </c>
      <c r="BA460" s="1685">
        <f t="shared" si="506"/>
        <v>33.927199999999971</v>
      </c>
      <c r="BB460" s="1685">
        <f t="shared" si="506"/>
        <v>35.571699999999964</v>
      </c>
      <c r="BC460" s="1685">
        <f t="shared" si="506"/>
        <v>66.501700000000028</v>
      </c>
      <c r="BD460" s="2225">
        <f t="shared" si="506"/>
        <v>138.28549999999996</v>
      </c>
      <c r="BE460" s="1685">
        <f t="shared" si="506"/>
        <v>152.80830000000003</v>
      </c>
      <c r="BF460" s="1685">
        <f t="shared" ref="BF460:BH460" si="507">BF449+SUM(BF451:BF453)+BF455</f>
        <v>155.90470000000005</v>
      </c>
      <c r="BG460" s="1685">
        <f t="shared" si="507"/>
        <v>122.97339999999997</v>
      </c>
      <c r="BH460" s="1685">
        <f t="shared" si="507"/>
        <v>120.54580000000001</v>
      </c>
      <c r="BI460" s="2225">
        <f t="shared" ref="BI460:BN460" si="508">BI449+SUM(BI451:BI453)+BI455</f>
        <v>553.02020000000039</v>
      </c>
      <c r="BJ460" s="1685">
        <f t="shared" si="508"/>
        <v>127.5</v>
      </c>
      <c r="BK460" s="1685">
        <f t="shared" si="508"/>
        <v>147.5</v>
      </c>
      <c r="BL460" s="1685">
        <f t="shared" si="508"/>
        <v>142.5</v>
      </c>
      <c r="BM460" s="1685">
        <f t="shared" ca="1" si="508"/>
        <v>122.70671953415689</v>
      </c>
      <c r="BN460" s="2225">
        <f t="shared" ca="1" si="508"/>
        <v>540.20671953415683</v>
      </c>
      <c r="BO460" s="1666"/>
      <c r="BP460" s="1666"/>
      <c r="BQ460" s="1293"/>
      <c r="BR460" s="1293"/>
      <c r="BS460" s="1293"/>
      <c r="BT460" s="1293"/>
      <c r="BU460" s="1293"/>
      <c r="BV460" s="1293"/>
      <c r="BW460" s="1293"/>
      <c r="BX460" s="1293"/>
      <c r="BY460" s="1293"/>
      <c r="BZ460" s="1293"/>
      <c r="CA460" s="1293"/>
      <c r="CB460" s="1293"/>
      <c r="CC460" s="1293"/>
      <c r="CD460" s="1293"/>
      <c r="CE460" s="1293"/>
      <c r="CF460" s="1293"/>
      <c r="CG460" s="1293"/>
      <c r="CH460" s="1293"/>
      <c r="CI460" s="1293"/>
      <c r="CJ460" s="1293"/>
      <c r="CK460" s="1293"/>
      <c r="CL460" s="1293"/>
      <c r="CM460" s="1293"/>
      <c r="CN460" s="1293"/>
      <c r="CO460" s="1293"/>
      <c r="CP460" s="1293"/>
      <c r="CQ460" s="1293"/>
      <c r="CR460" s="1293"/>
      <c r="CS460" s="1293"/>
      <c r="CT460" s="1293"/>
      <c r="CU460" s="1293"/>
      <c r="CV460" s="1293"/>
      <c r="CW460" s="1293"/>
      <c r="CX460" s="1293"/>
      <c r="CY460" s="2215">
        <v>49.708912316033661</v>
      </c>
      <c r="CZ460" s="1666">
        <f>CZ449+SUM(CZ451:CZ453)+CZ455</f>
        <v>71.240029226577008</v>
      </c>
      <c r="DA460" s="2214">
        <v>164.04926373173475</v>
      </c>
      <c r="DB460" s="2215">
        <v>168.44576315960626</v>
      </c>
      <c r="DC460" s="1293"/>
      <c r="DD460" s="1293"/>
      <c r="DE460" s="1293"/>
      <c r="DF460" s="1293"/>
      <c r="DG460" s="1293"/>
      <c r="DH460" s="1293"/>
      <c r="DI460" s="1293"/>
      <c r="DJ460" s="1293"/>
      <c r="DK460" s="1293"/>
      <c r="DL460" s="1293"/>
    </row>
    <row r="461" spans="1:116" ht="15.75">
      <c r="A461" s="1293"/>
      <c r="B461" s="1900"/>
      <c r="C461" s="1666"/>
      <c r="D461" s="1666"/>
      <c r="E461" s="1666"/>
      <c r="F461" s="1666"/>
      <c r="G461" s="1666"/>
      <c r="H461" s="1666"/>
      <c r="I461" s="1666"/>
      <c r="J461" s="1666"/>
      <c r="K461" s="1666"/>
      <c r="L461" s="1666"/>
      <c r="M461" s="1666"/>
      <c r="N461" s="1666"/>
      <c r="O461" s="1666"/>
      <c r="P461" s="1666"/>
      <c r="Q461" s="1666"/>
      <c r="R461" s="1666"/>
      <c r="S461" s="1666"/>
      <c r="T461" s="1666"/>
      <c r="U461" s="1666"/>
      <c r="V461" s="1293"/>
      <c r="W461" s="1666"/>
      <c r="X461" s="1666"/>
      <c r="Y461" s="1666"/>
      <c r="Z461" s="1666"/>
      <c r="AA461" s="1293"/>
      <c r="AB461" s="1666"/>
      <c r="AC461" s="1666"/>
      <c r="AD461" s="1666"/>
      <c r="AE461" s="1666"/>
      <c r="AF461" s="1666"/>
      <c r="AG461" s="1666"/>
      <c r="AH461" s="1666"/>
      <c r="AI461" s="1666"/>
      <c r="AJ461" s="2186"/>
      <c r="AK461" s="1666"/>
      <c r="AL461" s="1666"/>
      <c r="AM461" s="1666"/>
      <c r="AN461" s="1666"/>
      <c r="AO461" s="2186"/>
      <c r="AP461" s="1666"/>
      <c r="AQ461" s="1666"/>
      <c r="AR461" s="1666"/>
      <c r="AS461" s="1666"/>
      <c r="AT461" s="2186"/>
      <c r="AU461" s="1666"/>
      <c r="AV461" s="1666"/>
      <c r="AW461" s="1666"/>
      <c r="AX461" s="1666"/>
      <c r="AY461" s="2186"/>
      <c r="AZ461" s="1666"/>
      <c r="BA461" s="1666"/>
      <c r="BB461" s="1666"/>
      <c r="BC461" s="1293"/>
      <c r="BD461" s="2186"/>
      <c r="BE461" s="1666"/>
      <c r="BF461" s="1666"/>
      <c r="BG461" s="1666"/>
      <c r="BH461" s="1293"/>
      <c r="BI461" s="2186"/>
      <c r="BJ461" s="1666"/>
      <c r="BK461" s="1666"/>
      <c r="BL461" s="1666"/>
      <c r="BM461" s="1666"/>
      <c r="BN461" s="2186"/>
      <c r="BO461" s="1293"/>
      <c r="BP461" s="1293"/>
      <c r="BQ461" s="1293"/>
      <c r="BR461" s="1293"/>
      <c r="BS461" s="1293"/>
      <c r="BT461" s="1293"/>
      <c r="BU461" s="1293"/>
      <c r="BV461" s="1293"/>
      <c r="BW461" s="1293"/>
      <c r="BX461" s="1293"/>
      <c r="BY461" s="1293"/>
      <c r="BZ461" s="1293"/>
      <c r="CA461" s="1293"/>
      <c r="CB461" s="1293"/>
      <c r="CC461" s="1293"/>
      <c r="CD461" s="1293"/>
      <c r="CE461" s="1293"/>
      <c r="CF461" s="1293"/>
      <c r="CG461" s="1293"/>
      <c r="CH461" s="1293"/>
      <c r="CI461" s="1293"/>
      <c r="CJ461" s="1293"/>
      <c r="CK461" s="1293"/>
      <c r="CL461" s="1293"/>
      <c r="CM461" s="1293"/>
      <c r="CN461" s="1293"/>
      <c r="CO461" s="1293"/>
      <c r="CP461" s="1293"/>
      <c r="CQ461" s="1293"/>
      <c r="CR461" s="1293"/>
      <c r="CS461" s="1293"/>
      <c r="CT461" s="1293"/>
      <c r="CU461" s="1293"/>
      <c r="CV461" s="1293"/>
      <c r="CW461" s="1293"/>
      <c r="CX461" s="1293"/>
      <c r="CY461" s="2032"/>
      <c r="CZ461" s="1293"/>
      <c r="DA461" s="2214"/>
      <c r="DB461" s="2215"/>
      <c r="DC461" s="1293"/>
      <c r="DD461" s="1293"/>
      <c r="DE461" s="1293"/>
      <c r="DF461" s="1293"/>
      <c r="DG461" s="1293"/>
      <c r="DH461" s="1293"/>
      <c r="DI461" s="1293"/>
      <c r="DJ461" s="1293"/>
      <c r="DK461" s="1293"/>
      <c r="DL461" s="1293"/>
    </row>
    <row r="462" spans="1:116" ht="15.75">
      <c r="A462" s="1293"/>
      <c r="B462" s="1653" t="s">
        <v>395</v>
      </c>
      <c r="C462" s="1666">
        <v>-71</v>
      </c>
      <c r="D462" s="1666">
        <v>-67</v>
      </c>
      <c r="E462" s="1666">
        <v>-30</v>
      </c>
      <c r="F462" s="1666">
        <v>-88</v>
      </c>
      <c r="G462" s="1666"/>
      <c r="H462" s="1666">
        <v>-39</v>
      </c>
      <c r="I462" s="1666">
        <v>-91</v>
      </c>
      <c r="J462" s="1666">
        <v>-39</v>
      </c>
      <c r="K462" s="1666">
        <v>-123</v>
      </c>
      <c r="L462" s="1666"/>
      <c r="M462" s="1666">
        <v>-62</v>
      </c>
      <c r="N462" s="1666">
        <v>-71</v>
      </c>
      <c r="O462" s="1666">
        <v>-53</v>
      </c>
      <c r="P462" s="1666">
        <v>-66</v>
      </c>
      <c r="Q462" s="1666"/>
      <c r="R462" s="1666">
        <v>-63</v>
      </c>
      <c r="S462" s="1666">
        <v>-60</v>
      </c>
      <c r="T462" s="1666">
        <v>-66</v>
      </c>
      <c r="U462" s="1666">
        <v>-63</v>
      </c>
      <c r="V462" s="1698">
        <f>Master!T44</f>
        <v>-252</v>
      </c>
      <c r="W462" s="1666">
        <v>-53</v>
      </c>
      <c r="X462" s="1666">
        <v>-61</v>
      </c>
      <c r="Y462" s="1666">
        <v>-20</v>
      </c>
      <c r="Z462" s="1666">
        <v>-71</v>
      </c>
      <c r="AA462" s="1698">
        <f>Master!U44</f>
        <v>-204</v>
      </c>
      <c r="AB462" s="1666">
        <v>-45</v>
      </c>
      <c r="AC462" s="1666"/>
      <c r="AD462" s="1666">
        <v>-47</v>
      </c>
      <c r="AE462" s="1666"/>
      <c r="AF462" s="1666">
        <v>-72</v>
      </c>
      <c r="AG462" s="1666"/>
      <c r="AH462" s="1666">
        <v>-58</v>
      </c>
      <c r="AI462" s="1666"/>
      <c r="AJ462" s="2191">
        <f>Master!V44</f>
        <v>-222</v>
      </c>
      <c r="AK462" s="2216">
        <v>-7</v>
      </c>
      <c r="AL462" s="2216">
        <v>-92</v>
      </c>
      <c r="AM462" s="2216">
        <v>-21</v>
      </c>
      <c r="AN462" s="2216">
        <v>-83</v>
      </c>
      <c r="AO462" s="2191">
        <f>Master!W44</f>
        <v>-204</v>
      </c>
      <c r="AP462" s="2216">
        <v>-33</v>
      </c>
      <c r="AQ462" s="2216">
        <v>-69</v>
      </c>
      <c r="AR462" s="2216">
        <v>-68</v>
      </c>
      <c r="AS462" s="2216">
        <v>-138</v>
      </c>
      <c r="AT462" s="2191">
        <f>Master!X44</f>
        <v>-189</v>
      </c>
      <c r="AU462" s="2216">
        <v>-69</v>
      </c>
      <c r="AV462" s="2216">
        <v>-77.53</v>
      </c>
      <c r="AW462" s="2216">
        <v>-53</v>
      </c>
      <c r="AX462" s="2216">
        <v>-21.94</v>
      </c>
      <c r="AY462" s="2191">
        <f>Master!Y44</f>
        <v>-225</v>
      </c>
      <c r="AZ462" s="2216">
        <v>-59</v>
      </c>
      <c r="BA462" s="2216">
        <v>-81</v>
      </c>
      <c r="BB462" s="2216">
        <v>-61</v>
      </c>
      <c r="BC462" s="2216">
        <v>-223</v>
      </c>
      <c r="BD462" s="2191">
        <f>Master!Z44</f>
        <v>-424</v>
      </c>
      <c r="BE462" s="2216">
        <v>-71</v>
      </c>
      <c r="BF462" s="2216">
        <v>-78</v>
      </c>
      <c r="BG462" s="2216">
        <v>-66</v>
      </c>
      <c r="BH462" s="2216">
        <v>-67.241799999999998</v>
      </c>
      <c r="BI462" s="2191">
        <f>Master!AA44</f>
        <v>-281</v>
      </c>
      <c r="BJ462" s="1945">
        <v>-72</v>
      </c>
      <c r="BK462" s="1945">
        <v>-72</v>
      </c>
      <c r="BL462" s="1945">
        <v>-72</v>
      </c>
      <c r="BM462" s="1945">
        <f ca="1">BN462-BJ462-BK462-BL462</f>
        <v>-51.302153297514508</v>
      </c>
      <c r="BN462" s="2191">
        <f ca="1">Master!AB44</f>
        <v>-267.30215329751451</v>
      </c>
      <c r="BO462" s="1698"/>
      <c r="BP462" s="1698"/>
      <c r="BQ462" s="1293"/>
      <c r="BR462" s="1293"/>
      <c r="BS462" s="1293"/>
      <c r="BT462" s="1293"/>
      <c r="BU462" s="1293"/>
      <c r="BV462" s="1293"/>
      <c r="BW462" s="1293"/>
      <c r="BX462" s="1293"/>
      <c r="BY462" s="1293"/>
      <c r="BZ462" s="1293"/>
      <c r="CA462" s="1293"/>
      <c r="CB462" s="1293"/>
      <c r="CC462" s="1293"/>
      <c r="CD462" s="1293"/>
      <c r="CE462" s="1293"/>
      <c r="CF462" s="1293"/>
      <c r="CG462" s="1293"/>
      <c r="CH462" s="1293"/>
      <c r="CI462" s="1293"/>
      <c r="CJ462" s="1293"/>
      <c r="CK462" s="1293"/>
      <c r="CL462" s="1293"/>
      <c r="CM462" s="1293"/>
      <c r="CN462" s="1293"/>
      <c r="CO462" s="1293"/>
      <c r="CP462" s="1293"/>
      <c r="CQ462" s="1293"/>
      <c r="CR462" s="1293"/>
      <c r="CS462" s="1293"/>
      <c r="CT462" s="1293"/>
      <c r="CU462" s="1293"/>
      <c r="CV462" s="1293"/>
      <c r="CW462" s="1293"/>
      <c r="CX462" s="1293"/>
      <c r="CY462" s="2215">
        <v>-44.208031810611772</v>
      </c>
      <c r="CZ462" s="1948">
        <v>-50</v>
      </c>
      <c r="DA462" s="2217">
        <v>-54</v>
      </c>
      <c r="DB462" s="2218">
        <v>-55</v>
      </c>
      <c r="DC462" s="1293"/>
      <c r="DD462" s="1293"/>
      <c r="DE462" s="1293"/>
      <c r="DF462" s="1293"/>
      <c r="DG462" s="1293"/>
      <c r="DH462" s="1293"/>
      <c r="DI462" s="1293"/>
      <c r="DJ462" s="1293"/>
      <c r="DK462" s="1293"/>
      <c r="DL462" s="1293"/>
    </row>
    <row r="463" spans="1:116" ht="15.75">
      <c r="A463" s="1293"/>
      <c r="B463" s="1931" t="s">
        <v>3207</v>
      </c>
      <c r="C463" s="1666">
        <f>C462-C464</f>
        <v>-13</v>
      </c>
      <c r="D463" s="1666">
        <v>0</v>
      </c>
      <c r="E463" s="1666">
        <v>0</v>
      </c>
      <c r="F463" s="1666">
        <v>0</v>
      </c>
      <c r="G463" s="1666"/>
      <c r="H463" s="1666"/>
      <c r="I463" s="1666"/>
      <c r="J463" s="1666"/>
      <c r="K463" s="1666"/>
      <c r="L463" s="1666"/>
      <c r="M463" s="1666"/>
      <c r="N463" s="1666"/>
      <c r="O463" s="1666"/>
      <c r="P463" s="1666"/>
      <c r="Q463" s="1666"/>
      <c r="R463" s="1666"/>
      <c r="S463" s="1666"/>
      <c r="T463" s="1666"/>
      <c r="U463" s="1666"/>
      <c r="V463" s="1293"/>
      <c r="W463" s="1666"/>
      <c r="X463" s="1666"/>
      <c r="Y463" s="1666"/>
      <c r="Z463" s="1666"/>
      <c r="AA463" s="1293"/>
      <c r="AB463" s="1666"/>
      <c r="AC463" s="1666"/>
      <c r="AD463" s="1666"/>
      <c r="AE463" s="1666"/>
      <c r="AF463" s="1666"/>
      <c r="AG463" s="1666"/>
      <c r="AH463" s="1666"/>
      <c r="AI463" s="1666"/>
      <c r="AJ463" s="2186"/>
      <c r="AK463" s="1666"/>
      <c r="AL463" s="1666"/>
      <c r="AM463" s="1666"/>
      <c r="AN463" s="1666"/>
      <c r="AO463" s="2186"/>
      <c r="AP463" s="1666"/>
      <c r="AQ463" s="1666"/>
      <c r="AR463" s="1666"/>
      <c r="AS463" s="1666"/>
      <c r="AT463" s="2186"/>
      <c r="AU463" s="1666"/>
      <c r="AV463" s="1666"/>
      <c r="AW463" s="1666"/>
      <c r="AX463" s="1666"/>
      <c r="AY463" s="2186"/>
      <c r="AZ463" s="1666"/>
      <c r="BA463" s="1666"/>
      <c r="BB463" s="1666"/>
      <c r="BC463" s="1293"/>
      <c r="BD463" s="2186"/>
      <c r="BE463" s="1666"/>
      <c r="BF463" s="1666"/>
      <c r="BG463" s="1666"/>
      <c r="BH463" s="1293"/>
      <c r="BI463" s="2186"/>
      <c r="BJ463" s="1666"/>
      <c r="BK463" s="1666"/>
      <c r="BL463" s="1666"/>
      <c r="BM463" s="1666"/>
      <c r="BN463" s="2186"/>
      <c r="BO463" s="1293"/>
      <c r="BP463" s="1293"/>
      <c r="BQ463" s="1293"/>
      <c r="BR463" s="1293"/>
      <c r="BS463" s="1293"/>
      <c r="BT463" s="1293"/>
      <c r="BU463" s="1293"/>
      <c r="BV463" s="1293"/>
      <c r="BW463" s="1293"/>
      <c r="BX463" s="1293"/>
      <c r="BY463" s="1293"/>
      <c r="BZ463" s="1293"/>
      <c r="CA463" s="1293"/>
      <c r="CB463" s="1293"/>
      <c r="CC463" s="1293"/>
      <c r="CD463" s="1293"/>
      <c r="CE463" s="1293"/>
      <c r="CF463" s="1293"/>
      <c r="CG463" s="1293"/>
      <c r="CH463" s="1293"/>
      <c r="CI463" s="1293"/>
      <c r="CJ463" s="1293"/>
      <c r="CK463" s="1293"/>
      <c r="CL463" s="1293"/>
      <c r="CM463" s="1293"/>
      <c r="CN463" s="1293"/>
      <c r="CO463" s="1293"/>
      <c r="CP463" s="1293"/>
      <c r="CQ463" s="1293"/>
      <c r="CR463" s="1293"/>
      <c r="CS463" s="1293"/>
      <c r="CT463" s="1293"/>
      <c r="CU463" s="1293"/>
      <c r="CV463" s="1293"/>
      <c r="CW463" s="1293"/>
      <c r="CX463" s="1293"/>
      <c r="CY463" s="2032"/>
      <c r="CZ463" s="1293"/>
      <c r="DA463" s="2214"/>
      <c r="DB463" s="2215"/>
      <c r="DC463" s="1293"/>
      <c r="DD463" s="1293"/>
      <c r="DE463" s="1293"/>
      <c r="DF463" s="1293"/>
      <c r="DG463" s="1293"/>
      <c r="DH463" s="1293"/>
      <c r="DI463" s="1293"/>
      <c r="DJ463" s="1293"/>
      <c r="DK463" s="1293"/>
      <c r="DL463" s="1293"/>
    </row>
    <row r="464" spans="1:116" ht="15.75">
      <c r="A464" s="1293"/>
      <c r="B464" s="1931" t="s">
        <v>3208</v>
      </c>
      <c r="C464" s="1666">
        <v>-58</v>
      </c>
      <c r="D464" s="1666">
        <f>D462-D463</f>
        <v>-67</v>
      </c>
      <c r="E464" s="1666">
        <f>E462-E463</f>
        <v>-30</v>
      </c>
      <c r="F464" s="1666">
        <f>F462-F463</f>
        <v>-88</v>
      </c>
      <c r="G464" s="1666"/>
      <c r="H464" s="1666"/>
      <c r="I464" s="1666"/>
      <c r="J464" s="1666"/>
      <c r="K464" s="1666"/>
      <c r="L464" s="1666"/>
      <c r="M464" s="1666"/>
      <c r="N464" s="1666"/>
      <c r="O464" s="1666"/>
      <c r="P464" s="1666"/>
      <c r="Q464" s="1666"/>
      <c r="R464" s="1666"/>
      <c r="S464" s="1666"/>
      <c r="T464" s="1666"/>
      <c r="U464" s="1666"/>
      <c r="V464" s="1293"/>
      <c r="W464" s="1666"/>
      <c r="X464" s="1666"/>
      <c r="Y464" s="1666"/>
      <c r="Z464" s="1666"/>
      <c r="AA464" s="1293"/>
      <c r="AB464" s="1666"/>
      <c r="AC464" s="1666"/>
      <c r="AD464" s="1666"/>
      <c r="AE464" s="1666"/>
      <c r="AF464" s="1666"/>
      <c r="AG464" s="1666"/>
      <c r="AH464" s="1666"/>
      <c r="AI464" s="1666"/>
      <c r="AJ464" s="2186"/>
      <c r="AK464" s="1666"/>
      <c r="AL464" s="1666"/>
      <c r="AM464" s="1666"/>
      <c r="AN464" s="1666"/>
      <c r="AO464" s="2186"/>
      <c r="AP464" s="1666"/>
      <c r="AQ464" s="1666"/>
      <c r="AR464" s="1666"/>
      <c r="AS464" s="1666"/>
      <c r="AT464" s="2186"/>
      <c r="AU464" s="1666"/>
      <c r="AV464" s="1666"/>
      <c r="AW464" s="1666"/>
      <c r="AX464" s="1666"/>
      <c r="AY464" s="2186"/>
      <c r="AZ464" s="1666"/>
      <c r="BA464" s="1666"/>
      <c r="BB464" s="1666"/>
      <c r="BC464" s="1293"/>
      <c r="BD464" s="2186"/>
      <c r="BE464" s="1666"/>
      <c r="BF464" s="1666"/>
      <c r="BG464" s="1666"/>
      <c r="BH464" s="1293"/>
      <c r="BI464" s="2186"/>
      <c r="BJ464" s="1666"/>
      <c r="BK464" s="1666"/>
      <c r="BL464" s="1666"/>
      <c r="BM464" s="1666"/>
      <c r="BN464" s="2186"/>
      <c r="BO464" s="1293"/>
      <c r="BP464" s="1293"/>
      <c r="BQ464" s="1293"/>
      <c r="BR464" s="1293"/>
      <c r="BS464" s="1293"/>
      <c r="BT464" s="1293"/>
      <c r="BU464" s="1293"/>
      <c r="BV464" s="1293"/>
      <c r="BW464" s="1293"/>
      <c r="BX464" s="1293"/>
      <c r="BY464" s="1293"/>
      <c r="BZ464" s="1293"/>
      <c r="CA464" s="1293"/>
      <c r="CB464" s="1293"/>
      <c r="CC464" s="1293"/>
      <c r="CD464" s="1293"/>
      <c r="CE464" s="1293"/>
      <c r="CF464" s="1293"/>
      <c r="CG464" s="1293"/>
      <c r="CH464" s="1293"/>
      <c r="CI464" s="1293"/>
      <c r="CJ464" s="1293"/>
      <c r="CK464" s="1293"/>
      <c r="CL464" s="1293"/>
      <c r="CM464" s="1293"/>
      <c r="CN464" s="1293"/>
      <c r="CO464" s="1293"/>
      <c r="CP464" s="1293"/>
      <c r="CQ464" s="1293"/>
      <c r="CR464" s="1293"/>
      <c r="CS464" s="1293"/>
      <c r="CT464" s="1293"/>
      <c r="CU464" s="1293"/>
      <c r="CV464" s="1293"/>
      <c r="CW464" s="1293"/>
      <c r="CX464" s="1293"/>
      <c r="CY464" s="2032"/>
      <c r="CZ464" s="1293"/>
      <c r="DA464" s="2214"/>
      <c r="DB464" s="2215"/>
      <c r="DC464" s="1293"/>
      <c r="DD464" s="1293"/>
      <c r="DE464" s="1293"/>
      <c r="DF464" s="1293"/>
      <c r="DG464" s="1293"/>
      <c r="DH464" s="1293"/>
      <c r="DI464" s="1293"/>
      <c r="DJ464" s="1293"/>
      <c r="DK464" s="1293"/>
      <c r="DL464" s="1293"/>
    </row>
    <row r="465" spans="1:116" ht="15.75">
      <c r="A465" s="1293"/>
      <c r="B465" s="1931"/>
      <c r="C465" s="1666"/>
      <c r="D465" s="1666"/>
      <c r="E465" s="1666"/>
      <c r="F465" s="1666"/>
      <c r="G465" s="1666"/>
      <c r="H465" s="1666"/>
      <c r="I465" s="1666"/>
      <c r="J465" s="1666"/>
      <c r="K465" s="1666"/>
      <c r="L465" s="1666"/>
      <c r="M465" s="1666"/>
      <c r="N465" s="1666"/>
      <c r="O465" s="1666"/>
      <c r="P465" s="1666"/>
      <c r="Q465" s="1666"/>
      <c r="R465" s="1666"/>
      <c r="S465" s="1666"/>
      <c r="T465" s="1666"/>
      <c r="U465" s="1666"/>
      <c r="V465" s="1293"/>
      <c r="W465" s="1666"/>
      <c r="X465" s="1666"/>
      <c r="Y465" s="1666"/>
      <c r="Z465" s="1666"/>
      <c r="AA465" s="1293"/>
      <c r="AB465" s="1666"/>
      <c r="AC465" s="1666"/>
      <c r="AD465" s="1666"/>
      <c r="AE465" s="1666"/>
      <c r="AF465" s="1666"/>
      <c r="AG465" s="1666"/>
      <c r="AH465" s="1666"/>
      <c r="AI465" s="1666"/>
      <c r="AJ465" s="2186"/>
      <c r="AK465" s="1666"/>
      <c r="AL465" s="1666"/>
      <c r="AM465" s="1666"/>
      <c r="AN465" s="1666"/>
      <c r="AO465" s="2186"/>
      <c r="AP465" s="1666"/>
      <c r="AQ465" s="1666"/>
      <c r="AR465" s="1666"/>
      <c r="AS465" s="1666"/>
      <c r="AT465" s="2186"/>
      <c r="AU465" s="1666"/>
      <c r="AV465" s="1666"/>
      <c r="AW465" s="1666"/>
      <c r="AX465" s="1666"/>
      <c r="AY465" s="2186"/>
      <c r="AZ465" s="1666"/>
      <c r="BA465" s="1666"/>
      <c r="BB465" s="1666"/>
      <c r="BC465" s="1293"/>
      <c r="BD465" s="2186"/>
      <c r="BE465" s="1666"/>
      <c r="BF465" s="1666"/>
      <c r="BG465" s="1666"/>
      <c r="BH465" s="1293"/>
      <c r="BI465" s="2186"/>
      <c r="BJ465" s="1666"/>
      <c r="BK465" s="1666"/>
      <c r="BL465" s="1666"/>
      <c r="BM465" s="1666"/>
      <c r="BN465" s="2186"/>
      <c r="BO465" s="1293"/>
      <c r="BP465" s="1293"/>
      <c r="BQ465" s="1293"/>
      <c r="BR465" s="1293"/>
      <c r="BS465" s="1293"/>
      <c r="BT465" s="1293"/>
      <c r="BU465" s="1293"/>
      <c r="BV465" s="1293"/>
      <c r="BW465" s="1293"/>
      <c r="BX465" s="1293"/>
      <c r="BY465" s="1293"/>
      <c r="BZ465" s="1293"/>
      <c r="CA465" s="1293"/>
      <c r="CB465" s="1293"/>
      <c r="CC465" s="1293"/>
      <c r="CD465" s="1293"/>
      <c r="CE465" s="1293"/>
      <c r="CF465" s="1293"/>
      <c r="CG465" s="1293"/>
      <c r="CH465" s="1293"/>
      <c r="CI465" s="1293"/>
      <c r="CJ465" s="1293"/>
      <c r="CK465" s="1293"/>
      <c r="CL465" s="1293"/>
      <c r="CM465" s="1293"/>
      <c r="CN465" s="1293"/>
      <c r="CO465" s="1293"/>
      <c r="CP465" s="1293"/>
      <c r="CQ465" s="1293"/>
      <c r="CR465" s="1293"/>
      <c r="CS465" s="1293"/>
      <c r="CT465" s="1293"/>
      <c r="CU465" s="1293"/>
      <c r="CV465" s="1293"/>
      <c r="CW465" s="1293"/>
      <c r="CX465" s="1293"/>
      <c r="CY465" s="2032"/>
      <c r="CZ465" s="1293"/>
      <c r="DA465" s="2214"/>
      <c r="DB465" s="2215"/>
      <c r="DC465" s="1293"/>
      <c r="DD465" s="1293"/>
      <c r="DE465" s="1293"/>
      <c r="DF465" s="1293"/>
      <c r="DG465" s="1293"/>
      <c r="DH465" s="1293"/>
      <c r="DI465" s="1293"/>
      <c r="DJ465" s="1293"/>
      <c r="DK465" s="1293"/>
      <c r="DL465" s="1293"/>
    </row>
    <row r="466" spans="1:116" ht="15.75">
      <c r="A466" s="1293"/>
      <c r="B466" s="1653" t="s">
        <v>20</v>
      </c>
      <c r="C466" s="1666">
        <v>21</v>
      </c>
      <c r="D466" s="1666"/>
      <c r="E466" s="1666"/>
      <c r="F466" s="1666"/>
      <c r="G466" s="1666"/>
      <c r="H466" s="1666"/>
      <c r="I466" s="1666"/>
      <c r="J466" s="1666"/>
      <c r="K466" s="1666"/>
      <c r="L466" s="1666"/>
      <c r="M466" s="1666">
        <v>8</v>
      </c>
      <c r="N466" s="1666">
        <v>6</v>
      </c>
      <c r="O466" s="1666">
        <v>4</v>
      </c>
      <c r="P466" s="1666">
        <v>1</v>
      </c>
      <c r="Q466" s="1666"/>
      <c r="R466" s="1666">
        <v>5</v>
      </c>
      <c r="S466" s="1666">
        <v>11</v>
      </c>
      <c r="T466" s="1666">
        <v>10</v>
      </c>
      <c r="U466" s="1666">
        <v>46</v>
      </c>
      <c r="V466" s="1293"/>
      <c r="W466" s="1666">
        <v>-32</v>
      </c>
      <c r="X466" s="1666">
        <v>-2</v>
      </c>
      <c r="Y466" s="1666">
        <v>0</v>
      </c>
      <c r="Z466" s="1666">
        <v>-4</v>
      </c>
      <c r="AA466" s="1698">
        <f>Master!U45</f>
        <v>-32</v>
      </c>
      <c r="AB466" s="1666">
        <v>0</v>
      </c>
      <c r="AC466" s="1666"/>
      <c r="AD466" s="1666">
        <v>64</v>
      </c>
      <c r="AE466" s="1666"/>
      <c r="AF466" s="1666">
        <v>-4</v>
      </c>
      <c r="AG466" s="1666"/>
      <c r="AH466" s="1666">
        <v>-3</v>
      </c>
      <c r="AI466" s="1666"/>
      <c r="AJ466" s="2191">
        <f>Master!V45</f>
        <v>57</v>
      </c>
      <c r="AK466" s="2216">
        <v>0</v>
      </c>
      <c r="AL466" s="2216">
        <v>-1</v>
      </c>
      <c r="AM466" s="2216">
        <v>-8</v>
      </c>
      <c r="AN466" s="2216">
        <v>-3</v>
      </c>
      <c r="AO466" s="2191">
        <f>Master!W45</f>
        <v>-12</v>
      </c>
      <c r="AP466" s="2216">
        <v>0</v>
      </c>
      <c r="AQ466" s="2216">
        <v>0</v>
      </c>
      <c r="AR466" s="2216">
        <v>0</v>
      </c>
      <c r="AS466" s="2216">
        <v>0</v>
      </c>
      <c r="AT466" s="2191">
        <f>Master!X45</f>
        <v>0</v>
      </c>
      <c r="AU466" s="2216">
        <v>-5</v>
      </c>
      <c r="AV466" s="2216">
        <v>116.66</v>
      </c>
      <c r="AW466" s="2216">
        <v>1.97</v>
      </c>
      <c r="AX466" s="2216">
        <v>-0.12</v>
      </c>
      <c r="AY466" s="2191">
        <f>Master!Y45</f>
        <v>113</v>
      </c>
      <c r="AZ466" s="2216">
        <v>-0.12</v>
      </c>
      <c r="BA466" s="2216">
        <v>0</v>
      </c>
      <c r="BB466" s="2216">
        <v>4</v>
      </c>
      <c r="BC466" s="2216">
        <v>-0.248</v>
      </c>
      <c r="BD466" s="2191">
        <f>Master!Z45</f>
        <v>4</v>
      </c>
      <c r="BE466" s="2216">
        <v>-9.8000000000000004E-2</v>
      </c>
      <c r="BF466" s="2216">
        <v>-0.20100000000000001</v>
      </c>
      <c r="BG466" s="2216">
        <v>-5.1999999999999998E-3</v>
      </c>
      <c r="BH466" s="2216">
        <v>-3.0590000000000002</v>
      </c>
      <c r="BI466" s="2191">
        <f>Master!AA45</f>
        <v>-3</v>
      </c>
      <c r="BJ466" s="1945">
        <v>0</v>
      </c>
      <c r="BK466" s="1945">
        <v>0</v>
      </c>
      <c r="BL466" s="1945">
        <v>0</v>
      </c>
      <c r="BM466" s="1945">
        <f>BN466-BJ466-BK466-BL466</f>
        <v>0</v>
      </c>
      <c r="BN466" s="2191">
        <f>Master!AB45</f>
        <v>0</v>
      </c>
      <c r="BO466" s="1698"/>
      <c r="BP466" s="1698"/>
      <c r="BQ466" s="1293"/>
      <c r="BR466" s="1293"/>
      <c r="BS466" s="1293"/>
      <c r="BT466" s="1293"/>
      <c r="BU466" s="1293"/>
      <c r="BV466" s="1293"/>
      <c r="BW466" s="1293"/>
      <c r="BX466" s="1293"/>
      <c r="BY466" s="1293"/>
      <c r="BZ466" s="1293"/>
      <c r="CA466" s="1293"/>
      <c r="CB466" s="1293"/>
      <c r="CC466" s="1293"/>
      <c r="CD466" s="1293"/>
      <c r="CE466" s="1293"/>
      <c r="CF466" s="1293"/>
      <c r="CG466" s="1293"/>
      <c r="CH466" s="1293"/>
      <c r="CI466" s="1293"/>
      <c r="CJ466" s="1293"/>
      <c r="CK466" s="1293"/>
      <c r="CL466" s="1293"/>
      <c r="CM466" s="1293"/>
      <c r="CN466" s="1293"/>
      <c r="CO466" s="1293"/>
      <c r="CP466" s="1293"/>
      <c r="CQ466" s="1293"/>
      <c r="CR466" s="1293"/>
      <c r="CS466" s="1293"/>
      <c r="CT466" s="1293"/>
      <c r="CU466" s="1293"/>
      <c r="CV466" s="1293"/>
      <c r="CW466" s="1293"/>
      <c r="CX466" s="1293"/>
      <c r="CY466" s="2215">
        <v>-3.88</v>
      </c>
      <c r="CZ466" s="1948">
        <v>0</v>
      </c>
      <c r="DA466" s="2217">
        <v>0</v>
      </c>
      <c r="DB466" s="2218">
        <v>0</v>
      </c>
      <c r="DC466" s="1293"/>
      <c r="DD466" s="1293"/>
      <c r="DE466" s="1293"/>
      <c r="DF466" s="1293"/>
      <c r="DG466" s="1293"/>
      <c r="DH466" s="1293"/>
      <c r="DI466" s="1293"/>
      <c r="DJ466" s="1293"/>
      <c r="DK466" s="1293"/>
      <c r="DL466" s="1293"/>
    </row>
    <row r="467" spans="1:116" ht="15.75">
      <c r="A467" s="1293"/>
      <c r="B467" s="1653" t="s">
        <v>396</v>
      </c>
      <c r="C467" s="1666">
        <v>-36</v>
      </c>
      <c r="D467" s="1666">
        <v>-57</v>
      </c>
      <c r="E467" s="1666">
        <v>-51</v>
      </c>
      <c r="F467" s="1666">
        <v>-14</v>
      </c>
      <c r="G467" s="1666"/>
      <c r="H467" s="1666">
        <v>-28</v>
      </c>
      <c r="I467" s="1666">
        <v>-36</v>
      </c>
      <c r="J467" s="1666">
        <v>-12</v>
      </c>
      <c r="K467" s="1666">
        <v>-39</v>
      </c>
      <c r="L467" s="1666"/>
      <c r="M467" s="1666">
        <v>-39</v>
      </c>
      <c r="N467" s="1666">
        <v>-29</v>
      </c>
      <c r="O467" s="1666">
        <v>-43</v>
      </c>
      <c r="P467" s="1666">
        <v>73</v>
      </c>
      <c r="Q467" s="1666"/>
      <c r="R467" s="1666">
        <v>-32</v>
      </c>
      <c r="S467" s="1666">
        <v>-9</v>
      </c>
      <c r="T467" s="1666">
        <v>-25</v>
      </c>
      <c r="U467" s="1666">
        <v>-36</v>
      </c>
      <c r="V467" s="1698">
        <f>Master!T46</f>
        <v>-102</v>
      </c>
      <c r="W467" s="1666">
        <v>-38</v>
      </c>
      <c r="X467" s="1666">
        <v>-19</v>
      </c>
      <c r="Y467" s="1666">
        <v>-38</v>
      </c>
      <c r="Z467" s="1666">
        <v>-19</v>
      </c>
      <c r="AA467" s="1698">
        <f>Master!U46</f>
        <v>-113</v>
      </c>
      <c r="AB467" s="1666">
        <v>-47</v>
      </c>
      <c r="AC467" s="1666"/>
      <c r="AD467" s="1666">
        <v>-29</v>
      </c>
      <c r="AE467" s="1666"/>
      <c r="AF467" s="1666">
        <v>-22</v>
      </c>
      <c r="AG467" s="1666"/>
      <c r="AH467" s="1666">
        <v>-54</v>
      </c>
      <c r="AI467" s="1666"/>
      <c r="AJ467" s="2191">
        <f>Master!V46</f>
        <v>-152</v>
      </c>
      <c r="AK467" s="2216">
        <v>-10</v>
      </c>
      <c r="AL467" s="2216">
        <v>-26</v>
      </c>
      <c r="AM467" s="2216">
        <v>-10</v>
      </c>
      <c r="AN467" s="2216">
        <v>-53</v>
      </c>
      <c r="AO467" s="2191">
        <f>Master!W46</f>
        <v>-99</v>
      </c>
      <c r="AP467" s="2216">
        <v>-32</v>
      </c>
      <c r="AQ467" s="2216">
        <v>-45</v>
      </c>
      <c r="AR467" s="2216">
        <v>-47</v>
      </c>
      <c r="AS467" s="2216">
        <v>3</v>
      </c>
      <c r="AT467" s="2191">
        <f>Master!X46</f>
        <v>-121</v>
      </c>
      <c r="AU467" s="2216">
        <v>-1</v>
      </c>
      <c r="AV467" s="2216">
        <v>18.45</v>
      </c>
      <c r="AW467" s="1666">
        <f>SUM(AW468:AW472)</f>
        <v>15.88</v>
      </c>
      <c r="AX467" s="1666">
        <f>SUM(AX468:AX472)</f>
        <v>15.19</v>
      </c>
      <c r="AY467" s="2191">
        <f>Master!Y46</f>
        <v>48</v>
      </c>
      <c r="AZ467" s="2216">
        <v>23</v>
      </c>
      <c r="BA467" s="2216">
        <v>26</v>
      </c>
      <c r="BB467" s="2216">
        <v>20</v>
      </c>
      <c r="BC467" s="2216">
        <v>94</v>
      </c>
      <c r="BD467" s="2191">
        <f>Master!Z46</f>
        <v>163</v>
      </c>
      <c r="BE467" s="2216">
        <v>10.024699999999999</v>
      </c>
      <c r="BF467" s="2216">
        <v>-0.3054</v>
      </c>
      <c r="BG467" s="2216">
        <v>-5.9379999999999997</v>
      </c>
      <c r="BH467" s="2216">
        <v>-18.7943</v>
      </c>
      <c r="BI467" s="2191">
        <f>Master!AA46</f>
        <v>-15</v>
      </c>
      <c r="BJ467" s="1945">
        <v>6.5</v>
      </c>
      <c r="BK467" s="1945">
        <v>6.5</v>
      </c>
      <c r="BL467" s="1945">
        <v>6.5</v>
      </c>
      <c r="BM467" s="1945">
        <f ca="1">BN467-BJ467-BK467-BL467</f>
        <v>5.8258114050108958</v>
      </c>
      <c r="BN467" s="2191">
        <f ca="1">Master!AB46</f>
        <v>25.325811405010896</v>
      </c>
      <c r="BO467" s="1698"/>
      <c r="BP467" s="1698"/>
      <c r="BQ467" s="1293"/>
      <c r="BR467" s="1293"/>
      <c r="BS467" s="1293"/>
      <c r="BT467" s="1293"/>
      <c r="BU467" s="1293"/>
      <c r="BV467" s="1293"/>
      <c r="BW467" s="1293"/>
      <c r="BX467" s="1293"/>
      <c r="BY467" s="1293"/>
      <c r="BZ467" s="1293"/>
      <c r="CA467" s="1293"/>
      <c r="CB467" s="1293"/>
      <c r="CC467" s="1293"/>
      <c r="CD467" s="1293"/>
      <c r="CE467" s="1293"/>
      <c r="CF467" s="1293"/>
      <c r="CG467" s="1293"/>
      <c r="CH467" s="1293"/>
      <c r="CI467" s="1293"/>
      <c r="CJ467" s="1293"/>
      <c r="CK467" s="1293"/>
      <c r="CL467" s="1293"/>
      <c r="CM467" s="1293"/>
      <c r="CN467" s="1293"/>
      <c r="CO467" s="1293"/>
      <c r="CP467" s="1293"/>
      <c r="CQ467" s="1293"/>
      <c r="CR467" s="1293"/>
      <c r="CS467" s="1293"/>
      <c r="CT467" s="1293"/>
      <c r="CU467" s="1293"/>
      <c r="CV467" s="1293"/>
      <c r="CW467" s="1293"/>
      <c r="CX467" s="1293"/>
      <c r="CY467" s="2215">
        <v>26</v>
      </c>
      <c r="CZ467" s="1948">
        <v>25</v>
      </c>
      <c r="DA467" s="2217">
        <v>19</v>
      </c>
      <c r="DB467" s="2218">
        <v>0</v>
      </c>
      <c r="DC467" s="1293"/>
      <c r="DD467" s="1293"/>
      <c r="DE467" s="1293"/>
      <c r="DF467" s="1293"/>
      <c r="DG467" s="1293"/>
      <c r="DH467" s="1293"/>
      <c r="DI467" s="1293"/>
      <c r="DJ467" s="1293"/>
      <c r="DK467" s="1293"/>
      <c r="DL467" s="1293"/>
    </row>
    <row r="468" spans="1:116" ht="15.75">
      <c r="A468" s="1293"/>
      <c r="B468" s="2231" t="s">
        <v>7414</v>
      </c>
      <c r="C468" s="1666"/>
      <c r="D468" s="1666"/>
      <c r="E468" s="1666"/>
      <c r="F468" s="1666"/>
      <c r="G468" s="1666"/>
      <c r="H468" s="1666"/>
      <c r="I468" s="1666"/>
      <c r="J468" s="1666"/>
      <c r="K468" s="1666"/>
      <c r="L468" s="1666"/>
      <c r="M468" s="1666"/>
      <c r="N468" s="1666"/>
      <c r="O468" s="1666"/>
      <c r="P468" s="1666"/>
      <c r="Q468" s="1666"/>
      <c r="R468" s="1666"/>
      <c r="S468" s="1666"/>
      <c r="T468" s="1666"/>
      <c r="U468" s="1666"/>
      <c r="V468" s="1698"/>
      <c r="W468" s="1666"/>
      <c r="X468" s="1666"/>
      <c r="Y468" s="1666"/>
      <c r="Z468" s="1666"/>
      <c r="AA468" s="1698"/>
      <c r="AB468" s="2229">
        <v>-32</v>
      </c>
      <c r="AC468" s="2229"/>
      <c r="AD468" s="2229">
        <v>-32</v>
      </c>
      <c r="AE468" s="2229"/>
      <c r="AF468" s="2229">
        <v>-32</v>
      </c>
      <c r="AG468" s="2229"/>
      <c r="AH468" s="2229">
        <v>-28</v>
      </c>
      <c r="AI468" s="1666"/>
      <c r="AJ468" s="2191">
        <f>Master!V345</f>
        <v>-125</v>
      </c>
      <c r="AK468" s="2220">
        <v>-34</v>
      </c>
      <c r="AL468" s="2220">
        <v>-27</v>
      </c>
      <c r="AM468" s="2220">
        <v>-14</v>
      </c>
      <c r="AN468" s="2220">
        <v>-44</v>
      </c>
      <c r="AO468" s="2191">
        <f>Master!W345</f>
        <v>-119</v>
      </c>
      <c r="AP468" s="2220">
        <v>-45</v>
      </c>
      <c r="AQ468" s="2220">
        <v>-46</v>
      </c>
      <c r="AR468" s="2220">
        <v>-45</v>
      </c>
      <c r="AS468" s="2220">
        <v>-11</v>
      </c>
      <c r="AT468" s="2191">
        <f>Master!X345</f>
        <v>-146</v>
      </c>
      <c r="AU468" s="2229"/>
      <c r="AV468" s="2229"/>
      <c r="AW468" s="2229"/>
      <c r="AX468" s="2229"/>
      <c r="AY468" s="2191"/>
      <c r="AZ468" s="2229"/>
      <c r="BA468" s="2229"/>
      <c r="BB468" s="2229"/>
      <c r="BC468" s="1698"/>
      <c r="BD468" s="2191"/>
      <c r="BE468" s="2229"/>
      <c r="BF468" s="2229"/>
      <c r="BG468" s="2229"/>
      <c r="BH468" s="1698"/>
      <c r="BI468" s="2191"/>
      <c r="BJ468" s="2229"/>
      <c r="BK468" s="2229"/>
      <c r="BL468" s="2229"/>
      <c r="BM468" s="2229"/>
      <c r="BN468" s="2191"/>
      <c r="BO468" s="1698"/>
      <c r="BP468" s="1698"/>
      <c r="BQ468" s="1293"/>
      <c r="BR468" s="1293"/>
      <c r="BS468" s="1293"/>
      <c r="BT468" s="1293"/>
      <c r="BU468" s="1293"/>
      <c r="BV468" s="1293"/>
      <c r="BW468" s="1293"/>
      <c r="BX468" s="1293"/>
      <c r="BY468" s="1293"/>
      <c r="BZ468" s="1293"/>
      <c r="CA468" s="1293"/>
      <c r="CB468" s="1293"/>
      <c r="CC468" s="1293"/>
      <c r="CD468" s="1293"/>
      <c r="CE468" s="1293"/>
      <c r="CF468" s="1293"/>
      <c r="CG468" s="1293"/>
      <c r="CH468" s="1293"/>
      <c r="CI468" s="1293"/>
      <c r="CJ468" s="1293"/>
      <c r="CK468" s="1293"/>
      <c r="CL468" s="1293"/>
      <c r="CM468" s="1293"/>
      <c r="CN468" s="1293"/>
      <c r="CO468" s="1293"/>
      <c r="CP468" s="1293"/>
      <c r="CQ468" s="1293"/>
      <c r="CR468" s="1293"/>
      <c r="CS468" s="1293"/>
      <c r="CT468" s="1293"/>
      <c r="CU468" s="1293"/>
      <c r="CV468" s="1293"/>
      <c r="CW468" s="1293"/>
      <c r="CX468" s="1293"/>
      <c r="CY468" s="2162"/>
      <c r="CZ468" s="1698"/>
      <c r="DA468" s="2232"/>
      <c r="DB468" s="2233"/>
      <c r="DC468" s="1293"/>
      <c r="DD468" s="1293"/>
      <c r="DE468" s="1293"/>
      <c r="DF468" s="1293"/>
      <c r="DG468" s="1293"/>
      <c r="DH468" s="1293"/>
      <c r="DI468" s="1293"/>
      <c r="DJ468" s="1293"/>
      <c r="DK468" s="1293"/>
      <c r="DL468" s="1293"/>
    </row>
    <row r="469" spans="1:116" ht="15.75">
      <c r="A469" s="1293"/>
      <c r="B469" s="2231" t="s">
        <v>7416</v>
      </c>
      <c r="C469" s="1666"/>
      <c r="D469" s="1666"/>
      <c r="E469" s="1666"/>
      <c r="F469" s="1666"/>
      <c r="G469" s="1666"/>
      <c r="H469" s="1666"/>
      <c r="I469" s="1666"/>
      <c r="J469" s="1666"/>
      <c r="K469" s="1666"/>
      <c r="L469" s="1666"/>
      <c r="M469" s="1666"/>
      <c r="N469" s="1666"/>
      <c r="O469" s="1666"/>
      <c r="P469" s="1666"/>
      <c r="Q469" s="1666"/>
      <c r="R469" s="1666"/>
      <c r="S469" s="1666"/>
      <c r="T469" s="1666"/>
      <c r="U469" s="1666"/>
      <c r="V469" s="1698"/>
      <c r="W469" s="1666"/>
      <c r="X469" s="1666"/>
      <c r="Y469" s="1666"/>
      <c r="Z469" s="1666"/>
      <c r="AA469" s="1698"/>
      <c r="AB469" s="2229">
        <v>-13</v>
      </c>
      <c r="AC469" s="2229"/>
      <c r="AD469" s="2229">
        <v>6</v>
      </c>
      <c r="AE469" s="2229"/>
      <c r="AF469" s="2229">
        <v>15</v>
      </c>
      <c r="AG469" s="2229"/>
      <c r="AH469" s="2229">
        <v>-19</v>
      </c>
      <c r="AI469" s="1666"/>
      <c r="AJ469" s="2191" t="e">
        <f ca="1">Master!V349</f>
        <v>#REF!</v>
      </c>
      <c r="AK469" s="2220">
        <v>26</v>
      </c>
      <c r="AL469" s="2220">
        <v>-3</v>
      </c>
      <c r="AM469" s="2220">
        <v>2</v>
      </c>
      <c r="AN469" s="2220">
        <v>-2</v>
      </c>
      <c r="AO469" s="2191">
        <f>Master!W349</f>
        <v>23</v>
      </c>
      <c r="AP469" s="2220">
        <v>11</v>
      </c>
      <c r="AQ469" s="2220">
        <v>7</v>
      </c>
      <c r="AR469" s="2220">
        <v>1</v>
      </c>
      <c r="AS469" s="2220">
        <v>21</v>
      </c>
      <c r="AT469" s="2191">
        <f>Master!X349</f>
        <v>40</v>
      </c>
      <c r="AU469" s="2220">
        <v>0</v>
      </c>
      <c r="AV469" s="2220">
        <v>21</v>
      </c>
      <c r="AW469" s="2220">
        <v>15.89</v>
      </c>
      <c r="AX469" s="2220">
        <v>15.19</v>
      </c>
      <c r="AY469" s="2191">
        <f>Master!Y349</f>
        <v>52</v>
      </c>
      <c r="AZ469" s="2229"/>
      <c r="BA469" s="2229"/>
      <c r="BB469" s="2229"/>
      <c r="BC469" s="1698"/>
      <c r="BD469" s="2191">
        <f>Master!Z349</f>
        <v>163</v>
      </c>
      <c r="BE469" s="2229"/>
      <c r="BF469" s="2229"/>
      <c r="BG469" s="2229"/>
      <c r="BH469" s="1698"/>
      <c r="BI469" s="2191">
        <f>Master!AA349</f>
        <v>-15</v>
      </c>
      <c r="BJ469" s="1945">
        <v>6.5</v>
      </c>
      <c r="BK469" s="1945">
        <v>6.5</v>
      </c>
      <c r="BL469" s="1945">
        <v>6.5</v>
      </c>
      <c r="BM469" s="1945">
        <f ca="1">BN469-BJ469-BK469-BL469</f>
        <v>5.8258114050108958</v>
      </c>
      <c r="BN469" s="2191">
        <f ca="1">Master!AB349</f>
        <v>25.325811405010896</v>
      </c>
      <c r="BO469" s="1698"/>
      <c r="BP469" s="1698"/>
      <c r="BQ469" s="1293"/>
      <c r="BR469" s="1293"/>
      <c r="BS469" s="1293"/>
      <c r="BT469" s="1293"/>
      <c r="BU469" s="1293"/>
      <c r="BV469" s="1293"/>
      <c r="BW469" s="1293"/>
      <c r="BX469" s="1293"/>
      <c r="BY469" s="1293"/>
      <c r="BZ469" s="1293"/>
      <c r="CA469" s="1293"/>
      <c r="CB469" s="1293"/>
      <c r="CC469" s="1293"/>
      <c r="CD469" s="1293"/>
      <c r="CE469" s="1293"/>
      <c r="CF469" s="1293"/>
      <c r="CG469" s="1293"/>
      <c r="CH469" s="1293"/>
      <c r="CI469" s="1293"/>
      <c r="CJ469" s="1293"/>
      <c r="CK469" s="1293"/>
      <c r="CL469" s="1293"/>
      <c r="CM469" s="1293"/>
      <c r="CN469" s="1293"/>
      <c r="CO469" s="1293"/>
      <c r="CP469" s="1293"/>
      <c r="CQ469" s="1293"/>
      <c r="CR469" s="1293"/>
      <c r="CS469" s="1293"/>
      <c r="CT469" s="1293"/>
      <c r="CU469" s="1293"/>
      <c r="CV469" s="1293"/>
      <c r="CW469" s="1293"/>
      <c r="CX469" s="1293"/>
      <c r="CY469" s="2162"/>
      <c r="CZ469" s="1698"/>
      <c r="DA469" s="2232"/>
      <c r="DB469" s="2233"/>
      <c r="DC469" s="1293"/>
      <c r="DD469" s="1293"/>
      <c r="DE469" s="1293"/>
      <c r="DF469" s="1293"/>
      <c r="DG469" s="1293"/>
      <c r="DH469" s="1293"/>
      <c r="DI469" s="1293"/>
      <c r="DJ469" s="1293"/>
      <c r="DK469" s="1293"/>
      <c r="DL469" s="1293"/>
    </row>
    <row r="470" spans="1:116" ht="15.75">
      <c r="A470" s="1293"/>
      <c r="B470" s="2231" t="s">
        <v>7415</v>
      </c>
      <c r="C470" s="1666"/>
      <c r="D470" s="1666"/>
      <c r="E470" s="1666"/>
      <c r="F470" s="1666"/>
      <c r="G470" s="1666"/>
      <c r="H470" s="1666"/>
      <c r="I470" s="1666"/>
      <c r="J470" s="1666"/>
      <c r="K470" s="1666"/>
      <c r="L470" s="1666"/>
      <c r="M470" s="1666"/>
      <c r="N470" s="1666"/>
      <c r="O470" s="1666"/>
      <c r="P470" s="1666"/>
      <c r="Q470" s="1666"/>
      <c r="R470" s="1666"/>
      <c r="S470" s="1666"/>
      <c r="T470" s="1666"/>
      <c r="U470" s="1666"/>
      <c r="V470" s="1698"/>
      <c r="W470" s="1666"/>
      <c r="X470" s="1666"/>
      <c r="Y470" s="1666"/>
      <c r="Z470" s="1666"/>
      <c r="AA470" s="1698"/>
      <c r="AB470" s="2229">
        <v>-5</v>
      </c>
      <c r="AC470" s="2229"/>
      <c r="AD470" s="2229">
        <v>-6</v>
      </c>
      <c r="AE470" s="2229"/>
      <c r="AF470" s="2229">
        <v>-6</v>
      </c>
      <c r="AG470" s="2229"/>
      <c r="AH470" s="2229">
        <v>-6</v>
      </c>
      <c r="AI470" s="1666"/>
      <c r="AJ470" s="2191">
        <f>Master!V347</f>
        <v>-14.057555956904896</v>
      </c>
      <c r="AK470" s="2220">
        <v>-4</v>
      </c>
      <c r="AL470" s="2220">
        <v>-3</v>
      </c>
      <c r="AM470" s="2220">
        <v>-5</v>
      </c>
      <c r="AN470" s="2220">
        <v>-9</v>
      </c>
      <c r="AO470" s="2191">
        <f>Master!W347</f>
        <v>-21</v>
      </c>
      <c r="AP470" s="2220">
        <v>-7</v>
      </c>
      <c r="AQ470" s="2220">
        <v>-7</v>
      </c>
      <c r="AR470" s="2220">
        <v>-3</v>
      </c>
      <c r="AS470" s="2220">
        <v>-5</v>
      </c>
      <c r="AT470" s="2191">
        <f>Master!X347</f>
        <v>-22</v>
      </c>
      <c r="AU470" s="2229"/>
      <c r="AV470" s="2229"/>
      <c r="AW470" s="2229"/>
      <c r="AX470" s="2229"/>
      <c r="AY470" s="2191"/>
      <c r="AZ470" s="2229"/>
      <c r="BA470" s="2229"/>
      <c r="BB470" s="2229"/>
      <c r="BC470" s="1698"/>
      <c r="BD470" s="2191"/>
      <c r="BE470" s="2229"/>
      <c r="BF470" s="2229"/>
      <c r="BG470" s="2229"/>
      <c r="BH470" s="1698"/>
      <c r="BI470" s="2191"/>
      <c r="BJ470" s="2229"/>
      <c r="BK470" s="2229"/>
      <c r="BL470" s="2229"/>
      <c r="BM470" s="2229"/>
      <c r="BN470" s="2191"/>
      <c r="BO470" s="1698"/>
      <c r="BP470" s="1698"/>
      <c r="BQ470" s="1293"/>
      <c r="BR470" s="1293"/>
      <c r="BS470" s="1293"/>
      <c r="BT470" s="1293"/>
      <c r="BU470" s="1293"/>
      <c r="BV470" s="1293"/>
      <c r="BW470" s="1293"/>
      <c r="BX470" s="1293"/>
      <c r="BY470" s="1293"/>
      <c r="BZ470" s="1293"/>
      <c r="CA470" s="1293"/>
      <c r="CB470" s="1293"/>
      <c r="CC470" s="1293"/>
      <c r="CD470" s="1293"/>
      <c r="CE470" s="1293"/>
      <c r="CF470" s="1293"/>
      <c r="CG470" s="1293"/>
      <c r="CH470" s="1293"/>
      <c r="CI470" s="1293"/>
      <c r="CJ470" s="1293"/>
      <c r="CK470" s="1293"/>
      <c r="CL470" s="1293"/>
      <c r="CM470" s="1293"/>
      <c r="CN470" s="1293"/>
      <c r="CO470" s="1293"/>
      <c r="CP470" s="1293"/>
      <c r="CQ470" s="1293"/>
      <c r="CR470" s="1293"/>
      <c r="CS470" s="1293"/>
      <c r="CT470" s="1293"/>
      <c r="CU470" s="1293"/>
      <c r="CV470" s="1293"/>
      <c r="CW470" s="1293"/>
      <c r="CX470" s="1293"/>
      <c r="CY470" s="2162"/>
      <c r="CZ470" s="1698"/>
      <c r="DA470" s="2232"/>
      <c r="DB470" s="2233"/>
      <c r="DC470" s="1293"/>
      <c r="DD470" s="1293"/>
      <c r="DE470" s="1293"/>
      <c r="DF470" s="1293"/>
      <c r="DG470" s="1293"/>
      <c r="DH470" s="1293"/>
      <c r="DI470" s="1293"/>
      <c r="DJ470" s="1293"/>
      <c r="DK470" s="1293"/>
      <c r="DL470" s="1293"/>
    </row>
    <row r="471" spans="1:116" ht="15.75">
      <c r="A471" s="1293"/>
      <c r="B471" s="2231" t="s">
        <v>7418</v>
      </c>
      <c r="C471" s="1666"/>
      <c r="D471" s="1666"/>
      <c r="E471" s="1666"/>
      <c r="F471" s="1666"/>
      <c r="G471" s="1666"/>
      <c r="H471" s="1666"/>
      <c r="I471" s="1666"/>
      <c r="J471" s="1666"/>
      <c r="K471" s="1666"/>
      <c r="L471" s="1666"/>
      <c r="M471" s="1666"/>
      <c r="N471" s="1666"/>
      <c r="O471" s="1666"/>
      <c r="P471" s="1666"/>
      <c r="Q471" s="1666"/>
      <c r="R471" s="1666"/>
      <c r="S471" s="1666"/>
      <c r="T471" s="1666"/>
      <c r="U471" s="1666"/>
      <c r="V471" s="1698"/>
      <c r="W471" s="1666"/>
      <c r="X471" s="1666"/>
      <c r="Y471" s="1666"/>
      <c r="Z471" s="1666"/>
      <c r="AA471" s="1698"/>
      <c r="AB471" s="2229">
        <v>1</v>
      </c>
      <c r="AC471" s="2229"/>
      <c r="AD471" s="2229">
        <v>2</v>
      </c>
      <c r="AE471" s="2229"/>
      <c r="AF471" s="2229">
        <v>1</v>
      </c>
      <c r="AG471" s="2229"/>
      <c r="AH471" s="2229">
        <v>-3</v>
      </c>
      <c r="AI471" s="1666"/>
      <c r="AJ471" s="2191" t="e">
        <f ca="1">Master!V353</f>
        <v>#REF!</v>
      </c>
      <c r="AK471" s="2220">
        <v>0</v>
      </c>
      <c r="AL471" s="2220">
        <v>1</v>
      </c>
      <c r="AM471" s="2220">
        <v>0</v>
      </c>
      <c r="AN471" s="2220">
        <v>0</v>
      </c>
      <c r="AO471" s="2191">
        <f>Master!W353</f>
        <v>1</v>
      </c>
      <c r="AP471" s="2220">
        <v>0</v>
      </c>
      <c r="AQ471" s="2220">
        <v>0</v>
      </c>
      <c r="AR471" s="2220">
        <v>0</v>
      </c>
      <c r="AS471" s="2220">
        <v>0</v>
      </c>
      <c r="AT471" s="2191">
        <f>Master!X353</f>
        <v>0</v>
      </c>
      <c r="AU471" s="2229"/>
      <c r="AV471" s="2229"/>
      <c r="AW471" s="2229"/>
      <c r="AX471" s="2229"/>
      <c r="AY471" s="2191">
        <f>Master!Y353</f>
        <v>0</v>
      </c>
      <c r="AZ471" s="2229"/>
      <c r="BA471" s="2229"/>
      <c r="BB471" s="2229"/>
      <c r="BC471" s="1698"/>
      <c r="BD471" s="2191">
        <f>Master!Z353</f>
        <v>0</v>
      </c>
      <c r="BE471" s="2229"/>
      <c r="BF471" s="2229"/>
      <c r="BG471" s="2229"/>
      <c r="BH471" s="1698"/>
      <c r="BI471" s="2191">
        <f>Master!AA353</f>
        <v>0</v>
      </c>
      <c r="BJ471" s="2229"/>
      <c r="BK471" s="2229"/>
      <c r="BL471" s="2229"/>
      <c r="BM471" s="2229"/>
      <c r="BN471" s="2191">
        <f>Master!AB353</f>
        <v>0</v>
      </c>
      <c r="BO471" s="1698"/>
      <c r="BP471" s="1698"/>
      <c r="BQ471" s="1293"/>
      <c r="BR471" s="1293"/>
      <c r="BS471" s="1293"/>
      <c r="BT471" s="1293"/>
      <c r="BU471" s="1293"/>
      <c r="BV471" s="1293"/>
      <c r="BW471" s="1293"/>
      <c r="BX471" s="1293"/>
      <c r="BY471" s="1293"/>
      <c r="BZ471" s="1293"/>
      <c r="CA471" s="1293"/>
      <c r="CB471" s="1293"/>
      <c r="CC471" s="1293"/>
      <c r="CD471" s="1293"/>
      <c r="CE471" s="1293"/>
      <c r="CF471" s="1293"/>
      <c r="CG471" s="1293"/>
      <c r="CH471" s="1293"/>
      <c r="CI471" s="1293"/>
      <c r="CJ471" s="1293"/>
      <c r="CK471" s="1293"/>
      <c r="CL471" s="1293"/>
      <c r="CM471" s="1293"/>
      <c r="CN471" s="1293"/>
      <c r="CO471" s="1293"/>
      <c r="CP471" s="1293"/>
      <c r="CQ471" s="1293"/>
      <c r="CR471" s="1293"/>
      <c r="CS471" s="1293"/>
      <c r="CT471" s="1293"/>
      <c r="CU471" s="1293"/>
      <c r="CV471" s="1293"/>
      <c r="CW471" s="1293"/>
      <c r="CX471" s="1293"/>
      <c r="CY471" s="2162"/>
      <c r="CZ471" s="1698"/>
      <c r="DA471" s="2232"/>
      <c r="DB471" s="2233"/>
      <c r="DC471" s="1293"/>
      <c r="DD471" s="1293"/>
      <c r="DE471" s="1293"/>
      <c r="DF471" s="1293"/>
      <c r="DG471" s="1293"/>
      <c r="DH471" s="1293"/>
      <c r="DI471" s="1293"/>
      <c r="DJ471" s="1293"/>
      <c r="DK471" s="1293"/>
      <c r="DL471" s="1293"/>
    </row>
    <row r="472" spans="1:116" ht="15.75">
      <c r="A472" s="1293"/>
      <c r="B472" s="2231" t="s">
        <v>7417</v>
      </c>
      <c r="C472" s="1666"/>
      <c r="D472" s="1666"/>
      <c r="E472" s="1666"/>
      <c r="F472" s="1666"/>
      <c r="G472" s="1666"/>
      <c r="H472" s="1666"/>
      <c r="I472" s="1666"/>
      <c r="J472" s="1666"/>
      <c r="K472" s="1666"/>
      <c r="L472" s="1666"/>
      <c r="M472" s="1666"/>
      <c r="N472" s="1666"/>
      <c r="O472" s="1666"/>
      <c r="P472" s="1666"/>
      <c r="Q472" s="1666"/>
      <c r="R472" s="1666"/>
      <c r="S472" s="1666"/>
      <c r="T472" s="1666"/>
      <c r="U472" s="1666"/>
      <c r="V472" s="1698"/>
      <c r="W472" s="1666"/>
      <c r="X472" s="1666"/>
      <c r="Y472" s="1666"/>
      <c r="Z472" s="1666"/>
      <c r="AA472" s="1698"/>
      <c r="AB472" s="2229">
        <v>2</v>
      </c>
      <c r="AC472" s="2229"/>
      <c r="AD472" s="2229">
        <v>1</v>
      </c>
      <c r="AE472" s="2229"/>
      <c r="AF472" s="2229">
        <v>1</v>
      </c>
      <c r="AG472" s="2229"/>
      <c r="AH472" s="2229">
        <v>2</v>
      </c>
      <c r="AI472" s="1666"/>
      <c r="AJ472" s="2191">
        <f>Master!V351</f>
        <v>-6.819</v>
      </c>
      <c r="AK472" s="2220">
        <v>2</v>
      </c>
      <c r="AL472" s="2220">
        <v>6</v>
      </c>
      <c r="AM472" s="2220">
        <v>6</v>
      </c>
      <c r="AN472" s="2220">
        <v>3</v>
      </c>
      <c r="AO472" s="2191">
        <f>Master!W351</f>
        <v>17</v>
      </c>
      <c r="AP472" s="2220">
        <v>8</v>
      </c>
      <c r="AQ472" s="2220">
        <v>2</v>
      </c>
      <c r="AR472" s="2220">
        <v>0</v>
      </c>
      <c r="AS472" s="2220">
        <v>-2</v>
      </c>
      <c r="AT472" s="2191">
        <f>Master!X351</f>
        <v>7</v>
      </c>
      <c r="AU472" s="2220">
        <v>-2</v>
      </c>
      <c r="AV472" s="2220">
        <v>-2</v>
      </c>
      <c r="AW472" s="2220">
        <v>-0.01</v>
      </c>
      <c r="AX472" s="2229"/>
      <c r="AY472" s="2191">
        <f>Master!Y351</f>
        <v>-4</v>
      </c>
      <c r="AZ472" s="2229"/>
      <c r="BA472" s="2229"/>
      <c r="BB472" s="2229"/>
      <c r="BC472" s="1698"/>
      <c r="BD472" s="2191">
        <f>Master!Z351</f>
        <v>0</v>
      </c>
      <c r="BE472" s="2229"/>
      <c r="BF472" s="2229"/>
      <c r="BG472" s="2229"/>
      <c r="BH472" s="1698"/>
      <c r="BI472" s="2191">
        <f>Master!AA351</f>
        <v>0</v>
      </c>
      <c r="BJ472" s="2229"/>
      <c r="BK472" s="2229"/>
      <c r="BL472" s="2229"/>
      <c r="BM472" s="2229"/>
      <c r="BN472" s="2191">
        <f>Master!AB351</f>
        <v>0</v>
      </c>
      <c r="BO472" s="1698"/>
      <c r="BP472" s="1698"/>
      <c r="BQ472" s="1293"/>
      <c r="BR472" s="1293"/>
      <c r="BS472" s="1293"/>
      <c r="BT472" s="1293"/>
      <c r="BU472" s="1293"/>
      <c r="BV472" s="1293"/>
      <c r="BW472" s="1293"/>
      <c r="BX472" s="1293"/>
      <c r="BY472" s="1293"/>
      <c r="BZ472" s="1293"/>
      <c r="CA472" s="1293"/>
      <c r="CB472" s="1293"/>
      <c r="CC472" s="1293"/>
      <c r="CD472" s="1293"/>
      <c r="CE472" s="1293"/>
      <c r="CF472" s="1293"/>
      <c r="CG472" s="1293"/>
      <c r="CH472" s="1293"/>
      <c r="CI472" s="1293"/>
      <c r="CJ472" s="1293"/>
      <c r="CK472" s="1293"/>
      <c r="CL472" s="1293"/>
      <c r="CM472" s="1293"/>
      <c r="CN472" s="1293"/>
      <c r="CO472" s="1293"/>
      <c r="CP472" s="1293"/>
      <c r="CQ472" s="1293"/>
      <c r="CR472" s="1293"/>
      <c r="CS472" s="1293"/>
      <c r="CT472" s="1293"/>
      <c r="CU472" s="1293"/>
      <c r="CV472" s="1293"/>
      <c r="CW472" s="1293"/>
      <c r="CX472" s="1293"/>
      <c r="CY472" s="2162"/>
      <c r="CZ472" s="1698"/>
      <c r="DA472" s="2232"/>
      <c r="DB472" s="2233"/>
      <c r="DC472" s="1293"/>
      <c r="DD472" s="1293"/>
      <c r="DE472" s="1293"/>
      <c r="DF472" s="1293"/>
      <c r="DG472" s="1293"/>
      <c r="DH472" s="1293"/>
      <c r="DI472" s="1293"/>
      <c r="DJ472" s="1293"/>
      <c r="DK472" s="1293"/>
      <c r="DL472" s="1293"/>
    </row>
    <row r="473" spans="1:116" ht="15.75">
      <c r="A473" s="1293"/>
      <c r="B473" s="1834" t="s">
        <v>397</v>
      </c>
      <c r="C473" s="2251">
        <f>C460+C462+C466+C467</f>
        <v>2236.2380441357263</v>
      </c>
      <c r="D473" s="2251">
        <f>D460+D462+D466+D467</f>
        <v>187.66628541077989</v>
      </c>
      <c r="E473" s="2251">
        <f>E460+E462+E466+E467</f>
        <v>165.90778223221787</v>
      </c>
      <c r="F473" s="2251">
        <f>F460+F462+F466+F467</f>
        <v>63.509000000000015</v>
      </c>
      <c r="G473" s="1685"/>
      <c r="H473" s="2251">
        <f>H460+H462+H466+H467</f>
        <v>-47.623715451824069</v>
      </c>
      <c r="I473" s="2251">
        <f>I460+I462+I466+I467</f>
        <v>-99.12218356690903</v>
      </c>
      <c r="J473" s="2251">
        <f>J460+J462+J466+J467</f>
        <v>23.281760988170049</v>
      </c>
      <c r="K473" s="2251">
        <f>K460+K462+K466+K467</f>
        <v>-369.39448369294007</v>
      </c>
      <c r="L473" s="1685"/>
      <c r="M473" s="2251">
        <f>M460+M462+M466+M467</f>
        <v>42.144916724649988</v>
      </c>
      <c r="N473" s="2251">
        <f>N460+N462+N466+N467</f>
        <v>42.609181729634997</v>
      </c>
      <c r="O473" s="2251">
        <f>O460+O462+O466+O467</f>
        <v>24.705350911256005</v>
      </c>
      <c r="P473" s="2251">
        <f>P460+P462+P466+P467</f>
        <v>-143</v>
      </c>
      <c r="Q473" s="2251"/>
      <c r="R473" s="2251">
        <f t="shared" ref="R473:AB473" si="509">R460+R462+R466+R467</f>
        <v>25</v>
      </c>
      <c r="S473" s="2251">
        <f t="shared" si="509"/>
        <v>-28</v>
      </c>
      <c r="T473" s="2251">
        <f t="shared" si="509"/>
        <v>20</v>
      </c>
      <c r="U473" s="2251">
        <f t="shared" si="509"/>
        <v>67.493955910259871</v>
      </c>
      <c r="V473" s="2251">
        <f t="shared" si="509"/>
        <v>55</v>
      </c>
      <c r="W473" s="2251">
        <f t="shared" si="509"/>
        <v>16</v>
      </c>
      <c r="X473" s="2251">
        <f t="shared" si="509"/>
        <v>-1</v>
      </c>
      <c r="Y473" s="2251">
        <f t="shared" si="509"/>
        <v>67</v>
      </c>
      <c r="Z473" s="2251">
        <f t="shared" si="509"/>
        <v>-96</v>
      </c>
      <c r="AA473" s="2251">
        <f t="shared" si="509"/>
        <v>117</v>
      </c>
      <c r="AB473" s="2251">
        <f t="shared" si="509"/>
        <v>14</v>
      </c>
      <c r="AC473" s="2251"/>
      <c r="AD473" s="2251">
        <f>AD460+AD462+AD466+AD467</f>
        <v>46</v>
      </c>
      <c r="AE473" s="2251"/>
      <c r="AF473" s="2251">
        <f>AF460+AF462+AF466+AF467</f>
        <v>-129</v>
      </c>
      <c r="AG473" s="2251"/>
      <c r="AH473" s="2251">
        <f>AH460+AH462+AH466+AH467</f>
        <v>223</v>
      </c>
      <c r="AI473" s="2251"/>
      <c r="AJ473" s="2253">
        <f t="shared" ref="AJ473:BC473" si="510">AJ460+AJ462+AJ466+AJ467</f>
        <v>194</v>
      </c>
      <c r="AK473" s="2251">
        <f t="shared" si="510"/>
        <v>-122</v>
      </c>
      <c r="AL473" s="2251">
        <f t="shared" si="510"/>
        <v>-114</v>
      </c>
      <c r="AM473" s="2251">
        <f t="shared" si="510"/>
        <v>-50</v>
      </c>
      <c r="AN473" s="2251">
        <f t="shared" si="510"/>
        <v>-59</v>
      </c>
      <c r="AO473" s="2253">
        <f t="shared" si="510"/>
        <v>-277</v>
      </c>
      <c r="AP473" s="2251">
        <f t="shared" si="510"/>
        <v>45</v>
      </c>
      <c r="AQ473" s="2251">
        <f t="shared" si="510"/>
        <v>-99</v>
      </c>
      <c r="AR473" s="2251">
        <f t="shared" si="510"/>
        <v>37</v>
      </c>
      <c r="AS473" s="2251">
        <f t="shared" si="510"/>
        <v>639</v>
      </c>
      <c r="AT473" s="2253">
        <f t="shared" si="510"/>
        <v>755</v>
      </c>
      <c r="AU473" s="2251">
        <f t="shared" si="510"/>
        <v>23.90809999999999</v>
      </c>
      <c r="AV473" s="2251">
        <f t="shared" ref="AV473:BB473" si="511">AV460+AV462+AV466+AV467</f>
        <v>128.67850000000001</v>
      </c>
      <c r="AW473" s="2251">
        <f t="shared" si="511"/>
        <v>-31.332299999999996</v>
      </c>
      <c r="AX473" s="2251">
        <f t="shared" si="511"/>
        <v>57.290699999999966</v>
      </c>
      <c r="AY473" s="2253">
        <f t="shared" si="510"/>
        <v>251.13499999999976</v>
      </c>
      <c r="AZ473" s="2251">
        <f t="shared" si="511"/>
        <v>2.1549000000000014</v>
      </c>
      <c r="BA473" s="2251">
        <f t="shared" si="511"/>
        <v>-21.072800000000029</v>
      </c>
      <c r="BB473" s="2251">
        <f t="shared" si="511"/>
        <v>-1.4283000000000357</v>
      </c>
      <c r="BC473" s="2251">
        <f t="shared" si="510"/>
        <v>-62.746299999999962</v>
      </c>
      <c r="BD473" s="2253">
        <f t="shared" ref="BD473:BM473" si="512">BD460+BD462+BD466+BD467</f>
        <v>-118.71450000000004</v>
      </c>
      <c r="BE473" s="2251">
        <f t="shared" si="512"/>
        <v>91.735000000000028</v>
      </c>
      <c r="BF473" s="2251">
        <f t="shared" si="512"/>
        <v>77.398300000000049</v>
      </c>
      <c r="BG473" s="2251">
        <f t="shared" si="512"/>
        <v>51.030199999999965</v>
      </c>
      <c r="BH473" s="2251">
        <f t="shared" si="512"/>
        <v>31.450700000000019</v>
      </c>
      <c r="BI473" s="2253">
        <f t="shared" si="512"/>
        <v>254.02020000000039</v>
      </c>
      <c r="BJ473" s="2251">
        <f t="shared" si="512"/>
        <v>62</v>
      </c>
      <c r="BK473" s="2251">
        <f t="shared" si="512"/>
        <v>82</v>
      </c>
      <c r="BL473" s="2251">
        <f t="shared" si="512"/>
        <v>77</v>
      </c>
      <c r="BM473" s="2251">
        <f t="shared" ca="1" si="512"/>
        <v>77.230377641653277</v>
      </c>
      <c r="BN473" s="2253">
        <f t="shared" ref="BN473" ca="1" si="513">BN460+BN462+BN466+BN467</f>
        <v>298.23037764165321</v>
      </c>
      <c r="BO473" s="1666"/>
      <c r="BP473" s="1666"/>
      <c r="BQ473" s="1293"/>
      <c r="BR473" s="1293"/>
      <c r="BS473" s="1293"/>
      <c r="BT473" s="1293"/>
      <c r="BU473" s="1293"/>
      <c r="BV473" s="1293"/>
      <c r="BW473" s="1293"/>
      <c r="BX473" s="1293"/>
      <c r="BY473" s="1293"/>
      <c r="BZ473" s="1293"/>
      <c r="CA473" s="1293"/>
      <c r="CB473" s="1293"/>
      <c r="CC473" s="1293"/>
      <c r="CD473" s="1293"/>
      <c r="CE473" s="1293"/>
      <c r="CF473" s="1293"/>
      <c r="CG473" s="1293"/>
      <c r="CH473" s="1293"/>
      <c r="CI473" s="1293"/>
      <c r="CJ473" s="1293"/>
      <c r="CK473" s="1293"/>
      <c r="CL473" s="1293"/>
      <c r="CM473" s="1293"/>
      <c r="CN473" s="1293"/>
      <c r="CO473" s="1293"/>
      <c r="CP473" s="1293"/>
      <c r="CQ473" s="1293"/>
      <c r="CR473" s="1293"/>
      <c r="CS473" s="1293"/>
      <c r="CT473" s="1293"/>
      <c r="CU473" s="1293"/>
      <c r="CV473" s="1293"/>
      <c r="CW473" s="1293"/>
      <c r="CX473" s="1293"/>
      <c r="CY473" s="2236">
        <v>27.620880505421891</v>
      </c>
      <c r="CZ473" s="2234">
        <f>CZ460+CZ462+CZ466+CZ467</f>
        <v>46.240029226577008</v>
      </c>
      <c r="DA473" s="2237">
        <v>129.04926373173475</v>
      </c>
      <c r="DB473" s="2236">
        <v>113.44576315960626</v>
      </c>
      <c r="DC473" s="1293"/>
      <c r="DD473" s="1293"/>
      <c r="DE473" s="1293"/>
      <c r="DF473" s="1293"/>
      <c r="DG473" s="1293"/>
      <c r="DH473" s="1293"/>
      <c r="DI473" s="1293"/>
      <c r="DJ473" s="1293"/>
      <c r="DK473" s="1293"/>
      <c r="DL473" s="1293"/>
    </row>
    <row r="474" spans="1:116" ht="15.75">
      <c r="A474" s="1293"/>
      <c r="B474" s="1653" t="s">
        <v>195</v>
      </c>
      <c r="C474" s="1707"/>
      <c r="D474" s="1707"/>
      <c r="E474" s="1707"/>
      <c r="F474" s="1707"/>
      <c r="G474" s="1707"/>
      <c r="H474" s="1707"/>
      <c r="I474" s="1707"/>
      <c r="J474" s="1707"/>
      <c r="K474" s="1707"/>
      <c r="L474" s="1707"/>
      <c r="M474" s="1707"/>
      <c r="N474" s="1707"/>
      <c r="O474" s="1707"/>
      <c r="P474" s="1707"/>
      <c r="Q474" s="1707"/>
      <c r="R474" s="1707"/>
      <c r="S474" s="1707"/>
      <c r="T474" s="1707"/>
      <c r="U474" s="1707"/>
      <c r="V474" s="1293"/>
      <c r="W474" s="1707"/>
      <c r="X474" s="1707"/>
      <c r="Y474" s="1707"/>
      <c r="Z474" s="1707"/>
      <c r="AA474" s="1293"/>
      <c r="AB474" s="1707"/>
      <c r="AC474" s="1707"/>
      <c r="AD474" s="1707"/>
      <c r="AE474" s="1707"/>
      <c r="AF474" s="1707"/>
      <c r="AG474" s="1707"/>
      <c r="AH474" s="1707"/>
      <c r="AI474" s="1707"/>
      <c r="AJ474" s="2186"/>
      <c r="AK474" s="1707"/>
      <c r="AL474" s="1707"/>
      <c r="AM474" s="1707"/>
      <c r="AN474" s="1707"/>
      <c r="AO474" s="2186"/>
      <c r="AP474" s="1707"/>
      <c r="AQ474" s="1707"/>
      <c r="AR474" s="1707"/>
      <c r="AS474" s="1707"/>
      <c r="AT474" s="2186"/>
      <c r="AU474" s="1666"/>
      <c r="AV474" s="1666"/>
      <c r="AW474" s="1666"/>
      <c r="AX474" s="1666"/>
      <c r="AY474" s="2191"/>
      <c r="AZ474" s="1666"/>
      <c r="BA474" s="1666"/>
      <c r="BB474" s="1666"/>
      <c r="BC474" s="1698"/>
      <c r="BD474" s="2191"/>
      <c r="BE474" s="1666"/>
      <c r="BF474" s="1666"/>
      <c r="BG474" s="1666"/>
      <c r="BH474" s="1698"/>
      <c r="BI474" s="2191"/>
      <c r="BJ474" s="1707"/>
      <c r="BK474" s="1707"/>
      <c r="BL474" s="1707"/>
      <c r="BM474" s="1707"/>
      <c r="BN474" s="2186"/>
      <c r="BO474" s="1293"/>
      <c r="BP474" s="1293"/>
      <c r="BQ474" s="1293"/>
      <c r="BR474" s="1293"/>
      <c r="BS474" s="1293"/>
      <c r="BT474" s="1293"/>
      <c r="BU474" s="1293"/>
      <c r="BV474" s="1293"/>
      <c r="BW474" s="1293"/>
      <c r="BX474" s="1293"/>
      <c r="BY474" s="1293"/>
      <c r="BZ474" s="1293"/>
      <c r="CA474" s="1293"/>
      <c r="CB474" s="1293"/>
      <c r="CC474" s="1293"/>
      <c r="CD474" s="1293"/>
      <c r="CE474" s="1293"/>
      <c r="CF474" s="1293"/>
      <c r="CG474" s="1293"/>
      <c r="CH474" s="1293"/>
      <c r="CI474" s="1293"/>
      <c r="CJ474" s="1293"/>
      <c r="CK474" s="1293"/>
      <c r="CL474" s="1293"/>
      <c r="CM474" s="1293"/>
      <c r="CN474" s="1293"/>
      <c r="CO474" s="1293"/>
      <c r="CP474" s="1293"/>
      <c r="CQ474" s="1293"/>
      <c r="CR474" s="1293"/>
      <c r="CS474" s="1293"/>
      <c r="CT474" s="1293"/>
      <c r="CU474" s="1293"/>
      <c r="CV474" s="1293"/>
      <c r="CW474" s="1293"/>
      <c r="CX474" s="1293"/>
      <c r="CY474" s="2032"/>
      <c r="CZ474" s="1293"/>
      <c r="DA474" s="2238"/>
      <c r="DB474" s="2239"/>
      <c r="DC474" s="1293"/>
      <c r="DD474" s="1293"/>
      <c r="DE474" s="1293"/>
      <c r="DF474" s="1293"/>
      <c r="DG474" s="1293"/>
      <c r="DH474" s="1293"/>
      <c r="DI474" s="1293"/>
      <c r="DJ474" s="1293"/>
      <c r="DK474" s="1293"/>
      <c r="DL474" s="1293"/>
    </row>
    <row r="475" spans="1:116" ht="15.75">
      <c r="A475" s="1293"/>
      <c r="B475" s="1653"/>
      <c r="C475" s="1707"/>
      <c r="D475" s="1707"/>
      <c r="E475" s="1707"/>
      <c r="F475" s="1707"/>
      <c r="G475" s="1707"/>
      <c r="H475" s="1707"/>
      <c r="I475" s="1707"/>
      <c r="J475" s="1707"/>
      <c r="K475" s="1707"/>
      <c r="L475" s="1707"/>
      <c r="M475" s="1707"/>
      <c r="N475" s="1707"/>
      <c r="O475" s="1707"/>
      <c r="P475" s="1707"/>
      <c r="Q475" s="1707"/>
      <c r="R475" s="1707"/>
      <c r="S475" s="1707"/>
      <c r="T475" s="1707"/>
      <c r="U475" s="1707"/>
      <c r="V475" s="1293"/>
      <c r="W475" s="1707"/>
      <c r="X475" s="1707"/>
      <c r="Y475" s="1707"/>
      <c r="Z475" s="1707"/>
      <c r="AA475" s="1293"/>
      <c r="AB475" s="1707"/>
      <c r="AC475" s="1707"/>
      <c r="AD475" s="1707"/>
      <c r="AE475" s="1707"/>
      <c r="AF475" s="1707"/>
      <c r="AG475" s="1707"/>
      <c r="AH475" s="1707"/>
      <c r="AI475" s="1707"/>
      <c r="AJ475" s="2186"/>
      <c r="AK475" s="1707"/>
      <c r="AL475" s="1707"/>
      <c r="AM475" s="1707"/>
      <c r="AN475" s="1707"/>
      <c r="AO475" s="2186"/>
      <c r="AP475" s="1707"/>
      <c r="AQ475" s="1707"/>
      <c r="AR475" s="1707"/>
      <c r="AS475" s="1707"/>
      <c r="AT475" s="2186"/>
      <c r="AU475" s="1707"/>
      <c r="AV475" s="1707"/>
      <c r="AW475" s="1707"/>
      <c r="AX475" s="1707"/>
      <c r="AY475" s="2186"/>
      <c r="AZ475" s="1707"/>
      <c r="BA475" s="1707"/>
      <c r="BB475" s="1707"/>
      <c r="BC475" s="1293"/>
      <c r="BD475" s="2186"/>
      <c r="BE475" s="1707"/>
      <c r="BF475" s="1707"/>
      <c r="BG475" s="1707"/>
      <c r="BH475" s="1293"/>
      <c r="BI475" s="2186"/>
      <c r="BJ475" s="1707"/>
      <c r="BK475" s="1707"/>
      <c r="BL475" s="1707"/>
      <c r="BM475" s="1707"/>
      <c r="BN475" s="2186"/>
      <c r="BO475" s="1293"/>
      <c r="BP475" s="1293"/>
      <c r="BQ475" s="1293"/>
      <c r="BR475" s="1293"/>
      <c r="BS475" s="1293"/>
      <c r="BT475" s="1293"/>
      <c r="BU475" s="1293"/>
      <c r="BV475" s="1293"/>
      <c r="BW475" s="1293"/>
      <c r="BX475" s="1293"/>
      <c r="BY475" s="1293"/>
      <c r="BZ475" s="1293"/>
      <c r="CA475" s="1293"/>
      <c r="CB475" s="1293"/>
      <c r="CC475" s="1293"/>
      <c r="CD475" s="1293"/>
      <c r="CE475" s="1293"/>
      <c r="CF475" s="1293"/>
      <c r="CG475" s="1293"/>
      <c r="CH475" s="1293"/>
      <c r="CI475" s="1293"/>
      <c r="CJ475" s="1293"/>
      <c r="CK475" s="1293"/>
      <c r="CL475" s="1293"/>
      <c r="CM475" s="1293"/>
      <c r="CN475" s="1293"/>
      <c r="CO475" s="1293"/>
      <c r="CP475" s="1293"/>
      <c r="CQ475" s="1293"/>
      <c r="CR475" s="1293"/>
      <c r="CS475" s="1293"/>
      <c r="CT475" s="1293"/>
      <c r="CU475" s="1293"/>
      <c r="CV475" s="1293"/>
      <c r="CW475" s="1293"/>
      <c r="CX475" s="1293"/>
      <c r="CY475" s="2032"/>
      <c r="CZ475" s="1293"/>
      <c r="DA475" s="2238"/>
      <c r="DB475" s="2239"/>
      <c r="DC475" s="1293"/>
      <c r="DD475" s="1293"/>
      <c r="DE475" s="1293"/>
      <c r="DF475" s="1293"/>
      <c r="DG475" s="1293"/>
      <c r="DH475" s="1293"/>
      <c r="DI475" s="1293"/>
      <c r="DJ475" s="1293"/>
      <c r="DK475" s="1293"/>
      <c r="DL475" s="1293"/>
    </row>
    <row r="476" spans="1:116" ht="15.75">
      <c r="A476" s="1293"/>
      <c r="B476" s="1909" t="s">
        <v>2103</v>
      </c>
      <c r="C476" s="2234">
        <f>C473-SUM(C453:C454)-C466-C451-C463-C456</f>
        <v>40.238044135726341</v>
      </c>
      <c r="D476" s="2234">
        <f>D473-SUM(D453:D454)-D466-D451-D463-D456</f>
        <v>28.666285410779892</v>
      </c>
      <c r="E476" s="2234">
        <f>E473-SUM(E453:E454)-E466-E451-E463-E456</f>
        <v>79.907782232217869</v>
      </c>
      <c r="F476" s="2234">
        <f>F473-SUM(F453:F454)-F466-F451-F463-F456</f>
        <v>34.509000000000015</v>
      </c>
      <c r="G476" s="2240"/>
      <c r="H476" s="2234">
        <f>H473-SUM(H453:H454)-H466-H451-H463-H456+H413</f>
        <v>43.546854136407404</v>
      </c>
      <c r="I476" s="2234">
        <f>I473-SUM(I453:I454)-I466-I451-I463-I456+I413+10</f>
        <v>4.8526138301584183</v>
      </c>
      <c r="J476" s="2234">
        <f>J473-SUM(J453:J454)-J466-J451-J463-J456+J413+10</f>
        <v>89.248067176753352</v>
      </c>
      <c r="K476" s="2234">
        <f>K473-SUM(K453:K454)-K466-K451-K463-K456+K413+10-K447</f>
        <v>88.162174508549128</v>
      </c>
      <c r="L476" s="2240"/>
      <c r="M476" s="2234">
        <f>M473-M452-M453-M447</f>
        <v>53.144916724649988</v>
      </c>
      <c r="N476" s="2234">
        <f>N473-N452-N453-N447</f>
        <v>26.609181729634997</v>
      </c>
      <c r="O476" s="2234">
        <f>O473-O452-O453-O447</f>
        <v>31.705350911256005</v>
      </c>
      <c r="P476" s="2234">
        <f>P473+80-P452-P453-P447</f>
        <v>28</v>
      </c>
      <c r="Q476" s="2234"/>
      <c r="R476" s="2234">
        <f>R473-R452-R453-R447</f>
        <v>38</v>
      </c>
      <c r="S476" s="2234">
        <f>S473-S452-S453-S447</f>
        <v>-2</v>
      </c>
      <c r="T476" s="2234">
        <f>T473-T452-T453-T447</f>
        <v>15</v>
      </c>
      <c r="U476" s="2234">
        <f>U473-U452-U453-U447</f>
        <v>80.453103349191665</v>
      </c>
      <c r="V476" s="2234">
        <f>V473-SUM(V453:V454)-V466-V451-V463-V456+V413</f>
        <v>108</v>
      </c>
      <c r="W476" s="2234">
        <f>W473-W452-W453-W447</f>
        <v>42</v>
      </c>
      <c r="X476" s="2234">
        <f>X473-X452-X453-X447</f>
        <v>33</v>
      </c>
      <c r="Y476" s="2234">
        <f>Y473-Y452-Y453-Y447</f>
        <v>54</v>
      </c>
      <c r="Z476" s="2234">
        <f>Z473-Z452-Z453-Z447</f>
        <v>-65</v>
      </c>
      <c r="AA476" s="2234"/>
      <c r="AB476" s="2234">
        <f>AB473-AB452-AB453-AB447</f>
        <v>8</v>
      </c>
      <c r="AC476" s="2234"/>
      <c r="AD476" s="2234">
        <f>AD473-AD452-AD453-AD447</f>
        <v>63</v>
      </c>
      <c r="AE476" s="2234"/>
      <c r="AF476" s="2234">
        <f>AF473-AF452-AF453-AF447</f>
        <v>-112</v>
      </c>
      <c r="AG476" s="2234"/>
      <c r="AH476" s="2234">
        <f>AH473-AH452-AH453-AH447</f>
        <v>276</v>
      </c>
      <c r="AI476" s="2234"/>
      <c r="AJ476" s="2235"/>
      <c r="AK476" s="2234">
        <f>AK473-AK452-AK453-AK447</f>
        <v>-116</v>
      </c>
      <c r="AL476" s="2234">
        <f>AL473-AL452-AL453-AL447</f>
        <v>-134</v>
      </c>
      <c r="AM476" s="2234">
        <f>AM473-AM452-AM453-AM447</f>
        <v>-58</v>
      </c>
      <c r="AN476" s="2234">
        <f>AN473-AN452-AN453-AN447</f>
        <v>-21</v>
      </c>
      <c r="AO476" s="2235"/>
      <c r="AP476" s="2234">
        <f t="shared" ref="AP476:AT476" si="514">AP473-AP452-AP453-AP447</f>
        <v>62</v>
      </c>
      <c r="AQ476" s="2234">
        <f t="shared" si="514"/>
        <v>-76</v>
      </c>
      <c r="AR476" s="2234">
        <f t="shared" si="514"/>
        <v>9</v>
      </c>
      <c r="AS476" s="2234">
        <f t="shared" si="514"/>
        <v>626</v>
      </c>
      <c r="AT476" s="2235">
        <f t="shared" si="514"/>
        <v>788</v>
      </c>
      <c r="AU476" s="2234">
        <f>AU473-AU446-AU453-AU447</f>
        <v>15.90809999999999</v>
      </c>
      <c r="AV476" s="2234">
        <f t="shared" ref="AV476:BM476" si="515">AV473-AV446-AV453-AV447</f>
        <v>116.44850000000001</v>
      </c>
      <c r="AW476" s="2234">
        <f t="shared" si="515"/>
        <v>-29.962299999999995</v>
      </c>
      <c r="AX476" s="2234">
        <f t="shared" si="515"/>
        <v>45.400699999999972</v>
      </c>
      <c r="AY476" s="2235">
        <f t="shared" si="515"/>
        <v>221.13499999999976</v>
      </c>
      <c r="AZ476" s="2234">
        <f t="shared" si="515"/>
        <v>-6.8450999999999986</v>
      </c>
      <c r="BA476" s="2234">
        <f t="shared" si="515"/>
        <v>-34.072800000000029</v>
      </c>
      <c r="BB476" s="2234">
        <f t="shared" si="515"/>
        <v>-14.418300000000036</v>
      </c>
      <c r="BC476" s="2234">
        <f t="shared" si="515"/>
        <v>-77.746299999999962</v>
      </c>
      <c r="BD476" s="2235">
        <f t="shared" si="515"/>
        <v>-170.71450000000004</v>
      </c>
      <c r="BE476" s="2234">
        <f t="shared" si="515"/>
        <v>65.735000000000028</v>
      </c>
      <c r="BF476" s="2234">
        <f t="shared" si="515"/>
        <v>61.398300000000049</v>
      </c>
      <c r="BG476" s="2234">
        <f t="shared" si="515"/>
        <v>37.087799999999966</v>
      </c>
      <c r="BH476" s="2234">
        <f t="shared" si="515"/>
        <v>-20.01159999999998</v>
      </c>
      <c r="BI476" s="2235">
        <f t="shared" si="515"/>
        <v>146.03240000000039</v>
      </c>
      <c r="BJ476" s="2234">
        <f t="shared" si="515"/>
        <v>47</v>
      </c>
      <c r="BK476" s="2234">
        <f t="shared" si="515"/>
        <v>67</v>
      </c>
      <c r="BL476" s="2234">
        <f t="shared" si="515"/>
        <v>62</v>
      </c>
      <c r="BM476" s="2234">
        <f t="shared" ca="1" si="515"/>
        <v>57.625530925323645</v>
      </c>
      <c r="BN476" s="2235">
        <f t="shared" ref="BN476" ca="1" si="516">BN473-BN446-BN453-BN447</f>
        <v>233.62553092532357</v>
      </c>
      <c r="BO476" s="1666"/>
      <c r="BP476" s="1666"/>
      <c r="BQ476" s="1293"/>
      <c r="BR476" s="1293"/>
      <c r="BS476" s="1293"/>
      <c r="BT476" s="1293"/>
      <c r="BU476" s="1293"/>
      <c r="BV476" s="1293"/>
      <c r="BW476" s="1293"/>
      <c r="BX476" s="1293"/>
      <c r="BY476" s="1293"/>
      <c r="BZ476" s="1293"/>
      <c r="CA476" s="1293"/>
      <c r="CB476" s="1293"/>
      <c r="CC476" s="1293"/>
      <c r="CD476" s="1293"/>
      <c r="CE476" s="1293"/>
      <c r="CF476" s="1293"/>
      <c r="CG476" s="1293"/>
      <c r="CH476" s="1293"/>
      <c r="CI476" s="1293"/>
      <c r="CJ476" s="1293"/>
      <c r="CK476" s="1293"/>
      <c r="CL476" s="1293"/>
      <c r="CM476" s="1293"/>
      <c r="CN476" s="1293"/>
      <c r="CO476" s="1293"/>
      <c r="CP476" s="1293"/>
      <c r="CQ476" s="1293"/>
      <c r="CR476" s="1293"/>
      <c r="CS476" s="1293"/>
      <c r="CT476" s="1293"/>
      <c r="CU476" s="1293"/>
      <c r="CV476" s="1293"/>
      <c r="CW476" s="1293"/>
      <c r="CX476" s="1293"/>
      <c r="CY476" s="2236">
        <v>1.6619489388081625</v>
      </c>
      <c r="CZ476" s="2234">
        <f>CZ473-CZ452-CZ453-CZ447</f>
        <v>36.240029226577008</v>
      </c>
      <c r="DA476" s="2237">
        <v>115.54926373173475</v>
      </c>
      <c r="DB476" s="2236">
        <v>99.445763159606258</v>
      </c>
      <c r="DC476" s="1293"/>
      <c r="DD476" s="1293"/>
      <c r="DE476" s="1293"/>
      <c r="DF476" s="1293"/>
      <c r="DG476" s="1293"/>
      <c r="DH476" s="1293"/>
      <c r="DI476" s="1293"/>
      <c r="DJ476" s="1293"/>
      <c r="DK476" s="1293"/>
      <c r="DL476" s="1293"/>
    </row>
    <row r="477" spans="1:116" ht="15.75">
      <c r="A477" s="1293"/>
      <c r="B477" s="1653"/>
      <c r="C477" s="1707"/>
      <c r="D477" s="1707"/>
      <c r="E477" s="1707"/>
      <c r="F477" s="1707"/>
      <c r="G477" s="1707"/>
      <c r="H477" s="1707"/>
      <c r="I477" s="1707"/>
      <c r="J477" s="1707"/>
      <c r="K477" s="1707"/>
      <c r="L477" s="1707"/>
      <c r="M477" s="1707"/>
      <c r="N477" s="1707"/>
      <c r="O477" s="1707"/>
      <c r="P477" s="1707"/>
      <c r="Q477" s="1293"/>
      <c r="R477" s="1707"/>
      <c r="S477" s="1707"/>
      <c r="T477" s="1707"/>
      <c r="U477" s="1707"/>
      <c r="V477" s="1293"/>
      <c r="W477" s="1707"/>
      <c r="X477" s="1707"/>
      <c r="Y477" s="1707"/>
      <c r="Z477" s="1707"/>
      <c r="AA477" s="1293"/>
      <c r="AB477" s="1707"/>
      <c r="AC477" s="1707"/>
      <c r="AD477" s="1707"/>
      <c r="AE477" s="1707"/>
      <c r="AF477" s="1707"/>
      <c r="AG477" s="1707"/>
      <c r="AH477" s="1707"/>
      <c r="AI477" s="1707"/>
      <c r="AJ477" s="2186"/>
      <c r="AK477" s="1707"/>
      <c r="AL477" s="1707"/>
      <c r="AM477" s="1707"/>
      <c r="AN477" s="1707"/>
      <c r="AO477" s="2186"/>
      <c r="AP477" s="1707"/>
      <c r="AQ477" s="1707"/>
      <c r="AR477" s="1707"/>
      <c r="AS477" s="1707"/>
      <c r="AT477" s="2186"/>
      <c r="AU477" s="1666"/>
      <c r="AV477" s="1666"/>
      <c r="AW477" s="1666"/>
      <c r="AX477" s="1666"/>
      <c r="AY477" s="2191"/>
      <c r="AZ477" s="1666"/>
      <c r="BA477" s="1666"/>
      <c r="BB477" s="1666"/>
      <c r="BC477" s="1698"/>
      <c r="BD477" s="2191"/>
      <c r="BE477" s="1666"/>
      <c r="BF477" s="1666"/>
      <c r="BG477" s="1666"/>
      <c r="BH477" s="1698"/>
      <c r="BI477" s="2191"/>
      <c r="BJ477" s="1707"/>
      <c r="BK477" s="1707"/>
      <c r="BL477" s="1707"/>
      <c r="BM477" s="1707"/>
      <c r="BN477" s="2186"/>
      <c r="BO477" s="1293"/>
      <c r="BP477" s="1293"/>
      <c r="BQ477" s="1293"/>
      <c r="BR477" s="1293"/>
      <c r="BS477" s="1293"/>
      <c r="BT477" s="1293"/>
      <c r="BU477" s="1293"/>
      <c r="BV477" s="1293"/>
      <c r="BW477" s="1293"/>
      <c r="BX477" s="1293"/>
      <c r="BY477" s="1293"/>
      <c r="BZ477" s="1293"/>
      <c r="CA477" s="1293"/>
      <c r="CB477" s="1293"/>
      <c r="CC477" s="1293"/>
      <c r="CD477" s="1293"/>
      <c r="CE477" s="1293"/>
      <c r="CF477" s="1293"/>
      <c r="CG477" s="1293"/>
      <c r="CH477" s="1293"/>
      <c r="CI477" s="1293"/>
      <c r="CJ477" s="1293"/>
      <c r="CK477" s="1293"/>
      <c r="CL477" s="1293"/>
      <c r="CM477" s="1293"/>
      <c r="CN477" s="1293"/>
      <c r="CO477" s="1293"/>
      <c r="CP477" s="1293"/>
      <c r="CQ477" s="1293"/>
      <c r="CR477" s="1293"/>
      <c r="CS477" s="1293"/>
      <c r="CT477" s="1293"/>
      <c r="CU477" s="1293"/>
      <c r="CV477" s="1293"/>
      <c r="CW477" s="1293"/>
      <c r="CX477" s="1293"/>
      <c r="CY477" s="2032"/>
      <c r="CZ477" s="1293"/>
      <c r="DA477" s="2238"/>
      <c r="DB477" s="2239"/>
      <c r="DC477" s="1293"/>
      <c r="DD477" s="1293"/>
      <c r="DE477" s="1293"/>
      <c r="DF477" s="1293"/>
      <c r="DG477" s="1293"/>
      <c r="DH477" s="1293"/>
      <c r="DI477" s="1293"/>
      <c r="DJ477" s="1293"/>
      <c r="DK477" s="1293"/>
      <c r="DL477" s="1293"/>
    </row>
    <row r="478" spans="1:116" ht="15.75">
      <c r="A478" s="1293"/>
      <c r="B478" s="2231" t="s">
        <v>3209</v>
      </c>
      <c r="C478" s="1666"/>
      <c r="D478" s="1666"/>
      <c r="E478" s="1666"/>
      <c r="F478" s="1666"/>
      <c r="G478" s="1666"/>
      <c r="H478" s="1666"/>
      <c r="I478" s="1666"/>
      <c r="J478" s="1666"/>
      <c r="K478" s="1666"/>
      <c r="L478" s="1666"/>
      <c r="M478" s="1666"/>
      <c r="N478" s="1666"/>
      <c r="O478" s="1666"/>
      <c r="P478" s="1666"/>
      <c r="Q478" s="1293"/>
      <c r="R478" s="1666"/>
      <c r="S478" s="1666"/>
      <c r="T478" s="1666"/>
      <c r="U478" s="1666"/>
      <c r="V478" s="1293"/>
      <c r="W478" s="1666"/>
      <c r="X478" s="1666"/>
      <c r="Y478" s="1666"/>
      <c r="Z478" s="1666"/>
      <c r="AA478" s="1293"/>
      <c r="AB478" s="1666"/>
      <c r="AC478" s="1666"/>
      <c r="AD478" s="1666"/>
      <c r="AE478" s="1666"/>
      <c r="AF478" s="1666"/>
      <c r="AG478" s="1666"/>
      <c r="AH478" s="1666"/>
      <c r="AI478" s="1666"/>
      <c r="AJ478" s="2186"/>
      <c r="AK478" s="1666"/>
      <c r="AL478" s="1666"/>
      <c r="AM478" s="1666"/>
      <c r="AN478" s="1666"/>
      <c r="AO478" s="2186"/>
      <c r="AP478" s="1666"/>
      <c r="AQ478" s="1666"/>
      <c r="AR478" s="1666"/>
      <c r="AS478" s="1666"/>
      <c r="AT478" s="2186"/>
      <c r="AU478" s="1666"/>
      <c r="AV478" s="1666"/>
      <c r="AW478" s="1666"/>
      <c r="AX478" s="1666"/>
      <c r="AY478" s="2186"/>
      <c r="AZ478" s="1666"/>
      <c r="BA478" s="1666"/>
      <c r="BB478" s="1666"/>
      <c r="BC478" s="1293"/>
      <c r="BD478" s="2186"/>
      <c r="BE478" s="1666"/>
      <c r="BF478" s="1666"/>
      <c r="BG478" s="1666"/>
      <c r="BH478" s="1293"/>
      <c r="BI478" s="2186"/>
      <c r="BJ478" s="1666"/>
      <c r="BK478" s="1666"/>
      <c r="BL478" s="1666"/>
      <c r="BM478" s="1666"/>
      <c r="BN478" s="2186"/>
      <c r="BO478" s="1293"/>
      <c r="BP478" s="1293"/>
      <c r="BQ478" s="1293"/>
      <c r="BR478" s="1293"/>
      <c r="BS478" s="1293"/>
      <c r="BT478" s="1293"/>
      <c r="BU478" s="1293"/>
      <c r="BV478" s="1293"/>
      <c r="BW478" s="1293"/>
      <c r="BX478" s="1293"/>
      <c r="BY478" s="1293"/>
      <c r="BZ478" s="1293"/>
      <c r="CA478" s="1293"/>
      <c r="CB478" s="1293"/>
      <c r="CC478" s="1293"/>
      <c r="CD478" s="1293"/>
      <c r="CE478" s="1293"/>
      <c r="CF478" s="1293"/>
      <c r="CG478" s="1293"/>
      <c r="CH478" s="1293"/>
      <c r="CI478" s="1293"/>
      <c r="CJ478" s="1293"/>
      <c r="CK478" s="1293"/>
      <c r="CL478" s="1293"/>
      <c r="CM478" s="1293"/>
      <c r="CN478" s="1293"/>
      <c r="CO478" s="1293"/>
      <c r="CP478" s="1293"/>
      <c r="CQ478" s="1293"/>
      <c r="CR478" s="1293"/>
      <c r="CS478" s="1293"/>
      <c r="CT478" s="1293"/>
      <c r="CU478" s="1293"/>
      <c r="CV478" s="1293"/>
      <c r="CW478" s="1293"/>
      <c r="CX478" s="1293"/>
      <c r="CY478" s="2032"/>
      <c r="CZ478" s="1293"/>
      <c r="DA478" s="2214"/>
      <c r="DB478" s="2215"/>
      <c r="DC478" s="1293"/>
      <c r="DD478" s="1293"/>
      <c r="DE478" s="1293"/>
      <c r="DF478" s="1293"/>
      <c r="DG478" s="1293"/>
      <c r="DH478" s="1293"/>
      <c r="DI478" s="1293"/>
      <c r="DJ478" s="1293"/>
      <c r="DK478" s="1293"/>
      <c r="DL478" s="1293"/>
    </row>
    <row r="479" spans="1:116" ht="15.75">
      <c r="A479" s="1293"/>
      <c r="B479" s="1900" t="s">
        <v>155</v>
      </c>
      <c r="C479" s="1908"/>
      <c r="D479" s="1908"/>
      <c r="E479" s="1908"/>
      <c r="F479" s="1908"/>
      <c r="G479" s="1908"/>
      <c r="H479" s="1908"/>
      <c r="I479" s="1908"/>
      <c r="J479" s="1908"/>
      <c r="K479" s="1908"/>
      <c r="L479" s="1908"/>
      <c r="M479" s="1908"/>
      <c r="N479" s="1908"/>
      <c r="O479" s="1908"/>
      <c r="P479" s="1908"/>
      <c r="Q479" s="1293"/>
      <c r="R479" s="1908"/>
      <c r="S479" s="1908"/>
      <c r="T479" s="1908"/>
      <c r="U479" s="1908"/>
      <c r="V479" s="1293"/>
      <c r="W479" s="1908"/>
      <c r="X479" s="1908"/>
      <c r="Y479" s="1908"/>
      <c r="Z479" s="1908"/>
      <c r="AA479" s="1293"/>
      <c r="AB479" s="1908"/>
      <c r="AC479" s="1908"/>
      <c r="AD479" s="1908"/>
      <c r="AE479" s="1908"/>
      <c r="AF479" s="1908"/>
      <c r="AG479" s="1908"/>
      <c r="AH479" s="1908"/>
      <c r="AI479" s="1908"/>
      <c r="AJ479" s="2186"/>
      <c r="AK479" s="1908"/>
      <c r="AL479" s="1908"/>
      <c r="AM479" s="1908"/>
      <c r="AN479" s="1908"/>
      <c r="AO479" s="2186"/>
      <c r="AP479" s="1908"/>
      <c r="AQ479" s="1908"/>
      <c r="AR479" s="1908"/>
      <c r="AS479" s="1908"/>
      <c r="AT479" s="2186"/>
      <c r="AU479" s="1908"/>
      <c r="AV479" s="1908"/>
      <c r="AW479" s="1908"/>
      <c r="AX479" s="1908"/>
      <c r="AY479" s="2186"/>
      <c r="AZ479" s="1908"/>
      <c r="BA479" s="1908"/>
      <c r="BB479" s="1908"/>
      <c r="BC479" s="1293"/>
      <c r="BD479" s="2186"/>
      <c r="BE479" s="1908"/>
      <c r="BF479" s="1908"/>
      <c r="BG479" s="1908"/>
      <c r="BH479" s="1293"/>
      <c r="BI479" s="2186"/>
      <c r="BJ479" s="1908"/>
      <c r="BK479" s="1908"/>
      <c r="BL479" s="1908"/>
      <c r="BM479" s="1908"/>
      <c r="BN479" s="2186"/>
      <c r="BO479" s="1293"/>
      <c r="BP479" s="1293"/>
      <c r="BQ479" s="1293"/>
      <c r="BR479" s="1293"/>
      <c r="BS479" s="1293"/>
      <c r="BT479" s="1293"/>
      <c r="BU479" s="1293"/>
      <c r="BV479" s="1293"/>
      <c r="BW479" s="1293"/>
      <c r="BX479" s="1293"/>
      <c r="BY479" s="1293"/>
      <c r="BZ479" s="1293"/>
      <c r="CA479" s="1293"/>
      <c r="CB479" s="1293"/>
      <c r="CC479" s="1293"/>
      <c r="CD479" s="1293"/>
      <c r="CE479" s="1293"/>
      <c r="CF479" s="1293"/>
      <c r="CG479" s="1293"/>
      <c r="CH479" s="1293"/>
      <c r="CI479" s="1293"/>
      <c r="CJ479" s="1293"/>
      <c r="CK479" s="1293"/>
      <c r="CL479" s="1293"/>
      <c r="CM479" s="1293"/>
      <c r="CN479" s="1293"/>
      <c r="CO479" s="1293"/>
      <c r="CP479" s="1293"/>
      <c r="CQ479" s="1293"/>
      <c r="CR479" s="1293"/>
      <c r="CS479" s="1293"/>
      <c r="CT479" s="1293"/>
      <c r="CU479" s="1293"/>
      <c r="CV479" s="1293"/>
      <c r="CW479" s="1293"/>
      <c r="CX479" s="1293"/>
      <c r="CY479" s="2032"/>
      <c r="CZ479" s="1293"/>
      <c r="DA479" s="2241"/>
      <c r="DB479" s="2242"/>
      <c r="DC479" s="1293"/>
      <c r="DD479" s="1293"/>
      <c r="DE479" s="1293"/>
      <c r="DF479" s="1293"/>
      <c r="DG479" s="1293"/>
      <c r="DH479" s="1293"/>
      <c r="DI479" s="1293"/>
      <c r="DJ479" s="1293"/>
      <c r="DK479" s="1293"/>
      <c r="DL479" s="1293"/>
    </row>
    <row r="480" spans="1:116" ht="15.75">
      <c r="A480" s="1293"/>
      <c r="B480" s="1653"/>
      <c r="C480" s="1666"/>
      <c r="D480" s="1666"/>
      <c r="E480" s="1666"/>
      <c r="F480" s="1666"/>
      <c r="G480" s="1666"/>
      <c r="H480" s="1666"/>
      <c r="I480" s="1666"/>
      <c r="J480" s="1666"/>
      <c r="K480" s="1666"/>
      <c r="L480" s="1666"/>
      <c r="M480" s="1666"/>
      <c r="N480" s="1666"/>
      <c r="O480" s="1666"/>
      <c r="P480" s="1666"/>
      <c r="Q480" s="1293"/>
      <c r="R480" s="1666"/>
      <c r="S480" s="1666"/>
      <c r="T480" s="1666"/>
      <c r="U480" s="1666"/>
      <c r="V480" s="1293"/>
      <c r="W480" s="1666"/>
      <c r="X480" s="1666"/>
      <c r="Y480" s="1666"/>
      <c r="Z480" s="1666"/>
      <c r="AA480" s="1293"/>
      <c r="AB480" s="1671" t="str">
        <f t="shared" ref="AB480:AH480" si="517">AB431</f>
        <v>IFRS16</v>
      </c>
      <c r="AC480" s="1671" t="str">
        <f t="shared" si="517"/>
        <v>IFRS15</v>
      </c>
      <c r="AD480" s="1671" t="str">
        <f t="shared" si="517"/>
        <v>IFRS16</v>
      </c>
      <c r="AE480" s="1671" t="str">
        <f t="shared" si="517"/>
        <v>IFRS15</v>
      </c>
      <c r="AF480" s="1671" t="str">
        <f t="shared" si="517"/>
        <v>IFRS16</v>
      </c>
      <c r="AG480" s="1671" t="str">
        <f t="shared" si="517"/>
        <v>IFRS15</v>
      </c>
      <c r="AH480" s="1671" t="str">
        <f t="shared" si="517"/>
        <v>IFRS16</v>
      </c>
      <c r="AI480" s="1293"/>
      <c r="AJ480" s="2186"/>
      <c r="AK480" s="1293"/>
      <c r="AL480" s="1293"/>
      <c r="AM480" s="1293"/>
      <c r="AN480" s="1293"/>
      <c r="AO480" s="2186"/>
      <c r="AP480" s="1293"/>
      <c r="AQ480" s="1293"/>
      <c r="AR480" s="1293"/>
      <c r="AS480" s="1293"/>
      <c r="AT480" s="2186"/>
      <c r="AU480" s="1293"/>
      <c r="AV480" s="1293"/>
      <c r="AW480" s="1293"/>
      <c r="AX480" s="1293"/>
      <c r="AY480" s="2186"/>
      <c r="AZ480" s="1293"/>
      <c r="BA480" s="1293"/>
      <c r="BB480" s="1293"/>
      <c r="BC480" s="1293"/>
      <c r="BD480" s="2186"/>
      <c r="BE480" s="1293"/>
      <c r="BF480" s="1293"/>
      <c r="BG480" s="1293"/>
      <c r="BH480" s="1293"/>
      <c r="BI480" s="2186"/>
      <c r="BJ480" s="1293"/>
      <c r="BK480" s="1293"/>
      <c r="BL480" s="1293"/>
      <c r="BM480" s="1293"/>
      <c r="BN480" s="2186"/>
      <c r="BO480" s="1293"/>
      <c r="BP480" s="1293"/>
      <c r="BQ480" s="1293"/>
      <c r="BR480" s="1293"/>
      <c r="BS480" s="1293"/>
      <c r="BT480" s="1293"/>
      <c r="BU480" s="1293"/>
      <c r="BV480" s="1293"/>
      <c r="BW480" s="1293"/>
      <c r="BX480" s="1293"/>
      <c r="BY480" s="1293"/>
      <c r="BZ480" s="1293"/>
      <c r="CA480" s="1293"/>
      <c r="CB480" s="1293"/>
      <c r="CC480" s="1293"/>
      <c r="CD480" s="1293"/>
      <c r="CE480" s="1293"/>
      <c r="CF480" s="1293"/>
      <c r="CG480" s="1293"/>
      <c r="CH480" s="1293"/>
      <c r="CI480" s="1293"/>
      <c r="CJ480" s="1293"/>
      <c r="CK480" s="1293"/>
      <c r="CL480" s="1293"/>
      <c r="CM480" s="1293"/>
      <c r="CN480" s="1293"/>
      <c r="CO480" s="1293"/>
      <c r="CP480" s="1293"/>
      <c r="CQ480" s="1293"/>
      <c r="CR480" s="1293"/>
      <c r="CS480" s="1293"/>
      <c r="CT480" s="1293"/>
      <c r="CU480" s="1293"/>
      <c r="CV480" s="1293"/>
      <c r="CW480" s="1293"/>
      <c r="CX480" s="1293"/>
      <c r="CY480" s="2032"/>
      <c r="CZ480" s="1293"/>
      <c r="DA480" s="2031"/>
      <c r="DB480" s="2032"/>
      <c r="DC480" s="1293"/>
      <c r="DD480" s="1293"/>
      <c r="DE480" s="1293"/>
      <c r="DF480" s="1293"/>
      <c r="DG480" s="1293"/>
      <c r="DH480" s="1293"/>
      <c r="DI480" s="1293"/>
      <c r="DJ480" s="1293"/>
      <c r="DK480" s="1293"/>
      <c r="DL480" s="1293"/>
    </row>
    <row r="481" spans="1:116" ht="15.75">
      <c r="A481" s="1293"/>
      <c r="B481" s="1653"/>
      <c r="C481" s="1707"/>
      <c r="D481" s="1707"/>
      <c r="E481" s="1707"/>
      <c r="F481" s="1707"/>
      <c r="G481" s="1707"/>
      <c r="H481" s="1707"/>
      <c r="I481" s="1707"/>
      <c r="J481" s="1707"/>
      <c r="K481" s="1707"/>
      <c r="L481" s="1707"/>
      <c r="M481" s="1707"/>
      <c r="N481" s="1707"/>
      <c r="O481" s="1707"/>
      <c r="P481" s="1707"/>
      <c r="Q481" s="1293"/>
      <c r="R481" s="1707"/>
      <c r="S481" s="1707"/>
      <c r="T481" s="1707"/>
      <c r="U481" s="1707"/>
      <c r="V481" s="1293"/>
      <c r="W481" s="1707"/>
      <c r="X481" s="1707"/>
      <c r="Y481" s="1707"/>
      <c r="Z481" s="1707"/>
      <c r="AA481" s="1293"/>
      <c r="AB481" s="1883" t="str">
        <f t="shared" ref="AB481:AH481" si="518">AB436</f>
        <v>Q1 19</v>
      </c>
      <c r="AC481" s="1883" t="str">
        <f t="shared" si="518"/>
        <v>Q1 19</v>
      </c>
      <c r="AD481" s="1883" t="str">
        <f t="shared" si="518"/>
        <v>Q2 19</v>
      </c>
      <c r="AE481" s="1883" t="str">
        <f t="shared" si="518"/>
        <v>Q2 19</v>
      </c>
      <c r="AF481" s="1883" t="str">
        <f t="shared" si="518"/>
        <v>Q3 19</v>
      </c>
      <c r="AG481" s="1883" t="str">
        <f t="shared" si="518"/>
        <v>Q3 19</v>
      </c>
      <c r="AH481" s="1883" t="str">
        <f t="shared" si="518"/>
        <v>Q4 19</v>
      </c>
      <c r="AI481" s="1883"/>
      <c r="AJ481" s="2186"/>
      <c r="AK481" s="1883" t="str">
        <f t="shared" ref="AK481:BN481" si="519">AK436</f>
        <v>Q1 20</v>
      </c>
      <c r="AL481" s="1883" t="str">
        <f t="shared" si="519"/>
        <v>Q2 20</v>
      </c>
      <c r="AM481" s="1883" t="str">
        <f t="shared" si="519"/>
        <v>Q3 20</v>
      </c>
      <c r="AN481" s="1883" t="str">
        <f t="shared" si="519"/>
        <v>Q4 20</v>
      </c>
      <c r="AO481" s="2190">
        <f t="shared" si="519"/>
        <v>2020</v>
      </c>
      <c r="AP481" s="1883" t="str">
        <f t="shared" si="519"/>
        <v>Q1 21</v>
      </c>
      <c r="AQ481" s="1883" t="str">
        <f t="shared" si="519"/>
        <v>Q2 21</v>
      </c>
      <c r="AR481" s="1883" t="str">
        <f t="shared" si="519"/>
        <v>Q3 21</v>
      </c>
      <c r="AS481" s="1883" t="str">
        <f t="shared" si="519"/>
        <v>Q4 21</v>
      </c>
      <c r="AT481" s="2190">
        <f t="shared" si="519"/>
        <v>2021</v>
      </c>
      <c r="AU481" s="1883" t="str">
        <f t="shared" si="519"/>
        <v>Q1 22</v>
      </c>
      <c r="AV481" s="1883" t="str">
        <f t="shared" si="519"/>
        <v>Q2 22</v>
      </c>
      <c r="AW481" s="1883" t="str">
        <f t="shared" si="519"/>
        <v>Q3 22</v>
      </c>
      <c r="AX481" s="1883" t="str">
        <f t="shared" si="519"/>
        <v>Q4 22</v>
      </c>
      <c r="AY481" s="2190">
        <f t="shared" si="519"/>
        <v>2022</v>
      </c>
      <c r="AZ481" s="1883" t="str">
        <f t="shared" si="519"/>
        <v>Q1 23</v>
      </c>
      <c r="BA481" s="1883" t="str">
        <f t="shared" si="519"/>
        <v>Q2 23</v>
      </c>
      <c r="BB481" s="1883" t="str">
        <f t="shared" si="519"/>
        <v>Q3 23</v>
      </c>
      <c r="BC481" s="1883" t="str">
        <f t="shared" si="519"/>
        <v>Q4 23</v>
      </c>
      <c r="BD481" s="2190">
        <f t="shared" si="519"/>
        <v>2023</v>
      </c>
      <c r="BE481" s="1883" t="str">
        <f t="shared" si="519"/>
        <v>Q1 24</v>
      </c>
      <c r="BF481" s="1883" t="str">
        <f t="shared" si="519"/>
        <v>Q2 24</v>
      </c>
      <c r="BG481" s="1883" t="str">
        <f t="shared" si="519"/>
        <v>Q3 24</v>
      </c>
      <c r="BH481" s="1883" t="str">
        <f t="shared" si="519"/>
        <v>Q4 24</v>
      </c>
      <c r="BI481" s="2190">
        <f t="shared" si="519"/>
        <v>2024</v>
      </c>
      <c r="BJ481" s="1883" t="str">
        <f t="shared" si="519"/>
        <v>Q1 25</v>
      </c>
      <c r="BK481" s="1883" t="str">
        <f t="shared" si="519"/>
        <v>Q2 25</v>
      </c>
      <c r="BL481" s="1883" t="str">
        <f t="shared" si="519"/>
        <v>Q3 25</v>
      </c>
      <c r="BM481" s="1883" t="str">
        <f t="shared" si="519"/>
        <v>Q4 25</v>
      </c>
      <c r="BN481" s="2190">
        <f t="shared" si="519"/>
        <v>2025</v>
      </c>
      <c r="BO481" s="1323"/>
      <c r="BP481" s="1323"/>
      <c r="BQ481" s="1293"/>
      <c r="BR481" s="1293"/>
      <c r="BS481" s="1293"/>
      <c r="BT481" s="1293"/>
      <c r="BU481" s="1293"/>
      <c r="BV481" s="1293"/>
      <c r="BW481" s="1293"/>
      <c r="BX481" s="1293"/>
      <c r="BY481" s="1293"/>
      <c r="BZ481" s="1293"/>
      <c r="CA481" s="1293"/>
      <c r="CB481" s="1293"/>
      <c r="CC481" s="1293"/>
      <c r="CD481" s="1293"/>
      <c r="CE481" s="1293"/>
      <c r="CF481" s="1293"/>
      <c r="CG481" s="1293"/>
      <c r="CH481" s="1293"/>
      <c r="CI481" s="1293"/>
      <c r="CJ481" s="1293"/>
      <c r="CK481" s="1293"/>
      <c r="CL481" s="1293"/>
      <c r="CM481" s="1293"/>
      <c r="CN481" s="1293"/>
      <c r="CO481" s="1293"/>
      <c r="CP481" s="1293"/>
      <c r="CQ481" s="1293"/>
      <c r="CR481" s="1293"/>
      <c r="CS481" s="1293"/>
      <c r="CT481" s="1293"/>
      <c r="CU481" s="1293"/>
      <c r="CV481" s="1293"/>
      <c r="CW481" s="1293"/>
      <c r="CX481" s="1293"/>
      <c r="CY481" s="2036" t="s">
        <v>7795</v>
      </c>
      <c r="CZ481" s="1883" t="str">
        <f>CZ436</f>
        <v>Q3 23e</v>
      </c>
      <c r="DA481" s="2037" t="s">
        <v>8571</v>
      </c>
      <c r="DB481" s="2038" t="s">
        <v>8572</v>
      </c>
      <c r="DC481" s="1293"/>
      <c r="DD481" s="1293"/>
      <c r="DE481" s="1293"/>
      <c r="DF481" s="1293"/>
      <c r="DG481" s="1293"/>
      <c r="DH481" s="1293"/>
      <c r="DI481" s="1293"/>
      <c r="DJ481" s="1293"/>
      <c r="DK481" s="1293"/>
      <c r="DL481" s="1293"/>
    </row>
    <row r="482" spans="1:116" ht="15.75">
      <c r="A482" s="1293"/>
      <c r="B482" s="1653" t="s">
        <v>360</v>
      </c>
      <c r="C482" s="1707"/>
      <c r="D482" s="1707"/>
      <c r="E482" s="1707"/>
      <c r="F482" s="1707"/>
      <c r="G482" s="1707"/>
      <c r="H482" s="1707"/>
      <c r="I482" s="1707"/>
      <c r="J482" s="1707"/>
      <c r="K482" s="1707"/>
      <c r="L482" s="1707"/>
      <c r="M482" s="1707"/>
      <c r="N482" s="1707"/>
      <c r="O482" s="1707"/>
      <c r="P482" s="1707"/>
      <c r="Q482" s="1293"/>
      <c r="R482" s="1707"/>
      <c r="S482" s="1707"/>
      <c r="T482" s="1707"/>
      <c r="U482" s="1707"/>
      <c r="V482" s="1293"/>
      <c r="W482" s="1707"/>
      <c r="X482" s="1707"/>
      <c r="Y482" s="1707"/>
      <c r="Z482" s="1707"/>
      <c r="AA482" s="1293"/>
      <c r="AB482" s="1323"/>
      <c r="AC482" s="1323"/>
      <c r="AD482" s="1323"/>
      <c r="AE482" s="1323"/>
      <c r="AF482" s="1323"/>
      <c r="AG482" s="1323"/>
      <c r="AH482" s="1323"/>
      <c r="AI482" s="1323"/>
      <c r="AJ482" s="2186"/>
      <c r="AK482" s="1323"/>
      <c r="AL482" s="1323"/>
      <c r="AM482" s="1323"/>
      <c r="AN482" s="1323"/>
      <c r="AO482" s="2243"/>
      <c r="AP482" s="1323"/>
      <c r="AQ482" s="1323"/>
      <c r="AR482" s="1323"/>
      <c r="AS482" s="1323"/>
      <c r="AT482" s="2243"/>
      <c r="AU482" s="1674">
        <f>AU137</f>
        <v>563.90809999999999</v>
      </c>
      <c r="AV482" s="1674">
        <f>AV137</f>
        <v>577.10850000000005</v>
      </c>
      <c r="AW482" s="1674">
        <f>AW137</f>
        <v>539.1377</v>
      </c>
      <c r="AX482" s="1674">
        <f>AX137</f>
        <v>547.98069999999996</v>
      </c>
      <c r="AY482" s="2244">
        <f t="shared" ref="AY482:AY491" si="520">SUM(AU482:AX482)</f>
        <v>2228.1349999999998</v>
      </c>
      <c r="AZ482" s="1674">
        <f>AZ137</f>
        <v>507.2749</v>
      </c>
      <c r="BA482" s="1674">
        <f>BA137</f>
        <v>514.92719999999997</v>
      </c>
      <c r="BB482" s="1674">
        <f>BB137</f>
        <v>532.58169999999996</v>
      </c>
      <c r="BC482" s="1674">
        <f>BC137</f>
        <v>556.50170000000003</v>
      </c>
      <c r="BD482" s="2244">
        <f t="shared" ref="BD482:BD491" si="521">SUM(AZ482:BC482)</f>
        <v>2111.2855</v>
      </c>
      <c r="BE482" s="1674">
        <f>BE137</f>
        <v>631.80830000000003</v>
      </c>
      <c r="BF482" s="1674">
        <f>BF137</f>
        <v>633.90470000000005</v>
      </c>
      <c r="BG482" s="1674">
        <f>BG137</f>
        <v>585.03099999999995</v>
      </c>
      <c r="BH482" s="2245">
        <f>BH137</f>
        <v>617.90179999999998</v>
      </c>
      <c r="BI482" s="2244">
        <f t="shared" ref="BI482:BI491" si="522">SUM(BE482:BH482)</f>
        <v>2468.6458000000002</v>
      </c>
      <c r="BJ482" s="1674">
        <f>BJ137</f>
        <v>587.5</v>
      </c>
      <c r="BK482" s="1674">
        <f>BK137</f>
        <v>602.5</v>
      </c>
      <c r="BL482" s="1674">
        <f>BL137</f>
        <v>602.5</v>
      </c>
      <c r="BM482" s="2245">
        <f>BM137</f>
        <v>589.185419914671</v>
      </c>
      <c r="BN482" s="2191">
        <f>BJ482+BK482+BL482+BM482</f>
        <v>2381.685419914671</v>
      </c>
      <c r="BO482" s="1698"/>
      <c r="BP482" s="1698"/>
      <c r="BQ482" s="1327">
        <f ca="1">Valuation!N21</f>
        <v>2468.6458000000002</v>
      </c>
      <c r="BR482" s="1293"/>
      <c r="BS482" s="1293"/>
      <c r="BT482" s="1293"/>
      <c r="BU482" s="1293"/>
      <c r="BV482" s="1293"/>
      <c r="BW482" s="1293"/>
      <c r="BX482" s="1293"/>
      <c r="BY482" s="1293"/>
      <c r="BZ482" s="1293"/>
      <c r="CA482" s="1293"/>
      <c r="CB482" s="1293"/>
      <c r="CC482" s="1293"/>
      <c r="CD482" s="1293"/>
      <c r="CE482" s="1293"/>
      <c r="CF482" s="1293"/>
      <c r="CG482" s="1293"/>
      <c r="CH482" s="1293"/>
      <c r="CI482" s="1293"/>
      <c r="CJ482" s="1293"/>
      <c r="CK482" s="1293"/>
      <c r="CL482" s="1293"/>
      <c r="CM482" s="1293"/>
      <c r="CN482" s="1293"/>
      <c r="CO482" s="1293"/>
      <c r="CP482" s="1293"/>
      <c r="CQ482" s="1293"/>
      <c r="CR482" s="1293"/>
      <c r="CS482" s="1293"/>
      <c r="CT482" s="1293"/>
      <c r="CU482" s="1293"/>
      <c r="CV482" s="1293"/>
      <c r="CW482" s="1293"/>
      <c r="CX482" s="1293"/>
      <c r="CY482" s="2246">
        <v>536.02566127599687</v>
      </c>
      <c r="CZ482" s="1674">
        <f>CZ137</f>
        <v>558.24002922657701</v>
      </c>
      <c r="DA482" s="2247">
        <v>640.54926373173475</v>
      </c>
      <c r="DB482" s="2246">
        <v>644.44576315960626</v>
      </c>
      <c r="DC482" s="1293"/>
      <c r="DD482" s="1293"/>
      <c r="DE482" s="1293"/>
      <c r="DF482" s="1293"/>
      <c r="DG482" s="1293"/>
      <c r="DH482" s="1293"/>
      <c r="DI482" s="1293"/>
      <c r="DJ482" s="1293"/>
      <c r="DK482" s="1293"/>
      <c r="DL482" s="1293"/>
    </row>
    <row r="483" spans="1:116" ht="15.75">
      <c r="A483" s="1293"/>
      <c r="B483" s="1653" t="s">
        <v>7634</v>
      </c>
      <c r="C483" s="1707"/>
      <c r="D483" s="1707"/>
      <c r="E483" s="1707"/>
      <c r="F483" s="1707"/>
      <c r="G483" s="1707"/>
      <c r="H483" s="1666">
        <v>-78</v>
      </c>
      <c r="I483" s="1666">
        <v>-99</v>
      </c>
      <c r="J483" s="1666"/>
      <c r="K483" s="1666"/>
      <c r="L483" s="1707"/>
      <c r="M483" s="1666">
        <v>-92</v>
      </c>
      <c r="N483" s="1666">
        <v>-111</v>
      </c>
      <c r="O483" s="1666">
        <v>-104</v>
      </c>
      <c r="P483" s="1666">
        <v>-119</v>
      </c>
      <c r="Q483" s="1293"/>
      <c r="R483" s="1666">
        <v>-126</v>
      </c>
      <c r="S483" s="1666">
        <v>-83</v>
      </c>
      <c r="T483" s="1666">
        <v>-143</v>
      </c>
      <c r="U483" s="1666">
        <v>-97</v>
      </c>
      <c r="V483" s="1698">
        <f>V455</f>
        <v>-471</v>
      </c>
      <c r="W483" s="1666">
        <v>-127</v>
      </c>
      <c r="X483" s="1666">
        <v>-53</v>
      </c>
      <c r="Y483" s="1666">
        <v>-124</v>
      </c>
      <c r="Z483" s="1666">
        <v>-75</v>
      </c>
      <c r="AA483" s="1698">
        <f>AA455</f>
        <v>-436</v>
      </c>
      <c r="AB483" s="1666">
        <v>-138</v>
      </c>
      <c r="AC483" s="1666"/>
      <c r="AD483" s="1666">
        <v>-126</v>
      </c>
      <c r="AE483" s="1666"/>
      <c r="AF483" s="1666">
        <v>-174</v>
      </c>
      <c r="AG483" s="1666"/>
      <c r="AH483" s="1666">
        <v>-131</v>
      </c>
      <c r="AI483" s="1666"/>
      <c r="AJ483" s="2191">
        <f>AJ455</f>
        <v>-646</v>
      </c>
      <c r="AK483" s="2216">
        <v>-186</v>
      </c>
      <c r="AL483" s="2216">
        <v>-130</v>
      </c>
      <c r="AM483" s="2216">
        <v>-188</v>
      </c>
      <c r="AN483" s="2216">
        <v>-187</v>
      </c>
      <c r="AO483" s="2191">
        <f>AO455</f>
        <v>-730</v>
      </c>
      <c r="AP483" s="2216">
        <v>-152</v>
      </c>
      <c r="AQ483" s="2216">
        <v>-123</v>
      </c>
      <c r="AR483" s="2216">
        <v>-145</v>
      </c>
      <c r="AS483" s="2216">
        <v>-124</v>
      </c>
      <c r="AT483" s="2191">
        <f>AT455</f>
        <v>-583</v>
      </c>
      <c r="AU483" s="2216">
        <v>-102</v>
      </c>
      <c r="AV483" s="2216">
        <v>-90.04</v>
      </c>
      <c r="AW483" s="2216">
        <v>-120</v>
      </c>
      <c r="AX483" s="2216">
        <v>-90.42</v>
      </c>
      <c r="AY483" s="2244">
        <f t="shared" si="520"/>
        <v>-402.46000000000004</v>
      </c>
      <c r="AZ483" s="2216">
        <v>-129</v>
      </c>
      <c r="BA483" s="2216">
        <v>-101</v>
      </c>
      <c r="BB483" s="2216">
        <v>-137</v>
      </c>
      <c r="BC483" s="2216">
        <v>-107.36199999999999</v>
      </c>
      <c r="BD483" s="2244">
        <f t="shared" si="521"/>
        <v>-474.36199999999997</v>
      </c>
      <c r="BE483" s="2216">
        <v>-132</v>
      </c>
      <c r="BF483" s="2216">
        <v>-105</v>
      </c>
      <c r="BG483" s="2216">
        <v>-118</v>
      </c>
      <c r="BH483" s="2216">
        <v>-101.3121</v>
      </c>
      <c r="BI483" s="2244">
        <f t="shared" si="522"/>
        <v>-456.31209999999999</v>
      </c>
      <c r="BJ483" s="1945">
        <v>-95</v>
      </c>
      <c r="BK483" s="1945">
        <v>-95</v>
      </c>
      <c r="BL483" s="1945">
        <v>-95</v>
      </c>
      <c r="BM483" s="1945">
        <f ca="1">BN483-BJ483-BK483-BL483</f>
        <v>-94.213547096843797</v>
      </c>
      <c r="BN483" s="2244">
        <f ca="1">-Master!AB493+Master!AB401</f>
        <v>-379.2135470968438</v>
      </c>
      <c r="BO483" s="1674"/>
      <c r="BP483" s="1698"/>
      <c r="BQ483" s="1327">
        <f>Valuation!N22</f>
        <v>-575</v>
      </c>
      <c r="BR483" s="1293"/>
      <c r="BS483" s="1293"/>
      <c r="BT483" s="1293"/>
      <c r="BU483" s="1293"/>
      <c r="BV483" s="1293"/>
      <c r="BW483" s="1293"/>
      <c r="BX483" s="1293"/>
      <c r="BY483" s="1293"/>
      <c r="BZ483" s="1293"/>
      <c r="CA483" s="1293"/>
      <c r="CB483" s="1293"/>
      <c r="CC483" s="1293"/>
      <c r="CD483" s="1293"/>
      <c r="CE483" s="1293"/>
      <c r="CF483" s="1293"/>
      <c r="CG483" s="1293"/>
      <c r="CH483" s="1293"/>
      <c r="CI483" s="1293"/>
      <c r="CJ483" s="1293"/>
      <c r="CK483" s="1293"/>
      <c r="CL483" s="1293"/>
      <c r="CM483" s="1293"/>
      <c r="CN483" s="1293"/>
      <c r="CO483" s="1293"/>
      <c r="CP483" s="1293"/>
      <c r="CQ483" s="1293"/>
      <c r="CR483" s="1293"/>
      <c r="CS483" s="1293"/>
      <c r="CT483" s="1293"/>
      <c r="CU483" s="1293"/>
      <c r="CV483" s="1293"/>
      <c r="CW483" s="1293"/>
      <c r="CX483" s="1293"/>
      <c r="CY483" s="2215">
        <v>-136.37943052657693</v>
      </c>
      <c r="CZ483" s="2248">
        <v>-100</v>
      </c>
      <c r="DA483" s="2217">
        <v>-112.22201219629127</v>
      </c>
      <c r="DB483" s="2218">
        <v>-110</v>
      </c>
      <c r="DC483" s="1293"/>
      <c r="DD483" s="1293"/>
      <c r="DE483" s="1293"/>
      <c r="DF483" s="1293"/>
      <c r="DG483" s="1293"/>
      <c r="DH483" s="1293"/>
      <c r="DI483" s="1293"/>
      <c r="DJ483" s="1293"/>
      <c r="DK483" s="1293"/>
      <c r="DL483" s="1293"/>
    </row>
    <row r="484" spans="1:116" ht="15.75">
      <c r="A484" s="1293"/>
      <c r="B484" s="1653" t="s">
        <v>3806</v>
      </c>
      <c r="C484" s="1707"/>
      <c r="D484" s="1707"/>
      <c r="E484" s="1707"/>
      <c r="F484" s="1707"/>
      <c r="G484" s="1707"/>
      <c r="H484" s="1666">
        <v>-50</v>
      </c>
      <c r="I484" s="1666">
        <v>-94</v>
      </c>
      <c r="J484" s="1666"/>
      <c r="K484" s="1666"/>
      <c r="L484" s="1707"/>
      <c r="M484" s="1666">
        <v>-38</v>
      </c>
      <c r="N484" s="1666">
        <v>-99</v>
      </c>
      <c r="O484" s="1666">
        <v>-70</v>
      </c>
      <c r="P484" s="1666">
        <v>-52</v>
      </c>
      <c r="Q484" s="1293"/>
      <c r="R484" s="1666">
        <v>-33</v>
      </c>
      <c r="S484" s="1666">
        <v>-74</v>
      </c>
      <c r="T484" s="1666">
        <v>-70</v>
      </c>
      <c r="U484" s="1666">
        <v>-79</v>
      </c>
      <c r="V484" s="1698">
        <f>V462</f>
        <v>-252</v>
      </c>
      <c r="W484" s="1666">
        <v>-38</v>
      </c>
      <c r="X484" s="1666">
        <v>-97</v>
      </c>
      <c r="Y484" s="1666">
        <v>-67</v>
      </c>
      <c r="Z484" s="1666">
        <v>-92</v>
      </c>
      <c r="AA484" s="1666">
        <f>AA462</f>
        <v>-204</v>
      </c>
      <c r="AB484" s="1666">
        <f>-23-3+1</f>
        <v>-25</v>
      </c>
      <c r="AC484" s="1666"/>
      <c r="AD484" s="1666">
        <v>-82</v>
      </c>
      <c r="AE484" s="1666"/>
      <c r="AF484" s="1666">
        <v>-54</v>
      </c>
      <c r="AG484" s="1666"/>
      <c r="AH484" s="1666">
        <v>-81</v>
      </c>
      <c r="AI484" s="1666"/>
      <c r="AJ484" s="2212">
        <f>AB484+AD484+AF484+AH484</f>
        <v>-242</v>
      </c>
      <c r="AK484" s="2216">
        <v>-37</v>
      </c>
      <c r="AL484" s="2216">
        <v>-64</v>
      </c>
      <c r="AM484" s="2216">
        <v>-104</v>
      </c>
      <c r="AN484" s="2216">
        <v>-68</v>
      </c>
      <c r="AO484" s="2212">
        <f>SUM(AK484:AN484)</f>
        <v>-273</v>
      </c>
      <c r="AP484" s="2216">
        <v>-38</v>
      </c>
      <c r="AQ484" s="2216">
        <v>-96</v>
      </c>
      <c r="AR484" s="2216">
        <v>-65</v>
      </c>
      <c r="AS484" s="2216">
        <v>-72</v>
      </c>
      <c r="AT484" s="2212">
        <f>SUM(AP484:AS484)</f>
        <v>-271</v>
      </c>
      <c r="AU484" s="2216">
        <v>-62</v>
      </c>
      <c r="AV484" s="2216">
        <v>-93.74</v>
      </c>
      <c r="AW484" s="2216">
        <v>-66</v>
      </c>
      <c r="AX484" s="2216">
        <v>-94.08</v>
      </c>
      <c r="AY484" s="2244">
        <f t="shared" si="520"/>
        <v>-315.82</v>
      </c>
      <c r="AZ484" s="2216">
        <v>-37</v>
      </c>
      <c r="BA484" s="2216">
        <v>-83</v>
      </c>
      <c r="BB484" s="2216">
        <v>-57</v>
      </c>
      <c r="BC484" s="2216">
        <v>-55.63</v>
      </c>
      <c r="BD484" s="2244">
        <f t="shared" si="521"/>
        <v>-232.63</v>
      </c>
      <c r="BE484" s="2216">
        <v>-38</v>
      </c>
      <c r="BF484" s="2216">
        <v>-82</v>
      </c>
      <c r="BG484" s="2216">
        <v>-54</v>
      </c>
      <c r="BH484" s="2216">
        <v>-65.259699999999995</v>
      </c>
      <c r="BI484" s="2244">
        <f t="shared" si="522"/>
        <v>-239.25970000000001</v>
      </c>
      <c r="BJ484" s="1666">
        <f>BJ462</f>
        <v>-72</v>
      </c>
      <c r="BK484" s="1666">
        <f t="shared" ref="BK484:BM484" si="523">BK462</f>
        <v>-72</v>
      </c>
      <c r="BL484" s="1666">
        <f t="shared" si="523"/>
        <v>-72</v>
      </c>
      <c r="BM484" s="1666">
        <f t="shared" ca="1" si="523"/>
        <v>-51.302153297514508</v>
      </c>
      <c r="BN484" s="2244">
        <f ca="1">BN462</f>
        <v>-267.30215329751451</v>
      </c>
      <c r="BO484" s="1674"/>
      <c r="BP484" s="1674"/>
      <c r="BQ484" s="1327">
        <f>Valuation!N23</f>
        <v>-780</v>
      </c>
      <c r="BR484" s="1293"/>
      <c r="BS484" s="1293"/>
      <c r="BT484" s="1293"/>
      <c r="BU484" s="1293"/>
      <c r="BV484" s="1293"/>
      <c r="BW484" s="1293"/>
      <c r="BX484" s="1293"/>
      <c r="BY484" s="1293"/>
      <c r="BZ484" s="1293"/>
      <c r="CA484" s="1293"/>
      <c r="CB484" s="1293"/>
      <c r="CC484" s="1293"/>
      <c r="CD484" s="1293"/>
      <c r="CE484" s="1293"/>
      <c r="CF484" s="1293"/>
      <c r="CG484" s="1293"/>
      <c r="CH484" s="1293"/>
      <c r="CI484" s="1293"/>
      <c r="CJ484" s="1293"/>
      <c r="CK484" s="1293"/>
      <c r="CL484" s="1293"/>
      <c r="CM484" s="1293"/>
      <c r="CN484" s="1293"/>
      <c r="CO484" s="1293"/>
      <c r="CP484" s="1293"/>
      <c r="CQ484" s="1293"/>
      <c r="CR484" s="1293"/>
      <c r="CS484" s="1293"/>
      <c r="CT484" s="1293"/>
      <c r="CU484" s="1293"/>
      <c r="CV484" s="1293"/>
      <c r="CW484" s="1293"/>
      <c r="CX484" s="1293"/>
      <c r="CY484" s="2215">
        <v>-68.208031810611772</v>
      </c>
      <c r="CZ484" s="1674">
        <f>CZ462</f>
        <v>-50</v>
      </c>
      <c r="DA484" s="2217">
        <v>-60</v>
      </c>
      <c r="DB484" s="2218">
        <v>-70</v>
      </c>
      <c r="DC484" s="1293"/>
      <c r="DD484" s="1293"/>
      <c r="DE484" s="1293"/>
      <c r="DF484" s="1293"/>
      <c r="DG484" s="1293"/>
      <c r="DH484" s="1293"/>
      <c r="DI484" s="1293"/>
      <c r="DJ484" s="1293"/>
      <c r="DK484" s="1293"/>
      <c r="DL484" s="1293"/>
    </row>
    <row r="485" spans="1:116" ht="15.75">
      <c r="A485" s="1293"/>
      <c r="B485" s="1653" t="s">
        <v>4088</v>
      </c>
      <c r="C485" s="1707"/>
      <c r="D485" s="1707"/>
      <c r="E485" s="1707"/>
      <c r="F485" s="1707"/>
      <c r="G485" s="1707"/>
      <c r="H485" s="1666"/>
      <c r="I485" s="1666"/>
      <c r="J485" s="1666"/>
      <c r="K485" s="1666"/>
      <c r="L485" s="1707"/>
      <c r="M485" s="1666">
        <v>-343</v>
      </c>
      <c r="N485" s="1666">
        <v>-214</v>
      </c>
      <c r="O485" s="1666">
        <v>-242</v>
      </c>
      <c r="P485" s="1666">
        <v>-253</v>
      </c>
      <c r="Q485" s="1293"/>
      <c r="R485" s="1666">
        <v>-274</v>
      </c>
      <c r="S485" s="1666">
        <v>-209</v>
      </c>
      <c r="T485" s="1666">
        <v>-217</v>
      </c>
      <c r="U485" s="1666">
        <v>-252</v>
      </c>
      <c r="V485" s="1698">
        <f>-V414</f>
        <v>-994</v>
      </c>
      <c r="W485" s="1666">
        <v>-267</v>
      </c>
      <c r="X485" s="1666">
        <v>-210</v>
      </c>
      <c r="Y485" s="1666">
        <v>-211</v>
      </c>
      <c r="Z485" s="1666">
        <v>-245</v>
      </c>
      <c r="AA485" s="1666">
        <f>-AA417</f>
        <v>-1016</v>
      </c>
      <c r="AB485" s="1666">
        <v>-318</v>
      </c>
      <c r="AC485" s="1666"/>
      <c r="AD485" s="1666">
        <v>-259</v>
      </c>
      <c r="AE485" s="1666"/>
      <c r="AF485" s="1666">
        <f>-679-181-AB485-AD485</f>
        <v>-283</v>
      </c>
      <c r="AG485" s="1666"/>
      <c r="AH485" s="1666">
        <v>-290</v>
      </c>
      <c r="AI485" s="1666"/>
      <c r="AJ485" s="2212">
        <f>-AJ417</f>
        <v>-1058</v>
      </c>
      <c r="AK485" s="2216">
        <v>-298</v>
      </c>
      <c r="AL485" s="2216">
        <v>-195</v>
      </c>
      <c r="AM485" s="2216">
        <v>-238</v>
      </c>
      <c r="AN485" s="2216">
        <v>-241</v>
      </c>
      <c r="AO485" s="2212">
        <f>-AO417</f>
        <v>-990</v>
      </c>
      <c r="AP485" s="2216">
        <v>-294</v>
      </c>
      <c r="AQ485" s="2216">
        <v>-232</v>
      </c>
      <c r="AR485" s="2216">
        <v>-249</v>
      </c>
      <c r="AS485" s="2216">
        <v>-290</v>
      </c>
      <c r="AT485" s="2212">
        <f>-AT417</f>
        <v>-1162</v>
      </c>
      <c r="AU485" s="2216">
        <v>-276</v>
      </c>
      <c r="AV485" s="2216">
        <v>-247.85</v>
      </c>
      <c r="AW485" s="2216">
        <v>-253</v>
      </c>
      <c r="AX485" s="2216">
        <v>-179.56</v>
      </c>
      <c r="AY485" s="2244">
        <f t="shared" si="520"/>
        <v>-956.41000000000008</v>
      </c>
      <c r="AZ485" s="2216">
        <v>-289</v>
      </c>
      <c r="BA485" s="2216">
        <v>-224</v>
      </c>
      <c r="BB485" s="2216">
        <v>-204</v>
      </c>
      <c r="BC485" s="2249">
        <v>-214.61</v>
      </c>
      <c r="BD485" s="2244">
        <f t="shared" si="521"/>
        <v>-931.61</v>
      </c>
      <c r="BE485" s="2216">
        <v>-133</v>
      </c>
      <c r="BF485" s="2216">
        <v>-154</v>
      </c>
      <c r="BG485" s="2216">
        <v>-125</v>
      </c>
      <c r="BH485" s="2249">
        <v>-162.46600000000001</v>
      </c>
      <c r="BI485" s="2244">
        <f t="shared" si="522"/>
        <v>-574.46600000000001</v>
      </c>
      <c r="BJ485" s="1945">
        <v>-150</v>
      </c>
      <c r="BK485" s="1945">
        <v>-150</v>
      </c>
      <c r="BL485" s="1945">
        <v>-150</v>
      </c>
      <c r="BM485" s="1945">
        <f>BN485-BJ485-BK485-BL485</f>
        <v>-130.1684569653894</v>
      </c>
      <c r="BN485" s="2244">
        <f>-'New split'!O405</f>
        <v>-580.1684569653894</v>
      </c>
      <c r="BO485" s="1293"/>
      <c r="BP485" s="1698"/>
      <c r="BQ485" s="1327">
        <f>Valuation!N24</f>
        <v>89</v>
      </c>
      <c r="BR485" s="1293"/>
      <c r="BS485" s="1293"/>
      <c r="BT485" s="1293"/>
      <c r="BU485" s="1293"/>
      <c r="BV485" s="1293"/>
      <c r="BW485" s="1293"/>
      <c r="BX485" s="1293"/>
      <c r="BY485" s="1293"/>
      <c r="BZ485" s="1293"/>
      <c r="CA485" s="1293"/>
      <c r="CB485" s="1293"/>
      <c r="CC485" s="1293"/>
      <c r="CD485" s="1293"/>
      <c r="CE485" s="1293"/>
      <c r="CF485" s="1293"/>
      <c r="CG485" s="1293"/>
      <c r="CH485" s="1293"/>
      <c r="CI485" s="1293"/>
      <c r="CJ485" s="1293"/>
      <c r="CK485" s="1293"/>
      <c r="CL485" s="1293"/>
      <c r="CM485" s="1293"/>
      <c r="CN485" s="1293"/>
      <c r="CO485" s="1293"/>
      <c r="CP485" s="1293"/>
      <c r="CQ485" s="1293"/>
      <c r="CR485" s="1293"/>
      <c r="CS485" s="1293"/>
      <c r="CT485" s="1293"/>
      <c r="CU485" s="1293"/>
      <c r="CV485" s="1293"/>
      <c r="CW485" s="1293"/>
      <c r="CX485" s="1293"/>
      <c r="CY485" s="2246">
        <v>-105.04847347354121</v>
      </c>
      <c r="CZ485" s="2248">
        <v>-200</v>
      </c>
      <c r="DA485" s="2217">
        <v>-200</v>
      </c>
      <c r="DB485" s="2218">
        <v>-195</v>
      </c>
      <c r="DC485" s="1293"/>
      <c r="DD485" s="1293"/>
      <c r="DE485" s="1293"/>
      <c r="DF485" s="1293"/>
      <c r="DG485" s="1293"/>
      <c r="DH485" s="1293"/>
      <c r="DI485" s="1293"/>
      <c r="DJ485" s="1293"/>
      <c r="DK485" s="1293"/>
      <c r="DL485" s="1293"/>
    </row>
    <row r="486" spans="1:116" ht="15.75">
      <c r="A486" s="1293"/>
      <c r="B486" s="1653" t="s">
        <v>7491</v>
      </c>
      <c r="C486" s="1707"/>
      <c r="D486" s="1707"/>
      <c r="E486" s="1707"/>
      <c r="F486" s="1707"/>
      <c r="G486" s="1707"/>
      <c r="H486" s="1666"/>
      <c r="I486" s="1666"/>
      <c r="J486" s="1666"/>
      <c r="K486" s="1666"/>
      <c r="L486" s="1707"/>
      <c r="M486" s="1666"/>
      <c r="N486" s="1666"/>
      <c r="O486" s="1666"/>
      <c r="P486" s="1666"/>
      <c r="Q486" s="1293"/>
      <c r="R486" s="1666"/>
      <c r="S486" s="1666"/>
      <c r="T486" s="1666"/>
      <c r="U486" s="1666"/>
      <c r="V486" s="1698"/>
      <c r="W486" s="1666"/>
      <c r="X486" s="1666"/>
      <c r="Y486" s="1666"/>
      <c r="Z486" s="1666"/>
      <c r="AA486" s="1666"/>
      <c r="AB486" s="1666"/>
      <c r="AC486" s="1666"/>
      <c r="AD486" s="1666"/>
      <c r="AE486" s="1666"/>
      <c r="AF486" s="1666"/>
      <c r="AG486" s="1666"/>
      <c r="AH486" s="1666"/>
      <c r="AI486" s="1666"/>
      <c r="AJ486" s="2212"/>
      <c r="AK486" s="2216">
        <v>-38.53</v>
      </c>
      <c r="AL486" s="2216">
        <v>-52.64</v>
      </c>
      <c r="AM486" s="2216">
        <v>-3.61</v>
      </c>
      <c r="AN486" s="2216">
        <v>-5.81</v>
      </c>
      <c r="AO486" s="2244">
        <f t="shared" ref="AO486" si="524">SUM(AK486:AN486)</f>
        <v>-100.59</v>
      </c>
      <c r="AP486" s="2216">
        <v>-20</v>
      </c>
      <c r="AQ486" s="2216">
        <v>-1.47</v>
      </c>
      <c r="AR486" s="2216">
        <v>-3.91</v>
      </c>
      <c r="AS486" s="2216">
        <v>-11.81</v>
      </c>
      <c r="AT486" s="2244">
        <f t="shared" ref="AT486" si="525">SUM(AP486:AS486)</f>
        <v>-37.19</v>
      </c>
      <c r="AU486" s="2216">
        <v>-30</v>
      </c>
      <c r="AV486" s="2216">
        <v>-19.18</v>
      </c>
      <c r="AW486" s="2216">
        <v>-26</v>
      </c>
      <c r="AX486" s="2216">
        <v>-17.75</v>
      </c>
      <c r="AY486" s="2244">
        <f t="shared" si="520"/>
        <v>-92.93</v>
      </c>
      <c r="AZ486" s="2216">
        <v>-53</v>
      </c>
      <c r="BA486" s="2216">
        <v>-48</v>
      </c>
      <c r="BB486" s="2216">
        <v>-12</v>
      </c>
      <c r="BC486" s="2249">
        <v>-123.027</v>
      </c>
      <c r="BD486" s="2244">
        <f t="shared" si="521"/>
        <v>-236.02699999999999</v>
      </c>
      <c r="BE486" s="2216">
        <v>-78</v>
      </c>
      <c r="BF486" s="2216">
        <v>-22</v>
      </c>
      <c r="BG486" s="2216">
        <v>-9</v>
      </c>
      <c r="BH486" s="2249">
        <v>-26.169</v>
      </c>
      <c r="BI486" s="2244">
        <f t="shared" si="522"/>
        <v>-135.16900000000001</v>
      </c>
      <c r="BJ486" s="1945">
        <v>-25</v>
      </c>
      <c r="BK486" s="1945">
        <v>-25</v>
      </c>
      <c r="BL486" s="1945">
        <v>-25</v>
      </c>
      <c r="BM486" s="1945">
        <f>BN486-BJ486-BK486-BL486</f>
        <v>-25</v>
      </c>
      <c r="BN486" s="2244">
        <f>-Master!AB211</f>
        <v>-100</v>
      </c>
      <c r="BO486" s="1293"/>
      <c r="BP486" s="1698"/>
      <c r="BQ486" s="1327">
        <f>Valuation!N25</f>
        <v>-239</v>
      </c>
      <c r="BR486" s="1293"/>
      <c r="BS486" s="1293"/>
      <c r="BT486" s="1293"/>
      <c r="BU486" s="1293"/>
      <c r="BV486" s="1293"/>
      <c r="BW486" s="1293"/>
      <c r="BX486" s="1293"/>
      <c r="BY486" s="1293"/>
      <c r="BZ486" s="1293"/>
      <c r="CA486" s="1293"/>
      <c r="CB486" s="1293"/>
      <c r="CC486" s="1293"/>
      <c r="CD486" s="1293"/>
      <c r="CE486" s="1293"/>
      <c r="CF486" s="1293"/>
      <c r="CG486" s="1293"/>
      <c r="CH486" s="1293"/>
      <c r="CI486" s="1293"/>
      <c r="CJ486" s="1293"/>
      <c r="CK486" s="1293"/>
      <c r="CL486" s="1293"/>
      <c r="CM486" s="1293"/>
      <c r="CN486" s="1293"/>
      <c r="CO486" s="1293"/>
      <c r="CP486" s="1293"/>
      <c r="CQ486" s="1293"/>
      <c r="CR486" s="1293"/>
      <c r="CS486" s="1293"/>
      <c r="CT486" s="1293"/>
      <c r="CU486" s="1293"/>
      <c r="CV486" s="1293"/>
      <c r="CW486" s="1293"/>
      <c r="CX486" s="1293"/>
      <c r="CY486" s="2246">
        <v>-82</v>
      </c>
      <c r="CZ486" s="2248">
        <v>-50</v>
      </c>
      <c r="DA486" s="2217">
        <v>-35</v>
      </c>
      <c r="DB486" s="2218">
        <v>-10</v>
      </c>
      <c r="DC486" s="1293"/>
      <c r="DD486" s="1293"/>
      <c r="DE486" s="1293"/>
      <c r="DF486" s="1293"/>
      <c r="DG486" s="1293"/>
      <c r="DH486" s="1293"/>
      <c r="DI486" s="1293"/>
      <c r="DJ486" s="1293"/>
      <c r="DK486" s="1293"/>
      <c r="DL486" s="1293"/>
    </row>
    <row r="487" spans="1:116" ht="15.75">
      <c r="A487" s="1293"/>
      <c r="B487" s="1653"/>
      <c r="C487" s="1707"/>
      <c r="D487" s="1707"/>
      <c r="E487" s="1707"/>
      <c r="F487" s="1707"/>
      <c r="G487" s="1707"/>
      <c r="H487" s="1666"/>
      <c r="I487" s="1666"/>
      <c r="J487" s="1666"/>
      <c r="K487" s="1666"/>
      <c r="L487" s="1707"/>
      <c r="M487" s="1666"/>
      <c r="N487" s="1666"/>
      <c r="O487" s="1666"/>
      <c r="P487" s="1666"/>
      <c r="Q487" s="1293"/>
      <c r="R487" s="1666"/>
      <c r="S487" s="1666"/>
      <c r="T487" s="1666"/>
      <c r="U487" s="1666"/>
      <c r="V487" s="1698"/>
      <c r="W487" s="1666"/>
      <c r="X487" s="1666"/>
      <c r="Y487" s="1666"/>
      <c r="Z487" s="1666"/>
      <c r="AA487" s="1666"/>
      <c r="AB487" s="1666"/>
      <c r="AC487" s="1666"/>
      <c r="AD487" s="1666"/>
      <c r="AE487" s="1666"/>
      <c r="AF487" s="1666"/>
      <c r="AG487" s="1666"/>
      <c r="AH487" s="1666"/>
      <c r="AI487" s="1666"/>
      <c r="AJ487" s="2212"/>
      <c r="AK487" s="1666"/>
      <c r="AL487" s="1666"/>
      <c r="AM487" s="1666"/>
      <c r="AN487" s="1666"/>
      <c r="AO487" s="2212"/>
      <c r="AP487" s="1666"/>
      <c r="AQ487" s="1666"/>
      <c r="AR487" s="1666"/>
      <c r="AS487" s="1666"/>
      <c r="AT487" s="2212"/>
      <c r="AU487" s="1666"/>
      <c r="AV487" s="1666"/>
      <c r="AW487" s="1666"/>
      <c r="AX487" s="1666"/>
      <c r="AY487" s="2244">
        <f t="shared" si="520"/>
        <v>0</v>
      </c>
      <c r="AZ487" s="1666"/>
      <c r="BA487" s="1666"/>
      <c r="BB487" s="1666"/>
      <c r="BC487" s="1674"/>
      <c r="BD487" s="2244"/>
      <c r="BE487" s="1666"/>
      <c r="BF487" s="1666"/>
      <c r="BG487" s="2228"/>
      <c r="BH487" s="2245"/>
      <c r="BI487" s="2244"/>
      <c r="BJ487" s="1666"/>
      <c r="BK487" s="1666"/>
      <c r="BL487" s="1666"/>
      <c r="BM487" s="1666"/>
      <c r="BN487" s="2186"/>
      <c r="BO487" s="1293"/>
      <c r="BP487" s="1293"/>
      <c r="BQ487" s="1327">
        <f>Valuation!N26</f>
        <v>0</v>
      </c>
      <c r="BR487" s="1293"/>
      <c r="BS487" s="1293"/>
      <c r="BT487" s="1293"/>
      <c r="BU487" s="1293"/>
      <c r="BV487" s="1293"/>
      <c r="BW487" s="1293"/>
      <c r="BX487" s="1293"/>
      <c r="BY487" s="1293"/>
      <c r="BZ487" s="1293"/>
      <c r="CA487" s="1293"/>
      <c r="CB487" s="1293"/>
      <c r="CC487" s="1293"/>
      <c r="CD487" s="1293"/>
      <c r="CE487" s="1293"/>
      <c r="CF487" s="1293"/>
      <c r="CG487" s="1293"/>
      <c r="CH487" s="1293"/>
      <c r="CI487" s="1293"/>
      <c r="CJ487" s="1293"/>
      <c r="CK487" s="1293"/>
      <c r="CL487" s="1293"/>
      <c r="CM487" s="1293"/>
      <c r="CN487" s="1293"/>
      <c r="CO487" s="1293"/>
      <c r="CP487" s="1293"/>
      <c r="CQ487" s="1293"/>
      <c r="CR487" s="1293"/>
      <c r="CS487" s="1293"/>
      <c r="CT487" s="1293"/>
      <c r="CU487" s="1293"/>
      <c r="CV487" s="1293"/>
      <c r="CW487" s="1293"/>
      <c r="CX487" s="1293"/>
      <c r="CY487" s="2246"/>
      <c r="CZ487" s="1674"/>
      <c r="DA487" s="2217"/>
      <c r="DB487" s="2218"/>
      <c r="DC487" s="1293"/>
      <c r="DD487" s="1293"/>
      <c r="DE487" s="1293"/>
      <c r="DF487" s="1293"/>
      <c r="DG487" s="1293"/>
      <c r="DH487" s="1293"/>
      <c r="DI487" s="1293"/>
      <c r="DJ487" s="1293"/>
      <c r="DK487" s="1293"/>
      <c r="DL487" s="1293"/>
    </row>
    <row r="488" spans="1:116" ht="15.75">
      <c r="A488" s="1293"/>
      <c r="B488" s="1653" t="s">
        <v>7489</v>
      </c>
      <c r="C488" s="1707"/>
      <c r="D488" s="1707"/>
      <c r="E488" s="1707"/>
      <c r="F488" s="1707"/>
      <c r="G488" s="1707"/>
      <c r="H488" s="1666"/>
      <c r="I488" s="1666"/>
      <c r="J488" s="1666"/>
      <c r="K488" s="1666"/>
      <c r="L488" s="1707"/>
      <c r="M488" s="1666"/>
      <c r="N488" s="1666"/>
      <c r="O488" s="1666"/>
      <c r="P488" s="1666"/>
      <c r="Q488" s="1293"/>
      <c r="R488" s="1666"/>
      <c r="S488" s="1666"/>
      <c r="T488" s="1666"/>
      <c r="U488" s="1666"/>
      <c r="V488" s="1698"/>
      <c r="W488" s="1666"/>
      <c r="X488" s="1666"/>
      <c r="Y488" s="1666"/>
      <c r="Z488" s="1666"/>
      <c r="AA488" s="1666"/>
      <c r="AB488" s="1666"/>
      <c r="AC488" s="1666"/>
      <c r="AD488" s="1666"/>
      <c r="AE488" s="1666"/>
      <c r="AF488" s="1666"/>
      <c r="AG488" s="1666"/>
      <c r="AH488" s="1666"/>
      <c r="AI488" s="1666"/>
      <c r="AJ488" s="2212"/>
      <c r="AK488" s="1666"/>
      <c r="AL488" s="1666"/>
      <c r="AM488" s="1666"/>
      <c r="AN488" s="1666"/>
      <c r="AO488" s="2212"/>
      <c r="AP488" s="1666"/>
      <c r="AQ488" s="1666"/>
      <c r="AR488" s="1666"/>
      <c r="AS488" s="1666"/>
      <c r="AT488" s="2212"/>
      <c r="AU488" s="2216">
        <v>0</v>
      </c>
      <c r="AV488" s="2216">
        <v>-2.59</v>
      </c>
      <c r="AW488" s="2216">
        <v>-1</v>
      </c>
      <c r="AX488" s="2216">
        <v>-0.56999999999999995</v>
      </c>
      <c r="AY488" s="2244">
        <f t="shared" si="520"/>
        <v>-4.16</v>
      </c>
      <c r="AZ488" s="2216">
        <v>0</v>
      </c>
      <c r="BA488" s="2216">
        <v>0</v>
      </c>
      <c r="BB488" s="2216">
        <v>0</v>
      </c>
      <c r="BC488" s="2249">
        <v>0</v>
      </c>
      <c r="BD488" s="2244">
        <f t="shared" si="521"/>
        <v>0</v>
      </c>
      <c r="BE488" s="2216">
        <v>0</v>
      </c>
      <c r="BF488" s="2216">
        <v>0</v>
      </c>
      <c r="BG488" s="2216">
        <v>0</v>
      </c>
      <c r="BH488" s="2216">
        <v>0</v>
      </c>
      <c r="BI488" s="2244">
        <f t="shared" si="522"/>
        <v>0</v>
      </c>
      <c r="BJ488" s="1945">
        <v>0</v>
      </c>
      <c r="BK488" s="1945">
        <v>0</v>
      </c>
      <c r="BL488" s="1945">
        <v>0</v>
      </c>
      <c r="BM488" s="1945">
        <f>BN488-BJ488-BK488-BL488</f>
        <v>0</v>
      </c>
      <c r="BN488" s="2185">
        <f>Valuation!O26</f>
        <v>0</v>
      </c>
      <c r="BO488" s="1293"/>
      <c r="BP488" s="1293"/>
      <c r="BQ488" s="1327">
        <f ca="1">Valuation!N27</f>
        <v>963.64580000000024</v>
      </c>
      <c r="BR488" s="1293"/>
      <c r="BS488" s="1293"/>
      <c r="BT488" s="1293"/>
      <c r="BU488" s="1293"/>
      <c r="BV488" s="1293"/>
      <c r="BW488" s="1293"/>
      <c r="BX488" s="1293"/>
      <c r="BY488" s="1293"/>
      <c r="BZ488" s="1293"/>
      <c r="CA488" s="1293"/>
      <c r="CB488" s="1293"/>
      <c r="CC488" s="1293"/>
      <c r="CD488" s="1293"/>
      <c r="CE488" s="1293"/>
      <c r="CF488" s="1293"/>
      <c r="CG488" s="1293"/>
      <c r="CH488" s="1293"/>
      <c r="CI488" s="1293"/>
      <c r="CJ488" s="1293"/>
      <c r="CK488" s="1293"/>
      <c r="CL488" s="1293"/>
      <c r="CM488" s="1293"/>
      <c r="CN488" s="1293"/>
      <c r="CO488" s="1293"/>
      <c r="CP488" s="1293"/>
      <c r="CQ488" s="1293"/>
      <c r="CR488" s="1293"/>
      <c r="CS488" s="1293"/>
      <c r="CT488" s="1293"/>
      <c r="CU488" s="1293"/>
      <c r="CV488" s="1293"/>
      <c r="CW488" s="1293"/>
      <c r="CX488" s="1293"/>
      <c r="CY488" s="2246"/>
      <c r="CZ488" s="1674"/>
      <c r="DA488" s="2217">
        <v>0</v>
      </c>
      <c r="DB488" s="2218">
        <v>0</v>
      </c>
      <c r="DC488" s="1293"/>
      <c r="DD488" s="1293"/>
      <c r="DE488" s="1293"/>
      <c r="DF488" s="1293"/>
      <c r="DG488" s="1293"/>
      <c r="DH488" s="1293"/>
      <c r="DI488" s="1293"/>
      <c r="DJ488" s="1293"/>
      <c r="DK488" s="1293"/>
      <c r="DL488" s="1293"/>
    </row>
    <row r="489" spans="1:116" ht="15.75">
      <c r="A489" s="1293"/>
      <c r="B489" s="1653" t="s">
        <v>7490</v>
      </c>
      <c r="C489" s="1707"/>
      <c r="D489" s="1707"/>
      <c r="E489" s="1707"/>
      <c r="F489" s="1707"/>
      <c r="G489" s="1707"/>
      <c r="H489" s="1707"/>
      <c r="I489" s="1707"/>
      <c r="J489" s="1707"/>
      <c r="K489" s="1707"/>
      <c r="L489" s="1707"/>
      <c r="M489" s="1707"/>
      <c r="N489" s="1707"/>
      <c r="O489" s="1707"/>
      <c r="P489" s="1707"/>
      <c r="Q489" s="1293"/>
      <c r="R489" s="1707"/>
      <c r="S489" s="1707"/>
      <c r="T489" s="1707"/>
      <c r="U489" s="1707"/>
      <c r="V489" s="1293"/>
      <c r="W489" s="1707"/>
      <c r="X489" s="1707"/>
      <c r="Y489" s="1707"/>
      <c r="Z489" s="1707"/>
      <c r="AA489" s="1293"/>
      <c r="AB489" s="1707"/>
      <c r="AC489" s="1707"/>
      <c r="AD489" s="1707"/>
      <c r="AE489" s="1707"/>
      <c r="AF489" s="1707"/>
      <c r="AG489" s="1707"/>
      <c r="AH489" s="1707"/>
      <c r="AI489" s="1707"/>
      <c r="AJ489" s="2186"/>
      <c r="AK489" s="1707"/>
      <c r="AL489" s="1707"/>
      <c r="AM489" s="1707"/>
      <c r="AN489" s="1707"/>
      <c r="AO489" s="2186"/>
      <c r="AP489" s="1707"/>
      <c r="AQ489" s="1707"/>
      <c r="AR489" s="1707"/>
      <c r="AS489" s="1707"/>
      <c r="AT489" s="2186"/>
      <c r="AU489" s="2216">
        <v>14</v>
      </c>
      <c r="AV489" s="2216">
        <v>13.18</v>
      </c>
      <c r="AW489" s="2216">
        <v>36</v>
      </c>
      <c r="AX489" s="2216">
        <v>24.48</v>
      </c>
      <c r="AY489" s="2244">
        <f t="shared" si="520"/>
        <v>87.66</v>
      </c>
      <c r="AZ489" s="2216">
        <v>48</v>
      </c>
      <c r="BA489" s="2216">
        <v>14</v>
      </c>
      <c r="BB489" s="2216">
        <v>13</v>
      </c>
      <c r="BC489" s="2216">
        <v>11.500999999999999</v>
      </c>
      <c r="BD489" s="2244">
        <f t="shared" si="521"/>
        <v>86.501000000000005</v>
      </c>
      <c r="BE489" s="2216">
        <v>15</v>
      </c>
      <c r="BF489" s="2216">
        <v>26</v>
      </c>
      <c r="BG489" s="2216">
        <v>25</v>
      </c>
      <c r="BH489" s="2216">
        <v>23.032</v>
      </c>
      <c r="BI489" s="2244">
        <f t="shared" si="522"/>
        <v>89.031999999999996</v>
      </c>
      <c r="BJ489" s="1945">
        <v>23</v>
      </c>
      <c r="BK489" s="1945">
        <v>23</v>
      </c>
      <c r="BL489" s="1945">
        <v>23</v>
      </c>
      <c r="BM489" s="1945">
        <f>BN489-BJ489-BK489-BL489</f>
        <v>21.811654055326841</v>
      </c>
      <c r="BN489" s="2212">
        <f>Valuation!O24</f>
        <v>90.811654055326841</v>
      </c>
      <c r="BO489" s="1674"/>
      <c r="BP489" s="1674"/>
      <c r="BQ489" s="1327">
        <f>Valuation!N28</f>
        <v>135</v>
      </c>
      <c r="BR489" s="1293"/>
      <c r="BS489" s="1293"/>
      <c r="BT489" s="1293"/>
      <c r="BU489" s="1293"/>
      <c r="BV489" s="1293"/>
      <c r="BW489" s="1293"/>
      <c r="BX489" s="1293"/>
      <c r="BY489" s="1293"/>
      <c r="BZ489" s="1293"/>
      <c r="CA489" s="1293"/>
      <c r="CB489" s="1293"/>
      <c r="CC489" s="1293"/>
      <c r="CD489" s="1293"/>
      <c r="CE489" s="1293"/>
      <c r="CF489" s="1293"/>
      <c r="CG489" s="1293"/>
      <c r="CH489" s="1293"/>
      <c r="CI489" s="1293"/>
      <c r="CJ489" s="1293"/>
      <c r="CK489" s="1293"/>
      <c r="CL489" s="1293"/>
      <c r="CM489" s="1293"/>
      <c r="CN489" s="1293"/>
      <c r="CO489" s="1293"/>
      <c r="CP489" s="1293"/>
      <c r="CQ489" s="1293"/>
      <c r="CR489" s="1293"/>
      <c r="CS489" s="1293"/>
      <c r="CT489" s="1293"/>
      <c r="CU489" s="1293"/>
      <c r="CV489" s="1293"/>
      <c r="CW489" s="1293"/>
      <c r="CX489" s="1293"/>
      <c r="CY489" s="2215">
        <v>16.992622712047336</v>
      </c>
      <c r="CZ489" s="2248">
        <v>19</v>
      </c>
      <c r="DA489" s="2217">
        <v>10</v>
      </c>
      <c r="DB489" s="2218">
        <v>15</v>
      </c>
      <c r="DC489" s="1293"/>
      <c r="DD489" s="1293"/>
      <c r="DE489" s="1293"/>
      <c r="DF489" s="1293"/>
      <c r="DG489" s="1293"/>
      <c r="DH489" s="1293"/>
      <c r="DI489" s="1293"/>
      <c r="DJ489" s="1293"/>
      <c r="DK489" s="1293"/>
      <c r="DL489" s="1293"/>
    </row>
    <row r="490" spans="1:116" ht="15.75">
      <c r="A490" s="1293"/>
      <c r="B490" s="1653" t="s">
        <v>7497</v>
      </c>
      <c r="C490" s="1707"/>
      <c r="D490" s="1707"/>
      <c r="E490" s="1707"/>
      <c r="F490" s="1707"/>
      <c r="G490" s="1707"/>
      <c r="H490" s="1707"/>
      <c r="I490" s="1707"/>
      <c r="J490" s="1707"/>
      <c r="K490" s="1707"/>
      <c r="L490" s="1707"/>
      <c r="M490" s="1707"/>
      <c r="N490" s="1707"/>
      <c r="O490" s="1707"/>
      <c r="P490" s="1707"/>
      <c r="Q490" s="1293"/>
      <c r="R490" s="1707"/>
      <c r="S490" s="1707"/>
      <c r="T490" s="1707"/>
      <c r="U490" s="1707"/>
      <c r="V490" s="1293"/>
      <c r="W490" s="1707"/>
      <c r="X490" s="1707"/>
      <c r="Y490" s="1707"/>
      <c r="Z490" s="1707"/>
      <c r="AA490" s="1293"/>
      <c r="AB490" s="1707"/>
      <c r="AC490" s="1707"/>
      <c r="AD490" s="1707"/>
      <c r="AE490" s="1707"/>
      <c r="AF490" s="1707"/>
      <c r="AG490" s="1707"/>
      <c r="AH490" s="1707"/>
      <c r="AI490" s="1707"/>
      <c r="AJ490" s="2186"/>
      <c r="AK490" s="1707"/>
      <c r="AL490" s="1707"/>
      <c r="AM490" s="1707"/>
      <c r="AN490" s="1707"/>
      <c r="AO490" s="2186"/>
      <c r="AP490" s="1707"/>
      <c r="AQ490" s="1707"/>
      <c r="AR490" s="1707"/>
      <c r="AS490" s="1707"/>
      <c r="AT490" s="2186"/>
      <c r="AU490" s="2216">
        <v>30</v>
      </c>
      <c r="AV490" s="2216">
        <v>-7.86</v>
      </c>
      <c r="AW490" s="2216">
        <v>2</v>
      </c>
      <c r="AX490" s="2216">
        <v>-0.12</v>
      </c>
      <c r="AY490" s="2244">
        <f t="shared" si="520"/>
        <v>24.02</v>
      </c>
      <c r="AZ490" s="2216">
        <v>0</v>
      </c>
      <c r="BA490" s="2216">
        <v>0</v>
      </c>
      <c r="BB490" s="2216">
        <v>4.4359999999999999</v>
      </c>
      <c r="BC490" s="2249">
        <v>-0.248</v>
      </c>
      <c r="BD490" s="2244">
        <f t="shared" si="521"/>
        <v>4.1879999999999997</v>
      </c>
      <c r="BE490" s="2216">
        <v>-9.8000000000000004E-2</v>
      </c>
      <c r="BF490" s="2216">
        <v>-0.20100000000000001</v>
      </c>
      <c r="BG490" s="2216">
        <v>0</v>
      </c>
      <c r="BH490" s="2216">
        <v>-3.0590000000000002</v>
      </c>
      <c r="BI490" s="2244">
        <f t="shared" si="522"/>
        <v>-3.3580000000000001</v>
      </c>
      <c r="BJ490" s="2216"/>
      <c r="BK490" s="2216"/>
      <c r="BL490" s="2216"/>
      <c r="BM490" s="2216"/>
      <c r="BN490" s="2186"/>
      <c r="BO490" s="1293"/>
      <c r="BP490" s="1293"/>
      <c r="BQ490" s="1327">
        <f ca="1">Valuation!N29</f>
        <v>828.64580000000024</v>
      </c>
      <c r="BR490" s="1293"/>
      <c r="BS490" s="1293"/>
      <c r="BT490" s="1293"/>
      <c r="BU490" s="1293"/>
      <c r="BV490" s="1293"/>
      <c r="BW490" s="1293"/>
      <c r="BX490" s="1293"/>
      <c r="BY490" s="1293"/>
      <c r="BZ490" s="1293"/>
      <c r="CA490" s="1293"/>
      <c r="CB490" s="1293"/>
      <c r="CC490" s="1293"/>
      <c r="CD490" s="1293"/>
      <c r="CE490" s="1293"/>
      <c r="CF490" s="1293"/>
      <c r="CG490" s="1293"/>
      <c r="CH490" s="1293"/>
      <c r="CI490" s="1293"/>
      <c r="CJ490" s="1293"/>
      <c r="CK490" s="1293"/>
      <c r="CL490" s="1293"/>
      <c r="CM490" s="1293"/>
      <c r="CN490" s="1293"/>
      <c r="CO490" s="1293"/>
      <c r="CP490" s="1293"/>
      <c r="CQ490" s="1293"/>
      <c r="CR490" s="1293"/>
      <c r="CS490" s="1293"/>
      <c r="CT490" s="1293"/>
      <c r="CU490" s="1293"/>
      <c r="CV490" s="1293"/>
      <c r="CW490" s="1293"/>
      <c r="CX490" s="1293"/>
      <c r="CY490" s="2246"/>
      <c r="CZ490" s="1674"/>
      <c r="DA490" s="2217"/>
      <c r="DB490" s="2218"/>
      <c r="DC490" s="1293"/>
      <c r="DD490" s="1293"/>
      <c r="DE490" s="1293"/>
      <c r="DF490" s="1293"/>
      <c r="DG490" s="1293"/>
      <c r="DH490" s="1293"/>
      <c r="DI490" s="1293"/>
      <c r="DJ490" s="1293"/>
      <c r="DK490" s="1293"/>
      <c r="DL490" s="1293"/>
    </row>
    <row r="491" spans="1:116" ht="15.75">
      <c r="A491" s="1293"/>
      <c r="B491" s="1653"/>
      <c r="C491" s="1707"/>
      <c r="D491" s="1707"/>
      <c r="E491" s="1707"/>
      <c r="F491" s="1707"/>
      <c r="G491" s="1707"/>
      <c r="H491" s="1707"/>
      <c r="I491" s="1707"/>
      <c r="J491" s="1707"/>
      <c r="K491" s="1707"/>
      <c r="L491" s="1707"/>
      <c r="M491" s="1707"/>
      <c r="N491" s="1707"/>
      <c r="O491" s="1707"/>
      <c r="P491" s="1707"/>
      <c r="Q491" s="1293"/>
      <c r="R491" s="1707"/>
      <c r="S491" s="1707"/>
      <c r="T491" s="1707"/>
      <c r="U491" s="1707"/>
      <c r="V491" s="1293"/>
      <c r="W491" s="1707"/>
      <c r="X491" s="1707"/>
      <c r="Y491" s="1707"/>
      <c r="Z491" s="1707"/>
      <c r="AA491" s="1293"/>
      <c r="AB491" s="1707"/>
      <c r="AC491" s="1707"/>
      <c r="AD491" s="1707"/>
      <c r="AE491" s="1707"/>
      <c r="AF491" s="1707"/>
      <c r="AG491" s="1707"/>
      <c r="AH491" s="1707"/>
      <c r="AI491" s="1707"/>
      <c r="AJ491" s="2186"/>
      <c r="AK491" s="1707"/>
      <c r="AL491" s="1707"/>
      <c r="AM491" s="1707"/>
      <c r="AN491" s="1707"/>
      <c r="AO491" s="2186"/>
      <c r="AP491" s="1707"/>
      <c r="AQ491" s="1707"/>
      <c r="AR491" s="1707"/>
      <c r="AS491" s="1707"/>
      <c r="AT491" s="2186"/>
      <c r="AU491" s="1707"/>
      <c r="AV491" s="1707"/>
      <c r="AW491" s="1707"/>
      <c r="AX491" s="1707"/>
      <c r="AY491" s="2244">
        <f t="shared" si="520"/>
        <v>0</v>
      </c>
      <c r="AZ491" s="1707"/>
      <c r="BA491" s="1707"/>
      <c r="BB491" s="1707"/>
      <c r="BC491" s="1674"/>
      <c r="BD491" s="2244">
        <f t="shared" si="521"/>
        <v>0</v>
      </c>
      <c r="BE491" s="1707"/>
      <c r="BF491" s="1707"/>
      <c r="BG491" s="1707"/>
      <c r="BH491" s="1674"/>
      <c r="BI491" s="2244">
        <f t="shared" si="522"/>
        <v>0</v>
      </c>
      <c r="BJ491" s="1707"/>
      <c r="BK491" s="1707"/>
      <c r="BL491" s="1707"/>
      <c r="BM491" s="1707"/>
      <c r="BN491" s="2186"/>
      <c r="BO491" s="1293"/>
      <c r="BP491" s="1293"/>
      <c r="BQ491" s="1327">
        <f>Valuation!N30</f>
        <v>47</v>
      </c>
      <c r="BR491" s="1293"/>
      <c r="BS491" s="1293"/>
      <c r="BT491" s="1293"/>
      <c r="BU491" s="1293"/>
      <c r="BV491" s="1293"/>
      <c r="BW491" s="1293"/>
      <c r="BX491" s="1293"/>
      <c r="BY491" s="1293"/>
      <c r="BZ491" s="1293"/>
      <c r="CA491" s="1293"/>
      <c r="CB491" s="1293"/>
      <c r="CC491" s="1293"/>
      <c r="CD491" s="1293"/>
      <c r="CE491" s="1293"/>
      <c r="CF491" s="1293"/>
      <c r="CG491" s="1293"/>
      <c r="CH491" s="1293"/>
      <c r="CI491" s="1293"/>
      <c r="CJ491" s="1293"/>
      <c r="CK491" s="1293"/>
      <c r="CL491" s="1293"/>
      <c r="CM491" s="1293"/>
      <c r="CN491" s="1293"/>
      <c r="CO491" s="1293"/>
      <c r="CP491" s="1293"/>
      <c r="CQ491" s="1293"/>
      <c r="CR491" s="1293"/>
      <c r="CS491" s="1293"/>
      <c r="CT491" s="1293"/>
      <c r="CU491" s="1293"/>
      <c r="CV491" s="1293"/>
      <c r="CW491" s="1293"/>
      <c r="CX491" s="1293"/>
      <c r="CY491" s="2246"/>
      <c r="CZ491" s="1674"/>
      <c r="DA491" s="2238"/>
      <c r="DB491" s="2239"/>
      <c r="DC491" s="1293"/>
      <c r="DD491" s="1293"/>
      <c r="DE491" s="1293"/>
      <c r="DF491" s="1293"/>
      <c r="DG491" s="1293"/>
      <c r="DH491" s="1293"/>
      <c r="DI491" s="1293"/>
      <c r="DJ491" s="1293"/>
      <c r="DK491" s="1293"/>
      <c r="DL491" s="1293"/>
    </row>
    <row r="492" spans="1:116" ht="15.75">
      <c r="A492" s="1293"/>
      <c r="B492" s="1653" t="s">
        <v>7044</v>
      </c>
      <c r="C492" s="1707"/>
      <c r="D492" s="1707"/>
      <c r="E492" s="1707"/>
      <c r="F492" s="1707"/>
      <c r="G492" s="1707"/>
      <c r="H492" s="1707"/>
      <c r="I492" s="1707"/>
      <c r="J492" s="1707"/>
      <c r="K492" s="1707"/>
      <c r="L492" s="1707"/>
      <c r="M492" s="1707"/>
      <c r="N492" s="1707"/>
      <c r="O492" s="1707"/>
      <c r="P492" s="1707"/>
      <c r="Q492" s="1293"/>
      <c r="R492" s="1707"/>
      <c r="S492" s="1707"/>
      <c r="T492" s="1707"/>
      <c r="U492" s="1707"/>
      <c r="V492" s="1293"/>
      <c r="W492" s="1707"/>
      <c r="X492" s="1707"/>
      <c r="Y492" s="1707"/>
      <c r="Z492" s="1707"/>
      <c r="AA492" s="1293"/>
      <c r="AB492" s="1707"/>
      <c r="AC492" s="1707"/>
      <c r="AD492" s="1707"/>
      <c r="AE492" s="1707"/>
      <c r="AF492" s="1707"/>
      <c r="AG492" s="1707"/>
      <c r="AH492" s="1707"/>
      <c r="AI492" s="1707"/>
      <c r="AJ492" s="2186"/>
      <c r="AK492" s="1707"/>
      <c r="AL492" s="1707"/>
      <c r="AM492" s="1707"/>
      <c r="AN492" s="1707"/>
      <c r="AO492" s="2186"/>
      <c r="AP492" s="1707"/>
      <c r="AQ492" s="1707"/>
      <c r="AR492" s="1707"/>
      <c r="AS492" s="1707"/>
      <c r="AT492" s="2186"/>
      <c r="AU492" s="1707"/>
      <c r="AV492" s="1707"/>
      <c r="AW492" s="1707"/>
      <c r="AX492" s="1707"/>
      <c r="AY492" s="2244"/>
      <c r="AZ492" s="1707"/>
      <c r="BA492" s="1707"/>
      <c r="BB492" s="1707"/>
      <c r="BC492" s="1674"/>
      <c r="BD492" s="2244"/>
      <c r="BE492" s="1707"/>
      <c r="BF492" s="1707"/>
      <c r="BG492" s="1707"/>
      <c r="BH492" s="1674"/>
      <c r="BI492" s="2186"/>
      <c r="BJ492" s="1707"/>
      <c r="BK492" s="1707"/>
      <c r="BL492" s="1707"/>
      <c r="BM492" s="1707"/>
      <c r="BN492" s="2186"/>
      <c r="BO492" s="1293"/>
      <c r="BP492" s="1293"/>
      <c r="BQ492" s="1327">
        <f>Valuation!N31</f>
        <v>-97</v>
      </c>
      <c r="BR492" s="1293"/>
      <c r="BS492" s="1293"/>
      <c r="BT492" s="1293"/>
      <c r="BU492" s="1293"/>
      <c r="BV492" s="1293"/>
      <c r="BW492" s="1293"/>
      <c r="BX492" s="1293"/>
      <c r="BY492" s="1293"/>
      <c r="BZ492" s="1293"/>
      <c r="CA492" s="1293"/>
      <c r="CB492" s="1293"/>
      <c r="CC492" s="1293"/>
      <c r="CD492" s="1293"/>
      <c r="CE492" s="1293"/>
      <c r="CF492" s="1293"/>
      <c r="CG492" s="1293"/>
      <c r="CH492" s="1293"/>
      <c r="CI492" s="1293"/>
      <c r="CJ492" s="1293"/>
      <c r="CK492" s="1293"/>
      <c r="CL492" s="1293"/>
      <c r="CM492" s="1293"/>
      <c r="CN492" s="1293"/>
      <c r="CO492" s="1293"/>
      <c r="CP492" s="1293"/>
      <c r="CQ492" s="1293"/>
      <c r="CR492" s="1293"/>
      <c r="CS492" s="1293"/>
      <c r="CT492" s="1293"/>
      <c r="CU492" s="1293"/>
      <c r="CV492" s="1293"/>
      <c r="CW492" s="1293"/>
      <c r="CX492" s="1293"/>
      <c r="CY492" s="2246"/>
      <c r="CZ492" s="1674"/>
      <c r="DA492" s="2238"/>
      <c r="DB492" s="2239"/>
      <c r="DC492" s="1293"/>
      <c r="DD492" s="1293"/>
      <c r="DE492" s="1293"/>
      <c r="DF492" s="1293"/>
      <c r="DG492" s="1293"/>
      <c r="DH492" s="1293"/>
      <c r="DI492" s="1293"/>
      <c r="DJ492" s="1293"/>
      <c r="DK492" s="1293"/>
      <c r="DL492" s="1293"/>
    </row>
    <row r="493" spans="1:116" ht="15.75">
      <c r="A493" s="1293"/>
      <c r="B493" s="1684" t="s">
        <v>7865</v>
      </c>
      <c r="C493" s="1707"/>
      <c r="D493" s="1707"/>
      <c r="E493" s="1707"/>
      <c r="F493" s="1707"/>
      <c r="G493" s="1707"/>
      <c r="H493" s="1707"/>
      <c r="I493" s="1707"/>
      <c r="J493" s="1707"/>
      <c r="K493" s="1707"/>
      <c r="L493" s="1707"/>
      <c r="M493" s="1707"/>
      <c r="N493" s="1707"/>
      <c r="O493" s="1707"/>
      <c r="P493" s="1707"/>
      <c r="Q493" s="1293"/>
      <c r="R493" s="1707"/>
      <c r="S493" s="1707"/>
      <c r="T493" s="1707"/>
      <c r="U493" s="1707"/>
      <c r="V493" s="1293"/>
      <c r="W493" s="1707"/>
      <c r="X493" s="1707"/>
      <c r="Y493" s="1707"/>
      <c r="Z493" s="1707"/>
      <c r="AA493" s="1293"/>
      <c r="AB493" s="1707"/>
      <c r="AC493" s="1707"/>
      <c r="AD493" s="1707"/>
      <c r="AE493" s="1707"/>
      <c r="AF493" s="1707"/>
      <c r="AG493" s="1707"/>
      <c r="AH493" s="1707"/>
      <c r="AI493" s="1707"/>
      <c r="AJ493" s="2186"/>
      <c r="AK493" s="1707"/>
      <c r="AL493" s="1707"/>
      <c r="AM493" s="1707"/>
      <c r="AN493" s="1707"/>
      <c r="AO493" s="2186"/>
      <c r="AP493" s="1707"/>
      <c r="AQ493" s="1707"/>
      <c r="AR493" s="1707"/>
      <c r="AS493" s="1707"/>
      <c r="AT493" s="2186"/>
      <c r="AU493" s="1707"/>
      <c r="AV493" s="1707"/>
      <c r="AW493" s="1707"/>
      <c r="AX493" s="1707"/>
      <c r="AY493" s="2244"/>
      <c r="AZ493" s="1707"/>
      <c r="BA493" s="1707"/>
      <c r="BB493" s="1707"/>
      <c r="BC493" s="1674"/>
      <c r="BD493" s="2244"/>
      <c r="BE493" s="1707"/>
      <c r="BF493" s="1707"/>
      <c r="BG493" s="1707"/>
      <c r="BH493" s="1674"/>
      <c r="BI493" s="2186"/>
      <c r="BJ493" s="1707"/>
      <c r="BK493" s="1707"/>
      <c r="BL493" s="1707"/>
      <c r="BM493" s="1707"/>
      <c r="BN493" s="2186"/>
      <c r="BO493" s="1293"/>
      <c r="BP493" s="1293"/>
      <c r="BQ493" s="1293"/>
      <c r="BR493" s="1293"/>
      <c r="BS493" s="1293"/>
      <c r="BT493" s="1293"/>
      <c r="BU493" s="1293"/>
      <c r="BV493" s="1293"/>
      <c r="BW493" s="1293"/>
      <c r="BX493" s="1293"/>
      <c r="BY493" s="1293"/>
      <c r="BZ493" s="1293"/>
      <c r="CA493" s="1293"/>
      <c r="CB493" s="1293"/>
      <c r="CC493" s="1293"/>
      <c r="CD493" s="1293"/>
      <c r="CE493" s="1293"/>
      <c r="CF493" s="1293"/>
      <c r="CG493" s="1293"/>
      <c r="CH493" s="1293"/>
      <c r="CI493" s="1293"/>
      <c r="CJ493" s="1293"/>
      <c r="CK493" s="1293"/>
      <c r="CL493" s="1293"/>
      <c r="CM493" s="1293"/>
      <c r="CN493" s="1293"/>
      <c r="CO493" s="1293"/>
      <c r="CP493" s="1293"/>
      <c r="CQ493" s="1293"/>
      <c r="CR493" s="1293"/>
      <c r="CS493" s="1293"/>
      <c r="CT493" s="1293"/>
      <c r="CU493" s="1293"/>
      <c r="CV493" s="1293"/>
      <c r="CW493" s="1293"/>
      <c r="CX493" s="1293"/>
      <c r="CY493" s="2246"/>
      <c r="CZ493" s="1674"/>
      <c r="DA493" s="2238"/>
      <c r="DB493" s="2239"/>
      <c r="DC493" s="1293"/>
      <c r="DD493" s="1293"/>
      <c r="DE493" s="1293"/>
      <c r="DF493" s="1293"/>
      <c r="DG493" s="1293"/>
      <c r="DH493" s="1293"/>
      <c r="DI493" s="1293"/>
      <c r="DJ493" s="1293"/>
      <c r="DK493" s="1293"/>
      <c r="DL493" s="1293"/>
    </row>
    <row r="494" spans="1:116" ht="15.75">
      <c r="A494" s="1293"/>
      <c r="B494" s="1293"/>
      <c r="C494" s="1707"/>
      <c r="D494" s="1707"/>
      <c r="E494" s="1707"/>
      <c r="F494" s="1707"/>
      <c r="G494" s="1707"/>
      <c r="H494" s="1707"/>
      <c r="I494" s="1707"/>
      <c r="J494" s="1707"/>
      <c r="K494" s="1707"/>
      <c r="L494" s="1707"/>
      <c r="M494" s="1707"/>
      <c r="N494" s="1707"/>
      <c r="O494" s="1707"/>
      <c r="P494" s="1707"/>
      <c r="Q494" s="1293"/>
      <c r="R494" s="1707"/>
      <c r="S494" s="1707"/>
      <c r="T494" s="1707"/>
      <c r="U494" s="1707"/>
      <c r="V494" s="1293"/>
      <c r="W494" s="1707"/>
      <c r="X494" s="1707"/>
      <c r="Y494" s="1707"/>
      <c r="Z494" s="1707"/>
      <c r="AA494" s="1293"/>
      <c r="AB494" s="1707"/>
      <c r="AC494" s="1707"/>
      <c r="AD494" s="1707"/>
      <c r="AE494" s="1707"/>
      <c r="AF494" s="1707"/>
      <c r="AG494" s="1707"/>
      <c r="AH494" s="1707"/>
      <c r="AI494" s="1707"/>
      <c r="AJ494" s="2186"/>
      <c r="AK494" s="1707"/>
      <c r="AL494" s="1707"/>
      <c r="AM494" s="1707"/>
      <c r="AN494" s="1707"/>
      <c r="AO494" s="2186"/>
      <c r="AP494" s="1707"/>
      <c r="AQ494" s="1707"/>
      <c r="AR494" s="1707"/>
      <c r="AS494" s="1707"/>
      <c r="AT494" s="2186"/>
      <c r="AU494" s="1707"/>
      <c r="AV494" s="1707"/>
      <c r="AW494" s="1707"/>
      <c r="AX494" s="1707"/>
      <c r="AY494" s="2244"/>
      <c r="AZ494" s="1707"/>
      <c r="BA494" s="1707"/>
      <c r="BB494" s="1707"/>
      <c r="BC494" s="1674"/>
      <c r="BD494" s="2244"/>
      <c r="BE494" s="1707"/>
      <c r="BF494" s="1707"/>
      <c r="BG494" s="1707"/>
      <c r="BH494" s="1674"/>
      <c r="BI494" s="2186"/>
      <c r="BJ494" s="1707"/>
      <c r="BK494" s="1707"/>
      <c r="BL494" s="1707"/>
      <c r="BM494" s="1707"/>
      <c r="BN494" s="2186"/>
      <c r="BO494" s="1293"/>
      <c r="BP494" s="1293"/>
      <c r="BQ494" s="1293"/>
      <c r="BR494" s="1293"/>
      <c r="BS494" s="1293"/>
      <c r="BT494" s="1293"/>
      <c r="BU494" s="1293"/>
      <c r="BV494" s="1293"/>
      <c r="BW494" s="1293"/>
      <c r="BX494" s="1293"/>
      <c r="BY494" s="1293"/>
      <c r="BZ494" s="1293"/>
      <c r="CA494" s="1293"/>
      <c r="CB494" s="1293"/>
      <c r="CC494" s="1293"/>
      <c r="CD494" s="1293"/>
      <c r="CE494" s="1293"/>
      <c r="CF494" s="1293"/>
      <c r="CG494" s="1293"/>
      <c r="CH494" s="1293"/>
      <c r="CI494" s="1293"/>
      <c r="CJ494" s="1293"/>
      <c r="CK494" s="1293"/>
      <c r="CL494" s="1293"/>
      <c r="CM494" s="1293"/>
      <c r="CN494" s="1293"/>
      <c r="CO494" s="1293"/>
      <c r="CP494" s="1293"/>
      <c r="CQ494" s="1293"/>
      <c r="CR494" s="1293"/>
      <c r="CS494" s="1293"/>
      <c r="CT494" s="1293"/>
      <c r="CU494" s="1293"/>
      <c r="CV494" s="1293"/>
      <c r="CW494" s="1293"/>
      <c r="CX494" s="1293"/>
      <c r="CY494" s="2246"/>
      <c r="CZ494" s="1674"/>
      <c r="DA494" s="2238"/>
      <c r="DB494" s="2239"/>
      <c r="DC494" s="1293"/>
      <c r="DD494" s="1293"/>
      <c r="DE494" s="1293"/>
      <c r="DF494" s="1293"/>
      <c r="DG494" s="1293"/>
      <c r="DH494" s="1293"/>
      <c r="DI494" s="1293"/>
      <c r="DJ494" s="1293"/>
      <c r="DK494" s="1293"/>
      <c r="DL494" s="1293"/>
    </row>
    <row r="495" spans="1:116" ht="15.75">
      <c r="A495" s="1293"/>
      <c r="B495" s="1293"/>
      <c r="C495" s="1707"/>
      <c r="D495" s="1707"/>
      <c r="E495" s="1707"/>
      <c r="F495" s="1707"/>
      <c r="G495" s="1707"/>
      <c r="H495" s="1707"/>
      <c r="I495" s="1707"/>
      <c r="J495" s="1707"/>
      <c r="K495" s="1707"/>
      <c r="L495" s="1707"/>
      <c r="M495" s="1707"/>
      <c r="N495" s="1707"/>
      <c r="O495" s="1707"/>
      <c r="P495" s="1707"/>
      <c r="Q495" s="1293"/>
      <c r="R495" s="1707"/>
      <c r="S495" s="1707"/>
      <c r="T495" s="1707"/>
      <c r="U495" s="1707"/>
      <c r="V495" s="1293"/>
      <c r="W495" s="1707"/>
      <c r="X495" s="1707"/>
      <c r="Y495" s="1707"/>
      <c r="Z495" s="1707"/>
      <c r="AA495" s="1293"/>
      <c r="AB495" s="1707"/>
      <c r="AC495" s="1707"/>
      <c r="AD495" s="1707"/>
      <c r="AE495" s="1707"/>
      <c r="AF495" s="1707"/>
      <c r="AG495" s="1707"/>
      <c r="AH495" s="1707"/>
      <c r="AI495" s="1707"/>
      <c r="AJ495" s="2186"/>
      <c r="AK495" s="1707"/>
      <c r="AL495" s="1707"/>
      <c r="AM495" s="1707"/>
      <c r="AN495" s="1707"/>
      <c r="AO495" s="2186"/>
      <c r="AP495" s="1707"/>
      <c r="AQ495" s="1707"/>
      <c r="AR495" s="1707"/>
      <c r="AS495" s="1707"/>
      <c r="AT495" s="2186"/>
      <c r="AU495" s="1707"/>
      <c r="AV495" s="1707"/>
      <c r="AW495" s="1707"/>
      <c r="AX495" s="1707"/>
      <c r="AY495" s="2244"/>
      <c r="AZ495" s="1707"/>
      <c r="BA495" s="1707"/>
      <c r="BB495" s="1707"/>
      <c r="BC495" s="1674"/>
      <c r="BD495" s="2244"/>
      <c r="BE495" s="1707"/>
      <c r="BF495" s="1707"/>
      <c r="BG495" s="1707"/>
      <c r="BH495" s="1674"/>
      <c r="BI495" s="2186"/>
      <c r="BJ495" s="1707"/>
      <c r="BK495" s="1707"/>
      <c r="BL495" s="1707"/>
      <c r="BM495" s="1707"/>
      <c r="BN495" s="2186"/>
      <c r="BO495" s="1293"/>
      <c r="BP495" s="1293"/>
      <c r="BQ495" s="1293"/>
      <c r="BR495" s="1293"/>
      <c r="BS495" s="1293"/>
      <c r="BT495" s="1293"/>
      <c r="BU495" s="1293"/>
      <c r="BV495" s="1293"/>
      <c r="BW495" s="1293"/>
      <c r="BX495" s="1293"/>
      <c r="BY495" s="1293"/>
      <c r="BZ495" s="1293"/>
      <c r="CA495" s="1293"/>
      <c r="CB495" s="1293"/>
      <c r="CC495" s="1293"/>
      <c r="CD495" s="1293"/>
      <c r="CE495" s="1293"/>
      <c r="CF495" s="1293"/>
      <c r="CG495" s="1293"/>
      <c r="CH495" s="1293"/>
      <c r="CI495" s="1293"/>
      <c r="CJ495" s="1293"/>
      <c r="CK495" s="1293"/>
      <c r="CL495" s="1293"/>
      <c r="CM495" s="1293"/>
      <c r="CN495" s="1293"/>
      <c r="CO495" s="1293"/>
      <c r="CP495" s="1293"/>
      <c r="CQ495" s="1293"/>
      <c r="CR495" s="1293"/>
      <c r="CS495" s="1293"/>
      <c r="CT495" s="1293"/>
      <c r="CU495" s="1293"/>
      <c r="CV495" s="1293"/>
      <c r="CW495" s="1293"/>
      <c r="CX495" s="1293"/>
      <c r="CY495" s="2246"/>
      <c r="CZ495" s="1674"/>
      <c r="DA495" s="2238"/>
      <c r="DB495" s="2239"/>
      <c r="DC495" s="1293"/>
      <c r="DD495" s="1293"/>
      <c r="DE495" s="1293"/>
      <c r="DF495" s="1293"/>
      <c r="DG495" s="1293"/>
      <c r="DH495" s="1293"/>
      <c r="DI495" s="1293"/>
      <c r="DJ495" s="1293"/>
      <c r="DK495" s="1293"/>
      <c r="DL495" s="1293"/>
    </row>
    <row r="496" spans="1:116" ht="15.75">
      <c r="A496" s="1293"/>
      <c r="B496" s="1293"/>
      <c r="C496" s="1707"/>
      <c r="D496" s="1707"/>
      <c r="E496" s="1707"/>
      <c r="F496" s="1707"/>
      <c r="G496" s="1707"/>
      <c r="H496" s="1707"/>
      <c r="I496" s="1707"/>
      <c r="J496" s="1707"/>
      <c r="K496" s="1707"/>
      <c r="L496" s="1707"/>
      <c r="M496" s="1707"/>
      <c r="N496" s="1707"/>
      <c r="O496" s="1707"/>
      <c r="P496" s="1707"/>
      <c r="Q496" s="1293"/>
      <c r="R496" s="1707"/>
      <c r="S496" s="1707"/>
      <c r="T496" s="1707"/>
      <c r="U496" s="1707"/>
      <c r="V496" s="1293"/>
      <c r="W496" s="1707"/>
      <c r="X496" s="1707"/>
      <c r="Y496" s="1707"/>
      <c r="Z496" s="1707"/>
      <c r="AA496" s="1293"/>
      <c r="AB496" s="1707"/>
      <c r="AC496" s="1707"/>
      <c r="AD496" s="1707"/>
      <c r="AE496" s="1707"/>
      <c r="AF496" s="1707"/>
      <c r="AG496" s="1707"/>
      <c r="AH496" s="1707"/>
      <c r="AI496" s="1707"/>
      <c r="AJ496" s="2186"/>
      <c r="AK496" s="1707"/>
      <c r="AL496" s="1707"/>
      <c r="AM496" s="1707"/>
      <c r="AN496" s="1707"/>
      <c r="AO496" s="2186"/>
      <c r="AP496" s="1707"/>
      <c r="AQ496" s="1707"/>
      <c r="AR496" s="1707"/>
      <c r="AS496" s="1707"/>
      <c r="AT496" s="2186"/>
      <c r="AU496" s="1707"/>
      <c r="AV496" s="1707"/>
      <c r="AW496" s="1707"/>
      <c r="AX496" s="1707"/>
      <c r="AY496" s="2250">
        <v>161</v>
      </c>
      <c r="AZ496" s="1707"/>
      <c r="BA496" s="1707"/>
      <c r="BB496" s="1707"/>
      <c r="BC496" s="1707"/>
      <c r="BD496" s="2250">
        <v>-34</v>
      </c>
      <c r="BE496" s="1707"/>
      <c r="BF496" s="1707"/>
      <c r="BG496" s="1707"/>
      <c r="BH496" s="1707"/>
      <c r="BI496" s="2186"/>
      <c r="BJ496" s="1707"/>
      <c r="BK496" s="1707"/>
      <c r="BL496" s="1707"/>
      <c r="BM496" s="1707"/>
      <c r="BN496" s="2186"/>
      <c r="BO496" s="1293"/>
      <c r="BP496" s="1293"/>
      <c r="BQ496" s="1293"/>
      <c r="BR496" s="1293"/>
      <c r="BS496" s="1293"/>
      <c r="BT496" s="1293"/>
      <c r="BU496" s="1293"/>
      <c r="BV496" s="1293"/>
      <c r="BW496" s="1293"/>
      <c r="BX496" s="1293"/>
      <c r="BY496" s="1293"/>
      <c r="BZ496" s="1293"/>
      <c r="CA496" s="1293"/>
      <c r="CB496" s="1293"/>
      <c r="CC496" s="1293"/>
      <c r="CD496" s="1293"/>
      <c r="CE496" s="1293"/>
      <c r="CF496" s="1293"/>
      <c r="CG496" s="1293"/>
      <c r="CH496" s="1293"/>
      <c r="CI496" s="1293"/>
      <c r="CJ496" s="1293"/>
      <c r="CK496" s="1293"/>
      <c r="CL496" s="1293"/>
      <c r="CM496" s="1293"/>
      <c r="CN496" s="1293"/>
      <c r="CO496" s="1293"/>
      <c r="CP496" s="1293"/>
      <c r="CQ496" s="1293"/>
      <c r="CR496" s="1293"/>
      <c r="CS496" s="1293"/>
      <c r="CT496" s="1293"/>
      <c r="CU496" s="1293"/>
      <c r="CV496" s="1293"/>
      <c r="CW496" s="1293"/>
      <c r="CX496" s="1293"/>
      <c r="CY496" s="2246"/>
      <c r="CZ496" s="1674"/>
      <c r="DA496" s="2238"/>
      <c r="DB496" s="2239"/>
      <c r="DC496" s="1293"/>
      <c r="DD496" s="1293"/>
      <c r="DE496" s="1293"/>
      <c r="DF496" s="1293"/>
      <c r="DG496" s="1293"/>
      <c r="DH496" s="1293"/>
      <c r="DI496" s="1293"/>
      <c r="DJ496" s="1293"/>
      <c r="DK496" s="1293"/>
      <c r="DL496" s="1293"/>
    </row>
    <row r="497" spans="1:116" ht="15.75">
      <c r="A497" s="1293"/>
      <c r="B497" s="1834" t="s">
        <v>574</v>
      </c>
      <c r="C497" s="2251">
        <f>C422-C1199+C455+C462</f>
        <v>-174</v>
      </c>
      <c r="D497" s="2251">
        <f>D422-D1199+D455+D462</f>
        <v>-156</v>
      </c>
      <c r="E497" s="2251">
        <f>E422-E1199+E455+E462</f>
        <v>-131</v>
      </c>
      <c r="F497" s="2251">
        <f>F422-F1199+F455+F462</f>
        <v>-199</v>
      </c>
      <c r="G497" s="2252"/>
      <c r="H497" s="2251">
        <f>H425-H1199+H455+H462</f>
        <v>-160</v>
      </c>
      <c r="I497" s="2251">
        <f>I425-I1199+I455+I462</f>
        <v>-180</v>
      </c>
      <c r="J497" s="2251">
        <f>J425-J1199+J455+J462</f>
        <v>-146</v>
      </c>
      <c r="K497" s="2251">
        <f>K425-K1199+K455+K462</f>
        <v>-225</v>
      </c>
      <c r="L497" s="2252"/>
      <c r="M497" s="2251">
        <f>M137+M485+M483+M484</f>
        <v>69.144916724649988</v>
      </c>
      <c r="N497" s="2251">
        <f>N137+N485+N483+N484</f>
        <v>117.609181729635</v>
      </c>
      <c r="O497" s="2251">
        <f>O137+O485+O483+O484</f>
        <v>135.70535091125601</v>
      </c>
      <c r="P497" s="2251">
        <f>P137+P485+P483+P484</f>
        <v>112</v>
      </c>
      <c r="Q497" s="1363"/>
      <c r="R497" s="2251">
        <f>R137+R485+R483+R484</f>
        <v>115</v>
      </c>
      <c r="S497" s="2251">
        <f>S137+S485+S483+S484</f>
        <v>169</v>
      </c>
      <c r="T497" s="2251">
        <f>T137+T485+T483+T484</f>
        <v>126</v>
      </c>
      <c r="U497" s="2251">
        <f>U137+U485+U483+U484</f>
        <v>133</v>
      </c>
      <c r="V497" s="1363"/>
      <c r="W497" s="2251">
        <f t="shared" ref="W497:AB497" si="526">W137+W485+W483+W484</f>
        <v>128</v>
      </c>
      <c r="X497" s="2251">
        <f t="shared" si="526"/>
        <v>197</v>
      </c>
      <c r="Y497" s="2251">
        <f t="shared" si="526"/>
        <v>159</v>
      </c>
      <c r="Z497" s="2251">
        <f t="shared" si="526"/>
        <v>92</v>
      </c>
      <c r="AA497" s="2251">
        <f t="shared" si="526"/>
        <v>526</v>
      </c>
      <c r="AB497" s="2251">
        <f t="shared" si="526"/>
        <v>143</v>
      </c>
      <c r="AC497" s="2251"/>
      <c r="AD497" s="2251">
        <f>AD137+AD485+AD483+AD484</f>
        <v>138</v>
      </c>
      <c r="AE497" s="2251"/>
      <c r="AF497" s="2251">
        <f>AF137+AF485+AF483+AF484</f>
        <v>138</v>
      </c>
      <c r="AG497" s="2251"/>
      <c r="AH497" s="2251">
        <f>AH137+AH485+AH483+AH484</f>
        <v>170</v>
      </c>
      <c r="AI497" s="2251"/>
      <c r="AJ497" s="2253">
        <f>AJ137+AJ485+AJ483+AJ484</f>
        <v>604</v>
      </c>
      <c r="AK497" s="2251">
        <f>AK137+AK485+AK483+AK484-8</f>
        <v>109</v>
      </c>
      <c r="AL497" s="2251">
        <f t="shared" ref="AL497:AT497" si="527">AL137+AL485+AL483+AL484</f>
        <v>184</v>
      </c>
      <c r="AM497" s="2251">
        <f t="shared" si="527"/>
        <v>83</v>
      </c>
      <c r="AN497" s="2251">
        <f t="shared" si="527"/>
        <v>165</v>
      </c>
      <c r="AO497" s="2253">
        <f t="shared" si="527"/>
        <v>492</v>
      </c>
      <c r="AP497" s="2251">
        <f t="shared" si="527"/>
        <v>185</v>
      </c>
      <c r="AQ497" s="2251">
        <f t="shared" si="527"/>
        <v>203</v>
      </c>
      <c r="AR497" s="2251">
        <f t="shared" si="527"/>
        <v>189</v>
      </c>
      <c r="AS497" s="2251">
        <f t="shared" si="527"/>
        <v>156</v>
      </c>
      <c r="AT497" s="2253">
        <f t="shared" si="527"/>
        <v>597</v>
      </c>
      <c r="AU497" s="2251">
        <f>AU482+AU485+AU483+AU484+AU486+AU488+AU489+AU507+AU490+AU501</f>
        <v>-68.09190000000001</v>
      </c>
      <c r="AV497" s="2251">
        <f>AV137+AV485+AV483+AV484+AV486+AV488+AV489+AV507+AV490+AV501</f>
        <v>-3.971500000000006</v>
      </c>
      <c r="AW497" s="2251">
        <f>AW137+AW485+AW483+AW484+AW486+AW488+AW489+AW507+AW490+AW501</f>
        <v>28.137699999999995</v>
      </c>
      <c r="AX497" s="2251">
        <f>AX137+AX485+AX483+AX484+AX486+AX488+AX489+AX507+AX490+AX501</f>
        <v>205.99069999999995</v>
      </c>
      <c r="AY497" s="2253">
        <f>AY482+AY485+AY483+AY484+AY486+AY488+AY489+AY507+AY490+AY501</f>
        <v>162.0649999999996</v>
      </c>
      <c r="AZ497" s="2254">
        <f t="shared" ref="AZ497:BG497" si="528">AZ482+AZ483+AZ484+AZ485+AZ486+AZ488+AZ489+AZ490+AZ501+AZ502+AZ507</f>
        <v>-132.76009999999999</v>
      </c>
      <c r="BA497" s="2254">
        <f t="shared" si="528"/>
        <v>-24.628800000000027</v>
      </c>
      <c r="BB497" s="2254">
        <f t="shared" si="528"/>
        <v>98.774699999999967</v>
      </c>
      <c r="BC497" s="2254">
        <f t="shared" si="528"/>
        <v>22.276700000000048</v>
      </c>
      <c r="BD497" s="2253">
        <f t="shared" si="528"/>
        <v>-36.337500000000205</v>
      </c>
      <c r="BE497" s="2254">
        <f t="shared" si="528"/>
        <v>2.7103000000000179</v>
      </c>
      <c r="BF497" s="2254">
        <f t="shared" si="528"/>
        <v>267.70370000000003</v>
      </c>
      <c r="BG497" s="2254">
        <f t="shared" si="528"/>
        <v>271.03099999999995</v>
      </c>
      <c r="BH497" s="2254">
        <f>BH482+BH483+BH484+BH485+BH486+BH488+BH489+BH490+BH501+BH502+BH507-0.6</f>
        <v>235.91209999999992</v>
      </c>
      <c r="BI497" s="2253">
        <f t="shared" ref="BI497:BJ497" si="529">BI482+BI483+BI484+BI485+BI486+BI488+BI489+BI490+BI501+BI502+BI507</f>
        <v>775.11300000000006</v>
      </c>
      <c r="BJ497" s="2254">
        <f t="shared" si="529"/>
        <v>45.5</v>
      </c>
      <c r="BK497" s="2254"/>
      <c r="BL497" s="2254"/>
      <c r="BM497" s="2254"/>
      <c r="BN497" s="2253">
        <f ca="1">BN482+BN483+BN484+BN485+BN486+BN488+BN489+BN490+BN501+BN502+BN507</f>
        <v>759.62092045878626</v>
      </c>
      <c r="BO497" s="1876">
        <v>750</v>
      </c>
      <c r="BP497" s="1293"/>
      <c r="BQ497" s="1293"/>
      <c r="BR497" s="1293"/>
      <c r="BS497" s="1293"/>
      <c r="BT497" s="1293"/>
      <c r="BU497" s="1293"/>
      <c r="BV497" s="1293"/>
      <c r="BW497" s="1293"/>
      <c r="BX497" s="1293"/>
      <c r="BY497" s="1293"/>
      <c r="BZ497" s="1293"/>
      <c r="CA497" s="1293"/>
      <c r="CB497" s="1293"/>
      <c r="CC497" s="1293"/>
      <c r="CD497" s="1293"/>
      <c r="CE497" s="1293"/>
      <c r="CF497" s="1293"/>
      <c r="CG497" s="1293"/>
      <c r="CH497" s="1293"/>
      <c r="CI497" s="1293"/>
      <c r="CJ497" s="1293"/>
      <c r="CK497" s="1293"/>
      <c r="CL497" s="1293"/>
      <c r="CM497" s="1293"/>
      <c r="CN497" s="1293"/>
      <c r="CO497" s="1293"/>
      <c r="CP497" s="1293"/>
      <c r="CQ497" s="1293"/>
      <c r="CR497" s="1293"/>
      <c r="CS497" s="1293"/>
      <c r="CT497" s="1293"/>
      <c r="CU497" s="1293"/>
      <c r="CV497" s="1293"/>
      <c r="CW497" s="1293"/>
      <c r="CX497" s="1293"/>
      <c r="CY497" s="2255">
        <v>147.56136005243678</v>
      </c>
      <c r="CZ497" s="2251">
        <f>CZ482+CZ485+CZ483+CZ484+CZ486+CZ488+CZ489+CZ507+CZ490+CZ501</f>
        <v>102.24002922657701</v>
      </c>
      <c r="DA497" s="2256">
        <v>126.32725153544345</v>
      </c>
      <c r="DB497" s="2255">
        <v>201.44576315960626</v>
      </c>
      <c r="DC497" s="1293"/>
      <c r="DD497" s="1293"/>
      <c r="DE497" s="1293"/>
      <c r="DF497" s="1293"/>
      <c r="DG497" s="1293"/>
      <c r="DH497" s="1293"/>
      <c r="DI497" s="1293"/>
      <c r="DJ497" s="1293"/>
      <c r="DK497" s="1293"/>
      <c r="DL497" s="1293"/>
    </row>
    <row r="498" spans="1:116" ht="15.75">
      <c r="A498" s="1293"/>
      <c r="B498" s="1653" t="s">
        <v>2812</v>
      </c>
      <c r="C498" s="1666">
        <v>0</v>
      </c>
      <c r="D498" s="1666">
        <v>264</v>
      </c>
      <c r="E498" s="1666">
        <v>0</v>
      </c>
      <c r="F498" s="1666"/>
      <c r="G498" s="1707"/>
      <c r="H498" s="1707"/>
      <c r="I498" s="1666">
        <v>264</v>
      </c>
      <c r="J498" s="1666"/>
      <c r="K498" s="1666"/>
      <c r="L498" s="1707"/>
      <c r="M498" s="1707"/>
      <c r="N498" s="1666">
        <v>264</v>
      </c>
      <c r="O498" s="1666"/>
      <c r="P498" s="1666"/>
      <c r="Q498" s="1293"/>
      <c r="R498" s="1707"/>
      <c r="S498" s="1666">
        <v>264</v>
      </c>
      <c r="T498" s="1666"/>
      <c r="U498" s="1666"/>
      <c r="V498" s="1293"/>
      <c r="W498" s="1666"/>
      <c r="X498" s="1666">
        <v>132</v>
      </c>
      <c r="Y498" s="1666"/>
      <c r="Z498" s="1666">
        <v>132</v>
      </c>
      <c r="AA498" s="1327">
        <f>-Master!U109</f>
        <v>263.73599999999999</v>
      </c>
      <c r="AB498" s="1666">
        <v>0</v>
      </c>
      <c r="AC498" s="1666"/>
      <c r="AD498" s="1666">
        <v>133</v>
      </c>
      <c r="AE498" s="1666"/>
      <c r="AF498" s="1666">
        <v>0</v>
      </c>
      <c r="AG498" s="1666"/>
      <c r="AH498" s="1666">
        <f>AJ498-AB498-AD498-AF498</f>
        <v>130.73599999999999</v>
      </c>
      <c r="AI498" s="1666"/>
      <c r="AJ498" s="2185">
        <f>-Master!V109</f>
        <v>263.73599999999999</v>
      </c>
      <c r="AK498" s="1666">
        <v>0</v>
      </c>
      <c r="AL498" s="1666">
        <v>0</v>
      </c>
      <c r="AM498" s="1666">
        <v>0</v>
      </c>
      <c r="AN498" s="1666">
        <v>0</v>
      </c>
      <c r="AO498" s="2185">
        <f>-Master!W109</f>
        <v>0</v>
      </c>
      <c r="AP498" s="1666">
        <v>0</v>
      </c>
      <c r="AQ498" s="1666">
        <v>0</v>
      </c>
      <c r="AR498" s="1666"/>
      <c r="AS498" s="1666"/>
      <c r="AT498" s="2185">
        <f>-Master!X109</f>
        <v>0</v>
      </c>
      <c r="AU498" s="1666"/>
      <c r="AV498" s="1666"/>
      <c r="AW498" s="1666"/>
      <c r="AX498" s="1666"/>
      <c r="AY498" s="2185"/>
      <c r="AZ498" s="1666"/>
      <c r="BA498" s="1666"/>
      <c r="BB498" s="1666"/>
      <c r="BC498" s="1327"/>
      <c r="BD498" s="2186"/>
      <c r="BE498" s="1666"/>
      <c r="BF498" s="1666"/>
      <c r="BG498" s="1666"/>
      <c r="BH498" s="1327"/>
      <c r="BI498" s="2186"/>
      <c r="BJ498" s="1666"/>
      <c r="BK498" s="1666"/>
      <c r="BL498" s="1666"/>
      <c r="BM498" s="1666"/>
      <c r="BN498" s="2186"/>
      <c r="BO498" s="1293"/>
      <c r="BP498" s="1293"/>
      <c r="BQ498" s="1293"/>
      <c r="BR498" s="1293"/>
      <c r="BS498" s="1293"/>
      <c r="BT498" s="1293"/>
      <c r="BU498" s="1293"/>
      <c r="BV498" s="1293"/>
      <c r="BW498" s="1293"/>
      <c r="BX498" s="1293"/>
      <c r="BY498" s="1293"/>
      <c r="BZ498" s="1293"/>
      <c r="CA498" s="1293"/>
      <c r="CB498" s="1293"/>
      <c r="CC498" s="1293"/>
      <c r="CD498" s="1293"/>
      <c r="CE498" s="1293"/>
      <c r="CF498" s="1293"/>
      <c r="CG498" s="1293"/>
      <c r="CH498" s="1293"/>
      <c r="CI498" s="1293"/>
      <c r="CJ498" s="1293"/>
      <c r="CK498" s="1293"/>
      <c r="CL498" s="1293"/>
      <c r="CM498" s="1293"/>
      <c r="CN498" s="1293"/>
      <c r="CO498" s="1293"/>
      <c r="CP498" s="1293"/>
      <c r="CQ498" s="1293"/>
      <c r="CR498" s="1293"/>
      <c r="CS498" s="1293"/>
      <c r="CT498" s="1293"/>
      <c r="CU498" s="1293"/>
      <c r="CV498" s="1293"/>
      <c r="CW498" s="1293"/>
      <c r="CX498" s="1293"/>
      <c r="CY498" s="2188"/>
      <c r="CZ498" s="1327"/>
      <c r="DA498" s="2214"/>
      <c r="DB498" s="2215"/>
      <c r="DC498" s="1293"/>
      <c r="DD498" s="1293"/>
      <c r="DE498" s="1293"/>
      <c r="DF498" s="1293"/>
      <c r="DG498" s="1293"/>
      <c r="DH498" s="1293"/>
      <c r="DI498" s="1293"/>
      <c r="DJ498" s="1293"/>
      <c r="DK498" s="1293"/>
      <c r="DL498" s="1293"/>
    </row>
    <row r="499" spans="1:116" ht="15.75">
      <c r="A499" s="1293"/>
      <c r="B499" s="1653" t="s">
        <v>415</v>
      </c>
      <c r="C499" s="1666"/>
      <c r="D499" s="1666"/>
      <c r="E499" s="1666"/>
      <c r="F499" s="1666"/>
      <c r="G499" s="1707"/>
      <c r="H499" s="1707"/>
      <c r="I499" s="1666"/>
      <c r="J499" s="1666"/>
      <c r="K499" s="1666"/>
      <c r="L499" s="1707"/>
      <c r="M499" s="1707"/>
      <c r="N499" s="1666"/>
      <c r="O499" s="1666"/>
      <c r="P499" s="1666"/>
      <c r="Q499" s="1293"/>
      <c r="R499" s="1707"/>
      <c r="S499" s="1666"/>
      <c r="T499" s="1666"/>
      <c r="U499" s="1666"/>
      <c r="V499" s="1293"/>
      <c r="W499" s="1666"/>
      <c r="X499" s="1666"/>
      <c r="Y499" s="1666"/>
      <c r="Z499" s="1666"/>
      <c r="AA499" s="1327"/>
      <c r="AB499" s="1666"/>
      <c r="AC499" s="1666"/>
      <c r="AD499" s="1666"/>
      <c r="AE499" s="1666"/>
      <c r="AF499" s="1666"/>
      <c r="AG499" s="1666"/>
      <c r="AH499" s="1666"/>
      <c r="AI499" s="1666"/>
      <c r="AJ499" s="2185"/>
      <c r="AK499" s="1666"/>
      <c r="AL499" s="1666"/>
      <c r="AM499" s="1666"/>
      <c r="AN499" s="1666"/>
      <c r="AO499" s="2185"/>
      <c r="AP499" s="1666"/>
      <c r="AQ499" s="1949">
        <v>8</v>
      </c>
      <c r="AR499" s="1949"/>
      <c r="AS499" s="1949"/>
      <c r="AT499" s="2185"/>
      <c r="AU499" s="1949"/>
      <c r="AV499" s="1949"/>
      <c r="AW499" s="1949"/>
      <c r="AX499" s="1949"/>
      <c r="AY499" s="2185"/>
      <c r="AZ499" s="1949"/>
      <c r="BA499" s="1949"/>
      <c r="BB499" s="1949"/>
      <c r="BC499" s="1327"/>
      <c r="BD499" s="2186"/>
      <c r="BE499" s="1949"/>
      <c r="BF499" s="1949"/>
      <c r="BG499" s="1949"/>
      <c r="BH499" s="1327"/>
      <c r="BI499" s="2186"/>
      <c r="BJ499" s="1949"/>
      <c r="BK499" s="1949"/>
      <c r="BL499" s="1949"/>
      <c r="BM499" s="1949"/>
      <c r="BN499" s="2186"/>
      <c r="BO499" s="1293"/>
      <c r="BP499" s="1293"/>
      <c r="BQ499" s="1293"/>
      <c r="BR499" s="1293"/>
      <c r="BS499" s="1293"/>
      <c r="BT499" s="1293" t="s">
        <v>1823</v>
      </c>
      <c r="BU499" s="1293"/>
      <c r="BV499" s="1293"/>
      <c r="BW499" s="1293"/>
      <c r="BX499" s="1293"/>
      <c r="BY499" s="1293"/>
      <c r="BZ499" s="1293"/>
      <c r="CA499" s="1293"/>
      <c r="CB499" s="1293"/>
      <c r="CC499" s="1293"/>
      <c r="CD499" s="1293"/>
      <c r="CE499" s="1293"/>
      <c r="CF499" s="1293"/>
      <c r="CG499" s="1293"/>
      <c r="CH499" s="1293"/>
      <c r="CI499" s="1293"/>
      <c r="CJ499" s="1293"/>
      <c r="CK499" s="1293"/>
      <c r="CL499" s="1293"/>
      <c r="CM499" s="1293"/>
      <c r="CN499" s="1293"/>
      <c r="CO499" s="1293"/>
      <c r="CP499" s="1293"/>
      <c r="CQ499" s="1293"/>
      <c r="CR499" s="1293"/>
      <c r="CS499" s="1293"/>
      <c r="CT499" s="1293"/>
      <c r="CU499" s="1293"/>
      <c r="CV499" s="1293"/>
      <c r="CW499" s="1293"/>
      <c r="CX499" s="1293"/>
      <c r="CY499" s="2188"/>
      <c r="CZ499" s="1327"/>
      <c r="DA499" s="2257"/>
      <c r="DB499" s="2258"/>
      <c r="DC499" s="1293"/>
      <c r="DD499" s="1293"/>
      <c r="DE499" s="1293"/>
      <c r="DF499" s="1293"/>
      <c r="DG499" s="1293"/>
      <c r="DH499" s="1293"/>
      <c r="DI499" s="1293"/>
      <c r="DJ499" s="1293"/>
      <c r="DK499" s="1293"/>
      <c r="DL499" s="1293"/>
    </row>
    <row r="500" spans="1:116" ht="15.75">
      <c r="A500" s="1293"/>
      <c r="B500" s="1653" t="s">
        <v>2813</v>
      </c>
      <c r="C500" s="1666">
        <v>0</v>
      </c>
      <c r="D500" s="1666">
        <v>32</v>
      </c>
      <c r="E500" s="1666">
        <v>27</v>
      </c>
      <c r="F500" s="1666"/>
      <c r="G500" s="1707"/>
      <c r="H500" s="1707"/>
      <c r="I500" s="1707"/>
      <c r="J500" s="1707"/>
      <c r="K500" s="1707"/>
      <c r="L500" s="1707"/>
      <c r="M500" s="1707"/>
      <c r="N500" s="1707"/>
      <c r="O500" s="1707"/>
      <c r="P500" s="1707"/>
      <c r="Q500" s="1293"/>
      <c r="R500" s="1707"/>
      <c r="S500" s="1707"/>
      <c r="T500" s="1707"/>
      <c r="U500" s="1707"/>
      <c r="V500" s="1293"/>
      <c r="W500" s="1707"/>
      <c r="X500" s="1707"/>
      <c r="Y500" s="1707"/>
      <c r="Z500" s="1707"/>
      <c r="AA500" s="1293"/>
      <c r="AB500" s="1707"/>
      <c r="AC500" s="1707"/>
      <c r="AD500" s="1707"/>
      <c r="AE500" s="1707"/>
      <c r="AF500" s="1707"/>
      <c r="AG500" s="1707"/>
      <c r="AH500" s="1707"/>
      <c r="AI500" s="1707"/>
      <c r="AJ500" s="2186"/>
      <c r="AK500" s="1707"/>
      <c r="AL500" s="1707"/>
      <c r="AM500" s="1707"/>
      <c r="AN500" s="1707"/>
      <c r="AO500" s="2186"/>
      <c r="AP500" s="1707"/>
      <c r="AQ500" s="1707"/>
      <c r="AR500" s="1707"/>
      <c r="AS500" s="1707"/>
      <c r="AT500" s="2186"/>
      <c r="AU500" s="1707"/>
      <c r="AV500" s="1707"/>
      <c r="AW500" s="1707"/>
      <c r="AX500" s="1707"/>
      <c r="AY500" s="2186"/>
      <c r="AZ500" s="1707"/>
      <c r="BA500" s="1707"/>
      <c r="BB500" s="1707"/>
      <c r="BC500" s="1293"/>
      <c r="BD500" s="2186"/>
      <c r="BE500" s="1707"/>
      <c r="BF500" s="1707"/>
      <c r="BG500" s="1707"/>
      <c r="BH500" s="1293"/>
      <c r="BI500" s="2186"/>
      <c r="BJ500" s="1707"/>
      <c r="BK500" s="1707"/>
      <c r="BL500" s="1707"/>
      <c r="BM500" s="1707"/>
      <c r="BN500" s="2186"/>
      <c r="BO500" s="1293"/>
      <c r="BP500" s="1293"/>
      <c r="BQ500" s="1293"/>
      <c r="BR500" s="1293"/>
      <c r="BS500" s="1293"/>
      <c r="BT500" s="1293"/>
      <c r="BU500" s="1293"/>
      <c r="BV500" s="1293"/>
      <c r="BW500" s="1293"/>
      <c r="BX500" s="1293"/>
      <c r="BY500" s="1293"/>
      <c r="BZ500" s="1293"/>
      <c r="CA500" s="1293"/>
      <c r="CB500" s="1293"/>
      <c r="CC500" s="1293"/>
      <c r="CD500" s="1293"/>
      <c r="CE500" s="1293"/>
      <c r="CF500" s="1293"/>
      <c r="CG500" s="1293"/>
      <c r="CH500" s="1293"/>
      <c r="CI500" s="1293"/>
      <c r="CJ500" s="1293"/>
      <c r="CK500" s="1293"/>
      <c r="CL500" s="1293"/>
      <c r="CM500" s="1293"/>
      <c r="CN500" s="1293"/>
      <c r="CO500" s="1293"/>
      <c r="CP500" s="1293"/>
      <c r="CQ500" s="1293"/>
      <c r="CR500" s="1293"/>
      <c r="CS500" s="1293"/>
      <c r="CT500" s="1293"/>
      <c r="CU500" s="1293"/>
      <c r="CV500" s="1293"/>
      <c r="CW500" s="1293"/>
      <c r="CX500" s="1293"/>
      <c r="CY500" s="2032"/>
      <c r="CZ500" s="1293"/>
      <c r="DA500" s="2238"/>
      <c r="DB500" s="2239"/>
      <c r="DC500" s="1293"/>
      <c r="DD500" s="1293"/>
      <c r="DE500" s="1293"/>
      <c r="DF500" s="1293"/>
      <c r="DG500" s="1293"/>
      <c r="DH500" s="1293"/>
      <c r="DI500" s="1293"/>
      <c r="DJ500" s="1293"/>
      <c r="DK500" s="1293"/>
      <c r="DL500" s="1293"/>
    </row>
    <row r="501" spans="1:116" ht="15.75">
      <c r="A501" s="1293"/>
      <c r="B501" s="1653" t="s">
        <v>2814</v>
      </c>
      <c r="C501" s="1666">
        <v>-42</v>
      </c>
      <c r="D501" s="1666">
        <v>63</v>
      </c>
      <c r="E501" s="1666">
        <v>87</v>
      </c>
      <c r="F501" s="1666">
        <v>-29</v>
      </c>
      <c r="G501" s="1707"/>
      <c r="H501" s="1666">
        <v>-137</v>
      </c>
      <c r="I501" s="1666">
        <v>-31</v>
      </c>
      <c r="J501" s="1666">
        <v>66</v>
      </c>
      <c r="K501" s="1666">
        <v>183</v>
      </c>
      <c r="L501" s="1707"/>
      <c r="M501" s="1666">
        <v>-123</v>
      </c>
      <c r="N501" s="1666">
        <v>3</v>
      </c>
      <c r="O501" s="1666">
        <v>14</v>
      </c>
      <c r="P501" s="1666">
        <v>106</v>
      </c>
      <c r="Q501" s="1293"/>
      <c r="R501" s="1666">
        <v>-66</v>
      </c>
      <c r="S501" s="1666">
        <v>-34</v>
      </c>
      <c r="T501" s="1666">
        <v>-21</v>
      </c>
      <c r="U501" s="1666">
        <v>56</v>
      </c>
      <c r="V501" s="1327">
        <f>Master!T90+Master!T95</f>
        <v>-195.40000000000009</v>
      </c>
      <c r="W501" s="1666">
        <v>-86</v>
      </c>
      <c r="X501" s="1666">
        <v>-5</v>
      </c>
      <c r="Y501" s="1666">
        <v>0</v>
      </c>
      <c r="Z501" s="1666">
        <v>90</v>
      </c>
      <c r="AA501" s="1698">
        <f>SUM(W501:Z501)</f>
        <v>-1</v>
      </c>
      <c r="AB501" s="1666">
        <v>-122</v>
      </c>
      <c r="AC501" s="1666"/>
      <c r="AD501" s="1666">
        <v>9</v>
      </c>
      <c r="AE501" s="1666"/>
      <c r="AF501" s="1666">
        <v>-25</v>
      </c>
      <c r="AG501" s="1666"/>
      <c r="AH501" s="1666">
        <v>13</v>
      </c>
      <c r="AI501" s="1666"/>
      <c r="AJ501" s="2185">
        <f>Master!V90+Master!V95-AJ509</f>
        <v>968</v>
      </c>
      <c r="AK501" s="2216">
        <v>-124</v>
      </c>
      <c r="AL501" s="2216">
        <v>54</v>
      </c>
      <c r="AM501" s="2216">
        <v>61</v>
      </c>
      <c r="AN501" s="2216">
        <v>73</v>
      </c>
      <c r="AO501" s="2185">
        <f>Master!W90+Master!W95-AO509</f>
        <v>460.99999999999989</v>
      </c>
      <c r="AP501" s="2216">
        <v>-161</v>
      </c>
      <c r="AQ501" s="2216">
        <v>-28</v>
      </c>
      <c r="AR501" s="2216">
        <v>34</v>
      </c>
      <c r="AS501" s="2216">
        <v>104</v>
      </c>
      <c r="AT501" s="2185">
        <f>Master!X90+Master!X95-AT509</f>
        <v>176</v>
      </c>
      <c r="AU501" s="2216">
        <f>-129+5</f>
        <v>-124</v>
      </c>
      <c r="AV501" s="2216">
        <f>-65+3</f>
        <v>-62</v>
      </c>
      <c r="AW501" s="2216">
        <f>-20+4</f>
        <v>-16</v>
      </c>
      <c r="AX501" s="2216">
        <f>77.14+4</f>
        <v>81.14</v>
      </c>
      <c r="AY501" s="2244">
        <f>AU501+AV501+AW501+AX501</f>
        <v>-120.86</v>
      </c>
      <c r="AZ501" s="2216">
        <v>-124.035</v>
      </c>
      <c r="BA501" s="2216">
        <v>-37.555999999999997</v>
      </c>
      <c r="BB501" s="2216">
        <v>17.757000000000001</v>
      </c>
      <c r="BC501" s="2216">
        <v>21.151</v>
      </c>
      <c r="BD501" s="2244">
        <f>SUM(AZ501:BC501)</f>
        <v>-122.68300000000001</v>
      </c>
      <c r="BE501" s="2216">
        <v>-202</v>
      </c>
      <c r="BF501" s="2216">
        <v>50</v>
      </c>
      <c r="BG501" s="2216">
        <v>28</v>
      </c>
      <c r="BH501" s="2216">
        <v>26.681699999999999</v>
      </c>
      <c r="BI501" s="2244">
        <f>Valuation!N31</f>
        <v>-97</v>
      </c>
      <c r="BJ501" s="1945">
        <v>-150</v>
      </c>
      <c r="BK501" s="1945">
        <v>-50</v>
      </c>
      <c r="BL501" s="1945">
        <v>30</v>
      </c>
      <c r="BM501" s="1945">
        <f>BN501-BJ501-BK501-BL501</f>
        <v>111.45800384853604</v>
      </c>
      <c r="BN501" s="2244">
        <f>Valuation!O31</f>
        <v>-58.541996151463962</v>
      </c>
      <c r="BO501" s="1674"/>
      <c r="BP501" s="1674"/>
      <c r="BQ501" s="1293"/>
      <c r="BR501" s="1293"/>
      <c r="BS501" s="1293"/>
      <c r="BT501" s="1293"/>
      <c r="BU501" s="1293"/>
      <c r="BV501" s="1293"/>
      <c r="BW501" s="1293"/>
      <c r="BX501" s="1293"/>
      <c r="BY501" s="1293"/>
      <c r="BZ501" s="1293"/>
      <c r="CA501" s="1293"/>
      <c r="CB501" s="1293"/>
      <c r="CC501" s="1293"/>
      <c r="CD501" s="1293"/>
      <c r="CE501" s="1293"/>
      <c r="CF501" s="1293"/>
      <c r="CG501" s="1293"/>
      <c r="CH501" s="1293"/>
      <c r="CI501" s="1293"/>
      <c r="CJ501" s="1293"/>
      <c r="CK501" s="1293"/>
      <c r="CL501" s="1293"/>
      <c r="CM501" s="1293"/>
      <c r="CN501" s="1293"/>
      <c r="CO501" s="1293"/>
      <c r="CP501" s="1293"/>
      <c r="CQ501" s="1293"/>
      <c r="CR501" s="1293"/>
      <c r="CS501" s="1293"/>
      <c r="CT501" s="1293"/>
      <c r="CU501" s="1293"/>
      <c r="CV501" s="1293"/>
      <c r="CW501" s="1293"/>
      <c r="CX501" s="1293"/>
      <c r="CY501" s="2215">
        <v>69.42901187512247</v>
      </c>
      <c r="CZ501" s="1949">
        <v>0</v>
      </c>
      <c r="DA501" s="2217">
        <v>-40</v>
      </c>
      <c r="DB501" s="2218">
        <v>20</v>
      </c>
      <c r="DC501" s="1293"/>
      <c r="DD501" s="1293"/>
      <c r="DE501" s="1293"/>
      <c r="DF501" s="1293"/>
      <c r="DG501" s="1293"/>
      <c r="DH501" s="1293"/>
      <c r="DI501" s="1293"/>
      <c r="DJ501" s="1293"/>
      <c r="DK501" s="1293"/>
      <c r="DL501" s="1293"/>
    </row>
    <row r="502" spans="1:116" ht="15.75">
      <c r="A502" s="1293"/>
      <c r="B502" s="1653" t="s">
        <v>1540</v>
      </c>
      <c r="C502" s="1666"/>
      <c r="D502" s="1666"/>
      <c r="E502" s="1666"/>
      <c r="F502" s="1666"/>
      <c r="G502" s="1707"/>
      <c r="H502" s="1666"/>
      <c r="I502" s="1666"/>
      <c r="J502" s="1666"/>
      <c r="K502" s="1666"/>
      <c r="L502" s="1707"/>
      <c r="M502" s="1666"/>
      <c r="N502" s="1666"/>
      <c r="O502" s="1666"/>
      <c r="P502" s="1666"/>
      <c r="Q502" s="1293"/>
      <c r="R502" s="1666"/>
      <c r="S502" s="1666"/>
      <c r="T502" s="1666"/>
      <c r="U502" s="1666"/>
      <c r="V502" s="1327"/>
      <c r="W502" s="1666"/>
      <c r="X502" s="1666"/>
      <c r="Y502" s="1666"/>
      <c r="Z502" s="1666"/>
      <c r="AA502" s="1698"/>
      <c r="AB502" s="1666"/>
      <c r="AC502" s="1666"/>
      <c r="AD502" s="1666"/>
      <c r="AE502" s="1666"/>
      <c r="AF502" s="1666"/>
      <c r="AG502" s="1666"/>
      <c r="AH502" s="1666"/>
      <c r="AI502" s="1666"/>
      <c r="AJ502" s="2185"/>
      <c r="AK502" s="2216"/>
      <c r="AL502" s="2216"/>
      <c r="AM502" s="2216"/>
      <c r="AN502" s="2216"/>
      <c r="AO502" s="2185"/>
      <c r="AP502" s="2216"/>
      <c r="AQ502" s="2216"/>
      <c r="AR502" s="2216"/>
      <c r="AS502" s="2216"/>
      <c r="AT502" s="2185"/>
      <c r="AU502" s="2216"/>
      <c r="AV502" s="2216"/>
      <c r="AW502" s="2216"/>
      <c r="AX502" s="2216"/>
      <c r="AY502" s="2244"/>
      <c r="AZ502" s="2216">
        <v>13</v>
      </c>
      <c r="BA502" s="2216">
        <v>13</v>
      </c>
      <c r="BB502" s="2216">
        <v>15</v>
      </c>
      <c r="BC502" s="2216">
        <v>11</v>
      </c>
      <c r="BD502" s="2244">
        <f>SUM(AZ502:BC502)</f>
        <v>52</v>
      </c>
      <c r="BE502" s="2216">
        <v>10</v>
      </c>
      <c r="BF502" s="2216">
        <v>11</v>
      </c>
      <c r="BG502" s="2216">
        <v>22</v>
      </c>
      <c r="BH502" s="2216">
        <v>6.8624000000000001</v>
      </c>
      <c r="BI502" s="2244">
        <f>Valuation!N30</f>
        <v>47</v>
      </c>
      <c r="BJ502" s="1945">
        <v>7</v>
      </c>
      <c r="BK502" s="1945">
        <v>7</v>
      </c>
      <c r="BL502" s="1945">
        <v>7</v>
      </c>
      <c r="BM502" s="1945">
        <f>BN502-BJ502-BK502-BL502</f>
        <v>7.75</v>
      </c>
      <c r="BN502" s="2244">
        <f>Valuation!O30</f>
        <v>28.75</v>
      </c>
      <c r="BO502" s="1674"/>
      <c r="BP502" s="1674"/>
      <c r="BQ502" s="1293"/>
      <c r="BR502" s="1293"/>
      <c r="BS502" s="1293"/>
      <c r="BT502" s="1293"/>
      <c r="BU502" s="1293"/>
      <c r="BV502" s="1293"/>
      <c r="BW502" s="1293"/>
      <c r="BX502" s="1293"/>
      <c r="BY502" s="1293"/>
      <c r="BZ502" s="1293"/>
      <c r="CA502" s="1293"/>
      <c r="CB502" s="1293"/>
      <c r="CC502" s="1293"/>
      <c r="CD502" s="1293"/>
      <c r="CE502" s="1293"/>
      <c r="CF502" s="1293"/>
      <c r="CG502" s="1293"/>
      <c r="CH502" s="1293"/>
      <c r="CI502" s="1293"/>
      <c r="CJ502" s="1293"/>
      <c r="CK502" s="1293"/>
      <c r="CL502" s="1293"/>
      <c r="CM502" s="1293"/>
      <c r="CN502" s="1293"/>
      <c r="CO502" s="1293"/>
      <c r="CP502" s="1293"/>
      <c r="CQ502" s="1293"/>
      <c r="CR502" s="1293"/>
      <c r="CS502" s="1293"/>
      <c r="CT502" s="1293"/>
      <c r="CU502" s="1293"/>
      <c r="CV502" s="1293"/>
      <c r="CW502" s="1293"/>
      <c r="CX502" s="1293"/>
      <c r="CY502" s="2215"/>
      <c r="CZ502" s="1949"/>
      <c r="DA502" s="2217"/>
      <c r="DB502" s="2218"/>
      <c r="DC502" s="1293"/>
      <c r="DD502" s="1293"/>
      <c r="DE502" s="1293"/>
      <c r="DF502" s="1293"/>
      <c r="DG502" s="1293"/>
      <c r="DH502" s="1293"/>
      <c r="DI502" s="1293"/>
      <c r="DJ502" s="1293"/>
      <c r="DK502" s="1293"/>
      <c r="DL502" s="1293"/>
    </row>
    <row r="503" spans="1:116" ht="15.75">
      <c r="A503" s="1293"/>
      <c r="B503" s="1653" t="s">
        <v>5055</v>
      </c>
      <c r="C503" s="1707"/>
      <c r="D503" s="1707"/>
      <c r="E503" s="1666">
        <v>-110</v>
      </c>
      <c r="F503" s="1666"/>
      <c r="G503" s="1707"/>
      <c r="H503" s="1707"/>
      <c r="I503" s="1707"/>
      <c r="J503" s="1707"/>
      <c r="K503" s="1707"/>
      <c r="L503" s="1707"/>
      <c r="M503" s="1666">
        <v>42</v>
      </c>
      <c r="N503" s="1666">
        <v>0</v>
      </c>
      <c r="O503" s="1666">
        <v>0</v>
      </c>
      <c r="P503" s="1666">
        <v>0</v>
      </c>
      <c r="Q503" s="1293"/>
      <c r="R503" s="1666">
        <v>0</v>
      </c>
      <c r="S503" s="1666">
        <v>0</v>
      </c>
      <c r="T503" s="1666">
        <v>0</v>
      </c>
      <c r="U503" s="1666">
        <v>0</v>
      </c>
      <c r="V503" s="1327">
        <f>-Master!T100</f>
        <v>43.15</v>
      </c>
      <c r="W503" s="1666">
        <v>0</v>
      </c>
      <c r="X503" s="1666">
        <v>-129</v>
      </c>
      <c r="Y503" s="1666">
        <v>-1</v>
      </c>
      <c r="Z503" s="1666">
        <v>1330</v>
      </c>
      <c r="AA503" s="1327">
        <f>-Master!U100</f>
        <v>1146.1500000000001</v>
      </c>
      <c r="AB503" s="1666"/>
      <c r="AC503" s="1666"/>
      <c r="AD503" s="1666"/>
      <c r="AE503" s="1666"/>
      <c r="AF503" s="1666"/>
      <c r="AG503" s="1666"/>
      <c r="AH503" s="1666"/>
      <c r="AI503" s="1666"/>
      <c r="AJ503" s="2185"/>
      <c r="AK503" s="1666"/>
      <c r="AL503" s="1666"/>
      <c r="AM503" s="1666"/>
      <c r="AN503" s="1666"/>
      <c r="AO503" s="2185"/>
      <c r="AP503" s="1666"/>
      <c r="AQ503" s="1666"/>
      <c r="AR503" s="1666"/>
      <c r="AS503" s="1666"/>
      <c r="AT503" s="2185"/>
      <c r="AU503" s="1666"/>
      <c r="AV503" s="1666"/>
      <c r="AW503" s="1666"/>
      <c r="AX503" s="1666"/>
      <c r="AY503" s="2185"/>
      <c r="AZ503" s="1666"/>
      <c r="BA503" s="1666"/>
      <c r="BB503" s="1666"/>
      <c r="BC503" s="1327"/>
      <c r="BD503" s="2186"/>
      <c r="BE503" s="1666"/>
      <c r="BF503" s="1666"/>
      <c r="BG503" s="1666"/>
      <c r="BH503" s="1327"/>
      <c r="BI503" s="2186"/>
      <c r="BJ503" s="1666"/>
      <c r="BK503" s="1666"/>
      <c r="BL503" s="1666"/>
      <c r="BM503" s="1666"/>
      <c r="BN503" s="2186"/>
      <c r="BO503" s="1293"/>
      <c r="BP503" s="1293"/>
      <c r="BQ503" s="1293"/>
      <c r="BR503" s="1293"/>
      <c r="BS503" s="1293"/>
      <c r="BT503" s="1293"/>
      <c r="BU503" s="1293"/>
      <c r="BV503" s="1293"/>
      <c r="BW503" s="1293"/>
      <c r="BX503" s="1293"/>
      <c r="BY503" s="1293"/>
      <c r="BZ503" s="1293"/>
      <c r="CA503" s="1293"/>
      <c r="CB503" s="1293"/>
      <c r="CC503" s="1293"/>
      <c r="CD503" s="1293"/>
      <c r="CE503" s="1293"/>
      <c r="CF503" s="1293"/>
      <c r="CG503" s="1293"/>
      <c r="CH503" s="1293"/>
      <c r="CI503" s="1293"/>
      <c r="CJ503" s="1293"/>
      <c r="CK503" s="1293"/>
      <c r="CL503" s="1293"/>
      <c r="CM503" s="1293"/>
      <c r="CN503" s="1293"/>
      <c r="CO503" s="1293"/>
      <c r="CP503" s="1293"/>
      <c r="CQ503" s="1293"/>
      <c r="CR503" s="1293"/>
      <c r="CS503" s="1293"/>
      <c r="CT503" s="1293"/>
      <c r="CU503" s="1293"/>
      <c r="CV503" s="1293"/>
      <c r="CW503" s="1293"/>
      <c r="CX503" s="1293"/>
      <c r="CY503" s="2188"/>
      <c r="CZ503" s="1327"/>
      <c r="DA503" s="2214"/>
      <c r="DB503" s="2215"/>
      <c r="DC503" s="1293"/>
      <c r="DD503" s="1293"/>
      <c r="DE503" s="1293"/>
      <c r="DF503" s="1293"/>
      <c r="DG503" s="1293"/>
      <c r="DH503" s="1293"/>
      <c r="DI503" s="1293"/>
      <c r="DJ503" s="1293"/>
      <c r="DK503" s="1293"/>
      <c r="DL503" s="1293"/>
    </row>
    <row r="504" spans="1:116" ht="15.75">
      <c r="A504" s="1293"/>
      <c r="B504" s="1653" t="s">
        <v>3804</v>
      </c>
      <c r="C504" s="1666">
        <v>-188</v>
      </c>
      <c r="D504" s="1666">
        <v>-56</v>
      </c>
      <c r="E504" s="1666">
        <v>-20</v>
      </c>
      <c r="F504" s="1666">
        <v>-36</v>
      </c>
      <c r="G504" s="1707"/>
      <c r="H504" s="1666">
        <v>-25</v>
      </c>
      <c r="I504" s="1666">
        <v>-71</v>
      </c>
      <c r="J504" s="1666">
        <v>-84</v>
      </c>
      <c r="K504" s="1666">
        <v>-89</v>
      </c>
      <c r="L504" s="1707"/>
      <c r="M504" s="1666">
        <v>-14</v>
      </c>
      <c r="N504" s="1666">
        <v>-15</v>
      </c>
      <c r="O504" s="1666">
        <v>-19</v>
      </c>
      <c r="P504" s="1666">
        <v>-117</v>
      </c>
      <c r="Q504" s="1293"/>
      <c r="R504" s="1666">
        <v>-6</v>
      </c>
      <c r="S504" s="1666">
        <v>-66</v>
      </c>
      <c r="T504" s="1666">
        <v>-42</v>
      </c>
      <c r="U504" s="1666">
        <v>-50</v>
      </c>
      <c r="V504" s="1698">
        <f>Master!T107</f>
        <v>-164</v>
      </c>
      <c r="W504" s="1666">
        <v>-4</v>
      </c>
      <c r="X504" s="1666">
        <v>-76</v>
      </c>
      <c r="Y504" s="1666">
        <v>-69</v>
      </c>
      <c r="Z504" s="1666">
        <v>-50</v>
      </c>
      <c r="AA504" s="1698">
        <f>Master!U107</f>
        <v>-198</v>
      </c>
      <c r="AB504" s="1293">
        <v>-51</v>
      </c>
      <c r="AC504" s="1666"/>
      <c r="AD504" s="1666">
        <v>-43</v>
      </c>
      <c r="AE504" s="1666"/>
      <c r="AF504" s="1666">
        <v>-60</v>
      </c>
      <c r="AG504" s="1666"/>
      <c r="AH504" s="1666">
        <v>-51</v>
      </c>
      <c r="AI504" s="1666"/>
      <c r="AJ504" s="2191">
        <f>Master!V107</f>
        <v>-204</v>
      </c>
      <c r="AK504" s="2216">
        <v>-17</v>
      </c>
      <c r="AL504" s="2216">
        <v>-37</v>
      </c>
      <c r="AM504" s="2216">
        <v>-16</v>
      </c>
      <c r="AN504" s="2216">
        <v>-1</v>
      </c>
      <c r="AO504" s="2191">
        <f>Master!W107</f>
        <v>-70</v>
      </c>
      <c r="AP504" s="2216">
        <v>-3</v>
      </c>
      <c r="AQ504" s="2216">
        <v>-22</v>
      </c>
      <c r="AR504" s="2216">
        <v>0</v>
      </c>
      <c r="AS504" s="2216">
        <v>0</v>
      </c>
      <c r="AT504" s="2191">
        <f>Master!X107</f>
        <v>-25</v>
      </c>
      <c r="AU504" s="1666"/>
      <c r="AV504" s="1666"/>
      <c r="AW504" s="1666"/>
      <c r="AX504" s="1666"/>
      <c r="AY504" s="2191"/>
      <c r="AZ504" s="1666"/>
      <c r="BA504" s="1666"/>
      <c r="BB504" s="1666"/>
      <c r="BC504" s="1698"/>
      <c r="BD504" s="2186"/>
      <c r="BE504" s="1666"/>
      <c r="BF504" s="1666"/>
      <c r="BG504" s="1666"/>
      <c r="BH504" s="1698"/>
      <c r="BI504" s="2186"/>
      <c r="BJ504" s="1666"/>
      <c r="BK504" s="1666"/>
      <c r="BL504" s="1666"/>
      <c r="BM504" s="1666"/>
      <c r="BN504" s="2186"/>
      <c r="BO504" s="1293"/>
      <c r="BP504" s="1293"/>
      <c r="BQ504" s="1293"/>
      <c r="BR504" s="1293"/>
      <c r="BS504" s="1293"/>
      <c r="BT504" s="1293"/>
      <c r="BU504" s="1293"/>
      <c r="BV504" s="1293"/>
      <c r="BW504" s="1293"/>
      <c r="BX504" s="1293"/>
      <c r="BY504" s="1293"/>
      <c r="BZ504" s="1293"/>
      <c r="CA504" s="1293"/>
      <c r="CB504" s="1293"/>
      <c r="CC504" s="1293"/>
      <c r="CD504" s="1293"/>
      <c r="CE504" s="1293"/>
      <c r="CF504" s="1293"/>
      <c r="CG504" s="1293"/>
      <c r="CH504" s="1293"/>
      <c r="CI504" s="1293"/>
      <c r="CJ504" s="1293"/>
      <c r="CK504" s="1293"/>
      <c r="CL504" s="1293"/>
      <c r="CM504" s="1293"/>
      <c r="CN504" s="1293"/>
      <c r="CO504" s="1293"/>
      <c r="CP504" s="1293"/>
      <c r="CQ504" s="1293"/>
      <c r="CR504" s="1293"/>
      <c r="CS504" s="1293"/>
      <c r="CT504" s="1293"/>
      <c r="CU504" s="1293"/>
      <c r="CV504" s="1293"/>
      <c r="CW504" s="1293"/>
      <c r="CX504" s="1293"/>
      <c r="CY504" s="2162"/>
      <c r="CZ504" s="1698"/>
      <c r="DA504" s="2214"/>
      <c r="DB504" s="2215"/>
      <c r="DC504" s="1293"/>
      <c r="DD504" s="1293"/>
      <c r="DE504" s="1293"/>
      <c r="DF504" s="1293"/>
      <c r="DG504" s="1293"/>
      <c r="DH504" s="1293"/>
      <c r="DI504" s="1293"/>
      <c r="DJ504" s="1293"/>
      <c r="DK504" s="1293"/>
      <c r="DL504" s="1293"/>
    </row>
    <row r="505" spans="1:116" ht="15.75">
      <c r="A505" s="1293"/>
      <c r="B505" s="1653" t="s">
        <v>2705</v>
      </c>
      <c r="C505" s="1707"/>
      <c r="D505" s="1707"/>
      <c r="E505" s="1666">
        <v>1340</v>
      </c>
      <c r="F505" s="1666"/>
      <c r="G505" s="1707"/>
      <c r="H505" s="1707"/>
      <c r="I505" s="1707"/>
      <c r="J505" s="1707"/>
      <c r="K505" s="1707"/>
      <c r="L505" s="1707"/>
      <c r="M505" s="1707"/>
      <c r="N505" s="1707"/>
      <c r="O505" s="1707"/>
      <c r="P505" s="1707"/>
      <c r="Q505" s="1293"/>
      <c r="R505" s="1707"/>
      <c r="S505" s="1707"/>
      <c r="T505" s="1707"/>
      <c r="U505" s="1707"/>
      <c r="V505" s="1293"/>
      <c r="W505" s="1707"/>
      <c r="X505" s="1707"/>
      <c r="Y505" s="1707"/>
      <c r="Z505" s="1707"/>
      <c r="AA505" s="1293"/>
      <c r="AB505" s="1707"/>
      <c r="AC505" s="1707"/>
      <c r="AD505" s="1707"/>
      <c r="AE505" s="1707"/>
      <c r="AF505" s="1707"/>
      <c r="AG505" s="1707"/>
      <c r="AH505" s="1707"/>
      <c r="AI505" s="1707"/>
      <c r="AJ505" s="2186"/>
      <c r="AK505" s="1707"/>
      <c r="AL505" s="1707"/>
      <c r="AM505" s="1707"/>
      <c r="AN505" s="1707"/>
      <c r="AO505" s="2186"/>
      <c r="AP505" s="1707"/>
      <c r="AQ505" s="1707"/>
      <c r="AR505" s="1707"/>
      <c r="AS505" s="1707"/>
      <c r="AT505" s="2186"/>
      <c r="AU505" s="1707"/>
      <c r="AV505" s="1707"/>
      <c r="AW505" s="1707"/>
      <c r="AX505" s="1707"/>
      <c r="AY505" s="2186"/>
      <c r="AZ505" s="1707"/>
      <c r="BA505" s="1707"/>
      <c r="BB505" s="1707"/>
      <c r="BC505" s="1293"/>
      <c r="BD505" s="2186"/>
      <c r="BE505" s="1707"/>
      <c r="BF505" s="1707"/>
      <c r="BG505" s="1707"/>
      <c r="BH505" s="1293"/>
      <c r="BI505" s="2186"/>
      <c r="BJ505" s="1707"/>
      <c r="BK505" s="1707"/>
      <c r="BL505" s="1707"/>
      <c r="BM505" s="1707"/>
      <c r="BN505" s="2186"/>
      <c r="BO505" s="1293"/>
      <c r="BP505" s="1293"/>
      <c r="BQ505" s="1293"/>
      <c r="BR505" s="1293"/>
      <c r="BS505" s="1293"/>
      <c r="BT505" s="1293"/>
      <c r="BU505" s="1293"/>
      <c r="BV505" s="1293"/>
      <c r="BW505" s="1293"/>
      <c r="BX505" s="1293"/>
      <c r="BY505" s="1293"/>
      <c r="BZ505" s="1293"/>
      <c r="CA505" s="1293"/>
      <c r="CB505" s="1293"/>
      <c r="CC505" s="1293"/>
      <c r="CD505" s="1293"/>
      <c r="CE505" s="1293"/>
      <c r="CF505" s="1293"/>
      <c r="CG505" s="1293"/>
      <c r="CH505" s="1293"/>
      <c r="CI505" s="1293"/>
      <c r="CJ505" s="1293"/>
      <c r="CK505" s="1293"/>
      <c r="CL505" s="1293"/>
      <c r="CM505" s="1293"/>
      <c r="CN505" s="1293"/>
      <c r="CO505" s="1293"/>
      <c r="CP505" s="1293"/>
      <c r="CQ505" s="1293"/>
      <c r="CR505" s="1293"/>
      <c r="CS505" s="1293"/>
      <c r="CT505" s="1293"/>
      <c r="CU505" s="1293"/>
      <c r="CV505" s="1293"/>
      <c r="CW505" s="1293"/>
      <c r="CX505" s="1293"/>
      <c r="CY505" s="2032"/>
      <c r="CZ505" s="1293"/>
      <c r="DA505" s="2238"/>
      <c r="DB505" s="2239"/>
      <c r="DC505" s="1293"/>
      <c r="DD505" s="1293"/>
      <c r="DE505" s="1293"/>
      <c r="DF505" s="1293"/>
      <c r="DG505" s="1293"/>
      <c r="DH505" s="1293"/>
      <c r="DI505" s="1293"/>
      <c r="DJ505" s="1293"/>
      <c r="DK505" s="1293"/>
      <c r="DL505" s="1293"/>
    </row>
    <row r="506" spans="1:116" ht="15.75">
      <c r="A506" s="1293"/>
      <c r="B506" s="1653" t="s">
        <v>5748</v>
      </c>
      <c r="C506" s="1707"/>
      <c r="D506" s="1707"/>
      <c r="E506" s="1666"/>
      <c r="F506" s="1666"/>
      <c r="G506" s="1707"/>
      <c r="H506" s="1707"/>
      <c r="I506" s="1707"/>
      <c r="J506" s="1707"/>
      <c r="K506" s="1707"/>
      <c r="L506" s="1707"/>
      <c r="M506" s="1707"/>
      <c r="N506" s="1707"/>
      <c r="O506" s="1707"/>
      <c r="P506" s="1707"/>
      <c r="Q506" s="1293"/>
      <c r="R506" s="1707"/>
      <c r="S506" s="1707"/>
      <c r="T506" s="1707"/>
      <c r="U506" s="1707"/>
      <c r="V506" s="1293"/>
      <c r="W506" s="1707"/>
      <c r="X506" s="1707"/>
      <c r="Y506" s="1707"/>
      <c r="Z506" s="1707"/>
      <c r="AA506" s="1293"/>
      <c r="AB506" s="1666">
        <f>-AB535</f>
        <v>-854</v>
      </c>
      <c r="AC506" s="1707"/>
      <c r="AD506" s="1666">
        <f>-(AD535-AB535)</f>
        <v>-65</v>
      </c>
      <c r="AE506" s="1707"/>
      <c r="AF506" s="1666">
        <f>-(AF535-AD535)</f>
        <v>2</v>
      </c>
      <c r="AG506" s="1707"/>
      <c r="AH506" s="1707"/>
      <c r="AI506" s="1707"/>
      <c r="AJ506" s="2185">
        <f>-Master!V220</f>
        <v>-917</v>
      </c>
      <c r="AK506" s="1666"/>
      <c r="AL506" s="1666"/>
      <c r="AM506" s="1666"/>
      <c r="AN506" s="1666"/>
      <c r="AO506" s="2185">
        <f>Master!W220</f>
        <v>0</v>
      </c>
      <c r="AP506" s="1666"/>
      <c r="AQ506" s="1666"/>
      <c r="AR506" s="1666"/>
      <c r="AS506" s="1666"/>
      <c r="AT506" s="2185">
        <f>Master!X220</f>
        <v>0</v>
      </c>
      <c r="AU506" s="1666"/>
      <c r="AV506" s="1666"/>
      <c r="AW506" s="1666"/>
      <c r="AX506" s="1666"/>
      <c r="AY506" s="2185" t="s">
        <v>1823</v>
      </c>
      <c r="AZ506" s="1666"/>
      <c r="BA506" s="1666"/>
      <c r="BB506" s="1666"/>
      <c r="BC506" s="1327"/>
      <c r="BD506" s="2186"/>
      <c r="BE506" s="1666"/>
      <c r="BF506" s="1666"/>
      <c r="BG506" s="1666"/>
      <c r="BH506" s="1327"/>
      <c r="BI506" s="2186"/>
      <c r="BJ506" s="1666"/>
      <c r="BK506" s="1666"/>
      <c r="BL506" s="1666"/>
      <c r="BM506" s="1666"/>
      <c r="BN506" s="2186"/>
      <c r="BO506" s="1293"/>
      <c r="BP506" s="1293"/>
      <c r="BQ506" s="1293"/>
      <c r="BR506" s="1293"/>
      <c r="BS506" s="1293"/>
      <c r="BT506" s="1293"/>
      <c r="BU506" s="1293"/>
      <c r="BV506" s="1293"/>
      <c r="BW506" s="1293"/>
      <c r="BX506" s="1293"/>
      <c r="BY506" s="1293"/>
      <c r="BZ506" s="1293"/>
      <c r="CA506" s="1293"/>
      <c r="CB506" s="1293"/>
      <c r="CC506" s="1293"/>
      <c r="CD506" s="1293"/>
      <c r="CE506" s="1293"/>
      <c r="CF506" s="1293"/>
      <c r="CG506" s="1293"/>
      <c r="CH506" s="1293"/>
      <c r="CI506" s="1293"/>
      <c r="CJ506" s="1293"/>
      <c r="CK506" s="1293"/>
      <c r="CL506" s="1293"/>
      <c r="CM506" s="1293"/>
      <c r="CN506" s="1293"/>
      <c r="CO506" s="1293"/>
      <c r="CP506" s="1293"/>
      <c r="CQ506" s="1293"/>
      <c r="CR506" s="1293"/>
      <c r="CS506" s="1293"/>
      <c r="CT506" s="1293"/>
      <c r="CU506" s="1293"/>
      <c r="CV506" s="1293"/>
      <c r="CW506" s="1293"/>
      <c r="CX506" s="1293"/>
      <c r="CY506" s="2188"/>
      <c r="CZ506" s="1327"/>
      <c r="DA506" s="2214"/>
      <c r="DB506" s="2215"/>
      <c r="DC506" s="1293"/>
      <c r="DD506" s="1293"/>
      <c r="DE506" s="1293"/>
      <c r="DF506" s="1293"/>
      <c r="DG506" s="1293"/>
      <c r="DH506" s="1293"/>
      <c r="DI506" s="1293"/>
      <c r="DJ506" s="1293"/>
      <c r="DK506" s="1293"/>
      <c r="DL506" s="1293"/>
    </row>
    <row r="507" spans="1:116" ht="15.75">
      <c r="A507" s="1293"/>
      <c r="B507" s="1653" t="s">
        <v>5754</v>
      </c>
      <c r="C507" s="1707"/>
      <c r="D507" s="1707"/>
      <c r="E507" s="1666"/>
      <c r="F507" s="1666"/>
      <c r="G507" s="1707"/>
      <c r="H507" s="1707"/>
      <c r="I507" s="1707"/>
      <c r="J507" s="1707"/>
      <c r="K507" s="1707"/>
      <c r="L507" s="1707"/>
      <c r="M507" s="1707"/>
      <c r="N507" s="1707"/>
      <c r="O507" s="1707"/>
      <c r="P507" s="1707"/>
      <c r="Q507" s="1293"/>
      <c r="R507" s="1707"/>
      <c r="S507" s="1707"/>
      <c r="T507" s="1707"/>
      <c r="U507" s="1707"/>
      <c r="V507" s="1293"/>
      <c r="W507" s="1707"/>
      <c r="X507" s="1707"/>
      <c r="Y507" s="1707"/>
      <c r="Z507" s="1707"/>
      <c r="AA507" s="1293"/>
      <c r="AB507" s="1666">
        <f>-AB514</f>
        <v>-31</v>
      </c>
      <c r="AC507" s="1707"/>
      <c r="AD507" s="1666">
        <f>-AD514</f>
        <v>-32</v>
      </c>
      <c r="AE507" s="1707"/>
      <c r="AF507" s="1666">
        <f>-AF514</f>
        <v>-27</v>
      </c>
      <c r="AG507" s="1707"/>
      <c r="AH507" s="1666">
        <f>-AH514</f>
        <v>-28</v>
      </c>
      <c r="AI507" s="1707"/>
      <c r="AJ507" s="2185">
        <f>-Master!V438</f>
        <v>-118</v>
      </c>
      <c r="AK507" s="1666">
        <f>-AK514</f>
        <v>-28</v>
      </c>
      <c r="AL507" s="1666">
        <f>-AL514</f>
        <v>-28</v>
      </c>
      <c r="AM507" s="1666">
        <f>-AM514</f>
        <v>-28</v>
      </c>
      <c r="AN507" s="1666">
        <f>-AN514</f>
        <v>-28</v>
      </c>
      <c r="AO507" s="2185">
        <f>-Master!W438</f>
        <v>-152</v>
      </c>
      <c r="AP507" s="2216">
        <v>-32</v>
      </c>
      <c r="AQ507" s="2216">
        <v>-32</v>
      </c>
      <c r="AR507" s="2216">
        <v>-32</v>
      </c>
      <c r="AS507" s="2216">
        <v>-32</v>
      </c>
      <c r="AT507" s="2185">
        <f>-Master!X438</f>
        <v>-160</v>
      </c>
      <c r="AU507" s="2216">
        <f>-38-44</f>
        <v>-82</v>
      </c>
      <c r="AV507" s="2216">
        <f>-32-39</f>
        <v>-71</v>
      </c>
      <c r="AW507" s="2216">
        <v>-67</v>
      </c>
      <c r="AX507" s="2216">
        <f>-27.83-37.28</f>
        <v>-65.11</v>
      </c>
      <c r="AY507" s="2244">
        <f>AU507+AV507+AW507+AX507</f>
        <v>-285.11</v>
      </c>
      <c r="AZ507" s="2216">
        <f>-29-40</f>
        <v>-69</v>
      </c>
      <c r="BA507" s="2216">
        <v>-73</v>
      </c>
      <c r="BB507" s="2216">
        <f>-29-45</f>
        <v>-74</v>
      </c>
      <c r="BC507" s="2216">
        <f>-29-48</f>
        <v>-77</v>
      </c>
      <c r="BD507" s="2244">
        <f>AZ507+BA507+BB507+BC507</f>
        <v>-293</v>
      </c>
      <c r="BE507" s="2216">
        <f>-29-42</f>
        <v>-71</v>
      </c>
      <c r="BF507" s="2216">
        <f>-31-59</f>
        <v>-90</v>
      </c>
      <c r="BG507" s="2216">
        <f>-30-53</f>
        <v>-83</v>
      </c>
      <c r="BH507" s="2216">
        <f>-29.4-50.3</f>
        <v>-79.699999999999989</v>
      </c>
      <c r="BI507" s="2185">
        <f>-Master!AA437-Master!AA438</f>
        <v>-324</v>
      </c>
      <c r="BJ507" s="1945">
        <v>-80</v>
      </c>
      <c r="BK507" s="1945">
        <v>-95</v>
      </c>
      <c r="BL507" s="1945">
        <v>-90</v>
      </c>
      <c r="BM507" s="1945">
        <f ca="1">BN507-BJ507-BK507-BL507</f>
        <v>-91.400000000000034</v>
      </c>
      <c r="BN507" s="2185">
        <f ca="1">-Master!AB437-Master!AB438</f>
        <v>-356.40000000000003</v>
      </c>
      <c r="BO507" s="1327"/>
      <c r="BP507" s="1327"/>
      <c r="BQ507" s="1724"/>
      <c r="BR507" s="1293"/>
      <c r="BS507" s="1293"/>
      <c r="BT507" s="1293"/>
      <c r="BU507" s="1293"/>
      <c r="BV507" s="1293"/>
      <c r="BW507" s="1293"/>
      <c r="BX507" s="1293"/>
      <c r="BY507" s="1293"/>
      <c r="BZ507" s="1293"/>
      <c r="CA507" s="1293"/>
      <c r="CB507" s="1293"/>
      <c r="CC507" s="1293"/>
      <c r="CD507" s="1293"/>
      <c r="CE507" s="1293"/>
      <c r="CF507" s="1293"/>
      <c r="CG507" s="1293"/>
      <c r="CH507" s="1293"/>
      <c r="CI507" s="1293"/>
      <c r="CJ507" s="1293"/>
      <c r="CK507" s="1293"/>
      <c r="CL507" s="1293"/>
      <c r="CM507" s="1293"/>
      <c r="CN507" s="1293"/>
      <c r="CO507" s="1293"/>
      <c r="CP507" s="1293"/>
      <c r="CQ507" s="1293"/>
      <c r="CR507" s="1293"/>
      <c r="CS507" s="1293"/>
      <c r="CT507" s="1293"/>
      <c r="CU507" s="1293"/>
      <c r="CV507" s="1293"/>
      <c r="CW507" s="1293"/>
      <c r="CX507" s="1293"/>
      <c r="CY507" s="2215">
        <v>-83.25</v>
      </c>
      <c r="CZ507" s="1949">
        <v>-75</v>
      </c>
      <c r="DA507" s="2217">
        <v>-77</v>
      </c>
      <c r="DB507" s="2218">
        <v>-93</v>
      </c>
      <c r="DC507" s="1293"/>
      <c r="DD507" s="1293"/>
      <c r="DE507" s="1293"/>
      <c r="DF507" s="1293"/>
      <c r="DG507" s="1293"/>
      <c r="DH507" s="1293"/>
      <c r="DI507" s="1293"/>
      <c r="DJ507" s="1293"/>
      <c r="DK507" s="1293"/>
      <c r="DL507" s="1293"/>
    </row>
    <row r="508" spans="1:116" ht="15.75">
      <c r="A508" s="1293"/>
      <c r="B508" s="1653" t="s">
        <v>5745</v>
      </c>
      <c r="C508" s="1707"/>
      <c r="D508" s="1707"/>
      <c r="E508" s="1666"/>
      <c r="F508" s="1666"/>
      <c r="G508" s="1707"/>
      <c r="H508" s="1707"/>
      <c r="I508" s="1707"/>
      <c r="J508" s="1707"/>
      <c r="K508" s="1707"/>
      <c r="L508" s="1707"/>
      <c r="M508" s="1707"/>
      <c r="N508" s="1666">
        <v>137</v>
      </c>
      <c r="O508" s="1666"/>
      <c r="P508" s="1666"/>
      <c r="Q508" s="1293"/>
      <c r="R508" s="1707"/>
      <c r="S508" s="1707"/>
      <c r="T508" s="1707"/>
      <c r="U508" s="1707"/>
      <c r="V508" s="1293"/>
      <c r="W508" s="1707"/>
      <c r="X508" s="1707"/>
      <c r="Y508" s="1707"/>
      <c r="Z508" s="1707"/>
      <c r="AA508" s="1293"/>
      <c r="AB508" s="1707"/>
      <c r="AC508" s="1707"/>
      <c r="AD508" s="1666">
        <f>-430+96</f>
        <v>-334</v>
      </c>
      <c r="AE508" s="1707"/>
      <c r="AF508" s="1666">
        <f>-882-AD508</f>
        <v>-548</v>
      </c>
      <c r="AG508" s="1707"/>
      <c r="AH508" s="1707"/>
      <c r="AI508" s="1707"/>
      <c r="AJ508" s="2185">
        <f>-Master!V219-Master!V221-Master!V222</f>
        <v>-939.15000000000009</v>
      </c>
      <c r="AK508" s="2216">
        <v>-50</v>
      </c>
      <c r="AL508" s="2216">
        <f>-174-AK508</f>
        <v>-124</v>
      </c>
      <c r="AM508" s="2216">
        <v>0</v>
      </c>
      <c r="AN508" s="1949"/>
      <c r="AO508" s="2185">
        <f>-Master!W229</f>
        <v>-136.69999999999999</v>
      </c>
      <c r="AP508" s="1949"/>
      <c r="AQ508" s="2216">
        <v>195</v>
      </c>
      <c r="AR508" s="1949"/>
      <c r="AS508" s="1949"/>
      <c r="AT508" s="2185">
        <f>-Master!X229</f>
        <v>-2005</v>
      </c>
      <c r="AU508" s="2216">
        <f>330+300</f>
        <v>630</v>
      </c>
      <c r="AV508" s="2216">
        <f>100-290</f>
        <v>-190</v>
      </c>
      <c r="AW508" s="2216">
        <v>0</v>
      </c>
      <c r="AX508" s="1949"/>
      <c r="AY508" s="2185"/>
      <c r="AZ508" s="1949"/>
      <c r="BA508" s="1949"/>
      <c r="BB508" s="1949"/>
      <c r="BC508" s="1949"/>
      <c r="BD508" s="2259"/>
      <c r="BE508" s="1949"/>
      <c r="BF508" s="1949"/>
      <c r="BG508" s="1949"/>
      <c r="BH508" s="1949"/>
      <c r="BI508" s="2259"/>
      <c r="BJ508" s="1949"/>
      <c r="BK508" s="1949"/>
      <c r="BL508" s="1949"/>
      <c r="BM508" s="1949"/>
      <c r="BN508" s="2259"/>
      <c r="BO508" s="1724"/>
      <c r="BP508" s="1724"/>
      <c r="BQ508" s="1293"/>
      <c r="BR508" s="1293"/>
      <c r="BS508" s="1293"/>
      <c r="BT508" s="1293"/>
      <c r="BU508" s="1293"/>
      <c r="BV508" s="1293"/>
      <c r="BW508" s="1293"/>
      <c r="BX508" s="1293"/>
      <c r="BY508" s="1293"/>
      <c r="BZ508" s="1293"/>
      <c r="CA508" s="1293"/>
      <c r="CB508" s="1293"/>
      <c r="CC508" s="1293"/>
      <c r="CD508" s="1293"/>
      <c r="CE508" s="1293"/>
      <c r="CF508" s="1293"/>
      <c r="CG508" s="1293"/>
      <c r="CH508" s="1293"/>
      <c r="CI508" s="1293"/>
      <c r="CJ508" s="1293"/>
      <c r="CK508" s="1293"/>
      <c r="CL508" s="1293"/>
      <c r="CM508" s="1293"/>
      <c r="CN508" s="1293"/>
      <c r="CO508" s="1293"/>
      <c r="CP508" s="1293"/>
      <c r="CQ508" s="1293"/>
      <c r="CR508" s="1293"/>
      <c r="CS508" s="1293"/>
      <c r="CT508" s="1293"/>
      <c r="CU508" s="1293"/>
      <c r="CV508" s="1293"/>
      <c r="CW508" s="1293"/>
      <c r="CX508" s="1293"/>
      <c r="CY508" s="2258">
        <v>0</v>
      </c>
      <c r="CZ508" s="1949"/>
      <c r="DA508" s="2257"/>
      <c r="DB508" s="2258"/>
      <c r="DC508" s="1293"/>
      <c r="DD508" s="1293"/>
      <c r="DE508" s="1293"/>
      <c r="DF508" s="1293"/>
      <c r="DG508" s="1293"/>
      <c r="DH508" s="1293"/>
      <c r="DI508" s="1293"/>
      <c r="DJ508" s="1293"/>
      <c r="DK508" s="1293"/>
      <c r="DL508" s="1293"/>
    </row>
    <row r="509" spans="1:116" ht="15.75">
      <c r="A509" s="1293"/>
      <c r="B509" s="1672" t="s">
        <v>4417</v>
      </c>
      <c r="C509" s="2260"/>
      <c r="D509" s="2260"/>
      <c r="E509" s="1701"/>
      <c r="F509" s="1701"/>
      <c r="G509" s="2260"/>
      <c r="H509" s="1701">
        <v>-20</v>
      </c>
      <c r="I509" s="1701">
        <v>-42</v>
      </c>
      <c r="J509" s="1701">
        <v>-23</v>
      </c>
      <c r="K509" s="1701">
        <v>76</v>
      </c>
      <c r="L509" s="1707"/>
      <c r="M509" s="1701">
        <v>18</v>
      </c>
      <c r="N509" s="1701">
        <v>124</v>
      </c>
      <c r="O509" s="1701">
        <v>-20</v>
      </c>
      <c r="P509" s="1701"/>
      <c r="Q509" s="1293"/>
      <c r="R509" s="1701">
        <v>-63</v>
      </c>
      <c r="S509" s="1701">
        <v>-6</v>
      </c>
      <c r="T509" s="1701">
        <v>13</v>
      </c>
      <c r="U509" s="1701">
        <v>64</v>
      </c>
      <c r="V509" s="1293">
        <v>0</v>
      </c>
      <c r="W509" s="2261">
        <v>-57</v>
      </c>
      <c r="X509" s="2261">
        <v>7</v>
      </c>
      <c r="Y509" s="2261">
        <v>103</v>
      </c>
      <c r="Z509" s="2261">
        <v>0</v>
      </c>
      <c r="AA509" s="1718">
        <f>Master!U90+Master!U95-AA501</f>
        <v>593.40000000000009</v>
      </c>
      <c r="AB509" s="1718">
        <v>-2</v>
      </c>
      <c r="AC509" s="2261"/>
      <c r="AD509" s="1718">
        <v>34</v>
      </c>
      <c r="AE509" s="2261"/>
      <c r="AF509" s="1718">
        <v>-24</v>
      </c>
      <c r="AG509" s="2261"/>
      <c r="AH509" s="2261"/>
      <c r="AI509" s="2261"/>
      <c r="AJ509" s="2186">
        <v>0</v>
      </c>
      <c r="AK509" s="2262">
        <v>0</v>
      </c>
      <c r="AL509" s="2262">
        <v>0</v>
      </c>
      <c r="AM509" s="2262">
        <v>0</v>
      </c>
      <c r="AN509" s="2262">
        <v>155</v>
      </c>
      <c r="AO509" s="2186">
        <v>0</v>
      </c>
      <c r="AP509" s="2261"/>
      <c r="AQ509" s="2261"/>
      <c r="AR509" s="2261"/>
      <c r="AS509" s="2261"/>
      <c r="AT509" s="2206">
        <v>0</v>
      </c>
      <c r="AU509" s="2262">
        <v>-76</v>
      </c>
      <c r="AV509" s="2262">
        <f>710+161</f>
        <v>871</v>
      </c>
      <c r="AW509" s="2262">
        <v>-140</v>
      </c>
      <c r="AX509" s="2261"/>
      <c r="AY509" s="2206"/>
      <c r="AZ509" s="2262">
        <v>-95</v>
      </c>
      <c r="BA509" s="2262">
        <v>-77</v>
      </c>
      <c r="BB509" s="2263">
        <v>-24</v>
      </c>
      <c r="BC509" s="2263">
        <v>26</v>
      </c>
      <c r="BD509" s="2186"/>
      <c r="BE509" s="2263">
        <v>-118</v>
      </c>
      <c r="BF509" s="2263">
        <v>0</v>
      </c>
      <c r="BG509" s="2263">
        <v>0</v>
      </c>
      <c r="BH509" s="2263"/>
      <c r="BI509" s="2185">
        <f>Master!AA101+Master!AA106+Master!AA108</f>
        <v>-108.96560979174022</v>
      </c>
      <c r="BJ509" s="2263"/>
      <c r="BK509" s="2228"/>
      <c r="BL509" s="2228"/>
      <c r="BM509" s="2228"/>
      <c r="BN509" s="2185">
        <f>Master!AB101+Master!AB106+Master!AB108</f>
        <v>66.260977299588319</v>
      </c>
      <c r="BO509" s="1293"/>
      <c r="BP509" s="1293"/>
      <c r="BQ509" s="1293"/>
      <c r="BR509" s="1293"/>
      <c r="BS509" s="1293"/>
      <c r="BT509" s="1293"/>
      <c r="BU509" s="1293"/>
      <c r="BV509" s="1293"/>
      <c r="BW509" s="1293"/>
      <c r="BX509" s="1293"/>
      <c r="BY509" s="1293"/>
      <c r="BZ509" s="1293"/>
      <c r="CA509" s="1293"/>
      <c r="CB509" s="1293"/>
      <c r="CC509" s="1293"/>
      <c r="CD509" s="1293"/>
      <c r="CE509" s="1293"/>
      <c r="CF509" s="1293"/>
      <c r="CG509" s="1293"/>
      <c r="CH509" s="1293"/>
      <c r="CI509" s="1293"/>
      <c r="CJ509" s="1293"/>
      <c r="CK509" s="1293"/>
      <c r="CL509" s="1293"/>
      <c r="CM509" s="1293"/>
      <c r="CN509" s="1293"/>
      <c r="CO509" s="1293"/>
      <c r="CP509" s="1293"/>
      <c r="CQ509" s="1293"/>
      <c r="CR509" s="1293"/>
      <c r="CS509" s="1293"/>
      <c r="CT509" s="1293"/>
      <c r="CU509" s="1293"/>
      <c r="CV509" s="1293"/>
      <c r="CW509" s="1293"/>
      <c r="CX509" s="1293"/>
      <c r="CY509" s="2264">
        <v>-26.605164101566857</v>
      </c>
      <c r="CZ509" s="2261">
        <v>-35</v>
      </c>
      <c r="DA509" s="2265">
        <v>0</v>
      </c>
      <c r="DB509" s="2266">
        <v>0</v>
      </c>
      <c r="DC509" s="1293"/>
      <c r="DD509" s="1293"/>
      <c r="DE509" s="1293"/>
      <c r="DF509" s="1293"/>
      <c r="DG509" s="1293"/>
      <c r="DH509" s="1293"/>
      <c r="DI509" s="1293"/>
      <c r="DJ509" s="1293"/>
      <c r="DK509" s="1293"/>
      <c r="DL509" s="1293"/>
    </row>
    <row r="510" spans="1:116" ht="15.75">
      <c r="A510" s="1293"/>
      <c r="B510" s="1684" t="s">
        <v>3597</v>
      </c>
      <c r="C510" s="1685">
        <f>C497-C498-C500+C501-C503-C505+C504</f>
        <v>-404</v>
      </c>
      <c r="D510" s="1685">
        <f>D497-D498-D500+D501-D503-D505+D504</f>
        <v>-445</v>
      </c>
      <c r="E510" s="1685">
        <f>E497-E498-E500+E501-E503-E505+E504</f>
        <v>-1321</v>
      </c>
      <c r="F510" s="1685">
        <f>F497-F498-F500+F501-F503-F505+F504</f>
        <v>-264</v>
      </c>
      <c r="G510" s="2267"/>
      <c r="H510" s="1685">
        <f>H497-H498-H500+H501-H503-H505+H504+H509</f>
        <v>-342</v>
      </c>
      <c r="I510" s="1685">
        <f>I497-I498-I500+I501-I503-I505+I504+I509</f>
        <v>-588</v>
      </c>
      <c r="J510" s="1685">
        <f>J497-J498-J500+J501-J503-J505+J504+J509</f>
        <v>-187</v>
      </c>
      <c r="K510" s="1685">
        <f>K497-K498-K500+K501-K503-K505+K504+K509</f>
        <v>-55</v>
      </c>
      <c r="L510" s="2267"/>
      <c r="M510" s="1685">
        <f>M497-M498-M500+M501-M503-M505+M504+M509+M508</f>
        <v>-91.855083275350012</v>
      </c>
      <c r="N510" s="1685">
        <f>N497-N498-N500+N501-N503-N505+N504+N509+N508</f>
        <v>102.609181729635</v>
      </c>
      <c r="O510" s="1685">
        <f>O497-O498-O500+O501-O503-O505+O504+O509+O508</f>
        <v>110.70535091125601</v>
      </c>
      <c r="P510" s="1685">
        <f>P497-P498-P500+P501-P503-P505+P504+P509+P508</f>
        <v>101</v>
      </c>
      <c r="Q510" s="1334"/>
      <c r="R510" s="1685">
        <f>R497-R498-R500+R501-R503-R505+R504+R509+R508</f>
        <v>-20</v>
      </c>
      <c r="S510" s="1685">
        <f>S497-S498-S500+S501-S503-S505+S504+S509+S508</f>
        <v>-201</v>
      </c>
      <c r="T510" s="1685">
        <f>T497-T498-T500+T501-T503-T505+T504+T509+T508</f>
        <v>76</v>
      </c>
      <c r="U510" s="1685">
        <f>U497-U498-U500+U501-U503-U505+U504+U509+U508</f>
        <v>203</v>
      </c>
      <c r="V510" s="1334"/>
      <c r="W510" s="1685">
        <f>W497-W498-W500+W501-W503-W505+W504+W509+W508</f>
        <v>-19</v>
      </c>
      <c r="X510" s="1685">
        <f>X497-X498-X500+X501-X503-X505+X504+X509+X508</f>
        <v>120</v>
      </c>
      <c r="Y510" s="1685">
        <f>Y497-Y498-Y500+Y501-Y503-Y505+Y504+Y509+Y508</f>
        <v>194</v>
      </c>
      <c r="Z510" s="1685">
        <f>Z497-Z498-Z500+Z501-Z503-Z505+Z504+Z509+Z508</f>
        <v>-1330</v>
      </c>
      <c r="AA510" s="1685">
        <f>AA497-AA498-AA500+AA501-AA503-AA505+AA504+AA509+AA508</f>
        <v>-489.48599999999988</v>
      </c>
      <c r="AB510" s="1685">
        <f>AB497-AB498-AB500+AB501-AB503-AB505+AB504+AB509+AB508+AB507+AB506</f>
        <v>-917</v>
      </c>
      <c r="AC510" s="1685">
        <f>AC497-AC498-AC500+AC501-AC503-AC505+AC504+AC509+AC508+AC507+AC506</f>
        <v>0</v>
      </c>
      <c r="AD510" s="1685">
        <f>AD497-AD498-AD500+AD501-AD503-AD505+AD504+AD509+AD508+AD507+AD506</f>
        <v>-426</v>
      </c>
      <c r="AE510" s="1685">
        <f>AE497-AE498-AE500+AE501-AE503-AE505+AE504+AE509+AE508+AE507+AE506</f>
        <v>0</v>
      </c>
      <c r="AF510" s="1685">
        <f>AF497-AF498-AF500+AF501-AF503-AF505+AF504+AF509+AF508+AF507+AF506</f>
        <v>-544</v>
      </c>
      <c r="AG510" s="1685"/>
      <c r="AH510" s="1685"/>
      <c r="AI510" s="1685"/>
      <c r="AJ510" s="2268">
        <f t="shared" ref="AJ510:AO510" si="530">AJ497-AJ498-AJ500+AJ501-AJ503-AJ505+AJ504+AJ509+AJ508+AJ507+AJ506</f>
        <v>-869.88599999999997</v>
      </c>
      <c r="AK510" s="1685">
        <f t="shared" si="530"/>
        <v>-110</v>
      </c>
      <c r="AL510" s="1685">
        <f t="shared" si="530"/>
        <v>49</v>
      </c>
      <c r="AM510" s="1685">
        <f t="shared" si="530"/>
        <v>100</v>
      </c>
      <c r="AN510" s="1685">
        <f t="shared" si="530"/>
        <v>364</v>
      </c>
      <c r="AO510" s="2268">
        <f t="shared" si="530"/>
        <v>594.29999999999995</v>
      </c>
      <c r="AP510" s="1685">
        <f>AP539-AN539</f>
        <v>-9</v>
      </c>
      <c r="AQ510" s="1685">
        <f>AQ539-AO539</f>
        <v>-284</v>
      </c>
      <c r="AR510" s="1685">
        <f>AR539-AP539</f>
        <v>-386</v>
      </c>
      <c r="AS510" s="1685">
        <f>AS539-AQ539</f>
        <v>1935</v>
      </c>
      <c r="AT510" s="2225">
        <f>AT497-AT498-AT500+AT501-AT503-AT505+AT504+AT509+AT508+AT507+AT506</f>
        <v>-1417</v>
      </c>
      <c r="AU510" s="1685">
        <f>AU497-AU498-AU500-AU503-AU505+AU504+AU509+AU508+AU506</f>
        <v>485.90809999999999</v>
      </c>
      <c r="AV510" s="1685">
        <f>AV497-AV498-AV500-AV503-AV505+AV504+AV509+AV508+AV506</f>
        <v>677.02850000000001</v>
      </c>
      <c r="AW510" s="1685">
        <f>AW497-AW498-AW500-AW503-AW505+AW504+AW509+AW508+AW506</f>
        <v>-111.8623</v>
      </c>
      <c r="AX510" s="1685">
        <f>AX497-AX498-AX500-AX503-AX505+AX504+AX509+AX508+AX506</f>
        <v>205.99069999999995</v>
      </c>
      <c r="AY510" s="2225"/>
      <c r="AZ510" s="1685">
        <f>AZ497-AZ498-AZ500-AZ503-AZ505+AZ504+AZ509+AZ508+AZ506</f>
        <v>-227.76009999999999</v>
      </c>
      <c r="BA510" s="1685">
        <f>BA497-BA498-BA500-BA503-BA505+BA504+BA509+BA508+BA506</f>
        <v>-101.62880000000003</v>
      </c>
      <c r="BB510" s="1685">
        <f>BB497-BB498-BB500-BB503-BB505+BB504+BB509+BB508+BB506</f>
        <v>74.774699999999967</v>
      </c>
      <c r="BC510" s="1685">
        <f>BC497-BC498-BC500-BC503-BC505+BC504+BC509+BC508+BC506</f>
        <v>48.276700000000048</v>
      </c>
      <c r="BD510" s="2186"/>
      <c r="BE510" s="1685">
        <f>BE497-BE498-BE500-BE503-BE505+BE504+BE509+BE508+BE506</f>
        <v>-115.28969999999998</v>
      </c>
      <c r="BF510" s="1685">
        <f>BF497-BF498-BF500-BF503-BF505+BF504+BF509+BF508+BF506</f>
        <v>267.70370000000003</v>
      </c>
      <c r="BG510" s="1685">
        <f>BG497-BG498-BG500-BG503-BG505+BG504+BG509+BG508+BG506</f>
        <v>271.03099999999995</v>
      </c>
      <c r="BH510" s="1685">
        <f t="shared" ref="BH510" si="531">BH497-BH498-BH500-BH503-BH505+BH504+BH509+BH508+BH506</f>
        <v>235.91209999999992</v>
      </c>
      <c r="BI510" s="2191"/>
      <c r="BJ510" s="1685"/>
      <c r="BK510" s="1685"/>
      <c r="BL510" s="1685"/>
      <c r="BM510" s="1685"/>
      <c r="BN510" s="2191"/>
      <c r="BO510" s="1327"/>
      <c r="BP510" s="1293"/>
      <c r="BQ510" s="1293"/>
      <c r="BR510" s="1293"/>
      <c r="BS510" s="1293"/>
      <c r="BT510" s="1293"/>
      <c r="BU510" s="1293"/>
      <c r="BV510" s="1293"/>
      <c r="BW510" s="1293"/>
      <c r="BX510" s="1293"/>
      <c r="BY510" s="1293"/>
      <c r="BZ510" s="1293"/>
      <c r="CA510" s="1293"/>
      <c r="CB510" s="1293"/>
      <c r="CC510" s="1293"/>
      <c r="CD510" s="1293"/>
      <c r="CE510" s="1293"/>
      <c r="CF510" s="1293"/>
      <c r="CG510" s="1293"/>
      <c r="CH510" s="1293"/>
      <c r="CI510" s="1293"/>
      <c r="CJ510" s="1293"/>
      <c r="CK510" s="1293"/>
      <c r="CL510" s="1293"/>
      <c r="CM510" s="1293"/>
      <c r="CN510" s="1293"/>
      <c r="CO510" s="1293"/>
      <c r="CP510" s="1293"/>
      <c r="CQ510" s="1293"/>
      <c r="CR510" s="1293"/>
      <c r="CS510" s="1293"/>
      <c r="CT510" s="1293"/>
      <c r="CU510" s="1293"/>
      <c r="CV510" s="1293"/>
      <c r="CW510" s="1293"/>
      <c r="CX510" s="1293"/>
      <c r="CY510" s="2226">
        <v>120.95619595086993</v>
      </c>
      <c r="CZ510" s="1685">
        <f>CZ497-CZ498-CZ500-CZ503-CZ505+CZ504+CZ509+CZ508+CZ506</f>
        <v>67.240029226577008</v>
      </c>
      <c r="DA510" s="2227">
        <v>126.32725153544345</v>
      </c>
      <c r="DB510" s="2226">
        <v>201.44576315960626</v>
      </c>
      <c r="DC510" s="1293"/>
      <c r="DD510" s="1293"/>
      <c r="DE510" s="1293"/>
      <c r="DF510" s="1293"/>
      <c r="DG510" s="1293"/>
      <c r="DH510" s="1293"/>
      <c r="DI510" s="1293"/>
      <c r="DJ510" s="1293"/>
      <c r="DK510" s="1293"/>
      <c r="DL510" s="1293"/>
    </row>
    <row r="511" spans="1:116" ht="15.75">
      <c r="A511" s="1293"/>
      <c r="B511" s="1653"/>
      <c r="C511" s="1707"/>
      <c r="D511" s="1707"/>
      <c r="E511" s="1707"/>
      <c r="F511" s="1707"/>
      <c r="G511" s="1707"/>
      <c r="H511" s="1707"/>
      <c r="I511" s="1707"/>
      <c r="J511" s="1707"/>
      <c r="K511" s="1707"/>
      <c r="L511" s="1707"/>
      <c r="M511" s="1707"/>
      <c r="N511" s="1707"/>
      <c r="O511" s="1707"/>
      <c r="P511" s="1707"/>
      <c r="Q511" s="1293"/>
      <c r="R511" s="1707"/>
      <c r="S511" s="1707"/>
      <c r="T511" s="1707"/>
      <c r="U511" s="1707"/>
      <c r="V511" s="1293"/>
      <c r="W511" s="1707"/>
      <c r="X511" s="1707"/>
      <c r="Y511" s="1707"/>
      <c r="Z511" s="1707"/>
      <c r="AA511" s="1293"/>
      <c r="AB511" s="1707"/>
      <c r="AC511" s="1707"/>
      <c r="AD511" s="1707"/>
      <c r="AE511" s="1707"/>
      <c r="AF511" s="1707"/>
      <c r="AG511" s="1707"/>
      <c r="AH511" s="1707"/>
      <c r="AI511" s="1707"/>
      <c r="AJ511" s="2186"/>
      <c r="AK511" s="1707"/>
      <c r="AL511" s="1707"/>
      <c r="AM511" s="1707"/>
      <c r="AN511" s="1707"/>
      <c r="AO511" s="2186"/>
      <c r="AP511" s="1707"/>
      <c r="AQ511" s="1707"/>
      <c r="AR511" s="1707"/>
      <c r="AS511" s="1707"/>
      <c r="AT511" s="2186"/>
      <c r="AU511" s="1666">
        <f>-(AU539-AT539)</f>
        <v>486</v>
      </c>
      <c r="AV511" s="1666">
        <f>AV539-AU539</f>
        <v>-677</v>
      </c>
      <c r="AW511" s="1666">
        <f>AW539-AV539</f>
        <v>-112</v>
      </c>
      <c r="AX511" s="1666">
        <f>AX539-AW539</f>
        <v>-225.5600000000004</v>
      </c>
      <c r="AY511" s="2186"/>
      <c r="AZ511" s="1666">
        <f>AZ539-AY539</f>
        <v>194</v>
      </c>
      <c r="BA511" s="1666">
        <f>BA539-AZ539</f>
        <v>101</v>
      </c>
      <c r="BB511" s="1666">
        <f>BB539-BA539</f>
        <v>-76</v>
      </c>
      <c r="BC511" s="1666">
        <f>BC539-BB539</f>
        <v>-35.355999999999767</v>
      </c>
      <c r="BD511" s="2186"/>
      <c r="BE511" s="1666">
        <f>BE539-BC539</f>
        <v>115.35599999999977</v>
      </c>
      <c r="BF511" s="1666">
        <f>BF539-BD539</f>
        <v>-271</v>
      </c>
      <c r="BG511" s="1666">
        <f>BG539-BE539</f>
        <v>-629</v>
      </c>
      <c r="BH511" s="1666">
        <f>BH539-BF539</f>
        <v>-599</v>
      </c>
      <c r="BI511" s="2186"/>
      <c r="BJ511" s="1666"/>
      <c r="BK511" s="1666"/>
      <c r="BL511" s="1666"/>
      <c r="BM511" s="1666"/>
      <c r="BN511" s="2186"/>
      <c r="BO511" s="1293"/>
      <c r="BP511" s="1293"/>
      <c r="BQ511" s="1293"/>
      <c r="BR511" s="1293"/>
      <c r="BS511" s="1293"/>
      <c r="BT511" s="1293"/>
      <c r="BU511" s="1293"/>
      <c r="BV511" s="1293"/>
      <c r="BW511" s="1293"/>
      <c r="BX511" s="1293"/>
      <c r="BY511" s="1293"/>
      <c r="BZ511" s="1293"/>
      <c r="CA511" s="1293"/>
      <c r="CB511" s="1293"/>
      <c r="CC511" s="1293"/>
      <c r="CD511" s="1293"/>
      <c r="CE511" s="1293"/>
      <c r="CF511" s="1293"/>
      <c r="CG511" s="1293"/>
      <c r="CH511" s="1293"/>
      <c r="CI511" s="1293"/>
      <c r="CJ511" s="1293"/>
      <c r="CK511" s="1293"/>
      <c r="CL511" s="1293"/>
      <c r="CM511" s="1293"/>
      <c r="CN511" s="1293"/>
      <c r="CO511" s="1293"/>
      <c r="CP511" s="1293"/>
      <c r="CQ511" s="1293"/>
      <c r="CR511" s="1293"/>
      <c r="CS511" s="1293"/>
      <c r="CT511" s="1293"/>
      <c r="CU511" s="1293"/>
      <c r="CV511" s="1293"/>
      <c r="CW511" s="1293"/>
      <c r="CX511" s="1293"/>
      <c r="CY511" s="2215">
        <v>-183.21235615574824</v>
      </c>
      <c r="CZ511" s="1666">
        <f>CZ539-BB539</f>
        <v>8.7599707734225376</v>
      </c>
      <c r="DA511" s="2214"/>
      <c r="DB511" s="2215"/>
      <c r="DC511" s="1293"/>
      <c r="DD511" s="1293"/>
      <c r="DE511" s="1293"/>
      <c r="DF511" s="1293"/>
      <c r="DG511" s="1293"/>
      <c r="DH511" s="1293"/>
      <c r="DI511" s="1293"/>
      <c r="DJ511" s="1293"/>
      <c r="DK511" s="1293"/>
      <c r="DL511" s="1293"/>
    </row>
    <row r="512" spans="1:116" ht="15.75">
      <c r="A512" s="1293"/>
      <c r="B512" s="1653" t="s">
        <v>6606</v>
      </c>
      <c r="C512" s="1707"/>
      <c r="D512" s="1707"/>
      <c r="E512" s="1707"/>
      <c r="F512" s="1707"/>
      <c r="G512" s="1707"/>
      <c r="H512" s="1707"/>
      <c r="I512" s="1707"/>
      <c r="J512" s="1707"/>
      <c r="K512" s="1707"/>
      <c r="L512" s="1707"/>
      <c r="M512" s="1707"/>
      <c r="N512" s="1707"/>
      <c r="O512" s="1707"/>
      <c r="P512" s="1707"/>
      <c r="Q512" s="1293"/>
      <c r="R512" s="1707"/>
      <c r="S512" s="1707"/>
      <c r="T512" s="1707"/>
      <c r="U512" s="1707"/>
      <c r="V512" s="1293"/>
      <c r="W512" s="1707"/>
      <c r="X512" s="1707"/>
      <c r="Y512" s="1707"/>
      <c r="Z512" s="1707"/>
      <c r="AA512" s="1293"/>
      <c r="AB512" s="1293"/>
      <c r="AC512" s="1293"/>
      <c r="AD512" s="1293"/>
      <c r="AE512" s="1707"/>
      <c r="AF512" s="1707"/>
      <c r="AG512" s="1707"/>
      <c r="AH512" s="1707"/>
      <c r="AI512" s="1707"/>
      <c r="AJ512" s="2186"/>
      <c r="AK512" s="1707"/>
      <c r="AL512" s="1707"/>
      <c r="AM512" s="1707"/>
      <c r="AN512" s="1707"/>
      <c r="AO512" s="2186"/>
      <c r="AP512" s="1707"/>
      <c r="AQ512" s="1707"/>
      <c r="AR512" s="1707"/>
      <c r="AS512" s="1707"/>
      <c r="AT512" s="2186"/>
      <c r="AU512" s="1666"/>
      <c r="AV512" s="1666"/>
      <c r="AW512" s="1666"/>
      <c r="AX512" s="1666"/>
      <c r="AY512" s="2186"/>
      <c r="AZ512" s="1666"/>
      <c r="BA512" s="1666"/>
      <c r="BB512" s="1666"/>
      <c r="BC512" s="1293"/>
      <c r="BD512" s="2186"/>
      <c r="BE512" s="1666"/>
      <c r="BF512" s="1666"/>
      <c r="BG512" s="1666"/>
      <c r="BH512" s="1293"/>
      <c r="BI512" s="2186"/>
      <c r="BJ512" s="1666"/>
      <c r="BK512" s="1666"/>
      <c r="BL512" s="1666"/>
      <c r="BM512" s="1666"/>
      <c r="BN512" s="2186"/>
      <c r="BO512" s="1293"/>
      <c r="BP512" s="1293"/>
      <c r="BQ512" s="1293"/>
      <c r="BR512" s="1293"/>
      <c r="BS512" s="1293"/>
      <c r="BT512" s="1293"/>
      <c r="BU512" s="1293"/>
      <c r="BV512" s="1293"/>
      <c r="BW512" s="1293"/>
      <c r="BX512" s="1293"/>
      <c r="BY512" s="1293"/>
      <c r="BZ512" s="1293"/>
      <c r="CA512" s="1293"/>
      <c r="CB512" s="1293"/>
      <c r="CC512" s="1293"/>
      <c r="CD512" s="1293"/>
      <c r="CE512" s="1293"/>
      <c r="CF512" s="1293"/>
      <c r="CG512" s="1293"/>
      <c r="CH512" s="1293"/>
      <c r="CI512" s="1293"/>
      <c r="CJ512" s="1293"/>
      <c r="CK512" s="1293"/>
      <c r="CL512" s="1293"/>
      <c r="CM512" s="1293"/>
      <c r="CN512" s="1293"/>
      <c r="CO512" s="1293"/>
      <c r="CP512" s="1293"/>
      <c r="CQ512" s="1293"/>
      <c r="CR512" s="1293"/>
      <c r="CS512" s="1293"/>
      <c r="CT512" s="1293"/>
      <c r="CU512" s="1293"/>
      <c r="CV512" s="1293"/>
      <c r="CW512" s="1293"/>
      <c r="CX512" s="1293"/>
      <c r="CY512" s="2032"/>
      <c r="CZ512" s="1293"/>
      <c r="DA512" s="2214"/>
      <c r="DB512" s="2215"/>
      <c r="DC512" s="1293"/>
      <c r="DD512" s="1293"/>
      <c r="DE512" s="1293"/>
      <c r="DF512" s="1293"/>
      <c r="DG512" s="1293"/>
      <c r="DH512" s="1293"/>
      <c r="DI512" s="1293"/>
      <c r="DJ512" s="1293"/>
      <c r="DK512" s="1293"/>
      <c r="DL512" s="1293"/>
    </row>
    <row r="513" spans="1:116" ht="15.75">
      <c r="A513" s="1293"/>
      <c r="B513" s="1931" t="s">
        <v>5747</v>
      </c>
      <c r="C513" s="1707"/>
      <c r="D513" s="1707"/>
      <c r="E513" s="1707"/>
      <c r="F513" s="1707"/>
      <c r="G513" s="1707"/>
      <c r="H513" s="1707"/>
      <c r="I513" s="1707"/>
      <c r="J513" s="1707"/>
      <c r="K513" s="1707"/>
      <c r="L513" s="1707"/>
      <c r="M513" s="1707"/>
      <c r="N513" s="1707"/>
      <c r="O513" s="1707"/>
      <c r="P513" s="1707"/>
      <c r="Q513" s="1293"/>
      <c r="R513" s="1707"/>
      <c r="S513" s="1707"/>
      <c r="T513" s="1707"/>
      <c r="U513" s="1707"/>
      <c r="V513" s="1293"/>
      <c r="W513" s="1707"/>
      <c r="X513" s="1707"/>
      <c r="Y513" s="1707"/>
      <c r="Z513" s="1707"/>
      <c r="AA513" s="1293"/>
      <c r="AB513" s="1666">
        <v>16</v>
      </c>
      <c r="AC513" s="1707"/>
      <c r="AD513" s="1666">
        <v>20</v>
      </c>
      <c r="AE513" s="1707"/>
      <c r="AF513" s="1666">
        <v>23</v>
      </c>
      <c r="AG513" s="1707"/>
      <c r="AH513" s="1666">
        <v>28</v>
      </c>
      <c r="AI513" s="1707"/>
      <c r="AJ513" s="2185">
        <f>Master!V437</f>
        <v>91</v>
      </c>
      <c r="AK513" s="1666">
        <f>AH513</f>
        <v>28</v>
      </c>
      <c r="AL513" s="1666">
        <f t="shared" ref="AL513:AN514" si="532">AK513</f>
        <v>28</v>
      </c>
      <c r="AM513" s="1666">
        <f t="shared" si="532"/>
        <v>28</v>
      </c>
      <c r="AN513" s="1666">
        <f t="shared" si="532"/>
        <v>28</v>
      </c>
      <c r="AO513" s="2185">
        <f>Master!W437</f>
        <v>56.3876953125</v>
      </c>
      <c r="AP513" s="1666"/>
      <c r="AQ513" s="1666"/>
      <c r="AR513" s="1666"/>
      <c r="AS513" s="1666"/>
      <c r="AT513" s="2185">
        <f>Master!X437</f>
        <v>117</v>
      </c>
      <c r="AU513" s="1666"/>
      <c r="AV513" s="1666"/>
      <c r="AW513" s="1666"/>
      <c r="AX513" s="1666"/>
      <c r="AY513" s="2185"/>
      <c r="AZ513" s="1666"/>
      <c r="BA513" s="1666"/>
      <c r="BB513" s="1666"/>
      <c r="BC513" s="1327"/>
      <c r="BD513" s="2186"/>
      <c r="BE513" s="1666"/>
      <c r="BF513" s="1666"/>
      <c r="BG513" s="1666"/>
      <c r="BH513" s="1327"/>
      <c r="BI513" s="2186"/>
      <c r="BJ513" s="1666"/>
      <c r="BK513" s="1666"/>
      <c r="BL513" s="1666"/>
      <c r="BM513" s="1666"/>
      <c r="BN513" s="2186"/>
      <c r="BO513" s="1293"/>
      <c r="BP513" s="1293"/>
      <c r="BQ513" s="1293"/>
      <c r="BR513" s="1293"/>
      <c r="BS513" s="1293"/>
      <c r="BT513" s="1293"/>
      <c r="BU513" s="1293"/>
      <c r="BV513" s="1293"/>
      <c r="BW513" s="1293"/>
      <c r="BX513" s="1293"/>
      <c r="BY513" s="1293"/>
      <c r="BZ513" s="1293"/>
      <c r="CA513" s="1293"/>
      <c r="CB513" s="1293"/>
      <c r="CC513" s="1293"/>
      <c r="CD513" s="1293"/>
      <c r="CE513" s="1293"/>
      <c r="CF513" s="1293"/>
      <c r="CG513" s="1293"/>
      <c r="CH513" s="1293"/>
      <c r="CI513" s="1293"/>
      <c r="CJ513" s="1293"/>
      <c r="CK513" s="1293"/>
      <c r="CL513" s="1293"/>
      <c r="CM513" s="1293"/>
      <c r="CN513" s="1293"/>
      <c r="CO513" s="1293"/>
      <c r="CP513" s="1293"/>
      <c r="CQ513" s="1293"/>
      <c r="CR513" s="1293"/>
      <c r="CS513" s="1293"/>
      <c r="CT513" s="1293"/>
      <c r="CU513" s="1293"/>
      <c r="CV513" s="1293"/>
      <c r="CW513" s="1293"/>
      <c r="CX513" s="1293"/>
      <c r="CY513" s="2188"/>
      <c r="CZ513" s="1327"/>
      <c r="DA513" s="2214"/>
      <c r="DB513" s="2215"/>
      <c r="DC513" s="1293"/>
      <c r="DD513" s="1293"/>
      <c r="DE513" s="1293"/>
      <c r="DF513" s="1293"/>
      <c r="DG513" s="1293"/>
      <c r="DH513" s="1293"/>
      <c r="DI513" s="1293"/>
      <c r="DJ513" s="1293"/>
      <c r="DK513" s="1293"/>
      <c r="DL513" s="1293"/>
    </row>
    <row r="514" spans="1:116" ht="15.75">
      <c r="A514" s="1293"/>
      <c r="B514" s="1870" t="s">
        <v>6607</v>
      </c>
      <c r="C514" s="2260"/>
      <c r="D514" s="2260"/>
      <c r="E514" s="2260"/>
      <c r="F514" s="2260"/>
      <c r="G514" s="2260"/>
      <c r="H514" s="2260"/>
      <c r="I514" s="2260"/>
      <c r="J514" s="2260"/>
      <c r="K514" s="2260"/>
      <c r="L514" s="2260"/>
      <c r="M514" s="2260"/>
      <c r="N514" s="2260"/>
      <c r="O514" s="2260"/>
      <c r="P514" s="2260"/>
      <c r="Q514" s="1331"/>
      <c r="R514" s="2260"/>
      <c r="S514" s="2260"/>
      <c r="T514" s="2260"/>
      <c r="U514" s="2260"/>
      <c r="V514" s="1331"/>
      <c r="W514" s="2260"/>
      <c r="X514" s="2260"/>
      <c r="Y514" s="2260"/>
      <c r="Z514" s="2260"/>
      <c r="AA514" s="1331"/>
      <c r="AB514" s="1701">
        <v>31</v>
      </c>
      <c r="AC514" s="2260"/>
      <c r="AD514" s="1701">
        <v>32</v>
      </c>
      <c r="AE514" s="2260"/>
      <c r="AF514" s="1701">
        <v>27</v>
      </c>
      <c r="AG514" s="2260"/>
      <c r="AH514" s="1701">
        <v>28</v>
      </c>
      <c r="AI514" s="2260"/>
      <c r="AJ514" s="2185">
        <f>Master!V438</f>
        <v>118</v>
      </c>
      <c r="AK514" s="1701">
        <f>AH514</f>
        <v>28</v>
      </c>
      <c r="AL514" s="1701">
        <f t="shared" si="532"/>
        <v>28</v>
      </c>
      <c r="AM514" s="1701">
        <f t="shared" si="532"/>
        <v>28</v>
      </c>
      <c r="AN514" s="1701">
        <f t="shared" si="532"/>
        <v>28</v>
      </c>
      <c r="AO514" s="2185">
        <f>Master!W438</f>
        <v>152</v>
      </c>
      <c r="AP514" s="1701"/>
      <c r="AQ514" s="1701"/>
      <c r="AR514" s="1701"/>
      <c r="AS514" s="1701"/>
      <c r="AT514" s="2269">
        <f>Master!X438</f>
        <v>160</v>
      </c>
      <c r="AU514" s="1701"/>
      <c r="AV514" s="1701"/>
      <c r="AW514" s="1701"/>
      <c r="AX514" s="1701"/>
      <c r="AY514" s="2270"/>
      <c r="AZ514" s="1701"/>
      <c r="BA514" s="1701"/>
      <c r="BB514" s="1701"/>
      <c r="BC514" s="1701"/>
      <c r="BD514" s="2186"/>
      <c r="BE514" s="1701"/>
      <c r="BF514" s="1701"/>
      <c r="BG514" s="1701"/>
      <c r="BH514" s="1701"/>
      <c r="BI514" s="2186"/>
      <c r="BJ514" s="1701"/>
      <c r="BK514" s="1666"/>
      <c r="BL514" s="1666"/>
      <c r="BM514" s="1666"/>
      <c r="BN514" s="2186"/>
      <c r="BO514" s="1293"/>
      <c r="BP514" s="1293"/>
      <c r="BQ514" s="1293"/>
      <c r="BR514" s="1293"/>
      <c r="BS514" s="1293"/>
      <c r="BT514" s="1293"/>
      <c r="BU514" s="1293"/>
      <c r="BV514" s="1293"/>
      <c r="BW514" s="1293"/>
      <c r="BX514" s="1293"/>
      <c r="BY514" s="1293"/>
      <c r="BZ514" s="1293"/>
      <c r="CA514" s="1293"/>
      <c r="CB514" s="1293"/>
      <c r="CC514" s="1293"/>
      <c r="CD514" s="1293"/>
      <c r="CE514" s="1293"/>
      <c r="CF514" s="1293"/>
      <c r="CG514" s="1293"/>
      <c r="CH514" s="1293"/>
      <c r="CI514" s="1293"/>
      <c r="CJ514" s="1293"/>
      <c r="CK514" s="1293"/>
      <c r="CL514" s="1293"/>
      <c r="CM514" s="1293"/>
      <c r="CN514" s="1293"/>
      <c r="CO514" s="1293"/>
      <c r="CP514" s="1293"/>
      <c r="CQ514" s="1293"/>
      <c r="CR514" s="1293"/>
      <c r="CS514" s="1293"/>
      <c r="CT514" s="1293"/>
      <c r="CU514" s="1293"/>
      <c r="CV514" s="1293"/>
      <c r="CW514" s="1293"/>
      <c r="CX514" s="1293"/>
      <c r="CY514" s="2264"/>
      <c r="CZ514" s="1701"/>
      <c r="DA514" s="2271"/>
      <c r="DB514" s="2272"/>
      <c r="DC514" s="1293"/>
      <c r="DD514" s="1293"/>
      <c r="DE514" s="1293"/>
      <c r="DF514" s="1293"/>
      <c r="DG514" s="1293"/>
      <c r="DH514" s="1293"/>
      <c r="DI514" s="1293"/>
      <c r="DJ514" s="1293"/>
      <c r="DK514" s="1293"/>
      <c r="DL514" s="1293"/>
    </row>
    <row r="515" spans="1:116" ht="15.75">
      <c r="A515" s="1293"/>
      <c r="B515" s="1931" t="s">
        <v>2324</v>
      </c>
      <c r="C515" s="1707"/>
      <c r="D515" s="1707"/>
      <c r="E515" s="1707"/>
      <c r="F515" s="1707"/>
      <c r="G515" s="1707"/>
      <c r="H515" s="1707"/>
      <c r="I515" s="1707"/>
      <c r="J515" s="1707"/>
      <c r="K515" s="1707"/>
      <c r="L515" s="1707"/>
      <c r="M515" s="1707"/>
      <c r="N515" s="1707"/>
      <c r="O515" s="1707"/>
      <c r="P515" s="1707"/>
      <c r="Q515" s="1293"/>
      <c r="R515" s="1707"/>
      <c r="S515" s="1707"/>
      <c r="T515" s="1707"/>
      <c r="U515" s="1707"/>
      <c r="V515" s="1293"/>
      <c r="W515" s="1707"/>
      <c r="X515" s="1707"/>
      <c r="Y515" s="1707"/>
      <c r="Z515" s="1707"/>
      <c r="AA515" s="1293"/>
      <c r="AB515" s="1666">
        <f>AB513+AB514</f>
        <v>47</v>
      </c>
      <c r="AC515" s="1707"/>
      <c r="AD515" s="1666">
        <f>AD513+AD514</f>
        <v>52</v>
      </c>
      <c r="AE515" s="1707"/>
      <c r="AF515" s="1666">
        <f>AF513+AF514</f>
        <v>50</v>
      </c>
      <c r="AG515" s="1707"/>
      <c r="AH515" s="1666">
        <f>AH513+AH514</f>
        <v>56</v>
      </c>
      <c r="AI515" s="1707"/>
      <c r="AJ515" s="2186"/>
      <c r="AK515" s="1666">
        <f>AK513+AK514</f>
        <v>56</v>
      </c>
      <c r="AL515" s="1666">
        <f>AL513+AL514</f>
        <v>56</v>
      </c>
      <c r="AM515" s="1666">
        <f>AM513+AM514</f>
        <v>56</v>
      </c>
      <c r="AN515" s="1666">
        <f>AN513+AN514</f>
        <v>56</v>
      </c>
      <c r="AO515" s="2273"/>
      <c r="AP515" s="1666"/>
      <c r="AQ515" s="1666"/>
      <c r="AR515" s="1666"/>
      <c r="AS515" s="1666"/>
      <c r="AT515" s="2186"/>
      <c r="AU515" s="1666"/>
      <c r="AV515" s="1666"/>
      <c r="AW515" s="1666"/>
      <c r="AX515" s="1666"/>
      <c r="AY515" s="2186"/>
      <c r="AZ515" s="1666"/>
      <c r="BA515" s="1666"/>
      <c r="BB515" s="1666"/>
      <c r="BC515" s="1666"/>
      <c r="BD515" s="2186"/>
      <c r="BE515" s="1666"/>
      <c r="BF515" s="1666"/>
      <c r="BG515" s="1666"/>
      <c r="BH515" s="1666"/>
      <c r="BI515" s="2186"/>
      <c r="BJ515" s="1666"/>
      <c r="BK515" s="1666"/>
      <c r="BL515" s="1666"/>
      <c r="BM515" s="1666"/>
      <c r="BN515" s="2186"/>
      <c r="BO515" s="1293"/>
      <c r="BP515" s="1293"/>
      <c r="BQ515" s="1293"/>
      <c r="BR515" s="1293"/>
      <c r="BS515" s="1293"/>
      <c r="BT515" s="1293"/>
      <c r="BU515" s="1293"/>
      <c r="BV515" s="1293"/>
      <c r="BW515" s="1293"/>
      <c r="BX515" s="1293"/>
      <c r="BY515" s="1293"/>
      <c r="BZ515" s="1293"/>
      <c r="CA515" s="1293"/>
      <c r="CB515" s="1293"/>
      <c r="CC515" s="1293"/>
      <c r="CD515" s="1293"/>
      <c r="CE515" s="1293"/>
      <c r="CF515" s="1293"/>
      <c r="CG515" s="1293"/>
      <c r="CH515" s="1293"/>
      <c r="CI515" s="1293"/>
      <c r="CJ515" s="1293"/>
      <c r="CK515" s="1293"/>
      <c r="CL515" s="1293"/>
      <c r="CM515" s="1293"/>
      <c r="CN515" s="1293"/>
      <c r="CO515" s="1293"/>
      <c r="CP515" s="1293"/>
      <c r="CQ515" s="1293"/>
      <c r="CR515" s="1293"/>
      <c r="CS515" s="1293"/>
      <c r="CT515" s="1293"/>
      <c r="CU515" s="1293"/>
      <c r="CV515" s="1293"/>
      <c r="CW515" s="1293"/>
      <c r="CX515" s="1293"/>
      <c r="CY515" s="2215"/>
      <c r="CZ515" s="1666"/>
      <c r="DA515" s="2214"/>
      <c r="DB515" s="2215"/>
      <c r="DC515" s="1293"/>
      <c r="DD515" s="1293"/>
      <c r="DE515" s="1293"/>
      <c r="DF515" s="1293"/>
      <c r="DG515" s="1293"/>
      <c r="DH515" s="1293"/>
      <c r="DI515" s="1293"/>
      <c r="DJ515" s="1293"/>
      <c r="DK515" s="1293"/>
      <c r="DL515" s="1293"/>
    </row>
    <row r="516" spans="1:116" ht="15.75">
      <c r="A516" s="1293"/>
      <c r="B516" s="1653"/>
      <c r="C516" s="1707"/>
      <c r="D516" s="1707"/>
      <c r="E516" s="1707"/>
      <c r="F516" s="1707"/>
      <c r="G516" s="1707"/>
      <c r="H516" s="1707"/>
      <c r="I516" s="1707"/>
      <c r="J516" s="1707"/>
      <c r="K516" s="1707"/>
      <c r="L516" s="1707"/>
      <c r="M516" s="1707"/>
      <c r="N516" s="1707"/>
      <c r="O516" s="1707"/>
      <c r="P516" s="1707"/>
      <c r="Q516" s="1293"/>
      <c r="R516" s="1707"/>
      <c r="S516" s="1707"/>
      <c r="T516" s="1707"/>
      <c r="U516" s="1707"/>
      <c r="V516" s="1293"/>
      <c r="W516" s="1707"/>
      <c r="X516" s="1707"/>
      <c r="Y516" s="1707"/>
      <c r="Z516" s="1707"/>
      <c r="AA516" s="1293"/>
      <c r="AB516" s="1707"/>
      <c r="AC516" s="1707"/>
      <c r="AD516" s="1707"/>
      <c r="AE516" s="1707"/>
      <c r="AF516" s="1707"/>
      <c r="AG516" s="1707"/>
      <c r="AH516" s="1707"/>
      <c r="AI516" s="1707"/>
      <c r="AJ516" s="2186"/>
      <c r="AK516" s="1707"/>
      <c r="AL516" s="1707"/>
      <c r="AM516" s="1707"/>
      <c r="AN516" s="1707"/>
      <c r="AO516" s="2186"/>
      <c r="AP516" s="1707"/>
      <c r="AQ516" s="1707"/>
      <c r="AR516" s="1707"/>
      <c r="AS516" s="1707"/>
      <c r="AT516" s="2186"/>
      <c r="AU516" s="1707"/>
      <c r="AV516" s="1707"/>
      <c r="AW516" s="1707"/>
      <c r="AX516" s="1707"/>
      <c r="AY516" s="2186"/>
      <c r="AZ516" s="1707"/>
      <c r="BA516" s="1707"/>
      <c r="BB516" s="1707"/>
      <c r="BC516" s="1293"/>
      <c r="BD516" s="2186"/>
      <c r="BE516" s="1707"/>
      <c r="BF516" s="1707"/>
      <c r="BG516" s="1707"/>
      <c r="BH516" s="1293"/>
      <c r="BI516" s="2186"/>
      <c r="BJ516" s="1707"/>
      <c r="BK516" s="1707"/>
      <c r="BL516" s="1707"/>
      <c r="BM516" s="1707"/>
      <c r="BN516" s="2186"/>
      <c r="BO516" s="1293"/>
      <c r="BP516" s="1293"/>
      <c r="BQ516" s="1293"/>
      <c r="BR516" s="1293"/>
      <c r="BS516" s="1293"/>
      <c r="BT516" s="1293"/>
      <c r="BU516" s="1293"/>
      <c r="BV516" s="1293"/>
      <c r="BW516" s="1293"/>
      <c r="BX516" s="1293"/>
      <c r="BY516" s="1293"/>
      <c r="BZ516" s="1293"/>
      <c r="CA516" s="1293"/>
      <c r="CB516" s="1293"/>
      <c r="CC516" s="1293"/>
      <c r="CD516" s="1293"/>
      <c r="CE516" s="1293"/>
      <c r="CF516" s="1293"/>
      <c r="CG516" s="1293"/>
      <c r="CH516" s="1293"/>
      <c r="CI516" s="1293"/>
      <c r="CJ516" s="1293"/>
      <c r="CK516" s="1293"/>
      <c r="CL516" s="1293"/>
      <c r="CM516" s="1293"/>
      <c r="CN516" s="1293"/>
      <c r="CO516" s="1293"/>
      <c r="CP516" s="1293"/>
      <c r="CQ516" s="1293"/>
      <c r="CR516" s="1293"/>
      <c r="CS516" s="1293"/>
      <c r="CT516" s="1293"/>
      <c r="CU516" s="1293"/>
      <c r="CV516" s="1293"/>
      <c r="CW516" s="1293"/>
      <c r="CX516" s="1293"/>
      <c r="CY516" s="2032"/>
      <c r="CZ516" s="1293"/>
      <c r="DA516" s="2238"/>
      <c r="DB516" s="2239"/>
      <c r="DC516" s="1293"/>
      <c r="DD516" s="1293"/>
      <c r="DE516" s="1293"/>
      <c r="DF516" s="1293"/>
      <c r="DG516" s="1293"/>
      <c r="DH516" s="1293"/>
      <c r="DI516" s="1293"/>
      <c r="DJ516" s="1293"/>
      <c r="DK516" s="1293"/>
      <c r="DL516" s="1293"/>
    </row>
    <row r="517" spans="1:116" ht="15.75">
      <c r="A517" s="1293"/>
      <c r="B517" s="1706" t="s">
        <v>7044</v>
      </c>
      <c r="C517" s="1707"/>
      <c r="D517" s="1707"/>
      <c r="E517" s="1707"/>
      <c r="F517" s="1707"/>
      <c r="G517" s="1707"/>
      <c r="H517" s="1707"/>
      <c r="I517" s="1707"/>
      <c r="J517" s="1707"/>
      <c r="K517" s="1707"/>
      <c r="L517" s="1707"/>
      <c r="M517" s="1707"/>
      <c r="N517" s="1707"/>
      <c r="O517" s="1707"/>
      <c r="P517" s="1707"/>
      <c r="Q517" s="1293"/>
      <c r="R517" s="1707"/>
      <c r="S517" s="1707"/>
      <c r="T517" s="1707"/>
      <c r="U517" s="1707"/>
      <c r="V517" s="1293"/>
      <c r="W517" s="1653"/>
      <c r="X517" s="1653"/>
      <c r="Y517" s="1293"/>
      <c r="Z517" s="1293"/>
      <c r="AA517" s="1293"/>
      <c r="AB517" s="1671" t="str">
        <f>AB481</f>
        <v>Q1 19</v>
      </c>
      <c r="AC517" s="1671"/>
      <c r="AD517" s="1671" t="str">
        <f>AD481</f>
        <v>Q2 19</v>
      </c>
      <c r="AE517" s="2274"/>
      <c r="AF517" s="1671" t="str">
        <f>AF481</f>
        <v>Q3 19</v>
      </c>
      <c r="AG517" s="2274"/>
      <c r="AH517" s="1671" t="str">
        <f>AH481</f>
        <v>Q4 19</v>
      </c>
      <c r="AI517" s="1707"/>
      <c r="AJ517" s="2186"/>
      <c r="AK517" s="1653"/>
      <c r="AL517" s="1653"/>
      <c r="AM517" s="1293"/>
      <c r="AN517" s="1653"/>
      <c r="AO517" s="2275" t="s">
        <v>5053</v>
      </c>
      <c r="AP517" s="1293"/>
      <c r="AQ517" s="1293"/>
      <c r="AR517" s="1293"/>
      <c r="AS517" s="1293"/>
      <c r="AT517" s="2186"/>
      <c r="AU517" s="1293"/>
      <c r="AV517" s="1293"/>
      <c r="AW517" s="1293"/>
      <c r="AX517" s="1293"/>
      <c r="AY517" s="2186"/>
      <c r="AZ517" s="1293"/>
      <c r="BA517" s="1293"/>
      <c r="BB517" s="1293"/>
      <c r="BC517" s="1293"/>
      <c r="BD517" s="2186"/>
      <c r="BE517" s="1293"/>
      <c r="BF517" s="1293"/>
      <c r="BG517" s="1293"/>
      <c r="BH517" s="1293"/>
      <c r="BI517" s="2186"/>
      <c r="BJ517" s="1293"/>
      <c r="BK517" s="1293"/>
      <c r="BL517" s="1293"/>
      <c r="BM517" s="1293"/>
      <c r="BN517" s="2186"/>
      <c r="BO517" s="1293"/>
      <c r="BP517" s="1293"/>
      <c r="BQ517" s="1293"/>
      <c r="BR517" s="1293"/>
      <c r="BS517" s="1293"/>
      <c r="BT517" s="1293"/>
      <c r="BU517" s="1293"/>
      <c r="BV517" s="1293"/>
      <c r="BW517" s="1293"/>
      <c r="BX517" s="1293"/>
      <c r="BY517" s="1293"/>
      <c r="BZ517" s="1293"/>
      <c r="CA517" s="1293"/>
      <c r="CB517" s="1293"/>
      <c r="CC517" s="1293"/>
      <c r="CD517" s="1293"/>
      <c r="CE517" s="1293"/>
      <c r="CF517" s="1293"/>
      <c r="CG517" s="1293"/>
      <c r="CH517" s="1293"/>
      <c r="CI517" s="1293"/>
      <c r="CJ517" s="1293"/>
      <c r="CK517" s="1293"/>
      <c r="CL517" s="1293"/>
      <c r="CM517" s="1293"/>
      <c r="CN517" s="1293"/>
      <c r="CO517" s="1293"/>
      <c r="CP517" s="1293"/>
      <c r="CQ517" s="1293"/>
      <c r="CR517" s="1293"/>
      <c r="CS517" s="1293"/>
      <c r="CT517" s="1293"/>
      <c r="CU517" s="1293"/>
      <c r="CV517" s="1293"/>
      <c r="CW517" s="1293"/>
      <c r="CX517" s="1293"/>
      <c r="CY517" s="2032"/>
      <c r="CZ517" s="1293"/>
      <c r="DA517" s="2031"/>
      <c r="DB517" s="2032"/>
      <c r="DC517" s="1293"/>
      <c r="DD517" s="1293"/>
      <c r="DE517" s="1293"/>
      <c r="DF517" s="1293"/>
      <c r="DG517" s="1293"/>
      <c r="DH517" s="1293"/>
      <c r="DI517" s="1293"/>
      <c r="DJ517" s="1293"/>
      <c r="DK517" s="1293"/>
      <c r="DL517" s="1293"/>
    </row>
    <row r="518" spans="1:116" ht="15.75">
      <c r="A518" s="1293"/>
      <c r="B518" s="1657" t="s">
        <v>7043</v>
      </c>
      <c r="C518" s="2276"/>
      <c r="D518" s="2276"/>
      <c r="E518" s="2276"/>
      <c r="F518" s="2276"/>
      <c r="G518" s="2276"/>
      <c r="H518" s="2276"/>
      <c r="I518" s="2276"/>
      <c r="J518" s="2276"/>
      <c r="K518" s="2276"/>
      <c r="L518" s="2276"/>
      <c r="M518" s="2276"/>
      <c r="N518" s="2276"/>
      <c r="O518" s="2276"/>
      <c r="P518" s="2276"/>
      <c r="Q518" s="1324"/>
      <c r="R518" s="2276"/>
      <c r="S518" s="2276"/>
      <c r="T518" s="2276"/>
      <c r="U518" s="2276"/>
      <c r="V518" s="1324"/>
      <c r="W518" s="1324"/>
      <c r="X518" s="1657"/>
      <c r="Y518" s="1324"/>
      <c r="Z518" s="1324"/>
      <c r="AA518" s="1324"/>
      <c r="AB518" s="1658" t="s">
        <v>5641</v>
      </c>
      <c r="AC518" s="1324"/>
      <c r="AD518" s="1658" t="s">
        <v>5641</v>
      </c>
      <c r="AE518" s="2276"/>
      <c r="AF518" s="1658" t="s">
        <v>5641</v>
      </c>
      <c r="AG518" s="2276"/>
      <c r="AH518" s="1658" t="s">
        <v>5641</v>
      </c>
      <c r="AI518" s="2276"/>
      <c r="AJ518" s="2277"/>
      <c r="AK518" s="1657"/>
      <c r="AL518" s="1657"/>
      <c r="AM518" s="1324"/>
      <c r="AN518" s="1657"/>
      <c r="AO518" s="2278" t="s">
        <v>5641</v>
      </c>
      <c r="AP518" s="1324"/>
      <c r="AQ518" s="1334"/>
      <c r="AR518" s="1334"/>
      <c r="AS518" s="1334"/>
      <c r="AT518" s="2186"/>
      <c r="AU518" s="1334"/>
      <c r="AV518" s="1334"/>
      <c r="AW518" s="1334"/>
      <c r="AX518" s="1334"/>
      <c r="AY518" s="2186"/>
      <c r="AZ518" s="1334"/>
      <c r="BA518" s="1334"/>
      <c r="BB518" s="1334"/>
      <c r="BC518" s="1293"/>
      <c r="BD518" s="2186"/>
      <c r="BE518" s="1334"/>
      <c r="BF518" s="1334"/>
      <c r="BG518" s="1334"/>
      <c r="BH518" s="1293"/>
      <c r="BI518" s="2186"/>
      <c r="BJ518" s="1334"/>
      <c r="BK518" s="1334"/>
      <c r="BL518" s="1334"/>
      <c r="BM518" s="1334"/>
      <c r="BN518" s="2186"/>
      <c r="BO518" s="1293"/>
      <c r="BP518" s="1293"/>
      <c r="BQ518" s="1293"/>
      <c r="BR518" s="1293"/>
      <c r="BS518" s="1293"/>
      <c r="BT518" s="1293"/>
      <c r="BU518" s="1293"/>
      <c r="BV518" s="1293"/>
      <c r="BW518" s="1293"/>
      <c r="BX518" s="1293"/>
      <c r="BY518" s="1293"/>
      <c r="BZ518" s="1293"/>
      <c r="CA518" s="1293"/>
      <c r="CB518" s="1293"/>
      <c r="CC518" s="1293"/>
      <c r="CD518" s="1293"/>
      <c r="CE518" s="1293"/>
      <c r="CF518" s="1293"/>
      <c r="CG518" s="1293"/>
      <c r="CH518" s="1293"/>
      <c r="CI518" s="1293"/>
      <c r="CJ518" s="1293"/>
      <c r="CK518" s="1293"/>
      <c r="CL518" s="1293"/>
      <c r="CM518" s="1293"/>
      <c r="CN518" s="1293"/>
      <c r="CO518" s="1293"/>
      <c r="CP518" s="1293"/>
      <c r="CQ518" s="1293"/>
      <c r="CR518" s="1293"/>
      <c r="CS518" s="1293"/>
      <c r="CT518" s="1293"/>
      <c r="CU518" s="1293"/>
      <c r="CV518" s="1293"/>
      <c r="CW518" s="1293"/>
      <c r="CX518" s="1293"/>
      <c r="CY518" s="2032"/>
      <c r="CZ518" s="1293"/>
      <c r="DA518" s="2279"/>
      <c r="DB518" s="2280"/>
      <c r="DC518" s="1293"/>
      <c r="DD518" s="1293"/>
      <c r="DE518" s="1293"/>
      <c r="DF518" s="1293"/>
      <c r="DG518" s="1293"/>
      <c r="DH518" s="1293"/>
      <c r="DI518" s="1293"/>
      <c r="DJ518" s="1293"/>
      <c r="DK518" s="1293"/>
      <c r="DL518" s="1293"/>
    </row>
    <row r="519" spans="1:116" ht="15.75">
      <c r="A519" s="1293"/>
      <c r="B519" s="1653" t="s">
        <v>7039</v>
      </c>
      <c r="C519" s="1707"/>
      <c r="D519" s="1707"/>
      <c r="E519" s="1707"/>
      <c r="F519" s="1707"/>
      <c r="G519" s="1707"/>
      <c r="H519" s="1707"/>
      <c r="I519" s="1707"/>
      <c r="J519" s="1707"/>
      <c r="K519" s="1707"/>
      <c r="L519" s="1707"/>
      <c r="M519" s="1707"/>
      <c r="N519" s="1707"/>
      <c r="O519" s="1707"/>
      <c r="P519" s="1707"/>
      <c r="Q519" s="1293"/>
      <c r="R519" s="1707"/>
      <c r="S519" s="1707"/>
      <c r="T519" s="1707"/>
      <c r="U519" s="1707"/>
      <c r="V519" s="1293"/>
      <c r="W519" s="1293"/>
      <c r="X519" s="1293"/>
      <c r="Y519" s="1293"/>
      <c r="Z519" s="1293"/>
      <c r="AA519" s="1293"/>
      <c r="AB519" s="2281">
        <v>-15.834</v>
      </c>
      <c r="AC519" s="1293"/>
      <c r="AD519" s="2281">
        <v>-20.462</v>
      </c>
      <c r="AE519" s="1707"/>
      <c r="AF519" s="2282">
        <v>-23</v>
      </c>
      <c r="AG519" s="1707"/>
      <c r="AH519" s="2281">
        <v>-28</v>
      </c>
      <c r="AI519" s="1707"/>
      <c r="AJ519" s="2186"/>
      <c r="AK519" s="1293"/>
      <c r="AL519" s="1293"/>
      <c r="AM519" s="1293"/>
      <c r="AN519" s="1293"/>
      <c r="AO519" s="2283">
        <v>-88</v>
      </c>
      <c r="AP519" s="1293"/>
      <c r="AQ519" s="1293"/>
      <c r="AR519" s="1293"/>
      <c r="AS519" s="1293"/>
      <c r="AT519" s="2186"/>
      <c r="AU519" s="1293"/>
      <c r="AV519" s="1293"/>
      <c r="AW519" s="1293"/>
      <c r="AX519" s="1293"/>
      <c r="AY519" s="2186"/>
      <c r="AZ519" s="1293"/>
      <c r="BA519" s="1293"/>
      <c r="BB519" s="1293"/>
      <c r="BC519" s="1293"/>
      <c r="BD519" s="2186"/>
      <c r="BE519" s="1293"/>
      <c r="BF519" s="1293"/>
      <c r="BG519" s="1293"/>
      <c r="BH519" s="1293"/>
      <c r="BI519" s="2186"/>
      <c r="BJ519" s="1293"/>
      <c r="BK519" s="1293"/>
      <c r="BL519" s="1293"/>
      <c r="BM519" s="1293"/>
      <c r="BN519" s="2186"/>
      <c r="BO519" s="1293"/>
      <c r="BP519" s="1293"/>
      <c r="BQ519" s="1293"/>
      <c r="BR519" s="1293"/>
      <c r="BS519" s="1293"/>
      <c r="BT519" s="1293"/>
      <c r="BU519" s="1293"/>
      <c r="BV519" s="1293"/>
      <c r="BW519" s="1293"/>
      <c r="BX519" s="1293"/>
      <c r="BY519" s="1293"/>
      <c r="BZ519" s="1293"/>
      <c r="CA519" s="1293"/>
      <c r="CB519" s="1293"/>
      <c r="CC519" s="1293"/>
      <c r="CD519" s="1293"/>
      <c r="CE519" s="1293"/>
      <c r="CF519" s="1293"/>
      <c r="CG519" s="1293"/>
      <c r="CH519" s="1293"/>
      <c r="CI519" s="1293"/>
      <c r="CJ519" s="1293"/>
      <c r="CK519" s="1293"/>
      <c r="CL519" s="1293"/>
      <c r="CM519" s="1293"/>
      <c r="CN519" s="1293"/>
      <c r="CO519" s="1293"/>
      <c r="CP519" s="1293"/>
      <c r="CQ519" s="1293"/>
      <c r="CR519" s="1293"/>
      <c r="CS519" s="1293"/>
      <c r="CT519" s="1293"/>
      <c r="CU519" s="1293"/>
      <c r="CV519" s="1293"/>
      <c r="CW519" s="1293"/>
      <c r="CX519" s="1293"/>
      <c r="CY519" s="2032"/>
      <c r="CZ519" s="1293"/>
      <c r="DA519" s="2031"/>
      <c r="DB519" s="2032"/>
      <c r="DC519" s="1293"/>
      <c r="DD519" s="1293"/>
      <c r="DE519" s="1293"/>
      <c r="DF519" s="1293"/>
      <c r="DG519" s="1293"/>
      <c r="DH519" s="1293"/>
      <c r="DI519" s="1293"/>
      <c r="DJ519" s="1293"/>
      <c r="DK519" s="1293"/>
      <c r="DL519" s="1293"/>
    </row>
    <row r="520" spans="1:116" ht="15.75">
      <c r="A520" s="1293"/>
      <c r="B520" s="1653" t="s">
        <v>7040</v>
      </c>
      <c r="C520" s="1707"/>
      <c r="D520" s="1707"/>
      <c r="E520" s="1707"/>
      <c r="F520" s="1707"/>
      <c r="G520" s="1707"/>
      <c r="H520" s="1707"/>
      <c r="I520" s="1707"/>
      <c r="J520" s="1707"/>
      <c r="K520" s="1707"/>
      <c r="L520" s="1707"/>
      <c r="M520" s="1707"/>
      <c r="N520" s="1707"/>
      <c r="O520" s="1707"/>
      <c r="P520" s="1707"/>
      <c r="Q520" s="1293"/>
      <c r="R520" s="1707"/>
      <c r="S520" s="1707"/>
      <c r="T520" s="1707"/>
      <c r="U520" s="1707"/>
      <c r="V520" s="1293"/>
      <c r="W520" s="1293"/>
      <c r="X520" s="1293"/>
      <c r="Y520" s="1293"/>
      <c r="Z520" s="1293"/>
      <c r="AA520" s="1293"/>
      <c r="AB520" s="2281">
        <v>-31.255000000000003</v>
      </c>
      <c r="AC520" s="1293"/>
      <c r="AD520" s="2281">
        <v>-32.311</v>
      </c>
      <c r="AE520" s="1707"/>
      <c r="AF520" s="2282">
        <v>-27</v>
      </c>
      <c r="AG520" s="1707"/>
      <c r="AH520" s="2281">
        <v>-28</v>
      </c>
      <c r="AI520" s="1707"/>
      <c r="AJ520" s="2186"/>
      <c r="AK520" s="1293"/>
      <c r="AL520" s="1293"/>
      <c r="AM520" s="1293"/>
      <c r="AN520" s="1293"/>
      <c r="AO520" s="2283">
        <v>-123</v>
      </c>
      <c r="AP520" s="1293"/>
      <c r="AQ520" s="1293"/>
      <c r="AR520" s="1293"/>
      <c r="AS520" s="1293"/>
      <c r="AT520" s="2186"/>
      <c r="AU520" s="1293"/>
      <c r="AV520" s="1293"/>
      <c r="AW520" s="1293"/>
      <c r="AX520" s="1293"/>
      <c r="AY520" s="2186"/>
      <c r="AZ520" s="1293"/>
      <c r="BA520" s="1293"/>
      <c r="BB520" s="1293"/>
      <c r="BC520" s="1293"/>
      <c r="BD520" s="2186"/>
      <c r="BE520" s="1293"/>
      <c r="BF520" s="1293"/>
      <c r="BG520" s="1293"/>
      <c r="BH520" s="1293"/>
      <c r="BI520" s="2186"/>
      <c r="BJ520" s="1293"/>
      <c r="BK520" s="1293"/>
      <c r="BL520" s="1293"/>
      <c r="BM520" s="1293"/>
      <c r="BN520" s="2186"/>
      <c r="BO520" s="1293"/>
      <c r="BP520" s="1293"/>
      <c r="BQ520" s="1293"/>
      <c r="BR520" s="1293"/>
      <c r="BS520" s="1293"/>
      <c r="BT520" s="1293"/>
      <c r="BU520" s="1293"/>
      <c r="BV520" s="1293"/>
      <c r="BW520" s="1293"/>
      <c r="BX520" s="1293"/>
      <c r="BY520" s="1293"/>
      <c r="BZ520" s="1293"/>
      <c r="CA520" s="1293"/>
      <c r="CB520" s="1293"/>
      <c r="CC520" s="1293"/>
      <c r="CD520" s="1293"/>
      <c r="CE520" s="1293"/>
      <c r="CF520" s="1293"/>
      <c r="CG520" s="1293"/>
      <c r="CH520" s="1293"/>
      <c r="CI520" s="1293"/>
      <c r="CJ520" s="1293"/>
      <c r="CK520" s="1293"/>
      <c r="CL520" s="1293"/>
      <c r="CM520" s="1293"/>
      <c r="CN520" s="1293"/>
      <c r="CO520" s="1293"/>
      <c r="CP520" s="1293"/>
      <c r="CQ520" s="1293"/>
      <c r="CR520" s="1293"/>
      <c r="CS520" s="1293"/>
      <c r="CT520" s="1293"/>
      <c r="CU520" s="1293"/>
      <c r="CV520" s="1293"/>
      <c r="CW520" s="1293"/>
      <c r="CX520" s="1293"/>
      <c r="CY520" s="2032"/>
      <c r="CZ520" s="1293"/>
      <c r="DA520" s="2031"/>
      <c r="DB520" s="2032"/>
      <c r="DC520" s="1293"/>
      <c r="DD520" s="1293"/>
      <c r="DE520" s="1293"/>
      <c r="DF520" s="1293"/>
      <c r="DG520" s="1293"/>
      <c r="DH520" s="1293"/>
      <c r="DI520" s="1293"/>
      <c r="DJ520" s="1293"/>
      <c r="DK520" s="1293"/>
      <c r="DL520" s="1293"/>
    </row>
    <row r="521" spans="1:116" ht="15.75">
      <c r="A521" s="1293"/>
      <c r="B521" s="1653" t="s">
        <v>2324</v>
      </c>
      <c r="C521" s="1707"/>
      <c r="D521" s="1707"/>
      <c r="E521" s="1707"/>
      <c r="F521" s="1707"/>
      <c r="G521" s="1707"/>
      <c r="H521" s="1707"/>
      <c r="I521" s="1707"/>
      <c r="J521" s="1707"/>
      <c r="K521" s="1707"/>
      <c r="L521" s="1707"/>
      <c r="M521" s="1707"/>
      <c r="N521" s="1707"/>
      <c r="O521" s="1707"/>
      <c r="P521" s="1707"/>
      <c r="Q521" s="1293"/>
      <c r="R521" s="1707"/>
      <c r="S521" s="1707"/>
      <c r="T521" s="1707"/>
      <c r="U521" s="1707"/>
      <c r="V521" s="1293"/>
      <c r="W521" s="1293"/>
      <c r="X521" s="1293"/>
      <c r="Y521" s="1293"/>
      <c r="Z521" s="1293"/>
      <c r="AA521" s="1293"/>
      <c r="AB521" s="1293"/>
      <c r="AC521" s="1293"/>
      <c r="AD521" s="1293"/>
      <c r="AE521" s="1707"/>
      <c r="AF521" s="1707"/>
      <c r="AG521" s="1707"/>
      <c r="AH521" s="1707"/>
      <c r="AI521" s="1707"/>
      <c r="AJ521" s="2186"/>
      <c r="AK521" s="2281"/>
      <c r="AL521" s="2281"/>
      <c r="AM521" s="2282"/>
      <c r="AN521" s="2281"/>
      <c r="AO521" s="2283">
        <f>AO519+AO520</f>
        <v>-211</v>
      </c>
      <c r="AP521" s="2282"/>
      <c r="AQ521" s="2282"/>
      <c r="AR521" s="2282"/>
      <c r="AS521" s="2282"/>
      <c r="AT521" s="2186"/>
      <c r="AU521" s="2282"/>
      <c r="AV521" s="2282"/>
      <c r="AW521" s="2282"/>
      <c r="AX521" s="2282"/>
      <c r="AY521" s="2186"/>
      <c r="AZ521" s="2282"/>
      <c r="BA521" s="2282"/>
      <c r="BB521" s="2282"/>
      <c r="BC521" s="1293"/>
      <c r="BD521" s="2186"/>
      <c r="BE521" s="2282"/>
      <c r="BF521" s="2282"/>
      <c r="BG521" s="2282"/>
      <c r="BH521" s="1293"/>
      <c r="BI521" s="2186"/>
      <c r="BJ521" s="2282"/>
      <c r="BK521" s="2282"/>
      <c r="BL521" s="2282"/>
      <c r="BM521" s="2282"/>
      <c r="BN521" s="2186"/>
      <c r="BO521" s="1293"/>
      <c r="BP521" s="1293"/>
      <c r="BQ521" s="1293"/>
      <c r="BR521" s="1293"/>
      <c r="BS521" s="1293"/>
      <c r="BT521" s="1293"/>
      <c r="BU521" s="1293"/>
      <c r="BV521" s="1293"/>
      <c r="BW521" s="1293"/>
      <c r="BX521" s="1293"/>
      <c r="BY521" s="1293"/>
      <c r="BZ521" s="1293"/>
      <c r="CA521" s="1293"/>
      <c r="CB521" s="1293"/>
      <c r="CC521" s="1293"/>
      <c r="CD521" s="1293"/>
      <c r="CE521" s="1293"/>
      <c r="CF521" s="1293"/>
      <c r="CG521" s="1293"/>
      <c r="CH521" s="1293"/>
      <c r="CI521" s="1293"/>
      <c r="CJ521" s="1293"/>
      <c r="CK521" s="1293"/>
      <c r="CL521" s="1293"/>
      <c r="CM521" s="1293"/>
      <c r="CN521" s="1293"/>
      <c r="CO521" s="1293"/>
      <c r="CP521" s="1293"/>
      <c r="CQ521" s="1293"/>
      <c r="CR521" s="1293"/>
      <c r="CS521" s="1293"/>
      <c r="CT521" s="1293"/>
      <c r="CU521" s="1293"/>
      <c r="CV521" s="1293"/>
      <c r="CW521" s="1293"/>
      <c r="CX521" s="1293"/>
      <c r="CY521" s="2032"/>
      <c r="CZ521" s="1293"/>
      <c r="DA521" s="2284"/>
      <c r="DB521" s="2285"/>
      <c r="DC521" s="1293"/>
      <c r="DD521" s="1293"/>
      <c r="DE521" s="1293"/>
      <c r="DF521" s="1293"/>
      <c r="DG521" s="1293"/>
      <c r="DH521" s="1293"/>
      <c r="DI521" s="1293"/>
      <c r="DJ521" s="1293"/>
      <c r="DK521" s="1293"/>
      <c r="DL521" s="1293"/>
    </row>
    <row r="522" spans="1:116" ht="15.75">
      <c r="A522" s="1293"/>
      <c r="B522" s="1653"/>
      <c r="C522" s="1707"/>
      <c r="D522" s="1707"/>
      <c r="E522" s="1707"/>
      <c r="F522" s="1707"/>
      <c r="G522" s="1707"/>
      <c r="H522" s="1707"/>
      <c r="I522" s="1707"/>
      <c r="J522" s="1707"/>
      <c r="K522" s="1707"/>
      <c r="L522" s="1707"/>
      <c r="M522" s="1707"/>
      <c r="N522" s="1707"/>
      <c r="O522" s="1707"/>
      <c r="P522" s="1707"/>
      <c r="Q522" s="1293"/>
      <c r="R522" s="1707"/>
      <c r="S522" s="1707"/>
      <c r="T522" s="1707"/>
      <c r="U522" s="1707"/>
      <c r="V522" s="1293"/>
      <c r="W522" s="1293"/>
      <c r="X522" s="1293"/>
      <c r="Y522" s="1293"/>
      <c r="Z522" s="1293"/>
      <c r="AA522" s="1293"/>
      <c r="AB522" s="1293"/>
      <c r="AC522" s="1293"/>
      <c r="AD522" s="1293"/>
      <c r="AE522" s="1707"/>
      <c r="AF522" s="1707"/>
      <c r="AG522" s="1707"/>
      <c r="AH522" s="1707"/>
      <c r="AI522" s="1707"/>
      <c r="AJ522" s="2186"/>
      <c r="AK522" s="2281"/>
      <c r="AL522" s="2281"/>
      <c r="AM522" s="2282"/>
      <c r="AN522" s="2281"/>
      <c r="AO522" s="2286" t="s">
        <v>1540</v>
      </c>
      <c r="AP522" s="2282"/>
      <c r="AQ522" s="2282"/>
      <c r="AR522" s="2282"/>
      <c r="AS522" s="2282"/>
      <c r="AT522" s="2186"/>
      <c r="AU522" s="2282"/>
      <c r="AV522" s="2282"/>
      <c r="AW522" s="2282"/>
      <c r="AX522" s="2282"/>
      <c r="AY522" s="2186"/>
      <c r="AZ522" s="2282"/>
      <c r="BA522" s="2282"/>
      <c r="BB522" s="2282"/>
      <c r="BC522" s="1293"/>
      <c r="BD522" s="2186"/>
      <c r="BE522" s="2282"/>
      <c r="BF522" s="2282"/>
      <c r="BG522" s="2282"/>
      <c r="BH522" s="1293"/>
      <c r="BI522" s="2186"/>
      <c r="BJ522" s="2282"/>
      <c r="BK522" s="2282"/>
      <c r="BL522" s="2282"/>
      <c r="BM522" s="2282"/>
      <c r="BN522" s="2186"/>
      <c r="BO522" s="1293"/>
      <c r="BP522" s="1293"/>
      <c r="BQ522" s="1293"/>
      <c r="BR522" s="1293"/>
      <c r="BS522" s="1293"/>
      <c r="BT522" s="1293"/>
      <c r="BU522" s="1293"/>
      <c r="BV522" s="1293"/>
      <c r="BW522" s="1293"/>
      <c r="BX522" s="1293"/>
      <c r="BY522" s="1293"/>
      <c r="BZ522" s="1293"/>
      <c r="CA522" s="1293"/>
      <c r="CB522" s="1293"/>
      <c r="CC522" s="1293"/>
      <c r="CD522" s="1293"/>
      <c r="CE522" s="1293"/>
      <c r="CF522" s="1293"/>
      <c r="CG522" s="1293"/>
      <c r="CH522" s="1293"/>
      <c r="CI522" s="1293"/>
      <c r="CJ522" s="1293"/>
      <c r="CK522" s="1293"/>
      <c r="CL522" s="1293"/>
      <c r="CM522" s="1293"/>
      <c r="CN522" s="1293"/>
      <c r="CO522" s="1293"/>
      <c r="CP522" s="1293"/>
      <c r="CQ522" s="1293"/>
      <c r="CR522" s="1293"/>
      <c r="CS522" s="1293"/>
      <c r="CT522" s="1293"/>
      <c r="CU522" s="1293"/>
      <c r="CV522" s="1293"/>
      <c r="CW522" s="1293"/>
      <c r="CX522" s="1293"/>
      <c r="CY522" s="2032"/>
      <c r="CZ522" s="1293"/>
      <c r="DA522" s="2284"/>
      <c r="DB522" s="2285"/>
      <c r="DC522" s="1293"/>
      <c r="DD522" s="1293"/>
      <c r="DE522" s="1293"/>
      <c r="DF522" s="1293"/>
      <c r="DG522" s="1293"/>
      <c r="DH522" s="1293"/>
      <c r="DI522" s="1293"/>
      <c r="DJ522" s="1293"/>
      <c r="DK522" s="1293"/>
      <c r="DL522" s="1293"/>
    </row>
    <row r="523" spans="1:116" ht="15.75">
      <c r="A523" s="1293"/>
      <c r="B523" s="1653" t="s">
        <v>7041</v>
      </c>
      <c r="C523" s="1707"/>
      <c r="D523" s="1707"/>
      <c r="E523" s="1707"/>
      <c r="F523" s="1707"/>
      <c r="G523" s="1707"/>
      <c r="H523" s="1707"/>
      <c r="I523" s="1707"/>
      <c r="J523" s="1707"/>
      <c r="K523" s="1707"/>
      <c r="L523" s="1707"/>
      <c r="M523" s="1707"/>
      <c r="N523" s="1707"/>
      <c r="O523" s="1707"/>
      <c r="P523" s="1707"/>
      <c r="Q523" s="1293"/>
      <c r="R523" s="1707"/>
      <c r="S523" s="1707"/>
      <c r="T523" s="1707"/>
      <c r="U523" s="1707"/>
      <c r="V523" s="1293"/>
      <c r="W523" s="1293"/>
      <c r="X523" s="1293"/>
      <c r="Y523" s="1293"/>
      <c r="Z523" s="1293"/>
      <c r="AA523" s="1293"/>
      <c r="AB523" s="1293"/>
      <c r="AC523" s="1293"/>
      <c r="AD523" s="1293"/>
      <c r="AE523" s="1707"/>
      <c r="AF523" s="1707"/>
      <c r="AG523" s="1707"/>
      <c r="AH523" s="1707"/>
      <c r="AI523" s="1707"/>
      <c r="AJ523" s="2186"/>
      <c r="AK523" s="2281"/>
      <c r="AL523" s="2281"/>
      <c r="AM523" s="2282"/>
      <c r="AN523" s="2281"/>
      <c r="AO523" s="2283">
        <f>AO528-AO519</f>
        <v>-79</v>
      </c>
      <c r="AP523" s="2282"/>
      <c r="AQ523" s="2282"/>
      <c r="AR523" s="2282"/>
      <c r="AS523" s="2282"/>
      <c r="AT523" s="2186"/>
      <c r="AU523" s="2282"/>
      <c r="AV523" s="2282"/>
      <c r="AW523" s="2282"/>
      <c r="AX523" s="2282"/>
      <c r="AY523" s="2186"/>
      <c r="AZ523" s="2282"/>
      <c r="BA523" s="2282"/>
      <c r="BB523" s="2282"/>
      <c r="BC523" s="1293"/>
      <c r="BD523" s="2186"/>
      <c r="BE523" s="2282"/>
      <c r="BF523" s="2282"/>
      <c r="BG523" s="2282"/>
      <c r="BH523" s="1293"/>
      <c r="BI523" s="2186"/>
      <c r="BJ523" s="2282"/>
      <c r="BK523" s="2282"/>
      <c r="BL523" s="2282"/>
      <c r="BM523" s="2282"/>
      <c r="BN523" s="2186"/>
      <c r="BO523" s="1293"/>
      <c r="BP523" s="1293"/>
      <c r="BQ523" s="1293"/>
      <c r="BR523" s="1293"/>
      <c r="BS523" s="1293"/>
      <c r="BT523" s="1293"/>
      <c r="BU523" s="1293"/>
      <c r="BV523" s="1293"/>
      <c r="BW523" s="1293"/>
      <c r="BX523" s="1293"/>
      <c r="BY523" s="1293"/>
      <c r="BZ523" s="1293"/>
      <c r="CA523" s="1293"/>
      <c r="CB523" s="1293"/>
      <c r="CC523" s="1293"/>
      <c r="CD523" s="1293"/>
      <c r="CE523" s="1293"/>
      <c r="CF523" s="1293"/>
      <c r="CG523" s="1293"/>
      <c r="CH523" s="1293"/>
      <c r="CI523" s="1293"/>
      <c r="CJ523" s="1293"/>
      <c r="CK523" s="1293"/>
      <c r="CL523" s="1293"/>
      <c r="CM523" s="1293"/>
      <c r="CN523" s="1293"/>
      <c r="CO523" s="1293"/>
      <c r="CP523" s="1293"/>
      <c r="CQ523" s="1293"/>
      <c r="CR523" s="1293"/>
      <c r="CS523" s="1293"/>
      <c r="CT523" s="1293"/>
      <c r="CU523" s="1293"/>
      <c r="CV523" s="1293"/>
      <c r="CW523" s="1293"/>
      <c r="CX523" s="1293"/>
      <c r="CY523" s="2032"/>
      <c r="CZ523" s="1293"/>
      <c r="DA523" s="2284"/>
      <c r="DB523" s="2285"/>
      <c r="DC523" s="1293"/>
      <c r="DD523" s="1293"/>
      <c r="DE523" s="1293"/>
      <c r="DF523" s="1293"/>
      <c r="DG523" s="1293"/>
      <c r="DH523" s="1293"/>
      <c r="DI523" s="1293"/>
      <c r="DJ523" s="1293"/>
      <c r="DK523" s="1293"/>
      <c r="DL523" s="1293"/>
    </row>
    <row r="524" spans="1:116" ht="15.75">
      <c r="A524" s="1293"/>
      <c r="B524" s="1672" t="s">
        <v>7042</v>
      </c>
      <c r="C524" s="2260"/>
      <c r="D524" s="2260"/>
      <c r="E524" s="2260"/>
      <c r="F524" s="2260"/>
      <c r="G524" s="2260"/>
      <c r="H524" s="2260"/>
      <c r="I524" s="2260"/>
      <c r="J524" s="2260"/>
      <c r="K524" s="2260"/>
      <c r="L524" s="2260"/>
      <c r="M524" s="2260"/>
      <c r="N524" s="2260"/>
      <c r="O524" s="2260"/>
      <c r="P524" s="2260"/>
      <c r="Q524" s="1331"/>
      <c r="R524" s="2260"/>
      <c r="S524" s="2260"/>
      <c r="T524" s="2260"/>
      <c r="U524" s="2260"/>
      <c r="V524" s="1331"/>
      <c r="W524" s="1331"/>
      <c r="X524" s="1331"/>
      <c r="Y524" s="1331"/>
      <c r="Z524" s="1331"/>
      <c r="AA524" s="1331"/>
      <c r="AB524" s="1331"/>
      <c r="AC524" s="1331"/>
      <c r="AD524" s="1331"/>
      <c r="AE524" s="2260"/>
      <c r="AF524" s="2260"/>
      <c r="AG524" s="2260"/>
      <c r="AH524" s="2260"/>
      <c r="AI524" s="2260"/>
      <c r="AJ524" s="2206"/>
      <c r="AK524" s="2287"/>
      <c r="AL524" s="2287"/>
      <c r="AM524" s="2288"/>
      <c r="AN524" s="2287"/>
      <c r="AO524" s="2289">
        <f>AO529-AO520</f>
        <v>-16</v>
      </c>
      <c r="AP524" s="2288"/>
      <c r="AQ524" s="1293"/>
      <c r="AR524" s="1293"/>
      <c r="AS524" s="1293"/>
      <c r="AT524" s="2186"/>
      <c r="AU524" s="1293"/>
      <c r="AV524" s="1293"/>
      <c r="AW524" s="1293"/>
      <c r="AX524" s="1293"/>
      <c r="AY524" s="2186"/>
      <c r="AZ524" s="1293"/>
      <c r="BA524" s="1293"/>
      <c r="BB524" s="1293"/>
      <c r="BC524" s="1293"/>
      <c r="BD524" s="2186"/>
      <c r="BE524" s="1293"/>
      <c r="BF524" s="1293"/>
      <c r="BG524" s="1293"/>
      <c r="BH524" s="1293"/>
      <c r="BI524" s="2186"/>
      <c r="BJ524" s="1293"/>
      <c r="BK524" s="1293"/>
      <c r="BL524" s="1293"/>
      <c r="BM524" s="1293"/>
      <c r="BN524" s="2186"/>
      <c r="BO524" s="1293"/>
      <c r="BP524" s="1293"/>
      <c r="BQ524" s="1293"/>
      <c r="BR524" s="1293"/>
      <c r="BS524" s="1293"/>
      <c r="BT524" s="1293"/>
      <c r="BU524" s="1293"/>
      <c r="BV524" s="1293"/>
      <c r="BW524" s="1293"/>
      <c r="BX524" s="1293"/>
      <c r="BY524" s="1293"/>
      <c r="BZ524" s="1293"/>
      <c r="CA524" s="1293"/>
      <c r="CB524" s="1293"/>
      <c r="CC524" s="1293"/>
      <c r="CD524" s="1293"/>
      <c r="CE524" s="1293"/>
      <c r="CF524" s="1293"/>
      <c r="CG524" s="1293"/>
      <c r="CH524" s="1293"/>
      <c r="CI524" s="1293"/>
      <c r="CJ524" s="1293"/>
      <c r="CK524" s="1293"/>
      <c r="CL524" s="1293"/>
      <c r="CM524" s="1293"/>
      <c r="CN524" s="1293"/>
      <c r="CO524" s="1293"/>
      <c r="CP524" s="1293"/>
      <c r="CQ524" s="1293"/>
      <c r="CR524" s="1293"/>
      <c r="CS524" s="1293"/>
      <c r="CT524" s="1293"/>
      <c r="CU524" s="1293"/>
      <c r="CV524" s="1293"/>
      <c r="CW524" s="1293"/>
      <c r="CX524" s="1293"/>
      <c r="CY524" s="2032"/>
      <c r="CZ524" s="1293"/>
      <c r="DA524" s="2031"/>
      <c r="DB524" s="2032"/>
      <c r="DC524" s="1293"/>
      <c r="DD524" s="1293"/>
      <c r="DE524" s="1293"/>
      <c r="DF524" s="1293"/>
      <c r="DG524" s="1293"/>
      <c r="DH524" s="1293"/>
      <c r="DI524" s="1293"/>
      <c r="DJ524" s="1293"/>
      <c r="DK524" s="1293"/>
      <c r="DL524" s="1293"/>
    </row>
    <row r="525" spans="1:116" ht="15.75">
      <c r="A525" s="1293"/>
      <c r="B525" s="1653" t="s">
        <v>7038</v>
      </c>
      <c r="C525" s="1707"/>
      <c r="D525" s="1707"/>
      <c r="E525" s="1707"/>
      <c r="F525" s="1707"/>
      <c r="G525" s="1707"/>
      <c r="H525" s="1707"/>
      <c r="I525" s="1707"/>
      <c r="J525" s="1707"/>
      <c r="K525" s="1707"/>
      <c r="L525" s="1707"/>
      <c r="M525" s="1707"/>
      <c r="N525" s="1707"/>
      <c r="O525" s="1707"/>
      <c r="P525" s="1707"/>
      <c r="Q525" s="1293"/>
      <c r="R525" s="1707"/>
      <c r="S525" s="1707"/>
      <c r="T525" s="1707"/>
      <c r="U525" s="1707"/>
      <c r="V525" s="1293"/>
      <c r="W525" s="1293"/>
      <c r="X525" s="1293"/>
      <c r="Y525" s="1293"/>
      <c r="Z525" s="1293"/>
      <c r="AA525" s="1293"/>
      <c r="AB525" s="1293"/>
      <c r="AC525" s="1293"/>
      <c r="AD525" s="1293"/>
      <c r="AE525" s="1707"/>
      <c r="AF525" s="1707"/>
      <c r="AG525" s="1707"/>
      <c r="AH525" s="1707"/>
      <c r="AI525" s="1707"/>
      <c r="AJ525" s="2186"/>
      <c r="AK525" s="2281"/>
      <c r="AL525" s="2281"/>
      <c r="AM525" s="2282"/>
      <c r="AN525" s="2281"/>
      <c r="AO525" s="2283">
        <f>AO523+AO524</f>
        <v>-95</v>
      </c>
      <c r="AP525" s="2282"/>
      <c r="AQ525" s="2282"/>
      <c r="AR525" s="2282"/>
      <c r="AS525" s="2282"/>
      <c r="AT525" s="2186"/>
      <c r="AU525" s="2282"/>
      <c r="AV525" s="2282"/>
      <c r="AW525" s="2282"/>
      <c r="AX525" s="2282"/>
      <c r="AY525" s="2186"/>
      <c r="AZ525" s="2282"/>
      <c r="BA525" s="2282"/>
      <c r="BB525" s="2282"/>
      <c r="BC525" s="1293"/>
      <c r="BD525" s="2186"/>
      <c r="BE525" s="2282"/>
      <c r="BF525" s="2282"/>
      <c r="BG525" s="2282"/>
      <c r="BH525" s="1293"/>
      <c r="BI525" s="2186"/>
      <c r="BJ525" s="2282"/>
      <c r="BK525" s="2282"/>
      <c r="BL525" s="2282"/>
      <c r="BM525" s="2282"/>
      <c r="BN525" s="2186"/>
      <c r="BO525" s="1293"/>
      <c r="BP525" s="1293"/>
      <c r="BQ525" s="1293"/>
      <c r="BR525" s="1293"/>
      <c r="BS525" s="1293"/>
      <c r="BT525" s="1293"/>
      <c r="BU525" s="1293"/>
      <c r="BV525" s="1293"/>
      <c r="BW525" s="1293"/>
      <c r="BX525" s="1293"/>
      <c r="BY525" s="1293"/>
      <c r="BZ525" s="1293"/>
      <c r="CA525" s="1293"/>
      <c r="CB525" s="1293"/>
      <c r="CC525" s="1293"/>
      <c r="CD525" s="1293"/>
      <c r="CE525" s="1293"/>
      <c r="CF525" s="1293"/>
      <c r="CG525" s="1293"/>
      <c r="CH525" s="1293"/>
      <c r="CI525" s="1293"/>
      <c r="CJ525" s="1293"/>
      <c r="CK525" s="1293"/>
      <c r="CL525" s="1293"/>
      <c r="CM525" s="1293"/>
      <c r="CN525" s="1293"/>
      <c r="CO525" s="1293"/>
      <c r="CP525" s="1293"/>
      <c r="CQ525" s="1293"/>
      <c r="CR525" s="1293"/>
      <c r="CS525" s="1293"/>
      <c r="CT525" s="1293"/>
      <c r="CU525" s="1293"/>
      <c r="CV525" s="1293"/>
      <c r="CW525" s="1293"/>
      <c r="CX525" s="1293"/>
      <c r="CY525" s="2032"/>
      <c r="CZ525" s="1293"/>
      <c r="DA525" s="2284"/>
      <c r="DB525" s="2285"/>
      <c r="DC525" s="1293"/>
      <c r="DD525" s="1293"/>
      <c r="DE525" s="1293"/>
      <c r="DF525" s="1293"/>
      <c r="DG525" s="1293"/>
      <c r="DH525" s="1293"/>
      <c r="DI525" s="1293"/>
      <c r="DJ525" s="1293"/>
      <c r="DK525" s="1293"/>
      <c r="DL525" s="1293"/>
    </row>
    <row r="526" spans="1:116" ht="15.75">
      <c r="A526" s="1293"/>
      <c r="B526" s="1653"/>
      <c r="C526" s="1707"/>
      <c r="D526" s="1707"/>
      <c r="E526" s="1707"/>
      <c r="F526" s="1707"/>
      <c r="G526" s="1707"/>
      <c r="H526" s="1707"/>
      <c r="I526" s="1707"/>
      <c r="J526" s="1707"/>
      <c r="K526" s="1707"/>
      <c r="L526" s="1707"/>
      <c r="M526" s="1707"/>
      <c r="N526" s="1707"/>
      <c r="O526" s="1707"/>
      <c r="P526" s="1707"/>
      <c r="Q526" s="1293"/>
      <c r="R526" s="1707"/>
      <c r="S526" s="1707"/>
      <c r="T526" s="1707"/>
      <c r="U526" s="1707"/>
      <c r="V526" s="1293"/>
      <c r="W526" s="1293"/>
      <c r="X526" s="1293"/>
      <c r="Y526" s="1293"/>
      <c r="Z526" s="1293"/>
      <c r="AA526" s="1293"/>
      <c r="AB526" s="1293"/>
      <c r="AC526" s="1293"/>
      <c r="AD526" s="1293"/>
      <c r="AE526" s="1707"/>
      <c r="AF526" s="1707"/>
      <c r="AG526" s="1707"/>
      <c r="AH526" s="1707"/>
      <c r="AI526" s="1707"/>
      <c r="AJ526" s="2186"/>
      <c r="AK526" s="2281"/>
      <c r="AL526" s="2281"/>
      <c r="AM526" s="2282"/>
      <c r="AN526" s="2281"/>
      <c r="AO526" s="2283"/>
      <c r="AP526" s="2282"/>
      <c r="AQ526" s="2282"/>
      <c r="AR526" s="2282"/>
      <c r="AS526" s="2282"/>
      <c r="AT526" s="2186"/>
      <c r="AU526" s="2282"/>
      <c r="AV526" s="2282"/>
      <c r="AW526" s="2282"/>
      <c r="AX526" s="2282"/>
      <c r="AY526" s="2186"/>
      <c r="AZ526" s="2282"/>
      <c r="BA526" s="2282"/>
      <c r="BB526" s="2282"/>
      <c r="BC526" s="1293"/>
      <c r="BD526" s="2186"/>
      <c r="BE526" s="2282"/>
      <c r="BF526" s="2282"/>
      <c r="BG526" s="2282"/>
      <c r="BH526" s="1293"/>
      <c r="BI526" s="2186"/>
      <c r="BJ526" s="2282"/>
      <c r="BK526" s="2282"/>
      <c r="BL526" s="2282"/>
      <c r="BM526" s="2282"/>
      <c r="BN526" s="2186"/>
      <c r="BO526" s="1293"/>
      <c r="BP526" s="1293"/>
      <c r="BQ526" s="1293"/>
      <c r="BR526" s="1293"/>
      <c r="BS526" s="1293"/>
      <c r="BT526" s="1293"/>
      <c r="BU526" s="1293"/>
      <c r="BV526" s="1293"/>
      <c r="BW526" s="1293"/>
      <c r="BX526" s="1293"/>
      <c r="BY526" s="1293"/>
      <c r="BZ526" s="1293"/>
      <c r="CA526" s="1293"/>
      <c r="CB526" s="1293"/>
      <c r="CC526" s="1293"/>
      <c r="CD526" s="1293"/>
      <c r="CE526" s="1293"/>
      <c r="CF526" s="1293"/>
      <c r="CG526" s="1293"/>
      <c r="CH526" s="1293"/>
      <c r="CI526" s="1293"/>
      <c r="CJ526" s="1293"/>
      <c r="CK526" s="1293"/>
      <c r="CL526" s="1293"/>
      <c r="CM526" s="1293"/>
      <c r="CN526" s="1293"/>
      <c r="CO526" s="1293"/>
      <c r="CP526" s="1293"/>
      <c r="CQ526" s="1293"/>
      <c r="CR526" s="1293"/>
      <c r="CS526" s="1293"/>
      <c r="CT526" s="1293"/>
      <c r="CU526" s="1293"/>
      <c r="CV526" s="1293"/>
      <c r="CW526" s="1293"/>
      <c r="CX526" s="1293"/>
      <c r="CY526" s="2032"/>
      <c r="CZ526" s="1293"/>
      <c r="DA526" s="2284"/>
      <c r="DB526" s="2285"/>
      <c r="DC526" s="1293"/>
      <c r="DD526" s="1293"/>
      <c r="DE526" s="1293"/>
      <c r="DF526" s="1293"/>
      <c r="DG526" s="1293"/>
      <c r="DH526" s="1293"/>
      <c r="DI526" s="1293"/>
      <c r="DJ526" s="1293"/>
      <c r="DK526" s="1293"/>
      <c r="DL526" s="1293"/>
    </row>
    <row r="527" spans="1:116" ht="15.75">
      <c r="A527" s="1293"/>
      <c r="B527" s="1293"/>
      <c r="C527" s="1707"/>
      <c r="D527" s="1707"/>
      <c r="E527" s="1707"/>
      <c r="F527" s="1707"/>
      <c r="G527" s="1707"/>
      <c r="H527" s="1707"/>
      <c r="I527" s="1707"/>
      <c r="J527" s="1707"/>
      <c r="K527" s="1707"/>
      <c r="L527" s="1707"/>
      <c r="M527" s="1707"/>
      <c r="N527" s="1707"/>
      <c r="O527" s="1707"/>
      <c r="P527" s="1707"/>
      <c r="Q527" s="1293"/>
      <c r="R527" s="1707"/>
      <c r="S527" s="1707"/>
      <c r="T527" s="1707"/>
      <c r="U527" s="1707"/>
      <c r="V527" s="1293"/>
      <c r="W527" s="1293"/>
      <c r="X527" s="1293"/>
      <c r="Y527" s="1293"/>
      <c r="Z527" s="1293"/>
      <c r="AA527" s="1293"/>
      <c r="AB527" s="1293"/>
      <c r="AC527" s="1293"/>
      <c r="AD527" s="1293"/>
      <c r="AE527" s="1707"/>
      <c r="AF527" s="1707"/>
      <c r="AG527" s="1707"/>
      <c r="AH527" s="1707"/>
      <c r="AI527" s="1707"/>
      <c r="AJ527" s="2186"/>
      <c r="AK527" s="2281"/>
      <c r="AL527" s="2281"/>
      <c r="AM527" s="2282"/>
      <c r="AN527" s="2281"/>
      <c r="AO527" s="2286" t="s">
        <v>3330</v>
      </c>
      <c r="AP527" s="2282"/>
      <c r="AQ527" s="2282"/>
      <c r="AR527" s="2282"/>
      <c r="AS527" s="2282"/>
      <c r="AT527" s="2186"/>
      <c r="AU527" s="2282"/>
      <c r="AV527" s="2282"/>
      <c r="AW527" s="2282"/>
      <c r="AX527" s="2282"/>
      <c r="AY527" s="2186"/>
      <c r="AZ527" s="2282"/>
      <c r="BA527" s="2282"/>
      <c r="BB527" s="2282"/>
      <c r="BC527" s="1293"/>
      <c r="BD527" s="2186"/>
      <c r="BE527" s="2282"/>
      <c r="BF527" s="2282"/>
      <c r="BG527" s="2282"/>
      <c r="BH527" s="1293"/>
      <c r="BI527" s="2186"/>
      <c r="BJ527" s="2282"/>
      <c r="BK527" s="2282"/>
      <c r="BL527" s="2282"/>
      <c r="BM527" s="2282"/>
      <c r="BN527" s="2186"/>
      <c r="BO527" s="1293"/>
      <c r="BP527" s="1293"/>
      <c r="BQ527" s="1293"/>
      <c r="BR527" s="1293"/>
      <c r="BS527" s="1293"/>
      <c r="BT527" s="1293"/>
      <c r="BU527" s="1293"/>
      <c r="BV527" s="1293"/>
      <c r="BW527" s="1293"/>
      <c r="BX527" s="1293"/>
      <c r="BY527" s="1293"/>
      <c r="BZ527" s="1293"/>
      <c r="CA527" s="1293"/>
      <c r="CB527" s="1293"/>
      <c r="CC527" s="1293"/>
      <c r="CD527" s="1293"/>
      <c r="CE527" s="1293"/>
      <c r="CF527" s="1293"/>
      <c r="CG527" s="1293"/>
      <c r="CH527" s="1293"/>
      <c r="CI527" s="1293"/>
      <c r="CJ527" s="1293"/>
      <c r="CK527" s="1293"/>
      <c r="CL527" s="1293"/>
      <c r="CM527" s="1293"/>
      <c r="CN527" s="1293"/>
      <c r="CO527" s="1293"/>
      <c r="CP527" s="1293"/>
      <c r="CQ527" s="1293"/>
      <c r="CR527" s="1293"/>
      <c r="CS527" s="1293"/>
      <c r="CT527" s="1293"/>
      <c r="CU527" s="1293"/>
      <c r="CV527" s="1293"/>
      <c r="CW527" s="1293"/>
      <c r="CX527" s="1293"/>
      <c r="CY527" s="2032"/>
      <c r="CZ527" s="1293"/>
      <c r="DA527" s="2284"/>
      <c r="DB527" s="2285"/>
      <c r="DC527" s="1293"/>
      <c r="DD527" s="1293"/>
      <c r="DE527" s="1293"/>
      <c r="DF527" s="1293"/>
      <c r="DG527" s="1293"/>
      <c r="DH527" s="1293"/>
      <c r="DI527" s="1293"/>
      <c r="DJ527" s="1293"/>
      <c r="DK527" s="1293"/>
      <c r="DL527" s="1293"/>
    </row>
    <row r="528" spans="1:116" ht="15.75">
      <c r="A528" s="1293"/>
      <c r="B528" s="1653" t="str">
        <f>B523</f>
        <v>interest</v>
      </c>
      <c r="C528" s="1707"/>
      <c r="D528" s="1707"/>
      <c r="E528" s="1707"/>
      <c r="F528" s="1707"/>
      <c r="G528" s="1707"/>
      <c r="H528" s="1707"/>
      <c r="I528" s="1707"/>
      <c r="J528" s="1707"/>
      <c r="K528" s="1707"/>
      <c r="L528" s="1707"/>
      <c r="M528" s="1707"/>
      <c r="N528" s="1707"/>
      <c r="O528" s="1707"/>
      <c r="P528" s="1707"/>
      <c r="Q528" s="1293"/>
      <c r="R528" s="1707"/>
      <c r="S528" s="1707"/>
      <c r="T528" s="1707"/>
      <c r="U528" s="1707"/>
      <c r="V528" s="1293"/>
      <c r="W528" s="1293"/>
      <c r="X528" s="1293"/>
      <c r="Y528" s="1293"/>
      <c r="Z528" s="1293"/>
      <c r="AA528" s="1293"/>
      <c r="AB528" s="1293"/>
      <c r="AC528" s="1293"/>
      <c r="AD528" s="1293"/>
      <c r="AE528" s="1707"/>
      <c r="AF528" s="1707"/>
      <c r="AG528" s="1707"/>
      <c r="AH528" s="1707"/>
      <c r="AI528" s="1707"/>
      <c r="AJ528" s="2186"/>
      <c r="AK528" s="2281"/>
      <c r="AL528" s="2281"/>
      <c r="AM528" s="2282"/>
      <c r="AN528" s="2281"/>
      <c r="AO528" s="2290">
        <v>-167</v>
      </c>
      <c r="AP528" s="2282"/>
      <c r="AQ528" s="2282"/>
      <c r="AR528" s="2282"/>
      <c r="AS528" s="2282"/>
      <c r="AT528" s="2186"/>
      <c r="AU528" s="2282"/>
      <c r="AV528" s="2282"/>
      <c r="AW528" s="2282"/>
      <c r="AX528" s="2282"/>
      <c r="AY528" s="2186"/>
      <c r="AZ528" s="2282"/>
      <c r="BA528" s="2282"/>
      <c r="BB528" s="2282"/>
      <c r="BC528" s="1293"/>
      <c r="BD528" s="2186"/>
      <c r="BE528" s="2282"/>
      <c r="BF528" s="2282"/>
      <c r="BG528" s="2282"/>
      <c r="BH528" s="1293"/>
      <c r="BI528" s="2186"/>
      <c r="BJ528" s="2282"/>
      <c r="BK528" s="2282"/>
      <c r="BL528" s="2282"/>
      <c r="BM528" s="2282"/>
      <c r="BN528" s="2186"/>
      <c r="BO528" s="1293"/>
      <c r="BP528" s="1293"/>
      <c r="BQ528" s="1293"/>
      <c r="BR528" s="1293"/>
      <c r="BS528" s="1293"/>
      <c r="BT528" s="1293"/>
      <c r="BU528" s="1293"/>
      <c r="BV528" s="1293"/>
      <c r="BW528" s="1293"/>
      <c r="BX528" s="1293"/>
      <c r="BY528" s="1293"/>
      <c r="BZ528" s="1293"/>
      <c r="CA528" s="1293"/>
      <c r="CB528" s="1293"/>
      <c r="CC528" s="1293"/>
      <c r="CD528" s="1293"/>
      <c r="CE528" s="1293"/>
      <c r="CF528" s="1293"/>
      <c r="CG528" s="1293"/>
      <c r="CH528" s="1293"/>
      <c r="CI528" s="1293"/>
      <c r="CJ528" s="1293"/>
      <c r="CK528" s="1293"/>
      <c r="CL528" s="1293"/>
      <c r="CM528" s="1293"/>
      <c r="CN528" s="1293"/>
      <c r="CO528" s="1293"/>
      <c r="CP528" s="1293"/>
      <c r="CQ528" s="1293"/>
      <c r="CR528" s="1293"/>
      <c r="CS528" s="1293"/>
      <c r="CT528" s="1293"/>
      <c r="CU528" s="1293"/>
      <c r="CV528" s="1293"/>
      <c r="CW528" s="1293"/>
      <c r="CX528" s="1293"/>
      <c r="CY528" s="2032"/>
      <c r="CZ528" s="1293"/>
      <c r="DA528" s="2284"/>
      <c r="DB528" s="2285"/>
      <c r="DC528" s="1293"/>
      <c r="DD528" s="1293"/>
      <c r="DE528" s="1293"/>
      <c r="DF528" s="1293"/>
      <c r="DG528" s="1293"/>
      <c r="DH528" s="1293"/>
      <c r="DI528" s="1293"/>
      <c r="DJ528" s="1293"/>
      <c r="DK528" s="1293"/>
      <c r="DL528" s="1293"/>
    </row>
    <row r="529" spans="1:116" ht="15.75">
      <c r="A529" s="1293"/>
      <c r="B529" s="1672" t="str">
        <f>B524</f>
        <v>lease capital</v>
      </c>
      <c r="C529" s="2260"/>
      <c r="D529" s="2260"/>
      <c r="E529" s="2260"/>
      <c r="F529" s="2260"/>
      <c r="G529" s="2260"/>
      <c r="H529" s="2260"/>
      <c r="I529" s="2260"/>
      <c r="J529" s="2260"/>
      <c r="K529" s="2260"/>
      <c r="L529" s="2260"/>
      <c r="M529" s="2260"/>
      <c r="N529" s="2260"/>
      <c r="O529" s="2260"/>
      <c r="P529" s="2260"/>
      <c r="Q529" s="1331"/>
      <c r="R529" s="2260"/>
      <c r="S529" s="2260"/>
      <c r="T529" s="2260"/>
      <c r="U529" s="2260"/>
      <c r="V529" s="1331"/>
      <c r="W529" s="1331"/>
      <c r="X529" s="1331"/>
      <c r="Y529" s="1331"/>
      <c r="Z529" s="1331"/>
      <c r="AA529" s="1331"/>
      <c r="AB529" s="1331"/>
      <c r="AC529" s="1331"/>
      <c r="AD529" s="1331"/>
      <c r="AE529" s="2260"/>
      <c r="AF529" s="2260"/>
      <c r="AG529" s="2260"/>
      <c r="AH529" s="2260"/>
      <c r="AI529" s="2260"/>
      <c r="AJ529" s="2206"/>
      <c r="AK529" s="2287"/>
      <c r="AL529" s="2287"/>
      <c r="AM529" s="2288"/>
      <c r="AN529" s="2287"/>
      <c r="AO529" s="2291">
        <v>-139</v>
      </c>
      <c r="AP529" s="2288"/>
      <c r="AQ529" s="1293"/>
      <c r="AR529" s="1293"/>
      <c r="AS529" s="1293"/>
      <c r="AT529" s="2186"/>
      <c r="AU529" s="1293"/>
      <c r="AV529" s="1293"/>
      <c r="AW529" s="1293"/>
      <c r="AX529" s="1293"/>
      <c r="AY529" s="2186"/>
      <c r="AZ529" s="1293"/>
      <c r="BA529" s="1293"/>
      <c r="BB529" s="1293"/>
      <c r="BC529" s="1293"/>
      <c r="BD529" s="2186"/>
      <c r="BE529" s="1293"/>
      <c r="BF529" s="1293"/>
      <c r="BG529" s="1293"/>
      <c r="BH529" s="1293"/>
      <c r="BI529" s="2186"/>
      <c r="BJ529" s="1293"/>
      <c r="BK529" s="1293"/>
      <c r="BL529" s="1293"/>
      <c r="BM529" s="1293"/>
      <c r="BN529" s="2186"/>
      <c r="BO529" s="1293"/>
      <c r="BP529" s="1293"/>
      <c r="BQ529" s="1293"/>
      <c r="BR529" s="1293"/>
      <c r="BS529" s="1293"/>
      <c r="BT529" s="1293"/>
      <c r="BU529" s="1293"/>
      <c r="BV529" s="1293"/>
      <c r="BW529" s="1293"/>
      <c r="BX529" s="1293"/>
      <c r="BY529" s="1293"/>
      <c r="BZ529" s="1293"/>
      <c r="CA529" s="1293"/>
      <c r="CB529" s="1293"/>
      <c r="CC529" s="1293"/>
      <c r="CD529" s="1293"/>
      <c r="CE529" s="1293"/>
      <c r="CF529" s="1293"/>
      <c r="CG529" s="1293"/>
      <c r="CH529" s="1293"/>
      <c r="CI529" s="1293"/>
      <c r="CJ529" s="1293"/>
      <c r="CK529" s="1293"/>
      <c r="CL529" s="1293"/>
      <c r="CM529" s="1293"/>
      <c r="CN529" s="1293"/>
      <c r="CO529" s="1293"/>
      <c r="CP529" s="1293"/>
      <c r="CQ529" s="1293"/>
      <c r="CR529" s="1293"/>
      <c r="CS529" s="1293"/>
      <c r="CT529" s="1293"/>
      <c r="CU529" s="1293"/>
      <c r="CV529" s="1293"/>
      <c r="CW529" s="1293"/>
      <c r="CX529" s="1293"/>
      <c r="CY529" s="2032"/>
      <c r="CZ529" s="1293"/>
      <c r="DA529" s="2031"/>
      <c r="DB529" s="2032"/>
      <c r="DC529" s="1293"/>
      <c r="DD529" s="1293"/>
      <c r="DE529" s="1293"/>
      <c r="DF529" s="1293"/>
      <c r="DG529" s="1293"/>
      <c r="DH529" s="1293"/>
      <c r="DI529" s="1293"/>
      <c r="DJ529" s="1293"/>
      <c r="DK529" s="1293"/>
      <c r="DL529" s="1293"/>
    </row>
    <row r="530" spans="1:116" ht="15.75">
      <c r="A530" s="1293"/>
      <c r="B530" s="1653" t="str">
        <f>B525</f>
        <v>Underlying</v>
      </c>
      <c r="C530" s="1707"/>
      <c r="D530" s="1707"/>
      <c r="E530" s="1707"/>
      <c r="F530" s="1707"/>
      <c r="G530" s="1707"/>
      <c r="H530" s="1707"/>
      <c r="I530" s="1707"/>
      <c r="J530" s="1707"/>
      <c r="K530" s="1707"/>
      <c r="L530" s="1707"/>
      <c r="M530" s="1707"/>
      <c r="N530" s="1707"/>
      <c r="O530" s="1707"/>
      <c r="P530" s="1707"/>
      <c r="Q530" s="1293"/>
      <c r="R530" s="1707"/>
      <c r="S530" s="1707"/>
      <c r="T530" s="1707"/>
      <c r="U530" s="1707"/>
      <c r="V530" s="1293"/>
      <c r="W530" s="1653"/>
      <c r="X530" s="1653"/>
      <c r="Y530" s="1293"/>
      <c r="Z530" s="1293"/>
      <c r="AA530" s="1293"/>
      <c r="AB530" s="1293"/>
      <c r="AC530" s="1293"/>
      <c r="AD530" s="1293"/>
      <c r="AE530" s="1707"/>
      <c r="AF530" s="1707"/>
      <c r="AG530" s="1707"/>
      <c r="AH530" s="1707"/>
      <c r="AI530" s="1707"/>
      <c r="AJ530" s="2186"/>
      <c r="AK530" s="2281"/>
      <c r="AL530" s="2281"/>
      <c r="AM530" s="2282"/>
      <c r="AN530" s="2281"/>
      <c r="AO530" s="2290">
        <f>AO528+AO529</f>
        <v>-306</v>
      </c>
      <c r="AP530" s="2282"/>
      <c r="AQ530" s="2282"/>
      <c r="AR530" s="2282"/>
      <c r="AS530" s="2282"/>
      <c r="AT530" s="2186"/>
      <c r="AU530" s="2282"/>
      <c r="AV530" s="2282"/>
      <c r="AW530" s="2282"/>
      <c r="AX530" s="2282"/>
      <c r="AY530" s="2186"/>
      <c r="AZ530" s="2282"/>
      <c r="BA530" s="2282"/>
      <c r="BB530" s="2282"/>
      <c r="BC530" s="1293"/>
      <c r="BD530" s="2186"/>
      <c r="BE530" s="2282"/>
      <c r="BF530" s="2282"/>
      <c r="BG530" s="2282"/>
      <c r="BH530" s="1293"/>
      <c r="BI530" s="2186"/>
      <c r="BJ530" s="2282"/>
      <c r="BK530" s="2282"/>
      <c r="BL530" s="2282"/>
      <c r="BM530" s="2282"/>
      <c r="BN530" s="2186"/>
      <c r="BO530" s="1293"/>
      <c r="BP530" s="1293"/>
      <c r="BQ530" s="1293"/>
      <c r="BR530" s="1293"/>
      <c r="BS530" s="1293"/>
      <c r="BT530" s="1293"/>
      <c r="BU530" s="1293"/>
      <c r="BV530" s="1293"/>
      <c r="BW530" s="1293"/>
      <c r="BX530" s="1293"/>
      <c r="BY530" s="1293"/>
      <c r="BZ530" s="1293"/>
      <c r="CA530" s="1293"/>
      <c r="CB530" s="1293"/>
      <c r="CC530" s="1293"/>
      <c r="CD530" s="1293"/>
      <c r="CE530" s="1293"/>
      <c r="CF530" s="1293"/>
      <c r="CG530" s="1293"/>
      <c r="CH530" s="1293"/>
      <c r="CI530" s="1293"/>
      <c r="CJ530" s="1293"/>
      <c r="CK530" s="1293"/>
      <c r="CL530" s="1293"/>
      <c r="CM530" s="1293"/>
      <c r="CN530" s="1293"/>
      <c r="CO530" s="1293"/>
      <c r="CP530" s="1293"/>
      <c r="CQ530" s="1293"/>
      <c r="CR530" s="1293"/>
      <c r="CS530" s="1293"/>
      <c r="CT530" s="1293"/>
      <c r="CU530" s="1293"/>
      <c r="CV530" s="1293"/>
      <c r="CW530" s="1293"/>
      <c r="CX530" s="1293"/>
      <c r="CY530" s="2032"/>
      <c r="CZ530" s="1293"/>
      <c r="DA530" s="2284"/>
      <c r="DB530" s="2285"/>
      <c r="DC530" s="1293"/>
      <c r="DD530" s="1293"/>
      <c r="DE530" s="1293"/>
      <c r="DF530" s="1293"/>
      <c r="DG530" s="1293"/>
      <c r="DH530" s="1293"/>
      <c r="DI530" s="1293"/>
      <c r="DJ530" s="1293"/>
      <c r="DK530" s="1293"/>
      <c r="DL530" s="1293"/>
    </row>
    <row r="531" spans="1:116" ht="15.75">
      <c r="A531" s="1293"/>
      <c r="B531" s="1653"/>
      <c r="C531" s="1707"/>
      <c r="D531" s="1707"/>
      <c r="E531" s="1707"/>
      <c r="F531" s="1707"/>
      <c r="G531" s="1707"/>
      <c r="H531" s="1707"/>
      <c r="I531" s="1707"/>
      <c r="J531" s="1707"/>
      <c r="K531" s="1707"/>
      <c r="L531" s="1707"/>
      <c r="M531" s="1707"/>
      <c r="N531" s="1707"/>
      <c r="O531" s="1707"/>
      <c r="P531" s="1707"/>
      <c r="Q531" s="1293"/>
      <c r="R531" s="1707"/>
      <c r="S531" s="1707"/>
      <c r="T531" s="1707"/>
      <c r="U531" s="1707"/>
      <c r="V531" s="1293"/>
      <c r="W531" s="1707"/>
      <c r="X531" s="1707"/>
      <c r="Y531" s="1707"/>
      <c r="Z531" s="1707"/>
      <c r="AA531" s="1293"/>
      <c r="AB531" s="1707"/>
      <c r="AC531" s="1707"/>
      <c r="AD531" s="1707"/>
      <c r="AE531" s="1707"/>
      <c r="AF531" s="1707"/>
      <c r="AG531" s="1707"/>
      <c r="AH531" s="1707"/>
      <c r="AI531" s="1707"/>
      <c r="AJ531" s="2186"/>
      <c r="AK531" s="1707"/>
      <c r="AL531" s="1707"/>
      <c r="AM531" s="1707"/>
      <c r="AN531" s="1707"/>
      <c r="AO531" s="2186"/>
      <c r="AP531" s="1707"/>
      <c r="AQ531" s="1707"/>
      <c r="AR531" s="1707"/>
      <c r="AS531" s="1707"/>
      <c r="AT531" s="2186"/>
      <c r="AU531" s="1707"/>
      <c r="AV531" s="1707"/>
      <c r="AW531" s="1707"/>
      <c r="AX531" s="1707"/>
      <c r="AY531" s="2186"/>
      <c r="AZ531" s="1707"/>
      <c r="BA531" s="1707"/>
      <c r="BB531" s="1707"/>
      <c r="BC531" s="1293"/>
      <c r="BD531" s="2186"/>
      <c r="BE531" s="1707"/>
      <c r="BF531" s="1707"/>
      <c r="BG531" s="1707"/>
      <c r="BH531" s="1293"/>
      <c r="BI531" s="2186"/>
      <c r="BJ531" s="1707"/>
      <c r="BK531" s="1707"/>
      <c r="BL531" s="1707"/>
      <c r="BM531" s="1707"/>
      <c r="BN531" s="2186"/>
      <c r="BO531" s="1293"/>
      <c r="BP531" s="1293"/>
      <c r="BQ531" s="1293"/>
      <c r="BR531" s="1293"/>
      <c r="BS531" s="1293"/>
      <c r="BT531" s="1293"/>
      <c r="BU531" s="1293"/>
      <c r="BV531" s="1293"/>
      <c r="BW531" s="1293"/>
      <c r="BX531" s="1293"/>
      <c r="BY531" s="1293"/>
      <c r="BZ531" s="1293"/>
      <c r="CA531" s="1293"/>
      <c r="CB531" s="1293"/>
      <c r="CC531" s="1293"/>
      <c r="CD531" s="1293"/>
      <c r="CE531" s="1293"/>
      <c r="CF531" s="1293"/>
      <c r="CG531" s="1293"/>
      <c r="CH531" s="1293"/>
      <c r="CI531" s="1293"/>
      <c r="CJ531" s="1293"/>
      <c r="CK531" s="1293"/>
      <c r="CL531" s="1293"/>
      <c r="CM531" s="1293"/>
      <c r="CN531" s="1293"/>
      <c r="CO531" s="1293"/>
      <c r="CP531" s="1293"/>
      <c r="CQ531" s="1293"/>
      <c r="CR531" s="1293"/>
      <c r="CS531" s="1293"/>
      <c r="CT531" s="1293"/>
      <c r="CU531" s="1293"/>
      <c r="CV531" s="1293"/>
      <c r="CW531" s="1293"/>
      <c r="CX531" s="1293"/>
      <c r="CY531" s="2032"/>
      <c r="CZ531" s="1293"/>
      <c r="DA531" s="2238"/>
      <c r="DB531" s="2239"/>
      <c r="DC531" s="1293"/>
      <c r="DD531" s="1293"/>
      <c r="DE531" s="1293"/>
      <c r="DF531" s="1293"/>
      <c r="DG531" s="1293"/>
      <c r="DH531" s="1293"/>
      <c r="DI531" s="1293"/>
      <c r="DJ531" s="1293"/>
      <c r="DK531" s="1293"/>
      <c r="DL531" s="1293"/>
    </row>
    <row r="532" spans="1:116" ht="15.75">
      <c r="A532" s="1293"/>
      <c r="B532" s="1653"/>
      <c r="C532" s="1707"/>
      <c r="D532" s="1707"/>
      <c r="E532" s="1707"/>
      <c r="F532" s="1707"/>
      <c r="G532" s="1707"/>
      <c r="H532" s="1707"/>
      <c r="I532" s="1707"/>
      <c r="J532" s="1707"/>
      <c r="K532" s="1707"/>
      <c r="L532" s="1707"/>
      <c r="M532" s="1707"/>
      <c r="N532" s="1707"/>
      <c r="O532" s="1707"/>
      <c r="P532" s="1707"/>
      <c r="Q532" s="1293"/>
      <c r="R532" s="1707"/>
      <c r="S532" s="1707"/>
      <c r="T532" s="1707"/>
      <c r="U532" s="1707"/>
      <c r="V532" s="1293"/>
      <c r="W532" s="1707"/>
      <c r="X532" s="1707"/>
      <c r="Y532" s="1707"/>
      <c r="Z532" s="1707"/>
      <c r="AA532" s="1293"/>
      <c r="AB532" s="1707"/>
      <c r="AC532" s="1707"/>
      <c r="AD532" s="1707"/>
      <c r="AE532" s="1707"/>
      <c r="AF532" s="1707"/>
      <c r="AG532" s="1707"/>
      <c r="AH532" s="1707"/>
      <c r="AI532" s="1707"/>
      <c r="AJ532" s="2186"/>
      <c r="AK532" s="1707"/>
      <c r="AL532" s="1707"/>
      <c r="AM532" s="1707"/>
      <c r="AN532" s="1707"/>
      <c r="AO532" s="2186"/>
      <c r="AP532" s="1707"/>
      <c r="AQ532" s="1707"/>
      <c r="AR532" s="1707"/>
      <c r="AS532" s="1707"/>
      <c r="AT532" s="2186"/>
      <c r="AU532" s="1707"/>
      <c r="AV532" s="1707"/>
      <c r="AW532" s="1707"/>
      <c r="AX532" s="1707"/>
      <c r="AY532" s="2186"/>
      <c r="AZ532" s="1707"/>
      <c r="BA532" s="1707"/>
      <c r="BB532" s="1707"/>
      <c r="BC532" s="1293"/>
      <c r="BD532" s="2186"/>
      <c r="BE532" s="1707"/>
      <c r="BF532" s="1707"/>
      <c r="BG532" s="1707"/>
      <c r="BH532" s="1293"/>
      <c r="BI532" s="2186"/>
      <c r="BJ532" s="1707"/>
      <c r="BK532" s="1707"/>
      <c r="BL532" s="1707"/>
      <c r="BM532" s="1707"/>
      <c r="BN532" s="2186"/>
      <c r="BO532" s="1293"/>
      <c r="BP532" s="1293"/>
      <c r="BQ532" s="1293"/>
      <c r="BR532" s="1293"/>
      <c r="BS532" s="1293"/>
      <c r="BT532" s="1293"/>
      <c r="BU532" s="1293"/>
      <c r="BV532" s="1293"/>
      <c r="BW532" s="1293"/>
      <c r="BX532" s="1293"/>
      <c r="BY532" s="1293"/>
      <c r="BZ532" s="1293"/>
      <c r="CA532" s="1293"/>
      <c r="CB532" s="1293"/>
      <c r="CC532" s="1293"/>
      <c r="CD532" s="1293"/>
      <c r="CE532" s="1293"/>
      <c r="CF532" s="1293"/>
      <c r="CG532" s="1293"/>
      <c r="CH532" s="1293"/>
      <c r="CI532" s="1293"/>
      <c r="CJ532" s="1293"/>
      <c r="CK532" s="1293"/>
      <c r="CL532" s="1293"/>
      <c r="CM532" s="1293"/>
      <c r="CN532" s="1293"/>
      <c r="CO532" s="1293"/>
      <c r="CP532" s="1293"/>
      <c r="CQ532" s="1293"/>
      <c r="CR532" s="1293"/>
      <c r="CS532" s="1293"/>
      <c r="CT532" s="1293"/>
      <c r="CU532" s="1293"/>
      <c r="CV532" s="1293"/>
      <c r="CW532" s="1293"/>
      <c r="CX532" s="1293"/>
      <c r="CY532" s="2032"/>
      <c r="CZ532" s="1293"/>
      <c r="DA532" s="2238"/>
      <c r="DB532" s="2239"/>
      <c r="DC532" s="1293"/>
      <c r="DD532" s="1293"/>
      <c r="DE532" s="1293"/>
      <c r="DF532" s="1293"/>
      <c r="DG532" s="1293"/>
      <c r="DH532" s="1293"/>
      <c r="DI532" s="1293"/>
      <c r="DJ532" s="1293"/>
      <c r="DK532" s="1293"/>
      <c r="DL532" s="1293"/>
    </row>
    <row r="533" spans="1:116" ht="15.75">
      <c r="A533" s="1293"/>
      <c r="B533" s="1653"/>
      <c r="C533" s="1707"/>
      <c r="D533" s="1707"/>
      <c r="E533" s="1707"/>
      <c r="F533" s="1707"/>
      <c r="G533" s="1707"/>
      <c r="H533" s="1707"/>
      <c r="I533" s="1707"/>
      <c r="J533" s="1707"/>
      <c r="K533" s="1707"/>
      <c r="L533" s="1707"/>
      <c r="M533" s="1707"/>
      <c r="N533" s="1707"/>
      <c r="O533" s="1707"/>
      <c r="P533" s="1707"/>
      <c r="Q533" s="1293"/>
      <c r="R533" s="1707"/>
      <c r="S533" s="1707"/>
      <c r="T533" s="1707"/>
      <c r="U533" s="1707"/>
      <c r="V533" s="1293"/>
      <c r="W533" s="1707"/>
      <c r="X533" s="1707"/>
      <c r="Y533" s="1707"/>
      <c r="Z533" s="1707"/>
      <c r="AA533" s="1293"/>
      <c r="AB533" s="1707"/>
      <c r="AC533" s="1707"/>
      <c r="AD533" s="1707"/>
      <c r="AE533" s="1707"/>
      <c r="AF533" s="1707"/>
      <c r="AG533" s="1707"/>
      <c r="AH533" s="1707"/>
      <c r="AI533" s="1707"/>
      <c r="AJ533" s="2186"/>
      <c r="AK533" s="1707"/>
      <c r="AL533" s="1707"/>
      <c r="AM533" s="1707"/>
      <c r="AN533" s="1707"/>
      <c r="AO533" s="2186"/>
      <c r="AP533" s="1707"/>
      <c r="AQ533" s="1707"/>
      <c r="AR533" s="1707"/>
      <c r="AS533" s="1707"/>
      <c r="AT533" s="2186"/>
      <c r="AU533" s="1707"/>
      <c r="AV533" s="1707"/>
      <c r="AW533" s="1707"/>
      <c r="AX533" s="1707"/>
      <c r="AY533" s="2186"/>
      <c r="AZ533" s="1707"/>
      <c r="BA533" s="1707"/>
      <c r="BB533" s="1707"/>
      <c r="BC533" s="1293"/>
      <c r="BD533" s="2186"/>
      <c r="BE533" s="1707"/>
      <c r="BF533" s="1707"/>
      <c r="BG533" s="1707"/>
      <c r="BH533" s="1293"/>
      <c r="BI533" s="2186"/>
      <c r="BJ533" s="1707"/>
      <c r="BK533" s="1707"/>
      <c r="BL533" s="1707"/>
      <c r="BM533" s="1707"/>
      <c r="BN533" s="2186"/>
      <c r="BO533" s="1293"/>
      <c r="BP533" s="1293"/>
      <c r="BQ533" s="1293"/>
      <c r="BR533" s="1293"/>
      <c r="BS533" s="1293"/>
      <c r="BT533" s="1293"/>
      <c r="BU533" s="1293"/>
      <c r="BV533" s="1293"/>
      <c r="BW533" s="1293"/>
      <c r="BX533" s="1293"/>
      <c r="BY533" s="1293"/>
      <c r="BZ533" s="1293"/>
      <c r="CA533" s="1293"/>
      <c r="CB533" s="1293"/>
      <c r="CC533" s="1293"/>
      <c r="CD533" s="1293"/>
      <c r="CE533" s="1293"/>
      <c r="CF533" s="1293"/>
      <c r="CG533" s="1293"/>
      <c r="CH533" s="1293"/>
      <c r="CI533" s="1293"/>
      <c r="CJ533" s="1293"/>
      <c r="CK533" s="1293"/>
      <c r="CL533" s="1293"/>
      <c r="CM533" s="1293"/>
      <c r="CN533" s="1293"/>
      <c r="CO533" s="1293"/>
      <c r="CP533" s="1293"/>
      <c r="CQ533" s="1293"/>
      <c r="CR533" s="1293"/>
      <c r="CS533" s="1293"/>
      <c r="CT533" s="1293"/>
      <c r="CU533" s="1293"/>
      <c r="CV533" s="1293"/>
      <c r="CW533" s="1293"/>
      <c r="CX533" s="1293"/>
      <c r="CY533" s="2032"/>
      <c r="CZ533" s="1293"/>
      <c r="DA533" s="2238"/>
      <c r="DB533" s="2239"/>
      <c r="DC533" s="1293"/>
      <c r="DD533" s="1293"/>
      <c r="DE533" s="1293"/>
      <c r="DF533" s="1293"/>
      <c r="DG533" s="1293"/>
      <c r="DH533" s="1293"/>
      <c r="DI533" s="1293"/>
      <c r="DJ533" s="1293"/>
      <c r="DK533" s="1293"/>
      <c r="DL533" s="1293"/>
    </row>
    <row r="534" spans="1:116" ht="15.75">
      <c r="A534" s="1293"/>
      <c r="B534" s="1653" t="s">
        <v>134</v>
      </c>
      <c r="C534" s="1666">
        <v>4521</v>
      </c>
      <c r="D534" s="1666">
        <v>4484</v>
      </c>
      <c r="E534" s="1666">
        <v>5000</v>
      </c>
      <c r="F534" s="1666">
        <v>4829</v>
      </c>
      <c r="G534" s="1707"/>
      <c r="H534" s="1666">
        <v>5227</v>
      </c>
      <c r="I534" s="1666">
        <v>5086</v>
      </c>
      <c r="J534" s="1666">
        <v>5122</v>
      </c>
      <c r="K534" s="1666">
        <v>5384</v>
      </c>
      <c r="L534" s="1707"/>
      <c r="M534" s="1666">
        <v>5402</v>
      </c>
      <c r="N534" s="1666">
        <v>5700</v>
      </c>
      <c r="O534" s="1666">
        <v>5789</v>
      </c>
      <c r="P534" s="1666">
        <v>5290</v>
      </c>
      <c r="Q534" s="1293"/>
      <c r="R534" s="1666">
        <v>5307</v>
      </c>
      <c r="S534" s="1666">
        <v>5599</v>
      </c>
      <c r="T534" s="1666">
        <v>5639</v>
      </c>
      <c r="U534" s="1666">
        <v>5168</v>
      </c>
      <c r="V534" s="1293"/>
      <c r="W534" s="1666">
        <v>5208</v>
      </c>
      <c r="X534" s="1666">
        <v>5228</v>
      </c>
      <c r="Y534" s="1666">
        <v>5033</v>
      </c>
      <c r="Z534" s="1666">
        <v>5890</v>
      </c>
      <c r="AA534" s="1293"/>
      <c r="AB534" s="1666">
        <v>7294</v>
      </c>
      <c r="AC534" s="1666">
        <f>AB534-854</f>
        <v>6440</v>
      </c>
      <c r="AD534" s="1666">
        <v>7612</v>
      </c>
      <c r="AE534" s="1666">
        <f>AD534-919</f>
        <v>6693</v>
      </c>
      <c r="AF534" s="1666">
        <v>7941</v>
      </c>
      <c r="AG534" s="1666"/>
      <c r="AH534" s="1666">
        <f>Master!V585</f>
        <v>8631</v>
      </c>
      <c r="AI534" s="1666"/>
      <c r="AJ534" s="2186"/>
      <c r="AK534" s="2216">
        <v>8967</v>
      </c>
      <c r="AL534" s="2216">
        <v>8570</v>
      </c>
      <c r="AM534" s="2216">
        <v>8498</v>
      </c>
      <c r="AN534" s="2216">
        <v>7753</v>
      </c>
      <c r="AO534" s="2186"/>
      <c r="AP534" s="2216">
        <v>7445</v>
      </c>
      <c r="AQ534" s="2216">
        <v>7388</v>
      </c>
      <c r="AR534" s="2216">
        <v>7220</v>
      </c>
      <c r="AS534" s="2216">
        <v>9251</v>
      </c>
      <c r="AT534" s="2186"/>
      <c r="AU534" s="1666">
        <f>AU538+AU539</f>
        <v>8494</v>
      </c>
      <c r="AV534" s="1666">
        <f>AV538+AV539</f>
        <v>7897</v>
      </c>
      <c r="AW534" s="1666">
        <f>AW535+AW536</f>
        <v>7890</v>
      </c>
      <c r="AX534" s="1666">
        <f>AX535+AX536</f>
        <v>7819.78</v>
      </c>
      <c r="AY534" s="2186"/>
      <c r="AZ534" s="1666">
        <f>AZ535+AZ536</f>
        <v>7913</v>
      </c>
      <c r="BA534" s="1666">
        <f>BA535+BA536</f>
        <v>7813</v>
      </c>
      <c r="BB534" s="1666">
        <f>BB535+BB536</f>
        <v>7793</v>
      </c>
      <c r="BC534" s="1666">
        <f>BC535+BC536</f>
        <v>7779</v>
      </c>
      <c r="BD534" s="2212"/>
      <c r="BE534" s="1666">
        <f>BE535+BE536</f>
        <v>7736</v>
      </c>
      <c r="BF534" s="1666">
        <f>BF535+BF536</f>
        <v>7520</v>
      </c>
      <c r="BG534" s="1666">
        <f>BG535+BG536</f>
        <v>7288</v>
      </c>
      <c r="BH534" s="1666">
        <f>BH535+BH536</f>
        <v>6828</v>
      </c>
      <c r="BI534" s="2186"/>
      <c r="BJ534" s="1666">
        <f>BJ535+BJ536</f>
        <v>7084</v>
      </c>
      <c r="BK534" s="1666">
        <f>BK535+BK536</f>
        <v>7339</v>
      </c>
      <c r="BL534" s="1666">
        <f>BL535+BL536</f>
        <v>7594</v>
      </c>
      <c r="BM534" s="1666">
        <f>BM535+BM536</f>
        <v>6851.85</v>
      </c>
      <c r="BN534" s="2186"/>
      <c r="BO534" s="1293"/>
      <c r="BP534" s="1293"/>
      <c r="BQ534" s="1293"/>
      <c r="BR534" s="1293"/>
      <c r="BS534" s="1293"/>
      <c r="BT534" s="1293"/>
      <c r="BU534" s="1293"/>
      <c r="BV534" s="1293"/>
      <c r="BW534" s="1293"/>
      <c r="BX534" s="1293"/>
      <c r="BY534" s="1293"/>
      <c r="BZ534" s="1293"/>
      <c r="CA534" s="1293"/>
      <c r="CB534" s="1293"/>
      <c r="CC534" s="1293"/>
      <c r="CD534" s="1293"/>
      <c r="CE534" s="1293"/>
      <c r="CF534" s="1293"/>
      <c r="CG534" s="1293"/>
      <c r="CH534" s="1293"/>
      <c r="CI534" s="1293"/>
      <c r="CJ534" s="1293"/>
      <c r="CK534" s="1293"/>
      <c r="CL534" s="1293"/>
      <c r="CM534" s="1293"/>
      <c r="CN534" s="1293"/>
      <c r="CO534" s="1293"/>
      <c r="CP534" s="1293"/>
      <c r="CQ534" s="1293"/>
      <c r="CR534" s="1293"/>
      <c r="CS534" s="1293"/>
      <c r="CT534" s="1293"/>
      <c r="CU534" s="1293"/>
      <c r="CV534" s="1293"/>
      <c r="CW534" s="1293"/>
      <c r="CX534" s="1293"/>
      <c r="CY534" s="2215">
        <v>0</v>
      </c>
      <c r="CZ534" s="1293"/>
      <c r="DA534" s="2214">
        <v>7736</v>
      </c>
      <c r="DB534" s="2215">
        <v>7520</v>
      </c>
      <c r="DC534" s="1293"/>
      <c r="DD534" s="1293"/>
      <c r="DE534" s="1293"/>
      <c r="DF534" s="1293"/>
      <c r="DG534" s="1293"/>
      <c r="DH534" s="1293"/>
      <c r="DI534" s="1293"/>
      <c r="DJ534" s="1293"/>
      <c r="DK534" s="1293"/>
      <c r="DL534" s="1293"/>
    </row>
    <row r="535" spans="1:116" ht="15.75">
      <c r="A535" s="1293"/>
      <c r="B535" s="1931" t="s">
        <v>5749</v>
      </c>
      <c r="C535" s="1666"/>
      <c r="D535" s="1666"/>
      <c r="E535" s="1666"/>
      <c r="F535" s="1666"/>
      <c r="G535" s="1707"/>
      <c r="H535" s="1666"/>
      <c r="I535" s="1666"/>
      <c r="J535" s="1666"/>
      <c r="K535" s="1666"/>
      <c r="L535" s="1707"/>
      <c r="M535" s="1666"/>
      <c r="N535" s="1666"/>
      <c r="O535" s="1666"/>
      <c r="P535" s="1666"/>
      <c r="Q535" s="1293"/>
      <c r="R535" s="1666"/>
      <c r="S535" s="1666"/>
      <c r="T535" s="1666"/>
      <c r="U535" s="1666"/>
      <c r="V535" s="1293"/>
      <c r="W535" s="1666"/>
      <c r="X535" s="1666"/>
      <c r="Y535" s="1666"/>
      <c r="Z535" s="1666"/>
      <c r="AA535" s="1293"/>
      <c r="AB535" s="1666">
        <v>854</v>
      </c>
      <c r="AC535" s="1666"/>
      <c r="AD535" s="1666">
        <v>919</v>
      </c>
      <c r="AE535" s="1666"/>
      <c r="AF535" s="1666">
        <f>1270-(Z539-4763)</f>
        <v>917</v>
      </c>
      <c r="AG535" s="1666"/>
      <c r="AH535" s="1666">
        <f>Master!V579</f>
        <v>1376</v>
      </c>
      <c r="AI535" s="1666"/>
      <c r="AJ535" s="2186">
        <f>Master!V579</f>
        <v>1376</v>
      </c>
      <c r="AK535" s="2216">
        <v>1274</v>
      </c>
      <c r="AL535" s="2216">
        <v>1314</v>
      </c>
      <c r="AM535" s="2216">
        <v>1289</v>
      </c>
      <c r="AN535" s="2216">
        <v>1312</v>
      </c>
      <c r="AO535" s="2186">
        <f>Master!W579</f>
        <v>1376</v>
      </c>
      <c r="AP535" s="2216">
        <v>1285</v>
      </c>
      <c r="AQ535" s="2216">
        <v>1252</v>
      </c>
      <c r="AR535" s="2216">
        <v>1217</v>
      </c>
      <c r="AS535" s="2216">
        <v>1228</v>
      </c>
      <c r="AT535" s="2186"/>
      <c r="AU535" s="2216">
        <v>1071</v>
      </c>
      <c r="AV535" s="2216">
        <v>1034</v>
      </c>
      <c r="AW535" s="2216">
        <v>1025</v>
      </c>
      <c r="AX535" s="2216">
        <v>1015.72</v>
      </c>
      <c r="AY535" s="2186"/>
      <c r="AZ535" s="2216">
        <v>1026</v>
      </c>
      <c r="BA535" s="2216">
        <v>1027</v>
      </c>
      <c r="BB535" s="2216">
        <v>1019</v>
      </c>
      <c r="BC535" s="2216">
        <v>1043</v>
      </c>
      <c r="BD535" s="2186"/>
      <c r="BE535" s="2216">
        <v>1140</v>
      </c>
      <c r="BF535" s="2216">
        <f>890+188</f>
        <v>1078</v>
      </c>
      <c r="BG535" s="2216">
        <v>1080</v>
      </c>
      <c r="BH535" s="2216">
        <v>954</v>
      </c>
      <c r="BI535" s="2186"/>
      <c r="BJ535" s="1945">
        <v>960</v>
      </c>
      <c r="BK535" s="1945">
        <v>965</v>
      </c>
      <c r="BL535" s="1945">
        <v>970</v>
      </c>
      <c r="BM535" s="1945">
        <f>BN535</f>
        <v>977.84999999999991</v>
      </c>
      <c r="BN535" s="2185">
        <f>Master!AB434</f>
        <v>977.84999999999991</v>
      </c>
      <c r="BO535" s="1293"/>
      <c r="BP535" s="1293"/>
      <c r="BQ535" s="1293"/>
      <c r="BR535" s="1293"/>
      <c r="BS535" s="1293"/>
      <c r="BT535" s="1293"/>
      <c r="BU535" s="1293"/>
      <c r="BV535" s="1293"/>
      <c r="BW535" s="1293"/>
      <c r="BX535" s="1293"/>
      <c r="BY535" s="1293"/>
      <c r="BZ535" s="1293"/>
      <c r="CA535" s="1293"/>
      <c r="CB535" s="1293"/>
      <c r="CC535" s="1293"/>
      <c r="CD535" s="1293"/>
      <c r="CE535" s="1293"/>
      <c r="CF535" s="1293"/>
      <c r="CG535" s="1293"/>
      <c r="CH535" s="1293"/>
      <c r="CI535" s="1293"/>
      <c r="CJ535" s="1293"/>
      <c r="CK535" s="1293"/>
      <c r="CL535" s="1293"/>
      <c r="CM535" s="1293"/>
      <c r="CN535" s="1293"/>
      <c r="CO535" s="1293"/>
      <c r="CP535" s="1293"/>
      <c r="CQ535" s="1293"/>
      <c r="CR535" s="1293"/>
      <c r="CS535" s="1293"/>
      <c r="CT535" s="1293"/>
      <c r="CU535" s="1293"/>
      <c r="CV535" s="1293"/>
      <c r="CW535" s="1293"/>
      <c r="CX535" s="1293"/>
      <c r="CY535" s="2032"/>
      <c r="CZ535" s="1293"/>
      <c r="DA535" s="2292">
        <v>1150</v>
      </c>
      <c r="DB535" s="2293">
        <v>1160</v>
      </c>
      <c r="DC535" s="1293"/>
      <c r="DD535" s="1293"/>
      <c r="DE535" s="1293"/>
      <c r="DF535" s="1293"/>
      <c r="DG535" s="1293"/>
      <c r="DH535" s="1293"/>
      <c r="DI535" s="1293"/>
      <c r="DJ535" s="1293"/>
      <c r="DK535" s="1293"/>
      <c r="DL535" s="1293"/>
    </row>
    <row r="536" spans="1:116" ht="15.75">
      <c r="A536" s="1293"/>
      <c r="B536" s="1931" t="s">
        <v>5750</v>
      </c>
      <c r="C536" s="1666"/>
      <c r="D536" s="1666"/>
      <c r="E536" s="1666"/>
      <c r="F536" s="1666"/>
      <c r="G536" s="1707"/>
      <c r="H536" s="1666"/>
      <c r="I536" s="1666"/>
      <c r="J536" s="1666"/>
      <c r="K536" s="1666"/>
      <c r="L536" s="1707"/>
      <c r="M536" s="1666"/>
      <c r="N536" s="1666"/>
      <c r="O536" s="1666"/>
      <c r="P536" s="1666"/>
      <c r="Q536" s="1293"/>
      <c r="R536" s="1666"/>
      <c r="S536" s="1666"/>
      <c r="T536" s="1666"/>
      <c r="U536" s="1666"/>
      <c r="V536" s="1293"/>
      <c r="W536" s="1666"/>
      <c r="X536" s="1666"/>
      <c r="Y536" s="1666"/>
      <c r="Z536" s="1666"/>
      <c r="AA536" s="1293"/>
      <c r="AB536" s="1666">
        <f>AB534-AB535</f>
        <v>6440</v>
      </c>
      <c r="AC536" s="1666"/>
      <c r="AD536" s="1666">
        <f>AD534-AD535</f>
        <v>6693</v>
      </c>
      <c r="AE536" s="1666"/>
      <c r="AF536" s="1666">
        <f>AF534-AF535</f>
        <v>7024</v>
      </c>
      <c r="AG536" s="1666"/>
      <c r="AH536" s="1666">
        <f>AH534-AH535</f>
        <v>7255</v>
      </c>
      <c r="AI536" s="1666"/>
      <c r="AJ536" s="2186"/>
      <c r="AK536" s="1666">
        <f>AK534-AK535</f>
        <v>7693</v>
      </c>
      <c r="AL536" s="1666">
        <f>AL534-AL535</f>
        <v>7256</v>
      </c>
      <c r="AM536" s="1666">
        <f>AM534-AM535</f>
        <v>7209</v>
      </c>
      <c r="AN536" s="1666">
        <f>AN534-AN535</f>
        <v>6441</v>
      </c>
      <c r="AO536" s="2186"/>
      <c r="AP536" s="1666">
        <f>AP534-AP535</f>
        <v>6160</v>
      </c>
      <c r="AQ536" s="1666">
        <f>AQ534-AQ535</f>
        <v>6136</v>
      </c>
      <c r="AR536" s="1666">
        <f>AR534-AR535</f>
        <v>6003</v>
      </c>
      <c r="AS536" s="1666">
        <f>AS534-AS535</f>
        <v>8023</v>
      </c>
      <c r="AT536" s="2186"/>
      <c r="AU536" s="1666">
        <f>AU534-AU535</f>
        <v>7423</v>
      </c>
      <c r="AV536" s="1666">
        <f>AV534-AV535</f>
        <v>6863</v>
      </c>
      <c r="AW536" s="2216">
        <v>6865</v>
      </c>
      <c r="AX536" s="2216">
        <f>4100.46+2703.6</f>
        <v>6804.0599999999995</v>
      </c>
      <c r="AY536" s="2186"/>
      <c r="AZ536" s="2216">
        <f>6845+42</f>
        <v>6887</v>
      </c>
      <c r="BA536" s="2216">
        <f>6735+51</f>
        <v>6786</v>
      </c>
      <c r="BB536" s="2216">
        <f>6721+53</f>
        <v>6774</v>
      </c>
      <c r="BC536" s="2216">
        <f>6678+58</f>
        <v>6736</v>
      </c>
      <c r="BD536" s="2186"/>
      <c r="BE536" s="2216">
        <f>6530+66</f>
        <v>6596</v>
      </c>
      <c r="BF536" s="2216">
        <f>6391+51</f>
        <v>6442</v>
      </c>
      <c r="BG536" s="2216">
        <f>6172+36</f>
        <v>6208</v>
      </c>
      <c r="BH536" s="2216">
        <f>5815+59</f>
        <v>5874</v>
      </c>
      <c r="BI536" s="2186"/>
      <c r="BJ536" s="1945">
        <f>BH536+250</f>
        <v>6124</v>
      </c>
      <c r="BK536" s="1945">
        <f>BJ536+250</f>
        <v>6374</v>
      </c>
      <c r="BL536" s="1945">
        <f>BK536+250</f>
        <v>6624</v>
      </c>
      <c r="BM536" s="1945">
        <f>BN536</f>
        <v>5874</v>
      </c>
      <c r="BN536" s="2185">
        <f>Master!AB464</f>
        <v>5874</v>
      </c>
      <c r="BO536" s="1293"/>
      <c r="BP536" s="1293"/>
      <c r="BQ536" s="1293"/>
      <c r="BR536" s="1293"/>
      <c r="BS536" s="1293"/>
      <c r="BT536" s="1293"/>
      <c r="BU536" s="1293"/>
      <c r="BV536" s="1293"/>
      <c r="BW536" s="1293"/>
      <c r="BX536" s="1293"/>
      <c r="BY536" s="1293"/>
      <c r="BZ536" s="1293"/>
      <c r="CA536" s="1293"/>
      <c r="CB536" s="1293"/>
      <c r="CC536" s="1293"/>
      <c r="CD536" s="1293"/>
      <c r="CE536" s="1293"/>
      <c r="CF536" s="1293"/>
      <c r="CG536" s="1293"/>
      <c r="CH536" s="1293"/>
      <c r="CI536" s="1293"/>
      <c r="CJ536" s="1293"/>
      <c r="CK536" s="1293"/>
      <c r="CL536" s="1293"/>
      <c r="CM536" s="1293"/>
      <c r="CN536" s="1293"/>
      <c r="CO536" s="1293"/>
      <c r="CP536" s="1293"/>
      <c r="CQ536" s="1293"/>
      <c r="CR536" s="1293"/>
      <c r="CS536" s="1293"/>
      <c r="CT536" s="1293"/>
      <c r="CU536" s="1293"/>
      <c r="CV536" s="1293"/>
      <c r="CW536" s="1293"/>
      <c r="CX536" s="1293"/>
      <c r="CY536" s="2032"/>
      <c r="CZ536" s="1293"/>
      <c r="DA536" s="2214"/>
      <c r="DB536" s="2215"/>
      <c r="DC536" s="1293"/>
      <c r="DD536" s="1293"/>
      <c r="DE536" s="1293"/>
      <c r="DF536" s="1293"/>
      <c r="DG536" s="1293"/>
      <c r="DH536" s="1293"/>
      <c r="DI536" s="1293"/>
      <c r="DJ536" s="1293"/>
      <c r="DK536" s="1293"/>
      <c r="DL536" s="1293"/>
    </row>
    <row r="537" spans="1:116" ht="15.75">
      <c r="A537" s="1293"/>
      <c r="B537" s="1653"/>
      <c r="C537" s="1666"/>
      <c r="D537" s="1666"/>
      <c r="E537" s="1666"/>
      <c r="F537" s="1666"/>
      <c r="G537" s="1707"/>
      <c r="H537" s="1666"/>
      <c r="I537" s="1666"/>
      <c r="J537" s="1666"/>
      <c r="K537" s="1666"/>
      <c r="L537" s="1707"/>
      <c r="M537" s="1666"/>
      <c r="N537" s="1666"/>
      <c r="O537" s="1666"/>
      <c r="P537" s="1666"/>
      <c r="Q537" s="1293"/>
      <c r="R537" s="1666"/>
      <c r="S537" s="1666"/>
      <c r="T537" s="1666"/>
      <c r="U537" s="1666"/>
      <c r="V537" s="1293"/>
      <c r="W537" s="1666"/>
      <c r="X537" s="1666"/>
      <c r="Y537" s="1666"/>
      <c r="Z537" s="1666"/>
      <c r="AA537" s="1293"/>
      <c r="AB537" s="1666"/>
      <c r="AC537" s="1666"/>
      <c r="AD537" s="1665"/>
      <c r="AE537" s="1666"/>
      <c r="AF537" s="1666"/>
      <c r="AG537" s="1666"/>
      <c r="AH537" s="1666"/>
      <c r="AI537" s="1666"/>
      <c r="AJ537" s="2186"/>
      <c r="AK537" s="1666"/>
      <c r="AL537" s="1666"/>
      <c r="AM537" s="1666"/>
      <c r="AN537" s="1666"/>
      <c r="AO537" s="2186"/>
      <c r="AP537" s="1666"/>
      <c r="AQ537" s="1666"/>
      <c r="AR537" s="1666"/>
      <c r="AS537" s="1666"/>
      <c r="AT537" s="2186"/>
      <c r="AU537" s="1666"/>
      <c r="AV537" s="1666"/>
      <c r="AW537" s="1666"/>
      <c r="AX537" s="1666"/>
      <c r="AY537" s="2186"/>
      <c r="AZ537" s="1666"/>
      <c r="BA537" s="1666"/>
      <c r="BB537" s="1666"/>
      <c r="BC537" s="1293"/>
      <c r="BD537" s="2186"/>
      <c r="BE537" s="1666"/>
      <c r="BF537" s="1666"/>
      <c r="BG537" s="1666"/>
      <c r="BH537" s="1293"/>
      <c r="BI537" s="2186"/>
      <c r="BJ537" s="1666"/>
      <c r="BK537" s="1666"/>
      <c r="BL537" s="1666"/>
      <c r="BM537" s="1666"/>
      <c r="BN537" s="2186"/>
      <c r="BO537" s="1293"/>
      <c r="BP537" s="1293"/>
      <c r="BQ537" s="1293"/>
      <c r="BR537" s="1293"/>
      <c r="BS537" s="1293"/>
      <c r="BT537" s="1293"/>
      <c r="BU537" s="1293"/>
      <c r="BV537" s="1293"/>
      <c r="BW537" s="1293"/>
      <c r="BX537" s="1293"/>
      <c r="BY537" s="1293"/>
      <c r="BZ537" s="1293"/>
      <c r="CA537" s="1293"/>
      <c r="CB537" s="1293"/>
      <c r="CC537" s="1293"/>
      <c r="CD537" s="1293"/>
      <c r="CE537" s="1293"/>
      <c r="CF537" s="1293"/>
      <c r="CG537" s="1293"/>
      <c r="CH537" s="1293"/>
      <c r="CI537" s="1293"/>
      <c r="CJ537" s="1293"/>
      <c r="CK537" s="1293"/>
      <c r="CL537" s="1293"/>
      <c r="CM537" s="1293"/>
      <c r="CN537" s="1293"/>
      <c r="CO537" s="1293"/>
      <c r="CP537" s="1293"/>
      <c r="CQ537" s="1293"/>
      <c r="CR537" s="1293"/>
      <c r="CS537" s="1293"/>
      <c r="CT537" s="1293"/>
      <c r="CU537" s="1293"/>
      <c r="CV537" s="1293"/>
      <c r="CW537" s="1293"/>
      <c r="CX537" s="1293"/>
      <c r="CY537" s="2032"/>
      <c r="CZ537" s="1293"/>
      <c r="DA537" s="2214"/>
      <c r="DB537" s="2215"/>
      <c r="DC537" s="1293"/>
      <c r="DD537" s="1293"/>
      <c r="DE537" s="1293"/>
      <c r="DF537" s="1293"/>
      <c r="DG537" s="1293"/>
      <c r="DH537" s="1293"/>
      <c r="DI537" s="1293"/>
      <c r="DJ537" s="1293"/>
      <c r="DK537" s="1293"/>
      <c r="DL537" s="1293"/>
    </row>
    <row r="538" spans="1:116" ht="15.75">
      <c r="A538" s="1293"/>
      <c r="B538" s="1653" t="s">
        <v>2222</v>
      </c>
      <c r="C538" s="1666">
        <v>1899</v>
      </c>
      <c r="D538" s="1666">
        <v>1437</v>
      </c>
      <c r="E538" s="1666">
        <v>814</v>
      </c>
      <c r="F538" s="1666">
        <f>F534-F539</f>
        <v>832</v>
      </c>
      <c r="G538" s="1707"/>
      <c r="H538" s="1666">
        <f>H534-H539</f>
        <v>1263</v>
      </c>
      <c r="I538" s="1666">
        <f>I534-I539</f>
        <v>805</v>
      </c>
      <c r="J538" s="1666">
        <v>854</v>
      </c>
      <c r="K538" s="1666">
        <v>1090</v>
      </c>
      <c r="L538" s="1707"/>
      <c r="M538" s="1666">
        <f>M534-M539</f>
        <v>983</v>
      </c>
      <c r="N538" s="1666">
        <f>N534-N539</f>
        <v>1418</v>
      </c>
      <c r="O538" s="1666">
        <f>O534-O539</f>
        <v>1637</v>
      </c>
      <c r="P538" s="1666">
        <f>P534-P539</f>
        <v>1109</v>
      </c>
      <c r="Q538" s="1293"/>
      <c r="R538" s="1666">
        <f>R534-R539</f>
        <v>1106</v>
      </c>
      <c r="S538" s="1666">
        <f>S534-S539</f>
        <v>1197</v>
      </c>
      <c r="T538" s="1666">
        <f>T534-T539</f>
        <v>1365</v>
      </c>
      <c r="U538" s="1666">
        <v>1097</v>
      </c>
      <c r="V538" s="1293"/>
      <c r="W538" s="1666">
        <f>W534-W539</f>
        <v>1108</v>
      </c>
      <c r="X538" s="1666">
        <f>X534-X539</f>
        <v>1247</v>
      </c>
      <c r="Y538" s="1666">
        <f>Y534-Y539</f>
        <v>1247</v>
      </c>
      <c r="Z538" s="1666">
        <v>774</v>
      </c>
      <c r="AA538" s="1293"/>
      <c r="AB538" s="1666">
        <f>AB534-AB539</f>
        <v>1244</v>
      </c>
      <c r="AC538" s="1666">
        <f>AB538</f>
        <v>1244</v>
      </c>
      <c r="AD538" s="1666">
        <v>1125</v>
      </c>
      <c r="AE538" s="1666"/>
      <c r="AF538" s="1666">
        <f>AF534-AF539</f>
        <v>886</v>
      </c>
      <c r="AG538" s="1666"/>
      <c r="AH538" s="1666">
        <f>Master!V418</f>
        <v>1395</v>
      </c>
      <c r="AI538" s="1666"/>
      <c r="AJ538" s="2186"/>
      <c r="AK538" s="1666">
        <f>AK534-AK539</f>
        <v>1748</v>
      </c>
      <c r="AL538" s="2216">
        <v>1478</v>
      </c>
      <c r="AM538" s="2216">
        <v>1503</v>
      </c>
      <c r="AN538" s="2216">
        <v>1122</v>
      </c>
      <c r="AO538" s="2186"/>
      <c r="AP538" s="2216">
        <v>823</v>
      </c>
      <c r="AQ538" s="2216">
        <v>1041</v>
      </c>
      <c r="AR538" s="2216">
        <v>984</v>
      </c>
      <c r="AS538" s="2216">
        <v>969</v>
      </c>
      <c r="AT538" s="2186"/>
      <c r="AU538" s="2216">
        <v>699</v>
      </c>
      <c r="AV538" s="2216">
        <v>779</v>
      </c>
      <c r="AW538" s="2216">
        <v>884</v>
      </c>
      <c r="AX538" s="2216">
        <v>1039.3399999999999</v>
      </c>
      <c r="AY538" s="2186"/>
      <c r="AZ538" s="2216">
        <v>904</v>
      </c>
      <c r="BA538" s="2216">
        <v>703</v>
      </c>
      <c r="BB538" s="2216">
        <v>759</v>
      </c>
      <c r="BC538" s="2216">
        <v>780.35599999999999</v>
      </c>
      <c r="BD538" s="2186"/>
      <c r="BE538" s="2216">
        <v>622</v>
      </c>
      <c r="BF538" s="2216">
        <v>792</v>
      </c>
      <c r="BG538" s="2216">
        <v>803</v>
      </c>
      <c r="BH538" s="2216">
        <v>699</v>
      </c>
      <c r="BI538" s="2186"/>
      <c r="BJ538" s="1945">
        <f>BH538+500</f>
        <v>1199</v>
      </c>
      <c r="BK538" s="1945">
        <f>BJ538+500</f>
        <v>1699</v>
      </c>
      <c r="BL538" s="1945">
        <f>BK538+500</f>
        <v>2199</v>
      </c>
      <c r="BM538" s="1945">
        <f ca="1">BN538</f>
        <v>1440.0067634385387</v>
      </c>
      <c r="BN538" s="2185">
        <f ca="1">Master!AB418</f>
        <v>1440.0067634385387</v>
      </c>
      <c r="BO538" s="1293"/>
      <c r="BP538" s="1293"/>
      <c r="BQ538" s="1293"/>
      <c r="BR538" s="1293"/>
      <c r="BS538" s="1293"/>
      <c r="BT538" s="1293"/>
      <c r="BU538" s="1293"/>
      <c r="BV538" s="1293"/>
      <c r="BW538" s="1293"/>
      <c r="BX538" s="1293"/>
      <c r="BY538" s="1293"/>
      <c r="BZ538" s="1293"/>
      <c r="CA538" s="1293"/>
      <c r="CB538" s="1293"/>
      <c r="CC538" s="1293"/>
      <c r="CD538" s="1293"/>
      <c r="CE538" s="1293"/>
      <c r="CF538" s="1293"/>
      <c r="CG538" s="1293"/>
      <c r="CH538" s="1293"/>
      <c r="CI538" s="1293"/>
      <c r="CJ538" s="1293"/>
      <c r="CK538" s="1293"/>
      <c r="CL538" s="1293"/>
      <c r="CM538" s="1293"/>
      <c r="CN538" s="1293"/>
      <c r="CO538" s="1293"/>
      <c r="CP538" s="1293"/>
      <c r="CQ538" s="1293"/>
      <c r="CR538" s="1293"/>
      <c r="CS538" s="1293"/>
      <c r="CT538" s="1293"/>
      <c r="CU538" s="1293"/>
      <c r="CV538" s="1293"/>
      <c r="CW538" s="1293"/>
      <c r="CX538" s="1293"/>
      <c r="CY538" s="2032"/>
      <c r="CZ538" s="1293"/>
      <c r="DA538" s="2163">
        <v>748.32725153544379</v>
      </c>
      <c r="DB538" s="2162">
        <v>993.44576315960603</v>
      </c>
      <c r="DC538" s="1293"/>
      <c r="DD538" s="1293"/>
      <c r="DE538" s="1293"/>
      <c r="DF538" s="1293"/>
      <c r="DG538" s="1293"/>
      <c r="DH538" s="1293"/>
      <c r="DI538" s="1293"/>
      <c r="DJ538" s="1293"/>
      <c r="DK538" s="1293"/>
      <c r="DL538" s="1293"/>
    </row>
    <row r="539" spans="1:116" ht="15.75">
      <c r="A539" s="1293"/>
      <c r="B539" s="1834" t="s">
        <v>150</v>
      </c>
      <c r="C539" s="2251">
        <f>C534-C538</f>
        <v>2622</v>
      </c>
      <c r="D539" s="2251">
        <f>D534-D538</f>
        <v>3047</v>
      </c>
      <c r="E539" s="2251">
        <v>4187</v>
      </c>
      <c r="F539" s="2251">
        <v>3997</v>
      </c>
      <c r="G539" s="2252"/>
      <c r="H539" s="2251">
        <v>3964</v>
      </c>
      <c r="I539" s="2251">
        <v>4281</v>
      </c>
      <c r="J539" s="2251">
        <v>4268</v>
      </c>
      <c r="K539" s="2251">
        <v>4295</v>
      </c>
      <c r="L539" s="2252"/>
      <c r="M539" s="2251">
        <v>4419</v>
      </c>
      <c r="N539" s="2251">
        <v>4282</v>
      </c>
      <c r="O539" s="2251">
        <v>4152</v>
      </c>
      <c r="P539" s="2251">
        <v>4181</v>
      </c>
      <c r="Q539" s="1363"/>
      <c r="R539" s="2251">
        <v>4201</v>
      </c>
      <c r="S539" s="2251">
        <v>4402</v>
      </c>
      <c r="T539" s="2251">
        <v>4274</v>
      </c>
      <c r="U539" s="2251">
        <f>U534-U538</f>
        <v>4071</v>
      </c>
      <c r="V539" s="1961">
        <f>Valuation!G16</f>
        <v>4073</v>
      </c>
      <c r="W539" s="2251">
        <v>4100</v>
      </c>
      <c r="X539" s="2251">
        <v>3981</v>
      </c>
      <c r="Y539" s="2251">
        <v>3786</v>
      </c>
      <c r="Z539" s="2251">
        <v>5116</v>
      </c>
      <c r="AA539" s="1961">
        <f>Valuation!H16</f>
        <v>5133</v>
      </c>
      <c r="AB539" s="2251">
        <v>6050</v>
      </c>
      <c r="AC539" s="2251">
        <f>AC534-AC538</f>
        <v>5196</v>
      </c>
      <c r="AD539" s="2251">
        <f>AD534-AD538</f>
        <v>6487</v>
      </c>
      <c r="AE539" s="2251">
        <f>AD539-AD535</f>
        <v>5568</v>
      </c>
      <c r="AF539" s="2251">
        <v>7055</v>
      </c>
      <c r="AG539" s="2251"/>
      <c r="AH539" s="2251">
        <f>AH534-AH538</f>
        <v>7236</v>
      </c>
      <c r="AI539" s="2251"/>
      <c r="AJ539" s="2294">
        <f>Valuation!I16</f>
        <v>7236</v>
      </c>
      <c r="AK539" s="2295">
        <v>7219</v>
      </c>
      <c r="AL539" s="2251">
        <f>AL534-AL538</f>
        <v>7092</v>
      </c>
      <c r="AM539" s="2251">
        <f>AM534-AM538</f>
        <v>6995</v>
      </c>
      <c r="AN539" s="2251">
        <f>AN534-AN538</f>
        <v>6631</v>
      </c>
      <c r="AO539" s="2294">
        <f>Valuation!J16</f>
        <v>6631</v>
      </c>
      <c r="AP539" s="2251">
        <f>AP534-AP538</f>
        <v>6622</v>
      </c>
      <c r="AQ539" s="2251">
        <f>AQ534-AQ538</f>
        <v>6347</v>
      </c>
      <c r="AR539" s="2295">
        <v>6236</v>
      </c>
      <c r="AS539" s="2295">
        <v>8282</v>
      </c>
      <c r="AT539" s="2294">
        <f>Valuation!K16</f>
        <v>8281</v>
      </c>
      <c r="AU539" s="2295">
        <v>7795</v>
      </c>
      <c r="AV539" s="2295">
        <v>7118</v>
      </c>
      <c r="AW539" s="2251">
        <f>AW534-AW538</f>
        <v>7006</v>
      </c>
      <c r="AX539" s="2251">
        <f>AX534-AX538</f>
        <v>6780.44</v>
      </c>
      <c r="AY539" s="2294">
        <f>Valuation!L16</f>
        <v>6815</v>
      </c>
      <c r="AZ539" s="2251">
        <f>AZ534-AZ538</f>
        <v>7009</v>
      </c>
      <c r="BA539" s="2251">
        <f>BA534-BA538</f>
        <v>7110</v>
      </c>
      <c r="BB539" s="2251">
        <f>BB534-BB538</f>
        <v>7034</v>
      </c>
      <c r="BC539" s="2251">
        <f>BC534-BC538</f>
        <v>6998.6440000000002</v>
      </c>
      <c r="BD539" s="2294">
        <f>Valuation!M16</f>
        <v>6999</v>
      </c>
      <c r="BE539" s="2251">
        <f>BE534-BE538</f>
        <v>7114</v>
      </c>
      <c r="BF539" s="2251">
        <f>BF534-BF538</f>
        <v>6728</v>
      </c>
      <c r="BG539" s="2251">
        <f>BG534-BG538</f>
        <v>6485</v>
      </c>
      <c r="BH539" s="2251">
        <f>BH534-BH538</f>
        <v>6129</v>
      </c>
      <c r="BI539" s="2296">
        <f>Valuation!N16</f>
        <v>6129</v>
      </c>
      <c r="BJ539" s="2251">
        <f t="shared" ref="BJ539:BM539" si="533">BJ534-BJ538</f>
        <v>5885</v>
      </c>
      <c r="BK539" s="2251">
        <f t="shared" si="533"/>
        <v>5640</v>
      </c>
      <c r="BL539" s="2251">
        <f t="shared" si="533"/>
        <v>5395</v>
      </c>
      <c r="BM539" s="2251">
        <f t="shared" ca="1" si="533"/>
        <v>5411.8432365614617</v>
      </c>
      <c r="BN539" s="2296">
        <f ca="1">Valuation!O16</f>
        <v>5411.8432365614617</v>
      </c>
      <c r="BO539" s="1293"/>
      <c r="BP539" s="1293"/>
      <c r="BQ539" s="1293"/>
      <c r="BR539" s="1293"/>
      <c r="BS539" s="1293"/>
      <c r="BT539" s="1293"/>
      <c r="BU539" s="1293"/>
      <c r="BV539" s="1293"/>
      <c r="BW539" s="1293"/>
      <c r="BX539" s="1293"/>
      <c r="BY539" s="1293"/>
      <c r="BZ539" s="1293"/>
      <c r="CA539" s="1293"/>
      <c r="CB539" s="1293"/>
      <c r="CC539" s="1293"/>
      <c r="CD539" s="1293"/>
      <c r="CE539" s="1293"/>
      <c r="CF539" s="1293"/>
      <c r="CG539" s="1293"/>
      <c r="CH539" s="1293"/>
      <c r="CI539" s="1293"/>
      <c r="CJ539" s="1293"/>
      <c r="CK539" s="1293"/>
      <c r="CL539" s="1293"/>
      <c r="CM539" s="1293"/>
      <c r="CN539" s="1293"/>
      <c r="CO539" s="1293"/>
      <c r="CP539" s="1293"/>
      <c r="CQ539" s="1293"/>
      <c r="CR539" s="1293"/>
      <c r="CS539" s="1293"/>
      <c r="CT539" s="1293"/>
      <c r="CU539" s="1293"/>
      <c r="CV539" s="1293"/>
      <c r="CW539" s="1293"/>
      <c r="CX539" s="1293"/>
      <c r="CY539" s="2297">
        <v>6850.7876438442518</v>
      </c>
      <c r="CZ539" s="2251">
        <f>BA539-CZ510</f>
        <v>7042.7599707734225</v>
      </c>
      <c r="DA539" s="2256">
        <v>6987.6727484645562</v>
      </c>
      <c r="DB539" s="2255">
        <v>6526.554236840394</v>
      </c>
      <c r="DC539" s="1293"/>
      <c r="DD539" s="1293"/>
      <c r="DE539" s="1293"/>
      <c r="DF539" s="1293"/>
      <c r="DG539" s="1293"/>
      <c r="DH539" s="1293"/>
      <c r="DI539" s="1293"/>
      <c r="DJ539" s="1293"/>
      <c r="DK539" s="1293"/>
      <c r="DL539" s="1293"/>
    </row>
    <row r="540" spans="1:116" ht="15.75">
      <c r="A540" s="1293"/>
      <c r="B540" s="1653" t="s">
        <v>169</v>
      </c>
      <c r="C540" s="1666"/>
      <c r="D540" s="1666"/>
      <c r="E540" s="1666"/>
      <c r="F540" s="1666"/>
      <c r="G540" s="1707"/>
      <c r="H540" s="1666">
        <f>F539-H539</f>
        <v>33</v>
      </c>
      <c r="I540" s="1666">
        <f>H539-I539</f>
        <v>-317</v>
      </c>
      <c r="J540" s="1666">
        <f>I539-J539</f>
        <v>13</v>
      </c>
      <c r="K540" s="1666">
        <f>J539-K539</f>
        <v>-27</v>
      </c>
      <c r="L540" s="1707"/>
      <c r="M540" s="1666">
        <f>K539-M539</f>
        <v>-124</v>
      </c>
      <c r="N540" s="1666">
        <f>M539-N539</f>
        <v>137</v>
      </c>
      <c r="O540" s="1666">
        <f>N539-O539</f>
        <v>130</v>
      </c>
      <c r="P540" s="1666">
        <f>O539-P539</f>
        <v>-29</v>
      </c>
      <c r="Q540" s="1293"/>
      <c r="R540" s="1666">
        <f>P539-R539</f>
        <v>-20</v>
      </c>
      <c r="S540" s="1666">
        <f>R539-S539</f>
        <v>-201</v>
      </c>
      <c r="T540" s="1666">
        <f>S539-T539</f>
        <v>128</v>
      </c>
      <c r="U540" s="1666">
        <f>T539-U539</f>
        <v>203</v>
      </c>
      <c r="V540" s="1293"/>
      <c r="W540" s="1666">
        <f>V539-W539</f>
        <v>-27</v>
      </c>
      <c r="X540" s="1666">
        <f>X539-W539</f>
        <v>-119</v>
      </c>
      <c r="Y540" s="1666">
        <f>Y539-X539</f>
        <v>-195</v>
      </c>
      <c r="Z540" s="1666">
        <f>Z539-Y539</f>
        <v>1330</v>
      </c>
      <c r="AA540" s="1293"/>
      <c r="AB540" s="1666">
        <f>AB539-AA539</f>
        <v>917</v>
      </c>
      <c r="AC540" s="1666"/>
      <c r="AD540" s="1666">
        <f>AD539-AB539</f>
        <v>437</v>
      </c>
      <c r="AE540" s="1666"/>
      <c r="AF540" s="1666">
        <f>AF539-AD539</f>
        <v>568</v>
      </c>
      <c r="AG540" s="1666"/>
      <c r="AH540" s="1666">
        <f>AH539-AF539</f>
        <v>181</v>
      </c>
      <c r="AI540" s="1666"/>
      <c r="AJ540" s="2186"/>
      <c r="AK540" s="1666">
        <f>AK539-AH539</f>
        <v>-17</v>
      </c>
      <c r="AL540" s="1666">
        <f>AL539-AK539</f>
        <v>-127</v>
      </c>
      <c r="AM540" s="1666">
        <f>AM539-AL539</f>
        <v>-97</v>
      </c>
      <c r="AN540" s="1666">
        <f>AN539-AM539</f>
        <v>-364</v>
      </c>
      <c r="AO540" s="2186"/>
      <c r="AP540" s="1666">
        <f>AP539-AN539</f>
        <v>-9</v>
      </c>
      <c r="AQ540" s="1666">
        <f>AQ539-AP539</f>
        <v>-275</v>
      </c>
      <c r="AR540" s="1666">
        <f>AR539-AQ539</f>
        <v>-111</v>
      </c>
      <c r="AS540" s="1666">
        <f>AS539-AR539</f>
        <v>2046</v>
      </c>
      <c r="AT540" s="2298">
        <v>7981</v>
      </c>
      <c r="AU540" s="1666"/>
      <c r="AV540" s="1666">
        <f>AV539-AU539</f>
        <v>-677</v>
      </c>
      <c r="AW540" s="1666">
        <f>AW539-AV539</f>
        <v>-112</v>
      </c>
      <c r="AX540" s="1666">
        <f>AX539-AW539</f>
        <v>-225.5600000000004</v>
      </c>
      <c r="AY540" s="2186"/>
      <c r="AZ540" s="1666"/>
      <c r="BA540" s="1666"/>
      <c r="BB540" s="1666"/>
      <c r="BC540" s="1698"/>
      <c r="BD540" s="2186"/>
      <c r="BE540" s="1293"/>
      <c r="BF540" s="1293"/>
      <c r="BG540" s="1293"/>
      <c r="BH540" s="1293"/>
      <c r="BI540" s="2186"/>
      <c r="BJ540" s="1293"/>
      <c r="BK540" s="1293"/>
      <c r="BL540" s="1293"/>
      <c r="BM540" s="1293"/>
      <c r="BN540" s="2186"/>
      <c r="BO540" s="1293"/>
      <c r="BP540" s="1293"/>
      <c r="BQ540" s="1293" t="s">
        <v>7492</v>
      </c>
      <c r="BR540" s="1293"/>
      <c r="BS540" s="1293"/>
      <c r="BT540" s="1293"/>
      <c r="BU540" s="1293"/>
      <c r="BV540" s="1293"/>
      <c r="BW540" s="1293"/>
      <c r="BX540" s="1293"/>
      <c r="BY540" s="1293"/>
      <c r="BZ540" s="1293"/>
      <c r="CA540" s="1293"/>
      <c r="CB540" s="1293"/>
      <c r="CC540" s="1293"/>
      <c r="CD540" s="1293"/>
      <c r="CE540" s="1293"/>
      <c r="CF540" s="1293"/>
      <c r="CG540" s="1293"/>
      <c r="CH540" s="1293"/>
      <c r="CI540" s="1293"/>
      <c r="CJ540" s="1293"/>
      <c r="CK540" s="1293"/>
      <c r="CL540" s="1293"/>
      <c r="CM540" s="1293"/>
      <c r="CN540" s="1293"/>
      <c r="CO540" s="1293"/>
      <c r="CP540" s="1293"/>
      <c r="CQ540" s="1293"/>
      <c r="CR540" s="1293"/>
      <c r="CS540" s="1293"/>
      <c r="CT540" s="1293"/>
      <c r="CU540" s="1293"/>
      <c r="CV540" s="1293"/>
      <c r="CW540" s="1293"/>
      <c r="CX540" s="1293"/>
      <c r="CY540" s="2032"/>
      <c r="CZ540" s="1293"/>
      <c r="DA540" s="2214"/>
      <c r="DB540" s="2215"/>
      <c r="DC540" s="1293"/>
      <c r="DD540" s="1293"/>
      <c r="DE540" s="1293"/>
      <c r="DF540" s="1293"/>
      <c r="DG540" s="1293"/>
      <c r="DH540" s="1293"/>
      <c r="DI540" s="1293"/>
      <c r="DJ540" s="1293"/>
      <c r="DK540" s="1293"/>
      <c r="DL540" s="1293"/>
    </row>
    <row r="541" spans="1:116" ht="15.75">
      <c r="A541" s="1293"/>
      <c r="B541" s="1653" t="s">
        <v>5832</v>
      </c>
      <c r="C541" s="1666"/>
      <c r="D541" s="1666"/>
      <c r="E541" s="1666"/>
      <c r="F541" s="1666"/>
      <c r="G541" s="1707"/>
      <c r="H541" s="1666"/>
      <c r="I541" s="1666"/>
      <c r="J541" s="1666"/>
      <c r="K541" s="1666"/>
      <c r="L541" s="1707"/>
      <c r="M541" s="1666"/>
      <c r="N541" s="1666"/>
      <c r="O541" s="1666"/>
      <c r="P541" s="1666"/>
      <c r="Q541" s="1293"/>
      <c r="R541" s="1666"/>
      <c r="S541" s="1666"/>
      <c r="T541" s="1666"/>
      <c r="U541" s="1666"/>
      <c r="V541" s="1293"/>
      <c r="W541" s="1666"/>
      <c r="X541" s="1666"/>
      <c r="Y541" s="1666"/>
      <c r="Z541" s="1666"/>
      <c r="AA541" s="1293"/>
      <c r="AB541" s="1666"/>
      <c r="AC541" s="1666"/>
      <c r="AD541" s="1666"/>
      <c r="AE541" s="1666"/>
      <c r="AF541" s="1666"/>
      <c r="AG541" s="1666"/>
      <c r="AH541" s="1666"/>
      <c r="AI541" s="1666"/>
      <c r="AJ541" s="2186"/>
      <c r="AK541" s="1666"/>
      <c r="AL541" s="1666"/>
      <c r="AM541" s="1666"/>
      <c r="AN541" s="1666"/>
      <c r="AO541" s="2186"/>
      <c r="AP541" s="1666"/>
      <c r="AQ541" s="1666"/>
      <c r="AR541" s="1666"/>
      <c r="AS541" s="1666"/>
      <c r="AT541" s="2185"/>
      <c r="AU541" s="1666"/>
      <c r="AV541" s="1666"/>
      <c r="AW541" s="1666"/>
      <c r="AX541" s="1666"/>
      <c r="AY541" s="2186"/>
      <c r="AZ541" s="1666"/>
      <c r="BA541" s="1666"/>
      <c r="BB541" s="1666"/>
      <c r="BC541" s="1293"/>
      <c r="BD541" s="2186"/>
      <c r="BE541" s="1666">
        <f>BE539-BE535</f>
        <v>5974</v>
      </c>
      <c r="BF541" s="1666">
        <f>BF539-BF535</f>
        <v>5650</v>
      </c>
      <c r="BG541" s="1666">
        <f>BG539-BG535</f>
        <v>5405</v>
      </c>
      <c r="BH541" s="1666">
        <f>BH539-BH535</f>
        <v>5175</v>
      </c>
      <c r="BI541" s="2186"/>
      <c r="BJ541" s="1666">
        <f>BJ539-BJ535</f>
        <v>4925</v>
      </c>
      <c r="BK541" s="1666">
        <f>BK539-BK535</f>
        <v>4675</v>
      </c>
      <c r="BL541" s="1666">
        <f>BL539-BL535</f>
        <v>4425</v>
      </c>
      <c r="BM541" s="1666">
        <f ca="1">BM539-BM535</f>
        <v>4433.9932365614623</v>
      </c>
      <c r="BN541" s="2185">
        <f ca="1">Master!AB431</f>
        <v>4433.9932365614623</v>
      </c>
      <c r="BO541" s="1293"/>
      <c r="BP541" s="1293" t="s">
        <v>8753</v>
      </c>
      <c r="BQ541" s="1293">
        <v>632</v>
      </c>
      <c r="BR541" s="1293">
        <f>BR543-BR542</f>
        <v>632</v>
      </c>
      <c r="BS541" s="1293">
        <f>BS543-BS542</f>
        <v>632</v>
      </c>
      <c r="BT541" s="1293">
        <f>BT543-BT542</f>
        <v>632</v>
      </c>
      <c r="BU541" s="1293">
        <f>SUM(BQ541:BT541)</f>
        <v>2528</v>
      </c>
      <c r="BV541" s="1293"/>
      <c r="BW541" s="1293"/>
      <c r="BX541" s="1293"/>
      <c r="BY541" s="1293"/>
      <c r="BZ541" s="1293"/>
      <c r="CA541" s="1293"/>
      <c r="CB541" s="1293"/>
      <c r="CC541" s="1293"/>
      <c r="CD541" s="1293"/>
      <c r="CE541" s="1293"/>
      <c r="CF541" s="1293"/>
      <c r="CG541" s="1293"/>
      <c r="CH541" s="1293"/>
      <c r="CI541" s="1293"/>
      <c r="CJ541" s="1293"/>
      <c r="CK541" s="1293"/>
      <c r="CL541" s="1293"/>
      <c r="CM541" s="1293"/>
      <c r="CN541" s="1293"/>
      <c r="CO541" s="1293"/>
      <c r="CP541" s="1293"/>
      <c r="CQ541" s="1293"/>
      <c r="CR541" s="1293"/>
      <c r="CS541" s="1293"/>
      <c r="CT541" s="1293"/>
      <c r="CU541" s="1293"/>
      <c r="CV541" s="1293"/>
      <c r="CW541" s="1293"/>
      <c r="CX541" s="1293"/>
      <c r="CY541" s="2032"/>
      <c r="CZ541" s="1293"/>
      <c r="DA541" s="2214"/>
      <c r="DB541" s="2215"/>
      <c r="DC541" s="1293"/>
      <c r="DD541" s="1293"/>
      <c r="DE541" s="1293"/>
      <c r="DF541" s="1293"/>
      <c r="DG541" s="1293"/>
      <c r="DH541" s="1293"/>
      <c r="DI541" s="1293"/>
      <c r="DJ541" s="1293"/>
      <c r="DK541" s="1293"/>
      <c r="DL541" s="1293"/>
    </row>
    <row r="542" spans="1:116" ht="15.75">
      <c r="A542" s="1293"/>
      <c r="B542" s="1653" t="s">
        <v>150</v>
      </c>
      <c r="C542" s="1666"/>
      <c r="D542" s="1666"/>
      <c r="E542" s="1666"/>
      <c r="F542" s="1666"/>
      <c r="G542" s="1707"/>
      <c r="H542" s="1666"/>
      <c r="I542" s="1666"/>
      <c r="J542" s="1666"/>
      <c r="K542" s="1666"/>
      <c r="L542" s="1707"/>
      <c r="M542" s="1666"/>
      <c r="N542" s="1666"/>
      <c r="O542" s="1666"/>
      <c r="P542" s="1666"/>
      <c r="Q542" s="1293"/>
      <c r="R542" s="1666"/>
      <c r="S542" s="1666"/>
      <c r="T542" s="1666"/>
      <c r="U542" s="1666"/>
      <c r="V542" s="1293"/>
      <c r="W542" s="1666"/>
      <c r="X542" s="1666"/>
      <c r="Y542" s="1666"/>
      <c r="Z542" s="1666"/>
      <c r="AA542" s="1293"/>
      <c r="AB542" s="1666"/>
      <c r="AC542" s="1666"/>
      <c r="AD542" s="1666"/>
      <c r="AE542" s="1666"/>
      <c r="AF542" s="1666"/>
      <c r="AG542" s="1666"/>
      <c r="AH542" s="1666"/>
      <c r="AI542" s="1666"/>
      <c r="AJ542" s="2185"/>
      <c r="AK542" s="1666"/>
      <c r="AL542" s="1666"/>
      <c r="AM542" s="1666"/>
      <c r="AN542" s="1666"/>
      <c r="AO542" s="2186"/>
      <c r="AP542" s="1666"/>
      <c r="AQ542" s="1666"/>
      <c r="AR542" s="1666"/>
      <c r="AS542" s="1666"/>
      <c r="AT542" s="2186"/>
      <c r="AU542" s="1666"/>
      <c r="AV542" s="1666"/>
      <c r="AW542" s="1666"/>
      <c r="AX542" s="1666"/>
      <c r="AY542" s="2186"/>
      <c r="AZ542" s="1666"/>
      <c r="BA542" s="1666"/>
      <c r="BB542" s="1666"/>
      <c r="BC542" s="1293"/>
      <c r="BD542" s="2186"/>
      <c r="BE542" s="1666"/>
      <c r="BF542" s="1666"/>
      <c r="BG542" s="1666"/>
      <c r="BH542" s="1293"/>
      <c r="BI542" s="2186"/>
      <c r="BJ542" s="1666"/>
      <c r="BK542" s="1666"/>
      <c r="BL542" s="1666"/>
      <c r="BM542" s="1666"/>
      <c r="BN542" s="2186"/>
      <c r="BO542" s="1293"/>
      <c r="BP542" s="1331"/>
      <c r="BQ542" s="1331">
        <v>30</v>
      </c>
      <c r="BR542" s="1331">
        <v>0</v>
      </c>
      <c r="BS542" s="1331">
        <v>0</v>
      </c>
      <c r="BT542" s="1331">
        <v>0</v>
      </c>
      <c r="BU542" s="1293"/>
      <c r="BV542" s="1293"/>
      <c r="BW542" s="1293"/>
      <c r="BX542" s="1293"/>
      <c r="BY542" s="1293"/>
      <c r="BZ542" s="1293"/>
      <c r="CA542" s="1293"/>
      <c r="CB542" s="1293"/>
      <c r="CC542" s="1293"/>
      <c r="CD542" s="1293"/>
      <c r="CE542" s="1293"/>
      <c r="CF542" s="1293"/>
      <c r="CG542" s="1293"/>
      <c r="CH542" s="1293"/>
      <c r="CI542" s="1293"/>
      <c r="CJ542" s="1293"/>
      <c r="CK542" s="1293"/>
      <c r="CL542" s="1293"/>
      <c r="CM542" s="1293"/>
      <c r="CN542" s="1293"/>
      <c r="CO542" s="1293"/>
      <c r="CP542" s="1293"/>
      <c r="CQ542" s="1293"/>
      <c r="CR542" s="1293"/>
      <c r="CS542" s="1293"/>
      <c r="CT542" s="1293"/>
      <c r="CU542" s="1293"/>
      <c r="CV542" s="1293"/>
      <c r="CW542" s="1293"/>
      <c r="CX542" s="1293"/>
      <c r="CY542" s="2032"/>
      <c r="CZ542" s="1293"/>
      <c r="DA542" s="2214"/>
      <c r="DB542" s="2215"/>
      <c r="DC542" s="1293"/>
      <c r="DD542" s="1293"/>
      <c r="DE542" s="1293"/>
      <c r="DF542" s="1293"/>
      <c r="DG542" s="1293"/>
      <c r="DH542" s="1293"/>
      <c r="DI542" s="1293"/>
      <c r="DJ542" s="1293"/>
      <c r="DK542" s="1293"/>
      <c r="DL542" s="1293"/>
    </row>
    <row r="543" spans="1:116" ht="15.75">
      <c r="A543" s="1293"/>
      <c r="B543" s="1653" t="s">
        <v>360</v>
      </c>
      <c r="C543" s="1707"/>
      <c r="D543" s="1707"/>
      <c r="E543" s="1707"/>
      <c r="F543" s="1707"/>
      <c r="G543" s="1707"/>
      <c r="H543" s="1707"/>
      <c r="I543" s="1707"/>
      <c r="J543" s="1707"/>
      <c r="K543" s="1707"/>
      <c r="L543" s="1707"/>
      <c r="M543" s="1707"/>
      <c r="N543" s="1707"/>
      <c r="O543" s="1707"/>
      <c r="P543" s="1707"/>
      <c r="Q543" s="1293"/>
      <c r="R543" s="1707"/>
      <c r="S543" s="1707"/>
      <c r="T543" s="1707"/>
      <c r="U543" s="1707"/>
      <c r="V543" s="1293"/>
      <c r="W543" s="1707"/>
      <c r="X543" s="1707"/>
      <c r="Y543" s="1707"/>
      <c r="Z543" s="1707"/>
      <c r="AA543" s="1293"/>
      <c r="AB543" s="1707"/>
      <c r="AC543" s="1707"/>
      <c r="AD543" s="1707"/>
      <c r="AE543" s="1707"/>
      <c r="AF543" s="1707"/>
      <c r="AG543" s="1707"/>
      <c r="AH543" s="1707"/>
      <c r="AI543" s="1707"/>
      <c r="AJ543" s="2299"/>
      <c r="AK543" s="1707"/>
      <c r="AL543" s="1707"/>
      <c r="AM543" s="1707"/>
      <c r="AN543" s="1707"/>
      <c r="AO543" s="2186"/>
      <c r="AP543" s="1707"/>
      <c r="AQ543" s="1707"/>
      <c r="AR543" s="1707"/>
      <c r="AS543" s="1707"/>
      <c r="AT543" s="2186"/>
      <c r="AU543" s="1707"/>
      <c r="AV543" s="1707"/>
      <c r="AW543" s="1707"/>
      <c r="AX543" s="1707"/>
      <c r="AY543" s="2186"/>
      <c r="AZ543" s="1707"/>
      <c r="BA543" s="1707"/>
      <c r="BB543" s="1707"/>
      <c r="BC543" s="1293"/>
      <c r="BD543" s="2186"/>
      <c r="BE543" s="1707"/>
      <c r="BF543" s="1707"/>
      <c r="BG543" s="1707"/>
      <c r="BH543" s="1293"/>
      <c r="BI543" s="2186"/>
      <c r="BJ543" s="1707"/>
      <c r="BK543" s="1707"/>
      <c r="BL543" s="1707"/>
      <c r="BM543" s="1707"/>
      <c r="BN543" s="2186"/>
      <c r="BO543" s="1293"/>
      <c r="BP543" s="1293" t="s">
        <v>7241</v>
      </c>
      <c r="BQ543" s="1293">
        <f>BQ541+BQ542</f>
        <v>662</v>
      </c>
      <c r="BR543" s="1293">
        <f>BQ543-30</f>
        <v>632</v>
      </c>
      <c r="BS543" s="1293">
        <f>BR543</f>
        <v>632</v>
      </c>
      <c r="BT543" s="1293">
        <f>BS543</f>
        <v>632</v>
      </c>
      <c r="BU543" s="1293"/>
      <c r="BV543" s="1293"/>
      <c r="BW543" s="1293"/>
      <c r="BX543" s="1293"/>
      <c r="BY543" s="1293"/>
      <c r="BZ543" s="1293"/>
      <c r="CA543" s="1293"/>
      <c r="CB543" s="1293"/>
      <c r="CC543" s="1293"/>
      <c r="CD543" s="1293"/>
      <c r="CE543" s="1293"/>
      <c r="CF543" s="1293"/>
      <c r="CG543" s="1293"/>
      <c r="CH543" s="1293"/>
      <c r="CI543" s="1293"/>
      <c r="CJ543" s="1293"/>
      <c r="CK543" s="1293"/>
      <c r="CL543" s="1293"/>
      <c r="CM543" s="1293"/>
      <c r="CN543" s="1293"/>
      <c r="CO543" s="1293"/>
      <c r="CP543" s="1293"/>
      <c r="CQ543" s="1293"/>
      <c r="CR543" s="1293"/>
      <c r="CS543" s="1293"/>
      <c r="CT543" s="1293"/>
      <c r="CU543" s="1293"/>
      <c r="CV543" s="1293"/>
      <c r="CW543" s="1293"/>
      <c r="CX543" s="1293"/>
      <c r="CY543" s="2032"/>
      <c r="CZ543" s="1293"/>
      <c r="DA543" s="2238"/>
      <c r="DB543" s="2239"/>
      <c r="DC543" s="1293"/>
      <c r="DD543" s="1293"/>
      <c r="DE543" s="1293"/>
      <c r="DF543" s="1293"/>
      <c r="DG543" s="1293"/>
      <c r="DH543" s="1293"/>
      <c r="DI543" s="1293"/>
      <c r="DJ543" s="1293"/>
      <c r="DK543" s="1293"/>
      <c r="DL543" s="1293"/>
    </row>
    <row r="544" spans="1:116" ht="15.75">
      <c r="A544" s="1293"/>
      <c r="B544" s="1653"/>
      <c r="C544" s="1707"/>
      <c r="D544" s="1707"/>
      <c r="E544" s="1707"/>
      <c r="F544" s="1707"/>
      <c r="G544" s="1707"/>
      <c r="H544" s="1707"/>
      <c r="I544" s="1707"/>
      <c r="J544" s="1707"/>
      <c r="K544" s="1707"/>
      <c r="L544" s="1707"/>
      <c r="M544" s="1707"/>
      <c r="N544" s="1707"/>
      <c r="O544" s="1707"/>
      <c r="P544" s="1707"/>
      <c r="Q544" s="1293"/>
      <c r="R544" s="1707"/>
      <c r="S544" s="1707"/>
      <c r="T544" s="1707"/>
      <c r="U544" s="1707"/>
      <c r="V544" s="1293"/>
      <c r="W544" s="1707"/>
      <c r="X544" s="1707"/>
      <c r="Y544" s="1707"/>
      <c r="Z544" s="1707"/>
      <c r="AA544" s="1293"/>
      <c r="AB544" s="1707"/>
      <c r="AC544" s="1707"/>
      <c r="AD544" s="1707"/>
      <c r="AE544" s="1707"/>
      <c r="AF544" s="1707"/>
      <c r="AG544" s="1707"/>
      <c r="AH544" s="1707"/>
      <c r="AI544" s="1707"/>
      <c r="AJ544" s="2299"/>
      <c r="AK544" s="1707"/>
      <c r="AL544" s="1707"/>
      <c r="AM544" s="1707"/>
      <c r="AN544" s="1707"/>
      <c r="AO544" s="2186"/>
      <c r="AP544" s="1707"/>
      <c r="AQ544" s="1707"/>
      <c r="AR544" s="1707"/>
      <c r="AS544" s="1707"/>
      <c r="AT544" s="2186"/>
      <c r="AU544" s="1707"/>
      <c r="AV544" s="1707"/>
      <c r="AW544" s="1707"/>
      <c r="AX544" s="1707"/>
      <c r="AY544" s="2186"/>
      <c r="AZ544" s="1707"/>
      <c r="BA544" s="1707"/>
      <c r="BB544" s="1707"/>
      <c r="BC544" s="1293"/>
      <c r="BD544" s="2186"/>
      <c r="BE544" s="1707"/>
      <c r="BF544" s="1707"/>
      <c r="BG544" s="1707"/>
      <c r="BH544" s="1293"/>
      <c r="BI544" s="2186"/>
      <c r="BJ544" s="1707"/>
      <c r="BK544" s="1707"/>
      <c r="BL544" s="1707"/>
      <c r="BM544" s="1707"/>
      <c r="BN544" s="2186"/>
      <c r="BO544" s="1293"/>
      <c r="BP544" s="1293"/>
      <c r="BQ544" s="1293"/>
      <c r="BR544" s="1293"/>
      <c r="BS544" s="1293"/>
      <c r="BT544" s="1293"/>
      <c r="BU544" s="1293"/>
      <c r="BV544" s="1293"/>
      <c r="BW544" s="1293"/>
      <c r="BX544" s="1293"/>
      <c r="BY544" s="1293"/>
      <c r="BZ544" s="1293"/>
      <c r="CA544" s="1293"/>
      <c r="CB544" s="1293"/>
      <c r="CC544" s="1293"/>
      <c r="CD544" s="1293"/>
      <c r="CE544" s="1293"/>
      <c r="CF544" s="1293"/>
      <c r="CG544" s="1293"/>
      <c r="CH544" s="1293"/>
      <c r="CI544" s="1293"/>
      <c r="CJ544" s="1293"/>
      <c r="CK544" s="1293"/>
      <c r="CL544" s="1293"/>
      <c r="CM544" s="1293"/>
      <c r="CN544" s="1293"/>
      <c r="CO544" s="1293"/>
      <c r="CP544" s="1293"/>
      <c r="CQ544" s="1293"/>
      <c r="CR544" s="1293"/>
      <c r="CS544" s="1293"/>
      <c r="CT544" s="1293"/>
      <c r="CU544" s="1293"/>
      <c r="CV544" s="1293"/>
      <c r="CW544" s="1293"/>
      <c r="CX544" s="1293"/>
      <c r="CY544" s="2032"/>
      <c r="CZ544" s="1293"/>
      <c r="DA544" s="2238"/>
      <c r="DB544" s="2239"/>
      <c r="DC544" s="1293"/>
      <c r="DD544" s="1293"/>
      <c r="DE544" s="1293"/>
      <c r="DF544" s="1293"/>
      <c r="DG544" s="1293"/>
      <c r="DH544" s="1293"/>
      <c r="DI544" s="1293"/>
      <c r="DJ544" s="1293"/>
      <c r="DK544" s="1293"/>
      <c r="DL544" s="1293"/>
    </row>
    <row r="545" spans="1:116" ht="15.75">
      <c r="A545" s="1293"/>
      <c r="B545" s="1653" t="s">
        <v>614</v>
      </c>
      <c r="C545" s="1707"/>
      <c r="D545" s="1707"/>
      <c r="E545" s="1707"/>
      <c r="F545" s="1707"/>
      <c r="G545" s="1707"/>
      <c r="H545" s="1707">
        <f>H539/(D140+E140+F140+H140)</f>
        <v>1.7972347837836506</v>
      </c>
      <c r="I545" s="1707">
        <f>I539/(E140+F140+H140+I140)</f>
        <v>1.8608981210030695</v>
      </c>
      <c r="J545" s="1707">
        <f>J539/(F140+H140+I140+J140)</f>
        <v>1.8479029099729929</v>
      </c>
      <c r="K545" s="1707">
        <f>K539/(H140+I140+J140+K140)</f>
        <v>1.8957191642069429</v>
      </c>
      <c r="L545" s="1707"/>
      <c r="M545" s="1707">
        <f>M539/(I140+J140+K140+M140)</f>
        <v>1.9769295923794701</v>
      </c>
      <c r="N545" s="1707">
        <f>N539/(J140+K140+M140+N140)</f>
        <v>1.9329850554461079</v>
      </c>
      <c r="O545" s="1707">
        <f>O539/(K140+M140+N140+O140)</f>
        <v>1.8779038726905326</v>
      </c>
      <c r="P545" s="1707">
        <f>P539/(M140+N140+O140+P140)</f>
        <v>1.8786789485508875</v>
      </c>
      <c r="Q545" s="1293"/>
      <c r="R545" s="1707">
        <f>R539/(N140+O140+P140+R140)</f>
        <v>1.8842789863198026</v>
      </c>
      <c r="S545" s="1707">
        <f>S539/(O140+P140+R140+S140)</f>
        <v>1.9909543193125283</v>
      </c>
      <c r="T545" s="1707">
        <f>T539/(P140+R140+S140+T140)</f>
        <v>1.9551692589204026</v>
      </c>
      <c r="U545" s="1707">
        <f>U539/(R140+S140+T140+U140)</f>
        <v>1.8665749656121045</v>
      </c>
      <c r="V545" s="1293"/>
      <c r="W545" s="1707">
        <f>W539/(S140+T140+U140+W140)</f>
        <v>1.8695850433196535</v>
      </c>
      <c r="X545" s="1707">
        <f>X539/(T140+U140+W140+X140)</f>
        <v>1.7972911963882618</v>
      </c>
      <c r="Y545" s="1707">
        <f>Y539/(U140+W140+X140+Y140)</f>
        <v>1.6909334524341224</v>
      </c>
      <c r="Z545" s="1707">
        <f>Z539/(W140+X140+Y140+Z140)</f>
        <v>2.3446379468377634</v>
      </c>
      <c r="AA545" s="1293"/>
      <c r="AB545" s="1707"/>
      <c r="AC545" s="1707">
        <f>AC539/(X140+Y140+Z140+AC140)</f>
        <v>2.3661202185792352</v>
      </c>
      <c r="AD545" s="1293"/>
      <c r="AE545" s="1707"/>
      <c r="AF545" s="1707"/>
      <c r="AG545" s="1707"/>
      <c r="AH545" s="1707"/>
      <c r="AI545" s="1707"/>
      <c r="AJ545" s="2186"/>
      <c r="AK545" s="1707"/>
      <c r="AL545" s="1707"/>
      <c r="AM545" s="1707"/>
      <c r="AN545" s="1707"/>
      <c r="AO545" s="2186"/>
      <c r="AP545" s="1707"/>
      <c r="AQ545" s="1707"/>
      <c r="AR545" s="1707"/>
      <c r="AS545" s="1707"/>
      <c r="AT545" s="2186"/>
      <c r="AU545" s="1707"/>
      <c r="AV545" s="1707"/>
      <c r="AW545" s="1707"/>
      <c r="AX545" s="1707"/>
      <c r="AY545" s="2186"/>
      <c r="AZ545" s="1707"/>
      <c r="BA545" s="1707"/>
      <c r="BB545" s="1707"/>
      <c r="BC545" s="1293"/>
      <c r="BD545" s="2186"/>
      <c r="BE545" s="1707"/>
      <c r="BF545" s="1707"/>
      <c r="BG545" s="1707"/>
      <c r="BH545" s="1293"/>
      <c r="BI545" s="2186"/>
      <c r="BJ545" s="1707"/>
      <c r="BK545" s="1707"/>
      <c r="BL545" s="1707"/>
      <c r="BM545" s="1707"/>
      <c r="BN545" s="2186"/>
      <c r="BO545" s="1293"/>
      <c r="BP545" s="1293" t="s">
        <v>8754</v>
      </c>
      <c r="BQ545" s="1698">
        <f>-BE442-BE458</f>
        <v>81</v>
      </c>
      <c r="BR545" s="1698">
        <f>BQ545</f>
        <v>81</v>
      </c>
      <c r="BS545" s="1698">
        <f>BR545</f>
        <v>81</v>
      </c>
      <c r="BT545" s="1698">
        <f>BS545</f>
        <v>81</v>
      </c>
      <c r="BU545" s="1293"/>
      <c r="BV545" s="1293"/>
      <c r="BW545" s="1293"/>
      <c r="BX545" s="1293"/>
      <c r="BY545" s="1293"/>
      <c r="BZ545" s="1293"/>
      <c r="CA545" s="1293"/>
      <c r="CB545" s="1293"/>
      <c r="CC545" s="1293"/>
      <c r="CD545" s="1293"/>
      <c r="CE545" s="1293"/>
      <c r="CF545" s="1293"/>
      <c r="CG545" s="1293"/>
      <c r="CH545" s="1293"/>
      <c r="CI545" s="1293"/>
      <c r="CJ545" s="1293"/>
      <c r="CK545" s="1293"/>
      <c r="CL545" s="1293"/>
      <c r="CM545" s="1293"/>
      <c r="CN545" s="1293"/>
      <c r="CO545" s="1293"/>
      <c r="CP545" s="1293"/>
      <c r="CQ545" s="1293"/>
      <c r="CR545" s="1293"/>
      <c r="CS545" s="1293"/>
      <c r="CT545" s="1293"/>
      <c r="CU545" s="1293"/>
      <c r="CV545" s="1293"/>
      <c r="CW545" s="1293"/>
      <c r="CX545" s="1293"/>
      <c r="CY545" s="2032"/>
      <c r="CZ545" s="1293"/>
      <c r="DA545" s="2238"/>
      <c r="DB545" s="2239"/>
      <c r="DC545" s="1293"/>
      <c r="DD545" s="1293"/>
      <c r="DE545" s="1293"/>
      <c r="DF545" s="1293"/>
      <c r="DG545" s="1293"/>
      <c r="DH545" s="1293"/>
      <c r="DI545" s="1293"/>
      <c r="DJ545" s="1293"/>
      <c r="DK545" s="1293"/>
      <c r="DL545" s="1293"/>
    </row>
    <row r="546" spans="1:116" ht="15.75">
      <c r="A546" s="1293"/>
      <c r="B546" s="1653" t="s">
        <v>5490</v>
      </c>
      <c r="C546" s="1707"/>
      <c r="D546" s="1707"/>
      <c r="E546" s="1707"/>
      <c r="F546" s="1707"/>
      <c r="G546" s="1707"/>
      <c r="H546" s="1707"/>
      <c r="I546" s="1707"/>
      <c r="J546" s="1707"/>
      <c r="K546" s="1707"/>
      <c r="L546" s="1707"/>
      <c r="M546" s="1707"/>
      <c r="N546" s="1707"/>
      <c r="O546" s="1707"/>
      <c r="P546" s="1707"/>
      <c r="Q546" s="1293"/>
      <c r="R546" s="1707"/>
      <c r="S546" s="1707"/>
      <c r="T546" s="1707"/>
      <c r="U546" s="1707"/>
      <c r="V546" s="1293"/>
      <c r="W546" s="1707"/>
      <c r="X546" s="1707"/>
      <c r="Y546" s="1707"/>
      <c r="Z546" s="1707"/>
      <c r="AA546" s="1293"/>
      <c r="AB546" s="1707"/>
      <c r="AC546" s="1707"/>
      <c r="AD546" s="1707"/>
      <c r="AE546" s="1707"/>
      <c r="AF546" s="1707"/>
      <c r="AG546" s="1707"/>
      <c r="AH546" s="1707"/>
      <c r="AI546" s="1707"/>
      <c r="AJ546" s="2186"/>
      <c r="AK546" s="1707"/>
      <c r="AL546" s="1707"/>
      <c r="AM546" s="1707"/>
      <c r="AN546" s="1707"/>
      <c r="AO546" s="2186"/>
      <c r="AP546" s="1707"/>
      <c r="AQ546" s="1707"/>
      <c r="AR546" s="1707"/>
      <c r="AS546" s="1707"/>
      <c r="AT546" s="2186"/>
      <c r="AU546" s="1707"/>
      <c r="AV546" s="1707"/>
      <c r="AW546" s="1707"/>
      <c r="AX546" s="1707"/>
      <c r="AY546" s="2186"/>
      <c r="AZ546" s="1707"/>
      <c r="BA546" s="1707"/>
      <c r="BB546" s="1707"/>
      <c r="BC546" s="1293"/>
      <c r="BD546" s="2186"/>
      <c r="BE546" s="1707"/>
      <c r="BF546" s="1707"/>
      <c r="BG546" s="1707"/>
      <c r="BH546" s="1293"/>
      <c r="BI546" s="2186"/>
      <c r="BJ546" s="1707"/>
      <c r="BK546" s="1707"/>
      <c r="BL546" s="1707"/>
      <c r="BM546" s="1707"/>
      <c r="BN546" s="2186"/>
      <c r="BO546" s="1293"/>
      <c r="BP546" s="1293" t="s">
        <v>8755</v>
      </c>
      <c r="BQ546" s="1698">
        <f>BQ541-BQ545</f>
        <v>551</v>
      </c>
      <c r="BR546" s="1698">
        <f>BR541-BR545</f>
        <v>551</v>
      </c>
      <c r="BS546" s="1698">
        <f>BS541-BS545</f>
        <v>551</v>
      </c>
      <c r="BT546" s="1698">
        <f>BT541-BT545</f>
        <v>551</v>
      </c>
      <c r="BU546" s="1293">
        <f>SUM(BQ546:BT546)</f>
        <v>2204</v>
      </c>
      <c r="BV546" s="1293"/>
      <c r="BW546" s="1293"/>
      <c r="BX546" s="1293"/>
      <c r="BY546" s="1293"/>
      <c r="BZ546" s="1293"/>
      <c r="CA546" s="1293"/>
      <c r="CB546" s="1293"/>
      <c r="CC546" s="1293"/>
      <c r="CD546" s="1293"/>
      <c r="CE546" s="1293"/>
      <c r="CF546" s="1293"/>
      <c r="CG546" s="1293"/>
      <c r="CH546" s="1293"/>
      <c r="CI546" s="1293"/>
      <c r="CJ546" s="1293"/>
      <c r="CK546" s="1293"/>
      <c r="CL546" s="1293"/>
      <c r="CM546" s="1293"/>
      <c r="CN546" s="1293"/>
      <c r="CO546" s="1293"/>
      <c r="CP546" s="1293"/>
      <c r="CQ546" s="1293"/>
      <c r="CR546" s="1293"/>
      <c r="CS546" s="1293"/>
      <c r="CT546" s="1293"/>
      <c r="CU546" s="1293"/>
      <c r="CV546" s="1293"/>
      <c r="CW546" s="1293"/>
      <c r="CX546" s="1293"/>
      <c r="CY546" s="2032"/>
      <c r="CZ546" s="1293"/>
      <c r="DA546" s="2238"/>
      <c r="DB546" s="2239"/>
      <c r="DC546" s="1293"/>
      <c r="DD546" s="1293"/>
      <c r="DE546" s="1293"/>
      <c r="DF546" s="1293"/>
      <c r="DG546" s="1293"/>
      <c r="DH546" s="1293"/>
      <c r="DI546" s="1293"/>
      <c r="DJ546" s="1293"/>
      <c r="DK546" s="1293"/>
      <c r="DL546" s="1293"/>
    </row>
    <row r="547" spans="1:116" ht="15.75">
      <c r="A547" s="1293"/>
      <c r="B547" s="1653" t="s">
        <v>5489</v>
      </c>
      <c r="C547" s="1707"/>
      <c r="D547" s="1707"/>
      <c r="E547" s="1707"/>
      <c r="F547" s="1707"/>
      <c r="G547" s="1707"/>
      <c r="H547" s="1707"/>
      <c r="I547" s="1707"/>
      <c r="J547" s="1707"/>
      <c r="K547" s="1707"/>
      <c r="L547" s="1707"/>
      <c r="M547" s="1707"/>
      <c r="N547" s="1707"/>
      <c r="O547" s="1707"/>
      <c r="P547" s="1707"/>
      <c r="Q547" s="1293"/>
      <c r="R547" s="1707"/>
      <c r="S547" s="1707"/>
      <c r="T547" s="1707"/>
      <c r="U547" s="1707"/>
      <c r="V547" s="1293"/>
      <c r="W547" s="1707"/>
      <c r="X547" s="1707"/>
      <c r="Y547" s="1707"/>
      <c r="Z547" s="1707"/>
      <c r="AA547" s="1293"/>
      <c r="AB547" s="1707"/>
      <c r="AC547" s="1707"/>
      <c r="AD547" s="1707"/>
      <c r="AE547" s="1707"/>
      <c r="AF547" s="1707"/>
      <c r="AG547" s="1707"/>
      <c r="AH547" s="1707"/>
      <c r="AI547" s="1707"/>
      <c r="AJ547" s="2186"/>
      <c r="AK547" s="1707"/>
      <c r="AL547" s="1707"/>
      <c r="AM547" s="1707"/>
      <c r="AN547" s="1707"/>
      <c r="AO547" s="2186"/>
      <c r="AP547" s="1707"/>
      <c r="AQ547" s="1707"/>
      <c r="AR547" s="1707"/>
      <c r="AS547" s="1707"/>
      <c r="AT547" s="2186"/>
      <c r="AU547" s="1707"/>
      <c r="AV547" s="1707"/>
      <c r="AW547" s="1707"/>
      <c r="AX547" s="1707"/>
      <c r="AY547" s="2186"/>
      <c r="AZ547" s="1707"/>
      <c r="BA547" s="1707"/>
      <c r="BB547" s="1707"/>
      <c r="BC547" s="1293"/>
      <c r="BD547" s="2186"/>
      <c r="BE547" s="1707"/>
      <c r="BF547" s="1707"/>
      <c r="BG547" s="1707"/>
      <c r="BH547" s="1293"/>
      <c r="BI547" s="2186"/>
      <c r="BJ547" s="1707"/>
      <c r="BK547" s="1707"/>
      <c r="BL547" s="1707"/>
      <c r="BM547" s="1707"/>
      <c r="BN547" s="2186"/>
      <c r="BO547" s="1293"/>
      <c r="BP547" s="1293"/>
      <c r="BQ547" s="1293"/>
      <c r="BR547" s="1293"/>
      <c r="BS547" s="1293"/>
      <c r="BT547" s="1293"/>
      <c r="BU547" s="1293"/>
      <c r="BV547" s="1293"/>
      <c r="BW547" s="1293"/>
      <c r="BX547" s="1293"/>
      <c r="BY547" s="1293"/>
      <c r="BZ547" s="1293"/>
      <c r="CA547" s="1293"/>
      <c r="CB547" s="1293"/>
      <c r="CC547" s="1293"/>
      <c r="CD547" s="1293"/>
      <c r="CE547" s="1293"/>
      <c r="CF547" s="1293"/>
      <c r="CG547" s="1293"/>
      <c r="CH547" s="1293"/>
      <c r="CI547" s="1293"/>
      <c r="CJ547" s="1293"/>
      <c r="CK547" s="1293"/>
      <c r="CL547" s="1293"/>
      <c r="CM547" s="1293"/>
      <c r="CN547" s="1293"/>
      <c r="CO547" s="1293"/>
      <c r="CP547" s="1293"/>
      <c r="CQ547" s="1293"/>
      <c r="CR547" s="1293"/>
      <c r="CS547" s="1293"/>
      <c r="CT547" s="1293"/>
      <c r="CU547" s="1293"/>
      <c r="CV547" s="1293"/>
      <c r="CW547" s="1293"/>
      <c r="CX547" s="1293"/>
      <c r="CY547" s="2032"/>
      <c r="CZ547" s="1293"/>
      <c r="DA547" s="2238"/>
      <c r="DB547" s="2239"/>
      <c r="DC547" s="1293"/>
      <c r="DD547" s="1293"/>
      <c r="DE547" s="1293"/>
      <c r="DF547" s="1293"/>
      <c r="DG547" s="1293"/>
      <c r="DH547" s="1293"/>
      <c r="DI547" s="1293"/>
      <c r="DJ547" s="1293"/>
      <c r="DK547" s="1293"/>
      <c r="DL547" s="1293"/>
    </row>
    <row r="548" spans="1:116" ht="15.75">
      <c r="A548" s="1293"/>
      <c r="B548" s="1293"/>
      <c r="C548" s="1293"/>
      <c r="D548" s="1293"/>
      <c r="E548" s="1293"/>
      <c r="F548" s="1293"/>
      <c r="G548" s="1293"/>
      <c r="H548" s="1293"/>
      <c r="I548" s="1293"/>
      <c r="J548" s="1293"/>
      <c r="K548" s="1293"/>
      <c r="L548" s="1293"/>
      <c r="M548" s="1293"/>
      <c r="N548" s="1293"/>
      <c r="O548" s="1293"/>
      <c r="P548" s="1293"/>
      <c r="Q548" s="1293"/>
      <c r="R548" s="1293"/>
      <c r="S548" s="1293"/>
      <c r="T548" s="1293"/>
      <c r="U548" s="1707"/>
      <c r="V548" s="1293"/>
      <c r="W548" s="1293"/>
      <c r="X548" s="1293"/>
      <c r="Y548" s="1293"/>
      <c r="Z548" s="1293"/>
      <c r="AA548" s="1293"/>
      <c r="AB548" s="1293"/>
      <c r="AC548" s="1293"/>
      <c r="AD548" s="1293"/>
      <c r="AE548" s="1293"/>
      <c r="AF548" s="1293"/>
      <c r="AG548" s="1293"/>
      <c r="AH548" s="1293"/>
      <c r="AI548" s="1293"/>
      <c r="AJ548" s="2186"/>
      <c r="AK548" s="1293"/>
      <c r="AL548" s="1293"/>
      <c r="AM548" s="1293"/>
      <c r="AN548" s="1293"/>
      <c r="AO548" s="2186"/>
      <c r="AP548" s="1293"/>
      <c r="AQ548" s="1293"/>
      <c r="AR548" s="1293"/>
      <c r="AS548" s="1293"/>
      <c r="AT548" s="2186"/>
      <c r="AU548" s="1293"/>
      <c r="AV548" s="1293"/>
      <c r="AW548" s="1293"/>
      <c r="AX548" s="1293"/>
      <c r="AY548" s="2186"/>
      <c r="AZ548" s="1293"/>
      <c r="BA548" s="1293"/>
      <c r="BB548" s="1293"/>
      <c r="BC548" s="1293"/>
      <c r="BD548" s="2186"/>
      <c r="BE548" s="1293"/>
      <c r="BF548" s="1293"/>
      <c r="BG548" s="1293"/>
      <c r="BH548" s="1293"/>
      <c r="BI548" s="2186"/>
      <c r="BJ548" s="1293"/>
      <c r="BK548" s="1293"/>
      <c r="BL548" s="1293"/>
      <c r="BM548" s="1293"/>
      <c r="BN548" s="2186"/>
      <c r="BO548" s="1293"/>
      <c r="BP548" s="1293"/>
      <c r="BQ548" s="1293"/>
      <c r="BR548" s="1293"/>
      <c r="BS548" s="1293"/>
      <c r="BT548" s="1293"/>
      <c r="BU548" s="1293" t="e">
        <f>#REF!/BU546</f>
        <v>#REF!</v>
      </c>
      <c r="BV548" s="1293"/>
      <c r="BW548" s="1293"/>
      <c r="BX548" s="1293"/>
      <c r="BY548" s="1293"/>
      <c r="BZ548" s="1293"/>
      <c r="CA548" s="1293"/>
      <c r="CB548" s="1293"/>
      <c r="CC548" s="1293"/>
      <c r="CD548" s="1293"/>
      <c r="CE548" s="1293"/>
      <c r="CF548" s="1293"/>
      <c r="CG548" s="1293"/>
      <c r="CH548" s="1293"/>
      <c r="CI548" s="1293"/>
      <c r="CJ548" s="1293"/>
      <c r="CK548" s="1293"/>
      <c r="CL548" s="1293"/>
      <c r="CM548" s="1293"/>
      <c r="CN548" s="1293"/>
      <c r="CO548" s="1293"/>
      <c r="CP548" s="1293"/>
      <c r="CQ548" s="1293"/>
      <c r="CR548" s="1293"/>
      <c r="CS548" s="1293"/>
      <c r="CT548" s="1293"/>
      <c r="CU548" s="1293"/>
      <c r="CV548" s="1293"/>
      <c r="CW548" s="1293"/>
      <c r="CX548" s="1293"/>
      <c r="CY548" s="2032"/>
      <c r="CZ548" s="1293"/>
      <c r="DA548" s="2031"/>
      <c r="DB548" s="2032"/>
      <c r="DC548" s="1293"/>
      <c r="DD548" s="1293"/>
      <c r="DE548" s="1293"/>
      <c r="DF548" s="1293"/>
      <c r="DG548" s="1293"/>
      <c r="DH548" s="1293"/>
      <c r="DI548" s="1293"/>
      <c r="DJ548" s="1293"/>
      <c r="DK548" s="1293"/>
      <c r="DL548" s="1293"/>
    </row>
    <row r="549" spans="1:116" ht="15.75">
      <c r="A549" s="1293"/>
      <c r="B549" s="1677" t="s">
        <v>5499</v>
      </c>
      <c r="C549" s="1293"/>
      <c r="D549" s="1293"/>
      <c r="E549" s="1293"/>
      <c r="F549" s="1293"/>
      <c r="G549" s="1293"/>
      <c r="H549" s="1293"/>
      <c r="I549" s="1293"/>
      <c r="J549" s="1293"/>
      <c r="K549" s="1293"/>
      <c r="L549" s="1293"/>
      <c r="M549" s="1293"/>
      <c r="N549" s="1293"/>
      <c r="O549" s="1293"/>
      <c r="P549" s="1293"/>
      <c r="Q549" s="1293"/>
      <c r="R549" s="1293"/>
      <c r="S549" s="1293"/>
      <c r="T549" s="1293"/>
      <c r="U549" s="1707"/>
      <c r="V549" s="1293"/>
      <c r="W549" s="1293"/>
      <c r="X549" s="1293"/>
      <c r="Y549" s="1293"/>
      <c r="Z549" s="1293"/>
      <c r="AA549" s="1293"/>
      <c r="AB549" s="1293"/>
      <c r="AC549" s="1293"/>
      <c r="AD549" s="1293"/>
      <c r="AE549" s="1293"/>
      <c r="AF549" s="1293"/>
      <c r="AG549" s="1293"/>
      <c r="AH549" s="1293"/>
      <c r="AI549" s="1293"/>
      <c r="AJ549" s="2186"/>
      <c r="AK549" s="1293"/>
      <c r="AL549" s="1293"/>
      <c r="AM549" s="1293"/>
      <c r="AN549" s="1293"/>
      <c r="AO549" s="2186"/>
      <c r="AP549" s="1293"/>
      <c r="AQ549" s="1293"/>
      <c r="AR549" s="1293"/>
      <c r="AS549" s="1293"/>
      <c r="AT549" s="2186"/>
      <c r="AU549" s="1293"/>
      <c r="AV549" s="1293"/>
      <c r="AW549" s="1293"/>
      <c r="AX549" s="1293"/>
      <c r="AY549" s="2186"/>
      <c r="AZ549" s="1293"/>
      <c r="BA549" s="1293"/>
      <c r="BB549" s="1293"/>
      <c r="BC549" s="1293"/>
      <c r="BD549" s="2186"/>
      <c r="BE549" s="1293"/>
      <c r="BF549" s="1293"/>
      <c r="BG549" s="1293"/>
      <c r="BH549" s="1293"/>
      <c r="BI549" s="2186"/>
      <c r="BJ549" s="1293"/>
      <c r="BK549" s="1293"/>
      <c r="BL549" s="1293"/>
      <c r="BM549" s="1293"/>
      <c r="BN549" s="2186"/>
      <c r="BO549" s="1293"/>
      <c r="BP549" s="1293"/>
      <c r="BQ549" s="1293"/>
      <c r="BR549" s="1293"/>
      <c r="BS549" s="1293"/>
      <c r="BT549" s="1293"/>
      <c r="BU549" s="1293"/>
      <c r="BV549" s="1293"/>
      <c r="BW549" s="1293"/>
      <c r="BX549" s="1293"/>
      <c r="BY549" s="1293"/>
      <c r="BZ549" s="1293"/>
      <c r="CA549" s="1293"/>
      <c r="CB549" s="1293"/>
      <c r="CC549" s="1293"/>
      <c r="CD549" s="1293"/>
      <c r="CE549" s="1293"/>
      <c r="CF549" s="1293"/>
      <c r="CG549" s="1293"/>
      <c r="CH549" s="1293"/>
      <c r="CI549" s="1293"/>
      <c r="CJ549" s="1293"/>
      <c r="CK549" s="1293"/>
      <c r="CL549" s="1293"/>
      <c r="CM549" s="1293"/>
      <c r="CN549" s="1293"/>
      <c r="CO549" s="1293"/>
      <c r="CP549" s="1293"/>
      <c r="CQ549" s="1293"/>
      <c r="CR549" s="1293"/>
      <c r="CS549" s="1293"/>
      <c r="CT549" s="1293"/>
      <c r="CU549" s="1293"/>
      <c r="CV549" s="1293"/>
      <c r="CW549" s="1293"/>
      <c r="CX549" s="1293"/>
      <c r="CY549" s="2032"/>
      <c r="CZ549" s="1293"/>
      <c r="DA549" s="2031"/>
      <c r="DB549" s="2032"/>
      <c r="DC549" s="1293"/>
      <c r="DD549" s="1293"/>
      <c r="DE549" s="1293"/>
      <c r="DF549" s="1293"/>
      <c r="DG549" s="1293"/>
      <c r="DH549" s="1293"/>
      <c r="DI549" s="1293"/>
      <c r="DJ549" s="1293"/>
      <c r="DK549" s="1293"/>
      <c r="DL549" s="1293"/>
    </row>
    <row r="550" spans="1:116" ht="15.75">
      <c r="A550" s="1293"/>
      <c r="B550" s="1293" t="s">
        <v>6729</v>
      </c>
      <c r="C550" s="1293"/>
      <c r="D550" s="1293"/>
      <c r="E550" s="1293"/>
      <c r="F550" s="1293"/>
      <c r="G550" s="1293"/>
      <c r="H550" s="1293"/>
      <c r="I550" s="1293"/>
      <c r="J550" s="1293"/>
      <c r="K550" s="1293"/>
      <c r="L550" s="1293"/>
      <c r="M550" s="1293"/>
      <c r="N550" s="1293"/>
      <c r="O550" s="1293"/>
      <c r="P550" s="1293"/>
      <c r="Q550" s="1293"/>
      <c r="R550" s="1293"/>
      <c r="S550" s="1293"/>
      <c r="T550" s="1293"/>
      <c r="U550" s="1707"/>
      <c r="V550" s="1293"/>
      <c r="W550" s="1293"/>
      <c r="X550" s="1293"/>
      <c r="Y550" s="1293"/>
      <c r="Z550" s="1293"/>
      <c r="AA550" s="1293"/>
      <c r="AB550" s="1698">
        <f>0.5*AB116+0.45*AB104+0.33*AB105+0.2*(AB106+AB110)</f>
        <v>184.08</v>
      </c>
      <c r="AC550" s="1293"/>
      <c r="AD550" s="1698">
        <f>0.5*AD116+0.45*AD104+0.33*AD105+0.2*(AD106+AD110)</f>
        <v>179.60000000000002</v>
      </c>
      <c r="AE550" s="1293"/>
      <c r="AF550" s="1698">
        <f>0.5*AF116+0.45*AF104+0.33*AF105+0.2*(AF106+AF110)</f>
        <v>180.26</v>
      </c>
      <c r="AG550" s="1293"/>
      <c r="AH550" s="1698">
        <f>0.5*AH116+0.45*AH104+0.33*AH105+0.2*(AH106+AH110)</f>
        <v>186.60999999999999</v>
      </c>
      <c r="AI550" s="1293"/>
      <c r="AJ550" s="2186"/>
      <c r="AK550" s="1698">
        <f>0.5*AK116+0.45*AK104+0.33*AK105+0.2*(AK106+AK110)</f>
        <v>181.72000000000003</v>
      </c>
      <c r="AL550" s="1698">
        <f>0.5*AL116+0.45*AL104+0.33*AL105+0.2*(AL106+AL110)</f>
        <v>167.95000000000002</v>
      </c>
      <c r="AM550" s="1698">
        <f>0.5*AM116+0.45*AM104+0.33*AM105+0.2*(AM106+AM110)</f>
        <v>174.17999999999998</v>
      </c>
      <c r="AN550" s="1698">
        <f>0.5*AN116+0.45*AN104+0.33*AN105+0.2*(AN106+AN110)</f>
        <v>187.91000000000003</v>
      </c>
      <c r="AO550" s="2186"/>
      <c r="AP550" s="1698">
        <f>0.5*AP116+0.45*AP104+0.33*AP105+0.2*(AP106+AP110)</f>
        <v>192.31000000000003</v>
      </c>
      <c r="AQ550" s="1698">
        <f>0.5*AQ116+0.45*AQ104+0.33*AQ105+0.2*(AQ106+AQ110)</f>
        <v>187.41000000000003</v>
      </c>
      <c r="AR550" s="1698">
        <f>0.5*AR116+0.45*AR104+0.33*AR105+0.2*(AR106+AR110)</f>
        <v>183.62</v>
      </c>
      <c r="AS550" s="1698">
        <f>0.5*AS116+0.45*AS104+0.33*AS105+0.2*(AS106+AS110)</f>
        <v>184.48</v>
      </c>
      <c r="AT550" s="2186"/>
      <c r="AU550" s="1698"/>
      <c r="AV550" s="1698"/>
      <c r="AW550" s="1698"/>
      <c r="AX550" s="1698"/>
      <c r="AY550" s="2186"/>
      <c r="AZ550" s="1698"/>
      <c r="BA550" s="1698"/>
      <c r="BB550" s="1698"/>
      <c r="BC550" s="1293"/>
      <c r="BD550" s="2186"/>
      <c r="BE550" s="1698"/>
      <c r="BF550" s="1698"/>
      <c r="BG550" s="1698"/>
      <c r="BH550" s="1293"/>
      <c r="BI550" s="2186"/>
      <c r="BJ550" s="1698"/>
      <c r="BK550" s="1698"/>
      <c r="BL550" s="1698"/>
      <c r="BM550" s="1698"/>
      <c r="BN550" s="2186"/>
      <c r="BO550" s="1293"/>
      <c r="BP550" s="1293"/>
      <c r="BQ550" s="1293"/>
      <c r="BR550" s="1293"/>
      <c r="BS550" s="1293"/>
      <c r="BT550" s="1293"/>
      <c r="BU550" s="1293"/>
      <c r="BV550" s="1293"/>
      <c r="BW550" s="1293"/>
      <c r="BX550" s="1293"/>
      <c r="BY550" s="1293"/>
      <c r="BZ550" s="1293"/>
      <c r="CA550" s="1293"/>
      <c r="CB550" s="1293"/>
      <c r="CC550" s="1293"/>
      <c r="CD550" s="1293"/>
      <c r="CE550" s="1293"/>
      <c r="CF550" s="1293"/>
      <c r="CG550" s="1293"/>
      <c r="CH550" s="1293"/>
      <c r="CI550" s="1293"/>
      <c r="CJ550" s="1293"/>
      <c r="CK550" s="1293"/>
      <c r="CL550" s="1293"/>
      <c r="CM550" s="1293"/>
      <c r="CN550" s="1293"/>
      <c r="CO550" s="1293"/>
      <c r="CP550" s="1293"/>
      <c r="CQ550" s="1293"/>
      <c r="CR550" s="1293"/>
      <c r="CS550" s="1293"/>
      <c r="CT550" s="1293"/>
      <c r="CU550" s="1293"/>
      <c r="CV550" s="1293"/>
      <c r="CW550" s="1293"/>
      <c r="CX550" s="1293"/>
      <c r="CY550" s="2032"/>
      <c r="CZ550" s="1293"/>
      <c r="DA550" s="2163"/>
      <c r="DB550" s="2162"/>
      <c r="DC550" s="1293"/>
      <c r="DD550" s="1293"/>
      <c r="DE550" s="1293"/>
      <c r="DF550" s="1293"/>
      <c r="DG550" s="1293"/>
      <c r="DH550" s="1293"/>
      <c r="DI550" s="1293"/>
      <c r="DJ550" s="1293"/>
      <c r="DK550" s="1293"/>
      <c r="DL550" s="1293"/>
    </row>
    <row r="551" spans="1:116" ht="15.75">
      <c r="A551" s="1293"/>
      <c r="B551" s="1293" t="s">
        <v>7432</v>
      </c>
      <c r="C551" s="1293"/>
      <c r="D551" s="1293"/>
      <c r="E551" s="1293"/>
      <c r="F551" s="1293"/>
      <c r="G551" s="1293"/>
      <c r="H551" s="1293"/>
      <c r="I551" s="1293"/>
      <c r="J551" s="1293"/>
      <c r="K551" s="1293"/>
      <c r="L551" s="1293"/>
      <c r="M551" s="1293"/>
      <c r="N551" s="1293"/>
      <c r="O551" s="1293"/>
      <c r="P551" s="1293"/>
      <c r="Q551" s="1293"/>
      <c r="R551" s="1293"/>
      <c r="S551" s="1293"/>
      <c r="T551" s="1293"/>
      <c r="U551" s="1707"/>
      <c r="V551" s="1293"/>
      <c r="W551" s="1293"/>
      <c r="X551" s="1293"/>
      <c r="Y551" s="1293"/>
      <c r="Z551" s="1293"/>
      <c r="AA551" s="1293"/>
      <c r="AB551" s="1698"/>
      <c r="AC551" s="1293"/>
      <c r="AD551" s="1698"/>
      <c r="AE551" s="1293"/>
      <c r="AF551" s="1698"/>
      <c r="AG551" s="1293"/>
      <c r="AH551" s="1698"/>
      <c r="AI551" s="1293"/>
      <c r="AJ551" s="2186"/>
      <c r="AK551" s="1698"/>
      <c r="AL551" s="1698"/>
      <c r="AM551" s="1698"/>
      <c r="AN551" s="1698"/>
      <c r="AO551" s="2186"/>
      <c r="AP551" s="1698"/>
      <c r="AQ551" s="1698"/>
      <c r="AR551" s="1698"/>
      <c r="AS551" s="1698"/>
      <c r="AT551" s="2186"/>
      <c r="AU551" s="1698"/>
      <c r="AV551" s="1698"/>
      <c r="AW551" s="1698"/>
      <c r="AX551" s="1698"/>
      <c r="AY551" s="2186"/>
      <c r="AZ551" s="1698"/>
      <c r="BA551" s="1698"/>
      <c r="BB551" s="1698"/>
      <c r="BC551" s="1293"/>
      <c r="BD551" s="2186"/>
      <c r="BE551" s="1698"/>
      <c r="BF551" s="1698"/>
      <c r="BG551" s="1698"/>
      <c r="BH551" s="1293"/>
      <c r="BI551" s="2186"/>
      <c r="BJ551" s="1698"/>
      <c r="BK551" s="1698"/>
      <c r="BL551" s="1698"/>
      <c r="BM551" s="1698"/>
      <c r="BN551" s="2186"/>
      <c r="BO551" s="1293"/>
      <c r="BP551" s="1293"/>
      <c r="BQ551" s="1293"/>
      <c r="BR551" s="1293"/>
      <c r="BS551" s="1293"/>
      <c r="BT551" s="1293"/>
      <c r="BU551" s="1293"/>
      <c r="BV551" s="1293"/>
      <c r="BW551" s="1293"/>
      <c r="BX551" s="1293"/>
      <c r="BY551" s="1293"/>
      <c r="BZ551" s="1293"/>
      <c r="CA551" s="1293"/>
      <c r="CB551" s="1293"/>
      <c r="CC551" s="1293"/>
      <c r="CD551" s="1293"/>
      <c r="CE551" s="1293"/>
      <c r="CF551" s="1293"/>
      <c r="CG551" s="1293"/>
      <c r="CH551" s="1293"/>
      <c r="CI551" s="1293"/>
      <c r="CJ551" s="1293"/>
      <c r="CK551" s="1293"/>
      <c r="CL551" s="1293"/>
      <c r="CM551" s="1293"/>
      <c r="CN551" s="1293"/>
      <c r="CO551" s="1293"/>
      <c r="CP551" s="1293"/>
      <c r="CQ551" s="1293"/>
      <c r="CR551" s="1293"/>
      <c r="CS551" s="1293"/>
      <c r="CT551" s="1293"/>
      <c r="CU551" s="1293"/>
      <c r="CV551" s="1293"/>
      <c r="CW551" s="1293"/>
      <c r="CX551" s="1293"/>
      <c r="CY551" s="2032"/>
      <c r="CZ551" s="1293"/>
      <c r="DA551" s="2163"/>
      <c r="DB551" s="2162"/>
      <c r="DC551" s="1293"/>
      <c r="DD551" s="1293"/>
      <c r="DE551" s="1293"/>
      <c r="DF551" s="1293"/>
      <c r="DG551" s="1293"/>
      <c r="DH551" s="1293"/>
      <c r="DI551" s="1293"/>
      <c r="DJ551" s="1293"/>
      <c r="DK551" s="1293"/>
      <c r="DL551" s="1293"/>
    </row>
    <row r="552" spans="1:116" ht="15.75">
      <c r="A552" s="1293"/>
      <c r="B552" s="1293" t="s">
        <v>4099</v>
      </c>
      <c r="C552" s="1293"/>
      <c r="D552" s="1293"/>
      <c r="E552" s="1293"/>
      <c r="F552" s="1293"/>
      <c r="G552" s="1293"/>
      <c r="H552" s="1293"/>
      <c r="I552" s="1293"/>
      <c r="J552" s="1293"/>
      <c r="K552" s="1293"/>
      <c r="L552" s="1293"/>
      <c r="M552" s="1293"/>
      <c r="N552" s="1293"/>
      <c r="O552" s="1293"/>
      <c r="P552" s="1293"/>
      <c r="Q552" s="1293"/>
      <c r="R552" s="1293"/>
      <c r="S552" s="1293"/>
      <c r="T552" s="1293"/>
      <c r="U552" s="1707"/>
      <c r="V552" s="1293"/>
      <c r="W552" s="1293"/>
      <c r="X552" s="1293"/>
      <c r="Y552" s="1293"/>
      <c r="Z552" s="1293"/>
      <c r="AA552" s="1293"/>
      <c r="AB552" s="1698">
        <f>AB140-AB550</f>
        <v>439.91999999999996</v>
      </c>
      <c r="AC552" s="1293"/>
      <c r="AD552" s="1698">
        <f>AD140-AD550</f>
        <v>425.4</v>
      </c>
      <c r="AE552" s="1293"/>
      <c r="AF552" s="1698">
        <f>AF140-AF550</f>
        <v>468.74</v>
      </c>
      <c r="AG552" s="1293"/>
      <c r="AH552" s="1698">
        <f>AH140-AH550</f>
        <v>485.39</v>
      </c>
      <c r="AI552" s="1293"/>
      <c r="AJ552" s="2186"/>
      <c r="AK552" s="1698">
        <f>AK140-AK550</f>
        <v>456.28</v>
      </c>
      <c r="AL552" s="1698">
        <f>AL140-AL550</f>
        <v>405.04999999999995</v>
      </c>
      <c r="AM552" s="1698">
        <f>AM140-AM550</f>
        <v>438.82000000000005</v>
      </c>
      <c r="AN552" s="1698">
        <f>AN140-AN550</f>
        <v>473.09</v>
      </c>
      <c r="AO552" s="2186"/>
      <c r="AP552" s="1698">
        <f>AP140-AP550</f>
        <v>476.68999999999994</v>
      </c>
      <c r="AQ552" s="1698">
        <f>AQ140-AQ550</f>
        <v>467.59</v>
      </c>
      <c r="AR552" s="1698">
        <f>AR140-AR550</f>
        <v>466.38</v>
      </c>
      <c r="AS552" s="1698">
        <f>AS140-AS550</f>
        <v>482.52</v>
      </c>
      <c r="AT552" s="2186"/>
      <c r="AU552" s="1698">
        <f>AU140-AU550+AU551</f>
        <v>563.90809999999999</v>
      </c>
      <c r="AV552" s="1698">
        <f>AV140-AV550+AV551</f>
        <v>577.10850000000005</v>
      </c>
      <c r="AW552" s="1698">
        <f>AW140-AW550+AW551</f>
        <v>539.1377</v>
      </c>
      <c r="AX552" s="1698">
        <f>AX140-AX550+AX551</f>
        <v>547.98069999999996</v>
      </c>
      <c r="AY552" s="2186"/>
      <c r="AZ552" s="1698">
        <f>AZ140-AZ550+AZ551</f>
        <v>522.2749</v>
      </c>
      <c r="BA552" s="1698">
        <f>BA140-BA550+BA551</f>
        <v>528.92719999999997</v>
      </c>
      <c r="BB552" s="1698">
        <f>BB140-BB550+BB551</f>
        <v>565.58169999999996</v>
      </c>
      <c r="BC552" s="1698">
        <f>BC140-BC550+BC551</f>
        <v>598.50170000000003</v>
      </c>
      <c r="BD552" s="2186"/>
      <c r="BE552" s="1698"/>
      <c r="BF552" s="1698"/>
      <c r="BG552" s="1698"/>
      <c r="BH552" s="1698"/>
      <c r="BI552" s="2186"/>
      <c r="BJ552" s="1698"/>
      <c r="BK552" s="1698"/>
      <c r="BL552" s="1698"/>
      <c r="BM552" s="1698"/>
      <c r="BN552" s="2186"/>
      <c r="BO552" s="1293"/>
      <c r="BP552" s="1293"/>
      <c r="BQ552" s="1293"/>
      <c r="BR552" s="1293"/>
      <c r="BS552" s="1293"/>
      <c r="BT552" s="1293"/>
      <c r="BU552" s="1293"/>
      <c r="BV552" s="1293"/>
      <c r="BW552" s="1293"/>
      <c r="BX552" s="1293"/>
      <c r="BY552" s="1293"/>
      <c r="BZ552" s="1293"/>
      <c r="CA552" s="1293"/>
      <c r="CB552" s="1293"/>
      <c r="CC552" s="1293"/>
      <c r="CD552" s="1293"/>
      <c r="CE552" s="1293"/>
      <c r="CF552" s="1293"/>
      <c r="CG552" s="1293"/>
      <c r="CH552" s="1293"/>
      <c r="CI552" s="1293"/>
      <c r="CJ552" s="1293"/>
      <c r="CK552" s="1293"/>
      <c r="CL552" s="1293"/>
      <c r="CM552" s="1293"/>
      <c r="CN552" s="1293"/>
      <c r="CO552" s="1293"/>
      <c r="CP552" s="1293"/>
      <c r="CQ552" s="1293"/>
      <c r="CR552" s="1293"/>
      <c r="CS552" s="1293"/>
      <c r="CT552" s="1293"/>
      <c r="CU552" s="1293"/>
      <c r="CV552" s="1293"/>
      <c r="CW552" s="1293"/>
      <c r="CX552" s="1293"/>
      <c r="CY552" s="2032"/>
      <c r="CZ552" s="1293"/>
      <c r="DA552" s="2163"/>
      <c r="DB552" s="2162"/>
      <c r="DC552" s="1293"/>
      <c r="DD552" s="1293"/>
      <c r="DE552" s="1293"/>
      <c r="DF552" s="1293"/>
      <c r="DG552" s="1293"/>
      <c r="DH552" s="1293"/>
      <c r="DI552" s="1293"/>
      <c r="DJ552" s="1293"/>
      <c r="DK552" s="1293"/>
      <c r="DL552" s="1293"/>
    </row>
    <row r="553" spans="1:116" ht="15.75">
      <c r="A553" s="1293"/>
      <c r="B553" s="1293" t="s">
        <v>2945</v>
      </c>
      <c r="C553" s="1293"/>
      <c r="D553" s="1293"/>
      <c r="E553" s="1293"/>
      <c r="F553" s="1293"/>
      <c r="G553" s="1293"/>
      <c r="H553" s="1293"/>
      <c r="I553" s="1293"/>
      <c r="J553" s="1293"/>
      <c r="K553" s="1293"/>
      <c r="L553" s="1293"/>
      <c r="M553" s="1293"/>
      <c r="N553" s="1293"/>
      <c r="O553" s="1293"/>
      <c r="P553" s="1293"/>
      <c r="Q553" s="1293"/>
      <c r="R553" s="1293"/>
      <c r="S553" s="1293"/>
      <c r="T553" s="1293"/>
      <c r="U553" s="1707"/>
      <c r="V553" s="1293"/>
      <c r="W553" s="1293"/>
      <c r="X553" s="1293"/>
      <c r="Y553" s="1293"/>
      <c r="Z553" s="1293"/>
      <c r="AA553" s="1293"/>
      <c r="AB553" s="1698"/>
      <c r="AC553" s="1293"/>
      <c r="AD553" s="1698"/>
      <c r="AE553" s="1293"/>
      <c r="AF553" s="1698"/>
      <c r="AG553" s="1293"/>
      <c r="AH553" s="1698"/>
      <c r="AI553" s="1293"/>
      <c r="AJ553" s="2186"/>
      <c r="AK553" s="1698"/>
      <c r="AL553" s="1698"/>
      <c r="AM553" s="1698"/>
      <c r="AN553" s="1698"/>
      <c r="AO553" s="2186"/>
      <c r="AP553" s="1698"/>
      <c r="AQ553" s="1698">
        <f>AQ552+0.45*AQ104</f>
        <v>565.68999999999994</v>
      </c>
      <c r="AR553" s="1698">
        <f>AR552+0.45*AR104</f>
        <v>562.67999999999995</v>
      </c>
      <c r="AS553" s="1698">
        <f>AS552+0.45*AS104</f>
        <v>577.47</v>
      </c>
      <c r="AT553" s="2186"/>
      <c r="AU553" s="1698">
        <f t="shared" ref="AU553:AV553" si="534">AU552</f>
        <v>563.90809999999999</v>
      </c>
      <c r="AV553" s="1698">
        <f t="shared" si="534"/>
        <v>577.10850000000005</v>
      </c>
      <c r="AW553" s="1698">
        <f t="shared" ref="AW553:AZ553" si="535">AW552</f>
        <v>539.1377</v>
      </c>
      <c r="AX553" s="1698">
        <f t="shared" si="535"/>
        <v>547.98069999999996</v>
      </c>
      <c r="AY553" s="2186"/>
      <c r="AZ553" s="1698">
        <f t="shared" si="535"/>
        <v>522.2749</v>
      </c>
      <c r="BA553" s="1698">
        <f t="shared" ref="BA553:BB553" si="536">BA552</f>
        <v>528.92719999999997</v>
      </c>
      <c r="BB553" s="1698">
        <f t="shared" si="536"/>
        <v>565.58169999999996</v>
      </c>
      <c r="BC553" s="1698">
        <f t="shared" ref="BC553" si="537">BC552</f>
        <v>598.50170000000003</v>
      </c>
      <c r="BD553" s="2186"/>
      <c r="BE553" s="1698"/>
      <c r="BF553" s="1698"/>
      <c r="BG553" s="1698"/>
      <c r="BH553" s="1698"/>
      <c r="BI553" s="2186"/>
      <c r="BJ553" s="1698"/>
      <c r="BK553" s="1698"/>
      <c r="BL553" s="1698"/>
      <c r="BM553" s="1698"/>
      <c r="BN553" s="2186"/>
      <c r="BO553" s="1293"/>
      <c r="BP553" s="1293"/>
      <c r="BQ553" s="1293"/>
      <c r="BR553" s="1293"/>
      <c r="BS553" s="1293"/>
      <c r="BT553" s="1293"/>
      <c r="BU553" s="1293"/>
      <c r="BV553" s="1293"/>
      <c r="BW553" s="1293"/>
      <c r="BX553" s="1293"/>
      <c r="BY553" s="1293"/>
      <c r="BZ553" s="1293"/>
      <c r="CA553" s="1293"/>
      <c r="CB553" s="1293"/>
      <c r="CC553" s="1293"/>
      <c r="CD553" s="1293"/>
      <c r="CE553" s="1293"/>
      <c r="CF553" s="1293"/>
      <c r="CG553" s="1293"/>
      <c r="CH553" s="1293"/>
      <c r="CI553" s="1293"/>
      <c r="CJ553" s="1293"/>
      <c r="CK553" s="1293"/>
      <c r="CL553" s="1293"/>
      <c r="CM553" s="1293"/>
      <c r="CN553" s="1293"/>
      <c r="CO553" s="1293"/>
      <c r="CP553" s="1293"/>
      <c r="CQ553" s="1293"/>
      <c r="CR553" s="1293"/>
      <c r="CS553" s="1293"/>
      <c r="CT553" s="1293"/>
      <c r="CU553" s="1293"/>
      <c r="CV553" s="1293"/>
      <c r="CW553" s="1293"/>
      <c r="CX553" s="1293"/>
      <c r="CY553" s="2032"/>
      <c r="CZ553" s="1293"/>
      <c r="DA553" s="2163"/>
      <c r="DB553" s="2162"/>
      <c r="DC553" s="1293"/>
      <c r="DD553" s="1293"/>
      <c r="DE553" s="1293"/>
      <c r="DF553" s="1293"/>
      <c r="DG553" s="1293"/>
      <c r="DH553" s="1293"/>
      <c r="DI553" s="1293"/>
      <c r="DJ553" s="1293"/>
      <c r="DK553" s="1293"/>
      <c r="DL553" s="1293"/>
    </row>
    <row r="554" spans="1:116" ht="15.75">
      <c r="A554" s="1293"/>
      <c r="B554" s="1293"/>
      <c r="C554" s="1293"/>
      <c r="D554" s="1293"/>
      <c r="E554" s="1293"/>
      <c r="F554" s="1293"/>
      <c r="G554" s="1293"/>
      <c r="H554" s="1293"/>
      <c r="I554" s="1293"/>
      <c r="J554" s="1293"/>
      <c r="K554" s="1293"/>
      <c r="L554" s="1293"/>
      <c r="M554" s="1293"/>
      <c r="N554" s="1293"/>
      <c r="O554" s="1293"/>
      <c r="P554" s="1293"/>
      <c r="Q554" s="1293"/>
      <c r="R554" s="1293"/>
      <c r="S554" s="1293"/>
      <c r="T554" s="1293"/>
      <c r="U554" s="1707"/>
      <c r="V554" s="1293"/>
      <c r="W554" s="1293"/>
      <c r="X554" s="1293"/>
      <c r="Y554" s="1293"/>
      <c r="Z554" s="1293"/>
      <c r="AA554" s="1293"/>
      <c r="AB554" s="1293"/>
      <c r="AC554" s="1293"/>
      <c r="AD554" s="1293"/>
      <c r="AE554" s="1293"/>
      <c r="AF554" s="1293"/>
      <c r="AG554" s="1293"/>
      <c r="AH554" s="1293"/>
      <c r="AI554" s="1293"/>
      <c r="AJ554" s="2186"/>
      <c r="AK554" s="1293"/>
      <c r="AL554" s="1293"/>
      <c r="AM554" s="1293"/>
      <c r="AN554" s="1293"/>
      <c r="AO554" s="2186"/>
      <c r="AP554" s="1293"/>
      <c r="AQ554" s="1293"/>
      <c r="AR554" s="1293"/>
      <c r="AS554" s="1293"/>
      <c r="AT554" s="2186"/>
      <c r="AU554" s="1293"/>
      <c r="AV554" s="1293"/>
      <c r="AW554" s="1293"/>
      <c r="AX554" s="1293"/>
      <c r="AY554" s="2186"/>
      <c r="AZ554" s="1293"/>
      <c r="BA554" s="1293"/>
      <c r="BB554" s="1293"/>
      <c r="BC554" s="1293"/>
      <c r="BD554" s="2186"/>
      <c r="BE554" s="1293"/>
      <c r="BF554" s="1293"/>
      <c r="BG554" s="1293"/>
      <c r="BH554" s="1293"/>
      <c r="BI554" s="2186"/>
      <c r="BJ554" s="1293"/>
      <c r="BK554" s="1293"/>
      <c r="BL554" s="1293"/>
      <c r="BM554" s="1293"/>
      <c r="BN554" s="2186"/>
      <c r="BO554" s="1293"/>
      <c r="BP554" s="1293"/>
      <c r="BQ554" s="1293"/>
      <c r="BR554" s="1293"/>
      <c r="BS554" s="1293"/>
      <c r="BT554" s="1293"/>
      <c r="BU554" s="1293"/>
      <c r="BV554" s="1293"/>
      <c r="BW554" s="1293"/>
      <c r="BX554" s="1293"/>
      <c r="BY554" s="1293"/>
      <c r="BZ554" s="1293"/>
      <c r="CA554" s="1293"/>
      <c r="CB554" s="1293"/>
      <c r="CC554" s="1293"/>
      <c r="CD554" s="1293"/>
      <c r="CE554" s="1293"/>
      <c r="CF554" s="1293"/>
      <c r="CG554" s="1293"/>
      <c r="CH554" s="1293"/>
      <c r="CI554" s="1293"/>
      <c r="CJ554" s="1293"/>
      <c r="CK554" s="1293"/>
      <c r="CL554" s="1293"/>
      <c r="CM554" s="1293"/>
      <c r="CN554" s="1293"/>
      <c r="CO554" s="1293"/>
      <c r="CP554" s="1293"/>
      <c r="CQ554" s="1293"/>
      <c r="CR554" s="1293"/>
      <c r="CS554" s="1293"/>
      <c r="CT554" s="1293"/>
      <c r="CU554" s="1293"/>
      <c r="CV554" s="1293"/>
      <c r="CW554" s="1293"/>
      <c r="CX554" s="1293"/>
      <c r="CY554" s="2032"/>
      <c r="CZ554" s="1293"/>
      <c r="DA554" s="2031"/>
      <c r="DB554" s="2032"/>
      <c r="DC554" s="1293"/>
      <c r="DD554" s="1293"/>
      <c r="DE554" s="1293"/>
      <c r="DF554" s="1293"/>
      <c r="DG554" s="1293"/>
      <c r="DH554" s="1293"/>
      <c r="DI554" s="1293"/>
      <c r="DJ554" s="1293"/>
      <c r="DK554" s="1293"/>
      <c r="DL554" s="1293"/>
    </row>
    <row r="555" spans="1:116" ht="15.75">
      <c r="A555" s="1293"/>
      <c r="B555" s="1293" t="s">
        <v>6730</v>
      </c>
      <c r="C555" s="1293"/>
      <c r="D555" s="1293"/>
      <c r="E555" s="1293"/>
      <c r="F555" s="1293"/>
      <c r="G555" s="1293"/>
      <c r="H555" s="1293"/>
      <c r="I555" s="1293"/>
      <c r="J555" s="1293"/>
      <c r="K555" s="1293"/>
      <c r="L555" s="1293"/>
      <c r="M555" s="1293"/>
      <c r="N555" s="1293"/>
      <c r="O555" s="1293"/>
      <c r="P555" s="1293"/>
      <c r="Q555" s="1293"/>
      <c r="R555" s="1293"/>
      <c r="S555" s="1293"/>
      <c r="T555" s="1293"/>
      <c r="U555" s="1707"/>
      <c r="V555" s="1293"/>
      <c r="W555" s="1293"/>
      <c r="X555" s="1293"/>
      <c r="Y555" s="1293"/>
      <c r="Z555" s="1293"/>
      <c r="AA555" s="1293"/>
      <c r="AB555" s="1293"/>
      <c r="AC555" s="1293"/>
      <c r="AD555" s="1293"/>
      <c r="AE555" s="1293"/>
      <c r="AF555" s="1293"/>
      <c r="AG555" s="1293"/>
      <c r="AH555" s="1293">
        <v>5972</v>
      </c>
      <c r="AI555" s="1293"/>
      <c r="AJ555" s="2186"/>
      <c r="AK555" s="2017">
        <v>6003</v>
      </c>
      <c r="AL555" s="2017">
        <v>5889</v>
      </c>
      <c r="AM555" s="2017">
        <v>5831</v>
      </c>
      <c r="AN555" s="2017">
        <v>5670</v>
      </c>
      <c r="AO555" s="2186"/>
      <c r="AP555" s="2017">
        <v>5629</v>
      </c>
      <c r="AQ555" s="2017">
        <v>5372</v>
      </c>
      <c r="AR555" s="2017">
        <v>5305</v>
      </c>
      <c r="AS555" s="2017">
        <v>7562</v>
      </c>
      <c r="AT555" s="2186"/>
      <c r="AU555" s="1293"/>
      <c r="AV555" s="1293"/>
      <c r="AW555" s="1293"/>
      <c r="AX555" s="1293"/>
      <c r="AY555" s="2186"/>
      <c r="AZ555" s="1293"/>
      <c r="BA555" s="1293"/>
      <c r="BB555" s="1293"/>
      <c r="BC555" s="1293"/>
      <c r="BD555" s="2186"/>
      <c r="BE555" s="1293"/>
      <c r="BF555" s="1293"/>
      <c r="BG555" s="1293"/>
      <c r="BH555" s="1293"/>
      <c r="BI555" s="2186"/>
      <c r="BJ555" s="1293"/>
      <c r="BK555" s="1293"/>
      <c r="BL555" s="1293"/>
      <c r="BM555" s="1293"/>
      <c r="BN555" s="2186"/>
      <c r="BO555" s="1293"/>
      <c r="BP555" s="1293"/>
      <c r="BQ555" s="1293"/>
      <c r="BR555" s="1293"/>
      <c r="BS555" s="1293"/>
      <c r="BT555" s="1293"/>
      <c r="BU555" s="1293"/>
      <c r="BV555" s="1293"/>
      <c r="BW555" s="1293"/>
      <c r="BX555" s="1293"/>
      <c r="BY555" s="1293"/>
      <c r="BZ555" s="1293"/>
      <c r="CA555" s="1293"/>
      <c r="CB555" s="1293"/>
      <c r="CC555" s="1293"/>
      <c r="CD555" s="1293"/>
      <c r="CE555" s="1293"/>
      <c r="CF555" s="1293"/>
      <c r="CG555" s="1293"/>
      <c r="CH555" s="1293"/>
      <c r="CI555" s="1293"/>
      <c r="CJ555" s="1293"/>
      <c r="CK555" s="1293"/>
      <c r="CL555" s="1293"/>
      <c r="CM555" s="1293"/>
      <c r="CN555" s="1293"/>
      <c r="CO555" s="1293"/>
      <c r="CP555" s="1293"/>
      <c r="CQ555" s="1293"/>
      <c r="CR555" s="1293"/>
      <c r="CS555" s="1293"/>
      <c r="CT555" s="1293"/>
      <c r="CU555" s="1293"/>
      <c r="CV555" s="1293"/>
      <c r="CW555" s="1293"/>
      <c r="CX555" s="1293"/>
      <c r="CY555" s="2032"/>
      <c r="CZ555" s="1293"/>
      <c r="DA555" s="2031"/>
      <c r="DB555" s="2032"/>
      <c r="DC555" s="1293"/>
      <c r="DD555" s="1293"/>
      <c r="DE555" s="1293"/>
      <c r="DF555" s="1293"/>
      <c r="DG555" s="1293"/>
      <c r="DH555" s="1293"/>
      <c r="DI555" s="1293"/>
      <c r="DJ555" s="1293"/>
      <c r="DK555" s="1293"/>
      <c r="DL555" s="1293"/>
    </row>
    <row r="556" spans="1:116" ht="15.75">
      <c r="A556" s="1293"/>
      <c r="B556" s="1293" t="s">
        <v>6731</v>
      </c>
      <c r="C556" s="1293"/>
      <c r="D556" s="1293"/>
      <c r="E556" s="1293"/>
      <c r="F556" s="1293"/>
      <c r="G556" s="1293"/>
      <c r="H556" s="1293"/>
      <c r="I556" s="1293"/>
      <c r="J556" s="1293"/>
      <c r="K556" s="1293"/>
      <c r="L556" s="1293"/>
      <c r="M556" s="1293"/>
      <c r="N556" s="1293"/>
      <c r="O556" s="1293"/>
      <c r="P556" s="1293"/>
      <c r="Q556" s="1293"/>
      <c r="R556" s="1293"/>
      <c r="S556" s="1293"/>
      <c r="T556" s="1293"/>
      <c r="U556" s="1707"/>
      <c r="V556" s="1293"/>
      <c r="W556" s="1293"/>
      <c r="X556" s="1293"/>
      <c r="Y556" s="1293"/>
      <c r="Z556" s="1293"/>
      <c r="AA556" s="1293"/>
      <c r="AB556" s="1293"/>
      <c r="AC556" s="1293"/>
      <c r="AD556" s="1293"/>
      <c r="AE556" s="1293"/>
      <c r="AF556" s="1293"/>
      <c r="AG556" s="1293"/>
      <c r="AH556" s="1698">
        <f>AH539-AH555</f>
        <v>1264</v>
      </c>
      <c r="AI556" s="1293"/>
      <c r="AJ556" s="2186"/>
      <c r="AK556" s="1698">
        <f>AK539-AK555</f>
        <v>1216</v>
      </c>
      <c r="AL556" s="1698">
        <f>AL539-AL555</f>
        <v>1203</v>
      </c>
      <c r="AM556" s="1698">
        <f>AM539-AM555</f>
        <v>1164</v>
      </c>
      <c r="AN556" s="1698">
        <f>AN539-AN555</f>
        <v>961</v>
      </c>
      <c r="AO556" s="2186"/>
      <c r="AP556" s="1698">
        <f>AP539-AP555</f>
        <v>993</v>
      </c>
      <c r="AQ556" s="1698">
        <f>AQ539-AQ555</f>
        <v>975</v>
      </c>
      <c r="AR556" s="1698">
        <f>AR539-AR555</f>
        <v>931</v>
      </c>
      <c r="AS556" s="1698">
        <f>AS539-AS555</f>
        <v>720</v>
      </c>
      <c r="AT556" s="2186"/>
      <c r="AU556" s="1698"/>
      <c r="AV556" s="1698"/>
      <c r="AW556" s="1698"/>
      <c r="AX556" s="1698"/>
      <c r="AY556" s="2300"/>
      <c r="AZ556" s="1698"/>
      <c r="BA556" s="1698"/>
      <c r="BB556" s="1698"/>
      <c r="BC556" s="1671"/>
      <c r="BD556" s="2300"/>
      <c r="BE556" s="1698"/>
      <c r="BF556" s="1698"/>
      <c r="BG556" s="1698"/>
      <c r="BH556" s="1671"/>
      <c r="BI556" s="2300"/>
      <c r="BJ556" s="1698"/>
      <c r="BK556" s="1698"/>
      <c r="BL556" s="1698"/>
      <c r="BM556" s="1698"/>
      <c r="BN556" s="2300"/>
      <c r="BO556" s="1671"/>
      <c r="BP556" s="1671"/>
      <c r="BQ556" s="1671"/>
      <c r="BR556" s="1293"/>
      <c r="BS556" s="1293"/>
      <c r="BT556" s="1293"/>
      <c r="BU556" s="1293"/>
      <c r="BV556" s="1293"/>
      <c r="BW556" s="1293"/>
      <c r="BX556" s="1293"/>
      <c r="BY556" s="1293"/>
      <c r="BZ556" s="1293"/>
      <c r="CA556" s="1293"/>
      <c r="CB556" s="1293"/>
      <c r="CC556" s="1293"/>
      <c r="CD556" s="1293"/>
      <c r="CE556" s="1293"/>
      <c r="CF556" s="1293"/>
      <c r="CG556" s="1293"/>
      <c r="CH556" s="1293"/>
      <c r="CI556" s="1293"/>
      <c r="CJ556" s="1293"/>
      <c r="CK556" s="1293"/>
      <c r="CL556" s="1293"/>
      <c r="CM556" s="1293"/>
      <c r="CN556" s="1293"/>
      <c r="CO556" s="1293"/>
      <c r="CP556" s="1293"/>
      <c r="CQ556" s="1293"/>
      <c r="CR556" s="1293"/>
      <c r="CS556" s="1293"/>
      <c r="CT556" s="1293"/>
      <c r="CU556" s="1293"/>
      <c r="CV556" s="1293"/>
      <c r="CW556" s="1293"/>
      <c r="CX556" s="1293"/>
      <c r="CY556" s="2301"/>
      <c r="CZ556" s="1671"/>
      <c r="DA556" s="2163"/>
      <c r="DB556" s="2162"/>
      <c r="DC556" s="1293"/>
      <c r="DD556" s="1293"/>
      <c r="DE556" s="1293"/>
      <c r="DF556" s="1293"/>
      <c r="DG556" s="1293"/>
      <c r="DH556" s="1293"/>
      <c r="DI556" s="1293"/>
      <c r="DJ556" s="1293"/>
      <c r="DK556" s="1293"/>
      <c r="DL556" s="1293"/>
    </row>
    <row r="557" spans="1:116" ht="15.75">
      <c r="A557" s="1293"/>
      <c r="B557" s="1334" t="s">
        <v>7636</v>
      </c>
      <c r="C557" s="1334"/>
      <c r="D557" s="1334"/>
      <c r="E557" s="1334"/>
      <c r="F557" s="1334"/>
      <c r="G557" s="1334"/>
      <c r="H557" s="1334"/>
      <c r="I557" s="1334"/>
      <c r="J557" s="1334"/>
      <c r="K557" s="1334"/>
      <c r="L557" s="1334"/>
      <c r="M557" s="1334"/>
      <c r="N557" s="1334"/>
      <c r="O557" s="1334"/>
      <c r="P557" s="1334"/>
      <c r="Q557" s="1334"/>
      <c r="R557" s="1334"/>
      <c r="S557" s="1334"/>
      <c r="T557" s="1334"/>
      <c r="U557" s="2267"/>
      <c r="V557" s="1334"/>
      <c r="W557" s="1334"/>
      <c r="X557" s="1334"/>
      <c r="Y557" s="1334"/>
      <c r="Z557" s="1334"/>
      <c r="AA557" s="1334"/>
      <c r="AB557" s="2302">
        <v>2.9</v>
      </c>
      <c r="AC557" s="2302"/>
      <c r="AD557" s="2302">
        <v>2.88</v>
      </c>
      <c r="AE557" s="2302"/>
      <c r="AF557" s="2302">
        <v>3.14</v>
      </c>
      <c r="AG557" s="2302"/>
      <c r="AH557" s="2302">
        <v>3.19</v>
      </c>
      <c r="AI557" s="1334"/>
      <c r="AJ557" s="2303"/>
      <c r="AK557" s="2304">
        <v>3.25</v>
      </c>
      <c r="AL557" s="2304">
        <v>3.24</v>
      </c>
      <c r="AM557" s="2304">
        <v>3.29</v>
      </c>
      <c r="AN557" s="2305">
        <v>3.2</v>
      </c>
      <c r="AO557" s="2303"/>
      <c r="AP557" s="2304">
        <v>3.13</v>
      </c>
      <c r="AQ557" s="2304">
        <v>2.89</v>
      </c>
      <c r="AR557" s="2304">
        <v>2.81</v>
      </c>
      <c r="AS557" s="2304">
        <v>3.36</v>
      </c>
      <c r="AT557" s="2303"/>
      <c r="AU557" s="1698"/>
      <c r="AV557" s="1698"/>
      <c r="AW557" s="1698"/>
      <c r="AX557" s="1698"/>
      <c r="AY557" s="2186"/>
      <c r="AZ557" s="1698"/>
      <c r="BA557" s="1698"/>
      <c r="BB557" s="1698"/>
      <c r="BC557" s="1293"/>
      <c r="BD557" s="2186"/>
      <c r="BE557" s="1698"/>
      <c r="BF557" s="1698"/>
      <c r="BG557" s="1698"/>
      <c r="BH557" s="1293"/>
      <c r="BI557" s="2186"/>
      <c r="BJ557" s="1698"/>
      <c r="BK557" s="1698"/>
      <c r="BL557" s="1698"/>
      <c r="BM557" s="1698"/>
      <c r="BN557" s="2186"/>
      <c r="BO557" s="1293"/>
      <c r="BP557" s="1293"/>
      <c r="BQ557" s="1293"/>
      <c r="BR557" s="1293"/>
      <c r="BS557" s="1293"/>
      <c r="BT557" s="1293"/>
      <c r="BU557" s="1293"/>
      <c r="BV557" s="1293"/>
      <c r="BW557" s="1293"/>
      <c r="BX557" s="1293"/>
      <c r="BY557" s="1293"/>
      <c r="BZ557" s="1293"/>
      <c r="CA557" s="1293"/>
      <c r="CB557" s="1293"/>
      <c r="CC557" s="1293"/>
      <c r="CD557" s="1293"/>
      <c r="CE557" s="1293"/>
      <c r="CF557" s="1293"/>
      <c r="CG557" s="1293"/>
      <c r="CH557" s="1293"/>
      <c r="CI557" s="1293"/>
      <c r="CJ557" s="1293"/>
      <c r="CK557" s="1293"/>
      <c r="CL557" s="1293"/>
      <c r="CM557" s="1293"/>
      <c r="CN557" s="1293"/>
      <c r="CO557" s="1293"/>
      <c r="CP557" s="1293"/>
      <c r="CQ557" s="1293"/>
      <c r="CR557" s="1293"/>
      <c r="CS557" s="1293"/>
      <c r="CT557" s="1293"/>
      <c r="CU557" s="1293"/>
      <c r="CV557" s="1293"/>
      <c r="CW557" s="1293"/>
      <c r="CX557" s="1293"/>
      <c r="CY557" s="2032"/>
      <c r="CZ557" s="1293"/>
      <c r="DA557" s="2163"/>
      <c r="DB557" s="2162"/>
      <c r="DC557" s="1293"/>
      <c r="DD557" s="1293"/>
      <c r="DE557" s="1293"/>
      <c r="DF557" s="1293"/>
      <c r="DG557" s="1293"/>
      <c r="DH557" s="1293"/>
      <c r="DI557" s="1293"/>
      <c r="DJ557" s="1293"/>
      <c r="DK557" s="1293"/>
      <c r="DL557" s="1293"/>
    </row>
    <row r="558" spans="1:116" ht="15.75">
      <c r="A558" s="1293"/>
      <c r="B558" s="1293"/>
      <c r="C558" s="1293"/>
      <c r="D558" s="1293"/>
      <c r="E558" s="1293"/>
      <c r="F558" s="1293"/>
      <c r="G558" s="1293"/>
      <c r="H558" s="1293"/>
      <c r="I558" s="1293"/>
      <c r="J558" s="1293"/>
      <c r="K558" s="1293"/>
      <c r="L558" s="1293"/>
      <c r="M558" s="1293"/>
      <c r="N558" s="1293"/>
      <c r="O558" s="1293"/>
      <c r="P558" s="1293"/>
      <c r="Q558" s="1293"/>
      <c r="R558" s="1293"/>
      <c r="S558" s="1293"/>
      <c r="T558" s="1293"/>
      <c r="U558" s="1707"/>
      <c r="V558" s="1293"/>
      <c r="W558" s="1293"/>
      <c r="X558" s="1293"/>
      <c r="Y558" s="1293"/>
      <c r="Z558" s="1293"/>
      <c r="AA558" s="1293"/>
      <c r="AB558" s="1293"/>
      <c r="AC558" s="1293"/>
      <c r="AD558" s="1293"/>
      <c r="AE558" s="1293"/>
      <c r="AF558" s="1293"/>
      <c r="AG558" s="1293"/>
      <c r="AH558" s="1293"/>
      <c r="AI558" s="1293"/>
      <c r="AJ558" s="2186"/>
      <c r="AK558" s="1293"/>
      <c r="AL558" s="1293"/>
      <c r="AM558" s="1293"/>
      <c r="AN558" s="1293"/>
      <c r="AO558" s="2186"/>
      <c r="AP558" s="1293"/>
      <c r="AQ558" s="1293"/>
      <c r="AR558" s="1293"/>
      <c r="AS558" s="1293"/>
      <c r="AT558" s="2186"/>
      <c r="AU558" s="1293"/>
      <c r="AV558" s="1293"/>
      <c r="AW558" s="1293"/>
      <c r="AX558" s="1293"/>
      <c r="AY558" s="2186"/>
      <c r="AZ558" s="2153">
        <f>AZ562-AZ559</f>
        <v>0.33700141809691342</v>
      </c>
      <c r="BA558" s="2153">
        <f>BA562-BA559</f>
        <v>0.35003685547075492</v>
      </c>
      <c r="BB558" s="2153">
        <f>BB562-BB559</f>
        <v>0.35549229121948711</v>
      </c>
      <c r="BC558" s="2153">
        <f>BC562-BC559</f>
        <v>3.6638313482473119</v>
      </c>
      <c r="BD558" s="2186"/>
      <c r="BE558" s="2153"/>
      <c r="BF558" s="2153"/>
      <c r="BG558" s="2153"/>
      <c r="BH558" s="1293"/>
      <c r="BI558" s="2186"/>
      <c r="BJ558" s="2153"/>
      <c r="BK558" s="2153"/>
      <c r="BL558" s="2153"/>
      <c r="BM558" s="2153"/>
      <c r="BN558" s="2186"/>
      <c r="BO558" s="1293"/>
      <c r="BP558" s="1293"/>
      <c r="BQ558" s="1293"/>
      <c r="BR558" s="1293"/>
      <c r="BS558" s="1293"/>
      <c r="BT558" s="1293"/>
      <c r="BU558" s="1293"/>
      <c r="BV558" s="1293"/>
      <c r="BW558" s="1293"/>
      <c r="BX558" s="1293"/>
      <c r="BY558" s="1293"/>
      <c r="BZ558" s="1293"/>
      <c r="CA558" s="1293"/>
      <c r="CB558" s="1293"/>
      <c r="CC558" s="1293"/>
      <c r="CD558" s="1293"/>
      <c r="CE558" s="1293"/>
      <c r="CF558" s="1293"/>
      <c r="CG558" s="1293"/>
      <c r="CH558" s="1293"/>
      <c r="CI558" s="1293"/>
      <c r="CJ558" s="1293"/>
      <c r="CK558" s="1293"/>
      <c r="CL558" s="1293"/>
      <c r="CM558" s="1293"/>
      <c r="CN558" s="1293"/>
      <c r="CO558" s="1293"/>
      <c r="CP558" s="1293"/>
      <c r="CQ558" s="1293"/>
      <c r="CR558" s="1293"/>
      <c r="CS558" s="1293"/>
      <c r="CT558" s="1293"/>
      <c r="CU558" s="1293"/>
      <c r="CV558" s="1293"/>
      <c r="CW558" s="1293"/>
      <c r="CX558" s="1293"/>
      <c r="CY558" s="2032"/>
      <c r="CZ558" s="1293"/>
      <c r="DA558" s="2156"/>
      <c r="DB558" s="2154"/>
      <c r="DC558" s="1293"/>
      <c r="DD558" s="1293"/>
      <c r="DE558" s="1293"/>
      <c r="DF558" s="1293"/>
      <c r="DG558" s="1293"/>
      <c r="DH558" s="1293"/>
      <c r="DI558" s="1293"/>
      <c r="DJ558" s="1293"/>
      <c r="DK558" s="1293"/>
      <c r="DL558" s="1293"/>
    </row>
    <row r="559" spans="1:116" ht="15.75">
      <c r="A559" s="1293"/>
      <c r="B559" s="1363" t="s">
        <v>7635</v>
      </c>
      <c r="C559" s="1833"/>
      <c r="D559" s="1833"/>
      <c r="E559" s="1833"/>
      <c r="F559" s="1833"/>
      <c r="G559" s="1833"/>
      <c r="H559" s="1833"/>
      <c r="I559" s="1833"/>
      <c r="J559" s="1833"/>
      <c r="K559" s="1833"/>
      <c r="L559" s="1833"/>
      <c r="M559" s="1833"/>
      <c r="N559" s="1833"/>
      <c r="O559" s="1833"/>
      <c r="P559" s="1833"/>
      <c r="Q559" s="1833"/>
      <c r="R559" s="1833"/>
      <c r="S559" s="1833"/>
      <c r="T559" s="1833"/>
      <c r="U559" s="2306"/>
      <c r="V559" s="1833"/>
      <c r="W559" s="1833"/>
      <c r="X559" s="1833"/>
      <c r="Y559" s="1833"/>
      <c r="Z559" s="1833"/>
      <c r="AA559" s="1833"/>
      <c r="AB559" s="1833"/>
      <c r="AC559" s="1833"/>
      <c r="AD559" s="1833"/>
      <c r="AE559" s="1833"/>
      <c r="AF559" s="1833"/>
      <c r="AG559" s="1833"/>
      <c r="AH559" s="1833"/>
      <c r="AI559" s="1833"/>
      <c r="AJ559" s="2204"/>
      <c r="AK559" s="1833"/>
      <c r="AL559" s="1833"/>
      <c r="AM559" s="1833"/>
      <c r="AN559" s="1833"/>
      <c r="AO559" s="2204"/>
      <c r="AP559" s="1833"/>
      <c r="AQ559" s="1833"/>
      <c r="AR559" s="1833"/>
      <c r="AS559" s="1833"/>
      <c r="AT559" s="2204"/>
      <c r="AU559" s="2307">
        <v>3.46</v>
      </c>
      <c r="AV559" s="2307">
        <v>3.14</v>
      </c>
      <c r="AW559" s="2307">
        <v>3.12</v>
      </c>
      <c r="AX559" s="2307">
        <v>3.04</v>
      </c>
      <c r="AY559" s="2204"/>
      <c r="AZ559" s="2307">
        <v>3.23</v>
      </c>
      <c r="BA559" s="2307">
        <v>3.37</v>
      </c>
      <c r="BB559" s="2307">
        <v>3.34</v>
      </c>
      <c r="BC559" s="2307"/>
      <c r="BD559" s="2186"/>
      <c r="BE559" s="2307"/>
      <c r="BF559" s="2307"/>
      <c r="BG559" s="2307"/>
      <c r="BH559" s="2307"/>
      <c r="BI559" s="2186"/>
      <c r="BJ559" s="2307"/>
      <c r="BK559" s="2304"/>
      <c r="BL559" s="2304"/>
      <c r="BM559" s="2304"/>
      <c r="BN559" s="2186"/>
      <c r="BO559" s="1293"/>
      <c r="BP559" s="1293"/>
      <c r="BQ559" s="1293"/>
      <c r="BR559" s="1293"/>
      <c r="BS559" s="1293"/>
      <c r="BT559" s="1293"/>
      <c r="BU559" s="1293"/>
      <c r="BV559" s="1293"/>
      <c r="BW559" s="1293"/>
      <c r="BX559" s="1293"/>
      <c r="BY559" s="1293"/>
      <c r="BZ559" s="1293"/>
      <c r="CA559" s="1293"/>
      <c r="CB559" s="1293"/>
      <c r="CC559" s="1293"/>
      <c r="CD559" s="1293"/>
      <c r="CE559" s="1293"/>
      <c r="CF559" s="1293"/>
      <c r="CG559" s="1293"/>
      <c r="CH559" s="1293"/>
      <c r="CI559" s="1293"/>
      <c r="CJ559" s="1293"/>
      <c r="CK559" s="1293"/>
      <c r="CL559" s="1293"/>
      <c r="CM559" s="1293"/>
      <c r="CN559" s="1293"/>
      <c r="CO559" s="1293"/>
      <c r="CP559" s="1293"/>
      <c r="CQ559" s="1293"/>
      <c r="CR559" s="1293"/>
      <c r="CS559" s="1293"/>
      <c r="CT559" s="1293"/>
      <c r="CU559" s="1293"/>
      <c r="CV559" s="1293"/>
      <c r="CW559" s="1293"/>
      <c r="CX559" s="1293"/>
      <c r="CY559" s="2154"/>
      <c r="CZ559" s="2153" t="e">
        <f>CZ539/(AX482+AZ482+#REF!+CZ482)</f>
        <v>#REF!</v>
      </c>
      <c r="DA559" s="2308"/>
      <c r="DB559" s="2309"/>
      <c r="DC559" s="1293"/>
      <c r="DD559" s="1293"/>
      <c r="DE559" s="1293"/>
      <c r="DF559" s="1293"/>
      <c r="DG559" s="1293"/>
      <c r="DH559" s="1293"/>
      <c r="DI559" s="1293"/>
      <c r="DJ559" s="1293"/>
      <c r="DK559" s="1293"/>
      <c r="DL559" s="1293"/>
    </row>
    <row r="560" spans="1:116" ht="15.75">
      <c r="A560" s="1293"/>
      <c r="B560" s="1293" t="s">
        <v>8362</v>
      </c>
      <c r="C560" s="1293"/>
      <c r="D560" s="1293"/>
      <c r="E560" s="1293"/>
      <c r="F560" s="1293"/>
      <c r="G560" s="1293"/>
      <c r="H560" s="1293"/>
      <c r="I560" s="1293"/>
      <c r="J560" s="1293"/>
      <c r="K560" s="1293"/>
      <c r="L560" s="1293"/>
      <c r="M560" s="1293"/>
      <c r="N560" s="1293"/>
      <c r="O560" s="1293"/>
      <c r="P560" s="1293"/>
      <c r="Q560" s="1293"/>
      <c r="R560" s="1293"/>
      <c r="S560" s="1293"/>
      <c r="T560" s="1293"/>
      <c r="U560" s="1707"/>
      <c r="V560" s="1293"/>
      <c r="W560" s="1293"/>
      <c r="X560" s="1293"/>
      <c r="Y560" s="1293"/>
      <c r="Z560" s="1293"/>
      <c r="AA560" s="1293"/>
      <c r="AB560" s="1293"/>
      <c r="AC560" s="1293"/>
      <c r="AD560" s="1293"/>
      <c r="AE560" s="1293"/>
      <c r="AF560" s="1293"/>
      <c r="AG560" s="1293"/>
      <c r="AH560" s="1293"/>
      <c r="AI560" s="1293"/>
      <c r="AJ560" s="2186"/>
      <c r="AK560" s="1293"/>
      <c r="AL560" s="1293"/>
      <c r="AM560" s="1293"/>
      <c r="AN560" s="1293"/>
      <c r="AO560" s="2186"/>
      <c r="AP560" s="1293"/>
      <c r="AQ560" s="1293"/>
      <c r="AR560" s="1293"/>
      <c r="AS560" s="1293"/>
      <c r="AT560" s="2186"/>
      <c r="AU560" s="2153"/>
      <c r="AV560" s="2153"/>
      <c r="AW560" s="2153"/>
      <c r="AX560" s="2153"/>
      <c r="AY560" s="2310"/>
      <c r="AZ560" s="2153">
        <f>(AZ539)/(AV482+AW482+AX482+AZ482)</f>
        <v>3.2277200967551583</v>
      </c>
      <c r="BA560" s="2153">
        <f>(BA539)/(AW482+AX482+AZ482+BA482)</f>
        <v>3.3707537569563284</v>
      </c>
      <c r="BB560" s="2153">
        <f>(BB539)/(AX482+AY482+BA482+BB482)</f>
        <v>1.8396157405201337</v>
      </c>
      <c r="BC560" s="2153">
        <f>(BC539)/(BA482+AZ482+BB482+BC482)</f>
        <v>3.3148733319108192</v>
      </c>
      <c r="BD560" s="2186"/>
      <c r="BE560" s="2153"/>
      <c r="BF560" s="2153"/>
      <c r="BG560" s="2153"/>
      <c r="BH560" s="2153"/>
      <c r="BI560" s="2186"/>
      <c r="BJ560" s="2153"/>
      <c r="BK560" s="2153"/>
      <c r="BL560" s="2153"/>
      <c r="BM560" s="2153"/>
      <c r="BN560" s="2186"/>
      <c r="BO560" s="1293"/>
      <c r="BP560" s="1293"/>
      <c r="BQ560" s="1293"/>
      <c r="BR560" s="1293"/>
      <c r="BS560" s="1293"/>
      <c r="BT560" s="1293"/>
      <c r="BU560" s="1293"/>
      <c r="BV560" s="1293"/>
      <c r="BW560" s="1293"/>
      <c r="BX560" s="1293"/>
      <c r="BY560" s="1293"/>
      <c r="BZ560" s="1293"/>
      <c r="CA560" s="1293"/>
      <c r="CB560" s="1293"/>
      <c r="CC560" s="1293"/>
      <c r="CD560" s="1293"/>
      <c r="CE560" s="1293"/>
      <c r="CF560" s="1293"/>
      <c r="CG560" s="1293"/>
      <c r="CH560" s="1293"/>
      <c r="CI560" s="1293"/>
      <c r="CJ560" s="1293"/>
      <c r="CK560" s="1293"/>
      <c r="CL560" s="1293"/>
      <c r="CM560" s="1293"/>
      <c r="CN560" s="1293"/>
      <c r="CO560" s="1293"/>
      <c r="CP560" s="1293"/>
      <c r="CQ560" s="1293"/>
      <c r="CR560" s="1293"/>
      <c r="CS560" s="1293"/>
      <c r="CT560" s="1293"/>
      <c r="CU560" s="1293"/>
      <c r="CV560" s="1293"/>
      <c r="CW560" s="1293"/>
      <c r="CX560" s="1293"/>
      <c r="CY560" s="2154"/>
      <c r="CZ560" s="2153"/>
      <c r="DA560" s="2156"/>
      <c r="DB560" s="2154"/>
      <c r="DC560" s="1293"/>
      <c r="DD560" s="1293"/>
      <c r="DE560" s="1293"/>
      <c r="DF560" s="1293"/>
      <c r="DG560" s="1293"/>
      <c r="DH560" s="1293"/>
      <c r="DI560" s="1293"/>
      <c r="DJ560" s="1293"/>
      <c r="DK560" s="1293"/>
      <c r="DL560" s="1293"/>
    </row>
    <row r="561" spans="1:116" ht="15.75">
      <c r="A561" s="1293"/>
      <c r="B561" s="1293" t="s">
        <v>8363</v>
      </c>
      <c r="C561" s="1293"/>
      <c r="D561" s="1293"/>
      <c r="E561" s="1293"/>
      <c r="F561" s="1293"/>
      <c r="G561" s="1293"/>
      <c r="H561" s="1293"/>
      <c r="I561" s="1293"/>
      <c r="J561" s="1293"/>
      <c r="K561" s="1293"/>
      <c r="L561" s="1293"/>
      <c r="M561" s="1293"/>
      <c r="N561" s="1293"/>
      <c r="O561" s="1293"/>
      <c r="P561" s="1293"/>
      <c r="Q561" s="1293"/>
      <c r="R561" s="1293"/>
      <c r="S561" s="1293"/>
      <c r="T561" s="1293"/>
      <c r="U561" s="1707"/>
      <c r="V561" s="1293"/>
      <c r="W561" s="1293"/>
      <c r="X561" s="1293"/>
      <c r="Y561" s="1293"/>
      <c r="Z561" s="1293"/>
      <c r="AA561" s="1293"/>
      <c r="AB561" s="1293"/>
      <c r="AC561" s="1293"/>
      <c r="AD561" s="1293"/>
      <c r="AE561" s="1293"/>
      <c r="AF561" s="1293"/>
      <c r="AG561" s="1293"/>
      <c r="AH561" s="1293"/>
      <c r="AI561" s="1293"/>
      <c r="AJ561" s="2186"/>
      <c r="AK561" s="1293"/>
      <c r="AL561" s="1293"/>
      <c r="AM561" s="1293"/>
      <c r="AN561" s="1293"/>
      <c r="AO561" s="2186"/>
      <c r="AP561" s="1293"/>
      <c r="AQ561" s="1293"/>
      <c r="AR561" s="1293"/>
      <c r="AS561" s="1293"/>
      <c r="AT561" s="2186"/>
      <c r="AU561" s="2153"/>
      <c r="AV561" s="2153"/>
      <c r="AW561" s="2153"/>
      <c r="AX561" s="2153"/>
      <c r="AY561" s="2310"/>
      <c r="AZ561" s="2153">
        <f>(AZ539)/(AV140+AW140+AZ140+AX140)</f>
        <v>3.2055770546358571</v>
      </c>
      <c r="BA561" s="2153">
        <f>(BA539)/(AW140+AX140+AZ140+BA140)</f>
        <v>3.3250394410005426</v>
      </c>
      <c r="BB561" s="2153">
        <f>(BB539)/(AX140+AY140+BA140+BB140)</f>
        <v>1.8172777592536355</v>
      </c>
      <c r="BC561" s="2153">
        <f>(BC539)/(BA140+AZ140+BB140+BC140)</f>
        <v>3.1592514824838607</v>
      </c>
      <c r="BD561" s="2186"/>
      <c r="BE561" s="2153"/>
      <c r="BF561" s="2153"/>
      <c r="BG561" s="2153"/>
      <c r="BH561" s="2153"/>
      <c r="BI561" s="2186"/>
      <c r="BJ561" s="2153"/>
      <c r="BK561" s="2153"/>
      <c r="BL561" s="2153"/>
      <c r="BM561" s="2153"/>
      <c r="BN561" s="2186"/>
      <c r="BO561" s="1293"/>
      <c r="BP561" s="1293"/>
      <c r="BQ561" s="1293"/>
      <c r="BR561" s="1293"/>
      <c r="BS561" s="1293"/>
      <c r="BT561" s="1293"/>
      <c r="BU561" s="1293"/>
      <c r="BV561" s="1293"/>
      <c r="BW561" s="1293"/>
      <c r="BX561" s="1293"/>
      <c r="BY561" s="1293"/>
      <c r="BZ561" s="1293"/>
      <c r="CA561" s="1293"/>
      <c r="CB561" s="1293"/>
      <c r="CC561" s="1293"/>
      <c r="CD561" s="1293"/>
      <c r="CE561" s="1293"/>
      <c r="CF561" s="1293"/>
      <c r="CG561" s="1293"/>
      <c r="CH561" s="1293"/>
      <c r="CI561" s="1293"/>
      <c r="CJ561" s="1293"/>
      <c r="CK561" s="1293"/>
      <c r="CL561" s="1293"/>
      <c r="CM561" s="1293"/>
      <c r="CN561" s="1293"/>
      <c r="CO561" s="1293"/>
      <c r="CP561" s="1293"/>
      <c r="CQ561" s="1293"/>
      <c r="CR561" s="1293"/>
      <c r="CS561" s="1293"/>
      <c r="CT561" s="1293"/>
      <c r="CU561" s="1293"/>
      <c r="CV561" s="1293"/>
      <c r="CW561" s="1293"/>
      <c r="CX561" s="1293"/>
      <c r="CY561" s="2154"/>
      <c r="CZ561" s="2153"/>
      <c r="DA561" s="2156"/>
      <c r="DB561" s="2154"/>
      <c r="DC561" s="1293"/>
      <c r="DD561" s="1293"/>
      <c r="DE561" s="1293"/>
      <c r="DF561" s="1293"/>
      <c r="DG561" s="1293"/>
      <c r="DH561" s="1293"/>
      <c r="DI561" s="1293"/>
      <c r="DJ561" s="1293"/>
      <c r="DK561" s="1293"/>
      <c r="DL561" s="1293"/>
    </row>
    <row r="562" spans="1:116" ht="15.75">
      <c r="A562" s="1293"/>
      <c r="B562" s="1334" t="s">
        <v>8361</v>
      </c>
      <c r="C562" s="1334"/>
      <c r="D562" s="1334"/>
      <c r="E562" s="1334"/>
      <c r="F562" s="1334"/>
      <c r="G562" s="1334"/>
      <c r="H562" s="1334"/>
      <c r="I562" s="1334"/>
      <c r="J562" s="1334"/>
      <c r="K562" s="1334"/>
      <c r="L562" s="1334"/>
      <c r="M562" s="1334"/>
      <c r="N562" s="1334"/>
      <c r="O562" s="1334"/>
      <c r="P562" s="1334"/>
      <c r="Q562" s="1334"/>
      <c r="R562" s="1334"/>
      <c r="S562" s="1334"/>
      <c r="T562" s="1334"/>
      <c r="U562" s="2267"/>
      <c r="V562" s="1334"/>
      <c r="W562" s="1334"/>
      <c r="X562" s="1334"/>
      <c r="Y562" s="1334"/>
      <c r="Z562" s="1334"/>
      <c r="AA562" s="1334"/>
      <c r="AB562" s="1334"/>
      <c r="AC562" s="1334"/>
      <c r="AD562" s="1334"/>
      <c r="AE562" s="1334"/>
      <c r="AF562" s="1334"/>
      <c r="AG562" s="1334"/>
      <c r="AH562" s="1334"/>
      <c r="AI562" s="1334"/>
      <c r="AJ562" s="2303"/>
      <c r="AK562" s="1334"/>
      <c r="AL562" s="1334"/>
      <c r="AM562" s="1334"/>
      <c r="AN562" s="1334"/>
      <c r="AO562" s="2303"/>
      <c r="AP562" s="1334"/>
      <c r="AQ562" s="1334"/>
      <c r="AR562" s="1334"/>
      <c r="AS562" s="1334"/>
      <c r="AT562" s="2303"/>
      <c r="AU562" s="1334"/>
      <c r="AV562" s="1334"/>
      <c r="AW562" s="1334"/>
      <c r="AX562" s="1334"/>
      <c r="AY562" s="2303"/>
      <c r="AZ562" s="2311">
        <f>(AZ539+Analysis!$F$5603+Analysis!$F$5604+Analysis!$F$5605)/(AV482+AW482+AX482+AZ482)</f>
        <v>3.5670014180969134</v>
      </c>
      <c r="BA562" s="2311">
        <f>(BA539+Analysis!$F$5603+Analysis!$F$5604+Analysis!$F$5605)/(AW482+AX482+AZ482+BA482)</f>
        <v>3.720036855470755</v>
      </c>
      <c r="BB562" s="2311">
        <f>(BB539+Analysis!$F$5603+Analysis!$F$5604+Analysis!$F$5605)/(AX482+AZ482+BA482+BB482)</f>
        <v>3.695492291219487</v>
      </c>
      <c r="BC562" s="2311">
        <f>(BC539+Analysis!$F$5603+Analysis!$F$5604+Analysis!$F$5605)/(AZ482+BA482+BB482+BC482)</f>
        <v>3.6638313482473119</v>
      </c>
      <c r="BD562" s="2312"/>
      <c r="BE562" s="2311"/>
      <c r="BF562" s="2311"/>
      <c r="BG562" s="2311"/>
      <c r="BH562" s="2311"/>
      <c r="BI562" s="2312"/>
      <c r="BJ562" s="2311"/>
      <c r="BK562" s="2311"/>
      <c r="BL562" s="2311"/>
      <c r="BM562" s="2311"/>
      <c r="BN562" s="2312"/>
      <c r="BO562" s="2311"/>
      <c r="BP562" s="2311"/>
      <c r="BQ562" s="1293"/>
      <c r="BR562" s="1293"/>
      <c r="BS562" s="1293"/>
      <c r="BT562" s="1293"/>
      <c r="BU562" s="1293"/>
      <c r="BV562" s="1293"/>
      <c r="BW562" s="1293"/>
      <c r="BX562" s="1293"/>
      <c r="BY562" s="1293"/>
      <c r="BZ562" s="1293"/>
      <c r="CA562" s="1293"/>
      <c r="CB562" s="1293"/>
      <c r="CC562" s="1293"/>
      <c r="CD562" s="1293"/>
      <c r="CE562" s="1293"/>
      <c r="CF562" s="1293"/>
      <c r="CG562" s="1293"/>
      <c r="CH562" s="1293"/>
      <c r="CI562" s="1293"/>
      <c r="CJ562" s="1293"/>
      <c r="CK562" s="1293"/>
      <c r="CL562" s="1293"/>
      <c r="CM562" s="1293"/>
      <c r="CN562" s="1293"/>
      <c r="CO562" s="1293"/>
      <c r="CP562" s="1293"/>
      <c r="CQ562" s="1293"/>
      <c r="CR562" s="1293"/>
      <c r="CS562" s="1293"/>
      <c r="CT562" s="1293"/>
      <c r="CU562" s="1293"/>
      <c r="CV562" s="1293"/>
      <c r="CW562" s="1293"/>
      <c r="CX562" s="1293"/>
      <c r="CY562" s="2313"/>
      <c r="CZ562" s="2311" t="e">
        <f>CZ539/(AY482+AZ482+#REF!+CZ482)</f>
        <v>#REF!</v>
      </c>
      <c r="DA562" s="2314"/>
      <c r="DB562" s="2313"/>
      <c r="DC562" s="1293"/>
      <c r="DD562" s="1293"/>
      <c r="DE562" s="1293"/>
      <c r="DF562" s="1293"/>
      <c r="DG562" s="1293"/>
      <c r="DH562" s="1293"/>
      <c r="DI562" s="1293"/>
      <c r="DJ562" s="1293"/>
      <c r="DK562" s="1293"/>
      <c r="DL562" s="1293"/>
    </row>
    <row r="563" spans="1:116" ht="15.75">
      <c r="A563" s="1293"/>
      <c r="B563" s="1293"/>
      <c r="C563" s="1293"/>
      <c r="D563" s="1293"/>
      <c r="E563" s="1293"/>
      <c r="F563" s="1293"/>
      <c r="G563" s="1293"/>
      <c r="H563" s="1293"/>
      <c r="I563" s="1293"/>
      <c r="J563" s="1293"/>
      <c r="K563" s="1293"/>
      <c r="L563" s="1293"/>
      <c r="M563" s="1293"/>
      <c r="N563" s="1293"/>
      <c r="O563" s="1293"/>
      <c r="P563" s="1293"/>
      <c r="Q563" s="1293"/>
      <c r="R563" s="1293"/>
      <c r="S563" s="1293"/>
      <c r="T563" s="1293"/>
      <c r="U563" s="1707"/>
      <c r="V563" s="1293"/>
      <c r="W563" s="1293"/>
      <c r="X563" s="1293"/>
      <c r="Y563" s="1293"/>
      <c r="Z563" s="1293"/>
      <c r="AA563" s="1293"/>
      <c r="AB563" s="1293"/>
      <c r="AC563" s="1293"/>
      <c r="AD563" s="1293"/>
      <c r="AE563" s="1293"/>
      <c r="AF563" s="1293"/>
      <c r="AG563" s="1293"/>
      <c r="AH563" s="1293"/>
      <c r="AI563" s="1293"/>
      <c r="AJ563" s="2186"/>
      <c r="AK563" s="1293"/>
      <c r="AL563" s="1293"/>
      <c r="AM563" s="1293"/>
      <c r="AN563" s="1293"/>
      <c r="AO563" s="2186"/>
      <c r="AP563" s="1293"/>
      <c r="AQ563" s="1293"/>
      <c r="AR563" s="1293"/>
      <c r="AS563" s="1293"/>
      <c r="AT563" s="2186"/>
      <c r="AU563" s="1293"/>
      <c r="AV563" s="1293"/>
      <c r="AW563" s="1293"/>
      <c r="AX563" s="1293"/>
      <c r="AY563" s="2186"/>
      <c r="AZ563" s="2153"/>
      <c r="BA563" s="2153"/>
      <c r="BB563" s="2153"/>
      <c r="BC563" s="2153"/>
      <c r="BD563" s="2310"/>
      <c r="BE563" s="2153"/>
      <c r="BF563" s="2153"/>
      <c r="BG563" s="2153"/>
      <c r="BH563" s="2153"/>
      <c r="BI563" s="2310"/>
      <c r="BJ563" s="2153"/>
      <c r="BK563" s="2153"/>
      <c r="BL563" s="2153"/>
      <c r="BM563" s="2153"/>
      <c r="BN563" s="2310"/>
      <c r="BO563" s="2153"/>
      <c r="BP563" s="2153"/>
      <c r="BQ563" s="1293"/>
      <c r="BR563" s="1293"/>
      <c r="BS563" s="1293"/>
      <c r="BT563" s="1293"/>
      <c r="BU563" s="1293"/>
      <c r="BV563" s="1293"/>
      <c r="BW563" s="1293"/>
      <c r="BX563" s="1293"/>
      <c r="BY563" s="1293"/>
      <c r="BZ563" s="1293"/>
      <c r="CA563" s="1293"/>
      <c r="CB563" s="1293"/>
      <c r="CC563" s="1293"/>
      <c r="CD563" s="1293"/>
      <c r="CE563" s="1293"/>
      <c r="CF563" s="1293"/>
      <c r="CG563" s="1293"/>
      <c r="CH563" s="1293"/>
      <c r="CI563" s="1293"/>
      <c r="CJ563" s="1293"/>
      <c r="CK563" s="1293"/>
      <c r="CL563" s="1293"/>
      <c r="CM563" s="1293"/>
      <c r="CN563" s="1293"/>
      <c r="CO563" s="1293"/>
      <c r="CP563" s="1293"/>
      <c r="CQ563" s="1293"/>
      <c r="CR563" s="1293"/>
      <c r="CS563" s="1293"/>
      <c r="CT563" s="1293"/>
      <c r="CU563" s="1293"/>
      <c r="CV563" s="1293"/>
      <c r="CW563" s="1293"/>
      <c r="CX563" s="1293"/>
      <c r="CY563" s="2154"/>
      <c r="CZ563" s="2153"/>
      <c r="DA563" s="2156"/>
      <c r="DB563" s="2154"/>
      <c r="DC563" s="1293"/>
      <c r="DD563" s="1293"/>
      <c r="DE563" s="1293"/>
      <c r="DF563" s="1293"/>
      <c r="DG563" s="1293"/>
      <c r="DH563" s="1293"/>
      <c r="DI563" s="1293"/>
      <c r="DJ563" s="1293"/>
      <c r="DK563" s="1293"/>
      <c r="DL563" s="1293"/>
    </row>
    <row r="564" spans="1:116" ht="15.75">
      <c r="A564" s="1293"/>
      <c r="B564" s="1293" t="s">
        <v>6728</v>
      </c>
      <c r="C564" s="1293"/>
      <c r="D564" s="1293"/>
      <c r="E564" s="1293"/>
      <c r="F564" s="1293"/>
      <c r="G564" s="1293"/>
      <c r="H564" s="1293"/>
      <c r="I564" s="1293"/>
      <c r="J564" s="1293"/>
      <c r="K564" s="1293"/>
      <c r="L564" s="1293"/>
      <c r="M564" s="1293"/>
      <c r="N564" s="1293"/>
      <c r="O564" s="1293"/>
      <c r="P564" s="1293"/>
      <c r="Q564" s="1293"/>
      <c r="R564" s="1293"/>
      <c r="S564" s="1293"/>
      <c r="T564" s="1293"/>
      <c r="U564" s="1707"/>
      <c r="V564" s="1293"/>
      <c r="W564" s="1293"/>
      <c r="X564" s="1293"/>
      <c r="Y564" s="1293"/>
      <c r="Z564" s="1293"/>
      <c r="AA564" s="1293"/>
      <c r="AB564" s="1293"/>
      <c r="AC564" s="1293"/>
      <c r="AD564" s="1293"/>
      <c r="AE564" s="1293"/>
      <c r="AF564" s="1293"/>
      <c r="AG564" s="1293"/>
      <c r="AH564" s="2153">
        <f>AH555/(AB552+AD552+AF552+AH552)</f>
        <v>3.282310588364616</v>
      </c>
      <c r="AI564" s="1293"/>
      <c r="AJ564" s="2186"/>
      <c r="AK564" s="2153">
        <f>AK555/(AD552+AF552+AH552+AK552)</f>
        <v>3.2699462362662803</v>
      </c>
      <c r="AL564" s="2153">
        <f>AL555/(AF552+AH552+AK552+AL552)</f>
        <v>3.2438059775483903</v>
      </c>
      <c r="AM564" s="2153">
        <f>AM555/(AH552+AK552+AL552+AM552)</f>
        <v>3.2656787302440717</v>
      </c>
      <c r="AN564" s="2153">
        <f>AN555/(AH552+AL552+AM552+AN552)</f>
        <v>3.1458928620967073</v>
      </c>
      <c r="AO564" s="2186"/>
      <c r="AP564" s="2153">
        <f>AP555/(AL552+AM552+AN552+AP552)</f>
        <v>3.1382934240236389</v>
      </c>
      <c r="AQ564" s="2153">
        <f>AQ555/(AM552+AN552+AP552+AQ552)</f>
        <v>2.8941002806824736</v>
      </c>
      <c r="AR564" s="2153">
        <f>AR555/(AN552+AP552+AQ552+AR552)</f>
        <v>2.8161911081619109</v>
      </c>
      <c r="AS564" s="2153">
        <f>AS555/(AP552+AQ552+AR552+AS552)</f>
        <v>3.9943375695919041</v>
      </c>
      <c r="AT564" s="2186"/>
      <c r="AU564" s="2153"/>
      <c r="AV564" s="2153"/>
      <c r="AW564" s="2153"/>
      <c r="AX564" s="2153"/>
      <c r="AY564" s="2186"/>
      <c r="AZ564" s="2153"/>
      <c r="BA564" s="2153"/>
      <c r="BB564" s="2153"/>
      <c r="BC564" s="1293"/>
      <c r="BD564" s="2186"/>
      <c r="BE564" s="2153"/>
      <c r="BF564" s="2153"/>
      <c r="BG564" s="2153"/>
      <c r="BH564" s="1293"/>
      <c r="BI564" s="2186"/>
      <c r="BJ564" s="2153"/>
      <c r="BK564" s="2153"/>
      <c r="BL564" s="2153"/>
      <c r="BM564" s="2153"/>
      <c r="BN564" s="2186"/>
      <c r="BO564" s="1293"/>
      <c r="BP564" s="1293"/>
      <c r="BQ564" s="1293"/>
      <c r="BR564" s="1293"/>
      <c r="BS564" s="1293"/>
      <c r="BT564" s="1293"/>
      <c r="BU564" s="1293"/>
      <c r="BV564" s="1293"/>
      <c r="BW564" s="1293"/>
      <c r="BX564" s="1293"/>
      <c r="BY564" s="1293"/>
      <c r="BZ564" s="1293"/>
      <c r="CA564" s="1293"/>
      <c r="CB564" s="1293"/>
      <c r="CC564" s="1293"/>
      <c r="CD564" s="1293"/>
      <c r="CE564" s="1293"/>
      <c r="CF564" s="1293"/>
      <c r="CG564" s="1293"/>
      <c r="CH564" s="1293"/>
      <c r="CI564" s="1293"/>
      <c r="CJ564" s="1293"/>
      <c r="CK564" s="1293"/>
      <c r="CL564" s="1293"/>
      <c r="CM564" s="1293"/>
      <c r="CN564" s="1293"/>
      <c r="CO564" s="1293"/>
      <c r="CP564" s="1293"/>
      <c r="CQ564" s="1293"/>
      <c r="CR564" s="1293"/>
      <c r="CS564" s="1293"/>
      <c r="CT564" s="1293"/>
      <c r="CU564" s="1293"/>
      <c r="CV564" s="1293"/>
      <c r="CW564" s="1293"/>
      <c r="CX564" s="1293"/>
      <c r="CY564" s="2032"/>
      <c r="CZ564" s="1293"/>
      <c r="DA564" s="2156"/>
      <c r="DB564" s="2154"/>
      <c r="DC564" s="1293"/>
      <c r="DD564" s="1293"/>
      <c r="DE564" s="1293"/>
      <c r="DF564" s="1293"/>
      <c r="DG564" s="1293"/>
      <c r="DH564" s="1293"/>
      <c r="DI564" s="1293"/>
      <c r="DJ564" s="1293"/>
      <c r="DK564" s="1293"/>
      <c r="DL564" s="1293"/>
    </row>
    <row r="565" spans="1:116" ht="15.75">
      <c r="A565" s="1293"/>
      <c r="B565" s="1334" t="s">
        <v>6604</v>
      </c>
      <c r="C565" s="1334"/>
      <c r="D565" s="1334"/>
      <c r="E565" s="1334"/>
      <c r="F565" s="1334"/>
      <c r="G565" s="1334"/>
      <c r="H565" s="1334"/>
      <c r="I565" s="1334"/>
      <c r="J565" s="1334"/>
      <c r="K565" s="1334"/>
      <c r="L565" s="1334"/>
      <c r="M565" s="1334"/>
      <c r="N565" s="1334"/>
      <c r="O565" s="1334"/>
      <c r="P565" s="1334"/>
      <c r="Q565" s="1334"/>
      <c r="R565" s="1334"/>
      <c r="S565" s="1334"/>
      <c r="T565" s="1334"/>
      <c r="U565" s="2267"/>
      <c r="V565" s="1334"/>
      <c r="W565" s="1334"/>
      <c r="X565" s="1334"/>
      <c r="Y565" s="1334"/>
      <c r="Z565" s="1323">
        <v>2.52</v>
      </c>
      <c r="AA565" s="1334"/>
      <c r="AB565" s="1334"/>
      <c r="AC565" s="1334"/>
      <c r="AD565" s="1334"/>
      <c r="AE565" s="1334"/>
      <c r="AF565" s="1334"/>
      <c r="AG565" s="1334"/>
      <c r="AH565" s="1334"/>
      <c r="AI565" s="1334"/>
      <c r="AJ565" s="2303"/>
      <c r="AK565" s="1323"/>
      <c r="AL565" s="2304">
        <v>3.07</v>
      </c>
      <c r="AM565" s="2304">
        <v>3.16</v>
      </c>
      <c r="AN565" s="2304">
        <v>3.07</v>
      </c>
      <c r="AO565" s="2315"/>
      <c r="AP565" s="2305">
        <v>3</v>
      </c>
      <c r="AQ565" s="2305">
        <v>2.75</v>
      </c>
      <c r="AR565" s="2305">
        <v>2.67</v>
      </c>
      <c r="AS565" s="2305">
        <v>3.28</v>
      </c>
      <c r="AT565" s="2315"/>
      <c r="AU565" s="2305">
        <v>3.37</v>
      </c>
      <c r="AV565" s="2305">
        <v>3.04</v>
      </c>
      <c r="AW565" s="2305">
        <v>3.03</v>
      </c>
      <c r="AX565" s="2305">
        <v>2.99</v>
      </c>
      <c r="AY565" s="2316"/>
      <c r="AZ565" s="2305">
        <v>3.18</v>
      </c>
      <c r="BA565" s="2305">
        <v>3.34</v>
      </c>
      <c r="BB565" s="2305">
        <v>3.32</v>
      </c>
      <c r="BC565" s="2305">
        <v>3.29</v>
      </c>
      <c r="BD565" s="2186"/>
      <c r="BE565" s="2305">
        <v>3.1</v>
      </c>
      <c r="BF565" s="2305">
        <v>2.77</v>
      </c>
      <c r="BG565" s="2305">
        <v>2.59</v>
      </c>
      <c r="BH565" s="2305">
        <v>2.42</v>
      </c>
      <c r="BI565" s="2186"/>
      <c r="BJ565" s="2305"/>
      <c r="BK565" s="2305"/>
      <c r="BL565" s="2305"/>
      <c r="BM565" s="2305"/>
      <c r="BN565" s="2186"/>
      <c r="BO565" s="1293"/>
      <c r="BP565" s="1293"/>
      <c r="BQ565" s="1293"/>
      <c r="BR565" s="1293"/>
      <c r="BS565" s="1293"/>
      <c r="BT565" s="1293"/>
      <c r="BU565" s="1293"/>
      <c r="BV565" s="1293"/>
      <c r="BW565" s="1293"/>
      <c r="BX565" s="1293"/>
      <c r="BY565" s="1293"/>
      <c r="BZ565" s="1293"/>
      <c r="CA565" s="1293"/>
      <c r="CB565" s="1293"/>
      <c r="CC565" s="1293"/>
      <c r="CD565" s="1293"/>
      <c r="CE565" s="1293"/>
      <c r="CF565" s="1293"/>
      <c r="CG565" s="1293"/>
      <c r="CH565" s="1293"/>
      <c r="CI565" s="1293"/>
      <c r="CJ565" s="1293"/>
      <c r="CK565" s="1293"/>
      <c r="CL565" s="1293"/>
      <c r="CM565" s="1293"/>
      <c r="CN565" s="1293"/>
      <c r="CO565" s="1293"/>
      <c r="CP565" s="1293"/>
      <c r="CQ565" s="1293"/>
      <c r="CR565" s="1293"/>
      <c r="CS565" s="1293"/>
      <c r="CT565" s="1293"/>
      <c r="CU565" s="1293"/>
      <c r="CV565" s="1293"/>
      <c r="CW565" s="1293"/>
      <c r="CX565" s="1293"/>
      <c r="CY565" s="2032"/>
      <c r="CZ565" s="1293"/>
      <c r="DA565" s="2314">
        <v>2.8594327122892502</v>
      </c>
      <c r="DB565" s="2313">
        <v>2.5107323560376424</v>
      </c>
      <c r="DC565" s="1293"/>
      <c r="DD565" s="1293"/>
      <c r="DE565" s="1293"/>
      <c r="DF565" s="1293"/>
      <c r="DG565" s="1293"/>
      <c r="DH565" s="1293"/>
      <c r="DI565" s="1293"/>
      <c r="DJ565" s="1293"/>
      <c r="DK565" s="1293"/>
      <c r="DL565" s="1293"/>
    </row>
    <row r="566" spans="1:116" ht="15.75">
      <c r="A566" s="1293"/>
      <c r="B566" s="1293" t="s">
        <v>8365</v>
      </c>
      <c r="C566" s="1334"/>
      <c r="D566" s="1334"/>
      <c r="E566" s="1334"/>
      <c r="F566" s="1334"/>
      <c r="G566" s="1334"/>
      <c r="H566" s="1334"/>
      <c r="I566" s="1334"/>
      <c r="J566" s="1334"/>
      <c r="K566" s="1334"/>
      <c r="L566" s="1334"/>
      <c r="M566" s="1334"/>
      <c r="N566" s="1334"/>
      <c r="O566" s="1334"/>
      <c r="P566" s="1334"/>
      <c r="Q566" s="1334"/>
      <c r="R566" s="1334"/>
      <c r="S566" s="1334"/>
      <c r="T566" s="1334"/>
      <c r="U566" s="2267"/>
      <c r="V566" s="1334"/>
      <c r="W566" s="1334"/>
      <c r="X566" s="1334"/>
      <c r="Y566" s="1334"/>
      <c r="Z566" s="1323"/>
      <c r="AA566" s="1334"/>
      <c r="AB566" s="1334"/>
      <c r="AC566" s="1334"/>
      <c r="AD566" s="1334"/>
      <c r="AE566" s="1334"/>
      <c r="AF566" s="1334"/>
      <c r="AG566" s="1334"/>
      <c r="AH566" s="1334"/>
      <c r="AI566" s="1334"/>
      <c r="AJ566" s="2303"/>
      <c r="AK566" s="1323"/>
      <c r="AL566" s="1334"/>
      <c r="AM566" s="1334"/>
      <c r="AN566" s="1334"/>
      <c r="AO566" s="2303"/>
      <c r="AP566" s="2311"/>
      <c r="AQ566" s="2311"/>
      <c r="AR566" s="2311"/>
      <c r="AS566" s="2311"/>
      <c r="AT566" s="2303"/>
      <c r="AU566" s="2311"/>
      <c r="AV566" s="2311"/>
      <c r="AW566" s="2311"/>
      <c r="AX566" s="2311">
        <f>(AX539-AX535)/(AX142+AW142+AV142+AU142)</f>
        <v>2.9774370072334824</v>
      </c>
      <c r="AY566" s="2186"/>
      <c r="AZ566" s="2311">
        <f>(AZ539-AZ535)/(AZ142+AX142+AW142+AV142)</f>
        <v>3.1782174125942402</v>
      </c>
      <c r="BA566" s="2311">
        <f>(BA$539-BA$535)/(BA$142+AZ$142+AX$142+AW$142)</f>
        <v>3.3435560144570458</v>
      </c>
      <c r="BB566" s="2311">
        <f>(BB$539-BB$535)/(BB$142+BA$142+AZ$142+AX$142)</f>
        <v>3.3254743776760329</v>
      </c>
      <c r="BC566" s="2311">
        <f>(BC$539-BC$535)/(BC$142+BB$142+BA$142+AZ$142)</f>
        <v>3.2880757892667942</v>
      </c>
      <c r="BD566" s="2186"/>
      <c r="BE566" s="2311">
        <f>(BE$539-BE$535)/(BA$142+BB$142+BC$142+BE$142)</f>
        <v>3.1020570002714165</v>
      </c>
      <c r="BF566" s="2311">
        <f>(BF$539-BF$535)/(BB$142+BC$142+BE$142+BF$142)</f>
        <v>2.7739640545319109</v>
      </c>
      <c r="BG566" s="2311">
        <f>(BG$539-BG$535)/(BC$142+BE$142+BF$142+BG$142)</f>
        <v>2.5932643161984212</v>
      </c>
      <c r="BH566" s="2311">
        <f>(BH$539-BH$535)/(BE$142+BF$142+BG$142+BH$142)</f>
        <v>2.4154306390772056</v>
      </c>
      <c r="BI566" s="2186"/>
      <c r="BJ566" s="2311">
        <f t="shared" ref="BJ566:BM566" si="538">(BJ$539-BJ$535)/(BG$142+BH$142+BI$142+BJ$142)</f>
        <v>4.7321092879919435</v>
      </c>
      <c r="BK566" s="2311">
        <f t="shared" si="538"/>
        <v>8.693936430308753</v>
      </c>
      <c r="BL566" s="2311" t="e">
        <f t="shared" si="538"/>
        <v>#DIV/0!</v>
      </c>
      <c r="BM566" s="2311" t="e">
        <f t="shared" ca="1" si="538"/>
        <v>#DIV/0!</v>
      </c>
      <c r="BN566" s="2186"/>
      <c r="BO566" s="1293"/>
      <c r="BP566" s="1293"/>
      <c r="BQ566" s="1293"/>
      <c r="BR566" s="1293"/>
      <c r="BS566" s="1293"/>
      <c r="BT566" s="1293"/>
      <c r="BU566" s="1293"/>
      <c r="BV566" s="1293"/>
      <c r="BW566" s="1293"/>
      <c r="BX566" s="1293"/>
      <c r="BY566" s="1293"/>
      <c r="BZ566" s="1293"/>
      <c r="CA566" s="1293"/>
      <c r="CB566" s="1293"/>
      <c r="CC566" s="1293"/>
      <c r="CD566" s="1293"/>
      <c r="CE566" s="1293"/>
      <c r="CF566" s="1293"/>
      <c r="CG566" s="1293"/>
      <c r="CH566" s="1293"/>
      <c r="CI566" s="1293"/>
      <c r="CJ566" s="1293"/>
      <c r="CK566" s="1293"/>
      <c r="CL566" s="1293"/>
      <c r="CM566" s="1293"/>
      <c r="CN566" s="1293"/>
      <c r="CO566" s="1293"/>
      <c r="CP566" s="1293"/>
      <c r="CQ566" s="1293"/>
      <c r="CR566" s="1293"/>
      <c r="CS566" s="1293"/>
      <c r="CT566" s="1293"/>
      <c r="CU566" s="1293"/>
      <c r="CV566" s="1293"/>
      <c r="CW566" s="1293"/>
      <c r="CX566" s="1293"/>
      <c r="CY566" s="2032"/>
      <c r="CZ566" s="1293"/>
      <c r="DA566" s="2314"/>
      <c r="DB566" s="2313"/>
      <c r="DC566" s="1293"/>
      <c r="DD566" s="1293"/>
      <c r="DE566" s="1293"/>
      <c r="DF566" s="1293"/>
      <c r="DG566" s="1293"/>
      <c r="DH566" s="1293"/>
      <c r="DI566" s="1293"/>
      <c r="DJ566" s="1293"/>
      <c r="DK566" s="1293"/>
      <c r="DL566" s="1293"/>
    </row>
    <row r="567" spans="1:116" ht="15.75">
      <c r="A567" s="1293"/>
      <c r="B567" s="1293" t="s">
        <v>8367</v>
      </c>
      <c r="C567" s="1334"/>
      <c r="D567" s="1334"/>
      <c r="E567" s="1334"/>
      <c r="F567" s="1334"/>
      <c r="G567" s="1334"/>
      <c r="H567" s="1334"/>
      <c r="I567" s="1334"/>
      <c r="J567" s="1334"/>
      <c r="K567" s="1334"/>
      <c r="L567" s="1334"/>
      <c r="M567" s="1334"/>
      <c r="N567" s="1334"/>
      <c r="O567" s="1334"/>
      <c r="P567" s="1334"/>
      <c r="Q567" s="1334"/>
      <c r="R567" s="1334"/>
      <c r="S567" s="1334"/>
      <c r="T567" s="1334"/>
      <c r="U567" s="2267"/>
      <c r="V567" s="1334"/>
      <c r="W567" s="1334"/>
      <c r="X567" s="1334"/>
      <c r="Y567" s="1334"/>
      <c r="Z567" s="1323"/>
      <c r="AA567" s="1334"/>
      <c r="AB567" s="1334"/>
      <c r="AC567" s="1334"/>
      <c r="AD567" s="1334"/>
      <c r="AE567" s="1334"/>
      <c r="AF567" s="1334"/>
      <c r="AG567" s="1334"/>
      <c r="AH567" s="1334"/>
      <c r="AI567" s="1334"/>
      <c r="AJ567" s="2303"/>
      <c r="AK567" s="1323"/>
      <c r="AL567" s="1334"/>
      <c r="AM567" s="1334"/>
      <c r="AN567" s="1334"/>
      <c r="AO567" s="2303"/>
      <c r="AP567" s="2311"/>
      <c r="AQ567" s="2311"/>
      <c r="AR567" s="2311"/>
      <c r="AS567" s="2311"/>
      <c r="AT567" s="2303"/>
      <c r="AU567" s="2311"/>
      <c r="AV567" s="2311"/>
      <c r="AW567" s="2311"/>
      <c r="AX567" s="2311"/>
      <c r="AY567" s="2186"/>
      <c r="AZ567" s="2311">
        <f>(AZ$539-AZ$535+Analysis!$F$5603+Analysis!$F$5604+Analysis!$F$5605)/(AZ$142+AX$142+AW$142+AV$142)</f>
        <v>3.5695849002641058</v>
      </c>
      <c r="BA567" s="2311">
        <f>(BA$539-BA$535+Analysis!$F$5603+Analysis!$F$5604+Analysis!$F$5605)/(BA$142+AZ$142+AX$142+AW$142)</f>
        <v>3.7485148988317341</v>
      </c>
      <c r="BB567" s="2311">
        <f>(BB$539-BB$535+Analysis!$F$5603+Analysis!$F$5604+Analysis!$F$5605)/(BB$142+BA$142+AZ$142+AX$142)</f>
        <v>3.7327966133789117</v>
      </c>
      <c r="BC567" s="2311">
        <f>(BC$539-BC$535+Analysis!$F$5603+Analysis!$F$5604+Analysis!$F$5605)/(BC$142+BB$142+BA$142+AZ$142)</f>
        <v>3.6948311019991054</v>
      </c>
      <c r="BD567" s="2186"/>
      <c r="BE567" s="2311"/>
      <c r="BF567" s="2311"/>
      <c r="BG567" s="2311"/>
      <c r="BH567" s="1293"/>
      <c r="BI567" s="2186"/>
      <c r="BJ567" s="2311"/>
      <c r="BK567" s="2311"/>
      <c r="BL567" s="2311"/>
      <c r="BM567" s="2311"/>
      <c r="BN567" s="2186"/>
      <c r="BO567" s="1293"/>
      <c r="BP567" s="1293"/>
      <c r="BQ567" s="1293"/>
      <c r="BR567" s="1293"/>
      <c r="BS567" s="1293"/>
      <c r="BT567" s="1293"/>
      <c r="BU567" s="1293"/>
      <c r="BV567" s="1293"/>
      <c r="BW567" s="1293"/>
      <c r="BX567" s="1293"/>
      <c r="BY567" s="1293"/>
      <c r="BZ567" s="1293"/>
      <c r="CA567" s="1293"/>
      <c r="CB567" s="1293"/>
      <c r="CC567" s="1293"/>
      <c r="CD567" s="1293"/>
      <c r="CE567" s="1293"/>
      <c r="CF567" s="1293"/>
      <c r="CG567" s="1293"/>
      <c r="CH567" s="1293"/>
      <c r="CI567" s="1293"/>
      <c r="CJ567" s="1293"/>
      <c r="CK567" s="1293"/>
      <c r="CL567" s="1293"/>
      <c r="CM567" s="1293"/>
      <c r="CN567" s="1293"/>
      <c r="CO567" s="1293"/>
      <c r="CP567" s="1293"/>
      <c r="CQ567" s="1293"/>
      <c r="CR567" s="1293"/>
      <c r="CS567" s="1293"/>
      <c r="CT567" s="1293"/>
      <c r="CU567" s="1293"/>
      <c r="CV567" s="1293"/>
      <c r="CW567" s="1293"/>
      <c r="CX567" s="1293"/>
      <c r="CY567" s="2032"/>
      <c r="CZ567" s="1293"/>
      <c r="DA567" s="2314"/>
      <c r="DB567" s="2313"/>
      <c r="DC567" s="1293"/>
      <c r="DD567" s="1293"/>
      <c r="DE567" s="1293"/>
      <c r="DF567" s="1293"/>
      <c r="DG567" s="1293"/>
      <c r="DH567" s="1293"/>
      <c r="DI567" s="1293"/>
      <c r="DJ567" s="1293"/>
      <c r="DK567" s="1293"/>
      <c r="DL567" s="1293"/>
    </row>
    <row r="568" spans="1:116" ht="15.75">
      <c r="A568" s="1293"/>
      <c r="B568" s="1293" t="s">
        <v>7435</v>
      </c>
      <c r="C568" s="1293"/>
      <c r="D568" s="1293"/>
      <c r="E568" s="1293"/>
      <c r="F568" s="1293"/>
      <c r="G568" s="1293"/>
      <c r="H568" s="1293"/>
      <c r="I568" s="1293"/>
      <c r="J568" s="1293"/>
      <c r="K568" s="1293"/>
      <c r="L568" s="1293"/>
      <c r="M568" s="1293"/>
      <c r="N568" s="1293"/>
      <c r="O568" s="1293"/>
      <c r="P568" s="1293"/>
      <c r="Q568" s="1293"/>
      <c r="R568" s="1293"/>
      <c r="S568" s="1293"/>
      <c r="T568" s="1293"/>
      <c r="U568" s="1707"/>
      <c r="V568" s="1293"/>
      <c r="W568" s="1293"/>
      <c r="X568" s="1293"/>
      <c r="Y568" s="1293"/>
      <c r="Z568" s="1671"/>
      <c r="AA568" s="1293"/>
      <c r="AB568" s="1293"/>
      <c r="AC568" s="1293"/>
      <c r="AD568" s="1293"/>
      <c r="AE568" s="1293"/>
      <c r="AF568" s="1293"/>
      <c r="AG568" s="1293"/>
      <c r="AH568" s="1293"/>
      <c r="AI568" s="1293"/>
      <c r="AJ568" s="2186"/>
      <c r="AK568" s="1671"/>
      <c r="AL568" s="1293">
        <f>AL557-AL565</f>
        <v>0.17000000000000037</v>
      </c>
      <c r="AM568" s="1293">
        <f>AM557-AM565</f>
        <v>0.12999999999999989</v>
      </c>
      <c r="AN568" s="1293">
        <f>AN557-AN565</f>
        <v>0.13000000000000034</v>
      </c>
      <c r="AO568" s="2186"/>
      <c r="AP568" s="1293">
        <f>AP557-AP565</f>
        <v>0.12999999999999989</v>
      </c>
      <c r="AQ568" s="1293">
        <f>AQ557-AQ565</f>
        <v>0.14000000000000012</v>
      </c>
      <c r="AR568" s="1293">
        <f>AR557-AR565</f>
        <v>0.14000000000000012</v>
      </c>
      <c r="AS568" s="1293">
        <f>AS557-AS565</f>
        <v>8.0000000000000071E-2</v>
      </c>
      <c r="AT568" s="2186"/>
      <c r="AU568" s="2153">
        <f>AU559-AU565</f>
        <v>8.9999999999999858E-2</v>
      </c>
      <c r="AV568" s="2153">
        <f>AV559-AV565</f>
        <v>0.10000000000000009</v>
      </c>
      <c r="AW568" s="2153">
        <f>AW559-AW565</f>
        <v>9.0000000000000302E-2</v>
      </c>
      <c r="AX568" s="2153">
        <f>AX559-AX565</f>
        <v>4.9999999999999822E-2</v>
      </c>
      <c r="AY568" s="2186"/>
      <c r="AZ568" s="2153">
        <f>AZ559-AZ565</f>
        <v>4.9999999999999822E-2</v>
      </c>
      <c r="BA568" s="2153">
        <f>BA559-BA565</f>
        <v>3.0000000000000249E-2</v>
      </c>
      <c r="BB568" s="2153">
        <f>BB559-BB565</f>
        <v>2.0000000000000018E-2</v>
      </c>
      <c r="BC568" s="2153"/>
      <c r="BD568" s="2186"/>
      <c r="BE568" s="2153"/>
      <c r="BF568" s="2153"/>
      <c r="BG568" s="2153"/>
      <c r="BH568" s="1293"/>
      <c r="BI568" s="2186"/>
      <c r="BJ568" s="2153"/>
      <c r="BK568" s="2153"/>
      <c r="BL568" s="2153"/>
      <c r="BM568" s="2153"/>
      <c r="BN568" s="2186"/>
      <c r="BO568" s="1293"/>
      <c r="BP568" s="1293"/>
      <c r="BQ568" s="1293"/>
      <c r="BR568" s="1293"/>
      <c r="BS568" s="1293"/>
      <c r="BT568" s="1293"/>
      <c r="BU568" s="1293"/>
      <c r="BV568" s="1293"/>
      <c r="BW568" s="1293"/>
      <c r="BX568" s="1293"/>
      <c r="BY568" s="1293"/>
      <c r="BZ568" s="1293"/>
      <c r="CA568" s="1293"/>
      <c r="CB568" s="1293"/>
      <c r="CC568" s="1293"/>
      <c r="CD568" s="1293"/>
      <c r="CE568" s="1293"/>
      <c r="CF568" s="1293"/>
      <c r="CG568" s="1293"/>
      <c r="CH568" s="1293"/>
      <c r="CI568" s="1293"/>
      <c r="CJ568" s="1293"/>
      <c r="CK568" s="1293"/>
      <c r="CL568" s="1293"/>
      <c r="CM568" s="1293"/>
      <c r="CN568" s="1293"/>
      <c r="CO568" s="1293"/>
      <c r="CP568" s="1293"/>
      <c r="CQ568" s="1293"/>
      <c r="CR568" s="1293"/>
      <c r="CS568" s="1293"/>
      <c r="CT568" s="1293"/>
      <c r="CU568" s="1293"/>
      <c r="CV568" s="1293"/>
      <c r="CW568" s="1293"/>
      <c r="CX568" s="1293"/>
      <c r="CY568" s="2032"/>
      <c r="CZ568" s="1293"/>
      <c r="DA568" s="2156"/>
      <c r="DB568" s="2154"/>
      <c r="DC568" s="1293"/>
      <c r="DD568" s="1293"/>
      <c r="DE568" s="1293"/>
      <c r="DF568" s="1293"/>
      <c r="DG568" s="1293"/>
      <c r="DH568" s="1293"/>
      <c r="DI568" s="1293"/>
      <c r="DJ568" s="1293"/>
      <c r="DK568" s="1293"/>
      <c r="DL568" s="1293"/>
    </row>
    <row r="569" spans="1:116" ht="15.75">
      <c r="A569" s="1293"/>
      <c r="B569" s="1293"/>
      <c r="C569" s="1293"/>
      <c r="D569" s="1293"/>
      <c r="E569" s="1293"/>
      <c r="F569" s="1293"/>
      <c r="G569" s="1293"/>
      <c r="H569" s="1293"/>
      <c r="I569" s="1293"/>
      <c r="J569" s="1293"/>
      <c r="K569" s="1293"/>
      <c r="L569" s="1293"/>
      <c r="M569" s="1293"/>
      <c r="N569" s="1293"/>
      <c r="O569" s="1293"/>
      <c r="P569" s="1293"/>
      <c r="Q569" s="1293"/>
      <c r="R569" s="1293"/>
      <c r="S569" s="1293"/>
      <c r="T569" s="1293"/>
      <c r="U569" s="1707"/>
      <c r="V569" s="1293"/>
      <c r="W569" s="1293"/>
      <c r="X569" s="1293"/>
      <c r="Y569" s="1293"/>
      <c r="Z569" s="1671"/>
      <c r="AA569" s="1293"/>
      <c r="AB569" s="1293"/>
      <c r="AC569" s="1293"/>
      <c r="AD569" s="1293"/>
      <c r="AE569" s="1293"/>
      <c r="AF569" s="1293"/>
      <c r="AG569" s="1293"/>
      <c r="AH569" s="1293"/>
      <c r="AI569" s="1293"/>
      <c r="AJ569" s="2186"/>
      <c r="AK569" s="1671"/>
      <c r="AL569" s="1293"/>
      <c r="AM569" s="1293"/>
      <c r="AN569" s="1293"/>
      <c r="AO569" s="2186"/>
      <c r="AP569" s="1293"/>
      <c r="AQ569" s="1293"/>
      <c r="AR569" s="1293"/>
      <c r="AS569" s="1293"/>
      <c r="AT569" s="2186"/>
      <c r="AU569" s="2153"/>
      <c r="AV569" s="2153"/>
      <c r="AW569" s="2153"/>
      <c r="AX569" s="2153"/>
      <c r="AY569" s="2186"/>
      <c r="AZ569" s="2153"/>
      <c r="BA569" s="2153"/>
      <c r="BB569" s="2153"/>
      <c r="BC569" s="1293"/>
      <c r="BD569" s="2186"/>
      <c r="BE569" s="2153"/>
      <c r="BF569" s="2153"/>
      <c r="BG569" s="2153"/>
      <c r="BH569" s="1293"/>
      <c r="BI569" s="2186"/>
      <c r="BJ569" s="2153"/>
      <c r="BK569" s="2153"/>
      <c r="BL569" s="2153"/>
      <c r="BM569" s="2153"/>
      <c r="BN569" s="2186"/>
      <c r="BO569" s="1293"/>
      <c r="BP569" s="1293"/>
      <c r="BQ569" s="1293"/>
      <c r="BR569" s="1293"/>
      <c r="BS569" s="1293"/>
      <c r="BT569" s="1293"/>
      <c r="BU569" s="1293"/>
      <c r="BV569" s="1293"/>
      <c r="BW569" s="1293"/>
      <c r="BX569" s="1293"/>
      <c r="BY569" s="1293"/>
      <c r="BZ569" s="1293"/>
      <c r="CA569" s="1293"/>
      <c r="CB569" s="1293"/>
      <c r="CC569" s="1293"/>
      <c r="CD569" s="1293"/>
      <c r="CE569" s="1293"/>
      <c r="CF569" s="1293"/>
      <c r="CG569" s="1293"/>
      <c r="CH569" s="1293"/>
      <c r="CI569" s="1293"/>
      <c r="CJ569" s="1293"/>
      <c r="CK569" s="1293"/>
      <c r="CL569" s="1293"/>
      <c r="CM569" s="1293"/>
      <c r="CN569" s="1293"/>
      <c r="CO569" s="1293"/>
      <c r="CP569" s="1293"/>
      <c r="CQ569" s="1293"/>
      <c r="CR569" s="1293"/>
      <c r="CS569" s="1293"/>
      <c r="CT569" s="1293"/>
      <c r="CU569" s="1293"/>
      <c r="CV569" s="1293"/>
      <c r="CW569" s="1293"/>
      <c r="CX569" s="1293"/>
      <c r="CY569" s="2032"/>
      <c r="CZ569" s="1293"/>
      <c r="DA569" s="2156"/>
      <c r="DB569" s="2154"/>
      <c r="DC569" s="1293"/>
      <c r="DD569" s="1293"/>
      <c r="DE569" s="1293"/>
      <c r="DF569" s="1293"/>
      <c r="DG569" s="1293"/>
      <c r="DH569" s="1293"/>
      <c r="DI569" s="1293"/>
      <c r="DJ569" s="1293"/>
      <c r="DK569" s="1293"/>
      <c r="DL569" s="1293"/>
    </row>
    <row r="570" spans="1:116" ht="15.75">
      <c r="A570" s="1293"/>
      <c r="B570" s="1293" t="s">
        <v>7044</v>
      </c>
      <c r="C570" s="1293"/>
      <c r="D570" s="1293"/>
      <c r="E570" s="1293"/>
      <c r="F570" s="1293"/>
      <c r="G570" s="1293"/>
      <c r="H570" s="1293"/>
      <c r="I570" s="1293"/>
      <c r="J570" s="1293"/>
      <c r="K570" s="1293"/>
      <c r="L570" s="1293"/>
      <c r="M570" s="1293"/>
      <c r="N570" s="1293"/>
      <c r="O570" s="1293"/>
      <c r="P570" s="1293"/>
      <c r="Q570" s="1293"/>
      <c r="R570" s="1293"/>
      <c r="S570" s="1293"/>
      <c r="T570" s="1293"/>
      <c r="U570" s="1707"/>
      <c r="V570" s="1293"/>
      <c r="W570" s="1293"/>
      <c r="X570" s="1293"/>
      <c r="Y570" s="1293"/>
      <c r="Z570" s="1671"/>
      <c r="AA570" s="1293"/>
      <c r="AB570" s="1293"/>
      <c r="AC570" s="1293"/>
      <c r="AD570" s="1293"/>
      <c r="AE570" s="1293"/>
      <c r="AF570" s="1293"/>
      <c r="AG570" s="1293"/>
      <c r="AH570" s="1293"/>
      <c r="AI570" s="1293"/>
      <c r="AJ570" s="2186"/>
      <c r="AK570" s="1671"/>
      <c r="AL570" s="1293"/>
      <c r="AM570" s="1293"/>
      <c r="AN570" s="1293"/>
      <c r="AO570" s="2186"/>
      <c r="AP570" s="1293"/>
      <c r="AQ570" s="1293"/>
      <c r="AR570" s="1293"/>
      <c r="AS570" s="1293"/>
      <c r="AT570" s="2186"/>
      <c r="AU570" s="2153"/>
      <c r="AV570" s="2153"/>
      <c r="AW570" s="2153"/>
      <c r="AX570" s="2153"/>
      <c r="AY570" s="2186"/>
      <c r="AZ570" s="2153"/>
      <c r="BA570" s="2153"/>
      <c r="BB570" s="2153"/>
      <c r="BC570" s="1293"/>
      <c r="BD570" s="2186"/>
      <c r="BE570" s="2153"/>
      <c r="BF570" s="1698"/>
      <c r="BG570" s="1698">
        <f ca="1">$BI$570/4</f>
        <v>81.661450000000059</v>
      </c>
      <c r="BH570" s="1698">
        <f ca="1">$BI$570/4</f>
        <v>81.661450000000059</v>
      </c>
      <c r="BI570" s="2191">
        <f ca="1">Master!AA19</f>
        <v>326.64580000000024</v>
      </c>
      <c r="BJ570" s="2153"/>
      <c r="BK570" s="2153"/>
      <c r="BL570" s="2153"/>
      <c r="BM570" s="2153"/>
      <c r="BN570" s="2191">
        <f ca="1">Master!AB19</f>
        <v>359.31038000000029</v>
      </c>
      <c r="BO570" s="1293"/>
      <c r="BP570" s="1293"/>
      <c r="BQ570" s="1293"/>
      <c r="BR570" s="1293"/>
      <c r="BS570" s="1293"/>
      <c r="BT570" s="1293"/>
      <c r="BU570" s="1293"/>
      <c r="BV570" s="1293"/>
      <c r="BW570" s="1293"/>
      <c r="BX570" s="1293"/>
      <c r="BY570" s="1293"/>
      <c r="BZ570" s="1293"/>
      <c r="CA570" s="1293"/>
      <c r="CB570" s="1293"/>
      <c r="CC570" s="1293"/>
      <c r="CD570" s="1293"/>
      <c r="CE570" s="1293"/>
      <c r="CF570" s="1293"/>
      <c r="CG570" s="1293"/>
      <c r="CH570" s="1293"/>
      <c r="CI570" s="1293"/>
      <c r="CJ570" s="1293"/>
      <c r="CK570" s="1293"/>
      <c r="CL570" s="1293"/>
      <c r="CM570" s="1293"/>
      <c r="CN570" s="1293"/>
      <c r="CO570" s="1293"/>
      <c r="CP570" s="1293"/>
      <c r="CQ570" s="1293"/>
      <c r="CR570" s="1293"/>
      <c r="CS570" s="1293"/>
      <c r="CT570" s="1293"/>
      <c r="CU570" s="1293"/>
      <c r="CV570" s="1293"/>
      <c r="CW570" s="1293"/>
      <c r="CX570" s="1293"/>
      <c r="CY570" s="2032"/>
      <c r="CZ570" s="1293"/>
      <c r="DA570" s="2163">
        <v>83.160000000000011</v>
      </c>
      <c r="DB570" s="2162">
        <v>85</v>
      </c>
      <c r="DC570" s="1293"/>
      <c r="DD570" s="1293"/>
      <c r="DE570" s="1293"/>
      <c r="DF570" s="1293"/>
      <c r="DG570" s="1293"/>
      <c r="DH570" s="1293"/>
      <c r="DI570" s="1293"/>
      <c r="DJ570" s="1293"/>
      <c r="DK570" s="1293"/>
      <c r="DL570" s="1293"/>
    </row>
    <row r="571" spans="1:116" ht="15.75">
      <c r="A571" s="1293"/>
      <c r="B571" s="1334" t="s">
        <v>7865</v>
      </c>
      <c r="C571" s="1293"/>
      <c r="D571" s="1293"/>
      <c r="E571" s="1293"/>
      <c r="F571" s="1293"/>
      <c r="G571" s="1293"/>
      <c r="H571" s="1293"/>
      <c r="I571" s="1293"/>
      <c r="J571" s="1293"/>
      <c r="K571" s="1293"/>
      <c r="L571" s="1293"/>
      <c r="M571" s="1293"/>
      <c r="N571" s="1293"/>
      <c r="O571" s="1293"/>
      <c r="P571" s="1293"/>
      <c r="Q571" s="1293"/>
      <c r="R571" s="1293"/>
      <c r="S571" s="1293"/>
      <c r="T571" s="1293"/>
      <c r="U571" s="1707"/>
      <c r="V571" s="1293"/>
      <c r="W571" s="1293"/>
      <c r="X571" s="1293"/>
      <c r="Y571" s="1293"/>
      <c r="Z571" s="1293"/>
      <c r="AA571" s="1293"/>
      <c r="AB571" s="1293"/>
      <c r="AC571" s="1293"/>
      <c r="AD571" s="1293"/>
      <c r="AE571" s="1293"/>
      <c r="AF571" s="1293"/>
      <c r="AG571" s="1293"/>
      <c r="AH571" s="1293"/>
      <c r="AI571" s="1293"/>
      <c r="AJ571" s="2186"/>
      <c r="AK571" s="1293"/>
      <c r="AL571" s="1293"/>
      <c r="AM571" s="1293"/>
      <c r="AN571" s="1293"/>
      <c r="AO571" s="2186"/>
      <c r="AP571" s="1293"/>
      <c r="AQ571" s="1293"/>
      <c r="AR571" s="1293"/>
      <c r="AS571" s="1293"/>
      <c r="AT571" s="2186"/>
      <c r="AU571" s="1293"/>
      <c r="AV571" s="1293"/>
      <c r="AW571" s="1293"/>
      <c r="AX571" s="1293"/>
      <c r="AY571" s="2186"/>
      <c r="AZ571" s="1293"/>
      <c r="BA571" s="1293"/>
      <c r="BB571" s="1293"/>
      <c r="BC571" s="1293"/>
      <c r="BD571" s="2186"/>
      <c r="BE571" s="1293"/>
      <c r="BF571" s="1293"/>
      <c r="BG571" s="1293"/>
      <c r="BH571" s="1293"/>
      <c r="BI571" s="2186"/>
      <c r="BJ571" s="1293"/>
      <c r="BK571" s="1293"/>
      <c r="BL571" s="1293"/>
      <c r="BM571" s="1293"/>
      <c r="BN571" s="2186"/>
      <c r="BO571" s="1293"/>
      <c r="BP571" s="1293"/>
      <c r="BQ571" s="1293"/>
      <c r="BR571" s="1293"/>
      <c r="BS571" s="1293"/>
      <c r="BT571" s="1293"/>
      <c r="BU571" s="1293"/>
      <c r="BV571" s="1293"/>
      <c r="BW571" s="1293"/>
      <c r="BX571" s="1293"/>
      <c r="BY571" s="1293"/>
      <c r="BZ571" s="1293"/>
      <c r="CA571" s="1293"/>
      <c r="CB571" s="1293"/>
      <c r="CC571" s="1293"/>
      <c r="CD571" s="1293"/>
      <c r="CE571" s="1293"/>
      <c r="CF571" s="1293"/>
      <c r="CG571" s="1293"/>
      <c r="CH571" s="1293"/>
      <c r="CI571" s="1293"/>
      <c r="CJ571" s="1293"/>
      <c r="CK571" s="1293"/>
      <c r="CL571" s="1293"/>
      <c r="CM571" s="1293"/>
      <c r="CN571" s="1293"/>
      <c r="CO571" s="1293"/>
      <c r="CP571" s="1293"/>
      <c r="CQ571" s="1293"/>
      <c r="CR571" s="1293"/>
      <c r="CS571" s="1293"/>
      <c r="CT571" s="1293"/>
      <c r="CU571" s="1293"/>
      <c r="CV571" s="1293"/>
      <c r="CW571" s="1293"/>
      <c r="CX571" s="1293"/>
      <c r="CY571" s="2032"/>
      <c r="CZ571" s="1293"/>
      <c r="DA571" s="2031"/>
      <c r="DB571" s="2032"/>
      <c r="DC571" s="1293"/>
      <c r="DD571" s="1293"/>
      <c r="DE571" s="1293"/>
      <c r="DF571" s="1293"/>
      <c r="DG571" s="1293"/>
      <c r="DH571" s="1293"/>
      <c r="DI571" s="1293"/>
      <c r="DJ571" s="1293"/>
      <c r="DK571" s="1293"/>
      <c r="DL571" s="1293"/>
    </row>
    <row r="572" spans="1:116" ht="15.75">
      <c r="A572" s="1293"/>
      <c r="B572" s="1293"/>
      <c r="C572" s="1293"/>
      <c r="D572" s="1293"/>
      <c r="E572" s="1293"/>
      <c r="F572" s="1293"/>
      <c r="G572" s="1293"/>
      <c r="H572" s="1293"/>
      <c r="I572" s="1293"/>
      <c r="J572" s="1293"/>
      <c r="K572" s="1293"/>
      <c r="L572" s="1293"/>
      <c r="M572" s="1293"/>
      <c r="N572" s="1293"/>
      <c r="O572" s="1293"/>
      <c r="P572" s="1293"/>
      <c r="Q572" s="1293"/>
      <c r="R572" s="1293"/>
      <c r="S572" s="1293"/>
      <c r="T572" s="1293"/>
      <c r="U572" s="1707"/>
      <c r="V572" s="1293"/>
      <c r="W572" s="1293"/>
      <c r="X572" s="1293"/>
      <c r="Y572" s="1293"/>
      <c r="Z572" s="1293"/>
      <c r="AA572" s="1293"/>
      <c r="AB572" s="1293"/>
      <c r="AC572" s="1293"/>
      <c r="AD572" s="1293"/>
      <c r="AE572" s="1293"/>
      <c r="AF572" s="1293"/>
      <c r="AG572" s="1293"/>
      <c r="AH572" s="1293"/>
      <c r="AI572" s="1293"/>
      <c r="AJ572" s="2186"/>
      <c r="AK572" s="1293"/>
      <c r="AL572" s="1293"/>
      <c r="AM572" s="1293"/>
      <c r="AN572" s="1293"/>
      <c r="AO572" s="2186"/>
      <c r="AP572" s="1293"/>
      <c r="AQ572" s="1293"/>
      <c r="AR572" s="1293"/>
      <c r="AS572" s="1293"/>
      <c r="AT572" s="2186"/>
      <c r="AU572" s="1293"/>
      <c r="AV572" s="1293"/>
      <c r="AW572" s="1293"/>
      <c r="AX572" s="1293"/>
      <c r="AY572" s="2186"/>
      <c r="AZ572" s="1293"/>
      <c r="BA572" s="1293"/>
      <c r="BB572" s="1293"/>
      <c r="BC572" s="1293"/>
      <c r="BD572" s="2186"/>
      <c r="BE572" s="1293"/>
      <c r="BF572" s="1293"/>
      <c r="BG572" s="1293"/>
      <c r="BH572" s="1293"/>
      <c r="BI572" s="2186"/>
      <c r="BJ572" s="1293"/>
      <c r="BK572" s="1293"/>
      <c r="BL572" s="1293"/>
      <c r="BM572" s="1293"/>
      <c r="BN572" s="2186"/>
      <c r="BO572" s="1293"/>
      <c r="BP572" s="1293"/>
      <c r="BQ572" s="1293"/>
      <c r="BR572" s="1293"/>
      <c r="BS572" s="1293"/>
      <c r="BT572" s="1293"/>
      <c r="BU572" s="1293"/>
      <c r="BV572" s="1293"/>
      <c r="BW572" s="1293"/>
      <c r="BX572" s="1293"/>
      <c r="BY572" s="1293"/>
      <c r="BZ572" s="1293"/>
      <c r="CA572" s="1293"/>
      <c r="CB572" s="1293"/>
      <c r="CC572" s="1293"/>
      <c r="CD572" s="1293"/>
      <c r="CE572" s="1293"/>
      <c r="CF572" s="1293"/>
      <c r="CG572" s="1293"/>
      <c r="CH572" s="1293"/>
      <c r="CI572" s="1293"/>
      <c r="CJ572" s="1293"/>
      <c r="CK572" s="1293"/>
      <c r="CL572" s="1293"/>
      <c r="CM572" s="1293"/>
      <c r="CN572" s="1293"/>
      <c r="CO572" s="1293"/>
      <c r="CP572" s="1293"/>
      <c r="CQ572" s="1293"/>
      <c r="CR572" s="1293"/>
      <c r="CS572" s="1293"/>
      <c r="CT572" s="1293"/>
      <c r="CU572" s="1293"/>
      <c r="CV572" s="1293"/>
      <c r="CW572" s="1293"/>
      <c r="CX572" s="1293"/>
      <c r="CY572" s="2032"/>
      <c r="CZ572" s="1293"/>
      <c r="DA572" s="2031"/>
      <c r="DB572" s="2032"/>
      <c r="DC572" s="1293"/>
      <c r="DD572" s="1293"/>
      <c r="DE572" s="1293"/>
      <c r="DF572" s="1293"/>
      <c r="DG572" s="1293"/>
      <c r="DH572" s="1293"/>
      <c r="DI572" s="1293"/>
      <c r="DJ572" s="1293"/>
      <c r="DK572" s="1293"/>
      <c r="DL572" s="1293"/>
    </row>
    <row r="573" spans="1:116" ht="15.75">
      <c r="A573" s="1293"/>
      <c r="B573" s="1979" t="s">
        <v>4521</v>
      </c>
      <c r="C573" s="1293"/>
      <c r="D573" s="1293"/>
      <c r="E573" s="1293"/>
      <c r="F573" s="1293"/>
      <c r="G573" s="2080"/>
      <c r="H573" s="1293"/>
      <c r="I573" s="1293"/>
      <c r="J573" s="1293"/>
      <c r="K573" s="1293"/>
      <c r="L573" s="2080"/>
      <c r="M573" s="1293"/>
      <c r="N573" s="1293"/>
      <c r="O573" s="1293"/>
      <c r="P573" s="1293"/>
      <c r="Q573" s="2080"/>
      <c r="R573" s="1293"/>
      <c r="S573" s="1293"/>
      <c r="T573" s="1293"/>
      <c r="U573" s="1293"/>
      <c r="V573" s="2080"/>
      <c r="W573" s="1293"/>
      <c r="X573" s="1293"/>
      <c r="Y573" s="1293"/>
      <c r="Z573" s="1293"/>
      <c r="AA573" s="2080"/>
      <c r="AB573" s="1293"/>
      <c r="AC573" s="1293"/>
      <c r="AD573" s="1293"/>
      <c r="AE573" s="1293"/>
      <c r="AF573" s="1293"/>
      <c r="AG573" s="1293"/>
      <c r="AH573" s="1293"/>
      <c r="AI573" s="1293"/>
      <c r="AJ573" s="2186"/>
      <c r="AK573" s="1293"/>
      <c r="AL573" s="1293"/>
      <c r="AM573" s="1293"/>
      <c r="AN573" s="1293"/>
      <c r="AO573" s="2186"/>
      <c r="AP573" s="1293"/>
      <c r="AQ573" s="1293"/>
      <c r="AR573" s="1293"/>
      <c r="AS573" s="1293"/>
      <c r="AT573" s="2186"/>
      <c r="AU573" s="1293"/>
      <c r="AV573" s="1293"/>
      <c r="AW573" s="1293"/>
      <c r="AX573" s="1293"/>
      <c r="AY573" s="2186"/>
      <c r="AZ573" s="1293"/>
      <c r="BA573" s="1293"/>
      <c r="BB573" s="1293"/>
      <c r="BC573" s="1293"/>
      <c r="BD573" s="2186"/>
      <c r="BE573" s="1293"/>
      <c r="BF573" s="1293"/>
      <c r="BG573" s="1293"/>
      <c r="BH573" s="1293"/>
      <c r="BI573" s="2186"/>
      <c r="BJ573" s="1293"/>
      <c r="BK573" s="1293"/>
      <c r="BL573" s="1293"/>
      <c r="BM573" s="1293"/>
      <c r="BN573" s="2186"/>
      <c r="BO573" s="1293"/>
      <c r="BP573" s="1293"/>
      <c r="BQ573" s="1293"/>
      <c r="BR573" s="1293"/>
      <c r="BS573" s="1293"/>
      <c r="BT573" s="1293"/>
      <c r="BU573" s="1293"/>
      <c r="BV573" s="1293"/>
      <c r="BW573" s="1293"/>
      <c r="BX573" s="1293"/>
      <c r="BY573" s="1293"/>
      <c r="BZ573" s="1293"/>
      <c r="CA573" s="1293"/>
      <c r="CB573" s="1293"/>
      <c r="CC573" s="1293"/>
      <c r="CD573" s="1293"/>
      <c r="CE573" s="1293"/>
      <c r="CF573" s="1293"/>
      <c r="CG573" s="1293"/>
      <c r="CH573" s="1293"/>
      <c r="CI573" s="1293"/>
      <c r="CJ573" s="1293"/>
      <c r="CK573" s="1293"/>
      <c r="CL573" s="1293"/>
      <c r="CM573" s="1293"/>
      <c r="CN573" s="1293"/>
      <c r="CO573" s="1293"/>
      <c r="CP573" s="1293"/>
      <c r="CQ573" s="1293"/>
      <c r="CR573" s="1293"/>
      <c r="CS573" s="1293"/>
      <c r="CT573" s="1293"/>
      <c r="CU573" s="1293"/>
      <c r="CV573" s="1293"/>
      <c r="CW573" s="1293"/>
      <c r="CX573" s="1293"/>
      <c r="CY573" s="2032"/>
      <c r="CZ573" s="1293"/>
      <c r="DA573" s="2031"/>
      <c r="DB573" s="2032"/>
      <c r="DC573" s="1293"/>
      <c r="DD573" s="1293"/>
      <c r="DE573" s="1293"/>
      <c r="DF573" s="1293"/>
      <c r="DG573" s="1293"/>
      <c r="DH573" s="1293"/>
      <c r="DI573" s="1293"/>
      <c r="DJ573" s="1293"/>
      <c r="DK573" s="1293"/>
      <c r="DL573" s="1293"/>
    </row>
    <row r="574" spans="1:116" ht="15.75">
      <c r="A574" s="1293"/>
      <c r="B574" s="1293"/>
      <c r="C574" s="1293"/>
      <c r="D574" s="1293"/>
      <c r="E574" s="1293"/>
      <c r="F574" s="1293"/>
      <c r="G574" s="2080"/>
      <c r="H574" s="1293"/>
      <c r="I574" s="1293"/>
      <c r="J574" s="1293"/>
      <c r="K574" s="1293"/>
      <c r="L574" s="2080"/>
      <c r="M574" s="1293"/>
      <c r="N574" s="1293"/>
      <c r="O574" s="1293"/>
      <c r="P574" s="1293"/>
      <c r="Q574" s="2080"/>
      <c r="R574" s="1293"/>
      <c r="S574" s="1293"/>
      <c r="T574" s="1293"/>
      <c r="U574" s="1293"/>
      <c r="V574" s="2080"/>
      <c r="W574" s="1293"/>
      <c r="X574" s="1293"/>
      <c r="Y574" s="1293"/>
      <c r="Z574" s="1293"/>
      <c r="AA574" s="2080"/>
      <c r="AB574" s="1293"/>
      <c r="AC574" s="1293"/>
      <c r="AD574" s="1293"/>
      <c r="AE574" s="1293"/>
      <c r="AF574" s="1293"/>
      <c r="AG574" s="1293"/>
      <c r="AH574" s="1293"/>
      <c r="AI574" s="1293"/>
      <c r="AJ574" s="2186"/>
      <c r="AK574" s="1293"/>
      <c r="AL574" s="1293"/>
      <c r="AM574" s="1293"/>
      <c r="AN574" s="1293"/>
      <c r="AO574" s="2186"/>
      <c r="AP574" s="1293"/>
      <c r="AQ574" s="1293"/>
      <c r="AR574" s="1293"/>
      <c r="AS574" s="1293"/>
      <c r="AT574" s="2186"/>
      <c r="AU574" s="1293"/>
      <c r="AV574" s="1293"/>
      <c r="AW574" s="1293"/>
      <c r="AX574" s="1293"/>
      <c r="AY574" s="2186"/>
      <c r="AZ574" s="1293"/>
      <c r="BA574" s="1293"/>
      <c r="BB574" s="1293"/>
      <c r="BC574" s="1293"/>
      <c r="BD574" s="2186"/>
      <c r="BE574" s="1293"/>
      <c r="BF574" s="1293"/>
      <c r="BG574" s="1293"/>
      <c r="BH574" s="1293"/>
      <c r="BI574" s="2186"/>
      <c r="BJ574" s="1293"/>
      <c r="BK574" s="1293"/>
      <c r="BL574" s="1293"/>
      <c r="BM574" s="1293"/>
      <c r="BN574" s="2186"/>
      <c r="BO574" s="1293"/>
      <c r="BP574" s="1293"/>
      <c r="BQ574" s="1293"/>
      <c r="BR574" s="1293"/>
      <c r="BS574" s="1293"/>
      <c r="BT574" s="1293"/>
      <c r="BU574" s="1293"/>
      <c r="BV574" s="1293"/>
      <c r="BW574" s="1293"/>
      <c r="BX574" s="1293"/>
      <c r="BY574" s="1293"/>
      <c r="BZ574" s="1293"/>
      <c r="CA574" s="1293"/>
      <c r="CB574" s="1293"/>
      <c r="CC574" s="1293"/>
      <c r="CD574" s="1293"/>
      <c r="CE574" s="1293"/>
      <c r="CF574" s="1293"/>
      <c r="CG574" s="1293"/>
      <c r="CH574" s="1293"/>
      <c r="CI574" s="1293"/>
      <c r="CJ574" s="1293"/>
      <c r="CK574" s="1293"/>
      <c r="CL574" s="1293"/>
      <c r="CM574" s="1293"/>
      <c r="CN574" s="1293"/>
      <c r="CO574" s="1293"/>
      <c r="CP574" s="1293"/>
      <c r="CQ574" s="1293"/>
      <c r="CR574" s="1293"/>
      <c r="CS574" s="1293"/>
      <c r="CT574" s="1293"/>
      <c r="CU574" s="1293"/>
      <c r="CV574" s="1293"/>
      <c r="CW574" s="1293"/>
      <c r="CX574" s="1293"/>
      <c r="CY574" s="2032"/>
      <c r="CZ574" s="1293"/>
      <c r="DA574" s="2031"/>
      <c r="DB574" s="2032"/>
      <c r="DC574" s="1293"/>
      <c r="DD574" s="1293"/>
      <c r="DE574" s="1293"/>
      <c r="DF574" s="1293"/>
      <c r="DG574" s="1293"/>
      <c r="DH574" s="1293"/>
      <c r="DI574" s="1293"/>
      <c r="DJ574" s="1293"/>
      <c r="DK574" s="1293"/>
      <c r="DL574" s="1293"/>
    </row>
    <row r="575" spans="1:116" ht="15.75">
      <c r="A575" s="1293"/>
      <c r="B575" s="2033" t="s">
        <v>4531</v>
      </c>
      <c r="C575" s="1883" t="str">
        <f t="shared" ref="C575:U575" si="539">C382</f>
        <v>Q1 14</v>
      </c>
      <c r="D575" s="1883" t="str">
        <f t="shared" si="539"/>
        <v>Q2 14</v>
      </c>
      <c r="E575" s="1883" t="str">
        <f t="shared" si="539"/>
        <v>Q3 14</v>
      </c>
      <c r="F575" s="1883" t="str">
        <f t="shared" si="539"/>
        <v>Q4 14</v>
      </c>
      <c r="G575" s="2034" t="str">
        <f t="shared" si="539"/>
        <v>FY 14</v>
      </c>
      <c r="H575" s="1883" t="str">
        <f t="shared" si="539"/>
        <v>Q1 15</v>
      </c>
      <c r="I575" s="1883" t="str">
        <f t="shared" si="539"/>
        <v>Q2 15</v>
      </c>
      <c r="J575" s="1883" t="str">
        <f t="shared" si="539"/>
        <v>Q3 15</v>
      </c>
      <c r="K575" s="1883" t="str">
        <f t="shared" si="539"/>
        <v>Q4 15</v>
      </c>
      <c r="L575" s="2034" t="str">
        <f t="shared" si="539"/>
        <v>FY 15</v>
      </c>
      <c r="M575" s="1883" t="str">
        <f t="shared" si="539"/>
        <v>Q1 16</v>
      </c>
      <c r="N575" s="1883" t="str">
        <f t="shared" si="539"/>
        <v>Q2 16</v>
      </c>
      <c r="O575" s="1883" t="str">
        <f t="shared" si="539"/>
        <v>Q3 16</v>
      </c>
      <c r="P575" s="1883" t="str">
        <f t="shared" si="539"/>
        <v>Q4 16</v>
      </c>
      <c r="Q575" s="2034">
        <f t="shared" si="539"/>
        <v>2016</v>
      </c>
      <c r="R575" s="1883" t="str">
        <f t="shared" si="539"/>
        <v>Q1 17</v>
      </c>
      <c r="S575" s="1883" t="str">
        <f t="shared" si="539"/>
        <v>Q2 17</v>
      </c>
      <c r="T575" s="1883" t="str">
        <f t="shared" si="539"/>
        <v>Q3 17</v>
      </c>
      <c r="U575" s="1883" t="str">
        <f t="shared" si="539"/>
        <v>Q4 17</v>
      </c>
      <c r="V575" s="2034"/>
      <c r="W575" s="1883" t="str">
        <f>W382</f>
        <v>Q1 18</v>
      </c>
      <c r="X575" s="1883" t="str">
        <f>X382</f>
        <v>Q2 18</v>
      </c>
      <c r="Y575" s="1883" t="str">
        <f>Y382</f>
        <v>Q3 18</v>
      </c>
      <c r="Z575" s="1883" t="str">
        <f>Z382</f>
        <v>Q4 18</v>
      </c>
      <c r="AA575" s="2034"/>
      <c r="AB575" s="1883" t="str">
        <f t="shared" ref="AB575:AG575" si="540">AB382</f>
        <v>Q1 19</v>
      </c>
      <c r="AC575" s="1883" t="str">
        <f t="shared" si="540"/>
        <v>Q1 19</v>
      </c>
      <c r="AD575" s="1883" t="str">
        <f t="shared" si="540"/>
        <v>Q2 19</v>
      </c>
      <c r="AE575" s="1883" t="str">
        <f t="shared" si="540"/>
        <v>Q2 19</v>
      </c>
      <c r="AF575" s="1883" t="str">
        <f t="shared" si="540"/>
        <v>Q3 19</v>
      </c>
      <c r="AG575" s="1883" t="str">
        <f t="shared" si="540"/>
        <v>Q3 19</v>
      </c>
      <c r="AH575" s="1883"/>
      <c r="AI575" s="1883"/>
      <c r="AJ575" s="2186"/>
      <c r="AK575" s="1883"/>
      <c r="AL575" s="1883"/>
      <c r="AM575" s="1883"/>
      <c r="AN575" s="1883"/>
      <c r="AO575" s="2186"/>
      <c r="AP575" s="1883"/>
      <c r="AQ575" s="1883"/>
      <c r="AR575" s="1883"/>
      <c r="AS575" s="1883"/>
      <c r="AT575" s="2186"/>
      <c r="AU575" s="1883"/>
      <c r="AV575" s="1883"/>
      <c r="AW575" s="1883"/>
      <c r="AX575" s="1883"/>
      <c r="AY575" s="2186"/>
      <c r="AZ575" s="1883"/>
      <c r="BA575" s="1883"/>
      <c r="BB575" s="1883"/>
      <c r="BC575" s="1883"/>
      <c r="BD575" s="2186"/>
      <c r="BE575" s="1883"/>
      <c r="BF575" s="1883"/>
      <c r="BG575" s="1883"/>
      <c r="BH575" s="1883"/>
      <c r="BI575" s="2186"/>
      <c r="BJ575" s="1883"/>
      <c r="BK575" s="1323"/>
      <c r="BL575" s="1323"/>
      <c r="BM575" s="1323"/>
      <c r="BN575" s="2186"/>
      <c r="BO575" s="1293"/>
      <c r="BP575" s="1293"/>
      <c r="BQ575" s="1293"/>
      <c r="BR575" s="1293"/>
      <c r="BS575" s="1293"/>
      <c r="BT575" s="1293"/>
      <c r="BU575" s="1293"/>
      <c r="BV575" s="1293"/>
      <c r="BW575" s="1293"/>
      <c r="BX575" s="1293"/>
      <c r="BY575" s="1293"/>
      <c r="BZ575" s="1293"/>
      <c r="CA575" s="1293"/>
      <c r="CB575" s="1293"/>
      <c r="CC575" s="1293"/>
      <c r="CD575" s="1293"/>
      <c r="CE575" s="1293"/>
      <c r="CF575" s="1293"/>
      <c r="CG575" s="1293"/>
      <c r="CH575" s="1293"/>
      <c r="CI575" s="1293"/>
      <c r="CJ575" s="1293"/>
      <c r="CK575" s="1293"/>
      <c r="CL575" s="1293"/>
      <c r="CM575" s="1293"/>
      <c r="CN575" s="1293"/>
      <c r="CO575" s="1293"/>
      <c r="CP575" s="1293"/>
      <c r="CQ575" s="1293"/>
      <c r="CR575" s="1293"/>
      <c r="CS575" s="1293"/>
      <c r="CT575" s="1293"/>
      <c r="CU575" s="1293"/>
      <c r="CV575" s="1293"/>
      <c r="CW575" s="1293"/>
      <c r="CX575" s="1293"/>
      <c r="CY575" s="2032"/>
      <c r="CZ575" s="1293"/>
      <c r="DA575" s="2317"/>
      <c r="DB575" s="2038"/>
      <c r="DC575" s="1293"/>
      <c r="DD575" s="1293"/>
      <c r="DE575" s="1293"/>
      <c r="DF575" s="1293"/>
      <c r="DG575" s="1293"/>
      <c r="DH575" s="1293"/>
      <c r="DI575" s="1293"/>
      <c r="DJ575" s="1293"/>
      <c r="DK575" s="1293"/>
      <c r="DL575" s="1293"/>
    </row>
    <row r="576" spans="1:116" ht="15.75">
      <c r="A576" s="1293"/>
      <c r="B576" s="1293" t="s">
        <v>1828</v>
      </c>
      <c r="C576" s="1699">
        <v>463.15703988489503</v>
      </c>
      <c r="D576" s="1699">
        <v>466.29940511020527</v>
      </c>
      <c r="E576" s="1699">
        <v>460.99956238063146</v>
      </c>
      <c r="F576" s="1699">
        <v>476.48409489494026</v>
      </c>
      <c r="G576" s="2039">
        <v>1866.939115235436</v>
      </c>
      <c r="H576" s="1699">
        <v>467.39473087893703</v>
      </c>
      <c r="I576" s="1699">
        <v>462.97135168106399</v>
      </c>
      <c r="J576" s="1699">
        <v>460.42756355082497</v>
      </c>
      <c r="K576" s="1699">
        <v>469.09983087008203</v>
      </c>
      <c r="L576" s="2039">
        <v>1859.89347698091</v>
      </c>
      <c r="M576" s="1699">
        <v>451.22127933240404</v>
      </c>
      <c r="N576" s="1699">
        <v>441.504167342085</v>
      </c>
      <c r="O576" s="1699">
        <v>435.23914539348198</v>
      </c>
      <c r="P576" s="1699">
        <v>442.99078473117299</v>
      </c>
      <c r="Q576" s="2039"/>
      <c r="R576" s="1699">
        <v>432</v>
      </c>
      <c r="S576" s="1699"/>
      <c r="T576" s="1699"/>
      <c r="U576" s="1699"/>
      <c r="V576" s="2039"/>
      <c r="W576" s="1699"/>
      <c r="X576" s="1699"/>
      <c r="Y576" s="1699"/>
      <c r="Z576" s="1699"/>
      <c r="AA576" s="2039"/>
      <c r="AB576" s="1699"/>
      <c r="AC576" s="1699"/>
      <c r="AD576" s="1699"/>
      <c r="AE576" s="1699"/>
      <c r="AF576" s="1699"/>
      <c r="AG576" s="1699"/>
      <c r="AH576" s="1699"/>
      <c r="AI576" s="1699"/>
      <c r="AJ576" s="2186"/>
      <c r="AK576" s="1699"/>
      <c r="AL576" s="1699"/>
      <c r="AM576" s="1699"/>
      <c r="AN576" s="1699"/>
      <c r="AO576" s="2186"/>
      <c r="AP576" s="1699"/>
      <c r="AQ576" s="1699"/>
      <c r="AR576" s="1699"/>
      <c r="AS576" s="1699"/>
      <c r="AT576" s="2186"/>
      <c r="AU576" s="1699"/>
      <c r="AV576" s="1699"/>
      <c r="AW576" s="1699"/>
      <c r="AX576" s="1699"/>
      <c r="AY576" s="2186"/>
      <c r="AZ576" s="1699"/>
      <c r="BA576" s="1699"/>
      <c r="BB576" s="1699"/>
      <c r="BC576" s="1699"/>
      <c r="BD576" s="2186"/>
      <c r="BE576" s="1699"/>
      <c r="BF576" s="1699"/>
      <c r="BG576" s="1699"/>
      <c r="BH576" s="1699"/>
      <c r="BI576" s="2186"/>
      <c r="BJ576" s="1699"/>
      <c r="BK576" s="1699"/>
      <c r="BL576" s="1699"/>
      <c r="BM576" s="1699"/>
      <c r="BN576" s="2186"/>
      <c r="BO576" s="1293"/>
      <c r="BP576" s="1293"/>
      <c r="BQ576" s="1293"/>
      <c r="BR576" s="1293"/>
      <c r="BS576" s="1293"/>
      <c r="BT576" s="1293"/>
      <c r="BU576" s="1293"/>
      <c r="BV576" s="1293"/>
      <c r="BW576" s="1293"/>
      <c r="BX576" s="1293"/>
      <c r="BY576" s="1293"/>
      <c r="BZ576" s="1293"/>
      <c r="CA576" s="1293"/>
      <c r="CB576" s="1293"/>
      <c r="CC576" s="1293"/>
      <c r="CD576" s="1293"/>
      <c r="CE576" s="1293"/>
      <c r="CF576" s="1293"/>
      <c r="CG576" s="1293"/>
      <c r="CH576" s="1293"/>
      <c r="CI576" s="1293"/>
      <c r="CJ576" s="1293"/>
      <c r="CK576" s="1293"/>
      <c r="CL576" s="1293"/>
      <c r="CM576" s="1293"/>
      <c r="CN576" s="1293"/>
      <c r="CO576" s="1293"/>
      <c r="CP576" s="1293"/>
      <c r="CQ576" s="1293"/>
      <c r="CR576" s="1293"/>
      <c r="CS576" s="1293"/>
      <c r="CT576" s="1293"/>
      <c r="CU576" s="1293"/>
      <c r="CV576" s="1293"/>
      <c r="CW576" s="1293"/>
      <c r="CX576" s="1293"/>
      <c r="CY576" s="2032"/>
      <c r="CZ576" s="1293"/>
      <c r="DA576" s="2042"/>
      <c r="DB576" s="2041"/>
      <c r="DC576" s="1293"/>
      <c r="DD576" s="1293"/>
      <c r="DE576" s="1293"/>
      <c r="DF576" s="1293"/>
      <c r="DG576" s="1293"/>
      <c r="DH576" s="1293"/>
      <c r="DI576" s="1293"/>
      <c r="DJ576" s="1293"/>
      <c r="DK576" s="1293"/>
      <c r="DL576" s="1293"/>
    </row>
    <row r="577" spans="1:116" ht="15.75">
      <c r="A577" s="1293"/>
      <c r="B577" s="1293" t="s">
        <v>1697</v>
      </c>
      <c r="C577" s="1699">
        <v>469.19162874138294</v>
      </c>
      <c r="D577" s="1699">
        <v>490.50588195032935</v>
      </c>
      <c r="E577" s="1699">
        <v>512.24675687504146</v>
      </c>
      <c r="F577" s="1699">
        <v>504.33044417966528</v>
      </c>
      <c r="G577" s="2039">
        <v>1982.278584132411</v>
      </c>
      <c r="H577" s="1699">
        <v>434.56958357230201</v>
      </c>
      <c r="I577" s="1699">
        <v>426.2861421819</v>
      </c>
      <c r="J577" s="1699">
        <v>405.13399496640699</v>
      </c>
      <c r="K577" s="1699">
        <v>399.49075988103499</v>
      </c>
      <c r="L577" s="2039">
        <v>1665.48048060164</v>
      </c>
      <c r="M577" s="1699">
        <v>368.52403651724802</v>
      </c>
      <c r="N577" s="1699">
        <v>377.087674428561</v>
      </c>
      <c r="O577" s="1699">
        <v>377.421687299562</v>
      </c>
      <c r="P577" s="1699">
        <v>371.42762433965703</v>
      </c>
      <c r="Q577" s="2039"/>
      <c r="R577" s="1699">
        <v>365</v>
      </c>
      <c r="S577" s="1699"/>
      <c r="T577" s="1699"/>
      <c r="U577" s="1699"/>
      <c r="V577" s="2039"/>
      <c r="W577" s="1699"/>
      <c r="X577" s="1699"/>
      <c r="Y577" s="1699"/>
      <c r="Z577" s="1699"/>
      <c r="AA577" s="2039"/>
      <c r="AB577" s="1699"/>
      <c r="AC577" s="1699"/>
      <c r="AD577" s="1699"/>
      <c r="AE577" s="1699"/>
      <c r="AF577" s="1699"/>
      <c r="AG577" s="1699"/>
      <c r="AH577" s="1699"/>
      <c r="AI577" s="1699"/>
      <c r="AJ577" s="2186"/>
      <c r="AK577" s="1699"/>
      <c r="AL577" s="1699"/>
      <c r="AM577" s="1699"/>
      <c r="AN577" s="1699"/>
      <c r="AO577" s="2186"/>
      <c r="AP577" s="1699"/>
      <c r="AQ577" s="1699"/>
      <c r="AR577" s="1699"/>
      <c r="AS577" s="1699"/>
      <c r="AT577" s="2186"/>
      <c r="AU577" s="1699"/>
      <c r="AV577" s="1699"/>
      <c r="AW577" s="1699"/>
      <c r="AX577" s="1699"/>
      <c r="AY577" s="2186"/>
      <c r="AZ577" s="1699"/>
      <c r="BA577" s="1699"/>
      <c r="BB577" s="1699"/>
      <c r="BC577" s="1293"/>
      <c r="BD577" s="2186"/>
      <c r="BE577" s="1699"/>
      <c r="BF577" s="1699"/>
      <c r="BG577" s="1699"/>
      <c r="BH577" s="1293"/>
      <c r="BI577" s="2186"/>
      <c r="BJ577" s="1699"/>
      <c r="BK577" s="1699"/>
      <c r="BL577" s="1699"/>
      <c r="BM577" s="1699"/>
      <c r="BN577" s="2186"/>
      <c r="BO577" s="1293"/>
      <c r="BP577" s="1293" t="s">
        <v>8791</v>
      </c>
      <c r="BQ577" s="1293"/>
      <c r="BR577" s="1293"/>
      <c r="BS577" s="1293"/>
      <c r="BT577" s="1293"/>
      <c r="BU577" s="1293"/>
      <c r="BV577" s="1293"/>
      <c r="BW577" s="1293"/>
      <c r="BX577" s="1293"/>
      <c r="BY577" s="1293"/>
      <c r="BZ577" s="1293"/>
      <c r="CA577" s="1293"/>
      <c r="CB577" s="1293"/>
      <c r="CC577" s="1293"/>
      <c r="CD577" s="1293"/>
      <c r="CE577" s="1293"/>
      <c r="CF577" s="1293"/>
      <c r="CG577" s="1293"/>
      <c r="CH577" s="1293"/>
      <c r="CI577" s="1293"/>
      <c r="CJ577" s="1293"/>
      <c r="CK577" s="1293"/>
      <c r="CL577" s="1293"/>
      <c r="CM577" s="1293"/>
      <c r="CN577" s="1293"/>
      <c r="CO577" s="1293"/>
      <c r="CP577" s="1293"/>
      <c r="CQ577" s="1293"/>
      <c r="CR577" s="1293"/>
      <c r="CS577" s="1293"/>
      <c r="CT577" s="1293"/>
      <c r="CU577" s="1293"/>
      <c r="CV577" s="1293"/>
      <c r="CW577" s="1293"/>
      <c r="CX577" s="1293"/>
      <c r="CY577" s="2032"/>
      <c r="CZ577" s="1293"/>
      <c r="DA577" s="2042"/>
      <c r="DB577" s="2041"/>
      <c r="DC577" s="1293"/>
      <c r="DD577" s="1293"/>
      <c r="DE577" s="1293"/>
      <c r="DF577" s="1293"/>
      <c r="DG577" s="1293"/>
      <c r="DH577" s="1293"/>
      <c r="DI577" s="1293"/>
      <c r="DJ577" s="1293"/>
      <c r="DK577" s="1293"/>
      <c r="DL577" s="1293"/>
    </row>
    <row r="578" spans="1:116" ht="15.75">
      <c r="A578" s="1293"/>
      <c r="B578" s="1331" t="s">
        <v>1831</v>
      </c>
      <c r="C578" s="1703">
        <v>221.27362168930156</v>
      </c>
      <c r="D578" s="1703">
        <v>219.80447069676828</v>
      </c>
      <c r="E578" s="1703">
        <v>226.04648392907771</v>
      </c>
      <c r="F578" s="1703">
        <v>226.65832490578009</v>
      </c>
      <c r="G578" s="2048">
        <v>893.78290122092767</v>
      </c>
      <c r="H578" s="1703">
        <v>218.269892633132</v>
      </c>
      <c r="I578" s="1703">
        <v>210.560338735855</v>
      </c>
      <c r="J578" s="1703">
        <v>209.92772703937302</v>
      </c>
      <c r="K578" s="1703">
        <v>223.40394149631098</v>
      </c>
      <c r="L578" s="2048">
        <v>862.16189990467205</v>
      </c>
      <c r="M578" s="1703">
        <v>183.91463043890201</v>
      </c>
      <c r="N578" s="1703">
        <v>184.798273655781</v>
      </c>
      <c r="O578" s="1703">
        <v>185.272138817496</v>
      </c>
      <c r="P578" s="1703">
        <v>192.73892420365601</v>
      </c>
      <c r="Q578" s="2048"/>
      <c r="R578" s="1703">
        <v>142</v>
      </c>
      <c r="S578" s="1699"/>
      <c r="T578" s="1699"/>
      <c r="U578" s="1699"/>
      <c r="V578" s="2048"/>
      <c r="W578" s="1699"/>
      <c r="X578" s="1699"/>
      <c r="Y578" s="1699"/>
      <c r="Z578" s="1699"/>
      <c r="AA578" s="2048"/>
      <c r="AB578" s="1699"/>
      <c r="AC578" s="1699"/>
      <c r="AD578" s="1699"/>
      <c r="AE578" s="1699"/>
      <c r="AF578" s="1699"/>
      <c r="AG578" s="1699"/>
      <c r="AH578" s="1699"/>
      <c r="AI578" s="1699"/>
      <c r="AJ578" s="2186"/>
      <c r="AK578" s="1699"/>
      <c r="AL578" s="1699"/>
      <c r="AM578" s="1699"/>
      <c r="AN578" s="1699"/>
      <c r="AO578" s="2186"/>
      <c r="AP578" s="1699"/>
      <c r="AQ578" s="1699"/>
      <c r="AR578" s="1699"/>
      <c r="AS578" s="1699"/>
      <c r="AT578" s="2186"/>
      <c r="AU578" s="1699"/>
      <c r="AV578" s="1699"/>
      <c r="AW578" s="1699"/>
      <c r="AX578" s="1699"/>
      <c r="AY578" s="2186"/>
      <c r="AZ578" s="1699"/>
      <c r="BA578" s="1699"/>
      <c r="BB578" s="1699"/>
      <c r="BC578" s="1293"/>
      <c r="BD578" s="2186"/>
      <c r="BE578" s="1699"/>
      <c r="BF578" s="1699"/>
      <c r="BG578" s="1699"/>
      <c r="BH578" s="1293"/>
      <c r="BI578" s="2186"/>
      <c r="BJ578" s="1699"/>
      <c r="BK578" s="1699"/>
      <c r="BL578" s="1699"/>
      <c r="BM578" s="1699"/>
      <c r="BN578" s="2186"/>
      <c r="BO578" s="1293"/>
      <c r="BP578" s="1293" t="s">
        <v>9037</v>
      </c>
      <c r="BQ578" s="1293"/>
      <c r="BR578" s="1293"/>
      <c r="BS578" s="1293"/>
      <c r="BT578" s="1293"/>
      <c r="BU578" s="1293"/>
      <c r="BV578" s="1293"/>
      <c r="BW578" s="1293"/>
      <c r="BX578" s="1293"/>
      <c r="BY578" s="1293"/>
      <c r="BZ578" s="1293"/>
      <c r="CA578" s="1293"/>
      <c r="CB578" s="1293"/>
      <c r="CC578" s="1293"/>
      <c r="CD578" s="1293"/>
      <c r="CE578" s="1293"/>
      <c r="CF578" s="1293"/>
      <c r="CG578" s="1293"/>
      <c r="CH578" s="1293"/>
      <c r="CI578" s="1293"/>
      <c r="CJ578" s="1293"/>
      <c r="CK578" s="1293"/>
      <c r="CL578" s="1293"/>
      <c r="CM578" s="1293"/>
      <c r="CN578" s="1293"/>
      <c r="CO578" s="1293"/>
      <c r="CP578" s="1293"/>
      <c r="CQ578" s="1293"/>
      <c r="CR578" s="1293"/>
      <c r="CS578" s="1293"/>
      <c r="CT578" s="1293"/>
      <c r="CU578" s="1293"/>
      <c r="CV578" s="1293"/>
      <c r="CW578" s="1293"/>
      <c r="CX578" s="1293"/>
      <c r="CY578" s="2032"/>
      <c r="CZ578" s="1293"/>
      <c r="DA578" s="2042"/>
      <c r="DB578" s="2041"/>
      <c r="DC578" s="1293"/>
      <c r="DD578" s="1293"/>
      <c r="DE578" s="1293"/>
      <c r="DF578" s="1293"/>
      <c r="DG578" s="1293"/>
      <c r="DH578" s="1293"/>
      <c r="DI578" s="1293"/>
      <c r="DJ578" s="1293"/>
      <c r="DK578" s="1293"/>
      <c r="DL578" s="1293"/>
    </row>
    <row r="579" spans="1:116" ht="15.75">
      <c r="A579" s="1293"/>
      <c r="B579" s="1293" t="s">
        <v>3098</v>
      </c>
      <c r="C579" s="1699">
        <f t="shared" ref="C579:P579" si="541">C576+C577+C578</f>
        <v>1153.6222903155794</v>
      </c>
      <c r="D579" s="1699">
        <f t="shared" si="541"/>
        <v>1176.609757757303</v>
      </c>
      <c r="E579" s="1699">
        <f t="shared" si="541"/>
        <v>1199.2928031847507</v>
      </c>
      <c r="F579" s="1699">
        <f t="shared" si="541"/>
        <v>1207.4728639803857</v>
      </c>
      <c r="G579" s="2039">
        <f t="shared" si="541"/>
        <v>4743.0006005887744</v>
      </c>
      <c r="H579" s="1699">
        <f t="shared" si="541"/>
        <v>1120.2342070843711</v>
      </c>
      <c r="I579" s="1699">
        <f t="shared" si="541"/>
        <v>1099.817832598819</v>
      </c>
      <c r="J579" s="1699">
        <f t="shared" si="541"/>
        <v>1075.489285556605</v>
      </c>
      <c r="K579" s="1699">
        <f t="shared" si="541"/>
        <v>1091.994532247428</v>
      </c>
      <c r="L579" s="2039">
        <f t="shared" si="541"/>
        <v>4387.5358574872225</v>
      </c>
      <c r="M579" s="1699">
        <f t="shared" si="541"/>
        <v>1003.6599462885541</v>
      </c>
      <c r="N579" s="1699">
        <f t="shared" si="541"/>
        <v>1003.390115426427</v>
      </c>
      <c r="O579" s="1699">
        <f t="shared" si="541"/>
        <v>997.93297151054003</v>
      </c>
      <c r="P579" s="1699">
        <f t="shared" si="541"/>
        <v>1007.1573332744859</v>
      </c>
      <c r="Q579" s="2039"/>
      <c r="R579" s="1699">
        <f>R576+R577+R578</f>
        <v>939</v>
      </c>
      <c r="S579" s="1699"/>
      <c r="T579" s="1699"/>
      <c r="U579" s="1699"/>
      <c r="V579" s="2039"/>
      <c r="W579" s="1699"/>
      <c r="X579" s="1699"/>
      <c r="Y579" s="1699"/>
      <c r="Z579" s="1699"/>
      <c r="AA579" s="2039"/>
      <c r="AB579" s="1699"/>
      <c r="AC579" s="1699"/>
      <c r="AD579" s="1699"/>
      <c r="AE579" s="1699"/>
      <c r="AF579" s="1699"/>
      <c r="AG579" s="1699"/>
      <c r="AH579" s="1699"/>
      <c r="AI579" s="1699"/>
      <c r="AJ579" s="2186"/>
      <c r="AK579" s="1699"/>
      <c r="AL579" s="1699"/>
      <c r="AM579" s="1699"/>
      <c r="AN579" s="1699"/>
      <c r="AO579" s="2186"/>
      <c r="AP579" s="1699"/>
      <c r="AQ579" s="1699"/>
      <c r="AR579" s="1699"/>
      <c r="AS579" s="1699"/>
      <c r="AT579" s="2186"/>
      <c r="AU579" s="1699"/>
      <c r="AV579" s="1699"/>
      <c r="AW579" s="1699"/>
      <c r="AX579" s="1699"/>
      <c r="AY579" s="2186"/>
      <c r="AZ579" s="1699"/>
      <c r="BA579" s="1699"/>
      <c r="BB579" s="1699"/>
      <c r="BC579" s="1293"/>
      <c r="BD579" s="2186"/>
      <c r="BE579" s="1699"/>
      <c r="BF579" s="1699"/>
      <c r="BG579" s="1699"/>
      <c r="BH579" s="1293"/>
      <c r="BI579" s="2186"/>
      <c r="BJ579" s="1699"/>
      <c r="BK579" s="1699"/>
      <c r="BL579" s="1699"/>
      <c r="BM579" s="1699"/>
      <c r="BN579" s="2186"/>
      <c r="BO579" s="1293"/>
      <c r="BP579" s="1293"/>
      <c r="BQ579" s="1293"/>
      <c r="BR579" s="1293"/>
      <c r="BS579" s="1293"/>
      <c r="BT579" s="1293"/>
      <c r="BU579" s="1293"/>
      <c r="BV579" s="1293"/>
      <c r="BW579" s="1293"/>
      <c r="BX579" s="1293"/>
      <c r="BY579" s="1293"/>
      <c r="BZ579" s="1293"/>
      <c r="CA579" s="1293"/>
      <c r="CB579" s="1293"/>
      <c r="CC579" s="1293"/>
      <c r="CD579" s="1293"/>
      <c r="CE579" s="1293"/>
      <c r="CF579" s="1293"/>
      <c r="CG579" s="1293"/>
      <c r="CH579" s="1293"/>
      <c r="CI579" s="1293"/>
      <c r="CJ579" s="1293"/>
      <c r="CK579" s="1293"/>
      <c r="CL579" s="1293"/>
      <c r="CM579" s="1293"/>
      <c r="CN579" s="1293"/>
      <c r="CO579" s="1293"/>
      <c r="CP579" s="1293"/>
      <c r="CQ579" s="1293"/>
      <c r="CR579" s="1293"/>
      <c r="CS579" s="1293"/>
      <c r="CT579" s="1293"/>
      <c r="CU579" s="1293"/>
      <c r="CV579" s="1293"/>
      <c r="CW579" s="1293"/>
      <c r="CX579" s="1293"/>
      <c r="CY579" s="2032"/>
      <c r="CZ579" s="1293"/>
      <c r="DA579" s="2042"/>
      <c r="DB579" s="2041"/>
      <c r="DC579" s="1293"/>
      <c r="DD579" s="1293"/>
      <c r="DE579" s="1293"/>
      <c r="DF579" s="1293"/>
      <c r="DG579" s="1293"/>
      <c r="DH579" s="1293"/>
      <c r="DI579" s="1293"/>
      <c r="DJ579" s="1293"/>
      <c r="DK579" s="1293"/>
      <c r="DL579" s="1293"/>
    </row>
    <row r="580" spans="1:116" ht="15.75">
      <c r="A580" s="1293"/>
      <c r="B580" s="1293" t="s">
        <v>4532</v>
      </c>
      <c r="C580" s="1328">
        <f t="shared" ref="C580:P580" si="542">C579/C71</f>
        <v>0.87227555382471056</v>
      </c>
      <c r="D580" s="1328">
        <f t="shared" si="542"/>
        <v>0.87238920229151506</v>
      </c>
      <c r="E580" s="1328">
        <f t="shared" si="542"/>
        <v>0.77279409491435935</v>
      </c>
      <c r="F580" s="1328">
        <f t="shared" si="542"/>
        <v>0.71691324276046109</v>
      </c>
      <c r="G580" s="2089">
        <f t="shared" si="542"/>
        <v>0.8028883051002228</v>
      </c>
      <c r="H580" s="1328">
        <f t="shared" si="542"/>
        <v>0.71255597911589696</v>
      </c>
      <c r="I580" s="1328">
        <f t="shared" si="542"/>
        <v>0.69992036021008641</v>
      </c>
      <c r="J580" s="1328">
        <f t="shared" si="542"/>
        <v>0.70721453918517119</v>
      </c>
      <c r="K580" s="1328">
        <f t="shared" si="542"/>
        <v>0.7067013696650144</v>
      </c>
      <c r="L580" s="2089">
        <f t="shared" si="542"/>
        <v>0.70659335867477358</v>
      </c>
      <c r="M580" s="1328">
        <f t="shared" si="542"/>
        <v>0.69919300441439769</v>
      </c>
      <c r="N580" s="1328">
        <f t="shared" si="542"/>
        <v>0.68288108850718088</v>
      </c>
      <c r="O580" s="1328">
        <f t="shared" si="542"/>
        <v>0.68085490201070187</v>
      </c>
      <c r="P580" s="1328">
        <f t="shared" si="542"/>
        <v>0.67867744829817112</v>
      </c>
      <c r="Q580" s="2089"/>
      <c r="R580" s="1328">
        <f>R579/R71</f>
        <v>0.66080225193525688</v>
      </c>
      <c r="S580" s="1328"/>
      <c r="T580" s="1328"/>
      <c r="U580" s="1328"/>
      <c r="V580" s="2089"/>
      <c r="W580" s="1328"/>
      <c r="X580" s="1328"/>
      <c r="Y580" s="1328"/>
      <c r="Z580" s="1328"/>
      <c r="AA580" s="2089"/>
      <c r="AB580" s="1328"/>
      <c r="AC580" s="1328"/>
      <c r="AD580" s="1328"/>
      <c r="AE580" s="1328"/>
      <c r="AF580" s="1328"/>
      <c r="AG580" s="1328"/>
      <c r="AH580" s="1328"/>
      <c r="AI580" s="1328"/>
      <c r="AJ580" s="2186"/>
      <c r="AK580" s="1328"/>
      <c r="AL580" s="1328"/>
      <c r="AM580" s="1328"/>
      <c r="AN580" s="1328"/>
      <c r="AO580" s="2186"/>
      <c r="AP580" s="1328"/>
      <c r="AQ580" s="1328"/>
      <c r="AR580" s="1328"/>
      <c r="AS580" s="1328"/>
      <c r="AT580" s="2186"/>
      <c r="AU580" s="1328"/>
      <c r="AV580" s="1328"/>
      <c r="AW580" s="1328"/>
      <c r="AX580" s="1328"/>
      <c r="AY580" s="2186"/>
      <c r="AZ580" s="1328"/>
      <c r="BA580" s="1328"/>
      <c r="BB580" s="1328"/>
      <c r="BC580" s="1293"/>
      <c r="BD580" s="2186"/>
      <c r="BE580" s="1328"/>
      <c r="BF580" s="1328"/>
      <c r="BG580" s="1328"/>
      <c r="BH580" s="1293"/>
      <c r="BI580" s="2186"/>
      <c r="BJ580" s="1328"/>
      <c r="BK580" s="1328"/>
      <c r="BL580" s="1328"/>
      <c r="BM580" s="1328"/>
      <c r="BN580" s="2186"/>
      <c r="BO580" s="1293"/>
      <c r="BP580" s="1293"/>
      <c r="BQ580" s="1293"/>
      <c r="BR580" s="1293"/>
      <c r="BS580" s="1293"/>
      <c r="BT580" s="1293"/>
      <c r="BU580" s="1293"/>
      <c r="BV580" s="1293"/>
      <c r="BW580" s="1293"/>
      <c r="BX580" s="1293"/>
      <c r="BY580" s="1293"/>
      <c r="BZ580" s="1293"/>
      <c r="CA580" s="1293"/>
      <c r="CB580" s="1293"/>
      <c r="CC580" s="1293"/>
      <c r="CD580" s="1293"/>
      <c r="CE580" s="1293"/>
      <c r="CF580" s="1293"/>
      <c r="CG580" s="1293"/>
      <c r="CH580" s="1293"/>
      <c r="CI580" s="1293"/>
      <c r="CJ580" s="1293"/>
      <c r="CK580" s="1293"/>
      <c r="CL580" s="1293"/>
      <c r="CM580" s="1293"/>
      <c r="CN580" s="1293"/>
      <c r="CO580" s="1293"/>
      <c r="CP580" s="1293"/>
      <c r="CQ580" s="1293"/>
      <c r="CR580" s="1293"/>
      <c r="CS580" s="1293"/>
      <c r="CT580" s="1293"/>
      <c r="CU580" s="1293"/>
      <c r="CV580" s="1293"/>
      <c r="CW580" s="1293"/>
      <c r="CX580" s="1293"/>
      <c r="CY580" s="2032"/>
      <c r="CZ580" s="1293"/>
      <c r="DA580" s="2100"/>
      <c r="DB580" s="2101"/>
      <c r="DC580" s="1293"/>
      <c r="DD580" s="1293"/>
      <c r="DE580" s="1293"/>
      <c r="DF580" s="1293"/>
      <c r="DG580" s="1293"/>
      <c r="DH580" s="1293"/>
      <c r="DI580" s="1293"/>
      <c r="DJ580" s="1293"/>
      <c r="DK580" s="1293"/>
      <c r="DL580" s="1293"/>
    </row>
    <row r="581" spans="1:116" ht="15.75">
      <c r="A581" s="1293"/>
      <c r="B581" s="1293"/>
      <c r="C581" s="1293"/>
      <c r="D581" s="1293"/>
      <c r="E581" s="1293"/>
      <c r="F581" s="1293"/>
      <c r="G581" s="2080"/>
      <c r="H581" s="1293"/>
      <c r="I581" s="1293"/>
      <c r="J581" s="1293"/>
      <c r="K581" s="1293"/>
      <c r="L581" s="2080"/>
      <c r="M581" s="1293"/>
      <c r="N581" s="1293"/>
      <c r="O581" s="1293"/>
      <c r="P581" s="1293"/>
      <c r="Q581" s="2080"/>
      <c r="R581" s="1293"/>
      <c r="S581" s="1293"/>
      <c r="T581" s="1293"/>
      <c r="U581" s="1293"/>
      <c r="V581" s="2080"/>
      <c r="W581" s="1293"/>
      <c r="X581" s="1293"/>
      <c r="Y581" s="1293"/>
      <c r="Z581" s="1293"/>
      <c r="AA581" s="2080"/>
      <c r="AB581" s="1293"/>
      <c r="AC581" s="1293"/>
      <c r="AD581" s="1293"/>
      <c r="AE581" s="1293"/>
      <c r="AF581" s="1293"/>
      <c r="AG581" s="1293"/>
      <c r="AH581" s="1293"/>
      <c r="AI581" s="1293"/>
      <c r="AJ581" s="2186"/>
      <c r="AK581" s="1293"/>
      <c r="AL581" s="1293"/>
      <c r="AM581" s="1293"/>
      <c r="AN581" s="1293"/>
      <c r="AO581" s="2186"/>
      <c r="AP581" s="1293"/>
      <c r="AQ581" s="1293"/>
      <c r="AR581" s="1293"/>
      <c r="AS581" s="1293"/>
      <c r="AT581" s="2186"/>
      <c r="AU581" s="1293"/>
      <c r="AV581" s="1293"/>
      <c r="AW581" s="1293"/>
      <c r="AX581" s="1293"/>
      <c r="AY581" s="2186"/>
      <c r="AZ581" s="1293"/>
      <c r="BA581" s="1293"/>
      <c r="BB581" s="1293"/>
      <c r="BC581" s="1293"/>
      <c r="BD581" s="2186"/>
      <c r="BE581" s="1293"/>
      <c r="BF581" s="1293"/>
      <c r="BG581" s="1293"/>
      <c r="BH581" s="1293"/>
      <c r="BI581" s="2186"/>
      <c r="BJ581" s="1293"/>
      <c r="BK581" s="1293"/>
      <c r="BL581" s="1293"/>
      <c r="BM581" s="1293"/>
      <c r="BN581" s="2186"/>
      <c r="BO581" s="1293"/>
      <c r="BP581" s="1293"/>
      <c r="BQ581" s="1293"/>
      <c r="BR581" s="1293"/>
      <c r="BS581" s="1293"/>
      <c r="BT581" s="1293"/>
      <c r="BU581" s="1293"/>
      <c r="BV581" s="1293"/>
      <c r="BW581" s="1293"/>
      <c r="BX581" s="1293"/>
      <c r="BY581" s="1293"/>
      <c r="BZ581" s="1293"/>
      <c r="CA581" s="1293"/>
      <c r="CB581" s="1293"/>
      <c r="CC581" s="1293"/>
      <c r="CD581" s="1293"/>
      <c r="CE581" s="1293"/>
      <c r="CF581" s="1293"/>
      <c r="CG581" s="1293"/>
      <c r="CH581" s="1293"/>
      <c r="CI581" s="1293"/>
      <c r="CJ581" s="1293"/>
      <c r="CK581" s="1293"/>
      <c r="CL581" s="1293"/>
      <c r="CM581" s="1293"/>
      <c r="CN581" s="1293"/>
      <c r="CO581" s="1293"/>
      <c r="CP581" s="1293"/>
      <c r="CQ581" s="1293"/>
      <c r="CR581" s="1293"/>
      <c r="CS581" s="1293"/>
      <c r="CT581" s="1293"/>
      <c r="CU581" s="1293"/>
      <c r="CV581" s="1293"/>
      <c r="CW581" s="1293"/>
      <c r="CX581" s="1293"/>
      <c r="CY581" s="2032"/>
      <c r="CZ581" s="1293"/>
      <c r="DA581" s="2031"/>
      <c r="DB581" s="2032"/>
      <c r="DC581" s="1293"/>
      <c r="DD581" s="1293"/>
      <c r="DE581" s="1293"/>
      <c r="DF581" s="1293"/>
      <c r="DG581" s="1293"/>
      <c r="DH581" s="1293"/>
      <c r="DI581" s="1293"/>
      <c r="DJ581" s="1293"/>
      <c r="DK581" s="1293"/>
      <c r="DL581" s="1293"/>
    </row>
    <row r="582" spans="1:116" ht="15.75">
      <c r="A582" s="1293"/>
      <c r="B582" s="1979" t="s">
        <v>4530</v>
      </c>
      <c r="C582" s="1699">
        <f t="shared" ref="C582:P582" si="543">C617+C661+C762</f>
        <v>124.96884434105583</v>
      </c>
      <c r="D582" s="1699">
        <f t="shared" si="543"/>
        <v>128.90899346943607</v>
      </c>
      <c r="E582" s="1699">
        <f t="shared" si="543"/>
        <v>302.67225117815701</v>
      </c>
      <c r="F582" s="1699">
        <f t="shared" si="543"/>
        <v>413.61361391008001</v>
      </c>
      <c r="G582" s="2039">
        <f t="shared" si="543"/>
        <v>970.4041750966195</v>
      </c>
      <c r="H582" s="1699">
        <f t="shared" si="543"/>
        <v>396.94935280222626</v>
      </c>
      <c r="I582" s="1699">
        <f t="shared" si="543"/>
        <v>416.06372269189336</v>
      </c>
      <c r="J582" s="1699">
        <f t="shared" si="543"/>
        <v>388.04991604617425</v>
      </c>
      <c r="K582" s="1699">
        <f t="shared" si="543"/>
        <v>391.81235600228615</v>
      </c>
      <c r="L582" s="2039">
        <f t="shared" si="543"/>
        <v>1592.875347542584</v>
      </c>
      <c r="M582" s="1699">
        <f t="shared" si="543"/>
        <v>375.8903364886425</v>
      </c>
      <c r="N582" s="1699">
        <f t="shared" si="543"/>
        <v>402.78102288291956</v>
      </c>
      <c r="O582" s="1699">
        <f t="shared" si="543"/>
        <v>402.63530601346253</v>
      </c>
      <c r="P582" s="1699">
        <f t="shared" si="543"/>
        <v>414.01379885517406</v>
      </c>
      <c r="Q582" s="2039"/>
      <c r="R582" s="1699">
        <f>R617+R661+R762</f>
        <v>419</v>
      </c>
      <c r="S582" s="1699"/>
      <c r="T582" s="1699"/>
      <c r="U582" s="1699"/>
      <c r="V582" s="2039"/>
      <c r="W582" s="1699"/>
      <c r="X582" s="1699"/>
      <c r="Y582" s="1699"/>
      <c r="Z582" s="1699"/>
      <c r="AA582" s="2039"/>
      <c r="AB582" s="1699"/>
      <c r="AC582" s="1699"/>
      <c r="AD582" s="1699"/>
      <c r="AE582" s="1699"/>
      <c r="AF582" s="1699"/>
      <c r="AG582" s="1699"/>
      <c r="AH582" s="1699"/>
      <c r="AI582" s="1699"/>
      <c r="AJ582" s="2186"/>
      <c r="AK582" s="1699"/>
      <c r="AL582" s="1699"/>
      <c r="AM582" s="1699"/>
      <c r="AN582" s="1699"/>
      <c r="AO582" s="2186"/>
      <c r="AP582" s="1699"/>
      <c r="AQ582" s="1699"/>
      <c r="AR582" s="1699"/>
      <c r="AS582" s="1699"/>
      <c r="AT582" s="2186"/>
      <c r="AU582" s="1699"/>
      <c r="AV582" s="1699"/>
      <c r="AW582" s="1699"/>
      <c r="AX582" s="1699"/>
      <c r="AY582" s="2186"/>
      <c r="AZ582" s="1699"/>
      <c r="BA582" s="1699"/>
      <c r="BB582" s="1699"/>
      <c r="BC582" s="1293"/>
      <c r="BD582" s="2186"/>
      <c r="BE582" s="1699"/>
      <c r="BF582" s="1699"/>
      <c r="BG582" s="1699"/>
      <c r="BH582" s="1293"/>
      <c r="BI582" s="2186"/>
      <c r="BJ582" s="1699"/>
      <c r="BK582" s="1699"/>
      <c r="BL582" s="1699"/>
      <c r="BM582" s="1699"/>
      <c r="BN582" s="2186"/>
      <c r="BO582" s="1293"/>
      <c r="BP582" s="1293"/>
      <c r="BQ582" s="1293"/>
      <c r="BR582" s="1293"/>
      <c r="BS582" s="1293"/>
      <c r="BT582" s="1293"/>
      <c r="BU582" s="1293"/>
      <c r="BV582" s="1293"/>
      <c r="BW582" s="1293"/>
      <c r="BX582" s="1293"/>
      <c r="BY582" s="1293"/>
      <c r="BZ582" s="1293"/>
      <c r="CA582" s="1293"/>
      <c r="CB582" s="1293"/>
      <c r="CC582" s="1293"/>
      <c r="CD582" s="1293"/>
      <c r="CE582" s="1293"/>
      <c r="CF582" s="1293"/>
      <c r="CG582" s="1293"/>
      <c r="CH582" s="1293"/>
      <c r="CI582" s="1293"/>
      <c r="CJ582" s="1293"/>
      <c r="CK582" s="1293"/>
      <c r="CL582" s="1293"/>
      <c r="CM582" s="1293"/>
      <c r="CN582" s="1293"/>
      <c r="CO582" s="1293"/>
      <c r="CP582" s="1293"/>
      <c r="CQ582" s="1293"/>
      <c r="CR582" s="1293"/>
      <c r="CS582" s="1293"/>
      <c r="CT582" s="1293"/>
      <c r="CU582" s="1293"/>
      <c r="CV582" s="1293"/>
      <c r="CW582" s="1293"/>
      <c r="CX582" s="1293"/>
      <c r="CY582" s="2032"/>
      <c r="CZ582" s="1293"/>
      <c r="DA582" s="2042"/>
      <c r="DB582" s="2041"/>
      <c r="DC582" s="1293"/>
      <c r="DD582" s="1293"/>
      <c r="DE582" s="1293"/>
      <c r="DF582" s="1293"/>
      <c r="DG582" s="1293"/>
      <c r="DH582" s="1293"/>
      <c r="DI582" s="1293"/>
      <c r="DJ582" s="1293"/>
      <c r="DK582" s="1293"/>
      <c r="DL582" s="1293"/>
    </row>
    <row r="583" spans="1:116" ht="15.75">
      <c r="A583" s="1293"/>
      <c r="B583" s="1293" t="s">
        <v>4532</v>
      </c>
      <c r="C583" s="1328">
        <f t="shared" ref="C583:P583" si="544">C582/C71</f>
        <v>9.4491298255522618E-2</v>
      </c>
      <c r="D583" s="1328">
        <f t="shared" si="544"/>
        <v>9.5578685489875151E-2</v>
      </c>
      <c r="E583" s="1328">
        <f t="shared" si="544"/>
        <v>0.19503438008114415</v>
      </c>
      <c r="F583" s="1328">
        <f t="shared" si="544"/>
        <v>0.24557494088990606</v>
      </c>
      <c r="G583" s="2089">
        <f t="shared" si="544"/>
        <v>0.16426862001847259</v>
      </c>
      <c r="H583" s="1328">
        <f t="shared" si="544"/>
        <v>0.25249062468961819</v>
      </c>
      <c r="I583" s="1328">
        <f t="shared" si="544"/>
        <v>0.26478155020340066</v>
      </c>
      <c r="J583" s="1328">
        <f t="shared" si="544"/>
        <v>0.25517180528247624</v>
      </c>
      <c r="K583" s="1328">
        <f t="shared" si="544"/>
        <v>0.25356750465464067</v>
      </c>
      <c r="L583" s="2089">
        <f t="shared" si="544"/>
        <v>0.2565255711471161</v>
      </c>
      <c r="M583" s="1328">
        <f t="shared" si="544"/>
        <v>0.26186149469421149</v>
      </c>
      <c r="N583" s="1328">
        <f t="shared" si="544"/>
        <v>0.27412223731088953</v>
      </c>
      <c r="O583" s="1328">
        <f t="shared" si="544"/>
        <v>0.27470404290469885</v>
      </c>
      <c r="P583" s="1328">
        <f t="shared" si="544"/>
        <v>0.2789850396598208</v>
      </c>
      <c r="Q583" s="2089"/>
      <c r="R583" s="1328">
        <f>R582/R71</f>
        <v>0.29486277269528499</v>
      </c>
      <c r="S583" s="1328"/>
      <c r="T583" s="1328"/>
      <c r="U583" s="1328"/>
      <c r="V583" s="2089"/>
      <c r="W583" s="1328"/>
      <c r="X583" s="1328"/>
      <c r="Y583" s="1328"/>
      <c r="Z583" s="1328"/>
      <c r="AA583" s="2089"/>
      <c r="AB583" s="1328"/>
      <c r="AC583" s="1328"/>
      <c r="AD583" s="1328"/>
      <c r="AE583" s="1328"/>
      <c r="AF583" s="1328"/>
      <c r="AG583" s="1328"/>
      <c r="AH583" s="1328"/>
      <c r="AI583" s="1328"/>
      <c r="AJ583" s="2186"/>
      <c r="AK583" s="1328"/>
      <c r="AL583" s="1328"/>
      <c r="AM583" s="1328"/>
      <c r="AN583" s="1328"/>
      <c r="AO583" s="2186"/>
      <c r="AP583" s="1328"/>
      <c r="AQ583" s="1328"/>
      <c r="AR583" s="1328"/>
      <c r="AS583" s="1328"/>
      <c r="AT583" s="2186"/>
      <c r="AU583" s="1328"/>
      <c r="AV583" s="1328"/>
      <c r="AW583" s="1328"/>
      <c r="AX583" s="1328"/>
      <c r="AY583" s="2186"/>
      <c r="AZ583" s="1328"/>
      <c r="BA583" s="1328"/>
      <c r="BB583" s="1328"/>
      <c r="BC583" s="1293"/>
      <c r="BD583" s="2186"/>
      <c r="BE583" s="1328"/>
      <c r="BF583" s="1328"/>
      <c r="BG583" s="1328"/>
      <c r="BH583" s="1293"/>
      <c r="BI583" s="2186"/>
      <c r="BJ583" s="1328"/>
      <c r="BK583" s="1328"/>
      <c r="BL583" s="1328"/>
      <c r="BM583" s="1328"/>
      <c r="BN583" s="2186"/>
      <c r="BO583" s="1293"/>
      <c r="BP583" s="1293"/>
      <c r="BQ583" s="1293"/>
      <c r="BR583" s="1293"/>
      <c r="BS583" s="1293"/>
      <c r="BT583" s="1293"/>
      <c r="BU583" s="1293"/>
      <c r="BV583" s="1293"/>
      <c r="BW583" s="1293"/>
      <c r="BX583" s="1293"/>
      <c r="BY583" s="1293"/>
      <c r="BZ583" s="1293"/>
      <c r="CA583" s="1293"/>
      <c r="CB583" s="1293"/>
      <c r="CC583" s="1293"/>
      <c r="CD583" s="1293"/>
      <c r="CE583" s="1293"/>
      <c r="CF583" s="1293"/>
      <c r="CG583" s="1293"/>
      <c r="CH583" s="1293"/>
      <c r="CI583" s="1293"/>
      <c r="CJ583" s="1293"/>
      <c r="CK583" s="1293"/>
      <c r="CL583" s="1293"/>
      <c r="CM583" s="1293"/>
      <c r="CN583" s="1293"/>
      <c r="CO583" s="1293"/>
      <c r="CP583" s="1293"/>
      <c r="CQ583" s="1293"/>
      <c r="CR583" s="1293"/>
      <c r="CS583" s="1293"/>
      <c r="CT583" s="1293"/>
      <c r="CU583" s="1293"/>
      <c r="CV583" s="1293"/>
      <c r="CW583" s="1293"/>
      <c r="CX583" s="1293"/>
      <c r="CY583" s="2032"/>
      <c r="CZ583" s="1293"/>
      <c r="DA583" s="2100"/>
      <c r="DB583" s="2101"/>
      <c r="DC583" s="1293"/>
      <c r="DD583" s="1293"/>
      <c r="DE583" s="1293"/>
      <c r="DF583" s="1293"/>
      <c r="DG583" s="1293"/>
      <c r="DH583" s="1293"/>
      <c r="DI583" s="1293"/>
      <c r="DJ583" s="1293"/>
      <c r="DK583" s="1293"/>
      <c r="DL583" s="1293"/>
    </row>
    <row r="584" spans="1:116" ht="15.75">
      <c r="A584" s="1293"/>
      <c r="B584" s="1293"/>
      <c r="C584" s="1293"/>
      <c r="D584" s="1293"/>
      <c r="E584" s="1293"/>
      <c r="F584" s="1293"/>
      <c r="G584" s="2080"/>
      <c r="H584" s="1293"/>
      <c r="I584" s="1293"/>
      <c r="J584" s="1293"/>
      <c r="K584" s="1293"/>
      <c r="L584" s="2080"/>
      <c r="M584" s="1293"/>
      <c r="N584" s="1293"/>
      <c r="O584" s="1293"/>
      <c r="P584" s="1293"/>
      <c r="Q584" s="2080"/>
      <c r="R584" s="1293"/>
      <c r="S584" s="1293"/>
      <c r="T584" s="1293"/>
      <c r="U584" s="1293"/>
      <c r="V584" s="2080"/>
      <c r="W584" s="1293"/>
      <c r="X584" s="1293"/>
      <c r="Y584" s="1293"/>
      <c r="Z584" s="1293"/>
      <c r="AA584" s="2080"/>
      <c r="AB584" s="1293"/>
      <c r="AC584" s="1293"/>
      <c r="AD584" s="1293"/>
      <c r="AE584" s="1293"/>
      <c r="AF584" s="1293"/>
      <c r="AG584" s="1293"/>
      <c r="AH584" s="1293"/>
      <c r="AI584" s="1293"/>
      <c r="AJ584" s="2186"/>
      <c r="AK584" s="1293"/>
      <c r="AL584" s="1293"/>
      <c r="AM584" s="1293"/>
      <c r="AN584" s="1293"/>
      <c r="AO584" s="2186"/>
      <c r="AP584" s="1293"/>
      <c r="AQ584" s="1293"/>
      <c r="AR584" s="1293"/>
      <c r="AS584" s="1293"/>
      <c r="AT584" s="2186"/>
      <c r="AU584" s="1293"/>
      <c r="AV584" s="1293"/>
      <c r="AW584" s="1293"/>
      <c r="AX584" s="1293"/>
      <c r="AY584" s="2186"/>
      <c r="AZ584" s="1293"/>
      <c r="BA584" s="1293"/>
      <c r="BB584" s="1293"/>
      <c r="BC584" s="1293"/>
      <c r="BD584" s="2186"/>
      <c r="BE584" s="1293"/>
      <c r="BF584" s="1293"/>
      <c r="BG584" s="1293"/>
      <c r="BH584" s="1293"/>
      <c r="BI584" s="2186"/>
      <c r="BJ584" s="1293"/>
      <c r="BK584" s="1293"/>
      <c r="BL584" s="1293"/>
      <c r="BM584" s="1293"/>
      <c r="BN584" s="2186"/>
      <c r="BO584" s="1293"/>
      <c r="BP584" s="1293"/>
      <c r="BQ584" s="1293"/>
      <c r="BR584" s="1293"/>
      <c r="BS584" s="1293"/>
      <c r="BT584" s="1293"/>
      <c r="BU584" s="1293"/>
      <c r="BV584" s="1293"/>
      <c r="BW584" s="1293"/>
      <c r="BX584" s="1293"/>
      <c r="BY584" s="1293"/>
      <c r="BZ584" s="1293"/>
      <c r="CA584" s="1293"/>
      <c r="CB584" s="1293"/>
      <c r="CC584" s="1293"/>
      <c r="CD584" s="1293"/>
      <c r="CE584" s="1293"/>
      <c r="CF584" s="1293"/>
      <c r="CG584" s="1293"/>
      <c r="CH584" s="1293"/>
      <c r="CI584" s="1293"/>
      <c r="CJ584" s="1293"/>
      <c r="CK584" s="1293"/>
      <c r="CL584" s="1293"/>
      <c r="CM584" s="1293"/>
      <c r="CN584" s="1293"/>
      <c r="CO584" s="1293"/>
      <c r="CP584" s="1293"/>
      <c r="CQ584" s="1293"/>
      <c r="CR584" s="1293"/>
      <c r="CS584" s="1293"/>
      <c r="CT584" s="1293"/>
      <c r="CU584" s="1293"/>
      <c r="CV584" s="1293"/>
      <c r="CW584" s="1293"/>
      <c r="CX584" s="1293"/>
      <c r="CY584" s="2032"/>
      <c r="CZ584" s="1293"/>
      <c r="DA584" s="2031"/>
      <c r="DB584" s="2032"/>
      <c r="DC584" s="1293"/>
      <c r="DD584" s="1293"/>
      <c r="DE584" s="1293"/>
      <c r="DF584" s="1293"/>
      <c r="DG584" s="1293"/>
      <c r="DH584" s="1293"/>
      <c r="DI584" s="1293"/>
      <c r="DJ584" s="1293"/>
      <c r="DK584" s="1293"/>
      <c r="DL584" s="1293"/>
    </row>
    <row r="585" spans="1:116" ht="15.75">
      <c r="A585" s="1293"/>
      <c r="B585" s="1334" t="s">
        <v>4805</v>
      </c>
      <c r="C585" s="1293"/>
      <c r="D585" s="1293"/>
      <c r="E585" s="1293"/>
      <c r="F585" s="1293"/>
      <c r="G585" s="2080"/>
      <c r="H585" s="1293"/>
      <c r="I585" s="1293"/>
      <c r="J585" s="1293"/>
      <c r="K585" s="1293"/>
      <c r="L585" s="2080"/>
      <c r="M585" s="1293"/>
      <c r="N585" s="1293"/>
      <c r="O585" s="1293"/>
      <c r="P585" s="1293"/>
      <c r="Q585" s="2080"/>
      <c r="R585" s="1293"/>
      <c r="S585" s="1293"/>
      <c r="T585" s="1293"/>
      <c r="U585" s="1293"/>
      <c r="V585" s="2080"/>
      <c r="W585" s="1293"/>
      <c r="X585" s="1293"/>
      <c r="Y585" s="1724"/>
      <c r="Z585" s="1724"/>
      <c r="AA585" s="2080"/>
      <c r="AB585" s="1293"/>
      <c r="AC585" s="1293"/>
      <c r="AD585" s="1293"/>
      <c r="AE585" s="1293"/>
      <c r="AF585" s="1293"/>
      <c r="AG585" s="1293"/>
      <c r="AH585" s="1293"/>
      <c r="AI585" s="1293"/>
      <c r="AJ585" s="2186"/>
      <c r="AK585" s="1293"/>
      <c r="AL585" s="1293"/>
      <c r="AM585" s="1293"/>
      <c r="AN585" s="1293"/>
      <c r="AO585" s="2186"/>
      <c r="AP585" s="1293"/>
      <c r="AQ585" s="1293"/>
      <c r="AR585" s="1293"/>
      <c r="AS585" s="1293"/>
      <c r="AT585" s="2186"/>
      <c r="AU585" s="1293"/>
      <c r="AV585" s="1293"/>
      <c r="AW585" s="1293"/>
      <c r="AX585" s="1293"/>
      <c r="AY585" s="2186"/>
      <c r="AZ585" s="1293"/>
      <c r="BA585" s="1293"/>
      <c r="BB585" s="1293"/>
      <c r="BC585" s="1293"/>
      <c r="BD585" s="2186"/>
      <c r="BE585" s="1293"/>
      <c r="BF585" s="1293"/>
      <c r="BG585" s="1293"/>
      <c r="BH585" s="1293"/>
      <c r="BI585" s="2186"/>
      <c r="BJ585" s="1293"/>
      <c r="BK585" s="1293"/>
      <c r="BL585" s="1293"/>
      <c r="BM585" s="1293"/>
      <c r="BN585" s="2186"/>
      <c r="BO585" s="1293"/>
      <c r="BP585" s="1293"/>
      <c r="BQ585" s="1293"/>
      <c r="BR585" s="1293"/>
      <c r="BS585" s="1293"/>
      <c r="BT585" s="1293"/>
      <c r="BU585" s="1293"/>
      <c r="BV585" s="1293"/>
      <c r="BW585" s="1293"/>
      <c r="BX585" s="1293"/>
      <c r="BY585" s="1293"/>
      <c r="BZ585" s="1293"/>
      <c r="CA585" s="1293"/>
      <c r="CB585" s="1293"/>
      <c r="CC585" s="1293"/>
      <c r="CD585" s="1293"/>
      <c r="CE585" s="1293"/>
      <c r="CF585" s="1293"/>
      <c r="CG585" s="1293"/>
      <c r="CH585" s="1293"/>
      <c r="CI585" s="1293"/>
      <c r="CJ585" s="1293"/>
      <c r="CK585" s="1293"/>
      <c r="CL585" s="1293"/>
      <c r="CM585" s="1293"/>
      <c r="CN585" s="1293"/>
      <c r="CO585" s="1293"/>
      <c r="CP585" s="1293"/>
      <c r="CQ585" s="1293"/>
      <c r="CR585" s="1293"/>
      <c r="CS585" s="1293"/>
      <c r="CT585" s="1293"/>
      <c r="CU585" s="1293"/>
      <c r="CV585" s="1293"/>
      <c r="CW585" s="1293"/>
      <c r="CX585" s="1293"/>
      <c r="CY585" s="2032"/>
      <c r="CZ585" s="1293"/>
      <c r="DA585" s="2031"/>
      <c r="DB585" s="2032"/>
      <c r="DC585" s="1293"/>
      <c r="DD585" s="1293"/>
      <c r="DE585" s="1293"/>
      <c r="DF585" s="1293"/>
      <c r="DG585" s="1293"/>
      <c r="DH585" s="1293"/>
      <c r="DI585" s="1293"/>
      <c r="DJ585" s="1293"/>
      <c r="DK585" s="1293"/>
      <c r="DL585" s="1293"/>
    </row>
    <row r="586" spans="1:116" ht="15.75">
      <c r="A586" s="1293"/>
      <c r="B586" s="1293" t="s">
        <v>5723</v>
      </c>
      <c r="C586" s="1293"/>
      <c r="D586" s="1293"/>
      <c r="E586" s="1293"/>
      <c r="F586" s="1293"/>
      <c r="G586" s="2080"/>
      <c r="H586" s="1293"/>
      <c r="I586" s="1293"/>
      <c r="J586" s="1293"/>
      <c r="K586" s="1293"/>
      <c r="L586" s="2080"/>
      <c r="M586" s="1293"/>
      <c r="N586" s="1293"/>
      <c r="O586" s="1293"/>
      <c r="P586" s="1293"/>
      <c r="Q586" s="2080"/>
      <c r="R586" s="1293"/>
      <c r="S586" s="1293"/>
      <c r="T586" s="1293"/>
      <c r="U586" s="1293"/>
      <c r="V586" s="2080"/>
      <c r="W586" s="1698">
        <v>805.63145403072826</v>
      </c>
      <c r="X586" s="1698">
        <v>805.75905008793256</v>
      </c>
      <c r="Y586" s="1698">
        <v>799.59646656066161</v>
      </c>
      <c r="Z586" s="1698">
        <v>802.64584106528639</v>
      </c>
      <c r="AA586" s="2080"/>
      <c r="AB586" s="1293"/>
      <c r="AC586" s="1698">
        <v>778</v>
      </c>
      <c r="AD586" s="1698"/>
      <c r="AE586" s="1698"/>
      <c r="AF586" s="1698"/>
      <c r="AG586" s="1698"/>
      <c r="AH586" s="1698"/>
      <c r="AI586" s="1698"/>
      <c r="AJ586" s="2186"/>
      <c r="AK586" s="1698"/>
      <c r="AL586" s="1698"/>
      <c r="AM586" s="1698"/>
      <c r="AN586" s="1698"/>
      <c r="AO586" s="2186"/>
      <c r="AP586" s="1698"/>
      <c r="AQ586" s="1698"/>
      <c r="AR586" s="1698"/>
      <c r="AS586" s="1698"/>
      <c r="AT586" s="2186"/>
      <c r="AU586" s="1698"/>
      <c r="AV586" s="1698"/>
      <c r="AW586" s="1698"/>
      <c r="AX586" s="1698"/>
      <c r="AY586" s="2186"/>
      <c r="AZ586" s="1698"/>
      <c r="BA586" s="1698"/>
      <c r="BB586" s="1698"/>
      <c r="BC586" s="1293"/>
      <c r="BD586" s="2186"/>
      <c r="BE586" s="1698"/>
      <c r="BF586" s="1698"/>
      <c r="BG586" s="1698"/>
      <c r="BH586" s="1293"/>
      <c r="BI586" s="2186"/>
      <c r="BJ586" s="1698"/>
      <c r="BK586" s="1698"/>
      <c r="BL586" s="1698"/>
      <c r="BM586" s="1698"/>
      <c r="BN586" s="2186"/>
      <c r="BO586" s="1293"/>
      <c r="BP586" s="1293"/>
      <c r="BQ586" s="1293"/>
      <c r="BR586" s="1293"/>
      <c r="BS586" s="1293"/>
      <c r="BT586" s="1293"/>
      <c r="BU586" s="1293"/>
      <c r="BV586" s="1293"/>
      <c r="BW586" s="1293"/>
      <c r="BX586" s="1293"/>
      <c r="BY586" s="1293"/>
      <c r="BZ586" s="1293"/>
      <c r="CA586" s="1293"/>
      <c r="CB586" s="1293"/>
      <c r="CC586" s="1293"/>
      <c r="CD586" s="1293"/>
      <c r="CE586" s="1293"/>
      <c r="CF586" s="1293"/>
      <c r="CG586" s="1293"/>
      <c r="CH586" s="1293"/>
      <c r="CI586" s="1293"/>
      <c r="CJ586" s="1293"/>
      <c r="CK586" s="1293"/>
      <c r="CL586" s="1293"/>
      <c r="CM586" s="1293"/>
      <c r="CN586" s="1293"/>
      <c r="CO586" s="1293"/>
      <c r="CP586" s="1293"/>
      <c r="CQ586" s="1293"/>
      <c r="CR586" s="1293"/>
      <c r="CS586" s="1293"/>
      <c r="CT586" s="1293"/>
      <c r="CU586" s="1293"/>
      <c r="CV586" s="1293"/>
      <c r="CW586" s="1293"/>
      <c r="CX586" s="1293"/>
      <c r="CY586" s="2032"/>
      <c r="CZ586" s="1293"/>
      <c r="DA586" s="2163"/>
      <c r="DB586" s="2162"/>
      <c r="DC586" s="1293"/>
      <c r="DD586" s="1293"/>
      <c r="DE586" s="1293"/>
      <c r="DF586" s="1293"/>
      <c r="DG586" s="1293"/>
      <c r="DH586" s="1293"/>
      <c r="DI586" s="1293"/>
      <c r="DJ586" s="1293"/>
      <c r="DK586" s="1293"/>
      <c r="DL586" s="1293"/>
    </row>
    <row r="587" spans="1:116" ht="15.75">
      <c r="A587" s="1293"/>
      <c r="B587" s="1293" t="s">
        <v>4803</v>
      </c>
      <c r="C587" s="1293"/>
      <c r="D587" s="1293"/>
      <c r="E587" s="1293"/>
      <c r="F587" s="1293"/>
      <c r="G587" s="2080"/>
      <c r="H587" s="1293">
        <v>836</v>
      </c>
      <c r="I587" s="1293">
        <v>823</v>
      </c>
      <c r="J587" s="1293">
        <v>801</v>
      </c>
      <c r="K587" s="1293">
        <v>804</v>
      </c>
      <c r="L587" s="2080">
        <v>3264</v>
      </c>
      <c r="M587" s="1293">
        <v>756</v>
      </c>
      <c r="N587" s="1293">
        <v>755</v>
      </c>
      <c r="O587" s="1293">
        <v>748</v>
      </c>
      <c r="P587" s="1293">
        <v>750</v>
      </c>
      <c r="Q587" s="2080">
        <v>3010</v>
      </c>
      <c r="R587" s="1293">
        <v>735</v>
      </c>
      <c r="S587" s="1698">
        <v>734.6790613492127</v>
      </c>
      <c r="T587" s="1698">
        <v>747</v>
      </c>
      <c r="U587" s="1698">
        <v>760</v>
      </c>
      <c r="V587" s="2080"/>
      <c r="W587" s="1698">
        <v>736</v>
      </c>
      <c r="X587" s="1698">
        <v>738</v>
      </c>
      <c r="Y587" s="1698">
        <v>730</v>
      </c>
      <c r="Z587" s="1698">
        <v>730</v>
      </c>
      <c r="AA587" s="2080"/>
      <c r="AB587" s="1698"/>
      <c r="AC587" s="1698">
        <v>712</v>
      </c>
      <c r="AD587" s="1698"/>
      <c r="AE587" s="1698"/>
      <c r="AF587" s="1698"/>
      <c r="AG587" s="1698"/>
      <c r="AH587" s="1698"/>
      <c r="AI587" s="1698"/>
      <c r="AJ587" s="2186"/>
      <c r="AK587" s="1698"/>
      <c r="AL587" s="1698"/>
      <c r="AM587" s="1698"/>
      <c r="AN587" s="1698"/>
      <c r="AO587" s="2186"/>
      <c r="AP587" s="1698"/>
      <c r="AQ587" s="1698"/>
      <c r="AR587" s="1698"/>
      <c r="AS587" s="1698"/>
      <c r="AT587" s="2186"/>
      <c r="AU587" s="1698"/>
      <c r="AV587" s="1698"/>
      <c r="AW587" s="1698"/>
      <c r="AX587" s="1698"/>
      <c r="AY587" s="2186"/>
      <c r="AZ587" s="1698"/>
      <c r="BA587" s="1698"/>
      <c r="BB587" s="1698"/>
      <c r="BC587" s="1293"/>
      <c r="BD587" s="2186"/>
      <c r="BE587" s="1698"/>
      <c r="BF587" s="1698"/>
      <c r="BG587" s="1698"/>
      <c r="BH587" s="1293"/>
      <c r="BI587" s="2186"/>
      <c r="BJ587" s="1698"/>
      <c r="BK587" s="1698"/>
      <c r="BL587" s="1698"/>
      <c r="BM587" s="1698"/>
      <c r="BN587" s="2186"/>
      <c r="BO587" s="1293"/>
      <c r="BP587" s="1293"/>
      <c r="BQ587" s="1293"/>
      <c r="BR587" s="1293"/>
      <c r="BS587" s="1293"/>
      <c r="BT587" s="1293"/>
      <c r="BU587" s="1293"/>
      <c r="BV587" s="1293"/>
      <c r="BW587" s="1293"/>
      <c r="BX587" s="1293"/>
      <c r="BY587" s="1293"/>
      <c r="BZ587" s="1293"/>
      <c r="CA587" s="1293"/>
      <c r="CB587" s="1293"/>
      <c r="CC587" s="1293"/>
      <c r="CD587" s="1293"/>
      <c r="CE587" s="1293"/>
      <c r="CF587" s="1293"/>
      <c r="CG587" s="1293"/>
      <c r="CH587" s="1293"/>
      <c r="CI587" s="1293"/>
      <c r="CJ587" s="1293"/>
      <c r="CK587" s="1293"/>
      <c r="CL587" s="1293"/>
      <c r="CM587" s="1293"/>
      <c r="CN587" s="1293"/>
      <c r="CO587" s="1293"/>
      <c r="CP587" s="1293"/>
      <c r="CQ587" s="1293"/>
      <c r="CR587" s="1293"/>
      <c r="CS587" s="1293"/>
      <c r="CT587" s="1293"/>
      <c r="CU587" s="1293"/>
      <c r="CV587" s="1293"/>
      <c r="CW587" s="1293"/>
      <c r="CX587" s="1293"/>
      <c r="CY587" s="2032"/>
      <c r="CZ587" s="1293"/>
      <c r="DA587" s="2163"/>
      <c r="DB587" s="2162"/>
      <c r="DC587" s="1293"/>
      <c r="DD587" s="1293"/>
      <c r="DE587" s="1293"/>
      <c r="DF587" s="1293"/>
      <c r="DG587" s="1293"/>
      <c r="DH587" s="1293"/>
      <c r="DI587" s="1293"/>
      <c r="DJ587" s="1293"/>
      <c r="DK587" s="1293"/>
      <c r="DL587" s="1293"/>
    </row>
    <row r="588" spans="1:116" ht="15.75">
      <c r="A588" s="1293"/>
      <c r="B588" s="1293" t="s">
        <v>4804</v>
      </c>
      <c r="C588" s="1293"/>
      <c r="D588" s="1293"/>
      <c r="E588" s="1293"/>
      <c r="F588" s="1293"/>
      <c r="G588" s="2080"/>
      <c r="H588" s="1293">
        <v>211</v>
      </c>
      <c r="I588" s="1293">
        <v>226</v>
      </c>
      <c r="J588" s="1293">
        <v>237</v>
      </c>
      <c r="K588" s="1293">
        <v>246</v>
      </c>
      <c r="L588" s="2080">
        <v>920</v>
      </c>
      <c r="M588" s="1293">
        <v>250</v>
      </c>
      <c r="N588" s="1293">
        <v>270</v>
      </c>
      <c r="O588" s="1293">
        <v>286</v>
      </c>
      <c r="P588" s="1293">
        <v>295</v>
      </c>
      <c r="Q588" s="2080">
        <v>1101</v>
      </c>
      <c r="R588" s="1293">
        <v>309</v>
      </c>
      <c r="S588" s="1698">
        <v>327.89266715042396</v>
      </c>
      <c r="T588" s="1698">
        <v>344</v>
      </c>
      <c r="U588" s="1698">
        <v>355</v>
      </c>
      <c r="V588" s="2080"/>
      <c r="W588" s="1698">
        <v>353</v>
      </c>
      <c r="X588" s="1698">
        <v>366</v>
      </c>
      <c r="Y588" s="1698">
        <v>367</v>
      </c>
      <c r="Z588" s="1698">
        <v>368</v>
      </c>
      <c r="AA588" s="2080"/>
      <c r="AB588" s="1698"/>
      <c r="AC588" s="1698">
        <v>401</v>
      </c>
      <c r="AD588" s="1698"/>
      <c r="AE588" s="1698"/>
      <c r="AF588" s="1698"/>
      <c r="AG588" s="1698"/>
      <c r="AH588" s="1698"/>
      <c r="AI588" s="1698"/>
      <c r="AJ588" s="2186"/>
      <c r="AK588" s="1698"/>
      <c r="AL588" s="1698"/>
      <c r="AM588" s="1698"/>
      <c r="AN588" s="1698"/>
      <c r="AO588" s="2186"/>
      <c r="AP588" s="1698"/>
      <c r="AQ588" s="1698"/>
      <c r="AR588" s="1698"/>
      <c r="AS588" s="1698"/>
      <c r="AT588" s="2186"/>
      <c r="AU588" s="1698"/>
      <c r="AV588" s="1698"/>
      <c r="AW588" s="1698"/>
      <c r="AX588" s="1698"/>
      <c r="AY588" s="2186"/>
      <c r="AZ588" s="1698"/>
      <c r="BA588" s="1698"/>
      <c r="BB588" s="1698"/>
      <c r="BC588" s="1293"/>
      <c r="BD588" s="2186"/>
      <c r="BE588" s="1698"/>
      <c r="BF588" s="1698"/>
      <c r="BG588" s="1698"/>
      <c r="BH588" s="1293"/>
      <c r="BI588" s="2186"/>
      <c r="BJ588" s="1698"/>
      <c r="BK588" s="1698"/>
      <c r="BL588" s="1698"/>
      <c r="BM588" s="1698"/>
      <c r="BN588" s="2186"/>
      <c r="BO588" s="1293"/>
      <c r="BP588" s="1293"/>
      <c r="BQ588" s="1293"/>
      <c r="BR588" s="1293"/>
      <c r="BS588" s="1293"/>
      <c r="BT588" s="1293"/>
      <c r="BU588" s="1293"/>
      <c r="BV588" s="1293"/>
      <c r="BW588" s="1293"/>
      <c r="BX588" s="1293"/>
      <c r="BY588" s="1293"/>
      <c r="BZ588" s="1293"/>
      <c r="CA588" s="1293"/>
      <c r="CB588" s="1293"/>
      <c r="CC588" s="1293"/>
      <c r="CD588" s="1293"/>
      <c r="CE588" s="1293"/>
      <c r="CF588" s="1293"/>
      <c r="CG588" s="1293"/>
      <c r="CH588" s="1293"/>
      <c r="CI588" s="1293"/>
      <c r="CJ588" s="1293"/>
      <c r="CK588" s="1293"/>
      <c r="CL588" s="1293"/>
      <c r="CM588" s="1293"/>
      <c r="CN588" s="1293"/>
      <c r="CO588" s="1293"/>
      <c r="CP588" s="1293"/>
      <c r="CQ588" s="1293"/>
      <c r="CR588" s="1293"/>
      <c r="CS588" s="1293"/>
      <c r="CT588" s="1293"/>
      <c r="CU588" s="1293"/>
      <c r="CV588" s="1293"/>
      <c r="CW588" s="1293"/>
      <c r="CX588" s="1293"/>
      <c r="CY588" s="2032"/>
      <c r="CZ588" s="1293"/>
      <c r="DA588" s="2163"/>
      <c r="DB588" s="2162"/>
      <c r="DC588" s="1293"/>
      <c r="DD588" s="1293"/>
      <c r="DE588" s="1293"/>
      <c r="DF588" s="1293"/>
      <c r="DG588" s="1293"/>
      <c r="DH588" s="1293"/>
      <c r="DI588" s="1293"/>
      <c r="DJ588" s="1293"/>
      <c r="DK588" s="1293"/>
      <c r="DL588" s="1293"/>
    </row>
    <row r="589" spans="1:116" ht="15.75">
      <c r="A589" s="1293"/>
      <c r="B589" s="1293"/>
      <c r="C589" s="1293"/>
      <c r="D589" s="1293"/>
      <c r="E589" s="1293"/>
      <c r="F589" s="1293"/>
      <c r="G589" s="2080"/>
      <c r="H589" s="1293"/>
      <c r="I589" s="1293"/>
      <c r="J589" s="1293"/>
      <c r="K589" s="1293"/>
      <c r="L589" s="2080"/>
      <c r="M589" s="1293"/>
      <c r="N589" s="1293"/>
      <c r="O589" s="1293"/>
      <c r="P589" s="1293"/>
      <c r="Q589" s="2080"/>
      <c r="R589" s="1293"/>
      <c r="S589" s="1698"/>
      <c r="T589" s="1698"/>
      <c r="U589" s="1698"/>
      <c r="V589" s="2080"/>
      <c r="W589" s="1698"/>
      <c r="X589" s="1698"/>
      <c r="Y589" s="1698"/>
      <c r="Z589" s="1698"/>
      <c r="AA589" s="2080"/>
      <c r="AB589" s="1698"/>
      <c r="AC589" s="1698"/>
      <c r="AD589" s="1698"/>
      <c r="AE589" s="1698"/>
      <c r="AF589" s="1698"/>
      <c r="AG589" s="1698"/>
      <c r="AH589" s="1698"/>
      <c r="AI589" s="1698"/>
      <c r="AJ589" s="2186"/>
      <c r="AK589" s="1698"/>
      <c r="AL589" s="1698"/>
      <c r="AM589" s="1698"/>
      <c r="AN589" s="1698"/>
      <c r="AO589" s="2186"/>
      <c r="AP589" s="1698"/>
      <c r="AQ589" s="1698"/>
      <c r="AR589" s="1698"/>
      <c r="AS589" s="1698"/>
      <c r="AT589" s="2186"/>
      <c r="AU589" s="1698"/>
      <c r="AV589" s="1698"/>
      <c r="AW589" s="1698"/>
      <c r="AX589" s="1698"/>
      <c r="AY589" s="2186"/>
      <c r="AZ589" s="1698"/>
      <c r="BA589" s="1698"/>
      <c r="BB589" s="1698"/>
      <c r="BC589" s="1293"/>
      <c r="BD589" s="2186"/>
      <c r="BE589" s="1698"/>
      <c r="BF589" s="1698"/>
      <c r="BG589" s="1698"/>
      <c r="BH589" s="1293"/>
      <c r="BI589" s="2186"/>
      <c r="BJ589" s="1698"/>
      <c r="BK589" s="1698"/>
      <c r="BL589" s="1698"/>
      <c r="BM589" s="1698"/>
      <c r="BN589" s="2186"/>
      <c r="BO589" s="1293"/>
      <c r="BP589" s="1293"/>
      <c r="BQ589" s="1293"/>
      <c r="BR589" s="1293"/>
      <c r="BS589" s="1293"/>
      <c r="BT589" s="1293"/>
      <c r="BU589" s="1293"/>
      <c r="BV589" s="1293"/>
      <c r="BW589" s="1293"/>
      <c r="BX589" s="1293"/>
      <c r="BY589" s="1293"/>
      <c r="BZ589" s="1293"/>
      <c r="CA589" s="1293"/>
      <c r="CB589" s="1293"/>
      <c r="CC589" s="1293"/>
      <c r="CD589" s="1293"/>
      <c r="CE589" s="1293"/>
      <c r="CF589" s="1293"/>
      <c r="CG589" s="1293"/>
      <c r="CH589" s="1293"/>
      <c r="CI589" s="1293"/>
      <c r="CJ589" s="1293"/>
      <c r="CK589" s="1293"/>
      <c r="CL589" s="1293"/>
      <c r="CM589" s="1293"/>
      <c r="CN589" s="1293"/>
      <c r="CO589" s="1293"/>
      <c r="CP589" s="1293"/>
      <c r="CQ589" s="1293"/>
      <c r="CR589" s="1293"/>
      <c r="CS589" s="1293"/>
      <c r="CT589" s="1293"/>
      <c r="CU589" s="1293"/>
      <c r="CV589" s="1293"/>
      <c r="CW589" s="1293"/>
      <c r="CX589" s="1293"/>
      <c r="CY589" s="2032"/>
      <c r="CZ589" s="1293"/>
      <c r="DA589" s="2163"/>
      <c r="DB589" s="2162"/>
      <c r="DC589" s="1293"/>
      <c r="DD589" s="1293"/>
      <c r="DE589" s="1293"/>
      <c r="DF589" s="1293"/>
      <c r="DG589" s="1293"/>
      <c r="DH589" s="1293"/>
      <c r="DI589" s="1293"/>
      <c r="DJ589" s="1293"/>
      <c r="DK589" s="1293"/>
      <c r="DL589" s="1293"/>
    </row>
    <row r="590" spans="1:116" ht="15.75">
      <c r="A590" s="1293"/>
      <c r="B590" s="1293" t="s">
        <v>4797</v>
      </c>
      <c r="C590" s="1293"/>
      <c r="D590" s="1293"/>
      <c r="E590" s="1293"/>
      <c r="F590" s="1293"/>
      <c r="G590" s="2080"/>
      <c r="H590" s="1293">
        <v>258</v>
      </c>
      <c r="I590" s="1293">
        <v>265</v>
      </c>
      <c r="J590" s="1293">
        <v>246</v>
      </c>
      <c r="K590" s="1293">
        <v>247</v>
      </c>
      <c r="L590" s="2080">
        <v>1016</v>
      </c>
      <c r="M590" s="1293">
        <v>245</v>
      </c>
      <c r="N590" s="1293">
        <v>259</v>
      </c>
      <c r="O590" s="1293">
        <v>260</v>
      </c>
      <c r="P590" s="1293">
        <v>267</v>
      </c>
      <c r="Q590" s="2080">
        <v>1032</v>
      </c>
      <c r="R590" s="1293">
        <v>277</v>
      </c>
      <c r="S590" s="1698">
        <v>278.5290476954998</v>
      </c>
      <c r="T590" s="1698">
        <v>282</v>
      </c>
      <c r="U590" s="1698">
        <v>289</v>
      </c>
      <c r="V590" s="2080"/>
      <c r="W590" s="1698">
        <v>302</v>
      </c>
      <c r="X590" s="1698">
        <v>319</v>
      </c>
      <c r="Y590" s="1698">
        <v>321</v>
      </c>
      <c r="Z590" s="1698">
        <v>316</v>
      </c>
      <c r="AA590" s="2080"/>
      <c r="AB590" s="1698"/>
      <c r="AC590" s="1698">
        <v>379</v>
      </c>
      <c r="AD590" s="1698"/>
      <c r="AE590" s="1698"/>
      <c r="AF590" s="1698"/>
      <c r="AG590" s="1698"/>
      <c r="AH590" s="1698"/>
      <c r="AI590" s="1698"/>
      <c r="AJ590" s="2186"/>
      <c r="AK590" s="1698"/>
      <c r="AL590" s="1698"/>
      <c r="AM590" s="1698"/>
      <c r="AN590" s="1698"/>
      <c r="AO590" s="2186"/>
      <c r="AP590" s="1698"/>
      <c r="AQ590" s="1698"/>
      <c r="AR590" s="1698"/>
      <c r="AS590" s="1698"/>
      <c r="AT590" s="2186"/>
      <c r="AU590" s="1698"/>
      <c r="AV590" s="1698"/>
      <c r="AW590" s="1698"/>
      <c r="AX590" s="1698"/>
      <c r="AY590" s="2186"/>
      <c r="AZ590" s="1698"/>
      <c r="BA590" s="1698"/>
      <c r="BB590" s="1698"/>
      <c r="BC590" s="1293"/>
      <c r="BD590" s="2186"/>
      <c r="BE590" s="1698"/>
      <c r="BF590" s="1698"/>
      <c r="BG590" s="1698"/>
      <c r="BH590" s="1293"/>
      <c r="BI590" s="2186"/>
      <c r="BJ590" s="1698"/>
      <c r="BK590" s="1698"/>
      <c r="BL590" s="1698"/>
      <c r="BM590" s="1698"/>
      <c r="BN590" s="2186"/>
      <c r="BO590" s="1293"/>
      <c r="BP590" s="1293"/>
      <c r="BQ590" s="1293"/>
      <c r="BR590" s="1293"/>
      <c r="BS590" s="1293"/>
      <c r="BT590" s="1293"/>
      <c r="BU590" s="1293"/>
      <c r="BV590" s="1293"/>
      <c r="BW590" s="1293"/>
      <c r="BX590" s="1293"/>
      <c r="BY590" s="1293"/>
      <c r="BZ590" s="1293"/>
      <c r="CA590" s="1293"/>
      <c r="CB590" s="1293"/>
      <c r="CC590" s="1293"/>
      <c r="CD590" s="1293"/>
      <c r="CE590" s="1293"/>
      <c r="CF590" s="1293"/>
      <c r="CG590" s="1293"/>
      <c r="CH590" s="1293"/>
      <c r="CI590" s="1293"/>
      <c r="CJ590" s="1293"/>
      <c r="CK590" s="1293"/>
      <c r="CL590" s="1293"/>
      <c r="CM590" s="1293"/>
      <c r="CN590" s="1293"/>
      <c r="CO590" s="1293"/>
      <c r="CP590" s="1293"/>
      <c r="CQ590" s="1293"/>
      <c r="CR590" s="1293"/>
      <c r="CS590" s="1293"/>
      <c r="CT590" s="1293"/>
      <c r="CU590" s="1293"/>
      <c r="CV590" s="1293"/>
      <c r="CW590" s="1293"/>
      <c r="CX590" s="1293"/>
      <c r="CY590" s="2032"/>
      <c r="CZ590" s="1293"/>
      <c r="DA590" s="2163"/>
      <c r="DB590" s="2162"/>
      <c r="DC590" s="1293"/>
      <c r="DD590" s="1293"/>
      <c r="DE590" s="1293"/>
      <c r="DF590" s="1293"/>
      <c r="DG590" s="1293"/>
      <c r="DH590" s="1293"/>
      <c r="DI590" s="1293"/>
      <c r="DJ590" s="1293"/>
      <c r="DK590" s="1293"/>
      <c r="DL590" s="1293"/>
    </row>
    <row r="591" spans="1:116" ht="15.75">
      <c r="A591" s="1293"/>
      <c r="B591" s="1293" t="s">
        <v>4798</v>
      </c>
      <c r="C591" s="1293"/>
      <c r="D591" s="1293"/>
      <c r="E591" s="1293"/>
      <c r="F591" s="1293"/>
      <c r="G591" s="2080"/>
      <c r="H591" s="1293">
        <v>229</v>
      </c>
      <c r="I591" s="1293">
        <v>236</v>
      </c>
      <c r="J591" s="1293">
        <v>228</v>
      </c>
      <c r="K591" s="1293">
        <v>229</v>
      </c>
      <c r="L591" s="2080">
        <v>921</v>
      </c>
      <c r="M591" s="1293">
        <v>209</v>
      </c>
      <c r="N591" s="1293">
        <v>224</v>
      </c>
      <c r="O591" s="1293">
        <v>224</v>
      </c>
      <c r="P591" s="1293">
        <v>231</v>
      </c>
      <c r="Q591" s="2080">
        <v>887</v>
      </c>
      <c r="R591" s="1293">
        <v>224</v>
      </c>
      <c r="S591" s="1698">
        <v>228.21876606047701</v>
      </c>
      <c r="T591" s="1698">
        <v>237</v>
      </c>
      <c r="U591" s="1698">
        <v>247</v>
      </c>
      <c r="V591" s="2080"/>
      <c r="W591" s="1698">
        <v>240</v>
      </c>
      <c r="X591" s="1698">
        <v>239</v>
      </c>
      <c r="Y591" s="1698">
        <v>206</v>
      </c>
      <c r="Z591" s="1698">
        <v>203</v>
      </c>
      <c r="AA591" s="2080"/>
      <c r="AB591" s="1698"/>
      <c r="AC591" s="1698"/>
      <c r="AD591" s="1698"/>
      <c r="AE591" s="1698"/>
      <c r="AF591" s="1698"/>
      <c r="AG591" s="1698"/>
      <c r="AH591" s="1698"/>
      <c r="AI591" s="1698"/>
      <c r="AJ591" s="2186"/>
      <c r="AK591" s="1698"/>
      <c r="AL591" s="1698"/>
      <c r="AM591" s="1698"/>
      <c r="AN591" s="1698"/>
      <c r="AO591" s="2186"/>
      <c r="AP591" s="1698"/>
      <c r="AQ591" s="1698"/>
      <c r="AR591" s="1698"/>
      <c r="AS591" s="1698"/>
      <c r="AT591" s="2186"/>
      <c r="AU591" s="1698"/>
      <c r="AV591" s="1698"/>
      <c r="AW591" s="1698"/>
      <c r="AX591" s="1698"/>
      <c r="AY591" s="2186"/>
      <c r="AZ591" s="1698"/>
      <c r="BA591" s="1698"/>
      <c r="BB591" s="1698"/>
      <c r="BC591" s="1293"/>
      <c r="BD591" s="2186"/>
      <c r="BE591" s="1698"/>
      <c r="BF591" s="1698"/>
      <c r="BG591" s="1698"/>
      <c r="BH591" s="1293"/>
      <c r="BI591" s="2186"/>
      <c r="BJ591" s="1698"/>
      <c r="BK591" s="1698"/>
      <c r="BL591" s="1698"/>
      <c r="BM591" s="1698"/>
      <c r="BN591" s="2186"/>
      <c r="BO591" s="1293"/>
      <c r="BP591" s="1293"/>
      <c r="BQ591" s="1293"/>
      <c r="BR591" s="1293"/>
      <c r="BS591" s="1293"/>
      <c r="BT591" s="1293"/>
      <c r="BU591" s="1293"/>
      <c r="BV591" s="1293"/>
      <c r="BW591" s="1293"/>
      <c r="BX591" s="1293"/>
      <c r="BY591" s="1293"/>
      <c r="BZ591" s="1293"/>
      <c r="CA591" s="1293"/>
      <c r="CB591" s="1293"/>
      <c r="CC591" s="1293"/>
      <c r="CD591" s="1293"/>
      <c r="CE591" s="1293"/>
      <c r="CF591" s="1293"/>
      <c r="CG591" s="1293"/>
      <c r="CH591" s="1293"/>
      <c r="CI591" s="1293"/>
      <c r="CJ591" s="1293"/>
      <c r="CK591" s="1293"/>
      <c r="CL591" s="1293"/>
      <c r="CM591" s="1293"/>
      <c r="CN591" s="1293"/>
      <c r="CO591" s="1293"/>
      <c r="CP591" s="1293"/>
      <c r="CQ591" s="1293"/>
      <c r="CR591" s="1293"/>
      <c r="CS591" s="1293"/>
      <c r="CT591" s="1293"/>
      <c r="CU591" s="1293"/>
      <c r="CV591" s="1293"/>
      <c r="CW591" s="1293"/>
      <c r="CX591" s="1293"/>
      <c r="CY591" s="2032"/>
      <c r="CZ591" s="1293"/>
      <c r="DA591" s="2163"/>
      <c r="DB591" s="2162"/>
      <c r="DC591" s="1293"/>
      <c r="DD591" s="1293"/>
      <c r="DE591" s="1293"/>
      <c r="DF591" s="1293"/>
      <c r="DG591" s="1293"/>
      <c r="DH591" s="1293"/>
      <c r="DI591" s="1293"/>
      <c r="DJ591" s="1293"/>
      <c r="DK591" s="1293"/>
      <c r="DL591" s="1293"/>
    </row>
    <row r="592" spans="1:116" ht="15.75">
      <c r="A592" s="1293"/>
      <c r="B592" s="1870" t="s">
        <v>4800</v>
      </c>
      <c r="C592" s="1293"/>
      <c r="D592" s="1293"/>
      <c r="E592" s="1293"/>
      <c r="F592" s="1293"/>
      <c r="G592" s="2080"/>
      <c r="H592" s="1293">
        <v>148</v>
      </c>
      <c r="I592" s="1293">
        <v>156</v>
      </c>
      <c r="J592" s="1293">
        <v>149</v>
      </c>
      <c r="K592" s="1293">
        <v>151</v>
      </c>
      <c r="L592" s="2080">
        <v>605</v>
      </c>
      <c r="M592" s="1293">
        <v>132</v>
      </c>
      <c r="N592" s="1293">
        <v>147</v>
      </c>
      <c r="O592" s="1293">
        <v>146</v>
      </c>
      <c r="P592" s="1293">
        <v>153</v>
      </c>
      <c r="Q592" s="2080">
        <v>579</v>
      </c>
      <c r="R592" s="1293">
        <v>150</v>
      </c>
      <c r="S592" s="1698">
        <v>152.31768394816501</v>
      </c>
      <c r="T592" s="1698">
        <v>159</v>
      </c>
      <c r="U592" s="1698">
        <v>168</v>
      </c>
      <c r="V592" s="2080"/>
      <c r="W592" s="1698">
        <v>140</v>
      </c>
      <c r="X592" s="1698">
        <v>143</v>
      </c>
      <c r="Y592" s="1698">
        <v>136</v>
      </c>
      <c r="Z592" s="1698">
        <v>131</v>
      </c>
      <c r="AA592" s="2080"/>
      <c r="AB592" s="1698"/>
      <c r="AC592" s="1698">
        <v>162</v>
      </c>
      <c r="AD592" s="1698"/>
      <c r="AE592" s="1698"/>
      <c r="AF592" s="1698"/>
      <c r="AG592" s="1698"/>
      <c r="AH592" s="1698"/>
      <c r="AI592" s="1698"/>
      <c r="AJ592" s="2186"/>
      <c r="AK592" s="1698"/>
      <c r="AL592" s="1698"/>
      <c r="AM592" s="1698"/>
      <c r="AN592" s="1698"/>
      <c r="AO592" s="2186"/>
      <c r="AP592" s="1698"/>
      <c r="AQ592" s="1698"/>
      <c r="AR592" s="1698"/>
      <c r="AS592" s="1698"/>
      <c r="AT592" s="2186"/>
      <c r="AU592" s="1698"/>
      <c r="AV592" s="1698"/>
      <c r="AW592" s="1698"/>
      <c r="AX592" s="1698"/>
      <c r="AY592" s="2186"/>
      <c r="AZ592" s="1698"/>
      <c r="BA592" s="1698"/>
      <c r="BB592" s="1698"/>
      <c r="BC592" s="1293"/>
      <c r="BD592" s="2186"/>
      <c r="BE592" s="1698"/>
      <c r="BF592" s="1698"/>
      <c r="BG592" s="1698"/>
      <c r="BH592" s="1293"/>
      <c r="BI592" s="2186"/>
      <c r="BJ592" s="1698"/>
      <c r="BK592" s="1698"/>
      <c r="BL592" s="1698"/>
      <c r="BM592" s="1698"/>
      <c r="BN592" s="2186"/>
      <c r="BO592" s="1293"/>
      <c r="BP592" s="1293"/>
      <c r="BQ592" s="1293"/>
      <c r="BR592" s="1293"/>
      <c r="BS592" s="1293"/>
      <c r="BT592" s="1293"/>
      <c r="BU592" s="1293"/>
      <c r="BV592" s="1293"/>
      <c r="BW592" s="1293"/>
      <c r="BX592" s="1293"/>
      <c r="BY592" s="1293"/>
      <c r="BZ592" s="1293"/>
      <c r="CA592" s="1293"/>
      <c r="CB592" s="1293"/>
      <c r="CC592" s="1293"/>
      <c r="CD592" s="1293"/>
      <c r="CE592" s="1293"/>
      <c r="CF592" s="1293"/>
      <c r="CG592" s="1293"/>
      <c r="CH592" s="1293"/>
      <c r="CI592" s="1293"/>
      <c r="CJ592" s="1293"/>
      <c r="CK592" s="1293"/>
      <c r="CL592" s="1293"/>
      <c r="CM592" s="1293"/>
      <c r="CN592" s="1293"/>
      <c r="CO592" s="1293"/>
      <c r="CP592" s="1293"/>
      <c r="CQ592" s="1293"/>
      <c r="CR592" s="1293"/>
      <c r="CS592" s="1293"/>
      <c r="CT592" s="1293"/>
      <c r="CU592" s="1293"/>
      <c r="CV592" s="1293"/>
      <c r="CW592" s="1293"/>
      <c r="CX592" s="1293"/>
      <c r="CY592" s="2032"/>
      <c r="CZ592" s="1293"/>
      <c r="DA592" s="2163"/>
      <c r="DB592" s="2162"/>
      <c r="DC592" s="1293"/>
      <c r="DD592" s="1293"/>
      <c r="DE592" s="1293"/>
      <c r="DF592" s="1293"/>
      <c r="DG592" s="1293"/>
      <c r="DH592" s="1293"/>
      <c r="DI592" s="1293"/>
      <c r="DJ592" s="1293"/>
      <c r="DK592" s="1293"/>
      <c r="DL592" s="1293"/>
    </row>
    <row r="593" spans="1:116" ht="15.75">
      <c r="A593" s="1293"/>
      <c r="B593" s="1870" t="s">
        <v>4801</v>
      </c>
      <c r="C593" s="1293"/>
      <c r="D593" s="1293"/>
      <c r="E593" s="1293"/>
      <c r="F593" s="1293"/>
      <c r="G593" s="2080"/>
      <c r="H593" s="1293">
        <f>H591-H592</f>
        <v>81</v>
      </c>
      <c r="I593" s="1293">
        <f>I591-I592</f>
        <v>80</v>
      </c>
      <c r="J593" s="1293">
        <f>J591-J592</f>
        <v>79</v>
      </c>
      <c r="K593" s="1293">
        <f>K591-K592</f>
        <v>78</v>
      </c>
      <c r="L593" s="2080"/>
      <c r="M593" s="1293">
        <f>M591-M592</f>
        <v>77</v>
      </c>
      <c r="N593" s="1293">
        <f>N591-N592</f>
        <v>77</v>
      </c>
      <c r="O593" s="1293">
        <f>O591-O592</f>
        <v>78</v>
      </c>
      <c r="P593" s="1293">
        <f>P591-P592</f>
        <v>78</v>
      </c>
      <c r="Q593" s="2080"/>
      <c r="R593" s="1293">
        <f>R591-R592</f>
        <v>74</v>
      </c>
      <c r="S593" s="1698">
        <f>S591-S592</f>
        <v>75.901082112311997</v>
      </c>
      <c r="T593" s="1698">
        <f>T591-T592</f>
        <v>78</v>
      </c>
      <c r="U593" s="1698">
        <f>U591-U592</f>
        <v>79</v>
      </c>
      <c r="V593" s="2080"/>
      <c r="W593" s="1698">
        <f>W591-W592</f>
        <v>100</v>
      </c>
      <c r="X593" s="1698">
        <f>X591-X592</f>
        <v>96</v>
      </c>
      <c r="Y593" s="1698">
        <f>Y591-Y592</f>
        <v>70</v>
      </c>
      <c r="Z593" s="1698">
        <f>Z591-Z592</f>
        <v>72</v>
      </c>
      <c r="AA593" s="2080"/>
      <c r="AB593" s="1698"/>
      <c r="AC593" s="1698"/>
      <c r="AD593" s="1698"/>
      <c r="AE593" s="1698"/>
      <c r="AF593" s="1698"/>
      <c r="AG593" s="1698"/>
      <c r="AH593" s="1698"/>
      <c r="AI593" s="1698"/>
      <c r="AJ593" s="2186"/>
      <c r="AK593" s="1698"/>
      <c r="AL593" s="1698"/>
      <c r="AM593" s="1698"/>
      <c r="AN593" s="1698"/>
      <c r="AO593" s="2186"/>
      <c r="AP593" s="1698"/>
      <c r="AQ593" s="1698"/>
      <c r="AR593" s="1698"/>
      <c r="AS593" s="1698"/>
      <c r="AT593" s="2186"/>
      <c r="AU593" s="1698"/>
      <c r="AV593" s="1698"/>
      <c r="AW593" s="1698"/>
      <c r="AX593" s="1698"/>
      <c r="AY593" s="2186"/>
      <c r="AZ593" s="1698"/>
      <c r="BA593" s="1698"/>
      <c r="BB593" s="1698"/>
      <c r="BC593" s="1293"/>
      <c r="BD593" s="2186"/>
      <c r="BE593" s="1698"/>
      <c r="BF593" s="1698"/>
      <c r="BG593" s="1698"/>
      <c r="BH593" s="1293"/>
      <c r="BI593" s="2186"/>
      <c r="BJ593" s="1698"/>
      <c r="BK593" s="1698"/>
      <c r="BL593" s="1698"/>
      <c r="BM593" s="1698"/>
      <c r="BN593" s="2186"/>
      <c r="BO593" s="1293"/>
      <c r="BP593" s="1293"/>
      <c r="BQ593" s="1293"/>
      <c r="BR593" s="1293"/>
      <c r="BS593" s="1293"/>
      <c r="BT593" s="1293"/>
      <c r="BU593" s="1293"/>
      <c r="BV593" s="1293"/>
      <c r="BW593" s="1293"/>
      <c r="BX593" s="1293"/>
      <c r="BY593" s="1293"/>
      <c r="BZ593" s="1293"/>
      <c r="CA593" s="1293"/>
      <c r="CB593" s="1293"/>
      <c r="CC593" s="1293"/>
      <c r="CD593" s="1293"/>
      <c r="CE593" s="1293"/>
      <c r="CF593" s="1293"/>
      <c r="CG593" s="1293"/>
      <c r="CH593" s="1293"/>
      <c r="CI593" s="1293"/>
      <c r="CJ593" s="1293"/>
      <c r="CK593" s="1293"/>
      <c r="CL593" s="1293"/>
      <c r="CM593" s="1293"/>
      <c r="CN593" s="1293"/>
      <c r="CO593" s="1293"/>
      <c r="CP593" s="1293"/>
      <c r="CQ593" s="1293"/>
      <c r="CR593" s="1293"/>
      <c r="CS593" s="1293"/>
      <c r="CT593" s="1293"/>
      <c r="CU593" s="1293"/>
      <c r="CV593" s="1293"/>
      <c r="CW593" s="1293"/>
      <c r="CX593" s="1293"/>
      <c r="CY593" s="2032"/>
      <c r="CZ593" s="1293"/>
      <c r="DA593" s="2163"/>
      <c r="DB593" s="2162"/>
      <c r="DC593" s="1293"/>
      <c r="DD593" s="1293"/>
      <c r="DE593" s="1293"/>
      <c r="DF593" s="1293"/>
      <c r="DG593" s="1293"/>
      <c r="DH593" s="1293"/>
      <c r="DI593" s="1293"/>
      <c r="DJ593" s="1293"/>
      <c r="DK593" s="1293"/>
      <c r="DL593" s="1293"/>
    </row>
    <row r="594" spans="1:116" ht="15.75">
      <c r="A594" s="1293"/>
      <c r="B594" s="1293"/>
      <c r="C594" s="1293"/>
      <c r="D594" s="1293"/>
      <c r="E594" s="1293"/>
      <c r="F594" s="1293"/>
      <c r="G594" s="2080"/>
      <c r="H594" s="1293"/>
      <c r="I594" s="1293"/>
      <c r="J594" s="1293"/>
      <c r="K594" s="1293"/>
      <c r="L594" s="2080"/>
      <c r="M594" s="1293"/>
      <c r="N594" s="1293"/>
      <c r="O594" s="1293"/>
      <c r="P594" s="1293"/>
      <c r="Q594" s="2080"/>
      <c r="R594" s="1293"/>
      <c r="S594" s="1293"/>
      <c r="T594" s="1293"/>
      <c r="U594" s="1293"/>
      <c r="V594" s="2080"/>
      <c r="W594" s="1293"/>
      <c r="X594" s="1293"/>
      <c r="Y594" s="1293"/>
      <c r="Z594" s="1293"/>
      <c r="AA594" s="2080"/>
      <c r="AB594" s="1293"/>
      <c r="AC594" s="1293"/>
      <c r="AD594" s="1293"/>
      <c r="AE594" s="1293"/>
      <c r="AF594" s="1293"/>
      <c r="AG594" s="1293"/>
      <c r="AH594" s="1293"/>
      <c r="AI594" s="1293"/>
      <c r="AJ594" s="2186"/>
      <c r="AK594" s="1293"/>
      <c r="AL594" s="1293"/>
      <c r="AM594" s="1293"/>
      <c r="AN594" s="1293"/>
      <c r="AO594" s="2186"/>
      <c r="AP594" s="1293"/>
      <c r="AQ594" s="1293"/>
      <c r="AR594" s="1293"/>
      <c r="AS594" s="1293"/>
      <c r="AT594" s="2186"/>
      <c r="AU594" s="1293"/>
      <c r="AV594" s="1293"/>
      <c r="AW594" s="1293"/>
      <c r="AX594" s="1293"/>
      <c r="AY594" s="2186"/>
      <c r="AZ594" s="1293"/>
      <c r="BA594" s="1293"/>
      <c r="BB594" s="1293"/>
      <c r="BC594" s="1293"/>
      <c r="BD594" s="2186"/>
      <c r="BE594" s="1293"/>
      <c r="BF594" s="1293"/>
      <c r="BG594" s="1293"/>
      <c r="BH594" s="1293"/>
      <c r="BI594" s="2186"/>
      <c r="BJ594" s="1293"/>
      <c r="BK594" s="1293"/>
      <c r="BL594" s="1293"/>
      <c r="BM594" s="1293"/>
      <c r="BN594" s="2186"/>
      <c r="BO594" s="1293"/>
      <c r="BP594" s="1293"/>
      <c r="BQ594" s="1293"/>
      <c r="BR594" s="1293"/>
      <c r="BS594" s="1293"/>
      <c r="BT594" s="1293"/>
      <c r="BU594" s="1293"/>
      <c r="BV594" s="1293"/>
      <c r="BW594" s="1293"/>
      <c r="BX594" s="1293"/>
      <c r="BY594" s="1293"/>
      <c r="BZ594" s="1293"/>
      <c r="CA594" s="1293"/>
      <c r="CB594" s="1293"/>
      <c r="CC594" s="1293"/>
      <c r="CD594" s="1293"/>
      <c r="CE594" s="1293"/>
      <c r="CF594" s="1293"/>
      <c r="CG594" s="1293"/>
      <c r="CH594" s="1293"/>
      <c r="CI594" s="1293"/>
      <c r="CJ594" s="1293"/>
      <c r="CK594" s="1293"/>
      <c r="CL594" s="1293"/>
      <c r="CM594" s="1293"/>
      <c r="CN594" s="1293"/>
      <c r="CO594" s="1293"/>
      <c r="CP594" s="1293"/>
      <c r="CQ594" s="1293"/>
      <c r="CR594" s="1293"/>
      <c r="CS594" s="1293"/>
      <c r="CT594" s="1293"/>
      <c r="CU594" s="1293"/>
      <c r="CV594" s="1293"/>
      <c r="CW594" s="1293"/>
      <c r="CX594" s="1293"/>
      <c r="CY594" s="2032"/>
      <c r="CZ594" s="1293"/>
      <c r="DA594" s="2031"/>
      <c r="DB594" s="2032"/>
      <c r="DC594" s="1293"/>
      <c r="DD594" s="1293"/>
      <c r="DE594" s="1293"/>
      <c r="DF594" s="1293"/>
      <c r="DG594" s="1293"/>
      <c r="DH594" s="1293"/>
      <c r="DI594" s="1293"/>
      <c r="DJ594" s="1293"/>
      <c r="DK594" s="1293"/>
      <c r="DL594" s="1293"/>
    </row>
    <row r="595" spans="1:116" ht="15.75">
      <c r="A595" s="1293"/>
      <c r="B595" s="1293" t="s">
        <v>4799</v>
      </c>
      <c r="C595" s="1293"/>
      <c r="D595" s="1293"/>
      <c r="E595" s="1293"/>
      <c r="F595" s="1293"/>
      <c r="G595" s="2080"/>
      <c r="H595" s="1698">
        <f>H590+H592</f>
        <v>406</v>
      </c>
      <c r="I595" s="1698">
        <f>I590+I592</f>
        <v>421</v>
      </c>
      <c r="J595" s="1698">
        <f>J590+J592</f>
        <v>395</v>
      </c>
      <c r="K595" s="1698">
        <f>K590+K592</f>
        <v>398</v>
      </c>
      <c r="L595" s="2080"/>
      <c r="M595" s="1698">
        <f>M590+M592</f>
        <v>377</v>
      </c>
      <c r="N595" s="1698">
        <f>N590+N592</f>
        <v>406</v>
      </c>
      <c r="O595" s="1698">
        <f>O590+O592</f>
        <v>406</v>
      </c>
      <c r="P595" s="1698">
        <f>P590+P592</f>
        <v>420</v>
      </c>
      <c r="Q595" s="2080"/>
      <c r="R595" s="1698">
        <f>R590+R592</f>
        <v>427</v>
      </c>
      <c r="S595" s="1698">
        <f>S590+S592</f>
        <v>430.84673164366484</v>
      </c>
      <c r="T595" s="1698">
        <f>T590+T592</f>
        <v>441</v>
      </c>
      <c r="U595" s="1698">
        <f>U590+U592</f>
        <v>457</v>
      </c>
      <c r="V595" s="2080"/>
      <c r="W595" s="1698">
        <f>W590+W592</f>
        <v>442</v>
      </c>
      <c r="X595" s="1698">
        <f>X590+X592</f>
        <v>462</v>
      </c>
      <c r="Y595" s="1698">
        <f>Y590+Y592</f>
        <v>457</v>
      </c>
      <c r="Z595" s="1698">
        <f>Z590+Z592</f>
        <v>447</v>
      </c>
      <c r="AA595" s="2080"/>
      <c r="AB595" s="1698"/>
      <c r="AC595" s="1698"/>
      <c r="AD595" s="1698"/>
      <c r="AE595" s="1698"/>
      <c r="AF595" s="1698"/>
      <c r="AG595" s="1698"/>
      <c r="AH595" s="1698"/>
      <c r="AI595" s="1698"/>
      <c r="AJ595" s="2186"/>
      <c r="AK595" s="1698"/>
      <c r="AL595" s="1698"/>
      <c r="AM595" s="1698"/>
      <c r="AN595" s="1698"/>
      <c r="AO595" s="2186"/>
      <c r="AP595" s="1698"/>
      <c r="AQ595" s="1698"/>
      <c r="AR595" s="1698"/>
      <c r="AS595" s="1698"/>
      <c r="AT595" s="2186"/>
      <c r="AU595" s="1698"/>
      <c r="AV595" s="1698"/>
      <c r="AW595" s="1698"/>
      <c r="AX595" s="1698"/>
      <c r="AY595" s="2186"/>
      <c r="AZ595" s="1698"/>
      <c r="BA595" s="1698"/>
      <c r="BB595" s="1698"/>
      <c r="BC595" s="1293"/>
      <c r="BD595" s="2186"/>
      <c r="BE595" s="1698"/>
      <c r="BF595" s="1698"/>
      <c r="BG595" s="1698"/>
      <c r="BH595" s="1293"/>
      <c r="BI595" s="2186"/>
      <c r="BJ595" s="1698"/>
      <c r="BK595" s="1698"/>
      <c r="BL595" s="1698"/>
      <c r="BM595" s="1698"/>
      <c r="BN595" s="2186"/>
      <c r="BO595" s="1293"/>
      <c r="BP595" s="1293"/>
      <c r="BQ595" s="1293"/>
      <c r="BR595" s="1293"/>
      <c r="BS595" s="1293"/>
      <c r="BT595" s="1293"/>
      <c r="BU595" s="1293"/>
      <c r="BV595" s="1293"/>
      <c r="BW595" s="1293"/>
      <c r="BX595" s="1293"/>
      <c r="BY595" s="1293"/>
      <c r="BZ595" s="1293"/>
      <c r="CA595" s="1293"/>
      <c r="CB595" s="1293"/>
      <c r="CC595" s="1293"/>
      <c r="CD595" s="1293"/>
      <c r="CE595" s="1293"/>
      <c r="CF595" s="1293"/>
      <c r="CG595" s="1293"/>
      <c r="CH595" s="1293"/>
      <c r="CI595" s="1293"/>
      <c r="CJ595" s="1293"/>
      <c r="CK595" s="1293"/>
      <c r="CL595" s="1293"/>
      <c r="CM595" s="1293"/>
      <c r="CN595" s="1293"/>
      <c r="CO595" s="1293"/>
      <c r="CP595" s="1293"/>
      <c r="CQ595" s="1293"/>
      <c r="CR595" s="1293"/>
      <c r="CS595" s="1293"/>
      <c r="CT595" s="1293"/>
      <c r="CU595" s="1293"/>
      <c r="CV595" s="1293"/>
      <c r="CW595" s="1293"/>
      <c r="CX595" s="1293"/>
      <c r="CY595" s="2032"/>
      <c r="CZ595" s="1293"/>
      <c r="DA595" s="2163"/>
      <c r="DB595" s="2162"/>
      <c r="DC595" s="1293"/>
      <c r="DD595" s="1293"/>
      <c r="DE595" s="1293"/>
      <c r="DF595" s="1293"/>
      <c r="DG595" s="1293"/>
      <c r="DH595" s="1293"/>
      <c r="DI595" s="1293"/>
      <c r="DJ595" s="1293"/>
      <c r="DK595" s="1293"/>
      <c r="DL595" s="1293"/>
    </row>
    <row r="596" spans="1:116" ht="15.75">
      <c r="A596" s="1293"/>
      <c r="B596" s="1293"/>
      <c r="C596" s="1293"/>
      <c r="D596" s="1293"/>
      <c r="E596" s="1293"/>
      <c r="F596" s="1293"/>
      <c r="G596" s="2080"/>
      <c r="H596" s="1293"/>
      <c r="I596" s="1293"/>
      <c r="J596" s="1293"/>
      <c r="K596" s="1293"/>
      <c r="L596" s="2080"/>
      <c r="M596" s="1293"/>
      <c r="N596" s="1293"/>
      <c r="O596" s="1293"/>
      <c r="P596" s="1293"/>
      <c r="Q596" s="2080"/>
      <c r="R596" s="1293"/>
      <c r="S596" s="1293"/>
      <c r="T596" s="1293"/>
      <c r="U596" s="1293"/>
      <c r="V596" s="2080"/>
      <c r="W596" s="1293"/>
      <c r="X596" s="1293"/>
      <c r="Y596" s="1293"/>
      <c r="Z596" s="1293"/>
      <c r="AA596" s="2080"/>
      <c r="AB596" s="1293"/>
      <c r="AC596" s="1293"/>
      <c r="AD596" s="1293"/>
      <c r="AE596" s="1293"/>
      <c r="AF596" s="1293"/>
      <c r="AG596" s="1293"/>
      <c r="AH596" s="1293"/>
      <c r="AI596" s="1293"/>
      <c r="AJ596" s="2186"/>
      <c r="AK596" s="1293"/>
      <c r="AL596" s="1293"/>
      <c r="AM596" s="1293"/>
      <c r="AN596" s="1293"/>
      <c r="AO596" s="2186"/>
      <c r="AP596" s="1293"/>
      <c r="AQ596" s="1293"/>
      <c r="AR596" s="1293"/>
      <c r="AS596" s="1293"/>
      <c r="AT596" s="2186"/>
      <c r="AU596" s="1293"/>
      <c r="AV596" s="1293"/>
      <c r="AW596" s="1293"/>
      <c r="AX596" s="1293"/>
      <c r="AY596" s="2186"/>
      <c r="AZ596" s="1293"/>
      <c r="BA596" s="1293"/>
      <c r="BB596" s="1293"/>
      <c r="BC596" s="1293"/>
      <c r="BD596" s="2186"/>
      <c r="BE596" s="1293"/>
      <c r="BF596" s="1293"/>
      <c r="BG596" s="1293"/>
      <c r="BH596" s="1293"/>
      <c r="BI596" s="2186"/>
      <c r="BJ596" s="1293"/>
      <c r="BK596" s="1293"/>
      <c r="BL596" s="1293"/>
      <c r="BM596" s="1293"/>
      <c r="BN596" s="2186"/>
      <c r="BO596" s="1293"/>
      <c r="BP596" s="1293"/>
      <c r="BQ596" s="1293"/>
      <c r="BR596" s="1293"/>
      <c r="BS596" s="1293"/>
      <c r="BT596" s="1293"/>
      <c r="BU596" s="1293"/>
      <c r="BV596" s="1293"/>
      <c r="BW596" s="1293"/>
      <c r="BX596" s="1293"/>
      <c r="BY596" s="1293"/>
      <c r="BZ596" s="1293"/>
      <c r="CA596" s="1293"/>
      <c r="CB596" s="1293"/>
      <c r="CC596" s="1293"/>
      <c r="CD596" s="1293"/>
      <c r="CE596" s="1293"/>
      <c r="CF596" s="1293"/>
      <c r="CG596" s="1293"/>
      <c r="CH596" s="1293"/>
      <c r="CI596" s="1293"/>
      <c r="CJ596" s="1293"/>
      <c r="CK596" s="1293"/>
      <c r="CL596" s="1293"/>
      <c r="CM596" s="1293"/>
      <c r="CN596" s="1293"/>
      <c r="CO596" s="1293"/>
      <c r="CP596" s="1293"/>
      <c r="CQ596" s="1293"/>
      <c r="CR596" s="1293"/>
      <c r="CS596" s="1293"/>
      <c r="CT596" s="1293"/>
      <c r="CU596" s="1293"/>
      <c r="CV596" s="1293"/>
      <c r="CW596" s="1293"/>
      <c r="CX596" s="1293"/>
      <c r="CY596" s="2032"/>
      <c r="CZ596" s="1293"/>
      <c r="DA596" s="2031"/>
      <c r="DB596" s="2032"/>
      <c r="DC596" s="1293"/>
      <c r="DD596" s="1293"/>
      <c r="DE596" s="1293"/>
      <c r="DF596" s="1293"/>
      <c r="DG596" s="1293"/>
      <c r="DH596" s="1293"/>
      <c r="DI596" s="1293"/>
      <c r="DJ596" s="1293"/>
      <c r="DK596" s="1293"/>
      <c r="DL596" s="1293"/>
    </row>
    <row r="597" spans="1:116" ht="15.75">
      <c r="A597" s="1293"/>
      <c r="B597" s="2318" t="s">
        <v>945</v>
      </c>
      <c r="C597" s="1293"/>
      <c r="D597" s="1293"/>
      <c r="E597" s="1293"/>
      <c r="F597" s="1293"/>
      <c r="G597" s="2080"/>
      <c r="H597" s="1293"/>
      <c r="I597" s="1293"/>
      <c r="J597" s="1293"/>
      <c r="K597" s="1293"/>
      <c r="L597" s="2080"/>
      <c r="M597" s="1293"/>
      <c r="N597" s="1293"/>
      <c r="O597" s="1293"/>
      <c r="P597" s="1293"/>
      <c r="Q597" s="2080"/>
      <c r="R597" s="1293"/>
      <c r="S597" s="1293"/>
      <c r="T597" s="1293"/>
      <c r="U597" s="1293"/>
      <c r="V597" s="2080"/>
      <c r="W597" s="1293"/>
      <c r="X597" s="1293"/>
      <c r="Y597" s="1293"/>
      <c r="Z597" s="1293"/>
      <c r="AA597" s="2080"/>
      <c r="AB597" s="1293"/>
      <c r="AC597" s="1293"/>
      <c r="AD597" s="1293"/>
      <c r="AE597" s="1293"/>
      <c r="AF597" s="1293"/>
      <c r="AG597" s="1293"/>
      <c r="AH597" s="1293"/>
      <c r="AI597" s="1293"/>
      <c r="AJ597" s="2186"/>
      <c r="AK597" s="1293"/>
      <c r="AL597" s="1293"/>
      <c r="AM597" s="1293"/>
      <c r="AN597" s="1293"/>
      <c r="AO597" s="2186"/>
      <c r="AP597" s="1293"/>
      <c r="AQ597" s="1293"/>
      <c r="AR597" s="1293"/>
      <c r="AS597" s="1293"/>
      <c r="AT597" s="2186"/>
      <c r="AU597" s="1293"/>
      <c r="AV597" s="1293"/>
      <c r="AW597" s="1293"/>
      <c r="AX597" s="1293"/>
      <c r="AY597" s="2186"/>
      <c r="AZ597" s="1293"/>
      <c r="BA597" s="1293"/>
      <c r="BB597" s="1293"/>
      <c r="BC597" s="1293"/>
      <c r="BD597" s="2186"/>
      <c r="BE597" s="1293"/>
      <c r="BF597" s="1293"/>
      <c r="BG597" s="1293"/>
      <c r="BH597" s="1293"/>
      <c r="BI597" s="2186"/>
      <c r="BJ597" s="1293"/>
      <c r="BK597" s="1293"/>
      <c r="BL597" s="1293"/>
      <c r="BM597" s="1293"/>
      <c r="BN597" s="2186"/>
      <c r="BO597" s="1293"/>
      <c r="BP597" s="1293"/>
      <c r="BQ597" s="1293"/>
      <c r="BR597" s="1293"/>
      <c r="BS597" s="1293"/>
      <c r="BT597" s="1293"/>
      <c r="BU597" s="1293"/>
      <c r="BV597" s="1293"/>
      <c r="BW597" s="1293"/>
      <c r="BX597" s="1293"/>
      <c r="BY597" s="1293"/>
      <c r="BZ597" s="1293"/>
      <c r="CA597" s="1293"/>
      <c r="CB597" s="1293"/>
      <c r="CC597" s="1293"/>
      <c r="CD597" s="1293"/>
      <c r="CE597" s="1293"/>
      <c r="CF597" s="1293"/>
      <c r="CG597" s="1293"/>
      <c r="CH597" s="1293"/>
      <c r="CI597" s="1293"/>
      <c r="CJ597" s="1293"/>
      <c r="CK597" s="1293"/>
      <c r="CL597" s="1293"/>
      <c r="CM597" s="1293"/>
      <c r="CN597" s="1293"/>
      <c r="CO597" s="1293"/>
      <c r="CP597" s="1293"/>
      <c r="CQ597" s="1293"/>
      <c r="CR597" s="1293"/>
      <c r="CS597" s="1293"/>
      <c r="CT597" s="1293"/>
      <c r="CU597" s="1293"/>
      <c r="CV597" s="1293"/>
      <c r="CW597" s="1293"/>
      <c r="CX597" s="1293"/>
      <c r="CY597" s="2032"/>
      <c r="CZ597" s="1293"/>
      <c r="DA597" s="2031"/>
      <c r="DB597" s="2032"/>
      <c r="DC597" s="1293"/>
      <c r="DD597" s="1293"/>
      <c r="DE597" s="1293"/>
      <c r="DF597" s="1293"/>
      <c r="DG597" s="1293"/>
      <c r="DH597" s="1293"/>
      <c r="DI597" s="1293"/>
      <c r="DJ597" s="1293"/>
      <c r="DK597" s="1293"/>
      <c r="DL597" s="1293"/>
    </row>
    <row r="598" spans="1:116" ht="15.75">
      <c r="A598" s="1293"/>
      <c r="B598" s="1293" t="s">
        <v>4803</v>
      </c>
      <c r="C598" s="1293"/>
      <c r="D598" s="1293"/>
      <c r="E598" s="1293"/>
      <c r="F598" s="1293"/>
      <c r="G598" s="2080"/>
      <c r="H598" s="1293"/>
      <c r="I598" s="1293"/>
      <c r="J598" s="1293"/>
      <c r="K598" s="1293"/>
      <c r="L598" s="2080"/>
      <c r="M598" s="1328">
        <f t="shared" ref="M598:P599" si="545">M587/H587-1</f>
        <v>-9.5693779904306275E-2</v>
      </c>
      <c r="N598" s="1328">
        <f t="shared" si="545"/>
        <v>-8.2624544349939266E-2</v>
      </c>
      <c r="O598" s="1328">
        <f t="shared" si="545"/>
        <v>-6.6167290886392061E-2</v>
      </c>
      <c r="P598" s="1328">
        <f t="shared" si="545"/>
        <v>-6.7164179104477584E-2</v>
      </c>
      <c r="Q598" s="2080"/>
      <c r="R598" s="1328">
        <f t="shared" ref="R598:U599" si="546">R587/M587-1</f>
        <v>-2.777777777777779E-2</v>
      </c>
      <c r="S598" s="1328">
        <f t="shared" si="546"/>
        <v>-2.6915150530844145E-2</v>
      </c>
      <c r="T598" s="1328">
        <f t="shared" si="546"/>
        <v>-1.3368983957219305E-3</v>
      </c>
      <c r="U598" s="1328">
        <f t="shared" si="546"/>
        <v>1.3333333333333419E-2</v>
      </c>
      <c r="V598" s="2080"/>
      <c r="W598" s="1328">
        <f t="shared" ref="W598:Z599" si="547">W587/R587-1</f>
        <v>1.3605442176871652E-3</v>
      </c>
      <c r="X598" s="1328">
        <f t="shared" si="547"/>
        <v>4.5202576546670148E-3</v>
      </c>
      <c r="Y598" s="1328">
        <f t="shared" si="547"/>
        <v>-2.2757697456492587E-2</v>
      </c>
      <c r="Z598" s="1328">
        <f t="shared" si="547"/>
        <v>-3.9473684210526327E-2</v>
      </c>
      <c r="AA598" s="2080"/>
      <c r="AB598" s="1328"/>
      <c r="AC598" s="1328"/>
      <c r="AD598" s="1328"/>
      <c r="AE598" s="1328"/>
      <c r="AF598" s="1328"/>
      <c r="AG598" s="1328"/>
      <c r="AH598" s="1328"/>
      <c r="AI598" s="1328"/>
      <c r="AJ598" s="2186"/>
      <c r="AK598" s="1328"/>
      <c r="AL598" s="1328"/>
      <c r="AM598" s="1328"/>
      <c r="AN598" s="1328"/>
      <c r="AO598" s="2186"/>
      <c r="AP598" s="1328"/>
      <c r="AQ598" s="1328"/>
      <c r="AR598" s="1328"/>
      <c r="AS598" s="1328"/>
      <c r="AT598" s="2186"/>
      <c r="AU598" s="1328"/>
      <c r="AV598" s="1328"/>
      <c r="AW598" s="1328"/>
      <c r="AX598" s="1328"/>
      <c r="AY598" s="2186"/>
      <c r="AZ598" s="1328"/>
      <c r="BA598" s="1328"/>
      <c r="BB598" s="1328"/>
      <c r="BC598" s="1293"/>
      <c r="BD598" s="2186"/>
      <c r="BE598" s="1328"/>
      <c r="BF598" s="1328"/>
      <c r="BG598" s="1328"/>
      <c r="BH598" s="1293"/>
      <c r="BI598" s="2186"/>
      <c r="BJ598" s="1328"/>
      <c r="BK598" s="1328"/>
      <c r="BL598" s="1328"/>
      <c r="BM598" s="1328"/>
      <c r="BN598" s="2186"/>
      <c r="BO598" s="1293"/>
      <c r="BP598" s="1293"/>
      <c r="BQ598" s="1293"/>
      <c r="BR598" s="1293"/>
      <c r="BS598" s="1293"/>
      <c r="BT598" s="1293"/>
      <c r="BU598" s="1293"/>
      <c r="BV598" s="1293"/>
      <c r="BW598" s="1293"/>
      <c r="BX598" s="1293"/>
      <c r="BY598" s="1293"/>
      <c r="BZ598" s="1293"/>
      <c r="CA598" s="1293"/>
      <c r="CB598" s="1293"/>
      <c r="CC598" s="1293"/>
      <c r="CD598" s="1293"/>
      <c r="CE598" s="1293"/>
      <c r="CF598" s="1293"/>
      <c r="CG598" s="1293"/>
      <c r="CH598" s="1293"/>
      <c r="CI598" s="1293"/>
      <c r="CJ598" s="1293"/>
      <c r="CK598" s="1293"/>
      <c r="CL598" s="1293"/>
      <c r="CM598" s="1293"/>
      <c r="CN598" s="1293"/>
      <c r="CO598" s="1293"/>
      <c r="CP598" s="1293"/>
      <c r="CQ598" s="1293"/>
      <c r="CR598" s="1293"/>
      <c r="CS598" s="1293"/>
      <c r="CT598" s="1293"/>
      <c r="CU598" s="1293"/>
      <c r="CV598" s="1293"/>
      <c r="CW598" s="1293"/>
      <c r="CX598" s="1293"/>
      <c r="CY598" s="2032"/>
      <c r="CZ598" s="1293"/>
      <c r="DA598" s="2100"/>
      <c r="DB598" s="2101"/>
      <c r="DC598" s="1293"/>
      <c r="DD598" s="1293"/>
      <c r="DE598" s="1293"/>
      <c r="DF598" s="1293"/>
      <c r="DG598" s="1293"/>
      <c r="DH598" s="1293"/>
      <c r="DI598" s="1293"/>
      <c r="DJ598" s="1293"/>
      <c r="DK598" s="1293"/>
      <c r="DL598" s="1293"/>
    </row>
    <row r="599" spans="1:116" ht="15.75">
      <c r="A599" s="1293"/>
      <c r="B599" s="1293" t="s">
        <v>4804</v>
      </c>
      <c r="C599" s="1293"/>
      <c r="D599" s="1293"/>
      <c r="E599" s="1293"/>
      <c r="F599" s="1293"/>
      <c r="G599" s="2080"/>
      <c r="H599" s="1293"/>
      <c r="I599" s="1293"/>
      <c r="J599" s="1293"/>
      <c r="K599" s="1293"/>
      <c r="L599" s="2080"/>
      <c r="M599" s="1328">
        <f t="shared" si="545"/>
        <v>0.18483412322274884</v>
      </c>
      <c r="N599" s="1328">
        <f t="shared" si="545"/>
        <v>0.19469026548672574</v>
      </c>
      <c r="O599" s="1328">
        <f t="shared" si="545"/>
        <v>0.20675105485232059</v>
      </c>
      <c r="P599" s="1328">
        <f t="shared" si="545"/>
        <v>0.19918699186991873</v>
      </c>
      <c r="Q599" s="2080"/>
      <c r="R599" s="1328">
        <f t="shared" si="546"/>
        <v>0.23599999999999999</v>
      </c>
      <c r="S599" s="1328">
        <f t="shared" si="546"/>
        <v>0.214417285742311</v>
      </c>
      <c r="T599" s="1328">
        <f t="shared" si="546"/>
        <v>0.2027972027972027</v>
      </c>
      <c r="U599" s="1328">
        <f t="shared" si="546"/>
        <v>0.20338983050847448</v>
      </c>
      <c r="V599" s="2080"/>
      <c r="W599" s="1328">
        <f t="shared" si="547"/>
        <v>0.14239482200647258</v>
      </c>
      <c r="X599" s="1328">
        <f t="shared" si="547"/>
        <v>0.11621892365190933</v>
      </c>
      <c r="Y599" s="1328">
        <f t="shared" si="547"/>
        <v>6.6860465116278966E-2</v>
      </c>
      <c r="Z599" s="1328">
        <f t="shared" si="547"/>
        <v>3.6619718309859106E-2</v>
      </c>
      <c r="AA599" s="2080"/>
      <c r="AB599" s="1328"/>
      <c r="AC599" s="1328"/>
      <c r="AD599" s="1328"/>
      <c r="AE599" s="1328"/>
      <c r="AF599" s="1328"/>
      <c r="AG599" s="1328"/>
      <c r="AH599" s="1328"/>
      <c r="AI599" s="1328"/>
      <c r="AJ599" s="2186"/>
      <c r="AK599" s="1328"/>
      <c r="AL599" s="1328"/>
      <c r="AM599" s="1328"/>
      <c r="AN599" s="1328"/>
      <c r="AO599" s="2186"/>
      <c r="AP599" s="1328"/>
      <c r="AQ599" s="1328"/>
      <c r="AR599" s="1328"/>
      <c r="AS599" s="1328"/>
      <c r="AT599" s="2186"/>
      <c r="AU599" s="1328"/>
      <c r="AV599" s="1328"/>
      <c r="AW599" s="1328"/>
      <c r="AX599" s="1328"/>
      <c r="AY599" s="2186"/>
      <c r="AZ599" s="1328"/>
      <c r="BA599" s="1328"/>
      <c r="BB599" s="1328"/>
      <c r="BC599" s="1293"/>
      <c r="BD599" s="2186"/>
      <c r="BE599" s="1328"/>
      <c r="BF599" s="1328"/>
      <c r="BG599" s="1328"/>
      <c r="BH599" s="1293"/>
      <c r="BI599" s="2186"/>
      <c r="BJ599" s="1328"/>
      <c r="BK599" s="1328"/>
      <c r="BL599" s="1328"/>
      <c r="BM599" s="1328"/>
      <c r="BN599" s="2186"/>
      <c r="BO599" s="1293"/>
      <c r="BP599" s="1293"/>
      <c r="BQ599" s="1293"/>
      <c r="BR599" s="1293"/>
      <c r="BS599" s="1293"/>
      <c r="BT599" s="1293"/>
      <c r="BU599" s="1293"/>
      <c r="BV599" s="1293"/>
      <c r="BW599" s="1293"/>
      <c r="BX599" s="1293"/>
      <c r="BY599" s="1293"/>
      <c r="BZ599" s="1293"/>
      <c r="CA599" s="1293"/>
      <c r="CB599" s="1293"/>
      <c r="CC599" s="1293"/>
      <c r="CD599" s="1293"/>
      <c r="CE599" s="1293"/>
      <c r="CF599" s="1293"/>
      <c r="CG599" s="1293"/>
      <c r="CH599" s="1293"/>
      <c r="CI599" s="1293"/>
      <c r="CJ599" s="1293"/>
      <c r="CK599" s="1293"/>
      <c r="CL599" s="1293"/>
      <c r="CM599" s="1293"/>
      <c r="CN599" s="1293"/>
      <c r="CO599" s="1293"/>
      <c r="CP599" s="1293"/>
      <c r="CQ599" s="1293"/>
      <c r="CR599" s="1293"/>
      <c r="CS599" s="1293"/>
      <c r="CT599" s="1293"/>
      <c r="CU599" s="1293"/>
      <c r="CV599" s="1293"/>
      <c r="CW599" s="1293"/>
      <c r="CX599" s="1293"/>
      <c r="CY599" s="2032"/>
      <c r="CZ599" s="1293"/>
      <c r="DA599" s="2100"/>
      <c r="DB599" s="2101"/>
      <c r="DC599" s="1293"/>
      <c r="DD599" s="1293"/>
      <c r="DE599" s="1293"/>
      <c r="DF599" s="1293"/>
      <c r="DG599" s="1293"/>
      <c r="DH599" s="1293"/>
      <c r="DI599" s="1293"/>
      <c r="DJ599" s="1293"/>
      <c r="DK599" s="1293"/>
      <c r="DL599" s="1293"/>
    </row>
    <row r="600" spans="1:116" ht="15.75">
      <c r="A600" s="1293"/>
      <c r="B600" s="1293" t="str">
        <f>B590</f>
        <v>Home service (B2C)</v>
      </c>
      <c r="C600" s="1293"/>
      <c r="D600" s="1293"/>
      <c r="E600" s="1293"/>
      <c r="F600" s="1293"/>
      <c r="G600" s="2080"/>
      <c r="H600" s="1293"/>
      <c r="I600" s="1293"/>
      <c r="J600" s="1293"/>
      <c r="K600" s="1293"/>
      <c r="L600" s="2080"/>
      <c r="M600" s="1328">
        <f t="shared" ref="M600:P603" si="548">M590/H590-1</f>
        <v>-5.0387596899224785E-2</v>
      </c>
      <c r="N600" s="1328">
        <f t="shared" si="548"/>
        <v>-2.2641509433962259E-2</v>
      </c>
      <c r="O600" s="1328">
        <f t="shared" si="548"/>
        <v>5.6910569105691033E-2</v>
      </c>
      <c r="P600" s="1328">
        <f t="shared" si="548"/>
        <v>8.0971659919028438E-2</v>
      </c>
      <c r="Q600" s="2080"/>
      <c r="R600" s="1328">
        <f t="shared" ref="R600:U603" si="549">R590/M590-1</f>
        <v>0.1306122448979592</v>
      </c>
      <c r="S600" s="1328">
        <f t="shared" si="549"/>
        <v>7.540172855405336E-2</v>
      </c>
      <c r="T600" s="1328">
        <f t="shared" si="549"/>
        <v>8.4615384615384537E-2</v>
      </c>
      <c r="U600" s="1328">
        <f t="shared" si="549"/>
        <v>8.2397003745318331E-2</v>
      </c>
      <c r="V600" s="2080"/>
      <c r="W600" s="1328">
        <f t="shared" ref="W600:Z603" si="550">W590/R590-1</f>
        <v>9.0252707581227387E-2</v>
      </c>
      <c r="X600" s="1328">
        <f t="shared" si="550"/>
        <v>0.145302447408447</v>
      </c>
      <c r="Y600" s="1328">
        <f t="shared" si="550"/>
        <v>0.13829787234042556</v>
      </c>
      <c r="Z600" s="1328">
        <f t="shared" si="550"/>
        <v>9.3425605536332279E-2</v>
      </c>
      <c r="AA600" s="2080"/>
      <c r="AB600" s="1328"/>
      <c r="AC600" s="1328"/>
      <c r="AD600" s="1328"/>
      <c r="AE600" s="1328"/>
      <c r="AF600" s="1328"/>
      <c r="AG600" s="1328"/>
      <c r="AH600" s="1328"/>
      <c r="AI600" s="1328"/>
      <c r="AJ600" s="2186"/>
      <c r="AK600" s="1328"/>
      <c r="AL600" s="1328"/>
      <c r="AM600" s="1328"/>
      <c r="AN600" s="1328"/>
      <c r="AO600" s="2186"/>
      <c r="AP600" s="1328"/>
      <c r="AQ600" s="1328"/>
      <c r="AR600" s="1328"/>
      <c r="AS600" s="1328"/>
      <c r="AT600" s="2186"/>
      <c r="AU600" s="1328"/>
      <c r="AV600" s="1328"/>
      <c r="AW600" s="1328"/>
      <c r="AX600" s="1328"/>
      <c r="AY600" s="2186"/>
      <c r="AZ600" s="1328"/>
      <c r="BA600" s="1328"/>
      <c r="BB600" s="1328"/>
      <c r="BC600" s="1293"/>
      <c r="BD600" s="2186"/>
      <c r="BE600" s="1328"/>
      <c r="BF600" s="1328"/>
      <c r="BG600" s="1328"/>
      <c r="BH600" s="1293"/>
      <c r="BI600" s="2186"/>
      <c r="BJ600" s="1328"/>
      <c r="BK600" s="1328"/>
      <c r="BL600" s="1328"/>
      <c r="BM600" s="1328"/>
      <c r="BN600" s="2186"/>
      <c r="BO600" s="1293"/>
      <c r="BP600" s="1293"/>
      <c r="BQ600" s="1293"/>
      <c r="BR600" s="1293"/>
      <c r="BS600" s="1293"/>
      <c r="BT600" s="1293"/>
      <c r="BU600" s="1293"/>
      <c r="BV600" s="1293"/>
      <c r="BW600" s="1293"/>
      <c r="BX600" s="1293"/>
      <c r="BY600" s="1293"/>
      <c r="BZ600" s="1293"/>
      <c r="CA600" s="1293"/>
      <c r="CB600" s="1293"/>
      <c r="CC600" s="1293"/>
      <c r="CD600" s="1293"/>
      <c r="CE600" s="1293"/>
      <c r="CF600" s="1293"/>
      <c r="CG600" s="1293"/>
      <c r="CH600" s="1293"/>
      <c r="CI600" s="1293"/>
      <c r="CJ600" s="1293"/>
      <c r="CK600" s="1293"/>
      <c r="CL600" s="1293"/>
      <c r="CM600" s="1293"/>
      <c r="CN600" s="1293"/>
      <c r="CO600" s="1293"/>
      <c r="CP600" s="1293"/>
      <c r="CQ600" s="1293"/>
      <c r="CR600" s="1293"/>
      <c r="CS600" s="1293"/>
      <c r="CT600" s="1293"/>
      <c r="CU600" s="1293"/>
      <c r="CV600" s="1293"/>
      <c r="CW600" s="1293"/>
      <c r="CX600" s="1293"/>
      <c r="CY600" s="2032"/>
      <c r="CZ600" s="1293"/>
      <c r="DA600" s="2100"/>
      <c r="DB600" s="2101"/>
      <c r="DC600" s="1293"/>
      <c r="DD600" s="1293"/>
      <c r="DE600" s="1293"/>
      <c r="DF600" s="1293"/>
      <c r="DG600" s="1293"/>
      <c r="DH600" s="1293"/>
      <c r="DI600" s="1293"/>
      <c r="DJ600" s="1293"/>
      <c r="DK600" s="1293"/>
      <c r="DL600" s="1293"/>
    </row>
    <row r="601" spans="1:116" ht="15.75">
      <c r="A601" s="1293"/>
      <c r="B601" s="1293" t="str">
        <f>B591</f>
        <v>B2B service</v>
      </c>
      <c r="C601" s="1293"/>
      <c r="D601" s="1293"/>
      <c r="E601" s="1293"/>
      <c r="F601" s="1293"/>
      <c r="G601" s="2080"/>
      <c r="H601" s="1293"/>
      <c r="I601" s="1293"/>
      <c r="J601" s="1293"/>
      <c r="K601" s="1293"/>
      <c r="L601" s="2080"/>
      <c r="M601" s="1328">
        <f t="shared" si="548"/>
        <v>-8.7336244541484698E-2</v>
      </c>
      <c r="N601" s="1328">
        <f t="shared" si="548"/>
        <v>-5.084745762711862E-2</v>
      </c>
      <c r="O601" s="1328">
        <f t="shared" si="548"/>
        <v>-1.7543859649122862E-2</v>
      </c>
      <c r="P601" s="1328">
        <f t="shared" si="548"/>
        <v>8.733624454148492E-3</v>
      </c>
      <c r="Q601" s="2080"/>
      <c r="R601" s="1328">
        <f t="shared" si="549"/>
        <v>7.1770334928229707E-2</v>
      </c>
      <c r="S601" s="1328">
        <f t="shared" si="549"/>
        <v>1.8833777055700995E-2</v>
      </c>
      <c r="T601" s="1328">
        <f t="shared" si="549"/>
        <v>5.8035714285714191E-2</v>
      </c>
      <c r="U601" s="1328">
        <f t="shared" si="549"/>
        <v>6.9264069264069361E-2</v>
      </c>
      <c r="V601" s="2080"/>
      <c r="W601" s="1328">
        <f t="shared" si="550"/>
        <v>7.1428571428571397E-2</v>
      </c>
      <c r="X601" s="1328">
        <f t="shared" si="550"/>
        <v>4.7240786222926268E-2</v>
      </c>
      <c r="Y601" s="1328">
        <f t="shared" si="550"/>
        <v>-0.13080168776371304</v>
      </c>
      <c r="Z601" s="1328">
        <f t="shared" si="550"/>
        <v>-0.17813765182186236</v>
      </c>
      <c r="AA601" s="2080"/>
      <c r="AB601" s="1328"/>
      <c r="AC601" s="1328"/>
      <c r="AD601" s="1328"/>
      <c r="AE601" s="1328"/>
      <c r="AF601" s="1328"/>
      <c r="AG601" s="1328"/>
      <c r="AH601" s="1328"/>
      <c r="AI601" s="1328"/>
      <c r="AJ601" s="2186"/>
      <c r="AK601" s="1328"/>
      <c r="AL601" s="1328"/>
      <c r="AM601" s="1328"/>
      <c r="AN601" s="1328"/>
      <c r="AO601" s="2186"/>
      <c r="AP601" s="1328"/>
      <c r="AQ601" s="1328"/>
      <c r="AR601" s="1328"/>
      <c r="AS601" s="1328"/>
      <c r="AT601" s="2186"/>
      <c r="AU601" s="1328"/>
      <c r="AV601" s="1328"/>
      <c r="AW601" s="1328"/>
      <c r="AX601" s="1328"/>
      <c r="AY601" s="2186"/>
      <c r="AZ601" s="1328"/>
      <c r="BA601" s="1328"/>
      <c r="BB601" s="1328"/>
      <c r="BC601" s="1293"/>
      <c r="BD601" s="2186"/>
      <c r="BE601" s="1328"/>
      <c r="BF601" s="1328"/>
      <c r="BG601" s="1328"/>
      <c r="BH601" s="1293"/>
      <c r="BI601" s="2186"/>
      <c r="BJ601" s="1328"/>
      <c r="BK601" s="1328"/>
      <c r="BL601" s="1328"/>
      <c r="BM601" s="1328"/>
      <c r="BN601" s="2186"/>
      <c r="BO601" s="1293"/>
      <c r="BP601" s="1293"/>
      <c r="BQ601" s="1293"/>
      <c r="BR601" s="1293"/>
      <c r="BS601" s="1293"/>
      <c r="BT601" s="1293"/>
      <c r="BU601" s="1293"/>
      <c r="BV601" s="1293"/>
      <c r="BW601" s="1293"/>
      <c r="BX601" s="1293"/>
      <c r="BY601" s="1293"/>
      <c r="BZ601" s="1293"/>
      <c r="CA601" s="1293"/>
      <c r="CB601" s="1293"/>
      <c r="CC601" s="1293"/>
      <c r="CD601" s="1293"/>
      <c r="CE601" s="1293"/>
      <c r="CF601" s="1293"/>
      <c r="CG601" s="1293"/>
      <c r="CH601" s="1293"/>
      <c r="CI601" s="1293"/>
      <c r="CJ601" s="1293"/>
      <c r="CK601" s="1293"/>
      <c r="CL601" s="1293"/>
      <c r="CM601" s="1293"/>
      <c r="CN601" s="1293"/>
      <c r="CO601" s="1293"/>
      <c r="CP601" s="1293"/>
      <c r="CQ601" s="1293"/>
      <c r="CR601" s="1293"/>
      <c r="CS601" s="1293"/>
      <c r="CT601" s="1293"/>
      <c r="CU601" s="1293"/>
      <c r="CV601" s="1293"/>
      <c r="CW601" s="1293"/>
      <c r="CX601" s="1293"/>
      <c r="CY601" s="2032"/>
      <c r="CZ601" s="1293"/>
      <c r="DA601" s="2100"/>
      <c r="DB601" s="2101"/>
      <c r="DC601" s="1293"/>
      <c r="DD601" s="1293"/>
      <c r="DE601" s="1293"/>
      <c r="DF601" s="1293"/>
      <c r="DG601" s="1293"/>
      <c r="DH601" s="1293"/>
      <c r="DI601" s="1293"/>
      <c r="DJ601" s="1293"/>
      <c r="DK601" s="1293"/>
      <c r="DL601" s="1293"/>
    </row>
    <row r="602" spans="1:116" ht="15.75">
      <c r="A602" s="1293"/>
      <c r="B602" s="1293" t="str">
        <f>B592</f>
        <v xml:space="preserve"> - of which fixed</v>
      </c>
      <c r="C602" s="1293"/>
      <c r="D602" s="1293"/>
      <c r="E602" s="1293"/>
      <c r="F602" s="1293"/>
      <c r="G602" s="2080"/>
      <c r="H602" s="1293"/>
      <c r="I602" s="1293"/>
      <c r="J602" s="1293"/>
      <c r="K602" s="1293"/>
      <c r="L602" s="2080"/>
      <c r="M602" s="1328">
        <f t="shared" si="548"/>
        <v>-0.10810810810810811</v>
      </c>
      <c r="N602" s="1328">
        <f t="shared" si="548"/>
        <v>-5.7692307692307709E-2</v>
      </c>
      <c r="O602" s="1328">
        <f t="shared" si="548"/>
        <v>-2.0134228187919434E-2</v>
      </c>
      <c r="P602" s="1328">
        <f t="shared" si="548"/>
        <v>1.3245033112582849E-2</v>
      </c>
      <c r="Q602" s="2080"/>
      <c r="R602" s="1328">
        <f t="shared" si="549"/>
        <v>0.13636363636363646</v>
      </c>
      <c r="S602" s="1328">
        <f t="shared" si="549"/>
        <v>3.6174720735816512E-2</v>
      </c>
      <c r="T602" s="1328">
        <f t="shared" si="549"/>
        <v>8.9041095890410871E-2</v>
      </c>
      <c r="U602" s="1328">
        <f t="shared" si="549"/>
        <v>9.8039215686274606E-2</v>
      </c>
      <c r="V602" s="2080"/>
      <c r="W602" s="1328">
        <f t="shared" si="550"/>
        <v>-6.6666666666666652E-2</v>
      </c>
      <c r="X602" s="1328">
        <f t="shared" si="550"/>
        <v>-6.1172699759115989E-2</v>
      </c>
      <c r="Y602" s="1328">
        <f t="shared" si="550"/>
        <v>-0.14465408805031443</v>
      </c>
      <c r="Z602" s="1328">
        <f t="shared" si="550"/>
        <v>-0.22023809523809523</v>
      </c>
      <c r="AA602" s="2080"/>
      <c r="AB602" s="1328"/>
      <c r="AC602" s="1328"/>
      <c r="AD602" s="1328"/>
      <c r="AE602" s="1328"/>
      <c r="AF602" s="1328"/>
      <c r="AG602" s="1328"/>
      <c r="AH602" s="1328"/>
      <c r="AI602" s="1328"/>
      <c r="AJ602" s="2186"/>
      <c r="AK602" s="1328"/>
      <c r="AL602" s="1328"/>
      <c r="AM602" s="1328"/>
      <c r="AN602" s="1328"/>
      <c r="AO602" s="2186"/>
      <c r="AP602" s="1328"/>
      <c r="AQ602" s="1328"/>
      <c r="AR602" s="1328"/>
      <c r="AS602" s="1328"/>
      <c r="AT602" s="2186"/>
      <c r="AU602" s="1328"/>
      <c r="AV602" s="1328"/>
      <c r="AW602" s="1328"/>
      <c r="AX602" s="1328"/>
      <c r="AY602" s="2186"/>
      <c r="AZ602" s="1328"/>
      <c r="BA602" s="1328"/>
      <c r="BB602" s="1328"/>
      <c r="BC602" s="1293"/>
      <c r="BD602" s="2186"/>
      <c r="BE602" s="1328"/>
      <c r="BF602" s="1328"/>
      <c r="BG602" s="1328"/>
      <c r="BH602" s="1293"/>
      <c r="BI602" s="2186"/>
      <c r="BJ602" s="1328"/>
      <c r="BK602" s="1328"/>
      <c r="BL602" s="1328"/>
      <c r="BM602" s="1328"/>
      <c r="BN602" s="2186"/>
      <c r="BO602" s="1293"/>
      <c r="BP602" s="1293"/>
      <c r="BQ602" s="1293"/>
      <c r="BR602" s="1293"/>
      <c r="BS602" s="1293"/>
      <c r="BT602" s="1293"/>
      <c r="BU602" s="1293"/>
      <c r="BV602" s="1293"/>
      <c r="BW602" s="1293"/>
      <c r="BX602" s="1293"/>
      <c r="BY602" s="1293"/>
      <c r="BZ602" s="1293"/>
      <c r="CA602" s="1293"/>
      <c r="CB602" s="1293"/>
      <c r="CC602" s="1293"/>
      <c r="CD602" s="1293"/>
      <c r="CE602" s="1293"/>
      <c r="CF602" s="1293"/>
      <c r="CG602" s="1293"/>
      <c r="CH602" s="1293"/>
      <c r="CI602" s="1293"/>
      <c r="CJ602" s="1293"/>
      <c r="CK602" s="1293"/>
      <c r="CL602" s="1293"/>
      <c r="CM602" s="1293"/>
      <c r="CN602" s="1293"/>
      <c r="CO602" s="1293"/>
      <c r="CP602" s="1293"/>
      <c r="CQ602" s="1293"/>
      <c r="CR602" s="1293"/>
      <c r="CS602" s="1293"/>
      <c r="CT602" s="1293"/>
      <c r="CU602" s="1293"/>
      <c r="CV602" s="1293"/>
      <c r="CW602" s="1293"/>
      <c r="CX602" s="1293"/>
      <c r="CY602" s="2032"/>
      <c r="CZ602" s="1293"/>
      <c r="DA602" s="2100"/>
      <c r="DB602" s="2101"/>
      <c r="DC602" s="1293"/>
      <c r="DD602" s="1293"/>
      <c r="DE602" s="1293"/>
      <c r="DF602" s="1293"/>
      <c r="DG602" s="1293"/>
      <c r="DH602" s="1293"/>
      <c r="DI602" s="1293"/>
      <c r="DJ602" s="1293"/>
      <c r="DK602" s="1293"/>
      <c r="DL602" s="1293"/>
    </row>
    <row r="603" spans="1:116" ht="15.75">
      <c r="A603" s="1293"/>
      <c r="B603" s="1293" t="str">
        <f>B593</f>
        <v xml:space="preserve"> - of which mobile</v>
      </c>
      <c r="C603" s="1293"/>
      <c r="D603" s="1293"/>
      <c r="E603" s="1293"/>
      <c r="F603" s="1293"/>
      <c r="G603" s="2080"/>
      <c r="H603" s="1293"/>
      <c r="I603" s="1293"/>
      <c r="J603" s="1293"/>
      <c r="K603" s="1293"/>
      <c r="L603" s="2080"/>
      <c r="M603" s="1328">
        <f t="shared" si="548"/>
        <v>-4.9382716049382713E-2</v>
      </c>
      <c r="N603" s="1328">
        <f t="shared" si="548"/>
        <v>-3.7499999999999978E-2</v>
      </c>
      <c r="O603" s="1328">
        <f t="shared" si="548"/>
        <v>-1.2658227848101222E-2</v>
      </c>
      <c r="P603" s="1328">
        <f t="shared" si="548"/>
        <v>0</v>
      </c>
      <c r="Q603" s="2080"/>
      <c r="R603" s="1328">
        <f t="shared" si="549"/>
        <v>-3.8961038961038974E-2</v>
      </c>
      <c r="S603" s="1328">
        <f t="shared" si="549"/>
        <v>-1.4271660879064951E-2</v>
      </c>
      <c r="T603" s="1328">
        <f t="shared" si="549"/>
        <v>0</v>
      </c>
      <c r="U603" s="1328">
        <f t="shared" si="549"/>
        <v>1.2820512820512775E-2</v>
      </c>
      <c r="V603" s="2080"/>
      <c r="W603" s="1328">
        <f t="shared" si="550"/>
        <v>0.35135135135135132</v>
      </c>
      <c r="X603" s="1328">
        <f t="shared" si="550"/>
        <v>0.26480410197508553</v>
      </c>
      <c r="Y603" s="1328">
        <f t="shared" si="550"/>
        <v>-0.10256410256410253</v>
      </c>
      <c r="Z603" s="1328">
        <f t="shared" si="550"/>
        <v>-8.8607594936708889E-2</v>
      </c>
      <c r="AA603" s="2080"/>
      <c r="AB603" s="1328"/>
      <c r="AC603" s="1328"/>
      <c r="AD603" s="1328"/>
      <c r="AE603" s="1328"/>
      <c r="AF603" s="1328"/>
      <c r="AG603" s="1328"/>
      <c r="AH603" s="1328"/>
      <c r="AI603" s="1328"/>
      <c r="AJ603" s="2186"/>
      <c r="AK603" s="1328"/>
      <c r="AL603" s="1328"/>
      <c r="AM603" s="1328"/>
      <c r="AN603" s="1328"/>
      <c r="AO603" s="2186"/>
      <c r="AP603" s="1328"/>
      <c r="AQ603" s="1328"/>
      <c r="AR603" s="1328"/>
      <c r="AS603" s="1328"/>
      <c r="AT603" s="2186"/>
      <c r="AU603" s="1328"/>
      <c r="AV603" s="1328"/>
      <c r="AW603" s="1328"/>
      <c r="AX603" s="1328"/>
      <c r="AY603" s="2186"/>
      <c r="AZ603" s="1328"/>
      <c r="BA603" s="1328"/>
      <c r="BB603" s="1328"/>
      <c r="BC603" s="1293"/>
      <c r="BD603" s="2186"/>
      <c r="BE603" s="1328"/>
      <c r="BF603" s="1328"/>
      <c r="BG603" s="1328"/>
      <c r="BH603" s="1293"/>
      <c r="BI603" s="2186"/>
      <c r="BJ603" s="1328"/>
      <c r="BK603" s="1328"/>
      <c r="BL603" s="1328"/>
      <c r="BM603" s="1328"/>
      <c r="BN603" s="2186"/>
      <c r="BO603" s="1293"/>
      <c r="BP603" s="1293"/>
      <c r="BQ603" s="1293"/>
      <c r="BR603" s="1293"/>
      <c r="BS603" s="1293"/>
      <c r="BT603" s="1293"/>
      <c r="BU603" s="1293"/>
      <c r="BV603" s="1293"/>
      <c r="BW603" s="1293"/>
      <c r="BX603" s="1293"/>
      <c r="BY603" s="1293"/>
      <c r="BZ603" s="1293"/>
      <c r="CA603" s="1293"/>
      <c r="CB603" s="1293"/>
      <c r="CC603" s="1293"/>
      <c r="CD603" s="1293"/>
      <c r="CE603" s="1293"/>
      <c r="CF603" s="1293"/>
      <c r="CG603" s="1293"/>
      <c r="CH603" s="1293"/>
      <c r="CI603" s="1293"/>
      <c r="CJ603" s="1293"/>
      <c r="CK603" s="1293"/>
      <c r="CL603" s="1293"/>
      <c r="CM603" s="1293"/>
      <c r="CN603" s="1293"/>
      <c r="CO603" s="1293"/>
      <c r="CP603" s="1293"/>
      <c r="CQ603" s="1293"/>
      <c r="CR603" s="1293"/>
      <c r="CS603" s="1293"/>
      <c r="CT603" s="1293"/>
      <c r="CU603" s="1293"/>
      <c r="CV603" s="1293"/>
      <c r="CW603" s="1293"/>
      <c r="CX603" s="1293"/>
      <c r="CY603" s="2032"/>
      <c r="CZ603" s="1293"/>
      <c r="DA603" s="2100"/>
      <c r="DB603" s="2101"/>
      <c r="DC603" s="1293"/>
      <c r="DD603" s="1293"/>
      <c r="DE603" s="1293"/>
      <c r="DF603" s="1293"/>
      <c r="DG603" s="1293"/>
      <c r="DH603" s="1293"/>
      <c r="DI603" s="1293"/>
      <c r="DJ603" s="1293"/>
      <c r="DK603" s="1293"/>
      <c r="DL603" s="1293"/>
    </row>
    <row r="604" spans="1:116" ht="15.75">
      <c r="A604" s="1293"/>
      <c r="B604" s="1293"/>
      <c r="C604" s="1293"/>
      <c r="D604" s="1293"/>
      <c r="E604" s="1293"/>
      <c r="F604" s="1293"/>
      <c r="G604" s="2080"/>
      <c r="H604" s="1293"/>
      <c r="I604" s="1293"/>
      <c r="J604" s="1293"/>
      <c r="K604" s="1293"/>
      <c r="L604" s="2080"/>
      <c r="M604" s="1293"/>
      <c r="N604" s="1293"/>
      <c r="O604" s="1293"/>
      <c r="P604" s="1293"/>
      <c r="Q604" s="2080"/>
      <c r="R604" s="1293"/>
      <c r="S604" s="1293"/>
      <c r="T604" s="1293"/>
      <c r="U604" s="1293"/>
      <c r="V604" s="2080"/>
      <c r="W604" s="1293"/>
      <c r="X604" s="1293"/>
      <c r="Y604" s="1293"/>
      <c r="Z604" s="1293"/>
      <c r="AA604" s="2080"/>
      <c r="AB604" s="1293"/>
      <c r="AC604" s="1293"/>
      <c r="AD604" s="1293"/>
      <c r="AE604" s="1293"/>
      <c r="AF604" s="1293"/>
      <c r="AG604" s="1293"/>
      <c r="AH604" s="1293"/>
      <c r="AI604" s="1293"/>
      <c r="AJ604" s="2186"/>
      <c r="AK604" s="1293"/>
      <c r="AL604" s="1293"/>
      <c r="AM604" s="1293"/>
      <c r="AN604" s="1293"/>
      <c r="AO604" s="2186"/>
      <c r="AP604" s="1293"/>
      <c r="AQ604" s="1293"/>
      <c r="AR604" s="1293"/>
      <c r="AS604" s="1293"/>
      <c r="AT604" s="2186"/>
      <c r="AU604" s="1293"/>
      <c r="AV604" s="1293"/>
      <c r="AW604" s="1293"/>
      <c r="AX604" s="1293"/>
      <c r="AY604" s="2186"/>
      <c r="AZ604" s="1293"/>
      <c r="BA604" s="1293"/>
      <c r="BB604" s="1293"/>
      <c r="BC604" s="1293"/>
      <c r="BD604" s="2186"/>
      <c r="BE604" s="1293"/>
      <c r="BF604" s="1293"/>
      <c r="BG604" s="1293"/>
      <c r="BH604" s="1293"/>
      <c r="BI604" s="2186"/>
      <c r="BJ604" s="1293"/>
      <c r="BK604" s="1293"/>
      <c r="BL604" s="1293"/>
      <c r="BM604" s="1293"/>
      <c r="BN604" s="2186"/>
      <c r="BO604" s="1293"/>
      <c r="BP604" s="1293"/>
      <c r="BQ604" s="1293"/>
      <c r="BR604" s="1293"/>
      <c r="BS604" s="1293"/>
      <c r="BT604" s="1293"/>
      <c r="BU604" s="1293"/>
      <c r="BV604" s="1293"/>
      <c r="BW604" s="1293"/>
      <c r="BX604" s="1293"/>
      <c r="BY604" s="1293"/>
      <c r="BZ604" s="1293"/>
      <c r="CA604" s="1293"/>
      <c r="CB604" s="1293"/>
      <c r="CC604" s="1293"/>
      <c r="CD604" s="1293"/>
      <c r="CE604" s="1293"/>
      <c r="CF604" s="1293"/>
      <c r="CG604" s="1293"/>
      <c r="CH604" s="1293"/>
      <c r="CI604" s="1293"/>
      <c r="CJ604" s="1293"/>
      <c r="CK604" s="1293"/>
      <c r="CL604" s="1293"/>
      <c r="CM604" s="1293"/>
      <c r="CN604" s="1293"/>
      <c r="CO604" s="1293"/>
      <c r="CP604" s="1293"/>
      <c r="CQ604" s="1293"/>
      <c r="CR604" s="1293"/>
      <c r="CS604" s="1293"/>
      <c r="CT604" s="1293"/>
      <c r="CU604" s="1293"/>
      <c r="CV604" s="1293"/>
      <c r="CW604" s="1293"/>
      <c r="CX604" s="1293"/>
      <c r="CY604" s="2032"/>
      <c r="CZ604" s="1293"/>
      <c r="DA604" s="2031"/>
      <c r="DB604" s="2032"/>
      <c r="DC604" s="1293"/>
      <c r="DD604" s="1293"/>
      <c r="DE604" s="1293"/>
      <c r="DF604" s="1293"/>
      <c r="DG604" s="1293"/>
      <c r="DH604" s="1293"/>
      <c r="DI604" s="1293"/>
      <c r="DJ604" s="1293"/>
      <c r="DK604" s="1293"/>
      <c r="DL604" s="1293"/>
    </row>
    <row r="605" spans="1:116" ht="15.75">
      <c r="A605" s="1293"/>
      <c r="B605" s="1293" t="str">
        <f>B595</f>
        <v>Total fixed</v>
      </c>
      <c r="C605" s="1293"/>
      <c r="D605" s="1293"/>
      <c r="E605" s="1293"/>
      <c r="F605" s="1293"/>
      <c r="G605" s="2080"/>
      <c r="H605" s="1293"/>
      <c r="I605" s="1293"/>
      <c r="J605" s="1293"/>
      <c r="K605" s="1293"/>
      <c r="L605" s="2080"/>
      <c r="M605" s="1328">
        <f>M595/H595-1</f>
        <v>-7.1428571428571397E-2</v>
      </c>
      <c r="N605" s="1328">
        <f>N595/I595-1</f>
        <v>-3.5629453681710221E-2</v>
      </c>
      <c r="O605" s="1328">
        <f>O595/J595-1</f>
        <v>2.7848101265822711E-2</v>
      </c>
      <c r="P605" s="1328">
        <f>P595/K595-1</f>
        <v>5.5276381909547645E-2</v>
      </c>
      <c r="Q605" s="2080"/>
      <c r="R605" s="1328">
        <f>R595/M595-1</f>
        <v>0.13262599469496017</v>
      </c>
      <c r="S605" s="1328">
        <f>S595/N595-1</f>
        <v>6.1198846412967578E-2</v>
      </c>
      <c r="T605" s="1328">
        <f>T595/O595-1</f>
        <v>8.6206896551724199E-2</v>
      </c>
      <c r="U605" s="1328">
        <f>U595/P595-1</f>
        <v>8.8095238095238004E-2</v>
      </c>
      <c r="V605" s="2080"/>
      <c r="W605" s="1328">
        <f>W595/R595-1</f>
        <v>3.5128805620608938E-2</v>
      </c>
      <c r="X605" s="1328">
        <f>X595/S595-1</f>
        <v>7.230707829089611E-2</v>
      </c>
      <c r="Y605" s="1328">
        <f>Y595/T595-1</f>
        <v>3.6281179138321962E-2</v>
      </c>
      <c r="Z605" s="1328">
        <f>Z595/U595-1</f>
        <v>-2.1881838074398252E-2</v>
      </c>
      <c r="AA605" s="2080"/>
      <c r="AB605" s="1328"/>
      <c r="AC605" s="1328"/>
      <c r="AD605" s="1328"/>
      <c r="AE605" s="1328"/>
      <c r="AF605" s="1328"/>
      <c r="AG605" s="1328"/>
      <c r="AH605" s="1328"/>
      <c r="AI605" s="1328"/>
      <c r="AJ605" s="2186"/>
      <c r="AK605" s="1328"/>
      <c r="AL605" s="1328"/>
      <c r="AM605" s="1328"/>
      <c r="AN605" s="1328"/>
      <c r="AO605" s="2186"/>
      <c r="AP605" s="1328"/>
      <c r="AQ605" s="1328"/>
      <c r="AR605" s="1328"/>
      <c r="AS605" s="1328"/>
      <c r="AT605" s="2186"/>
      <c r="AU605" s="1328"/>
      <c r="AV605" s="1328"/>
      <c r="AW605" s="1328"/>
      <c r="AX605" s="1328"/>
      <c r="AY605" s="2186"/>
      <c r="AZ605" s="1328"/>
      <c r="BA605" s="1328"/>
      <c r="BB605" s="1328"/>
      <c r="BC605" s="1293"/>
      <c r="BD605" s="2186"/>
      <c r="BE605" s="1328"/>
      <c r="BF605" s="1328"/>
      <c r="BG605" s="1328"/>
      <c r="BH605" s="1293"/>
      <c r="BI605" s="2186"/>
      <c r="BJ605" s="1328"/>
      <c r="BK605" s="1328"/>
      <c r="BL605" s="1328"/>
      <c r="BM605" s="1328"/>
      <c r="BN605" s="2186"/>
      <c r="BO605" s="1293"/>
      <c r="BP605" s="1293"/>
      <c r="BQ605" s="1293"/>
      <c r="BR605" s="1293"/>
      <c r="BS605" s="1293"/>
      <c r="BT605" s="1293"/>
      <c r="BU605" s="1293"/>
      <c r="BV605" s="1293"/>
      <c r="BW605" s="1293"/>
      <c r="BX605" s="1293"/>
      <c r="BY605" s="1293"/>
      <c r="BZ605" s="1293"/>
      <c r="CA605" s="1293"/>
      <c r="CB605" s="1293"/>
      <c r="CC605" s="1293"/>
      <c r="CD605" s="1293"/>
      <c r="CE605" s="1293"/>
      <c r="CF605" s="1293"/>
      <c r="CG605" s="1293"/>
      <c r="CH605" s="1293"/>
      <c r="CI605" s="1293"/>
      <c r="CJ605" s="1293"/>
      <c r="CK605" s="1293"/>
      <c r="CL605" s="1293"/>
      <c r="CM605" s="1293"/>
      <c r="CN605" s="1293"/>
      <c r="CO605" s="1293"/>
      <c r="CP605" s="1293"/>
      <c r="CQ605" s="1293"/>
      <c r="CR605" s="1293"/>
      <c r="CS605" s="1293"/>
      <c r="CT605" s="1293"/>
      <c r="CU605" s="1293"/>
      <c r="CV605" s="1293"/>
      <c r="CW605" s="1293"/>
      <c r="CX605" s="1293"/>
      <c r="CY605" s="2032"/>
      <c r="CZ605" s="1293"/>
      <c r="DA605" s="2100"/>
      <c r="DB605" s="2101"/>
      <c r="DC605" s="1293"/>
      <c r="DD605" s="1293"/>
      <c r="DE605" s="1293"/>
      <c r="DF605" s="1293"/>
      <c r="DG605" s="1293"/>
      <c r="DH605" s="1293"/>
      <c r="DI605" s="1293"/>
      <c r="DJ605" s="1293"/>
      <c r="DK605" s="1293"/>
      <c r="DL605" s="1293"/>
    </row>
    <row r="606" spans="1:116" ht="15.75">
      <c r="A606" s="1293"/>
      <c r="B606" s="1293"/>
      <c r="C606" s="1293"/>
      <c r="D606" s="1293"/>
      <c r="E606" s="1293"/>
      <c r="F606" s="1293"/>
      <c r="G606" s="2080"/>
      <c r="H606" s="1293"/>
      <c r="I606" s="1293"/>
      <c r="J606" s="1293"/>
      <c r="K606" s="1293"/>
      <c r="L606" s="2080"/>
      <c r="M606" s="1293"/>
      <c r="N606" s="1293"/>
      <c r="O606" s="1293"/>
      <c r="P606" s="1293"/>
      <c r="Q606" s="2080"/>
      <c r="R606" s="1293"/>
      <c r="S606" s="1293"/>
      <c r="T606" s="1293"/>
      <c r="U606" s="1293"/>
      <c r="V606" s="2080"/>
      <c r="W606" s="1293"/>
      <c r="X606" s="1293"/>
      <c r="Y606" s="1293"/>
      <c r="Z606" s="1293"/>
      <c r="AA606" s="2080"/>
      <c r="AB606" s="1293"/>
      <c r="AC606" s="1293"/>
      <c r="AD606" s="1293"/>
      <c r="AE606" s="1293"/>
      <c r="AF606" s="1293"/>
      <c r="AG606" s="1293"/>
      <c r="AH606" s="1293"/>
      <c r="AI606" s="1293"/>
      <c r="AJ606" s="2186"/>
      <c r="AK606" s="1293"/>
      <c r="AL606" s="1293"/>
      <c r="AM606" s="1293"/>
      <c r="AN606" s="1293"/>
      <c r="AO606" s="2186"/>
      <c r="AP606" s="1293"/>
      <c r="AQ606" s="1293"/>
      <c r="AR606" s="1293"/>
      <c r="AS606" s="1293"/>
      <c r="AT606" s="2186"/>
      <c r="AU606" s="1293"/>
      <c r="AV606" s="1293"/>
      <c r="AW606" s="1293"/>
      <c r="AX606" s="1293"/>
      <c r="AY606" s="2186"/>
      <c r="AZ606" s="1293"/>
      <c r="BA606" s="1293"/>
      <c r="BB606" s="1293"/>
      <c r="BC606" s="1293"/>
      <c r="BD606" s="2186"/>
      <c r="BE606" s="1293"/>
      <c r="BF606" s="1293"/>
      <c r="BG606" s="1293"/>
      <c r="BH606" s="1293"/>
      <c r="BI606" s="2186"/>
      <c r="BJ606" s="1293"/>
      <c r="BK606" s="1293"/>
      <c r="BL606" s="1293"/>
      <c r="BM606" s="1293"/>
      <c r="BN606" s="2186"/>
      <c r="BO606" s="1293"/>
      <c r="BP606" s="1293"/>
      <c r="BQ606" s="1293"/>
      <c r="BR606" s="1293"/>
      <c r="BS606" s="1293"/>
      <c r="BT606" s="1293"/>
      <c r="BU606" s="1293"/>
      <c r="BV606" s="1293"/>
      <c r="BW606" s="1293"/>
      <c r="BX606" s="1293"/>
      <c r="BY606" s="1293"/>
      <c r="BZ606" s="1293"/>
      <c r="CA606" s="1293"/>
      <c r="CB606" s="1293"/>
      <c r="CC606" s="1293"/>
      <c r="CD606" s="1293"/>
      <c r="CE606" s="1293"/>
      <c r="CF606" s="1293"/>
      <c r="CG606" s="1293"/>
      <c r="CH606" s="1293"/>
      <c r="CI606" s="1293"/>
      <c r="CJ606" s="1293"/>
      <c r="CK606" s="1293"/>
      <c r="CL606" s="1293"/>
      <c r="CM606" s="1293"/>
      <c r="CN606" s="1293"/>
      <c r="CO606" s="1293"/>
      <c r="CP606" s="1293"/>
      <c r="CQ606" s="1293"/>
      <c r="CR606" s="1293"/>
      <c r="CS606" s="1293"/>
      <c r="CT606" s="1293"/>
      <c r="CU606" s="1293"/>
      <c r="CV606" s="1293"/>
      <c r="CW606" s="1293"/>
      <c r="CX606" s="1293"/>
      <c r="CY606" s="2032"/>
      <c r="CZ606" s="1293"/>
      <c r="DA606" s="2031"/>
      <c r="DB606" s="2032"/>
      <c r="DC606" s="1293"/>
      <c r="DD606" s="1293"/>
      <c r="DE606" s="1293"/>
      <c r="DF606" s="1293"/>
      <c r="DG606" s="1293"/>
      <c r="DH606" s="1293"/>
      <c r="DI606" s="1293"/>
      <c r="DJ606" s="1293"/>
      <c r="DK606" s="1293"/>
      <c r="DL606" s="1293"/>
    </row>
    <row r="607" spans="1:116" ht="15.75">
      <c r="A607" s="1293"/>
      <c r="B607" s="2318" t="s">
        <v>4802</v>
      </c>
      <c r="C607" s="1293"/>
      <c r="D607" s="1293"/>
      <c r="E607" s="1293"/>
      <c r="F607" s="1293"/>
      <c r="G607" s="2080"/>
      <c r="H607" s="1293"/>
      <c r="I607" s="1293"/>
      <c r="J607" s="1293"/>
      <c r="K607" s="1293"/>
      <c r="L607" s="2080"/>
      <c r="M607" s="1293"/>
      <c r="N607" s="1293"/>
      <c r="O607" s="1293"/>
      <c r="P607" s="1293"/>
      <c r="Q607" s="2080"/>
      <c r="R607" s="1293"/>
      <c r="S607" s="1293"/>
      <c r="T607" s="1293"/>
      <c r="U607" s="1293"/>
      <c r="V607" s="2080"/>
      <c r="W607" s="1293"/>
      <c r="X607" s="1293"/>
      <c r="Y607" s="1293"/>
      <c r="Z607" s="1293"/>
      <c r="AA607" s="2080"/>
      <c r="AB607" s="1293"/>
      <c r="AC607" s="1293"/>
      <c r="AD607" s="1293"/>
      <c r="AE607" s="1293"/>
      <c r="AF607" s="1293"/>
      <c r="AG607" s="1293"/>
      <c r="AH607" s="1293"/>
      <c r="AI607" s="1293"/>
      <c r="AJ607" s="2186"/>
      <c r="AK607" s="1293"/>
      <c r="AL607" s="1293"/>
      <c r="AM607" s="1293"/>
      <c r="AN607" s="1293"/>
      <c r="AO607" s="2186"/>
      <c r="AP607" s="1293"/>
      <c r="AQ607" s="1293"/>
      <c r="AR607" s="1293"/>
      <c r="AS607" s="1293"/>
      <c r="AT607" s="2186"/>
      <c r="AU607" s="1293"/>
      <c r="AV607" s="1293"/>
      <c r="AW607" s="1293"/>
      <c r="AX607" s="1293"/>
      <c r="AY607" s="2186"/>
      <c r="AZ607" s="1293"/>
      <c r="BA607" s="1293"/>
      <c r="BB607" s="1293"/>
      <c r="BC607" s="1293"/>
      <c r="BD607" s="2186"/>
      <c r="BE607" s="1293"/>
      <c r="BF607" s="1293"/>
      <c r="BG607" s="1293"/>
      <c r="BH607" s="1293"/>
      <c r="BI607" s="2186"/>
      <c r="BJ607" s="1293"/>
      <c r="BK607" s="1293"/>
      <c r="BL607" s="1293"/>
      <c r="BM607" s="1293"/>
      <c r="BN607" s="2186"/>
      <c r="BO607" s="1293"/>
      <c r="BP607" s="1293"/>
      <c r="BQ607" s="1293"/>
      <c r="BR607" s="1293"/>
      <c r="BS607" s="1293"/>
      <c r="BT607" s="1293"/>
      <c r="BU607" s="1293"/>
      <c r="BV607" s="1293"/>
      <c r="BW607" s="1293"/>
      <c r="BX607" s="1293"/>
      <c r="BY607" s="1293"/>
      <c r="BZ607" s="1293"/>
      <c r="CA607" s="1293"/>
      <c r="CB607" s="1293"/>
      <c r="CC607" s="1293"/>
      <c r="CD607" s="1293"/>
      <c r="CE607" s="1293"/>
      <c r="CF607" s="1293"/>
      <c r="CG607" s="1293"/>
      <c r="CH607" s="1293"/>
      <c r="CI607" s="1293"/>
      <c r="CJ607" s="1293"/>
      <c r="CK607" s="1293"/>
      <c r="CL607" s="1293"/>
      <c r="CM607" s="1293"/>
      <c r="CN607" s="1293"/>
      <c r="CO607" s="1293"/>
      <c r="CP607" s="1293"/>
      <c r="CQ607" s="1293"/>
      <c r="CR607" s="1293"/>
      <c r="CS607" s="1293"/>
      <c r="CT607" s="1293"/>
      <c r="CU607" s="1293"/>
      <c r="CV607" s="1293"/>
      <c r="CW607" s="1293"/>
      <c r="CX607" s="1293"/>
      <c r="CY607" s="2032"/>
      <c r="CZ607" s="1293"/>
      <c r="DA607" s="2031"/>
      <c r="DB607" s="2032"/>
      <c r="DC607" s="1293"/>
      <c r="DD607" s="1293"/>
      <c r="DE607" s="1293"/>
      <c r="DF607" s="1293"/>
      <c r="DG607" s="1293"/>
      <c r="DH607" s="1293"/>
      <c r="DI607" s="1293"/>
      <c r="DJ607" s="1293"/>
      <c r="DK607" s="1293"/>
      <c r="DL607" s="1293"/>
    </row>
    <row r="608" spans="1:116" ht="15.75">
      <c r="A608" s="1293"/>
      <c r="B608" s="1293" t="s">
        <v>4803</v>
      </c>
      <c r="C608" s="1293"/>
      <c r="D608" s="1293"/>
      <c r="E608" s="1293"/>
      <c r="F608" s="1293"/>
      <c r="G608" s="2080"/>
      <c r="H608" s="1293"/>
      <c r="I608" s="1293"/>
      <c r="J608" s="1293"/>
      <c r="K608" s="1293"/>
      <c r="L608" s="2080"/>
      <c r="M608" s="1293"/>
      <c r="N608" s="1293"/>
      <c r="O608" s="1293"/>
      <c r="P608" s="1293"/>
      <c r="Q608" s="2080"/>
      <c r="R608" s="1328">
        <v>-5.2999999999999999E-2</v>
      </c>
      <c r="S608" s="1328">
        <v>-3.7999999999999999E-2</v>
      </c>
      <c r="T608" s="1328">
        <v>-8.9999999999999993E-3</v>
      </c>
      <c r="U608" s="1328">
        <v>2E-3</v>
      </c>
      <c r="V608" s="2080"/>
      <c r="W608" s="1328">
        <v>8.9999999999999993E-3</v>
      </c>
      <c r="X608" s="1328">
        <v>2.1000000000000001E-2</v>
      </c>
      <c r="Y608" s="1328">
        <v>0.01</v>
      </c>
      <c r="Z608" s="1328">
        <v>1.2999999999999999E-2</v>
      </c>
      <c r="AA608" s="2080"/>
      <c r="AB608" s="1328">
        <f>AC608</f>
        <v>1.4E-2</v>
      </c>
      <c r="AC608" s="1328">
        <v>1.4E-2</v>
      </c>
      <c r="AD608" s="1328">
        <f>AE608</f>
        <v>7.0000000000000001E-3</v>
      </c>
      <c r="AE608" s="1328">
        <v>7.0000000000000001E-3</v>
      </c>
      <c r="AF608" s="1328">
        <f>AG608</f>
        <v>-1.7000000000000001E-2</v>
      </c>
      <c r="AG608" s="1328">
        <v>-1.7000000000000001E-2</v>
      </c>
      <c r="AH608" s="1328">
        <f>AI608</f>
        <v>-2.7E-2</v>
      </c>
      <c r="AI608" s="1328">
        <v>-2.7E-2</v>
      </c>
      <c r="AJ608" s="2186"/>
      <c r="AK608" s="2001">
        <v>-1.9E-2</v>
      </c>
      <c r="AL608" s="2001">
        <v>-0.108</v>
      </c>
      <c r="AM608" s="2001">
        <v>-3.7999999999999999E-2</v>
      </c>
      <c r="AN608" s="2001">
        <v>0</v>
      </c>
      <c r="AO608" s="2186"/>
      <c r="AP608" s="2001">
        <v>6.0000000000000001E-3</v>
      </c>
      <c r="AQ608" s="2001">
        <v>0.107</v>
      </c>
      <c r="AR608" s="2001">
        <v>0.08</v>
      </c>
      <c r="AS608" s="2001">
        <v>4.2000000000000003E-2</v>
      </c>
      <c r="AT608" s="2186"/>
      <c r="AU608" s="2001">
        <v>3.5999999999999997E-2</v>
      </c>
      <c r="AV608" s="2001">
        <v>4.3999999999999997E-2</v>
      </c>
      <c r="AW608" s="2001">
        <v>3.2000000000000001E-2</v>
      </c>
      <c r="AX608" s="2001">
        <v>2.5999999999999999E-2</v>
      </c>
      <c r="AY608" s="2186"/>
      <c r="AZ608" s="1328"/>
      <c r="BA608" s="1328"/>
      <c r="BB608" s="1328"/>
      <c r="BC608" s="1293"/>
      <c r="BD608" s="2186"/>
      <c r="BE608" s="1328"/>
      <c r="BF608" s="1328"/>
      <c r="BG608" s="1328"/>
      <c r="BH608" s="1293"/>
      <c r="BI608" s="2186"/>
      <c r="BJ608" s="1328"/>
      <c r="BK608" s="1328"/>
      <c r="BL608" s="1328"/>
      <c r="BM608" s="1328"/>
      <c r="BN608" s="2186"/>
      <c r="BO608" s="1293"/>
      <c r="BP608" s="1293"/>
      <c r="BQ608" s="1293"/>
      <c r="BR608" s="1293"/>
      <c r="BS608" s="1293"/>
      <c r="BT608" s="1293"/>
      <c r="BU608" s="1293"/>
      <c r="BV608" s="1293"/>
      <c r="BW608" s="1293"/>
      <c r="BX608" s="1293"/>
      <c r="BY608" s="1293"/>
      <c r="BZ608" s="1293"/>
      <c r="CA608" s="1293"/>
      <c r="CB608" s="1293"/>
      <c r="CC608" s="1293"/>
      <c r="CD608" s="1293"/>
      <c r="CE608" s="1293"/>
      <c r="CF608" s="1293"/>
      <c r="CG608" s="1293"/>
      <c r="CH608" s="1293"/>
      <c r="CI608" s="1293"/>
      <c r="CJ608" s="1293"/>
      <c r="CK608" s="1293"/>
      <c r="CL608" s="1293"/>
      <c r="CM608" s="1293"/>
      <c r="CN608" s="1293"/>
      <c r="CO608" s="1293"/>
      <c r="CP608" s="1293"/>
      <c r="CQ608" s="1293"/>
      <c r="CR608" s="1293"/>
      <c r="CS608" s="1293"/>
      <c r="CT608" s="1293"/>
      <c r="CU608" s="1293"/>
      <c r="CV608" s="1293"/>
      <c r="CW608" s="1293"/>
      <c r="CX608" s="1293"/>
      <c r="CY608" s="2032"/>
      <c r="CZ608" s="1293"/>
      <c r="DA608" s="2100"/>
      <c r="DB608" s="2101"/>
      <c r="DC608" s="1293"/>
      <c r="DD608" s="1293"/>
      <c r="DE608" s="1293"/>
      <c r="DF608" s="1293"/>
      <c r="DG608" s="1293"/>
      <c r="DH608" s="1293"/>
      <c r="DI608" s="1293"/>
      <c r="DJ608" s="1293"/>
      <c r="DK608" s="1293"/>
      <c r="DL608" s="1293"/>
    </row>
    <row r="609" spans="1:116" ht="15.75">
      <c r="A609" s="1293"/>
      <c r="B609" s="1293" t="s">
        <v>4804</v>
      </c>
      <c r="C609" s="1293"/>
      <c r="D609" s="1293"/>
      <c r="E609" s="1293"/>
      <c r="F609" s="1293"/>
      <c r="G609" s="2080"/>
      <c r="H609" s="1293"/>
      <c r="I609" s="1293"/>
      <c r="J609" s="1293"/>
      <c r="K609" s="1293"/>
      <c r="L609" s="2080"/>
      <c r="M609" s="1293"/>
      <c r="N609" s="1293"/>
      <c r="O609" s="1293"/>
      <c r="P609" s="1293"/>
      <c r="Q609" s="2080"/>
      <c r="R609" s="1328">
        <v>0.2</v>
      </c>
      <c r="S609" s="1328">
        <v>0.19900000000000001</v>
      </c>
      <c r="T609" s="1328">
        <v>0.19500000000000001</v>
      </c>
      <c r="U609" s="1328">
        <v>0.189</v>
      </c>
      <c r="V609" s="2080"/>
      <c r="W609" s="1328">
        <v>0.17699999999999999</v>
      </c>
      <c r="X609" s="1328">
        <v>0.16200000000000001</v>
      </c>
      <c r="Y609" s="1328">
        <v>0.126</v>
      </c>
      <c r="Z609" s="1328">
        <v>6.3E-2</v>
      </c>
      <c r="AA609" s="2080"/>
      <c r="AB609" s="1328"/>
      <c r="AC609" s="1328"/>
      <c r="AD609" s="1328"/>
      <c r="AE609" s="1293"/>
      <c r="AF609" s="1293"/>
      <c r="AG609" s="1328"/>
      <c r="AH609" s="1328"/>
      <c r="AI609" s="1328"/>
      <c r="AJ609" s="2186"/>
      <c r="AK609" s="1293"/>
      <c r="AL609" s="1293"/>
      <c r="AM609" s="1293"/>
      <c r="AN609" s="1293"/>
      <c r="AO609" s="2186"/>
      <c r="AP609" s="1293"/>
      <c r="AQ609" s="1293"/>
      <c r="AR609" s="1293"/>
      <c r="AS609" s="1293"/>
      <c r="AT609" s="2186"/>
      <c r="AU609" s="1293"/>
      <c r="AV609" s="1293"/>
      <c r="AW609" s="1293"/>
      <c r="AX609" s="1293"/>
      <c r="AY609" s="2186"/>
      <c r="AZ609" s="1293"/>
      <c r="BA609" s="1293"/>
      <c r="BB609" s="1293"/>
      <c r="BC609" s="1293"/>
      <c r="BD609" s="2186"/>
      <c r="BE609" s="1293"/>
      <c r="BF609" s="1293"/>
      <c r="BG609" s="1293"/>
      <c r="BH609" s="1293"/>
      <c r="BI609" s="2186"/>
      <c r="BJ609" s="1293"/>
      <c r="BK609" s="1293"/>
      <c r="BL609" s="1293"/>
      <c r="BM609" s="1293"/>
      <c r="BN609" s="2186"/>
      <c r="BO609" s="1293"/>
      <c r="BP609" s="1293"/>
      <c r="BQ609" s="1293"/>
      <c r="BR609" s="1293"/>
      <c r="BS609" s="1293"/>
      <c r="BT609" s="1293"/>
      <c r="BU609" s="1293"/>
      <c r="BV609" s="1293"/>
      <c r="BW609" s="1293"/>
      <c r="BX609" s="1293"/>
      <c r="BY609" s="1293"/>
      <c r="BZ609" s="1293"/>
      <c r="CA609" s="1293"/>
      <c r="CB609" s="1293"/>
      <c r="CC609" s="1293"/>
      <c r="CD609" s="1293"/>
      <c r="CE609" s="1293"/>
      <c r="CF609" s="1293"/>
      <c r="CG609" s="1293"/>
      <c r="CH609" s="1293"/>
      <c r="CI609" s="1293"/>
      <c r="CJ609" s="1293"/>
      <c r="CK609" s="1293"/>
      <c r="CL609" s="1293"/>
      <c r="CM609" s="1293"/>
      <c r="CN609" s="1293"/>
      <c r="CO609" s="1293"/>
      <c r="CP609" s="1293"/>
      <c r="CQ609" s="1293"/>
      <c r="CR609" s="1293"/>
      <c r="CS609" s="1293"/>
      <c r="CT609" s="1293"/>
      <c r="CU609" s="1293"/>
      <c r="CV609" s="1293"/>
      <c r="CW609" s="1293"/>
      <c r="CX609" s="1293"/>
      <c r="CY609" s="2032"/>
      <c r="CZ609" s="1293"/>
      <c r="DA609" s="2031"/>
      <c r="DB609" s="2032"/>
      <c r="DC609" s="1293"/>
      <c r="DD609" s="1293"/>
      <c r="DE609" s="1293"/>
      <c r="DF609" s="1293"/>
      <c r="DG609" s="1293"/>
      <c r="DH609" s="1293"/>
      <c r="DI609" s="1293"/>
      <c r="DJ609" s="1293"/>
      <c r="DK609" s="1293"/>
      <c r="DL609" s="1293"/>
    </row>
    <row r="610" spans="1:116" ht="15.75">
      <c r="A610" s="1293"/>
      <c r="B610" s="1293" t="str">
        <f>B600</f>
        <v>Home service (B2C)</v>
      </c>
      <c r="C610" s="1293"/>
      <c r="D610" s="1293"/>
      <c r="E610" s="1293"/>
      <c r="F610" s="1293"/>
      <c r="G610" s="2080"/>
      <c r="H610" s="1293"/>
      <c r="I610" s="1293"/>
      <c r="J610" s="1293"/>
      <c r="K610" s="1293"/>
      <c r="L610" s="2080"/>
      <c r="M610" s="1293"/>
      <c r="N610" s="1293"/>
      <c r="O610" s="1293"/>
      <c r="P610" s="1293"/>
      <c r="Q610" s="2080"/>
      <c r="R610" s="1328">
        <v>7.2999999999999995E-2</v>
      </c>
      <c r="S610" s="1328">
        <v>7.2999999999999995E-2</v>
      </c>
      <c r="T610" s="1328">
        <v>8.7999999999999995E-2</v>
      </c>
      <c r="U610" s="1328">
        <v>7.0999999999999994E-2</v>
      </c>
      <c r="V610" s="2080"/>
      <c r="W610" s="1328">
        <v>7.5999999999999998E-2</v>
      </c>
      <c r="X610" s="1328">
        <v>0.126</v>
      </c>
      <c r="Y610" s="1328">
        <v>0.125</v>
      </c>
      <c r="Z610" s="1328">
        <v>0.115</v>
      </c>
      <c r="AA610" s="2080"/>
      <c r="AB610" s="1328">
        <f>AC610</f>
        <v>0.104</v>
      </c>
      <c r="AC610" s="1328">
        <v>0.104</v>
      </c>
      <c r="AD610" s="1328">
        <f>AE610</f>
        <v>7.6999999999999999E-2</v>
      </c>
      <c r="AE610" s="1328">
        <v>7.6999999999999999E-2</v>
      </c>
      <c r="AF610" s="1328">
        <f>AG610</f>
        <v>7.1999999999999995E-2</v>
      </c>
      <c r="AG610" s="1328">
        <v>7.1999999999999995E-2</v>
      </c>
      <c r="AH610" s="1328">
        <f>AI610</f>
        <v>8.5000000000000006E-2</v>
      </c>
      <c r="AI610" s="1328">
        <v>8.5000000000000006E-2</v>
      </c>
      <c r="AJ610" s="2186"/>
      <c r="AK610" s="2001">
        <v>6.5000000000000002E-2</v>
      </c>
      <c r="AL610" s="2001">
        <v>1.7000000000000001E-2</v>
      </c>
      <c r="AM610" s="2001">
        <v>1.2E-2</v>
      </c>
      <c r="AN610" s="2001">
        <v>3.7999999999999999E-2</v>
      </c>
      <c r="AO610" s="2186"/>
      <c r="AP610" s="2001">
        <v>7.9000000000000001E-2</v>
      </c>
      <c r="AQ610" s="2001">
        <v>0.124</v>
      </c>
      <c r="AR610" s="2001">
        <v>0.13</v>
      </c>
      <c r="AS610" s="2001">
        <v>0.1</v>
      </c>
      <c r="AT610" s="2186"/>
      <c r="AU610" s="2001">
        <v>5.2999999999999999E-2</v>
      </c>
      <c r="AV610" s="2001">
        <v>3.5000000000000003E-2</v>
      </c>
      <c r="AW610" s="2001">
        <v>2E-3</v>
      </c>
      <c r="AX610" s="2001">
        <v>8.0000000000000002E-3</v>
      </c>
      <c r="AY610" s="2186"/>
      <c r="AZ610" s="1328"/>
      <c r="BA610" s="1328"/>
      <c r="BB610" s="1328"/>
      <c r="BC610" s="1293"/>
      <c r="BD610" s="2186"/>
      <c r="BE610" s="1328"/>
      <c r="BF610" s="1328"/>
      <c r="BG610" s="1328"/>
      <c r="BH610" s="1293"/>
      <c r="BI610" s="2186"/>
      <c r="BJ610" s="1328"/>
      <c r="BK610" s="1328"/>
      <c r="BL610" s="1328"/>
      <c r="BM610" s="1328"/>
      <c r="BN610" s="2186"/>
      <c r="BO610" s="1293"/>
      <c r="BP610" s="1293"/>
      <c r="BQ610" s="1293"/>
      <c r="BR610" s="1293"/>
      <c r="BS610" s="1293"/>
      <c r="BT610" s="1293"/>
      <c r="BU610" s="1293"/>
      <c r="BV610" s="1293"/>
      <c r="BW610" s="1293"/>
      <c r="BX610" s="1293"/>
      <c r="BY610" s="1293"/>
      <c r="BZ610" s="1293"/>
      <c r="CA610" s="1293"/>
      <c r="CB610" s="1293"/>
      <c r="CC610" s="1293"/>
      <c r="CD610" s="1293"/>
      <c r="CE610" s="1293"/>
      <c r="CF610" s="1293"/>
      <c r="CG610" s="1293"/>
      <c r="CH610" s="1293"/>
      <c r="CI610" s="1293"/>
      <c r="CJ610" s="1293"/>
      <c r="CK610" s="1293"/>
      <c r="CL610" s="1293"/>
      <c r="CM610" s="1293"/>
      <c r="CN610" s="1293"/>
      <c r="CO610" s="1293"/>
      <c r="CP610" s="1293"/>
      <c r="CQ610" s="1293"/>
      <c r="CR610" s="1293"/>
      <c r="CS610" s="1293"/>
      <c r="CT610" s="1293"/>
      <c r="CU610" s="1293"/>
      <c r="CV610" s="1293"/>
      <c r="CW610" s="1293"/>
      <c r="CX610" s="1293"/>
      <c r="CY610" s="2032"/>
      <c r="CZ610" s="1293"/>
      <c r="DA610" s="2100"/>
      <c r="DB610" s="2101"/>
      <c r="DC610" s="1293"/>
      <c r="DD610" s="1293"/>
      <c r="DE610" s="1293"/>
      <c r="DF610" s="1293"/>
      <c r="DG610" s="1293"/>
      <c r="DH610" s="1293"/>
      <c r="DI610" s="1293"/>
      <c r="DJ610" s="1293"/>
      <c r="DK610" s="1293"/>
      <c r="DL610" s="1293"/>
    </row>
    <row r="611" spans="1:116" ht="15.75">
      <c r="A611" s="1293"/>
      <c r="B611" s="1293" t="str">
        <f>B601</f>
        <v>B2B service</v>
      </c>
      <c r="C611" s="1293"/>
      <c r="D611" s="1293"/>
      <c r="E611" s="1293"/>
      <c r="F611" s="1293"/>
      <c r="G611" s="2080"/>
      <c r="H611" s="1293"/>
      <c r="I611" s="1293"/>
      <c r="J611" s="1293"/>
      <c r="K611" s="1293"/>
      <c r="L611" s="2080"/>
      <c r="M611" s="1293"/>
      <c r="N611" s="1293"/>
      <c r="O611" s="1293"/>
      <c r="P611" s="1293"/>
      <c r="Q611" s="2080"/>
      <c r="R611" s="1328">
        <v>2.5000000000000001E-2</v>
      </c>
      <c r="S611" s="1328">
        <v>1.4E-2</v>
      </c>
      <c r="T611" s="1328">
        <v>5.7000000000000002E-2</v>
      </c>
      <c r="U611" s="1328">
        <v>6.4000000000000001E-2</v>
      </c>
      <c r="V611" s="2080"/>
      <c r="W611" s="1328">
        <v>8.8999999999999996E-2</v>
      </c>
      <c r="X611" s="1328">
        <v>7.0999999999999994E-2</v>
      </c>
      <c r="Y611" s="1328">
        <v>6.5000000000000002E-2</v>
      </c>
      <c r="Z611" s="1328">
        <v>0</v>
      </c>
      <c r="AA611" s="2080"/>
      <c r="AB611" s="1678" t="str">
        <f>AC611</f>
        <v>"'ve"</v>
      </c>
      <c r="AC611" s="1678" t="s">
        <v>5721</v>
      </c>
      <c r="AD611" s="1678" t="str">
        <f>AE611</f>
        <v>"'ve"</v>
      </c>
      <c r="AE611" s="1678" t="s">
        <v>5721</v>
      </c>
      <c r="AF611" s="1678">
        <f>AG611</f>
        <v>-5.0000000000000001E-3</v>
      </c>
      <c r="AG611" s="1678">
        <v>-5.0000000000000001E-3</v>
      </c>
      <c r="AH611" s="1678">
        <f>AI611</f>
        <v>4.1000000000000002E-2</v>
      </c>
      <c r="AI611" s="1678">
        <v>4.1000000000000002E-2</v>
      </c>
      <c r="AJ611" s="2186"/>
      <c r="AK611" s="2001">
        <v>-3.3000000000000002E-2</v>
      </c>
      <c r="AL611" s="2001">
        <v>-8.4000000000000005E-2</v>
      </c>
      <c r="AM611" s="2001">
        <v>-0.08</v>
      </c>
      <c r="AN611" s="2001">
        <v>-6.3E-2</v>
      </c>
      <c r="AO611" s="2186"/>
      <c r="AP611" s="2001">
        <v>-3.2000000000000001E-2</v>
      </c>
      <c r="AQ611" s="2001">
        <v>0.03</v>
      </c>
      <c r="AR611" s="2001">
        <v>0.03</v>
      </c>
      <c r="AS611" s="2001">
        <v>3.3000000000000002E-2</v>
      </c>
      <c r="AT611" s="2186"/>
      <c r="AU611" s="2001">
        <v>4.9000000000000002E-2</v>
      </c>
      <c r="AV611" s="2001">
        <v>5.7000000000000002E-2</v>
      </c>
      <c r="AW611" s="2001">
        <v>5.8999999999999997E-2</v>
      </c>
      <c r="AX611" s="2001">
        <v>0.05</v>
      </c>
      <c r="AY611" s="2186"/>
      <c r="AZ611" s="2001">
        <v>0.06</v>
      </c>
      <c r="BA611" s="2001">
        <v>6.0999999999999999E-2</v>
      </c>
      <c r="BB611" s="2001">
        <v>5.3999999999999999E-2</v>
      </c>
      <c r="BC611" s="1293"/>
      <c r="BD611" s="2186"/>
      <c r="BE611" s="1328"/>
      <c r="BF611" s="1328"/>
      <c r="BG611" s="1328"/>
      <c r="BH611" s="1293"/>
      <c r="BI611" s="2186"/>
      <c r="BJ611" s="1328"/>
      <c r="BK611" s="1328"/>
      <c r="BL611" s="1328"/>
      <c r="BM611" s="1328"/>
      <c r="BN611" s="2186"/>
      <c r="BO611" s="1293"/>
      <c r="BP611" s="1293"/>
      <c r="BQ611" s="1293"/>
      <c r="BR611" s="1293"/>
      <c r="BS611" s="1293"/>
      <c r="BT611" s="1293"/>
      <c r="BU611" s="1293"/>
      <c r="BV611" s="1293"/>
      <c r="BW611" s="1293"/>
      <c r="BX611" s="1293"/>
      <c r="BY611" s="1293"/>
      <c r="BZ611" s="1293"/>
      <c r="CA611" s="1293"/>
      <c r="CB611" s="1293"/>
      <c r="CC611" s="1293"/>
      <c r="CD611" s="1293"/>
      <c r="CE611" s="1293"/>
      <c r="CF611" s="1293"/>
      <c r="CG611" s="1293"/>
      <c r="CH611" s="1293"/>
      <c r="CI611" s="1293"/>
      <c r="CJ611" s="1293"/>
      <c r="CK611" s="1293"/>
      <c r="CL611" s="1293"/>
      <c r="CM611" s="1293"/>
      <c r="CN611" s="1293"/>
      <c r="CO611" s="1293"/>
      <c r="CP611" s="1293"/>
      <c r="CQ611" s="1293"/>
      <c r="CR611" s="1293"/>
      <c r="CS611" s="1293"/>
      <c r="CT611" s="1293"/>
      <c r="CU611" s="1293"/>
      <c r="CV611" s="1293"/>
      <c r="CW611" s="1293"/>
      <c r="CX611" s="1293"/>
      <c r="CY611" s="2032"/>
      <c r="CZ611" s="1293"/>
      <c r="DA611" s="2100"/>
      <c r="DB611" s="2101"/>
      <c r="DC611" s="1293"/>
      <c r="DD611" s="1293"/>
      <c r="DE611" s="1293"/>
      <c r="DF611" s="1293"/>
      <c r="DG611" s="1293"/>
      <c r="DH611" s="1293"/>
      <c r="DI611" s="1293"/>
      <c r="DJ611" s="1293"/>
      <c r="DK611" s="1293"/>
      <c r="DL611" s="1293"/>
    </row>
    <row r="612" spans="1:116" ht="15.75">
      <c r="A612" s="1293"/>
      <c r="B612" s="1293" t="s">
        <v>4799</v>
      </c>
      <c r="C612" s="1293"/>
      <c r="D612" s="1293"/>
      <c r="E612" s="1293"/>
      <c r="F612" s="1293"/>
      <c r="G612" s="2080"/>
      <c r="H612" s="1293"/>
      <c r="I612" s="1293"/>
      <c r="J612" s="1293"/>
      <c r="K612" s="1293"/>
      <c r="L612" s="2080"/>
      <c r="M612" s="1293"/>
      <c r="N612" s="1293"/>
      <c r="O612" s="1293"/>
      <c r="P612" s="1293"/>
      <c r="Q612" s="2080"/>
      <c r="R612" s="1328"/>
      <c r="S612" s="1328"/>
      <c r="T612" s="1328"/>
      <c r="U612" s="1328"/>
      <c r="V612" s="2080"/>
      <c r="W612" s="1328"/>
      <c r="X612" s="1328"/>
      <c r="Y612" s="1328"/>
      <c r="Z612" s="1328"/>
      <c r="AA612" s="2080"/>
      <c r="AB612" s="1328">
        <f>AC612</f>
        <v>6.6000000000000003E-2</v>
      </c>
      <c r="AC612" s="1678">
        <v>6.6000000000000003E-2</v>
      </c>
      <c r="AD612" s="1328">
        <f>AE612</f>
        <v>3.5999999999999997E-2</v>
      </c>
      <c r="AE612" s="1328">
        <v>3.5999999999999997E-2</v>
      </c>
      <c r="AF612" s="1328">
        <f>AG612</f>
        <v>4.7E-2</v>
      </c>
      <c r="AG612" s="1678">
        <v>4.7E-2</v>
      </c>
      <c r="AH612" s="1328">
        <f>AI612</f>
        <v>0.08</v>
      </c>
      <c r="AI612" s="1678">
        <v>0.08</v>
      </c>
      <c r="AJ612" s="2186"/>
      <c r="AK612" s="2001">
        <v>3.2000000000000001E-2</v>
      </c>
      <c r="AL612" s="2001">
        <v>-1.2E-2</v>
      </c>
      <c r="AM612" s="2001">
        <v>-0.02</v>
      </c>
      <c r="AN612" s="2001">
        <v>-0.08</v>
      </c>
      <c r="AO612" s="2186"/>
      <c r="AP612" s="1328"/>
      <c r="AQ612" s="1328"/>
      <c r="AR612" s="1328"/>
      <c r="AS612" s="1328"/>
      <c r="AT612" s="2186"/>
      <c r="AU612" s="1328"/>
      <c r="AV612" s="1328"/>
      <c r="AW612" s="1328"/>
      <c r="AX612" s="1328"/>
      <c r="AY612" s="2186"/>
      <c r="AZ612" s="1328"/>
      <c r="BA612" s="1328"/>
      <c r="BB612" s="1328"/>
      <c r="BC612" s="1293"/>
      <c r="BD612" s="2186"/>
      <c r="BE612" s="1328"/>
      <c r="BF612" s="1328"/>
      <c r="BG612" s="1328"/>
      <c r="BH612" s="1293"/>
      <c r="BI612" s="2186"/>
      <c r="BJ612" s="1328"/>
      <c r="BK612" s="1328"/>
      <c r="BL612" s="1328"/>
      <c r="BM612" s="1328"/>
      <c r="BN612" s="2186"/>
      <c r="BO612" s="1293"/>
      <c r="BP612" s="1293"/>
      <c r="BQ612" s="1293"/>
      <c r="BR612" s="1293"/>
      <c r="BS612" s="1293"/>
      <c r="BT612" s="1293"/>
      <c r="BU612" s="1293"/>
      <c r="BV612" s="1293"/>
      <c r="BW612" s="1293"/>
      <c r="BX612" s="1293"/>
      <c r="BY612" s="1293"/>
      <c r="BZ612" s="1293"/>
      <c r="CA612" s="1293"/>
      <c r="CB612" s="1293"/>
      <c r="CC612" s="1293"/>
      <c r="CD612" s="1293"/>
      <c r="CE612" s="1293"/>
      <c r="CF612" s="1293"/>
      <c r="CG612" s="1293"/>
      <c r="CH612" s="1293"/>
      <c r="CI612" s="1293"/>
      <c r="CJ612" s="1293"/>
      <c r="CK612" s="1293"/>
      <c r="CL612" s="1293"/>
      <c r="CM612" s="1293"/>
      <c r="CN612" s="1293"/>
      <c r="CO612" s="1293"/>
      <c r="CP612" s="1293"/>
      <c r="CQ612" s="1293"/>
      <c r="CR612" s="1293"/>
      <c r="CS612" s="1293"/>
      <c r="CT612" s="1293"/>
      <c r="CU612" s="1293"/>
      <c r="CV612" s="1293"/>
      <c r="CW612" s="1293"/>
      <c r="CX612" s="1293"/>
      <c r="CY612" s="2032"/>
      <c r="CZ612" s="1293"/>
      <c r="DA612" s="2100"/>
      <c r="DB612" s="2101"/>
      <c r="DC612" s="1293"/>
      <c r="DD612" s="1293"/>
      <c r="DE612" s="1293"/>
      <c r="DF612" s="1293"/>
      <c r="DG612" s="1293"/>
      <c r="DH612" s="1293"/>
      <c r="DI612" s="1293"/>
      <c r="DJ612" s="1293"/>
      <c r="DK612" s="1293"/>
      <c r="DL612" s="1293"/>
    </row>
    <row r="613" spans="1:116" ht="15.75">
      <c r="A613" s="1293"/>
      <c r="B613" s="1293"/>
      <c r="C613" s="1293"/>
      <c r="D613" s="1293"/>
      <c r="E613" s="1293"/>
      <c r="F613" s="1293"/>
      <c r="G613" s="2080"/>
      <c r="H613" s="1293"/>
      <c r="I613" s="1293"/>
      <c r="J613" s="1293"/>
      <c r="K613" s="1293"/>
      <c r="L613" s="2080"/>
      <c r="M613" s="1293"/>
      <c r="N613" s="1293"/>
      <c r="O613" s="1293"/>
      <c r="P613" s="1293"/>
      <c r="Q613" s="2080"/>
      <c r="R613" s="1293"/>
      <c r="S613" s="1293"/>
      <c r="T613" s="1293"/>
      <c r="U613" s="1293"/>
      <c r="V613" s="2080"/>
      <c r="W613" s="1293"/>
      <c r="X613" s="1293"/>
      <c r="Y613" s="1293"/>
      <c r="Z613" s="1293"/>
      <c r="AA613" s="2080"/>
      <c r="AB613" s="1293"/>
      <c r="AC613" s="1293"/>
      <c r="AD613" s="1293"/>
      <c r="AE613" s="1293"/>
      <c r="AF613" s="1293"/>
      <c r="AG613" s="1293"/>
      <c r="AH613" s="1293"/>
      <c r="AI613" s="1293"/>
      <c r="AJ613" s="2186"/>
      <c r="AK613" s="1293"/>
      <c r="AL613" s="1293"/>
      <c r="AM613" s="1293"/>
      <c r="AN613" s="1293"/>
      <c r="AO613" s="2186"/>
      <c r="AP613" s="1293"/>
      <c r="AQ613" s="1293"/>
      <c r="AR613" s="1293"/>
      <c r="AS613" s="1293"/>
      <c r="AT613" s="2186"/>
      <c r="AU613" s="1293"/>
      <c r="AV613" s="1293"/>
      <c r="AW613" s="1293"/>
      <c r="AX613" s="1293"/>
      <c r="AY613" s="2186"/>
      <c r="AZ613" s="1293"/>
      <c r="BA613" s="1293"/>
      <c r="BB613" s="1293"/>
      <c r="BC613" s="1293"/>
      <c r="BD613" s="2186"/>
      <c r="BE613" s="1293"/>
      <c r="BF613" s="1293"/>
      <c r="BG613" s="1293"/>
      <c r="BH613" s="1293"/>
      <c r="BI613" s="2186"/>
      <c r="BJ613" s="1293"/>
      <c r="BK613" s="1293"/>
      <c r="BL613" s="1293"/>
      <c r="BM613" s="1293"/>
      <c r="BN613" s="2186"/>
      <c r="BO613" s="1293"/>
      <c r="BP613" s="1293"/>
      <c r="BQ613" s="1293"/>
      <c r="BR613" s="1293"/>
      <c r="BS613" s="1293"/>
      <c r="BT613" s="1293"/>
      <c r="BU613" s="1293"/>
      <c r="BV613" s="1293"/>
      <c r="BW613" s="1293"/>
      <c r="BX613" s="1293"/>
      <c r="BY613" s="1293"/>
      <c r="BZ613" s="1293"/>
      <c r="CA613" s="1293"/>
      <c r="CB613" s="1293"/>
      <c r="CC613" s="1293"/>
      <c r="CD613" s="1293"/>
      <c r="CE613" s="1293"/>
      <c r="CF613" s="1293"/>
      <c r="CG613" s="1293"/>
      <c r="CH613" s="1293"/>
      <c r="CI613" s="1293"/>
      <c r="CJ613" s="1293"/>
      <c r="CK613" s="1293"/>
      <c r="CL613" s="1293"/>
      <c r="CM613" s="1293"/>
      <c r="CN613" s="1293"/>
      <c r="CO613" s="1293"/>
      <c r="CP613" s="1293"/>
      <c r="CQ613" s="1293"/>
      <c r="CR613" s="1293"/>
      <c r="CS613" s="1293"/>
      <c r="CT613" s="1293"/>
      <c r="CU613" s="1293"/>
      <c r="CV613" s="1293"/>
      <c r="CW613" s="1293"/>
      <c r="CX613" s="1293"/>
      <c r="CY613" s="2032"/>
      <c r="CZ613" s="1293"/>
      <c r="DA613" s="2031"/>
      <c r="DB613" s="2032"/>
      <c r="DC613" s="1293"/>
      <c r="DD613" s="1293"/>
      <c r="DE613" s="1293"/>
      <c r="DF613" s="1293"/>
      <c r="DG613" s="1293"/>
      <c r="DH613" s="1293"/>
      <c r="DI613" s="1293"/>
      <c r="DJ613" s="1293"/>
      <c r="DK613" s="1293"/>
      <c r="DL613" s="1293"/>
    </row>
    <row r="614" spans="1:116" ht="15.75">
      <c r="A614" s="1293"/>
      <c r="B614" s="1293" t="s">
        <v>2324</v>
      </c>
      <c r="C614" s="1293"/>
      <c r="D614" s="1293"/>
      <c r="E614" s="1293"/>
      <c r="F614" s="1293"/>
      <c r="G614" s="2080"/>
      <c r="H614" s="1293"/>
      <c r="I614" s="1293"/>
      <c r="J614" s="1293"/>
      <c r="K614" s="1293"/>
      <c r="L614" s="2080"/>
      <c r="M614" s="1293"/>
      <c r="N614" s="1293"/>
      <c r="O614" s="1293"/>
      <c r="P614" s="1293"/>
      <c r="Q614" s="2080"/>
      <c r="R614" s="1328">
        <f>R375</f>
        <v>-1.2958094728063385E-2</v>
      </c>
      <c r="S614" s="1328">
        <f>S375</f>
        <v>-5.4741310601249538E-3</v>
      </c>
      <c r="T614" s="1328">
        <f>T375</f>
        <v>2.3193429069260873E-2</v>
      </c>
      <c r="U614" s="1328">
        <f>U375</f>
        <v>3.1E-2</v>
      </c>
      <c r="V614" s="2080"/>
      <c r="W614" s="1328">
        <f>W375</f>
        <v>3.9E-2</v>
      </c>
      <c r="X614" s="1328">
        <f>X375</f>
        <v>5.5E-2</v>
      </c>
      <c r="Y614" s="1328">
        <f>Y375</f>
        <v>4.7E-2</v>
      </c>
      <c r="Z614" s="1328">
        <f>Z375</f>
        <v>3.6999999999999998E-2</v>
      </c>
      <c r="AA614" s="2080"/>
      <c r="AB614" s="1328">
        <f>AC614</f>
        <v>3.6999999999999998E-2</v>
      </c>
      <c r="AC614" s="1328">
        <f>AC375</f>
        <v>3.6999999999999998E-2</v>
      </c>
      <c r="AD614" s="1328">
        <f>AE614</f>
        <v>0.02</v>
      </c>
      <c r="AE614" s="1328">
        <f>AE375</f>
        <v>0.02</v>
      </c>
      <c r="AF614" s="1328">
        <f>AG614</f>
        <v>0.01</v>
      </c>
      <c r="AG614" s="1328">
        <f>AG375</f>
        <v>0.01</v>
      </c>
      <c r="AH614" s="1328">
        <f>AI614</f>
        <v>2.3E-2</v>
      </c>
      <c r="AI614" s="1328">
        <f>AI375</f>
        <v>2.3E-2</v>
      </c>
      <c r="AJ614" s="2186"/>
      <c r="AK614" s="1328">
        <f>AK375</f>
        <v>2E-3</v>
      </c>
      <c r="AL614" s="1328">
        <f>AL375</f>
        <v>-6.8000000000000005E-2</v>
      </c>
      <c r="AM614" s="1328">
        <f>AM375</f>
        <v>-3.1E-2</v>
      </c>
      <c r="AN614" s="1328">
        <f>AN375</f>
        <v>-4.0000000000000001E-3</v>
      </c>
      <c r="AO614" s="2186"/>
      <c r="AP614" s="1328">
        <f>AP375</f>
        <v>2.1999999999999999E-2</v>
      </c>
      <c r="AQ614" s="1328">
        <f>AQ375</f>
        <v>0.109</v>
      </c>
      <c r="AR614" s="1328">
        <f>AR375</f>
        <v>8.5000000000000006E-2</v>
      </c>
      <c r="AS614" s="1328">
        <v>5.7000000000000002E-2</v>
      </c>
      <c r="AT614" s="2186"/>
      <c r="AU614" s="1328">
        <f>AU375</f>
        <v>4.5999999999999999E-2</v>
      </c>
      <c r="AV614" s="1328">
        <f>AV375</f>
        <v>4.4999999999999998E-2</v>
      </c>
      <c r="AW614" s="1328">
        <f>AW375</f>
        <v>2.7E-2</v>
      </c>
      <c r="AX614" s="1328">
        <f>AX375</f>
        <v>2.3E-2</v>
      </c>
      <c r="AY614" s="2186"/>
      <c r="AZ614" s="1328"/>
      <c r="BA614" s="1328"/>
      <c r="BB614" s="1328"/>
      <c r="BC614" s="1293"/>
      <c r="BD614" s="2186"/>
      <c r="BE614" s="1328"/>
      <c r="BF614" s="1328"/>
      <c r="BG614" s="1328"/>
      <c r="BH614" s="1293"/>
      <c r="BI614" s="2186"/>
      <c r="BJ614" s="1328"/>
      <c r="BK614" s="1328"/>
      <c r="BL614" s="1328"/>
      <c r="BM614" s="1328"/>
      <c r="BN614" s="2186"/>
      <c r="BO614" s="1293"/>
      <c r="BP614" s="1293"/>
      <c r="BQ614" s="1293"/>
      <c r="BR614" s="1293"/>
      <c r="BS614" s="1293"/>
      <c r="BT614" s="1293"/>
      <c r="BU614" s="1293"/>
      <c r="BV614" s="1293"/>
      <c r="BW614" s="1293"/>
      <c r="BX614" s="1293"/>
      <c r="BY614" s="1293"/>
      <c r="BZ614" s="1293"/>
      <c r="CA614" s="1293"/>
      <c r="CB614" s="1293"/>
      <c r="CC614" s="1293"/>
      <c r="CD614" s="1293"/>
      <c r="CE614" s="1293"/>
      <c r="CF614" s="1293"/>
      <c r="CG614" s="1293"/>
      <c r="CH614" s="1293"/>
      <c r="CI614" s="1293"/>
      <c r="CJ614" s="1293"/>
      <c r="CK614" s="1293"/>
      <c r="CL614" s="1293"/>
      <c r="CM614" s="1293"/>
      <c r="CN614" s="1293"/>
      <c r="CO614" s="1293"/>
      <c r="CP614" s="1293"/>
      <c r="CQ614" s="1293"/>
      <c r="CR614" s="1293"/>
      <c r="CS614" s="1293"/>
      <c r="CT614" s="1293"/>
      <c r="CU614" s="1293"/>
      <c r="CV614" s="1293"/>
      <c r="CW614" s="1293"/>
      <c r="CX614" s="1293"/>
      <c r="CY614" s="2032"/>
      <c r="CZ614" s="1293"/>
      <c r="DA614" s="2100"/>
      <c r="DB614" s="2101"/>
      <c r="DC614" s="1293"/>
      <c r="DD614" s="1293"/>
      <c r="DE614" s="1293"/>
      <c r="DF614" s="1293"/>
      <c r="DG614" s="1293"/>
      <c r="DH614" s="1293"/>
      <c r="DI614" s="1293"/>
      <c r="DJ614" s="1293"/>
      <c r="DK614" s="1293"/>
      <c r="DL614" s="1293"/>
    </row>
    <row r="615" spans="1:116" ht="15.75">
      <c r="A615" s="1293"/>
      <c r="B615" s="1293"/>
      <c r="C615" s="1293"/>
      <c r="D615" s="1293"/>
      <c r="E615" s="1293"/>
      <c r="F615" s="1293"/>
      <c r="G615" s="2080"/>
      <c r="H615" s="1293"/>
      <c r="I615" s="1293"/>
      <c r="J615" s="1293"/>
      <c r="K615" s="1293"/>
      <c r="L615" s="2080"/>
      <c r="M615" s="1293"/>
      <c r="N615" s="1293"/>
      <c r="O615" s="1293"/>
      <c r="P615" s="1293"/>
      <c r="Q615" s="2080"/>
      <c r="R615" s="1293"/>
      <c r="S615" s="1293"/>
      <c r="T615" s="1293"/>
      <c r="U615" s="1293"/>
      <c r="V615" s="2080"/>
      <c r="W615" s="1293"/>
      <c r="X615" s="1293"/>
      <c r="Y615" s="1293"/>
      <c r="Z615" s="1293"/>
      <c r="AA615" s="2080"/>
      <c r="AB615" s="1293"/>
      <c r="AC615" s="1293"/>
      <c r="AD615" s="1293"/>
      <c r="AE615" s="1293"/>
      <c r="AF615" s="1293"/>
      <c r="AG615" s="1293"/>
      <c r="AH615" s="1293"/>
      <c r="AI615" s="1293"/>
      <c r="AJ615" s="2186"/>
      <c r="AK615" s="1293"/>
      <c r="AL615" s="1293"/>
      <c r="AM615" s="1293"/>
      <c r="AN615" s="1293"/>
      <c r="AO615" s="2186"/>
      <c r="AP615" s="1293"/>
      <c r="AQ615" s="1293"/>
      <c r="AR615" s="1293"/>
      <c r="AS615" s="1293"/>
      <c r="AT615" s="2186"/>
      <c r="AU615" s="1293"/>
      <c r="AV615" s="1293"/>
      <c r="AW615" s="1293"/>
      <c r="AX615" s="1293"/>
      <c r="AY615" s="2186"/>
      <c r="AZ615" s="1293"/>
      <c r="BA615" s="1293"/>
      <c r="BB615" s="1293"/>
      <c r="BC615" s="1293"/>
      <c r="BD615" s="2186"/>
      <c r="BE615" s="1293"/>
      <c r="BF615" s="1293"/>
      <c r="BG615" s="1293"/>
      <c r="BH615" s="1293"/>
      <c r="BI615" s="2186"/>
      <c r="BJ615" s="1293"/>
      <c r="BK615" s="1293"/>
      <c r="BL615" s="1293"/>
      <c r="BM615" s="1293"/>
      <c r="BN615" s="2186"/>
      <c r="BO615" s="1293"/>
      <c r="BP615" s="1293"/>
      <c r="BQ615" s="1293"/>
      <c r="BR615" s="1293"/>
      <c r="BS615" s="1293"/>
      <c r="BT615" s="1293"/>
      <c r="BU615" s="1293"/>
      <c r="BV615" s="1293"/>
      <c r="BW615" s="1293"/>
      <c r="BX615" s="1293"/>
      <c r="BY615" s="1293"/>
      <c r="BZ615" s="1293"/>
      <c r="CA615" s="1293"/>
      <c r="CB615" s="1293"/>
      <c r="CC615" s="1293"/>
      <c r="CD615" s="1293"/>
      <c r="CE615" s="1293"/>
      <c r="CF615" s="1293"/>
      <c r="CG615" s="1293"/>
      <c r="CH615" s="1293"/>
      <c r="CI615" s="1293"/>
      <c r="CJ615" s="1293"/>
      <c r="CK615" s="1293"/>
      <c r="CL615" s="1293"/>
      <c r="CM615" s="1293"/>
      <c r="CN615" s="1293"/>
      <c r="CO615" s="1293"/>
      <c r="CP615" s="1293"/>
      <c r="CQ615" s="1293"/>
      <c r="CR615" s="1293"/>
      <c r="CS615" s="1293"/>
      <c r="CT615" s="1293"/>
      <c r="CU615" s="1293"/>
      <c r="CV615" s="1293"/>
      <c r="CW615" s="1293"/>
      <c r="CX615" s="1293"/>
      <c r="CY615" s="2032"/>
      <c r="CZ615" s="1293"/>
      <c r="DA615" s="2031"/>
      <c r="DB615" s="2032"/>
      <c r="DC615" s="1293"/>
      <c r="DD615" s="1293"/>
      <c r="DE615" s="1293"/>
      <c r="DF615" s="1293"/>
      <c r="DG615" s="1293"/>
      <c r="DH615" s="1293"/>
      <c r="DI615" s="1293"/>
      <c r="DJ615" s="1293"/>
      <c r="DK615" s="1293"/>
      <c r="DL615" s="1293"/>
    </row>
    <row r="616" spans="1:116" ht="15.75">
      <c r="A616" s="1293"/>
      <c r="B616" s="2319" t="s">
        <v>4533</v>
      </c>
      <c r="C616" s="1293"/>
      <c r="D616" s="1293"/>
      <c r="E616" s="1293"/>
      <c r="F616" s="1293"/>
      <c r="G616" s="2080"/>
      <c r="H616" s="1293"/>
      <c r="I616" s="1293"/>
      <c r="J616" s="1293"/>
      <c r="K616" s="1293"/>
      <c r="L616" s="2080"/>
      <c r="M616" s="1293"/>
      <c r="N616" s="1293"/>
      <c r="O616" s="1293"/>
      <c r="P616" s="1293"/>
      <c r="Q616" s="2080"/>
      <c r="R616" s="1293"/>
      <c r="S616" s="1293"/>
      <c r="T616" s="1293"/>
      <c r="U616" s="1293"/>
      <c r="V616" s="2080"/>
      <c r="W616" s="1293"/>
      <c r="X616" s="1293"/>
      <c r="Y616" s="1293"/>
      <c r="Z616" s="1293"/>
      <c r="AA616" s="2080"/>
      <c r="AB616" s="1293"/>
      <c r="AC616" s="1293"/>
      <c r="AD616" s="1293"/>
      <c r="AE616" s="1293"/>
      <c r="AF616" s="1293"/>
      <c r="AG616" s="1293"/>
      <c r="AH616" s="1293"/>
      <c r="AI616" s="1293"/>
      <c r="AJ616" s="2186"/>
      <c r="AK616" s="1293"/>
      <c r="AL616" s="1293"/>
      <c r="AM616" s="1293"/>
      <c r="AN616" s="1293"/>
      <c r="AO616" s="2186"/>
      <c r="AP616" s="1293"/>
      <c r="AQ616" s="1293"/>
      <c r="AR616" s="1293"/>
      <c r="AS616" s="1293"/>
      <c r="AT616" s="2186"/>
      <c r="AU616" s="1293"/>
      <c r="AV616" s="1293"/>
      <c r="AW616" s="1293"/>
      <c r="AX616" s="1293"/>
      <c r="AY616" s="2186"/>
      <c r="AZ616" s="1293"/>
      <c r="BA616" s="1293"/>
      <c r="BB616" s="1293"/>
      <c r="BC616" s="1293"/>
      <c r="BD616" s="2186"/>
      <c r="BE616" s="1293"/>
      <c r="BF616" s="1293"/>
      <c r="BG616" s="1293"/>
      <c r="BH616" s="1293"/>
      <c r="BI616" s="2186"/>
      <c r="BJ616" s="1293"/>
      <c r="BK616" s="1293"/>
      <c r="BL616" s="1293"/>
      <c r="BM616" s="1293"/>
      <c r="BN616" s="2186"/>
      <c r="BO616" s="1293"/>
      <c r="BP616" s="1293"/>
      <c r="BQ616" s="1293"/>
      <c r="BR616" s="1293"/>
      <c r="BS616" s="1293"/>
      <c r="BT616" s="1293"/>
      <c r="BU616" s="1293"/>
      <c r="BV616" s="1293"/>
      <c r="BW616" s="1293"/>
      <c r="BX616" s="1293"/>
      <c r="BY616" s="1293"/>
      <c r="BZ616" s="1293"/>
      <c r="CA616" s="1293"/>
      <c r="CB616" s="1293"/>
      <c r="CC616" s="1293"/>
      <c r="CD616" s="1293"/>
      <c r="CE616" s="1293"/>
      <c r="CF616" s="1293"/>
      <c r="CG616" s="1293"/>
      <c r="CH616" s="1293"/>
      <c r="CI616" s="1293"/>
      <c r="CJ616" s="1293"/>
      <c r="CK616" s="1293"/>
      <c r="CL616" s="1293"/>
      <c r="CM616" s="1293"/>
      <c r="CN616" s="1293"/>
      <c r="CO616" s="1293"/>
      <c r="CP616" s="1293"/>
      <c r="CQ616" s="1293"/>
      <c r="CR616" s="1293"/>
      <c r="CS616" s="1293"/>
      <c r="CT616" s="1293"/>
      <c r="CU616" s="1293"/>
      <c r="CV616" s="1293"/>
      <c r="CW616" s="1293"/>
      <c r="CX616" s="1293"/>
      <c r="CY616" s="2032"/>
      <c r="CZ616" s="1293"/>
      <c r="DA616" s="2031"/>
      <c r="DB616" s="2032"/>
      <c r="DC616" s="1293"/>
      <c r="DD616" s="1293"/>
      <c r="DE616" s="1293"/>
      <c r="DF616" s="1293"/>
      <c r="DG616" s="1293"/>
      <c r="DH616" s="1293"/>
      <c r="DI616" s="1293"/>
      <c r="DJ616" s="1293"/>
      <c r="DK616" s="1293"/>
      <c r="DL616" s="1293"/>
    </row>
    <row r="617" spans="1:116" ht="15.75">
      <c r="A617" s="1293"/>
      <c r="B617" s="1334" t="s">
        <v>758</v>
      </c>
      <c r="C617" s="1699">
        <v>89.215374477310917</v>
      </c>
      <c r="D617" s="1699">
        <v>90.051064242356716</v>
      </c>
      <c r="E617" s="1699">
        <v>91.052298366461116</v>
      </c>
      <c r="F617" s="1699">
        <v>93.352368378899769</v>
      </c>
      <c r="G617" s="2039">
        <v>363.68141315106658</v>
      </c>
      <c r="H617" s="1699">
        <v>101.632708532766</v>
      </c>
      <c r="I617" s="1699">
        <v>111.17361359730499</v>
      </c>
      <c r="J617" s="1699">
        <v>114.58975640686199</v>
      </c>
      <c r="K617" s="1699">
        <v>119.280111253906</v>
      </c>
      <c r="L617" s="2039">
        <v>446.67618979083898</v>
      </c>
      <c r="M617" s="1699">
        <v>119.34655657030899</v>
      </c>
      <c r="N617" s="1699">
        <v>122.21288242893699</v>
      </c>
      <c r="O617" s="1699">
        <v>117.42485144643399</v>
      </c>
      <c r="P617" s="1699">
        <v>118.839096391707</v>
      </c>
      <c r="Q617" s="2039"/>
      <c r="R617" s="1699">
        <v>122</v>
      </c>
      <c r="S617" s="1699"/>
      <c r="T617" s="1699"/>
      <c r="U617" s="1699"/>
      <c r="V617" s="2039">
        <f>Cable!O84</f>
        <v>506.43879999999996</v>
      </c>
      <c r="W617" s="1699"/>
      <c r="X617" s="1699"/>
      <c r="Y617" s="1699"/>
      <c r="Z617" s="1699"/>
      <c r="AA617" s="2039"/>
      <c r="AB617" s="1699"/>
      <c r="AC617" s="1699"/>
      <c r="AD617" s="1699"/>
      <c r="AE617" s="1699"/>
      <c r="AF617" s="1699"/>
      <c r="AG617" s="1699"/>
      <c r="AH617" s="1699"/>
      <c r="AI617" s="1699"/>
      <c r="AJ617" s="2186"/>
      <c r="AK617" s="1699"/>
      <c r="AL617" s="1699"/>
      <c r="AM617" s="1699"/>
      <c r="AN617" s="1699"/>
      <c r="AO617" s="2186"/>
      <c r="AP617" s="1699"/>
      <c r="AQ617" s="1699"/>
      <c r="AR617" s="1699"/>
      <c r="AS617" s="1699"/>
      <c r="AT617" s="2186"/>
      <c r="AU617" s="1699"/>
      <c r="AV617" s="1699"/>
      <c r="AW617" s="1699"/>
      <c r="AX617" s="1699"/>
      <c r="AY617" s="2186"/>
      <c r="AZ617" s="1699"/>
      <c r="BA617" s="1699"/>
      <c r="BB617" s="1699"/>
      <c r="BC617" s="1293"/>
      <c r="BD617" s="2186"/>
      <c r="BE617" s="1699"/>
      <c r="BF617" s="1699"/>
      <c r="BG617" s="1699"/>
      <c r="BH617" s="1293"/>
      <c r="BI617" s="2186"/>
      <c r="BJ617" s="1699"/>
      <c r="BK617" s="1699"/>
      <c r="BL617" s="1699"/>
      <c r="BM617" s="1699"/>
      <c r="BN617" s="2186"/>
      <c r="BO617" s="1293"/>
      <c r="BP617" s="1293"/>
      <c r="BQ617" s="1293"/>
      <c r="BR617" s="1293"/>
      <c r="BS617" s="1293"/>
      <c r="BT617" s="1293"/>
      <c r="BU617" s="1293"/>
      <c r="BV617" s="1293"/>
      <c r="BW617" s="1293"/>
      <c r="BX617" s="1293"/>
      <c r="BY617" s="1293"/>
      <c r="BZ617" s="1293"/>
      <c r="CA617" s="1293"/>
      <c r="CB617" s="1293"/>
      <c r="CC617" s="1293"/>
      <c r="CD617" s="1293"/>
      <c r="CE617" s="1293"/>
      <c r="CF617" s="1293"/>
      <c r="CG617" s="1293"/>
      <c r="CH617" s="1293"/>
      <c r="CI617" s="1293"/>
      <c r="CJ617" s="1293"/>
      <c r="CK617" s="1293"/>
      <c r="CL617" s="1293"/>
      <c r="CM617" s="1293"/>
      <c r="CN617" s="1293"/>
      <c r="CO617" s="1293"/>
      <c r="CP617" s="1293"/>
      <c r="CQ617" s="1293"/>
      <c r="CR617" s="1293"/>
      <c r="CS617" s="1293"/>
      <c r="CT617" s="1293"/>
      <c r="CU617" s="1293"/>
      <c r="CV617" s="1293"/>
      <c r="CW617" s="1293"/>
      <c r="CX617" s="1293"/>
      <c r="CY617" s="2032"/>
      <c r="CZ617" s="1293"/>
      <c r="DA617" s="2042"/>
      <c r="DB617" s="2041"/>
      <c r="DC617" s="1293"/>
      <c r="DD617" s="1293"/>
      <c r="DE617" s="1293"/>
      <c r="DF617" s="1293"/>
      <c r="DG617" s="1293"/>
      <c r="DH617" s="1293"/>
      <c r="DI617" s="1293"/>
      <c r="DJ617" s="1293"/>
      <c r="DK617" s="1293"/>
      <c r="DL617" s="1293"/>
    </row>
    <row r="618" spans="1:116" ht="15.75">
      <c r="A618" s="1293"/>
      <c r="B618" s="1870" t="s">
        <v>4528</v>
      </c>
      <c r="C618" s="1699">
        <v>60.67796666433</v>
      </c>
      <c r="D618" s="1699">
        <v>61.0522622014851</v>
      </c>
      <c r="E618" s="1699">
        <v>61.573517559060605</v>
      </c>
      <c r="F618" s="1699">
        <v>65.142218609088701</v>
      </c>
      <c r="G618" s="2039">
        <v>248.445965033964</v>
      </c>
      <c r="H618" s="1699">
        <v>68.687809625632099</v>
      </c>
      <c r="I618" s="1699">
        <v>71.549022841947902</v>
      </c>
      <c r="J618" s="1699">
        <v>74.6480193350543</v>
      </c>
      <c r="K618" s="1699">
        <v>76.263818770235503</v>
      </c>
      <c r="L618" s="2039">
        <v>291.14867057287</v>
      </c>
      <c r="M618" s="1699">
        <v>78.714735808162402</v>
      </c>
      <c r="N618" s="1699">
        <v>80.1981412341799</v>
      </c>
      <c r="O618" s="1699">
        <v>81.898546718592996</v>
      </c>
      <c r="P618" s="1699">
        <v>83.194176948491702</v>
      </c>
      <c r="Q618" s="2039"/>
      <c r="R618" s="1699">
        <v>85</v>
      </c>
      <c r="S618" s="1699"/>
      <c r="T618" s="1699"/>
      <c r="U618" s="1699"/>
      <c r="V618" s="2039"/>
      <c r="W618" s="1699"/>
      <c r="X618" s="1699"/>
      <c r="Y618" s="1699"/>
      <c r="Z618" s="1699"/>
      <c r="AA618" s="2039"/>
      <c r="AB618" s="1699"/>
      <c r="AC618" s="1699"/>
      <c r="AD618" s="1699"/>
      <c r="AE618" s="1699"/>
      <c r="AF618" s="1699"/>
      <c r="AG618" s="1699"/>
      <c r="AH618" s="1699"/>
      <c r="AI618" s="1699"/>
      <c r="AJ618" s="2186"/>
      <c r="AK618" s="1699"/>
      <c r="AL618" s="1699"/>
      <c r="AM618" s="1699"/>
      <c r="AN618" s="1699"/>
      <c r="AO618" s="2186"/>
      <c r="AP618" s="1699"/>
      <c r="AQ618" s="1699"/>
      <c r="AR618" s="1699"/>
      <c r="AS618" s="1699"/>
      <c r="AT618" s="2186"/>
      <c r="AU618" s="1699"/>
      <c r="AV618" s="1699"/>
      <c r="AW618" s="1699"/>
      <c r="AX618" s="1699"/>
      <c r="AY618" s="2186"/>
      <c r="AZ618" s="1699"/>
      <c r="BA618" s="1699"/>
      <c r="BB618" s="1699"/>
      <c r="BC618" s="1293"/>
      <c r="BD618" s="2186"/>
      <c r="BE618" s="1699"/>
      <c r="BF618" s="1699"/>
      <c r="BG618" s="1699"/>
      <c r="BH618" s="1293"/>
      <c r="BI618" s="2186"/>
      <c r="BJ618" s="1699"/>
      <c r="BK618" s="1699"/>
      <c r="BL618" s="1699"/>
      <c r="BM618" s="1699"/>
      <c r="BN618" s="2186"/>
      <c r="BO618" s="1293"/>
      <c r="BP618" s="1293"/>
      <c r="BQ618" s="1293"/>
      <c r="BR618" s="1293"/>
      <c r="BS618" s="1293"/>
      <c r="BT618" s="1293"/>
      <c r="BU618" s="1293"/>
      <c r="BV618" s="1293"/>
      <c r="BW618" s="1293"/>
      <c r="BX618" s="1293"/>
      <c r="BY618" s="1293"/>
      <c r="BZ618" s="1293"/>
      <c r="CA618" s="1293"/>
      <c r="CB618" s="1293"/>
      <c r="CC618" s="1293"/>
      <c r="CD618" s="1293"/>
      <c r="CE618" s="1293"/>
      <c r="CF618" s="1293"/>
      <c r="CG618" s="1293"/>
      <c r="CH618" s="1293"/>
      <c r="CI618" s="1293"/>
      <c r="CJ618" s="1293"/>
      <c r="CK618" s="1293"/>
      <c r="CL618" s="1293"/>
      <c r="CM618" s="1293"/>
      <c r="CN618" s="1293"/>
      <c r="CO618" s="1293"/>
      <c r="CP618" s="1293"/>
      <c r="CQ618" s="1293"/>
      <c r="CR618" s="1293"/>
      <c r="CS618" s="1293"/>
      <c r="CT618" s="1293"/>
      <c r="CU618" s="1293"/>
      <c r="CV618" s="1293"/>
      <c r="CW618" s="1293"/>
      <c r="CX618" s="1293"/>
      <c r="CY618" s="2032"/>
      <c r="CZ618" s="1293"/>
      <c r="DA618" s="2042"/>
      <c r="DB618" s="2041"/>
      <c r="DC618" s="1293"/>
      <c r="DD618" s="1293"/>
      <c r="DE618" s="1293"/>
      <c r="DF618" s="1293"/>
      <c r="DG618" s="1293"/>
      <c r="DH618" s="1293"/>
      <c r="DI618" s="1293"/>
      <c r="DJ618" s="1293"/>
      <c r="DK618" s="1293"/>
      <c r="DL618" s="1293"/>
    </row>
    <row r="619" spans="1:116" ht="15.75">
      <c r="A619" s="1293"/>
      <c r="B619" s="1870" t="s">
        <v>4529</v>
      </c>
      <c r="C619" s="1699">
        <v>29.8026482561114</v>
      </c>
      <c r="D619" s="1699">
        <v>30.3257155079523</v>
      </c>
      <c r="E619" s="1699">
        <v>30.971404590677199</v>
      </c>
      <c r="F619" s="1699">
        <v>30.076149241524799</v>
      </c>
      <c r="G619" s="2039">
        <v>121.17591759626599</v>
      </c>
      <c r="H619" s="1699">
        <v>32.975896420037898</v>
      </c>
      <c r="I619" s="1699">
        <v>39.668421896653996</v>
      </c>
      <c r="J619" s="1699">
        <v>39.978321003619001</v>
      </c>
      <c r="K619" s="1699">
        <v>43.036895364300399</v>
      </c>
      <c r="L619" s="2039">
        <v>155.659534684611</v>
      </c>
      <c r="M619" s="1699">
        <v>40.631820762146894</v>
      </c>
      <c r="N619" s="1699">
        <v>41.983220994756898</v>
      </c>
      <c r="O619" s="1699">
        <v>35.496325097840803</v>
      </c>
      <c r="P619" s="1699">
        <v>35.6239194432153</v>
      </c>
      <c r="Q619" s="2039"/>
      <c r="R619" s="1699">
        <v>36</v>
      </c>
      <c r="S619" s="1699"/>
      <c r="T619" s="1699"/>
      <c r="U619" s="1699"/>
      <c r="V619" s="2039"/>
      <c r="W619" s="1699"/>
      <c r="X619" s="1699"/>
      <c r="Y619" s="1699"/>
      <c r="Z619" s="1699"/>
      <c r="AA619" s="2039"/>
      <c r="AB619" s="1699"/>
      <c r="AC619" s="1699"/>
      <c r="AD619" s="1699"/>
      <c r="AE619" s="1699"/>
      <c r="AF619" s="1699"/>
      <c r="AG619" s="1699"/>
      <c r="AH619" s="1699"/>
      <c r="AI619" s="1699"/>
      <c r="AJ619" s="2186"/>
      <c r="AK619" s="1699"/>
      <c r="AL619" s="1699"/>
      <c r="AM619" s="1699"/>
      <c r="AN619" s="1699"/>
      <c r="AO619" s="2186"/>
      <c r="AP619" s="1699"/>
      <c r="AQ619" s="1699"/>
      <c r="AR619" s="1699"/>
      <c r="AS619" s="1699"/>
      <c r="AT619" s="2186"/>
      <c r="AU619" s="1699"/>
      <c r="AV619" s="1699"/>
      <c r="AW619" s="1699"/>
      <c r="AX619" s="1699"/>
      <c r="AY619" s="2186"/>
      <c r="AZ619" s="1699"/>
      <c r="BA619" s="1699"/>
      <c r="BB619" s="1699"/>
      <c r="BC619" s="1293"/>
      <c r="BD619" s="2186"/>
      <c r="BE619" s="1699"/>
      <c r="BF619" s="1699"/>
      <c r="BG619" s="1699"/>
      <c r="BH619" s="1293"/>
      <c r="BI619" s="2186"/>
      <c r="BJ619" s="1699"/>
      <c r="BK619" s="1699"/>
      <c r="BL619" s="1699"/>
      <c r="BM619" s="1699"/>
      <c r="BN619" s="2186"/>
      <c r="BO619" s="1293"/>
      <c r="BP619" s="1293"/>
      <c r="BQ619" s="1293"/>
      <c r="BR619" s="1293"/>
      <c r="BS619" s="1293"/>
      <c r="BT619" s="1293"/>
      <c r="BU619" s="1293"/>
      <c r="BV619" s="1293"/>
      <c r="BW619" s="1293"/>
      <c r="BX619" s="1293"/>
      <c r="BY619" s="1293"/>
      <c r="BZ619" s="1293"/>
      <c r="CA619" s="1293"/>
      <c r="CB619" s="1293"/>
      <c r="CC619" s="1293"/>
      <c r="CD619" s="1293"/>
      <c r="CE619" s="1293"/>
      <c r="CF619" s="1293"/>
      <c r="CG619" s="1293"/>
      <c r="CH619" s="1293"/>
      <c r="CI619" s="1293"/>
      <c r="CJ619" s="1293"/>
      <c r="CK619" s="1293"/>
      <c r="CL619" s="1293"/>
      <c r="CM619" s="1293"/>
      <c r="CN619" s="1293"/>
      <c r="CO619" s="1293"/>
      <c r="CP619" s="1293"/>
      <c r="CQ619" s="1293"/>
      <c r="CR619" s="1293"/>
      <c r="CS619" s="1293"/>
      <c r="CT619" s="1293"/>
      <c r="CU619" s="1293"/>
      <c r="CV619" s="1293"/>
      <c r="CW619" s="1293"/>
      <c r="CX619" s="1293"/>
      <c r="CY619" s="2032"/>
      <c r="CZ619" s="1293"/>
      <c r="DA619" s="2042"/>
      <c r="DB619" s="2041"/>
      <c r="DC619" s="1293"/>
      <c r="DD619" s="1293"/>
      <c r="DE619" s="1293"/>
      <c r="DF619" s="1293"/>
      <c r="DG619" s="1293"/>
      <c r="DH619" s="1293"/>
      <c r="DI619" s="1293"/>
      <c r="DJ619" s="1293"/>
      <c r="DK619" s="1293"/>
      <c r="DL619" s="1293"/>
    </row>
    <row r="620" spans="1:116" ht="15.75">
      <c r="A620" s="1293"/>
      <c r="B620" s="2320" t="s">
        <v>945</v>
      </c>
      <c r="C620" s="1699"/>
      <c r="D620" s="1699"/>
      <c r="E620" s="1699"/>
      <c r="F620" s="1699"/>
      <c r="G620" s="2039"/>
      <c r="H620" s="1699"/>
      <c r="I620" s="1699"/>
      <c r="J620" s="1699"/>
      <c r="K620" s="1699"/>
      <c r="L620" s="2039"/>
      <c r="M620" s="1699"/>
      <c r="N620" s="1699"/>
      <c r="O620" s="1699"/>
      <c r="P620" s="1699"/>
      <c r="Q620" s="2039"/>
      <c r="R620" s="1699"/>
      <c r="S620" s="1699"/>
      <c r="T620" s="1699"/>
      <c r="U620" s="1699"/>
      <c r="V620" s="2039"/>
      <c r="W620" s="1699"/>
      <c r="X620" s="1699"/>
      <c r="Y620" s="1699"/>
      <c r="Z620" s="1699"/>
      <c r="AA620" s="2039"/>
      <c r="AB620" s="1699"/>
      <c r="AC620" s="1699"/>
      <c r="AD620" s="1699"/>
      <c r="AE620" s="1699"/>
      <c r="AF620" s="1699"/>
      <c r="AG620" s="1699"/>
      <c r="AH620" s="1699"/>
      <c r="AI620" s="1699"/>
      <c r="AJ620" s="2186"/>
      <c r="AK620" s="1699"/>
      <c r="AL620" s="1699"/>
      <c r="AM620" s="1699"/>
      <c r="AN620" s="1699"/>
      <c r="AO620" s="2186"/>
      <c r="AP620" s="1699"/>
      <c r="AQ620" s="1699"/>
      <c r="AR620" s="1699"/>
      <c r="AS620" s="1699"/>
      <c r="AT620" s="2186"/>
      <c r="AU620" s="1699"/>
      <c r="AV620" s="1699"/>
      <c r="AW620" s="1699"/>
      <c r="AX620" s="1699"/>
      <c r="AY620" s="2186"/>
      <c r="AZ620" s="1699"/>
      <c r="BA620" s="1699"/>
      <c r="BB620" s="1699"/>
      <c r="BC620" s="1293"/>
      <c r="BD620" s="2186"/>
      <c r="BE620" s="1699"/>
      <c r="BF620" s="1699"/>
      <c r="BG620" s="1699"/>
      <c r="BH620" s="1293"/>
      <c r="BI620" s="2186"/>
      <c r="BJ620" s="1699"/>
      <c r="BK620" s="1699"/>
      <c r="BL620" s="1699"/>
      <c r="BM620" s="1699"/>
      <c r="BN620" s="2186"/>
      <c r="BO620" s="1293"/>
      <c r="BP620" s="1293"/>
      <c r="BQ620" s="1293"/>
      <c r="BR620" s="1293"/>
      <c r="BS620" s="1293"/>
      <c r="BT620" s="1293"/>
      <c r="BU620" s="1293"/>
      <c r="BV620" s="1293"/>
      <c r="BW620" s="1293"/>
      <c r="BX620" s="1293"/>
      <c r="BY620" s="1293"/>
      <c r="BZ620" s="1293"/>
      <c r="CA620" s="1293"/>
      <c r="CB620" s="1293"/>
      <c r="CC620" s="1293"/>
      <c r="CD620" s="1293"/>
      <c r="CE620" s="1293"/>
      <c r="CF620" s="1293"/>
      <c r="CG620" s="1293"/>
      <c r="CH620" s="1293"/>
      <c r="CI620" s="1293"/>
      <c r="CJ620" s="1293"/>
      <c r="CK620" s="1293"/>
      <c r="CL620" s="1293"/>
      <c r="CM620" s="1293"/>
      <c r="CN620" s="1293"/>
      <c r="CO620" s="1293"/>
      <c r="CP620" s="1293"/>
      <c r="CQ620" s="1293"/>
      <c r="CR620" s="1293"/>
      <c r="CS620" s="1293"/>
      <c r="CT620" s="1293"/>
      <c r="CU620" s="1293"/>
      <c r="CV620" s="1293"/>
      <c r="CW620" s="1293"/>
      <c r="CX620" s="1293"/>
      <c r="CY620" s="2032"/>
      <c r="CZ620" s="1293"/>
      <c r="DA620" s="2042"/>
      <c r="DB620" s="2041"/>
      <c r="DC620" s="1293"/>
      <c r="DD620" s="1293"/>
      <c r="DE620" s="1293"/>
      <c r="DF620" s="1293"/>
      <c r="DG620" s="1293"/>
      <c r="DH620" s="1293"/>
      <c r="DI620" s="1293"/>
      <c r="DJ620" s="1293"/>
      <c r="DK620" s="1293"/>
      <c r="DL620" s="1293"/>
    </row>
    <row r="621" spans="1:116" ht="15.75">
      <c r="A621" s="1293"/>
      <c r="B621" s="2321" t="str">
        <f>B617</f>
        <v>Revenue</v>
      </c>
      <c r="C621" s="1699"/>
      <c r="D621" s="1699"/>
      <c r="E621" s="1699"/>
      <c r="F621" s="1699"/>
      <c r="G621" s="2039"/>
      <c r="H621" s="1724">
        <f t="shared" ref="H621:K623" si="551">H617/C617-1</f>
        <v>0.13918379122662361</v>
      </c>
      <c r="I621" s="1724">
        <f t="shared" si="551"/>
        <v>0.23456190698758017</v>
      </c>
      <c r="J621" s="1724">
        <f t="shared" si="551"/>
        <v>0.2585048204458158</v>
      </c>
      <c r="K621" s="1724">
        <f t="shared" si="551"/>
        <v>0.27774060075016394</v>
      </c>
      <c r="L621" s="2039"/>
      <c r="M621" s="1724">
        <f t="shared" ref="M621:P623" si="552">M617/H617-1</f>
        <v>0.17429278716735275</v>
      </c>
      <c r="N621" s="1724">
        <f t="shared" si="552"/>
        <v>9.9297562383990012E-2</v>
      </c>
      <c r="O621" s="1724">
        <f t="shared" si="552"/>
        <v>2.4741260724088887E-2</v>
      </c>
      <c r="P621" s="1724">
        <f t="shared" si="552"/>
        <v>-3.6973042493247954E-3</v>
      </c>
      <c r="Q621" s="2039"/>
      <c r="R621" s="1724">
        <f>R617/M617-1</f>
        <v>2.2233095834045535E-2</v>
      </c>
      <c r="S621" s="1724"/>
      <c r="T621" s="1724"/>
      <c r="U621" s="1724"/>
      <c r="V621" s="2039"/>
      <c r="W621" s="1724"/>
      <c r="X621" s="1724"/>
      <c r="Y621" s="1724"/>
      <c r="Z621" s="1724"/>
      <c r="AA621" s="2039"/>
      <c r="AB621" s="1724"/>
      <c r="AC621" s="1724"/>
      <c r="AD621" s="1724"/>
      <c r="AE621" s="1724"/>
      <c r="AF621" s="1724"/>
      <c r="AG621" s="1724"/>
      <c r="AH621" s="1724"/>
      <c r="AI621" s="1724"/>
      <c r="AJ621" s="2186"/>
      <c r="AK621" s="1724"/>
      <c r="AL621" s="1724"/>
      <c r="AM621" s="1724"/>
      <c r="AN621" s="1724"/>
      <c r="AO621" s="2186"/>
      <c r="AP621" s="1724"/>
      <c r="AQ621" s="1724"/>
      <c r="AR621" s="1724"/>
      <c r="AS621" s="1724"/>
      <c r="AT621" s="2186"/>
      <c r="AU621" s="1724"/>
      <c r="AV621" s="1724"/>
      <c r="AW621" s="1724"/>
      <c r="AX621" s="1724"/>
      <c r="AY621" s="2186"/>
      <c r="AZ621" s="1724"/>
      <c r="BA621" s="1724"/>
      <c r="BB621" s="1724"/>
      <c r="BC621" s="1293"/>
      <c r="BD621" s="2186"/>
      <c r="BE621" s="1724"/>
      <c r="BF621" s="1724"/>
      <c r="BG621" s="1724"/>
      <c r="BH621" s="1293"/>
      <c r="BI621" s="2186"/>
      <c r="BJ621" s="1724"/>
      <c r="BK621" s="1724"/>
      <c r="BL621" s="1724"/>
      <c r="BM621" s="1724"/>
      <c r="BN621" s="2186"/>
      <c r="BO621" s="1293"/>
      <c r="BP621" s="1293"/>
      <c r="BQ621" s="1293"/>
      <c r="BR621" s="1293"/>
      <c r="BS621" s="1293"/>
      <c r="BT621" s="1293"/>
      <c r="BU621" s="1293"/>
      <c r="BV621" s="1293"/>
      <c r="BW621" s="1293"/>
      <c r="BX621" s="1293"/>
      <c r="BY621" s="1293"/>
      <c r="BZ621" s="1293"/>
      <c r="CA621" s="1293"/>
      <c r="CB621" s="1293"/>
      <c r="CC621" s="1293"/>
      <c r="CD621" s="1293"/>
      <c r="CE621" s="1293"/>
      <c r="CF621" s="1293"/>
      <c r="CG621" s="1293"/>
      <c r="CH621" s="1293"/>
      <c r="CI621" s="1293"/>
      <c r="CJ621" s="1293"/>
      <c r="CK621" s="1293"/>
      <c r="CL621" s="1293"/>
      <c r="CM621" s="1293"/>
      <c r="CN621" s="1293"/>
      <c r="CO621" s="1293"/>
      <c r="CP621" s="1293"/>
      <c r="CQ621" s="1293"/>
      <c r="CR621" s="1293"/>
      <c r="CS621" s="1293"/>
      <c r="CT621" s="1293"/>
      <c r="CU621" s="1293"/>
      <c r="CV621" s="1293"/>
      <c r="CW621" s="1293"/>
      <c r="CX621" s="1293"/>
      <c r="CY621" s="2032"/>
      <c r="CZ621" s="1293"/>
      <c r="DA621" s="2083"/>
      <c r="DB621" s="2084"/>
      <c r="DC621" s="1293"/>
      <c r="DD621" s="1293"/>
      <c r="DE621" s="1293"/>
      <c r="DF621" s="1293"/>
      <c r="DG621" s="1293"/>
      <c r="DH621" s="1293"/>
      <c r="DI621" s="1293"/>
      <c r="DJ621" s="1293"/>
      <c r="DK621" s="1293"/>
      <c r="DL621" s="1293"/>
    </row>
    <row r="622" spans="1:116" ht="15.75">
      <c r="A622" s="1293"/>
      <c r="B622" s="1870" t="str">
        <f>B618</f>
        <v xml:space="preserve"> - Home</v>
      </c>
      <c r="C622" s="1699"/>
      <c r="D622" s="1699"/>
      <c r="E622" s="1699"/>
      <c r="F622" s="1699"/>
      <c r="G622" s="2039"/>
      <c r="H622" s="1724">
        <f t="shared" si="551"/>
        <v>0.132005790596321</v>
      </c>
      <c r="I622" s="1724">
        <f t="shared" si="551"/>
        <v>0.17193074035195166</v>
      </c>
      <c r="J622" s="1724">
        <f t="shared" si="551"/>
        <v>0.21233969235967054</v>
      </c>
      <c r="K622" s="1724">
        <f t="shared" si="551"/>
        <v>0.17072799174812126</v>
      </c>
      <c r="L622" s="2039"/>
      <c r="M622" s="1724">
        <f t="shared" si="552"/>
        <v>0.14597824908349644</v>
      </c>
      <c r="N622" s="1724">
        <f t="shared" si="552"/>
        <v>0.12088380873262161</v>
      </c>
      <c r="O622" s="1724">
        <f t="shared" si="552"/>
        <v>9.7129534689929686E-2</v>
      </c>
      <c r="P622" s="1724">
        <f t="shared" si="552"/>
        <v>9.0873474342213267E-2</v>
      </c>
      <c r="Q622" s="2039"/>
      <c r="R622" s="1724">
        <f>R618/M618-1</f>
        <v>7.984863478619264E-2</v>
      </c>
      <c r="S622" s="1724"/>
      <c r="T622" s="1724"/>
      <c r="U622" s="1724"/>
      <c r="V622" s="2039"/>
      <c r="W622" s="1724"/>
      <c r="X622" s="1724"/>
      <c r="Y622" s="1724"/>
      <c r="Z622" s="1724"/>
      <c r="AA622" s="2039"/>
      <c r="AB622" s="1724"/>
      <c r="AC622" s="1724"/>
      <c r="AD622" s="1724"/>
      <c r="AE622" s="1724"/>
      <c r="AF622" s="1724"/>
      <c r="AG622" s="1724"/>
      <c r="AH622" s="1724"/>
      <c r="AI622" s="1724"/>
      <c r="AJ622" s="2186"/>
      <c r="AK622" s="1724"/>
      <c r="AL622" s="1724"/>
      <c r="AM622" s="1724"/>
      <c r="AN622" s="1724"/>
      <c r="AO622" s="2186"/>
      <c r="AP622" s="1724"/>
      <c r="AQ622" s="1724"/>
      <c r="AR622" s="1724"/>
      <c r="AS622" s="1724"/>
      <c r="AT622" s="2186"/>
      <c r="AU622" s="1724"/>
      <c r="AV622" s="1724"/>
      <c r="AW622" s="1724"/>
      <c r="AX622" s="1724"/>
      <c r="AY622" s="2186"/>
      <c r="AZ622" s="1724"/>
      <c r="BA622" s="1724"/>
      <c r="BB622" s="1724"/>
      <c r="BC622" s="1293"/>
      <c r="BD622" s="2186"/>
      <c r="BE622" s="1724"/>
      <c r="BF622" s="1724"/>
      <c r="BG622" s="1724"/>
      <c r="BH622" s="1293"/>
      <c r="BI622" s="2186"/>
      <c r="BJ622" s="1724"/>
      <c r="BK622" s="1724"/>
      <c r="BL622" s="1724"/>
      <c r="BM622" s="1724"/>
      <c r="BN622" s="2186"/>
      <c r="BO622" s="1293"/>
      <c r="BP622" s="1293"/>
      <c r="BQ622" s="1293"/>
      <c r="BR622" s="1293"/>
      <c r="BS622" s="1293"/>
      <c r="BT622" s="1293"/>
      <c r="BU622" s="1293"/>
      <c r="BV622" s="1293"/>
      <c r="BW622" s="1293"/>
      <c r="BX622" s="1293"/>
      <c r="BY622" s="1293"/>
      <c r="BZ622" s="1293"/>
      <c r="CA622" s="1293"/>
      <c r="CB622" s="1293"/>
      <c r="CC622" s="1293"/>
      <c r="CD622" s="1293"/>
      <c r="CE622" s="1293"/>
      <c r="CF622" s="1293"/>
      <c r="CG622" s="1293"/>
      <c r="CH622" s="1293"/>
      <c r="CI622" s="1293"/>
      <c r="CJ622" s="1293"/>
      <c r="CK622" s="1293"/>
      <c r="CL622" s="1293"/>
      <c r="CM622" s="1293"/>
      <c r="CN622" s="1293"/>
      <c r="CO622" s="1293"/>
      <c r="CP622" s="1293"/>
      <c r="CQ622" s="1293"/>
      <c r="CR622" s="1293"/>
      <c r="CS622" s="1293"/>
      <c r="CT622" s="1293"/>
      <c r="CU622" s="1293"/>
      <c r="CV622" s="1293"/>
      <c r="CW622" s="1293"/>
      <c r="CX622" s="1293"/>
      <c r="CY622" s="2032"/>
      <c r="CZ622" s="1293"/>
      <c r="DA622" s="2083"/>
      <c r="DB622" s="2084"/>
      <c r="DC622" s="1293"/>
      <c r="DD622" s="1293"/>
      <c r="DE622" s="1293"/>
      <c r="DF622" s="1293"/>
      <c r="DG622" s="1293"/>
      <c r="DH622" s="1293"/>
      <c r="DI622" s="1293"/>
      <c r="DJ622" s="1293"/>
      <c r="DK622" s="1293"/>
      <c r="DL622" s="1293"/>
    </row>
    <row r="623" spans="1:116" ht="15.75">
      <c r="A623" s="1293"/>
      <c r="B623" s="1870" t="str">
        <f>B619</f>
        <v xml:space="preserve"> - B2B</v>
      </c>
      <c r="C623" s="1293"/>
      <c r="D623" s="1293"/>
      <c r="E623" s="1293"/>
      <c r="F623" s="1293"/>
      <c r="G623" s="2080"/>
      <c r="H623" s="1724">
        <f t="shared" si="551"/>
        <v>0.10647537549874553</v>
      </c>
      <c r="I623" s="1724">
        <f t="shared" si="551"/>
        <v>0.30807867950392676</v>
      </c>
      <c r="J623" s="1724">
        <f t="shared" si="551"/>
        <v>0.29081394699331797</v>
      </c>
      <c r="K623" s="1724">
        <f t="shared" si="551"/>
        <v>0.43093103504358443</v>
      </c>
      <c r="L623" s="2080"/>
      <c r="M623" s="1724">
        <f t="shared" si="552"/>
        <v>0.23216728499477135</v>
      </c>
      <c r="N623" s="1724">
        <f t="shared" si="552"/>
        <v>5.835369766242593E-2</v>
      </c>
      <c r="O623" s="1724">
        <f t="shared" si="552"/>
        <v>-0.11211065880861959</v>
      </c>
      <c r="P623" s="1724">
        <f t="shared" si="552"/>
        <v>-0.1722469954752881</v>
      </c>
      <c r="Q623" s="2080"/>
      <c r="R623" s="1724">
        <f>R619/M619-1</f>
        <v>-0.11399491027638009</v>
      </c>
      <c r="S623" s="1724"/>
      <c r="T623" s="1724"/>
      <c r="U623" s="1724"/>
      <c r="V623" s="2080"/>
      <c r="W623" s="1724"/>
      <c r="X623" s="1724"/>
      <c r="Y623" s="1724"/>
      <c r="Z623" s="1724"/>
      <c r="AA623" s="2080"/>
      <c r="AB623" s="1724"/>
      <c r="AC623" s="1724"/>
      <c r="AD623" s="1724"/>
      <c r="AE623" s="1724"/>
      <c r="AF623" s="1724"/>
      <c r="AG623" s="1724"/>
      <c r="AH623" s="1724"/>
      <c r="AI623" s="1724"/>
      <c r="AJ623" s="2186"/>
      <c r="AK623" s="1724"/>
      <c r="AL623" s="1724"/>
      <c r="AM623" s="1724"/>
      <c r="AN623" s="1724"/>
      <c r="AO623" s="2186"/>
      <c r="AP623" s="1724"/>
      <c r="AQ623" s="1724"/>
      <c r="AR623" s="1724"/>
      <c r="AS623" s="1724"/>
      <c r="AT623" s="2186"/>
      <c r="AU623" s="1724"/>
      <c r="AV623" s="1724"/>
      <c r="AW623" s="1724"/>
      <c r="AX623" s="1724"/>
      <c r="AY623" s="2186"/>
      <c r="AZ623" s="1724"/>
      <c r="BA623" s="1724"/>
      <c r="BB623" s="1724"/>
      <c r="BC623" s="1293"/>
      <c r="BD623" s="2186"/>
      <c r="BE623" s="1724"/>
      <c r="BF623" s="1724"/>
      <c r="BG623" s="1724"/>
      <c r="BH623" s="1293"/>
      <c r="BI623" s="2186"/>
      <c r="BJ623" s="1724"/>
      <c r="BK623" s="1724"/>
      <c r="BL623" s="1724"/>
      <c r="BM623" s="1724"/>
      <c r="BN623" s="2186"/>
      <c r="BO623" s="1293"/>
      <c r="BP623" s="1293"/>
      <c r="BQ623" s="1293"/>
      <c r="BR623" s="1293"/>
      <c r="BS623" s="1293"/>
      <c r="BT623" s="1293"/>
      <c r="BU623" s="1293"/>
      <c r="BV623" s="1293"/>
      <c r="BW623" s="1293"/>
      <c r="BX623" s="1293"/>
      <c r="BY623" s="1293"/>
      <c r="BZ623" s="1293"/>
      <c r="CA623" s="1293"/>
      <c r="CB623" s="1293"/>
      <c r="CC623" s="1293"/>
      <c r="CD623" s="1293"/>
      <c r="CE623" s="1293"/>
      <c r="CF623" s="1293"/>
      <c r="CG623" s="1293"/>
      <c r="CH623" s="1293"/>
      <c r="CI623" s="1293"/>
      <c r="CJ623" s="1293"/>
      <c r="CK623" s="1293"/>
      <c r="CL623" s="1293"/>
      <c r="CM623" s="1293"/>
      <c r="CN623" s="1293"/>
      <c r="CO623" s="1293"/>
      <c r="CP623" s="1293"/>
      <c r="CQ623" s="1293"/>
      <c r="CR623" s="1293"/>
      <c r="CS623" s="1293"/>
      <c r="CT623" s="1293"/>
      <c r="CU623" s="1293"/>
      <c r="CV623" s="1293"/>
      <c r="CW623" s="1293"/>
      <c r="CX623" s="1293"/>
      <c r="CY623" s="2032"/>
      <c r="CZ623" s="1293"/>
      <c r="DA623" s="2083"/>
      <c r="DB623" s="2084"/>
      <c r="DC623" s="1293"/>
      <c r="DD623" s="1293"/>
      <c r="DE623" s="1293"/>
      <c r="DF623" s="1293"/>
      <c r="DG623" s="1293"/>
      <c r="DH623" s="1293"/>
      <c r="DI623" s="1293"/>
      <c r="DJ623" s="1293"/>
      <c r="DK623" s="1293"/>
      <c r="DL623" s="1293"/>
    </row>
    <row r="624" spans="1:116" ht="15.75">
      <c r="A624" s="1293"/>
      <c r="B624" s="1293"/>
      <c r="C624" s="1293"/>
      <c r="D624" s="1293"/>
      <c r="E624" s="1293"/>
      <c r="F624" s="1293"/>
      <c r="G624" s="2080"/>
      <c r="H624" s="1724"/>
      <c r="I624" s="1724"/>
      <c r="J624" s="1724"/>
      <c r="K624" s="1724"/>
      <c r="L624" s="2080"/>
      <c r="M624" s="1724"/>
      <c r="N624" s="1724"/>
      <c r="O624" s="1724"/>
      <c r="P624" s="1724"/>
      <c r="Q624" s="2080"/>
      <c r="R624" s="1724"/>
      <c r="S624" s="1724"/>
      <c r="T624" s="1724"/>
      <c r="U624" s="1724"/>
      <c r="V624" s="2080"/>
      <c r="W624" s="1724"/>
      <c r="X624" s="1724"/>
      <c r="Y624" s="1724"/>
      <c r="Z624" s="1724"/>
      <c r="AA624" s="2080"/>
      <c r="AB624" s="1724"/>
      <c r="AC624" s="1724"/>
      <c r="AD624" s="1724"/>
      <c r="AE624" s="1724"/>
      <c r="AF624" s="1724"/>
      <c r="AG624" s="1724"/>
      <c r="AH624" s="1724"/>
      <c r="AI624" s="1724"/>
      <c r="AJ624" s="2186"/>
      <c r="AK624" s="1724"/>
      <c r="AL624" s="1724"/>
      <c r="AM624" s="1724"/>
      <c r="AN624" s="1724"/>
      <c r="AO624" s="2186"/>
      <c r="AP624" s="1724"/>
      <c r="AQ624" s="1724"/>
      <c r="AR624" s="1724"/>
      <c r="AS624" s="1724"/>
      <c r="AT624" s="2186"/>
      <c r="AU624" s="1724"/>
      <c r="AV624" s="1724"/>
      <c r="AW624" s="1724"/>
      <c r="AX624" s="1724"/>
      <c r="AY624" s="2186"/>
      <c r="AZ624" s="1724"/>
      <c r="BA624" s="1724"/>
      <c r="BB624" s="1724"/>
      <c r="BC624" s="1293"/>
      <c r="BD624" s="2186"/>
      <c r="BE624" s="1724"/>
      <c r="BF624" s="1724"/>
      <c r="BG624" s="1724"/>
      <c r="BH624" s="1293"/>
      <c r="BI624" s="2186"/>
      <c r="BJ624" s="1724"/>
      <c r="BK624" s="1724"/>
      <c r="BL624" s="1724"/>
      <c r="BM624" s="1724"/>
      <c r="BN624" s="2186"/>
      <c r="BO624" s="1293"/>
      <c r="BP624" s="1293"/>
      <c r="BQ624" s="1293"/>
      <c r="BR624" s="1293"/>
      <c r="BS624" s="1293"/>
      <c r="BT624" s="1293"/>
      <c r="BU624" s="1293"/>
      <c r="BV624" s="1293"/>
      <c r="BW624" s="1293"/>
      <c r="BX624" s="1293"/>
      <c r="BY624" s="1293"/>
      <c r="BZ624" s="1293"/>
      <c r="CA624" s="1293"/>
      <c r="CB624" s="1293"/>
      <c r="CC624" s="1293"/>
      <c r="CD624" s="1293"/>
      <c r="CE624" s="1293"/>
      <c r="CF624" s="1293"/>
      <c r="CG624" s="1293"/>
      <c r="CH624" s="1293"/>
      <c r="CI624" s="1293"/>
      <c r="CJ624" s="1293"/>
      <c r="CK624" s="1293"/>
      <c r="CL624" s="1293"/>
      <c r="CM624" s="1293"/>
      <c r="CN624" s="1293"/>
      <c r="CO624" s="1293"/>
      <c r="CP624" s="1293"/>
      <c r="CQ624" s="1293"/>
      <c r="CR624" s="1293"/>
      <c r="CS624" s="1293"/>
      <c r="CT624" s="1293"/>
      <c r="CU624" s="1293"/>
      <c r="CV624" s="1293"/>
      <c r="CW624" s="1293"/>
      <c r="CX624" s="1293"/>
      <c r="CY624" s="2032"/>
      <c r="CZ624" s="1293"/>
      <c r="DA624" s="2083"/>
      <c r="DB624" s="2084"/>
      <c r="DC624" s="1293"/>
      <c r="DD624" s="1293"/>
      <c r="DE624" s="1293"/>
      <c r="DF624" s="1293"/>
      <c r="DG624" s="1293"/>
      <c r="DH624" s="1293"/>
      <c r="DI624" s="1293"/>
      <c r="DJ624" s="1293"/>
      <c r="DK624" s="1293"/>
      <c r="DL624" s="1293"/>
    </row>
    <row r="625" spans="1:116" ht="15.75">
      <c r="A625" s="1293"/>
      <c r="B625" s="1677" t="s">
        <v>4527</v>
      </c>
      <c r="C625" s="1293"/>
      <c r="D625" s="1293"/>
      <c r="E625" s="1293"/>
      <c r="F625" s="1293"/>
      <c r="G625" s="2080"/>
      <c r="H625" s="1293"/>
      <c r="I625" s="1293"/>
      <c r="J625" s="1293"/>
      <c r="K625" s="1293"/>
      <c r="L625" s="2080"/>
      <c r="M625" s="1293"/>
      <c r="N625" s="1293"/>
      <c r="O625" s="1293"/>
      <c r="P625" s="1293"/>
      <c r="Q625" s="2080"/>
      <c r="R625" s="1293"/>
      <c r="S625" s="1293"/>
      <c r="T625" s="1293"/>
      <c r="U625" s="1293"/>
      <c r="V625" s="2080"/>
      <c r="W625" s="1293"/>
      <c r="X625" s="1293"/>
      <c r="Y625" s="1293"/>
      <c r="Z625" s="1293"/>
      <c r="AA625" s="2080"/>
      <c r="AB625" s="1293"/>
      <c r="AC625" s="1293"/>
      <c r="AD625" s="1293"/>
      <c r="AE625" s="1293"/>
      <c r="AF625" s="1293"/>
      <c r="AG625" s="1293"/>
      <c r="AH625" s="1293"/>
      <c r="AI625" s="1293"/>
      <c r="AJ625" s="2186"/>
      <c r="AK625" s="1293"/>
      <c r="AL625" s="1293"/>
      <c r="AM625" s="1293"/>
      <c r="AN625" s="1293"/>
      <c r="AO625" s="2186"/>
      <c r="AP625" s="1293"/>
      <c r="AQ625" s="1293"/>
      <c r="AR625" s="1293"/>
      <c r="AS625" s="1293"/>
      <c r="AT625" s="2186"/>
      <c r="AU625" s="1293"/>
      <c r="AV625" s="1293"/>
      <c r="AW625" s="1293"/>
      <c r="AX625" s="1293"/>
      <c r="AY625" s="2186"/>
      <c r="AZ625" s="1293"/>
      <c r="BA625" s="1293"/>
      <c r="BB625" s="1293"/>
      <c r="BC625" s="1293"/>
      <c r="BD625" s="2186"/>
      <c r="BE625" s="1293"/>
      <c r="BF625" s="1293"/>
      <c r="BG625" s="1293"/>
      <c r="BH625" s="1293"/>
      <c r="BI625" s="2186"/>
      <c r="BJ625" s="1293"/>
      <c r="BK625" s="1293"/>
      <c r="BL625" s="1293"/>
      <c r="BM625" s="1293"/>
      <c r="BN625" s="2186"/>
      <c r="BO625" s="1293"/>
      <c r="BP625" s="1293"/>
      <c r="BQ625" s="1293"/>
      <c r="BR625" s="1293"/>
      <c r="BS625" s="1293"/>
      <c r="BT625" s="1293"/>
      <c r="BU625" s="1293"/>
      <c r="BV625" s="1293"/>
      <c r="BW625" s="1293"/>
      <c r="BX625" s="1293"/>
      <c r="BY625" s="1293"/>
      <c r="BZ625" s="1293"/>
      <c r="CA625" s="1293"/>
      <c r="CB625" s="1293"/>
      <c r="CC625" s="1293"/>
      <c r="CD625" s="1293"/>
      <c r="CE625" s="1293"/>
      <c r="CF625" s="1293"/>
      <c r="CG625" s="1293"/>
      <c r="CH625" s="1293"/>
      <c r="CI625" s="1293"/>
      <c r="CJ625" s="1293"/>
      <c r="CK625" s="1293"/>
      <c r="CL625" s="1293"/>
      <c r="CM625" s="1293"/>
      <c r="CN625" s="1293"/>
      <c r="CO625" s="1293"/>
      <c r="CP625" s="1293"/>
      <c r="CQ625" s="1293"/>
      <c r="CR625" s="1293"/>
      <c r="CS625" s="1293"/>
      <c r="CT625" s="1293"/>
      <c r="CU625" s="1293"/>
      <c r="CV625" s="1293"/>
      <c r="CW625" s="1293"/>
      <c r="CX625" s="1293"/>
      <c r="CY625" s="2032"/>
      <c r="CZ625" s="1293"/>
      <c r="DA625" s="2031"/>
      <c r="DB625" s="2032"/>
      <c r="DC625" s="1293"/>
      <c r="DD625" s="1293"/>
      <c r="DE625" s="1293"/>
      <c r="DF625" s="1293"/>
      <c r="DG625" s="1293"/>
      <c r="DH625" s="1293"/>
      <c r="DI625" s="1293"/>
      <c r="DJ625" s="1293"/>
      <c r="DK625" s="1293"/>
      <c r="DL625" s="1293"/>
    </row>
    <row r="626" spans="1:116" ht="15.75">
      <c r="A626" s="1293"/>
      <c r="B626" s="1293" t="s">
        <v>4288</v>
      </c>
      <c r="C626" s="1699">
        <v>1988.2344720877586</v>
      </c>
      <c r="D626" s="1699">
        <v>2028.012845</v>
      </c>
      <c r="E626" s="1699">
        <v>2068.3302120877584</v>
      </c>
      <c r="F626" s="1699">
        <v>2109.4393220877587</v>
      </c>
      <c r="G626" s="2039">
        <v>2109.4393220877587</v>
      </c>
      <c r="H626" s="1699">
        <v>2138.8972599999997</v>
      </c>
      <c r="I626" s="1699">
        <v>2155.788</v>
      </c>
      <c r="J626" s="1699">
        <v>2222.9613670877602</v>
      </c>
      <c r="K626" s="1699">
        <v>2291.8121099999998</v>
      </c>
      <c r="L626" s="2039">
        <v>2291.8121099999998</v>
      </c>
      <c r="M626" s="1699">
        <v>2313.5542120877603</v>
      </c>
      <c r="N626" s="1699">
        <v>2341.4362599999999</v>
      </c>
      <c r="O626" s="1699">
        <v>2363.9720000000002</v>
      </c>
      <c r="P626" s="1699">
        <v>2447.8151050000001</v>
      </c>
      <c r="Q626" s="2039">
        <f>P626</f>
        <v>2447.8151050000001</v>
      </c>
      <c r="R626" s="1699">
        <v>2499</v>
      </c>
      <c r="S626" s="1699"/>
      <c r="T626" s="1699"/>
      <c r="U626" s="1699"/>
      <c r="V626" s="2039"/>
      <c r="W626" s="1699"/>
      <c r="X626" s="1699"/>
      <c r="Y626" s="1699"/>
      <c r="Z626" s="1699"/>
      <c r="AA626" s="2039"/>
      <c r="AB626" s="1699"/>
      <c r="AC626" s="1699"/>
      <c r="AD626" s="1699"/>
      <c r="AE626" s="1699"/>
      <c r="AF626" s="1699"/>
      <c r="AG626" s="1699"/>
      <c r="AH626" s="1699"/>
      <c r="AI626" s="1699"/>
      <c r="AJ626" s="2186"/>
      <c r="AK626" s="1699"/>
      <c r="AL626" s="1699"/>
      <c r="AM626" s="1699"/>
      <c r="AN626" s="1699"/>
      <c r="AO626" s="2186"/>
      <c r="AP626" s="1699"/>
      <c r="AQ626" s="1699"/>
      <c r="AR626" s="1699"/>
      <c r="AS626" s="1699"/>
      <c r="AT626" s="2186"/>
      <c r="AU626" s="1699"/>
      <c r="AV626" s="1699"/>
      <c r="AW626" s="1699"/>
      <c r="AX626" s="1699"/>
      <c r="AY626" s="2186"/>
      <c r="AZ626" s="1699"/>
      <c r="BA626" s="1699"/>
      <c r="BB626" s="1699"/>
      <c r="BC626" s="1293"/>
      <c r="BD626" s="2186"/>
      <c r="BE626" s="1699"/>
      <c r="BF626" s="1699"/>
      <c r="BG626" s="1699"/>
      <c r="BH626" s="1293"/>
      <c r="BI626" s="2186"/>
      <c r="BJ626" s="1699"/>
      <c r="BK626" s="1699"/>
      <c r="BL626" s="1699"/>
      <c r="BM626" s="1699"/>
      <c r="BN626" s="2186"/>
      <c r="BO626" s="1293"/>
      <c r="BP626" s="1293"/>
      <c r="BQ626" s="1293"/>
      <c r="BR626" s="1293"/>
      <c r="BS626" s="1293"/>
      <c r="BT626" s="1293"/>
      <c r="BU626" s="1293"/>
      <c r="BV626" s="1293"/>
      <c r="BW626" s="1293"/>
      <c r="BX626" s="1293"/>
      <c r="BY626" s="1293"/>
      <c r="BZ626" s="1293"/>
      <c r="CA626" s="1293"/>
      <c r="CB626" s="1293"/>
      <c r="CC626" s="1293"/>
      <c r="CD626" s="1293"/>
      <c r="CE626" s="1293"/>
      <c r="CF626" s="1293"/>
      <c r="CG626" s="1293"/>
      <c r="CH626" s="1293"/>
      <c r="CI626" s="1293"/>
      <c r="CJ626" s="1293"/>
      <c r="CK626" s="1293"/>
      <c r="CL626" s="1293"/>
      <c r="CM626" s="1293"/>
      <c r="CN626" s="1293"/>
      <c r="CO626" s="1293"/>
      <c r="CP626" s="1293"/>
      <c r="CQ626" s="1293"/>
      <c r="CR626" s="1293"/>
      <c r="CS626" s="1293"/>
      <c r="CT626" s="1293"/>
      <c r="CU626" s="1293"/>
      <c r="CV626" s="1293"/>
      <c r="CW626" s="1293"/>
      <c r="CX626" s="1293"/>
      <c r="CY626" s="2032"/>
      <c r="CZ626" s="1293"/>
      <c r="DA626" s="2042"/>
      <c r="DB626" s="2041"/>
      <c r="DC626" s="1293"/>
      <c r="DD626" s="1293"/>
      <c r="DE626" s="1293"/>
      <c r="DF626" s="1293"/>
      <c r="DG626" s="1293"/>
      <c r="DH626" s="1293"/>
      <c r="DI626" s="1293"/>
      <c r="DJ626" s="1293"/>
      <c r="DK626" s="1293"/>
      <c r="DL626" s="1293"/>
    </row>
    <row r="627" spans="1:116" ht="15.75">
      <c r="A627" s="1293"/>
      <c r="B627" s="1293" t="s">
        <v>4522</v>
      </c>
      <c r="C627" s="1699">
        <v>685.43799999999999</v>
      </c>
      <c r="D627" s="1699">
        <v>689.38699999999994</v>
      </c>
      <c r="E627" s="1699">
        <v>722.91300000000001</v>
      </c>
      <c r="F627" s="1699">
        <v>767.9860000000001</v>
      </c>
      <c r="G627" s="2039">
        <v>767.9860000000001</v>
      </c>
      <c r="H627" s="1699">
        <v>798.43200000000002</v>
      </c>
      <c r="I627" s="1699">
        <v>824.21699999999998</v>
      </c>
      <c r="J627" s="1699">
        <v>868.96467128958602</v>
      </c>
      <c r="K627" s="1699">
        <v>922.41800000000001</v>
      </c>
      <c r="L627" s="2039">
        <v>922.41800000000001</v>
      </c>
      <c r="M627" s="1699">
        <v>947.13300000000004</v>
      </c>
      <c r="N627" s="1699">
        <v>962.14700000000005</v>
      </c>
      <c r="O627" s="1699">
        <v>1000.201</v>
      </c>
      <c r="P627" s="1699">
        <v>1033.6703984200401</v>
      </c>
      <c r="Q627" s="2039">
        <f>P627</f>
        <v>1033.6703984200401</v>
      </c>
      <c r="R627" s="1699">
        <v>1039</v>
      </c>
      <c r="S627" s="1699"/>
      <c r="T627" s="1699"/>
      <c r="U627" s="1699"/>
      <c r="V627" s="2039"/>
      <c r="W627" s="1699"/>
      <c r="X627" s="1699"/>
      <c r="Y627" s="1699"/>
      <c r="Z627" s="1699"/>
      <c r="AA627" s="2039"/>
      <c r="AB627" s="1699"/>
      <c r="AC627" s="1699"/>
      <c r="AD627" s="1699"/>
      <c r="AE627" s="1699"/>
      <c r="AF627" s="1699"/>
      <c r="AG627" s="1699"/>
      <c r="AH627" s="1699"/>
      <c r="AI627" s="1699"/>
      <c r="AJ627" s="2186"/>
      <c r="AK627" s="1699"/>
      <c r="AL627" s="1699"/>
      <c r="AM627" s="1699"/>
      <c r="AN627" s="1699"/>
      <c r="AO627" s="2186"/>
      <c r="AP627" s="1699"/>
      <c r="AQ627" s="1699"/>
      <c r="AR627" s="1699"/>
      <c r="AS627" s="1699"/>
      <c r="AT627" s="2186"/>
      <c r="AU627" s="1699"/>
      <c r="AV627" s="1699"/>
      <c r="AW627" s="1699"/>
      <c r="AX627" s="1699"/>
      <c r="AY627" s="2186"/>
      <c r="AZ627" s="1699"/>
      <c r="BA627" s="1699"/>
      <c r="BB627" s="1699"/>
      <c r="BC627" s="1293"/>
      <c r="BD627" s="2186"/>
      <c r="BE627" s="1699"/>
      <c r="BF627" s="1699"/>
      <c r="BG627" s="1699"/>
      <c r="BH627" s="1293"/>
      <c r="BI627" s="2186"/>
      <c r="BJ627" s="1699"/>
      <c r="BK627" s="1699"/>
      <c r="BL627" s="1699"/>
      <c r="BM627" s="1699"/>
      <c r="BN627" s="2186"/>
      <c r="BO627" s="1293"/>
      <c r="BP627" s="1293"/>
      <c r="BQ627" s="1293"/>
      <c r="BR627" s="1293"/>
      <c r="BS627" s="1293"/>
      <c r="BT627" s="1293"/>
      <c r="BU627" s="1293"/>
      <c r="BV627" s="1293"/>
      <c r="BW627" s="1293"/>
      <c r="BX627" s="1293"/>
      <c r="BY627" s="1293"/>
      <c r="BZ627" s="1293"/>
      <c r="CA627" s="1293"/>
      <c r="CB627" s="1293"/>
      <c r="CC627" s="1293"/>
      <c r="CD627" s="1293"/>
      <c r="CE627" s="1293"/>
      <c r="CF627" s="1293"/>
      <c r="CG627" s="1293"/>
      <c r="CH627" s="1293"/>
      <c r="CI627" s="1293"/>
      <c r="CJ627" s="1293"/>
      <c r="CK627" s="1293"/>
      <c r="CL627" s="1293"/>
      <c r="CM627" s="1293"/>
      <c r="CN627" s="1293"/>
      <c r="CO627" s="1293"/>
      <c r="CP627" s="1293"/>
      <c r="CQ627" s="1293"/>
      <c r="CR627" s="1293"/>
      <c r="CS627" s="1293"/>
      <c r="CT627" s="1293"/>
      <c r="CU627" s="1293"/>
      <c r="CV627" s="1293"/>
      <c r="CW627" s="1293"/>
      <c r="CX627" s="1293"/>
      <c r="CY627" s="2032"/>
      <c r="CZ627" s="1293"/>
      <c r="DA627" s="2042"/>
      <c r="DB627" s="2041"/>
      <c r="DC627" s="1293"/>
      <c r="DD627" s="1293"/>
      <c r="DE627" s="1293"/>
      <c r="DF627" s="1293"/>
      <c r="DG627" s="1293"/>
      <c r="DH627" s="1293"/>
      <c r="DI627" s="1293"/>
      <c r="DJ627" s="1293"/>
      <c r="DK627" s="1293"/>
      <c r="DL627" s="1293"/>
    </row>
    <row r="628" spans="1:116" ht="15.75">
      <c r="A628" s="1293"/>
      <c r="B628" s="1293" t="s">
        <v>3864</v>
      </c>
      <c r="C628" s="1699">
        <v>1002.875</v>
      </c>
      <c r="D628" s="1699">
        <v>1009.609</v>
      </c>
      <c r="E628" s="1699">
        <v>1052.598</v>
      </c>
      <c r="F628" s="1699">
        <v>1124.951</v>
      </c>
      <c r="G628" s="2039">
        <v>1124.951</v>
      </c>
      <c r="H628" s="1699">
        <v>1180.837</v>
      </c>
      <c r="I628" s="1699">
        <v>1218.424</v>
      </c>
      <c r="J628" s="1699">
        <v>1273.684</v>
      </c>
      <c r="K628" s="1699">
        <v>1343.51</v>
      </c>
      <c r="L628" s="2039">
        <v>1343.51</v>
      </c>
      <c r="M628" s="1699">
        <v>1388.3969999999999</v>
      </c>
      <c r="N628" s="1699">
        <v>1416.1469999999999</v>
      </c>
      <c r="O628" s="1699">
        <v>1462.307</v>
      </c>
      <c r="P628" s="1699">
        <v>1511.895</v>
      </c>
      <c r="Q628" s="2039">
        <f>P628</f>
        <v>1511.895</v>
      </c>
      <c r="R628" s="1699">
        <v>1553</v>
      </c>
      <c r="S628" s="1699"/>
      <c r="T628" s="1699"/>
      <c r="U628" s="1699"/>
      <c r="V628" s="2039"/>
      <c r="W628" s="1699"/>
      <c r="X628" s="1699"/>
      <c r="Y628" s="1699"/>
      <c r="Z628" s="1699"/>
      <c r="AA628" s="2039"/>
      <c r="AB628" s="1699"/>
      <c r="AC628" s="1699"/>
      <c r="AD628" s="1699"/>
      <c r="AE628" s="1699"/>
      <c r="AF628" s="1699"/>
      <c r="AG628" s="1699"/>
      <c r="AH628" s="1699"/>
      <c r="AI628" s="1699"/>
      <c r="AJ628" s="2186"/>
      <c r="AK628" s="1699"/>
      <c r="AL628" s="1699"/>
      <c r="AM628" s="1699"/>
      <c r="AN628" s="1699"/>
      <c r="AO628" s="2186"/>
      <c r="AP628" s="1699"/>
      <c r="AQ628" s="1699"/>
      <c r="AR628" s="1699"/>
      <c r="AS628" s="1699"/>
      <c r="AT628" s="2186"/>
      <c r="AU628" s="1699"/>
      <c r="AV628" s="1699"/>
      <c r="AW628" s="1699"/>
      <c r="AX628" s="1699"/>
      <c r="AY628" s="2186"/>
      <c r="AZ628" s="1699"/>
      <c r="BA628" s="1699"/>
      <c r="BB628" s="1699"/>
      <c r="BC628" s="1293"/>
      <c r="BD628" s="2186"/>
      <c r="BE628" s="1699"/>
      <c r="BF628" s="1699"/>
      <c r="BG628" s="1699"/>
      <c r="BH628" s="1293"/>
      <c r="BI628" s="2186"/>
      <c r="BJ628" s="1699"/>
      <c r="BK628" s="1699"/>
      <c r="BL628" s="1699"/>
      <c r="BM628" s="1699"/>
      <c r="BN628" s="2186"/>
      <c r="BO628" s="1293"/>
      <c r="BP628" s="1293"/>
      <c r="BQ628" s="1293"/>
      <c r="BR628" s="1293"/>
      <c r="BS628" s="1293"/>
      <c r="BT628" s="1293"/>
      <c r="BU628" s="1293"/>
      <c r="BV628" s="1293"/>
      <c r="BW628" s="1293"/>
      <c r="BX628" s="1293"/>
      <c r="BY628" s="1293"/>
      <c r="BZ628" s="1293"/>
      <c r="CA628" s="1293"/>
      <c r="CB628" s="1293"/>
      <c r="CC628" s="1293"/>
      <c r="CD628" s="1293"/>
      <c r="CE628" s="1293"/>
      <c r="CF628" s="1293"/>
      <c r="CG628" s="1293"/>
      <c r="CH628" s="1293"/>
      <c r="CI628" s="1293"/>
      <c r="CJ628" s="1293"/>
      <c r="CK628" s="1293"/>
      <c r="CL628" s="1293"/>
      <c r="CM628" s="1293"/>
      <c r="CN628" s="1293"/>
      <c r="CO628" s="1293"/>
      <c r="CP628" s="1293"/>
      <c r="CQ628" s="1293"/>
      <c r="CR628" s="1293"/>
      <c r="CS628" s="1293"/>
      <c r="CT628" s="1293"/>
      <c r="CU628" s="1293"/>
      <c r="CV628" s="1293"/>
      <c r="CW628" s="1293"/>
      <c r="CX628" s="1293"/>
      <c r="CY628" s="2032"/>
      <c r="CZ628" s="1293"/>
      <c r="DA628" s="2042"/>
      <c r="DB628" s="2041"/>
      <c r="DC628" s="1293"/>
      <c r="DD628" s="1293"/>
      <c r="DE628" s="1293"/>
      <c r="DF628" s="1293"/>
      <c r="DG628" s="1293"/>
      <c r="DH628" s="1293"/>
      <c r="DI628" s="1293"/>
      <c r="DJ628" s="1293"/>
      <c r="DK628" s="1293"/>
      <c r="DL628" s="1293"/>
    </row>
    <row r="629" spans="1:116" ht="15.75">
      <c r="A629" s="1293"/>
      <c r="B629" s="1293" t="s">
        <v>2852</v>
      </c>
      <c r="C629" s="1699">
        <v>26.99254524209454</v>
      </c>
      <c r="D629" s="1699">
        <v>27.630369418551627</v>
      </c>
      <c r="E629" s="1699">
        <v>27.366759979403898</v>
      </c>
      <c r="F629" s="1699">
        <v>26.99254524209454</v>
      </c>
      <c r="G629" s="2039">
        <v>27.31520062779585</v>
      </c>
      <c r="H629" s="1699">
        <v>27.14835828560707</v>
      </c>
      <c r="I629" s="1699">
        <v>27.174980917623319</v>
      </c>
      <c r="J629" s="1699">
        <v>25.755269188047823</v>
      </c>
      <c r="K629" s="1699">
        <v>26.127276569158482</v>
      </c>
      <c r="L629" s="2039">
        <v>26.681217987438131</v>
      </c>
      <c r="M629" s="1699">
        <v>26.143714135714799</v>
      </c>
      <c r="N629" s="1699">
        <v>26.015582279258883</v>
      </c>
      <c r="O629" s="1699">
        <v>25.706282843483148</v>
      </c>
      <c r="P629" s="1699">
        <v>26.487783511145611</v>
      </c>
      <c r="Q629" s="2039"/>
      <c r="R629" s="1699">
        <v>26.8</v>
      </c>
      <c r="S629" s="1699"/>
      <c r="T629" s="1699"/>
      <c r="U629" s="1699"/>
      <c r="V629" s="2039"/>
      <c r="W629" s="1699"/>
      <c r="X629" s="1699"/>
      <c r="Y629" s="1699"/>
      <c r="Z629" s="1699"/>
      <c r="AA629" s="2039"/>
      <c r="AB629" s="1699"/>
      <c r="AC629" s="1699"/>
      <c r="AD629" s="1699"/>
      <c r="AE629" s="1699"/>
      <c r="AF629" s="1699"/>
      <c r="AG629" s="1699"/>
      <c r="AH629" s="1699"/>
      <c r="AI629" s="1699"/>
      <c r="AJ629" s="2186"/>
      <c r="AK629" s="1699"/>
      <c r="AL629" s="1699"/>
      <c r="AM629" s="1699"/>
      <c r="AN629" s="1699"/>
      <c r="AO629" s="2186"/>
      <c r="AP629" s="1699"/>
      <c r="AQ629" s="1699"/>
      <c r="AR629" s="1699"/>
      <c r="AS629" s="1699"/>
      <c r="AT629" s="2186"/>
      <c r="AU629" s="1699"/>
      <c r="AV629" s="1699"/>
      <c r="AW629" s="1699"/>
      <c r="AX629" s="1699"/>
      <c r="AY629" s="2186"/>
      <c r="AZ629" s="1699"/>
      <c r="BA629" s="1699"/>
      <c r="BB629" s="1699"/>
      <c r="BC629" s="1293"/>
      <c r="BD629" s="2186"/>
      <c r="BE629" s="1699"/>
      <c r="BF629" s="1699"/>
      <c r="BG629" s="1699"/>
      <c r="BH629" s="1293"/>
      <c r="BI629" s="2186"/>
      <c r="BJ629" s="1699"/>
      <c r="BK629" s="1699"/>
      <c r="BL629" s="1699"/>
      <c r="BM629" s="1699"/>
      <c r="BN629" s="2186"/>
      <c r="BO629" s="1293"/>
      <c r="BP629" s="1293"/>
      <c r="BQ629" s="1293"/>
      <c r="BR629" s="1293"/>
      <c r="BS629" s="1293"/>
      <c r="BT629" s="1293"/>
      <c r="BU629" s="1293"/>
      <c r="BV629" s="1293"/>
      <c r="BW629" s="1293"/>
      <c r="BX629" s="1293"/>
      <c r="BY629" s="1293"/>
      <c r="BZ629" s="1293"/>
      <c r="CA629" s="1293"/>
      <c r="CB629" s="1293"/>
      <c r="CC629" s="1293"/>
      <c r="CD629" s="1293"/>
      <c r="CE629" s="1293"/>
      <c r="CF629" s="1293"/>
      <c r="CG629" s="1293"/>
      <c r="CH629" s="1293"/>
      <c r="CI629" s="1293"/>
      <c r="CJ629" s="1293"/>
      <c r="CK629" s="1293"/>
      <c r="CL629" s="1293"/>
      <c r="CM629" s="1293"/>
      <c r="CN629" s="1293"/>
      <c r="CO629" s="1293"/>
      <c r="CP629" s="1293"/>
      <c r="CQ629" s="1293"/>
      <c r="CR629" s="1293"/>
      <c r="CS629" s="1293"/>
      <c r="CT629" s="1293"/>
      <c r="CU629" s="1293"/>
      <c r="CV629" s="1293"/>
      <c r="CW629" s="1293"/>
      <c r="CX629" s="1293"/>
      <c r="CY629" s="2032"/>
      <c r="CZ629" s="1293"/>
      <c r="DA629" s="2042"/>
      <c r="DB629" s="2041"/>
      <c r="DC629" s="1293"/>
      <c r="DD629" s="1293"/>
      <c r="DE629" s="1293"/>
      <c r="DF629" s="1293"/>
      <c r="DG629" s="1293"/>
      <c r="DH629" s="1293"/>
      <c r="DI629" s="1293"/>
      <c r="DJ629" s="1293"/>
      <c r="DK629" s="1293"/>
      <c r="DL629" s="1293"/>
    </row>
    <row r="630" spans="1:116" ht="15.75">
      <c r="A630" s="1293"/>
      <c r="B630" s="1293"/>
      <c r="C630" s="1699"/>
      <c r="D630" s="1699"/>
      <c r="E630" s="1699"/>
      <c r="F630" s="1699"/>
      <c r="G630" s="2039"/>
      <c r="H630" s="1699"/>
      <c r="I630" s="1699"/>
      <c r="J630" s="1699"/>
      <c r="K630" s="1699"/>
      <c r="L630" s="2039"/>
      <c r="M630" s="1699"/>
      <c r="N630" s="1699"/>
      <c r="O630" s="1699"/>
      <c r="P630" s="1699"/>
      <c r="Q630" s="2039"/>
      <c r="R630" s="1699"/>
      <c r="S630" s="1699"/>
      <c r="T630" s="1699"/>
      <c r="U630" s="1699"/>
      <c r="V630" s="2039"/>
      <c r="W630" s="1699"/>
      <c r="X630" s="1699"/>
      <c r="Y630" s="1699"/>
      <c r="Z630" s="1699"/>
      <c r="AA630" s="2039"/>
      <c r="AB630" s="1699"/>
      <c r="AC630" s="1699"/>
      <c r="AD630" s="1699"/>
      <c r="AE630" s="1699"/>
      <c r="AF630" s="1699"/>
      <c r="AG630" s="1699"/>
      <c r="AH630" s="1699"/>
      <c r="AI630" s="1699"/>
      <c r="AJ630" s="2186"/>
      <c r="AK630" s="1699"/>
      <c r="AL630" s="1699"/>
      <c r="AM630" s="1699"/>
      <c r="AN630" s="1699"/>
      <c r="AO630" s="2186"/>
      <c r="AP630" s="1699"/>
      <c r="AQ630" s="1699"/>
      <c r="AR630" s="1699"/>
      <c r="AS630" s="1699"/>
      <c r="AT630" s="2186"/>
      <c r="AU630" s="1699"/>
      <c r="AV630" s="1699"/>
      <c r="AW630" s="1699"/>
      <c r="AX630" s="1699"/>
      <c r="AY630" s="2186"/>
      <c r="AZ630" s="1699"/>
      <c r="BA630" s="1699"/>
      <c r="BB630" s="1699"/>
      <c r="BC630" s="1293"/>
      <c r="BD630" s="2186"/>
      <c r="BE630" s="1699"/>
      <c r="BF630" s="1699"/>
      <c r="BG630" s="1699"/>
      <c r="BH630" s="1293"/>
      <c r="BI630" s="2186"/>
      <c r="BJ630" s="1699"/>
      <c r="BK630" s="1699"/>
      <c r="BL630" s="1699"/>
      <c r="BM630" s="1699"/>
      <c r="BN630" s="2186"/>
      <c r="BO630" s="1293"/>
      <c r="BP630" s="1293"/>
      <c r="BQ630" s="1293"/>
      <c r="BR630" s="1293"/>
      <c r="BS630" s="1293"/>
      <c r="BT630" s="1293"/>
      <c r="BU630" s="1293"/>
      <c r="BV630" s="1293"/>
      <c r="BW630" s="1293"/>
      <c r="BX630" s="1293"/>
      <c r="BY630" s="1293"/>
      <c r="BZ630" s="1293"/>
      <c r="CA630" s="1293"/>
      <c r="CB630" s="1293"/>
      <c r="CC630" s="1293"/>
      <c r="CD630" s="1293"/>
      <c r="CE630" s="1293"/>
      <c r="CF630" s="1293"/>
      <c r="CG630" s="1293"/>
      <c r="CH630" s="1293"/>
      <c r="CI630" s="1293"/>
      <c r="CJ630" s="1293"/>
      <c r="CK630" s="1293"/>
      <c r="CL630" s="1293"/>
      <c r="CM630" s="1293"/>
      <c r="CN630" s="1293"/>
      <c r="CO630" s="1293"/>
      <c r="CP630" s="1293"/>
      <c r="CQ630" s="1293"/>
      <c r="CR630" s="1293"/>
      <c r="CS630" s="1293"/>
      <c r="CT630" s="1293"/>
      <c r="CU630" s="1293"/>
      <c r="CV630" s="1293"/>
      <c r="CW630" s="1293"/>
      <c r="CX630" s="1293"/>
      <c r="CY630" s="2032"/>
      <c r="CZ630" s="1293"/>
      <c r="DA630" s="2042"/>
      <c r="DB630" s="2041"/>
      <c r="DC630" s="1293"/>
      <c r="DD630" s="1293"/>
      <c r="DE630" s="1293"/>
      <c r="DF630" s="1293"/>
      <c r="DG630" s="1293"/>
      <c r="DH630" s="1293"/>
      <c r="DI630" s="1293"/>
      <c r="DJ630" s="1293"/>
      <c r="DK630" s="1293"/>
      <c r="DL630" s="1293"/>
    </row>
    <row r="631" spans="1:116" ht="15.75">
      <c r="A631" s="1293"/>
      <c r="B631" s="1334" t="s">
        <v>4523</v>
      </c>
      <c r="C631" s="1699"/>
      <c r="D631" s="1699"/>
      <c r="E631" s="1699"/>
      <c r="F631" s="1699"/>
      <c r="G631" s="2039"/>
      <c r="H631" s="1699"/>
      <c r="I631" s="1699"/>
      <c r="J631" s="1699"/>
      <c r="K631" s="1699"/>
      <c r="L631" s="2039"/>
      <c r="M631" s="1699"/>
      <c r="N631" s="1699"/>
      <c r="O631" s="1699"/>
      <c r="P631" s="1699"/>
      <c r="Q631" s="2039"/>
      <c r="R631" s="1699"/>
      <c r="S631" s="1699"/>
      <c r="T631" s="1699"/>
      <c r="U631" s="1699"/>
      <c r="V631" s="2039"/>
      <c r="W631" s="1699"/>
      <c r="X631" s="1699"/>
      <c r="Y631" s="1699"/>
      <c r="Z631" s="1699"/>
      <c r="AA631" s="2039"/>
      <c r="AB631" s="1699"/>
      <c r="AC631" s="1699"/>
      <c r="AD631" s="1699"/>
      <c r="AE631" s="1699"/>
      <c r="AF631" s="1699"/>
      <c r="AG631" s="1699"/>
      <c r="AH631" s="1699"/>
      <c r="AI631" s="1699"/>
      <c r="AJ631" s="2186"/>
      <c r="AK631" s="1699"/>
      <c r="AL631" s="1699"/>
      <c r="AM631" s="1699"/>
      <c r="AN631" s="1699"/>
      <c r="AO631" s="2186"/>
      <c r="AP631" s="1699"/>
      <c r="AQ631" s="1699"/>
      <c r="AR631" s="1699"/>
      <c r="AS631" s="1699"/>
      <c r="AT631" s="2186"/>
      <c r="AU631" s="1699"/>
      <c r="AV631" s="1699"/>
      <c r="AW631" s="1699"/>
      <c r="AX631" s="1699"/>
      <c r="AY631" s="2186"/>
      <c r="AZ631" s="1699"/>
      <c r="BA631" s="1699"/>
      <c r="BB631" s="1699"/>
      <c r="BC631" s="1293"/>
      <c r="BD631" s="2186"/>
      <c r="BE631" s="1699"/>
      <c r="BF631" s="1699"/>
      <c r="BG631" s="1699"/>
      <c r="BH631" s="1293"/>
      <c r="BI631" s="2186"/>
      <c r="BJ631" s="1699"/>
      <c r="BK631" s="1699"/>
      <c r="BL631" s="1699"/>
      <c r="BM631" s="1699"/>
      <c r="BN631" s="2186"/>
      <c r="BO631" s="1293"/>
      <c r="BP631" s="1293"/>
      <c r="BQ631" s="1293"/>
      <c r="BR631" s="1293"/>
      <c r="BS631" s="1293"/>
      <c r="BT631" s="1293"/>
      <c r="BU631" s="1293"/>
      <c r="BV631" s="1293"/>
      <c r="BW631" s="1293"/>
      <c r="BX631" s="1293"/>
      <c r="BY631" s="1293"/>
      <c r="BZ631" s="1293"/>
      <c r="CA631" s="1293"/>
      <c r="CB631" s="1293"/>
      <c r="CC631" s="1293"/>
      <c r="CD631" s="1293"/>
      <c r="CE631" s="1293"/>
      <c r="CF631" s="1293"/>
      <c r="CG631" s="1293"/>
      <c r="CH631" s="1293"/>
      <c r="CI631" s="1293"/>
      <c r="CJ631" s="1293"/>
      <c r="CK631" s="1293"/>
      <c r="CL631" s="1293"/>
      <c r="CM631" s="1293"/>
      <c r="CN631" s="1293"/>
      <c r="CO631" s="1293"/>
      <c r="CP631" s="1293"/>
      <c r="CQ631" s="1293"/>
      <c r="CR631" s="1293"/>
      <c r="CS631" s="1293"/>
      <c r="CT631" s="1293"/>
      <c r="CU631" s="1293"/>
      <c r="CV631" s="1293"/>
      <c r="CW631" s="1293"/>
      <c r="CX631" s="1293"/>
      <c r="CY631" s="2032"/>
      <c r="CZ631" s="1293"/>
      <c r="DA631" s="2042"/>
      <c r="DB631" s="2041"/>
      <c r="DC631" s="1293"/>
      <c r="DD631" s="1293"/>
      <c r="DE631" s="1293"/>
      <c r="DF631" s="1293"/>
      <c r="DG631" s="1293"/>
      <c r="DH631" s="1293"/>
      <c r="DI631" s="1293"/>
      <c r="DJ631" s="1293"/>
      <c r="DK631" s="1293"/>
      <c r="DL631" s="1293"/>
    </row>
    <row r="632" spans="1:116" ht="15.75">
      <c r="A632" s="1293"/>
      <c r="B632" s="1293" t="s">
        <v>4288</v>
      </c>
      <c r="C632" s="1699">
        <v>1988.2344720877586</v>
      </c>
      <c r="D632" s="1699">
        <v>2028.012845</v>
      </c>
      <c r="E632" s="1699">
        <v>2068.3302120877584</v>
      </c>
      <c r="F632" s="1699">
        <v>2109.4393220877587</v>
      </c>
      <c r="G632" s="2039">
        <v>2109.4393220877587</v>
      </c>
      <c r="H632" s="1699">
        <v>2138.8972599999997</v>
      </c>
      <c r="I632" s="1699">
        <v>2155.788</v>
      </c>
      <c r="J632" s="1699">
        <v>2222.9613670877588</v>
      </c>
      <c r="K632" s="1699">
        <v>2291.8121099999998</v>
      </c>
      <c r="L632" s="2039">
        <v>2291.8121099999998</v>
      </c>
      <c r="M632" s="1699">
        <v>2313.5542120877603</v>
      </c>
      <c r="N632" s="1699">
        <v>2341.4362599999999</v>
      </c>
      <c r="O632" s="1699">
        <v>2363.9720000000002</v>
      </c>
      <c r="P632" s="1699">
        <v>2447.8151050000001</v>
      </c>
      <c r="Q632" s="2039">
        <f>P632</f>
        <v>2447.8151050000001</v>
      </c>
      <c r="R632" s="1699">
        <v>2499</v>
      </c>
      <c r="S632" s="1699"/>
      <c r="T632" s="1699"/>
      <c r="U632" s="1699"/>
      <c r="V632" s="2039"/>
      <c r="W632" s="1699"/>
      <c r="X632" s="1699"/>
      <c r="Y632" s="1699"/>
      <c r="Z632" s="1699"/>
      <c r="AA632" s="2039"/>
      <c r="AB632" s="1699"/>
      <c r="AC632" s="1699"/>
      <c r="AD632" s="1699"/>
      <c r="AE632" s="1699"/>
      <c r="AF632" s="1699"/>
      <c r="AG632" s="1699"/>
      <c r="AH632" s="1699"/>
      <c r="AI632" s="1699"/>
      <c r="AJ632" s="2186"/>
      <c r="AK632" s="1699"/>
      <c r="AL632" s="1699"/>
      <c r="AM632" s="1699"/>
      <c r="AN632" s="1699"/>
      <c r="AO632" s="2186"/>
      <c r="AP632" s="1699"/>
      <c r="AQ632" s="1699"/>
      <c r="AR632" s="1699"/>
      <c r="AS632" s="1699"/>
      <c r="AT632" s="2186"/>
      <c r="AU632" s="1699"/>
      <c r="AV632" s="1699"/>
      <c r="AW632" s="1699"/>
      <c r="AX632" s="1699"/>
      <c r="AY632" s="2186"/>
      <c r="AZ632" s="1699"/>
      <c r="BA632" s="1699"/>
      <c r="BB632" s="1699"/>
      <c r="BC632" s="1293"/>
      <c r="BD632" s="2186"/>
      <c r="BE632" s="1699"/>
      <c r="BF632" s="1699"/>
      <c r="BG632" s="1699"/>
      <c r="BH632" s="1293"/>
      <c r="BI632" s="2186"/>
      <c r="BJ632" s="1699"/>
      <c r="BK632" s="1699"/>
      <c r="BL632" s="1699"/>
      <c r="BM632" s="1699"/>
      <c r="BN632" s="2186"/>
      <c r="BO632" s="1293"/>
      <c r="BP632" s="1293"/>
      <c r="BQ632" s="1293"/>
      <c r="BR632" s="1293"/>
      <c r="BS632" s="1293"/>
      <c r="BT632" s="1293"/>
      <c r="BU632" s="1293"/>
      <c r="BV632" s="1293"/>
      <c r="BW632" s="1293"/>
      <c r="BX632" s="1293"/>
      <c r="BY632" s="1293"/>
      <c r="BZ632" s="1293"/>
      <c r="CA632" s="1293"/>
      <c r="CB632" s="1293"/>
      <c r="CC632" s="1293"/>
      <c r="CD632" s="1293"/>
      <c r="CE632" s="1293"/>
      <c r="CF632" s="1293"/>
      <c r="CG632" s="1293"/>
      <c r="CH632" s="1293"/>
      <c r="CI632" s="1293"/>
      <c r="CJ632" s="1293"/>
      <c r="CK632" s="1293"/>
      <c r="CL632" s="1293"/>
      <c r="CM632" s="1293"/>
      <c r="CN632" s="1293"/>
      <c r="CO632" s="1293"/>
      <c r="CP632" s="1293"/>
      <c r="CQ632" s="1293"/>
      <c r="CR632" s="1293"/>
      <c r="CS632" s="1293"/>
      <c r="CT632" s="1293"/>
      <c r="CU632" s="1293"/>
      <c r="CV632" s="1293"/>
      <c r="CW632" s="1293"/>
      <c r="CX632" s="1293"/>
      <c r="CY632" s="2032"/>
      <c r="CZ632" s="1293"/>
      <c r="DA632" s="2042"/>
      <c r="DB632" s="2041"/>
      <c r="DC632" s="1293"/>
      <c r="DD632" s="1293"/>
      <c r="DE632" s="1293"/>
      <c r="DF632" s="1293"/>
      <c r="DG632" s="1293"/>
      <c r="DH632" s="1293"/>
      <c r="DI632" s="1293"/>
      <c r="DJ632" s="1293"/>
      <c r="DK632" s="1293"/>
      <c r="DL632" s="1293"/>
    </row>
    <row r="633" spans="1:116" ht="15.75">
      <c r="A633" s="1293"/>
      <c r="B633" s="1293" t="s">
        <v>4522</v>
      </c>
      <c r="C633" s="1699">
        <v>685.43799999999999</v>
      </c>
      <c r="D633" s="1699">
        <v>681.71799999999996</v>
      </c>
      <c r="E633" s="1699">
        <v>689.93600000000004</v>
      </c>
      <c r="F633" s="1699">
        <v>704.82</v>
      </c>
      <c r="G633" s="2039">
        <v>704.82</v>
      </c>
      <c r="H633" s="1699">
        <v>706.78399999999999</v>
      </c>
      <c r="I633" s="1699">
        <v>710.31799999999998</v>
      </c>
      <c r="J633" s="1699">
        <v>731.27167128958592</v>
      </c>
      <c r="K633" s="1699">
        <v>761.40800000000002</v>
      </c>
      <c r="L633" s="2039">
        <v>761.40800000000002</v>
      </c>
      <c r="M633" s="1699">
        <v>767.83400000000006</v>
      </c>
      <c r="N633" s="1699">
        <v>764.79399999999998</v>
      </c>
      <c r="O633" s="1699">
        <v>783.51400000000012</v>
      </c>
      <c r="P633" s="1699">
        <v>807.12839842003905</v>
      </c>
      <c r="Q633" s="2039">
        <f>P633</f>
        <v>807.12839842003905</v>
      </c>
      <c r="R633" s="1699">
        <v>807</v>
      </c>
      <c r="S633" s="1699"/>
      <c r="T633" s="1699"/>
      <c r="U633" s="1699"/>
      <c r="V633" s="2039"/>
      <c r="W633" s="1699"/>
      <c r="X633" s="1699"/>
      <c r="Y633" s="1699"/>
      <c r="Z633" s="1699"/>
      <c r="AA633" s="2039"/>
      <c r="AB633" s="1699"/>
      <c r="AC633" s="1699"/>
      <c r="AD633" s="1699"/>
      <c r="AE633" s="1699"/>
      <c r="AF633" s="1699"/>
      <c r="AG633" s="1699"/>
      <c r="AH633" s="1699"/>
      <c r="AI633" s="1699"/>
      <c r="AJ633" s="2186"/>
      <c r="AK633" s="1699"/>
      <c r="AL633" s="1699"/>
      <c r="AM633" s="1699"/>
      <c r="AN633" s="1699"/>
      <c r="AO633" s="2186"/>
      <c r="AP633" s="1699"/>
      <c r="AQ633" s="1699"/>
      <c r="AR633" s="1699"/>
      <c r="AS633" s="1699"/>
      <c r="AT633" s="2186"/>
      <c r="AU633" s="1699"/>
      <c r="AV633" s="1699"/>
      <c r="AW633" s="1699"/>
      <c r="AX633" s="1699"/>
      <c r="AY633" s="2186"/>
      <c r="AZ633" s="1699"/>
      <c r="BA633" s="1699"/>
      <c r="BB633" s="1699"/>
      <c r="BC633" s="1293"/>
      <c r="BD633" s="2186"/>
      <c r="BE633" s="1699"/>
      <c r="BF633" s="1699"/>
      <c r="BG633" s="1699"/>
      <c r="BH633" s="1293"/>
      <c r="BI633" s="2186"/>
      <c r="BJ633" s="1699"/>
      <c r="BK633" s="1699"/>
      <c r="BL633" s="1699"/>
      <c r="BM633" s="1699"/>
      <c r="BN633" s="2186"/>
      <c r="BO633" s="1293"/>
      <c r="BP633" s="1293"/>
      <c r="BQ633" s="1293"/>
      <c r="BR633" s="1293"/>
      <c r="BS633" s="1293"/>
      <c r="BT633" s="1293"/>
      <c r="BU633" s="1293"/>
      <c r="BV633" s="1293"/>
      <c r="BW633" s="1293"/>
      <c r="BX633" s="1293"/>
      <c r="BY633" s="1293"/>
      <c r="BZ633" s="1293"/>
      <c r="CA633" s="1293"/>
      <c r="CB633" s="1293"/>
      <c r="CC633" s="1293"/>
      <c r="CD633" s="1293"/>
      <c r="CE633" s="1293"/>
      <c r="CF633" s="1293"/>
      <c r="CG633" s="1293"/>
      <c r="CH633" s="1293"/>
      <c r="CI633" s="1293"/>
      <c r="CJ633" s="1293"/>
      <c r="CK633" s="1293"/>
      <c r="CL633" s="1293"/>
      <c r="CM633" s="1293"/>
      <c r="CN633" s="1293"/>
      <c r="CO633" s="1293"/>
      <c r="CP633" s="1293"/>
      <c r="CQ633" s="1293"/>
      <c r="CR633" s="1293"/>
      <c r="CS633" s="1293"/>
      <c r="CT633" s="1293"/>
      <c r="CU633" s="1293"/>
      <c r="CV633" s="1293"/>
      <c r="CW633" s="1293"/>
      <c r="CX633" s="1293"/>
      <c r="CY633" s="2032"/>
      <c r="CZ633" s="1293"/>
      <c r="DA633" s="2042"/>
      <c r="DB633" s="2041"/>
      <c r="DC633" s="1293"/>
      <c r="DD633" s="1293"/>
      <c r="DE633" s="1293"/>
      <c r="DF633" s="1293"/>
      <c r="DG633" s="1293"/>
      <c r="DH633" s="1293"/>
      <c r="DI633" s="1293"/>
      <c r="DJ633" s="1293"/>
      <c r="DK633" s="1293"/>
      <c r="DL633" s="1293"/>
    </row>
    <row r="634" spans="1:116" ht="15.75">
      <c r="A634" s="1293"/>
      <c r="B634" s="1293" t="s">
        <v>3864</v>
      </c>
      <c r="C634" s="1699">
        <v>962.84500000000003</v>
      </c>
      <c r="D634" s="1699">
        <v>967.06799999999998</v>
      </c>
      <c r="E634" s="1699">
        <v>985.85199999999998</v>
      </c>
      <c r="F634" s="1699">
        <v>1026.5820000000001</v>
      </c>
      <c r="G634" s="2039">
        <v>1026.5820000000001</v>
      </c>
      <c r="H634" s="1699">
        <v>1052.364</v>
      </c>
      <c r="I634" s="1699">
        <v>1068.556</v>
      </c>
      <c r="J634" s="1699">
        <v>1101.568</v>
      </c>
      <c r="K634" s="1699">
        <v>1149.768</v>
      </c>
      <c r="L634" s="2039">
        <v>1149.768</v>
      </c>
      <c r="M634" s="1699">
        <v>1176.711</v>
      </c>
      <c r="N634" s="1699">
        <v>1185.684</v>
      </c>
      <c r="O634" s="1699">
        <v>1212.3979999999999</v>
      </c>
      <c r="P634" s="1699">
        <v>1251.5999999999999</v>
      </c>
      <c r="Q634" s="2039">
        <f>P634</f>
        <v>1251.5999999999999</v>
      </c>
      <c r="R634" s="1699">
        <v>1288</v>
      </c>
      <c r="S634" s="1699"/>
      <c r="T634" s="1699"/>
      <c r="U634" s="1699"/>
      <c r="V634" s="2039"/>
      <c r="W634" s="1699"/>
      <c r="X634" s="1699"/>
      <c r="Y634" s="1699"/>
      <c r="Z634" s="1699"/>
      <c r="AA634" s="2039"/>
      <c r="AB634" s="1699"/>
      <c r="AC634" s="1699"/>
      <c r="AD634" s="1699"/>
      <c r="AE634" s="1699"/>
      <c r="AF634" s="1699"/>
      <c r="AG634" s="1699"/>
      <c r="AH634" s="1699"/>
      <c r="AI634" s="1699"/>
      <c r="AJ634" s="2186"/>
      <c r="AK634" s="1699"/>
      <c r="AL634" s="1699"/>
      <c r="AM634" s="1699"/>
      <c r="AN634" s="1699"/>
      <c r="AO634" s="2186"/>
      <c r="AP634" s="1699"/>
      <c r="AQ634" s="1699"/>
      <c r="AR634" s="1699"/>
      <c r="AS634" s="1699"/>
      <c r="AT634" s="2186"/>
      <c r="AU634" s="1699"/>
      <c r="AV634" s="1699"/>
      <c r="AW634" s="1699"/>
      <c r="AX634" s="1699"/>
      <c r="AY634" s="2186"/>
      <c r="AZ634" s="1699"/>
      <c r="BA634" s="1699"/>
      <c r="BB634" s="1699"/>
      <c r="BC634" s="1293"/>
      <c r="BD634" s="2186"/>
      <c r="BE634" s="1699"/>
      <c r="BF634" s="1699"/>
      <c r="BG634" s="1699"/>
      <c r="BH634" s="1293"/>
      <c r="BI634" s="2186"/>
      <c r="BJ634" s="1699"/>
      <c r="BK634" s="1699"/>
      <c r="BL634" s="1699"/>
      <c r="BM634" s="1699"/>
      <c r="BN634" s="2186"/>
      <c r="BO634" s="1293"/>
      <c r="BP634" s="1293"/>
      <c r="BQ634" s="1293"/>
      <c r="BR634" s="1293"/>
      <c r="BS634" s="1293"/>
      <c r="BT634" s="1293"/>
      <c r="BU634" s="1293"/>
      <c r="BV634" s="1293"/>
      <c r="BW634" s="1293"/>
      <c r="BX634" s="1293"/>
      <c r="BY634" s="1293"/>
      <c r="BZ634" s="1293"/>
      <c r="CA634" s="1293"/>
      <c r="CB634" s="1293"/>
      <c r="CC634" s="1293"/>
      <c r="CD634" s="1293"/>
      <c r="CE634" s="1293"/>
      <c r="CF634" s="1293"/>
      <c r="CG634" s="1293"/>
      <c r="CH634" s="1293"/>
      <c r="CI634" s="1293"/>
      <c r="CJ634" s="1293"/>
      <c r="CK634" s="1293"/>
      <c r="CL634" s="1293"/>
      <c r="CM634" s="1293"/>
      <c r="CN634" s="1293"/>
      <c r="CO634" s="1293"/>
      <c r="CP634" s="1293"/>
      <c r="CQ634" s="1293"/>
      <c r="CR634" s="1293"/>
      <c r="CS634" s="1293"/>
      <c r="CT634" s="1293"/>
      <c r="CU634" s="1293"/>
      <c r="CV634" s="1293"/>
      <c r="CW634" s="1293"/>
      <c r="CX634" s="1293"/>
      <c r="CY634" s="2032"/>
      <c r="CZ634" s="1293"/>
      <c r="DA634" s="2042"/>
      <c r="DB634" s="2041"/>
      <c r="DC634" s="1293"/>
      <c r="DD634" s="1293"/>
      <c r="DE634" s="1293"/>
      <c r="DF634" s="1293"/>
      <c r="DG634" s="1293"/>
      <c r="DH634" s="1293"/>
      <c r="DI634" s="1293"/>
      <c r="DJ634" s="1293"/>
      <c r="DK634" s="1293"/>
      <c r="DL634" s="1293"/>
    </row>
    <row r="635" spans="1:116" ht="15.75">
      <c r="A635" s="1293"/>
      <c r="B635" s="1293" t="s">
        <v>4524</v>
      </c>
      <c r="C635" s="1650">
        <f t="shared" ref="C635:O635" si="553">C634/C633</f>
        <v>1.4047149413951372</v>
      </c>
      <c r="D635" s="1650">
        <f t="shared" si="553"/>
        <v>1.4185748359292258</v>
      </c>
      <c r="E635" s="1650">
        <f t="shared" si="553"/>
        <v>1.4289035504742469</v>
      </c>
      <c r="F635" s="1650">
        <f t="shared" si="553"/>
        <v>1.4565165574189156</v>
      </c>
      <c r="G635" s="2322">
        <f t="shared" si="553"/>
        <v>1.4565165574189156</v>
      </c>
      <c r="H635" s="1650">
        <f t="shared" si="553"/>
        <v>1.4889471182143343</v>
      </c>
      <c r="I635" s="1650">
        <f t="shared" si="553"/>
        <v>1.5043346782708591</v>
      </c>
      <c r="J635" s="1650">
        <f t="shared" si="553"/>
        <v>1.5063731349765026</v>
      </c>
      <c r="K635" s="1650">
        <f t="shared" si="553"/>
        <v>1.5100550558964445</v>
      </c>
      <c r="L635" s="2322">
        <f t="shared" si="553"/>
        <v>1.5100550558964445</v>
      </c>
      <c r="M635" s="1650">
        <f t="shared" si="553"/>
        <v>1.5325070262582796</v>
      </c>
      <c r="N635" s="1650">
        <f t="shared" si="553"/>
        <v>1.5503312002970735</v>
      </c>
      <c r="O635" s="1650">
        <f t="shared" si="553"/>
        <v>1.5473852413613538</v>
      </c>
      <c r="P635" s="1650">
        <v>1.5506826453511213</v>
      </c>
      <c r="Q635" s="2322"/>
      <c r="R635" s="1650">
        <v>1.6</v>
      </c>
      <c r="S635" s="1650"/>
      <c r="T635" s="1650"/>
      <c r="U635" s="1650"/>
      <c r="V635" s="2322"/>
      <c r="W635" s="1650"/>
      <c r="X635" s="1650"/>
      <c r="Y635" s="1650"/>
      <c r="Z635" s="1650"/>
      <c r="AA635" s="2322"/>
      <c r="AB635" s="1650"/>
      <c r="AC635" s="1650"/>
      <c r="AD635" s="1650"/>
      <c r="AE635" s="1650"/>
      <c r="AF635" s="1650"/>
      <c r="AG635" s="1650"/>
      <c r="AH635" s="1650"/>
      <c r="AI635" s="1650"/>
      <c r="AJ635" s="2186"/>
      <c r="AK635" s="1650"/>
      <c r="AL635" s="1650"/>
      <c r="AM635" s="1650"/>
      <c r="AN635" s="1650"/>
      <c r="AO635" s="2186"/>
      <c r="AP635" s="1650"/>
      <c r="AQ635" s="1650"/>
      <c r="AR635" s="1650"/>
      <c r="AS635" s="1650"/>
      <c r="AT635" s="2186"/>
      <c r="AU635" s="1650"/>
      <c r="AV635" s="1650"/>
      <c r="AW635" s="1650"/>
      <c r="AX635" s="1650"/>
      <c r="AY635" s="2186"/>
      <c r="AZ635" s="1650"/>
      <c r="BA635" s="1650"/>
      <c r="BB635" s="1650"/>
      <c r="BC635" s="1293"/>
      <c r="BD635" s="2186"/>
      <c r="BE635" s="1650"/>
      <c r="BF635" s="1650"/>
      <c r="BG635" s="1650"/>
      <c r="BH635" s="1293"/>
      <c r="BI635" s="2186"/>
      <c r="BJ635" s="1650"/>
      <c r="BK635" s="1650"/>
      <c r="BL635" s="1650"/>
      <c r="BM635" s="1650"/>
      <c r="BN635" s="2186"/>
      <c r="BO635" s="1293"/>
      <c r="BP635" s="1293"/>
      <c r="BQ635" s="1293"/>
      <c r="BR635" s="1293"/>
      <c r="BS635" s="1293"/>
      <c r="BT635" s="1293"/>
      <c r="BU635" s="1293"/>
      <c r="BV635" s="1293"/>
      <c r="BW635" s="1293"/>
      <c r="BX635" s="1293"/>
      <c r="BY635" s="1293"/>
      <c r="BZ635" s="1293"/>
      <c r="CA635" s="1293"/>
      <c r="CB635" s="1293"/>
      <c r="CC635" s="1293"/>
      <c r="CD635" s="1293"/>
      <c r="CE635" s="1293"/>
      <c r="CF635" s="1293"/>
      <c r="CG635" s="1293"/>
      <c r="CH635" s="1293"/>
      <c r="CI635" s="1293"/>
      <c r="CJ635" s="1293"/>
      <c r="CK635" s="1293"/>
      <c r="CL635" s="1293"/>
      <c r="CM635" s="1293"/>
      <c r="CN635" s="1293"/>
      <c r="CO635" s="1293"/>
      <c r="CP635" s="1293"/>
      <c r="CQ635" s="1293"/>
      <c r="CR635" s="1293"/>
      <c r="CS635" s="1293"/>
      <c r="CT635" s="1293"/>
      <c r="CU635" s="1293"/>
      <c r="CV635" s="1293"/>
      <c r="CW635" s="1293"/>
      <c r="CX635" s="1293"/>
      <c r="CY635" s="2032"/>
      <c r="CZ635" s="1293"/>
      <c r="DA635" s="2323"/>
      <c r="DB635" s="2324"/>
      <c r="DC635" s="1293"/>
      <c r="DD635" s="1293"/>
      <c r="DE635" s="1293"/>
      <c r="DF635" s="1293"/>
      <c r="DG635" s="1293"/>
      <c r="DH635" s="1293"/>
      <c r="DI635" s="1293"/>
      <c r="DJ635" s="1293"/>
      <c r="DK635" s="1293"/>
      <c r="DL635" s="1293"/>
    </row>
    <row r="636" spans="1:116" ht="15.75">
      <c r="A636" s="1293"/>
      <c r="B636" s="1293" t="s">
        <v>4525</v>
      </c>
      <c r="C636" s="1724">
        <v>0.3318549598942574</v>
      </c>
      <c r="D636" s="1724">
        <v>0.33827183674187855</v>
      </c>
      <c r="E636" s="1724">
        <v>0.35303129565640867</v>
      </c>
      <c r="F636" s="1724">
        <v>0.37460344485116764</v>
      </c>
      <c r="G636" s="2325">
        <v>0.37460344485116764</v>
      </c>
      <c r="H636" s="1724">
        <v>0.39814568524471411</v>
      </c>
      <c r="I636" s="1724">
        <v>0.41409903733257497</v>
      </c>
      <c r="J636" s="1724">
        <v>0.40747910014084893</v>
      </c>
      <c r="K636" s="1724">
        <v>0.41943414900825815</v>
      </c>
      <c r="L636" s="2325">
        <v>0.41943414900825815</v>
      </c>
      <c r="M636" s="1724">
        <v>0.44174493972624318</v>
      </c>
      <c r="N636" s="1724">
        <v>0.46085874104660862</v>
      </c>
      <c r="O636" s="1724">
        <v>0.47461691814058204</v>
      </c>
      <c r="P636" s="1724">
        <v>0.48181246259284799</v>
      </c>
      <c r="Q636" s="2325"/>
      <c r="R636" s="1724">
        <v>0.5</v>
      </c>
      <c r="S636" s="1724"/>
      <c r="T636" s="1724"/>
      <c r="U636" s="1724"/>
      <c r="V636" s="2325"/>
      <c r="W636" s="1724"/>
      <c r="X636" s="1724"/>
      <c r="Y636" s="1724"/>
      <c r="Z636" s="1724"/>
      <c r="AA636" s="2325"/>
      <c r="AB636" s="1724"/>
      <c r="AC636" s="1724"/>
      <c r="AD636" s="1724"/>
      <c r="AE636" s="1724"/>
      <c r="AF636" s="1724"/>
      <c r="AG636" s="1724"/>
      <c r="AH636" s="1724"/>
      <c r="AI636" s="1724"/>
      <c r="AJ636" s="2186"/>
      <c r="AK636" s="1724"/>
      <c r="AL636" s="1724"/>
      <c r="AM636" s="1724"/>
      <c r="AN636" s="1724"/>
      <c r="AO636" s="2186"/>
      <c r="AP636" s="1724"/>
      <c r="AQ636" s="1724"/>
      <c r="AR636" s="1724"/>
      <c r="AS636" s="1724"/>
      <c r="AT636" s="2186"/>
      <c r="AU636" s="1724"/>
      <c r="AV636" s="1724"/>
      <c r="AW636" s="1724"/>
      <c r="AX636" s="1724"/>
      <c r="AY636" s="2186"/>
      <c r="AZ636" s="1724"/>
      <c r="BA636" s="1724"/>
      <c r="BB636" s="1724"/>
      <c r="BC636" s="1293"/>
      <c r="BD636" s="2186"/>
      <c r="BE636" s="1724"/>
      <c r="BF636" s="1724"/>
      <c r="BG636" s="1724"/>
      <c r="BH636" s="1293"/>
      <c r="BI636" s="2186"/>
      <c r="BJ636" s="1724"/>
      <c r="BK636" s="1724"/>
      <c r="BL636" s="1724"/>
      <c r="BM636" s="1724"/>
      <c r="BN636" s="2186"/>
      <c r="BO636" s="1293"/>
      <c r="BP636" s="1293"/>
      <c r="BQ636" s="1293"/>
      <c r="BR636" s="1293"/>
      <c r="BS636" s="1293"/>
      <c r="BT636" s="1293"/>
      <c r="BU636" s="1293"/>
      <c r="BV636" s="1293"/>
      <c r="BW636" s="1293"/>
      <c r="BX636" s="1293"/>
      <c r="BY636" s="1293"/>
      <c r="BZ636" s="1293"/>
      <c r="CA636" s="1293"/>
      <c r="CB636" s="1293"/>
      <c r="CC636" s="1293"/>
      <c r="CD636" s="1293"/>
      <c r="CE636" s="1293"/>
      <c r="CF636" s="1293"/>
      <c r="CG636" s="1293"/>
      <c r="CH636" s="1293"/>
      <c r="CI636" s="1293"/>
      <c r="CJ636" s="1293"/>
      <c r="CK636" s="1293"/>
      <c r="CL636" s="1293"/>
      <c r="CM636" s="1293"/>
      <c r="CN636" s="1293"/>
      <c r="CO636" s="1293"/>
      <c r="CP636" s="1293"/>
      <c r="CQ636" s="1293"/>
      <c r="CR636" s="1293"/>
      <c r="CS636" s="1293"/>
      <c r="CT636" s="1293"/>
      <c r="CU636" s="1293"/>
      <c r="CV636" s="1293"/>
      <c r="CW636" s="1293"/>
      <c r="CX636" s="1293"/>
      <c r="CY636" s="2032"/>
      <c r="CZ636" s="1293"/>
      <c r="DA636" s="2083"/>
      <c r="DB636" s="2084"/>
      <c r="DC636" s="1293"/>
      <c r="DD636" s="1293"/>
      <c r="DE636" s="1293"/>
      <c r="DF636" s="1293"/>
      <c r="DG636" s="1293"/>
      <c r="DH636" s="1293"/>
      <c r="DI636" s="1293"/>
      <c r="DJ636" s="1293"/>
      <c r="DK636" s="1293"/>
      <c r="DL636" s="1293"/>
    </row>
    <row r="637" spans="1:116" ht="15.75">
      <c r="A637" s="1293"/>
      <c r="B637" s="1293"/>
      <c r="C637" s="1293"/>
      <c r="D637" s="1293"/>
      <c r="E637" s="1293"/>
      <c r="F637" s="1293"/>
      <c r="G637" s="2080"/>
      <c r="H637" s="1293"/>
      <c r="I637" s="1293"/>
      <c r="J637" s="1293"/>
      <c r="K637" s="1293"/>
      <c r="L637" s="2080"/>
      <c r="M637" s="1293"/>
      <c r="N637" s="1293"/>
      <c r="O637" s="1293"/>
      <c r="P637" s="1293"/>
      <c r="Q637" s="2080"/>
      <c r="R637" s="1293"/>
      <c r="S637" s="1293"/>
      <c r="T637" s="1293"/>
      <c r="U637" s="1293"/>
      <c r="V637" s="2080"/>
      <c r="W637" s="1293"/>
      <c r="X637" s="1293"/>
      <c r="Y637" s="1293"/>
      <c r="Z637" s="1293"/>
      <c r="AA637" s="2080"/>
      <c r="AB637" s="1293"/>
      <c r="AC637" s="1293"/>
      <c r="AD637" s="1293"/>
      <c r="AE637" s="1293"/>
      <c r="AF637" s="1293"/>
      <c r="AG637" s="1293"/>
      <c r="AH637" s="1293"/>
      <c r="AI637" s="1293"/>
      <c r="AJ637" s="2186"/>
      <c r="AK637" s="1293"/>
      <c r="AL637" s="1293"/>
      <c r="AM637" s="1293"/>
      <c r="AN637" s="1293"/>
      <c r="AO637" s="2186"/>
      <c r="AP637" s="1293"/>
      <c r="AQ637" s="1293"/>
      <c r="AR637" s="1293"/>
      <c r="AS637" s="1293"/>
      <c r="AT637" s="2186"/>
      <c r="AU637" s="1293"/>
      <c r="AV637" s="1293"/>
      <c r="AW637" s="1293"/>
      <c r="AX637" s="1293"/>
      <c r="AY637" s="2186"/>
      <c r="AZ637" s="1293"/>
      <c r="BA637" s="1293"/>
      <c r="BB637" s="1293"/>
      <c r="BC637" s="1293"/>
      <c r="BD637" s="2186"/>
      <c r="BE637" s="1293"/>
      <c r="BF637" s="1293"/>
      <c r="BG637" s="1293"/>
      <c r="BH637" s="1293"/>
      <c r="BI637" s="2186"/>
      <c r="BJ637" s="1293"/>
      <c r="BK637" s="1293"/>
      <c r="BL637" s="1293"/>
      <c r="BM637" s="1293"/>
      <c r="BN637" s="2186"/>
      <c r="BO637" s="1293"/>
      <c r="BP637" s="1293"/>
      <c r="BQ637" s="1293"/>
      <c r="BR637" s="1293"/>
      <c r="BS637" s="1293"/>
      <c r="BT637" s="1293"/>
      <c r="BU637" s="1293"/>
      <c r="BV637" s="1293"/>
      <c r="BW637" s="1293"/>
      <c r="BX637" s="1293"/>
      <c r="BY637" s="1293"/>
      <c r="BZ637" s="1293"/>
      <c r="CA637" s="1293"/>
      <c r="CB637" s="1293"/>
      <c r="CC637" s="1293"/>
      <c r="CD637" s="1293"/>
      <c r="CE637" s="1293"/>
      <c r="CF637" s="1293"/>
      <c r="CG637" s="1293"/>
      <c r="CH637" s="1293"/>
      <c r="CI637" s="1293"/>
      <c r="CJ637" s="1293"/>
      <c r="CK637" s="1293"/>
      <c r="CL637" s="1293"/>
      <c r="CM637" s="1293"/>
      <c r="CN637" s="1293"/>
      <c r="CO637" s="1293"/>
      <c r="CP637" s="1293"/>
      <c r="CQ637" s="1293"/>
      <c r="CR637" s="1293"/>
      <c r="CS637" s="1293"/>
      <c r="CT637" s="1293"/>
      <c r="CU637" s="1293"/>
      <c r="CV637" s="1293"/>
      <c r="CW637" s="1293"/>
      <c r="CX637" s="1293"/>
      <c r="CY637" s="2032"/>
      <c r="CZ637" s="1293"/>
      <c r="DA637" s="2031"/>
      <c r="DB637" s="2032"/>
      <c r="DC637" s="1293"/>
      <c r="DD637" s="1293"/>
      <c r="DE637" s="1293"/>
      <c r="DF637" s="1293"/>
      <c r="DG637" s="1293"/>
      <c r="DH637" s="1293"/>
      <c r="DI637" s="1293"/>
      <c r="DJ637" s="1293"/>
      <c r="DK637" s="1293"/>
      <c r="DL637" s="1293"/>
    </row>
    <row r="638" spans="1:116" ht="15.75">
      <c r="A638" s="1293"/>
      <c r="B638" s="1334" t="s">
        <v>4552</v>
      </c>
      <c r="C638" s="1293"/>
      <c r="D638" s="1293"/>
      <c r="E638" s="1293"/>
      <c r="F638" s="1293"/>
      <c r="G638" s="2080"/>
      <c r="H638" s="1293"/>
      <c r="I638" s="1293"/>
      <c r="J638" s="1293"/>
      <c r="K638" s="1293"/>
      <c r="L638" s="2080"/>
      <c r="M638" s="1293"/>
      <c r="N638" s="1293"/>
      <c r="O638" s="1293"/>
      <c r="P638" s="1293"/>
      <c r="Q638" s="2080"/>
      <c r="R638" s="1293"/>
      <c r="S638" s="1293"/>
      <c r="T638" s="1293"/>
      <c r="U638" s="1293"/>
      <c r="V638" s="2080"/>
      <c r="W638" s="1293"/>
      <c r="X638" s="1293"/>
      <c r="Y638" s="1293"/>
      <c r="Z638" s="1293"/>
      <c r="AA638" s="2080"/>
      <c r="AB638" s="1293"/>
      <c r="AC638" s="1293"/>
      <c r="AD638" s="1293"/>
      <c r="AE638" s="1293"/>
      <c r="AF638" s="1293"/>
      <c r="AG638" s="1293"/>
      <c r="AH638" s="1293"/>
      <c r="AI638" s="1293"/>
      <c r="AJ638" s="2186"/>
      <c r="AK638" s="1293"/>
      <c r="AL638" s="1293"/>
      <c r="AM638" s="1293"/>
      <c r="AN638" s="1293"/>
      <c r="AO638" s="2186"/>
      <c r="AP638" s="1293"/>
      <c r="AQ638" s="1293"/>
      <c r="AR638" s="1293"/>
      <c r="AS638" s="1293"/>
      <c r="AT638" s="2186"/>
      <c r="AU638" s="1293"/>
      <c r="AV638" s="1293"/>
      <c r="AW638" s="1293"/>
      <c r="AX638" s="1293"/>
      <c r="AY638" s="2186"/>
      <c r="AZ638" s="1293"/>
      <c r="BA638" s="1293"/>
      <c r="BB638" s="1293"/>
      <c r="BC638" s="1293"/>
      <c r="BD638" s="2186"/>
      <c r="BE638" s="1293"/>
      <c r="BF638" s="1293"/>
      <c r="BG638" s="1293"/>
      <c r="BH638" s="1293"/>
      <c r="BI638" s="2186"/>
      <c r="BJ638" s="1293"/>
      <c r="BK638" s="1293"/>
      <c r="BL638" s="1293"/>
      <c r="BM638" s="1293"/>
      <c r="BN638" s="2186"/>
      <c r="BO638" s="1293"/>
      <c r="BP638" s="1293"/>
      <c r="BQ638" s="1293"/>
      <c r="BR638" s="1293"/>
      <c r="BS638" s="1293"/>
      <c r="BT638" s="1293"/>
      <c r="BU638" s="1293"/>
      <c r="BV638" s="1293"/>
      <c r="BW638" s="1293"/>
      <c r="BX638" s="1293"/>
      <c r="BY638" s="1293"/>
      <c r="BZ638" s="1293"/>
      <c r="CA638" s="1293"/>
      <c r="CB638" s="1293"/>
      <c r="CC638" s="1293"/>
      <c r="CD638" s="1293"/>
      <c r="CE638" s="1293"/>
      <c r="CF638" s="1293"/>
      <c r="CG638" s="1293"/>
      <c r="CH638" s="1293"/>
      <c r="CI638" s="1293"/>
      <c r="CJ638" s="1293"/>
      <c r="CK638" s="1293"/>
      <c r="CL638" s="1293"/>
      <c r="CM638" s="1293"/>
      <c r="CN638" s="1293"/>
      <c r="CO638" s="1293"/>
      <c r="CP638" s="1293"/>
      <c r="CQ638" s="1293"/>
      <c r="CR638" s="1293"/>
      <c r="CS638" s="1293"/>
      <c r="CT638" s="1293"/>
      <c r="CU638" s="1293"/>
      <c r="CV638" s="1293"/>
      <c r="CW638" s="1293"/>
      <c r="CX638" s="1293"/>
      <c r="CY638" s="2032"/>
      <c r="CZ638" s="1293"/>
      <c r="DA638" s="2031"/>
      <c r="DB638" s="2032"/>
      <c r="DC638" s="1293"/>
      <c r="DD638" s="1293"/>
      <c r="DE638" s="1293"/>
      <c r="DF638" s="1293"/>
      <c r="DG638" s="1293"/>
      <c r="DH638" s="1293"/>
      <c r="DI638" s="1293"/>
      <c r="DJ638" s="1293"/>
      <c r="DK638" s="1293"/>
      <c r="DL638" s="1293"/>
    </row>
    <row r="639" spans="1:116" ht="15.75">
      <c r="A639" s="1293"/>
      <c r="B639" s="1293" t="str">
        <f>B626</f>
        <v>Homes passed</v>
      </c>
      <c r="C639" s="1699">
        <f t="shared" ref="C639:P639" si="554">C626-C632</f>
        <v>0</v>
      </c>
      <c r="D639" s="1699">
        <f t="shared" si="554"/>
        <v>0</v>
      </c>
      <c r="E639" s="1699">
        <f t="shared" si="554"/>
        <v>0</v>
      </c>
      <c r="F639" s="1699">
        <f t="shared" si="554"/>
        <v>0</v>
      </c>
      <c r="G639" s="2039">
        <f t="shared" si="554"/>
        <v>0</v>
      </c>
      <c r="H639" s="1699">
        <f t="shared" si="554"/>
        <v>0</v>
      </c>
      <c r="I639" s="1699">
        <f t="shared" si="554"/>
        <v>0</v>
      </c>
      <c r="J639" s="1699">
        <f t="shared" si="554"/>
        <v>0</v>
      </c>
      <c r="K639" s="1699">
        <f t="shared" si="554"/>
        <v>0</v>
      </c>
      <c r="L639" s="2039">
        <f t="shared" si="554"/>
        <v>0</v>
      </c>
      <c r="M639" s="1699">
        <f t="shared" si="554"/>
        <v>0</v>
      </c>
      <c r="N639" s="1699">
        <f t="shared" si="554"/>
        <v>0</v>
      </c>
      <c r="O639" s="1699">
        <f t="shared" si="554"/>
        <v>0</v>
      </c>
      <c r="P639" s="1699">
        <f t="shared" si="554"/>
        <v>0</v>
      </c>
      <c r="Q639" s="2039">
        <f>P639</f>
        <v>0</v>
      </c>
      <c r="R639" s="1699">
        <f>R626-R632</f>
        <v>0</v>
      </c>
      <c r="S639" s="1699"/>
      <c r="T639" s="1699"/>
      <c r="U639" s="1699"/>
      <c r="V639" s="2039"/>
      <c r="W639" s="1699"/>
      <c r="X639" s="1699"/>
      <c r="Y639" s="1699"/>
      <c r="Z639" s="1699"/>
      <c r="AA639" s="2039"/>
      <c r="AB639" s="1699"/>
      <c r="AC639" s="1699"/>
      <c r="AD639" s="1699"/>
      <c r="AE639" s="1699"/>
      <c r="AF639" s="1699"/>
      <c r="AG639" s="1699"/>
      <c r="AH639" s="1699"/>
      <c r="AI639" s="1699"/>
      <c r="AJ639" s="2186"/>
      <c r="AK639" s="1699"/>
      <c r="AL639" s="1699"/>
      <c r="AM639" s="1699"/>
      <c r="AN639" s="1699"/>
      <c r="AO639" s="2186"/>
      <c r="AP639" s="1699"/>
      <c r="AQ639" s="1699"/>
      <c r="AR639" s="1699"/>
      <c r="AS639" s="1699"/>
      <c r="AT639" s="2186"/>
      <c r="AU639" s="1699"/>
      <c r="AV639" s="1699"/>
      <c r="AW639" s="1699"/>
      <c r="AX639" s="1699"/>
      <c r="AY639" s="2186"/>
      <c r="AZ639" s="1699"/>
      <c r="BA639" s="1699"/>
      <c r="BB639" s="1699"/>
      <c r="BC639" s="1293"/>
      <c r="BD639" s="2186"/>
      <c r="BE639" s="1699"/>
      <c r="BF639" s="1699"/>
      <c r="BG639" s="1699"/>
      <c r="BH639" s="1293"/>
      <c r="BI639" s="2186"/>
      <c r="BJ639" s="1699"/>
      <c r="BK639" s="1699"/>
      <c r="BL639" s="1699"/>
      <c r="BM639" s="1699"/>
      <c r="BN639" s="2186"/>
      <c r="BO639" s="1293"/>
      <c r="BP639" s="1293"/>
      <c r="BQ639" s="1293"/>
      <c r="BR639" s="1293"/>
      <c r="BS639" s="1293"/>
      <c r="BT639" s="1293"/>
      <c r="BU639" s="1293"/>
      <c r="BV639" s="1293"/>
      <c r="BW639" s="1293"/>
      <c r="BX639" s="1293"/>
      <c r="BY639" s="1293"/>
      <c r="BZ639" s="1293"/>
      <c r="CA639" s="1293"/>
      <c r="CB639" s="1293"/>
      <c r="CC639" s="1293"/>
      <c r="CD639" s="1293"/>
      <c r="CE639" s="1293"/>
      <c r="CF639" s="1293"/>
      <c r="CG639" s="1293"/>
      <c r="CH639" s="1293"/>
      <c r="CI639" s="1293"/>
      <c r="CJ639" s="1293"/>
      <c r="CK639" s="1293"/>
      <c r="CL639" s="1293"/>
      <c r="CM639" s="1293"/>
      <c r="CN639" s="1293"/>
      <c r="CO639" s="1293"/>
      <c r="CP639" s="1293"/>
      <c r="CQ639" s="1293"/>
      <c r="CR639" s="1293"/>
      <c r="CS639" s="1293"/>
      <c r="CT639" s="1293"/>
      <c r="CU639" s="1293"/>
      <c r="CV639" s="1293"/>
      <c r="CW639" s="1293"/>
      <c r="CX639" s="1293"/>
      <c r="CY639" s="2032"/>
      <c r="CZ639" s="1293"/>
      <c r="DA639" s="2042"/>
      <c r="DB639" s="2041"/>
      <c r="DC639" s="1293"/>
      <c r="DD639" s="1293"/>
      <c r="DE639" s="1293"/>
      <c r="DF639" s="1293"/>
      <c r="DG639" s="1293"/>
      <c r="DH639" s="1293"/>
      <c r="DI639" s="1293"/>
      <c r="DJ639" s="1293"/>
      <c r="DK639" s="1293"/>
      <c r="DL639" s="1293"/>
    </row>
    <row r="640" spans="1:116" ht="15.75">
      <c r="A640" s="1293"/>
      <c r="B640" s="1293" t="str">
        <f>B627</f>
        <v>Homes connected</v>
      </c>
      <c r="C640" s="1699">
        <f t="shared" ref="C640:P640" si="555">C627-C633</f>
        <v>0</v>
      </c>
      <c r="D640" s="1699">
        <f t="shared" si="555"/>
        <v>7.6689999999999827</v>
      </c>
      <c r="E640" s="1699">
        <f t="shared" si="555"/>
        <v>32.976999999999975</v>
      </c>
      <c r="F640" s="1699">
        <f t="shared" si="555"/>
        <v>63.166000000000054</v>
      </c>
      <c r="G640" s="2039">
        <f t="shared" si="555"/>
        <v>63.166000000000054</v>
      </c>
      <c r="H640" s="1699">
        <f t="shared" si="555"/>
        <v>91.648000000000025</v>
      </c>
      <c r="I640" s="1699">
        <f t="shared" si="555"/>
        <v>113.899</v>
      </c>
      <c r="J640" s="1699">
        <f t="shared" si="555"/>
        <v>137.6930000000001</v>
      </c>
      <c r="K640" s="1699">
        <f t="shared" si="555"/>
        <v>161.01</v>
      </c>
      <c r="L640" s="2039">
        <f t="shared" si="555"/>
        <v>161.01</v>
      </c>
      <c r="M640" s="1699">
        <f t="shared" si="555"/>
        <v>179.29899999999998</v>
      </c>
      <c r="N640" s="1699">
        <f t="shared" si="555"/>
        <v>197.35300000000007</v>
      </c>
      <c r="O640" s="1699">
        <f t="shared" si="555"/>
        <v>216.6869999999999</v>
      </c>
      <c r="P640" s="1699">
        <f t="shared" si="555"/>
        <v>226.54200000000105</v>
      </c>
      <c r="Q640" s="2039">
        <f>P640</f>
        <v>226.54200000000105</v>
      </c>
      <c r="R640" s="1699">
        <f>R627-R633</f>
        <v>232</v>
      </c>
      <c r="S640" s="1699"/>
      <c r="T640" s="1699"/>
      <c r="U640" s="1699"/>
      <c r="V640" s="2039"/>
      <c r="W640" s="1699"/>
      <c r="X640" s="1699"/>
      <c r="Y640" s="1699"/>
      <c r="Z640" s="1699"/>
      <c r="AA640" s="2039"/>
      <c r="AB640" s="1699"/>
      <c r="AC640" s="1699"/>
      <c r="AD640" s="1699"/>
      <c r="AE640" s="1699"/>
      <c r="AF640" s="1699"/>
      <c r="AG640" s="1699"/>
      <c r="AH640" s="1699"/>
      <c r="AI640" s="1699"/>
      <c r="AJ640" s="2186"/>
      <c r="AK640" s="1699"/>
      <c r="AL640" s="1699"/>
      <c r="AM640" s="1699"/>
      <c r="AN640" s="1699"/>
      <c r="AO640" s="2186"/>
      <c r="AP640" s="1699"/>
      <c r="AQ640" s="1699"/>
      <c r="AR640" s="1699"/>
      <c r="AS640" s="1699"/>
      <c r="AT640" s="2186"/>
      <c r="AU640" s="1699"/>
      <c r="AV640" s="1699"/>
      <c r="AW640" s="1699"/>
      <c r="AX640" s="1699"/>
      <c r="AY640" s="2186"/>
      <c r="AZ640" s="1699"/>
      <c r="BA640" s="1699"/>
      <c r="BB640" s="1699"/>
      <c r="BC640" s="1293"/>
      <c r="BD640" s="2186"/>
      <c r="BE640" s="1699"/>
      <c r="BF640" s="1699"/>
      <c r="BG640" s="1699"/>
      <c r="BH640" s="1293"/>
      <c r="BI640" s="2186"/>
      <c r="BJ640" s="1699"/>
      <c r="BK640" s="1699"/>
      <c r="BL640" s="1699"/>
      <c r="BM640" s="1699"/>
      <c r="BN640" s="2186"/>
      <c r="BO640" s="1293"/>
      <c r="BP640" s="1293"/>
      <c r="BQ640" s="1293"/>
      <c r="BR640" s="1293"/>
      <c r="BS640" s="1293"/>
      <c r="BT640" s="1293"/>
      <c r="BU640" s="1293"/>
      <c r="BV640" s="1293"/>
      <c r="BW640" s="1293"/>
      <c r="BX640" s="1293"/>
      <c r="BY640" s="1293"/>
      <c r="BZ640" s="1293"/>
      <c r="CA640" s="1293"/>
      <c r="CB640" s="1293"/>
      <c r="CC640" s="1293"/>
      <c r="CD640" s="1293"/>
      <c r="CE640" s="1293"/>
      <c r="CF640" s="1293"/>
      <c r="CG640" s="1293"/>
      <c r="CH640" s="1293"/>
      <c r="CI640" s="1293"/>
      <c r="CJ640" s="1293"/>
      <c r="CK640" s="1293"/>
      <c r="CL640" s="1293"/>
      <c r="CM640" s="1293"/>
      <c r="CN640" s="1293"/>
      <c r="CO640" s="1293"/>
      <c r="CP640" s="1293"/>
      <c r="CQ640" s="1293"/>
      <c r="CR640" s="1293"/>
      <c r="CS640" s="1293"/>
      <c r="CT640" s="1293"/>
      <c r="CU640" s="1293"/>
      <c r="CV640" s="1293"/>
      <c r="CW640" s="1293"/>
      <c r="CX640" s="1293"/>
      <c r="CY640" s="2032"/>
      <c r="CZ640" s="1293"/>
      <c r="DA640" s="2042"/>
      <c r="DB640" s="2041"/>
      <c r="DC640" s="1293"/>
      <c r="DD640" s="1293"/>
      <c r="DE640" s="1293"/>
      <c r="DF640" s="1293"/>
      <c r="DG640" s="1293"/>
      <c r="DH640" s="1293"/>
      <c r="DI640" s="1293"/>
      <c r="DJ640" s="1293"/>
      <c r="DK640" s="1293"/>
      <c r="DL640" s="1293"/>
    </row>
    <row r="641" spans="1:116" ht="15.75">
      <c r="A641" s="1293"/>
      <c r="B641" s="1293" t="str">
        <f>B628</f>
        <v>RGUs</v>
      </c>
      <c r="C641" s="1699">
        <f t="shared" ref="C641:P641" si="556">C628-C634</f>
        <v>40.029999999999973</v>
      </c>
      <c r="D641" s="1699">
        <f t="shared" si="556"/>
        <v>42.541000000000054</v>
      </c>
      <c r="E641" s="1699">
        <f t="shared" si="556"/>
        <v>66.745999999999981</v>
      </c>
      <c r="F641" s="1699">
        <f t="shared" si="556"/>
        <v>98.368999999999915</v>
      </c>
      <c r="G641" s="2039">
        <f t="shared" si="556"/>
        <v>98.368999999999915</v>
      </c>
      <c r="H641" s="1699">
        <f t="shared" si="556"/>
        <v>128.47299999999996</v>
      </c>
      <c r="I641" s="1699">
        <f t="shared" si="556"/>
        <v>149.86799999999994</v>
      </c>
      <c r="J641" s="1699">
        <f t="shared" si="556"/>
        <v>172.11599999999999</v>
      </c>
      <c r="K641" s="1699">
        <f t="shared" si="556"/>
        <v>193.74199999999996</v>
      </c>
      <c r="L641" s="2039">
        <f t="shared" si="556"/>
        <v>193.74199999999996</v>
      </c>
      <c r="M641" s="1699">
        <f t="shared" si="556"/>
        <v>211.68599999999992</v>
      </c>
      <c r="N641" s="1699">
        <f t="shared" si="556"/>
        <v>230.46299999999997</v>
      </c>
      <c r="O641" s="1699">
        <f t="shared" si="556"/>
        <v>249.90900000000011</v>
      </c>
      <c r="P641" s="1699">
        <f t="shared" si="556"/>
        <v>260.29500000000007</v>
      </c>
      <c r="Q641" s="2039">
        <f>P641</f>
        <v>260.29500000000007</v>
      </c>
      <c r="R641" s="1699">
        <f>R628-R634</f>
        <v>265</v>
      </c>
      <c r="S641" s="1699"/>
      <c r="T641" s="1699"/>
      <c r="U641" s="1699"/>
      <c r="V641" s="2039"/>
      <c r="W641" s="1699"/>
      <c r="X641" s="1699"/>
      <c r="Y641" s="1699"/>
      <c r="Z641" s="1699"/>
      <c r="AA641" s="2039"/>
      <c r="AB641" s="1699"/>
      <c r="AC641" s="1699"/>
      <c r="AD641" s="1699"/>
      <c r="AE641" s="1699"/>
      <c r="AF641" s="1699"/>
      <c r="AG641" s="1699"/>
      <c r="AH641" s="1699"/>
      <c r="AI641" s="1699"/>
      <c r="AJ641" s="2186"/>
      <c r="AK641" s="1699"/>
      <c r="AL641" s="1699"/>
      <c r="AM641" s="1699"/>
      <c r="AN641" s="1699"/>
      <c r="AO641" s="2186"/>
      <c r="AP641" s="1699"/>
      <c r="AQ641" s="1699"/>
      <c r="AR641" s="1699"/>
      <c r="AS641" s="1699"/>
      <c r="AT641" s="2186"/>
      <c r="AU641" s="1699"/>
      <c r="AV641" s="1699"/>
      <c r="AW641" s="1699"/>
      <c r="AX641" s="1699"/>
      <c r="AY641" s="2186"/>
      <c r="AZ641" s="1699"/>
      <c r="BA641" s="1699"/>
      <c r="BB641" s="1699"/>
      <c r="BC641" s="1293"/>
      <c r="BD641" s="2186"/>
      <c r="BE641" s="1699"/>
      <c r="BF641" s="1699"/>
      <c r="BG641" s="1699"/>
      <c r="BH641" s="1293"/>
      <c r="BI641" s="2186"/>
      <c r="BJ641" s="1699"/>
      <c r="BK641" s="1699"/>
      <c r="BL641" s="1699"/>
      <c r="BM641" s="1699"/>
      <c r="BN641" s="2186"/>
      <c r="BO641" s="1293"/>
      <c r="BP641" s="1293"/>
      <c r="BQ641" s="1293"/>
      <c r="BR641" s="1293"/>
      <c r="BS641" s="1293"/>
      <c r="BT641" s="1293"/>
      <c r="BU641" s="1293"/>
      <c r="BV641" s="1293"/>
      <c r="BW641" s="1293"/>
      <c r="BX641" s="1293"/>
      <c r="BY641" s="1293"/>
      <c r="BZ641" s="1293"/>
      <c r="CA641" s="1293"/>
      <c r="CB641" s="1293"/>
      <c r="CC641" s="1293"/>
      <c r="CD641" s="1293"/>
      <c r="CE641" s="1293"/>
      <c r="CF641" s="1293"/>
      <c r="CG641" s="1293"/>
      <c r="CH641" s="1293"/>
      <c r="CI641" s="1293"/>
      <c r="CJ641" s="1293"/>
      <c r="CK641" s="1293"/>
      <c r="CL641" s="1293"/>
      <c r="CM641" s="1293"/>
      <c r="CN641" s="1293"/>
      <c r="CO641" s="1293"/>
      <c r="CP641" s="1293"/>
      <c r="CQ641" s="1293"/>
      <c r="CR641" s="1293"/>
      <c r="CS641" s="1293"/>
      <c r="CT641" s="1293"/>
      <c r="CU641" s="1293"/>
      <c r="CV641" s="1293"/>
      <c r="CW641" s="1293"/>
      <c r="CX641" s="1293"/>
      <c r="CY641" s="2032"/>
      <c r="CZ641" s="1293"/>
      <c r="DA641" s="2042"/>
      <c r="DB641" s="2041"/>
      <c r="DC641" s="1293"/>
      <c r="DD641" s="1293"/>
      <c r="DE641" s="1293"/>
      <c r="DF641" s="1293"/>
      <c r="DG641" s="1293"/>
      <c r="DH641" s="1293"/>
      <c r="DI641" s="1293"/>
      <c r="DJ641" s="1293"/>
      <c r="DK641" s="1293"/>
      <c r="DL641" s="1293"/>
    </row>
    <row r="642" spans="1:116" ht="15.75">
      <c r="A642" s="1293"/>
      <c r="B642" s="1293"/>
      <c r="C642" s="1699"/>
      <c r="D642" s="1699"/>
      <c r="E642" s="1699"/>
      <c r="F642" s="1699"/>
      <c r="G642" s="2039"/>
      <c r="H642" s="1699"/>
      <c r="I642" s="1699"/>
      <c r="J642" s="1699"/>
      <c r="K642" s="1699"/>
      <c r="L642" s="2039"/>
      <c r="M642" s="1699"/>
      <c r="N642" s="1699"/>
      <c r="O642" s="1699"/>
      <c r="P642" s="1699"/>
      <c r="Q642" s="2039"/>
      <c r="R642" s="1699"/>
      <c r="S642" s="1699"/>
      <c r="T642" s="1699"/>
      <c r="U642" s="1699"/>
      <c r="V642" s="2039"/>
      <c r="W642" s="1699"/>
      <c r="X642" s="1699"/>
      <c r="Y642" s="1699"/>
      <c r="Z642" s="1699"/>
      <c r="AA642" s="2039"/>
      <c r="AB642" s="1699"/>
      <c r="AC642" s="1699"/>
      <c r="AD642" s="1699"/>
      <c r="AE642" s="1699"/>
      <c r="AF642" s="1699"/>
      <c r="AG642" s="1699"/>
      <c r="AH642" s="1699"/>
      <c r="AI642" s="1699"/>
      <c r="AJ642" s="2186"/>
      <c r="AK642" s="1699"/>
      <c r="AL642" s="1699"/>
      <c r="AM642" s="1699"/>
      <c r="AN642" s="1699"/>
      <c r="AO642" s="2186"/>
      <c r="AP642" s="1699"/>
      <c r="AQ642" s="1699"/>
      <c r="AR642" s="1699"/>
      <c r="AS642" s="1699"/>
      <c r="AT642" s="2186"/>
      <c r="AU642" s="1699"/>
      <c r="AV642" s="1699"/>
      <c r="AW642" s="1699"/>
      <c r="AX642" s="1699"/>
      <c r="AY642" s="2186"/>
      <c r="AZ642" s="1699"/>
      <c r="BA642" s="1699"/>
      <c r="BB642" s="1699"/>
      <c r="BC642" s="1293"/>
      <c r="BD642" s="2186"/>
      <c r="BE642" s="1699"/>
      <c r="BF642" s="1699"/>
      <c r="BG642" s="1699"/>
      <c r="BH642" s="1293"/>
      <c r="BI642" s="2186"/>
      <c r="BJ642" s="1699"/>
      <c r="BK642" s="1699"/>
      <c r="BL642" s="1699"/>
      <c r="BM642" s="1699"/>
      <c r="BN642" s="2186"/>
      <c r="BO642" s="1293"/>
      <c r="BP642" s="1293"/>
      <c r="BQ642" s="1293"/>
      <c r="BR642" s="1293"/>
      <c r="BS642" s="1293"/>
      <c r="BT642" s="1293"/>
      <c r="BU642" s="1293"/>
      <c r="BV642" s="1293"/>
      <c r="BW642" s="1293"/>
      <c r="BX642" s="1293"/>
      <c r="BY642" s="1293"/>
      <c r="BZ642" s="1293"/>
      <c r="CA642" s="1293"/>
      <c r="CB642" s="1293"/>
      <c r="CC642" s="1293"/>
      <c r="CD642" s="1293"/>
      <c r="CE642" s="1293"/>
      <c r="CF642" s="1293"/>
      <c r="CG642" s="1293"/>
      <c r="CH642" s="1293"/>
      <c r="CI642" s="1293"/>
      <c r="CJ642" s="1293"/>
      <c r="CK642" s="1293"/>
      <c r="CL642" s="1293"/>
      <c r="CM642" s="1293"/>
      <c r="CN642" s="1293"/>
      <c r="CO642" s="1293"/>
      <c r="CP642" s="1293"/>
      <c r="CQ642" s="1293"/>
      <c r="CR642" s="1293"/>
      <c r="CS642" s="1293"/>
      <c r="CT642" s="1293"/>
      <c r="CU642" s="1293"/>
      <c r="CV642" s="1293"/>
      <c r="CW642" s="1293"/>
      <c r="CX642" s="1293"/>
      <c r="CY642" s="2032"/>
      <c r="CZ642" s="1293"/>
      <c r="DA642" s="2042"/>
      <c r="DB642" s="2041"/>
      <c r="DC642" s="1293"/>
      <c r="DD642" s="1293"/>
      <c r="DE642" s="1293"/>
      <c r="DF642" s="1293"/>
      <c r="DG642" s="1293"/>
      <c r="DH642" s="1293"/>
      <c r="DI642" s="1293"/>
      <c r="DJ642" s="1293"/>
      <c r="DK642" s="1293"/>
      <c r="DL642" s="1293"/>
    </row>
    <row r="643" spans="1:116" ht="15.75">
      <c r="A643" s="1293"/>
      <c r="B643" s="2318" t="s">
        <v>584</v>
      </c>
      <c r="C643" s="1699"/>
      <c r="D643" s="1699"/>
      <c r="E643" s="1699"/>
      <c r="F643" s="1699"/>
      <c r="G643" s="2039"/>
      <c r="H643" s="1699"/>
      <c r="I643" s="1699"/>
      <c r="J643" s="1699"/>
      <c r="K643" s="1699"/>
      <c r="L643" s="2039"/>
      <c r="M643" s="1699"/>
      <c r="N643" s="1699"/>
      <c r="O643" s="1699"/>
      <c r="P643" s="1699"/>
      <c r="Q643" s="2039"/>
      <c r="R643" s="1699"/>
      <c r="S643" s="1699"/>
      <c r="T643" s="1699"/>
      <c r="U643" s="1699"/>
      <c r="V643" s="2039"/>
      <c r="W643" s="1699"/>
      <c r="X643" s="1699"/>
      <c r="Y643" s="1699"/>
      <c r="Z643" s="1699"/>
      <c r="AA643" s="2039"/>
      <c r="AB643" s="1699"/>
      <c r="AC643" s="1699"/>
      <c r="AD643" s="1699"/>
      <c r="AE643" s="1699"/>
      <c r="AF643" s="1699"/>
      <c r="AG643" s="1699"/>
      <c r="AH643" s="1699"/>
      <c r="AI643" s="1699"/>
      <c r="AJ643" s="2186"/>
      <c r="AK643" s="1699"/>
      <c r="AL643" s="1699"/>
      <c r="AM643" s="1699"/>
      <c r="AN643" s="1699"/>
      <c r="AO643" s="2186"/>
      <c r="AP643" s="1699"/>
      <c r="AQ643" s="1699"/>
      <c r="AR643" s="1699"/>
      <c r="AS643" s="1699"/>
      <c r="AT643" s="2186"/>
      <c r="AU643" s="1699"/>
      <c r="AV643" s="1699"/>
      <c r="AW643" s="1699"/>
      <c r="AX643" s="1699"/>
      <c r="AY643" s="2186"/>
      <c r="AZ643" s="1699"/>
      <c r="BA643" s="1699"/>
      <c r="BB643" s="1699"/>
      <c r="BC643" s="1293"/>
      <c r="BD643" s="2186"/>
      <c r="BE643" s="1699"/>
      <c r="BF643" s="1699"/>
      <c r="BG643" s="1699"/>
      <c r="BH643" s="1293"/>
      <c r="BI643" s="2186"/>
      <c r="BJ643" s="1699"/>
      <c r="BK643" s="1699"/>
      <c r="BL643" s="1699"/>
      <c r="BM643" s="1699"/>
      <c r="BN643" s="2186"/>
      <c r="BO643" s="1293"/>
      <c r="BP643" s="1293"/>
      <c r="BQ643" s="1293"/>
      <c r="BR643" s="1293"/>
      <c r="BS643" s="1293"/>
      <c r="BT643" s="1293"/>
      <c r="BU643" s="1293"/>
      <c r="BV643" s="1293"/>
      <c r="BW643" s="1293"/>
      <c r="BX643" s="1293"/>
      <c r="BY643" s="1293"/>
      <c r="BZ643" s="1293"/>
      <c r="CA643" s="1293"/>
      <c r="CB643" s="1293"/>
      <c r="CC643" s="1293"/>
      <c r="CD643" s="1293"/>
      <c r="CE643" s="1293"/>
      <c r="CF643" s="1293"/>
      <c r="CG643" s="1293"/>
      <c r="CH643" s="1293"/>
      <c r="CI643" s="1293"/>
      <c r="CJ643" s="1293"/>
      <c r="CK643" s="1293"/>
      <c r="CL643" s="1293"/>
      <c r="CM643" s="1293"/>
      <c r="CN643" s="1293"/>
      <c r="CO643" s="1293"/>
      <c r="CP643" s="1293"/>
      <c r="CQ643" s="1293"/>
      <c r="CR643" s="1293"/>
      <c r="CS643" s="1293"/>
      <c r="CT643" s="1293"/>
      <c r="CU643" s="1293"/>
      <c r="CV643" s="1293"/>
      <c r="CW643" s="1293"/>
      <c r="CX643" s="1293"/>
      <c r="CY643" s="2032"/>
      <c r="CZ643" s="1293"/>
      <c r="DA643" s="2042"/>
      <c r="DB643" s="2041"/>
      <c r="DC643" s="1293"/>
      <c r="DD643" s="1293"/>
      <c r="DE643" s="1293"/>
      <c r="DF643" s="1293"/>
      <c r="DG643" s="1293"/>
      <c r="DH643" s="1293"/>
      <c r="DI643" s="1293"/>
      <c r="DJ643" s="1293"/>
      <c r="DK643" s="1293"/>
      <c r="DL643" s="1293"/>
    </row>
    <row r="644" spans="1:116" ht="15.75">
      <c r="A644" s="1293"/>
      <c r="B644" s="1293" t="str">
        <f>B625</f>
        <v>All technologies, KPIs</v>
      </c>
      <c r="C644" s="1699"/>
      <c r="D644" s="1699"/>
      <c r="E644" s="1699"/>
      <c r="F644" s="1699"/>
      <c r="G644" s="2039"/>
      <c r="H644" s="1699"/>
      <c r="I644" s="1699"/>
      <c r="J644" s="1699"/>
      <c r="K644" s="1699"/>
      <c r="L644" s="2039"/>
      <c r="M644" s="1699"/>
      <c r="N644" s="1699"/>
      <c r="O644" s="1699"/>
      <c r="P644" s="1699"/>
      <c r="Q644" s="2039"/>
      <c r="R644" s="1699"/>
      <c r="S644" s="1699"/>
      <c r="T644" s="1699"/>
      <c r="U644" s="1699"/>
      <c r="V644" s="2039"/>
      <c r="W644" s="1699"/>
      <c r="X644" s="1699"/>
      <c r="Y644" s="1699"/>
      <c r="Z644" s="1699"/>
      <c r="AA644" s="2039"/>
      <c r="AB644" s="1699"/>
      <c r="AC644" s="1699"/>
      <c r="AD644" s="1699"/>
      <c r="AE644" s="1699"/>
      <c r="AF644" s="1699"/>
      <c r="AG644" s="1699"/>
      <c r="AH644" s="1699"/>
      <c r="AI644" s="1699"/>
      <c r="AJ644" s="2186"/>
      <c r="AK644" s="1699"/>
      <c r="AL644" s="1699"/>
      <c r="AM644" s="1699"/>
      <c r="AN644" s="1699"/>
      <c r="AO644" s="2186"/>
      <c r="AP644" s="1699"/>
      <c r="AQ644" s="1699"/>
      <c r="AR644" s="1699"/>
      <c r="AS644" s="1699"/>
      <c r="AT644" s="2186"/>
      <c r="AU644" s="1699"/>
      <c r="AV644" s="1699"/>
      <c r="AW644" s="1699"/>
      <c r="AX644" s="1699"/>
      <c r="AY644" s="2186"/>
      <c r="AZ644" s="1699"/>
      <c r="BA644" s="1699"/>
      <c r="BB644" s="1699"/>
      <c r="BC644" s="1293"/>
      <c r="BD644" s="2186"/>
      <c r="BE644" s="1699"/>
      <c r="BF644" s="1699"/>
      <c r="BG644" s="1699"/>
      <c r="BH644" s="1293"/>
      <c r="BI644" s="2186"/>
      <c r="BJ644" s="1699"/>
      <c r="BK644" s="1699"/>
      <c r="BL644" s="1699"/>
      <c r="BM644" s="1699"/>
      <c r="BN644" s="2186"/>
      <c r="BO644" s="1293"/>
      <c r="BP644" s="1293"/>
      <c r="BQ644" s="1293"/>
      <c r="BR644" s="1293"/>
      <c r="BS644" s="1293"/>
      <c r="BT644" s="1293"/>
      <c r="BU644" s="1293"/>
      <c r="BV644" s="1293"/>
      <c r="BW644" s="1293"/>
      <c r="BX644" s="1293"/>
      <c r="BY644" s="1293"/>
      <c r="BZ644" s="1293"/>
      <c r="CA644" s="1293"/>
      <c r="CB644" s="1293"/>
      <c r="CC644" s="1293"/>
      <c r="CD644" s="1293"/>
      <c r="CE644" s="1293"/>
      <c r="CF644" s="1293"/>
      <c r="CG644" s="1293"/>
      <c r="CH644" s="1293"/>
      <c r="CI644" s="1293"/>
      <c r="CJ644" s="1293"/>
      <c r="CK644" s="1293"/>
      <c r="CL644" s="1293"/>
      <c r="CM644" s="1293"/>
      <c r="CN644" s="1293"/>
      <c r="CO644" s="1293"/>
      <c r="CP644" s="1293"/>
      <c r="CQ644" s="1293"/>
      <c r="CR644" s="1293"/>
      <c r="CS644" s="1293"/>
      <c r="CT644" s="1293"/>
      <c r="CU644" s="1293"/>
      <c r="CV644" s="1293"/>
      <c r="CW644" s="1293"/>
      <c r="CX644" s="1293"/>
      <c r="CY644" s="2032"/>
      <c r="CZ644" s="1293"/>
      <c r="DA644" s="2042"/>
      <c r="DB644" s="2041"/>
      <c r="DC644" s="1293"/>
      <c r="DD644" s="1293"/>
      <c r="DE644" s="1293"/>
      <c r="DF644" s="1293"/>
      <c r="DG644" s="1293"/>
      <c r="DH644" s="1293"/>
      <c r="DI644" s="1293"/>
      <c r="DJ644" s="1293"/>
      <c r="DK644" s="1293"/>
      <c r="DL644" s="1293"/>
    </row>
    <row r="645" spans="1:116" ht="15.75">
      <c r="A645" s="1293"/>
      <c r="B645" s="1293" t="str">
        <f>B626</f>
        <v>Homes passed</v>
      </c>
      <c r="C645" s="1699"/>
      <c r="D645" s="1699">
        <f t="shared" ref="D645:F647" si="557">D626-C626</f>
        <v>39.778372912241366</v>
      </c>
      <c r="E645" s="1699">
        <f t="shared" si="557"/>
        <v>40.317367087758385</v>
      </c>
      <c r="F645" s="1699">
        <f t="shared" si="557"/>
        <v>41.109110000000328</v>
      </c>
      <c r="G645" s="2039"/>
      <c r="H645" s="1699">
        <f t="shared" ref="H645:K647" si="558">H626-G626</f>
        <v>29.45793791224105</v>
      </c>
      <c r="I645" s="1699">
        <f t="shared" si="558"/>
        <v>16.890740000000278</v>
      </c>
      <c r="J645" s="1699">
        <f t="shared" si="558"/>
        <v>67.173367087760198</v>
      </c>
      <c r="K645" s="1699">
        <f t="shared" si="558"/>
        <v>68.850742912239639</v>
      </c>
      <c r="L645" s="2039"/>
      <c r="M645" s="1699">
        <f t="shared" ref="M645:P647" si="559">M626-L626</f>
        <v>21.742102087760486</v>
      </c>
      <c r="N645" s="1699">
        <f t="shared" si="559"/>
        <v>27.882047912239614</v>
      </c>
      <c r="O645" s="1699">
        <f t="shared" si="559"/>
        <v>22.53574000000026</v>
      </c>
      <c r="P645" s="1699">
        <f t="shared" si="559"/>
        <v>83.843104999999923</v>
      </c>
      <c r="Q645" s="2039"/>
      <c r="R645" s="1699">
        <f>R626-Q626</f>
        <v>51.184894999999869</v>
      </c>
      <c r="S645" s="1699"/>
      <c r="T645" s="1699"/>
      <c r="U645" s="1699"/>
      <c r="V645" s="2039"/>
      <c r="W645" s="1699"/>
      <c r="X645" s="1699"/>
      <c r="Y645" s="1699"/>
      <c r="Z645" s="1699"/>
      <c r="AA645" s="2039"/>
      <c r="AB645" s="1699"/>
      <c r="AC645" s="1699"/>
      <c r="AD645" s="1699"/>
      <c r="AE645" s="1699"/>
      <c r="AF645" s="1699"/>
      <c r="AG645" s="1699"/>
      <c r="AH645" s="1699"/>
      <c r="AI645" s="1699"/>
      <c r="AJ645" s="2186"/>
      <c r="AK645" s="1699"/>
      <c r="AL645" s="1699"/>
      <c r="AM645" s="1699"/>
      <c r="AN645" s="1699"/>
      <c r="AO645" s="2186"/>
      <c r="AP645" s="1699"/>
      <c r="AQ645" s="1699"/>
      <c r="AR645" s="1699"/>
      <c r="AS645" s="1699"/>
      <c r="AT645" s="2186"/>
      <c r="AU645" s="1699"/>
      <c r="AV645" s="1699"/>
      <c r="AW645" s="1699"/>
      <c r="AX645" s="1699"/>
      <c r="AY645" s="2186"/>
      <c r="AZ645" s="1699"/>
      <c r="BA645" s="1699"/>
      <c r="BB645" s="1699"/>
      <c r="BC645" s="1293"/>
      <c r="BD645" s="2186"/>
      <c r="BE645" s="1699"/>
      <c r="BF645" s="1699"/>
      <c r="BG645" s="1699"/>
      <c r="BH645" s="1293"/>
      <c r="BI645" s="2186"/>
      <c r="BJ645" s="1699"/>
      <c r="BK645" s="1699"/>
      <c r="BL645" s="1699"/>
      <c r="BM645" s="1699"/>
      <c r="BN645" s="2186"/>
      <c r="BO645" s="1293"/>
      <c r="BP645" s="1293"/>
      <c r="BQ645" s="1293"/>
      <c r="BR645" s="1293"/>
      <c r="BS645" s="1293"/>
      <c r="BT645" s="1293"/>
      <c r="BU645" s="1293"/>
      <c r="BV645" s="1293"/>
      <c r="BW645" s="1293"/>
      <c r="BX645" s="1293"/>
      <c r="BY645" s="1293"/>
      <c r="BZ645" s="1293"/>
      <c r="CA645" s="1293"/>
      <c r="CB645" s="1293"/>
      <c r="CC645" s="1293"/>
      <c r="CD645" s="1293"/>
      <c r="CE645" s="1293"/>
      <c r="CF645" s="1293"/>
      <c r="CG645" s="1293"/>
      <c r="CH645" s="1293"/>
      <c r="CI645" s="1293"/>
      <c r="CJ645" s="1293"/>
      <c r="CK645" s="1293"/>
      <c r="CL645" s="1293"/>
      <c r="CM645" s="1293"/>
      <c r="CN645" s="1293"/>
      <c r="CO645" s="1293"/>
      <c r="CP645" s="1293"/>
      <c r="CQ645" s="1293"/>
      <c r="CR645" s="1293"/>
      <c r="CS645" s="1293"/>
      <c r="CT645" s="1293"/>
      <c r="CU645" s="1293"/>
      <c r="CV645" s="1293"/>
      <c r="CW645" s="1293"/>
      <c r="CX645" s="1293"/>
      <c r="CY645" s="2032"/>
      <c r="CZ645" s="1293"/>
      <c r="DA645" s="2042"/>
      <c r="DB645" s="2041"/>
      <c r="DC645" s="1293"/>
      <c r="DD645" s="1293"/>
      <c r="DE645" s="1293"/>
      <c r="DF645" s="1293"/>
      <c r="DG645" s="1293"/>
      <c r="DH645" s="1293"/>
      <c r="DI645" s="1293"/>
      <c r="DJ645" s="1293"/>
      <c r="DK645" s="1293"/>
      <c r="DL645" s="1293"/>
    </row>
    <row r="646" spans="1:116" ht="15.75">
      <c r="A646" s="1293"/>
      <c r="B646" s="1293" t="str">
        <f>B627</f>
        <v>Homes connected</v>
      </c>
      <c r="C646" s="1699"/>
      <c r="D646" s="1699">
        <f t="shared" si="557"/>
        <v>3.9489999999999554</v>
      </c>
      <c r="E646" s="1699">
        <f t="shared" si="557"/>
        <v>33.526000000000067</v>
      </c>
      <c r="F646" s="1699">
        <f t="shared" si="557"/>
        <v>45.073000000000093</v>
      </c>
      <c r="G646" s="2039"/>
      <c r="H646" s="1699">
        <f t="shared" si="558"/>
        <v>30.445999999999913</v>
      </c>
      <c r="I646" s="1699">
        <f t="shared" si="558"/>
        <v>25.784999999999968</v>
      </c>
      <c r="J646" s="1699">
        <f t="shared" si="558"/>
        <v>44.747671289586037</v>
      </c>
      <c r="K646" s="1699">
        <f t="shared" si="558"/>
        <v>53.453328710413984</v>
      </c>
      <c r="L646" s="2039"/>
      <c r="M646" s="1699">
        <f t="shared" si="559"/>
        <v>24.715000000000032</v>
      </c>
      <c r="N646" s="1699">
        <f t="shared" si="559"/>
        <v>15.01400000000001</v>
      </c>
      <c r="O646" s="1699">
        <f t="shared" si="559"/>
        <v>38.053999999999974</v>
      </c>
      <c r="P646" s="1699">
        <f t="shared" si="559"/>
        <v>33.469398420040079</v>
      </c>
      <c r="Q646" s="2039"/>
      <c r="R646" s="1699">
        <f>R627-Q627</f>
        <v>5.329601579959899</v>
      </c>
      <c r="S646" s="1699"/>
      <c r="T646" s="1699"/>
      <c r="U646" s="1699"/>
      <c r="V646" s="2039"/>
      <c r="W646" s="1699"/>
      <c r="X646" s="1699"/>
      <c r="Y646" s="1699"/>
      <c r="Z646" s="1699"/>
      <c r="AA646" s="2039"/>
      <c r="AB646" s="1699"/>
      <c r="AC646" s="1699"/>
      <c r="AD646" s="1699"/>
      <c r="AE646" s="1699"/>
      <c r="AF646" s="1699"/>
      <c r="AG646" s="1699"/>
      <c r="AH646" s="1699"/>
      <c r="AI646" s="1699"/>
      <c r="AJ646" s="2186"/>
      <c r="AK646" s="1699"/>
      <c r="AL646" s="1699"/>
      <c r="AM646" s="1699"/>
      <c r="AN646" s="1699"/>
      <c r="AO646" s="2186"/>
      <c r="AP646" s="1699"/>
      <c r="AQ646" s="1699"/>
      <c r="AR646" s="1699"/>
      <c r="AS646" s="1699"/>
      <c r="AT646" s="2186"/>
      <c r="AU646" s="1699"/>
      <c r="AV646" s="1699"/>
      <c r="AW646" s="1699"/>
      <c r="AX646" s="1699"/>
      <c r="AY646" s="2186"/>
      <c r="AZ646" s="1699"/>
      <c r="BA646" s="1699"/>
      <c r="BB646" s="1699"/>
      <c r="BC646" s="1293"/>
      <c r="BD646" s="2186"/>
      <c r="BE646" s="1699"/>
      <c r="BF646" s="1699"/>
      <c r="BG646" s="1699"/>
      <c r="BH646" s="1293"/>
      <c r="BI646" s="2186"/>
      <c r="BJ646" s="1699"/>
      <c r="BK646" s="1699"/>
      <c r="BL646" s="1699"/>
      <c r="BM646" s="1699"/>
      <c r="BN646" s="2186"/>
      <c r="BO646" s="1293"/>
      <c r="BP646" s="1293"/>
      <c r="BQ646" s="1293"/>
      <c r="BR646" s="1293"/>
      <c r="BS646" s="1293"/>
      <c r="BT646" s="1293"/>
      <c r="BU646" s="1293"/>
      <c r="BV646" s="1293"/>
      <c r="BW646" s="1293"/>
      <c r="BX646" s="1293"/>
      <c r="BY646" s="1293"/>
      <c r="BZ646" s="1293"/>
      <c r="CA646" s="1293"/>
      <c r="CB646" s="1293"/>
      <c r="CC646" s="1293"/>
      <c r="CD646" s="1293"/>
      <c r="CE646" s="1293"/>
      <c r="CF646" s="1293"/>
      <c r="CG646" s="1293"/>
      <c r="CH646" s="1293"/>
      <c r="CI646" s="1293"/>
      <c r="CJ646" s="1293"/>
      <c r="CK646" s="1293"/>
      <c r="CL646" s="1293"/>
      <c r="CM646" s="1293"/>
      <c r="CN646" s="1293"/>
      <c r="CO646" s="1293"/>
      <c r="CP646" s="1293"/>
      <c r="CQ646" s="1293"/>
      <c r="CR646" s="1293"/>
      <c r="CS646" s="1293"/>
      <c r="CT646" s="1293"/>
      <c r="CU646" s="1293"/>
      <c r="CV646" s="1293"/>
      <c r="CW646" s="1293"/>
      <c r="CX646" s="1293"/>
      <c r="CY646" s="2032"/>
      <c r="CZ646" s="1293"/>
      <c r="DA646" s="2042"/>
      <c r="DB646" s="2041"/>
      <c r="DC646" s="1293"/>
      <c r="DD646" s="1293"/>
      <c r="DE646" s="1293"/>
      <c r="DF646" s="1293"/>
      <c r="DG646" s="1293"/>
      <c r="DH646" s="1293"/>
      <c r="DI646" s="1293"/>
      <c r="DJ646" s="1293"/>
      <c r="DK646" s="1293"/>
      <c r="DL646" s="1293"/>
    </row>
    <row r="647" spans="1:116" ht="15.75">
      <c r="A647" s="1293"/>
      <c r="B647" s="1293" t="str">
        <f>B628</f>
        <v>RGUs</v>
      </c>
      <c r="C647" s="1699"/>
      <c r="D647" s="1699">
        <f t="shared" si="557"/>
        <v>6.7340000000000373</v>
      </c>
      <c r="E647" s="1699">
        <f t="shared" si="557"/>
        <v>42.988999999999919</v>
      </c>
      <c r="F647" s="1699">
        <f t="shared" si="557"/>
        <v>72.353000000000065</v>
      </c>
      <c r="G647" s="2039"/>
      <c r="H647" s="1699">
        <f t="shared" si="558"/>
        <v>55.885999999999967</v>
      </c>
      <c r="I647" s="1699">
        <f t="shared" si="558"/>
        <v>37.586999999999989</v>
      </c>
      <c r="J647" s="1699">
        <f t="shared" si="558"/>
        <v>55.259999999999991</v>
      </c>
      <c r="K647" s="1699">
        <f t="shared" si="558"/>
        <v>69.826000000000022</v>
      </c>
      <c r="L647" s="2039"/>
      <c r="M647" s="1699">
        <f t="shared" si="559"/>
        <v>44.886999999999944</v>
      </c>
      <c r="N647" s="1699">
        <f t="shared" si="559"/>
        <v>27.75</v>
      </c>
      <c r="O647" s="1699">
        <f t="shared" si="559"/>
        <v>46.160000000000082</v>
      </c>
      <c r="P647" s="1699">
        <f t="shared" si="559"/>
        <v>49.587999999999965</v>
      </c>
      <c r="Q647" s="2039"/>
      <c r="R647" s="1699">
        <f>R628-Q628</f>
        <v>41.105000000000018</v>
      </c>
      <c r="S647" s="1699"/>
      <c r="T647" s="1699"/>
      <c r="U647" s="1699"/>
      <c r="V647" s="2039"/>
      <c r="W647" s="1699"/>
      <c r="X647" s="1699"/>
      <c r="Y647" s="1699"/>
      <c r="Z647" s="1699"/>
      <c r="AA647" s="2039"/>
      <c r="AB647" s="1699"/>
      <c r="AC647" s="1699"/>
      <c r="AD647" s="1699"/>
      <c r="AE647" s="1699"/>
      <c r="AF647" s="1699"/>
      <c r="AG647" s="1699"/>
      <c r="AH647" s="1699"/>
      <c r="AI647" s="1699"/>
      <c r="AJ647" s="2186"/>
      <c r="AK647" s="1699"/>
      <c r="AL647" s="1699"/>
      <c r="AM647" s="1699"/>
      <c r="AN647" s="1699"/>
      <c r="AO647" s="2186"/>
      <c r="AP647" s="1699"/>
      <c r="AQ647" s="1699"/>
      <c r="AR647" s="1699"/>
      <c r="AS647" s="1699"/>
      <c r="AT647" s="2186"/>
      <c r="AU647" s="1699"/>
      <c r="AV647" s="1699"/>
      <c r="AW647" s="1699"/>
      <c r="AX647" s="1699"/>
      <c r="AY647" s="2186"/>
      <c r="AZ647" s="1699"/>
      <c r="BA647" s="1699"/>
      <c r="BB647" s="1699"/>
      <c r="BC647" s="1293"/>
      <c r="BD647" s="2186"/>
      <c r="BE647" s="1699"/>
      <c r="BF647" s="1699"/>
      <c r="BG647" s="1699"/>
      <c r="BH647" s="1293"/>
      <c r="BI647" s="2186"/>
      <c r="BJ647" s="1699"/>
      <c r="BK647" s="1699"/>
      <c r="BL647" s="1699"/>
      <c r="BM647" s="1699"/>
      <c r="BN647" s="2186"/>
      <c r="BO647" s="1293"/>
      <c r="BP647" s="1293"/>
      <c r="BQ647" s="1293"/>
      <c r="BR647" s="1293"/>
      <c r="BS647" s="1293"/>
      <c r="BT647" s="1293"/>
      <c r="BU647" s="1293"/>
      <c r="BV647" s="1293"/>
      <c r="BW647" s="1293"/>
      <c r="BX647" s="1293"/>
      <c r="BY647" s="1293"/>
      <c r="BZ647" s="1293"/>
      <c r="CA647" s="1293"/>
      <c r="CB647" s="1293"/>
      <c r="CC647" s="1293"/>
      <c r="CD647" s="1293"/>
      <c r="CE647" s="1293"/>
      <c r="CF647" s="1293"/>
      <c r="CG647" s="1293"/>
      <c r="CH647" s="1293"/>
      <c r="CI647" s="1293"/>
      <c r="CJ647" s="1293"/>
      <c r="CK647" s="1293"/>
      <c r="CL647" s="1293"/>
      <c r="CM647" s="1293"/>
      <c r="CN647" s="1293"/>
      <c r="CO647" s="1293"/>
      <c r="CP647" s="1293"/>
      <c r="CQ647" s="1293"/>
      <c r="CR647" s="1293"/>
      <c r="CS647" s="1293"/>
      <c r="CT647" s="1293"/>
      <c r="CU647" s="1293"/>
      <c r="CV647" s="1293"/>
      <c r="CW647" s="1293"/>
      <c r="CX647" s="1293"/>
      <c r="CY647" s="2032"/>
      <c r="CZ647" s="1293"/>
      <c r="DA647" s="2042"/>
      <c r="DB647" s="2041"/>
      <c r="DC647" s="1293"/>
      <c r="DD647" s="1293"/>
      <c r="DE647" s="1293"/>
      <c r="DF647" s="1293"/>
      <c r="DG647" s="1293"/>
      <c r="DH647" s="1293"/>
      <c r="DI647" s="1293"/>
      <c r="DJ647" s="1293"/>
      <c r="DK647" s="1293"/>
      <c r="DL647" s="1293"/>
    </row>
    <row r="648" spans="1:116" ht="15.75">
      <c r="A648" s="1293"/>
      <c r="B648" s="1293" t="str">
        <f>B629</f>
        <v>Residential cable ARPU (USD)</v>
      </c>
      <c r="C648" s="1699"/>
      <c r="D648" s="1699"/>
      <c r="E648" s="1699"/>
      <c r="F648" s="1699"/>
      <c r="G648" s="2039"/>
      <c r="H648" s="1699"/>
      <c r="I648" s="1699"/>
      <c r="J648" s="1699"/>
      <c r="K648" s="1699"/>
      <c r="L648" s="2039"/>
      <c r="M648" s="1699"/>
      <c r="N648" s="1699"/>
      <c r="O648" s="1699"/>
      <c r="P648" s="1699"/>
      <c r="Q648" s="2039"/>
      <c r="R648" s="1699"/>
      <c r="S648" s="1699"/>
      <c r="T648" s="1699"/>
      <c r="U648" s="1699"/>
      <c r="V648" s="2039"/>
      <c r="W648" s="1699"/>
      <c r="X648" s="1699"/>
      <c r="Y648" s="1699"/>
      <c r="Z648" s="1699"/>
      <c r="AA648" s="2039"/>
      <c r="AB648" s="1699"/>
      <c r="AC648" s="1699"/>
      <c r="AD648" s="1699"/>
      <c r="AE648" s="1699"/>
      <c r="AF648" s="1699"/>
      <c r="AG648" s="1699"/>
      <c r="AH648" s="1699"/>
      <c r="AI648" s="1699"/>
      <c r="AJ648" s="2186"/>
      <c r="AK648" s="1699"/>
      <c r="AL648" s="1699"/>
      <c r="AM648" s="1699"/>
      <c r="AN648" s="1699"/>
      <c r="AO648" s="2186"/>
      <c r="AP648" s="1699"/>
      <c r="AQ648" s="1699"/>
      <c r="AR648" s="1699"/>
      <c r="AS648" s="1699"/>
      <c r="AT648" s="2186"/>
      <c r="AU648" s="1699"/>
      <c r="AV648" s="1699"/>
      <c r="AW648" s="1699"/>
      <c r="AX648" s="1699"/>
      <c r="AY648" s="2186"/>
      <c r="AZ648" s="1699"/>
      <c r="BA648" s="1699"/>
      <c r="BB648" s="1699"/>
      <c r="BC648" s="1293"/>
      <c r="BD648" s="2186"/>
      <c r="BE648" s="1699"/>
      <c r="BF648" s="1699"/>
      <c r="BG648" s="1699"/>
      <c r="BH648" s="1293"/>
      <c r="BI648" s="2186"/>
      <c r="BJ648" s="1699"/>
      <c r="BK648" s="1699"/>
      <c r="BL648" s="1699"/>
      <c r="BM648" s="1699"/>
      <c r="BN648" s="2186"/>
      <c r="BO648" s="1293"/>
      <c r="BP648" s="1293"/>
      <c r="BQ648" s="1293"/>
      <c r="BR648" s="1293"/>
      <c r="BS648" s="1293"/>
      <c r="BT648" s="1293"/>
      <c r="BU648" s="1293"/>
      <c r="BV648" s="1293"/>
      <c r="BW648" s="1293"/>
      <c r="BX648" s="1293"/>
      <c r="BY648" s="1293"/>
      <c r="BZ648" s="1293"/>
      <c r="CA648" s="1293"/>
      <c r="CB648" s="1293"/>
      <c r="CC648" s="1293"/>
      <c r="CD648" s="1293"/>
      <c r="CE648" s="1293"/>
      <c r="CF648" s="1293"/>
      <c r="CG648" s="1293"/>
      <c r="CH648" s="1293"/>
      <c r="CI648" s="1293"/>
      <c r="CJ648" s="1293"/>
      <c r="CK648" s="1293"/>
      <c r="CL648" s="1293"/>
      <c r="CM648" s="1293"/>
      <c r="CN648" s="1293"/>
      <c r="CO648" s="1293"/>
      <c r="CP648" s="1293"/>
      <c r="CQ648" s="1293"/>
      <c r="CR648" s="1293"/>
      <c r="CS648" s="1293"/>
      <c r="CT648" s="1293"/>
      <c r="CU648" s="1293"/>
      <c r="CV648" s="1293"/>
      <c r="CW648" s="1293"/>
      <c r="CX648" s="1293"/>
      <c r="CY648" s="2032"/>
      <c r="CZ648" s="1293"/>
      <c r="DA648" s="2042"/>
      <c r="DB648" s="2041"/>
      <c r="DC648" s="1293"/>
      <c r="DD648" s="1293"/>
      <c r="DE648" s="1293"/>
      <c r="DF648" s="1293"/>
      <c r="DG648" s="1293"/>
      <c r="DH648" s="1293"/>
      <c r="DI648" s="1293"/>
      <c r="DJ648" s="1293"/>
      <c r="DK648" s="1293"/>
      <c r="DL648" s="1293"/>
    </row>
    <row r="649" spans="1:116" ht="15.75">
      <c r="A649" s="1293"/>
      <c r="B649" s="1293"/>
      <c r="C649" s="1699"/>
      <c r="D649" s="1699"/>
      <c r="E649" s="1699"/>
      <c r="F649" s="1699"/>
      <c r="G649" s="2039"/>
      <c r="H649" s="1699"/>
      <c r="I649" s="1699"/>
      <c r="J649" s="1699"/>
      <c r="K649" s="1699"/>
      <c r="L649" s="2039"/>
      <c r="M649" s="1699"/>
      <c r="N649" s="1699"/>
      <c r="O649" s="1699"/>
      <c r="P649" s="1699"/>
      <c r="Q649" s="2039"/>
      <c r="R649" s="1699"/>
      <c r="S649" s="1699"/>
      <c r="T649" s="1699"/>
      <c r="U649" s="1699"/>
      <c r="V649" s="2039"/>
      <c r="W649" s="1699"/>
      <c r="X649" s="1699"/>
      <c r="Y649" s="1699"/>
      <c r="Z649" s="1699"/>
      <c r="AA649" s="2039"/>
      <c r="AB649" s="1699"/>
      <c r="AC649" s="1699"/>
      <c r="AD649" s="1699"/>
      <c r="AE649" s="1699"/>
      <c r="AF649" s="1699"/>
      <c r="AG649" s="1699"/>
      <c r="AH649" s="1699"/>
      <c r="AI649" s="1699"/>
      <c r="AJ649" s="2186"/>
      <c r="AK649" s="1699"/>
      <c r="AL649" s="1699"/>
      <c r="AM649" s="1699"/>
      <c r="AN649" s="1699"/>
      <c r="AO649" s="2186"/>
      <c r="AP649" s="1699"/>
      <c r="AQ649" s="1699"/>
      <c r="AR649" s="1699"/>
      <c r="AS649" s="1699"/>
      <c r="AT649" s="2186"/>
      <c r="AU649" s="1699"/>
      <c r="AV649" s="1699"/>
      <c r="AW649" s="1699"/>
      <c r="AX649" s="1699"/>
      <c r="AY649" s="2186"/>
      <c r="AZ649" s="1699"/>
      <c r="BA649" s="1699"/>
      <c r="BB649" s="1699"/>
      <c r="BC649" s="1293"/>
      <c r="BD649" s="2186"/>
      <c r="BE649" s="1699"/>
      <c r="BF649" s="1699"/>
      <c r="BG649" s="1699"/>
      <c r="BH649" s="1293"/>
      <c r="BI649" s="2186"/>
      <c r="BJ649" s="1699"/>
      <c r="BK649" s="1699"/>
      <c r="BL649" s="1699"/>
      <c r="BM649" s="1699"/>
      <c r="BN649" s="2186"/>
      <c r="BO649" s="1293"/>
      <c r="BP649" s="1293"/>
      <c r="BQ649" s="1293"/>
      <c r="BR649" s="1293"/>
      <c r="BS649" s="1293"/>
      <c r="BT649" s="1293"/>
      <c r="BU649" s="1293"/>
      <c r="BV649" s="1293"/>
      <c r="BW649" s="1293"/>
      <c r="BX649" s="1293"/>
      <c r="BY649" s="1293"/>
      <c r="BZ649" s="1293"/>
      <c r="CA649" s="1293"/>
      <c r="CB649" s="1293"/>
      <c r="CC649" s="1293"/>
      <c r="CD649" s="1293"/>
      <c r="CE649" s="1293"/>
      <c r="CF649" s="1293"/>
      <c r="CG649" s="1293"/>
      <c r="CH649" s="1293"/>
      <c r="CI649" s="1293"/>
      <c r="CJ649" s="1293"/>
      <c r="CK649" s="1293"/>
      <c r="CL649" s="1293"/>
      <c r="CM649" s="1293"/>
      <c r="CN649" s="1293"/>
      <c r="CO649" s="1293"/>
      <c r="CP649" s="1293"/>
      <c r="CQ649" s="1293"/>
      <c r="CR649" s="1293"/>
      <c r="CS649" s="1293"/>
      <c r="CT649" s="1293"/>
      <c r="CU649" s="1293"/>
      <c r="CV649" s="1293"/>
      <c r="CW649" s="1293"/>
      <c r="CX649" s="1293"/>
      <c r="CY649" s="2032"/>
      <c r="CZ649" s="1293"/>
      <c r="DA649" s="2042"/>
      <c r="DB649" s="2041"/>
      <c r="DC649" s="1293"/>
      <c r="DD649" s="1293"/>
      <c r="DE649" s="1293"/>
      <c r="DF649" s="1293"/>
      <c r="DG649" s="1293"/>
      <c r="DH649" s="1293"/>
      <c r="DI649" s="1293"/>
      <c r="DJ649" s="1293"/>
      <c r="DK649" s="1293"/>
      <c r="DL649" s="1293"/>
    </row>
    <row r="650" spans="1:116" ht="15.75">
      <c r="A650" s="1293"/>
      <c r="B650" s="1293" t="str">
        <f>B631</f>
        <v>HFC only</v>
      </c>
      <c r="C650" s="1699"/>
      <c r="D650" s="1699"/>
      <c r="E650" s="1699"/>
      <c r="F650" s="1699"/>
      <c r="G650" s="2039"/>
      <c r="H650" s="1699"/>
      <c r="I650" s="1699"/>
      <c r="J650" s="1699"/>
      <c r="K650" s="1699"/>
      <c r="L650" s="2039"/>
      <c r="M650" s="1699"/>
      <c r="N650" s="1699"/>
      <c r="O650" s="1699"/>
      <c r="P650" s="1699"/>
      <c r="Q650" s="2039"/>
      <c r="R650" s="1699"/>
      <c r="S650" s="1699"/>
      <c r="T650" s="1699"/>
      <c r="U650" s="1699"/>
      <c r="V650" s="2039"/>
      <c r="W650" s="1699"/>
      <c r="X650" s="1699"/>
      <c r="Y650" s="1699"/>
      <c r="Z650" s="1699"/>
      <c r="AA650" s="2039"/>
      <c r="AB650" s="1699"/>
      <c r="AC650" s="1699"/>
      <c r="AD650" s="1699"/>
      <c r="AE650" s="1699"/>
      <c r="AF650" s="1699"/>
      <c r="AG650" s="1699"/>
      <c r="AH650" s="1699"/>
      <c r="AI650" s="1699"/>
      <c r="AJ650" s="2186"/>
      <c r="AK650" s="1699"/>
      <c r="AL650" s="1699"/>
      <c r="AM650" s="1699"/>
      <c r="AN650" s="1699"/>
      <c r="AO650" s="2186"/>
      <c r="AP650" s="1699"/>
      <c r="AQ650" s="1699"/>
      <c r="AR650" s="1699"/>
      <c r="AS650" s="1699"/>
      <c r="AT650" s="2186"/>
      <c r="AU650" s="1699"/>
      <c r="AV650" s="1699"/>
      <c r="AW650" s="1699"/>
      <c r="AX650" s="1699"/>
      <c r="AY650" s="2186"/>
      <c r="AZ650" s="1699"/>
      <c r="BA650" s="1699"/>
      <c r="BB650" s="1699"/>
      <c r="BC650" s="1293"/>
      <c r="BD650" s="2186"/>
      <c r="BE650" s="1699"/>
      <c r="BF650" s="1699"/>
      <c r="BG650" s="1699"/>
      <c r="BH650" s="1293"/>
      <c r="BI650" s="2186"/>
      <c r="BJ650" s="1699"/>
      <c r="BK650" s="1699"/>
      <c r="BL650" s="1699"/>
      <c r="BM650" s="1699"/>
      <c r="BN650" s="2186"/>
      <c r="BO650" s="1293"/>
      <c r="BP650" s="1293"/>
      <c r="BQ650" s="1293"/>
      <c r="BR650" s="1293"/>
      <c r="BS650" s="1293"/>
      <c r="BT650" s="1293"/>
      <c r="BU650" s="1293"/>
      <c r="BV650" s="1293"/>
      <c r="BW650" s="1293"/>
      <c r="BX650" s="1293"/>
      <c r="BY650" s="1293"/>
      <c r="BZ650" s="1293"/>
      <c r="CA650" s="1293"/>
      <c r="CB650" s="1293"/>
      <c r="CC650" s="1293"/>
      <c r="CD650" s="1293"/>
      <c r="CE650" s="1293"/>
      <c r="CF650" s="1293"/>
      <c r="CG650" s="1293"/>
      <c r="CH650" s="1293"/>
      <c r="CI650" s="1293"/>
      <c r="CJ650" s="1293"/>
      <c r="CK650" s="1293"/>
      <c r="CL650" s="1293"/>
      <c r="CM650" s="1293"/>
      <c r="CN650" s="1293"/>
      <c r="CO650" s="1293"/>
      <c r="CP650" s="1293"/>
      <c r="CQ650" s="1293"/>
      <c r="CR650" s="1293"/>
      <c r="CS650" s="1293"/>
      <c r="CT650" s="1293"/>
      <c r="CU650" s="1293"/>
      <c r="CV650" s="1293"/>
      <c r="CW650" s="1293"/>
      <c r="CX650" s="1293"/>
      <c r="CY650" s="2032"/>
      <c r="CZ650" s="1293"/>
      <c r="DA650" s="2042"/>
      <c r="DB650" s="2041"/>
      <c r="DC650" s="1293"/>
      <c r="DD650" s="1293"/>
      <c r="DE650" s="1293"/>
      <c r="DF650" s="1293"/>
      <c r="DG650" s="1293"/>
      <c r="DH650" s="1293"/>
      <c r="DI650" s="1293"/>
      <c r="DJ650" s="1293"/>
      <c r="DK650" s="1293"/>
      <c r="DL650" s="1293"/>
    </row>
    <row r="651" spans="1:116" ht="15.75">
      <c r="A651" s="1293"/>
      <c r="B651" s="1293" t="str">
        <f>B632</f>
        <v>Homes passed</v>
      </c>
      <c r="C651" s="1699"/>
      <c r="D651" s="1699">
        <f t="shared" ref="D651:F653" si="560">D632-C632</f>
        <v>39.778372912241366</v>
      </c>
      <c r="E651" s="1699">
        <f t="shared" si="560"/>
        <v>40.317367087758385</v>
      </c>
      <c r="F651" s="1699">
        <f t="shared" si="560"/>
        <v>41.109110000000328</v>
      </c>
      <c r="G651" s="2039"/>
      <c r="H651" s="1699">
        <f t="shared" ref="H651:K653" si="561">H632-G632</f>
        <v>29.45793791224105</v>
      </c>
      <c r="I651" s="1699">
        <f t="shared" si="561"/>
        <v>16.890740000000278</v>
      </c>
      <c r="J651" s="1699">
        <f t="shared" si="561"/>
        <v>67.173367087758834</v>
      </c>
      <c r="K651" s="1699">
        <f t="shared" si="561"/>
        <v>68.850742912241003</v>
      </c>
      <c r="L651" s="2039"/>
      <c r="M651" s="1699">
        <f t="shared" ref="M651:P653" si="562">M632-L632</f>
        <v>21.742102087760486</v>
      </c>
      <c r="N651" s="1699">
        <f t="shared" si="562"/>
        <v>27.882047912239614</v>
      </c>
      <c r="O651" s="1699">
        <f t="shared" si="562"/>
        <v>22.53574000000026</v>
      </c>
      <c r="P651" s="1699">
        <f t="shared" si="562"/>
        <v>83.843104999999923</v>
      </c>
      <c r="Q651" s="2039"/>
      <c r="R651" s="1699">
        <f>R632-Q632</f>
        <v>51.184894999999869</v>
      </c>
      <c r="S651" s="1699"/>
      <c r="T651" s="1699"/>
      <c r="U651" s="1699"/>
      <c r="V651" s="2039"/>
      <c r="W651" s="1699"/>
      <c r="X651" s="1699"/>
      <c r="Y651" s="1699"/>
      <c r="Z651" s="1699"/>
      <c r="AA651" s="2039"/>
      <c r="AB651" s="1699"/>
      <c r="AC651" s="1699"/>
      <c r="AD651" s="1699"/>
      <c r="AE651" s="1699"/>
      <c r="AF651" s="1699"/>
      <c r="AG651" s="1699"/>
      <c r="AH651" s="1699"/>
      <c r="AI651" s="1699"/>
      <c r="AJ651" s="2186"/>
      <c r="AK651" s="1699"/>
      <c r="AL651" s="1699"/>
      <c r="AM651" s="1699"/>
      <c r="AN651" s="1699"/>
      <c r="AO651" s="2186"/>
      <c r="AP651" s="1699"/>
      <c r="AQ651" s="1699"/>
      <c r="AR651" s="1699"/>
      <c r="AS651" s="1699"/>
      <c r="AT651" s="2186"/>
      <c r="AU651" s="1699"/>
      <c r="AV651" s="1699"/>
      <c r="AW651" s="1699"/>
      <c r="AX651" s="1699"/>
      <c r="AY651" s="2186"/>
      <c r="AZ651" s="1699"/>
      <c r="BA651" s="1699"/>
      <c r="BB651" s="1699"/>
      <c r="BC651" s="1293"/>
      <c r="BD651" s="2186"/>
      <c r="BE651" s="1699"/>
      <c r="BF651" s="1699"/>
      <c r="BG651" s="1699"/>
      <c r="BH651" s="1293"/>
      <c r="BI651" s="2186"/>
      <c r="BJ651" s="1699"/>
      <c r="BK651" s="1699"/>
      <c r="BL651" s="1699"/>
      <c r="BM651" s="1699"/>
      <c r="BN651" s="2186"/>
      <c r="BO651" s="1293"/>
      <c r="BP651" s="1293"/>
      <c r="BQ651" s="1293"/>
      <c r="BR651" s="1293"/>
      <c r="BS651" s="1293"/>
      <c r="BT651" s="1293"/>
      <c r="BU651" s="1293"/>
      <c r="BV651" s="1293"/>
      <c r="BW651" s="1293"/>
      <c r="BX651" s="1293"/>
      <c r="BY651" s="1293"/>
      <c r="BZ651" s="1293"/>
      <c r="CA651" s="1293"/>
      <c r="CB651" s="1293"/>
      <c r="CC651" s="1293"/>
      <c r="CD651" s="1293"/>
      <c r="CE651" s="1293"/>
      <c r="CF651" s="1293"/>
      <c r="CG651" s="1293"/>
      <c r="CH651" s="1293"/>
      <c r="CI651" s="1293"/>
      <c r="CJ651" s="1293"/>
      <c r="CK651" s="1293"/>
      <c r="CL651" s="1293"/>
      <c r="CM651" s="1293"/>
      <c r="CN651" s="1293"/>
      <c r="CO651" s="1293"/>
      <c r="CP651" s="1293"/>
      <c r="CQ651" s="1293"/>
      <c r="CR651" s="1293"/>
      <c r="CS651" s="1293"/>
      <c r="CT651" s="1293"/>
      <c r="CU651" s="1293"/>
      <c r="CV651" s="1293"/>
      <c r="CW651" s="1293"/>
      <c r="CX651" s="1293"/>
      <c r="CY651" s="2032"/>
      <c r="CZ651" s="1293"/>
      <c r="DA651" s="2042"/>
      <c r="DB651" s="2041"/>
      <c r="DC651" s="1293"/>
      <c r="DD651" s="1293"/>
      <c r="DE651" s="1293"/>
      <c r="DF651" s="1293"/>
      <c r="DG651" s="1293"/>
      <c r="DH651" s="1293"/>
      <c r="DI651" s="1293"/>
      <c r="DJ651" s="1293"/>
      <c r="DK651" s="1293"/>
      <c r="DL651" s="1293"/>
    </row>
    <row r="652" spans="1:116" ht="15.75">
      <c r="A652" s="1293"/>
      <c r="B652" s="1293" t="str">
        <f>B633</f>
        <v>Homes connected</v>
      </c>
      <c r="C652" s="1699"/>
      <c r="D652" s="1699">
        <f t="shared" si="560"/>
        <v>-3.7200000000000273</v>
      </c>
      <c r="E652" s="1699">
        <f t="shared" si="560"/>
        <v>8.2180000000000746</v>
      </c>
      <c r="F652" s="1699">
        <f t="shared" si="560"/>
        <v>14.884000000000015</v>
      </c>
      <c r="G652" s="2039"/>
      <c r="H652" s="1699">
        <f t="shared" si="561"/>
        <v>1.9639999999999418</v>
      </c>
      <c r="I652" s="1699">
        <f t="shared" si="561"/>
        <v>3.5339999999999918</v>
      </c>
      <c r="J652" s="1699">
        <f t="shared" si="561"/>
        <v>20.953671289585941</v>
      </c>
      <c r="K652" s="1699">
        <f t="shared" si="561"/>
        <v>30.136328710414091</v>
      </c>
      <c r="L652" s="2039"/>
      <c r="M652" s="1699">
        <f t="shared" si="562"/>
        <v>6.4260000000000446</v>
      </c>
      <c r="N652" s="1699">
        <f t="shared" si="562"/>
        <v>-3.0400000000000773</v>
      </c>
      <c r="O652" s="1699">
        <f t="shared" si="562"/>
        <v>18.720000000000141</v>
      </c>
      <c r="P652" s="1699">
        <f t="shared" si="562"/>
        <v>23.614398420038924</v>
      </c>
      <c r="Q652" s="2039"/>
      <c r="R652" s="1699">
        <f>R633-Q633</f>
        <v>-0.12839842003904778</v>
      </c>
      <c r="S652" s="1699"/>
      <c r="T652" s="1699"/>
      <c r="U652" s="1699"/>
      <c r="V652" s="2039"/>
      <c r="W652" s="1699"/>
      <c r="X652" s="1699"/>
      <c r="Y652" s="1699"/>
      <c r="Z652" s="1699"/>
      <c r="AA652" s="2039"/>
      <c r="AB652" s="1699"/>
      <c r="AC652" s="1699"/>
      <c r="AD652" s="1699"/>
      <c r="AE652" s="1699"/>
      <c r="AF652" s="1699"/>
      <c r="AG652" s="1699"/>
      <c r="AH652" s="1699"/>
      <c r="AI652" s="1699"/>
      <c r="AJ652" s="2186"/>
      <c r="AK652" s="1699"/>
      <c r="AL652" s="1699"/>
      <c r="AM652" s="1699"/>
      <c r="AN652" s="1699"/>
      <c r="AO652" s="2186"/>
      <c r="AP652" s="1699"/>
      <c r="AQ652" s="1699"/>
      <c r="AR652" s="1699"/>
      <c r="AS652" s="1699"/>
      <c r="AT652" s="2186"/>
      <c r="AU652" s="1699"/>
      <c r="AV652" s="1699"/>
      <c r="AW652" s="1699"/>
      <c r="AX652" s="1699"/>
      <c r="AY652" s="2186"/>
      <c r="AZ652" s="1699"/>
      <c r="BA652" s="1699"/>
      <c r="BB652" s="1699"/>
      <c r="BC652" s="1293"/>
      <c r="BD652" s="2186"/>
      <c r="BE652" s="1699"/>
      <c r="BF652" s="1699"/>
      <c r="BG652" s="1699"/>
      <c r="BH652" s="1293"/>
      <c r="BI652" s="2186"/>
      <c r="BJ652" s="1699"/>
      <c r="BK652" s="1699"/>
      <c r="BL652" s="1699"/>
      <c r="BM652" s="1699"/>
      <c r="BN652" s="2186"/>
      <c r="BO652" s="1293"/>
      <c r="BP652" s="1293"/>
      <c r="BQ652" s="1293"/>
      <c r="BR652" s="1293"/>
      <c r="BS652" s="1293"/>
      <c r="BT652" s="1293"/>
      <c r="BU652" s="1293"/>
      <c r="BV652" s="1293"/>
      <c r="BW652" s="1293"/>
      <c r="BX652" s="1293"/>
      <c r="BY652" s="1293"/>
      <c r="BZ652" s="1293"/>
      <c r="CA652" s="1293"/>
      <c r="CB652" s="1293"/>
      <c r="CC652" s="1293"/>
      <c r="CD652" s="1293"/>
      <c r="CE652" s="1293"/>
      <c r="CF652" s="1293"/>
      <c r="CG652" s="1293"/>
      <c r="CH652" s="1293"/>
      <c r="CI652" s="1293"/>
      <c r="CJ652" s="1293"/>
      <c r="CK652" s="1293"/>
      <c r="CL652" s="1293"/>
      <c r="CM652" s="1293"/>
      <c r="CN652" s="1293"/>
      <c r="CO652" s="1293"/>
      <c r="CP652" s="1293"/>
      <c r="CQ652" s="1293"/>
      <c r="CR652" s="1293"/>
      <c r="CS652" s="1293"/>
      <c r="CT652" s="1293"/>
      <c r="CU652" s="1293"/>
      <c r="CV652" s="1293"/>
      <c r="CW652" s="1293"/>
      <c r="CX652" s="1293"/>
      <c r="CY652" s="2032"/>
      <c r="CZ652" s="1293"/>
      <c r="DA652" s="2042"/>
      <c r="DB652" s="2041"/>
      <c r="DC652" s="1293"/>
      <c r="DD652" s="1293"/>
      <c r="DE652" s="1293"/>
      <c r="DF652" s="1293"/>
      <c r="DG652" s="1293"/>
      <c r="DH652" s="1293"/>
      <c r="DI652" s="1293"/>
      <c r="DJ652" s="1293"/>
      <c r="DK652" s="1293"/>
      <c r="DL652" s="1293"/>
    </row>
    <row r="653" spans="1:116" ht="15.75">
      <c r="A653" s="1293"/>
      <c r="B653" s="1293" t="str">
        <f>B634</f>
        <v>RGUs</v>
      </c>
      <c r="C653" s="1699"/>
      <c r="D653" s="1699">
        <f t="shared" si="560"/>
        <v>4.2229999999999563</v>
      </c>
      <c r="E653" s="1699">
        <f t="shared" si="560"/>
        <v>18.783999999999992</v>
      </c>
      <c r="F653" s="1699">
        <f t="shared" si="560"/>
        <v>40.730000000000132</v>
      </c>
      <c r="G653" s="2039"/>
      <c r="H653" s="1699">
        <f t="shared" si="561"/>
        <v>25.781999999999925</v>
      </c>
      <c r="I653" s="1699">
        <f t="shared" si="561"/>
        <v>16.192000000000007</v>
      </c>
      <c r="J653" s="1699">
        <f t="shared" si="561"/>
        <v>33.011999999999944</v>
      </c>
      <c r="K653" s="1699">
        <f t="shared" si="561"/>
        <v>48.200000000000045</v>
      </c>
      <c r="L653" s="2039"/>
      <c r="M653" s="1699">
        <f t="shared" si="562"/>
        <v>26.942999999999984</v>
      </c>
      <c r="N653" s="1699">
        <f t="shared" si="562"/>
        <v>8.9729999999999563</v>
      </c>
      <c r="O653" s="1699">
        <f t="shared" si="562"/>
        <v>26.713999999999942</v>
      </c>
      <c r="P653" s="1699">
        <f t="shared" si="562"/>
        <v>39.201999999999998</v>
      </c>
      <c r="Q653" s="2039"/>
      <c r="R653" s="1699">
        <f>R634-Q634</f>
        <v>36.400000000000091</v>
      </c>
      <c r="S653" s="1699"/>
      <c r="T653" s="1699"/>
      <c r="U653" s="1699"/>
      <c r="V653" s="2039"/>
      <c r="W653" s="1699"/>
      <c r="X653" s="1699"/>
      <c r="Y653" s="1699"/>
      <c r="Z653" s="1699"/>
      <c r="AA653" s="2039"/>
      <c r="AB653" s="1699"/>
      <c r="AC653" s="1699"/>
      <c r="AD653" s="1699"/>
      <c r="AE653" s="1699"/>
      <c r="AF653" s="1699"/>
      <c r="AG653" s="1699"/>
      <c r="AH653" s="1699"/>
      <c r="AI653" s="1699"/>
      <c r="AJ653" s="2186"/>
      <c r="AK653" s="1699"/>
      <c r="AL653" s="1699"/>
      <c r="AM653" s="1699"/>
      <c r="AN653" s="1699"/>
      <c r="AO653" s="2186"/>
      <c r="AP653" s="1699"/>
      <c r="AQ653" s="1699"/>
      <c r="AR653" s="1699"/>
      <c r="AS653" s="1699"/>
      <c r="AT653" s="2186"/>
      <c r="AU653" s="1699"/>
      <c r="AV653" s="1699"/>
      <c r="AW653" s="1699"/>
      <c r="AX653" s="1699"/>
      <c r="AY653" s="2186"/>
      <c r="AZ653" s="1699"/>
      <c r="BA653" s="1699"/>
      <c r="BB653" s="1699"/>
      <c r="BC653" s="1293"/>
      <c r="BD653" s="2186"/>
      <c r="BE653" s="1699"/>
      <c r="BF653" s="1699"/>
      <c r="BG653" s="1699"/>
      <c r="BH653" s="1293"/>
      <c r="BI653" s="2186"/>
      <c r="BJ653" s="1699"/>
      <c r="BK653" s="1699"/>
      <c r="BL653" s="1699"/>
      <c r="BM653" s="1699"/>
      <c r="BN653" s="2186"/>
      <c r="BO653" s="1293"/>
      <c r="BP653" s="1293"/>
      <c r="BQ653" s="1293"/>
      <c r="BR653" s="1293"/>
      <c r="BS653" s="1293"/>
      <c r="BT653" s="1293"/>
      <c r="BU653" s="1293"/>
      <c r="BV653" s="1293"/>
      <c r="BW653" s="1293"/>
      <c r="BX653" s="1293"/>
      <c r="BY653" s="1293"/>
      <c r="BZ653" s="1293"/>
      <c r="CA653" s="1293"/>
      <c r="CB653" s="1293"/>
      <c r="CC653" s="1293"/>
      <c r="CD653" s="1293"/>
      <c r="CE653" s="1293"/>
      <c r="CF653" s="1293"/>
      <c r="CG653" s="1293"/>
      <c r="CH653" s="1293"/>
      <c r="CI653" s="1293"/>
      <c r="CJ653" s="1293"/>
      <c r="CK653" s="1293"/>
      <c r="CL653" s="1293"/>
      <c r="CM653" s="1293"/>
      <c r="CN653" s="1293"/>
      <c r="CO653" s="1293"/>
      <c r="CP653" s="1293"/>
      <c r="CQ653" s="1293"/>
      <c r="CR653" s="1293"/>
      <c r="CS653" s="1293"/>
      <c r="CT653" s="1293"/>
      <c r="CU653" s="1293"/>
      <c r="CV653" s="1293"/>
      <c r="CW653" s="1293"/>
      <c r="CX653" s="1293"/>
      <c r="CY653" s="2032"/>
      <c r="CZ653" s="1293"/>
      <c r="DA653" s="2042"/>
      <c r="DB653" s="2041"/>
      <c r="DC653" s="1293"/>
      <c r="DD653" s="1293"/>
      <c r="DE653" s="1293"/>
      <c r="DF653" s="1293"/>
      <c r="DG653" s="1293"/>
      <c r="DH653" s="1293"/>
      <c r="DI653" s="1293"/>
      <c r="DJ653" s="1293"/>
      <c r="DK653" s="1293"/>
      <c r="DL653" s="1293"/>
    </row>
    <row r="654" spans="1:116" ht="15.75">
      <c r="A654" s="1293"/>
      <c r="B654" s="1293"/>
      <c r="C654" s="1699"/>
      <c r="D654" s="1699"/>
      <c r="E654" s="1699"/>
      <c r="F654" s="1699"/>
      <c r="G654" s="2039"/>
      <c r="H654" s="1699"/>
      <c r="I654" s="1699"/>
      <c r="J654" s="1699"/>
      <c r="K654" s="1699"/>
      <c r="L654" s="2039"/>
      <c r="M654" s="1699"/>
      <c r="N654" s="1699"/>
      <c r="O654" s="1699"/>
      <c r="P654" s="1699"/>
      <c r="Q654" s="2039"/>
      <c r="R654" s="1699"/>
      <c r="S654" s="1699"/>
      <c r="T654" s="1699"/>
      <c r="U654" s="1699"/>
      <c r="V654" s="2039"/>
      <c r="W654" s="1699"/>
      <c r="X654" s="1699"/>
      <c r="Y654" s="1699"/>
      <c r="Z654" s="1699"/>
      <c r="AA654" s="2039"/>
      <c r="AB654" s="1699"/>
      <c r="AC654" s="1699"/>
      <c r="AD654" s="1699"/>
      <c r="AE654" s="1699"/>
      <c r="AF654" s="1699"/>
      <c r="AG654" s="1699"/>
      <c r="AH654" s="1699"/>
      <c r="AI654" s="1699"/>
      <c r="AJ654" s="2186"/>
      <c r="AK654" s="1699"/>
      <c r="AL654" s="1699"/>
      <c r="AM654" s="1699"/>
      <c r="AN654" s="1699"/>
      <c r="AO654" s="2186"/>
      <c r="AP654" s="1699"/>
      <c r="AQ654" s="1699"/>
      <c r="AR654" s="1699"/>
      <c r="AS654" s="1699"/>
      <c r="AT654" s="2186"/>
      <c r="AU654" s="1699"/>
      <c r="AV654" s="1699"/>
      <c r="AW654" s="1699"/>
      <c r="AX654" s="1699"/>
      <c r="AY654" s="2186"/>
      <c r="AZ654" s="1699"/>
      <c r="BA654" s="1699"/>
      <c r="BB654" s="1699"/>
      <c r="BC654" s="1293"/>
      <c r="BD654" s="2186"/>
      <c r="BE654" s="1699"/>
      <c r="BF654" s="1699"/>
      <c r="BG654" s="1699"/>
      <c r="BH654" s="1293"/>
      <c r="BI654" s="2186"/>
      <c r="BJ654" s="1699"/>
      <c r="BK654" s="1699"/>
      <c r="BL654" s="1699"/>
      <c r="BM654" s="1699"/>
      <c r="BN654" s="2186"/>
      <c r="BO654" s="1293"/>
      <c r="BP654" s="1293"/>
      <c r="BQ654" s="1293"/>
      <c r="BR654" s="1293"/>
      <c r="BS654" s="1293"/>
      <c r="BT654" s="1293"/>
      <c r="BU654" s="1293"/>
      <c r="BV654" s="1293"/>
      <c r="BW654" s="1293"/>
      <c r="BX654" s="1293"/>
      <c r="BY654" s="1293"/>
      <c r="BZ654" s="1293"/>
      <c r="CA654" s="1293"/>
      <c r="CB654" s="1293"/>
      <c r="CC654" s="1293"/>
      <c r="CD654" s="1293"/>
      <c r="CE654" s="1293"/>
      <c r="CF654" s="1293"/>
      <c r="CG654" s="1293"/>
      <c r="CH654" s="1293"/>
      <c r="CI654" s="1293"/>
      <c r="CJ654" s="1293"/>
      <c r="CK654" s="1293"/>
      <c r="CL654" s="1293"/>
      <c r="CM654" s="1293"/>
      <c r="CN654" s="1293"/>
      <c r="CO654" s="1293"/>
      <c r="CP654" s="1293"/>
      <c r="CQ654" s="1293"/>
      <c r="CR654" s="1293"/>
      <c r="CS654" s="1293"/>
      <c r="CT654" s="1293"/>
      <c r="CU654" s="1293"/>
      <c r="CV654" s="1293"/>
      <c r="CW654" s="1293"/>
      <c r="CX654" s="1293"/>
      <c r="CY654" s="2032"/>
      <c r="CZ654" s="1293"/>
      <c r="DA654" s="2042"/>
      <c r="DB654" s="2041"/>
      <c r="DC654" s="1293"/>
      <c r="DD654" s="1293"/>
      <c r="DE654" s="1293"/>
      <c r="DF654" s="1293"/>
      <c r="DG654" s="1293"/>
      <c r="DH654" s="1293"/>
      <c r="DI654" s="1293"/>
      <c r="DJ654" s="1293"/>
      <c r="DK654" s="1293"/>
      <c r="DL654" s="1293"/>
    </row>
    <row r="655" spans="1:116" ht="15.75">
      <c r="A655" s="1293"/>
      <c r="B655" s="1293" t="str">
        <f>B638</f>
        <v>Implied DSL/DTH</v>
      </c>
      <c r="C655" s="1699"/>
      <c r="D655" s="1699"/>
      <c r="E655" s="1699"/>
      <c r="F655" s="1699"/>
      <c r="G655" s="2039"/>
      <c r="H655" s="1699"/>
      <c r="I655" s="1699"/>
      <c r="J655" s="1699"/>
      <c r="K655" s="1699"/>
      <c r="L655" s="2039"/>
      <c r="M655" s="1699"/>
      <c r="N655" s="1699"/>
      <c r="O655" s="1699"/>
      <c r="P655" s="1699"/>
      <c r="Q655" s="2039"/>
      <c r="R655" s="1699"/>
      <c r="S655" s="1699"/>
      <c r="T655" s="1699"/>
      <c r="U655" s="1699"/>
      <c r="V655" s="2039"/>
      <c r="W655" s="1699"/>
      <c r="X655" s="1699"/>
      <c r="Y655" s="1699"/>
      <c r="Z655" s="1699"/>
      <c r="AA655" s="2039"/>
      <c r="AB655" s="1699"/>
      <c r="AC655" s="1699"/>
      <c r="AD655" s="1699"/>
      <c r="AE655" s="1699"/>
      <c r="AF655" s="1699"/>
      <c r="AG655" s="1699"/>
      <c r="AH655" s="1699"/>
      <c r="AI655" s="1699"/>
      <c r="AJ655" s="2186"/>
      <c r="AK655" s="1699"/>
      <c r="AL655" s="1699"/>
      <c r="AM655" s="1699"/>
      <c r="AN655" s="1699"/>
      <c r="AO655" s="2186"/>
      <c r="AP655" s="1699"/>
      <c r="AQ655" s="1699"/>
      <c r="AR655" s="1699"/>
      <c r="AS655" s="1699"/>
      <c r="AT655" s="2186"/>
      <c r="AU655" s="1699"/>
      <c r="AV655" s="1699"/>
      <c r="AW655" s="1699"/>
      <c r="AX655" s="1699"/>
      <c r="AY655" s="2186"/>
      <c r="AZ655" s="1699"/>
      <c r="BA655" s="1699"/>
      <c r="BB655" s="1699"/>
      <c r="BC655" s="1293"/>
      <c r="BD655" s="2186"/>
      <c r="BE655" s="1699"/>
      <c r="BF655" s="1699"/>
      <c r="BG655" s="1699"/>
      <c r="BH655" s="1293"/>
      <c r="BI655" s="2186"/>
      <c r="BJ655" s="1699"/>
      <c r="BK655" s="1699"/>
      <c r="BL655" s="1699"/>
      <c r="BM655" s="1699"/>
      <c r="BN655" s="2186"/>
      <c r="BO655" s="1293"/>
      <c r="BP655" s="1293"/>
      <c r="BQ655" s="1293"/>
      <c r="BR655" s="1293"/>
      <c r="BS655" s="1293"/>
      <c r="BT655" s="1293"/>
      <c r="BU655" s="1293"/>
      <c r="BV655" s="1293"/>
      <c r="BW655" s="1293"/>
      <c r="BX655" s="1293"/>
      <c r="BY655" s="1293"/>
      <c r="BZ655" s="1293"/>
      <c r="CA655" s="1293"/>
      <c r="CB655" s="1293"/>
      <c r="CC655" s="1293"/>
      <c r="CD655" s="1293"/>
      <c r="CE655" s="1293"/>
      <c r="CF655" s="1293"/>
      <c r="CG655" s="1293"/>
      <c r="CH655" s="1293"/>
      <c r="CI655" s="1293"/>
      <c r="CJ655" s="1293"/>
      <c r="CK655" s="1293"/>
      <c r="CL655" s="1293"/>
      <c r="CM655" s="1293"/>
      <c r="CN655" s="1293"/>
      <c r="CO655" s="1293"/>
      <c r="CP655" s="1293"/>
      <c r="CQ655" s="1293"/>
      <c r="CR655" s="1293"/>
      <c r="CS655" s="1293"/>
      <c r="CT655" s="1293"/>
      <c r="CU655" s="1293"/>
      <c r="CV655" s="1293"/>
      <c r="CW655" s="1293"/>
      <c r="CX655" s="1293"/>
      <c r="CY655" s="2032"/>
      <c r="CZ655" s="1293"/>
      <c r="DA655" s="2042"/>
      <c r="DB655" s="2041"/>
      <c r="DC655" s="1293"/>
      <c r="DD655" s="1293"/>
      <c r="DE655" s="1293"/>
      <c r="DF655" s="1293"/>
      <c r="DG655" s="1293"/>
      <c r="DH655" s="1293"/>
      <c r="DI655" s="1293"/>
      <c r="DJ655" s="1293"/>
      <c r="DK655" s="1293"/>
      <c r="DL655" s="1293"/>
    </row>
    <row r="656" spans="1:116" ht="15.75">
      <c r="A656" s="1293"/>
      <c r="B656" s="1293" t="str">
        <f>B639</f>
        <v>Homes passed</v>
      </c>
      <c r="C656" s="1699"/>
      <c r="D656" s="1699">
        <f t="shared" ref="D656:F658" si="563">D639-C639</f>
        <v>0</v>
      </c>
      <c r="E656" s="1699">
        <f t="shared" si="563"/>
        <v>0</v>
      </c>
      <c r="F656" s="1699">
        <f t="shared" si="563"/>
        <v>0</v>
      </c>
      <c r="G656" s="2039"/>
      <c r="H656" s="1699">
        <f t="shared" ref="H656:K658" si="564">H639-G639</f>
        <v>0</v>
      </c>
      <c r="I656" s="1699">
        <f t="shared" si="564"/>
        <v>0</v>
      </c>
      <c r="J656" s="1699">
        <f t="shared" si="564"/>
        <v>0</v>
      </c>
      <c r="K656" s="1699">
        <f t="shared" si="564"/>
        <v>0</v>
      </c>
      <c r="L656" s="2039"/>
      <c r="M656" s="1699">
        <f t="shared" ref="M656:P658" si="565">M639-L639</f>
        <v>0</v>
      </c>
      <c r="N656" s="1699">
        <f t="shared" si="565"/>
        <v>0</v>
      </c>
      <c r="O656" s="1699">
        <f t="shared" si="565"/>
        <v>0</v>
      </c>
      <c r="P656" s="1699">
        <f t="shared" si="565"/>
        <v>0</v>
      </c>
      <c r="Q656" s="2039"/>
      <c r="R656" s="1699">
        <f>R639-Q639</f>
        <v>0</v>
      </c>
      <c r="S656" s="1699"/>
      <c r="T656" s="1699"/>
      <c r="U656" s="1699"/>
      <c r="V656" s="2039"/>
      <c r="W656" s="1699"/>
      <c r="X656" s="1699"/>
      <c r="Y656" s="1699"/>
      <c r="Z656" s="1699"/>
      <c r="AA656" s="2039"/>
      <c r="AB656" s="1699"/>
      <c r="AC656" s="1699"/>
      <c r="AD656" s="1699"/>
      <c r="AE656" s="1699"/>
      <c r="AF656" s="1699"/>
      <c r="AG656" s="1699"/>
      <c r="AH656" s="1699"/>
      <c r="AI656" s="1699"/>
      <c r="AJ656" s="2186"/>
      <c r="AK656" s="1699"/>
      <c r="AL656" s="1699"/>
      <c r="AM656" s="1699"/>
      <c r="AN656" s="1699"/>
      <c r="AO656" s="2186"/>
      <c r="AP656" s="1699"/>
      <c r="AQ656" s="1699"/>
      <c r="AR656" s="1699"/>
      <c r="AS656" s="1699"/>
      <c r="AT656" s="2186"/>
      <c r="AU656" s="1699"/>
      <c r="AV656" s="1699"/>
      <c r="AW656" s="1699"/>
      <c r="AX656" s="1699"/>
      <c r="AY656" s="2186"/>
      <c r="AZ656" s="1699"/>
      <c r="BA656" s="1699"/>
      <c r="BB656" s="1699"/>
      <c r="BC656" s="1293"/>
      <c r="BD656" s="2186"/>
      <c r="BE656" s="1699"/>
      <c r="BF656" s="1699"/>
      <c r="BG656" s="1699"/>
      <c r="BH656" s="1293"/>
      <c r="BI656" s="2186"/>
      <c r="BJ656" s="1699"/>
      <c r="BK656" s="1699"/>
      <c r="BL656" s="1699"/>
      <c r="BM656" s="1699"/>
      <c r="BN656" s="2186"/>
      <c r="BO656" s="1293"/>
      <c r="BP656" s="1293"/>
      <c r="BQ656" s="1293"/>
      <c r="BR656" s="1293"/>
      <c r="BS656" s="1293"/>
      <c r="BT656" s="1293"/>
      <c r="BU656" s="1293"/>
      <c r="BV656" s="1293"/>
      <c r="BW656" s="1293"/>
      <c r="BX656" s="1293"/>
      <c r="BY656" s="1293"/>
      <c r="BZ656" s="1293"/>
      <c r="CA656" s="1293"/>
      <c r="CB656" s="1293"/>
      <c r="CC656" s="1293"/>
      <c r="CD656" s="1293"/>
      <c r="CE656" s="1293"/>
      <c r="CF656" s="1293"/>
      <c r="CG656" s="1293"/>
      <c r="CH656" s="1293"/>
      <c r="CI656" s="1293"/>
      <c r="CJ656" s="1293"/>
      <c r="CK656" s="1293"/>
      <c r="CL656" s="1293"/>
      <c r="CM656" s="1293"/>
      <c r="CN656" s="1293"/>
      <c r="CO656" s="1293"/>
      <c r="CP656" s="1293"/>
      <c r="CQ656" s="1293"/>
      <c r="CR656" s="1293"/>
      <c r="CS656" s="1293"/>
      <c r="CT656" s="1293"/>
      <c r="CU656" s="1293"/>
      <c r="CV656" s="1293"/>
      <c r="CW656" s="1293"/>
      <c r="CX656" s="1293"/>
      <c r="CY656" s="2032"/>
      <c r="CZ656" s="1293"/>
      <c r="DA656" s="2042"/>
      <c r="DB656" s="2041"/>
      <c r="DC656" s="1293"/>
      <c r="DD656" s="1293"/>
      <c r="DE656" s="1293"/>
      <c r="DF656" s="1293"/>
      <c r="DG656" s="1293"/>
      <c r="DH656" s="1293"/>
      <c r="DI656" s="1293"/>
      <c r="DJ656" s="1293"/>
      <c r="DK656" s="1293"/>
      <c r="DL656" s="1293"/>
    </row>
    <row r="657" spans="1:116" ht="15.75">
      <c r="A657" s="1293"/>
      <c r="B657" s="1293" t="str">
        <f>B640</f>
        <v>Homes connected</v>
      </c>
      <c r="C657" s="1293"/>
      <c r="D657" s="1699">
        <f t="shared" si="563"/>
        <v>7.6689999999999827</v>
      </c>
      <c r="E657" s="1699">
        <f t="shared" si="563"/>
        <v>25.307999999999993</v>
      </c>
      <c r="F657" s="1699">
        <f t="shared" si="563"/>
        <v>30.189000000000078</v>
      </c>
      <c r="G657" s="2039"/>
      <c r="H657" s="1699">
        <f t="shared" si="564"/>
        <v>28.481999999999971</v>
      </c>
      <c r="I657" s="1699">
        <f t="shared" si="564"/>
        <v>22.250999999999976</v>
      </c>
      <c r="J657" s="1699">
        <f t="shared" si="564"/>
        <v>23.794000000000096</v>
      </c>
      <c r="K657" s="1699">
        <f t="shared" si="564"/>
        <v>23.316999999999894</v>
      </c>
      <c r="L657" s="2039"/>
      <c r="M657" s="1699">
        <f t="shared" si="565"/>
        <v>18.288999999999987</v>
      </c>
      <c r="N657" s="1699">
        <f t="shared" si="565"/>
        <v>18.054000000000087</v>
      </c>
      <c r="O657" s="1699">
        <f t="shared" si="565"/>
        <v>19.333999999999833</v>
      </c>
      <c r="P657" s="1699">
        <f t="shared" si="565"/>
        <v>9.8550000000011551</v>
      </c>
      <c r="Q657" s="2039"/>
      <c r="R657" s="1699">
        <f>R640-Q640</f>
        <v>5.4579999999989468</v>
      </c>
      <c r="S657" s="1699"/>
      <c r="T657" s="1699"/>
      <c r="U657" s="1699"/>
      <c r="V657" s="2039"/>
      <c r="W657" s="1699"/>
      <c r="X657" s="1699"/>
      <c r="Y657" s="1699"/>
      <c r="Z657" s="1699"/>
      <c r="AA657" s="2039"/>
      <c r="AB657" s="1699"/>
      <c r="AC657" s="1699"/>
      <c r="AD657" s="1699"/>
      <c r="AE657" s="1699"/>
      <c r="AF657" s="1699"/>
      <c r="AG657" s="1699"/>
      <c r="AH657" s="1699"/>
      <c r="AI657" s="1699"/>
      <c r="AJ657" s="2186"/>
      <c r="AK657" s="1699"/>
      <c r="AL657" s="1699"/>
      <c r="AM657" s="1699"/>
      <c r="AN657" s="1699"/>
      <c r="AO657" s="2186"/>
      <c r="AP657" s="1699"/>
      <c r="AQ657" s="1699"/>
      <c r="AR657" s="1699"/>
      <c r="AS657" s="1699"/>
      <c r="AT657" s="2186"/>
      <c r="AU657" s="1699"/>
      <c r="AV657" s="1699"/>
      <c r="AW657" s="1699"/>
      <c r="AX657" s="1699"/>
      <c r="AY657" s="2186"/>
      <c r="AZ657" s="1699"/>
      <c r="BA657" s="1699"/>
      <c r="BB657" s="1699"/>
      <c r="BC657" s="1293"/>
      <c r="BD657" s="2186"/>
      <c r="BE657" s="1699"/>
      <c r="BF657" s="1699"/>
      <c r="BG657" s="1699"/>
      <c r="BH657" s="1293"/>
      <c r="BI657" s="2186"/>
      <c r="BJ657" s="1699"/>
      <c r="BK657" s="1699"/>
      <c r="BL657" s="1699"/>
      <c r="BM657" s="1699"/>
      <c r="BN657" s="2186"/>
      <c r="BO657" s="1293"/>
      <c r="BP657" s="1293"/>
      <c r="BQ657" s="1293"/>
      <c r="BR657" s="1293"/>
      <c r="BS657" s="1293"/>
      <c r="BT657" s="1293"/>
      <c r="BU657" s="1293"/>
      <c r="BV657" s="1293"/>
      <c r="BW657" s="1293"/>
      <c r="BX657" s="1293"/>
      <c r="BY657" s="1293"/>
      <c r="BZ657" s="1293"/>
      <c r="CA657" s="1293"/>
      <c r="CB657" s="1293"/>
      <c r="CC657" s="1293"/>
      <c r="CD657" s="1293"/>
      <c r="CE657" s="1293"/>
      <c r="CF657" s="1293"/>
      <c r="CG657" s="1293"/>
      <c r="CH657" s="1293"/>
      <c r="CI657" s="1293"/>
      <c r="CJ657" s="1293"/>
      <c r="CK657" s="1293"/>
      <c r="CL657" s="1293"/>
      <c r="CM657" s="1293"/>
      <c r="CN657" s="1293"/>
      <c r="CO657" s="1293"/>
      <c r="CP657" s="1293"/>
      <c r="CQ657" s="1293"/>
      <c r="CR657" s="1293"/>
      <c r="CS657" s="1293"/>
      <c r="CT657" s="1293"/>
      <c r="CU657" s="1293"/>
      <c r="CV657" s="1293"/>
      <c r="CW657" s="1293"/>
      <c r="CX657" s="1293"/>
      <c r="CY657" s="2032"/>
      <c r="CZ657" s="1293"/>
      <c r="DA657" s="2042"/>
      <c r="DB657" s="2041"/>
      <c r="DC657" s="1293"/>
      <c r="DD657" s="1293"/>
      <c r="DE657" s="1293"/>
      <c r="DF657" s="1293"/>
      <c r="DG657" s="1293"/>
      <c r="DH657" s="1293"/>
      <c r="DI657" s="1293"/>
      <c r="DJ657" s="1293"/>
      <c r="DK657" s="1293"/>
      <c r="DL657" s="1293"/>
    </row>
    <row r="658" spans="1:116" ht="15.75">
      <c r="A658" s="1293"/>
      <c r="B658" s="1293" t="str">
        <f>B641</f>
        <v>RGUs</v>
      </c>
      <c r="C658" s="1293"/>
      <c r="D658" s="1699">
        <f t="shared" si="563"/>
        <v>2.5110000000000809</v>
      </c>
      <c r="E658" s="1699">
        <f t="shared" si="563"/>
        <v>24.204999999999927</v>
      </c>
      <c r="F658" s="1699">
        <f t="shared" si="563"/>
        <v>31.622999999999934</v>
      </c>
      <c r="G658" s="2039"/>
      <c r="H658" s="1699">
        <f t="shared" si="564"/>
        <v>30.104000000000042</v>
      </c>
      <c r="I658" s="1699">
        <f t="shared" si="564"/>
        <v>21.394999999999982</v>
      </c>
      <c r="J658" s="1699">
        <f t="shared" si="564"/>
        <v>22.248000000000047</v>
      </c>
      <c r="K658" s="1699">
        <f t="shared" si="564"/>
        <v>21.625999999999976</v>
      </c>
      <c r="L658" s="2039"/>
      <c r="M658" s="1699">
        <f t="shared" si="565"/>
        <v>17.94399999999996</v>
      </c>
      <c r="N658" s="1699">
        <f t="shared" si="565"/>
        <v>18.777000000000044</v>
      </c>
      <c r="O658" s="1699">
        <f t="shared" si="565"/>
        <v>19.44600000000014</v>
      </c>
      <c r="P658" s="1699">
        <f t="shared" si="565"/>
        <v>10.385999999999967</v>
      </c>
      <c r="Q658" s="2039"/>
      <c r="R658" s="1699">
        <f>R641-Q641</f>
        <v>4.7049999999999272</v>
      </c>
      <c r="S658" s="1699"/>
      <c r="T658" s="1699"/>
      <c r="U658" s="1699"/>
      <c r="V658" s="2039"/>
      <c r="W658" s="1699"/>
      <c r="X658" s="1699"/>
      <c r="Y658" s="1699"/>
      <c r="Z658" s="1699"/>
      <c r="AA658" s="2039"/>
      <c r="AB658" s="1699"/>
      <c r="AC658" s="1699"/>
      <c r="AD658" s="1699"/>
      <c r="AE658" s="1699"/>
      <c r="AF658" s="1699"/>
      <c r="AG658" s="1699"/>
      <c r="AH658" s="1699"/>
      <c r="AI658" s="1699"/>
      <c r="AJ658" s="2186"/>
      <c r="AK658" s="1699"/>
      <c r="AL658" s="1699"/>
      <c r="AM658" s="1699"/>
      <c r="AN658" s="1699"/>
      <c r="AO658" s="2186"/>
      <c r="AP658" s="1699"/>
      <c r="AQ658" s="1699"/>
      <c r="AR658" s="1699"/>
      <c r="AS658" s="1699"/>
      <c r="AT658" s="2186"/>
      <c r="AU658" s="1699"/>
      <c r="AV658" s="1699"/>
      <c r="AW658" s="1699"/>
      <c r="AX658" s="1699"/>
      <c r="AY658" s="2186"/>
      <c r="AZ658" s="1699"/>
      <c r="BA658" s="1699"/>
      <c r="BB658" s="1699"/>
      <c r="BC658" s="1293"/>
      <c r="BD658" s="2186"/>
      <c r="BE658" s="1699"/>
      <c r="BF658" s="1699"/>
      <c r="BG658" s="1699"/>
      <c r="BH658" s="1293"/>
      <c r="BI658" s="2186"/>
      <c r="BJ658" s="1699"/>
      <c r="BK658" s="1699"/>
      <c r="BL658" s="1699"/>
      <c r="BM658" s="1699"/>
      <c r="BN658" s="2186"/>
      <c r="BO658" s="1293"/>
      <c r="BP658" s="1293"/>
      <c r="BQ658" s="1293"/>
      <c r="BR658" s="1293"/>
      <c r="BS658" s="1293"/>
      <c r="BT658" s="1293"/>
      <c r="BU658" s="1293"/>
      <c r="BV658" s="1293"/>
      <c r="BW658" s="1293"/>
      <c r="BX658" s="1293"/>
      <c r="BY658" s="1293"/>
      <c r="BZ658" s="1293"/>
      <c r="CA658" s="1293"/>
      <c r="CB658" s="1293"/>
      <c r="CC658" s="1293"/>
      <c r="CD658" s="1293"/>
      <c r="CE658" s="1293"/>
      <c r="CF658" s="1293"/>
      <c r="CG658" s="1293"/>
      <c r="CH658" s="1293"/>
      <c r="CI658" s="1293"/>
      <c r="CJ658" s="1293"/>
      <c r="CK658" s="1293"/>
      <c r="CL658" s="1293"/>
      <c r="CM658" s="1293"/>
      <c r="CN658" s="1293"/>
      <c r="CO658" s="1293"/>
      <c r="CP658" s="1293"/>
      <c r="CQ658" s="1293"/>
      <c r="CR658" s="1293"/>
      <c r="CS658" s="1293"/>
      <c r="CT658" s="1293"/>
      <c r="CU658" s="1293"/>
      <c r="CV658" s="1293"/>
      <c r="CW658" s="1293"/>
      <c r="CX658" s="1293"/>
      <c r="CY658" s="2032"/>
      <c r="CZ658" s="1293"/>
      <c r="DA658" s="2042"/>
      <c r="DB658" s="2041"/>
      <c r="DC658" s="1293"/>
      <c r="DD658" s="1293"/>
      <c r="DE658" s="1293"/>
      <c r="DF658" s="1293"/>
      <c r="DG658" s="1293"/>
      <c r="DH658" s="1293"/>
      <c r="DI658" s="1293"/>
      <c r="DJ658" s="1293"/>
      <c r="DK658" s="1293"/>
      <c r="DL658" s="1293"/>
    </row>
    <row r="659" spans="1:116" ht="15.75">
      <c r="A659" s="1293"/>
      <c r="B659" s="1293"/>
      <c r="C659" s="1293"/>
      <c r="D659" s="1293"/>
      <c r="E659" s="1293"/>
      <c r="F659" s="1293"/>
      <c r="G659" s="2080"/>
      <c r="H659" s="1293"/>
      <c r="I659" s="1293"/>
      <c r="J659" s="1293"/>
      <c r="K659" s="1293"/>
      <c r="L659" s="2080"/>
      <c r="M659" s="1293"/>
      <c r="N659" s="1293"/>
      <c r="O659" s="1293"/>
      <c r="P659" s="1293"/>
      <c r="Q659" s="2080"/>
      <c r="R659" s="1293"/>
      <c r="S659" s="1293"/>
      <c r="T659" s="1293"/>
      <c r="U659" s="1293"/>
      <c r="V659" s="2080"/>
      <c r="W659" s="1293"/>
      <c r="X659" s="1293"/>
      <c r="Y659" s="1293"/>
      <c r="Z659" s="1293"/>
      <c r="AA659" s="2080"/>
      <c r="AB659" s="1293"/>
      <c r="AC659" s="1293"/>
      <c r="AD659" s="1293"/>
      <c r="AE659" s="1293"/>
      <c r="AF659" s="1293"/>
      <c r="AG659" s="1293"/>
      <c r="AH659" s="1293"/>
      <c r="AI659" s="1293"/>
      <c r="AJ659" s="2186"/>
      <c r="AK659" s="1293"/>
      <c r="AL659" s="1293"/>
      <c r="AM659" s="1293"/>
      <c r="AN659" s="1293"/>
      <c r="AO659" s="2186"/>
      <c r="AP659" s="1293"/>
      <c r="AQ659" s="1293"/>
      <c r="AR659" s="1293"/>
      <c r="AS659" s="1293"/>
      <c r="AT659" s="2186"/>
      <c r="AU659" s="1293"/>
      <c r="AV659" s="1293"/>
      <c r="AW659" s="1293"/>
      <c r="AX659" s="1293"/>
      <c r="AY659" s="2186"/>
      <c r="AZ659" s="1293"/>
      <c r="BA659" s="1293"/>
      <c r="BB659" s="1293"/>
      <c r="BC659" s="1293"/>
      <c r="BD659" s="2186"/>
      <c r="BE659" s="1293"/>
      <c r="BF659" s="1293"/>
      <c r="BG659" s="1293"/>
      <c r="BH659" s="1293"/>
      <c r="BI659" s="2186"/>
      <c r="BJ659" s="1293"/>
      <c r="BK659" s="1293"/>
      <c r="BL659" s="1293"/>
      <c r="BM659" s="1293"/>
      <c r="BN659" s="2186"/>
      <c r="BO659" s="1293"/>
      <c r="BP659" s="1293"/>
      <c r="BQ659" s="1293"/>
      <c r="BR659" s="1293"/>
      <c r="BS659" s="1293"/>
      <c r="BT659" s="1293"/>
      <c r="BU659" s="1293"/>
      <c r="BV659" s="1293"/>
      <c r="BW659" s="1293"/>
      <c r="BX659" s="1293"/>
      <c r="BY659" s="1293"/>
      <c r="BZ659" s="1293"/>
      <c r="CA659" s="1293"/>
      <c r="CB659" s="1293"/>
      <c r="CC659" s="1293"/>
      <c r="CD659" s="1293"/>
      <c r="CE659" s="1293"/>
      <c r="CF659" s="1293"/>
      <c r="CG659" s="1293"/>
      <c r="CH659" s="1293"/>
      <c r="CI659" s="1293"/>
      <c r="CJ659" s="1293"/>
      <c r="CK659" s="1293"/>
      <c r="CL659" s="1293"/>
      <c r="CM659" s="1293"/>
      <c r="CN659" s="1293"/>
      <c r="CO659" s="1293"/>
      <c r="CP659" s="1293"/>
      <c r="CQ659" s="1293"/>
      <c r="CR659" s="1293"/>
      <c r="CS659" s="1293"/>
      <c r="CT659" s="1293"/>
      <c r="CU659" s="1293"/>
      <c r="CV659" s="1293"/>
      <c r="CW659" s="1293"/>
      <c r="CX659" s="1293"/>
      <c r="CY659" s="2032"/>
      <c r="CZ659" s="1293"/>
      <c r="DA659" s="2031"/>
      <c r="DB659" s="2032"/>
      <c r="DC659" s="1293"/>
      <c r="DD659" s="1293"/>
      <c r="DE659" s="1293"/>
      <c r="DF659" s="1293"/>
      <c r="DG659" s="1293"/>
      <c r="DH659" s="1293"/>
      <c r="DI659" s="1293"/>
      <c r="DJ659" s="1293"/>
      <c r="DK659" s="1293"/>
      <c r="DL659" s="1293"/>
    </row>
    <row r="660" spans="1:116" ht="15.75">
      <c r="A660" s="1293"/>
      <c r="B660" s="2319" t="s">
        <v>4534</v>
      </c>
      <c r="C660" s="1293"/>
      <c r="D660" s="1293"/>
      <c r="E660" s="1293"/>
      <c r="F660" s="1293"/>
      <c r="G660" s="2080"/>
      <c r="H660" s="1293"/>
      <c r="I660" s="1293"/>
      <c r="J660" s="1293"/>
      <c r="K660" s="1293"/>
      <c r="L660" s="2080"/>
      <c r="M660" s="1293"/>
      <c r="N660" s="1293"/>
      <c r="O660" s="1293"/>
      <c r="P660" s="1293"/>
      <c r="Q660" s="2080"/>
      <c r="R660" s="1724"/>
      <c r="S660" s="1724"/>
      <c r="T660" s="1724"/>
      <c r="U660" s="1724"/>
      <c r="V660" s="2080"/>
      <c r="W660" s="1724"/>
      <c r="X660" s="1724"/>
      <c r="Y660" s="1724"/>
      <c r="Z660" s="1724"/>
      <c r="AA660" s="2080"/>
      <c r="AB660" s="1724"/>
      <c r="AC660" s="1724"/>
      <c r="AD660" s="1724"/>
      <c r="AE660" s="1724"/>
      <c r="AF660" s="1724"/>
      <c r="AG660" s="1724"/>
      <c r="AH660" s="1724"/>
      <c r="AI660" s="1724"/>
      <c r="AJ660" s="2186"/>
      <c r="AK660" s="1724"/>
      <c r="AL660" s="1724"/>
      <c r="AM660" s="1724"/>
      <c r="AN660" s="1724"/>
      <c r="AO660" s="2186"/>
      <c r="AP660" s="1724"/>
      <c r="AQ660" s="1724"/>
      <c r="AR660" s="1724"/>
      <c r="AS660" s="1724"/>
      <c r="AT660" s="2186"/>
      <c r="AU660" s="1724"/>
      <c r="AV660" s="1724"/>
      <c r="AW660" s="1724"/>
      <c r="AX660" s="1724"/>
      <c r="AY660" s="2186"/>
      <c r="AZ660" s="1724"/>
      <c r="BA660" s="1724"/>
      <c r="BB660" s="1724"/>
      <c r="BC660" s="1293"/>
      <c r="BD660" s="2186"/>
      <c r="BE660" s="1724"/>
      <c r="BF660" s="1724"/>
      <c r="BG660" s="1724"/>
      <c r="BH660" s="1293"/>
      <c r="BI660" s="2186"/>
      <c r="BJ660" s="1724"/>
      <c r="BK660" s="1724"/>
      <c r="BL660" s="1724"/>
      <c r="BM660" s="1724"/>
      <c r="BN660" s="2186"/>
      <c r="BO660" s="1293"/>
      <c r="BP660" s="1293"/>
      <c r="BQ660" s="1293"/>
      <c r="BR660" s="1293"/>
      <c r="BS660" s="1293"/>
      <c r="BT660" s="1293"/>
      <c r="BU660" s="1293"/>
      <c r="BV660" s="1293"/>
      <c r="BW660" s="1293"/>
      <c r="BX660" s="1293"/>
      <c r="BY660" s="1293"/>
      <c r="BZ660" s="1293"/>
      <c r="CA660" s="1293"/>
      <c r="CB660" s="1293"/>
      <c r="CC660" s="1293"/>
      <c r="CD660" s="1293"/>
      <c r="CE660" s="1293"/>
      <c r="CF660" s="1293"/>
      <c r="CG660" s="1293"/>
      <c r="CH660" s="1293"/>
      <c r="CI660" s="1293"/>
      <c r="CJ660" s="1293"/>
      <c r="CK660" s="1293"/>
      <c r="CL660" s="1293"/>
      <c r="CM660" s="1293"/>
      <c r="CN660" s="1293"/>
      <c r="CO660" s="1293"/>
      <c r="CP660" s="1293"/>
      <c r="CQ660" s="1293"/>
      <c r="CR660" s="1293"/>
      <c r="CS660" s="1293"/>
      <c r="CT660" s="1293"/>
      <c r="CU660" s="1293"/>
      <c r="CV660" s="1293"/>
      <c r="CW660" s="1293"/>
      <c r="CX660" s="1293"/>
      <c r="CY660" s="2032"/>
      <c r="CZ660" s="1293"/>
      <c r="DA660" s="2083"/>
      <c r="DB660" s="2084"/>
      <c r="DC660" s="1293"/>
      <c r="DD660" s="1293"/>
      <c r="DE660" s="1293"/>
      <c r="DF660" s="1293"/>
      <c r="DG660" s="1293"/>
      <c r="DH660" s="1293"/>
      <c r="DI660" s="1293"/>
      <c r="DJ660" s="1293"/>
      <c r="DK660" s="1293"/>
      <c r="DL660" s="1293"/>
    </row>
    <row r="661" spans="1:116" ht="15.75">
      <c r="A661" s="1293"/>
      <c r="B661" s="1334" t="s">
        <v>758</v>
      </c>
      <c r="C661" s="1699">
        <v>35.715674417839004</v>
      </c>
      <c r="D661" s="1699">
        <v>38.82575739845872</v>
      </c>
      <c r="E661" s="1699">
        <v>211.46025407895374</v>
      </c>
      <c r="F661" s="1699">
        <v>319.96954906285458</v>
      </c>
      <c r="G661" s="2039">
        <v>606.04259402577145</v>
      </c>
      <c r="H661" s="1699">
        <v>295.08391278682495</v>
      </c>
      <c r="I661" s="1699">
        <v>304.39005278983501</v>
      </c>
      <c r="J661" s="1699">
        <v>272.90095028731196</v>
      </c>
      <c r="K661" s="1699">
        <v>270.05208886007398</v>
      </c>
      <c r="L661" s="2039">
        <v>1142.42700472405</v>
      </c>
      <c r="M661" s="1699">
        <v>251.17583786811699</v>
      </c>
      <c r="N661" s="1699">
        <v>274.316030516269</v>
      </c>
      <c r="O661" s="1699">
        <v>279.97716536400003</v>
      </c>
      <c r="P661" s="1699">
        <v>292.17470246346704</v>
      </c>
      <c r="Q661" s="2039">
        <f ca="1">Cable!N85+Cable!N86</f>
        <v>1097.7</v>
      </c>
      <c r="R661" s="1699">
        <v>297</v>
      </c>
      <c r="S661" s="1699"/>
      <c r="T661" s="1699"/>
      <c r="U661" s="1699"/>
      <c r="V661" s="2039">
        <f ca="1">Cable!O85+Cable!O86</f>
        <v>1249.1612</v>
      </c>
      <c r="W661" s="1699"/>
      <c r="X661" s="1699"/>
      <c r="Y661" s="1699"/>
      <c r="Z661" s="1699"/>
      <c r="AA661" s="2039"/>
      <c r="AB661" s="1699"/>
      <c r="AC661" s="1699"/>
      <c r="AD661" s="1699"/>
      <c r="AE661" s="1699"/>
      <c r="AF661" s="1699"/>
      <c r="AG661" s="1699"/>
      <c r="AH661" s="1699"/>
      <c r="AI661" s="1699"/>
      <c r="AJ661" s="2186"/>
      <c r="AK661" s="1699"/>
      <c r="AL661" s="1699"/>
      <c r="AM661" s="1699"/>
      <c r="AN661" s="1699"/>
      <c r="AO661" s="2186"/>
      <c r="AP661" s="1699"/>
      <c r="AQ661" s="1699"/>
      <c r="AR661" s="1699"/>
      <c r="AS661" s="1699"/>
      <c r="AT661" s="2186"/>
      <c r="AU661" s="1699"/>
      <c r="AV661" s="1699"/>
      <c r="AW661" s="1699"/>
      <c r="AX661" s="1699"/>
      <c r="AY661" s="2186"/>
      <c r="AZ661" s="1699"/>
      <c r="BA661" s="1699"/>
      <c r="BB661" s="1699"/>
      <c r="BC661" s="1293"/>
      <c r="BD661" s="2186"/>
      <c r="BE661" s="1699"/>
      <c r="BF661" s="1699"/>
      <c r="BG661" s="1699"/>
      <c r="BH661" s="1293"/>
      <c r="BI661" s="2186"/>
      <c r="BJ661" s="1699"/>
      <c r="BK661" s="1699"/>
      <c r="BL661" s="1699"/>
      <c r="BM661" s="1699"/>
      <c r="BN661" s="2186"/>
      <c r="BO661" s="1293"/>
      <c r="BP661" s="1293"/>
      <c r="BQ661" s="1293"/>
      <c r="BR661" s="1293"/>
      <c r="BS661" s="1293"/>
      <c r="BT661" s="1293"/>
      <c r="BU661" s="1293"/>
      <c r="BV661" s="1293"/>
      <c r="BW661" s="1293"/>
      <c r="BX661" s="1293"/>
      <c r="BY661" s="1293"/>
      <c r="BZ661" s="1293"/>
      <c r="CA661" s="1293"/>
      <c r="CB661" s="1293"/>
      <c r="CC661" s="1293"/>
      <c r="CD661" s="1293"/>
      <c r="CE661" s="1293"/>
      <c r="CF661" s="1293"/>
      <c r="CG661" s="1293"/>
      <c r="CH661" s="1293"/>
      <c r="CI661" s="1293"/>
      <c r="CJ661" s="1293"/>
      <c r="CK661" s="1293"/>
      <c r="CL661" s="1293"/>
      <c r="CM661" s="1293"/>
      <c r="CN661" s="1293"/>
      <c r="CO661" s="1293"/>
      <c r="CP661" s="1293"/>
      <c r="CQ661" s="1293"/>
      <c r="CR661" s="1293"/>
      <c r="CS661" s="1293"/>
      <c r="CT661" s="1293"/>
      <c r="CU661" s="1293"/>
      <c r="CV661" s="1293"/>
      <c r="CW661" s="1293"/>
      <c r="CX661" s="1293"/>
      <c r="CY661" s="2032"/>
      <c r="CZ661" s="1293"/>
      <c r="DA661" s="2042"/>
      <c r="DB661" s="2041"/>
      <c r="DC661" s="1293"/>
      <c r="DD661" s="1293"/>
      <c r="DE661" s="1293"/>
      <c r="DF661" s="1293"/>
      <c r="DG661" s="1293"/>
      <c r="DH661" s="1293"/>
      <c r="DI661" s="1293"/>
      <c r="DJ661" s="1293"/>
      <c r="DK661" s="1293"/>
      <c r="DL661" s="1293"/>
    </row>
    <row r="662" spans="1:116" ht="15.75">
      <c r="A662" s="1293"/>
      <c r="B662" s="1870" t="s">
        <v>4528</v>
      </c>
      <c r="C662" s="1699">
        <v>26.499454235461101</v>
      </c>
      <c r="D662" s="1699">
        <v>28.994501012739299</v>
      </c>
      <c r="E662" s="1699">
        <v>124.086994853818</v>
      </c>
      <c r="F662" s="1699">
        <v>191.81058176306399</v>
      </c>
      <c r="G662" s="2039">
        <v>371.39153186508196</v>
      </c>
      <c r="H662" s="1699">
        <v>181.53116557705999</v>
      </c>
      <c r="I662" s="1699">
        <v>188.78386587848499</v>
      </c>
      <c r="J662" s="1699">
        <v>163.98335090537898</v>
      </c>
      <c r="K662" s="1699">
        <v>163.48271865010599</v>
      </c>
      <c r="L662" s="2039">
        <v>697.78110101103096</v>
      </c>
      <c r="M662" s="1699">
        <v>161.03632283019999</v>
      </c>
      <c r="N662" s="1699">
        <v>170.974501112632</v>
      </c>
      <c r="O662" s="1699">
        <v>170.464469656723</v>
      </c>
      <c r="P662" s="1699">
        <v>176.464367599886</v>
      </c>
      <c r="Q662" s="2039"/>
      <c r="R662" s="1699">
        <v>185</v>
      </c>
      <c r="S662" s="1699"/>
      <c r="T662" s="1699"/>
      <c r="U662" s="1699"/>
      <c r="V662" s="2039"/>
      <c r="W662" s="1699"/>
      <c r="X662" s="1699"/>
      <c r="Y662" s="1699"/>
      <c r="Z662" s="1699"/>
      <c r="AA662" s="2039"/>
      <c r="AB662" s="1699"/>
      <c r="AC662" s="1699"/>
      <c r="AD662" s="1699"/>
      <c r="AE662" s="1699"/>
      <c r="AF662" s="1699"/>
      <c r="AG662" s="1699"/>
      <c r="AH662" s="1699"/>
      <c r="AI662" s="1699"/>
      <c r="AJ662" s="2186"/>
      <c r="AK662" s="1699"/>
      <c r="AL662" s="1699"/>
      <c r="AM662" s="1699"/>
      <c r="AN662" s="1699"/>
      <c r="AO662" s="2186"/>
      <c r="AP662" s="1699"/>
      <c r="AQ662" s="1699"/>
      <c r="AR662" s="1699"/>
      <c r="AS662" s="1699"/>
      <c r="AT662" s="2186"/>
      <c r="AU662" s="1699"/>
      <c r="AV662" s="1699"/>
      <c r="AW662" s="1699"/>
      <c r="AX662" s="1699"/>
      <c r="AY662" s="2186"/>
      <c r="AZ662" s="1699"/>
      <c r="BA662" s="1699"/>
      <c r="BB662" s="1699"/>
      <c r="BC662" s="1293"/>
      <c r="BD662" s="2186"/>
      <c r="BE662" s="1699"/>
      <c r="BF662" s="1699"/>
      <c r="BG662" s="1699"/>
      <c r="BH662" s="1293"/>
      <c r="BI662" s="2186"/>
      <c r="BJ662" s="1699"/>
      <c r="BK662" s="1699"/>
      <c r="BL662" s="1699"/>
      <c r="BM662" s="1699"/>
      <c r="BN662" s="2186"/>
      <c r="BO662" s="1293"/>
      <c r="BP662" s="1293"/>
      <c r="BQ662" s="1293"/>
      <c r="BR662" s="1293"/>
      <c r="BS662" s="1293"/>
      <c r="BT662" s="1293"/>
      <c r="BU662" s="1293"/>
      <c r="BV662" s="1293"/>
      <c r="BW662" s="1293"/>
      <c r="BX662" s="1293"/>
      <c r="BY662" s="1293"/>
      <c r="BZ662" s="1293"/>
      <c r="CA662" s="1293"/>
      <c r="CB662" s="1293"/>
      <c r="CC662" s="1293"/>
      <c r="CD662" s="1293"/>
      <c r="CE662" s="1293"/>
      <c r="CF662" s="1293"/>
      <c r="CG662" s="1293"/>
      <c r="CH662" s="1293"/>
      <c r="CI662" s="1293"/>
      <c r="CJ662" s="1293"/>
      <c r="CK662" s="1293"/>
      <c r="CL662" s="1293"/>
      <c r="CM662" s="1293"/>
      <c r="CN662" s="1293"/>
      <c r="CO662" s="1293"/>
      <c r="CP662" s="1293"/>
      <c r="CQ662" s="1293"/>
      <c r="CR662" s="1293"/>
      <c r="CS662" s="1293"/>
      <c r="CT662" s="1293"/>
      <c r="CU662" s="1293"/>
      <c r="CV662" s="1293"/>
      <c r="CW662" s="1293"/>
      <c r="CX662" s="1293"/>
      <c r="CY662" s="2032"/>
      <c r="CZ662" s="1293"/>
      <c r="DA662" s="2042"/>
      <c r="DB662" s="2041"/>
      <c r="DC662" s="1293"/>
      <c r="DD662" s="1293"/>
      <c r="DE662" s="1293"/>
      <c r="DF662" s="1293"/>
      <c r="DG662" s="1293"/>
      <c r="DH662" s="1293"/>
      <c r="DI662" s="1293"/>
      <c r="DJ662" s="1293"/>
      <c r="DK662" s="1293"/>
      <c r="DL662" s="1293"/>
    </row>
    <row r="663" spans="1:116" ht="15.75">
      <c r="A663" s="1293"/>
      <c r="B663" s="1870" t="s">
        <v>4529</v>
      </c>
      <c r="C663" s="1699">
        <v>6.2447075225593096</v>
      </c>
      <c r="D663" s="1699">
        <v>6.21783730944182</v>
      </c>
      <c r="E663" s="1699">
        <v>84.647076131580107</v>
      </c>
      <c r="F663" s="1699">
        <v>125.62227383911801</v>
      </c>
      <c r="G663" s="2039">
        <v>222.731894802699</v>
      </c>
      <c r="H663" s="1699">
        <v>111.65765166998901</v>
      </c>
      <c r="I663" s="1699">
        <v>112.972339432702</v>
      </c>
      <c r="J663" s="1699">
        <v>106.804049167372</v>
      </c>
      <c r="K663" s="1699">
        <v>104.665449475372</v>
      </c>
      <c r="L663" s="2039">
        <v>436.09948974543602</v>
      </c>
      <c r="M663" s="1699">
        <v>88.573800901743695</v>
      </c>
      <c r="N663" s="1699">
        <v>101.285918621466</v>
      </c>
      <c r="O663" s="1699">
        <v>107.61264164059301</v>
      </c>
      <c r="P663" s="1699">
        <v>113.691942959732</v>
      </c>
      <c r="Q663" s="2039"/>
      <c r="R663" s="1699">
        <v>110</v>
      </c>
      <c r="S663" s="1699"/>
      <c r="T663" s="1699"/>
      <c r="U663" s="1699"/>
      <c r="V663" s="2039"/>
      <c r="W663" s="1699"/>
      <c r="X663" s="1699"/>
      <c r="Y663" s="1699"/>
      <c r="Z663" s="1699"/>
      <c r="AA663" s="2039"/>
      <c r="AB663" s="1699"/>
      <c r="AC663" s="1699"/>
      <c r="AD663" s="1699"/>
      <c r="AE663" s="1699"/>
      <c r="AF663" s="1699"/>
      <c r="AG663" s="1699"/>
      <c r="AH663" s="1699"/>
      <c r="AI663" s="1699"/>
      <c r="AJ663" s="2186"/>
      <c r="AK663" s="1699"/>
      <c r="AL663" s="1699"/>
      <c r="AM663" s="1699"/>
      <c r="AN663" s="1699"/>
      <c r="AO663" s="2186"/>
      <c r="AP663" s="1699"/>
      <c r="AQ663" s="1699"/>
      <c r="AR663" s="1699"/>
      <c r="AS663" s="1699"/>
      <c r="AT663" s="2186"/>
      <c r="AU663" s="1699"/>
      <c r="AV663" s="1699"/>
      <c r="AW663" s="1699"/>
      <c r="AX663" s="1699"/>
      <c r="AY663" s="2186"/>
      <c r="AZ663" s="1699"/>
      <c r="BA663" s="1699"/>
      <c r="BB663" s="1699"/>
      <c r="BC663" s="1293"/>
      <c r="BD663" s="2186"/>
      <c r="BE663" s="1699"/>
      <c r="BF663" s="1699"/>
      <c r="BG663" s="1699"/>
      <c r="BH663" s="1293"/>
      <c r="BI663" s="2186"/>
      <c r="BJ663" s="1699"/>
      <c r="BK663" s="1699"/>
      <c r="BL663" s="1699"/>
      <c r="BM663" s="1699"/>
      <c r="BN663" s="2186"/>
      <c r="BO663" s="1293"/>
      <c r="BP663" s="1293"/>
      <c r="BQ663" s="1293"/>
      <c r="BR663" s="1293"/>
      <c r="BS663" s="1293"/>
      <c r="BT663" s="1293"/>
      <c r="BU663" s="1293"/>
      <c r="BV663" s="1293"/>
      <c r="BW663" s="1293"/>
      <c r="BX663" s="1293"/>
      <c r="BY663" s="1293"/>
      <c r="BZ663" s="1293"/>
      <c r="CA663" s="1293"/>
      <c r="CB663" s="1293"/>
      <c r="CC663" s="1293"/>
      <c r="CD663" s="1293"/>
      <c r="CE663" s="1293"/>
      <c r="CF663" s="1293"/>
      <c r="CG663" s="1293"/>
      <c r="CH663" s="1293"/>
      <c r="CI663" s="1293"/>
      <c r="CJ663" s="1293"/>
      <c r="CK663" s="1293"/>
      <c r="CL663" s="1293"/>
      <c r="CM663" s="1293"/>
      <c r="CN663" s="1293"/>
      <c r="CO663" s="1293"/>
      <c r="CP663" s="1293"/>
      <c r="CQ663" s="1293"/>
      <c r="CR663" s="1293"/>
      <c r="CS663" s="1293"/>
      <c r="CT663" s="1293"/>
      <c r="CU663" s="1293"/>
      <c r="CV663" s="1293"/>
      <c r="CW663" s="1293"/>
      <c r="CX663" s="1293"/>
      <c r="CY663" s="2032"/>
      <c r="CZ663" s="1293"/>
      <c r="DA663" s="2042"/>
      <c r="DB663" s="2041"/>
      <c r="DC663" s="1293"/>
      <c r="DD663" s="1293"/>
      <c r="DE663" s="1293"/>
      <c r="DF663" s="1293"/>
      <c r="DG663" s="1293"/>
      <c r="DH663" s="1293"/>
      <c r="DI663" s="1293"/>
      <c r="DJ663" s="1293"/>
      <c r="DK663" s="1293"/>
      <c r="DL663" s="1293"/>
    </row>
    <row r="664" spans="1:116" ht="15.75">
      <c r="A664" s="1293"/>
      <c r="B664" s="2320" t="s">
        <v>945</v>
      </c>
      <c r="C664" s="1699"/>
      <c r="D664" s="1699"/>
      <c r="E664" s="1699"/>
      <c r="F664" s="1699"/>
      <c r="G664" s="2039"/>
      <c r="H664" s="1699"/>
      <c r="I664" s="1699"/>
      <c r="J664" s="1699"/>
      <c r="K664" s="1699"/>
      <c r="L664" s="2039"/>
      <c r="M664" s="1699"/>
      <c r="N664" s="1699"/>
      <c r="O664" s="1699"/>
      <c r="P664" s="1699"/>
      <c r="Q664" s="2080"/>
      <c r="R664" s="1699"/>
      <c r="S664" s="1699"/>
      <c r="T664" s="1699"/>
      <c r="U664" s="1699"/>
      <c r="V664" s="2080"/>
      <c r="W664" s="1699"/>
      <c r="X664" s="1699"/>
      <c r="Y664" s="1699"/>
      <c r="Z664" s="1699"/>
      <c r="AA664" s="2080"/>
      <c r="AB664" s="1699"/>
      <c r="AC664" s="1699"/>
      <c r="AD664" s="1699"/>
      <c r="AE664" s="1699"/>
      <c r="AF664" s="1699"/>
      <c r="AG664" s="1699"/>
      <c r="AH664" s="1699"/>
      <c r="AI664" s="1699"/>
      <c r="AJ664" s="2186"/>
      <c r="AK664" s="1699"/>
      <c r="AL664" s="1699"/>
      <c r="AM664" s="1699"/>
      <c r="AN664" s="1699"/>
      <c r="AO664" s="2186"/>
      <c r="AP664" s="1699"/>
      <c r="AQ664" s="1699"/>
      <c r="AR664" s="1699"/>
      <c r="AS664" s="1699"/>
      <c r="AT664" s="2186"/>
      <c r="AU664" s="1699"/>
      <c r="AV664" s="1699"/>
      <c r="AW664" s="1699"/>
      <c r="AX664" s="1699"/>
      <c r="AY664" s="2186"/>
      <c r="AZ664" s="1699"/>
      <c r="BA664" s="1699"/>
      <c r="BB664" s="1699"/>
      <c r="BC664" s="1293"/>
      <c r="BD664" s="2186"/>
      <c r="BE664" s="1699"/>
      <c r="BF664" s="1699"/>
      <c r="BG664" s="1699"/>
      <c r="BH664" s="1293"/>
      <c r="BI664" s="2186"/>
      <c r="BJ664" s="1699"/>
      <c r="BK664" s="1699"/>
      <c r="BL664" s="1699"/>
      <c r="BM664" s="1699"/>
      <c r="BN664" s="2186"/>
      <c r="BO664" s="1293"/>
      <c r="BP664" s="1293"/>
      <c r="BQ664" s="1293"/>
      <c r="BR664" s="1293"/>
      <c r="BS664" s="1293"/>
      <c r="BT664" s="1293"/>
      <c r="BU664" s="1293"/>
      <c r="BV664" s="1293"/>
      <c r="BW664" s="1293"/>
      <c r="BX664" s="1293"/>
      <c r="BY664" s="1293"/>
      <c r="BZ664" s="1293"/>
      <c r="CA664" s="1293"/>
      <c r="CB664" s="1293"/>
      <c r="CC664" s="1293"/>
      <c r="CD664" s="1293"/>
      <c r="CE664" s="1293"/>
      <c r="CF664" s="1293"/>
      <c r="CG664" s="1293"/>
      <c r="CH664" s="1293"/>
      <c r="CI664" s="1293"/>
      <c r="CJ664" s="1293"/>
      <c r="CK664" s="1293"/>
      <c r="CL664" s="1293"/>
      <c r="CM664" s="1293"/>
      <c r="CN664" s="1293"/>
      <c r="CO664" s="1293"/>
      <c r="CP664" s="1293"/>
      <c r="CQ664" s="1293"/>
      <c r="CR664" s="1293"/>
      <c r="CS664" s="1293"/>
      <c r="CT664" s="1293"/>
      <c r="CU664" s="1293"/>
      <c r="CV664" s="1293"/>
      <c r="CW664" s="1293"/>
      <c r="CX664" s="1293"/>
      <c r="CY664" s="2032"/>
      <c r="CZ664" s="1293"/>
      <c r="DA664" s="2042"/>
      <c r="DB664" s="2041"/>
      <c r="DC664" s="1293"/>
      <c r="DD664" s="1293"/>
      <c r="DE664" s="1293"/>
      <c r="DF664" s="1293"/>
      <c r="DG664" s="1293"/>
      <c r="DH664" s="1293"/>
      <c r="DI664" s="1293"/>
      <c r="DJ664" s="1293"/>
      <c r="DK664" s="1293"/>
      <c r="DL664" s="1293"/>
    </row>
    <row r="665" spans="1:116" ht="15.75">
      <c r="A665" s="1293"/>
      <c r="B665" s="2321" t="str">
        <f>B661</f>
        <v>Revenue</v>
      </c>
      <c r="C665" s="1699"/>
      <c r="D665" s="1699"/>
      <c r="E665" s="1699"/>
      <c r="F665" s="1699"/>
      <c r="G665" s="2039"/>
      <c r="H665" s="1724"/>
      <c r="I665" s="1724"/>
      <c r="J665" s="1724">
        <f t="shared" ref="J665:K667" si="566">J661/E661-1</f>
        <v>0.29055434779444589</v>
      </c>
      <c r="K665" s="1724">
        <f t="shared" si="566"/>
        <v>-0.15600690862296662</v>
      </c>
      <c r="L665" s="2039"/>
      <c r="M665" s="1724">
        <f t="shared" ref="M665:P667" si="567">M661/H661-1</f>
        <v>-0.14879860614573093</v>
      </c>
      <c r="N665" s="1724">
        <f t="shared" si="567"/>
        <v>-9.8800936488980806E-2</v>
      </c>
      <c r="O665" s="1724">
        <f t="shared" si="567"/>
        <v>2.5929609513041907E-2</v>
      </c>
      <c r="P665" s="1724">
        <f t="shared" si="567"/>
        <v>8.1919801830734107E-2</v>
      </c>
      <c r="Q665" s="2080"/>
      <c r="R665" s="1724">
        <f>R661/M661-1</f>
        <v>0.18243857578348588</v>
      </c>
      <c r="S665" s="1724"/>
      <c r="T665" s="1724"/>
      <c r="U665" s="1724"/>
      <c r="V665" s="2080"/>
      <c r="W665" s="1724"/>
      <c r="X665" s="1724"/>
      <c r="Y665" s="1724"/>
      <c r="Z665" s="1724"/>
      <c r="AA665" s="2080"/>
      <c r="AB665" s="1724"/>
      <c r="AC665" s="1724"/>
      <c r="AD665" s="1724"/>
      <c r="AE665" s="1724"/>
      <c r="AF665" s="1724"/>
      <c r="AG665" s="1724"/>
      <c r="AH665" s="1724"/>
      <c r="AI665" s="1724"/>
      <c r="AJ665" s="2186"/>
      <c r="AK665" s="1724"/>
      <c r="AL665" s="1724"/>
      <c r="AM665" s="1724"/>
      <c r="AN665" s="1724"/>
      <c r="AO665" s="2186"/>
      <c r="AP665" s="1724"/>
      <c r="AQ665" s="1724"/>
      <c r="AR665" s="1724"/>
      <c r="AS665" s="1724"/>
      <c r="AT665" s="2186"/>
      <c r="AU665" s="1724"/>
      <c r="AV665" s="1724"/>
      <c r="AW665" s="1724"/>
      <c r="AX665" s="1724"/>
      <c r="AY665" s="2186"/>
      <c r="AZ665" s="1724"/>
      <c r="BA665" s="1724"/>
      <c r="BB665" s="1724"/>
      <c r="BC665" s="1293"/>
      <c r="BD665" s="2186"/>
      <c r="BE665" s="1724"/>
      <c r="BF665" s="1724"/>
      <c r="BG665" s="1724"/>
      <c r="BH665" s="1293"/>
      <c r="BI665" s="2186"/>
      <c r="BJ665" s="1724"/>
      <c r="BK665" s="1724"/>
      <c r="BL665" s="1724"/>
      <c r="BM665" s="1724"/>
      <c r="BN665" s="2186"/>
      <c r="BO665" s="1293"/>
      <c r="BP665" s="1293"/>
      <c r="BQ665" s="1293"/>
      <c r="BR665" s="1293"/>
      <c r="BS665" s="1293"/>
      <c r="BT665" s="1293"/>
      <c r="BU665" s="1293"/>
      <c r="BV665" s="1293"/>
      <c r="BW665" s="1293"/>
      <c r="BX665" s="1293"/>
      <c r="BY665" s="1293"/>
      <c r="BZ665" s="1293"/>
      <c r="CA665" s="1293"/>
      <c r="CB665" s="1293"/>
      <c r="CC665" s="1293"/>
      <c r="CD665" s="1293"/>
      <c r="CE665" s="1293"/>
      <c r="CF665" s="1293"/>
      <c r="CG665" s="1293"/>
      <c r="CH665" s="1293"/>
      <c r="CI665" s="1293"/>
      <c r="CJ665" s="1293"/>
      <c r="CK665" s="1293"/>
      <c r="CL665" s="1293"/>
      <c r="CM665" s="1293"/>
      <c r="CN665" s="1293"/>
      <c r="CO665" s="1293"/>
      <c r="CP665" s="1293"/>
      <c r="CQ665" s="1293"/>
      <c r="CR665" s="1293"/>
      <c r="CS665" s="1293"/>
      <c r="CT665" s="1293"/>
      <c r="CU665" s="1293"/>
      <c r="CV665" s="1293"/>
      <c r="CW665" s="1293"/>
      <c r="CX665" s="1293"/>
      <c r="CY665" s="2032"/>
      <c r="CZ665" s="1293"/>
      <c r="DA665" s="2083"/>
      <c r="DB665" s="2084"/>
      <c r="DC665" s="1293"/>
      <c r="DD665" s="1293"/>
      <c r="DE665" s="1293"/>
      <c r="DF665" s="1293"/>
      <c r="DG665" s="1293"/>
      <c r="DH665" s="1293"/>
      <c r="DI665" s="1293"/>
      <c r="DJ665" s="1293"/>
      <c r="DK665" s="1293"/>
      <c r="DL665" s="1293"/>
    </row>
    <row r="666" spans="1:116" ht="15.75">
      <c r="A666" s="1293"/>
      <c r="B666" s="1870" t="str">
        <f>B662</f>
        <v xml:space="preserve"> - Home</v>
      </c>
      <c r="C666" s="1699"/>
      <c r="D666" s="1699"/>
      <c r="E666" s="1699"/>
      <c r="F666" s="1699"/>
      <c r="G666" s="2039"/>
      <c r="H666" s="1724"/>
      <c r="I666" s="1724"/>
      <c r="J666" s="1724">
        <f t="shared" si="566"/>
        <v>0.32151923816481576</v>
      </c>
      <c r="K666" s="1724">
        <f t="shared" si="566"/>
        <v>-0.14768665447222451</v>
      </c>
      <c r="L666" s="2039"/>
      <c r="M666" s="1724">
        <f t="shared" si="567"/>
        <v>-0.11289985761789167</v>
      </c>
      <c r="N666" s="1724">
        <f t="shared" si="567"/>
        <v>-9.4337324235728826E-2</v>
      </c>
      <c r="O666" s="1724">
        <f t="shared" si="567"/>
        <v>3.9523029109727936E-2</v>
      </c>
      <c r="P666" s="1724">
        <f t="shared" si="567"/>
        <v>7.9406857538037334E-2</v>
      </c>
      <c r="Q666" s="2080"/>
      <c r="R666" s="1724">
        <f>R662/M662-1</f>
        <v>0.14880914286069369</v>
      </c>
      <c r="S666" s="1724"/>
      <c r="T666" s="1724"/>
      <c r="U666" s="1724"/>
      <c r="V666" s="2080"/>
      <c r="W666" s="1724"/>
      <c r="X666" s="1724"/>
      <c r="Y666" s="1724"/>
      <c r="Z666" s="1724"/>
      <c r="AA666" s="2080"/>
      <c r="AB666" s="1724"/>
      <c r="AC666" s="1724"/>
      <c r="AD666" s="1724"/>
      <c r="AE666" s="1724"/>
      <c r="AF666" s="1724"/>
      <c r="AG666" s="1724"/>
      <c r="AH666" s="1724"/>
      <c r="AI666" s="1724"/>
      <c r="AJ666" s="2186"/>
      <c r="AK666" s="1724"/>
      <c r="AL666" s="1724"/>
      <c r="AM666" s="1724"/>
      <c r="AN666" s="1724"/>
      <c r="AO666" s="2186"/>
      <c r="AP666" s="1724"/>
      <c r="AQ666" s="1724"/>
      <c r="AR666" s="1724"/>
      <c r="AS666" s="1724"/>
      <c r="AT666" s="2186"/>
      <c r="AU666" s="1724"/>
      <c r="AV666" s="1724"/>
      <c r="AW666" s="1724"/>
      <c r="AX666" s="1724"/>
      <c r="AY666" s="2186"/>
      <c r="AZ666" s="1724"/>
      <c r="BA666" s="1724"/>
      <c r="BB666" s="1724"/>
      <c r="BC666" s="1293"/>
      <c r="BD666" s="2186"/>
      <c r="BE666" s="1724"/>
      <c r="BF666" s="1724"/>
      <c r="BG666" s="1724"/>
      <c r="BH666" s="1293"/>
      <c r="BI666" s="2186"/>
      <c r="BJ666" s="1724"/>
      <c r="BK666" s="1724"/>
      <c r="BL666" s="1724"/>
      <c r="BM666" s="1724"/>
      <c r="BN666" s="2186"/>
      <c r="BO666" s="1293"/>
      <c r="BP666" s="1293"/>
      <c r="BQ666" s="1293"/>
      <c r="BR666" s="1293"/>
      <c r="BS666" s="1293"/>
      <c r="BT666" s="1293"/>
      <c r="BU666" s="1293"/>
      <c r="BV666" s="1293"/>
      <c r="BW666" s="1293"/>
      <c r="BX666" s="1293"/>
      <c r="BY666" s="1293"/>
      <c r="BZ666" s="1293"/>
      <c r="CA666" s="1293"/>
      <c r="CB666" s="1293"/>
      <c r="CC666" s="1293"/>
      <c r="CD666" s="1293"/>
      <c r="CE666" s="1293"/>
      <c r="CF666" s="1293"/>
      <c r="CG666" s="1293"/>
      <c r="CH666" s="1293"/>
      <c r="CI666" s="1293"/>
      <c r="CJ666" s="1293"/>
      <c r="CK666" s="1293"/>
      <c r="CL666" s="1293"/>
      <c r="CM666" s="1293"/>
      <c r="CN666" s="1293"/>
      <c r="CO666" s="1293"/>
      <c r="CP666" s="1293"/>
      <c r="CQ666" s="1293"/>
      <c r="CR666" s="1293"/>
      <c r="CS666" s="1293"/>
      <c r="CT666" s="1293"/>
      <c r="CU666" s="1293"/>
      <c r="CV666" s="1293"/>
      <c r="CW666" s="1293"/>
      <c r="CX666" s="1293"/>
      <c r="CY666" s="2032"/>
      <c r="CZ666" s="1293"/>
      <c r="DA666" s="2083"/>
      <c r="DB666" s="2084"/>
      <c r="DC666" s="1293"/>
      <c r="DD666" s="1293"/>
      <c r="DE666" s="1293"/>
      <c r="DF666" s="1293"/>
      <c r="DG666" s="1293"/>
      <c r="DH666" s="1293"/>
      <c r="DI666" s="1293"/>
      <c r="DJ666" s="1293"/>
      <c r="DK666" s="1293"/>
      <c r="DL666" s="1293"/>
    </row>
    <row r="667" spans="1:116" ht="15.75">
      <c r="A667" s="1293"/>
      <c r="B667" s="1870" t="str">
        <f>B663</f>
        <v xml:space="preserve"> - B2B</v>
      </c>
      <c r="C667" s="1293"/>
      <c r="D667" s="1293"/>
      <c r="E667" s="1293"/>
      <c r="F667" s="1293"/>
      <c r="G667" s="2080"/>
      <c r="H667" s="1724"/>
      <c r="I667" s="1724"/>
      <c r="J667" s="1724">
        <f t="shared" si="566"/>
        <v>0.26175709839463157</v>
      </c>
      <c r="K667" s="1724">
        <f t="shared" si="566"/>
        <v>-0.16682411266162089</v>
      </c>
      <c r="L667" s="2080"/>
      <c r="M667" s="1724">
        <f t="shared" si="567"/>
        <v>-0.2067377418653854</v>
      </c>
      <c r="N667" s="1724">
        <f t="shared" si="567"/>
        <v>-0.10344497484888893</v>
      </c>
      <c r="O667" s="1724">
        <f t="shared" si="567"/>
        <v>7.5708035371755411E-3</v>
      </c>
      <c r="P667" s="1724">
        <f t="shared" si="567"/>
        <v>8.624138652826363E-2</v>
      </c>
      <c r="Q667" s="2080"/>
      <c r="R667" s="1724">
        <f>R663/M663-1</f>
        <v>0.24190222029677511</v>
      </c>
      <c r="S667" s="1724"/>
      <c r="T667" s="1724"/>
      <c r="U667" s="1724"/>
      <c r="V667" s="2080"/>
      <c r="W667" s="1724"/>
      <c r="X667" s="1724"/>
      <c r="Y667" s="1724"/>
      <c r="Z667" s="1724"/>
      <c r="AA667" s="2080"/>
      <c r="AB667" s="1724"/>
      <c r="AC667" s="1724"/>
      <c r="AD667" s="1724"/>
      <c r="AE667" s="1724"/>
      <c r="AF667" s="1724"/>
      <c r="AG667" s="1724"/>
      <c r="AH667" s="1724"/>
      <c r="AI667" s="1724"/>
      <c r="AJ667" s="2186"/>
      <c r="AK667" s="1724"/>
      <c r="AL667" s="1724"/>
      <c r="AM667" s="1724"/>
      <c r="AN667" s="1724"/>
      <c r="AO667" s="2186"/>
      <c r="AP667" s="1724"/>
      <c r="AQ667" s="1724"/>
      <c r="AR667" s="1724"/>
      <c r="AS667" s="1724"/>
      <c r="AT667" s="2186"/>
      <c r="AU667" s="1724"/>
      <c r="AV667" s="1724"/>
      <c r="AW667" s="1724"/>
      <c r="AX667" s="1724"/>
      <c r="AY667" s="2186"/>
      <c r="AZ667" s="1724"/>
      <c r="BA667" s="1724"/>
      <c r="BB667" s="1724"/>
      <c r="BC667" s="1293"/>
      <c r="BD667" s="2186"/>
      <c r="BE667" s="1724"/>
      <c r="BF667" s="1724"/>
      <c r="BG667" s="1724"/>
      <c r="BH667" s="1293"/>
      <c r="BI667" s="2186"/>
      <c r="BJ667" s="1724"/>
      <c r="BK667" s="1724"/>
      <c r="BL667" s="1724"/>
      <c r="BM667" s="1724"/>
      <c r="BN667" s="2186"/>
      <c r="BO667" s="1293"/>
      <c r="BP667" s="1293"/>
      <c r="BQ667" s="1293"/>
      <c r="BR667" s="1293"/>
      <c r="BS667" s="1293"/>
      <c r="BT667" s="1293"/>
      <c r="BU667" s="1293"/>
      <c r="BV667" s="1293"/>
      <c r="BW667" s="1293"/>
      <c r="BX667" s="1293"/>
      <c r="BY667" s="1293"/>
      <c r="BZ667" s="1293"/>
      <c r="CA667" s="1293"/>
      <c r="CB667" s="1293"/>
      <c r="CC667" s="1293"/>
      <c r="CD667" s="1293"/>
      <c r="CE667" s="1293"/>
      <c r="CF667" s="1293"/>
      <c r="CG667" s="1293"/>
      <c r="CH667" s="1293"/>
      <c r="CI667" s="1293"/>
      <c r="CJ667" s="1293"/>
      <c r="CK667" s="1293"/>
      <c r="CL667" s="1293"/>
      <c r="CM667" s="1293"/>
      <c r="CN667" s="1293"/>
      <c r="CO667" s="1293"/>
      <c r="CP667" s="1293"/>
      <c r="CQ667" s="1293"/>
      <c r="CR667" s="1293"/>
      <c r="CS667" s="1293"/>
      <c r="CT667" s="1293"/>
      <c r="CU667" s="1293"/>
      <c r="CV667" s="1293"/>
      <c r="CW667" s="1293"/>
      <c r="CX667" s="1293"/>
      <c r="CY667" s="2032"/>
      <c r="CZ667" s="1293"/>
      <c r="DA667" s="2083"/>
      <c r="DB667" s="2084"/>
      <c r="DC667" s="1293"/>
      <c r="DD667" s="1293"/>
      <c r="DE667" s="1293"/>
      <c r="DF667" s="1293"/>
      <c r="DG667" s="1293"/>
      <c r="DH667" s="1293"/>
      <c r="DI667" s="1293"/>
      <c r="DJ667" s="1293"/>
      <c r="DK667" s="1293"/>
      <c r="DL667" s="1293"/>
    </row>
    <row r="668" spans="1:116" ht="15.75">
      <c r="A668" s="1293"/>
      <c r="B668" s="1293"/>
      <c r="C668" s="1293"/>
      <c r="D668" s="1293"/>
      <c r="E668" s="1293"/>
      <c r="F668" s="1293"/>
      <c r="G668" s="2080"/>
      <c r="H668" s="1293"/>
      <c r="I668" s="1293"/>
      <c r="J668" s="1293"/>
      <c r="K668" s="1293"/>
      <c r="L668" s="2080"/>
      <c r="M668" s="1293"/>
      <c r="N668" s="1293"/>
      <c r="O668" s="1293"/>
      <c r="P668" s="1293"/>
      <c r="Q668" s="2080"/>
      <c r="R668" s="1293"/>
      <c r="S668" s="1293"/>
      <c r="T668" s="1293"/>
      <c r="U668" s="1293"/>
      <c r="V668" s="2080"/>
      <c r="W668" s="1293"/>
      <c r="X668" s="1293"/>
      <c r="Y668" s="1293"/>
      <c r="Z668" s="1293"/>
      <c r="AA668" s="2080"/>
      <c r="AB668" s="1293"/>
      <c r="AC668" s="1293"/>
      <c r="AD668" s="1293"/>
      <c r="AE668" s="1293"/>
      <c r="AF668" s="1293"/>
      <c r="AG668" s="1293"/>
      <c r="AH668" s="1293"/>
      <c r="AI668" s="1293"/>
      <c r="AJ668" s="2186"/>
      <c r="AK668" s="1293"/>
      <c r="AL668" s="1293"/>
      <c r="AM668" s="1293"/>
      <c r="AN668" s="1293"/>
      <c r="AO668" s="2186"/>
      <c r="AP668" s="1293"/>
      <c r="AQ668" s="1293"/>
      <c r="AR668" s="1293"/>
      <c r="AS668" s="1293"/>
      <c r="AT668" s="2186"/>
      <c r="AU668" s="1293"/>
      <c r="AV668" s="1293"/>
      <c r="AW668" s="1293"/>
      <c r="AX668" s="1293"/>
      <c r="AY668" s="2186"/>
      <c r="AZ668" s="1293"/>
      <c r="BA668" s="1293"/>
      <c r="BB668" s="1293"/>
      <c r="BC668" s="1293"/>
      <c r="BD668" s="2186"/>
      <c r="BE668" s="1293"/>
      <c r="BF668" s="1293"/>
      <c r="BG668" s="1293"/>
      <c r="BH668" s="1293"/>
      <c r="BI668" s="2186"/>
      <c r="BJ668" s="1293"/>
      <c r="BK668" s="1293"/>
      <c r="BL668" s="1293"/>
      <c r="BM668" s="1293"/>
      <c r="BN668" s="2186"/>
      <c r="BO668" s="1293"/>
      <c r="BP668" s="1293"/>
      <c r="BQ668" s="1293"/>
      <c r="BR668" s="1293"/>
      <c r="BS668" s="1293"/>
      <c r="BT668" s="1293"/>
      <c r="BU668" s="1293"/>
      <c r="BV668" s="1293"/>
      <c r="BW668" s="1293"/>
      <c r="BX668" s="1293"/>
      <c r="BY668" s="1293"/>
      <c r="BZ668" s="1293"/>
      <c r="CA668" s="1293"/>
      <c r="CB668" s="1293"/>
      <c r="CC668" s="1293"/>
      <c r="CD668" s="1293"/>
      <c r="CE668" s="1293"/>
      <c r="CF668" s="1293"/>
      <c r="CG668" s="1293"/>
      <c r="CH668" s="1293"/>
      <c r="CI668" s="1293"/>
      <c r="CJ668" s="1293"/>
      <c r="CK668" s="1293"/>
      <c r="CL668" s="1293"/>
      <c r="CM668" s="1293"/>
      <c r="CN668" s="1293"/>
      <c r="CO668" s="1293"/>
      <c r="CP668" s="1293"/>
      <c r="CQ668" s="1293"/>
      <c r="CR668" s="1293"/>
      <c r="CS668" s="1293"/>
      <c r="CT668" s="1293"/>
      <c r="CU668" s="1293"/>
      <c r="CV668" s="1293"/>
      <c r="CW668" s="1293"/>
      <c r="CX668" s="1293"/>
      <c r="CY668" s="2032"/>
      <c r="CZ668" s="1293"/>
      <c r="DA668" s="2031"/>
      <c r="DB668" s="2032"/>
      <c r="DC668" s="1293"/>
      <c r="DD668" s="1293"/>
      <c r="DE668" s="1293"/>
      <c r="DF668" s="1293"/>
      <c r="DG668" s="1293"/>
      <c r="DH668" s="1293"/>
      <c r="DI668" s="1293"/>
      <c r="DJ668" s="1293"/>
      <c r="DK668" s="1293"/>
      <c r="DL668" s="1293"/>
    </row>
    <row r="669" spans="1:116" ht="15.75">
      <c r="A669" s="1293"/>
      <c r="B669" s="1677" t="s">
        <v>4527</v>
      </c>
      <c r="C669" s="1293"/>
      <c r="D669" s="1293"/>
      <c r="E669" s="1293"/>
      <c r="F669" s="1293"/>
      <c r="G669" s="2080"/>
      <c r="H669" s="1293"/>
      <c r="I669" s="1293"/>
      <c r="J669" s="1293"/>
      <c r="K669" s="1293"/>
      <c r="L669" s="2080"/>
      <c r="M669" s="1293"/>
      <c r="N669" s="1293"/>
      <c r="O669" s="1293"/>
      <c r="P669" s="1293"/>
      <c r="Q669" s="2080"/>
      <c r="R669" s="1293"/>
      <c r="S669" s="1293"/>
      <c r="T669" s="1293"/>
      <c r="U669" s="1293"/>
      <c r="V669" s="2080"/>
      <c r="W669" s="1293"/>
      <c r="X669" s="1293"/>
      <c r="Y669" s="1293"/>
      <c r="Z669" s="1293"/>
      <c r="AA669" s="2080"/>
      <c r="AB669" s="1293"/>
      <c r="AC669" s="1293"/>
      <c r="AD669" s="1293"/>
      <c r="AE669" s="1293"/>
      <c r="AF669" s="1293"/>
      <c r="AG669" s="1293"/>
      <c r="AH669" s="1293"/>
      <c r="AI669" s="1293"/>
      <c r="AJ669" s="2186"/>
      <c r="AK669" s="1293"/>
      <c r="AL669" s="1293"/>
      <c r="AM669" s="1293"/>
      <c r="AN669" s="1293"/>
      <c r="AO669" s="2186"/>
      <c r="AP669" s="1293"/>
      <c r="AQ669" s="1293"/>
      <c r="AR669" s="1293"/>
      <c r="AS669" s="1293"/>
      <c r="AT669" s="2186"/>
      <c r="AU669" s="1293"/>
      <c r="AV669" s="1293"/>
      <c r="AW669" s="1293"/>
      <c r="AX669" s="1293"/>
      <c r="AY669" s="2186"/>
      <c r="AZ669" s="1293"/>
      <c r="BA669" s="1293"/>
      <c r="BB669" s="1293"/>
      <c r="BC669" s="1293"/>
      <c r="BD669" s="2186"/>
      <c r="BE669" s="1293"/>
      <c r="BF669" s="1293"/>
      <c r="BG669" s="1293"/>
      <c r="BH669" s="1293"/>
      <c r="BI669" s="2186"/>
      <c r="BJ669" s="1293"/>
      <c r="BK669" s="1293"/>
      <c r="BL669" s="1293"/>
      <c r="BM669" s="1293"/>
      <c r="BN669" s="2186"/>
      <c r="BO669" s="1293"/>
      <c r="BP669" s="1293"/>
      <c r="BQ669" s="1293"/>
      <c r="BR669" s="1293"/>
      <c r="BS669" s="1293"/>
      <c r="BT669" s="1293"/>
      <c r="BU669" s="1293"/>
      <c r="BV669" s="1293"/>
      <c r="BW669" s="1293"/>
      <c r="BX669" s="1293"/>
      <c r="BY669" s="1293"/>
      <c r="BZ669" s="1293"/>
      <c r="CA669" s="1293"/>
      <c r="CB669" s="1293"/>
      <c r="CC669" s="1293"/>
      <c r="CD669" s="1293"/>
      <c r="CE669" s="1293"/>
      <c r="CF669" s="1293"/>
      <c r="CG669" s="1293"/>
      <c r="CH669" s="1293"/>
      <c r="CI669" s="1293"/>
      <c r="CJ669" s="1293"/>
      <c r="CK669" s="1293"/>
      <c r="CL669" s="1293"/>
      <c r="CM669" s="1293"/>
      <c r="CN669" s="1293"/>
      <c r="CO669" s="1293"/>
      <c r="CP669" s="1293"/>
      <c r="CQ669" s="1293"/>
      <c r="CR669" s="1293"/>
      <c r="CS669" s="1293"/>
      <c r="CT669" s="1293"/>
      <c r="CU669" s="1293"/>
      <c r="CV669" s="1293"/>
      <c r="CW669" s="1293"/>
      <c r="CX669" s="1293"/>
      <c r="CY669" s="2032"/>
      <c r="CZ669" s="1293"/>
      <c r="DA669" s="2031"/>
      <c r="DB669" s="2032"/>
      <c r="DC669" s="1293"/>
      <c r="DD669" s="1293"/>
      <c r="DE669" s="1293"/>
      <c r="DF669" s="1293"/>
      <c r="DG669" s="1293"/>
      <c r="DH669" s="1293"/>
      <c r="DI669" s="1293"/>
      <c r="DJ669" s="1293"/>
      <c r="DK669" s="1293"/>
      <c r="DL669" s="1293"/>
    </row>
    <row r="670" spans="1:116" ht="15.75">
      <c r="A670" s="1293"/>
      <c r="B670" s="1293" t="s">
        <v>4288</v>
      </c>
      <c r="C670" s="1699">
        <v>1062.6220000000001</v>
      </c>
      <c r="D670" s="1699">
        <v>1062.6220000000001</v>
      </c>
      <c r="E670" s="1699">
        <v>4862.2250000000004</v>
      </c>
      <c r="F670" s="1699">
        <v>4974.6480000000001</v>
      </c>
      <c r="G670" s="2039">
        <v>4974.6480000000001</v>
      </c>
      <c r="H670" s="1699">
        <v>5029.6869999999999</v>
      </c>
      <c r="I670" s="1699">
        <v>5100.6549999999997</v>
      </c>
      <c r="J670" s="1699">
        <v>5276.018</v>
      </c>
      <c r="K670" s="1699">
        <v>5340.3130000000001</v>
      </c>
      <c r="L670" s="2039">
        <v>5340.3130000000001</v>
      </c>
      <c r="M670" s="1699">
        <v>5401.6170000000002</v>
      </c>
      <c r="N670" s="1699">
        <v>5447.9719999999998</v>
      </c>
      <c r="O670" s="1699">
        <v>5551.4369999999999</v>
      </c>
      <c r="P670" s="1699">
        <v>5670.8109999999997</v>
      </c>
      <c r="Q670" s="2039">
        <f>P670</f>
        <v>5670.8109999999997</v>
      </c>
      <c r="R670" s="1699">
        <v>5906</v>
      </c>
      <c r="S670" s="1699"/>
      <c r="T670" s="1699"/>
      <c r="U670" s="1699"/>
      <c r="V670" s="2039"/>
      <c r="W670" s="1699"/>
      <c r="X670" s="1699"/>
      <c r="Y670" s="1699"/>
      <c r="Z670" s="1699"/>
      <c r="AA670" s="2039"/>
      <c r="AB670" s="1699"/>
      <c r="AC670" s="1699"/>
      <c r="AD670" s="1699"/>
      <c r="AE670" s="1699"/>
      <c r="AF670" s="1699"/>
      <c r="AG670" s="1699"/>
      <c r="AH670" s="1699"/>
      <c r="AI670" s="1699"/>
      <c r="AJ670" s="2186"/>
      <c r="AK670" s="1699"/>
      <c r="AL670" s="1699"/>
      <c r="AM670" s="1699"/>
      <c r="AN670" s="1699"/>
      <c r="AO670" s="2186"/>
      <c r="AP670" s="1699"/>
      <c r="AQ670" s="1699"/>
      <c r="AR670" s="1699"/>
      <c r="AS670" s="1699"/>
      <c r="AT670" s="2186"/>
      <c r="AU670" s="1699"/>
      <c r="AV670" s="1699"/>
      <c r="AW670" s="1699"/>
      <c r="AX670" s="1699"/>
      <c r="AY670" s="2186"/>
      <c r="AZ670" s="1699"/>
      <c r="BA670" s="1699"/>
      <c r="BB670" s="1699"/>
      <c r="BC670" s="1293"/>
      <c r="BD670" s="2186"/>
      <c r="BE670" s="1699"/>
      <c r="BF670" s="1699"/>
      <c r="BG670" s="1699"/>
      <c r="BH670" s="1293"/>
      <c r="BI670" s="2186"/>
      <c r="BJ670" s="1699"/>
      <c r="BK670" s="1699"/>
      <c r="BL670" s="1699"/>
      <c r="BM670" s="1699"/>
      <c r="BN670" s="2186"/>
      <c r="BO670" s="1293"/>
      <c r="BP670" s="1293"/>
      <c r="BQ670" s="1293"/>
      <c r="BR670" s="1293"/>
      <c r="BS670" s="1293"/>
      <c r="BT670" s="1293"/>
      <c r="BU670" s="1293"/>
      <c r="BV670" s="1293"/>
      <c r="BW670" s="1293"/>
      <c r="BX670" s="1293"/>
      <c r="BY670" s="1293"/>
      <c r="BZ670" s="1293"/>
      <c r="CA670" s="1293"/>
      <c r="CB670" s="1293"/>
      <c r="CC670" s="1293"/>
      <c r="CD670" s="1293"/>
      <c r="CE670" s="1293"/>
      <c r="CF670" s="1293"/>
      <c r="CG670" s="1293"/>
      <c r="CH670" s="1293"/>
      <c r="CI670" s="1293"/>
      <c r="CJ670" s="1293"/>
      <c r="CK670" s="1293"/>
      <c r="CL670" s="1293"/>
      <c r="CM670" s="1293"/>
      <c r="CN670" s="1293"/>
      <c r="CO670" s="1293"/>
      <c r="CP670" s="1293"/>
      <c r="CQ670" s="1293"/>
      <c r="CR670" s="1293"/>
      <c r="CS670" s="1293"/>
      <c r="CT670" s="1293"/>
      <c r="CU670" s="1293"/>
      <c r="CV670" s="1293"/>
      <c r="CW670" s="1293"/>
      <c r="CX670" s="1293"/>
      <c r="CY670" s="2032"/>
      <c r="CZ670" s="1293"/>
      <c r="DA670" s="2042"/>
      <c r="DB670" s="2041"/>
      <c r="DC670" s="1293"/>
      <c r="DD670" s="1293"/>
      <c r="DE670" s="1293"/>
      <c r="DF670" s="1293"/>
      <c r="DG670" s="1293"/>
      <c r="DH670" s="1293"/>
      <c r="DI670" s="1293"/>
      <c r="DJ670" s="1293"/>
      <c r="DK670" s="1293"/>
      <c r="DL670" s="1293"/>
    </row>
    <row r="671" spans="1:116" ht="15.75">
      <c r="A671" s="1293"/>
      <c r="B671" s="1293" t="s">
        <v>4522</v>
      </c>
      <c r="C671" s="1699">
        <v>282.15700000000004</v>
      </c>
      <c r="D671" s="1699">
        <v>295.68399999999997</v>
      </c>
      <c r="E671" s="1699">
        <v>2120.3679999999999</v>
      </c>
      <c r="F671" s="1699">
        <v>2113.4949999999999</v>
      </c>
      <c r="G671" s="2039">
        <v>2113.4949999999999</v>
      </c>
      <c r="H671" s="1699">
        <v>2116.3409999999999</v>
      </c>
      <c r="I671" s="1699">
        <v>2137.6930000000002</v>
      </c>
      <c r="J671" s="1699">
        <v>2092.5659999999998</v>
      </c>
      <c r="K671" s="1699">
        <v>2098.0120000000002</v>
      </c>
      <c r="L671" s="2039">
        <v>2098.0120000000002</v>
      </c>
      <c r="M671" s="1699">
        <v>2073.6219999999998</v>
      </c>
      <c r="N671" s="1699">
        <v>2055.3290000000002</v>
      </c>
      <c r="O671" s="1699">
        <v>2071.1750000000002</v>
      </c>
      <c r="P671" s="1699">
        <v>2066.0650000000001</v>
      </c>
      <c r="Q671" s="2039">
        <f>P671</f>
        <v>2066.0650000000001</v>
      </c>
      <c r="R671" s="1699">
        <v>2081</v>
      </c>
      <c r="S671" s="1699"/>
      <c r="T671" s="1699"/>
      <c r="U671" s="1699"/>
      <c r="V671" s="2039"/>
      <c r="W671" s="1699"/>
      <c r="X671" s="1699"/>
      <c r="Y671" s="1699"/>
      <c r="Z671" s="1699"/>
      <c r="AA671" s="2039"/>
      <c r="AB671" s="1699"/>
      <c r="AC671" s="1699"/>
      <c r="AD671" s="1699"/>
      <c r="AE671" s="1699"/>
      <c r="AF671" s="1699"/>
      <c r="AG671" s="1699"/>
      <c r="AH671" s="1699"/>
      <c r="AI671" s="1699"/>
      <c r="AJ671" s="2186"/>
      <c r="AK671" s="1699"/>
      <c r="AL671" s="1699"/>
      <c r="AM671" s="1699"/>
      <c r="AN671" s="1699"/>
      <c r="AO671" s="2186"/>
      <c r="AP671" s="1699"/>
      <c r="AQ671" s="1699"/>
      <c r="AR671" s="1699"/>
      <c r="AS671" s="1699"/>
      <c r="AT671" s="2186"/>
      <c r="AU671" s="1699"/>
      <c r="AV671" s="1699"/>
      <c r="AW671" s="1699"/>
      <c r="AX671" s="1699"/>
      <c r="AY671" s="2186"/>
      <c r="AZ671" s="1699"/>
      <c r="BA671" s="1699"/>
      <c r="BB671" s="1699"/>
      <c r="BC671" s="1293"/>
      <c r="BD671" s="2186"/>
      <c r="BE671" s="1699"/>
      <c r="BF671" s="1699"/>
      <c r="BG671" s="1699"/>
      <c r="BH671" s="1293"/>
      <c r="BI671" s="2186"/>
      <c r="BJ671" s="1699"/>
      <c r="BK671" s="1699"/>
      <c r="BL671" s="1699"/>
      <c r="BM671" s="1699"/>
      <c r="BN671" s="2186"/>
      <c r="BO671" s="1293"/>
      <c r="BP671" s="1293"/>
      <c r="BQ671" s="1293"/>
      <c r="BR671" s="1293"/>
      <c r="BS671" s="1293"/>
      <c r="BT671" s="1293"/>
      <c r="BU671" s="1293"/>
      <c r="BV671" s="1293"/>
      <c r="BW671" s="1293"/>
      <c r="BX671" s="1293"/>
      <c r="BY671" s="1293"/>
      <c r="BZ671" s="1293"/>
      <c r="CA671" s="1293"/>
      <c r="CB671" s="1293"/>
      <c r="CC671" s="1293"/>
      <c r="CD671" s="1293"/>
      <c r="CE671" s="1293"/>
      <c r="CF671" s="1293"/>
      <c r="CG671" s="1293"/>
      <c r="CH671" s="1293"/>
      <c r="CI671" s="1293"/>
      <c r="CJ671" s="1293"/>
      <c r="CK671" s="1293"/>
      <c r="CL671" s="1293"/>
      <c r="CM671" s="1293"/>
      <c r="CN671" s="1293"/>
      <c r="CO671" s="1293"/>
      <c r="CP671" s="1293"/>
      <c r="CQ671" s="1293"/>
      <c r="CR671" s="1293"/>
      <c r="CS671" s="1293"/>
      <c r="CT671" s="1293"/>
      <c r="CU671" s="1293"/>
      <c r="CV671" s="1293"/>
      <c r="CW671" s="1293"/>
      <c r="CX671" s="1293"/>
      <c r="CY671" s="2032"/>
      <c r="CZ671" s="1293"/>
      <c r="DA671" s="2042"/>
      <c r="DB671" s="2041"/>
      <c r="DC671" s="1293"/>
      <c r="DD671" s="1293"/>
      <c r="DE671" s="1293"/>
      <c r="DF671" s="1293"/>
      <c r="DG671" s="1293"/>
      <c r="DH671" s="1293"/>
      <c r="DI671" s="1293"/>
      <c r="DJ671" s="1293"/>
      <c r="DK671" s="1293"/>
      <c r="DL671" s="1293"/>
    </row>
    <row r="672" spans="1:116" ht="15.75">
      <c r="A672" s="1293"/>
      <c r="B672" s="1293" t="s">
        <v>3864</v>
      </c>
      <c r="C672" s="1699">
        <v>314.93799999999999</v>
      </c>
      <c r="D672" s="1699">
        <v>334.23399999999998</v>
      </c>
      <c r="E672" s="1699">
        <v>3917.1669999999999</v>
      </c>
      <c r="F672" s="1699">
        <v>3965.5329999999999</v>
      </c>
      <c r="G672" s="2039">
        <v>3965.5329999999999</v>
      </c>
      <c r="H672" s="1699">
        <v>3997.43</v>
      </c>
      <c r="I672" s="1699">
        <v>4020.3580000000002</v>
      </c>
      <c r="J672" s="1699">
        <v>3976.8180000000002</v>
      </c>
      <c r="K672" s="1699">
        <v>4049.8890000000001</v>
      </c>
      <c r="L672" s="2039">
        <v>4049.8890000000001</v>
      </c>
      <c r="M672" s="1699">
        <v>4035.377</v>
      </c>
      <c r="N672" s="1699">
        <v>4048.799</v>
      </c>
      <c r="O672" s="1699">
        <v>4096.817</v>
      </c>
      <c r="P672" s="1699">
        <v>4076.1509999999998</v>
      </c>
      <c r="Q672" s="2039">
        <f>P672</f>
        <v>4076.1509999999998</v>
      </c>
      <c r="R672" s="1699">
        <v>4080</v>
      </c>
      <c r="S672" s="1699"/>
      <c r="T672" s="1699"/>
      <c r="U672" s="1699"/>
      <c r="V672" s="2039"/>
      <c r="W672" s="1699"/>
      <c r="X672" s="1699"/>
      <c r="Y672" s="1699"/>
      <c r="Z672" s="1699"/>
      <c r="AA672" s="2039"/>
      <c r="AB672" s="1699"/>
      <c r="AC672" s="1699"/>
      <c r="AD672" s="1699"/>
      <c r="AE672" s="1699"/>
      <c r="AF672" s="1699"/>
      <c r="AG672" s="1699"/>
      <c r="AH672" s="1699"/>
      <c r="AI672" s="1699"/>
      <c r="AJ672" s="2186"/>
      <c r="AK672" s="1699"/>
      <c r="AL672" s="1699"/>
      <c r="AM672" s="1699"/>
      <c r="AN672" s="1699"/>
      <c r="AO672" s="2186"/>
      <c r="AP672" s="1699"/>
      <c r="AQ672" s="1699"/>
      <c r="AR672" s="1699"/>
      <c r="AS672" s="1699"/>
      <c r="AT672" s="2186"/>
      <c r="AU672" s="1699"/>
      <c r="AV672" s="1699"/>
      <c r="AW672" s="1699"/>
      <c r="AX672" s="1699"/>
      <c r="AY672" s="2186"/>
      <c r="AZ672" s="1699"/>
      <c r="BA672" s="1699"/>
      <c r="BB672" s="1699"/>
      <c r="BC672" s="1293"/>
      <c r="BD672" s="2186"/>
      <c r="BE672" s="1699"/>
      <c r="BF672" s="1699"/>
      <c r="BG672" s="1699"/>
      <c r="BH672" s="1293"/>
      <c r="BI672" s="2186"/>
      <c r="BJ672" s="1699"/>
      <c r="BK672" s="1699"/>
      <c r="BL672" s="1699"/>
      <c r="BM672" s="1699"/>
      <c r="BN672" s="2186"/>
      <c r="BO672" s="1293"/>
      <c r="BP672" s="1293"/>
      <c r="BQ672" s="1293"/>
      <c r="BR672" s="1293"/>
      <c r="BS672" s="1293"/>
      <c r="BT672" s="1293"/>
      <c r="BU672" s="1293"/>
      <c r="BV672" s="1293"/>
      <c r="BW672" s="1293"/>
      <c r="BX672" s="1293"/>
      <c r="BY672" s="1293"/>
      <c r="BZ672" s="1293"/>
      <c r="CA672" s="1293"/>
      <c r="CB672" s="1293"/>
      <c r="CC672" s="1293"/>
      <c r="CD672" s="1293"/>
      <c r="CE672" s="1293"/>
      <c r="CF672" s="1293"/>
      <c r="CG672" s="1293"/>
      <c r="CH672" s="1293"/>
      <c r="CI672" s="1293"/>
      <c r="CJ672" s="1293"/>
      <c r="CK672" s="1293"/>
      <c r="CL672" s="1293"/>
      <c r="CM672" s="1293"/>
      <c r="CN672" s="1293"/>
      <c r="CO672" s="1293"/>
      <c r="CP672" s="1293"/>
      <c r="CQ672" s="1293"/>
      <c r="CR672" s="1293"/>
      <c r="CS672" s="1293"/>
      <c r="CT672" s="1293"/>
      <c r="CU672" s="1293"/>
      <c r="CV672" s="1293"/>
      <c r="CW672" s="1293"/>
      <c r="CX672" s="1293"/>
      <c r="CY672" s="2032"/>
      <c r="CZ672" s="1293"/>
      <c r="DA672" s="2042"/>
      <c r="DB672" s="2041"/>
      <c r="DC672" s="1293"/>
      <c r="DD672" s="1293"/>
      <c r="DE672" s="1293"/>
      <c r="DF672" s="1293"/>
      <c r="DG672" s="1293"/>
      <c r="DH672" s="1293"/>
      <c r="DI672" s="1293"/>
      <c r="DJ672" s="1293"/>
      <c r="DK672" s="1293"/>
      <c r="DL672" s="1293"/>
    </row>
    <row r="673" spans="1:116" ht="15.75">
      <c r="A673" s="1293"/>
      <c r="B673" s="1293" t="s">
        <v>2852</v>
      </c>
      <c r="C673" s="1699">
        <v>30.123401530023163</v>
      </c>
      <c r="D673" s="1699">
        <v>34.325622668075205</v>
      </c>
      <c r="E673" s="1699">
        <v>33.973650043396717</v>
      </c>
      <c r="F673" s="1699">
        <v>32.430774423374338</v>
      </c>
      <c r="G673" s="2039">
        <v>33.606501370633303</v>
      </c>
      <c r="H673" s="1699">
        <v>28.468555035592193</v>
      </c>
      <c r="I673" s="1699">
        <v>29.387801271791364</v>
      </c>
      <c r="J673" s="1699">
        <v>25.755269188047823</v>
      </c>
      <c r="K673" s="1699">
        <v>25.908872692204429</v>
      </c>
      <c r="L673" s="2039">
        <v>30.246128761119234</v>
      </c>
      <c r="M673" s="1699">
        <v>25.532922875974418</v>
      </c>
      <c r="N673" s="1699">
        <v>27.361548977474584</v>
      </c>
      <c r="O673" s="1699">
        <v>27.247526690265335</v>
      </c>
      <c r="P673" s="1699">
        <v>28.026854816902738</v>
      </c>
      <c r="Q673" s="2039"/>
      <c r="R673" s="1699">
        <v>29.4</v>
      </c>
      <c r="S673" s="1699"/>
      <c r="T673" s="1699"/>
      <c r="U673" s="1699"/>
      <c r="V673" s="2039"/>
      <c r="W673" s="1699"/>
      <c r="X673" s="1699"/>
      <c r="Y673" s="1699"/>
      <c r="Z673" s="1699"/>
      <c r="AA673" s="2039"/>
      <c r="AB673" s="1699"/>
      <c r="AC673" s="1699"/>
      <c r="AD673" s="1699"/>
      <c r="AE673" s="1699"/>
      <c r="AF673" s="1699"/>
      <c r="AG673" s="1699"/>
      <c r="AH673" s="1699"/>
      <c r="AI673" s="1699"/>
      <c r="AJ673" s="2186"/>
      <c r="AK673" s="1699"/>
      <c r="AL673" s="1699"/>
      <c r="AM673" s="1699"/>
      <c r="AN673" s="1699"/>
      <c r="AO673" s="2186"/>
      <c r="AP673" s="1699"/>
      <c r="AQ673" s="1699"/>
      <c r="AR673" s="1699"/>
      <c r="AS673" s="1699"/>
      <c r="AT673" s="2186"/>
      <c r="AU673" s="1699"/>
      <c r="AV673" s="1699"/>
      <c r="AW673" s="1699"/>
      <c r="AX673" s="1699"/>
      <c r="AY673" s="2186"/>
      <c r="AZ673" s="1699"/>
      <c r="BA673" s="1699"/>
      <c r="BB673" s="1699"/>
      <c r="BC673" s="1293"/>
      <c r="BD673" s="2186"/>
      <c r="BE673" s="1699"/>
      <c r="BF673" s="1699"/>
      <c r="BG673" s="1699"/>
      <c r="BH673" s="1293"/>
      <c r="BI673" s="2186"/>
      <c r="BJ673" s="1699"/>
      <c r="BK673" s="1699"/>
      <c r="BL673" s="1699"/>
      <c r="BM673" s="1699"/>
      <c r="BN673" s="2186"/>
      <c r="BO673" s="1293"/>
      <c r="BP673" s="1293"/>
      <c r="BQ673" s="1293"/>
      <c r="BR673" s="1293"/>
      <c r="BS673" s="1293"/>
      <c r="BT673" s="1293"/>
      <c r="BU673" s="1293"/>
      <c r="BV673" s="1293"/>
      <c r="BW673" s="1293"/>
      <c r="BX673" s="1293"/>
      <c r="BY673" s="1293"/>
      <c r="BZ673" s="1293"/>
      <c r="CA673" s="1293"/>
      <c r="CB673" s="1293"/>
      <c r="CC673" s="1293"/>
      <c r="CD673" s="1293"/>
      <c r="CE673" s="1293"/>
      <c r="CF673" s="1293"/>
      <c r="CG673" s="1293"/>
      <c r="CH673" s="1293"/>
      <c r="CI673" s="1293"/>
      <c r="CJ673" s="1293"/>
      <c r="CK673" s="1293"/>
      <c r="CL673" s="1293"/>
      <c r="CM673" s="1293"/>
      <c r="CN673" s="1293"/>
      <c r="CO673" s="1293"/>
      <c r="CP673" s="1293"/>
      <c r="CQ673" s="1293"/>
      <c r="CR673" s="1293"/>
      <c r="CS673" s="1293"/>
      <c r="CT673" s="1293"/>
      <c r="CU673" s="1293"/>
      <c r="CV673" s="1293"/>
      <c r="CW673" s="1293"/>
      <c r="CX673" s="1293"/>
      <c r="CY673" s="2032"/>
      <c r="CZ673" s="1293"/>
      <c r="DA673" s="2042"/>
      <c r="DB673" s="2041"/>
      <c r="DC673" s="1293"/>
      <c r="DD673" s="1293"/>
      <c r="DE673" s="1293"/>
      <c r="DF673" s="1293"/>
      <c r="DG673" s="1293"/>
      <c r="DH673" s="1293"/>
      <c r="DI673" s="1293"/>
      <c r="DJ673" s="1293"/>
      <c r="DK673" s="1293"/>
      <c r="DL673" s="1293"/>
    </row>
    <row r="674" spans="1:116" ht="15.75">
      <c r="A674" s="1293"/>
      <c r="B674" s="1293"/>
      <c r="C674" s="1699"/>
      <c r="D674" s="1699"/>
      <c r="E674" s="1699"/>
      <c r="F674" s="1699"/>
      <c r="G674" s="2039"/>
      <c r="H674" s="1699"/>
      <c r="I674" s="1699"/>
      <c r="J674" s="1699"/>
      <c r="K674" s="1699"/>
      <c r="L674" s="2039"/>
      <c r="M674" s="1699"/>
      <c r="N674" s="1699"/>
      <c r="O674" s="1699"/>
      <c r="P674" s="1699"/>
      <c r="Q674" s="2039"/>
      <c r="R674" s="1699"/>
      <c r="S674" s="1699"/>
      <c r="T674" s="1699"/>
      <c r="U674" s="1699"/>
      <c r="V674" s="2039"/>
      <c r="W674" s="1699"/>
      <c r="X674" s="1699"/>
      <c r="Y674" s="1699"/>
      <c r="Z674" s="1699"/>
      <c r="AA674" s="2039"/>
      <c r="AB674" s="1699"/>
      <c r="AC674" s="1699"/>
      <c r="AD674" s="1699"/>
      <c r="AE674" s="1699"/>
      <c r="AF674" s="1699"/>
      <c r="AG674" s="1699"/>
      <c r="AH674" s="1699"/>
      <c r="AI674" s="1699"/>
      <c r="AJ674" s="2186"/>
      <c r="AK674" s="1699"/>
      <c r="AL674" s="1699"/>
      <c r="AM674" s="1699"/>
      <c r="AN674" s="1699"/>
      <c r="AO674" s="2186"/>
      <c r="AP674" s="1699"/>
      <c r="AQ674" s="1699"/>
      <c r="AR674" s="1699"/>
      <c r="AS674" s="1699"/>
      <c r="AT674" s="2186"/>
      <c r="AU674" s="1699"/>
      <c r="AV674" s="1699"/>
      <c r="AW674" s="1699"/>
      <c r="AX674" s="1699"/>
      <c r="AY674" s="2186"/>
      <c r="AZ674" s="1699"/>
      <c r="BA674" s="1699"/>
      <c r="BB674" s="1699"/>
      <c r="BC674" s="1293"/>
      <c r="BD674" s="2186"/>
      <c r="BE674" s="1699"/>
      <c r="BF674" s="1699"/>
      <c r="BG674" s="1699"/>
      <c r="BH674" s="1293"/>
      <c r="BI674" s="2186"/>
      <c r="BJ674" s="1699"/>
      <c r="BK674" s="1699"/>
      <c r="BL674" s="1699"/>
      <c r="BM674" s="1699"/>
      <c r="BN674" s="2186"/>
      <c r="BO674" s="1293"/>
      <c r="BP674" s="1293"/>
      <c r="BQ674" s="1293"/>
      <c r="BR674" s="1293"/>
      <c r="BS674" s="1293"/>
      <c r="BT674" s="1293"/>
      <c r="BU674" s="1293"/>
      <c r="BV674" s="1293"/>
      <c r="BW674" s="1293"/>
      <c r="BX674" s="1293"/>
      <c r="BY674" s="1293"/>
      <c r="BZ674" s="1293"/>
      <c r="CA674" s="1293"/>
      <c r="CB674" s="1293"/>
      <c r="CC674" s="1293"/>
      <c r="CD674" s="1293"/>
      <c r="CE674" s="1293"/>
      <c r="CF674" s="1293"/>
      <c r="CG674" s="1293"/>
      <c r="CH674" s="1293"/>
      <c r="CI674" s="1293"/>
      <c r="CJ674" s="1293"/>
      <c r="CK674" s="1293"/>
      <c r="CL674" s="1293"/>
      <c r="CM674" s="1293"/>
      <c r="CN674" s="1293"/>
      <c r="CO674" s="1293"/>
      <c r="CP674" s="1293"/>
      <c r="CQ674" s="1293"/>
      <c r="CR674" s="1293"/>
      <c r="CS674" s="1293"/>
      <c r="CT674" s="1293"/>
      <c r="CU674" s="1293"/>
      <c r="CV674" s="1293"/>
      <c r="CW674" s="1293"/>
      <c r="CX674" s="1293"/>
      <c r="CY674" s="2032"/>
      <c r="CZ674" s="1293"/>
      <c r="DA674" s="2042"/>
      <c r="DB674" s="2041"/>
      <c r="DC674" s="1293"/>
      <c r="DD674" s="1293"/>
      <c r="DE674" s="1293"/>
      <c r="DF674" s="1293"/>
      <c r="DG674" s="1293"/>
      <c r="DH674" s="1293"/>
      <c r="DI674" s="1293"/>
      <c r="DJ674" s="1293"/>
      <c r="DK674" s="1293"/>
      <c r="DL674" s="1293"/>
    </row>
    <row r="675" spans="1:116" ht="15.75">
      <c r="A675" s="1293"/>
      <c r="B675" s="1334" t="s">
        <v>4523</v>
      </c>
      <c r="C675" s="1699"/>
      <c r="D675" s="1699"/>
      <c r="E675" s="1699"/>
      <c r="F675" s="1699"/>
      <c r="G675" s="2039"/>
      <c r="H675" s="1699"/>
      <c r="I675" s="1699"/>
      <c r="J675" s="1699"/>
      <c r="K675" s="1699"/>
      <c r="L675" s="2039"/>
      <c r="M675" s="1699"/>
      <c r="N675" s="1699"/>
      <c r="O675" s="1699"/>
      <c r="P675" s="1699"/>
      <c r="Q675" s="2039"/>
      <c r="R675" s="1699"/>
      <c r="S675" s="1699"/>
      <c r="T675" s="1699"/>
      <c r="U675" s="1699"/>
      <c r="V675" s="2039"/>
      <c r="W675" s="1699"/>
      <c r="X675" s="1699"/>
      <c r="Y675" s="1699"/>
      <c r="Z675" s="1699"/>
      <c r="AA675" s="2039"/>
      <c r="AB675" s="1699"/>
      <c r="AC675" s="1699"/>
      <c r="AD675" s="1699"/>
      <c r="AE675" s="1699"/>
      <c r="AF675" s="1699"/>
      <c r="AG675" s="1699"/>
      <c r="AH675" s="1699"/>
      <c r="AI675" s="1699"/>
      <c r="AJ675" s="2186"/>
      <c r="AK675" s="1699"/>
      <c r="AL675" s="1699"/>
      <c r="AM675" s="1699"/>
      <c r="AN675" s="1699"/>
      <c r="AO675" s="2186"/>
      <c r="AP675" s="1699"/>
      <c r="AQ675" s="1699"/>
      <c r="AR675" s="1699"/>
      <c r="AS675" s="1699"/>
      <c r="AT675" s="2186"/>
      <c r="AU675" s="1699"/>
      <c r="AV675" s="1699"/>
      <c r="AW675" s="1699"/>
      <c r="AX675" s="1699"/>
      <c r="AY675" s="2186"/>
      <c r="AZ675" s="1699"/>
      <c r="BA675" s="1699"/>
      <c r="BB675" s="1699"/>
      <c r="BC675" s="1293"/>
      <c r="BD675" s="2186"/>
      <c r="BE675" s="1699"/>
      <c r="BF675" s="1699"/>
      <c r="BG675" s="1699"/>
      <c r="BH675" s="1293"/>
      <c r="BI675" s="2186"/>
      <c r="BJ675" s="1699"/>
      <c r="BK675" s="1699"/>
      <c r="BL675" s="1699"/>
      <c r="BM675" s="1699"/>
      <c r="BN675" s="2186"/>
      <c r="BO675" s="1293"/>
      <c r="BP675" s="1293"/>
      <c r="BQ675" s="1293"/>
      <c r="BR675" s="1293"/>
      <c r="BS675" s="1293"/>
      <c r="BT675" s="1293"/>
      <c r="BU675" s="1293"/>
      <c r="BV675" s="1293"/>
      <c r="BW675" s="1293"/>
      <c r="BX675" s="1293"/>
      <c r="BY675" s="1293"/>
      <c r="BZ675" s="1293"/>
      <c r="CA675" s="1293"/>
      <c r="CB675" s="1293"/>
      <c r="CC675" s="1293"/>
      <c r="CD675" s="1293"/>
      <c r="CE675" s="1293"/>
      <c r="CF675" s="1293"/>
      <c r="CG675" s="1293"/>
      <c r="CH675" s="1293"/>
      <c r="CI675" s="1293"/>
      <c r="CJ675" s="1293"/>
      <c r="CK675" s="1293"/>
      <c r="CL675" s="1293"/>
      <c r="CM675" s="1293"/>
      <c r="CN675" s="1293"/>
      <c r="CO675" s="1293"/>
      <c r="CP675" s="1293"/>
      <c r="CQ675" s="1293"/>
      <c r="CR675" s="1293"/>
      <c r="CS675" s="1293"/>
      <c r="CT675" s="1293"/>
      <c r="CU675" s="1293"/>
      <c r="CV675" s="1293"/>
      <c r="CW675" s="1293"/>
      <c r="CX675" s="1293"/>
      <c r="CY675" s="2032"/>
      <c r="CZ675" s="1293"/>
      <c r="DA675" s="2042"/>
      <c r="DB675" s="2041"/>
      <c r="DC675" s="1293"/>
      <c r="DD675" s="1293"/>
      <c r="DE675" s="1293"/>
      <c r="DF675" s="1293"/>
      <c r="DG675" s="1293"/>
      <c r="DH675" s="1293"/>
      <c r="DI675" s="1293"/>
      <c r="DJ675" s="1293"/>
      <c r="DK675" s="1293"/>
      <c r="DL675" s="1293"/>
    </row>
    <row r="676" spans="1:116" ht="15.75">
      <c r="A676" s="1293"/>
      <c r="B676" s="1293" t="s">
        <v>4288</v>
      </c>
      <c r="C676" s="1699">
        <v>236.018</v>
      </c>
      <c r="D676" s="1699">
        <v>272.81799999999998</v>
      </c>
      <c r="E676" s="1699">
        <v>3396.1193499718638</v>
      </c>
      <c r="F676" s="1699">
        <v>3535.6154227711372</v>
      </c>
      <c r="G676" s="2039">
        <v>3535.6154227711372</v>
      </c>
      <c r="H676" s="1699">
        <v>3619.5735</v>
      </c>
      <c r="I676" s="1699">
        <v>3716.7672599999996</v>
      </c>
      <c r="J676" s="1699">
        <v>3953.8702599999997</v>
      </c>
      <c r="K676" s="1699">
        <v>4082.7612599999998</v>
      </c>
      <c r="L676" s="2039">
        <v>4082.7612599999998</v>
      </c>
      <c r="M676" s="1699">
        <v>4192.6170000000002</v>
      </c>
      <c r="N676" s="1699">
        <v>4325.6989999999996</v>
      </c>
      <c r="O676" s="1699">
        <v>4483.5370000000003</v>
      </c>
      <c r="P676" s="1699">
        <v>4703.9650000000001</v>
      </c>
      <c r="Q676" s="2039">
        <f>P676</f>
        <v>4703.9650000000001</v>
      </c>
      <c r="R676" s="1699">
        <v>5024</v>
      </c>
      <c r="S676" s="1699"/>
      <c r="T676" s="1699"/>
      <c r="U676" s="1699"/>
      <c r="V676" s="2039"/>
      <c r="W676" s="1699"/>
      <c r="X676" s="1699"/>
      <c r="Y676" s="1699"/>
      <c r="Z676" s="1699"/>
      <c r="AA676" s="2039"/>
      <c r="AB676" s="1699"/>
      <c r="AC676" s="1699"/>
      <c r="AD676" s="1699"/>
      <c r="AE676" s="1699"/>
      <c r="AF676" s="1699"/>
      <c r="AG676" s="1699"/>
      <c r="AH676" s="1699"/>
      <c r="AI676" s="1699"/>
      <c r="AJ676" s="2186"/>
      <c r="AK676" s="1699"/>
      <c r="AL676" s="1699"/>
      <c r="AM676" s="1699"/>
      <c r="AN676" s="1699"/>
      <c r="AO676" s="2186"/>
      <c r="AP676" s="1699"/>
      <c r="AQ676" s="1699"/>
      <c r="AR676" s="1699"/>
      <c r="AS676" s="1699"/>
      <c r="AT676" s="2186"/>
      <c r="AU676" s="1699"/>
      <c r="AV676" s="1699"/>
      <c r="AW676" s="1699"/>
      <c r="AX676" s="1699"/>
      <c r="AY676" s="2186"/>
      <c r="AZ676" s="1699"/>
      <c r="BA676" s="1699"/>
      <c r="BB676" s="1699"/>
      <c r="BC676" s="1293"/>
      <c r="BD676" s="2186"/>
      <c r="BE676" s="1699"/>
      <c r="BF676" s="1699"/>
      <c r="BG676" s="1699"/>
      <c r="BH676" s="1293"/>
      <c r="BI676" s="2186"/>
      <c r="BJ676" s="1699"/>
      <c r="BK676" s="1699"/>
      <c r="BL676" s="1699"/>
      <c r="BM676" s="1699"/>
      <c r="BN676" s="2186"/>
      <c r="BO676" s="1293"/>
      <c r="BP676" s="1293"/>
      <c r="BQ676" s="1293"/>
      <c r="BR676" s="1293"/>
      <c r="BS676" s="1293"/>
      <c r="BT676" s="1293"/>
      <c r="BU676" s="1293"/>
      <c r="BV676" s="1293"/>
      <c r="BW676" s="1293"/>
      <c r="BX676" s="1293"/>
      <c r="BY676" s="1293"/>
      <c r="BZ676" s="1293"/>
      <c r="CA676" s="1293"/>
      <c r="CB676" s="1293"/>
      <c r="CC676" s="1293"/>
      <c r="CD676" s="1293"/>
      <c r="CE676" s="1293"/>
      <c r="CF676" s="1293"/>
      <c r="CG676" s="1293"/>
      <c r="CH676" s="1293"/>
      <c r="CI676" s="1293"/>
      <c r="CJ676" s="1293"/>
      <c r="CK676" s="1293"/>
      <c r="CL676" s="1293"/>
      <c r="CM676" s="1293"/>
      <c r="CN676" s="1293"/>
      <c r="CO676" s="1293"/>
      <c r="CP676" s="1293"/>
      <c r="CQ676" s="1293"/>
      <c r="CR676" s="1293"/>
      <c r="CS676" s="1293"/>
      <c r="CT676" s="1293"/>
      <c r="CU676" s="1293"/>
      <c r="CV676" s="1293"/>
      <c r="CW676" s="1293"/>
      <c r="CX676" s="1293"/>
      <c r="CY676" s="2032"/>
      <c r="CZ676" s="1293"/>
      <c r="DA676" s="2042"/>
      <c r="DB676" s="2041"/>
      <c r="DC676" s="1293"/>
      <c r="DD676" s="1293"/>
      <c r="DE676" s="1293"/>
      <c r="DF676" s="1293"/>
      <c r="DG676" s="1293"/>
      <c r="DH676" s="1293"/>
      <c r="DI676" s="1293"/>
      <c r="DJ676" s="1293"/>
      <c r="DK676" s="1293"/>
      <c r="DL676" s="1293"/>
    </row>
    <row r="677" spans="1:116" ht="15.75">
      <c r="A677" s="1293"/>
      <c r="B677" s="1293" t="s">
        <v>4522</v>
      </c>
      <c r="C677" s="1699">
        <v>96.977000000000004</v>
      </c>
      <c r="D677" s="1699">
        <v>101.79900000000001</v>
      </c>
      <c r="E677" s="1699">
        <v>1050.3589999999999</v>
      </c>
      <c r="F677" s="1699">
        <v>1061.4079999999999</v>
      </c>
      <c r="G677" s="2039">
        <v>1061.4079999999999</v>
      </c>
      <c r="H677" s="1699">
        <v>1079.6770000000001</v>
      </c>
      <c r="I677" s="1699">
        <v>1105.7860000000001</v>
      </c>
      <c r="J677" s="1699">
        <v>1120.182</v>
      </c>
      <c r="K677" s="1699">
        <v>1160.577</v>
      </c>
      <c r="L677" s="2039">
        <v>1160.577</v>
      </c>
      <c r="M677" s="1699">
        <v>1185.046</v>
      </c>
      <c r="N677" s="1699">
        <v>1213.567</v>
      </c>
      <c r="O677" s="1699">
        <v>1254.2070000000001</v>
      </c>
      <c r="P677" s="1699">
        <v>1268.2820000000002</v>
      </c>
      <c r="Q677" s="2039">
        <f>P677</f>
        <v>1268.2820000000002</v>
      </c>
      <c r="R677" s="1699">
        <v>1331</v>
      </c>
      <c r="S677" s="1699"/>
      <c r="T677" s="1699"/>
      <c r="U677" s="1699"/>
      <c r="V677" s="2039"/>
      <c r="W677" s="1699"/>
      <c r="X677" s="1699"/>
      <c r="Y677" s="1699"/>
      <c r="Z677" s="1699"/>
      <c r="AA677" s="2039"/>
      <c r="AB677" s="1699"/>
      <c r="AC677" s="1699"/>
      <c r="AD677" s="1699"/>
      <c r="AE677" s="1699"/>
      <c r="AF677" s="1699"/>
      <c r="AG677" s="1699"/>
      <c r="AH677" s="1699"/>
      <c r="AI677" s="1699"/>
      <c r="AJ677" s="2186"/>
      <c r="AK677" s="1699"/>
      <c r="AL677" s="1699"/>
      <c r="AM677" s="1699"/>
      <c r="AN677" s="1699"/>
      <c r="AO677" s="2186"/>
      <c r="AP677" s="1699"/>
      <c r="AQ677" s="1699"/>
      <c r="AR677" s="1699"/>
      <c r="AS677" s="1699"/>
      <c r="AT677" s="2186"/>
      <c r="AU677" s="1699"/>
      <c r="AV677" s="1699"/>
      <c r="AW677" s="1699"/>
      <c r="AX677" s="1699"/>
      <c r="AY677" s="2186"/>
      <c r="AZ677" s="1699"/>
      <c r="BA677" s="1699"/>
      <c r="BB677" s="1699"/>
      <c r="BC677" s="1293"/>
      <c r="BD677" s="2186"/>
      <c r="BE677" s="1699"/>
      <c r="BF677" s="1699"/>
      <c r="BG677" s="1699"/>
      <c r="BH677" s="1293"/>
      <c r="BI677" s="2186"/>
      <c r="BJ677" s="1699"/>
      <c r="BK677" s="1699"/>
      <c r="BL677" s="1699"/>
      <c r="BM677" s="1699"/>
      <c r="BN677" s="2186"/>
      <c r="BO677" s="1293"/>
      <c r="BP677" s="1293"/>
      <c r="BQ677" s="1293"/>
      <c r="BR677" s="1293"/>
      <c r="BS677" s="1293"/>
      <c r="BT677" s="1293"/>
      <c r="BU677" s="1293"/>
      <c r="BV677" s="1293"/>
      <c r="BW677" s="1293"/>
      <c r="BX677" s="1293"/>
      <c r="BY677" s="1293"/>
      <c r="BZ677" s="1293"/>
      <c r="CA677" s="1293"/>
      <c r="CB677" s="1293"/>
      <c r="CC677" s="1293"/>
      <c r="CD677" s="1293"/>
      <c r="CE677" s="1293"/>
      <c r="CF677" s="1293"/>
      <c r="CG677" s="1293"/>
      <c r="CH677" s="1293"/>
      <c r="CI677" s="1293"/>
      <c r="CJ677" s="1293"/>
      <c r="CK677" s="1293"/>
      <c r="CL677" s="1293"/>
      <c r="CM677" s="1293"/>
      <c r="CN677" s="1293"/>
      <c r="CO677" s="1293"/>
      <c r="CP677" s="1293"/>
      <c r="CQ677" s="1293"/>
      <c r="CR677" s="1293"/>
      <c r="CS677" s="1293"/>
      <c r="CT677" s="1293"/>
      <c r="CU677" s="1293"/>
      <c r="CV677" s="1293"/>
      <c r="CW677" s="1293"/>
      <c r="CX677" s="1293"/>
      <c r="CY677" s="2032"/>
      <c r="CZ677" s="1293"/>
      <c r="DA677" s="2042"/>
      <c r="DB677" s="2041"/>
      <c r="DC677" s="1293"/>
      <c r="DD677" s="1293"/>
      <c r="DE677" s="1293"/>
      <c r="DF677" s="1293"/>
      <c r="DG677" s="1293"/>
      <c r="DH677" s="1293"/>
      <c r="DI677" s="1293"/>
      <c r="DJ677" s="1293"/>
      <c r="DK677" s="1293"/>
      <c r="DL677" s="1293"/>
    </row>
    <row r="678" spans="1:116" ht="15.75">
      <c r="A678" s="1293"/>
      <c r="B678" s="1293" t="s">
        <v>3864</v>
      </c>
      <c r="C678" s="1699">
        <v>130.202</v>
      </c>
      <c r="D678" s="1699">
        <v>140.34899999999999</v>
      </c>
      <c r="E678" s="1699">
        <v>1659.5730000000001</v>
      </c>
      <c r="F678" s="1699">
        <v>1746.173</v>
      </c>
      <c r="G678" s="2039">
        <v>1746.173</v>
      </c>
      <c r="H678" s="1699">
        <v>1835.143</v>
      </c>
      <c r="I678" s="1699">
        <v>1869.5730000000001</v>
      </c>
      <c r="J678" s="1699">
        <v>1971.4550000000002</v>
      </c>
      <c r="K678" s="1699">
        <v>2094.5839999999998</v>
      </c>
      <c r="L678" s="2039">
        <v>2094.5839999999998</v>
      </c>
      <c r="M678" s="1699">
        <v>2184.623</v>
      </c>
      <c r="N678" s="1699">
        <v>2285.3220000000001</v>
      </c>
      <c r="O678" s="1699">
        <v>2394.3700000000003</v>
      </c>
      <c r="P678" s="1699">
        <v>2442.8119999999999</v>
      </c>
      <c r="Q678" s="2039">
        <f>P678</f>
        <v>2442.8119999999999</v>
      </c>
      <c r="R678" s="1699">
        <v>2521</v>
      </c>
      <c r="S678" s="1699"/>
      <c r="T678" s="1699"/>
      <c r="U678" s="1699"/>
      <c r="V678" s="2039"/>
      <c r="W678" s="1699"/>
      <c r="X678" s="1699"/>
      <c r="Y678" s="1699"/>
      <c r="Z678" s="1699"/>
      <c r="AA678" s="2039"/>
      <c r="AB678" s="1699"/>
      <c r="AC678" s="1699"/>
      <c r="AD678" s="1699"/>
      <c r="AE678" s="1699"/>
      <c r="AF678" s="1699"/>
      <c r="AG678" s="1699"/>
      <c r="AH678" s="1699"/>
      <c r="AI678" s="1699"/>
      <c r="AJ678" s="2186"/>
      <c r="AK678" s="1699"/>
      <c r="AL678" s="1699"/>
      <c r="AM678" s="1699"/>
      <c r="AN678" s="1699"/>
      <c r="AO678" s="2186"/>
      <c r="AP678" s="1699"/>
      <c r="AQ678" s="1699"/>
      <c r="AR678" s="1699"/>
      <c r="AS678" s="1699"/>
      <c r="AT678" s="2186"/>
      <c r="AU678" s="1699"/>
      <c r="AV678" s="1699"/>
      <c r="AW678" s="1699"/>
      <c r="AX678" s="1699"/>
      <c r="AY678" s="2186"/>
      <c r="AZ678" s="1699"/>
      <c r="BA678" s="1699"/>
      <c r="BB678" s="1699"/>
      <c r="BC678" s="1293"/>
      <c r="BD678" s="2186"/>
      <c r="BE678" s="1699"/>
      <c r="BF678" s="1699"/>
      <c r="BG678" s="1699"/>
      <c r="BH678" s="1293"/>
      <c r="BI678" s="2186"/>
      <c r="BJ678" s="1699"/>
      <c r="BK678" s="1699"/>
      <c r="BL678" s="1699"/>
      <c r="BM678" s="1699"/>
      <c r="BN678" s="2186"/>
      <c r="BO678" s="1293"/>
      <c r="BP678" s="1293"/>
      <c r="BQ678" s="1293"/>
      <c r="BR678" s="1293"/>
      <c r="BS678" s="1293"/>
      <c r="BT678" s="1293"/>
      <c r="BU678" s="1293"/>
      <c r="BV678" s="1293"/>
      <c r="BW678" s="1293"/>
      <c r="BX678" s="1293"/>
      <c r="BY678" s="1293"/>
      <c r="BZ678" s="1293"/>
      <c r="CA678" s="1293"/>
      <c r="CB678" s="1293"/>
      <c r="CC678" s="1293"/>
      <c r="CD678" s="1293"/>
      <c r="CE678" s="1293"/>
      <c r="CF678" s="1293"/>
      <c r="CG678" s="1293"/>
      <c r="CH678" s="1293"/>
      <c r="CI678" s="1293"/>
      <c r="CJ678" s="1293"/>
      <c r="CK678" s="1293"/>
      <c r="CL678" s="1293"/>
      <c r="CM678" s="1293"/>
      <c r="CN678" s="1293"/>
      <c r="CO678" s="1293"/>
      <c r="CP678" s="1293"/>
      <c r="CQ678" s="1293"/>
      <c r="CR678" s="1293"/>
      <c r="CS678" s="1293"/>
      <c r="CT678" s="1293"/>
      <c r="CU678" s="1293"/>
      <c r="CV678" s="1293"/>
      <c r="CW678" s="1293"/>
      <c r="CX678" s="1293"/>
      <c r="CY678" s="2032"/>
      <c r="CZ678" s="1293"/>
      <c r="DA678" s="2042"/>
      <c r="DB678" s="2041"/>
      <c r="DC678" s="1293"/>
      <c r="DD678" s="1293"/>
      <c r="DE678" s="1293"/>
      <c r="DF678" s="1293"/>
      <c r="DG678" s="1293"/>
      <c r="DH678" s="1293"/>
      <c r="DI678" s="1293"/>
      <c r="DJ678" s="1293"/>
      <c r="DK678" s="1293"/>
      <c r="DL678" s="1293"/>
    </row>
    <row r="679" spans="1:116" ht="15.75">
      <c r="A679" s="1293"/>
      <c r="B679" s="1293" t="s">
        <v>4524</v>
      </c>
      <c r="C679" s="1650">
        <v>1.34</v>
      </c>
      <c r="D679" s="1650">
        <v>1.3786874134323519</v>
      </c>
      <c r="E679" s="1650">
        <v>1.5800055028804438</v>
      </c>
      <c r="F679" s="1650">
        <v>1.6451477659863127</v>
      </c>
      <c r="G679" s="2322">
        <v>1.6451477659863127</v>
      </c>
      <c r="H679" s="1650">
        <v>1.6997148221180962</v>
      </c>
      <c r="I679" s="1650">
        <v>1.6907186381451746</v>
      </c>
      <c r="J679" s="1650">
        <v>1.759941688047121</v>
      </c>
      <c r="K679" s="1650">
        <v>1.8047781405283749</v>
      </c>
      <c r="L679" s="2322">
        <v>1.8047781405283749</v>
      </c>
      <c r="M679" s="1650">
        <v>1.8434921513595253</v>
      </c>
      <c r="N679" s="1650">
        <v>1.8831444823400769</v>
      </c>
      <c r="O679" s="1650">
        <v>1.909070831210478</v>
      </c>
      <c r="P679" s="1650">
        <v>1.9260795312083587</v>
      </c>
      <c r="Q679" s="2322"/>
      <c r="R679" s="1650">
        <v>1.89</v>
      </c>
      <c r="S679" s="1650"/>
      <c r="T679" s="1650"/>
      <c r="U679" s="1650"/>
      <c r="V679" s="2322"/>
      <c r="W679" s="1650"/>
      <c r="X679" s="1650"/>
      <c r="Y679" s="1650"/>
      <c r="Z679" s="1650"/>
      <c r="AA679" s="2322"/>
      <c r="AB679" s="1650"/>
      <c r="AC679" s="1650"/>
      <c r="AD679" s="1650"/>
      <c r="AE679" s="1650"/>
      <c r="AF679" s="1650"/>
      <c r="AG679" s="1650"/>
      <c r="AH679" s="1650"/>
      <c r="AI679" s="1650"/>
      <c r="AJ679" s="2186"/>
      <c r="AK679" s="1650"/>
      <c r="AL679" s="1650"/>
      <c r="AM679" s="1650"/>
      <c r="AN679" s="1650"/>
      <c r="AO679" s="2186"/>
      <c r="AP679" s="1650"/>
      <c r="AQ679" s="1650"/>
      <c r="AR679" s="1650"/>
      <c r="AS679" s="1650"/>
      <c r="AT679" s="2186"/>
      <c r="AU679" s="1650"/>
      <c r="AV679" s="1650"/>
      <c r="AW679" s="1650"/>
      <c r="AX679" s="1650"/>
      <c r="AY679" s="2186"/>
      <c r="AZ679" s="1650"/>
      <c r="BA679" s="1650"/>
      <c r="BB679" s="1650"/>
      <c r="BC679" s="1293"/>
      <c r="BD679" s="2186"/>
      <c r="BE679" s="1650"/>
      <c r="BF679" s="1650"/>
      <c r="BG679" s="1650"/>
      <c r="BH679" s="1293"/>
      <c r="BI679" s="2186"/>
      <c r="BJ679" s="1650"/>
      <c r="BK679" s="1650"/>
      <c r="BL679" s="1650"/>
      <c r="BM679" s="1650"/>
      <c r="BN679" s="2186"/>
      <c r="BO679" s="1293"/>
      <c r="BP679" s="1293"/>
      <c r="BQ679" s="1293"/>
      <c r="BR679" s="1293"/>
      <c r="BS679" s="1293"/>
      <c r="BT679" s="1293"/>
      <c r="BU679" s="1293"/>
      <c r="BV679" s="1293"/>
      <c r="BW679" s="1293"/>
      <c r="BX679" s="1293"/>
      <c r="BY679" s="1293"/>
      <c r="BZ679" s="1293"/>
      <c r="CA679" s="1293"/>
      <c r="CB679" s="1293"/>
      <c r="CC679" s="1293"/>
      <c r="CD679" s="1293"/>
      <c r="CE679" s="1293"/>
      <c r="CF679" s="1293"/>
      <c r="CG679" s="1293"/>
      <c r="CH679" s="1293"/>
      <c r="CI679" s="1293"/>
      <c r="CJ679" s="1293"/>
      <c r="CK679" s="1293"/>
      <c r="CL679" s="1293"/>
      <c r="CM679" s="1293"/>
      <c r="CN679" s="1293"/>
      <c r="CO679" s="1293"/>
      <c r="CP679" s="1293"/>
      <c r="CQ679" s="1293"/>
      <c r="CR679" s="1293"/>
      <c r="CS679" s="1293"/>
      <c r="CT679" s="1293"/>
      <c r="CU679" s="1293"/>
      <c r="CV679" s="1293"/>
      <c r="CW679" s="1293"/>
      <c r="CX679" s="1293"/>
      <c r="CY679" s="2032"/>
      <c r="CZ679" s="1293"/>
      <c r="DA679" s="2323"/>
      <c r="DB679" s="2324"/>
      <c r="DC679" s="1293"/>
      <c r="DD679" s="1293"/>
      <c r="DE679" s="1293"/>
      <c r="DF679" s="1293"/>
      <c r="DG679" s="1293"/>
      <c r="DH679" s="1293"/>
      <c r="DI679" s="1293"/>
      <c r="DJ679" s="1293"/>
      <c r="DK679" s="1293"/>
      <c r="DL679" s="1293"/>
    </row>
    <row r="680" spans="1:116" ht="15.75">
      <c r="A680" s="1293"/>
      <c r="B680" s="1293" t="s">
        <v>4525</v>
      </c>
      <c r="C680" s="1724">
        <v>0.13330551721157424</v>
      </c>
      <c r="D680" s="1724">
        <v>0.14958475591088238</v>
      </c>
      <c r="E680" s="1724">
        <v>0.57320220918645926</v>
      </c>
      <c r="F680" s="1724">
        <v>0.58641857515935536</v>
      </c>
      <c r="G680" s="2325">
        <v>0.58641857515935536</v>
      </c>
      <c r="H680" s="1724">
        <v>0.59785477897243366</v>
      </c>
      <c r="I680" s="1724">
        <v>0.59359882813953135</v>
      </c>
      <c r="J680" s="1724">
        <v>0.60801332921937679</v>
      </c>
      <c r="K680" s="1724">
        <v>0.61648395050555382</v>
      </c>
      <c r="L680" s="2325">
        <v>0.61648395050555382</v>
      </c>
      <c r="M680" s="1724">
        <v>0.62481934033020825</v>
      </c>
      <c r="N680" s="1724">
        <v>0.63331702998061157</v>
      </c>
      <c r="O680" s="1724">
        <v>0.63323302775742163</v>
      </c>
      <c r="P680" s="1724">
        <v>0.63392106797482861</v>
      </c>
      <c r="Q680" s="2325"/>
      <c r="R680" s="1724">
        <v>0.63</v>
      </c>
      <c r="S680" s="1724"/>
      <c r="T680" s="1724"/>
      <c r="U680" s="1724"/>
      <c r="V680" s="2325"/>
      <c r="W680" s="1724"/>
      <c r="X680" s="1724"/>
      <c r="Y680" s="1724"/>
      <c r="Z680" s="1724"/>
      <c r="AA680" s="2325"/>
      <c r="AB680" s="1724"/>
      <c r="AC680" s="1724"/>
      <c r="AD680" s="1724"/>
      <c r="AE680" s="1724"/>
      <c r="AF680" s="1724"/>
      <c r="AG680" s="1724"/>
      <c r="AH680" s="1724"/>
      <c r="AI680" s="1724"/>
      <c r="AJ680" s="2186"/>
      <c r="AK680" s="1724"/>
      <c r="AL680" s="1724"/>
      <c r="AM680" s="1724"/>
      <c r="AN680" s="1724"/>
      <c r="AO680" s="2186"/>
      <c r="AP680" s="1724"/>
      <c r="AQ680" s="1724"/>
      <c r="AR680" s="1724"/>
      <c r="AS680" s="1724"/>
      <c r="AT680" s="2186"/>
      <c r="AU680" s="1724"/>
      <c r="AV680" s="1724"/>
      <c r="AW680" s="1724"/>
      <c r="AX680" s="1724"/>
      <c r="AY680" s="2186"/>
      <c r="AZ680" s="1724"/>
      <c r="BA680" s="1724"/>
      <c r="BB680" s="1724"/>
      <c r="BC680" s="1293"/>
      <c r="BD680" s="2186"/>
      <c r="BE680" s="1724"/>
      <c r="BF680" s="1724"/>
      <c r="BG680" s="1724"/>
      <c r="BH680" s="1293"/>
      <c r="BI680" s="2186"/>
      <c r="BJ680" s="1724"/>
      <c r="BK680" s="1724"/>
      <c r="BL680" s="1724"/>
      <c r="BM680" s="1724"/>
      <c r="BN680" s="2186"/>
      <c r="BO680" s="1293"/>
      <c r="BP680" s="1293"/>
      <c r="BQ680" s="1293"/>
      <c r="BR680" s="1293"/>
      <c r="BS680" s="1293"/>
      <c r="BT680" s="1293"/>
      <c r="BU680" s="1293"/>
      <c r="BV680" s="1293"/>
      <c r="BW680" s="1293"/>
      <c r="BX680" s="1293"/>
      <c r="BY680" s="1293"/>
      <c r="BZ680" s="1293"/>
      <c r="CA680" s="1293"/>
      <c r="CB680" s="1293"/>
      <c r="CC680" s="1293"/>
      <c r="CD680" s="1293"/>
      <c r="CE680" s="1293"/>
      <c r="CF680" s="1293"/>
      <c r="CG680" s="1293"/>
      <c r="CH680" s="1293"/>
      <c r="CI680" s="1293"/>
      <c r="CJ680" s="1293"/>
      <c r="CK680" s="1293"/>
      <c r="CL680" s="1293"/>
      <c r="CM680" s="1293"/>
      <c r="CN680" s="1293"/>
      <c r="CO680" s="1293"/>
      <c r="CP680" s="1293"/>
      <c r="CQ680" s="1293"/>
      <c r="CR680" s="1293"/>
      <c r="CS680" s="1293"/>
      <c r="CT680" s="1293"/>
      <c r="CU680" s="1293"/>
      <c r="CV680" s="1293"/>
      <c r="CW680" s="1293"/>
      <c r="CX680" s="1293"/>
      <c r="CY680" s="2032"/>
      <c r="CZ680" s="1293"/>
      <c r="DA680" s="2083"/>
      <c r="DB680" s="2084"/>
      <c r="DC680" s="1293"/>
      <c r="DD680" s="1293"/>
      <c r="DE680" s="1293"/>
      <c r="DF680" s="1293"/>
      <c r="DG680" s="1293"/>
      <c r="DH680" s="1293"/>
      <c r="DI680" s="1293"/>
      <c r="DJ680" s="1293"/>
      <c r="DK680" s="1293"/>
      <c r="DL680" s="1293"/>
    </row>
    <row r="681" spans="1:116" ht="15.75">
      <c r="A681" s="1293"/>
      <c r="B681" s="1293"/>
      <c r="C681" s="1293"/>
      <c r="D681" s="1293"/>
      <c r="E681" s="1293"/>
      <c r="F681" s="1293"/>
      <c r="G681" s="2080"/>
      <c r="H681" s="1293"/>
      <c r="I681" s="1293"/>
      <c r="J681" s="1293"/>
      <c r="K681" s="1293"/>
      <c r="L681" s="2080"/>
      <c r="M681" s="1293"/>
      <c r="N681" s="1293"/>
      <c r="O681" s="1293"/>
      <c r="P681" s="1293"/>
      <c r="Q681" s="2080"/>
      <c r="R681" s="1293"/>
      <c r="S681" s="1293"/>
      <c r="T681" s="1293"/>
      <c r="U681" s="1293"/>
      <c r="V681" s="2080"/>
      <c r="W681" s="1293"/>
      <c r="X681" s="1293"/>
      <c r="Y681" s="1293"/>
      <c r="Z681" s="1293"/>
      <c r="AA681" s="2080"/>
      <c r="AB681" s="1293"/>
      <c r="AC681" s="1293"/>
      <c r="AD681" s="1293"/>
      <c r="AE681" s="1293"/>
      <c r="AF681" s="1293"/>
      <c r="AG681" s="1293"/>
      <c r="AH681" s="1293"/>
      <c r="AI681" s="1293"/>
      <c r="AJ681" s="2186"/>
      <c r="AK681" s="1293"/>
      <c r="AL681" s="1293"/>
      <c r="AM681" s="1293"/>
      <c r="AN681" s="1293"/>
      <c r="AO681" s="2186"/>
      <c r="AP681" s="1293"/>
      <c r="AQ681" s="1293"/>
      <c r="AR681" s="1293"/>
      <c r="AS681" s="1293"/>
      <c r="AT681" s="2186"/>
      <c r="AU681" s="1293"/>
      <c r="AV681" s="1293"/>
      <c r="AW681" s="1293"/>
      <c r="AX681" s="1293"/>
      <c r="AY681" s="2186"/>
      <c r="AZ681" s="1293"/>
      <c r="BA681" s="1293"/>
      <c r="BB681" s="1293"/>
      <c r="BC681" s="1293"/>
      <c r="BD681" s="2186"/>
      <c r="BE681" s="1293"/>
      <c r="BF681" s="1293"/>
      <c r="BG681" s="1293"/>
      <c r="BH681" s="1293"/>
      <c r="BI681" s="2186"/>
      <c r="BJ681" s="1293"/>
      <c r="BK681" s="1293"/>
      <c r="BL681" s="1293"/>
      <c r="BM681" s="1293"/>
      <c r="BN681" s="2186"/>
      <c r="BO681" s="1293"/>
      <c r="BP681" s="1293"/>
      <c r="BQ681" s="1293"/>
      <c r="BR681" s="1293"/>
      <c r="BS681" s="1293"/>
      <c r="BT681" s="1293"/>
      <c r="BU681" s="1293"/>
      <c r="BV681" s="1293"/>
      <c r="BW681" s="1293"/>
      <c r="BX681" s="1293"/>
      <c r="BY681" s="1293"/>
      <c r="BZ681" s="1293"/>
      <c r="CA681" s="1293"/>
      <c r="CB681" s="1293"/>
      <c r="CC681" s="1293"/>
      <c r="CD681" s="1293"/>
      <c r="CE681" s="1293"/>
      <c r="CF681" s="1293"/>
      <c r="CG681" s="1293"/>
      <c r="CH681" s="1293"/>
      <c r="CI681" s="1293"/>
      <c r="CJ681" s="1293"/>
      <c r="CK681" s="1293"/>
      <c r="CL681" s="1293"/>
      <c r="CM681" s="1293"/>
      <c r="CN681" s="1293"/>
      <c r="CO681" s="1293"/>
      <c r="CP681" s="1293"/>
      <c r="CQ681" s="1293"/>
      <c r="CR681" s="1293"/>
      <c r="CS681" s="1293"/>
      <c r="CT681" s="1293"/>
      <c r="CU681" s="1293"/>
      <c r="CV681" s="1293"/>
      <c r="CW681" s="1293"/>
      <c r="CX681" s="1293"/>
      <c r="CY681" s="2032"/>
      <c r="CZ681" s="1293"/>
      <c r="DA681" s="2031"/>
      <c r="DB681" s="2032"/>
      <c r="DC681" s="1293"/>
      <c r="DD681" s="1293"/>
      <c r="DE681" s="1293"/>
      <c r="DF681" s="1293"/>
      <c r="DG681" s="1293"/>
      <c r="DH681" s="1293"/>
      <c r="DI681" s="1293"/>
      <c r="DJ681" s="1293"/>
      <c r="DK681" s="1293"/>
      <c r="DL681" s="1293"/>
    </row>
    <row r="682" spans="1:116" ht="15.75">
      <c r="A682" s="1293"/>
      <c r="B682" s="1334" t="s">
        <v>4526</v>
      </c>
      <c r="C682" s="1293"/>
      <c r="D682" s="1293"/>
      <c r="E682" s="1293"/>
      <c r="F682" s="1293"/>
      <c r="G682" s="2080"/>
      <c r="H682" s="1293"/>
      <c r="I682" s="1293"/>
      <c r="J682" s="1293"/>
      <c r="K682" s="1293"/>
      <c r="L682" s="2080"/>
      <c r="M682" s="1293"/>
      <c r="N682" s="1293"/>
      <c r="O682" s="1293"/>
      <c r="P682" s="1293"/>
      <c r="Q682" s="2080"/>
      <c r="R682" s="1293"/>
      <c r="S682" s="1293"/>
      <c r="T682" s="1293"/>
      <c r="U682" s="1293"/>
      <c r="V682" s="2080"/>
      <c r="W682" s="1293"/>
      <c r="X682" s="1293"/>
      <c r="Y682" s="1293"/>
      <c r="Z682" s="1293"/>
      <c r="AA682" s="2080"/>
      <c r="AB682" s="1293"/>
      <c r="AC682" s="1293"/>
      <c r="AD682" s="1293"/>
      <c r="AE682" s="1293"/>
      <c r="AF682" s="1293"/>
      <c r="AG682" s="1293"/>
      <c r="AH682" s="1293"/>
      <c r="AI682" s="1293"/>
      <c r="AJ682" s="2186"/>
      <c r="AK682" s="1293"/>
      <c r="AL682" s="1293"/>
      <c r="AM682" s="1293"/>
      <c r="AN682" s="1293"/>
      <c r="AO682" s="2186"/>
      <c r="AP682" s="1293"/>
      <c r="AQ682" s="1293"/>
      <c r="AR682" s="1293"/>
      <c r="AS682" s="1293"/>
      <c r="AT682" s="2186"/>
      <c r="AU682" s="1293"/>
      <c r="AV682" s="1293"/>
      <c r="AW682" s="1293"/>
      <c r="AX682" s="1293"/>
      <c r="AY682" s="2186"/>
      <c r="AZ682" s="1293"/>
      <c r="BA682" s="1293"/>
      <c r="BB682" s="1293"/>
      <c r="BC682" s="1293"/>
      <c r="BD682" s="2186"/>
      <c r="BE682" s="1293"/>
      <c r="BF682" s="1293"/>
      <c r="BG682" s="1293"/>
      <c r="BH682" s="1293"/>
      <c r="BI682" s="2186"/>
      <c r="BJ682" s="1293"/>
      <c r="BK682" s="1293"/>
      <c r="BL682" s="1293"/>
      <c r="BM682" s="1293"/>
      <c r="BN682" s="2186"/>
      <c r="BO682" s="1293"/>
      <c r="BP682" s="1293"/>
      <c r="BQ682" s="1293"/>
      <c r="BR682" s="1293"/>
      <c r="BS682" s="1293"/>
      <c r="BT682" s="1293"/>
      <c r="BU682" s="1293"/>
      <c r="BV682" s="1293"/>
      <c r="BW682" s="1293"/>
      <c r="BX682" s="1293"/>
      <c r="BY682" s="1293"/>
      <c r="BZ682" s="1293"/>
      <c r="CA682" s="1293"/>
      <c r="CB682" s="1293"/>
      <c r="CC682" s="1293"/>
      <c r="CD682" s="1293"/>
      <c r="CE682" s="1293"/>
      <c r="CF682" s="1293"/>
      <c r="CG682" s="1293"/>
      <c r="CH682" s="1293"/>
      <c r="CI682" s="1293"/>
      <c r="CJ682" s="1293"/>
      <c r="CK682" s="1293"/>
      <c r="CL682" s="1293"/>
      <c r="CM682" s="1293"/>
      <c r="CN682" s="1293"/>
      <c r="CO682" s="1293"/>
      <c r="CP682" s="1293"/>
      <c r="CQ682" s="1293"/>
      <c r="CR682" s="1293"/>
      <c r="CS682" s="1293"/>
      <c r="CT682" s="1293"/>
      <c r="CU682" s="1293"/>
      <c r="CV682" s="1293"/>
      <c r="CW682" s="1293"/>
      <c r="CX682" s="1293"/>
      <c r="CY682" s="2032"/>
      <c r="CZ682" s="1293"/>
      <c r="DA682" s="2031"/>
      <c r="DB682" s="2032"/>
      <c r="DC682" s="1293"/>
      <c r="DD682" s="1293"/>
      <c r="DE682" s="1293"/>
      <c r="DF682" s="1293"/>
      <c r="DG682" s="1293"/>
      <c r="DH682" s="1293"/>
      <c r="DI682" s="1293"/>
      <c r="DJ682" s="1293"/>
      <c r="DK682" s="1293"/>
      <c r="DL682" s="1293"/>
    </row>
    <row r="683" spans="1:116" ht="15.75">
      <c r="A683" s="1293"/>
      <c r="B683" s="1293" t="str">
        <f>B670</f>
        <v>Homes passed</v>
      </c>
      <c r="C683" s="1699">
        <f t="shared" ref="C683:P683" si="568">C670-C676</f>
        <v>826.60400000000004</v>
      </c>
      <c r="D683" s="1699">
        <f t="shared" si="568"/>
        <v>789.80400000000009</v>
      </c>
      <c r="E683" s="1699">
        <f t="shared" si="568"/>
        <v>1466.1056500281366</v>
      </c>
      <c r="F683" s="1699">
        <f t="shared" si="568"/>
        <v>1439.0325772288629</v>
      </c>
      <c r="G683" s="2039">
        <f t="shared" si="568"/>
        <v>1439.0325772288629</v>
      </c>
      <c r="H683" s="1699">
        <f t="shared" si="568"/>
        <v>1410.1134999999999</v>
      </c>
      <c r="I683" s="1699">
        <f t="shared" si="568"/>
        <v>1383.8877400000001</v>
      </c>
      <c r="J683" s="1699">
        <f t="shared" si="568"/>
        <v>1322.1477400000003</v>
      </c>
      <c r="K683" s="1699">
        <f t="shared" si="568"/>
        <v>1257.5517400000003</v>
      </c>
      <c r="L683" s="2039">
        <f t="shared" si="568"/>
        <v>1257.5517400000003</v>
      </c>
      <c r="M683" s="1699">
        <f t="shared" si="568"/>
        <v>1209</v>
      </c>
      <c r="N683" s="1699">
        <f t="shared" si="568"/>
        <v>1122.2730000000001</v>
      </c>
      <c r="O683" s="1699">
        <f t="shared" si="568"/>
        <v>1067.8999999999996</v>
      </c>
      <c r="P683" s="1699">
        <f t="shared" si="568"/>
        <v>966.84599999999955</v>
      </c>
      <c r="Q683" s="2039">
        <f>P683</f>
        <v>966.84599999999955</v>
      </c>
      <c r="R683" s="1699">
        <f>R670-R676</f>
        <v>882</v>
      </c>
      <c r="S683" s="1699"/>
      <c r="T683" s="1699"/>
      <c r="U683" s="1699"/>
      <c r="V683" s="2039"/>
      <c r="W683" s="1699"/>
      <c r="X683" s="1699"/>
      <c r="Y683" s="1699"/>
      <c r="Z683" s="1699"/>
      <c r="AA683" s="2039"/>
      <c r="AB683" s="1699"/>
      <c r="AC683" s="1699"/>
      <c r="AD683" s="1699"/>
      <c r="AE683" s="1699"/>
      <c r="AF683" s="1699"/>
      <c r="AG683" s="1699"/>
      <c r="AH683" s="1699"/>
      <c r="AI683" s="1699"/>
      <c r="AJ683" s="2186"/>
      <c r="AK683" s="1699"/>
      <c r="AL683" s="1699"/>
      <c r="AM683" s="1699"/>
      <c r="AN683" s="1699"/>
      <c r="AO683" s="2186"/>
      <c r="AP683" s="1699"/>
      <c r="AQ683" s="1699"/>
      <c r="AR683" s="1699"/>
      <c r="AS683" s="1699"/>
      <c r="AT683" s="2186"/>
      <c r="AU683" s="1699"/>
      <c r="AV683" s="1699"/>
      <c r="AW683" s="1699"/>
      <c r="AX683" s="1699"/>
      <c r="AY683" s="2186"/>
      <c r="AZ683" s="1699"/>
      <c r="BA683" s="1699"/>
      <c r="BB683" s="1699"/>
      <c r="BC683" s="1293"/>
      <c r="BD683" s="2186"/>
      <c r="BE683" s="1699"/>
      <c r="BF683" s="1699"/>
      <c r="BG683" s="1699"/>
      <c r="BH683" s="1293"/>
      <c r="BI683" s="2186"/>
      <c r="BJ683" s="1699"/>
      <c r="BK683" s="1699"/>
      <c r="BL683" s="1699"/>
      <c r="BM683" s="1699"/>
      <c r="BN683" s="2186"/>
      <c r="BO683" s="1293"/>
      <c r="BP683" s="1293"/>
      <c r="BQ683" s="1293"/>
      <c r="BR683" s="1293"/>
      <c r="BS683" s="1293"/>
      <c r="BT683" s="1293"/>
      <c r="BU683" s="1293"/>
      <c r="BV683" s="1293"/>
      <c r="BW683" s="1293"/>
      <c r="BX683" s="1293"/>
      <c r="BY683" s="1293"/>
      <c r="BZ683" s="1293"/>
      <c r="CA683" s="1293"/>
      <c r="CB683" s="1293"/>
      <c r="CC683" s="1293"/>
      <c r="CD683" s="1293"/>
      <c r="CE683" s="1293"/>
      <c r="CF683" s="1293"/>
      <c r="CG683" s="1293"/>
      <c r="CH683" s="1293"/>
      <c r="CI683" s="1293"/>
      <c r="CJ683" s="1293"/>
      <c r="CK683" s="1293"/>
      <c r="CL683" s="1293"/>
      <c r="CM683" s="1293"/>
      <c r="CN683" s="1293"/>
      <c r="CO683" s="1293"/>
      <c r="CP683" s="1293"/>
      <c r="CQ683" s="1293"/>
      <c r="CR683" s="1293"/>
      <c r="CS683" s="1293"/>
      <c r="CT683" s="1293"/>
      <c r="CU683" s="1293"/>
      <c r="CV683" s="1293"/>
      <c r="CW683" s="1293"/>
      <c r="CX683" s="1293"/>
      <c r="CY683" s="2032"/>
      <c r="CZ683" s="1293"/>
      <c r="DA683" s="2042"/>
      <c r="DB683" s="2041"/>
      <c r="DC683" s="1293"/>
      <c r="DD683" s="1293"/>
      <c r="DE683" s="1293"/>
      <c r="DF683" s="1293"/>
      <c r="DG683" s="1293"/>
      <c r="DH683" s="1293"/>
      <c r="DI683" s="1293"/>
      <c r="DJ683" s="1293"/>
      <c r="DK683" s="1293"/>
      <c r="DL683" s="1293"/>
    </row>
    <row r="684" spans="1:116" ht="15.75">
      <c r="A684" s="1293"/>
      <c r="B684" s="1293" t="str">
        <f>B671</f>
        <v>Homes connected</v>
      </c>
      <c r="C684" s="1699">
        <f t="shared" ref="C684:P684" si="569">C671-C677</f>
        <v>185.18000000000004</v>
      </c>
      <c r="D684" s="1699">
        <f t="shared" si="569"/>
        <v>193.88499999999996</v>
      </c>
      <c r="E684" s="1699">
        <f t="shared" si="569"/>
        <v>1070.009</v>
      </c>
      <c r="F684" s="1699">
        <f t="shared" si="569"/>
        <v>1052.087</v>
      </c>
      <c r="G684" s="2039">
        <f t="shared" si="569"/>
        <v>1052.087</v>
      </c>
      <c r="H684" s="1699">
        <f t="shared" si="569"/>
        <v>1036.6639999999998</v>
      </c>
      <c r="I684" s="1699">
        <f t="shared" si="569"/>
        <v>1031.9070000000002</v>
      </c>
      <c r="J684" s="1699">
        <f t="shared" si="569"/>
        <v>972.38399999999979</v>
      </c>
      <c r="K684" s="1699">
        <f t="shared" si="569"/>
        <v>937.43500000000017</v>
      </c>
      <c r="L684" s="2039">
        <f t="shared" si="569"/>
        <v>937.43500000000017</v>
      </c>
      <c r="M684" s="1699">
        <f t="shared" si="569"/>
        <v>888.57599999999979</v>
      </c>
      <c r="N684" s="1699">
        <f t="shared" si="569"/>
        <v>841.76200000000017</v>
      </c>
      <c r="O684" s="1699">
        <f t="shared" si="569"/>
        <v>816.96800000000007</v>
      </c>
      <c r="P684" s="1699">
        <f t="shared" si="569"/>
        <v>797.7829999999999</v>
      </c>
      <c r="Q684" s="2039">
        <f>P684</f>
        <v>797.7829999999999</v>
      </c>
      <c r="R684" s="1699">
        <f>R671-R677</f>
        <v>750</v>
      </c>
      <c r="S684" s="1699"/>
      <c r="T684" s="1699"/>
      <c r="U684" s="1699"/>
      <c r="V684" s="2039"/>
      <c r="W684" s="1699"/>
      <c r="X684" s="1699"/>
      <c r="Y684" s="1699"/>
      <c r="Z684" s="1699"/>
      <c r="AA684" s="2039"/>
      <c r="AB684" s="1699"/>
      <c r="AC684" s="1699"/>
      <c r="AD684" s="1699"/>
      <c r="AE684" s="1699"/>
      <c r="AF684" s="1699"/>
      <c r="AG684" s="1699"/>
      <c r="AH684" s="1699"/>
      <c r="AI684" s="1699"/>
      <c r="AJ684" s="2186"/>
      <c r="AK684" s="1699"/>
      <c r="AL684" s="1699"/>
      <c r="AM684" s="1699"/>
      <c r="AN684" s="1699"/>
      <c r="AO684" s="2186"/>
      <c r="AP684" s="1699"/>
      <c r="AQ684" s="1699"/>
      <c r="AR684" s="1699"/>
      <c r="AS684" s="1699"/>
      <c r="AT684" s="2186"/>
      <c r="AU684" s="1699"/>
      <c r="AV684" s="1699"/>
      <c r="AW684" s="1699"/>
      <c r="AX684" s="1699"/>
      <c r="AY684" s="2186"/>
      <c r="AZ684" s="1699"/>
      <c r="BA684" s="1699"/>
      <c r="BB684" s="1699"/>
      <c r="BC684" s="1293"/>
      <c r="BD684" s="2186"/>
      <c r="BE684" s="1699"/>
      <c r="BF684" s="1699"/>
      <c r="BG684" s="1699"/>
      <c r="BH684" s="1293"/>
      <c r="BI684" s="2186"/>
      <c r="BJ684" s="1699"/>
      <c r="BK684" s="1699"/>
      <c r="BL684" s="1699"/>
      <c r="BM684" s="1699"/>
      <c r="BN684" s="2186"/>
      <c r="BO684" s="1293"/>
      <c r="BP684" s="1293"/>
      <c r="BQ684" s="1293"/>
      <c r="BR684" s="1293"/>
      <c r="BS684" s="1293"/>
      <c r="BT684" s="1293"/>
      <c r="BU684" s="1293"/>
      <c r="BV684" s="1293"/>
      <c r="BW684" s="1293"/>
      <c r="BX684" s="1293"/>
      <c r="BY684" s="1293"/>
      <c r="BZ684" s="1293"/>
      <c r="CA684" s="1293"/>
      <c r="CB684" s="1293"/>
      <c r="CC684" s="1293"/>
      <c r="CD684" s="1293"/>
      <c r="CE684" s="1293"/>
      <c r="CF684" s="1293"/>
      <c r="CG684" s="1293"/>
      <c r="CH684" s="1293"/>
      <c r="CI684" s="1293"/>
      <c r="CJ684" s="1293"/>
      <c r="CK684" s="1293"/>
      <c r="CL684" s="1293"/>
      <c r="CM684" s="1293"/>
      <c r="CN684" s="1293"/>
      <c r="CO684" s="1293"/>
      <c r="CP684" s="1293"/>
      <c r="CQ684" s="1293"/>
      <c r="CR684" s="1293"/>
      <c r="CS684" s="1293"/>
      <c r="CT684" s="1293"/>
      <c r="CU684" s="1293"/>
      <c r="CV684" s="1293"/>
      <c r="CW684" s="1293"/>
      <c r="CX684" s="1293"/>
      <c r="CY684" s="2032"/>
      <c r="CZ684" s="1293"/>
      <c r="DA684" s="2042"/>
      <c r="DB684" s="2041"/>
      <c r="DC684" s="1293"/>
      <c r="DD684" s="1293"/>
      <c r="DE684" s="1293"/>
      <c r="DF684" s="1293"/>
      <c r="DG684" s="1293"/>
      <c r="DH684" s="1293"/>
      <c r="DI684" s="1293"/>
      <c r="DJ684" s="1293"/>
      <c r="DK684" s="1293"/>
      <c r="DL684" s="1293"/>
    </row>
    <row r="685" spans="1:116" ht="15.75">
      <c r="A685" s="1293"/>
      <c r="B685" s="1293" t="str">
        <f>B672</f>
        <v>RGUs</v>
      </c>
      <c r="C685" s="1699">
        <f t="shared" ref="C685:P685" si="570">C672-C678</f>
        <v>184.73599999999999</v>
      </c>
      <c r="D685" s="1699">
        <f t="shared" si="570"/>
        <v>193.88499999999999</v>
      </c>
      <c r="E685" s="1699">
        <f t="shared" si="570"/>
        <v>2257.5940000000001</v>
      </c>
      <c r="F685" s="1699">
        <f t="shared" si="570"/>
        <v>2219.3599999999997</v>
      </c>
      <c r="G685" s="2039">
        <f t="shared" si="570"/>
        <v>2219.3599999999997</v>
      </c>
      <c r="H685" s="1699">
        <f t="shared" si="570"/>
        <v>2162.2869999999998</v>
      </c>
      <c r="I685" s="1699">
        <f t="shared" si="570"/>
        <v>2150.7849999999999</v>
      </c>
      <c r="J685" s="1699">
        <f t="shared" si="570"/>
        <v>2005.3630000000001</v>
      </c>
      <c r="K685" s="1699">
        <f t="shared" si="570"/>
        <v>1955.3050000000003</v>
      </c>
      <c r="L685" s="2039">
        <f t="shared" si="570"/>
        <v>1955.3050000000003</v>
      </c>
      <c r="M685" s="1699">
        <f t="shared" si="570"/>
        <v>1850.7539999999999</v>
      </c>
      <c r="N685" s="1699">
        <f t="shared" si="570"/>
        <v>1763.4769999999999</v>
      </c>
      <c r="O685" s="1699">
        <f t="shared" si="570"/>
        <v>1702.4469999999997</v>
      </c>
      <c r="P685" s="1699">
        <f t="shared" si="570"/>
        <v>1633.3389999999999</v>
      </c>
      <c r="Q685" s="2039">
        <f>P685</f>
        <v>1633.3389999999999</v>
      </c>
      <c r="R685" s="1699">
        <f>R672-R678</f>
        <v>1559</v>
      </c>
      <c r="S685" s="1699"/>
      <c r="T685" s="1699"/>
      <c r="U685" s="1699"/>
      <c r="V685" s="2039"/>
      <c r="W685" s="1699"/>
      <c r="X685" s="1699"/>
      <c r="Y685" s="1699"/>
      <c r="Z685" s="1699"/>
      <c r="AA685" s="2039"/>
      <c r="AB685" s="1699"/>
      <c r="AC685" s="1699"/>
      <c r="AD685" s="1699"/>
      <c r="AE685" s="1699"/>
      <c r="AF685" s="1699"/>
      <c r="AG685" s="1699"/>
      <c r="AH685" s="1699"/>
      <c r="AI685" s="1699"/>
      <c r="AJ685" s="2186"/>
      <c r="AK685" s="1699"/>
      <c r="AL685" s="1699"/>
      <c r="AM685" s="1699"/>
      <c r="AN685" s="1699"/>
      <c r="AO685" s="2186"/>
      <c r="AP685" s="1699"/>
      <c r="AQ685" s="1699"/>
      <c r="AR685" s="1699"/>
      <c r="AS685" s="1699"/>
      <c r="AT685" s="2186"/>
      <c r="AU685" s="1699"/>
      <c r="AV685" s="1699"/>
      <c r="AW685" s="1699"/>
      <c r="AX685" s="1699"/>
      <c r="AY685" s="2186"/>
      <c r="AZ685" s="1699"/>
      <c r="BA685" s="1699"/>
      <c r="BB685" s="1699"/>
      <c r="BC685" s="1293"/>
      <c r="BD685" s="2186"/>
      <c r="BE685" s="1699"/>
      <c r="BF685" s="1699"/>
      <c r="BG685" s="1699"/>
      <c r="BH685" s="1293"/>
      <c r="BI685" s="2186"/>
      <c r="BJ685" s="1699"/>
      <c r="BK685" s="1699"/>
      <c r="BL685" s="1699"/>
      <c r="BM685" s="1699"/>
      <c r="BN685" s="2186"/>
      <c r="BO685" s="1293"/>
      <c r="BP685" s="1293"/>
      <c r="BQ685" s="1293"/>
      <c r="BR685" s="1293"/>
      <c r="BS685" s="1293"/>
      <c r="BT685" s="1293"/>
      <c r="BU685" s="1293"/>
      <c r="BV685" s="1293"/>
      <c r="BW685" s="1293"/>
      <c r="BX685" s="1293"/>
      <c r="BY685" s="1293"/>
      <c r="BZ685" s="1293"/>
      <c r="CA685" s="1293"/>
      <c r="CB685" s="1293"/>
      <c r="CC685" s="1293"/>
      <c r="CD685" s="1293"/>
      <c r="CE685" s="1293"/>
      <c r="CF685" s="1293"/>
      <c r="CG685" s="1293"/>
      <c r="CH685" s="1293"/>
      <c r="CI685" s="1293"/>
      <c r="CJ685" s="1293"/>
      <c r="CK685" s="1293"/>
      <c r="CL685" s="1293"/>
      <c r="CM685" s="1293"/>
      <c r="CN685" s="1293"/>
      <c r="CO685" s="1293"/>
      <c r="CP685" s="1293"/>
      <c r="CQ685" s="1293"/>
      <c r="CR685" s="1293"/>
      <c r="CS685" s="1293"/>
      <c r="CT685" s="1293"/>
      <c r="CU685" s="1293"/>
      <c r="CV685" s="1293"/>
      <c r="CW685" s="1293"/>
      <c r="CX685" s="1293"/>
      <c r="CY685" s="2032"/>
      <c r="CZ685" s="1293"/>
      <c r="DA685" s="2042"/>
      <c r="DB685" s="2041"/>
      <c r="DC685" s="1293"/>
      <c r="DD685" s="1293"/>
      <c r="DE685" s="1293"/>
      <c r="DF685" s="1293"/>
      <c r="DG685" s="1293"/>
      <c r="DH685" s="1293"/>
      <c r="DI685" s="1293"/>
      <c r="DJ685" s="1293"/>
      <c r="DK685" s="1293"/>
      <c r="DL685" s="1293"/>
    </row>
    <row r="686" spans="1:116" ht="15.75">
      <c r="A686" s="1293"/>
      <c r="B686" s="1293"/>
      <c r="C686" s="1293"/>
      <c r="D686" s="1293"/>
      <c r="E686" s="1293"/>
      <c r="F686" s="1293"/>
      <c r="G686" s="2080"/>
      <c r="H686" s="1293"/>
      <c r="I686" s="1293"/>
      <c r="J686" s="1293"/>
      <c r="K686" s="1293"/>
      <c r="L686" s="2080"/>
      <c r="M686" s="1293"/>
      <c r="N686" s="1293"/>
      <c r="O686" s="1293"/>
      <c r="P686" s="1293"/>
      <c r="Q686" s="2080"/>
      <c r="R686" s="1293"/>
      <c r="S686" s="1293"/>
      <c r="T686" s="1293"/>
      <c r="U686" s="1293"/>
      <c r="V686" s="2080"/>
      <c r="W686" s="1293"/>
      <c r="X686" s="1293"/>
      <c r="Y686" s="1293"/>
      <c r="Z686" s="1293"/>
      <c r="AA686" s="2080"/>
      <c r="AB686" s="1293"/>
      <c r="AC686" s="1293"/>
      <c r="AD686" s="1293"/>
      <c r="AE686" s="1293"/>
      <c r="AF686" s="1293"/>
      <c r="AG686" s="1293"/>
      <c r="AH686" s="1293"/>
      <c r="AI686" s="1293"/>
      <c r="AJ686" s="2186"/>
      <c r="AK686" s="1293"/>
      <c r="AL686" s="1293"/>
      <c r="AM686" s="1293"/>
      <c r="AN686" s="1293"/>
      <c r="AO686" s="2186"/>
      <c r="AP686" s="1293"/>
      <c r="AQ686" s="1293"/>
      <c r="AR686" s="1293"/>
      <c r="AS686" s="1293"/>
      <c r="AT686" s="2186"/>
      <c r="AU686" s="1293"/>
      <c r="AV686" s="1293"/>
      <c r="AW686" s="1293"/>
      <c r="AX686" s="1293"/>
      <c r="AY686" s="2186"/>
      <c r="AZ686" s="1293"/>
      <c r="BA686" s="1293"/>
      <c r="BB686" s="1293"/>
      <c r="BC686" s="1293"/>
      <c r="BD686" s="2186"/>
      <c r="BE686" s="1293"/>
      <c r="BF686" s="1293"/>
      <c r="BG686" s="1293"/>
      <c r="BH686" s="1293"/>
      <c r="BI686" s="2186"/>
      <c r="BJ686" s="1293"/>
      <c r="BK686" s="1293"/>
      <c r="BL686" s="1293"/>
      <c r="BM686" s="1293"/>
      <c r="BN686" s="2186"/>
      <c r="BO686" s="1293"/>
      <c r="BP686" s="1293"/>
      <c r="BQ686" s="1293"/>
      <c r="BR686" s="1293"/>
      <c r="BS686" s="1293"/>
      <c r="BT686" s="1293"/>
      <c r="BU686" s="1293"/>
      <c r="BV686" s="1293"/>
      <c r="BW686" s="1293"/>
      <c r="BX686" s="1293"/>
      <c r="BY686" s="1293"/>
      <c r="BZ686" s="1293"/>
      <c r="CA686" s="1293"/>
      <c r="CB686" s="1293"/>
      <c r="CC686" s="1293"/>
      <c r="CD686" s="1293"/>
      <c r="CE686" s="1293"/>
      <c r="CF686" s="1293"/>
      <c r="CG686" s="1293"/>
      <c r="CH686" s="1293"/>
      <c r="CI686" s="1293"/>
      <c r="CJ686" s="1293"/>
      <c r="CK686" s="1293"/>
      <c r="CL686" s="1293"/>
      <c r="CM686" s="1293"/>
      <c r="CN686" s="1293"/>
      <c r="CO686" s="1293"/>
      <c r="CP686" s="1293"/>
      <c r="CQ686" s="1293"/>
      <c r="CR686" s="1293"/>
      <c r="CS686" s="1293"/>
      <c r="CT686" s="1293"/>
      <c r="CU686" s="1293"/>
      <c r="CV686" s="1293"/>
      <c r="CW686" s="1293"/>
      <c r="CX686" s="1293"/>
      <c r="CY686" s="2032"/>
      <c r="CZ686" s="1293"/>
      <c r="DA686" s="2031"/>
      <c r="DB686" s="2032"/>
      <c r="DC686" s="1293"/>
      <c r="DD686" s="1293"/>
      <c r="DE686" s="1293"/>
      <c r="DF686" s="1293"/>
      <c r="DG686" s="1293"/>
      <c r="DH686" s="1293"/>
      <c r="DI686" s="1293"/>
      <c r="DJ686" s="1293"/>
      <c r="DK686" s="1293"/>
      <c r="DL686" s="1293"/>
    </row>
    <row r="687" spans="1:116" ht="15.75">
      <c r="A687" s="1293"/>
      <c r="B687" s="2318" t="s">
        <v>584</v>
      </c>
      <c r="C687" s="1699"/>
      <c r="D687" s="1699"/>
      <c r="E687" s="1699"/>
      <c r="F687" s="1699"/>
      <c r="G687" s="2039"/>
      <c r="H687" s="1699"/>
      <c r="I687" s="1699"/>
      <c r="J687" s="1699"/>
      <c r="K687" s="1699"/>
      <c r="L687" s="2039"/>
      <c r="M687" s="1699"/>
      <c r="N687" s="1699"/>
      <c r="O687" s="1699"/>
      <c r="P687" s="1699"/>
      <c r="Q687" s="2039"/>
      <c r="R687" s="1699"/>
      <c r="S687" s="1699"/>
      <c r="T687" s="1699"/>
      <c r="U687" s="1699"/>
      <c r="V687" s="2039"/>
      <c r="W687" s="1699"/>
      <c r="X687" s="1699"/>
      <c r="Y687" s="1699"/>
      <c r="Z687" s="1699"/>
      <c r="AA687" s="2039"/>
      <c r="AB687" s="1699"/>
      <c r="AC687" s="1699"/>
      <c r="AD687" s="1699"/>
      <c r="AE687" s="1699"/>
      <c r="AF687" s="1699"/>
      <c r="AG687" s="1699"/>
      <c r="AH687" s="1699"/>
      <c r="AI687" s="1699"/>
      <c r="AJ687" s="2186"/>
      <c r="AK687" s="1699"/>
      <c r="AL687" s="1699"/>
      <c r="AM687" s="1699"/>
      <c r="AN687" s="1699"/>
      <c r="AO687" s="2186"/>
      <c r="AP687" s="1699"/>
      <c r="AQ687" s="1699"/>
      <c r="AR687" s="1699"/>
      <c r="AS687" s="1699"/>
      <c r="AT687" s="2186"/>
      <c r="AU687" s="1699"/>
      <c r="AV687" s="1699"/>
      <c r="AW687" s="1699"/>
      <c r="AX687" s="1699"/>
      <c r="AY687" s="2186"/>
      <c r="AZ687" s="1699"/>
      <c r="BA687" s="1699"/>
      <c r="BB687" s="1699"/>
      <c r="BC687" s="1293"/>
      <c r="BD687" s="2186"/>
      <c r="BE687" s="1699"/>
      <c r="BF687" s="1699"/>
      <c r="BG687" s="1699"/>
      <c r="BH687" s="1293"/>
      <c r="BI687" s="2186"/>
      <c r="BJ687" s="1699"/>
      <c r="BK687" s="1699"/>
      <c r="BL687" s="1699"/>
      <c r="BM687" s="1699"/>
      <c r="BN687" s="2186"/>
      <c r="BO687" s="1293"/>
      <c r="BP687" s="1293"/>
      <c r="BQ687" s="1293"/>
      <c r="BR687" s="1293"/>
      <c r="BS687" s="1293"/>
      <c r="BT687" s="1293"/>
      <c r="BU687" s="1293"/>
      <c r="BV687" s="1293"/>
      <c r="BW687" s="1293"/>
      <c r="BX687" s="1293"/>
      <c r="BY687" s="1293"/>
      <c r="BZ687" s="1293"/>
      <c r="CA687" s="1293"/>
      <c r="CB687" s="1293"/>
      <c r="CC687" s="1293"/>
      <c r="CD687" s="1293"/>
      <c r="CE687" s="1293"/>
      <c r="CF687" s="1293"/>
      <c r="CG687" s="1293"/>
      <c r="CH687" s="1293"/>
      <c r="CI687" s="1293"/>
      <c r="CJ687" s="1293"/>
      <c r="CK687" s="1293"/>
      <c r="CL687" s="1293"/>
      <c r="CM687" s="1293"/>
      <c r="CN687" s="1293"/>
      <c r="CO687" s="1293"/>
      <c r="CP687" s="1293"/>
      <c r="CQ687" s="1293"/>
      <c r="CR687" s="1293"/>
      <c r="CS687" s="1293"/>
      <c r="CT687" s="1293"/>
      <c r="CU687" s="1293"/>
      <c r="CV687" s="1293"/>
      <c r="CW687" s="1293"/>
      <c r="CX687" s="1293"/>
      <c r="CY687" s="2032"/>
      <c r="CZ687" s="1293"/>
      <c r="DA687" s="2042"/>
      <c r="DB687" s="2041"/>
      <c r="DC687" s="1293"/>
      <c r="DD687" s="1293"/>
      <c r="DE687" s="1293"/>
      <c r="DF687" s="1293"/>
      <c r="DG687" s="1293"/>
      <c r="DH687" s="1293"/>
      <c r="DI687" s="1293"/>
      <c r="DJ687" s="1293"/>
      <c r="DK687" s="1293"/>
      <c r="DL687" s="1293"/>
    </row>
    <row r="688" spans="1:116" ht="15.75">
      <c r="A688" s="1293"/>
      <c r="B688" s="1293" t="str">
        <f>B669</f>
        <v>All technologies, KPIs</v>
      </c>
      <c r="C688" s="1699"/>
      <c r="D688" s="1699"/>
      <c r="E688" s="1699"/>
      <c r="F688" s="1699"/>
      <c r="G688" s="2039"/>
      <c r="H688" s="1699"/>
      <c r="I688" s="1699"/>
      <c r="J688" s="1699"/>
      <c r="K688" s="1699"/>
      <c r="L688" s="2039"/>
      <c r="M688" s="1699"/>
      <c r="N688" s="1699"/>
      <c r="O688" s="1699"/>
      <c r="P688" s="1699"/>
      <c r="Q688" s="2039"/>
      <c r="R688" s="1699"/>
      <c r="S688" s="1699"/>
      <c r="T688" s="1699"/>
      <c r="U688" s="1699"/>
      <c r="V688" s="2039"/>
      <c r="W688" s="1699"/>
      <c r="X688" s="1699"/>
      <c r="Y688" s="1699"/>
      <c r="Z688" s="1699"/>
      <c r="AA688" s="2039"/>
      <c r="AB688" s="1699"/>
      <c r="AC688" s="1699"/>
      <c r="AD688" s="1699"/>
      <c r="AE688" s="1699"/>
      <c r="AF688" s="1699"/>
      <c r="AG688" s="1699"/>
      <c r="AH688" s="1699"/>
      <c r="AI688" s="1699"/>
      <c r="AJ688" s="2186"/>
      <c r="AK688" s="1699"/>
      <c r="AL688" s="1699"/>
      <c r="AM688" s="1699"/>
      <c r="AN688" s="1699"/>
      <c r="AO688" s="2186"/>
      <c r="AP688" s="1699"/>
      <c r="AQ688" s="1699"/>
      <c r="AR688" s="1699"/>
      <c r="AS688" s="1699"/>
      <c r="AT688" s="2186"/>
      <c r="AU688" s="1699"/>
      <c r="AV688" s="1699"/>
      <c r="AW688" s="1699"/>
      <c r="AX688" s="1699"/>
      <c r="AY688" s="2186"/>
      <c r="AZ688" s="1699"/>
      <c r="BA688" s="1699"/>
      <c r="BB688" s="1699"/>
      <c r="BC688" s="1293"/>
      <c r="BD688" s="2186"/>
      <c r="BE688" s="1699"/>
      <c r="BF688" s="1699"/>
      <c r="BG688" s="1699"/>
      <c r="BH688" s="1293"/>
      <c r="BI688" s="2186"/>
      <c r="BJ688" s="1699"/>
      <c r="BK688" s="1699"/>
      <c r="BL688" s="1699"/>
      <c r="BM688" s="1699"/>
      <c r="BN688" s="2186"/>
      <c r="BO688" s="1293"/>
      <c r="BP688" s="1293"/>
      <c r="BQ688" s="1293"/>
      <c r="BR688" s="1293"/>
      <c r="BS688" s="1293"/>
      <c r="BT688" s="1293"/>
      <c r="BU688" s="1293"/>
      <c r="BV688" s="1293"/>
      <c r="BW688" s="1293"/>
      <c r="BX688" s="1293"/>
      <c r="BY688" s="1293"/>
      <c r="BZ688" s="1293"/>
      <c r="CA688" s="1293"/>
      <c r="CB688" s="1293"/>
      <c r="CC688" s="1293"/>
      <c r="CD688" s="1293"/>
      <c r="CE688" s="1293"/>
      <c r="CF688" s="1293"/>
      <c r="CG688" s="1293"/>
      <c r="CH688" s="1293"/>
      <c r="CI688" s="1293"/>
      <c r="CJ688" s="1293"/>
      <c r="CK688" s="1293"/>
      <c r="CL688" s="1293"/>
      <c r="CM688" s="1293"/>
      <c r="CN688" s="1293"/>
      <c r="CO688" s="1293"/>
      <c r="CP688" s="1293"/>
      <c r="CQ688" s="1293"/>
      <c r="CR688" s="1293"/>
      <c r="CS688" s="1293"/>
      <c r="CT688" s="1293"/>
      <c r="CU688" s="1293"/>
      <c r="CV688" s="1293"/>
      <c r="CW688" s="1293"/>
      <c r="CX688" s="1293"/>
      <c r="CY688" s="2032"/>
      <c r="CZ688" s="1293"/>
      <c r="DA688" s="2042"/>
      <c r="DB688" s="2041"/>
      <c r="DC688" s="1293"/>
      <c r="DD688" s="1293"/>
      <c r="DE688" s="1293"/>
      <c r="DF688" s="1293"/>
      <c r="DG688" s="1293"/>
      <c r="DH688" s="1293"/>
      <c r="DI688" s="1293"/>
      <c r="DJ688" s="1293"/>
      <c r="DK688" s="1293"/>
      <c r="DL688" s="1293"/>
    </row>
    <row r="689" spans="1:116" ht="15.75">
      <c r="A689" s="1293"/>
      <c r="B689" s="1293" t="str">
        <f>B670</f>
        <v>Homes passed</v>
      </c>
      <c r="C689" s="1699"/>
      <c r="D689" s="1699">
        <f t="shared" ref="D689:F691" si="571">D670-C670</f>
        <v>0</v>
      </c>
      <c r="E689" s="1699">
        <f t="shared" si="571"/>
        <v>3799.6030000000001</v>
      </c>
      <c r="F689" s="1699">
        <f t="shared" si="571"/>
        <v>112.42299999999977</v>
      </c>
      <c r="G689" s="2039"/>
      <c r="H689" s="1699">
        <f t="shared" ref="H689:K691" si="572">H670-G670</f>
        <v>55.03899999999976</v>
      </c>
      <c r="I689" s="1699">
        <f t="shared" si="572"/>
        <v>70.967999999999847</v>
      </c>
      <c r="J689" s="1699">
        <f t="shared" si="572"/>
        <v>175.36300000000028</v>
      </c>
      <c r="K689" s="1699">
        <f t="shared" si="572"/>
        <v>64.295000000000073</v>
      </c>
      <c r="L689" s="2039"/>
      <c r="M689" s="1699">
        <f t="shared" ref="M689:P691" si="573">M670-L670</f>
        <v>61.304000000000087</v>
      </c>
      <c r="N689" s="1699">
        <f t="shared" si="573"/>
        <v>46.354999999999563</v>
      </c>
      <c r="O689" s="1699">
        <f t="shared" si="573"/>
        <v>103.46500000000015</v>
      </c>
      <c r="P689" s="1699">
        <f t="shared" si="573"/>
        <v>119.3739999999998</v>
      </c>
      <c r="Q689" s="2039"/>
      <c r="R689" s="1699">
        <f>R670-Q670</f>
        <v>235.18900000000031</v>
      </c>
      <c r="S689" s="1699"/>
      <c r="T689" s="1699"/>
      <c r="U689" s="1699"/>
      <c r="V689" s="2039"/>
      <c r="W689" s="1699"/>
      <c r="X689" s="1699"/>
      <c r="Y689" s="1699"/>
      <c r="Z689" s="1699"/>
      <c r="AA689" s="2039"/>
      <c r="AB689" s="1699"/>
      <c r="AC689" s="1699"/>
      <c r="AD689" s="1699"/>
      <c r="AE689" s="1699"/>
      <c r="AF689" s="1699"/>
      <c r="AG689" s="1699"/>
      <c r="AH689" s="1699"/>
      <c r="AI689" s="1699"/>
      <c r="AJ689" s="2186"/>
      <c r="AK689" s="1699"/>
      <c r="AL689" s="1699"/>
      <c r="AM689" s="1699"/>
      <c r="AN689" s="1699"/>
      <c r="AO689" s="2186"/>
      <c r="AP689" s="1699"/>
      <c r="AQ689" s="1699"/>
      <c r="AR689" s="1699"/>
      <c r="AS689" s="1699"/>
      <c r="AT689" s="2186"/>
      <c r="AU689" s="1699"/>
      <c r="AV689" s="1699"/>
      <c r="AW689" s="1699"/>
      <c r="AX689" s="1699"/>
      <c r="AY689" s="2186"/>
      <c r="AZ689" s="1699"/>
      <c r="BA689" s="1699"/>
      <c r="BB689" s="1699"/>
      <c r="BC689" s="1293"/>
      <c r="BD689" s="2186"/>
      <c r="BE689" s="1699"/>
      <c r="BF689" s="1699"/>
      <c r="BG689" s="1699"/>
      <c r="BH689" s="1293"/>
      <c r="BI689" s="2186"/>
      <c r="BJ689" s="1699"/>
      <c r="BK689" s="1699"/>
      <c r="BL689" s="1699"/>
      <c r="BM689" s="1699"/>
      <c r="BN689" s="2186"/>
      <c r="BO689" s="1293"/>
      <c r="BP689" s="1293"/>
      <c r="BQ689" s="1293"/>
      <c r="BR689" s="1293"/>
      <c r="BS689" s="1293"/>
      <c r="BT689" s="1293"/>
      <c r="BU689" s="1293"/>
      <c r="BV689" s="1293"/>
      <c r="BW689" s="1293"/>
      <c r="BX689" s="1293"/>
      <c r="BY689" s="1293"/>
      <c r="BZ689" s="1293"/>
      <c r="CA689" s="1293"/>
      <c r="CB689" s="1293"/>
      <c r="CC689" s="1293"/>
      <c r="CD689" s="1293"/>
      <c r="CE689" s="1293"/>
      <c r="CF689" s="1293"/>
      <c r="CG689" s="1293"/>
      <c r="CH689" s="1293"/>
      <c r="CI689" s="1293"/>
      <c r="CJ689" s="1293"/>
      <c r="CK689" s="1293"/>
      <c r="CL689" s="1293"/>
      <c r="CM689" s="1293"/>
      <c r="CN689" s="1293"/>
      <c r="CO689" s="1293"/>
      <c r="CP689" s="1293"/>
      <c r="CQ689" s="1293"/>
      <c r="CR689" s="1293"/>
      <c r="CS689" s="1293"/>
      <c r="CT689" s="1293"/>
      <c r="CU689" s="1293"/>
      <c r="CV689" s="1293"/>
      <c r="CW689" s="1293"/>
      <c r="CX689" s="1293"/>
      <c r="CY689" s="2032"/>
      <c r="CZ689" s="1293"/>
      <c r="DA689" s="2042"/>
      <c r="DB689" s="2041"/>
      <c r="DC689" s="1293"/>
      <c r="DD689" s="1293"/>
      <c r="DE689" s="1293"/>
      <c r="DF689" s="1293"/>
      <c r="DG689" s="1293"/>
      <c r="DH689" s="1293"/>
      <c r="DI689" s="1293"/>
      <c r="DJ689" s="1293"/>
      <c r="DK689" s="1293"/>
      <c r="DL689" s="1293"/>
    </row>
    <row r="690" spans="1:116" ht="15.75">
      <c r="A690" s="1293"/>
      <c r="B690" s="1293" t="str">
        <f>B671</f>
        <v>Homes connected</v>
      </c>
      <c r="C690" s="1699"/>
      <c r="D690" s="1699">
        <f t="shared" si="571"/>
        <v>13.52699999999993</v>
      </c>
      <c r="E690" s="1699">
        <f t="shared" si="571"/>
        <v>1824.684</v>
      </c>
      <c r="F690" s="1699">
        <f t="shared" si="571"/>
        <v>-6.8730000000000473</v>
      </c>
      <c r="G690" s="2039"/>
      <c r="H690" s="1699">
        <f t="shared" si="572"/>
        <v>2.8460000000000036</v>
      </c>
      <c r="I690" s="1699">
        <f t="shared" si="572"/>
        <v>21.352000000000317</v>
      </c>
      <c r="J690" s="1699">
        <f t="shared" si="572"/>
        <v>-45.127000000000407</v>
      </c>
      <c r="K690" s="1699">
        <f t="shared" si="572"/>
        <v>5.4460000000003674</v>
      </c>
      <c r="L690" s="2039"/>
      <c r="M690" s="1699">
        <f t="shared" si="573"/>
        <v>-24.390000000000327</v>
      </c>
      <c r="N690" s="1699">
        <f t="shared" si="573"/>
        <v>-18.292999999999665</v>
      </c>
      <c r="O690" s="1699">
        <f t="shared" si="573"/>
        <v>15.846000000000004</v>
      </c>
      <c r="P690" s="1699">
        <f t="shared" si="573"/>
        <v>-5.1100000000001273</v>
      </c>
      <c r="Q690" s="2039"/>
      <c r="R690" s="1699">
        <f>R671-Q671</f>
        <v>14.934999999999945</v>
      </c>
      <c r="S690" s="1699"/>
      <c r="T690" s="1699"/>
      <c r="U690" s="1699"/>
      <c r="V690" s="2039"/>
      <c r="W690" s="1699"/>
      <c r="X690" s="1699"/>
      <c r="Y690" s="1699"/>
      <c r="Z690" s="1699"/>
      <c r="AA690" s="2039"/>
      <c r="AB690" s="1699"/>
      <c r="AC690" s="1699"/>
      <c r="AD690" s="1699"/>
      <c r="AE690" s="1699"/>
      <c r="AF690" s="1699"/>
      <c r="AG690" s="1699"/>
      <c r="AH690" s="1699"/>
      <c r="AI690" s="1699"/>
      <c r="AJ690" s="2186"/>
      <c r="AK690" s="1699"/>
      <c r="AL690" s="1699"/>
      <c r="AM690" s="1699"/>
      <c r="AN690" s="1699"/>
      <c r="AO690" s="2186"/>
      <c r="AP690" s="1699"/>
      <c r="AQ690" s="1699"/>
      <c r="AR690" s="1699"/>
      <c r="AS690" s="1699"/>
      <c r="AT690" s="2186"/>
      <c r="AU690" s="1699"/>
      <c r="AV690" s="1699"/>
      <c r="AW690" s="1699"/>
      <c r="AX690" s="1699"/>
      <c r="AY690" s="2186"/>
      <c r="AZ690" s="1699"/>
      <c r="BA690" s="1699"/>
      <c r="BB690" s="1699"/>
      <c r="BC690" s="1293"/>
      <c r="BD690" s="2186"/>
      <c r="BE690" s="1699"/>
      <c r="BF690" s="1699"/>
      <c r="BG690" s="1699"/>
      <c r="BH690" s="1293"/>
      <c r="BI690" s="2186"/>
      <c r="BJ690" s="1699"/>
      <c r="BK690" s="1699"/>
      <c r="BL690" s="1699"/>
      <c r="BM690" s="1699"/>
      <c r="BN690" s="2186"/>
      <c r="BO690" s="1293"/>
      <c r="BP690" s="1293"/>
      <c r="BQ690" s="1293"/>
      <c r="BR690" s="1293"/>
      <c r="BS690" s="1293"/>
      <c r="BT690" s="1293"/>
      <c r="BU690" s="1293"/>
      <c r="BV690" s="1293"/>
      <c r="BW690" s="1293"/>
      <c r="BX690" s="1293"/>
      <c r="BY690" s="1293"/>
      <c r="BZ690" s="1293"/>
      <c r="CA690" s="1293"/>
      <c r="CB690" s="1293"/>
      <c r="CC690" s="1293"/>
      <c r="CD690" s="1293"/>
      <c r="CE690" s="1293"/>
      <c r="CF690" s="1293"/>
      <c r="CG690" s="1293"/>
      <c r="CH690" s="1293"/>
      <c r="CI690" s="1293"/>
      <c r="CJ690" s="1293"/>
      <c r="CK690" s="1293"/>
      <c r="CL690" s="1293"/>
      <c r="CM690" s="1293"/>
      <c r="CN690" s="1293"/>
      <c r="CO690" s="1293"/>
      <c r="CP690" s="1293"/>
      <c r="CQ690" s="1293"/>
      <c r="CR690" s="1293"/>
      <c r="CS690" s="1293"/>
      <c r="CT690" s="1293"/>
      <c r="CU690" s="1293"/>
      <c r="CV690" s="1293"/>
      <c r="CW690" s="1293"/>
      <c r="CX690" s="1293"/>
      <c r="CY690" s="2032"/>
      <c r="CZ690" s="1293"/>
      <c r="DA690" s="2042"/>
      <c r="DB690" s="2041"/>
      <c r="DC690" s="1293"/>
      <c r="DD690" s="1293"/>
      <c r="DE690" s="1293"/>
      <c r="DF690" s="1293"/>
      <c r="DG690" s="1293"/>
      <c r="DH690" s="1293"/>
      <c r="DI690" s="1293"/>
      <c r="DJ690" s="1293"/>
      <c r="DK690" s="1293"/>
      <c r="DL690" s="1293"/>
    </row>
    <row r="691" spans="1:116" ht="15.75">
      <c r="A691" s="1293"/>
      <c r="B691" s="1293" t="str">
        <f>B672</f>
        <v>RGUs</v>
      </c>
      <c r="C691" s="1699"/>
      <c r="D691" s="1699">
        <f t="shared" si="571"/>
        <v>19.295999999999992</v>
      </c>
      <c r="E691" s="1699">
        <f t="shared" si="571"/>
        <v>3582.933</v>
      </c>
      <c r="F691" s="1699">
        <f t="shared" si="571"/>
        <v>48.365999999999985</v>
      </c>
      <c r="G691" s="2039"/>
      <c r="H691" s="1699">
        <f t="shared" si="572"/>
        <v>31.896999999999935</v>
      </c>
      <c r="I691" s="1699">
        <f t="shared" si="572"/>
        <v>22.928000000000338</v>
      </c>
      <c r="J691" s="1699">
        <f t="shared" si="572"/>
        <v>-43.539999999999964</v>
      </c>
      <c r="K691" s="1699">
        <f t="shared" si="572"/>
        <v>73.070999999999913</v>
      </c>
      <c r="L691" s="2039"/>
      <c r="M691" s="1699">
        <f t="shared" si="573"/>
        <v>-14.512000000000171</v>
      </c>
      <c r="N691" s="1699">
        <f t="shared" si="573"/>
        <v>13.422000000000025</v>
      </c>
      <c r="O691" s="1699">
        <f t="shared" si="573"/>
        <v>48.018000000000029</v>
      </c>
      <c r="P691" s="1699">
        <f t="shared" si="573"/>
        <v>-20.666000000000167</v>
      </c>
      <c r="Q691" s="2039"/>
      <c r="R691" s="1699">
        <f>R672-Q672</f>
        <v>3.8490000000001601</v>
      </c>
      <c r="S691" s="1699"/>
      <c r="T691" s="1699"/>
      <c r="U691" s="1699"/>
      <c r="V691" s="2039"/>
      <c r="W691" s="1699"/>
      <c r="X691" s="1699"/>
      <c r="Y691" s="1699"/>
      <c r="Z691" s="1699"/>
      <c r="AA691" s="2039"/>
      <c r="AB691" s="1699"/>
      <c r="AC691" s="1699"/>
      <c r="AD691" s="1699"/>
      <c r="AE691" s="1699"/>
      <c r="AF691" s="1699"/>
      <c r="AG691" s="1699"/>
      <c r="AH691" s="1699"/>
      <c r="AI691" s="1699"/>
      <c r="AJ691" s="2186"/>
      <c r="AK691" s="1699"/>
      <c r="AL691" s="1699"/>
      <c r="AM691" s="1699"/>
      <c r="AN691" s="1699"/>
      <c r="AO691" s="2186"/>
      <c r="AP691" s="1699"/>
      <c r="AQ691" s="1699"/>
      <c r="AR691" s="1699"/>
      <c r="AS691" s="1699"/>
      <c r="AT691" s="2186"/>
      <c r="AU691" s="1699"/>
      <c r="AV691" s="1699"/>
      <c r="AW691" s="1699"/>
      <c r="AX691" s="1699"/>
      <c r="AY691" s="2186"/>
      <c r="AZ691" s="1699"/>
      <c r="BA691" s="1699"/>
      <c r="BB691" s="1699"/>
      <c r="BC691" s="1293"/>
      <c r="BD691" s="2186"/>
      <c r="BE691" s="1699"/>
      <c r="BF691" s="1699"/>
      <c r="BG691" s="1699"/>
      <c r="BH691" s="1293"/>
      <c r="BI691" s="2186"/>
      <c r="BJ691" s="1699"/>
      <c r="BK691" s="1699"/>
      <c r="BL691" s="1699"/>
      <c r="BM691" s="1699"/>
      <c r="BN691" s="2186"/>
      <c r="BO691" s="1293"/>
      <c r="BP691" s="1293"/>
      <c r="BQ691" s="1293"/>
      <c r="BR691" s="1293"/>
      <c r="BS691" s="1293"/>
      <c r="BT691" s="1293"/>
      <c r="BU691" s="1293"/>
      <c r="BV691" s="1293"/>
      <c r="BW691" s="1293"/>
      <c r="BX691" s="1293"/>
      <c r="BY691" s="1293"/>
      <c r="BZ691" s="1293"/>
      <c r="CA691" s="1293"/>
      <c r="CB691" s="1293"/>
      <c r="CC691" s="1293"/>
      <c r="CD691" s="1293"/>
      <c r="CE691" s="1293"/>
      <c r="CF691" s="1293"/>
      <c r="CG691" s="1293"/>
      <c r="CH691" s="1293"/>
      <c r="CI691" s="1293"/>
      <c r="CJ691" s="1293"/>
      <c r="CK691" s="1293"/>
      <c r="CL691" s="1293"/>
      <c r="CM691" s="1293"/>
      <c r="CN691" s="1293"/>
      <c r="CO691" s="1293"/>
      <c r="CP691" s="1293"/>
      <c r="CQ691" s="1293"/>
      <c r="CR691" s="1293"/>
      <c r="CS691" s="1293"/>
      <c r="CT691" s="1293"/>
      <c r="CU691" s="1293"/>
      <c r="CV691" s="1293"/>
      <c r="CW691" s="1293"/>
      <c r="CX691" s="1293"/>
      <c r="CY691" s="2032"/>
      <c r="CZ691" s="1293"/>
      <c r="DA691" s="2042"/>
      <c r="DB691" s="2041"/>
      <c r="DC691" s="1293"/>
      <c r="DD691" s="1293"/>
      <c r="DE691" s="1293"/>
      <c r="DF691" s="1293"/>
      <c r="DG691" s="1293"/>
      <c r="DH691" s="1293"/>
      <c r="DI691" s="1293"/>
      <c r="DJ691" s="1293"/>
      <c r="DK691" s="1293"/>
      <c r="DL691" s="1293"/>
    </row>
    <row r="692" spans="1:116" ht="15.75">
      <c r="A692" s="1293"/>
      <c r="B692" s="1293"/>
      <c r="C692" s="1699"/>
      <c r="D692" s="1699"/>
      <c r="E692" s="1699"/>
      <c r="F692" s="1699"/>
      <c r="G692" s="2039"/>
      <c r="H692" s="1699"/>
      <c r="I692" s="1699"/>
      <c r="J692" s="1699"/>
      <c r="K692" s="1699"/>
      <c r="L692" s="2039"/>
      <c r="M692" s="1699"/>
      <c r="N692" s="1699"/>
      <c r="O692" s="1699"/>
      <c r="P692" s="1699"/>
      <c r="Q692" s="2039"/>
      <c r="R692" s="1699"/>
      <c r="S692" s="1699"/>
      <c r="T692" s="1699"/>
      <c r="U692" s="1699"/>
      <c r="V692" s="2039"/>
      <c r="W692" s="1699"/>
      <c r="X692" s="1699"/>
      <c r="Y692" s="1699"/>
      <c r="Z692" s="1699"/>
      <c r="AA692" s="2039"/>
      <c r="AB692" s="1699"/>
      <c r="AC692" s="1699"/>
      <c r="AD692" s="1699"/>
      <c r="AE692" s="1699"/>
      <c r="AF692" s="1699"/>
      <c r="AG692" s="1699"/>
      <c r="AH692" s="1699"/>
      <c r="AI692" s="1699"/>
      <c r="AJ692" s="2186"/>
      <c r="AK692" s="1699"/>
      <c r="AL692" s="1699"/>
      <c r="AM692" s="1699"/>
      <c r="AN692" s="1699"/>
      <c r="AO692" s="2186"/>
      <c r="AP692" s="1699"/>
      <c r="AQ692" s="1699"/>
      <c r="AR692" s="1699"/>
      <c r="AS692" s="1699"/>
      <c r="AT692" s="2186"/>
      <c r="AU692" s="1699"/>
      <c r="AV692" s="1699"/>
      <c r="AW692" s="1699"/>
      <c r="AX692" s="1699"/>
      <c r="AY692" s="2186"/>
      <c r="AZ692" s="1699"/>
      <c r="BA692" s="1699"/>
      <c r="BB692" s="1699"/>
      <c r="BC692" s="1293"/>
      <c r="BD692" s="2186"/>
      <c r="BE692" s="1699"/>
      <c r="BF692" s="1699"/>
      <c r="BG692" s="1699"/>
      <c r="BH692" s="1293"/>
      <c r="BI692" s="2186"/>
      <c r="BJ692" s="1699"/>
      <c r="BK692" s="1699"/>
      <c r="BL692" s="1699"/>
      <c r="BM692" s="1699"/>
      <c r="BN692" s="2186"/>
      <c r="BO692" s="1293"/>
      <c r="BP692" s="1293"/>
      <c r="BQ692" s="1293"/>
      <c r="BR692" s="1293"/>
      <c r="BS692" s="1293"/>
      <c r="BT692" s="1293"/>
      <c r="BU692" s="1293"/>
      <c r="BV692" s="1293"/>
      <c r="BW692" s="1293"/>
      <c r="BX692" s="1293"/>
      <c r="BY692" s="1293"/>
      <c r="BZ692" s="1293"/>
      <c r="CA692" s="1293"/>
      <c r="CB692" s="1293"/>
      <c r="CC692" s="1293"/>
      <c r="CD692" s="1293"/>
      <c r="CE692" s="1293"/>
      <c r="CF692" s="1293"/>
      <c r="CG692" s="1293"/>
      <c r="CH692" s="1293"/>
      <c r="CI692" s="1293"/>
      <c r="CJ692" s="1293"/>
      <c r="CK692" s="1293"/>
      <c r="CL692" s="1293"/>
      <c r="CM692" s="1293"/>
      <c r="CN692" s="1293"/>
      <c r="CO692" s="1293"/>
      <c r="CP692" s="1293"/>
      <c r="CQ692" s="1293"/>
      <c r="CR692" s="1293"/>
      <c r="CS692" s="1293"/>
      <c r="CT692" s="1293"/>
      <c r="CU692" s="1293"/>
      <c r="CV692" s="1293"/>
      <c r="CW692" s="1293"/>
      <c r="CX692" s="1293"/>
      <c r="CY692" s="2032"/>
      <c r="CZ692" s="1293"/>
      <c r="DA692" s="2042"/>
      <c r="DB692" s="2041"/>
      <c r="DC692" s="1293"/>
      <c r="DD692" s="1293"/>
      <c r="DE692" s="1293"/>
      <c r="DF692" s="1293"/>
      <c r="DG692" s="1293"/>
      <c r="DH692" s="1293"/>
      <c r="DI692" s="1293"/>
      <c r="DJ692" s="1293"/>
      <c r="DK692" s="1293"/>
      <c r="DL692" s="1293"/>
    </row>
    <row r="693" spans="1:116" ht="15.75">
      <c r="A693" s="1293"/>
      <c r="B693" s="1293"/>
      <c r="C693" s="1699"/>
      <c r="D693" s="1699"/>
      <c r="E693" s="1699"/>
      <c r="F693" s="1699"/>
      <c r="G693" s="2039"/>
      <c r="H693" s="1699"/>
      <c r="I693" s="1699"/>
      <c r="J693" s="1699"/>
      <c r="K693" s="1699"/>
      <c r="L693" s="2039"/>
      <c r="M693" s="1699"/>
      <c r="N693" s="1699"/>
      <c r="O693" s="1699"/>
      <c r="P693" s="1699"/>
      <c r="Q693" s="2039"/>
      <c r="R693" s="1699"/>
      <c r="S693" s="1699"/>
      <c r="T693" s="1699"/>
      <c r="U693" s="1699"/>
      <c r="V693" s="2039"/>
      <c r="W693" s="1699"/>
      <c r="X693" s="1699"/>
      <c r="Y693" s="1699"/>
      <c r="Z693" s="1699"/>
      <c r="AA693" s="2039"/>
      <c r="AB693" s="1699"/>
      <c r="AC693" s="1699"/>
      <c r="AD693" s="1699"/>
      <c r="AE693" s="1699"/>
      <c r="AF693" s="1699"/>
      <c r="AG693" s="1699"/>
      <c r="AH693" s="1699"/>
      <c r="AI693" s="1699"/>
      <c r="AJ693" s="2186"/>
      <c r="AK693" s="1699"/>
      <c r="AL693" s="1699"/>
      <c r="AM693" s="1699"/>
      <c r="AN693" s="1699"/>
      <c r="AO693" s="2186"/>
      <c r="AP693" s="1699"/>
      <c r="AQ693" s="1699"/>
      <c r="AR693" s="1699"/>
      <c r="AS693" s="1699"/>
      <c r="AT693" s="2186"/>
      <c r="AU693" s="1699"/>
      <c r="AV693" s="1699"/>
      <c r="AW693" s="1699"/>
      <c r="AX693" s="1699"/>
      <c r="AY693" s="2186"/>
      <c r="AZ693" s="1699"/>
      <c r="BA693" s="1699"/>
      <c r="BB693" s="1699"/>
      <c r="BC693" s="1293"/>
      <c r="BD693" s="2186"/>
      <c r="BE693" s="1699"/>
      <c r="BF693" s="1699"/>
      <c r="BG693" s="1699"/>
      <c r="BH693" s="1293"/>
      <c r="BI693" s="2186"/>
      <c r="BJ693" s="1699"/>
      <c r="BK693" s="1699"/>
      <c r="BL693" s="1699"/>
      <c r="BM693" s="1699"/>
      <c r="BN693" s="2186"/>
      <c r="BO693" s="1293"/>
      <c r="BP693" s="1293"/>
      <c r="BQ693" s="1293"/>
      <c r="BR693" s="1293"/>
      <c r="BS693" s="1293"/>
      <c r="BT693" s="1293"/>
      <c r="BU693" s="1293"/>
      <c r="BV693" s="1293"/>
      <c r="BW693" s="1293"/>
      <c r="BX693" s="1293"/>
      <c r="BY693" s="1293"/>
      <c r="BZ693" s="1293"/>
      <c r="CA693" s="1293"/>
      <c r="CB693" s="1293"/>
      <c r="CC693" s="1293"/>
      <c r="CD693" s="1293"/>
      <c r="CE693" s="1293"/>
      <c r="CF693" s="1293"/>
      <c r="CG693" s="1293"/>
      <c r="CH693" s="1293"/>
      <c r="CI693" s="1293"/>
      <c r="CJ693" s="1293"/>
      <c r="CK693" s="1293"/>
      <c r="CL693" s="1293"/>
      <c r="CM693" s="1293"/>
      <c r="CN693" s="1293"/>
      <c r="CO693" s="1293"/>
      <c r="CP693" s="1293"/>
      <c r="CQ693" s="1293"/>
      <c r="CR693" s="1293"/>
      <c r="CS693" s="1293"/>
      <c r="CT693" s="1293"/>
      <c r="CU693" s="1293"/>
      <c r="CV693" s="1293"/>
      <c r="CW693" s="1293"/>
      <c r="CX693" s="1293"/>
      <c r="CY693" s="2032"/>
      <c r="CZ693" s="1293"/>
      <c r="DA693" s="2042"/>
      <c r="DB693" s="2041"/>
      <c r="DC693" s="1293"/>
      <c r="DD693" s="1293"/>
      <c r="DE693" s="1293"/>
      <c r="DF693" s="1293"/>
      <c r="DG693" s="1293"/>
      <c r="DH693" s="1293"/>
      <c r="DI693" s="1293"/>
      <c r="DJ693" s="1293"/>
      <c r="DK693" s="1293"/>
      <c r="DL693" s="1293"/>
    </row>
    <row r="694" spans="1:116" ht="15.75">
      <c r="A694" s="1293"/>
      <c r="B694" s="1293" t="str">
        <f>B675</f>
        <v>HFC only</v>
      </c>
      <c r="C694" s="1699"/>
      <c r="D694" s="1699"/>
      <c r="E694" s="1699"/>
      <c r="F694" s="1699"/>
      <c r="G694" s="2039"/>
      <c r="H694" s="1699"/>
      <c r="I694" s="1699"/>
      <c r="J694" s="1699"/>
      <c r="K694" s="1699"/>
      <c r="L694" s="2039"/>
      <c r="M694" s="1699"/>
      <c r="N694" s="1699"/>
      <c r="O694" s="1699"/>
      <c r="P694" s="1699"/>
      <c r="Q694" s="2039"/>
      <c r="R694" s="1699"/>
      <c r="S694" s="1699"/>
      <c r="T694" s="1699"/>
      <c r="U694" s="1699"/>
      <c r="V694" s="2039"/>
      <c r="W694" s="1699"/>
      <c r="X694" s="1699"/>
      <c r="Y694" s="1699"/>
      <c r="Z694" s="1699"/>
      <c r="AA694" s="2039"/>
      <c r="AB694" s="1699"/>
      <c r="AC694" s="1699"/>
      <c r="AD694" s="1699"/>
      <c r="AE694" s="1699"/>
      <c r="AF694" s="1699"/>
      <c r="AG694" s="1699"/>
      <c r="AH694" s="1699"/>
      <c r="AI694" s="1699"/>
      <c r="AJ694" s="2186"/>
      <c r="AK694" s="1699"/>
      <c r="AL694" s="1699"/>
      <c r="AM694" s="1699"/>
      <c r="AN694" s="1699"/>
      <c r="AO694" s="2186"/>
      <c r="AP694" s="1699"/>
      <c r="AQ694" s="1699"/>
      <c r="AR694" s="1699"/>
      <c r="AS694" s="1699"/>
      <c r="AT694" s="2186"/>
      <c r="AU694" s="1699"/>
      <c r="AV694" s="1699"/>
      <c r="AW694" s="1699"/>
      <c r="AX694" s="1699"/>
      <c r="AY694" s="2186"/>
      <c r="AZ694" s="1699"/>
      <c r="BA694" s="1699"/>
      <c r="BB694" s="1699"/>
      <c r="BC694" s="1293"/>
      <c r="BD694" s="2186"/>
      <c r="BE694" s="1699"/>
      <c r="BF694" s="1699"/>
      <c r="BG694" s="1699"/>
      <c r="BH694" s="1293"/>
      <c r="BI694" s="2186"/>
      <c r="BJ694" s="1699"/>
      <c r="BK694" s="1699"/>
      <c r="BL694" s="1699"/>
      <c r="BM694" s="1699"/>
      <c r="BN694" s="2186"/>
      <c r="BO694" s="1293"/>
      <c r="BP694" s="1293"/>
      <c r="BQ694" s="1293"/>
      <c r="BR694" s="1293"/>
      <c r="BS694" s="1293"/>
      <c r="BT694" s="1293"/>
      <c r="BU694" s="1293"/>
      <c r="BV694" s="1293"/>
      <c r="BW694" s="1293"/>
      <c r="BX694" s="1293"/>
      <c r="BY694" s="1293"/>
      <c r="BZ694" s="1293"/>
      <c r="CA694" s="1293"/>
      <c r="CB694" s="1293"/>
      <c r="CC694" s="1293"/>
      <c r="CD694" s="1293"/>
      <c r="CE694" s="1293"/>
      <c r="CF694" s="1293"/>
      <c r="CG694" s="1293"/>
      <c r="CH694" s="1293"/>
      <c r="CI694" s="1293"/>
      <c r="CJ694" s="1293"/>
      <c r="CK694" s="1293"/>
      <c r="CL694" s="1293"/>
      <c r="CM694" s="1293"/>
      <c r="CN694" s="1293"/>
      <c r="CO694" s="1293"/>
      <c r="CP694" s="1293"/>
      <c r="CQ694" s="1293"/>
      <c r="CR694" s="1293"/>
      <c r="CS694" s="1293"/>
      <c r="CT694" s="1293"/>
      <c r="CU694" s="1293"/>
      <c r="CV694" s="1293"/>
      <c r="CW694" s="1293"/>
      <c r="CX694" s="1293"/>
      <c r="CY694" s="2032"/>
      <c r="CZ694" s="1293"/>
      <c r="DA694" s="2042"/>
      <c r="DB694" s="2041"/>
      <c r="DC694" s="1293"/>
      <c r="DD694" s="1293"/>
      <c r="DE694" s="1293"/>
      <c r="DF694" s="1293"/>
      <c r="DG694" s="1293"/>
      <c r="DH694" s="1293"/>
      <c r="DI694" s="1293"/>
      <c r="DJ694" s="1293"/>
      <c r="DK694" s="1293"/>
      <c r="DL694" s="1293"/>
    </row>
    <row r="695" spans="1:116" ht="15.75">
      <c r="A695" s="1293"/>
      <c r="B695" s="1293" t="str">
        <f>B676</f>
        <v>Homes passed</v>
      </c>
      <c r="C695" s="1699"/>
      <c r="D695" s="1699">
        <f t="shared" ref="D695:F697" si="574">D676-C676</f>
        <v>36.799999999999983</v>
      </c>
      <c r="E695" s="1699">
        <f t="shared" si="574"/>
        <v>3123.3013499718636</v>
      </c>
      <c r="F695" s="1699">
        <f t="shared" si="574"/>
        <v>139.49607279927341</v>
      </c>
      <c r="G695" s="2039"/>
      <c r="H695" s="1699">
        <f t="shared" ref="H695:K697" si="575">H676-G676</f>
        <v>83.958077228862749</v>
      </c>
      <c r="I695" s="1699">
        <f t="shared" si="575"/>
        <v>97.193759999999656</v>
      </c>
      <c r="J695" s="1699">
        <f t="shared" si="575"/>
        <v>237.10300000000007</v>
      </c>
      <c r="K695" s="1699">
        <f t="shared" si="575"/>
        <v>128.89100000000008</v>
      </c>
      <c r="L695" s="2039"/>
      <c r="M695" s="1699">
        <f t="shared" ref="M695:P697" si="576">M676-L676</f>
        <v>109.85574000000042</v>
      </c>
      <c r="N695" s="1699">
        <f t="shared" si="576"/>
        <v>133.08199999999943</v>
      </c>
      <c r="O695" s="1699">
        <f t="shared" si="576"/>
        <v>157.83800000000065</v>
      </c>
      <c r="P695" s="1699">
        <f t="shared" si="576"/>
        <v>220.42799999999988</v>
      </c>
      <c r="Q695" s="2039"/>
      <c r="R695" s="1699">
        <f>R676-Q676</f>
        <v>320.03499999999985</v>
      </c>
      <c r="S695" s="1699"/>
      <c r="T695" s="1699"/>
      <c r="U695" s="1699"/>
      <c r="V695" s="2039"/>
      <c r="W695" s="1699"/>
      <c r="X695" s="1699"/>
      <c r="Y695" s="1699"/>
      <c r="Z695" s="1699"/>
      <c r="AA695" s="2039"/>
      <c r="AB695" s="1699"/>
      <c r="AC695" s="1699"/>
      <c r="AD695" s="1699"/>
      <c r="AE695" s="1699"/>
      <c r="AF695" s="1699"/>
      <c r="AG695" s="1699"/>
      <c r="AH695" s="1699"/>
      <c r="AI695" s="1699"/>
      <c r="AJ695" s="2186"/>
      <c r="AK695" s="1699"/>
      <c r="AL695" s="1699"/>
      <c r="AM695" s="1699"/>
      <c r="AN695" s="1699"/>
      <c r="AO695" s="2186"/>
      <c r="AP695" s="1699"/>
      <c r="AQ695" s="1699"/>
      <c r="AR695" s="1699"/>
      <c r="AS695" s="1699"/>
      <c r="AT695" s="2186"/>
      <c r="AU695" s="1699"/>
      <c r="AV695" s="1699"/>
      <c r="AW695" s="1699"/>
      <c r="AX695" s="1699"/>
      <c r="AY695" s="2186"/>
      <c r="AZ695" s="1699"/>
      <c r="BA695" s="1699"/>
      <c r="BB695" s="1699"/>
      <c r="BC695" s="1293"/>
      <c r="BD695" s="2186"/>
      <c r="BE695" s="1699"/>
      <c r="BF695" s="1699"/>
      <c r="BG695" s="1699"/>
      <c r="BH695" s="1293"/>
      <c r="BI695" s="2186"/>
      <c r="BJ695" s="1699"/>
      <c r="BK695" s="1699"/>
      <c r="BL695" s="1699"/>
      <c r="BM695" s="1699"/>
      <c r="BN695" s="2186"/>
      <c r="BO695" s="1293"/>
      <c r="BP695" s="1293"/>
      <c r="BQ695" s="1293"/>
      <c r="BR695" s="1293"/>
      <c r="BS695" s="1293"/>
      <c r="BT695" s="1293"/>
      <c r="BU695" s="1293"/>
      <c r="BV695" s="1293"/>
      <c r="BW695" s="1293"/>
      <c r="BX695" s="1293"/>
      <c r="BY695" s="1293"/>
      <c r="BZ695" s="1293"/>
      <c r="CA695" s="1293"/>
      <c r="CB695" s="1293"/>
      <c r="CC695" s="1293"/>
      <c r="CD695" s="1293"/>
      <c r="CE695" s="1293"/>
      <c r="CF695" s="1293"/>
      <c r="CG695" s="1293"/>
      <c r="CH695" s="1293"/>
      <c r="CI695" s="1293"/>
      <c r="CJ695" s="1293"/>
      <c r="CK695" s="1293"/>
      <c r="CL695" s="1293"/>
      <c r="CM695" s="1293"/>
      <c r="CN695" s="1293"/>
      <c r="CO695" s="1293"/>
      <c r="CP695" s="1293"/>
      <c r="CQ695" s="1293"/>
      <c r="CR695" s="1293"/>
      <c r="CS695" s="1293"/>
      <c r="CT695" s="1293"/>
      <c r="CU695" s="1293"/>
      <c r="CV695" s="1293"/>
      <c r="CW695" s="1293"/>
      <c r="CX695" s="1293"/>
      <c r="CY695" s="2032"/>
      <c r="CZ695" s="1293"/>
      <c r="DA695" s="2042"/>
      <c r="DB695" s="2041"/>
      <c r="DC695" s="1293"/>
      <c r="DD695" s="1293"/>
      <c r="DE695" s="1293"/>
      <c r="DF695" s="1293"/>
      <c r="DG695" s="1293"/>
      <c r="DH695" s="1293"/>
      <c r="DI695" s="1293"/>
      <c r="DJ695" s="1293"/>
      <c r="DK695" s="1293"/>
      <c r="DL695" s="1293"/>
    </row>
    <row r="696" spans="1:116" ht="15.75">
      <c r="A696" s="1293"/>
      <c r="B696" s="1293" t="str">
        <f>B677</f>
        <v>Homes connected</v>
      </c>
      <c r="C696" s="1699"/>
      <c r="D696" s="1699">
        <f t="shared" si="574"/>
        <v>4.8220000000000027</v>
      </c>
      <c r="E696" s="1699">
        <f t="shared" si="574"/>
        <v>948.56</v>
      </c>
      <c r="F696" s="1699">
        <f t="shared" si="574"/>
        <v>11.048999999999978</v>
      </c>
      <c r="G696" s="2039"/>
      <c r="H696" s="1699">
        <f t="shared" si="575"/>
        <v>18.269000000000233</v>
      </c>
      <c r="I696" s="1699">
        <f t="shared" si="575"/>
        <v>26.108999999999924</v>
      </c>
      <c r="J696" s="1699">
        <f t="shared" si="575"/>
        <v>14.395999999999958</v>
      </c>
      <c r="K696" s="1699">
        <f t="shared" si="575"/>
        <v>40.394999999999982</v>
      </c>
      <c r="L696" s="2039"/>
      <c r="M696" s="1699">
        <f t="shared" si="576"/>
        <v>24.469000000000051</v>
      </c>
      <c r="N696" s="1699">
        <f t="shared" si="576"/>
        <v>28.520999999999958</v>
      </c>
      <c r="O696" s="1699">
        <f t="shared" si="576"/>
        <v>40.6400000000001</v>
      </c>
      <c r="P696" s="1699">
        <f t="shared" si="576"/>
        <v>14.075000000000045</v>
      </c>
      <c r="Q696" s="2039"/>
      <c r="R696" s="1699">
        <f>R677-Q677</f>
        <v>62.717999999999847</v>
      </c>
      <c r="S696" s="1699"/>
      <c r="T696" s="1699"/>
      <c r="U696" s="1699"/>
      <c r="V696" s="2039"/>
      <c r="W696" s="1699"/>
      <c r="X696" s="1699"/>
      <c r="Y696" s="1699"/>
      <c r="Z696" s="1699"/>
      <c r="AA696" s="2039"/>
      <c r="AB696" s="1699"/>
      <c r="AC696" s="1699"/>
      <c r="AD696" s="1699"/>
      <c r="AE696" s="1699"/>
      <c r="AF696" s="1699"/>
      <c r="AG696" s="1699"/>
      <c r="AH696" s="1699"/>
      <c r="AI696" s="1699"/>
      <c r="AJ696" s="2186"/>
      <c r="AK696" s="1699"/>
      <c r="AL696" s="1699"/>
      <c r="AM696" s="1699"/>
      <c r="AN696" s="1699"/>
      <c r="AO696" s="2186"/>
      <c r="AP696" s="1699"/>
      <c r="AQ696" s="1699"/>
      <c r="AR696" s="1699"/>
      <c r="AS696" s="1699"/>
      <c r="AT696" s="2186"/>
      <c r="AU696" s="1699"/>
      <c r="AV696" s="1699"/>
      <c r="AW696" s="1699"/>
      <c r="AX696" s="1699"/>
      <c r="AY696" s="2186"/>
      <c r="AZ696" s="1699"/>
      <c r="BA696" s="1699"/>
      <c r="BB696" s="1699"/>
      <c r="BC696" s="1293"/>
      <c r="BD696" s="2186"/>
      <c r="BE696" s="1699"/>
      <c r="BF696" s="1699"/>
      <c r="BG696" s="1699"/>
      <c r="BH696" s="1293"/>
      <c r="BI696" s="2186"/>
      <c r="BJ696" s="1699"/>
      <c r="BK696" s="1699"/>
      <c r="BL696" s="1699"/>
      <c r="BM696" s="1699"/>
      <c r="BN696" s="2186"/>
      <c r="BO696" s="1293"/>
      <c r="BP696" s="1293"/>
      <c r="BQ696" s="1293"/>
      <c r="BR696" s="1293"/>
      <c r="BS696" s="1293"/>
      <c r="BT696" s="1293"/>
      <c r="BU696" s="1293"/>
      <c r="BV696" s="1293"/>
      <c r="BW696" s="1293"/>
      <c r="BX696" s="1293"/>
      <c r="BY696" s="1293"/>
      <c r="BZ696" s="1293"/>
      <c r="CA696" s="1293"/>
      <c r="CB696" s="1293"/>
      <c r="CC696" s="1293"/>
      <c r="CD696" s="1293"/>
      <c r="CE696" s="1293"/>
      <c r="CF696" s="1293"/>
      <c r="CG696" s="1293"/>
      <c r="CH696" s="1293"/>
      <c r="CI696" s="1293"/>
      <c r="CJ696" s="1293"/>
      <c r="CK696" s="1293"/>
      <c r="CL696" s="1293"/>
      <c r="CM696" s="1293"/>
      <c r="CN696" s="1293"/>
      <c r="CO696" s="1293"/>
      <c r="CP696" s="1293"/>
      <c r="CQ696" s="1293"/>
      <c r="CR696" s="1293"/>
      <c r="CS696" s="1293"/>
      <c r="CT696" s="1293"/>
      <c r="CU696" s="1293"/>
      <c r="CV696" s="1293"/>
      <c r="CW696" s="1293"/>
      <c r="CX696" s="1293"/>
      <c r="CY696" s="2032"/>
      <c r="CZ696" s="1293"/>
      <c r="DA696" s="2042"/>
      <c r="DB696" s="2041"/>
      <c r="DC696" s="1293"/>
      <c r="DD696" s="1293"/>
      <c r="DE696" s="1293"/>
      <c r="DF696" s="1293"/>
      <c r="DG696" s="1293"/>
      <c r="DH696" s="1293"/>
      <c r="DI696" s="1293"/>
      <c r="DJ696" s="1293"/>
      <c r="DK696" s="1293"/>
      <c r="DL696" s="1293"/>
    </row>
    <row r="697" spans="1:116" ht="15.75">
      <c r="A697" s="1293"/>
      <c r="B697" s="1293" t="str">
        <f>B678</f>
        <v>RGUs</v>
      </c>
      <c r="C697" s="1699"/>
      <c r="D697" s="1699">
        <f t="shared" si="574"/>
        <v>10.146999999999991</v>
      </c>
      <c r="E697" s="1699">
        <f t="shared" si="574"/>
        <v>1519.2240000000002</v>
      </c>
      <c r="F697" s="1699">
        <f t="shared" si="574"/>
        <v>86.599999999999909</v>
      </c>
      <c r="G697" s="2039"/>
      <c r="H697" s="1699">
        <f t="shared" si="575"/>
        <v>88.970000000000027</v>
      </c>
      <c r="I697" s="1699">
        <f t="shared" si="575"/>
        <v>34.430000000000064</v>
      </c>
      <c r="J697" s="1699">
        <f t="shared" si="575"/>
        <v>101.88200000000006</v>
      </c>
      <c r="K697" s="1699">
        <f t="shared" si="575"/>
        <v>123.12899999999968</v>
      </c>
      <c r="L697" s="2039"/>
      <c r="M697" s="1699">
        <f t="shared" si="576"/>
        <v>90.039000000000215</v>
      </c>
      <c r="N697" s="1699">
        <f t="shared" si="576"/>
        <v>100.69900000000007</v>
      </c>
      <c r="O697" s="1699">
        <f t="shared" si="576"/>
        <v>109.04800000000023</v>
      </c>
      <c r="P697" s="1699">
        <f t="shared" si="576"/>
        <v>48.441999999999553</v>
      </c>
      <c r="Q697" s="2039"/>
      <c r="R697" s="1699">
        <f>R678-Q678</f>
        <v>78.188000000000102</v>
      </c>
      <c r="S697" s="1699"/>
      <c r="T697" s="1699"/>
      <c r="U697" s="1699"/>
      <c r="V697" s="2039"/>
      <c r="W697" s="1699"/>
      <c r="X697" s="1699"/>
      <c r="Y697" s="1699"/>
      <c r="Z697" s="1699"/>
      <c r="AA697" s="2039"/>
      <c r="AB697" s="1699"/>
      <c r="AC697" s="1699"/>
      <c r="AD697" s="1699"/>
      <c r="AE697" s="1699"/>
      <c r="AF697" s="1699"/>
      <c r="AG697" s="1699"/>
      <c r="AH697" s="1699"/>
      <c r="AI697" s="1699"/>
      <c r="AJ697" s="2186"/>
      <c r="AK697" s="1699"/>
      <c r="AL697" s="1699"/>
      <c r="AM697" s="1699"/>
      <c r="AN697" s="1699"/>
      <c r="AO697" s="2186"/>
      <c r="AP697" s="1699"/>
      <c r="AQ697" s="1699"/>
      <c r="AR697" s="1699"/>
      <c r="AS697" s="1699"/>
      <c r="AT697" s="2186"/>
      <c r="AU697" s="1699"/>
      <c r="AV697" s="1699"/>
      <c r="AW697" s="1699"/>
      <c r="AX697" s="1699"/>
      <c r="AY697" s="2186"/>
      <c r="AZ697" s="1699"/>
      <c r="BA697" s="1699"/>
      <c r="BB697" s="1699"/>
      <c r="BC697" s="1293"/>
      <c r="BD697" s="2186"/>
      <c r="BE697" s="1699"/>
      <c r="BF697" s="1699"/>
      <c r="BG697" s="1699"/>
      <c r="BH697" s="1293"/>
      <c r="BI697" s="2186"/>
      <c r="BJ697" s="1699"/>
      <c r="BK697" s="1699"/>
      <c r="BL697" s="1699"/>
      <c r="BM697" s="1699"/>
      <c r="BN697" s="2186"/>
      <c r="BO697" s="1293"/>
      <c r="BP697" s="1293"/>
      <c r="BQ697" s="1293"/>
      <c r="BR697" s="1293"/>
      <c r="BS697" s="1293"/>
      <c r="BT697" s="1293"/>
      <c r="BU697" s="1293"/>
      <c r="BV697" s="1293"/>
      <c r="BW697" s="1293"/>
      <c r="BX697" s="1293"/>
      <c r="BY697" s="1293"/>
      <c r="BZ697" s="1293"/>
      <c r="CA697" s="1293"/>
      <c r="CB697" s="1293"/>
      <c r="CC697" s="1293"/>
      <c r="CD697" s="1293"/>
      <c r="CE697" s="1293"/>
      <c r="CF697" s="1293"/>
      <c r="CG697" s="1293"/>
      <c r="CH697" s="1293"/>
      <c r="CI697" s="1293"/>
      <c r="CJ697" s="1293"/>
      <c r="CK697" s="1293"/>
      <c r="CL697" s="1293"/>
      <c r="CM697" s="1293"/>
      <c r="CN697" s="1293"/>
      <c r="CO697" s="1293"/>
      <c r="CP697" s="1293"/>
      <c r="CQ697" s="1293"/>
      <c r="CR697" s="1293"/>
      <c r="CS697" s="1293"/>
      <c r="CT697" s="1293"/>
      <c r="CU697" s="1293"/>
      <c r="CV697" s="1293"/>
      <c r="CW697" s="1293"/>
      <c r="CX697" s="1293"/>
      <c r="CY697" s="2032"/>
      <c r="CZ697" s="1293"/>
      <c r="DA697" s="2042"/>
      <c r="DB697" s="2041"/>
      <c r="DC697" s="1293"/>
      <c r="DD697" s="1293"/>
      <c r="DE697" s="1293"/>
      <c r="DF697" s="1293"/>
      <c r="DG697" s="1293"/>
      <c r="DH697" s="1293"/>
      <c r="DI697" s="1293"/>
      <c r="DJ697" s="1293"/>
      <c r="DK697" s="1293"/>
      <c r="DL697" s="1293"/>
    </row>
    <row r="698" spans="1:116" ht="15.75">
      <c r="A698" s="1293"/>
      <c r="B698" s="1293" t="s">
        <v>1823</v>
      </c>
      <c r="C698" s="1699"/>
      <c r="D698" s="1699"/>
      <c r="E698" s="1699"/>
      <c r="F698" s="1699"/>
      <c r="G698" s="2039"/>
      <c r="H698" s="1699"/>
      <c r="I698" s="1699"/>
      <c r="J698" s="1699"/>
      <c r="K698" s="1699"/>
      <c r="L698" s="2039"/>
      <c r="M698" s="1699"/>
      <c r="N698" s="1699"/>
      <c r="O698" s="1699"/>
      <c r="P698" s="1699"/>
      <c r="Q698" s="2039"/>
      <c r="R698" s="1699"/>
      <c r="S698" s="1699"/>
      <c r="T698" s="1699"/>
      <c r="U698" s="1699"/>
      <c r="V698" s="2039"/>
      <c r="W698" s="1699"/>
      <c r="X698" s="1699"/>
      <c r="Y698" s="1699"/>
      <c r="Z698" s="1699"/>
      <c r="AA698" s="2039"/>
      <c r="AB698" s="1699"/>
      <c r="AC698" s="1699"/>
      <c r="AD698" s="1699"/>
      <c r="AE698" s="1699"/>
      <c r="AF698" s="1699"/>
      <c r="AG698" s="1699"/>
      <c r="AH698" s="1699"/>
      <c r="AI698" s="1699"/>
      <c r="AJ698" s="2186"/>
      <c r="AK698" s="1699"/>
      <c r="AL698" s="1699"/>
      <c r="AM698" s="1699"/>
      <c r="AN698" s="1699"/>
      <c r="AO698" s="2186"/>
      <c r="AP698" s="1699"/>
      <c r="AQ698" s="1699"/>
      <c r="AR698" s="1699"/>
      <c r="AS698" s="1699"/>
      <c r="AT698" s="2186"/>
      <c r="AU698" s="1699"/>
      <c r="AV698" s="1699"/>
      <c r="AW698" s="1699"/>
      <c r="AX698" s="1699"/>
      <c r="AY698" s="2186"/>
      <c r="AZ698" s="1699"/>
      <c r="BA698" s="1699"/>
      <c r="BB698" s="1699"/>
      <c r="BC698" s="1293"/>
      <c r="BD698" s="2186"/>
      <c r="BE698" s="1699"/>
      <c r="BF698" s="1699"/>
      <c r="BG698" s="1699"/>
      <c r="BH698" s="1293"/>
      <c r="BI698" s="2186"/>
      <c r="BJ698" s="1699"/>
      <c r="BK698" s="1699"/>
      <c r="BL698" s="1699"/>
      <c r="BM698" s="1699"/>
      <c r="BN698" s="2186"/>
      <c r="BO698" s="1293"/>
      <c r="BP698" s="1293"/>
      <c r="BQ698" s="1293"/>
      <c r="BR698" s="1293"/>
      <c r="BS698" s="1293"/>
      <c r="BT698" s="1293"/>
      <c r="BU698" s="1293"/>
      <c r="BV698" s="1293"/>
      <c r="BW698" s="1293"/>
      <c r="BX698" s="1293"/>
      <c r="BY698" s="1293"/>
      <c r="BZ698" s="1293"/>
      <c r="CA698" s="1293"/>
      <c r="CB698" s="1293"/>
      <c r="CC698" s="1293"/>
      <c r="CD698" s="1293"/>
      <c r="CE698" s="1293"/>
      <c r="CF698" s="1293"/>
      <c r="CG698" s="1293"/>
      <c r="CH698" s="1293"/>
      <c r="CI698" s="1293"/>
      <c r="CJ698" s="1293"/>
      <c r="CK698" s="1293"/>
      <c r="CL698" s="1293"/>
      <c r="CM698" s="1293"/>
      <c r="CN698" s="1293"/>
      <c r="CO698" s="1293"/>
      <c r="CP698" s="1293"/>
      <c r="CQ698" s="1293"/>
      <c r="CR698" s="1293"/>
      <c r="CS698" s="1293"/>
      <c r="CT698" s="1293"/>
      <c r="CU698" s="1293"/>
      <c r="CV698" s="1293"/>
      <c r="CW698" s="1293"/>
      <c r="CX698" s="1293"/>
      <c r="CY698" s="2032"/>
      <c r="CZ698" s="1293"/>
      <c r="DA698" s="2042"/>
      <c r="DB698" s="2041"/>
      <c r="DC698" s="1293"/>
      <c r="DD698" s="1293"/>
      <c r="DE698" s="1293"/>
      <c r="DF698" s="1293"/>
      <c r="DG698" s="1293"/>
      <c r="DH698" s="1293"/>
      <c r="DI698" s="1293"/>
      <c r="DJ698" s="1293"/>
      <c r="DK698" s="1293"/>
      <c r="DL698" s="1293"/>
    </row>
    <row r="699" spans="1:116" ht="15.75">
      <c r="A699" s="1293"/>
      <c r="B699" s="1293" t="str">
        <f>B682</f>
        <v>Implied DSL</v>
      </c>
      <c r="C699" s="1699"/>
      <c r="D699" s="1699"/>
      <c r="E699" s="1699"/>
      <c r="F699" s="1699"/>
      <c r="G699" s="2039"/>
      <c r="H699" s="1699"/>
      <c r="I699" s="1699"/>
      <c r="J699" s="1699"/>
      <c r="K699" s="1699"/>
      <c r="L699" s="2039"/>
      <c r="M699" s="1699"/>
      <c r="N699" s="1699"/>
      <c r="O699" s="1699"/>
      <c r="P699" s="1699"/>
      <c r="Q699" s="2039"/>
      <c r="R699" s="1699"/>
      <c r="S699" s="1699"/>
      <c r="T699" s="1699"/>
      <c r="U699" s="1699"/>
      <c r="V699" s="2039"/>
      <c r="W699" s="1699"/>
      <c r="X699" s="1699"/>
      <c r="Y699" s="1699"/>
      <c r="Z699" s="1699"/>
      <c r="AA699" s="2039"/>
      <c r="AB699" s="1699"/>
      <c r="AC699" s="1699"/>
      <c r="AD699" s="1699"/>
      <c r="AE699" s="1699"/>
      <c r="AF699" s="1699"/>
      <c r="AG699" s="1699"/>
      <c r="AH699" s="1699"/>
      <c r="AI699" s="1699"/>
      <c r="AJ699" s="2186"/>
      <c r="AK699" s="1699"/>
      <c r="AL699" s="1699"/>
      <c r="AM699" s="1699"/>
      <c r="AN699" s="1699"/>
      <c r="AO699" s="2186"/>
      <c r="AP699" s="1699"/>
      <c r="AQ699" s="1699"/>
      <c r="AR699" s="1699"/>
      <c r="AS699" s="1699"/>
      <c r="AT699" s="2186"/>
      <c r="AU699" s="1699"/>
      <c r="AV699" s="1699"/>
      <c r="AW699" s="1699"/>
      <c r="AX699" s="1699"/>
      <c r="AY699" s="2186"/>
      <c r="AZ699" s="1699"/>
      <c r="BA699" s="1699"/>
      <c r="BB699" s="1699"/>
      <c r="BC699" s="1293"/>
      <c r="BD699" s="2186"/>
      <c r="BE699" s="1699"/>
      <c r="BF699" s="1699"/>
      <c r="BG699" s="1699"/>
      <c r="BH699" s="1293"/>
      <c r="BI699" s="2186"/>
      <c r="BJ699" s="1699"/>
      <c r="BK699" s="1699"/>
      <c r="BL699" s="1699"/>
      <c r="BM699" s="1699"/>
      <c r="BN699" s="2186"/>
      <c r="BO699" s="1293"/>
      <c r="BP699" s="1293"/>
      <c r="BQ699" s="1293"/>
      <c r="BR699" s="1293"/>
      <c r="BS699" s="1293"/>
      <c r="BT699" s="1293"/>
      <c r="BU699" s="1293"/>
      <c r="BV699" s="1293"/>
      <c r="BW699" s="1293"/>
      <c r="BX699" s="1293"/>
      <c r="BY699" s="1293"/>
      <c r="BZ699" s="1293"/>
      <c r="CA699" s="1293"/>
      <c r="CB699" s="1293"/>
      <c r="CC699" s="1293"/>
      <c r="CD699" s="1293"/>
      <c r="CE699" s="1293"/>
      <c r="CF699" s="1293"/>
      <c r="CG699" s="1293"/>
      <c r="CH699" s="1293"/>
      <c r="CI699" s="1293"/>
      <c r="CJ699" s="1293"/>
      <c r="CK699" s="1293"/>
      <c r="CL699" s="1293"/>
      <c r="CM699" s="1293"/>
      <c r="CN699" s="1293"/>
      <c r="CO699" s="1293"/>
      <c r="CP699" s="1293"/>
      <c r="CQ699" s="1293"/>
      <c r="CR699" s="1293"/>
      <c r="CS699" s="1293"/>
      <c r="CT699" s="1293"/>
      <c r="CU699" s="1293"/>
      <c r="CV699" s="1293"/>
      <c r="CW699" s="1293"/>
      <c r="CX699" s="1293"/>
      <c r="CY699" s="2032"/>
      <c r="CZ699" s="1293"/>
      <c r="DA699" s="2042"/>
      <c r="DB699" s="2041"/>
      <c r="DC699" s="1293"/>
      <c r="DD699" s="1293"/>
      <c r="DE699" s="1293"/>
      <c r="DF699" s="1293"/>
      <c r="DG699" s="1293"/>
      <c r="DH699" s="1293"/>
      <c r="DI699" s="1293"/>
      <c r="DJ699" s="1293"/>
      <c r="DK699" s="1293"/>
      <c r="DL699" s="1293"/>
    </row>
    <row r="700" spans="1:116" ht="15.75">
      <c r="A700" s="1293"/>
      <c r="B700" s="1293" t="str">
        <f>B683</f>
        <v>Homes passed</v>
      </c>
      <c r="C700" s="1699"/>
      <c r="D700" s="1699">
        <f t="shared" ref="D700:F702" si="577">D683-C683</f>
        <v>-36.799999999999955</v>
      </c>
      <c r="E700" s="1699">
        <f t="shared" si="577"/>
        <v>676.30165002813646</v>
      </c>
      <c r="F700" s="1699">
        <f t="shared" si="577"/>
        <v>-27.073072799273632</v>
      </c>
      <c r="G700" s="2039"/>
      <c r="H700" s="1699">
        <f t="shared" ref="H700:K702" si="578">H683-G683</f>
        <v>-28.919077228862989</v>
      </c>
      <c r="I700" s="1699">
        <f t="shared" si="578"/>
        <v>-26.225759999999809</v>
      </c>
      <c r="J700" s="1699">
        <f t="shared" si="578"/>
        <v>-61.739999999999782</v>
      </c>
      <c r="K700" s="1699">
        <f t="shared" si="578"/>
        <v>-64.596000000000004</v>
      </c>
      <c r="L700" s="2039"/>
      <c r="M700" s="1699">
        <f t="shared" ref="M700:P702" si="579">M683-L683</f>
        <v>-48.551740000000336</v>
      </c>
      <c r="N700" s="1699">
        <f t="shared" si="579"/>
        <v>-86.726999999999862</v>
      </c>
      <c r="O700" s="1699">
        <f t="shared" si="579"/>
        <v>-54.373000000000502</v>
      </c>
      <c r="P700" s="1699">
        <f t="shared" si="579"/>
        <v>-101.05400000000009</v>
      </c>
      <c r="Q700" s="2039"/>
      <c r="R700" s="1699">
        <f>R683-Q683</f>
        <v>-84.845999999999549</v>
      </c>
      <c r="S700" s="1699"/>
      <c r="T700" s="1699"/>
      <c r="U700" s="1699"/>
      <c r="V700" s="2039"/>
      <c r="W700" s="1699"/>
      <c r="X700" s="1699"/>
      <c r="Y700" s="1699"/>
      <c r="Z700" s="1699"/>
      <c r="AA700" s="2039"/>
      <c r="AB700" s="1699"/>
      <c r="AC700" s="1699"/>
      <c r="AD700" s="1699"/>
      <c r="AE700" s="1699"/>
      <c r="AF700" s="1699"/>
      <c r="AG700" s="1699"/>
      <c r="AH700" s="1699"/>
      <c r="AI700" s="1699"/>
      <c r="AJ700" s="2186"/>
      <c r="AK700" s="1699"/>
      <c r="AL700" s="1699"/>
      <c r="AM700" s="1699"/>
      <c r="AN700" s="1699"/>
      <c r="AO700" s="2186"/>
      <c r="AP700" s="1699"/>
      <c r="AQ700" s="1699"/>
      <c r="AR700" s="1699"/>
      <c r="AS700" s="1699"/>
      <c r="AT700" s="2186"/>
      <c r="AU700" s="1699"/>
      <c r="AV700" s="1699"/>
      <c r="AW700" s="1699"/>
      <c r="AX700" s="1699"/>
      <c r="AY700" s="2186"/>
      <c r="AZ700" s="1699"/>
      <c r="BA700" s="1699"/>
      <c r="BB700" s="1699"/>
      <c r="BC700" s="1293"/>
      <c r="BD700" s="2186"/>
      <c r="BE700" s="1699"/>
      <c r="BF700" s="1699"/>
      <c r="BG700" s="1699"/>
      <c r="BH700" s="1293"/>
      <c r="BI700" s="2186"/>
      <c r="BJ700" s="1699"/>
      <c r="BK700" s="1699"/>
      <c r="BL700" s="1699"/>
      <c r="BM700" s="1699"/>
      <c r="BN700" s="2186"/>
      <c r="BO700" s="1293"/>
      <c r="BP700" s="1293"/>
      <c r="BQ700" s="1293"/>
      <c r="BR700" s="1293"/>
      <c r="BS700" s="1293"/>
      <c r="BT700" s="1293"/>
      <c r="BU700" s="1293"/>
      <c r="BV700" s="1293"/>
      <c r="BW700" s="1293"/>
      <c r="BX700" s="1293"/>
      <c r="BY700" s="1293"/>
      <c r="BZ700" s="1293"/>
      <c r="CA700" s="1293"/>
      <c r="CB700" s="1293"/>
      <c r="CC700" s="1293"/>
      <c r="CD700" s="1293"/>
      <c r="CE700" s="1293"/>
      <c r="CF700" s="1293"/>
      <c r="CG700" s="1293"/>
      <c r="CH700" s="1293"/>
      <c r="CI700" s="1293"/>
      <c r="CJ700" s="1293"/>
      <c r="CK700" s="1293"/>
      <c r="CL700" s="1293"/>
      <c r="CM700" s="1293"/>
      <c r="CN700" s="1293"/>
      <c r="CO700" s="1293"/>
      <c r="CP700" s="1293"/>
      <c r="CQ700" s="1293"/>
      <c r="CR700" s="1293"/>
      <c r="CS700" s="1293"/>
      <c r="CT700" s="1293"/>
      <c r="CU700" s="1293"/>
      <c r="CV700" s="1293"/>
      <c r="CW700" s="1293"/>
      <c r="CX700" s="1293"/>
      <c r="CY700" s="2032"/>
      <c r="CZ700" s="1293"/>
      <c r="DA700" s="2042"/>
      <c r="DB700" s="2041"/>
      <c r="DC700" s="1293"/>
      <c r="DD700" s="1293"/>
      <c r="DE700" s="1293"/>
      <c r="DF700" s="1293"/>
      <c r="DG700" s="1293"/>
      <c r="DH700" s="1293"/>
      <c r="DI700" s="1293"/>
      <c r="DJ700" s="1293"/>
      <c r="DK700" s="1293"/>
      <c r="DL700" s="1293"/>
    </row>
    <row r="701" spans="1:116" ht="15.75">
      <c r="A701" s="1293"/>
      <c r="B701" s="1293" t="str">
        <f>B684</f>
        <v>Homes connected</v>
      </c>
      <c r="C701" s="1293"/>
      <c r="D701" s="1699">
        <f t="shared" si="577"/>
        <v>8.7049999999999272</v>
      </c>
      <c r="E701" s="1699">
        <f t="shared" si="577"/>
        <v>876.12400000000002</v>
      </c>
      <c r="F701" s="1699">
        <f t="shared" si="577"/>
        <v>-17.922000000000025</v>
      </c>
      <c r="G701" s="2039"/>
      <c r="H701" s="1699">
        <f t="shared" si="578"/>
        <v>-15.423000000000229</v>
      </c>
      <c r="I701" s="1699">
        <f t="shared" si="578"/>
        <v>-4.7569999999996071</v>
      </c>
      <c r="J701" s="1699">
        <f t="shared" si="578"/>
        <v>-59.523000000000366</v>
      </c>
      <c r="K701" s="1699">
        <f t="shared" si="578"/>
        <v>-34.948999999999614</v>
      </c>
      <c r="L701" s="2039"/>
      <c r="M701" s="1699">
        <f t="shared" si="579"/>
        <v>-48.859000000000378</v>
      </c>
      <c r="N701" s="1699">
        <f t="shared" si="579"/>
        <v>-46.813999999999623</v>
      </c>
      <c r="O701" s="1699">
        <f t="shared" si="579"/>
        <v>-24.794000000000096</v>
      </c>
      <c r="P701" s="1699">
        <f t="shared" si="579"/>
        <v>-19.185000000000173</v>
      </c>
      <c r="Q701" s="2039"/>
      <c r="R701" s="1699">
        <f>R684-Q684</f>
        <v>-47.782999999999902</v>
      </c>
      <c r="S701" s="1699"/>
      <c r="T701" s="1699"/>
      <c r="U701" s="1699"/>
      <c r="V701" s="2039"/>
      <c r="W701" s="1699"/>
      <c r="X701" s="1699"/>
      <c r="Y701" s="1699"/>
      <c r="Z701" s="1699"/>
      <c r="AA701" s="2039"/>
      <c r="AB701" s="1699"/>
      <c r="AC701" s="1699"/>
      <c r="AD701" s="1699"/>
      <c r="AE701" s="1699"/>
      <c r="AF701" s="1699"/>
      <c r="AG701" s="1699"/>
      <c r="AH701" s="1699"/>
      <c r="AI701" s="1699"/>
      <c r="AJ701" s="2186"/>
      <c r="AK701" s="1699"/>
      <c r="AL701" s="1699"/>
      <c r="AM701" s="1699"/>
      <c r="AN701" s="1699"/>
      <c r="AO701" s="2186"/>
      <c r="AP701" s="1699"/>
      <c r="AQ701" s="1699"/>
      <c r="AR701" s="1699"/>
      <c r="AS701" s="1699"/>
      <c r="AT701" s="2186"/>
      <c r="AU701" s="1699"/>
      <c r="AV701" s="1699"/>
      <c r="AW701" s="1699"/>
      <c r="AX701" s="1699"/>
      <c r="AY701" s="2186"/>
      <c r="AZ701" s="1699"/>
      <c r="BA701" s="1699"/>
      <c r="BB701" s="1699"/>
      <c r="BC701" s="1293"/>
      <c r="BD701" s="2186"/>
      <c r="BE701" s="1699"/>
      <c r="BF701" s="1699"/>
      <c r="BG701" s="1699"/>
      <c r="BH701" s="1293"/>
      <c r="BI701" s="2186"/>
      <c r="BJ701" s="1699"/>
      <c r="BK701" s="1699"/>
      <c r="BL701" s="1699"/>
      <c r="BM701" s="1699"/>
      <c r="BN701" s="2186"/>
      <c r="BO701" s="1293"/>
      <c r="BP701" s="1293"/>
      <c r="BQ701" s="1293"/>
      <c r="BR701" s="1293"/>
      <c r="BS701" s="1293"/>
      <c r="BT701" s="1293"/>
      <c r="BU701" s="1293"/>
      <c r="BV701" s="1293"/>
      <c r="BW701" s="1293"/>
      <c r="BX701" s="1293"/>
      <c r="BY701" s="1293"/>
      <c r="BZ701" s="1293"/>
      <c r="CA701" s="1293"/>
      <c r="CB701" s="1293"/>
      <c r="CC701" s="1293"/>
      <c r="CD701" s="1293"/>
      <c r="CE701" s="1293"/>
      <c r="CF701" s="1293"/>
      <c r="CG701" s="1293"/>
      <c r="CH701" s="1293"/>
      <c r="CI701" s="1293"/>
      <c r="CJ701" s="1293"/>
      <c r="CK701" s="1293"/>
      <c r="CL701" s="1293"/>
      <c r="CM701" s="1293"/>
      <c r="CN701" s="1293"/>
      <c r="CO701" s="1293"/>
      <c r="CP701" s="1293"/>
      <c r="CQ701" s="1293"/>
      <c r="CR701" s="1293"/>
      <c r="CS701" s="1293"/>
      <c r="CT701" s="1293"/>
      <c r="CU701" s="1293"/>
      <c r="CV701" s="1293"/>
      <c r="CW701" s="1293"/>
      <c r="CX701" s="1293"/>
      <c r="CY701" s="2032"/>
      <c r="CZ701" s="1293"/>
      <c r="DA701" s="2042"/>
      <c r="DB701" s="2041"/>
      <c r="DC701" s="1293"/>
      <c r="DD701" s="1293"/>
      <c r="DE701" s="1293"/>
      <c r="DF701" s="1293"/>
      <c r="DG701" s="1293"/>
      <c r="DH701" s="1293"/>
      <c r="DI701" s="1293"/>
      <c r="DJ701" s="1293"/>
      <c r="DK701" s="1293"/>
      <c r="DL701" s="1293"/>
    </row>
    <row r="702" spans="1:116" ht="15.75">
      <c r="A702" s="1293"/>
      <c r="B702" s="1293" t="str">
        <f>B685</f>
        <v>RGUs</v>
      </c>
      <c r="C702" s="1293"/>
      <c r="D702" s="1699">
        <f t="shared" si="577"/>
        <v>9.1490000000000009</v>
      </c>
      <c r="E702" s="1699">
        <f t="shared" si="577"/>
        <v>2063.7089999999998</v>
      </c>
      <c r="F702" s="1699">
        <f t="shared" si="577"/>
        <v>-38.234000000000378</v>
      </c>
      <c r="G702" s="2039"/>
      <c r="H702" s="1699">
        <f t="shared" si="578"/>
        <v>-57.072999999999865</v>
      </c>
      <c r="I702" s="1699">
        <f t="shared" si="578"/>
        <v>-11.501999999999953</v>
      </c>
      <c r="J702" s="1699">
        <f t="shared" si="578"/>
        <v>-145.4219999999998</v>
      </c>
      <c r="K702" s="1699">
        <f t="shared" si="578"/>
        <v>-50.057999999999765</v>
      </c>
      <c r="L702" s="2039"/>
      <c r="M702" s="1699">
        <f t="shared" si="579"/>
        <v>-104.55100000000039</v>
      </c>
      <c r="N702" s="1699">
        <f t="shared" si="579"/>
        <v>-87.277000000000044</v>
      </c>
      <c r="O702" s="1699">
        <f t="shared" si="579"/>
        <v>-61.0300000000002</v>
      </c>
      <c r="P702" s="1699">
        <f t="shared" si="579"/>
        <v>-69.10799999999972</v>
      </c>
      <c r="Q702" s="2039"/>
      <c r="R702" s="1699">
        <f>R685-Q685</f>
        <v>-74.338999999999942</v>
      </c>
      <c r="S702" s="1699"/>
      <c r="T702" s="1699"/>
      <c r="U702" s="1699"/>
      <c r="V702" s="2039"/>
      <c r="W702" s="1699"/>
      <c r="X702" s="1699"/>
      <c r="Y702" s="1699"/>
      <c r="Z702" s="1699"/>
      <c r="AA702" s="2039"/>
      <c r="AB702" s="1699"/>
      <c r="AC702" s="1699"/>
      <c r="AD702" s="1699"/>
      <c r="AE702" s="1699"/>
      <c r="AF702" s="1699"/>
      <c r="AG702" s="1699"/>
      <c r="AH702" s="1699"/>
      <c r="AI702" s="1699"/>
      <c r="AJ702" s="2186"/>
      <c r="AK702" s="1699"/>
      <c r="AL702" s="1699"/>
      <c r="AM702" s="1699"/>
      <c r="AN702" s="1699"/>
      <c r="AO702" s="2186"/>
      <c r="AP702" s="1699"/>
      <c r="AQ702" s="1699"/>
      <c r="AR702" s="1699"/>
      <c r="AS702" s="1699"/>
      <c r="AT702" s="2186"/>
      <c r="AU702" s="1699"/>
      <c r="AV702" s="1699"/>
      <c r="AW702" s="1699"/>
      <c r="AX702" s="1699"/>
      <c r="AY702" s="2186"/>
      <c r="AZ702" s="1699"/>
      <c r="BA702" s="1699"/>
      <c r="BB702" s="1699"/>
      <c r="BC702" s="1293"/>
      <c r="BD702" s="2186"/>
      <c r="BE702" s="1699"/>
      <c r="BF702" s="1699"/>
      <c r="BG702" s="1699"/>
      <c r="BH702" s="1293"/>
      <c r="BI702" s="2186"/>
      <c r="BJ702" s="1699"/>
      <c r="BK702" s="1699"/>
      <c r="BL702" s="1699"/>
      <c r="BM702" s="1699"/>
      <c r="BN702" s="2186"/>
      <c r="BO702" s="1293"/>
      <c r="BP702" s="1293"/>
      <c r="BQ702" s="1293"/>
      <c r="BR702" s="1293"/>
      <c r="BS702" s="1293"/>
      <c r="BT702" s="1293"/>
      <c r="BU702" s="1293"/>
      <c r="BV702" s="1293"/>
      <c r="BW702" s="1293"/>
      <c r="BX702" s="1293"/>
      <c r="BY702" s="1293"/>
      <c r="BZ702" s="1293"/>
      <c r="CA702" s="1293"/>
      <c r="CB702" s="1293"/>
      <c r="CC702" s="1293"/>
      <c r="CD702" s="1293"/>
      <c r="CE702" s="1293"/>
      <c r="CF702" s="1293"/>
      <c r="CG702" s="1293"/>
      <c r="CH702" s="1293"/>
      <c r="CI702" s="1293"/>
      <c r="CJ702" s="1293"/>
      <c r="CK702" s="1293"/>
      <c r="CL702" s="1293"/>
      <c r="CM702" s="1293"/>
      <c r="CN702" s="1293"/>
      <c r="CO702" s="1293"/>
      <c r="CP702" s="1293"/>
      <c r="CQ702" s="1293"/>
      <c r="CR702" s="1293"/>
      <c r="CS702" s="1293"/>
      <c r="CT702" s="1293"/>
      <c r="CU702" s="1293"/>
      <c r="CV702" s="1293"/>
      <c r="CW702" s="1293"/>
      <c r="CX702" s="1293"/>
      <c r="CY702" s="2032"/>
      <c r="CZ702" s="1293"/>
      <c r="DA702" s="2042"/>
      <c r="DB702" s="2041"/>
      <c r="DC702" s="1293"/>
      <c r="DD702" s="1293"/>
      <c r="DE702" s="1293"/>
      <c r="DF702" s="1293"/>
      <c r="DG702" s="1293"/>
      <c r="DH702" s="1293"/>
      <c r="DI702" s="1293"/>
      <c r="DJ702" s="1293"/>
      <c r="DK702" s="1293"/>
      <c r="DL702" s="1293"/>
    </row>
    <row r="703" spans="1:116" ht="15.75">
      <c r="A703" s="1293"/>
      <c r="B703" s="1293"/>
      <c r="C703" s="1293"/>
      <c r="D703" s="1293"/>
      <c r="E703" s="1293"/>
      <c r="F703" s="1293"/>
      <c r="G703" s="2080"/>
      <c r="H703" s="1293"/>
      <c r="I703" s="1293"/>
      <c r="J703" s="1293"/>
      <c r="K703" s="1293"/>
      <c r="L703" s="2080"/>
      <c r="M703" s="1293"/>
      <c r="N703" s="1293"/>
      <c r="O703" s="1293"/>
      <c r="P703" s="1293" t="s">
        <v>1823</v>
      </c>
      <c r="Q703" s="2080"/>
      <c r="R703" s="1293"/>
      <c r="S703" s="1293"/>
      <c r="T703" s="1293"/>
      <c r="U703" s="1293"/>
      <c r="V703" s="2080"/>
      <c r="W703" s="1293"/>
      <c r="X703" s="1293"/>
      <c r="Y703" s="1293"/>
      <c r="Z703" s="1293"/>
      <c r="AA703" s="2080"/>
      <c r="AB703" s="1293"/>
      <c r="AC703" s="1293"/>
      <c r="AD703" s="1293"/>
      <c r="AE703" s="1293"/>
      <c r="AF703" s="1293"/>
      <c r="AG703" s="1293"/>
      <c r="AH703" s="1293"/>
      <c r="AI703" s="1293"/>
      <c r="AJ703" s="2186"/>
      <c r="AK703" s="1293"/>
      <c r="AL703" s="1293"/>
      <c r="AM703" s="1293"/>
      <c r="AN703" s="1293"/>
      <c r="AO703" s="2186"/>
      <c r="AP703" s="1293"/>
      <c r="AQ703" s="1293"/>
      <c r="AR703" s="1293"/>
      <c r="AS703" s="1293"/>
      <c r="AT703" s="2186"/>
      <c r="AU703" s="1293"/>
      <c r="AV703" s="1293"/>
      <c r="AW703" s="1293"/>
      <c r="AX703" s="1293"/>
      <c r="AY703" s="2186"/>
      <c r="AZ703" s="1293"/>
      <c r="BA703" s="1293"/>
      <c r="BB703" s="1293"/>
      <c r="BC703" s="1293"/>
      <c r="BD703" s="2186"/>
      <c r="BE703" s="1293"/>
      <c r="BF703" s="1293"/>
      <c r="BG703" s="1293"/>
      <c r="BH703" s="1293"/>
      <c r="BI703" s="2186"/>
      <c r="BJ703" s="1293"/>
      <c r="BK703" s="1293"/>
      <c r="BL703" s="1293"/>
      <c r="BM703" s="1293"/>
      <c r="BN703" s="2186"/>
      <c r="BO703" s="1293"/>
      <c r="BP703" s="1293"/>
      <c r="BQ703" s="1293"/>
      <c r="BR703" s="1293"/>
      <c r="BS703" s="1293"/>
      <c r="BT703" s="1293"/>
      <c r="BU703" s="1293"/>
      <c r="BV703" s="1293"/>
      <c r="BW703" s="1293"/>
      <c r="BX703" s="1293"/>
      <c r="BY703" s="1293"/>
      <c r="BZ703" s="1293"/>
      <c r="CA703" s="1293"/>
      <c r="CB703" s="1293"/>
      <c r="CC703" s="1293"/>
      <c r="CD703" s="1293"/>
      <c r="CE703" s="1293"/>
      <c r="CF703" s="1293"/>
      <c r="CG703" s="1293"/>
      <c r="CH703" s="1293"/>
      <c r="CI703" s="1293"/>
      <c r="CJ703" s="1293"/>
      <c r="CK703" s="1293"/>
      <c r="CL703" s="1293"/>
      <c r="CM703" s="1293"/>
      <c r="CN703" s="1293"/>
      <c r="CO703" s="1293"/>
      <c r="CP703" s="1293"/>
      <c r="CQ703" s="1293"/>
      <c r="CR703" s="1293"/>
      <c r="CS703" s="1293"/>
      <c r="CT703" s="1293"/>
      <c r="CU703" s="1293"/>
      <c r="CV703" s="1293"/>
      <c r="CW703" s="1293"/>
      <c r="CX703" s="1293"/>
      <c r="CY703" s="2032"/>
      <c r="CZ703" s="1293"/>
      <c r="DA703" s="2031"/>
      <c r="DB703" s="2032"/>
      <c r="DC703" s="1293"/>
      <c r="DD703" s="1293"/>
      <c r="DE703" s="1293"/>
      <c r="DF703" s="1293"/>
      <c r="DG703" s="1293"/>
      <c r="DH703" s="1293"/>
      <c r="DI703" s="1293"/>
      <c r="DJ703" s="1293"/>
      <c r="DK703" s="1293"/>
      <c r="DL703" s="1293"/>
    </row>
    <row r="704" spans="1:116" ht="15.75">
      <c r="A704" s="1293"/>
      <c r="B704" s="2318" t="s">
        <v>1665</v>
      </c>
      <c r="C704" s="1293"/>
      <c r="D704" s="1293"/>
      <c r="E704" s="1293"/>
      <c r="F704" s="1293"/>
      <c r="G704" s="2080"/>
      <c r="H704" s="1293"/>
      <c r="I704" s="1293"/>
      <c r="J704" s="1293"/>
      <c r="K704" s="1293"/>
      <c r="L704" s="2080"/>
      <c r="M704" s="1293"/>
      <c r="N704" s="1293"/>
      <c r="O704" s="1293"/>
      <c r="P704" s="1293"/>
      <c r="Q704" s="2080"/>
      <c r="R704" s="1293"/>
      <c r="S704" s="1293"/>
      <c r="T704" s="1293"/>
      <c r="U704" s="1293"/>
      <c r="V704" s="2080"/>
      <c r="W704" s="1293"/>
      <c r="X704" s="1293"/>
      <c r="Y704" s="1293"/>
      <c r="Z704" s="1293"/>
      <c r="AA704" s="2080"/>
      <c r="AB704" s="1293"/>
      <c r="AC704" s="1293"/>
      <c r="AD704" s="1293"/>
      <c r="AE704" s="1293"/>
      <c r="AF704" s="1293"/>
      <c r="AG704" s="1293"/>
      <c r="AH704" s="1293"/>
      <c r="AI704" s="1293"/>
      <c r="AJ704" s="2186"/>
      <c r="AK704" s="1293"/>
      <c r="AL704" s="1293"/>
      <c r="AM704" s="1293"/>
      <c r="AN704" s="1293"/>
      <c r="AO704" s="2186"/>
      <c r="AP704" s="1293"/>
      <c r="AQ704" s="1293"/>
      <c r="AR704" s="1293"/>
      <c r="AS704" s="1293"/>
      <c r="AT704" s="2186"/>
      <c r="AU704" s="1293"/>
      <c r="AV704" s="1293"/>
      <c r="AW704" s="1293"/>
      <c r="AX704" s="1293"/>
      <c r="AY704" s="2186"/>
      <c r="AZ704" s="1293"/>
      <c r="BA704" s="1293"/>
      <c r="BB704" s="1293"/>
      <c r="BC704" s="1293"/>
      <c r="BD704" s="2186"/>
      <c r="BE704" s="1293"/>
      <c r="BF704" s="1293"/>
      <c r="BG704" s="1293"/>
      <c r="BH704" s="1293"/>
      <c r="BI704" s="2186"/>
      <c r="BJ704" s="1293"/>
      <c r="BK704" s="1293"/>
      <c r="BL704" s="1293"/>
      <c r="BM704" s="1293"/>
      <c r="BN704" s="2186"/>
      <c r="BO704" s="1293"/>
      <c r="BP704" s="1293"/>
      <c r="BQ704" s="1293"/>
      <c r="BR704" s="1293"/>
      <c r="BS704" s="1293"/>
      <c r="BT704" s="1293"/>
      <c r="BU704" s="1293"/>
      <c r="BV704" s="1293"/>
      <c r="BW704" s="1293"/>
      <c r="BX704" s="1293"/>
      <c r="BY704" s="1293"/>
      <c r="BZ704" s="1293"/>
      <c r="CA704" s="1293"/>
      <c r="CB704" s="1293"/>
      <c r="CC704" s="1293"/>
      <c r="CD704" s="1293"/>
      <c r="CE704" s="1293"/>
      <c r="CF704" s="1293"/>
      <c r="CG704" s="1293"/>
      <c r="CH704" s="1293"/>
      <c r="CI704" s="1293"/>
      <c r="CJ704" s="1293"/>
      <c r="CK704" s="1293"/>
      <c r="CL704" s="1293"/>
      <c r="CM704" s="1293"/>
      <c r="CN704" s="1293"/>
      <c r="CO704" s="1293"/>
      <c r="CP704" s="1293"/>
      <c r="CQ704" s="1293"/>
      <c r="CR704" s="1293"/>
      <c r="CS704" s="1293"/>
      <c r="CT704" s="1293"/>
      <c r="CU704" s="1293"/>
      <c r="CV704" s="1293"/>
      <c r="CW704" s="1293"/>
      <c r="CX704" s="1293"/>
      <c r="CY704" s="2032"/>
      <c r="CZ704" s="1293"/>
      <c r="DA704" s="2031"/>
      <c r="DB704" s="2032"/>
      <c r="DC704" s="1293"/>
      <c r="DD704" s="1293"/>
      <c r="DE704" s="1293"/>
      <c r="DF704" s="1293"/>
      <c r="DG704" s="1293"/>
      <c r="DH704" s="1293"/>
      <c r="DI704" s="1293"/>
      <c r="DJ704" s="1293"/>
      <c r="DK704" s="1293"/>
      <c r="DL704" s="1293"/>
    </row>
    <row r="705" spans="1:116" ht="15.75">
      <c r="A705" s="1293"/>
      <c r="B705" s="1293" t="s">
        <v>4636</v>
      </c>
      <c r="C705" s="1293"/>
      <c r="D705" s="1293"/>
      <c r="E705" s="1293"/>
      <c r="F705" s="1293"/>
      <c r="G705" s="2080"/>
      <c r="H705" s="1293"/>
      <c r="I705" s="1293"/>
      <c r="J705" s="1293"/>
      <c r="K705" s="1293"/>
      <c r="L705" s="2080"/>
      <c r="M705" s="1293"/>
      <c r="N705" s="1293"/>
      <c r="O705" s="1293"/>
      <c r="P705" s="1293">
        <v>4600</v>
      </c>
      <c r="Q705" s="2080"/>
      <c r="R705" s="1293"/>
      <c r="S705" s="1293"/>
      <c r="T705" s="1293"/>
      <c r="U705" s="1293"/>
      <c r="V705" s="2080"/>
      <c r="W705" s="1293"/>
      <c r="X705" s="1293"/>
      <c r="Y705" s="1293"/>
      <c r="Z705" s="1293"/>
      <c r="AA705" s="2080"/>
      <c r="AB705" s="1293"/>
      <c r="AC705" s="1293"/>
      <c r="AD705" s="1293"/>
      <c r="AE705" s="1293"/>
      <c r="AF705" s="1293"/>
      <c r="AG705" s="1293"/>
      <c r="AH705" s="1293"/>
      <c r="AI705" s="1293"/>
      <c r="AJ705" s="2186"/>
      <c r="AK705" s="1293"/>
      <c r="AL705" s="1293"/>
      <c r="AM705" s="1293"/>
      <c r="AN705" s="1293"/>
      <c r="AO705" s="2186"/>
      <c r="AP705" s="1293"/>
      <c r="AQ705" s="1293"/>
      <c r="AR705" s="1293"/>
      <c r="AS705" s="1293"/>
      <c r="AT705" s="2186"/>
      <c r="AU705" s="1293"/>
      <c r="AV705" s="1293"/>
      <c r="AW705" s="1293"/>
      <c r="AX705" s="1293"/>
      <c r="AY705" s="2186"/>
      <c r="AZ705" s="1293"/>
      <c r="BA705" s="1293"/>
      <c r="BB705" s="1293"/>
      <c r="BC705" s="1293"/>
      <c r="BD705" s="2186"/>
      <c r="BE705" s="1293"/>
      <c r="BF705" s="1293"/>
      <c r="BG705" s="1293"/>
      <c r="BH705" s="1293"/>
      <c r="BI705" s="2186"/>
      <c r="BJ705" s="1293"/>
      <c r="BK705" s="1293"/>
      <c r="BL705" s="1293"/>
      <c r="BM705" s="1293"/>
      <c r="BN705" s="2186"/>
      <c r="BO705" s="1293"/>
      <c r="BP705" s="1293"/>
      <c r="BQ705" s="1293"/>
      <c r="BR705" s="1293"/>
      <c r="BS705" s="1293"/>
      <c r="BT705" s="1293"/>
      <c r="BU705" s="1293"/>
      <c r="BV705" s="1293"/>
      <c r="BW705" s="1293"/>
      <c r="BX705" s="1293"/>
      <c r="BY705" s="1293"/>
      <c r="BZ705" s="1293"/>
      <c r="CA705" s="1293"/>
      <c r="CB705" s="1293"/>
      <c r="CC705" s="1293"/>
      <c r="CD705" s="1293"/>
      <c r="CE705" s="1293"/>
      <c r="CF705" s="1293"/>
      <c r="CG705" s="1293"/>
      <c r="CH705" s="1293"/>
      <c r="CI705" s="1293"/>
      <c r="CJ705" s="1293"/>
      <c r="CK705" s="1293"/>
      <c r="CL705" s="1293"/>
      <c r="CM705" s="1293"/>
      <c r="CN705" s="1293"/>
      <c r="CO705" s="1293"/>
      <c r="CP705" s="1293"/>
      <c r="CQ705" s="1293"/>
      <c r="CR705" s="1293"/>
      <c r="CS705" s="1293"/>
      <c r="CT705" s="1293"/>
      <c r="CU705" s="1293"/>
      <c r="CV705" s="1293"/>
      <c r="CW705" s="1293"/>
      <c r="CX705" s="1293"/>
      <c r="CY705" s="2032"/>
      <c r="CZ705" s="1293"/>
      <c r="DA705" s="2031"/>
      <c r="DB705" s="2032"/>
      <c r="DC705" s="1293"/>
      <c r="DD705" s="1293"/>
      <c r="DE705" s="1293"/>
      <c r="DF705" s="1293"/>
      <c r="DG705" s="1293"/>
      <c r="DH705" s="1293"/>
      <c r="DI705" s="1293"/>
      <c r="DJ705" s="1293"/>
      <c r="DK705" s="1293"/>
      <c r="DL705" s="1293"/>
    </row>
    <row r="706" spans="1:116" ht="15.75">
      <c r="A706" s="1293"/>
      <c r="B706" s="1293" t="str">
        <f>B676</f>
        <v>Homes passed</v>
      </c>
      <c r="C706" s="1293"/>
      <c r="D706" s="1293"/>
      <c r="E706" s="1293"/>
      <c r="F706" s="1293"/>
      <c r="G706" s="2080"/>
      <c r="H706" s="1293"/>
      <c r="I706" s="1293"/>
      <c r="J706" s="1293"/>
      <c r="K706" s="1293">
        <f>P706-456</f>
        <v>3494</v>
      </c>
      <c r="L706" s="2080"/>
      <c r="M706" s="1293"/>
      <c r="N706" s="1293"/>
      <c r="O706" s="1293"/>
      <c r="P706" s="1671">
        <v>3950</v>
      </c>
      <c r="Q706" s="2080"/>
      <c r="R706" s="1293"/>
      <c r="S706" s="1293"/>
      <c r="T706" s="1293"/>
      <c r="U706" s="1293"/>
      <c r="V706" s="2080"/>
      <c r="W706" s="1293"/>
      <c r="X706" s="1293"/>
      <c r="Y706" s="1293"/>
      <c r="Z706" s="1293"/>
      <c r="AA706" s="2080"/>
      <c r="AB706" s="1293"/>
      <c r="AC706" s="1293"/>
      <c r="AD706" s="1293"/>
      <c r="AE706" s="1293"/>
      <c r="AF706" s="1293"/>
      <c r="AG706" s="1293"/>
      <c r="AH706" s="1293"/>
      <c r="AI706" s="1293"/>
      <c r="AJ706" s="2186"/>
      <c r="AK706" s="1293"/>
      <c r="AL706" s="1293"/>
      <c r="AM706" s="1293"/>
      <c r="AN706" s="1293"/>
      <c r="AO706" s="2186"/>
      <c r="AP706" s="1293"/>
      <c r="AQ706" s="1293"/>
      <c r="AR706" s="1293"/>
      <c r="AS706" s="1293"/>
      <c r="AT706" s="2186"/>
      <c r="AU706" s="1293"/>
      <c r="AV706" s="1293"/>
      <c r="AW706" s="1293"/>
      <c r="AX706" s="1293"/>
      <c r="AY706" s="2186"/>
      <c r="AZ706" s="1293"/>
      <c r="BA706" s="1293"/>
      <c r="BB706" s="1293"/>
      <c r="BC706" s="1293"/>
      <c r="BD706" s="2186"/>
      <c r="BE706" s="1293"/>
      <c r="BF706" s="1293"/>
      <c r="BG706" s="1293"/>
      <c r="BH706" s="1293"/>
      <c r="BI706" s="2186"/>
      <c r="BJ706" s="1293"/>
      <c r="BK706" s="1293"/>
      <c r="BL706" s="1293"/>
      <c r="BM706" s="1293"/>
      <c r="BN706" s="2186"/>
      <c r="BO706" s="1293"/>
      <c r="BP706" s="1293"/>
      <c r="BQ706" s="1293"/>
      <c r="BR706" s="1293"/>
      <c r="BS706" s="1293"/>
      <c r="BT706" s="1293"/>
      <c r="BU706" s="1293"/>
      <c r="BV706" s="1293"/>
      <c r="BW706" s="1293"/>
      <c r="BX706" s="1293"/>
      <c r="BY706" s="1293"/>
      <c r="BZ706" s="1293"/>
      <c r="CA706" s="1293"/>
      <c r="CB706" s="1293"/>
      <c r="CC706" s="1293"/>
      <c r="CD706" s="1293"/>
      <c r="CE706" s="1293"/>
      <c r="CF706" s="1293"/>
      <c r="CG706" s="1293"/>
      <c r="CH706" s="1293"/>
      <c r="CI706" s="1293"/>
      <c r="CJ706" s="1293"/>
      <c r="CK706" s="1293"/>
      <c r="CL706" s="1293"/>
      <c r="CM706" s="1293"/>
      <c r="CN706" s="1293"/>
      <c r="CO706" s="1293"/>
      <c r="CP706" s="1293"/>
      <c r="CQ706" s="1293"/>
      <c r="CR706" s="1293"/>
      <c r="CS706" s="1293"/>
      <c r="CT706" s="1293"/>
      <c r="CU706" s="1293"/>
      <c r="CV706" s="1293"/>
      <c r="CW706" s="1293"/>
      <c r="CX706" s="1293"/>
      <c r="CY706" s="2032"/>
      <c r="CZ706" s="1293"/>
      <c r="DA706" s="2031"/>
      <c r="DB706" s="2032"/>
      <c r="DC706" s="1293"/>
      <c r="DD706" s="1293"/>
      <c r="DE706" s="1293"/>
      <c r="DF706" s="1293"/>
      <c r="DG706" s="1293"/>
      <c r="DH706" s="1293"/>
      <c r="DI706" s="1293"/>
      <c r="DJ706" s="1293"/>
      <c r="DK706" s="1293"/>
      <c r="DL706" s="1293"/>
    </row>
    <row r="707" spans="1:116" ht="15.75">
      <c r="A707" s="1293"/>
      <c r="B707" s="1293" t="s">
        <v>4634</v>
      </c>
      <c r="C707" s="1293"/>
      <c r="D707" s="1293"/>
      <c r="E707" s="1293"/>
      <c r="F707" s="1293"/>
      <c r="G707" s="2080"/>
      <c r="H707" s="1293"/>
      <c r="I707" s="1293"/>
      <c r="J707" s="1293"/>
      <c r="K707" s="1293"/>
      <c r="L707" s="2080"/>
      <c r="M707" s="1293"/>
      <c r="N707" s="1293"/>
      <c r="O707" s="1293"/>
      <c r="P707" s="1293">
        <v>160</v>
      </c>
      <c r="Q707" s="2080"/>
      <c r="R707" s="1293"/>
      <c r="S707" s="1293"/>
      <c r="T707" s="1293"/>
      <c r="U707" s="1293"/>
      <c r="V707" s="2080"/>
      <c r="W707" s="1293"/>
      <c r="X707" s="1293"/>
      <c r="Y707" s="1293"/>
      <c r="Z707" s="1293"/>
      <c r="AA707" s="2080"/>
      <c r="AB707" s="1293"/>
      <c r="AC707" s="1293"/>
      <c r="AD707" s="1293"/>
      <c r="AE707" s="1293"/>
      <c r="AF707" s="1293"/>
      <c r="AG707" s="1293"/>
      <c r="AH707" s="1293"/>
      <c r="AI707" s="1293"/>
      <c r="AJ707" s="2186"/>
      <c r="AK707" s="1293"/>
      <c r="AL707" s="1293"/>
      <c r="AM707" s="1293"/>
      <c r="AN707" s="1293"/>
      <c r="AO707" s="2186"/>
      <c r="AP707" s="1293"/>
      <c r="AQ707" s="1293"/>
      <c r="AR707" s="1293"/>
      <c r="AS707" s="1293"/>
      <c r="AT707" s="2186"/>
      <c r="AU707" s="1293"/>
      <c r="AV707" s="1293"/>
      <c r="AW707" s="1293"/>
      <c r="AX707" s="1293"/>
      <c r="AY707" s="2186"/>
      <c r="AZ707" s="1293"/>
      <c r="BA707" s="1293"/>
      <c r="BB707" s="1293"/>
      <c r="BC707" s="1293"/>
      <c r="BD707" s="2186"/>
      <c r="BE707" s="1293"/>
      <c r="BF707" s="1293"/>
      <c r="BG707" s="1293"/>
      <c r="BH707" s="1293"/>
      <c r="BI707" s="2186"/>
      <c r="BJ707" s="1293"/>
      <c r="BK707" s="1293"/>
      <c r="BL707" s="1293"/>
      <c r="BM707" s="1293"/>
      <c r="BN707" s="2186"/>
      <c r="BO707" s="1293"/>
      <c r="BP707" s="1293"/>
      <c r="BQ707" s="1293"/>
      <c r="BR707" s="1293"/>
      <c r="BS707" s="1293"/>
      <c r="BT707" s="1293"/>
      <c r="BU707" s="1293"/>
      <c r="BV707" s="1293"/>
      <c r="BW707" s="1293"/>
      <c r="BX707" s="1293"/>
      <c r="BY707" s="1293"/>
      <c r="BZ707" s="1293"/>
      <c r="CA707" s="1293"/>
      <c r="CB707" s="1293"/>
      <c r="CC707" s="1293"/>
      <c r="CD707" s="1293"/>
      <c r="CE707" s="1293"/>
      <c r="CF707" s="1293"/>
      <c r="CG707" s="1293"/>
      <c r="CH707" s="1293"/>
      <c r="CI707" s="1293"/>
      <c r="CJ707" s="1293"/>
      <c r="CK707" s="1293"/>
      <c r="CL707" s="1293"/>
      <c r="CM707" s="1293"/>
      <c r="CN707" s="1293"/>
      <c r="CO707" s="1293"/>
      <c r="CP707" s="1293"/>
      <c r="CQ707" s="1293"/>
      <c r="CR707" s="1293"/>
      <c r="CS707" s="1293"/>
      <c r="CT707" s="1293"/>
      <c r="CU707" s="1293"/>
      <c r="CV707" s="1293"/>
      <c r="CW707" s="1293"/>
      <c r="CX707" s="1293"/>
      <c r="CY707" s="2032"/>
      <c r="CZ707" s="1293"/>
      <c r="DA707" s="2031"/>
      <c r="DB707" s="2032"/>
      <c r="DC707" s="1293"/>
      <c r="DD707" s="1293"/>
      <c r="DE707" s="1293"/>
      <c r="DF707" s="1293"/>
      <c r="DG707" s="1293"/>
      <c r="DH707" s="1293"/>
      <c r="DI707" s="1293"/>
      <c r="DJ707" s="1293"/>
      <c r="DK707" s="1293"/>
      <c r="DL707" s="1293"/>
    </row>
    <row r="708" spans="1:116" ht="15.75">
      <c r="A708" s="1293"/>
      <c r="B708" s="1293" t="s">
        <v>4635</v>
      </c>
      <c r="C708" s="1293"/>
      <c r="D708" s="1293"/>
      <c r="E708" s="1293"/>
      <c r="F708" s="1293"/>
      <c r="G708" s="2080"/>
      <c r="H708" s="1293"/>
      <c r="I708" s="1293"/>
      <c r="J708" s="1293"/>
      <c r="K708" s="1293"/>
      <c r="L708" s="2080"/>
      <c r="M708" s="1293"/>
      <c r="N708" s="1293"/>
      <c r="O708" s="1293"/>
      <c r="P708" s="1671">
        <v>6500</v>
      </c>
      <c r="Q708" s="2080"/>
      <c r="R708" s="1293"/>
      <c r="S708" s="1293"/>
      <c r="T708" s="1293"/>
      <c r="U708" s="1293"/>
      <c r="V708" s="2080"/>
      <c r="W708" s="1293"/>
      <c r="X708" s="1293"/>
      <c r="Y708" s="1293"/>
      <c r="Z708" s="1293"/>
      <c r="AA708" s="2080"/>
      <c r="AB708" s="1293"/>
      <c r="AC708" s="1293"/>
      <c r="AD708" s="1293"/>
      <c r="AE708" s="1293"/>
      <c r="AF708" s="1293"/>
      <c r="AG708" s="1293"/>
      <c r="AH708" s="1293"/>
      <c r="AI708" s="1293"/>
      <c r="AJ708" s="2186"/>
      <c r="AK708" s="1293"/>
      <c r="AL708" s="1293"/>
      <c r="AM708" s="1293"/>
      <c r="AN708" s="1293"/>
      <c r="AO708" s="2186"/>
      <c r="AP708" s="1293"/>
      <c r="AQ708" s="1293"/>
      <c r="AR708" s="1293"/>
      <c r="AS708" s="1293"/>
      <c r="AT708" s="2186"/>
      <c r="AU708" s="1293"/>
      <c r="AV708" s="1293"/>
      <c r="AW708" s="1293"/>
      <c r="AX708" s="1293"/>
      <c r="AY708" s="2186"/>
      <c r="AZ708" s="1293"/>
      <c r="BA708" s="1293"/>
      <c r="BB708" s="1293"/>
      <c r="BC708" s="1293"/>
      <c r="BD708" s="2186"/>
      <c r="BE708" s="1293"/>
      <c r="BF708" s="1293"/>
      <c r="BG708" s="1293"/>
      <c r="BH708" s="1293"/>
      <c r="BI708" s="2186"/>
      <c r="BJ708" s="1293"/>
      <c r="BK708" s="1293"/>
      <c r="BL708" s="1293"/>
      <c r="BM708" s="1293"/>
      <c r="BN708" s="2186"/>
      <c r="BO708" s="1293"/>
      <c r="BP708" s="1293"/>
      <c r="BQ708" s="1293"/>
      <c r="BR708" s="1293"/>
      <c r="BS708" s="1293"/>
      <c r="BT708" s="1293"/>
      <c r="BU708" s="1293"/>
      <c r="BV708" s="1293"/>
      <c r="BW708" s="1293"/>
      <c r="BX708" s="1293"/>
      <c r="BY708" s="1293"/>
      <c r="BZ708" s="1293"/>
      <c r="CA708" s="1293"/>
      <c r="CB708" s="1293"/>
      <c r="CC708" s="1293"/>
      <c r="CD708" s="1293"/>
      <c r="CE708" s="1293"/>
      <c r="CF708" s="1293"/>
      <c r="CG708" s="1293"/>
      <c r="CH708" s="1293"/>
      <c r="CI708" s="1293"/>
      <c r="CJ708" s="1293"/>
      <c r="CK708" s="1293"/>
      <c r="CL708" s="1293"/>
      <c r="CM708" s="1293"/>
      <c r="CN708" s="1293"/>
      <c r="CO708" s="1293"/>
      <c r="CP708" s="1293"/>
      <c r="CQ708" s="1293"/>
      <c r="CR708" s="1293"/>
      <c r="CS708" s="1293"/>
      <c r="CT708" s="1293"/>
      <c r="CU708" s="1293"/>
      <c r="CV708" s="1293"/>
      <c r="CW708" s="1293"/>
      <c r="CX708" s="1293"/>
      <c r="CY708" s="2032"/>
      <c r="CZ708" s="1293"/>
      <c r="DA708" s="2031"/>
      <c r="DB708" s="2032"/>
      <c r="DC708" s="1293"/>
      <c r="DD708" s="1293"/>
      <c r="DE708" s="1293"/>
      <c r="DF708" s="1293"/>
      <c r="DG708" s="1293"/>
      <c r="DH708" s="1293"/>
      <c r="DI708" s="1293"/>
      <c r="DJ708" s="1293"/>
      <c r="DK708" s="1293"/>
      <c r="DL708" s="1293"/>
    </row>
    <row r="709" spans="1:116" ht="15.75">
      <c r="A709" s="1293"/>
      <c r="B709" s="1293" t="s">
        <v>4637</v>
      </c>
      <c r="C709" s="1293"/>
      <c r="D709" s="1293"/>
      <c r="E709" s="1293"/>
      <c r="F709" s="1293"/>
      <c r="G709" s="2080"/>
      <c r="H709" s="1293"/>
      <c r="I709" s="1293"/>
      <c r="J709" s="1293"/>
      <c r="K709" s="1293"/>
      <c r="L709" s="2080"/>
      <c r="M709" s="1293"/>
      <c r="N709" s="1293"/>
      <c r="O709" s="1293"/>
      <c r="P709" s="1293">
        <v>100</v>
      </c>
      <c r="Q709" s="2080"/>
      <c r="R709" s="1293"/>
      <c r="S709" s="1293"/>
      <c r="T709" s="1293"/>
      <c r="U709" s="1293"/>
      <c r="V709" s="2080"/>
      <c r="W709" s="1293"/>
      <c r="X709" s="1293"/>
      <c r="Y709" s="1293"/>
      <c r="Z709" s="1293"/>
      <c r="AA709" s="2080"/>
      <c r="AB709" s="1293"/>
      <c r="AC709" s="1293"/>
      <c r="AD709" s="1293"/>
      <c r="AE709" s="1293"/>
      <c r="AF709" s="1293"/>
      <c r="AG709" s="1293"/>
      <c r="AH709" s="1293"/>
      <c r="AI709" s="1293"/>
      <c r="AJ709" s="2186"/>
      <c r="AK709" s="1293"/>
      <c r="AL709" s="1293"/>
      <c r="AM709" s="1293"/>
      <c r="AN709" s="1293"/>
      <c r="AO709" s="2186"/>
      <c r="AP709" s="1293"/>
      <c r="AQ709" s="1293"/>
      <c r="AR709" s="1293"/>
      <c r="AS709" s="1293"/>
      <c r="AT709" s="2186"/>
      <c r="AU709" s="1293"/>
      <c r="AV709" s="1293"/>
      <c r="AW709" s="1293"/>
      <c r="AX709" s="1293"/>
      <c r="AY709" s="2186"/>
      <c r="AZ709" s="1293"/>
      <c r="BA709" s="1293"/>
      <c r="BB709" s="1293"/>
      <c r="BC709" s="1293"/>
      <c r="BD709" s="2186"/>
      <c r="BE709" s="1293"/>
      <c r="BF709" s="1293"/>
      <c r="BG709" s="1293"/>
      <c r="BH709" s="1293"/>
      <c r="BI709" s="2186"/>
      <c r="BJ709" s="1293"/>
      <c r="BK709" s="1293"/>
      <c r="BL709" s="1293"/>
      <c r="BM709" s="1293"/>
      <c r="BN709" s="2186"/>
      <c r="BO709" s="1293"/>
      <c r="BP709" s="1293"/>
      <c r="BQ709" s="1293"/>
      <c r="BR709" s="1293"/>
      <c r="BS709" s="1293"/>
      <c r="BT709" s="1293"/>
      <c r="BU709" s="1293"/>
      <c r="BV709" s="1293"/>
      <c r="BW709" s="1293"/>
      <c r="BX709" s="1293"/>
      <c r="BY709" s="1293"/>
      <c r="BZ709" s="1293"/>
      <c r="CA709" s="1293"/>
      <c r="CB709" s="1293"/>
      <c r="CC709" s="1293"/>
      <c r="CD709" s="1293"/>
      <c r="CE709" s="1293"/>
      <c r="CF709" s="1293"/>
      <c r="CG709" s="1293"/>
      <c r="CH709" s="1293"/>
      <c r="CI709" s="1293"/>
      <c r="CJ709" s="1293"/>
      <c r="CK709" s="1293"/>
      <c r="CL709" s="1293"/>
      <c r="CM709" s="1293"/>
      <c r="CN709" s="1293"/>
      <c r="CO709" s="1293"/>
      <c r="CP709" s="1293"/>
      <c r="CQ709" s="1293"/>
      <c r="CR709" s="1293"/>
      <c r="CS709" s="1293"/>
      <c r="CT709" s="1293"/>
      <c r="CU709" s="1293"/>
      <c r="CV709" s="1293"/>
      <c r="CW709" s="1293"/>
      <c r="CX709" s="1293"/>
      <c r="CY709" s="2032"/>
      <c r="CZ709" s="1293"/>
      <c r="DA709" s="2031"/>
      <c r="DB709" s="2032"/>
      <c r="DC709" s="1293"/>
      <c r="DD709" s="1293"/>
      <c r="DE709" s="1293"/>
      <c r="DF709" s="1293"/>
      <c r="DG709" s="1293"/>
      <c r="DH709" s="1293"/>
      <c r="DI709" s="1293"/>
      <c r="DJ709" s="1293"/>
      <c r="DK709" s="1293"/>
      <c r="DL709" s="1293"/>
    </row>
    <row r="710" spans="1:116" ht="15.75">
      <c r="A710" s="1293"/>
      <c r="B710" s="1293"/>
      <c r="C710" s="1293"/>
      <c r="D710" s="1293"/>
      <c r="E710" s="1293"/>
      <c r="F710" s="1293"/>
      <c r="G710" s="2080"/>
      <c r="H710" s="1293"/>
      <c r="I710" s="1293"/>
      <c r="J710" s="1293"/>
      <c r="K710" s="1293"/>
      <c r="L710" s="2080"/>
      <c r="M710" s="1293"/>
      <c r="N710" s="1293"/>
      <c r="O710" s="1293"/>
      <c r="P710" s="1293"/>
      <c r="Q710" s="2080"/>
      <c r="R710" s="1293"/>
      <c r="S710" s="1293"/>
      <c r="T710" s="1293"/>
      <c r="U710" s="1293"/>
      <c r="V710" s="2080"/>
      <c r="W710" s="1293"/>
      <c r="X710" s="1293"/>
      <c r="Y710" s="1293"/>
      <c r="Z710" s="1293"/>
      <c r="AA710" s="2080"/>
      <c r="AB710" s="1293"/>
      <c r="AC710" s="1293"/>
      <c r="AD710" s="1293"/>
      <c r="AE710" s="1293"/>
      <c r="AF710" s="1293"/>
      <c r="AG710" s="1293"/>
      <c r="AH710" s="1293"/>
      <c r="AI710" s="1293"/>
      <c r="AJ710" s="2186"/>
      <c r="AK710" s="1293"/>
      <c r="AL710" s="1293"/>
      <c r="AM710" s="1293"/>
      <c r="AN710" s="1293"/>
      <c r="AO710" s="2186"/>
      <c r="AP710" s="1293"/>
      <c r="AQ710" s="1293"/>
      <c r="AR710" s="1293"/>
      <c r="AS710" s="1293"/>
      <c r="AT710" s="2186"/>
      <c r="AU710" s="1293"/>
      <c r="AV710" s="1293"/>
      <c r="AW710" s="1293"/>
      <c r="AX710" s="1293"/>
      <c r="AY710" s="2186"/>
      <c r="AZ710" s="1293"/>
      <c r="BA710" s="1293"/>
      <c r="BB710" s="1293"/>
      <c r="BC710" s="1293"/>
      <c r="BD710" s="2186"/>
      <c r="BE710" s="1293"/>
      <c r="BF710" s="1293"/>
      <c r="BG710" s="1293"/>
      <c r="BH710" s="1293"/>
      <c r="BI710" s="2186"/>
      <c r="BJ710" s="1293"/>
      <c r="BK710" s="1293"/>
      <c r="BL710" s="1293"/>
      <c r="BM710" s="1293"/>
      <c r="BN710" s="2186"/>
      <c r="BO710" s="1293"/>
      <c r="BP710" s="1293"/>
      <c r="BQ710" s="1293"/>
      <c r="BR710" s="1293"/>
      <c r="BS710" s="1293"/>
      <c r="BT710" s="1293"/>
      <c r="BU710" s="1293"/>
      <c r="BV710" s="1293"/>
      <c r="BW710" s="1293"/>
      <c r="BX710" s="1293"/>
      <c r="BY710" s="1293"/>
      <c r="BZ710" s="1293"/>
      <c r="CA710" s="1293"/>
      <c r="CB710" s="1293"/>
      <c r="CC710" s="1293"/>
      <c r="CD710" s="1293"/>
      <c r="CE710" s="1293"/>
      <c r="CF710" s="1293"/>
      <c r="CG710" s="1293"/>
      <c r="CH710" s="1293"/>
      <c r="CI710" s="1293"/>
      <c r="CJ710" s="1293"/>
      <c r="CK710" s="1293"/>
      <c r="CL710" s="1293"/>
      <c r="CM710" s="1293"/>
      <c r="CN710" s="1293"/>
      <c r="CO710" s="1293"/>
      <c r="CP710" s="1293"/>
      <c r="CQ710" s="1293"/>
      <c r="CR710" s="1293"/>
      <c r="CS710" s="1293"/>
      <c r="CT710" s="1293"/>
      <c r="CU710" s="1293"/>
      <c r="CV710" s="1293"/>
      <c r="CW710" s="1293"/>
      <c r="CX710" s="1293"/>
      <c r="CY710" s="2032"/>
      <c r="CZ710" s="1293"/>
      <c r="DA710" s="2031"/>
      <c r="DB710" s="2032"/>
      <c r="DC710" s="1293"/>
      <c r="DD710" s="1293"/>
      <c r="DE710" s="1293"/>
      <c r="DF710" s="1293"/>
      <c r="DG710" s="1293"/>
      <c r="DH710" s="1293"/>
      <c r="DI710" s="1293"/>
      <c r="DJ710" s="1293"/>
      <c r="DK710" s="1293"/>
      <c r="DL710" s="1293"/>
    </row>
    <row r="711" spans="1:116" ht="15.75">
      <c r="A711" s="1293"/>
      <c r="B711" s="2319" t="s">
        <v>4550</v>
      </c>
      <c r="C711" s="1293"/>
      <c r="D711" s="1293"/>
      <c r="E711" s="1293"/>
      <c r="F711" s="1293"/>
      <c r="G711" s="2080"/>
      <c r="H711" s="1293"/>
      <c r="I711" s="1293"/>
      <c r="J711" s="1293"/>
      <c r="K711" s="1293"/>
      <c r="L711" s="2080"/>
      <c r="M711" s="1293"/>
      <c r="N711" s="1293"/>
      <c r="O711" s="1293"/>
      <c r="P711" s="1293"/>
      <c r="Q711" s="2080"/>
      <c r="R711" s="1293"/>
      <c r="S711" s="1293"/>
      <c r="T711" s="1293"/>
      <c r="U711" s="1293"/>
      <c r="V711" s="2080"/>
      <c r="W711" s="1293"/>
      <c r="X711" s="1293"/>
      <c r="Y711" s="1293"/>
      <c r="Z711" s="1293"/>
      <c r="AA711" s="2080"/>
      <c r="AB711" s="1293"/>
      <c r="AC711" s="1293"/>
      <c r="AD711" s="1293"/>
      <c r="AE711" s="1293"/>
      <c r="AF711" s="1293"/>
      <c r="AG711" s="1293"/>
      <c r="AH711" s="1293"/>
      <c r="AI711" s="1293"/>
      <c r="AJ711" s="2186"/>
      <c r="AK711" s="1293"/>
      <c r="AL711" s="1293"/>
      <c r="AM711" s="1293"/>
      <c r="AN711" s="1293"/>
      <c r="AO711" s="2186"/>
      <c r="AP711" s="1293"/>
      <c r="AQ711" s="1293"/>
      <c r="AR711" s="1293"/>
      <c r="AS711" s="1293"/>
      <c r="AT711" s="2186"/>
      <c r="AU711" s="1293"/>
      <c r="AV711" s="1293"/>
      <c r="AW711" s="1293"/>
      <c r="AX711" s="1293"/>
      <c r="AY711" s="2186"/>
      <c r="AZ711" s="1293"/>
      <c r="BA711" s="1293"/>
      <c r="BB711" s="1293"/>
      <c r="BC711" s="1293"/>
      <c r="BD711" s="2186"/>
      <c r="BE711" s="1293"/>
      <c r="BF711" s="1293"/>
      <c r="BG711" s="1293"/>
      <c r="BH711" s="1293"/>
      <c r="BI711" s="2186"/>
      <c r="BJ711" s="1293"/>
      <c r="BK711" s="1293"/>
      <c r="BL711" s="1293"/>
      <c r="BM711" s="1293"/>
      <c r="BN711" s="2186"/>
      <c r="BO711" s="1293"/>
      <c r="BP711" s="1293"/>
      <c r="BQ711" s="1293"/>
      <c r="BR711" s="1293"/>
      <c r="BS711" s="1293"/>
      <c r="BT711" s="1293"/>
      <c r="BU711" s="1293"/>
      <c r="BV711" s="1293"/>
      <c r="BW711" s="1293"/>
      <c r="BX711" s="1293"/>
      <c r="BY711" s="1293"/>
      <c r="BZ711" s="1293"/>
      <c r="CA711" s="1293"/>
      <c r="CB711" s="1293"/>
      <c r="CC711" s="1293"/>
      <c r="CD711" s="1293"/>
      <c r="CE711" s="1293"/>
      <c r="CF711" s="1293"/>
      <c r="CG711" s="1293"/>
      <c r="CH711" s="1293"/>
      <c r="CI711" s="1293"/>
      <c r="CJ711" s="1293"/>
      <c r="CK711" s="1293"/>
      <c r="CL711" s="1293"/>
      <c r="CM711" s="1293"/>
      <c r="CN711" s="1293"/>
      <c r="CO711" s="1293"/>
      <c r="CP711" s="1293"/>
      <c r="CQ711" s="1293"/>
      <c r="CR711" s="1293"/>
      <c r="CS711" s="1293"/>
      <c r="CT711" s="1293"/>
      <c r="CU711" s="1293"/>
      <c r="CV711" s="1293"/>
      <c r="CW711" s="1293"/>
      <c r="CX711" s="1293"/>
      <c r="CY711" s="2032"/>
      <c r="CZ711" s="1293"/>
      <c r="DA711" s="2031"/>
      <c r="DB711" s="2032"/>
      <c r="DC711" s="1293"/>
      <c r="DD711" s="1293"/>
      <c r="DE711" s="1293"/>
      <c r="DF711" s="1293"/>
      <c r="DG711" s="1293"/>
      <c r="DH711" s="1293"/>
      <c r="DI711" s="1293"/>
      <c r="DJ711" s="1293"/>
      <c r="DK711" s="1293"/>
      <c r="DL711" s="1293"/>
    </row>
    <row r="712" spans="1:116" ht="15.75">
      <c r="A712" s="1293"/>
      <c r="B712" s="1334" t="s">
        <v>4992</v>
      </c>
      <c r="C712" s="1699">
        <f t="shared" ref="C712:G714" si="580">C617+C661</f>
        <v>124.93104889514993</v>
      </c>
      <c r="D712" s="1699">
        <f t="shared" si="580"/>
        <v>128.87682164081542</v>
      </c>
      <c r="E712" s="1699">
        <f t="shared" si="580"/>
        <v>302.51255244541483</v>
      </c>
      <c r="F712" s="1699">
        <f t="shared" si="580"/>
        <v>413.32191744175435</v>
      </c>
      <c r="G712" s="2039">
        <f t="shared" si="580"/>
        <v>969.72400717683809</v>
      </c>
      <c r="H712" s="1699">
        <f>H713+H714</f>
        <v>377</v>
      </c>
      <c r="I712" s="1699">
        <f>I713+I714</f>
        <v>392</v>
      </c>
      <c r="J712" s="1699">
        <f>J713+J714</f>
        <v>377</v>
      </c>
      <c r="K712" s="1699">
        <f>K713+K714</f>
        <v>380</v>
      </c>
      <c r="L712" s="2039">
        <f>L617+L661</f>
        <v>1589.1031945148889</v>
      </c>
      <c r="M712" s="1699">
        <f>M713+M714</f>
        <v>377</v>
      </c>
      <c r="N712" s="1699">
        <f>N713+N714</f>
        <v>406</v>
      </c>
      <c r="O712" s="1699">
        <f>O713+O714</f>
        <v>406</v>
      </c>
      <c r="P712" s="1699">
        <f>P713+P714</f>
        <v>420</v>
      </c>
      <c r="Q712" s="2039">
        <f>Cable!N80</f>
        <v>1575.5</v>
      </c>
      <c r="R712" s="1699">
        <f>R713+R714</f>
        <v>427</v>
      </c>
      <c r="S712" s="1699">
        <f>S713+S714</f>
        <v>430.84673164366484</v>
      </c>
      <c r="T712" s="1699">
        <f>T713+T714</f>
        <v>440.74776746178475</v>
      </c>
      <c r="U712" s="1699">
        <f>U713+U714</f>
        <v>457</v>
      </c>
      <c r="V712" s="2080"/>
      <c r="W712" s="1699">
        <f>W713+W714</f>
        <v>442</v>
      </c>
      <c r="X712" s="1699">
        <f>X713+X714</f>
        <v>462</v>
      </c>
      <c r="Y712" s="1699">
        <f>Y713+Y714</f>
        <v>457</v>
      </c>
      <c r="Z712" s="1699">
        <f>Z713+Z714</f>
        <v>447</v>
      </c>
      <c r="AA712" s="2080"/>
      <c r="AB712" s="1699"/>
      <c r="AC712" s="1699">
        <v>541</v>
      </c>
      <c r="AD712" s="1699"/>
      <c r="AE712" s="1699"/>
      <c r="AF712" s="1699"/>
      <c r="AG712" s="1699"/>
      <c r="AH712" s="1699"/>
      <c r="AI712" s="1699"/>
      <c r="AJ712" s="2186"/>
      <c r="AK712" s="1699"/>
      <c r="AL712" s="1699"/>
      <c r="AM712" s="1699"/>
      <c r="AN712" s="1699"/>
      <c r="AO712" s="2186"/>
      <c r="AP712" s="1699"/>
      <c r="AQ712" s="1699"/>
      <c r="AR712" s="1699"/>
      <c r="AS712" s="1699"/>
      <c r="AT712" s="2186"/>
      <c r="AU712" s="1699"/>
      <c r="AV712" s="1699"/>
      <c r="AW712" s="1699"/>
      <c r="AX712" s="1699"/>
      <c r="AY712" s="2186"/>
      <c r="AZ712" s="1699"/>
      <c r="BA712" s="1699"/>
      <c r="BB712" s="1699"/>
      <c r="BC712" s="1293"/>
      <c r="BD712" s="2186"/>
      <c r="BE712" s="1699"/>
      <c r="BF712" s="1699"/>
      <c r="BG712" s="1699"/>
      <c r="BH712" s="1293"/>
      <c r="BI712" s="2186"/>
      <c r="BJ712" s="1699"/>
      <c r="BK712" s="1699"/>
      <c r="BL712" s="1699"/>
      <c r="BM712" s="1699"/>
      <c r="BN712" s="2186"/>
      <c r="BO712" s="1293"/>
      <c r="BP712" s="1293"/>
      <c r="BQ712" s="1293"/>
      <c r="BR712" s="1293"/>
      <c r="BS712" s="1293"/>
      <c r="BT712" s="1293"/>
      <c r="BU712" s="1293"/>
      <c r="BV712" s="1293"/>
      <c r="BW712" s="1293"/>
      <c r="BX712" s="1293"/>
      <c r="BY712" s="1293"/>
      <c r="BZ712" s="1293"/>
      <c r="CA712" s="1293"/>
      <c r="CB712" s="1293"/>
      <c r="CC712" s="1293"/>
      <c r="CD712" s="1293"/>
      <c r="CE712" s="1293"/>
      <c r="CF712" s="1293"/>
      <c r="CG712" s="1293"/>
      <c r="CH712" s="1293"/>
      <c r="CI712" s="1293"/>
      <c r="CJ712" s="1293"/>
      <c r="CK712" s="1293"/>
      <c r="CL712" s="1293"/>
      <c r="CM712" s="1293"/>
      <c r="CN712" s="1293"/>
      <c r="CO712" s="1293"/>
      <c r="CP712" s="1293"/>
      <c r="CQ712" s="1293"/>
      <c r="CR712" s="1293"/>
      <c r="CS712" s="1293"/>
      <c r="CT712" s="1293"/>
      <c r="CU712" s="1293"/>
      <c r="CV712" s="1293"/>
      <c r="CW712" s="1293"/>
      <c r="CX712" s="1293"/>
      <c r="CY712" s="2032"/>
      <c r="CZ712" s="1293"/>
      <c r="DA712" s="2042"/>
      <c r="DB712" s="2041"/>
      <c r="DC712" s="1293"/>
      <c r="DD712" s="1293"/>
      <c r="DE712" s="1293"/>
      <c r="DF712" s="1293"/>
      <c r="DG712" s="1293"/>
      <c r="DH712" s="1293"/>
      <c r="DI712" s="1293"/>
      <c r="DJ712" s="1293"/>
      <c r="DK712" s="1293"/>
      <c r="DL712" s="1293"/>
    </row>
    <row r="713" spans="1:116" ht="15.75">
      <c r="A713" s="1293"/>
      <c r="B713" s="1870" t="s">
        <v>4528</v>
      </c>
      <c r="C713" s="1699">
        <f t="shared" si="580"/>
        <v>87.177420899791102</v>
      </c>
      <c r="D713" s="1699">
        <f t="shared" si="580"/>
        <v>90.046763214224399</v>
      </c>
      <c r="E713" s="1699">
        <f t="shared" si="580"/>
        <v>185.6605124128786</v>
      </c>
      <c r="F713" s="1699">
        <f t="shared" si="580"/>
        <v>256.95280037215269</v>
      </c>
      <c r="G713" s="2039">
        <f t="shared" si="580"/>
        <v>619.83749689904596</v>
      </c>
      <c r="H713" s="1699">
        <v>229</v>
      </c>
      <c r="I713" s="1699">
        <v>236</v>
      </c>
      <c r="J713" s="1699">
        <v>228</v>
      </c>
      <c r="K713" s="1699">
        <v>229</v>
      </c>
      <c r="L713" s="2039">
        <f>L618+L662</f>
        <v>988.9297715839009</v>
      </c>
      <c r="M713" s="1699">
        <v>245</v>
      </c>
      <c r="N713" s="1699">
        <v>259</v>
      </c>
      <c r="O713" s="1699">
        <v>260</v>
      </c>
      <c r="P713" s="1699">
        <v>267</v>
      </c>
      <c r="Q713" s="2039">
        <f>Cable!N72</f>
        <v>1002.9</v>
      </c>
      <c r="R713" s="1699">
        <v>277</v>
      </c>
      <c r="S713" s="1699">
        <v>278.5290476954998</v>
      </c>
      <c r="T713" s="1699">
        <v>281.77891701923778</v>
      </c>
      <c r="U713" s="1699">
        <v>289</v>
      </c>
      <c r="V713" s="2157">
        <f>Cable!O72</f>
        <v>1126.3</v>
      </c>
      <c r="W713" s="1699">
        <f>W590</f>
        <v>302</v>
      </c>
      <c r="X713" s="1699">
        <f>X590</f>
        <v>319</v>
      </c>
      <c r="Y713" s="1699">
        <f>Y590</f>
        <v>321</v>
      </c>
      <c r="Z713" s="1699">
        <v>316</v>
      </c>
      <c r="AA713" s="2157"/>
      <c r="AB713" s="1699"/>
      <c r="AC713" s="1699">
        <v>379</v>
      </c>
      <c r="AD713" s="1699"/>
      <c r="AE713" s="1699"/>
      <c r="AF713" s="1699"/>
      <c r="AG713" s="1699"/>
      <c r="AH713" s="1699"/>
      <c r="AI713" s="1699"/>
      <c r="AJ713" s="2186"/>
      <c r="AK713" s="1699"/>
      <c r="AL713" s="1699"/>
      <c r="AM713" s="1699"/>
      <c r="AN713" s="1699"/>
      <c r="AO713" s="2186"/>
      <c r="AP713" s="1699"/>
      <c r="AQ713" s="1699"/>
      <c r="AR713" s="1699"/>
      <c r="AS713" s="1699"/>
      <c r="AT713" s="2186"/>
      <c r="AU713" s="1699"/>
      <c r="AV713" s="1699"/>
      <c r="AW713" s="1699"/>
      <c r="AX713" s="1699"/>
      <c r="AY713" s="2186"/>
      <c r="AZ713" s="1699"/>
      <c r="BA713" s="1699"/>
      <c r="BB713" s="1699"/>
      <c r="BC713" s="1293"/>
      <c r="BD713" s="2186"/>
      <c r="BE713" s="1699"/>
      <c r="BF713" s="1699"/>
      <c r="BG713" s="1699"/>
      <c r="BH713" s="1293"/>
      <c r="BI713" s="2186"/>
      <c r="BJ713" s="1699"/>
      <c r="BK713" s="1699"/>
      <c r="BL713" s="1699"/>
      <c r="BM713" s="1699"/>
      <c r="BN713" s="2186"/>
      <c r="BO713" s="1293"/>
      <c r="BP713" s="1293"/>
      <c r="BQ713" s="1293"/>
      <c r="BR713" s="1293"/>
      <c r="BS713" s="1293"/>
      <c r="BT713" s="1293"/>
      <c r="BU713" s="1293"/>
      <c r="BV713" s="1293"/>
      <c r="BW713" s="1293"/>
      <c r="BX713" s="1293"/>
      <c r="BY713" s="1293"/>
      <c r="BZ713" s="1293"/>
      <c r="CA713" s="1293"/>
      <c r="CB713" s="1293"/>
      <c r="CC713" s="1293"/>
      <c r="CD713" s="1293"/>
      <c r="CE713" s="1293"/>
      <c r="CF713" s="1293"/>
      <c r="CG713" s="1293"/>
      <c r="CH713" s="1293"/>
      <c r="CI713" s="1293"/>
      <c r="CJ713" s="1293"/>
      <c r="CK713" s="1293"/>
      <c r="CL713" s="1293"/>
      <c r="CM713" s="1293"/>
      <c r="CN713" s="1293"/>
      <c r="CO713" s="1293"/>
      <c r="CP713" s="1293"/>
      <c r="CQ713" s="1293"/>
      <c r="CR713" s="1293"/>
      <c r="CS713" s="1293"/>
      <c r="CT713" s="1293"/>
      <c r="CU713" s="1293"/>
      <c r="CV713" s="1293"/>
      <c r="CW713" s="1293"/>
      <c r="CX713" s="1293"/>
      <c r="CY713" s="2032"/>
      <c r="CZ713" s="1293"/>
      <c r="DA713" s="2042"/>
      <c r="DB713" s="2041"/>
      <c r="DC713" s="1293"/>
      <c r="DD713" s="1293"/>
      <c r="DE713" s="1293"/>
      <c r="DF713" s="1293"/>
      <c r="DG713" s="1293"/>
      <c r="DH713" s="1293"/>
      <c r="DI713" s="1293"/>
      <c r="DJ713" s="1293"/>
      <c r="DK713" s="1293"/>
      <c r="DL713" s="1293"/>
    </row>
    <row r="714" spans="1:116" ht="15.75">
      <c r="A714" s="1293"/>
      <c r="B714" s="1870" t="s">
        <v>4991</v>
      </c>
      <c r="C714" s="1699">
        <f t="shared" si="580"/>
        <v>36.047355778670706</v>
      </c>
      <c r="D714" s="1699">
        <f t="shared" si="580"/>
        <v>36.543552817394122</v>
      </c>
      <c r="E714" s="1699">
        <f t="shared" si="580"/>
        <v>115.6184807222573</v>
      </c>
      <c r="F714" s="1699">
        <f t="shared" si="580"/>
        <v>155.69842308064281</v>
      </c>
      <c r="G714" s="2039">
        <f t="shared" si="580"/>
        <v>343.90781239896501</v>
      </c>
      <c r="H714" s="1699">
        <v>148</v>
      </c>
      <c r="I714" s="1699">
        <v>156</v>
      </c>
      <c r="J714" s="1699">
        <v>149</v>
      </c>
      <c r="K714" s="1699">
        <v>151</v>
      </c>
      <c r="L714" s="2039">
        <f>L619+L663</f>
        <v>591.75902443004702</v>
      </c>
      <c r="M714" s="1699">
        <v>132</v>
      </c>
      <c r="N714" s="1699">
        <v>147</v>
      </c>
      <c r="O714" s="1699">
        <v>146</v>
      </c>
      <c r="P714" s="1699">
        <v>153</v>
      </c>
      <c r="Q714" s="2039">
        <f>Cable!N75</f>
        <v>564.9</v>
      </c>
      <c r="R714" s="1699">
        <v>150</v>
      </c>
      <c r="S714" s="1699">
        <v>152.31768394816501</v>
      </c>
      <c r="T714" s="1699">
        <v>158.96885044254699</v>
      </c>
      <c r="U714" s="1699">
        <v>168</v>
      </c>
      <c r="V714" s="2157">
        <f>Cable!O75</f>
        <v>627</v>
      </c>
      <c r="W714" s="1699">
        <f>W592</f>
        <v>140</v>
      </c>
      <c r="X714" s="1699">
        <f>X592</f>
        <v>143</v>
      </c>
      <c r="Y714" s="1699">
        <f>Y592</f>
        <v>136</v>
      </c>
      <c r="Z714" s="1699">
        <v>131</v>
      </c>
      <c r="AA714" s="2157"/>
      <c r="AB714" s="1699"/>
      <c r="AC714" s="1699">
        <v>162</v>
      </c>
      <c r="AD714" s="1699"/>
      <c r="AE714" s="1699"/>
      <c r="AF714" s="1699"/>
      <c r="AG714" s="1699"/>
      <c r="AH714" s="1699"/>
      <c r="AI714" s="1699"/>
      <c r="AJ714" s="2186"/>
      <c r="AK714" s="1699"/>
      <c r="AL714" s="1699"/>
      <c r="AM714" s="1699"/>
      <c r="AN714" s="1699"/>
      <c r="AO714" s="2186"/>
      <c r="AP714" s="1699"/>
      <c r="AQ714" s="1699"/>
      <c r="AR714" s="1699"/>
      <c r="AS714" s="1699"/>
      <c r="AT714" s="2186"/>
      <c r="AU714" s="1699"/>
      <c r="AV714" s="1699"/>
      <c r="AW714" s="1699"/>
      <c r="AX714" s="1699"/>
      <c r="AY714" s="2186"/>
      <c r="AZ714" s="1699"/>
      <c r="BA714" s="1699"/>
      <c r="BB714" s="1699"/>
      <c r="BC714" s="1293"/>
      <c r="BD714" s="2186"/>
      <c r="BE714" s="1699"/>
      <c r="BF714" s="1699"/>
      <c r="BG714" s="1699"/>
      <c r="BH714" s="1293"/>
      <c r="BI714" s="2186"/>
      <c r="BJ714" s="1699"/>
      <c r="BK714" s="1699"/>
      <c r="BL714" s="1699"/>
      <c r="BM714" s="1699"/>
      <c r="BN714" s="2186"/>
      <c r="BO714" s="1293"/>
      <c r="BP714" s="1293"/>
      <c r="BQ714" s="1293"/>
      <c r="BR714" s="1293"/>
      <c r="BS714" s="1293"/>
      <c r="BT714" s="1293"/>
      <c r="BU714" s="1293"/>
      <c r="BV714" s="1293"/>
      <c r="BW714" s="1293"/>
      <c r="BX714" s="1293"/>
      <c r="BY714" s="1293"/>
      <c r="BZ714" s="1293"/>
      <c r="CA714" s="1293"/>
      <c r="CB714" s="1293"/>
      <c r="CC714" s="1293"/>
      <c r="CD714" s="1293"/>
      <c r="CE714" s="1293"/>
      <c r="CF714" s="1293"/>
      <c r="CG714" s="1293"/>
      <c r="CH714" s="1293"/>
      <c r="CI714" s="1293"/>
      <c r="CJ714" s="1293"/>
      <c r="CK714" s="1293"/>
      <c r="CL714" s="1293"/>
      <c r="CM714" s="1293"/>
      <c r="CN714" s="1293"/>
      <c r="CO714" s="1293"/>
      <c r="CP714" s="1293"/>
      <c r="CQ714" s="1293"/>
      <c r="CR714" s="1293"/>
      <c r="CS714" s="1293"/>
      <c r="CT714" s="1293"/>
      <c r="CU714" s="1293"/>
      <c r="CV714" s="1293"/>
      <c r="CW714" s="1293"/>
      <c r="CX714" s="1293"/>
      <c r="CY714" s="2032"/>
      <c r="CZ714" s="1293"/>
      <c r="DA714" s="2042"/>
      <c r="DB714" s="2041"/>
      <c r="DC714" s="1293"/>
      <c r="DD714" s="1293"/>
      <c r="DE714" s="1293"/>
      <c r="DF714" s="1293"/>
      <c r="DG714" s="1293"/>
      <c r="DH714" s="1293"/>
      <c r="DI714" s="1293"/>
      <c r="DJ714" s="1293"/>
      <c r="DK714" s="1293"/>
      <c r="DL714" s="1293"/>
    </row>
    <row r="715" spans="1:116" ht="15.75">
      <c r="A715" s="1293"/>
      <c r="B715" s="2320" t="s">
        <v>945</v>
      </c>
      <c r="C715" s="1293"/>
      <c r="D715" s="1293"/>
      <c r="E715" s="1293"/>
      <c r="F715" s="1293"/>
      <c r="G715" s="2080"/>
      <c r="H715" s="1293"/>
      <c r="I715" s="1293"/>
      <c r="J715" s="1293"/>
      <c r="K715" s="1293"/>
      <c r="L715" s="2080"/>
      <c r="M715" s="1293"/>
      <c r="N715" s="1293"/>
      <c r="O715" s="1293"/>
      <c r="P715" s="1293"/>
      <c r="Q715" s="2080"/>
      <c r="R715" s="1293"/>
      <c r="S715" s="1293"/>
      <c r="T715" s="1293"/>
      <c r="U715" s="1293"/>
      <c r="V715" s="2080"/>
      <c r="W715" s="1293"/>
      <c r="X715" s="1293"/>
      <c r="Y715" s="1293"/>
      <c r="Z715" s="1293"/>
      <c r="AA715" s="2080"/>
      <c r="AB715" s="1293"/>
      <c r="AC715" s="1293"/>
      <c r="AD715" s="1293"/>
      <c r="AE715" s="1293"/>
      <c r="AF715" s="1293"/>
      <c r="AG715" s="1293"/>
      <c r="AH715" s="1293"/>
      <c r="AI715" s="1293"/>
      <c r="AJ715" s="2186"/>
      <c r="AK715" s="1293"/>
      <c r="AL715" s="1293"/>
      <c r="AM715" s="1293"/>
      <c r="AN715" s="1293"/>
      <c r="AO715" s="2300"/>
      <c r="AP715" s="1293"/>
      <c r="AQ715" s="1293"/>
      <c r="AR715" s="1293"/>
      <c r="AS715" s="1293"/>
      <c r="AT715" s="2300"/>
      <c r="AU715" s="1293"/>
      <c r="AV715" s="1293"/>
      <c r="AW715" s="1293"/>
      <c r="AX715" s="1293"/>
      <c r="AY715" s="2300"/>
      <c r="AZ715" s="1293"/>
      <c r="BA715" s="1293"/>
      <c r="BB715" s="1293"/>
      <c r="BC715" s="1671"/>
      <c r="BD715" s="2300"/>
      <c r="BE715" s="1293"/>
      <c r="BF715" s="1293"/>
      <c r="BG715" s="1293"/>
      <c r="BH715" s="1671"/>
      <c r="BI715" s="2300"/>
      <c r="BJ715" s="1293"/>
      <c r="BK715" s="1293"/>
      <c r="BL715" s="1293"/>
      <c r="BM715" s="1293"/>
      <c r="BN715" s="2300"/>
      <c r="BO715" s="1671"/>
      <c r="BP715" s="1671"/>
      <c r="BQ715" s="1671"/>
      <c r="BR715" s="1671"/>
      <c r="BS715" s="1671"/>
      <c r="BT715" s="1671"/>
      <c r="BU715" s="1293"/>
      <c r="BV715" s="1293"/>
      <c r="BW715" s="1293"/>
      <c r="BX715" s="1293"/>
      <c r="BY715" s="1293"/>
      <c r="BZ715" s="1293"/>
      <c r="CA715" s="1293"/>
      <c r="CB715" s="1293"/>
      <c r="CC715" s="1293"/>
      <c r="CD715" s="1293"/>
      <c r="CE715" s="1293"/>
      <c r="CF715" s="1293"/>
      <c r="CG715" s="1293"/>
      <c r="CH715" s="1293"/>
      <c r="CI715" s="1293"/>
      <c r="CJ715" s="1293"/>
      <c r="CK715" s="1293"/>
      <c r="CL715" s="1293"/>
      <c r="CM715" s="1293"/>
      <c r="CN715" s="1293"/>
      <c r="CO715" s="1293"/>
      <c r="CP715" s="1293"/>
      <c r="CQ715" s="1293"/>
      <c r="CR715" s="1293"/>
      <c r="CS715" s="1293"/>
      <c r="CT715" s="1293"/>
      <c r="CU715" s="1293"/>
      <c r="CV715" s="1293"/>
      <c r="CW715" s="1293"/>
      <c r="CX715" s="1293"/>
      <c r="CY715" s="2301"/>
      <c r="CZ715" s="1671"/>
      <c r="DA715" s="2031"/>
      <c r="DB715" s="2032"/>
      <c r="DC715" s="1293"/>
      <c r="DD715" s="1293"/>
      <c r="DE715" s="1293"/>
      <c r="DF715" s="1293"/>
      <c r="DG715" s="1293"/>
      <c r="DH715" s="1293"/>
      <c r="DI715" s="1293"/>
      <c r="DJ715" s="1293"/>
      <c r="DK715" s="1293"/>
      <c r="DL715" s="1293"/>
    </row>
    <row r="716" spans="1:116" ht="15.75">
      <c r="A716" s="1293"/>
      <c r="B716" s="2321" t="str">
        <f>B712</f>
        <v>Revenue (service)</v>
      </c>
      <c r="C716" s="1293"/>
      <c r="D716" s="1293"/>
      <c r="E716" s="1293"/>
      <c r="F716" s="1293"/>
      <c r="G716" s="2080"/>
      <c r="H716" s="1293"/>
      <c r="I716" s="1724"/>
      <c r="J716" s="1724">
        <f t="shared" ref="J716:K718" si="581">J712/E712-1</f>
        <v>0.2462292785950615</v>
      </c>
      <c r="K716" s="1724">
        <f t="shared" si="581"/>
        <v>-8.061976884264821E-2</v>
      </c>
      <c r="L716" s="2039"/>
      <c r="M716" s="1724">
        <f t="shared" ref="M716:P718" si="582">M712/H712-1</f>
        <v>0</v>
      </c>
      <c r="N716" s="1724">
        <f t="shared" si="582"/>
        <v>3.5714285714285809E-2</v>
      </c>
      <c r="O716" s="1724">
        <f t="shared" si="582"/>
        <v>7.6923076923076872E-2</v>
      </c>
      <c r="P716" s="1724">
        <f t="shared" si="582"/>
        <v>0.10526315789473695</v>
      </c>
      <c r="Q716" s="2080"/>
      <c r="R716" s="1724">
        <f t="shared" ref="R716:U718" si="583">R712/M712-1</f>
        <v>0.13262599469496017</v>
      </c>
      <c r="S716" s="1724">
        <f t="shared" si="583"/>
        <v>6.1198846412967578E-2</v>
      </c>
      <c r="T716" s="1724">
        <f t="shared" si="583"/>
        <v>8.5585634142326894E-2</v>
      </c>
      <c r="U716" s="1724">
        <f t="shared" si="583"/>
        <v>8.8095238095238004E-2</v>
      </c>
      <c r="V716" s="2080"/>
      <c r="W716" s="1724">
        <f t="shared" ref="W716:Z718" si="584">W712/R712-1</f>
        <v>3.5128805620608938E-2</v>
      </c>
      <c r="X716" s="1724">
        <f t="shared" si="584"/>
        <v>7.230707829089611E-2</v>
      </c>
      <c r="Y716" s="1724">
        <f t="shared" si="584"/>
        <v>3.6874225436943187E-2</v>
      </c>
      <c r="Z716" s="1724">
        <f t="shared" si="584"/>
        <v>-2.1881838074398252E-2</v>
      </c>
      <c r="AA716" s="2080"/>
      <c r="AB716" s="1724"/>
      <c r="AC716" s="1724">
        <f>AC712/W712-1</f>
        <v>0.22398190045248878</v>
      </c>
      <c r="AD716" s="1724"/>
      <c r="AE716" s="1724"/>
      <c r="AF716" s="1724"/>
      <c r="AG716" s="1724"/>
      <c r="AH716" s="1724"/>
      <c r="AI716" s="1724"/>
      <c r="AJ716" s="2186"/>
      <c r="AK716" s="1724"/>
      <c r="AL716" s="1724"/>
      <c r="AM716" s="1724"/>
      <c r="AN716" s="1724"/>
      <c r="AO716" s="2259"/>
      <c r="AP716" s="1724"/>
      <c r="AQ716" s="1724"/>
      <c r="AR716" s="1724"/>
      <c r="AS716" s="1724"/>
      <c r="AT716" s="2259"/>
      <c r="AU716" s="1724"/>
      <c r="AV716" s="1724"/>
      <c r="AW716" s="1724"/>
      <c r="AX716" s="1724"/>
      <c r="AY716" s="2259"/>
      <c r="AZ716" s="1724"/>
      <c r="BA716" s="1724"/>
      <c r="BB716" s="1724"/>
      <c r="BC716" s="1724"/>
      <c r="BD716" s="2259"/>
      <c r="BE716" s="1724"/>
      <c r="BF716" s="1724"/>
      <c r="BG716" s="1724"/>
      <c r="BH716" s="1724"/>
      <c r="BI716" s="2259"/>
      <c r="BJ716" s="1724"/>
      <c r="BK716" s="1724"/>
      <c r="BL716" s="1724"/>
      <c r="BM716" s="1724"/>
      <c r="BN716" s="2259"/>
      <c r="BO716" s="1724"/>
      <c r="BP716" s="1724"/>
      <c r="BQ716" s="1724"/>
      <c r="BR716" s="1724"/>
      <c r="BS716" s="1724"/>
      <c r="BT716" s="1724"/>
      <c r="BU716" s="1293"/>
      <c r="BV716" s="1293"/>
      <c r="BW716" s="1293"/>
      <c r="BX716" s="1293"/>
      <c r="BY716" s="1293"/>
      <c r="BZ716" s="1293"/>
      <c r="CA716" s="1293"/>
      <c r="CB716" s="1293"/>
      <c r="CC716" s="1293"/>
      <c r="CD716" s="1293"/>
      <c r="CE716" s="1293"/>
      <c r="CF716" s="1293"/>
      <c r="CG716" s="1293"/>
      <c r="CH716" s="1293"/>
      <c r="CI716" s="1293"/>
      <c r="CJ716" s="1293"/>
      <c r="CK716" s="1293"/>
      <c r="CL716" s="1293"/>
      <c r="CM716" s="1293"/>
      <c r="CN716" s="1293"/>
      <c r="CO716" s="1293"/>
      <c r="CP716" s="1293"/>
      <c r="CQ716" s="1293"/>
      <c r="CR716" s="1293"/>
      <c r="CS716" s="1293"/>
      <c r="CT716" s="1293"/>
      <c r="CU716" s="1293"/>
      <c r="CV716" s="1293"/>
      <c r="CW716" s="1293"/>
      <c r="CX716" s="1293"/>
      <c r="CY716" s="2084"/>
      <c r="CZ716" s="1724"/>
      <c r="DA716" s="2083"/>
      <c r="DB716" s="2084"/>
      <c r="DC716" s="1293"/>
      <c r="DD716" s="1293"/>
      <c r="DE716" s="1293"/>
      <c r="DF716" s="1293"/>
      <c r="DG716" s="1293"/>
      <c r="DH716" s="1293"/>
      <c r="DI716" s="1293"/>
      <c r="DJ716" s="1293"/>
      <c r="DK716" s="1293"/>
      <c r="DL716" s="1293"/>
    </row>
    <row r="717" spans="1:116" ht="15.75">
      <c r="A717" s="1293"/>
      <c r="B717" s="1870" t="str">
        <f>B713</f>
        <v xml:space="preserve"> - Home</v>
      </c>
      <c r="C717" s="1293"/>
      <c r="D717" s="1293"/>
      <c r="E717" s="1293"/>
      <c r="F717" s="1293"/>
      <c r="G717" s="2080"/>
      <c r="H717" s="1293"/>
      <c r="I717" s="1293"/>
      <c r="J717" s="1724">
        <f t="shared" si="581"/>
        <v>0.22804788717250379</v>
      </c>
      <c r="K717" s="1724">
        <f t="shared" si="581"/>
        <v>-0.10878573937185265</v>
      </c>
      <c r="L717" s="2039"/>
      <c r="M717" s="1724">
        <f t="shared" si="582"/>
        <v>6.9868995633187714E-2</v>
      </c>
      <c r="N717" s="1724">
        <f t="shared" si="582"/>
        <v>9.745762711864403E-2</v>
      </c>
      <c r="O717" s="1724">
        <f t="shared" si="582"/>
        <v>0.14035087719298245</v>
      </c>
      <c r="P717" s="1724">
        <f t="shared" si="582"/>
        <v>0.1659388646288209</v>
      </c>
      <c r="Q717" s="2080"/>
      <c r="R717" s="1724">
        <f t="shared" si="583"/>
        <v>0.1306122448979592</v>
      </c>
      <c r="S717" s="1724">
        <f t="shared" si="583"/>
        <v>7.540172855405336E-2</v>
      </c>
      <c r="T717" s="1724">
        <f t="shared" si="583"/>
        <v>8.3765065458606847E-2</v>
      </c>
      <c r="U717" s="1724">
        <f t="shared" si="583"/>
        <v>8.2397003745318331E-2</v>
      </c>
      <c r="V717" s="2080"/>
      <c r="W717" s="1724">
        <f t="shared" si="584"/>
        <v>9.0252707581227387E-2</v>
      </c>
      <c r="X717" s="1724">
        <f t="shared" si="584"/>
        <v>0.145302447408447</v>
      </c>
      <c r="Y717" s="1724">
        <f t="shared" si="584"/>
        <v>0.13919097779087752</v>
      </c>
      <c r="Z717" s="1724">
        <f t="shared" si="584"/>
        <v>9.3425605536332279E-2</v>
      </c>
      <c r="AA717" s="2080"/>
      <c r="AB717" s="1724"/>
      <c r="AC717" s="1724">
        <f>AC713/W713-1</f>
        <v>0.25496688741721862</v>
      </c>
      <c r="AD717" s="1724"/>
      <c r="AE717" s="1724"/>
      <c r="AF717" s="1724"/>
      <c r="AG717" s="1724"/>
      <c r="AH717" s="1724"/>
      <c r="AI717" s="1724"/>
      <c r="AJ717" s="2186"/>
      <c r="AK717" s="1724"/>
      <c r="AL717" s="1724"/>
      <c r="AM717" s="1724"/>
      <c r="AN717" s="1724"/>
      <c r="AO717" s="2186"/>
      <c r="AP717" s="1724"/>
      <c r="AQ717" s="1724"/>
      <c r="AR717" s="1724"/>
      <c r="AS717" s="1724"/>
      <c r="AT717" s="2186"/>
      <c r="AU717" s="1724"/>
      <c r="AV717" s="1724"/>
      <c r="AW717" s="1724"/>
      <c r="AX717" s="1724"/>
      <c r="AY717" s="2186"/>
      <c r="AZ717" s="1724"/>
      <c r="BA717" s="1724"/>
      <c r="BB717" s="1724"/>
      <c r="BC717" s="1293"/>
      <c r="BD717" s="2186"/>
      <c r="BE717" s="1724"/>
      <c r="BF717" s="1724"/>
      <c r="BG717" s="1724"/>
      <c r="BH717" s="1293"/>
      <c r="BI717" s="2186"/>
      <c r="BJ717" s="1724"/>
      <c r="BK717" s="1724"/>
      <c r="BL717" s="1724"/>
      <c r="BM717" s="1724"/>
      <c r="BN717" s="2186"/>
      <c r="BO717" s="1293"/>
      <c r="BP717" s="1293"/>
      <c r="BQ717" s="1293"/>
      <c r="BR717" s="1293"/>
      <c r="BS717" s="1293"/>
      <c r="BT717" s="1293"/>
      <c r="BU717" s="1293"/>
      <c r="BV717" s="1293"/>
      <c r="BW717" s="1293"/>
      <c r="BX717" s="1293"/>
      <c r="BY717" s="1293"/>
      <c r="BZ717" s="1293"/>
      <c r="CA717" s="1293"/>
      <c r="CB717" s="1293"/>
      <c r="CC717" s="1293"/>
      <c r="CD717" s="1293"/>
      <c r="CE717" s="1293"/>
      <c r="CF717" s="1293"/>
      <c r="CG717" s="1293"/>
      <c r="CH717" s="1293"/>
      <c r="CI717" s="1293"/>
      <c r="CJ717" s="1293"/>
      <c r="CK717" s="1293"/>
      <c r="CL717" s="1293"/>
      <c r="CM717" s="1293"/>
      <c r="CN717" s="1293"/>
      <c r="CO717" s="1293"/>
      <c r="CP717" s="1293"/>
      <c r="CQ717" s="1293"/>
      <c r="CR717" s="1293"/>
      <c r="CS717" s="1293"/>
      <c r="CT717" s="1293"/>
      <c r="CU717" s="1293"/>
      <c r="CV717" s="1293"/>
      <c r="CW717" s="1293"/>
      <c r="CX717" s="1293"/>
      <c r="CY717" s="2032"/>
      <c r="CZ717" s="1293"/>
      <c r="DA717" s="2083"/>
      <c r="DB717" s="2084"/>
      <c r="DC717" s="1293"/>
      <c r="DD717" s="1293"/>
      <c r="DE717" s="1293"/>
      <c r="DF717" s="1293"/>
      <c r="DG717" s="1293"/>
      <c r="DH717" s="1293"/>
      <c r="DI717" s="1293"/>
      <c r="DJ717" s="1293"/>
      <c r="DK717" s="1293"/>
      <c r="DL717" s="1293"/>
    </row>
    <row r="718" spans="1:116" ht="15.75">
      <c r="A718" s="1293"/>
      <c r="B718" s="1870" t="str">
        <f>B714</f>
        <v xml:space="preserve"> - Fixed B2B</v>
      </c>
      <c r="C718" s="1293"/>
      <c r="D718" s="1293"/>
      <c r="E718" s="1293"/>
      <c r="F718" s="1293"/>
      <c r="G718" s="2080"/>
      <c r="H718" s="1293"/>
      <c r="I718" s="1293"/>
      <c r="J718" s="1724">
        <f t="shared" si="581"/>
        <v>0.28872131054837968</v>
      </c>
      <c r="K718" s="1724">
        <f t="shared" si="581"/>
        <v>-3.0176433310498574E-2</v>
      </c>
      <c r="L718" s="2080"/>
      <c r="M718" s="1724">
        <f t="shared" si="582"/>
        <v>-0.10810810810810811</v>
      </c>
      <c r="N718" s="1724">
        <f t="shared" si="582"/>
        <v>-5.7692307692307709E-2</v>
      </c>
      <c r="O718" s="1724">
        <f t="shared" si="582"/>
        <v>-2.0134228187919434E-2</v>
      </c>
      <c r="P718" s="1724">
        <f t="shared" si="582"/>
        <v>1.3245033112582849E-2</v>
      </c>
      <c r="Q718" s="2080"/>
      <c r="R718" s="1724">
        <f t="shared" si="583"/>
        <v>0.13636363636363646</v>
      </c>
      <c r="S718" s="1724">
        <f t="shared" si="583"/>
        <v>3.6174720735816512E-2</v>
      </c>
      <c r="T718" s="1724">
        <f t="shared" si="583"/>
        <v>8.8827742757171091E-2</v>
      </c>
      <c r="U718" s="1724">
        <f t="shared" si="583"/>
        <v>9.8039215686274606E-2</v>
      </c>
      <c r="V718" s="2080"/>
      <c r="W718" s="1724">
        <f t="shared" si="584"/>
        <v>-6.6666666666666652E-2</v>
      </c>
      <c r="X718" s="1724">
        <f t="shared" si="584"/>
        <v>-6.1172699759115989E-2</v>
      </c>
      <c r="Y718" s="1724">
        <f t="shared" si="584"/>
        <v>-0.14448648511079332</v>
      </c>
      <c r="Z718" s="1724">
        <f t="shared" si="584"/>
        <v>-0.22023809523809523</v>
      </c>
      <c r="AA718" s="2080"/>
      <c r="AB718" s="1724"/>
      <c r="AC718" s="1724">
        <f>AC714/W714-1</f>
        <v>0.15714285714285725</v>
      </c>
      <c r="AD718" s="1724"/>
      <c r="AE718" s="1724"/>
      <c r="AF718" s="1724"/>
      <c r="AG718" s="1724"/>
      <c r="AH718" s="1724"/>
      <c r="AI718" s="1724"/>
      <c r="AJ718" s="2186"/>
      <c r="AK718" s="1724"/>
      <c r="AL718" s="1724"/>
      <c r="AM718" s="1724"/>
      <c r="AN718" s="1724"/>
      <c r="AO718" s="2186"/>
      <c r="AP718" s="1724"/>
      <c r="AQ718" s="1724"/>
      <c r="AR718" s="1724"/>
      <c r="AS718" s="1724"/>
      <c r="AT718" s="2186"/>
      <c r="AU718" s="1724"/>
      <c r="AV718" s="1724"/>
      <c r="AW718" s="1724"/>
      <c r="AX718" s="1724"/>
      <c r="AY718" s="2186"/>
      <c r="AZ718" s="1724"/>
      <c r="BA718" s="1724"/>
      <c r="BB718" s="1724"/>
      <c r="BC718" s="1293"/>
      <c r="BD718" s="2186"/>
      <c r="BE718" s="1724"/>
      <c r="BF718" s="1724"/>
      <c r="BG718" s="1724"/>
      <c r="BH718" s="1293"/>
      <c r="BI718" s="2186"/>
      <c r="BJ718" s="1724"/>
      <c r="BK718" s="1724"/>
      <c r="BL718" s="1724"/>
      <c r="BM718" s="1724"/>
      <c r="BN718" s="2186"/>
      <c r="BO718" s="1293"/>
      <c r="BP718" s="1293"/>
      <c r="BQ718" s="1293"/>
      <c r="BR718" s="1293"/>
      <c r="BS718" s="1293"/>
      <c r="BT718" s="1293"/>
      <c r="BU718" s="1293"/>
      <c r="BV718" s="1293"/>
      <c r="BW718" s="1293"/>
      <c r="BX718" s="1293"/>
      <c r="BY718" s="1293"/>
      <c r="BZ718" s="1293"/>
      <c r="CA718" s="1293"/>
      <c r="CB718" s="1293"/>
      <c r="CC718" s="1293"/>
      <c r="CD718" s="1293"/>
      <c r="CE718" s="1293"/>
      <c r="CF718" s="1293"/>
      <c r="CG718" s="1293"/>
      <c r="CH718" s="1293"/>
      <c r="CI718" s="1293"/>
      <c r="CJ718" s="1293"/>
      <c r="CK718" s="1293"/>
      <c r="CL718" s="1293"/>
      <c r="CM718" s="1293"/>
      <c r="CN718" s="1293"/>
      <c r="CO718" s="1293"/>
      <c r="CP718" s="1293"/>
      <c r="CQ718" s="1293"/>
      <c r="CR718" s="1293"/>
      <c r="CS718" s="1293"/>
      <c r="CT718" s="1293"/>
      <c r="CU718" s="1293"/>
      <c r="CV718" s="1293"/>
      <c r="CW718" s="1293"/>
      <c r="CX718" s="1293"/>
      <c r="CY718" s="2032"/>
      <c r="CZ718" s="1293"/>
      <c r="DA718" s="2083"/>
      <c r="DB718" s="2084"/>
      <c r="DC718" s="1293"/>
      <c r="DD718" s="1293"/>
      <c r="DE718" s="1293"/>
      <c r="DF718" s="1293"/>
      <c r="DG718" s="1293"/>
      <c r="DH718" s="1293"/>
      <c r="DI718" s="1293"/>
      <c r="DJ718" s="1293"/>
      <c r="DK718" s="1293"/>
      <c r="DL718" s="1293"/>
    </row>
    <row r="719" spans="1:116" ht="15.75">
      <c r="A719" s="1293"/>
      <c r="B719" s="1293"/>
      <c r="C719" s="1293"/>
      <c r="D719" s="1293"/>
      <c r="E719" s="1293"/>
      <c r="F719" s="1293"/>
      <c r="G719" s="2080"/>
      <c r="H719" s="1293"/>
      <c r="I719" s="1293"/>
      <c r="J719" s="1293"/>
      <c r="K719" s="1293"/>
      <c r="L719" s="2080"/>
      <c r="M719" s="1293"/>
      <c r="N719" s="1293"/>
      <c r="O719" s="1293"/>
      <c r="P719" s="1293"/>
      <c r="Q719" s="2080"/>
      <c r="R719" s="1293"/>
      <c r="S719" s="1293"/>
      <c r="T719" s="1293"/>
      <c r="U719" s="1293"/>
      <c r="V719" s="2080"/>
      <c r="W719" s="1293"/>
      <c r="X719" s="1293"/>
      <c r="Y719" s="1293"/>
      <c r="Z719" s="1293"/>
      <c r="AA719" s="2080"/>
      <c r="AB719" s="1293"/>
      <c r="AC719" s="1293"/>
      <c r="AD719" s="1293"/>
      <c r="AE719" s="1293"/>
      <c r="AF719" s="1293"/>
      <c r="AG719" s="1293"/>
      <c r="AH719" s="1293"/>
      <c r="AI719" s="1293"/>
      <c r="AJ719" s="2186"/>
      <c r="AK719" s="1293"/>
      <c r="AL719" s="1293"/>
      <c r="AM719" s="1293"/>
      <c r="AN719" s="1293"/>
      <c r="AO719" s="2186"/>
      <c r="AP719" s="1293"/>
      <c r="AQ719" s="1293"/>
      <c r="AR719" s="1293"/>
      <c r="AS719" s="1293"/>
      <c r="AT719" s="2186"/>
      <c r="AU719" s="1293"/>
      <c r="AV719" s="1293"/>
      <c r="AW719" s="1293"/>
      <c r="AX719" s="1293"/>
      <c r="AY719" s="2186"/>
      <c r="AZ719" s="1293"/>
      <c r="BA719" s="1293"/>
      <c r="BB719" s="1293"/>
      <c r="BC719" s="1293"/>
      <c r="BD719" s="2186"/>
      <c r="BE719" s="1293"/>
      <c r="BF719" s="1293"/>
      <c r="BG719" s="1293"/>
      <c r="BH719" s="1293"/>
      <c r="BI719" s="2186"/>
      <c r="BJ719" s="1293"/>
      <c r="BK719" s="1293"/>
      <c r="BL719" s="1293"/>
      <c r="BM719" s="1293"/>
      <c r="BN719" s="2186"/>
      <c r="BO719" s="1293"/>
      <c r="BP719" s="1293"/>
      <c r="BQ719" s="1293"/>
      <c r="BR719" s="1293"/>
      <c r="BS719" s="1293"/>
      <c r="BT719" s="1293"/>
      <c r="BU719" s="1293"/>
      <c r="BV719" s="1293"/>
      <c r="BW719" s="1293"/>
      <c r="BX719" s="1293"/>
      <c r="BY719" s="1293"/>
      <c r="BZ719" s="1293"/>
      <c r="CA719" s="1293"/>
      <c r="CB719" s="1293"/>
      <c r="CC719" s="1293"/>
      <c r="CD719" s="1293"/>
      <c r="CE719" s="1293"/>
      <c r="CF719" s="1293"/>
      <c r="CG719" s="1293"/>
      <c r="CH719" s="1293"/>
      <c r="CI719" s="1293"/>
      <c r="CJ719" s="1293"/>
      <c r="CK719" s="1293"/>
      <c r="CL719" s="1293"/>
      <c r="CM719" s="1293"/>
      <c r="CN719" s="1293"/>
      <c r="CO719" s="1293"/>
      <c r="CP719" s="1293"/>
      <c r="CQ719" s="1293"/>
      <c r="CR719" s="1293"/>
      <c r="CS719" s="1293"/>
      <c r="CT719" s="1293"/>
      <c r="CU719" s="1293"/>
      <c r="CV719" s="1293"/>
      <c r="CW719" s="1293"/>
      <c r="CX719" s="1293"/>
      <c r="CY719" s="2032"/>
      <c r="CZ719" s="1293"/>
      <c r="DA719" s="2031"/>
      <c r="DB719" s="2032"/>
      <c r="DC719" s="1293"/>
      <c r="DD719" s="1293"/>
      <c r="DE719" s="1293"/>
      <c r="DF719" s="1293"/>
      <c r="DG719" s="1293"/>
      <c r="DH719" s="1293"/>
      <c r="DI719" s="1293"/>
      <c r="DJ719" s="1293"/>
      <c r="DK719" s="1293"/>
      <c r="DL719" s="1293"/>
    </row>
    <row r="720" spans="1:116" ht="15.75">
      <c r="A720" s="1293"/>
      <c r="B720" s="1677" t="s">
        <v>4527</v>
      </c>
      <c r="C720" s="1293"/>
      <c r="D720" s="1293"/>
      <c r="E720" s="1293"/>
      <c r="F720" s="1293"/>
      <c r="G720" s="2080"/>
      <c r="H720" s="1293"/>
      <c r="I720" s="1293"/>
      <c r="J720" s="1293"/>
      <c r="K720" s="1293"/>
      <c r="L720" s="2080"/>
      <c r="M720" s="1293"/>
      <c r="N720" s="1293"/>
      <c r="O720" s="1293"/>
      <c r="P720" s="1293"/>
      <c r="Q720" s="2080"/>
      <c r="R720" s="1293"/>
      <c r="S720" s="1293"/>
      <c r="T720" s="1293"/>
      <c r="U720" s="1293"/>
      <c r="V720" s="2080"/>
      <c r="W720" s="1293"/>
      <c r="X720" s="1293"/>
      <c r="Y720" s="1293"/>
      <c r="Z720" s="1293"/>
      <c r="AA720" s="2080"/>
      <c r="AB720" s="1293"/>
      <c r="AC720" s="1724">
        <f>AC722/AC721</f>
        <v>0.3728074080669575</v>
      </c>
      <c r="AD720" s="1724"/>
      <c r="AE720" s="1724"/>
      <c r="AF720" s="1724"/>
      <c r="AG720" s="1724"/>
      <c r="AH720" s="1724"/>
      <c r="AI720" s="1724"/>
      <c r="AJ720" s="2186"/>
      <c r="AK720" s="1724"/>
      <c r="AL720" s="1293"/>
      <c r="AM720" s="1293"/>
      <c r="AN720" s="1293"/>
      <c r="AO720" s="2186"/>
      <c r="AP720" s="1293"/>
      <c r="AQ720" s="1293"/>
      <c r="AR720" s="1293"/>
      <c r="AS720" s="1293"/>
      <c r="AT720" s="2186"/>
      <c r="AU720" s="1293"/>
      <c r="AV720" s="1293"/>
      <c r="AW720" s="1293"/>
      <c r="AX720" s="1293"/>
      <c r="AY720" s="2186"/>
      <c r="AZ720" s="1293"/>
      <c r="BA720" s="1293"/>
      <c r="BB720" s="1293"/>
      <c r="BC720" s="1293"/>
      <c r="BD720" s="2186"/>
      <c r="BE720" s="1293"/>
      <c r="BF720" s="1293"/>
      <c r="BG720" s="1293"/>
      <c r="BH720" s="1293"/>
      <c r="BI720" s="2186"/>
      <c r="BJ720" s="1293"/>
      <c r="BK720" s="1293"/>
      <c r="BL720" s="1293"/>
      <c r="BM720" s="1293"/>
      <c r="BN720" s="2186"/>
      <c r="BO720" s="1293"/>
      <c r="BP720" s="1293"/>
      <c r="BQ720" s="1293"/>
      <c r="BR720" s="1293"/>
      <c r="BS720" s="1293"/>
      <c r="BT720" s="1293"/>
      <c r="BU720" s="1293"/>
      <c r="BV720" s="1293"/>
      <c r="BW720" s="1293"/>
      <c r="BX720" s="1293"/>
      <c r="BY720" s="1293"/>
      <c r="BZ720" s="1293"/>
      <c r="CA720" s="1293"/>
      <c r="CB720" s="1293"/>
      <c r="CC720" s="1293"/>
      <c r="CD720" s="1293"/>
      <c r="CE720" s="1293"/>
      <c r="CF720" s="1293"/>
      <c r="CG720" s="1293"/>
      <c r="CH720" s="1293"/>
      <c r="CI720" s="1293"/>
      <c r="CJ720" s="1293"/>
      <c r="CK720" s="1293"/>
      <c r="CL720" s="1293"/>
      <c r="CM720" s="1293"/>
      <c r="CN720" s="1293"/>
      <c r="CO720" s="1293"/>
      <c r="CP720" s="1293"/>
      <c r="CQ720" s="1293"/>
      <c r="CR720" s="1293"/>
      <c r="CS720" s="1293"/>
      <c r="CT720" s="1293"/>
      <c r="CU720" s="1293"/>
      <c r="CV720" s="1293"/>
      <c r="CW720" s="1293"/>
      <c r="CX720" s="1293"/>
      <c r="CY720" s="2032"/>
      <c r="CZ720" s="1293"/>
      <c r="DA720" s="2031"/>
      <c r="DB720" s="2032"/>
      <c r="DC720" s="1293"/>
      <c r="DD720" s="1293"/>
      <c r="DE720" s="1293"/>
      <c r="DF720" s="1293"/>
      <c r="DG720" s="1293"/>
      <c r="DH720" s="1293"/>
      <c r="DI720" s="1293"/>
      <c r="DJ720" s="1293"/>
      <c r="DK720" s="1293"/>
      <c r="DL720" s="1293"/>
    </row>
    <row r="721" spans="1:116" ht="15.75">
      <c r="A721" s="1293"/>
      <c r="B721" s="1293" t="s">
        <v>4288</v>
      </c>
      <c r="C721" s="1699">
        <f t="shared" ref="C721:P721" si="585">C626+C670</f>
        <v>3050.8564720877584</v>
      </c>
      <c r="D721" s="1699">
        <f t="shared" si="585"/>
        <v>3090.634845</v>
      </c>
      <c r="E721" s="1699">
        <f t="shared" si="585"/>
        <v>6930.5552120877583</v>
      </c>
      <c r="F721" s="1699">
        <f t="shared" si="585"/>
        <v>7084.0873220877584</v>
      </c>
      <c r="G721" s="2039">
        <f t="shared" si="585"/>
        <v>7084.0873220877584</v>
      </c>
      <c r="H721" s="1699">
        <f t="shared" si="585"/>
        <v>7168.5842599999996</v>
      </c>
      <c r="I721" s="1699">
        <f t="shared" si="585"/>
        <v>7256.4429999999993</v>
      </c>
      <c r="J721" s="1699">
        <f t="shared" si="585"/>
        <v>7498.9793670877607</v>
      </c>
      <c r="K721" s="1699">
        <f t="shared" si="585"/>
        <v>7632.1251099999999</v>
      </c>
      <c r="L721" s="2039">
        <f t="shared" si="585"/>
        <v>7632.1251099999999</v>
      </c>
      <c r="M721" s="1699">
        <f t="shared" si="585"/>
        <v>7715.1712120877601</v>
      </c>
      <c r="N721" s="1699">
        <f t="shared" si="585"/>
        <v>7789.4082600000002</v>
      </c>
      <c r="O721" s="1699">
        <f t="shared" si="585"/>
        <v>7915.4089999999997</v>
      </c>
      <c r="P721" s="1699">
        <f t="shared" si="585"/>
        <v>8118.6261049999994</v>
      </c>
      <c r="Q721" s="2039">
        <f>Cable!N35</f>
        <v>8119</v>
      </c>
      <c r="R721" s="1699">
        <f>R626+R670</f>
        <v>8405</v>
      </c>
      <c r="S721" s="1699">
        <v>8595.1538450000007</v>
      </c>
      <c r="T721" s="1699">
        <v>8759</v>
      </c>
      <c r="U721" s="1699">
        <v>9075.9286270877601</v>
      </c>
      <c r="V721" s="2157">
        <f>Cable!O35</f>
        <v>9075.9</v>
      </c>
      <c r="W721" s="1699">
        <v>9284</v>
      </c>
      <c r="X721" s="1699">
        <v>9639</v>
      </c>
      <c r="Y721" s="1699">
        <v>9908</v>
      </c>
      <c r="Z721" s="1699">
        <v>11076</v>
      </c>
      <c r="AA721" s="2157"/>
      <c r="AB721" s="1699"/>
      <c r="AC721" s="1699">
        <v>11231</v>
      </c>
      <c r="AD721" s="1699"/>
      <c r="AE721" s="1699"/>
      <c r="AF721" s="1699"/>
      <c r="AG721" s="1699"/>
      <c r="AH721" s="1699"/>
      <c r="AI721" s="1699"/>
      <c r="AJ721" s="2186"/>
      <c r="AK721" s="1699"/>
      <c r="AL721" s="1699"/>
      <c r="AM721" s="1699"/>
      <c r="AN721" s="1699"/>
      <c r="AO721" s="2186"/>
      <c r="AP721" s="1699"/>
      <c r="AQ721" s="1699"/>
      <c r="AR721" s="1699"/>
      <c r="AS721" s="1699"/>
      <c r="AT721" s="2186"/>
      <c r="AU721" s="1699"/>
      <c r="AV721" s="1699"/>
      <c r="AW721" s="1699"/>
      <c r="AX721" s="1699"/>
      <c r="AY721" s="2186"/>
      <c r="AZ721" s="1699"/>
      <c r="BA721" s="1699"/>
      <c r="BB721" s="1699"/>
      <c r="BC721" s="1293"/>
      <c r="BD721" s="2186"/>
      <c r="BE721" s="1699"/>
      <c r="BF721" s="1699"/>
      <c r="BG721" s="1699"/>
      <c r="BH721" s="1293"/>
      <c r="BI721" s="2186"/>
      <c r="BJ721" s="1699"/>
      <c r="BK721" s="1699"/>
      <c r="BL721" s="1699"/>
      <c r="BM721" s="1699"/>
      <c r="BN721" s="2186"/>
      <c r="BO721" s="1293"/>
      <c r="BP721" s="1293"/>
      <c r="BQ721" s="1293"/>
      <c r="BR721" s="1293"/>
      <c r="BS721" s="1293"/>
      <c r="BT721" s="1293"/>
      <c r="BU721" s="1293"/>
      <c r="BV721" s="1293"/>
      <c r="BW721" s="1293"/>
      <c r="BX721" s="1293"/>
      <c r="BY721" s="1293"/>
      <c r="BZ721" s="1293"/>
      <c r="CA721" s="1293"/>
      <c r="CB721" s="1293"/>
      <c r="CC721" s="1293"/>
      <c r="CD721" s="1293"/>
      <c r="CE721" s="1293"/>
      <c r="CF721" s="1293"/>
      <c r="CG721" s="1293"/>
      <c r="CH721" s="1293"/>
      <c r="CI721" s="1293"/>
      <c r="CJ721" s="1293"/>
      <c r="CK721" s="1293"/>
      <c r="CL721" s="1293"/>
      <c r="CM721" s="1293"/>
      <c r="CN721" s="1293"/>
      <c r="CO721" s="1293"/>
      <c r="CP721" s="1293"/>
      <c r="CQ721" s="1293"/>
      <c r="CR721" s="1293"/>
      <c r="CS721" s="1293"/>
      <c r="CT721" s="1293"/>
      <c r="CU721" s="1293"/>
      <c r="CV721" s="1293"/>
      <c r="CW721" s="1293"/>
      <c r="CX721" s="1293"/>
      <c r="CY721" s="2032"/>
      <c r="CZ721" s="1293"/>
      <c r="DA721" s="2042"/>
      <c r="DB721" s="2041"/>
      <c r="DC721" s="1293"/>
      <c r="DD721" s="1293"/>
      <c r="DE721" s="1293"/>
      <c r="DF721" s="1293"/>
      <c r="DG721" s="1293"/>
      <c r="DH721" s="1293"/>
      <c r="DI721" s="1293"/>
      <c r="DJ721" s="1293"/>
      <c r="DK721" s="1293"/>
      <c r="DL721" s="1293"/>
    </row>
    <row r="722" spans="1:116" ht="15.75">
      <c r="A722" s="1293"/>
      <c r="B722" s="1293" t="s">
        <v>4522</v>
      </c>
      <c r="C722" s="1699">
        <f t="shared" ref="C722:P722" si="586">C627+C671</f>
        <v>967.59500000000003</v>
      </c>
      <c r="D722" s="1699">
        <f t="shared" si="586"/>
        <v>985.07099999999991</v>
      </c>
      <c r="E722" s="1699">
        <f t="shared" si="586"/>
        <v>2843.2809999999999</v>
      </c>
      <c r="F722" s="1699">
        <f t="shared" si="586"/>
        <v>2881.4809999999998</v>
      </c>
      <c r="G722" s="2039">
        <f t="shared" si="586"/>
        <v>2881.4809999999998</v>
      </c>
      <c r="H722" s="1699">
        <f t="shared" si="586"/>
        <v>2914.7730000000001</v>
      </c>
      <c r="I722" s="1699">
        <f t="shared" si="586"/>
        <v>2961.9100000000003</v>
      </c>
      <c r="J722" s="1699">
        <f t="shared" si="586"/>
        <v>2961.5306712895858</v>
      </c>
      <c r="K722" s="1699">
        <f t="shared" si="586"/>
        <v>3020.4300000000003</v>
      </c>
      <c r="L722" s="2039">
        <f t="shared" si="586"/>
        <v>3020.4300000000003</v>
      </c>
      <c r="M722" s="1699">
        <f t="shared" si="586"/>
        <v>3020.7550000000001</v>
      </c>
      <c r="N722" s="1699">
        <f t="shared" si="586"/>
        <v>3017.4760000000001</v>
      </c>
      <c r="O722" s="1699">
        <f t="shared" si="586"/>
        <v>3071.3760000000002</v>
      </c>
      <c r="P722" s="1699">
        <f t="shared" si="586"/>
        <v>3099.7353984200399</v>
      </c>
      <c r="Q722" s="2039">
        <f>Cable!N38</f>
        <v>3099.7</v>
      </c>
      <c r="R722" s="1699">
        <f>R627+R671</f>
        <v>3120</v>
      </c>
      <c r="S722" s="1699">
        <v>3169.7060000000001</v>
      </c>
      <c r="T722" s="1699">
        <v>3249</v>
      </c>
      <c r="U722" s="1699">
        <v>3302.6190000000001</v>
      </c>
      <c r="V722" s="2157">
        <f>Cable!O38</f>
        <v>3302.6</v>
      </c>
      <c r="W722" s="1699">
        <v>3389</v>
      </c>
      <c r="X722" s="1699">
        <v>3533</v>
      </c>
      <c r="Y722" s="1699">
        <v>3592</v>
      </c>
      <c r="Z722" s="1699">
        <v>4118</v>
      </c>
      <c r="AA722" s="2157"/>
      <c r="AB722" s="1699">
        <v>4187</v>
      </c>
      <c r="AC722" s="1699">
        <v>4187</v>
      </c>
      <c r="AD722" s="1699">
        <v>4246</v>
      </c>
      <c r="AE722" s="1699"/>
      <c r="AF722" s="1699">
        <v>4316</v>
      </c>
      <c r="AG722" s="1699"/>
      <c r="AH722" s="1699">
        <v>4341</v>
      </c>
      <c r="AI722" s="1699"/>
      <c r="AJ722" s="2186"/>
      <c r="AK722" s="1699">
        <v>4391</v>
      </c>
      <c r="AL722" s="1699">
        <v>4296</v>
      </c>
      <c r="AM722" s="1699"/>
      <c r="AN722" s="1699"/>
      <c r="AO722" s="2186"/>
      <c r="AP722" s="1699"/>
      <c r="AQ722" s="1699"/>
      <c r="AR722" s="1699"/>
      <c r="AS722" s="1699"/>
      <c r="AT722" s="2186"/>
      <c r="AU722" s="1699"/>
      <c r="AV722" s="1699"/>
      <c r="AW722" s="1699"/>
      <c r="AX722" s="1699"/>
      <c r="AY722" s="2186"/>
      <c r="AZ722" s="1699"/>
      <c r="BA722" s="1699"/>
      <c r="BB722" s="1699"/>
      <c r="BC722" s="1293"/>
      <c r="BD722" s="2186"/>
      <c r="BE722" s="1699"/>
      <c r="BF722" s="1699"/>
      <c r="BG722" s="1699"/>
      <c r="BH722" s="1293"/>
      <c r="BI722" s="2186"/>
      <c r="BJ722" s="1699"/>
      <c r="BK722" s="1699"/>
      <c r="BL722" s="1699"/>
      <c r="BM722" s="1699"/>
      <c r="BN722" s="2186"/>
      <c r="BO722" s="1293"/>
      <c r="BP722" s="1293"/>
      <c r="BQ722" s="1293"/>
      <c r="BR722" s="1293"/>
      <c r="BS722" s="1293"/>
      <c r="BT722" s="1293"/>
      <c r="BU722" s="1293"/>
      <c r="BV722" s="1293"/>
      <c r="BW722" s="1293"/>
      <c r="BX722" s="1293"/>
      <c r="BY722" s="1293"/>
      <c r="BZ722" s="1293"/>
      <c r="CA722" s="1293"/>
      <c r="CB722" s="1293"/>
      <c r="CC722" s="1293"/>
      <c r="CD722" s="1293"/>
      <c r="CE722" s="1293"/>
      <c r="CF722" s="1293"/>
      <c r="CG722" s="1293"/>
      <c r="CH722" s="1293"/>
      <c r="CI722" s="1293"/>
      <c r="CJ722" s="1293"/>
      <c r="CK722" s="1293"/>
      <c r="CL722" s="1293"/>
      <c r="CM722" s="1293"/>
      <c r="CN722" s="1293"/>
      <c r="CO722" s="1293"/>
      <c r="CP722" s="1293"/>
      <c r="CQ722" s="1293"/>
      <c r="CR722" s="1293"/>
      <c r="CS722" s="1293"/>
      <c r="CT722" s="1293"/>
      <c r="CU722" s="1293"/>
      <c r="CV722" s="1293"/>
      <c r="CW722" s="1293"/>
      <c r="CX722" s="1293"/>
      <c r="CY722" s="2032"/>
      <c r="CZ722" s="1293"/>
      <c r="DA722" s="2042"/>
      <c r="DB722" s="2041"/>
      <c r="DC722" s="1293"/>
      <c r="DD722" s="1293"/>
      <c r="DE722" s="1293"/>
      <c r="DF722" s="1293"/>
      <c r="DG722" s="1293"/>
      <c r="DH722" s="1293"/>
      <c r="DI722" s="1293"/>
      <c r="DJ722" s="1293"/>
      <c r="DK722" s="1293"/>
      <c r="DL722" s="1293"/>
    </row>
    <row r="723" spans="1:116" ht="15.75">
      <c r="A723" s="1293"/>
      <c r="B723" s="1293" t="s">
        <v>3864</v>
      </c>
      <c r="C723" s="1699">
        <f t="shared" ref="C723:P723" si="587">C628+C672</f>
        <v>1317.8130000000001</v>
      </c>
      <c r="D723" s="1699">
        <f t="shared" si="587"/>
        <v>1343.8430000000001</v>
      </c>
      <c r="E723" s="1699">
        <f t="shared" si="587"/>
        <v>4969.7649999999994</v>
      </c>
      <c r="F723" s="1699">
        <f t="shared" si="587"/>
        <v>5090.4840000000004</v>
      </c>
      <c r="G723" s="2039">
        <f t="shared" si="587"/>
        <v>5090.4840000000004</v>
      </c>
      <c r="H723" s="1699">
        <f t="shared" si="587"/>
        <v>5178.2669999999998</v>
      </c>
      <c r="I723" s="1699">
        <f t="shared" si="587"/>
        <v>5238.7820000000002</v>
      </c>
      <c r="J723" s="1699">
        <f t="shared" si="587"/>
        <v>5250.5020000000004</v>
      </c>
      <c r="K723" s="1699">
        <f t="shared" si="587"/>
        <v>5393.3990000000003</v>
      </c>
      <c r="L723" s="2039">
        <f t="shared" si="587"/>
        <v>5393.3990000000003</v>
      </c>
      <c r="M723" s="1699">
        <f t="shared" si="587"/>
        <v>5423.7739999999994</v>
      </c>
      <c r="N723" s="1699">
        <f t="shared" si="587"/>
        <v>5464.9459999999999</v>
      </c>
      <c r="O723" s="1699">
        <f t="shared" si="587"/>
        <v>5559.1239999999998</v>
      </c>
      <c r="P723" s="1699">
        <f t="shared" si="587"/>
        <v>5588.0460000000003</v>
      </c>
      <c r="Q723" s="2039">
        <f>Cable!N61</f>
        <v>5588</v>
      </c>
      <c r="R723" s="1699">
        <f>R628+R672</f>
        <v>5633</v>
      </c>
      <c r="S723" s="1699">
        <v>5762.4629999999997</v>
      </c>
      <c r="T723" s="1699">
        <v>5963</v>
      </c>
      <c r="U723" s="1699">
        <v>6090.8990000000003</v>
      </c>
      <c r="V723" s="2080"/>
      <c r="W723" s="1699">
        <v>6268</v>
      </c>
      <c r="X723" s="1699">
        <v>6508</v>
      </c>
      <c r="Y723" s="1699">
        <v>6655</v>
      </c>
      <c r="Z723" s="1699">
        <v>7775</v>
      </c>
      <c r="AA723" s="2080"/>
      <c r="AB723" s="1699"/>
      <c r="AC723" s="1699">
        <v>7925</v>
      </c>
      <c r="AD723" s="1699"/>
      <c r="AE723" s="1699"/>
      <c r="AF723" s="1699"/>
      <c r="AG723" s="1699"/>
      <c r="AH723" s="1699"/>
      <c r="AI723" s="1699"/>
      <c r="AJ723" s="2186"/>
      <c r="AK723" s="1699"/>
      <c r="AL723" s="1699"/>
      <c r="AM723" s="1699"/>
      <c r="AN723" s="1699"/>
      <c r="AO723" s="2186"/>
      <c r="AP723" s="1699"/>
      <c r="AQ723" s="1699"/>
      <c r="AR723" s="1699"/>
      <c r="AS723" s="1699"/>
      <c r="AT723" s="2186"/>
      <c r="AU723" s="1699"/>
      <c r="AV723" s="1699"/>
      <c r="AW723" s="1699"/>
      <c r="AX723" s="1699"/>
      <c r="AY723" s="2186"/>
      <c r="AZ723" s="1699"/>
      <c r="BA723" s="1699"/>
      <c r="BB723" s="1699"/>
      <c r="BC723" s="1293"/>
      <c r="BD723" s="2186"/>
      <c r="BE723" s="1699"/>
      <c r="BF723" s="1699"/>
      <c r="BG723" s="1699"/>
      <c r="BH723" s="1293"/>
      <c r="BI723" s="2186"/>
      <c r="BJ723" s="1699"/>
      <c r="BK723" s="1699"/>
      <c r="BL723" s="1699"/>
      <c r="BM723" s="1699"/>
      <c r="BN723" s="2186"/>
      <c r="BO723" s="1293"/>
      <c r="BP723" s="1293"/>
      <c r="BQ723" s="1293"/>
      <c r="BR723" s="1293"/>
      <c r="BS723" s="1293"/>
      <c r="BT723" s="1293"/>
      <c r="BU723" s="1293"/>
      <c r="BV723" s="1293"/>
      <c r="BW723" s="1293"/>
      <c r="BX723" s="1293"/>
      <c r="BY723" s="1293"/>
      <c r="BZ723" s="1293"/>
      <c r="CA723" s="1293"/>
      <c r="CB723" s="1293"/>
      <c r="CC723" s="1293"/>
      <c r="CD723" s="1293"/>
      <c r="CE723" s="1293"/>
      <c r="CF723" s="1293"/>
      <c r="CG723" s="1293"/>
      <c r="CH723" s="1293"/>
      <c r="CI723" s="1293"/>
      <c r="CJ723" s="1293"/>
      <c r="CK723" s="1293"/>
      <c r="CL723" s="1293"/>
      <c r="CM723" s="1293"/>
      <c r="CN723" s="1293"/>
      <c r="CO723" s="1293"/>
      <c r="CP723" s="1293"/>
      <c r="CQ723" s="1293"/>
      <c r="CR723" s="1293"/>
      <c r="CS723" s="1293"/>
      <c r="CT723" s="1293"/>
      <c r="CU723" s="1293"/>
      <c r="CV723" s="1293"/>
      <c r="CW723" s="1293"/>
      <c r="CX723" s="1293"/>
      <c r="CY723" s="2032"/>
      <c r="CZ723" s="1293"/>
      <c r="DA723" s="2042"/>
      <c r="DB723" s="2041"/>
      <c r="DC723" s="1293"/>
      <c r="DD723" s="1293"/>
      <c r="DE723" s="1293"/>
      <c r="DF723" s="1293"/>
      <c r="DG723" s="1293"/>
      <c r="DH723" s="1293"/>
      <c r="DI723" s="1293"/>
      <c r="DJ723" s="1293"/>
      <c r="DK723" s="1293"/>
      <c r="DL723" s="1293"/>
    </row>
    <row r="724" spans="1:116" ht="15.75">
      <c r="A724" s="1293"/>
      <c r="B724" s="1293" t="s">
        <v>2852</v>
      </c>
      <c r="C724" s="1699"/>
      <c r="D724" s="1699"/>
      <c r="E724" s="1699"/>
      <c r="F724" s="1699"/>
      <c r="G724" s="2039"/>
      <c r="H724" s="1699"/>
      <c r="I724" s="1699"/>
      <c r="J724" s="1699"/>
      <c r="K724" s="1699"/>
      <c r="L724" s="2039"/>
      <c r="M724" s="1699"/>
      <c r="N724" s="1699"/>
      <c r="O724" s="1699"/>
      <c r="P724" s="1699"/>
      <c r="Q724" s="2039"/>
      <c r="R724" s="1699">
        <v>28.521457426797891</v>
      </c>
      <c r="S724" s="1699">
        <v>28.401081342554047</v>
      </c>
      <c r="T724" s="1699">
        <v>28.2</v>
      </c>
      <c r="U724" s="1699">
        <v>28.268706970802821</v>
      </c>
      <c r="V724" s="2039">
        <f>AVERAGE(R724:U724)</f>
        <v>28.34781143503869</v>
      </c>
      <c r="W724" s="1699">
        <v>29</v>
      </c>
      <c r="X724" s="1699">
        <v>29.6</v>
      </c>
      <c r="Y724" s="1699">
        <v>28.9</v>
      </c>
      <c r="Z724" s="1699">
        <v>27.3</v>
      </c>
      <c r="AA724" s="2039">
        <f>AVERAGE(W724:Z724)</f>
        <v>28.7</v>
      </c>
      <c r="AB724" s="1699"/>
      <c r="AC724" s="1699">
        <f>AC713/AVERAGE(Z722,AC722)/3*1000</f>
        <v>30.423439694962877</v>
      </c>
      <c r="AD724" s="1699"/>
      <c r="AE724" s="1699"/>
      <c r="AF724" s="1699"/>
      <c r="AG724" s="1699"/>
      <c r="AH724" s="1699"/>
      <c r="AI724" s="1699"/>
      <c r="AJ724" s="2186"/>
      <c r="AK724" s="1699"/>
      <c r="AL724" s="1699"/>
      <c r="AM724" s="1699"/>
      <c r="AN724" s="1699"/>
      <c r="AO724" s="2186"/>
      <c r="AP724" s="1699"/>
      <c r="AQ724" s="1699"/>
      <c r="AR724" s="1699"/>
      <c r="AS724" s="1699"/>
      <c r="AT724" s="2186"/>
      <c r="AU724" s="1699"/>
      <c r="AV724" s="1699"/>
      <c r="AW724" s="1699"/>
      <c r="AX724" s="1699"/>
      <c r="AY724" s="2186"/>
      <c r="AZ724" s="1699"/>
      <c r="BA724" s="1699"/>
      <c r="BB724" s="1699"/>
      <c r="BC724" s="1293"/>
      <c r="BD724" s="2186"/>
      <c r="BE724" s="1699"/>
      <c r="BF724" s="1699"/>
      <c r="BG724" s="1699"/>
      <c r="BH724" s="1293"/>
      <c r="BI724" s="2186"/>
      <c r="BJ724" s="1699"/>
      <c r="BK724" s="1699"/>
      <c r="BL724" s="1699"/>
      <c r="BM724" s="1699"/>
      <c r="BN724" s="2186"/>
      <c r="BO724" s="1293"/>
      <c r="BP724" s="1293"/>
      <c r="BQ724" s="1293"/>
      <c r="BR724" s="1293"/>
      <c r="BS724" s="1293"/>
      <c r="BT724" s="1293"/>
      <c r="BU724" s="1293"/>
      <c r="BV724" s="1293"/>
      <c r="BW724" s="1293"/>
      <c r="BX724" s="1293"/>
      <c r="BY724" s="1293"/>
      <c r="BZ724" s="1293"/>
      <c r="CA724" s="1293"/>
      <c r="CB724" s="1293"/>
      <c r="CC724" s="1293"/>
      <c r="CD724" s="1293"/>
      <c r="CE724" s="1293"/>
      <c r="CF724" s="1293"/>
      <c r="CG724" s="1293"/>
      <c r="CH724" s="1293"/>
      <c r="CI724" s="1293"/>
      <c r="CJ724" s="1293"/>
      <c r="CK724" s="1293"/>
      <c r="CL724" s="1293"/>
      <c r="CM724" s="1293"/>
      <c r="CN724" s="1293"/>
      <c r="CO724" s="1293"/>
      <c r="CP724" s="1293"/>
      <c r="CQ724" s="1293"/>
      <c r="CR724" s="1293"/>
      <c r="CS724" s="1293"/>
      <c r="CT724" s="1293"/>
      <c r="CU724" s="1293"/>
      <c r="CV724" s="1293"/>
      <c r="CW724" s="1293"/>
      <c r="CX724" s="1293"/>
      <c r="CY724" s="2032"/>
      <c r="CZ724" s="1293"/>
      <c r="DA724" s="2042"/>
      <c r="DB724" s="2041"/>
      <c r="DC724" s="1293"/>
      <c r="DD724" s="1293"/>
      <c r="DE724" s="1293"/>
      <c r="DF724" s="1293"/>
      <c r="DG724" s="1293"/>
      <c r="DH724" s="1293"/>
      <c r="DI724" s="1293"/>
      <c r="DJ724" s="1293"/>
      <c r="DK724" s="1293"/>
      <c r="DL724" s="1293"/>
    </row>
    <row r="725" spans="1:116" ht="15.75">
      <c r="A725" s="1293"/>
      <c r="B725" s="1293"/>
      <c r="C725" s="1699"/>
      <c r="D725" s="1699"/>
      <c r="E725" s="1699"/>
      <c r="F725" s="1699"/>
      <c r="G725" s="2039"/>
      <c r="H725" s="1699"/>
      <c r="I725" s="1699"/>
      <c r="J725" s="1699"/>
      <c r="K725" s="1699"/>
      <c r="L725" s="2039"/>
      <c r="M725" s="1699"/>
      <c r="N725" s="1699"/>
      <c r="O725" s="1699"/>
      <c r="P725" s="1699"/>
      <c r="Q725" s="2039"/>
      <c r="R725" s="1699"/>
      <c r="S725" s="1699"/>
      <c r="T725" s="1699"/>
      <c r="U725" s="1699"/>
      <c r="V725" s="2080"/>
      <c r="W725" s="1699"/>
      <c r="X725" s="1699"/>
      <c r="Y725" s="1699"/>
      <c r="Z725" s="1699"/>
      <c r="AA725" s="2080"/>
      <c r="AB725" s="1699"/>
      <c r="AC725" s="1293"/>
      <c r="AD725" s="1293"/>
      <c r="AE725" s="1293"/>
      <c r="AF725" s="1293"/>
      <c r="AG725" s="1293"/>
      <c r="AH725" s="1293"/>
      <c r="AI725" s="1293"/>
      <c r="AJ725" s="2186"/>
      <c r="AK725" s="1293"/>
      <c r="AL725" s="1293"/>
      <c r="AM725" s="1293"/>
      <c r="AN725" s="1293"/>
      <c r="AO725" s="2186"/>
      <c r="AP725" s="1293"/>
      <c r="AQ725" s="1293"/>
      <c r="AR725" s="1293"/>
      <c r="AS725" s="1293"/>
      <c r="AT725" s="2186"/>
      <c r="AU725" s="1293"/>
      <c r="AV725" s="1293"/>
      <c r="AW725" s="1293"/>
      <c r="AX725" s="1293"/>
      <c r="AY725" s="2186"/>
      <c r="AZ725" s="1293"/>
      <c r="BA725" s="1293"/>
      <c r="BB725" s="1293"/>
      <c r="BC725" s="1293"/>
      <c r="BD725" s="2186"/>
      <c r="BE725" s="1293"/>
      <c r="BF725" s="1293"/>
      <c r="BG725" s="1293"/>
      <c r="BH725" s="1293"/>
      <c r="BI725" s="2186"/>
      <c r="BJ725" s="1293"/>
      <c r="BK725" s="1293"/>
      <c r="BL725" s="1293"/>
      <c r="BM725" s="1293"/>
      <c r="BN725" s="2186"/>
      <c r="BO725" s="1293"/>
      <c r="BP725" s="1293"/>
      <c r="BQ725" s="1293"/>
      <c r="BR725" s="1293"/>
      <c r="BS725" s="1293"/>
      <c r="BT725" s="1293"/>
      <c r="BU725" s="1293"/>
      <c r="BV725" s="1293"/>
      <c r="BW725" s="1293"/>
      <c r="BX725" s="1293"/>
      <c r="BY725" s="1293"/>
      <c r="BZ725" s="1293"/>
      <c r="CA725" s="1293"/>
      <c r="CB725" s="1293"/>
      <c r="CC725" s="1293"/>
      <c r="CD725" s="1293"/>
      <c r="CE725" s="1293"/>
      <c r="CF725" s="1293"/>
      <c r="CG725" s="1293"/>
      <c r="CH725" s="1293"/>
      <c r="CI725" s="1293"/>
      <c r="CJ725" s="1293"/>
      <c r="CK725" s="1293"/>
      <c r="CL725" s="1293"/>
      <c r="CM725" s="1293"/>
      <c r="CN725" s="1293"/>
      <c r="CO725" s="1293"/>
      <c r="CP725" s="1293"/>
      <c r="CQ725" s="1293"/>
      <c r="CR725" s="1293"/>
      <c r="CS725" s="1293"/>
      <c r="CT725" s="1293"/>
      <c r="CU725" s="1293"/>
      <c r="CV725" s="1293"/>
      <c r="CW725" s="1293"/>
      <c r="CX725" s="1293"/>
      <c r="CY725" s="2032"/>
      <c r="CZ725" s="1293"/>
      <c r="DA725" s="2031"/>
      <c r="DB725" s="2032"/>
      <c r="DC725" s="1293"/>
      <c r="DD725" s="1293"/>
      <c r="DE725" s="1293"/>
      <c r="DF725" s="1293"/>
      <c r="DG725" s="1293"/>
      <c r="DH725" s="1293"/>
      <c r="DI725" s="1293"/>
      <c r="DJ725" s="1293"/>
      <c r="DK725" s="1293"/>
      <c r="DL725" s="1293"/>
    </row>
    <row r="726" spans="1:116" ht="15.75">
      <c r="A726" s="1293"/>
      <c r="B726" s="1334" t="s">
        <v>4523</v>
      </c>
      <c r="C726" s="1699"/>
      <c r="D726" s="1699"/>
      <c r="E726" s="1699"/>
      <c r="F726" s="1699"/>
      <c r="G726" s="2039"/>
      <c r="H726" s="1699"/>
      <c r="I726" s="1699"/>
      <c r="J726" s="1699"/>
      <c r="K726" s="1699"/>
      <c r="L726" s="2039"/>
      <c r="M726" s="1699"/>
      <c r="N726" s="1699"/>
      <c r="O726" s="1699"/>
      <c r="P726" s="1699"/>
      <c r="Q726" s="2039"/>
      <c r="R726" s="1699"/>
      <c r="S726" s="1699"/>
      <c r="T726" s="1699"/>
      <c r="U726" s="1328"/>
      <c r="V726" s="2080"/>
      <c r="W726" s="1699"/>
      <c r="X726" s="1699"/>
      <c r="Y726" s="1724"/>
      <c r="Z726" s="1699"/>
      <c r="AA726" s="2080"/>
      <c r="AB726" s="1699"/>
      <c r="AC726" s="1724">
        <f>AC728/AC727</f>
        <v>0.29845178138407014</v>
      </c>
      <c r="AD726" s="1724"/>
      <c r="AE726" s="1724"/>
      <c r="AF726" s="1724"/>
      <c r="AG726" s="1724"/>
      <c r="AH726" s="1724"/>
      <c r="AI726" s="1724"/>
      <c r="AJ726" s="2186"/>
      <c r="AK726" s="1724"/>
      <c r="AL726" s="1724"/>
      <c r="AM726" s="1724"/>
      <c r="AN726" s="1724"/>
      <c r="AO726" s="2186"/>
      <c r="AP726" s="1724"/>
      <c r="AQ726" s="1724"/>
      <c r="AR726" s="1724"/>
      <c r="AS726" s="1724"/>
      <c r="AT726" s="2186"/>
      <c r="AU726" s="1724"/>
      <c r="AV726" s="1724"/>
      <c r="AW726" s="1724"/>
      <c r="AX726" s="1724"/>
      <c r="AY726" s="2186"/>
      <c r="AZ726" s="1724"/>
      <c r="BA726" s="1724"/>
      <c r="BB726" s="1724"/>
      <c r="BC726" s="1293"/>
      <c r="BD726" s="2186"/>
      <c r="BE726" s="1724"/>
      <c r="BF726" s="1724"/>
      <c r="BG726" s="1724"/>
      <c r="BH726" s="1293"/>
      <c r="BI726" s="2186"/>
      <c r="BJ726" s="1724"/>
      <c r="BK726" s="1724"/>
      <c r="BL726" s="1724"/>
      <c r="BM726" s="1724"/>
      <c r="BN726" s="2186"/>
      <c r="BO726" s="1293"/>
      <c r="BP726" s="1293"/>
      <c r="BQ726" s="1293"/>
      <c r="BR726" s="1293"/>
      <c r="BS726" s="1293"/>
      <c r="BT726" s="1293"/>
      <c r="BU726" s="1293"/>
      <c r="BV726" s="1293"/>
      <c r="BW726" s="1293"/>
      <c r="BX726" s="1293"/>
      <c r="BY726" s="1293"/>
      <c r="BZ726" s="1293"/>
      <c r="CA726" s="1293"/>
      <c r="CB726" s="1293"/>
      <c r="CC726" s="1293"/>
      <c r="CD726" s="1293"/>
      <c r="CE726" s="1293"/>
      <c r="CF726" s="1293"/>
      <c r="CG726" s="1293"/>
      <c r="CH726" s="1293"/>
      <c r="CI726" s="1293"/>
      <c r="CJ726" s="1293"/>
      <c r="CK726" s="1293"/>
      <c r="CL726" s="1293"/>
      <c r="CM726" s="1293"/>
      <c r="CN726" s="1293"/>
      <c r="CO726" s="1293"/>
      <c r="CP726" s="1293"/>
      <c r="CQ726" s="1293"/>
      <c r="CR726" s="1293"/>
      <c r="CS726" s="1293"/>
      <c r="CT726" s="1293"/>
      <c r="CU726" s="1293"/>
      <c r="CV726" s="1293"/>
      <c r="CW726" s="1293"/>
      <c r="CX726" s="1293"/>
      <c r="CY726" s="2032"/>
      <c r="CZ726" s="1293"/>
      <c r="DA726" s="2083"/>
      <c r="DB726" s="2084"/>
      <c r="DC726" s="1293"/>
      <c r="DD726" s="1293"/>
      <c r="DE726" s="1293"/>
      <c r="DF726" s="1293"/>
      <c r="DG726" s="1293"/>
      <c r="DH726" s="1293"/>
      <c r="DI726" s="1293"/>
      <c r="DJ726" s="1293"/>
      <c r="DK726" s="1293"/>
      <c r="DL726" s="1293"/>
    </row>
    <row r="727" spans="1:116" ht="15.75">
      <c r="A727" s="1293"/>
      <c r="B727" s="1293" t="s">
        <v>4288</v>
      </c>
      <c r="C727" s="1699">
        <f t="shared" ref="C727:P727" si="588">C632+C676</f>
        <v>2224.2524720877586</v>
      </c>
      <c r="D727" s="1699">
        <f t="shared" si="588"/>
        <v>2300.830845</v>
      </c>
      <c r="E727" s="1699">
        <f t="shared" si="588"/>
        <v>5464.4495620596226</v>
      </c>
      <c r="F727" s="1699">
        <f t="shared" si="588"/>
        <v>5645.0547448588959</v>
      </c>
      <c r="G727" s="2039">
        <f t="shared" si="588"/>
        <v>5645.0547448588959</v>
      </c>
      <c r="H727" s="1699">
        <f t="shared" si="588"/>
        <v>5758.4707600000002</v>
      </c>
      <c r="I727" s="1699">
        <f t="shared" si="588"/>
        <v>5872.5552599999992</v>
      </c>
      <c r="J727" s="1699">
        <f t="shared" si="588"/>
        <v>6176.8316270877585</v>
      </c>
      <c r="K727" s="1699">
        <f t="shared" si="588"/>
        <v>6374.5733700000001</v>
      </c>
      <c r="L727" s="2039">
        <f t="shared" si="588"/>
        <v>6374.5733700000001</v>
      </c>
      <c r="M727" s="1699">
        <f t="shared" si="588"/>
        <v>6506.1712120877601</v>
      </c>
      <c r="N727" s="1699">
        <f t="shared" si="588"/>
        <v>6667.1352599999991</v>
      </c>
      <c r="O727" s="1699">
        <f t="shared" si="588"/>
        <v>6847.509</v>
      </c>
      <c r="P727" s="1699">
        <f t="shared" si="588"/>
        <v>7151.7801049999998</v>
      </c>
      <c r="Q727" s="2039">
        <f>Cable!N43</f>
        <v>7152</v>
      </c>
      <c r="R727" s="1699">
        <f>R632+R676</f>
        <v>7523</v>
      </c>
      <c r="S727" s="1699">
        <v>7850.163845</v>
      </c>
      <c r="T727" s="1699">
        <v>8107</v>
      </c>
      <c r="U727" s="1699">
        <v>8445.7356270877608</v>
      </c>
      <c r="V727" s="2157">
        <f>Cable!O43</f>
        <v>8445.7000000000007</v>
      </c>
      <c r="W727" s="1699">
        <v>8687</v>
      </c>
      <c r="X727" s="1699">
        <v>9076</v>
      </c>
      <c r="Y727" s="1699">
        <v>9387</v>
      </c>
      <c r="Z727" s="1699">
        <v>10562</v>
      </c>
      <c r="AA727" s="2157"/>
      <c r="AB727" s="1699"/>
      <c r="AC727" s="1699">
        <v>10722</v>
      </c>
      <c r="AD727" s="1699"/>
      <c r="AE727" s="1699"/>
      <c r="AF727" s="1699"/>
      <c r="AG727" s="1699"/>
      <c r="AH727" s="1699"/>
      <c r="AI727" s="1699"/>
      <c r="AJ727" s="2186"/>
      <c r="AK727" s="1699"/>
      <c r="AL727" s="1699"/>
      <c r="AM727" s="1699"/>
      <c r="AN727" s="1699"/>
      <c r="AO727" s="2186"/>
      <c r="AP727" s="1699"/>
      <c r="AQ727" s="1699"/>
      <c r="AR727" s="1699"/>
      <c r="AS727" s="1699"/>
      <c r="AT727" s="2186"/>
      <c r="AU727" s="1699"/>
      <c r="AV727" s="1699"/>
      <c r="AW727" s="1699"/>
      <c r="AX727" s="1699"/>
      <c r="AY727" s="2186"/>
      <c r="AZ727" s="1699"/>
      <c r="BA727" s="1699"/>
      <c r="BB727" s="1699"/>
      <c r="BC727" s="1293"/>
      <c r="BD727" s="2186"/>
      <c r="BE727" s="1699"/>
      <c r="BF727" s="1699"/>
      <c r="BG727" s="1699"/>
      <c r="BH727" s="1293"/>
      <c r="BI727" s="2186"/>
      <c r="BJ727" s="1699"/>
      <c r="BK727" s="1699"/>
      <c r="BL727" s="1699"/>
      <c r="BM727" s="1699"/>
      <c r="BN727" s="2186"/>
      <c r="BO727" s="1293"/>
      <c r="BP727" s="1293"/>
      <c r="BQ727" s="1293"/>
      <c r="BR727" s="1293"/>
      <c r="BS727" s="1293"/>
      <c r="BT727" s="1293"/>
      <c r="BU727" s="1293"/>
      <c r="BV727" s="1293"/>
      <c r="BW727" s="1293"/>
      <c r="BX727" s="1293"/>
      <c r="BY727" s="1293"/>
      <c r="BZ727" s="1293"/>
      <c r="CA727" s="1293"/>
      <c r="CB727" s="1293"/>
      <c r="CC727" s="1293"/>
      <c r="CD727" s="1293"/>
      <c r="CE727" s="1293"/>
      <c r="CF727" s="1293"/>
      <c r="CG727" s="1293"/>
      <c r="CH727" s="1293"/>
      <c r="CI727" s="1293"/>
      <c r="CJ727" s="1293"/>
      <c r="CK727" s="1293"/>
      <c r="CL727" s="1293"/>
      <c r="CM727" s="1293"/>
      <c r="CN727" s="1293"/>
      <c r="CO727" s="1293"/>
      <c r="CP727" s="1293"/>
      <c r="CQ727" s="1293"/>
      <c r="CR727" s="1293"/>
      <c r="CS727" s="1293"/>
      <c r="CT727" s="1293"/>
      <c r="CU727" s="1293"/>
      <c r="CV727" s="1293"/>
      <c r="CW727" s="1293"/>
      <c r="CX727" s="1293"/>
      <c r="CY727" s="2032"/>
      <c r="CZ727" s="1293"/>
      <c r="DA727" s="2042"/>
      <c r="DB727" s="2041"/>
      <c r="DC727" s="1293"/>
      <c r="DD727" s="1293"/>
      <c r="DE727" s="1293"/>
      <c r="DF727" s="1293"/>
      <c r="DG727" s="1293"/>
      <c r="DH727" s="1293"/>
      <c r="DI727" s="1293"/>
      <c r="DJ727" s="1293"/>
      <c r="DK727" s="1293"/>
      <c r="DL727" s="1293"/>
    </row>
    <row r="728" spans="1:116" ht="15.75">
      <c r="A728" s="1293"/>
      <c r="B728" s="1293" t="s">
        <v>4522</v>
      </c>
      <c r="C728" s="1699">
        <f t="shared" ref="C728:P728" si="589">C633+C677</f>
        <v>782.41499999999996</v>
      </c>
      <c r="D728" s="1699">
        <f t="shared" si="589"/>
        <v>783.51699999999994</v>
      </c>
      <c r="E728" s="1699">
        <f t="shared" si="589"/>
        <v>1740.2950000000001</v>
      </c>
      <c r="F728" s="1699">
        <f t="shared" si="589"/>
        <v>1766.2280000000001</v>
      </c>
      <c r="G728" s="2039">
        <f t="shared" si="589"/>
        <v>1766.2280000000001</v>
      </c>
      <c r="H728" s="1699">
        <f t="shared" si="589"/>
        <v>1786.4610000000002</v>
      </c>
      <c r="I728" s="1699">
        <f t="shared" si="589"/>
        <v>1816.104</v>
      </c>
      <c r="J728" s="1699">
        <f t="shared" si="589"/>
        <v>1851.4536712895861</v>
      </c>
      <c r="K728" s="1699">
        <f t="shared" si="589"/>
        <v>1921.9850000000001</v>
      </c>
      <c r="L728" s="2039">
        <f t="shared" si="589"/>
        <v>1921.9850000000001</v>
      </c>
      <c r="M728" s="1699">
        <f t="shared" si="589"/>
        <v>1952.88</v>
      </c>
      <c r="N728" s="1699">
        <f t="shared" si="589"/>
        <v>1978.3609999999999</v>
      </c>
      <c r="O728" s="1699">
        <f t="shared" si="589"/>
        <v>2037.7210000000002</v>
      </c>
      <c r="P728" s="1699">
        <f t="shared" si="589"/>
        <v>2075.4103984200392</v>
      </c>
      <c r="Q728" s="2039">
        <f>Cable!N47</f>
        <v>2075.4</v>
      </c>
      <c r="R728" s="1699">
        <f>R633+R677</f>
        <v>2138</v>
      </c>
      <c r="S728" s="1699">
        <v>2206.9479999999999</v>
      </c>
      <c r="T728" s="1699">
        <v>2277</v>
      </c>
      <c r="U728" s="1699">
        <v>2328.6979999999999</v>
      </c>
      <c r="V728" s="2157">
        <f>Cable!O47</f>
        <v>2328.6999999999998</v>
      </c>
      <c r="W728" s="1699">
        <v>2420</v>
      </c>
      <c r="X728" s="1699">
        <v>2560</v>
      </c>
      <c r="Y728" s="1699">
        <v>2642</v>
      </c>
      <c r="Z728" s="1699">
        <v>3103</v>
      </c>
      <c r="AA728" s="2157"/>
      <c r="AB728" s="1699"/>
      <c r="AC728" s="1699">
        <v>3200</v>
      </c>
      <c r="AD728" s="1699"/>
      <c r="AE728" s="1699"/>
      <c r="AF728" s="1699"/>
      <c r="AG728" s="1699"/>
      <c r="AH728" s="1699"/>
      <c r="AI728" s="1699"/>
      <c r="AJ728" s="2186"/>
      <c r="AK728" s="1699"/>
      <c r="AL728" s="1699"/>
      <c r="AM728" s="1699"/>
      <c r="AN728" s="1699"/>
      <c r="AO728" s="2186"/>
      <c r="AP728" s="1699"/>
      <c r="AQ728" s="1699"/>
      <c r="AR728" s="1699"/>
      <c r="AS728" s="1699"/>
      <c r="AT728" s="2186"/>
      <c r="AU728" s="1699"/>
      <c r="AV728" s="1699"/>
      <c r="AW728" s="1699"/>
      <c r="AX728" s="1699"/>
      <c r="AY728" s="2186"/>
      <c r="AZ728" s="1699"/>
      <c r="BA728" s="1699"/>
      <c r="BB728" s="1699"/>
      <c r="BC728" s="1293"/>
      <c r="BD728" s="2186"/>
      <c r="BE728" s="1699"/>
      <c r="BF728" s="1699"/>
      <c r="BG728" s="1699"/>
      <c r="BH728" s="1293"/>
      <c r="BI728" s="2186"/>
      <c r="BJ728" s="1699"/>
      <c r="BK728" s="1699"/>
      <c r="BL728" s="1699"/>
      <c r="BM728" s="1699"/>
      <c r="BN728" s="2186"/>
      <c r="BO728" s="1293"/>
      <c r="BP728" s="1293"/>
      <c r="BQ728" s="1293"/>
      <c r="BR728" s="1293"/>
      <c r="BS728" s="1293"/>
      <c r="BT728" s="1293"/>
      <c r="BU728" s="1293"/>
      <c r="BV728" s="1293"/>
      <c r="BW728" s="1293"/>
      <c r="BX728" s="1293"/>
      <c r="BY728" s="1293"/>
      <c r="BZ728" s="1293"/>
      <c r="CA728" s="1293"/>
      <c r="CB728" s="1293"/>
      <c r="CC728" s="1293"/>
      <c r="CD728" s="1293"/>
      <c r="CE728" s="1293"/>
      <c r="CF728" s="1293"/>
      <c r="CG728" s="1293"/>
      <c r="CH728" s="1293"/>
      <c r="CI728" s="1293"/>
      <c r="CJ728" s="1293"/>
      <c r="CK728" s="1293"/>
      <c r="CL728" s="1293"/>
      <c r="CM728" s="1293"/>
      <c r="CN728" s="1293"/>
      <c r="CO728" s="1293"/>
      <c r="CP728" s="1293"/>
      <c r="CQ728" s="1293"/>
      <c r="CR728" s="1293"/>
      <c r="CS728" s="1293"/>
      <c r="CT728" s="1293"/>
      <c r="CU728" s="1293"/>
      <c r="CV728" s="1293"/>
      <c r="CW728" s="1293"/>
      <c r="CX728" s="1293"/>
      <c r="CY728" s="2032"/>
      <c r="CZ728" s="1293"/>
      <c r="DA728" s="2042"/>
      <c r="DB728" s="2041"/>
      <c r="DC728" s="1293"/>
      <c r="DD728" s="1293"/>
      <c r="DE728" s="1293"/>
      <c r="DF728" s="1293"/>
      <c r="DG728" s="1293"/>
      <c r="DH728" s="1293"/>
      <c r="DI728" s="1293"/>
      <c r="DJ728" s="1293"/>
      <c r="DK728" s="1293"/>
      <c r="DL728" s="1293"/>
    </row>
    <row r="729" spans="1:116" ht="15.75">
      <c r="A729" s="1293"/>
      <c r="B729" s="1293" t="s">
        <v>5316</v>
      </c>
      <c r="C729" s="1699"/>
      <c r="D729" s="1699"/>
      <c r="E729" s="1699"/>
      <c r="F729" s="1699"/>
      <c r="G729" s="2039"/>
      <c r="H729" s="1699"/>
      <c r="I729" s="1699"/>
      <c r="J729" s="1699"/>
      <c r="K729" s="1699"/>
      <c r="L729" s="2039"/>
      <c r="M729" s="1328">
        <f>M728/M727</f>
        <v>0.30015810164536727</v>
      </c>
      <c r="N729" s="1328">
        <f>N728/N727</f>
        <v>0.29673329291357442</v>
      </c>
      <c r="O729" s="1328">
        <f>O728/O727</f>
        <v>0.29758573519216991</v>
      </c>
      <c r="P729" s="1328">
        <f>P728/P727</f>
        <v>0.2901949399938995</v>
      </c>
      <c r="Q729" s="2089"/>
      <c r="R729" s="1328">
        <f>R728/R727</f>
        <v>0.28419513491957993</v>
      </c>
      <c r="S729" s="1328">
        <f>S728/S727</f>
        <v>0.28113400478967965</v>
      </c>
      <c r="T729" s="1328">
        <f>T728/T727</f>
        <v>0.28086838534599728</v>
      </c>
      <c r="U729" s="1328">
        <f>U728/U727</f>
        <v>0.27572470922855258</v>
      </c>
      <c r="V729" s="2089"/>
      <c r="W729" s="1328">
        <f>W728/W727</f>
        <v>0.27857718429837691</v>
      </c>
      <c r="X729" s="1328">
        <f>X728/X727</f>
        <v>0.28206258263552225</v>
      </c>
      <c r="Y729" s="1328">
        <f>Y728/Y727</f>
        <v>0.28145307339938214</v>
      </c>
      <c r="Z729" s="1328">
        <f>Z728/Z727</f>
        <v>0.29378905510320014</v>
      </c>
      <c r="AA729" s="2089" t="s">
        <v>1823</v>
      </c>
      <c r="AB729" s="1328"/>
      <c r="AC729" s="1328">
        <f>AC728/AC727</f>
        <v>0.29845178138407014</v>
      </c>
      <c r="AD729" s="1328"/>
      <c r="AE729" s="1328"/>
      <c r="AF729" s="1328"/>
      <c r="AG729" s="1328"/>
      <c r="AH729" s="1328"/>
      <c r="AI729" s="1328"/>
      <c r="AJ729" s="2186"/>
      <c r="AK729" s="1328"/>
      <c r="AL729" s="1328"/>
      <c r="AM729" s="1328"/>
      <c r="AN729" s="1328"/>
      <c r="AO729" s="2186"/>
      <c r="AP729" s="1328"/>
      <c r="AQ729" s="1328"/>
      <c r="AR729" s="1328"/>
      <c r="AS729" s="1328"/>
      <c r="AT729" s="2186"/>
      <c r="AU729" s="1328"/>
      <c r="AV729" s="1328"/>
      <c r="AW729" s="1328"/>
      <c r="AX729" s="1328"/>
      <c r="AY729" s="2186"/>
      <c r="AZ729" s="1328"/>
      <c r="BA729" s="1328"/>
      <c r="BB729" s="1328"/>
      <c r="BC729" s="1293"/>
      <c r="BD729" s="2186"/>
      <c r="BE729" s="1328"/>
      <c r="BF729" s="1328"/>
      <c r="BG729" s="1328"/>
      <c r="BH729" s="1293"/>
      <c r="BI729" s="2186"/>
      <c r="BJ729" s="1328"/>
      <c r="BK729" s="1328"/>
      <c r="BL729" s="1328"/>
      <c r="BM729" s="1328"/>
      <c r="BN729" s="2186"/>
      <c r="BO729" s="1293"/>
      <c r="BP729" s="1293"/>
      <c r="BQ729" s="1293"/>
      <c r="BR729" s="1293"/>
      <c r="BS729" s="1293"/>
      <c r="BT729" s="1293"/>
      <c r="BU729" s="1293"/>
      <c r="BV729" s="1293"/>
      <c r="BW729" s="1293"/>
      <c r="BX729" s="1293"/>
      <c r="BY729" s="1293"/>
      <c r="BZ729" s="1293"/>
      <c r="CA729" s="1293"/>
      <c r="CB729" s="1293"/>
      <c r="CC729" s="1293"/>
      <c r="CD729" s="1293"/>
      <c r="CE729" s="1293"/>
      <c r="CF729" s="1293"/>
      <c r="CG729" s="1293"/>
      <c r="CH729" s="1293"/>
      <c r="CI729" s="1293"/>
      <c r="CJ729" s="1293"/>
      <c r="CK729" s="1293"/>
      <c r="CL729" s="1293"/>
      <c r="CM729" s="1293"/>
      <c r="CN729" s="1293"/>
      <c r="CO729" s="1293"/>
      <c r="CP729" s="1293"/>
      <c r="CQ729" s="1293"/>
      <c r="CR729" s="1293"/>
      <c r="CS729" s="1293"/>
      <c r="CT729" s="1293"/>
      <c r="CU729" s="1293"/>
      <c r="CV729" s="1293"/>
      <c r="CW729" s="1293"/>
      <c r="CX729" s="1293"/>
      <c r="CY729" s="2032"/>
      <c r="CZ729" s="1293"/>
      <c r="DA729" s="2100"/>
      <c r="DB729" s="2101"/>
      <c r="DC729" s="1293"/>
      <c r="DD729" s="1293"/>
      <c r="DE729" s="1293"/>
      <c r="DF729" s="1293"/>
      <c r="DG729" s="1293"/>
      <c r="DH729" s="1293"/>
      <c r="DI729" s="1293"/>
      <c r="DJ729" s="1293"/>
      <c r="DK729" s="1293"/>
      <c r="DL729" s="1293"/>
    </row>
    <row r="730" spans="1:116" ht="15.75">
      <c r="A730" s="1293"/>
      <c r="B730" s="1293" t="s">
        <v>3864</v>
      </c>
      <c r="C730" s="1699">
        <f t="shared" ref="C730:P730" si="590">C634+C678</f>
        <v>1093.047</v>
      </c>
      <c r="D730" s="1699">
        <f t="shared" si="590"/>
        <v>1107.4169999999999</v>
      </c>
      <c r="E730" s="1699">
        <f t="shared" si="590"/>
        <v>2645.4250000000002</v>
      </c>
      <c r="F730" s="1699">
        <f t="shared" si="590"/>
        <v>2772.7550000000001</v>
      </c>
      <c r="G730" s="2039">
        <f t="shared" si="590"/>
        <v>2772.7550000000001</v>
      </c>
      <c r="H730" s="1699">
        <f t="shared" si="590"/>
        <v>2887.5070000000001</v>
      </c>
      <c r="I730" s="1699">
        <f t="shared" si="590"/>
        <v>2938.1289999999999</v>
      </c>
      <c r="J730" s="1699">
        <f t="shared" si="590"/>
        <v>3073.0230000000001</v>
      </c>
      <c r="K730" s="1699">
        <f t="shared" si="590"/>
        <v>3244.3519999999999</v>
      </c>
      <c r="L730" s="2039">
        <f t="shared" si="590"/>
        <v>3244.3519999999999</v>
      </c>
      <c r="M730" s="1699">
        <f t="shared" si="590"/>
        <v>3361.3339999999998</v>
      </c>
      <c r="N730" s="1699">
        <f t="shared" si="590"/>
        <v>3471.0060000000003</v>
      </c>
      <c r="O730" s="1699">
        <f t="shared" si="590"/>
        <v>3606.768</v>
      </c>
      <c r="P730" s="1699">
        <f t="shared" si="590"/>
        <v>3694.4119999999998</v>
      </c>
      <c r="Q730" s="2039">
        <f>P730</f>
        <v>3694.4119999999998</v>
      </c>
      <c r="R730" s="1699">
        <f>R634+R678</f>
        <v>3809</v>
      </c>
      <c r="S730" s="1699">
        <v>3983.0990000000002</v>
      </c>
      <c r="T730" s="1699">
        <v>4204</v>
      </c>
      <c r="U730" s="1699">
        <v>4367.1719999999996</v>
      </c>
      <c r="V730" s="2039">
        <f>U730</f>
        <v>4367.1719999999996</v>
      </c>
      <c r="W730" s="1699">
        <v>4578</v>
      </c>
      <c r="X730" s="1699">
        <v>4843</v>
      </c>
      <c r="Y730" s="1699">
        <v>5046</v>
      </c>
      <c r="Z730" s="1699">
        <v>6203</v>
      </c>
      <c r="AA730" s="2039"/>
      <c r="AB730" s="1699"/>
      <c r="AC730" s="1699">
        <v>6323</v>
      </c>
      <c r="AD730" s="1699"/>
      <c r="AE730" s="1699"/>
      <c r="AF730" s="1699"/>
      <c r="AG730" s="1699"/>
      <c r="AH730" s="1699"/>
      <c r="AI730" s="1699"/>
      <c r="AJ730" s="2186"/>
      <c r="AK730" s="1699"/>
      <c r="AL730" s="1699"/>
      <c r="AM730" s="1699"/>
      <c r="AN730" s="1699"/>
      <c r="AO730" s="2186"/>
      <c r="AP730" s="1699"/>
      <c r="AQ730" s="1699"/>
      <c r="AR730" s="1699"/>
      <c r="AS730" s="1699"/>
      <c r="AT730" s="2186"/>
      <c r="AU730" s="1699"/>
      <c r="AV730" s="1699"/>
      <c r="AW730" s="1699"/>
      <c r="AX730" s="1699"/>
      <c r="AY730" s="2186"/>
      <c r="AZ730" s="1699"/>
      <c r="BA730" s="1699"/>
      <c r="BB730" s="1699"/>
      <c r="BC730" s="1293"/>
      <c r="BD730" s="2186"/>
      <c r="BE730" s="1699"/>
      <c r="BF730" s="1699"/>
      <c r="BG730" s="1699"/>
      <c r="BH730" s="1293"/>
      <c r="BI730" s="2186"/>
      <c r="BJ730" s="1699"/>
      <c r="BK730" s="1699"/>
      <c r="BL730" s="1699"/>
      <c r="BM730" s="1699"/>
      <c r="BN730" s="2186"/>
      <c r="BO730" s="1293"/>
      <c r="BP730" s="1293"/>
      <c r="BQ730" s="1293"/>
      <c r="BR730" s="1293"/>
      <c r="BS730" s="1293"/>
      <c r="BT730" s="1293"/>
      <c r="BU730" s="1293"/>
      <c r="BV730" s="1293"/>
      <c r="BW730" s="1293"/>
      <c r="BX730" s="1293"/>
      <c r="BY730" s="1293"/>
      <c r="BZ730" s="1293"/>
      <c r="CA730" s="1293"/>
      <c r="CB730" s="1293"/>
      <c r="CC730" s="1293"/>
      <c r="CD730" s="1293"/>
      <c r="CE730" s="1293"/>
      <c r="CF730" s="1293"/>
      <c r="CG730" s="1293"/>
      <c r="CH730" s="1293"/>
      <c r="CI730" s="1293"/>
      <c r="CJ730" s="1293"/>
      <c r="CK730" s="1293"/>
      <c r="CL730" s="1293"/>
      <c r="CM730" s="1293"/>
      <c r="CN730" s="1293"/>
      <c r="CO730" s="1293"/>
      <c r="CP730" s="1293"/>
      <c r="CQ730" s="1293"/>
      <c r="CR730" s="1293"/>
      <c r="CS730" s="1293"/>
      <c r="CT730" s="1293"/>
      <c r="CU730" s="1293"/>
      <c r="CV730" s="1293"/>
      <c r="CW730" s="1293"/>
      <c r="CX730" s="1293"/>
      <c r="CY730" s="2032"/>
      <c r="CZ730" s="1293"/>
      <c r="DA730" s="2042"/>
      <c r="DB730" s="2041"/>
      <c r="DC730" s="1293"/>
      <c r="DD730" s="1293"/>
      <c r="DE730" s="1293"/>
      <c r="DF730" s="1293"/>
      <c r="DG730" s="1293"/>
      <c r="DH730" s="1293"/>
      <c r="DI730" s="1293"/>
      <c r="DJ730" s="1293"/>
      <c r="DK730" s="1293"/>
      <c r="DL730" s="1293"/>
    </row>
    <row r="731" spans="1:116" ht="15.75">
      <c r="A731" s="1293"/>
      <c r="B731" s="1293" t="s">
        <v>4524</v>
      </c>
      <c r="C731" s="1650">
        <f t="shared" ref="C731:P731" si="591">C730/C728</f>
        <v>1.3970169283564349</v>
      </c>
      <c r="D731" s="1650">
        <f t="shared" si="591"/>
        <v>1.4133924343696436</v>
      </c>
      <c r="E731" s="1650">
        <f t="shared" si="591"/>
        <v>1.5201014770484316</v>
      </c>
      <c r="F731" s="1650">
        <f t="shared" si="591"/>
        <v>1.5698737648819971</v>
      </c>
      <c r="G731" s="2322">
        <f t="shared" si="591"/>
        <v>1.5698737648819971</v>
      </c>
      <c r="H731" s="1650">
        <f t="shared" si="591"/>
        <v>1.6163280362683539</v>
      </c>
      <c r="I731" s="1650">
        <f t="shared" si="591"/>
        <v>1.6178197944611101</v>
      </c>
      <c r="J731" s="1650">
        <f t="shared" si="591"/>
        <v>1.6597893037526339</v>
      </c>
      <c r="K731" s="1650">
        <f t="shared" si="591"/>
        <v>1.6880214986069089</v>
      </c>
      <c r="L731" s="2322">
        <f t="shared" si="591"/>
        <v>1.6880214986069089</v>
      </c>
      <c r="M731" s="1650">
        <f t="shared" si="591"/>
        <v>1.7212189177010362</v>
      </c>
      <c r="N731" s="1650">
        <f t="shared" si="591"/>
        <v>1.7544856575721015</v>
      </c>
      <c r="O731" s="1650">
        <f t="shared" si="591"/>
        <v>1.7700008980620996</v>
      </c>
      <c r="P731" s="1650">
        <f t="shared" si="591"/>
        <v>1.7800874481560216</v>
      </c>
      <c r="Q731" s="2322"/>
      <c r="R731" s="1650">
        <f>R730/R728</f>
        <v>1.7815715622076707</v>
      </c>
      <c r="S731" s="1650">
        <f>S730/S728</f>
        <v>1.8047996599829268</v>
      </c>
      <c r="T731" s="1650">
        <f>T730/T728</f>
        <v>1.8462889767237594</v>
      </c>
      <c r="U731" s="1650">
        <v>1.88</v>
      </c>
      <c r="V731" s="2080"/>
      <c r="W731" s="1650">
        <v>1.89</v>
      </c>
      <c r="X731" s="1650">
        <v>1.89</v>
      </c>
      <c r="Y731" s="1650">
        <v>1.91</v>
      </c>
      <c r="Z731" s="1650">
        <v>1.97</v>
      </c>
      <c r="AA731" s="2080"/>
      <c r="AB731" s="1650"/>
      <c r="AC731" s="1650">
        <v>1.98</v>
      </c>
      <c r="AD731" s="1650"/>
      <c r="AE731" s="1650"/>
      <c r="AF731" s="1650"/>
      <c r="AG731" s="1650"/>
      <c r="AH731" s="1650"/>
      <c r="AI731" s="1650"/>
      <c r="AJ731" s="2186"/>
      <c r="AK731" s="1650"/>
      <c r="AL731" s="1650"/>
      <c r="AM731" s="1650"/>
      <c r="AN731" s="1650"/>
      <c r="AO731" s="2186"/>
      <c r="AP731" s="1650"/>
      <c r="AQ731" s="1650"/>
      <c r="AR731" s="1650"/>
      <c r="AS731" s="1650"/>
      <c r="AT731" s="2186"/>
      <c r="AU731" s="1650"/>
      <c r="AV731" s="1650"/>
      <c r="AW731" s="1650"/>
      <c r="AX731" s="1650"/>
      <c r="AY731" s="2186"/>
      <c r="AZ731" s="1650"/>
      <c r="BA731" s="1650"/>
      <c r="BB731" s="1650"/>
      <c r="BC731" s="1293"/>
      <c r="BD731" s="2186"/>
      <c r="BE731" s="1650"/>
      <c r="BF731" s="1650"/>
      <c r="BG731" s="1650"/>
      <c r="BH731" s="1293"/>
      <c r="BI731" s="2186"/>
      <c r="BJ731" s="1650"/>
      <c r="BK731" s="1650"/>
      <c r="BL731" s="1650"/>
      <c r="BM731" s="1650"/>
      <c r="BN731" s="2186"/>
      <c r="BO731" s="1293"/>
      <c r="BP731" s="1293"/>
      <c r="BQ731" s="1293"/>
      <c r="BR731" s="1293"/>
      <c r="BS731" s="1293"/>
      <c r="BT731" s="1293"/>
      <c r="BU731" s="1293"/>
      <c r="BV731" s="1293"/>
      <c r="BW731" s="1293"/>
      <c r="BX731" s="1293"/>
      <c r="BY731" s="1293"/>
      <c r="BZ731" s="1293"/>
      <c r="CA731" s="1293"/>
      <c r="CB731" s="1293"/>
      <c r="CC731" s="1293"/>
      <c r="CD731" s="1293"/>
      <c r="CE731" s="1293"/>
      <c r="CF731" s="1293"/>
      <c r="CG731" s="1293"/>
      <c r="CH731" s="1293"/>
      <c r="CI731" s="1293"/>
      <c r="CJ731" s="1293"/>
      <c r="CK731" s="1293"/>
      <c r="CL731" s="1293"/>
      <c r="CM731" s="1293"/>
      <c r="CN731" s="1293"/>
      <c r="CO731" s="1293"/>
      <c r="CP731" s="1293"/>
      <c r="CQ731" s="1293"/>
      <c r="CR731" s="1293"/>
      <c r="CS731" s="1293"/>
      <c r="CT731" s="1293"/>
      <c r="CU731" s="1293"/>
      <c r="CV731" s="1293"/>
      <c r="CW731" s="1293"/>
      <c r="CX731" s="1293"/>
      <c r="CY731" s="2032"/>
      <c r="CZ731" s="1293"/>
      <c r="DA731" s="2323"/>
      <c r="DB731" s="2324"/>
      <c r="DC731" s="1293"/>
      <c r="DD731" s="1293"/>
      <c r="DE731" s="1293"/>
      <c r="DF731" s="1293"/>
      <c r="DG731" s="1293"/>
      <c r="DH731" s="1293"/>
      <c r="DI731" s="1293"/>
      <c r="DJ731" s="1293"/>
      <c r="DK731" s="1293"/>
      <c r="DL731" s="1293"/>
    </row>
    <row r="732" spans="1:116" ht="15.75">
      <c r="A732" s="1293"/>
      <c r="B732" s="1293" t="s">
        <v>4525</v>
      </c>
      <c r="C732" s="1724"/>
      <c r="D732" s="1724"/>
      <c r="E732" s="1724"/>
      <c r="F732" s="1724"/>
      <c r="G732" s="2325"/>
      <c r="H732" s="1724"/>
      <c r="I732" s="1724"/>
      <c r="J732" s="1724"/>
      <c r="K732" s="1724"/>
      <c r="L732" s="2325"/>
      <c r="M732" s="1724"/>
      <c r="N732" s="1724"/>
      <c r="O732" s="1724"/>
      <c r="P732" s="1724"/>
      <c r="Q732" s="2325"/>
      <c r="R732" s="1724"/>
      <c r="S732" s="1724"/>
      <c r="T732" s="1724"/>
      <c r="U732" s="1724"/>
      <c r="V732" s="2080"/>
      <c r="W732" s="1724"/>
      <c r="X732" s="1724"/>
      <c r="Y732" s="1724"/>
      <c r="Z732" s="1724"/>
      <c r="AA732" s="2080"/>
      <c r="AB732" s="1724"/>
      <c r="AC732" s="1724"/>
      <c r="AD732" s="1724"/>
      <c r="AE732" s="1724"/>
      <c r="AF732" s="1724"/>
      <c r="AG732" s="1724"/>
      <c r="AH732" s="1724"/>
      <c r="AI732" s="1724"/>
      <c r="AJ732" s="2186"/>
      <c r="AK732" s="1724"/>
      <c r="AL732" s="1724"/>
      <c r="AM732" s="1724"/>
      <c r="AN732" s="1724"/>
      <c r="AO732" s="2186"/>
      <c r="AP732" s="1724"/>
      <c r="AQ732" s="1724"/>
      <c r="AR732" s="1724"/>
      <c r="AS732" s="1724"/>
      <c r="AT732" s="2186"/>
      <c r="AU732" s="1724"/>
      <c r="AV732" s="1724"/>
      <c r="AW732" s="1724"/>
      <c r="AX732" s="1724"/>
      <c r="AY732" s="2186"/>
      <c r="AZ732" s="1724"/>
      <c r="BA732" s="1724"/>
      <c r="BB732" s="1724"/>
      <c r="BC732" s="1293"/>
      <c r="BD732" s="2186"/>
      <c r="BE732" s="1724"/>
      <c r="BF732" s="1724"/>
      <c r="BG732" s="1724"/>
      <c r="BH732" s="1293"/>
      <c r="BI732" s="2186"/>
      <c r="BJ732" s="1724"/>
      <c r="BK732" s="1724"/>
      <c r="BL732" s="1724"/>
      <c r="BM732" s="1724"/>
      <c r="BN732" s="2186"/>
      <c r="BO732" s="1293"/>
      <c r="BP732" s="1293"/>
      <c r="BQ732" s="1293"/>
      <c r="BR732" s="1293"/>
      <c r="BS732" s="1293"/>
      <c r="BT732" s="1293"/>
      <c r="BU732" s="1293"/>
      <c r="BV732" s="1293"/>
      <c r="BW732" s="1293"/>
      <c r="BX732" s="1293"/>
      <c r="BY732" s="1293"/>
      <c r="BZ732" s="1293"/>
      <c r="CA732" s="1293"/>
      <c r="CB732" s="1293"/>
      <c r="CC732" s="1293"/>
      <c r="CD732" s="1293"/>
      <c r="CE732" s="1293"/>
      <c r="CF732" s="1293"/>
      <c r="CG732" s="1293"/>
      <c r="CH732" s="1293"/>
      <c r="CI732" s="1293"/>
      <c r="CJ732" s="1293"/>
      <c r="CK732" s="1293"/>
      <c r="CL732" s="1293"/>
      <c r="CM732" s="1293"/>
      <c r="CN732" s="1293"/>
      <c r="CO732" s="1293"/>
      <c r="CP732" s="1293"/>
      <c r="CQ732" s="1293"/>
      <c r="CR732" s="1293"/>
      <c r="CS732" s="1293"/>
      <c r="CT732" s="1293"/>
      <c r="CU732" s="1293"/>
      <c r="CV732" s="1293"/>
      <c r="CW732" s="1293"/>
      <c r="CX732" s="1293"/>
      <c r="CY732" s="2032"/>
      <c r="CZ732" s="1293"/>
      <c r="DA732" s="2083"/>
      <c r="DB732" s="2084"/>
      <c r="DC732" s="1293"/>
      <c r="DD732" s="1293"/>
      <c r="DE732" s="1293"/>
      <c r="DF732" s="1293"/>
      <c r="DG732" s="1293"/>
      <c r="DH732" s="1293"/>
      <c r="DI732" s="1293"/>
      <c r="DJ732" s="1293"/>
      <c r="DK732" s="1293"/>
      <c r="DL732" s="1293"/>
    </row>
    <row r="733" spans="1:116" ht="15.75">
      <c r="A733" s="1293"/>
      <c r="B733" s="1293"/>
      <c r="C733" s="1293"/>
      <c r="D733" s="1293"/>
      <c r="E733" s="1293"/>
      <c r="F733" s="1293"/>
      <c r="G733" s="2080"/>
      <c r="H733" s="1293"/>
      <c r="I733" s="1293"/>
      <c r="J733" s="1293"/>
      <c r="K733" s="1293"/>
      <c r="L733" s="2080"/>
      <c r="M733" s="1293"/>
      <c r="N733" s="1293"/>
      <c r="O733" s="1293"/>
      <c r="P733" s="1293"/>
      <c r="Q733" s="2080"/>
      <c r="R733" s="1293"/>
      <c r="S733" s="1293"/>
      <c r="T733" s="1293"/>
      <c r="U733" s="1293"/>
      <c r="V733" s="2080"/>
      <c r="W733" s="1293"/>
      <c r="X733" s="1293"/>
      <c r="Y733" s="1293"/>
      <c r="Z733" s="1293"/>
      <c r="AA733" s="2080"/>
      <c r="AB733" s="1293"/>
      <c r="AC733" s="1293"/>
      <c r="AD733" s="1293"/>
      <c r="AE733" s="1293"/>
      <c r="AF733" s="1293"/>
      <c r="AG733" s="1293"/>
      <c r="AH733" s="1293"/>
      <c r="AI733" s="1293"/>
      <c r="AJ733" s="2186"/>
      <c r="AK733" s="1293"/>
      <c r="AL733" s="1293"/>
      <c r="AM733" s="1293"/>
      <c r="AN733" s="1293"/>
      <c r="AO733" s="2186"/>
      <c r="AP733" s="1293"/>
      <c r="AQ733" s="1293"/>
      <c r="AR733" s="1293"/>
      <c r="AS733" s="1293"/>
      <c r="AT733" s="2186"/>
      <c r="AU733" s="1293"/>
      <c r="AV733" s="1293"/>
      <c r="AW733" s="1293"/>
      <c r="AX733" s="1293"/>
      <c r="AY733" s="2186"/>
      <c r="AZ733" s="1293"/>
      <c r="BA733" s="1293"/>
      <c r="BB733" s="1293"/>
      <c r="BC733" s="1293"/>
      <c r="BD733" s="2186"/>
      <c r="BE733" s="1293"/>
      <c r="BF733" s="1293"/>
      <c r="BG733" s="1293"/>
      <c r="BH733" s="1293"/>
      <c r="BI733" s="2186"/>
      <c r="BJ733" s="1293"/>
      <c r="BK733" s="1293"/>
      <c r="BL733" s="1293"/>
      <c r="BM733" s="1293"/>
      <c r="BN733" s="2186"/>
      <c r="BO733" s="1293"/>
      <c r="BP733" s="1293"/>
      <c r="BQ733" s="1293"/>
      <c r="BR733" s="1293"/>
      <c r="BS733" s="1293"/>
      <c r="BT733" s="1293"/>
      <c r="BU733" s="1293"/>
      <c r="BV733" s="1293"/>
      <c r="BW733" s="1293"/>
      <c r="BX733" s="1293"/>
      <c r="BY733" s="1293"/>
      <c r="BZ733" s="1293"/>
      <c r="CA733" s="1293"/>
      <c r="CB733" s="1293"/>
      <c r="CC733" s="1293"/>
      <c r="CD733" s="1293"/>
      <c r="CE733" s="1293"/>
      <c r="CF733" s="1293"/>
      <c r="CG733" s="1293"/>
      <c r="CH733" s="1293"/>
      <c r="CI733" s="1293"/>
      <c r="CJ733" s="1293"/>
      <c r="CK733" s="1293"/>
      <c r="CL733" s="1293"/>
      <c r="CM733" s="1293"/>
      <c r="CN733" s="1293"/>
      <c r="CO733" s="1293"/>
      <c r="CP733" s="1293"/>
      <c r="CQ733" s="1293"/>
      <c r="CR733" s="1293"/>
      <c r="CS733" s="1293"/>
      <c r="CT733" s="1293"/>
      <c r="CU733" s="1293"/>
      <c r="CV733" s="1293"/>
      <c r="CW733" s="1293"/>
      <c r="CX733" s="1293"/>
      <c r="CY733" s="2032"/>
      <c r="CZ733" s="1293"/>
      <c r="DA733" s="2031"/>
      <c r="DB733" s="2032"/>
      <c r="DC733" s="1293"/>
      <c r="DD733" s="1293"/>
      <c r="DE733" s="1293"/>
      <c r="DF733" s="1293"/>
      <c r="DG733" s="1293"/>
      <c r="DH733" s="1293"/>
      <c r="DI733" s="1293"/>
      <c r="DJ733" s="1293"/>
      <c r="DK733" s="1293"/>
      <c r="DL733" s="1293"/>
    </row>
    <row r="734" spans="1:116" ht="15.75">
      <c r="A734" s="1293"/>
      <c r="B734" s="1867" t="s">
        <v>1665</v>
      </c>
      <c r="C734" s="1867"/>
      <c r="D734" s="1867"/>
      <c r="E734" s="1867"/>
      <c r="F734" s="1867"/>
      <c r="G734" s="2326"/>
      <c r="H734" s="1867"/>
      <c r="I734" s="1867"/>
      <c r="J734" s="1867"/>
      <c r="K734" s="1867"/>
      <c r="L734" s="2326"/>
      <c r="M734" s="1867"/>
      <c r="N734" s="1867"/>
      <c r="O734" s="1867">
        <v>1017</v>
      </c>
      <c r="P734" s="1867"/>
      <c r="Q734" s="2326"/>
      <c r="R734" s="1867"/>
      <c r="S734" s="1867"/>
      <c r="T734" s="1867">
        <v>1097</v>
      </c>
      <c r="U734" s="1867"/>
      <c r="V734" s="2080"/>
      <c r="W734" s="1867"/>
      <c r="X734" s="1867"/>
      <c r="Y734" s="1867"/>
      <c r="Z734" s="1867"/>
      <c r="AA734" s="2080"/>
      <c r="AB734" s="1867"/>
      <c r="AC734" s="1867"/>
      <c r="AD734" s="1867"/>
      <c r="AE734" s="1867"/>
      <c r="AF734" s="1867"/>
      <c r="AG734" s="1867"/>
      <c r="AH734" s="1867"/>
      <c r="AI734" s="1867"/>
      <c r="AJ734" s="2186"/>
      <c r="AK734" s="1867"/>
      <c r="AL734" s="1867"/>
      <c r="AM734" s="1867"/>
      <c r="AN734" s="1867"/>
      <c r="AO734" s="2186"/>
      <c r="AP734" s="1867"/>
      <c r="AQ734" s="1867"/>
      <c r="AR734" s="1867"/>
      <c r="AS734" s="1867"/>
      <c r="AT734" s="2186"/>
      <c r="AU734" s="1867"/>
      <c r="AV734" s="1867"/>
      <c r="AW734" s="1867"/>
      <c r="AX734" s="1867"/>
      <c r="AY734" s="2186"/>
      <c r="AZ734" s="1867"/>
      <c r="BA734" s="1867"/>
      <c r="BB734" s="1867"/>
      <c r="BC734" s="1293"/>
      <c r="BD734" s="2186"/>
      <c r="BE734" s="1867"/>
      <c r="BF734" s="1867"/>
      <c r="BG734" s="1867"/>
      <c r="BH734" s="1293"/>
      <c r="BI734" s="2186"/>
      <c r="BJ734" s="1867"/>
      <c r="BK734" s="1867"/>
      <c r="BL734" s="1867"/>
      <c r="BM734" s="1867"/>
      <c r="BN734" s="2186"/>
      <c r="BO734" s="1293"/>
      <c r="BP734" s="1293"/>
      <c r="BQ734" s="1293"/>
      <c r="BR734" s="1293"/>
      <c r="BS734" s="1293"/>
      <c r="BT734" s="1293"/>
      <c r="BU734" s="1293"/>
      <c r="BV734" s="1293"/>
      <c r="BW734" s="1293"/>
      <c r="BX734" s="1293"/>
      <c r="BY734" s="1293"/>
      <c r="BZ734" s="1293"/>
      <c r="CA734" s="1293"/>
      <c r="CB734" s="1293"/>
      <c r="CC734" s="1293"/>
      <c r="CD734" s="1293"/>
      <c r="CE734" s="1293"/>
      <c r="CF734" s="1293"/>
      <c r="CG734" s="1293"/>
      <c r="CH734" s="1293"/>
      <c r="CI734" s="1293"/>
      <c r="CJ734" s="1293"/>
      <c r="CK734" s="1293"/>
      <c r="CL734" s="1293"/>
      <c r="CM734" s="1293"/>
      <c r="CN734" s="1293"/>
      <c r="CO734" s="1293"/>
      <c r="CP734" s="1293"/>
      <c r="CQ734" s="1293"/>
      <c r="CR734" s="1293"/>
      <c r="CS734" s="1293"/>
      <c r="CT734" s="1293"/>
      <c r="CU734" s="1293"/>
      <c r="CV734" s="1293"/>
      <c r="CW734" s="1293"/>
      <c r="CX734" s="1293"/>
      <c r="CY734" s="2032"/>
      <c r="CZ734" s="1293"/>
      <c r="DA734" s="2327"/>
      <c r="DB734" s="2328"/>
      <c r="DC734" s="1293"/>
      <c r="DD734" s="1293"/>
      <c r="DE734" s="1293"/>
      <c r="DF734" s="1293"/>
      <c r="DG734" s="1293"/>
      <c r="DH734" s="1293"/>
      <c r="DI734" s="1293"/>
      <c r="DJ734" s="1293"/>
      <c r="DK734" s="1293"/>
      <c r="DL734" s="1293"/>
    </row>
    <row r="735" spans="1:116" ht="15.75">
      <c r="A735" s="1293"/>
      <c r="B735" s="1293"/>
      <c r="C735" s="1293"/>
      <c r="D735" s="1293"/>
      <c r="E735" s="1293"/>
      <c r="F735" s="1293"/>
      <c r="G735" s="2080"/>
      <c r="H735" s="1293"/>
      <c r="I735" s="1293"/>
      <c r="J735" s="1293"/>
      <c r="K735" s="1293"/>
      <c r="L735" s="2080"/>
      <c r="M735" s="1293"/>
      <c r="N735" s="1293"/>
      <c r="O735" s="1293"/>
      <c r="P735" s="1293"/>
      <c r="Q735" s="2080"/>
      <c r="R735" s="1293"/>
      <c r="S735" s="1293"/>
      <c r="T735" s="1293"/>
      <c r="U735" s="1293"/>
      <c r="V735" s="2080"/>
      <c r="W735" s="1293"/>
      <c r="X735" s="1293"/>
      <c r="Y735" s="1293"/>
      <c r="Z735" s="1293"/>
      <c r="AA735" s="2080"/>
      <c r="AB735" s="1293"/>
      <c r="AC735" s="1293"/>
      <c r="AD735" s="1293"/>
      <c r="AE735" s="1293"/>
      <c r="AF735" s="1293"/>
      <c r="AG735" s="1293"/>
      <c r="AH735" s="1293"/>
      <c r="AI735" s="1293"/>
      <c r="AJ735" s="2186"/>
      <c r="AK735" s="1293"/>
      <c r="AL735" s="1293"/>
      <c r="AM735" s="1293"/>
      <c r="AN735" s="1293"/>
      <c r="AO735" s="2186"/>
      <c r="AP735" s="1293"/>
      <c r="AQ735" s="1293"/>
      <c r="AR735" s="1293"/>
      <c r="AS735" s="1293"/>
      <c r="AT735" s="2186"/>
      <c r="AU735" s="1293"/>
      <c r="AV735" s="1293"/>
      <c r="AW735" s="1293"/>
      <c r="AX735" s="1293"/>
      <c r="AY735" s="2186"/>
      <c r="AZ735" s="1293"/>
      <c r="BA735" s="1293"/>
      <c r="BB735" s="1293"/>
      <c r="BC735" s="1293"/>
      <c r="BD735" s="2186"/>
      <c r="BE735" s="1293"/>
      <c r="BF735" s="1293"/>
      <c r="BG735" s="1293"/>
      <c r="BH735" s="1293"/>
      <c r="BI735" s="2186"/>
      <c r="BJ735" s="1293"/>
      <c r="BK735" s="1293"/>
      <c r="BL735" s="1293"/>
      <c r="BM735" s="1293"/>
      <c r="BN735" s="2186"/>
      <c r="BO735" s="1293"/>
      <c r="BP735" s="1293"/>
      <c r="BQ735" s="1293"/>
      <c r="BR735" s="1293"/>
      <c r="BS735" s="1293"/>
      <c r="BT735" s="1293"/>
      <c r="BU735" s="1293"/>
      <c r="BV735" s="1293"/>
      <c r="BW735" s="1293"/>
      <c r="BX735" s="1293"/>
      <c r="BY735" s="1293"/>
      <c r="BZ735" s="1293"/>
      <c r="CA735" s="1293"/>
      <c r="CB735" s="1293"/>
      <c r="CC735" s="1293"/>
      <c r="CD735" s="1293"/>
      <c r="CE735" s="1293"/>
      <c r="CF735" s="1293"/>
      <c r="CG735" s="1293"/>
      <c r="CH735" s="1293"/>
      <c r="CI735" s="1293"/>
      <c r="CJ735" s="1293"/>
      <c r="CK735" s="1293"/>
      <c r="CL735" s="1293"/>
      <c r="CM735" s="1293"/>
      <c r="CN735" s="1293"/>
      <c r="CO735" s="1293"/>
      <c r="CP735" s="1293"/>
      <c r="CQ735" s="1293"/>
      <c r="CR735" s="1293"/>
      <c r="CS735" s="1293"/>
      <c r="CT735" s="1293"/>
      <c r="CU735" s="1293"/>
      <c r="CV735" s="1293"/>
      <c r="CW735" s="1293"/>
      <c r="CX735" s="1293"/>
      <c r="CY735" s="2032"/>
      <c r="CZ735" s="1293"/>
      <c r="DA735" s="2031"/>
      <c r="DB735" s="2032"/>
      <c r="DC735" s="1293"/>
      <c r="DD735" s="1293"/>
      <c r="DE735" s="1293"/>
      <c r="DF735" s="1293"/>
      <c r="DG735" s="1293"/>
      <c r="DH735" s="1293"/>
      <c r="DI735" s="1293"/>
      <c r="DJ735" s="1293"/>
      <c r="DK735" s="1293"/>
      <c r="DL735" s="1293"/>
    </row>
    <row r="736" spans="1:116" ht="15.75">
      <c r="A736" s="1293"/>
      <c r="B736" s="1334" t="s">
        <v>4866</v>
      </c>
      <c r="C736" s="1293"/>
      <c r="D736" s="1293"/>
      <c r="E736" s="1293"/>
      <c r="F736" s="1293"/>
      <c r="G736" s="2080"/>
      <c r="H736" s="1293"/>
      <c r="I736" s="1293"/>
      <c r="J736" s="1293"/>
      <c r="K736" s="1293"/>
      <c r="L736" s="2080"/>
      <c r="M736" s="1293"/>
      <c r="N736" s="1293"/>
      <c r="O736" s="1293"/>
      <c r="P736" s="1293"/>
      <c r="Q736" s="2080"/>
      <c r="R736" s="1293"/>
      <c r="S736" s="1293"/>
      <c r="T736" s="1293"/>
      <c r="U736" s="1293"/>
      <c r="V736" s="2080"/>
      <c r="W736" s="1293"/>
      <c r="X736" s="1293"/>
      <c r="Y736" s="1293"/>
      <c r="Z736" s="1293"/>
      <c r="AA736" s="2080"/>
      <c r="AB736" s="1293"/>
      <c r="AC736" s="1293"/>
      <c r="AD736" s="1293"/>
      <c r="AE736" s="1293"/>
      <c r="AF736" s="1293"/>
      <c r="AG736" s="1293"/>
      <c r="AH736" s="1293"/>
      <c r="AI736" s="1293"/>
      <c r="AJ736" s="2186"/>
      <c r="AK736" s="1293"/>
      <c r="AL736" s="1293"/>
      <c r="AM736" s="1293"/>
      <c r="AN736" s="1293"/>
      <c r="AO736" s="2186"/>
      <c r="AP736" s="1293"/>
      <c r="AQ736" s="1293"/>
      <c r="AR736" s="1293"/>
      <c r="AS736" s="1293"/>
      <c r="AT736" s="2186"/>
      <c r="AU736" s="1293"/>
      <c r="AV736" s="1293"/>
      <c r="AW736" s="1293"/>
      <c r="AX736" s="1293"/>
      <c r="AY736" s="2186"/>
      <c r="AZ736" s="1293"/>
      <c r="BA736" s="1293"/>
      <c r="BB736" s="1293"/>
      <c r="BC736" s="1293"/>
      <c r="BD736" s="2186"/>
      <c r="BE736" s="1293"/>
      <c r="BF736" s="1293"/>
      <c r="BG736" s="1293"/>
      <c r="BH736" s="1293"/>
      <c r="BI736" s="2186"/>
      <c r="BJ736" s="1293"/>
      <c r="BK736" s="1293"/>
      <c r="BL736" s="1293"/>
      <c r="BM736" s="1293"/>
      <c r="BN736" s="2186"/>
      <c r="BO736" s="1293"/>
      <c r="BP736" s="1293"/>
      <c r="BQ736" s="1293"/>
      <c r="BR736" s="1293"/>
      <c r="BS736" s="1293"/>
      <c r="BT736" s="1293"/>
      <c r="BU736" s="1293"/>
      <c r="BV736" s="1293"/>
      <c r="BW736" s="1293"/>
      <c r="BX736" s="1293"/>
      <c r="BY736" s="1293"/>
      <c r="BZ736" s="1293"/>
      <c r="CA736" s="1293"/>
      <c r="CB736" s="1293"/>
      <c r="CC736" s="1293"/>
      <c r="CD736" s="1293"/>
      <c r="CE736" s="1293"/>
      <c r="CF736" s="1293"/>
      <c r="CG736" s="1293"/>
      <c r="CH736" s="1293"/>
      <c r="CI736" s="1293"/>
      <c r="CJ736" s="1293"/>
      <c r="CK736" s="1293"/>
      <c r="CL736" s="1293"/>
      <c r="CM736" s="1293"/>
      <c r="CN736" s="1293"/>
      <c r="CO736" s="1293"/>
      <c r="CP736" s="1293"/>
      <c r="CQ736" s="1293"/>
      <c r="CR736" s="1293"/>
      <c r="CS736" s="1293"/>
      <c r="CT736" s="1293"/>
      <c r="CU736" s="1293"/>
      <c r="CV736" s="1293"/>
      <c r="CW736" s="1293"/>
      <c r="CX736" s="1293"/>
      <c r="CY736" s="2032"/>
      <c r="CZ736" s="1293"/>
      <c r="DA736" s="2031"/>
      <c r="DB736" s="2032"/>
      <c r="DC736" s="1293"/>
      <c r="DD736" s="1293"/>
      <c r="DE736" s="1293"/>
      <c r="DF736" s="1293"/>
      <c r="DG736" s="1293"/>
      <c r="DH736" s="1293"/>
      <c r="DI736" s="1293"/>
      <c r="DJ736" s="1293"/>
      <c r="DK736" s="1293"/>
      <c r="DL736" s="1293"/>
    </row>
    <row r="737" spans="1:116" ht="15.75">
      <c r="A737" s="1293"/>
      <c r="B737" s="1293" t="str">
        <f>B721</f>
        <v>Homes passed</v>
      </c>
      <c r="C737" s="1699">
        <f t="shared" ref="C737:P737" si="592">C639+C683</f>
        <v>826.60400000000004</v>
      </c>
      <c r="D737" s="1699">
        <f t="shared" si="592"/>
        <v>789.80400000000009</v>
      </c>
      <c r="E737" s="1699">
        <f t="shared" si="592"/>
        <v>1466.1056500281366</v>
      </c>
      <c r="F737" s="1699">
        <f t="shared" si="592"/>
        <v>1439.0325772288629</v>
      </c>
      <c r="G737" s="2039">
        <f t="shared" si="592"/>
        <v>1439.0325772288629</v>
      </c>
      <c r="H737" s="1699">
        <f t="shared" si="592"/>
        <v>1410.1134999999999</v>
      </c>
      <c r="I737" s="1699">
        <f t="shared" si="592"/>
        <v>1383.8877400000001</v>
      </c>
      <c r="J737" s="1699">
        <f t="shared" si="592"/>
        <v>1322.1477400000003</v>
      </c>
      <c r="K737" s="1699">
        <f t="shared" si="592"/>
        <v>1257.5517400000003</v>
      </c>
      <c r="L737" s="2039">
        <f t="shared" si="592"/>
        <v>1257.5517400000003</v>
      </c>
      <c r="M737" s="1699">
        <f t="shared" si="592"/>
        <v>1209</v>
      </c>
      <c r="N737" s="1699">
        <f t="shared" si="592"/>
        <v>1122.2730000000001</v>
      </c>
      <c r="O737" s="1699">
        <f t="shared" si="592"/>
        <v>1067.8999999999996</v>
      </c>
      <c r="P737" s="1699">
        <f t="shared" si="592"/>
        <v>966.84599999999955</v>
      </c>
      <c r="Q737" s="2039">
        <f>Cable!N51</f>
        <v>967</v>
      </c>
      <c r="R737" s="1699">
        <f>R639+R683</f>
        <v>882</v>
      </c>
      <c r="S737" s="1699">
        <f t="shared" ref="S737:U738" si="593">S721-S727</f>
        <v>744.99000000000069</v>
      </c>
      <c r="T737" s="1699">
        <f t="shared" si="593"/>
        <v>652</v>
      </c>
      <c r="U737" s="1699">
        <f t="shared" si="593"/>
        <v>630.1929999999993</v>
      </c>
      <c r="V737" s="2157">
        <f>Cable!O51</f>
        <v>630.19999999999891</v>
      </c>
      <c r="W737" s="1699">
        <f t="shared" ref="W737:Z738" si="594">W721-W727</f>
        <v>597</v>
      </c>
      <c r="X737" s="1699">
        <f t="shared" si="594"/>
        <v>563</v>
      </c>
      <c r="Y737" s="1699">
        <f t="shared" si="594"/>
        <v>521</v>
      </c>
      <c r="Z737" s="1699">
        <f t="shared" si="594"/>
        <v>514</v>
      </c>
      <c r="AA737" s="2157"/>
      <c r="AB737" s="1699"/>
      <c r="AC737" s="1699">
        <f>AC721-AC727</f>
        <v>509</v>
      </c>
      <c r="AD737" s="1699"/>
      <c r="AE737" s="1699"/>
      <c r="AF737" s="1699"/>
      <c r="AG737" s="1699"/>
      <c r="AH737" s="1699"/>
      <c r="AI737" s="1699"/>
      <c r="AJ737" s="2186"/>
      <c r="AK737" s="1699"/>
      <c r="AL737" s="1699"/>
      <c r="AM737" s="1699"/>
      <c r="AN737" s="1699"/>
      <c r="AO737" s="2186"/>
      <c r="AP737" s="1699"/>
      <c r="AQ737" s="1699"/>
      <c r="AR737" s="1699"/>
      <c r="AS737" s="1699"/>
      <c r="AT737" s="2186"/>
      <c r="AU737" s="1699"/>
      <c r="AV737" s="1699"/>
      <c r="AW737" s="1699"/>
      <c r="AX737" s="1699"/>
      <c r="AY737" s="2186"/>
      <c r="AZ737" s="1699"/>
      <c r="BA737" s="1699"/>
      <c r="BB737" s="1699"/>
      <c r="BC737" s="1293"/>
      <c r="BD737" s="2186"/>
      <c r="BE737" s="1699"/>
      <c r="BF737" s="1699"/>
      <c r="BG737" s="1699"/>
      <c r="BH737" s="1293"/>
      <c r="BI737" s="2186"/>
      <c r="BJ737" s="1699"/>
      <c r="BK737" s="1699"/>
      <c r="BL737" s="1699"/>
      <c r="BM737" s="1699"/>
      <c r="BN737" s="2186"/>
      <c r="BO737" s="1293"/>
      <c r="BP737" s="1293"/>
      <c r="BQ737" s="1293"/>
      <c r="BR737" s="1293"/>
      <c r="BS737" s="1293"/>
      <c r="BT737" s="1293"/>
      <c r="BU737" s="1293"/>
      <c r="BV737" s="1293"/>
      <c r="BW737" s="1293"/>
      <c r="BX737" s="1293"/>
      <c r="BY737" s="1293"/>
      <c r="BZ737" s="1293"/>
      <c r="CA737" s="1293"/>
      <c r="CB737" s="1293"/>
      <c r="CC737" s="1293"/>
      <c r="CD737" s="1293"/>
      <c r="CE737" s="1293"/>
      <c r="CF737" s="1293"/>
      <c r="CG737" s="1293"/>
      <c r="CH737" s="1293"/>
      <c r="CI737" s="1293"/>
      <c r="CJ737" s="1293"/>
      <c r="CK737" s="1293"/>
      <c r="CL737" s="1293"/>
      <c r="CM737" s="1293"/>
      <c r="CN737" s="1293"/>
      <c r="CO737" s="1293"/>
      <c r="CP737" s="1293"/>
      <c r="CQ737" s="1293"/>
      <c r="CR737" s="1293"/>
      <c r="CS737" s="1293"/>
      <c r="CT737" s="1293"/>
      <c r="CU737" s="1293"/>
      <c r="CV737" s="1293"/>
      <c r="CW737" s="1293"/>
      <c r="CX737" s="1293"/>
      <c r="CY737" s="2032"/>
      <c r="CZ737" s="1293"/>
      <c r="DA737" s="2042"/>
      <c r="DB737" s="2041"/>
      <c r="DC737" s="1293"/>
      <c r="DD737" s="1293"/>
      <c r="DE737" s="1293"/>
      <c r="DF737" s="1293"/>
      <c r="DG737" s="1293"/>
      <c r="DH737" s="1293"/>
      <c r="DI737" s="1293"/>
      <c r="DJ737" s="1293"/>
      <c r="DK737" s="1293"/>
      <c r="DL737" s="1293"/>
    </row>
    <row r="738" spans="1:116" ht="15.75">
      <c r="A738" s="1293"/>
      <c r="B738" s="1293" t="str">
        <f>B722</f>
        <v>Homes connected</v>
      </c>
      <c r="C738" s="1699">
        <f t="shared" ref="C738:P738" si="595">C640+C684</f>
        <v>185.18000000000004</v>
      </c>
      <c r="D738" s="1699">
        <f t="shared" si="595"/>
        <v>201.55399999999995</v>
      </c>
      <c r="E738" s="1699">
        <f t="shared" si="595"/>
        <v>1102.9859999999999</v>
      </c>
      <c r="F738" s="1699">
        <f t="shared" si="595"/>
        <v>1115.2530000000002</v>
      </c>
      <c r="G738" s="2039">
        <f t="shared" si="595"/>
        <v>1115.2530000000002</v>
      </c>
      <c r="H738" s="1699">
        <f t="shared" si="595"/>
        <v>1128.3119999999999</v>
      </c>
      <c r="I738" s="1699">
        <f t="shared" si="595"/>
        <v>1145.806</v>
      </c>
      <c r="J738" s="1699">
        <f t="shared" si="595"/>
        <v>1110.0769999999998</v>
      </c>
      <c r="K738" s="1699">
        <f t="shared" si="595"/>
        <v>1098.4450000000002</v>
      </c>
      <c r="L738" s="2039">
        <f t="shared" si="595"/>
        <v>1098.4450000000002</v>
      </c>
      <c r="M738" s="1699">
        <f t="shared" si="595"/>
        <v>1067.8749999999998</v>
      </c>
      <c r="N738" s="1699">
        <f t="shared" si="595"/>
        <v>1039.1150000000002</v>
      </c>
      <c r="O738" s="1699">
        <f t="shared" si="595"/>
        <v>1033.655</v>
      </c>
      <c r="P738" s="1699">
        <f t="shared" si="595"/>
        <v>1024.325000000001</v>
      </c>
      <c r="Q738" s="2039">
        <f>Cable!N54</f>
        <v>1024.2999999999997</v>
      </c>
      <c r="R738" s="1699">
        <f>R640+R684</f>
        <v>982</v>
      </c>
      <c r="S738" s="1699">
        <f t="shared" si="593"/>
        <v>962.75800000000027</v>
      </c>
      <c r="T738" s="1699">
        <f t="shared" si="593"/>
        <v>972</v>
      </c>
      <c r="U738" s="1699">
        <f t="shared" si="593"/>
        <v>973.92100000000028</v>
      </c>
      <c r="V738" s="2157">
        <f>Cable!O54</f>
        <v>973.90000000000009</v>
      </c>
      <c r="W738" s="1699">
        <f t="shared" si="594"/>
        <v>969</v>
      </c>
      <c r="X738" s="1699">
        <f t="shared" si="594"/>
        <v>973</v>
      </c>
      <c r="Y738" s="1699">
        <f t="shared" si="594"/>
        <v>950</v>
      </c>
      <c r="Z738" s="1699">
        <f t="shared" si="594"/>
        <v>1015</v>
      </c>
      <c r="AA738" s="2157"/>
      <c r="AB738" s="1699"/>
      <c r="AC738" s="1699">
        <f>AC722-AC728</f>
        <v>987</v>
      </c>
      <c r="AD738" s="1699"/>
      <c r="AE738" s="1699"/>
      <c r="AF738" s="1699"/>
      <c r="AG738" s="1699"/>
      <c r="AH738" s="1699"/>
      <c r="AI738" s="1699"/>
      <c r="AJ738" s="2186"/>
      <c r="AK738" s="1699"/>
      <c r="AL738" s="1699"/>
      <c r="AM738" s="1699"/>
      <c r="AN738" s="1699"/>
      <c r="AO738" s="2186"/>
      <c r="AP738" s="1699"/>
      <c r="AQ738" s="1699"/>
      <c r="AR738" s="1699"/>
      <c r="AS738" s="1699"/>
      <c r="AT738" s="2186"/>
      <c r="AU738" s="1699"/>
      <c r="AV738" s="1699"/>
      <c r="AW738" s="1699"/>
      <c r="AX738" s="1699"/>
      <c r="AY738" s="2186"/>
      <c r="AZ738" s="1699"/>
      <c r="BA738" s="1699"/>
      <c r="BB738" s="1699"/>
      <c r="BC738" s="1293"/>
      <c r="BD738" s="2186"/>
      <c r="BE738" s="1699"/>
      <c r="BF738" s="1699"/>
      <c r="BG738" s="1699"/>
      <c r="BH738" s="1293"/>
      <c r="BI738" s="2186"/>
      <c r="BJ738" s="1699"/>
      <c r="BK738" s="1699"/>
      <c r="BL738" s="1699"/>
      <c r="BM738" s="1699"/>
      <c r="BN738" s="2186"/>
      <c r="BO738" s="1293"/>
      <c r="BP738" s="1293"/>
      <c r="BQ738" s="1293"/>
      <c r="BR738" s="1293"/>
      <c r="BS738" s="1293"/>
      <c r="BT738" s="1293"/>
      <c r="BU738" s="1293"/>
      <c r="BV738" s="1293"/>
      <c r="BW738" s="1293"/>
      <c r="BX738" s="1293"/>
      <c r="BY738" s="1293"/>
      <c r="BZ738" s="1293"/>
      <c r="CA738" s="1293"/>
      <c r="CB738" s="1293"/>
      <c r="CC738" s="1293"/>
      <c r="CD738" s="1293"/>
      <c r="CE738" s="1293"/>
      <c r="CF738" s="1293"/>
      <c r="CG738" s="1293"/>
      <c r="CH738" s="1293"/>
      <c r="CI738" s="1293"/>
      <c r="CJ738" s="1293"/>
      <c r="CK738" s="1293"/>
      <c r="CL738" s="1293"/>
      <c r="CM738" s="1293"/>
      <c r="CN738" s="1293"/>
      <c r="CO738" s="1293"/>
      <c r="CP738" s="1293"/>
      <c r="CQ738" s="1293"/>
      <c r="CR738" s="1293"/>
      <c r="CS738" s="1293"/>
      <c r="CT738" s="1293"/>
      <c r="CU738" s="1293"/>
      <c r="CV738" s="1293"/>
      <c r="CW738" s="1293"/>
      <c r="CX738" s="1293"/>
      <c r="CY738" s="2032"/>
      <c r="CZ738" s="1293"/>
      <c r="DA738" s="2042"/>
      <c r="DB738" s="2041"/>
      <c r="DC738" s="1293"/>
      <c r="DD738" s="1293"/>
      <c r="DE738" s="1293"/>
      <c r="DF738" s="1293"/>
      <c r="DG738" s="1293"/>
      <c r="DH738" s="1293"/>
      <c r="DI738" s="1293"/>
      <c r="DJ738" s="1293"/>
      <c r="DK738" s="1293"/>
      <c r="DL738" s="1293"/>
    </row>
    <row r="739" spans="1:116" ht="15.75">
      <c r="A739" s="1293"/>
      <c r="B739" s="1293" t="str">
        <f>B723</f>
        <v>RGUs</v>
      </c>
      <c r="C739" s="1699">
        <f t="shared" ref="C739:P739" si="596">C641+C685</f>
        <v>224.76599999999996</v>
      </c>
      <c r="D739" s="1699">
        <f t="shared" si="596"/>
        <v>236.42600000000004</v>
      </c>
      <c r="E739" s="1699">
        <f t="shared" si="596"/>
        <v>2324.34</v>
      </c>
      <c r="F739" s="1699">
        <f t="shared" si="596"/>
        <v>2317.7289999999994</v>
      </c>
      <c r="G739" s="2039">
        <f t="shared" si="596"/>
        <v>2317.7289999999994</v>
      </c>
      <c r="H739" s="1699">
        <f t="shared" si="596"/>
        <v>2290.7599999999998</v>
      </c>
      <c r="I739" s="1699">
        <f t="shared" si="596"/>
        <v>2300.6529999999998</v>
      </c>
      <c r="J739" s="1699">
        <f t="shared" si="596"/>
        <v>2177.4790000000003</v>
      </c>
      <c r="K739" s="1699">
        <f t="shared" si="596"/>
        <v>2149.0470000000005</v>
      </c>
      <c r="L739" s="2039">
        <f t="shared" si="596"/>
        <v>2149.0470000000005</v>
      </c>
      <c r="M739" s="1699">
        <f t="shared" si="596"/>
        <v>2062.4399999999996</v>
      </c>
      <c r="N739" s="1699">
        <f t="shared" si="596"/>
        <v>1993.9399999999998</v>
      </c>
      <c r="O739" s="1699">
        <f t="shared" si="596"/>
        <v>1952.3559999999998</v>
      </c>
      <c r="P739" s="1699">
        <f t="shared" si="596"/>
        <v>1893.634</v>
      </c>
      <c r="Q739" s="2039">
        <f>Q737+Q738</f>
        <v>1991.2999999999997</v>
      </c>
      <c r="R739" s="1699">
        <f>R641+R685</f>
        <v>1824</v>
      </c>
      <c r="S739" s="1699">
        <f>S723-S730</f>
        <v>1779.3639999999996</v>
      </c>
      <c r="T739" s="1699">
        <f>T723-T730</f>
        <v>1759</v>
      </c>
      <c r="U739" s="1699">
        <f>U723-U730</f>
        <v>1723.7270000000008</v>
      </c>
      <c r="V739" s="2080"/>
      <c r="W739" s="1699">
        <f>W723-W730</f>
        <v>1690</v>
      </c>
      <c r="X739" s="1699">
        <f>X723-X730</f>
        <v>1665</v>
      </c>
      <c r="Y739" s="1699">
        <f>Y723-Y730</f>
        <v>1609</v>
      </c>
      <c r="Z739" s="1699">
        <f>Z723-Z730</f>
        <v>1572</v>
      </c>
      <c r="AA739" s="2080"/>
      <c r="AB739" s="1699"/>
      <c r="AC739" s="1699">
        <f>AC723-AC730</f>
        <v>1602</v>
      </c>
      <c r="AD739" s="1699"/>
      <c r="AE739" s="1699"/>
      <c r="AF739" s="1699"/>
      <c r="AG739" s="1699"/>
      <c r="AH739" s="1699"/>
      <c r="AI739" s="1699"/>
      <c r="AJ739" s="2186"/>
      <c r="AK739" s="1699"/>
      <c r="AL739" s="1699"/>
      <c r="AM739" s="1699"/>
      <c r="AN739" s="1699"/>
      <c r="AO739" s="2186"/>
      <c r="AP739" s="1699"/>
      <c r="AQ739" s="1699"/>
      <c r="AR739" s="1699"/>
      <c r="AS739" s="1699"/>
      <c r="AT739" s="2186"/>
      <c r="AU739" s="1699"/>
      <c r="AV739" s="1699"/>
      <c r="AW739" s="1699"/>
      <c r="AX739" s="1699"/>
      <c r="AY739" s="2186"/>
      <c r="AZ739" s="1699"/>
      <c r="BA739" s="1699"/>
      <c r="BB739" s="1699"/>
      <c r="BC739" s="1293"/>
      <c r="BD739" s="2186"/>
      <c r="BE739" s="1699"/>
      <c r="BF739" s="1699"/>
      <c r="BG739" s="1699"/>
      <c r="BH739" s="1293"/>
      <c r="BI739" s="2186"/>
      <c r="BJ739" s="1699"/>
      <c r="BK739" s="1699"/>
      <c r="BL739" s="1699"/>
      <c r="BM739" s="1699"/>
      <c r="BN739" s="2186"/>
      <c r="BO739" s="1293"/>
      <c r="BP739" s="1293"/>
      <c r="BQ739" s="1293"/>
      <c r="BR739" s="1293"/>
      <c r="BS739" s="1293"/>
      <c r="BT739" s="1293"/>
      <c r="BU739" s="1293"/>
      <c r="BV739" s="1293"/>
      <c r="BW739" s="1293"/>
      <c r="BX739" s="1293"/>
      <c r="BY739" s="1293"/>
      <c r="BZ739" s="1293"/>
      <c r="CA739" s="1293"/>
      <c r="CB739" s="1293"/>
      <c r="CC739" s="1293"/>
      <c r="CD739" s="1293"/>
      <c r="CE739" s="1293"/>
      <c r="CF739" s="1293"/>
      <c r="CG739" s="1293"/>
      <c r="CH739" s="1293"/>
      <c r="CI739" s="1293"/>
      <c r="CJ739" s="1293"/>
      <c r="CK739" s="1293"/>
      <c r="CL739" s="1293"/>
      <c r="CM739" s="1293"/>
      <c r="CN739" s="1293"/>
      <c r="CO739" s="1293"/>
      <c r="CP739" s="1293"/>
      <c r="CQ739" s="1293"/>
      <c r="CR739" s="1293"/>
      <c r="CS739" s="1293"/>
      <c r="CT739" s="1293"/>
      <c r="CU739" s="1293"/>
      <c r="CV739" s="1293"/>
      <c r="CW739" s="1293"/>
      <c r="CX739" s="1293"/>
      <c r="CY739" s="2032"/>
      <c r="CZ739" s="1293"/>
      <c r="DA739" s="2042"/>
      <c r="DB739" s="2041"/>
      <c r="DC739" s="1293"/>
      <c r="DD739" s="1293"/>
      <c r="DE739" s="1293"/>
      <c r="DF739" s="1293"/>
      <c r="DG739" s="1293"/>
      <c r="DH739" s="1293"/>
      <c r="DI739" s="1293"/>
      <c r="DJ739" s="1293"/>
      <c r="DK739" s="1293"/>
      <c r="DL739" s="1293"/>
    </row>
    <row r="740" spans="1:116" ht="15.75">
      <c r="A740" s="1293"/>
      <c r="B740" s="1293"/>
      <c r="C740" s="1293"/>
      <c r="D740" s="1293"/>
      <c r="E740" s="1293"/>
      <c r="F740" s="1293"/>
      <c r="G740" s="2080"/>
      <c r="H740" s="1293"/>
      <c r="I740" s="1293"/>
      <c r="J740" s="1293"/>
      <c r="K740" s="1293"/>
      <c r="L740" s="2080"/>
      <c r="M740" s="1293"/>
      <c r="N740" s="1293"/>
      <c r="O740" s="1293"/>
      <c r="P740" s="1293"/>
      <c r="Q740" s="2080"/>
      <c r="R740" s="1293"/>
      <c r="S740" s="1293"/>
      <c r="T740" s="1293"/>
      <c r="U740" s="1293"/>
      <c r="V740" s="2080"/>
      <c r="W740" s="1293"/>
      <c r="X740" s="1293"/>
      <c r="Y740" s="1293"/>
      <c r="Z740" s="1293"/>
      <c r="AA740" s="2080"/>
      <c r="AB740" s="1293"/>
      <c r="AC740" s="1293"/>
      <c r="AD740" s="1293"/>
      <c r="AE740" s="1293"/>
      <c r="AF740" s="1293"/>
      <c r="AG740" s="1293"/>
      <c r="AH740" s="1293"/>
      <c r="AI740" s="1293"/>
      <c r="AJ740" s="2186"/>
      <c r="AK740" s="1293"/>
      <c r="AL740" s="1293"/>
      <c r="AM740" s="1293"/>
      <c r="AN740" s="1293"/>
      <c r="AO740" s="2186"/>
      <c r="AP740" s="1293"/>
      <c r="AQ740" s="1293"/>
      <c r="AR740" s="1293"/>
      <c r="AS740" s="1293"/>
      <c r="AT740" s="2186"/>
      <c r="AU740" s="1293"/>
      <c r="AV740" s="1293"/>
      <c r="AW740" s="1293"/>
      <c r="AX740" s="1293"/>
      <c r="AY740" s="2186"/>
      <c r="AZ740" s="1293"/>
      <c r="BA740" s="1293"/>
      <c r="BB740" s="1293"/>
      <c r="BC740" s="1293"/>
      <c r="BD740" s="2186"/>
      <c r="BE740" s="1293"/>
      <c r="BF740" s="1293"/>
      <c r="BG740" s="1293"/>
      <c r="BH740" s="1293"/>
      <c r="BI740" s="2186"/>
      <c r="BJ740" s="1293"/>
      <c r="BK740" s="1293"/>
      <c r="BL740" s="1293"/>
      <c r="BM740" s="1293"/>
      <c r="BN740" s="2186"/>
      <c r="BO740" s="1293"/>
      <c r="BP740" s="1293"/>
      <c r="BQ740" s="1293"/>
      <c r="BR740" s="1293"/>
      <c r="BS740" s="1293"/>
      <c r="BT740" s="1293"/>
      <c r="BU740" s="1293"/>
      <c r="BV740" s="1293"/>
      <c r="BW740" s="1293"/>
      <c r="BX740" s="1293"/>
      <c r="BY740" s="1293"/>
      <c r="BZ740" s="1293"/>
      <c r="CA740" s="1293"/>
      <c r="CB740" s="1293"/>
      <c r="CC740" s="1293"/>
      <c r="CD740" s="1293"/>
      <c r="CE740" s="1293"/>
      <c r="CF740" s="1293"/>
      <c r="CG740" s="1293"/>
      <c r="CH740" s="1293"/>
      <c r="CI740" s="1293"/>
      <c r="CJ740" s="1293"/>
      <c r="CK740" s="1293"/>
      <c r="CL740" s="1293"/>
      <c r="CM740" s="1293"/>
      <c r="CN740" s="1293"/>
      <c r="CO740" s="1293"/>
      <c r="CP740" s="1293"/>
      <c r="CQ740" s="1293"/>
      <c r="CR740" s="1293"/>
      <c r="CS740" s="1293"/>
      <c r="CT740" s="1293"/>
      <c r="CU740" s="1293"/>
      <c r="CV740" s="1293"/>
      <c r="CW740" s="1293"/>
      <c r="CX740" s="1293"/>
      <c r="CY740" s="2032"/>
      <c r="CZ740" s="1293"/>
      <c r="DA740" s="2031"/>
      <c r="DB740" s="2032"/>
      <c r="DC740" s="1293"/>
      <c r="DD740" s="1293"/>
      <c r="DE740" s="1293"/>
      <c r="DF740" s="1293"/>
      <c r="DG740" s="1293"/>
      <c r="DH740" s="1293"/>
      <c r="DI740" s="1293"/>
      <c r="DJ740" s="1293"/>
      <c r="DK740" s="1293"/>
      <c r="DL740" s="1293"/>
    </row>
    <row r="741" spans="1:116" ht="15.75">
      <c r="A741" s="1293"/>
      <c r="B741" s="2318" t="s">
        <v>584</v>
      </c>
      <c r="C741" s="1699"/>
      <c r="D741" s="1699"/>
      <c r="E741" s="1699"/>
      <c r="F741" s="1699"/>
      <c r="G741" s="2039"/>
      <c r="H741" s="1699"/>
      <c r="I741" s="1699"/>
      <c r="J741" s="1699"/>
      <c r="K741" s="1699"/>
      <c r="L741" s="2039"/>
      <c r="M741" s="1699"/>
      <c r="N741" s="1699"/>
      <c r="O741" s="1699"/>
      <c r="P741" s="1699"/>
      <c r="Q741" s="2039"/>
      <c r="R741" s="1699"/>
      <c r="S741" s="1699"/>
      <c r="T741" s="1699"/>
      <c r="U741" s="1699"/>
      <c r="V741" s="2080"/>
      <c r="W741" s="1699"/>
      <c r="X741" s="1699"/>
      <c r="Y741" s="1699"/>
      <c r="Z741" s="1699"/>
      <c r="AA741" s="2080"/>
      <c r="AB741" s="1699"/>
      <c r="AC741" s="1699"/>
      <c r="AD741" s="1699"/>
      <c r="AE741" s="1699"/>
      <c r="AF741" s="1699"/>
      <c r="AG741" s="1699"/>
      <c r="AH741" s="1699"/>
      <c r="AI741" s="1699"/>
      <c r="AJ741" s="2186"/>
      <c r="AK741" s="1699"/>
      <c r="AL741" s="1699"/>
      <c r="AM741" s="1699"/>
      <c r="AN741" s="1699"/>
      <c r="AO741" s="2186"/>
      <c r="AP741" s="1699"/>
      <c r="AQ741" s="1699"/>
      <c r="AR741" s="1699"/>
      <c r="AS741" s="1699"/>
      <c r="AT741" s="2186"/>
      <c r="AU741" s="1699"/>
      <c r="AV741" s="1699"/>
      <c r="AW741" s="1699"/>
      <c r="AX741" s="1699"/>
      <c r="AY741" s="2186"/>
      <c r="AZ741" s="1699"/>
      <c r="BA741" s="1699"/>
      <c r="BB741" s="1699"/>
      <c r="BC741" s="1293"/>
      <c r="BD741" s="2186"/>
      <c r="BE741" s="1699"/>
      <c r="BF741" s="1699"/>
      <c r="BG741" s="1699"/>
      <c r="BH741" s="1293"/>
      <c r="BI741" s="2186"/>
      <c r="BJ741" s="1699"/>
      <c r="BK741" s="1699"/>
      <c r="BL741" s="1699"/>
      <c r="BM741" s="1699"/>
      <c r="BN741" s="2186"/>
      <c r="BO741" s="1293"/>
      <c r="BP741" s="1293"/>
      <c r="BQ741" s="1293"/>
      <c r="BR741" s="1293"/>
      <c r="BS741" s="1293"/>
      <c r="BT741" s="1293"/>
      <c r="BU741" s="1293"/>
      <c r="BV741" s="1293"/>
      <c r="BW741" s="1293"/>
      <c r="BX741" s="1293"/>
      <c r="BY741" s="1293"/>
      <c r="BZ741" s="1293"/>
      <c r="CA741" s="1293"/>
      <c r="CB741" s="1293"/>
      <c r="CC741" s="1293"/>
      <c r="CD741" s="1293"/>
      <c r="CE741" s="1293"/>
      <c r="CF741" s="1293"/>
      <c r="CG741" s="1293"/>
      <c r="CH741" s="1293"/>
      <c r="CI741" s="1293"/>
      <c r="CJ741" s="1293"/>
      <c r="CK741" s="1293"/>
      <c r="CL741" s="1293"/>
      <c r="CM741" s="1293"/>
      <c r="CN741" s="1293"/>
      <c r="CO741" s="1293"/>
      <c r="CP741" s="1293"/>
      <c r="CQ741" s="1293"/>
      <c r="CR741" s="1293"/>
      <c r="CS741" s="1293"/>
      <c r="CT741" s="1293"/>
      <c r="CU741" s="1293"/>
      <c r="CV741" s="1293"/>
      <c r="CW741" s="1293"/>
      <c r="CX741" s="1293"/>
      <c r="CY741" s="2032"/>
      <c r="CZ741" s="1293"/>
      <c r="DA741" s="2042"/>
      <c r="DB741" s="2041"/>
      <c r="DC741" s="1293"/>
      <c r="DD741" s="1293"/>
      <c r="DE741" s="1293"/>
      <c r="DF741" s="1293"/>
      <c r="DG741" s="1293"/>
      <c r="DH741" s="1293"/>
      <c r="DI741" s="1293"/>
      <c r="DJ741" s="1293"/>
      <c r="DK741" s="1293"/>
      <c r="DL741" s="1293"/>
    </row>
    <row r="742" spans="1:116" ht="15.75">
      <c r="A742" s="1293"/>
      <c r="B742" s="1293" t="str">
        <f>B720</f>
        <v>All technologies, KPIs</v>
      </c>
      <c r="C742" s="1699"/>
      <c r="D742" s="1699"/>
      <c r="E742" s="1699"/>
      <c r="F742" s="1699"/>
      <c r="G742" s="2039"/>
      <c r="H742" s="1699"/>
      <c r="I742" s="1699"/>
      <c r="J742" s="1699"/>
      <c r="K742" s="1699"/>
      <c r="L742" s="2039"/>
      <c r="M742" s="1699"/>
      <c r="N742" s="1699"/>
      <c r="O742" s="1699"/>
      <c r="P742" s="1699"/>
      <c r="Q742" s="2039"/>
      <c r="R742" s="1699"/>
      <c r="S742" s="1699"/>
      <c r="T742" s="1699"/>
      <c r="U742" s="1699"/>
      <c r="V742" s="2080"/>
      <c r="W742" s="1699"/>
      <c r="X742" s="1699"/>
      <c r="Y742" s="1699"/>
      <c r="Z742" s="1699"/>
      <c r="AA742" s="2080"/>
      <c r="AB742" s="1699"/>
      <c r="AC742" s="1699"/>
      <c r="AD742" s="1699"/>
      <c r="AE742" s="1699"/>
      <c r="AF742" s="1699"/>
      <c r="AG742" s="1699"/>
      <c r="AH742" s="1699"/>
      <c r="AI742" s="1699"/>
      <c r="AJ742" s="2186"/>
      <c r="AK742" s="1699"/>
      <c r="AL742" s="1699"/>
      <c r="AM742" s="1699"/>
      <c r="AN742" s="1699"/>
      <c r="AO742" s="2186"/>
      <c r="AP742" s="1699"/>
      <c r="AQ742" s="1699"/>
      <c r="AR742" s="1699"/>
      <c r="AS742" s="1699"/>
      <c r="AT742" s="2186"/>
      <c r="AU742" s="1699"/>
      <c r="AV742" s="1699"/>
      <c r="AW742" s="1699"/>
      <c r="AX742" s="1699"/>
      <c r="AY742" s="2186"/>
      <c r="AZ742" s="1699"/>
      <c r="BA742" s="1699"/>
      <c r="BB742" s="1699"/>
      <c r="BC742" s="1293"/>
      <c r="BD742" s="2186"/>
      <c r="BE742" s="1699"/>
      <c r="BF742" s="1699"/>
      <c r="BG742" s="1699"/>
      <c r="BH742" s="1293"/>
      <c r="BI742" s="2186"/>
      <c r="BJ742" s="1699"/>
      <c r="BK742" s="1699"/>
      <c r="BL742" s="1699"/>
      <c r="BM742" s="1699"/>
      <c r="BN742" s="2186"/>
      <c r="BO742" s="1293"/>
      <c r="BP742" s="1293"/>
      <c r="BQ742" s="1293"/>
      <c r="BR742" s="1293"/>
      <c r="BS742" s="1293"/>
      <c r="BT742" s="1293"/>
      <c r="BU742" s="1293"/>
      <c r="BV742" s="1293"/>
      <c r="BW742" s="1293"/>
      <c r="BX742" s="1293"/>
      <c r="BY742" s="1293"/>
      <c r="BZ742" s="1293"/>
      <c r="CA742" s="1293"/>
      <c r="CB742" s="1293"/>
      <c r="CC742" s="1293"/>
      <c r="CD742" s="1293"/>
      <c r="CE742" s="1293"/>
      <c r="CF742" s="1293"/>
      <c r="CG742" s="1293"/>
      <c r="CH742" s="1293"/>
      <c r="CI742" s="1293"/>
      <c r="CJ742" s="1293"/>
      <c r="CK742" s="1293"/>
      <c r="CL742" s="1293"/>
      <c r="CM742" s="1293"/>
      <c r="CN742" s="1293"/>
      <c r="CO742" s="1293"/>
      <c r="CP742" s="1293"/>
      <c r="CQ742" s="1293"/>
      <c r="CR742" s="1293"/>
      <c r="CS742" s="1293"/>
      <c r="CT742" s="1293"/>
      <c r="CU742" s="1293"/>
      <c r="CV742" s="1293"/>
      <c r="CW742" s="1293"/>
      <c r="CX742" s="1293"/>
      <c r="CY742" s="2032"/>
      <c r="CZ742" s="1293"/>
      <c r="DA742" s="2042"/>
      <c r="DB742" s="2041"/>
      <c r="DC742" s="1293"/>
      <c r="DD742" s="1293"/>
      <c r="DE742" s="1293"/>
      <c r="DF742" s="1293"/>
      <c r="DG742" s="1293"/>
      <c r="DH742" s="1293"/>
      <c r="DI742" s="1293"/>
      <c r="DJ742" s="1293"/>
      <c r="DK742" s="1293"/>
      <c r="DL742" s="1293"/>
    </row>
    <row r="743" spans="1:116" ht="15.75">
      <c r="A743" s="1293"/>
      <c r="B743" s="1293" t="str">
        <f>B721</f>
        <v>Homes passed</v>
      </c>
      <c r="C743" s="1699"/>
      <c r="D743" s="1699">
        <f t="shared" ref="D743:F744" si="597">D721-C721</f>
        <v>39.778372912241593</v>
      </c>
      <c r="E743" s="1699">
        <f t="shared" si="597"/>
        <v>3839.9203670877582</v>
      </c>
      <c r="F743" s="1699">
        <f t="shared" si="597"/>
        <v>153.5321100000001</v>
      </c>
      <c r="G743" s="2039"/>
      <c r="H743" s="1699">
        <f t="shared" ref="H743:K744" si="598">H721-G721</f>
        <v>84.496937912241265</v>
      </c>
      <c r="I743" s="1699">
        <f t="shared" si="598"/>
        <v>87.858739999999671</v>
      </c>
      <c r="J743" s="1699">
        <f t="shared" si="598"/>
        <v>242.53636708776139</v>
      </c>
      <c r="K743" s="1699">
        <f t="shared" si="598"/>
        <v>133.14574291223926</v>
      </c>
      <c r="L743" s="2039"/>
      <c r="M743" s="1699">
        <f t="shared" ref="M743:P744" si="599">M721-L721</f>
        <v>83.046102087760119</v>
      </c>
      <c r="N743" s="1699">
        <f t="shared" si="599"/>
        <v>74.237047912240087</v>
      </c>
      <c r="O743" s="1699">
        <f t="shared" si="599"/>
        <v>126.0007399999995</v>
      </c>
      <c r="P743" s="1699">
        <f t="shared" si="599"/>
        <v>203.21710499999972</v>
      </c>
      <c r="Q743" s="2039"/>
      <c r="R743" s="1699">
        <f t="shared" ref="R743:U744" si="600">R721-Q721</f>
        <v>286</v>
      </c>
      <c r="S743" s="1699">
        <f t="shared" si="600"/>
        <v>190.15384500000073</v>
      </c>
      <c r="T743" s="1699">
        <f t="shared" si="600"/>
        <v>163.84615499999927</v>
      </c>
      <c r="U743" s="1699">
        <f t="shared" si="600"/>
        <v>316.92862708776011</v>
      </c>
      <c r="V743" s="2080"/>
      <c r="W743" s="1699">
        <f t="shared" ref="W743:Z744" si="601">W721-V721</f>
        <v>208.10000000000036</v>
      </c>
      <c r="X743" s="1699">
        <f t="shared" si="601"/>
        <v>355</v>
      </c>
      <c r="Y743" s="1699">
        <f t="shared" si="601"/>
        <v>269</v>
      </c>
      <c r="Z743" s="1699">
        <f t="shared" si="601"/>
        <v>1168</v>
      </c>
      <c r="AA743" s="2080"/>
      <c r="AB743" s="1699"/>
      <c r="AC743" s="1699">
        <f>AC721-Z721</f>
        <v>155</v>
      </c>
      <c r="AD743" s="1699"/>
      <c r="AE743" s="1699"/>
      <c r="AF743" s="1699"/>
      <c r="AG743" s="1699"/>
      <c r="AH743" s="1699"/>
      <c r="AI743" s="1699"/>
      <c r="AJ743" s="2186"/>
      <c r="AK743" s="1699"/>
      <c r="AL743" s="1699"/>
      <c r="AM743" s="1699"/>
      <c r="AN743" s="1699"/>
      <c r="AO743" s="2186"/>
      <c r="AP743" s="1699"/>
      <c r="AQ743" s="1699"/>
      <c r="AR743" s="1699"/>
      <c r="AS743" s="1699"/>
      <c r="AT743" s="2186"/>
      <c r="AU743" s="1699"/>
      <c r="AV743" s="1699"/>
      <c r="AW743" s="1699"/>
      <c r="AX743" s="1699"/>
      <c r="AY743" s="2186"/>
      <c r="AZ743" s="1699"/>
      <c r="BA743" s="1699"/>
      <c r="BB743" s="1699"/>
      <c r="BC743" s="1293"/>
      <c r="BD743" s="2186"/>
      <c r="BE743" s="1699"/>
      <c r="BF743" s="1699"/>
      <c r="BG743" s="1699"/>
      <c r="BH743" s="1293"/>
      <c r="BI743" s="2186"/>
      <c r="BJ743" s="1699"/>
      <c r="BK743" s="1699"/>
      <c r="BL743" s="1699"/>
      <c r="BM743" s="1699"/>
      <c r="BN743" s="2186"/>
      <c r="BO743" s="1293"/>
      <c r="BP743" s="1293"/>
      <c r="BQ743" s="1293"/>
      <c r="BR743" s="1293"/>
      <c r="BS743" s="1293"/>
      <c r="BT743" s="1293"/>
      <c r="BU743" s="1293"/>
      <c r="BV743" s="1293"/>
      <c r="BW743" s="1293"/>
      <c r="BX743" s="1293"/>
      <c r="BY743" s="1293"/>
      <c r="BZ743" s="1293"/>
      <c r="CA743" s="1293"/>
      <c r="CB743" s="1293"/>
      <c r="CC743" s="1293"/>
      <c r="CD743" s="1293"/>
      <c r="CE743" s="1293"/>
      <c r="CF743" s="1293"/>
      <c r="CG743" s="1293"/>
      <c r="CH743" s="1293"/>
      <c r="CI743" s="1293"/>
      <c r="CJ743" s="1293"/>
      <c r="CK743" s="1293"/>
      <c r="CL743" s="1293"/>
      <c r="CM743" s="1293"/>
      <c r="CN743" s="1293"/>
      <c r="CO743" s="1293"/>
      <c r="CP743" s="1293"/>
      <c r="CQ743" s="1293"/>
      <c r="CR743" s="1293"/>
      <c r="CS743" s="1293"/>
      <c r="CT743" s="1293"/>
      <c r="CU743" s="1293"/>
      <c r="CV743" s="1293"/>
      <c r="CW743" s="1293"/>
      <c r="CX743" s="1293"/>
      <c r="CY743" s="2032"/>
      <c r="CZ743" s="1293"/>
      <c r="DA743" s="2042"/>
      <c r="DB743" s="2041"/>
      <c r="DC743" s="1293"/>
      <c r="DD743" s="1293"/>
      <c r="DE743" s="1293"/>
      <c r="DF743" s="1293"/>
      <c r="DG743" s="1293"/>
      <c r="DH743" s="1293"/>
      <c r="DI743" s="1293"/>
      <c r="DJ743" s="1293"/>
      <c r="DK743" s="1293"/>
      <c r="DL743" s="1293"/>
    </row>
    <row r="744" spans="1:116" ht="15.75">
      <c r="A744" s="1293"/>
      <c r="B744" s="1293" t="str">
        <f>B722</f>
        <v>Homes connected</v>
      </c>
      <c r="C744" s="1699"/>
      <c r="D744" s="1699">
        <f t="shared" si="597"/>
        <v>17.475999999999885</v>
      </c>
      <c r="E744" s="1699">
        <f t="shared" si="597"/>
        <v>1858.21</v>
      </c>
      <c r="F744" s="1699">
        <f t="shared" si="597"/>
        <v>38.199999999999818</v>
      </c>
      <c r="G744" s="2039"/>
      <c r="H744" s="1699">
        <f t="shared" si="598"/>
        <v>33.292000000000371</v>
      </c>
      <c r="I744" s="1699">
        <f t="shared" si="598"/>
        <v>47.137000000000171</v>
      </c>
      <c r="J744" s="1699">
        <f t="shared" si="598"/>
        <v>-0.37932871041448379</v>
      </c>
      <c r="K744" s="1699">
        <f t="shared" si="598"/>
        <v>58.899328710414466</v>
      </c>
      <c r="L744" s="2039"/>
      <c r="M744" s="1699">
        <f t="shared" si="599"/>
        <v>0.3249999999998181</v>
      </c>
      <c r="N744" s="1699">
        <f t="shared" si="599"/>
        <v>-3.2789999999999964</v>
      </c>
      <c r="O744" s="1699">
        <f t="shared" si="599"/>
        <v>53.900000000000091</v>
      </c>
      <c r="P744" s="1699">
        <f t="shared" si="599"/>
        <v>28.359398420039724</v>
      </c>
      <c r="Q744" s="2039"/>
      <c r="R744" s="1699">
        <f t="shared" si="600"/>
        <v>20.300000000000182</v>
      </c>
      <c r="S744" s="1699">
        <f t="shared" si="600"/>
        <v>49.706000000000131</v>
      </c>
      <c r="T744" s="1699">
        <f t="shared" si="600"/>
        <v>79.293999999999869</v>
      </c>
      <c r="U744" s="1699">
        <f t="shared" si="600"/>
        <v>53.619000000000142</v>
      </c>
      <c r="V744" s="2080"/>
      <c r="W744" s="1699">
        <f t="shared" si="601"/>
        <v>86.400000000000091</v>
      </c>
      <c r="X744" s="1699">
        <f t="shared" si="601"/>
        <v>144</v>
      </c>
      <c r="Y744" s="1699">
        <f t="shared" si="601"/>
        <v>59</v>
      </c>
      <c r="Z744" s="1699">
        <f t="shared" si="601"/>
        <v>526</v>
      </c>
      <c r="AA744" s="2080"/>
      <c r="AB744" s="1699"/>
      <c r="AC744" s="1699">
        <f>AC722-Z722</f>
        <v>69</v>
      </c>
      <c r="AD744" s="1699"/>
      <c r="AE744" s="1699"/>
      <c r="AF744" s="1699"/>
      <c r="AG744" s="1699"/>
      <c r="AH744" s="1699"/>
      <c r="AI744" s="1699"/>
      <c r="AJ744" s="2186"/>
      <c r="AK744" s="1699"/>
      <c r="AL744" s="1699"/>
      <c r="AM744" s="1699"/>
      <c r="AN744" s="1699"/>
      <c r="AO744" s="2186"/>
      <c r="AP744" s="1699"/>
      <c r="AQ744" s="1699"/>
      <c r="AR744" s="1699"/>
      <c r="AS744" s="1699"/>
      <c r="AT744" s="2186"/>
      <c r="AU744" s="1699"/>
      <c r="AV744" s="1699"/>
      <c r="AW744" s="1699"/>
      <c r="AX744" s="1699"/>
      <c r="AY744" s="2186"/>
      <c r="AZ744" s="1699"/>
      <c r="BA744" s="1699"/>
      <c r="BB744" s="1699"/>
      <c r="BC744" s="1293"/>
      <c r="BD744" s="2186"/>
      <c r="BE744" s="1699"/>
      <c r="BF744" s="1699"/>
      <c r="BG744" s="1699"/>
      <c r="BH744" s="1293"/>
      <c r="BI744" s="2186"/>
      <c r="BJ744" s="1699"/>
      <c r="BK744" s="1699"/>
      <c r="BL744" s="1699"/>
      <c r="BM744" s="1699"/>
      <c r="BN744" s="2186"/>
      <c r="BO744" s="1293"/>
      <c r="BP744" s="1293"/>
      <c r="BQ744" s="1293"/>
      <c r="BR744" s="1293"/>
      <c r="BS744" s="1293"/>
      <c r="BT744" s="1293"/>
      <c r="BU744" s="1293"/>
      <c r="BV744" s="1293"/>
      <c r="BW744" s="1293"/>
      <c r="BX744" s="1293"/>
      <c r="BY744" s="1293"/>
      <c r="BZ744" s="1293"/>
      <c r="CA744" s="1293"/>
      <c r="CB744" s="1293"/>
      <c r="CC744" s="1293"/>
      <c r="CD744" s="1293"/>
      <c r="CE744" s="1293"/>
      <c r="CF744" s="1293"/>
      <c r="CG744" s="1293"/>
      <c r="CH744" s="1293"/>
      <c r="CI744" s="1293"/>
      <c r="CJ744" s="1293"/>
      <c r="CK744" s="1293"/>
      <c r="CL744" s="1293"/>
      <c r="CM744" s="1293"/>
      <c r="CN744" s="1293"/>
      <c r="CO744" s="1293"/>
      <c r="CP744" s="1293"/>
      <c r="CQ744" s="1293"/>
      <c r="CR744" s="1293"/>
      <c r="CS744" s="1293"/>
      <c r="CT744" s="1293"/>
      <c r="CU744" s="1293"/>
      <c r="CV744" s="1293"/>
      <c r="CW744" s="1293"/>
      <c r="CX744" s="1293"/>
      <c r="CY744" s="2032"/>
      <c r="CZ744" s="1293"/>
      <c r="DA744" s="2042"/>
      <c r="DB744" s="2041"/>
      <c r="DC744" s="1293"/>
      <c r="DD744" s="1293"/>
      <c r="DE744" s="1293"/>
      <c r="DF744" s="1293"/>
      <c r="DG744" s="1293"/>
      <c r="DH744" s="1293"/>
      <c r="DI744" s="1293"/>
      <c r="DJ744" s="1293"/>
      <c r="DK744" s="1293"/>
      <c r="DL744" s="1293"/>
    </row>
    <row r="745" spans="1:116" ht="15.75">
      <c r="A745" s="1293"/>
      <c r="B745" s="1870" t="s">
        <v>4808</v>
      </c>
      <c r="C745" s="1699"/>
      <c r="D745" s="1699"/>
      <c r="E745" s="1699"/>
      <c r="F745" s="1699"/>
      <c r="G745" s="2039"/>
      <c r="H745" s="1699"/>
      <c r="I745" s="1699"/>
      <c r="J745" s="1699"/>
      <c r="K745" s="1699"/>
      <c r="L745" s="2039"/>
      <c r="M745" s="1997">
        <v>10</v>
      </c>
      <c r="N745" s="1997">
        <f>20-M745</f>
        <v>10</v>
      </c>
      <c r="O745" s="1724"/>
      <c r="P745" s="1699"/>
      <c r="Q745" s="2039"/>
      <c r="R745" s="1997">
        <v>15</v>
      </c>
      <c r="S745" s="1997">
        <f>56-R745</f>
        <v>41</v>
      </c>
      <c r="T745" s="1997"/>
      <c r="U745" s="1997"/>
      <c r="V745" s="2080"/>
      <c r="W745" s="1997"/>
      <c r="X745" s="1997"/>
      <c r="Y745" s="1997"/>
      <c r="Z745" s="1997"/>
      <c r="AA745" s="2080"/>
      <c r="AB745" s="1997"/>
      <c r="AC745" s="1997"/>
      <c r="AD745" s="1997"/>
      <c r="AE745" s="1997"/>
      <c r="AF745" s="1997"/>
      <c r="AG745" s="1997"/>
      <c r="AH745" s="1997"/>
      <c r="AI745" s="1997"/>
      <c r="AJ745" s="2186"/>
      <c r="AK745" s="1997"/>
      <c r="AL745" s="1997"/>
      <c r="AM745" s="1997"/>
      <c r="AN745" s="1997"/>
      <c r="AO745" s="2186"/>
      <c r="AP745" s="1997"/>
      <c r="AQ745" s="1997"/>
      <c r="AR745" s="1997"/>
      <c r="AS745" s="1997"/>
      <c r="AT745" s="2186"/>
      <c r="AU745" s="1997"/>
      <c r="AV745" s="1997"/>
      <c r="AW745" s="1997"/>
      <c r="AX745" s="1997"/>
      <c r="AY745" s="2186"/>
      <c r="AZ745" s="1997"/>
      <c r="BA745" s="1997"/>
      <c r="BB745" s="1997"/>
      <c r="BC745" s="1293"/>
      <c r="BD745" s="2186"/>
      <c r="BE745" s="1997"/>
      <c r="BF745" s="1997"/>
      <c r="BG745" s="1997"/>
      <c r="BH745" s="1293"/>
      <c r="BI745" s="2186"/>
      <c r="BJ745" s="1997"/>
      <c r="BK745" s="1997"/>
      <c r="BL745" s="1997"/>
      <c r="BM745" s="1997"/>
      <c r="BN745" s="2186"/>
      <c r="BO745" s="1293"/>
      <c r="BP745" s="1293"/>
      <c r="BQ745" s="1293"/>
      <c r="BR745" s="1293"/>
      <c r="BS745" s="1293"/>
      <c r="BT745" s="1293"/>
      <c r="BU745" s="1293"/>
      <c r="BV745" s="1293"/>
      <c r="BW745" s="1293"/>
      <c r="BX745" s="1293"/>
      <c r="BY745" s="1293"/>
      <c r="BZ745" s="1293"/>
      <c r="CA745" s="1293"/>
      <c r="CB745" s="1293"/>
      <c r="CC745" s="1293"/>
      <c r="CD745" s="1293"/>
      <c r="CE745" s="1293"/>
      <c r="CF745" s="1293"/>
      <c r="CG745" s="1293"/>
      <c r="CH745" s="1293"/>
      <c r="CI745" s="1293"/>
      <c r="CJ745" s="1293"/>
      <c r="CK745" s="1293"/>
      <c r="CL745" s="1293"/>
      <c r="CM745" s="1293"/>
      <c r="CN745" s="1293"/>
      <c r="CO745" s="1293"/>
      <c r="CP745" s="1293"/>
      <c r="CQ745" s="1293"/>
      <c r="CR745" s="1293"/>
      <c r="CS745" s="1293"/>
      <c r="CT745" s="1293"/>
      <c r="CU745" s="1293"/>
      <c r="CV745" s="1293"/>
      <c r="CW745" s="1293"/>
      <c r="CX745" s="1293"/>
      <c r="CY745" s="2032"/>
      <c r="CZ745" s="1293"/>
      <c r="DA745" s="2110"/>
      <c r="DB745" s="2111"/>
      <c r="DC745" s="1293"/>
      <c r="DD745" s="1293"/>
      <c r="DE745" s="1293"/>
      <c r="DF745" s="1293"/>
      <c r="DG745" s="1293"/>
      <c r="DH745" s="1293"/>
      <c r="DI745" s="1293"/>
      <c r="DJ745" s="1293"/>
      <c r="DK745" s="1293"/>
      <c r="DL745" s="1293"/>
    </row>
    <row r="746" spans="1:116" ht="15.75">
      <c r="A746" s="1293"/>
      <c r="B746" s="1293"/>
      <c r="C746" s="1699"/>
      <c r="D746" s="1699"/>
      <c r="E746" s="1699"/>
      <c r="F746" s="1699"/>
      <c r="G746" s="2039"/>
      <c r="H746" s="1699"/>
      <c r="I746" s="1699"/>
      <c r="J746" s="1699"/>
      <c r="K746" s="1699"/>
      <c r="L746" s="2039"/>
      <c r="M746" s="1699"/>
      <c r="N746" s="1699"/>
      <c r="O746" s="1699"/>
      <c r="P746" s="1699"/>
      <c r="Q746" s="2039"/>
      <c r="R746" s="1699"/>
      <c r="S746" s="1699"/>
      <c r="T746" s="1699"/>
      <c r="U746" s="1699"/>
      <c r="V746" s="2080"/>
      <c r="W746" s="1699"/>
      <c r="X746" s="1699"/>
      <c r="Y746" s="1699"/>
      <c r="Z746" s="1699"/>
      <c r="AA746" s="2080"/>
      <c r="AB746" s="1699"/>
      <c r="AC746" s="1699"/>
      <c r="AD746" s="1699"/>
      <c r="AE746" s="1699"/>
      <c r="AF746" s="1699"/>
      <c r="AG746" s="1699"/>
      <c r="AH746" s="1699"/>
      <c r="AI746" s="1699"/>
      <c r="AJ746" s="2186"/>
      <c r="AK746" s="1699"/>
      <c r="AL746" s="1699"/>
      <c r="AM746" s="1699"/>
      <c r="AN746" s="1699"/>
      <c r="AO746" s="2186"/>
      <c r="AP746" s="1699"/>
      <c r="AQ746" s="1699"/>
      <c r="AR746" s="1699"/>
      <c r="AS746" s="1699"/>
      <c r="AT746" s="2186"/>
      <c r="AU746" s="1699"/>
      <c r="AV746" s="1699"/>
      <c r="AW746" s="1699"/>
      <c r="AX746" s="1699"/>
      <c r="AY746" s="2186"/>
      <c r="AZ746" s="1699"/>
      <c r="BA746" s="1699"/>
      <c r="BB746" s="1699"/>
      <c r="BC746" s="1293"/>
      <c r="BD746" s="2186"/>
      <c r="BE746" s="1699"/>
      <c r="BF746" s="1699"/>
      <c r="BG746" s="1699"/>
      <c r="BH746" s="1293"/>
      <c r="BI746" s="2186"/>
      <c r="BJ746" s="1699"/>
      <c r="BK746" s="1699"/>
      <c r="BL746" s="1699"/>
      <c r="BM746" s="1699"/>
      <c r="BN746" s="2186"/>
      <c r="BO746" s="1293"/>
      <c r="BP746" s="1293"/>
      <c r="BQ746" s="1293"/>
      <c r="BR746" s="1293"/>
      <c r="BS746" s="1293"/>
      <c r="BT746" s="1293"/>
      <c r="BU746" s="1293"/>
      <c r="BV746" s="1293"/>
      <c r="BW746" s="1293"/>
      <c r="BX746" s="1293"/>
      <c r="BY746" s="1293"/>
      <c r="BZ746" s="1293"/>
      <c r="CA746" s="1293"/>
      <c r="CB746" s="1293"/>
      <c r="CC746" s="1293"/>
      <c r="CD746" s="1293"/>
      <c r="CE746" s="1293"/>
      <c r="CF746" s="1293"/>
      <c r="CG746" s="1293"/>
      <c r="CH746" s="1293"/>
      <c r="CI746" s="1293"/>
      <c r="CJ746" s="1293"/>
      <c r="CK746" s="1293"/>
      <c r="CL746" s="1293"/>
      <c r="CM746" s="1293"/>
      <c r="CN746" s="1293"/>
      <c r="CO746" s="1293"/>
      <c r="CP746" s="1293"/>
      <c r="CQ746" s="1293"/>
      <c r="CR746" s="1293"/>
      <c r="CS746" s="1293"/>
      <c r="CT746" s="1293"/>
      <c r="CU746" s="1293"/>
      <c r="CV746" s="1293"/>
      <c r="CW746" s="1293"/>
      <c r="CX746" s="1293"/>
      <c r="CY746" s="2032"/>
      <c r="CZ746" s="1293"/>
      <c r="DA746" s="2042"/>
      <c r="DB746" s="2041"/>
      <c r="DC746" s="1293"/>
      <c r="DD746" s="1293"/>
      <c r="DE746" s="1293"/>
      <c r="DF746" s="1293"/>
      <c r="DG746" s="1293"/>
      <c r="DH746" s="1293"/>
      <c r="DI746" s="1293"/>
      <c r="DJ746" s="1293"/>
      <c r="DK746" s="1293"/>
      <c r="DL746" s="1293"/>
    </row>
    <row r="747" spans="1:116" ht="15.75">
      <c r="A747" s="1293"/>
      <c r="B747" s="1293" t="str">
        <f>B723</f>
        <v>RGUs</v>
      </c>
      <c r="C747" s="1699"/>
      <c r="D747" s="1699">
        <f>D723-C723</f>
        <v>26.029999999999973</v>
      </c>
      <c r="E747" s="1699">
        <f>E723-D723</f>
        <v>3625.9219999999996</v>
      </c>
      <c r="F747" s="1699">
        <f>F723-E723</f>
        <v>120.71900000000096</v>
      </c>
      <c r="G747" s="2039"/>
      <c r="H747" s="1699">
        <f>H723-G723</f>
        <v>87.782999999999447</v>
      </c>
      <c r="I747" s="1699">
        <f>I723-H723</f>
        <v>60.515000000000327</v>
      </c>
      <c r="J747" s="1699">
        <f>J723-I723</f>
        <v>11.720000000000255</v>
      </c>
      <c r="K747" s="1699">
        <f>K723-J723</f>
        <v>142.89699999999993</v>
      </c>
      <c r="L747" s="2039"/>
      <c r="M747" s="1699">
        <f>M723-L723</f>
        <v>30.374999999999091</v>
      </c>
      <c r="N747" s="1699">
        <f>N723-M723</f>
        <v>41.17200000000048</v>
      </c>
      <c r="O747" s="1699">
        <f>O723-N723</f>
        <v>94.177999999999884</v>
      </c>
      <c r="P747" s="1699">
        <f>P723-O723</f>
        <v>28.92200000000048</v>
      </c>
      <c r="Q747" s="2039"/>
      <c r="R747" s="1699">
        <f>R723-Q723</f>
        <v>45</v>
      </c>
      <c r="S747" s="1699">
        <f>S723-R723</f>
        <v>129.46299999999974</v>
      </c>
      <c r="T747" s="1699"/>
      <c r="U747" s="1699"/>
      <c r="V747" s="2080"/>
      <c r="W747" s="1699"/>
      <c r="X747" s="1699"/>
      <c r="Y747" s="1699"/>
      <c r="Z747" s="1699"/>
      <c r="AA747" s="2080"/>
      <c r="AB747" s="1699"/>
      <c r="AC747" s="1699"/>
      <c r="AD747" s="1699"/>
      <c r="AE747" s="1699"/>
      <c r="AF747" s="1699"/>
      <c r="AG747" s="1699"/>
      <c r="AH747" s="1699"/>
      <c r="AI747" s="1699"/>
      <c r="AJ747" s="2186"/>
      <c r="AK747" s="1699"/>
      <c r="AL747" s="1699"/>
      <c r="AM747" s="1699"/>
      <c r="AN747" s="1699"/>
      <c r="AO747" s="2186"/>
      <c r="AP747" s="1699"/>
      <c r="AQ747" s="1699"/>
      <c r="AR747" s="1699"/>
      <c r="AS747" s="1699"/>
      <c r="AT747" s="2186"/>
      <c r="AU747" s="1699"/>
      <c r="AV747" s="1699"/>
      <c r="AW747" s="1699"/>
      <c r="AX747" s="1699"/>
      <c r="AY747" s="2186"/>
      <c r="AZ747" s="1699"/>
      <c r="BA747" s="1699"/>
      <c r="BB747" s="1699"/>
      <c r="BC747" s="1293"/>
      <c r="BD747" s="2186"/>
      <c r="BE747" s="1699"/>
      <c r="BF747" s="1699"/>
      <c r="BG747" s="1699"/>
      <c r="BH747" s="1293"/>
      <c r="BI747" s="2186"/>
      <c r="BJ747" s="1699"/>
      <c r="BK747" s="1699"/>
      <c r="BL747" s="1699"/>
      <c r="BM747" s="1699"/>
      <c r="BN747" s="2186"/>
      <c r="BO747" s="1293"/>
      <c r="BP747" s="1293"/>
      <c r="BQ747" s="1293"/>
      <c r="BR747" s="1293"/>
      <c r="BS747" s="1293"/>
      <c r="BT747" s="1293"/>
      <c r="BU747" s="1293"/>
      <c r="BV747" s="1293"/>
      <c r="BW747" s="1293"/>
      <c r="BX747" s="1293"/>
      <c r="BY747" s="1293"/>
      <c r="BZ747" s="1293"/>
      <c r="CA747" s="1293"/>
      <c r="CB747" s="1293"/>
      <c r="CC747" s="1293"/>
      <c r="CD747" s="1293"/>
      <c r="CE747" s="1293"/>
      <c r="CF747" s="1293"/>
      <c r="CG747" s="1293"/>
      <c r="CH747" s="1293"/>
      <c r="CI747" s="1293"/>
      <c r="CJ747" s="1293"/>
      <c r="CK747" s="1293"/>
      <c r="CL747" s="1293"/>
      <c r="CM747" s="1293"/>
      <c r="CN747" s="1293"/>
      <c r="CO747" s="1293"/>
      <c r="CP747" s="1293"/>
      <c r="CQ747" s="1293"/>
      <c r="CR747" s="1293"/>
      <c r="CS747" s="1293"/>
      <c r="CT747" s="1293"/>
      <c r="CU747" s="1293"/>
      <c r="CV747" s="1293"/>
      <c r="CW747" s="1293"/>
      <c r="CX747" s="1293"/>
      <c r="CY747" s="2032"/>
      <c r="CZ747" s="1293"/>
      <c r="DA747" s="2042"/>
      <c r="DB747" s="2041"/>
      <c r="DC747" s="1293"/>
      <c r="DD747" s="1293"/>
      <c r="DE747" s="1293"/>
      <c r="DF747" s="1293"/>
      <c r="DG747" s="1293"/>
      <c r="DH747" s="1293"/>
      <c r="DI747" s="1293"/>
      <c r="DJ747" s="1293"/>
      <c r="DK747" s="1293"/>
      <c r="DL747" s="1293"/>
    </row>
    <row r="748" spans="1:116" ht="15.75">
      <c r="A748" s="1293"/>
      <c r="B748" s="1293" t="str">
        <f>B724</f>
        <v>Residential cable ARPU (USD)</v>
      </c>
      <c r="C748" s="1699"/>
      <c r="D748" s="1699"/>
      <c r="E748" s="1699"/>
      <c r="F748" s="1699"/>
      <c r="G748" s="2039"/>
      <c r="H748" s="1699"/>
      <c r="I748" s="1699"/>
      <c r="J748" s="1699"/>
      <c r="K748" s="1699"/>
      <c r="L748" s="2039"/>
      <c r="M748" s="1699"/>
      <c r="N748" s="1699"/>
      <c r="O748" s="1699"/>
      <c r="P748" s="1699"/>
      <c r="Q748" s="2039"/>
      <c r="R748" s="1699"/>
      <c r="S748" s="1699"/>
      <c r="T748" s="1699"/>
      <c r="U748" s="1699"/>
      <c r="V748" s="2080"/>
      <c r="W748" s="1699"/>
      <c r="X748" s="1699"/>
      <c r="Y748" s="1699"/>
      <c r="Z748" s="1699"/>
      <c r="AA748" s="2080"/>
      <c r="AB748" s="1699"/>
      <c r="AC748" s="1699"/>
      <c r="AD748" s="1699"/>
      <c r="AE748" s="1699"/>
      <c r="AF748" s="1699"/>
      <c r="AG748" s="1699"/>
      <c r="AH748" s="1699"/>
      <c r="AI748" s="1699"/>
      <c r="AJ748" s="2186"/>
      <c r="AK748" s="1699"/>
      <c r="AL748" s="1699"/>
      <c r="AM748" s="1699"/>
      <c r="AN748" s="1699"/>
      <c r="AO748" s="2186"/>
      <c r="AP748" s="1699"/>
      <c r="AQ748" s="1699"/>
      <c r="AR748" s="1699"/>
      <c r="AS748" s="1699"/>
      <c r="AT748" s="2186"/>
      <c r="AU748" s="1699"/>
      <c r="AV748" s="1699"/>
      <c r="AW748" s="1699"/>
      <c r="AX748" s="1699"/>
      <c r="AY748" s="2186"/>
      <c r="AZ748" s="1699"/>
      <c r="BA748" s="1699"/>
      <c r="BB748" s="1699"/>
      <c r="BC748" s="1293"/>
      <c r="BD748" s="2186"/>
      <c r="BE748" s="1699"/>
      <c r="BF748" s="1699"/>
      <c r="BG748" s="1699"/>
      <c r="BH748" s="1293"/>
      <c r="BI748" s="2186"/>
      <c r="BJ748" s="1699"/>
      <c r="BK748" s="1699"/>
      <c r="BL748" s="1699"/>
      <c r="BM748" s="1699"/>
      <c r="BN748" s="2186"/>
      <c r="BO748" s="1293"/>
      <c r="BP748" s="1293"/>
      <c r="BQ748" s="1293"/>
      <c r="BR748" s="1293"/>
      <c r="BS748" s="1293"/>
      <c r="BT748" s="1293"/>
      <c r="BU748" s="1293"/>
      <c r="BV748" s="1293"/>
      <c r="BW748" s="1293"/>
      <c r="BX748" s="1293"/>
      <c r="BY748" s="1293"/>
      <c r="BZ748" s="1293"/>
      <c r="CA748" s="1293"/>
      <c r="CB748" s="1293"/>
      <c r="CC748" s="1293"/>
      <c r="CD748" s="1293"/>
      <c r="CE748" s="1293"/>
      <c r="CF748" s="1293"/>
      <c r="CG748" s="1293"/>
      <c r="CH748" s="1293"/>
      <c r="CI748" s="1293"/>
      <c r="CJ748" s="1293"/>
      <c r="CK748" s="1293"/>
      <c r="CL748" s="1293"/>
      <c r="CM748" s="1293"/>
      <c r="CN748" s="1293"/>
      <c r="CO748" s="1293"/>
      <c r="CP748" s="1293"/>
      <c r="CQ748" s="1293"/>
      <c r="CR748" s="1293"/>
      <c r="CS748" s="1293"/>
      <c r="CT748" s="1293"/>
      <c r="CU748" s="1293"/>
      <c r="CV748" s="1293"/>
      <c r="CW748" s="1293"/>
      <c r="CX748" s="1293"/>
      <c r="CY748" s="2032"/>
      <c r="CZ748" s="1293"/>
      <c r="DA748" s="2042"/>
      <c r="DB748" s="2041"/>
      <c r="DC748" s="1293"/>
      <c r="DD748" s="1293"/>
      <c r="DE748" s="1293"/>
      <c r="DF748" s="1293"/>
      <c r="DG748" s="1293"/>
      <c r="DH748" s="1293"/>
      <c r="DI748" s="1293"/>
      <c r="DJ748" s="1293"/>
      <c r="DK748" s="1293"/>
      <c r="DL748" s="1293"/>
    </row>
    <row r="749" spans="1:116" ht="15.75">
      <c r="A749" s="1293"/>
      <c r="B749" s="1293"/>
      <c r="C749" s="1699"/>
      <c r="D749" s="1699"/>
      <c r="E749" s="1699"/>
      <c r="F749" s="1699"/>
      <c r="G749" s="2039"/>
      <c r="H749" s="1699"/>
      <c r="I749" s="1699"/>
      <c r="J749" s="1699"/>
      <c r="K749" s="1699"/>
      <c r="L749" s="2039"/>
      <c r="M749" s="1699"/>
      <c r="N749" s="1699"/>
      <c r="O749" s="1699"/>
      <c r="P749" s="1699"/>
      <c r="Q749" s="2039"/>
      <c r="R749" s="1699"/>
      <c r="S749" s="1699"/>
      <c r="T749" s="1699"/>
      <c r="U749" s="1699"/>
      <c r="V749" s="2080"/>
      <c r="W749" s="1699"/>
      <c r="X749" s="1699"/>
      <c r="Y749" s="1699"/>
      <c r="Z749" s="1699"/>
      <c r="AA749" s="2080"/>
      <c r="AB749" s="1699"/>
      <c r="AC749" s="1699"/>
      <c r="AD749" s="1699"/>
      <c r="AE749" s="1699"/>
      <c r="AF749" s="1699"/>
      <c r="AG749" s="1699"/>
      <c r="AH749" s="1699"/>
      <c r="AI749" s="1699"/>
      <c r="AJ749" s="2186"/>
      <c r="AK749" s="1699"/>
      <c r="AL749" s="1699"/>
      <c r="AM749" s="1699"/>
      <c r="AN749" s="1699"/>
      <c r="AO749" s="2186"/>
      <c r="AP749" s="1699"/>
      <c r="AQ749" s="1699"/>
      <c r="AR749" s="1699"/>
      <c r="AS749" s="1699"/>
      <c r="AT749" s="2186"/>
      <c r="AU749" s="1699"/>
      <c r="AV749" s="1699"/>
      <c r="AW749" s="1699"/>
      <c r="AX749" s="1699"/>
      <c r="AY749" s="2186"/>
      <c r="AZ749" s="1699"/>
      <c r="BA749" s="1699"/>
      <c r="BB749" s="1699"/>
      <c r="BC749" s="1293"/>
      <c r="BD749" s="2186"/>
      <c r="BE749" s="1699"/>
      <c r="BF749" s="1699"/>
      <c r="BG749" s="1699"/>
      <c r="BH749" s="1293"/>
      <c r="BI749" s="2186"/>
      <c r="BJ749" s="1699"/>
      <c r="BK749" s="1699"/>
      <c r="BL749" s="1699"/>
      <c r="BM749" s="1699"/>
      <c r="BN749" s="2186"/>
      <c r="BO749" s="1293"/>
      <c r="BP749" s="1293"/>
      <c r="BQ749" s="1293"/>
      <c r="BR749" s="1293"/>
      <c r="BS749" s="1293"/>
      <c r="BT749" s="1293"/>
      <c r="BU749" s="1293"/>
      <c r="BV749" s="1293"/>
      <c r="BW749" s="1293"/>
      <c r="BX749" s="1293"/>
      <c r="BY749" s="1293"/>
      <c r="BZ749" s="1293"/>
      <c r="CA749" s="1293"/>
      <c r="CB749" s="1293"/>
      <c r="CC749" s="1293"/>
      <c r="CD749" s="1293"/>
      <c r="CE749" s="1293"/>
      <c r="CF749" s="1293"/>
      <c r="CG749" s="1293"/>
      <c r="CH749" s="1293"/>
      <c r="CI749" s="1293"/>
      <c r="CJ749" s="1293"/>
      <c r="CK749" s="1293"/>
      <c r="CL749" s="1293"/>
      <c r="CM749" s="1293"/>
      <c r="CN749" s="1293"/>
      <c r="CO749" s="1293"/>
      <c r="CP749" s="1293"/>
      <c r="CQ749" s="1293"/>
      <c r="CR749" s="1293"/>
      <c r="CS749" s="1293"/>
      <c r="CT749" s="1293"/>
      <c r="CU749" s="1293"/>
      <c r="CV749" s="1293"/>
      <c r="CW749" s="1293"/>
      <c r="CX749" s="1293"/>
      <c r="CY749" s="2032"/>
      <c r="CZ749" s="1293"/>
      <c r="DA749" s="2042"/>
      <c r="DB749" s="2041"/>
      <c r="DC749" s="1293"/>
      <c r="DD749" s="1293"/>
      <c r="DE749" s="1293"/>
      <c r="DF749" s="1293"/>
      <c r="DG749" s="1293"/>
      <c r="DH749" s="1293"/>
      <c r="DI749" s="1293"/>
      <c r="DJ749" s="1293"/>
      <c r="DK749" s="1293"/>
      <c r="DL749" s="1293"/>
    </row>
    <row r="750" spans="1:116" ht="15.75">
      <c r="A750" s="1293"/>
      <c r="B750" s="1293" t="str">
        <f>B726</f>
        <v>HFC only</v>
      </c>
      <c r="C750" s="1699"/>
      <c r="D750" s="1699"/>
      <c r="E750" s="1699"/>
      <c r="F750" s="1699"/>
      <c r="G750" s="2039"/>
      <c r="H750" s="1699"/>
      <c r="I750" s="1699"/>
      <c r="J750" s="1699"/>
      <c r="K750" s="1699"/>
      <c r="L750" s="2039"/>
      <c r="M750" s="1699"/>
      <c r="N750" s="1699"/>
      <c r="O750" s="1699"/>
      <c r="P750" s="1699"/>
      <c r="Q750" s="2039"/>
      <c r="R750" s="1699"/>
      <c r="S750" s="1699"/>
      <c r="T750" s="1699"/>
      <c r="U750" s="1699"/>
      <c r="V750" s="2080"/>
      <c r="W750" s="1699"/>
      <c r="X750" s="1699"/>
      <c r="Y750" s="1699"/>
      <c r="Z750" s="1699"/>
      <c r="AA750" s="2080"/>
      <c r="AB750" s="1699"/>
      <c r="AC750" s="1699"/>
      <c r="AD750" s="1699"/>
      <c r="AE750" s="1699"/>
      <c r="AF750" s="1699"/>
      <c r="AG750" s="1699"/>
      <c r="AH750" s="1699"/>
      <c r="AI750" s="1699"/>
      <c r="AJ750" s="2186"/>
      <c r="AK750" s="1699"/>
      <c r="AL750" s="1699"/>
      <c r="AM750" s="1699"/>
      <c r="AN750" s="1699"/>
      <c r="AO750" s="2186"/>
      <c r="AP750" s="1699"/>
      <c r="AQ750" s="1699"/>
      <c r="AR750" s="1699"/>
      <c r="AS750" s="1699"/>
      <c r="AT750" s="2186"/>
      <c r="AU750" s="1699"/>
      <c r="AV750" s="1699"/>
      <c r="AW750" s="1699"/>
      <c r="AX750" s="1699"/>
      <c r="AY750" s="2186"/>
      <c r="AZ750" s="1699"/>
      <c r="BA750" s="1699"/>
      <c r="BB750" s="1699"/>
      <c r="BC750" s="1293"/>
      <c r="BD750" s="2186"/>
      <c r="BE750" s="1699"/>
      <c r="BF750" s="1699"/>
      <c r="BG750" s="1699"/>
      <c r="BH750" s="1293"/>
      <c r="BI750" s="2186"/>
      <c r="BJ750" s="1699"/>
      <c r="BK750" s="1699"/>
      <c r="BL750" s="1699"/>
      <c r="BM750" s="1699"/>
      <c r="BN750" s="2186"/>
      <c r="BO750" s="1293"/>
      <c r="BP750" s="1293"/>
      <c r="BQ750" s="1293"/>
      <c r="BR750" s="1293"/>
      <c r="BS750" s="1293"/>
      <c r="BT750" s="1293"/>
      <c r="BU750" s="1293"/>
      <c r="BV750" s="1293"/>
      <c r="BW750" s="1293"/>
      <c r="BX750" s="1293"/>
      <c r="BY750" s="1293"/>
      <c r="BZ750" s="1293"/>
      <c r="CA750" s="1293"/>
      <c r="CB750" s="1293"/>
      <c r="CC750" s="1293"/>
      <c r="CD750" s="1293"/>
      <c r="CE750" s="1293"/>
      <c r="CF750" s="1293"/>
      <c r="CG750" s="1293"/>
      <c r="CH750" s="1293"/>
      <c r="CI750" s="1293"/>
      <c r="CJ750" s="1293"/>
      <c r="CK750" s="1293"/>
      <c r="CL750" s="1293"/>
      <c r="CM750" s="1293"/>
      <c r="CN750" s="1293"/>
      <c r="CO750" s="1293"/>
      <c r="CP750" s="1293"/>
      <c r="CQ750" s="1293"/>
      <c r="CR750" s="1293"/>
      <c r="CS750" s="1293"/>
      <c r="CT750" s="1293"/>
      <c r="CU750" s="1293"/>
      <c r="CV750" s="1293"/>
      <c r="CW750" s="1293"/>
      <c r="CX750" s="1293"/>
      <c r="CY750" s="2032"/>
      <c r="CZ750" s="1293"/>
      <c r="DA750" s="2042"/>
      <c r="DB750" s="2041"/>
      <c r="DC750" s="1293"/>
      <c r="DD750" s="1293"/>
      <c r="DE750" s="1293"/>
      <c r="DF750" s="1293"/>
      <c r="DG750" s="1293"/>
      <c r="DH750" s="1293"/>
      <c r="DI750" s="1293"/>
      <c r="DJ750" s="1293"/>
      <c r="DK750" s="1293"/>
      <c r="DL750" s="1293"/>
    </row>
    <row r="751" spans="1:116" ht="15.75">
      <c r="A751" s="1293"/>
      <c r="B751" s="1293" t="str">
        <f>B727</f>
        <v>Homes passed</v>
      </c>
      <c r="C751" s="1699"/>
      <c r="D751" s="1699">
        <f t="shared" ref="D751:F752" si="602">D727-C727</f>
        <v>76.578372912241321</v>
      </c>
      <c r="E751" s="1699">
        <f t="shared" si="602"/>
        <v>3163.6187170596227</v>
      </c>
      <c r="F751" s="1699">
        <f t="shared" si="602"/>
        <v>180.60518279927328</v>
      </c>
      <c r="G751" s="2039"/>
      <c r="H751" s="1699">
        <f t="shared" ref="H751:K752" si="603">H727-G727</f>
        <v>113.41601514110425</v>
      </c>
      <c r="I751" s="1699">
        <f t="shared" si="603"/>
        <v>114.08449999999903</v>
      </c>
      <c r="J751" s="1699">
        <f t="shared" si="603"/>
        <v>304.27636708775935</v>
      </c>
      <c r="K751" s="1699">
        <f t="shared" si="603"/>
        <v>197.74174291224153</v>
      </c>
      <c r="L751" s="2039"/>
      <c r="M751" s="1699">
        <f t="shared" ref="M751:P752" si="604">M727-L727</f>
        <v>131.59784208776</v>
      </c>
      <c r="N751" s="1699">
        <f t="shared" si="604"/>
        <v>160.96404791223904</v>
      </c>
      <c r="O751" s="1699">
        <f t="shared" si="604"/>
        <v>180.37374000000091</v>
      </c>
      <c r="P751" s="1699">
        <f t="shared" si="604"/>
        <v>304.27110499999981</v>
      </c>
      <c r="Q751" s="2039"/>
      <c r="R751" s="1699">
        <f t="shared" ref="R751:U752" si="605">R727-Q727</f>
        <v>371</v>
      </c>
      <c r="S751" s="1699">
        <f t="shared" si="605"/>
        <v>327.16384500000004</v>
      </c>
      <c r="T751" s="1699">
        <f t="shared" si="605"/>
        <v>256.83615499999996</v>
      </c>
      <c r="U751" s="1699">
        <f t="shared" si="605"/>
        <v>338.7356270877608</v>
      </c>
      <c r="V751" s="2080"/>
      <c r="W751" s="1699">
        <f t="shared" ref="W751:Z752" si="606">W727-V727</f>
        <v>241.29999999999927</v>
      </c>
      <c r="X751" s="1699">
        <f t="shared" si="606"/>
        <v>389</v>
      </c>
      <c r="Y751" s="1699">
        <f t="shared" si="606"/>
        <v>311</v>
      </c>
      <c r="Z751" s="1699">
        <f t="shared" si="606"/>
        <v>1175</v>
      </c>
      <c r="AA751" s="2080"/>
      <c r="AB751" s="1699"/>
      <c r="AC751" s="1699">
        <f>AC727-Z727</f>
        <v>160</v>
      </c>
      <c r="AD751" s="1699"/>
      <c r="AE751" s="1699"/>
      <c r="AF751" s="1699"/>
      <c r="AG751" s="1699"/>
      <c r="AH751" s="1699"/>
      <c r="AI751" s="1699"/>
      <c r="AJ751" s="2186"/>
      <c r="AK751" s="1699"/>
      <c r="AL751" s="1699"/>
      <c r="AM751" s="1699"/>
      <c r="AN751" s="1699"/>
      <c r="AO751" s="2186"/>
      <c r="AP751" s="1699"/>
      <c r="AQ751" s="1699"/>
      <c r="AR751" s="1699"/>
      <c r="AS751" s="1699"/>
      <c r="AT751" s="2186"/>
      <c r="AU751" s="1699"/>
      <c r="AV751" s="1699"/>
      <c r="AW751" s="1699"/>
      <c r="AX751" s="1699"/>
      <c r="AY751" s="2186"/>
      <c r="AZ751" s="1699"/>
      <c r="BA751" s="1699"/>
      <c r="BB751" s="1699"/>
      <c r="BC751" s="1293"/>
      <c r="BD751" s="2186"/>
      <c r="BE751" s="1699"/>
      <c r="BF751" s="1699"/>
      <c r="BG751" s="1699"/>
      <c r="BH751" s="1293"/>
      <c r="BI751" s="2186"/>
      <c r="BJ751" s="1699"/>
      <c r="BK751" s="1699"/>
      <c r="BL751" s="1699"/>
      <c r="BM751" s="1699"/>
      <c r="BN751" s="2186"/>
      <c r="BO751" s="1293"/>
      <c r="BP751" s="1293"/>
      <c r="BQ751" s="1293"/>
      <c r="BR751" s="1293"/>
      <c r="BS751" s="1293"/>
      <c r="BT751" s="1293"/>
      <c r="BU751" s="1293"/>
      <c r="BV751" s="1293"/>
      <c r="BW751" s="1293"/>
      <c r="BX751" s="1293"/>
      <c r="BY751" s="1293"/>
      <c r="BZ751" s="1293"/>
      <c r="CA751" s="1293"/>
      <c r="CB751" s="1293"/>
      <c r="CC751" s="1293"/>
      <c r="CD751" s="1293"/>
      <c r="CE751" s="1293"/>
      <c r="CF751" s="1293"/>
      <c r="CG751" s="1293"/>
      <c r="CH751" s="1293"/>
      <c r="CI751" s="1293"/>
      <c r="CJ751" s="1293"/>
      <c r="CK751" s="1293"/>
      <c r="CL751" s="1293"/>
      <c r="CM751" s="1293"/>
      <c r="CN751" s="1293"/>
      <c r="CO751" s="1293"/>
      <c r="CP751" s="1293"/>
      <c r="CQ751" s="1293"/>
      <c r="CR751" s="1293"/>
      <c r="CS751" s="1293"/>
      <c r="CT751" s="1293"/>
      <c r="CU751" s="1293"/>
      <c r="CV751" s="1293"/>
      <c r="CW751" s="1293"/>
      <c r="CX751" s="1293"/>
      <c r="CY751" s="2032"/>
      <c r="CZ751" s="1293"/>
      <c r="DA751" s="2042"/>
      <c r="DB751" s="2041"/>
      <c r="DC751" s="1293"/>
      <c r="DD751" s="1293"/>
      <c r="DE751" s="1293"/>
      <c r="DF751" s="1293"/>
      <c r="DG751" s="1293"/>
      <c r="DH751" s="1293"/>
      <c r="DI751" s="1293"/>
      <c r="DJ751" s="1293"/>
      <c r="DK751" s="1293"/>
      <c r="DL751" s="1293"/>
    </row>
    <row r="752" spans="1:116" ht="15.75">
      <c r="A752" s="1293"/>
      <c r="B752" s="1293" t="str">
        <f>B728</f>
        <v>Homes connected</v>
      </c>
      <c r="C752" s="1699"/>
      <c r="D752" s="1699">
        <f t="shared" si="602"/>
        <v>1.1019999999999754</v>
      </c>
      <c r="E752" s="1699">
        <f t="shared" si="602"/>
        <v>956.77800000000013</v>
      </c>
      <c r="F752" s="1699">
        <f t="shared" si="602"/>
        <v>25.932999999999993</v>
      </c>
      <c r="G752" s="2039"/>
      <c r="H752" s="1699">
        <f t="shared" si="603"/>
        <v>20.233000000000175</v>
      </c>
      <c r="I752" s="1699">
        <f t="shared" si="603"/>
        <v>29.642999999999802</v>
      </c>
      <c r="J752" s="1699">
        <f t="shared" si="603"/>
        <v>35.349671289586013</v>
      </c>
      <c r="K752" s="1699">
        <f t="shared" si="603"/>
        <v>70.531328710414073</v>
      </c>
      <c r="L752" s="2039"/>
      <c r="M752" s="1699">
        <f t="shared" si="604"/>
        <v>30.894999999999982</v>
      </c>
      <c r="N752" s="1699">
        <f t="shared" si="604"/>
        <v>25.480999999999767</v>
      </c>
      <c r="O752" s="1699">
        <f t="shared" si="604"/>
        <v>59.360000000000355</v>
      </c>
      <c r="P752" s="1699">
        <f t="shared" si="604"/>
        <v>37.68939842003897</v>
      </c>
      <c r="Q752" s="2039"/>
      <c r="R752" s="1699">
        <f t="shared" si="605"/>
        <v>62.599999999999909</v>
      </c>
      <c r="S752" s="1699">
        <f t="shared" si="605"/>
        <v>68.947999999999865</v>
      </c>
      <c r="T752" s="1699">
        <f t="shared" si="605"/>
        <v>70.052000000000135</v>
      </c>
      <c r="U752" s="1699">
        <f t="shared" si="605"/>
        <v>51.697999999999865</v>
      </c>
      <c r="V752" s="2080"/>
      <c r="W752" s="1699">
        <f t="shared" si="606"/>
        <v>91.300000000000182</v>
      </c>
      <c r="X752" s="1699">
        <f t="shared" si="606"/>
        <v>140</v>
      </c>
      <c r="Y752" s="1699">
        <f t="shared" si="606"/>
        <v>82</v>
      </c>
      <c r="Z752" s="1699">
        <f t="shared" si="606"/>
        <v>461</v>
      </c>
      <c r="AA752" s="2080"/>
      <c r="AB752" s="1699"/>
      <c r="AC752" s="1699">
        <f>AC728-Z728</f>
        <v>97</v>
      </c>
      <c r="AD752" s="1699"/>
      <c r="AE752" s="1699"/>
      <c r="AF752" s="1699"/>
      <c r="AG752" s="1699"/>
      <c r="AH752" s="1699"/>
      <c r="AI752" s="1699"/>
      <c r="AJ752" s="2186"/>
      <c r="AK752" s="1699"/>
      <c r="AL752" s="1699"/>
      <c r="AM752" s="1699"/>
      <c r="AN752" s="1699"/>
      <c r="AO752" s="2186"/>
      <c r="AP752" s="1699"/>
      <c r="AQ752" s="1699"/>
      <c r="AR752" s="1699"/>
      <c r="AS752" s="1699"/>
      <c r="AT752" s="2186"/>
      <c r="AU752" s="1699"/>
      <c r="AV752" s="1699"/>
      <c r="AW752" s="1699"/>
      <c r="AX752" s="1699"/>
      <c r="AY752" s="2186"/>
      <c r="AZ752" s="1699"/>
      <c r="BA752" s="1699"/>
      <c r="BB752" s="1699"/>
      <c r="BC752" s="1293"/>
      <c r="BD752" s="2186"/>
      <c r="BE752" s="1699"/>
      <c r="BF752" s="1699"/>
      <c r="BG752" s="1699"/>
      <c r="BH752" s="1293"/>
      <c r="BI752" s="2186"/>
      <c r="BJ752" s="1699"/>
      <c r="BK752" s="1699"/>
      <c r="BL752" s="1699"/>
      <c r="BM752" s="1699"/>
      <c r="BN752" s="2186"/>
      <c r="BO752" s="1293"/>
      <c r="BP752" s="1293"/>
      <c r="BQ752" s="1293"/>
      <c r="BR752" s="1293"/>
      <c r="BS752" s="1293"/>
      <c r="BT752" s="1293"/>
      <c r="BU752" s="1293"/>
      <c r="BV752" s="1293"/>
      <c r="BW752" s="1293"/>
      <c r="BX752" s="1293"/>
      <c r="BY752" s="1293"/>
      <c r="BZ752" s="1293"/>
      <c r="CA752" s="1293"/>
      <c r="CB752" s="1293"/>
      <c r="CC752" s="1293"/>
      <c r="CD752" s="1293"/>
      <c r="CE752" s="1293"/>
      <c r="CF752" s="1293"/>
      <c r="CG752" s="1293"/>
      <c r="CH752" s="1293"/>
      <c r="CI752" s="1293"/>
      <c r="CJ752" s="1293"/>
      <c r="CK752" s="1293"/>
      <c r="CL752" s="1293"/>
      <c r="CM752" s="1293"/>
      <c r="CN752" s="1293"/>
      <c r="CO752" s="1293"/>
      <c r="CP752" s="1293"/>
      <c r="CQ752" s="1293"/>
      <c r="CR752" s="1293"/>
      <c r="CS752" s="1293"/>
      <c r="CT752" s="1293"/>
      <c r="CU752" s="1293"/>
      <c r="CV752" s="1293"/>
      <c r="CW752" s="1293"/>
      <c r="CX752" s="1293"/>
      <c r="CY752" s="2032"/>
      <c r="CZ752" s="1293"/>
      <c r="DA752" s="2042"/>
      <c r="DB752" s="2041"/>
      <c r="DC752" s="1293"/>
      <c r="DD752" s="1293"/>
      <c r="DE752" s="1293"/>
      <c r="DF752" s="1293"/>
      <c r="DG752" s="1293"/>
      <c r="DH752" s="1293"/>
      <c r="DI752" s="1293"/>
      <c r="DJ752" s="1293"/>
      <c r="DK752" s="1293"/>
      <c r="DL752" s="1293"/>
    </row>
    <row r="753" spans="1:116" ht="15.75">
      <c r="A753" s="1293"/>
      <c r="B753" s="1293" t="str">
        <f>B730</f>
        <v>RGUs</v>
      </c>
      <c r="C753" s="1699"/>
      <c r="D753" s="1699">
        <f>D730-C730</f>
        <v>14.369999999999891</v>
      </c>
      <c r="E753" s="1699">
        <f>E730-D730</f>
        <v>1538.0080000000003</v>
      </c>
      <c r="F753" s="1699">
        <f>F730-E730</f>
        <v>127.32999999999993</v>
      </c>
      <c r="G753" s="2039"/>
      <c r="H753" s="1699">
        <f>H730-G730</f>
        <v>114.75199999999995</v>
      </c>
      <c r="I753" s="1699">
        <f>I730-H730</f>
        <v>50.621999999999844</v>
      </c>
      <c r="J753" s="1699">
        <f>J730-I730</f>
        <v>134.89400000000023</v>
      </c>
      <c r="K753" s="1699">
        <f>K730-J730</f>
        <v>171.32899999999972</v>
      </c>
      <c r="L753" s="2039"/>
      <c r="M753" s="1699">
        <f>M730-L730</f>
        <v>116.98199999999997</v>
      </c>
      <c r="N753" s="1699">
        <f>N730-M730</f>
        <v>109.67200000000048</v>
      </c>
      <c r="O753" s="1699">
        <f>O730-N730</f>
        <v>135.76199999999972</v>
      </c>
      <c r="P753" s="1699">
        <f>P730-O730</f>
        <v>87.643999999999778</v>
      </c>
      <c r="Q753" s="2039"/>
      <c r="R753" s="1699">
        <f>R730-Q730</f>
        <v>114.58800000000019</v>
      </c>
      <c r="S753" s="1699">
        <f>S730-R730</f>
        <v>174.09900000000016</v>
      </c>
      <c r="T753" s="1699">
        <f>T730-S730</f>
        <v>220.90099999999984</v>
      </c>
      <c r="U753" s="1699">
        <f>U730-T730</f>
        <v>163.17199999999957</v>
      </c>
      <c r="V753" s="2080"/>
      <c r="W753" s="1699">
        <f>W730-V730</f>
        <v>210.82800000000043</v>
      </c>
      <c r="X753" s="1699">
        <f>X730-W730</f>
        <v>265</v>
      </c>
      <c r="Y753" s="1699">
        <f>Y730-X730</f>
        <v>203</v>
      </c>
      <c r="Z753" s="1699">
        <f>Z730-Y730</f>
        <v>1157</v>
      </c>
      <c r="AA753" s="2080"/>
      <c r="AB753" s="1699"/>
      <c r="AC753" s="1699">
        <f>AC730-Z730</f>
        <v>120</v>
      </c>
      <c r="AD753" s="1699"/>
      <c r="AE753" s="1699"/>
      <c r="AF753" s="1699"/>
      <c r="AG753" s="1699"/>
      <c r="AH753" s="1699"/>
      <c r="AI753" s="1699"/>
      <c r="AJ753" s="2186"/>
      <c r="AK753" s="1699"/>
      <c r="AL753" s="1699"/>
      <c r="AM753" s="1699"/>
      <c r="AN753" s="1699"/>
      <c r="AO753" s="2186"/>
      <c r="AP753" s="1699"/>
      <c r="AQ753" s="1699"/>
      <c r="AR753" s="1699"/>
      <c r="AS753" s="1699"/>
      <c r="AT753" s="2186"/>
      <c r="AU753" s="1699"/>
      <c r="AV753" s="1699"/>
      <c r="AW753" s="1699"/>
      <c r="AX753" s="1699"/>
      <c r="AY753" s="2186"/>
      <c r="AZ753" s="1699"/>
      <c r="BA753" s="1699"/>
      <c r="BB753" s="1699"/>
      <c r="BC753" s="1293"/>
      <c r="BD753" s="2186"/>
      <c r="BE753" s="1699"/>
      <c r="BF753" s="1699"/>
      <c r="BG753" s="1699"/>
      <c r="BH753" s="1293"/>
      <c r="BI753" s="2186"/>
      <c r="BJ753" s="1699"/>
      <c r="BK753" s="1699"/>
      <c r="BL753" s="1699"/>
      <c r="BM753" s="1699"/>
      <c r="BN753" s="2186"/>
      <c r="BO753" s="1293"/>
      <c r="BP753" s="1293"/>
      <c r="BQ753" s="1293"/>
      <c r="BR753" s="1293"/>
      <c r="BS753" s="1293"/>
      <c r="BT753" s="1293"/>
      <c r="BU753" s="1293"/>
      <c r="BV753" s="1293"/>
      <c r="BW753" s="1293"/>
      <c r="BX753" s="1293"/>
      <c r="BY753" s="1293"/>
      <c r="BZ753" s="1293"/>
      <c r="CA753" s="1293"/>
      <c r="CB753" s="1293"/>
      <c r="CC753" s="1293"/>
      <c r="CD753" s="1293"/>
      <c r="CE753" s="1293"/>
      <c r="CF753" s="1293"/>
      <c r="CG753" s="1293"/>
      <c r="CH753" s="1293"/>
      <c r="CI753" s="1293"/>
      <c r="CJ753" s="1293"/>
      <c r="CK753" s="1293"/>
      <c r="CL753" s="1293"/>
      <c r="CM753" s="1293"/>
      <c r="CN753" s="1293"/>
      <c r="CO753" s="1293"/>
      <c r="CP753" s="1293"/>
      <c r="CQ753" s="1293"/>
      <c r="CR753" s="1293"/>
      <c r="CS753" s="1293"/>
      <c r="CT753" s="1293"/>
      <c r="CU753" s="1293"/>
      <c r="CV753" s="1293"/>
      <c r="CW753" s="1293"/>
      <c r="CX753" s="1293"/>
      <c r="CY753" s="2032"/>
      <c r="CZ753" s="1293"/>
      <c r="DA753" s="2042"/>
      <c r="DB753" s="2041"/>
      <c r="DC753" s="1293"/>
      <c r="DD753" s="1293"/>
      <c r="DE753" s="1293"/>
      <c r="DF753" s="1293"/>
      <c r="DG753" s="1293"/>
      <c r="DH753" s="1293"/>
      <c r="DI753" s="1293"/>
      <c r="DJ753" s="1293"/>
      <c r="DK753" s="1293"/>
      <c r="DL753" s="1293"/>
    </row>
    <row r="754" spans="1:116" ht="15.75">
      <c r="A754" s="1293"/>
      <c r="B754" s="1293"/>
      <c r="C754" s="1699"/>
      <c r="D754" s="1699"/>
      <c r="E754" s="1699"/>
      <c r="F754" s="1699"/>
      <c r="G754" s="2039"/>
      <c r="H754" s="1699"/>
      <c r="I754" s="1699"/>
      <c r="J754" s="1699"/>
      <c r="K754" s="1699"/>
      <c r="L754" s="2039"/>
      <c r="M754" s="1997">
        <v>10</v>
      </c>
      <c r="N754" s="1997">
        <f>20-M754</f>
        <v>10</v>
      </c>
      <c r="O754" s="1724">
        <f>SUM(M754:N754)/SUM(M752:N752)</f>
        <v>0.35476089115936016</v>
      </c>
      <c r="P754" s="1699"/>
      <c r="Q754" s="2039"/>
      <c r="R754" s="1997">
        <v>30</v>
      </c>
      <c r="S754" s="1997">
        <f>56-R754</f>
        <v>26</v>
      </c>
      <c r="T754" s="1997"/>
      <c r="U754" s="1997"/>
      <c r="V754" s="2080"/>
      <c r="W754" s="1997"/>
      <c r="X754" s="1997"/>
      <c r="Y754" s="1997"/>
      <c r="Z754" s="1997"/>
      <c r="AA754" s="2080"/>
      <c r="AB754" s="1997"/>
      <c r="AC754" s="1997"/>
      <c r="AD754" s="1997"/>
      <c r="AE754" s="1997"/>
      <c r="AF754" s="1997"/>
      <c r="AG754" s="1997"/>
      <c r="AH754" s="1997"/>
      <c r="AI754" s="1997"/>
      <c r="AJ754" s="2186"/>
      <c r="AK754" s="1997"/>
      <c r="AL754" s="1997"/>
      <c r="AM754" s="1997"/>
      <c r="AN754" s="1997"/>
      <c r="AO754" s="2186"/>
      <c r="AP754" s="1997"/>
      <c r="AQ754" s="1997"/>
      <c r="AR754" s="1997"/>
      <c r="AS754" s="1997"/>
      <c r="AT754" s="2186"/>
      <c r="AU754" s="1997"/>
      <c r="AV754" s="1997"/>
      <c r="AW754" s="1997"/>
      <c r="AX754" s="1997"/>
      <c r="AY754" s="2186"/>
      <c r="AZ754" s="1997"/>
      <c r="BA754" s="1997"/>
      <c r="BB754" s="1997"/>
      <c r="BC754" s="1293"/>
      <c r="BD754" s="2186"/>
      <c r="BE754" s="1997"/>
      <c r="BF754" s="1997"/>
      <c r="BG754" s="1997"/>
      <c r="BH754" s="1293"/>
      <c r="BI754" s="2186"/>
      <c r="BJ754" s="1997"/>
      <c r="BK754" s="1997"/>
      <c r="BL754" s="1997"/>
      <c r="BM754" s="1997"/>
      <c r="BN754" s="2186"/>
      <c r="BO754" s="1293"/>
      <c r="BP754" s="1293"/>
      <c r="BQ754" s="1293"/>
      <c r="BR754" s="1293"/>
      <c r="BS754" s="1293"/>
      <c r="BT754" s="1293"/>
      <c r="BU754" s="1293"/>
      <c r="BV754" s="1293"/>
      <c r="BW754" s="1293"/>
      <c r="BX754" s="1293"/>
      <c r="BY754" s="1293"/>
      <c r="BZ754" s="1293"/>
      <c r="CA754" s="1293"/>
      <c r="CB754" s="1293"/>
      <c r="CC754" s="1293"/>
      <c r="CD754" s="1293"/>
      <c r="CE754" s="1293"/>
      <c r="CF754" s="1293"/>
      <c r="CG754" s="1293"/>
      <c r="CH754" s="1293"/>
      <c r="CI754" s="1293"/>
      <c r="CJ754" s="1293"/>
      <c r="CK754" s="1293"/>
      <c r="CL754" s="1293"/>
      <c r="CM754" s="1293"/>
      <c r="CN754" s="1293"/>
      <c r="CO754" s="1293"/>
      <c r="CP754" s="1293"/>
      <c r="CQ754" s="1293"/>
      <c r="CR754" s="1293"/>
      <c r="CS754" s="1293"/>
      <c r="CT754" s="1293"/>
      <c r="CU754" s="1293"/>
      <c r="CV754" s="1293"/>
      <c r="CW754" s="1293"/>
      <c r="CX754" s="1293"/>
      <c r="CY754" s="2032"/>
      <c r="CZ754" s="1293"/>
      <c r="DA754" s="2110"/>
      <c r="DB754" s="2111"/>
      <c r="DC754" s="1293"/>
      <c r="DD754" s="1293"/>
      <c r="DE754" s="1293"/>
      <c r="DF754" s="1293"/>
      <c r="DG754" s="1293"/>
      <c r="DH754" s="1293"/>
      <c r="DI754" s="1293"/>
      <c r="DJ754" s="1293"/>
      <c r="DK754" s="1293"/>
      <c r="DL754" s="1293"/>
    </row>
    <row r="755" spans="1:116" ht="15.75">
      <c r="A755" s="1293"/>
      <c r="B755" s="1293" t="str">
        <f>B736</f>
        <v>Implied DSL, DTH</v>
      </c>
      <c r="C755" s="1699"/>
      <c r="D755" s="1699"/>
      <c r="E755" s="1699"/>
      <c r="F755" s="1699"/>
      <c r="G755" s="2039"/>
      <c r="H755" s="1699"/>
      <c r="I755" s="1699"/>
      <c r="J755" s="1699"/>
      <c r="K755" s="1699"/>
      <c r="L755" s="2039"/>
      <c r="M755" s="1699"/>
      <c r="N755" s="1699"/>
      <c r="O755" s="1699"/>
      <c r="P755" s="1699"/>
      <c r="Q755" s="2039"/>
      <c r="R755" s="1699"/>
      <c r="S755" s="1699"/>
      <c r="T755" s="1699"/>
      <c r="U755" s="1699"/>
      <c r="V755" s="2080"/>
      <c r="W755" s="1699"/>
      <c r="X755" s="1699"/>
      <c r="Y755" s="1699"/>
      <c r="Z755" s="1699"/>
      <c r="AA755" s="2080"/>
      <c r="AB755" s="1699"/>
      <c r="AC755" s="1699"/>
      <c r="AD755" s="1699"/>
      <c r="AE755" s="1699"/>
      <c r="AF755" s="1699"/>
      <c r="AG755" s="1699"/>
      <c r="AH755" s="1699"/>
      <c r="AI755" s="1699"/>
      <c r="AJ755" s="2186"/>
      <c r="AK755" s="1699"/>
      <c r="AL755" s="1699"/>
      <c r="AM755" s="1699"/>
      <c r="AN755" s="1699"/>
      <c r="AO755" s="2186"/>
      <c r="AP755" s="1699"/>
      <c r="AQ755" s="1699"/>
      <c r="AR755" s="1699"/>
      <c r="AS755" s="1699"/>
      <c r="AT755" s="2186"/>
      <c r="AU755" s="1699"/>
      <c r="AV755" s="1699"/>
      <c r="AW755" s="1699"/>
      <c r="AX755" s="1699"/>
      <c r="AY755" s="2186"/>
      <c r="AZ755" s="1699"/>
      <c r="BA755" s="1699"/>
      <c r="BB755" s="1699"/>
      <c r="BC755" s="1293"/>
      <c r="BD755" s="2186"/>
      <c r="BE755" s="1699"/>
      <c r="BF755" s="1699"/>
      <c r="BG755" s="1699"/>
      <c r="BH755" s="1293"/>
      <c r="BI755" s="2186"/>
      <c r="BJ755" s="1699"/>
      <c r="BK755" s="1699"/>
      <c r="BL755" s="1699"/>
      <c r="BM755" s="1699"/>
      <c r="BN755" s="2186"/>
      <c r="BO755" s="1293"/>
      <c r="BP755" s="1293"/>
      <c r="BQ755" s="1293"/>
      <c r="BR755" s="1293"/>
      <c r="BS755" s="1293"/>
      <c r="BT755" s="1293"/>
      <c r="BU755" s="1293"/>
      <c r="BV755" s="1293"/>
      <c r="BW755" s="1293"/>
      <c r="BX755" s="1293"/>
      <c r="BY755" s="1293"/>
      <c r="BZ755" s="1293"/>
      <c r="CA755" s="1293"/>
      <c r="CB755" s="1293"/>
      <c r="CC755" s="1293"/>
      <c r="CD755" s="1293"/>
      <c r="CE755" s="1293"/>
      <c r="CF755" s="1293"/>
      <c r="CG755" s="1293"/>
      <c r="CH755" s="1293"/>
      <c r="CI755" s="1293"/>
      <c r="CJ755" s="1293"/>
      <c r="CK755" s="1293"/>
      <c r="CL755" s="1293"/>
      <c r="CM755" s="1293"/>
      <c r="CN755" s="1293"/>
      <c r="CO755" s="1293"/>
      <c r="CP755" s="1293"/>
      <c r="CQ755" s="1293"/>
      <c r="CR755" s="1293"/>
      <c r="CS755" s="1293"/>
      <c r="CT755" s="1293"/>
      <c r="CU755" s="1293"/>
      <c r="CV755" s="1293"/>
      <c r="CW755" s="1293"/>
      <c r="CX755" s="1293"/>
      <c r="CY755" s="2032"/>
      <c r="CZ755" s="1293"/>
      <c r="DA755" s="2042"/>
      <c r="DB755" s="2041"/>
      <c r="DC755" s="1293"/>
      <c r="DD755" s="1293"/>
      <c r="DE755" s="1293"/>
      <c r="DF755" s="1293"/>
      <c r="DG755" s="1293"/>
      <c r="DH755" s="1293"/>
      <c r="DI755" s="1293"/>
      <c r="DJ755" s="1293"/>
      <c r="DK755" s="1293"/>
      <c r="DL755" s="1293"/>
    </row>
    <row r="756" spans="1:116" ht="15.75">
      <c r="A756" s="1293"/>
      <c r="B756" s="1293" t="str">
        <f>B737</f>
        <v>Homes passed</v>
      </c>
      <c r="C756" s="1699"/>
      <c r="D756" s="1699">
        <f t="shared" ref="D756:F758" si="607">D737-C737</f>
        <v>-36.799999999999955</v>
      </c>
      <c r="E756" s="1699">
        <f t="shared" si="607"/>
        <v>676.30165002813646</v>
      </c>
      <c r="F756" s="1699">
        <f t="shared" si="607"/>
        <v>-27.073072799273632</v>
      </c>
      <c r="G756" s="2039"/>
      <c r="H756" s="1699">
        <f t="shared" ref="H756:K758" si="608">H737-G737</f>
        <v>-28.919077228862989</v>
      </c>
      <c r="I756" s="1699">
        <f t="shared" si="608"/>
        <v>-26.225759999999809</v>
      </c>
      <c r="J756" s="1699">
        <f t="shared" si="608"/>
        <v>-61.739999999999782</v>
      </c>
      <c r="K756" s="1699">
        <f t="shared" si="608"/>
        <v>-64.596000000000004</v>
      </c>
      <c r="L756" s="2039"/>
      <c r="M756" s="1699">
        <f t="shared" ref="M756:P758" si="609">M737-L737</f>
        <v>-48.551740000000336</v>
      </c>
      <c r="N756" s="1699">
        <f t="shared" si="609"/>
        <v>-86.726999999999862</v>
      </c>
      <c r="O756" s="1699">
        <f t="shared" si="609"/>
        <v>-54.373000000000502</v>
      </c>
      <c r="P756" s="1699">
        <f t="shared" si="609"/>
        <v>-101.05400000000009</v>
      </c>
      <c r="Q756" s="2039"/>
      <c r="R756" s="1699">
        <f t="shared" ref="R756:S758" si="610">R737-Q737</f>
        <v>-85</v>
      </c>
      <c r="S756" s="1699">
        <f t="shared" si="610"/>
        <v>-137.00999999999931</v>
      </c>
      <c r="T756" s="1699"/>
      <c r="U756" s="1699"/>
      <c r="V756" s="2080"/>
      <c r="W756" s="1699"/>
      <c r="X756" s="1699"/>
      <c r="Y756" s="1699"/>
      <c r="Z756" s="1699"/>
      <c r="AA756" s="2080"/>
      <c r="AB756" s="1699"/>
      <c r="AC756" s="1699"/>
      <c r="AD756" s="1699"/>
      <c r="AE756" s="1699"/>
      <c r="AF756" s="1699"/>
      <c r="AG756" s="1699"/>
      <c r="AH756" s="1699"/>
      <c r="AI756" s="1699"/>
      <c r="AJ756" s="2186"/>
      <c r="AK756" s="1699"/>
      <c r="AL756" s="1699"/>
      <c r="AM756" s="1699"/>
      <c r="AN756" s="1699"/>
      <c r="AO756" s="2186"/>
      <c r="AP756" s="1699"/>
      <c r="AQ756" s="1699"/>
      <c r="AR756" s="1699"/>
      <c r="AS756" s="1699"/>
      <c r="AT756" s="2186"/>
      <c r="AU756" s="1699"/>
      <c r="AV756" s="1699"/>
      <c r="AW756" s="1699"/>
      <c r="AX756" s="1699"/>
      <c r="AY756" s="2186"/>
      <c r="AZ756" s="1699"/>
      <c r="BA756" s="1699"/>
      <c r="BB756" s="1699"/>
      <c r="BC756" s="1293"/>
      <c r="BD756" s="2186"/>
      <c r="BE756" s="1699"/>
      <c r="BF756" s="1699"/>
      <c r="BG756" s="1699"/>
      <c r="BH756" s="1293"/>
      <c r="BI756" s="2186"/>
      <c r="BJ756" s="1699"/>
      <c r="BK756" s="1699"/>
      <c r="BL756" s="1699"/>
      <c r="BM756" s="1699"/>
      <c r="BN756" s="2186"/>
      <c r="BO756" s="1293"/>
      <c r="BP756" s="1293"/>
      <c r="BQ756" s="1293"/>
      <c r="BR756" s="1293"/>
      <c r="BS756" s="1293"/>
      <c r="BT756" s="1293"/>
      <c r="BU756" s="1293"/>
      <c r="BV756" s="1293"/>
      <c r="BW756" s="1293"/>
      <c r="BX756" s="1293"/>
      <c r="BY756" s="1293"/>
      <c r="BZ756" s="1293"/>
      <c r="CA756" s="1293"/>
      <c r="CB756" s="1293"/>
      <c r="CC756" s="1293"/>
      <c r="CD756" s="1293"/>
      <c r="CE756" s="1293"/>
      <c r="CF756" s="1293"/>
      <c r="CG756" s="1293"/>
      <c r="CH756" s="1293"/>
      <c r="CI756" s="1293"/>
      <c r="CJ756" s="1293"/>
      <c r="CK756" s="1293"/>
      <c r="CL756" s="1293"/>
      <c r="CM756" s="1293"/>
      <c r="CN756" s="1293"/>
      <c r="CO756" s="1293"/>
      <c r="CP756" s="1293"/>
      <c r="CQ756" s="1293"/>
      <c r="CR756" s="1293"/>
      <c r="CS756" s="1293"/>
      <c r="CT756" s="1293"/>
      <c r="CU756" s="1293"/>
      <c r="CV756" s="1293"/>
      <c r="CW756" s="1293"/>
      <c r="CX756" s="1293"/>
      <c r="CY756" s="2032"/>
      <c r="CZ756" s="1293"/>
      <c r="DA756" s="2042"/>
      <c r="DB756" s="2041"/>
      <c r="DC756" s="1293"/>
      <c r="DD756" s="1293"/>
      <c r="DE756" s="1293"/>
      <c r="DF756" s="1293"/>
      <c r="DG756" s="1293"/>
      <c r="DH756" s="1293"/>
      <c r="DI756" s="1293"/>
      <c r="DJ756" s="1293"/>
      <c r="DK756" s="1293"/>
      <c r="DL756" s="1293"/>
    </row>
    <row r="757" spans="1:116" ht="15.75">
      <c r="A757" s="1293"/>
      <c r="B757" s="1293" t="str">
        <f>B738</f>
        <v>Homes connected</v>
      </c>
      <c r="C757" s="1293"/>
      <c r="D757" s="1699">
        <f t="shared" si="607"/>
        <v>16.37399999999991</v>
      </c>
      <c r="E757" s="1699">
        <f t="shared" si="607"/>
        <v>901.4319999999999</v>
      </c>
      <c r="F757" s="1699">
        <f t="shared" si="607"/>
        <v>12.26700000000028</v>
      </c>
      <c r="G757" s="2039"/>
      <c r="H757" s="1699">
        <f t="shared" si="608"/>
        <v>13.058999999999742</v>
      </c>
      <c r="I757" s="1699">
        <f t="shared" si="608"/>
        <v>17.494000000000142</v>
      </c>
      <c r="J757" s="1699">
        <f t="shared" si="608"/>
        <v>-35.729000000000269</v>
      </c>
      <c r="K757" s="1699">
        <f t="shared" si="608"/>
        <v>-11.631999999999607</v>
      </c>
      <c r="L757" s="2039"/>
      <c r="M757" s="1699">
        <f t="shared" si="609"/>
        <v>-30.570000000000391</v>
      </c>
      <c r="N757" s="1699">
        <f t="shared" si="609"/>
        <v>-28.759999999999536</v>
      </c>
      <c r="O757" s="1699">
        <f t="shared" si="609"/>
        <v>-5.4600000000002638</v>
      </c>
      <c r="P757" s="1699">
        <f t="shared" si="609"/>
        <v>-9.3299999999990177</v>
      </c>
      <c r="Q757" s="2039"/>
      <c r="R757" s="1699">
        <f t="shared" si="610"/>
        <v>-42.299999999999727</v>
      </c>
      <c r="S757" s="1699">
        <f t="shared" si="610"/>
        <v>-19.241999999999734</v>
      </c>
      <c r="T757" s="1699"/>
      <c r="U757" s="1699"/>
      <c r="V757" s="2080"/>
      <c r="W757" s="1699"/>
      <c r="X757" s="1699"/>
      <c r="Y757" s="1699"/>
      <c r="Z757" s="1699"/>
      <c r="AA757" s="2080"/>
      <c r="AB757" s="1699"/>
      <c r="AC757" s="1699"/>
      <c r="AD757" s="1699"/>
      <c r="AE757" s="1699"/>
      <c r="AF757" s="1699"/>
      <c r="AG757" s="1699"/>
      <c r="AH757" s="1699"/>
      <c r="AI757" s="1699"/>
      <c r="AJ757" s="2186"/>
      <c r="AK757" s="1699"/>
      <c r="AL757" s="1699"/>
      <c r="AM757" s="1699"/>
      <c r="AN757" s="1699"/>
      <c r="AO757" s="2186"/>
      <c r="AP757" s="1699"/>
      <c r="AQ757" s="1699"/>
      <c r="AR757" s="1699"/>
      <c r="AS757" s="1699"/>
      <c r="AT757" s="2186"/>
      <c r="AU757" s="1699"/>
      <c r="AV757" s="1699"/>
      <c r="AW757" s="1699"/>
      <c r="AX757" s="1699"/>
      <c r="AY757" s="2186"/>
      <c r="AZ757" s="1699"/>
      <c r="BA757" s="1699"/>
      <c r="BB757" s="1699"/>
      <c r="BC757" s="1293"/>
      <c r="BD757" s="2186"/>
      <c r="BE757" s="1699"/>
      <c r="BF757" s="1699"/>
      <c r="BG757" s="1699"/>
      <c r="BH757" s="1293"/>
      <c r="BI757" s="2186"/>
      <c r="BJ757" s="1699"/>
      <c r="BK757" s="1699"/>
      <c r="BL757" s="1699"/>
      <c r="BM757" s="1699"/>
      <c r="BN757" s="2186"/>
      <c r="BO757" s="1293"/>
      <c r="BP757" s="1293"/>
      <c r="BQ757" s="1293"/>
      <c r="BR757" s="1293"/>
      <c r="BS757" s="1293"/>
      <c r="BT757" s="1293"/>
      <c r="BU757" s="1293"/>
      <c r="BV757" s="1293"/>
      <c r="BW757" s="1293"/>
      <c r="BX757" s="1293"/>
      <c r="BY757" s="1293"/>
      <c r="BZ757" s="1293"/>
      <c r="CA757" s="1293"/>
      <c r="CB757" s="1293"/>
      <c r="CC757" s="1293"/>
      <c r="CD757" s="1293"/>
      <c r="CE757" s="1293"/>
      <c r="CF757" s="1293"/>
      <c r="CG757" s="1293"/>
      <c r="CH757" s="1293"/>
      <c r="CI757" s="1293"/>
      <c r="CJ757" s="1293"/>
      <c r="CK757" s="1293"/>
      <c r="CL757" s="1293"/>
      <c r="CM757" s="1293"/>
      <c r="CN757" s="1293"/>
      <c r="CO757" s="1293"/>
      <c r="CP757" s="1293"/>
      <c r="CQ757" s="1293"/>
      <c r="CR757" s="1293"/>
      <c r="CS757" s="1293"/>
      <c r="CT757" s="1293"/>
      <c r="CU757" s="1293"/>
      <c r="CV757" s="1293"/>
      <c r="CW757" s="1293"/>
      <c r="CX757" s="1293"/>
      <c r="CY757" s="2032"/>
      <c r="CZ757" s="1293"/>
      <c r="DA757" s="2042"/>
      <c r="DB757" s="2041"/>
      <c r="DC757" s="1293"/>
      <c r="DD757" s="1293"/>
      <c r="DE757" s="1293"/>
      <c r="DF757" s="1293"/>
      <c r="DG757" s="1293"/>
      <c r="DH757" s="1293"/>
      <c r="DI757" s="1293"/>
      <c r="DJ757" s="1293"/>
      <c r="DK757" s="1293"/>
      <c r="DL757" s="1293"/>
    </row>
    <row r="758" spans="1:116" ht="15.75">
      <c r="A758" s="1293"/>
      <c r="B758" s="1293" t="str">
        <f>B739</f>
        <v>RGUs</v>
      </c>
      <c r="C758" s="1293"/>
      <c r="D758" s="1699">
        <f t="shared" si="607"/>
        <v>11.660000000000082</v>
      </c>
      <c r="E758" s="1699">
        <f t="shared" si="607"/>
        <v>2087.9140000000002</v>
      </c>
      <c r="F758" s="1699">
        <f t="shared" si="607"/>
        <v>-6.6110000000007858</v>
      </c>
      <c r="G758" s="2039"/>
      <c r="H758" s="1699">
        <f t="shared" si="608"/>
        <v>-26.968999999999596</v>
      </c>
      <c r="I758" s="1699">
        <f t="shared" si="608"/>
        <v>9.8930000000000291</v>
      </c>
      <c r="J758" s="1699">
        <f t="shared" si="608"/>
        <v>-123.17399999999952</v>
      </c>
      <c r="K758" s="1699">
        <f t="shared" si="608"/>
        <v>-28.431999999999789</v>
      </c>
      <c r="L758" s="2039"/>
      <c r="M758" s="1699">
        <f t="shared" si="609"/>
        <v>-86.60700000000088</v>
      </c>
      <c r="N758" s="1699">
        <f t="shared" si="609"/>
        <v>-68.499999999999773</v>
      </c>
      <c r="O758" s="1699">
        <f t="shared" si="609"/>
        <v>-41.58400000000006</v>
      </c>
      <c r="P758" s="1699">
        <f t="shared" si="609"/>
        <v>-58.721999999999753</v>
      </c>
      <c r="Q758" s="2039"/>
      <c r="R758" s="1699">
        <f t="shared" si="610"/>
        <v>-167.29999999999973</v>
      </c>
      <c r="S758" s="1699">
        <f t="shared" si="610"/>
        <v>-44.636000000000422</v>
      </c>
      <c r="T758" s="1699"/>
      <c r="U758" s="1699"/>
      <c r="V758" s="2080"/>
      <c r="W758" s="1699"/>
      <c r="X758" s="1699"/>
      <c r="Y758" s="1699"/>
      <c r="Z758" s="1699"/>
      <c r="AA758" s="2080"/>
      <c r="AB758" s="1699"/>
      <c r="AC758" s="1699"/>
      <c r="AD758" s="1699"/>
      <c r="AE758" s="1699"/>
      <c r="AF758" s="1699"/>
      <c r="AG758" s="1699"/>
      <c r="AH758" s="1699"/>
      <c r="AI758" s="1699"/>
      <c r="AJ758" s="2186"/>
      <c r="AK758" s="1699"/>
      <c r="AL758" s="1699"/>
      <c r="AM758" s="1699"/>
      <c r="AN758" s="1699"/>
      <c r="AO758" s="2186"/>
      <c r="AP758" s="1699"/>
      <c r="AQ758" s="1699"/>
      <c r="AR758" s="1699"/>
      <c r="AS758" s="1699"/>
      <c r="AT758" s="2186"/>
      <c r="AU758" s="1699"/>
      <c r="AV758" s="1699"/>
      <c r="AW758" s="1699"/>
      <c r="AX758" s="1699"/>
      <c r="AY758" s="2186"/>
      <c r="AZ758" s="1699"/>
      <c r="BA758" s="1699"/>
      <c r="BB758" s="1699"/>
      <c r="BC758" s="1293"/>
      <c r="BD758" s="2186"/>
      <c r="BE758" s="1699"/>
      <c r="BF758" s="1699"/>
      <c r="BG758" s="1699"/>
      <c r="BH758" s="1293"/>
      <c r="BI758" s="2186"/>
      <c r="BJ758" s="1699"/>
      <c r="BK758" s="1699"/>
      <c r="BL758" s="1699"/>
      <c r="BM758" s="1699"/>
      <c r="BN758" s="2186"/>
      <c r="BO758" s="1293"/>
      <c r="BP758" s="1293"/>
      <c r="BQ758" s="1293"/>
      <c r="BR758" s="1293"/>
      <c r="BS758" s="1293"/>
      <c r="BT758" s="1293"/>
      <c r="BU758" s="1293"/>
      <c r="BV758" s="1293"/>
      <c r="BW758" s="1293"/>
      <c r="BX758" s="1293"/>
      <c r="BY758" s="1293"/>
      <c r="BZ758" s="1293"/>
      <c r="CA758" s="1293"/>
      <c r="CB758" s="1293"/>
      <c r="CC758" s="1293"/>
      <c r="CD758" s="1293"/>
      <c r="CE758" s="1293"/>
      <c r="CF758" s="1293"/>
      <c r="CG758" s="1293"/>
      <c r="CH758" s="1293"/>
      <c r="CI758" s="1293"/>
      <c r="CJ758" s="1293"/>
      <c r="CK758" s="1293"/>
      <c r="CL758" s="1293"/>
      <c r="CM758" s="1293"/>
      <c r="CN758" s="1293"/>
      <c r="CO758" s="1293"/>
      <c r="CP758" s="1293"/>
      <c r="CQ758" s="1293"/>
      <c r="CR758" s="1293"/>
      <c r="CS758" s="1293"/>
      <c r="CT758" s="1293"/>
      <c r="CU758" s="1293"/>
      <c r="CV758" s="1293"/>
      <c r="CW758" s="1293"/>
      <c r="CX758" s="1293"/>
      <c r="CY758" s="2032"/>
      <c r="CZ758" s="1293"/>
      <c r="DA758" s="2042"/>
      <c r="DB758" s="2041"/>
      <c r="DC758" s="1293"/>
      <c r="DD758" s="1293"/>
      <c r="DE758" s="1293"/>
      <c r="DF758" s="1293"/>
      <c r="DG758" s="1293"/>
      <c r="DH758" s="1293"/>
      <c r="DI758" s="1293"/>
      <c r="DJ758" s="1293"/>
      <c r="DK758" s="1293"/>
      <c r="DL758" s="1293"/>
    </row>
    <row r="759" spans="1:116" ht="15.75">
      <c r="A759" s="1293"/>
      <c r="B759" s="1293"/>
      <c r="C759" s="1293"/>
      <c r="D759" s="1293"/>
      <c r="E759" s="1293"/>
      <c r="F759" s="1293"/>
      <c r="G759" s="2080"/>
      <c r="H759" s="1293"/>
      <c r="I759" s="1293"/>
      <c r="J759" s="1293"/>
      <c r="K759" s="1293"/>
      <c r="L759" s="2080"/>
      <c r="M759" s="1293"/>
      <c r="N759" s="1293"/>
      <c r="O759" s="1293"/>
      <c r="P759" s="1293"/>
      <c r="Q759" s="2080"/>
      <c r="R759" s="1293"/>
      <c r="S759" s="1293"/>
      <c r="T759" s="1293"/>
      <c r="U759" s="1293"/>
      <c r="V759" s="2080"/>
      <c r="W759" s="1293"/>
      <c r="X759" s="1293"/>
      <c r="Y759" s="1293"/>
      <c r="Z759" s="1293"/>
      <c r="AA759" s="2080"/>
      <c r="AB759" s="1293"/>
      <c r="AC759" s="1293"/>
      <c r="AD759" s="1293"/>
      <c r="AE759" s="1293"/>
      <c r="AF759" s="1293"/>
      <c r="AG759" s="1293"/>
      <c r="AH759" s="1293"/>
      <c r="AI759" s="1293"/>
      <c r="AJ759" s="2186"/>
      <c r="AK759" s="1293"/>
      <c r="AL759" s="1293"/>
      <c r="AM759" s="1293"/>
      <c r="AN759" s="1293"/>
      <c r="AO759" s="2186"/>
      <c r="AP759" s="1293"/>
      <c r="AQ759" s="1293"/>
      <c r="AR759" s="1293"/>
      <c r="AS759" s="1293"/>
      <c r="AT759" s="2186"/>
      <c r="AU759" s="1293"/>
      <c r="AV759" s="1293"/>
      <c r="AW759" s="1293"/>
      <c r="AX759" s="1293"/>
      <c r="AY759" s="2186"/>
      <c r="AZ759" s="1293"/>
      <c r="BA759" s="1293"/>
      <c r="BB759" s="1293"/>
      <c r="BC759" s="1293"/>
      <c r="BD759" s="2186"/>
      <c r="BE759" s="1293"/>
      <c r="BF759" s="1293"/>
      <c r="BG759" s="1293"/>
      <c r="BH759" s="1293"/>
      <c r="BI759" s="2186"/>
      <c r="BJ759" s="1293"/>
      <c r="BK759" s="1293"/>
      <c r="BL759" s="1293"/>
      <c r="BM759" s="1293"/>
      <c r="BN759" s="2186"/>
      <c r="BO759" s="1293"/>
      <c r="BP759" s="1293"/>
      <c r="BQ759" s="1293"/>
      <c r="BR759" s="1293"/>
      <c r="BS759" s="1293"/>
      <c r="BT759" s="1293"/>
      <c r="BU759" s="1293"/>
      <c r="BV759" s="1293"/>
      <c r="BW759" s="1293"/>
      <c r="BX759" s="1293"/>
      <c r="BY759" s="1293"/>
      <c r="BZ759" s="1293"/>
      <c r="CA759" s="1293"/>
      <c r="CB759" s="1293"/>
      <c r="CC759" s="1293"/>
      <c r="CD759" s="1293"/>
      <c r="CE759" s="1293"/>
      <c r="CF759" s="1293"/>
      <c r="CG759" s="1293"/>
      <c r="CH759" s="1293"/>
      <c r="CI759" s="1293"/>
      <c r="CJ759" s="1293"/>
      <c r="CK759" s="1293"/>
      <c r="CL759" s="1293"/>
      <c r="CM759" s="1293"/>
      <c r="CN759" s="1293"/>
      <c r="CO759" s="1293"/>
      <c r="CP759" s="1293"/>
      <c r="CQ759" s="1293"/>
      <c r="CR759" s="1293"/>
      <c r="CS759" s="1293"/>
      <c r="CT759" s="1293"/>
      <c r="CU759" s="1293"/>
      <c r="CV759" s="1293"/>
      <c r="CW759" s="1293"/>
      <c r="CX759" s="1293"/>
      <c r="CY759" s="2032"/>
      <c r="CZ759" s="1293"/>
      <c r="DA759" s="2031"/>
      <c r="DB759" s="2032"/>
      <c r="DC759" s="1293"/>
      <c r="DD759" s="1293"/>
      <c r="DE759" s="1293"/>
      <c r="DF759" s="1293"/>
      <c r="DG759" s="1293"/>
      <c r="DH759" s="1293"/>
      <c r="DI759" s="1293"/>
      <c r="DJ759" s="1293"/>
      <c r="DK759" s="1293"/>
      <c r="DL759" s="1293"/>
    </row>
    <row r="760" spans="1:116" ht="15.75">
      <c r="A760" s="1293"/>
      <c r="B760" s="1293"/>
      <c r="C760" s="1293"/>
      <c r="D760" s="1293"/>
      <c r="E760" s="1293"/>
      <c r="F760" s="1293"/>
      <c r="G760" s="2080"/>
      <c r="H760" s="1293"/>
      <c r="I760" s="1293"/>
      <c r="J760" s="1293"/>
      <c r="K760" s="1293"/>
      <c r="L760" s="2080"/>
      <c r="M760" s="1293"/>
      <c r="N760" s="1293"/>
      <c r="O760" s="1293"/>
      <c r="P760" s="1293"/>
      <c r="Q760" s="2080"/>
      <c r="R760" s="1293"/>
      <c r="S760" s="1293"/>
      <c r="T760" s="1293"/>
      <c r="U760" s="1293"/>
      <c r="V760" s="2080"/>
      <c r="W760" s="1293"/>
      <c r="X760" s="1293"/>
      <c r="Y760" s="1293"/>
      <c r="Z760" s="1293"/>
      <c r="AA760" s="2080"/>
      <c r="AB760" s="1293"/>
      <c r="AC760" s="1293"/>
      <c r="AD760" s="1293"/>
      <c r="AE760" s="1293"/>
      <c r="AF760" s="1293"/>
      <c r="AG760" s="1293"/>
      <c r="AH760" s="1293"/>
      <c r="AI760" s="1293"/>
      <c r="AJ760" s="2186"/>
      <c r="AK760" s="1293"/>
      <c r="AL760" s="1293"/>
      <c r="AM760" s="1293"/>
      <c r="AN760" s="1293"/>
      <c r="AO760" s="2186"/>
      <c r="AP760" s="1293"/>
      <c r="AQ760" s="1293"/>
      <c r="AR760" s="1293"/>
      <c r="AS760" s="1293"/>
      <c r="AT760" s="2186"/>
      <c r="AU760" s="1293"/>
      <c r="AV760" s="1293"/>
      <c r="AW760" s="1293"/>
      <c r="AX760" s="1293"/>
      <c r="AY760" s="2186"/>
      <c r="AZ760" s="1293"/>
      <c r="BA760" s="1293"/>
      <c r="BB760" s="1293"/>
      <c r="BC760" s="1293"/>
      <c r="BD760" s="2186"/>
      <c r="BE760" s="1293"/>
      <c r="BF760" s="1293"/>
      <c r="BG760" s="1293"/>
      <c r="BH760" s="1293"/>
      <c r="BI760" s="2186"/>
      <c r="BJ760" s="1293"/>
      <c r="BK760" s="1293"/>
      <c r="BL760" s="1293"/>
      <c r="BM760" s="1293"/>
      <c r="BN760" s="2186"/>
      <c r="BO760" s="1293"/>
      <c r="BP760" s="1293"/>
      <c r="BQ760" s="1293"/>
      <c r="BR760" s="1293"/>
      <c r="BS760" s="1293"/>
      <c r="BT760" s="1293"/>
      <c r="BU760" s="1293"/>
      <c r="BV760" s="1293"/>
      <c r="BW760" s="1293"/>
      <c r="BX760" s="1293"/>
      <c r="BY760" s="1293"/>
      <c r="BZ760" s="1293"/>
      <c r="CA760" s="1293"/>
      <c r="CB760" s="1293"/>
      <c r="CC760" s="1293"/>
      <c r="CD760" s="1293"/>
      <c r="CE760" s="1293"/>
      <c r="CF760" s="1293"/>
      <c r="CG760" s="1293"/>
      <c r="CH760" s="1293"/>
      <c r="CI760" s="1293"/>
      <c r="CJ760" s="1293"/>
      <c r="CK760" s="1293"/>
      <c r="CL760" s="1293"/>
      <c r="CM760" s="1293"/>
      <c r="CN760" s="1293"/>
      <c r="CO760" s="1293"/>
      <c r="CP760" s="1293"/>
      <c r="CQ760" s="1293"/>
      <c r="CR760" s="1293"/>
      <c r="CS760" s="1293"/>
      <c r="CT760" s="1293"/>
      <c r="CU760" s="1293"/>
      <c r="CV760" s="1293"/>
      <c r="CW760" s="1293"/>
      <c r="CX760" s="1293"/>
      <c r="CY760" s="2032"/>
      <c r="CZ760" s="1293"/>
      <c r="DA760" s="2031"/>
      <c r="DB760" s="2032"/>
      <c r="DC760" s="1293"/>
      <c r="DD760" s="1293"/>
      <c r="DE760" s="1293"/>
      <c r="DF760" s="1293"/>
      <c r="DG760" s="1293"/>
      <c r="DH760" s="1293"/>
      <c r="DI760" s="1293"/>
      <c r="DJ760" s="1293"/>
      <c r="DK760" s="1293"/>
      <c r="DL760" s="1293"/>
    </row>
    <row r="761" spans="1:116" ht="15.75">
      <c r="A761" s="1293"/>
      <c r="B761" s="2319" t="s">
        <v>1831</v>
      </c>
      <c r="C761" s="1293"/>
      <c r="D761" s="1293"/>
      <c r="E761" s="1293"/>
      <c r="F761" s="1293"/>
      <c r="G761" s="2080"/>
      <c r="H761" s="1293"/>
      <c r="I761" s="1293"/>
      <c r="J761" s="1293"/>
      <c r="K761" s="1293"/>
      <c r="L761" s="2080"/>
      <c r="M761" s="1293"/>
      <c r="N761" s="1293"/>
      <c r="O761" s="1293"/>
      <c r="P761" s="1293"/>
      <c r="Q761" s="2080"/>
      <c r="R761" s="1293"/>
      <c r="S761" s="1293"/>
      <c r="T761" s="1293"/>
      <c r="U761" s="1293"/>
      <c r="V761" s="2080"/>
      <c r="W761" s="1293"/>
      <c r="X761" s="1293"/>
      <c r="Y761" s="1293"/>
      <c r="Z761" s="1293"/>
      <c r="AA761" s="2080"/>
      <c r="AB761" s="1293"/>
      <c r="AC761" s="1293"/>
      <c r="AD761" s="1293"/>
      <c r="AE761" s="1293"/>
      <c r="AF761" s="1293"/>
      <c r="AG761" s="1293"/>
      <c r="AH761" s="1293"/>
      <c r="AI761" s="1293"/>
      <c r="AJ761" s="2186"/>
      <c r="AK761" s="1293"/>
      <c r="AL761" s="1293"/>
      <c r="AM761" s="1293"/>
      <c r="AN761" s="1293"/>
      <c r="AO761" s="2186"/>
      <c r="AP761" s="1293"/>
      <c r="AQ761" s="1293"/>
      <c r="AR761" s="1293"/>
      <c r="AS761" s="1293"/>
      <c r="AT761" s="2186"/>
      <c r="AU761" s="1293"/>
      <c r="AV761" s="1293"/>
      <c r="AW761" s="1293"/>
      <c r="AX761" s="1293"/>
      <c r="AY761" s="2186"/>
      <c r="AZ761" s="1293"/>
      <c r="BA761" s="1293"/>
      <c r="BB761" s="1293"/>
      <c r="BC761" s="1293"/>
      <c r="BD761" s="2186"/>
      <c r="BE761" s="1293"/>
      <c r="BF761" s="1293"/>
      <c r="BG761" s="1293"/>
      <c r="BH761" s="1293"/>
      <c r="BI761" s="2186"/>
      <c r="BJ761" s="1293"/>
      <c r="BK761" s="1293"/>
      <c r="BL761" s="1293"/>
      <c r="BM761" s="1293"/>
      <c r="BN761" s="2186"/>
      <c r="BO761" s="1293"/>
      <c r="BP761" s="1293"/>
      <c r="BQ761" s="1293"/>
      <c r="BR761" s="1293"/>
      <c r="BS761" s="1293"/>
      <c r="BT761" s="1293"/>
      <c r="BU761" s="1293"/>
      <c r="BV761" s="1293"/>
      <c r="BW761" s="1293"/>
      <c r="BX761" s="1293"/>
      <c r="BY761" s="1293"/>
      <c r="BZ761" s="1293"/>
      <c r="CA761" s="1293"/>
      <c r="CB761" s="1293"/>
      <c r="CC761" s="1293"/>
      <c r="CD761" s="1293"/>
      <c r="CE761" s="1293"/>
      <c r="CF761" s="1293"/>
      <c r="CG761" s="1293"/>
      <c r="CH761" s="1293"/>
      <c r="CI761" s="1293"/>
      <c r="CJ761" s="1293"/>
      <c r="CK761" s="1293"/>
      <c r="CL761" s="1293"/>
      <c r="CM761" s="1293"/>
      <c r="CN761" s="1293"/>
      <c r="CO761" s="1293"/>
      <c r="CP761" s="1293"/>
      <c r="CQ761" s="1293"/>
      <c r="CR761" s="1293"/>
      <c r="CS761" s="1293"/>
      <c r="CT761" s="1293"/>
      <c r="CU761" s="1293"/>
      <c r="CV761" s="1293"/>
      <c r="CW761" s="1293"/>
      <c r="CX761" s="1293"/>
      <c r="CY761" s="2032"/>
      <c r="CZ761" s="1293"/>
      <c r="DA761" s="2031"/>
      <c r="DB761" s="2032"/>
      <c r="DC761" s="1293"/>
      <c r="DD761" s="1293"/>
      <c r="DE761" s="1293"/>
      <c r="DF761" s="1293"/>
      <c r="DG761" s="1293"/>
      <c r="DH761" s="1293"/>
      <c r="DI761" s="1293"/>
      <c r="DJ761" s="1293"/>
      <c r="DK761" s="1293"/>
      <c r="DL761" s="1293"/>
    </row>
    <row r="762" spans="1:116" ht="15.75">
      <c r="A762" s="1293"/>
      <c r="B762" s="1293" t="s">
        <v>758</v>
      </c>
      <c r="C762" s="1699">
        <v>3.7795445905905604E-2</v>
      </c>
      <c r="D762" s="1699">
        <v>3.2171828620652002E-2</v>
      </c>
      <c r="E762" s="1699">
        <v>0.15969873274219343</v>
      </c>
      <c r="F762" s="1699">
        <v>0.29169646832565399</v>
      </c>
      <c r="G762" s="2039">
        <v>0.68016791978144808</v>
      </c>
      <c r="H762" s="1699">
        <v>0.23273148263528601</v>
      </c>
      <c r="I762" s="1699">
        <v>0.50005630475334995</v>
      </c>
      <c r="J762" s="1699">
        <v>0.55920935200032706</v>
      </c>
      <c r="K762" s="1699">
        <v>2.4801558883061898</v>
      </c>
      <c r="L762" s="2039">
        <v>3.7721530276951598</v>
      </c>
      <c r="M762" s="1699">
        <v>5.3679420502165103</v>
      </c>
      <c r="N762" s="1699">
        <v>6.2521099377135494</v>
      </c>
      <c r="O762" s="1699">
        <v>5.2332892030285105</v>
      </c>
      <c r="P762" s="1699">
        <v>3</v>
      </c>
      <c r="Q762" s="2039"/>
      <c r="R762" s="1699"/>
      <c r="S762" s="1699"/>
      <c r="T762" s="1699"/>
      <c r="U762" s="1699"/>
      <c r="V762" s="2039"/>
      <c r="W762" s="1699"/>
      <c r="X762" s="1699"/>
      <c r="Y762" s="1699"/>
      <c r="Z762" s="1699"/>
      <c r="AA762" s="2039"/>
      <c r="AB762" s="1699"/>
      <c r="AC762" s="1699"/>
      <c r="AD762" s="1699"/>
      <c r="AE762" s="1699"/>
      <c r="AF762" s="1699"/>
      <c r="AG762" s="1699"/>
      <c r="AH762" s="1699"/>
      <c r="AI762" s="1699"/>
      <c r="AJ762" s="2186"/>
      <c r="AK762" s="1699"/>
      <c r="AL762" s="1699"/>
      <c r="AM762" s="1699"/>
      <c r="AN762" s="1699"/>
      <c r="AO762" s="2186"/>
      <c r="AP762" s="1699"/>
      <c r="AQ762" s="1699"/>
      <c r="AR762" s="1699"/>
      <c r="AS762" s="1699"/>
      <c r="AT762" s="2186"/>
      <c r="AU762" s="1699"/>
      <c r="AV762" s="1699"/>
      <c r="AW762" s="1699"/>
      <c r="AX762" s="1699"/>
      <c r="AY762" s="2186"/>
      <c r="AZ762" s="1699"/>
      <c r="BA762" s="1699"/>
      <c r="BB762" s="1699"/>
      <c r="BC762" s="1293"/>
      <c r="BD762" s="2186"/>
      <c r="BE762" s="1699"/>
      <c r="BF762" s="1699"/>
      <c r="BG762" s="1699"/>
      <c r="BH762" s="1293"/>
      <c r="BI762" s="2186"/>
      <c r="BJ762" s="1699"/>
      <c r="BK762" s="1699"/>
      <c r="BL762" s="1699"/>
      <c r="BM762" s="1699"/>
      <c r="BN762" s="2186"/>
      <c r="BO762" s="1293"/>
      <c r="BP762" s="1293"/>
      <c r="BQ762" s="1293"/>
      <c r="BR762" s="1293"/>
      <c r="BS762" s="1293"/>
      <c r="BT762" s="1293"/>
      <c r="BU762" s="1293"/>
      <c r="BV762" s="1293"/>
      <c r="BW762" s="1293"/>
      <c r="BX762" s="1293"/>
      <c r="BY762" s="1293"/>
      <c r="BZ762" s="1293"/>
      <c r="CA762" s="1293"/>
      <c r="CB762" s="1293"/>
      <c r="CC762" s="1293"/>
      <c r="CD762" s="1293"/>
      <c r="CE762" s="1293"/>
      <c r="CF762" s="1293"/>
      <c r="CG762" s="1293"/>
      <c r="CH762" s="1293"/>
      <c r="CI762" s="1293"/>
      <c r="CJ762" s="1293"/>
      <c r="CK762" s="1293"/>
      <c r="CL762" s="1293"/>
      <c r="CM762" s="1293"/>
      <c r="CN762" s="1293"/>
      <c r="CO762" s="1293"/>
      <c r="CP762" s="1293"/>
      <c r="CQ762" s="1293"/>
      <c r="CR762" s="1293"/>
      <c r="CS762" s="1293"/>
      <c r="CT762" s="1293"/>
      <c r="CU762" s="1293"/>
      <c r="CV762" s="1293"/>
      <c r="CW762" s="1293"/>
      <c r="CX762" s="1293"/>
      <c r="CY762" s="2032"/>
      <c r="CZ762" s="1293"/>
      <c r="DA762" s="2042"/>
      <c r="DB762" s="2041"/>
      <c r="DC762" s="1293"/>
      <c r="DD762" s="1293"/>
      <c r="DE762" s="1293"/>
      <c r="DF762" s="1293"/>
      <c r="DG762" s="1293"/>
      <c r="DH762" s="1293"/>
      <c r="DI762" s="1293"/>
      <c r="DJ762" s="1293"/>
      <c r="DK762" s="1293"/>
      <c r="DL762" s="1293"/>
    </row>
    <row r="763" spans="1:116" ht="15.75">
      <c r="A763" s="1293"/>
      <c r="B763" s="1293"/>
      <c r="C763" s="1293"/>
      <c r="D763" s="1293"/>
      <c r="E763" s="1293"/>
      <c r="F763" s="1293"/>
      <c r="G763" s="1293"/>
      <c r="H763" s="1293"/>
      <c r="I763" s="1293"/>
      <c r="J763" s="1293"/>
      <c r="K763" s="1293"/>
      <c r="L763" s="1293"/>
      <c r="M763" s="1293"/>
      <c r="N763" s="1293"/>
      <c r="O763" s="1293"/>
      <c r="P763" s="1293"/>
      <c r="Q763" s="1293"/>
      <c r="R763" s="1293"/>
      <c r="S763" s="1293"/>
      <c r="T763" s="1293"/>
      <c r="U763" s="1293"/>
      <c r="V763" s="1293"/>
      <c r="W763" s="1293"/>
      <c r="X763" s="1293"/>
      <c r="Y763" s="1293"/>
      <c r="Z763" s="1293"/>
      <c r="AA763" s="1293"/>
      <c r="AB763" s="1293"/>
      <c r="AC763" s="1293"/>
      <c r="AD763" s="1293"/>
      <c r="AE763" s="1293"/>
      <c r="AF763" s="1293"/>
      <c r="AG763" s="1293"/>
      <c r="AH763" s="1293"/>
      <c r="AI763" s="1293"/>
      <c r="AJ763" s="1293"/>
      <c r="AK763" s="1293"/>
      <c r="AL763" s="1293"/>
      <c r="AM763" s="1293"/>
      <c r="AN763" s="1293"/>
      <c r="AO763" s="1293"/>
      <c r="AP763" s="1293"/>
      <c r="AQ763" s="1293"/>
      <c r="AR763" s="1293"/>
      <c r="AS763" s="1293"/>
      <c r="AT763" s="1293"/>
      <c r="AU763" s="1293"/>
      <c r="AV763" s="1293"/>
      <c r="AW763" s="1293"/>
      <c r="AX763" s="1293"/>
      <c r="AY763" s="1293"/>
      <c r="AZ763" s="1293"/>
      <c r="BA763" s="1293"/>
      <c r="BB763" s="1293"/>
      <c r="BC763" s="1293"/>
      <c r="BD763" s="1293"/>
      <c r="BE763" s="1293"/>
      <c r="BF763" s="1293"/>
      <c r="BG763" s="1293"/>
      <c r="BH763" s="1293"/>
      <c r="BI763" s="1293"/>
      <c r="BJ763" s="1293"/>
      <c r="BK763" s="1293"/>
      <c r="BL763" s="1293"/>
      <c r="BM763" s="1293"/>
      <c r="BN763" s="1293"/>
      <c r="BO763" s="1293"/>
      <c r="BP763" s="1293"/>
      <c r="BQ763" s="1293"/>
      <c r="BR763" s="1293"/>
      <c r="BS763" s="1293"/>
      <c r="BT763" s="1293"/>
      <c r="BU763" s="1293"/>
      <c r="BV763" s="1293"/>
      <c r="BW763" s="1293"/>
      <c r="BX763" s="1293"/>
      <c r="BY763" s="1293"/>
      <c r="BZ763" s="1293"/>
      <c r="CA763" s="1293"/>
      <c r="CB763" s="1293"/>
      <c r="CC763" s="1293"/>
      <c r="CD763" s="1293"/>
      <c r="CE763" s="1293"/>
      <c r="CF763" s="1293"/>
      <c r="CG763" s="1293"/>
      <c r="CH763" s="1293"/>
      <c r="CI763" s="1293"/>
      <c r="CJ763" s="1293"/>
      <c r="CK763" s="1293"/>
      <c r="CL763" s="1293"/>
      <c r="CM763" s="1293"/>
      <c r="CN763" s="1293"/>
      <c r="CO763" s="1293"/>
      <c r="CP763" s="1293"/>
      <c r="CQ763" s="1293"/>
      <c r="CR763" s="1293"/>
      <c r="CS763" s="1293"/>
      <c r="CT763" s="1293"/>
      <c r="CU763" s="1293"/>
      <c r="CV763" s="1293"/>
      <c r="CW763" s="1293"/>
      <c r="CX763" s="1293"/>
      <c r="CY763" s="2032"/>
      <c r="CZ763" s="1293"/>
      <c r="DA763" s="2031"/>
      <c r="DB763" s="2032"/>
      <c r="DC763" s="1293"/>
      <c r="DD763" s="1293"/>
      <c r="DE763" s="1293"/>
      <c r="DF763" s="1293"/>
      <c r="DG763" s="1293"/>
      <c r="DH763" s="1293"/>
      <c r="DI763" s="1293"/>
      <c r="DJ763" s="1293"/>
      <c r="DK763" s="1293"/>
      <c r="DL763" s="1293"/>
    </row>
    <row r="764" spans="1:116" ht="15.75">
      <c r="A764" s="1293"/>
      <c r="B764" s="1293"/>
      <c r="C764" s="1293"/>
      <c r="D764" s="1293"/>
      <c r="E764" s="1293"/>
      <c r="F764" s="1293"/>
      <c r="G764" s="1293"/>
      <c r="H764" s="1293"/>
      <c r="I764" s="1293"/>
      <c r="J764" s="1293"/>
      <c r="K764" s="1293"/>
      <c r="L764" s="1293"/>
      <c r="M764" s="1293"/>
      <c r="N764" s="1293"/>
      <c r="O764" s="1293"/>
      <c r="P764" s="1293"/>
      <c r="Q764" s="1293"/>
      <c r="R764" s="1293"/>
      <c r="S764" s="1293"/>
      <c r="T764" s="1293"/>
      <c r="U764" s="1293"/>
      <c r="V764" s="1293"/>
      <c r="W764" s="1293"/>
      <c r="X764" s="1293"/>
      <c r="Y764" s="1293"/>
      <c r="Z764" s="1293"/>
      <c r="AA764" s="1293"/>
      <c r="AB764" s="1293"/>
      <c r="AC764" s="1293"/>
      <c r="AD764" s="1293"/>
      <c r="AE764" s="1293"/>
      <c r="AF764" s="1293"/>
      <c r="AG764" s="1293"/>
      <c r="AH764" s="1293"/>
      <c r="AI764" s="1293"/>
      <c r="AJ764" s="1293"/>
      <c r="AK764" s="1293"/>
      <c r="AL764" s="1293"/>
      <c r="AM764" s="1293"/>
      <c r="AN764" s="1293"/>
      <c r="AO764" s="1293"/>
      <c r="AP764" s="1293"/>
      <c r="AQ764" s="1293"/>
      <c r="AR764" s="1293"/>
      <c r="AS764" s="1293"/>
      <c r="AT764" s="1293"/>
      <c r="AU764" s="1293"/>
      <c r="AV764" s="1293"/>
      <c r="AW764" s="1293"/>
      <c r="AX764" s="1293"/>
      <c r="AY764" s="1293"/>
      <c r="AZ764" s="1293"/>
      <c r="BA764" s="1293"/>
      <c r="BB764" s="1293"/>
      <c r="BC764" s="1293"/>
      <c r="BD764" s="1293"/>
      <c r="BE764" s="1293"/>
      <c r="BF764" s="1293"/>
      <c r="BG764" s="1293"/>
      <c r="BH764" s="1293"/>
      <c r="BI764" s="1293"/>
      <c r="BJ764" s="1293"/>
      <c r="BK764" s="1293"/>
      <c r="BL764" s="1293"/>
      <c r="BM764" s="1293"/>
      <c r="BN764" s="1293"/>
      <c r="BO764" s="1293"/>
      <c r="BP764" s="1293"/>
      <c r="BQ764" s="1293"/>
      <c r="BR764" s="1293"/>
      <c r="BS764" s="1293"/>
      <c r="BT764" s="1293"/>
      <c r="BU764" s="1293"/>
      <c r="BV764" s="1293"/>
      <c r="BW764" s="1293"/>
      <c r="BX764" s="1293"/>
      <c r="BY764" s="1293"/>
      <c r="BZ764" s="1293"/>
      <c r="CA764" s="1293"/>
      <c r="CB764" s="1293"/>
      <c r="CC764" s="1293"/>
      <c r="CD764" s="1293"/>
      <c r="CE764" s="1293"/>
      <c r="CF764" s="1293"/>
      <c r="CG764" s="1293"/>
      <c r="CH764" s="1293"/>
      <c r="CI764" s="1293"/>
      <c r="CJ764" s="1293"/>
      <c r="CK764" s="1293"/>
      <c r="CL764" s="1293"/>
      <c r="CM764" s="1293"/>
      <c r="CN764" s="1293"/>
      <c r="CO764" s="1293"/>
      <c r="CP764" s="1293"/>
      <c r="CQ764" s="1293"/>
      <c r="CR764" s="1293"/>
      <c r="CS764" s="1293"/>
      <c r="CT764" s="1293"/>
      <c r="CU764" s="1293"/>
      <c r="CV764" s="1293"/>
      <c r="CW764" s="1293"/>
      <c r="CX764" s="1293"/>
      <c r="CY764" s="2032"/>
      <c r="CZ764" s="1293"/>
      <c r="DA764" s="2031"/>
      <c r="DB764" s="1293"/>
      <c r="DC764" s="1293"/>
      <c r="DD764" s="1293"/>
      <c r="DE764" s="1293"/>
      <c r="DF764" s="1293"/>
      <c r="DG764" s="1293"/>
      <c r="DH764" s="1293"/>
      <c r="DI764" s="1293"/>
      <c r="DJ764" s="1293"/>
      <c r="DK764" s="1293"/>
      <c r="DL764" s="1293"/>
    </row>
    <row r="765" spans="1:116" ht="15.75">
      <c r="A765" s="1293"/>
      <c r="B765" s="1293"/>
      <c r="C765" s="1293"/>
      <c r="D765" s="1293"/>
      <c r="E765" s="1293"/>
      <c r="F765" s="1293"/>
      <c r="G765" s="1293"/>
      <c r="H765" s="1293"/>
      <c r="I765" s="1293"/>
      <c r="J765" s="1293"/>
      <c r="K765" s="1293"/>
      <c r="L765" s="1293"/>
      <c r="M765" s="1293"/>
      <c r="N765" s="1293"/>
      <c r="O765" s="1293"/>
      <c r="P765" s="1293"/>
      <c r="Q765" s="1293"/>
      <c r="R765" s="1293"/>
      <c r="S765" s="1293"/>
      <c r="T765" s="1293"/>
      <c r="U765" s="1293"/>
      <c r="V765" s="1293"/>
      <c r="W765" s="1293"/>
      <c r="X765" s="1293"/>
      <c r="Y765" s="1293"/>
      <c r="Z765" s="1293"/>
      <c r="AA765" s="1293"/>
      <c r="AB765" s="1293"/>
      <c r="AC765" s="1293"/>
      <c r="AD765" s="1293"/>
      <c r="AE765" s="1293"/>
      <c r="AF765" s="1293"/>
      <c r="AG765" s="1293"/>
      <c r="AH765" s="1293"/>
      <c r="AI765" s="1293"/>
      <c r="AJ765" s="1293"/>
      <c r="AK765" s="1293"/>
      <c r="AL765" s="1293"/>
      <c r="AM765" s="1293"/>
      <c r="AN765" s="1293"/>
      <c r="AO765" s="1293"/>
      <c r="AP765" s="1293"/>
      <c r="AQ765" s="1293"/>
      <c r="AR765" s="1293"/>
      <c r="AS765" s="1293"/>
      <c r="AT765" s="1293"/>
      <c r="AU765" s="1293"/>
      <c r="AV765" s="1293"/>
      <c r="AW765" s="1293"/>
      <c r="AX765" s="1293"/>
      <c r="AY765" s="1293"/>
      <c r="AZ765" s="1293"/>
      <c r="BA765" s="1293"/>
      <c r="BB765" s="1293"/>
      <c r="BC765" s="1293"/>
      <c r="BD765" s="1293"/>
      <c r="BE765" s="1293"/>
      <c r="BF765" s="1293"/>
      <c r="BG765" s="1293"/>
      <c r="BH765" s="1293"/>
      <c r="BI765" s="1293"/>
      <c r="BJ765" s="1293"/>
      <c r="BK765" s="1293"/>
      <c r="BL765" s="1293"/>
      <c r="BM765" s="1293"/>
      <c r="BN765" s="1293"/>
      <c r="BO765" s="1293"/>
      <c r="BP765" s="1293"/>
      <c r="BQ765" s="1293"/>
      <c r="BR765" s="1293"/>
      <c r="BS765" s="1293"/>
      <c r="BT765" s="1293"/>
      <c r="BU765" s="1293"/>
      <c r="BV765" s="1293"/>
      <c r="BW765" s="1293"/>
      <c r="BX765" s="1293"/>
      <c r="BY765" s="1293"/>
      <c r="BZ765" s="1293"/>
      <c r="CA765" s="1293"/>
      <c r="CB765" s="1293"/>
      <c r="CC765" s="1293"/>
      <c r="CD765" s="1293"/>
      <c r="CE765" s="1293"/>
      <c r="CF765" s="1293"/>
      <c r="CG765" s="1293"/>
      <c r="CH765" s="1293"/>
      <c r="CI765" s="1293"/>
      <c r="CJ765" s="1293"/>
      <c r="CK765" s="1293"/>
      <c r="CL765" s="1293"/>
      <c r="CM765" s="1293"/>
      <c r="CN765" s="1293"/>
      <c r="CO765" s="1293"/>
      <c r="CP765" s="1293"/>
      <c r="CQ765" s="1293"/>
      <c r="CR765" s="1293"/>
      <c r="CS765" s="1293"/>
      <c r="CT765" s="1293"/>
      <c r="CU765" s="1293"/>
      <c r="CV765" s="1293"/>
      <c r="CW765" s="1293"/>
      <c r="CX765" s="1293"/>
      <c r="CY765" s="2032"/>
      <c r="CZ765" s="1293"/>
      <c r="DA765" s="2031"/>
      <c r="DB765" s="1293"/>
      <c r="DC765" s="1293"/>
      <c r="DD765" s="1293"/>
      <c r="DE765" s="1293"/>
      <c r="DF765" s="1293"/>
      <c r="DG765" s="1293"/>
      <c r="DH765" s="1293"/>
      <c r="DI765" s="1293"/>
      <c r="DJ765" s="1293"/>
      <c r="DK765" s="1293"/>
      <c r="DL765" s="1293"/>
    </row>
    <row r="766" spans="1:116" ht="15.75">
      <c r="A766" s="1293"/>
      <c r="B766" s="1293"/>
      <c r="C766" s="1293"/>
      <c r="D766" s="1293"/>
      <c r="E766" s="1293"/>
      <c r="F766" s="1293"/>
      <c r="G766" s="1293"/>
      <c r="H766" s="1293"/>
      <c r="I766" s="1293"/>
      <c r="J766" s="1293"/>
      <c r="K766" s="1293"/>
      <c r="L766" s="1293"/>
      <c r="M766" s="1293"/>
      <c r="N766" s="1293"/>
      <c r="O766" s="1293"/>
      <c r="P766" s="1293"/>
      <c r="Q766" s="1293"/>
      <c r="R766" s="1293"/>
      <c r="S766" s="1293"/>
      <c r="T766" s="1293"/>
      <c r="U766" s="1293"/>
      <c r="V766" s="1293"/>
      <c r="W766" s="1293"/>
      <c r="X766" s="1293"/>
      <c r="Y766" s="1293"/>
      <c r="Z766" s="1293"/>
      <c r="AA766" s="1293"/>
      <c r="AB766" s="1293"/>
      <c r="AC766" s="1293"/>
      <c r="AD766" s="1293"/>
      <c r="AE766" s="1293"/>
      <c r="AF766" s="1293"/>
      <c r="AG766" s="1293"/>
      <c r="AH766" s="1293"/>
      <c r="AI766" s="1293"/>
      <c r="AJ766" s="1293"/>
      <c r="AK766" s="1293"/>
      <c r="AL766" s="1293"/>
      <c r="AM766" s="1293"/>
      <c r="AN766" s="1293"/>
      <c r="AO766" s="1293"/>
      <c r="AP766" s="1293"/>
      <c r="AQ766" s="1293"/>
      <c r="AR766" s="1293"/>
      <c r="AS766" s="1293"/>
      <c r="AT766" s="1293"/>
      <c r="AU766" s="1293"/>
      <c r="AV766" s="1293"/>
      <c r="AW766" s="1293"/>
      <c r="AX766" s="1293"/>
      <c r="AY766" s="1293"/>
      <c r="AZ766" s="1293"/>
      <c r="BA766" s="1293"/>
      <c r="BB766" s="1293"/>
      <c r="BC766" s="1293"/>
      <c r="BD766" s="1293"/>
      <c r="BE766" s="1293"/>
      <c r="BF766" s="1293"/>
      <c r="BG766" s="1293"/>
      <c r="BH766" s="1293"/>
      <c r="BI766" s="1293"/>
      <c r="BJ766" s="1293"/>
      <c r="BK766" s="1293"/>
      <c r="BL766" s="1293"/>
      <c r="BM766" s="1293"/>
      <c r="BN766" s="1293"/>
      <c r="BO766" s="1293"/>
      <c r="BP766" s="1293"/>
      <c r="BQ766" s="1293"/>
      <c r="BR766" s="1293"/>
      <c r="BS766" s="1293"/>
      <c r="BT766" s="1293"/>
      <c r="BU766" s="1293"/>
      <c r="BV766" s="1293"/>
      <c r="BW766" s="1293"/>
      <c r="BX766" s="1293"/>
      <c r="BY766" s="1293"/>
      <c r="BZ766" s="1293"/>
      <c r="CA766" s="1293"/>
      <c r="CB766" s="1293"/>
      <c r="CC766" s="1293"/>
      <c r="CD766" s="1293"/>
      <c r="CE766" s="1293"/>
      <c r="CF766" s="1293"/>
      <c r="CG766" s="1293"/>
      <c r="CH766" s="1293"/>
      <c r="CI766" s="1293"/>
      <c r="CJ766" s="1293"/>
      <c r="CK766" s="1293"/>
      <c r="CL766" s="1293"/>
      <c r="CM766" s="1293"/>
      <c r="CN766" s="1293"/>
      <c r="CO766" s="1293"/>
      <c r="CP766" s="1293"/>
      <c r="CQ766" s="1293"/>
      <c r="CR766" s="1293"/>
      <c r="CS766" s="1293"/>
      <c r="CT766" s="1293"/>
      <c r="CU766" s="1293"/>
      <c r="CV766" s="1293"/>
      <c r="CW766" s="1293"/>
      <c r="CX766" s="1293"/>
      <c r="CY766" s="2032"/>
      <c r="CZ766" s="1293"/>
      <c r="DA766" s="2031"/>
      <c r="DB766" s="1293"/>
      <c r="DC766" s="1293"/>
      <c r="DD766" s="1293"/>
      <c r="DE766" s="1293"/>
      <c r="DF766" s="1293"/>
      <c r="DG766" s="1293"/>
      <c r="DH766" s="1293"/>
      <c r="DI766" s="1293"/>
      <c r="DJ766" s="1293"/>
      <c r="DK766" s="1293"/>
      <c r="DL766" s="1293"/>
    </row>
    <row r="767" spans="1:116" ht="15.75">
      <c r="A767" s="1293"/>
      <c r="B767" s="1293"/>
      <c r="C767" s="1293"/>
      <c r="D767" s="1293"/>
      <c r="E767" s="1293"/>
      <c r="F767" s="1293"/>
      <c r="G767" s="1293"/>
      <c r="H767" s="1293"/>
      <c r="I767" s="1293"/>
      <c r="J767" s="1293"/>
      <c r="K767" s="1293"/>
      <c r="L767" s="1293"/>
      <c r="M767" s="1293"/>
      <c r="N767" s="1293"/>
      <c r="O767" s="1293"/>
      <c r="P767" s="1293"/>
      <c r="Q767" s="1293"/>
      <c r="R767" s="1293"/>
      <c r="S767" s="1293"/>
      <c r="T767" s="1293"/>
      <c r="U767" s="1293"/>
      <c r="V767" s="1293"/>
      <c r="W767" s="1293"/>
      <c r="X767" s="1293"/>
      <c r="Y767" s="1293"/>
      <c r="Z767" s="1293"/>
      <c r="AA767" s="1293"/>
      <c r="AB767" s="1293"/>
      <c r="AC767" s="1293"/>
      <c r="AD767" s="1293"/>
      <c r="AE767" s="1293"/>
      <c r="AF767" s="1293"/>
      <c r="AG767" s="1293"/>
      <c r="AH767" s="1293"/>
      <c r="AI767" s="1293"/>
      <c r="AJ767" s="1293"/>
      <c r="AK767" s="1293"/>
      <c r="AL767" s="1293"/>
      <c r="AM767" s="1293"/>
      <c r="AN767" s="1293"/>
      <c r="AO767" s="1293"/>
      <c r="AP767" s="1293"/>
      <c r="AQ767" s="1293"/>
      <c r="AR767" s="1293"/>
      <c r="AS767" s="1293"/>
      <c r="AT767" s="1293"/>
      <c r="AU767" s="1293"/>
      <c r="AV767" s="1293"/>
      <c r="AW767" s="1293"/>
      <c r="AX767" s="1293"/>
      <c r="AY767" s="1293"/>
      <c r="AZ767" s="1293"/>
      <c r="BA767" s="1293"/>
      <c r="BB767" s="1293"/>
      <c r="BC767" s="1293"/>
      <c r="BD767" s="1293"/>
      <c r="BE767" s="1293"/>
      <c r="BF767" s="1293"/>
      <c r="BG767" s="1293"/>
      <c r="BH767" s="1293"/>
      <c r="BI767" s="1293"/>
      <c r="BJ767" s="1293"/>
      <c r="BK767" s="1293"/>
      <c r="BL767" s="1293"/>
      <c r="BM767" s="1293"/>
      <c r="BN767" s="1293"/>
      <c r="BO767" s="1293"/>
      <c r="BP767" s="1293"/>
      <c r="BQ767" s="1293"/>
      <c r="BR767" s="1293"/>
      <c r="BS767" s="1293"/>
      <c r="BT767" s="1293"/>
      <c r="BU767" s="1293"/>
      <c r="BV767" s="1293"/>
      <c r="BW767" s="1293"/>
      <c r="BX767" s="1293"/>
      <c r="BY767" s="1293"/>
      <c r="BZ767" s="1293"/>
      <c r="CA767" s="1293"/>
      <c r="CB767" s="1293"/>
      <c r="CC767" s="1293"/>
      <c r="CD767" s="1293"/>
      <c r="CE767" s="1293"/>
      <c r="CF767" s="1293"/>
      <c r="CG767" s="1293"/>
      <c r="CH767" s="1293"/>
      <c r="CI767" s="1293"/>
      <c r="CJ767" s="1293"/>
      <c r="CK767" s="1293"/>
      <c r="CL767" s="1293"/>
      <c r="CM767" s="1293"/>
      <c r="CN767" s="1293"/>
      <c r="CO767" s="1293"/>
      <c r="CP767" s="1293"/>
      <c r="CQ767" s="1293"/>
      <c r="CR767" s="1293"/>
      <c r="CS767" s="1293"/>
      <c r="CT767" s="1293"/>
      <c r="CU767" s="1293"/>
      <c r="CV767" s="1293"/>
      <c r="CW767" s="1293"/>
      <c r="CX767" s="1293"/>
      <c r="CY767" s="2032"/>
      <c r="CZ767" s="1293"/>
      <c r="DA767" s="2031"/>
      <c r="DB767" s="1293"/>
      <c r="DC767" s="1293"/>
      <c r="DD767" s="1293"/>
      <c r="DE767" s="1293"/>
      <c r="DF767" s="1293"/>
      <c r="DG767" s="1293"/>
      <c r="DH767" s="1293"/>
      <c r="DI767" s="1293"/>
      <c r="DJ767" s="1293"/>
      <c r="DK767" s="1293"/>
      <c r="DL767" s="1293"/>
    </row>
    <row r="768" spans="1:116" ht="15.75">
      <c r="A768" s="1293"/>
      <c r="B768" s="1293"/>
      <c r="C768" s="1293"/>
      <c r="D768" s="1293"/>
      <c r="E768" s="1293"/>
      <c r="F768" s="1293"/>
      <c r="G768" s="1293"/>
      <c r="H768" s="1293"/>
      <c r="I768" s="1293"/>
      <c r="J768" s="1293"/>
      <c r="K768" s="1293"/>
      <c r="L768" s="1293"/>
      <c r="M768" s="1293"/>
      <c r="N768" s="1293"/>
      <c r="O768" s="1293"/>
      <c r="P768" s="1293"/>
      <c r="Q768" s="1293"/>
      <c r="R768" s="1293"/>
      <c r="S768" s="1293"/>
      <c r="T768" s="1293"/>
      <c r="U768" s="1293"/>
      <c r="V768" s="1293"/>
      <c r="W768" s="1293"/>
      <c r="X768" s="1293"/>
      <c r="Y768" s="1293"/>
      <c r="Z768" s="1293"/>
      <c r="AA768" s="1293"/>
      <c r="AB768" s="1293"/>
      <c r="AC768" s="1293"/>
      <c r="AD768" s="1293"/>
      <c r="AE768" s="1293"/>
      <c r="AF768" s="1293"/>
      <c r="AG768" s="1293"/>
      <c r="AH768" s="1293"/>
      <c r="AI768" s="1293"/>
      <c r="AJ768" s="1293"/>
      <c r="AK768" s="1293"/>
      <c r="AL768" s="1293"/>
      <c r="AM768" s="1293"/>
      <c r="AN768" s="1293"/>
      <c r="AO768" s="1293"/>
      <c r="AP768" s="1293"/>
      <c r="AQ768" s="1293"/>
      <c r="AR768" s="1293"/>
      <c r="AS768" s="1293"/>
      <c r="AT768" s="1293"/>
      <c r="AU768" s="1293"/>
      <c r="AV768" s="1293"/>
      <c r="AW768" s="1293"/>
      <c r="AX768" s="1293"/>
      <c r="AY768" s="1293"/>
      <c r="AZ768" s="1293"/>
      <c r="BA768" s="1293"/>
      <c r="BB768" s="1293"/>
      <c r="BC768" s="1293"/>
      <c r="BD768" s="1293"/>
      <c r="BE768" s="1293"/>
      <c r="BF768" s="1293"/>
      <c r="BG768" s="1293"/>
      <c r="BH768" s="1293"/>
      <c r="BI768" s="1293"/>
      <c r="BJ768" s="1293"/>
      <c r="BK768" s="1293"/>
      <c r="BL768" s="1293"/>
      <c r="BM768" s="1293"/>
      <c r="BN768" s="1293"/>
      <c r="BO768" s="1293"/>
      <c r="BP768" s="1293"/>
      <c r="BQ768" s="1293"/>
      <c r="BR768" s="1293"/>
      <c r="BS768" s="1293"/>
      <c r="BT768" s="1293"/>
      <c r="BU768" s="1293"/>
      <c r="BV768" s="1293"/>
      <c r="BW768" s="1293"/>
      <c r="BX768" s="1293"/>
      <c r="BY768" s="1293"/>
      <c r="BZ768" s="1293"/>
      <c r="CA768" s="1293"/>
      <c r="CB768" s="1293"/>
      <c r="CC768" s="1293"/>
      <c r="CD768" s="1293"/>
      <c r="CE768" s="1293"/>
      <c r="CF768" s="1293"/>
      <c r="CG768" s="1293"/>
      <c r="CH768" s="1293"/>
      <c r="CI768" s="1293"/>
      <c r="CJ768" s="1293"/>
      <c r="CK768" s="1293"/>
      <c r="CL768" s="1293"/>
      <c r="CM768" s="1293"/>
      <c r="CN768" s="1293"/>
      <c r="CO768" s="1293"/>
      <c r="CP768" s="1293"/>
      <c r="CQ768" s="1293"/>
      <c r="CR768" s="1293"/>
      <c r="CS768" s="1293"/>
      <c r="CT768" s="1293"/>
      <c r="CU768" s="1293"/>
      <c r="CV768" s="1293"/>
      <c r="CW768" s="1293"/>
      <c r="CX768" s="1293"/>
      <c r="CY768" s="2032"/>
      <c r="CZ768" s="1293"/>
      <c r="DA768" s="2031"/>
      <c r="DB768" s="1293"/>
      <c r="DC768" s="1293"/>
      <c r="DD768" s="1293"/>
      <c r="DE768" s="1293"/>
      <c r="DF768" s="1293"/>
      <c r="DG768" s="1293"/>
      <c r="DH768" s="1293"/>
      <c r="DI768" s="1293"/>
      <c r="DJ768" s="1293"/>
      <c r="DK768" s="1293"/>
      <c r="DL768" s="1293"/>
    </row>
    <row r="769" spans="1:116" ht="15.75">
      <c r="A769" s="1293"/>
      <c r="B769" s="1293"/>
      <c r="C769" s="1293"/>
      <c r="D769" s="1293"/>
      <c r="E769" s="1293"/>
      <c r="F769" s="1293"/>
      <c r="G769" s="1293"/>
      <c r="H769" s="1293"/>
      <c r="I769" s="1293"/>
      <c r="J769" s="1293"/>
      <c r="K769" s="1293"/>
      <c r="L769" s="1293"/>
      <c r="M769" s="1293"/>
      <c r="N769" s="1293"/>
      <c r="O769" s="1293"/>
      <c r="P769" s="1293"/>
      <c r="Q769" s="1293"/>
      <c r="R769" s="1293"/>
      <c r="S769" s="1293"/>
      <c r="T769" s="1293"/>
      <c r="U769" s="1293"/>
      <c r="V769" s="1293"/>
      <c r="W769" s="1293"/>
      <c r="X769" s="1293"/>
      <c r="Y769" s="1293"/>
      <c r="Z769" s="1293"/>
      <c r="AA769" s="1293"/>
      <c r="AB769" s="1293"/>
      <c r="AC769" s="1293"/>
      <c r="AD769" s="1293"/>
      <c r="AE769" s="1293"/>
      <c r="AF769" s="1293"/>
      <c r="AG769" s="1293"/>
      <c r="AH769" s="1293"/>
      <c r="AI769" s="1293"/>
      <c r="AJ769" s="1293"/>
      <c r="AK769" s="1293"/>
      <c r="AL769" s="1293"/>
      <c r="AM769" s="1293"/>
      <c r="AN769" s="1293"/>
      <c r="AO769" s="1293"/>
      <c r="AP769" s="1293"/>
      <c r="AQ769" s="1293"/>
      <c r="AR769" s="1293"/>
      <c r="AS769" s="1293"/>
      <c r="AT769" s="1293"/>
      <c r="AU769" s="1293"/>
      <c r="AV769" s="1293"/>
      <c r="AW769" s="1293"/>
      <c r="AX769" s="1293"/>
      <c r="AY769" s="1293"/>
      <c r="AZ769" s="1293"/>
      <c r="BA769" s="1293"/>
      <c r="BB769" s="1293"/>
      <c r="BC769" s="1293"/>
      <c r="BD769" s="1293"/>
      <c r="BE769" s="1293"/>
      <c r="BF769" s="1293"/>
      <c r="BG769" s="1293"/>
      <c r="BH769" s="1293"/>
      <c r="BI769" s="1293"/>
      <c r="BJ769" s="1293"/>
      <c r="BK769" s="1293"/>
      <c r="BL769" s="1293"/>
      <c r="BM769" s="1293"/>
      <c r="BN769" s="1293"/>
      <c r="BO769" s="1293"/>
      <c r="BP769" s="1293"/>
      <c r="BQ769" s="1293"/>
      <c r="BR769" s="1293"/>
      <c r="BS769" s="1293"/>
      <c r="BT769" s="1293"/>
      <c r="BU769" s="1293"/>
      <c r="BV769" s="1293"/>
      <c r="BW769" s="1293"/>
      <c r="BX769" s="1293"/>
      <c r="BY769" s="1293"/>
      <c r="BZ769" s="1293"/>
      <c r="CA769" s="1293"/>
      <c r="CB769" s="1293"/>
      <c r="CC769" s="1293"/>
      <c r="CD769" s="1293"/>
      <c r="CE769" s="1293"/>
      <c r="CF769" s="1293"/>
      <c r="CG769" s="1293"/>
      <c r="CH769" s="1293"/>
      <c r="CI769" s="1293"/>
      <c r="CJ769" s="1293"/>
      <c r="CK769" s="1293"/>
      <c r="CL769" s="1293"/>
      <c r="CM769" s="1293"/>
      <c r="CN769" s="1293"/>
      <c r="CO769" s="1293"/>
      <c r="CP769" s="1293"/>
      <c r="CQ769" s="1293"/>
      <c r="CR769" s="1293"/>
      <c r="CS769" s="1293"/>
      <c r="CT769" s="1293"/>
      <c r="CU769" s="1293"/>
      <c r="CV769" s="1293"/>
      <c r="CW769" s="1293"/>
      <c r="CX769" s="1293"/>
      <c r="CY769" s="2032"/>
      <c r="CZ769" s="1293"/>
      <c r="DA769" s="2031"/>
      <c r="DB769" s="1293"/>
      <c r="DC769" s="1293"/>
      <c r="DD769" s="1293"/>
      <c r="DE769" s="1293"/>
      <c r="DF769" s="1293"/>
      <c r="DG769" s="1293"/>
      <c r="DH769" s="1293"/>
      <c r="DI769" s="1293"/>
      <c r="DJ769" s="1293"/>
      <c r="DK769" s="1293"/>
      <c r="DL769" s="1293"/>
    </row>
    <row r="770" spans="1:116" ht="15.75">
      <c r="A770" s="1293"/>
      <c r="B770" s="1293"/>
      <c r="C770" s="1293"/>
      <c r="D770" s="1293"/>
      <c r="E770" s="1293"/>
      <c r="F770" s="1293"/>
      <c r="G770" s="1293"/>
      <c r="H770" s="1293"/>
      <c r="I770" s="1293"/>
      <c r="J770" s="1293"/>
      <c r="K770" s="1293"/>
      <c r="L770" s="1293"/>
      <c r="M770" s="1293"/>
      <c r="N770" s="1293"/>
      <c r="O770" s="1293"/>
      <c r="P770" s="1293"/>
      <c r="Q770" s="1293"/>
      <c r="R770" s="1293"/>
      <c r="S770" s="1293"/>
      <c r="T770" s="1293"/>
      <c r="U770" s="1293"/>
      <c r="V770" s="1293"/>
      <c r="W770" s="1293"/>
      <c r="X770" s="1293"/>
      <c r="Y770" s="1293"/>
      <c r="Z770" s="1293"/>
      <c r="AA770" s="1293"/>
      <c r="AB770" s="1293"/>
      <c r="AC770" s="1293"/>
      <c r="AD770" s="1293"/>
      <c r="AE770" s="1293"/>
      <c r="AF770" s="1293"/>
      <c r="AG770" s="1293"/>
      <c r="AH770" s="1293"/>
      <c r="AI770" s="1293"/>
      <c r="AJ770" s="1293"/>
      <c r="AK770" s="1293"/>
      <c r="AL770" s="1293"/>
      <c r="AM770" s="1293"/>
      <c r="AN770" s="1293"/>
      <c r="AO770" s="1293"/>
      <c r="AP770" s="1293"/>
      <c r="AQ770" s="1293"/>
      <c r="AR770" s="1293"/>
      <c r="AS770" s="1293"/>
      <c r="AT770" s="1293"/>
      <c r="AU770" s="1293"/>
      <c r="AV770" s="1293"/>
      <c r="AW770" s="1293"/>
      <c r="AX770" s="1293"/>
      <c r="AY770" s="1293"/>
      <c r="AZ770" s="1293"/>
      <c r="BA770" s="1293"/>
      <c r="BB770" s="1293"/>
      <c r="BC770" s="1293"/>
      <c r="BD770" s="1293"/>
      <c r="BE770" s="1293"/>
      <c r="BF770" s="1293"/>
      <c r="BG770" s="1293"/>
      <c r="BH770" s="1293"/>
      <c r="BI770" s="1293"/>
      <c r="BJ770" s="1293"/>
      <c r="BK770" s="1293"/>
      <c r="BL770" s="1293"/>
      <c r="BM770" s="1293"/>
      <c r="BN770" s="1293"/>
      <c r="BO770" s="1293"/>
      <c r="BP770" s="1293"/>
      <c r="BQ770" s="1293"/>
      <c r="BR770" s="1293"/>
      <c r="BS770" s="1293"/>
      <c r="BT770" s="1293"/>
      <c r="BU770" s="1293"/>
      <c r="BV770" s="1293"/>
      <c r="BW770" s="1293"/>
      <c r="BX770" s="1293"/>
      <c r="BY770" s="1293"/>
      <c r="BZ770" s="1293"/>
      <c r="CA770" s="1293"/>
      <c r="CB770" s="1293"/>
      <c r="CC770" s="1293"/>
      <c r="CD770" s="1293"/>
      <c r="CE770" s="1293"/>
      <c r="CF770" s="1293"/>
      <c r="CG770" s="1293"/>
      <c r="CH770" s="1293"/>
      <c r="CI770" s="1293"/>
      <c r="CJ770" s="1293"/>
      <c r="CK770" s="1293"/>
      <c r="CL770" s="1293"/>
      <c r="CM770" s="1293"/>
      <c r="CN770" s="1293"/>
      <c r="CO770" s="1293"/>
      <c r="CP770" s="1293"/>
      <c r="CQ770" s="1293"/>
      <c r="CR770" s="1293"/>
      <c r="CS770" s="1293"/>
      <c r="CT770" s="1293"/>
      <c r="CU770" s="1293"/>
      <c r="CV770" s="1293"/>
      <c r="CW770" s="1293"/>
      <c r="CX770" s="1293"/>
      <c r="CY770" s="2032"/>
      <c r="CZ770" s="1293"/>
      <c r="DA770" s="2031"/>
      <c r="DB770" s="1293"/>
      <c r="DC770" s="1293"/>
      <c r="DD770" s="1293"/>
      <c r="DE770" s="1293"/>
      <c r="DF770" s="1293"/>
      <c r="DG770" s="1293"/>
      <c r="DH770" s="1293"/>
      <c r="DI770" s="1293"/>
      <c r="DJ770" s="1293"/>
      <c r="DK770" s="1293"/>
      <c r="DL770" s="1293"/>
    </row>
    <row r="771" spans="1:116" ht="15.75">
      <c r="A771" s="1293"/>
      <c r="B771" s="1293"/>
      <c r="C771" s="1293"/>
      <c r="D771" s="1293"/>
      <c r="E771" s="1293"/>
      <c r="F771" s="1293"/>
      <c r="G771" s="1293"/>
      <c r="H771" s="1293"/>
      <c r="I771" s="1293"/>
      <c r="J771" s="1293"/>
      <c r="K771" s="1293"/>
      <c r="L771" s="1293"/>
      <c r="M771" s="1293"/>
      <c r="N771" s="1293"/>
      <c r="O771" s="1293"/>
      <c r="P771" s="1293"/>
      <c r="Q771" s="1293"/>
      <c r="R771" s="1293"/>
      <c r="S771" s="1293"/>
      <c r="T771" s="1293"/>
      <c r="U771" s="1293"/>
      <c r="V771" s="1293"/>
      <c r="W771" s="1293"/>
      <c r="X771" s="1293"/>
      <c r="Y771" s="1293"/>
      <c r="Z771" s="1293"/>
      <c r="AA771" s="1293"/>
      <c r="AB771" s="1293"/>
      <c r="AC771" s="1293"/>
      <c r="AD771" s="1293"/>
      <c r="AE771" s="1293"/>
      <c r="AF771" s="1293"/>
      <c r="AG771" s="1293"/>
      <c r="AH771" s="1293"/>
      <c r="AI771" s="1293"/>
      <c r="AJ771" s="1293"/>
      <c r="AK771" s="1293"/>
      <c r="AL771" s="1293"/>
      <c r="AM771" s="1293"/>
      <c r="AN771" s="1293"/>
      <c r="AO771" s="1293"/>
      <c r="AP771" s="1293"/>
      <c r="AQ771" s="1293"/>
      <c r="AR771" s="1293"/>
      <c r="AS771" s="1293"/>
      <c r="AT771" s="1293"/>
      <c r="AU771" s="1293"/>
      <c r="AV771" s="1293"/>
      <c r="AW771" s="1293"/>
      <c r="AX771" s="1293"/>
      <c r="AY771" s="1293"/>
      <c r="AZ771" s="1293"/>
      <c r="BA771" s="1293"/>
      <c r="BB771" s="1293"/>
      <c r="BC771" s="1293"/>
      <c r="BD771" s="1293"/>
      <c r="BE771" s="1293"/>
      <c r="BF771" s="1293"/>
      <c r="BG771" s="1293"/>
      <c r="BH771" s="1293"/>
      <c r="BI771" s="1293"/>
      <c r="BJ771" s="1293"/>
      <c r="BK771" s="1293"/>
      <c r="BL771" s="1293"/>
      <c r="BM771" s="1293"/>
      <c r="BN771" s="1293"/>
      <c r="BO771" s="1293"/>
      <c r="BP771" s="1293"/>
      <c r="BQ771" s="1293"/>
      <c r="BR771" s="1293"/>
      <c r="BS771" s="1293"/>
      <c r="BT771" s="1293"/>
      <c r="BU771" s="1293"/>
      <c r="BV771" s="1293"/>
      <c r="BW771" s="1293"/>
      <c r="BX771" s="1293"/>
      <c r="BY771" s="1293"/>
      <c r="BZ771" s="1293"/>
      <c r="CA771" s="1293"/>
      <c r="CB771" s="1293"/>
      <c r="CC771" s="1293"/>
      <c r="CD771" s="1293"/>
      <c r="CE771" s="1293"/>
      <c r="CF771" s="1293"/>
      <c r="CG771" s="1293"/>
      <c r="CH771" s="1293"/>
      <c r="CI771" s="1293"/>
      <c r="CJ771" s="1293"/>
      <c r="CK771" s="1293"/>
      <c r="CL771" s="1293"/>
      <c r="CM771" s="1293"/>
      <c r="CN771" s="1293"/>
      <c r="CO771" s="1293"/>
      <c r="CP771" s="1293"/>
      <c r="CQ771" s="1293"/>
      <c r="CR771" s="1293"/>
      <c r="CS771" s="1293"/>
      <c r="CT771" s="1293"/>
      <c r="CU771" s="1293"/>
      <c r="CV771" s="1293"/>
      <c r="CW771" s="1293"/>
      <c r="CX771" s="1293"/>
      <c r="CY771" s="1293"/>
      <c r="CZ771" s="1293"/>
      <c r="DA771" s="2031"/>
      <c r="DB771" s="1293"/>
      <c r="DC771" s="1293"/>
      <c r="DD771" s="1293"/>
      <c r="DE771" s="1293"/>
      <c r="DF771" s="1293"/>
      <c r="DG771" s="1293"/>
      <c r="DH771" s="1293"/>
      <c r="DI771" s="1293"/>
      <c r="DJ771" s="1293"/>
      <c r="DK771" s="1293"/>
      <c r="DL771" s="1293"/>
    </row>
    <row r="772" spans="1:116" ht="15.75">
      <c r="A772" s="1293"/>
      <c r="B772" s="1293"/>
      <c r="C772" s="1293"/>
      <c r="D772" s="1293"/>
      <c r="E772" s="1293"/>
      <c r="F772" s="1293"/>
      <c r="G772" s="1293"/>
      <c r="H772" s="1293"/>
      <c r="I772" s="1293"/>
      <c r="J772" s="1293"/>
      <c r="K772" s="1293"/>
      <c r="L772" s="1293"/>
      <c r="M772" s="1293"/>
      <c r="N772" s="1293"/>
      <c r="O772" s="1293"/>
      <c r="P772" s="1293"/>
      <c r="Q772" s="1293"/>
      <c r="R772" s="1293"/>
      <c r="S772" s="1293"/>
      <c r="T772" s="1293"/>
      <c r="U772" s="1293"/>
      <c r="V772" s="1293"/>
      <c r="W772" s="1293"/>
      <c r="X772" s="1293"/>
      <c r="Y772" s="1293"/>
      <c r="Z772" s="1293"/>
      <c r="AA772" s="1293"/>
      <c r="AB772" s="1293"/>
      <c r="AC772" s="1293"/>
      <c r="AD772" s="1293"/>
      <c r="AE772" s="1293"/>
      <c r="AF772" s="1293"/>
      <c r="AG772" s="1293"/>
      <c r="AH772" s="1293"/>
      <c r="AI772" s="1293"/>
      <c r="AJ772" s="1293"/>
      <c r="AK772" s="1293"/>
      <c r="AL772" s="1293"/>
      <c r="AM772" s="1293"/>
      <c r="AN772" s="1293"/>
      <c r="AO772" s="1293"/>
      <c r="AP772" s="1293"/>
      <c r="AQ772" s="1293"/>
      <c r="AR772" s="1293"/>
      <c r="AS772" s="1293"/>
      <c r="AT772" s="1293"/>
      <c r="AU772" s="1293"/>
      <c r="AV772" s="1293"/>
      <c r="AW772" s="1293"/>
      <c r="AX772" s="1293"/>
      <c r="AY772" s="1293"/>
      <c r="AZ772" s="1293"/>
      <c r="BA772" s="1293"/>
      <c r="BB772" s="1293"/>
      <c r="BC772" s="1293"/>
      <c r="BD772" s="1293"/>
      <c r="BE772" s="1293"/>
      <c r="BF772" s="1293"/>
      <c r="BG772" s="1293"/>
      <c r="BH772" s="1293"/>
      <c r="BI772" s="1293"/>
      <c r="BJ772" s="1293"/>
      <c r="BK772" s="1293"/>
      <c r="BL772" s="1293"/>
      <c r="BM772" s="1293"/>
      <c r="BN772" s="1293"/>
      <c r="BO772" s="1293"/>
      <c r="BP772" s="1293"/>
      <c r="BQ772" s="1293"/>
      <c r="BR772" s="1293"/>
      <c r="BS772" s="1293"/>
      <c r="BT772" s="1293"/>
      <c r="BU772" s="1293"/>
      <c r="BV772" s="1293"/>
      <c r="BW772" s="1293"/>
      <c r="BX772" s="1293"/>
      <c r="BY772" s="1293"/>
      <c r="BZ772" s="1293"/>
      <c r="CA772" s="1293"/>
      <c r="CB772" s="1293"/>
      <c r="CC772" s="1293"/>
      <c r="CD772" s="1293"/>
      <c r="CE772" s="1293"/>
      <c r="CF772" s="1293"/>
      <c r="CG772" s="1293"/>
      <c r="CH772" s="1293"/>
      <c r="CI772" s="1293"/>
      <c r="CJ772" s="1293"/>
      <c r="CK772" s="1293"/>
      <c r="CL772" s="1293"/>
      <c r="CM772" s="1293"/>
      <c r="CN772" s="1293"/>
      <c r="CO772" s="1293"/>
      <c r="CP772" s="1293"/>
      <c r="CQ772" s="1293"/>
      <c r="CR772" s="1293"/>
      <c r="CS772" s="1293"/>
      <c r="CT772" s="1293"/>
      <c r="CU772" s="1293"/>
      <c r="CV772" s="1293"/>
      <c r="CW772" s="1293"/>
      <c r="CX772" s="1293"/>
      <c r="CY772" s="1293"/>
      <c r="CZ772" s="1293"/>
      <c r="DA772" s="2031"/>
      <c r="DB772" s="1293"/>
      <c r="DC772" s="1293"/>
      <c r="DD772" s="1293"/>
      <c r="DE772" s="1293"/>
      <c r="DF772" s="1293"/>
      <c r="DG772" s="1293"/>
      <c r="DH772" s="1293"/>
      <c r="DI772" s="1293"/>
      <c r="DJ772" s="1293"/>
      <c r="DK772" s="1293"/>
      <c r="DL772" s="1293"/>
    </row>
    <row r="773" spans="1:116" ht="15.75">
      <c r="A773" s="1293"/>
      <c r="B773" s="1293"/>
      <c r="C773" s="1293"/>
      <c r="D773" s="1293"/>
      <c r="E773" s="1293"/>
      <c r="F773" s="1293"/>
      <c r="G773" s="1293"/>
      <c r="H773" s="1293"/>
      <c r="I773" s="1293"/>
      <c r="J773" s="1293"/>
      <c r="K773" s="1293"/>
      <c r="L773" s="1293"/>
      <c r="M773" s="1293"/>
      <c r="N773" s="1293"/>
      <c r="O773" s="1293"/>
      <c r="P773" s="1293"/>
      <c r="Q773" s="1293"/>
      <c r="R773" s="1293"/>
      <c r="S773" s="1293"/>
      <c r="T773" s="1293"/>
      <c r="U773" s="1293"/>
      <c r="V773" s="1293"/>
      <c r="W773" s="1293"/>
      <c r="X773" s="1293"/>
      <c r="Y773" s="1293"/>
      <c r="Z773" s="1293"/>
      <c r="AA773" s="1293"/>
      <c r="AB773" s="1293"/>
      <c r="AC773" s="1293"/>
      <c r="AD773" s="1293"/>
      <c r="AE773" s="1293"/>
      <c r="AF773" s="1293"/>
      <c r="AG773" s="1293"/>
      <c r="AH773" s="1293"/>
      <c r="AI773" s="1293"/>
      <c r="AJ773" s="1293"/>
      <c r="AK773" s="1293"/>
      <c r="AL773" s="1293"/>
      <c r="AM773" s="1293"/>
      <c r="AN773" s="1293"/>
      <c r="AO773" s="1293"/>
      <c r="AP773" s="1293"/>
      <c r="AQ773" s="1293"/>
      <c r="AR773" s="1293"/>
      <c r="AS773" s="1293"/>
      <c r="AT773" s="1293"/>
      <c r="AU773" s="1293"/>
      <c r="AV773" s="1293"/>
      <c r="AW773" s="1293"/>
      <c r="AX773" s="1293"/>
      <c r="AY773" s="1293"/>
      <c r="AZ773" s="1293"/>
      <c r="BA773" s="1293"/>
      <c r="BB773" s="1293"/>
      <c r="BC773" s="1293"/>
      <c r="BD773" s="1293"/>
      <c r="BE773" s="1293"/>
      <c r="BF773" s="1293"/>
      <c r="BG773" s="1293"/>
      <c r="BH773" s="1293"/>
      <c r="BI773" s="1293"/>
      <c r="BJ773" s="1293"/>
      <c r="BK773" s="1293"/>
      <c r="BL773" s="1293"/>
      <c r="BM773" s="1293"/>
      <c r="BN773" s="1293"/>
      <c r="BO773" s="1293"/>
      <c r="BP773" s="1293"/>
      <c r="BQ773" s="1293"/>
      <c r="BR773" s="1293"/>
      <c r="BS773" s="1293"/>
      <c r="BT773" s="1293"/>
      <c r="BU773" s="1293"/>
      <c r="BV773" s="1293"/>
      <c r="BW773" s="1293"/>
      <c r="BX773" s="1293"/>
      <c r="BY773" s="1293"/>
      <c r="BZ773" s="1293"/>
      <c r="CA773" s="1293"/>
      <c r="CB773" s="1293"/>
      <c r="CC773" s="1293"/>
      <c r="CD773" s="1293"/>
      <c r="CE773" s="1293"/>
      <c r="CF773" s="1293"/>
      <c r="CG773" s="1293"/>
      <c r="CH773" s="1293"/>
      <c r="CI773" s="1293"/>
      <c r="CJ773" s="1293"/>
      <c r="CK773" s="1293"/>
      <c r="CL773" s="1293"/>
      <c r="CM773" s="1293"/>
      <c r="CN773" s="1293"/>
      <c r="CO773" s="1293"/>
      <c r="CP773" s="1293"/>
      <c r="CQ773" s="1293"/>
      <c r="CR773" s="1293"/>
      <c r="CS773" s="1293"/>
      <c r="CT773" s="1293"/>
      <c r="CU773" s="1293"/>
      <c r="CV773" s="1293"/>
      <c r="CW773" s="1293"/>
      <c r="CX773" s="1293"/>
      <c r="CY773" s="1293"/>
      <c r="CZ773" s="1293"/>
      <c r="DA773" s="2031"/>
      <c r="DB773" s="1293"/>
      <c r="DC773" s="1293"/>
      <c r="DD773" s="1293"/>
      <c r="DE773" s="1293"/>
      <c r="DF773" s="1293"/>
      <c r="DG773" s="1293"/>
      <c r="DH773" s="1293"/>
      <c r="DI773" s="1293"/>
      <c r="DJ773" s="1293"/>
      <c r="DK773" s="1293"/>
      <c r="DL773" s="1293"/>
    </row>
    <row r="774" spans="1:116" ht="15.75">
      <c r="A774" s="1293"/>
      <c r="B774" s="1293"/>
      <c r="C774" s="1293"/>
      <c r="D774" s="1293"/>
      <c r="E774" s="1293"/>
      <c r="F774" s="1293"/>
      <c r="G774" s="1293"/>
      <c r="H774" s="1293"/>
      <c r="I774" s="1293"/>
      <c r="J774" s="1293"/>
      <c r="K774" s="1293"/>
      <c r="L774" s="1293"/>
      <c r="M774" s="1293"/>
      <c r="N774" s="1293"/>
      <c r="O774" s="1293"/>
      <c r="P774" s="1293"/>
      <c r="Q774" s="1293"/>
      <c r="R774" s="1293"/>
      <c r="S774" s="1293"/>
      <c r="T774" s="1293"/>
      <c r="U774" s="1293"/>
      <c r="V774" s="1293"/>
      <c r="W774" s="1293"/>
      <c r="X774" s="1293"/>
      <c r="Y774" s="1293"/>
      <c r="Z774" s="1293"/>
      <c r="AA774" s="1293"/>
      <c r="AB774" s="1293"/>
      <c r="AC774" s="1293"/>
      <c r="AD774" s="1293"/>
      <c r="AE774" s="1293"/>
      <c r="AF774" s="1293"/>
      <c r="AG774" s="1293"/>
      <c r="AH774" s="1293"/>
      <c r="AI774" s="1293"/>
      <c r="AJ774" s="1293"/>
      <c r="AK774" s="1293"/>
      <c r="AL774" s="1293"/>
      <c r="AM774" s="1293"/>
      <c r="AN774" s="1293"/>
      <c r="AO774" s="1293"/>
      <c r="AP774" s="1293"/>
      <c r="AQ774" s="1293"/>
      <c r="AR774" s="1293"/>
      <c r="AS774" s="1293"/>
      <c r="AT774" s="1293"/>
      <c r="AU774" s="1293"/>
      <c r="AV774" s="1293"/>
      <c r="AW774" s="1293"/>
      <c r="AX774" s="1293"/>
      <c r="AY774" s="1293"/>
      <c r="AZ774" s="1293"/>
      <c r="BA774" s="1293"/>
      <c r="BB774" s="1293"/>
      <c r="BC774" s="1293"/>
      <c r="BD774" s="1293"/>
      <c r="BE774" s="1293"/>
      <c r="BF774" s="1293"/>
      <c r="BG774" s="1293"/>
      <c r="BH774" s="1293"/>
      <c r="BI774" s="1293"/>
      <c r="BJ774" s="1293"/>
      <c r="BK774" s="1293"/>
      <c r="BL774" s="1293"/>
      <c r="BM774" s="1293"/>
      <c r="BN774" s="1293"/>
      <c r="BO774" s="1293"/>
      <c r="BP774" s="1293"/>
      <c r="BQ774" s="1293"/>
      <c r="BR774" s="1293"/>
      <c r="BS774" s="1293"/>
      <c r="BT774" s="1293"/>
      <c r="BU774" s="1293"/>
      <c r="BV774" s="1293"/>
      <c r="BW774" s="1293"/>
      <c r="BX774" s="1293"/>
      <c r="BY774" s="1293"/>
      <c r="BZ774" s="1293"/>
      <c r="CA774" s="1293"/>
      <c r="CB774" s="1293"/>
      <c r="CC774" s="1293"/>
      <c r="CD774" s="1293"/>
      <c r="CE774" s="1293"/>
      <c r="CF774" s="1293"/>
      <c r="CG774" s="1293"/>
      <c r="CH774" s="1293"/>
      <c r="CI774" s="1293"/>
      <c r="CJ774" s="1293"/>
      <c r="CK774" s="1293"/>
      <c r="CL774" s="1293"/>
      <c r="CM774" s="1293"/>
      <c r="CN774" s="1293"/>
      <c r="CO774" s="1293"/>
      <c r="CP774" s="1293"/>
      <c r="CQ774" s="1293"/>
      <c r="CR774" s="1293"/>
      <c r="CS774" s="1293"/>
      <c r="CT774" s="1293"/>
      <c r="CU774" s="1293"/>
      <c r="CV774" s="1293"/>
      <c r="CW774" s="1293"/>
      <c r="CX774" s="1293"/>
      <c r="CY774" s="1293"/>
      <c r="CZ774" s="1293"/>
      <c r="DA774" s="2031"/>
      <c r="DB774" s="1293"/>
      <c r="DC774" s="1293"/>
      <c r="DD774" s="1293"/>
      <c r="DE774" s="1293"/>
      <c r="DF774" s="1293"/>
      <c r="DG774" s="1293"/>
      <c r="DH774" s="1293"/>
      <c r="DI774" s="1293"/>
      <c r="DJ774" s="1293"/>
      <c r="DK774" s="1293"/>
      <c r="DL774" s="1293"/>
    </row>
    <row r="775" spans="1:116" ht="15.75">
      <c r="A775" s="1293"/>
      <c r="B775" s="1293"/>
      <c r="C775" s="1293"/>
      <c r="D775" s="1293"/>
      <c r="E775" s="1293"/>
      <c r="F775" s="1293"/>
      <c r="G775" s="1293"/>
      <c r="H775" s="1293"/>
      <c r="I775" s="1293"/>
      <c r="J775" s="1293"/>
      <c r="K775" s="1293"/>
      <c r="L775" s="1293"/>
      <c r="M775" s="1293"/>
      <c r="N775" s="1293"/>
      <c r="O775" s="1293"/>
      <c r="P775" s="1293"/>
      <c r="Q775" s="1293"/>
      <c r="R775" s="1293"/>
      <c r="S775" s="1293"/>
      <c r="T775" s="1293"/>
      <c r="U775" s="1293"/>
      <c r="V775" s="1293"/>
      <c r="W775" s="1293"/>
      <c r="X775" s="1293"/>
      <c r="Y775" s="1293"/>
      <c r="Z775" s="1293"/>
      <c r="AA775" s="1293"/>
      <c r="AB775" s="1293"/>
      <c r="AC775" s="1293"/>
      <c r="AD775" s="1293"/>
      <c r="AE775" s="1293"/>
      <c r="AF775" s="1293"/>
      <c r="AG775" s="1293"/>
      <c r="AH775" s="1293"/>
      <c r="AI775" s="1293"/>
      <c r="AJ775" s="1293"/>
      <c r="AK775" s="1293"/>
      <c r="AL775" s="1293"/>
      <c r="AM775" s="1293"/>
      <c r="AN775" s="1293"/>
      <c r="AO775" s="1293"/>
      <c r="AP775" s="1293"/>
      <c r="AQ775" s="1293"/>
      <c r="AR775" s="1293"/>
      <c r="AS775" s="1293"/>
      <c r="AT775" s="1293"/>
      <c r="AU775" s="1293"/>
      <c r="AV775" s="1293"/>
      <c r="AW775" s="1293"/>
      <c r="AX775" s="1293"/>
      <c r="AY775" s="1293"/>
      <c r="AZ775" s="1293"/>
      <c r="BA775" s="1293"/>
      <c r="BB775" s="1293"/>
      <c r="BC775" s="1293"/>
      <c r="BD775" s="1293"/>
      <c r="BE775" s="1293"/>
      <c r="BF775" s="1293"/>
      <c r="BG775" s="1293"/>
      <c r="BH775" s="1293"/>
      <c r="BI775" s="1293"/>
      <c r="BJ775" s="1293"/>
      <c r="BK775" s="1293"/>
      <c r="BL775" s="1293"/>
      <c r="BM775" s="1293"/>
      <c r="BN775" s="1293"/>
      <c r="BO775" s="1293"/>
      <c r="BP775" s="1293"/>
      <c r="BQ775" s="1293"/>
      <c r="BR775" s="1293"/>
      <c r="BS775" s="1293"/>
      <c r="BT775" s="1293"/>
      <c r="BU775" s="1293"/>
      <c r="BV775" s="1293"/>
      <c r="BW775" s="1293"/>
      <c r="BX775" s="1293"/>
      <c r="BY775" s="1293"/>
      <c r="BZ775" s="1293"/>
      <c r="CA775" s="1293"/>
      <c r="CB775" s="1293"/>
      <c r="CC775" s="1293"/>
      <c r="CD775" s="1293"/>
      <c r="CE775" s="1293"/>
      <c r="CF775" s="1293"/>
      <c r="CG775" s="1293"/>
      <c r="CH775" s="1293"/>
      <c r="CI775" s="1293"/>
      <c r="CJ775" s="1293"/>
      <c r="CK775" s="1293"/>
      <c r="CL775" s="1293"/>
      <c r="CM775" s="1293"/>
      <c r="CN775" s="1293"/>
      <c r="CO775" s="1293"/>
      <c r="CP775" s="1293"/>
      <c r="CQ775" s="1293"/>
      <c r="CR775" s="1293"/>
      <c r="CS775" s="1293"/>
      <c r="CT775" s="1293"/>
      <c r="CU775" s="1293"/>
      <c r="CV775" s="1293"/>
      <c r="CW775" s="1293"/>
      <c r="CX775" s="1293"/>
      <c r="CY775" s="1293"/>
      <c r="CZ775" s="1293"/>
      <c r="DA775" s="2031"/>
      <c r="DB775" s="1293"/>
      <c r="DC775" s="1293"/>
      <c r="DD775" s="1293"/>
      <c r="DE775" s="1293"/>
      <c r="DF775" s="1293"/>
      <c r="DG775" s="1293"/>
      <c r="DH775" s="1293"/>
      <c r="DI775" s="1293"/>
      <c r="DJ775" s="1293"/>
      <c r="DK775" s="1293"/>
      <c r="DL775" s="1293"/>
    </row>
    <row r="776" spans="1:116" ht="15.75">
      <c r="A776" s="1293"/>
      <c r="B776" s="1293"/>
      <c r="C776" s="1293"/>
      <c r="D776" s="1293"/>
      <c r="E776" s="1293"/>
      <c r="F776" s="1293"/>
      <c r="G776" s="1293"/>
      <c r="H776" s="1293"/>
      <c r="I776" s="1293"/>
      <c r="J776" s="1293"/>
      <c r="K776" s="1293"/>
      <c r="L776" s="1293"/>
      <c r="M776" s="1293"/>
      <c r="N776" s="1293"/>
      <c r="O776" s="1293"/>
      <c r="P776" s="1293"/>
      <c r="Q776" s="1293"/>
      <c r="R776" s="1293"/>
      <c r="S776" s="1293"/>
      <c r="T776" s="1293"/>
      <c r="U776" s="1293"/>
      <c r="V776" s="1293"/>
      <c r="W776" s="1293"/>
      <c r="X776" s="1293"/>
      <c r="Y776" s="1293"/>
      <c r="Z776" s="1293"/>
      <c r="AA776" s="1293"/>
      <c r="AB776" s="1293"/>
      <c r="AC776" s="1293"/>
      <c r="AD776" s="1293"/>
      <c r="AE776" s="1293"/>
      <c r="AF776" s="1293"/>
      <c r="AG776" s="1293"/>
      <c r="AH776" s="1293"/>
      <c r="AI776" s="1293"/>
      <c r="AJ776" s="1293"/>
      <c r="AK776" s="1293"/>
      <c r="AL776" s="1293"/>
      <c r="AM776" s="1293"/>
      <c r="AN776" s="1293"/>
      <c r="AO776" s="1293"/>
      <c r="AP776" s="1293"/>
      <c r="AQ776" s="1293"/>
      <c r="AR776" s="1293"/>
      <c r="AS776" s="1293"/>
      <c r="AT776" s="1293"/>
      <c r="AU776" s="1293"/>
      <c r="AV776" s="1293"/>
      <c r="AW776" s="1293"/>
      <c r="AX776" s="1293"/>
      <c r="AY776" s="1293"/>
      <c r="AZ776" s="1293"/>
      <c r="BA776" s="1293"/>
      <c r="BB776" s="1293"/>
      <c r="BC776" s="1293"/>
      <c r="BD776" s="1293"/>
      <c r="BE776" s="1293"/>
      <c r="BF776" s="1293"/>
      <c r="BG776" s="1293"/>
      <c r="BH776" s="1293"/>
      <c r="BI776" s="1293"/>
      <c r="BJ776" s="1293"/>
      <c r="BK776" s="1293"/>
      <c r="BL776" s="1293"/>
      <c r="BM776" s="1293"/>
      <c r="BN776" s="1293"/>
      <c r="BO776" s="1293"/>
      <c r="BP776" s="1293"/>
      <c r="BQ776" s="1293"/>
      <c r="BR776" s="1293"/>
      <c r="BS776" s="1293"/>
      <c r="BT776" s="1293"/>
      <c r="BU776" s="1293"/>
      <c r="BV776" s="1293"/>
      <c r="BW776" s="1293"/>
      <c r="BX776" s="1293"/>
      <c r="BY776" s="1293"/>
      <c r="BZ776" s="1293"/>
      <c r="CA776" s="1293"/>
      <c r="CB776" s="1293"/>
      <c r="CC776" s="1293"/>
      <c r="CD776" s="1293"/>
      <c r="CE776" s="1293"/>
      <c r="CF776" s="1293"/>
      <c r="CG776" s="1293"/>
      <c r="CH776" s="1293"/>
      <c r="CI776" s="1293"/>
      <c r="CJ776" s="1293"/>
      <c r="CK776" s="1293"/>
      <c r="CL776" s="1293"/>
      <c r="CM776" s="1293"/>
      <c r="CN776" s="1293"/>
      <c r="CO776" s="1293"/>
      <c r="CP776" s="1293"/>
      <c r="CQ776" s="1293"/>
      <c r="CR776" s="1293"/>
      <c r="CS776" s="1293"/>
      <c r="CT776" s="1293"/>
      <c r="CU776" s="1293"/>
      <c r="CV776" s="1293"/>
      <c r="CW776" s="1293"/>
      <c r="CX776" s="1293"/>
      <c r="CY776" s="1293"/>
      <c r="CZ776" s="1293"/>
      <c r="DA776" s="2031"/>
      <c r="DB776" s="1293"/>
      <c r="DC776" s="1293"/>
      <c r="DD776" s="1293"/>
      <c r="DE776" s="1293"/>
      <c r="DF776" s="1293"/>
      <c r="DG776" s="1293"/>
      <c r="DH776" s="1293"/>
      <c r="DI776" s="1293"/>
      <c r="DJ776" s="1293"/>
      <c r="DK776" s="1293"/>
      <c r="DL776" s="1293"/>
    </row>
    <row r="777" spans="1:116" ht="15.75">
      <c r="A777" s="1293"/>
      <c r="B777" s="1293"/>
      <c r="C777" s="1293"/>
      <c r="D777" s="1293"/>
      <c r="E777" s="1293"/>
      <c r="F777" s="1293"/>
      <c r="G777" s="1293"/>
      <c r="H777" s="1293"/>
      <c r="I777" s="1293"/>
      <c r="J777" s="1293"/>
      <c r="K777" s="1293"/>
      <c r="L777" s="1293"/>
      <c r="M777" s="1293"/>
      <c r="N777" s="1293"/>
      <c r="O777" s="1293"/>
      <c r="P777" s="1293"/>
      <c r="Q777" s="1293"/>
      <c r="R777" s="1293"/>
      <c r="S777" s="1293"/>
      <c r="T777" s="1293"/>
      <c r="U777" s="1293"/>
      <c r="V777" s="1293"/>
      <c r="W777" s="1293"/>
      <c r="X777" s="1293"/>
      <c r="Y777" s="1293"/>
      <c r="Z777" s="1293"/>
      <c r="AA777" s="1293"/>
      <c r="AB777" s="1293"/>
      <c r="AC777" s="1293"/>
      <c r="AD777" s="1293"/>
      <c r="AE777" s="1293"/>
      <c r="AF777" s="1293"/>
      <c r="AG777" s="1293"/>
      <c r="AH777" s="1293"/>
      <c r="AI777" s="1293"/>
      <c r="AJ777" s="1293"/>
      <c r="AK777" s="1293"/>
      <c r="AL777" s="1293"/>
      <c r="AM777" s="1293"/>
      <c r="AN777" s="1293"/>
      <c r="AO777" s="1293"/>
      <c r="AP777" s="1293"/>
      <c r="AQ777" s="1293"/>
      <c r="AR777" s="1293"/>
      <c r="AS777" s="1293"/>
      <c r="AT777" s="1293"/>
      <c r="AU777" s="1293"/>
      <c r="AV777" s="1293"/>
      <c r="AW777" s="1293"/>
      <c r="AX777" s="1293"/>
      <c r="AY777" s="1293"/>
      <c r="AZ777" s="1293"/>
      <c r="BA777" s="1293"/>
      <c r="BB777" s="1293"/>
      <c r="BC777" s="1293"/>
      <c r="BD777" s="1293"/>
      <c r="BE777" s="1293"/>
      <c r="BF777" s="1293"/>
      <c r="BG777" s="1293"/>
      <c r="BH777" s="1293"/>
      <c r="BI777" s="1293"/>
      <c r="BJ777" s="1293"/>
      <c r="BK777" s="1293"/>
      <c r="BL777" s="1293"/>
      <c r="BM777" s="1293"/>
      <c r="BN777" s="1293"/>
      <c r="BO777" s="1293"/>
      <c r="BP777" s="1293"/>
      <c r="BQ777" s="1293"/>
      <c r="BR777" s="1293"/>
      <c r="BS777" s="1293"/>
      <c r="BT777" s="1293"/>
      <c r="BU777" s="1293"/>
      <c r="BV777" s="1293"/>
      <c r="BW777" s="1293"/>
      <c r="BX777" s="1293"/>
      <c r="BY777" s="1293"/>
      <c r="BZ777" s="1293"/>
      <c r="CA777" s="1293"/>
      <c r="CB777" s="1293"/>
      <c r="CC777" s="1293"/>
      <c r="CD777" s="1293"/>
      <c r="CE777" s="1293"/>
      <c r="CF777" s="1293"/>
      <c r="CG777" s="1293"/>
      <c r="CH777" s="1293"/>
      <c r="CI777" s="1293"/>
      <c r="CJ777" s="1293"/>
      <c r="CK777" s="1293"/>
      <c r="CL777" s="1293"/>
      <c r="CM777" s="1293"/>
      <c r="CN777" s="1293"/>
      <c r="CO777" s="1293"/>
      <c r="CP777" s="1293"/>
      <c r="CQ777" s="1293"/>
      <c r="CR777" s="1293"/>
      <c r="CS777" s="1293"/>
      <c r="CT777" s="1293"/>
      <c r="CU777" s="1293"/>
      <c r="CV777" s="1293"/>
      <c r="CW777" s="1293"/>
      <c r="CX777" s="1293"/>
      <c r="CY777" s="1293"/>
      <c r="CZ777" s="1293"/>
      <c r="DA777" s="2031"/>
      <c r="DB777" s="1293"/>
      <c r="DC777" s="1293"/>
      <c r="DD777" s="1293"/>
      <c r="DE777" s="1293"/>
      <c r="DF777" s="1293"/>
      <c r="DG777" s="1293"/>
      <c r="DH777" s="1293"/>
      <c r="DI777" s="1293"/>
      <c r="DJ777" s="1293"/>
      <c r="DK777" s="1293"/>
      <c r="DL777" s="1293"/>
    </row>
    <row r="778" spans="1:116" ht="15.75">
      <c r="A778" s="1293"/>
      <c r="B778" s="1293"/>
      <c r="C778" s="1293"/>
      <c r="D778" s="1293"/>
      <c r="E778" s="1293"/>
      <c r="F778" s="1293"/>
      <c r="G778" s="1293"/>
      <c r="H778" s="1293"/>
      <c r="I778" s="1293"/>
      <c r="J778" s="1293"/>
      <c r="K778" s="1293"/>
      <c r="L778" s="1293"/>
      <c r="M778" s="1293"/>
      <c r="N778" s="1293"/>
      <c r="O778" s="1293"/>
      <c r="P778" s="1293"/>
      <c r="Q778" s="1293"/>
      <c r="R778" s="1293"/>
      <c r="S778" s="1293"/>
      <c r="T778" s="1293"/>
      <c r="U778" s="1293"/>
      <c r="V778" s="1293"/>
      <c r="W778" s="1293"/>
      <c r="X778" s="1293"/>
      <c r="Y778" s="1293"/>
      <c r="Z778" s="1293"/>
      <c r="AA778" s="1293"/>
      <c r="AB778" s="1293"/>
      <c r="AC778" s="1293"/>
      <c r="AD778" s="1293"/>
      <c r="AE778" s="1293"/>
      <c r="AF778" s="1293"/>
      <c r="AG778" s="1293"/>
      <c r="AH778" s="1293"/>
      <c r="AI778" s="1293"/>
      <c r="AJ778" s="1293"/>
      <c r="AK778" s="1293"/>
      <c r="AL778" s="1293"/>
      <c r="AM778" s="1293"/>
      <c r="AN778" s="1293"/>
      <c r="AO778" s="1293"/>
      <c r="AP778" s="1293"/>
      <c r="AQ778" s="1293"/>
      <c r="AR778" s="1293"/>
      <c r="AS778" s="1293"/>
      <c r="AT778" s="1293"/>
      <c r="AU778" s="1293"/>
      <c r="AV778" s="1293"/>
      <c r="AW778" s="1293"/>
      <c r="AX778" s="1293"/>
      <c r="AY778" s="1293"/>
      <c r="AZ778" s="1293"/>
      <c r="BA778" s="1293"/>
      <c r="BB778" s="1293"/>
      <c r="BC778" s="1293"/>
      <c r="BD778" s="1293"/>
      <c r="BE778" s="1293"/>
      <c r="BF778" s="1293"/>
      <c r="BG778" s="1293"/>
      <c r="BH778" s="1293"/>
      <c r="BI778" s="1293"/>
      <c r="BJ778" s="1293"/>
      <c r="BK778" s="1293"/>
      <c r="BL778" s="1293"/>
      <c r="BM778" s="1293"/>
      <c r="BN778" s="1293"/>
      <c r="BO778" s="1293"/>
      <c r="BP778" s="1293"/>
      <c r="BQ778" s="1293"/>
      <c r="BR778" s="1293"/>
      <c r="BS778" s="1293"/>
      <c r="BT778" s="1293"/>
      <c r="BU778" s="1293"/>
      <c r="BV778" s="1293"/>
      <c r="BW778" s="1293"/>
      <c r="BX778" s="1293"/>
      <c r="BY778" s="1293"/>
      <c r="BZ778" s="1293"/>
      <c r="CA778" s="1293"/>
      <c r="CB778" s="1293"/>
      <c r="CC778" s="1293"/>
      <c r="CD778" s="1293"/>
      <c r="CE778" s="1293"/>
      <c r="CF778" s="1293"/>
      <c r="CG778" s="1293"/>
      <c r="CH778" s="1293"/>
      <c r="CI778" s="1293"/>
      <c r="CJ778" s="1293"/>
      <c r="CK778" s="1293"/>
      <c r="CL778" s="1293"/>
      <c r="CM778" s="1293"/>
      <c r="CN778" s="1293"/>
      <c r="CO778" s="1293"/>
      <c r="CP778" s="1293"/>
      <c r="CQ778" s="1293"/>
      <c r="CR778" s="1293"/>
      <c r="CS778" s="1293"/>
      <c r="CT778" s="1293"/>
      <c r="CU778" s="1293"/>
      <c r="CV778" s="1293"/>
      <c r="CW778" s="1293"/>
      <c r="CX778" s="1293"/>
      <c r="CY778" s="1293"/>
      <c r="CZ778" s="1293"/>
      <c r="DA778" s="2031"/>
      <c r="DB778" s="1293"/>
      <c r="DC778" s="1293"/>
      <c r="DD778" s="1293"/>
      <c r="DE778" s="1293"/>
      <c r="DF778" s="1293"/>
      <c r="DG778" s="1293"/>
      <c r="DH778" s="1293"/>
      <c r="DI778" s="1293"/>
      <c r="DJ778" s="1293"/>
      <c r="DK778" s="1293"/>
      <c r="DL778" s="1293"/>
    </row>
    <row r="779" spans="1:116" ht="15.75">
      <c r="A779" s="1293"/>
      <c r="B779" s="1293"/>
      <c r="C779" s="1293"/>
      <c r="D779" s="1293"/>
      <c r="E779" s="1293"/>
      <c r="F779" s="1293"/>
      <c r="G779" s="1293"/>
      <c r="H779" s="1293"/>
      <c r="I779" s="1293"/>
      <c r="J779" s="1293"/>
      <c r="K779" s="1293"/>
      <c r="L779" s="1293"/>
      <c r="M779" s="1293"/>
      <c r="N779" s="1293"/>
      <c r="O779" s="1293"/>
      <c r="P779" s="1293"/>
      <c r="Q779" s="1293"/>
      <c r="R779" s="1293"/>
      <c r="S779" s="1293"/>
      <c r="T779" s="1293"/>
      <c r="U779" s="1293"/>
      <c r="V779" s="1293"/>
      <c r="W779" s="1293"/>
      <c r="X779" s="1293"/>
      <c r="Y779" s="1293"/>
      <c r="Z779" s="1293"/>
      <c r="AA779" s="1293"/>
      <c r="AB779" s="1293"/>
      <c r="AC779" s="1293"/>
      <c r="AD779" s="1293"/>
      <c r="AE779" s="1293"/>
      <c r="AF779" s="1293"/>
      <c r="AG779" s="1293"/>
      <c r="AH779" s="1293"/>
      <c r="AI779" s="1293"/>
      <c r="AJ779" s="1293"/>
      <c r="AK779" s="1293"/>
      <c r="AL779" s="1293"/>
      <c r="AM779" s="1293"/>
      <c r="AN779" s="1293"/>
      <c r="AO779" s="1293"/>
      <c r="AP779" s="1293"/>
      <c r="AQ779" s="1293"/>
      <c r="AR779" s="1293"/>
      <c r="AS779" s="1293"/>
      <c r="AT779" s="1293"/>
      <c r="AU779" s="1293"/>
      <c r="AV779" s="1293"/>
      <c r="AW779" s="1293"/>
      <c r="AX779" s="1293"/>
      <c r="AY779" s="1293"/>
      <c r="AZ779" s="1293"/>
      <c r="BA779" s="1293"/>
      <c r="BB779" s="1293"/>
      <c r="BC779" s="1293"/>
      <c r="BD779" s="1293"/>
      <c r="BE779" s="1293"/>
      <c r="BF779" s="1293"/>
      <c r="BG779" s="1293"/>
      <c r="BH779" s="1293"/>
      <c r="BI779" s="1293"/>
      <c r="BJ779" s="1293"/>
      <c r="BK779" s="1293"/>
      <c r="BL779" s="1293"/>
      <c r="BM779" s="1293"/>
      <c r="BN779" s="1293"/>
      <c r="BO779" s="1293"/>
      <c r="BP779" s="1293"/>
      <c r="BQ779" s="1293"/>
      <c r="BR779" s="1293"/>
      <c r="BS779" s="1293"/>
      <c r="BT779" s="1293"/>
      <c r="BU779" s="1293"/>
      <c r="BV779" s="1293"/>
      <c r="BW779" s="1293"/>
      <c r="BX779" s="1293"/>
      <c r="BY779" s="1293"/>
      <c r="BZ779" s="1293"/>
      <c r="CA779" s="1293"/>
      <c r="CB779" s="1293"/>
      <c r="CC779" s="1293"/>
      <c r="CD779" s="1293"/>
      <c r="CE779" s="1293"/>
      <c r="CF779" s="1293"/>
      <c r="CG779" s="1293"/>
      <c r="CH779" s="1293"/>
      <c r="CI779" s="1293"/>
      <c r="CJ779" s="1293"/>
      <c r="CK779" s="1293"/>
      <c r="CL779" s="1293"/>
      <c r="CM779" s="1293"/>
      <c r="CN779" s="1293"/>
      <c r="CO779" s="1293"/>
      <c r="CP779" s="1293"/>
      <c r="CQ779" s="1293"/>
      <c r="CR779" s="1293"/>
      <c r="CS779" s="1293"/>
      <c r="CT779" s="1293"/>
      <c r="CU779" s="1293"/>
      <c r="CV779" s="1293"/>
      <c r="CW779" s="1293"/>
      <c r="CX779" s="1293"/>
      <c r="CY779" s="1293"/>
      <c r="CZ779" s="1293"/>
      <c r="DA779" s="2031"/>
      <c r="DB779" s="1293"/>
      <c r="DC779" s="1293"/>
      <c r="DD779" s="1293"/>
      <c r="DE779" s="1293"/>
      <c r="DF779" s="1293"/>
      <c r="DG779" s="1293"/>
      <c r="DH779" s="1293"/>
      <c r="DI779" s="1293"/>
      <c r="DJ779" s="1293"/>
      <c r="DK779" s="1293"/>
      <c r="DL779" s="1293"/>
    </row>
    <row r="780" spans="1:116" ht="15.75">
      <c r="A780" s="1293"/>
      <c r="B780" s="1293"/>
      <c r="C780" s="1293"/>
      <c r="D780" s="1293"/>
      <c r="E780" s="1293"/>
      <c r="F780" s="1293"/>
      <c r="G780" s="1293"/>
      <c r="H780" s="1293"/>
      <c r="I780" s="1293"/>
      <c r="J780" s="1293"/>
      <c r="K780" s="1293"/>
      <c r="L780" s="1293"/>
      <c r="M780" s="1293"/>
      <c r="N780" s="1293"/>
      <c r="O780" s="1293"/>
      <c r="P780" s="1293"/>
      <c r="Q780" s="1293"/>
      <c r="R780" s="1293"/>
      <c r="S780" s="1293"/>
      <c r="T780" s="1293"/>
      <c r="U780" s="1293"/>
      <c r="V780" s="1293"/>
      <c r="W780" s="1293"/>
      <c r="X780" s="1293"/>
      <c r="Y780" s="1293"/>
      <c r="Z780" s="1293"/>
      <c r="AA780" s="1293"/>
      <c r="AB780" s="1293"/>
      <c r="AC780" s="1293"/>
      <c r="AD780" s="1293"/>
      <c r="AE780" s="1293"/>
      <c r="AF780" s="1293"/>
      <c r="AG780" s="1293"/>
      <c r="AH780" s="1293"/>
      <c r="AI780" s="1293"/>
      <c r="AJ780" s="1293"/>
      <c r="AK780" s="1293"/>
      <c r="AL780" s="1293"/>
      <c r="AM780" s="1293"/>
      <c r="AN780" s="1293"/>
      <c r="AO780" s="1293"/>
      <c r="AP780" s="1293"/>
      <c r="AQ780" s="1293"/>
      <c r="AR780" s="1293"/>
      <c r="AS780" s="1293"/>
      <c r="AT780" s="1293"/>
      <c r="AU780" s="1293"/>
      <c r="AV780" s="1293"/>
      <c r="AW780" s="1293"/>
      <c r="AX780" s="1293"/>
      <c r="AY780" s="1293"/>
      <c r="AZ780" s="1293"/>
      <c r="BA780" s="1293"/>
      <c r="BB780" s="1293"/>
      <c r="BC780" s="1293"/>
      <c r="BD780" s="1293"/>
      <c r="BE780" s="1293"/>
      <c r="BF780" s="1293"/>
      <c r="BG780" s="1293"/>
      <c r="BH780" s="1293"/>
      <c r="BI780" s="1293"/>
      <c r="BJ780" s="1293"/>
      <c r="BK780" s="1293"/>
      <c r="BL780" s="1293"/>
      <c r="BM780" s="1293"/>
      <c r="BN780" s="1293"/>
      <c r="BO780" s="1293"/>
      <c r="BP780" s="1293"/>
      <c r="BQ780" s="1293"/>
      <c r="BR780" s="1293"/>
      <c r="BS780" s="1293"/>
      <c r="BT780" s="1293"/>
      <c r="BU780" s="1293"/>
      <c r="BV780" s="1293"/>
      <c r="BW780" s="1293"/>
      <c r="BX780" s="1293"/>
      <c r="BY780" s="1293"/>
      <c r="BZ780" s="1293"/>
      <c r="CA780" s="1293"/>
      <c r="CB780" s="1293"/>
      <c r="CC780" s="1293"/>
      <c r="CD780" s="1293"/>
      <c r="CE780" s="1293"/>
      <c r="CF780" s="1293"/>
      <c r="CG780" s="1293"/>
      <c r="CH780" s="1293"/>
      <c r="CI780" s="1293"/>
      <c r="CJ780" s="1293"/>
      <c r="CK780" s="1293"/>
      <c r="CL780" s="1293"/>
      <c r="CM780" s="1293"/>
      <c r="CN780" s="1293"/>
      <c r="CO780" s="1293"/>
      <c r="CP780" s="1293"/>
      <c r="CQ780" s="1293"/>
      <c r="CR780" s="1293"/>
      <c r="CS780" s="1293"/>
      <c r="CT780" s="1293"/>
      <c r="CU780" s="1293"/>
      <c r="CV780" s="1293"/>
      <c r="CW780" s="1293"/>
      <c r="CX780" s="1293"/>
      <c r="CY780" s="1293"/>
      <c r="CZ780" s="1293"/>
      <c r="DA780" s="2031"/>
      <c r="DB780" s="1293"/>
      <c r="DC780" s="1293"/>
      <c r="DD780" s="1293"/>
      <c r="DE780" s="1293"/>
      <c r="DF780" s="1293"/>
      <c r="DG780" s="1293"/>
      <c r="DH780" s="1293"/>
      <c r="DI780" s="1293"/>
      <c r="DJ780" s="1293"/>
      <c r="DK780" s="1293"/>
      <c r="DL780" s="1293"/>
    </row>
    <row r="781" spans="1:116" ht="15.75">
      <c r="A781" s="1293"/>
      <c r="B781" s="1293"/>
      <c r="C781" s="1293"/>
      <c r="D781" s="1293"/>
      <c r="E781" s="1293"/>
      <c r="F781" s="1293"/>
      <c r="G781" s="1293"/>
      <c r="H781" s="1293"/>
      <c r="I781" s="1293"/>
      <c r="J781" s="1293"/>
      <c r="K781" s="1293"/>
      <c r="L781" s="1293"/>
      <c r="M781" s="1293"/>
      <c r="N781" s="1293"/>
      <c r="O781" s="1293"/>
      <c r="P781" s="1293"/>
      <c r="Q781" s="1293"/>
      <c r="R781" s="1293"/>
      <c r="S781" s="1293"/>
      <c r="T781" s="1293"/>
      <c r="U781" s="1293"/>
      <c r="V781" s="1293"/>
      <c r="W781" s="1293"/>
      <c r="X781" s="1293"/>
      <c r="Y781" s="1293"/>
      <c r="Z781" s="1293"/>
      <c r="AA781" s="1293"/>
      <c r="AB781" s="1293"/>
      <c r="AC781" s="1293"/>
      <c r="AD781" s="1293"/>
      <c r="AE781" s="1293"/>
      <c r="AF781" s="1293"/>
      <c r="AG781" s="1293"/>
      <c r="AH781" s="1293"/>
      <c r="AI781" s="1293"/>
      <c r="AJ781" s="1293"/>
      <c r="AK781" s="1293"/>
      <c r="AL781" s="1293"/>
      <c r="AM781" s="1293"/>
      <c r="AN781" s="1293"/>
      <c r="AO781" s="1293"/>
      <c r="AP781" s="1293"/>
      <c r="AQ781" s="1293"/>
      <c r="AR781" s="1293"/>
      <c r="AS781" s="1293"/>
      <c r="AT781" s="1293"/>
      <c r="AU781" s="1293"/>
      <c r="AV781" s="1293"/>
      <c r="AW781" s="1293"/>
      <c r="AX781" s="1293"/>
      <c r="AY781" s="1293"/>
      <c r="AZ781" s="1293"/>
      <c r="BA781" s="1293"/>
      <c r="BB781" s="1293"/>
      <c r="BC781" s="1293"/>
      <c r="BD781" s="1293"/>
      <c r="BE781" s="1293"/>
      <c r="BF781" s="1293"/>
      <c r="BG781" s="1293"/>
      <c r="BH781" s="1293"/>
      <c r="BI781" s="1293"/>
      <c r="BJ781" s="1293"/>
      <c r="BK781" s="1293"/>
      <c r="BL781" s="1293"/>
      <c r="BM781" s="1293"/>
      <c r="BN781" s="1293"/>
      <c r="BO781" s="1293"/>
      <c r="BP781" s="1293"/>
      <c r="BQ781" s="1293"/>
      <c r="BR781" s="1293"/>
      <c r="BS781" s="1293"/>
      <c r="BT781" s="1293"/>
      <c r="BU781" s="1293"/>
      <c r="BV781" s="1293"/>
      <c r="BW781" s="1293"/>
      <c r="BX781" s="1293"/>
      <c r="BY781" s="1293"/>
      <c r="BZ781" s="1293"/>
      <c r="CA781" s="1293"/>
      <c r="CB781" s="1293"/>
      <c r="CC781" s="1293"/>
      <c r="CD781" s="1293"/>
      <c r="CE781" s="1293"/>
      <c r="CF781" s="1293"/>
      <c r="CG781" s="1293"/>
      <c r="CH781" s="1293"/>
      <c r="CI781" s="1293"/>
      <c r="CJ781" s="1293"/>
      <c r="CK781" s="1293"/>
      <c r="CL781" s="1293"/>
      <c r="CM781" s="1293"/>
      <c r="CN781" s="1293"/>
      <c r="CO781" s="1293"/>
      <c r="CP781" s="1293"/>
      <c r="CQ781" s="1293"/>
      <c r="CR781" s="1293"/>
      <c r="CS781" s="1293"/>
      <c r="CT781" s="1293"/>
      <c r="CU781" s="1293"/>
      <c r="CV781" s="1293"/>
      <c r="CW781" s="1293"/>
      <c r="CX781" s="1293"/>
      <c r="CY781" s="1293"/>
      <c r="CZ781" s="1293"/>
      <c r="DA781" s="2031"/>
      <c r="DB781" s="1293"/>
      <c r="DC781" s="1293"/>
      <c r="DD781" s="1293"/>
      <c r="DE781" s="1293"/>
      <c r="DF781" s="1293"/>
      <c r="DG781" s="1293"/>
      <c r="DH781" s="1293"/>
      <c r="DI781" s="1293"/>
      <c r="DJ781" s="1293"/>
      <c r="DK781" s="1293"/>
      <c r="DL781" s="1293"/>
    </row>
    <row r="782" spans="1:116" ht="15.75">
      <c r="A782" s="1293"/>
      <c r="B782" s="1293"/>
      <c r="C782" s="1293"/>
      <c r="D782" s="1293"/>
      <c r="E782" s="1293"/>
      <c r="F782" s="1293"/>
      <c r="G782" s="1293"/>
      <c r="H782" s="1293"/>
      <c r="I782" s="1293"/>
      <c r="J782" s="1293"/>
      <c r="K782" s="1293"/>
      <c r="L782" s="1293"/>
      <c r="M782" s="1293"/>
      <c r="N782" s="1293"/>
      <c r="O782" s="1293"/>
      <c r="P782" s="1293"/>
      <c r="Q782" s="1293"/>
      <c r="R782" s="1293"/>
      <c r="S782" s="1293"/>
      <c r="T782" s="1293"/>
      <c r="U782" s="1293"/>
      <c r="V782" s="1293"/>
      <c r="W782" s="1293"/>
      <c r="X782" s="1293"/>
      <c r="Y782" s="1293"/>
      <c r="Z782" s="1293"/>
      <c r="AA782" s="1293"/>
      <c r="AB782" s="1293"/>
      <c r="AC782" s="1293"/>
      <c r="AD782" s="1293"/>
      <c r="AE782" s="1293"/>
      <c r="AF782" s="1293"/>
      <c r="AG782" s="1293"/>
      <c r="AH782" s="1293"/>
      <c r="AI782" s="1293"/>
      <c r="AJ782" s="1293"/>
      <c r="AK782" s="1293"/>
      <c r="AL782" s="1293"/>
      <c r="AM782" s="1293"/>
      <c r="AN782" s="1293"/>
      <c r="AO782" s="1293"/>
      <c r="AP782" s="1293"/>
      <c r="AQ782" s="1293"/>
      <c r="AR782" s="1293"/>
      <c r="AS782" s="1293"/>
      <c r="AT782" s="1293"/>
      <c r="AU782" s="1293"/>
      <c r="AV782" s="1293"/>
      <c r="AW782" s="1293"/>
      <c r="AX782" s="1293"/>
      <c r="AY782" s="1293"/>
      <c r="AZ782" s="1293"/>
      <c r="BA782" s="1293"/>
      <c r="BB782" s="1293"/>
      <c r="BC782" s="1293"/>
      <c r="BD782" s="1293"/>
      <c r="BE782" s="1293"/>
      <c r="BF782" s="1293"/>
      <c r="BG782" s="1293"/>
      <c r="BH782" s="1293"/>
      <c r="BI782" s="1293"/>
      <c r="BJ782" s="1293"/>
      <c r="BK782" s="1293"/>
      <c r="BL782" s="1293"/>
      <c r="BM782" s="1293"/>
      <c r="BN782" s="1293"/>
      <c r="BO782" s="1293"/>
      <c r="BP782" s="1293"/>
      <c r="BQ782" s="1293"/>
      <c r="BR782" s="1293"/>
      <c r="BS782" s="1293"/>
      <c r="BT782" s="1293"/>
      <c r="BU782" s="1293"/>
      <c r="BV782" s="1293"/>
      <c r="BW782" s="1293"/>
      <c r="BX782" s="1293"/>
      <c r="BY782" s="1293"/>
      <c r="BZ782" s="1293"/>
      <c r="CA782" s="1293"/>
      <c r="CB782" s="1293"/>
      <c r="CC782" s="1293"/>
      <c r="CD782" s="1293"/>
      <c r="CE782" s="1293"/>
      <c r="CF782" s="1293"/>
      <c r="CG782" s="1293"/>
      <c r="CH782" s="1293"/>
      <c r="CI782" s="1293"/>
      <c r="CJ782" s="1293"/>
      <c r="CK782" s="1293"/>
      <c r="CL782" s="1293"/>
      <c r="CM782" s="1293"/>
      <c r="CN782" s="1293"/>
      <c r="CO782" s="1293"/>
      <c r="CP782" s="1293"/>
      <c r="CQ782" s="1293"/>
      <c r="CR782" s="1293"/>
      <c r="CS782" s="1293"/>
      <c r="CT782" s="1293"/>
      <c r="CU782" s="1293"/>
      <c r="CV782" s="1293"/>
      <c r="CW782" s="1293"/>
      <c r="CX782" s="1293"/>
      <c r="CY782" s="1293"/>
      <c r="CZ782" s="1293"/>
      <c r="DA782" s="2031"/>
      <c r="DB782" s="1293"/>
      <c r="DC782" s="1293"/>
      <c r="DD782" s="1293"/>
      <c r="DE782" s="1293"/>
      <c r="DF782" s="1293"/>
      <c r="DG782" s="1293"/>
      <c r="DH782" s="1293"/>
      <c r="DI782" s="1293"/>
      <c r="DJ782" s="1293"/>
      <c r="DK782" s="1293"/>
      <c r="DL782" s="1293"/>
    </row>
    <row r="783" spans="1:116" ht="15.75">
      <c r="A783" s="1293"/>
      <c r="B783" s="1293"/>
      <c r="C783" s="1293"/>
      <c r="D783" s="1293"/>
      <c r="E783" s="1293"/>
      <c r="F783" s="1293"/>
      <c r="G783" s="1293"/>
      <c r="H783" s="1293"/>
      <c r="I783" s="1293"/>
      <c r="J783" s="1293"/>
      <c r="K783" s="1293"/>
      <c r="L783" s="1293"/>
      <c r="M783" s="1293"/>
      <c r="N783" s="1293"/>
      <c r="O783" s="1293"/>
      <c r="P783" s="1293"/>
      <c r="Q783" s="1293"/>
      <c r="R783" s="1293"/>
      <c r="S783" s="1293"/>
      <c r="T783" s="1293"/>
      <c r="U783" s="1293"/>
      <c r="V783" s="1293"/>
      <c r="W783" s="1293"/>
      <c r="X783" s="1293"/>
      <c r="Y783" s="1293"/>
      <c r="Z783" s="1293"/>
      <c r="AA783" s="1293"/>
      <c r="AB783" s="1293"/>
      <c r="AC783" s="1293"/>
      <c r="AD783" s="1293"/>
      <c r="AE783" s="1293"/>
      <c r="AF783" s="1293"/>
      <c r="AG783" s="1293"/>
      <c r="AH783" s="1293"/>
      <c r="AI783" s="1293"/>
      <c r="AJ783" s="1293"/>
      <c r="AK783" s="1293"/>
      <c r="AL783" s="1293"/>
      <c r="AM783" s="1293"/>
      <c r="AN783" s="1293"/>
      <c r="AO783" s="1293"/>
      <c r="AP783" s="1293"/>
      <c r="AQ783" s="1293"/>
      <c r="AR783" s="1293"/>
      <c r="AS783" s="1293"/>
      <c r="AT783" s="1293"/>
      <c r="AU783" s="1293"/>
      <c r="AV783" s="1293"/>
      <c r="AW783" s="1293"/>
      <c r="AX783" s="1293"/>
      <c r="AY783" s="1293"/>
      <c r="AZ783" s="1293"/>
      <c r="BA783" s="1293"/>
      <c r="BB783" s="1293"/>
      <c r="BC783" s="1293"/>
      <c r="BD783" s="1293"/>
      <c r="BE783" s="1293"/>
      <c r="BF783" s="1293"/>
      <c r="BG783" s="1293"/>
      <c r="BH783" s="1293"/>
      <c r="BI783" s="1293"/>
      <c r="BJ783" s="1293"/>
      <c r="BK783" s="1293"/>
      <c r="BL783" s="1293"/>
      <c r="BM783" s="1293"/>
      <c r="BN783" s="1293"/>
      <c r="BO783" s="1293"/>
      <c r="BP783" s="1293"/>
      <c r="BQ783" s="1293"/>
      <c r="BR783" s="1293"/>
      <c r="BS783" s="1293"/>
      <c r="BT783" s="1293"/>
      <c r="BU783" s="1293"/>
      <c r="BV783" s="1293"/>
      <c r="BW783" s="1293"/>
      <c r="BX783" s="1293"/>
      <c r="BY783" s="1293"/>
      <c r="BZ783" s="1293"/>
      <c r="CA783" s="1293"/>
      <c r="CB783" s="1293"/>
      <c r="CC783" s="1293"/>
      <c r="CD783" s="1293"/>
      <c r="CE783" s="1293"/>
      <c r="CF783" s="1293"/>
      <c r="CG783" s="1293"/>
      <c r="CH783" s="1293"/>
      <c r="CI783" s="1293"/>
      <c r="CJ783" s="1293"/>
      <c r="CK783" s="1293"/>
      <c r="CL783" s="1293"/>
      <c r="CM783" s="1293"/>
      <c r="CN783" s="1293"/>
      <c r="CO783" s="1293"/>
      <c r="CP783" s="1293"/>
      <c r="CQ783" s="1293"/>
      <c r="CR783" s="1293"/>
      <c r="CS783" s="1293"/>
      <c r="CT783" s="1293"/>
      <c r="CU783" s="1293"/>
      <c r="CV783" s="1293"/>
      <c r="CW783" s="1293"/>
      <c r="CX783" s="1293"/>
      <c r="CY783" s="1293"/>
      <c r="CZ783" s="1293"/>
      <c r="DA783" s="2031"/>
      <c r="DB783" s="1293"/>
      <c r="DC783" s="1293"/>
      <c r="DD783" s="1293"/>
      <c r="DE783" s="1293"/>
      <c r="DF783" s="1293"/>
      <c r="DG783" s="1293"/>
      <c r="DH783" s="1293"/>
      <c r="DI783" s="1293"/>
      <c r="DJ783" s="1293"/>
      <c r="DK783" s="1293"/>
      <c r="DL783" s="1293"/>
    </row>
    <row r="784" spans="1:116" ht="15.75">
      <c r="A784" s="1293"/>
      <c r="B784" s="1293"/>
      <c r="C784" s="1293"/>
      <c r="D784" s="1293"/>
      <c r="E784" s="1293"/>
      <c r="F784" s="1293"/>
      <c r="G784" s="1293"/>
      <c r="H784" s="1293"/>
      <c r="I784" s="1293"/>
      <c r="J784" s="1293"/>
      <c r="K784" s="1293"/>
      <c r="L784" s="1293"/>
      <c r="M784" s="1293"/>
      <c r="N784" s="1293"/>
      <c r="O784" s="1293"/>
      <c r="P784" s="1293"/>
      <c r="Q784" s="1293"/>
      <c r="R784" s="1293"/>
      <c r="S784" s="1293"/>
      <c r="T784" s="1293"/>
      <c r="U784" s="1293"/>
      <c r="V784" s="1293"/>
      <c r="W784" s="1293"/>
      <c r="X784" s="1293"/>
      <c r="Y784" s="1293"/>
      <c r="Z784" s="1293"/>
      <c r="AA784" s="1293"/>
      <c r="AB784" s="1293"/>
      <c r="AC784" s="1293"/>
      <c r="AD784" s="1293"/>
      <c r="AE784" s="1293"/>
      <c r="AF784" s="1293"/>
      <c r="AG784" s="1293"/>
      <c r="AH784" s="1293"/>
      <c r="AI784" s="1293"/>
      <c r="AJ784" s="1293"/>
      <c r="AK784" s="1293"/>
      <c r="AL784" s="1293"/>
      <c r="AM784" s="1293"/>
      <c r="AN784" s="1293"/>
      <c r="AO784" s="1293"/>
      <c r="AP784" s="1293"/>
      <c r="AQ784" s="1293"/>
      <c r="AR784" s="1293"/>
      <c r="AS784" s="1293"/>
      <c r="AT784" s="1293"/>
      <c r="AU784" s="1293"/>
      <c r="AV784" s="1293"/>
      <c r="AW784" s="1293"/>
      <c r="AX784" s="1293"/>
      <c r="AY784" s="1293"/>
      <c r="AZ784" s="1293"/>
      <c r="BA784" s="1293"/>
      <c r="BB784" s="1293"/>
      <c r="BC784" s="1293"/>
      <c r="BD784" s="1293"/>
      <c r="BE784" s="1293"/>
      <c r="BF784" s="1293"/>
      <c r="BG784" s="1293"/>
      <c r="BH784" s="1293"/>
      <c r="BI784" s="1293"/>
      <c r="BJ784" s="1293"/>
      <c r="BK784" s="1293"/>
      <c r="BL784" s="1293"/>
      <c r="BM784" s="1293"/>
      <c r="BN784" s="1293"/>
      <c r="BO784" s="1293"/>
      <c r="BP784" s="1293"/>
      <c r="BQ784" s="1293"/>
      <c r="BR784" s="1293"/>
      <c r="BS784" s="1293"/>
      <c r="BT784" s="1293"/>
      <c r="BU784" s="1293"/>
      <c r="BV784" s="1293"/>
      <c r="BW784" s="1293"/>
      <c r="BX784" s="1293"/>
      <c r="BY784" s="1293"/>
      <c r="BZ784" s="1293"/>
      <c r="CA784" s="1293"/>
      <c r="CB784" s="1293"/>
      <c r="CC784" s="1293"/>
      <c r="CD784" s="1293"/>
      <c r="CE784" s="1293"/>
      <c r="CF784" s="1293"/>
      <c r="CG784" s="1293"/>
      <c r="CH784" s="1293"/>
      <c r="CI784" s="1293"/>
      <c r="CJ784" s="1293"/>
      <c r="CK784" s="1293"/>
      <c r="CL784" s="1293"/>
      <c r="CM784" s="1293"/>
      <c r="CN784" s="1293"/>
      <c r="CO784" s="1293"/>
      <c r="CP784" s="1293"/>
      <c r="CQ784" s="1293"/>
      <c r="CR784" s="1293"/>
      <c r="CS784" s="1293"/>
      <c r="CT784" s="1293"/>
      <c r="CU784" s="1293"/>
      <c r="CV784" s="1293"/>
      <c r="CW784" s="1293"/>
      <c r="CX784" s="1293"/>
      <c r="CY784" s="1293"/>
      <c r="CZ784" s="1293"/>
      <c r="DA784" s="2031"/>
      <c r="DB784" s="1293"/>
      <c r="DC784" s="1293"/>
      <c r="DD784" s="1293"/>
      <c r="DE784" s="1293"/>
      <c r="DF784" s="1293"/>
      <c r="DG784" s="1293"/>
      <c r="DH784" s="1293"/>
      <c r="DI784" s="1293"/>
      <c r="DJ784" s="1293"/>
      <c r="DK784" s="1293"/>
      <c r="DL784" s="1293"/>
    </row>
    <row r="785" spans="1:116" ht="15.75">
      <c r="A785" s="1293"/>
      <c r="B785" s="1293"/>
      <c r="C785" s="1293"/>
      <c r="D785" s="1293"/>
      <c r="E785" s="1293"/>
      <c r="F785" s="1293"/>
      <c r="G785" s="1293"/>
      <c r="H785" s="1293"/>
      <c r="I785" s="1293"/>
      <c r="J785" s="1293"/>
      <c r="K785" s="1293"/>
      <c r="L785" s="1293"/>
      <c r="M785" s="1293"/>
      <c r="N785" s="1293"/>
      <c r="O785" s="1293"/>
      <c r="P785" s="1293"/>
      <c r="Q785" s="1293"/>
      <c r="R785" s="1293"/>
      <c r="S785" s="1293"/>
      <c r="T785" s="1293"/>
      <c r="U785" s="1293"/>
      <c r="V785" s="1293"/>
      <c r="W785" s="1293"/>
      <c r="X785" s="1293"/>
      <c r="Y785" s="1293"/>
      <c r="Z785" s="1293"/>
      <c r="AA785" s="1293"/>
      <c r="AB785" s="1293"/>
      <c r="AC785" s="1293"/>
      <c r="AD785" s="1293"/>
      <c r="AE785" s="1293"/>
      <c r="AF785" s="1293"/>
      <c r="AG785" s="1293"/>
      <c r="AH785" s="1293"/>
      <c r="AI785" s="1293"/>
      <c r="AJ785" s="1293"/>
      <c r="AK785" s="1293"/>
      <c r="AL785" s="1293"/>
      <c r="AM785" s="1293"/>
      <c r="AN785" s="1293"/>
      <c r="AO785" s="1293"/>
      <c r="AP785" s="1293"/>
      <c r="AQ785" s="1293"/>
      <c r="AR785" s="1293"/>
      <c r="AS785" s="1293"/>
      <c r="AT785" s="1293"/>
      <c r="AU785" s="1293"/>
      <c r="AV785" s="1293"/>
      <c r="AW785" s="1293"/>
      <c r="AX785" s="1293"/>
      <c r="AY785" s="1293"/>
      <c r="AZ785" s="1293"/>
      <c r="BA785" s="1293"/>
      <c r="BB785" s="1293"/>
      <c r="BC785" s="1293"/>
      <c r="BD785" s="1293"/>
      <c r="BE785" s="1293"/>
      <c r="BF785" s="1293"/>
      <c r="BG785" s="1293"/>
      <c r="BH785" s="1293"/>
      <c r="BI785" s="1293"/>
      <c r="BJ785" s="1293"/>
      <c r="BK785" s="1293"/>
      <c r="BL785" s="1293"/>
      <c r="BM785" s="1293"/>
      <c r="BN785" s="1293"/>
      <c r="BO785" s="1293"/>
      <c r="BP785" s="1293"/>
      <c r="BQ785" s="1293"/>
      <c r="BR785" s="1293"/>
      <c r="BS785" s="1293"/>
      <c r="BT785" s="1293"/>
      <c r="BU785" s="1293"/>
      <c r="BV785" s="1293"/>
      <c r="BW785" s="1293"/>
      <c r="BX785" s="1293"/>
      <c r="BY785" s="1293"/>
      <c r="BZ785" s="1293"/>
      <c r="CA785" s="1293"/>
      <c r="CB785" s="1293"/>
      <c r="CC785" s="1293"/>
      <c r="CD785" s="1293"/>
      <c r="CE785" s="1293"/>
      <c r="CF785" s="1293"/>
      <c r="CG785" s="1293"/>
      <c r="CH785" s="1293"/>
      <c r="CI785" s="1293"/>
      <c r="CJ785" s="1293"/>
      <c r="CK785" s="1293"/>
      <c r="CL785" s="1293"/>
      <c r="CM785" s="1293"/>
      <c r="CN785" s="1293"/>
      <c r="CO785" s="1293"/>
      <c r="CP785" s="1293"/>
      <c r="CQ785" s="1293"/>
      <c r="CR785" s="1293"/>
      <c r="CS785" s="1293"/>
      <c r="CT785" s="1293"/>
      <c r="CU785" s="1293"/>
      <c r="CV785" s="1293"/>
      <c r="CW785" s="1293"/>
      <c r="CX785" s="1293"/>
      <c r="CY785" s="1293"/>
      <c r="CZ785" s="1293"/>
      <c r="DA785" s="2031"/>
      <c r="DB785" s="1293"/>
      <c r="DC785" s="1293"/>
      <c r="DD785" s="1293"/>
      <c r="DE785" s="1293"/>
      <c r="DF785" s="1293"/>
      <c r="DG785" s="1293"/>
      <c r="DH785" s="1293"/>
      <c r="DI785" s="1293"/>
      <c r="DJ785" s="1293"/>
      <c r="DK785" s="1293"/>
      <c r="DL785" s="1293"/>
    </row>
    <row r="786" spans="1:116" ht="15.75">
      <c r="A786" s="1293"/>
      <c r="B786" s="1293"/>
      <c r="C786" s="1293"/>
      <c r="D786" s="1293"/>
      <c r="E786" s="1293"/>
      <c r="F786" s="1293"/>
      <c r="G786" s="1293"/>
      <c r="H786" s="1293"/>
      <c r="I786" s="1293"/>
      <c r="J786" s="1293"/>
      <c r="K786" s="1293"/>
      <c r="L786" s="1293"/>
      <c r="M786" s="1293"/>
      <c r="N786" s="1293"/>
      <c r="O786" s="1293"/>
      <c r="P786" s="1293"/>
      <c r="Q786" s="1293"/>
      <c r="R786" s="1293"/>
      <c r="S786" s="1293"/>
      <c r="T786" s="1293"/>
      <c r="U786" s="1293"/>
      <c r="V786" s="1293"/>
      <c r="W786" s="1293"/>
      <c r="X786" s="1293"/>
      <c r="Y786" s="1293"/>
      <c r="Z786" s="1293"/>
      <c r="AA786" s="1293"/>
      <c r="AB786" s="1293"/>
      <c r="AC786" s="1293"/>
      <c r="AD786" s="1293"/>
      <c r="AE786" s="1293"/>
      <c r="AF786" s="1293"/>
      <c r="AG786" s="1293"/>
      <c r="AH786" s="1293"/>
      <c r="AI786" s="1293"/>
      <c r="AJ786" s="1293"/>
      <c r="AK786" s="1293"/>
      <c r="AL786" s="1293"/>
      <c r="AM786" s="1293"/>
      <c r="AN786" s="1293"/>
      <c r="AO786" s="1293"/>
      <c r="AP786" s="1293"/>
      <c r="AQ786" s="1293"/>
      <c r="AR786" s="1293"/>
      <c r="AS786" s="1293"/>
      <c r="AT786" s="1293"/>
      <c r="AU786" s="1293"/>
      <c r="AV786" s="1293"/>
      <c r="AW786" s="1293"/>
      <c r="AX786" s="1293"/>
      <c r="AY786" s="1293"/>
      <c r="AZ786" s="1293"/>
      <c r="BA786" s="1293"/>
      <c r="BB786" s="1293"/>
      <c r="BC786" s="1293"/>
      <c r="BD786" s="1293"/>
      <c r="BE786" s="1293"/>
      <c r="BF786" s="1293"/>
      <c r="BG786" s="1293"/>
      <c r="BH786" s="1293"/>
      <c r="BI786" s="1293"/>
      <c r="BJ786" s="1293"/>
      <c r="BK786" s="1293"/>
      <c r="BL786" s="1293"/>
      <c r="BM786" s="1293"/>
      <c r="BN786" s="1293"/>
      <c r="BO786" s="1293"/>
      <c r="BP786" s="1293"/>
      <c r="BQ786" s="1293"/>
      <c r="BR786" s="1293"/>
      <c r="BS786" s="1293"/>
      <c r="BT786" s="1293"/>
      <c r="BU786" s="1293"/>
      <c r="BV786" s="1293"/>
      <c r="BW786" s="1293"/>
      <c r="BX786" s="1293"/>
      <c r="BY786" s="1293"/>
      <c r="BZ786" s="1293"/>
      <c r="CA786" s="1293"/>
      <c r="CB786" s="1293"/>
      <c r="CC786" s="1293"/>
      <c r="CD786" s="1293"/>
      <c r="CE786" s="1293"/>
      <c r="CF786" s="1293"/>
      <c r="CG786" s="1293"/>
      <c r="CH786" s="1293"/>
      <c r="CI786" s="1293"/>
      <c r="CJ786" s="1293"/>
      <c r="CK786" s="1293"/>
      <c r="CL786" s="1293"/>
      <c r="CM786" s="1293"/>
      <c r="CN786" s="1293"/>
      <c r="CO786" s="1293"/>
      <c r="CP786" s="1293"/>
      <c r="CQ786" s="1293"/>
      <c r="CR786" s="1293"/>
      <c r="CS786" s="1293"/>
      <c r="CT786" s="1293"/>
      <c r="CU786" s="1293"/>
      <c r="CV786" s="1293"/>
      <c r="CW786" s="1293"/>
      <c r="CX786" s="1293"/>
      <c r="CY786" s="1293"/>
      <c r="CZ786" s="1293"/>
      <c r="DA786" s="2031"/>
      <c r="DB786" s="1293"/>
      <c r="DC786" s="1293"/>
      <c r="DD786" s="1293"/>
      <c r="DE786" s="1293"/>
      <c r="DF786" s="1293"/>
      <c r="DG786" s="1293"/>
      <c r="DH786" s="1293"/>
      <c r="DI786" s="1293"/>
      <c r="DJ786" s="1293"/>
      <c r="DK786" s="1293"/>
      <c r="DL786" s="1293"/>
    </row>
    <row r="787" spans="1:116" ht="15.75">
      <c r="A787" s="1293"/>
      <c r="B787" s="1293"/>
      <c r="C787" s="1293"/>
      <c r="D787" s="1293"/>
      <c r="E787" s="1293"/>
      <c r="F787" s="1293"/>
      <c r="G787" s="1293"/>
      <c r="H787" s="1293"/>
      <c r="I787" s="1293"/>
      <c r="J787" s="1293"/>
      <c r="K787" s="1293"/>
      <c r="L787" s="1293"/>
      <c r="M787" s="1293"/>
      <c r="N787" s="1293"/>
      <c r="O787" s="1293"/>
      <c r="P787" s="1293"/>
      <c r="Q787" s="1293"/>
      <c r="R787" s="1293"/>
      <c r="S787" s="1293"/>
      <c r="T787" s="1293"/>
      <c r="U787" s="1293"/>
      <c r="V787" s="1293"/>
      <c r="W787" s="1293"/>
      <c r="X787" s="1293"/>
      <c r="Y787" s="1293"/>
      <c r="Z787" s="1293"/>
      <c r="AA787" s="1293"/>
      <c r="AB787" s="1293"/>
      <c r="AC787" s="1293"/>
      <c r="AD787" s="1293"/>
      <c r="AE787" s="1293"/>
      <c r="AF787" s="1293"/>
      <c r="AG787" s="1293"/>
      <c r="AH787" s="1293"/>
      <c r="AI787" s="1293"/>
      <c r="AJ787" s="1293"/>
      <c r="AK787" s="1293"/>
      <c r="AL787" s="1293"/>
      <c r="AM787" s="1293"/>
      <c r="AN787" s="1293"/>
      <c r="AO787" s="1293"/>
      <c r="AP787" s="1293"/>
      <c r="AQ787" s="1293"/>
      <c r="AR787" s="1293"/>
      <c r="AS787" s="1293"/>
      <c r="AT787" s="1293"/>
      <c r="AU787" s="1293"/>
      <c r="AV787" s="1293"/>
      <c r="AW787" s="1293"/>
      <c r="AX787" s="1293"/>
      <c r="AY787" s="1293"/>
      <c r="AZ787" s="1293"/>
      <c r="BA787" s="1293"/>
      <c r="BB787" s="1293"/>
      <c r="BC787" s="1293"/>
      <c r="BD787" s="1293"/>
      <c r="BE787" s="1293"/>
      <c r="BF787" s="1293"/>
      <c r="BG787" s="1293"/>
      <c r="BH787" s="1293"/>
      <c r="BI787" s="1293"/>
      <c r="BJ787" s="1293"/>
      <c r="BK787" s="1293"/>
      <c r="BL787" s="1293"/>
      <c r="BM787" s="1293"/>
      <c r="BN787" s="1293"/>
      <c r="BO787" s="1293"/>
      <c r="BP787" s="1293"/>
      <c r="BQ787" s="1293"/>
      <c r="BR787" s="1293"/>
      <c r="BS787" s="1293"/>
      <c r="BT787" s="1293"/>
      <c r="BU787" s="1293"/>
      <c r="BV787" s="1293"/>
      <c r="BW787" s="1293"/>
      <c r="BX787" s="1293"/>
      <c r="BY787" s="1293"/>
      <c r="BZ787" s="1293"/>
      <c r="CA787" s="1293"/>
      <c r="CB787" s="1293"/>
      <c r="CC787" s="1293"/>
      <c r="CD787" s="1293"/>
      <c r="CE787" s="1293"/>
      <c r="CF787" s="1293"/>
      <c r="CG787" s="1293"/>
      <c r="CH787" s="1293"/>
      <c r="CI787" s="1293"/>
      <c r="CJ787" s="1293"/>
      <c r="CK787" s="1293"/>
      <c r="CL787" s="1293"/>
      <c r="CM787" s="1293"/>
      <c r="CN787" s="1293"/>
      <c r="CO787" s="1293"/>
      <c r="CP787" s="1293"/>
      <c r="CQ787" s="1293"/>
      <c r="CR787" s="1293"/>
      <c r="CS787" s="1293"/>
      <c r="CT787" s="1293"/>
      <c r="CU787" s="1293"/>
      <c r="CV787" s="1293"/>
      <c r="CW787" s="1293"/>
      <c r="CX787" s="1293"/>
      <c r="CY787" s="1293"/>
      <c r="CZ787" s="1293"/>
      <c r="DA787" s="2031"/>
      <c r="DB787" s="1293"/>
      <c r="DC787" s="1293"/>
      <c r="DD787" s="1293"/>
      <c r="DE787" s="1293"/>
      <c r="DF787" s="1293"/>
      <c r="DG787" s="1293"/>
      <c r="DH787" s="1293"/>
      <c r="DI787" s="1293"/>
      <c r="DJ787" s="1293"/>
      <c r="DK787" s="1293"/>
      <c r="DL787" s="1293"/>
    </row>
    <row r="788" spans="1:116" ht="15.75">
      <c r="A788" s="1293"/>
      <c r="B788" s="1293"/>
      <c r="C788" s="1293"/>
      <c r="D788" s="1293"/>
      <c r="E788" s="1293"/>
      <c r="F788" s="1293"/>
      <c r="G788" s="1293"/>
      <c r="H788" s="1293"/>
      <c r="I788" s="1293"/>
      <c r="J788" s="1293"/>
      <c r="K788" s="1293"/>
      <c r="L788" s="1293"/>
      <c r="M788" s="1293"/>
      <c r="N788" s="1293"/>
      <c r="O788" s="1293"/>
      <c r="P788" s="1293"/>
      <c r="Q788" s="1293"/>
      <c r="R788" s="1293"/>
      <c r="S788" s="1293"/>
      <c r="T788" s="1293"/>
      <c r="U788" s="1293"/>
      <c r="V788" s="1293"/>
      <c r="W788" s="1293"/>
      <c r="X788" s="1293"/>
      <c r="Y788" s="1293"/>
      <c r="Z788" s="1293"/>
      <c r="AA788" s="1293"/>
      <c r="AB788" s="1293"/>
      <c r="AC788" s="1293"/>
      <c r="AD788" s="1293"/>
      <c r="AE788" s="1293"/>
      <c r="AF788" s="1293"/>
      <c r="AG788" s="1293"/>
      <c r="AH788" s="1293"/>
      <c r="AI788" s="1293"/>
      <c r="AJ788" s="1293"/>
      <c r="AK788" s="1293"/>
      <c r="AL788" s="1293"/>
      <c r="AM788" s="1293"/>
      <c r="AN788" s="1293"/>
      <c r="AO788" s="1293"/>
      <c r="AP788" s="1293"/>
      <c r="AQ788" s="1293"/>
      <c r="AR788" s="1293"/>
      <c r="AS788" s="1293"/>
      <c r="AT788" s="1293"/>
      <c r="AU788" s="1293"/>
      <c r="AV788" s="1293"/>
      <c r="AW788" s="1293"/>
      <c r="AX788" s="1293"/>
      <c r="AY788" s="1293"/>
      <c r="AZ788" s="1293"/>
      <c r="BA788" s="1293"/>
      <c r="BB788" s="1293"/>
      <c r="BC788" s="1293"/>
      <c r="BD788" s="1293"/>
      <c r="BE788" s="1293"/>
      <c r="BF788" s="1293"/>
      <c r="BG788" s="1293"/>
      <c r="BH788" s="1293"/>
      <c r="BI788" s="1293"/>
      <c r="BJ788" s="1293"/>
      <c r="BK788" s="1293"/>
      <c r="BL788" s="1293"/>
      <c r="BM788" s="1293"/>
      <c r="BN788" s="1293"/>
      <c r="BO788" s="1293"/>
      <c r="BP788" s="1293"/>
      <c r="BQ788" s="1293"/>
      <c r="BR788" s="1293"/>
      <c r="BS788" s="1293"/>
      <c r="BT788" s="1293"/>
      <c r="BU788" s="1293"/>
      <c r="BV788" s="1293"/>
      <c r="BW788" s="1293"/>
      <c r="BX788" s="1293"/>
      <c r="BY788" s="1293"/>
      <c r="BZ788" s="1293"/>
      <c r="CA788" s="1293"/>
      <c r="CB788" s="1293"/>
      <c r="CC788" s="1293"/>
      <c r="CD788" s="1293"/>
      <c r="CE788" s="1293"/>
      <c r="CF788" s="1293"/>
      <c r="CG788" s="1293"/>
      <c r="CH788" s="1293"/>
      <c r="CI788" s="1293"/>
      <c r="CJ788" s="1293"/>
      <c r="CK788" s="1293"/>
      <c r="CL788" s="1293"/>
      <c r="CM788" s="1293"/>
      <c r="CN788" s="1293"/>
      <c r="CO788" s="1293"/>
      <c r="CP788" s="1293"/>
      <c r="CQ788" s="1293"/>
      <c r="CR788" s="1293"/>
      <c r="CS788" s="1293"/>
      <c r="CT788" s="1293"/>
      <c r="CU788" s="1293"/>
      <c r="CV788" s="1293"/>
      <c r="CW788" s="1293"/>
      <c r="CX788" s="1293"/>
      <c r="CY788" s="1293"/>
      <c r="CZ788" s="1293"/>
      <c r="DA788" s="2031"/>
      <c r="DB788" s="1293"/>
      <c r="DC788" s="1293"/>
      <c r="DD788" s="1293"/>
      <c r="DE788" s="1293"/>
      <c r="DF788" s="1293"/>
      <c r="DG788" s="1293"/>
      <c r="DH788" s="1293"/>
      <c r="DI788" s="1293"/>
      <c r="DJ788" s="1293"/>
      <c r="DK788" s="1293"/>
      <c r="DL788" s="1293"/>
    </row>
    <row r="789" spans="1:116" ht="15.75">
      <c r="A789" s="1293"/>
      <c r="B789" s="1293"/>
      <c r="C789" s="1293"/>
      <c r="D789" s="1293"/>
      <c r="E789" s="1293"/>
      <c r="F789" s="1293"/>
      <c r="G789" s="1293"/>
      <c r="H789" s="1293"/>
      <c r="I789" s="1293"/>
      <c r="J789" s="1293"/>
      <c r="K789" s="1293"/>
      <c r="L789" s="1293"/>
      <c r="M789" s="1293"/>
      <c r="N789" s="1293"/>
      <c r="O789" s="1293"/>
      <c r="P789" s="1293"/>
      <c r="Q789" s="1293"/>
      <c r="R789" s="1293"/>
      <c r="S789" s="1293"/>
      <c r="T789" s="1293"/>
      <c r="U789" s="1293"/>
      <c r="V789" s="1293"/>
      <c r="W789" s="1293"/>
      <c r="X789" s="1293"/>
      <c r="Y789" s="1293"/>
      <c r="Z789" s="1293"/>
      <c r="AA789" s="1293"/>
      <c r="AB789" s="1293"/>
      <c r="AC789" s="1293"/>
      <c r="AD789" s="1293"/>
      <c r="AE789" s="1293"/>
      <c r="AF789" s="1293"/>
      <c r="AG789" s="1293"/>
      <c r="AH789" s="1293"/>
      <c r="AI789" s="1293"/>
      <c r="AJ789" s="1293"/>
      <c r="AK789" s="1293"/>
      <c r="AL789" s="1293"/>
      <c r="AM789" s="1293"/>
      <c r="AN789" s="1293"/>
      <c r="AO789" s="1293"/>
      <c r="AP789" s="1293"/>
      <c r="AQ789" s="1293"/>
      <c r="AR789" s="1293"/>
      <c r="AS789" s="1293"/>
      <c r="AT789" s="1293"/>
      <c r="AU789" s="1293"/>
      <c r="AV789" s="1293"/>
      <c r="AW789" s="1293"/>
      <c r="AX789" s="1293"/>
      <c r="AY789" s="1293"/>
      <c r="AZ789" s="1293"/>
      <c r="BA789" s="1293"/>
      <c r="BB789" s="1293"/>
      <c r="BC789" s="1293"/>
      <c r="BD789" s="1293"/>
      <c r="BE789" s="1293"/>
      <c r="BF789" s="1293"/>
      <c r="BG789" s="1293"/>
      <c r="BH789" s="1293"/>
      <c r="BI789" s="1293"/>
      <c r="BJ789" s="1293"/>
      <c r="BK789" s="1293"/>
      <c r="BL789" s="1293"/>
      <c r="BM789" s="1293"/>
      <c r="BN789" s="1293"/>
      <c r="BO789" s="1293"/>
      <c r="BP789" s="1293"/>
      <c r="BQ789" s="1293"/>
      <c r="BR789" s="1293"/>
      <c r="BS789" s="1293"/>
      <c r="BT789" s="1293"/>
      <c r="BU789" s="1293"/>
      <c r="BV789" s="1293"/>
      <c r="BW789" s="1293"/>
      <c r="BX789" s="1293"/>
      <c r="BY789" s="1293"/>
      <c r="BZ789" s="1293"/>
      <c r="CA789" s="1293"/>
      <c r="CB789" s="1293"/>
      <c r="CC789" s="1293"/>
      <c r="CD789" s="1293"/>
      <c r="CE789" s="1293"/>
      <c r="CF789" s="1293"/>
      <c r="CG789" s="1293"/>
      <c r="CH789" s="1293"/>
      <c r="CI789" s="1293"/>
      <c r="CJ789" s="1293"/>
      <c r="CK789" s="1293"/>
      <c r="CL789" s="1293"/>
      <c r="CM789" s="1293"/>
      <c r="CN789" s="1293"/>
      <c r="CO789" s="1293"/>
      <c r="CP789" s="1293"/>
      <c r="CQ789" s="1293"/>
      <c r="CR789" s="1293"/>
      <c r="CS789" s="1293"/>
      <c r="CT789" s="1293"/>
      <c r="CU789" s="1293"/>
      <c r="CV789" s="1293"/>
      <c r="CW789" s="1293"/>
      <c r="CX789" s="1293"/>
      <c r="CY789" s="1293"/>
      <c r="CZ789" s="1293"/>
      <c r="DA789" s="2031"/>
      <c r="DB789" s="1293"/>
      <c r="DC789" s="1293"/>
      <c r="DD789" s="1293"/>
      <c r="DE789" s="1293"/>
      <c r="DF789" s="1293"/>
      <c r="DG789" s="1293"/>
      <c r="DH789" s="1293"/>
      <c r="DI789" s="1293"/>
      <c r="DJ789" s="1293"/>
      <c r="DK789" s="1293"/>
      <c r="DL789" s="1293"/>
    </row>
    <row r="790" spans="1:116" ht="15.75">
      <c r="A790" s="1293"/>
      <c r="B790" s="1293"/>
      <c r="C790" s="1293"/>
      <c r="D790" s="1293"/>
      <c r="E790" s="1293"/>
      <c r="F790" s="1293"/>
      <c r="G790" s="1293"/>
      <c r="H790" s="1293"/>
      <c r="I790" s="1293"/>
      <c r="J790" s="1293"/>
      <c r="K790" s="1293"/>
      <c r="L790" s="1293"/>
      <c r="M790" s="1293"/>
      <c r="N790" s="1293"/>
      <c r="O790" s="1293"/>
      <c r="P790" s="1293"/>
      <c r="Q790" s="1293"/>
      <c r="R790" s="1293"/>
      <c r="S790" s="1293"/>
      <c r="T790" s="1293"/>
      <c r="U790" s="1293"/>
      <c r="V790" s="1293"/>
      <c r="W790" s="1293"/>
      <c r="X790" s="1293"/>
      <c r="Y790" s="1293"/>
      <c r="Z790" s="1293"/>
      <c r="AA790" s="1293"/>
      <c r="AB790" s="1293"/>
      <c r="AC790" s="1293"/>
      <c r="AD790" s="1293"/>
      <c r="AE790" s="1293"/>
      <c r="AF790" s="1293"/>
      <c r="AG790" s="1293"/>
      <c r="AH790" s="1293"/>
      <c r="AI790" s="1293"/>
      <c r="AJ790" s="1293"/>
      <c r="AK790" s="1293"/>
      <c r="AL790" s="1293"/>
      <c r="AM790" s="1293"/>
      <c r="AN790" s="1293"/>
      <c r="AO790" s="1293"/>
      <c r="AP790" s="1293"/>
      <c r="AQ790" s="1293"/>
      <c r="AR790" s="1293"/>
      <c r="AS790" s="1293"/>
      <c r="AT790" s="1293"/>
      <c r="AU790" s="1293"/>
      <c r="AV790" s="1293"/>
      <c r="AW790" s="1293"/>
      <c r="AX790" s="1293"/>
      <c r="AY790" s="1293"/>
      <c r="AZ790" s="1293"/>
      <c r="BA790" s="1293"/>
      <c r="BB790" s="1293"/>
      <c r="BC790" s="1293"/>
      <c r="BD790" s="1293"/>
      <c r="BE790" s="1293"/>
      <c r="BF790" s="1293"/>
      <c r="BG790" s="1293"/>
      <c r="BH790" s="1293"/>
      <c r="BI790" s="1293"/>
      <c r="BJ790" s="1293"/>
      <c r="BK790" s="1293"/>
      <c r="BL790" s="1293"/>
      <c r="BM790" s="1293"/>
      <c r="BN790" s="1293"/>
      <c r="BO790" s="1293"/>
      <c r="BP790" s="1293"/>
      <c r="BQ790" s="1293"/>
      <c r="BR790" s="1293"/>
      <c r="BS790" s="1293"/>
      <c r="BT790" s="1293"/>
      <c r="BU790" s="1293"/>
      <c r="BV790" s="1293"/>
      <c r="BW790" s="1293"/>
      <c r="BX790" s="1293"/>
      <c r="BY790" s="1293"/>
      <c r="BZ790" s="1293"/>
      <c r="CA790" s="1293"/>
      <c r="CB790" s="1293"/>
      <c r="CC790" s="1293"/>
      <c r="CD790" s="1293"/>
      <c r="CE790" s="1293"/>
      <c r="CF790" s="1293"/>
      <c r="CG790" s="1293"/>
      <c r="CH790" s="1293"/>
      <c r="CI790" s="1293"/>
      <c r="CJ790" s="1293"/>
      <c r="CK790" s="1293"/>
      <c r="CL790" s="1293"/>
      <c r="CM790" s="1293"/>
      <c r="CN790" s="1293"/>
      <c r="CO790" s="1293"/>
      <c r="CP790" s="1293"/>
      <c r="CQ790" s="1293"/>
      <c r="CR790" s="1293"/>
      <c r="CS790" s="1293"/>
      <c r="CT790" s="1293"/>
      <c r="CU790" s="1293"/>
      <c r="CV790" s="1293"/>
      <c r="CW790" s="1293"/>
      <c r="CX790" s="1293"/>
      <c r="CY790" s="1293"/>
      <c r="CZ790" s="1293"/>
      <c r="DA790" s="2031"/>
      <c r="DB790" s="1293"/>
      <c r="DC790" s="1293"/>
      <c r="DD790" s="1293"/>
      <c r="DE790" s="1293"/>
      <c r="DF790" s="1293"/>
      <c r="DG790" s="1293"/>
      <c r="DH790" s="1293"/>
      <c r="DI790" s="1293"/>
      <c r="DJ790" s="1293"/>
      <c r="DK790" s="1293"/>
      <c r="DL790" s="1293"/>
    </row>
    <row r="791" spans="1:116" ht="15.75">
      <c r="A791" s="1293"/>
      <c r="B791" s="1293"/>
      <c r="C791" s="1293"/>
      <c r="D791" s="1293"/>
      <c r="E791" s="1293"/>
      <c r="F791" s="1293"/>
      <c r="G791" s="1293"/>
      <c r="H791" s="1293"/>
      <c r="I791" s="1293"/>
      <c r="J791" s="1293"/>
      <c r="K791" s="1293"/>
      <c r="L791" s="1293"/>
      <c r="M791" s="1293"/>
      <c r="N791" s="1293"/>
      <c r="O791" s="1293"/>
      <c r="P791" s="1293"/>
      <c r="Q791" s="1293"/>
      <c r="R791" s="1293"/>
      <c r="S791" s="1293"/>
      <c r="T791" s="1293"/>
      <c r="U791" s="1293"/>
      <c r="V791" s="1293"/>
      <c r="W791" s="1293"/>
      <c r="X791" s="1293"/>
      <c r="Y791" s="1293"/>
      <c r="Z791" s="1293"/>
      <c r="AA791" s="1293"/>
      <c r="AB791" s="1293"/>
      <c r="AC791" s="1293"/>
      <c r="AD791" s="1293"/>
      <c r="AE791" s="1293"/>
      <c r="AF791" s="1293"/>
      <c r="AG791" s="1293"/>
      <c r="AH791" s="1293"/>
      <c r="AI791" s="1293"/>
      <c r="AJ791" s="1293"/>
      <c r="AK791" s="1293"/>
      <c r="AL791" s="1293"/>
      <c r="AM791" s="1293"/>
      <c r="AN791" s="1293"/>
      <c r="AO791" s="1293"/>
      <c r="AP791" s="1293"/>
      <c r="AQ791" s="1293"/>
      <c r="AR791" s="1293"/>
      <c r="AS791" s="1293"/>
      <c r="AT791" s="1293"/>
      <c r="AU791" s="1293"/>
      <c r="AV791" s="1293"/>
      <c r="AW791" s="1293"/>
      <c r="AX791" s="1293"/>
      <c r="AY791" s="1293"/>
      <c r="AZ791" s="1293"/>
      <c r="BA791" s="1293"/>
      <c r="BB791" s="1293"/>
      <c r="BC791" s="1293"/>
      <c r="BD791" s="1293"/>
      <c r="BE791" s="1293"/>
      <c r="BF791" s="1293"/>
      <c r="BG791" s="1293"/>
      <c r="BH791" s="1293"/>
      <c r="BI791" s="1293"/>
      <c r="BJ791" s="1293"/>
      <c r="BK791" s="1293"/>
      <c r="BL791" s="1293"/>
      <c r="BM791" s="1293"/>
      <c r="BN791" s="1293"/>
      <c r="BO791" s="1293"/>
      <c r="BP791" s="1293"/>
      <c r="BQ791" s="1293"/>
      <c r="BR791" s="1293"/>
      <c r="BS791" s="1293"/>
      <c r="BT791" s="1293"/>
      <c r="BU791" s="1293"/>
      <c r="BV791" s="1293"/>
      <c r="BW791" s="1293"/>
      <c r="BX791" s="1293"/>
      <c r="BY791" s="1293"/>
      <c r="BZ791" s="1293"/>
      <c r="CA791" s="1293"/>
      <c r="CB791" s="1293"/>
      <c r="CC791" s="1293"/>
      <c r="CD791" s="1293"/>
      <c r="CE791" s="1293"/>
      <c r="CF791" s="1293"/>
      <c r="CG791" s="1293"/>
      <c r="CH791" s="1293"/>
      <c r="CI791" s="1293"/>
      <c r="CJ791" s="1293"/>
      <c r="CK791" s="1293"/>
      <c r="CL791" s="1293"/>
      <c r="CM791" s="1293"/>
      <c r="CN791" s="1293"/>
      <c r="CO791" s="1293"/>
      <c r="CP791" s="1293"/>
      <c r="CQ791" s="1293"/>
      <c r="CR791" s="1293"/>
      <c r="CS791" s="1293"/>
      <c r="CT791" s="1293"/>
      <c r="CU791" s="1293"/>
      <c r="CV791" s="1293"/>
      <c r="CW791" s="1293"/>
      <c r="CX791" s="1293"/>
      <c r="CY791" s="1293"/>
      <c r="CZ791" s="1293"/>
      <c r="DA791" s="2031"/>
      <c r="DB791" s="1293"/>
      <c r="DC791" s="1293"/>
      <c r="DD791" s="1293"/>
      <c r="DE791" s="1293"/>
      <c r="DF791" s="1293"/>
      <c r="DG791" s="1293"/>
      <c r="DH791" s="1293"/>
      <c r="DI791" s="1293"/>
      <c r="DJ791" s="1293"/>
      <c r="DK791" s="1293"/>
      <c r="DL791" s="1293"/>
    </row>
    <row r="792" spans="1:116" ht="15.75">
      <c r="A792" s="1293"/>
      <c r="B792" s="1293"/>
      <c r="C792" s="1293"/>
      <c r="D792" s="1293"/>
      <c r="E792" s="1293"/>
      <c r="F792" s="1293"/>
      <c r="G792" s="1293"/>
      <c r="H792" s="1293"/>
      <c r="I792" s="1293"/>
      <c r="J792" s="1293"/>
      <c r="K792" s="1293"/>
      <c r="L792" s="1293"/>
      <c r="M792" s="1293"/>
      <c r="N792" s="1293"/>
      <c r="O792" s="1293"/>
      <c r="P792" s="1293"/>
      <c r="Q792" s="1293"/>
      <c r="R792" s="1293"/>
      <c r="S792" s="1293"/>
      <c r="T792" s="1293"/>
      <c r="U792" s="1293"/>
      <c r="V792" s="1293"/>
      <c r="W792" s="1293"/>
      <c r="X792" s="1293"/>
      <c r="Y792" s="1293"/>
      <c r="Z792" s="1293"/>
      <c r="AA792" s="1293"/>
      <c r="AB792" s="1293"/>
      <c r="AC792" s="1293"/>
      <c r="AD792" s="1293"/>
      <c r="AE792" s="1293"/>
      <c r="AF792" s="1293"/>
      <c r="AG792" s="1293"/>
      <c r="AH792" s="1293"/>
      <c r="AI792" s="1293"/>
      <c r="AJ792" s="1293"/>
      <c r="AK792" s="1293"/>
      <c r="AL792" s="1293"/>
      <c r="AM792" s="1293"/>
      <c r="AN792" s="1293"/>
      <c r="AO792" s="1293"/>
      <c r="AP792" s="1293"/>
      <c r="AQ792" s="1293"/>
      <c r="AR792" s="1293"/>
      <c r="AS792" s="1293"/>
      <c r="AT792" s="1293"/>
      <c r="AU792" s="1293"/>
      <c r="AV792" s="1293"/>
      <c r="AW792" s="1293"/>
      <c r="AX792" s="1293"/>
      <c r="AY792" s="1293"/>
      <c r="AZ792" s="1293"/>
      <c r="BA792" s="1293"/>
      <c r="BB792" s="1293"/>
      <c r="BC792" s="1293"/>
      <c r="BD792" s="1293"/>
      <c r="BE792" s="1293"/>
      <c r="BF792" s="1293"/>
      <c r="BG792" s="1293"/>
      <c r="BH792" s="1293"/>
      <c r="BI792" s="1293"/>
      <c r="BJ792" s="1293"/>
      <c r="BK792" s="1293"/>
      <c r="BL792" s="1293"/>
      <c r="BM792" s="1293"/>
      <c r="BN792" s="1293"/>
      <c r="BO792" s="1293"/>
      <c r="BP792" s="1293"/>
      <c r="BQ792" s="1293"/>
      <c r="BR792" s="1293"/>
      <c r="BS792" s="1293"/>
      <c r="BT792" s="1293"/>
      <c r="BU792" s="1293"/>
      <c r="BV792" s="1293"/>
      <c r="BW792" s="1293"/>
      <c r="BX792" s="1293"/>
      <c r="BY792" s="1293"/>
      <c r="BZ792" s="1293"/>
      <c r="CA792" s="1293"/>
      <c r="CB792" s="1293"/>
      <c r="CC792" s="1293"/>
      <c r="CD792" s="1293"/>
      <c r="CE792" s="1293"/>
      <c r="CF792" s="1293"/>
      <c r="CG792" s="1293"/>
      <c r="CH792" s="1293"/>
      <c r="CI792" s="1293"/>
      <c r="CJ792" s="1293"/>
      <c r="CK792" s="1293"/>
      <c r="CL792" s="1293"/>
      <c r="CM792" s="1293"/>
      <c r="CN792" s="1293"/>
      <c r="CO792" s="1293"/>
      <c r="CP792" s="1293"/>
      <c r="CQ792" s="1293"/>
      <c r="CR792" s="1293"/>
      <c r="CS792" s="1293"/>
      <c r="CT792" s="1293"/>
      <c r="CU792" s="1293"/>
      <c r="CV792" s="1293"/>
      <c r="CW792" s="1293"/>
      <c r="CX792" s="1293"/>
      <c r="CY792" s="1293"/>
      <c r="CZ792" s="1293"/>
      <c r="DA792" s="2031"/>
      <c r="DB792" s="1293"/>
      <c r="DC792" s="1293"/>
      <c r="DD792" s="1293"/>
      <c r="DE792" s="1293"/>
      <c r="DF792" s="1293"/>
      <c r="DG792" s="1293"/>
      <c r="DH792" s="1293"/>
      <c r="DI792" s="1293"/>
      <c r="DJ792" s="1293"/>
      <c r="DK792" s="1293"/>
      <c r="DL792" s="1293"/>
    </row>
    <row r="793" spans="1:116" ht="15.75">
      <c r="A793" s="1293"/>
      <c r="B793" s="1293"/>
      <c r="C793" s="1293"/>
      <c r="D793" s="1293"/>
      <c r="E793" s="1293"/>
      <c r="F793" s="1293"/>
      <c r="G793" s="1293"/>
      <c r="H793" s="1293"/>
      <c r="I793" s="1293"/>
      <c r="J793" s="1293"/>
      <c r="K793" s="1293"/>
      <c r="L793" s="1293"/>
      <c r="M793" s="1293"/>
      <c r="N793" s="1293"/>
      <c r="O793" s="1293"/>
      <c r="P793" s="1293"/>
      <c r="Q793" s="1293"/>
      <c r="R793" s="1293"/>
      <c r="S793" s="1293"/>
      <c r="T793" s="1293"/>
      <c r="U793" s="1293"/>
      <c r="V793" s="1293"/>
      <c r="W793" s="1293"/>
      <c r="X793" s="1293"/>
      <c r="Y793" s="1293"/>
      <c r="Z793" s="1293"/>
      <c r="AA793" s="1293"/>
      <c r="AB793" s="1293"/>
      <c r="AC793" s="1293"/>
      <c r="AD793" s="1293"/>
      <c r="AE793" s="1293"/>
      <c r="AF793" s="1293"/>
      <c r="AG793" s="1293"/>
      <c r="AH793" s="1293"/>
      <c r="AI793" s="1293"/>
      <c r="AJ793" s="1293"/>
      <c r="AK793" s="1293"/>
      <c r="AL793" s="1293"/>
      <c r="AM793" s="1293"/>
      <c r="AN793" s="1293"/>
      <c r="AO793" s="1293"/>
      <c r="AP793" s="1293"/>
      <c r="AQ793" s="1293"/>
      <c r="AR793" s="1293"/>
      <c r="AS793" s="1293"/>
      <c r="AT793" s="1293"/>
      <c r="AU793" s="1293"/>
      <c r="AV793" s="1293"/>
      <c r="AW793" s="1293"/>
      <c r="AX793" s="1293"/>
      <c r="AY793" s="1293"/>
      <c r="AZ793" s="1293"/>
      <c r="BA793" s="1293"/>
      <c r="BB793" s="1293"/>
      <c r="BC793" s="1293"/>
      <c r="BD793" s="1293"/>
      <c r="BE793" s="1293"/>
      <c r="BF793" s="1293"/>
      <c r="BG793" s="1293"/>
      <c r="BH793" s="1293"/>
      <c r="BI793" s="1293"/>
      <c r="BJ793" s="1293"/>
      <c r="BK793" s="1293"/>
      <c r="BL793" s="1293"/>
      <c r="BM793" s="1293"/>
      <c r="BN793" s="1293"/>
      <c r="BO793" s="1293"/>
      <c r="BP793" s="1293"/>
      <c r="BQ793" s="1293"/>
      <c r="BR793" s="1293"/>
      <c r="BS793" s="1293"/>
      <c r="BT793" s="1293"/>
      <c r="BU793" s="1293"/>
      <c r="BV793" s="1293"/>
      <c r="BW793" s="1293"/>
      <c r="BX793" s="1293"/>
      <c r="BY793" s="1293"/>
      <c r="BZ793" s="1293"/>
      <c r="CA793" s="1293"/>
      <c r="CB793" s="1293"/>
      <c r="CC793" s="1293"/>
      <c r="CD793" s="1293"/>
      <c r="CE793" s="1293"/>
      <c r="CF793" s="1293"/>
      <c r="CG793" s="1293"/>
      <c r="CH793" s="1293"/>
      <c r="CI793" s="1293"/>
      <c r="CJ793" s="1293"/>
      <c r="CK793" s="1293"/>
      <c r="CL793" s="1293"/>
      <c r="CM793" s="1293"/>
      <c r="CN793" s="1293"/>
      <c r="CO793" s="1293"/>
      <c r="CP793" s="1293"/>
      <c r="CQ793" s="1293"/>
      <c r="CR793" s="1293"/>
      <c r="CS793" s="1293"/>
      <c r="CT793" s="1293"/>
      <c r="CU793" s="1293"/>
      <c r="CV793" s="1293"/>
      <c r="CW793" s="1293"/>
      <c r="CX793" s="1293"/>
      <c r="CY793" s="1293"/>
      <c r="CZ793" s="1293"/>
      <c r="DA793" s="2031"/>
      <c r="DB793" s="1293"/>
      <c r="DC793" s="1293"/>
      <c r="DD793" s="1293"/>
      <c r="DE793" s="1293"/>
      <c r="DF793" s="1293"/>
      <c r="DG793" s="1293"/>
      <c r="DH793" s="1293"/>
      <c r="DI793" s="1293"/>
      <c r="DJ793" s="1293"/>
      <c r="DK793" s="1293"/>
      <c r="DL793" s="1293"/>
    </row>
    <row r="794" spans="1:116" ht="15.75">
      <c r="A794" s="1293"/>
      <c r="B794" s="1293"/>
      <c r="C794" s="1293"/>
      <c r="D794" s="1293"/>
      <c r="E794" s="1293"/>
      <c r="F794" s="1293"/>
      <c r="G794" s="1293"/>
      <c r="H794" s="1293"/>
      <c r="I794" s="1293"/>
      <c r="J794" s="1293"/>
      <c r="K794" s="1293"/>
      <c r="L794" s="1293"/>
      <c r="M794" s="1293"/>
      <c r="N794" s="1293"/>
      <c r="O794" s="1293"/>
      <c r="P794" s="1293"/>
      <c r="Q794" s="1293"/>
      <c r="R794" s="1293"/>
      <c r="S794" s="1293"/>
      <c r="T794" s="1293"/>
      <c r="U794" s="1293"/>
      <c r="V794" s="1293"/>
      <c r="W794" s="1293"/>
      <c r="X794" s="1293"/>
      <c r="Y794" s="1293"/>
      <c r="Z794" s="1293"/>
      <c r="AA794" s="1293"/>
      <c r="AB794" s="1293"/>
      <c r="AC794" s="1293"/>
      <c r="AD794" s="1293"/>
      <c r="AE794" s="1293"/>
      <c r="AF794" s="1293"/>
      <c r="AG794" s="1293"/>
      <c r="AH794" s="1293"/>
      <c r="AI794" s="1293"/>
      <c r="AJ794" s="1293"/>
      <c r="AK794" s="1293"/>
      <c r="AL794" s="1293"/>
      <c r="AM794" s="1293"/>
      <c r="AN794" s="1293"/>
      <c r="AO794" s="1293"/>
      <c r="AP794" s="1293"/>
      <c r="AQ794" s="1293"/>
      <c r="AR794" s="1293"/>
      <c r="AS794" s="1293"/>
      <c r="AT794" s="1293"/>
      <c r="AU794" s="1293"/>
      <c r="AV794" s="1293"/>
      <c r="AW794" s="1293"/>
      <c r="AX794" s="1293"/>
      <c r="AY794" s="1293"/>
      <c r="AZ794" s="1293"/>
      <c r="BA794" s="1293"/>
      <c r="BB794" s="1293"/>
      <c r="BC794" s="1293"/>
      <c r="BD794" s="1293"/>
      <c r="BE794" s="1293"/>
      <c r="BF794" s="1293"/>
      <c r="BG794" s="1293"/>
      <c r="BH794" s="1293"/>
      <c r="BI794" s="1293"/>
      <c r="BJ794" s="1293"/>
      <c r="BK794" s="1293"/>
      <c r="BL794" s="1293"/>
      <c r="BM794" s="1293"/>
      <c r="BN794" s="1293"/>
      <c r="BO794" s="1293"/>
      <c r="BP794" s="1293"/>
      <c r="BQ794" s="1293"/>
      <c r="BR794" s="1293"/>
      <c r="BS794" s="1293"/>
      <c r="BT794" s="1293"/>
      <c r="BU794" s="1293"/>
      <c r="BV794" s="1293"/>
      <c r="BW794" s="1293"/>
      <c r="BX794" s="1293"/>
      <c r="BY794" s="1293"/>
      <c r="BZ794" s="1293"/>
      <c r="CA794" s="1293"/>
      <c r="CB794" s="1293"/>
      <c r="CC794" s="1293"/>
      <c r="CD794" s="1293"/>
      <c r="CE794" s="1293"/>
      <c r="CF794" s="1293"/>
      <c r="CG794" s="1293"/>
      <c r="CH794" s="1293"/>
      <c r="CI794" s="1293"/>
      <c r="CJ794" s="1293"/>
      <c r="CK794" s="1293"/>
      <c r="CL794" s="1293"/>
      <c r="CM794" s="1293"/>
      <c r="CN794" s="1293"/>
      <c r="CO794" s="1293"/>
      <c r="CP794" s="1293"/>
      <c r="CQ794" s="1293"/>
      <c r="CR794" s="1293"/>
      <c r="CS794" s="1293"/>
      <c r="CT794" s="1293"/>
      <c r="CU794" s="1293"/>
      <c r="CV794" s="1293"/>
      <c r="CW794" s="1293"/>
      <c r="CX794" s="1293"/>
      <c r="CY794" s="1293"/>
      <c r="CZ794" s="1293"/>
      <c r="DA794" s="2031"/>
      <c r="DB794" s="1293"/>
      <c r="DC794" s="1293"/>
      <c r="DD794" s="1293"/>
      <c r="DE794" s="1293"/>
      <c r="DF794" s="1293"/>
      <c r="DG794" s="1293"/>
      <c r="DH794" s="1293"/>
      <c r="DI794" s="1293"/>
      <c r="DJ794" s="1293"/>
      <c r="DK794" s="1293"/>
      <c r="DL794" s="1293"/>
    </row>
    <row r="795" spans="1:116" ht="15.75">
      <c r="A795" s="1293"/>
      <c r="B795" s="1293"/>
      <c r="C795" s="1293"/>
      <c r="D795" s="1293"/>
      <c r="E795" s="1293"/>
      <c r="F795" s="1293"/>
      <c r="G795" s="1293"/>
      <c r="H795" s="1293"/>
      <c r="I795" s="1293"/>
      <c r="J795" s="1293"/>
      <c r="K795" s="1293"/>
      <c r="L795" s="1293"/>
      <c r="M795" s="1293"/>
      <c r="N795" s="1293"/>
      <c r="O795" s="1293"/>
      <c r="P795" s="1293"/>
      <c r="Q795" s="1293"/>
      <c r="R795" s="1293"/>
      <c r="S795" s="1293"/>
      <c r="T795" s="1293"/>
      <c r="U795" s="1293"/>
      <c r="V795" s="1293"/>
      <c r="W795" s="1293"/>
      <c r="X795" s="1293"/>
      <c r="Y795" s="1293"/>
      <c r="Z795" s="1293"/>
      <c r="AA795" s="1293"/>
      <c r="AB795" s="1293"/>
      <c r="AC795" s="1293"/>
      <c r="AD795" s="1293"/>
      <c r="AE795" s="1293"/>
      <c r="AF795" s="1293"/>
      <c r="AG795" s="1293"/>
      <c r="AH795" s="1293"/>
      <c r="AI795" s="1293"/>
      <c r="AJ795" s="1293"/>
      <c r="AK795" s="1293"/>
      <c r="AL795" s="1293"/>
      <c r="AM795" s="1293"/>
      <c r="AN795" s="1293"/>
      <c r="AO795" s="1293"/>
      <c r="AP795" s="1293"/>
      <c r="AQ795" s="1293"/>
      <c r="AR795" s="1293"/>
      <c r="AS795" s="1293"/>
      <c r="AT795" s="1293"/>
      <c r="AU795" s="1293"/>
      <c r="AV795" s="1293"/>
      <c r="AW795" s="1293"/>
      <c r="AX795" s="1293"/>
      <c r="AY795" s="1293"/>
      <c r="AZ795" s="1293"/>
      <c r="BA795" s="1293"/>
      <c r="BB795" s="1293"/>
      <c r="BC795" s="1293"/>
      <c r="BD795" s="1293"/>
      <c r="BE795" s="1293"/>
      <c r="BF795" s="1293"/>
      <c r="BG795" s="1293"/>
      <c r="BH795" s="1293"/>
      <c r="BI795" s="1293"/>
      <c r="BJ795" s="1293"/>
      <c r="BK795" s="1293"/>
      <c r="BL795" s="1293"/>
      <c r="BM795" s="1293"/>
      <c r="BN795" s="1293"/>
      <c r="BO795" s="1293"/>
      <c r="BP795" s="1293"/>
      <c r="BQ795" s="1293"/>
      <c r="BR795" s="1293"/>
      <c r="BS795" s="1293"/>
      <c r="BT795" s="1293"/>
      <c r="BU795" s="1293"/>
      <c r="BV795" s="1293"/>
      <c r="BW795" s="1293"/>
      <c r="BX795" s="1293"/>
      <c r="BY795" s="1293"/>
      <c r="BZ795" s="1293"/>
      <c r="CA795" s="1293"/>
      <c r="CB795" s="1293"/>
      <c r="CC795" s="1293"/>
      <c r="CD795" s="1293"/>
      <c r="CE795" s="1293"/>
      <c r="CF795" s="1293"/>
      <c r="CG795" s="1293"/>
      <c r="CH795" s="1293"/>
      <c r="CI795" s="1293"/>
      <c r="CJ795" s="1293"/>
      <c r="CK795" s="1293"/>
      <c r="CL795" s="1293"/>
      <c r="CM795" s="1293"/>
      <c r="CN795" s="1293"/>
      <c r="CO795" s="1293"/>
      <c r="CP795" s="1293"/>
      <c r="CQ795" s="1293"/>
      <c r="CR795" s="1293"/>
      <c r="CS795" s="1293"/>
      <c r="CT795" s="1293"/>
      <c r="CU795" s="1293"/>
      <c r="CV795" s="1293"/>
      <c r="CW795" s="1293"/>
      <c r="CX795" s="1293"/>
      <c r="CY795" s="1293"/>
      <c r="CZ795" s="1293"/>
      <c r="DA795" s="2031"/>
      <c r="DB795" s="1293"/>
      <c r="DC795" s="1293"/>
      <c r="DD795" s="1293"/>
      <c r="DE795" s="1293"/>
      <c r="DF795" s="1293"/>
      <c r="DG795" s="1293"/>
      <c r="DH795" s="1293"/>
      <c r="DI795" s="1293"/>
      <c r="DJ795" s="1293"/>
      <c r="DK795" s="1293"/>
      <c r="DL795" s="1293"/>
    </row>
    <row r="796" spans="1:116" ht="15.75">
      <c r="A796" s="1293"/>
      <c r="B796" s="1293"/>
      <c r="C796" s="1293"/>
      <c r="D796" s="1293"/>
      <c r="E796" s="1293"/>
      <c r="F796" s="1293"/>
      <c r="G796" s="1293"/>
      <c r="H796" s="1293"/>
      <c r="I796" s="1293"/>
      <c r="J796" s="1293"/>
      <c r="K796" s="1293"/>
      <c r="L796" s="1293"/>
      <c r="M796" s="1293"/>
      <c r="N796" s="1293"/>
      <c r="O796" s="1293"/>
      <c r="P796" s="1293"/>
      <c r="Q796" s="1293"/>
      <c r="R796" s="1293"/>
      <c r="S796" s="1293"/>
      <c r="T796" s="1293"/>
      <c r="U796" s="1293"/>
      <c r="V796" s="1293"/>
      <c r="W796" s="1293"/>
      <c r="X796" s="1293"/>
      <c r="Y796" s="1293"/>
      <c r="Z796" s="1293"/>
      <c r="AA796" s="1293"/>
      <c r="AB796" s="1293"/>
      <c r="AC796" s="1293"/>
      <c r="AD796" s="1293"/>
      <c r="AE796" s="1293"/>
      <c r="AF796" s="1293"/>
      <c r="AG796" s="1293"/>
      <c r="AH796" s="1293"/>
      <c r="AI796" s="1293"/>
      <c r="AJ796" s="1293"/>
      <c r="AK796" s="1293"/>
      <c r="AL796" s="1293"/>
      <c r="AM796" s="1293"/>
      <c r="AN796" s="1293"/>
      <c r="AO796" s="1293"/>
      <c r="AP796" s="1293"/>
      <c r="AQ796" s="1293"/>
      <c r="AR796" s="1293"/>
      <c r="AS796" s="1293"/>
      <c r="AT796" s="1293"/>
      <c r="AU796" s="1293"/>
      <c r="AV796" s="1293"/>
      <c r="AW796" s="1293"/>
      <c r="AX796" s="1293"/>
      <c r="AY796" s="1293"/>
      <c r="AZ796" s="1293"/>
      <c r="BA796" s="1293"/>
      <c r="BB796" s="1293"/>
      <c r="BC796" s="1293"/>
      <c r="BD796" s="1293"/>
      <c r="BE796" s="1293"/>
      <c r="BF796" s="1293"/>
      <c r="BG796" s="1293"/>
      <c r="BH796" s="1293"/>
      <c r="BI796" s="1293"/>
      <c r="BJ796" s="1293"/>
      <c r="BK796" s="1293"/>
      <c r="BL796" s="1293"/>
      <c r="BM796" s="1293"/>
      <c r="BN796" s="1293"/>
      <c r="BO796" s="1293"/>
      <c r="BP796" s="1293"/>
      <c r="BQ796" s="1293"/>
      <c r="BR796" s="1293"/>
      <c r="BS796" s="1293"/>
      <c r="BT796" s="1293"/>
      <c r="BU796" s="1293"/>
      <c r="BV796" s="1293"/>
      <c r="BW796" s="1293"/>
      <c r="BX796" s="1293"/>
      <c r="BY796" s="1293"/>
      <c r="BZ796" s="1293"/>
      <c r="CA796" s="1293"/>
      <c r="CB796" s="1293"/>
      <c r="CC796" s="1293"/>
      <c r="CD796" s="1293"/>
      <c r="CE796" s="1293"/>
      <c r="CF796" s="1293"/>
      <c r="CG796" s="1293"/>
      <c r="CH796" s="1293"/>
      <c r="CI796" s="1293"/>
      <c r="CJ796" s="1293"/>
      <c r="CK796" s="1293"/>
      <c r="CL796" s="1293"/>
      <c r="CM796" s="1293"/>
      <c r="CN796" s="1293"/>
      <c r="CO796" s="1293"/>
      <c r="CP796" s="1293"/>
      <c r="CQ796" s="1293"/>
      <c r="CR796" s="1293"/>
      <c r="CS796" s="1293"/>
      <c r="CT796" s="1293"/>
      <c r="CU796" s="1293"/>
      <c r="CV796" s="1293"/>
      <c r="CW796" s="1293"/>
      <c r="CX796" s="1293"/>
      <c r="CY796" s="1293"/>
      <c r="CZ796" s="1293"/>
      <c r="DA796" s="2031"/>
      <c r="DB796" s="1293"/>
      <c r="DC796" s="1293"/>
      <c r="DD796" s="1293"/>
      <c r="DE796" s="1293"/>
      <c r="DF796" s="1293"/>
      <c r="DG796" s="1293"/>
      <c r="DH796" s="1293"/>
      <c r="DI796" s="1293"/>
      <c r="DJ796" s="1293"/>
      <c r="DK796" s="1293"/>
      <c r="DL796" s="1293"/>
    </row>
    <row r="797" spans="1:116" ht="15.75">
      <c r="A797" s="1293"/>
      <c r="B797" s="1293"/>
      <c r="C797" s="1293"/>
      <c r="D797" s="1293"/>
      <c r="E797" s="1293"/>
      <c r="F797" s="1293"/>
      <c r="G797" s="1293"/>
      <c r="H797" s="1293"/>
      <c r="I797" s="1293"/>
      <c r="J797" s="1293"/>
      <c r="K797" s="1293"/>
      <c r="L797" s="1293"/>
      <c r="M797" s="1293"/>
      <c r="N797" s="1293"/>
      <c r="O797" s="1293"/>
      <c r="P797" s="1293"/>
      <c r="Q797" s="1293"/>
      <c r="R797" s="1293"/>
      <c r="S797" s="1293"/>
      <c r="T797" s="1293"/>
      <c r="U797" s="1293"/>
      <c r="V797" s="1293"/>
      <c r="W797" s="1293"/>
      <c r="X797" s="1293"/>
      <c r="Y797" s="1293"/>
      <c r="Z797" s="1293"/>
      <c r="AA797" s="1293"/>
      <c r="AB797" s="1293"/>
      <c r="AC797" s="1293"/>
      <c r="AD797" s="1293"/>
      <c r="AE797" s="1293"/>
      <c r="AF797" s="1293"/>
      <c r="AG797" s="1293"/>
      <c r="AH797" s="1293"/>
      <c r="AI797" s="1293"/>
      <c r="AJ797" s="1293"/>
      <c r="AK797" s="1293"/>
      <c r="AL797" s="1293"/>
      <c r="AM797" s="1293"/>
      <c r="AN797" s="1293"/>
      <c r="AO797" s="1293"/>
      <c r="AP797" s="1293"/>
      <c r="AQ797" s="1293"/>
      <c r="AR797" s="1293"/>
      <c r="AS797" s="1293"/>
      <c r="AT797" s="1293"/>
      <c r="AU797" s="1293"/>
      <c r="AV797" s="1293"/>
      <c r="AW797" s="1293"/>
      <c r="AX797" s="1293"/>
      <c r="AY797" s="1293"/>
      <c r="AZ797" s="1293"/>
      <c r="BA797" s="1293"/>
      <c r="BB797" s="1293"/>
      <c r="BC797" s="1293"/>
      <c r="BD797" s="1293"/>
      <c r="BE797" s="1293"/>
      <c r="BF797" s="1293"/>
      <c r="BG797" s="1293"/>
      <c r="BH797" s="1293"/>
      <c r="BI797" s="1293"/>
      <c r="BJ797" s="1293"/>
      <c r="BK797" s="1293"/>
      <c r="BL797" s="1293"/>
      <c r="BM797" s="1293"/>
      <c r="BN797" s="1293"/>
      <c r="BO797" s="1293"/>
      <c r="BP797" s="1293"/>
      <c r="BQ797" s="1293"/>
      <c r="BR797" s="1293"/>
      <c r="BS797" s="1293"/>
      <c r="BT797" s="1293"/>
      <c r="BU797" s="1293"/>
      <c r="BV797" s="1293"/>
      <c r="BW797" s="1293"/>
      <c r="BX797" s="1293"/>
      <c r="BY797" s="1293"/>
      <c r="BZ797" s="1293"/>
      <c r="CA797" s="1293"/>
      <c r="CB797" s="1293"/>
      <c r="CC797" s="1293"/>
      <c r="CD797" s="1293"/>
      <c r="CE797" s="1293"/>
      <c r="CF797" s="1293"/>
      <c r="CG797" s="1293"/>
      <c r="CH797" s="1293"/>
      <c r="CI797" s="1293"/>
      <c r="CJ797" s="1293"/>
      <c r="CK797" s="1293"/>
      <c r="CL797" s="1293"/>
      <c r="CM797" s="1293"/>
      <c r="CN797" s="1293"/>
      <c r="CO797" s="1293"/>
      <c r="CP797" s="1293"/>
      <c r="CQ797" s="1293"/>
      <c r="CR797" s="1293"/>
      <c r="CS797" s="1293"/>
      <c r="CT797" s="1293"/>
      <c r="CU797" s="1293"/>
      <c r="CV797" s="1293"/>
      <c r="CW797" s="1293"/>
      <c r="CX797" s="1293"/>
      <c r="CY797" s="1293"/>
      <c r="CZ797" s="1293"/>
      <c r="DA797" s="2031"/>
      <c r="DB797" s="1293"/>
      <c r="DC797" s="1293"/>
      <c r="DD797" s="1293"/>
      <c r="DE797" s="1293"/>
      <c r="DF797" s="1293"/>
      <c r="DG797" s="1293"/>
      <c r="DH797" s="1293"/>
      <c r="DI797" s="1293"/>
      <c r="DJ797" s="1293"/>
      <c r="DK797" s="1293"/>
      <c r="DL797" s="1293"/>
    </row>
    <row r="798" spans="1:116" ht="15.75">
      <c r="A798" s="1293"/>
      <c r="B798" s="1293"/>
      <c r="C798" s="1293"/>
      <c r="D798" s="1293"/>
      <c r="E798" s="1293"/>
      <c r="F798" s="1293"/>
      <c r="G798" s="1293"/>
      <c r="H798" s="1293"/>
      <c r="I798" s="1293"/>
      <c r="J798" s="1293"/>
      <c r="K798" s="1293"/>
      <c r="L798" s="1293"/>
      <c r="M798" s="1293"/>
      <c r="N798" s="1293"/>
      <c r="O798" s="1293"/>
      <c r="P798" s="1293"/>
      <c r="Q798" s="1293"/>
      <c r="R798" s="1293"/>
      <c r="S798" s="1293"/>
      <c r="T798" s="1293"/>
      <c r="U798" s="1293"/>
      <c r="V798" s="1293"/>
      <c r="W798" s="1293"/>
      <c r="X798" s="1293"/>
      <c r="Y798" s="1293"/>
      <c r="Z798" s="1293"/>
      <c r="AA798" s="1293"/>
      <c r="AB798" s="1293"/>
      <c r="AC798" s="1293"/>
      <c r="AD798" s="1293"/>
      <c r="AE798" s="1293"/>
      <c r="AF798" s="1293"/>
      <c r="AG798" s="1293"/>
      <c r="AH798" s="1293"/>
      <c r="AI798" s="1293"/>
      <c r="AJ798" s="1293"/>
      <c r="AK798" s="1293"/>
      <c r="AL798" s="1293"/>
      <c r="AM798" s="1293"/>
      <c r="AN798" s="1293"/>
      <c r="AO798" s="1293"/>
      <c r="AP798" s="1293"/>
      <c r="AQ798" s="1293"/>
      <c r="AR798" s="1293"/>
      <c r="AS798" s="1293"/>
      <c r="AT798" s="1293"/>
      <c r="AU798" s="1293"/>
      <c r="AV798" s="1293"/>
      <c r="AW798" s="1293"/>
      <c r="AX798" s="1293"/>
      <c r="AY798" s="1293"/>
      <c r="AZ798" s="1293"/>
      <c r="BA798" s="1293"/>
      <c r="BB798" s="1293"/>
      <c r="BC798" s="1293"/>
      <c r="BD798" s="1293"/>
      <c r="BE798" s="1293"/>
      <c r="BF798" s="1293"/>
      <c r="BG798" s="1293"/>
      <c r="BH798" s="1293"/>
      <c r="BI798" s="1293"/>
      <c r="BJ798" s="1293"/>
      <c r="BK798" s="1293"/>
      <c r="BL798" s="1293"/>
      <c r="BM798" s="1293"/>
      <c r="BN798" s="1293"/>
      <c r="BO798" s="1293"/>
      <c r="BP798" s="1293"/>
      <c r="BQ798" s="1293"/>
      <c r="BR798" s="1293"/>
      <c r="BS798" s="1293"/>
      <c r="BT798" s="1293"/>
      <c r="BU798" s="1293"/>
      <c r="BV798" s="1293"/>
      <c r="BW798" s="1293"/>
      <c r="BX798" s="1293"/>
      <c r="BY798" s="1293"/>
      <c r="BZ798" s="1293"/>
      <c r="CA798" s="1293"/>
      <c r="CB798" s="1293"/>
      <c r="CC798" s="1293"/>
      <c r="CD798" s="1293"/>
      <c r="CE798" s="1293"/>
      <c r="CF798" s="1293"/>
      <c r="CG798" s="1293"/>
      <c r="CH798" s="1293"/>
      <c r="CI798" s="1293"/>
      <c r="CJ798" s="1293"/>
      <c r="CK798" s="1293"/>
      <c r="CL798" s="1293"/>
      <c r="CM798" s="1293"/>
      <c r="CN798" s="1293"/>
      <c r="CO798" s="1293"/>
      <c r="CP798" s="1293"/>
      <c r="CQ798" s="1293"/>
      <c r="CR798" s="1293"/>
      <c r="CS798" s="1293"/>
      <c r="CT798" s="1293"/>
      <c r="CU798" s="1293"/>
      <c r="CV798" s="1293"/>
      <c r="CW798" s="1293"/>
      <c r="CX798" s="1293"/>
      <c r="CY798" s="1293"/>
      <c r="CZ798" s="1293"/>
      <c r="DA798" s="2031"/>
      <c r="DB798" s="1293"/>
      <c r="DC798" s="1293"/>
      <c r="DD798" s="1293"/>
      <c r="DE798" s="1293"/>
      <c r="DF798" s="1293"/>
      <c r="DG798" s="1293"/>
      <c r="DH798" s="1293"/>
      <c r="DI798" s="1293"/>
      <c r="DJ798" s="1293"/>
      <c r="DK798" s="1293"/>
      <c r="DL798" s="1293"/>
    </row>
    <row r="799" spans="1:116" ht="15.75">
      <c r="A799" s="1293"/>
      <c r="B799" s="1293"/>
      <c r="C799" s="1293"/>
      <c r="D799" s="1293"/>
      <c r="E799" s="1293"/>
      <c r="F799" s="1293"/>
      <c r="G799" s="1293"/>
      <c r="H799" s="1293"/>
      <c r="I799" s="1293"/>
      <c r="J799" s="1293"/>
      <c r="K799" s="1293"/>
      <c r="L799" s="1293"/>
      <c r="M799" s="1293"/>
      <c r="N799" s="1293"/>
      <c r="O799" s="1293"/>
      <c r="P799" s="1293"/>
      <c r="Q799" s="1293"/>
      <c r="R799" s="1293"/>
      <c r="S799" s="1293"/>
      <c r="T799" s="1293"/>
      <c r="U799" s="1293"/>
      <c r="V799" s="1293"/>
      <c r="W799" s="1293"/>
      <c r="X799" s="1293"/>
      <c r="Y799" s="1293"/>
      <c r="Z799" s="1293"/>
      <c r="AA799" s="1293"/>
      <c r="AB799" s="1293"/>
      <c r="AC799" s="1293"/>
      <c r="AD799" s="1293"/>
      <c r="AE799" s="1293"/>
      <c r="AF799" s="1293"/>
      <c r="AG799" s="1293"/>
      <c r="AH799" s="1293"/>
      <c r="AI799" s="1293"/>
      <c r="AJ799" s="1293"/>
      <c r="AK799" s="1293"/>
      <c r="AL799" s="1293"/>
      <c r="AM799" s="1293"/>
      <c r="AN799" s="1293"/>
      <c r="AO799" s="1293"/>
      <c r="AP799" s="1293"/>
      <c r="AQ799" s="1293"/>
      <c r="AR799" s="1293"/>
      <c r="AS799" s="1293"/>
      <c r="AT799" s="1293"/>
      <c r="AU799" s="1293"/>
      <c r="AV799" s="1293"/>
      <c r="AW799" s="1293"/>
      <c r="AX799" s="1293"/>
      <c r="AY799" s="1293"/>
      <c r="AZ799" s="1293"/>
      <c r="BA799" s="1293"/>
      <c r="BB799" s="1293"/>
      <c r="BC799" s="1293"/>
      <c r="BD799" s="1293"/>
      <c r="BE799" s="1293"/>
      <c r="BF799" s="1293"/>
      <c r="BG799" s="1293"/>
      <c r="BH799" s="1293"/>
      <c r="BI799" s="1293"/>
      <c r="BJ799" s="1293"/>
      <c r="BK799" s="1293"/>
      <c r="BL799" s="1293"/>
      <c r="BM799" s="1293"/>
      <c r="BN799" s="1293"/>
      <c r="BO799" s="1293"/>
      <c r="BP799" s="1293"/>
      <c r="BQ799" s="1293"/>
      <c r="BR799" s="1293"/>
      <c r="BS799" s="1293"/>
      <c r="BT799" s="1293"/>
      <c r="BU799" s="1293"/>
      <c r="BV799" s="1293"/>
      <c r="BW799" s="1293"/>
      <c r="BX799" s="1293"/>
      <c r="BY799" s="1293"/>
      <c r="BZ799" s="1293"/>
      <c r="CA799" s="1293"/>
      <c r="CB799" s="1293"/>
      <c r="CC799" s="1293"/>
      <c r="CD799" s="1293"/>
      <c r="CE799" s="1293"/>
      <c r="CF799" s="1293"/>
      <c r="CG799" s="1293"/>
      <c r="CH799" s="1293"/>
      <c r="CI799" s="1293"/>
      <c r="CJ799" s="1293"/>
      <c r="CK799" s="1293"/>
      <c r="CL799" s="1293"/>
      <c r="CM799" s="1293"/>
      <c r="CN799" s="1293"/>
      <c r="CO799" s="1293"/>
      <c r="CP799" s="1293"/>
      <c r="CQ799" s="1293"/>
      <c r="CR799" s="1293"/>
      <c r="CS799" s="1293"/>
      <c r="CT799" s="1293"/>
      <c r="CU799" s="1293"/>
      <c r="CV799" s="1293"/>
      <c r="CW799" s="1293"/>
      <c r="CX799" s="1293"/>
      <c r="CY799" s="1293"/>
      <c r="CZ799" s="1293"/>
      <c r="DA799" s="2031"/>
      <c r="DB799" s="1293"/>
      <c r="DC799" s="1293"/>
      <c r="DD799" s="1293"/>
      <c r="DE799" s="1293"/>
      <c r="DF799" s="1293"/>
      <c r="DG799" s="1293"/>
      <c r="DH799" s="1293"/>
      <c r="DI799" s="1293"/>
      <c r="DJ799" s="1293"/>
      <c r="DK799" s="1293"/>
      <c r="DL799" s="1293"/>
    </row>
    <row r="800" spans="1:116" ht="15.75">
      <c r="A800" s="1293"/>
      <c r="B800" s="1293"/>
      <c r="C800" s="1293"/>
      <c r="D800" s="1293"/>
      <c r="E800" s="1293"/>
      <c r="F800" s="1293"/>
      <c r="G800" s="1293"/>
      <c r="H800" s="1293"/>
      <c r="I800" s="1293"/>
      <c r="J800" s="1293"/>
      <c r="K800" s="1293"/>
      <c r="L800" s="1293"/>
      <c r="M800" s="1293"/>
      <c r="N800" s="1293"/>
      <c r="O800" s="1293"/>
      <c r="P800" s="1293"/>
      <c r="Q800" s="1293"/>
      <c r="R800" s="1293"/>
      <c r="S800" s="1293"/>
      <c r="T800" s="1293"/>
      <c r="U800" s="1293"/>
      <c r="V800" s="1293"/>
      <c r="W800" s="1293"/>
      <c r="X800" s="1293"/>
      <c r="Y800" s="1293"/>
      <c r="Z800" s="1293"/>
      <c r="AA800" s="1293"/>
      <c r="AB800" s="1293"/>
      <c r="AC800" s="1293"/>
      <c r="AD800" s="1293"/>
      <c r="AE800" s="1293"/>
      <c r="AF800" s="1293"/>
      <c r="AG800" s="1293"/>
      <c r="AH800" s="1293"/>
      <c r="AI800" s="1293"/>
      <c r="AJ800" s="1293"/>
      <c r="AK800" s="1293"/>
      <c r="AL800" s="1293"/>
      <c r="AM800" s="1293"/>
      <c r="AN800" s="1293"/>
      <c r="AO800" s="1293"/>
      <c r="AP800" s="1293"/>
      <c r="AQ800" s="1293"/>
      <c r="AR800" s="1293"/>
      <c r="AS800" s="1293"/>
      <c r="AT800" s="1293"/>
      <c r="AU800" s="1293"/>
      <c r="AV800" s="1293"/>
      <c r="AW800" s="1293"/>
      <c r="AX800" s="1293"/>
      <c r="AY800" s="1293"/>
      <c r="AZ800" s="1293"/>
      <c r="BA800" s="1293"/>
      <c r="BB800" s="1293"/>
      <c r="BC800" s="1293"/>
      <c r="BD800" s="1293"/>
      <c r="BE800" s="1293"/>
      <c r="BF800" s="1293"/>
      <c r="BG800" s="1293"/>
      <c r="BH800" s="1293"/>
      <c r="BI800" s="1293"/>
      <c r="BJ800" s="1293"/>
      <c r="BK800" s="1293"/>
      <c r="BL800" s="1293"/>
      <c r="BM800" s="1293"/>
      <c r="BN800" s="1293"/>
      <c r="BO800" s="1293"/>
      <c r="BP800" s="1293"/>
      <c r="BQ800" s="1293"/>
      <c r="BR800" s="1293"/>
      <c r="BS800" s="1293"/>
      <c r="BT800" s="1293"/>
      <c r="BU800" s="1293"/>
      <c r="BV800" s="1293"/>
      <c r="BW800" s="1293"/>
      <c r="BX800" s="1293"/>
      <c r="BY800" s="1293"/>
      <c r="BZ800" s="1293"/>
      <c r="CA800" s="1293"/>
      <c r="CB800" s="1293"/>
      <c r="CC800" s="1293"/>
      <c r="CD800" s="1293"/>
      <c r="CE800" s="1293"/>
      <c r="CF800" s="1293"/>
      <c r="CG800" s="1293"/>
      <c r="CH800" s="1293"/>
      <c r="CI800" s="1293"/>
      <c r="CJ800" s="1293"/>
      <c r="CK800" s="1293"/>
      <c r="CL800" s="1293"/>
      <c r="CM800" s="1293"/>
      <c r="CN800" s="1293"/>
      <c r="CO800" s="1293"/>
      <c r="CP800" s="1293"/>
      <c r="CQ800" s="1293"/>
      <c r="CR800" s="1293"/>
      <c r="CS800" s="1293"/>
      <c r="CT800" s="1293"/>
      <c r="CU800" s="1293"/>
      <c r="CV800" s="1293"/>
      <c r="CW800" s="1293"/>
      <c r="CX800" s="1293"/>
      <c r="CY800" s="1293"/>
      <c r="CZ800" s="1293"/>
      <c r="DA800" s="2031"/>
      <c r="DB800" s="1293"/>
      <c r="DC800" s="1293"/>
      <c r="DD800" s="1293"/>
      <c r="DE800" s="1293"/>
      <c r="DF800" s="1293"/>
      <c r="DG800" s="1293"/>
      <c r="DH800" s="1293"/>
      <c r="DI800" s="1293"/>
      <c r="DJ800" s="1293"/>
      <c r="DK800" s="1293"/>
      <c r="DL800" s="1293"/>
    </row>
    <row r="801" spans="1:116" ht="15.75">
      <c r="A801" s="1293"/>
      <c r="B801" s="1293"/>
      <c r="C801" s="1293"/>
      <c r="D801" s="1293"/>
      <c r="E801" s="1293"/>
      <c r="F801" s="1293"/>
      <c r="G801" s="1293"/>
      <c r="H801" s="1293"/>
      <c r="I801" s="1293"/>
      <c r="J801" s="1293"/>
      <c r="K801" s="1293"/>
      <c r="L801" s="1293"/>
      <c r="M801" s="1293"/>
      <c r="N801" s="1293"/>
      <c r="O801" s="1293"/>
      <c r="P801" s="1293"/>
      <c r="Q801" s="1293"/>
      <c r="R801" s="1293"/>
      <c r="S801" s="1293"/>
      <c r="T801" s="1293"/>
      <c r="U801" s="1293"/>
      <c r="V801" s="1293"/>
      <c r="W801" s="1293"/>
      <c r="X801" s="1293"/>
      <c r="Y801" s="1293"/>
      <c r="Z801" s="1293"/>
      <c r="AA801" s="1293"/>
      <c r="AB801" s="1293"/>
      <c r="AC801" s="1293"/>
      <c r="AD801" s="1293"/>
      <c r="AE801" s="1293"/>
      <c r="AF801" s="1293"/>
      <c r="AG801" s="1293"/>
      <c r="AH801" s="1293"/>
      <c r="AI801" s="1293"/>
      <c r="AJ801" s="1293"/>
      <c r="AK801" s="1293"/>
      <c r="AL801" s="1293"/>
      <c r="AM801" s="1293"/>
      <c r="AN801" s="1293"/>
      <c r="AO801" s="1293"/>
      <c r="AP801" s="1293"/>
      <c r="AQ801" s="1293"/>
      <c r="AR801" s="1293"/>
      <c r="AS801" s="1293"/>
      <c r="AT801" s="1293"/>
      <c r="AU801" s="1293"/>
      <c r="AV801" s="1293"/>
      <c r="AW801" s="1293"/>
      <c r="AX801" s="1293"/>
      <c r="AY801" s="1293"/>
      <c r="AZ801" s="1293"/>
      <c r="BA801" s="1293"/>
      <c r="BB801" s="1293"/>
      <c r="BC801" s="1293"/>
      <c r="BD801" s="1293"/>
      <c r="BE801" s="1293"/>
      <c r="BF801" s="1293"/>
      <c r="BG801" s="1293"/>
      <c r="BH801" s="1293"/>
      <c r="BI801" s="1293"/>
      <c r="BJ801" s="1293"/>
      <c r="BK801" s="1293"/>
      <c r="BL801" s="1293"/>
      <c r="BM801" s="1293"/>
      <c r="BN801" s="1293"/>
      <c r="BO801" s="1293"/>
      <c r="BP801" s="1293"/>
      <c r="BQ801" s="1293"/>
      <c r="BR801" s="1293"/>
      <c r="BS801" s="1293"/>
      <c r="BT801" s="1293"/>
      <c r="BU801" s="1293"/>
      <c r="BV801" s="1293"/>
      <c r="BW801" s="1293"/>
      <c r="BX801" s="1293"/>
      <c r="BY801" s="1293"/>
      <c r="BZ801" s="1293"/>
      <c r="CA801" s="1293"/>
      <c r="CB801" s="1293"/>
      <c r="CC801" s="1293"/>
      <c r="CD801" s="1293"/>
      <c r="CE801" s="1293"/>
      <c r="CF801" s="1293"/>
      <c r="CG801" s="1293"/>
      <c r="CH801" s="1293"/>
      <c r="CI801" s="1293"/>
      <c r="CJ801" s="1293"/>
      <c r="CK801" s="1293"/>
      <c r="CL801" s="1293"/>
      <c r="CM801" s="1293"/>
      <c r="CN801" s="1293"/>
      <c r="CO801" s="1293"/>
      <c r="CP801" s="1293"/>
      <c r="CQ801" s="1293"/>
      <c r="CR801" s="1293"/>
      <c r="CS801" s="1293"/>
      <c r="CT801" s="1293"/>
      <c r="CU801" s="1293"/>
      <c r="CV801" s="1293"/>
      <c r="CW801" s="1293"/>
      <c r="CX801" s="1293"/>
      <c r="CY801" s="1293"/>
      <c r="CZ801" s="1293"/>
      <c r="DA801" s="2031"/>
      <c r="DB801" s="1293"/>
      <c r="DC801" s="1293"/>
      <c r="DD801" s="1293"/>
      <c r="DE801" s="1293"/>
      <c r="DF801" s="1293"/>
      <c r="DG801" s="1293"/>
      <c r="DH801" s="1293"/>
      <c r="DI801" s="1293"/>
      <c r="DJ801" s="1293"/>
      <c r="DK801" s="1293"/>
      <c r="DL801" s="1293"/>
    </row>
    <row r="802" spans="1:116" ht="15.75">
      <c r="A802" s="1293"/>
      <c r="B802" s="1293"/>
      <c r="C802" s="1293"/>
      <c r="D802" s="1293"/>
      <c r="E802" s="1293"/>
      <c r="F802" s="1293"/>
      <c r="G802" s="1293"/>
      <c r="H802" s="1293"/>
      <c r="I802" s="1293"/>
      <c r="J802" s="1293"/>
      <c r="K802" s="1293"/>
      <c r="L802" s="1293"/>
      <c r="M802" s="1293"/>
      <c r="N802" s="1293"/>
      <c r="O802" s="1293"/>
      <c r="P802" s="1293"/>
      <c r="Q802" s="1293"/>
      <c r="R802" s="1293"/>
      <c r="S802" s="1293"/>
      <c r="T802" s="1293"/>
      <c r="U802" s="1293"/>
      <c r="V802" s="1293"/>
      <c r="W802" s="1293"/>
      <c r="X802" s="1293"/>
      <c r="Y802" s="1293"/>
      <c r="Z802" s="1293"/>
      <c r="AA802" s="1293"/>
      <c r="AB802" s="1293"/>
      <c r="AC802" s="1293"/>
      <c r="AD802" s="1293"/>
      <c r="AE802" s="1293"/>
      <c r="AF802" s="1293"/>
      <c r="AG802" s="1293"/>
      <c r="AH802" s="1293"/>
      <c r="AI802" s="1293"/>
      <c r="AJ802" s="1293"/>
      <c r="AK802" s="1293"/>
      <c r="AL802" s="1293"/>
      <c r="AM802" s="1293"/>
      <c r="AN802" s="1293"/>
      <c r="AO802" s="1293"/>
      <c r="AP802" s="1293"/>
      <c r="AQ802" s="1293"/>
      <c r="AR802" s="1293"/>
      <c r="AS802" s="1293"/>
      <c r="AT802" s="1293"/>
      <c r="AU802" s="1293"/>
      <c r="AV802" s="1293"/>
      <c r="AW802" s="1293"/>
      <c r="AX802" s="1293"/>
      <c r="AY802" s="1293"/>
      <c r="AZ802" s="1293"/>
      <c r="BA802" s="1293"/>
      <c r="BB802" s="1293"/>
      <c r="BC802" s="1293"/>
      <c r="BD802" s="1293"/>
      <c r="BE802" s="1293"/>
      <c r="BF802" s="1293"/>
      <c r="BG802" s="1293"/>
      <c r="BH802" s="1293"/>
      <c r="BI802" s="1293"/>
      <c r="BJ802" s="1293"/>
      <c r="BK802" s="1293"/>
      <c r="BL802" s="1293"/>
      <c r="BM802" s="1293"/>
      <c r="BN802" s="1293"/>
      <c r="BO802" s="1293"/>
      <c r="BP802" s="1293"/>
      <c r="BQ802" s="1293"/>
      <c r="BR802" s="1293"/>
      <c r="BS802" s="1293"/>
      <c r="BT802" s="1293"/>
      <c r="BU802" s="1293"/>
      <c r="BV802" s="1293"/>
      <c r="BW802" s="1293"/>
      <c r="BX802" s="1293"/>
      <c r="BY802" s="1293"/>
      <c r="BZ802" s="1293"/>
      <c r="CA802" s="1293"/>
      <c r="CB802" s="1293"/>
      <c r="CC802" s="1293"/>
      <c r="CD802" s="1293"/>
      <c r="CE802" s="1293"/>
      <c r="CF802" s="1293"/>
      <c r="CG802" s="1293"/>
      <c r="CH802" s="1293"/>
      <c r="CI802" s="1293"/>
      <c r="CJ802" s="1293"/>
      <c r="CK802" s="1293"/>
      <c r="CL802" s="1293"/>
      <c r="CM802" s="1293"/>
      <c r="CN802" s="1293"/>
      <c r="CO802" s="1293"/>
      <c r="CP802" s="1293"/>
      <c r="CQ802" s="1293"/>
      <c r="CR802" s="1293"/>
      <c r="CS802" s="1293"/>
      <c r="CT802" s="1293"/>
      <c r="CU802" s="1293"/>
      <c r="CV802" s="1293"/>
      <c r="CW802" s="1293"/>
      <c r="CX802" s="1293"/>
      <c r="CY802" s="1293"/>
      <c r="CZ802" s="1293"/>
      <c r="DA802" s="2031"/>
      <c r="DB802" s="1293"/>
      <c r="DC802" s="1293"/>
      <c r="DD802" s="1293"/>
      <c r="DE802" s="1293"/>
      <c r="DF802" s="1293"/>
      <c r="DG802" s="1293"/>
      <c r="DH802" s="1293"/>
      <c r="DI802" s="1293"/>
      <c r="DJ802" s="1293"/>
      <c r="DK802" s="1293"/>
      <c r="DL802" s="1293"/>
    </row>
    <row r="803" spans="1:116" ht="15.75">
      <c r="A803" s="1293"/>
      <c r="B803" s="1293"/>
      <c r="C803" s="1293"/>
      <c r="D803" s="1293"/>
      <c r="E803" s="1293"/>
      <c r="F803" s="1293"/>
      <c r="G803" s="1293"/>
      <c r="H803" s="1293"/>
      <c r="I803" s="1293"/>
      <c r="J803" s="1293"/>
      <c r="K803" s="1293"/>
      <c r="L803" s="1293"/>
      <c r="M803" s="1293"/>
      <c r="N803" s="1293"/>
      <c r="O803" s="1293"/>
      <c r="P803" s="1293"/>
      <c r="Q803" s="1293"/>
      <c r="R803" s="1293"/>
      <c r="S803" s="1293"/>
      <c r="T803" s="1293"/>
      <c r="U803" s="1293"/>
      <c r="V803" s="1293"/>
      <c r="W803" s="1293"/>
      <c r="X803" s="1293"/>
      <c r="Y803" s="1293"/>
      <c r="Z803" s="1293"/>
      <c r="AA803" s="1293"/>
      <c r="AB803" s="1293"/>
      <c r="AC803" s="1293"/>
      <c r="AD803" s="1293"/>
      <c r="AE803" s="1293"/>
      <c r="AF803" s="1293"/>
      <c r="AG803" s="1293"/>
      <c r="AH803" s="1293"/>
      <c r="AI803" s="1293"/>
      <c r="AJ803" s="1293"/>
      <c r="AK803" s="1293"/>
      <c r="AL803" s="1293"/>
      <c r="AM803" s="1293"/>
      <c r="AN803" s="1293"/>
      <c r="AO803" s="1293"/>
      <c r="AP803" s="1293"/>
      <c r="AQ803" s="1293"/>
      <c r="AR803" s="1293"/>
      <c r="AS803" s="1293"/>
      <c r="AT803" s="1293"/>
      <c r="AU803" s="1293"/>
      <c r="AV803" s="1293"/>
      <c r="AW803" s="1293"/>
      <c r="AX803" s="1293"/>
      <c r="AY803" s="1293"/>
      <c r="AZ803" s="1293"/>
      <c r="BA803" s="1293"/>
      <c r="BB803" s="1293"/>
      <c r="BC803" s="1293"/>
      <c r="BD803" s="1293"/>
      <c r="BE803" s="1293"/>
      <c r="BF803" s="1293"/>
      <c r="BG803" s="1293"/>
      <c r="BH803" s="1293"/>
      <c r="BI803" s="1293"/>
      <c r="BJ803" s="1293"/>
      <c r="BK803" s="1293"/>
      <c r="BL803" s="1293"/>
      <c r="BM803" s="1293"/>
      <c r="BN803" s="1293"/>
      <c r="BO803" s="1293"/>
      <c r="BP803" s="1293"/>
      <c r="BQ803" s="1293"/>
      <c r="BR803" s="1293"/>
      <c r="BS803" s="1293"/>
      <c r="BT803" s="1293"/>
      <c r="BU803" s="1293"/>
      <c r="BV803" s="1293"/>
      <c r="BW803" s="1293"/>
      <c r="BX803" s="1293"/>
      <c r="BY803" s="1293"/>
      <c r="BZ803" s="1293"/>
      <c r="CA803" s="1293"/>
      <c r="CB803" s="1293"/>
      <c r="CC803" s="1293"/>
      <c r="CD803" s="1293"/>
      <c r="CE803" s="1293"/>
      <c r="CF803" s="1293"/>
      <c r="CG803" s="1293"/>
      <c r="CH803" s="1293"/>
      <c r="CI803" s="1293"/>
      <c r="CJ803" s="1293"/>
      <c r="CK803" s="1293"/>
      <c r="CL803" s="1293"/>
      <c r="CM803" s="1293"/>
      <c r="CN803" s="1293"/>
      <c r="CO803" s="1293"/>
      <c r="CP803" s="1293"/>
      <c r="CQ803" s="1293"/>
      <c r="CR803" s="1293"/>
      <c r="CS803" s="1293"/>
      <c r="CT803" s="1293"/>
      <c r="CU803" s="1293"/>
      <c r="CV803" s="1293"/>
      <c r="CW803" s="1293"/>
      <c r="CX803" s="1293"/>
      <c r="CY803" s="1293"/>
      <c r="CZ803" s="1293"/>
      <c r="DA803" s="2031"/>
      <c r="DB803" s="1293"/>
      <c r="DC803" s="1293"/>
      <c r="DD803" s="1293"/>
      <c r="DE803" s="1293"/>
      <c r="DF803" s="1293"/>
      <c r="DG803" s="1293"/>
      <c r="DH803" s="1293"/>
      <c r="DI803" s="1293"/>
      <c r="DJ803" s="1293"/>
      <c r="DK803" s="1293"/>
      <c r="DL803" s="1293"/>
    </row>
    <row r="804" spans="1:116" ht="15.75">
      <c r="A804" s="1293"/>
      <c r="B804" s="1293"/>
      <c r="C804" s="1293"/>
      <c r="D804" s="1293"/>
      <c r="E804" s="1293"/>
      <c r="F804" s="1293"/>
      <c r="G804" s="1293"/>
      <c r="H804" s="1293"/>
      <c r="I804" s="1293"/>
      <c r="J804" s="1293"/>
      <c r="K804" s="1293"/>
      <c r="L804" s="1293"/>
      <c r="M804" s="1293"/>
      <c r="N804" s="1293"/>
      <c r="O804" s="1293"/>
      <c r="P804" s="1293"/>
      <c r="Q804" s="1293"/>
      <c r="R804" s="1293"/>
      <c r="S804" s="1293"/>
      <c r="T804" s="1293"/>
      <c r="U804" s="1293"/>
      <c r="V804" s="1293"/>
      <c r="W804" s="1293"/>
      <c r="X804" s="1293"/>
      <c r="Y804" s="1293"/>
      <c r="Z804" s="1293"/>
      <c r="AA804" s="1293"/>
      <c r="AB804" s="1293"/>
      <c r="AC804" s="1293"/>
      <c r="AD804" s="1293"/>
      <c r="AE804" s="1293"/>
      <c r="AF804" s="1293"/>
      <c r="AG804" s="1293"/>
      <c r="AH804" s="1293"/>
      <c r="AI804" s="1293"/>
      <c r="AJ804" s="1293"/>
      <c r="AK804" s="1293"/>
      <c r="AL804" s="1293"/>
      <c r="AM804" s="1293"/>
      <c r="AN804" s="1293"/>
      <c r="AO804" s="1293"/>
      <c r="AP804" s="1293"/>
      <c r="AQ804" s="1293"/>
      <c r="AR804" s="1293"/>
      <c r="AS804" s="1293"/>
      <c r="AT804" s="1293"/>
      <c r="AU804" s="1293"/>
      <c r="AV804" s="1293"/>
      <c r="AW804" s="1293"/>
      <c r="AX804" s="1293"/>
      <c r="AY804" s="1293"/>
      <c r="AZ804" s="1293"/>
      <c r="BA804" s="1293"/>
      <c r="BB804" s="1293"/>
      <c r="BC804" s="1293"/>
      <c r="BD804" s="1293"/>
      <c r="BE804" s="1293"/>
      <c r="BF804" s="1293"/>
      <c r="BG804" s="1293"/>
      <c r="BH804" s="1293"/>
      <c r="BI804" s="1293"/>
      <c r="BJ804" s="1293"/>
      <c r="BK804" s="1293"/>
      <c r="BL804" s="1293"/>
      <c r="BM804" s="1293"/>
      <c r="BN804" s="1293"/>
      <c r="BO804" s="1293"/>
      <c r="BP804" s="1293"/>
      <c r="BQ804" s="1293"/>
      <c r="BR804" s="1293"/>
      <c r="BS804" s="1293"/>
      <c r="BT804" s="1293"/>
      <c r="BU804" s="1293"/>
      <c r="BV804" s="1293"/>
      <c r="BW804" s="1293"/>
      <c r="BX804" s="1293"/>
      <c r="BY804" s="1293"/>
      <c r="BZ804" s="1293"/>
      <c r="CA804" s="1293"/>
      <c r="CB804" s="1293"/>
      <c r="CC804" s="1293"/>
      <c r="CD804" s="1293"/>
      <c r="CE804" s="1293"/>
      <c r="CF804" s="1293"/>
      <c r="CG804" s="1293"/>
      <c r="CH804" s="1293"/>
      <c r="CI804" s="1293"/>
      <c r="CJ804" s="1293"/>
      <c r="CK804" s="1293"/>
      <c r="CL804" s="1293"/>
      <c r="CM804" s="1293"/>
      <c r="CN804" s="1293"/>
      <c r="CO804" s="1293"/>
      <c r="CP804" s="1293"/>
      <c r="CQ804" s="1293"/>
      <c r="CR804" s="1293"/>
      <c r="CS804" s="1293"/>
      <c r="CT804" s="1293"/>
      <c r="CU804" s="1293"/>
      <c r="CV804" s="1293"/>
      <c r="CW804" s="1293"/>
      <c r="CX804" s="1293"/>
      <c r="CY804" s="1293"/>
      <c r="CZ804" s="1293"/>
      <c r="DA804" s="2031"/>
      <c r="DB804" s="1293"/>
      <c r="DC804" s="1293"/>
      <c r="DD804" s="1293"/>
      <c r="DE804" s="1293"/>
      <c r="DF804" s="1293"/>
      <c r="DG804" s="1293"/>
      <c r="DH804" s="1293"/>
      <c r="DI804" s="1293"/>
      <c r="DJ804" s="1293"/>
      <c r="DK804" s="1293"/>
      <c r="DL804" s="1293"/>
    </row>
    <row r="805" spans="1:116" ht="15.75">
      <c r="A805" s="1293"/>
      <c r="B805" s="1293"/>
      <c r="C805" s="1293"/>
      <c r="D805" s="1293"/>
      <c r="E805" s="1293"/>
      <c r="F805" s="1293"/>
      <c r="G805" s="1293"/>
      <c r="H805" s="1293"/>
      <c r="I805" s="1293"/>
      <c r="J805" s="1293"/>
      <c r="K805" s="1293"/>
      <c r="L805" s="1293"/>
      <c r="M805" s="1293"/>
      <c r="N805" s="1293"/>
      <c r="O805" s="1293"/>
      <c r="P805" s="1293"/>
      <c r="Q805" s="1293"/>
      <c r="R805" s="1293"/>
      <c r="S805" s="1293"/>
      <c r="T805" s="1293"/>
      <c r="U805" s="1293"/>
      <c r="V805" s="1293"/>
      <c r="W805" s="1293"/>
      <c r="X805" s="1293"/>
      <c r="Y805" s="1293"/>
      <c r="Z805" s="1293"/>
      <c r="AA805" s="1293"/>
      <c r="AB805" s="1293"/>
      <c r="AC805" s="1293"/>
      <c r="AD805" s="1293"/>
      <c r="AE805" s="1293"/>
      <c r="AF805" s="1293"/>
      <c r="AG805" s="1293"/>
      <c r="AH805" s="1293"/>
      <c r="AI805" s="1293"/>
      <c r="AJ805" s="1293"/>
      <c r="AK805" s="1293"/>
      <c r="AL805" s="1293"/>
      <c r="AM805" s="1293"/>
      <c r="AN805" s="1293"/>
      <c r="AO805" s="1293"/>
      <c r="AP805" s="1293"/>
      <c r="AQ805" s="1293"/>
      <c r="AR805" s="1293"/>
      <c r="AS805" s="1293"/>
      <c r="AT805" s="1293"/>
      <c r="AU805" s="1293"/>
      <c r="AV805" s="1293"/>
      <c r="AW805" s="1293"/>
      <c r="AX805" s="1293"/>
      <c r="AY805" s="1293"/>
      <c r="AZ805" s="1293"/>
      <c r="BA805" s="1293"/>
      <c r="BB805" s="1293"/>
      <c r="BC805" s="1293"/>
      <c r="BD805" s="1293"/>
      <c r="BE805" s="1293"/>
      <c r="BF805" s="1293"/>
      <c r="BG805" s="1293"/>
      <c r="BH805" s="1293"/>
      <c r="BI805" s="1293"/>
      <c r="BJ805" s="1293"/>
      <c r="BK805" s="1293"/>
      <c r="BL805" s="1293"/>
      <c r="BM805" s="1293"/>
      <c r="BN805" s="1293"/>
      <c r="BO805" s="1293"/>
      <c r="BP805" s="1293"/>
      <c r="BQ805" s="1293"/>
      <c r="BR805" s="1293"/>
      <c r="BS805" s="1293"/>
      <c r="BT805" s="1293"/>
      <c r="BU805" s="1293"/>
      <c r="BV805" s="1293"/>
      <c r="BW805" s="1293"/>
      <c r="BX805" s="1293"/>
      <c r="BY805" s="1293"/>
      <c r="BZ805" s="1293"/>
      <c r="CA805" s="1293"/>
      <c r="CB805" s="1293"/>
      <c r="CC805" s="1293"/>
      <c r="CD805" s="1293"/>
      <c r="CE805" s="1293"/>
      <c r="CF805" s="1293"/>
      <c r="CG805" s="1293"/>
      <c r="CH805" s="1293"/>
      <c r="CI805" s="1293"/>
      <c r="CJ805" s="1293"/>
      <c r="CK805" s="1293"/>
      <c r="CL805" s="1293"/>
      <c r="CM805" s="1293"/>
      <c r="CN805" s="1293"/>
      <c r="CO805" s="1293"/>
      <c r="CP805" s="1293"/>
      <c r="CQ805" s="1293"/>
      <c r="CR805" s="1293"/>
      <c r="CS805" s="1293"/>
      <c r="CT805" s="1293"/>
      <c r="CU805" s="1293"/>
      <c r="CV805" s="1293"/>
      <c r="CW805" s="1293"/>
      <c r="CX805" s="1293"/>
      <c r="CY805" s="1293"/>
      <c r="CZ805" s="1293"/>
      <c r="DA805" s="2031"/>
      <c r="DB805" s="1293"/>
      <c r="DC805" s="1293"/>
      <c r="DD805" s="1293"/>
      <c r="DE805" s="1293"/>
      <c r="DF805" s="1293"/>
      <c r="DG805" s="1293"/>
      <c r="DH805" s="1293"/>
      <c r="DI805" s="1293"/>
      <c r="DJ805" s="1293"/>
      <c r="DK805" s="1293"/>
      <c r="DL805" s="1293"/>
    </row>
    <row r="806" spans="1:116" ht="15.75">
      <c r="A806" s="1293"/>
      <c r="B806" s="1293"/>
      <c r="C806" s="1293"/>
      <c r="D806" s="1293"/>
      <c r="E806" s="1293"/>
      <c r="F806" s="1293"/>
      <c r="G806" s="1293"/>
      <c r="H806" s="1293"/>
      <c r="I806" s="1293"/>
      <c r="J806" s="1293"/>
      <c r="K806" s="1293"/>
      <c r="L806" s="1293"/>
      <c r="M806" s="1293"/>
      <c r="N806" s="1293"/>
      <c r="O806" s="1293"/>
      <c r="P806" s="1293"/>
      <c r="Q806" s="1293"/>
      <c r="R806" s="1293"/>
      <c r="S806" s="1293"/>
      <c r="T806" s="1293"/>
      <c r="U806" s="1293"/>
      <c r="V806" s="1293"/>
      <c r="W806" s="1293"/>
      <c r="X806" s="1293"/>
      <c r="Y806" s="1293"/>
      <c r="Z806" s="1293"/>
      <c r="AA806" s="1293"/>
      <c r="AB806" s="1293"/>
      <c r="AC806" s="1293"/>
      <c r="AD806" s="1293"/>
      <c r="AE806" s="1293"/>
      <c r="AF806" s="1293"/>
      <c r="AG806" s="1293"/>
      <c r="AH806" s="1293"/>
      <c r="AI806" s="1293"/>
      <c r="AJ806" s="1293"/>
      <c r="AK806" s="1293"/>
      <c r="AL806" s="1293"/>
      <c r="AM806" s="1293"/>
      <c r="AN806" s="1293"/>
      <c r="AO806" s="1293"/>
      <c r="AP806" s="1293"/>
      <c r="AQ806" s="1293"/>
      <c r="AR806" s="1293"/>
      <c r="AS806" s="1293"/>
      <c r="AT806" s="1293"/>
      <c r="AU806" s="1293"/>
      <c r="AV806" s="1293"/>
      <c r="AW806" s="1293"/>
      <c r="AX806" s="1293"/>
      <c r="AY806" s="1293"/>
      <c r="AZ806" s="1293"/>
      <c r="BA806" s="1293"/>
      <c r="BB806" s="1293"/>
      <c r="BC806" s="1293"/>
      <c r="BD806" s="1293"/>
      <c r="BE806" s="1293"/>
      <c r="BF806" s="1293"/>
      <c r="BG806" s="1293"/>
      <c r="BH806" s="1293"/>
      <c r="BI806" s="1293"/>
      <c r="BJ806" s="1293"/>
      <c r="BK806" s="1293"/>
      <c r="BL806" s="1293"/>
      <c r="BM806" s="1293"/>
      <c r="BN806" s="1293"/>
      <c r="BO806" s="1293"/>
      <c r="BP806" s="1293"/>
      <c r="BQ806" s="1293"/>
      <c r="BR806" s="1293"/>
      <c r="BS806" s="1293"/>
      <c r="BT806" s="1293"/>
      <c r="BU806" s="1293"/>
      <c r="BV806" s="1293"/>
      <c r="BW806" s="1293"/>
      <c r="BX806" s="1293"/>
      <c r="BY806" s="1293"/>
      <c r="BZ806" s="1293"/>
      <c r="CA806" s="1293"/>
      <c r="CB806" s="1293"/>
      <c r="CC806" s="1293"/>
      <c r="CD806" s="1293"/>
      <c r="CE806" s="1293"/>
      <c r="CF806" s="1293"/>
      <c r="CG806" s="1293"/>
      <c r="CH806" s="1293"/>
      <c r="CI806" s="1293"/>
      <c r="CJ806" s="1293"/>
      <c r="CK806" s="1293"/>
      <c r="CL806" s="1293"/>
      <c r="CM806" s="1293"/>
      <c r="CN806" s="1293"/>
      <c r="CO806" s="1293"/>
      <c r="CP806" s="1293"/>
      <c r="CQ806" s="1293"/>
      <c r="CR806" s="1293"/>
      <c r="CS806" s="1293"/>
      <c r="CT806" s="1293"/>
      <c r="CU806" s="1293"/>
      <c r="CV806" s="1293"/>
      <c r="CW806" s="1293"/>
      <c r="CX806" s="1293"/>
      <c r="CY806" s="1293"/>
      <c r="CZ806" s="1293"/>
      <c r="DA806" s="2031"/>
      <c r="DB806" s="1293"/>
      <c r="DC806" s="1293"/>
      <c r="DD806" s="1293"/>
      <c r="DE806" s="1293"/>
      <c r="DF806" s="1293"/>
      <c r="DG806" s="1293"/>
      <c r="DH806" s="1293"/>
      <c r="DI806" s="1293"/>
      <c r="DJ806" s="1293"/>
      <c r="DK806" s="1293"/>
      <c r="DL806" s="1293"/>
    </row>
    <row r="807" spans="1:116" ht="15.75">
      <c r="A807" s="1293"/>
      <c r="B807" s="1293"/>
      <c r="C807" s="1293"/>
      <c r="D807" s="1293"/>
      <c r="E807" s="1293"/>
      <c r="F807" s="1293"/>
      <c r="G807" s="1293"/>
      <c r="H807" s="1293"/>
      <c r="I807" s="1293"/>
      <c r="J807" s="1293"/>
      <c r="K807" s="1293"/>
      <c r="L807" s="1293"/>
      <c r="M807" s="1293"/>
      <c r="N807" s="1293"/>
      <c r="O807" s="1293"/>
      <c r="P807" s="1293"/>
      <c r="Q807" s="1293"/>
      <c r="R807" s="1293"/>
      <c r="S807" s="1293"/>
      <c r="T807" s="1293"/>
      <c r="U807" s="1293"/>
      <c r="V807" s="1293"/>
      <c r="W807" s="1293"/>
      <c r="X807" s="1293"/>
      <c r="Y807" s="1293"/>
      <c r="Z807" s="1293"/>
      <c r="AA807" s="1293"/>
      <c r="AB807" s="1293"/>
      <c r="AC807" s="1293"/>
      <c r="AD807" s="1293"/>
      <c r="AE807" s="1293"/>
      <c r="AF807" s="1293"/>
      <c r="AG807" s="1293"/>
      <c r="AH807" s="1293"/>
      <c r="AI807" s="1293"/>
      <c r="AJ807" s="1293"/>
      <c r="AK807" s="1293"/>
      <c r="AL807" s="1293"/>
      <c r="AM807" s="1293"/>
      <c r="AN807" s="1293"/>
      <c r="AO807" s="1293"/>
      <c r="AP807" s="1293"/>
      <c r="AQ807" s="1293"/>
      <c r="AR807" s="1293"/>
      <c r="AS807" s="1293"/>
      <c r="AT807" s="1293"/>
      <c r="AU807" s="1293"/>
      <c r="AV807" s="1293"/>
      <c r="AW807" s="1293"/>
      <c r="AX807" s="1293"/>
      <c r="AY807" s="1293"/>
      <c r="AZ807" s="1293"/>
      <c r="BA807" s="1293"/>
      <c r="BB807" s="1293"/>
      <c r="BC807" s="1293"/>
      <c r="BD807" s="1293"/>
      <c r="BE807" s="1293"/>
      <c r="BF807" s="1293"/>
      <c r="BG807" s="1293"/>
      <c r="BH807" s="1293"/>
      <c r="BI807" s="1293"/>
      <c r="BJ807" s="1293"/>
      <c r="BK807" s="1293"/>
      <c r="BL807" s="1293"/>
      <c r="BM807" s="1293"/>
      <c r="BN807" s="1293"/>
      <c r="BO807" s="1293"/>
      <c r="BP807" s="1293"/>
      <c r="BQ807" s="1293"/>
      <c r="BR807" s="1293"/>
      <c r="BS807" s="1293"/>
      <c r="BT807" s="1293"/>
      <c r="BU807" s="1293"/>
      <c r="BV807" s="1293"/>
      <c r="BW807" s="1293"/>
      <c r="BX807" s="1293"/>
      <c r="BY807" s="1293"/>
      <c r="BZ807" s="1293"/>
      <c r="CA807" s="1293"/>
      <c r="CB807" s="1293"/>
      <c r="CC807" s="1293"/>
      <c r="CD807" s="1293"/>
      <c r="CE807" s="1293"/>
      <c r="CF807" s="1293"/>
      <c r="CG807" s="1293"/>
      <c r="CH807" s="1293"/>
      <c r="CI807" s="1293"/>
      <c r="CJ807" s="1293"/>
      <c r="CK807" s="1293"/>
      <c r="CL807" s="1293"/>
      <c r="CM807" s="1293"/>
      <c r="CN807" s="1293"/>
      <c r="CO807" s="1293"/>
      <c r="CP807" s="1293"/>
      <c r="CQ807" s="1293"/>
      <c r="CR807" s="1293"/>
      <c r="CS807" s="1293"/>
      <c r="CT807" s="1293"/>
      <c r="CU807" s="1293"/>
      <c r="CV807" s="1293"/>
      <c r="CW807" s="1293"/>
      <c r="CX807" s="1293"/>
      <c r="CY807" s="1293"/>
      <c r="CZ807" s="1293"/>
      <c r="DA807" s="2031"/>
      <c r="DB807" s="1293"/>
      <c r="DC807" s="1293"/>
      <c r="DD807" s="1293"/>
      <c r="DE807" s="1293"/>
      <c r="DF807" s="1293"/>
      <c r="DG807" s="1293"/>
      <c r="DH807" s="1293"/>
      <c r="DI807" s="1293"/>
      <c r="DJ807" s="1293"/>
      <c r="DK807" s="1293"/>
      <c r="DL807" s="1293"/>
    </row>
    <row r="808" spans="1:116" ht="15.75">
      <c r="A808" s="1293"/>
      <c r="B808" s="1293"/>
      <c r="C808" s="1293"/>
      <c r="D808" s="1293"/>
      <c r="E808" s="1293"/>
      <c r="F808" s="1293"/>
      <c r="G808" s="1293"/>
      <c r="H808" s="1293"/>
      <c r="I808" s="1293"/>
      <c r="J808" s="1293"/>
      <c r="K808" s="1293"/>
      <c r="L808" s="1293"/>
      <c r="M808" s="1293"/>
      <c r="N808" s="1293"/>
      <c r="O808" s="1293"/>
      <c r="P808" s="1293"/>
      <c r="Q808" s="1293"/>
      <c r="R808" s="1293"/>
      <c r="S808" s="1293"/>
      <c r="T808" s="1293"/>
      <c r="U808" s="1293"/>
      <c r="V808" s="1293"/>
      <c r="W808" s="1293"/>
      <c r="X808" s="1293"/>
      <c r="Y808" s="1293"/>
      <c r="Z808" s="1293"/>
      <c r="AA808" s="1293"/>
      <c r="AB808" s="1293"/>
      <c r="AC808" s="1293"/>
      <c r="AD808" s="1293"/>
      <c r="AE808" s="1293"/>
      <c r="AF808" s="1293"/>
      <c r="AG808" s="1293"/>
      <c r="AH808" s="1293"/>
      <c r="AI808" s="1293"/>
      <c r="AJ808" s="1293"/>
      <c r="AK808" s="1293"/>
      <c r="AL808" s="1293"/>
      <c r="AM808" s="1293"/>
      <c r="AN808" s="1293"/>
      <c r="AO808" s="1293"/>
      <c r="AP808" s="1293"/>
      <c r="AQ808" s="1293"/>
      <c r="AR808" s="1293"/>
      <c r="AS808" s="1293"/>
      <c r="AT808" s="1293"/>
      <c r="AU808" s="1293"/>
      <c r="AV808" s="1293"/>
      <c r="AW808" s="1293"/>
      <c r="AX808" s="1293"/>
      <c r="AY808" s="1293"/>
      <c r="AZ808" s="1293"/>
      <c r="BA808" s="1293"/>
      <c r="BB808" s="1293"/>
      <c r="BC808" s="1293"/>
      <c r="BD808" s="1293"/>
      <c r="BE808" s="1293"/>
      <c r="BF808" s="1293"/>
      <c r="BG808" s="1293"/>
      <c r="BH808" s="1293"/>
      <c r="BI808" s="1293"/>
      <c r="BJ808" s="1293"/>
      <c r="BK808" s="1293"/>
      <c r="BL808" s="1293"/>
      <c r="BM808" s="1293"/>
      <c r="BN808" s="1293"/>
      <c r="BO808" s="1293"/>
      <c r="BP808" s="1293"/>
      <c r="BQ808" s="1293"/>
      <c r="BR808" s="1293"/>
      <c r="BS808" s="1293"/>
      <c r="BT808" s="1293"/>
      <c r="BU808" s="1293"/>
      <c r="BV808" s="1293"/>
      <c r="BW808" s="1293"/>
      <c r="BX808" s="1293"/>
      <c r="BY808" s="1293"/>
      <c r="BZ808" s="1293"/>
      <c r="CA808" s="1293"/>
      <c r="CB808" s="1293"/>
      <c r="CC808" s="1293"/>
      <c r="CD808" s="1293"/>
      <c r="CE808" s="1293"/>
      <c r="CF808" s="1293"/>
      <c r="CG808" s="1293"/>
      <c r="CH808" s="1293"/>
      <c r="CI808" s="1293"/>
      <c r="CJ808" s="1293"/>
      <c r="CK808" s="1293"/>
      <c r="CL808" s="1293"/>
      <c r="CM808" s="1293"/>
      <c r="CN808" s="1293"/>
      <c r="CO808" s="1293"/>
      <c r="CP808" s="1293"/>
      <c r="CQ808" s="1293"/>
      <c r="CR808" s="1293"/>
      <c r="CS808" s="1293"/>
      <c r="CT808" s="1293"/>
      <c r="CU808" s="1293"/>
      <c r="CV808" s="1293"/>
      <c r="CW808" s="1293"/>
      <c r="CX808" s="1293"/>
      <c r="CY808" s="1293"/>
      <c r="CZ808" s="1293"/>
      <c r="DA808" s="2031"/>
      <c r="DB808" s="1293"/>
      <c r="DC808" s="1293"/>
      <c r="DD808" s="1293"/>
      <c r="DE808" s="1293"/>
      <c r="DF808" s="1293"/>
      <c r="DG808" s="1293"/>
      <c r="DH808" s="1293"/>
      <c r="DI808" s="1293"/>
      <c r="DJ808" s="1293"/>
      <c r="DK808" s="1293"/>
      <c r="DL808" s="1293"/>
    </row>
    <row r="809" spans="1:116" ht="15.75">
      <c r="A809" s="1293"/>
      <c r="B809" s="1293"/>
      <c r="C809" s="1293"/>
      <c r="D809" s="1293"/>
      <c r="E809" s="1293"/>
      <c r="F809" s="1293"/>
      <c r="G809" s="1293"/>
      <c r="H809" s="1293"/>
      <c r="I809" s="1293"/>
      <c r="J809" s="1293"/>
      <c r="K809" s="1293"/>
      <c r="L809" s="1293"/>
      <c r="M809" s="1293"/>
      <c r="N809" s="1293"/>
      <c r="O809" s="1293"/>
      <c r="P809" s="1293"/>
      <c r="Q809" s="1293"/>
      <c r="R809" s="1293"/>
      <c r="S809" s="1293"/>
      <c r="T809" s="1293"/>
      <c r="U809" s="1293"/>
      <c r="V809" s="1293"/>
      <c r="W809" s="1293"/>
      <c r="X809" s="1293"/>
      <c r="Y809" s="1293"/>
      <c r="Z809" s="1293"/>
      <c r="AA809" s="1293"/>
      <c r="AB809" s="1293"/>
      <c r="AC809" s="1293"/>
      <c r="AD809" s="1293"/>
      <c r="AE809" s="1293"/>
      <c r="AF809" s="1293"/>
      <c r="AG809" s="1293"/>
      <c r="AH809" s="1293"/>
      <c r="AI809" s="1293"/>
      <c r="AJ809" s="1293"/>
      <c r="AK809" s="1293"/>
      <c r="AL809" s="1293"/>
      <c r="AM809" s="1293"/>
      <c r="AN809" s="1293"/>
      <c r="AO809" s="1293"/>
      <c r="AP809" s="1293"/>
      <c r="AQ809" s="1293"/>
      <c r="AR809" s="1293"/>
      <c r="AS809" s="1293"/>
      <c r="AT809" s="1293"/>
      <c r="AU809" s="1293"/>
      <c r="AV809" s="1293"/>
      <c r="AW809" s="1293"/>
      <c r="AX809" s="1293"/>
      <c r="AY809" s="1293"/>
      <c r="AZ809" s="1293"/>
      <c r="BA809" s="1293"/>
      <c r="BB809" s="1293"/>
      <c r="BC809" s="1293"/>
      <c r="BD809" s="1293"/>
      <c r="BE809" s="1293"/>
      <c r="BF809" s="1293"/>
      <c r="BG809" s="1293"/>
      <c r="BH809" s="1293"/>
      <c r="BI809" s="1293"/>
      <c r="BJ809" s="1293"/>
      <c r="BK809" s="1293"/>
      <c r="BL809" s="1293"/>
      <c r="BM809" s="1293"/>
      <c r="BN809" s="1293"/>
      <c r="BO809" s="1293"/>
      <c r="BP809" s="1293"/>
      <c r="BQ809" s="1293"/>
      <c r="BR809" s="1293"/>
      <c r="BS809" s="1293"/>
      <c r="BT809" s="1293"/>
      <c r="BU809" s="1293"/>
      <c r="BV809" s="1293"/>
      <c r="BW809" s="1293"/>
      <c r="BX809" s="1293"/>
      <c r="BY809" s="1293"/>
      <c r="BZ809" s="1293"/>
      <c r="CA809" s="1293"/>
      <c r="CB809" s="1293"/>
      <c r="CC809" s="1293"/>
      <c r="CD809" s="1293"/>
      <c r="CE809" s="1293"/>
      <c r="CF809" s="1293"/>
      <c r="CG809" s="1293"/>
      <c r="CH809" s="1293"/>
      <c r="CI809" s="1293"/>
      <c r="CJ809" s="1293"/>
      <c r="CK809" s="1293"/>
      <c r="CL809" s="1293"/>
      <c r="CM809" s="1293"/>
      <c r="CN809" s="1293"/>
      <c r="CO809" s="1293"/>
      <c r="CP809" s="1293"/>
      <c r="CQ809" s="1293"/>
      <c r="CR809" s="1293"/>
      <c r="CS809" s="1293"/>
      <c r="CT809" s="1293"/>
      <c r="CU809" s="1293"/>
      <c r="CV809" s="1293"/>
      <c r="CW809" s="1293"/>
      <c r="CX809" s="1293"/>
      <c r="CY809" s="1293"/>
      <c r="CZ809" s="1293"/>
      <c r="DA809" s="2031"/>
      <c r="DB809" s="1293"/>
      <c r="DC809" s="1293"/>
      <c r="DD809" s="1293"/>
      <c r="DE809" s="1293"/>
      <c r="DF809" s="1293"/>
      <c r="DG809" s="1293"/>
      <c r="DH809" s="1293"/>
      <c r="DI809" s="1293"/>
      <c r="DJ809" s="1293"/>
      <c r="DK809" s="1293"/>
      <c r="DL809" s="1293"/>
    </row>
    <row r="810" spans="1:116" ht="15.75">
      <c r="A810" s="1293"/>
      <c r="B810" s="1293"/>
      <c r="C810" s="1293"/>
      <c r="D810" s="1293"/>
      <c r="E810" s="1293"/>
      <c r="F810" s="1293"/>
      <c r="G810" s="1293"/>
      <c r="H810" s="1293"/>
      <c r="I810" s="1293"/>
      <c r="J810" s="1293"/>
      <c r="K810" s="1293"/>
      <c r="L810" s="1293"/>
      <c r="M810" s="1293"/>
      <c r="N810" s="1293"/>
      <c r="O810" s="1293"/>
      <c r="P810" s="1293"/>
      <c r="Q810" s="1293"/>
      <c r="R810" s="1293"/>
      <c r="S810" s="1293"/>
      <c r="T810" s="1293"/>
      <c r="U810" s="1293"/>
      <c r="V810" s="1293"/>
      <c r="W810" s="1293"/>
      <c r="X810" s="1293"/>
      <c r="Y810" s="1293"/>
      <c r="Z810" s="1293"/>
      <c r="AA810" s="1293"/>
      <c r="AB810" s="1293"/>
      <c r="AC810" s="1293"/>
      <c r="AD810" s="1293"/>
      <c r="AE810" s="1293"/>
      <c r="AF810" s="1293"/>
      <c r="AG810" s="1293"/>
      <c r="AH810" s="1293"/>
      <c r="AI810" s="1293"/>
      <c r="AJ810" s="1293"/>
      <c r="AK810" s="1293"/>
      <c r="AL810" s="1293"/>
      <c r="AM810" s="1293"/>
      <c r="AN810" s="1293"/>
      <c r="AO810" s="1293"/>
      <c r="AP810" s="1293"/>
      <c r="AQ810" s="1293"/>
      <c r="AR810" s="1293"/>
      <c r="AS810" s="1293"/>
      <c r="AT810" s="1293"/>
      <c r="AU810" s="1293"/>
      <c r="AV810" s="1293"/>
      <c r="AW810" s="1293"/>
      <c r="AX810" s="1293"/>
      <c r="AY810" s="1293"/>
      <c r="AZ810" s="1293"/>
      <c r="BA810" s="1293"/>
      <c r="BB810" s="1293"/>
      <c r="BC810" s="1293"/>
      <c r="BD810" s="1293"/>
      <c r="BE810" s="1293"/>
      <c r="BF810" s="1293"/>
      <c r="BG810" s="1293"/>
      <c r="BH810" s="1293"/>
      <c r="BI810" s="1293"/>
      <c r="BJ810" s="1293"/>
      <c r="BK810" s="1293"/>
      <c r="BL810" s="1293"/>
      <c r="BM810" s="1293"/>
      <c r="BN810" s="1293"/>
      <c r="BO810" s="1293"/>
      <c r="BP810" s="1293"/>
      <c r="BQ810" s="1293"/>
      <c r="BR810" s="1293"/>
      <c r="BS810" s="1293"/>
      <c r="BT810" s="1293"/>
      <c r="BU810" s="1293"/>
      <c r="BV810" s="1293"/>
      <c r="BW810" s="1293"/>
      <c r="BX810" s="1293"/>
      <c r="BY810" s="1293"/>
      <c r="BZ810" s="1293"/>
      <c r="CA810" s="1293"/>
      <c r="CB810" s="1293"/>
      <c r="CC810" s="1293"/>
      <c r="CD810" s="1293"/>
      <c r="CE810" s="1293"/>
      <c r="CF810" s="1293"/>
      <c r="CG810" s="1293"/>
      <c r="CH810" s="1293"/>
      <c r="CI810" s="1293"/>
      <c r="CJ810" s="1293"/>
      <c r="CK810" s="1293"/>
      <c r="CL810" s="1293"/>
      <c r="CM810" s="1293"/>
      <c r="CN810" s="1293"/>
      <c r="CO810" s="1293"/>
      <c r="CP810" s="1293"/>
      <c r="CQ810" s="1293"/>
      <c r="CR810" s="1293"/>
      <c r="CS810" s="1293"/>
      <c r="CT810" s="1293"/>
      <c r="CU810" s="1293"/>
      <c r="CV810" s="1293"/>
      <c r="CW810" s="1293"/>
      <c r="CX810" s="1293"/>
      <c r="CY810" s="1293"/>
      <c r="CZ810" s="1293"/>
      <c r="DA810" s="2031"/>
      <c r="DB810" s="1293"/>
      <c r="DC810" s="1293"/>
      <c r="DD810" s="1293"/>
      <c r="DE810" s="1293"/>
      <c r="DF810" s="1293"/>
      <c r="DG810" s="1293"/>
      <c r="DH810" s="1293"/>
      <c r="DI810" s="1293"/>
      <c r="DJ810" s="1293"/>
      <c r="DK810" s="1293"/>
      <c r="DL810" s="1293"/>
    </row>
    <row r="811" spans="1:116" ht="15.75">
      <c r="A811" s="1293"/>
      <c r="B811" s="1293"/>
      <c r="C811" s="1293"/>
      <c r="D811" s="1293"/>
      <c r="E811" s="1293"/>
      <c r="F811" s="1293"/>
      <c r="G811" s="1293"/>
      <c r="H811" s="1293"/>
      <c r="I811" s="1293"/>
      <c r="J811" s="1293"/>
      <c r="K811" s="1293"/>
      <c r="L811" s="1293"/>
      <c r="M811" s="1293"/>
      <c r="N811" s="1293"/>
      <c r="O811" s="1293"/>
      <c r="P811" s="1293"/>
      <c r="Q811" s="1293"/>
      <c r="R811" s="1293"/>
      <c r="S811" s="1293"/>
      <c r="T811" s="1293"/>
      <c r="U811" s="1293"/>
      <c r="V811" s="1293"/>
      <c r="W811" s="1293"/>
      <c r="X811" s="1293"/>
      <c r="Y811" s="1293"/>
      <c r="Z811" s="1293"/>
      <c r="AA811" s="1293"/>
      <c r="AB811" s="1293"/>
      <c r="AC811" s="1293"/>
      <c r="AD811" s="1293"/>
      <c r="AE811" s="1293"/>
      <c r="AF811" s="1293"/>
      <c r="AG811" s="1293"/>
      <c r="AH811" s="1293"/>
      <c r="AI811" s="1293"/>
      <c r="AJ811" s="1293"/>
      <c r="AK811" s="1293"/>
      <c r="AL811" s="1293"/>
      <c r="AM811" s="1293"/>
      <c r="AN811" s="1293"/>
      <c r="AO811" s="1293"/>
      <c r="AP811" s="1293"/>
      <c r="AQ811" s="1293"/>
      <c r="AR811" s="1293"/>
      <c r="AS811" s="1293"/>
      <c r="AT811" s="1293"/>
      <c r="AU811" s="1293"/>
      <c r="AV811" s="1293"/>
      <c r="AW811" s="1293"/>
      <c r="AX811" s="1293"/>
      <c r="AY811" s="1293"/>
      <c r="AZ811" s="1293"/>
      <c r="BA811" s="1293"/>
      <c r="BB811" s="1293"/>
      <c r="BC811" s="1293"/>
      <c r="BD811" s="1293"/>
      <c r="BE811" s="1293"/>
      <c r="BF811" s="1293"/>
      <c r="BG811" s="1293"/>
      <c r="BH811" s="1293"/>
      <c r="BI811" s="1293"/>
      <c r="BJ811" s="1293"/>
      <c r="BK811" s="1293"/>
      <c r="BL811" s="1293"/>
      <c r="BM811" s="1293"/>
      <c r="BN811" s="1293"/>
      <c r="BO811" s="1293"/>
      <c r="BP811" s="1293"/>
      <c r="BQ811" s="1293"/>
      <c r="BR811" s="1293"/>
      <c r="BS811" s="1293"/>
      <c r="BT811" s="1293"/>
      <c r="BU811" s="1293"/>
      <c r="BV811" s="1293"/>
      <c r="BW811" s="1293"/>
      <c r="BX811" s="1293"/>
      <c r="BY811" s="1293"/>
      <c r="BZ811" s="1293"/>
      <c r="CA811" s="1293"/>
      <c r="CB811" s="1293"/>
      <c r="CC811" s="1293"/>
      <c r="CD811" s="1293"/>
      <c r="CE811" s="1293"/>
      <c r="CF811" s="1293"/>
      <c r="CG811" s="1293"/>
      <c r="CH811" s="1293"/>
      <c r="CI811" s="1293"/>
      <c r="CJ811" s="1293"/>
      <c r="CK811" s="1293"/>
      <c r="CL811" s="1293"/>
      <c r="CM811" s="1293"/>
      <c r="CN811" s="1293"/>
      <c r="CO811" s="1293"/>
      <c r="CP811" s="1293"/>
      <c r="CQ811" s="1293"/>
      <c r="CR811" s="1293"/>
      <c r="CS811" s="1293"/>
      <c r="CT811" s="1293"/>
      <c r="CU811" s="1293"/>
      <c r="CV811" s="1293"/>
      <c r="CW811" s="1293"/>
      <c r="CX811" s="1293"/>
      <c r="CY811" s="1293"/>
      <c r="CZ811" s="1293"/>
      <c r="DA811" s="2031"/>
      <c r="DB811" s="1293"/>
      <c r="DC811" s="1293"/>
      <c r="DD811" s="1293"/>
      <c r="DE811" s="1293"/>
      <c r="DF811" s="1293"/>
      <c r="DG811" s="1293"/>
      <c r="DH811" s="1293"/>
      <c r="DI811" s="1293"/>
      <c r="DJ811" s="1293"/>
      <c r="DK811" s="1293"/>
      <c r="DL811" s="1293"/>
    </row>
    <row r="812" spans="1:116" ht="15.75">
      <c r="A812" s="1293"/>
      <c r="B812" s="1293"/>
      <c r="C812" s="1293"/>
      <c r="D812" s="1293"/>
      <c r="E812" s="1293"/>
      <c r="F812" s="1293"/>
      <c r="G812" s="1293"/>
      <c r="H812" s="1293"/>
      <c r="I812" s="1293"/>
      <c r="J812" s="1293"/>
      <c r="K812" s="1293"/>
      <c r="L812" s="1293"/>
      <c r="M812" s="1293"/>
      <c r="N812" s="1293"/>
      <c r="O812" s="1293"/>
      <c r="P812" s="1293"/>
      <c r="Q812" s="1293"/>
      <c r="R812" s="1293"/>
      <c r="S812" s="1293"/>
      <c r="T812" s="1293"/>
      <c r="U812" s="1293"/>
      <c r="V812" s="1293"/>
      <c r="W812" s="1293"/>
      <c r="X812" s="1293"/>
      <c r="Y812" s="1293"/>
      <c r="Z812" s="1293"/>
      <c r="AA812" s="1293"/>
      <c r="AB812" s="1293"/>
      <c r="AC812" s="1293"/>
      <c r="AD812" s="1293"/>
      <c r="AE812" s="1293"/>
      <c r="AF812" s="1293"/>
      <c r="AG812" s="1293"/>
      <c r="AH812" s="1293"/>
      <c r="AI812" s="1293"/>
      <c r="AJ812" s="1293"/>
      <c r="AK812" s="1293"/>
      <c r="AL812" s="1293"/>
      <c r="AM812" s="1293"/>
      <c r="AN812" s="1293"/>
      <c r="AO812" s="1293"/>
      <c r="AP812" s="1293"/>
      <c r="AQ812" s="1293"/>
      <c r="AR812" s="1293"/>
      <c r="AS812" s="1293"/>
      <c r="AT812" s="1293"/>
      <c r="AU812" s="1293"/>
      <c r="AV812" s="1293"/>
      <c r="AW812" s="1293"/>
      <c r="AX812" s="1293"/>
      <c r="AY812" s="1293"/>
      <c r="AZ812" s="1293"/>
      <c r="BA812" s="1293"/>
      <c r="BB812" s="1293"/>
      <c r="BC812" s="1293"/>
      <c r="BD812" s="1293"/>
      <c r="BE812" s="1293"/>
      <c r="BF812" s="1293"/>
      <c r="BG812" s="1293"/>
      <c r="BH812" s="1293"/>
      <c r="BI812" s="1293"/>
      <c r="BJ812" s="1293"/>
      <c r="BK812" s="1293"/>
      <c r="BL812" s="1293"/>
      <c r="BM812" s="1293"/>
      <c r="BN812" s="1293"/>
      <c r="BO812" s="1293"/>
      <c r="BP812" s="1293"/>
      <c r="BQ812" s="1293"/>
      <c r="BR812" s="1293"/>
      <c r="BS812" s="1293"/>
      <c r="BT812" s="1293"/>
      <c r="BU812" s="1293"/>
      <c r="BV812" s="1293"/>
      <c r="BW812" s="1293"/>
      <c r="BX812" s="1293"/>
      <c r="BY812" s="1293"/>
      <c r="BZ812" s="1293"/>
      <c r="CA812" s="1293"/>
      <c r="CB812" s="1293"/>
      <c r="CC812" s="1293"/>
      <c r="CD812" s="1293"/>
      <c r="CE812" s="1293"/>
      <c r="CF812" s="1293"/>
      <c r="CG812" s="1293"/>
      <c r="CH812" s="1293"/>
      <c r="CI812" s="1293"/>
      <c r="CJ812" s="1293"/>
      <c r="CK812" s="1293"/>
      <c r="CL812" s="1293"/>
      <c r="CM812" s="1293"/>
      <c r="CN812" s="1293"/>
      <c r="CO812" s="1293"/>
      <c r="CP812" s="1293"/>
      <c r="CQ812" s="1293"/>
      <c r="CR812" s="1293"/>
      <c r="CS812" s="1293"/>
      <c r="CT812" s="1293"/>
      <c r="CU812" s="1293"/>
      <c r="CV812" s="1293"/>
      <c r="CW812" s="1293"/>
      <c r="CX812" s="1293"/>
      <c r="CY812" s="1293"/>
      <c r="CZ812" s="1293"/>
      <c r="DA812" s="2031"/>
      <c r="DB812" s="1293"/>
      <c r="DC812" s="1293"/>
      <c r="DD812" s="1293"/>
      <c r="DE812" s="1293"/>
      <c r="DF812" s="1293"/>
      <c r="DG812" s="1293"/>
      <c r="DH812" s="1293"/>
      <c r="DI812" s="1293"/>
      <c r="DJ812" s="1293"/>
      <c r="DK812" s="1293"/>
      <c r="DL812" s="1293"/>
    </row>
    <row r="813" spans="1:116" ht="15.75">
      <c r="A813" s="1293"/>
      <c r="B813" s="1293"/>
      <c r="C813" s="1293"/>
      <c r="D813" s="1293"/>
      <c r="E813" s="1293"/>
      <c r="F813" s="1293"/>
      <c r="G813" s="1293"/>
      <c r="H813" s="1293"/>
      <c r="I813" s="1293"/>
      <c r="J813" s="1293"/>
      <c r="K813" s="1293"/>
      <c r="L813" s="1293"/>
      <c r="M813" s="1293"/>
      <c r="N813" s="1293"/>
      <c r="O813" s="1293"/>
      <c r="P813" s="1293"/>
      <c r="Q813" s="1293"/>
      <c r="R813" s="1293"/>
      <c r="S813" s="1293"/>
      <c r="T813" s="1293"/>
      <c r="U813" s="1293"/>
      <c r="V813" s="1293"/>
      <c r="W813" s="1293"/>
      <c r="X813" s="1293"/>
      <c r="Y813" s="1293"/>
      <c r="Z813" s="1293"/>
      <c r="AA813" s="1293"/>
      <c r="AB813" s="1293"/>
      <c r="AC813" s="1293"/>
      <c r="AD813" s="1293"/>
      <c r="AE813" s="1293"/>
      <c r="AF813" s="1293"/>
      <c r="AG813" s="1293"/>
      <c r="AH813" s="1293"/>
      <c r="AI813" s="1293"/>
      <c r="AJ813" s="1293"/>
      <c r="AK813" s="1293"/>
      <c r="AL813" s="1293"/>
      <c r="AM813" s="1293"/>
      <c r="AN813" s="1293"/>
      <c r="AO813" s="1293"/>
      <c r="AP813" s="1293"/>
      <c r="AQ813" s="1293"/>
      <c r="AR813" s="1293"/>
      <c r="AS813" s="1293"/>
      <c r="AT813" s="1293"/>
      <c r="AU813" s="1293"/>
      <c r="AV813" s="1293"/>
      <c r="AW813" s="1293"/>
      <c r="AX813" s="1293"/>
      <c r="AY813" s="1293"/>
      <c r="AZ813" s="1293"/>
      <c r="BA813" s="1293"/>
      <c r="BB813" s="1293"/>
      <c r="BC813" s="1293"/>
      <c r="BD813" s="1293"/>
      <c r="BE813" s="1293"/>
      <c r="BF813" s="1293"/>
      <c r="BG813" s="1293"/>
      <c r="BH813" s="1293"/>
      <c r="BI813" s="1293"/>
      <c r="BJ813" s="1293"/>
      <c r="BK813" s="1293"/>
      <c r="BL813" s="1293"/>
      <c r="BM813" s="1293"/>
      <c r="BN813" s="1293"/>
      <c r="BO813" s="1293"/>
      <c r="BP813" s="1293"/>
      <c r="BQ813" s="1293"/>
      <c r="BR813" s="1293"/>
      <c r="BS813" s="1293"/>
      <c r="BT813" s="1293"/>
      <c r="BU813" s="1293"/>
      <c r="BV813" s="1293"/>
      <c r="BW813" s="1293"/>
      <c r="BX813" s="1293"/>
      <c r="BY813" s="1293"/>
      <c r="BZ813" s="1293"/>
      <c r="CA813" s="1293"/>
      <c r="CB813" s="1293"/>
      <c r="CC813" s="1293"/>
      <c r="CD813" s="1293"/>
      <c r="CE813" s="1293"/>
      <c r="CF813" s="1293"/>
      <c r="CG813" s="1293"/>
      <c r="CH813" s="1293"/>
      <c r="CI813" s="1293"/>
      <c r="CJ813" s="1293"/>
      <c r="CK813" s="1293"/>
      <c r="CL813" s="1293"/>
      <c r="CM813" s="1293"/>
      <c r="CN813" s="1293"/>
      <c r="CO813" s="1293"/>
      <c r="CP813" s="1293"/>
      <c r="CQ813" s="1293"/>
      <c r="CR813" s="1293"/>
      <c r="CS813" s="1293"/>
      <c r="CT813" s="1293"/>
      <c r="CU813" s="1293"/>
      <c r="CV813" s="1293"/>
      <c r="CW813" s="1293"/>
      <c r="CX813" s="1293"/>
      <c r="CY813" s="1293"/>
      <c r="CZ813" s="1293"/>
      <c r="DA813" s="2031"/>
      <c r="DB813" s="1293"/>
      <c r="DC813" s="1293"/>
      <c r="DD813" s="1293"/>
      <c r="DE813" s="1293"/>
      <c r="DF813" s="1293"/>
      <c r="DG813" s="1293"/>
      <c r="DH813" s="1293"/>
      <c r="DI813" s="1293"/>
      <c r="DJ813" s="1293"/>
      <c r="DK813" s="1293"/>
      <c r="DL813" s="1293"/>
    </row>
    <row r="814" spans="1:116" ht="15.75">
      <c r="A814" s="1293"/>
      <c r="B814" s="1293"/>
      <c r="C814" s="1293"/>
      <c r="D814" s="1293"/>
      <c r="E814" s="1293"/>
      <c r="F814" s="1293"/>
      <c r="G814" s="1293"/>
      <c r="H814" s="1293"/>
      <c r="I814" s="1293"/>
      <c r="J814" s="1293"/>
      <c r="K814" s="1293"/>
      <c r="L814" s="1293"/>
      <c r="M814" s="1293"/>
      <c r="N814" s="1293"/>
      <c r="O814" s="1293"/>
      <c r="P814" s="1293"/>
      <c r="Q814" s="1293"/>
      <c r="R814" s="1293"/>
      <c r="S814" s="1293"/>
      <c r="T814" s="1293"/>
      <c r="U814" s="1293"/>
      <c r="V814" s="1293"/>
      <c r="W814" s="1293"/>
      <c r="X814" s="1293"/>
      <c r="Y814" s="1293"/>
      <c r="Z814" s="1293"/>
      <c r="AA814" s="1293"/>
      <c r="AB814" s="1293"/>
      <c r="AC814" s="1293"/>
      <c r="AD814" s="1293"/>
      <c r="AE814" s="1293"/>
      <c r="AF814" s="1293"/>
      <c r="AG814" s="1293"/>
      <c r="AH814" s="1293"/>
      <c r="AI814" s="1293"/>
      <c r="AJ814" s="1293"/>
      <c r="AK814" s="1293"/>
      <c r="AL814" s="1293"/>
      <c r="AM814" s="1293"/>
      <c r="AN814" s="1293"/>
      <c r="AO814" s="1293"/>
      <c r="AP814" s="1293"/>
      <c r="AQ814" s="1293"/>
      <c r="AR814" s="1293"/>
      <c r="AS814" s="1293"/>
      <c r="AT814" s="1293"/>
      <c r="AU814" s="1293"/>
      <c r="AV814" s="1293"/>
      <c r="AW814" s="1293"/>
      <c r="AX814" s="1293"/>
      <c r="AY814" s="1293"/>
      <c r="AZ814" s="1293"/>
      <c r="BA814" s="1293"/>
      <c r="BB814" s="1293"/>
      <c r="BC814" s="1293"/>
      <c r="BD814" s="1293"/>
      <c r="BE814" s="1293"/>
      <c r="BF814" s="1293"/>
      <c r="BG814" s="1293"/>
      <c r="BH814" s="1293"/>
      <c r="BI814" s="1293"/>
      <c r="BJ814" s="1293"/>
      <c r="BK814" s="1293"/>
      <c r="BL814" s="1293"/>
      <c r="BM814" s="1293"/>
      <c r="BN814" s="1293"/>
      <c r="BO814" s="1293"/>
      <c r="BP814" s="1293"/>
      <c r="BQ814" s="1293"/>
      <c r="BR814" s="1293"/>
      <c r="BS814" s="1293"/>
      <c r="BT814" s="1293"/>
      <c r="BU814" s="1293"/>
      <c r="BV814" s="1293"/>
      <c r="BW814" s="1293"/>
      <c r="BX814" s="1293"/>
      <c r="BY814" s="1293"/>
      <c r="BZ814" s="1293"/>
      <c r="CA814" s="1293"/>
      <c r="CB814" s="1293"/>
      <c r="CC814" s="1293"/>
      <c r="CD814" s="1293"/>
      <c r="CE814" s="1293"/>
      <c r="CF814" s="1293"/>
      <c r="CG814" s="1293"/>
      <c r="CH814" s="1293"/>
      <c r="CI814" s="1293"/>
      <c r="CJ814" s="1293"/>
      <c r="CK814" s="1293"/>
      <c r="CL814" s="1293"/>
      <c r="CM814" s="1293"/>
      <c r="CN814" s="1293"/>
      <c r="CO814" s="1293"/>
      <c r="CP814" s="1293"/>
      <c r="CQ814" s="1293"/>
      <c r="CR814" s="1293"/>
      <c r="CS814" s="1293"/>
      <c r="CT814" s="1293"/>
      <c r="CU814" s="1293"/>
      <c r="CV814" s="1293"/>
      <c r="CW814" s="1293"/>
      <c r="CX814" s="1293"/>
      <c r="CY814" s="1293"/>
      <c r="CZ814" s="1293"/>
      <c r="DA814" s="2031"/>
      <c r="DB814" s="1293"/>
      <c r="DC814" s="1293"/>
      <c r="DD814" s="1293"/>
      <c r="DE814" s="1293"/>
      <c r="DF814" s="1293"/>
      <c r="DG814" s="1293"/>
      <c r="DH814" s="1293"/>
      <c r="DI814" s="1293"/>
      <c r="DJ814" s="1293"/>
      <c r="DK814" s="1293"/>
      <c r="DL814" s="1293"/>
    </row>
    <row r="815" spans="1:116" ht="15.75">
      <c r="A815" s="1293"/>
      <c r="B815" s="1293"/>
      <c r="C815" s="1293"/>
      <c r="D815" s="1293"/>
      <c r="E815" s="1293"/>
      <c r="F815" s="1293"/>
      <c r="G815" s="1293"/>
      <c r="H815" s="1293"/>
      <c r="I815" s="1293"/>
      <c r="J815" s="1293"/>
      <c r="K815" s="1293"/>
      <c r="L815" s="1293"/>
      <c r="M815" s="1293"/>
      <c r="N815" s="1293"/>
      <c r="O815" s="1293"/>
      <c r="P815" s="1293"/>
      <c r="Q815" s="1293"/>
      <c r="R815" s="1293"/>
      <c r="S815" s="1293"/>
      <c r="T815" s="1293"/>
      <c r="U815" s="1293"/>
      <c r="V815" s="1293"/>
      <c r="W815" s="1293"/>
      <c r="X815" s="1293"/>
      <c r="Y815" s="1293"/>
      <c r="Z815" s="1293"/>
      <c r="AA815" s="1293"/>
      <c r="AB815" s="1293"/>
      <c r="AC815" s="1293"/>
      <c r="AD815" s="1293"/>
      <c r="AE815" s="1293"/>
      <c r="AF815" s="1293"/>
      <c r="AG815" s="1293"/>
      <c r="AH815" s="1293"/>
      <c r="AI815" s="1293"/>
      <c r="AJ815" s="1293"/>
      <c r="AK815" s="1293"/>
      <c r="AL815" s="1293"/>
      <c r="AM815" s="1293"/>
      <c r="AN815" s="1293"/>
      <c r="AO815" s="1293"/>
      <c r="AP815" s="1293"/>
      <c r="AQ815" s="1293"/>
      <c r="AR815" s="1293"/>
      <c r="AS815" s="1293"/>
      <c r="AT815" s="1293"/>
      <c r="AU815" s="1293"/>
      <c r="AV815" s="1293"/>
      <c r="AW815" s="1293"/>
      <c r="AX815" s="1293"/>
      <c r="AY815" s="1293"/>
      <c r="AZ815" s="1293"/>
      <c r="BA815" s="1293"/>
      <c r="BB815" s="1293"/>
      <c r="BC815" s="1293"/>
      <c r="BD815" s="1293"/>
      <c r="BE815" s="1293"/>
      <c r="BF815" s="1293"/>
      <c r="BG815" s="1293"/>
      <c r="BH815" s="1293"/>
      <c r="BI815" s="1293"/>
      <c r="BJ815" s="1293"/>
      <c r="BK815" s="1293"/>
      <c r="BL815" s="1293"/>
      <c r="BM815" s="1293"/>
      <c r="BN815" s="1293"/>
      <c r="BO815" s="1293"/>
      <c r="BP815" s="1293"/>
      <c r="BQ815" s="1293"/>
      <c r="BR815" s="1293"/>
      <c r="BS815" s="1293"/>
      <c r="BT815" s="1293"/>
      <c r="BU815" s="1293"/>
      <c r="BV815" s="1293"/>
      <c r="BW815" s="1293"/>
      <c r="BX815" s="1293"/>
      <c r="BY815" s="1293"/>
      <c r="BZ815" s="1293"/>
      <c r="CA815" s="1293"/>
      <c r="CB815" s="1293"/>
      <c r="CC815" s="1293"/>
      <c r="CD815" s="1293"/>
      <c r="CE815" s="1293"/>
      <c r="CF815" s="1293"/>
      <c r="CG815" s="1293"/>
      <c r="CH815" s="1293"/>
      <c r="CI815" s="1293"/>
      <c r="CJ815" s="1293"/>
      <c r="CK815" s="1293"/>
      <c r="CL815" s="1293"/>
      <c r="CM815" s="1293"/>
      <c r="CN815" s="1293"/>
      <c r="CO815" s="1293"/>
      <c r="CP815" s="1293"/>
      <c r="CQ815" s="1293"/>
      <c r="CR815" s="1293"/>
      <c r="CS815" s="1293"/>
      <c r="CT815" s="1293"/>
      <c r="CU815" s="1293"/>
      <c r="CV815" s="1293"/>
      <c r="CW815" s="1293"/>
      <c r="CX815" s="1293"/>
      <c r="CY815" s="1293"/>
      <c r="CZ815" s="1293"/>
      <c r="DA815" s="2031"/>
      <c r="DB815" s="1293"/>
      <c r="DC815" s="1293"/>
      <c r="DD815" s="1293"/>
      <c r="DE815" s="1293"/>
      <c r="DF815" s="1293"/>
      <c r="DG815" s="1293"/>
      <c r="DH815" s="1293"/>
      <c r="DI815" s="1293"/>
      <c r="DJ815" s="1293"/>
      <c r="DK815" s="1293"/>
      <c r="DL815" s="1293"/>
    </row>
    <row r="816" spans="1:116" ht="15.75">
      <c r="A816" s="1293"/>
      <c r="B816" s="1293"/>
      <c r="C816" s="1293"/>
      <c r="D816" s="1293"/>
      <c r="E816" s="1293"/>
      <c r="F816" s="1293"/>
      <c r="G816" s="1293"/>
      <c r="H816" s="1293"/>
      <c r="I816" s="1293"/>
      <c r="J816" s="1293"/>
      <c r="K816" s="1293"/>
      <c r="L816" s="1293"/>
      <c r="M816" s="1293"/>
      <c r="N816" s="1293"/>
      <c r="O816" s="1293"/>
      <c r="P816" s="1293"/>
      <c r="Q816" s="1293"/>
      <c r="R816" s="1293"/>
      <c r="S816" s="1293"/>
      <c r="T816" s="1293"/>
      <c r="U816" s="1293"/>
      <c r="V816" s="1293"/>
      <c r="W816" s="1293"/>
      <c r="X816" s="1293"/>
      <c r="Y816" s="1293"/>
      <c r="Z816" s="1293"/>
      <c r="AA816" s="1293"/>
      <c r="AB816" s="1293"/>
      <c r="AC816" s="1293"/>
      <c r="AD816" s="1293"/>
      <c r="AE816" s="1293"/>
      <c r="AF816" s="1293"/>
      <c r="AG816" s="1293"/>
      <c r="AH816" s="1293"/>
      <c r="AI816" s="1293"/>
      <c r="AJ816" s="1293"/>
      <c r="AK816" s="1293"/>
      <c r="AL816" s="1293"/>
      <c r="AM816" s="1293"/>
      <c r="AN816" s="1293"/>
      <c r="AO816" s="1293"/>
      <c r="AP816" s="1293"/>
      <c r="AQ816" s="1293"/>
      <c r="AR816" s="1293"/>
      <c r="AS816" s="1293"/>
      <c r="AT816" s="1293"/>
      <c r="AU816" s="1293"/>
      <c r="AV816" s="1293"/>
      <c r="AW816" s="1293"/>
      <c r="AX816" s="1293"/>
      <c r="AY816" s="1293"/>
      <c r="AZ816" s="1293"/>
      <c r="BA816" s="1293"/>
      <c r="BB816" s="1293"/>
      <c r="BC816" s="1293"/>
      <c r="BD816" s="1293"/>
      <c r="BE816" s="1293"/>
      <c r="BF816" s="1293"/>
      <c r="BG816" s="1293"/>
      <c r="BH816" s="1293"/>
      <c r="BI816" s="1293"/>
      <c r="BJ816" s="1293"/>
      <c r="BK816" s="1293"/>
      <c r="BL816" s="1293"/>
      <c r="BM816" s="1293"/>
      <c r="BN816" s="1293"/>
      <c r="BO816" s="1293"/>
      <c r="BP816" s="1293"/>
      <c r="BQ816" s="1293"/>
      <c r="BR816" s="1293"/>
      <c r="BS816" s="1293"/>
      <c r="BT816" s="1293"/>
      <c r="BU816" s="1293"/>
      <c r="BV816" s="1293"/>
      <c r="BW816" s="1293"/>
      <c r="BX816" s="1293"/>
      <c r="BY816" s="1293"/>
      <c r="BZ816" s="1293"/>
      <c r="CA816" s="1293"/>
      <c r="CB816" s="1293"/>
      <c r="CC816" s="1293"/>
      <c r="CD816" s="1293"/>
      <c r="CE816" s="1293"/>
      <c r="CF816" s="1293"/>
      <c r="CG816" s="1293"/>
      <c r="CH816" s="1293"/>
      <c r="CI816" s="1293"/>
      <c r="CJ816" s="1293"/>
      <c r="CK816" s="1293"/>
      <c r="CL816" s="1293"/>
      <c r="CM816" s="1293"/>
      <c r="CN816" s="1293"/>
      <c r="CO816" s="1293"/>
      <c r="CP816" s="1293"/>
      <c r="CQ816" s="1293"/>
      <c r="CR816" s="1293"/>
      <c r="CS816" s="1293"/>
      <c r="CT816" s="1293"/>
      <c r="CU816" s="1293"/>
      <c r="CV816" s="1293"/>
      <c r="CW816" s="1293"/>
      <c r="CX816" s="1293"/>
      <c r="CY816" s="1293"/>
      <c r="CZ816" s="1293"/>
      <c r="DA816" s="2031"/>
      <c r="DB816" s="1293"/>
      <c r="DC816" s="1293"/>
      <c r="DD816" s="1293"/>
      <c r="DE816" s="1293"/>
      <c r="DF816" s="1293"/>
      <c r="DG816" s="1293"/>
      <c r="DH816" s="1293"/>
      <c r="DI816" s="1293"/>
      <c r="DJ816" s="1293"/>
      <c r="DK816" s="1293"/>
      <c r="DL816" s="1293"/>
    </row>
    <row r="817" spans="1:116" ht="15.75">
      <c r="A817" s="1293"/>
      <c r="B817" s="1293"/>
      <c r="C817" s="1293"/>
      <c r="D817" s="1293"/>
      <c r="E817" s="1293"/>
      <c r="F817" s="1293"/>
      <c r="G817" s="1293"/>
      <c r="H817" s="1293"/>
      <c r="I817" s="1293"/>
      <c r="J817" s="1293"/>
      <c r="K817" s="1293"/>
      <c r="L817" s="1293"/>
      <c r="M817" s="1293"/>
      <c r="N817" s="1293"/>
      <c r="O817" s="1293"/>
      <c r="P817" s="1293"/>
      <c r="Q817" s="1293"/>
      <c r="R817" s="1293"/>
      <c r="S817" s="1293"/>
      <c r="T817" s="1293"/>
      <c r="U817" s="1293"/>
      <c r="V817" s="1293"/>
      <c r="W817" s="1293"/>
      <c r="X817" s="1293"/>
      <c r="Y817" s="1293"/>
      <c r="Z817" s="1293"/>
      <c r="AA817" s="1293"/>
      <c r="AB817" s="1293"/>
      <c r="AC817" s="1293"/>
      <c r="AD817" s="1293"/>
      <c r="AE817" s="1293"/>
      <c r="AF817" s="1293"/>
      <c r="AG817" s="1293"/>
      <c r="AH817" s="1293"/>
      <c r="AI817" s="1293"/>
      <c r="AJ817" s="1293"/>
      <c r="AK817" s="1293"/>
      <c r="AL817" s="1293"/>
      <c r="AM817" s="1293"/>
      <c r="AN817" s="1293"/>
      <c r="AO817" s="1293"/>
      <c r="AP817" s="1293"/>
      <c r="AQ817" s="1293"/>
      <c r="AR817" s="1293"/>
      <c r="AS817" s="1293"/>
      <c r="AT817" s="1293"/>
      <c r="AU817" s="1293"/>
      <c r="AV817" s="1293"/>
      <c r="AW817" s="1293"/>
      <c r="AX817" s="1293"/>
      <c r="AY817" s="1293"/>
      <c r="AZ817" s="1293"/>
      <c r="BA817" s="1293"/>
      <c r="BB817" s="1293"/>
      <c r="BC817" s="1293"/>
      <c r="BD817" s="1293"/>
      <c r="BE817" s="1293"/>
      <c r="BF817" s="1293"/>
      <c r="BG817" s="1293"/>
      <c r="BH817" s="1293"/>
      <c r="BI817" s="1293"/>
      <c r="BJ817" s="1293"/>
      <c r="BK817" s="1293"/>
      <c r="BL817" s="1293"/>
      <c r="BM817" s="1293"/>
      <c r="BN817" s="1293"/>
      <c r="BO817" s="1293"/>
      <c r="BP817" s="1293"/>
      <c r="BQ817" s="1293"/>
      <c r="BR817" s="1293"/>
      <c r="BS817" s="1293"/>
      <c r="BT817" s="1293"/>
      <c r="BU817" s="1293"/>
      <c r="BV817" s="1293"/>
      <c r="BW817" s="1293"/>
      <c r="BX817" s="1293"/>
      <c r="BY817" s="1293"/>
      <c r="BZ817" s="1293"/>
      <c r="CA817" s="1293"/>
      <c r="CB817" s="1293"/>
      <c r="CC817" s="1293"/>
      <c r="CD817" s="1293"/>
      <c r="CE817" s="1293"/>
      <c r="CF817" s="1293"/>
      <c r="CG817" s="1293"/>
      <c r="CH817" s="1293"/>
      <c r="CI817" s="1293"/>
      <c r="CJ817" s="1293"/>
      <c r="CK817" s="1293"/>
      <c r="CL817" s="1293"/>
      <c r="CM817" s="1293"/>
      <c r="CN817" s="1293"/>
      <c r="CO817" s="1293"/>
      <c r="CP817" s="1293"/>
      <c r="CQ817" s="1293"/>
      <c r="CR817" s="1293"/>
      <c r="CS817" s="1293"/>
      <c r="CT817" s="1293"/>
      <c r="CU817" s="1293"/>
      <c r="CV817" s="1293"/>
      <c r="CW817" s="1293"/>
      <c r="CX817" s="1293"/>
      <c r="CY817" s="1293"/>
      <c r="CZ817" s="1293"/>
      <c r="DA817" s="2031"/>
      <c r="DB817" s="1293"/>
      <c r="DC817" s="1293"/>
      <c r="DD817" s="1293"/>
      <c r="DE817" s="1293"/>
      <c r="DF817" s="1293"/>
      <c r="DG817" s="1293"/>
      <c r="DH817" s="1293"/>
      <c r="DI817" s="1293"/>
      <c r="DJ817" s="1293"/>
      <c r="DK817" s="1293"/>
      <c r="DL817" s="1293"/>
    </row>
    <row r="818" spans="1:116" ht="15.75">
      <c r="A818" s="1293"/>
      <c r="B818" s="1293"/>
      <c r="C818" s="1293"/>
      <c r="D818" s="1293"/>
      <c r="E818" s="1293"/>
      <c r="F818" s="1293"/>
      <c r="G818" s="1293"/>
      <c r="H818" s="1293"/>
      <c r="I818" s="1293"/>
      <c r="J818" s="1293"/>
      <c r="K818" s="1293"/>
      <c r="L818" s="1293"/>
      <c r="M818" s="1293"/>
      <c r="N818" s="1293"/>
      <c r="O818" s="1293"/>
      <c r="P818" s="1293"/>
      <c r="Q818" s="1293"/>
      <c r="R818" s="1293"/>
      <c r="S818" s="1293"/>
      <c r="T818" s="1293"/>
      <c r="U818" s="1293"/>
      <c r="V818" s="1293"/>
      <c r="W818" s="1293"/>
      <c r="X818" s="1293"/>
      <c r="Y818" s="1293"/>
      <c r="Z818" s="1293"/>
      <c r="AA818" s="1293"/>
      <c r="AB818" s="1293"/>
      <c r="AC818" s="1293"/>
      <c r="AD818" s="1293"/>
      <c r="AE818" s="1293"/>
      <c r="AF818" s="1293"/>
      <c r="AG818" s="1293"/>
      <c r="AH818" s="1293"/>
      <c r="AI818" s="1293"/>
      <c r="AJ818" s="1293"/>
      <c r="AK818" s="1293"/>
      <c r="AL818" s="1293"/>
      <c r="AM818" s="1293"/>
      <c r="AN818" s="1293"/>
      <c r="AO818" s="1293"/>
      <c r="AP818" s="1293"/>
      <c r="AQ818" s="1293"/>
      <c r="AR818" s="1293"/>
      <c r="AS818" s="1293"/>
      <c r="AT818" s="1293"/>
      <c r="AU818" s="1293"/>
      <c r="AV818" s="1293"/>
      <c r="AW818" s="1293"/>
      <c r="AX818" s="1293"/>
      <c r="AY818" s="1293"/>
      <c r="AZ818" s="1293"/>
      <c r="BA818" s="1293"/>
      <c r="BB818" s="1293"/>
      <c r="BC818" s="1293"/>
      <c r="BD818" s="1293"/>
      <c r="BE818" s="1293"/>
      <c r="BF818" s="1293"/>
      <c r="BG818" s="1293"/>
      <c r="BH818" s="1293"/>
      <c r="BI818" s="1293"/>
      <c r="BJ818" s="1293"/>
      <c r="BK818" s="1293"/>
      <c r="BL818" s="1293"/>
      <c r="BM818" s="1293"/>
      <c r="BN818" s="1293"/>
      <c r="BO818" s="1293"/>
      <c r="BP818" s="1293"/>
      <c r="BQ818" s="1293"/>
      <c r="BR818" s="1293"/>
      <c r="BS818" s="1293"/>
      <c r="BT818" s="1293"/>
      <c r="BU818" s="1293"/>
      <c r="BV818" s="1293"/>
      <c r="BW818" s="1293"/>
      <c r="BX818" s="1293"/>
      <c r="BY818" s="1293"/>
      <c r="BZ818" s="1293"/>
      <c r="CA818" s="1293"/>
      <c r="CB818" s="1293"/>
      <c r="CC818" s="1293"/>
      <c r="CD818" s="1293"/>
      <c r="CE818" s="1293"/>
      <c r="CF818" s="1293"/>
      <c r="CG818" s="1293"/>
      <c r="CH818" s="1293"/>
      <c r="CI818" s="1293"/>
      <c r="CJ818" s="1293"/>
      <c r="CK818" s="1293"/>
      <c r="CL818" s="1293"/>
      <c r="CM818" s="1293"/>
      <c r="CN818" s="1293"/>
      <c r="CO818" s="1293"/>
      <c r="CP818" s="1293"/>
      <c r="CQ818" s="1293"/>
      <c r="CR818" s="1293"/>
      <c r="CS818" s="1293"/>
      <c r="CT818" s="1293"/>
      <c r="CU818" s="1293"/>
      <c r="CV818" s="1293"/>
      <c r="CW818" s="1293"/>
      <c r="CX818" s="1293"/>
      <c r="CY818" s="1293"/>
      <c r="CZ818" s="1293"/>
      <c r="DA818" s="2031"/>
      <c r="DB818" s="1293"/>
      <c r="DC818" s="1293"/>
      <c r="DD818" s="1293"/>
      <c r="DE818" s="1293"/>
      <c r="DF818" s="1293"/>
      <c r="DG818" s="1293"/>
      <c r="DH818" s="1293"/>
      <c r="DI818" s="1293"/>
      <c r="DJ818" s="1293"/>
      <c r="DK818" s="1293"/>
      <c r="DL818" s="1293"/>
    </row>
    <row r="819" spans="1:116" ht="15.75">
      <c r="A819" s="1293"/>
      <c r="B819" s="1293"/>
      <c r="C819" s="1293"/>
      <c r="D819" s="1293"/>
      <c r="E819" s="1293"/>
      <c r="F819" s="1293"/>
      <c r="G819" s="1293"/>
      <c r="H819" s="1293"/>
      <c r="I819" s="1293"/>
      <c r="J819" s="1293"/>
      <c r="K819" s="1293"/>
      <c r="L819" s="1293"/>
      <c r="M819" s="1293"/>
      <c r="N819" s="1293"/>
      <c r="O819" s="1293"/>
      <c r="P819" s="1293"/>
      <c r="Q819" s="1293"/>
      <c r="R819" s="1293"/>
      <c r="S819" s="1293"/>
      <c r="T819" s="1293"/>
      <c r="U819" s="1293"/>
      <c r="V819" s="1293"/>
      <c r="W819" s="1293"/>
      <c r="X819" s="1293"/>
      <c r="Y819" s="1293"/>
      <c r="Z819" s="1293"/>
      <c r="AA819" s="1293"/>
      <c r="AB819" s="1293"/>
      <c r="AC819" s="1293"/>
      <c r="AD819" s="1293"/>
      <c r="AE819" s="1293"/>
      <c r="AF819" s="1293"/>
      <c r="AG819" s="1293"/>
      <c r="AH819" s="1293"/>
      <c r="AI819" s="1293"/>
      <c r="AJ819" s="1293"/>
      <c r="AK819" s="1293"/>
      <c r="AL819" s="1293"/>
      <c r="AM819" s="1293"/>
      <c r="AN819" s="1293"/>
      <c r="AO819" s="1293"/>
      <c r="AP819" s="1293"/>
      <c r="AQ819" s="1293"/>
      <c r="AR819" s="1293"/>
      <c r="AS819" s="1293"/>
      <c r="AT819" s="1293"/>
      <c r="AU819" s="1293"/>
      <c r="AV819" s="1293"/>
      <c r="AW819" s="1293"/>
      <c r="AX819" s="1293"/>
      <c r="AY819" s="1293"/>
      <c r="AZ819" s="1293"/>
      <c r="BA819" s="1293"/>
      <c r="BB819" s="1293"/>
      <c r="BC819" s="1293"/>
      <c r="BD819" s="1293"/>
      <c r="BE819" s="1293"/>
      <c r="BF819" s="1293"/>
      <c r="BG819" s="1293"/>
      <c r="BH819" s="1293"/>
      <c r="BI819" s="1293"/>
      <c r="BJ819" s="1293"/>
      <c r="BK819" s="1293"/>
      <c r="BL819" s="1293"/>
      <c r="BM819" s="1293"/>
      <c r="BN819" s="1293"/>
      <c r="BO819" s="1293"/>
      <c r="BP819" s="1293"/>
      <c r="BQ819" s="1293"/>
      <c r="BR819" s="1293"/>
      <c r="BS819" s="1293"/>
      <c r="BT819" s="1293"/>
      <c r="BU819" s="1293"/>
      <c r="BV819" s="1293"/>
      <c r="BW819" s="1293"/>
      <c r="BX819" s="1293"/>
      <c r="BY819" s="1293"/>
      <c r="BZ819" s="1293"/>
      <c r="CA819" s="1293"/>
      <c r="CB819" s="1293"/>
      <c r="CC819" s="1293"/>
      <c r="CD819" s="1293"/>
      <c r="CE819" s="1293"/>
      <c r="CF819" s="1293"/>
      <c r="CG819" s="1293"/>
      <c r="CH819" s="1293"/>
      <c r="CI819" s="1293"/>
      <c r="CJ819" s="1293"/>
      <c r="CK819" s="1293"/>
      <c r="CL819" s="1293"/>
      <c r="CM819" s="1293"/>
      <c r="CN819" s="1293"/>
      <c r="CO819" s="1293"/>
      <c r="CP819" s="1293"/>
      <c r="CQ819" s="1293"/>
      <c r="CR819" s="1293"/>
      <c r="CS819" s="1293"/>
      <c r="CT819" s="1293"/>
      <c r="CU819" s="1293"/>
      <c r="CV819" s="1293"/>
      <c r="CW819" s="1293"/>
      <c r="CX819" s="1293"/>
      <c r="CY819" s="1293"/>
      <c r="CZ819" s="1293"/>
      <c r="DA819" s="2031"/>
      <c r="DB819" s="1293"/>
      <c r="DC819" s="1293"/>
      <c r="DD819" s="1293"/>
      <c r="DE819" s="1293"/>
      <c r="DF819" s="1293"/>
      <c r="DG819" s="1293"/>
      <c r="DH819" s="1293"/>
      <c r="DI819" s="1293"/>
      <c r="DJ819" s="1293"/>
      <c r="DK819" s="1293"/>
      <c r="DL819" s="1293"/>
    </row>
    <row r="820" spans="1:116" ht="15.75">
      <c r="A820" s="1293"/>
      <c r="B820" s="1293"/>
      <c r="C820" s="1293"/>
      <c r="D820" s="1293"/>
      <c r="E820" s="1293"/>
      <c r="F820" s="1293"/>
      <c r="G820" s="1293"/>
      <c r="H820" s="1293"/>
      <c r="I820" s="1293"/>
      <c r="J820" s="1293"/>
      <c r="K820" s="1293"/>
      <c r="L820" s="1293"/>
      <c r="M820" s="1293"/>
      <c r="N820" s="1293"/>
      <c r="O820" s="1293"/>
      <c r="P820" s="1293"/>
      <c r="Q820" s="1293"/>
      <c r="R820" s="1293"/>
      <c r="S820" s="1293"/>
      <c r="T820" s="1293"/>
      <c r="U820" s="1293"/>
      <c r="V820" s="1293"/>
      <c r="W820" s="1293"/>
      <c r="X820" s="1293"/>
      <c r="Y820" s="1293"/>
      <c r="Z820" s="1293"/>
      <c r="AA820" s="1293"/>
      <c r="AB820" s="1293"/>
      <c r="AC820" s="1293"/>
      <c r="AD820" s="1293"/>
      <c r="AE820" s="1293"/>
      <c r="AF820" s="1293"/>
      <c r="AG820" s="1293"/>
      <c r="AH820" s="1293"/>
      <c r="AI820" s="1293"/>
      <c r="AJ820" s="1293"/>
      <c r="AK820" s="1293"/>
      <c r="AL820" s="1293"/>
      <c r="AM820" s="1293"/>
      <c r="AN820" s="1293"/>
      <c r="AO820" s="1293"/>
      <c r="AP820" s="1293"/>
      <c r="AQ820" s="1293"/>
      <c r="AR820" s="1293"/>
      <c r="AS820" s="1293"/>
      <c r="AT820" s="1293"/>
      <c r="AU820" s="1293"/>
      <c r="AV820" s="1293"/>
      <c r="AW820" s="1293"/>
      <c r="AX820" s="1293"/>
      <c r="AY820" s="1293"/>
      <c r="AZ820" s="1293"/>
      <c r="BA820" s="1293"/>
      <c r="BB820" s="1293"/>
      <c r="BC820" s="1293"/>
      <c r="BD820" s="1293"/>
      <c r="BE820" s="1293"/>
      <c r="BF820" s="1293"/>
      <c r="BG820" s="1293"/>
      <c r="BH820" s="1293"/>
      <c r="BI820" s="1293"/>
      <c r="BJ820" s="1293"/>
      <c r="BK820" s="1293"/>
      <c r="BL820" s="1293"/>
      <c r="BM820" s="1293"/>
      <c r="BN820" s="1293"/>
      <c r="BO820" s="1293"/>
      <c r="BP820" s="1293"/>
      <c r="BQ820" s="1293"/>
      <c r="BR820" s="1293"/>
      <c r="BS820" s="1293"/>
      <c r="BT820" s="1293"/>
      <c r="BU820" s="1293"/>
      <c r="BV820" s="1293"/>
      <c r="BW820" s="1293"/>
      <c r="BX820" s="1293"/>
      <c r="BY820" s="1293"/>
      <c r="BZ820" s="1293"/>
      <c r="CA820" s="1293"/>
      <c r="CB820" s="1293"/>
      <c r="CC820" s="1293"/>
      <c r="CD820" s="1293"/>
      <c r="CE820" s="1293"/>
      <c r="CF820" s="1293"/>
      <c r="CG820" s="1293"/>
      <c r="CH820" s="1293"/>
      <c r="CI820" s="1293"/>
      <c r="CJ820" s="1293"/>
      <c r="CK820" s="1293"/>
      <c r="CL820" s="1293"/>
      <c r="CM820" s="1293"/>
      <c r="CN820" s="1293"/>
      <c r="CO820" s="1293"/>
      <c r="CP820" s="1293"/>
      <c r="CQ820" s="1293"/>
      <c r="CR820" s="1293"/>
      <c r="CS820" s="1293"/>
      <c r="CT820" s="1293"/>
      <c r="CU820" s="1293"/>
      <c r="CV820" s="1293"/>
      <c r="CW820" s="1293"/>
      <c r="CX820" s="1293"/>
      <c r="CY820" s="1293"/>
      <c r="CZ820" s="1293"/>
      <c r="DA820" s="2031"/>
      <c r="DB820" s="1293"/>
      <c r="DC820" s="1293"/>
      <c r="DD820" s="1293"/>
      <c r="DE820" s="1293"/>
      <c r="DF820" s="1293"/>
      <c r="DG820" s="1293"/>
      <c r="DH820" s="1293"/>
      <c r="DI820" s="1293"/>
      <c r="DJ820" s="1293"/>
      <c r="DK820" s="1293"/>
      <c r="DL820" s="1293"/>
    </row>
    <row r="821" spans="1:116" ht="15.75">
      <c r="A821" s="1293"/>
      <c r="B821" s="1293"/>
      <c r="C821" s="1293"/>
      <c r="D821" s="1293"/>
      <c r="E821" s="1293"/>
      <c r="F821" s="1293"/>
      <c r="G821" s="1293"/>
      <c r="H821" s="1293"/>
      <c r="I821" s="1293"/>
      <c r="J821" s="1293"/>
      <c r="K821" s="1293"/>
      <c r="L821" s="1293"/>
      <c r="M821" s="1293"/>
      <c r="N821" s="1293"/>
      <c r="O821" s="1293"/>
      <c r="P821" s="1293"/>
      <c r="Q821" s="1293"/>
      <c r="R821" s="1293"/>
      <c r="S821" s="1293"/>
      <c r="T821" s="1293"/>
      <c r="U821" s="1293"/>
      <c r="V821" s="1293"/>
      <c r="W821" s="1293"/>
      <c r="X821" s="1293"/>
      <c r="Y821" s="1293"/>
      <c r="Z821" s="1293"/>
      <c r="AA821" s="1293"/>
      <c r="AB821" s="1293"/>
      <c r="AC821" s="1293"/>
      <c r="AD821" s="1293"/>
      <c r="AE821" s="1293"/>
      <c r="AF821" s="1293"/>
      <c r="AG821" s="1293"/>
      <c r="AH821" s="1293"/>
      <c r="AI821" s="1293"/>
      <c r="AJ821" s="1293"/>
      <c r="AK821" s="1293"/>
      <c r="AL821" s="1293"/>
      <c r="AM821" s="1293"/>
      <c r="AN821" s="1293"/>
      <c r="AO821" s="1293"/>
      <c r="AP821" s="1293"/>
      <c r="AQ821" s="1293"/>
      <c r="AR821" s="1293"/>
      <c r="AS821" s="1293"/>
      <c r="AT821" s="1293"/>
      <c r="AU821" s="1293"/>
      <c r="AV821" s="1293"/>
      <c r="AW821" s="1293"/>
      <c r="AX821" s="1293"/>
      <c r="AY821" s="1293"/>
      <c r="AZ821" s="1293"/>
      <c r="BA821" s="1293"/>
      <c r="BB821" s="1293"/>
      <c r="BC821" s="1293"/>
      <c r="BD821" s="1293"/>
      <c r="BE821" s="1293"/>
      <c r="BF821" s="1293"/>
      <c r="BG821" s="1293"/>
      <c r="BH821" s="1293"/>
      <c r="BI821" s="1293"/>
      <c r="BJ821" s="1293"/>
      <c r="BK821" s="1293"/>
      <c r="BL821" s="1293"/>
      <c r="BM821" s="1293"/>
      <c r="BN821" s="1293"/>
      <c r="BO821" s="1293"/>
      <c r="BP821" s="1293"/>
      <c r="BQ821" s="1293"/>
      <c r="BR821" s="1293"/>
      <c r="BS821" s="1293"/>
      <c r="BT821" s="1293"/>
      <c r="BU821" s="1293"/>
      <c r="BV821" s="1293"/>
      <c r="BW821" s="1293"/>
      <c r="BX821" s="1293"/>
      <c r="BY821" s="1293"/>
      <c r="BZ821" s="1293"/>
      <c r="CA821" s="1293"/>
      <c r="CB821" s="1293"/>
      <c r="CC821" s="1293"/>
      <c r="CD821" s="1293"/>
      <c r="CE821" s="1293"/>
      <c r="CF821" s="1293"/>
      <c r="CG821" s="1293"/>
      <c r="CH821" s="1293"/>
      <c r="CI821" s="1293"/>
      <c r="CJ821" s="1293"/>
      <c r="CK821" s="1293"/>
      <c r="CL821" s="1293"/>
      <c r="CM821" s="1293"/>
      <c r="CN821" s="1293"/>
      <c r="CO821" s="1293"/>
      <c r="CP821" s="1293"/>
      <c r="CQ821" s="1293"/>
      <c r="CR821" s="1293"/>
      <c r="CS821" s="1293"/>
      <c r="CT821" s="1293"/>
      <c r="CU821" s="1293"/>
      <c r="CV821" s="1293"/>
      <c r="CW821" s="1293"/>
      <c r="CX821" s="1293"/>
      <c r="CY821" s="1293"/>
      <c r="CZ821" s="1293"/>
      <c r="DA821" s="2031"/>
      <c r="DB821" s="1293"/>
      <c r="DC821" s="1293"/>
      <c r="DD821" s="1293"/>
      <c r="DE821" s="1293"/>
      <c r="DF821" s="1293"/>
      <c r="DG821" s="1293"/>
      <c r="DH821" s="1293"/>
      <c r="DI821" s="1293"/>
      <c r="DJ821" s="1293"/>
      <c r="DK821" s="1293"/>
      <c r="DL821" s="1293"/>
    </row>
    <row r="822" spans="1:116" ht="15.75">
      <c r="A822" s="1293"/>
      <c r="B822" s="1293"/>
      <c r="C822" s="1293"/>
      <c r="D822" s="1293"/>
      <c r="E822" s="1293"/>
      <c r="F822" s="1293"/>
      <c r="G822" s="1293"/>
      <c r="H822" s="1293"/>
      <c r="I822" s="1293"/>
      <c r="J822" s="1293"/>
      <c r="K822" s="1293"/>
      <c r="L822" s="1293"/>
      <c r="M822" s="1293"/>
      <c r="N822" s="1293"/>
      <c r="O822" s="1293"/>
      <c r="P822" s="1293"/>
      <c r="Q822" s="1293"/>
      <c r="R822" s="1293"/>
      <c r="S822" s="1293"/>
      <c r="T822" s="1293"/>
      <c r="U822" s="1293"/>
      <c r="V822" s="1293"/>
      <c r="W822" s="1293"/>
      <c r="X822" s="1293"/>
      <c r="Y822" s="1293"/>
      <c r="Z822" s="1293"/>
      <c r="AA822" s="1293"/>
      <c r="AB822" s="1293"/>
      <c r="AC822" s="1293"/>
      <c r="AD822" s="1293"/>
      <c r="AE822" s="1293"/>
      <c r="AF822" s="1293"/>
      <c r="AG822" s="1293"/>
      <c r="AH822" s="1293"/>
      <c r="AI822" s="1293"/>
      <c r="AJ822" s="1293"/>
      <c r="AK822" s="1293"/>
      <c r="AL822" s="1293"/>
      <c r="AM822" s="1293"/>
      <c r="AN822" s="1293"/>
      <c r="AO822" s="1293"/>
      <c r="AP822" s="1293"/>
      <c r="AQ822" s="1293"/>
      <c r="AR822" s="1293"/>
      <c r="AS822" s="1293"/>
      <c r="AT822" s="1293"/>
      <c r="AU822" s="1293"/>
      <c r="AV822" s="1293"/>
      <c r="AW822" s="1293"/>
      <c r="AX822" s="1293"/>
      <c r="AY822" s="1293"/>
      <c r="AZ822" s="1293"/>
      <c r="BA822" s="1293"/>
      <c r="BB822" s="1293"/>
      <c r="BC822" s="1293"/>
      <c r="BD822" s="1293"/>
      <c r="BE822" s="1293"/>
      <c r="BF822" s="1293"/>
      <c r="BG822" s="1293"/>
      <c r="BH822" s="1293"/>
      <c r="BI822" s="1293"/>
      <c r="BJ822" s="1293"/>
      <c r="BK822" s="1293"/>
      <c r="BL822" s="1293"/>
      <c r="BM822" s="1293"/>
      <c r="BN822" s="1293"/>
      <c r="BO822" s="1293"/>
      <c r="BP822" s="1293"/>
      <c r="BQ822" s="1293"/>
      <c r="BR822" s="1293"/>
      <c r="BS822" s="1293"/>
      <c r="BT822" s="1293"/>
      <c r="BU822" s="1293"/>
      <c r="BV822" s="1293"/>
      <c r="BW822" s="1293"/>
      <c r="BX822" s="1293"/>
      <c r="BY822" s="1293"/>
      <c r="BZ822" s="1293"/>
      <c r="CA822" s="1293"/>
      <c r="CB822" s="1293"/>
      <c r="CC822" s="1293"/>
      <c r="CD822" s="1293"/>
      <c r="CE822" s="1293"/>
      <c r="CF822" s="1293"/>
      <c r="CG822" s="1293"/>
      <c r="CH822" s="1293"/>
      <c r="CI822" s="1293"/>
      <c r="CJ822" s="1293"/>
      <c r="CK822" s="1293"/>
      <c r="CL822" s="1293"/>
      <c r="CM822" s="1293"/>
      <c r="CN822" s="1293"/>
      <c r="CO822" s="1293"/>
      <c r="CP822" s="1293"/>
      <c r="CQ822" s="1293"/>
      <c r="CR822" s="1293"/>
      <c r="CS822" s="1293"/>
      <c r="CT822" s="1293"/>
      <c r="CU822" s="1293"/>
      <c r="CV822" s="1293"/>
      <c r="CW822" s="1293"/>
      <c r="CX822" s="1293"/>
      <c r="CY822" s="1293"/>
      <c r="CZ822" s="1293"/>
      <c r="DA822" s="2031"/>
      <c r="DB822" s="1293"/>
      <c r="DC822" s="1293"/>
      <c r="DD822" s="1293"/>
      <c r="DE822" s="1293"/>
      <c r="DF822" s="1293"/>
      <c r="DG822" s="1293"/>
      <c r="DH822" s="1293"/>
      <c r="DI822" s="1293"/>
      <c r="DJ822" s="1293"/>
      <c r="DK822" s="1293"/>
      <c r="DL822" s="1293"/>
    </row>
    <row r="823" spans="1:116" ht="15.75">
      <c r="A823" s="1293"/>
      <c r="B823" s="1293"/>
      <c r="C823" s="1293"/>
      <c r="D823" s="1293"/>
      <c r="E823" s="1293"/>
      <c r="F823" s="1293"/>
      <c r="G823" s="1293"/>
      <c r="H823" s="1293"/>
      <c r="I823" s="1293"/>
      <c r="J823" s="1293"/>
      <c r="K823" s="1293"/>
      <c r="L823" s="1293"/>
      <c r="M823" s="1293"/>
      <c r="N823" s="1293"/>
      <c r="O823" s="1293"/>
      <c r="P823" s="1293"/>
      <c r="Q823" s="1293"/>
      <c r="R823" s="1293"/>
      <c r="S823" s="1293"/>
      <c r="T823" s="1293"/>
      <c r="U823" s="1293"/>
      <c r="V823" s="1293"/>
      <c r="W823" s="1293"/>
      <c r="X823" s="1293"/>
      <c r="Y823" s="1293"/>
      <c r="Z823" s="1293"/>
      <c r="AA823" s="1293"/>
      <c r="AB823" s="1293"/>
      <c r="AC823" s="1293"/>
      <c r="AD823" s="1293"/>
      <c r="AE823" s="1293"/>
      <c r="AF823" s="1293"/>
      <c r="AG823" s="1293"/>
      <c r="AH823" s="1293"/>
      <c r="AI823" s="1293"/>
      <c r="AJ823" s="1293"/>
      <c r="AK823" s="1293"/>
      <c r="AL823" s="1293"/>
      <c r="AM823" s="1293"/>
      <c r="AN823" s="1293"/>
      <c r="AO823" s="1293"/>
      <c r="AP823" s="1293"/>
      <c r="AQ823" s="1293"/>
      <c r="AR823" s="1293"/>
      <c r="AS823" s="1293"/>
      <c r="AT823" s="1293"/>
      <c r="AU823" s="1293"/>
      <c r="AV823" s="1293"/>
      <c r="AW823" s="1293"/>
      <c r="AX823" s="1293"/>
      <c r="AY823" s="1293"/>
      <c r="AZ823" s="1293"/>
      <c r="BA823" s="1293"/>
      <c r="BB823" s="1293"/>
      <c r="BC823" s="1293"/>
      <c r="BD823" s="1293"/>
      <c r="BE823" s="1293"/>
      <c r="BF823" s="1293"/>
      <c r="BG823" s="1293"/>
      <c r="BH823" s="1293"/>
      <c r="BI823" s="1293"/>
      <c r="BJ823" s="1293"/>
      <c r="BK823" s="1293"/>
      <c r="BL823" s="1293"/>
      <c r="BM823" s="1293"/>
      <c r="BN823" s="1293"/>
      <c r="BO823" s="1293"/>
      <c r="BP823" s="1293"/>
      <c r="BQ823" s="1293"/>
      <c r="BR823" s="1293"/>
      <c r="BS823" s="1293"/>
      <c r="BT823" s="1293"/>
      <c r="BU823" s="1293"/>
      <c r="BV823" s="1293"/>
      <c r="BW823" s="1293"/>
      <c r="BX823" s="1293"/>
      <c r="BY823" s="1293"/>
      <c r="BZ823" s="1293"/>
      <c r="CA823" s="1293"/>
      <c r="CB823" s="1293"/>
      <c r="CC823" s="1293"/>
      <c r="CD823" s="1293"/>
      <c r="CE823" s="1293"/>
      <c r="CF823" s="1293"/>
      <c r="CG823" s="1293"/>
      <c r="CH823" s="1293"/>
      <c r="CI823" s="1293"/>
      <c r="CJ823" s="1293"/>
      <c r="CK823" s="1293"/>
      <c r="CL823" s="1293"/>
      <c r="CM823" s="1293"/>
      <c r="CN823" s="1293"/>
      <c r="CO823" s="1293"/>
      <c r="CP823" s="1293"/>
      <c r="CQ823" s="1293"/>
      <c r="CR823" s="1293"/>
      <c r="CS823" s="1293"/>
      <c r="CT823" s="1293"/>
      <c r="CU823" s="1293"/>
      <c r="CV823" s="1293"/>
      <c r="CW823" s="1293"/>
      <c r="CX823" s="1293"/>
      <c r="CY823" s="1293"/>
      <c r="CZ823" s="1293"/>
      <c r="DA823" s="2031"/>
      <c r="DB823" s="1293"/>
      <c r="DC823" s="1293"/>
      <c r="DD823" s="1293"/>
      <c r="DE823" s="1293"/>
      <c r="DF823" s="1293"/>
      <c r="DG823" s="1293"/>
      <c r="DH823" s="1293"/>
      <c r="DI823" s="1293"/>
      <c r="DJ823" s="1293"/>
      <c r="DK823" s="1293"/>
      <c r="DL823" s="1293"/>
    </row>
    <row r="824" spans="1:116" ht="15.75">
      <c r="A824" s="1293"/>
      <c r="B824" s="1293"/>
      <c r="C824" s="1293"/>
      <c r="D824" s="1293"/>
      <c r="E824" s="1293"/>
      <c r="F824" s="1293"/>
      <c r="G824" s="1293"/>
      <c r="H824" s="1293"/>
      <c r="I824" s="1293"/>
      <c r="J824" s="1293"/>
      <c r="K824" s="1293"/>
      <c r="L824" s="1293"/>
      <c r="M824" s="1293"/>
      <c r="N824" s="1293"/>
      <c r="O824" s="1293"/>
      <c r="P824" s="1293"/>
      <c r="Q824" s="1293"/>
      <c r="R824" s="1293"/>
      <c r="S824" s="1293"/>
      <c r="T824" s="1293"/>
      <c r="U824" s="1293"/>
      <c r="V824" s="1293"/>
      <c r="W824" s="1293"/>
      <c r="X824" s="1293"/>
      <c r="Y824" s="1293"/>
      <c r="Z824" s="1293"/>
      <c r="AA824" s="1293"/>
      <c r="AB824" s="1293"/>
      <c r="AC824" s="1293"/>
      <c r="AD824" s="1293"/>
      <c r="AE824" s="1293"/>
      <c r="AF824" s="1293"/>
      <c r="AG824" s="1293"/>
      <c r="AH824" s="1293"/>
      <c r="AI824" s="1293"/>
      <c r="AJ824" s="1293"/>
      <c r="AK824" s="1293"/>
      <c r="AL824" s="1293"/>
      <c r="AM824" s="1293"/>
      <c r="AN824" s="1293"/>
      <c r="AO824" s="1293"/>
      <c r="AP824" s="1293"/>
      <c r="AQ824" s="1293"/>
      <c r="AR824" s="1293"/>
      <c r="AS824" s="1293"/>
      <c r="AT824" s="1293"/>
      <c r="AU824" s="1293"/>
      <c r="AV824" s="1293"/>
      <c r="AW824" s="1293"/>
      <c r="AX824" s="1293"/>
      <c r="AY824" s="1293"/>
      <c r="AZ824" s="1293"/>
      <c r="BA824" s="1293"/>
      <c r="BB824" s="1293"/>
      <c r="BC824" s="1293"/>
      <c r="BD824" s="1293"/>
      <c r="BE824" s="1293"/>
      <c r="BF824" s="1293"/>
      <c r="BG824" s="1293"/>
      <c r="BH824" s="1293"/>
      <c r="BI824" s="1293"/>
      <c r="BJ824" s="1293"/>
      <c r="BK824" s="1293"/>
      <c r="BL824" s="1293"/>
      <c r="BM824" s="1293"/>
      <c r="BN824" s="1293"/>
      <c r="BO824" s="1293"/>
      <c r="BP824" s="1293"/>
      <c r="BQ824" s="1293"/>
      <c r="BR824" s="1293"/>
      <c r="BS824" s="1293"/>
      <c r="BT824" s="1293"/>
      <c r="BU824" s="1293"/>
      <c r="BV824" s="1293"/>
      <c r="BW824" s="1293"/>
      <c r="BX824" s="1293"/>
      <c r="BY824" s="1293"/>
      <c r="BZ824" s="1293"/>
      <c r="CA824" s="1293"/>
      <c r="CB824" s="1293"/>
      <c r="CC824" s="1293"/>
      <c r="CD824" s="1293"/>
      <c r="CE824" s="1293"/>
      <c r="CF824" s="1293"/>
      <c r="CG824" s="1293"/>
      <c r="CH824" s="1293"/>
      <c r="CI824" s="1293"/>
      <c r="CJ824" s="1293"/>
      <c r="CK824" s="1293"/>
      <c r="CL824" s="1293"/>
      <c r="CM824" s="1293"/>
      <c r="CN824" s="1293"/>
      <c r="CO824" s="1293"/>
      <c r="CP824" s="1293"/>
      <c r="CQ824" s="1293"/>
      <c r="CR824" s="1293"/>
      <c r="CS824" s="1293"/>
      <c r="CT824" s="1293"/>
      <c r="CU824" s="1293"/>
      <c r="CV824" s="1293"/>
      <c r="CW824" s="1293"/>
      <c r="CX824" s="1293"/>
      <c r="CY824" s="1293"/>
      <c r="CZ824" s="1293"/>
      <c r="DA824" s="2031"/>
      <c r="DB824" s="1293"/>
      <c r="DC824" s="1293"/>
      <c r="DD824" s="1293"/>
      <c r="DE824" s="1293"/>
      <c r="DF824" s="1293"/>
      <c r="DG824" s="1293"/>
      <c r="DH824" s="1293"/>
      <c r="DI824" s="1293"/>
      <c r="DJ824" s="1293"/>
      <c r="DK824" s="1293"/>
      <c r="DL824" s="1293"/>
    </row>
    <row r="825" spans="1:116" ht="15.75">
      <c r="A825" s="1293"/>
      <c r="B825" s="1293"/>
      <c r="C825" s="1293"/>
      <c r="D825" s="1293"/>
      <c r="E825" s="1293"/>
      <c r="F825" s="1293"/>
      <c r="G825" s="1293"/>
      <c r="H825" s="1293"/>
      <c r="I825" s="1293"/>
      <c r="J825" s="1293"/>
      <c r="K825" s="1293"/>
      <c r="L825" s="1293"/>
      <c r="M825" s="1293"/>
      <c r="N825" s="1293"/>
      <c r="O825" s="1293"/>
      <c r="P825" s="1293"/>
      <c r="Q825" s="1293"/>
      <c r="R825" s="1293"/>
      <c r="S825" s="1293"/>
      <c r="T825" s="1293"/>
      <c r="U825" s="1293"/>
      <c r="V825" s="1293"/>
      <c r="W825" s="1293"/>
      <c r="X825" s="1293"/>
      <c r="Y825" s="1293"/>
      <c r="Z825" s="1293"/>
      <c r="AA825" s="1293"/>
      <c r="AB825" s="1293"/>
      <c r="AC825" s="1293"/>
      <c r="AD825" s="1293"/>
      <c r="AE825" s="1293"/>
      <c r="AF825" s="1293"/>
      <c r="AG825" s="1293"/>
      <c r="AH825" s="1293"/>
      <c r="AI825" s="1293"/>
      <c r="AJ825" s="1293"/>
      <c r="AK825" s="1293"/>
      <c r="AL825" s="1293"/>
      <c r="AM825" s="1293"/>
      <c r="AN825" s="1293"/>
      <c r="AO825" s="1293"/>
      <c r="AP825" s="1293"/>
      <c r="AQ825" s="1293"/>
      <c r="AR825" s="1293"/>
      <c r="AS825" s="1293"/>
      <c r="AT825" s="1293"/>
      <c r="AU825" s="1293"/>
      <c r="AV825" s="1293"/>
      <c r="AW825" s="1293"/>
      <c r="AX825" s="1293"/>
      <c r="AY825" s="1293"/>
      <c r="AZ825" s="1293"/>
      <c r="BA825" s="1293"/>
      <c r="BB825" s="1293"/>
      <c r="BC825" s="1293"/>
      <c r="BD825" s="1293"/>
      <c r="BE825" s="1293"/>
      <c r="BF825" s="1293"/>
      <c r="BG825" s="1293"/>
      <c r="BH825" s="1293"/>
      <c r="BI825" s="1293"/>
      <c r="BJ825" s="1293"/>
      <c r="BK825" s="1293"/>
      <c r="BL825" s="1293"/>
      <c r="BM825" s="1293"/>
      <c r="BN825" s="1293"/>
      <c r="BO825" s="1293"/>
      <c r="BP825" s="1293"/>
      <c r="BQ825" s="1293"/>
      <c r="BR825" s="1293"/>
      <c r="BS825" s="1293"/>
      <c r="BT825" s="1293"/>
      <c r="BU825" s="1293"/>
      <c r="BV825" s="1293"/>
      <c r="BW825" s="1293"/>
      <c r="BX825" s="1293"/>
      <c r="BY825" s="1293"/>
      <c r="BZ825" s="1293"/>
      <c r="CA825" s="1293"/>
      <c r="CB825" s="1293"/>
      <c r="CC825" s="1293"/>
      <c r="CD825" s="1293"/>
      <c r="CE825" s="1293"/>
      <c r="CF825" s="1293"/>
      <c r="CG825" s="1293"/>
      <c r="CH825" s="1293"/>
      <c r="CI825" s="1293"/>
      <c r="CJ825" s="1293"/>
      <c r="CK825" s="1293"/>
      <c r="CL825" s="1293"/>
      <c r="CM825" s="1293"/>
      <c r="CN825" s="1293"/>
      <c r="CO825" s="1293"/>
      <c r="CP825" s="1293"/>
      <c r="CQ825" s="1293"/>
      <c r="CR825" s="1293"/>
      <c r="CS825" s="1293"/>
      <c r="CT825" s="1293"/>
      <c r="CU825" s="1293"/>
      <c r="CV825" s="1293"/>
      <c r="CW825" s="1293"/>
      <c r="CX825" s="1293"/>
      <c r="CY825" s="1293"/>
      <c r="CZ825" s="1293"/>
      <c r="DA825" s="2031"/>
      <c r="DB825" s="1293"/>
      <c r="DC825" s="1293"/>
      <c r="DD825" s="1293"/>
      <c r="DE825" s="1293"/>
      <c r="DF825" s="1293"/>
      <c r="DG825" s="1293"/>
      <c r="DH825" s="1293"/>
      <c r="DI825" s="1293"/>
      <c r="DJ825" s="1293"/>
      <c r="DK825" s="1293"/>
      <c r="DL825" s="1293"/>
    </row>
    <row r="826" spans="1:116">
      <c r="DA826" s="1231"/>
    </row>
    <row r="827" spans="1:116">
      <c r="DA827" s="1231"/>
    </row>
    <row r="828" spans="1:116">
      <c r="DA828" s="1231"/>
    </row>
    <row r="829" spans="1:116">
      <c r="DA829" s="1231"/>
    </row>
    <row r="830" spans="1:116">
      <c r="DA830" s="1231"/>
    </row>
    <row r="831" spans="1:116">
      <c r="DA831" s="1231"/>
    </row>
    <row r="832" spans="1:116">
      <c r="DA832" s="1231"/>
    </row>
    <row r="833" spans="105:105">
      <c r="DA833" s="1231"/>
    </row>
    <row r="834" spans="105:105">
      <c r="DA834" s="1231"/>
    </row>
    <row r="835" spans="105:105">
      <c r="DA835" s="1231"/>
    </row>
    <row r="836" spans="105:105">
      <c r="DA836" s="1231"/>
    </row>
    <row r="837" spans="105:105">
      <c r="DA837" s="1231"/>
    </row>
    <row r="838" spans="105:105">
      <c r="DA838" s="1231"/>
    </row>
    <row r="839" spans="105:105">
      <c r="DA839" s="1231"/>
    </row>
    <row r="840" spans="105:105">
      <c r="DA840" s="1231"/>
    </row>
    <row r="841" spans="105:105">
      <c r="DA841" s="1231"/>
    </row>
    <row r="842" spans="105:105">
      <c r="DA842" s="1231"/>
    </row>
    <row r="843" spans="105:105">
      <c r="DA843" s="1231"/>
    </row>
    <row r="844" spans="105:105">
      <c r="DA844" s="1231"/>
    </row>
    <row r="845" spans="105:105">
      <c r="DA845" s="1231"/>
    </row>
    <row r="846" spans="105:105">
      <c r="DA846" s="1231"/>
    </row>
    <row r="847" spans="105:105">
      <c r="DA847" s="1231"/>
    </row>
    <row r="848" spans="105:105">
      <c r="DA848" s="1231"/>
    </row>
    <row r="849" spans="105:105">
      <c r="DA849" s="1231"/>
    </row>
    <row r="850" spans="105:105">
      <c r="DA850" s="1231"/>
    </row>
    <row r="851" spans="105:105">
      <c r="DA851" s="1231"/>
    </row>
    <row r="852" spans="105:105">
      <c r="DA852" s="1231"/>
    </row>
    <row r="853" spans="105:105">
      <c r="DA853" s="1231"/>
    </row>
    <row r="854" spans="105:105">
      <c r="DA854" s="1231"/>
    </row>
    <row r="855" spans="105:105">
      <c r="DA855" s="1231"/>
    </row>
    <row r="856" spans="105:105">
      <c r="DA856" s="1231"/>
    </row>
    <row r="857" spans="105:105">
      <c r="DA857" s="1231"/>
    </row>
    <row r="858" spans="105:105">
      <c r="DA858" s="1231"/>
    </row>
    <row r="859" spans="105:105">
      <c r="DA859" s="1231"/>
    </row>
    <row r="860" spans="105:105">
      <c r="DA860" s="1231"/>
    </row>
    <row r="861" spans="105:105">
      <c r="DA861" s="1231"/>
    </row>
    <row r="862" spans="105:105">
      <c r="DA862" s="1231"/>
    </row>
    <row r="863" spans="105:105">
      <c r="DA863" s="1231"/>
    </row>
    <row r="864" spans="105:105">
      <c r="DA864" s="1231"/>
    </row>
    <row r="865" spans="105:105">
      <c r="DA865" s="1231"/>
    </row>
    <row r="866" spans="105:105">
      <c r="DA866" s="1231"/>
    </row>
    <row r="867" spans="105:105">
      <c r="DA867" s="1231"/>
    </row>
    <row r="868" spans="105:105">
      <c r="DA868" s="1231"/>
    </row>
    <row r="869" spans="105:105">
      <c r="DA869" s="1231"/>
    </row>
    <row r="870" spans="105:105">
      <c r="DA870" s="1231"/>
    </row>
    <row r="871" spans="105:105">
      <c r="DA871" s="1231"/>
    </row>
    <row r="872" spans="105:105">
      <c r="DA872" s="1231"/>
    </row>
    <row r="873" spans="105:105">
      <c r="DA873" s="1231"/>
    </row>
    <row r="874" spans="105:105">
      <c r="DA874" s="1231"/>
    </row>
    <row r="875" spans="105:105">
      <c r="DA875" s="1231"/>
    </row>
    <row r="876" spans="105:105">
      <c r="DA876" s="1231"/>
    </row>
    <row r="877" spans="105:105">
      <c r="DA877" s="1231"/>
    </row>
    <row r="878" spans="105:105">
      <c r="DA878" s="1231"/>
    </row>
    <row r="879" spans="105:105">
      <c r="DA879" s="1231"/>
    </row>
    <row r="880" spans="105:105">
      <c r="DA880" s="1231"/>
    </row>
    <row r="881" spans="105:105">
      <c r="DA881" s="1231"/>
    </row>
    <row r="882" spans="105:105">
      <c r="DA882" s="1231"/>
    </row>
    <row r="883" spans="105:105">
      <c r="DA883" s="1231"/>
    </row>
    <row r="884" spans="105:105">
      <c r="DA884" s="1231"/>
    </row>
    <row r="885" spans="105:105">
      <c r="DA885" s="1231"/>
    </row>
    <row r="886" spans="105:105">
      <c r="DA886" s="1231"/>
    </row>
    <row r="887" spans="105:105">
      <c r="DA887" s="1231"/>
    </row>
    <row r="888" spans="105:105">
      <c r="DA888" s="1231"/>
    </row>
    <row r="889" spans="105:105">
      <c r="DA889" s="1231"/>
    </row>
    <row r="890" spans="105:105">
      <c r="DA890" s="1231"/>
    </row>
    <row r="891" spans="105:105">
      <c r="DA891" s="1231"/>
    </row>
    <row r="892" spans="105:105">
      <c r="DA892" s="1231"/>
    </row>
    <row r="893" spans="105:105">
      <c r="DA893" s="1231"/>
    </row>
    <row r="907" spans="2:31">
      <c r="B907" s="450"/>
      <c r="C907" s="677"/>
      <c r="D907" s="677"/>
      <c r="E907" s="677"/>
      <c r="F907" s="677"/>
      <c r="G907" s="677"/>
      <c r="H907" s="677"/>
      <c r="I907" s="677"/>
      <c r="J907" s="677"/>
      <c r="K907" s="677"/>
      <c r="L907" s="677"/>
      <c r="M907" s="677"/>
      <c r="N907" s="677"/>
      <c r="O907" s="677"/>
      <c r="P907" s="677"/>
      <c r="Q907" s="677"/>
      <c r="R907" s="677"/>
      <c r="S907" s="677"/>
      <c r="T907" s="677"/>
      <c r="U907" s="677"/>
      <c r="V907" s="677"/>
      <c r="W907" s="677"/>
      <c r="X907" s="677"/>
      <c r="Y907" s="677"/>
      <c r="Z907" s="677"/>
      <c r="AA907" s="677"/>
      <c r="AB907" s="677"/>
      <c r="AC907" s="677"/>
      <c r="AD907" s="677"/>
      <c r="AE907" s="677"/>
    </row>
    <row r="908" spans="2:31">
      <c r="B908" s="450"/>
      <c r="C908" s="677"/>
      <c r="D908" s="677"/>
      <c r="E908" s="677"/>
      <c r="F908" s="677"/>
      <c r="G908" s="677"/>
      <c r="H908" s="677"/>
      <c r="I908" s="677"/>
      <c r="J908" s="677"/>
      <c r="K908" s="677"/>
      <c r="L908" s="677"/>
      <c r="M908" s="677"/>
      <c r="N908" s="677"/>
      <c r="O908" s="677"/>
      <c r="P908" s="677"/>
      <c r="Q908" s="677"/>
      <c r="R908" s="677"/>
      <c r="S908" s="677"/>
      <c r="T908" s="677"/>
      <c r="U908" s="677"/>
      <c r="V908" s="677"/>
      <c r="W908" s="677"/>
      <c r="X908" s="677"/>
      <c r="Y908" s="677"/>
      <c r="Z908" s="677"/>
      <c r="AA908" s="677"/>
      <c r="AB908" s="677"/>
      <c r="AC908" s="677"/>
      <c r="AD908" s="677"/>
      <c r="AE908" s="677"/>
    </row>
    <row r="909" spans="2:31">
      <c r="B909" s="450"/>
      <c r="C909" s="677"/>
      <c r="D909" s="677"/>
      <c r="E909" s="677"/>
      <c r="F909" s="677"/>
      <c r="G909" s="677"/>
      <c r="H909" s="677"/>
      <c r="I909" s="677"/>
      <c r="J909" s="677"/>
      <c r="K909" s="677"/>
      <c r="L909" s="677"/>
      <c r="M909" s="677"/>
      <c r="N909" s="677"/>
      <c r="O909" s="677"/>
      <c r="P909" s="677"/>
      <c r="Q909" s="677"/>
      <c r="R909" s="677"/>
      <c r="S909" s="677"/>
      <c r="T909" s="677"/>
      <c r="U909" s="677"/>
      <c r="V909" s="677"/>
      <c r="W909" s="677"/>
      <c r="X909" s="677"/>
      <c r="Y909" s="677"/>
      <c r="Z909" s="677"/>
      <c r="AA909" s="677"/>
      <c r="AB909" s="677"/>
      <c r="AC909" s="677"/>
      <c r="AD909" s="677"/>
      <c r="AE909" s="677"/>
    </row>
    <row r="910" spans="2:31">
      <c r="B910" s="450"/>
      <c r="C910" s="677"/>
      <c r="D910" s="677"/>
      <c r="E910" s="677"/>
      <c r="F910" s="677"/>
      <c r="G910" s="677"/>
      <c r="H910" s="677"/>
      <c r="I910" s="677"/>
      <c r="J910" s="677"/>
      <c r="K910" s="677"/>
      <c r="L910" s="677"/>
      <c r="M910" s="677"/>
      <c r="N910" s="677"/>
      <c r="O910" s="677"/>
      <c r="P910" s="677"/>
      <c r="Q910" s="677"/>
      <c r="R910" s="677"/>
      <c r="S910" s="677"/>
      <c r="T910" s="677"/>
      <c r="U910" s="677"/>
      <c r="V910" s="677"/>
      <c r="W910" s="677"/>
      <c r="X910" s="677"/>
      <c r="Y910" s="677"/>
      <c r="Z910" s="677"/>
      <c r="AA910" s="677"/>
      <c r="AB910" s="677"/>
      <c r="AC910" s="677"/>
      <c r="AD910" s="677"/>
      <c r="AE910" s="677"/>
    </row>
    <row r="911" spans="2:31">
      <c r="B911" s="450"/>
      <c r="C911" s="677"/>
      <c r="D911" s="677"/>
      <c r="E911" s="677"/>
      <c r="F911" s="677"/>
      <c r="G911" s="677"/>
      <c r="H911" s="677"/>
      <c r="I911" s="677"/>
      <c r="J911" s="677"/>
      <c r="K911" s="677"/>
      <c r="L911" s="677"/>
      <c r="M911" s="677"/>
      <c r="N911" s="677"/>
      <c r="O911" s="677"/>
      <c r="P911" s="677"/>
      <c r="Q911" s="677"/>
      <c r="R911" s="677"/>
      <c r="S911" s="677"/>
      <c r="T911" s="677"/>
      <c r="U911" s="677"/>
      <c r="V911" s="677"/>
      <c r="W911" s="677"/>
      <c r="X911" s="677"/>
      <c r="Y911" s="677"/>
      <c r="Z911" s="677"/>
      <c r="AA911" s="677"/>
      <c r="AB911" s="677"/>
      <c r="AC911" s="677"/>
      <c r="AD911" s="677"/>
      <c r="AE911" s="677"/>
    </row>
    <row r="912" spans="2:31">
      <c r="B912" s="450"/>
      <c r="C912" s="677"/>
      <c r="D912" s="677"/>
      <c r="E912" s="677"/>
      <c r="F912" s="677"/>
      <c r="G912" s="677"/>
      <c r="H912" s="677"/>
      <c r="I912" s="677"/>
      <c r="J912" s="677"/>
      <c r="K912" s="677"/>
      <c r="L912" s="677"/>
      <c r="M912" s="677"/>
      <c r="N912" s="677"/>
      <c r="O912" s="677"/>
      <c r="P912" s="677"/>
      <c r="Q912" s="677"/>
      <c r="R912" s="677"/>
      <c r="S912" s="677"/>
      <c r="T912" s="677"/>
      <c r="U912" s="677"/>
      <c r="V912" s="677"/>
      <c r="W912" s="677"/>
      <c r="X912" s="677"/>
      <c r="Y912" s="677"/>
      <c r="Z912" s="677"/>
      <c r="AA912" s="677"/>
      <c r="AB912" s="677"/>
      <c r="AC912" s="677"/>
      <c r="AD912" s="677"/>
      <c r="AE912" s="677"/>
    </row>
    <row r="913" spans="2:31">
      <c r="B913" s="450"/>
      <c r="C913" s="677"/>
      <c r="D913" s="677"/>
      <c r="E913" s="677"/>
      <c r="F913" s="677"/>
      <c r="G913" s="677"/>
      <c r="H913" s="677"/>
      <c r="I913" s="677"/>
      <c r="J913" s="677"/>
      <c r="K913" s="677"/>
      <c r="L913" s="677"/>
      <c r="M913" s="677"/>
      <c r="N913" s="677"/>
      <c r="O913" s="677"/>
      <c r="P913" s="677"/>
      <c r="Q913" s="677"/>
      <c r="R913" s="677"/>
      <c r="S913" s="677"/>
      <c r="T913" s="677"/>
      <c r="U913" s="677"/>
      <c r="V913" s="677"/>
      <c r="W913" s="677"/>
      <c r="X913" s="677"/>
      <c r="Y913" s="677"/>
      <c r="Z913" s="677"/>
      <c r="AA913" s="677"/>
      <c r="AB913" s="677"/>
      <c r="AC913" s="677"/>
      <c r="AD913" s="677"/>
      <c r="AE913" s="677"/>
    </row>
    <row r="914" spans="2:31">
      <c r="B914" s="450"/>
      <c r="C914" s="677"/>
      <c r="D914" s="677"/>
      <c r="E914" s="677"/>
      <c r="F914" s="677"/>
      <c r="G914" s="677"/>
      <c r="H914" s="677"/>
      <c r="I914" s="677"/>
      <c r="J914" s="677"/>
      <c r="K914" s="677"/>
      <c r="L914" s="677"/>
      <c r="M914" s="677"/>
      <c r="N914" s="677"/>
      <c r="O914" s="677"/>
      <c r="P914" s="677"/>
      <c r="Q914" s="677"/>
      <c r="R914" s="677"/>
      <c r="S914" s="677"/>
      <c r="T914" s="677"/>
      <c r="U914" s="677"/>
      <c r="V914" s="677"/>
      <c r="W914" s="677"/>
      <c r="X914" s="677"/>
      <c r="Y914" s="677"/>
      <c r="Z914" s="677"/>
      <c r="AA914" s="677"/>
      <c r="AB914" s="677"/>
      <c r="AC914" s="677"/>
      <c r="AD914" s="677"/>
      <c r="AE914" s="677"/>
    </row>
    <row r="915" spans="2:31">
      <c r="B915" s="450"/>
      <c r="C915" s="677"/>
      <c r="D915" s="677"/>
      <c r="E915" s="677"/>
      <c r="F915" s="677"/>
      <c r="G915" s="677"/>
      <c r="H915" s="677"/>
      <c r="I915" s="677"/>
      <c r="J915" s="677"/>
      <c r="K915" s="677"/>
      <c r="L915" s="677"/>
      <c r="M915" s="677"/>
      <c r="N915" s="677"/>
      <c r="O915" s="677"/>
      <c r="P915" s="677"/>
      <c r="Q915" s="677"/>
      <c r="R915" s="677"/>
      <c r="S915" s="677"/>
      <c r="T915" s="677"/>
      <c r="U915" s="677"/>
      <c r="V915" s="677"/>
      <c r="W915" s="677"/>
      <c r="X915" s="677"/>
      <c r="Y915" s="677"/>
      <c r="Z915" s="677"/>
      <c r="AA915" s="677"/>
      <c r="AB915" s="677"/>
      <c r="AC915" s="677"/>
      <c r="AD915" s="677"/>
      <c r="AE915" s="677"/>
    </row>
    <row r="916" spans="2:31">
      <c r="B916" s="450"/>
      <c r="C916" s="677"/>
      <c r="D916" s="677"/>
      <c r="E916" s="677"/>
      <c r="F916" s="677"/>
      <c r="G916" s="677"/>
      <c r="H916" s="677"/>
      <c r="I916" s="677"/>
      <c r="J916" s="677"/>
      <c r="K916" s="677"/>
      <c r="L916" s="677"/>
      <c r="M916" s="677"/>
      <c r="N916" s="677"/>
      <c r="O916" s="677"/>
      <c r="P916" s="677"/>
      <c r="Q916" s="677"/>
      <c r="R916" s="677"/>
      <c r="S916" s="677"/>
      <c r="T916" s="677"/>
      <c r="U916" s="677"/>
      <c r="V916" s="677"/>
      <c r="W916" s="677"/>
      <c r="X916" s="677"/>
      <c r="Y916" s="677"/>
      <c r="Z916" s="677"/>
      <c r="AA916" s="677"/>
      <c r="AB916" s="677"/>
      <c r="AC916" s="677"/>
      <c r="AD916" s="677"/>
      <c r="AE916" s="677"/>
    </row>
    <row r="917" spans="2:31">
      <c r="B917" s="450"/>
      <c r="C917" s="677"/>
      <c r="D917" s="677"/>
      <c r="E917" s="677"/>
      <c r="F917" s="677"/>
      <c r="G917" s="677"/>
      <c r="H917" s="677"/>
      <c r="I917" s="677"/>
      <c r="J917" s="677"/>
      <c r="K917" s="677"/>
      <c r="L917" s="677"/>
      <c r="M917" s="677"/>
      <c r="N917" s="677"/>
      <c r="O917" s="677"/>
      <c r="P917" s="677"/>
      <c r="Q917" s="677"/>
      <c r="R917" s="677"/>
      <c r="S917" s="677"/>
      <c r="T917" s="677"/>
      <c r="U917" s="677"/>
      <c r="V917" s="677"/>
      <c r="W917" s="677"/>
      <c r="X917" s="677"/>
      <c r="Y917" s="677"/>
      <c r="Z917" s="677"/>
      <c r="AA917" s="677"/>
      <c r="AB917" s="677"/>
      <c r="AC917" s="677"/>
      <c r="AD917" s="677"/>
      <c r="AE917" s="677"/>
    </row>
    <row r="918" spans="2:31">
      <c r="B918" s="450"/>
      <c r="C918" s="677"/>
      <c r="D918" s="677"/>
      <c r="E918" s="677"/>
      <c r="F918" s="677"/>
      <c r="G918" s="677"/>
      <c r="H918" s="677"/>
      <c r="I918" s="677"/>
      <c r="J918" s="677"/>
      <c r="K918" s="677"/>
      <c r="L918" s="677"/>
      <c r="M918" s="677"/>
      <c r="N918" s="677"/>
      <c r="O918" s="677"/>
      <c r="P918" s="677"/>
      <c r="Q918" s="677"/>
      <c r="R918" s="677"/>
      <c r="S918" s="677"/>
      <c r="T918" s="677"/>
      <c r="U918" s="677"/>
      <c r="V918" s="677"/>
      <c r="W918" s="677"/>
      <c r="X918" s="677"/>
      <c r="Y918" s="677"/>
      <c r="Z918" s="677"/>
      <c r="AA918" s="677"/>
      <c r="AB918" s="677"/>
      <c r="AC918" s="677"/>
      <c r="AD918" s="677"/>
      <c r="AE918" s="677"/>
    </row>
    <row r="920" spans="2:31" hidden="1" outlineLevel="1">
      <c r="B920" t="s">
        <v>1831</v>
      </c>
      <c r="C920" s="456">
        <f>'New (new) quarts'!H372</f>
        <v>0.158</v>
      </c>
      <c r="D920" s="456">
        <f>'New (new) quarts'!I372</f>
        <v>0.153</v>
      </c>
      <c r="E920" s="456">
        <f>'New (new) quarts'!J372</f>
        <v>0.113</v>
      </c>
      <c r="F920" s="456">
        <f>'New (new) quarts'!K372</f>
        <v>0.13500000000000001</v>
      </c>
      <c r="G920" s="456">
        <f>'New (new) quarts'!M372</f>
        <v>0.1214961284621742</v>
      </c>
      <c r="H920" s="456">
        <f>'New (new) quarts'!N372</f>
        <v>9.7952360050249807E-2</v>
      </c>
      <c r="I920" s="456">
        <f>'New (new) quarts'!O372</f>
        <v>0.112</v>
      </c>
      <c r="J920" s="456">
        <f>'New (new) quarts'!P372</f>
        <v>9.0999999999999998E-2</v>
      </c>
      <c r="K920" s="456">
        <f>'New (new) quarts'!R372</f>
        <v>-3.5999999999999997E-2</v>
      </c>
      <c r="L920" s="456">
        <f>'New (new) quarts'!S372</f>
        <v>-6.2E-2</v>
      </c>
      <c r="M920" s="456">
        <f>'New (new) quarts'!T372</f>
        <v>-3.2324491418243187E-2</v>
      </c>
      <c r="N920" s="456">
        <f>'New (new) quarts'!U372</f>
        <v>-6.3E-2</v>
      </c>
      <c r="O920" s="456">
        <f>'New (new) quarts'!W372</f>
        <v>1.6792046044407143E-2</v>
      </c>
    </row>
    <row r="921" spans="2:31" hidden="1" outlineLevel="1">
      <c r="B921" t="s">
        <v>884</v>
      </c>
      <c r="C921" s="456">
        <f>'New (new) quarts'!H378</f>
        <v>5.6000000000000001E-2</v>
      </c>
      <c r="D921" s="456">
        <f>'New (new) quarts'!I378</f>
        <v>5.7000000000000002E-2</v>
      </c>
      <c r="E921" s="456">
        <f>'New (new) quarts'!J378</f>
        <v>5.8000000000000003E-2</v>
      </c>
      <c r="F921" s="456">
        <f>'New (new) quarts'!K378</f>
        <v>5.8999999999999997E-2</v>
      </c>
      <c r="G921" s="456">
        <f>'New (new) quarts'!M378</f>
        <v>4.1000000000000002E-2</v>
      </c>
      <c r="H921" s="456">
        <f>'New (new) quarts'!N378</f>
        <v>2.1191643840331002E-2</v>
      </c>
      <c r="I921" s="456">
        <f>'New (new) quarts'!O378</f>
        <v>-1.9132646838720562E-3</v>
      </c>
      <c r="J921" s="456">
        <f>'New (new) quarts'!P378</f>
        <v>-8.9999999999999993E-3</v>
      </c>
      <c r="K921" s="456">
        <f>'New (new) quarts'!R378</f>
        <v>-1.4999999999999999E-2</v>
      </c>
      <c r="L921" s="456">
        <f>'New (new) quarts'!S378</f>
        <v>-1.2999999999999999E-2</v>
      </c>
      <c r="M921" s="456">
        <f>'New (new) quarts'!T378</f>
        <v>1.6541255508379551E-2</v>
      </c>
      <c r="N921" s="456">
        <f>'New (new) quarts'!U378</f>
        <v>1.2999999999999999E-2</v>
      </c>
      <c r="O921" s="456">
        <f>'New (new) quarts'!W378</f>
        <v>3.5999999999999997E-2</v>
      </c>
    </row>
    <row r="922" spans="2:31" hidden="1" outlineLevel="1">
      <c r="C922" s="456"/>
      <c r="D922" s="456"/>
      <c r="E922" s="456"/>
      <c r="F922" s="456"/>
      <c r="G922" s="456"/>
      <c r="H922" s="456"/>
      <c r="I922" s="456"/>
      <c r="J922" s="456"/>
      <c r="K922" s="456"/>
      <c r="L922" s="456"/>
      <c r="M922" s="456"/>
      <c r="N922" s="456"/>
      <c r="O922" s="456"/>
    </row>
    <row r="923" spans="2:31" collapsed="1">
      <c r="B923" s="451" t="s">
        <v>945</v>
      </c>
      <c r="C923" s="451"/>
      <c r="D923" s="451"/>
      <c r="E923" s="451"/>
      <c r="F923" s="451"/>
      <c r="G923" s="451"/>
      <c r="H923" s="451"/>
      <c r="I923" s="451"/>
      <c r="J923" s="451"/>
      <c r="K923" s="451"/>
      <c r="L923" s="451"/>
      <c r="M923" s="451"/>
      <c r="N923" s="451"/>
      <c r="O923" s="560" t="str">
        <f>'Earning snaps'!O108</f>
        <v>Q1 23</v>
      </c>
      <c r="P923" s="560" t="e">
        <f>'Earning snaps'!#REF!</f>
        <v>#REF!</v>
      </c>
      <c r="Q923" s="560" t="str">
        <f>'Earning snaps'!Q108</f>
        <v>Q3 23</v>
      </c>
      <c r="R923" s="560" t="str">
        <f>'Earning snaps'!R108</f>
        <v>Q4 23</v>
      </c>
      <c r="S923" s="560" t="e">
        <f>'Earning snaps'!#REF!</f>
        <v>#REF!</v>
      </c>
      <c r="T923" s="560" t="str">
        <f>'Earning snaps'!S108</f>
        <v>Q1 24</v>
      </c>
      <c r="U923" s="560" t="str">
        <f>'Earning snaps'!U108</f>
        <v>Q3 24</v>
      </c>
      <c r="V923" s="560" t="str">
        <f>'Earning snaps'!V108</f>
        <v>Q4 24</v>
      </c>
      <c r="W923" s="560" t="str">
        <f>'Earning snaps'!C108</f>
        <v>Q1 20</v>
      </c>
      <c r="X923" s="560" t="str">
        <f>'Earning snaps'!D108</f>
        <v>Q2 20</v>
      </c>
      <c r="Y923" s="560" t="str">
        <f>'Earning snaps'!E108</f>
        <v>Q3 20</v>
      </c>
      <c r="Z923" s="560" t="str">
        <f>'Earning snaps'!F108</f>
        <v>Q4 20</v>
      </c>
      <c r="AA923" s="560" t="str">
        <f>'Earning snaps'!G108</f>
        <v>Q1 21</v>
      </c>
      <c r="AB923" s="560" t="str">
        <f>'Earning snaps'!H108</f>
        <v>Q2 21</v>
      </c>
      <c r="AC923" s="560" t="str">
        <f>'Earning snaps'!I108</f>
        <v>Q3 21</v>
      </c>
      <c r="AD923" s="560" t="str">
        <f>'Earning snaps'!J108</f>
        <v>Q4 21</v>
      </c>
    </row>
    <row r="924" spans="2:31">
      <c r="B924" s="478" t="s">
        <v>6089</v>
      </c>
      <c r="O924" s="456">
        <f>W608</f>
        <v>8.9999999999999993E-3</v>
      </c>
      <c r="P924" s="456">
        <f>X608</f>
        <v>2.1000000000000001E-2</v>
      </c>
      <c r="Q924" s="456">
        <f>Y608</f>
        <v>0.01</v>
      </c>
      <c r="R924" s="456">
        <f>Z608</f>
        <v>1.2999999999999999E-2</v>
      </c>
      <c r="S924" s="456">
        <f>AC608</f>
        <v>1.4E-2</v>
      </c>
      <c r="T924" s="456">
        <f>AE608</f>
        <v>7.0000000000000001E-3</v>
      </c>
      <c r="U924" s="456">
        <f>AG608</f>
        <v>-1.7000000000000001E-2</v>
      </c>
      <c r="V924" s="456">
        <f>AI608</f>
        <v>-2.7E-2</v>
      </c>
      <c r="W924" s="456">
        <f>AK608</f>
        <v>-1.9E-2</v>
      </c>
      <c r="X924" s="456">
        <f>AL608</f>
        <v>-0.108</v>
      </c>
      <c r="Y924" s="456">
        <f>AM608</f>
        <v>-3.7999999999999999E-2</v>
      </c>
      <c r="Z924" s="456">
        <f>AN608</f>
        <v>0</v>
      </c>
      <c r="AA924" s="456">
        <f>AP608</f>
        <v>6.0000000000000001E-3</v>
      </c>
      <c r="AB924" s="456">
        <f>AQ608</f>
        <v>0.107</v>
      </c>
      <c r="AC924" s="456">
        <f>AR608</f>
        <v>0.08</v>
      </c>
      <c r="AD924" s="456">
        <f>AS608</f>
        <v>4.2000000000000003E-2</v>
      </c>
    </row>
    <row r="925" spans="2:31">
      <c r="B925" s="478"/>
      <c r="O925" s="456"/>
      <c r="P925" s="456"/>
      <c r="Q925" s="456"/>
      <c r="R925" s="456"/>
      <c r="S925" s="456"/>
      <c r="T925" s="456"/>
      <c r="U925" s="456"/>
      <c r="V925" s="456"/>
      <c r="W925" s="456"/>
      <c r="X925" s="456"/>
      <c r="Y925" s="456"/>
      <c r="Z925" s="456"/>
      <c r="AA925" s="456"/>
      <c r="AB925" s="456"/>
      <c r="AC925" s="456"/>
      <c r="AD925" s="456"/>
    </row>
    <row r="926" spans="2:31">
      <c r="B926" s="478" t="s">
        <v>6088</v>
      </c>
      <c r="O926" s="456">
        <f t="shared" ref="O926:R927" si="611">W610</f>
        <v>7.5999999999999998E-2</v>
      </c>
      <c r="P926" s="456">
        <f t="shared" si="611"/>
        <v>0.126</v>
      </c>
      <c r="Q926" s="456">
        <f t="shared" si="611"/>
        <v>0.125</v>
      </c>
      <c r="R926" s="456">
        <f t="shared" si="611"/>
        <v>0.115</v>
      </c>
      <c r="S926" s="456">
        <f>AC610</f>
        <v>0.104</v>
      </c>
      <c r="T926" s="456">
        <f>AE610</f>
        <v>7.6999999999999999E-2</v>
      </c>
      <c r="U926" s="456">
        <f>AG610</f>
        <v>7.1999999999999995E-2</v>
      </c>
      <c r="V926" s="456">
        <f>AI610</f>
        <v>8.5000000000000006E-2</v>
      </c>
      <c r="W926" s="456">
        <f t="shared" ref="W926:Z928" si="612">AK610</f>
        <v>6.5000000000000002E-2</v>
      </c>
      <c r="X926" s="456">
        <f t="shared" si="612"/>
        <v>1.7000000000000001E-2</v>
      </c>
      <c r="Y926" s="456">
        <f t="shared" si="612"/>
        <v>1.2E-2</v>
      </c>
      <c r="Z926" s="456">
        <f t="shared" si="612"/>
        <v>3.7999999999999999E-2</v>
      </c>
      <c r="AA926" s="456">
        <f t="shared" ref="AA926:AD927" si="613">AP610</f>
        <v>7.9000000000000001E-2</v>
      </c>
      <c r="AB926" s="456">
        <f t="shared" si="613"/>
        <v>0.124</v>
      </c>
      <c r="AC926" s="456">
        <f t="shared" si="613"/>
        <v>0.13</v>
      </c>
      <c r="AD926" s="456">
        <f t="shared" si="613"/>
        <v>0.1</v>
      </c>
    </row>
    <row r="927" spans="2:31">
      <c r="B927" s="478" t="s">
        <v>4171</v>
      </c>
      <c r="O927" s="760">
        <f t="shared" si="611"/>
        <v>8.8999999999999996E-2</v>
      </c>
      <c r="P927" s="760">
        <f t="shared" si="611"/>
        <v>7.0999999999999994E-2</v>
      </c>
      <c r="Q927" s="760">
        <f t="shared" si="611"/>
        <v>6.5000000000000002E-2</v>
      </c>
      <c r="R927" s="760">
        <f t="shared" si="611"/>
        <v>0</v>
      </c>
      <c r="S927" s="760" t="str">
        <f>AC611</f>
        <v>"'ve"</v>
      </c>
      <c r="T927" s="760" t="str">
        <f>AE611</f>
        <v>"'ve"</v>
      </c>
      <c r="U927" s="456">
        <f>AG611</f>
        <v>-5.0000000000000001E-3</v>
      </c>
      <c r="V927" s="456">
        <f>AI611</f>
        <v>4.1000000000000002E-2</v>
      </c>
      <c r="W927" s="456">
        <f t="shared" si="612"/>
        <v>-3.3000000000000002E-2</v>
      </c>
      <c r="X927" s="456">
        <f t="shared" si="612"/>
        <v>-8.4000000000000005E-2</v>
      </c>
      <c r="Y927" s="456">
        <f t="shared" si="612"/>
        <v>-0.08</v>
      </c>
      <c r="Z927" s="456">
        <f t="shared" si="612"/>
        <v>-6.3E-2</v>
      </c>
      <c r="AA927" s="456">
        <f t="shared" si="613"/>
        <v>-3.2000000000000001E-2</v>
      </c>
      <c r="AB927" s="456">
        <f t="shared" si="613"/>
        <v>0.03</v>
      </c>
      <c r="AC927" s="456">
        <f t="shared" si="613"/>
        <v>0.03</v>
      </c>
      <c r="AD927" s="456">
        <f t="shared" si="613"/>
        <v>3.3000000000000002E-2</v>
      </c>
    </row>
    <row r="928" spans="2:31" hidden="1" outlineLevel="1">
      <c r="B928" s="478" t="s">
        <v>6090</v>
      </c>
      <c r="O928" s="456"/>
      <c r="P928" s="456"/>
      <c r="Q928" s="456"/>
      <c r="R928" s="456"/>
      <c r="S928" s="456">
        <f>AC612</f>
        <v>6.6000000000000003E-2</v>
      </c>
      <c r="T928" s="456">
        <f>AE612</f>
        <v>3.5999999999999997E-2</v>
      </c>
      <c r="U928" s="456">
        <f>AG612</f>
        <v>4.7E-2</v>
      </c>
      <c r="V928" s="456">
        <f>AI612</f>
        <v>0.08</v>
      </c>
      <c r="W928" s="456">
        <f t="shared" si="612"/>
        <v>3.2000000000000001E-2</v>
      </c>
      <c r="X928" s="456">
        <f t="shared" si="612"/>
        <v>-1.2E-2</v>
      </c>
      <c r="Y928" s="456">
        <f t="shared" si="612"/>
        <v>-0.02</v>
      </c>
      <c r="Z928" s="456">
        <f t="shared" si="612"/>
        <v>-0.08</v>
      </c>
      <c r="AA928" s="456">
        <f>AP612</f>
        <v>0</v>
      </c>
      <c r="AB928" s="456">
        <f>AQ612</f>
        <v>0</v>
      </c>
      <c r="AC928" s="456">
        <f>AR612</f>
        <v>0</v>
      </c>
      <c r="AD928" s="456">
        <f>AT612</f>
        <v>0</v>
      </c>
    </row>
    <row r="929" spans="2:30" collapsed="1">
      <c r="B929" s="608" t="s">
        <v>7196</v>
      </c>
      <c r="AB929" s="456">
        <v>0.06</v>
      </c>
      <c r="AC929" s="456">
        <v>0.06</v>
      </c>
      <c r="AD929" s="456">
        <v>0.06</v>
      </c>
    </row>
    <row r="930" spans="2:30">
      <c r="B930" s="450" t="s">
        <v>2554</v>
      </c>
      <c r="C930" s="450"/>
      <c r="D930" s="450"/>
      <c r="E930" s="450"/>
      <c r="F930" s="450"/>
      <c r="G930" s="450"/>
      <c r="H930" s="450"/>
      <c r="I930" s="450"/>
      <c r="J930" s="450"/>
      <c r="K930" s="450"/>
      <c r="L930" s="450"/>
      <c r="M930" s="450"/>
      <c r="N930" s="450"/>
      <c r="O930" s="677">
        <f>'Earning snaps'!O121</f>
        <v>2.1999999999999999E-2</v>
      </c>
      <c r="P930" s="677" t="e">
        <f>'Earning snaps'!#REF!</f>
        <v>#REF!</v>
      </c>
      <c r="Q930" s="677">
        <f>'Earning snaps'!Q121</f>
        <v>1.7999999999999999E-2</v>
      </c>
      <c r="R930" s="677">
        <f>'Earning snaps'!R121</f>
        <v>3.2000000000000001E-2</v>
      </c>
      <c r="S930" s="677" t="e">
        <f>'Earning snaps'!#REF!</f>
        <v>#REF!</v>
      </c>
      <c r="T930" s="677">
        <f>'Earning snaps'!S121</f>
        <v>3.7999999999999999E-2</v>
      </c>
      <c r="U930" s="677">
        <f>'Earning snaps'!U121</f>
        <v>2.4E-2</v>
      </c>
      <c r="V930" s="677">
        <f>'Earning snaps'!V121</f>
        <v>-6.0000000000000001E-3</v>
      </c>
      <c r="W930" s="677">
        <f>'Earning snaps'!C121</f>
        <v>2E-3</v>
      </c>
      <c r="X930" s="677">
        <f>'Earning snaps'!D121</f>
        <v>-6.8000000000000005E-2</v>
      </c>
      <c r="Y930" s="677">
        <f>'Earning snaps'!E121</f>
        <v>-3.1E-2</v>
      </c>
      <c r="Z930" s="677">
        <f>'Earning snaps'!F121</f>
        <v>-4.0000000000000001E-3</v>
      </c>
      <c r="AA930" s="677">
        <f>'Earning snaps'!G121</f>
        <v>2.1999999999999999E-2</v>
      </c>
      <c r="AB930" s="677">
        <f>'Earning snaps'!H121</f>
        <v>0.109</v>
      </c>
      <c r="AC930" s="677">
        <f>'Earning snaps'!I121</f>
        <v>8.5000000000000006E-2</v>
      </c>
      <c r="AD930" s="677">
        <f>'Earning snaps'!J121</f>
        <v>5.7000000000000002E-2</v>
      </c>
    </row>
    <row r="932" spans="2:30" hidden="1" outlineLevel="1">
      <c r="B932" t="s">
        <v>360</v>
      </c>
    </row>
    <row r="933" spans="2:30" hidden="1" outlineLevel="1"/>
    <row r="934" spans="2:30" hidden="1" outlineLevel="1">
      <c r="B934" s="451" t="s">
        <v>945</v>
      </c>
      <c r="C934" s="560">
        <f>'New (new) quarts'!H377</f>
        <v>0</v>
      </c>
      <c r="D934" s="560">
        <f>'New (new) quarts'!I377</f>
        <v>0</v>
      </c>
      <c r="E934" s="560">
        <f>'New (new) quarts'!J377</f>
        <v>0</v>
      </c>
      <c r="F934" s="560">
        <f>'New (new) quarts'!K377</f>
        <v>0</v>
      </c>
      <c r="G934" s="560">
        <f>'New (new) quarts'!M377</f>
        <v>0</v>
      </c>
      <c r="H934" s="560">
        <f>'New (new) quarts'!N377</f>
        <v>0</v>
      </c>
      <c r="I934" s="560">
        <f>'New (new) quarts'!O377</f>
        <v>0</v>
      </c>
      <c r="J934" s="560">
        <f>'New (new) quarts'!P377</f>
        <v>0</v>
      </c>
      <c r="K934" s="560" t="s">
        <v>4689</v>
      </c>
      <c r="L934" s="560" t="s">
        <v>4761</v>
      </c>
      <c r="M934" s="560" t="s">
        <v>4862</v>
      </c>
      <c r="N934" s="560" t="s">
        <v>5039</v>
      </c>
      <c r="O934" s="560" t="s">
        <v>5040</v>
      </c>
      <c r="P934" s="560" t="s">
        <v>5041</v>
      </c>
      <c r="Q934" s="560" t="s">
        <v>5042</v>
      </c>
      <c r="R934" s="560" t="s">
        <v>5043</v>
      </c>
      <c r="S934" s="560" t="s">
        <v>5617</v>
      </c>
      <c r="T934" s="560" t="s">
        <v>5618</v>
      </c>
      <c r="U934" s="560" t="s">
        <v>5619</v>
      </c>
      <c r="V934" s="560" t="s">
        <v>5620</v>
      </c>
      <c r="W934" s="560" t="s">
        <v>5797</v>
      </c>
    </row>
    <row r="935" spans="2:30" hidden="1" outlineLevel="1">
      <c r="B935" t="str">
        <f>'Earning snaps'!B109</f>
        <v>El Salvador</v>
      </c>
      <c r="O935" s="456">
        <v>9.3023989906082738E-2</v>
      </c>
      <c r="P935" s="456">
        <v>-0.16820294609850062</v>
      </c>
      <c r="Q935" s="456">
        <v>-0.22997013664989541</v>
      </c>
      <c r="R935" s="456">
        <v>-0.22215696269453677</v>
      </c>
      <c r="S935" s="456">
        <v>-0.13934553163342372</v>
      </c>
      <c r="T935" s="456">
        <v>-0.14366369833368609</v>
      </c>
      <c r="U935" s="456">
        <v>8.1808983101972821E-2</v>
      </c>
      <c r="V935" s="456">
        <v>3.9631658140631826E-2</v>
      </c>
    </row>
    <row r="936" spans="2:30" hidden="1" outlineLevel="1">
      <c r="B936" t="str">
        <f>'Earning snaps'!B114</f>
        <v>Guatemala</v>
      </c>
      <c r="O936" s="456">
        <v>8.4401596545861546E-2</v>
      </c>
      <c r="P936" s="456">
        <v>5.7264314173367969E-2</v>
      </c>
      <c r="Q936" s="456">
        <v>4.6615215413415623E-2</v>
      </c>
      <c r="R936" s="456">
        <v>3.7999999999999999E-2</v>
      </c>
      <c r="S936" s="456">
        <v>7.4084056076722291E-2</v>
      </c>
      <c r="T936" s="456">
        <v>6.8466570317155764E-2</v>
      </c>
      <c r="U936" s="456">
        <v>3.9802553015006494E-2</v>
      </c>
      <c r="V936" s="456">
        <v>8.1769704698570807E-3</v>
      </c>
    </row>
    <row r="937" spans="2:30" hidden="1" outlineLevel="1">
      <c r="B937" t="str">
        <f>'Earning snaps'!B115</f>
        <v>Honduras (JV)</v>
      </c>
      <c r="O937" s="456">
        <v>-8.0000000000000002E-3</v>
      </c>
      <c r="P937" s="456">
        <v>-3.4024797472267609E-2</v>
      </c>
      <c r="Q937" s="456">
        <v>-3.1254568275284944E-2</v>
      </c>
      <c r="R937" s="456">
        <v>0.21845324783342535</v>
      </c>
      <c r="S937" s="456">
        <v>4.3196157033506502E-2</v>
      </c>
      <c r="T937" s="456">
        <v>0.12459419029926076</v>
      </c>
      <c r="U937" s="456">
        <v>-1.9306500300064811E-2</v>
      </c>
      <c r="V937" s="456">
        <v>-9.4655435819884448E-2</v>
      </c>
    </row>
    <row r="938" spans="2:30" hidden="1" outlineLevel="1">
      <c r="B938" t="str">
        <f>'Earning snaps'!B116</f>
        <v>Panama</v>
      </c>
      <c r="O938" s="456"/>
      <c r="P938" s="456"/>
      <c r="Q938" s="456"/>
      <c r="R938" s="456"/>
      <c r="S938" s="456">
        <v>8.3231427899400842E-2</v>
      </c>
      <c r="T938" s="456">
        <v>3.9646221723555822E-2</v>
      </c>
      <c r="U938" s="456">
        <v>4.9981164069103599E-2</v>
      </c>
      <c r="V938" s="456">
        <v>0.19029548402377269</v>
      </c>
    </row>
    <row r="939" spans="2:30" hidden="1" outlineLevel="1">
      <c r="B939" t="str">
        <f>'Earning snaps'!B118</f>
        <v>Bolivia</v>
      </c>
      <c r="O939" s="456">
        <v>-5.2979919144492515E-2</v>
      </c>
      <c r="P939" s="456">
        <v>0.17483695865677884</v>
      </c>
      <c r="Q939" s="456">
        <v>0.11168053324727634</v>
      </c>
      <c r="R939" s="456">
        <v>6.3339471142514592E-2</v>
      </c>
      <c r="S939" s="456">
        <v>0.20901266007506605</v>
      </c>
      <c r="T939" s="456">
        <v>5.4018096783748207E-2</v>
      </c>
      <c r="U939" s="456">
        <v>1.2541819710675679E-2</v>
      </c>
      <c r="V939" s="456">
        <v>5.8042817097824486E-3</v>
      </c>
    </row>
    <row r="940" spans="2:30" hidden="1" outlineLevel="1">
      <c r="B940" t="str">
        <f>'Earning snaps'!B119</f>
        <v>Colombia</v>
      </c>
      <c r="O940" s="456">
        <v>-8.5000000000000006E-2</v>
      </c>
      <c r="P940" s="456">
        <v>6.8520114623451533E-2</v>
      </c>
      <c r="Q940" s="456">
        <v>0.13749087408714944</v>
      </c>
      <c r="R940" s="456">
        <v>7.3287251317422086E-2</v>
      </c>
      <c r="S940" s="456">
        <v>0.10295132330955034</v>
      </c>
      <c r="T940" s="456">
        <v>-1.9233099359418634E-2</v>
      </c>
      <c r="U940" s="456">
        <v>-2.2462730291814864E-2</v>
      </c>
      <c r="V940" s="456">
        <v>6.219693193199595E-2</v>
      </c>
    </row>
    <row r="941" spans="2:30" hidden="1" outlineLevel="1">
      <c r="B941" s="455" t="str">
        <f>'Earning snaps'!B120</f>
        <v>Paraguay</v>
      </c>
      <c r="C941" s="455"/>
      <c r="D941" s="455"/>
      <c r="E941" s="455"/>
      <c r="F941" s="455"/>
      <c r="G941" s="455"/>
      <c r="H941" s="455"/>
      <c r="I941" s="455"/>
      <c r="J941" s="455"/>
      <c r="K941" s="455"/>
      <c r="L941" s="455"/>
      <c r="M941" s="455"/>
      <c r="N941" s="455"/>
      <c r="O941" s="561">
        <v>3.9965255941926348E-2</v>
      </c>
      <c r="P941" s="561">
        <v>8.1269886514025558E-2</v>
      </c>
      <c r="Q941" s="561">
        <v>7.6945507310642425E-2</v>
      </c>
      <c r="R941" s="561">
        <v>1.0094888758773957E-2</v>
      </c>
      <c r="S941" s="561">
        <v>-7.5172537890544178E-2</v>
      </c>
      <c r="T941" s="561">
        <v>-8.4632267071034092E-2</v>
      </c>
      <c r="U941" s="561">
        <v>-4.7040480422195628E-2</v>
      </c>
      <c r="V941" s="561">
        <v>-1.5250073798620499E-2</v>
      </c>
    </row>
    <row r="942" spans="2:30" hidden="1" outlineLevel="1">
      <c r="B942" t="str">
        <f>'Earning snaps'!B121</f>
        <v>Group (ex Honduras)</v>
      </c>
      <c r="O942" s="456">
        <v>1.2807144642279117E-2</v>
      </c>
      <c r="P942" s="456">
        <v>4.387198020800856E-2</v>
      </c>
      <c r="Q942" s="456">
        <v>4.1641491676843612E-2</v>
      </c>
      <c r="R942" s="456">
        <v>3.9693359901135261E-2</v>
      </c>
      <c r="S942" s="456">
        <f>AB148</f>
        <v>4.4999999999999998E-2</v>
      </c>
      <c r="T942" s="456">
        <f>AD148</f>
        <v>1.4999999999999999E-2</v>
      </c>
      <c r="U942" s="456">
        <f>AF148</f>
        <v>7.0000000000000001E-3</v>
      </c>
      <c r="V942" s="456">
        <f>AH148</f>
        <v>0.02</v>
      </c>
    </row>
    <row r="943" spans="2:30" hidden="1" outlineLevel="1"/>
    <row r="944" spans="2:30" collapsed="1"/>
    <row r="945" spans="2:34">
      <c r="AH945" s="1258" t="s">
        <v>7437</v>
      </c>
    </row>
    <row r="946" spans="2:34">
      <c r="S946" s="1200" t="s">
        <v>6331</v>
      </c>
      <c r="T946" s="450"/>
      <c r="U946" s="450"/>
      <c r="V946" s="450"/>
      <c r="X946" s="450"/>
    </row>
    <row r="947" spans="2:34">
      <c r="B947" s="451" t="s">
        <v>1542</v>
      </c>
      <c r="C947" s="560" t="e">
        <f>'Earning snaps'!#REF!</f>
        <v>#REF!</v>
      </c>
      <c r="D947" s="560" t="e">
        <f>'Earning snaps'!#REF!</f>
        <v>#REF!</v>
      </c>
      <c r="E947" s="560" t="e">
        <f>'Earning snaps'!#REF!</f>
        <v>#REF!</v>
      </c>
      <c r="F947" s="560" t="e">
        <f>'Earning snaps'!#REF!</f>
        <v>#REF!</v>
      </c>
      <c r="G947" s="560" t="e">
        <f>'Earning snaps'!#REF!</f>
        <v>#REF!</v>
      </c>
      <c r="H947" s="560" t="e">
        <f>'Earning snaps'!#REF!</f>
        <v>#REF!</v>
      </c>
      <c r="I947" s="560" t="e">
        <f>'Earning snaps'!#REF!</f>
        <v>#REF!</v>
      </c>
      <c r="J947" s="560" t="e">
        <f>'Earning snaps'!#REF!</f>
        <v>#REF!</v>
      </c>
      <c r="K947" s="560" t="e">
        <f>'Earning snaps'!#REF!</f>
        <v>#REF!</v>
      </c>
      <c r="L947" s="560" t="e">
        <f>'Earning snaps'!#REF!</f>
        <v>#REF!</v>
      </c>
      <c r="M947" s="560" t="e">
        <f>'Earning snaps'!#REF!</f>
        <v>#REF!</v>
      </c>
      <c r="N947" s="560" t="str">
        <f>'Earning snaps'!P108</f>
        <v>Q2 23</v>
      </c>
      <c r="O947" s="560" t="str">
        <f>'Earning snaps'!O108</f>
        <v>Q1 23</v>
      </c>
      <c r="P947" s="560" t="e">
        <f>'Earning snaps'!#REF!</f>
        <v>#REF!</v>
      </c>
      <c r="Q947" s="560" t="str">
        <f>'Earning snaps'!Q108</f>
        <v>Q3 23</v>
      </c>
      <c r="R947" s="560" t="str">
        <f>'Earning snaps'!R108</f>
        <v>Q4 23</v>
      </c>
      <c r="S947" s="1201" t="e">
        <f>'Earning snaps'!#REF!</f>
        <v>#REF!</v>
      </c>
      <c r="T947" s="560" t="str">
        <f>'Earning snaps'!S108</f>
        <v>Q1 24</v>
      </c>
      <c r="U947" s="560" t="str">
        <f>'Earning snaps'!U108</f>
        <v>Q3 24</v>
      </c>
      <c r="V947" s="560" t="str">
        <f>'Earning snaps'!V108</f>
        <v>Q4 24</v>
      </c>
      <c r="W947" s="560" t="s">
        <v>5797</v>
      </c>
      <c r="X947" s="560" t="s">
        <v>5798</v>
      </c>
      <c r="Y947" s="560" t="s">
        <v>5799</v>
      </c>
      <c r="Z947" s="560" t="s">
        <v>5800</v>
      </c>
      <c r="AA947" s="560" t="str">
        <f>AA923</f>
        <v>Q1 21</v>
      </c>
      <c r="AB947" s="560" t="str">
        <f>AB923</f>
        <v>Q2 21</v>
      </c>
      <c r="AC947" s="560" t="str">
        <f>AC923</f>
        <v>Q3 21</v>
      </c>
      <c r="AD947" s="560" t="str">
        <f>AD923</f>
        <v>Q4 21</v>
      </c>
    </row>
    <row r="948" spans="2:34">
      <c r="B948" t="str">
        <f>'Earning snaps'!B109</f>
        <v>El Salvador</v>
      </c>
      <c r="C948" s="456">
        <f t="shared" ref="C948:F950" si="614">H179</f>
        <v>0.38017043502644543</v>
      </c>
      <c r="D948" s="456">
        <f t="shared" si="614"/>
        <v>0.37028562782403929</v>
      </c>
      <c r="E948" s="456">
        <f t="shared" si="614"/>
        <v>0.37807705110187795</v>
      </c>
      <c r="F948" s="456">
        <f t="shared" si="614"/>
        <v>0.37186628222563045</v>
      </c>
      <c r="G948" s="456">
        <f t="shared" ref="G948:J950" si="615">M179</f>
        <v>0.3789204811864656</v>
      </c>
      <c r="H948" s="456">
        <f t="shared" si="615"/>
        <v>0.35509668974810982</v>
      </c>
      <c r="I948" s="456">
        <f t="shared" si="615"/>
        <v>0.35595813871452486</v>
      </c>
      <c r="J948" s="456">
        <f t="shared" si="615"/>
        <v>0.30188679245283018</v>
      </c>
      <c r="K948" s="456">
        <f t="shared" ref="K948:N950" si="616">R179</f>
        <v>0.33333333333333331</v>
      </c>
      <c r="L948" s="456">
        <f t="shared" si="616"/>
        <v>0.35849056603773582</v>
      </c>
      <c r="M948" s="456">
        <f t="shared" si="616"/>
        <v>0.3619047619047619</v>
      </c>
      <c r="N948" s="456">
        <f t="shared" si="616"/>
        <v>0.40909090909090912</v>
      </c>
      <c r="O948" s="456">
        <f t="shared" ref="O948:R950" si="617">W179</f>
        <v>0.35576923076923078</v>
      </c>
      <c r="P948" s="456">
        <f t="shared" si="617"/>
        <v>0.36893203883495146</v>
      </c>
      <c r="Q948" s="456">
        <f t="shared" si="617"/>
        <v>0.34693877551020408</v>
      </c>
      <c r="R948" s="456">
        <f t="shared" si="617"/>
        <v>0.34653465346534651</v>
      </c>
      <c r="S948" s="1202">
        <f>AB179</f>
        <v>0.36458333333333331</v>
      </c>
      <c r="T948" s="456">
        <f>AD179</f>
        <v>0.30927835051546393</v>
      </c>
      <c r="U948" s="456">
        <f>AF179</f>
        <v>0.36842105263157893</v>
      </c>
      <c r="V948" s="456">
        <f>AH179</f>
        <v>0.40816326530612246</v>
      </c>
      <c r="W948" s="456">
        <f t="shared" ref="W948:Z950" si="618">AK179</f>
        <v>0.36458333333333331</v>
      </c>
      <c r="X948" s="456">
        <f t="shared" si="618"/>
        <v>0.28409090909090912</v>
      </c>
      <c r="Y948" s="456">
        <f t="shared" si="618"/>
        <v>0.33333333333333331</v>
      </c>
      <c r="Z948" s="456">
        <f t="shared" si="618"/>
        <v>0.38181818181818183</v>
      </c>
      <c r="AA948" s="456">
        <f t="shared" ref="AA948:AD950" si="619">AP179</f>
        <v>0.37383177570093457</v>
      </c>
      <c r="AB948" s="456">
        <f t="shared" si="619"/>
        <v>0.34862385321100919</v>
      </c>
      <c r="AC948" s="456">
        <f t="shared" si="619"/>
        <v>0.35135135135135137</v>
      </c>
      <c r="AD948" s="456">
        <f t="shared" si="619"/>
        <v>0.375</v>
      </c>
    </row>
    <row r="949" spans="2:34">
      <c r="B949" t="str">
        <f>'Earning snaps'!B114</f>
        <v>Guatemala</v>
      </c>
      <c r="C949" s="456">
        <f t="shared" si="614"/>
        <v>0.51521048630712407</v>
      </c>
      <c r="D949" s="456">
        <f t="shared" si="614"/>
        <v>0.51655627831741269</v>
      </c>
      <c r="E949" s="456">
        <f t="shared" si="614"/>
        <v>0.51377913469460745</v>
      </c>
      <c r="F949" s="456">
        <f t="shared" si="614"/>
        <v>0.45248880458763574</v>
      </c>
      <c r="G949" s="456">
        <f t="shared" si="615"/>
        <v>0.5050425407132525</v>
      </c>
      <c r="H949" s="456">
        <f t="shared" si="615"/>
        <v>0.48720939335768143</v>
      </c>
      <c r="I949" s="456">
        <f t="shared" si="615"/>
        <v>0.48060661557156936</v>
      </c>
      <c r="J949" s="456">
        <f t="shared" si="615"/>
        <v>0.49393939393939396</v>
      </c>
      <c r="K949" s="456">
        <f t="shared" si="616"/>
        <v>0.50312500000000004</v>
      </c>
      <c r="L949" s="456">
        <f t="shared" si="616"/>
        <v>0.50769230769230766</v>
      </c>
      <c r="M949" s="456">
        <f t="shared" si="616"/>
        <v>0.50450450450450446</v>
      </c>
      <c r="N949" s="456">
        <f t="shared" si="616"/>
        <v>0.48997134670487108</v>
      </c>
      <c r="O949" s="456">
        <f t="shared" si="617"/>
        <v>0.5194029850746269</v>
      </c>
      <c r="P949" s="456">
        <f t="shared" si="617"/>
        <v>0.50737463126843663</v>
      </c>
      <c r="Q949" s="456">
        <f t="shared" si="617"/>
        <v>0.50146627565982405</v>
      </c>
      <c r="R949" s="456">
        <f t="shared" si="617"/>
        <v>0.48044692737430167</v>
      </c>
      <c r="S949" s="1202">
        <f>AB180</f>
        <v>0.55393586005830908</v>
      </c>
      <c r="T949" s="456">
        <f>AD180</f>
        <v>0.52957746478873235</v>
      </c>
      <c r="U949" s="456">
        <f>AF180</f>
        <v>0.51810584958217265</v>
      </c>
      <c r="V949" s="456">
        <f>AH180</f>
        <v>0.48941798941798942</v>
      </c>
      <c r="W949" s="456">
        <f t="shared" si="618"/>
        <v>0.5257452574525745</v>
      </c>
      <c r="X949" s="456">
        <f t="shared" si="618"/>
        <v>0.51540616246498594</v>
      </c>
      <c r="Y949" s="456">
        <f t="shared" si="618"/>
        <v>0.50263157894736843</v>
      </c>
      <c r="Z949" s="456">
        <f t="shared" si="618"/>
        <v>0.52896725440806047</v>
      </c>
      <c r="AA949" s="456">
        <f t="shared" si="619"/>
        <v>0.55012853470437018</v>
      </c>
      <c r="AB949" s="456">
        <f t="shared" si="619"/>
        <v>0.54364089775561097</v>
      </c>
      <c r="AC949" s="456">
        <f t="shared" si="619"/>
        <v>0.53500000000000003</v>
      </c>
      <c r="AD949" s="456">
        <f t="shared" si="619"/>
        <v>0.51463414634146343</v>
      </c>
    </row>
    <row r="950" spans="2:34">
      <c r="B950" t="str">
        <f>'Earning snaps'!B115</f>
        <v>Honduras (JV)</v>
      </c>
      <c r="C950" s="456">
        <f t="shared" si="614"/>
        <v>0.41904759231703442</v>
      </c>
      <c r="D950" s="456">
        <f t="shared" si="614"/>
        <v>0.42530538278443802</v>
      </c>
      <c r="E950" s="456">
        <f t="shared" si="614"/>
        <v>0.42586627364081187</v>
      </c>
      <c r="F950" s="456">
        <f t="shared" si="614"/>
        <v>0.41727192214397274</v>
      </c>
      <c r="G950" s="456">
        <f t="shared" si="615"/>
        <v>0.42740470682849524</v>
      </c>
      <c r="H950" s="456">
        <f t="shared" si="615"/>
        <v>0.36329637154947764</v>
      </c>
      <c r="I950" s="456">
        <f t="shared" si="615"/>
        <v>0.45875430487804209</v>
      </c>
      <c r="J950" s="456">
        <f t="shared" si="615"/>
        <v>0.43333333333333335</v>
      </c>
      <c r="K950" s="456">
        <f t="shared" si="616"/>
        <v>0.42857142857142855</v>
      </c>
      <c r="L950" s="456">
        <f t="shared" si="616"/>
        <v>0.42567567567567566</v>
      </c>
      <c r="M950" s="456">
        <f t="shared" si="616"/>
        <v>0.44755244755244755</v>
      </c>
      <c r="N950" s="456">
        <f t="shared" si="616"/>
        <v>0.43537414965986393</v>
      </c>
      <c r="O950" s="456">
        <f t="shared" si="617"/>
        <v>0.4206896551724138</v>
      </c>
      <c r="P950" s="456">
        <f t="shared" si="617"/>
        <v>0.41095890410958902</v>
      </c>
      <c r="Q950" s="456">
        <f t="shared" si="617"/>
        <v>0.44444444444444442</v>
      </c>
      <c r="R950" s="456">
        <f t="shared" si="617"/>
        <v>0.46357615894039733</v>
      </c>
      <c r="S950" s="1202">
        <f>AB181</f>
        <v>0.44897959183673469</v>
      </c>
      <c r="T950" s="456">
        <f>AD181</f>
        <v>0.47297297297297297</v>
      </c>
      <c r="U950" s="456">
        <f>AF181</f>
        <v>0.48979591836734693</v>
      </c>
      <c r="V950" s="456">
        <f>AH181</f>
        <v>0.47368421052631576</v>
      </c>
      <c r="W950" s="456">
        <f t="shared" si="618"/>
        <v>0.45390070921985815</v>
      </c>
      <c r="X950" s="456">
        <f t="shared" si="618"/>
        <v>0.44354838709677419</v>
      </c>
      <c r="Y950" s="456">
        <f t="shared" si="618"/>
        <v>0.44525547445255476</v>
      </c>
      <c r="Z950" s="456">
        <f t="shared" si="618"/>
        <v>0.44666666666666666</v>
      </c>
      <c r="AA950" s="456">
        <f t="shared" si="619"/>
        <v>0.4589041095890411</v>
      </c>
      <c r="AB950" s="456">
        <f t="shared" si="619"/>
        <v>0.45270270270270269</v>
      </c>
      <c r="AC950" s="456">
        <f t="shared" si="619"/>
        <v>0.43835616438356162</v>
      </c>
      <c r="AD950" s="456">
        <f t="shared" si="619"/>
        <v>0.40939597315436244</v>
      </c>
    </row>
    <row r="951" spans="2:34" hidden="1">
      <c r="B951" t="s">
        <v>5187</v>
      </c>
      <c r="C951" s="456">
        <f>H185</f>
        <v>0.44581415410634373</v>
      </c>
      <c r="D951" s="456">
        <f>I185</f>
        <v>0.39495339720430594</v>
      </c>
      <c r="E951" s="456">
        <f>J185</f>
        <v>0.38126345107250537</v>
      </c>
      <c r="F951" s="456">
        <f>K185</f>
        <v>0.44345476308049603</v>
      </c>
      <c r="G951" s="456">
        <f>M185</f>
        <v>0.40516047916028131</v>
      </c>
      <c r="H951" s="456">
        <f>N185</f>
        <v>0.38997067757012815</v>
      </c>
      <c r="I951" s="456">
        <f>O185</f>
        <v>0.41883376079636037</v>
      </c>
      <c r="J951" s="456">
        <f>P185</f>
        <v>0.42105263157894735</v>
      </c>
      <c r="K951" s="456">
        <f>R185</f>
        <v>0.42105263157894735</v>
      </c>
      <c r="L951" s="456">
        <f>S185</f>
        <v>0.36842105263157893</v>
      </c>
      <c r="M951" s="456">
        <f>T185</f>
        <v>0.42105263157894735</v>
      </c>
      <c r="N951" s="456">
        <f>U185</f>
        <v>0.42857142857142855</v>
      </c>
      <c r="O951" s="456">
        <v>0.38400000000000001</v>
      </c>
      <c r="P951" s="456">
        <f t="shared" ref="P951:V951" si="620">W185</f>
        <v>0.38400000000000001</v>
      </c>
      <c r="Q951" s="456">
        <f t="shared" si="620"/>
        <v>0.35000000000000003</v>
      </c>
      <c r="R951" s="456">
        <f t="shared" si="620"/>
        <v>0.42637837837837839</v>
      </c>
      <c r="S951" s="1202">
        <f t="shared" si="620"/>
        <v>0.46831955922865015</v>
      </c>
      <c r="T951" s="456">
        <f t="shared" si="620"/>
        <v>0.4061219022103148</v>
      </c>
      <c r="U951" s="456">
        <f t="shared" si="620"/>
        <v>0.4114864864864865</v>
      </c>
      <c r="V951" s="456">
        <f t="shared" si="620"/>
        <v>0.39189189189189189</v>
      </c>
      <c r="W951" s="456">
        <f>AF185</f>
        <v>0.37302631578947371</v>
      </c>
      <c r="X951" s="456">
        <f>AG185</f>
        <v>0.35526315789473684</v>
      </c>
      <c r="Y951" s="456">
        <f>AH185</f>
        <v>0.39375000000000004</v>
      </c>
      <c r="Z951" s="456">
        <f>AI185</f>
        <v>0</v>
      </c>
      <c r="AA951" s="456">
        <f>AK185</f>
        <v>0.42222222222222222</v>
      </c>
      <c r="AB951" s="456">
        <f>AL185</f>
        <v>0.41463414634146339</v>
      </c>
      <c r="AC951" s="456">
        <f>AN185</f>
        <v>0.3</v>
      </c>
      <c r="AD951" s="456">
        <f>AP185</f>
        <v>0.45238095238095238</v>
      </c>
    </row>
    <row r="952" spans="2:34">
      <c r="B952" s="478" t="s">
        <v>2032</v>
      </c>
      <c r="C952" s="456"/>
      <c r="D952" s="456"/>
      <c r="E952" s="456"/>
      <c r="F952" s="456"/>
      <c r="G952" s="456"/>
      <c r="H952" s="456"/>
      <c r="I952" s="456"/>
      <c r="J952" s="456"/>
      <c r="K952" s="456"/>
      <c r="L952" s="456"/>
      <c r="M952" s="456"/>
      <c r="N952" s="456"/>
      <c r="O952" s="456"/>
      <c r="R952" s="456">
        <f>(Z106+Z110)/(Z6+Z10)</f>
        <v>0.39548022598870058</v>
      </c>
      <c r="S952" s="1202">
        <f>(AB106+AB110)/(AB6+AB10)</f>
        <v>0.44</v>
      </c>
      <c r="T952" s="456">
        <f>(AD106+AD110)/(AD6+AD10)</f>
        <v>0.47474747474747475</v>
      </c>
      <c r="U952" s="456">
        <f>(AF106+AF110)/(AF6+AF10)</f>
        <v>0.50862068965517238</v>
      </c>
      <c r="V952" s="456">
        <f>(AH106+AH110)/(AH6+AH10)</f>
        <v>0.45624999999999999</v>
      </c>
      <c r="W952" s="456">
        <f>(AK106+AK110)/(AK6+AK10)</f>
        <v>0.45394736842105265</v>
      </c>
      <c r="X952" s="456">
        <f>(AL106+AL110)/(AL6+AL10)</f>
        <v>0.43165467625899279</v>
      </c>
      <c r="Y952" s="456">
        <f>(AM106+AM110)/(AM6+AM10)</f>
        <v>0.4375</v>
      </c>
      <c r="Z952" s="456">
        <f>(AN106+AN110)/(AN6+AN10)</f>
        <v>0.42384105960264901</v>
      </c>
      <c r="AA952" s="456">
        <f>(AP106+AP110)/(AP6+AP10)</f>
        <v>0.44078947368421051</v>
      </c>
      <c r="AB952" s="456">
        <f>(AQ106+AQ110)/(AQ6+AQ10)</f>
        <v>0.41772151898734178</v>
      </c>
      <c r="AC952" s="456">
        <f>(AR106+AR110)/(AR6+AR10)</f>
        <v>0.44936708860759494</v>
      </c>
      <c r="AD952" s="456">
        <f>(AS106+AS110)/(AS6+AS10)</f>
        <v>0.46666666666666667</v>
      </c>
    </row>
    <row r="953" spans="2:34">
      <c r="B953" s="463" t="s">
        <v>6505</v>
      </c>
      <c r="C953" s="456"/>
      <c r="D953" s="456"/>
      <c r="E953" s="456"/>
      <c r="F953" s="456"/>
      <c r="G953" s="456"/>
      <c r="H953" s="456"/>
      <c r="I953" s="456"/>
      <c r="J953" s="456"/>
      <c r="K953" s="456"/>
      <c r="L953" s="456"/>
      <c r="M953" s="456"/>
      <c r="N953" s="456"/>
      <c r="O953" s="456"/>
      <c r="P953" s="456"/>
      <c r="Q953" s="456"/>
      <c r="R953" s="456"/>
      <c r="S953" s="1202"/>
      <c r="U953" s="456">
        <f>AF112/AF48</f>
        <v>0.46296296296296297</v>
      </c>
      <c r="V953" s="456">
        <f>AH112/AH48</f>
        <v>0.47472976920829679</v>
      </c>
      <c r="W953" s="456">
        <f>AK206</f>
        <v>0.38541666666666669</v>
      </c>
      <c r="X953" s="456">
        <f>AL206</f>
        <v>0.37777777777777777</v>
      </c>
      <c r="Y953" s="456">
        <f>AM206</f>
        <v>0.36046511627906974</v>
      </c>
      <c r="Z953" s="456">
        <f>AN206</f>
        <v>0.32222222222222224</v>
      </c>
      <c r="AA953" s="456">
        <f>AP206</f>
        <v>0.39130434782608697</v>
      </c>
      <c r="AB953" s="456">
        <f>AQ206</f>
        <v>0.4</v>
      </c>
      <c r="AC953" s="456">
        <f>AR206</f>
        <v>0.37894736842105264</v>
      </c>
      <c r="AD953" s="456">
        <f>AS206</f>
        <v>0.39795918367346939</v>
      </c>
    </row>
    <row r="954" spans="2:34">
      <c r="B954" t="str">
        <f>'Earning snaps'!B118</f>
        <v>Bolivia</v>
      </c>
      <c r="C954" s="456">
        <f t="shared" ref="C954:F957" si="621">H191</f>
        <v>0.36971479004262736</v>
      </c>
      <c r="D954" s="456">
        <f t="shared" si="621"/>
        <v>0.36365472973834789</v>
      </c>
      <c r="E954" s="456">
        <f t="shared" si="621"/>
        <v>0.36715897268592812</v>
      </c>
      <c r="F954" s="456">
        <f t="shared" si="621"/>
        <v>0.38006161786322329</v>
      </c>
      <c r="G954" s="456">
        <f>M191</f>
        <v>0.39406907662205443</v>
      </c>
      <c r="H954" s="456">
        <f>N191</f>
        <v>0.37808300442419929</v>
      </c>
      <c r="I954" s="456">
        <f>O191</f>
        <v>0.38354327983465886</v>
      </c>
      <c r="J954" s="456">
        <f>P191</f>
        <v>0.42753623188405798</v>
      </c>
      <c r="K954" s="456">
        <f t="shared" ref="K954:N957" si="622">R191</f>
        <v>0.38805970149253732</v>
      </c>
      <c r="L954" s="456">
        <f t="shared" si="622"/>
        <v>0.38345864661654133</v>
      </c>
      <c r="M954" s="456">
        <f t="shared" si="622"/>
        <v>0.39007092198581561</v>
      </c>
      <c r="N954" s="456">
        <f t="shared" si="622"/>
        <v>0.39864864864864863</v>
      </c>
      <c r="O954" s="456">
        <f t="shared" ref="O954:R956" si="623">W191</f>
        <v>0.3783783783783784</v>
      </c>
      <c r="P954" s="456">
        <f t="shared" si="623"/>
        <v>0.38562091503267976</v>
      </c>
      <c r="Q954" s="456">
        <f t="shared" si="623"/>
        <v>0.38364779874213839</v>
      </c>
      <c r="R954" s="456">
        <f t="shared" si="623"/>
        <v>0.38750000000000001</v>
      </c>
      <c r="S954" s="1202">
        <f>AB191</f>
        <v>0.39873417721518989</v>
      </c>
      <c r="T954" s="456">
        <f>AD191</f>
        <v>0.39751552795031053</v>
      </c>
      <c r="U954" s="456">
        <f>AF191</f>
        <v>0.39751552795031053</v>
      </c>
      <c r="V954" s="456">
        <f>AH191</f>
        <v>0.41509433962264153</v>
      </c>
      <c r="W954" s="456">
        <f t="shared" ref="W954:Z956" si="624">AK191</f>
        <v>0.39240506329113922</v>
      </c>
      <c r="X954" s="456">
        <f t="shared" si="624"/>
        <v>0.30303030303030304</v>
      </c>
      <c r="Y954" s="456">
        <f t="shared" si="624"/>
        <v>0.39860139860139859</v>
      </c>
      <c r="Z954" s="456">
        <f t="shared" si="624"/>
        <v>0.45033112582781459</v>
      </c>
      <c r="AA954" s="456">
        <f t="shared" ref="AA954:AD956" si="625">AP191</f>
        <v>0.4</v>
      </c>
      <c r="AB954" s="456">
        <f t="shared" si="625"/>
        <v>0.38311688311688313</v>
      </c>
      <c r="AC954" s="456">
        <f t="shared" si="625"/>
        <v>0.3935483870967742</v>
      </c>
      <c r="AD954" s="456">
        <f t="shared" si="625"/>
        <v>0.41875000000000001</v>
      </c>
    </row>
    <row r="955" spans="2:34">
      <c r="B955" t="s">
        <v>3380</v>
      </c>
      <c r="C955" s="456">
        <f t="shared" si="621"/>
        <v>0.27741490768967847</v>
      </c>
      <c r="D955" s="456">
        <f t="shared" si="621"/>
        <v>0.27976736162758326</v>
      </c>
      <c r="E955" s="456">
        <f t="shared" si="621"/>
        <v>0.30920320198982082</v>
      </c>
      <c r="F955" s="456">
        <f t="shared" si="621"/>
        <v>0.23230803377317097</v>
      </c>
      <c r="G955" s="456">
        <f t="shared" ref="G955:I957" si="626">M192</f>
        <v>0.29457516059897765</v>
      </c>
      <c r="H955" s="456">
        <f t="shared" si="626"/>
        <v>0.28370891725950897</v>
      </c>
      <c r="I955" s="456">
        <f t="shared" si="626"/>
        <v>0.28499881905373492</v>
      </c>
      <c r="J955" s="595">
        <f>(P116+23)/P16</f>
        <v>0.26695842450765866</v>
      </c>
      <c r="K955" s="456">
        <f t="shared" si="622"/>
        <v>0.30232558139534882</v>
      </c>
      <c r="L955" s="456">
        <f t="shared" si="622"/>
        <v>0.26511627906976742</v>
      </c>
      <c r="M955" s="456">
        <f t="shared" si="622"/>
        <v>0.25</v>
      </c>
      <c r="N955" s="456">
        <f t="shared" si="622"/>
        <v>0.26174496644295303</v>
      </c>
      <c r="O955" s="456">
        <f t="shared" si="623"/>
        <v>0.29256594724220625</v>
      </c>
      <c r="P955" s="456">
        <f t="shared" si="623"/>
        <v>0.29398148148148145</v>
      </c>
      <c r="Q955" s="456">
        <f t="shared" si="623"/>
        <v>0.30382775119617222</v>
      </c>
      <c r="R955" s="456">
        <f t="shared" si="623"/>
        <v>0.29949238578680204</v>
      </c>
      <c r="S955" s="1202">
        <f>AB192</f>
        <v>0.34782608695652173</v>
      </c>
      <c r="T955" s="456">
        <f>AD192</f>
        <v>0.3306878306878307</v>
      </c>
      <c r="U955" s="456">
        <f>AF192</f>
        <v>0.32533333333333331</v>
      </c>
      <c r="V955" s="456">
        <f>AH192</f>
        <v>0.33505154639175255</v>
      </c>
      <c r="W955" s="456">
        <f t="shared" si="624"/>
        <v>0.3342696629213483</v>
      </c>
      <c r="X955" s="456">
        <f t="shared" si="624"/>
        <v>0.36544850498338871</v>
      </c>
      <c r="Y955" s="456">
        <f t="shared" si="624"/>
        <v>0.33433734939759036</v>
      </c>
      <c r="Z955" s="456">
        <f t="shared" si="624"/>
        <v>0.32865168539325845</v>
      </c>
      <c r="AA955" s="456">
        <f t="shared" si="625"/>
        <v>0.33893557422969189</v>
      </c>
      <c r="AB955" s="456">
        <f t="shared" si="625"/>
        <v>0.31034482758620691</v>
      </c>
      <c r="AC955" s="456">
        <f t="shared" si="625"/>
        <v>0.29799426934097423</v>
      </c>
      <c r="AD955" s="456">
        <f t="shared" si="625"/>
        <v>0.30083565459610029</v>
      </c>
    </row>
    <row r="956" spans="2:34">
      <c r="B956" s="455" t="str">
        <f>'Earning snaps'!B120</f>
        <v>Paraguay</v>
      </c>
      <c r="C956" s="561">
        <f t="shared" si="621"/>
        <v>0.45608606089246573</v>
      </c>
      <c r="D956" s="561">
        <f t="shared" si="621"/>
        <v>0.45077998439608358</v>
      </c>
      <c r="E956" s="561">
        <f t="shared" si="621"/>
        <v>0.46094020580060102</v>
      </c>
      <c r="F956" s="561">
        <f t="shared" si="621"/>
        <v>0.44549827540073955</v>
      </c>
      <c r="G956" s="561">
        <f t="shared" si="626"/>
        <v>0.4554249408763727</v>
      </c>
      <c r="H956" s="561">
        <f t="shared" si="626"/>
        <v>0.46646848075775826</v>
      </c>
      <c r="I956" s="561">
        <f t="shared" si="626"/>
        <v>0.47261012707455652</v>
      </c>
      <c r="J956" s="561">
        <f>P193</f>
        <v>0.4589041095890411</v>
      </c>
      <c r="K956" s="561">
        <f t="shared" si="622"/>
        <v>0.47169811320754718</v>
      </c>
      <c r="L956" s="561">
        <f t="shared" si="622"/>
        <v>0.46666666666666667</v>
      </c>
      <c r="M956" s="561">
        <f t="shared" si="622"/>
        <v>0.47023809523809523</v>
      </c>
      <c r="N956" s="561">
        <f t="shared" si="622"/>
        <v>0.47368421052631576</v>
      </c>
      <c r="O956" s="561">
        <f t="shared" si="623"/>
        <v>0.50289017341040465</v>
      </c>
      <c r="P956" s="561">
        <f t="shared" si="623"/>
        <v>0.48255813953488375</v>
      </c>
      <c r="Q956" s="561">
        <f t="shared" si="623"/>
        <v>0.49122807017543857</v>
      </c>
      <c r="R956" s="561">
        <f t="shared" si="623"/>
        <v>0.47239263803680981</v>
      </c>
      <c r="S956" s="1203">
        <f>AB193</f>
        <v>0.4935064935064935</v>
      </c>
      <c r="T956" s="561">
        <f>AD193</f>
        <v>0.44370860927152317</v>
      </c>
      <c r="U956" s="561">
        <f>AF193</f>
        <v>0.48</v>
      </c>
      <c r="V956" s="561">
        <f>AH193</f>
        <v>0.48</v>
      </c>
      <c r="W956" s="561">
        <f t="shared" si="624"/>
        <v>0.45070422535211269</v>
      </c>
      <c r="X956" s="561">
        <f t="shared" si="624"/>
        <v>0.46666666666666667</v>
      </c>
      <c r="Y956" s="561">
        <f t="shared" si="624"/>
        <v>0.46969696969696972</v>
      </c>
      <c r="Z956" s="561">
        <f t="shared" si="624"/>
        <v>0.46666666666666667</v>
      </c>
      <c r="AA956" s="561">
        <f t="shared" si="625"/>
        <v>0.43795620437956206</v>
      </c>
      <c r="AB956" s="561">
        <f t="shared" si="625"/>
        <v>0.43795620437956206</v>
      </c>
      <c r="AC956" s="561">
        <f t="shared" si="625"/>
        <v>0.45323741007194246</v>
      </c>
      <c r="AD956" s="561">
        <f t="shared" si="625"/>
        <v>0.41843971631205673</v>
      </c>
    </row>
    <row r="957" spans="2:34">
      <c r="B957" s="450" t="str">
        <f>'Earning snaps'!B121</f>
        <v>Group (ex Honduras)</v>
      </c>
      <c r="C957" s="677">
        <f t="shared" si="621"/>
        <v>0</v>
      </c>
      <c r="D957" s="677">
        <f t="shared" si="621"/>
        <v>0</v>
      </c>
      <c r="E957" s="677">
        <f t="shared" si="621"/>
        <v>0</v>
      </c>
      <c r="F957" s="677">
        <f t="shared" si="621"/>
        <v>0</v>
      </c>
      <c r="G957" s="677">
        <f t="shared" si="626"/>
        <v>0</v>
      </c>
      <c r="H957" s="677">
        <f t="shared" si="626"/>
        <v>0</v>
      </c>
      <c r="I957" s="677">
        <f t="shared" si="626"/>
        <v>0</v>
      </c>
      <c r="J957" s="677">
        <f>P194</f>
        <v>0</v>
      </c>
      <c r="K957" s="677">
        <f t="shared" si="622"/>
        <v>0</v>
      </c>
      <c r="L957" s="677">
        <f t="shared" si="622"/>
        <v>0</v>
      </c>
      <c r="M957" s="677">
        <f t="shared" si="622"/>
        <v>0</v>
      </c>
      <c r="N957" s="677">
        <f t="shared" si="622"/>
        <v>0</v>
      </c>
      <c r="O957" s="677">
        <f>W152</f>
        <v>0.38285291943828531</v>
      </c>
      <c r="P957" s="677">
        <f>X152</f>
        <v>0.37283236994219654</v>
      </c>
      <c r="Q957" s="677">
        <f>Y152</f>
        <v>0.38304093567251463</v>
      </c>
      <c r="R957" s="677">
        <f>Z152</f>
        <v>0.37219406227371471</v>
      </c>
      <c r="S957" s="1204">
        <f>AB152</f>
        <v>0.41164095371669002</v>
      </c>
      <c r="T957" s="677">
        <f>AD152</f>
        <v>0.39493497604380562</v>
      </c>
      <c r="U957" s="677">
        <f>AF152</f>
        <v>0.4140468227424749</v>
      </c>
      <c r="V957" s="677">
        <f>AH152</f>
        <v>0.40329740012682308</v>
      </c>
      <c r="W957" s="677">
        <f>AK152</f>
        <v>0.40264900662251657</v>
      </c>
      <c r="X957" s="677">
        <f>AL152</f>
        <v>0.39824304538799415</v>
      </c>
      <c r="Y957" s="677">
        <f>AM152</f>
        <v>0.40068965517241378</v>
      </c>
      <c r="Z957" s="677">
        <f>AN152</f>
        <v>0.40714285714285714</v>
      </c>
      <c r="AA957" s="677">
        <f>AP152</f>
        <v>0.41563517915309445</v>
      </c>
      <c r="AB957" s="677">
        <f>AQ152</f>
        <v>0.40258064516129033</v>
      </c>
      <c r="AC957" s="677">
        <f>AR152</f>
        <v>0.40051513200257566</v>
      </c>
      <c r="AD957" s="677">
        <f>AS152</f>
        <v>0.38514357053682896</v>
      </c>
    </row>
    <row r="958" spans="2:34">
      <c r="C958" s="456"/>
      <c r="D958" s="456"/>
      <c r="E958" s="456"/>
      <c r="F958" s="456"/>
      <c r="G958" s="456"/>
      <c r="H958" s="456"/>
      <c r="I958" s="456"/>
      <c r="J958" s="456"/>
      <c r="K958" s="456"/>
      <c r="L958" s="456"/>
      <c r="M958" s="456"/>
      <c r="N958" s="456"/>
      <c r="O958" s="456"/>
      <c r="P958" s="456"/>
      <c r="Q958" s="456"/>
      <c r="R958" s="456"/>
      <c r="S958" s="456"/>
      <c r="T958" s="456"/>
      <c r="U958" s="456"/>
      <c r="V958" s="456"/>
    </row>
    <row r="959" spans="2:34">
      <c r="B959" s="450" t="s">
        <v>7440</v>
      </c>
      <c r="C959" s="456"/>
      <c r="D959" s="456"/>
      <c r="E959" s="456"/>
      <c r="F959" s="456"/>
      <c r="G959" s="456"/>
      <c r="H959" s="456"/>
      <c r="I959" s="456"/>
      <c r="J959" s="456"/>
      <c r="K959" s="456"/>
      <c r="L959" s="456"/>
      <c r="M959" s="456"/>
      <c r="N959" s="456"/>
      <c r="O959" s="456"/>
      <c r="P959" s="456"/>
      <c r="Q959" s="456"/>
      <c r="R959" s="456"/>
      <c r="S959" s="456"/>
      <c r="T959" s="456"/>
      <c r="U959" s="456"/>
      <c r="V959" s="456"/>
    </row>
    <row r="960" spans="2:34" ht="15.75" thickBot="1">
      <c r="B960" s="463" t="s">
        <v>7438</v>
      </c>
      <c r="W960" s="468">
        <f>AK113+AK119</f>
        <v>644</v>
      </c>
      <c r="X960" s="468">
        <f>AL113+AL119</f>
        <v>571</v>
      </c>
      <c r="Y960" s="468">
        <f>AM113+AM119</f>
        <v>608</v>
      </c>
      <c r="Z960" s="468">
        <f>AN113+AN119</f>
        <v>660</v>
      </c>
      <c r="AA960" s="468">
        <f>AP113+AP119</f>
        <v>667</v>
      </c>
      <c r="AB960" s="468">
        <f>AQ113+AQ119</f>
        <v>654</v>
      </c>
      <c r="AC960" s="468">
        <f>AR113+AR119</f>
        <v>652</v>
      </c>
      <c r="AD960" s="468">
        <f>AS113+AS119</f>
        <v>667</v>
      </c>
    </row>
    <row r="961" spans="2:30" ht="15.75" thickBot="1">
      <c r="B961" s="1223" t="s">
        <v>7439</v>
      </c>
      <c r="C961" s="1104"/>
      <c r="D961" s="1104"/>
      <c r="E961" s="1104"/>
      <c r="F961" s="1104"/>
      <c r="G961" s="1104"/>
      <c r="H961" s="1104"/>
      <c r="I961" s="1104"/>
      <c r="J961" s="1104"/>
      <c r="K961" s="1104"/>
      <c r="L961" s="1104"/>
      <c r="M961" s="1104"/>
      <c r="N961" s="1104"/>
      <c r="O961" s="1104"/>
      <c r="P961" s="1104"/>
      <c r="Q961" s="1104"/>
      <c r="R961" s="1104"/>
      <c r="S961" s="1104"/>
      <c r="T961" s="1104"/>
      <c r="U961" s="1104"/>
      <c r="V961" s="1104"/>
      <c r="W961" s="1259">
        <f>AK132</f>
        <v>-36</v>
      </c>
      <c r="X961" s="1259">
        <f>AL132</f>
        <v>-27</v>
      </c>
      <c r="Y961" s="1259">
        <f>AM132</f>
        <v>-27</v>
      </c>
      <c r="Z961" s="1259">
        <f>AN132</f>
        <v>-33</v>
      </c>
      <c r="AA961" s="1259">
        <f>AP132</f>
        <v>-29</v>
      </c>
      <c r="AB961" s="1259">
        <f>AQ132</f>
        <v>-30</v>
      </c>
      <c r="AC961" s="1259">
        <f>AR132</f>
        <v>-30</v>
      </c>
      <c r="AD961" s="1260">
        <f>AS132</f>
        <v>-50</v>
      </c>
    </row>
    <row r="962" spans="2:30">
      <c r="B962" s="463" t="s">
        <v>5497</v>
      </c>
      <c r="W962" s="468">
        <f>AK151</f>
        <v>608</v>
      </c>
      <c r="X962" s="468">
        <f>AL151</f>
        <v>544</v>
      </c>
      <c r="Y962" s="468">
        <f>AM151</f>
        <v>581</v>
      </c>
      <c r="Z962" s="468">
        <f>AN151</f>
        <v>627</v>
      </c>
      <c r="AA962" s="468">
        <f>AP151</f>
        <v>638</v>
      </c>
      <c r="AB962" s="468">
        <f>AQ151</f>
        <v>624</v>
      </c>
      <c r="AC962" s="468">
        <f>AR151</f>
        <v>622</v>
      </c>
      <c r="AD962" s="468">
        <f>AS151</f>
        <v>617</v>
      </c>
    </row>
  </sheetData>
  <phoneticPr fontId="17" type="noConversion"/>
  <pageMargins left="0.70866141732283472" right="0.70866141732283472" top="0.74803149606299213" bottom="0.74803149606299213" header="0.31496062992125984" footer="0.31496062992125984"/>
  <pageSetup paperSize="9" scale="22" fitToHeight="8" orientation="portrait" r:id="rId1"/>
  <ignoredErrors>
    <ignoredError sqref="AO138:BD138 BO138:BQ138 AO134:BG134 BO132 AO137:BG137 BP137:BQ137 AO135:AY135 BO133:BQ136 BQ132 BA135:BH135 AO136:BH136 BH138 AO132:BH133"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35"/>
  <sheetViews>
    <sheetView zoomScale="72" zoomScaleNormal="72" workbookViewId="0">
      <selection activeCell="AF2" sqref="AF2"/>
    </sheetView>
  </sheetViews>
  <sheetFormatPr defaultRowHeight="15" outlineLevelCol="1"/>
  <cols>
    <col min="1" max="1" width="15.140625" customWidth="1"/>
    <col min="2" max="2" width="41" customWidth="1"/>
    <col min="3" max="6" width="9.140625" hidden="1" customWidth="1" outlineLevel="1"/>
    <col min="7" max="7" width="10" collapsed="1"/>
    <col min="8" max="11" width="10.28515625" hidden="1" customWidth="1" outlineLevel="1"/>
    <col min="12" max="12" width="9.140625" collapsed="1"/>
    <col min="13" max="16" width="10.28515625" hidden="1" customWidth="1" outlineLevel="1"/>
    <col min="17" max="17" width="9.140625" collapsed="1"/>
    <col min="18" max="21" width="0" hidden="1" customWidth="1" outlineLevel="1"/>
    <col min="22" max="22" width="9.140625" collapsed="1"/>
    <col min="23" max="26" width="9.140625" customWidth="1"/>
    <col min="43" max="43" width="13.28515625" customWidth="1"/>
  </cols>
  <sheetData>
    <row r="1" spans="1:52" ht="15.75">
      <c r="A1" s="1504"/>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4"/>
      <c r="AM1" s="1504"/>
      <c r="AN1" s="1504"/>
      <c r="AO1" s="1504"/>
    </row>
    <row r="2" spans="1:52" ht="15.75">
      <c r="A2" s="1504"/>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4"/>
      <c r="AM2" s="1504"/>
      <c r="AN2" s="1504"/>
      <c r="AO2" s="1504"/>
    </row>
    <row r="3" spans="1:52" ht="26.25" customHeight="1">
      <c r="A3" s="1505" t="s">
        <v>7818</v>
      </c>
      <c r="B3" s="1505"/>
      <c r="C3" s="1506" t="s">
        <v>7045</v>
      </c>
      <c r="D3" s="1506" t="s">
        <v>7046</v>
      </c>
      <c r="E3" s="1506" t="s">
        <v>7047</v>
      </c>
      <c r="F3" s="1506" t="s">
        <v>7048</v>
      </c>
      <c r="G3" s="1507" t="s">
        <v>6278</v>
      </c>
      <c r="H3" s="1507" t="s">
        <v>7410</v>
      </c>
      <c r="I3" s="1507" t="s">
        <v>7293</v>
      </c>
      <c r="J3" s="1507" t="s">
        <v>7411</v>
      </c>
      <c r="K3" s="1507" t="s">
        <v>7412</v>
      </c>
      <c r="L3" s="1507" t="s">
        <v>6279</v>
      </c>
      <c r="M3" s="1507" t="s">
        <v>7993</v>
      </c>
      <c r="N3" s="1507" t="s">
        <v>8245</v>
      </c>
      <c r="O3" s="1507" t="s">
        <v>8510</v>
      </c>
      <c r="P3" s="1507" t="s">
        <v>8529</v>
      </c>
      <c r="Q3" s="1507" t="s">
        <v>7817</v>
      </c>
      <c r="R3" s="1507" t="s">
        <v>8649</v>
      </c>
      <c r="S3" s="1507" t="s">
        <v>8887</v>
      </c>
      <c r="T3" s="1507" t="s">
        <v>9020</v>
      </c>
      <c r="U3" s="1507" t="s">
        <v>9124</v>
      </c>
      <c r="V3" s="1507" t="s">
        <v>7937</v>
      </c>
      <c r="W3" s="1507" t="s">
        <v>9176</v>
      </c>
      <c r="X3" s="1507" t="s">
        <v>9177</v>
      </c>
      <c r="Y3" s="1507" t="s">
        <v>9178</v>
      </c>
      <c r="Z3" s="1507" t="s">
        <v>9179</v>
      </c>
      <c r="AA3" s="1507" t="s">
        <v>7938</v>
      </c>
      <c r="AB3" s="1507" t="s">
        <v>8728</v>
      </c>
      <c r="AC3" s="1507" t="s">
        <v>9187</v>
      </c>
      <c r="AD3" s="2545"/>
      <c r="AE3" s="1504"/>
      <c r="AF3" s="1504"/>
      <c r="AG3" s="1504"/>
      <c r="AH3" s="1504"/>
      <c r="AI3" s="1504"/>
      <c r="AJ3" s="1504"/>
      <c r="AK3" s="1504"/>
      <c r="AL3" s="1504"/>
      <c r="AM3" s="1504"/>
      <c r="AN3" s="1504"/>
      <c r="AO3" s="1504"/>
    </row>
    <row r="4" spans="1:52" ht="15.75">
      <c r="A4" s="2573" t="s">
        <v>7819</v>
      </c>
      <c r="B4" s="1504" t="s">
        <v>758</v>
      </c>
      <c r="C4" s="1273">
        <f>'New (new) quarts'!AP34</f>
        <v>1618</v>
      </c>
      <c r="D4" s="1273">
        <v>1632.82470243793</v>
      </c>
      <c r="E4" s="1273">
        <v>1633.7755975148998</v>
      </c>
      <c r="F4" s="1273">
        <f>'New (new) quarts'!AS34</f>
        <v>1687</v>
      </c>
      <c r="G4" s="2538">
        <f>'New split'!K35</f>
        <v>6572</v>
      </c>
      <c r="H4" s="1273">
        <f>'New (new) quarts'!AU34</f>
        <v>1408</v>
      </c>
      <c r="I4" s="1273">
        <f>'New (new) quarts'!AV34</f>
        <v>1447.26</v>
      </c>
      <c r="J4" s="1273">
        <f>'New (new) quarts'!AW34</f>
        <v>1388</v>
      </c>
      <c r="K4" s="1273">
        <f>'New (new) quarts'!AX34</f>
        <v>1381.27</v>
      </c>
      <c r="L4" s="2538">
        <f>'New split'!L35</f>
        <v>5624.5300000000007</v>
      </c>
      <c r="M4" s="1273">
        <f>'New (new) quarts'!AZ34</f>
        <v>1369</v>
      </c>
      <c r="N4" s="1273">
        <f>'New (new) quarts'!BA34</f>
        <v>1393</v>
      </c>
      <c r="O4" s="1273">
        <f>'New (new) quarts'!BB34</f>
        <v>1424</v>
      </c>
      <c r="P4" s="1273">
        <f>'New (new) quarts'!BC34</f>
        <v>1475</v>
      </c>
      <c r="Q4" s="2538">
        <f>'New split'!M35</f>
        <v>5661</v>
      </c>
      <c r="R4" s="1273">
        <f>'New (new) quarts'!BE34</f>
        <v>1487</v>
      </c>
      <c r="S4" s="1273">
        <f>'New (new) quarts'!BF34</f>
        <v>1458</v>
      </c>
      <c r="T4" s="1273">
        <f>'New (new) quarts'!BG34</f>
        <v>1431</v>
      </c>
      <c r="U4" s="1273">
        <f>'New (new) quarts'!BH34</f>
        <v>1428.2592</v>
      </c>
      <c r="V4" s="2538">
        <f>'New split'!N35</f>
        <v>5804.2592000000004</v>
      </c>
      <c r="W4" s="1273">
        <f>'New (new) quarts'!BJ34</f>
        <v>1355.7484013629889</v>
      </c>
      <c r="X4" s="1273">
        <f>'New (new) quarts'!BK34</f>
        <v>1373.1609408742333</v>
      </c>
      <c r="Y4" s="1273">
        <f>'New (new) quarts'!BL34</f>
        <v>1378.794674174997</v>
      </c>
      <c r="Z4" s="1273">
        <f>'New (new) quarts'!BM34</f>
        <v>1416.2506749713193</v>
      </c>
      <c r="AA4" s="1338">
        <f>'New split'!O35</f>
        <v>5523.9546913835384</v>
      </c>
      <c r="AB4" s="1338">
        <f>'New split'!P35</f>
        <v>5603.0529567956419</v>
      </c>
      <c r="AC4" s="1338">
        <f>'New split'!Q35</f>
        <v>5697.2603768103054</v>
      </c>
      <c r="AD4" s="2538"/>
      <c r="AE4" s="1515">
        <f>SUM(M4:P4)</f>
        <v>5661</v>
      </c>
      <c r="AF4" s="1515">
        <f>Q4</f>
        <v>5661</v>
      </c>
      <c r="AG4" s="1515">
        <f>AE4-AF4</f>
        <v>0</v>
      </c>
      <c r="AH4" s="1504"/>
      <c r="AI4" s="1504"/>
      <c r="AJ4" s="1504"/>
      <c r="AK4" s="1504"/>
      <c r="AL4" s="1504"/>
      <c r="AM4" s="1504"/>
      <c r="AN4" s="1504"/>
      <c r="AO4" s="1504"/>
      <c r="AX4">
        <v>1408</v>
      </c>
      <c r="AY4" s="456">
        <f>K4/AX4-1</f>
        <v>-1.8984375000000053E-2</v>
      </c>
    </row>
    <row r="5" spans="1:52" ht="15.75">
      <c r="A5" s="2573"/>
      <c r="B5" s="1504" t="s">
        <v>2218</v>
      </c>
      <c r="C5" s="1273">
        <f>'New (new) quarts'!AP71</f>
        <v>1501</v>
      </c>
      <c r="D5" s="1273">
        <v>1506.4340257908002</v>
      </c>
      <c r="E5" s="1273">
        <v>1513.02860597722</v>
      </c>
      <c r="F5" s="1273">
        <f>'New (new) quarts'!AS71</f>
        <v>1549</v>
      </c>
      <c r="G5" s="2538">
        <f>'New split'!K77</f>
        <v>6069</v>
      </c>
      <c r="H5" s="1273">
        <f>'New (new) quarts'!AU71</f>
        <v>1299.6590000000001</v>
      </c>
      <c r="I5" s="1273">
        <f>'New (new) quarts'!AV71</f>
        <v>1315.3409999999999</v>
      </c>
      <c r="J5" s="1273">
        <f>'New (new) quarts'!AW71</f>
        <v>1279.527</v>
      </c>
      <c r="K5" s="1273">
        <f>'New (new) quarts'!AX71</f>
        <v>1276.221</v>
      </c>
      <c r="L5" s="2538">
        <f>'New split'!L77</f>
        <v>5170.7480000000014</v>
      </c>
      <c r="M5" s="1273">
        <f>'New (new) quarts'!AZ71</f>
        <v>1264</v>
      </c>
      <c r="N5" s="1273">
        <f>'New (new) quarts'!BA71</f>
        <v>1291</v>
      </c>
      <c r="O5" s="1273">
        <f>'New (new) quarts'!BB71</f>
        <v>1320</v>
      </c>
      <c r="P5" s="1273">
        <f>'New (new) quarts'!BC71</f>
        <v>1375</v>
      </c>
      <c r="Q5" s="2538">
        <f>'New split'!M77</f>
        <v>5250</v>
      </c>
      <c r="R5" s="1273">
        <f>'New (new) quarts'!BE71</f>
        <v>1376</v>
      </c>
      <c r="S5" s="1273">
        <f>'New (new) quarts'!BF71</f>
        <v>1362</v>
      </c>
      <c r="T5" s="1273">
        <f>'New (new) quarts'!BG71</f>
        <v>1344</v>
      </c>
      <c r="U5" s="1273">
        <f>'New (new) quarts'!BH71</f>
        <v>1335.2755</v>
      </c>
      <c r="V5" s="2538">
        <f>'New split'!N77</f>
        <v>5417.2755000000006</v>
      </c>
      <c r="W5" s="1273">
        <f>'New (new) quarts'!BJ71</f>
        <v>1260.0146650059651</v>
      </c>
      <c r="X5" s="1273">
        <f>'New (new) quarts'!BK71</f>
        <v>1277.4272045172095</v>
      </c>
      <c r="Y5" s="1273">
        <f>'New (new) quarts'!BL71</f>
        <v>1283.0609378179729</v>
      </c>
      <c r="Z5" s="1273">
        <f>'New (new) quarts'!BM71</f>
        <v>1320.5169386142961</v>
      </c>
      <c r="AA5" s="1338">
        <f>'New split'!O77</f>
        <v>5141.0197459554429</v>
      </c>
      <c r="AB5" s="1338">
        <f>'New split'!P77</f>
        <v>5215.8837563747802</v>
      </c>
      <c r="AC5" s="1338">
        <f>'New split'!Q77</f>
        <v>5305.793659863858</v>
      </c>
      <c r="AD5" s="2538"/>
      <c r="AE5" s="1515">
        <f>SUM(M5:P5)</f>
        <v>5250</v>
      </c>
      <c r="AF5" s="1515">
        <f>Q5</f>
        <v>5250</v>
      </c>
      <c r="AG5" s="1515">
        <f>AE5-AF5</f>
        <v>0</v>
      </c>
      <c r="AH5" s="1504"/>
      <c r="AI5" s="1504">
        <v>1316</v>
      </c>
      <c r="AJ5" s="1517">
        <f>O5/AI5-1</f>
        <v>3.0395136778116338E-3</v>
      </c>
      <c r="AK5" s="1504"/>
      <c r="AL5" s="1504"/>
      <c r="AM5" s="1504"/>
      <c r="AN5" s="1504"/>
      <c r="AO5" s="1504"/>
      <c r="AX5">
        <v>1276</v>
      </c>
      <c r="AY5" s="456">
        <f>K5/AX5-1</f>
        <v>1.7319749216304636E-4</v>
      </c>
    </row>
    <row r="6" spans="1:52" ht="15.75">
      <c r="A6" s="2573"/>
      <c r="B6" s="1504" t="s">
        <v>8244</v>
      </c>
      <c r="C6" s="1273">
        <f>'New (new) quarts'!AP140</f>
        <v>669</v>
      </c>
      <c r="D6" s="1273">
        <v>650.77871515868503</v>
      </c>
      <c r="E6" s="1273">
        <v>650.38610672851803</v>
      </c>
      <c r="F6" s="1273">
        <f>'New (new) quarts'!AS140</f>
        <v>667</v>
      </c>
      <c r="G6" s="2538">
        <f>Master!X14</f>
        <v>2613</v>
      </c>
      <c r="H6" s="1273">
        <f>'New (new) quarts'!AU140</f>
        <v>563.90809999999999</v>
      </c>
      <c r="I6" s="1273">
        <f>'New (new) quarts'!AV140</f>
        <v>577.10850000000005</v>
      </c>
      <c r="J6" s="1273">
        <f>'New (new) quarts'!AW140</f>
        <v>539.1377</v>
      </c>
      <c r="K6" s="1273">
        <f>'New (new) quarts'!AX140</f>
        <v>547.98069999999996</v>
      </c>
      <c r="L6" s="2538">
        <f>Master!Y14</f>
        <v>2228.1349999999998</v>
      </c>
      <c r="M6" s="1273">
        <f>'New (new) quarts'!AZ140</f>
        <v>522.2749</v>
      </c>
      <c r="N6" s="1273">
        <f>'New (new) quarts'!BA140</f>
        <v>528.92719999999997</v>
      </c>
      <c r="O6" s="1273">
        <f>'New (new) quarts'!BB140</f>
        <v>565.58169999999996</v>
      </c>
      <c r="P6" s="1273">
        <f>'New (new) quarts'!BC140</f>
        <v>598.50170000000003</v>
      </c>
      <c r="Q6" s="2538">
        <f>Master!Z12</f>
        <v>2215.2855</v>
      </c>
      <c r="R6" s="1273">
        <f>'New (new) quarts'!BE137</f>
        <v>631.80830000000003</v>
      </c>
      <c r="S6" s="1273">
        <f>'New (new) quarts'!BF137</f>
        <v>633.90470000000005</v>
      </c>
      <c r="T6" s="1273">
        <f>'New (new) quarts'!BG137</f>
        <v>585.03099999999995</v>
      </c>
      <c r="U6" s="1273">
        <f>'New (new) quarts'!BH137</f>
        <v>617.90179999999998</v>
      </c>
      <c r="V6" s="2538">
        <f ca="1">Master!AA14</f>
        <v>2468.6458000000002</v>
      </c>
      <c r="W6" s="1273">
        <f>'New (new) quarts'!BJ137</f>
        <v>587.5</v>
      </c>
      <c r="X6" s="1273">
        <f>'New (new) quarts'!BK137</f>
        <v>602.5</v>
      </c>
      <c r="Y6" s="1273">
        <f>'New (new) quarts'!BL137</f>
        <v>602.5</v>
      </c>
      <c r="Z6" s="1273">
        <f>'New (new) quarts'!BM137</f>
        <v>589.185419914671</v>
      </c>
      <c r="AA6" s="1338">
        <f>'New split'!O305</f>
        <v>2381.685419914671</v>
      </c>
      <c r="AB6" s="1338">
        <f>Master!AC14</f>
        <v>2396.1990022089599</v>
      </c>
      <c r="AC6" s="1338">
        <f>Master!AD14</f>
        <v>2461.0081072440548</v>
      </c>
      <c r="AD6" s="2538"/>
      <c r="AE6" s="1515">
        <f>SUM(M6:P6)</f>
        <v>2215.2855</v>
      </c>
      <c r="AF6" s="1515">
        <f>Q6</f>
        <v>2215.2855</v>
      </c>
      <c r="AG6" s="1515">
        <f>AE6-AF6</f>
        <v>0</v>
      </c>
      <c r="AH6" s="1504"/>
      <c r="AI6" s="1504">
        <v>535</v>
      </c>
      <c r="AJ6" s="1517">
        <f>O6/AI6-1</f>
        <v>5.7162056074766321E-2</v>
      </c>
      <c r="AK6" s="1504"/>
      <c r="AL6" s="1504"/>
      <c r="AM6" s="1504"/>
      <c r="AN6" s="1504"/>
      <c r="AO6" s="1504"/>
      <c r="AX6">
        <v>555</v>
      </c>
      <c r="AY6" s="456">
        <f>K6/AX6-1</f>
        <v>-1.2647387387387465E-2</v>
      </c>
      <c r="AZ6" t="s">
        <v>7862</v>
      </c>
    </row>
    <row r="7" spans="1:52" ht="15.75">
      <c r="A7" s="2573"/>
      <c r="B7" s="2548" t="s">
        <v>5045</v>
      </c>
      <c r="C7" s="1314">
        <f>C6/C4</f>
        <v>0.41347342398022252</v>
      </c>
      <c r="D7" s="1314">
        <v>0.39856006231840041</v>
      </c>
      <c r="E7" s="1314">
        <v>0.39808778373101306</v>
      </c>
      <c r="F7" s="1314">
        <f>F6/F4</f>
        <v>0.39537640782454059</v>
      </c>
      <c r="G7" s="2539">
        <f>G6/G5</f>
        <v>0.430548690064261</v>
      </c>
      <c r="H7" s="1314">
        <f>H6/H4</f>
        <v>0.4005029119318182</v>
      </c>
      <c r="I7" s="1314">
        <f>I6/I4</f>
        <v>0.39875937979354092</v>
      </c>
      <c r="J7" s="1314">
        <f>J6/J4</f>
        <v>0.38842773775216138</v>
      </c>
      <c r="K7" s="1314">
        <f>K6/K4</f>
        <v>0.39672236420106133</v>
      </c>
      <c r="L7" s="2539">
        <f>L6/L5</f>
        <v>0.43091154316551478</v>
      </c>
      <c r="M7" s="1314">
        <f>M6/M4</f>
        <v>0.38150102264426589</v>
      </c>
      <c r="N7" s="1314">
        <f>N6/N4</f>
        <v>0.37970366116295762</v>
      </c>
      <c r="O7" s="1314">
        <f>O6/O4</f>
        <v>0.39717816011235951</v>
      </c>
      <c r="P7" s="1314">
        <f>P6/P4</f>
        <v>0.4057638644067797</v>
      </c>
      <c r="Q7" s="2539">
        <f>Q6/Q5</f>
        <v>0.42195914285714287</v>
      </c>
      <c r="R7" s="1314">
        <f>R6/R4</f>
        <v>0.42488789509078684</v>
      </c>
      <c r="S7" s="1314">
        <f>S6/S4</f>
        <v>0.43477688614540472</v>
      </c>
      <c r="T7" s="1314">
        <f>T6/T4</f>
        <v>0.40882669461914739</v>
      </c>
      <c r="U7" s="1314">
        <f>U6/U4</f>
        <v>0.43262581469806038</v>
      </c>
      <c r="V7" s="2539">
        <f ca="1">V6/V5</f>
        <v>0.45569877330403447</v>
      </c>
      <c r="W7" s="1314">
        <f>W6/W4</f>
        <v>0.43333999096688025</v>
      </c>
      <c r="X7" s="1314">
        <f>X6/X4</f>
        <v>0.43876867020147964</v>
      </c>
      <c r="Y7" s="1314">
        <f>Y6/Y4</f>
        <v>0.43697586833261187</v>
      </c>
      <c r="Z7" s="1314">
        <f>Z6/Z4</f>
        <v>0.41601775047810846</v>
      </c>
      <c r="AA7" s="1339">
        <f>AA6/AA5</f>
        <v>0.46327101190155845</v>
      </c>
      <c r="AB7" s="1339">
        <f>AB6/AB5</f>
        <v>0.45940421875398563</v>
      </c>
      <c r="AC7" s="1339">
        <f>AC6/AC5</f>
        <v>0.46383411512222322</v>
      </c>
      <c r="AD7" s="2539"/>
      <c r="AE7" s="1504"/>
      <c r="AF7" s="1504"/>
      <c r="AG7" s="1504"/>
      <c r="AH7" s="1504"/>
      <c r="AI7" s="1504"/>
      <c r="AJ7" s="1504"/>
      <c r="AK7" s="1504"/>
      <c r="AL7" s="1504"/>
      <c r="AM7" s="1504"/>
      <c r="AN7" s="1504"/>
      <c r="AO7" s="1504"/>
      <c r="AX7">
        <f>AX6/AX4</f>
        <v>0.39417613636363635</v>
      </c>
    </row>
    <row r="8" spans="1:52" ht="15.75">
      <c r="A8" s="2573"/>
      <c r="B8" s="1504"/>
      <c r="C8" s="1273"/>
      <c r="D8" s="1273"/>
      <c r="E8" s="1273"/>
      <c r="F8" s="1273"/>
      <c r="G8" s="2539"/>
      <c r="H8" s="1273"/>
      <c r="I8" s="1273"/>
      <c r="J8" s="1273"/>
      <c r="K8" s="1273"/>
      <c r="L8" s="2539"/>
      <c r="M8" s="1273"/>
      <c r="N8" s="1273"/>
      <c r="O8" s="1273"/>
      <c r="P8" s="1273"/>
      <c r="Q8" s="2539"/>
      <c r="R8" s="1273"/>
      <c r="S8" s="1273"/>
      <c r="T8" s="1273"/>
      <c r="U8" s="1273"/>
      <c r="V8" s="2539"/>
      <c r="W8" s="1273"/>
      <c r="X8" s="1273"/>
      <c r="Y8" s="1273"/>
      <c r="Z8" s="1273"/>
      <c r="AA8" s="1339"/>
      <c r="AB8" s="1339"/>
      <c r="AC8" s="1339"/>
      <c r="AD8" s="2539"/>
      <c r="AE8" s="1504"/>
      <c r="AF8" s="1504"/>
      <c r="AG8" s="1504"/>
      <c r="AH8" s="1504"/>
      <c r="AI8" s="1504"/>
      <c r="AJ8" s="1504"/>
      <c r="AK8" s="1504"/>
      <c r="AL8" s="1504"/>
      <c r="AM8" s="1504"/>
      <c r="AN8" s="1504"/>
      <c r="AO8" s="1504"/>
    </row>
    <row r="9" spans="1:52" ht="15.75">
      <c r="A9" s="2573"/>
      <c r="B9" s="1504" t="s">
        <v>552</v>
      </c>
      <c r="C9" s="1273">
        <f>'New (new) quarts'!AP441-C10</f>
        <v>-302</v>
      </c>
      <c r="D9" s="1273">
        <v>-289.27534739031205</v>
      </c>
      <c r="E9" s="1273">
        <v>-290.65039094029629</v>
      </c>
      <c r="F9" s="1273">
        <f>'New (new) quarts'!AS441-F10</f>
        <v>-304</v>
      </c>
      <c r="G9" s="2540">
        <f>Master!X25</f>
        <v>-1164</v>
      </c>
      <c r="H9" s="1273">
        <f>'New (new) quarts'!AU441-H10</f>
        <v>-256</v>
      </c>
      <c r="I9" s="1273">
        <f>'New (new) quarts'!AV441-I10</f>
        <v>-252</v>
      </c>
      <c r="J9" s="1273">
        <f>'New (new) quarts'!AW441-J10</f>
        <v>-252</v>
      </c>
      <c r="K9" s="1273">
        <f>'New (new) quarts'!AX441-K10</f>
        <v>-232.26</v>
      </c>
      <c r="L9" s="2540">
        <f>SUM(H9:K9)</f>
        <v>-992.26</v>
      </c>
      <c r="M9" s="1273">
        <f>'New (new) quarts'!AZ441-M10</f>
        <v>-241</v>
      </c>
      <c r="N9" s="1273">
        <f>'New (new) quarts'!BA441-N10</f>
        <v>-238</v>
      </c>
      <c r="O9" s="1273">
        <f>'New (new) quarts'!BB441-O10</f>
        <v>-247</v>
      </c>
      <c r="P9" s="1273">
        <f>'New (new) quarts'!BC441-P10</f>
        <v>-252</v>
      </c>
      <c r="Q9" s="2540">
        <f>SUM(M9:P9)</f>
        <v>-978</v>
      </c>
      <c r="R9" s="1273">
        <f>'New (new) quarts'!BE441-R10</f>
        <v>-247</v>
      </c>
      <c r="S9" s="1273">
        <f>'New (new) quarts'!BF441-S10</f>
        <v>-215</v>
      </c>
      <c r="T9" s="1273">
        <f>'New (new) quarts'!BG441-T10</f>
        <v>-210</v>
      </c>
      <c r="U9" s="1273">
        <f>V9-R9-S9-T9</f>
        <v>-244</v>
      </c>
      <c r="V9" s="2540">
        <f>Master!AA25</f>
        <v>-916</v>
      </c>
      <c r="W9" s="1273">
        <f>'New (new) quarts'!BJ443</f>
        <v>-230</v>
      </c>
      <c r="X9" s="1273">
        <f>'New (new) quarts'!BK443</f>
        <v>-225</v>
      </c>
      <c r="Y9" s="1273">
        <f>'New (new) quarts'!BL443</f>
        <v>-230</v>
      </c>
      <c r="Z9" s="1273">
        <f>'New (new) quarts'!BM443</f>
        <v>-226.03999999999996</v>
      </c>
      <c r="AA9" s="1340">
        <f>Master!AB25</f>
        <v>-911.04</v>
      </c>
      <c r="AB9" s="1340">
        <f>Master!AC25</f>
        <v>-557.1611062289245</v>
      </c>
      <c r="AC9" s="1340">
        <f>Master!AD25</f>
        <v>-621.48397661185356</v>
      </c>
      <c r="AD9" s="2540"/>
      <c r="AE9" s="1515">
        <f>SUM(M9:P9)</f>
        <v>-978</v>
      </c>
      <c r="AF9" s="1515">
        <f>Q9</f>
        <v>-978</v>
      </c>
      <c r="AG9" s="1515">
        <f>AE9-AF9</f>
        <v>0</v>
      </c>
      <c r="AH9" s="1504"/>
      <c r="AI9" s="1504"/>
      <c r="AJ9" s="1504"/>
      <c r="AK9" s="1504"/>
      <c r="AL9" s="1504"/>
      <c r="AM9" s="1504"/>
      <c r="AN9" s="1504"/>
      <c r="AO9" s="1504"/>
    </row>
    <row r="10" spans="1:52" ht="15.75">
      <c r="A10" s="2573"/>
      <c r="B10" s="1504" t="s">
        <v>5309</v>
      </c>
      <c r="C10" s="1273">
        <v>-135</v>
      </c>
      <c r="D10" s="1273">
        <v>-109.67588735729601</v>
      </c>
      <c r="E10" s="1273">
        <v>-90.072619893562944</v>
      </c>
      <c r="F10" s="1273">
        <v>-77</v>
      </c>
      <c r="G10" s="2540">
        <f>Master!X26</f>
        <v>-434</v>
      </c>
      <c r="H10" s="1273">
        <v>-81</v>
      </c>
      <c r="I10" s="1273">
        <v>-90</v>
      </c>
      <c r="J10" s="1273">
        <v>-90</v>
      </c>
      <c r="K10" s="1273">
        <v>-90</v>
      </c>
      <c r="L10" s="2540">
        <f>SUM(H10:K10)</f>
        <v>-351</v>
      </c>
      <c r="M10" s="1273">
        <v>-90</v>
      </c>
      <c r="N10" s="1273">
        <v>-90</v>
      </c>
      <c r="O10" s="1273">
        <v>-90</v>
      </c>
      <c r="P10" s="1273">
        <v>-90</v>
      </c>
      <c r="Q10" s="2540">
        <f>SUM(M10:P10)</f>
        <v>-360</v>
      </c>
      <c r="R10" s="1273">
        <v>-87</v>
      </c>
      <c r="S10" s="1273">
        <v>-90</v>
      </c>
      <c r="T10" s="1273">
        <v>-90</v>
      </c>
      <c r="U10" s="1273">
        <f>V10-R10-S10-T10</f>
        <v>-51.613400000000013</v>
      </c>
      <c r="V10" s="2540">
        <f>Master!AA26</f>
        <v>-318.61340000000001</v>
      </c>
      <c r="W10" s="1273">
        <f>'New (new) quarts'!BJ444</f>
        <v>-85</v>
      </c>
      <c r="X10" s="1273">
        <f>'New (new) quarts'!BK444</f>
        <v>-85</v>
      </c>
      <c r="Y10" s="1273">
        <f>'New (new) quarts'!BL444</f>
        <v>-85</v>
      </c>
      <c r="Z10" s="1273">
        <f>'New (new) quarts'!BM444</f>
        <v>-90.779999999999973</v>
      </c>
      <c r="AA10" s="1340">
        <f>Master!AB26</f>
        <v>-345.78</v>
      </c>
      <c r="AB10" s="1340">
        <f>Master!AC26</f>
        <v>-349.62200000000007</v>
      </c>
      <c r="AC10" s="1340">
        <f>Master!AD26</f>
        <v>-346.12578000000002</v>
      </c>
      <c r="AD10" s="2540"/>
      <c r="AE10" s="1515">
        <f>SUM(M10:P10)</f>
        <v>-360</v>
      </c>
      <c r="AF10" s="1515">
        <f>Q10</f>
        <v>-360</v>
      </c>
      <c r="AG10" s="1515">
        <f>AE10-AF10</f>
        <v>0</v>
      </c>
      <c r="AH10" s="1504"/>
      <c r="AI10" s="1504"/>
      <c r="AJ10" s="1504"/>
      <c r="AK10" s="1504"/>
      <c r="AL10" s="1504"/>
      <c r="AM10" s="1504"/>
      <c r="AN10" s="1504"/>
      <c r="AO10" s="1504"/>
    </row>
    <row r="11" spans="1:52" ht="15.75">
      <c r="A11" s="2573"/>
      <c r="B11" s="1504" t="s">
        <v>7820</v>
      </c>
      <c r="C11" s="1273">
        <f>'New (new) quarts'!AP452</f>
        <v>0</v>
      </c>
      <c r="D11" s="1273">
        <v>-1.8891904455236319</v>
      </c>
      <c r="E11" s="1273">
        <v>-35.050974523291032</v>
      </c>
      <c r="F11" s="1273">
        <f>'New (new) quarts'!AS452</f>
        <v>-1</v>
      </c>
      <c r="G11" s="2540">
        <f>Master!X28</f>
        <v>-39</v>
      </c>
      <c r="H11" s="1273">
        <f>'New (new) quarts'!AU452</f>
        <v>0</v>
      </c>
      <c r="I11" s="1273">
        <f>'New (new) quarts'!AV452</f>
        <v>0</v>
      </c>
      <c r="J11" s="1273">
        <f>'New (new) quarts'!AW452</f>
        <v>0</v>
      </c>
      <c r="K11" s="1273">
        <f>'New (new) quarts'!AX452</f>
        <v>0</v>
      </c>
      <c r="L11" s="2540">
        <f>Master!Y28</f>
        <v>32</v>
      </c>
      <c r="M11" s="1273">
        <f>'New (new) quarts'!AZ446</f>
        <v>7</v>
      </c>
      <c r="N11" s="1273">
        <f>'New (new) quarts'!BA446</f>
        <v>12</v>
      </c>
      <c r="O11" s="1273">
        <f>'New (new) quarts'!BB446</f>
        <v>9.99</v>
      </c>
      <c r="P11" s="1273">
        <f>'New (new) quarts'!BC446</f>
        <v>11</v>
      </c>
      <c r="Q11" s="2540">
        <f>Master!Z28</f>
        <v>42</v>
      </c>
      <c r="R11" s="1273">
        <f>'New (new) quarts'!BE446</f>
        <v>13</v>
      </c>
      <c r="S11" s="1273">
        <f>'New (new) quarts'!BF446</f>
        <v>12</v>
      </c>
      <c r="T11" s="1273">
        <f>'New (new) quarts'!BG446</f>
        <v>14</v>
      </c>
      <c r="U11" s="1273">
        <f>'New (new) quarts'!BH446</f>
        <v>14</v>
      </c>
      <c r="V11" s="2540">
        <f>Master!AA28</f>
        <v>54</v>
      </c>
      <c r="W11" s="1273">
        <f>'New (new) quarts'!BJ446</f>
        <v>15</v>
      </c>
      <c r="X11" s="1273">
        <f>'New (new) quarts'!BK446</f>
        <v>15</v>
      </c>
      <c r="Y11" s="1273">
        <f>'New (new) quarts'!BL446</f>
        <v>15</v>
      </c>
      <c r="Z11" s="1273">
        <f>'New (new) quarts'!BM446</f>
        <v>19.604846716329632</v>
      </c>
      <c r="AA11" s="1340">
        <f>Master!AB28</f>
        <v>64.604846716329632</v>
      </c>
      <c r="AB11" s="1340">
        <f>Master!AC28</f>
        <v>67.100332035230252</v>
      </c>
      <c r="AC11" s="1340">
        <f>Master!AD28</f>
        <v>69.658441254023217</v>
      </c>
      <c r="AD11" s="2540"/>
      <c r="AE11" s="1515">
        <f>SUM(M11:P11)</f>
        <v>39.99</v>
      </c>
      <c r="AF11" s="1515">
        <f>Q11</f>
        <v>42</v>
      </c>
      <c r="AG11" s="1515">
        <f>AE11-AF11</f>
        <v>-2.009999999999998</v>
      </c>
      <c r="AH11" s="1504"/>
      <c r="AI11" s="1504"/>
      <c r="AJ11" s="1504"/>
      <c r="AK11" s="1504"/>
      <c r="AL11" s="1504"/>
      <c r="AM11" s="1504"/>
      <c r="AN11" s="1504"/>
      <c r="AO11" s="1504"/>
    </row>
    <row r="12" spans="1:52" ht="15.75">
      <c r="A12" s="2573"/>
      <c r="B12" s="1504" t="s">
        <v>1540</v>
      </c>
      <c r="C12" s="1273">
        <f>'New (new) quarts'!AP447</f>
        <v>-17</v>
      </c>
      <c r="D12" s="1273">
        <v>-19.054399524809014</v>
      </c>
      <c r="E12" s="1273">
        <v>28.41068083440404</v>
      </c>
      <c r="F12" s="1273">
        <f>'New (new) quarts'!AS447</f>
        <v>14</v>
      </c>
      <c r="G12" s="2541">
        <f>Master!X38</f>
        <v>-47</v>
      </c>
      <c r="H12" s="1273">
        <f>'New (new) quarts'!AU447</f>
        <v>0</v>
      </c>
      <c r="I12" s="1273">
        <f>'New (new) quarts'!AV447</f>
        <v>0.26</v>
      </c>
      <c r="J12" s="1273">
        <f>'New (new) quarts'!AW447</f>
        <v>-6.37</v>
      </c>
      <c r="K12" s="1273">
        <f>'New (new) quarts'!AX447</f>
        <v>4.66</v>
      </c>
      <c r="L12" s="2541">
        <f>Master!Y38</f>
        <v>-78</v>
      </c>
      <c r="M12" s="1273">
        <f>'New (new) quarts'!AZ447</f>
        <v>2</v>
      </c>
      <c r="N12" s="1273">
        <f>'New (new) quarts'!BA447</f>
        <v>1</v>
      </c>
      <c r="O12" s="1273">
        <f>'New (new) quarts'!BB447</f>
        <v>3</v>
      </c>
      <c r="P12" s="1273">
        <f>'New (new) quarts'!BC447</f>
        <v>4</v>
      </c>
      <c r="Q12" s="2541">
        <f>Master!Z38</f>
        <v>36</v>
      </c>
      <c r="R12" s="1273">
        <f>'New (new) quarts'!BE447</f>
        <v>13</v>
      </c>
      <c r="S12" s="1273">
        <f>'New (new) quarts'!BF447</f>
        <v>4</v>
      </c>
      <c r="T12" s="1273">
        <f>'New (new) quarts'!BG447</f>
        <v>-5.7599999999999998E-2</v>
      </c>
      <c r="U12" s="1273">
        <f>'New (new) quarts'!BH447</f>
        <v>37.462299999999999</v>
      </c>
      <c r="V12" s="2541">
        <f>Master!AA27</f>
        <v>54</v>
      </c>
      <c r="W12" s="1273">
        <f>'New (new) quarts'!BJ447</f>
        <v>0</v>
      </c>
      <c r="X12" s="1273">
        <f>'New (new) quarts'!BK447</f>
        <v>0</v>
      </c>
      <c r="Y12" s="1273">
        <f>'New (new) quarts'!BL447</f>
        <v>0</v>
      </c>
      <c r="Z12" s="1273">
        <f>'New (new) quarts'!BM447</f>
        <v>0</v>
      </c>
      <c r="AA12" s="1341">
        <f>Master!AB27</f>
        <v>0</v>
      </c>
      <c r="AB12" s="1341">
        <f>Master!AC27</f>
        <v>0</v>
      </c>
      <c r="AC12" s="1341">
        <f>Master!AD27</f>
        <v>0</v>
      </c>
      <c r="AD12" s="2541"/>
      <c r="AE12" s="1515">
        <f>SUM(M12:P12)</f>
        <v>10</v>
      </c>
      <c r="AF12" s="1515">
        <f>Q12</f>
        <v>36</v>
      </c>
      <c r="AG12" s="1515">
        <f>AE12-AF12</f>
        <v>-26</v>
      </c>
      <c r="AH12" s="1504"/>
      <c r="AI12" s="1504"/>
      <c r="AJ12" s="1504"/>
      <c r="AK12" s="1504"/>
      <c r="AL12" s="1504"/>
      <c r="AM12" s="1504"/>
      <c r="AN12" s="1504"/>
      <c r="AO12" s="1504"/>
    </row>
    <row r="13" spans="1:52" ht="15.75">
      <c r="A13" s="2573"/>
      <c r="B13" s="1509" t="s">
        <v>5046</v>
      </c>
      <c r="C13" s="1310">
        <f>'New (new) quarts'!AP449</f>
        <v>215</v>
      </c>
      <c r="D13" s="1310">
        <v>232.77308088626799</v>
      </c>
      <c r="E13" s="1310">
        <v>298.07377672906341</v>
      </c>
      <c r="F13" s="1310">
        <f>'New (new) quarts'!AS449</f>
        <v>275</v>
      </c>
      <c r="G13" s="2542">
        <f>Master!X30</f>
        <v>982</v>
      </c>
      <c r="H13" s="1310">
        <f t="shared" ref="H13:AA13" si="0">SUM(H9:H12)+H6</f>
        <v>226.90809999999999</v>
      </c>
      <c r="I13" s="1310">
        <f t="shared" si="0"/>
        <v>235.36850000000004</v>
      </c>
      <c r="J13" s="1310">
        <f t="shared" si="0"/>
        <v>190.76769999999999</v>
      </c>
      <c r="K13" s="1310">
        <f t="shared" si="0"/>
        <v>230.38069999999999</v>
      </c>
      <c r="L13" s="2542">
        <f t="shared" si="0"/>
        <v>838.87499999999977</v>
      </c>
      <c r="M13" s="1310">
        <f t="shared" si="0"/>
        <v>200.2749</v>
      </c>
      <c r="N13" s="1310">
        <f t="shared" si="0"/>
        <v>213.92719999999997</v>
      </c>
      <c r="O13" s="1310">
        <f t="shared" si="0"/>
        <v>241.57169999999996</v>
      </c>
      <c r="P13" s="1310">
        <f t="shared" ref="P13" si="1">SUM(P9:P12)+P6</f>
        <v>271.50170000000003</v>
      </c>
      <c r="Q13" s="2542">
        <f t="shared" si="0"/>
        <v>955.28549999999996</v>
      </c>
      <c r="R13" s="1310">
        <f t="shared" ref="R13:Z13" si="2">SUM(R9:R12)+R6</f>
        <v>323.80830000000003</v>
      </c>
      <c r="S13" s="1310">
        <f t="shared" si="2"/>
        <v>344.90470000000005</v>
      </c>
      <c r="T13" s="1310">
        <f t="shared" si="2"/>
        <v>298.97339999999997</v>
      </c>
      <c r="U13" s="1310">
        <f t="shared" si="2"/>
        <v>373.75069999999994</v>
      </c>
      <c r="V13" s="2542">
        <f t="shared" ca="1" si="0"/>
        <v>1342.0324000000003</v>
      </c>
      <c r="W13" s="1310">
        <f t="shared" si="2"/>
        <v>287.5</v>
      </c>
      <c r="X13" s="1310">
        <f t="shared" si="2"/>
        <v>307.5</v>
      </c>
      <c r="Y13" s="1310">
        <f t="shared" si="2"/>
        <v>302.5</v>
      </c>
      <c r="Z13" s="1310">
        <f t="shared" si="2"/>
        <v>291.9702666310007</v>
      </c>
      <c r="AA13" s="1342">
        <f t="shared" si="0"/>
        <v>1189.4702666310006</v>
      </c>
      <c r="AB13" s="1342">
        <f t="shared" ref="AB13:AC13" si="3">SUM(AB9:AB12)+AB6</f>
        <v>1556.5162280152656</v>
      </c>
      <c r="AC13" s="1342">
        <f t="shared" si="3"/>
        <v>1563.0567918862246</v>
      </c>
      <c r="AD13" s="2542"/>
      <c r="AE13" s="1515">
        <f>SUM(M13:P13)</f>
        <v>927.27549999999997</v>
      </c>
      <c r="AF13" s="1515">
        <f>Q13</f>
        <v>955.28549999999996</v>
      </c>
      <c r="AG13" s="1515">
        <f>AE13-AF13</f>
        <v>-28.009999999999991</v>
      </c>
      <c r="AH13" s="1504"/>
      <c r="AI13" s="1504"/>
      <c r="AJ13" s="1504"/>
      <c r="AK13" s="1504"/>
      <c r="AL13" s="1504"/>
      <c r="AM13" s="1504"/>
      <c r="AN13" s="1504"/>
      <c r="AO13" s="1504"/>
    </row>
    <row r="14" spans="1:52" ht="15.75">
      <c r="A14" s="2573"/>
      <c r="B14" s="1509"/>
      <c r="C14" s="1273"/>
      <c r="D14" s="1273"/>
      <c r="E14" s="1273"/>
      <c r="F14" s="1273"/>
      <c r="G14" s="2542"/>
      <c r="H14" s="1273"/>
      <c r="I14" s="1273"/>
      <c r="J14" s="1273"/>
      <c r="K14" s="1273"/>
      <c r="L14" s="2542"/>
      <c r="M14" s="1273"/>
      <c r="N14" s="1273"/>
      <c r="O14" s="1273"/>
      <c r="P14" s="1273"/>
      <c r="Q14" s="2542"/>
      <c r="R14" s="1273"/>
      <c r="S14" s="1273"/>
      <c r="T14" s="1273"/>
      <c r="U14" s="1273"/>
      <c r="V14" s="2542"/>
      <c r="W14" s="1273"/>
      <c r="X14" s="1273"/>
      <c r="Y14" s="1273"/>
      <c r="Z14" s="1273"/>
      <c r="AA14" s="1342"/>
      <c r="AB14" s="1342"/>
      <c r="AC14" s="1342"/>
      <c r="AD14" s="2542"/>
      <c r="AE14" s="1504"/>
      <c r="AF14" s="1504"/>
      <c r="AG14" s="1504"/>
      <c r="AH14" s="1504"/>
      <c r="AI14" s="1504"/>
      <c r="AJ14" s="1504"/>
      <c r="AK14" s="1504"/>
      <c r="AL14" s="1504"/>
      <c r="AM14" s="1504"/>
      <c r="AN14" s="1504"/>
      <c r="AO14" s="1504"/>
    </row>
    <row r="15" spans="1:52" ht="15.75">
      <c r="A15" s="2573"/>
      <c r="B15" s="1504" t="s">
        <v>5047</v>
      </c>
      <c r="C15" s="1273">
        <f>'New (new) quarts'!AP455</f>
        <v>-166</v>
      </c>
      <c r="D15" s="1273">
        <v>-143.85487159223499</v>
      </c>
      <c r="E15" s="1273">
        <v>-120.5426577050447</v>
      </c>
      <c r="F15" s="1273">
        <f>'New (new) quarts'!AS455</f>
        <v>-153</v>
      </c>
      <c r="G15" s="2541">
        <f>Master!X40</f>
        <v>-583</v>
      </c>
      <c r="H15" s="1273">
        <f>'New (new) quarts'!AU455</f>
        <v>-136</v>
      </c>
      <c r="I15" s="1273">
        <f>'New (new) quarts'!AV455</f>
        <v>-176.24</v>
      </c>
      <c r="J15" s="1273">
        <f>'New (new) quarts'!AW455</f>
        <v>-191.95</v>
      </c>
      <c r="K15" s="1273">
        <f>'New (new) quarts'!AX455</f>
        <v>-173.45</v>
      </c>
      <c r="L15" s="2541">
        <f>Master!Y40</f>
        <v>-599</v>
      </c>
      <c r="M15" s="1273">
        <f>'New (new) quarts'!AZ455</f>
        <v>-166</v>
      </c>
      <c r="N15" s="1273">
        <f>'New (new) quarts'!BA455</f>
        <v>-174</v>
      </c>
      <c r="O15" s="1273">
        <f>'New (new) quarts'!BB455</f>
        <v>-176</v>
      </c>
      <c r="P15" s="1273">
        <f>'New (new) quarts'!BC455</f>
        <v>-169</v>
      </c>
      <c r="Q15" s="2541">
        <f>Master!Z40</f>
        <v>-684</v>
      </c>
      <c r="R15" s="1273">
        <f>'New (new) quarts'!BE455</f>
        <v>-164</v>
      </c>
      <c r="S15" s="1273">
        <f>'New (new) quarts'!BF455</f>
        <v>-180</v>
      </c>
      <c r="T15" s="1273">
        <f>'New (new) quarts'!BG455</f>
        <v>-166</v>
      </c>
      <c r="U15" s="1273">
        <f>'New (new) quarts'!BH455</f>
        <v>-159.88480000000001</v>
      </c>
      <c r="V15" s="2541">
        <f>Master!AA40</f>
        <v>-670</v>
      </c>
      <c r="W15" s="1273">
        <f>'New (new) quarts'!BJ455</f>
        <v>-160</v>
      </c>
      <c r="X15" s="1273">
        <f>'New (new) quarts'!BK455</f>
        <v>-160</v>
      </c>
      <c r="Y15" s="1273">
        <f>'New (new) quarts'!BL455</f>
        <v>-160</v>
      </c>
      <c r="Z15" s="1273">
        <f ca="1">'New (new) quarts'!BM455</f>
        <v>-169.26354709684381</v>
      </c>
      <c r="AA15" s="1341">
        <f ca="1">Master!AB40</f>
        <v>-649.26354709684381</v>
      </c>
      <c r="AB15" s="1341">
        <f ca="1">Master!AC40</f>
        <v>-648.90746562505342</v>
      </c>
      <c r="AC15" s="1341">
        <f ca="1">Master!AD40</f>
        <v>-672.10854802361166</v>
      </c>
      <c r="AD15" s="2541"/>
      <c r="AE15" s="1515">
        <f>SUM(M15:P15)</f>
        <v>-685</v>
      </c>
      <c r="AF15" s="1515">
        <f>Q15</f>
        <v>-684</v>
      </c>
      <c r="AG15" s="1515">
        <f>AE15-AF15</f>
        <v>-1</v>
      </c>
      <c r="AH15" s="1504"/>
      <c r="AI15" s="1504"/>
      <c r="AJ15" s="1504"/>
      <c r="AK15" s="1504"/>
      <c r="AL15" s="1504"/>
      <c r="AM15" s="1504"/>
      <c r="AN15" s="1504"/>
      <c r="AO15" s="1504"/>
    </row>
    <row r="16" spans="1:52" ht="15.75">
      <c r="A16" s="2573"/>
      <c r="B16" s="1504" t="s">
        <v>5048</v>
      </c>
      <c r="C16" s="1273">
        <v>0</v>
      </c>
      <c r="D16" s="1273">
        <v>-73.157643340621064</v>
      </c>
      <c r="E16" s="1273">
        <v>-22.672227163896313</v>
      </c>
      <c r="F16" s="1273">
        <v>0</v>
      </c>
      <c r="G16" s="2541">
        <f>Master!X29</f>
        <v>0</v>
      </c>
      <c r="H16" s="1273">
        <v>0</v>
      </c>
      <c r="I16" s="1273">
        <v>0</v>
      </c>
      <c r="J16" s="1273">
        <v>0</v>
      </c>
      <c r="K16" s="1273">
        <v>0</v>
      </c>
      <c r="L16" s="2541">
        <f>Master!Y29</f>
        <v>0</v>
      </c>
      <c r="M16" s="1273">
        <v>0</v>
      </c>
      <c r="N16" s="1273">
        <v>0</v>
      </c>
      <c r="O16" s="1273">
        <v>0</v>
      </c>
      <c r="P16" s="1273">
        <v>0</v>
      </c>
      <c r="Q16" s="2541">
        <f>Master!Z29</f>
        <v>0</v>
      </c>
      <c r="R16" s="1273">
        <f>'New (new) quarts'!BE451</f>
        <v>-7</v>
      </c>
      <c r="S16" s="1273">
        <f>'New (new) quarts'!BF451</f>
        <v>-9</v>
      </c>
      <c r="T16" s="1273">
        <f>'New (new) quarts'!BG451</f>
        <v>-10</v>
      </c>
      <c r="U16" s="1273">
        <f>'New (new) quarts'!BH451</f>
        <v>-92.933499999999995</v>
      </c>
      <c r="V16" s="2541">
        <f>Master!AA38</f>
        <v>-119</v>
      </c>
      <c r="W16" s="1273">
        <f>'New (new) quarts'!BJ451</f>
        <v>0</v>
      </c>
      <c r="X16" s="1273">
        <f>'New (new) quarts'!BK451</f>
        <v>0</v>
      </c>
      <c r="Y16" s="1273">
        <f>'New (new) quarts'!BL451</f>
        <v>0</v>
      </c>
      <c r="Z16" s="1273">
        <f>'New (new) quarts'!BM451</f>
        <v>0</v>
      </c>
      <c r="AA16" s="1341">
        <f>Master!AB38</f>
        <v>0</v>
      </c>
      <c r="AB16" s="1341">
        <f>Master!AC38</f>
        <v>0</v>
      </c>
      <c r="AC16" s="1341">
        <f>Master!AD38</f>
        <v>0</v>
      </c>
      <c r="AD16" s="2541"/>
      <c r="AE16" s="1504"/>
      <c r="AF16" s="1504"/>
      <c r="AG16" s="1504"/>
      <c r="AH16" s="1504"/>
      <c r="AI16" s="1504"/>
      <c r="AJ16" s="1504"/>
      <c r="AK16" s="1504"/>
      <c r="AL16" s="1504"/>
      <c r="AM16" s="1504"/>
      <c r="AN16" s="1504"/>
      <c r="AO16" s="1504"/>
    </row>
    <row r="17" spans="1:50" ht="15.75">
      <c r="A17" s="2573"/>
      <c r="B17" s="1504" t="s">
        <v>7821</v>
      </c>
      <c r="C17" s="1273"/>
      <c r="D17" s="1273"/>
      <c r="E17" s="1273"/>
      <c r="F17" s="1273"/>
      <c r="G17" s="2541"/>
      <c r="H17" s="1273"/>
      <c r="I17" s="1273"/>
      <c r="J17" s="1273"/>
      <c r="K17" s="1273"/>
      <c r="L17" s="2541"/>
      <c r="M17" s="1273"/>
      <c r="N17" s="1273"/>
      <c r="O17" s="1273"/>
      <c r="P17" s="1273"/>
      <c r="Q17" s="2541"/>
      <c r="R17" s="1273">
        <f>'New (new) quarts'!BE453</f>
        <v>0</v>
      </c>
      <c r="S17" s="1273">
        <f>'New (new) quarts'!BF453</f>
        <v>0</v>
      </c>
      <c r="T17" s="1273">
        <f>'New (new) quarts'!BG453</f>
        <v>0</v>
      </c>
      <c r="U17" s="1273">
        <f>'New (new) quarts'!BH453</f>
        <v>0</v>
      </c>
      <c r="V17" s="2541">
        <f>Master!AA33</f>
        <v>-1.2200000000000001E-2</v>
      </c>
      <c r="W17" s="1273">
        <f>'New (new) quarts'!BJ453</f>
        <v>0</v>
      </c>
      <c r="X17" s="1273">
        <f>'New (new) quarts'!BK453</f>
        <v>0</v>
      </c>
      <c r="Y17" s="1273">
        <f>'New (new) quarts'!BL453</f>
        <v>0</v>
      </c>
      <c r="Z17" s="1273">
        <f>'New (new) quarts'!BM453</f>
        <v>0</v>
      </c>
      <c r="AA17" s="1341">
        <f>Master!AB33</f>
        <v>0</v>
      </c>
      <c r="AB17" s="1341">
        <f>Master!AC33</f>
        <v>0</v>
      </c>
      <c r="AC17" s="1341">
        <f>Master!AD33</f>
        <v>0</v>
      </c>
      <c r="AD17" s="2541"/>
      <c r="AE17" s="1504"/>
      <c r="AF17" s="1504"/>
      <c r="AG17" s="1504"/>
      <c r="AH17" s="1504"/>
      <c r="AI17" s="1504"/>
      <c r="AJ17" s="1504"/>
      <c r="AK17" s="1504"/>
      <c r="AL17" s="1504"/>
      <c r="AM17" s="1504"/>
      <c r="AN17" s="1504"/>
      <c r="AO17" s="1504"/>
    </row>
    <row r="18" spans="1:50" ht="15.75">
      <c r="A18" s="2573"/>
      <c r="B18" s="1509" t="s">
        <v>5049</v>
      </c>
      <c r="C18" s="1310">
        <f>SUM(C13:C16)</f>
        <v>49</v>
      </c>
      <c r="D18" s="1310">
        <v>13.871375507888301</v>
      </c>
      <c r="E18" s="1310">
        <v>119.80791733683137</v>
      </c>
      <c r="F18" s="1310">
        <f>SUM(F13:F16)</f>
        <v>122</v>
      </c>
      <c r="G18" s="2542">
        <f>Master!X42</f>
        <v>1018</v>
      </c>
      <c r="H18" s="1310">
        <f>SUM(H13:H16)</f>
        <v>90.90809999999999</v>
      </c>
      <c r="I18" s="1310">
        <f>SUM(I13:I16)</f>
        <v>59.128500000000031</v>
      </c>
      <c r="J18" s="1310">
        <f>SUM(J13:J16)</f>
        <v>-1.1822999999999979</v>
      </c>
      <c r="K18" s="1310">
        <f>SUM(K13:K16)</f>
        <v>56.930700000000002</v>
      </c>
      <c r="L18" s="2542">
        <f>Master!Y42</f>
        <v>237.13499999999976</v>
      </c>
      <c r="M18" s="1310">
        <f>SUM(M13:M16)</f>
        <v>34.274900000000002</v>
      </c>
      <c r="N18" s="1310">
        <f>SUM(N13:N16)</f>
        <v>39.927199999999971</v>
      </c>
      <c r="O18" s="1310">
        <f>SUM(O13:O16)</f>
        <v>65.571699999999964</v>
      </c>
      <c r="P18" s="1310">
        <f>SUM(P13:P16)</f>
        <v>102.50170000000003</v>
      </c>
      <c r="Q18" s="2542">
        <f>Master!Z42</f>
        <v>174.28549999999996</v>
      </c>
      <c r="R18" s="1310">
        <f>SUM(R13:R17)</f>
        <v>152.80830000000003</v>
      </c>
      <c r="S18" s="1310">
        <f t="shared" ref="S18:Z18" si="4">SUM(S13:S17)</f>
        <v>155.90470000000005</v>
      </c>
      <c r="T18" s="1310">
        <f t="shared" si="4"/>
        <v>122.97339999999997</v>
      </c>
      <c r="U18" s="1310">
        <f t="shared" si="4"/>
        <v>120.93239999999993</v>
      </c>
      <c r="V18" s="2542">
        <f t="shared" ca="1" si="4"/>
        <v>553.02020000000027</v>
      </c>
      <c r="W18" s="1310">
        <f t="shared" si="4"/>
        <v>127.5</v>
      </c>
      <c r="X18" s="1310">
        <f t="shared" si="4"/>
        <v>147.5</v>
      </c>
      <c r="Y18" s="1310">
        <f t="shared" si="4"/>
        <v>142.5</v>
      </c>
      <c r="Z18" s="1310">
        <f t="shared" ca="1" si="4"/>
        <v>122.70671953415689</v>
      </c>
      <c r="AA18" s="1342">
        <f ca="1">Master!AB42</f>
        <v>540.20671953415683</v>
      </c>
      <c r="AB18" s="1342">
        <f ca="1">Master!AC42</f>
        <v>907.60876239021218</v>
      </c>
      <c r="AC18" s="1342">
        <f ca="1">Master!AD42</f>
        <v>890.94824386261291</v>
      </c>
      <c r="AD18" s="2542"/>
      <c r="AE18" s="1515">
        <f>SUM(M18:P18)</f>
        <v>242.27549999999997</v>
      </c>
      <c r="AF18" s="1515">
        <f>Q18</f>
        <v>174.28549999999996</v>
      </c>
      <c r="AG18" s="1515">
        <f>AE18-AF18</f>
        <v>67.990000000000009</v>
      </c>
      <c r="AH18" s="1504"/>
      <c r="AI18" s="1504"/>
      <c r="AJ18" s="1504"/>
      <c r="AK18" s="1504"/>
      <c r="AL18" s="1504"/>
      <c r="AM18" s="1504"/>
      <c r="AN18" s="1504"/>
      <c r="AO18" s="1504"/>
    </row>
    <row r="19" spans="1:50" ht="15.75">
      <c r="A19" s="2573"/>
      <c r="B19" s="1509"/>
      <c r="C19" s="1273"/>
      <c r="D19" s="1273"/>
      <c r="E19" s="1273"/>
      <c r="F19" s="1273"/>
      <c r="G19" s="2542"/>
      <c r="H19" s="1273"/>
      <c r="I19" s="1273"/>
      <c r="J19" s="1273"/>
      <c r="K19" s="1273"/>
      <c r="L19" s="2542"/>
      <c r="M19" s="1273"/>
      <c r="N19" s="1273"/>
      <c r="O19" s="1273"/>
      <c r="P19" s="1273"/>
      <c r="Q19" s="2542"/>
      <c r="R19" s="1273"/>
      <c r="S19" s="1273"/>
      <c r="T19" s="1273"/>
      <c r="U19" s="1273"/>
      <c r="V19" s="2542"/>
      <c r="W19" s="1273"/>
      <c r="X19" s="1273"/>
      <c r="Y19" s="1273"/>
      <c r="Z19" s="1273"/>
      <c r="AA19" s="1342"/>
      <c r="AB19" s="1342"/>
      <c r="AC19" s="1342"/>
      <c r="AD19" s="2542"/>
      <c r="AE19" s="1504"/>
      <c r="AF19" s="1504"/>
      <c r="AG19" s="1504"/>
      <c r="AH19" s="1504"/>
      <c r="AI19" s="1504"/>
      <c r="AJ19" s="1504"/>
      <c r="AK19" s="1504"/>
      <c r="AL19" s="1504"/>
      <c r="AM19" s="1504"/>
      <c r="AN19" s="1504"/>
      <c r="AO19" s="1504"/>
    </row>
    <row r="20" spans="1:50" ht="15.75">
      <c r="A20" s="2573"/>
      <c r="B20" s="1504" t="s">
        <v>2282</v>
      </c>
      <c r="C20" s="1273">
        <f>'New (new) quarts'!AP462</f>
        <v>-33</v>
      </c>
      <c r="D20" s="1273">
        <v>-69.134656822377593</v>
      </c>
      <c r="E20" s="1273">
        <v>-67.919787088813152</v>
      </c>
      <c r="F20" s="1273">
        <f>'New (new) quarts'!AS462</f>
        <v>-138</v>
      </c>
      <c r="G20" s="2541">
        <f>Master!X44</f>
        <v>-189</v>
      </c>
      <c r="H20" s="1273">
        <f>'New (new) quarts'!AU462</f>
        <v>-69</v>
      </c>
      <c r="I20" s="1273">
        <f>'New (new) quarts'!AV462</f>
        <v>-77.53</v>
      </c>
      <c r="J20" s="1273">
        <f>'New (new) quarts'!AW462</f>
        <v>-53</v>
      </c>
      <c r="K20" s="1273">
        <f>'New (new) quarts'!AX462</f>
        <v>-21.94</v>
      </c>
      <c r="L20" s="2541">
        <f>Master!Y44</f>
        <v>-225</v>
      </c>
      <c r="M20" s="1273">
        <f>'New (new) quarts'!AZ462</f>
        <v>-59</v>
      </c>
      <c r="N20" s="1273">
        <f>'New (new) quarts'!BA462</f>
        <v>-81</v>
      </c>
      <c r="O20" s="1273">
        <f>'New (new) quarts'!BB462</f>
        <v>-61</v>
      </c>
      <c r="P20" s="1273">
        <f>'New (new) quarts'!BC462</f>
        <v>-223</v>
      </c>
      <c r="Q20" s="2541">
        <f>Master!Z44</f>
        <v>-424</v>
      </c>
      <c r="R20" s="1273">
        <f>'New (new) quarts'!BE462</f>
        <v>-71</v>
      </c>
      <c r="S20" s="1273">
        <f>'New (new) quarts'!BF462</f>
        <v>-78</v>
      </c>
      <c r="T20" s="1273">
        <f>'New (new) quarts'!BG462</f>
        <v>-66</v>
      </c>
      <c r="U20" s="1273">
        <f>'New (new) quarts'!BH462</f>
        <v>-67.241799999999998</v>
      </c>
      <c r="V20" s="2541">
        <f>Master!AA44</f>
        <v>-281</v>
      </c>
      <c r="W20" s="1273">
        <f>'New (new) quarts'!BJ462</f>
        <v>-72</v>
      </c>
      <c r="X20" s="1273">
        <f>'New (new) quarts'!BK462</f>
        <v>-72</v>
      </c>
      <c r="Y20" s="1273">
        <f>'New (new) quarts'!BL462</f>
        <v>-72</v>
      </c>
      <c r="Z20" s="1273">
        <f ca="1">'New (new) quarts'!BM462</f>
        <v>-51.302153297514508</v>
      </c>
      <c r="AA20" s="1341">
        <f ca="1">Master!AB44</f>
        <v>-267.30215329751451</v>
      </c>
      <c r="AB20" s="1341">
        <f ca="1">Master!AC44</f>
        <v>-348.1306027258467</v>
      </c>
      <c r="AC20" s="1341">
        <f ca="1">Master!AD44</f>
        <v>-344.46528864977483</v>
      </c>
      <c r="AD20" s="2541"/>
      <c r="AE20" s="1515">
        <f>SUM(M20:P20)</f>
        <v>-424</v>
      </c>
      <c r="AF20" s="1515">
        <f>Q20</f>
        <v>-424</v>
      </c>
      <c r="AG20" s="1515">
        <f>AE20-AF20</f>
        <v>0</v>
      </c>
      <c r="AH20" s="1504"/>
      <c r="AI20" s="1504"/>
      <c r="AJ20" s="1504"/>
      <c r="AK20" s="1504"/>
      <c r="AL20" s="1504"/>
      <c r="AM20" s="1504"/>
      <c r="AN20" s="1504"/>
      <c r="AO20" s="1504"/>
    </row>
    <row r="21" spans="1:50" ht="15.75">
      <c r="A21" s="2573"/>
      <c r="B21" s="1504" t="s">
        <v>5050</v>
      </c>
      <c r="C21" s="1273">
        <f>'New (new) quarts'!AP467</f>
        <v>-32</v>
      </c>
      <c r="D21" s="1273">
        <v>-44.5489020429996</v>
      </c>
      <c r="E21" s="1273">
        <v>-46.614159229770024</v>
      </c>
      <c r="F21" s="1273">
        <f>'New (new) quarts'!AS467</f>
        <v>3</v>
      </c>
      <c r="G21" s="2541">
        <f>Master!X46</f>
        <v>-121</v>
      </c>
      <c r="H21" s="1273">
        <f>'New (new) quarts'!AU467</f>
        <v>-1</v>
      </c>
      <c r="I21" s="1273">
        <f>'New (new) quarts'!AV467</f>
        <v>18.45</v>
      </c>
      <c r="J21" s="1273">
        <f>'New (new) quarts'!AW467</f>
        <v>15.88</v>
      </c>
      <c r="K21" s="1273">
        <f>'New (new) quarts'!AX467</f>
        <v>15.19</v>
      </c>
      <c r="L21" s="2541">
        <f>Master!Y46</f>
        <v>48</v>
      </c>
      <c r="M21" s="1273">
        <f>'New (new) quarts'!AZ467</f>
        <v>23</v>
      </c>
      <c r="N21" s="1273">
        <f>'New (new) quarts'!BA467</f>
        <v>26</v>
      </c>
      <c r="O21" s="1273">
        <f>'New (new) quarts'!BB467</f>
        <v>20</v>
      </c>
      <c r="P21" s="1273">
        <f>'New (new) quarts'!BC467</f>
        <v>94</v>
      </c>
      <c r="Q21" s="2541">
        <f>Master!Z46</f>
        <v>163</v>
      </c>
      <c r="R21" s="1273">
        <f>'New (new) quarts'!BE467</f>
        <v>10.024699999999999</v>
      </c>
      <c r="S21" s="1273">
        <f>'New (new) quarts'!BF467</f>
        <v>-0.3054</v>
      </c>
      <c r="T21" s="1273">
        <f>'New (new) quarts'!BG467</f>
        <v>-5.9379999999999997</v>
      </c>
      <c r="U21" s="1273">
        <f>'New (new) quarts'!BH467</f>
        <v>-18.7943</v>
      </c>
      <c r="V21" s="2541">
        <f>Master!AA46</f>
        <v>-15</v>
      </c>
      <c r="W21" s="1273">
        <f>'New (new) quarts'!BJ467</f>
        <v>6.5</v>
      </c>
      <c r="X21" s="1273">
        <f>'New (new) quarts'!BK467</f>
        <v>6.5</v>
      </c>
      <c r="Y21" s="1273">
        <f>'New (new) quarts'!BL467</f>
        <v>6.5</v>
      </c>
      <c r="Z21" s="1273">
        <f ca="1">'New (new) quarts'!BM467</f>
        <v>5.8258114050108958</v>
      </c>
      <c r="AA21" s="1341">
        <f ca="1">Master!AB46</f>
        <v>25.325811405010896</v>
      </c>
      <c r="AB21" s="1341">
        <f ca="1">Master!AC46</f>
        <v>25.325811405010896</v>
      </c>
      <c r="AC21" s="1341">
        <f ca="1">Master!AD46</f>
        <v>25.325811405010896</v>
      </c>
      <c r="AD21" s="2541"/>
      <c r="AE21" s="1515">
        <f>SUM(M21:P21)</f>
        <v>163</v>
      </c>
      <c r="AF21" s="1515">
        <f>Q21</f>
        <v>163</v>
      </c>
      <c r="AG21" s="1515">
        <f>AE21-AF21</f>
        <v>0</v>
      </c>
      <c r="AH21" s="1504"/>
      <c r="AI21" s="1504"/>
      <c r="AJ21" s="1504"/>
      <c r="AK21" s="1504"/>
      <c r="AL21" s="1504"/>
      <c r="AM21" s="1504"/>
      <c r="AN21" s="1504"/>
      <c r="AO21" s="1504"/>
    </row>
    <row r="22" spans="1:50" ht="15.75">
      <c r="A22" s="2573"/>
      <c r="B22" s="1504" t="s">
        <v>5310</v>
      </c>
      <c r="C22" s="1273">
        <v>0</v>
      </c>
      <c r="D22" s="1273">
        <v>-0.11600000000000001</v>
      </c>
      <c r="E22" s="1273">
        <v>-0.29754799999999998</v>
      </c>
      <c r="F22" s="1273">
        <v>0</v>
      </c>
      <c r="G22" s="2541">
        <f>Master!X45</f>
        <v>0</v>
      </c>
      <c r="H22" s="1273">
        <v>0</v>
      </c>
      <c r="I22" s="1273">
        <v>0</v>
      </c>
      <c r="J22" s="1273">
        <v>0</v>
      </c>
      <c r="K22" s="1273">
        <v>0</v>
      </c>
      <c r="L22" s="2541">
        <f>Master!Y45</f>
        <v>113</v>
      </c>
      <c r="M22" s="1273">
        <v>0</v>
      </c>
      <c r="N22" s="1273">
        <v>0</v>
      </c>
      <c r="O22" s="1273">
        <v>0</v>
      </c>
      <c r="P22" s="1273">
        <v>0</v>
      </c>
      <c r="Q22" s="2541">
        <f>Master!Z45</f>
        <v>4</v>
      </c>
      <c r="R22" s="1273">
        <v>0</v>
      </c>
      <c r="S22" s="1273">
        <v>0</v>
      </c>
      <c r="T22" s="1273">
        <v>0</v>
      </c>
      <c r="U22" s="1273">
        <v>0</v>
      </c>
      <c r="V22" s="2541">
        <f>Master!AA45</f>
        <v>-3</v>
      </c>
      <c r="W22" s="1273">
        <f>'New (new) quarts'!BJ466</f>
        <v>0</v>
      </c>
      <c r="X22" s="1273">
        <f>'New (new) quarts'!BK466</f>
        <v>0</v>
      </c>
      <c r="Y22" s="1273">
        <f>'New (new) quarts'!BL466</f>
        <v>0</v>
      </c>
      <c r="Z22" s="1273">
        <f>'New (new) quarts'!BM466</f>
        <v>0</v>
      </c>
      <c r="AA22" s="1341">
        <f>Master!AB45</f>
        <v>0</v>
      </c>
      <c r="AB22" s="1341">
        <f>Master!AC45</f>
        <v>0</v>
      </c>
      <c r="AC22" s="1341">
        <f>Master!AD45</f>
        <v>0</v>
      </c>
      <c r="AD22" s="2541"/>
      <c r="AE22" s="1515">
        <f>SUM(M22:P22)</f>
        <v>0</v>
      </c>
      <c r="AF22" s="1515">
        <f>Q22</f>
        <v>4</v>
      </c>
      <c r="AG22" s="1515">
        <f>AE22-AF22</f>
        <v>-4</v>
      </c>
      <c r="AH22" s="1504"/>
      <c r="AI22" s="1504"/>
      <c r="AJ22" s="1504"/>
      <c r="AK22" s="1504"/>
      <c r="AL22" s="1504"/>
      <c r="AM22" s="1504"/>
      <c r="AN22" s="1504"/>
      <c r="AO22" s="1504"/>
    </row>
    <row r="23" spans="1:50" ht="15.75">
      <c r="A23" s="2573"/>
      <c r="B23" s="1509" t="s">
        <v>407</v>
      </c>
      <c r="C23" s="1310">
        <f>SUM(C18:C22)</f>
        <v>-16</v>
      </c>
      <c r="D23" s="1310">
        <v>-99.928183357488308</v>
      </c>
      <c r="E23" s="1310">
        <v>4.9764230182481901</v>
      </c>
      <c r="F23" s="1310">
        <f>SUM(F18:F22)</f>
        <v>-13</v>
      </c>
      <c r="G23" s="2542">
        <f>Master!X47</f>
        <v>708</v>
      </c>
      <c r="H23" s="1310">
        <f>SUM(H18:H22)</f>
        <v>20.90809999999999</v>
      </c>
      <c r="I23" s="1310">
        <f>SUM(I18:I22)</f>
        <v>4.8500000000029075E-2</v>
      </c>
      <c r="J23" s="1310">
        <f>SUM(J18:J22)</f>
        <v>-38.302299999999995</v>
      </c>
      <c r="K23" s="1310">
        <f>SUM(K18:K22)</f>
        <v>50.180700000000002</v>
      </c>
      <c r="L23" s="2542">
        <f>Master!Y47</f>
        <v>173.13499999999976</v>
      </c>
      <c r="M23" s="1310">
        <f>SUM(M18:M22)</f>
        <v>-1.7250999999999976</v>
      </c>
      <c r="N23" s="1310">
        <f>SUM(N18:N22)</f>
        <v>-15.072800000000029</v>
      </c>
      <c r="O23" s="1310">
        <f>SUM(O18:O22)</f>
        <v>24.571699999999964</v>
      </c>
      <c r="P23" s="1310">
        <f>SUM(P18:P22)</f>
        <v>-26.498299999999972</v>
      </c>
      <c r="Q23" s="2542">
        <f>Master!Z47</f>
        <v>-82.714500000000044</v>
      </c>
      <c r="R23" s="1310">
        <f>SUM(R18:R22)</f>
        <v>91.833000000000027</v>
      </c>
      <c r="S23" s="1310">
        <f>SUM(S18:S22)</f>
        <v>77.599300000000042</v>
      </c>
      <c r="T23" s="1310">
        <f>SUM(T18:T22)</f>
        <v>51.035399999999967</v>
      </c>
      <c r="U23" s="1310">
        <f>SUM(U18:U22)</f>
        <v>34.896299999999933</v>
      </c>
      <c r="V23" s="2542">
        <f>SUM(R23:U23)</f>
        <v>255.36399999999998</v>
      </c>
      <c r="W23" s="1310">
        <f>SUM(W18:W22)</f>
        <v>62</v>
      </c>
      <c r="X23" s="1310">
        <f t="shared" ref="X23:Z23" si="5">SUM(X18:X22)</f>
        <v>82</v>
      </c>
      <c r="Y23" s="1310">
        <f t="shared" si="5"/>
        <v>77</v>
      </c>
      <c r="Z23" s="1310">
        <f t="shared" ca="1" si="5"/>
        <v>77.230377641653277</v>
      </c>
      <c r="AA23" s="1342">
        <f ca="1">Master!AB47</f>
        <v>298.23037764165321</v>
      </c>
      <c r="AB23" s="1342">
        <f ca="1">Master!AC47</f>
        <v>584.8039710693763</v>
      </c>
      <c r="AC23" s="1342">
        <f ca="1">Master!AD47</f>
        <v>571.80876661784896</v>
      </c>
      <c r="AD23" s="2542"/>
      <c r="AE23" s="1515">
        <f>SUM(M23:P23)</f>
        <v>-18.724500000000035</v>
      </c>
      <c r="AF23" s="1515">
        <f>Q23</f>
        <v>-82.714500000000044</v>
      </c>
      <c r="AG23" s="1515">
        <f>AE23-AF23</f>
        <v>63.990000000000009</v>
      </c>
      <c r="AH23" s="1504"/>
      <c r="AI23" s="1504"/>
      <c r="AJ23" s="1504"/>
      <c r="AK23" s="1504"/>
      <c r="AL23" s="1504"/>
      <c r="AM23" s="1504"/>
      <c r="AN23" s="1504"/>
      <c r="AO23" s="1504"/>
    </row>
    <row r="24" spans="1:50" ht="15.75">
      <c r="A24" s="2573"/>
      <c r="B24" s="1509" t="s">
        <v>5311</v>
      </c>
      <c r="C24" s="1313">
        <f>C23/100</f>
        <v>-0.16</v>
      </c>
      <c r="D24" s="1313">
        <v>-0.98410806194218858</v>
      </c>
      <c r="E24" s="1313">
        <v>4.90981568457197E-2</v>
      </c>
      <c r="F24" s="1313">
        <f>F23/100</f>
        <v>-0.13</v>
      </c>
      <c r="G24" s="2543"/>
      <c r="H24" s="1313">
        <f>H23/100</f>
        <v>0.20908099999999991</v>
      </c>
      <c r="I24" s="1313">
        <f>I23/100</f>
        <v>4.8500000000029075E-4</v>
      </c>
      <c r="J24" s="1313">
        <f>J23/100</f>
        <v>-0.38302299999999995</v>
      </c>
      <c r="K24" s="1313">
        <f>K23/100</f>
        <v>0.501807</v>
      </c>
      <c r="L24" s="2543"/>
      <c r="M24" s="1313">
        <f>M23/100</f>
        <v>-1.7250999999999975E-2</v>
      </c>
      <c r="N24" s="1313">
        <f>N23/100</f>
        <v>-0.15072800000000031</v>
      </c>
      <c r="O24" s="1313">
        <f>O23/100</f>
        <v>0.24571699999999963</v>
      </c>
      <c r="P24" s="1313">
        <f>P23/100</f>
        <v>-0.26498299999999975</v>
      </c>
      <c r="Q24" s="2543"/>
      <c r="R24" s="1313">
        <v>0.54</v>
      </c>
      <c r="S24" s="1313">
        <f>S23/Master!AA54</f>
        <v>0.4529679592325162</v>
      </c>
      <c r="T24" s="1313">
        <f>T23/Master!AA54</f>
        <v>0.2979073391978424</v>
      </c>
      <c r="U24" s="1313">
        <f>U23/Master!AA54</f>
        <v>0.20369907712782997</v>
      </c>
      <c r="V24" s="2543">
        <f>V23/Master!AA54</f>
        <v>1.4906282652221372</v>
      </c>
      <c r="W24" s="1313">
        <f>W23/Master!$AB$53</f>
        <v>0.35929531757070005</v>
      </c>
      <c r="X24" s="1313">
        <f>X23/Master!$AB$53</f>
        <v>0.47519703291608717</v>
      </c>
      <c r="Y24" s="1313">
        <f>Y23/Master!$AB$53</f>
        <v>0.44622160407974037</v>
      </c>
      <c r="Z24" s="1313">
        <f ca="1">Z23/Master!$AB$53</f>
        <v>0.44755666227198238</v>
      </c>
      <c r="AA24" s="1343">
        <f ca="1">AA23/Master!AB54</f>
        <v>1.7926484713647457</v>
      </c>
      <c r="AB24" s="1343">
        <f ca="1">AB23/Master!AC54</f>
        <v>3.6241515779291182</v>
      </c>
      <c r="AC24" s="1343">
        <f ca="1">AC23/Master!AD54</f>
        <v>3.6569314135559496</v>
      </c>
      <c r="AD24" s="2543"/>
      <c r="AE24" s="1504"/>
      <c r="AF24" s="1504"/>
      <c r="AG24" s="1504"/>
      <c r="AH24" s="1504"/>
      <c r="AI24" s="1504"/>
      <c r="AJ24" s="1504"/>
      <c r="AK24" s="1504"/>
      <c r="AL24" s="1504"/>
      <c r="AM24" s="1504"/>
      <c r="AN24" s="1504"/>
      <c r="AO24" s="1504"/>
    </row>
    <row r="25" spans="1:50" ht="15.75">
      <c r="A25" s="2573"/>
      <c r="B25" s="1509"/>
      <c r="C25" s="1273"/>
      <c r="D25" s="1273"/>
      <c r="E25" s="1273">
        <v>0</v>
      </c>
      <c r="F25" s="1273"/>
      <c r="G25" s="2543"/>
      <c r="H25" s="1273"/>
      <c r="I25" s="1273"/>
      <c r="J25" s="1273"/>
      <c r="K25" s="1273"/>
      <c r="L25" s="2543"/>
      <c r="M25" s="1273"/>
      <c r="N25" s="1273"/>
      <c r="O25" s="1273"/>
      <c r="P25" s="1273"/>
      <c r="Q25" s="2543"/>
      <c r="R25" s="1273"/>
      <c r="S25" s="1273"/>
      <c r="T25" s="1273"/>
      <c r="U25" s="1273"/>
      <c r="V25" s="2543"/>
      <c r="W25" s="1273"/>
      <c r="X25" s="1273"/>
      <c r="Y25" s="1273"/>
      <c r="Z25" s="1273"/>
      <c r="AA25" s="1343"/>
      <c r="AB25" s="1343"/>
      <c r="AC25" s="1343"/>
      <c r="AD25" s="2543"/>
      <c r="AE25" s="1504"/>
      <c r="AF25" s="1504"/>
      <c r="AG25" s="1504"/>
      <c r="AH25" s="1504"/>
      <c r="AI25" s="1504"/>
      <c r="AJ25" s="1504"/>
      <c r="AK25" s="1504"/>
      <c r="AL25" s="1504"/>
      <c r="AM25" s="1504"/>
      <c r="AN25" s="1504"/>
      <c r="AO25" s="1504"/>
    </row>
    <row r="26" spans="1:50" ht="15.75">
      <c r="A26" s="2573"/>
      <c r="B26" s="1504" t="s">
        <v>5051</v>
      </c>
      <c r="C26" s="1273">
        <f>'New (new) quarts'!AP417</f>
        <v>174</v>
      </c>
      <c r="D26" s="1273">
        <v>251.73386755183802</v>
      </c>
      <c r="E26" s="1273">
        <v>300.36509514639602</v>
      </c>
      <c r="F26" s="1273">
        <f>'New (new) quarts'!AS417</f>
        <v>436</v>
      </c>
      <c r="G26" s="2541">
        <f ca="1">'New split'!K437</f>
        <v>1111</v>
      </c>
      <c r="H26" s="1273">
        <f>'New (new) quarts'!AU417</f>
        <v>199</v>
      </c>
      <c r="I26" s="1273">
        <f>'New (new) quarts'!AV417</f>
        <v>254.93</v>
      </c>
      <c r="J26" s="1273">
        <f>'New (new) quarts'!AW417</f>
        <v>253</v>
      </c>
      <c r="K26" s="1273">
        <f>'New (new) quarts'!AX417</f>
        <v>265.79000000000002</v>
      </c>
      <c r="L26" s="2541">
        <f>'New split'!L437</f>
        <v>973</v>
      </c>
      <c r="M26" s="1273">
        <f>'New (new) quarts'!AZ417</f>
        <v>185</v>
      </c>
      <c r="N26" s="1273">
        <f>'New (new) quarts'!BA417</f>
        <v>182</v>
      </c>
      <c r="O26" s="1273">
        <f>'New (new) quarts'!BB417</f>
        <v>180</v>
      </c>
      <c r="P26" s="1273">
        <f>'New (new) quarts'!BC417</f>
        <v>262.48</v>
      </c>
      <c r="Q26" s="2541">
        <f>'New split'!M437</f>
        <v>809</v>
      </c>
      <c r="R26" s="1273">
        <f>'New (new) quarts'!BE417</f>
        <v>113</v>
      </c>
      <c r="S26" s="1273">
        <f>'New (new) quarts'!BF417</f>
        <v>134</v>
      </c>
      <c r="T26" s="1273">
        <f>'New (new) quarts'!BG417</f>
        <v>166</v>
      </c>
      <c r="U26" s="1273">
        <f>'New (new) quarts'!BH417</f>
        <v>263.74299999999999</v>
      </c>
      <c r="V26" s="2541">
        <f>'New split'!N399</f>
        <v>677</v>
      </c>
      <c r="W26" s="1273">
        <f>'New (new) quarts'!BJ417</f>
        <v>120</v>
      </c>
      <c r="X26" s="1273">
        <f>'New (new) quarts'!BK417</f>
        <v>135</v>
      </c>
      <c r="Y26" s="1273">
        <f>'New (new) quarts'!BL417</f>
        <v>170</v>
      </c>
      <c r="Z26" s="1273">
        <f>'New (new) quarts'!BM417</f>
        <v>255.1684569653894</v>
      </c>
      <c r="AA26" s="1341">
        <f>'New split'!O398</f>
        <v>680.1684569653894</v>
      </c>
      <c r="AB26" s="1341">
        <f>'New split'!P398</f>
        <v>658.17007617557863</v>
      </c>
      <c r="AC26" s="1341">
        <f>'New split'!Q398</f>
        <v>654.72975816629184</v>
      </c>
      <c r="AD26" s="2541"/>
      <c r="AE26" s="1515">
        <f>SUM(M26:P26)</f>
        <v>809.48</v>
      </c>
      <c r="AF26" s="1515">
        <f>Q26</f>
        <v>809</v>
      </c>
      <c r="AG26" s="1515">
        <f>AE26-AF26</f>
        <v>0.48000000000001819</v>
      </c>
      <c r="AH26" s="1504"/>
      <c r="AI26" s="1504"/>
      <c r="AJ26" s="1504"/>
      <c r="AK26" s="1504"/>
      <c r="AL26" s="1504"/>
      <c r="AM26" s="1504"/>
      <c r="AN26" s="1504"/>
      <c r="AO26" s="1504"/>
    </row>
    <row r="27" spans="1:50" ht="15.75">
      <c r="A27" s="2573"/>
      <c r="B27" s="1504" t="s">
        <v>7049</v>
      </c>
      <c r="C27" s="1273">
        <f>C6-C26</f>
        <v>495</v>
      </c>
      <c r="D27" s="1273">
        <v>399.04484760684704</v>
      </c>
      <c r="E27" s="1273">
        <v>350.02101158212201</v>
      </c>
      <c r="F27" s="1273">
        <f t="shared" ref="F27:AA27" si="6">F6-F26</f>
        <v>231</v>
      </c>
      <c r="G27" s="2541">
        <f t="shared" ca="1" si="6"/>
        <v>1502</v>
      </c>
      <c r="H27" s="1273">
        <f t="shared" si="6"/>
        <v>364.90809999999999</v>
      </c>
      <c r="I27" s="1273">
        <f t="shared" si="6"/>
        <v>322.17850000000004</v>
      </c>
      <c r="J27" s="1273">
        <f t="shared" si="6"/>
        <v>286.1377</v>
      </c>
      <c r="K27" s="1273">
        <f t="shared" si="6"/>
        <v>282.19069999999994</v>
      </c>
      <c r="L27" s="2541">
        <f t="shared" si="6"/>
        <v>1255.1349999999998</v>
      </c>
      <c r="M27" s="1273">
        <f t="shared" si="6"/>
        <v>337.2749</v>
      </c>
      <c r="N27" s="1273">
        <f t="shared" si="6"/>
        <v>346.92719999999997</v>
      </c>
      <c r="O27" s="1273">
        <f t="shared" si="6"/>
        <v>385.58169999999996</v>
      </c>
      <c r="P27" s="1273">
        <f t="shared" ref="P27" si="7">P6-P26</f>
        <v>336.02170000000001</v>
      </c>
      <c r="Q27" s="2541">
        <f t="shared" si="6"/>
        <v>1406.2855</v>
      </c>
      <c r="R27" s="1273">
        <f t="shared" si="6"/>
        <v>518.80830000000003</v>
      </c>
      <c r="S27" s="1273">
        <f t="shared" ref="S27" si="8">S6-S26</f>
        <v>499.90470000000005</v>
      </c>
      <c r="T27" s="1273">
        <f t="shared" ref="T27:U27" si="9">T6-T26</f>
        <v>419.03099999999995</v>
      </c>
      <c r="U27" s="1273">
        <f t="shared" si="9"/>
        <v>354.15879999999999</v>
      </c>
      <c r="V27" s="2541">
        <f t="shared" ca="1" si="6"/>
        <v>1791.6458000000002</v>
      </c>
      <c r="W27" s="1273">
        <f t="shared" si="6"/>
        <v>467.5</v>
      </c>
      <c r="X27" s="1273">
        <f t="shared" si="6"/>
        <v>467.5</v>
      </c>
      <c r="Y27" s="1273">
        <f t="shared" si="6"/>
        <v>432.5</v>
      </c>
      <c r="Z27" s="1273">
        <f t="shared" si="6"/>
        <v>334.01696294928161</v>
      </c>
      <c r="AA27" s="1341">
        <f t="shared" si="6"/>
        <v>1701.5169629492816</v>
      </c>
      <c r="AB27" s="1341">
        <f t="shared" ref="AB27:AC27" si="10">AB6-AB26</f>
        <v>1738.0289260333811</v>
      </c>
      <c r="AC27" s="1341">
        <f t="shared" si="10"/>
        <v>1806.2783490777629</v>
      </c>
      <c r="AD27" s="2541"/>
      <c r="AE27" s="1515">
        <f>SUM(M27:P27)</f>
        <v>1405.8054999999999</v>
      </c>
      <c r="AF27" s="1515">
        <f>Q27</f>
        <v>1406.2855</v>
      </c>
      <c r="AG27" s="1515">
        <f>AE27-AF27</f>
        <v>-0.48000000000001819</v>
      </c>
      <c r="AH27" s="1504"/>
      <c r="AI27" s="1504"/>
      <c r="AJ27" s="1504"/>
      <c r="AK27" s="1504"/>
      <c r="AL27" s="1504"/>
      <c r="AM27" s="1504"/>
      <c r="AN27" s="1504"/>
      <c r="AO27" s="1504"/>
    </row>
    <row r="28" spans="1:50" ht="15.75">
      <c r="A28" s="2573"/>
      <c r="B28" s="1504" t="s">
        <v>8729</v>
      </c>
      <c r="C28" s="1273"/>
      <c r="D28" s="1273"/>
      <c r="E28" s="1273"/>
      <c r="F28" s="1273"/>
      <c r="G28" s="2541"/>
      <c r="H28" s="1273"/>
      <c r="I28" s="1273"/>
      <c r="J28" s="1273"/>
      <c r="K28" s="1273"/>
      <c r="L28" s="2541"/>
      <c r="M28" s="1273"/>
      <c r="N28" s="1273"/>
      <c r="O28" s="1273"/>
      <c r="P28" s="1273"/>
      <c r="Q28" s="2541"/>
      <c r="R28" s="1273">
        <f>'New (new) quarts'!BE541</f>
        <v>5974</v>
      </c>
      <c r="S28" s="1273">
        <f>'New (new) quarts'!BF541</f>
        <v>5650</v>
      </c>
      <c r="T28" s="1273">
        <f>T29-(V29-V28)</f>
        <v>5531</v>
      </c>
      <c r="U28" s="1273">
        <f>V28</f>
        <v>5175</v>
      </c>
      <c r="V28" s="2541">
        <f>V29-Master!AA434</f>
        <v>5175</v>
      </c>
      <c r="W28" s="1273">
        <f>'New (new) quarts'!BJ541</f>
        <v>4925</v>
      </c>
      <c r="X28" s="1273">
        <f>'New (new) quarts'!BK541</f>
        <v>4675</v>
      </c>
      <c r="Y28" s="1273">
        <f>'New (new) quarts'!BL541</f>
        <v>4425</v>
      </c>
      <c r="Z28" s="1273">
        <f ca="1">'New (new) quarts'!BM541</f>
        <v>4433.9932365614623</v>
      </c>
      <c r="AA28" s="1341">
        <f ca="1">AA29-Master!AB434</f>
        <v>4433.9932365614623</v>
      </c>
      <c r="AB28" s="1341">
        <f ca="1">AB29-Master!AC434</f>
        <v>4607.9053884406785</v>
      </c>
      <c r="AC28" s="1341">
        <f ca="1">AC29-Master!AD434</f>
        <v>4757.3017002399047</v>
      </c>
      <c r="AD28" s="2541"/>
      <c r="AE28" s="1515"/>
      <c r="AF28" s="1515"/>
      <c r="AG28" s="1515"/>
      <c r="AH28" s="1504"/>
      <c r="AI28" s="1504"/>
      <c r="AJ28" s="1504"/>
      <c r="AK28" s="1504"/>
      <c r="AL28" s="1504"/>
      <c r="AM28" s="1504"/>
      <c r="AN28" s="1504"/>
      <c r="AO28" s="1504"/>
    </row>
    <row r="29" spans="1:50" ht="15.75">
      <c r="A29" s="2573"/>
      <c r="B29" s="2548" t="s">
        <v>150</v>
      </c>
      <c r="C29" s="1273">
        <f>'New (new) quarts'!AP539</f>
        <v>6622</v>
      </c>
      <c r="D29" s="1273">
        <v>6346.935189291522</v>
      </c>
      <c r="E29" s="1273">
        <v>6236.2350515140597</v>
      </c>
      <c r="F29" s="1273">
        <f>'New (new) quarts'!AS539</f>
        <v>8282</v>
      </c>
      <c r="G29" s="2541">
        <f>Master!X150</f>
        <v>8281</v>
      </c>
      <c r="H29" s="1273">
        <f>'New (new) quarts'!AU539</f>
        <v>7795</v>
      </c>
      <c r="I29" s="1273">
        <f>'New (new) quarts'!AV539</f>
        <v>7118</v>
      </c>
      <c r="J29" s="1273">
        <f>'New (new) quarts'!AW539</f>
        <v>7006</v>
      </c>
      <c r="K29" s="1273">
        <f>'New (new) quarts'!AX539</f>
        <v>6780.44</v>
      </c>
      <c r="L29" s="2541">
        <f>Master!Y150</f>
        <v>6815</v>
      </c>
      <c r="M29" s="1273">
        <f>'New (new) quarts'!AZ539</f>
        <v>7009</v>
      </c>
      <c r="N29" s="1273">
        <f>'New (new) quarts'!BA539</f>
        <v>7110</v>
      </c>
      <c r="O29" s="1273">
        <f>'New (new) quarts'!BB539</f>
        <v>7034</v>
      </c>
      <c r="P29" s="1273">
        <f>'New (new) quarts'!BC539</f>
        <v>6998.6440000000002</v>
      </c>
      <c r="Q29" s="2541">
        <f>Master!Z150</f>
        <v>6999</v>
      </c>
      <c r="R29" s="1273">
        <f>'New (new) quarts'!BE539</f>
        <v>7114</v>
      </c>
      <c r="S29" s="1273">
        <f>'New (new) quarts'!BF539</f>
        <v>6728</v>
      </c>
      <c r="T29" s="1273">
        <f>'New (new) quarts'!BG539</f>
        <v>6485</v>
      </c>
      <c r="U29" s="1273">
        <f>'New (new) quarts'!BH539</f>
        <v>6129</v>
      </c>
      <c r="V29" s="2541">
        <f>U29</f>
        <v>6129</v>
      </c>
      <c r="W29" s="1273">
        <f>'New (new) quarts'!BJ539</f>
        <v>5885</v>
      </c>
      <c r="X29" s="1273">
        <f>'New (new) quarts'!BK539</f>
        <v>5640</v>
      </c>
      <c r="Y29" s="1273">
        <f>'New (new) quarts'!BL539</f>
        <v>5395</v>
      </c>
      <c r="Z29" s="1273">
        <f ca="1">'New (new) quarts'!BM539</f>
        <v>5411.8432365614617</v>
      </c>
      <c r="AA29" s="1341">
        <f ca="1">Master!AB150</f>
        <v>5411.8432365614617</v>
      </c>
      <c r="AB29" s="1341">
        <f ca="1">Master!AC150</f>
        <v>5610.2016384406788</v>
      </c>
      <c r="AC29" s="1341">
        <f ca="1">Master!AD150</f>
        <v>5784.6553564899041</v>
      </c>
      <c r="AD29" s="2541"/>
      <c r="AE29" s="1515"/>
      <c r="AF29" s="1515"/>
      <c r="AG29" s="1515"/>
      <c r="AH29" s="1504"/>
      <c r="AI29" s="1504"/>
      <c r="AJ29" s="1504"/>
      <c r="AK29" s="1504"/>
      <c r="AL29" s="1504"/>
      <c r="AM29" s="1504"/>
      <c r="AN29" s="1504"/>
      <c r="AO29" s="1504"/>
    </row>
    <row r="30" spans="1:50" ht="15.75">
      <c r="A30" s="2573"/>
      <c r="B30" s="1504"/>
      <c r="C30" s="1273"/>
      <c r="D30" s="1273"/>
      <c r="E30" s="1273"/>
      <c r="F30" s="1273"/>
      <c r="G30" s="2541"/>
      <c r="H30" s="1273"/>
      <c r="I30" s="1273"/>
      <c r="J30" s="1273"/>
      <c r="K30" s="1273"/>
      <c r="L30" s="2541"/>
      <c r="M30" s="1273"/>
      <c r="N30" s="1273"/>
      <c r="O30" s="1273"/>
      <c r="P30" s="1273"/>
      <c r="Q30" s="2541"/>
      <c r="R30" s="1273"/>
      <c r="S30" s="1273"/>
      <c r="T30" s="1273"/>
      <c r="U30" s="1273"/>
      <c r="V30" s="2541"/>
      <c r="W30" s="1273"/>
      <c r="X30" s="1273"/>
      <c r="Y30" s="1273"/>
      <c r="Z30" s="1273"/>
      <c r="AA30" s="1341"/>
      <c r="AB30" s="1341"/>
      <c r="AC30" s="1341"/>
      <c r="AD30" s="2541"/>
      <c r="AE30" s="1504"/>
      <c r="AF30" s="1504"/>
      <c r="AG30" s="1504"/>
      <c r="AH30" s="1504"/>
      <c r="AI30" s="1504"/>
      <c r="AJ30" s="1504"/>
      <c r="AK30" s="1504"/>
      <c r="AL30" s="1504"/>
      <c r="AM30" s="1504"/>
      <c r="AN30" s="1504"/>
      <c r="AO30" s="1504"/>
    </row>
    <row r="31" spans="1:50" ht="26.25" customHeight="1">
      <c r="A31" s="1505"/>
      <c r="B31" s="1505" t="s">
        <v>7475</v>
      </c>
      <c r="C31" s="1507" t="s">
        <v>7045</v>
      </c>
      <c r="D31" s="1507" t="s">
        <v>7046</v>
      </c>
      <c r="E31" s="1507" t="s">
        <v>7047</v>
      </c>
      <c r="F31" s="1507" t="s">
        <v>7048</v>
      </c>
      <c r="G31" s="1507" t="s">
        <v>6278</v>
      </c>
      <c r="H31" s="1507" t="s">
        <v>7410</v>
      </c>
      <c r="I31" s="1507" t="s">
        <v>7293</v>
      </c>
      <c r="J31" s="1507" t="s">
        <v>7411</v>
      </c>
      <c r="K31" s="1507" t="s">
        <v>7412</v>
      </c>
      <c r="L31" s="1507" t="str">
        <f t="shared" ref="L31:AA31" si="11">L3</f>
        <v>FY 22</v>
      </c>
      <c r="M31" s="1507" t="str">
        <f t="shared" si="11"/>
        <v>Q1 23</v>
      </c>
      <c r="N31" s="1507" t="str">
        <f t="shared" si="11"/>
        <v>Q2 23</v>
      </c>
      <c r="O31" s="1507" t="str">
        <f t="shared" si="11"/>
        <v>Q3 23</v>
      </c>
      <c r="P31" s="1507" t="str">
        <f t="shared" si="11"/>
        <v>Q4 23</v>
      </c>
      <c r="Q31" s="1507" t="str">
        <f t="shared" si="11"/>
        <v>FY 23</v>
      </c>
      <c r="R31" s="1507" t="str">
        <f t="shared" si="11"/>
        <v>Q1 24</v>
      </c>
      <c r="S31" s="1507" t="str">
        <f t="shared" ref="S31:T31" si="12">S3</f>
        <v>Q2 24</v>
      </c>
      <c r="T31" s="1507" t="str">
        <f t="shared" si="12"/>
        <v>Q3 24</v>
      </c>
      <c r="U31" s="1507" t="str">
        <f t="shared" ref="U31" si="13">U3</f>
        <v>Q4 24</v>
      </c>
      <c r="V31" s="1507" t="str">
        <f t="shared" si="11"/>
        <v>FY 24</v>
      </c>
      <c r="W31" s="1507" t="s">
        <v>9176</v>
      </c>
      <c r="X31" s="1507" t="s">
        <v>9177</v>
      </c>
      <c r="Y31" s="1507" t="s">
        <v>9178</v>
      </c>
      <c r="Z31" s="1507" t="s">
        <v>9179</v>
      </c>
      <c r="AA31" s="1507" t="str">
        <f t="shared" si="11"/>
        <v>FY 25</v>
      </c>
      <c r="AB31" s="1507" t="str">
        <f t="shared" ref="AB31:AC31" si="14">AB3</f>
        <v>FY 26</v>
      </c>
      <c r="AC31" s="1507" t="str">
        <f t="shared" si="14"/>
        <v>FY 27</v>
      </c>
      <c r="AD31" s="2545"/>
      <c r="AE31" s="1504"/>
      <c r="AF31" s="1504"/>
      <c r="AG31" s="1504"/>
      <c r="AH31" s="1504"/>
      <c r="AI31" s="1504"/>
      <c r="AJ31" s="1504"/>
      <c r="AK31" s="1504"/>
      <c r="AL31" s="1504"/>
      <c r="AM31" s="1504"/>
      <c r="AN31" s="1504"/>
      <c r="AO31" s="1504"/>
      <c r="AX31">
        <v>2022</v>
      </c>
    </row>
    <row r="32" spans="1:50" ht="15.75">
      <c r="A32" s="1508"/>
      <c r="B32" s="1504" t="s">
        <v>7476</v>
      </c>
      <c r="C32" s="1273"/>
      <c r="D32" s="1273"/>
      <c r="E32" s="1273"/>
      <c r="F32" s="1273"/>
      <c r="G32" s="2541"/>
      <c r="H32" s="1273">
        <f>'New (new) quarts'!AU137</f>
        <v>563.90809999999999</v>
      </c>
      <c r="I32" s="1273">
        <f>'New (new) quarts'!AV137</f>
        <v>577.10850000000005</v>
      </c>
      <c r="J32" s="1273">
        <f>'New (new) quarts'!AW137</f>
        <v>539.1377</v>
      </c>
      <c r="K32" s="1273">
        <f>'New (new) quarts'!AX137</f>
        <v>547.98069999999996</v>
      </c>
      <c r="L32" s="2541">
        <f>L6</f>
        <v>2228.1349999999998</v>
      </c>
      <c r="M32" s="1273">
        <f>'New (new) quarts'!AZ137</f>
        <v>507.2749</v>
      </c>
      <c r="N32" s="1273">
        <f>'New (new) quarts'!BA137</f>
        <v>514.92719999999997</v>
      </c>
      <c r="O32" s="1273">
        <f>'New (new) quarts'!BB137</f>
        <v>532.58169999999996</v>
      </c>
      <c r="P32" s="1273">
        <f>'New (new) quarts'!BC137</f>
        <v>556.50170000000003</v>
      </c>
      <c r="Q32" s="2541">
        <f>Q6</f>
        <v>2215.2855</v>
      </c>
      <c r="R32" s="1273">
        <f>'New (new) quarts'!BE137</f>
        <v>631.80830000000003</v>
      </c>
      <c r="S32" s="1273">
        <f>'New (new) quarts'!BF137</f>
        <v>633.90470000000005</v>
      </c>
      <c r="T32" s="1273">
        <f>'New (new) quarts'!BG137</f>
        <v>585.03099999999995</v>
      </c>
      <c r="U32" s="1273">
        <f>'New (new) quarts'!BH137</f>
        <v>617.90179999999998</v>
      </c>
      <c r="V32" s="2541">
        <f ca="1">V6</f>
        <v>2468.6458000000002</v>
      </c>
      <c r="W32" s="1273">
        <f>'New (new) quarts'!BJ482</f>
        <v>587.5</v>
      </c>
      <c r="X32" s="1273">
        <f>'New (new) quarts'!BK482</f>
        <v>602.5</v>
      </c>
      <c r="Y32" s="1273">
        <f>'New (new) quarts'!BL482</f>
        <v>602.5</v>
      </c>
      <c r="Z32" s="1273">
        <f>'New (new) quarts'!BM482</f>
        <v>589.185419914671</v>
      </c>
      <c r="AA32" s="1341">
        <f>AA6</f>
        <v>2381.685419914671</v>
      </c>
      <c r="AB32" s="1341">
        <f>AB6</f>
        <v>2396.1990022089599</v>
      </c>
      <c r="AC32" s="1341">
        <f>AC6</f>
        <v>2461.0081072440548</v>
      </c>
      <c r="AD32" s="2541"/>
      <c r="AE32" s="1515">
        <f>SUM(M32:P32)</f>
        <v>2111.2855</v>
      </c>
      <c r="AF32" s="1515">
        <f>Q32</f>
        <v>2215.2855</v>
      </c>
      <c r="AG32" s="1515">
        <f>AE32-AF32</f>
        <v>-104</v>
      </c>
      <c r="AH32" s="1504"/>
      <c r="AI32" s="1504"/>
      <c r="AJ32" s="1504"/>
      <c r="AK32" s="1504"/>
      <c r="AL32" s="1504"/>
      <c r="AM32" s="1504"/>
      <c r="AN32" s="1504"/>
      <c r="AO32" s="1504"/>
    </row>
    <row r="33" spans="1:45" ht="15.75">
      <c r="A33" s="1508"/>
      <c r="B33" s="1504" t="s">
        <v>7477</v>
      </c>
      <c r="C33" s="1273"/>
      <c r="D33" s="1273"/>
      <c r="E33" s="1273"/>
      <c r="F33" s="1273"/>
      <c r="G33" s="2541"/>
      <c r="H33" s="1273">
        <v>30</v>
      </c>
      <c r="I33" s="1273">
        <v>-8</v>
      </c>
      <c r="J33" s="1273">
        <v>2</v>
      </c>
      <c r="K33" s="1273">
        <v>2</v>
      </c>
      <c r="L33" s="2541">
        <f>'New (new) quarts'!AY490</f>
        <v>24.02</v>
      </c>
      <c r="M33" s="1273">
        <v>0</v>
      </c>
      <c r="N33" s="1273">
        <v>0</v>
      </c>
      <c r="O33" s="1273">
        <v>0</v>
      </c>
      <c r="P33" s="1273">
        <v>0</v>
      </c>
      <c r="Q33" s="2541">
        <f>'New (new) quarts'!BD490</f>
        <v>4.1879999999999997</v>
      </c>
      <c r="R33" s="1273">
        <f>'New (new) quarts'!BE490</f>
        <v>-9.8000000000000004E-2</v>
      </c>
      <c r="S33" s="1273">
        <f>'New (new) quarts'!BF490</f>
        <v>-0.20100000000000001</v>
      </c>
      <c r="T33" s="1273">
        <f>'New (new) quarts'!BG490</f>
        <v>0</v>
      </c>
      <c r="U33" s="1273">
        <f>'New (new) quarts'!BH490</f>
        <v>-3.0590000000000002</v>
      </c>
      <c r="V33" s="2541">
        <v>0</v>
      </c>
      <c r="W33" s="1273">
        <f>'New (new) quarts'!BJ490</f>
        <v>0</v>
      </c>
      <c r="X33" s="1273">
        <f>'New (new) quarts'!BK490</f>
        <v>0</v>
      </c>
      <c r="Y33" s="1273">
        <f>'New (new) quarts'!BL490</f>
        <v>0</v>
      </c>
      <c r="Z33" s="1273">
        <f>'New (new) quarts'!BM490</f>
        <v>0</v>
      </c>
      <c r="AA33" s="1341">
        <f>'New (new) quarts'!BN490</f>
        <v>0</v>
      </c>
      <c r="AB33" s="1341">
        <f>'New (new) quarts'!BO490</f>
        <v>0</v>
      </c>
      <c r="AC33" s="1341">
        <f>'New (new) quarts'!BP490</f>
        <v>0</v>
      </c>
      <c r="AD33" s="2541"/>
      <c r="AE33" s="1504"/>
      <c r="AF33" s="1504"/>
      <c r="AG33" s="1504"/>
      <c r="AH33" s="1504"/>
      <c r="AI33" s="1504"/>
      <c r="AJ33" s="1504"/>
      <c r="AK33" s="1504"/>
      <c r="AL33" s="1504"/>
      <c r="AM33" s="1504"/>
      <c r="AN33" s="1504"/>
      <c r="AO33" s="1504"/>
    </row>
    <row r="34" spans="1:45" ht="15.75">
      <c r="A34" s="1508"/>
      <c r="B34" s="1509" t="s">
        <v>7478</v>
      </c>
      <c r="C34" s="1310"/>
      <c r="D34" s="1310"/>
      <c r="E34" s="1310"/>
      <c r="F34" s="1310">
        <f t="shared" ref="F34:F51" si="15">G34-E34-D34-C34</f>
        <v>2613</v>
      </c>
      <c r="G34" s="2542">
        <f>G6</f>
        <v>2613</v>
      </c>
      <c r="H34" s="1310">
        <f t="shared" ref="H34:AA34" si="16">H32+H33</f>
        <v>593.90809999999999</v>
      </c>
      <c r="I34" s="1310">
        <f t="shared" si="16"/>
        <v>569.10850000000005</v>
      </c>
      <c r="J34" s="1310">
        <f t="shared" si="16"/>
        <v>541.1377</v>
      </c>
      <c r="K34" s="1310">
        <f t="shared" si="16"/>
        <v>549.98069999999996</v>
      </c>
      <c r="L34" s="2542">
        <f t="shared" si="16"/>
        <v>2252.1549999999997</v>
      </c>
      <c r="M34" s="1310">
        <f t="shared" si="16"/>
        <v>507.2749</v>
      </c>
      <c r="N34" s="1310">
        <f t="shared" si="16"/>
        <v>514.92719999999997</v>
      </c>
      <c r="O34" s="1310">
        <f t="shared" si="16"/>
        <v>532.58169999999996</v>
      </c>
      <c r="P34" s="1310">
        <f t="shared" ref="P34" si="17">P32+P33</f>
        <v>556.50170000000003</v>
      </c>
      <c r="Q34" s="2542">
        <f t="shared" si="16"/>
        <v>2219.4735000000001</v>
      </c>
      <c r="R34" s="1310">
        <f t="shared" si="16"/>
        <v>631.71030000000007</v>
      </c>
      <c r="S34" s="1310">
        <f t="shared" ref="S34" si="18">S32+S33</f>
        <v>633.70370000000003</v>
      </c>
      <c r="T34" s="1310">
        <f t="shared" ref="T34:U34" si="19">T32+T33</f>
        <v>585.03099999999995</v>
      </c>
      <c r="U34" s="1310">
        <f t="shared" si="19"/>
        <v>614.84280000000001</v>
      </c>
      <c r="V34" s="2542">
        <f t="shared" ca="1" si="16"/>
        <v>2468.6458000000002</v>
      </c>
      <c r="W34" s="1310">
        <f t="shared" si="16"/>
        <v>587.5</v>
      </c>
      <c r="X34" s="1310">
        <f t="shared" si="16"/>
        <v>602.5</v>
      </c>
      <c r="Y34" s="1310">
        <f t="shared" si="16"/>
        <v>602.5</v>
      </c>
      <c r="Z34" s="1310">
        <f t="shared" si="16"/>
        <v>589.185419914671</v>
      </c>
      <c r="AA34" s="1342">
        <f t="shared" si="16"/>
        <v>2381.685419914671</v>
      </c>
      <c r="AB34" s="1342">
        <f t="shared" ref="AB34:AC34" si="20">AB32+AB33</f>
        <v>2396.1990022089599</v>
      </c>
      <c r="AC34" s="1342">
        <f t="shared" si="20"/>
        <v>2461.0081072440548</v>
      </c>
      <c r="AD34" s="2542"/>
      <c r="AE34" s="1515">
        <f>SUM(M34:P34)</f>
        <v>2111.2855</v>
      </c>
      <c r="AF34" s="1515">
        <f>Q34</f>
        <v>2219.4735000000001</v>
      </c>
      <c r="AG34" s="1515">
        <f>AE34-AF34</f>
        <v>-108.1880000000001</v>
      </c>
      <c r="AH34" s="1504"/>
      <c r="AI34" s="1504"/>
      <c r="AJ34" s="1504"/>
      <c r="AK34" s="1504"/>
      <c r="AL34" s="1504"/>
      <c r="AM34" s="1504"/>
      <c r="AN34" s="1504"/>
      <c r="AO34" s="1504"/>
    </row>
    <row r="35" spans="1:45" ht="15.75">
      <c r="A35" s="1508"/>
      <c r="B35" s="1509"/>
      <c r="C35" s="1310"/>
      <c r="D35" s="1310"/>
      <c r="E35" s="1310"/>
      <c r="F35" s="1310"/>
      <c r="G35" s="2542"/>
      <c r="H35" s="1310"/>
      <c r="I35" s="1310"/>
      <c r="J35" s="1310"/>
      <c r="K35" s="1310"/>
      <c r="L35" s="2542"/>
      <c r="M35" s="1310"/>
      <c r="N35" s="1310"/>
      <c r="O35" s="1310"/>
      <c r="P35" s="1310"/>
      <c r="Q35" s="2542"/>
      <c r="R35" s="1310"/>
      <c r="S35" s="1310"/>
      <c r="T35" s="1310"/>
      <c r="U35" s="1310"/>
      <c r="V35" s="2542"/>
      <c r="W35" s="1310"/>
      <c r="X35" s="1310"/>
      <c r="Y35" s="1310"/>
      <c r="Z35" s="1310"/>
      <c r="AA35" s="1342"/>
      <c r="AB35" s="1342"/>
      <c r="AC35" s="1342"/>
      <c r="AD35" s="2542"/>
      <c r="AE35" s="1515"/>
      <c r="AF35" s="1515"/>
      <c r="AG35" s="1515"/>
      <c r="AH35" s="1504"/>
      <c r="AI35" s="1504"/>
      <c r="AJ35" s="1504"/>
      <c r="AK35" s="1504"/>
      <c r="AL35" s="1504"/>
      <c r="AM35" s="1504"/>
      <c r="AN35" s="1504"/>
      <c r="AO35" s="1504"/>
    </row>
    <row r="36" spans="1:45" ht="15.75">
      <c r="A36" s="1508"/>
      <c r="B36" s="1504" t="s">
        <v>7479</v>
      </c>
      <c r="C36" s="1273"/>
      <c r="D36" s="1273"/>
      <c r="E36" s="1273"/>
      <c r="F36" s="1273">
        <f t="shared" ca="1" si="15"/>
        <v>-1111</v>
      </c>
      <c r="G36" s="2541">
        <f ca="1">Valuation!K22</f>
        <v>-1111</v>
      </c>
      <c r="H36" s="1273">
        <f>'New (new) quarts'!AU485</f>
        <v>-276</v>
      </c>
      <c r="I36" s="1273">
        <f>'New (new) quarts'!AV485</f>
        <v>-247.85</v>
      </c>
      <c r="J36" s="1273">
        <f>'New (new) quarts'!AW485</f>
        <v>-253</v>
      </c>
      <c r="K36" s="1273">
        <f>'New (new) quarts'!AX485</f>
        <v>-179.56</v>
      </c>
      <c r="L36" s="2541">
        <f>Valuation!L22</f>
        <v>-957</v>
      </c>
      <c r="M36" s="1273">
        <f>'New (new) quarts'!AZ485</f>
        <v>-289</v>
      </c>
      <c r="N36" s="1273">
        <f>'New (new) quarts'!BA485</f>
        <v>-224</v>
      </c>
      <c r="O36" s="1273">
        <f>'New (new) quarts'!BB485</f>
        <v>-204</v>
      </c>
      <c r="P36" s="1273">
        <f>'New (new) quarts'!BC485</f>
        <v>-214.61</v>
      </c>
      <c r="Q36" s="2541">
        <f>Valuation!M22</f>
        <v>-931</v>
      </c>
      <c r="R36" s="1273">
        <f>'New (new) quarts'!BE485</f>
        <v>-133</v>
      </c>
      <c r="S36" s="1273">
        <f>'New (new) quarts'!BF485</f>
        <v>-154</v>
      </c>
      <c r="T36" s="1273">
        <f>'New (new) quarts'!BG485</f>
        <v>-125</v>
      </c>
      <c r="U36" s="1273">
        <f>'New (new) quarts'!BH485</f>
        <v>-162.46600000000001</v>
      </c>
      <c r="V36" s="2541">
        <f>Valuation!N22</f>
        <v>-575</v>
      </c>
      <c r="W36" s="1273">
        <f>'New (new) quarts'!BJ485</f>
        <v>-150</v>
      </c>
      <c r="X36" s="1273">
        <f>'New (new) quarts'!BK485</f>
        <v>-150</v>
      </c>
      <c r="Y36" s="1273">
        <f>'New (new) quarts'!BL485</f>
        <v>-150</v>
      </c>
      <c r="Z36" s="1273">
        <f>'New (new) quarts'!BM485</f>
        <v>-130.1684569653894</v>
      </c>
      <c r="AA36" s="1341">
        <f>Valuation!O22</f>
        <v>-580.1684569653894</v>
      </c>
      <c r="AB36" s="1341">
        <f>Valuation!P22</f>
        <v>-558.17007617557863</v>
      </c>
      <c r="AC36" s="1341">
        <f>Valuation!Q22</f>
        <v>-554.72975816629184</v>
      </c>
      <c r="AD36" s="2541"/>
      <c r="AE36" s="1515">
        <f>SUM(M36:P36)</f>
        <v>-931.61</v>
      </c>
      <c r="AF36" s="1515">
        <f>Q36</f>
        <v>-931</v>
      </c>
      <c r="AG36" s="1515">
        <f>AE36-AF36</f>
        <v>-0.61000000000001364</v>
      </c>
      <c r="AH36" s="1504"/>
      <c r="AI36" s="1504"/>
      <c r="AJ36" s="1504"/>
      <c r="AK36" s="1504"/>
      <c r="AL36" s="1504"/>
      <c r="AM36" s="1504"/>
      <c r="AN36" s="1504"/>
      <c r="AO36" s="1504"/>
    </row>
    <row r="37" spans="1:45" ht="15.75">
      <c r="A37" s="1508"/>
      <c r="B37" s="1504" t="s">
        <v>7480</v>
      </c>
      <c r="C37" s="1273"/>
      <c r="D37" s="1273"/>
      <c r="E37" s="1273"/>
      <c r="F37" s="1273">
        <f t="shared" si="15"/>
        <v>0</v>
      </c>
      <c r="G37" s="2541">
        <f>-Valuation!K28</f>
        <v>0</v>
      </c>
      <c r="H37" s="1273">
        <f>'New (new) quarts'!AU486</f>
        <v>-30</v>
      </c>
      <c r="I37" s="1273">
        <f>'New (new) quarts'!AV486</f>
        <v>-19.18</v>
      </c>
      <c r="J37" s="1273">
        <f>'New (new) quarts'!AW486</f>
        <v>-26</v>
      </c>
      <c r="K37" s="1273">
        <f>'New (new) quarts'!AX486</f>
        <v>-17.75</v>
      </c>
      <c r="L37" s="2541">
        <f>-Valuation!L28</f>
        <v>-92.93</v>
      </c>
      <c r="M37" s="1273">
        <f>'New (new) quarts'!AZ486</f>
        <v>-53</v>
      </c>
      <c r="N37" s="1273">
        <f>'New (new) quarts'!BA486</f>
        <v>-48</v>
      </c>
      <c r="O37" s="1273">
        <f>'New (new) quarts'!BB486</f>
        <v>-12</v>
      </c>
      <c r="P37" s="1273">
        <f>'New (new) quarts'!BC486</f>
        <v>-123.027</v>
      </c>
      <c r="Q37" s="2541">
        <f>-Valuation!M28</f>
        <v>-236</v>
      </c>
      <c r="R37" s="1273">
        <f>'New (new) quarts'!BE486</f>
        <v>-78</v>
      </c>
      <c r="S37" s="1273">
        <f>'New (new) quarts'!BF486</f>
        <v>-22</v>
      </c>
      <c r="T37" s="1273">
        <f>'New (new) quarts'!BG486</f>
        <v>-9</v>
      </c>
      <c r="U37" s="1273">
        <f>'New (new) quarts'!BH486</f>
        <v>-26.169</v>
      </c>
      <c r="V37" s="2541">
        <f>-Valuation!N28</f>
        <v>-135</v>
      </c>
      <c r="W37" s="1273">
        <f>'New (new) quarts'!BJ486</f>
        <v>-25</v>
      </c>
      <c r="X37" s="1273">
        <f>'New (new) quarts'!BK486</f>
        <v>-25</v>
      </c>
      <c r="Y37" s="1273">
        <f>'New (new) quarts'!BL486</f>
        <v>-25</v>
      </c>
      <c r="Z37" s="1273">
        <f>'New (new) quarts'!BM486</f>
        <v>-25</v>
      </c>
      <c r="AA37" s="1341">
        <f>-Valuation!O28</f>
        <v>-100</v>
      </c>
      <c r="AB37" s="1341">
        <f>-Valuation!P28</f>
        <v>-100</v>
      </c>
      <c r="AC37" s="1341">
        <f>-Valuation!Q28</f>
        <v>-100</v>
      </c>
      <c r="AD37" s="2541"/>
      <c r="AE37" s="1515">
        <f>SUM(M37:P37)</f>
        <v>-236.02699999999999</v>
      </c>
      <c r="AF37" s="1515">
        <f>Q37</f>
        <v>-236</v>
      </c>
      <c r="AG37" s="1515">
        <f>AE37-AF37</f>
        <v>-2.6999999999986812E-2</v>
      </c>
      <c r="AH37" s="1504"/>
      <c r="AI37" s="1504"/>
      <c r="AJ37" s="1504"/>
      <c r="AK37" s="1504"/>
      <c r="AL37" s="1504"/>
      <c r="AM37" s="1504"/>
      <c r="AN37" s="1504"/>
      <c r="AO37" s="1504"/>
    </row>
    <row r="38" spans="1:45" ht="15.75">
      <c r="A38" s="1508"/>
      <c r="B38" s="1504" t="s">
        <v>7481</v>
      </c>
      <c r="C38" s="1273"/>
      <c r="D38" s="1273"/>
      <c r="E38" s="1273"/>
      <c r="F38" s="1273">
        <f t="shared" si="15"/>
        <v>0</v>
      </c>
      <c r="G38" s="2541"/>
      <c r="H38" s="1273">
        <f>'New (new) quarts'!AU501</f>
        <v>-124</v>
      </c>
      <c r="I38" s="1273">
        <f>'New (new) quarts'!AV501</f>
        <v>-62</v>
      </c>
      <c r="J38" s="1273">
        <f>'New (new) quarts'!AW501</f>
        <v>-16</v>
      </c>
      <c r="K38" s="1273">
        <f>'New (new) quarts'!AX501</f>
        <v>81.14</v>
      </c>
      <c r="L38" s="2541">
        <f>'New (new) quarts'!AY501</f>
        <v>-120.86</v>
      </c>
      <c r="M38" s="1273">
        <f>'New (new) quarts'!AZ501</f>
        <v>-124.035</v>
      </c>
      <c r="N38" s="1273">
        <f>'New (new) quarts'!BA501</f>
        <v>-37.555999999999997</v>
      </c>
      <c r="O38" s="1273">
        <f>'New (new) quarts'!BB501</f>
        <v>17.757000000000001</v>
      </c>
      <c r="P38" s="1273">
        <f>'New (new) quarts'!BC501</f>
        <v>21.151</v>
      </c>
      <c r="Q38" s="2541">
        <f>'New (new) quarts'!BD501</f>
        <v>-122.68300000000001</v>
      </c>
      <c r="R38" s="1273">
        <f>'New (new) quarts'!BE501</f>
        <v>-202</v>
      </c>
      <c r="S38" s="1273">
        <f>'New (new) quarts'!BF501</f>
        <v>50</v>
      </c>
      <c r="T38" s="1273">
        <f>'New (new) quarts'!BG501</f>
        <v>28</v>
      </c>
      <c r="U38" s="1273">
        <f>'New (new) quarts'!BH501</f>
        <v>26.681699999999999</v>
      </c>
      <c r="V38" s="2541">
        <f>'New (new) quarts'!BI501</f>
        <v>-97</v>
      </c>
      <c r="W38" s="1273">
        <f>'New (new) quarts'!BJ501</f>
        <v>-150</v>
      </c>
      <c r="X38" s="1273">
        <f>'New (new) quarts'!BK501</f>
        <v>-50</v>
      </c>
      <c r="Y38" s="1273">
        <f>'New (new) quarts'!BL501</f>
        <v>30</v>
      </c>
      <c r="Z38" s="1273">
        <f>'New (new) quarts'!BM501</f>
        <v>111.45800384853604</v>
      </c>
      <c r="AA38" s="1341">
        <f>Valuation!O31</f>
        <v>-58.541996151463962</v>
      </c>
      <c r="AB38" s="1341">
        <f>Valuation!P31</f>
        <v>-9.2076793491958924</v>
      </c>
      <c r="AC38" s="1341">
        <f>Valuation!Q31</f>
        <v>-6.5571751969035077</v>
      </c>
      <c r="AD38" s="2541"/>
      <c r="AE38" s="1515">
        <f>SUM(M38:P38)</f>
        <v>-122.68300000000001</v>
      </c>
      <c r="AF38" s="1515">
        <f>Q38</f>
        <v>-122.68300000000001</v>
      </c>
      <c r="AG38" s="1515">
        <f>AE38-AF38</f>
        <v>0</v>
      </c>
      <c r="AH38" s="1504"/>
      <c r="AI38" s="1504"/>
      <c r="AJ38" s="1504"/>
      <c r="AK38" s="1504"/>
      <c r="AL38" s="1504"/>
      <c r="AM38" s="1504"/>
      <c r="AN38" s="1504"/>
      <c r="AO38" s="1504"/>
    </row>
    <row r="39" spans="1:45" ht="15.75">
      <c r="A39" s="1508"/>
      <c r="B39" s="1504" t="s">
        <v>7482</v>
      </c>
      <c r="C39" s="1273"/>
      <c r="D39" s="1273"/>
      <c r="E39" s="1273"/>
      <c r="F39" s="1273">
        <f t="shared" si="15"/>
        <v>0</v>
      </c>
      <c r="G39" s="2541"/>
      <c r="H39" s="1273"/>
      <c r="I39" s="1273"/>
      <c r="J39" s="1273"/>
      <c r="K39" s="1273"/>
      <c r="L39" s="2541"/>
      <c r="M39" s="1273"/>
      <c r="N39" s="1273"/>
      <c r="O39" s="1273"/>
      <c r="P39" s="1273"/>
      <c r="Q39" s="2541"/>
      <c r="R39" s="1273">
        <f>'New (new) quarts'!BE502</f>
        <v>10</v>
      </c>
      <c r="S39" s="1273">
        <f>'New (new) quarts'!BF502</f>
        <v>11</v>
      </c>
      <c r="T39" s="1273">
        <f>'New (new) quarts'!BG502</f>
        <v>22</v>
      </c>
      <c r="U39" s="1273">
        <f>'New (new) quarts'!BH502</f>
        <v>6.8624000000000001</v>
      </c>
      <c r="V39" s="2541">
        <v>0</v>
      </c>
      <c r="W39" s="1273">
        <f>'New (new) quarts'!BJ502</f>
        <v>7</v>
      </c>
      <c r="X39" s="1273">
        <f>'New (new) quarts'!BK502</f>
        <v>7</v>
      </c>
      <c r="Y39" s="1273">
        <f>'New (new) quarts'!BL502</f>
        <v>7</v>
      </c>
      <c r="Z39" s="1273">
        <f>'New (new) quarts'!BM502</f>
        <v>7.75</v>
      </c>
      <c r="AA39" s="1341">
        <f>Valuation!O30</f>
        <v>28.75</v>
      </c>
      <c r="AB39" s="1341">
        <f>Valuation!P30</f>
        <v>57.5</v>
      </c>
      <c r="AC39" s="1341">
        <f>Valuation!Q30</f>
        <v>57.5</v>
      </c>
      <c r="AD39" s="2541"/>
      <c r="AE39" s="1504"/>
      <c r="AF39" s="1504"/>
      <c r="AG39" s="1504"/>
      <c r="AH39" s="1504"/>
      <c r="AI39" s="1504"/>
      <c r="AJ39" s="1504"/>
      <c r="AK39" s="1504"/>
      <c r="AL39" s="1504"/>
      <c r="AM39" s="1504"/>
      <c r="AN39" s="1504"/>
      <c r="AO39" s="1504"/>
    </row>
    <row r="40" spans="1:45" ht="15.75">
      <c r="A40" s="1508"/>
      <c r="B40" s="1509" t="s">
        <v>409</v>
      </c>
      <c r="C40" s="1310"/>
      <c r="D40" s="1310"/>
      <c r="E40" s="1310"/>
      <c r="F40" s="1310">
        <f t="shared" ca="1" si="15"/>
        <v>1502</v>
      </c>
      <c r="G40" s="2542">
        <f t="shared" ref="G40:AA40" ca="1" si="21">G34+G36+G37+G38+G39</f>
        <v>1502</v>
      </c>
      <c r="H40" s="1310">
        <f t="shared" si="21"/>
        <v>163.90809999999999</v>
      </c>
      <c r="I40" s="1310">
        <f t="shared" si="21"/>
        <v>240.07850000000002</v>
      </c>
      <c r="J40" s="1310">
        <f t="shared" si="21"/>
        <v>246.1377</v>
      </c>
      <c r="K40" s="1310">
        <f t="shared" si="21"/>
        <v>433.81069999999994</v>
      </c>
      <c r="L40" s="2542">
        <f t="shared" si="21"/>
        <v>1081.3649999999998</v>
      </c>
      <c r="M40" s="1310">
        <f t="shared" si="21"/>
        <v>41.239900000000006</v>
      </c>
      <c r="N40" s="1310">
        <f t="shared" si="21"/>
        <v>205.37119999999999</v>
      </c>
      <c r="O40" s="1310">
        <f t="shared" si="21"/>
        <v>334.33869999999996</v>
      </c>
      <c r="P40" s="1310">
        <f t="shared" ref="P40" si="22">P34+P36+P37+P38+P39</f>
        <v>240.01570000000004</v>
      </c>
      <c r="Q40" s="2542">
        <f t="shared" si="21"/>
        <v>929.79050000000007</v>
      </c>
      <c r="R40" s="1310">
        <f t="shared" si="21"/>
        <v>228.71030000000007</v>
      </c>
      <c r="S40" s="1310">
        <f t="shared" ref="S40" si="23">S34+S36+S37+S38+S39</f>
        <v>518.70370000000003</v>
      </c>
      <c r="T40" s="1310">
        <f t="shared" ref="T40:Z40" si="24">T34+T36+T37+T38+T39</f>
        <v>501.03099999999995</v>
      </c>
      <c r="U40" s="1310">
        <f t="shared" si="24"/>
        <v>459.75189999999998</v>
      </c>
      <c r="V40" s="2542">
        <f t="shared" ca="1" si="21"/>
        <v>1661.6458000000002</v>
      </c>
      <c r="W40" s="1310">
        <f t="shared" si="24"/>
        <v>269.5</v>
      </c>
      <c r="X40" s="1310">
        <f t="shared" si="24"/>
        <v>384.5</v>
      </c>
      <c r="Y40" s="1310">
        <f t="shared" si="24"/>
        <v>464.5</v>
      </c>
      <c r="Z40" s="1310">
        <f t="shared" si="24"/>
        <v>553.22496679781761</v>
      </c>
      <c r="AA40" s="1342">
        <f t="shared" si="21"/>
        <v>1671.7249667978176</v>
      </c>
      <c r="AB40" s="1342">
        <f t="shared" ref="AB40:AC40" si="25">AB34+AB36+AB37+AB38+AB39</f>
        <v>1786.3212466841853</v>
      </c>
      <c r="AC40" s="1342">
        <f t="shared" si="25"/>
        <v>1857.2211738808594</v>
      </c>
      <c r="AD40" s="2542"/>
      <c r="AE40" s="1515">
        <f>SUM(M40:P40)</f>
        <v>820.96550000000002</v>
      </c>
      <c r="AF40" s="1515">
        <f>Q40</f>
        <v>929.79050000000007</v>
      </c>
      <c r="AG40" s="1515">
        <f>AE40-AF40</f>
        <v>-108.82500000000005</v>
      </c>
      <c r="AH40" s="1504"/>
      <c r="AI40" s="1504"/>
      <c r="AJ40" s="1504"/>
      <c r="AK40" s="1504"/>
      <c r="AL40" s="1504"/>
      <c r="AM40" s="1504"/>
      <c r="AN40" s="1504"/>
      <c r="AO40" s="1504"/>
    </row>
    <row r="41" spans="1:45" ht="15.75">
      <c r="A41" s="1508"/>
      <c r="B41" s="1509"/>
      <c r="C41" s="1310"/>
      <c r="D41" s="1310"/>
      <c r="E41" s="1310"/>
      <c r="F41" s="1310"/>
      <c r="G41" s="2542"/>
      <c r="H41" s="1310"/>
      <c r="I41" s="1310"/>
      <c r="J41" s="1310"/>
      <c r="K41" s="1310"/>
      <c r="L41" s="2542"/>
      <c r="M41" s="1310"/>
      <c r="N41" s="1310"/>
      <c r="O41" s="1310"/>
      <c r="P41" s="1310"/>
      <c r="Q41" s="2542"/>
      <c r="R41" s="1310"/>
      <c r="S41" s="1310"/>
      <c r="T41" s="1310"/>
      <c r="U41" s="1310"/>
      <c r="V41" s="2542"/>
      <c r="W41" s="1310"/>
      <c r="X41" s="1310"/>
      <c r="Y41" s="1310"/>
      <c r="Z41" s="1310"/>
      <c r="AA41" s="1342"/>
      <c r="AB41" s="1342"/>
      <c r="AC41" s="1342"/>
      <c r="AD41" s="2542"/>
      <c r="AE41" s="1515"/>
      <c r="AF41" s="1515"/>
      <c r="AG41" s="1515"/>
      <c r="AH41" s="1504"/>
      <c r="AI41" s="1504"/>
      <c r="AJ41" s="1504"/>
      <c r="AK41" s="1504"/>
      <c r="AL41" s="1504"/>
      <c r="AM41" s="1504"/>
      <c r="AN41" s="1504"/>
      <c r="AO41" s="1504"/>
    </row>
    <row r="42" spans="1:45" ht="15.75">
      <c r="A42" s="1508"/>
      <c r="B42" s="1504" t="s">
        <v>7483</v>
      </c>
      <c r="C42" s="1273"/>
      <c r="D42" s="1273"/>
      <c r="E42" s="1273"/>
      <c r="F42" s="1273">
        <f t="shared" si="15"/>
        <v>-158</v>
      </c>
      <c r="G42" s="2541">
        <f>Valuation!K25</f>
        <v>-158</v>
      </c>
      <c r="H42" s="1273">
        <f>'New (new) quarts'!AU484</f>
        <v>-62</v>
      </c>
      <c r="I42" s="1273">
        <f>'New (new) quarts'!AV484</f>
        <v>-93.74</v>
      </c>
      <c r="J42" s="1273">
        <f>'New (new) quarts'!AW484</f>
        <v>-66</v>
      </c>
      <c r="K42" s="1273">
        <f>'New (new) quarts'!AX484</f>
        <v>-94.08</v>
      </c>
      <c r="L42" s="2541">
        <f>Valuation!L25</f>
        <v>-316</v>
      </c>
      <c r="M42" s="1273">
        <f>'New (new) quarts'!AZ484</f>
        <v>-37</v>
      </c>
      <c r="N42" s="1273">
        <f>'New (new) quarts'!BA484</f>
        <v>-83</v>
      </c>
      <c r="O42" s="1273">
        <f>'New (new) quarts'!BB484</f>
        <v>-57</v>
      </c>
      <c r="P42" s="1273">
        <f>'New (new) quarts'!BC484</f>
        <v>-55.63</v>
      </c>
      <c r="Q42" s="2541">
        <f>Valuation!M25</f>
        <v>-233</v>
      </c>
      <c r="R42" s="1273">
        <f>'New (new) quarts'!BE484</f>
        <v>-38</v>
      </c>
      <c r="S42" s="1273">
        <f>'New (new) quarts'!BF484</f>
        <v>-82</v>
      </c>
      <c r="T42" s="1273">
        <f>'New (new) quarts'!BG484</f>
        <v>-54</v>
      </c>
      <c r="U42" s="1273">
        <f>'New (new) quarts'!BH484</f>
        <v>-65.259699999999995</v>
      </c>
      <c r="V42" s="2541">
        <f>Valuation!N25</f>
        <v>-239</v>
      </c>
      <c r="W42" s="1273">
        <f>'New (new) quarts'!BJ484</f>
        <v>-72</v>
      </c>
      <c r="X42" s="1273">
        <f>'New (new) quarts'!BK484</f>
        <v>-72</v>
      </c>
      <c r="Y42" s="1273">
        <f>'New (new) quarts'!BL484</f>
        <v>-72</v>
      </c>
      <c r="Z42" s="1273">
        <f ca="1">'New (new) quarts'!BM484</f>
        <v>-51.302153297514508</v>
      </c>
      <c r="AA42" s="1341">
        <f ca="1">Valuation!O25</f>
        <v>-267.30215329751451</v>
      </c>
      <c r="AB42" s="1341">
        <f ca="1">Valuation!P25</f>
        <v>-348.1306027258467</v>
      </c>
      <c r="AC42" s="1341">
        <f ca="1">Valuation!Q25</f>
        <v>-344.46528864977483</v>
      </c>
      <c r="AD42" s="2541"/>
      <c r="AE42" s="1515">
        <f>SUM(M42:P42)</f>
        <v>-232.63</v>
      </c>
      <c r="AF42" s="1515">
        <f>Q42</f>
        <v>-233</v>
      </c>
      <c r="AG42" s="1515">
        <f>AE42-AF42</f>
        <v>0.37000000000000455</v>
      </c>
      <c r="AH42" s="1504"/>
      <c r="AI42" s="1504"/>
      <c r="AJ42" s="1504"/>
      <c r="AK42" s="1504"/>
      <c r="AL42" s="1504"/>
      <c r="AM42" s="1504"/>
      <c r="AN42" s="1504"/>
      <c r="AO42" s="1504"/>
    </row>
    <row r="43" spans="1:45" ht="15.75">
      <c r="A43" s="1508"/>
      <c r="B43" s="1509" t="s">
        <v>7484</v>
      </c>
      <c r="C43" s="1310"/>
      <c r="D43" s="1310"/>
      <c r="E43" s="1310"/>
      <c r="F43" s="1310">
        <f t="shared" ca="1" si="15"/>
        <v>1344</v>
      </c>
      <c r="G43" s="2542">
        <f t="shared" ref="G43:O43" ca="1" si="26">G40+G42</f>
        <v>1344</v>
      </c>
      <c r="H43" s="1310">
        <f t="shared" si="26"/>
        <v>101.90809999999999</v>
      </c>
      <c r="I43" s="1310">
        <f t="shared" si="26"/>
        <v>146.33850000000001</v>
      </c>
      <c r="J43" s="1310">
        <f t="shared" si="26"/>
        <v>180.1377</v>
      </c>
      <c r="K43" s="1310">
        <f t="shared" si="26"/>
        <v>339.73069999999996</v>
      </c>
      <c r="L43" s="2542">
        <f t="shared" si="26"/>
        <v>765.36499999999978</v>
      </c>
      <c r="M43" s="1310">
        <f t="shared" si="26"/>
        <v>4.2399000000000058</v>
      </c>
      <c r="N43" s="1310">
        <f t="shared" si="26"/>
        <v>122.37119999999999</v>
      </c>
      <c r="O43" s="1310">
        <f t="shared" si="26"/>
        <v>277.33869999999996</v>
      </c>
      <c r="P43" s="1310">
        <f t="shared" ref="P43" si="27">P40+P42</f>
        <v>184.38570000000004</v>
      </c>
      <c r="Q43" s="2542">
        <f>Q40+Q42</f>
        <v>696.79050000000007</v>
      </c>
      <c r="R43" s="1310">
        <f t="shared" ref="R43" si="28">R40+R42</f>
        <v>190.71030000000007</v>
      </c>
      <c r="S43" s="1310">
        <f t="shared" ref="S43" si="29">S40+S42</f>
        <v>436.70370000000003</v>
      </c>
      <c r="T43" s="1310">
        <f t="shared" ref="T43:Z43" si="30">T40+T42</f>
        <v>447.03099999999995</v>
      </c>
      <c r="U43" s="1310">
        <f t="shared" si="30"/>
        <v>394.49219999999997</v>
      </c>
      <c r="V43" s="2542">
        <f ca="1">V40+V42</f>
        <v>1422.6458000000002</v>
      </c>
      <c r="W43" s="1310">
        <f t="shared" si="30"/>
        <v>197.5</v>
      </c>
      <c r="X43" s="1310">
        <f t="shared" si="30"/>
        <v>312.5</v>
      </c>
      <c r="Y43" s="1310">
        <f t="shared" si="30"/>
        <v>392.5</v>
      </c>
      <c r="Z43" s="1310">
        <f t="shared" ca="1" si="30"/>
        <v>501.92281350030311</v>
      </c>
      <c r="AA43" s="1342">
        <f ca="1">AA40+AA42</f>
        <v>1404.4228135003032</v>
      </c>
      <c r="AB43" s="1342">
        <f ca="1">AB40+AB42</f>
        <v>1438.1906439583386</v>
      </c>
      <c r="AC43" s="1342">
        <f ca="1">AC40+AC42</f>
        <v>1512.7558852310844</v>
      </c>
      <c r="AD43" s="2542"/>
      <c r="AE43" s="1515">
        <f>SUM(M43:P43)</f>
        <v>588.33550000000002</v>
      </c>
      <c r="AF43" s="1515">
        <f>Q43</f>
        <v>696.79050000000007</v>
      </c>
      <c r="AG43" s="1515">
        <f>AE43-AF43</f>
        <v>-108.45500000000004</v>
      </c>
      <c r="AH43" s="1504"/>
      <c r="AI43" s="1504"/>
      <c r="AJ43" s="1504"/>
      <c r="AK43" s="1504"/>
      <c r="AL43" s="1504"/>
      <c r="AM43" s="1504"/>
      <c r="AN43" s="1504"/>
      <c r="AO43" s="1504"/>
    </row>
    <row r="44" spans="1:45" ht="15.75">
      <c r="A44" s="1508"/>
      <c r="B44" s="1509"/>
      <c r="C44" s="1310"/>
      <c r="D44" s="1310"/>
      <c r="E44" s="1310"/>
      <c r="F44" s="1310"/>
      <c r="G44" s="2542"/>
      <c r="H44" s="1310"/>
      <c r="I44" s="1310"/>
      <c r="J44" s="1310"/>
      <c r="K44" s="1310"/>
      <c r="L44" s="2542"/>
      <c r="M44" s="1310"/>
      <c r="N44" s="1310"/>
      <c r="O44" s="1310"/>
      <c r="P44" s="1310"/>
      <c r="Q44" s="2542"/>
      <c r="R44" s="1310"/>
      <c r="S44" s="1310"/>
      <c r="T44" s="1310"/>
      <c r="U44" s="1310"/>
      <c r="V44" s="2542"/>
      <c r="W44" s="1310"/>
      <c r="X44" s="1310"/>
      <c r="Y44" s="1310"/>
      <c r="Z44" s="1310"/>
      <c r="AA44" s="1342"/>
      <c r="AB44" s="1342"/>
      <c r="AC44" s="1342"/>
      <c r="AD44" s="2542"/>
      <c r="AE44" s="1515"/>
      <c r="AF44" s="1515"/>
      <c r="AG44" s="1515"/>
      <c r="AH44" s="1504"/>
      <c r="AI44" s="1504"/>
      <c r="AJ44" s="1504"/>
      <c r="AK44" s="1504"/>
      <c r="AL44" s="1504"/>
      <c r="AM44" s="1504"/>
      <c r="AN44" s="1504"/>
      <c r="AO44" s="1504"/>
    </row>
    <row r="45" spans="1:45" ht="15.75">
      <c r="A45" s="1508"/>
      <c r="B45" s="1504" t="s">
        <v>7485</v>
      </c>
      <c r="C45" s="1273"/>
      <c r="D45" s="1273"/>
      <c r="E45" s="1273"/>
      <c r="F45" s="1273">
        <f t="shared" si="15"/>
        <v>-583</v>
      </c>
      <c r="G45" s="2541">
        <f>Valuation!K23</f>
        <v>-583</v>
      </c>
      <c r="H45" s="1273">
        <f>'New (new) quarts'!AU483</f>
        <v>-102</v>
      </c>
      <c r="I45" s="1273">
        <f>'New (new) quarts'!AV483</f>
        <v>-90.04</v>
      </c>
      <c r="J45" s="1273">
        <f>'New (new) quarts'!AW483</f>
        <v>-120</v>
      </c>
      <c r="K45" s="1273">
        <f>'New (new) quarts'!AX483</f>
        <v>-90.42</v>
      </c>
      <c r="L45" s="2541">
        <f>Valuation!L23</f>
        <v>-688</v>
      </c>
      <c r="M45" s="1273">
        <f>'New (new) quarts'!AZ483</f>
        <v>-129</v>
      </c>
      <c r="N45" s="1273">
        <f>'New (new) quarts'!BA483</f>
        <v>-101</v>
      </c>
      <c r="O45" s="1273">
        <f>'New (new) quarts'!BB483</f>
        <v>-137</v>
      </c>
      <c r="P45" s="1273">
        <f>'New (new) quarts'!BC483</f>
        <v>-107.36199999999999</v>
      </c>
      <c r="Q45" s="2541">
        <f>Valuation!M23</f>
        <v>-766</v>
      </c>
      <c r="R45" s="1273">
        <f>'New (new) quarts'!BE483</f>
        <v>-132</v>
      </c>
      <c r="S45" s="1273">
        <f>'New (new) quarts'!BF483</f>
        <v>-105</v>
      </c>
      <c r="T45" s="1273">
        <f>'New (new) quarts'!BG483</f>
        <v>-118</v>
      </c>
      <c r="U45" s="1273">
        <f>'New (new) quarts'!BH483</f>
        <v>-101.3121</v>
      </c>
      <c r="V45" s="2541">
        <f>'New (new) quarts'!BI483</f>
        <v>-456.31209999999999</v>
      </c>
      <c r="W45" s="1273">
        <f>'New (new) quarts'!BJ483</f>
        <v>-95</v>
      </c>
      <c r="X45" s="1273">
        <f>'New (new) quarts'!BK483</f>
        <v>-95</v>
      </c>
      <c r="Y45" s="1273">
        <f>'New (new) quarts'!BL483</f>
        <v>-95</v>
      </c>
      <c r="Z45" s="1273">
        <f ca="1">'New (new) quarts'!BM483</f>
        <v>-94.213547096843797</v>
      </c>
      <c r="AA45" s="1341">
        <f ca="1">-Master!AB493+Master!AB401</f>
        <v>-379.2135470968438</v>
      </c>
      <c r="AB45" s="1341">
        <f ca="1">-Master!AC493+Master!AC401</f>
        <v>-375.73121562505349</v>
      </c>
      <c r="AC45" s="1341">
        <f ca="1">-Master!AD493+Master!AD401</f>
        <v>-395.72789177361165</v>
      </c>
      <c r="AD45" s="2541"/>
      <c r="AE45" s="1515">
        <f>SUM(M45:P45)</f>
        <v>-474.36199999999997</v>
      </c>
      <c r="AF45" s="1515">
        <f>Q45</f>
        <v>-766</v>
      </c>
      <c r="AG45" s="1515">
        <f>AE45-AF45</f>
        <v>291.63800000000003</v>
      </c>
      <c r="AH45" s="1516"/>
      <c r="AI45" s="1504"/>
      <c r="AJ45" s="1504"/>
      <c r="AK45" s="1504"/>
      <c r="AL45" s="1504"/>
      <c r="AM45" s="1504"/>
      <c r="AN45" s="1504"/>
      <c r="AO45" s="1504"/>
      <c r="AR45" s="463" t="s">
        <v>7942</v>
      </c>
    </row>
    <row r="46" spans="1:45" ht="15.75">
      <c r="A46" s="1508"/>
      <c r="B46" s="1504" t="s">
        <v>7486</v>
      </c>
      <c r="C46" s="1273"/>
      <c r="D46" s="1273"/>
      <c r="E46" s="1273"/>
      <c r="F46" s="1273" t="e">
        <f t="shared" si="15"/>
        <v>#REF!</v>
      </c>
      <c r="G46" s="2541" t="e">
        <f>Valuation!#REF!</f>
        <v>#REF!</v>
      </c>
      <c r="H46" s="1273">
        <f>'New (new) quarts'!AU507</f>
        <v>-82</v>
      </c>
      <c r="I46" s="1273">
        <f>'New (new) quarts'!AV507</f>
        <v>-71</v>
      </c>
      <c r="J46" s="1273">
        <f>'New (new) quarts'!AW507</f>
        <v>-67</v>
      </c>
      <c r="K46" s="1273">
        <f>'New (new) quarts'!AX507</f>
        <v>-65.11</v>
      </c>
      <c r="L46" s="2541" t="e">
        <f>Valuation!#REF!</f>
        <v>#REF!</v>
      </c>
      <c r="M46" s="1273">
        <f>'New (new) quarts'!AZ507</f>
        <v>-69</v>
      </c>
      <c r="N46" s="1273">
        <f>'New (new) quarts'!BA507</f>
        <v>-73</v>
      </c>
      <c r="O46" s="1273">
        <f>'New (new) quarts'!BB507</f>
        <v>-74</v>
      </c>
      <c r="P46" s="1273">
        <f>'New (new) quarts'!BC507</f>
        <v>-77</v>
      </c>
      <c r="Q46" s="2541" t="e">
        <f>Valuation!#REF!</f>
        <v>#REF!</v>
      </c>
      <c r="R46" s="1273">
        <f>'New (new) quarts'!BE507</f>
        <v>-71</v>
      </c>
      <c r="S46" s="1273">
        <f>'New (new) quarts'!BF507</f>
        <v>-90</v>
      </c>
      <c r="T46" s="1273">
        <f>'New (new) quarts'!BG507</f>
        <v>-83</v>
      </c>
      <c r="U46" s="1273">
        <f>'New (new) quarts'!BH507</f>
        <v>-79.699999999999989</v>
      </c>
      <c r="V46" s="2541">
        <f>-Master!AA437</f>
        <v>-120</v>
      </c>
      <c r="W46" s="1273">
        <f>'New (new) quarts'!BJ507-W47</f>
        <v>-30</v>
      </c>
      <c r="X46" s="1273">
        <f>'New (new) quarts'!BK507-X47</f>
        <v>-30</v>
      </c>
      <c r="Y46" s="1273">
        <f>'New (new) quarts'!BL507-Y47</f>
        <v>-35</v>
      </c>
      <c r="Z46" s="1273">
        <f ca="1">'New (new) quarts'!BM507-Z47</f>
        <v>-36.868000000000023</v>
      </c>
      <c r="AA46" s="1341">
        <f ca="1">-Master!AB437</f>
        <v>-131.86800000000002</v>
      </c>
      <c r="AB46" s="1341">
        <f ca="1">-Master!AC437</f>
        <v>-134.50536</v>
      </c>
      <c r="AC46" s="1341">
        <f ca="1">-Master!AD437</f>
        <v>-137.19546719999997</v>
      </c>
      <c r="AD46" s="2541"/>
      <c r="AE46" s="1515">
        <f>SUM(M46:P46)</f>
        <v>-293</v>
      </c>
      <c r="AF46" s="1515" t="e">
        <f>Q46</f>
        <v>#REF!</v>
      </c>
      <c r="AG46" s="1515" t="e">
        <f>AE46-AF46</f>
        <v>#REF!</v>
      </c>
      <c r="AH46" s="1504"/>
      <c r="AI46" s="1504"/>
      <c r="AJ46" s="1504"/>
      <c r="AK46" s="1504"/>
      <c r="AL46" s="1504"/>
      <c r="AM46" s="1504"/>
      <c r="AN46" s="1504"/>
      <c r="AO46" s="1504"/>
      <c r="AS46" s="463" t="s">
        <v>7965</v>
      </c>
    </row>
    <row r="47" spans="1:45" ht="15.75">
      <c r="A47" s="1508"/>
      <c r="B47" s="1504" t="s">
        <v>7487</v>
      </c>
      <c r="C47" s="1273"/>
      <c r="D47" s="1273"/>
      <c r="E47" s="1273"/>
      <c r="F47" s="1273">
        <f t="shared" si="15"/>
        <v>0</v>
      </c>
      <c r="G47" s="2541"/>
      <c r="H47" s="1273"/>
      <c r="I47" s="1273"/>
      <c r="J47" s="1273"/>
      <c r="K47" s="1273"/>
      <c r="L47" s="2541"/>
      <c r="M47" s="1273"/>
      <c r="N47" s="1273"/>
      <c r="O47" s="1273"/>
      <c r="P47" s="1273"/>
      <c r="Q47" s="2541"/>
      <c r="R47" s="1273"/>
      <c r="S47" s="1273"/>
      <c r="T47" s="1273"/>
      <c r="U47" s="1273"/>
      <c r="V47" s="2541">
        <f>-Master!AA438</f>
        <v>-204</v>
      </c>
      <c r="W47" s="2555">
        <v>-50</v>
      </c>
      <c r="X47" s="2555">
        <v>-65</v>
      </c>
      <c r="Y47" s="2555">
        <v>-55</v>
      </c>
      <c r="Z47" s="2555">
        <f ca="1">AA47-W47-X47-Y47</f>
        <v>-54.532000000000011</v>
      </c>
      <c r="AA47" s="1341">
        <f ca="1">-Master!AB438</f>
        <v>-224.53200000000001</v>
      </c>
      <c r="AB47" s="1341">
        <f ca="1">-Master!AC438</f>
        <v>-229.02264000000002</v>
      </c>
      <c r="AC47" s="1341">
        <f ca="1">-Master!AD438</f>
        <v>-233.60309279999998</v>
      </c>
      <c r="AD47" s="2541"/>
      <c r="AE47" s="1504"/>
      <c r="AF47" s="1504"/>
      <c r="AG47" s="1504"/>
      <c r="AH47" s="1504"/>
      <c r="AI47" s="1504"/>
      <c r="AJ47" s="1504"/>
      <c r="AK47" s="1504"/>
      <c r="AL47" s="1504"/>
      <c r="AM47" s="1504"/>
      <c r="AN47" s="1504"/>
      <c r="AO47" s="1504"/>
      <c r="AR47" s="463" t="s">
        <v>7943</v>
      </c>
    </row>
    <row r="48" spans="1:45" ht="15.75">
      <c r="A48" s="1508"/>
      <c r="B48" s="1509" t="s">
        <v>7488</v>
      </c>
      <c r="C48" s="1310"/>
      <c r="D48" s="1310"/>
      <c r="E48" s="1310"/>
      <c r="F48" s="1310" t="e">
        <f t="shared" ca="1" si="15"/>
        <v>#REF!</v>
      </c>
      <c r="G48" s="2542" t="e">
        <f t="shared" ref="G48:R48" ca="1" si="31">G43+G45+G46+G47</f>
        <v>#REF!</v>
      </c>
      <c r="H48" s="1310">
        <f t="shared" si="31"/>
        <v>-82.09190000000001</v>
      </c>
      <c r="I48" s="1310">
        <f t="shared" si="31"/>
        <v>-14.701499999999996</v>
      </c>
      <c r="J48" s="1310">
        <f t="shared" si="31"/>
        <v>-6.8623000000000047</v>
      </c>
      <c r="K48" s="1310">
        <f t="shared" si="31"/>
        <v>184.20069999999993</v>
      </c>
      <c r="L48" s="2542" t="e">
        <f t="shared" si="31"/>
        <v>#REF!</v>
      </c>
      <c r="M48" s="1310">
        <f t="shared" si="31"/>
        <v>-193.76009999999999</v>
      </c>
      <c r="N48" s="1310">
        <f t="shared" si="31"/>
        <v>-51.628800000000012</v>
      </c>
      <c r="O48" s="1310">
        <f t="shared" si="31"/>
        <v>66.33869999999996</v>
      </c>
      <c r="P48" s="1310">
        <f t="shared" ref="P48" si="32">P43+P45+P46+P47</f>
        <v>2.3700000000047794E-2</v>
      </c>
      <c r="Q48" s="2542" t="e">
        <f t="shared" si="31"/>
        <v>#REF!</v>
      </c>
      <c r="R48" s="1310">
        <f t="shared" si="31"/>
        <v>-12.289699999999925</v>
      </c>
      <c r="S48" s="1310">
        <f t="shared" ref="S48" si="33">S43+S45+S46+S47</f>
        <v>241.70370000000003</v>
      </c>
      <c r="T48" s="1310">
        <f t="shared" ref="T48:Z48" si="34">T43+T45+T46+T47</f>
        <v>246.03099999999995</v>
      </c>
      <c r="U48" s="1310">
        <f t="shared" si="34"/>
        <v>213.48009999999999</v>
      </c>
      <c r="V48" s="2542">
        <f t="shared" ca="1" si="34"/>
        <v>642.33370000000025</v>
      </c>
      <c r="W48" s="1310">
        <f t="shared" si="34"/>
        <v>22.5</v>
      </c>
      <c r="X48" s="1310">
        <f t="shared" si="34"/>
        <v>122.5</v>
      </c>
      <c r="Y48" s="1310">
        <f t="shared" si="34"/>
        <v>207.5</v>
      </c>
      <c r="Z48" s="1310">
        <f t="shared" ca="1" si="34"/>
        <v>316.30926640345922</v>
      </c>
      <c r="AA48" s="1342">
        <f t="shared" ref="AA48:AB48" ca="1" si="35">AA43+AA45+AA46+AA47</f>
        <v>668.80926640345933</v>
      </c>
      <c r="AB48" s="1342">
        <f t="shared" ca="1" si="35"/>
        <v>698.93142833328511</v>
      </c>
      <c r="AC48" s="1342">
        <f t="shared" ref="AC48" ca="1" si="36">AC43+AC45+AC46+AC47</f>
        <v>746.22943345747285</v>
      </c>
      <c r="AD48" s="2542"/>
      <c r="AE48" s="1515">
        <f>SUM(M48:P48)</f>
        <v>-179.0265</v>
      </c>
      <c r="AF48" s="1515" t="e">
        <f>Q48</f>
        <v>#REF!</v>
      </c>
      <c r="AG48" s="1515" t="e">
        <f>AE48-AF48</f>
        <v>#REF!</v>
      </c>
      <c r="AH48" s="1504"/>
      <c r="AI48" s="1504"/>
      <c r="AJ48" s="1504"/>
      <c r="AK48" s="1504"/>
      <c r="AL48" s="1504"/>
      <c r="AM48" s="1504"/>
      <c r="AN48" s="1504"/>
      <c r="AO48" s="1504"/>
      <c r="AR48" s="463" t="s">
        <v>7944</v>
      </c>
    </row>
    <row r="49" spans="1:58" ht="15.75">
      <c r="A49" s="1508"/>
      <c r="B49" s="1504" t="s">
        <v>7489</v>
      </c>
      <c r="C49" s="1273"/>
      <c r="D49" s="1273"/>
      <c r="E49" s="1273"/>
      <c r="F49" s="1273">
        <f t="shared" ca="1" si="15"/>
        <v>-183.05293298771892</v>
      </c>
      <c r="G49" s="2541">
        <f ca="1">Valuation!K26</f>
        <v>-183.05293298771892</v>
      </c>
      <c r="H49" s="1273">
        <f>'New (new) quarts'!AU488</f>
        <v>0</v>
      </c>
      <c r="I49" s="1273">
        <f>'New (new) quarts'!AV488</f>
        <v>-2.59</v>
      </c>
      <c r="J49" s="1273">
        <f>'New (new) quarts'!AW488</f>
        <v>-1</v>
      </c>
      <c r="K49" s="1273">
        <f>'New (new) quarts'!AX488</f>
        <v>-0.56999999999999995</v>
      </c>
      <c r="L49" s="2541">
        <f>Valuation!L26</f>
        <v>-4</v>
      </c>
      <c r="M49" s="1273">
        <f>'New (new) quarts'!AZ488</f>
        <v>0</v>
      </c>
      <c r="N49" s="1273">
        <f>'New (new) quarts'!BA488</f>
        <v>0</v>
      </c>
      <c r="O49" s="1273">
        <f>'New (new) quarts'!BB488</f>
        <v>0</v>
      </c>
      <c r="P49" s="1273">
        <f>'New (new) quarts'!BC488</f>
        <v>0</v>
      </c>
      <c r="Q49" s="2541">
        <f>Valuation!M26</f>
        <v>0</v>
      </c>
      <c r="R49" s="1273">
        <f>'New (new) quarts'!BE488</f>
        <v>0</v>
      </c>
      <c r="S49" s="1273">
        <f>'New (new) quarts'!BF488</f>
        <v>0</v>
      </c>
      <c r="T49" s="1273">
        <f>'New (new) quarts'!BG488</f>
        <v>0</v>
      </c>
      <c r="U49" s="1273">
        <f>'New (new) quarts'!BH488</f>
        <v>0</v>
      </c>
      <c r="V49" s="2541">
        <f>Valuation!N26</f>
        <v>0</v>
      </c>
      <c r="W49" s="1273"/>
      <c r="X49" s="1273"/>
      <c r="Y49" s="1273"/>
      <c r="Z49" s="1273"/>
      <c r="AA49" s="1341">
        <f>Valuation!O26</f>
        <v>0</v>
      </c>
      <c r="AB49" s="1341">
        <f>Valuation!P26</f>
        <v>0</v>
      </c>
      <c r="AC49" s="1341">
        <f>Valuation!Q26</f>
        <v>0</v>
      </c>
      <c r="AD49" s="2541"/>
      <c r="AE49" s="1515">
        <f>SUM(M49:P49)</f>
        <v>0</v>
      </c>
      <c r="AF49" s="1515">
        <f>Q49</f>
        <v>0</v>
      </c>
      <c r="AG49" s="1515">
        <f>AE49-AF49</f>
        <v>0</v>
      </c>
      <c r="AH49" s="1504"/>
      <c r="AI49" s="1504"/>
      <c r="AJ49" s="1504"/>
      <c r="AK49" s="1504"/>
      <c r="AL49" s="1504"/>
      <c r="AM49" s="1504"/>
      <c r="AN49" s="1504"/>
      <c r="AO49" s="1504"/>
      <c r="AR49" s="463" t="s">
        <v>7945</v>
      </c>
      <c r="BB49" s="455"/>
      <c r="BC49" s="560" t="s">
        <v>220</v>
      </c>
      <c r="BD49" s="560" t="s">
        <v>7823</v>
      </c>
    </row>
    <row r="50" spans="1:58" ht="15.75">
      <c r="A50" s="1508"/>
      <c r="B50" s="1504" t="s">
        <v>7490</v>
      </c>
      <c r="C50" s="1273"/>
      <c r="D50" s="1273"/>
      <c r="E50" s="1273"/>
      <c r="F50" s="1273">
        <f t="shared" si="15"/>
        <v>0</v>
      </c>
      <c r="G50" s="2541">
        <f>Valuation!K24</f>
        <v>0</v>
      </c>
      <c r="H50" s="1273">
        <f>'New (new) quarts'!AU489</f>
        <v>14</v>
      </c>
      <c r="I50" s="1273">
        <f>'New (new) quarts'!AV489</f>
        <v>13.18</v>
      </c>
      <c r="J50" s="1273">
        <f>'New (new) quarts'!AW489</f>
        <v>36</v>
      </c>
      <c r="K50" s="1273">
        <f>'New (new) quarts'!AX489</f>
        <v>24.48</v>
      </c>
      <c r="L50" s="2541">
        <f>Valuation!M24</f>
        <v>86</v>
      </c>
      <c r="M50" s="1273">
        <f>'New (new) quarts'!AZ489</f>
        <v>48</v>
      </c>
      <c r="N50" s="1273">
        <f>'New (new) quarts'!BA489</f>
        <v>14</v>
      </c>
      <c r="O50" s="1273">
        <f>'New (new) quarts'!BB489</f>
        <v>13</v>
      </c>
      <c r="P50" s="1273">
        <f>'New (new) quarts'!BC489</f>
        <v>11.500999999999999</v>
      </c>
      <c r="Q50" s="2541">
        <f>Valuation!N24</f>
        <v>89</v>
      </c>
      <c r="R50" s="1273">
        <f>'New (new) quarts'!BE489</f>
        <v>15</v>
      </c>
      <c r="S50" s="1273">
        <f>'New (new) quarts'!BF489</f>
        <v>26</v>
      </c>
      <c r="T50" s="1273">
        <f>'New (new) quarts'!BG489</f>
        <v>25</v>
      </c>
      <c r="U50" s="1273">
        <f>'New (new) quarts'!BH489</f>
        <v>23.032</v>
      </c>
      <c r="V50" s="2541">
        <f>Valuation!N24</f>
        <v>89</v>
      </c>
      <c r="W50" s="1273">
        <f>'New (new) quarts'!BJ489</f>
        <v>23</v>
      </c>
      <c r="X50" s="1273">
        <f>'New (new) quarts'!BK489</f>
        <v>23</v>
      </c>
      <c r="Y50" s="1273">
        <f>'New (new) quarts'!BL489</f>
        <v>23</v>
      </c>
      <c r="Z50" s="1273">
        <f>'New (new) quarts'!BM489</f>
        <v>21.811654055326841</v>
      </c>
      <c r="AA50" s="1341">
        <f>Valuation!O24</f>
        <v>90.811654055326841</v>
      </c>
      <c r="AB50" s="1341">
        <f>Valuation!P24</f>
        <v>92.146272251115363</v>
      </c>
      <c r="AC50" s="1341">
        <f>Valuation!Q24</f>
        <v>96.027797564235556</v>
      </c>
      <c r="AD50" s="2541"/>
      <c r="AE50" s="1515">
        <f>SUM(M50:P50)</f>
        <v>86.501000000000005</v>
      </c>
      <c r="AF50" s="1515">
        <f>Q50</f>
        <v>89</v>
      </c>
      <c r="AG50" s="1515">
        <f>AE50-AF50</f>
        <v>-2.4989999999999952</v>
      </c>
      <c r="AH50" s="1504"/>
      <c r="AI50" s="1504"/>
      <c r="AJ50" s="1504"/>
      <c r="AK50" s="1504"/>
      <c r="AL50" s="1504"/>
      <c r="AM50" s="1504"/>
      <c r="AN50" s="1504"/>
      <c r="AO50" s="1504"/>
      <c r="AR50" s="463" t="s">
        <v>7946</v>
      </c>
      <c r="BB50" s="463" t="s">
        <v>1722</v>
      </c>
      <c r="BC50" s="583">
        <v>8.5000000000000006E-2</v>
      </c>
      <c r="BD50" s="583">
        <v>7.8E-2</v>
      </c>
    </row>
    <row r="51" spans="1:58" ht="15.75">
      <c r="A51" s="1508"/>
      <c r="B51" s="1509" t="s">
        <v>1851</v>
      </c>
      <c r="C51" s="1310"/>
      <c r="D51" s="1310"/>
      <c r="E51" s="1310"/>
      <c r="F51" s="1310" t="e">
        <f t="shared" ca="1" si="15"/>
        <v>#REF!</v>
      </c>
      <c r="G51" s="2542" t="e">
        <f t="shared" ref="G51:AA51" ca="1" si="37">G48+G49+G50</f>
        <v>#REF!</v>
      </c>
      <c r="H51" s="1310">
        <f t="shared" si="37"/>
        <v>-68.09190000000001</v>
      </c>
      <c r="I51" s="1310">
        <f t="shared" si="37"/>
        <v>-4.1114999999999959</v>
      </c>
      <c r="J51" s="1310">
        <f t="shared" si="37"/>
        <v>28.137699999999995</v>
      </c>
      <c r="K51" s="1310">
        <f t="shared" si="37"/>
        <v>208.11069999999992</v>
      </c>
      <c r="L51" s="2542" t="e">
        <f t="shared" si="37"/>
        <v>#REF!</v>
      </c>
      <c r="M51" s="1310">
        <f t="shared" si="37"/>
        <v>-145.76009999999999</v>
      </c>
      <c r="N51" s="1310">
        <f t="shared" si="37"/>
        <v>-37.628800000000012</v>
      </c>
      <c r="O51" s="1310">
        <f t="shared" si="37"/>
        <v>79.33869999999996</v>
      </c>
      <c r="P51" s="1310">
        <f t="shared" ref="P51" si="38">P48+P49+P50</f>
        <v>11.524700000000047</v>
      </c>
      <c r="Q51" s="2542" t="e">
        <f t="shared" si="37"/>
        <v>#REF!</v>
      </c>
      <c r="R51" s="1310">
        <f t="shared" si="37"/>
        <v>2.7103000000000748</v>
      </c>
      <c r="S51" s="1310">
        <f t="shared" ref="S51" si="39">S48+S49+S50</f>
        <v>267.70370000000003</v>
      </c>
      <c r="T51" s="1310">
        <f t="shared" ref="T51:U51" si="40">T48+T49+T50</f>
        <v>271.03099999999995</v>
      </c>
      <c r="U51" s="1310">
        <f t="shared" si="40"/>
        <v>236.5121</v>
      </c>
      <c r="V51" s="2542">
        <f t="shared" ca="1" si="37"/>
        <v>731.33370000000025</v>
      </c>
      <c r="W51" s="1310">
        <f t="shared" si="37"/>
        <v>45.5</v>
      </c>
      <c r="X51" s="1310">
        <f t="shared" si="37"/>
        <v>145.5</v>
      </c>
      <c r="Y51" s="1310">
        <f t="shared" si="37"/>
        <v>230.5</v>
      </c>
      <c r="Z51" s="1310">
        <f t="shared" ca="1" si="37"/>
        <v>338.12092045878603</v>
      </c>
      <c r="AA51" s="1342">
        <f t="shared" ca="1" si="37"/>
        <v>759.62092045878614</v>
      </c>
      <c r="AB51" s="1342">
        <f t="shared" ref="AB51:AC51" ca="1" si="41">AB48+AB49+AB50</f>
        <v>791.07770058440042</v>
      </c>
      <c r="AC51" s="1342">
        <f t="shared" ca="1" si="41"/>
        <v>842.25723102170844</v>
      </c>
      <c r="AD51" s="2542"/>
      <c r="AE51" s="1515">
        <f>SUM(M51:P51)</f>
        <v>-92.525499999999994</v>
      </c>
      <c r="AF51" s="1515" t="e">
        <f>Q51</f>
        <v>#REF!</v>
      </c>
      <c r="AG51" s="1515" t="e">
        <f>AE51-AF51</f>
        <v>#REF!</v>
      </c>
      <c r="AH51" s="1504"/>
      <c r="AI51" s="1504"/>
      <c r="AJ51" s="1504"/>
      <c r="AK51" s="1504"/>
      <c r="AL51" s="1504"/>
      <c r="AM51" s="1504"/>
      <c r="AN51" s="1504"/>
      <c r="AO51" s="1504"/>
      <c r="AQ51">
        <v>-67</v>
      </c>
      <c r="AR51" s="463" t="s">
        <v>7947</v>
      </c>
      <c r="AX51">
        <v>157</v>
      </c>
      <c r="AY51">
        <v>249</v>
      </c>
      <c r="AZ51">
        <v>343</v>
      </c>
      <c r="BB51" s="463" t="s">
        <v>7822</v>
      </c>
      <c r="BD51" s="583">
        <v>0.13100000000000001</v>
      </c>
    </row>
    <row r="52" spans="1:58" ht="15.75">
      <c r="A52" s="1509"/>
      <c r="B52" s="1509"/>
      <c r="C52" s="1273"/>
      <c r="D52" s="1273"/>
      <c r="E52" s="1273"/>
      <c r="F52" s="1273"/>
      <c r="G52" s="2542"/>
      <c r="H52" s="1273"/>
      <c r="I52" s="1273"/>
      <c r="J52" s="1273"/>
      <c r="K52" s="1273"/>
      <c r="L52" s="2542"/>
      <c r="M52" s="1273"/>
      <c r="N52" s="1273"/>
      <c r="O52" s="1273"/>
      <c r="P52" s="1273"/>
      <c r="Q52" s="2542"/>
      <c r="R52" s="1273"/>
      <c r="S52" s="1273"/>
      <c r="T52" s="1273"/>
      <c r="U52" s="1273"/>
      <c r="V52" s="2542"/>
      <c r="W52" s="1273"/>
      <c r="X52" s="1273"/>
      <c r="Y52" s="1273"/>
      <c r="Z52" s="1273"/>
      <c r="AA52" s="1342"/>
      <c r="AB52" s="1342"/>
      <c r="AC52" s="1342"/>
      <c r="AD52" s="2542"/>
      <c r="AE52" s="1504"/>
      <c r="AF52" s="1504"/>
      <c r="AG52" s="1504"/>
      <c r="AH52" s="1504"/>
      <c r="AI52" s="1504"/>
      <c r="AJ52" s="1504"/>
      <c r="AK52" s="1504"/>
      <c r="AL52" s="1504"/>
      <c r="AM52" s="1504"/>
      <c r="AN52" s="1504"/>
      <c r="AO52" s="1504"/>
      <c r="AS52" s="463" t="s">
        <v>7948</v>
      </c>
      <c r="BB52" s="463" t="s">
        <v>2378</v>
      </c>
      <c r="BC52" s="449">
        <v>0.11</v>
      </c>
      <c r="BD52" s="449">
        <v>0.08</v>
      </c>
    </row>
    <row r="53" spans="1:58" ht="25.5" customHeight="1">
      <c r="A53" s="2574"/>
      <c r="B53" s="2574"/>
      <c r="C53" s="1507" t="str">
        <f t="shared" ref="C53:AA53" si="42">C3</f>
        <v>Q1 21</v>
      </c>
      <c r="D53" s="1507" t="str">
        <f t="shared" si="42"/>
        <v>Q2 21</v>
      </c>
      <c r="E53" s="1507" t="str">
        <f t="shared" si="42"/>
        <v>Q3 21</v>
      </c>
      <c r="F53" s="1507" t="str">
        <f t="shared" si="42"/>
        <v>Q4 21</v>
      </c>
      <c r="G53" s="1507" t="str">
        <f t="shared" si="42"/>
        <v>FY 21</v>
      </c>
      <c r="H53" s="1507" t="str">
        <f t="shared" si="42"/>
        <v>Q1 22</v>
      </c>
      <c r="I53" s="1507" t="str">
        <f t="shared" si="42"/>
        <v>Q2 22</v>
      </c>
      <c r="J53" s="1507" t="str">
        <f t="shared" si="42"/>
        <v>Q3 22</v>
      </c>
      <c r="K53" s="1507" t="str">
        <f t="shared" si="42"/>
        <v>Q4 22</v>
      </c>
      <c r="L53" s="1507" t="str">
        <f t="shared" si="42"/>
        <v>FY 22</v>
      </c>
      <c r="M53" s="1507" t="str">
        <f t="shared" si="42"/>
        <v>Q1 23</v>
      </c>
      <c r="N53" s="1507" t="str">
        <f t="shared" si="42"/>
        <v>Q2 23</v>
      </c>
      <c r="O53" s="1507" t="str">
        <f t="shared" si="42"/>
        <v>Q3 23</v>
      </c>
      <c r="P53" s="1507" t="str">
        <f t="shared" si="42"/>
        <v>Q4 23</v>
      </c>
      <c r="Q53" s="1507" t="str">
        <f t="shared" si="42"/>
        <v>FY 23</v>
      </c>
      <c r="R53" s="1507" t="str">
        <f t="shared" si="42"/>
        <v>Q1 24</v>
      </c>
      <c r="S53" s="1507" t="str">
        <f t="shared" ref="S53:T53" si="43">S3</f>
        <v>Q2 24</v>
      </c>
      <c r="T53" s="1507" t="str">
        <f t="shared" si="43"/>
        <v>Q3 24</v>
      </c>
      <c r="U53" s="1507" t="str">
        <f t="shared" ref="U53" si="44">U3</f>
        <v>Q4 24</v>
      </c>
      <c r="V53" s="1507" t="str">
        <f t="shared" si="42"/>
        <v>FY 24</v>
      </c>
      <c r="W53" s="1507" t="s">
        <v>9176</v>
      </c>
      <c r="X53" s="1507" t="s">
        <v>9177</v>
      </c>
      <c r="Y53" s="1507" t="s">
        <v>9178</v>
      </c>
      <c r="Z53" s="1507" t="s">
        <v>9179</v>
      </c>
      <c r="AA53" s="1507" t="str">
        <f t="shared" si="42"/>
        <v>FY 25</v>
      </c>
      <c r="AB53" s="1507" t="str">
        <f t="shared" ref="AB53:AC53" si="45">AB3</f>
        <v>FY 26</v>
      </c>
      <c r="AC53" s="1507" t="str">
        <f t="shared" si="45"/>
        <v>FY 27</v>
      </c>
      <c r="AD53" s="2545"/>
      <c r="AE53" s="1504"/>
      <c r="AG53" s="1504"/>
      <c r="AH53" s="1504"/>
      <c r="AI53" s="1504" t="s">
        <v>8529</v>
      </c>
      <c r="AJ53" s="1504">
        <v>1343</v>
      </c>
      <c r="AK53" s="1504"/>
      <c r="AL53" s="1504"/>
      <c r="AM53" s="1504"/>
      <c r="AN53" s="1504"/>
      <c r="AO53" s="1504"/>
    </row>
    <row r="54" spans="1:58" ht="15.75">
      <c r="A54" s="1504"/>
      <c r="B54" s="1504"/>
      <c r="C54" s="1513"/>
      <c r="D54" s="1513"/>
      <c r="E54" s="1513"/>
      <c r="F54" s="1513"/>
      <c r="G54" s="2544"/>
      <c r="H54" s="1513"/>
      <c r="I54" s="1513"/>
      <c r="J54" s="1513"/>
      <c r="K54" s="1513"/>
      <c r="L54" s="2544"/>
      <c r="M54" s="1513"/>
      <c r="N54" s="1513"/>
      <c r="O54" s="1513"/>
      <c r="P54" s="1513"/>
      <c r="Q54" s="2544"/>
      <c r="R54" s="1513"/>
      <c r="S54" s="1513"/>
      <c r="T54" s="1513"/>
      <c r="U54" s="1513"/>
      <c r="V54" s="2544"/>
      <c r="W54" s="1513"/>
      <c r="X54" s="1513"/>
      <c r="Y54" s="1513"/>
      <c r="Z54" s="1513"/>
      <c r="AA54" s="1513"/>
      <c r="AB54" s="1513"/>
      <c r="AC54" s="1513"/>
      <c r="AD54" s="2544"/>
      <c r="AE54" s="1504"/>
      <c r="AG54" s="1504"/>
      <c r="AH54" s="1504"/>
      <c r="AI54" s="1504" t="s">
        <v>8509</v>
      </c>
      <c r="AJ54" s="1504">
        <v>557</v>
      </c>
      <c r="AK54" s="1504"/>
      <c r="AL54" s="1504"/>
      <c r="AM54" s="1504"/>
      <c r="AN54" s="1504"/>
      <c r="AO54" s="1504"/>
      <c r="AR54" s="627" t="s">
        <v>2377</v>
      </c>
      <c r="AZ54" s="450" t="s">
        <v>7861</v>
      </c>
    </row>
    <row r="55" spans="1:58" ht="15.75">
      <c r="A55" s="2575" t="s">
        <v>2377</v>
      </c>
      <c r="B55" s="1504" t="s">
        <v>758</v>
      </c>
      <c r="C55" s="1273">
        <f>'New (new) quarts'!AP15</f>
        <v>155</v>
      </c>
      <c r="D55" s="1273">
        <v>154.03427712300999</v>
      </c>
      <c r="E55" s="1273">
        <v>155.07448337626599</v>
      </c>
      <c r="F55" s="1273">
        <v>159.68488458900129</v>
      </c>
      <c r="G55" s="2538">
        <f>'New split'!K19</f>
        <v>624</v>
      </c>
      <c r="H55" s="1273">
        <f>'New (new) quarts'!AU15</f>
        <v>155</v>
      </c>
      <c r="I55" s="1273">
        <f>'New (new) quarts'!AV15</f>
        <v>158.52000000000001</v>
      </c>
      <c r="J55" s="1273">
        <f>'New (new) quarts'!AW15</f>
        <v>154.81</v>
      </c>
      <c r="K55" s="1273">
        <f>'New (new) quarts'!AX15</f>
        <v>153</v>
      </c>
      <c r="L55" s="2538">
        <f>'New split'!L19</f>
        <v>621.32999999999993</v>
      </c>
      <c r="M55" s="1273">
        <f>'New (new) quarts'!AZ15</f>
        <v>153</v>
      </c>
      <c r="N55" s="1273">
        <f>'New (new) quarts'!BA15</f>
        <v>153</v>
      </c>
      <c r="O55" s="1273">
        <f>'New (new) quarts'!BB15</f>
        <v>153.44499999999999</v>
      </c>
      <c r="P55" s="1273">
        <f>'New (new) quarts'!BC15</f>
        <v>153.42400000000001</v>
      </c>
      <c r="Q55" s="2538">
        <f>'New split'!M19</f>
        <v>612.86900000000003</v>
      </c>
      <c r="R55" s="1273">
        <f>'New (new) quarts'!BE15</f>
        <v>152</v>
      </c>
      <c r="S55" s="1273">
        <f>'New (new) quarts'!BF15</f>
        <v>151</v>
      </c>
      <c r="T55" s="1273">
        <f>'New (new) quarts'!BG15</f>
        <v>153.51730000000001</v>
      </c>
      <c r="U55" s="1273">
        <f>'New (new) quarts'!BH15</f>
        <v>156.99700000000001</v>
      </c>
      <c r="V55" s="2538">
        <f>'New split'!N19</f>
        <v>613.51430000000005</v>
      </c>
      <c r="W55" s="1273">
        <f>'New (new) quarts'!BJ15</f>
        <v>61.300483042857138</v>
      </c>
      <c r="X55" s="1273">
        <f>'New (new) quarts'!BK15</f>
        <v>61.300483042857138</v>
      </c>
      <c r="Y55" s="1273">
        <f>'New (new) quarts'!BL15</f>
        <v>61.874512971485714</v>
      </c>
      <c r="Z55" s="1273">
        <f>'New (new) quarts'!BM15</f>
        <v>62.572738828514318</v>
      </c>
      <c r="AA55" s="1344">
        <f>'New split'!O19</f>
        <v>247.04821788571431</v>
      </c>
      <c r="AB55" s="1344">
        <f>'New split'!P19</f>
        <v>252.60089081485717</v>
      </c>
      <c r="AC55" s="1344">
        <f>'New split'!Q19</f>
        <v>258.90385265972571</v>
      </c>
      <c r="AD55" s="2538"/>
      <c r="AE55" s="1515">
        <f>SUM(M55:P55)</f>
        <v>612.86900000000003</v>
      </c>
      <c r="AF55" s="1515">
        <f>Q55</f>
        <v>612.86900000000003</v>
      </c>
      <c r="AG55" s="1515">
        <f>AE55-AF55</f>
        <v>0</v>
      </c>
      <c r="AH55" s="1504"/>
      <c r="AI55">
        <f>AI56+3</f>
        <v>155</v>
      </c>
      <c r="AK55" s="1504" t="s">
        <v>8530</v>
      </c>
      <c r="AL55" s="1504"/>
      <c r="AM55" s="1504"/>
      <c r="AN55" s="1504"/>
      <c r="AO55" s="1504"/>
      <c r="AQ55">
        <v>152</v>
      </c>
      <c r="AR55" s="463" t="s">
        <v>7949</v>
      </c>
      <c r="AX55">
        <v>158</v>
      </c>
      <c r="AZ55" s="463" t="s">
        <v>7824</v>
      </c>
    </row>
    <row r="56" spans="1:58" ht="15.75">
      <c r="A56" s="2575"/>
      <c r="B56" s="1504" t="s">
        <v>2218</v>
      </c>
      <c r="C56" s="1273">
        <f>'New (new) quarts'!AP51</f>
        <v>151</v>
      </c>
      <c r="D56" s="1273">
        <v>150.56114768451499</v>
      </c>
      <c r="E56" s="1273">
        <v>152.64494553979716</v>
      </c>
      <c r="F56" s="1273">
        <v>157.21839580173653</v>
      </c>
      <c r="G56" s="2538">
        <f>'New split'!K59</f>
        <v>612</v>
      </c>
      <c r="H56" s="1273">
        <f>'New (new) quarts'!AU51</f>
        <v>152</v>
      </c>
      <c r="I56" s="1273">
        <f>'New (new) quarts'!AV51</f>
        <v>154.12</v>
      </c>
      <c r="J56" s="1273">
        <f>'New (new) quarts'!AW51</f>
        <v>152</v>
      </c>
      <c r="K56" s="1273">
        <f>'New (new) quarts'!AX51</f>
        <v>150</v>
      </c>
      <c r="L56" s="2538">
        <f>'New split'!L59</f>
        <v>608.12</v>
      </c>
      <c r="M56" s="1273">
        <f>'New (new) quarts'!AZ51</f>
        <v>150</v>
      </c>
      <c r="N56" s="1273">
        <f>'New (new) quarts'!BA51</f>
        <v>150</v>
      </c>
      <c r="O56" s="1273">
        <f>'New (new) quarts'!BB51</f>
        <v>150.505</v>
      </c>
      <c r="P56" s="1273">
        <f>'New (new) quarts'!BC51</f>
        <v>151.26300000000001</v>
      </c>
      <c r="Q56" s="2538">
        <f>'New split'!M59</f>
        <v>601.76800000000003</v>
      </c>
      <c r="R56" s="1273">
        <f>'New (new) quarts'!BE51</f>
        <v>150</v>
      </c>
      <c r="S56" s="1273">
        <f>'New (new) quarts'!BF51</f>
        <v>150</v>
      </c>
      <c r="T56" s="1273">
        <f>'New (new) quarts'!BG51</f>
        <v>152.10499999999999</v>
      </c>
      <c r="U56" s="1273">
        <f>'New (new) quarts'!BH51</f>
        <v>154.97540000000001</v>
      </c>
      <c r="V56" s="2538">
        <f>'New split'!N59</f>
        <v>607.08040000000005</v>
      </c>
      <c r="W56" s="1273">
        <f>'New (new) quarts'!BJ51</f>
        <v>60.709285714285706</v>
      </c>
      <c r="X56" s="1273">
        <f>'New (new) quarts'!BK51</f>
        <v>60.709285714285706</v>
      </c>
      <c r="Y56" s="1273">
        <f>'New (new) quarts'!BL51</f>
        <v>61.283315642914282</v>
      </c>
      <c r="Z56" s="1273">
        <f>'New (new) quarts'!BM51</f>
        <v>61.981541499942871</v>
      </c>
      <c r="AA56" s="1344">
        <f>'New split'!O59</f>
        <v>244.68342857142858</v>
      </c>
      <c r="AB56" s="1344">
        <f>'New split'!P59</f>
        <v>250.18880571428573</v>
      </c>
      <c r="AC56" s="1344">
        <f>'New split'!Q59</f>
        <v>256.44352585714284</v>
      </c>
      <c r="AD56" s="2538"/>
      <c r="AE56" s="1515">
        <f>SUM(M56:P56)</f>
        <v>601.76800000000003</v>
      </c>
      <c r="AF56" s="1515">
        <f>Q56</f>
        <v>601.76800000000003</v>
      </c>
      <c r="AG56" s="1515">
        <f>AE56-AF56</f>
        <v>0</v>
      </c>
      <c r="AH56" s="1504"/>
      <c r="AI56" s="1504">
        <v>152</v>
      </c>
      <c r="AJ56" s="1517"/>
      <c r="AK56" s="1504"/>
      <c r="AL56" s="1504"/>
      <c r="AM56" s="1504"/>
      <c r="AN56" s="1504"/>
      <c r="AO56" s="1504"/>
      <c r="AQ56">
        <v>149</v>
      </c>
      <c r="AR56" s="463" t="s">
        <v>7950</v>
      </c>
      <c r="AX56">
        <v>155</v>
      </c>
      <c r="AZ56" s="463" t="s">
        <v>7827</v>
      </c>
    </row>
    <row r="57" spans="1:58" ht="15.75">
      <c r="A57" s="2575"/>
      <c r="B57" s="1504" t="s">
        <v>5052</v>
      </c>
      <c r="C57" s="1312">
        <f>'New (new) quarts'!AP361</f>
        <v>-2.1999999999999999E-2</v>
      </c>
      <c r="D57" s="1312">
        <v>0.14705059208233262</v>
      </c>
      <c r="E57" s="1312">
        <v>8.3918825174863487E-2</v>
      </c>
      <c r="F57" s="1312">
        <v>5.7781386031755089E-2</v>
      </c>
      <c r="G57" s="2539">
        <f>'New split'!K214</f>
        <v>6.0890217431036397E-2</v>
      </c>
      <c r="H57" s="1312">
        <f>'New (new) quarts'!AU361</f>
        <v>6.0000000000000001E-3</v>
      </c>
      <c r="I57" s="1312">
        <f>'New (new) quarts'!AV361</f>
        <v>2.4E-2</v>
      </c>
      <c r="J57" s="1312">
        <f>'New (new) quarts'!AW361</f>
        <v>-6.0000000000000001E-3</v>
      </c>
      <c r="K57" s="1312">
        <f>'New (new) quarts'!AX361</f>
        <v>-4.4999999999999998E-2</v>
      </c>
      <c r="L57" s="2539">
        <f>'New split'!L214</f>
        <v>-4.6211364413675238E-3</v>
      </c>
      <c r="M57" s="1312">
        <f>'New (new) quarts'!AZ361</f>
        <v>-1.4999999999999999E-2</v>
      </c>
      <c r="N57" s="1312">
        <f>'New (new) quarts'!BA361</f>
        <v>-2.9000000000000001E-2</v>
      </c>
      <c r="O57" s="1312">
        <f>'New (new) quarts'!BB361</f>
        <v>-8.0000000000000002E-3</v>
      </c>
      <c r="P57" s="1312">
        <f>'New (new) quarts'!BC361</f>
        <v>8.0000000000000002E-3</v>
      </c>
      <c r="Q57" s="2539">
        <f>'New split'!M214</f>
        <v>-1.1182488698548654E-2</v>
      </c>
      <c r="R57" s="1312">
        <f>'New (new) quarts'!BE361</f>
        <v>1E-3</v>
      </c>
      <c r="S57" s="1312">
        <f>'New (new) quarts'!BF361</f>
        <v>4.0000000000000001E-3</v>
      </c>
      <c r="T57" s="1312">
        <f>'New (new) quarts'!BG361</f>
        <v>1.0999999999999999E-2</v>
      </c>
      <c r="U57" s="1312">
        <f>'New (new) quarts'!BH361</f>
        <v>2.5000000000000001E-2</v>
      </c>
      <c r="V57" s="2539">
        <f>'New split'!N214</f>
        <v>1.0105871029836289E-2</v>
      </c>
      <c r="W57" s="1312">
        <f>'New (new) quarts'!BJ361</f>
        <v>2.5000000000000001E-2</v>
      </c>
      <c r="X57" s="1312">
        <f>'New (new) quarts'!BK361</f>
        <v>2.5000000000000001E-2</v>
      </c>
      <c r="Y57" s="1312">
        <f>'New (new) quarts'!BL361</f>
        <v>0.02</v>
      </c>
      <c r="Z57" s="1312">
        <f>'New (new) quarts'!BM361</f>
        <v>1.3246986061415722E-2</v>
      </c>
      <c r="AA57" s="1510">
        <f>'New split'!O214</f>
        <v>0.02</v>
      </c>
      <c r="AB57" s="1510">
        <f>'New split'!P214</f>
        <v>2.2499999999999999E-2</v>
      </c>
      <c r="AC57" s="1510">
        <f>'New split'!Q214</f>
        <v>2.5000000000000001E-2</v>
      </c>
      <c r="AD57" s="2539"/>
      <c r="AE57" s="1504"/>
      <c r="AF57" s="1504"/>
      <c r="AG57" s="1504"/>
      <c r="AH57" s="1504"/>
      <c r="AI57" s="1504"/>
      <c r="AJ57" s="1504"/>
      <c r="AK57" s="1504"/>
      <c r="AL57" s="1504"/>
      <c r="AM57" s="1504"/>
      <c r="AN57" s="1504"/>
      <c r="AO57" s="1504"/>
      <c r="AZ57" s="463" t="s">
        <v>7825</v>
      </c>
    </row>
    <row r="58" spans="1:58" ht="15.75">
      <c r="A58" s="2575"/>
      <c r="B58" s="1504" t="s">
        <v>360</v>
      </c>
      <c r="C58" s="1273">
        <f>'New (new) quarts'!AP115</f>
        <v>62</v>
      </c>
      <c r="D58" s="1273">
        <v>59.277584534008497</v>
      </c>
      <c r="E58" s="1273">
        <v>60.740281111432651</v>
      </c>
      <c r="F58" s="1273">
        <v>66.87211222720677</v>
      </c>
      <c r="G58" s="2538">
        <f>'New split'!K287</f>
        <v>249</v>
      </c>
      <c r="H58" s="1273">
        <f>'New (new) quarts'!AU115</f>
        <v>61</v>
      </c>
      <c r="I58" s="1273">
        <f>'New (new) quarts'!AV115</f>
        <v>63.59</v>
      </c>
      <c r="J58" s="1273">
        <f>'New (new) quarts'!AW115</f>
        <v>58</v>
      </c>
      <c r="K58" s="1273">
        <f>'New (new) quarts'!AX115</f>
        <v>59</v>
      </c>
      <c r="L58" s="2538">
        <f>'New split'!L287</f>
        <v>241.59</v>
      </c>
      <c r="M58" s="1273">
        <f>'New (new) quarts'!AZ115</f>
        <v>58</v>
      </c>
      <c r="N58" s="1273">
        <f>'New (new) quarts'!BA115</f>
        <v>57</v>
      </c>
      <c r="O58" s="1273">
        <f>'New (new) quarts'!BB115</f>
        <v>57.195999999999998</v>
      </c>
      <c r="P58" s="1273">
        <f>'New (new) quarts'!BC115</f>
        <v>55.862000000000002</v>
      </c>
      <c r="Q58" s="2538">
        <f>'New split'!M287</f>
        <v>228.05799999999999</v>
      </c>
      <c r="R58" s="1273">
        <f>'New (new) quarts'!BE115</f>
        <v>64.874600000000001</v>
      </c>
      <c r="S58" s="1273">
        <f>'New (new) quarts'!BF115</f>
        <v>64.061099999999996</v>
      </c>
      <c r="T58" s="1273">
        <f>'New (new) quarts'!BG115</f>
        <v>66.269499999999994</v>
      </c>
      <c r="U58" s="1273">
        <f>'New (new) quarts'!BH115</f>
        <v>71.088200000000001</v>
      </c>
      <c r="V58" s="2538">
        <f>'New split'!N287</f>
        <v>266.29340000000002</v>
      </c>
      <c r="W58" s="1273">
        <f>'New (new) quarts'!BJ115</f>
        <v>25</v>
      </c>
      <c r="X58" s="1273">
        <f>'New (new) quarts'!BK115</f>
        <v>25</v>
      </c>
      <c r="Y58" s="1273">
        <f>'New (new) quarts'!BL115</f>
        <v>25</v>
      </c>
      <c r="Z58" s="1273">
        <f>'New (new) quarts'!BM115</f>
        <v>30.242540819314286</v>
      </c>
      <c r="AA58" s="1344">
        <f>'New split'!O287</f>
        <v>105.24254081931429</v>
      </c>
      <c r="AB58" s="1344">
        <f>'New split'!P287</f>
        <v>107.3553785963143</v>
      </c>
      <c r="AC58" s="1344">
        <f>'New split'!Q287</f>
        <v>111.32865664368205</v>
      </c>
      <c r="AD58" s="2538"/>
      <c r="AE58" s="1515">
        <f>SUM(M58:P58)</f>
        <v>228.05799999999999</v>
      </c>
      <c r="AF58" s="1515">
        <f>Q58</f>
        <v>228.05799999999999</v>
      </c>
      <c r="AG58" s="1515">
        <f>AE58-AF58</f>
        <v>0</v>
      </c>
      <c r="AH58" s="1504"/>
      <c r="AI58" s="1523">
        <v>60</v>
      </c>
      <c r="AJ58" s="1517"/>
      <c r="AK58" s="1504"/>
      <c r="AL58" s="1504"/>
      <c r="AM58" s="1504"/>
      <c r="AN58" s="1504"/>
      <c r="AO58" s="1504"/>
      <c r="AQ58">
        <v>59</v>
      </c>
      <c r="AX58">
        <v>64</v>
      </c>
      <c r="BA58" s="463" t="s">
        <v>7826</v>
      </c>
    </row>
    <row r="59" spans="1:58" ht="15.75">
      <c r="A59" s="2575"/>
      <c r="B59" s="1504" t="s">
        <v>5045</v>
      </c>
      <c r="C59" s="1312">
        <f>C58/C55</f>
        <v>0.4</v>
      </c>
      <c r="D59" s="1312">
        <v>0.38483372429287349</v>
      </c>
      <c r="E59" s="1312">
        <v>0.39168456208269331</v>
      </c>
      <c r="F59" s="1312">
        <v>0.41877546769265578</v>
      </c>
      <c r="G59" s="2539">
        <f t="shared" ref="G59:AA59" si="46">G58/G55</f>
        <v>0.39903846153846156</v>
      </c>
      <c r="H59" s="1312">
        <f t="shared" si="46"/>
        <v>0.3935483870967742</v>
      </c>
      <c r="I59" s="1312">
        <f t="shared" si="46"/>
        <v>0.40114812011102702</v>
      </c>
      <c r="J59" s="1312">
        <f t="shared" si="46"/>
        <v>0.37465280020670499</v>
      </c>
      <c r="K59" s="1312">
        <f t="shared" si="46"/>
        <v>0.38562091503267976</v>
      </c>
      <c r="L59" s="2539">
        <f t="shared" si="46"/>
        <v>0.38882719327893395</v>
      </c>
      <c r="M59" s="1312">
        <f t="shared" si="46"/>
        <v>0.37908496732026142</v>
      </c>
      <c r="N59" s="1312">
        <f t="shared" si="46"/>
        <v>0.37254901960784315</v>
      </c>
      <c r="O59" s="1312">
        <f t="shared" si="46"/>
        <v>0.37274593502557918</v>
      </c>
      <c r="P59" s="1312">
        <f t="shared" si="46"/>
        <v>0.36410209615184064</v>
      </c>
      <c r="Q59" s="2539">
        <f t="shared" si="46"/>
        <v>0.37211541128691444</v>
      </c>
      <c r="R59" s="1312">
        <f t="shared" si="46"/>
        <v>0.42680657894736845</v>
      </c>
      <c r="S59" s="1312">
        <f t="shared" ref="S59" si="47">S58/S55</f>
        <v>0.4242456953642384</v>
      </c>
      <c r="T59" s="1312">
        <f t="shared" ref="T59:U59" si="48">T58/T55</f>
        <v>0.43167447577569429</v>
      </c>
      <c r="U59" s="1312">
        <f t="shared" si="48"/>
        <v>0.45279973502678389</v>
      </c>
      <c r="V59" s="2539">
        <f t="shared" si="46"/>
        <v>0.43404595459307144</v>
      </c>
      <c r="W59" s="1312">
        <f t="shared" si="46"/>
        <v>0.40782712890731543</v>
      </c>
      <c r="X59" s="1312">
        <f t="shared" si="46"/>
        <v>0.40782712890731543</v>
      </c>
      <c r="Y59" s="1312">
        <f t="shared" si="46"/>
        <v>0.40404358433529836</v>
      </c>
      <c r="Z59" s="1312">
        <f t="shared" si="46"/>
        <v>0.4833181571641994</v>
      </c>
      <c r="AA59" s="1510">
        <f t="shared" si="46"/>
        <v>0.42599999999999993</v>
      </c>
      <c r="AB59" s="1510">
        <f t="shared" ref="AB59:AC59" si="49">AB58/AB55</f>
        <v>0.42499999999999999</v>
      </c>
      <c r="AC59" s="1510">
        <f t="shared" si="49"/>
        <v>0.43</v>
      </c>
      <c r="AD59" s="2539"/>
      <c r="AE59" s="1504"/>
      <c r="AF59" s="1504"/>
      <c r="AG59" s="1504"/>
      <c r="AH59" s="1504"/>
      <c r="AI59" s="1522">
        <f>AI58/AI55</f>
        <v>0.38709677419354838</v>
      </c>
      <c r="AJ59" s="1504"/>
      <c r="AK59" s="1504"/>
      <c r="AL59" s="1504"/>
      <c r="AM59" s="1504"/>
      <c r="AN59" s="1504"/>
      <c r="AO59" s="1504"/>
      <c r="AQ59" s="1346">
        <f>AQ58/AQ55</f>
        <v>0.38815789473684209</v>
      </c>
      <c r="AR59" s="627" t="s">
        <v>1665</v>
      </c>
      <c r="AX59" s="1311">
        <f>AX58/AX55</f>
        <v>0.4050632911392405</v>
      </c>
    </row>
    <row r="60" spans="1:58" ht="15.75">
      <c r="A60" s="1504"/>
      <c r="B60" s="1504"/>
      <c r="C60" s="1513"/>
      <c r="D60" s="1513"/>
      <c r="E60" s="1513"/>
      <c r="F60" s="1513"/>
      <c r="G60" s="1519"/>
      <c r="H60" s="1513"/>
      <c r="I60" s="1513"/>
      <c r="J60" s="1513"/>
      <c r="K60" s="1513"/>
      <c r="L60" s="1519"/>
      <c r="M60" s="1513"/>
      <c r="N60" s="1513"/>
      <c r="O60" s="1513"/>
      <c r="P60" s="1513"/>
      <c r="Q60" s="1519"/>
      <c r="R60" s="1513"/>
      <c r="S60" s="1513"/>
      <c r="T60" s="1513"/>
      <c r="U60" s="1513"/>
      <c r="V60" s="1519"/>
      <c r="W60" s="2544"/>
      <c r="X60" s="2544"/>
      <c r="Y60" s="2544"/>
      <c r="Z60" s="2544"/>
      <c r="AA60" s="1519"/>
      <c r="AB60" s="1519"/>
      <c r="AC60" s="1519"/>
      <c r="AD60" s="1519"/>
      <c r="AE60" s="1504"/>
      <c r="AF60" s="1504"/>
      <c r="AG60" s="1504"/>
      <c r="AH60" s="1504"/>
      <c r="AI60" s="1504"/>
      <c r="AJ60" s="1504"/>
      <c r="AK60" s="1504"/>
      <c r="AL60" s="1504"/>
      <c r="AM60" s="1504"/>
      <c r="AN60" s="1504"/>
      <c r="AO60" s="1504"/>
      <c r="AR60" s="463" t="s">
        <v>7953</v>
      </c>
      <c r="AS60" s="463" t="s">
        <v>7951</v>
      </c>
      <c r="AZ60" s="463" t="s">
        <v>7828</v>
      </c>
      <c r="BF60" s="463" t="s">
        <v>7837</v>
      </c>
    </row>
    <row r="61" spans="1:58" ht="15.75">
      <c r="A61" s="2575" t="s">
        <v>1665</v>
      </c>
      <c r="B61" s="1504" t="s">
        <v>758</v>
      </c>
      <c r="C61" s="1273">
        <f>'New (new) quarts'!AP16</f>
        <v>357</v>
      </c>
      <c r="D61" s="1273">
        <v>348.47876105356801</v>
      </c>
      <c r="E61" s="1273">
        <v>348.6</v>
      </c>
      <c r="F61" s="1273">
        <v>359.45519090911381</v>
      </c>
      <c r="G61" s="2538">
        <f>'New split'!K20</f>
        <v>1413</v>
      </c>
      <c r="H61" s="1273">
        <f>'New (new) quarts'!AU16</f>
        <v>357</v>
      </c>
      <c r="I61" s="1273">
        <f>'New (new) quarts'!AV16</f>
        <v>359.46</v>
      </c>
      <c r="J61" s="1273">
        <f>'New (new) quarts'!AW16</f>
        <v>320.38</v>
      </c>
      <c r="K61" s="1273">
        <f>'New (new) quarts'!AX16</f>
        <v>299</v>
      </c>
      <c r="L61" s="2538">
        <f>'New split'!L20</f>
        <v>1335.8400000000001</v>
      </c>
      <c r="M61" s="1273">
        <f>'New (new) quarts'!AZ16</f>
        <v>298</v>
      </c>
      <c r="N61" s="1273">
        <f>'New (new) quarts'!BA16</f>
        <v>314</v>
      </c>
      <c r="O61" s="1273">
        <f>'New (new) quarts'!BB16</f>
        <v>344.15600000000001</v>
      </c>
      <c r="P61" s="1273">
        <f>Q61-M61-N61-O61</f>
        <v>357.20199999999994</v>
      </c>
      <c r="Q61" s="2538">
        <f>'New split'!M20</f>
        <v>1313.3579999999999</v>
      </c>
      <c r="R61" s="1273">
        <f>'New (new) quarts'!BE16</f>
        <v>355</v>
      </c>
      <c r="S61" s="1273">
        <f>'New (new) quarts'!BF16</f>
        <v>357</v>
      </c>
      <c r="T61" s="1273">
        <f>'New (new) quarts'!BG16</f>
        <v>340.11540000000002</v>
      </c>
      <c r="U61" s="1273">
        <f>'New (new) quarts'!BH16</f>
        <v>327.92970000000003</v>
      </c>
      <c r="V61" s="2538">
        <f>'New split'!N20</f>
        <v>1380.0451000000003</v>
      </c>
      <c r="W61" s="1273">
        <f>'New (new) quarts'!BJ16</f>
        <v>339.29264718433734</v>
      </c>
      <c r="X61" s="1273">
        <f>'New (new) quarts'!BK16</f>
        <v>344.82192217228919</v>
      </c>
      <c r="Y61" s="1273">
        <f>'New (new) quarts'!BL16</f>
        <v>347.43264129070849</v>
      </c>
      <c r="Z61" s="1273">
        <f>'New (new) quarts'!BM16</f>
        <v>351.73972768037595</v>
      </c>
      <c r="AA61" s="1344">
        <f>'New split'!O20</f>
        <v>1383.2869383277109</v>
      </c>
      <c r="AB61" s="1344">
        <f>'New split'!P20</f>
        <v>1389.8862059865814</v>
      </c>
      <c r="AC61" s="1344">
        <f>'New split'!Q20</f>
        <v>1403.1494400068614</v>
      </c>
      <c r="AD61" s="2538"/>
      <c r="AE61" s="1515">
        <f>SUM(M61:P61)</f>
        <v>1313.3579999999999</v>
      </c>
      <c r="AF61" s="1515">
        <f>Q61</f>
        <v>1313.3579999999999</v>
      </c>
      <c r="AG61" s="1515">
        <f>AE61-AF61</f>
        <v>0</v>
      </c>
      <c r="AH61" s="1504"/>
      <c r="AI61" s="1504">
        <v>347</v>
      </c>
      <c r="AK61" s="1504" t="s">
        <v>8531</v>
      </c>
      <c r="AL61" s="1504"/>
      <c r="AM61" s="1504"/>
      <c r="AN61" s="1504" t="s">
        <v>8532</v>
      </c>
      <c r="AQ61">
        <v>307</v>
      </c>
      <c r="AS61" s="463" t="s">
        <v>7967</v>
      </c>
      <c r="AX61">
        <v>307</v>
      </c>
      <c r="AZ61" s="463" t="s">
        <v>7829</v>
      </c>
      <c r="BF61" s="463" t="s">
        <v>7834</v>
      </c>
    </row>
    <row r="62" spans="1:58" ht="15.75">
      <c r="A62" s="2575"/>
      <c r="B62" s="1504" t="s">
        <v>2218</v>
      </c>
      <c r="C62" s="1273">
        <f>'New (new) quarts'!AP52</f>
        <v>337</v>
      </c>
      <c r="D62" s="1273">
        <v>327.29633050461996</v>
      </c>
      <c r="E62" s="1273">
        <v>325.2</v>
      </c>
      <c r="F62" s="1273">
        <v>329.50282175053633</v>
      </c>
      <c r="G62" s="2538">
        <f>'New split'!K60</f>
        <v>1319</v>
      </c>
      <c r="H62" s="1273">
        <f>'New (new) quarts'!AU52</f>
        <v>332</v>
      </c>
      <c r="I62" s="1273">
        <f>'New (new) quarts'!AV52</f>
        <v>336.06</v>
      </c>
      <c r="J62" s="1273">
        <f>'New (new) quarts'!AW52</f>
        <v>303</v>
      </c>
      <c r="K62" s="1273">
        <f>'New (new) quarts'!AX52</f>
        <v>282</v>
      </c>
      <c r="L62" s="2538">
        <f>'New split'!L60</f>
        <v>1253.06</v>
      </c>
      <c r="M62" s="1273">
        <f>'New (new) quarts'!AZ52</f>
        <v>286</v>
      </c>
      <c r="N62" s="1273">
        <f>'New (new) quarts'!BA52</f>
        <v>302</v>
      </c>
      <c r="O62" s="1273">
        <f>'New (new) quarts'!BB52</f>
        <v>333.30900000000003</v>
      </c>
      <c r="P62" s="1273">
        <f>Q62-M62-N62-O62</f>
        <v>347.57899999999989</v>
      </c>
      <c r="Q62" s="2538">
        <f>'New split'!M60</f>
        <v>1268.8879999999999</v>
      </c>
      <c r="R62" s="1273">
        <f>'New (new) quarts'!BE52</f>
        <v>346</v>
      </c>
      <c r="S62" s="1273">
        <f>'New (new) quarts'!BF52</f>
        <v>347</v>
      </c>
      <c r="T62" s="1273">
        <f>'New (new) quarts'!BG52</f>
        <v>331.15640000000002</v>
      </c>
      <c r="U62" s="1273">
        <f>'New (new) quarts'!BH52</f>
        <v>317.2593</v>
      </c>
      <c r="V62" s="2538">
        <f>'New split'!N60</f>
        <v>1341.4157</v>
      </c>
      <c r="W62" s="1273">
        <f>'New (new) quarts'!BJ52</f>
        <v>330.03356320481925</v>
      </c>
      <c r="X62" s="1273">
        <f>'New (new) quarts'!BK52</f>
        <v>335.5628381927711</v>
      </c>
      <c r="Y62" s="1273">
        <f>'New (new) quarts'!BL52</f>
        <v>338.17355731119039</v>
      </c>
      <c r="Z62" s="1273">
        <f>'New (new) quarts'!BM52</f>
        <v>342.48064370085785</v>
      </c>
      <c r="AA62" s="1344">
        <f>'New split'!O60</f>
        <v>1346.2506024096385</v>
      </c>
      <c r="AB62" s="1344">
        <f>'New split'!P60</f>
        <v>1352.8498700685091</v>
      </c>
      <c r="AC62" s="1344">
        <f>'New split'!Q60</f>
        <v>1366.113104088789</v>
      </c>
      <c r="AD62" s="2538"/>
      <c r="AE62" s="1515">
        <f>SUM(M62:P62)</f>
        <v>1268.8879999999999</v>
      </c>
      <c r="AF62" s="1515">
        <f>Q62</f>
        <v>1268.8879999999999</v>
      </c>
      <c r="AG62" s="1515">
        <f>AE62-AF62</f>
        <v>0</v>
      </c>
      <c r="AH62" s="1504"/>
      <c r="AI62" s="1504">
        <v>330</v>
      </c>
      <c r="AJ62" s="1517"/>
      <c r="AK62" s="1504"/>
      <c r="AL62" s="1504"/>
      <c r="AM62" s="1504"/>
      <c r="AN62" s="1504" t="s">
        <v>8533</v>
      </c>
      <c r="AQ62">
        <v>285</v>
      </c>
      <c r="AS62" s="463" t="s">
        <v>7968</v>
      </c>
      <c r="AX62">
        <v>284</v>
      </c>
      <c r="AZ62" s="463" t="s">
        <v>7830</v>
      </c>
      <c r="BF62" s="463" t="s">
        <v>7835</v>
      </c>
    </row>
    <row r="63" spans="1:58" ht="15.75">
      <c r="A63" s="2575"/>
      <c r="B63" s="1504" t="s">
        <v>5052</v>
      </c>
      <c r="C63" s="1312">
        <f>'New (new) quarts'!AP362</f>
        <v>3.1E-2</v>
      </c>
      <c r="D63" s="1312">
        <v>9.3935614977393334E-2</v>
      </c>
      <c r="E63" s="1312">
        <v>0.06</v>
      </c>
      <c r="F63" s="1312">
        <v>6.3629743293234897E-2</v>
      </c>
      <c r="G63" s="2539">
        <f>'New split'!K215</f>
        <v>4.7736966175639051E-2</v>
      </c>
      <c r="H63" s="1312">
        <f>'New (new) quarts'!AU362</f>
        <v>7.8E-2</v>
      </c>
      <c r="I63" s="1312">
        <f>'New (new) quarts'!AV362</f>
        <v>8.5000000000000006E-2</v>
      </c>
      <c r="J63" s="1312">
        <f>'New (new) quarts'!AW362</f>
        <v>5.7000000000000002E-2</v>
      </c>
      <c r="K63" s="1312">
        <f>'New (new) quarts'!AX362</f>
        <v>4.3999999999999997E-2</v>
      </c>
      <c r="L63" s="2539">
        <f>'New split'!L215</f>
        <v>6.893192597825748E-2</v>
      </c>
      <c r="M63" s="1312">
        <f>'New (new) quarts'!AZ362</f>
        <v>3.5999999999999997E-2</v>
      </c>
      <c r="N63" s="1312">
        <f>'New (new) quarts'!BA362</f>
        <v>2.4E-2</v>
      </c>
      <c r="O63" s="1312">
        <f>'New (new) quarts'!BB362</f>
        <v>2.5000000000000001E-2</v>
      </c>
      <c r="P63" s="1312">
        <f>'New (new) quarts'!BC362</f>
        <v>3.4000000000000002E-2</v>
      </c>
      <c r="Q63" s="2539">
        <f>'New split'!M215</f>
        <v>2.972358954941301E-2</v>
      </c>
      <c r="R63" s="1312">
        <f>'New (new) quarts'!BE362</f>
        <v>0</v>
      </c>
      <c r="S63" s="1312">
        <f>'New (new) quarts'!BF362</f>
        <v>2E-3</v>
      </c>
      <c r="T63" s="1312">
        <f>'New (new) quarts'!BG362</f>
        <v>1.6E-2</v>
      </c>
      <c r="U63" s="1312">
        <f>'New (new) quarts'!BH362</f>
        <v>0</v>
      </c>
      <c r="V63" s="2539">
        <f>'New split'!N215</f>
        <v>4.5964331678618464E-3</v>
      </c>
      <c r="W63" s="1312"/>
      <c r="X63" s="1312"/>
      <c r="Y63" s="1312"/>
      <c r="Z63" s="1312"/>
      <c r="AA63" s="1510">
        <f>'New split'!O215</f>
        <v>2.2499999999999999E-2</v>
      </c>
      <c r="AB63" s="1510">
        <f>'New split'!P215</f>
        <v>2.5000000000000001E-2</v>
      </c>
      <c r="AC63" s="1510">
        <f>'New split'!Q215</f>
        <v>0.03</v>
      </c>
      <c r="AD63" s="2539"/>
      <c r="AE63" s="1504"/>
      <c r="AF63" s="1504"/>
      <c r="AG63" s="1504"/>
      <c r="AH63" s="1504"/>
      <c r="AI63" s="1504"/>
      <c r="AJ63" s="1504"/>
      <c r="AK63" s="1504"/>
      <c r="AL63" s="1504"/>
      <c r="AM63" s="1504"/>
      <c r="AN63" s="1504" t="s">
        <v>8534</v>
      </c>
      <c r="AR63" s="463" t="s">
        <v>7955</v>
      </c>
      <c r="AZ63" s="463" t="s">
        <v>7831</v>
      </c>
      <c r="BF63" s="463" t="s">
        <v>7836</v>
      </c>
    </row>
    <row r="64" spans="1:58" ht="15.75">
      <c r="A64" s="2575"/>
      <c r="B64" s="1504" t="s">
        <v>360</v>
      </c>
      <c r="C64" s="1273">
        <f>'New (new) quarts'!AP116</f>
        <v>121</v>
      </c>
      <c r="D64" s="1273">
        <v>107.760262004594</v>
      </c>
      <c r="E64" s="1273">
        <v>103.8</v>
      </c>
      <c r="F64" s="1273">
        <v>108.42101124109132</v>
      </c>
      <c r="G64" s="2538">
        <f>'New split'!K288</f>
        <v>441</v>
      </c>
      <c r="H64" s="1273">
        <f>'New (new) quarts'!AU116</f>
        <v>108</v>
      </c>
      <c r="I64" s="1273">
        <f>'New (new) quarts'!AV116</f>
        <v>106.09</v>
      </c>
      <c r="J64" s="1273">
        <f>'New (new) quarts'!AW116</f>
        <v>97</v>
      </c>
      <c r="K64" s="1273">
        <f>'New (new) quarts'!AX116</f>
        <v>92</v>
      </c>
      <c r="L64" s="2538">
        <f>'New split'!L288</f>
        <v>403.09000000000003</v>
      </c>
      <c r="M64" s="1273">
        <f>'New (new) quarts'!AZ116</f>
        <v>93</v>
      </c>
      <c r="N64" s="1273">
        <f>'New (new) quarts'!BA116</f>
        <v>101</v>
      </c>
      <c r="O64" s="1273">
        <f>'New (new) quarts'!BB116</f>
        <v>125.193</v>
      </c>
      <c r="P64" s="1273">
        <f>'New (new) quarts'!BC116</f>
        <v>137.51900000000001</v>
      </c>
      <c r="Q64" s="2538">
        <f>'New split'!M288</f>
        <v>456.71199999999999</v>
      </c>
      <c r="R64" s="1273">
        <f>'New (new) quarts'!BE116</f>
        <v>129.73779999999999</v>
      </c>
      <c r="S64" s="1273">
        <f>'New (new) quarts'!BF116</f>
        <v>141.17609999999999</v>
      </c>
      <c r="T64" s="1273">
        <f>'New (new) quarts'!BG116</f>
        <v>132.62209999999999</v>
      </c>
      <c r="U64" s="1273">
        <f>'New (new) quarts'!BH116</f>
        <v>121.7861</v>
      </c>
      <c r="V64" s="2538">
        <f>'New split'!N288</f>
        <v>525.32209999999998</v>
      </c>
      <c r="W64" s="1273">
        <f>'New (new) quarts'!BJ116</f>
        <v>135</v>
      </c>
      <c r="X64" s="1273">
        <f>'New (new) quarts'!BK116</f>
        <v>145</v>
      </c>
      <c r="Y64" s="1273">
        <f>'New (new) quarts'!BL116</f>
        <v>140</v>
      </c>
      <c r="Z64" s="1273">
        <f>'New (new) quarts'!BM116</f>
        <v>133.31477533108443</v>
      </c>
      <c r="AA64" s="1344">
        <f>'New split'!O288</f>
        <v>553.31477533108443</v>
      </c>
      <c r="AB64" s="1344">
        <f>'New split'!P288</f>
        <v>569.85334445449837</v>
      </c>
      <c r="AC64" s="1344">
        <f>'New split'!Q288</f>
        <v>582.3070176028474</v>
      </c>
      <c r="AD64" s="2538"/>
      <c r="AE64" s="1515">
        <f>SUM(M64:P64)</f>
        <v>456.71199999999999</v>
      </c>
      <c r="AF64" s="1515">
        <f>Q64</f>
        <v>456.71199999999999</v>
      </c>
      <c r="AG64" s="1515">
        <f>AE64-AF64</f>
        <v>0</v>
      </c>
      <c r="AH64" s="1504"/>
      <c r="AI64" s="1504">
        <v>120</v>
      </c>
      <c r="AJ64" s="1517"/>
      <c r="AK64" s="1504"/>
      <c r="AL64" s="1504"/>
      <c r="AM64" s="1504"/>
      <c r="AN64" s="1504" t="s">
        <v>8535</v>
      </c>
      <c r="AQ64">
        <v>94</v>
      </c>
      <c r="AR64" s="1219"/>
      <c r="AS64" s="1219" t="s">
        <v>7956</v>
      </c>
      <c r="AT64" s="1219"/>
      <c r="AU64" s="1219"/>
      <c r="AV64" s="1219"/>
      <c r="AX64">
        <v>95</v>
      </c>
      <c r="AZ64" s="463" t="s">
        <v>7839</v>
      </c>
    </row>
    <row r="65" spans="1:59" ht="15.75">
      <c r="A65" s="2575"/>
      <c r="B65" s="1504" t="s">
        <v>5045</v>
      </c>
      <c r="C65" s="1312">
        <f>C64/C61</f>
        <v>0.33893557422969189</v>
      </c>
      <c r="D65" s="1312">
        <v>0.3092305013906691</v>
      </c>
      <c r="E65" s="1312">
        <v>0.29776247848537002</v>
      </c>
      <c r="F65" s="1312">
        <v>0.30162594388156982</v>
      </c>
      <c r="G65" s="2539">
        <f t="shared" ref="G65:AA65" si="50">G64/G61</f>
        <v>0.31210191082802546</v>
      </c>
      <c r="H65" s="1312">
        <f t="shared" si="50"/>
        <v>0.30252100840336132</v>
      </c>
      <c r="I65" s="1312">
        <f t="shared" si="50"/>
        <v>0.29513715016969899</v>
      </c>
      <c r="J65" s="1312">
        <f t="shared" si="50"/>
        <v>0.30276546600911419</v>
      </c>
      <c r="K65" s="1312">
        <f t="shared" si="50"/>
        <v>0.30769230769230771</v>
      </c>
      <c r="L65" s="2539">
        <f t="shared" si="50"/>
        <v>0.30175020960594084</v>
      </c>
      <c r="M65" s="1312">
        <f t="shared" si="50"/>
        <v>0.31208053691275167</v>
      </c>
      <c r="N65" s="1312">
        <f t="shared" si="50"/>
        <v>0.321656050955414</v>
      </c>
      <c r="O65" s="1312">
        <f t="shared" si="50"/>
        <v>0.36376817489743024</v>
      </c>
      <c r="P65" s="1312">
        <f t="shared" si="50"/>
        <v>0.38498944574778426</v>
      </c>
      <c r="Q65" s="2539">
        <f t="shared" si="50"/>
        <v>0.34774372257982972</v>
      </c>
      <c r="R65" s="1312">
        <f t="shared" si="50"/>
        <v>0.36545859154929577</v>
      </c>
      <c r="S65" s="1312">
        <f t="shared" ref="S65" si="51">S64/S61</f>
        <v>0.39545126050420165</v>
      </c>
      <c r="T65" s="1312">
        <f t="shared" ref="T65:U65" si="52">T64/T61</f>
        <v>0.38993265227037643</v>
      </c>
      <c r="U65" s="1312">
        <f t="shared" si="52"/>
        <v>0.3713786826871735</v>
      </c>
      <c r="V65" s="2539">
        <f t="shared" si="50"/>
        <v>0.38065574813460795</v>
      </c>
      <c r="W65" s="1312">
        <f>W64/W61</f>
        <v>0.39788660650419178</v>
      </c>
      <c r="X65" s="1312">
        <f t="shared" si="50"/>
        <v>0.42050690712045624</v>
      </c>
      <c r="Y65" s="1312">
        <f t="shared" si="50"/>
        <v>0.40295580599422531</v>
      </c>
      <c r="Z65" s="1312">
        <f t="shared" si="50"/>
        <v>0.37901540497076541</v>
      </c>
      <c r="AA65" s="1510">
        <f t="shared" si="50"/>
        <v>0.4</v>
      </c>
      <c r="AB65" s="1510">
        <f t="shared" ref="AB65:AC65" si="53">AB64/AB61</f>
        <v>0.41</v>
      </c>
      <c r="AC65" s="1510">
        <f t="shared" si="53"/>
        <v>0.41499999999999992</v>
      </c>
      <c r="AD65" s="2539"/>
      <c r="AE65" s="1504"/>
      <c r="AF65" s="1504"/>
      <c r="AG65" s="1504"/>
      <c r="AH65" s="1504"/>
      <c r="AI65" s="1504"/>
      <c r="AJ65" s="1504"/>
      <c r="AK65" s="1504"/>
      <c r="AL65" s="1504" t="s">
        <v>8536</v>
      </c>
      <c r="AM65" s="1504"/>
      <c r="AN65" s="1504"/>
      <c r="AO65" s="1504"/>
      <c r="AQ65" s="1346">
        <f>AQ64/AQ61</f>
        <v>0.30618892508143325</v>
      </c>
      <c r="AR65" s="463" t="s">
        <v>7954</v>
      </c>
      <c r="AX65" s="1311">
        <f>AX64/AX61</f>
        <v>0.30944625407166126</v>
      </c>
      <c r="AZ65" s="463" t="s">
        <v>7840</v>
      </c>
      <c r="BF65" s="463" t="s">
        <v>7838</v>
      </c>
    </row>
    <row r="66" spans="1:59" ht="15.75">
      <c r="A66" s="1504"/>
      <c r="B66" s="1504"/>
      <c r="C66" s="1513"/>
      <c r="D66" s="1513"/>
      <c r="E66" s="1513"/>
      <c r="F66" s="1513"/>
      <c r="G66" s="1519"/>
      <c r="H66" s="1513"/>
      <c r="I66" s="1513"/>
      <c r="J66" s="1513"/>
      <c r="K66" s="1513"/>
      <c r="L66" s="1519"/>
      <c r="M66" s="1513"/>
      <c r="N66" s="1513"/>
      <c r="O66" s="1513"/>
      <c r="P66" s="1513"/>
      <c r="Q66" s="1519"/>
      <c r="R66" s="1513"/>
      <c r="S66" s="1513"/>
      <c r="T66" s="1513"/>
      <c r="U66" s="1513"/>
      <c r="V66" s="1519"/>
      <c r="W66" s="2544"/>
      <c r="X66" s="2544"/>
      <c r="Y66" s="2544"/>
      <c r="Z66" s="2544"/>
      <c r="AA66" s="1519"/>
      <c r="AB66" s="1519"/>
      <c r="AC66" s="1519"/>
      <c r="AD66" s="1519"/>
      <c r="AE66" s="1504"/>
      <c r="AF66" s="1504"/>
      <c r="AG66" s="1504"/>
      <c r="AH66" s="1504"/>
      <c r="AI66" s="1504"/>
      <c r="AJ66" s="1504"/>
      <c r="AK66" s="1504"/>
      <c r="AL66" s="1504"/>
      <c r="AM66" s="1504"/>
      <c r="AN66" s="1504"/>
      <c r="AO66" s="1504"/>
      <c r="AS66" s="463" t="s">
        <v>7966</v>
      </c>
      <c r="BA66" s="463" t="s">
        <v>7841</v>
      </c>
      <c r="BF66" s="463" t="s">
        <v>7832</v>
      </c>
      <c r="BG66">
        <v>1900</v>
      </c>
    </row>
    <row r="67" spans="1:59" ht="15.75">
      <c r="A67" s="2576" t="s">
        <v>2376</v>
      </c>
      <c r="B67" s="1504" t="s">
        <v>758</v>
      </c>
      <c r="C67" s="1273">
        <f>'New (new) quarts'!AP3</f>
        <v>107</v>
      </c>
      <c r="D67" s="1273">
        <v>109.20159842</v>
      </c>
      <c r="E67" s="1273">
        <v>110.83222408000005</v>
      </c>
      <c r="F67" s="1273">
        <v>120.14537716999995</v>
      </c>
      <c r="G67" s="2538">
        <f>'New split'!K5</f>
        <v>447</v>
      </c>
      <c r="H67" s="1273">
        <f>'New (new) quarts'!AU3</f>
        <v>117</v>
      </c>
      <c r="I67" s="1273">
        <f>'New (new) quarts'!AV3</f>
        <v>117.07</v>
      </c>
      <c r="J67" s="1273">
        <f>'New (new) quarts'!AW3</f>
        <v>115.88</v>
      </c>
      <c r="K67" s="1273">
        <f>'New (new) quarts'!AX3</f>
        <v>126</v>
      </c>
      <c r="L67" s="2538">
        <f>'New split'!L5</f>
        <v>475.95</v>
      </c>
      <c r="M67" s="1273">
        <f>'New (new) quarts'!AZ3</f>
        <v>119</v>
      </c>
      <c r="N67" s="1273">
        <f>'New (new) quarts'!BA3</f>
        <v>122</v>
      </c>
      <c r="O67" s="1273">
        <f>'New (new) quarts'!BB3</f>
        <v>122.901</v>
      </c>
      <c r="P67" s="1273">
        <f>'New (new) quarts'!BC3</f>
        <v>125.32</v>
      </c>
      <c r="Q67" s="2538">
        <f>'New split'!M5</f>
        <v>489.221</v>
      </c>
      <c r="R67" s="1273">
        <f>'New (new) quarts'!BE3</f>
        <v>126.58929999999999</v>
      </c>
      <c r="S67" s="1273">
        <f>'New (new) quarts'!BF3</f>
        <v>123.5446</v>
      </c>
      <c r="T67" s="1273">
        <f>'New (new) quarts'!BG3</f>
        <v>125.0155</v>
      </c>
      <c r="U67" s="1273">
        <f>'New (new) quarts'!BH3</f>
        <v>120.5526</v>
      </c>
      <c r="V67" s="2538">
        <f>'New split'!N5</f>
        <v>495.702</v>
      </c>
      <c r="W67" s="1273">
        <f>'New (new) quarts'!BJ3</f>
        <v>125.31633349999998</v>
      </c>
      <c r="X67" s="1273">
        <f>'New (new) quarts'!BK3</f>
        <v>126.758337</v>
      </c>
      <c r="Y67" s="1273">
        <f>'New (new) quarts'!BL3</f>
        <v>126.95471250099999</v>
      </c>
      <c r="Z67" s="1273">
        <f>'New (new) quarts'!BM3</f>
        <v>125.63261699900008</v>
      </c>
      <c r="AA67" s="1344">
        <f>'New split'!O5</f>
        <v>504.66200000000003</v>
      </c>
      <c r="AB67" s="1344">
        <f>'New split'!P5</f>
        <v>514.75524000000007</v>
      </c>
      <c r="AC67" s="1344">
        <f>'New split'!Q5</f>
        <v>525.05034480000006</v>
      </c>
      <c r="AD67" s="2538"/>
      <c r="AE67" s="1515">
        <f>SUM(M67:P67)</f>
        <v>489.221</v>
      </c>
      <c r="AF67" s="1515">
        <f>Q67</f>
        <v>489.221</v>
      </c>
      <c r="AG67" s="1515">
        <f>AE67-AF67</f>
        <v>0</v>
      </c>
      <c r="AH67" s="1504"/>
      <c r="AI67" s="1504"/>
      <c r="AJ67" s="1504" t="s">
        <v>8570</v>
      </c>
      <c r="AK67" s="1504"/>
      <c r="AL67" s="1504"/>
      <c r="AM67" s="1504"/>
      <c r="AN67" s="1504"/>
      <c r="AO67" s="1504"/>
      <c r="AQ67">
        <v>123</v>
      </c>
      <c r="AS67" s="463" t="s">
        <v>7952</v>
      </c>
      <c r="AX67">
        <v>124</v>
      </c>
      <c r="BA67" s="463" t="s">
        <v>7842</v>
      </c>
      <c r="BF67" s="463" t="s">
        <v>7833</v>
      </c>
    </row>
    <row r="68" spans="1:59" ht="15.75">
      <c r="A68" s="2576"/>
      <c r="B68" s="1504" t="s">
        <v>2218</v>
      </c>
      <c r="C68" s="1273">
        <f>'New (new) quarts'!AP39</f>
        <v>95</v>
      </c>
      <c r="D68" s="1273">
        <v>98.232154160000007</v>
      </c>
      <c r="E68" s="1273">
        <v>98.811723250000014</v>
      </c>
      <c r="F68" s="1273">
        <v>105.70526537999996</v>
      </c>
      <c r="G68" s="2538">
        <f>'New split'!K46</f>
        <v>398</v>
      </c>
      <c r="H68" s="1273">
        <f>'New (new) quarts'!AU39</f>
        <v>105.1966</v>
      </c>
      <c r="I68" s="1273">
        <f>'New (new) quarts'!AV39</f>
        <v>105.0566</v>
      </c>
      <c r="J68" s="1273">
        <f>'New (new) quarts'!AW39</f>
        <v>104.78740000000001</v>
      </c>
      <c r="K68" s="1273">
        <f>'New (new) quarts'!AX39</f>
        <v>113.6858</v>
      </c>
      <c r="L68" s="2538">
        <f>'New split'!L46</f>
        <v>428.72640000000001</v>
      </c>
      <c r="M68" s="1273">
        <f>'New (new) quarts'!AZ39</f>
        <v>108.4336</v>
      </c>
      <c r="N68" s="1273">
        <f>'New (new) quarts'!BA39</f>
        <v>110.30410000000001</v>
      </c>
      <c r="O68" s="1273">
        <f>'New (new) quarts'!BB39</f>
        <v>110.8897</v>
      </c>
      <c r="P68" s="1273">
        <f>'New (new) quarts'!BC39</f>
        <v>113.4145</v>
      </c>
      <c r="Q68" s="2538">
        <f>'New split'!M46</f>
        <v>443.04190000000006</v>
      </c>
      <c r="R68" s="1273">
        <f>'New (new) quarts'!BE39</f>
        <v>112.8267</v>
      </c>
      <c r="S68" s="1273">
        <f>'New (new) quarts'!BF39</f>
        <v>113.1358</v>
      </c>
      <c r="T68" s="1273">
        <f>'New (new) quarts'!BG39</f>
        <v>113.32380000000001</v>
      </c>
      <c r="U68" s="1273">
        <f>'New (new) quarts'!BH39</f>
        <v>108.8099</v>
      </c>
      <c r="V68" s="2538">
        <f>'New split'!N46</f>
        <v>448.09619999999995</v>
      </c>
      <c r="W68" s="1273"/>
      <c r="X68" s="1273"/>
      <c r="Y68" s="1273"/>
      <c r="Z68" s="1273"/>
      <c r="AA68" s="1344">
        <f>'New split'!O46</f>
        <v>456.96000000000004</v>
      </c>
      <c r="AB68" s="1344">
        <f>'New split'!P46</f>
        <v>466.09920000000005</v>
      </c>
      <c r="AC68" s="1344">
        <f>'New split'!Q46</f>
        <v>475.42118400000004</v>
      </c>
      <c r="AD68" s="2538"/>
      <c r="AE68" s="1515">
        <f>SUM(M68:P68)</f>
        <v>443.04190000000006</v>
      </c>
      <c r="AF68" s="1515">
        <f>Q68</f>
        <v>443.04190000000006</v>
      </c>
      <c r="AG68" s="1515">
        <f>AE68-AF68</f>
        <v>0</v>
      </c>
      <c r="AH68" s="1504"/>
      <c r="AI68" s="1504">
        <v>117</v>
      </c>
      <c r="AJ68" s="1517"/>
      <c r="AK68" s="1504"/>
      <c r="AL68" s="1504" t="s">
        <v>8537</v>
      </c>
      <c r="AM68" s="1504"/>
      <c r="AN68" s="1504"/>
      <c r="AO68" s="1504"/>
      <c r="AQ68">
        <v>111</v>
      </c>
      <c r="AR68" s="463" t="s">
        <v>7957</v>
      </c>
      <c r="AX68">
        <v>110</v>
      </c>
      <c r="BB68" s="463" t="s">
        <v>7843</v>
      </c>
    </row>
    <row r="69" spans="1:59" ht="15.75">
      <c r="A69" s="2576"/>
      <c r="B69" s="1504" t="s">
        <v>5052</v>
      </c>
      <c r="C69" s="1312">
        <f>'New (new) quarts'!AP350</f>
        <v>8.8999999999999996E-2</v>
      </c>
      <c r="D69" s="1312">
        <v>0.20465411037639192</v>
      </c>
      <c r="E69" s="1312">
        <v>0.18033067001146597</v>
      </c>
      <c r="F69" s="1312">
        <v>0.11085883111439787</v>
      </c>
      <c r="G69" s="2539">
        <f>'New split'!K208</f>
        <v>0.14697406340057628</v>
      </c>
      <c r="H69" s="1312">
        <f>'New (new) quarts'!AU350</f>
        <v>0.10299999999999999</v>
      </c>
      <c r="I69" s="1312">
        <f>'New (new) quarts'!AV350</f>
        <v>6.9000000000000006E-2</v>
      </c>
      <c r="J69" s="1312">
        <f>'New (new) quarts'!AW350</f>
        <v>0.06</v>
      </c>
      <c r="K69" s="1312">
        <f>'New (new) quarts'!AX350</f>
        <v>7.4999999999999997E-2</v>
      </c>
      <c r="L69" s="2539">
        <f>'New split'!L208</f>
        <v>7.7889447236180853E-2</v>
      </c>
      <c r="M69" s="1312">
        <f>'New (new) quarts'!AZ350</f>
        <v>3.1E-2</v>
      </c>
      <c r="N69" s="1312">
        <f>'New (new) quarts'!BA350</f>
        <v>0.05</v>
      </c>
      <c r="O69" s="1312">
        <f>'New (new) quarts'!BB350</f>
        <v>5.8000000000000003E-2</v>
      </c>
      <c r="P69" s="1312">
        <f>'New (new) quarts'!BC350</f>
        <v>-2E-3</v>
      </c>
      <c r="Q69" s="2539">
        <f>'New split'!M208</f>
        <v>3.2634032634032639E-2</v>
      </c>
      <c r="R69" s="1312">
        <f>'New (new) quarts'!BE350</f>
        <v>4.1000000000000002E-2</v>
      </c>
      <c r="S69" s="1312">
        <f>'New (new) quarts'!BF350</f>
        <v>2.5999999999999999E-2</v>
      </c>
      <c r="T69" s="1312">
        <f>'New (new) quarts'!BG350</f>
        <v>2.1999999999999999E-2</v>
      </c>
      <c r="U69" s="1312">
        <f>'New (new) quarts'!BH350</f>
        <v>-4.1000000000000002E-2</v>
      </c>
      <c r="V69" s="2539">
        <f>'New split'!N208</f>
        <v>1.1286681715575675E-2</v>
      </c>
      <c r="W69" s="1312"/>
      <c r="X69" s="1312"/>
      <c r="Y69" s="1312"/>
      <c r="Z69" s="1312"/>
      <c r="AA69" s="1510">
        <f>'New split'!O208</f>
        <v>0.02</v>
      </c>
      <c r="AB69" s="1510">
        <f>'New split'!P208</f>
        <v>0.02</v>
      </c>
      <c r="AC69" s="1510">
        <f>'New split'!Q208</f>
        <v>0.02</v>
      </c>
      <c r="AD69" s="2539"/>
      <c r="AE69" s="1504"/>
      <c r="AF69" s="1504"/>
      <c r="AG69" s="1504"/>
      <c r="AH69" s="1504"/>
      <c r="AI69" s="1504"/>
      <c r="AJ69" s="1504"/>
      <c r="AK69" s="1504"/>
      <c r="AL69" s="1504" t="s">
        <v>8538</v>
      </c>
      <c r="AM69" s="1504"/>
      <c r="AN69" s="1504"/>
      <c r="AO69" s="1504"/>
      <c r="AS69" s="463" t="s">
        <v>7958</v>
      </c>
      <c r="AT69" s="463"/>
      <c r="AZ69" s="463" t="s">
        <v>7844</v>
      </c>
    </row>
    <row r="70" spans="1:59" ht="15.75">
      <c r="A70" s="2576"/>
      <c r="B70" s="1504" t="s">
        <v>360</v>
      </c>
      <c r="C70" s="1273">
        <f>'New (new) quarts'!AP103</f>
        <v>40</v>
      </c>
      <c r="D70" s="1273">
        <v>38.378097840000002</v>
      </c>
      <c r="E70" s="1273">
        <v>38.824350820000021</v>
      </c>
      <c r="F70" s="1273">
        <v>44.797747980000004</v>
      </c>
      <c r="G70" s="2538">
        <f>'New split'!K273</f>
        <v>162</v>
      </c>
      <c r="H70" s="1273">
        <f>'New (new) quarts'!AU103</f>
        <v>43.291400000000003</v>
      </c>
      <c r="I70" s="1273">
        <f>'New (new) quarts'!AV103</f>
        <v>42.392499999999998</v>
      </c>
      <c r="J70" s="1273">
        <f>'New (new) quarts'!AW103</f>
        <v>40.343200000000003</v>
      </c>
      <c r="K70" s="1273">
        <f>'New (new) quarts'!AX103</f>
        <v>49.790500000000002</v>
      </c>
      <c r="L70" s="2538">
        <f>'New split'!L273</f>
        <v>175.8176</v>
      </c>
      <c r="M70" s="1273">
        <f>'New (new) quarts'!AZ103</f>
        <v>43.962600000000002</v>
      </c>
      <c r="N70" s="1273">
        <f>'New (new) quarts'!BA103</f>
        <v>43.748600000000003</v>
      </c>
      <c r="O70" s="1273">
        <f>'New (new) quarts'!BB103</f>
        <v>46.833199999999998</v>
      </c>
      <c r="P70" s="1273">
        <f>'New (new) quarts'!BC103</f>
        <v>49.351100000000002</v>
      </c>
      <c r="Q70" s="2538">
        <f>'New split'!M273</f>
        <v>183.8955</v>
      </c>
      <c r="R70" s="1273">
        <f>'New (new) quarts'!BE103</f>
        <v>52.377000000000002</v>
      </c>
      <c r="S70" s="1273">
        <f>'New (new) quarts'!BF103</f>
        <v>52.987000000000002</v>
      </c>
      <c r="T70" s="1273">
        <f>'New (new) quarts'!BG103</f>
        <v>55.369199999999999</v>
      </c>
      <c r="U70" s="1273">
        <f>'New (new) quarts'!BH103</f>
        <v>55.330800000000004</v>
      </c>
      <c r="V70" s="2538">
        <f>'New split'!N273</f>
        <v>216.06400000000002</v>
      </c>
      <c r="W70" s="1273"/>
      <c r="X70" s="1273"/>
      <c r="Y70" s="1273"/>
      <c r="Z70" s="1273"/>
      <c r="AA70" s="1344">
        <f>'New split'!O273</f>
        <v>219.52797000000001</v>
      </c>
      <c r="AB70" s="1344">
        <f>'New split'!P273</f>
        <v>226.49230560000004</v>
      </c>
      <c r="AC70" s="1344">
        <f>'New split'!Q273</f>
        <v>233.64740343600002</v>
      </c>
      <c r="AD70" s="2538"/>
      <c r="AE70" s="1515">
        <f>SUM(M70:P70)</f>
        <v>183.8955</v>
      </c>
      <c r="AF70" s="1515">
        <f>Q70</f>
        <v>183.8955</v>
      </c>
      <c r="AG70" s="1515">
        <f>AE70-AF70</f>
        <v>0</v>
      </c>
      <c r="AH70" s="1504"/>
      <c r="AI70" s="1504">
        <v>50</v>
      </c>
      <c r="AJ70" s="1517"/>
      <c r="AK70" s="1504"/>
      <c r="AL70" s="1504" t="s">
        <v>8539</v>
      </c>
      <c r="AM70" s="1504"/>
      <c r="AN70" s="1504"/>
      <c r="AO70" s="1504"/>
      <c r="AQ70">
        <v>45</v>
      </c>
      <c r="AS70" s="988">
        <v>44287</v>
      </c>
      <c r="AT70" s="988" t="s">
        <v>7962</v>
      </c>
      <c r="AX70">
        <v>46</v>
      </c>
    </row>
    <row r="71" spans="1:59" ht="15.75">
      <c r="A71" s="2576"/>
      <c r="B71" s="1504" t="s">
        <v>5045</v>
      </c>
      <c r="C71" s="1312">
        <f>C70/C67</f>
        <v>0.37383177570093457</v>
      </c>
      <c r="D71" s="1312">
        <v>0.3514426381598747</v>
      </c>
      <c r="E71" s="1312">
        <v>0.35029840050828659</v>
      </c>
      <c r="F71" s="1312">
        <v>0.37286285194821389</v>
      </c>
      <c r="G71" s="2539">
        <f t="shared" ref="G71:AA71" si="54">G70/G67</f>
        <v>0.36241610738255031</v>
      </c>
      <c r="H71" s="1312">
        <f t="shared" si="54"/>
        <v>0.37001196581196583</v>
      </c>
      <c r="I71" s="1312">
        <f t="shared" si="54"/>
        <v>0.36211241137780814</v>
      </c>
      <c r="J71" s="1312">
        <f t="shared" si="54"/>
        <v>0.34814635830169144</v>
      </c>
      <c r="K71" s="1312">
        <f t="shared" si="54"/>
        <v>0.39516269841269841</v>
      </c>
      <c r="L71" s="2539">
        <f t="shared" si="54"/>
        <v>0.36940350877192984</v>
      </c>
      <c r="M71" s="1312">
        <f t="shared" si="54"/>
        <v>0.36943361344537817</v>
      </c>
      <c r="N71" s="1312">
        <f t="shared" si="54"/>
        <v>0.35859508196721313</v>
      </c>
      <c r="O71" s="1312">
        <f t="shared" si="54"/>
        <v>0.38106443397531348</v>
      </c>
      <c r="P71" s="1312">
        <f t="shared" si="54"/>
        <v>0.39380067028407284</v>
      </c>
      <c r="Q71" s="2539">
        <f t="shared" si="54"/>
        <v>0.37589453437199138</v>
      </c>
      <c r="R71" s="1312">
        <f t="shared" si="54"/>
        <v>0.41375534899079153</v>
      </c>
      <c r="S71" s="1312">
        <f t="shared" ref="S71" si="55">S70/S67</f>
        <v>0.42888964794899981</v>
      </c>
      <c r="T71" s="1312">
        <f t="shared" ref="T71:U71" si="56">T70/T67</f>
        <v>0.44289868056361009</v>
      </c>
      <c r="U71" s="1312">
        <f t="shared" si="56"/>
        <v>0.45897641361530156</v>
      </c>
      <c r="V71" s="2539">
        <f t="shared" si="54"/>
        <v>0.43587477960548882</v>
      </c>
      <c r="W71" s="1312">
        <f t="shared" si="54"/>
        <v>0</v>
      </c>
      <c r="X71" s="1312">
        <f t="shared" si="54"/>
        <v>0</v>
      </c>
      <c r="Y71" s="1312">
        <f t="shared" si="54"/>
        <v>0</v>
      </c>
      <c r="Z71" s="1312">
        <f t="shared" si="54"/>
        <v>0</v>
      </c>
      <c r="AA71" s="1510">
        <f t="shared" si="54"/>
        <v>0.435</v>
      </c>
      <c r="AB71" s="1510">
        <f t="shared" ref="AB71:AC71" si="57">AB70/AB67</f>
        <v>0.44</v>
      </c>
      <c r="AC71" s="1510">
        <f t="shared" si="57"/>
        <v>0.44500000000000001</v>
      </c>
      <c r="AD71" s="2539"/>
      <c r="AE71" s="1504"/>
      <c r="AF71" s="1504"/>
      <c r="AG71" s="1504"/>
      <c r="AH71" s="1504"/>
      <c r="AI71" s="1504"/>
      <c r="AJ71" s="1504"/>
      <c r="AK71" s="1504"/>
      <c r="AL71" s="1504" t="s">
        <v>8540</v>
      </c>
      <c r="AM71" s="1504"/>
      <c r="AN71" s="1504"/>
      <c r="AO71" s="1504"/>
      <c r="AQ71" s="1346">
        <f>AQ70/AQ67</f>
        <v>0.36585365853658536</v>
      </c>
      <c r="AT71" s="1347">
        <v>3</v>
      </c>
      <c r="AU71" s="463" t="s">
        <v>7961</v>
      </c>
      <c r="AX71" s="1311">
        <f>AX70/AX67</f>
        <v>0.37096774193548387</v>
      </c>
    </row>
    <row r="72" spans="1:59" ht="15.75">
      <c r="A72" s="1504"/>
      <c r="B72" s="1504"/>
      <c r="C72" s="1513"/>
      <c r="D72" s="1513"/>
      <c r="E72" s="1513"/>
      <c r="F72" s="1513"/>
      <c r="G72" s="1519"/>
      <c r="H72" s="1513"/>
      <c r="I72" s="1513"/>
      <c r="J72" s="1513"/>
      <c r="K72" s="1513"/>
      <c r="L72" s="1519"/>
      <c r="M72" s="1513"/>
      <c r="N72" s="1513"/>
      <c r="O72" s="1513"/>
      <c r="P72" s="1513"/>
      <c r="Q72" s="1519"/>
      <c r="R72" s="1513"/>
      <c r="S72" s="1513"/>
      <c r="T72" s="1513"/>
      <c r="U72" s="1513"/>
      <c r="V72" s="1519"/>
      <c r="W72" s="1513"/>
      <c r="X72" s="1513"/>
      <c r="Y72" s="1513"/>
      <c r="Z72" s="1513"/>
      <c r="AA72" s="1511"/>
      <c r="AB72" s="1511"/>
      <c r="AC72" s="1511"/>
      <c r="AD72" s="1519"/>
      <c r="AE72" s="1504"/>
      <c r="AF72" s="1504"/>
      <c r="AG72" s="1504"/>
      <c r="AH72" s="1504"/>
      <c r="AI72" s="1504"/>
      <c r="AJ72" s="1504"/>
      <c r="AK72" s="1504"/>
      <c r="AL72" s="1504"/>
      <c r="AM72" s="1504"/>
      <c r="AN72" s="1504"/>
      <c r="AO72" s="1504"/>
      <c r="AR72" s="463" t="s">
        <v>6712</v>
      </c>
      <c r="AS72" s="498">
        <v>0.1</v>
      </c>
      <c r="AT72" s="498">
        <v>1.4</v>
      </c>
      <c r="AU72" s="463" t="s">
        <v>7960</v>
      </c>
      <c r="AV72" s="449">
        <v>0.08</v>
      </c>
    </row>
    <row r="73" spans="1:59" ht="15.75">
      <c r="A73" s="2575" t="s">
        <v>2379</v>
      </c>
      <c r="B73" s="1504" t="s">
        <v>758</v>
      </c>
      <c r="C73" s="1273">
        <f>'New (new) quarts'!AP4</f>
        <v>389</v>
      </c>
      <c r="D73" s="1273">
        <v>401.27861062729704</v>
      </c>
      <c r="E73" s="1273">
        <v>400.2058643153199</v>
      </c>
      <c r="F73" s="1273">
        <v>409.89002425918818</v>
      </c>
      <c r="G73" s="2538">
        <f>'New split'!K6</f>
        <v>1600</v>
      </c>
      <c r="H73" s="1273">
        <f>'New (new) quarts'!AU4</f>
        <v>393.67439999999999</v>
      </c>
      <c r="I73" s="1273">
        <f>'New (new) quarts'!AV4</f>
        <v>420.57589999999999</v>
      </c>
      <c r="J73" s="1273">
        <f>'New (new) quarts'!AW4</f>
        <v>399.6234</v>
      </c>
      <c r="K73" s="1273">
        <f>'New (new) quarts'!AX4</f>
        <v>404.5213</v>
      </c>
      <c r="L73" s="2538">
        <f>'New split'!L6</f>
        <v>1618.395</v>
      </c>
      <c r="M73" s="1273">
        <f>'New (new) quarts'!AZ4</f>
        <v>395.60410000000002</v>
      </c>
      <c r="N73" s="1273">
        <f>'New (new) quarts'!BA4</f>
        <v>392.92219999999998</v>
      </c>
      <c r="O73" s="1273">
        <f>'New (new) quarts'!BB4</f>
        <v>382.65350000000001</v>
      </c>
      <c r="P73" s="1273">
        <f>Q73-M73-N73-O73</f>
        <v>393.28279999999984</v>
      </c>
      <c r="Q73" s="2538">
        <f>'New split'!M6</f>
        <v>1564.4625999999998</v>
      </c>
      <c r="R73" s="1273">
        <f>'New (new) quarts'!BE4</f>
        <v>398.44310000000002</v>
      </c>
      <c r="S73" s="1273">
        <f>'New (new) quarts'!BF4</f>
        <v>399.29969999999997</v>
      </c>
      <c r="T73" s="1273">
        <f>'New (new) quarts'!BG4</f>
        <v>399.66340000000002</v>
      </c>
      <c r="U73" s="1273">
        <f>'New (new) quarts'!BH4</f>
        <v>405.60500000000002</v>
      </c>
      <c r="V73" s="2538">
        <f>'New split'!N6</f>
        <v>1603.0111999999999</v>
      </c>
      <c r="W73" s="1273">
        <f>'New (new) quarts'!BJ4</f>
        <v>407.67073335963636</v>
      </c>
      <c r="X73" s="1273">
        <f>'New (new) quarts'!BK4</f>
        <v>412.81182096633631</v>
      </c>
      <c r="Y73" s="1273">
        <f>'New (new) quarts'!BL4</f>
        <v>413.60742916337665</v>
      </c>
      <c r="Z73" s="1273">
        <f>'New (new) quarts'!BM4</f>
        <v>418.29889815740398</v>
      </c>
      <c r="AA73" s="1344">
        <f>'New split'!O6</f>
        <v>1652.3888816467534</v>
      </c>
      <c r="AB73" s="1344">
        <f>'New split'!P6</f>
        <v>1675.8686339788608</v>
      </c>
      <c r="AC73" s="1344">
        <f>'New split'!Q6</f>
        <v>1699.6865937554721</v>
      </c>
      <c r="AD73" s="2538"/>
      <c r="AE73" s="1515">
        <f>SUM(M73:P73)</f>
        <v>1564.4625999999998</v>
      </c>
      <c r="AF73" s="1515">
        <f>Q73</f>
        <v>1564.4625999999998</v>
      </c>
      <c r="AG73" s="1515">
        <f>AE73-AF73</f>
        <v>0</v>
      </c>
      <c r="AH73" s="1504"/>
      <c r="AI73" s="1504"/>
      <c r="AJ73" s="1504"/>
      <c r="AK73" s="1504" t="s">
        <v>8541</v>
      </c>
      <c r="AL73" s="1504"/>
      <c r="AM73" s="1504"/>
      <c r="AN73" s="1504"/>
      <c r="AO73" s="1504"/>
      <c r="AQ73">
        <v>396</v>
      </c>
      <c r="AT73" s="463" t="s">
        <v>7959</v>
      </c>
      <c r="AX73">
        <v>410</v>
      </c>
      <c r="AZ73" s="463" t="s">
        <v>7845</v>
      </c>
    </row>
    <row r="74" spans="1:59" ht="15.75">
      <c r="A74" s="2575"/>
      <c r="B74" s="1504" t="s">
        <v>2218</v>
      </c>
      <c r="C74" s="1273">
        <f>'New (new) quarts'!AP40</f>
        <v>335</v>
      </c>
      <c r="D74" s="1273">
        <v>341.25529058755603</v>
      </c>
      <c r="E74" s="1273">
        <v>342.90623886351671</v>
      </c>
      <c r="F74" s="1273">
        <v>345.15351511570316</v>
      </c>
      <c r="G74" s="2538">
        <f>'New split'!K47</f>
        <v>1364</v>
      </c>
      <c r="H74" s="1273">
        <f>'New (new) quarts'!AU40</f>
        <v>339.91199999999998</v>
      </c>
      <c r="I74" s="1273">
        <f>'New (new) quarts'!AV40</f>
        <v>346.62490000000003</v>
      </c>
      <c r="J74" s="1273">
        <f>'New (new) quarts'!AW40</f>
        <v>340.20819999999998</v>
      </c>
      <c r="K74" s="1273">
        <f>'New (new) quarts'!AX40</f>
        <v>346.50720000000001</v>
      </c>
      <c r="L74" s="2538">
        <f>'New split'!L47</f>
        <v>1373.2523000000001</v>
      </c>
      <c r="M74" s="1273">
        <f>'New (new) quarts'!AZ40</f>
        <v>333.64690000000002</v>
      </c>
      <c r="N74" s="1273">
        <f>'New (new) quarts'!BA40</f>
        <v>335.43450000000001</v>
      </c>
      <c r="O74" s="1273">
        <f>'New (new) quarts'!BB40</f>
        <v>330.87630000000001</v>
      </c>
      <c r="P74" s="1273">
        <f>Q74-M74-N74-O74</f>
        <v>339.13160000000005</v>
      </c>
      <c r="Q74" s="2538">
        <f>'New split'!M47</f>
        <v>1339.0893000000001</v>
      </c>
      <c r="R74" s="1273">
        <f>'New (new) quarts'!BE40</f>
        <v>341.15199999999999</v>
      </c>
      <c r="S74" s="1273">
        <f>'New (new) quarts'!BF40</f>
        <v>347.78769999999997</v>
      </c>
      <c r="T74" s="1273">
        <f>'New (new) quarts'!BG40</f>
        <v>349.65690000000001</v>
      </c>
      <c r="U74" s="1273">
        <f>'New (new) quarts'!BH40</f>
        <v>352.06169999999997</v>
      </c>
      <c r="V74" s="2538">
        <f>'New split'!N47</f>
        <v>1390.6582999999998</v>
      </c>
      <c r="W74" s="1273">
        <f>'New (new) quarts'!BJ40</f>
        <v>354.10656489599995</v>
      </c>
      <c r="X74" s="1273">
        <f>'New (new) quarts'!BK40</f>
        <v>359.24765250269991</v>
      </c>
      <c r="Y74" s="1273">
        <f>'New (new) quarts'!BL40</f>
        <v>360.04326069974024</v>
      </c>
      <c r="Z74" s="1273">
        <f>'New (new) quarts'!BM40</f>
        <v>364.7347296937678</v>
      </c>
      <c r="AA74" s="1344">
        <f>'New split'!O47</f>
        <v>1438.1322077922077</v>
      </c>
      <c r="AB74" s="1344">
        <f>'New split'!P47</f>
        <v>1459.4906069178346</v>
      </c>
      <c r="AC74" s="1344">
        <f>'New split'!Q47</f>
        <v>1481.1662099908715</v>
      </c>
      <c r="AD74" s="2538"/>
      <c r="AE74" s="1515">
        <f>SUM(M74:P74)</f>
        <v>1339.0893000000001</v>
      </c>
      <c r="AF74" s="1515">
        <f>Q74</f>
        <v>1339.0893000000001</v>
      </c>
      <c r="AG74" s="1515">
        <f>AE74-AF74</f>
        <v>0</v>
      </c>
      <c r="AH74" s="1504"/>
      <c r="AI74" s="1504">
        <v>339</v>
      </c>
      <c r="AJ74" s="1517"/>
      <c r="AK74" s="1504" t="s">
        <v>8543</v>
      </c>
      <c r="AL74" s="1504"/>
      <c r="AM74" s="1504"/>
      <c r="AN74" s="1504"/>
      <c r="AO74" s="1504"/>
      <c r="AQ74">
        <v>341</v>
      </c>
      <c r="AR74" s="463" t="s">
        <v>7963</v>
      </c>
      <c r="AX74">
        <v>342</v>
      </c>
      <c r="AZ74" s="463" t="s">
        <v>7846</v>
      </c>
    </row>
    <row r="75" spans="1:59" ht="15.75">
      <c r="A75" s="2575"/>
      <c r="B75" s="1504" t="s">
        <v>5052</v>
      </c>
      <c r="C75" s="1312">
        <f>'New (new) quarts'!AP351</f>
        <v>6.0999999999999999E-2</v>
      </c>
      <c r="D75" s="1312">
        <v>0.12221031870798948</v>
      </c>
      <c r="E75" s="1312">
        <v>9.2165191847255246E-2</v>
      </c>
      <c r="F75" s="1312">
        <v>2.3650568613716283E-2</v>
      </c>
      <c r="G75" s="2539">
        <f>'New split'!K209</f>
        <v>7.7525518649982139E-2</v>
      </c>
      <c r="H75" s="1312">
        <f>'New (new) quarts'!AU351</f>
        <v>8.0000000000000002E-3</v>
      </c>
      <c r="I75" s="1312">
        <f>'New (new) quarts'!AV351</f>
        <v>1.1000000000000001E-2</v>
      </c>
      <c r="J75" s="1312">
        <f>'New (new) quarts'!AW351</f>
        <v>-5.0000000000000001E-3</v>
      </c>
      <c r="K75" s="1312">
        <f>'New (new) quarts'!AX351</f>
        <v>1.9E-2</v>
      </c>
      <c r="L75" s="2539">
        <f>'New split'!L209</f>
        <v>8.4599643048335338E-3</v>
      </c>
      <c r="M75" s="1312">
        <f>'New (new) quarts'!AZ351</f>
        <v>-2E-3</v>
      </c>
      <c r="N75" s="1312">
        <f>'New (new) quarts'!BA351</f>
        <v>-1.6E-2</v>
      </c>
      <c r="O75" s="1312">
        <f>'New (new) quarts'!BB351</f>
        <v>-1.4999999999999999E-2</v>
      </c>
      <c r="P75" s="1312">
        <f>'New (new) quarts'!BC351</f>
        <v>-2.3E-2</v>
      </c>
      <c r="Q75" s="2539">
        <f>'New split'!M209</f>
        <v>-1.3905853612703134E-2</v>
      </c>
      <c r="R75" s="1312">
        <f>'New (new) quarts'!BE351</f>
        <v>0.02</v>
      </c>
      <c r="S75" s="1312">
        <f>'New (new) quarts'!BF351</f>
        <v>0.03</v>
      </c>
      <c r="T75" s="1312">
        <f>'New (new) quarts'!BG351</f>
        <v>0.04</v>
      </c>
      <c r="U75" s="1312">
        <f>'New (new) quarts'!BH351</f>
        <v>2.3E-2</v>
      </c>
      <c r="V75" s="2539">
        <f>'New split'!N209</f>
        <v>2.8394473558837507E-2</v>
      </c>
      <c r="W75" s="1312"/>
      <c r="X75" s="1312"/>
      <c r="Y75" s="1312"/>
      <c r="Z75" s="1312"/>
      <c r="AA75" s="1510">
        <f>'New split'!O209</f>
        <v>2.5999999999999999E-2</v>
      </c>
      <c r="AB75" s="1510">
        <f>'New split'!P209</f>
        <v>2.5000000000000001E-2</v>
      </c>
      <c r="AC75" s="1510">
        <f>'New split'!Q209</f>
        <v>2.5000000000000001E-2</v>
      </c>
      <c r="AD75" s="2539"/>
      <c r="AE75" s="1504"/>
      <c r="AF75" s="1504"/>
      <c r="AG75" s="1504"/>
      <c r="AH75" s="1504"/>
      <c r="AI75" s="1504"/>
      <c r="AJ75" s="1504"/>
      <c r="AK75" s="1504" t="s">
        <v>8542</v>
      </c>
      <c r="AL75" s="1504"/>
      <c r="AM75" s="1504"/>
      <c r="AN75" s="1504"/>
      <c r="AO75" s="1504"/>
      <c r="AR75" s="463" t="s">
        <v>7964</v>
      </c>
      <c r="AZ75" s="463" t="s">
        <v>7847</v>
      </c>
    </row>
    <row r="76" spans="1:59" ht="15.75">
      <c r="A76" s="2575"/>
      <c r="B76" s="1504" t="s">
        <v>360</v>
      </c>
      <c r="C76" s="1273">
        <f>'New (new) quarts'!AP104</f>
        <v>214</v>
      </c>
      <c r="D76" s="1273">
        <v>218.34885418597699</v>
      </c>
      <c r="E76" s="1273">
        <v>214.4839354337623</v>
      </c>
      <c r="F76" s="1273">
        <v>210.88729093372584</v>
      </c>
      <c r="G76" s="2538">
        <f>'New split'!K274</f>
        <v>857</v>
      </c>
      <c r="H76" s="1273">
        <f>'New (new) quarts'!AU104</f>
        <v>216</v>
      </c>
      <c r="I76" s="1273">
        <f>'New (new) quarts'!AV104</f>
        <v>219.08</v>
      </c>
      <c r="J76" s="1273">
        <f>'New (new) quarts'!AW104</f>
        <v>208</v>
      </c>
      <c r="K76" s="1273">
        <f>'New (new) quarts'!AX104</f>
        <v>213</v>
      </c>
      <c r="L76" s="2538">
        <f>'New split'!L274</f>
        <v>856.08</v>
      </c>
      <c r="M76" s="1273">
        <f>'New (new) quarts'!AZ104</f>
        <v>199</v>
      </c>
      <c r="N76" s="1273">
        <f>'New (new) quarts'!BA104</f>
        <v>199</v>
      </c>
      <c r="O76" s="1273">
        <f>'New (new) quarts'!BB104</f>
        <v>199.441</v>
      </c>
      <c r="P76" s="1273">
        <f>'New (new) quarts'!BC104</f>
        <v>212.82400000000001</v>
      </c>
      <c r="Q76" s="2538">
        <f>'New split'!M274</f>
        <v>810.2650000000001</v>
      </c>
      <c r="R76" s="1273">
        <f>'New (new) quarts'!BE104</f>
        <v>215.2696</v>
      </c>
      <c r="S76" s="1273">
        <f>'New (new) quarts'!BF104</f>
        <v>216.89179999999999</v>
      </c>
      <c r="T76" s="1273">
        <f>'New (new) quarts'!BG104</f>
        <v>220.19640000000001</v>
      </c>
      <c r="U76" s="1273">
        <f>'New (new) quarts'!BH104</f>
        <v>214.50409999999999</v>
      </c>
      <c r="V76" s="2538">
        <f>'New split'!N274</f>
        <v>866.86189999999999</v>
      </c>
      <c r="W76" s="1273">
        <f>'New (new) quarts'!BJ104</f>
        <v>220</v>
      </c>
      <c r="X76" s="1273">
        <f>'New (new) quarts'!BK104</f>
        <v>225</v>
      </c>
      <c r="Y76" s="1273">
        <f>'New (new) quarts'!BL104</f>
        <v>230</v>
      </c>
      <c r="Z76" s="1273">
        <f>'New (new) quarts'!BM104</f>
        <v>217.28999608924687</v>
      </c>
      <c r="AA76" s="1344">
        <f>'New split'!O274</f>
        <v>892.28999608924687</v>
      </c>
      <c r="AB76" s="1344">
        <f>'New split'!P274</f>
        <v>909.15873393353195</v>
      </c>
      <c r="AC76" s="1344">
        <f>'New split'!Q274</f>
        <v>926.32919359673224</v>
      </c>
      <c r="AD76" s="2538"/>
      <c r="AE76" s="1515">
        <f>SUM(M76:P76)</f>
        <v>810.2650000000001</v>
      </c>
      <c r="AF76" s="1515">
        <f>Q76</f>
        <v>810.2650000000001</v>
      </c>
      <c r="AG76" s="1515">
        <f>AE76-AF76</f>
        <v>0</v>
      </c>
      <c r="AH76" s="1504"/>
      <c r="AI76" s="1504">
        <v>206</v>
      </c>
      <c r="AJ76" s="1517"/>
      <c r="AK76" s="1504" t="s">
        <v>8544</v>
      </c>
      <c r="AL76" s="1504"/>
      <c r="AM76" s="1504"/>
      <c r="AN76" s="1504"/>
      <c r="AO76" s="1504"/>
      <c r="AQ76">
        <v>213</v>
      </c>
      <c r="AR76" s="627" t="s">
        <v>2376</v>
      </c>
      <c r="AX76">
        <v>208</v>
      </c>
      <c r="AZ76" s="463" t="s">
        <v>7848</v>
      </c>
    </row>
    <row r="77" spans="1:59" ht="15.75">
      <c r="A77" s="2575"/>
      <c r="B77" s="1504" t="s">
        <v>5045</v>
      </c>
      <c r="C77" s="1312">
        <f>C76/C73</f>
        <v>0.55012853470437018</v>
      </c>
      <c r="D77" s="1312">
        <v>0.54413280051145541</v>
      </c>
      <c r="E77" s="1312">
        <v>0.53593401436209753</v>
      </c>
      <c r="F77" s="1312">
        <v>0.51449725158564541</v>
      </c>
      <c r="G77" s="2539">
        <f t="shared" ref="G77:AA77" si="58">G76/G73</f>
        <v>0.53562500000000002</v>
      </c>
      <c r="H77" s="1312">
        <f t="shared" si="58"/>
        <v>0.54867677451213492</v>
      </c>
      <c r="I77" s="1312">
        <f t="shared" si="58"/>
        <v>0.52090478793482942</v>
      </c>
      <c r="J77" s="1312">
        <f t="shared" si="58"/>
        <v>0.5204900413739536</v>
      </c>
      <c r="K77" s="1312">
        <f t="shared" si="58"/>
        <v>0.52654829300706785</v>
      </c>
      <c r="L77" s="2539">
        <f t="shared" si="58"/>
        <v>0.52896851510292608</v>
      </c>
      <c r="M77" s="1312">
        <f t="shared" si="58"/>
        <v>0.50302815365159259</v>
      </c>
      <c r="N77" s="1312">
        <f t="shared" si="58"/>
        <v>0.50646158450706025</v>
      </c>
      <c r="O77" s="1312">
        <f t="shared" si="58"/>
        <v>0.52120521568468603</v>
      </c>
      <c r="P77" s="1312">
        <f t="shared" si="58"/>
        <v>0.54114748979614691</v>
      </c>
      <c r="Q77" s="2539">
        <f t="shared" si="58"/>
        <v>0.51791906051317571</v>
      </c>
      <c r="R77" s="1312">
        <f t="shared" si="58"/>
        <v>0.54027689273575075</v>
      </c>
      <c r="S77" s="1312">
        <f t="shared" ref="S77" si="59">S76/S73</f>
        <v>0.54318047321347851</v>
      </c>
      <c r="T77" s="1312">
        <f t="shared" ref="T77:U77" si="60">T76/T73</f>
        <v>0.55095462831973108</v>
      </c>
      <c r="U77" s="1312">
        <f t="shared" si="60"/>
        <v>0.52884974297654119</v>
      </c>
      <c r="V77" s="2539">
        <f t="shared" si="58"/>
        <v>0.5407709565597546</v>
      </c>
      <c r="W77" s="1312">
        <f t="shared" si="58"/>
        <v>0.53965119886573221</v>
      </c>
      <c r="X77" s="1312">
        <f t="shared" si="58"/>
        <v>0.54504253166323002</v>
      </c>
      <c r="Y77" s="1312">
        <f t="shared" si="58"/>
        <v>0.5560828548588499</v>
      </c>
      <c r="Z77" s="1312">
        <f t="shared" si="58"/>
        <v>0.51946107686729226</v>
      </c>
      <c r="AA77" s="1510">
        <f t="shared" si="58"/>
        <v>0.54</v>
      </c>
      <c r="AB77" s="1510">
        <f t="shared" ref="AB77:AC77" si="61">AB76/AB73</f>
        <v>0.54249999999999998</v>
      </c>
      <c r="AC77" s="1510">
        <f t="shared" si="61"/>
        <v>0.54499999999999993</v>
      </c>
      <c r="AD77" s="2539"/>
      <c r="AE77" s="1504"/>
      <c r="AF77" s="1504"/>
      <c r="AG77" s="1504"/>
      <c r="AH77" s="1504"/>
      <c r="AI77" s="1504"/>
      <c r="AJ77" s="1504"/>
      <c r="AK77" s="1504" t="s">
        <v>8545</v>
      </c>
      <c r="AL77" s="1504"/>
      <c r="AM77" s="1504"/>
      <c r="AN77" s="1504"/>
      <c r="AO77" s="1504"/>
      <c r="AQ77" s="1346">
        <f>AQ76/AQ73</f>
        <v>0.53787878787878785</v>
      </c>
      <c r="AR77" s="463" t="s">
        <v>7969</v>
      </c>
      <c r="AX77" s="1311">
        <f>AX76/AX73</f>
        <v>0.50731707317073171</v>
      </c>
    </row>
    <row r="78" spans="1:59" ht="15.75">
      <c r="A78" s="1504"/>
      <c r="B78" s="1504"/>
      <c r="C78" s="1513"/>
      <c r="D78" s="1513"/>
      <c r="E78" s="1513"/>
      <c r="F78" s="1513"/>
      <c r="G78" s="1519"/>
      <c r="H78" s="1513"/>
      <c r="I78" s="1513"/>
      <c r="J78" s="1513"/>
      <c r="K78" s="1513"/>
      <c r="L78" s="1519"/>
      <c r="M78" s="1513"/>
      <c r="N78" s="1513"/>
      <c r="O78" s="1513"/>
      <c r="P78" s="1513"/>
      <c r="Q78" s="1519"/>
      <c r="R78" s="1513"/>
      <c r="S78" s="1513"/>
      <c r="T78" s="1513"/>
      <c r="U78" s="1513"/>
      <c r="V78" s="1519"/>
      <c r="W78" s="2544"/>
      <c r="X78" s="2544"/>
      <c r="Y78" s="2544"/>
      <c r="Z78" s="2544"/>
      <c r="AA78" s="1519"/>
      <c r="AB78" s="1519"/>
      <c r="AC78" s="1519"/>
      <c r="AD78" s="1519"/>
      <c r="AE78" s="1504"/>
      <c r="AF78" s="1504"/>
      <c r="AG78" s="1504"/>
      <c r="AH78" s="1504"/>
      <c r="AI78" s="1504"/>
      <c r="AJ78" s="1504"/>
      <c r="AK78" s="1504"/>
      <c r="AL78" s="1504"/>
      <c r="AM78" s="1504"/>
      <c r="AN78" s="1504"/>
      <c r="AO78" s="1504"/>
      <c r="AR78" s="627" t="s">
        <v>2379</v>
      </c>
    </row>
    <row r="79" spans="1:59" ht="15.75">
      <c r="A79" s="2578" t="s">
        <v>2380</v>
      </c>
      <c r="B79" s="1504" t="s">
        <v>758</v>
      </c>
      <c r="C79" s="1273">
        <f>'New (new) quarts'!AP5</f>
        <v>146</v>
      </c>
      <c r="D79" s="1273">
        <v>147.76092541371</v>
      </c>
      <c r="E79" s="1273">
        <v>146.10900861507278</v>
      </c>
      <c r="F79" s="1273">
        <v>149.08155833829838</v>
      </c>
      <c r="G79" s="2538">
        <f>'New split'!K7</f>
        <v>589</v>
      </c>
      <c r="H79" s="1273">
        <f>'New (new) quarts'!AU5</f>
        <v>142</v>
      </c>
      <c r="I79" s="1273">
        <f>'New (new) quarts'!AV5</f>
        <v>145.43</v>
      </c>
      <c r="J79" s="1273">
        <f>'New (new) quarts'!AW5</f>
        <v>146</v>
      </c>
      <c r="K79" s="1273">
        <f>'New (new) quarts'!AX5</f>
        <v>152</v>
      </c>
      <c r="L79" s="2538">
        <f>'New split'!L7</f>
        <v>585.43000000000006</v>
      </c>
      <c r="M79" s="1273">
        <f>'New (new) quarts'!AZ5</f>
        <v>150</v>
      </c>
      <c r="N79" s="1273">
        <f>'New (new) quarts'!BA5</f>
        <v>152</v>
      </c>
      <c r="O79" s="1273">
        <f>'New (new) quarts'!BB5</f>
        <v>154</v>
      </c>
      <c r="P79" s="1273">
        <f>'New (new) quarts'!BC5</f>
        <v>155.50200000000001</v>
      </c>
      <c r="Q79" s="2538"/>
      <c r="R79" s="1273">
        <f>'New (new) quarts'!BE5</f>
        <v>153</v>
      </c>
      <c r="S79" s="1273">
        <f>'New (new) quarts'!BF5</f>
        <v>154</v>
      </c>
      <c r="T79" s="1273">
        <f>'New (new) quarts'!BG5</f>
        <v>152.8075</v>
      </c>
      <c r="U79" s="1273">
        <f>'New (new) quarts'!BH5</f>
        <v>157.92789999999999</v>
      </c>
      <c r="V79" s="2538"/>
      <c r="W79" s="1273"/>
      <c r="X79" s="1273"/>
      <c r="Y79" s="1273"/>
      <c r="Z79" s="1273"/>
      <c r="AA79" s="1344"/>
      <c r="AB79" s="1344"/>
      <c r="AC79" s="1344"/>
      <c r="AD79" s="2538"/>
      <c r="AE79" s="1515">
        <f>SUM(M79:P79)</f>
        <v>611.50199999999995</v>
      </c>
      <c r="AF79" s="1515">
        <f>Q79</f>
        <v>0</v>
      </c>
      <c r="AG79" s="1515">
        <f>AE79-AF79</f>
        <v>611.50199999999995</v>
      </c>
      <c r="AH79" s="1504"/>
      <c r="AI79" s="1504"/>
      <c r="AJ79" s="1504"/>
      <c r="AK79" s="1504" t="s">
        <v>8546</v>
      </c>
      <c r="AL79" s="1504"/>
      <c r="AM79" s="1504"/>
      <c r="AN79" s="1504"/>
      <c r="AO79" s="1504"/>
      <c r="AQ79">
        <v>146</v>
      </c>
      <c r="AR79" s="463" t="s">
        <v>7970</v>
      </c>
      <c r="AX79">
        <v>152</v>
      </c>
      <c r="AZ79" s="463" t="s">
        <v>7849</v>
      </c>
    </row>
    <row r="80" spans="1:59" ht="15.75">
      <c r="A80" s="2578"/>
      <c r="B80" s="1504" t="s">
        <v>2218</v>
      </c>
      <c r="C80" s="1273">
        <f>'New (new) quarts'!AP41</f>
        <v>136</v>
      </c>
      <c r="D80" s="1273">
        <v>136.54648309394901</v>
      </c>
      <c r="E80" s="1273">
        <v>137.46058076411501</v>
      </c>
      <c r="F80" s="1273">
        <v>138.3204699916044</v>
      </c>
      <c r="G80" s="2538">
        <f>'New split'!K48</f>
        <v>548</v>
      </c>
      <c r="H80" s="1273">
        <f>'New (new) quarts'!AU41</f>
        <v>134.0076</v>
      </c>
      <c r="I80" s="1273">
        <f>'New (new) quarts'!AV41</f>
        <v>135.67150000000001</v>
      </c>
      <c r="J80" s="1273">
        <f>'New (new) quarts'!AW41</f>
        <v>136.95320000000001</v>
      </c>
      <c r="K80" s="1273">
        <f>'New (new) quarts'!AX41</f>
        <v>142.3766</v>
      </c>
      <c r="L80" s="2538">
        <f>'New split'!L48</f>
        <v>549.00890000000004</v>
      </c>
      <c r="M80" s="1273">
        <f>'New (new) quarts'!AZ41</f>
        <v>141.19540000000001</v>
      </c>
      <c r="N80" s="1273">
        <f>'New (new) quarts'!BA41</f>
        <v>141.31829999999999</v>
      </c>
      <c r="O80" s="1273">
        <f>'New (new) quarts'!BB41</f>
        <v>143.3175</v>
      </c>
      <c r="P80" s="1273">
        <f>'New (new) quarts'!BC41</f>
        <v>146.3853</v>
      </c>
      <c r="Q80" s="2538"/>
      <c r="R80" s="1273">
        <f>'New (new) quarts'!BE41</f>
        <v>144.60640000000001</v>
      </c>
      <c r="S80" s="1273">
        <f>'New (new) quarts'!BF41</f>
        <v>144.286</v>
      </c>
      <c r="T80" s="1273">
        <f>'New (new) quarts'!BG41</f>
        <v>145.3999</v>
      </c>
      <c r="U80" s="1273">
        <f>'New (new) quarts'!BH41</f>
        <v>149.28370000000001</v>
      </c>
      <c r="V80" s="2538">
        <f>SUM(R80:U80)</f>
        <v>583.57600000000002</v>
      </c>
      <c r="W80" s="1273">
        <f>'New (new) quarts'!BJ41</f>
        <v>143.48539960739063</v>
      </c>
      <c r="X80" s="1273">
        <f>'New (new) quarts'!BK41</f>
        <v>143.57309414634372</v>
      </c>
      <c r="Y80" s="1273">
        <f>'New (new) quarts'!BL41</f>
        <v>145.24171714420896</v>
      </c>
      <c r="Z80" s="1273">
        <f>'New (new) quarts'!BM41</f>
        <v>148.66658597705657</v>
      </c>
      <c r="AA80" s="1344">
        <f>'New split'!O48</f>
        <v>580.96679687499989</v>
      </c>
      <c r="AB80" s="1344">
        <f>'New split'!P48</f>
        <v>592.47108988242564</v>
      </c>
      <c r="AC80" s="1344">
        <f>'New split'!Q48</f>
        <v>604.20319067217667</v>
      </c>
      <c r="AD80" s="2538"/>
      <c r="AE80" s="1515">
        <f>SUM(M80:P80)</f>
        <v>572.2165</v>
      </c>
      <c r="AF80" s="1515">
        <f>Q80</f>
        <v>0</v>
      </c>
      <c r="AG80" s="1515">
        <f>AE80-AF80</f>
        <v>572.2165</v>
      </c>
      <c r="AH80" s="1504"/>
      <c r="AI80" s="1504">
        <v>147</v>
      </c>
      <c r="AJ80" s="1504"/>
      <c r="AK80" s="1504" t="s">
        <v>8547</v>
      </c>
      <c r="AL80" s="1504"/>
      <c r="AM80" s="1504"/>
      <c r="AN80" s="1504"/>
      <c r="AO80" s="1504"/>
      <c r="AQ80">
        <v>137</v>
      </c>
      <c r="AR80" s="463" t="s">
        <v>7972</v>
      </c>
      <c r="AX80">
        <v>139</v>
      </c>
    </row>
    <row r="81" spans="1:53" ht="15.75">
      <c r="A81" s="2578"/>
      <c r="B81" s="1504" t="s">
        <v>5052</v>
      </c>
      <c r="C81" s="1312">
        <f>'New (new) quarts'!AP352</f>
        <v>-3.0000000000000001E-3</v>
      </c>
      <c r="D81" s="1312">
        <v>0.11095822265915323</v>
      </c>
      <c r="E81" s="1312">
        <v>4.4383404370102797E-2</v>
      </c>
      <c r="F81" s="1312">
        <v>8.3647214034738848E-3</v>
      </c>
      <c r="G81" s="2539">
        <f>'New split'!K210</f>
        <v>3.3980440436983672E-2</v>
      </c>
      <c r="H81" s="1312">
        <f>'New (new) quarts'!AU352</f>
        <v>0</v>
      </c>
      <c r="I81" s="1312">
        <f>'New (new) quarts'!AV352</f>
        <v>9.0000000000000011E-3</v>
      </c>
      <c r="J81" s="1312">
        <f>'New (new) quarts'!AW352</f>
        <v>2.1999999999999999E-2</v>
      </c>
      <c r="K81" s="1312">
        <f>'New (new) quarts'!AX352</f>
        <v>4.9000000000000002E-2</v>
      </c>
      <c r="L81" s="2539">
        <f>'New split'!L210</f>
        <v>2.2108532960467997E-2</v>
      </c>
      <c r="M81" s="1312">
        <f>'New (new) quarts'!AZ352</f>
        <v>5.8000000000000003E-2</v>
      </c>
      <c r="N81" s="1312">
        <f>'New (new) quarts'!BA352</f>
        <v>4.9000000000000002E-2</v>
      </c>
      <c r="O81" s="1312">
        <f>'New (new) quarts'!BB352</f>
        <v>5.0999999999999997E-2</v>
      </c>
      <c r="P81" s="1312">
        <f>'New (new) quarts'!BC352</f>
        <v>2.9000000000000001E-2</v>
      </c>
      <c r="Q81" s="2539"/>
      <c r="R81" s="1312">
        <f>'New (new) quarts'!BE352</f>
        <v>2.8000000000000001E-2</v>
      </c>
      <c r="S81" s="1312">
        <f>'New (new) quarts'!BF352</f>
        <v>2.5999999999999999E-2</v>
      </c>
      <c r="T81" s="1312">
        <f>'New (new) quarts'!BG352</f>
        <v>2.1000000000000001E-2</v>
      </c>
      <c r="U81" s="1312">
        <f>'New (new) quarts'!BH352</f>
        <v>3.7999999999999999E-2</v>
      </c>
      <c r="V81" s="2539"/>
      <c r="W81" s="1312"/>
      <c r="X81" s="1312"/>
      <c r="Y81" s="1312"/>
      <c r="Z81" s="1312"/>
      <c r="AA81" s="1510"/>
      <c r="AB81" s="1510"/>
      <c r="AC81" s="1510"/>
      <c r="AD81" s="2539"/>
      <c r="AE81" s="1504"/>
      <c r="AF81" s="1504"/>
      <c r="AG81" s="1504"/>
      <c r="AH81" s="1504"/>
      <c r="AI81" s="1504"/>
      <c r="AJ81" s="1504"/>
      <c r="AK81" s="1504" t="s">
        <v>8548</v>
      </c>
      <c r="AL81" s="1504"/>
      <c r="AM81" s="1504"/>
      <c r="AN81" s="1504"/>
      <c r="AO81" s="1504"/>
      <c r="AS81" s="463" t="s">
        <v>7973</v>
      </c>
    </row>
    <row r="82" spans="1:53" ht="15.75">
      <c r="A82" s="2578"/>
      <c r="B82" s="1504" t="s">
        <v>360</v>
      </c>
      <c r="C82" s="1273">
        <f>'New (new) quarts'!AP105</f>
        <v>67</v>
      </c>
      <c r="D82" s="1273">
        <v>66.942455354409304</v>
      </c>
      <c r="E82" s="1273">
        <v>63.816555020442792</v>
      </c>
      <c r="F82" s="1273">
        <v>61.267154497350404</v>
      </c>
      <c r="G82" s="2538">
        <f>'New split'!K275</f>
        <v>259</v>
      </c>
      <c r="H82" s="1273">
        <f>'New (new) quarts'!AU105</f>
        <v>64</v>
      </c>
      <c r="I82" s="1273">
        <f>'New (new) quarts'!AV105</f>
        <v>65.44</v>
      </c>
      <c r="J82" s="1273">
        <f>'New (new) quarts'!AW105</f>
        <v>64.400000000000006</v>
      </c>
      <c r="K82" s="1273">
        <f>'New (new) quarts'!AX105</f>
        <v>68</v>
      </c>
      <c r="L82" s="2538">
        <f>'New split'!L275</f>
        <v>261.84000000000003</v>
      </c>
      <c r="M82" s="1273">
        <f>'New (new) quarts'!AZ105</f>
        <v>66</v>
      </c>
      <c r="N82" s="1273">
        <f>'New (new) quarts'!BA105</f>
        <v>68</v>
      </c>
      <c r="O82" s="1273">
        <f>'New (new) quarts'!BB105</f>
        <v>69.213999999999999</v>
      </c>
      <c r="P82" s="1273">
        <f>'New (new) quarts'!BC105</f>
        <v>72.09</v>
      </c>
      <c r="Q82" s="2538"/>
      <c r="R82" s="1273">
        <f>'New (new) quarts'!BE105</f>
        <v>72.650099999999995</v>
      </c>
      <c r="S82" s="1273">
        <f>'New (new) quarts'!BF105</f>
        <v>73.033500000000004</v>
      </c>
      <c r="T82" s="1273">
        <f>'New (new) quarts'!BG105</f>
        <v>78.583500000000001</v>
      </c>
      <c r="U82" s="1273">
        <f>'New (new) quarts'!BH105</f>
        <v>77.757800000000003</v>
      </c>
      <c r="V82" s="2538">
        <f>SUM(R82:U82)</f>
        <v>302.0249</v>
      </c>
      <c r="W82" s="1273">
        <f>'New (new) quarts'!BJ105</f>
        <v>75</v>
      </c>
      <c r="X82" s="1273">
        <f>'New (new) quarts'!BK105</f>
        <v>75</v>
      </c>
      <c r="Y82" s="1273">
        <f>'New (new) quarts'!BL105</f>
        <v>75</v>
      </c>
      <c r="Z82" s="1273">
        <f>'New (new) quarts'!BM105</f>
        <v>76.835136041387216</v>
      </c>
      <c r="AA82" s="1344">
        <f>'New split'!O275</f>
        <v>301.83513604138722</v>
      </c>
      <c r="AB82" s="1344">
        <f>'New split'!P275</f>
        <v>309.21543863126584</v>
      </c>
      <c r="AC82" s="1344">
        <f>'New split'!Q275</f>
        <v>316.76961478230305</v>
      </c>
      <c r="AD82" s="2538"/>
      <c r="AE82" s="1515">
        <f>SUM(M82:P82)</f>
        <v>275.30399999999997</v>
      </c>
      <c r="AF82" s="1515">
        <f>Q82</f>
        <v>0</v>
      </c>
      <c r="AG82" s="1515">
        <f>AE82-AF82</f>
        <v>275.30399999999997</v>
      </c>
      <c r="AH82" s="1504"/>
      <c r="AI82" s="1504">
        <v>69</v>
      </c>
      <c r="AJ82" s="1504"/>
      <c r="AK82" s="1504"/>
      <c r="AL82" s="1504"/>
      <c r="AM82" s="1504"/>
      <c r="AN82" s="1504"/>
      <c r="AO82" s="1504"/>
      <c r="AQ82">
        <v>66</v>
      </c>
      <c r="AS82" s="463" t="s">
        <v>7971</v>
      </c>
      <c r="AX82">
        <v>65</v>
      </c>
    </row>
    <row r="83" spans="1:53" ht="15.75">
      <c r="A83" s="2578"/>
      <c r="B83" s="1504" t="s">
        <v>5045</v>
      </c>
      <c r="C83" s="1312">
        <f>C82/C79</f>
        <v>0.4589041095890411</v>
      </c>
      <c r="D83" s="1312">
        <v>0.45304572346836458</v>
      </c>
      <c r="E83" s="1312">
        <v>0.43677358176160674</v>
      </c>
      <c r="F83" s="1312">
        <v>0.41096400641534714</v>
      </c>
      <c r="G83" s="2539">
        <f>G82/G79</f>
        <v>0.43972835314091679</v>
      </c>
      <c r="H83" s="1312">
        <f>H82/H79</f>
        <v>0.45070422535211269</v>
      </c>
      <c r="I83" s="1312">
        <f>I82/I79</f>
        <v>0.44997593343876774</v>
      </c>
      <c r="J83" s="1312">
        <f>J82/J79</f>
        <v>0.44109589041095892</v>
      </c>
      <c r="K83" s="1312">
        <f>K82/K79</f>
        <v>0.44736842105263158</v>
      </c>
      <c r="L83" s="2539"/>
      <c r="M83" s="1312">
        <f>M82/M79</f>
        <v>0.44</v>
      </c>
      <c r="N83" s="1312">
        <f>N82/N79</f>
        <v>0.44736842105263158</v>
      </c>
      <c r="O83" s="1312">
        <f>O82/O79</f>
        <v>0.44944155844155842</v>
      </c>
      <c r="P83" s="1312">
        <f>P82/P79</f>
        <v>0.46359532353281629</v>
      </c>
      <c r="Q83" s="2539"/>
      <c r="R83" s="1312">
        <f>R82/R79</f>
        <v>0.47483725490196077</v>
      </c>
      <c r="S83" s="1312">
        <f>S82/S79</f>
        <v>0.47424350649350649</v>
      </c>
      <c r="T83" s="1312">
        <f>T82/T79</f>
        <v>0.51426467941691345</v>
      </c>
      <c r="U83" s="1312">
        <f>U82/U79</f>
        <v>0.4923626540972178</v>
      </c>
      <c r="V83" s="2539"/>
      <c r="W83" s="1312" t="e">
        <f>W82/W79</f>
        <v>#DIV/0!</v>
      </c>
      <c r="X83" s="1312" t="e">
        <f t="shared" ref="X83:Z83" si="62">X82/X79</f>
        <v>#DIV/0!</v>
      </c>
      <c r="Y83" s="1312" t="e">
        <f t="shared" si="62"/>
        <v>#DIV/0!</v>
      </c>
      <c r="Z83" s="1312" t="e">
        <f t="shared" si="62"/>
        <v>#DIV/0!</v>
      </c>
      <c r="AA83" s="1510"/>
      <c r="AB83" s="1510"/>
      <c r="AC83" s="1510"/>
      <c r="AD83" s="2539"/>
      <c r="AE83" s="1504"/>
      <c r="AF83" s="1504"/>
      <c r="AG83" s="1504"/>
      <c r="AH83" s="1504"/>
      <c r="AI83" s="1504"/>
      <c r="AJ83" s="1504"/>
      <c r="AK83" s="1504"/>
      <c r="AL83" s="1504"/>
      <c r="AM83" s="1504"/>
      <c r="AN83" s="1504"/>
      <c r="AO83" s="1504"/>
      <c r="AQ83" s="1346">
        <f>AQ82/AQ79</f>
        <v>0.45205479452054792</v>
      </c>
      <c r="AR83" s="463" t="s">
        <v>7974</v>
      </c>
      <c r="AX83" s="1311">
        <f>AX82/AX79</f>
        <v>0.42763157894736842</v>
      </c>
    </row>
    <row r="84" spans="1:53" ht="15.75">
      <c r="A84" s="1504"/>
      <c r="B84" s="1504"/>
      <c r="C84" s="1513"/>
      <c r="D84" s="1513"/>
      <c r="E84" s="1513"/>
      <c r="F84" s="1513"/>
      <c r="G84" s="1519"/>
      <c r="H84" s="1513"/>
      <c r="I84" s="1513"/>
      <c r="J84" s="1513"/>
      <c r="K84" s="1513"/>
      <c r="L84" s="1519"/>
      <c r="M84" s="1513"/>
      <c r="N84" s="1513"/>
      <c r="O84" s="1513"/>
      <c r="P84" s="1513"/>
      <c r="Q84" s="1519"/>
      <c r="R84" s="1513"/>
      <c r="S84" s="1513"/>
      <c r="T84" s="1513"/>
      <c r="U84" s="1513"/>
      <c r="V84" s="1519"/>
      <c r="W84" s="2544"/>
      <c r="X84" s="2544"/>
      <c r="Y84" s="2544"/>
      <c r="Z84" s="2544"/>
      <c r="AA84" s="1519"/>
      <c r="AB84" s="1519"/>
      <c r="AC84" s="1519"/>
      <c r="AD84" s="1519"/>
      <c r="AE84" s="1504"/>
      <c r="AF84" s="1504"/>
      <c r="AG84" s="1504"/>
      <c r="AH84" s="1504"/>
      <c r="AI84" s="1504"/>
      <c r="AJ84" s="1504"/>
      <c r="AK84" s="1504"/>
      <c r="AL84" s="1504"/>
      <c r="AM84" s="1504"/>
      <c r="AN84" s="1504"/>
      <c r="AO84" s="1504"/>
      <c r="AR84" s="627" t="s">
        <v>2380</v>
      </c>
    </row>
    <row r="85" spans="1:53" ht="15.75">
      <c r="A85" s="2575" t="s">
        <v>2032</v>
      </c>
      <c r="B85" s="1504" t="s">
        <v>758</v>
      </c>
      <c r="C85" s="1273">
        <f>'New (new) quarts'!AP6+'New (new) quarts'!AP10</f>
        <v>152</v>
      </c>
      <c r="D85" s="1273">
        <v>157.86657628999998</v>
      </c>
      <c r="E85" s="1273">
        <v>158.28856141000003</v>
      </c>
      <c r="F85" s="1273">
        <v>164.83880050000005</v>
      </c>
      <c r="G85" s="2538">
        <f>'New split'!K11+'New split'!K13</f>
        <v>633</v>
      </c>
      <c r="H85" s="1273">
        <f>'New (new) quarts'!AU6+'New (new) quarts'!AU10</f>
        <v>213.5342</v>
      </c>
      <c r="I85" s="1273">
        <f>'New (new) quarts'!AV6+'New (new) quarts'!AV10</f>
        <v>218.0547</v>
      </c>
      <c r="J85" s="1273">
        <f>'New (new) quarts'!AW6+'New (new) quarts'!AW10</f>
        <v>222.11770000000001</v>
      </c>
      <c r="K85" s="1273">
        <f>'New (new) quarts'!AX6+'New (new) quarts'!AX10</f>
        <v>223.56479999999999</v>
      </c>
      <c r="L85" s="2538">
        <f>'New split'!L11+'New split'!L13</f>
        <v>877.27139999999997</v>
      </c>
      <c r="M85" s="1273">
        <f>'New (new) quarts'!AZ6+'New (new) quarts'!AZ10</f>
        <v>224.89400000000001</v>
      </c>
      <c r="N85" s="1273">
        <f>'New (new) quarts'!BA6+'New (new) quarts'!BA10</f>
        <v>227.98089999999999</v>
      </c>
      <c r="O85" s="1273">
        <f>'New (new) quarts'!BB6+'New (new) quarts'!BB10</f>
        <v>236.53229999999999</v>
      </c>
      <c r="P85" s="1273">
        <f>'New (new) quarts'!BC6+'New (new) quarts'!BC10</f>
        <v>261.78970000000004</v>
      </c>
      <c r="Q85" s="2538">
        <f>'New split'!M11+'New split'!M13</f>
        <v>951.19690000000003</v>
      </c>
      <c r="R85" s="1273">
        <f>'New (new) quarts'!BE6+'New (new) quarts'!BE10</f>
        <v>267.41380000000004</v>
      </c>
      <c r="S85" s="1273">
        <f>'New (new) quarts'!BF6+'New (new) quarts'!BF10</f>
        <v>245.81399999999999</v>
      </c>
      <c r="T85" s="1273">
        <f>'New (new) quarts'!BG6+'New (new) quarts'!BG10</f>
        <v>235.85980000000001</v>
      </c>
      <c r="U85" s="1273">
        <f ca="1">'New (new) quarts'!BH6+'New (new) quarts'!BH10</f>
        <v>240.13640727714287</v>
      </c>
      <c r="V85" s="2538">
        <f>'New split'!N11+'New split'!N13</f>
        <v>267.41380000000004</v>
      </c>
      <c r="W85" s="1273">
        <f>'New (new) quarts'!BJ6</f>
        <v>187.69185900000002</v>
      </c>
      <c r="X85" s="1273">
        <f>'New (new) quarts'!BK6</f>
        <v>191.87913500000005</v>
      </c>
      <c r="Y85" s="1273">
        <f>'New (new) quarts'!BL6</f>
        <v>191.94738000000004</v>
      </c>
      <c r="Z85" s="1273">
        <f>'New (new) quarts'!BM6</f>
        <v>215.55992600000005</v>
      </c>
      <c r="AA85" s="1344">
        <f>'New split'!O8</f>
        <v>787.07830000000013</v>
      </c>
      <c r="AB85" s="1344">
        <f>'New split'!P8</f>
        <v>819.27861600000017</v>
      </c>
      <c r="AC85" s="1344">
        <f>'New split'!Q8</f>
        <v>850.91596332000017</v>
      </c>
      <c r="AD85" s="2538"/>
      <c r="AE85" s="1515">
        <f>SUM(M85:P85)</f>
        <v>951.19690000000003</v>
      </c>
      <c r="AF85" s="1515">
        <f>Q85</f>
        <v>951.19690000000003</v>
      </c>
      <c r="AG85" s="1515">
        <f>AE85-AF85</f>
        <v>0</v>
      </c>
      <c r="AH85" s="1504"/>
      <c r="AI85" s="1504"/>
      <c r="AJ85" s="1504"/>
      <c r="AK85" s="1504" t="s">
        <v>8549</v>
      </c>
      <c r="AL85" s="1504"/>
      <c r="AM85" s="1504"/>
      <c r="AN85" s="1504"/>
      <c r="AO85" s="1504"/>
      <c r="AQ85">
        <v>162</v>
      </c>
      <c r="AR85" s="463" t="s">
        <v>7975</v>
      </c>
      <c r="AX85">
        <v>172</v>
      </c>
      <c r="AZ85" s="463" t="s">
        <v>7854</v>
      </c>
    </row>
    <row r="86" spans="1:53" ht="15.75">
      <c r="A86" s="2575"/>
      <c r="B86" s="1504" t="s">
        <v>2218</v>
      </c>
      <c r="C86" s="1273">
        <f>'New (new) quarts'!AP42+'New (new) quarts'!AP46</f>
        <v>146</v>
      </c>
      <c r="D86" s="1273">
        <v>150.68423812</v>
      </c>
      <c r="E86" s="1273">
        <v>152.03926554000003</v>
      </c>
      <c r="F86" s="1273">
        <v>159.13213306000003</v>
      </c>
      <c r="G86" s="2538">
        <f>'New split'!K52+'New split'!K54</f>
        <v>608</v>
      </c>
      <c r="H86" s="1273">
        <f>'New (new) quarts'!AU42+'New (new) quarts'!AU46</f>
        <v>208.1464</v>
      </c>
      <c r="I86" s="1273">
        <f>'New (new) quarts'!AV42+'New (new) quarts'!AV46</f>
        <v>210.64510000000001</v>
      </c>
      <c r="J86" s="1273">
        <f>'New (new) quarts'!AW42+'New (new) quarts'!AW46</f>
        <v>214.02500000000001</v>
      </c>
      <c r="K86" s="1273">
        <f>'New (new) quarts'!AX42+'New (new) quarts'!AX46</f>
        <v>217.38210000000001</v>
      </c>
      <c r="L86" s="2538">
        <f>'New split'!L52+'New split'!L54</f>
        <v>850.19860000000006</v>
      </c>
      <c r="M86" s="1273">
        <f>'New (new) quarts'!AZ42+'New (new) quarts'!AZ46</f>
        <v>217</v>
      </c>
      <c r="N86" s="1273">
        <f>'New (new) quarts'!BA42+'New (new) quarts'!BA46</f>
        <v>217</v>
      </c>
      <c r="O86" s="1273">
        <f>'New (new) quarts'!BB42+'New (new) quarts'!BB46</f>
        <v>216.28299999999999</v>
      </c>
      <c r="P86" s="1273">
        <f>'New (new) quarts'!BC42+'New (new) quarts'!BC46</f>
        <v>245.518</v>
      </c>
      <c r="Q86" s="2538">
        <f>'New split'!M52+'New split'!M54</f>
        <v>895.80100000000004</v>
      </c>
      <c r="R86" s="1273">
        <f>'New (new) quarts'!BE42+'New (new) quarts'!BE46</f>
        <v>243.87880000000001</v>
      </c>
      <c r="S86" s="1273">
        <f>'New (new) quarts'!BF42+'New (new) quarts'!BF46</f>
        <v>228.13900000000001</v>
      </c>
      <c r="T86" s="1273">
        <f>'New (new) quarts'!BG42+'New (new) quarts'!BG46</f>
        <v>226.57409999999999</v>
      </c>
      <c r="U86" s="1273">
        <f ca="1">'New (new) quarts'!BH42+'New (new) quarts'!BH46</f>
        <v>227.31729999999999</v>
      </c>
      <c r="V86" s="2538">
        <f>'New split'!N52+'New split'!N54</f>
        <v>243.87880000000001</v>
      </c>
      <c r="W86" s="1273">
        <f>'New (new) quarts'!BJ42</f>
        <v>173.79728399999999</v>
      </c>
      <c r="X86" s="1273">
        <f>'New (new) quarts'!BK42</f>
        <v>177.98456000000002</v>
      </c>
      <c r="Y86" s="1273">
        <f>'New (new) quarts'!BL42</f>
        <v>178.05280500000001</v>
      </c>
      <c r="Z86" s="1273">
        <f>'New (new) quarts'!BM42</f>
        <v>201.66535100000002</v>
      </c>
      <c r="AA86" s="1344">
        <f>'New split'!O49</f>
        <v>731.5</v>
      </c>
      <c r="AB86" s="1344">
        <f>'New split'!P49</f>
        <v>762.58875</v>
      </c>
      <c r="AC86" s="1344">
        <f>'New split'!Q49</f>
        <v>793.09230000000002</v>
      </c>
      <c r="AD86" s="2538"/>
      <c r="AE86" s="1515">
        <f>SUM(M86:P86)</f>
        <v>895.80100000000004</v>
      </c>
      <c r="AF86" s="1515">
        <f>Q86</f>
        <v>895.80100000000004</v>
      </c>
      <c r="AG86" s="1515">
        <f>AE86-AF86</f>
        <v>0</v>
      </c>
      <c r="AH86" s="1504"/>
      <c r="AI86" s="1504">
        <v>164</v>
      </c>
      <c r="AJ86" s="1517"/>
      <c r="AK86" s="1504" t="s">
        <v>8550</v>
      </c>
      <c r="AL86" s="1504"/>
      <c r="AM86" s="1504"/>
      <c r="AN86" s="1504"/>
      <c r="AO86" s="1504"/>
      <c r="AQ86">
        <v>156</v>
      </c>
      <c r="AR86" s="627" t="s">
        <v>2032</v>
      </c>
      <c r="AX86">
        <v>165</v>
      </c>
      <c r="AZ86" s="463" t="s">
        <v>7850</v>
      </c>
    </row>
    <row r="87" spans="1:53" ht="15.75">
      <c r="A87" s="2575"/>
      <c r="B87" s="1504" t="s">
        <v>5052</v>
      </c>
      <c r="C87" s="1312">
        <f>'New (new) quarts'!AP353</f>
        <v>-0.01</v>
      </c>
      <c r="D87" s="1312">
        <v>0.11179540109584529</v>
      </c>
      <c r="E87" s="1312">
        <v>9.4625827484786873E-2</v>
      </c>
      <c r="F87" s="1312">
        <v>0.10157689634191547</v>
      </c>
      <c r="G87" s="2539"/>
      <c r="H87" s="1312">
        <f>'New (new) quarts'!AU353</f>
        <v>4.1000000000000002E-2</v>
      </c>
      <c r="I87" s="1312">
        <f>'New (new) quarts'!AV353</f>
        <v>2.6000000000000002E-2</v>
      </c>
      <c r="J87" s="1312">
        <f>'New (new) quarts'!AW353</f>
        <v>3.9E-2</v>
      </c>
      <c r="K87" s="1312">
        <f>'New (new) quarts'!AX353</f>
        <v>2E-3</v>
      </c>
      <c r="L87" s="2539"/>
      <c r="M87" s="1312">
        <f>'New (new) quarts'!AZ353</f>
        <v>4.2999999999999997E-2</v>
      </c>
      <c r="N87" s="1312">
        <f>'New (new) quarts'!BA353</f>
        <v>4.1000000000000002E-2</v>
      </c>
      <c r="O87" s="1312">
        <f>'New (new) quarts'!BB353</f>
        <v>1.4E-2</v>
      </c>
      <c r="P87" s="1312">
        <f>'New (new) quarts'!BC353</f>
        <v>0.189</v>
      </c>
      <c r="Q87" s="2539"/>
      <c r="R87" s="1312">
        <f>'New (new) quarts'!BE353</f>
        <v>0.17799999999999999</v>
      </c>
      <c r="S87" s="1312">
        <f>'New (new) quarts'!BF353</f>
        <v>6.3E-2</v>
      </c>
      <c r="T87" s="1312">
        <f>'New (new) quarts'!BG353</f>
        <v>5.8000000000000003E-2</v>
      </c>
      <c r="U87" s="1312">
        <f>'New (new) quarts'!BH353</f>
        <v>-9.0999999999999998E-2</v>
      </c>
      <c r="V87" s="2539"/>
      <c r="W87" s="1312"/>
      <c r="X87" s="1312"/>
      <c r="Y87" s="1312"/>
      <c r="Z87" s="1312"/>
      <c r="AA87" s="1510"/>
      <c r="AB87" s="1510"/>
      <c r="AC87" s="1510"/>
      <c r="AD87" s="2539"/>
      <c r="AE87" s="1504"/>
      <c r="AF87" s="1504"/>
      <c r="AG87" s="1504"/>
      <c r="AH87" s="1504"/>
      <c r="AI87" s="1504"/>
      <c r="AJ87" s="1504"/>
      <c r="AK87" s="1504" t="s">
        <v>8551</v>
      </c>
      <c r="AL87" s="1504"/>
      <c r="AM87" s="1504"/>
      <c r="AN87" s="1504"/>
      <c r="AO87" s="1504"/>
      <c r="AR87" s="463" t="s">
        <v>7976</v>
      </c>
      <c r="AZ87" s="463" t="s">
        <v>7853</v>
      </c>
    </row>
    <row r="88" spans="1:53" ht="15.75">
      <c r="A88" s="2575"/>
      <c r="B88" s="1504" t="s">
        <v>360</v>
      </c>
      <c r="C88" s="1273">
        <f>'New (new) quarts'!AP106+'New (new) quarts'!AP110</f>
        <v>67</v>
      </c>
      <c r="D88" s="1273">
        <v>66.456058380400108</v>
      </c>
      <c r="E88" s="1273">
        <v>70.824885739599992</v>
      </c>
      <c r="F88" s="1273">
        <v>76.751609490149974</v>
      </c>
      <c r="G88" s="2538">
        <f>'New split'!K279+'New split'!K281</f>
        <v>281</v>
      </c>
      <c r="H88" s="1273">
        <f>'New (new) quarts'!AU106+'New (new) quarts'!AU110</f>
        <v>96.635199999999998</v>
      </c>
      <c r="I88" s="1273">
        <f>'New (new) quarts'!AV106+'New (new) quarts'!AV110</f>
        <v>103.84529999999999</v>
      </c>
      <c r="J88" s="1273">
        <f>'New (new) quarts'!AW106+'New (new) quarts'!AW110</f>
        <v>102.0758</v>
      </c>
      <c r="K88" s="1273">
        <f>'New (new) quarts'!AX106+'New (new) quarts'!AX110</f>
        <v>103.36669999999999</v>
      </c>
      <c r="L88" s="2538">
        <f>'New split'!L279+'New split'!L281</f>
        <v>405.923</v>
      </c>
      <c r="M88" s="1273">
        <f>'New (new) quarts'!AZ106+'New (new) quarts'!AZ110</f>
        <v>99.086799999999997</v>
      </c>
      <c r="N88" s="1273">
        <f>'New (new) quarts'!BA106+'New (new) quarts'!BA110</f>
        <v>101.2503</v>
      </c>
      <c r="O88" s="1273">
        <f>'New (new) quarts'!BB106+'New (new) quarts'!BB110</f>
        <v>104.5865</v>
      </c>
      <c r="P88" s="1273">
        <f>'New (new) quarts'!BC106+'New (new) quarts'!BC110</f>
        <v>111.26560000000001</v>
      </c>
      <c r="Q88" s="2538">
        <f>'New split'!M279+'New split'!M281</f>
        <v>416.18920000000003</v>
      </c>
      <c r="R88" s="1273">
        <f>'New (new) quarts'!BE106+'New (new) quarts'!BE110</f>
        <v>119.61660000000001</v>
      </c>
      <c r="S88" s="1273">
        <f>'New (new) quarts'!BF106+'New (new) quarts'!BF110</f>
        <v>119.8027</v>
      </c>
      <c r="T88" s="1273">
        <f>'New (new) quarts'!BG106+'New (new) quarts'!BG110</f>
        <v>114.3171</v>
      </c>
      <c r="U88" s="1273">
        <f ca="1">'New (new) quarts'!BH106+'New (new) quarts'!BH110</f>
        <v>112.2064</v>
      </c>
      <c r="V88" s="2538">
        <f>'New split'!N279+'New split'!N281</f>
        <v>119.61660000000001</v>
      </c>
      <c r="W88" s="1273">
        <f>'New (new) quarts'!BJ106</f>
        <v>92</v>
      </c>
      <c r="X88" s="1273">
        <f>'New (new) quarts'!BK106</f>
        <v>92</v>
      </c>
      <c r="Y88" s="1273">
        <f>'New (new) quarts'!BL106</f>
        <v>92</v>
      </c>
      <c r="Z88" s="1273">
        <f>'New (new) quarts'!BM106</f>
        <v>93.926801000000012</v>
      </c>
      <c r="AA88" s="1344">
        <f>'New split'!O276</f>
        <v>369.92680100000001</v>
      </c>
      <c r="AB88" s="1344">
        <f>'New split'!P276</f>
        <v>387.10914606000006</v>
      </c>
      <c r="AC88" s="1344">
        <f>'New split'!Q276</f>
        <v>404.18508257700006</v>
      </c>
      <c r="AD88" s="2538"/>
      <c r="AE88" s="1515">
        <f>SUM(M88:P88)</f>
        <v>416.18919999999997</v>
      </c>
      <c r="AF88" s="1515">
        <f>Q88</f>
        <v>416.18920000000003</v>
      </c>
      <c r="AG88" s="1515">
        <f>AE88-AF88</f>
        <v>0</v>
      </c>
      <c r="AH88" s="1504"/>
      <c r="AI88" s="1504">
        <v>76</v>
      </c>
      <c r="AJ88" s="1517"/>
      <c r="AK88" s="1504" t="s">
        <v>8552</v>
      </c>
      <c r="AL88" s="1504"/>
      <c r="AM88" s="1504"/>
      <c r="AN88" s="1504"/>
      <c r="AO88" s="1504"/>
      <c r="AQ88">
        <v>74</v>
      </c>
      <c r="AR88" s="463" t="s">
        <v>7977</v>
      </c>
      <c r="AX88">
        <v>79</v>
      </c>
      <c r="AZ88" s="463" t="s">
        <v>7851</v>
      </c>
    </row>
    <row r="89" spans="1:53" ht="15.75">
      <c r="A89" s="2575"/>
      <c r="B89" s="1504" t="s">
        <v>5045</v>
      </c>
      <c r="C89" s="1312">
        <f>C88/C85</f>
        <v>0.44078947368421051</v>
      </c>
      <c r="D89" s="1312">
        <v>0.4209634486423568</v>
      </c>
      <c r="E89" s="1312">
        <v>0.44744159090655278</v>
      </c>
      <c r="F89" s="1312">
        <v>0.46561616110613441</v>
      </c>
      <c r="G89" s="2539">
        <f t="shared" ref="G89:AA89" si="63">G88/G85</f>
        <v>0.44391785150078988</v>
      </c>
      <c r="H89" s="1312">
        <f t="shared" si="63"/>
        <v>0.45255139457754306</v>
      </c>
      <c r="I89" s="1312">
        <f t="shared" si="63"/>
        <v>0.47623509147016779</v>
      </c>
      <c r="J89" s="1312">
        <f t="shared" si="63"/>
        <v>0.45955725275383275</v>
      </c>
      <c r="K89" s="1312">
        <f t="shared" si="63"/>
        <v>0.46235677530630942</v>
      </c>
      <c r="L89" s="2539">
        <f t="shared" si="63"/>
        <v>0.46271085550036173</v>
      </c>
      <c r="M89" s="1312">
        <f t="shared" si="63"/>
        <v>0.44059334619865353</v>
      </c>
      <c r="N89" s="1312">
        <f t="shared" si="63"/>
        <v>0.44411746773523569</v>
      </c>
      <c r="O89" s="1312">
        <f t="shared" si="63"/>
        <v>0.44216582682365158</v>
      </c>
      <c r="P89" s="1312">
        <f t="shared" si="63"/>
        <v>0.42501901335308451</v>
      </c>
      <c r="Q89" s="2539">
        <f t="shared" si="63"/>
        <v>0.43754263707125202</v>
      </c>
      <c r="R89" s="1312">
        <f t="shared" si="63"/>
        <v>0.44730900200363627</v>
      </c>
      <c r="S89" s="1312">
        <f t="shared" ref="S89" si="64">S88/S85</f>
        <v>0.4873713458143149</v>
      </c>
      <c r="T89" s="1312">
        <f t="shared" ref="T89:U89" si="65">T88/T85</f>
        <v>0.4846824257461424</v>
      </c>
      <c r="U89" s="1312">
        <f t="shared" ca="1" si="65"/>
        <v>0.46726109244443692</v>
      </c>
      <c r="V89" s="2539">
        <f t="shared" si="63"/>
        <v>0.44730900200363627</v>
      </c>
      <c r="W89" s="1312">
        <f t="shared" si="63"/>
        <v>0.49016510620207554</v>
      </c>
      <c r="X89" s="1312">
        <f t="shared" si="63"/>
        <v>0.47946849458123719</v>
      </c>
      <c r="Y89" s="1312">
        <f t="shared" si="63"/>
        <v>0.47929802428144619</v>
      </c>
      <c r="Z89" s="1312">
        <f t="shared" si="63"/>
        <v>0.43573405661681286</v>
      </c>
      <c r="AA89" s="1510">
        <f t="shared" si="63"/>
        <v>0.46999999999999992</v>
      </c>
      <c r="AB89" s="1510">
        <f t="shared" ref="AB89:AC89" si="66">AB88/AB85</f>
        <v>0.47249999999999998</v>
      </c>
      <c r="AC89" s="1510">
        <f t="shared" si="66"/>
        <v>0.47499999999999998</v>
      </c>
      <c r="AD89" s="2539"/>
      <c r="AE89" s="1504"/>
      <c r="AF89" s="1504"/>
      <c r="AG89" s="1504"/>
      <c r="AH89" s="1504"/>
      <c r="AI89" s="1504"/>
      <c r="AJ89" s="1504"/>
      <c r="AK89" s="1504"/>
      <c r="AL89" s="1504"/>
      <c r="AM89" s="1504"/>
      <c r="AN89" s="1504"/>
      <c r="AO89" s="1504"/>
      <c r="AQ89" s="1346">
        <f>AQ88/AQ85</f>
        <v>0.4567901234567901</v>
      </c>
      <c r="AR89" s="463" t="s">
        <v>7978</v>
      </c>
      <c r="AX89" s="1311">
        <f>AX88/AX85</f>
        <v>0.45930232558139533</v>
      </c>
      <c r="BA89" s="463" t="s">
        <v>7852</v>
      </c>
    </row>
    <row r="90" spans="1:53" ht="15.75">
      <c r="A90" s="1504"/>
      <c r="B90" s="1504"/>
      <c r="C90" s="1513"/>
      <c r="D90" s="1513"/>
      <c r="E90" s="1513"/>
      <c r="F90" s="1513"/>
      <c r="G90" s="1519"/>
      <c r="H90" s="1513"/>
      <c r="I90" s="1513"/>
      <c r="J90" s="1513"/>
      <c r="K90" s="1513"/>
      <c r="L90" s="1519"/>
      <c r="M90" s="1513"/>
      <c r="N90" s="1513"/>
      <c r="O90" s="1513"/>
      <c r="P90" s="1513"/>
      <c r="Q90" s="1519"/>
      <c r="R90" s="1513"/>
      <c r="S90" s="1513"/>
      <c r="T90" s="1513"/>
      <c r="U90" s="1513"/>
      <c r="V90" s="1519"/>
      <c r="W90" s="1513"/>
      <c r="X90" s="1513"/>
      <c r="Y90" s="1513"/>
      <c r="Z90" s="1513"/>
      <c r="AA90" s="1511"/>
      <c r="AB90" s="1511"/>
      <c r="AC90" s="1511"/>
      <c r="AD90" s="1519"/>
      <c r="AE90" s="1504"/>
      <c r="AF90" s="1504"/>
      <c r="AG90" s="1504"/>
      <c r="AH90" s="1504"/>
      <c r="AI90" s="1504"/>
      <c r="AJ90" s="1504"/>
      <c r="AK90" s="1504"/>
      <c r="AL90" s="1504"/>
      <c r="AM90" s="1504"/>
      <c r="AN90" s="1504"/>
      <c r="AO90" s="1504"/>
      <c r="AR90" s="463" t="s">
        <v>7979</v>
      </c>
    </row>
    <row r="91" spans="1:53" ht="15.75">
      <c r="A91" s="2575" t="s">
        <v>2378</v>
      </c>
      <c r="B91" s="1504" t="s">
        <v>758</v>
      </c>
      <c r="C91" s="1273">
        <f>'New (new) quarts'!AP17</f>
        <v>137</v>
      </c>
      <c r="D91" s="1273">
        <v>137.43412995855698</v>
      </c>
      <c r="E91" s="1273">
        <v>139.1282638498769</v>
      </c>
      <c r="F91" s="1273">
        <v>141.08570868191723</v>
      </c>
      <c r="G91" s="2538">
        <f>'New split'!K21</f>
        <v>554</v>
      </c>
      <c r="H91" s="1273">
        <f>'New (new) quarts'!AU17</f>
        <v>137</v>
      </c>
      <c r="I91" s="1273">
        <f>'New (new) quarts'!AV17</f>
        <v>138.86000000000001</v>
      </c>
      <c r="J91" s="1273">
        <f>'New (new) quarts'!AW17</f>
        <v>140.77000000000001</v>
      </c>
      <c r="K91" s="1273">
        <f>'New (new) quarts'!AX17</f>
        <v>140</v>
      </c>
      <c r="L91" s="2538">
        <f>'New split'!L21</f>
        <v>556.63</v>
      </c>
      <c r="M91" s="1273">
        <f>'New (new) quarts'!AZ17</f>
        <v>139</v>
      </c>
      <c r="N91" s="1273">
        <f>'New (new) quarts'!BA17</f>
        <v>143</v>
      </c>
      <c r="O91" s="1273">
        <f>'New (new) quarts'!BB17</f>
        <v>143.03800000000001</v>
      </c>
      <c r="P91" s="1273">
        <f>'New (new) quarts'!BC17</f>
        <v>143.40700000000001</v>
      </c>
      <c r="Q91" s="2538">
        <f>'New split'!M21</f>
        <v>568.44500000000005</v>
      </c>
      <c r="R91" s="1273">
        <f>'New (new) quarts'!BE17</f>
        <v>142</v>
      </c>
      <c r="S91" s="1273">
        <f>'New (new) quarts'!BF17</f>
        <v>139</v>
      </c>
      <c r="T91" s="1273">
        <f>'New (new) quarts'!BG17</f>
        <v>136.90029999999999</v>
      </c>
      <c r="U91" s="1273">
        <f>'New (new) quarts'!BH17</f>
        <v>140.61160000000001</v>
      </c>
      <c r="V91" s="2538">
        <f>'New split'!N21</f>
        <v>558.51189999999997</v>
      </c>
      <c r="W91" s="1273"/>
      <c r="X91" s="1273"/>
      <c r="Y91" s="1273"/>
      <c r="Z91" s="1273"/>
      <c r="AA91" s="1344">
        <f>'New split'!O21</f>
        <v>545.5556625353164</v>
      </c>
      <c r="AB91" s="1344">
        <f>'New split'!P21</f>
        <v>550.73161190240512</v>
      </c>
      <c r="AC91" s="1344">
        <f>'New split'!Q21</f>
        <v>558.57165285549502</v>
      </c>
      <c r="AD91" s="2538"/>
      <c r="AE91" s="1515">
        <f>SUM(M91:P91)</f>
        <v>568.44500000000005</v>
      </c>
      <c r="AF91" s="1515">
        <f>Q91</f>
        <v>568.44500000000005</v>
      </c>
      <c r="AG91" s="1515">
        <f>AE91-AF91</f>
        <v>0</v>
      </c>
      <c r="AH91" s="1504"/>
      <c r="AI91" s="1504"/>
      <c r="AJ91" s="1504"/>
      <c r="AK91" s="1504" t="s">
        <v>8553</v>
      </c>
      <c r="AL91" s="1504"/>
      <c r="AM91" s="1504"/>
      <c r="AN91" s="1504"/>
      <c r="AO91" s="1504"/>
      <c r="AQ91">
        <v>138</v>
      </c>
      <c r="AR91" s="627" t="s">
        <v>2378</v>
      </c>
      <c r="AX91">
        <v>139</v>
      </c>
      <c r="AZ91" s="463" t="s">
        <v>7855</v>
      </c>
    </row>
    <row r="92" spans="1:53" ht="15.75">
      <c r="A92" s="2575"/>
      <c r="B92" s="1504" t="s">
        <v>2218</v>
      </c>
      <c r="C92" s="1273">
        <f>'New (new) quarts'!AP53</f>
        <v>129</v>
      </c>
      <c r="D92" s="1273">
        <v>129.117614527673</v>
      </c>
      <c r="E92" s="1273">
        <v>132.17159936665519</v>
      </c>
      <c r="F92" s="1273">
        <v>135.30968594769976</v>
      </c>
      <c r="G92" s="2538">
        <f>'New split'!K61</f>
        <v>525</v>
      </c>
      <c r="H92" s="1273">
        <f>'New (new) quarts'!AU53</f>
        <v>130</v>
      </c>
      <c r="I92" s="1273">
        <f>'New (new) quarts'!AV53</f>
        <v>131.65</v>
      </c>
      <c r="J92" s="1273">
        <f>'New (new) quarts'!AW53</f>
        <v>135</v>
      </c>
      <c r="K92" s="1273">
        <f>'New (new) quarts'!AX53</f>
        <v>134</v>
      </c>
      <c r="L92" s="2538">
        <f>'New split'!L61</f>
        <v>530.65</v>
      </c>
      <c r="M92" s="1273">
        <f>'New (new) quarts'!AZ53</f>
        <v>132</v>
      </c>
      <c r="N92" s="1273">
        <f>'New (new) quarts'!BA53</f>
        <v>137</v>
      </c>
      <c r="O92" s="1273">
        <f>'New (new) quarts'!BB53</f>
        <v>137.58099999999999</v>
      </c>
      <c r="P92" s="1273">
        <f>'New (new) quarts'!BC53</f>
        <v>137.59100000000001</v>
      </c>
      <c r="Q92" s="2538">
        <f>'New split'!M61</f>
        <v>544.17200000000003</v>
      </c>
      <c r="R92" s="1273">
        <f>'New (new) quarts'!BE53</f>
        <v>137</v>
      </c>
      <c r="S92" s="1273">
        <f>'New (new) quarts'!BF53</f>
        <v>134</v>
      </c>
      <c r="T92" s="1273">
        <f>'New (new) quarts'!BG53</f>
        <v>132.51900000000001</v>
      </c>
      <c r="U92" s="1273">
        <f>'New (new) quarts'!BH53</f>
        <v>136.09360000000001</v>
      </c>
      <c r="V92" s="2538">
        <f>'New split'!N61</f>
        <v>539.61260000000004</v>
      </c>
      <c r="W92" s="1273">
        <f>'New (new) quarts'!BJ53</f>
        <v>130.67272740189875</v>
      </c>
      <c r="X92" s="1273">
        <f>'New (new) quarts'!BK53</f>
        <v>130.25482933544302</v>
      </c>
      <c r="Y92" s="1273">
        <f>'New (new) quarts'!BL53</f>
        <v>131.43671656890189</v>
      </c>
      <c r="Z92" s="1273">
        <f>'New (new) quarts'!BM53</f>
        <v>135.58256213679431</v>
      </c>
      <c r="AA92" s="1344">
        <f>'New split'!O61</f>
        <v>527.94683544303791</v>
      </c>
      <c r="AB92" s="1344">
        <f>'New split'!P61</f>
        <v>533.12278481012663</v>
      </c>
      <c r="AC92" s="1344">
        <f>'New split'!Q61</f>
        <v>540.96282576321664</v>
      </c>
      <c r="AD92" s="2538"/>
      <c r="AE92" s="1515">
        <f>SUM(M92:P92)</f>
        <v>544.17200000000003</v>
      </c>
      <c r="AF92" s="1515">
        <f>Q92</f>
        <v>544.17200000000003</v>
      </c>
      <c r="AG92" s="1515">
        <f>AE92-AF92</f>
        <v>0</v>
      </c>
      <c r="AH92" s="1504"/>
      <c r="AI92" s="1504">
        <v>139</v>
      </c>
      <c r="AJ92" s="1517"/>
      <c r="AK92" s="1504" t="s">
        <v>8554</v>
      </c>
      <c r="AL92" s="1504"/>
      <c r="AM92" s="1504"/>
      <c r="AN92" s="1504"/>
      <c r="AO92" s="1504"/>
      <c r="AQ92">
        <v>131</v>
      </c>
      <c r="AR92" s="463" t="s">
        <v>7980</v>
      </c>
      <c r="AX92">
        <v>133</v>
      </c>
      <c r="AZ92" s="463" t="s">
        <v>7856</v>
      </c>
    </row>
    <row r="93" spans="1:53" ht="15.75">
      <c r="A93" s="2575"/>
      <c r="B93" s="1504" t="s">
        <v>5052</v>
      </c>
      <c r="C93" s="1312">
        <f>'New (new) quarts'!AP363</f>
        <v>-8.9999999999999993E-3</v>
      </c>
      <c r="D93" s="1312">
        <v>1.4406398451802582E-2</v>
      </c>
      <c r="E93" s="1312">
        <v>6.151920509922193E-2</v>
      </c>
      <c r="F93" s="1312">
        <v>4.1772286913602574E-2</v>
      </c>
      <c r="G93" s="2539">
        <f>'New split'!K216</f>
        <v>2.2093170193707934E-2</v>
      </c>
      <c r="H93" s="1312">
        <f>'New (new) quarts'!AU363</f>
        <v>4.9000000000000002E-2</v>
      </c>
      <c r="I93" s="1312">
        <f>'New (new) quarts'!AV363</f>
        <v>5.5999999999999994E-2</v>
      </c>
      <c r="J93" s="1312">
        <f>'New (new) quarts'!AW363</f>
        <v>2.3E-2</v>
      </c>
      <c r="K93" s="1312">
        <f>'New (new) quarts'!AX363</f>
        <v>4.1000000000000002E-2</v>
      </c>
      <c r="L93" s="2539">
        <f>'New split'!L216</f>
        <v>4.3394829836133963E-2</v>
      </c>
      <c r="M93" s="1312">
        <f>'New (new) quarts'!AZ363</f>
        <v>0.06</v>
      </c>
      <c r="N93" s="1312">
        <f>'New (new) quarts'!BA363</f>
        <v>9.6000000000000002E-2</v>
      </c>
      <c r="O93" s="1312">
        <f>'New (new) quarts'!BB363</f>
        <v>7.5999999999999998E-2</v>
      </c>
      <c r="P93" s="1312">
        <f>'New (new) quarts'!BC363</f>
        <v>0.05</v>
      </c>
      <c r="Q93" s="2539">
        <f>'New split'!M216</f>
        <v>7.0061977903530082E-2</v>
      </c>
      <c r="R93" s="1312">
        <f>'New (new) quarts'!BE363</f>
        <v>4.2999999999999997E-2</v>
      </c>
      <c r="S93" s="1312">
        <f>'New (new) quarts'!BF363</f>
        <v>1.7999999999999999E-2</v>
      </c>
      <c r="T93" s="1312">
        <f>'New (new) quarts'!BG363</f>
        <v>1.0999999999999999E-2</v>
      </c>
      <c r="U93" s="1312">
        <f>'New (new) quarts'!BH363</f>
        <v>4.7E-2</v>
      </c>
      <c r="V93" s="2539">
        <f>'New split'!N216</f>
        <v>2.9715436917652882E-2</v>
      </c>
      <c r="W93" s="1312"/>
      <c r="X93" s="1312"/>
      <c r="Y93" s="1312"/>
      <c r="Z93" s="1312"/>
      <c r="AA93" s="1510">
        <f>'New split'!O216</f>
        <v>0.02</v>
      </c>
      <c r="AB93" s="1510">
        <f>'New split'!P216</f>
        <v>0.03</v>
      </c>
      <c r="AC93" s="1510">
        <f>'New split'!Q216</f>
        <v>3.5000000000000003E-2</v>
      </c>
      <c r="AD93" s="2539"/>
      <c r="AE93" s="1504"/>
      <c r="AF93" s="1504"/>
      <c r="AG93" s="1504"/>
      <c r="AH93" s="1504"/>
      <c r="AI93" s="1504"/>
      <c r="AJ93" s="1504"/>
      <c r="AK93" s="1504" t="s">
        <v>8555</v>
      </c>
      <c r="AL93" s="1504"/>
      <c r="AM93" s="1504"/>
      <c r="AN93" s="1504"/>
      <c r="AO93" s="1504"/>
      <c r="AR93" s="463" t="s">
        <v>7981</v>
      </c>
      <c r="AZ93" s="463" t="s">
        <v>7857</v>
      </c>
    </row>
    <row r="94" spans="1:53" ht="15.75">
      <c r="A94" s="2575"/>
      <c r="B94" s="1504" t="s">
        <v>360</v>
      </c>
      <c r="C94" s="1273">
        <f>'New (new) quarts'!AP117</f>
        <v>60</v>
      </c>
      <c r="D94" s="1273">
        <v>59.763075646723401</v>
      </c>
      <c r="E94" s="1273">
        <v>63.492988608242186</v>
      </c>
      <c r="F94" s="1273">
        <v>58.921115741127466</v>
      </c>
      <c r="G94" s="2538">
        <f>'New split'!K289</f>
        <v>242</v>
      </c>
      <c r="H94" s="1273">
        <f>'New (new) quarts'!AU117</f>
        <v>63</v>
      </c>
      <c r="I94" s="1273">
        <f>'New (new) quarts'!AV117</f>
        <v>60.07</v>
      </c>
      <c r="J94" s="1273">
        <f>'New (new) quarts'!AW117</f>
        <v>62</v>
      </c>
      <c r="K94" s="1273">
        <f>'New (new) quarts'!AX117</f>
        <v>60</v>
      </c>
      <c r="L94" s="2538">
        <f>'New split'!L289</f>
        <v>245.07</v>
      </c>
      <c r="M94" s="1273">
        <f>'New (new) quarts'!AZ117</f>
        <v>61</v>
      </c>
      <c r="N94" s="1273">
        <f>'New (new) quarts'!BA117</f>
        <v>64</v>
      </c>
      <c r="O94" s="1273">
        <f>'New (new) quarts'!BB117</f>
        <v>65.177999999999997</v>
      </c>
      <c r="P94" s="1273">
        <f>'New (new) quarts'!BC117</f>
        <v>64.521999999999991</v>
      </c>
      <c r="Q94" s="2538">
        <f>'New split'!M289</f>
        <v>254.7</v>
      </c>
      <c r="R94" s="1273">
        <f>'New (new) quarts'!BE117</f>
        <v>68.718900000000005</v>
      </c>
      <c r="S94" s="1273">
        <f>'New (new) quarts'!BF117</f>
        <v>67.122</v>
      </c>
      <c r="T94" s="1273">
        <f>'New (new) quarts'!BG117</f>
        <v>65.211399999999998</v>
      </c>
      <c r="U94" s="1273">
        <f>'New (new) quarts'!BH117</f>
        <v>65.635099999999994</v>
      </c>
      <c r="V94" s="2538">
        <f>'New split'!N289</f>
        <v>266.68740000000003</v>
      </c>
      <c r="W94" s="1273">
        <f>'New (new) quarts'!BJ117</f>
        <v>65</v>
      </c>
      <c r="X94" s="1273">
        <f>'New (new) quarts'!BK117</f>
        <v>65</v>
      </c>
      <c r="Y94" s="1273">
        <f>'New (new) quarts'!BL117</f>
        <v>65</v>
      </c>
      <c r="Z94" s="1273">
        <f>'New (new) quarts'!BM117</f>
        <v>66.864732910644989</v>
      </c>
      <c r="AA94" s="1344">
        <f>'New split'!O289</f>
        <v>261.86473291064499</v>
      </c>
      <c r="AB94" s="1344">
        <f>'New split'!P289</f>
        <v>265.72599880294382</v>
      </c>
      <c r="AC94" s="1344">
        <f>'New split'!Q289</f>
        <v>270.90521916749321</v>
      </c>
      <c r="AD94" s="2538"/>
      <c r="AE94" s="1515">
        <f>SUM(M94:P94)</f>
        <v>254.7</v>
      </c>
      <c r="AF94" s="1515">
        <f>Q94</f>
        <v>254.7</v>
      </c>
      <c r="AG94" s="1515">
        <f>AE94-AF94</f>
        <v>0</v>
      </c>
      <c r="AH94" s="1504"/>
      <c r="AI94" s="1504">
        <v>64</v>
      </c>
      <c r="AJ94" s="1517"/>
      <c r="AK94" s="1504"/>
      <c r="AL94" s="1504"/>
      <c r="AM94" s="1504"/>
      <c r="AN94" s="1504"/>
      <c r="AO94" s="1504"/>
      <c r="AQ94">
        <v>63</v>
      </c>
      <c r="AX94">
        <v>60</v>
      </c>
      <c r="AZ94" s="463" t="s">
        <v>7858</v>
      </c>
    </row>
    <row r="95" spans="1:53" ht="15.75">
      <c r="A95" s="2575"/>
      <c r="B95" s="1504" t="s">
        <v>5045</v>
      </c>
      <c r="C95" s="1312">
        <f>C94/C91</f>
        <v>0.43795620437956206</v>
      </c>
      <c r="D95" s="1312">
        <v>0.43484886661519123</v>
      </c>
      <c r="E95" s="1312">
        <v>0.45636297651750196</v>
      </c>
      <c r="F95" s="1312">
        <v>0.41762639385373346</v>
      </c>
      <c r="G95" s="2539">
        <f t="shared" ref="G95:AA95" si="67">G94/G91</f>
        <v>0.43682310469314078</v>
      </c>
      <c r="H95" s="1312">
        <f t="shared" si="67"/>
        <v>0.45985401459854014</v>
      </c>
      <c r="I95" s="1312">
        <f t="shared" si="67"/>
        <v>0.43259397954774587</v>
      </c>
      <c r="J95" s="1312">
        <f t="shared" si="67"/>
        <v>0.44043475172266816</v>
      </c>
      <c r="K95" s="1312">
        <f t="shared" si="67"/>
        <v>0.42857142857142855</v>
      </c>
      <c r="L95" s="2539">
        <f t="shared" si="67"/>
        <v>0.44027450909940175</v>
      </c>
      <c r="M95" s="1312">
        <f t="shared" si="67"/>
        <v>0.43884892086330934</v>
      </c>
      <c r="N95" s="1312">
        <f t="shared" si="67"/>
        <v>0.44755244755244755</v>
      </c>
      <c r="O95" s="1312">
        <f t="shared" si="67"/>
        <v>0.45566912289042066</v>
      </c>
      <c r="P95" s="1312">
        <f t="shared" si="67"/>
        <v>0.44992224926258823</v>
      </c>
      <c r="Q95" s="2539">
        <f t="shared" si="67"/>
        <v>0.4480644565437289</v>
      </c>
      <c r="R95" s="1312">
        <f t="shared" si="67"/>
        <v>0.48393591549295778</v>
      </c>
      <c r="S95" s="1312">
        <f t="shared" ref="S95" si="68">S94/S91</f>
        <v>0.48289208633093528</v>
      </c>
      <c r="T95" s="1312">
        <f t="shared" ref="T95:U95" si="69">T94/T91</f>
        <v>0.4763422724420619</v>
      </c>
      <c r="U95" s="1312">
        <f t="shared" si="69"/>
        <v>0.46678296811927317</v>
      </c>
      <c r="V95" s="2539">
        <f t="shared" si="67"/>
        <v>0.47749636131298195</v>
      </c>
      <c r="W95" s="1312" t="e">
        <f t="shared" si="67"/>
        <v>#DIV/0!</v>
      </c>
      <c r="X95" s="1312" t="e">
        <f t="shared" si="67"/>
        <v>#DIV/0!</v>
      </c>
      <c r="Y95" s="1312" t="e">
        <f t="shared" si="67"/>
        <v>#DIV/0!</v>
      </c>
      <c r="Z95" s="1312" t="e">
        <f t="shared" si="67"/>
        <v>#DIV/0!</v>
      </c>
      <c r="AA95" s="1510">
        <f t="shared" si="67"/>
        <v>0.47999636131298196</v>
      </c>
      <c r="AB95" s="1510">
        <f t="shared" ref="AB95:AC95" si="70">AB94/AB91</f>
        <v>0.48249636131298196</v>
      </c>
      <c r="AC95" s="1510">
        <f t="shared" si="70"/>
        <v>0.48499636131298202</v>
      </c>
      <c r="AD95" s="2539"/>
      <c r="AE95" s="1504"/>
      <c r="AF95" s="1504"/>
      <c r="AG95" s="1504"/>
      <c r="AH95" s="1504"/>
      <c r="AI95" s="1504"/>
      <c r="AJ95" s="1504"/>
      <c r="AK95" s="1504"/>
      <c r="AL95" s="1504"/>
      <c r="AM95" s="1504"/>
      <c r="AN95" s="1504"/>
      <c r="AO95" s="1504"/>
      <c r="AQ95" s="1346">
        <f>AQ94/AQ91</f>
        <v>0.45652173913043476</v>
      </c>
      <c r="AX95" s="1311">
        <f>AX94/AX91</f>
        <v>0.43165467625899279</v>
      </c>
    </row>
    <row r="96" spans="1:53" ht="15.75">
      <c r="A96" s="1504"/>
      <c r="B96" s="1504"/>
      <c r="C96" s="1513"/>
      <c r="D96" s="1513"/>
      <c r="E96" s="1513"/>
      <c r="F96" s="1513"/>
      <c r="G96" s="1519"/>
      <c r="H96" s="1513"/>
      <c r="I96" s="1513"/>
      <c r="J96" s="1513"/>
      <c r="K96" s="1513"/>
      <c r="L96" s="1519"/>
      <c r="M96" s="1513"/>
      <c r="N96" s="1513"/>
      <c r="O96" s="1513"/>
      <c r="P96" s="1513"/>
      <c r="Q96" s="1519"/>
      <c r="R96" s="1513"/>
      <c r="S96" s="1513"/>
      <c r="T96" s="1513"/>
      <c r="U96" s="1513"/>
      <c r="V96" s="1519"/>
      <c r="W96" s="2544"/>
      <c r="X96" s="2544"/>
      <c r="Y96" s="2544"/>
      <c r="Z96" s="2544"/>
      <c r="AA96" s="1519"/>
      <c r="AB96" s="1519"/>
      <c r="AC96" s="1519"/>
      <c r="AD96" s="1519"/>
      <c r="AE96" s="1504"/>
      <c r="AF96" s="1504"/>
      <c r="AG96" s="1504"/>
      <c r="AH96" s="1504"/>
      <c r="AI96" s="1504"/>
      <c r="AJ96" s="1504"/>
      <c r="AK96" s="1504"/>
      <c r="AL96" s="1504"/>
      <c r="AM96" s="1504"/>
      <c r="AN96" s="1504"/>
      <c r="AO96" s="1504"/>
      <c r="AR96" s="627" t="s">
        <v>7982</v>
      </c>
    </row>
    <row r="97" spans="1:53" ht="15.75">
      <c r="A97" s="2577" t="s">
        <v>6505</v>
      </c>
      <c r="B97" s="1504" t="s">
        <v>758</v>
      </c>
      <c r="C97" s="1273">
        <f>'New (new) quarts'!AP9+'New (new) quarts'!AP11+'New (new) quarts'!AP12</f>
        <v>92</v>
      </c>
      <c r="D97" s="1273">
        <v>94.644538300040693</v>
      </c>
      <c r="E97" s="1273">
        <v>94.951872210365607</v>
      </c>
      <c r="F97" s="1273">
        <v>98.287604819037284</v>
      </c>
      <c r="G97" s="2538">
        <f>'New split'!K12+'New split'!K14+'New split'!K15</f>
        <v>380</v>
      </c>
      <c r="H97" s="1273">
        <f>'New (new) quarts'!AU9+'New (new) quarts'!AU11+'New (new) quarts'!AU12</f>
        <v>96</v>
      </c>
      <c r="I97" s="1273">
        <f>'New (new) quarts'!AV9+'New (new) quarts'!AV11+'New (new) quarts'!AV12</f>
        <v>95</v>
      </c>
      <c r="J97" s="1273">
        <f>'New (new) quarts'!AW9+'New (new) quarts'!AW11+'New (new) quarts'!AW12</f>
        <v>95</v>
      </c>
      <c r="K97" s="1273">
        <f>'New (new) quarts'!AX9+'New (new) quarts'!AX11+'New (new) quarts'!AX12</f>
        <v>99</v>
      </c>
      <c r="L97" s="2538">
        <f>'New split'!L12+'New split'!L14+'New split'!L15</f>
        <v>385</v>
      </c>
      <c r="M97" s="1273">
        <f>'New (new) quarts'!AZ9+'New (new) quarts'!AZ11+'New (new) quarts'!AZ12</f>
        <v>102</v>
      </c>
      <c r="N97" s="1273">
        <f>'New (new) quarts'!BA9+'New (new) quarts'!BA11+'New (new) quarts'!BA12</f>
        <v>104</v>
      </c>
      <c r="O97" s="1273">
        <f>'New (new) quarts'!BB9+'New (new) quarts'!BB11+'New (new) quarts'!BB12</f>
        <v>104</v>
      </c>
      <c r="P97" s="1273">
        <f>'New (new) quarts'!BC9+'New (new) quarts'!BC11+'New (new) quarts'!BC12</f>
        <v>103.85899999999999</v>
      </c>
      <c r="Q97" s="2538">
        <f>'New split'!M12+'New split'!M14+'New split'!M15</f>
        <v>413.85899999999998</v>
      </c>
      <c r="R97" s="1273">
        <f>'New (new) quarts'!BE9+'New (new) quarts'!BE11+'New (new) quarts'!BE12</f>
        <v>104</v>
      </c>
      <c r="S97" s="1273">
        <f>'New (new) quarts'!BF9+'New (new) quarts'!BF11+'New (new) quarts'!BF12</f>
        <v>104</v>
      </c>
      <c r="T97" s="1273">
        <f>'New (new) quarts'!BG9+'New (new) quarts'!BG11+'New (new) quarts'!BG12</f>
        <v>104</v>
      </c>
      <c r="U97" s="1273">
        <f ca="1">'New (new) quarts'!BH9+'New (new) quarts'!BH11+'New (new) quarts'!BH12</f>
        <v>118.39917485077595</v>
      </c>
      <c r="V97" s="2538">
        <f>'New split'!N12+'New split'!N14+'New split'!N15</f>
        <v>104</v>
      </c>
      <c r="W97" s="1273"/>
      <c r="X97" s="1273"/>
      <c r="Y97" s="1273"/>
      <c r="Z97" s="1273"/>
      <c r="AA97" s="1338">
        <f>'New split'!O12+'New split'!O14+'New split'!O15</f>
        <v>221.49608169464079</v>
      </c>
      <c r="AB97" s="1338">
        <f>'New split'!P12+'New split'!P14+'New split'!P15</f>
        <v>228.14625149051454</v>
      </c>
      <c r="AC97" s="1338">
        <f>'New split'!Q12+'New split'!Q14+'New split'!Q15</f>
        <v>234.73381373068059</v>
      </c>
      <c r="AD97" s="2538"/>
      <c r="AE97" s="1515">
        <f>SUM(M97:P97)</f>
        <v>413.85899999999998</v>
      </c>
      <c r="AF97" s="1515">
        <f>Q97</f>
        <v>413.85899999999998</v>
      </c>
      <c r="AG97" s="1515">
        <f>AE97-AF97</f>
        <v>0</v>
      </c>
      <c r="AH97" s="1504"/>
      <c r="AI97" s="1504"/>
      <c r="AJ97" s="1504"/>
      <c r="AK97" s="1504"/>
      <c r="AL97" s="1504"/>
      <c r="AM97" s="1504"/>
      <c r="AN97" s="1504"/>
      <c r="AO97" s="1504"/>
      <c r="AQ97">
        <v>100</v>
      </c>
      <c r="AR97" s="463" t="s">
        <v>7983</v>
      </c>
      <c r="AX97">
        <v>100</v>
      </c>
      <c r="AZ97" s="463" t="s">
        <v>7859</v>
      </c>
    </row>
    <row r="98" spans="1:53" ht="15.75">
      <c r="A98" s="2577"/>
      <c r="B98" s="1504" t="s">
        <v>2218</v>
      </c>
      <c r="C98" s="1273">
        <f>'New (new) quarts'!AP45+'New (new) quarts'!AP47+'New (new) quarts'!AP48</f>
        <v>88</v>
      </c>
      <c r="D98" s="1273">
        <v>90.626677129659186</v>
      </c>
      <c r="E98" s="1273">
        <v>91.300000000000011</v>
      </c>
      <c r="F98" s="1273">
        <v>93.615648214746415</v>
      </c>
      <c r="G98" s="2538">
        <f>'New split'!K53+'New split'!K55+'New split'!K56</f>
        <v>364</v>
      </c>
      <c r="H98" s="1273">
        <f>'New (new) quarts'!AU45+'New (new) quarts'!AU47+'New (new) quarts'!AU48</f>
        <v>92</v>
      </c>
      <c r="I98" s="1273">
        <f>'New (new) quarts'!AV45+'New (new) quarts'!AV47+'New (new) quarts'!AV48</f>
        <v>92</v>
      </c>
      <c r="J98" s="1273">
        <f>'New (new) quarts'!AW45+'New (new) quarts'!AW47+'New (new) quarts'!AW48</f>
        <v>92</v>
      </c>
      <c r="K98" s="1273">
        <f>'New (new) quarts'!AX45+'New (new) quarts'!AX47+'New (new) quarts'!AX48</f>
        <v>96</v>
      </c>
      <c r="L98" s="2538">
        <f>'New split'!L53+'New split'!L55+'New split'!L56</f>
        <v>372</v>
      </c>
      <c r="M98" s="1273">
        <f>'New (new) quarts'!AZ45+'New (new) quarts'!AZ47+'New (new) quarts'!AZ48</f>
        <v>100</v>
      </c>
      <c r="N98" s="1273">
        <f>'New (new) quarts'!BA45+'New (new) quarts'!BA47+'New (new) quarts'!BA48</f>
        <v>102</v>
      </c>
      <c r="O98" s="1273">
        <f>'New (new) quarts'!BB45+'New (new) quarts'!BB47+'New (new) quarts'!BB48</f>
        <v>101.19999999999999</v>
      </c>
      <c r="P98" s="1273">
        <f>'New (new) quarts'!BC45+'New (new) quarts'!BC47+'New (new) quarts'!BC48</f>
        <v>101.47800000000001</v>
      </c>
      <c r="Q98" s="2538">
        <f>'New split'!M53+'New split'!M55+'New split'!M56</f>
        <v>404.678</v>
      </c>
      <c r="R98" s="1273">
        <f>'New (new) quarts'!BE45+'New (new) quarts'!BE47+'New (new) quarts'!BE48</f>
        <v>104</v>
      </c>
      <c r="S98" s="1273">
        <f>'New (new) quarts'!BF45+'New (new) quarts'!BF47+'New (new) quarts'!BF48</f>
        <v>104</v>
      </c>
      <c r="T98" s="1273">
        <f>'New (new) quarts'!BG45+'New (new) quarts'!BG47+'New (new) quarts'!BG48</f>
        <v>104</v>
      </c>
      <c r="U98" s="1273">
        <f ca="1">'New (new) quarts'!BH45+'New (new) quarts'!BH47+'New (new) quarts'!BH48</f>
        <v>92.677999999999997</v>
      </c>
      <c r="V98" s="2538">
        <f>'New split'!N53+'New split'!N55+'New split'!N56</f>
        <v>102</v>
      </c>
      <c r="W98" s="1273"/>
      <c r="X98" s="1273"/>
      <c r="Y98" s="1273"/>
      <c r="Z98" s="1273"/>
      <c r="AA98" s="1338">
        <f>'New split'!O53+'New split'!O55+'New split'!O56</f>
        <v>443.11046982164078</v>
      </c>
      <c r="AB98" s="1338">
        <f>'New split'!P53+'New split'!P55+'New split'!P56</f>
        <v>445.41525945816159</v>
      </c>
      <c r="AC98" s="1338">
        <f>'New split'!Q53+'New split'!Q55+'New split'!Q56</f>
        <v>447.74264507151099</v>
      </c>
      <c r="AD98" s="2538"/>
      <c r="AE98" s="1515">
        <f>SUM(M98:P98)</f>
        <v>404.678</v>
      </c>
      <c r="AF98" s="1515">
        <f>Q98</f>
        <v>404.678</v>
      </c>
      <c r="AG98" s="1515">
        <f>AE98-AF98</f>
        <v>0</v>
      </c>
      <c r="AH98" s="1504"/>
      <c r="AI98" s="1504">
        <v>103</v>
      </c>
      <c r="AJ98" s="1517"/>
      <c r="AK98" s="1504"/>
      <c r="AL98" s="1504"/>
      <c r="AM98" s="1504"/>
      <c r="AN98" s="1504"/>
      <c r="AO98" s="1504"/>
      <c r="AQ98">
        <v>97</v>
      </c>
      <c r="AS98">
        <f>0.15*34</f>
        <v>5.0999999999999996</v>
      </c>
      <c r="AX98">
        <v>97</v>
      </c>
      <c r="BA98" s="463" t="s">
        <v>7860</v>
      </c>
    </row>
    <row r="99" spans="1:53" ht="15.75">
      <c r="A99" s="2577"/>
      <c r="B99" s="1504" t="s">
        <v>360</v>
      </c>
      <c r="C99" s="1273">
        <f>'New (new) quarts'!AP109+'New (new) quarts'!AP111+'New (new) quarts'!AP112</f>
        <v>36</v>
      </c>
      <c r="D99" s="1273">
        <v>38.218665509501896</v>
      </c>
      <c r="E99" s="1273">
        <v>36.299999999999997</v>
      </c>
      <c r="F99" s="1273">
        <v>37.57709898561189</v>
      </c>
      <c r="G99" s="2538">
        <f>'New split'!K280+'New split'!K282+'New split'!K283</f>
        <v>149</v>
      </c>
      <c r="H99" s="1273">
        <f>'New (new) quarts'!AU109+'New (new) quarts'!AU111+'New (new) quarts'!AU112</f>
        <v>37</v>
      </c>
      <c r="I99" s="1273">
        <f>'New (new) quarts'!AV109+'New (new) quarts'!AV111+'New (new) quarts'!AV112</f>
        <v>39</v>
      </c>
      <c r="J99" s="1273">
        <f>'New (new) quarts'!AW109+'New (new) quarts'!AW111+'New (new) quarts'!AW112</f>
        <v>39</v>
      </c>
      <c r="K99" s="1273">
        <f>'New (new) quarts'!AX109+'New (new) quarts'!AX111+'New (new) quarts'!AX112</f>
        <v>40</v>
      </c>
      <c r="L99" s="2538">
        <f>'New split'!L280+'New split'!L282+'New split'!L283</f>
        <v>155</v>
      </c>
      <c r="M99" s="1273">
        <f>'New (new) quarts'!AZ109+'New (new) quarts'!AZ111+'New (new) quarts'!AZ112</f>
        <v>41</v>
      </c>
      <c r="N99" s="1273">
        <f>'New (new) quarts'!BA109+'New (new) quarts'!BA111+'New (new) quarts'!BA112</f>
        <v>41</v>
      </c>
      <c r="O99" s="1273">
        <f>'New (new) quarts'!BB109+'New (new) quarts'!BB111+'New (new) quarts'!BB112</f>
        <v>43</v>
      </c>
      <c r="P99" s="1273">
        <f>'New (new) quarts'!BC109+'New (new) quarts'!BC111+'New (new) quarts'!BC112</f>
        <v>45.724999999999994</v>
      </c>
      <c r="Q99" s="2538">
        <f>'New split'!M280+'New split'!M282+'New split'!M283</f>
        <v>170.72499999999999</v>
      </c>
      <c r="R99" s="1273">
        <f>'New (new) quarts'!BE109+'New (new) quarts'!BE111+'New (new) quarts'!BE112</f>
        <v>46</v>
      </c>
      <c r="S99" s="1273">
        <f>'New (new) quarts'!BF109+'New (new) quarts'!BF111+'New (new) quarts'!BF112</f>
        <v>46</v>
      </c>
      <c r="T99" s="1273">
        <f>'New (new) quarts'!BG109+'New (new) quarts'!BG111+'New (new) quarts'!BG112</f>
        <v>46</v>
      </c>
      <c r="U99" s="1273">
        <f ca="1">'New (new) quarts'!BH109+'New (new) quarts'!BH111+'New (new) quarts'!BH112</f>
        <v>32.724999999999994</v>
      </c>
      <c r="V99" s="2538">
        <f>'New split'!N280+'New split'!N282+'New split'!N283</f>
        <v>46</v>
      </c>
      <c r="W99" s="1273"/>
      <c r="X99" s="1273"/>
      <c r="Y99" s="1273"/>
      <c r="Z99" s="1273"/>
      <c r="AA99" s="1338">
        <f>'New split'!O280+'New split'!O282+'New split'!O283</f>
        <v>86.054892715700532</v>
      </c>
      <c r="AB99" s="1338">
        <f>'New split'!P280+'New split'!P282+'New split'!P283</f>
        <v>89.613602632524859</v>
      </c>
      <c r="AC99" s="1338">
        <f>'New split'!Q280+'New split'!Q282+'New split'!Q283</f>
        <v>93.205632242782841</v>
      </c>
      <c r="AD99" s="2538"/>
      <c r="AE99" s="1515">
        <f>SUM(M99:P99)</f>
        <v>170.72499999999999</v>
      </c>
      <c r="AF99" s="1515">
        <f>Q99</f>
        <v>170.72499999999999</v>
      </c>
      <c r="AG99" s="1515">
        <f>AE99-AF99</f>
        <v>0</v>
      </c>
      <c r="AH99" s="1504"/>
      <c r="AI99" s="1504">
        <v>42</v>
      </c>
      <c r="AJ99" s="1517"/>
      <c r="AK99" s="1504"/>
      <c r="AL99" s="1504"/>
      <c r="AM99" s="1504"/>
      <c r="AN99" s="1504"/>
      <c r="AO99" s="1504"/>
      <c r="AQ99">
        <v>40</v>
      </c>
      <c r="AR99" s="463" t="s">
        <v>7984</v>
      </c>
      <c r="AX99">
        <v>40</v>
      </c>
    </row>
    <row r="100" spans="1:53" ht="15.75">
      <c r="A100" s="2577"/>
      <c r="B100" s="1504" t="s">
        <v>5045</v>
      </c>
      <c r="C100" s="1312">
        <f>C99/C97</f>
        <v>0.39130434782608697</v>
      </c>
      <c r="D100" s="1312">
        <v>0.40381268899364964</v>
      </c>
      <c r="E100" s="1312">
        <v>0.38130394909164611</v>
      </c>
      <c r="F100" s="1312">
        <v>0.38231778111591136</v>
      </c>
      <c r="G100" s="2539">
        <f t="shared" ref="G100:AA100" si="71">G99/G97</f>
        <v>0.39210526315789473</v>
      </c>
      <c r="H100" s="1312">
        <f t="shared" si="71"/>
        <v>0.38541666666666669</v>
      </c>
      <c r="I100" s="1312">
        <f t="shared" si="71"/>
        <v>0.41052631578947368</v>
      </c>
      <c r="J100" s="1312">
        <f t="shared" si="71"/>
        <v>0.41052631578947368</v>
      </c>
      <c r="K100" s="1312">
        <f t="shared" si="71"/>
        <v>0.40404040404040403</v>
      </c>
      <c r="L100" s="2539">
        <f t="shared" si="71"/>
        <v>0.40259740259740262</v>
      </c>
      <c r="M100" s="1312">
        <f t="shared" si="71"/>
        <v>0.40196078431372551</v>
      </c>
      <c r="N100" s="1312">
        <f t="shared" si="71"/>
        <v>0.39423076923076922</v>
      </c>
      <c r="O100" s="1312">
        <f t="shared" si="71"/>
        <v>0.41346153846153844</v>
      </c>
      <c r="P100" s="1312">
        <f t="shared" si="71"/>
        <v>0.44026035297855742</v>
      </c>
      <c r="Q100" s="2539">
        <f t="shared" si="71"/>
        <v>0.41251972290079469</v>
      </c>
      <c r="R100" s="1312">
        <f t="shared" si="71"/>
        <v>0.44230769230769229</v>
      </c>
      <c r="S100" s="1312">
        <f t="shared" ref="S100" si="72">S99/S97</f>
        <v>0.44230769230769229</v>
      </c>
      <c r="T100" s="1312">
        <f t="shared" ref="T100:U100" si="73">T99/T97</f>
        <v>0.44230769230769229</v>
      </c>
      <c r="U100" s="1312">
        <f t="shared" ca="1" si="73"/>
        <v>0.27639550732718238</v>
      </c>
      <c r="V100" s="2539">
        <f t="shared" si="71"/>
        <v>0.44230769230769229</v>
      </c>
      <c r="W100" s="1312" t="e">
        <f t="shared" ref="W100:Z100" si="74">W99/W96</f>
        <v>#DIV/0!</v>
      </c>
      <c r="X100" s="1312" t="e">
        <f t="shared" si="74"/>
        <v>#DIV/0!</v>
      </c>
      <c r="Y100" s="1312" t="e">
        <f t="shared" si="74"/>
        <v>#DIV/0!</v>
      </c>
      <c r="Z100" s="1312" t="e">
        <f t="shared" si="74"/>
        <v>#DIV/0!</v>
      </c>
      <c r="AA100" s="1339">
        <f t="shared" si="71"/>
        <v>0.38851654646576383</v>
      </c>
      <c r="AB100" s="1339">
        <f t="shared" ref="AB100:AC100" si="75">AB99/AB97</f>
        <v>0.39279016002702394</v>
      </c>
      <c r="AC100" s="1339">
        <f t="shared" si="75"/>
        <v>0.39706947525558184</v>
      </c>
      <c r="AD100" s="2539"/>
      <c r="AE100" s="1515"/>
      <c r="AF100" s="1515"/>
      <c r="AG100" s="1515"/>
      <c r="AH100" s="1504"/>
      <c r="AI100" s="1504"/>
      <c r="AJ100" s="1504"/>
      <c r="AK100" s="1504"/>
      <c r="AL100" s="1504"/>
      <c r="AM100" s="1504"/>
      <c r="AN100" s="1504"/>
      <c r="AO100" s="1504"/>
      <c r="AQ100" s="1346">
        <f>AQ99/AQ97</f>
        <v>0.4</v>
      </c>
      <c r="AR100" s="463" t="s">
        <v>7985</v>
      </c>
      <c r="AX100" s="1311">
        <f>AX99/AX97</f>
        <v>0.4</v>
      </c>
    </row>
    <row r="101" spans="1:53" ht="15.75">
      <c r="A101" s="1504"/>
      <c r="B101" s="1504"/>
      <c r="C101" s="1513"/>
      <c r="D101" s="1513"/>
      <c r="E101" s="1513"/>
      <c r="F101" s="1513"/>
      <c r="G101" s="1519"/>
      <c r="H101" s="1513"/>
      <c r="I101" s="1513"/>
      <c r="J101" s="1513"/>
      <c r="K101" s="1513"/>
      <c r="L101" s="1519"/>
      <c r="M101" s="1513"/>
      <c r="N101" s="1513"/>
      <c r="O101" s="1513"/>
      <c r="P101" s="1513"/>
      <c r="Q101" s="1519"/>
      <c r="R101" s="1513"/>
      <c r="S101" s="1513"/>
      <c r="T101" s="1513"/>
      <c r="U101" s="1513"/>
      <c r="V101" s="1519"/>
      <c r="W101" s="2544"/>
      <c r="X101" s="2544"/>
      <c r="Y101" s="2544"/>
      <c r="Z101" s="2544"/>
      <c r="AA101" s="1519"/>
      <c r="AB101" s="1519"/>
      <c r="AC101" s="1519"/>
      <c r="AD101" s="1519"/>
      <c r="AE101" s="1504"/>
      <c r="AF101" s="1504"/>
      <c r="AG101" s="1504"/>
      <c r="AH101" s="1504"/>
      <c r="AI101" s="1504"/>
      <c r="AJ101" s="1504"/>
      <c r="AK101" s="1504"/>
      <c r="AL101" s="1504"/>
      <c r="AM101" s="1504"/>
      <c r="AN101" s="1504"/>
      <c r="AO101" s="1504"/>
      <c r="AR101" s="463" t="s">
        <v>7986</v>
      </c>
    </row>
    <row r="102" spans="1:53" ht="15.75">
      <c r="A102" s="2572" t="s">
        <v>6506</v>
      </c>
      <c r="B102" s="1504" t="s">
        <v>2218</v>
      </c>
      <c r="C102" s="1273"/>
      <c r="D102" s="1273">
        <v>-5.4617701794319373</v>
      </c>
      <c r="E102" s="1273">
        <v>-5.634353324083861</v>
      </c>
      <c r="F102" s="1273">
        <v>-5.9579352620266945</v>
      </c>
      <c r="G102" s="1515"/>
      <c r="H102" s="1273"/>
      <c r="I102" s="1273"/>
      <c r="J102" s="1273"/>
      <c r="K102" s="1273"/>
      <c r="L102" s="1515"/>
      <c r="M102" s="1273"/>
      <c r="N102" s="1273"/>
      <c r="O102" s="1273"/>
      <c r="P102" s="1273"/>
      <c r="Q102" s="1515"/>
      <c r="R102" s="1273"/>
      <c r="S102" s="1273"/>
      <c r="T102" s="1273"/>
      <c r="U102" s="1273"/>
      <c r="V102" s="1515"/>
      <c r="W102" s="1273">
        <f>'New (new) quarts'!BJ69</f>
        <v>-5</v>
      </c>
      <c r="X102" s="1273">
        <f>'New (new) quarts'!BK69</f>
        <v>-5</v>
      </c>
      <c r="Y102" s="1273">
        <f>'New (new) quarts'!BL69</f>
        <v>-5</v>
      </c>
      <c r="Z102" s="1273">
        <f>'New (new) quarts'!BM69</f>
        <v>-5</v>
      </c>
      <c r="AA102" s="1514">
        <f>'New split'!O76</f>
        <v>-20</v>
      </c>
      <c r="AB102" s="1514">
        <f>'New split'!P34</f>
        <v>-20</v>
      </c>
      <c r="AC102" s="1514">
        <f>'New split'!Q34</f>
        <v>-20</v>
      </c>
      <c r="AD102" s="1515"/>
      <c r="AE102" s="1515">
        <f>SUM(M102:P102)</f>
        <v>0</v>
      </c>
      <c r="AF102" s="1515">
        <f>Q102</f>
        <v>0</v>
      </c>
      <c r="AG102" s="1515">
        <f>AE102-AF102</f>
        <v>0</v>
      </c>
      <c r="AH102" s="1504"/>
      <c r="AI102" s="1504"/>
      <c r="AJ102" s="1504"/>
      <c r="AK102" s="1504"/>
      <c r="AL102" s="1504"/>
      <c r="AM102" s="1504"/>
      <c r="AN102" s="1504"/>
      <c r="AO102" s="1504"/>
    </row>
    <row r="103" spans="1:53" ht="14.25" customHeight="1">
      <c r="A103" s="2572"/>
      <c r="B103" s="1504" t="s">
        <v>360</v>
      </c>
      <c r="C103" s="1273">
        <f>'New (new) quarts'!AP132</f>
        <v>-29</v>
      </c>
      <c r="D103" s="1273">
        <v>-35.153053455614256</v>
      </c>
      <c r="E103" s="1273">
        <v>-29.882996733479899</v>
      </c>
      <c r="F103" s="1273">
        <v>-48.495141096263637</v>
      </c>
      <c r="G103" s="1515">
        <f>'New split'!K315</f>
        <v>-139</v>
      </c>
      <c r="H103" s="1273">
        <f>'New (new) quarts'!AU132</f>
        <v>-36.74</v>
      </c>
      <c r="I103" s="1273">
        <f>'New (new) quarts'!AV132</f>
        <v>-29.386900000000001</v>
      </c>
      <c r="J103" s="1273">
        <f>'New (new) quarts'!AW132</f>
        <v>-40.438400000000001</v>
      </c>
      <c r="K103" s="1273">
        <f>'New (new) quarts'!AX132</f>
        <v>-41.102400000000003</v>
      </c>
      <c r="L103" s="1515">
        <f>'New split'!L315</f>
        <v>-147.66770000000002</v>
      </c>
      <c r="M103" s="1273">
        <f>'New (new) quarts'!AZ132</f>
        <v>-52.597299999999997</v>
      </c>
      <c r="N103" s="1273">
        <f>'New (new) quarts'!BA132</f>
        <v>-54.590499999999999</v>
      </c>
      <c r="O103" s="1273">
        <f>'New (new) quarts'!BB132</f>
        <v>-67.738900000000001</v>
      </c>
      <c r="P103" s="1273">
        <f>'New (new) quarts'!BC132</f>
        <v>-50.567300000000003</v>
      </c>
      <c r="Q103" s="1515">
        <f>'New split'!M315</f>
        <v>-225.49399999999997</v>
      </c>
      <c r="R103" s="1273">
        <f>'New (new) quarts'!BE132</f>
        <v>-36.801400000000001</v>
      </c>
      <c r="S103" s="1273">
        <f>'New (new) quarts'!BF132</f>
        <v>-42.457299999999996</v>
      </c>
      <c r="T103" s="1273">
        <f>'New (new) quarts'!BG132</f>
        <v>-83.773399999999995</v>
      </c>
      <c r="U103" s="1273">
        <f ca="1">'New (new) quarts'!BH132</f>
        <v>-62.461899999999972</v>
      </c>
      <c r="V103" s="1515">
        <f ca="1">'New split'!N315</f>
        <v>-225.49399999999997</v>
      </c>
      <c r="W103" s="1273">
        <f>'New (new) quarts'!BJ132</f>
        <v>-37.5</v>
      </c>
      <c r="X103" s="1273">
        <f>'New (new) quarts'!BK132</f>
        <v>-37.5</v>
      </c>
      <c r="Y103" s="1273">
        <f>'New (new) quarts'!BL132</f>
        <v>-37.5</v>
      </c>
      <c r="Z103" s="1273">
        <f>'New (new) quarts'!BM132</f>
        <v>-37.5</v>
      </c>
      <c r="AA103" s="1514">
        <f>'New split'!O315</f>
        <v>-150</v>
      </c>
      <c r="AB103" s="1514">
        <f>'New split'!P315</f>
        <v>-150</v>
      </c>
      <c r="AC103" s="1514">
        <f>'New split'!Q315</f>
        <v>-150</v>
      </c>
      <c r="AD103" s="1515"/>
      <c r="AE103" s="1515">
        <f>SUM(M103:P103)</f>
        <v>-225.49399999999997</v>
      </c>
      <c r="AF103" s="1515">
        <f>Q103</f>
        <v>-225.49399999999997</v>
      </c>
      <c r="AG103" s="1515">
        <f>AE103-AF103</f>
        <v>0</v>
      </c>
      <c r="AH103" s="1504"/>
      <c r="AI103" s="1504">
        <v>-65</v>
      </c>
      <c r="AJ103" s="1517">
        <f>O103/AI103-1</f>
        <v>4.2136923076923072E-2</v>
      </c>
      <c r="AK103" s="1504"/>
      <c r="AL103" s="1504"/>
      <c r="AM103" s="1504"/>
      <c r="AN103" s="1504"/>
      <c r="AO103" s="1504"/>
      <c r="AQ103">
        <v>-41</v>
      </c>
      <c r="AX103">
        <v>-37</v>
      </c>
    </row>
    <row r="104" spans="1:53" ht="15.75">
      <c r="A104" s="1504"/>
      <c r="B104" s="1504"/>
      <c r="C104" s="1512"/>
      <c r="D104" s="1512"/>
      <c r="E104" s="1512"/>
      <c r="F104" s="1512"/>
      <c r="G104" s="1504"/>
      <c r="H104" s="1512"/>
      <c r="I104" s="1512"/>
      <c r="J104" s="1512"/>
      <c r="K104" s="1512"/>
      <c r="L104" s="1504"/>
      <c r="M104" s="1512"/>
      <c r="N104" s="1512"/>
      <c r="O104" s="1512"/>
      <c r="P104" s="1512"/>
      <c r="Q104" s="1504"/>
      <c r="R104" s="1512"/>
      <c r="S104" s="1512"/>
      <c r="T104" s="1512"/>
      <c r="U104" s="1512"/>
      <c r="V104" s="1504"/>
      <c r="W104" s="1504"/>
      <c r="X104" s="1504"/>
      <c r="Y104" s="1504"/>
      <c r="Z104" s="1504"/>
      <c r="AA104" s="1504"/>
      <c r="AB104" s="1504"/>
      <c r="AC104" s="1504"/>
      <c r="AD104" s="1504"/>
      <c r="AE104" s="1504"/>
      <c r="AF104" s="1504"/>
      <c r="AG104" s="1504"/>
      <c r="AH104" s="1504"/>
      <c r="AI104" s="1504"/>
      <c r="AJ104" s="1504"/>
      <c r="AK104" s="1504"/>
      <c r="AL104" s="1504"/>
      <c r="AM104" s="1504"/>
      <c r="AN104" s="1504"/>
      <c r="AO104" s="1504"/>
    </row>
    <row r="105" spans="1:53" ht="15.75">
      <c r="A105" s="2571" t="s">
        <v>8991</v>
      </c>
      <c r="B105" s="1504" t="s">
        <v>2218</v>
      </c>
      <c r="C105" s="1273"/>
      <c r="D105" s="1273"/>
      <c r="E105" s="1273"/>
      <c r="F105" s="1273"/>
      <c r="G105" s="1515"/>
      <c r="H105" s="1273"/>
      <c r="I105" s="1273"/>
      <c r="J105" s="1273"/>
      <c r="K105" s="1273"/>
      <c r="L105" s="1515"/>
      <c r="M105" s="1273"/>
      <c r="N105" s="1273"/>
      <c r="O105" s="1273"/>
      <c r="P105" s="1273"/>
      <c r="Q105" s="1515"/>
      <c r="R105" s="1273">
        <f>R68+R98</f>
        <v>216.82670000000002</v>
      </c>
      <c r="S105" s="1273">
        <f t="shared" ref="S105:U105" si="76">S68+S98</f>
        <v>217.13580000000002</v>
      </c>
      <c r="T105" s="1273">
        <f t="shared" si="76"/>
        <v>217.32380000000001</v>
      </c>
      <c r="U105" s="1273">
        <f t="shared" ca="1" si="76"/>
        <v>201.4879</v>
      </c>
      <c r="V105" s="1515">
        <f ca="1">SUM(R105:U105)</f>
        <v>852.77419999999995</v>
      </c>
      <c r="W105" s="1273">
        <f>W5-W56-W62-W74-W86-W92-W102</f>
        <v>215.69523978896135</v>
      </c>
      <c r="X105" s="1273">
        <f t="shared" ref="X105:AC105" si="77">X5-X56-X62-X74-X86-X92-X102</f>
        <v>218.66803877200979</v>
      </c>
      <c r="Y105" s="1273">
        <f t="shared" si="77"/>
        <v>219.07128259522614</v>
      </c>
      <c r="Z105" s="1273">
        <f t="shared" si="77"/>
        <v>219.07211058293319</v>
      </c>
      <c r="AA105" s="1514">
        <f t="shared" si="77"/>
        <v>872.50667173913041</v>
      </c>
      <c r="AB105" s="1514">
        <f t="shared" si="77"/>
        <v>877.64293886402402</v>
      </c>
      <c r="AC105" s="1514">
        <f t="shared" si="77"/>
        <v>888.01569416383813</v>
      </c>
      <c r="AD105" s="1515"/>
      <c r="AE105" s="1504"/>
      <c r="AF105" s="1504"/>
      <c r="AG105" s="1504"/>
      <c r="AH105" s="1504"/>
      <c r="AI105" s="1504"/>
      <c r="AJ105" s="1504"/>
      <c r="AK105" s="1504"/>
      <c r="AL105" s="1504"/>
      <c r="AM105" s="1504"/>
      <c r="AN105" s="1504"/>
      <c r="AO105" s="1504"/>
    </row>
    <row r="106" spans="1:53" ht="15.75">
      <c r="A106" s="2571"/>
      <c r="B106" s="1504" t="s">
        <v>360</v>
      </c>
      <c r="C106" s="1273"/>
      <c r="D106" s="1273"/>
      <c r="E106" s="1273"/>
      <c r="F106" s="1273"/>
      <c r="G106" s="1515"/>
      <c r="H106" s="1273"/>
      <c r="I106" s="1273"/>
      <c r="J106" s="1273"/>
      <c r="K106" s="1273"/>
      <c r="L106" s="1515"/>
      <c r="M106" s="1273"/>
      <c r="N106" s="1273"/>
      <c r="O106" s="1273"/>
      <c r="P106" s="1273"/>
      <c r="Q106" s="1515"/>
      <c r="R106" s="1273">
        <f>R70+R99</f>
        <v>98.37700000000001</v>
      </c>
      <c r="S106" s="1273">
        <f t="shared" ref="S106:V106" si="78">S70+S99</f>
        <v>98.986999999999995</v>
      </c>
      <c r="T106" s="1273">
        <f t="shared" si="78"/>
        <v>101.36920000000001</v>
      </c>
      <c r="U106" s="1273">
        <f t="shared" ca="1" si="78"/>
        <v>88.055800000000005</v>
      </c>
      <c r="V106" s="1515">
        <f t="shared" si="78"/>
        <v>262.06400000000002</v>
      </c>
      <c r="W106" s="1273">
        <f>W6-W58-W64-W76-W88-W94-W103</f>
        <v>88</v>
      </c>
      <c r="X106" s="1273">
        <f t="shared" ref="X106:AC106" si="79">X6-X58-X64-X76-X88-X94-X103</f>
        <v>88</v>
      </c>
      <c r="Y106" s="1273">
        <f t="shared" si="79"/>
        <v>88</v>
      </c>
      <c r="Z106" s="1273">
        <f t="shared" si="79"/>
        <v>85.046573764380412</v>
      </c>
      <c r="AA106" s="1514">
        <f t="shared" si="79"/>
        <v>349.04657376438018</v>
      </c>
      <c r="AB106" s="1514">
        <f t="shared" si="79"/>
        <v>306.99640036167131</v>
      </c>
      <c r="AC106" s="1514">
        <f t="shared" si="79"/>
        <v>315.95293765629975</v>
      </c>
      <c r="AD106" s="1515"/>
      <c r="AE106" s="1504"/>
      <c r="AF106" s="1504"/>
      <c r="AG106" s="1504"/>
      <c r="AH106" s="1504"/>
      <c r="AI106" s="1504"/>
      <c r="AJ106" s="1504"/>
      <c r="AK106" s="1504"/>
      <c r="AL106" s="1504"/>
      <c r="AM106" s="1504"/>
      <c r="AN106" s="1504"/>
      <c r="AO106" s="1504"/>
    </row>
    <row r="107" spans="1:53" ht="15.75">
      <c r="A107" s="1520"/>
      <c r="B107" s="1504"/>
      <c r="C107" s="1504"/>
      <c r="D107" s="1504"/>
      <c r="E107" s="1504"/>
      <c r="F107" s="1504"/>
      <c r="G107" s="1504"/>
      <c r="H107" s="1504"/>
      <c r="I107" s="1504"/>
      <c r="J107" s="1504"/>
      <c r="K107" s="1504"/>
      <c r="L107" s="1504"/>
      <c r="M107" s="1504"/>
      <c r="N107" s="1504"/>
      <c r="O107" s="1504"/>
      <c r="P107" s="1504"/>
      <c r="Q107" s="1504"/>
      <c r="R107" s="1504"/>
      <c r="S107" s="1504"/>
      <c r="T107" s="1504"/>
      <c r="U107" s="1504"/>
      <c r="V107" s="1504"/>
      <c r="W107" s="1504"/>
      <c r="X107" s="1504"/>
      <c r="Y107" s="1504"/>
      <c r="Z107" s="1504"/>
      <c r="AA107" s="1504"/>
      <c r="AB107" s="1504"/>
      <c r="AC107" s="1504"/>
      <c r="AD107" s="1504"/>
      <c r="AE107" s="1504"/>
      <c r="AF107" s="1504"/>
      <c r="AG107" s="1504"/>
      <c r="AH107" s="1504"/>
      <c r="AI107" s="1504"/>
      <c r="AJ107" s="1504"/>
      <c r="AK107" s="1504"/>
      <c r="AL107" s="1504"/>
      <c r="AM107" s="1504"/>
      <c r="AN107" s="1504"/>
      <c r="AO107" s="1504"/>
    </row>
    <row r="108" spans="1:53" ht="15.75">
      <c r="A108" s="1520"/>
      <c r="B108" s="1504"/>
      <c r="C108" s="1504"/>
      <c r="D108" s="1504"/>
      <c r="E108" s="1504"/>
      <c r="F108" s="1504"/>
      <c r="G108" s="1504"/>
      <c r="H108" s="1504"/>
      <c r="I108" s="1504"/>
      <c r="J108" s="1504"/>
      <c r="K108" s="1504"/>
      <c r="L108" s="1504"/>
      <c r="M108" s="1504"/>
      <c r="N108" s="1504"/>
      <c r="O108" s="1504"/>
      <c r="P108" s="1504"/>
      <c r="Q108" s="1504"/>
      <c r="R108" s="1504"/>
      <c r="S108" s="1504"/>
      <c r="T108" s="1504"/>
      <c r="U108" s="1504"/>
      <c r="V108" s="1504"/>
      <c r="W108" s="1504"/>
      <c r="X108" s="1504"/>
      <c r="Y108" s="1504"/>
      <c r="Z108" s="1504"/>
      <c r="AA108" s="1504"/>
      <c r="AB108" s="1504"/>
      <c r="AC108" s="1504"/>
      <c r="AD108" s="1504"/>
      <c r="AE108" s="1504"/>
      <c r="AF108" s="1504"/>
      <c r="AG108" s="1504"/>
      <c r="AH108" s="1504"/>
      <c r="AI108" s="1504"/>
      <c r="AJ108" s="1504"/>
      <c r="AK108" s="1504"/>
      <c r="AL108" s="1504"/>
      <c r="AM108" s="1504"/>
      <c r="AN108" s="1504"/>
      <c r="AO108" s="1504"/>
    </row>
    <row r="109" spans="1:53" ht="15.75">
      <c r="A109" s="1520"/>
      <c r="B109" s="1504"/>
      <c r="C109" s="1504"/>
      <c r="D109" s="1504"/>
      <c r="E109" s="1504"/>
      <c r="F109" s="1504"/>
      <c r="G109" s="1504"/>
      <c r="H109" s="1504"/>
      <c r="I109" s="1504"/>
      <c r="J109" s="1504"/>
      <c r="K109" s="1504"/>
      <c r="L109" s="1504"/>
      <c r="M109" s="1504"/>
      <c r="N109" s="1504"/>
      <c r="O109" s="1504"/>
      <c r="P109" s="1504"/>
      <c r="Q109" s="1504"/>
      <c r="R109" s="1504"/>
      <c r="S109" s="1504"/>
      <c r="T109" s="1504"/>
      <c r="U109" s="1504"/>
      <c r="V109" s="1504"/>
      <c r="W109" s="1504"/>
      <c r="X109" s="1504"/>
      <c r="Y109" s="1504"/>
      <c r="Z109" s="1504"/>
      <c r="AA109" s="1504"/>
      <c r="AB109" s="1504"/>
      <c r="AC109" s="1504"/>
      <c r="AD109" s="1504"/>
      <c r="AE109" s="1504"/>
      <c r="AF109" s="1504"/>
      <c r="AG109" s="1504"/>
      <c r="AH109" s="1504"/>
      <c r="AI109" s="1504"/>
      <c r="AJ109" s="1504"/>
      <c r="AK109" s="1504"/>
      <c r="AL109" s="1504"/>
      <c r="AM109" s="1504"/>
      <c r="AN109" s="1504"/>
      <c r="AO109" s="1504"/>
    </row>
    <row r="110" spans="1:53" ht="15.75">
      <c r="A110" s="1504"/>
      <c r="B110" s="1504"/>
      <c r="C110" s="1504"/>
      <c r="D110" s="1504"/>
      <c r="E110" s="1504"/>
      <c r="F110" s="1504"/>
      <c r="G110" s="1504"/>
      <c r="H110" s="1504"/>
      <c r="I110" s="1504"/>
      <c r="J110" s="1504"/>
      <c r="K110" s="1504"/>
      <c r="L110" s="1504"/>
      <c r="M110" s="1504"/>
      <c r="N110" s="1504"/>
      <c r="O110" s="1504"/>
      <c r="P110" s="1504"/>
      <c r="Q110" s="1504"/>
      <c r="R110" s="1504"/>
      <c r="S110" s="1504"/>
      <c r="T110" s="1504"/>
      <c r="U110" s="1504"/>
      <c r="V110" s="1504"/>
      <c r="W110" s="1504"/>
      <c r="X110" s="1504"/>
      <c r="Y110" s="1504"/>
      <c r="Z110" s="1504"/>
      <c r="AA110" s="1504"/>
      <c r="AB110" s="1504"/>
      <c r="AC110" s="1504"/>
      <c r="AD110" s="1504"/>
      <c r="AE110" s="1504"/>
      <c r="AF110" s="1504"/>
      <c r="AG110" s="1504"/>
      <c r="AH110" s="1504"/>
      <c r="AI110" s="1504"/>
      <c r="AJ110" s="1504"/>
      <c r="AK110" s="1504"/>
      <c r="AL110" s="1504"/>
      <c r="AM110" s="1504"/>
      <c r="AN110" s="1504"/>
      <c r="AO110" s="1504"/>
    </row>
    <row r="111" spans="1:53" ht="15.75">
      <c r="A111" s="1504"/>
      <c r="B111" s="1504"/>
      <c r="C111" s="1504"/>
      <c r="D111" s="1504"/>
      <c r="E111" s="1504"/>
      <c r="F111" s="1504"/>
      <c r="G111" s="1504"/>
      <c r="H111" s="1504"/>
      <c r="I111" s="1504"/>
      <c r="J111" s="1504"/>
      <c r="K111" s="1504"/>
      <c r="L111" s="1504"/>
      <c r="M111" s="1504"/>
      <c r="N111" s="1504"/>
      <c r="O111" s="1504"/>
      <c r="P111" s="1504"/>
      <c r="Q111" s="1504"/>
      <c r="R111" s="1504"/>
      <c r="S111" s="1504"/>
      <c r="T111" s="1504"/>
      <c r="U111" s="1504"/>
      <c r="V111" s="1504"/>
      <c r="W111" s="1504"/>
      <c r="X111" s="1504"/>
      <c r="Y111" s="1504"/>
      <c r="Z111" s="1504"/>
      <c r="AA111" s="1504"/>
      <c r="AB111" s="1504"/>
      <c r="AC111" s="1504"/>
      <c r="AD111" s="1504"/>
      <c r="AE111" s="1504"/>
      <c r="AF111" s="1504"/>
      <c r="AG111" s="1504"/>
      <c r="AH111" s="1504"/>
      <c r="AI111" s="1504"/>
      <c r="AJ111" s="1504"/>
      <c r="AK111" s="1504"/>
      <c r="AL111" s="1504"/>
      <c r="AM111" s="1504"/>
      <c r="AN111" s="1504"/>
      <c r="AO111" s="1504"/>
    </row>
    <row r="112" spans="1:53" ht="15.75">
      <c r="A112" s="1504"/>
      <c r="B112" s="1504"/>
      <c r="C112" s="1504"/>
      <c r="D112" s="1504"/>
      <c r="E112" s="1504"/>
      <c r="F112" s="1504"/>
      <c r="G112" s="1504"/>
      <c r="H112" s="1504"/>
      <c r="I112" s="1504"/>
      <c r="J112" s="1504"/>
      <c r="K112" s="1504"/>
      <c r="L112" s="1504"/>
      <c r="M112" s="1504"/>
      <c r="N112" s="1504"/>
      <c r="O112" s="1504"/>
      <c r="P112" s="1504"/>
      <c r="Q112" s="1504"/>
      <c r="R112" s="1504"/>
      <c r="S112" s="1504"/>
      <c r="T112" s="1515"/>
      <c r="U112" s="1515"/>
      <c r="V112" s="1515"/>
      <c r="W112" s="1515">
        <f>W56</f>
        <v>60.709285714285706</v>
      </c>
      <c r="X112" s="1515">
        <f t="shared" ref="X112:AC112" si="80">X56</f>
        <v>60.709285714285706</v>
      </c>
      <c r="Y112" s="1515">
        <f t="shared" si="80"/>
        <v>61.283315642914282</v>
      </c>
      <c r="Z112" s="1515">
        <f t="shared" si="80"/>
        <v>61.981541499942871</v>
      </c>
      <c r="AA112" s="1515">
        <f t="shared" si="80"/>
        <v>244.68342857142858</v>
      </c>
      <c r="AB112" s="1515">
        <f t="shared" si="80"/>
        <v>250.18880571428573</v>
      </c>
      <c r="AC112" s="1515">
        <f t="shared" si="80"/>
        <v>256.44352585714284</v>
      </c>
      <c r="AD112" s="1515"/>
      <c r="AE112" s="1504"/>
      <c r="AF112" s="1504"/>
      <c r="AG112" s="1504"/>
      <c r="AH112" s="1504"/>
      <c r="AI112" s="1504"/>
      <c r="AJ112" s="1504"/>
      <c r="AK112" s="1504"/>
      <c r="AL112" s="1504"/>
      <c r="AM112" s="1504"/>
      <c r="AN112" s="1504"/>
      <c r="AO112" s="1504"/>
    </row>
    <row r="113" spans="1:41" ht="15.75">
      <c r="A113" s="1504"/>
      <c r="B113" s="1504"/>
      <c r="C113" s="1504"/>
      <c r="D113" s="1504"/>
      <c r="E113" s="1504"/>
      <c r="F113" s="1504"/>
      <c r="G113" s="1504"/>
      <c r="H113" s="1504"/>
      <c r="I113" s="1504"/>
      <c r="J113" s="1504"/>
      <c r="K113" s="1504"/>
      <c r="L113" s="1504"/>
      <c r="M113" s="1504"/>
      <c r="N113" s="1504"/>
      <c r="O113" s="1504"/>
      <c r="P113" s="1504"/>
      <c r="Q113" s="1504"/>
      <c r="R113" s="1504"/>
      <c r="S113" s="1504"/>
      <c r="T113" s="1515"/>
      <c r="U113" s="1515"/>
      <c r="V113" s="1515"/>
      <c r="W113" s="1515">
        <f>W58</f>
        <v>25</v>
      </c>
      <c r="X113" s="1515">
        <f t="shared" ref="X113:AC113" si="81">X58</f>
        <v>25</v>
      </c>
      <c r="Y113" s="1515">
        <f t="shared" si="81"/>
        <v>25</v>
      </c>
      <c r="Z113" s="1515">
        <f t="shared" si="81"/>
        <v>30.242540819314286</v>
      </c>
      <c r="AA113" s="1515">
        <f t="shared" si="81"/>
        <v>105.24254081931429</v>
      </c>
      <c r="AB113" s="1515">
        <f t="shared" si="81"/>
        <v>107.3553785963143</v>
      </c>
      <c r="AC113" s="1515">
        <f t="shared" si="81"/>
        <v>111.32865664368205</v>
      </c>
      <c r="AD113" s="1515"/>
      <c r="AE113" s="1504"/>
      <c r="AF113" s="1504"/>
      <c r="AG113" s="1504"/>
      <c r="AH113" s="1504"/>
      <c r="AI113" s="1504"/>
      <c r="AJ113" s="1504"/>
      <c r="AK113" s="1504"/>
      <c r="AL113" s="1504"/>
      <c r="AM113" s="1504"/>
      <c r="AN113" s="1504"/>
      <c r="AO113" s="1504"/>
    </row>
    <row r="114" spans="1:41" ht="15.75">
      <c r="A114" s="1504"/>
      <c r="B114" s="1504"/>
      <c r="C114" s="1504"/>
      <c r="D114" s="1504"/>
      <c r="E114" s="1504"/>
      <c r="F114" s="1504"/>
      <c r="G114" s="1504"/>
      <c r="H114" s="1504"/>
      <c r="I114" s="1504"/>
      <c r="J114" s="1504"/>
      <c r="K114" s="1504"/>
      <c r="L114" s="1504"/>
      <c r="M114" s="1504"/>
      <c r="N114" s="1504"/>
      <c r="O114" s="1504"/>
      <c r="P114" s="1504"/>
      <c r="Q114" s="1504"/>
      <c r="R114" s="1504"/>
      <c r="S114" s="1504"/>
      <c r="T114" s="1504"/>
      <c r="U114" s="1504"/>
      <c r="V114" s="1504"/>
      <c r="W114" s="1504"/>
      <c r="X114" s="1504"/>
      <c r="Y114" s="1504"/>
      <c r="Z114" s="1504"/>
      <c r="AA114" s="1504"/>
      <c r="AB114" s="1504"/>
      <c r="AC114" s="1504"/>
      <c r="AD114" s="1504"/>
      <c r="AE114" s="1504"/>
      <c r="AF114" s="1504"/>
      <c r="AG114" s="1504"/>
      <c r="AH114" s="1504"/>
      <c r="AI114" s="1504"/>
      <c r="AJ114" s="1504"/>
      <c r="AK114" s="1504"/>
      <c r="AL114" s="1504"/>
      <c r="AM114" s="1504"/>
      <c r="AN114" s="1504"/>
      <c r="AO114" s="1504"/>
    </row>
    <row r="115" spans="1:41" ht="15.75">
      <c r="A115" s="1504"/>
      <c r="B115" s="1504"/>
      <c r="C115" s="1504"/>
      <c r="D115" s="1504"/>
      <c r="E115" s="1504"/>
      <c r="F115" s="1504"/>
      <c r="G115" s="1504"/>
      <c r="H115" s="1504"/>
      <c r="I115" s="1504"/>
      <c r="J115" s="1504"/>
      <c r="K115" s="1504"/>
      <c r="L115" s="1504"/>
      <c r="M115" s="1504"/>
      <c r="N115" s="1504"/>
      <c r="O115" s="1504"/>
      <c r="P115" s="1504"/>
      <c r="Q115" s="1504"/>
      <c r="R115" s="1504"/>
      <c r="S115" s="1504"/>
      <c r="T115" s="1515"/>
      <c r="U115" s="1515"/>
      <c r="V115" s="1515"/>
      <c r="W115" s="1515">
        <f>W62</f>
        <v>330.03356320481925</v>
      </c>
      <c r="X115" s="1515">
        <f t="shared" ref="X115:AC115" si="82">X62</f>
        <v>335.5628381927711</v>
      </c>
      <c r="Y115" s="1515">
        <f t="shared" si="82"/>
        <v>338.17355731119039</v>
      </c>
      <c r="Z115" s="1515">
        <f t="shared" si="82"/>
        <v>342.48064370085785</v>
      </c>
      <c r="AA115" s="1515">
        <f t="shared" si="82"/>
        <v>1346.2506024096385</v>
      </c>
      <c r="AB115" s="1515">
        <f t="shared" si="82"/>
        <v>1352.8498700685091</v>
      </c>
      <c r="AC115" s="1515">
        <f t="shared" si="82"/>
        <v>1366.113104088789</v>
      </c>
      <c r="AD115" s="1515"/>
      <c r="AE115" s="1504"/>
      <c r="AF115" s="1504"/>
      <c r="AG115" s="1504"/>
      <c r="AH115" s="1504"/>
      <c r="AI115" s="1504"/>
      <c r="AJ115" s="1504"/>
      <c r="AK115" s="1504"/>
      <c r="AL115" s="1504"/>
      <c r="AM115" s="1504"/>
      <c r="AN115" s="1504"/>
      <c r="AO115" s="1504"/>
    </row>
    <row r="116" spans="1:41" ht="15.75">
      <c r="A116" s="1504"/>
      <c r="B116" s="1504"/>
      <c r="C116" s="1504"/>
      <c r="D116" s="1504"/>
      <c r="E116" s="1504"/>
      <c r="F116" s="1504"/>
      <c r="G116" s="1504"/>
      <c r="H116" s="1504"/>
      <c r="I116" s="1504"/>
      <c r="J116" s="1504"/>
      <c r="K116" s="1504"/>
      <c r="L116" s="1504"/>
      <c r="M116" s="1504"/>
      <c r="N116" s="1504"/>
      <c r="O116" s="1504"/>
      <c r="P116" s="1504"/>
      <c r="Q116" s="1504"/>
      <c r="R116" s="1504"/>
      <c r="S116" s="1504"/>
      <c r="T116" s="1515"/>
      <c r="U116" s="1515"/>
      <c r="V116" s="1515"/>
      <c r="W116" s="1515">
        <f>W64</f>
        <v>135</v>
      </c>
      <c r="X116" s="1515">
        <f t="shared" ref="X116:AC116" si="83">X64</f>
        <v>145</v>
      </c>
      <c r="Y116" s="1515">
        <f t="shared" si="83"/>
        <v>140</v>
      </c>
      <c r="Z116" s="1515">
        <f t="shared" si="83"/>
        <v>133.31477533108443</v>
      </c>
      <c r="AA116" s="1515">
        <f t="shared" si="83"/>
        <v>553.31477533108443</v>
      </c>
      <c r="AB116" s="1515">
        <f t="shared" si="83"/>
        <v>569.85334445449837</v>
      </c>
      <c r="AC116" s="1515">
        <f t="shared" si="83"/>
        <v>582.3070176028474</v>
      </c>
      <c r="AD116" s="1515"/>
      <c r="AE116" s="1504"/>
      <c r="AF116" s="1504"/>
      <c r="AG116" s="1504"/>
      <c r="AH116" s="1504"/>
      <c r="AI116" s="1504"/>
      <c r="AJ116" s="1504"/>
      <c r="AK116" s="1504"/>
      <c r="AL116" s="1504"/>
      <c r="AM116" s="1504"/>
      <c r="AN116" s="1504"/>
      <c r="AO116" s="1504"/>
    </row>
    <row r="117" spans="1:41" ht="15.75">
      <c r="A117" s="1504"/>
      <c r="B117" s="1504"/>
      <c r="C117" s="1504"/>
      <c r="D117" s="1504"/>
      <c r="E117" s="1504"/>
      <c r="F117" s="1504"/>
      <c r="G117" s="1504"/>
      <c r="H117" s="1504"/>
      <c r="I117" s="1504"/>
      <c r="J117" s="1504"/>
      <c r="K117" s="1504"/>
      <c r="L117" s="1504"/>
      <c r="M117" s="1504"/>
      <c r="N117" s="1504"/>
      <c r="O117" s="1504"/>
      <c r="P117" s="1504"/>
      <c r="Q117" s="1504"/>
      <c r="R117" s="1504"/>
      <c r="S117" s="1504"/>
      <c r="T117" s="1504"/>
      <c r="U117" s="1504"/>
      <c r="V117" s="1504"/>
      <c r="W117" s="1504"/>
      <c r="X117" s="1504"/>
      <c r="Y117" s="1504"/>
      <c r="Z117" s="1504"/>
      <c r="AA117" s="1504"/>
      <c r="AB117" s="1504"/>
      <c r="AC117" s="1504"/>
      <c r="AD117" s="1504"/>
      <c r="AE117" s="1504"/>
      <c r="AF117" s="1504"/>
      <c r="AG117" s="1504"/>
      <c r="AH117" s="1504"/>
      <c r="AI117" s="1504"/>
      <c r="AJ117" s="1504"/>
      <c r="AK117" s="1504"/>
      <c r="AL117" s="1504"/>
      <c r="AM117" s="1504"/>
      <c r="AN117" s="1504"/>
      <c r="AO117" s="1504"/>
    </row>
    <row r="118" spans="1:41" ht="15.75">
      <c r="A118" s="1504"/>
      <c r="B118" s="1504"/>
      <c r="C118" s="1504"/>
      <c r="D118" s="1504"/>
      <c r="E118" s="1504"/>
      <c r="F118" s="1504"/>
      <c r="G118" s="1504"/>
      <c r="H118" s="1504"/>
      <c r="I118" s="1504"/>
      <c r="J118" s="1504"/>
      <c r="K118" s="1504"/>
      <c r="L118" s="1504"/>
      <c r="M118" s="1504"/>
      <c r="N118" s="1504"/>
      <c r="O118" s="1504"/>
      <c r="P118" s="1504"/>
      <c r="Q118" s="1504"/>
      <c r="R118" s="1504"/>
      <c r="S118" s="1504"/>
      <c r="T118" s="1504"/>
      <c r="U118" s="1504"/>
      <c r="V118" s="1504"/>
      <c r="W118" s="1515">
        <f>W74</f>
        <v>354.10656489599995</v>
      </c>
      <c r="X118" s="1515">
        <f t="shared" ref="X118:AC118" si="84">X74</f>
        <v>359.24765250269991</v>
      </c>
      <c r="Y118" s="1515">
        <f t="shared" si="84"/>
        <v>360.04326069974024</v>
      </c>
      <c r="Z118" s="1515">
        <f t="shared" si="84"/>
        <v>364.7347296937678</v>
      </c>
      <c r="AA118" s="1515">
        <f t="shared" si="84"/>
        <v>1438.1322077922077</v>
      </c>
      <c r="AB118" s="1515">
        <f t="shared" si="84"/>
        <v>1459.4906069178346</v>
      </c>
      <c r="AC118" s="1515">
        <f t="shared" si="84"/>
        <v>1481.1662099908715</v>
      </c>
      <c r="AD118" s="1504"/>
      <c r="AE118" s="1504"/>
      <c r="AF118" s="1504"/>
      <c r="AG118" s="1504"/>
      <c r="AH118" s="1504"/>
      <c r="AI118" s="1504"/>
      <c r="AJ118" s="1504"/>
      <c r="AK118" s="1504"/>
      <c r="AL118" s="1504"/>
      <c r="AM118" s="1504"/>
      <c r="AN118" s="1504"/>
      <c r="AO118" s="1504"/>
    </row>
    <row r="119" spans="1:41" ht="15.75">
      <c r="A119" s="1504"/>
      <c r="B119" s="1504"/>
      <c r="C119" s="1504"/>
      <c r="D119" s="1504"/>
      <c r="E119" s="1504"/>
      <c r="F119" s="1504"/>
      <c r="G119" s="1504"/>
      <c r="H119" s="1504"/>
      <c r="I119" s="1504"/>
      <c r="J119" s="1504"/>
      <c r="K119" s="1504"/>
      <c r="L119" s="1504"/>
      <c r="M119" s="1504"/>
      <c r="N119" s="1504"/>
      <c r="O119" s="1504"/>
      <c r="P119" s="1504"/>
      <c r="Q119" s="1504"/>
      <c r="R119" s="1504"/>
      <c r="S119" s="1504"/>
      <c r="T119" s="1504"/>
      <c r="U119" s="1504"/>
      <c r="V119" s="1504"/>
      <c r="W119" s="1515">
        <f>W76</f>
        <v>220</v>
      </c>
      <c r="X119" s="1515">
        <f t="shared" ref="X119:AC119" si="85">X76</f>
        <v>225</v>
      </c>
      <c r="Y119" s="1515">
        <f t="shared" si="85"/>
        <v>230</v>
      </c>
      <c r="Z119" s="1515">
        <f t="shared" si="85"/>
        <v>217.28999608924687</v>
      </c>
      <c r="AA119" s="1515">
        <f t="shared" si="85"/>
        <v>892.28999608924687</v>
      </c>
      <c r="AB119" s="1515">
        <f t="shared" si="85"/>
        <v>909.15873393353195</v>
      </c>
      <c r="AC119" s="1515">
        <f t="shared" si="85"/>
        <v>926.32919359673224</v>
      </c>
      <c r="AD119" s="1504"/>
      <c r="AE119" s="1504"/>
      <c r="AF119" s="1504"/>
      <c r="AG119" s="1504"/>
      <c r="AH119" s="1504"/>
      <c r="AI119" s="1504"/>
      <c r="AJ119" s="1504"/>
      <c r="AK119" s="1504"/>
      <c r="AL119" s="1504"/>
      <c r="AM119" s="1504"/>
      <c r="AN119" s="1504"/>
      <c r="AO119" s="1504"/>
    </row>
    <row r="120" spans="1:41" ht="15.75">
      <c r="A120" s="1504"/>
      <c r="B120" s="1504"/>
      <c r="C120" s="1504"/>
      <c r="D120" s="1504"/>
      <c r="E120" s="1504"/>
      <c r="F120" s="1504"/>
      <c r="G120" s="1504"/>
      <c r="H120" s="1504"/>
      <c r="I120" s="1504"/>
      <c r="J120" s="1504"/>
      <c r="K120" s="1504"/>
      <c r="L120" s="1504"/>
      <c r="M120" s="1504"/>
      <c r="N120" s="1504"/>
      <c r="O120" s="1504"/>
      <c r="P120" s="1504"/>
      <c r="Q120" s="1504"/>
      <c r="R120" s="1504"/>
      <c r="S120" s="1504"/>
      <c r="T120" s="1504"/>
      <c r="U120" s="1504"/>
      <c r="V120" s="1504"/>
      <c r="W120" s="1504"/>
      <c r="X120" s="1504"/>
      <c r="Y120" s="1504"/>
      <c r="Z120" s="1504"/>
      <c r="AA120" s="1504"/>
      <c r="AB120" s="1504"/>
      <c r="AC120" s="1504"/>
      <c r="AD120" s="1504"/>
      <c r="AE120" s="1504"/>
      <c r="AF120" s="1504"/>
      <c r="AG120" s="1504"/>
      <c r="AH120" s="1504"/>
      <c r="AI120" s="1504"/>
      <c r="AJ120" s="1504"/>
      <c r="AK120" s="1504"/>
      <c r="AL120" s="1504"/>
      <c r="AM120" s="1504"/>
      <c r="AN120" s="1504"/>
      <c r="AO120" s="1504"/>
    </row>
    <row r="121" spans="1:41" ht="15.75">
      <c r="A121" s="1504"/>
      <c r="B121" s="1504"/>
      <c r="C121" s="1504"/>
      <c r="D121" s="1504"/>
      <c r="E121" s="1504"/>
      <c r="F121" s="1504"/>
      <c r="G121" s="1504"/>
      <c r="H121" s="1504"/>
      <c r="I121" s="1504"/>
      <c r="J121" s="1504"/>
      <c r="K121" s="1504"/>
      <c r="L121" s="1504"/>
      <c r="M121" s="1504"/>
      <c r="N121" s="1504"/>
      <c r="O121" s="1504"/>
      <c r="P121" s="1504"/>
      <c r="Q121" s="1504"/>
      <c r="R121" s="1504"/>
      <c r="S121" s="1504"/>
      <c r="T121" s="1504"/>
      <c r="U121" s="1504"/>
      <c r="V121" s="1504"/>
      <c r="W121" s="1515">
        <f>W86</f>
        <v>173.79728399999999</v>
      </c>
      <c r="X121" s="1515">
        <f t="shared" ref="X121:AC121" si="86">X86</f>
        <v>177.98456000000002</v>
      </c>
      <c r="Y121" s="1515">
        <f t="shared" si="86"/>
        <v>178.05280500000001</v>
      </c>
      <c r="Z121" s="1515">
        <f t="shared" si="86"/>
        <v>201.66535100000002</v>
      </c>
      <c r="AA121" s="1515">
        <f t="shared" si="86"/>
        <v>731.5</v>
      </c>
      <c r="AB121" s="1515">
        <f t="shared" si="86"/>
        <v>762.58875</v>
      </c>
      <c r="AC121" s="1515">
        <f t="shared" si="86"/>
        <v>793.09230000000002</v>
      </c>
      <c r="AD121" s="1504"/>
      <c r="AE121" s="1504"/>
      <c r="AF121" s="1504"/>
      <c r="AG121" s="1504"/>
      <c r="AH121" s="1504"/>
      <c r="AI121" s="1504"/>
      <c r="AJ121" s="1504"/>
      <c r="AK121" s="1504"/>
      <c r="AL121" s="1504"/>
      <c r="AM121" s="1504"/>
      <c r="AN121" s="1504"/>
      <c r="AO121" s="1504"/>
    </row>
    <row r="122" spans="1:41" ht="15.75">
      <c r="A122" s="1504"/>
      <c r="B122" s="1504"/>
      <c r="C122" s="1504"/>
      <c r="D122" s="1504"/>
      <c r="E122" s="1504"/>
      <c r="F122" s="1504"/>
      <c r="G122" s="1504"/>
      <c r="H122" s="1504"/>
      <c r="I122" s="1504"/>
      <c r="J122" s="1504"/>
      <c r="K122" s="1504"/>
      <c r="L122" s="1504"/>
      <c r="M122" s="1504"/>
      <c r="N122" s="1504"/>
      <c r="O122" s="1504"/>
      <c r="P122" s="1504"/>
      <c r="Q122" s="1504"/>
      <c r="R122" s="1504"/>
      <c r="S122" s="1504"/>
      <c r="T122" s="1504"/>
      <c r="U122" s="1504"/>
      <c r="V122" s="1504"/>
      <c r="W122" s="1515">
        <f>W88</f>
        <v>92</v>
      </c>
      <c r="X122" s="1515">
        <f t="shared" ref="X122:AC122" si="87">X88</f>
        <v>92</v>
      </c>
      <c r="Y122" s="1515">
        <f t="shared" si="87"/>
        <v>92</v>
      </c>
      <c r="Z122" s="1515">
        <f t="shared" si="87"/>
        <v>93.926801000000012</v>
      </c>
      <c r="AA122" s="1515">
        <f t="shared" si="87"/>
        <v>369.92680100000001</v>
      </c>
      <c r="AB122" s="1515">
        <f t="shared" si="87"/>
        <v>387.10914606000006</v>
      </c>
      <c r="AC122" s="1515">
        <f t="shared" si="87"/>
        <v>404.18508257700006</v>
      </c>
      <c r="AD122" s="1504"/>
      <c r="AE122" s="1504"/>
      <c r="AF122" s="1504"/>
      <c r="AG122" s="1504"/>
      <c r="AH122" s="1504"/>
      <c r="AI122" s="1504"/>
      <c r="AJ122" s="1504"/>
      <c r="AK122" s="1504"/>
      <c r="AL122" s="1504"/>
      <c r="AM122" s="1504"/>
      <c r="AN122" s="1504"/>
      <c r="AO122" s="1504"/>
    </row>
    <row r="123" spans="1:41" ht="15.75">
      <c r="A123" s="1504"/>
      <c r="B123" s="1504"/>
      <c r="C123" s="1504"/>
      <c r="D123" s="1504"/>
      <c r="E123" s="1504"/>
      <c r="F123" s="1504"/>
      <c r="G123" s="1504"/>
      <c r="H123" s="1504"/>
      <c r="I123" s="1504"/>
      <c r="J123" s="1504"/>
      <c r="K123" s="1504"/>
      <c r="L123" s="1504"/>
      <c r="M123" s="1504"/>
      <c r="N123" s="1504"/>
      <c r="O123" s="1504"/>
      <c r="P123" s="1504"/>
      <c r="Q123" s="1504"/>
      <c r="R123" s="1504"/>
      <c r="S123" s="1504"/>
      <c r="T123" s="1504"/>
      <c r="U123" s="1504"/>
      <c r="V123" s="1504"/>
      <c r="W123" s="1504"/>
      <c r="X123" s="1504"/>
      <c r="Y123" s="1504"/>
      <c r="Z123" s="1504"/>
      <c r="AA123" s="1504"/>
      <c r="AB123" s="1504"/>
      <c r="AC123" s="1504"/>
      <c r="AD123" s="1504"/>
      <c r="AE123" s="1504"/>
      <c r="AF123" s="1504"/>
      <c r="AG123" s="1504"/>
      <c r="AH123" s="1504"/>
      <c r="AI123" s="1504"/>
      <c r="AJ123" s="1504"/>
      <c r="AK123" s="1504"/>
      <c r="AL123" s="1504"/>
      <c r="AM123" s="1504"/>
      <c r="AN123" s="1504"/>
      <c r="AO123" s="1504"/>
    </row>
    <row r="124" spans="1:41" ht="15.75">
      <c r="A124" s="1504"/>
      <c r="B124" s="1504"/>
      <c r="C124" s="1504"/>
      <c r="D124" s="1504"/>
      <c r="E124" s="1504"/>
      <c r="F124" s="1504"/>
      <c r="G124" s="1504"/>
      <c r="H124" s="1504"/>
      <c r="I124" s="1504"/>
      <c r="J124" s="1504"/>
      <c r="K124" s="1504"/>
      <c r="L124" s="1504"/>
      <c r="M124" s="1504"/>
      <c r="N124" s="1504"/>
      <c r="O124" s="1504"/>
      <c r="P124" s="1504"/>
      <c r="Q124" s="1504"/>
      <c r="R124" s="1504"/>
      <c r="S124" s="1504"/>
      <c r="T124" s="1504"/>
      <c r="U124" s="1504"/>
      <c r="V124" s="1504"/>
      <c r="W124" s="1515">
        <f>W92</f>
        <v>130.67272740189875</v>
      </c>
      <c r="X124" s="1515">
        <f t="shared" ref="X124:AC124" si="88">X92</f>
        <v>130.25482933544302</v>
      </c>
      <c r="Y124" s="1515">
        <f t="shared" si="88"/>
        <v>131.43671656890189</v>
      </c>
      <c r="Z124" s="1515">
        <f t="shared" si="88"/>
        <v>135.58256213679431</v>
      </c>
      <c r="AA124" s="1515">
        <f t="shared" si="88"/>
        <v>527.94683544303791</v>
      </c>
      <c r="AB124" s="1515">
        <f t="shared" si="88"/>
        <v>533.12278481012663</v>
      </c>
      <c r="AC124" s="1515">
        <f t="shared" si="88"/>
        <v>540.96282576321664</v>
      </c>
      <c r="AD124" s="1504"/>
      <c r="AE124" s="1504"/>
      <c r="AF124" s="1504"/>
      <c r="AG124" s="1504"/>
      <c r="AH124" s="1504"/>
      <c r="AI124" s="1504"/>
      <c r="AJ124" s="1504"/>
      <c r="AK124" s="1504"/>
      <c r="AL124" s="1504"/>
      <c r="AM124" s="1504"/>
      <c r="AN124" s="1504"/>
      <c r="AO124" s="1504"/>
    </row>
    <row r="125" spans="1:41" ht="15.75">
      <c r="A125" s="1504"/>
      <c r="B125" s="1504"/>
      <c r="C125" s="1504"/>
      <c r="D125" s="1504"/>
      <c r="E125" s="1504"/>
      <c r="F125" s="1504"/>
      <c r="G125" s="1504"/>
      <c r="H125" s="1504"/>
      <c r="I125" s="1504"/>
      <c r="J125" s="1504"/>
      <c r="K125" s="1504"/>
      <c r="L125" s="1504"/>
      <c r="M125" s="1504"/>
      <c r="N125" s="1504"/>
      <c r="O125" s="1504"/>
      <c r="P125" s="1504"/>
      <c r="Q125" s="1504"/>
      <c r="R125" s="1504"/>
      <c r="S125" s="1504"/>
      <c r="T125" s="1504"/>
      <c r="U125" s="1504"/>
      <c r="V125" s="1504"/>
      <c r="W125" s="1515">
        <f>W94</f>
        <v>65</v>
      </c>
      <c r="X125" s="1515">
        <f t="shared" ref="X125:AC125" si="89">X94</f>
        <v>65</v>
      </c>
      <c r="Y125" s="1515">
        <f t="shared" si="89"/>
        <v>65</v>
      </c>
      <c r="Z125" s="1515">
        <f t="shared" si="89"/>
        <v>66.864732910644989</v>
      </c>
      <c r="AA125" s="1515">
        <f t="shared" si="89"/>
        <v>261.86473291064499</v>
      </c>
      <c r="AB125" s="1515">
        <f t="shared" si="89"/>
        <v>265.72599880294382</v>
      </c>
      <c r="AC125" s="1515">
        <f t="shared" si="89"/>
        <v>270.90521916749321</v>
      </c>
      <c r="AD125" s="1504"/>
      <c r="AE125" s="1504"/>
      <c r="AF125" s="1504"/>
      <c r="AG125" s="1504"/>
      <c r="AH125" s="1504"/>
      <c r="AI125" s="1504"/>
      <c r="AJ125" s="1504"/>
      <c r="AK125" s="1504"/>
      <c r="AL125" s="1504"/>
      <c r="AM125" s="1504"/>
      <c r="AN125" s="1504"/>
      <c r="AO125" s="1504"/>
    </row>
    <row r="126" spans="1:41" ht="15.75">
      <c r="A126" s="1504"/>
      <c r="B126" s="1504"/>
      <c r="C126" s="1504"/>
      <c r="D126" s="1504"/>
      <c r="E126" s="1504"/>
      <c r="F126" s="1504"/>
      <c r="G126" s="1504"/>
      <c r="H126" s="1504"/>
      <c r="I126" s="1504"/>
      <c r="J126" s="1504"/>
      <c r="K126" s="1504"/>
      <c r="L126" s="1504"/>
      <c r="M126" s="1504"/>
      <c r="N126" s="1504"/>
      <c r="O126" s="1504"/>
      <c r="P126" s="1504"/>
      <c r="Q126" s="1504"/>
      <c r="R126" s="1504"/>
      <c r="S126" s="1504"/>
      <c r="T126" s="1504"/>
      <c r="U126" s="1504"/>
      <c r="V126" s="1504"/>
      <c r="W126" s="1504"/>
      <c r="X126" s="1504"/>
      <c r="Y126" s="1504"/>
      <c r="Z126" s="1504"/>
      <c r="AA126" s="1504"/>
      <c r="AB126" s="1504"/>
      <c r="AC126" s="1504"/>
      <c r="AD126" s="1504"/>
      <c r="AE126" s="1504"/>
      <c r="AF126" s="1504"/>
      <c r="AG126" s="1504"/>
      <c r="AH126" s="1504"/>
      <c r="AI126" s="1504"/>
      <c r="AJ126" s="1504"/>
      <c r="AK126" s="1504"/>
      <c r="AL126" s="1504"/>
      <c r="AM126" s="1504"/>
      <c r="AN126" s="1504"/>
      <c r="AO126" s="1504"/>
    </row>
    <row r="127" spans="1:41" ht="15.75">
      <c r="A127" s="1504"/>
      <c r="B127" s="1504"/>
      <c r="C127" s="1504"/>
      <c r="D127" s="1504"/>
      <c r="E127" s="1504"/>
      <c r="F127" s="1504"/>
      <c r="G127" s="1504"/>
      <c r="H127" s="1504"/>
      <c r="I127" s="1504"/>
      <c r="J127" s="1504"/>
      <c r="K127" s="1504"/>
      <c r="L127" s="1504"/>
      <c r="M127" s="1504"/>
      <c r="N127" s="1504"/>
      <c r="O127" s="1504"/>
      <c r="P127" s="1504"/>
      <c r="Q127" s="1504"/>
      <c r="R127" s="1504"/>
      <c r="S127" s="1504"/>
      <c r="T127" s="1504"/>
      <c r="U127" s="1504"/>
      <c r="V127" s="1504"/>
      <c r="W127" s="1515">
        <f>W105</f>
        <v>215.69523978896135</v>
      </c>
      <c r="X127" s="1515">
        <f t="shared" ref="X127:AC127" si="90">X105</f>
        <v>218.66803877200979</v>
      </c>
      <c r="Y127" s="1515">
        <f t="shared" si="90"/>
        <v>219.07128259522614</v>
      </c>
      <c r="Z127" s="1515">
        <f t="shared" si="90"/>
        <v>219.07211058293319</v>
      </c>
      <c r="AA127" s="1515">
        <f t="shared" si="90"/>
        <v>872.50667173913041</v>
      </c>
      <c r="AB127" s="1515">
        <f t="shared" si="90"/>
        <v>877.64293886402402</v>
      </c>
      <c r="AC127" s="1515">
        <f t="shared" si="90"/>
        <v>888.01569416383813</v>
      </c>
      <c r="AD127" s="1504"/>
      <c r="AE127" s="1504"/>
      <c r="AF127" s="1504"/>
      <c r="AG127" s="1504"/>
      <c r="AH127" s="1504"/>
      <c r="AI127" s="1504"/>
      <c r="AJ127" s="1504"/>
      <c r="AK127" s="1504"/>
      <c r="AL127" s="1504"/>
      <c r="AM127" s="1504"/>
      <c r="AN127" s="1504"/>
      <c r="AO127" s="1504"/>
    </row>
    <row r="128" spans="1:41" ht="15.75">
      <c r="A128" s="1504"/>
      <c r="B128" s="1504"/>
      <c r="C128" s="1504"/>
      <c r="D128" s="1504"/>
      <c r="E128" s="1504"/>
      <c r="F128" s="1504"/>
      <c r="G128" s="1504"/>
      <c r="H128" s="1504"/>
      <c r="I128" s="1504"/>
      <c r="J128" s="1504"/>
      <c r="K128" s="1504"/>
      <c r="L128" s="1504"/>
      <c r="M128" s="1504"/>
      <c r="N128" s="1504"/>
      <c r="O128" s="1504"/>
      <c r="P128" s="1504"/>
      <c r="Q128" s="1504"/>
      <c r="R128" s="1504"/>
      <c r="S128" s="1504"/>
      <c r="T128" s="1504"/>
      <c r="U128" s="1504"/>
      <c r="V128" s="1504"/>
      <c r="W128" s="1515">
        <f>W106</f>
        <v>88</v>
      </c>
      <c r="X128" s="1515">
        <f t="shared" ref="X128:AC128" si="91">X106</f>
        <v>88</v>
      </c>
      <c r="Y128" s="1515">
        <f t="shared" si="91"/>
        <v>88</v>
      </c>
      <c r="Z128" s="1515">
        <f t="shared" si="91"/>
        <v>85.046573764380412</v>
      </c>
      <c r="AA128" s="1515">
        <f t="shared" si="91"/>
        <v>349.04657376438018</v>
      </c>
      <c r="AB128" s="1515">
        <f t="shared" si="91"/>
        <v>306.99640036167131</v>
      </c>
      <c r="AC128" s="1515">
        <f t="shared" si="91"/>
        <v>315.95293765629975</v>
      </c>
      <c r="AD128" s="1504"/>
      <c r="AE128" s="1504"/>
      <c r="AF128" s="1504"/>
      <c r="AG128" s="1504"/>
      <c r="AH128" s="1504"/>
      <c r="AI128" s="1504"/>
      <c r="AJ128" s="1504"/>
      <c r="AK128" s="1504"/>
      <c r="AL128" s="1504"/>
      <c r="AM128" s="1504"/>
      <c r="AN128" s="1504"/>
      <c r="AO128" s="1504"/>
    </row>
    <row r="129" spans="1:41" ht="15.75">
      <c r="A129" s="1504"/>
      <c r="B129" s="1504"/>
      <c r="C129" s="1504"/>
      <c r="D129" s="1504"/>
      <c r="E129" s="1504"/>
      <c r="F129" s="1504"/>
      <c r="G129" s="1504"/>
      <c r="H129" s="1504"/>
      <c r="I129" s="1504"/>
      <c r="J129" s="1504"/>
      <c r="K129" s="1504"/>
      <c r="L129" s="1504"/>
      <c r="M129" s="1504"/>
      <c r="N129" s="1504"/>
      <c r="O129" s="1504"/>
      <c r="P129" s="1504"/>
      <c r="Q129" s="1504"/>
      <c r="R129" s="1504"/>
      <c r="S129" s="1504"/>
      <c r="T129" s="1504"/>
      <c r="U129" s="1504"/>
      <c r="V129" s="1504"/>
      <c r="W129" s="1504"/>
      <c r="X129" s="1504"/>
      <c r="Y129" s="1504"/>
      <c r="Z129" s="1504"/>
      <c r="AA129" s="1504"/>
      <c r="AB129" s="1504"/>
      <c r="AC129" s="1504"/>
      <c r="AD129" s="1504"/>
      <c r="AE129" s="1504"/>
      <c r="AF129" s="1504"/>
      <c r="AG129" s="1504"/>
      <c r="AH129" s="1504"/>
      <c r="AI129" s="1504"/>
      <c r="AJ129" s="1504"/>
      <c r="AK129" s="1504"/>
      <c r="AL129" s="1504"/>
      <c r="AM129" s="1504"/>
      <c r="AN129" s="1504"/>
      <c r="AO129" s="1504"/>
    </row>
    <row r="130" spans="1:41" ht="15.75">
      <c r="A130" s="1504"/>
      <c r="B130" s="1504"/>
      <c r="C130" s="1504"/>
      <c r="D130" s="1504"/>
      <c r="E130" s="1504"/>
      <c r="F130" s="1504"/>
      <c r="G130" s="1504"/>
      <c r="H130" s="1504"/>
      <c r="I130" s="1504"/>
      <c r="J130" s="1504"/>
      <c r="K130" s="1504"/>
      <c r="L130" s="1504"/>
      <c r="M130" s="1504"/>
      <c r="N130" s="1504"/>
      <c r="O130" s="1504"/>
      <c r="P130" s="1504"/>
      <c r="Q130" s="1504"/>
      <c r="R130" s="1504"/>
      <c r="S130" s="1504"/>
      <c r="T130" s="1504"/>
      <c r="U130" s="1504"/>
      <c r="V130" s="1504"/>
      <c r="W130" s="1515">
        <f>W102</f>
        <v>-5</v>
      </c>
      <c r="X130" s="1515">
        <f t="shared" ref="X130:AC130" si="92">X102</f>
        <v>-5</v>
      </c>
      <c r="Y130" s="1515">
        <f t="shared" si="92"/>
        <v>-5</v>
      </c>
      <c r="Z130" s="1515">
        <f t="shared" si="92"/>
        <v>-5</v>
      </c>
      <c r="AA130" s="1515">
        <f t="shared" si="92"/>
        <v>-20</v>
      </c>
      <c r="AB130" s="1515">
        <f t="shared" si="92"/>
        <v>-20</v>
      </c>
      <c r="AC130" s="1515">
        <f t="shared" si="92"/>
        <v>-20</v>
      </c>
      <c r="AD130" s="1504"/>
      <c r="AE130" s="1504"/>
      <c r="AF130" s="1504"/>
      <c r="AG130" s="1504"/>
      <c r="AH130" s="1504"/>
      <c r="AI130" s="1504"/>
      <c r="AJ130" s="1504"/>
      <c r="AK130" s="1504"/>
      <c r="AL130" s="1504"/>
      <c r="AM130" s="1504"/>
      <c r="AN130" s="1504"/>
      <c r="AO130" s="1504"/>
    </row>
    <row r="131" spans="1:41" ht="15.75">
      <c r="A131" s="1504"/>
      <c r="B131" s="1504"/>
      <c r="C131" s="1504"/>
      <c r="D131" s="1504"/>
      <c r="E131" s="1504"/>
      <c r="F131" s="1504"/>
      <c r="G131" s="1504"/>
      <c r="H131" s="1504"/>
      <c r="I131" s="1504"/>
      <c r="J131" s="1504"/>
      <c r="K131" s="1504"/>
      <c r="L131" s="1504"/>
      <c r="M131" s="1504"/>
      <c r="N131" s="1504"/>
      <c r="O131" s="1504"/>
      <c r="P131" s="1504"/>
      <c r="Q131" s="1504"/>
      <c r="R131" s="1504"/>
      <c r="S131" s="1504"/>
      <c r="T131" s="1504"/>
      <c r="U131" s="1504"/>
      <c r="V131" s="1504"/>
      <c r="W131" s="1515">
        <f>W103</f>
        <v>-37.5</v>
      </c>
      <c r="X131" s="1515">
        <f t="shared" ref="X131:AC131" si="93">X103</f>
        <v>-37.5</v>
      </c>
      <c r="Y131" s="1515">
        <f t="shared" si="93"/>
        <v>-37.5</v>
      </c>
      <c r="Z131" s="1515">
        <f t="shared" si="93"/>
        <v>-37.5</v>
      </c>
      <c r="AA131" s="1515">
        <f t="shared" si="93"/>
        <v>-150</v>
      </c>
      <c r="AB131" s="1515">
        <f t="shared" si="93"/>
        <v>-150</v>
      </c>
      <c r="AC131" s="1515">
        <f t="shared" si="93"/>
        <v>-150</v>
      </c>
      <c r="AD131" s="1504"/>
      <c r="AE131" s="1504"/>
      <c r="AF131" s="1504"/>
      <c r="AG131" s="1504"/>
      <c r="AH131" s="1504"/>
      <c r="AI131" s="1504"/>
      <c r="AJ131" s="1504"/>
      <c r="AK131" s="1504"/>
      <c r="AL131" s="1504"/>
      <c r="AM131" s="1504"/>
      <c r="AN131" s="1504"/>
      <c r="AO131" s="1504"/>
    </row>
    <row r="132" spans="1:41" ht="15.75">
      <c r="A132" s="1504"/>
      <c r="B132" s="1504"/>
      <c r="C132" s="1504"/>
      <c r="D132" s="1504"/>
      <c r="E132" s="1504"/>
      <c r="F132" s="1504"/>
      <c r="G132" s="1504"/>
      <c r="H132" s="1504"/>
      <c r="I132" s="1504"/>
      <c r="J132" s="1504"/>
      <c r="K132" s="1504"/>
      <c r="L132" s="1504"/>
      <c r="M132" s="1504"/>
      <c r="N132" s="1504"/>
      <c r="O132" s="1504"/>
      <c r="P132" s="1504"/>
      <c r="Q132" s="1504"/>
      <c r="R132" s="1504"/>
      <c r="S132" s="1504"/>
      <c r="T132" s="1504"/>
      <c r="U132" s="1504"/>
      <c r="V132" s="1504"/>
      <c r="W132" s="1504"/>
      <c r="X132" s="1504"/>
      <c r="Y132" s="1504"/>
      <c r="Z132" s="1504"/>
      <c r="AA132" s="1504"/>
      <c r="AB132" s="1504"/>
      <c r="AC132" s="1504"/>
      <c r="AD132" s="1504"/>
      <c r="AE132" s="1504"/>
      <c r="AF132" s="1504"/>
      <c r="AG132" s="1504"/>
      <c r="AH132" s="1504"/>
      <c r="AI132" s="1504"/>
      <c r="AJ132" s="1504"/>
      <c r="AK132" s="1504"/>
      <c r="AL132" s="1504"/>
      <c r="AM132" s="1504"/>
      <c r="AN132" s="1504"/>
      <c r="AO132" s="1504"/>
    </row>
    <row r="133" spans="1:41" ht="15.75">
      <c r="A133" s="1504"/>
      <c r="B133" s="1504"/>
      <c r="C133" s="1504"/>
      <c r="D133" s="1504"/>
      <c r="E133" s="1504"/>
      <c r="F133" s="1504"/>
      <c r="G133" s="1504"/>
      <c r="H133" s="1504"/>
      <c r="I133" s="1504"/>
      <c r="J133" s="1504"/>
      <c r="K133" s="1504"/>
      <c r="L133" s="1504"/>
      <c r="M133" s="1504"/>
      <c r="N133" s="1504"/>
      <c r="O133" s="1504"/>
      <c r="P133" s="1504"/>
      <c r="Q133" s="1504"/>
      <c r="R133" s="1504"/>
      <c r="S133" s="1504"/>
      <c r="T133" s="1504"/>
      <c r="U133" s="1504"/>
      <c r="V133" s="1504"/>
      <c r="W133" s="1504"/>
      <c r="X133" s="1504"/>
      <c r="Y133" s="1504"/>
      <c r="Z133" s="1504"/>
      <c r="AA133" s="1504"/>
      <c r="AB133" s="1504"/>
      <c r="AC133" s="1504"/>
      <c r="AD133" s="1504"/>
      <c r="AE133" s="1504"/>
      <c r="AF133" s="1504"/>
      <c r="AG133" s="1504"/>
      <c r="AH133" s="1504"/>
      <c r="AI133" s="1504"/>
      <c r="AJ133" s="1504"/>
      <c r="AK133" s="1504"/>
      <c r="AL133" s="1504"/>
      <c r="AM133" s="1504"/>
      <c r="AN133" s="1504"/>
      <c r="AO133" s="1504"/>
    </row>
    <row r="134" spans="1:41" ht="15.75">
      <c r="A134" s="1504"/>
      <c r="B134" s="1504"/>
      <c r="C134" s="1504"/>
      <c r="D134" s="1504"/>
      <c r="E134" s="1504"/>
      <c r="F134" s="1504"/>
      <c r="G134" s="1504"/>
      <c r="H134" s="1504"/>
      <c r="I134" s="1504"/>
      <c r="J134" s="1504"/>
      <c r="K134" s="1504"/>
      <c r="L134" s="1504"/>
      <c r="M134" s="1504"/>
      <c r="N134" s="1504"/>
      <c r="O134" s="1504"/>
      <c r="P134" s="1504"/>
      <c r="Q134" s="1504"/>
      <c r="R134" s="1504"/>
      <c r="S134" s="1504"/>
      <c r="T134" s="1504"/>
      <c r="U134" s="1504"/>
      <c r="V134" s="1504"/>
      <c r="W134" s="1504"/>
      <c r="X134" s="1504"/>
      <c r="Y134" s="1504"/>
      <c r="Z134" s="1504"/>
      <c r="AA134" s="1504"/>
      <c r="AB134" s="1504"/>
      <c r="AC134" s="1504"/>
      <c r="AD134" s="1504"/>
      <c r="AE134" s="1504"/>
      <c r="AF134" s="1504"/>
      <c r="AG134" s="1504"/>
      <c r="AH134" s="1504"/>
      <c r="AI134" s="1504"/>
      <c r="AJ134" s="1504"/>
      <c r="AK134" s="1504"/>
      <c r="AL134" s="1504"/>
      <c r="AM134" s="1504"/>
      <c r="AN134" s="1504"/>
      <c r="AO134" s="1504"/>
    </row>
    <row r="135" spans="1:41" ht="15.75">
      <c r="A135" s="1504"/>
      <c r="B135" s="1504"/>
      <c r="C135" s="1504"/>
      <c r="D135" s="1504"/>
      <c r="E135" s="1504"/>
      <c r="F135" s="1504"/>
      <c r="G135" s="1504"/>
      <c r="H135" s="1504"/>
      <c r="I135" s="1504"/>
      <c r="J135" s="1504"/>
      <c r="K135" s="1504"/>
      <c r="L135" s="1504"/>
      <c r="M135" s="1504"/>
      <c r="N135" s="1504"/>
      <c r="O135" s="1504"/>
      <c r="P135" s="1504"/>
      <c r="Q135" s="1504"/>
      <c r="R135" s="1504"/>
      <c r="S135" s="1504"/>
      <c r="T135" s="1504"/>
      <c r="U135" s="1504"/>
      <c r="V135" s="1504"/>
      <c r="W135" s="1504"/>
      <c r="X135" s="1504"/>
      <c r="Y135" s="1504"/>
      <c r="Z135" s="1504"/>
      <c r="AA135" s="1504"/>
      <c r="AB135" s="1504"/>
      <c r="AC135" s="1504"/>
      <c r="AD135" s="1504"/>
      <c r="AE135" s="1504"/>
      <c r="AF135" s="1504"/>
      <c r="AG135" s="1504"/>
      <c r="AH135" s="1504"/>
      <c r="AI135" s="1504"/>
      <c r="AJ135" s="1504"/>
      <c r="AK135" s="1504"/>
      <c r="AL135" s="1504"/>
      <c r="AM135" s="1504"/>
      <c r="AN135" s="1504"/>
      <c r="AO135" s="1504"/>
    </row>
  </sheetData>
  <mergeCells count="12">
    <mergeCell ref="A105:A106"/>
    <mergeCell ref="A102:A103"/>
    <mergeCell ref="A4:A30"/>
    <mergeCell ref="A53:B53"/>
    <mergeCell ref="A55:A59"/>
    <mergeCell ref="A61:A65"/>
    <mergeCell ref="A67:A71"/>
    <mergeCell ref="A97:A100"/>
    <mergeCell ref="A73:A77"/>
    <mergeCell ref="A79:A83"/>
    <mergeCell ref="A91:A95"/>
    <mergeCell ref="A85:A8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DE3B-6081-4CC4-A8BB-688C181610BC}">
  <dimension ref="A1:BD206"/>
  <sheetViews>
    <sheetView showGridLines="0" topLeftCell="A99" zoomScale="75" zoomScaleNormal="75" workbookViewId="0">
      <selection activeCell="W122" sqref="W122"/>
    </sheetView>
  </sheetViews>
  <sheetFormatPr defaultRowHeight="15" outlineLevelRow="1"/>
  <cols>
    <col min="1" max="1" width="3.85546875" customWidth="1"/>
    <col min="2" max="2" width="22.140625" customWidth="1"/>
    <col min="3" max="5" width="8.85546875" hidden="1" customWidth="1"/>
    <col min="6" max="6" width="8.85546875" hidden="1" customWidth="1" collapsed="1"/>
    <col min="7" max="9" width="9" hidden="1" customWidth="1"/>
    <col min="10" max="15" width="9" customWidth="1"/>
    <col min="16" max="16" width="11" bestFit="1" customWidth="1"/>
    <col min="17" max="17" width="9" customWidth="1"/>
    <col min="18" max="18" width="11" bestFit="1" customWidth="1"/>
    <col min="19" max="19" width="9" customWidth="1"/>
    <col min="20" max="20" width="11" bestFit="1" customWidth="1"/>
    <col min="21" max="21" width="10.5703125" customWidth="1"/>
    <col min="22" max="22" width="11" customWidth="1"/>
    <col min="23" max="23" width="9" customWidth="1" collapsed="1"/>
    <col min="24" max="24" width="11" bestFit="1" customWidth="1"/>
    <col min="25" max="25" width="7.42578125" bestFit="1" customWidth="1"/>
    <col min="26" max="26" width="11" bestFit="1" customWidth="1"/>
    <col min="27" max="27" width="8.140625" bestFit="1" customWidth="1"/>
    <col min="28" max="28" width="11" bestFit="1" customWidth="1"/>
    <col min="29" max="29" width="8.5703125" customWidth="1"/>
    <col min="30" max="30" width="11" customWidth="1"/>
    <col min="31" max="41" width="13.28515625" customWidth="1"/>
  </cols>
  <sheetData>
    <row r="1" spans="1:51">
      <c r="A1" s="1439"/>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row>
    <row r="2" spans="1:51">
      <c r="A2" s="1439"/>
      <c r="B2" s="1569" t="s">
        <v>4614</v>
      </c>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Q2" s="1258" t="s">
        <v>7436</v>
      </c>
    </row>
    <row r="3" spans="1:5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row>
    <row r="4" spans="1:51">
      <c r="A4" s="1439"/>
      <c r="B4" s="1452" t="s">
        <v>4167</v>
      </c>
      <c r="C4" s="1570" t="s">
        <v>5797</v>
      </c>
      <c r="D4" s="1570" t="s">
        <v>5798</v>
      </c>
      <c r="E4" s="1570" t="s">
        <v>5799</v>
      </c>
      <c r="F4" s="1570" t="s">
        <v>5800</v>
      </c>
      <c r="G4" s="1570" t="s">
        <v>7045</v>
      </c>
      <c r="H4" s="1570" t="s">
        <v>7046</v>
      </c>
      <c r="I4" s="1570" t="s">
        <v>7047</v>
      </c>
      <c r="J4" s="1570" t="s">
        <v>7048</v>
      </c>
      <c r="K4" s="1570" t="s">
        <v>7410</v>
      </c>
      <c r="L4" s="1570" t="s">
        <v>7293</v>
      </c>
      <c r="M4" s="1570" t="s">
        <v>7411</v>
      </c>
      <c r="N4" s="1570" t="s">
        <v>7412</v>
      </c>
      <c r="O4" s="1570" t="s">
        <v>7993</v>
      </c>
      <c r="P4" s="1570" t="s">
        <v>8245</v>
      </c>
      <c r="Q4" s="1570" t="s">
        <v>8510</v>
      </c>
      <c r="R4" s="1570" t="s">
        <v>8529</v>
      </c>
      <c r="S4" s="1570" t="s">
        <v>8649</v>
      </c>
      <c r="T4" s="1570" t="s">
        <v>8887</v>
      </c>
      <c r="U4" s="1802" t="s">
        <v>9020</v>
      </c>
      <c r="V4" s="1802" t="s">
        <v>9124</v>
      </c>
      <c r="W4" s="1439"/>
      <c r="X4" s="1439"/>
      <c r="Y4" s="1439"/>
      <c r="Z4" s="1439"/>
      <c r="AA4" s="1439"/>
      <c r="AB4" s="1439"/>
      <c r="AC4" s="1439"/>
      <c r="AD4" s="1439"/>
      <c r="AE4" s="1439"/>
      <c r="AF4" s="1439"/>
      <c r="AG4" s="1439"/>
    </row>
    <row r="5" spans="1:51">
      <c r="A5" s="1439"/>
      <c r="B5" s="1439" t="s">
        <v>4616</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row>
    <row r="6" spans="1:51">
      <c r="A6" s="1439"/>
      <c r="B6" s="1439" t="s">
        <v>4288</v>
      </c>
      <c r="C6" s="1459">
        <v>11928.825000000001</v>
      </c>
      <c r="D6" s="1459">
        <v>11975.641</v>
      </c>
      <c r="E6" s="1459">
        <v>12105.74</v>
      </c>
      <c r="F6" s="1459">
        <v>12229</v>
      </c>
      <c r="G6" s="1459">
        <v>12248</v>
      </c>
      <c r="H6" s="1459">
        <v>12403</v>
      </c>
      <c r="I6" s="1459">
        <v>12539</v>
      </c>
      <c r="J6" s="1459">
        <v>12686</v>
      </c>
      <c r="K6" s="1459">
        <v>12237</v>
      </c>
      <c r="L6" s="1459">
        <v>12448</v>
      </c>
      <c r="M6" s="1459">
        <v>12700</v>
      </c>
      <c r="N6" s="1459">
        <v>12905</v>
      </c>
      <c r="O6" s="1459">
        <v>13001</v>
      </c>
      <c r="P6" s="1459">
        <v>13097</v>
      </c>
      <c r="Q6" s="1459">
        <v>13249</v>
      </c>
      <c r="R6" s="1459">
        <v>13348</v>
      </c>
      <c r="S6" s="1459">
        <v>13400</v>
      </c>
      <c r="T6" s="1459">
        <v>13453</v>
      </c>
      <c r="U6" s="1459">
        <v>13498</v>
      </c>
      <c r="V6" s="1459">
        <v>13539</v>
      </c>
      <c r="W6" s="1439"/>
      <c r="X6" s="1439"/>
      <c r="Y6" s="1439"/>
      <c r="Z6" s="1439"/>
      <c r="AA6" s="1439"/>
      <c r="AB6" s="1439"/>
      <c r="AC6" s="1439"/>
      <c r="AD6" s="1439"/>
      <c r="AE6" s="1439"/>
      <c r="AF6" s="1439"/>
      <c r="AG6" s="1439"/>
    </row>
    <row r="7" spans="1:51">
      <c r="A7" s="1439"/>
      <c r="B7" s="1439" t="s">
        <v>4617</v>
      </c>
      <c r="C7" s="1439"/>
      <c r="D7" s="1439"/>
      <c r="E7" s="1439"/>
      <c r="F7" s="1439"/>
      <c r="G7" s="1439"/>
      <c r="H7" s="1439"/>
      <c r="I7" s="1439"/>
      <c r="J7" s="1439"/>
      <c r="K7" s="1439"/>
      <c r="L7" s="1439"/>
      <c r="M7" s="1439"/>
      <c r="N7" s="1439"/>
      <c r="O7" s="1439"/>
      <c r="P7" s="1439"/>
      <c r="Q7" s="1439"/>
      <c r="R7" s="1439"/>
      <c r="S7" s="1439"/>
      <c r="T7" s="1439"/>
      <c r="U7" s="1439"/>
      <c r="V7" s="1439"/>
      <c r="W7" s="1439"/>
      <c r="X7" s="1439"/>
      <c r="Y7" s="1439"/>
      <c r="Z7" s="1439"/>
      <c r="AA7" s="1439"/>
      <c r="AB7" s="1439"/>
      <c r="AC7" s="1439"/>
      <c r="AD7" s="1439"/>
      <c r="AE7" s="1439"/>
      <c r="AF7" s="1439"/>
      <c r="AG7" s="1439"/>
    </row>
    <row r="8" spans="1:51">
      <c r="A8" s="1439"/>
      <c r="B8" s="1439" t="s">
        <v>4857</v>
      </c>
      <c r="C8" s="1459">
        <f>C50</f>
        <v>4391</v>
      </c>
      <c r="D8" s="1459">
        <f>D50</f>
        <v>4296</v>
      </c>
      <c r="E8" s="1459">
        <f>E50</f>
        <v>4453</v>
      </c>
      <c r="F8" s="1459">
        <f>F50</f>
        <v>4545</v>
      </c>
      <c r="G8" s="1459">
        <f ca="1">G50</f>
        <v>4701</v>
      </c>
      <c r="H8" s="1459">
        <v>4792</v>
      </c>
      <c r="I8" s="1459">
        <v>4857</v>
      </c>
      <c r="J8" s="1459">
        <v>4893</v>
      </c>
      <c r="K8" s="1459">
        <v>4762</v>
      </c>
      <c r="L8" s="1459">
        <v>4767</v>
      </c>
      <c r="M8" s="1459">
        <v>4780</v>
      </c>
      <c r="N8" s="1459">
        <v>4811</v>
      </c>
      <c r="O8" s="1459">
        <v>4776</v>
      </c>
      <c r="P8" s="1459">
        <v>4660</v>
      </c>
      <c r="Q8" s="1459">
        <v>4554</v>
      </c>
      <c r="R8" s="1459">
        <v>4435</v>
      </c>
      <c r="S8" s="1459">
        <v>4392</v>
      </c>
      <c r="T8" s="1459">
        <v>4383</v>
      </c>
      <c r="U8" s="1459">
        <v>4433</v>
      </c>
      <c r="V8" s="1459">
        <v>4461</v>
      </c>
      <c r="W8" s="1439"/>
      <c r="X8" s="1439"/>
      <c r="Y8" s="1439"/>
      <c r="Z8" s="1439"/>
      <c r="AA8" s="1439"/>
      <c r="AB8" s="1439"/>
      <c r="AC8" s="1439"/>
      <c r="AD8" s="1439"/>
      <c r="AE8" s="1439"/>
      <c r="AF8" s="1439"/>
      <c r="AG8" s="1439"/>
    </row>
    <row r="9" spans="1:51">
      <c r="A9" s="1439"/>
      <c r="B9" s="1439" t="s">
        <v>4858</v>
      </c>
      <c r="C9" s="1460">
        <f t="shared" ref="C9:L9" si="0">C8/C6</f>
        <v>0.368099959551758</v>
      </c>
      <c r="D9" s="1460">
        <f t="shared" si="0"/>
        <v>0.35872818832829073</v>
      </c>
      <c r="E9" s="1460">
        <f t="shared" si="0"/>
        <v>0.36784203196169751</v>
      </c>
      <c r="F9" s="1460">
        <f t="shared" si="0"/>
        <v>0.37165753536675117</v>
      </c>
      <c r="G9" s="1460">
        <f t="shared" ca="1" si="0"/>
        <v>0.38381776616590463</v>
      </c>
      <c r="H9" s="1460">
        <f t="shared" si="0"/>
        <v>0.38635813915988065</v>
      </c>
      <c r="I9" s="1460">
        <f t="shared" si="0"/>
        <v>0.38735146343408566</v>
      </c>
      <c r="J9" s="1460">
        <f t="shared" si="0"/>
        <v>0.38570077250512375</v>
      </c>
      <c r="K9" s="1460">
        <f t="shared" si="0"/>
        <v>0.38914766691182479</v>
      </c>
      <c r="L9" s="1460">
        <f t="shared" si="0"/>
        <v>0.38295308483290491</v>
      </c>
      <c r="M9" s="1460">
        <f t="shared" ref="M9:Q9" si="1">M8/M6</f>
        <v>0.37637795275590552</v>
      </c>
      <c r="N9" s="1460">
        <f t="shared" si="1"/>
        <v>0.37280123982952346</v>
      </c>
      <c r="O9" s="1460">
        <f t="shared" si="1"/>
        <v>0.36735635720329207</v>
      </c>
      <c r="P9" s="1460">
        <f t="shared" si="1"/>
        <v>0.35580667328395815</v>
      </c>
      <c r="Q9" s="1460">
        <f t="shared" si="1"/>
        <v>0.34372405464563366</v>
      </c>
      <c r="R9" s="1460">
        <f t="shared" ref="R9:S9" si="2">R8/R6</f>
        <v>0.33225951453401259</v>
      </c>
      <c r="S9" s="1460">
        <f t="shared" si="2"/>
        <v>0.32776119402985077</v>
      </c>
      <c r="T9" s="1460">
        <f t="shared" ref="T9" si="3">T8/T6</f>
        <v>0.32580093659406822</v>
      </c>
      <c r="U9" s="1460">
        <f>U8/U6</f>
        <v>0.32841902504074677</v>
      </c>
      <c r="V9" s="1460">
        <f>V8/V6</f>
        <v>0.32949257699977841</v>
      </c>
      <c r="W9" s="1439"/>
      <c r="X9" s="1439"/>
      <c r="Y9" s="1439"/>
      <c r="Z9" s="1439"/>
      <c r="AA9" s="1439"/>
      <c r="AB9" s="1439"/>
      <c r="AC9" s="1439"/>
      <c r="AD9" s="1439"/>
      <c r="AE9" s="1439"/>
      <c r="AF9" s="1439"/>
      <c r="AG9" s="1439"/>
    </row>
    <row r="10" spans="1:51">
      <c r="A10" s="1439"/>
      <c r="B10" s="1439"/>
      <c r="C10" s="1439"/>
      <c r="D10" s="1439"/>
      <c r="E10" s="1439"/>
      <c r="F10" s="1439"/>
      <c r="G10" s="1439"/>
      <c r="H10" s="1439"/>
      <c r="I10" s="1439"/>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row>
    <row r="11" spans="1:51">
      <c r="A11" s="1439"/>
      <c r="B11" s="1439" t="s">
        <v>4159</v>
      </c>
      <c r="C11" s="1459">
        <v>11570.433000000001</v>
      </c>
      <c r="D11" s="1459">
        <v>11629.802</v>
      </c>
      <c r="E11" s="1459">
        <v>11761.880999999999</v>
      </c>
      <c r="F11" s="1459">
        <v>11888.413</v>
      </c>
      <c r="G11" s="1459">
        <v>11949</v>
      </c>
      <c r="H11" s="1459">
        <v>12113</v>
      </c>
      <c r="I11" s="1459">
        <v>12263</v>
      </c>
      <c r="J11" s="1459">
        <v>12413</v>
      </c>
      <c r="K11" s="1459">
        <v>11965</v>
      </c>
      <c r="L11" s="1459">
        <v>12179</v>
      </c>
      <c r="M11" s="1459">
        <v>12433</v>
      </c>
      <c r="N11" s="1459">
        <v>12632</v>
      </c>
      <c r="O11" s="1459">
        <v>12731</v>
      </c>
      <c r="P11" s="1459">
        <v>12836</v>
      </c>
      <c r="Q11" s="1459">
        <v>13005</v>
      </c>
      <c r="R11" s="1459">
        <v>13112</v>
      </c>
      <c r="S11" s="1459">
        <v>13169</v>
      </c>
      <c r="T11" s="1459">
        <v>13229</v>
      </c>
      <c r="U11" s="1459">
        <v>13276</v>
      </c>
      <c r="V11" s="1459">
        <v>13318</v>
      </c>
      <c r="W11" s="1439"/>
      <c r="X11" s="1439"/>
      <c r="Y11" s="1439"/>
      <c r="Z11" s="1439"/>
      <c r="AA11" s="1439"/>
      <c r="AB11" s="1439"/>
      <c r="AC11" s="1439"/>
      <c r="AD11" s="1439"/>
      <c r="AE11" s="1439"/>
      <c r="AF11" s="1439"/>
      <c r="AG11" s="1439"/>
    </row>
    <row r="12" spans="1:51">
      <c r="A12" s="1439"/>
      <c r="B12" s="1439" t="s">
        <v>4160</v>
      </c>
      <c r="C12" s="1459">
        <v>3531.34</v>
      </c>
      <c r="D12" s="1459">
        <v>3483.9009999999998</v>
      </c>
      <c r="E12" s="1459">
        <v>3630.0619999999999</v>
      </c>
      <c r="F12" s="1459">
        <v>3733.0940000000001</v>
      </c>
      <c r="G12" s="1459">
        <v>3899</v>
      </c>
      <c r="H12" s="1459">
        <v>3998</v>
      </c>
      <c r="I12" s="1459">
        <v>4086</v>
      </c>
      <c r="J12" s="1459">
        <v>4148</v>
      </c>
      <c r="K12" s="1459">
        <v>4062</v>
      </c>
      <c r="L12" s="1459">
        <v>4083</v>
      </c>
      <c r="M12" s="1459">
        <v>4109</v>
      </c>
      <c r="N12" s="1459">
        <v>4139</v>
      </c>
      <c r="O12" s="1459">
        <v>4124</v>
      </c>
      <c r="P12" s="1459">
        <v>4033</v>
      </c>
      <c r="Q12" s="1459">
        <v>3947</v>
      </c>
      <c r="R12" s="1459">
        <v>3868</v>
      </c>
      <c r="S12" s="1459">
        <v>3855</v>
      </c>
      <c r="T12" s="1459">
        <v>3866</v>
      </c>
      <c r="U12" s="1459">
        <v>3934</v>
      </c>
      <c r="V12" s="1459">
        <v>3983</v>
      </c>
      <c r="W12" s="1439"/>
      <c r="X12" s="1439"/>
      <c r="Y12" s="1439"/>
      <c r="Z12" s="1439"/>
      <c r="AA12" s="1439"/>
      <c r="AB12" s="1439"/>
      <c r="AC12" s="1439"/>
      <c r="AD12" s="1439"/>
      <c r="AE12" s="1439"/>
      <c r="AF12" s="1439"/>
      <c r="AG12" s="1439"/>
    </row>
    <row r="13" spans="1:51">
      <c r="A13" s="1439"/>
      <c r="B13" s="1439" t="s">
        <v>4621</v>
      </c>
      <c r="C13" s="1459">
        <f>C12-AD12</f>
        <v>3531.34</v>
      </c>
      <c r="D13" s="1459">
        <f t="shared" ref="D13:T13" si="4">D12-C12</f>
        <v>-47.439000000000306</v>
      </c>
      <c r="E13" s="1459">
        <f t="shared" si="4"/>
        <v>146.16100000000006</v>
      </c>
      <c r="F13" s="1459">
        <f t="shared" si="4"/>
        <v>103.03200000000015</v>
      </c>
      <c r="G13" s="1459">
        <f t="shared" si="4"/>
        <v>165.90599999999995</v>
      </c>
      <c r="H13" s="1459">
        <f t="shared" si="4"/>
        <v>99</v>
      </c>
      <c r="I13" s="1459">
        <f t="shared" si="4"/>
        <v>88</v>
      </c>
      <c r="J13" s="1459">
        <f t="shared" si="4"/>
        <v>62</v>
      </c>
      <c r="K13" s="1459">
        <f t="shared" si="4"/>
        <v>-86</v>
      </c>
      <c r="L13" s="1459">
        <f t="shared" si="4"/>
        <v>21</v>
      </c>
      <c r="M13" s="1459">
        <f t="shared" si="4"/>
        <v>26</v>
      </c>
      <c r="N13" s="1459">
        <f t="shared" si="4"/>
        <v>30</v>
      </c>
      <c r="O13" s="1459">
        <f t="shared" si="4"/>
        <v>-15</v>
      </c>
      <c r="P13" s="1459">
        <f t="shared" si="4"/>
        <v>-91</v>
      </c>
      <c r="Q13" s="1459">
        <f t="shared" si="4"/>
        <v>-86</v>
      </c>
      <c r="R13" s="1459">
        <f t="shared" si="4"/>
        <v>-79</v>
      </c>
      <c r="S13" s="1459">
        <f t="shared" si="4"/>
        <v>-13</v>
      </c>
      <c r="T13" s="1459">
        <f t="shared" si="4"/>
        <v>11</v>
      </c>
      <c r="U13" s="1459">
        <f>U12-T12</f>
        <v>68</v>
      </c>
      <c r="V13" s="1459">
        <f>V12-U12</f>
        <v>49</v>
      </c>
      <c r="W13" s="1439"/>
      <c r="X13" s="1439"/>
      <c r="Y13" s="1439"/>
      <c r="Z13" s="1439"/>
      <c r="AA13" s="1439"/>
      <c r="AB13" s="1439"/>
      <c r="AC13" s="1439"/>
      <c r="AD13" s="1439"/>
      <c r="AE13" s="1439"/>
      <c r="AF13" s="1439"/>
      <c r="AG13" s="1439"/>
    </row>
    <row r="14" spans="1:51">
      <c r="A14" s="1439"/>
      <c r="B14" s="1439"/>
      <c r="C14" s="1459"/>
      <c r="D14" s="1459"/>
      <c r="E14" s="1459"/>
      <c r="F14" s="1459"/>
      <c r="G14" s="1459"/>
      <c r="H14" s="1459"/>
      <c r="I14" s="1459"/>
      <c r="J14" s="145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row>
    <row r="15" spans="1:51">
      <c r="A15" s="1439"/>
      <c r="B15" s="1439" t="s">
        <v>3328</v>
      </c>
      <c r="C15" s="1460">
        <f t="shared" ref="C15:L15" si="5">C12/C11</f>
        <v>0.30520378969395529</v>
      </c>
      <c r="D15" s="1460">
        <f t="shared" si="5"/>
        <v>0.29956666502146811</v>
      </c>
      <c r="E15" s="1460">
        <f t="shared" si="5"/>
        <v>0.30862937654274858</v>
      </c>
      <c r="F15" s="1460">
        <f t="shared" si="5"/>
        <v>0.31401112999691377</v>
      </c>
      <c r="G15" s="1460">
        <f t="shared" si="5"/>
        <v>0.32630345635618041</v>
      </c>
      <c r="H15" s="1460">
        <f t="shared" si="5"/>
        <v>0.33005861471146702</v>
      </c>
      <c r="I15" s="1460">
        <f t="shared" si="5"/>
        <v>0.33319742314278722</v>
      </c>
      <c r="J15" s="1460">
        <f t="shared" si="5"/>
        <v>0.33416579392572304</v>
      </c>
      <c r="K15" s="1460">
        <f t="shared" si="5"/>
        <v>0.33949017969076473</v>
      </c>
      <c r="L15" s="1460">
        <f t="shared" si="5"/>
        <v>0.33524919944166187</v>
      </c>
      <c r="M15" s="1460">
        <f t="shared" ref="M15:P15" si="6">M12/M11</f>
        <v>0.33049143408670473</v>
      </c>
      <c r="N15" s="1460">
        <f t="shared" si="6"/>
        <v>0.3276599113362888</v>
      </c>
      <c r="O15" s="1460">
        <f t="shared" si="6"/>
        <v>0.32393370512921216</v>
      </c>
      <c r="P15" s="1460">
        <f t="shared" si="6"/>
        <v>0.31419445310065441</v>
      </c>
      <c r="Q15" s="1460">
        <f t="shared" ref="Q15:R15" si="7">Q12/Q11</f>
        <v>0.30349865436370627</v>
      </c>
      <c r="R15" s="1460">
        <f t="shared" si="7"/>
        <v>0.29499694935936549</v>
      </c>
      <c r="S15" s="1460">
        <f t="shared" ref="S15:T15" si="8">S12/S11</f>
        <v>0.29273293340420686</v>
      </c>
      <c r="T15" s="1460">
        <f t="shared" si="8"/>
        <v>0.292236752589009</v>
      </c>
      <c r="U15" s="1460">
        <f>U12/U11</f>
        <v>0.29632419403434768</v>
      </c>
      <c r="V15" s="1460">
        <f>V12/V11</f>
        <v>0.29906892926865897</v>
      </c>
      <c r="W15" s="1439"/>
      <c r="X15" s="1439"/>
      <c r="Y15" s="1439"/>
      <c r="Z15" s="1439"/>
      <c r="AA15" s="1439"/>
      <c r="AB15" s="1439"/>
      <c r="AC15" s="1439"/>
      <c r="AD15" s="1439"/>
      <c r="AE15" s="1439"/>
      <c r="AF15" s="1439"/>
      <c r="AG15" s="1439"/>
    </row>
    <row r="16" spans="1:51">
      <c r="A16" s="1439"/>
      <c r="B16" s="1439" t="s">
        <v>4163</v>
      </c>
      <c r="C16" s="1459"/>
      <c r="D16" s="1459"/>
      <c r="E16" s="1459"/>
      <c r="F16" s="1459"/>
      <c r="G16" s="1459"/>
      <c r="H16" s="1439"/>
      <c r="I16" s="1459"/>
      <c r="J16" s="1459"/>
      <c r="K16" s="1459"/>
      <c r="L16" s="1459"/>
      <c r="M16" s="1459"/>
      <c r="N16" s="1459"/>
      <c r="O16" s="1439"/>
      <c r="P16" s="1439"/>
      <c r="Q16" s="1439"/>
      <c r="R16" s="1439"/>
      <c r="S16" s="1439"/>
      <c r="T16" s="1439"/>
      <c r="U16" s="1439"/>
      <c r="V16" s="1439"/>
      <c r="W16" s="1439"/>
      <c r="X16" s="1439"/>
      <c r="Y16" s="1439"/>
      <c r="Z16" s="1439"/>
      <c r="AA16" s="1439"/>
      <c r="AB16" s="1439"/>
      <c r="AC16" s="1439"/>
      <c r="AD16" s="1439"/>
      <c r="AE16" s="1439"/>
      <c r="AF16" s="1439"/>
      <c r="AG16" s="1439"/>
      <c r="AQ16" s="464"/>
      <c r="AR16" s="464"/>
      <c r="AS16" s="464"/>
      <c r="AT16" s="464"/>
      <c r="AV16" s="464"/>
      <c r="AW16" s="464"/>
      <c r="AX16" s="464"/>
      <c r="AY16" s="464"/>
    </row>
    <row r="17" spans="1:56">
      <c r="A17" s="1439"/>
      <c r="B17" s="1439" t="s">
        <v>4618</v>
      </c>
      <c r="C17" s="1439"/>
      <c r="D17" s="1439"/>
      <c r="E17" s="1439"/>
      <c r="F17" s="1439"/>
      <c r="G17" s="1439"/>
      <c r="H17" s="1439"/>
      <c r="I17" s="1439"/>
      <c r="J17" s="1439"/>
      <c r="K17" s="1439"/>
      <c r="L17" s="1439"/>
      <c r="M17" s="1439"/>
      <c r="N17" s="1439"/>
      <c r="O17" s="1439"/>
      <c r="P17" s="1439"/>
      <c r="Q17" s="1439"/>
      <c r="R17" s="1439"/>
      <c r="S17" s="1439"/>
      <c r="T17" s="1439"/>
      <c r="U17" s="1439"/>
      <c r="V17" s="1439"/>
      <c r="W17" s="1439"/>
      <c r="X17" s="1439"/>
      <c r="Y17" s="1439"/>
      <c r="Z17" s="1439"/>
      <c r="AA17" s="1439"/>
      <c r="AB17" s="1439"/>
      <c r="AC17" s="1439"/>
      <c r="AD17" s="1439"/>
      <c r="AE17" s="1439"/>
      <c r="AF17" s="1439"/>
      <c r="AG17" s="1439"/>
    </row>
    <row r="18" spans="1:56">
      <c r="A18" s="1439"/>
      <c r="B18" s="1439"/>
      <c r="C18" s="1439"/>
      <c r="D18" s="1439"/>
      <c r="E18" s="1439"/>
      <c r="F18" s="1439"/>
      <c r="G18" s="1439"/>
      <c r="H18" s="1439"/>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row>
    <row r="19" spans="1:56">
      <c r="A19" s="1439"/>
      <c r="B19" s="1571" t="s">
        <v>4621</v>
      </c>
      <c r="C19" s="1439"/>
      <c r="D19" s="1439"/>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row>
    <row r="20" spans="1:56">
      <c r="A20" s="1439"/>
      <c r="B20" s="1439" t="s">
        <v>4159</v>
      </c>
      <c r="C20" s="1439"/>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row>
    <row r="21" spans="1:56">
      <c r="A21" s="1439"/>
      <c r="B21" s="1439" t="s">
        <v>4160</v>
      </c>
      <c r="C21" s="1439"/>
      <c r="D21" s="1439"/>
      <c r="E21" s="1439"/>
      <c r="F21" s="1439"/>
      <c r="G21" s="1439"/>
      <c r="H21" s="1439"/>
      <c r="I21" s="1439"/>
      <c r="J21" s="1439"/>
      <c r="K21" s="1439"/>
      <c r="L21" s="1439"/>
      <c r="M21" s="1439"/>
      <c r="N21" s="1439"/>
      <c r="O21" s="1439"/>
      <c r="P21" s="1439"/>
      <c r="Q21" s="1439"/>
      <c r="R21" s="1439"/>
      <c r="S21" s="1439"/>
      <c r="T21" s="1439"/>
      <c r="U21" s="1439"/>
      <c r="V21" s="1439"/>
      <c r="W21" s="1439"/>
      <c r="X21" s="1439"/>
      <c r="Y21" s="1439"/>
      <c r="Z21" s="1439"/>
      <c r="AA21" s="1439"/>
      <c r="AB21" s="1439"/>
      <c r="AC21" s="1439"/>
      <c r="AD21" s="1439"/>
      <c r="AE21" s="1439"/>
      <c r="AF21" s="1439"/>
      <c r="AG21" s="1439"/>
    </row>
    <row r="22" spans="1:56">
      <c r="A22" s="1439"/>
      <c r="B22" s="1439" t="s">
        <v>4163</v>
      </c>
      <c r="C22" s="1439"/>
      <c r="D22" s="1439"/>
      <c r="E22" s="1439"/>
      <c r="F22" s="1439"/>
      <c r="G22" s="1439"/>
      <c r="H22" s="1439"/>
      <c r="I22" s="1439"/>
      <c r="J22" s="1439"/>
      <c r="K22" s="1439"/>
      <c r="L22" s="1439"/>
      <c r="M22" s="1439"/>
      <c r="N22" s="1439"/>
      <c r="O22" s="1439"/>
      <c r="P22" s="1439"/>
      <c r="Q22" s="1439"/>
      <c r="R22" s="1439"/>
      <c r="S22" s="1439"/>
      <c r="T22" s="1439"/>
      <c r="U22" s="1439"/>
      <c r="V22" s="1439"/>
      <c r="W22" s="1439"/>
      <c r="X22" s="1439"/>
      <c r="Y22" s="1439"/>
      <c r="Z22" s="1439"/>
      <c r="AA22" s="1439"/>
      <c r="AB22" s="1439"/>
      <c r="AC22" s="1439"/>
      <c r="AD22" s="1439"/>
      <c r="AE22" s="1439"/>
      <c r="AF22" s="1439"/>
      <c r="AG22" s="1439"/>
    </row>
    <row r="23" spans="1:56">
      <c r="A23" s="1439"/>
      <c r="B23" s="1439"/>
      <c r="C23" s="1439"/>
      <c r="D23" s="1439"/>
      <c r="E23" s="1439"/>
      <c r="F23" s="1439"/>
      <c r="G23" s="1439"/>
      <c r="H23" s="1439"/>
      <c r="I23" s="1439"/>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row>
    <row r="24" spans="1:56">
      <c r="A24" s="1439"/>
      <c r="B24" s="1439" t="s">
        <v>4791</v>
      </c>
      <c r="C24" s="1439"/>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1439"/>
      <c r="Z24" s="1439"/>
      <c r="AA24" s="1439"/>
      <c r="AB24" s="1439"/>
      <c r="AC24" s="1439"/>
      <c r="AD24" s="1439"/>
      <c r="AE24" s="1439"/>
      <c r="AF24" s="1439"/>
      <c r="AG24" s="1439"/>
    </row>
    <row r="25" spans="1:56">
      <c r="A25" s="1439"/>
      <c r="B25" s="1439" t="s">
        <v>4792</v>
      </c>
      <c r="C25" s="1439"/>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1439"/>
      <c r="AE25" s="1439"/>
      <c r="AF25" s="1439"/>
      <c r="AG25" s="1439"/>
      <c r="BD25" s="463" t="s">
        <v>3054</v>
      </c>
    </row>
    <row r="26" spans="1:56">
      <c r="A26" s="1439"/>
      <c r="B26" s="1439"/>
      <c r="C26" s="1439"/>
      <c r="D26" s="1439"/>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39"/>
    </row>
    <row r="27" spans="1:56">
      <c r="A27" s="1439"/>
      <c r="B27" s="1439" t="s">
        <v>4793</v>
      </c>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row>
    <row r="28" spans="1:56">
      <c r="A28" s="1439"/>
      <c r="B28" s="1439" t="s">
        <v>4794</v>
      </c>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39"/>
      <c r="AF28" s="1439"/>
      <c r="AG28" s="1439"/>
    </row>
    <row r="29" spans="1:56">
      <c r="A29" s="1439"/>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row>
    <row r="30" spans="1:56" ht="16.5">
      <c r="A30" s="1439"/>
      <c r="B30" s="1753" t="s">
        <v>7051</v>
      </c>
      <c r="C30" s="1754" t="str">
        <f>C37</f>
        <v>Q1 20</v>
      </c>
      <c r="D30" s="1754" t="str">
        <f>D37</f>
        <v>Q2 20</v>
      </c>
      <c r="E30" s="1754" t="str">
        <f>E37</f>
        <v>Q3 20</v>
      </c>
      <c r="F30" s="1754" t="str">
        <f>F37</f>
        <v>Q4 20</v>
      </c>
      <c r="G30" s="1754" t="str">
        <f ca="1">G37</f>
        <v>Q1 21</v>
      </c>
      <c r="H30" s="1754" t="s">
        <v>7046</v>
      </c>
      <c r="I30" s="1754" t="s">
        <v>7047</v>
      </c>
      <c r="J30" s="1754" t="str">
        <f>J37</f>
        <v>Q4 21</v>
      </c>
      <c r="K30" s="1754" t="str">
        <f>K37</f>
        <v>Q1 22</v>
      </c>
      <c r="L30" s="1754" t="s">
        <v>7293</v>
      </c>
      <c r="M30" s="1754" t="s">
        <v>7411</v>
      </c>
      <c r="N30" s="1754" t="s">
        <v>7412</v>
      </c>
      <c r="O30" s="1754" t="s">
        <v>7993</v>
      </c>
      <c r="P30" s="1754" t="s">
        <v>8245</v>
      </c>
      <c r="Q30" s="1754" t="s">
        <v>8510</v>
      </c>
      <c r="R30" s="1754" t="s">
        <v>8529</v>
      </c>
      <c r="S30" s="1754" t="s">
        <v>8649</v>
      </c>
      <c r="T30" s="1754" t="s">
        <v>8887</v>
      </c>
      <c r="U30" s="1768" t="s">
        <v>9020</v>
      </c>
      <c r="V30" s="1768" t="s">
        <v>9124</v>
      </c>
      <c r="W30" s="1439"/>
      <c r="X30" s="1439"/>
      <c r="Y30" s="1439"/>
      <c r="Z30" s="1439"/>
      <c r="AA30" s="1439"/>
      <c r="AB30" s="1439"/>
      <c r="AC30" s="1439"/>
      <c r="AD30" s="1439"/>
      <c r="AE30" s="1439"/>
      <c r="AF30" s="1439"/>
      <c r="AG30" s="1439"/>
    </row>
    <row r="31" spans="1:56" ht="16.5">
      <c r="A31" s="1439"/>
      <c r="B31" s="1755" t="s">
        <v>4288</v>
      </c>
      <c r="C31" s="1756">
        <f t="shared" ref="C31:L31" si="9">C6</f>
        <v>11928.825000000001</v>
      </c>
      <c r="D31" s="1756">
        <f t="shared" si="9"/>
        <v>11975.641</v>
      </c>
      <c r="E31" s="1756">
        <f t="shared" si="9"/>
        <v>12105.74</v>
      </c>
      <c r="F31" s="1756">
        <f t="shared" si="9"/>
        <v>12229</v>
      </c>
      <c r="G31" s="1756">
        <f t="shared" si="9"/>
        <v>12248</v>
      </c>
      <c r="H31" s="1756">
        <f t="shared" si="9"/>
        <v>12403</v>
      </c>
      <c r="I31" s="1756">
        <f t="shared" si="9"/>
        <v>12539</v>
      </c>
      <c r="J31" s="1756">
        <f t="shared" si="9"/>
        <v>12686</v>
      </c>
      <c r="K31" s="1756">
        <f t="shared" si="9"/>
        <v>12237</v>
      </c>
      <c r="L31" s="1756">
        <f t="shared" si="9"/>
        <v>12448</v>
      </c>
      <c r="M31" s="1756">
        <f t="shared" ref="M31:N31" si="10">M6</f>
        <v>12700</v>
      </c>
      <c r="N31" s="1756">
        <f t="shared" si="10"/>
        <v>12905</v>
      </c>
      <c r="O31" s="1756">
        <f t="shared" ref="O31:P31" si="11">O6</f>
        <v>13001</v>
      </c>
      <c r="P31" s="1756">
        <f t="shared" si="11"/>
        <v>13097</v>
      </c>
      <c r="Q31" s="1756">
        <f t="shared" ref="Q31:R31" si="12">Q6</f>
        <v>13249</v>
      </c>
      <c r="R31" s="1756">
        <f t="shared" si="12"/>
        <v>13348</v>
      </c>
      <c r="S31" s="1756">
        <f t="shared" ref="S31:T31" si="13">S6</f>
        <v>13400</v>
      </c>
      <c r="T31" s="1756">
        <f t="shared" si="13"/>
        <v>13453</v>
      </c>
      <c r="U31" s="1756">
        <f>U6</f>
        <v>13498</v>
      </c>
      <c r="V31" s="1756">
        <f>V6</f>
        <v>13539</v>
      </c>
      <c r="W31" s="1439"/>
      <c r="X31" s="1439"/>
      <c r="Y31" s="1439"/>
      <c r="Z31" s="1439"/>
      <c r="AA31" s="1439"/>
      <c r="AB31" s="1439"/>
      <c r="AC31" s="1439"/>
      <c r="AD31" s="1439"/>
      <c r="AE31" s="1439"/>
      <c r="AF31" s="1439"/>
      <c r="AG31" s="1439"/>
    </row>
    <row r="32" spans="1:56" ht="16.5">
      <c r="A32" s="1439"/>
      <c r="B32" s="1751" t="s">
        <v>7050</v>
      </c>
      <c r="C32" s="1759">
        <f>C31-AD31</f>
        <v>11928.825000000001</v>
      </c>
      <c r="D32" s="1759">
        <f t="shared" ref="D32:T32" si="14">D31-C31</f>
        <v>46.815999999998894</v>
      </c>
      <c r="E32" s="1759">
        <f t="shared" si="14"/>
        <v>130.09900000000016</v>
      </c>
      <c r="F32" s="1759">
        <f t="shared" si="14"/>
        <v>123.26000000000022</v>
      </c>
      <c r="G32" s="1759">
        <f t="shared" si="14"/>
        <v>19</v>
      </c>
      <c r="H32" s="1759">
        <f t="shared" si="14"/>
        <v>155</v>
      </c>
      <c r="I32" s="1759">
        <f t="shared" si="14"/>
        <v>136</v>
      </c>
      <c r="J32" s="1759">
        <f t="shared" si="14"/>
        <v>147</v>
      </c>
      <c r="K32" s="1759">
        <f t="shared" si="14"/>
        <v>-449</v>
      </c>
      <c r="L32" s="1759">
        <f t="shared" si="14"/>
        <v>211</v>
      </c>
      <c r="M32" s="1759">
        <f t="shared" si="14"/>
        <v>252</v>
      </c>
      <c r="N32" s="1759">
        <f t="shared" si="14"/>
        <v>205</v>
      </c>
      <c r="O32" s="1759">
        <f t="shared" si="14"/>
        <v>96</v>
      </c>
      <c r="P32" s="1759">
        <f t="shared" si="14"/>
        <v>96</v>
      </c>
      <c r="Q32" s="1759">
        <f t="shared" si="14"/>
        <v>152</v>
      </c>
      <c r="R32" s="1759">
        <f t="shared" si="14"/>
        <v>99</v>
      </c>
      <c r="S32" s="1759">
        <f t="shared" si="14"/>
        <v>52</v>
      </c>
      <c r="T32" s="1759">
        <f t="shared" si="14"/>
        <v>53</v>
      </c>
      <c r="U32" s="1759">
        <f>U31-T31</f>
        <v>45</v>
      </c>
      <c r="V32" s="1759">
        <f>V31-U31</f>
        <v>41</v>
      </c>
      <c r="W32" s="1439"/>
      <c r="X32" s="1439"/>
      <c r="Y32" s="1439"/>
      <c r="Z32" s="1439"/>
      <c r="AA32" s="1439"/>
      <c r="AB32" s="1439"/>
      <c r="AC32" s="1439"/>
      <c r="AD32" s="1439"/>
      <c r="AE32" s="1439"/>
      <c r="AF32" s="1439"/>
      <c r="AG32" s="1439"/>
    </row>
    <row r="33" spans="1:51" ht="16.5">
      <c r="A33" s="1439"/>
      <c r="B33" s="1755"/>
      <c r="C33" s="1756"/>
      <c r="D33" s="1756"/>
      <c r="E33" s="1756"/>
      <c r="F33" s="1756"/>
      <c r="G33" s="1756"/>
      <c r="H33" s="1756"/>
      <c r="I33" s="1756"/>
      <c r="J33" s="1756"/>
      <c r="K33" s="1756"/>
      <c r="L33" s="1756"/>
      <c r="M33" s="1756"/>
      <c r="N33" s="1756"/>
      <c r="O33" s="1756"/>
      <c r="P33" s="1756"/>
      <c r="Q33" s="1756"/>
      <c r="R33" s="1756"/>
      <c r="S33" s="1756"/>
      <c r="T33" s="1756"/>
      <c r="U33" s="1756"/>
      <c r="V33" s="1756"/>
      <c r="W33" s="1439"/>
      <c r="X33" s="1439"/>
      <c r="Y33" s="1439"/>
      <c r="Z33" s="1439"/>
      <c r="AA33" s="1439"/>
      <c r="AB33" s="1439"/>
      <c r="AC33" s="1439"/>
      <c r="AD33" s="1439"/>
      <c r="AE33" s="1439"/>
      <c r="AF33" s="1439"/>
      <c r="AG33" s="1439"/>
    </row>
    <row r="34" spans="1:51" ht="16.5">
      <c r="A34" s="1439"/>
      <c r="B34" s="1751" t="s">
        <v>4159</v>
      </c>
      <c r="C34" s="1759">
        <f t="shared" ref="C34:L34" si="15">C11</f>
        <v>11570.433000000001</v>
      </c>
      <c r="D34" s="1759">
        <f t="shared" si="15"/>
        <v>11629.802</v>
      </c>
      <c r="E34" s="1759">
        <f t="shared" si="15"/>
        <v>11761.880999999999</v>
      </c>
      <c r="F34" s="1759">
        <f t="shared" si="15"/>
        <v>11888.413</v>
      </c>
      <c r="G34" s="1759">
        <f t="shared" si="15"/>
        <v>11949</v>
      </c>
      <c r="H34" s="1759">
        <f t="shared" si="15"/>
        <v>12113</v>
      </c>
      <c r="I34" s="1759">
        <f t="shared" si="15"/>
        <v>12263</v>
      </c>
      <c r="J34" s="1759">
        <f t="shared" si="15"/>
        <v>12413</v>
      </c>
      <c r="K34" s="1759">
        <f t="shared" si="15"/>
        <v>11965</v>
      </c>
      <c r="L34" s="1759">
        <f t="shared" si="15"/>
        <v>12179</v>
      </c>
      <c r="M34" s="1759">
        <f t="shared" ref="M34:N34" si="16">M11</f>
        <v>12433</v>
      </c>
      <c r="N34" s="1759">
        <f t="shared" si="16"/>
        <v>12632</v>
      </c>
      <c r="O34" s="1759">
        <f t="shared" ref="O34:P34" si="17">O11</f>
        <v>12731</v>
      </c>
      <c r="P34" s="1759">
        <f t="shared" si="17"/>
        <v>12836</v>
      </c>
      <c r="Q34" s="1759">
        <f t="shared" ref="Q34:R34" si="18">Q11</f>
        <v>13005</v>
      </c>
      <c r="R34" s="1759">
        <f t="shared" si="18"/>
        <v>13112</v>
      </c>
      <c r="S34" s="1759">
        <f t="shared" ref="S34:T34" si="19">S11</f>
        <v>13169</v>
      </c>
      <c r="T34" s="1759">
        <f t="shared" si="19"/>
        <v>13229</v>
      </c>
      <c r="U34" s="1759">
        <f>U11</f>
        <v>13276</v>
      </c>
      <c r="V34" s="1759">
        <f>V11</f>
        <v>13318</v>
      </c>
      <c r="W34" s="1439"/>
      <c r="X34" s="1439"/>
      <c r="Y34" s="1439"/>
      <c r="Z34" s="1439"/>
      <c r="AA34" s="1439"/>
      <c r="AB34" s="1439"/>
      <c r="AC34" s="1439"/>
      <c r="AD34" s="1439"/>
      <c r="AE34" s="1439"/>
      <c r="AF34" s="1439"/>
      <c r="AG34" s="1439"/>
    </row>
    <row r="35" spans="1:51" ht="16.5">
      <c r="A35" s="1439"/>
      <c r="B35" s="1755" t="s">
        <v>7050</v>
      </c>
      <c r="C35" s="1756">
        <f>C34-AD34</f>
        <v>11570.433000000001</v>
      </c>
      <c r="D35" s="1756">
        <f t="shared" ref="D35:J35" si="20">D34-C34</f>
        <v>59.368999999998778</v>
      </c>
      <c r="E35" s="1756">
        <f t="shared" si="20"/>
        <v>132.07899999999972</v>
      </c>
      <c r="F35" s="1756">
        <f t="shared" si="20"/>
        <v>126.53200000000106</v>
      </c>
      <c r="G35" s="1756">
        <f t="shared" si="20"/>
        <v>60.586999999999534</v>
      </c>
      <c r="H35" s="1756">
        <f t="shared" si="20"/>
        <v>164</v>
      </c>
      <c r="I35" s="1756">
        <f t="shared" si="20"/>
        <v>150</v>
      </c>
      <c r="J35" s="1756">
        <f t="shared" si="20"/>
        <v>150</v>
      </c>
      <c r="K35" s="1756">
        <v>155</v>
      </c>
      <c r="L35" s="1756">
        <f t="shared" ref="L35:T35" si="21">L34-K34</f>
        <v>214</v>
      </c>
      <c r="M35" s="1756">
        <f t="shared" si="21"/>
        <v>254</v>
      </c>
      <c r="N35" s="1756">
        <f t="shared" si="21"/>
        <v>199</v>
      </c>
      <c r="O35" s="1756">
        <f t="shared" si="21"/>
        <v>99</v>
      </c>
      <c r="P35" s="1756">
        <f t="shared" si="21"/>
        <v>105</v>
      </c>
      <c r="Q35" s="1756">
        <f t="shared" si="21"/>
        <v>169</v>
      </c>
      <c r="R35" s="1756">
        <f t="shared" si="21"/>
        <v>107</v>
      </c>
      <c r="S35" s="1756">
        <f t="shared" si="21"/>
        <v>57</v>
      </c>
      <c r="T35" s="1756">
        <f t="shared" si="21"/>
        <v>60</v>
      </c>
      <c r="U35" s="1756">
        <f>U34-T34</f>
        <v>47</v>
      </c>
      <c r="V35" s="1756">
        <f>V34-U34</f>
        <v>42</v>
      </c>
      <c r="W35" s="1439"/>
      <c r="X35" s="1439"/>
      <c r="Y35" s="1439"/>
      <c r="Z35" s="1439"/>
      <c r="AA35" s="1439"/>
      <c r="AB35" s="1439"/>
      <c r="AC35" s="1439"/>
      <c r="AD35" s="1439"/>
      <c r="AE35" s="1439"/>
      <c r="AF35" s="1439"/>
      <c r="AG35" s="1439"/>
    </row>
    <row r="36" spans="1:51" ht="16.5">
      <c r="A36" s="1439"/>
      <c r="B36" s="1751"/>
      <c r="C36" s="1751"/>
      <c r="D36" s="1751"/>
      <c r="E36" s="1751"/>
      <c r="F36" s="1751"/>
      <c r="G36" s="1751"/>
      <c r="H36" s="1751"/>
      <c r="I36" s="1751"/>
      <c r="J36" s="1751"/>
      <c r="K36" s="1751"/>
      <c r="L36" s="1751"/>
      <c r="M36" s="1751"/>
      <c r="N36" s="1751"/>
      <c r="O36" s="1751"/>
      <c r="P36" s="1751"/>
      <c r="Q36" s="1751"/>
      <c r="R36" s="1751"/>
      <c r="S36" s="1751"/>
      <c r="T36" s="1751"/>
      <c r="U36" s="1751"/>
      <c r="V36" s="1751"/>
      <c r="W36" s="1439"/>
      <c r="X36" s="1439"/>
      <c r="Y36" s="1439"/>
      <c r="Z36" s="1439"/>
      <c r="AA36" s="1439"/>
      <c r="AB36" s="1439"/>
      <c r="AC36" s="1439"/>
      <c r="AD36" s="1439"/>
      <c r="AE36" s="1439"/>
      <c r="AF36" s="1439"/>
      <c r="AG36" s="1439"/>
    </row>
    <row r="37" spans="1:51" ht="16.5">
      <c r="A37" s="1439"/>
      <c r="B37" s="1803" t="s">
        <v>4522</v>
      </c>
      <c r="C37" s="1804" t="s">
        <v>5797</v>
      </c>
      <c r="D37" s="1804" t="s">
        <v>5798</v>
      </c>
      <c r="E37" s="1804" t="s">
        <v>5799</v>
      </c>
      <c r="F37" s="1804" t="s">
        <v>5800</v>
      </c>
      <c r="G37" s="1804" t="str">
        <f ca="1">G30</f>
        <v>Q1 21</v>
      </c>
      <c r="H37" s="1804" t="str">
        <f>H30</f>
        <v>Q2 21</v>
      </c>
      <c r="I37" s="1804" t="str">
        <f>I30</f>
        <v>Q3 21</v>
      </c>
      <c r="J37" s="1804" t="s">
        <v>7048</v>
      </c>
      <c r="K37" s="1804" t="s">
        <v>7410</v>
      </c>
      <c r="L37" s="1804" t="str">
        <f>L30</f>
        <v>Q2 22</v>
      </c>
      <c r="M37" s="1804" t="str">
        <f>M30</f>
        <v>Q3 22</v>
      </c>
      <c r="N37" s="1804" t="str">
        <f>N30</f>
        <v>Q4 22</v>
      </c>
      <c r="O37" s="1804" t="s">
        <v>7993</v>
      </c>
      <c r="P37" s="1804" t="s">
        <v>8245</v>
      </c>
      <c r="Q37" s="1804" t="s">
        <v>8510</v>
      </c>
      <c r="R37" s="1804" t="s">
        <v>8529</v>
      </c>
      <c r="S37" s="1804" t="str">
        <f>S30</f>
        <v>Q1 24</v>
      </c>
      <c r="T37" s="1804" t="str">
        <f>T30</f>
        <v>Q2 24</v>
      </c>
      <c r="U37" s="1805" t="str">
        <f>U30</f>
        <v>Q3 24</v>
      </c>
      <c r="V37" s="1805" t="str">
        <f>V30</f>
        <v>Q4 24</v>
      </c>
      <c r="W37" s="1439"/>
      <c r="X37" s="1439"/>
      <c r="Y37" s="1439"/>
      <c r="Z37" s="1439"/>
      <c r="AA37" s="1439"/>
      <c r="AB37" s="1439"/>
      <c r="AC37" s="1439"/>
      <c r="AD37" s="1439"/>
      <c r="AE37" s="1439"/>
      <c r="AF37" s="1439"/>
      <c r="AG37" s="1439"/>
      <c r="AW37" s="599"/>
      <c r="AX37" s="599"/>
      <c r="AY37" s="599"/>
    </row>
    <row r="38" spans="1:51" ht="16.5">
      <c r="A38" s="1439"/>
      <c r="B38" s="1751" t="s">
        <v>2376</v>
      </c>
      <c r="C38" s="1759">
        <v>273</v>
      </c>
      <c r="D38" s="1759">
        <v>288</v>
      </c>
      <c r="E38" s="1759">
        <v>269</v>
      </c>
      <c r="F38" s="1759">
        <v>273</v>
      </c>
      <c r="G38" s="1759">
        <v>279</v>
      </c>
      <c r="H38" s="1759">
        <v>282</v>
      </c>
      <c r="I38" s="1759">
        <v>284</v>
      </c>
      <c r="J38" s="1759">
        <v>288</v>
      </c>
      <c r="K38" s="1759">
        <v>292</v>
      </c>
      <c r="L38" s="1759">
        <v>293</v>
      </c>
      <c r="M38" s="1759">
        <v>296</v>
      </c>
      <c r="N38" s="1759">
        <v>299</v>
      </c>
      <c r="O38" s="1759">
        <v>299</v>
      </c>
      <c r="P38" s="1759">
        <v>298</v>
      </c>
      <c r="Q38" s="1759">
        <v>297</v>
      </c>
      <c r="R38" s="1759">
        <v>297</v>
      </c>
      <c r="S38" s="1759">
        <v>299</v>
      </c>
      <c r="T38" s="1759">
        <v>300</v>
      </c>
      <c r="U38" s="1759">
        <v>303</v>
      </c>
      <c r="V38" s="1759">
        <v>305</v>
      </c>
      <c r="W38" s="1439"/>
      <c r="X38" s="1439"/>
      <c r="Y38" s="1439"/>
      <c r="Z38" s="1439"/>
      <c r="AA38" s="1439"/>
      <c r="AB38" s="1439"/>
      <c r="AC38" s="1439"/>
      <c r="AD38" s="1439"/>
      <c r="AE38" s="1439"/>
      <c r="AF38" s="1439"/>
      <c r="AG38" s="1439"/>
      <c r="AW38" s="454"/>
      <c r="AX38" s="454"/>
      <c r="AY38" s="454"/>
    </row>
    <row r="39" spans="1:51" ht="16.5">
      <c r="A39" s="1439"/>
      <c r="B39" s="1755" t="s">
        <v>8404</v>
      </c>
      <c r="C39" s="1756">
        <f ca="1">C50-SUM(C38:C45)-C48-C49-C43</f>
        <v>0</v>
      </c>
      <c r="D39" s="1756">
        <f ca="1">D50-SUM(D38:D45)-D48-D49</f>
        <v>0</v>
      </c>
      <c r="E39" s="1756">
        <f ca="1">E50-SUM(E38:E45)-E48-E49</f>
        <v>0</v>
      </c>
      <c r="F39" s="1756">
        <f ca="1">F50-SUM(F38:F45)-F48-F49</f>
        <v>0</v>
      </c>
      <c r="G39" s="1756">
        <v>279</v>
      </c>
      <c r="H39" s="1756">
        <v>283</v>
      </c>
      <c r="I39" s="1756">
        <v>288</v>
      </c>
      <c r="J39" s="1756">
        <v>289</v>
      </c>
      <c r="K39" s="1756">
        <f t="shared" ref="K39:R39" si="22">K50-K49-K48-K45-K44-K42-K38</f>
        <v>292</v>
      </c>
      <c r="L39" s="1756">
        <f t="shared" si="22"/>
        <v>292</v>
      </c>
      <c r="M39" s="1756">
        <f t="shared" si="22"/>
        <v>297</v>
      </c>
      <c r="N39" s="1756">
        <f t="shared" si="22"/>
        <v>298</v>
      </c>
      <c r="O39" s="1756">
        <f t="shared" si="22"/>
        <v>299</v>
      </c>
      <c r="P39" s="1756">
        <f t="shared" si="22"/>
        <v>295</v>
      </c>
      <c r="Q39" s="1756">
        <f t="shared" si="22"/>
        <v>291</v>
      </c>
      <c r="R39" s="1756">
        <f t="shared" si="22"/>
        <v>284</v>
      </c>
      <c r="S39" s="1756">
        <f>S40-S38</f>
        <v>281</v>
      </c>
      <c r="T39" s="1756">
        <f>T40-T38</f>
        <v>280</v>
      </c>
      <c r="U39" s="1756">
        <f>U40-U38</f>
        <v>280</v>
      </c>
      <c r="V39" s="1756">
        <f>V40-V38</f>
        <v>280</v>
      </c>
      <c r="W39" s="1439"/>
      <c r="X39" s="1439"/>
      <c r="Y39" s="1439"/>
      <c r="Z39" s="1439"/>
      <c r="AA39" s="1439"/>
      <c r="AB39" s="1439"/>
      <c r="AC39" s="1439"/>
      <c r="AD39" s="1439"/>
      <c r="AE39" s="1439"/>
      <c r="AF39" s="1439"/>
      <c r="AG39" s="1439"/>
      <c r="AW39" s="454"/>
      <c r="AX39" s="454"/>
      <c r="AY39" s="454"/>
    </row>
    <row r="40" spans="1:51" ht="16.5">
      <c r="A40" s="1439"/>
      <c r="B40" s="1792" t="s">
        <v>8749</v>
      </c>
      <c r="C40" s="1806"/>
      <c r="D40" s="1806"/>
      <c r="E40" s="1806"/>
      <c r="F40" s="1806"/>
      <c r="G40" s="1806">
        <f t="shared" ref="G40" si="23">G38+G39</f>
        <v>558</v>
      </c>
      <c r="H40" s="1806">
        <f t="shared" ref="H40" si="24">H38+H39</f>
        <v>565</v>
      </c>
      <c r="I40" s="1806">
        <f t="shared" ref="I40" si="25">I38+I39</f>
        <v>572</v>
      </c>
      <c r="J40" s="1806">
        <f t="shared" ref="J40" si="26">J38+J39</f>
        <v>577</v>
      </c>
      <c r="K40" s="1806">
        <f t="shared" ref="K40:Q40" si="27">K38+K39</f>
        <v>584</v>
      </c>
      <c r="L40" s="1806">
        <f t="shared" si="27"/>
        <v>585</v>
      </c>
      <c r="M40" s="1806">
        <f t="shared" si="27"/>
        <v>593</v>
      </c>
      <c r="N40" s="1806">
        <f t="shared" si="27"/>
        <v>597</v>
      </c>
      <c r="O40" s="1806">
        <f t="shared" si="27"/>
        <v>598</v>
      </c>
      <c r="P40" s="1806">
        <f t="shared" si="27"/>
        <v>593</v>
      </c>
      <c r="Q40" s="1806">
        <f t="shared" si="27"/>
        <v>588</v>
      </c>
      <c r="R40" s="1806">
        <f>R38+R39</f>
        <v>581</v>
      </c>
      <c r="S40" s="1806">
        <f>S50-S42-S44-S45-S48-S49</f>
        <v>580</v>
      </c>
      <c r="T40" s="1806">
        <f>T50-T42-T44-T45-T48-T49</f>
        <v>580</v>
      </c>
      <c r="U40" s="1806">
        <f>U50-U42-U44-U45-U48-U49</f>
        <v>583</v>
      </c>
      <c r="V40" s="1806">
        <f>V50-V42-V44-V45-V48-V49</f>
        <v>585</v>
      </c>
      <c r="W40" s="1439"/>
      <c r="X40" s="1439"/>
      <c r="Y40" s="1439"/>
      <c r="Z40" s="1439"/>
      <c r="AA40" s="1439"/>
      <c r="AB40" s="1439"/>
      <c r="AC40" s="1439"/>
      <c r="AD40" s="1439"/>
      <c r="AE40" s="1439"/>
      <c r="AF40" s="1439"/>
      <c r="AG40" s="1439"/>
      <c r="AW40" s="454"/>
      <c r="AX40" s="454"/>
      <c r="AY40" s="454"/>
    </row>
    <row r="41" spans="1:51" ht="8.25" customHeight="1">
      <c r="A41" s="1439"/>
      <c r="B41" s="1751"/>
      <c r="C41" s="1759"/>
      <c r="D41" s="1759"/>
      <c r="E41" s="1759"/>
      <c r="F41" s="1759"/>
      <c r="G41" s="1759"/>
      <c r="H41" s="1759"/>
      <c r="I41" s="1759"/>
      <c r="J41" s="1759"/>
      <c r="K41" s="1759"/>
      <c r="L41" s="1759"/>
      <c r="M41" s="1759"/>
      <c r="N41" s="1759"/>
      <c r="O41" s="1759"/>
      <c r="P41" s="1759"/>
      <c r="Q41" s="1759"/>
      <c r="R41" s="1759"/>
      <c r="S41" s="1759"/>
      <c r="T41" s="1759"/>
      <c r="U41" s="1759"/>
      <c r="V41" s="1759"/>
      <c r="W41" s="1439"/>
      <c r="X41" s="1439"/>
      <c r="Y41" s="1439"/>
      <c r="Z41" s="1439"/>
      <c r="AA41" s="1439"/>
      <c r="AB41" s="1439"/>
      <c r="AC41" s="1439"/>
      <c r="AD41" s="1439"/>
      <c r="AE41" s="1439"/>
      <c r="AF41" s="1439"/>
      <c r="AG41" s="1439"/>
      <c r="AW41" s="454"/>
      <c r="AX41" s="454"/>
      <c r="AY41" s="454"/>
    </row>
    <row r="42" spans="1:51" ht="16.5">
      <c r="A42" s="1439"/>
      <c r="B42" s="1755" t="s">
        <v>2379</v>
      </c>
      <c r="C42" s="1756">
        <v>533</v>
      </c>
      <c r="D42" s="1756">
        <v>550</v>
      </c>
      <c r="E42" s="1756">
        <v>586</v>
      </c>
      <c r="F42" s="1756">
        <v>606</v>
      </c>
      <c r="G42" s="1756">
        <v>642</v>
      </c>
      <c r="H42" s="1756">
        <v>654</v>
      </c>
      <c r="I42" s="1756">
        <v>670</v>
      </c>
      <c r="J42" s="1756">
        <v>675</v>
      </c>
      <c r="K42" s="1756">
        <v>696</v>
      </c>
      <c r="L42" s="1756">
        <v>703</v>
      </c>
      <c r="M42" s="1756">
        <v>707</v>
      </c>
      <c r="N42" s="1756">
        <v>723</v>
      </c>
      <c r="O42" s="1756">
        <v>724</v>
      </c>
      <c r="P42" s="1756">
        <v>721</v>
      </c>
      <c r="Q42" s="1756">
        <v>723</v>
      </c>
      <c r="R42" s="1756">
        <v>720</v>
      </c>
      <c r="S42" s="1756">
        <v>723</v>
      </c>
      <c r="T42" s="1756">
        <v>723</v>
      </c>
      <c r="U42" s="1756">
        <v>722</v>
      </c>
      <c r="V42" s="1756">
        <v>701</v>
      </c>
      <c r="W42" s="1439"/>
      <c r="X42" s="1439"/>
      <c r="Y42" s="1439"/>
      <c r="Z42" s="1439"/>
      <c r="AA42" s="1439"/>
      <c r="AB42" s="1439"/>
      <c r="AC42" s="1439"/>
      <c r="AD42" s="1439"/>
      <c r="AE42" s="1439"/>
      <c r="AF42" s="1439"/>
      <c r="AG42" s="1439"/>
      <c r="AW42" s="454"/>
      <c r="AX42" s="454"/>
      <c r="AY42" s="454"/>
    </row>
    <row r="43" spans="1:51" ht="16.5">
      <c r="A43" s="1439"/>
      <c r="B43" s="1751" t="s">
        <v>8403</v>
      </c>
      <c r="C43" s="1759">
        <v>176</v>
      </c>
      <c r="D43" s="1759">
        <v>165</v>
      </c>
      <c r="E43" s="1759">
        <v>174</v>
      </c>
      <c r="F43" s="1759">
        <v>176</v>
      </c>
      <c r="G43" s="1759">
        <v>182</v>
      </c>
      <c r="H43" s="1759">
        <v>184</v>
      </c>
      <c r="I43" s="1759">
        <v>185</v>
      </c>
      <c r="J43" s="1759">
        <v>188</v>
      </c>
      <c r="K43" s="1759">
        <v>192</v>
      </c>
      <c r="L43" s="1759">
        <v>194</v>
      </c>
      <c r="M43" s="1759">
        <v>194</v>
      </c>
      <c r="N43" s="1759">
        <v>196</v>
      </c>
      <c r="O43" s="1759">
        <v>197</v>
      </c>
      <c r="P43" s="1759">
        <v>196</v>
      </c>
      <c r="Q43" s="1759">
        <v>196</v>
      </c>
      <c r="R43" s="1759">
        <v>196</v>
      </c>
      <c r="S43" s="1759">
        <v>193</v>
      </c>
      <c r="T43" s="1759">
        <v>189</v>
      </c>
      <c r="U43" s="1759">
        <v>187</v>
      </c>
      <c r="V43" s="1759">
        <v>184</v>
      </c>
      <c r="W43" s="1439"/>
      <c r="X43" s="1439"/>
      <c r="Y43" s="1439"/>
      <c r="Z43" s="1439"/>
      <c r="AA43" s="1439"/>
      <c r="AB43" s="1439"/>
      <c r="AC43" s="1439"/>
      <c r="AD43" s="1439"/>
      <c r="AE43" s="1439"/>
      <c r="AF43" s="1439"/>
      <c r="AG43" s="1439"/>
      <c r="AW43" s="454"/>
      <c r="AX43" s="454"/>
      <c r="AY43" s="454"/>
    </row>
    <row r="44" spans="1:51" ht="16.5">
      <c r="A44" s="1439"/>
      <c r="B44" s="1755" t="s">
        <v>2377</v>
      </c>
      <c r="C44" s="1756">
        <v>535</v>
      </c>
      <c r="D44" s="1756">
        <v>495</v>
      </c>
      <c r="E44" s="1756">
        <v>532</v>
      </c>
      <c r="F44" s="1756">
        <v>564</v>
      </c>
      <c r="G44" s="1756">
        <v>615</v>
      </c>
      <c r="H44" s="1756">
        <v>647</v>
      </c>
      <c r="I44" s="1756">
        <v>664</v>
      </c>
      <c r="J44" s="1756">
        <v>676</v>
      </c>
      <c r="K44" s="1756">
        <v>691</v>
      </c>
      <c r="L44" s="1756">
        <v>696</v>
      </c>
      <c r="M44" s="1756">
        <v>709</v>
      </c>
      <c r="N44" s="1756">
        <v>720</v>
      </c>
      <c r="O44" s="1756">
        <v>696</v>
      </c>
      <c r="P44" s="1756">
        <v>663</v>
      </c>
      <c r="Q44" s="1756">
        <v>662</v>
      </c>
      <c r="R44" s="1756">
        <v>661</v>
      </c>
      <c r="S44" s="1756">
        <v>660</v>
      </c>
      <c r="T44" s="1756">
        <v>669</v>
      </c>
      <c r="U44" s="1756">
        <v>676</v>
      </c>
      <c r="V44" s="1756">
        <v>683</v>
      </c>
      <c r="W44" s="1439"/>
      <c r="X44" s="1439"/>
      <c r="Y44" s="1439"/>
      <c r="Z44" s="1439"/>
      <c r="AA44" s="1439"/>
      <c r="AB44" s="1439"/>
      <c r="AC44" s="1439"/>
      <c r="AD44" s="1439"/>
      <c r="AE44" s="1439"/>
      <c r="AF44" s="1439"/>
      <c r="AG44" s="1439"/>
      <c r="AW44" s="454"/>
      <c r="AX44" s="454"/>
      <c r="AY44" s="454"/>
    </row>
    <row r="45" spans="1:51" ht="16.5">
      <c r="A45" s="1439"/>
      <c r="B45" s="1751" t="s">
        <v>1665</v>
      </c>
      <c r="C45" s="1759">
        <v>1721</v>
      </c>
      <c r="D45" s="1759">
        <v>1689</v>
      </c>
      <c r="E45" s="1759">
        <v>1731</v>
      </c>
      <c r="F45" s="1759">
        <v>1740</v>
      </c>
      <c r="G45" s="1759">
        <v>1767</v>
      </c>
      <c r="H45" s="1759">
        <v>1782</v>
      </c>
      <c r="I45" s="1759">
        <v>1793</v>
      </c>
      <c r="J45" s="1759">
        <v>1797</v>
      </c>
      <c r="K45" s="1759">
        <v>1815</v>
      </c>
      <c r="L45" s="1759">
        <v>1811</v>
      </c>
      <c r="M45" s="1759">
        <v>1803</v>
      </c>
      <c r="N45" s="1759">
        <v>1807</v>
      </c>
      <c r="O45" s="1759">
        <v>1800</v>
      </c>
      <c r="P45" s="1759">
        <v>1731</v>
      </c>
      <c r="Q45" s="1759">
        <v>1632</v>
      </c>
      <c r="R45" s="1759">
        <v>1546</v>
      </c>
      <c r="S45" s="1759">
        <v>1513</v>
      </c>
      <c r="T45" s="1759">
        <v>1500</v>
      </c>
      <c r="U45" s="1759">
        <v>1533</v>
      </c>
      <c r="V45" s="1759">
        <v>1573</v>
      </c>
      <c r="W45" s="1439"/>
      <c r="X45" s="1439"/>
      <c r="Y45" s="1439"/>
      <c r="Z45" s="1439"/>
      <c r="AA45" s="1439"/>
      <c r="AB45" s="1439"/>
      <c r="AC45" s="1439"/>
      <c r="AD45" s="1439"/>
      <c r="AE45" s="1439"/>
      <c r="AF45" s="1439"/>
      <c r="AG45" s="1439"/>
      <c r="AW45" s="454"/>
      <c r="AX45" s="454"/>
      <c r="AY45" s="454"/>
    </row>
    <row r="46" spans="1:51" ht="16.5" hidden="1" outlineLevel="1">
      <c r="A46" s="1439"/>
      <c r="B46" s="1807" t="s">
        <v>4233</v>
      </c>
      <c r="C46" s="1759"/>
      <c r="D46" s="1759"/>
      <c r="E46" s="1759"/>
      <c r="F46" s="1759"/>
      <c r="G46" s="1751"/>
      <c r="H46" s="1751"/>
      <c r="I46" s="1751"/>
      <c r="J46" s="1751"/>
      <c r="K46" s="1751"/>
      <c r="L46" s="1751"/>
      <c r="M46" s="1751"/>
      <c r="N46" s="1751"/>
      <c r="O46" s="1751"/>
      <c r="P46" s="1751"/>
      <c r="Q46" s="1751"/>
      <c r="R46" s="1751"/>
      <c r="S46" s="1751"/>
      <c r="T46" s="1751"/>
      <c r="U46" s="1751"/>
      <c r="V46" s="1751"/>
      <c r="W46" s="1439"/>
      <c r="X46" s="1439"/>
      <c r="Y46" s="1439"/>
      <c r="Z46" s="1439"/>
      <c r="AA46" s="1439"/>
      <c r="AB46" s="1439"/>
      <c r="AC46" s="1439"/>
      <c r="AD46" s="1439"/>
      <c r="AE46" s="1439"/>
      <c r="AF46" s="1439"/>
      <c r="AG46" s="1439"/>
      <c r="AW46" s="454"/>
      <c r="AX46" s="454"/>
      <c r="AY46" s="454"/>
    </row>
    <row r="47" spans="1:51" ht="16.5" hidden="1" outlineLevel="1">
      <c r="A47" s="1439"/>
      <c r="B47" s="1807" t="s">
        <v>5118</v>
      </c>
      <c r="C47" s="1759"/>
      <c r="D47" s="1759"/>
      <c r="E47" s="1759"/>
      <c r="F47" s="1759"/>
      <c r="G47" s="1751"/>
      <c r="H47" s="1751"/>
      <c r="I47" s="1751"/>
      <c r="J47" s="1751"/>
      <c r="K47" s="1751"/>
      <c r="L47" s="1751"/>
      <c r="M47" s="1751"/>
      <c r="N47" s="1751"/>
      <c r="O47" s="1751"/>
      <c r="P47" s="1751"/>
      <c r="Q47" s="1751"/>
      <c r="R47" s="1751"/>
      <c r="S47" s="1751"/>
      <c r="T47" s="1751"/>
      <c r="U47" s="1751"/>
      <c r="V47" s="1751"/>
      <c r="W47" s="1439"/>
      <c r="X47" s="1439"/>
      <c r="Y47" s="1439"/>
      <c r="Z47" s="1439"/>
      <c r="AA47" s="1439"/>
      <c r="AB47" s="1439"/>
      <c r="AC47" s="1439"/>
      <c r="AD47" s="1439"/>
      <c r="AE47" s="1439"/>
      <c r="AF47" s="1439"/>
      <c r="AG47" s="1439"/>
      <c r="AW47" s="454"/>
      <c r="AX47" s="454"/>
      <c r="AY47" s="454"/>
    </row>
    <row r="48" spans="1:51" ht="16.5" collapsed="1">
      <c r="A48" s="1439"/>
      <c r="B48" s="1755" t="s">
        <v>2378</v>
      </c>
      <c r="C48" s="1756">
        <v>443</v>
      </c>
      <c r="D48" s="1756">
        <v>411</v>
      </c>
      <c r="E48" s="1756">
        <v>446</v>
      </c>
      <c r="F48" s="1756">
        <v>452</v>
      </c>
      <c r="G48" s="1756">
        <v>461</v>
      </c>
      <c r="H48" s="1756">
        <v>476</v>
      </c>
      <c r="I48" s="1756">
        <v>487</v>
      </c>
      <c r="J48" s="1756">
        <v>495</v>
      </c>
      <c r="K48" s="1756">
        <v>494</v>
      </c>
      <c r="L48" s="1756">
        <v>497</v>
      </c>
      <c r="M48" s="1756">
        <v>499</v>
      </c>
      <c r="N48" s="1756">
        <v>497</v>
      </c>
      <c r="O48" s="1756">
        <v>494</v>
      </c>
      <c r="P48" s="1756">
        <v>495</v>
      </c>
      <c r="Q48" s="1756">
        <v>503</v>
      </c>
      <c r="R48" s="1756">
        <v>487</v>
      </c>
      <c r="S48" s="1756">
        <v>480</v>
      </c>
      <c r="T48" s="1756">
        <v>477</v>
      </c>
      <c r="U48" s="1756">
        <v>484</v>
      </c>
      <c r="V48" s="1756">
        <v>481</v>
      </c>
      <c r="W48" s="1439"/>
      <c r="X48" s="1439"/>
      <c r="Y48" s="1439"/>
      <c r="Z48" s="1439"/>
      <c r="AA48" s="1439"/>
      <c r="AB48" s="1439"/>
      <c r="AC48" s="1439"/>
      <c r="AD48" s="1439"/>
      <c r="AE48" s="1439"/>
      <c r="AF48" s="1439"/>
      <c r="AG48" s="1439"/>
      <c r="AW48" s="454"/>
      <c r="AX48" s="454"/>
      <c r="AY48" s="454"/>
    </row>
    <row r="49" spans="1:51" ht="16.5">
      <c r="A49" s="1439"/>
      <c r="B49" s="1751" t="s">
        <v>2032</v>
      </c>
      <c r="C49" s="1759">
        <v>440</v>
      </c>
      <c r="D49" s="1759">
        <v>438</v>
      </c>
      <c r="E49" s="1759">
        <v>453</v>
      </c>
      <c r="F49" s="1759">
        <v>463</v>
      </c>
      <c r="G49" s="1759">
        <v>476</v>
      </c>
      <c r="H49" s="1759">
        <v>484</v>
      </c>
      <c r="I49" s="1759">
        <v>486</v>
      </c>
      <c r="J49" s="1759">
        <v>485</v>
      </c>
      <c r="K49" s="1759">
        <v>482</v>
      </c>
      <c r="L49" s="1759">
        <v>475</v>
      </c>
      <c r="M49" s="1759">
        <v>469</v>
      </c>
      <c r="N49" s="1759">
        <v>467</v>
      </c>
      <c r="O49" s="1759">
        <v>464</v>
      </c>
      <c r="P49" s="1759">
        <v>457</v>
      </c>
      <c r="Q49" s="1759">
        <v>446</v>
      </c>
      <c r="R49" s="1759">
        <v>440</v>
      </c>
      <c r="S49" s="1759">
        <v>436</v>
      </c>
      <c r="T49" s="1759">
        <v>434</v>
      </c>
      <c r="U49" s="1759">
        <v>435</v>
      </c>
      <c r="V49" s="1759">
        <v>438</v>
      </c>
      <c r="W49" s="1439"/>
      <c r="X49" s="1439"/>
      <c r="Y49" s="1439"/>
      <c r="Z49" s="1439"/>
      <c r="AA49" s="1439"/>
      <c r="AB49" s="1439"/>
      <c r="AC49" s="1439"/>
      <c r="AD49" s="1439"/>
      <c r="AE49" s="1439"/>
      <c r="AF49" s="1439"/>
      <c r="AG49" s="1439"/>
      <c r="AW49" s="454"/>
      <c r="AX49" s="454"/>
      <c r="AY49" s="454"/>
    </row>
    <row r="50" spans="1:51" ht="16.5">
      <c r="A50" s="1439"/>
      <c r="B50" s="1751" t="s">
        <v>4690</v>
      </c>
      <c r="C50" s="1759">
        <f>'New (new) quarts'!AK722</f>
        <v>4391</v>
      </c>
      <c r="D50" s="1759">
        <f>'New (new) quarts'!AL722</f>
        <v>4296</v>
      </c>
      <c r="E50" s="1759">
        <v>4453</v>
      </c>
      <c r="F50" s="1759">
        <v>4545</v>
      </c>
      <c r="G50" s="1759">
        <f t="shared" ref="G50:S50" ca="1" si="28">G8</f>
        <v>4701</v>
      </c>
      <c r="H50" s="1759">
        <f t="shared" si="28"/>
        <v>4792</v>
      </c>
      <c r="I50" s="1759">
        <f t="shared" si="28"/>
        <v>4857</v>
      </c>
      <c r="J50" s="1759">
        <f t="shared" si="28"/>
        <v>4893</v>
      </c>
      <c r="K50" s="1759">
        <f t="shared" si="28"/>
        <v>4762</v>
      </c>
      <c r="L50" s="1759">
        <f t="shared" si="28"/>
        <v>4767</v>
      </c>
      <c r="M50" s="1759">
        <f t="shared" si="28"/>
        <v>4780</v>
      </c>
      <c r="N50" s="1759">
        <f t="shared" si="28"/>
        <v>4811</v>
      </c>
      <c r="O50" s="1759">
        <f t="shared" si="28"/>
        <v>4776</v>
      </c>
      <c r="P50" s="1759">
        <f t="shared" si="28"/>
        <v>4660</v>
      </c>
      <c r="Q50" s="1759">
        <f t="shared" si="28"/>
        <v>4554</v>
      </c>
      <c r="R50" s="1759">
        <f t="shared" si="28"/>
        <v>4435</v>
      </c>
      <c r="S50" s="1759">
        <f t="shared" si="28"/>
        <v>4392</v>
      </c>
      <c r="T50" s="1759">
        <f t="shared" ref="T50" si="29">T8</f>
        <v>4383</v>
      </c>
      <c r="U50" s="1759">
        <f>U8</f>
        <v>4433</v>
      </c>
      <c r="V50" s="1759">
        <f>V8</f>
        <v>4461</v>
      </c>
      <c r="W50" s="1439"/>
      <c r="X50" s="1439"/>
      <c r="Y50" s="1439"/>
      <c r="Z50" s="1439"/>
      <c r="AA50" s="1439"/>
      <c r="AB50" s="1439"/>
      <c r="AC50" s="1439"/>
      <c r="AD50" s="1439"/>
      <c r="AE50" s="1439"/>
      <c r="AF50" s="1439"/>
      <c r="AG50" s="1439"/>
      <c r="AW50" s="485"/>
      <c r="AX50" s="485"/>
      <c r="AY50" s="485"/>
    </row>
    <row r="51" spans="1:51" ht="16.5">
      <c r="A51" s="1439"/>
      <c r="B51" s="1755" t="s">
        <v>1931</v>
      </c>
      <c r="C51" s="1769">
        <f t="shared" ref="C51:S51" si="30">C50/C6</f>
        <v>0.368099959551758</v>
      </c>
      <c r="D51" s="1769">
        <f t="shared" si="30"/>
        <v>0.35872818832829073</v>
      </c>
      <c r="E51" s="1769">
        <f t="shared" si="30"/>
        <v>0.36784203196169751</v>
      </c>
      <c r="F51" s="1769">
        <f t="shared" si="30"/>
        <v>0.37165753536675117</v>
      </c>
      <c r="G51" s="1769">
        <f t="shared" ca="1" si="30"/>
        <v>0.38381776616590463</v>
      </c>
      <c r="H51" s="1769">
        <f t="shared" si="30"/>
        <v>0.38635813915988065</v>
      </c>
      <c r="I51" s="1769">
        <f t="shared" si="30"/>
        <v>0.38735146343408566</v>
      </c>
      <c r="J51" s="1769">
        <f t="shared" si="30"/>
        <v>0.38570077250512375</v>
      </c>
      <c r="K51" s="1769">
        <f t="shared" si="30"/>
        <v>0.38914766691182479</v>
      </c>
      <c r="L51" s="1769">
        <f t="shared" si="30"/>
        <v>0.38295308483290491</v>
      </c>
      <c r="M51" s="1769">
        <f t="shared" si="30"/>
        <v>0.37637795275590552</v>
      </c>
      <c r="N51" s="1769">
        <f t="shared" si="30"/>
        <v>0.37280123982952346</v>
      </c>
      <c r="O51" s="1769">
        <f t="shared" si="30"/>
        <v>0.36735635720329207</v>
      </c>
      <c r="P51" s="1769">
        <f t="shared" si="30"/>
        <v>0.35580667328395815</v>
      </c>
      <c r="Q51" s="1769">
        <f t="shared" si="30"/>
        <v>0.34372405464563366</v>
      </c>
      <c r="R51" s="1769">
        <f t="shared" si="30"/>
        <v>0.33225951453401259</v>
      </c>
      <c r="S51" s="1769">
        <f t="shared" si="30"/>
        <v>0.32776119402985077</v>
      </c>
      <c r="T51" s="1769">
        <f t="shared" ref="T51" si="31">T50/T6</f>
        <v>0.32580093659406822</v>
      </c>
      <c r="U51" s="1769">
        <f>U50/U6</f>
        <v>0.32841902504074677</v>
      </c>
      <c r="V51" s="1769">
        <f>V50/V6</f>
        <v>0.32949257699977841</v>
      </c>
      <c r="W51" s="1439"/>
      <c r="X51" s="1439"/>
      <c r="Y51" s="1439"/>
      <c r="Z51" s="1439"/>
      <c r="AA51" s="1439"/>
      <c r="AB51" s="1439"/>
      <c r="AC51" s="1439"/>
      <c r="AD51" s="1439"/>
      <c r="AE51" s="1439"/>
      <c r="AF51" s="1439"/>
      <c r="AG51" s="1439"/>
      <c r="AW51" s="485"/>
      <c r="AX51" s="485"/>
      <c r="AY51" s="485"/>
    </row>
    <row r="52" spans="1:51" ht="16.5">
      <c r="A52" s="1439"/>
      <c r="B52" s="1751"/>
      <c r="C52" s="1808"/>
      <c r="D52" s="1751"/>
      <c r="E52" s="1751"/>
      <c r="F52" s="1751"/>
      <c r="G52" s="1751"/>
      <c r="H52" s="1751"/>
      <c r="I52" s="1751"/>
      <c r="J52" s="1751"/>
      <c r="K52" s="1751"/>
      <c r="L52" s="1751"/>
      <c r="M52" s="1751"/>
      <c r="N52" s="1751"/>
      <c r="O52" s="1751"/>
      <c r="P52" s="1751"/>
      <c r="Q52" s="1751"/>
      <c r="R52" s="1751"/>
      <c r="S52" s="1751"/>
      <c r="T52" s="1751"/>
      <c r="U52" s="1751"/>
      <c r="V52" s="1751"/>
      <c r="W52" s="1439"/>
      <c r="X52" s="1439"/>
      <c r="Y52" s="1439"/>
      <c r="Z52" s="1439"/>
      <c r="AA52" s="1439"/>
      <c r="AB52" s="1439"/>
      <c r="AC52" s="1439"/>
      <c r="AD52" s="1439"/>
      <c r="AE52" s="1439"/>
      <c r="AF52" s="1439"/>
      <c r="AG52" s="1439"/>
      <c r="AW52" s="485"/>
      <c r="AX52" s="485"/>
      <c r="AY52" s="485"/>
    </row>
    <row r="53" spans="1:51" ht="16.5">
      <c r="A53" s="1439"/>
      <c r="B53" s="1803" t="s">
        <v>4621</v>
      </c>
      <c r="C53" s="1804" t="str">
        <f t="shared" ref="C53:R53" si="32">C37</f>
        <v>Q1 20</v>
      </c>
      <c r="D53" s="1804" t="str">
        <f t="shared" si="32"/>
        <v>Q2 20</v>
      </c>
      <c r="E53" s="1804" t="str">
        <f t="shared" si="32"/>
        <v>Q3 20</v>
      </c>
      <c r="F53" s="1804" t="str">
        <f t="shared" si="32"/>
        <v>Q4 20</v>
      </c>
      <c r="G53" s="1804" t="str">
        <f t="shared" ca="1" si="32"/>
        <v>Q1 21</v>
      </c>
      <c r="H53" s="1804" t="str">
        <f t="shared" si="32"/>
        <v>Q2 21</v>
      </c>
      <c r="I53" s="1804" t="str">
        <f t="shared" si="32"/>
        <v>Q3 21</v>
      </c>
      <c r="J53" s="1804" t="str">
        <f t="shared" si="32"/>
        <v>Q4 21</v>
      </c>
      <c r="K53" s="1804" t="str">
        <f t="shared" si="32"/>
        <v>Q1 22</v>
      </c>
      <c r="L53" s="1804" t="str">
        <f t="shared" si="32"/>
        <v>Q2 22</v>
      </c>
      <c r="M53" s="1804" t="str">
        <f t="shared" si="32"/>
        <v>Q3 22</v>
      </c>
      <c r="N53" s="1804" t="str">
        <f t="shared" si="32"/>
        <v>Q4 22</v>
      </c>
      <c r="O53" s="1804" t="str">
        <f t="shared" si="32"/>
        <v>Q1 23</v>
      </c>
      <c r="P53" s="1804" t="str">
        <f t="shared" si="32"/>
        <v>Q2 23</v>
      </c>
      <c r="Q53" s="1804" t="str">
        <f t="shared" si="32"/>
        <v>Q3 23</v>
      </c>
      <c r="R53" s="1804" t="str">
        <f t="shared" si="32"/>
        <v>Q4 23</v>
      </c>
      <c r="S53" s="1804" t="str">
        <f>S30</f>
        <v>Q1 24</v>
      </c>
      <c r="T53" s="1804" t="str">
        <f>T30</f>
        <v>Q2 24</v>
      </c>
      <c r="U53" s="1805" t="str">
        <f>U30</f>
        <v>Q3 24</v>
      </c>
      <c r="V53" s="1805" t="str">
        <f>V30</f>
        <v>Q4 24</v>
      </c>
      <c r="W53" s="1439"/>
      <c r="X53" s="1439"/>
      <c r="Y53" s="1439"/>
      <c r="Z53" s="1439"/>
      <c r="AA53" s="1439"/>
      <c r="AB53" s="1439"/>
      <c r="AC53" s="1439"/>
      <c r="AD53" s="1439"/>
      <c r="AE53" s="1439"/>
      <c r="AF53" s="1439"/>
      <c r="AG53" s="1439"/>
      <c r="AW53" s="493"/>
      <c r="AX53" s="493"/>
      <c r="AY53" s="493"/>
    </row>
    <row r="54" spans="1:51" ht="16.5">
      <c r="A54" s="1439"/>
      <c r="B54" s="1751" t="str">
        <f>B38</f>
        <v>El Salvador</v>
      </c>
      <c r="C54" s="1808">
        <f>C38-AD38</f>
        <v>273</v>
      </c>
      <c r="D54" s="1808">
        <f t="shared" ref="D54:R54" si="33">D38-C38</f>
        <v>15</v>
      </c>
      <c r="E54" s="1808">
        <f t="shared" si="33"/>
        <v>-19</v>
      </c>
      <c r="F54" s="1808">
        <f t="shared" si="33"/>
        <v>4</v>
      </c>
      <c r="G54" s="1808">
        <f t="shared" si="33"/>
        <v>6</v>
      </c>
      <c r="H54" s="1808">
        <f t="shared" si="33"/>
        <v>3</v>
      </c>
      <c r="I54" s="1808">
        <f t="shared" si="33"/>
        <v>2</v>
      </c>
      <c r="J54" s="1808">
        <f t="shared" si="33"/>
        <v>4</v>
      </c>
      <c r="K54" s="1808">
        <f t="shared" si="33"/>
        <v>4</v>
      </c>
      <c r="L54" s="1808">
        <f t="shared" si="33"/>
        <v>1</v>
      </c>
      <c r="M54" s="1808">
        <f t="shared" si="33"/>
        <v>3</v>
      </c>
      <c r="N54" s="1808">
        <f t="shared" si="33"/>
        <v>3</v>
      </c>
      <c r="O54" s="1808">
        <f t="shared" si="33"/>
        <v>0</v>
      </c>
      <c r="P54" s="1808">
        <f t="shared" si="33"/>
        <v>-1</v>
      </c>
      <c r="Q54" s="1808">
        <f t="shared" si="33"/>
        <v>-1</v>
      </c>
      <c r="R54" s="1808">
        <f t="shared" si="33"/>
        <v>0</v>
      </c>
      <c r="S54" s="1808">
        <f t="shared" ref="S54:V55" si="34">S38-R38</f>
        <v>2</v>
      </c>
      <c r="T54" s="1808">
        <f t="shared" si="34"/>
        <v>1</v>
      </c>
      <c r="U54" s="1808">
        <f t="shared" si="34"/>
        <v>3</v>
      </c>
      <c r="V54" s="1808">
        <f t="shared" si="34"/>
        <v>2</v>
      </c>
      <c r="W54" s="1439"/>
      <c r="X54" s="1439"/>
      <c r="Y54" s="1439"/>
      <c r="Z54" s="1439"/>
      <c r="AA54" s="1439"/>
      <c r="AB54" s="1439"/>
      <c r="AC54" s="1439"/>
      <c r="AD54" s="1439"/>
      <c r="AE54" s="1439"/>
      <c r="AF54" s="1439"/>
      <c r="AG54" s="1439"/>
      <c r="AW54" s="454"/>
      <c r="AX54" s="454"/>
      <c r="AY54" s="454"/>
    </row>
    <row r="55" spans="1:51" ht="16.5">
      <c r="A55" s="1439"/>
      <c r="B55" s="1764" t="str">
        <f>B39</f>
        <v xml:space="preserve">Costa Rica/Nicaragua </v>
      </c>
      <c r="C55" s="1809">
        <f ca="1">C39-AD39</f>
        <v>0</v>
      </c>
      <c r="D55" s="1809">
        <f t="shared" ref="D55:R55" ca="1" si="35">D39-C39</f>
        <v>0</v>
      </c>
      <c r="E55" s="1809">
        <f t="shared" ca="1" si="35"/>
        <v>0</v>
      </c>
      <c r="F55" s="1809">
        <f t="shared" ca="1" si="35"/>
        <v>0</v>
      </c>
      <c r="G55" s="1809">
        <f t="shared" ca="1" si="35"/>
        <v>279</v>
      </c>
      <c r="H55" s="1809">
        <f t="shared" si="35"/>
        <v>4</v>
      </c>
      <c r="I55" s="1809">
        <f t="shared" si="35"/>
        <v>5</v>
      </c>
      <c r="J55" s="1809">
        <f t="shared" si="35"/>
        <v>1</v>
      </c>
      <c r="K55" s="1809">
        <f t="shared" si="35"/>
        <v>3</v>
      </c>
      <c r="L55" s="1809">
        <f t="shared" si="35"/>
        <v>0</v>
      </c>
      <c r="M55" s="1809">
        <f t="shared" si="35"/>
        <v>5</v>
      </c>
      <c r="N55" s="1809">
        <f t="shared" si="35"/>
        <v>1</v>
      </c>
      <c r="O55" s="1809">
        <f t="shared" si="35"/>
        <v>1</v>
      </c>
      <c r="P55" s="1809">
        <f t="shared" si="35"/>
        <v>-4</v>
      </c>
      <c r="Q55" s="1809">
        <f t="shared" si="35"/>
        <v>-4</v>
      </c>
      <c r="R55" s="1809">
        <f t="shared" si="35"/>
        <v>-7</v>
      </c>
      <c r="S55" s="1809">
        <f t="shared" si="34"/>
        <v>-3</v>
      </c>
      <c r="T55" s="1809">
        <f t="shared" si="34"/>
        <v>-1</v>
      </c>
      <c r="U55" s="1810">
        <f t="shared" si="34"/>
        <v>0</v>
      </c>
      <c r="V55" s="1810">
        <f t="shared" si="34"/>
        <v>0</v>
      </c>
      <c r="W55" s="1439"/>
      <c r="X55" s="1439"/>
      <c r="Y55" s="1439"/>
      <c r="Z55" s="1439"/>
      <c r="AA55" s="1439"/>
      <c r="AB55" s="1439"/>
      <c r="AC55" s="1439"/>
      <c r="AD55" s="1439"/>
      <c r="AE55" s="1439"/>
      <c r="AF55" s="1439"/>
      <c r="AG55" s="1439"/>
      <c r="AW55" s="454"/>
      <c r="AX55" s="454"/>
      <c r="AY55" s="454"/>
    </row>
    <row r="56" spans="1:51" ht="16.5">
      <c r="A56" s="1439"/>
      <c r="B56" s="1792" t="s">
        <v>8749</v>
      </c>
      <c r="C56" s="1808"/>
      <c r="D56" s="1808"/>
      <c r="E56" s="1808"/>
      <c r="F56" s="1808"/>
      <c r="G56" s="1808"/>
      <c r="H56" s="1808">
        <f t="shared" ref="H56:Q56" si="36">H40-G40</f>
        <v>7</v>
      </c>
      <c r="I56" s="1808">
        <f t="shared" si="36"/>
        <v>7</v>
      </c>
      <c r="J56" s="1808">
        <f t="shared" si="36"/>
        <v>5</v>
      </c>
      <c r="K56" s="1808">
        <f t="shared" si="36"/>
        <v>7</v>
      </c>
      <c r="L56" s="1808">
        <f t="shared" si="36"/>
        <v>1</v>
      </c>
      <c r="M56" s="1808">
        <f t="shared" si="36"/>
        <v>8</v>
      </c>
      <c r="N56" s="1808">
        <f t="shared" si="36"/>
        <v>4</v>
      </c>
      <c r="O56" s="1808">
        <f t="shared" si="36"/>
        <v>1</v>
      </c>
      <c r="P56" s="1808">
        <f t="shared" si="36"/>
        <v>-5</v>
      </c>
      <c r="Q56" s="1808">
        <f t="shared" si="36"/>
        <v>-5</v>
      </c>
      <c r="R56" s="1808">
        <f>R40-Q40</f>
        <v>-7</v>
      </c>
      <c r="S56" s="1808">
        <f t="shared" ref="S56:T56" si="37">S40-R40</f>
        <v>-1</v>
      </c>
      <c r="T56" s="1808">
        <f t="shared" si="37"/>
        <v>0</v>
      </c>
      <c r="U56" s="1808">
        <f>U40-T40</f>
        <v>3</v>
      </c>
      <c r="V56" s="1808">
        <f>V40-U40</f>
        <v>2</v>
      </c>
      <c r="W56" s="1439"/>
      <c r="X56" s="1439"/>
      <c r="Y56" s="1439"/>
      <c r="Z56" s="1439"/>
      <c r="AA56" s="1439"/>
      <c r="AB56" s="1439"/>
      <c r="AC56" s="1439"/>
      <c r="AD56" s="1439"/>
      <c r="AE56" s="1439"/>
      <c r="AF56" s="1439"/>
      <c r="AG56" s="1439"/>
      <c r="AW56" s="454"/>
      <c r="AX56" s="454"/>
      <c r="AY56" s="454"/>
    </row>
    <row r="57" spans="1:51" ht="6.75" customHeight="1">
      <c r="A57" s="1439"/>
      <c r="B57" s="1751"/>
      <c r="C57" s="1808"/>
      <c r="D57" s="1808"/>
      <c r="E57" s="1808"/>
      <c r="F57" s="1808"/>
      <c r="G57" s="1808"/>
      <c r="H57" s="1808"/>
      <c r="I57" s="1808"/>
      <c r="J57" s="1808"/>
      <c r="K57" s="1808"/>
      <c r="L57" s="1808"/>
      <c r="M57" s="1808"/>
      <c r="N57" s="1808"/>
      <c r="O57" s="1808"/>
      <c r="P57" s="1808"/>
      <c r="Q57" s="1808"/>
      <c r="R57" s="1808"/>
      <c r="S57" s="1808"/>
      <c r="T57" s="1808"/>
      <c r="U57" s="1808"/>
      <c r="V57" s="1808"/>
      <c r="W57" s="1439"/>
      <c r="X57" s="1439"/>
      <c r="Y57" s="1439"/>
      <c r="Z57" s="1439"/>
      <c r="AA57" s="1439"/>
      <c r="AB57" s="1439"/>
      <c r="AC57" s="1439"/>
      <c r="AD57" s="1439"/>
      <c r="AE57" s="1439"/>
      <c r="AF57" s="1439"/>
      <c r="AG57" s="1439"/>
      <c r="AW57" s="454"/>
      <c r="AX57" s="454"/>
      <c r="AY57" s="454"/>
    </row>
    <row r="58" spans="1:51" ht="16.5">
      <c r="A58" s="1439"/>
      <c r="B58" s="1755" t="str">
        <f t="shared" ref="B58:B66" si="38">B42</f>
        <v>Guatemala</v>
      </c>
      <c r="C58" s="1811">
        <f>C42-AD42</f>
        <v>533</v>
      </c>
      <c r="D58" s="1811">
        <f t="shared" ref="D58:T58" si="39">D42-C42</f>
        <v>17</v>
      </c>
      <c r="E58" s="1811">
        <f t="shared" si="39"/>
        <v>36</v>
      </c>
      <c r="F58" s="1811">
        <f t="shared" si="39"/>
        <v>20</v>
      </c>
      <c r="G58" s="1811">
        <f t="shared" si="39"/>
        <v>36</v>
      </c>
      <c r="H58" s="1811">
        <f t="shared" si="39"/>
        <v>12</v>
      </c>
      <c r="I58" s="1811">
        <f t="shared" si="39"/>
        <v>16</v>
      </c>
      <c r="J58" s="1811">
        <f t="shared" si="39"/>
        <v>5</v>
      </c>
      <c r="K58" s="1811">
        <f t="shared" si="39"/>
        <v>21</v>
      </c>
      <c r="L58" s="1811">
        <f t="shared" si="39"/>
        <v>7</v>
      </c>
      <c r="M58" s="1811">
        <f t="shared" si="39"/>
        <v>4</v>
      </c>
      <c r="N58" s="1811">
        <f t="shared" si="39"/>
        <v>16</v>
      </c>
      <c r="O58" s="1811">
        <f t="shared" si="39"/>
        <v>1</v>
      </c>
      <c r="P58" s="1811">
        <f t="shared" si="39"/>
        <v>-3</v>
      </c>
      <c r="Q58" s="1811">
        <f t="shared" si="39"/>
        <v>2</v>
      </c>
      <c r="R58" s="1811">
        <f t="shared" si="39"/>
        <v>-3</v>
      </c>
      <c r="S58" s="1811">
        <f t="shared" si="39"/>
        <v>3</v>
      </c>
      <c r="T58" s="1811">
        <f t="shared" si="39"/>
        <v>0</v>
      </c>
      <c r="U58" s="1811">
        <f t="shared" ref="U58:U65" si="40">U42-T42</f>
        <v>-1</v>
      </c>
      <c r="V58" s="1811">
        <f t="shared" ref="V58:V65" si="41">V42-U42</f>
        <v>-21</v>
      </c>
      <c r="W58" s="1439"/>
      <c r="X58" s="1439"/>
      <c r="Y58" s="1439"/>
      <c r="Z58" s="1439"/>
      <c r="AA58" s="1439"/>
      <c r="AB58" s="1439"/>
      <c r="AC58" s="1439"/>
      <c r="AD58" s="1439"/>
      <c r="AE58" s="1439"/>
      <c r="AF58" s="1439"/>
      <c r="AG58" s="1439"/>
      <c r="AW58" s="454"/>
      <c r="AX58" s="454"/>
      <c r="AY58" s="454"/>
    </row>
    <row r="59" spans="1:51" ht="16.5">
      <c r="A59" s="1439"/>
      <c r="B59" s="1751" t="str">
        <f t="shared" si="38"/>
        <v>Honduras (not consolidated)</v>
      </c>
      <c r="C59" s="1808">
        <f>C43-AD43</f>
        <v>176</v>
      </c>
      <c r="D59" s="1808">
        <f t="shared" ref="D59:T59" si="42">D43-C43</f>
        <v>-11</v>
      </c>
      <c r="E59" s="1808">
        <f t="shared" si="42"/>
        <v>9</v>
      </c>
      <c r="F59" s="1808">
        <f t="shared" si="42"/>
        <v>2</v>
      </c>
      <c r="G59" s="1808">
        <f t="shared" si="42"/>
        <v>6</v>
      </c>
      <c r="H59" s="1808">
        <f t="shared" si="42"/>
        <v>2</v>
      </c>
      <c r="I59" s="1808">
        <f t="shared" si="42"/>
        <v>1</v>
      </c>
      <c r="J59" s="1808">
        <f t="shared" si="42"/>
        <v>3</v>
      </c>
      <c r="K59" s="1808">
        <f t="shared" si="42"/>
        <v>4</v>
      </c>
      <c r="L59" s="1808">
        <f t="shared" si="42"/>
        <v>2</v>
      </c>
      <c r="M59" s="1808">
        <f t="shared" si="42"/>
        <v>0</v>
      </c>
      <c r="N59" s="1808">
        <f t="shared" si="42"/>
        <v>2</v>
      </c>
      <c r="O59" s="1808">
        <f t="shared" si="42"/>
        <v>1</v>
      </c>
      <c r="P59" s="1808">
        <f t="shared" si="42"/>
        <v>-1</v>
      </c>
      <c r="Q59" s="1808">
        <f t="shared" si="42"/>
        <v>0</v>
      </c>
      <c r="R59" s="1808">
        <f t="shared" si="42"/>
        <v>0</v>
      </c>
      <c r="S59" s="1808">
        <f t="shared" si="42"/>
        <v>-3</v>
      </c>
      <c r="T59" s="1808">
        <f t="shared" si="42"/>
        <v>-4</v>
      </c>
      <c r="U59" s="1808">
        <f t="shared" si="40"/>
        <v>-2</v>
      </c>
      <c r="V59" s="1808">
        <f t="shared" si="41"/>
        <v>-3</v>
      </c>
      <c r="W59" s="1439"/>
      <c r="X59" s="1439"/>
      <c r="Y59" s="1439"/>
      <c r="Z59" s="1439"/>
      <c r="AA59" s="1439"/>
      <c r="AB59" s="1439"/>
      <c r="AC59" s="1439"/>
      <c r="AD59" s="1439"/>
      <c r="AE59" s="1439"/>
      <c r="AF59" s="1439"/>
      <c r="AG59" s="1439"/>
      <c r="AW59" s="454"/>
      <c r="AX59" s="454"/>
      <c r="AY59" s="454"/>
    </row>
    <row r="60" spans="1:51" ht="16.5">
      <c r="A60" s="1439"/>
      <c r="B60" s="1755" t="str">
        <f t="shared" si="38"/>
        <v>Bolivia</v>
      </c>
      <c r="C60" s="1811">
        <f>C44-AD44</f>
        <v>535</v>
      </c>
      <c r="D60" s="1811">
        <f t="shared" ref="D60:T60" si="43">D44-C44</f>
        <v>-40</v>
      </c>
      <c r="E60" s="1811">
        <f t="shared" si="43"/>
        <v>37</v>
      </c>
      <c r="F60" s="1811">
        <f t="shared" si="43"/>
        <v>32</v>
      </c>
      <c r="G60" s="1811">
        <f t="shared" si="43"/>
        <v>51</v>
      </c>
      <c r="H60" s="1811">
        <f t="shared" si="43"/>
        <v>32</v>
      </c>
      <c r="I60" s="1811">
        <f t="shared" si="43"/>
        <v>17</v>
      </c>
      <c r="J60" s="1811">
        <f t="shared" si="43"/>
        <v>12</v>
      </c>
      <c r="K60" s="1811">
        <f t="shared" si="43"/>
        <v>15</v>
      </c>
      <c r="L60" s="1811">
        <f t="shared" si="43"/>
        <v>5</v>
      </c>
      <c r="M60" s="1811">
        <f t="shared" si="43"/>
        <v>13</v>
      </c>
      <c r="N60" s="1811">
        <f t="shared" si="43"/>
        <v>11</v>
      </c>
      <c r="O60" s="1811">
        <f t="shared" si="43"/>
        <v>-24</v>
      </c>
      <c r="P60" s="1811">
        <f t="shared" si="43"/>
        <v>-33</v>
      </c>
      <c r="Q60" s="1811">
        <f t="shared" si="43"/>
        <v>-1</v>
      </c>
      <c r="R60" s="1811">
        <f t="shared" si="43"/>
        <v>-1</v>
      </c>
      <c r="S60" s="1811">
        <f t="shared" si="43"/>
        <v>-1</v>
      </c>
      <c r="T60" s="1811">
        <f t="shared" si="43"/>
        <v>9</v>
      </c>
      <c r="U60" s="1811">
        <f t="shared" si="40"/>
        <v>7</v>
      </c>
      <c r="V60" s="1811">
        <f t="shared" si="41"/>
        <v>7</v>
      </c>
      <c r="W60" s="1439"/>
      <c r="X60" s="1439"/>
      <c r="Y60" s="1439"/>
      <c r="Z60" s="1439"/>
      <c r="AA60" s="1439"/>
      <c r="AB60" s="1439"/>
      <c r="AC60" s="1439"/>
      <c r="AD60" s="1439"/>
      <c r="AE60" s="1439"/>
      <c r="AF60" s="1439"/>
      <c r="AG60" s="1439"/>
      <c r="AW60" s="454"/>
      <c r="AX60" s="454"/>
      <c r="AY60" s="454"/>
    </row>
    <row r="61" spans="1:51" ht="16.5">
      <c r="A61" s="1439"/>
      <c r="B61" s="1751" t="str">
        <f t="shared" si="38"/>
        <v>Colombia</v>
      </c>
      <c r="C61" s="1808">
        <f>C45-AD45</f>
        <v>1721</v>
      </c>
      <c r="D61" s="1808">
        <f t="shared" ref="D61:T61" si="44">D45-C45</f>
        <v>-32</v>
      </c>
      <c r="E61" s="1808">
        <f t="shared" si="44"/>
        <v>42</v>
      </c>
      <c r="F61" s="1808">
        <f t="shared" si="44"/>
        <v>9</v>
      </c>
      <c r="G61" s="1808">
        <f t="shared" si="44"/>
        <v>27</v>
      </c>
      <c r="H61" s="1808">
        <f t="shared" si="44"/>
        <v>15</v>
      </c>
      <c r="I61" s="1808">
        <f t="shared" si="44"/>
        <v>11</v>
      </c>
      <c r="J61" s="1808">
        <f t="shared" si="44"/>
        <v>4</v>
      </c>
      <c r="K61" s="1808">
        <f t="shared" si="44"/>
        <v>18</v>
      </c>
      <c r="L61" s="1808">
        <f t="shared" si="44"/>
        <v>-4</v>
      </c>
      <c r="M61" s="1808">
        <f t="shared" si="44"/>
        <v>-8</v>
      </c>
      <c r="N61" s="1808">
        <f t="shared" si="44"/>
        <v>4</v>
      </c>
      <c r="O61" s="1808">
        <f t="shared" si="44"/>
        <v>-7</v>
      </c>
      <c r="P61" s="1808">
        <f t="shared" si="44"/>
        <v>-69</v>
      </c>
      <c r="Q61" s="1808">
        <f t="shared" si="44"/>
        <v>-99</v>
      </c>
      <c r="R61" s="1808">
        <f t="shared" si="44"/>
        <v>-86</v>
      </c>
      <c r="S61" s="1808">
        <f t="shared" si="44"/>
        <v>-33</v>
      </c>
      <c r="T61" s="1808">
        <f t="shared" si="44"/>
        <v>-13</v>
      </c>
      <c r="U61" s="1808">
        <f t="shared" si="40"/>
        <v>33</v>
      </c>
      <c r="V61" s="1808">
        <f t="shared" si="41"/>
        <v>40</v>
      </c>
      <c r="W61" s="1439"/>
      <c r="X61" s="1439"/>
      <c r="Y61" s="1439"/>
      <c r="Z61" s="1439"/>
      <c r="AA61" s="1439"/>
      <c r="AB61" s="1439"/>
      <c r="AC61" s="1439"/>
      <c r="AD61" s="1439"/>
      <c r="AE61" s="1439"/>
      <c r="AF61" s="1439"/>
      <c r="AG61" s="1439"/>
      <c r="AW61" s="454"/>
      <c r="AX61" s="454"/>
      <c r="AY61" s="454"/>
    </row>
    <row r="62" spans="1:51" ht="16.5" hidden="1" outlineLevel="1">
      <c r="A62" s="1439"/>
      <c r="B62" s="1751" t="str">
        <f t="shared" si="38"/>
        <v xml:space="preserve"> - of which HFC</v>
      </c>
      <c r="C62" s="1808"/>
      <c r="D62" s="1808"/>
      <c r="E62" s="1808">
        <f t="shared" ref="E62:T62" si="45">E46-D46</f>
        <v>0</v>
      </c>
      <c r="F62" s="1808">
        <f t="shared" si="45"/>
        <v>0</v>
      </c>
      <c r="G62" s="1808">
        <f t="shared" si="45"/>
        <v>0</v>
      </c>
      <c r="H62" s="1808">
        <f t="shared" si="45"/>
        <v>0</v>
      </c>
      <c r="I62" s="1808">
        <f t="shared" si="45"/>
        <v>0</v>
      </c>
      <c r="J62" s="1808">
        <f t="shared" si="45"/>
        <v>0</v>
      </c>
      <c r="K62" s="1808">
        <f t="shared" si="45"/>
        <v>0</v>
      </c>
      <c r="L62" s="1808">
        <f t="shared" si="45"/>
        <v>0</v>
      </c>
      <c r="M62" s="1808">
        <f t="shared" si="45"/>
        <v>0</v>
      </c>
      <c r="N62" s="1808">
        <f t="shared" si="45"/>
        <v>0</v>
      </c>
      <c r="O62" s="1808">
        <f t="shared" si="45"/>
        <v>0</v>
      </c>
      <c r="P62" s="1808">
        <f t="shared" si="45"/>
        <v>0</v>
      </c>
      <c r="Q62" s="1808">
        <f t="shared" si="45"/>
        <v>0</v>
      </c>
      <c r="R62" s="1808">
        <f t="shared" si="45"/>
        <v>0</v>
      </c>
      <c r="S62" s="1808">
        <f t="shared" si="45"/>
        <v>0</v>
      </c>
      <c r="T62" s="1808">
        <f t="shared" si="45"/>
        <v>0</v>
      </c>
      <c r="U62" s="1808">
        <f t="shared" si="40"/>
        <v>0</v>
      </c>
      <c r="V62" s="1808">
        <f t="shared" si="41"/>
        <v>0</v>
      </c>
      <c r="W62" s="1439"/>
      <c r="X62" s="1439"/>
      <c r="Y62" s="1439"/>
      <c r="Z62" s="1439"/>
      <c r="AA62" s="1439"/>
      <c r="AB62" s="1439"/>
      <c r="AC62" s="1439"/>
      <c r="AD62" s="1439"/>
      <c r="AE62" s="1439"/>
      <c r="AF62" s="1439"/>
      <c r="AG62" s="1439"/>
      <c r="AW62" s="454"/>
      <c r="AX62" s="454"/>
      <c r="AY62" s="454"/>
    </row>
    <row r="63" spans="1:51" ht="16.5" hidden="1" outlineLevel="1">
      <c r="A63" s="1439"/>
      <c r="B63" s="1751" t="str">
        <f t="shared" si="38"/>
        <v xml:space="preserve"> - of which copper/other</v>
      </c>
      <c r="C63" s="1808"/>
      <c r="D63" s="1808"/>
      <c r="E63" s="1808">
        <f t="shared" ref="E63:T63" si="46">E47-D47</f>
        <v>0</v>
      </c>
      <c r="F63" s="1808">
        <f t="shared" si="46"/>
        <v>0</v>
      </c>
      <c r="G63" s="1808">
        <f t="shared" si="46"/>
        <v>0</v>
      </c>
      <c r="H63" s="1808">
        <f t="shared" si="46"/>
        <v>0</v>
      </c>
      <c r="I63" s="1808">
        <f t="shared" si="46"/>
        <v>0</v>
      </c>
      <c r="J63" s="1808">
        <f t="shared" si="46"/>
        <v>0</v>
      </c>
      <c r="K63" s="1808">
        <f t="shared" si="46"/>
        <v>0</v>
      </c>
      <c r="L63" s="1808">
        <f t="shared" si="46"/>
        <v>0</v>
      </c>
      <c r="M63" s="1808">
        <f t="shared" si="46"/>
        <v>0</v>
      </c>
      <c r="N63" s="1808">
        <f t="shared" si="46"/>
        <v>0</v>
      </c>
      <c r="O63" s="1808">
        <f t="shared" si="46"/>
        <v>0</v>
      </c>
      <c r="P63" s="1808">
        <f t="shared" si="46"/>
        <v>0</v>
      </c>
      <c r="Q63" s="1808">
        <f t="shared" si="46"/>
        <v>0</v>
      </c>
      <c r="R63" s="1808">
        <f t="shared" si="46"/>
        <v>0</v>
      </c>
      <c r="S63" s="1808">
        <f t="shared" si="46"/>
        <v>0</v>
      </c>
      <c r="T63" s="1808">
        <f t="shared" si="46"/>
        <v>0</v>
      </c>
      <c r="U63" s="1808">
        <f t="shared" si="40"/>
        <v>0</v>
      </c>
      <c r="V63" s="1808">
        <f t="shared" si="41"/>
        <v>0</v>
      </c>
      <c r="W63" s="1439"/>
      <c r="X63" s="1439"/>
      <c r="Y63" s="1439"/>
      <c r="Z63" s="1439"/>
      <c r="AA63" s="1439"/>
      <c r="AB63" s="1439"/>
      <c r="AC63" s="1439"/>
      <c r="AD63" s="1439"/>
      <c r="AE63" s="1439"/>
      <c r="AF63" s="1439"/>
      <c r="AG63" s="1439"/>
      <c r="AW63" s="454"/>
      <c r="AX63" s="454"/>
      <c r="AY63" s="454"/>
    </row>
    <row r="64" spans="1:51" ht="16.5" collapsed="1">
      <c r="A64" s="1439"/>
      <c r="B64" s="1755" t="str">
        <f t="shared" si="38"/>
        <v>Paraguay</v>
      </c>
      <c r="C64" s="1811">
        <f>C48-AD48</f>
        <v>443</v>
      </c>
      <c r="D64" s="1811">
        <f>D48-C48</f>
        <v>-32</v>
      </c>
      <c r="E64" s="1811">
        <f t="shared" ref="E64:T64" si="47">E48-D48</f>
        <v>35</v>
      </c>
      <c r="F64" s="1811">
        <f t="shared" si="47"/>
        <v>6</v>
      </c>
      <c r="G64" s="1811">
        <f t="shared" si="47"/>
        <v>9</v>
      </c>
      <c r="H64" s="1811">
        <f t="shared" si="47"/>
        <v>15</v>
      </c>
      <c r="I64" s="1811">
        <f t="shared" si="47"/>
        <v>11</v>
      </c>
      <c r="J64" s="1811">
        <f t="shared" si="47"/>
        <v>8</v>
      </c>
      <c r="K64" s="1811">
        <f t="shared" si="47"/>
        <v>-1</v>
      </c>
      <c r="L64" s="1811">
        <f t="shared" si="47"/>
        <v>3</v>
      </c>
      <c r="M64" s="1811">
        <f t="shared" si="47"/>
        <v>2</v>
      </c>
      <c r="N64" s="1811">
        <f t="shared" si="47"/>
        <v>-2</v>
      </c>
      <c r="O64" s="1811">
        <f t="shared" si="47"/>
        <v>-3</v>
      </c>
      <c r="P64" s="1811">
        <f t="shared" si="47"/>
        <v>1</v>
      </c>
      <c r="Q64" s="1811">
        <f t="shared" si="47"/>
        <v>8</v>
      </c>
      <c r="R64" s="1811">
        <f t="shared" si="47"/>
        <v>-16</v>
      </c>
      <c r="S64" s="1811">
        <f t="shared" si="47"/>
        <v>-7</v>
      </c>
      <c r="T64" s="1811">
        <f t="shared" si="47"/>
        <v>-3</v>
      </c>
      <c r="U64" s="1811">
        <f t="shared" si="40"/>
        <v>7</v>
      </c>
      <c r="V64" s="1811">
        <f t="shared" si="41"/>
        <v>-3</v>
      </c>
      <c r="W64" s="1439"/>
      <c r="X64" s="1439"/>
      <c r="Y64" s="1439"/>
      <c r="Z64" s="1439"/>
      <c r="AA64" s="1439"/>
      <c r="AB64" s="1439"/>
      <c r="AC64" s="1439"/>
      <c r="AD64" s="1439"/>
      <c r="AE64" s="1439"/>
      <c r="AF64" s="1439"/>
      <c r="AG64" s="1439"/>
      <c r="AW64" s="454"/>
      <c r="AX64" s="454"/>
      <c r="AY64" s="454"/>
    </row>
    <row r="65" spans="1:51" ht="16.5">
      <c r="A65" s="1439"/>
      <c r="B65" s="1751" t="str">
        <f t="shared" si="38"/>
        <v>Panama</v>
      </c>
      <c r="C65" s="1808">
        <f>C49-AD49</f>
        <v>440</v>
      </c>
      <c r="D65" s="1808">
        <f>D49-C49</f>
        <v>-2</v>
      </c>
      <c r="E65" s="1808">
        <f t="shared" ref="E65:T65" si="48">E49-D49</f>
        <v>15</v>
      </c>
      <c r="F65" s="1808">
        <f t="shared" si="48"/>
        <v>10</v>
      </c>
      <c r="G65" s="1808">
        <f t="shared" si="48"/>
        <v>13</v>
      </c>
      <c r="H65" s="1808">
        <f t="shared" si="48"/>
        <v>8</v>
      </c>
      <c r="I65" s="1808">
        <f t="shared" si="48"/>
        <v>2</v>
      </c>
      <c r="J65" s="1808">
        <f t="shared" si="48"/>
        <v>-1</v>
      </c>
      <c r="K65" s="1808">
        <f t="shared" si="48"/>
        <v>-3</v>
      </c>
      <c r="L65" s="1808">
        <f t="shared" si="48"/>
        <v>-7</v>
      </c>
      <c r="M65" s="1808">
        <f t="shared" si="48"/>
        <v>-6</v>
      </c>
      <c r="N65" s="1808">
        <f t="shared" si="48"/>
        <v>-2</v>
      </c>
      <c r="O65" s="1808">
        <f t="shared" si="48"/>
        <v>-3</v>
      </c>
      <c r="P65" s="1808">
        <f t="shared" si="48"/>
        <v>-7</v>
      </c>
      <c r="Q65" s="1808">
        <f t="shared" si="48"/>
        <v>-11</v>
      </c>
      <c r="R65" s="1808">
        <f t="shared" si="48"/>
        <v>-6</v>
      </c>
      <c r="S65" s="1808">
        <f t="shared" si="48"/>
        <v>-4</v>
      </c>
      <c r="T65" s="1808">
        <f t="shared" si="48"/>
        <v>-2</v>
      </c>
      <c r="U65" s="1808">
        <f t="shared" si="40"/>
        <v>1</v>
      </c>
      <c r="V65" s="1808">
        <f t="shared" si="41"/>
        <v>3</v>
      </c>
      <c r="W65" s="1439"/>
      <c r="X65" s="1439"/>
      <c r="Y65" s="1439"/>
      <c r="Z65" s="1439"/>
      <c r="AA65" s="1439"/>
      <c r="AB65" s="1439"/>
      <c r="AC65" s="1439"/>
      <c r="AD65" s="1439"/>
      <c r="AE65" s="1439"/>
      <c r="AF65" s="1439"/>
      <c r="AG65" s="1439"/>
      <c r="AW65" s="454"/>
      <c r="AX65" s="454"/>
      <c r="AY65" s="454"/>
    </row>
    <row r="66" spans="1:51" ht="16.5">
      <c r="A66" s="1439"/>
      <c r="B66" s="1753" t="str">
        <f t="shared" si="38"/>
        <v>Total LatAm</v>
      </c>
      <c r="C66" s="1812">
        <f>C50-AD50</f>
        <v>4391</v>
      </c>
      <c r="D66" s="1813">
        <f>D50-C50</f>
        <v>-95</v>
      </c>
      <c r="E66" s="1813">
        <f t="shared" ref="E66:J66" si="49">E50-D50</f>
        <v>157</v>
      </c>
      <c r="F66" s="1813">
        <f t="shared" si="49"/>
        <v>92</v>
      </c>
      <c r="G66" s="1813">
        <f t="shared" ca="1" si="49"/>
        <v>156</v>
      </c>
      <c r="H66" s="1813">
        <f t="shared" ca="1" si="49"/>
        <v>91</v>
      </c>
      <c r="I66" s="1813">
        <f t="shared" si="49"/>
        <v>65</v>
      </c>
      <c r="J66" s="1813">
        <f t="shared" si="49"/>
        <v>36</v>
      </c>
      <c r="K66" s="1813">
        <f t="shared" ref="K66:Q66" si="50">SUM(K56:K65)</f>
        <v>61</v>
      </c>
      <c r="L66" s="1813">
        <f t="shared" si="50"/>
        <v>7</v>
      </c>
      <c r="M66" s="1813">
        <f t="shared" si="50"/>
        <v>13</v>
      </c>
      <c r="N66" s="1813">
        <f t="shared" si="50"/>
        <v>33</v>
      </c>
      <c r="O66" s="1813">
        <f t="shared" si="50"/>
        <v>-34</v>
      </c>
      <c r="P66" s="1813">
        <f t="shared" si="50"/>
        <v>-117</v>
      </c>
      <c r="Q66" s="1813">
        <f t="shared" si="50"/>
        <v>-106</v>
      </c>
      <c r="R66" s="1813">
        <f>SUM(R56:R65)</f>
        <v>-119</v>
      </c>
      <c r="S66" s="1813">
        <f>SUM(S56:S65)</f>
        <v>-46</v>
      </c>
      <c r="T66" s="1813">
        <f>SUM(T56:T65)</f>
        <v>-13</v>
      </c>
      <c r="U66" s="1814">
        <f>SUM(U56:U65)</f>
        <v>48</v>
      </c>
      <c r="V66" s="1814">
        <f>SUM(V56:V65)</f>
        <v>25</v>
      </c>
      <c r="W66" s="1439"/>
      <c r="X66" s="1439"/>
      <c r="Y66" s="1439"/>
      <c r="Z66" s="1439"/>
      <c r="AA66" s="1439"/>
      <c r="AB66" s="1439"/>
      <c r="AC66" s="1439"/>
      <c r="AD66" s="1439"/>
      <c r="AE66" s="1439"/>
      <c r="AF66" s="1439"/>
      <c r="AG66" s="1439"/>
      <c r="AW66" s="454"/>
      <c r="AX66" s="454"/>
      <c r="AY66" s="454"/>
    </row>
    <row r="67" spans="1:5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row>
    <row r="68" spans="1:51">
      <c r="A68" s="1439"/>
      <c r="B68" s="1572" t="s">
        <v>2842</v>
      </c>
      <c r="C68" s="1573" t="str">
        <f t="shared" ref="C68:P68" si="51">C37</f>
        <v>Q1 20</v>
      </c>
      <c r="D68" s="1573" t="str">
        <f t="shared" si="51"/>
        <v>Q2 20</v>
      </c>
      <c r="E68" s="1573" t="str">
        <f t="shared" si="51"/>
        <v>Q3 20</v>
      </c>
      <c r="F68" s="1573" t="str">
        <f t="shared" si="51"/>
        <v>Q4 20</v>
      </c>
      <c r="G68" s="1573" t="str">
        <f t="shared" ca="1" si="51"/>
        <v>Q1 21</v>
      </c>
      <c r="H68" s="1573" t="str">
        <f t="shared" si="51"/>
        <v>Q2 21</v>
      </c>
      <c r="I68" s="1573" t="str">
        <f t="shared" si="51"/>
        <v>Q3 21</v>
      </c>
      <c r="J68" s="1573" t="str">
        <f t="shared" si="51"/>
        <v>Q4 21</v>
      </c>
      <c r="K68" s="1573" t="str">
        <f t="shared" si="51"/>
        <v>Q1 22</v>
      </c>
      <c r="L68" s="1573" t="str">
        <f t="shared" si="51"/>
        <v>Q2 22</v>
      </c>
      <c r="M68" s="1573" t="str">
        <f t="shared" si="51"/>
        <v>Q3 22</v>
      </c>
      <c r="N68" s="1573" t="str">
        <f t="shared" si="51"/>
        <v>Q4 22</v>
      </c>
      <c r="O68" s="1573" t="str">
        <f t="shared" si="51"/>
        <v>Q1 23</v>
      </c>
      <c r="P68" s="1573" t="str">
        <f t="shared" si="51"/>
        <v>Q2 23</v>
      </c>
      <c r="Q68" s="1439"/>
      <c r="R68" s="1439"/>
      <c r="S68" s="1439"/>
      <c r="T68" s="1439"/>
      <c r="U68" s="1439"/>
      <c r="V68" s="1439"/>
      <c r="W68" s="1439"/>
      <c r="X68" s="1439"/>
      <c r="Y68" s="1439"/>
      <c r="Z68" s="1439"/>
      <c r="AA68" s="1439"/>
      <c r="AB68" s="1439"/>
      <c r="AC68" s="1439"/>
      <c r="AD68" s="1439"/>
      <c r="AE68" s="1439"/>
      <c r="AF68" s="1439"/>
      <c r="AG68" s="1439"/>
      <c r="AT68" s="463"/>
      <c r="AV68" s="463"/>
    </row>
    <row r="69" spans="1:51">
      <c r="A69" s="1439"/>
      <c r="B69" s="1439" t="s">
        <v>2376</v>
      </c>
      <c r="C69" s="1459">
        <v>2529.6370000000002</v>
      </c>
      <c r="D69" s="1459">
        <v>2416.2159999999999</v>
      </c>
      <c r="E69" s="1459">
        <v>2532.7530000000002</v>
      </c>
      <c r="F69" s="1459">
        <v>2685.2020000000002</v>
      </c>
      <c r="G69" s="1459">
        <v>2761</v>
      </c>
      <c r="H69" s="1459">
        <v>2796</v>
      </c>
      <c r="I69" s="1459">
        <v>2865</v>
      </c>
      <c r="J69" s="1459">
        <v>2919</v>
      </c>
      <c r="K69" s="1459">
        <v>2899</v>
      </c>
      <c r="L69" s="1459">
        <v>2968</v>
      </c>
      <c r="M69" s="1459">
        <v>2986</v>
      </c>
      <c r="N69" s="1459">
        <v>3026</v>
      </c>
      <c r="O69" s="1459">
        <v>3026</v>
      </c>
      <c r="P69" s="1459">
        <v>3026</v>
      </c>
      <c r="Q69" s="1439"/>
      <c r="R69" s="1439"/>
      <c r="S69" s="1439"/>
      <c r="T69" s="1439"/>
      <c r="U69" s="1439"/>
      <c r="V69" s="1439"/>
      <c r="W69" s="1439"/>
      <c r="X69" s="1439"/>
      <c r="Y69" s="1439"/>
      <c r="Z69" s="1439"/>
      <c r="AA69" s="1439"/>
      <c r="AB69" s="1439"/>
      <c r="AC69" s="1439"/>
      <c r="AD69" s="1439"/>
      <c r="AE69" s="1439"/>
      <c r="AF69" s="1439"/>
      <c r="AG69" s="1439"/>
    </row>
    <row r="70" spans="1:51">
      <c r="A70" s="1439"/>
      <c r="B70" s="1439" t="s">
        <v>2379</v>
      </c>
      <c r="C70" s="1459">
        <v>10707.596</v>
      </c>
      <c r="D70" s="1459">
        <v>10576.082</v>
      </c>
      <c r="E70" s="1459">
        <v>10903.710999999999</v>
      </c>
      <c r="F70" s="1459">
        <v>11416.441999999999</v>
      </c>
      <c r="G70" s="1459">
        <v>11516</v>
      </c>
      <c r="H70" s="1459">
        <v>11512</v>
      </c>
      <c r="I70" s="1459">
        <v>11566</v>
      </c>
      <c r="J70" s="1459">
        <v>11754</v>
      </c>
      <c r="K70" s="1459">
        <v>11773</v>
      </c>
      <c r="L70" s="1459">
        <v>11793</v>
      </c>
      <c r="M70" s="1459">
        <v>11684</v>
      </c>
      <c r="N70" s="1459">
        <v>11793</v>
      </c>
      <c r="O70" s="1459">
        <v>11793</v>
      </c>
      <c r="P70" s="1459">
        <v>11793</v>
      </c>
      <c r="Q70" s="1439"/>
      <c r="R70" s="1439"/>
      <c r="S70" s="1439"/>
      <c r="T70" s="1439"/>
      <c r="U70" s="1439"/>
      <c r="V70" s="1439"/>
      <c r="W70" s="1439"/>
      <c r="X70" s="1439"/>
      <c r="Y70" s="1439"/>
      <c r="Z70" s="1439"/>
      <c r="AA70" s="1439"/>
      <c r="AB70" s="1439"/>
      <c r="AC70" s="1439"/>
      <c r="AD70" s="1439"/>
      <c r="AE70" s="1439"/>
      <c r="AF70" s="1439"/>
      <c r="AG70" s="1439"/>
    </row>
    <row r="71" spans="1:51">
      <c r="A71" s="1439"/>
      <c r="B71" s="1439" t="s">
        <v>2380</v>
      </c>
      <c r="C71" s="1459">
        <v>4587.8109999999997</v>
      </c>
      <c r="D71" s="1459">
        <v>4278.509</v>
      </c>
      <c r="E71" s="1459">
        <v>4352.8029999999999</v>
      </c>
      <c r="F71" s="1459">
        <v>4619.7330000000002</v>
      </c>
      <c r="G71" s="1459">
        <v>4893</v>
      </c>
      <c r="H71" s="1459">
        <v>4974</v>
      </c>
      <c r="I71" s="1459">
        <v>4930</v>
      </c>
      <c r="J71" s="1459">
        <v>5079</v>
      </c>
      <c r="K71" s="1459">
        <v>5183</v>
      </c>
      <c r="L71" s="1459">
        <v>5092</v>
      </c>
      <c r="M71" s="1459">
        <v>5352</v>
      </c>
      <c r="N71" s="1439">
        <v>5152</v>
      </c>
      <c r="O71" s="1439">
        <v>5152</v>
      </c>
      <c r="P71" s="1439">
        <v>5152</v>
      </c>
      <c r="Q71" s="1439"/>
      <c r="R71" s="1439"/>
      <c r="S71" s="1439"/>
      <c r="T71" s="1439"/>
      <c r="U71" s="1439"/>
      <c r="V71" s="1439"/>
      <c r="W71" s="1439"/>
      <c r="X71" s="1439"/>
      <c r="Y71" s="1439"/>
      <c r="Z71" s="1439"/>
      <c r="AA71" s="1439"/>
      <c r="AB71" s="1439"/>
      <c r="AC71" s="1439"/>
      <c r="AD71" s="1439"/>
      <c r="AE71" s="1439"/>
      <c r="AF71" s="1439"/>
      <c r="AG71" s="1439"/>
    </row>
    <row r="72" spans="1:51">
      <c r="A72" s="1439"/>
      <c r="B72" s="1439" t="s">
        <v>2377</v>
      </c>
      <c r="C72" s="1459">
        <v>3779.7159999999999</v>
      </c>
      <c r="D72" s="1459">
        <v>3370.78</v>
      </c>
      <c r="E72" s="1459">
        <v>3712.643</v>
      </c>
      <c r="F72" s="1459">
        <v>3919.9549999999999</v>
      </c>
      <c r="G72" s="1459">
        <v>3971</v>
      </c>
      <c r="H72" s="1459">
        <v>3901</v>
      </c>
      <c r="I72" s="1459">
        <v>4029</v>
      </c>
      <c r="J72" s="1459">
        <v>4119</v>
      </c>
      <c r="K72" s="1459">
        <v>4123</v>
      </c>
      <c r="L72" s="1459">
        <v>3732</v>
      </c>
      <c r="M72" s="1459">
        <v>3665</v>
      </c>
      <c r="N72" s="1439">
        <v>3687</v>
      </c>
      <c r="O72" s="1439">
        <v>3687</v>
      </c>
      <c r="P72" s="1439">
        <v>3687</v>
      </c>
      <c r="Q72" s="1439"/>
      <c r="R72" s="1439"/>
      <c r="S72" s="1439"/>
      <c r="T72" s="1439"/>
      <c r="U72" s="1439"/>
      <c r="V72" s="1439"/>
      <c r="W72" s="1439"/>
      <c r="X72" s="1439"/>
      <c r="Y72" s="1439"/>
      <c r="Z72" s="1439"/>
      <c r="AA72" s="1439"/>
      <c r="AB72" s="1439"/>
      <c r="AC72" s="1439"/>
      <c r="AD72" s="1439"/>
      <c r="AE72" s="1439"/>
      <c r="AF72" s="1439"/>
      <c r="AG72" s="1439"/>
    </row>
    <row r="73" spans="1:51">
      <c r="A73" s="1439"/>
      <c r="B73" s="1439" t="s">
        <v>1665</v>
      </c>
      <c r="C73" s="1459">
        <v>9134.6810000000005</v>
      </c>
      <c r="D73" s="1459">
        <v>8703.5149999999994</v>
      </c>
      <c r="E73" s="1459">
        <v>9147.2970000000005</v>
      </c>
      <c r="F73" s="1459">
        <v>10025.284</v>
      </c>
      <c r="G73" s="1459">
        <v>10310</v>
      </c>
      <c r="H73" s="1459">
        <v>10432</v>
      </c>
      <c r="I73" s="1459">
        <v>10792</v>
      </c>
      <c r="J73" s="1459">
        <v>11271</v>
      </c>
      <c r="K73" s="1459">
        <v>11196</v>
      </c>
      <c r="L73" s="1459">
        <v>11215</v>
      </c>
      <c r="M73" s="1459">
        <v>11427</v>
      </c>
      <c r="N73" s="1439">
        <v>11511</v>
      </c>
      <c r="O73" s="1439">
        <v>11511</v>
      </c>
      <c r="P73" s="1439">
        <v>11511</v>
      </c>
      <c r="Q73" s="1439"/>
      <c r="R73" s="1439"/>
      <c r="S73" s="1439"/>
      <c r="T73" s="1439"/>
      <c r="U73" s="1439"/>
      <c r="V73" s="1439"/>
      <c r="W73" s="1439"/>
      <c r="X73" s="1439"/>
      <c r="Y73" s="1439"/>
      <c r="Z73" s="1439"/>
      <c r="AA73" s="1439"/>
      <c r="AB73" s="1439"/>
      <c r="AC73" s="1439"/>
      <c r="AD73" s="1439"/>
      <c r="AE73" s="1439"/>
      <c r="AF73" s="1439"/>
      <c r="AG73" s="1439"/>
    </row>
    <row r="74" spans="1:51">
      <c r="A74" s="1439"/>
      <c r="B74" s="1439" t="s">
        <v>2378</v>
      </c>
      <c r="C74" s="1459">
        <v>3478.1350000000002</v>
      </c>
      <c r="D74" s="1459">
        <v>3402.3220000000001</v>
      </c>
      <c r="E74" s="1459">
        <v>3599.3449999999998</v>
      </c>
      <c r="F74" s="1459">
        <v>3617.5320000000002</v>
      </c>
      <c r="G74" s="1459">
        <v>3683</v>
      </c>
      <c r="H74" s="1459">
        <v>3719</v>
      </c>
      <c r="I74" s="1459">
        <v>3839</v>
      </c>
      <c r="J74" s="1459">
        <v>3887</v>
      </c>
      <c r="K74" s="1459">
        <v>3961</v>
      </c>
      <c r="L74" s="1459">
        <v>4024</v>
      </c>
      <c r="M74" s="1459">
        <v>4053</v>
      </c>
      <c r="N74" s="1439">
        <v>4258</v>
      </c>
      <c r="O74" s="1439">
        <v>4258</v>
      </c>
      <c r="P74" s="1439">
        <v>4258</v>
      </c>
      <c r="Q74" s="1439"/>
      <c r="R74" s="1439"/>
      <c r="S74" s="1439"/>
      <c r="T74" s="1439"/>
      <c r="U74" s="1439"/>
      <c r="V74" s="1439"/>
      <c r="W74" s="1439"/>
      <c r="X74" s="1439"/>
      <c r="Y74" s="1439"/>
      <c r="Z74" s="1439"/>
      <c r="AA74" s="1439"/>
      <c r="AB74" s="1439"/>
      <c r="AC74" s="1439"/>
      <c r="AD74" s="1439"/>
      <c r="AE74" s="1439"/>
      <c r="AF74" s="1439"/>
      <c r="AG74" s="1439"/>
    </row>
    <row r="75" spans="1:51">
      <c r="A75" s="1439"/>
      <c r="B75" s="1439" t="s">
        <v>2032</v>
      </c>
      <c r="C75" s="1459">
        <v>1775.8309999999999</v>
      </c>
      <c r="D75" s="1459">
        <v>1675.434</v>
      </c>
      <c r="E75" s="1459">
        <v>1838.2560000000001</v>
      </c>
      <c r="F75" s="1459">
        <v>1957.492</v>
      </c>
      <c r="G75" s="1459">
        <v>2089</v>
      </c>
      <c r="H75" s="1459">
        <v>2132</v>
      </c>
      <c r="I75" s="1459">
        <v>2208</v>
      </c>
      <c r="J75" s="1459">
        <v>2095</v>
      </c>
      <c r="K75" s="1459">
        <v>2265</v>
      </c>
      <c r="L75" s="1459">
        <v>2363</v>
      </c>
      <c r="M75" s="1459">
        <v>2427</v>
      </c>
      <c r="N75" s="1439">
        <v>2441</v>
      </c>
      <c r="O75" s="1439">
        <v>2441</v>
      </c>
      <c r="P75" s="1439">
        <v>2441</v>
      </c>
      <c r="Q75" s="1439"/>
      <c r="R75" s="1439"/>
      <c r="S75" s="1439"/>
      <c r="T75" s="1439"/>
      <c r="U75" s="1439"/>
      <c r="V75" s="1439"/>
      <c r="W75" s="1439"/>
      <c r="X75" s="1439"/>
      <c r="Y75" s="1439"/>
      <c r="Z75" s="1439"/>
      <c r="AA75" s="1439"/>
      <c r="AB75" s="1439"/>
      <c r="AC75" s="1439"/>
      <c r="AD75" s="1439"/>
      <c r="AE75" s="1439"/>
      <c r="AF75" s="1439"/>
      <c r="AG75" s="1439"/>
    </row>
    <row r="76" spans="1:51">
      <c r="A76" s="1439"/>
      <c r="B76" s="1452" t="s">
        <v>6505</v>
      </c>
      <c r="C76" s="1574">
        <v>3455.8739999999998</v>
      </c>
      <c r="D76" s="1574">
        <v>3354.145</v>
      </c>
      <c r="E76" s="1574">
        <v>3396.4940000000001</v>
      </c>
      <c r="F76" s="1574">
        <v>3492.75</v>
      </c>
      <c r="G76" s="1574">
        <v>3582</v>
      </c>
      <c r="H76" s="1574">
        <v>3673</v>
      </c>
      <c r="I76" s="1574">
        <v>3674</v>
      </c>
      <c r="J76" s="1574">
        <v>3757</v>
      </c>
      <c r="K76" s="1574">
        <f>3740</f>
        <v>3740</v>
      </c>
      <c r="L76" s="1574">
        <v>3760</v>
      </c>
      <c r="M76" s="1574">
        <v>3773</v>
      </c>
      <c r="N76" s="1574">
        <v>3860</v>
      </c>
      <c r="O76" s="1574">
        <v>3860</v>
      </c>
      <c r="P76" s="1574">
        <v>3860</v>
      </c>
      <c r="Q76" s="1439"/>
      <c r="R76" s="1439"/>
      <c r="S76" s="1439"/>
      <c r="T76" s="1439"/>
      <c r="U76" s="1439"/>
      <c r="V76" s="1439"/>
      <c r="W76" s="1439"/>
      <c r="X76" s="1439"/>
      <c r="Y76" s="1439"/>
      <c r="Z76" s="1439"/>
      <c r="AA76" s="1439"/>
      <c r="AB76" s="1439"/>
      <c r="AC76" s="1439"/>
      <c r="AD76" s="1439"/>
      <c r="AE76" s="1439"/>
      <c r="AF76" s="1439"/>
      <c r="AG76" s="1439"/>
    </row>
    <row r="77" spans="1:51">
      <c r="A77" s="1439"/>
      <c r="B77" s="1439" t="s">
        <v>2324</v>
      </c>
      <c r="C77" s="1459">
        <f t="shared" ref="C77:L77" si="52">SUM(C69:C76)</f>
        <v>39449.281000000003</v>
      </c>
      <c r="D77" s="1459">
        <f t="shared" si="52"/>
        <v>37777.002999999997</v>
      </c>
      <c r="E77" s="1459">
        <f t="shared" si="52"/>
        <v>39483.302000000003</v>
      </c>
      <c r="F77" s="1459">
        <f t="shared" si="52"/>
        <v>41734.39</v>
      </c>
      <c r="G77" s="1459">
        <f t="shared" si="52"/>
        <v>42805</v>
      </c>
      <c r="H77" s="1459">
        <f t="shared" si="52"/>
        <v>43139</v>
      </c>
      <c r="I77" s="1459">
        <f t="shared" si="52"/>
        <v>43903</v>
      </c>
      <c r="J77" s="1459">
        <f t="shared" si="52"/>
        <v>44881</v>
      </c>
      <c r="K77" s="1459">
        <f t="shared" si="52"/>
        <v>45140</v>
      </c>
      <c r="L77" s="1459">
        <f t="shared" si="52"/>
        <v>44947</v>
      </c>
      <c r="M77" s="1459">
        <f t="shared" ref="M77:N77" si="53">SUM(M69:M76)</f>
        <v>45367</v>
      </c>
      <c r="N77" s="1459">
        <f t="shared" si="53"/>
        <v>45728</v>
      </c>
      <c r="O77" s="1459">
        <f t="shared" ref="O77:P77" si="54">SUM(O69:O76)</f>
        <v>45728</v>
      </c>
      <c r="P77" s="1459">
        <f t="shared" si="54"/>
        <v>45728</v>
      </c>
      <c r="Q77" s="1439"/>
      <c r="R77" s="1439"/>
      <c r="S77" s="1439"/>
      <c r="T77" s="1439"/>
      <c r="U77" s="1439"/>
      <c r="V77" s="1439"/>
      <c r="W77" s="1439"/>
      <c r="X77" s="1439"/>
      <c r="Y77" s="1439"/>
      <c r="Z77" s="1439"/>
      <c r="AA77" s="1439"/>
      <c r="AB77" s="1439"/>
      <c r="AC77" s="1439"/>
      <c r="AD77" s="1439"/>
      <c r="AE77" s="1439"/>
      <c r="AF77" s="1439"/>
      <c r="AG77" s="1439"/>
    </row>
    <row r="78" spans="1:51">
      <c r="A78" s="1439"/>
      <c r="B78" s="1439"/>
      <c r="C78" s="1439"/>
      <c r="D78" s="1439"/>
      <c r="E78" s="1439"/>
      <c r="F78" s="1439"/>
      <c r="G78" s="1439"/>
      <c r="H78" s="1439"/>
      <c r="I78" s="1439"/>
      <c r="J78" s="1439"/>
      <c r="K78" s="1439"/>
      <c r="L78" s="1439"/>
      <c r="M78" s="1439"/>
      <c r="N78" s="1439"/>
      <c r="O78" s="1439"/>
      <c r="P78" s="1439"/>
      <c r="Q78" s="1439"/>
      <c r="R78" s="1439"/>
      <c r="S78" s="1439"/>
      <c r="T78" s="1439"/>
      <c r="U78" s="1439"/>
      <c r="V78" s="1439"/>
      <c r="W78" s="1439"/>
      <c r="X78" s="1439"/>
      <c r="Y78" s="1439"/>
      <c r="Z78" s="1439"/>
      <c r="AA78" s="1439"/>
      <c r="AB78" s="1439"/>
      <c r="AC78" s="1439"/>
      <c r="AD78" s="1439"/>
      <c r="AE78" s="1439"/>
      <c r="AF78" s="1439"/>
      <c r="AG78" s="1439"/>
    </row>
    <row r="79" spans="1:51">
      <c r="A79" s="1439"/>
      <c r="B79" s="1572" t="s">
        <v>7033</v>
      </c>
      <c r="C79" s="1573" t="str">
        <f t="shared" ref="C79:L79" si="55">C68</f>
        <v>Q1 20</v>
      </c>
      <c r="D79" s="1573" t="str">
        <f t="shared" si="55"/>
        <v>Q2 20</v>
      </c>
      <c r="E79" s="1573" t="str">
        <f t="shared" si="55"/>
        <v>Q3 20</v>
      </c>
      <c r="F79" s="1573" t="str">
        <f t="shared" si="55"/>
        <v>Q4 20</v>
      </c>
      <c r="G79" s="1573" t="str">
        <f t="shared" ca="1" si="55"/>
        <v>Q1 21</v>
      </c>
      <c r="H79" s="1573" t="str">
        <f t="shared" si="55"/>
        <v>Q2 21</v>
      </c>
      <c r="I79" s="1573" t="str">
        <f t="shared" si="55"/>
        <v>Q3 21</v>
      </c>
      <c r="J79" s="1573" t="str">
        <f t="shared" si="55"/>
        <v>Q4 21</v>
      </c>
      <c r="K79" s="1573" t="str">
        <f t="shared" si="55"/>
        <v>Q1 22</v>
      </c>
      <c r="L79" s="1573" t="str">
        <f t="shared" si="55"/>
        <v>Q2 22</v>
      </c>
      <c r="M79" s="1573" t="str">
        <f t="shared" ref="M79:N79" si="56">M68</f>
        <v>Q3 22</v>
      </c>
      <c r="N79" s="1573" t="str">
        <f t="shared" si="56"/>
        <v>Q4 22</v>
      </c>
      <c r="O79" s="1573" t="str">
        <f t="shared" ref="O79:P79" si="57">O68</f>
        <v>Q1 23</v>
      </c>
      <c r="P79" s="1573" t="str">
        <f t="shared" si="57"/>
        <v>Q2 23</v>
      </c>
      <c r="Q79" s="1439"/>
      <c r="R79" s="1439"/>
      <c r="S79" s="1439"/>
      <c r="T79" s="1439"/>
      <c r="U79" s="1439"/>
      <c r="V79" s="1439"/>
      <c r="W79" s="1439"/>
      <c r="X79" s="1439"/>
      <c r="Y79" s="1439"/>
      <c r="Z79" s="1439"/>
      <c r="AA79" s="1439"/>
      <c r="AB79" s="1439"/>
      <c r="AC79" s="1439"/>
      <c r="AD79" s="1439"/>
      <c r="AE79" s="1439"/>
      <c r="AF79" s="1439"/>
      <c r="AG79" s="1439"/>
    </row>
    <row r="80" spans="1:51">
      <c r="A80" s="1439"/>
      <c r="B80" s="1439" t="str">
        <f t="shared" ref="B80:B88" si="58">B69</f>
        <v>El Salvador</v>
      </c>
      <c r="C80" s="1459">
        <f t="shared" ref="C80:C88" si="59">C69-AD69</f>
        <v>2529.6370000000002</v>
      </c>
      <c r="D80" s="1459">
        <f t="shared" ref="D80:P80" si="60">D69-C69</f>
        <v>-113.42100000000028</v>
      </c>
      <c r="E80" s="1459">
        <f t="shared" si="60"/>
        <v>116.53700000000026</v>
      </c>
      <c r="F80" s="1459">
        <f t="shared" si="60"/>
        <v>152.44900000000007</v>
      </c>
      <c r="G80" s="1459">
        <f t="shared" si="60"/>
        <v>75.797999999999774</v>
      </c>
      <c r="H80" s="1459">
        <f t="shared" si="60"/>
        <v>35</v>
      </c>
      <c r="I80" s="1459">
        <f t="shared" si="60"/>
        <v>69</v>
      </c>
      <c r="J80" s="1459">
        <f t="shared" si="60"/>
        <v>54</v>
      </c>
      <c r="K80" s="1459">
        <f t="shared" si="60"/>
        <v>-20</v>
      </c>
      <c r="L80" s="1459">
        <f t="shared" si="60"/>
        <v>69</v>
      </c>
      <c r="M80" s="1459">
        <f t="shared" si="60"/>
        <v>18</v>
      </c>
      <c r="N80" s="1459">
        <f t="shared" si="60"/>
        <v>40</v>
      </c>
      <c r="O80" s="1459">
        <f t="shared" si="60"/>
        <v>0</v>
      </c>
      <c r="P80" s="1459">
        <f t="shared" si="60"/>
        <v>0</v>
      </c>
      <c r="Q80" s="1439"/>
      <c r="R80" s="1439"/>
      <c r="S80" s="1439"/>
      <c r="T80" s="1439"/>
      <c r="U80" s="1439"/>
      <c r="V80" s="1439"/>
      <c r="W80" s="1439"/>
      <c r="X80" s="1439"/>
      <c r="Y80" s="1439"/>
      <c r="Z80" s="1439"/>
      <c r="AA80" s="1439"/>
      <c r="AB80" s="1439"/>
      <c r="AC80" s="1439"/>
      <c r="AD80" s="1439"/>
      <c r="AE80" s="1439"/>
      <c r="AF80" s="1439"/>
      <c r="AG80" s="1439"/>
    </row>
    <row r="81" spans="1:42">
      <c r="A81" s="1439" t="s">
        <v>7629</v>
      </c>
      <c r="B81" s="1439" t="str">
        <f t="shared" si="58"/>
        <v>Guatemala</v>
      </c>
      <c r="C81" s="1459">
        <f t="shared" si="59"/>
        <v>10707.596</v>
      </c>
      <c r="D81" s="1459">
        <f t="shared" ref="D81:P81" si="61">D70-C70</f>
        <v>-131.51399999999921</v>
      </c>
      <c r="E81" s="1459">
        <f t="shared" si="61"/>
        <v>327.628999999999</v>
      </c>
      <c r="F81" s="1459">
        <f t="shared" si="61"/>
        <v>512.73099999999977</v>
      </c>
      <c r="G81" s="1459">
        <f t="shared" si="61"/>
        <v>99.558000000000902</v>
      </c>
      <c r="H81" s="1459">
        <f t="shared" si="61"/>
        <v>-4</v>
      </c>
      <c r="I81" s="1459">
        <f t="shared" si="61"/>
        <v>54</v>
      </c>
      <c r="J81" s="1459">
        <f t="shared" si="61"/>
        <v>188</v>
      </c>
      <c r="K81" s="1459">
        <f t="shared" si="61"/>
        <v>19</v>
      </c>
      <c r="L81" s="1459">
        <f t="shared" si="61"/>
        <v>20</v>
      </c>
      <c r="M81" s="1459">
        <f t="shared" si="61"/>
        <v>-109</v>
      </c>
      <c r="N81" s="1459">
        <f t="shared" si="61"/>
        <v>109</v>
      </c>
      <c r="O81" s="1459">
        <f t="shared" si="61"/>
        <v>0</v>
      </c>
      <c r="P81" s="1459">
        <f t="shared" si="61"/>
        <v>0</v>
      </c>
      <c r="Q81" s="1439"/>
      <c r="R81" s="1439"/>
      <c r="S81" s="1439"/>
      <c r="T81" s="1439"/>
      <c r="U81" s="1439"/>
      <c r="V81" s="1439"/>
      <c r="W81" s="1439"/>
      <c r="X81" s="1439"/>
      <c r="Y81" s="1439"/>
      <c r="Z81" s="1439"/>
      <c r="AA81" s="1439"/>
      <c r="AB81" s="1439"/>
      <c r="AC81" s="1439"/>
      <c r="AD81" s="1439"/>
      <c r="AE81" s="1439"/>
      <c r="AF81" s="1439"/>
      <c r="AG81" s="1439"/>
    </row>
    <row r="82" spans="1:42">
      <c r="A82" s="1439"/>
      <c r="B82" s="1439" t="str">
        <f t="shared" si="58"/>
        <v>Honduras</v>
      </c>
      <c r="C82" s="1459">
        <f t="shared" si="59"/>
        <v>4587.8109999999997</v>
      </c>
      <c r="D82" s="1459">
        <f t="shared" ref="D82:P82" si="62">D71-C71</f>
        <v>-309.30199999999968</v>
      </c>
      <c r="E82" s="1459">
        <f t="shared" si="62"/>
        <v>74.293999999999869</v>
      </c>
      <c r="F82" s="1459">
        <f t="shared" si="62"/>
        <v>266.93000000000029</v>
      </c>
      <c r="G82" s="1459">
        <f t="shared" si="62"/>
        <v>273.26699999999983</v>
      </c>
      <c r="H82" s="1459">
        <f t="shared" si="62"/>
        <v>81</v>
      </c>
      <c r="I82" s="1459">
        <f t="shared" si="62"/>
        <v>-44</v>
      </c>
      <c r="J82" s="1459">
        <f t="shared" si="62"/>
        <v>149</v>
      </c>
      <c r="K82" s="1459">
        <f t="shared" si="62"/>
        <v>104</v>
      </c>
      <c r="L82" s="1459">
        <f t="shared" si="62"/>
        <v>-91</v>
      </c>
      <c r="M82" s="1459">
        <f t="shared" si="62"/>
        <v>260</v>
      </c>
      <c r="N82" s="1459">
        <f t="shared" si="62"/>
        <v>-200</v>
      </c>
      <c r="O82" s="1459">
        <f t="shared" si="62"/>
        <v>0</v>
      </c>
      <c r="P82" s="1459">
        <f t="shared" si="62"/>
        <v>0</v>
      </c>
      <c r="Q82" s="1439"/>
      <c r="R82" s="1439"/>
      <c r="S82" s="1439"/>
      <c r="T82" s="1439"/>
      <c r="U82" s="1439"/>
      <c r="V82" s="1439"/>
      <c r="W82" s="1439"/>
      <c r="X82" s="1439"/>
      <c r="Y82" s="1439"/>
      <c r="Z82" s="1439"/>
      <c r="AA82" s="1439"/>
      <c r="AB82" s="1439"/>
      <c r="AC82" s="1439"/>
      <c r="AD82" s="1439"/>
      <c r="AE82" s="1439"/>
      <c r="AF82" s="1439"/>
      <c r="AG82" s="1439"/>
    </row>
    <row r="83" spans="1:42">
      <c r="A83" s="1439"/>
      <c r="B83" s="1439" t="str">
        <f t="shared" si="58"/>
        <v>Bolivia</v>
      </c>
      <c r="C83" s="1459">
        <f t="shared" si="59"/>
        <v>3779.7159999999999</v>
      </c>
      <c r="D83" s="1459">
        <f t="shared" ref="D83:P83" si="63">D72-C72</f>
        <v>-408.93599999999969</v>
      </c>
      <c r="E83" s="1459">
        <f t="shared" si="63"/>
        <v>341.86299999999983</v>
      </c>
      <c r="F83" s="1459">
        <f t="shared" si="63"/>
        <v>207.3119999999999</v>
      </c>
      <c r="G83" s="1459">
        <f t="shared" si="63"/>
        <v>51.045000000000073</v>
      </c>
      <c r="H83" s="1459">
        <f t="shared" si="63"/>
        <v>-70</v>
      </c>
      <c r="I83" s="1459">
        <f t="shared" si="63"/>
        <v>128</v>
      </c>
      <c r="J83" s="1459">
        <f t="shared" si="63"/>
        <v>90</v>
      </c>
      <c r="K83" s="1459">
        <f t="shared" si="63"/>
        <v>4</v>
      </c>
      <c r="L83" s="1459">
        <f t="shared" si="63"/>
        <v>-391</v>
      </c>
      <c r="M83" s="1459">
        <f t="shared" si="63"/>
        <v>-67</v>
      </c>
      <c r="N83" s="1459">
        <f t="shared" si="63"/>
        <v>22</v>
      </c>
      <c r="O83" s="1459">
        <f t="shared" si="63"/>
        <v>0</v>
      </c>
      <c r="P83" s="1459">
        <f t="shared" si="63"/>
        <v>0</v>
      </c>
      <c r="Q83" s="1439"/>
      <c r="R83" s="1439"/>
      <c r="S83" s="1439"/>
      <c r="T83" s="1439"/>
      <c r="U83" s="1439"/>
      <c r="V83" s="1439"/>
      <c r="W83" s="1439"/>
      <c r="X83" s="1439"/>
      <c r="Y83" s="1439"/>
      <c r="Z83" s="1439"/>
      <c r="AA83" s="1439"/>
      <c r="AB83" s="1439"/>
      <c r="AC83" s="1439"/>
      <c r="AD83" s="1439"/>
      <c r="AE83" s="1439"/>
      <c r="AF83" s="1439"/>
      <c r="AG83" s="1439"/>
    </row>
    <row r="84" spans="1:42">
      <c r="A84" s="1439"/>
      <c r="B84" s="1439" t="str">
        <f t="shared" si="58"/>
        <v>Colombia</v>
      </c>
      <c r="C84" s="1459">
        <f t="shared" si="59"/>
        <v>9134.6810000000005</v>
      </c>
      <c r="D84" s="1459">
        <f t="shared" ref="D84:P84" si="64">D73-C73</f>
        <v>-431.16600000000108</v>
      </c>
      <c r="E84" s="1459">
        <f t="shared" si="64"/>
        <v>443.78200000000106</v>
      </c>
      <c r="F84" s="1459">
        <f t="shared" si="64"/>
        <v>877.98699999999917</v>
      </c>
      <c r="G84" s="1459">
        <f t="shared" si="64"/>
        <v>284.71600000000035</v>
      </c>
      <c r="H84" s="1459">
        <f t="shared" si="64"/>
        <v>122</v>
      </c>
      <c r="I84" s="1459">
        <f t="shared" si="64"/>
        <v>360</v>
      </c>
      <c r="J84" s="1459">
        <f t="shared" si="64"/>
        <v>479</v>
      </c>
      <c r="K84" s="1459">
        <f t="shared" si="64"/>
        <v>-75</v>
      </c>
      <c r="L84" s="1459">
        <f t="shared" si="64"/>
        <v>19</v>
      </c>
      <c r="M84" s="1459">
        <f t="shared" si="64"/>
        <v>212</v>
      </c>
      <c r="N84" s="1459">
        <f t="shared" si="64"/>
        <v>84</v>
      </c>
      <c r="O84" s="1459">
        <f t="shared" si="64"/>
        <v>0</v>
      </c>
      <c r="P84" s="1459">
        <f t="shared" si="64"/>
        <v>0</v>
      </c>
      <c r="Q84" s="1439"/>
      <c r="R84" s="1439"/>
      <c r="S84" s="1439"/>
      <c r="T84" s="1439"/>
      <c r="U84" s="1439"/>
      <c r="V84" s="1439"/>
      <c r="W84" s="1439"/>
      <c r="X84" s="1439"/>
      <c r="Y84" s="1439"/>
      <c r="Z84" s="1439"/>
      <c r="AA84" s="1439"/>
      <c r="AB84" s="1439"/>
      <c r="AC84" s="1439"/>
      <c r="AD84" s="1439"/>
      <c r="AE84" s="1439"/>
      <c r="AF84" s="1439"/>
      <c r="AG84" s="1439"/>
    </row>
    <row r="85" spans="1:42">
      <c r="A85" s="1439"/>
      <c r="B85" s="1439" t="str">
        <f t="shared" si="58"/>
        <v>Paraguay</v>
      </c>
      <c r="C85" s="1459">
        <f t="shared" si="59"/>
        <v>3478.1350000000002</v>
      </c>
      <c r="D85" s="1459">
        <f t="shared" ref="D85:P85" si="65">D74-C74</f>
        <v>-75.813000000000102</v>
      </c>
      <c r="E85" s="1459">
        <f t="shared" si="65"/>
        <v>197.02299999999968</v>
      </c>
      <c r="F85" s="1459">
        <f t="shared" si="65"/>
        <v>18.187000000000353</v>
      </c>
      <c r="G85" s="1459">
        <f t="shared" si="65"/>
        <v>65.467999999999847</v>
      </c>
      <c r="H85" s="1459">
        <f t="shared" si="65"/>
        <v>36</v>
      </c>
      <c r="I85" s="1459">
        <f t="shared" si="65"/>
        <v>120</v>
      </c>
      <c r="J85" s="1459">
        <f t="shared" si="65"/>
        <v>48</v>
      </c>
      <c r="K85" s="1459">
        <f t="shared" si="65"/>
        <v>74</v>
      </c>
      <c r="L85" s="1459">
        <f t="shared" si="65"/>
        <v>63</v>
      </c>
      <c r="M85" s="1459">
        <f t="shared" si="65"/>
        <v>29</v>
      </c>
      <c r="N85" s="1459">
        <f t="shared" si="65"/>
        <v>205</v>
      </c>
      <c r="O85" s="1459">
        <f t="shared" si="65"/>
        <v>0</v>
      </c>
      <c r="P85" s="1459">
        <f t="shared" si="65"/>
        <v>0</v>
      </c>
      <c r="Q85" s="1439"/>
      <c r="R85" s="1439"/>
      <c r="S85" s="1439"/>
      <c r="T85" s="1439"/>
      <c r="U85" s="1439"/>
      <c r="V85" s="1439"/>
      <c r="W85" s="1439"/>
      <c r="X85" s="1439"/>
      <c r="Y85" s="1439"/>
      <c r="Z85" s="1439"/>
      <c r="AA85" s="1439"/>
      <c r="AB85" s="1439"/>
      <c r="AC85" s="1439"/>
      <c r="AD85" s="1439"/>
      <c r="AE85" s="1439"/>
      <c r="AF85" s="1439"/>
      <c r="AG85" s="1439"/>
    </row>
    <row r="86" spans="1:42">
      <c r="A86" s="1439"/>
      <c r="B86" s="1439" t="str">
        <f t="shared" si="58"/>
        <v>Panama</v>
      </c>
      <c r="C86" s="1459">
        <f t="shared" si="59"/>
        <v>1775.8309999999999</v>
      </c>
      <c r="D86" s="1459">
        <f t="shared" ref="D86:P86" si="66">D75-C75</f>
        <v>-100.39699999999993</v>
      </c>
      <c r="E86" s="1459">
        <f t="shared" si="66"/>
        <v>162.82200000000012</v>
      </c>
      <c r="F86" s="1459">
        <f t="shared" si="66"/>
        <v>119.23599999999988</v>
      </c>
      <c r="G86" s="1459">
        <f t="shared" si="66"/>
        <v>131.50800000000004</v>
      </c>
      <c r="H86" s="1459">
        <f t="shared" si="66"/>
        <v>43</v>
      </c>
      <c r="I86" s="1459">
        <f t="shared" si="66"/>
        <v>76</v>
      </c>
      <c r="J86" s="1459">
        <f t="shared" si="66"/>
        <v>-113</v>
      </c>
      <c r="K86" s="1459">
        <f t="shared" si="66"/>
        <v>170</v>
      </c>
      <c r="L86" s="1459">
        <f t="shared" si="66"/>
        <v>98</v>
      </c>
      <c r="M86" s="1459">
        <f t="shared" si="66"/>
        <v>64</v>
      </c>
      <c r="N86" s="1459">
        <f t="shared" si="66"/>
        <v>14</v>
      </c>
      <c r="O86" s="1459">
        <f t="shared" si="66"/>
        <v>0</v>
      </c>
      <c r="P86" s="1459">
        <f t="shared" si="66"/>
        <v>0</v>
      </c>
      <c r="Q86" s="1439"/>
      <c r="R86" s="1439"/>
      <c r="S86" s="1439"/>
      <c r="T86" s="1439"/>
      <c r="U86" s="1439"/>
      <c r="V86" s="1439"/>
      <c r="W86" s="1439"/>
      <c r="X86" s="1439"/>
      <c r="Y86" s="1439"/>
      <c r="Z86" s="1439"/>
      <c r="AA86" s="1439"/>
      <c r="AB86" s="1439"/>
      <c r="AC86" s="1439"/>
      <c r="AD86" s="1439"/>
      <c r="AE86" s="1439"/>
      <c r="AF86" s="1439"/>
      <c r="AG86" s="1439"/>
    </row>
    <row r="87" spans="1:42">
      <c r="A87" s="1439"/>
      <c r="B87" s="1452" t="str">
        <f t="shared" si="58"/>
        <v>Nicaragua &amp; Costa Rica</v>
      </c>
      <c r="C87" s="1574">
        <f t="shared" si="59"/>
        <v>3455.8739999999998</v>
      </c>
      <c r="D87" s="1574">
        <f t="shared" ref="D87:P87" si="67">D76-C76</f>
        <v>-101.72899999999981</v>
      </c>
      <c r="E87" s="1574">
        <f t="shared" si="67"/>
        <v>42.34900000000016</v>
      </c>
      <c r="F87" s="1574">
        <f t="shared" si="67"/>
        <v>96.255999999999858</v>
      </c>
      <c r="G87" s="1574">
        <f t="shared" si="67"/>
        <v>89.25</v>
      </c>
      <c r="H87" s="1574">
        <f t="shared" si="67"/>
        <v>91</v>
      </c>
      <c r="I87" s="1574">
        <f t="shared" si="67"/>
        <v>1</v>
      </c>
      <c r="J87" s="1574">
        <f t="shared" si="67"/>
        <v>83</v>
      </c>
      <c r="K87" s="1574">
        <f t="shared" si="67"/>
        <v>-17</v>
      </c>
      <c r="L87" s="1574">
        <f t="shared" si="67"/>
        <v>20</v>
      </c>
      <c r="M87" s="1574">
        <f t="shared" si="67"/>
        <v>13</v>
      </c>
      <c r="N87" s="1574">
        <f t="shared" si="67"/>
        <v>87</v>
      </c>
      <c r="O87" s="1574">
        <f t="shared" si="67"/>
        <v>0</v>
      </c>
      <c r="P87" s="1574">
        <f t="shared" si="67"/>
        <v>0</v>
      </c>
      <c r="Q87" s="1439"/>
      <c r="R87" s="1439"/>
      <c r="S87" s="1439"/>
      <c r="T87" s="1439"/>
      <c r="U87" s="1439"/>
      <c r="V87" s="1439"/>
      <c r="W87" s="1439"/>
      <c r="X87" s="1439"/>
      <c r="Y87" s="1439"/>
      <c r="Z87" s="1439"/>
      <c r="AA87" s="1439"/>
      <c r="AB87" s="1439"/>
      <c r="AC87" s="1439"/>
      <c r="AD87" s="1439"/>
      <c r="AE87" s="1439"/>
      <c r="AF87" s="1439"/>
      <c r="AG87" s="1439"/>
    </row>
    <row r="88" spans="1:42">
      <c r="A88" s="1439"/>
      <c r="B88" s="1439" t="str">
        <f t="shared" si="58"/>
        <v>Total</v>
      </c>
      <c r="C88" s="1459">
        <f t="shared" si="59"/>
        <v>39449.281000000003</v>
      </c>
      <c r="D88" s="1459">
        <f t="shared" ref="D88:P88" si="68">D77-C77</f>
        <v>-1672.2780000000057</v>
      </c>
      <c r="E88" s="1459">
        <f t="shared" si="68"/>
        <v>1706.2990000000063</v>
      </c>
      <c r="F88" s="1459">
        <f t="shared" si="68"/>
        <v>2251.0879999999961</v>
      </c>
      <c r="G88" s="1459">
        <f t="shared" si="68"/>
        <v>1070.6100000000006</v>
      </c>
      <c r="H88" s="1459">
        <f t="shared" si="68"/>
        <v>334</v>
      </c>
      <c r="I88" s="1459">
        <f t="shared" si="68"/>
        <v>764</v>
      </c>
      <c r="J88" s="1459">
        <f t="shared" si="68"/>
        <v>978</v>
      </c>
      <c r="K88" s="1459">
        <f t="shared" si="68"/>
        <v>259</v>
      </c>
      <c r="L88" s="1459">
        <f t="shared" si="68"/>
        <v>-193</v>
      </c>
      <c r="M88" s="1459">
        <f t="shared" si="68"/>
        <v>420</v>
      </c>
      <c r="N88" s="1459">
        <f t="shared" si="68"/>
        <v>361</v>
      </c>
      <c r="O88" s="1459">
        <f t="shared" si="68"/>
        <v>0</v>
      </c>
      <c r="P88" s="1459">
        <f t="shared" si="68"/>
        <v>0</v>
      </c>
      <c r="Q88" s="1439"/>
      <c r="R88" s="1439"/>
      <c r="S88" s="1439"/>
      <c r="T88" s="1439"/>
      <c r="U88" s="1439"/>
      <c r="V88" s="1439"/>
      <c r="W88" s="1439"/>
      <c r="X88" s="1439"/>
      <c r="Y88" s="1439"/>
      <c r="Z88" s="1439"/>
      <c r="AA88" s="1439"/>
      <c r="AB88" s="1439"/>
      <c r="AC88" s="1439"/>
      <c r="AD88" s="1439"/>
      <c r="AE88" s="1439"/>
      <c r="AF88" s="1439"/>
      <c r="AG88" s="1439"/>
    </row>
    <row r="89" spans="1:42">
      <c r="A89" s="1439"/>
      <c r="B89" s="1439"/>
      <c r="C89" s="1459"/>
      <c r="D89" s="1459"/>
      <c r="E89" s="1459"/>
      <c r="F89" s="1459"/>
      <c r="G89" s="1459"/>
      <c r="H89" s="1459"/>
      <c r="I89" s="1459"/>
      <c r="J89" s="1459"/>
      <c r="K89" s="1459"/>
      <c r="L89" s="1459"/>
      <c r="M89" s="1459"/>
      <c r="N89" s="1439"/>
      <c r="O89" s="1439"/>
      <c r="P89" s="1439"/>
      <c r="Q89" s="1439"/>
      <c r="R89" s="1439"/>
      <c r="S89" s="1439"/>
      <c r="T89" s="1439"/>
      <c r="U89" s="1439"/>
      <c r="V89" s="1439"/>
      <c r="W89" s="1439"/>
      <c r="X89" s="1439"/>
      <c r="Y89" s="1439"/>
      <c r="Z89" s="1439"/>
      <c r="AA89" s="1439"/>
      <c r="AB89" s="1439"/>
      <c r="AC89" s="1439"/>
      <c r="AD89" s="1439"/>
      <c r="AE89" s="1439"/>
      <c r="AF89" s="1439"/>
      <c r="AG89" s="1439"/>
    </row>
    <row r="90" spans="1:42" ht="16.5">
      <c r="A90" s="1439"/>
      <c r="B90" s="1751"/>
      <c r="C90" s="1752"/>
      <c r="D90" s="1752" t="s">
        <v>821</v>
      </c>
      <c r="E90" s="1752"/>
      <c r="F90" s="1752" t="s">
        <v>1644</v>
      </c>
      <c r="G90" s="1751"/>
      <c r="H90" s="1752"/>
      <c r="I90" s="1751"/>
      <c r="J90" s="1439"/>
      <c r="K90" s="1439"/>
      <c r="L90" s="1439"/>
      <c r="M90" s="1439"/>
      <c r="N90" s="1439"/>
      <c r="O90" s="1439"/>
      <c r="P90" s="1439"/>
      <c r="Q90" s="1439"/>
      <c r="R90" s="1439"/>
      <c r="S90" s="1439"/>
      <c r="T90" s="1439"/>
      <c r="U90" s="1439"/>
      <c r="V90" s="1439"/>
      <c r="W90" s="1439"/>
      <c r="X90" s="1439"/>
      <c r="Y90" s="1439"/>
      <c r="Z90" s="1439"/>
      <c r="AA90" s="1439"/>
      <c r="AB90" s="1439"/>
      <c r="AC90" s="1439"/>
      <c r="AD90" s="1439"/>
      <c r="AE90" s="1439"/>
      <c r="AF90" s="1439"/>
      <c r="AG90" s="1439"/>
      <c r="AP90" s="463"/>
    </row>
    <row r="91" spans="1:42" ht="16.5">
      <c r="A91" s="1439"/>
      <c r="B91" s="1753" t="s">
        <v>5114</v>
      </c>
      <c r="C91" s="1754" t="s">
        <v>9124</v>
      </c>
      <c r="D91" s="1754" t="s">
        <v>8515</v>
      </c>
      <c r="E91" s="1754" t="s">
        <v>1833</v>
      </c>
      <c r="F91" s="1754" t="str">
        <f>D91</f>
        <v>Q4 24e</v>
      </c>
      <c r="G91" s="1754" t="s">
        <v>1833</v>
      </c>
      <c r="H91" s="1754" t="s">
        <v>8529</v>
      </c>
      <c r="I91" s="1754" t="s">
        <v>945</v>
      </c>
      <c r="J91" s="1439"/>
      <c r="K91" s="1439"/>
      <c r="L91" s="1439"/>
      <c r="M91" s="1439"/>
      <c r="N91" s="1439"/>
      <c r="O91" s="1439"/>
      <c r="P91" s="1439"/>
      <c r="Q91" s="1439"/>
      <c r="R91" s="1439"/>
      <c r="S91" s="1439"/>
      <c r="T91" s="1439"/>
      <c r="U91" s="1439"/>
      <c r="V91" s="1439"/>
      <c r="W91" s="1439"/>
      <c r="X91" s="1439"/>
      <c r="Y91" s="1439"/>
      <c r="Z91" s="1439"/>
      <c r="AA91" s="1439"/>
      <c r="AB91" s="1439"/>
      <c r="AC91" s="1439"/>
      <c r="AD91" s="1439"/>
      <c r="AE91" s="1439"/>
      <c r="AF91" s="1439"/>
      <c r="AG91" s="1439"/>
    </row>
    <row r="92" spans="1:42" ht="16.5">
      <c r="A92" s="1439"/>
      <c r="B92" s="1755" t="s">
        <v>758</v>
      </c>
      <c r="C92" s="1756">
        <f>'New (new) quarts'!BH34</f>
        <v>1428.2592</v>
      </c>
      <c r="D92" s="1756" t="e">
        <f>'New (new) quarts'!#REF!</f>
        <v>#REF!</v>
      </c>
      <c r="E92" s="1757" t="e">
        <f>C92/D92-1</f>
        <v>#REF!</v>
      </c>
      <c r="F92" s="1756">
        <v>1460</v>
      </c>
      <c r="G92" s="1757">
        <f>C92/F92-1</f>
        <v>-2.1740273972602808E-2</v>
      </c>
      <c r="H92" s="1756">
        <f>'New (new) quarts'!BC34</f>
        <v>1475</v>
      </c>
      <c r="I92" s="1758">
        <f>C92/H92-1</f>
        <v>-3.1688677966101753E-2</v>
      </c>
      <c r="J92" s="1439"/>
      <c r="K92" s="1575">
        <v>1416.2086926434556</v>
      </c>
      <c r="L92" s="1439"/>
      <c r="M92" s="1439"/>
      <c r="N92" s="1439"/>
      <c r="O92" s="1439"/>
      <c r="P92" s="1439"/>
      <c r="Q92" s="1439"/>
      <c r="R92" s="1439"/>
      <c r="S92" s="1439"/>
      <c r="T92" s="1439"/>
      <c r="U92" s="1439"/>
      <c r="V92" s="1439"/>
      <c r="W92" s="1439"/>
      <c r="X92" s="1439"/>
      <c r="Y92" s="1439"/>
      <c r="Z92" s="1439"/>
      <c r="AA92" s="1439"/>
      <c r="AB92" s="1439"/>
      <c r="AC92" s="1439"/>
      <c r="AD92" s="1439"/>
      <c r="AE92" s="1439"/>
      <c r="AF92" s="1439"/>
      <c r="AG92" s="1439"/>
    </row>
    <row r="93" spans="1:42" ht="16.5">
      <c r="A93" s="1439"/>
      <c r="B93" s="1751" t="s">
        <v>1531</v>
      </c>
      <c r="C93" s="1759">
        <f>'New (new) quarts'!BH71</f>
        <v>1335.2755</v>
      </c>
      <c r="D93" s="1759" t="e">
        <f>'New (new) quarts'!#REF!</f>
        <v>#REF!</v>
      </c>
      <c r="E93" s="1760" t="e">
        <f t="shared" ref="E93:E103" si="69">C93/D93-1</f>
        <v>#REF!</v>
      </c>
      <c r="F93" s="1759">
        <v>1355</v>
      </c>
      <c r="G93" s="1760">
        <f t="shared" ref="G93:G103" si="70">C93/F93-1</f>
        <v>-1.4556826568265735E-2</v>
      </c>
      <c r="H93" s="1759">
        <f>'New (new) quarts'!BC71</f>
        <v>1375</v>
      </c>
      <c r="I93" s="1761">
        <f t="shared" ref="I93:I103" si="71">C93/H93-1</f>
        <v>-2.8890545454545502E-2</v>
      </c>
      <c r="J93" s="1439"/>
      <c r="K93" s="1575">
        <v>1295.4467921468552</v>
      </c>
      <c r="L93" s="1439"/>
      <c r="M93" s="1439"/>
      <c r="N93" s="1439"/>
      <c r="O93" s="1439"/>
      <c r="P93" s="1439"/>
      <c r="Q93" s="1439"/>
      <c r="R93" s="1439"/>
      <c r="S93" s="1439"/>
      <c r="T93" s="1439"/>
      <c r="U93" s="1439"/>
      <c r="V93" s="1439"/>
      <c r="W93" s="1439"/>
      <c r="X93" s="1439"/>
      <c r="Y93" s="1439"/>
      <c r="Z93" s="1439"/>
      <c r="AA93" s="1439"/>
      <c r="AB93" s="1439"/>
      <c r="AC93" s="1439"/>
      <c r="AD93" s="1439"/>
      <c r="AE93" s="1439"/>
      <c r="AF93" s="1439"/>
      <c r="AG93" s="1439"/>
    </row>
    <row r="94" spans="1:42" ht="16.5">
      <c r="A94" s="1439"/>
      <c r="B94" s="1755" t="s">
        <v>8244</v>
      </c>
      <c r="C94" s="1756">
        <f>'New (new) quarts'!BH140</f>
        <v>647.90179999999998</v>
      </c>
      <c r="D94" s="1756" t="e">
        <f>'New (new) quarts'!#REF!</f>
        <v>#REF!</v>
      </c>
      <c r="E94" s="1757" t="e">
        <f t="shared" si="69"/>
        <v>#REF!</v>
      </c>
      <c r="F94" s="1756" t="e">
        <f>F96+(D94-D96)</f>
        <v>#REF!</v>
      </c>
      <c r="G94" s="1757" t="e">
        <f t="shared" ref="G94:G96" si="72">C94/F94-1</f>
        <v>#REF!</v>
      </c>
      <c r="H94" s="1756">
        <f>'New (new) quarts'!BC140</f>
        <v>598.50170000000003</v>
      </c>
      <c r="I94" s="1758">
        <f t="shared" si="71"/>
        <v>8.2539615175696079E-2</v>
      </c>
      <c r="J94" s="1439"/>
      <c r="K94" s="1575">
        <v>565.34023889769821</v>
      </c>
      <c r="L94" s="1439"/>
      <c r="M94" s="1439"/>
      <c r="N94" s="1439"/>
      <c r="O94" s="1439"/>
      <c r="P94" s="1439"/>
      <c r="Q94" s="1439"/>
      <c r="R94" s="1439"/>
      <c r="S94" s="1439"/>
      <c r="T94" s="1439"/>
      <c r="U94" s="1439"/>
      <c r="V94" s="1439"/>
      <c r="W94" s="1439"/>
      <c r="X94" s="1439"/>
      <c r="Y94" s="1439"/>
      <c r="Z94" s="1439"/>
      <c r="AA94" s="1439"/>
      <c r="AB94" s="1439"/>
      <c r="AC94" s="1439"/>
      <c r="AD94" s="1439"/>
      <c r="AE94" s="1439"/>
      <c r="AF94" s="1439"/>
      <c r="AG94" s="1439"/>
    </row>
    <row r="95" spans="1:42" ht="16.5">
      <c r="A95" s="1439"/>
      <c r="B95" s="1751" t="s">
        <v>1434</v>
      </c>
      <c r="C95" s="1762">
        <f>C94/C92</f>
        <v>0.45363040546141764</v>
      </c>
      <c r="D95" s="1762" t="e">
        <f>D94/D92</f>
        <v>#REF!</v>
      </c>
      <c r="E95" s="1760"/>
      <c r="F95" s="1762"/>
      <c r="G95" s="1760"/>
      <c r="H95" s="1762">
        <f>H94/H92</f>
        <v>0.4057638644067797</v>
      </c>
      <c r="I95" s="1761">
        <f t="shared" si="71"/>
        <v>0.11796649542614657</v>
      </c>
      <c r="J95" s="1439"/>
      <c r="K95" s="1576">
        <f>K94/K92</f>
        <v>0.39919274739265292</v>
      </c>
      <c r="L95" s="1439"/>
      <c r="M95" s="1439"/>
      <c r="N95" s="1439"/>
      <c r="O95" s="1439"/>
      <c r="P95" s="1439"/>
      <c r="Q95" s="1439"/>
      <c r="R95" s="1439"/>
      <c r="S95" s="1439"/>
      <c r="T95" s="1439"/>
      <c r="U95" s="1439"/>
      <c r="V95" s="1439"/>
      <c r="W95" s="1439"/>
      <c r="X95" s="1439"/>
      <c r="Y95" s="1439"/>
      <c r="Z95" s="1439"/>
      <c r="AA95" s="1439"/>
      <c r="AB95" s="1439"/>
      <c r="AC95" s="1439"/>
      <c r="AD95" s="1439"/>
      <c r="AE95" s="1439"/>
      <c r="AF95" s="1439"/>
      <c r="AG95" s="1439"/>
    </row>
    <row r="96" spans="1:42" ht="16.5" outlineLevel="1">
      <c r="A96" s="1439"/>
      <c r="B96" s="1755" t="s">
        <v>8575</v>
      </c>
      <c r="C96" s="1756">
        <f>'New (new) quarts'!BH137</f>
        <v>617.90179999999998</v>
      </c>
      <c r="D96" s="1756" t="e">
        <f>'New (new) quarts'!#REF!</f>
        <v>#REF!</v>
      </c>
      <c r="E96" s="1757" t="e">
        <f t="shared" si="69"/>
        <v>#REF!</v>
      </c>
      <c r="F96" s="1756">
        <v>639</v>
      </c>
      <c r="G96" s="1757">
        <f t="shared" si="72"/>
        <v>-3.3017527386541512E-2</v>
      </c>
      <c r="H96" s="1756">
        <f>'New (new) quarts'!BC137</f>
        <v>556.50170000000003</v>
      </c>
      <c r="I96" s="1758">
        <f t="shared" si="71"/>
        <v>0.11033227751146124</v>
      </c>
      <c r="J96" s="1439"/>
      <c r="K96" s="1575"/>
      <c r="L96" s="1439"/>
      <c r="M96" s="1439"/>
      <c r="N96" s="1439"/>
      <c r="O96" s="1439"/>
      <c r="P96" s="1439"/>
      <c r="Q96" s="1439"/>
      <c r="R96" s="1439"/>
      <c r="S96" s="1439"/>
      <c r="T96" s="1439"/>
      <c r="U96" s="1439"/>
      <c r="V96" s="1439"/>
      <c r="W96" s="1439"/>
      <c r="X96" s="1439"/>
      <c r="Y96" s="1439"/>
      <c r="Z96" s="1439"/>
      <c r="AA96" s="1439"/>
      <c r="AB96" s="1439"/>
      <c r="AC96" s="1439"/>
      <c r="AD96" s="1439"/>
      <c r="AE96" s="1439"/>
      <c r="AF96" s="1439"/>
      <c r="AG96" s="1439"/>
    </row>
    <row r="97" spans="1:34" ht="16.5">
      <c r="A97" s="1439"/>
      <c r="B97" s="1751" t="s">
        <v>1434</v>
      </c>
      <c r="C97" s="1762">
        <f>C96/C92</f>
        <v>0.43262581469806038</v>
      </c>
      <c r="D97" s="1762" t="e">
        <f>D96/D92</f>
        <v>#REF!</v>
      </c>
      <c r="E97" s="1760"/>
      <c r="F97" s="1762">
        <f>F96/F92</f>
        <v>0.43767123287671234</v>
      </c>
      <c r="G97" s="1760"/>
      <c r="H97" s="1762">
        <f>H96/H92</f>
        <v>0.37728928813559326</v>
      </c>
      <c r="I97" s="1761">
        <f t="shared" si="71"/>
        <v>0.14666869244000336</v>
      </c>
      <c r="J97" s="1439"/>
      <c r="K97" s="1576"/>
      <c r="L97" s="1439"/>
      <c r="M97" s="1439"/>
      <c r="N97" s="1439"/>
      <c r="O97" s="1439"/>
      <c r="P97" s="1439"/>
      <c r="Q97" s="1439"/>
      <c r="R97" s="1439"/>
      <c r="S97" s="1439"/>
      <c r="T97" s="1439"/>
      <c r="U97" s="1439"/>
      <c r="V97" s="1439"/>
      <c r="W97" s="1439"/>
      <c r="X97" s="1439"/>
      <c r="Y97" s="1439"/>
      <c r="Z97" s="1439"/>
      <c r="AA97" s="1439"/>
      <c r="AB97" s="1439"/>
      <c r="AC97" s="1439"/>
      <c r="AD97" s="1439"/>
      <c r="AE97" s="1439"/>
      <c r="AF97" s="1439"/>
      <c r="AG97" s="1439"/>
    </row>
    <row r="98" spans="1:34" ht="16.5">
      <c r="A98" s="1439"/>
      <c r="B98" s="1755" t="s">
        <v>392</v>
      </c>
      <c r="C98" s="1756">
        <f>'New (new) quarts'!BH449+'New (new) quarts'!BH452</f>
        <v>373.36410000000001</v>
      </c>
      <c r="D98" s="1756" t="e">
        <f>'New (new) quarts'!#REF!</f>
        <v>#REF!</v>
      </c>
      <c r="E98" s="1757" t="e">
        <f t="shared" si="69"/>
        <v>#REF!</v>
      </c>
      <c r="F98" s="1756">
        <v>341</v>
      </c>
      <c r="G98" s="1757">
        <f t="shared" si="70"/>
        <v>9.4909384164222788E-2</v>
      </c>
      <c r="H98" s="1756">
        <f>'New (new) quarts'!BC449</f>
        <v>229.50170000000003</v>
      </c>
      <c r="I98" s="1758">
        <f t="shared" si="71"/>
        <v>0.62684677281257595</v>
      </c>
      <c r="J98" s="1439"/>
      <c r="K98" s="1575">
        <v>238.81403322334705</v>
      </c>
      <c r="L98" s="1439"/>
      <c r="M98" s="1439"/>
      <c r="N98" s="1439"/>
      <c r="O98" s="1439"/>
      <c r="P98" s="1439"/>
      <c r="Q98" s="1439"/>
      <c r="R98" s="1439"/>
      <c r="S98" s="1439"/>
      <c r="T98" s="1439"/>
      <c r="U98" s="1439"/>
      <c r="V98" s="1439"/>
      <c r="W98" s="1439"/>
      <c r="X98" s="1439"/>
      <c r="Y98" s="1439"/>
      <c r="Z98" s="1439"/>
      <c r="AA98" s="1439"/>
      <c r="AB98" s="1439"/>
      <c r="AC98" s="1439"/>
      <c r="AD98" s="1439"/>
      <c r="AE98" s="1439"/>
      <c r="AF98" s="1439"/>
      <c r="AG98" s="1439"/>
    </row>
    <row r="99" spans="1:34" ht="16.5">
      <c r="A99" s="1439"/>
      <c r="B99" s="1751" t="s">
        <v>4863</v>
      </c>
      <c r="C99" s="1759">
        <f>'New (new) quarts'!BH460</f>
        <v>120.54580000000001</v>
      </c>
      <c r="D99" s="1759" t="e">
        <f>'New (new) quarts'!#REF!</f>
        <v>#REF!</v>
      </c>
      <c r="E99" s="1760" t="e">
        <f t="shared" si="69"/>
        <v>#REF!</v>
      </c>
      <c r="F99" s="1759">
        <v>179</v>
      </c>
      <c r="G99" s="1760">
        <f t="shared" si="70"/>
        <v>-0.32655977653631274</v>
      </c>
      <c r="H99" s="1759">
        <f>'New (new) quarts'!BC460</f>
        <v>66.501700000000028</v>
      </c>
      <c r="I99" s="1761">
        <f t="shared" si="71"/>
        <v>0.81267245799731391</v>
      </c>
      <c r="J99" s="1439"/>
      <c r="K99" s="1575"/>
      <c r="L99" s="1439"/>
      <c r="M99" s="1439"/>
      <c r="N99" s="1439"/>
      <c r="O99" s="1439"/>
      <c r="P99" s="1439"/>
      <c r="Q99" s="1439"/>
      <c r="R99" s="1439"/>
      <c r="S99" s="1439"/>
      <c r="T99" s="1439"/>
      <c r="U99" s="1439"/>
      <c r="V99" s="1439"/>
      <c r="W99" s="1439"/>
      <c r="X99" s="1439"/>
      <c r="Y99" s="1439"/>
      <c r="Z99" s="1439"/>
      <c r="AA99" s="1439"/>
      <c r="AB99" s="1439"/>
      <c r="AC99" s="1439"/>
      <c r="AD99" s="1439"/>
      <c r="AE99" s="1439"/>
      <c r="AF99" s="1439"/>
      <c r="AG99" s="1439"/>
    </row>
    <row r="100" spans="1:34" ht="16.5">
      <c r="A100" s="1439"/>
      <c r="B100" s="1755" t="s">
        <v>407</v>
      </c>
      <c r="C100" s="1756">
        <f>'New (new) quarts'!BH473</f>
        <v>31.450700000000019</v>
      </c>
      <c r="D100" s="1756" t="e">
        <f>'New (new) quarts'!#REF!</f>
        <v>#REF!</v>
      </c>
      <c r="E100" s="1757" t="e">
        <f t="shared" si="69"/>
        <v>#REF!</v>
      </c>
      <c r="F100" s="1756">
        <v>124</v>
      </c>
      <c r="G100" s="1757">
        <f>C100/F100-1</f>
        <v>-0.74636532258064503</v>
      </c>
      <c r="H100" s="1756">
        <f>'New (new) quarts'!BC473</f>
        <v>-62.746299999999962</v>
      </c>
      <c r="I100" s="1758"/>
      <c r="J100" s="1439"/>
      <c r="K100" s="1575">
        <v>38</v>
      </c>
      <c r="L100" s="1439"/>
      <c r="M100" s="1439"/>
      <c r="N100" s="1439"/>
      <c r="O100" s="1439"/>
      <c r="P100" s="1439"/>
      <c r="Q100" s="1439"/>
      <c r="R100" s="1439"/>
      <c r="S100" s="1439"/>
      <c r="T100" s="1439"/>
      <c r="U100" s="1439"/>
      <c r="V100" s="1439"/>
      <c r="W100" s="1439"/>
      <c r="X100" s="1439"/>
      <c r="Y100" s="1439"/>
      <c r="Z100" s="1439"/>
      <c r="AA100" s="1439"/>
      <c r="AB100" s="1439"/>
      <c r="AC100" s="1439"/>
      <c r="AD100" s="1439"/>
      <c r="AE100" s="1439"/>
      <c r="AF100" s="1439"/>
      <c r="AG100" s="1439"/>
    </row>
    <row r="101" spans="1:34" ht="16.5">
      <c r="A101" s="1439"/>
      <c r="B101" s="1751" t="s">
        <v>5834</v>
      </c>
      <c r="C101" s="1759">
        <f>'New (new) quarts'!BH417</f>
        <v>263.74299999999999</v>
      </c>
      <c r="D101" s="1759" t="e">
        <f>'New (new) quarts'!#REF!</f>
        <v>#REF!</v>
      </c>
      <c r="E101" s="1760" t="e">
        <f t="shared" si="69"/>
        <v>#REF!</v>
      </c>
      <c r="F101" s="1759">
        <v>268</v>
      </c>
      <c r="G101" s="1760">
        <f t="shared" si="70"/>
        <v>-1.5884328358208966E-2</v>
      </c>
      <c r="H101" s="1759">
        <f>'New (new) quarts'!BC417</f>
        <v>262.48</v>
      </c>
      <c r="I101" s="1761">
        <f t="shared" si="71"/>
        <v>4.8117951843948958E-3</v>
      </c>
      <c r="J101" s="1439"/>
      <c r="K101" s="1575">
        <v>250</v>
      </c>
      <c r="L101" s="1439"/>
      <c r="M101" s="1439"/>
      <c r="N101" s="1439"/>
      <c r="O101" s="1439"/>
      <c r="P101" s="1439"/>
      <c r="Q101" s="1439"/>
      <c r="R101" s="1439"/>
      <c r="S101" s="1439"/>
      <c r="T101" s="1439"/>
      <c r="U101" s="1439"/>
      <c r="V101" s="1439"/>
      <c r="W101" s="1439"/>
      <c r="X101" s="1439"/>
      <c r="Y101" s="1439"/>
      <c r="Z101" s="1439"/>
      <c r="AA101" s="1439"/>
      <c r="AB101" s="1439"/>
      <c r="AC101" s="1439"/>
      <c r="AD101" s="1439"/>
      <c r="AE101" s="1439"/>
      <c r="AF101" s="1439"/>
      <c r="AG101" s="1439"/>
    </row>
    <row r="102" spans="1:34" ht="16.5">
      <c r="A102" s="1439"/>
      <c r="B102" s="1755" t="s">
        <v>681</v>
      </c>
      <c r="C102" s="1763">
        <f>C101/C92</f>
        <v>0.18466045939000428</v>
      </c>
      <c r="D102" s="1763" t="e">
        <f>D101/D92</f>
        <v>#REF!</v>
      </c>
      <c r="E102" s="1757"/>
      <c r="F102" s="1763">
        <f>F101/F92</f>
        <v>0.18356164383561643</v>
      </c>
      <c r="G102" s="1757"/>
      <c r="H102" s="1763">
        <f>H101/H92</f>
        <v>0.17795254237288136</v>
      </c>
      <c r="I102" s="1758"/>
      <c r="J102" s="1439"/>
      <c r="K102" s="1577">
        <f>K101/K92</f>
        <v>0.17652765535096171</v>
      </c>
      <c r="L102" s="1439"/>
      <c r="M102" s="1439"/>
      <c r="N102" s="1439"/>
      <c r="O102" s="1439"/>
      <c r="P102" s="1439"/>
      <c r="Q102" s="1439"/>
      <c r="R102" s="1439"/>
      <c r="S102" s="1439"/>
      <c r="T102" s="1439"/>
      <c r="U102" s="1439"/>
      <c r="V102" s="1439"/>
      <c r="W102" s="1439"/>
      <c r="X102" s="1439"/>
      <c r="Y102" s="1439"/>
      <c r="Z102" s="1439"/>
      <c r="AA102" s="1439"/>
      <c r="AB102" s="1439"/>
      <c r="AC102" s="1439"/>
      <c r="AD102" s="1439"/>
      <c r="AE102" s="1439"/>
      <c r="AF102" s="1439"/>
      <c r="AG102" s="1439"/>
    </row>
    <row r="103" spans="1:34" ht="16.5">
      <c r="A103" s="1439"/>
      <c r="B103" s="1751" t="s">
        <v>1552</v>
      </c>
      <c r="C103" s="1759">
        <f>C94-C101</f>
        <v>384.15879999999999</v>
      </c>
      <c r="D103" s="1759" t="e">
        <f>D94-D101</f>
        <v>#REF!</v>
      </c>
      <c r="E103" s="1760" t="e">
        <f t="shared" si="69"/>
        <v>#REF!</v>
      </c>
      <c r="F103" s="1759" t="e">
        <f>F94-F101</f>
        <v>#REF!</v>
      </c>
      <c r="G103" s="1760" t="e">
        <f t="shared" si="70"/>
        <v>#REF!</v>
      </c>
      <c r="H103" s="1759">
        <f>H94-H101</f>
        <v>336.02170000000001</v>
      </c>
      <c r="I103" s="1761">
        <f t="shared" si="71"/>
        <v>0.14325592662616726</v>
      </c>
      <c r="J103" s="1439"/>
      <c r="K103" s="1575">
        <v>320.4032542032752</v>
      </c>
      <c r="L103" s="1439"/>
      <c r="M103" s="1439"/>
      <c r="N103" s="1439"/>
      <c r="O103" s="1439"/>
      <c r="P103" s="1439"/>
      <c r="Q103" s="1439"/>
      <c r="R103" s="1439"/>
      <c r="S103" s="1439"/>
      <c r="T103" s="1439"/>
      <c r="U103" s="1439"/>
      <c r="V103" s="1439"/>
      <c r="W103" s="1439"/>
      <c r="X103" s="1439"/>
      <c r="Y103" s="1439"/>
      <c r="Z103" s="1439"/>
      <c r="AA103" s="1439"/>
      <c r="AB103" s="1439"/>
      <c r="AC103" s="1439"/>
      <c r="AD103" s="1439"/>
      <c r="AE103" s="1439"/>
      <c r="AF103" s="1439"/>
      <c r="AG103" s="1439"/>
    </row>
    <row r="104" spans="1:34" ht="16.5">
      <c r="A104" s="1439"/>
      <c r="B104" s="1764" t="s">
        <v>574</v>
      </c>
      <c r="C104" s="1765">
        <f>'New (new) quarts'!BH497</f>
        <v>235.91209999999992</v>
      </c>
      <c r="D104" s="1765" t="e">
        <f>'New (new) quarts'!#REF!</f>
        <v>#REF!</v>
      </c>
      <c r="E104" s="1766" t="e">
        <f>C104/D104-1</f>
        <v>#REF!</v>
      </c>
      <c r="F104" s="1765">
        <v>138</v>
      </c>
      <c r="G104" s="1766">
        <f>C104/F104-1</f>
        <v>0.70950797101449226</v>
      </c>
      <c r="H104" s="1765">
        <f>'New (new) quarts'!BC497</f>
        <v>22.276700000000048</v>
      </c>
      <c r="I104" s="1767"/>
      <c r="J104" s="1439"/>
      <c r="K104" s="1439"/>
      <c r="L104" s="1439"/>
      <c r="M104" s="1439"/>
      <c r="N104" s="1439"/>
      <c r="O104" s="1439"/>
      <c r="P104" s="1439"/>
      <c r="Q104" s="1439"/>
      <c r="R104" s="1439"/>
      <c r="S104" s="1439"/>
      <c r="T104" s="1439"/>
      <c r="U104" s="1439"/>
      <c r="V104" s="1439"/>
      <c r="W104" s="1439"/>
      <c r="X104" s="1439"/>
      <c r="Y104" s="1439"/>
      <c r="Z104" s="1439"/>
      <c r="AA104" s="1439"/>
      <c r="AB104" s="1439"/>
      <c r="AC104" s="1439"/>
      <c r="AD104" s="1439"/>
      <c r="AE104" s="1439"/>
      <c r="AF104" s="1439"/>
      <c r="AG104" s="1439"/>
    </row>
    <row r="105" spans="1:34">
      <c r="A105" s="1439"/>
      <c r="B105" s="1439"/>
      <c r="C105" s="1439"/>
      <c r="D105" s="1439"/>
      <c r="E105" s="1439"/>
      <c r="F105" s="1439"/>
      <c r="G105" s="1439"/>
      <c r="H105" s="1439"/>
      <c r="I105" s="1439"/>
      <c r="J105" s="1439"/>
      <c r="K105" s="1439"/>
      <c r="L105" s="1439"/>
      <c r="M105" s="1439"/>
      <c r="N105" s="1439"/>
      <c r="O105" s="1439"/>
      <c r="P105" s="1439"/>
      <c r="Q105" s="1439"/>
      <c r="R105" s="1439"/>
      <c r="S105" s="1439"/>
      <c r="T105" s="1439"/>
      <c r="U105" s="1439"/>
      <c r="V105" s="1439"/>
      <c r="W105" s="1439"/>
      <c r="X105" s="1439"/>
      <c r="Y105" s="1439"/>
      <c r="Z105" s="1439"/>
      <c r="AA105" s="1439"/>
      <c r="AB105" s="1439"/>
      <c r="AC105" s="1439"/>
      <c r="AD105" s="1439"/>
      <c r="AE105" s="1439"/>
      <c r="AF105" s="1439"/>
      <c r="AG105" s="1439"/>
    </row>
    <row r="106" spans="1:34">
      <c r="A106" s="1439"/>
      <c r="B106" s="1439"/>
      <c r="C106" s="1439"/>
      <c r="D106" s="1439"/>
      <c r="E106" s="1439"/>
      <c r="F106" s="1439"/>
      <c r="G106" s="1439"/>
      <c r="H106" s="1439"/>
      <c r="I106" s="1439"/>
      <c r="J106" s="1439"/>
      <c r="K106" s="1439"/>
      <c r="L106" s="1439"/>
      <c r="M106" s="1439"/>
      <c r="N106" s="1439"/>
      <c r="O106" s="1439"/>
      <c r="P106" s="1439"/>
      <c r="Q106" s="1439"/>
      <c r="R106" s="1439"/>
      <c r="S106" s="1439"/>
      <c r="T106" s="1439"/>
      <c r="U106" s="1439"/>
      <c r="V106" s="1439"/>
      <c r="W106" s="1439"/>
      <c r="X106" s="1439"/>
      <c r="Y106" s="1439"/>
      <c r="Z106" s="1439"/>
      <c r="AA106" s="1439"/>
      <c r="AB106" s="1439"/>
      <c r="AC106" s="1439"/>
      <c r="AD106" s="1439"/>
      <c r="AE106" s="1439"/>
      <c r="AF106" s="1439"/>
      <c r="AG106" s="1439"/>
      <c r="AH106" s="463"/>
    </row>
    <row r="107" spans="1:34" ht="15.75">
      <c r="A107" s="1439"/>
      <c r="B107" s="1324" t="s">
        <v>1194</v>
      </c>
      <c r="C107" s="1331"/>
      <c r="D107" s="1331"/>
      <c r="E107" s="1331"/>
      <c r="F107" s="1331"/>
      <c r="G107" s="1331"/>
      <c r="H107" s="1331"/>
      <c r="I107" s="1331"/>
      <c r="J107" s="1331"/>
      <c r="K107" s="1331"/>
      <c r="L107" s="1331"/>
      <c r="M107" s="1331"/>
      <c r="N107" s="1331"/>
      <c r="O107" s="1331"/>
      <c r="P107" s="1331"/>
      <c r="Q107" s="1331"/>
      <c r="R107" s="1331"/>
      <c r="S107" s="1331"/>
      <c r="T107" s="1331"/>
      <c r="U107" s="1644"/>
      <c r="V107" s="1644"/>
      <c r="W107" s="1439"/>
      <c r="X107" s="1439"/>
      <c r="Y107" s="1439"/>
      <c r="Z107" s="1439"/>
      <c r="AA107" s="1439"/>
      <c r="AB107" s="1439"/>
      <c r="AC107" s="1439"/>
      <c r="AD107" s="1439"/>
      <c r="AE107" s="1439"/>
      <c r="AF107" s="1439"/>
      <c r="AG107" s="1439"/>
    </row>
    <row r="108" spans="1:34" ht="16.5">
      <c r="A108" s="1439"/>
      <c r="B108" s="1753" t="s">
        <v>945</v>
      </c>
      <c r="C108" s="1754" t="s">
        <v>5797</v>
      </c>
      <c r="D108" s="1754" t="s">
        <v>5798</v>
      </c>
      <c r="E108" s="1754" t="s">
        <v>5799</v>
      </c>
      <c r="F108" s="1754" t="s">
        <v>5800</v>
      </c>
      <c r="G108" s="1754" t="s">
        <v>7045</v>
      </c>
      <c r="H108" s="1754" t="s">
        <v>7046</v>
      </c>
      <c r="I108" s="1754" t="s">
        <v>7047</v>
      </c>
      <c r="J108" s="1754" t="s">
        <v>7048</v>
      </c>
      <c r="K108" s="1754" t="s">
        <v>7410</v>
      </c>
      <c r="L108" s="1754" t="s">
        <v>7293</v>
      </c>
      <c r="M108" s="1754" t="s">
        <v>7411</v>
      </c>
      <c r="N108" s="1754" t="s">
        <v>7412</v>
      </c>
      <c r="O108" s="1754" t="s">
        <v>7993</v>
      </c>
      <c r="P108" s="1754" t="s">
        <v>8245</v>
      </c>
      <c r="Q108" s="1754" t="s">
        <v>8510</v>
      </c>
      <c r="R108" s="1754" t="s">
        <v>8529</v>
      </c>
      <c r="S108" s="1754" t="s">
        <v>8649</v>
      </c>
      <c r="T108" s="1754" t="s">
        <v>8887</v>
      </c>
      <c r="U108" s="1768" t="s">
        <v>9020</v>
      </c>
      <c r="V108" s="1768" t="s">
        <v>9124</v>
      </c>
      <c r="W108" s="1439"/>
      <c r="X108" s="1439"/>
      <c r="Y108" s="1439"/>
      <c r="Z108" s="1439"/>
      <c r="AA108" s="1439"/>
      <c r="AB108" s="1439"/>
      <c r="AC108" s="1439"/>
      <c r="AD108" s="1439"/>
      <c r="AE108" s="1439"/>
      <c r="AF108" s="1439"/>
      <c r="AG108" s="1439"/>
    </row>
    <row r="109" spans="1:34" ht="16.5">
      <c r="A109" s="1568"/>
      <c r="B109" s="1755" t="str">
        <f>'New (new) quarts'!B350</f>
        <v>El Salvador</v>
      </c>
      <c r="C109" s="1769">
        <f>'New (new) quarts'!AK350</f>
        <v>-8.9999999999999993E-3</v>
      </c>
      <c r="D109" s="1769">
        <f>'New (new) quarts'!AL350</f>
        <v>-6.0999999999999999E-2</v>
      </c>
      <c r="E109" s="1769">
        <f>'New (new) quarts'!AM350</f>
        <v>-2.5999999999999999E-2</v>
      </c>
      <c r="F109" s="1769">
        <f>'New (new) quarts'!AN350</f>
        <v>0.09</v>
      </c>
      <c r="G109" s="1769">
        <f>'New (new) quarts'!AP350</f>
        <v>8.8999999999999996E-2</v>
      </c>
      <c r="H109" s="1769">
        <f>'New (new) quarts'!AQ350</f>
        <v>0.20499999999999999</v>
      </c>
      <c r="I109" s="1769">
        <f>'New (new) quarts'!AR350</f>
        <v>0.18</v>
      </c>
      <c r="J109" s="1769">
        <f>'New (new) quarts'!AS350</f>
        <v>0.111</v>
      </c>
      <c r="K109" s="1769">
        <f>'New (new) quarts'!AU350</f>
        <v>0.10299999999999999</v>
      </c>
      <c r="L109" s="1769">
        <f>'New (new) quarts'!AV350</f>
        <v>6.9000000000000006E-2</v>
      </c>
      <c r="M109" s="1769">
        <f>'New (new) quarts'!AW350</f>
        <v>0.06</v>
      </c>
      <c r="N109" s="1769">
        <f>'New (new) quarts'!AX350</f>
        <v>7.4999999999999997E-2</v>
      </c>
      <c r="O109" s="1769">
        <f>'New (new) quarts'!AZ350</f>
        <v>3.1E-2</v>
      </c>
      <c r="P109" s="1769">
        <f>'New (new) quarts'!BA350</f>
        <v>0.05</v>
      </c>
      <c r="Q109" s="1769">
        <f>'New (new) quarts'!BB350</f>
        <v>5.8000000000000003E-2</v>
      </c>
      <c r="R109" s="1769">
        <f>'New (new) quarts'!BC350</f>
        <v>-2E-3</v>
      </c>
      <c r="S109" s="1769">
        <v>4.1000000000000002E-2</v>
      </c>
      <c r="T109" s="1769">
        <v>2.5999999999999999E-2</v>
      </c>
      <c r="U109" s="1769">
        <v>2.1999999999999999E-2</v>
      </c>
      <c r="V109" s="1769">
        <f>'New (new) quarts'!BH350</f>
        <v>-4.1000000000000002E-2</v>
      </c>
      <c r="W109" s="1439"/>
      <c r="X109" s="1439"/>
      <c r="Y109" s="1439"/>
      <c r="Z109" s="1439"/>
      <c r="AA109" s="1439"/>
      <c r="AB109" s="1439"/>
      <c r="AC109" s="1439"/>
      <c r="AD109" s="1439"/>
      <c r="AE109" s="1439"/>
      <c r="AF109" s="1439"/>
      <c r="AG109" s="1439"/>
    </row>
    <row r="110" spans="1:34" ht="16.5">
      <c r="A110" s="1568"/>
      <c r="B110" s="1770" t="s">
        <v>2172</v>
      </c>
      <c r="C110" s="1771"/>
      <c r="D110" s="1771"/>
      <c r="E110" s="1771"/>
      <c r="F110" s="1771"/>
      <c r="G110" s="1771">
        <v>-3.2000000000000001E-2</v>
      </c>
      <c r="H110" s="1771">
        <v>6.4000000000000001E-2</v>
      </c>
      <c r="I110" s="1771">
        <v>0.12300000000000001</v>
      </c>
      <c r="J110" s="1771">
        <v>0.1</v>
      </c>
      <c r="K110" s="1771">
        <v>6.7000000000000004E-2</v>
      </c>
      <c r="L110" s="1771">
        <v>3.6000000000000004E-2</v>
      </c>
      <c r="M110" s="1771">
        <v>1.4999999999999999E-2</v>
      </c>
      <c r="N110" s="1771">
        <v>-4.0000000000000001E-3</v>
      </c>
      <c r="O110" s="1771">
        <v>-1.3999999999999999E-2</v>
      </c>
      <c r="P110" s="1771">
        <v>-2.9000000000000001E-2</v>
      </c>
      <c r="Q110" s="1771">
        <v>-2.5999999999999999E-2</v>
      </c>
      <c r="R110" s="1771">
        <v>-5.5E-2</v>
      </c>
      <c r="S110" s="1771">
        <v>-6.6000000000000003E-2</v>
      </c>
      <c r="T110" s="1771">
        <v>-6.9000000000000006E-2</v>
      </c>
      <c r="U110" s="1771">
        <v>-0.107</v>
      </c>
      <c r="V110" s="1771">
        <f>'New (new) quarts'!BH354</f>
        <v>-0.128</v>
      </c>
      <c r="W110" s="1439"/>
      <c r="X110" s="1439"/>
      <c r="Y110" s="1439"/>
      <c r="Z110" s="1439"/>
      <c r="AA110" s="1439"/>
      <c r="AB110" s="1439"/>
      <c r="AC110" s="1439"/>
      <c r="AD110" s="1439"/>
      <c r="AE110" s="1439"/>
      <c r="AF110" s="1439"/>
      <c r="AG110" s="1439"/>
    </row>
    <row r="111" spans="1:34" ht="16.5">
      <c r="A111" s="1568"/>
      <c r="B111" s="1764" t="s">
        <v>2033</v>
      </c>
      <c r="C111" s="1772"/>
      <c r="D111" s="1772"/>
      <c r="E111" s="1772"/>
      <c r="F111" s="1772"/>
      <c r="G111" s="1772">
        <v>2.1000000000000001E-2</v>
      </c>
      <c r="H111" s="1772">
        <v>0.10300000000000001</v>
      </c>
      <c r="I111" s="1772">
        <v>0.14699999999999999</v>
      </c>
      <c r="J111" s="1772">
        <v>0.13100000000000001</v>
      </c>
      <c r="K111" s="1772">
        <v>9.0999999999999998E-2</v>
      </c>
      <c r="L111" s="1772">
        <v>7.400000000000001E-2</v>
      </c>
      <c r="M111" s="1772">
        <v>5.9000000000000004E-2</v>
      </c>
      <c r="N111" s="1772">
        <v>4.5999999999999999E-2</v>
      </c>
      <c r="O111" s="1772">
        <v>6.6000000000000003E-2</v>
      </c>
      <c r="P111" s="1772">
        <v>7.4999999999999997E-2</v>
      </c>
      <c r="Q111" s="1772">
        <v>6.9000000000000006E-2</v>
      </c>
      <c r="R111" s="1772">
        <v>4.9000000000000002E-2</v>
      </c>
      <c r="S111" s="1772">
        <v>0.109</v>
      </c>
      <c r="T111" s="1772">
        <v>4.4999999999999998E-2</v>
      </c>
      <c r="U111" s="1773">
        <v>3.9E-2</v>
      </c>
      <c r="V111" s="1773">
        <f>'New (new) quarts'!BH355</f>
        <v>3.2000000000000001E-2</v>
      </c>
      <c r="W111" s="1439"/>
      <c r="X111" s="1439"/>
      <c r="Y111" s="1439"/>
      <c r="Z111" s="1439"/>
      <c r="AA111" s="1439"/>
      <c r="AB111" s="1439"/>
      <c r="AC111" s="1439"/>
      <c r="AD111" s="1439"/>
      <c r="AE111" s="1439"/>
      <c r="AF111" s="1439"/>
      <c r="AG111" s="1439"/>
    </row>
    <row r="112" spans="1:34" ht="16.5">
      <c r="A112" s="1568"/>
      <c r="B112" s="1770" t="s">
        <v>8749</v>
      </c>
      <c r="C112" s="1771"/>
      <c r="D112" s="1771"/>
      <c r="E112" s="1771"/>
      <c r="F112" s="1771"/>
      <c r="G112" s="1771"/>
      <c r="H112" s="1771"/>
      <c r="I112" s="1771"/>
      <c r="J112" s="1771"/>
      <c r="K112" s="1771">
        <v>7.5999999999999998E-2</v>
      </c>
      <c r="L112" s="1771">
        <v>4.1000000000000002E-2</v>
      </c>
      <c r="M112" s="1771">
        <v>3.5000000000000003E-2</v>
      </c>
      <c r="N112" s="1771">
        <v>5.2999999999999999E-2</v>
      </c>
      <c r="O112" s="1771">
        <v>5.2999999999999999E-2</v>
      </c>
      <c r="P112" s="1771">
        <v>7.8E-2</v>
      </c>
      <c r="Q112" s="1771">
        <v>7.9000000000000001E-2</v>
      </c>
      <c r="R112" s="1771">
        <v>2.4E-2</v>
      </c>
      <c r="S112" s="1771">
        <v>5.3999999999999999E-2</v>
      </c>
      <c r="T112" s="1771">
        <v>2.1999999999999999E-2</v>
      </c>
      <c r="U112" s="1771">
        <v>8.0000000000000002E-3</v>
      </c>
      <c r="V112" s="1771">
        <v>-0.03</v>
      </c>
      <c r="W112" s="1439"/>
      <c r="X112" s="1439"/>
      <c r="Y112" s="1439"/>
      <c r="Z112" s="1439"/>
      <c r="AA112" s="1439"/>
      <c r="AB112" s="1439"/>
      <c r="AC112" s="1439"/>
      <c r="AD112" s="1439"/>
      <c r="AE112" s="1439"/>
      <c r="AF112" s="1439"/>
      <c r="AG112" s="1439"/>
    </row>
    <row r="113" spans="1:33" ht="16.5">
      <c r="A113" s="1439"/>
      <c r="B113" s="1755"/>
      <c r="C113" s="1769"/>
      <c r="D113" s="1769"/>
      <c r="E113" s="1769"/>
      <c r="F113" s="1769"/>
      <c r="G113" s="1769"/>
      <c r="H113" s="1769"/>
      <c r="I113" s="1769"/>
      <c r="J113" s="1769"/>
      <c r="K113" s="1769"/>
      <c r="L113" s="1769"/>
      <c r="M113" s="1769"/>
      <c r="N113" s="1769"/>
      <c r="O113" s="1769"/>
      <c r="P113" s="1769"/>
      <c r="Q113" s="1769"/>
      <c r="R113" s="1769"/>
      <c r="S113" s="1769"/>
      <c r="T113" s="1769"/>
      <c r="U113" s="1769"/>
      <c r="V113" s="1769"/>
      <c r="W113" s="1439"/>
      <c r="X113" s="1439"/>
      <c r="Y113" s="1439"/>
      <c r="Z113" s="1439"/>
      <c r="AA113" s="1439"/>
      <c r="AB113" s="1439"/>
      <c r="AC113" s="1439"/>
      <c r="AD113" s="1439"/>
      <c r="AE113" s="1439"/>
      <c r="AF113" s="1439"/>
      <c r="AG113" s="1439"/>
    </row>
    <row r="114" spans="1:33" ht="16.5">
      <c r="A114" s="1439"/>
      <c r="B114" s="1751" t="str">
        <f>'New (new) quarts'!B351</f>
        <v>Guatemala</v>
      </c>
      <c r="C114" s="1762">
        <f>'New (new) quarts'!AK351</f>
        <v>4.8000000000000001E-2</v>
      </c>
      <c r="D114" s="1762">
        <f>'New (new) quarts'!AL351</f>
        <v>-1.6E-2</v>
      </c>
      <c r="E114" s="1762">
        <f>'New (new) quarts'!AM351</f>
        <v>3.9E-2</v>
      </c>
      <c r="F114" s="1762">
        <f>'New (new) quarts'!AN351</f>
        <v>6.6000000000000003E-2</v>
      </c>
      <c r="G114" s="1762">
        <f>'New (new) quarts'!AP351</f>
        <v>6.0999999999999999E-2</v>
      </c>
      <c r="H114" s="1762">
        <f>'New (new) quarts'!AQ351</f>
        <v>0.122</v>
      </c>
      <c r="I114" s="1762">
        <f>'New (new) quarts'!AR351</f>
        <v>9.1999999999999998E-2</v>
      </c>
      <c r="J114" s="1762">
        <f>'New (new) quarts'!AS351</f>
        <v>2.4E-2</v>
      </c>
      <c r="K114" s="1762">
        <f>'New (new) quarts'!AU351</f>
        <v>8.0000000000000002E-3</v>
      </c>
      <c r="L114" s="1762">
        <f>'New (new) quarts'!AV351</f>
        <v>1.1000000000000001E-2</v>
      </c>
      <c r="M114" s="1762">
        <f>'New (new) quarts'!AW351</f>
        <v>-5.0000000000000001E-3</v>
      </c>
      <c r="N114" s="1762">
        <f>'New (new) quarts'!AX351</f>
        <v>1.9E-2</v>
      </c>
      <c r="O114" s="1762">
        <f>'New (new) quarts'!AZ351</f>
        <v>-2E-3</v>
      </c>
      <c r="P114" s="1762">
        <f>'New (new) quarts'!BA351</f>
        <v>-1.6E-2</v>
      </c>
      <c r="Q114" s="1762">
        <f>'New (new) quarts'!BB351</f>
        <v>-1.4999999999999999E-2</v>
      </c>
      <c r="R114" s="1762">
        <f>'New (new) quarts'!BC351</f>
        <v>-2.3E-2</v>
      </c>
      <c r="S114" s="1762">
        <f>'New (new) quarts'!BE351</f>
        <v>0.02</v>
      </c>
      <c r="T114" s="1762">
        <f>'New (new) quarts'!BF351</f>
        <v>0.03</v>
      </c>
      <c r="U114" s="1762">
        <f>'New (new) quarts'!BG351</f>
        <v>0.04</v>
      </c>
      <c r="V114" s="1762">
        <f>'New (new) quarts'!BH351</f>
        <v>2.3E-2</v>
      </c>
      <c r="W114" s="1439"/>
      <c r="X114" s="1439"/>
      <c r="Y114" s="1439"/>
      <c r="Z114" s="1439"/>
      <c r="AA114" s="1439"/>
      <c r="AB114" s="1439"/>
      <c r="AC114" s="1439"/>
      <c r="AD114" s="1439"/>
      <c r="AE114" s="1439"/>
      <c r="AF114" s="1439"/>
      <c r="AG114" s="1439"/>
    </row>
    <row r="115" spans="1:33" ht="16.5">
      <c r="A115" s="1439"/>
      <c r="B115" s="1755" t="str">
        <f>'New (new) quarts'!B352</f>
        <v>Honduras (JV)</v>
      </c>
      <c r="C115" s="1769">
        <f>'New (new) quarts'!AK352</f>
        <v>-2.3E-2</v>
      </c>
      <c r="D115" s="1769">
        <f>'New (new) quarts'!AL352</f>
        <v>-0.124</v>
      </c>
      <c r="E115" s="1769">
        <f>'New (new) quarts'!AM352</f>
        <v>-0.06</v>
      </c>
      <c r="F115" s="1769">
        <f>'New (new) quarts'!AN352</f>
        <v>-3.4000000000000002E-2</v>
      </c>
      <c r="G115" s="1769">
        <f>'New (new) quarts'!AP352</f>
        <v>-3.0000000000000001E-3</v>
      </c>
      <c r="H115" s="1769">
        <f>'New (new) quarts'!AQ352</f>
        <v>0.111</v>
      </c>
      <c r="I115" s="1769">
        <f>'New (new) quarts'!AR352</f>
        <v>4.3999999999999997E-2</v>
      </c>
      <c r="J115" s="1769">
        <f>'New (new) quarts'!AS352</f>
        <v>8.0000000000000002E-3</v>
      </c>
      <c r="K115" s="1769">
        <f>'New (new) quarts'!AU352</f>
        <v>0</v>
      </c>
      <c r="L115" s="1769">
        <f>'New (new) quarts'!AV352</f>
        <v>9.0000000000000011E-3</v>
      </c>
      <c r="M115" s="1769">
        <f>'New (new) quarts'!AW352</f>
        <v>2.1999999999999999E-2</v>
      </c>
      <c r="N115" s="1769">
        <f>'New (new) quarts'!AX352</f>
        <v>4.9000000000000002E-2</v>
      </c>
      <c r="O115" s="1769">
        <f>'New (new) quarts'!AZ352</f>
        <v>5.8000000000000003E-2</v>
      </c>
      <c r="P115" s="1769">
        <f>'New (new) quarts'!BA352</f>
        <v>4.9000000000000002E-2</v>
      </c>
      <c r="Q115" s="1769">
        <f>'New (new) quarts'!BB352</f>
        <v>5.0999999999999997E-2</v>
      </c>
      <c r="R115" s="1769">
        <f>'New (new) quarts'!BC352</f>
        <v>2.9000000000000001E-2</v>
      </c>
      <c r="S115" s="1769">
        <f>'New (new) quarts'!BE352</f>
        <v>2.8000000000000001E-2</v>
      </c>
      <c r="T115" s="1769">
        <f>'New (new) quarts'!BF352</f>
        <v>2.5999999999999999E-2</v>
      </c>
      <c r="U115" s="1769">
        <f>'New (new) quarts'!BG352</f>
        <v>2.1000000000000001E-2</v>
      </c>
      <c r="V115" s="1769">
        <f>'New (new) quarts'!BH352</f>
        <v>3.7999999999999999E-2</v>
      </c>
      <c r="W115" s="1439"/>
      <c r="X115" s="1439"/>
      <c r="Y115" s="1439"/>
      <c r="Z115" s="1439"/>
      <c r="AA115" s="1439"/>
      <c r="AB115" s="1439"/>
      <c r="AC115" s="1439"/>
      <c r="AD115" s="1439"/>
      <c r="AE115" s="1439"/>
      <c r="AF115" s="1439"/>
      <c r="AG115" s="1439"/>
    </row>
    <row r="116" spans="1:33" ht="16.5">
      <c r="A116" s="1439"/>
      <c r="B116" s="1751" t="s">
        <v>2032</v>
      </c>
      <c r="C116" s="1762">
        <f>'New (new) quarts'!AK353</f>
        <v>-5.1999999999999998E-2</v>
      </c>
      <c r="D116" s="1762">
        <f>'New (new) quarts'!AL353</f>
        <v>-0.125</v>
      </c>
      <c r="E116" s="1762">
        <f>'New (new) quarts'!AM353</f>
        <v>-9.4E-2</v>
      </c>
      <c r="F116" s="1762">
        <f>'New (new) quarts'!AN353</f>
        <v>-6.3E-2</v>
      </c>
      <c r="G116" s="1762">
        <f>'New (new) quarts'!AP353</f>
        <v>-0.01</v>
      </c>
      <c r="H116" s="1762">
        <f>'New (new) quarts'!AQ353</f>
        <v>0.112</v>
      </c>
      <c r="I116" s="1762">
        <f>'New (new) quarts'!AR353</f>
        <v>9.5000000000000001E-2</v>
      </c>
      <c r="J116" s="1762">
        <f>'New (new) quarts'!AS353</f>
        <v>0.10199999999999999</v>
      </c>
      <c r="K116" s="1762">
        <f>'New (new) quarts'!AU353</f>
        <v>4.1000000000000002E-2</v>
      </c>
      <c r="L116" s="1762">
        <f>'New (new) quarts'!AV353</f>
        <v>2.6000000000000002E-2</v>
      </c>
      <c r="M116" s="1762">
        <f>'New (new) quarts'!AW353</f>
        <v>3.9E-2</v>
      </c>
      <c r="N116" s="1762">
        <f>'New (new) quarts'!AX353</f>
        <v>2E-3</v>
      </c>
      <c r="O116" s="1762">
        <f>'New (new) quarts'!AZ353</f>
        <v>4.2999999999999997E-2</v>
      </c>
      <c r="P116" s="1762">
        <f>'New (new) quarts'!BA353</f>
        <v>4.1000000000000002E-2</v>
      </c>
      <c r="Q116" s="1762">
        <f>'New (new) quarts'!BB353</f>
        <v>1.4E-2</v>
      </c>
      <c r="R116" s="1762">
        <f>'New (new) quarts'!BC353</f>
        <v>0.189</v>
      </c>
      <c r="S116" s="1762">
        <f>'New (new) quarts'!BE353</f>
        <v>0.17799999999999999</v>
      </c>
      <c r="T116" s="1762">
        <f>'New (new) quarts'!BF353</f>
        <v>6.3E-2</v>
      </c>
      <c r="U116" s="1762">
        <f>'New (new) quarts'!BG353</f>
        <v>5.8000000000000003E-2</v>
      </c>
      <c r="V116" s="1762">
        <f>'New (new) quarts'!BH353</f>
        <v>-9.0999999999999998E-2</v>
      </c>
      <c r="W116" s="1439"/>
      <c r="X116" s="1439"/>
      <c r="Y116" s="1439"/>
      <c r="Z116" s="1439"/>
      <c r="AA116" s="1439"/>
      <c r="AB116" s="1439"/>
      <c r="AC116" s="1439"/>
      <c r="AD116" s="1439"/>
      <c r="AE116" s="1439"/>
      <c r="AF116" s="1439"/>
      <c r="AG116" s="1439"/>
    </row>
    <row r="117" spans="1:33" ht="16.5" hidden="1">
      <c r="A117" s="1439"/>
      <c r="B117" s="1751" t="str">
        <f>'New (new) quarts'!B357</f>
        <v>Costa Rica/old Nicaragua</v>
      </c>
      <c r="C117" s="1762">
        <f>'New (new) quarts'!AK357</f>
        <v>0.14705337241980798</v>
      </c>
      <c r="D117" s="1762">
        <f>'New (new) quarts'!AL357</f>
        <v>9.9479012575360626E-2</v>
      </c>
      <c r="E117" s="1762">
        <f>'New (new) quarts'!AM357</f>
        <v>1.0241790729595524E-2</v>
      </c>
      <c r="F117" s="1762">
        <f>'New (new) quarts'!AN357</f>
        <v>4.7164649073122789E-2</v>
      </c>
      <c r="G117" s="1762">
        <f>'New (new) quarts'!AP357</f>
        <v>0</v>
      </c>
      <c r="H117" s="1762">
        <f>'New (new) quarts'!AQ357</f>
        <v>0</v>
      </c>
      <c r="I117" s="1762">
        <f>'New (new) quarts'!AR357</f>
        <v>0</v>
      </c>
      <c r="J117" s="1762">
        <f>'New (new) quarts'!AS357</f>
        <v>0</v>
      </c>
      <c r="K117" s="1762">
        <f>'New (new) quarts'!AU357</f>
        <v>0.16417598955840162</v>
      </c>
      <c r="L117" s="1762">
        <f>'New (new) quarts'!AV357</f>
        <v>0.15179056939890723</v>
      </c>
      <c r="M117" s="1762">
        <f>'New (new) quarts'!AW357</f>
        <v>3.6643253742999704E-2</v>
      </c>
      <c r="N117" s="1762">
        <f>'New (new) quarts'!AX357</f>
        <v>-2.1790937768855656E-2</v>
      </c>
      <c r="O117" s="1762">
        <f>'New (new) quarts'!AZ357</f>
        <v>-3.124409557017449E-2</v>
      </c>
      <c r="P117" s="1762">
        <f>'New (new) quarts'!BA357</f>
        <v>-2.8048069839803791E-2</v>
      </c>
      <c r="Q117" s="1762">
        <f>'New (new) quarts'!BB357</f>
        <v>5.5326745105158004E-2</v>
      </c>
      <c r="R117" s="1762">
        <f>'New (new) quarts'!BC357</f>
        <v>9.3571244189780689E-3</v>
      </c>
      <c r="S117" s="1762">
        <f>'New (new) quarts'!BE357</f>
        <v>-6.6000000000000003E-2</v>
      </c>
      <c r="T117" s="1762">
        <f>'New (new) quarts'!BF357</f>
        <v>-6.9000000000000006E-2</v>
      </c>
      <c r="U117" s="1762">
        <f>'New (new) quarts'!BG357</f>
        <v>-0.107</v>
      </c>
      <c r="V117" s="1762">
        <f>'New (new) quarts'!BH357</f>
        <v>0.40200000000000002</v>
      </c>
      <c r="W117" s="1439"/>
      <c r="X117" s="1439"/>
      <c r="Y117" s="1439"/>
      <c r="Z117" s="1439"/>
      <c r="AA117" s="1439"/>
      <c r="AB117" s="1439"/>
      <c r="AC117" s="1439"/>
      <c r="AD117" s="1439"/>
      <c r="AE117" s="1439"/>
      <c r="AF117" s="1439"/>
      <c r="AG117" s="1439"/>
    </row>
    <row r="118" spans="1:33" ht="16.5">
      <c r="A118" s="1439"/>
      <c r="B118" s="1755" t="str">
        <f>'New (new) quarts'!B361</f>
        <v>Bolivia</v>
      </c>
      <c r="C118" s="1769">
        <f>'New (new) quarts'!AK361</f>
        <v>4.0000000000000001E-3</v>
      </c>
      <c r="D118" s="1769">
        <f>'New (new) quarts'!AL361</f>
        <v>-0.159</v>
      </c>
      <c r="E118" s="1769">
        <f>'New (new) quarts'!AM361</f>
        <v>-0.106</v>
      </c>
      <c r="F118" s="1769">
        <f>'New (new) quarts'!AN361</f>
        <v>-4.5999999999999999E-2</v>
      </c>
      <c r="G118" s="1769">
        <f>'New (new) quarts'!AP361</f>
        <v>-2.1999999999999999E-2</v>
      </c>
      <c r="H118" s="1769">
        <f>'New (new) quarts'!AQ361</f>
        <v>0.14699999999999999</v>
      </c>
      <c r="I118" s="1769">
        <f>'New (new) quarts'!AR361</f>
        <v>8.4000000000000005E-2</v>
      </c>
      <c r="J118" s="1769">
        <f>'New (new) quarts'!AS361</f>
        <v>5.8000000000000003E-2</v>
      </c>
      <c r="K118" s="1769">
        <f>'New (new) quarts'!AU361</f>
        <v>6.0000000000000001E-3</v>
      </c>
      <c r="L118" s="1769">
        <f>'New (new) quarts'!AV361</f>
        <v>2.4E-2</v>
      </c>
      <c r="M118" s="1769">
        <f>'New (new) quarts'!AW361</f>
        <v>-6.0000000000000001E-3</v>
      </c>
      <c r="N118" s="1769">
        <f>'New (new) quarts'!AX361</f>
        <v>-4.4999999999999998E-2</v>
      </c>
      <c r="O118" s="1769">
        <f>'New (new) quarts'!AZ361</f>
        <v>-1.4999999999999999E-2</v>
      </c>
      <c r="P118" s="1769">
        <f>'New (new) quarts'!BA361</f>
        <v>-2.9000000000000001E-2</v>
      </c>
      <c r="Q118" s="1769">
        <f>'New (new) quarts'!BB361</f>
        <v>-8.0000000000000002E-3</v>
      </c>
      <c r="R118" s="1769">
        <f>'New (new) quarts'!BC361</f>
        <v>8.0000000000000002E-3</v>
      </c>
      <c r="S118" s="1769">
        <f>'New (new) quarts'!BE361</f>
        <v>1E-3</v>
      </c>
      <c r="T118" s="1769">
        <f>'New (new) quarts'!BF361</f>
        <v>4.0000000000000001E-3</v>
      </c>
      <c r="U118" s="1769">
        <f>'New (new) quarts'!BG361</f>
        <v>1.0999999999999999E-2</v>
      </c>
      <c r="V118" s="1769">
        <f>'New (new) quarts'!BH361</f>
        <v>2.5000000000000001E-2</v>
      </c>
      <c r="W118" s="1439"/>
      <c r="X118" s="1439"/>
      <c r="Y118" s="1439"/>
      <c r="Z118" s="1439"/>
      <c r="AA118" s="1439"/>
      <c r="AB118" s="1439"/>
      <c r="AC118" s="1439"/>
      <c r="AD118" s="1439"/>
      <c r="AE118" s="1439"/>
      <c r="AF118" s="1439"/>
      <c r="AG118" s="1439"/>
    </row>
    <row r="119" spans="1:33" ht="16.5">
      <c r="A119" s="1439"/>
      <c r="B119" s="1751" t="str">
        <f>'New (new) quarts'!B362</f>
        <v>Colombia</v>
      </c>
      <c r="C119" s="1762">
        <f>'New (new) quarts'!AK362</f>
        <v>1.2E-2</v>
      </c>
      <c r="D119" s="1762">
        <f>'New (new) quarts'!AL362</f>
        <v>-3.9E-2</v>
      </c>
      <c r="E119" s="1762">
        <f>'New (new) quarts'!AM362</f>
        <v>-2E-3</v>
      </c>
      <c r="F119" s="1762">
        <f>'New (new) quarts'!AN362</f>
        <v>-1.4E-2</v>
      </c>
      <c r="G119" s="1762">
        <f>'New (new) quarts'!AP362</f>
        <v>3.1E-2</v>
      </c>
      <c r="H119" s="1762">
        <f>'New (new) quarts'!AQ362</f>
        <v>9.4E-2</v>
      </c>
      <c r="I119" s="1762">
        <f>'New (new) quarts'!AR362</f>
        <v>0.06</v>
      </c>
      <c r="J119" s="1762">
        <f>'New (new) quarts'!AS362</f>
        <v>6.4000000000000001E-2</v>
      </c>
      <c r="K119" s="1762">
        <f>'New (new) quarts'!AU362</f>
        <v>7.8E-2</v>
      </c>
      <c r="L119" s="1762">
        <f>'New (new) quarts'!AV362</f>
        <v>8.5000000000000006E-2</v>
      </c>
      <c r="M119" s="1762">
        <f>'New (new) quarts'!AW362</f>
        <v>5.7000000000000002E-2</v>
      </c>
      <c r="N119" s="1762">
        <f>'New (new) quarts'!AX362</f>
        <v>4.3999999999999997E-2</v>
      </c>
      <c r="O119" s="1762">
        <f>'New (new) quarts'!AZ362</f>
        <v>3.5999999999999997E-2</v>
      </c>
      <c r="P119" s="1762">
        <f>'New (new) quarts'!BA362</f>
        <v>2.4E-2</v>
      </c>
      <c r="Q119" s="1762">
        <f>'New (new) quarts'!BB362</f>
        <v>2.5000000000000001E-2</v>
      </c>
      <c r="R119" s="1762">
        <f>'New (new) quarts'!BC362</f>
        <v>3.4000000000000002E-2</v>
      </c>
      <c r="S119" s="1762">
        <f>'New (new) quarts'!BE362</f>
        <v>0</v>
      </c>
      <c r="T119" s="1762">
        <f>'New (new) quarts'!BF362</f>
        <v>2E-3</v>
      </c>
      <c r="U119" s="1762">
        <f>'New (new) quarts'!BG362</f>
        <v>1.6E-2</v>
      </c>
      <c r="V119" s="1762">
        <f>'New (new) quarts'!BH362</f>
        <v>0</v>
      </c>
      <c r="W119" s="1439"/>
      <c r="X119" s="1439"/>
      <c r="Y119" s="1439"/>
      <c r="Z119" s="1439"/>
      <c r="AA119" s="1439"/>
      <c r="AB119" s="1439"/>
      <c r="AC119" s="1439"/>
      <c r="AD119" s="1439"/>
      <c r="AE119" s="1439"/>
      <c r="AF119" s="1439"/>
      <c r="AG119" s="1439"/>
    </row>
    <row r="120" spans="1:33" ht="16.5">
      <c r="A120" s="1439"/>
      <c r="B120" s="1755" t="str">
        <f>'New (new) quarts'!B363</f>
        <v>Paraguay</v>
      </c>
      <c r="C120" s="1769">
        <f>'New (new) quarts'!AK363</f>
        <v>-1.4999999999999999E-2</v>
      </c>
      <c r="D120" s="1769">
        <f>'New (new) quarts'!AL363</f>
        <v>-5.0999999999999997E-2</v>
      </c>
      <c r="E120" s="1769">
        <f>'New (new) quarts'!AM363</f>
        <v>-0.05</v>
      </c>
      <c r="F120" s="1769">
        <f>'New (new) quarts'!AN363</f>
        <v>-1.0999999999999999E-2</v>
      </c>
      <c r="G120" s="1769">
        <f>'New (new) quarts'!AP363</f>
        <v>-8.9999999999999993E-3</v>
      </c>
      <c r="H120" s="1769">
        <f>'New (new) quarts'!AQ363</f>
        <v>1.4E-2</v>
      </c>
      <c r="I120" s="1769">
        <f>'New (new) quarts'!AR363</f>
        <v>6.2E-2</v>
      </c>
      <c r="J120" s="1769">
        <f>'New (new) quarts'!AS363</f>
        <v>4.2000000000000003E-2</v>
      </c>
      <c r="K120" s="1769">
        <f>'New (new) quarts'!AU363</f>
        <v>4.9000000000000002E-2</v>
      </c>
      <c r="L120" s="1769">
        <f>'New (new) quarts'!AV363</f>
        <v>5.5999999999999994E-2</v>
      </c>
      <c r="M120" s="1769">
        <f>'New (new) quarts'!AW363</f>
        <v>2.3E-2</v>
      </c>
      <c r="N120" s="1769">
        <f>'New (new) quarts'!AX363</f>
        <v>4.1000000000000002E-2</v>
      </c>
      <c r="O120" s="1769">
        <f>'New (new) quarts'!AZ363</f>
        <v>0.06</v>
      </c>
      <c r="P120" s="1769">
        <f>'New (new) quarts'!BA363</f>
        <v>9.6000000000000002E-2</v>
      </c>
      <c r="Q120" s="1769">
        <f>'New (new) quarts'!BB363</f>
        <v>7.5999999999999998E-2</v>
      </c>
      <c r="R120" s="1769">
        <f>'New (new) quarts'!BC363</f>
        <v>0.05</v>
      </c>
      <c r="S120" s="1769">
        <f>'New (new) quarts'!BE363</f>
        <v>4.2999999999999997E-2</v>
      </c>
      <c r="T120" s="1769">
        <f>'New (new) quarts'!BF363</f>
        <v>1.7999999999999999E-2</v>
      </c>
      <c r="U120" s="1769">
        <f>'New (new) quarts'!BG363</f>
        <v>1.0999999999999999E-2</v>
      </c>
      <c r="V120" s="1769">
        <f>'New (new) quarts'!BH363</f>
        <v>4.7E-2</v>
      </c>
      <c r="W120" s="1439"/>
      <c r="X120" s="1439"/>
      <c r="Y120" s="1439"/>
      <c r="Z120" s="1439"/>
      <c r="AA120" s="1439"/>
      <c r="AB120" s="1439"/>
      <c r="AC120" s="1439"/>
      <c r="AD120" s="1439"/>
      <c r="AE120" s="1439"/>
      <c r="AF120" s="1439"/>
      <c r="AG120" s="1439"/>
    </row>
    <row r="121" spans="1:33" ht="16.5">
      <c r="A121" s="1439"/>
      <c r="B121" s="1774" t="s">
        <v>8129</v>
      </c>
      <c r="C121" s="1775">
        <f>'New (new) quarts'!AK375</f>
        <v>2E-3</v>
      </c>
      <c r="D121" s="1775">
        <f>'New (new) quarts'!AL375</f>
        <v>-6.8000000000000005E-2</v>
      </c>
      <c r="E121" s="1775">
        <f>'New (new) quarts'!AM375</f>
        <v>-3.1E-2</v>
      </c>
      <c r="F121" s="1775">
        <f>'New (new) quarts'!AN375</f>
        <v>-4.0000000000000001E-3</v>
      </c>
      <c r="G121" s="1775">
        <f>'New (new) quarts'!AP375</f>
        <v>2.1999999999999999E-2</v>
      </c>
      <c r="H121" s="1775">
        <f>'New (new) quarts'!AQ375</f>
        <v>0.109</v>
      </c>
      <c r="I121" s="1775">
        <f>'New (new) quarts'!AR375</f>
        <v>8.5000000000000006E-2</v>
      </c>
      <c r="J121" s="1775">
        <f>'New (new) quarts'!AS375</f>
        <v>5.7000000000000002E-2</v>
      </c>
      <c r="K121" s="1775">
        <f>'New (new) quarts'!AU375</f>
        <v>4.5999999999999999E-2</v>
      </c>
      <c r="L121" s="1775">
        <f>'New (new) quarts'!AV375</f>
        <v>4.4999999999999998E-2</v>
      </c>
      <c r="M121" s="1775">
        <f>'New (new) quarts'!AW375</f>
        <v>2.7E-2</v>
      </c>
      <c r="N121" s="1775">
        <f>'New (new) quarts'!AX375</f>
        <v>2.3E-2</v>
      </c>
      <c r="O121" s="1775">
        <f>'New (new) quarts'!AZ375</f>
        <v>2.1999999999999999E-2</v>
      </c>
      <c r="P121" s="1775">
        <f>'New (new) quarts'!BA375</f>
        <v>1.9E-2</v>
      </c>
      <c r="Q121" s="1775">
        <f>'New (new) quarts'!BB375</f>
        <v>1.7999999999999999E-2</v>
      </c>
      <c r="R121" s="1775">
        <f>'New (new) quarts'!BC375</f>
        <v>3.2000000000000001E-2</v>
      </c>
      <c r="S121" s="1775">
        <f>'New (new) quarts'!BE375</f>
        <v>3.7999999999999999E-2</v>
      </c>
      <c r="T121" s="1775">
        <f>'New (new) quarts'!BF375</f>
        <v>2.1000000000000001E-2</v>
      </c>
      <c r="U121" s="1775">
        <f>'New (new) quarts'!BG375</f>
        <v>2.4E-2</v>
      </c>
      <c r="V121" s="1775">
        <f>'New (new) quarts'!BH375</f>
        <v>-6.0000000000000001E-3</v>
      </c>
      <c r="W121" s="1439"/>
      <c r="X121" s="1439"/>
      <c r="Y121" s="1439"/>
      <c r="Z121" s="1439"/>
      <c r="AA121" s="1439"/>
      <c r="AB121" s="1439"/>
      <c r="AC121" s="1439"/>
      <c r="AD121" s="1439"/>
      <c r="AE121" s="1439"/>
      <c r="AF121" s="1439"/>
      <c r="AG121" s="1439"/>
    </row>
    <row r="122" spans="1:33" ht="16.5">
      <c r="A122" s="1439"/>
      <c r="B122" s="1755"/>
      <c r="C122" s="1776"/>
      <c r="D122" s="1776"/>
      <c r="E122" s="1776"/>
      <c r="F122" s="1776"/>
      <c r="G122" s="1776"/>
      <c r="H122" s="1776"/>
      <c r="I122" s="1776"/>
      <c r="J122" s="1776"/>
      <c r="K122" s="1776"/>
      <c r="L122" s="1776"/>
      <c r="M122" s="1776"/>
      <c r="N122" s="1776"/>
      <c r="O122" s="1776"/>
      <c r="P122" s="1776"/>
      <c r="Q122" s="1776"/>
      <c r="R122" s="1776"/>
      <c r="S122" s="1776"/>
      <c r="T122" s="1776"/>
      <c r="U122" s="1776"/>
      <c r="V122" s="1776"/>
      <c r="W122" s="1439"/>
      <c r="X122" s="1439"/>
      <c r="Y122" s="1439"/>
      <c r="Z122" s="1439"/>
      <c r="AA122" s="1439"/>
      <c r="AB122" s="1439"/>
      <c r="AC122" s="1439"/>
      <c r="AD122" s="1439"/>
      <c r="AE122" s="1439"/>
      <c r="AF122" s="1439"/>
      <c r="AG122" s="1439"/>
    </row>
    <row r="123" spans="1:33" ht="16.5">
      <c r="A123" s="1439"/>
      <c r="B123" s="1777" t="s">
        <v>2842</v>
      </c>
      <c r="C123" s="1778">
        <f>'New (new) quarts'!AK608</f>
        <v>-1.9E-2</v>
      </c>
      <c r="D123" s="1778">
        <f>'New (new) quarts'!AL608</f>
        <v>-0.108</v>
      </c>
      <c r="E123" s="1778">
        <f>'New (new) quarts'!AM608</f>
        <v>-3.7999999999999999E-2</v>
      </c>
      <c r="F123" s="1778">
        <f>'New (new) quarts'!AN608</f>
        <v>0</v>
      </c>
      <c r="G123" s="1778">
        <f>'New (new) quarts'!AP608</f>
        <v>6.0000000000000001E-3</v>
      </c>
      <c r="H123" s="1778">
        <f>'New (new) quarts'!AQ608</f>
        <v>0.107</v>
      </c>
      <c r="I123" s="1778">
        <f>'New (new) quarts'!AR608</f>
        <v>0.08</v>
      </c>
      <c r="J123" s="1778">
        <f>'New (new) quarts'!AS608</f>
        <v>4.2000000000000003E-2</v>
      </c>
      <c r="K123" s="1778">
        <f>'New (new) quarts'!AU608</f>
        <v>3.5999999999999997E-2</v>
      </c>
      <c r="L123" s="1778">
        <f>'New (new) quarts'!AV608</f>
        <v>4.3999999999999997E-2</v>
      </c>
      <c r="M123" s="1778">
        <f>'New (new) quarts'!AW608</f>
        <v>3.2000000000000001E-2</v>
      </c>
      <c r="N123" s="1778">
        <f>'New (new) quarts'!AX608</f>
        <v>2.5999999999999999E-2</v>
      </c>
      <c r="O123" s="1778">
        <v>1.9E-2</v>
      </c>
      <c r="P123" s="1778">
        <v>1.7000000000000001E-2</v>
      </c>
      <c r="Q123" s="1778">
        <v>0.03</v>
      </c>
      <c r="R123" s="1778">
        <v>2.3E-2</v>
      </c>
      <c r="S123" s="2462">
        <v>5.2999999999999999E-2</v>
      </c>
      <c r="T123" s="2462">
        <v>4.7E-2</v>
      </c>
      <c r="U123" s="2462">
        <v>4.2000000000000003E-2</v>
      </c>
      <c r="V123" s="2462">
        <f>4.6%*4-S123-T123-U123</f>
        <v>4.2000000000000003E-2</v>
      </c>
      <c r="W123" s="1439"/>
      <c r="X123" s="1439"/>
      <c r="Y123" s="1439"/>
      <c r="Z123" s="1439"/>
      <c r="AA123" s="1439"/>
      <c r="AB123" s="1439"/>
      <c r="AC123" s="1439"/>
      <c r="AD123" s="1439"/>
      <c r="AE123" s="1439"/>
      <c r="AF123" s="1439"/>
      <c r="AG123" s="1439"/>
    </row>
    <row r="124" spans="1:33" ht="16.5">
      <c r="A124" s="1439"/>
      <c r="B124" s="1779" t="s">
        <v>7749</v>
      </c>
      <c r="C124" s="1769">
        <f>'New (new) quarts'!AK610</f>
        <v>6.5000000000000002E-2</v>
      </c>
      <c r="D124" s="1769">
        <f>'New (new) quarts'!AL610</f>
        <v>1.7000000000000001E-2</v>
      </c>
      <c r="E124" s="1769">
        <f>'New (new) quarts'!AM610</f>
        <v>1.2E-2</v>
      </c>
      <c r="F124" s="1769">
        <f>'New (new) quarts'!AN610</f>
        <v>3.7999999999999999E-2</v>
      </c>
      <c r="G124" s="1769">
        <f>'New (new) quarts'!AP610</f>
        <v>7.9000000000000001E-2</v>
      </c>
      <c r="H124" s="1769">
        <f>'New (new) quarts'!AQ610</f>
        <v>0.124</v>
      </c>
      <c r="I124" s="1769">
        <f>'New (new) quarts'!AR610</f>
        <v>0.13</v>
      </c>
      <c r="J124" s="1769">
        <f>'New (new) quarts'!AS610</f>
        <v>0.1</v>
      </c>
      <c r="K124" s="1769">
        <f>'New (new) quarts'!AU610</f>
        <v>5.2999999999999999E-2</v>
      </c>
      <c r="L124" s="1769">
        <f>'New (new) quarts'!AV610</f>
        <v>3.5000000000000003E-2</v>
      </c>
      <c r="M124" s="1769">
        <f>'New (new) quarts'!AW610</f>
        <v>2E-3</v>
      </c>
      <c r="N124" s="1769">
        <f>'New (new) quarts'!AX610</f>
        <v>8.0000000000000002E-3</v>
      </c>
      <c r="O124" s="1769">
        <v>6.0000000000000001E-3</v>
      </c>
      <c r="P124" s="1769">
        <v>2E-3</v>
      </c>
      <c r="Q124" s="1769">
        <v>0</v>
      </c>
      <c r="R124" s="1780" t="s">
        <v>8589</v>
      </c>
      <c r="S124" s="1780" t="s">
        <v>8752</v>
      </c>
      <c r="T124" s="1780" t="s">
        <v>8893</v>
      </c>
      <c r="U124" s="1780" t="s">
        <v>8893</v>
      </c>
      <c r="V124" s="1780" t="s">
        <v>8893</v>
      </c>
      <c r="W124" s="1439"/>
      <c r="X124" s="1439"/>
      <c r="Y124" s="1439"/>
      <c r="Z124" s="1439"/>
      <c r="AA124" s="1439"/>
      <c r="AB124" s="1439"/>
      <c r="AC124" s="1439"/>
      <c r="AD124" s="1439"/>
      <c r="AE124" s="1439"/>
      <c r="AF124" s="1439"/>
      <c r="AG124" s="1439"/>
    </row>
    <row r="125" spans="1:33" ht="16.5">
      <c r="A125" s="1439"/>
      <c r="B125" s="1781" t="s">
        <v>4171</v>
      </c>
      <c r="C125" s="1782">
        <f>'New (new) quarts'!AK611</f>
        <v>-3.3000000000000002E-2</v>
      </c>
      <c r="D125" s="1782">
        <f>'New (new) quarts'!AL611</f>
        <v>-8.4000000000000005E-2</v>
      </c>
      <c r="E125" s="1782">
        <f>'New (new) quarts'!AM611</f>
        <v>-0.08</v>
      </c>
      <c r="F125" s="1782">
        <f>'New (new) quarts'!AN611</f>
        <v>-6.3E-2</v>
      </c>
      <c r="G125" s="1782">
        <f>'New (new) quarts'!AP611</f>
        <v>-3.2000000000000001E-2</v>
      </c>
      <c r="H125" s="1782">
        <f>'New (new) quarts'!AQ611</f>
        <v>0.03</v>
      </c>
      <c r="I125" s="1782">
        <f>'New (new) quarts'!AR611</f>
        <v>0.03</v>
      </c>
      <c r="J125" s="1782">
        <f>'New (new) quarts'!AS611</f>
        <v>3.3000000000000002E-2</v>
      </c>
      <c r="K125" s="1782">
        <f>'New (new) quarts'!AU611</f>
        <v>4.9000000000000002E-2</v>
      </c>
      <c r="L125" s="1782">
        <f>'New (new) quarts'!AV611</f>
        <v>5.7000000000000002E-2</v>
      </c>
      <c r="M125" s="1782">
        <f>'New (new) quarts'!AW611</f>
        <v>5.8999999999999997E-2</v>
      </c>
      <c r="N125" s="1782">
        <f>'New (new) quarts'!AX611</f>
        <v>0.05</v>
      </c>
      <c r="O125" s="1782">
        <f>'New (new) quarts'!AZ611</f>
        <v>0.06</v>
      </c>
      <c r="P125" s="1782">
        <f>'New (new) quarts'!BA611</f>
        <v>6.0999999999999999E-2</v>
      </c>
      <c r="Q125" s="1782">
        <f>'New (new) quarts'!BB611</f>
        <v>5.3999999999999999E-2</v>
      </c>
      <c r="R125" s="1782">
        <v>0.19600000000000001</v>
      </c>
      <c r="S125" s="1783" t="s">
        <v>8751</v>
      </c>
      <c r="T125" s="1783" t="s">
        <v>8892</v>
      </c>
      <c r="U125" s="1784" t="s">
        <v>9021</v>
      </c>
      <c r="V125" s="1784" t="s">
        <v>9125</v>
      </c>
      <c r="W125" s="1439"/>
      <c r="X125" s="1439"/>
      <c r="Y125" s="1439"/>
      <c r="Z125" s="1439"/>
      <c r="AA125" s="1439"/>
      <c r="AB125" s="1439"/>
      <c r="AC125" s="1439"/>
      <c r="AD125" s="1439"/>
      <c r="AE125" s="1439"/>
      <c r="AF125" s="1439"/>
      <c r="AG125" s="1439"/>
    </row>
    <row r="126" spans="1:33" ht="15.75">
      <c r="A126" s="1439"/>
      <c r="B126" s="1293"/>
      <c r="C126" s="1335"/>
      <c r="D126" s="1335"/>
      <c r="E126" s="1335"/>
      <c r="F126" s="1335"/>
      <c r="G126" s="1335"/>
      <c r="H126" s="1335"/>
      <c r="I126" s="1335"/>
      <c r="J126" s="1335"/>
      <c r="K126" s="1335"/>
      <c r="L126" s="1335"/>
      <c r="M126" s="1335"/>
      <c r="N126" s="1335"/>
      <c r="O126" s="1439"/>
      <c r="P126" s="1439"/>
      <c r="Q126" s="1439"/>
      <c r="R126" s="1439"/>
      <c r="S126" s="1439"/>
      <c r="T126" s="1439"/>
      <c r="U126" s="1439"/>
      <c r="V126" s="1439"/>
      <c r="W126" s="1439"/>
      <c r="X126" s="1439"/>
      <c r="Y126" s="1439"/>
      <c r="Z126" s="1439"/>
      <c r="AA126" s="1439"/>
      <c r="AB126" s="1439"/>
      <c r="AC126" s="1439"/>
      <c r="AD126" s="1439"/>
      <c r="AE126" s="1439"/>
      <c r="AF126" s="1439"/>
      <c r="AG126" s="1439"/>
    </row>
    <row r="127" spans="1:33" ht="15.75">
      <c r="A127" s="1439"/>
      <c r="B127" s="1334" t="s">
        <v>360</v>
      </c>
      <c r="C127" s="1335"/>
      <c r="D127" s="1335"/>
      <c r="E127" s="1335"/>
      <c r="F127" s="1335"/>
      <c r="G127" s="1335"/>
      <c r="H127" s="1335"/>
      <c r="I127" s="1335"/>
      <c r="J127" s="1335"/>
      <c r="K127" s="1335"/>
      <c r="L127" s="1335"/>
      <c r="M127" s="1335"/>
      <c r="N127" s="1335"/>
      <c r="O127" s="1439"/>
      <c r="P127" s="1439"/>
      <c r="Q127" s="1439"/>
      <c r="R127" s="1439"/>
      <c r="S127" s="1439"/>
      <c r="T127" s="1439"/>
      <c r="U127" s="1439"/>
      <c r="V127" s="1439"/>
      <c r="W127" s="1439"/>
      <c r="X127" s="1439"/>
      <c r="Y127" s="1439"/>
      <c r="Z127" s="1439"/>
      <c r="AA127" s="1439"/>
      <c r="AB127" s="1439"/>
      <c r="AC127" s="1439"/>
      <c r="AD127" s="1439"/>
      <c r="AE127" s="1439"/>
      <c r="AF127" s="1439"/>
      <c r="AG127" s="1439"/>
    </row>
    <row r="128" spans="1:33" ht="16.5">
      <c r="A128" s="1439"/>
      <c r="B128" s="1753" t="s">
        <v>945</v>
      </c>
      <c r="C128" s="1754" t="str">
        <f t="shared" ref="C128:M128" si="73">C108</f>
        <v>Q1 20</v>
      </c>
      <c r="D128" s="1754" t="str">
        <f t="shared" si="73"/>
        <v>Q2 20</v>
      </c>
      <c r="E128" s="1754" t="str">
        <f t="shared" si="73"/>
        <v>Q3 20</v>
      </c>
      <c r="F128" s="1754" t="str">
        <f t="shared" si="73"/>
        <v>Q4 20</v>
      </c>
      <c r="G128" s="1754" t="str">
        <f t="shared" si="73"/>
        <v>Q1 21</v>
      </c>
      <c r="H128" s="1754" t="str">
        <f t="shared" si="73"/>
        <v>Q2 21</v>
      </c>
      <c r="I128" s="1754" t="str">
        <f t="shared" si="73"/>
        <v>Q3 21</v>
      </c>
      <c r="J128" s="1754" t="str">
        <f t="shared" si="73"/>
        <v>Q4 21</v>
      </c>
      <c r="K128" s="1754" t="str">
        <f t="shared" si="73"/>
        <v>Q1 22</v>
      </c>
      <c r="L128" s="1754" t="str">
        <f t="shared" si="73"/>
        <v>Q2 22</v>
      </c>
      <c r="M128" s="1754" t="str">
        <f t="shared" si="73"/>
        <v>Q3 22</v>
      </c>
      <c r="N128" s="1754" t="str">
        <f t="shared" ref="N128:O128" si="74">N108</f>
        <v>Q4 22</v>
      </c>
      <c r="O128" s="1786" t="str">
        <f t="shared" si="74"/>
        <v>Q1 23</v>
      </c>
      <c r="P128" s="1787" t="s">
        <v>8008</v>
      </c>
      <c r="Q128" s="1786" t="s">
        <v>8245</v>
      </c>
      <c r="R128" s="1787" t="s">
        <v>8359</v>
      </c>
      <c r="S128" s="1786" t="s">
        <v>8510</v>
      </c>
      <c r="T128" s="1787" t="s">
        <v>8512</v>
      </c>
      <c r="U128" s="1786" t="s">
        <v>8529</v>
      </c>
      <c r="V128" s="1787" t="s">
        <v>8574</v>
      </c>
      <c r="W128" s="1786" t="s">
        <v>8649</v>
      </c>
      <c r="X128" s="1787" t="s">
        <v>8750</v>
      </c>
      <c r="Y128" s="1786" t="s">
        <v>8887</v>
      </c>
      <c r="Z128" s="1787" t="s">
        <v>8888</v>
      </c>
      <c r="AA128" s="1786" t="s">
        <v>9020</v>
      </c>
      <c r="AB128" s="1787" t="s">
        <v>9022</v>
      </c>
      <c r="AC128" s="1786" t="s">
        <v>9124</v>
      </c>
      <c r="AD128" s="1787" t="s">
        <v>9126</v>
      </c>
      <c r="AE128" s="1439"/>
      <c r="AF128" s="1439"/>
      <c r="AG128" s="1439"/>
    </row>
    <row r="129" spans="1:55" ht="16.5">
      <c r="A129" s="1439"/>
      <c r="B129" s="1755" t="str">
        <f>B109</f>
        <v>El Salvador</v>
      </c>
      <c r="C129" s="1769">
        <v>6.9999999999999993E-3</v>
      </c>
      <c r="D129" s="1769">
        <v>-0.14899999999999999</v>
      </c>
      <c r="E129" s="1769">
        <v>-9.0999999999999998E-2</v>
      </c>
      <c r="F129" s="1769">
        <v>9.9000000000000005E-2</v>
      </c>
      <c r="G129" s="1769">
        <v>0.13699999999999998</v>
      </c>
      <c r="H129" s="1769">
        <v>0.50900000000000001</v>
      </c>
      <c r="I129" s="1769">
        <v>0.217</v>
      </c>
      <c r="J129" s="1769">
        <v>1.9E-2</v>
      </c>
      <c r="K129" s="1769">
        <v>7.4999999999999997E-2</v>
      </c>
      <c r="L129" s="1769">
        <v>0.105</v>
      </c>
      <c r="M129" s="1769">
        <v>3.9E-2</v>
      </c>
      <c r="N129" s="1769">
        <v>0.111</v>
      </c>
      <c r="O129" s="1788">
        <v>1.6E-2</v>
      </c>
      <c r="P129" s="1789"/>
      <c r="Q129" s="1788">
        <v>3.2000000000000001E-2</v>
      </c>
      <c r="R129" s="1789"/>
      <c r="S129" s="1788">
        <v>0.161</v>
      </c>
      <c r="T129" s="1789"/>
      <c r="U129" s="1788">
        <v>-4.9000000000000002E-2</v>
      </c>
      <c r="V129" s="1789">
        <v>-8.9999999999999993E-3</v>
      </c>
      <c r="W129" s="1788">
        <v>0.191</v>
      </c>
      <c r="X129" s="1789"/>
      <c r="Y129" s="1788">
        <v>0.21099999999999999</v>
      </c>
      <c r="Z129" s="1789"/>
      <c r="AA129" s="1788">
        <v>0.182</v>
      </c>
      <c r="AB129" s="1789"/>
      <c r="AC129" s="1788">
        <v>0.16900000000000001</v>
      </c>
      <c r="AD129" s="1789"/>
      <c r="AE129" s="1439"/>
      <c r="AF129" s="1439"/>
      <c r="AG129" s="1439"/>
    </row>
    <row r="130" spans="1:55" ht="16.5">
      <c r="A130" s="1439"/>
      <c r="B130" s="1770" t="s">
        <v>2172</v>
      </c>
      <c r="C130" s="1771"/>
      <c r="D130" s="1771"/>
      <c r="E130" s="1771"/>
      <c r="F130" s="1771"/>
      <c r="G130" s="1771"/>
      <c r="H130" s="1771"/>
      <c r="I130" s="1771"/>
      <c r="J130" s="1771"/>
      <c r="K130" s="1771">
        <v>0.161</v>
      </c>
      <c r="L130" s="1771">
        <v>0.13300000000000001</v>
      </c>
      <c r="M130" s="1771">
        <v>4.0000000000000001E-3</v>
      </c>
      <c r="N130" s="1771">
        <v>9.0000000000000011E-3</v>
      </c>
      <c r="O130" s="1790">
        <v>-3.0000000000000001E-3</v>
      </c>
      <c r="P130" s="1791"/>
      <c r="Q130" s="1790">
        <v>-1.7000000000000001E-2</v>
      </c>
      <c r="R130" s="1791"/>
      <c r="S130" s="1790">
        <v>0.127</v>
      </c>
      <c r="T130" s="1791"/>
      <c r="U130" s="1790">
        <v>0.13900000000000001</v>
      </c>
      <c r="V130" s="1791"/>
      <c r="W130" s="1790">
        <v>9.4E-2</v>
      </c>
      <c r="X130" s="1791"/>
      <c r="Y130" s="1790">
        <v>-2.8000000000000001E-2</v>
      </c>
      <c r="Z130" s="1791"/>
      <c r="AA130" s="1790">
        <v>-9.2999999999999999E-2</v>
      </c>
      <c r="AB130" s="1791"/>
      <c r="AC130" s="1790">
        <v>-0.57199999999999995</v>
      </c>
      <c r="AD130" s="1791"/>
      <c r="AE130" s="1439"/>
      <c r="AF130" s="1439"/>
      <c r="AG130" s="1439"/>
    </row>
    <row r="131" spans="1:55" ht="16.5">
      <c r="A131" s="1439"/>
      <c r="B131" s="1755" t="s">
        <v>2033</v>
      </c>
      <c r="C131" s="1769"/>
      <c r="D131" s="1769"/>
      <c r="E131" s="1769"/>
      <c r="F131" s="1769"/>
      <c r="G131" s="1769"/>
      <c r="H131" s="1769">
        <v>0.19500000000000001</v>
      </c>
      <c r="I131" s="1769">
        <v>8.6999999999999994E-2</v>
      </c>
      <c r="J131" s="1769">
        <v>0.126</v>
      </c>
      <c r="K131" s="1769">
        <v>0.19500000000000001</v>
      </c>
      <c r="L131" s="1769">
        <v>8.6999999999999994E-2</v>
      </c>
      <c r="M131" s="1769">
        <v>0.126</v>
      </c>
      <c r="N131" s="1769">
        <v>7.5999999999999998E-2</v>
      </c>
      <c r="O131" s="1788">
        <v>8.8999999999999996E-2</v>
      </c>
      <c r="P131" s="1789"/>
      <c r="Q131" s="1788">
        <v>4.7E-2</v>
      </c>
      <c r="R131" s="1789"/>
      <c r="S131" s="1788">
        <v>3.5999999999999997E-2</v>
      </c>
      <c r="T131" s="1789"/>
      <c r="U131" s="1788">
        <v>6.7000000000000004E-2</v>
      </c>
      <c r="V131" s="1789">
        <v>8.4000000000000005E-2</v>
      </c>
      <c r="W131" s="1788">
        <v>0.16</v>
      </c>
      <c r="X131" s="1789"/>
      <c r="Y131" s="1788">
        <v>8.7999999999999995E-2</v>
      </c>
      <c r="Z131" s="1789"/>
      <c r="AA131" s="1788">
        <v>0.10299999999999999</v>
      </c>
      <c r="AB131" s="1789"/>
      <c r="AC131" s="1788">
        <v>7.4999999999999997E-2</v>
      </c>
      <c r="AD131" s="1789"/>
      <c r="AE131" s="1439"/>
      <c r="AF131" s="1439"/>
      <c r="AG131" s="1439"/>
    </row>
    <row r="132" spans="1:55" ht="16.5">
      <c r="A132" s="1439"/>
      <c r="B132" s="1792" t="s">
        <v>8749</v>
      </c>
      <c r="C132" s="1793"/>
      <c r="D132" s="1793"/>
      <c r="E132" s="1793"/>
      <c r="F132" s="1793"/>
      <c r="G132" s="1793"/>
      <c r="H132" s="1793"/>
      <c r="I132" s="1793"/>
      <c r="J132" s="1793"/>
      <c r="K132" s="1793">
        <v>6.0999999999999999E-2</v>
      </c>
      <c r="L132" s="1793">
        <v>5.5E-2</v>
      </c>
      <c r="M132" s="1793">
        <v>4.9000000000000002E-2</v>
      </c>
      <c r="N132" s="1793">
        <v>8.5000000000000006E-2</v>
      </c>
      <c r="O132" s="1794">
        <v>5.0999999999999997E-2</v>
      </c>
      <c r="P132" s="1795"/>
      <c r="Q132" s="1794">
        <v>5.6000000000000001E-2</v>
      </c>
      <c r="R132" s="1795"/>
      <c r="S132" s="1794">
        <v>0.14000000000000001</v>
      </c>
      <c r="T132" s="1795"/>
      <c r="U132" s="1794">
        <v>0.03</v>
      </c>
      <c r="V132" s="1795"/>
      <c r="W132" s="1794">
        <v>0.17799999999999999</v>
      </c>
      <c r="X132" s="1795"/>
      <c r="Y132" s="1794">
        <v>0.14000000000000001</v>
      </c>
      <c r="Z132" s="1795"/>
      <c r="AA132" s="1794">
        <v>0.11700000000000001</v>
      </c>
      <c r="AB132" s="1795"/>
      <c r="AC132" s="1794"/>
      <c r="AD132" s="1795"/>
      <c r="AE132" s="1439"/>
      <c r="AF132" s="1439"/>
      <c r="AG132" s="1439"/>
    </row>
    <row r="133" spans="1:55" ht="16.5">
      <c r="A133" s="1439"/>
      <c r="B133" s="1755"/>
      <c r="C133" s="1769"/>
      <c r="D133" s="1769"/>
      <c r="E133" s="1769"/>
      <c r="F133" s="1769"/>
      <c r="G133" s="1769"/>
      <c r="H133" s="1769"/>
      <c r="I133" s="1769"/>
      <c r="J133" s="1769"/>
      <c r="K133" s="1769"/>
      <c r="L133" s="1769"/>
      <c r="M133" s="1769"/>
      <c r="N133" s="1769"/>
      <c r="O133" s="1788"/>
      <c r="P133" s="1789"/>
      <c r="Q133" s="1788"/>
      <c r="R133" s="1789"/>
      <c r="S133" s="1788"/>
      <c r="T133" s="1789"/>
      <c r="U133" s="1788"/>
      <c r="V133" s="1789"/>
      <c r="W133" s="1788"/>
      <c r="X133" s="1789"/>
      <c r="Y133" s="1788"/>
      <c r="Z133" s="1789"/>
      <c r="AA133" s="1788"/>
      <c r="AB133" s="1789"/>
      <c r="AC133" s="1788"/>
      <c r="AD133" s="1789"/>
      <c r="AE133" s="1439"/>
      <c r="AF133" s="1439"/>
      <c r="AG133" s="1439"/>
    </row>
    <row r="134" spans="1:55" ht="16.5">
      <c r="A134" s="1439"/>
      <c r="B134" s="1751" t="str">
        <f>B114</f>
        <v>Guatemala</v>
      </c>
      <c r="C134" s="1762">
        <v>1.6E-2</v>
      </c>
      <c r="D134" s="1762">
        <v>-2.3E-2</v>
      </c>
      <c r="E134" s="1762">
        <v>3.2000000000000001E-2</v>
      </c>
      <c r="F134" s="1762">
        <v>0.14699999999999999</v>
      </c>
      <c r="G134" s="1762">
        <v>0.11199999999999999</v>
      </c>
      <c r="H134" s="1762">
        <v>0.193</v>
      </c>
      <c r="I134" s="1762">
        <v>0.125</v>
      </c>
      <c r="J134" s="1762">
        <v>-3.0000000000000001E-3</v>
      </c>
      <c r="K134" s="1762">
        <v>6.0000000000000001E-3</v>
      </c>
      <c r="L134" s="1762">
        <v>-1E-3</v>
      </c>
      <c r="M134" s="1762">
        <v>-2.5999999999999999E-2</v>
      </c>
      <c r="N134" s="1762">
        <v>2.5999999999999999E-2</v>
      </c>
      <c r="O134" s="1796">
        <v>-6.4000000000000001E-2</v>
      </c>
      <c r="P134" s="1797"/>
      <c r="Q134" s="1796">
        <v>-7.6999999999999999E-2</v>
      </c>
      <c r="R134" s="1797"/>
      <c r="S134" s="1796">
        <v>-0.03</v>
      </c>
      <c r="T134" s="1797"/>
      <c r="U134" s="1796">
        <v>-1.7999999999999999E-2</v>
      </c>
      <c r="V134" s="1797">
        <v>2.5999999999999999E-2</v>
      </c>
      <c r="W134" s="1796">
        <v>7.9000000000000001E-2</v>
      </c>
      <c r="X134" s="1797"/>
      <c r="Y134" s="1796">
        <v>8.4000000000000005E-2</v>
      </c>
      <c r="Z134" s="1797">
        <v>0.114</v>
      </c>
      <c r="AA134" s="1796">
        <v>8.6999999999999994E-2</v>
      </c>
      <c r="AB134" s="1797">
        <v>0.107</v>
      </c>
      <c r="AC134" s="1796">
        <v>7.0000000000000001E-3</v>
      </c>
      <c r="AD134" s="1797">
        <v>4.3999999999999997E-2</v>
      </c>
      <c r="AF134" s="1439">
        <f>AG134/(1+AC134)</f>
        <v>213.50546176762663</v>
      </c>
      <c r="AG134" s="1785">
        <v>215</v>
      </c>
      <c r="AH134" s="1460">
        <f>AG134/AF134-1</f>
        <v>6.9999999999998952E-3</v>
      </c>
      <c r="AI134" s="1439"/>
      <c r="AJ134" s="1439">
        <f>AF134</f>
        <v>213.50546176762663</v>
      </c>
      <c r="AK134" s="1785">
        <f>AG134+8</f>
        <v>223</v>
      </c>
      <c r="AL134" s="456">
        <f>AK134/AJ134-1</f>
        <v>4.4469767441860375E-2</v>
      </c>
      <c r="AO134" s="1439">
        <f>AP134/(1+AA134)</f>
        <v>202.39190432382705</v>
      </c>
      <c r="AP134" s="1785">
        <v>220</v>
      </c>
      <c r="AQ134" s="1460">
        <f>AP134/AO134-1</f>
        <v>8.6999999999999966E-2</v>
      </c>
      <c r="AR134" s="1439"/>
      <c r="AS134" s="1439">
        <f>AO134</f>
        <v>202.39190432382705</v>
      </c>
      <c r="AT134" s="1785">
        <f>AP134+4</f>
        <v>224</v>
      </c>
      <c r="AU134" s="456">
        <f>AT134/AS134-1</f>
        <v>0.10676363636363639</v>
      </c>
      <c r="AW134" s="1439">
        <f>AX134/(1+Y134)</f>
        <v>200.18450184501845</v>
      </c>
      <c r="AX134" s="1439">
        <v>217</v>
      </c>
      <c r="AY134" s="1460">
        <f>AX134/AW134-1</f>
        <v>8.4000000000000075E-2</v>
      </c>
      <c r="AZ134" s="1439"/>
      <c r="BA134" s="1439">
        <f>AW134</f>
        <v>200.18450184501845</v>
      </c>
      <c r="BB134" s="1439">
        <f>AX134+6</f>
        <v>223</v>
      </c>
      <c r="BC134" s="456">
        <f>BB134/BA134-1</f>
        <v>0.11397235023041485</v>
      </c>
    </row>
    <row r="135" spans="1:55" ht="16.5">
      <c r="A135" s="1439"/>
      <c r="B135" s="1755" t="str">
        <f>B115</f>
        <v>Honduras (JV)</v>
      </c>
      <c r="C135" s="1769">
        <v>-0.03</v>
      </c>
      <c r="D135" s="1769">
        <v>-0.19899999999999998</v>
      </c>
      <c r="E135" s="1769">
        <v>-0.157</v>
      </c>
      <c r="F135" s="1769">
        <v>-7.5999999999999998E-2</v>
      </c>
      <c r="G135" s="1769">
        <v>2.5000000000000001E-2</v>
      </c>
      <c r="H135" s="1769">
        <v>0.17500000000000002</v>
      </c>
      <c r="I135" s="1769">
        <v>2.2000000000000002E-2</v>
      </c>
      <c r="J135" s="1769">
        <v>-9.4E-2</v>
      </c>
      <c r="K135" s="1769">
        <v>-3.3000000000000002E-2</v>
      </c>
      <c r="L135" s="1769">
        <v>-6.9999999999999993E-3</v>
      </c>
      <c r="M135" s="1769">
        <v>3.5000000000000003E-2</v>
      </c>
      <c r="N135" s="1769">
        <v>0.13500000000000001</v>
      </c>
      <c r="O135" s="1788">
        <v>4.3999999999999997E-2</v>
      </c>
      <c r="P135" s="1789"/>
      <c r="Q135" s="1788">
        <v>4.2999999999999997E-2</v>
      </c>
      <c r="R135" s="1789"/>
      <c r="S135" s="1788">
        <v>7.9000000000000001E-2</v>
      </c>
      <c r="T135" s="1789"/>
      <c r="U135" s="1788">
        <v>1.4E-2</v>
      </c>
      <c r="V135" s="1789">
        <v>5.7000000000000002E-2</v>
      </c>
      <c r="W135" s="1788">
        <v>0.10199999999999999</v>
      </c>
      <c r="X135" s="1789"/>
      <c r="Y135" s="1788">
        <v>8.3000000000000004E-2</v>
      </c>
      <c r="Z135" s="1789"/>
      <c r="AA135" s="1788">
        <v>0.14299999999999999</v>
      </c>
      <c r="AB135" s="1789"/>
      <c r="AC135" s="1788">
        <v>0.14499999999999999</v>
      </c>
      <c r="AD135" s="1789"/>
      <c r="AF135" s="1439"/>
      <c r="AG135" s="1439"/>
      <c r="AH135" s="1439"/>
      <c r="AI135" s="1439"/>
      <c r="AJ135" s="1439"/>
      <c r="AK135" s="1439"/>
      <c r="AO135" s="1439"/>
      <c r="AP135" s="1439"/>
      <c r="AQ135" s="1439"/>
      <c r="AR135" s="1439"/>
      <c r="AS135" s="1439"/>
      <c r="AT135" s="1439"/>
      <c r="AW135" s="1439"/>
      <c r="AX135" s="1439"/>
      <c r="AY135" s="1439"/>
      <c r="AZ135" s="1439"/>
      <c r="BA135" s="1439"/>
      <c r="BB135" s="1439"/>
    </row>
    <row r="136" spans="1:55" ht="16.5">
      <c r="A136" s="1439"/>
      <c r="B136" s="1751" t="str">
        <f>B116</f>
        <v>Panama</v>
      </c>
      <c r="C136" s="1762">
        <v>0.01</v>
      </c>
      <c r="D136" s="1762">
        <v>-0.14899999999999999</v>
      </c>
      <c r="E136" s="1762">
        <v>-0.156</v>
      </c>
      <c r="F136" s="1762">
        <v>-0.115</v>
      </c>
      <c r="G136" s="1762">
        <v>-3.1000000000000003E-2</v>
      </c>
      <c r="H136" s="1762">
        <v>0.11</v>
      </c>
      <c r="I136" s="1762">
        <v>0.125</v>
      </c>
      <c r="J136" s="1762">
        <v>0.193</v>
      </c>
      <c r="K136" s="1762">
        <v>6.0999999999999999E-2</v>
      </c>
      <c r="L136" s="1762">
        <v>0.156</v>
      </c>
      <c r="M136" s="1762">
        <v>0.06</v>
      </c>
      <c r="N136" s="1762">
        <v>-1.7999999999999999E-2</v>
      </c>
      <c r="O136" s="1796">
        <v>-1E-3</v>
      </c>
      <c r="P136" s="1797">
        <v>1.4E-2</v>
      </c>
      <c r="Q136" s="1796">
        <v>-4.7E-2</v>
      </c>
      <c r="R136" s="1797">
        <v>1.4999999999999999E-2</v>
      </c>
      <c r="S136" s="1796">
        <v>0.02</v>
      </c>
      <c r="T136" s="1797"/>
      <c r="U136" s="1796">
        <v>-1E-3</v>
      </c>
      <c r="V136" s="1797">
        <v>0.108</v>
      </c>
      <c r="W136" s="1796">
        <v>0.26100000000000001</v>
      </c>
      <c r="X136" s="1797"/>
      <c r="Y136" s="1796">
        <v>0.22600000000000001</v>
      </c>
      <c r="Z136" s="1797"/>
      <c r="AA136" s="1796">
        <v>0.10100000000000001</v>
      </c>
      <c r="AB136" s="1797"/>
      <c r="AC136" s="1796">
        <v>0.19900000000000001</v>
      </c>
      <c r="AD136" s="1797"/>
      <c r="AF136" s="1439"/>
      <c r="AG136" s="1439"/>
      <c r="AH136" s="1439"/>
      <c r="AI136" s="1439"/>
      <c r="AJ136" s="1439"/>
      <c r="AK136" s="1439"/>
      <c r="AO136" s="1439"/>
      <c r="AP136" s="1439"/>
      <c r="AQ136" s="1439"/>
      <c r="AR136" s="1439"/>
      <c r="AS136" s="1439"/>
      <c r="AT136" s="1439"/>
      <c r="AW136" s="1439"/>
      <c r="AX136" s="1439"/>
      <c r="AY136" s="1439"/>
      <c r="AZ136" s="1439"/>
      <c r="BA136" s="1439"/>
      <c r="BB136" s="1439"/>
    </row>
    <row r="137" spans="1:55" ht="16.5">
      <c r="A137" s="1439"/>
      <c r="B137" s="1755" t="str">
        <f>B118</f>
        <v>Bolivia</v>
      </c>
      <c r="C137" s="1769">
        <v>-2.1000000000000001E-2</v>
      </c>
      <c r="D137" s="1769">
        <v>-0.373</v>
      </c>
      <c r="E137" s="1769">
        <v>-0.11599999999999999</v>
      </c>
      <c r="F137" s="1769">
        <v>0.11599999999999999</v>
      </c>
      <c r="G137" s="1769">
        <v>6.0000000000000001E-3</v>
      </c>
      <c r="H137" s="1769">
        <v>0.47700000000000004</v>
      </c>
      <c r="I137" s="1769">
        <v>7.2000000000000008E-2</v>
      </c>
      <c r="J137" s="1769">
        <v>-8.5999999999999993E-2</v>
      </c>
      <c r="K137" s="1769">
        <v>-2.6000000000000002E-2</v>
      </c>
      <c r="L137" s="1769">
        <v>7.2999999999999995E-2</v>
      </c>
      <c r="M137" s="1769">
        <v>-3.6999999999999998E-2</v>
      </c>
      <c r="N137" s="1769">
        <v>0.11799999999999999</v>
      </c>
      <c r="O137" s="1788">
        <v>-5.3999999999999999E-2</v>
      </c>
      <c r="P137" s="1789"/>
      <c r="Q137" s="1788">
        <v>-7.6999999999999999E-2</v>
      </c>
      <c r="R137" s="1789">
        <v>-0.10100000000000001</v>
      </c>
      <c r="S137" s="1788">
        <v>-2.1999999999999999E-2</v>
      </c>
      <c r="T137" s="1789"/>
      <c r="U137" s="1788">
        <v>-0.13800000000000001</v>
      </c>
      <c r="V137" s="1789">
        <v>-4.5999999999999999E-2</v>
      </c>
      <c r="W137" s="1788">
        <v>0.127</v>
      </c>
      <c r="X137" s="1789"/>
      <c r="Y137" s="1788">
        <v>9.1999999999999998E-2</v>
      </c>
      <c r="Z137" s="1789">
        <v>0.126</v>
      </c>
      <c r="AA137" s="1788">
        <v>0.159</v>
      </c>
      <c r="AB137" s="1789">
        <v>0.21199999999999999</v>
      </c>
      <c r="AC137" s="1788">
        <v>0.39800000000000002</v>
      </c>
      <c r="AD137" s="1789"/>
      <c r="AF137" s="1439"/>
      <c r="AG137" s="1785"/>
      <c r="AH137" s="1460"/>
      <c r="AI137" s="1439"/>
      <c r="AJ137" s="1439"/>
      <c r="AK137" s="1785"/>
      <c r="AL137" s="456"/>
      <c r="AO137" s="1439">
        <f>AP137/(1+AA137)</f>
        <v>56.945642795513372</v>
      </c>
      <c r="AP137" s="1785">
        <v>66</v>
      </c>
      <c r="AQ137" s="1460">
        <f>AP137/AO137-1</f>
        <v>0.15900000000000003</v>
      </c>
      <c r="AR137" s="1439"/>
      <c r="AS137" s="1439">
        <f>AO137</f>
        <v>56.945642795513372</v>
      </c>
      <c r="AT137" s="1785">
        <f>AP137+3</f>
        <v>69</v>
      </c>
      <c r="AU137" s="456">
        <f>AT137/AS137-1</f>
        <v>0.2116818181818183</v>
      </c>
      <c r="AW137" s="1439">
        <f>AX137/(1+Y137)</f>
        <v>58.608058608058606</v>
      </c>
      <c r="AX137" s="1439">
        <v>64</v>
      </c>
      <c r="AY137" s="1460">
        <f>AX137/AW137-1</f>
        <v>9.2000000000000082E-2</v>
      </c>
      <c r="AZ137" s="1439"/>
      <c r="BA137" s="1439">
        <f>AW137</f>
        <v>58.608058608058606</v>
      </c>
      <c r="BB137" s="1439">
        <f>AX137+2</f>
        <v>66</v>
      </c>
      <c r="BC137" s="456">
        <f>BB137/BA137-1</f>
        <v>0.12612500000000004</v>
      </c>
    </row>
    <row r="138" spans="1:55" ht="16.5">
      <c r="A138" s="1439"/>
      <c r="B138" s="1751" t="str">
        <f>B119</f>
        <v>Colombia</v>
      </c>
      <c r="C138" s="1762">
        <v>-2.3E-2</v>
      </c>
      <c r="D138" s="1762">
        <v>6.9000000000000006E-2</v>
      </c>
      <c r="E138" s="1762">
        <v>2.6000000000000002E-2</v>
      </c>
      <c r="F138" s="1762">
        <v>-2.7999999999999997E-2</v>
      </c>
      <c r="G138" s="1762">
        <v>3.6000000000000004E-2</v>
      </c>
      <c r="H138" s="1762">
        <v>-5.2999999999999999E-2</v>
      </c>
      <c r="I138" s="1762">
        <v>-5.5999999999999994E-2</v>
      </c>
      <c r="J138" s="1762">
        <v>-2.1000000000000001E-2</v>
      </c>
      <c r="K138" s="1762">
        <v>-2.3E-2</v>
      </c>
      <c r="L138" s="1762">
        <v>0.04</v>
      </c>
      <c r="M138" s="1762">
        <v>6.6000000000000003E-2</v>
      </c>
      <c r="N138" s="1762">
        <v>0.04</v>
      </c>
      <c r="O138" s="1796">
        <v>-3.7999999999999999E-2</v>
      </c>
      <c r="P138" s="1797">
        <v>4.2000000000000003E-2</v>
      </c>
      <c r="Q138" s="1796">
        <v>-1.2999999999999999E-2</v>
      </c>
      <c r="R138" s="1797">
        <v>0.05</v>
      </c>
      <c r="S138" s="1796">
        <v>9.0999999999999998E-2</v>
      </c>
      <c r="T138" s="1797">
        <v>0.19500000000000001</v>
      </c>
      <c r="U138" s="1796">
        <v>0.16800000000000001</v>
      </c>
      <c r="V138" s="1797">
        <v>0.245</v>
      </c>
      <c r="W138" s="1796"/>
      <c r="X138" s="1797">
        <v>0.24199999999999999</v>
      </c>
      <c r="Y138" s="1796">
        <v>0.34</v>
      </c>
      <c r="Z138" s="1797">
        <v>0.39700000000000002</v>
      </c>
      <c r="AA138" s="1796">
        <v>0.188</v>
      </c>
      <c r="AB138" s="1797">
        <v>0.23300000000000001</v>
      </c>
      <c r="AC138" s="1796">
        <v>3.6999999999999998E-2</v>
      </c>
      <c r="AD138" s="1797">
        <v>7.9000000000000001E-2</v>
      </c>
      <c r="AF138" s="1439">
        <f>AG138/(1+AC138)</f>
        <v>117.64705882352942</v>
      </c>
      <c r="AG138" s="1785">
        <v>122</v>
      </c>
      <c r="AH138" s="1460">
        <f>AG138/AF138-1</f>
        <v>3.6999999999999922E-2</v>
      </c>
      <c r="AI138" s="1439"/>
      <c r="AJ138" s="1439">
        <f>AF138</f>
        <v>117.64705882352942</v>
      </c>
      <c r="AK138" s="1785">
        <f>AG138+5</f>
        <v>127</v>
      </c>
      <c r="AL138" s="456">
        <f>AK138/AJ138-1</f>
        <v>7.9499999999999904E-2</v>
      </c>
      <c r="AO138" s="1439">
        <f>AP138/(1+AA138)</f>
        <v>111.95286195286195</v>
      </c>
      <c r="AP138" s="1785">
        <v>133</v>
      </c>
      <c r="AQ138" s="1460">
        <f>AP138/AO138-1</f>
        <v>0.18799999999999994</v>
      </c>
      <c r="AR138" s="1439"/>
      <c r="AS138" s="1439">
        <f>AO138</f>
        <v>111.95286195286195</v>
      </c>
      <c r="AT138" s="1785">
        <f>AP138+5</f>
        <v>138</v>
      </c>
      <c r="AU138" s="456">
        <f>AT138/AS138-1</f>
        <v>0.23266165413533835</v>
      </c>
      <c r="AW138" s="1439">
        <f>AX138/(1+Y138)</f>
        <v>105.22388059701493</v>
      </c>
      <c r="AX138" s="1439">
        <v>141</v>
      </c>
      <c r="AY138" s="1460">
        <f>AX138/AW138-1</f>
        <v>0.34000000000000008</v>
      </c>
      <c r="AZ138" s="1439"/>
      <c r="BA138" s="1439">
        <f>AW138</f>
        <v>105.22388059701493</v>
      </c>
      <c r="BB138" s="1439">
        <f>AX138+6</f>
        <v>147</v>
      </c>
      <c r="BC138" s="456">
        <f>BB138/BA138-1</f>
        <v>0.3970212765957446</v>
      </c>
    </row>
    <row r="139" spans="1:55" ht="16.5">
      <c r="A139" s="1439"/>
      <c r="B139" s="1755" t="str">
        <f>B120</f>
        <v>Paraguay</v>
      </c>
      <c r="C139" s="1769">
        <v>-0.1</v>
      </c>
      <c r="D139" s="1769">
        <v>-3.1000000000000003E-2</v>
      </c>
      <c r="E139" s="1769">
        <v>-8.6999999999999994E-2</v>
      </c>
      <c r="F139" s="1769">
        <v>-4.7E-2</v>
      </c>
      <c r="G139" s="1769">
        <v>-0.03</v>
      </c>
      <c r="H139" s="1769">
        <v>-5.5999999999999994E-2</v>
      </c>
      <c r="I139" s="1769">
        <v>1.6E-2</v>
      </c>
      <c r="J139" s="1769">
        <v>-8.199999999999999E-2</v>
      </c>
      <c r="K139" s="1769">
        <v>9.4E-2</v>
      </c>
      <c r="L139" s="1769">
        <v>4.2000000000000003E-2</v>
      </c>
      <c r="M139" s="1769">
        <v>-2.7E-2</v>
      </c>
      <c r="N139" s="1769">
        <v>6.7000000000000004E-2</v>
      </c>
      <c r="O139" s="1788">
        <v>-4.0000000000000001E-3</v>
      </c>
      <c r="P139" s="1789">
        <v>8.0000000000000002E-3</v>
      </c>
      <c r="Q139" s="1788">
        <v>9.0999999999999998E-2</v>
      </c>
      <c r="R139" s="1789">
        <v>0.124</v>
      </c>
      <c r="S139" s="1788">
        <v>8.1000000000000003E-2</v>
      </c>
      <c r="T139" s="1789">
        <v>0.11600000000000001</v>
      </c>
      <c r="U139" s="1788">
        <v>-0.13800000000000001</v>
      </c>
      <c r="V139" s="1789">
        <v>0.108</v>
      </c>
      <c r="W139" s="1788">
        <v>0.14099999999999999</v>
      </c>
      <c r="X139" s="1789"/>
      <c r="Y139" s="1788">
        <v>0.12</v>
      </c>
      <c r="Z139" s="1789"/>
      <c r="AA139" s="1788">
        <v>8.3000000000000004E-2</v>
      </c>
      <c r="AB139" s="1789"/>
      <c r="AC139" s="1788">
        <v>0.376</v>
      </c>
      <c r="AD139" s="1789">
        <v>0.45900000000000002</v>
      </c>
      <c r="AF139" s="1439">
        <f>AG139/(1+AC139)</f>
        <v>47.965116279069768</v>
      </c>
      <c r="AG139" s="1785">
        <v>66</v>
      </c>
      <c r="AH139" s="1460">
        <f>AG139/AF139-1</f>
        <v>0.37599999999999989</v>
      </c>
      <c r="AI139" s="1439"/>
      <c r="AJ139" s="1439">
        <f>AF139</f>
        <v>47.965116279069768</v>
      </c>
      <c r="AK139" s="1785">
        <f>AG139+4</f>
        <v>70</v>
      </c>
      <c r="AL139" s="456">
        <f>AK139/AJ139-1</f>
        <v>0.45939393939393947</v>
      </c>
    </row>
    <row r="140" spans="1:55" ht="16.5">
      <c r="A140" s="1439"/>
      <c r="B140" s="1798" t="s">
        <v>2554</v>
      </c>
      <c r="C140" s="1799">
        <v>-2.3E-2</v>
      </c>
      <c r="D140" s="1799">
        <v>-2.5000000000000001E-2</v>
      </c>
      <c r="E140" s="1799">
        <v>-4.5999999999999999E-2</v>
      </c>
      <c r="F140" s="1799">
        <v>2.7999999999999997E-2</v>
      </c>
      <c r="G140" s="1799">
        <v>7.0999999999999994E-2</v>
      </c>
      <c r="H140" s="1799">
        <v>0.13200000000000001</v>
      </c>
      <c r="I140" s="1799">
        <v>6.3E-2</v>
      </c>
      <c r="J140" s="1799">
        <v>-3.2000000000000001E-2</v>
      </c>
      <c r="K140" s="1799">
        <v>2E-3</v>
      </c>
      <c r="L140" s="1799">
        <v>4.5999999999999999E-2</v>
      </c>
      <c r="M140" s="1799">
        <v>-1.9E-2</v>
      </c>
      <c r="N140" s="1799">
        <v>1.7999999999999999E-2</v>
      </c>
      <c r="O140" s="1800">
        <v>-6.2E-2</v>
      </c>
      <c r="P140" s="1801">
        <f>O140+2.7%</f>
        <v>-3.4999999999999996E-2</v>
      </c>
      <c r="Q140" s="1800">
        <v>-7.9000000000000001E-2</v>
      </c>
      <c r="R140" s="1801">
        <v>-0.03</v>
      </c>
      <c r="S140" s="1800">
        <v>-0.02</v>
      </c>
      <c r="T140" s="1801">
        <v>2.5999999999999999E-2</v>
      </c>
      <c r="U140" s="1800">
        <v>-2.1999999999999999E-2</v>
      </c>
      <c r="V140" s="1801">
        <v>5.2999999999999999E-2</v>
      </c>
      <c r="W140" s="1800">
        <v>0.2</v>
      </c>
      <c r="X140" s="1801">
        <f>'New (new) quarts'!BE140/'New (new) quarts'!AZ140-1</f>
        <v>0.26716466749598733</v>
      </c>
      <c r="Y140" s="1800">
        <v>0.19700000000000001</v>
      </c>
      <c r="Z140" s="1801">
        <f>'New (new) quarts'!BF140/'New (new) quarts'!BA140-1</f>
        <v>0.24195673809174512</v>
      </c>
      <c r="AA140" s="1800">
        <v>0.10199999999999999</v>
      </c>
      <c r="AB140" s="1801">
        <f>'New (new) quarts'!BG140/'New (new) quarts'!BB140-1</f>
        <v>0.16345878941981318</v>
      </c>
      <c r="AC140" s="1800">
        <v>0.13400000000000001</v>
      </c>
      <c r="AD140" s="1801">
        <f>'New (new) quarts'!BH140/'New (new) quarts'!BC140-1</f>
        <v>8.2539615175696079E-2</v>
      </c>
      <c r="AE140" s="1439"/>
      <c r="AF140" s="1439"/>
      <c r="AG140" s="1439"/>
    </row>
    <row r="141" spans="1:55">
      <c r="A141" s="1439"/>
      <c r="B141" s="1439"/>
      <c r="C141" s="1578"/>
      <c r="D141" s="1578"/>
      <c r="E141" s="1578"/>
      <c r="F141" s="1578"/>
      <c r="G141" s="1578"/>
      <c r="H141" s="1578"/>
      <c r="I141" s="1578"/>
      <c r="J141" s="1578"/>
      <c r="K141" s="1578"/>
      <c r="L141" s="1578"/>
      <c r="M141" s="1578"/>
      <c r="N141" s="1578"/>
      <c r="O141" s="1578"/>
      <c r="P141" s="1578"/>
      <c r="Q141" s="1578"/>
      <c r="R141" s="1578"/>
      <c r="S141" s="1578"/>
      <c r="T141" s="1578"/>
      <c r="U141" s="1578"/>
      <c r="V141" s="1578"/>
      <c r="W141" s="1578"/>
      <c r="X141" s="1578"/>
      <c r="Y141" s="1578"/>
      <c r="Z141" s="1578"/>
      <c r="AA141" s="1578"/>
      <c r="AB141" s="1578"/>
      <c r="AC141" s="1578"/>
      <c r="AD141" s="1578"/>
      <c r="AE141" s="1578"/>
      <c r="AF141" s="1439"/>
      <c r="AG141" s="1439"/>
    </row>
    <row r="142" spans="1:55">
      <c r="A142" s="1439"/>
      <c r="B142" s="1449"/>
      <c r="C142" s="1578"/>
      <c r="D142" s="1578"/>
      <c r="E142" s="1578"/>
      <c r="F142" s="1578"/>
      <c r="G142" s="1578"/>
      <c r="H142" s="1578"/>
      <c r="I142" s="1578"/>
      <c r="J142" s="1578"/>
      <c r="K142" s="1578"/>
      <c r="L142" s="1578"/>
      <c r="M142" s="1578"/>
      <c r="N142" s="1578"/>
      <c r="O142" s="1578"/>
      <c r="P142" s="1578"/>
      <c r="Q142" s="1578"/>
      <c r="R142" s="1578"/>
      <c r="S142" s="1578"/>
      <c r="T142" s="1578"/>
      <c r="U142" s="1578"/>
      <c r="V142" s="1578"/>
      <c r="W142" s="1578"/>
      <c r="X142" s="1578"/>
      <c r="Y142" s="1578"/>
      <c r="Z142" s="1578"/>
      <c r="AA142" s="1578"/>
      <c r="AB142" s="1578"/>
      <c r="AC142" s="1578"/>
      <c r="AD142" s="1578"/>
      <c r="AE142" s="1578"/>
      <c r="AF142" s="1439"/>
      <c r="AG142" s="1439"/>
    </row>
    <row r="143" spans="1:55">
      <c r="A143" s="1439"/>
      <c r="B143" s="1449"/>
      <c r="C143" s="1578"/>
      <c r="D143" s="1578"/>
      <c r="E143" s="1578"/>
      <c r="F143" s="1578"/>
      <c r="G143" s="1578"/>
      <c r="H143" s="1578"/>
      <c r="I143" s="1578"/>
      <c r="J143" s="1578"/>
      <c r="K143" s="1578"/>
      <c r="L143" s="1578"/>
      <c r="M143" s="1578"/>
      <c r="N143" s="1578"/>
      <c r="O143" s="1578"/>
      <c r="P143" s="1578"/>
      <c r="Q143" s="1578"/>
      <c r="R143" s="1578"/>
      <c r="S143" s="1578"/>
      <c r="T143" s="1578"/>
      <c r="U143" s="1578"/>
      <c r="V143" s="1578"/>
      <c r="W143" s="1578"/>
      <c r="X143" s="1578"/>
      <c r="Y143" s="1578"/>
      <c r="Z143" s="1578"/>
      <c r="AA143" s="1578"/>
      <c r="AB143" s="1578"/>
      <c r="AC143" s="1578"/>
      <c r="AD143" s="1578"/>
      <c r="AE143" s="1578"/>
      <c r="AF143" s="1439"/>
      <c r="AG143" s="1439"/>
    </row>
    <row r="144" spans="1:55">
      <c r="A144" s="1439"/>
      <c r="B144" s="1449"/>
      <c r="C144" s="1578"/>
      <c r="D144" s="1578"/>
      <c r="E144" s="1578"/>
      <c r="F144" s="1578"/>
      <c r="G144" s="1578"/>
      <c r="H144" s="1578"/>
      <c r="I144" s="1578"/>
      <c r="J144" s="1578"/>
      <c r="K144" s="1578"/>
      <c r="L144" s="1578"/>
      <c r="M144" s="1578"/>
      <c r="N144" s="1578"/>
      <c r="O144" s="1578"/>
      <c r="P144" s="1578"/>
      <c r="Q144" s="1578"/>
      <c r="R144" s="1578"/>
      <c r="S144" s="1578"/>
      <c r="T144" s="1578"/>
      <c r="U144" s="1578"/>
      <c r="V144" s="1578"/>
      <c r="W144" s="1578"/>
      <c r="X144" s="1578"/>
      <c r="Y144" s="1578"/>
      <c r="Z144" s="1578"/>
      <c r="AA144" s="1578"/>
      <c r="AB144" s="1578"/>
      <c r="AC144" s="1578"/>
      <c r="AD144" s="1578"/>
      <c r="AE144" s="1578"/>
      <c r="AF144" s="1439"/>
      <c r="AG144" s="1439"/>
    </row>
    <row r="145" spans="1:33">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row>
    <row r="146" spans="1:33">
      <c r="A146" s="1439"/>
      <c r="B146" s="1439"/>
      <c r="C146" s="1439"/>
      <c r="D146" s="1439"/>
      <c r="E146" s="1439"/>
      <c r="F146" s="1439"/>
      <c r="G146" s="1439"/>
      <c r="H146" s="1439"/>
      <c r="I146" s="1439"/>
      <c r="J146" s="1439"/>
      <c r="K146" s="1439"/>
      <c r="L146" s="1439"/>
      <c r="M146" s="1439"/>
      <c r="N146" s="1439"/>
      <c r="O146" s="1439"/>
      <c r="P146" s="1439"/>
      <c r="Q146" s="1439"/>
      <c r="R146" s="1439"/>
      <c r="S146" s="1439"/>
      <c r="T146" s="1439"/>
      <c r="U146" s="1439"/>
      <c r="V146" s="1439"/>
      <c r="W146" s="1439"/>
      <c r="X146" s="1439"/>
      <c r="Y146" s="1439"/>
      <c r="Z146" s="1439"/>
      <c r="AA146" s="1439"/>
      <c r="AB146" s="1439"/>
      <c r="AC146" s="1439"/>
      <c r="AD146" s="1439"/>
      <c r="AE146" s="1439"/>
      <c r="AF146" s="1439"/>
      <c r="AG146" s="1439"/>
    </row>
    <row r="147" spans="1:33">
      <c r="A147" s="1439"/>
      <c r="B147" s="1439"/>
      <c r="C147" s="1439"/>
      <c r="D147" s="1439"/>
      <c r="E147" s="1439"/>
      <c r="F147" s="1439"/>
      <c r="G147" s="1439"/>
      <c r="H147" s="1439"/>
      <c r="I147" s="1439"/>
      <c r="J147" s="1439"/>
      <c r="K147" s="1439"/>
      <c r="L147" s="1439"/>
      <c r="M147" s="1439"/>
      <c r="N147" s="1439"/>
      <c r="O147" s="1439"/>
      <c r="P147" s="1439"/>
      <c r="Q147" s="1439"/>
      <c r="R147" s="1439"/>
      <c r="S147" s="1439"/>
      <c r="T147" s="1439"/>
      <c r="U147" s="1439"/>
      <c r="V147" s="1439"/>
      <c r="W147" s="1439"/>
      <c r="X147" s="1439"/>
      <c r="Y147" s="1439"/>
      <c r="Z147" s="1439"/>
      <c r="AA147" s="1439"/>
      <c r="AB147" s="1439"/>
      <c r="AC147" s="1439"/>
      <c r="AD147" s="1439"/>
      <c r="AE147" s="1439"/>
      <c r="AF147" s="1439"/>
      <c r="AG147" s="1439"/>
    </row>
    <row r="148" spans="1:33">
      <c r="A148" s="1439"/>
      <c r="B148" s="1439"/>
      <c r="C148" s="1439"/>
      <c r="D148" s="1439"/>
      <c r="E148" s="1439"/>
      <c r="F148" s="1439"/>
      <c r="G148" s="1439"/>
      <c r="H148" s="1439"/>
      <c r="I148" s="1439"/>
      <c r="J148" s="1439"/>
      <c r="K148" s="1439"/>
      <c r="L148" s="1439"/>
      <c r="M148" s="1439"/>
      <c r="N148" s="1439"/>
      <c r="O148" s="1439"/>
      <c r="P148" s="1439"/>
      <c r="Q148" s="1439"/>
      <c r="R148" s="1439"/>
      <c r="S148" s="1439"/>
      <c r="T148" s="1439"/>
      <c r="U148" s="1439"/>
      <c r="V148" s="1439"/>
      <c r="W148" s="1439"/>
      <c r="X148" s="1439"/>
      <c r="Y148" s="1439"/>
      <c r="Z148" s="1439"/>
      <c r="AA148" s="1439"/>
      <c r="AB148" s="1439"/>
      <c r="AC148" s="1439"/>
      <c r="AD148" s="1439"/>
      <c r="AE148" s="1439"/>
      <c r="AF148" s="1439"/>
      <c r="AG148" s="1439"/>
    </row>
    <row r="149" spans="1:33">
      <c r="A149" s="1439"/>
      <c r="B149" s="1439"/>
      <c r="C149" s="1439"/>
      <c r="D149" s="1439"/>
      <c r="E149" s="1439"/>
      <c r="F149" s="1439"/>
      <c r="G149" s="1439"/>
      <c r="H149" s="1439"/>
      <c r="I149" s="1439"/>
      <c r="J149" s="1439"/>
      <c r="K149" s="1439"/>
      <c r="L149" s="1439"/>
      <c r="M149" s="1439"/>
      <c r="N149" s="1439"/>
      <c r="O149" s="1439"/>
      <c r="P149" s="1439"/>
      <c r="Q149" s="1439"/>
      <c r="R149" s="1439"/>
      <c r="S149" s="1439"/>
      <c r="T149" s="1439"/>
      <c r="U149" s="1439"/>
      <c r="V149" s="1439"/>
      <c r="W149" s="1439"/>
      <c r="X149" s="1439"/>
      <c r="Y149" s="1439"/>
      <c r="Z149" s="1439"/>
      <c r="AA149" s="1439"/>
      <c r="AB149" s="1439"/>
      <c r="AC149" s="1439"/>
      <c r="AD149" s="1439"/>
      <c r="AE149" s="1439"/>
      <c r="AF149" s="1439"/>
      <c r="AG149" s="1439"/>
    </row>
    <row r="150" spans="1:33">
      <c r="A150" s="1439"/>
      <c r="B150" s="1572" t="s">
        <v>3371</v>
      </c>
      <c r="C150" s="1453" t="s">
        <v>5617</v>
      </c>
      <c r="D150" s="1453" t="s">
        <v>5618</v>
      </c>
      <c r="E150" s="1453" t="s">
        <v>5619</v>
      </c>
      <c r="F150" s="1453" t="s">
        <v>5620</v>
      </c>
      <c r="G150" s="1453" t="s">
        <v>5797</v>
      </c>
      <c r="H150" s="1453" t="s">
        <v>5798</v>
      </c>
      <c r="I150" s="1819" t="s">
        <v>5799</v>
      </c>
      <c r="J150" s="1819" t="s">
        <v>5800</v>
      </c>
      <c r="K150" s="1819" t="s">
        <v>7045</v>
      </c>
      <c r="L150" s="1819" t="s">
        <v>7046</v>
      </c>
      <c r="M150" s="1819" t="s">
        <v>7047</v>
      </c>
      <c r="N150" s="1819" t="str">
        <f>'New (new) quarts'!AS2</f>
        <v>Q4 21</v>
      </c>
      <c r="O150" s="1819" t="s">
        <v>7410</v>
      </c>
      <c r="P150" s="1819" t="s">
        <v>7524</v>
      </c>
      <c r="Q150" s="1819" t="s">
        <v>7293</v>
      </c>
      <c r="R150" s="1819" t="s">
        <v>7411</v>
      </c>
      <c r="S150" s="1819" t="s">
        <v>7412</v>
      </c>
      <c r="T150" s="1819" t="s">
        <v>7993</v>
      </c>
      <c r="U150" s="1819" t="s">
        <v>8245</v>
      </c>
      <c r="V150" s="1819" t="s">
        <v>8510</v>
      </c>
      <c r="W150" s="1819" t="s">
        <v>8529</v>
      </c>
      <c r="X150" s="1819" t="s">
        <v>8649</v>
      </c>
      <c r="Y150" s="1819" t="s">
        <v>8887</v>
      </c>
      <c r="Z150" s="1820" t="str">
        <f>'New (new) quarts'!BG2</f>
        <v>Q3 24</v>
      </c>
      <c r="AA150" s="1820" t="str">
        <f>'New (new) quarts'!BH2</f>
        <v>Q4 24</v>
      </c>
      <c r="AB150" s="1820" t="s">
        <v>8631</v>
      </c>
      <c r="AC150" s="1820" t="s">
        <v>8632</v>
      </c>
      <c r="AD150" s="1439"/>
      <c r="AE150" s="1439"/>
      <c r="AF150" s="1439"/>
      <c r="AG150" s="1439"/>
    </row>
    <row r="151" spans="1:33">
      <c r="A151" s="1439"/>
      <c r="B151" s="1439" t="s">
        <v>5641</v>
      </c>
      <c r="C151" s="1579">
        <f>'New (new) quarts'!AB557</f>
        <v>2.9</v>
      </c>
      <c r="D151" s="1439">
        <f>'New (new) quarts'!AD557</f>
        <v>2.88</v>
      </c>
      <c r="E151" s="1439">
        <f>'New (new) quarts'!AF557</f>
        <v>3.14</v>
      </c>
      <c r="F151" s="1439">
        <f>'New (new) quarts'!AH557</f>
        <v>3.19</v>
      </c>
      <c r="G151" s="1439">
        <f>'New (new) quarts'!AK557</f>
        <v>3.25</v>
      </c>
      <c r="H151" s="1439">
        <f>'New (new) quarts'!AL557</f>
        <v>3.24</v>
      </c>
      <c r="I151" s="1815">
        <f>'New (new) quarts'!AM557</f>
        <v>3.29</v>
      </c>
      <c r="J151" s="1815">
        <f>'New (new) quarts'!AN557</f>
        <v>3.2</v>
      </c>
      <c r="K151" s="1816">
        <f>'New (new) quarts'!AP564</f>
        <v>3.1382934240236389</v>
      </c>
      <c r="L151" s="1816">
        <f>'New (new) quarts'!AQ564</f>
        <v>2.8941002806824736</v>
      </c>
      <c r="M151" s="1816">
        <f>'New (new) quarts'!AR564</f>
        <v>2.8161911081619109</v>
      </c>
      <c r="N151" s="1816">
        <f>'New (new) quarts'!AS564</f>
        <v>3.9943375695919041</v>
      </c>
      <c r="O151" s="1816">
        <f>'New (new) quarts'!AU557</f>
        <v>0</v>
      </c>
      <c r="P151" s="1815"/>
      <c r="Q151" s="1815"/>
      <c r="R151" s="1815"/>
      <c r="S151" s="1815"/>
      <c r="T151" s="1815"/>
      <c r="U151" s="1815"/>
      <c r="V151" s="1815"/>
      <c r="W151" s="1815"/>
      <c r="X151" s="1816"/>
      <c r="Y151" s="1816"/>
      <c r="Z151" s="1816">
        <f>'New (new) quarts'!BG561</f>
        <v>0</v>
      </c>
      <c r="AA151" s="1816">
        <f>'New (new) quarts'!BH561</f>
        <v>0</v>
      </c>
      <c r="AB151" s="1817">
        <f ca="1">Valuation!O75</f>
        <v>2.2722745797198325</v>
      </c>
      <c r="AC151" s="1817">
        <f ca="1">Valuation!P75</f>
        <v>2.3412920351226498</v>
      </c>
      <c r="AD151" s="1439"/>
      <c r="AE151" s="1439"/>
      <c r="AF151" s="1439"/>
      <c r="AG151" s="1439"/>
    </row>
    <row r="152" spans="1:33">
      <c r="A152" s="1439"/>
      <c r="B152" s="1439"/>
      <c r="C152" s="1579"/>
      <c r="D152" s="1439"/>
      <c r="E152" s="1439"/>
      <c r="F152" s="1439"/>
      <c r="G152" s="1439"/>
      <c r="H152" s="1439"/>
      <c r="I152" s="1815"/>
      <c r="J152" s="1815"/>
      <c r="K152" s="1816"/>
      <c r="L152" s="1816"/>
      <c r="M152" s="1816"/>
      <c r="N152" s="1816"/>
      <c r="O152" s="1816"/>
      <c r="P152" s="1815"/>
      <c r="Q152" s="1815"/>
      <c r="R152" s="1815"/>
      <c r="S152" s="1815"/>
      <c r="T152" s="1815"/>
      <c r="U152" s="1815"/>
      <c r="V152" s="1815"/>
      <c r="W152" s="1815"/>
      <c r="X152" s="1815"/>
      <c r="Y152" s="1815"/>
      <c r="Z152" s="1815"/>
      <c r="AA152" s="1815"/>
      <c r="AB152" s="1815"/>
      <c r="AC152" s="1815"/>
      <c r="AD152" s="1439"/>
      <c r="AE152" s="1439"/>
      <c r="AF152" s="1439"/>
      <c r="AG152" s="1439"/>
    </row>
    <row r="153" spans="1:33">
      <c r="A153" s="1439"/>
      <c r="B153" s="1439" t="s">
        <v>6605</v>
      </c>
      <c r="C153" s="1579"/>
      <c r="D153" s="1439"/>
      <c r="E153" s="1439"/>
      <c r="F153" s="1439"/>
      <c r="G153" s="1439"/>
      <c r="H153" s="1579">
        <f>'New (new) quarts'!AL565</f>
        <v>3.07</v>
      </c>
      <c r="I153" s="1816">
        <f>'New (new) quarts'!AM565</f>
        <v>3.16</v>
      </c>
      <c r="J153" s="1816">
        <f>'New (new) quarts'!AN565</f>
        <v>3.07</v>
      </c>
      <c r="K153" s="1816">
        <f>'New (new) quarts'!AP565</f>
        <v>3</v>
      </c>
      <c r="L153" s="1816">
        <f>'New (new) quarts'!AQ565</f>
        <v>2.75</v>
      </c>
      <c r="M153" s="1816">
        <f>'New (new) quarts'!AR565</f>
        <v>2.67</v>
      </c>
      <c r="N153" s="1816">
        <f>'New (new) quarts'!AS565</f>
        <v>3.28</v>
      </c>
      <c r="O153" s="1816">
        <f>'New (new) quarts'!AU565</f>
        <v>3.37</v>
      </c>
      <c r="P153" s="1816">
        <v>2.96</v>
      </c>
      <c r="Q153" s="1818">
        <f>'New (new) quarts'!AV565</f>
        <v>3.04</v>
      </c>
      <c r="R153" s="1818">
        <f>'New (new) quarts'!AW565</f>
        <v>3.03</v>
      </c>
      <c r="S153" s="1818">
        <f>'New (new) quarts'!AX565</f>
        <v>2.99</v>
      </c>
      <c r="T153" s="1818">
        <f>'New (new) quarts'!AZ565</f>
        <v>3.18</v>
      </c>
      <c r="U153" s="1818">
        <f>'New (new) quarts'!BA565</f>
        <v>3.34</v>
      </c>
      <c r="V153" s="1818">
        <f>'New (new) quarts'!BB565</f>
        <v>3.32</v>
      </c>
      <c r="W153" s="1818">
        <f>'New (new) quarts'!BC565</f>
        <v>3.29</v>
      </c>
      <c r="X153" s="1818">
        <f>'New (new) quarts'!BE565</f>
        <v>3.1</v>
      </c>
      <c r="Y153" s="1818">
        <f>'New (new) quarts'!BF565</f>
        <v>2.77</v>
      </c>
      <c r="Z153" s="1818">
        <f>'New (new) quarts'!BG565</f>
        <v>2.59</v>
      </c>
      <c r="AA153" s="1818">
        <f>'New (new) quarts'!BH565</f>
        <v>2.42</v>
      </c>
      <c r="AB153" s="1816">
        <f ca="1">Valuation!O76</f>
        <v>2.1924683350267933</v>
      </c>
      <c r="AC153" s="1816">
        <f ca="1">Valuation!P76</f>
        <v>2.2702369348702938</v>
      </c>
      <c r="AD153" s="1439"/>
      <c r="AE153" s="1439"/>
      <c r="AF153" s="1439"/>
      <c r="AG153" s="1439"/>
    </row>
    <row r="154" spans="1:33">
      <c r="A154" s="1439"/>
      <c r="B154" s="1439" t="s">
        <v>8364</v>
      </c>
      <c r="C154" s="1579"/>
      <c r="D154" s="1439"/>
      <c r="E154" s="1439"/>
      <c r="F154" s="1439"/>
      <c r="G154" s="1439"/>
      <c r="H154" s="1579"/>
      <c r="I154" s="1816"/>
      <c r="J154" s="1816"/>
      <c r="K154" s="1816"/>
      <c r="L154" s="1816"/>
      <c r="M154" s="1816"/>
      <c r="N154" s="1816"/>
      <c r="O154" s="1816"/>
      <c r="P154" s="1816"/>
      <c r="Q154" s="1816"/>
      <c r="R154" s="1816"/>
      <c r="S154" s="1816"/>
      <c r="T154" s="1818">
        <f>'New (new) quarts'!AZ567</f>
        <v>3.5695849002641058</v>
      </c>
      <c r="U154" s="1818">
        <f>'New (new) quarts'!BA567</f>
        <v>3.7485148988317341</v>
      </c>
      <c r="V154" s="1818">
        <f>'New (new) quarts'!BB567</f>
        <v>3.7327966133789117</v>
      </c>
      <c r="W154" s="1818">
        <f>'New (new) quarts'!BC567</f>
        <v>3.6948311019991054</v>
      </c>
      <c r="X154" s="1815"/>
      <c r="Y154" s="1815"/>
      <c r="Z154" s="1815"/>
      <c r="AA154" s="1815"/>
      <c r="AB154" s="1815"/>
      <c r="AC154" s="1815"/>
      <c r="AD154" s="1439"/>
      <c r="AE154" s="1439"/>
      <c r="AF154" s="1439"/>
      <c r="AG154" s="1439"/>
    </row>
    <row r="155" spans="1:33">
      <c r="A155" s="1439"/>
      <c r="B155" s="1439" t="s">
        <v>8894</v>
      </c>
      <c r="C155" s="1439"/>
      <c r="D155" s="1439"/>
      <c r="E155" s="1439"/>
      <c r="F155" s="1439"/>
      <c r="G155" s="1439"/>
      <c r="H155" s="1579">
        <v>2.5</v>
      </c>
      <c r="I155" s="1816">
        <v>2.5</v>
      </c>
      <c r="J155" s="1816">
        <v>2.5</v>
      </c>
      <c r="K155" s="1816">
        <v>2.5</v>
      </c>
      <c r="L155" s="1816">
        <v>2.5</v>
      </c>
      <c r="M155" s="1816">
        <v>2.5</v>
      </c>
      <c r="N155" s="1816">
        <v>2.5</v>
      </c>
      <c r="O155" s="1816">
        <v>2.5</v>
      </c>
      <c r="P155" s="1816">
        <v>2.5</v>
      </c>
      <c r="Q155" s="1818">
        <v>2.5</v>
      </c>
      <c r="R155" s="1818">
        <v>2.5</v>
      </c>
      <c r="S155" s="1818">
        <v>2.5</v>
      </c>
      <c r="T155" s="1818">
        <v>2.5</v>
      </c>
      <c r="U155" s="1818">
        <v>2.5</v>
      </c>
      <c r="V155" s="1818">
        <v>2.5</v>
      </c>
      <c r="W155" s="1818">
        <v>2.5</v>
      </c>
      <c r="X155" s="1818">
        <v>2.5</v>
      </c>
      <c r="Y155" s="1818">
        <v>2.5</v>
      </c>
      <c r="Z155" s="1818">
        <v>2.5</v>
      </c>
      <c r="AA155" s="1818">
        <v>2.5</v>
      </c>
      <c r="AB155" s="1818">
        <v>2.5</v>
      </c>
      <c r="AC155" s="1815"/>
      <c r="AD155" s="1439"/>
      <c r="AE155" s="1439"/>
      <c r="AF155" s="1439"/>
      <c r="AG155" s="1439"/>
    </row>
    <row r="156" spans="1:33">
      <c r="A156" s="1439"/>
      <c r="B156" s="1439"/>
      <c r="C156" s="1439"/>
      <c r="D156" s="1439"/>
      <c r="E156" s="1439"/>
      <c r="F156" s="1439"/>
      <c r="G156" s="1439"/>
      <c r="H156" s="1439"/>
      <c r="I156" s="1439"/>
      <c r="J156" s="1439"/>
      <c r="K156" s="1439"/>
      <c r="L156" s="1439"/>
      <c r="M156" s="1439"/>
      <c r="N156" s="1439"/>
      <c r="O156" s="1439"/>
      <c r="P156" s="1439"/>
      <c r="Q156" s="1439"/>
      <c r="R156" s="1439"/>
      <c r="S156" s="1439"/>
      <c r="T156" s="1439"/>
      <c r="U156" s="1439"/>
      <c r="V156" s="1439"/>
      <c r="W156" s="1439"/>
      <c r="X156" s="1439"/>
      <c r="Y156" s="1439"/>
      <c r="Z156" s="1439"/>
      <c r="AA156" s="1439"/>
      <c r="AB156" s="1439"/>
      <c r="AC156" s="1439"/>
      <c r="AD156" s="1439"/>
      <c r="AE156" s="1439"/>
      <c r="AF156" s="1439"/>
      <c r="AG156" s="1439"/>
    </row>
    <row r="157" spans="1:33">
      <c r="A157" s="1439"/>
      <c r="B157" s="1439"/>
      <c r="C157" s="1439"/>
      <c r="D157" s="1439"/>
      <c r="E157" s="1439"/>
      <c r="F157" s="1439"/>
      <c r="G157" s="1439"/>
      <c r="H157" s="1439"/>
      <c r="I157" s="1439"/>
      <c r="J157" s="1439"/>
      <c r="K157" s="1439"/>
      <c r="L157" s="1439"/>
      <c r="M157" s="1439"/>
      <c r="N157" s="1439"/>
      <c r="O157" s="1439"/>
      <c r="P157" s="1439"/>
      <c r="Q157" s="1439"/>
      <c r="R157" s="1439"/>
      <c r="S157" s="1439"/>
      <c r="T157" s="1439"/>
      <c r="U157" s="1439"/>
      <c r="V157" s="1439"/>
      <c r="W157" s="1580"/>
      <c r="X157" s="1439"/>
      <c r="Y157" s="1439"/>
      <c r="Z157" s="1439"/>
      <c r="AA157" s="1439"/>
      <c r="AB157" s="1439"/>
      <c r="AC157" s="1439"/>
      <c r="AD157" s="1439"/>
      <c r="AE157" s="1439"/>
      <c r="AF157" s="1439"/>
      <c r="AG157" s="1439"/>
    </row>
    <row r="158" spans="1:33">
      <c r="A158" s="1439"/>
      <c r="B158" s="1439"/>
      <c r="C158" s="1439"/>
      <c r="D158" s="1439"/>
      <c r="E158" s="1439"/>
      <c r="F158" s="1439"/>
      <c r="G158" s="1439"/>
      <c r="H158" s="1439"/>
      <c r="I158" s="1439"/>
      <c r="J158" s="1439"/>
      <c r="K158" s="1439"/>
      <c r="L158" s="1439"/>
      <c r="M158" s="1439"/>
      <c r="N158" s="1439"/>
      <c r="O158" s="1439"/>
      <c r="P158" s="1439"/>
      <c r="Q158" s="1439"/>
      <c r="R158" s="1439"/>
      <c r="S158" s="1439"/>
      <c r="T158" s="1439"/>
      <c r="U158" s="1439"/>
      <c r="V158" s="1439"/>
      <c r="W158" s="1439"/>
      <c r="X158" s="1439"/>
      <c r="Y158" s="1439"/>
      <c r="Z158" s="1439"/>
      <c r="AA158" s="1439"/>
      <c r="AB158" s="1439"/>
      <c r="AC158" s="1439"/>
      <c r="AD158" s="1439"/>
      <c r="AE158" s="1439"/>
      <c r="AF158" s="1439"/>
      <c r="AG158" s="1439"/>
    </row>
    <row r="159" spans="1:33">
      <c r="A159" s="1439"/>
      <c r="B159" s="1439"/>
      <c r="C159" s="1439"/>
      <c r="D159" s="1439"/>
      <c r="E159" s="1439"/>
      <c r="F159" s="1439"/>
      <c r="G159" s="1439"/>
      <c r="H159" s="1439"/>
      <c r="I159" s="1439"/>
      <c r="J159" s="1439"/>
      <c r="K159" s="1439"/>
      <c r="L159" s="1439"/>
      <c r="M159" s="1439"/>
      <c r="N159" s="1439"/>
      <c r="O159" s="1439"/>
      <c r="P159" s="1439"/>
      <c r="Q159" s="1439"/>
      <c r="R159" s="1439"/>
      <c r="S159" s="1439"/>
      <c r="T159" s="1439"/>
      <c r="U159" s="1439"/>
      <c r="V159" s="1439"/>
      <c r="W159" s="1439"/>
      <c r="X159" s="1439"/>
      <c r="Y159" s="1439"/>
      <c r="Z159" s="1439"/>
      <c r="AA159" s="1439"/>
      <c r="AB159" s="1439"/>
      <c r="AC159" s="1439"/>
      <c r="AD159" s="1439"/>
      <c r="AE159" s="1439"/>
      <c r="AF159" s="1439"/>
      <c r="AG159" s="1439"/>
    </row>
    <row r="160" spans="1:33">
      <c r="A160" s="1439"/>
      <c r="B160" s="1439"/>
      <c r="C160" s="1439"/>
      <c r="D160" s="1439"/>
      <c r="E160" s="1439"/>
      <c r="F160" s="1439"/>
      <c r="G160" s="1439"/>
      <c r="H160" s="1439"/>
      <c r="I160" s="1439"/>
      <c r="J160" s="1439"/>
      <c r="K160" s="1439"/>
      <c r="L160" s="1439"/>
      <c r="M160" s="1439"/>
      <c r="N160" s="1439"/>
      <c r="O160" s="1439"/>
      <c r="P160" s="1439"/>
      <c r="Q160" s="1439"/>
      <c r="R160" s="1439"/>
      <c r="S160" s="1439"/>
      <c r="T160" s="1439"/>
      <c r="U160" s="1439"/>
      <c r="V160" s="1439"/>
      <c r="W160" s="1439"/>
      <c r="X160" s="1439"/>
      <c r="Y160" s="1439"/>
      <c r="Z160" s="1439"/>
      <c r="AA160" s="1439"/>
      <c r="AB160" s="1439"/>
      <c r="AC160" s="1439"/>
      <c r="AD160" s="1439"/>
      <c r="AE160" s="1439"/>
      <c r="AF160" s="1439"/>
      <c r="AG160" s="1439"/>
    </row>
    <row r="161" spans="1:33">
      <c r="A161" s="1439"/>
      <c r="B161" s="1439"/>
      <c r="C161" s="1439"/>
      <c r="D161" s="1439"/>
      <c r="E161" s="1439"/>
      <c r="F161" s="1439"/>
      <c r="G161" s="1439"/>
      <c r="H161" s="1439"/>
      <c r="I161" s="1439"/>
      <c r="J161" s="1439"/>
      <c r="K161" s="1439"/>
      <c r="L161" s="1439"/>
      <c r="M161" s="1439"/>
      <c r="N161" s="1439"/>
      <c r="O161" s="1439"/>
      <c r="P161" s="1439"/>
      <c r="Q161" s="1439"/>
      <c r="R161" s="1439"/>
      <c r="S161" s="1439"/>
      <c r="T161" s="1439"/>
      <c r="U161" s="1439"/>
      <c r="V161" s="1439"/>
      <c r="W161" s="1439"/>
      <c r="X161" s="1439"/>
      <c r="Y161" s="1439"/>
      <c r="Z161" s="1439"/>
      <c r="AA161" s="1439"/>
      <c r="AB161" s="1439"/>
      <c r="AC161" s="1439"/>
      <c r="AD161" s="1439"/>
      <c r="AE161" s="1439"/>
      <c r="AF161" s="1439"/>
      <c r="AG161" s="1439"/>
    </row>
    <row r="162" spans="1:33">
      <c r="A162" s="1439"/>
      <c r="B162" s="1439"/>
      <c r="C162" s="1439"/>
      <c r="D162" s="1439"/>
      <c r="E162" s="1439"/>
      <c r="F162" s="1439"/>
      <c r="G162" s="1439"/>
      <c r="H162" s="1439"/>
      <c r="I162" s="1439"/>
      <c r="J162" s="1439"/>
      <c r="K162" s="1439"/>
      <c r="L162" s="1439"/>
      <c r="M162" s="1439"/>
      <c r="N162" s="1439"/>
      <c r="O162" s="1439"/>
      <c r="P162" s="1439"/>
      <c r="Q162" s="1439"/>
      <c r="R162" s="1439"/>
      <c r="S162" s="1439"/>
      <c r="T162" s="1439"/>
      <c r="U162" s="1439"/>
      <c r="V162" s="1439"/>
      <c r="W162" s="1439"/>
      <c r="X162" s="1439"/>
      <c r="Y162" s="1439"/>
      <c r="Z162" s="1439"/>
      <c r="AA162" s="1439"/>
      <c r="AB162" s="1439"/>
      <c r="AC162" s="1439"/>
      <c r="AD162" s="1439"/>
      <c r="AE162" s="1439"/>
      <c r="AF162" s="1439"/>
      <c r="AG162" s="1439"/>
    </row>
    <row r="163" spans="1:33">
      <c r="A163" s="1439"/>
      <c r="B163" s="1439"/>
      <c r="C163" s="1439"/>
      <c r="D163" s="1439"/>
      <c r="E163" s="1439"/>
      <c r="F163" s="1439"/>
      <c r="G163" s="1439"/>
      <c r="H163" s="1439"/>
      <c r="I163" s="1439"/>
      <c r="J163" s="1439"/>
      <c r="K163" s="1439"/>
      <c r="L163" s="1439"/>
      <c r="M163" s="1439"/>
      <c r="N163" s="1439"/>
      <c r="O163" s="1439"/>
      <c r="P163" s="1439"/>
      <c r="Q163" s="1439"/>
      <c r="R163" s="1439"/>
      <c r="S163" s="1439"/>
      <c r="T163" s="1439"/>
      <c r="U163" s="1439"/>
      <c r="V163" s="1439"/>
      <c r="W163" s="1439"/>
      <c r="X163" s="1439"/>
      <c r="Y163" s="1439"/>
      <c r="Z163" s="1439"/>
      <c r="AA163" s="1439"/>
      <c r="AB163" s="1439"/>
      <c r="AC163" s="1439"/>
      <c r="AD163" s="1439"/>
      <c r="AE163" s="1439"/>
      <c r="AF163" s="1439"/>
      <c r="AG163" s="1439"/>
    </row>
    <row r="164" spans="1:33">
      <c r="A164" s="1439"/>
      <c r="B164" s="1439"/>
      <c r="C164" s="1439"/>
      <c r="D164" s="1439"/>
      <c r="E164" s="1439"/>
      <c r="F164" s="1439"/>
      <c r="G164" s="1439"/>
      <c r="H164" s="1439"/>
      <c r="I164" s="1439"/>
      <c r="J164" s="1439"/>
      <c r="K164" s="1439"/>
      <c r="L164" s="1439"/>
      <c r="M164" s="1439"/>
      <c r="N164" s="1439"/>
      <c r="O164" s="1439"/>
      <c r="P164" s="1439"/>
      <c r="Q164" s="1439"/>
      <c r="R164" s="1439"/>
      <c r="S164" s="1439"/>
      <c r="T164" s="1439"/>
      <c r="U164" s="1439"/>
      <c r="V164" s="1439"/>
      <c r="W164" s="1439"/>
      <c r="X164" s="1439"/>
      <c r="Y164" s="1439"/>
      <c r="Z164" s="1439"/>
      <c r="AA164" s="1439"/>
      <c r="AB164" s="1439"/>
      <c r="AC164" s="1439"/>
      <c r="AD164" s="1439"/>
      <c r="AE164" s="1439"/>
      <c r="AF164" s="1439"/>
      <c r="AG164" s="1439"/>
    </row>
    <row r="165" spans="1:33">
      <c r="A165" s="1439"/>
      <c r="B165" s="1439"/>
      <c r="C165" s="1439"/>
      <c r="D165" s="1439"/>
      <c r="E165" s="1439"/>
      <c r="F165" s="1439"/>
      <c r="G165" s="1439"/>
      <c r="H165" s="1439"/>
      <c r="I165" s="1439"/>
      <c r="J165" s="1439"/>
      <c r="K165" s="1439"/>
      <c r="L165" s="1439"/>
      <c r="M165" s="1439"/>
      <c r="N165" s="1439"/>
      <c r="O165" s="1439"/>
      <c r="P165" s="1439"/>
      <c r="Q165" s="1439"/>
      <c r="R165" s="1439"/>
      <c r="S165" s="1439"/>
      <c r="T165" s="1439"/>
      <c r="U165" s="1439"/>
      <c r="V165" s="1439"/>
      <c r="W165" s="1439"/>
      <c r="X165" s="1439"/>
      <c r="Y165" s="1439"/>
      <c r="Z165" s="1439"/>
      <c r="AA165" s="1439"/>
      <c r="AB165" s="1439"/>
      <c r="AC165" s="1439"/>
      <c r="AD165" s="1439"/>
      <c r="AE165" s="1439"/>
      <c r="AF165" s="1439"/>
      <c r="AG165" s="1439"/>
    </row>
    <row r="166" spans="1:33">
      <c r="A166" s="1439"/>
      <c r="B166" s="1439"/>
      <c r="C166" s="1439"/>
      <c r="D166" s="1439"/>
      <c r="E166" s="1439"/>
      <c r="F166" s="1439"/>
      <c r="G166" s="1439"/>
      <c r="H166" s="1439"/>
      <c r="I166" s="1439"/>
      <c r="J166" s="1439"/>
      <c r="K166" s="1439"/>
      <c r="L166" s="1439"/>
      <c r="M166" s="1439"/>
      <c r="N166" s="1439"/>
      <c r="O166" s="1439"/>
      <c r="P166" s="1439"/>
      <c r="Q166" s="1439"/>
      <c r="R166" s="1439"/>
      <c r="S166" s="1439"/>
      <c r="T166" s="1439"/>
      <c r="U166" s="1439"/>
      <c r="V166" s="1439"/>
      <c r="W166" s="1439"/>
      <c r="X166" s="1439"/>
      <c r="Y166" s="1439"/>
      <c r="Z166" s="1439"/>
      <c r="AA166" s="1439"/>
      <c r="AB166" s="1439"/>
      <c r="AC166" s="1439"/>
      <c r="AD166" s="1439"/>
      <c r="AE166" s="1439"/>
      <c r="AF166" s="1439"/>
      <c r="AG166" s="1439"/>
    </row>
    <row r="167" spans="1:33">
      <c r="A167" s="1439"/>
      <c r="B167" s="1439"/>
      <c r="C167" s="1439"/>
      <c r="D167" s="1439"/>
      <c r="E167" s="1439"/>
      <c r="F167" s="1439"/>
      <c r="G167" s="1439"/>
      <c r="H167" s="1439"/>
      <c r="I167" s="1439"/>
      <c r="J167" s="1439"/>
      <c r="K167" s="1439"/>
      <c r="L167" s="1439"/>
      <c r="M167" s="1439"/>
      <c r="N167" s="1439"/>
      <c r="O167" s="1439"/>
      <c r="P167" s="1439"/>
      <c r="Q167" s="1439"/>
      <c r="R167" s="1439"/>
      <c r="S167" s="1439"/>
      <c r="T167" s="1439"/>
      <c r="U167" s="1439"/>
      <c r="V167" s="1439"/>
      <c r="W167" s="1439"/>
      <c r="X167" s="1439"/>
      <c r="Y167" s="1439"/>
      <c r="Z167" s="1439"/>
      <c r="AA167" s="1439"/>
      <c r="AB167" s="1439"/>
      <c r="AC167" s="1439"/>
      <c r="AD167" s="1439"/>
      <c r="AE167" s="1439"/>
      <c r="AF167" s="1439"/>
      <c r="AG167" s="1439"/>
    </row>
    <row r="168" spans="1:33">
      <c r="A168" s="1439"/>
      <c r="B168" s="1439"/>
      <c r="C168" s="1439"/>
      <c r="D168" s="1439"/>
      <c r="E168" s="1439"/>
      <c r="F168" s="1439"/>
      <c r="G168" s="1439"/>
      <c r="H168" s="1439"/>
      <c r="I168" s="1439"/>
      <c r="J168" s="1439"/>
      <c r="K168" s="1439"/>
      <c r="L168" s="1439"/>
      <c r="M168" s="1439"/>
      <c r="N168" s="1439"/>
      <c r="O168" s="1439"/>
      <c r="P168" s="1439"/>
      <c r="Q168" s="1439"/>
      <c r="R168" s="1439"/>
      <c r="S168" s="1439"/>
      <c r="T168" s="1439"/>
      <c r="U168" s="1439"/>
      <c r="V168" s="1439"/>
      <c r="W168" s="1439"/>
      <c r="X168" s="1439"/>
      <c r="Y168" s="1439"/>
      <c r="Z168" s="1439"/>
      <c r="AA168" s="1439"/>
      <c r="AB168" s="1439"/>
      <c r="AC168" s="1439"/>
      <c r="AD168" s="1439"/>
      <c r="AE168" s="1439"/>
      <c r="AF168" s="1439"/>
      <c r="AG168" s="1439"/>
    </row>
    <row r="169" spans="1:33">
      <c r="A169" s="1439"/>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row>
    <row r="170" spans="1:33">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row>
    <row r="171" spans="1:33">
      <c r="A171" s="1439"/>
      <c r="B171" s="1439"/>
      <c r="C171" s="1439"/>
      <c r="D171" s="1439"/>
      <c r="E171" s="1439"/>
      <c r="F171" s="1439"/>
      <c r="G171" s="1439"/>
      <c r="H171" s="1439"/>
      <c r="I171" s="1439"/>
      <c r="J171" s="1439"/>
      <c r="K171" s="1439"/>
      <c r="L171" s="1439"/>
      <c r="M171" s="1439"/>
      <c r="N171" s="1439"/>
      <c r="O171" s="1439"/>
      <c r="P171" s="1439"/>
      <c r="Q171" s="1439"/>
      <c r="R171" s="1439"/>
      <c r="S171" s="1439"/>
      <c r="T171" s="1439"/>
      <c r="U171" s="1439"/>
      <c r="V171" s="1439"/>
      <c r="W171" s="1439"/>
      <c r="X171" s="1439"/>
      <c r="Y171" s="1439"/>
      <c r="Z171" s="1439"/>
      <c r="AA171" s="1439"/>
      <c r="AB171" s="1439"/>
      <c r="AC171" s="1439"/>
      <c r="AD171" s="1439"/>
      <c r="AE171" s="1439"/>
      <c r="AF171" s="1439"/>
      <c r="AG171" s="1439"/>
    </row>
    <row r="172" spans="1:33">
      <c r="A172" s="1439"/>
      <c r="B172" s="1439"/>
      <c r="C172" s="1439"/>
      <c r="D172" s="1439"/>
      <c r="E172" s="1439"/>
      <c r="F172" s="1439"/>
      <c r="G172" s="1439"/>
      <c r="H172" s="1439"/>
      <c r="I172" s="1439"/>
      <c r="J172" s="1439"/>
      <c r="K172" s="1439"/>
      <c r="L172" s="1439"/>
      <c r="M172" s="1439"/>
      <c r="N172" s="1439"/>
      <c r="O172" s="1439"/>
      <c r="P172" s="1439"/>
      <c r="Q172" s="1439"/>
      <c r="R172" s="1439"/>
      <c r="S172" s="1439"/>
      <c r="T172" s="1439"/>
      <c r="U172" s="1439"/>
      <c r="V172" s="1439"/>
      <c r="W172" s="1439"/>
      <c r="X172" s="1439"/>
      <c r="Y172" s="1439"/>
      <c r="Z172" s="1439"/>
      <c r="AA172" s="1439"/>
      <c r="AB172" s="1439"/>
      <c r="AC172" s="1439"/>
      <c r="AD172" s="1439"/>
      <c r="AE172" s="1439"/>
      <c r="AF172" s="1439"/>
      <c r="AG172" s="1439"/>
    </row>
    <row r="173" spans="1:33">
      <c r="A173" s="1439"/>
      <c r="B173" s="1439"/>
      <c r="C173" s="1439"/>
      <c r="D173" s="1439"/>
      <c r="E173" s="1439"/>
      <c r="F173" s="1439"/>
      <c r="G173" s="1439"/>
      <c r="H173" s="1439"/>
      <c r="I173" s="1439"/>
      <c r="J173" s="1439"/>
      <c r="K173" s="1439"/>
      <c r="L173" s="1439"/>
      <c r="M173" s="1439"/>
      <c r="N173" s="1439"/>
      <c r="O173" s="1439"/>
      <c r="P173" s="1439"/>
      <c r="Q173" s="1439"/>
      <c r="R173" s="1439"/>
      <c r="S173" s="1439"/>
      <c r="T173" s="1439"/>
      <c r="U173" s="1439"/>
      <c r="V173" s="1439"/>
      <c r="W173" s="1439"/>
      <c r="X173" s="1439"/>
      <c r="Y173" s="1439"/>
      <c r="Z173" s="1439"/>
      <c r="AA173" s="1439"/>
      <c r="AB173" s="1439"/>
      <c r="AC173" s="1439"/>
      <c r="AD173" s="1439"/>
      <c r="AE173" s="1439"/>
      <c r="AF173" s="1439"/>
      <c r="AG173" s="1439"/>
    </row>
    <row r="174" spans="1:33">
      <c r="A174" s="1439"/>
      <c r="B174" s="1439"/>
      <c r="C174" s="1439"/>
      <c r="D174" s="1439"/>
      <c r="E174" s="1439"/>
      <c r="F174" s="1439"/>
      <c r="G174" s="1439"/>
      <c r="H174" s="1439"/>
      <c r="I174" s="1439"/>
      <c r="J174" s="1439"/>
      <c r="K174" s="1439"/>
      <c r="L174" s="1439"/>
      <c r="M174" s="1439"/>
      <c r="N174" s="1439"/>
      <c r="O174" s="1439"/>
      <c r="P174" s="1439"/>
      <c r="Q174" s="1439"/>
      <c r="R174" s="1439"/>
      <c r="S174" s="1439"/>
      <c r="T174" s="1439"/>
      <c r="U174" s="1439"/>
      <c r="V174" s="1439"/>
      <c r="W174" s="1439"/>
      <c r="X174" s="1439"/>
      <c r="Y174" s="1439"/>
      <c r="Z174" s="1439"/>
      <c r="AA174" s="1439"/>
      <c r="AB174" s="1439"/>
      <c r="AC174" s="1439"/>
      <c r="AD174" s="1439"/>
      <c r="AE174" s="1439"/>
      <c r="AF174" s="1439"/>
      <c r="AG174" s="1439"/>
    </row>
    <row r="175" spans="1:33">
      <c r="A175" s="1439"/>
      <c r="B175" s="1439"/>
      <c r="C175" s="1439"/>
      <c r="D175" s="1439"/>
      <c r="E175" s="1439"/>
      <c r="F175" s="1439"/>
      <c r="G175" s="1439"/>
      <c r="H175" s="1439"/>
      <c r="I175" s="1439"/>
      <c r="J175" s="1439"/>
      <c r="K175" s="1439"/>
      <c r="L175" s="1439"/>
      <c r="M175" s="1439"/>
      <c r="N175" s="1439"/>
      <c r="O175" s="1439"/>
      <c r="P175" s="1439"/>
      <c r="Q175" s="1439"/>
      <c r="R175" s="1439"/>
      <c r="S175" s="1439"/>
      <c r="T175" s="1439"/>
      <c r="U175" s="1439"/>
      <c r="V175" s="1439"/>
      <c r="W175" s="1439"/>
      <c r="X175" s="1439"/>
      <c r="Y175" s="1439"/>
      <c r="Z175" s="1439"/>
      <c r="AA175" s="1439"/>
      <c r="AB175" s="1439"/>
      <c r="AC175" s="1439"/>
      <c r="AD175" s="1439"/>
      <c r="AE175" s="1439"/>
      <c r="AF175" s="1439"/>
      <c r="AG175" s="1439"/>
    </row>
    <row r="176" spans="1:33">
      <c r="A176" s="1439"/>
      <c r="B176" s="1439"/>
      <c r="C176" s="1439"/>
      <c r="D176" s="1439"/>
      <c r="E176" s="1439"/>
      <c r="F176" s="1439"/>
      <c r="G176" s="1439"/>
      <c r="H176" s="1439"/>
      <c r="I176" s="1439"/>
      <c r="J176" s="1439"/>
      <c r="K176" s="1439"/>
      <c r="L176" s="1439"/>
      <c r="M176" s="1439"/>
      <c r="N176" s="1439"/>
      <c r="O176" s="1439"/>
      <c r="P176" s="1439"/>
      <c r="Q176" s="1439"/>
      <c r="R176" s="1439"/>
      <c r="S176" s="1439"/>
      <c r="T176" s="1439"/>
      <c r="U176" s="1439"/>
      <c r="V176" s="1439"/>
      <c r="W176" s="1439"/>
      <c r="X176" s="1439"/>
      <c r="Y176" s="1439"/>
      <c r="Z176" s="1439"/>
      <c r="AA176" s="1439"/>
      <c r="AB176" s="1439"/>
      <c r="AC176" s="1439"/>
      <c r="AD176" s="1439"/>
      <c r="AE176" s="1439"/>
      <c r="AF176" s="1439"/>
      <c r="AG176" s="1439"/>
    </row>
    <row r="177" spans="1:33">
      <c r="A177" s="1439"/>
      <c r="B177" s="1439"/>
      <c r="C177" s="1439"/>
      <c r="D177" s="1439"/>
      <c r="E177" s="1439"/>
      <c r="F177" s="1439"/>
      <c r="G177" s="1439"/>
      <c r="H177" s="1439"/>
      <c r="I177" s="1439"/>
      <c r="J177" s="1439"/>
      <c r="K177" s="1439"/>
      <c r="L177" s="1439"/>
      <c r="M177" s="1439"/>
      <c r="N177" s="1439"/>
      <c r="O177" s="1439"/>
      <c r="P177" s="1439"/>
      <c r="Q177" s="1439"/>
      <c r="R177" s="1439"/>
      <c r="S177" s="1439"/>
      <c r="T177" s="1439"/>
      <c r="U177" s="1439"/>
      <c r="V177" s="1439"/>
      <c r="W177" s="1439"/>
      <c r="X177" s="1439"/>
      <c r="Y177" s="1439"/>
      <c r="Z177" s="1439"/>
      <c r="AA177" s="1439"/>
      <c r="AB177" s="1439"/>
      <c r="AC177" s="1439"/>
      <c r="AD177" s="1439"/>
      <c r="AE177" s="1439"/>
      <c r="AF177" s="1439"/>
      <c r="AG177" s="1439"/>
    </row>
    <row r="178" spans="1:33">
      <c r="A178" s="1439"/>
      <c r="B178" s="1439"/>
      <c r="C178" s="1439"/>
      <c r="D178" s="1439"/>
      <c r="E178" s="1439"/>
      <c r="F178" s="1439"/>
      <c r="G178" s="1439"/>
      <c r="H178" s="1439"/>
      <c r="I178" s="1439"/>
      <c r="J178" s="1439"/>
      <c r="K178" s="1439"/>
      <c r="L178" s="1439"/>
      <c r="M178" s="1439"/>
      <c r="N178" s="1439"/>
      <c r="O178" s="1439"/>
      <c r="P178" s="1439"/>
      <c r="Q178" s="1439"/>
      <c r="R178" s="1439"/>
      <c r="S178" s="1439"/>
      <c r="T178" s="1439"/>
      <c r="U178" s="1439"/>
      <c r="V178" s="1439"/>
      <c r="W178" s="1439"/>
      <c r="X178" s="1439"/>
      <c r="Y178" s="1439"/>
      <c r="Z178" s="1439"/>
      <c r="AA178" s="1439"/>
      <c r="AB178" s="1439"/>
      <c r="AC178" s="1439"/>
      <c r="AD178" s="1439"/>
      <c r="AE178" s="1439"/>
      <c r="AF178" s="1439"/>
      <c r="AG178" s="1439"/>
    </row>
    <row r="179" spans="1:33">
      <c r="A179" s="1439"/>
      <c r="B179" s="1439"/>
      <c r="C179" s="1439"/>
      <c r="D179" s="1439"/>
      <c r="E179" s="1439"/>
      <c r="F179" s="1439"/>
      <c r="G179" s="1439"/>
      <c r="H179" s="1439"/>
      <c r="I179" s="1439"/>
      <c r="J179" s="1439"/>
      <c r="K179" s="1439"/>
      <c r="L179" s="1439"/>
      <c r="M179" s="1439"/>
      <c r="N179" s="1439"/>
      <c r="O179" s="1439"/>
      <c r="P179" s="1439"/>
      <c r="Q179" s="1439"/>
      <c r="R179" s="1439"/>
      <c r="S179" s="1439"/>
      <c r="T179" s="1439"/>
      <c r="U179" s="1439"/>
      <c r="V179" s="1439"/>
      <c r="W179" s="1439"/>
      <c r="X179" s="1439"/>
      <c r="Y179" s="1439"/>
      <c r="Z179" s="1439"/>
      <c r="AA179" s="1439"/>
      <c r="AB179" s="1439"/>
      <c r="AC179" s="1439"/>
      <c r="AD179" s="1439"/>
      <c r="AE179" s="1439"/>
      <c r="AF179" s="1439"/>
      <c r="AG179" s="1439"/>
    </row>
    <row r="180" spans="1:33">
      <c r="A180" s="1439"/>
      <c r="B180" s="1439"/>
      <c r="C180" s="1439"/>
      <c r="D180" s="1439"/>
      <c r="E180" s="1439"/>
      <c r="F180" s="1439"/>
      <c r="G180" s="1439"/>
      <c r="H180" s="1439"/>
      <c r="I180" s="1439"/>
      <c r="J180" s="1439"/>
      <c r="K180" s="1439"/>
      <c r="L180" s="1439"/>
      <c r="M180" s="1439"/>
      <c r="N180" s="1439"/>
      <c r="O180" s="1439"/>
      <c r="P180" s="1439"/>
      <c r="Q180" s="1439"/>
      <c r="R180" s="1439"/>
      <c r="S180" s="1439"/>
      <c r="T180" s="1439"/>
      <c r="U180" s="1439"/>
      <c r="V180" s="1439"/>
      <c r="W180" s="1439"/>
      <c r="X180" s="1439"/>
      <c r="Y180" s="1439"/>
      <c r="Z180" s="1439"/>
      <c r="AA180" s="1439"/>
      <c r="AB180" s="1439"/>
      <c r="AC180" s="1439"/>
      <c r="AD180" s="1439"/>
      <c r="AE180" s="1439"/>
      <c r="AF180" s="1439"/>
      <c r="AG180" s="1439"/>
    </row>
    <row r="181" spans="1:33">
      <c r="A181" s="1439"/>
      <c r="B181" s="1439"/>
      <c r="C181" s="1439"/>
      <c r="D181" s="1439"/>
      <c r="E181" s="1439"/>
      <c r="F181" s="1439"/>
      <c r="G181" s="1439"/>
      <c r="H181" s="1439"/>
      <c r="I181" s="1439"/>
      <c r="J181" s="1439"/>
      <c r="K181" s="1439"/>
      <c r="L181" s="1439"/>
      <c r="M181" s="1439"/>
      <c r="N181" s="1439"/>
      <c r="O181" s="1439"/>
      <c r="P181" s="1439"/>
      <c r="Q181" s="1439"/>
      <c r="R181" s="1439"/>
      <c r="S181" s="1439"/>
      <c r="T181" s="1439"/>
      <c r="U181" s="1439"/>
      <c r="V181" s="1439"/>
      <c r="W181" s="1439"/>
      <c r="X181" s="1439"/>
      <c r="Y181" s="1439"/>
      <c r="Z181" s="1439"/>
      <c r="AA181" s="1439"/>
      <c r="AB181" s="1439"/>
      <c r="AC181" s="1439"/>
      <c r="AD181" s="1439"/>
      <c r="AE181" s="1439"/>
      <c r="AF181" s="1439"/>
      <c r="AG181" s="1439"/>
    </row>
    <row r="182" spans="1:33">
      <c r="A182" s="1439"/>
      <c r="B182" s="1439"/>
      <c r="C182" s="1439"/>
      <c r="D182" s="1439"/>
      <c r="E182" s="1439"/>
      <c r="F182" s="1439"/>
      <c r="G182" s="1439"/>
      <c r="H182" s="1439"/>
      <c r="I182" s="1439"/>
      <c r="J182" s="1439"/>
      <c r="K182" s="1439"/>
      <c r="L182" s="1439"/>
      <c r="M182" s="1439"/>
      <c r="N182" s="1439"/>
      <c r="O182" s="1439"/>
      <c r="P182" s="1439"/>
      <c r="Q182" s="1439"/>
      <c r="R182" s="1439"/>
      <c r="S182" s="1439"/>
      <c r="T182" s="1439"/>
      <c r="U182" s="1439"/>
      <c r="V182" s="1439"/>
      <c r="W182" s="1439"/>
      <c r="X182" s="1439"/>
      <c r="Y182" s="1439"/>
      <c r="Z182" s="1439"/>
      <c r="AA182" s="1439"/>
      <c r="AB182" s="1439"/>
      <c r="AC182" s="1439"/>
      <c r="AD182" s="1439"/>
      <c r="AE182" s="1439"/>
      <c r="AF182" s="1439"/>
      <c r="AG182" s="1439"/>
    </row>
    <row r="183" spans="1:33">
      <c r="A183" s="1439"/>
      <c r="B183" s="1439"/>
      <c r="C183" s="1439"/>
      <c r="D183" s="1439"/>
      <c r="E183" s="1439"/>
      <c r="F183" s="1439"/>
      <c r="G183" s="1439"/>
      <c r="H183" s="1439"/>
      <c r="I183" s="1439"/>
      <c r="J183" s="1439"/>
      <c r="K183" s="1439"/>
      <c r="L183" s="1439"/>
      <c r="M183" s="1439"/>
      <c r="N183" s="1439"/>
      <c r="O183" s="1439"/>
      <c r="P183" s="1439"/>
      <c r="Q183" s="1439"/>
      <c r="R183" s="1439"/>
      <c r="S183" s="1439"/>
      <c r="T183" s="1439"/>
      <c r="U183" s="1439"/>
      <c r="V183" s="1439"/>
      <c r="W183" s="1439"/>
      <c r="X183" s="1439"/>
      <c r="Y183" s="1439"/>
      <c r="Z183" s="1439"/>
      <c r="AA183" s="1439"/>
      <c r="AB183" s="1439"/>
      <c r="AC183" s="1439"/>
      <c r="AD183" s="1439"/>
      <c r="AE183" s="1439"/>
      <c r="AF183" s="1439"/>
      <c r="AG183" s="1439"/>
    </row>
    <row r="184" spans="1:33">
      <c r="A184" s="1439"/>
      <c r="B184" s="1439"/>
      <c r="C184" s="1439"/>
      <c r="D184" s="1439"/>
      <c r="E184" s="1439"/>
      <c r="F184" s="1439"/>
      <c r="G184" s="1439"/>
      <c r="H184" s="1439"/>
      <c r="I184" s="1439"/>
      <c r="J184" s="1439"/>
      <c r="K184" s="1439"/>
      <c r="L184" s="1439"/>
      <c r="M184" s="1439"/>
      <c r="N184" s="1439"/>
      <c r="O184" s="1439"/>
      <c r="P184" s="1439"/>
      <c r="Q184" s="1439"/>
      <c r="R184" s="1439"/>
      <c r="S184" s="1439"/>
      <c r="T184" s="1439"/>
      <c r="U184" s="1439"/>
      <c r="V184" s="1439"/>
      <c r="W184" s="1439"/>
      <c r="X184" s="1439"/>
      <c r="Y184" s="1439"/>
      <c r="Z184" s="1439"/>
      <c r="AA184" s="1439"/>
      <c r="AB184" s="1439"/>
      <c r="AC184" s="1439"/>
      <c r="AD184" s="1439"/>
      <c r="AE184" s="1439"/>
      <c r="AF184" s="1439"/>
      <c r="AG184" s="1439"/>
    </row>
    <row r="185" spans="1:33">
      <c r="A185" s="1439"/>
      <c r="B185" s="1439"/>
      <c r="C185" s="1439"/>
      <c r="D185" s="1439"/>
      <c r="E185" s="1439"/>
      <c r="F185" s="1439"/>
      <c r="G185" s="1439"/>
      <c r="H185" s="1439"/>
      <c r="I185" s="1439"/>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AF185" s="1439"/>
      <c r="AG185" s="1439"/>
    </row>
    <row r="186" spans="1:33">
      <c r="A186" s="1439"/>
      <c r="B186" s="1439"/>
      <c r="C186" s="1439"/>
      <c r="D186" s="1439"/>
      <c r="E186" s="1439"/>
      <c r="F186" s="1439"/>
      <c r="G186" s="1439"/>
      <c r="H186" s="1439"/>
      <c r="I186" s="1439"/>
      <c r="J186" s="1439"/>
      <c r="K186" s="1439"/>
      <c r="L186" s="1439"/>
      <c r="M186" s="1439"/>
      <c r="N186" s="1439"/>
      <c r="O186" s="1439"/>
      <c r="P186" s="1439"/>
      <c r="Q186" s="1439"/>
      <c r="R186" s="1439"/>
      <c r="S186" s="1439"/>
      <c r="T186" s="1439"/>
      <c r="U186" s="1439"/>
      <c r="V186" s="1439"/>
      <c r="W186" s="1439"/>
      <c r="X186" s="1439"/>
      <c r="Y186" s="1439"/>
      <c r="Z186" s="1439"/>
      <c r="AA186" s="1439"/>
      <c r="AB186" s="1439"/>
      <c r="AC186" s="1439"/>
      <c r="AD186" s="1439"/>
      <c r="AE186" s="1439"/>
      <c r="AF186" s="1439"/>
      <c r="AG186" s="1439"/>
    </row>
    <row r="187" spans="1:33">
      <c r="A187" s="1439"/>
      <c r="B187" s="1439"/>
      <c r="C187" s="1439"/>
      <c r="D187" s="1439"/>
      <c r="E187" s="1439"/>
      <c r="F187" s="1439"/>
      <c r="G187" s="1439"/>
      <c r="H187" s="1439"/>
      <c r="I187" s="1439"/>
      <c r="J187" s="1439"/>
      <c r="K187" s="1439"/>
      <c r="L187" s="1439"/>
      <c r="M187" s="1439"/>
      <c r="N187" s="1439"/>
      <c r="O187" s="1439"/>
      <c r="P187" s="1439"/>
      <c r="Q187" s="1439"/>
      <c r="R187" s="1439"/>
      <c r="S187" s="1439"/>
      <c r="T187" s="1439"/>
      <c r="U187" s="1439"/>
      <c r="V187" s="1439"/>
      <c r="W187" s="1439"/>
      <c r="X187" s="1439"/>
      <c r="Y187" s="1439"/>
      <c r="Z187" s="1439"/>
      <c r="AA187" s="1439"/>
      <c r="AB187" s="1439"/>
      <c r="AC187" s="1439"/>
      <c r="AD187" s="1439"/>
      <c r="AE187" s="1439"/>
      <c r="AF187" s="1439"/>
      <c r="AG187" s="1439"/>
    </row>
    <row r="188" spans="1:33">
      <c r="A188" s="1439"/>
      <c r="B188" s="1439"/>
      <c r="C188" s="1439"/>
      <c r="D188" s="1439"/>
      <c r="E188" s="1439"/>
      <c r="F188" s="1439"/>
      <c r="G188" s="1439"/>
      <c r="H188" s="1439"/>
      <c r="I188" s="1439"/>
      <c r="J188" s="1439"/>
      <c r="K188" s="1439"/>
      <c r="L188" s="1439"/>
      <c r="M188" s="1439"/>
      <c r="N188" s="1439"/>
      <c r="O188" s="1439"/>
      <c r="P188" s="1439"/>
      <c r="Q188" s="1439"/>
      <c r="R188" s="1439"/>
      <c r="S188" s="1439"/>
      <c r="T188" s="1439"/>
      <c r="U188" s="1439"/>
      <c r="V188" s="1439"/>
      <c r="W188" s="1439"/>
      <c r="X188" s="1439"/>
      <c r="Y188" s="1439"/>
      <c r="Z188" s="1439"/>
      <c r="AA188" s="1439"/>
      <c r="AB188" s="1439"/>
      <c r="AC188" s="1439"/>
      <c r="AD188" s="1439"/>
      <c r="AE188" s="1439"/>
      <c r="AF188" s="1439"/>
      <c r="AG188" s="1439"/>
    </row>
    <row r="189" spans="1:33">
      <c r="A189" s="1439"/>
      <c r="B189" s="1439"/>
      <c r="C189" s="1439"/>
      <c r="D189" s="1439"/>
      <c r="E189" s="1439"/>
      <c r="F189" s="1439"/>
      <c r="G189" s="1439"/>
      <c r="H189" s="1439"/>
      <c r="I189" s="1439"/>
      <c r="J189" s="1439"/>
      <c r="K189" s="1439"/>
      <c r="L189" s="1439"/>
      <c r="M189" s="1439"/>
      <c r="N189" s="1439"/>
      <c r="O189" s="1439"/>
      <c r="P189" s="1439"/>
      <c r="Q189" s="1439"/>
      <c r="R189" s="1439"/>
      <c r="S189" s="1439"/>
      <c r="T189" s="1439"/>
      <c r="U189" s="1439"/>
      <c r="V189" s="1439"/>
      <c r="W189" s="1439"/>
      <c r="X189" s="1439"/>
      <c r="Y189" s="1439"/>
      <c r="Z189" s="1439"/>
      <c r="AA189" s="1439"/>
      <c r="AB189" s="1439"/>
      <c r="AC189" s="1439"/>
      <c r="AD189" s="1439"/>
      <c r="AE189" s="1439"/>
      <c r="AF189" s="1439"/>
      <c r="AG189" s="1439"/>
    </row>
    <row r="190" spans="1:33">
      <c r="A190" s="1439"/>
      <c r="B190" s="1439"/>
      <c r="C190" s="1439"/>
      <c r="D190" s="1439"/>
      <c r="E190" s="1439"/>
      <c r="F190" s="1439"/>
      <c r="G190" s="1439"/>
      <c r="H190" s="1439"/>
      <c r="I190" s="1439"/>
      <c r="J190" s="1439"/>
      <c r="K190" s="1439"/>
      <c r="L190" s="1439"/>
      <c r="M190" s="1439"/>
      <c r="N190" s="1439"/>
      <c r="O190" s="1439"/>
      <c r="P190" s="1439"/>
      <c r="Q190" s="1439"/>
      <c r="R190" s="1439"/>
      <c r="S190" s="1439"/>
      <c r="T190" s="1439"/>
      <c r="U190" s="1439"/>
      <c r="V190" s="1439"/>
      <c r="W190" s="1439"/>
      <c r="X190" s="1439"/>
      <c r="Y190" s="1439"/>
      <c r="Z190" s="1439"/>
      <c r="AA190" s="1439"/>
      <c r="AB190" s="1439"/>
      <c r="AC190" s="1439"/>
      <c r="AD190" s="1439"/>
      <c r="AE190" s="1439"/>
      <c r="AF190" s="1439"/>
      <c r="AG190" s="1439"/>
    </row>
    <row r="191" spans="1:33">
      <c r="A191" s="1439"/>
      <c r="B191" s="1439"/>
      <c r="C191" s="1439"/>
      <c r="D191" s="1439"/>
      <c r="E191" s="1439"/>
      <c r="F191" s="1439"/>
      <c r="G191" s="1439"/>
      <c r="H191" s="1439"/>
      <c r="I191" s="1439"/>
      <c r="J191" s="1439"/>
      <c r="K191" s="1439"/>
      <c r="L191" s="1439"/>
      <c r="M191" s="1439"/>
      <c r="N191" s="1439"/>
      <c r="O191" s="1439"/>
      <c r="P191" s="1439"/>
      <c r="Q191" s="1439"/>
      <c r="R191" s="1439"/>
      <c r="S191" s="1439"/>
      <c r="T191" s="1439"/>
      <c r="U191" s="1439"/>
      <c r="V191" s="1439"/>
      <c r="W191" s="1439"/>
      <c r="X191" s="1439"/>
      <c r="Y191" s="1439"/>
      <c r="Z191" s="1439"/>
      <c r="AA191" s="1439"/>
      <c r="AB191" s="1439"/>
      <c r="AC191" s="1439"/>
      <c r="AD191" s="1439"/>
      <c r="AE191" s="1439"/>
      <c r="AF191" s="1439"/>
      <c r="AG191" s="1439"/>
    </row>
    <row r="192" spans="1:33">
      <c r="A192" s="1439"/>
      <c r="B192" s="1439"/>
      <c r="C192" s="1439"/>
      <c r="D192" s="1439"/>
      <c r="E192" s="1439"/>
      <c r="F192" s="1439"/>
      <c r="G192" s="1439"/>
      <c r="H192" s="1439"/>
      <c r="I192" s="1439"/>
      <c r="J192" s="1439"/>
      <c r="K192" s="1439"/>
      <c r="L192" s="1439"/>
      <c r="M192" s="1439"/>
      <c r="N192" s="1439"/>
      <c r="O192" s="1439"/>
      <c r="P192" s="1439"/>
      <c r="Q192" s="1439"/>
      <c r="R192" s="1439"/>
      <c r="S192" s="1439"/>
      <c r="T192" s="1439"/>
      <c r="U192" s="1439"/>
      <c r="V192" s="1439"/>
      <c r="W192" s="1439"/>
      <c r="X192" s="1439"/>
      <c r="Y192" s="1439"/>
      <c r="Z192" s="1439"/>
      <c r="AA192" s="1439"/>
      <c r="AB192" s="1439"/>
      <c r="AC192" s="1439"/>
      <c r="AD192" s="1439"/>
      <c r="AE192" s="1439"/>
      <c r="AF192" s="1439"/>
      <c r="AG192" s="1439"/>
    </row>
    <row r="193" spans="1:33">
      <c r="A193" s="1439"/>
      <c r="B193" s="1439"/>
      <c r="C193" s="1439"/>
      <c r="D193" s="1439"/>
      <c r="E193" s="1439"/>
      <c r="F193" s="1439"/>
      <c r="G193" s="1439"/>
      <c r="H193" s="1439"/>
      <c r="I193" s="1439"/>
      <c r="J193" s="1439"/>
      <c r="K193" s="1439"/>
      <c r="L193" s="1439"/>
      <c r="M193" s="1439"/>
      <c r="N193" s="1439"/>
      <c r="O193" s="1439"/>
      <c r="P193" s="1439"/>
      <c r="Q193" s="1439"/>
      <c r="R193" s="1439"/>
      <c r="S193" s="1439"/>
      <c r="T193" s="1439"/>
      <c r="U193" s="1439"/>
      <c r="V193" s="1439"/>
      <c r="W193" s="1439"/>
      <c r="X193" s="1439"/>
      <c r="Y193" s="1439"/>
      <c r="Z193" s="1439"/>
      <c r="AA193" s="1439"/>
      <c r="AB193" s="1439"/>
      <c r="AC193" s="1439"/>
      <c r="AD193" s="1439"/>
      <c r="AE193" s="1439"/>
      <c r="AF193" s="1439"/>
      <c r="AG193" s="1439"/>
    </row>
    <row r="194" spans="1:33">
      <c r="A194" s="1439"/>
      <c r="B194" s="1439"/>
      <c r="C194" s="1439"/>
      <c r="D194" s="1439"/>
      <c r="E194" s="1439"/>
      <c r="F194" s="1439"/>
      <c r="G194" s="1439"/>
      <c r="H194" s="1439"/>
      <c r="I194" s="1439"/>
      <c r="J194" s="1439"/>
      <c r="K194" s="1439"/>
      <c r="L194" s="1439"/>
      <c r="M194" s="1439"/>
      <c r="N194" s="1439"/>
      <c r="O194" s="1439"/>
      <c r="P194" s="1439"/>
      <c r="Q194" s="1439"/>
      <c r="R194" s="1439"/>
      <c r="S194" s="1439"/>
      <c r="T194" s="1439"/>
      <c r="U194" s="1439"/>
      <c r="V194" s="1439"/>
      <c r="W194" s="1439"/>
      <c r="X194" s="1439"/>
      <c r="Y194" s="1439"/>
      <c r="Z194" s="1439"/>
      <c r="AA194" s="1439"/>
      <c r="AB194" s="1439"/>
      <c r="AC194" s="1439"/>
      <c r="AD194" s="1439"/>
      <c r="AE194" s="1439"/>
      <c r="AF194" s="1439"/>
      <c r="AG194" s="1439"/>
    </row>
    <row r="195" spans="1:33">
      <c r="A195" s="1439"/>
      <c r="B195" s="1439"/>
      <c r="C195" s="1439"/>
      <c r="D195" s="1439"/>
      <c r="E195" s="1439"/>
      <c r="F195" s="1439"/>
      <c r="G195" s="1439"/>
      <c r="H195" s="1439"/>
      <c r="I195" s="1439"/>
      <c r="J195" s="1439"/>
      <c r="K195" s="1439"/>
      <c r="L195" s="1439"/>
      <c r="M195" s="1439"/>
      <c r="N195" s="1439"/>
      <c r="O195" s="1439"/>
      <c r="P195" s="1439"/>
      <c r="Q195" s="1439"/>
      <c r="R195" s="1439"/>
      <c r="S195" s="1439"/>
      <c r="T195" s="1439"/>
      <c r="U195" s="1439"/>
      <c r="V195" s="1439"/>
      <c r="W195" s="1439"/>
      <c r="X195" s="1439"/>
      <c r="Y195" s="1439"/>
      <c r="Z195" s="1439"/>
      <c r="AA195" s="1439"/>
      <c r="AB195" s="1439"/>
      <c r="AC195" s="1439"/>
      <c r="AD195" s="1439"/>
      <c r="AE195" s="1439"/>
      <c r="AF195" s="1439"/>
      <c r="AG195" s="1439"/>
    </row>
    <row r="196" spans="1:33">
      <c r="A196" s="1439"/>
      <c r="B196" s="1439"/>
      <c r="C196" s="1439"/>
      <c r="D196" s="1439"/>
      <c r="E196" s="1439"/>
      <c r="F196" s="1439"/>
      <c r="G196" s="1439"/>
      <c r="H196" s="1439"/>
      <c r="I196" s="1439"/>
      <c r="J196" s="1439"/>
      <c r="K196" s="1439"/>
      <c r="L196" s="1439"/>
      <c r="M196" s="1439"/>
      <c r="N196" s="1439"/>
      <c r="O196" s="1439"/>
      <c r="P196" s="1439"/>
      <c r="Q196" s="1439"/>
      <c r="R196" s="1439"/>
      <c r="S196" s="1439"/>
      <c r="T196" s="1439"/>
      <c r="U196" s="1439"/>
      <c r="V196" s="1439"/>
      <c r="W196" s="1439"/>
      <c r="X196" s="1439"/>
      <c r="Y196" s="1439"/>
      <c r="Z196" s="1439"/>
      <c r="AA196" s="1439"/>
      <c r="AB196" s="1439"/>
      <c r="AC196" s="1439"/>
      <c r="AD196" s="1439"/>
      <c r="AE196" s="1439"/>
      <c r="AF196" s="1439"/>
      <c r="AG196" s="1439"/>
    </row>
    <row r="197" spans="1:33">
      <c r="A197" s="1439"/>
      <c r="B197" s="1439"/>
      <c r="C197" s="1439"/>
      <c r="D197" s="1439"/>
      <c r="E197" s="1439"/>
      <c r="F197" s="1439"/>
      <c r="G197" s="1439"/>
      <c r="H197" s="1439"/>
      <c r="I197" s="1439"/>
      <c r="J197" s="1439"/>
      <c r="K197" s="1439"/>
      <c r="L197" s="1439"/>
      <c r="M197" s="1439"/>
      <c r="N197" s="1439"/>
      <c r="O197" s="1439"/>
      <c r="P197" s="1439"/>
      <c r="Q197" s="1439"/>
      <c r="R197" s="1439"/>
      <c r="S197" s="1439"/>
      <c r="T197" s="1439"/>
      <c r="U197" s="1439"/>
      <c r="V197" s="1439"/>
      <c r="W197" s="1439"/>
      <c r="X197" s="1439"/>
      <c r="Y197" s="1439"/>
      <c r="Z197" s="1439"/>
      <c r="AA197" s="1439"/>
      <c r="AB197" s="1439"/>
      <c r="AC197" s="1439"/>
      <c r="AD197" s="1439"/>
      <c r="AE197" s="1439"/>
      <c r="AF197" s="1439"/>
      <c r="AG197" s="1439"/>
    </row>
    <row r="198" spans="1:33">
      <c r="A198" s="1439"/>
      <c r="B198" s="1439"/>
      <c r="C198" s="1439"/>
      <c r="D198" s="1439"/>
      <c r="E198" s="1439"/>
      <c r="F198" s="1439"/>
      <c r="G198" s="1439"/>
      <c r="H198" s="1439"/>
      <c r="I198" s="1439"/>
      <c r="J198" s="1439"/>
      <c r="K198" s="1439"/>
      <c r="L198" s="1439"/>
      <c r="M198" s="1439"/>
      <c r="N198" s="1439"/>
      <c r="O198" s="1439"/>
      <c r="P198" s="1439"/>
      <c r="Q198" s="1439"/>
      <c r="R198" s="1439"/>
      <c r="S198" s="1439"/>
      <c r="T198" s="1439"/>
      <c r="U198" s="1439"/>
      <c r="V198" s="1439"/>
      <c r="W198" s="1439"/>
      <c r="X198" s="1439"/>
      <c r="Y198" s="1439"/>
      <c r="Z198" s="1439"/>
      <c r="AA198" s="1439"/>
      <c r="AB198" s="1439"/>
      <c r="AC198" s="1439"/>
      <c r="AD198" s="1439"/>
      <c r="AE198" s="1439"/>
      <c r="AF198" s="1439"/>
      <c r="AG198" s="1439"/>
    </row>
    <row r="199" spans="1:33">
      <c r="A199" s="1439"/>
      <c r="B199" s="1439"/>
      <c r="C199" s="1439"/>
      <c r="D199" s="1439"/>
      <c r="E199" s="1439"/>
      <c r="F199" s="1439"/>
      <c r="G199" s="1439"/>
      <c r="H199" s="1439"/>
      <c r="I199" s="1439"/>
      <c r="J199" s="1439"/>
      <c r="K199" s="1439"/>
      <c r="L199" s="1439"/>
      <c r="M199" s="1439"/>
      <c r="N199" s="1439"/>
      <c r="O199" s="1439"/>
      <c r="P199" s="1439"/>
      <c r="Q199" s="1439"/>
      <c r="R199" s="1439"/>
      <c r="S199" s="1439"/>
      <c r="T199" s="1439"/>
      <c r="U199" s="1439"/>
      <c r="V199" s="1439"/>
      <c r="W199" s="1439"/>
      <c r="X199" s="1439"/>
      <c r="Y199" s="1439"/>
      <c r="Z199" s="1439"/>
      <c r="AA199" s="1439"/>
      <c r="AB199" s="1439"/>
      <c r="AC199" s="1439"/>
      <c r="AD199" s="1439"/>
      <c r="AE199" s="1439"/>
      <c r="AF199" s="1439"/>
      <c r="AG199" s="1439"/>
    </row>
    <row r="200" spans="1:33">
      <c r="A200" s="1439"/>
      <c r="B200" s="1439"/>
      <c r="C200" s="1439"/>
      <c r="D200" s="1439"/>
      <c r="E200" s="1439"/>
      <c r="F200" s="1439"/>
      <c r="G200" s="1439"/>
      <c r="H200" s="1439"/>
      <c r="I200" s="1439"/>
      <c r="J200" s="1439"/>
      <c r="K200" s="1439"/>
      <c r="L200" s="1439"/>
      <c r="M200" s="1439"/>
      <c r="N200" s="1439"/>
      <c r="O200" s="1439"/>
      <c r="P200" s="1439"/>
      <c r="Q200" s="1439"/>
      <c r="R200" s="1439"/>
      <c r="S200" s="1439"/>
      <c r="T200" s="1439"/>
      <c r="U200" s="1439"/>
      <c r="V200" s="1439"/>
      <c r="W200" s="1439"/>
      <c r="X200" s="1439"/>
      <c r="Y200" s="1439"/>
      <c r="Z200" s="1439"/>
      <c r="AA200" s="1439"/>
      <c r="AB200" s="1439"/>
      <c r="AC200" s="1439"/>
      <c r="AD200" s="1439"/>
      <c r="AE200" s="1439"/>
      <c r="AF200" s="1439"/>
      <c r="AG200" s="1439"/>
    </row>
    <row r="201" spans="1:33">
      <c r="A201" s="1439"/>
      <c r="B201" s="1439"/>
      <c r="C201" s="1439"/>
      <c r="D201" s="1439"/>
      <c r="E201" s="1439"/>
      <c r="F201" s="1439"/>
      <c r="G201" s="1439"/>
      <c r="H201" s="1439"/>
      <c r="I201" s="1439"/>
      <c r="J201" s="1439"/>
      <c r="K201" s="1439"/>
      <c r="L201" s="1439"/>
      <c r="M201" s="1439"/>
      <c r="N201" s="1439"/>
      <c r="O201" s="1439"/>
      <c r="P201" s="1439"/>
      <c r="Q201" s="1439"/>
      <c r="R201" s="1439"/>
      <c r="S201" s="1439"/>
      <c r="T201" s="1439"/>
      <c r="U201" s="1439"/>
      <c r="V201" s="1439"/>
      <c r="W201" s="1439"/>
      <c r="X201" s="1439"/>
      <c r="Y201" s="1439"/>
      <c r="Z201" s="1439"/>
      <c r="AA201" s="1439"/>
      <c r="AB201" s="1439"/>
      <c r="AC201" s="1439"/>
      <c r="AD201" s="1439"/>
      <c r="AE201" s="1439"/>
      <c r="AF201" s="1439"/>
      <c r="AG201" s="1439"/>
    </row>
    <row r="202" spans="1:33">
      <c r="A202" s="1439"/>
      <c r="B202" s="1439"/>
      <c r="C202" s="1439"/>
      <c r="D202" s="1439"/>
      <c r="E202" s="1439"/>
      <c r="F202" s="1439"/>
      <c r="G202" s="1439"/>
      <c r="H202" s="1439"/>
      <c r="I202" s="1439"/>
      <c r="J202" s="1439"/>
      <c r="K202" s="1439"/>
      <c r="L202" s="1439"/>
      <c r="M202" s="1439"/>
      <c r="N202" s="1439"/>
      <c r="O202" s="1439"/>
      <c r="P202" s="1439"/>
      <c r="Q202" s="1439"/>
      <c r="R202" s="1439"/>
      <c r="S202" s="1439"/>
      <c r="T202" s="1439"/>
      <c r="U202" s="1439"/>
      <c r="V202" s="1439"/>
      <c r="W202" s="1439"/>
      <c r="X202" s="1439"/>
      <c r="Y202" s="1439"/>
      <c r="Z202" s="1439"/>
      <c r="AA202" s="1439"/>
      <c r="AB202" s="1439"/>
      <c r="AC202" s="1439"/>
      <c r="AD202" s="1439"/>
      <c r="AE202" s="1439"/>
      <c r="AF202" s="1439"/>
      <c r="AG202" s="1439"/>
    </row>
    <row r="203" spans="1:33">
      <c r="A203" s="1439"/>
      <c r="B203" s="1439"/>
      <c r="C203" s="1439"/>
      <c r="D203" s="1439"/>
      <c r="E203" s="1439"/>
      <c r="F203" s="1439"/>
      <c r="G203" s="1439"/>
      <c r="H203" s="1439"/>
      <c r="I203" s="1439"/>
      <c r="J203" s="1439"/>
      <c r="K203" s="1439"/>
      <c r="L203" s="1439"/>
      <c r="M203" s="1439"/>
      <c r="N203" s="1439"/>
      <c r="O203" s="1439"/>
      <c r="P203" s="1439"/>
      <c r="Q203" s="1439"/>
      <c r="R203" s="1439"/>
      <c r="S203" s="1439"/>
      <c r="T203" s="1439"/>
      <c r="U203" s="1439"/>
      <c r="V203" s="1439"/>
      <c r="W203" s="1439"/>
      <c r="X203" s="1439"/>
      <c r="Y203" s="1439"/>
      <c r="Z203" s="1439"/>
      <c r="AA203" s="1439"/>
      <c r="AB203" s="1439"/>
      <c r="AC203" s="1439"/>
      <c r="AD203" s="1439"/>
      <c r="AE203" s="1439"/>
      <c r="AF203" s="1439"/>
      <c r="AG203" s="1439"/>
    </row>
    <row r="204" spans="1:33">
      <c r="A204" s="1439"/>
      <c r="B204" s="1439"/>
      <c r="C204" s="1439"/>
      <c r="D204" s="1439"/>
      <c r="E204" s="1439"/>
      <c r="F204" s="1439"/>
      <c r="G204" s="1439"/>
      <c r="H204" s="1439"/>
      <c r="I204" s="1439"/>
      <c r="J204" s="1439"/>
      <c r="K204" s="1439"/>
      <c r="L204" s="1439"/>
      <c r="M204" s="1439"/>
      <c r="N204" s="1439"/>
      <c r="O204" s="1439"/>
      <c r="P204" s="1439"/>
      <c r="Q204" s="1439"/>
      <c r="R204" s="1439"/>
      <c r="S204" s="1439"/>
      <c r="T204" s="1439"/>
      <c r="U204" s="1439"/>
      <c r="V204" s="1439"/>
      <c r="W204" s="1439"/>
      <c r="X204" s="1439"/>
      <c r="Y204" s="1439"/>
      <c r="Z204" s="1439"/>
      <c r="AA204" s="1439"/>
      <c r="AB204" s="1439"/>
      <c r="AC204" s="1439"/>
      <c r="AD204" s="1439"/>
      <c r="AE204" s="1439"/>
      <c r="AF204" s="1439"/>
      <c r="AG204" s="1439"/>
    </row>
    <row r="205" spans="1:33">
      <c r="A205" s="1439"/>
      <c r="B205" s="1439"/>
      <c r="C205" s="1439"/>
      <c r="D205" s="1439"/>
      <c r="E205" s="1439"/>
      <c r="F205" s="1439"/>
      <c r="G205" s="1439"/>
      <c r="H205" s="1439"/>
      <c r="I205" s="1439"/>
      <c r="J205" s="1439"/>
      <c r="K205" s="1439"/>
      <c r="L205" s="1439"/>
      <c r="M205" s="1439"/>
      <c r="N205" s="1439"/>
      <c r="O205" s="1439"/>
      <c r="P205" s="1439"/>
      <c r="Q205" s="1439"/>
      <c r="R205" s="1439"/>
      <c r="S205" s="1439"/>
      <c r="T205" s="1439"/>
      <c r="U205" s="1439"/>
      <c r="V205" s="1439"/>
      <c r="W205" s="1439"/>
      <c r="X205" s="1439"/>
      <c r="Y205" s="1439"/>
      <c r="Z205" s="1439"/>
      <c r="AA205" s="1439"/>
      <c r="AB205" s="1439"/>
      <c r="AC205" s="1439"/>
      <c r="AD205" s="1439"/>
      <c r="AE205" s="1439"/>
      <c r="AF205" s="1439"/>
      <c r="AG205" s="1439"/>
    </row>
    <row r="206" spans="1:33">
      <c r="A206" s="1439"/>
      <c r="B206" s="1439"/>
      <c r="C206" s="1439"/>
      <c r="D206" s="1439"/>
      <c r="E206" s="1439"/>
      <c r="F206" s="1439"/>
      <c r="G206" s="1439"/>
      <c r="H206" s="1439"/>
      <c r="I206" s="1439"/>
      <c r="J206" s="1439"/>
      <c r="K206" s="1439"/>
      <c r="L206" s="1439"/>
      <c r="M206" s="1439"/>
      <c r="N206" s="1439"/>
      <c r="O206" s="1439"/>
      <c r="P206" s="1439"/>
      <c r="Q206" s="1439"/>
      <c r="R206" s="1439"/>
      <c r="S206" s="1439"/>
      <c r="T206" s="1439"/>
      <c r="U206" s="1439"/>
      <c r="V206" s="1439"/>
      <c r="W206" s="1439"/>
      <c r="X206" s="1439"/>
      <c r="Y206" s="1439"/>
      <c r="Z206" s="1439"/>
      <c r="AA206" s="1439"/>
      <c r="AB206" s="1439"/>
      <c r="AC206" s="1439"/>
      <c r="AD206" s="1439"/>
      <c r="AE206" s="1439"/>
      <c r="AF206" s="1439"/>
      <c r="AG206" s="1439"/>
    </row>
  </sheetData>
  <phoneticPr fontId="17" type="noConversion"/>
  <pageMargins left="0.7" right="0.7" top="0.75" bottom="0.75" header="0.3" footer="0.3"/>
  <pageSetup orientation="portrait" horizontalDpi="300" verticalDpi="300" r:id="rId1"/>
  <ignoredErrors>
    <ignoredError sqref="F102"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3" ma:contentTypeDescription="Create a new document." ma:contentTypeScope="" ma:versionID="54a3a045f6e2758a88fefc4509e6ba4d">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643ec04db5565974903b6764794c1175"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93FF8B-1CE0-477E-94AF-A9D4CE876563}">
  <ds:schemaRefs>
    <ds:schemaRef ds:uri="http://purl.org/dc/dcmityp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 ds:uri="ac44878d-96d9-4f15-b496-a71362426953"/>
    <ds:schemaRef ds:uri="7a64ecaf-0ff2-4962-b687-c42052c96c69"/>
    <ds:schemaRef ds:uri="http://purl.org/dc/elements/1.1/"/>
  </ds:schemaRefs>
</ds:datastoreItem>
</file>

<file path=customXml/itemProps2.xml><?xml version="1.0" encoding="utf-8"?>
<ds:datastoreItem xmlns:ds="http://schemas.openxmlformats.org/officeDocument/2006/customXml" ds:itemID="{29E797A1-4E8B-4D30-B159-7F5B8EDCE8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5E598D-5C52-4B03-B8C0-17C5B4594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vt:i4>
      </vt:variant>
    </vt:vector>
  </HeadingPairs>
  <TitlesOfParts>
    <vt:vector size="33" baseType="lpstr">
      <vt:lpstr>Cover</vt:lpstr>
      <vt:lpstr>SOP</vt:lpstr>
      <vt:lpstr>Summary</vt:lpstr>
      <vt:lpstr>Valuation</vt:lpstr>
      <vt:lpstr>Master</vt:lpstr>
      <vt:lpstr>New split</vt:lpstr>
      <vt:lpstr>New (new) quarts</vt:lpstr>
      <vt:lpstr>Cons</vt:lpstr>
      <vt:lpstr>Earning snaps</vt:lpstr>
      <vt:lpstr>Analysis</vt:lpstr>
      <vt:lpstr>Anna</vt:lpstr>
      <vt:lpstr>Cable</vt:lpstr>
      <vt:lpstr>Quarts</vt:lpstr>
      <vt:lpstr>Country quarts</vt:lpstr>
      <vt:lpstr>Snap charts</vt:lpstr>
      <vt:lpstr>Newquarts</vt:lpstr>
      <vt:lpstr>HY</vt:lpstr>
      <vt:lpstr>Notes1</vt:lpstr>
      <vt:lpstr>Colombia</vt:lpstr>
      <vt:lpstr>Full div</vt:lpstr>
      <vt:lpstr>Div</vt:lpstr>
      <vt:lpstr>New CA</vt:lpstr>
      <vt:lpstr>Onda</vt:lpstr>
      <vt:lpstr>CA</vt:lpstr>
      <vt:lpstr>SA</vt:lpstr>
      <vt:lpstr>Africa</vt:lpstr>
      <vt:lpstr>Voice_data</vt:lpstr>
      <vt:lpstr>LatAm quarts</vt:lpstr>
      <vt:lpstr>Notes</vt:lpstr>
      <vt:lpstr>Asia</vt:lpstr>
      <vt:lpstr>Africa_Base</vt:lpstr>
      <vt:lpstr>Cable!Print_Area</vt:lpstr>
      <vt:lpstr>'Country quarts'!Print_Area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sdatta</dc:creator>
  <cp:lastModifiedBy>David-Mickael Lopes</cp:lastModifiedBy>
  <cp:lastPrinted>2023-06-29T13:58:50Z</cp:lastPrinted>
  <dcterms:created xsi:type="dcterms:W3CDTF">2006-01-03T14:00:43Z</dcterms:created>
  <dcterms:modified xsi:type="dcterms:W3CDTF">2025-04-03T10:03:02Z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0x0101004E45DFD126F1C944A14E489380A940D9</vt:lpwstr>
  </property>
  <property fmtid="{D5CDD505-2E9C-101B-9397-08002B2CF9AE}" pid="3" name="Order">
    <vt:r8>8521800</vt:r8>
  </property>
  <property fmtid="{D5CDD505-2E9C-101B-9397-08002B2CF9AE}" pid="4" name="MediaServiceImageTags">
    <vt:lpwstr/>
  </property>
</Properties>
</file>